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krapchatova\Downloads\"/>
    </mc:Choice>
  </mc:AlternateContent>
  <bookViews>
    <workbookView xWindow="0" yWindow="0" windowWidth="28800" windowHeight="12000" tabRatio="779" activeTab="1"/>
  </bookViews>
  <sheets>
    <sheet name="Параметры поиска" sheetId="1" r:id="rId1"/>
    <sheet name="Результаты поиска" sheetId="13" r:id="rId2"/>
  </sheets>
  <definedNames>
    <definedName name="_xlnm._FilterDatabase" localSheetId="1" hidden="1">'Результаты поиска'!$A$2:$AC$2</definedName>
  </definedNames>
  <calcPr calcId="162913" forceFullCalc="1"/>
</workbook>
</file>

<file path=xl/calcChain.xml><?xml version="1.0" encoding="utf-8"?>
<calcChain xmlns="http://schemas.openxmlformats.org/spreadsheetml/2006/main">
  <c r="F16621" i="13" l="1"/>
  <c r="A16621" i="13"/>
  <c r="F16620" i="13"/>
  <c r="A16620" i="13"/>
  <c r="F16619" i="13"/>
  <c r="A16619" i="13"/>
  <c r="F16618" i="13"/>
  <c r="A16618" i="13"/>
  <c r="F16617" i="13"/>
  <c r="A16617" i="13"/>
  <c r="F16616" i="13"/>
  <c r="A16616" i="13"/>
  <c r="F16615" i="13"/>
  <c r="A16615" i="13"/>
  <c r="F16614" i="13"/>
  <c r="A16614" i="13"/>
  <c r="F16613" i="13"/>
  <c r="A16613" i="13"/>
  <c r="F16612" i="13"/>
  <c r="A16612" i="13"/>
  <c r="F16611" i="13"/>
  <c r="A16611" i="13"/>
  <c r="F16610" i="13"/>
  <c r="A16610" i="13"/>
  <c r="F16609" i="13"/>
  <c r="A16609" i="13"/>
  <c r="F16608" i="13"/>
  <c r="A16608" i="13"/>
  <c r="F16607" i="13"/>
  <c r="A16607" i="13"/>
  <c r="J16606" i="13"/>
  <c r="F16606" i="13"/>
  <c r="A16606" i="13"/>
  <c r="F16605" i="13"/>
  <c r="A16605" i="13"/>
  <c r="F16604" i="13"/>
  <c r="A16604" i="13"/>
  <c r="J16603" i="13"/>
  <c r="F16603" i="13"/>
  <c r="A16603" i="13"/>
  <c r="F16602" i="13"/>
  <c r="A16602" i="13"/>
  <c r="F16601" i="13"/>
  <c r="A16601" i="13"/>
  <c r="F16600" i="13"/>
  <c r="A16600" i="13"/>
  <c r="F16599" i="13"/>
  <c r="A16599" i="13"/>
  <c r="F16598" i="13"/>
  <c r="A16598" i="13"/>
  <c r="F16597" i="13"/>
  <c r="A16597" i="13"/>
  <c r="F16596" i="13"/>
  <c r="A16596" i="13"/>
  <c r="J16595" i="13"/>
  <c r="F16595" i="13"/>
  <c r="A16595" i="13"/>
  <c r="J16594" i="13"/>
  <c r="F16594" i="13"/>
  <c r="A16594" i="13"/>
  <c r="F16593" i="13"/>
  <c r="A16593" i="13"/>
  <c r="F16592" i="13"/>
  <c r="A16592" i="13"/>
  <c r="F16591" i="13"/>
  <c r="A16591" i="13"/>
  <c r="F16590" i="13"/>
  <c r="A16590" i="13"/>
  <c r="F16589" i="13"/>
  <c r="A16589" i="13"/>
  <c r="F16588" i="13"/>
  <c r="A16588" i="13"/>
  <c r="J16587" i="13"/>
  <c r="F16587" i="13"/>
  <c r="A16587" i="13"/>
  <c r="J16586" i="13"/>
  <c r="F16586" i="13"/>
  <c r="A16586" i="13"/>
  <c r="J16585" i="13"/>
  <c r="F16585" i="13"/>
  <c r="A16585" i="13"/>
  <c r="J16584" i="13"/>
  <c r="F16584" i="13"/>
  <c r="A16584" i="13"/>
  <c r="J16583" i="13"/>
  <c r="F16583" i="13"/>
  <c r="A16583" i="13"/>
  <c r="F16582" i="13"/>
  <c r="A16582" i="13"/>
  <c r="J16581" i="13"/>
  <c r="F16581" i="13"/>
  <c r="A16581" i="13"/>
  <c r="F16580" i="13"/>
  <c r="A16580" i="13"/>
  <c r="J16579" i="13"/>
  <c r="F16579" i="13"/>
  <c r="A16579" i="13"/>
  <c r="F16578" i="13"/>
  <c r="A16578" i="13"/>
  <c r="F16577" i="13"/>
  <c r="A16577" i="13"/>
  <c r="J16576" i="13"/>
  <c r="F16576" i="13"/>
  <c r="A16576" i="13"/>
  <c r="J16575" i="13"/>
  <c r="F16575" i="13"/>
  <c r="A16575" i="13"/>
  <c r="F16574" i="13"/>
  <c r="A16574" i="13"/>
  <c r="J16573" i="13"/>
  <c r="F16573" i="13"/>
  <c r="A16573" i="13"/>
  <c r="J16572" i="13"/>
  <c r="F16572" i="13"/>
  <c r="A16572" i="13"/>
  <c r="J16571" i="13"/>
  <c r="F16571" i="13"/>
  <c r="A16571" i="13"/>
  <c r="J16570" i="13"/>
  <c r="F16570" i="13"/>
  <c r="A16570" i="13"/>
  <c r="J16569" i="13"/>
  <c r="F16569" i="13"/>
  <c r="A16569" i="13"/>
  <c r="J16568" i="13"/>
  <c r="F16568" i="13"/>
  <c r="A16568" i="13"/>
  <c r="J16567" i="13"/>
  <c r="F16567" i="13"/>
  <c r="A16567" i="13"/>
  <c r="J16566" i="13"/>
  <c r="F16566" i="13"/>
  <c r="A16566" i="13"/>
  <c r="J16565" i="13"/>
  <c r="F16565" i="13"/>
  <c r="A16565" i="13"/>
  <c r="J16564" i="13"/>
  <c r="F16564" i="13"/>
  <c r="A16564" i="13"/>
  <c r="J16563" i="13"/>
  <c r="F16563" i="13"/>
  <c r="A16563" i="13"/>
  <c r="F16562" i="13"/>
  <c r="A16562" i="13"/>
  <c r="F16561" i="13"/>
  <c r="A16561" i="13"/>
  <c r="F16560" i="13"/>
  <c r="A16560" i="13"/>
  <c r="F16559" i="13"/>
  <c r="A16559" i="13"/>
  <c r="F16558" i="13"/>
  <c r="A16558" i="13"/>
  <c r="J16557" i="13"/>
  <c r="F16557" i="13"/>
  <c r="A16557" i="13"/>
  <c r="J16556" i="13"/>
  <c r="F16556" i="13"/>
  <c r="A16556" i="13"/>
  <c r="J16555" i="13"/>
  <c r="F16555" i="13"/>
  <c r="A16555" i="13"/>
  <c r="J16554" i="13"/>
  <c r="F16554" i="13"/>
  <c r="A16554" i="13"/>
  <c r="J16553" i="13"/>
  <c r="F16553" i="13"/>
  <c r="A16553" i="13"/>
  <c r="F16552" i="13"/>
  <c r="A16552" i="13"/>
  <c r="F16551" i="13"/>
  <c r="A16551" i="13"/>
  <c r="F16550" i="13"/>
  <c r="A16550" i="13"/>
  <c r="J16549" i="13"/>
  <c r="F16549" i="13"/>
  <c r="A16549" i="13"/>
  <c r="J16548" i="13"/>
  <c r="F16548" i="13"/>
  <c r="A16548" i="13"/>
  <c r="J16547" i="13"/>
  <c r="F16547" i="13"/>
  <c r="A16547" i="13"/>
  <c r="F16546" i="13"/>
  <c r="A16546" i="13"/>
  <c r="F16545" i="13"/>
  <c r="A16545" i="13"/>
  <c r="F16544" i="13"/>
  <c r="A16544" i="13"/>
  <c r="F16543" i="13"/>
  <c r="A16543" i="13"/>
  <c r="J16542" i="13"/>
  <c r="F16542" i="13"/>
  <c r="A16542" i="13"/>
  <c r="J16541" i="13"/>
  <c r="F16541" i="13"/>
  <c r="A16541" i="13"/>
  <c r="J16540" i="13"/>
  <c r="F16540" i="13"/>
  <c r="A16540" i="13"/>
  <c r="J16539" i="13"/>
  <c r="F16539" i="13"/>
  <c r="A16539" i="13"/>
  <c r="J16538" i="13"/>
  <c r="F16538" i="13"/>
  <c r="A16538" i="13"/>
  <c r="J16537" i="13"/>
  <c r="F16537" i="13"/>
  <c r="A16537" i="13"/>
  <c r="J16536" i="13"/>
  <c r="F16536" i="13"/>
  <c r="A16536" i="13"/>
  <c r="J16535" i="13"/>
  <c r="F16535" i="13"/>
  <c r="A16535" i="13"/>
  <c r="F16534" i="13"/>
  <c r="A16534" i="13"/>
  <c r="F16533" i="13"/>
  <c r="A16533" i="13"/>
  <c r="J16532" i="13"/>
  <c r="F16532" i="13"/>
  <c r="A16532" i="13"/>
  <c r="J16531" i="13"/>
  <c r="F16531" i="13"/>
  <c r="A16531" i="13"/>
  <c r="J16530" i="13"/>
  <c r="F16530" i="13"/>
  <c r="A16530" i="13"/>
  <c r="F16529" i="13"/>
  <c r="A16529" i="13"/>
  <c r="F16528" i="13"/>
  <c r="A16528" i="13"/>
  <c r="J16527" i="13"/>
  <c r="F16527" i="13"/>
  <c r="A16527" i="13"/>
  <c r="J16526" i="13"/>
  <c r="F16526" i="13"/>
  <c r="A16526" i="13"/>
  <c r="F16525" i="13"/>
  <c r="A16525" i="13"/>
  <c r="F16524" i="13"/>
  <c r="A16524" i="13"/>
  <c r="F16523" i="13"/>
  <c r="A16523" i="13"/>
  <c r="J16522" i="13"/>
  <c r="F16522" i="13"/>
  <c r="A16522" i="13"/>
  <c r="F16521" i="13"/>
  <c r="A16521" i="13"/>
  <c r="J16520" i="13"/>
  <c r="F16520" i="13"/>
  <c r="A16520" i="13"/>
  <c r="J16519" i="13"/>
  <c r="F16519" i="13"/>
  <c r="A16519" i="13"/>
  <c r="J16518" i="13"/>
  <c r="F16518" i="13"/>
  <c r="A16518" i="13"/>
  <c r="F16517" i="13"/>
  <c r="A16517" i="13"/>
  <c r="J16516" i="13"/>
  <c r="F16516" i="13"/>
  <c r="A16516" i="13"/>
  <c r="J16515" i="13"/>
  <c r="F16515" i="13"/>
  <c r="A16515" i="13"/>
  <c r="J16514" i="13"/>
  <c r="F16514" i="13"/>
  <c r="A16514" i="13"/>
  <c r="J16513" i="13"/>
  <c r="F16513" i="13"/>
  <c r="A16513" i="13"/>
  <c r="J16512" i="13"/>
  <c r="F16512" i="13"/>
  <c r="A16512" i="13"/>
  <c r="J16511" i="13"/>
  <c r="F16511" i="13"/>
  <c r="A16511" i="13"/>
  <c r="J16510" i="13"/>
  <c r="F16510" i="13"/>
  <c r="A16510" i="13"/>
  <c r="J16509" i="13"/>
  <c r="F16509" i="13"/>
  <c r="A16509" i="13"/>
  <c r="F16508" i="13"/>
  <c r="A16508" i="13"/>
  <c r="F16507" i="13"/>
  <c r="A16507" i="13"/>
  <c r="J16506" i="13"/>
  <c r="F16506" i="13"/>
  <c r="A16506" i="13"/>
  <c r="J16505" i="13"/>
  <c r="F16505" i="13"/>
  <c r="A16505" i="13"/>
  <c r="J16504" i="13"/>
  <c r="F16504" i="13"/>
  <c r="A16504" i="13"/>
  <c r="J16503" i="13"/>
  <c r="F16503" i="13"/>
  <c r="A16503" i="13"/>
  <c r="F16502" i="13"/>
  <c r="A16502" i="13"/>
  <c r="F16501" i="13"/>
  <c r="A16501" i="13"/>
  <c r="J16500" i="13"/>
  <c r="F16500" i="13"/>
  <c r="A16500" i="13"/>
  <c r="J16499" i="13"/>
  <c r="F16499" i="13"/>
  <c r="A16499" i="13"/>
  <c r="J16498" i="13"/>
  <c r="F16498" i="13"/>
  <c r="A16498" i="13"/>
  <c r="J16497" i="13"/>
  <c r="F16497" i="13"/>
  <c r="A16497" i="13"/>
  <c r="J16496" i="13"/>
  <c r="F16496" i="13"/>
  <c r="A16496" i="13"/>
  <c r="J16495" i="13"/>
  <c r="F16495" i="13"/>
  <c r="A16495" i="13"/>
  <c r="J16494" i="13"/>
  <c r="F16494" i="13"/>
  <c r="A16494" i="13"/>
  <c r="J16493" i="13"/>
  <c r="F16493" i="13"/>
  <c r="A16493" i="13"/>
  <c r="J16492" i="13"/>
  <c r="F16492" i="13"/>
  <c r="A16492" i="13"/>
  <c r="J16491" i="13"/>
  <c r="F16491" i="13"/>
  <c r="A16491" i="13"/>
  <c r="J16490" i="13"/>
  <c r="F16490" i="13"/>
  <c r="A16490" i="13"/>
  <c r="F16489" i="13"/>
  <c r="A16489" i="13"/>
  <c r="J16488" i="13"/>
  <c r="F16488" i="13"/>
  <c r="A16488" i="13"/>
  <c r="J16487" i="13"/>
  <c r="F16487" i="13"/>
  <c r="A16487" i="13"/>
  <c r="F16486" i="13"/>
  <c r="A16486" i="13"/>
  <c r="J16485" i="13"/>
  <c r="F16485" i="13"/>
  <c r="A16485" i="13"/>
  <c r="J16484" i="13"/>
  <c r="F16484" i="13"/>
  <c r="A16484" i="13"/>
  <c r="F16483" i="13"/>
  <c r="A16483" i="13"/>
  <c r="F16482" i="13"/>
  <c r="A16482" i="13"/>
  <c r="J16481" i="13"/>
  <c r="F16481" i="13"/>
  <c r="A16481" i="13"/>
  <c r="F16480" i="13"/>
  <c r="A16480" i="13"/>
  <c r="F16479" i="13"/>
  <c r="A16479" i="13"/>
  <c r="F16478" i="13"/>
  <c r="A16478" i="13"/>
  <c r="F16477" i="13"/>
  <c r="A16477" i="13"/>
  <c r="J16476" i="13"/>
  <c r="F16476" i="13"/>
  <c r="A16476" i="13"/>
  <c r="J16475" i="13"/>
  <c r="F16475" i="13"/>
  <c r="A16475" i="13"/>
  <c r="J16474" i="13"/>
  <c r="F16474" i="13"/>
  <c r="A16474" i="13"/>
  <c r="J16473" i="13"/>
  <c r="F16473" i="13"/>
  <c r="A16473" i="13"/>
  <c r="F16472" i="13"/>
  <c r="A16472" i="13"/>
  <c r="F16471" i="13"/>
  <c r="A16471" i="13"/>
  <c r="F16470" i="13"/>
  <c r="A16470" i="13"/>
  <c r="F16469" i="13"/>
  <c r="A16469" i="13"/>
  <c r="J16468" i="13"/>
  <c r="F16468" i="13"/>
  <c r="A16468" i="13"/>
  <c r="J16467" i="13"/>
  <c r="F16467" i="13"/>
  <c r="A16467" i="13"/>
  <c r="J16466" i="13"/>
  <c r="F16466" i="13"/>
  <c r="A16466" i="13"/>
  <c r="F16465" i="13"/>
  <c r="A16465" i="13"/>
  <c r="F16464" i="13"/>
  <c r="A16464" i="13"/>
  <c r="J16463" i="13"/>
  <c r="F16463" i="13"/>
  <c r="A16463" i="13"/>
  <c r="J16462" i="13"/>
  <c r="F16462" i="13"/>
  <c r="A16462" i="13"/>
  <c r="J16461" i="13"/>
  <c r="F16461" i="13"/>
  <c r="A16461" i="13"/>
  <c r="F16460" i="13"/>
  <c r="A16460" i="13"/>
  <c r="J16459" i="13"/>
  <c r="F16459" i="13"/>
  <c r="A16459" i="13"/>
  <c r="F16458" i="13"/>
  <c r="A16458" i="13"/>
  <c r="J16457" i="13"/>
  <c r="F16457" i="13"/>
  <c r="A16457" i="13"/>
  <c r="F16456" i="13"/>
  <c r="A16456" i="13"/>
  <c r="J16455" i="13"/>
  <c r="F16455" i="13"/>
  <c r="A16455" i="13"/>
  <c r="J16454" i="13"/>
  <c r="F16454" i="13"/>
  <c r="A16454" i="13"/>
  <c r="J16453" i="13"/>
  <c r="F16453" i="13"/>
  <c r="A16453" i="13"/>
  <c r="J16452" i="13"/>
  <c r="F16452" i="13"/>
  <c r="A16452" i="13"/>
  <c r="F16451" i="13"/>
  <c r="A16451" i="13"/>
  <c r="F16450" i="13"/>
  <c r="A16450" i="13"/>
  <c r="F16449" i="13"/>
  <c r="A16449" i="13"/>
  <c r="F16448" i="13"/>
  <c r="A16448" i="13"/>
  <c r="F16447" i="13"/>
  <c r="A16447" i="13"/>
  <c r="F16446" i="13"/>
  <c r="A16446" i="13"/>
  <c r="F16445" i="13"/>
  <c r="A16445" i="13"/>
  <c r="F16444" i="13"/>
  <c r="A16444" i="13"/>
  <c r="F16443" i="13"/>
  <c r="A16443" i="13"/>
  <c r="F16442" i="13"/>
  <c r="A16442" i="13"/>
  <c r="F16441" i="13"/>
  <c r="A16441" i="13"/>
  <c r="F16440" i="13"/>
  <c r="A16440" i="13"/>
  <c r="F16439" i="13"/>
  <c r="A16439" i="13"/>
  <c r="F16438" i="13"/>
  <c r="A16438" i="13"/>
  <c r="F16437" i="13"/>
  <c r="A16437" i="13"/>
  <c r="F16436" i="13"/>
  <c r="A16436" i="13"/>
  <c r="F16435" i="13"/>
  <c r="A16435" i="13"/>
  <c r="F16434" i="13"/>
  <c r="A16434" i="13"/>
  <c r="F16433" i="13"/>
  <c r="A16433" i="13"/>
  <c r="F16432" i="13"/>
  <c r="A16432" i="13"/>
  <c r="F16431" i="13"/>
  <c r="A16431" i="13"/>
  <c r="F16430" i="13"/>
  <c r="A16430" i="13"/>
  <c r="F16429" i="13"/>
  <c r="A16429" i="13"/>
  <c r="F16428" i="13"/>
  <c r="A16428" i="13"/>
  <c r="J16427" i="13"/>
  <c r="F16427" i="13"/>
  <c r="A16427" i="13"/>
  <c r="J16426" i="13"/>
  <c r="F16426" i="13"/>
  <c r="A16426" i="13"/>
  <c r="J16425" i="13"/>
  <c r="F16425" i="13"/>
  <c r="A16425" i="13"/>
  <c r="F16424" i="13"/>
  <c r="A16424" i="13"/>
  <c r="J16423" i="13"/>
  <c r="F16423" i="13"/>
  <c r="A16423" i="13"/>
  <c r="F16422" i="13"/>
  <c r="A16422" i="13"/>
  <c r="F16421" i="13"/>
  <c r="A16421" i="13"/>
  <c r="J16420" i="13"/>
  <c r="F16420" i="13"/>
  <c r="A16420" i="13"/>
  <c r="J16419" i="13"/>
  <c r="F16419" i="13"/>
  <c r="A16419" i="13"/>
  <c r="J16418" i="13"/>
  <c r="F16418" i="13"/>
  <c r="A16418" i="13"/>
  <c r="J16417" i="13"/>
  <c r="F16417" i="13"/>
  <c r="A16417" i="13"/>
  <c r="F16416" i="13"/>
  <c r="A16416" i="13"/>
  <c r="F16415" i="13"/>
  <c r="A16415" i="13"/>
  <c r="F16414" i="13"/>
  <c r="A16414" i="13"/>
  <c r="F16413" i="13"/>
  <c r="A16413" i="13"/>
  <c r="F16412" i="13"/>
  <c r="A16412" i="13"/>
  <c r="F16411" i="13"/>
  <c r="A16411" i="13"/>
  <c r="F16410" i="13"/>
  <c r="A16410" i="13"/>
  <c r="F16409" i="13"/>
  <c r="A16409" i="13"/>
  <c r="F16408" i="13"/>
  <c r="A16408" i="13"/>
  <c r="F16407" i="13"/>
  <c r="A16407" i="13"/>
  <c r="F16406" i="13"/>
  <c r="A16406" i="13"/>
  <c r="J16405" i="13"/>
  <c r="F16405" i="13"/>
  <c r="A16405" i="13"/>
  <c r="F16404" i="13"/>
  <c r="A16404" i="13"/>
  <c r="F16403" i="13"/>
  <c r="A16403" i="13"/>
  <c r="F16402" i="13"/>
  <c r="A16402" i="13"/>
  <c r="F16401" i="13"/>
  <c r="A16401" i="13"/>
  <c r="F16400" i="13"/>
  <c r="A16400" i="13"/>
  <c r="F16399" i="13"/>
  <c r="A16399" i="13"/>
  <c r="J16398" i="13"/>
  <c r="F16398" i="13"/>
  <c r="A16398" i="13"/>
  <c r="J16397" i="13"/>
  <c r="F16397" i="13"/>
  <c r="A16397" i="13"/>
  <c r="F16396" i="13"/>
  <c r="A16396" i="13"/>
  <c r="F16395" i="13"/>
  <c r="A16395" i="13"/>
  <c r="J16394" i="13"/>
  <c r="F16394" i="13"/>
  <c r="A16394" i="13"/>
  <c r="J16393" i="13"/>
  <c r="F16393" i="13"/>
  <c r="A16393" i="13"/>
  <c r="J16392" i="13"/>
  <c r="F16392" i="13"/>
  <c r="A16392" i="13"/>
  <c r="F16391" i="13"/>
  <c r="A16391" i="13"/>
  <c r="F16390" i="13"/>
  <c r="A16390" i="13"/>
  <c r="F16389" i="13"/>
  <c r="A16389" i="13"/>
  <c r="F16388" i="13"/>
  <c r="A16388" i="13"/>
  <c r="F16387" i="13"/>
  <c r="A16387" i="13"/>
  <c r="F16386" i="13"/>
  <c r="A16386" i="13"/>
  <c r="F16385" i="13"/>
  <c r="A16385" i="13"/>
  <c r="J16384" i="13"/>
  <c r="F16384" i="13"/>
  <c r="A16384" i="13"/>
  <c r="F16383" i="13"/>
  <c r="A16383" i="13"/>
  <c r="J16382" i="13"/>
  <c r="F16382" i="13"/>
  <c r="A16382" i="13"/>
  <c r="F16381" i="13"/>
  <c r="A16381" i="13"/>
  <c r="J16380" i="13"/>
  <c r="F16380" i="13"/>
  <c r="A16380" i="13"/>
  <c r="J16379" i="13"/>
  <c r="F16379" i="13"/>
  <c r="A16379" i="13"/>
  <c r="F16378" i="13"/>
  <c r="A16378" i="13"/>
  <c r="F16377" i="13"/>
  <c r="A16377" i="13"/>
  <c r="F16376" i="13"/>
  <c r="A16376" i="13"/>
  <c r="F16375" i="13"/>
  <c r="A16375" i="13"/>
  <c r="J16374" i="13"/>
  <c r="F16374" i="13"/>
  <c r="A16374" i="13"/>
  <c r="J16373" i="13"/>
  <c r="F16373" i="13"/>
  <c r="A16373" i="13"/>
  <c r="J16372" i="13"/>
  <c r="F16372" i="13"/>
  <c r="A16372" i="13"/>
  <c r="J16371" i="13"/>
  <c r="F16371" i="13"/>
  <c r="A16371" i="13"/>
  <c r="J16370" i="13"/>
  <c r="F16370" i="13"/>
  <c r="A16370" i="13"/>
  <c r="F16369" i="13"/>
  <c r="A16369" i="13"/>
  <c r="J16368" i="13"/>
  <c r="F16368" i="13"/>
  <c r="A16368" i="13"/>
  <c r="J16367" i="13"/>
  <c r="F16367" i="13"/>
  <c r="A16367" i="13"/>
  <c r="F16366" i="13"/>
  <c r="A16366" i="13"/>
  <c r="F16365" i="13"/>
  <c r="A16365" i="13"/>
  <c r="J16364" i="13"/>
  <c r="F16364" i="13"/>
  <c r="A16364" i="13"/>
  <c r="J16363" i="13"/>
  <c r="F16363" i="13"/>
  <c r="A16363" i="13"/>
  <c r="F16362" i="13"/>
  <c r="A16362" i="13"/>
  <c r="F16361" i="13"/>
  <c r="A16361" i="13"/>
  <c r="F16360" i="13"/>
  <c r="A16360" i="13"/>
  <c r="F16359" i="13"/>
  <c r="A16359" i="13"/>
  <c r="F16358" i="13"/>
  <c r="A16358" i="13"/>
  <c r="F16357" i="13"/>
  <c r="A16357" i="13"/>
  <c r="J16356" i="13"/>
  <c r="F16356" i="13"/>
  <c r="A16356" i="13"/>
  <c r="J16355" i="13"/>
  <c r="F16355" i="13"/>
  <c r="A16355" i="13"/>
  <c r="F16354" i="13"/>
  <c r="A16354" i="13"/>
  <c r="J16353" i="13"/>
  <c r="F16353" i="13"/>
  <c r="A16353" i="13"/>
  <c r="J16352" i="13"/>
  <c r="F16352" i="13"/>
  <c r="A16352" i="13"/>
  <c r="J16351" i="13"/>
  <c r="F16351" i="13"/>
  <c r="A16351" i="13"/>
  <c r="F16350" i="13"/>
  <c r="A16350" i="13"/>
  <c r="F16349" i="13"/>
  <c r="A16349" i="13"/>
  <c r="F16348" i="13"/>
  <c r="A16348" i="13"/>
  <c r="J16347" i="13"/>
  <c r="F16347" i="13"/>
  <c r="A16347" i="13"/>
  <c r="J16346" i="13"/>
  <c r="F16346" i="13"/>
  <c r="A16346" i="13"/>
  <c r="J16345" i="13"/>
  <c r="F16345" i="13"/>
  <c r="A16345" i="13"/>
  <c r="F16344" i="13"/>
  <c r="A16344" i="13"/>
  <c r="F16343" i="13"/>
  <c r="A16343" i="13"/>
  <c r="J16342" i="13"/>
  <c r="F16342" i="13"/>
  <c r="A16342" i="13"/>
  <c r="F16341" i="13"/>
  <c r="A16341" i="13"/>
  <c r="F16340" i="13"/>
  <c r="A16340" i="13"/>
  <c r="J16339" i="13"/>
  <c r="F16339" i="13"/>
  <c r="J16338" i="13"/>
  <c r="F16338" i="13"/>
  <c r="J16337" i="13"/>
  <c r="F16337" i="13"/>
  <c r="J16336" i="13"/>
  <c r="F16336" i="13"/>
  <c r="J16335" i="13"/>
  <c r="F16335" i="13"/>
  <c r="F16334" i="13"/>
  <c r="A16334" i="13"/>
  <c r="F16333" i="13"/>
  <c r="A16333" i="13"/>
  <c r="F16332" i="13"/>
  <c r="A16332" i="13"/>
  <c r="F16331" i="13"/>
  <c r="A16331" i="13"/>
  <c r="F16330" i="13"/>
  <c r="A16330" i="13"/>
  <c r="F16329" i="13"/>
  <c r="J16328" i="13"/>
  <c r="F16328" i="13"/>
  <c r="A16328" i="13"/>
  <c r="J16327" i="13"/>
  <c r="F16327" i="13"/>
  <c r="A16327" i="13"/>
  <c r="F16326" i="13"/>
  <c r="A16326" i="13"/>
  <c r="F16325" i="13"/>
  <c r="A16325" i="13"/>
  <c r="J16324" i="13"/>
  <c r="F16324" i="13"/>
  <c r="A16324" i="13"/>
  <c r="J16323" i="13"/>
  <c r="F16323" i="13"/>
  <c r="A16323" i="13"/>
  <c r="F16322" i="13"/>
  <c r="A16322" i="13"/>
  <c r="F16321" i="13"/>
  <c r="A16321" i="13"/>
  <c r="F16320" i="13"/>
  <c r="A16320" i="13"/>
  <c r="J16319" i="13"/>
  <c r="F16319" i="13"/>
  <c r="A16319" i="13"/>
  <c r="J16318" i="13"/>
  <c r="F16318" i="13"/>
  <c r="A16318" i="13"/>
  <c r="F16317" i="13"/>
  <c r="A16317" i="13"/>
  <c r="F16316" i="13"/>
  <c r="A16316" i="13"/>
  <c r="J16315" i="13"/>
  <c r="F16315" i="13"/>
  <c r="A16315" i="13"/>
  <c r="F16314" i="13"/>
  <c r="A16314" i="13"/>
  <c r="F16313" i="13"/>
  <c r="A16313" i="13"/>
  <c r="F16312" i="13"/>
  <c r="A16312" i="13"/>
  <c r="F16311" i="13"/>
  <c r="A16311" i="13"/>
  <c r="F16310" i="13"/>
  <c r="A16310" i="13"/>
  <c r="F16309" i="13"/>
  <c r="A16309" i="13"/>
  <c r="J16308" i="13"/>
  <c r="F16308" i="13"/>
  <c r="A16308" i="13"/>
  <c r="F16307" i="13"/>
  <c r="A16307" i="13"/>
  <c r="F16306" i="13"/>
  <c r="A16306" i="13"/>
  <c r="F16305" i="13"/>
  <c r="A16305" i="13"/>
  <c r="F16304" i="13"/>
  <c r="A16304" i="13"/>
  <c r="J16303" i="13"/>
  <c r="F16303" i="13"/>
  <c r="A16303" i="13"/>
  <c r="F16302" i="13"/>
  <c r="A16302" i="13"/>
  <c r="F16301" i="13"/>
  <c r="A16301" i="13"/>
  <c r="F16300" i="13"/>
  <c r="A16300" i="13"/>
  <c r="F16299" i="13"/>
  <c r="A16299" i="13"/>
  <c r="F16298" i="13"/>
  <c r="A16298" i="13"/>
  <c r="F16297" i="13"/>
  <c r="A16297" i="13"/>
  <c r="F16296" i="13"/>
  <c r="A16296" i="13"/>
  <c r="J16295" i="13"/>
  <c r="F16295" i="13"/>
  <c r="A16295" i="13"/>
  <c r="F16294" i="13"/>
  <c r="A16294" i="13"/>
  <c r="F16293" i="13"/>
  <c r="A16293" i="13"/>
  <c r="F16292" i="13"/>
  <c r="A16292" i="13"/>
  <c r="F16291" i="13"/>
  <c r="A16291" i="13"/>
  <c r="F16290" i="13"/>
  <c r="A16290" i="13"/>
  <c r="F16289" i="13"/>
  <c r="A16289" i="13"/>
  <c r="F16288" i="13"/>
  <c r="A16288" i="13"/>
  <c r="F16287" i="13"/>
  <c r="A16287" i="13"/>
  <c r="F16286" i="13"/>
  <c r="A16286" i="13"/>
  <c r="F16285" i="13"/>
  <c r="A16285" i="13"/>
  <c r="F16284" i="13"/>
  <c r="A16284" i="13"/>
  <c r="F16283" i="13"/>
  <c r="A16283" i="13"/>
  <c r="F16282" i="13"/>
  <c r="A16282" i="13"/>
  <c r="F16281" i="13"/>
  <c r="A16281" i="13"/>
  <c r="F16280" i="13"/>
  <c r="A16280" i="13"/>
  <c r="F16279" i="13"/>
  <c r="A16279" i="13"/>
  <c r="J16278" i="13"/>
  <c r="F16278" i="13"/>
  <c r="A16278" i="13"/>
  <c r="J16277" i="13"/>
  <c r="F16277" i="13"/>
  <c r="A16277" i="13"/>
  <c r="F16276" i="13"/>
  <c r="A16276" i="13"/>
  <c r="J16275" i="13"/>
  <c r="F16275" i="13"/>
  <c r="A16275" i="13"/>
  <c r="F16274" i="13"/>
  <c r="A16274" i="13"/>
  <c r="F16273" i="13"/>
  <c r="A16273" i="13"/>
  <c r="F16272" i="13"/>
  <c r="A16272" i="13"/>
  <c r="F16271" i="13"/>
  <c r="A16271" i="13"/>
  <c r="F16270" i="13"/>
  <c r="A16270" i="13"/>
  <c r="F16269" i="13"/>
  <c r="A16269" i="13"/>
  <c r="F16268" i="13"/>
  <c r="A16268" i="13"/>
  <c r="F16267" i="13"/>
  <c r="A16267" i="13"/>
  <c r="F16266" i="13"/>
  <c r="A16266" i="13"/>
  <c r="F16265" i="13"/>
  <c r="A16265" i="13"/>
  <c r="F16264" i="13"/>
  <c r="A16264" i="13"/>
  <c r="F16263" i="13"/>
  <c r="A16263" i="13"/>
  <c r="J16262" i="13"/>
  <c r="F16262" i="13"/>
  <c r="A16262" i="13"/>
  <c r="J16261" i="13"/>
  <c r="F16261" i="13"/>
  <c r="A16261" i="13"/>
  <c r="F16260" i="13"/>
  <c r="A16260" i="13"/>
  <c r="F16259" i="13"/>
  <c r="A16259" i="13"/>
  <c r="F16258" i="13"/>
  <c r="A16258" i="13"/>
  <c r="F16257" i="13"/>
  <c r="A16257" i="13"/>
  <c r="F16256" i="13"/>
  <c r="A16256" i="13"/>
  <c r="F16255" i="13"/>
  <c r="A16255" i="13"/>
  <c r="J16254" i="13"/>
  <c r="F16254" i="13"/>
  <c r="A16254" i="13"/>
  <c r="J16253" i="13"/>
  <c r="F16253" i="13"/>
  <c r="A16253" i="13"/>
  <c r="J16252" i="13"/>
  <c r="F16252" i="13"/>
  <c r="A16252" i="13"/>
  <c r="J16251" i="13"/>
  <c r="F16251" i="13"/>
  <c r="A16251" i="13"/>
  <c r="J16250" i="13"/>
  <c r="F16250" i="13"/>
  <c r="A16250" i="13"/>
  <c r="F16249" i="13"/>
  <c r="A16249" i="13"/>
  <c r="F16248" i="13"/>
  <c r="A16248" i="13"/>
  <c r="J16247" i="13"/>
  <c r="F16247" i="13"/>
  <c r="A16247" i="13"/>
  <c r="F16246" i="13"/>
  <c r="A16246" i="13"/>
  <c r="F16245" i="13"/>
  <c r="A16245" i="13"/>
  <c r="J16244" i="13"/>
  <c r="F16244" i="13"/>
  <c r="A16244" i="13"/>
  <c r="J16243" i="13"/>
  <c r="F16243" i="13"/>
  <c r="A16243" i="13"/>
  <c r="J16242" i="13"/>
  <c r="F16242" i="13"/>
  <c r="A16242" i="13"/>
  <c r="J16241" i="13"/>
  <c r="F16241" i="13"/>
  <c r="A16241" i="13"/>
  <c r="J16240" i="13"/>
  <c r="F16240" i="13"/>
  <c r="A16240" i="13"/>
  <c r="J16239" i="13"/>
  <c r="F16239" i="13"/>
  <c r="A16239" i="13"/>
  <c r="J16238" i="13"/>
  <c r="F16238" i="13"/>
  <c r="A16238" i="13"/>
  <c r="J16237" i="13"/>
  <c r="F16237" i="13"/>
  <c r="A16237" i="13"/>
  <c r="J16236" i="13"/>
  <c r="F16236" i="13"/>
  <c r="A16236" i="13"/>
  <c r="F16235" i="13"/>
  <c r="A16235" i="13"/>
  <c r="F16234" i="13"/>
  <c r="A16234" i="13"/>
  <c r="F16233" i="13"/>
  <c r="A16233" i="13"/>
  <c r="J16232" i="13"/>
  <c r="F16232" i="13"/>
  <c r="A16232" i="13"/>
  <c r="J16231" i="13"/>
  <c r="F16231" i="13"/>
  <c r="A16231" i="13"/>
  <c r="F16230" i="13"/>
  <c r="A16230" i="13"/>
  <c r="F16229" i="13"/>
  <c r="A16229" i="13"/>
  <c r="J16228" i="13"/>
  <c r="F16228" i="13"/>
  <c r="A16228" i="13"/>
  <c r="J16227" i="13"/>
  <c r="F16227" i="13"/>
  <c r="A16227" i="13"/>
  <c r="J16226" i="13"/>
  <c r="F16226" i="13"/>
  <c r="A16226" i="13"/>
  <c r="F16225" i="13"/>
  <c r="A16225" i="13"/>
  <c r="F16224" i="13"/>
  <c r="A16224" i="13"/>
  <c r="J16223" i="13"/>
  <c r="F16223" i="13"/>
  <c r="A16223" i="13"/>
  <c r="F16222" i="13"/>
  <c r="A16222" i="13"/>
  <c r="F16221" i="13"/>
  <c r="A16221" i="13"/>
  <c r="F16220" i="13"/>
  <c r="A16220" i="13"/>
  <c r="J16219" i="13"/>
  <c r="F16219" i="13"/>
  <c r="A16219" i="13"/>
  <c r="F16218" i="13"/>
  <c r="A16218" i="13"/>
  <c r="F16217" i="13"/>
  <c r="A16217" i="13"/>
  <c r="F16216" i="13"/>
  <c r="A16216" i="13"/>
  <c r="F16215" i="13"/>
  <c r="A16215" i="13"/>
  <c r="F16214" i="13"/>
  <c r="A16214" i="13"/>
  <c r="F16213" i="13"/>
  <c r="A16213" i="13"/>
  <c r="F16212" i="13"/>
  <c r="A16212" i="13"/>
  <c r="F16211" i="13"/>
  <c r="A16211" i="13"/>
  <c r="F16210" i="13"/>
  <c r="A16210" i="13"/>
  <c r="F16209" i="13"/>
  <c r="A16209" i="13"/>
  <c r="F16208" i="13"/>
  <c r="A16208" i="13"/>
  <c r="F16207" i="13"/>
  <c r="A16207" i="13"/>
  <c r="F16206" i="13"/>
  <c r="A16206" i="13"/>
  <c r="F16205" i="13"/>
  <c r="A16205" i="13"/>
  <c r="J16204" i="13"/>
  <c r="F16204" i="13"/>
  <c r="A16204" i="13"/>
  <c r="F16203" i="13"/>
  <c r="A16203" i="13"/>
  <c r="F16202" i="13"/>
  <c r="A16202" i="13"/>
  <c r="J16201" i="13"/>
  <c r="F16201" i="13"/>
  <c r="A16201" i="13"/>
  <c r="F16200" i="13"/>
  <c r="A16200" i="13"/>
  <c r="F16199" i="13"/>
  <c r="A16199" i="13"/>
  <c r="F16198" i="13"/>
  <c r="A16198" i="13"/>
  <c r="F16197" i="13"/>
  <c r="A16197" i="13"/>
  <c r="F16196" i="13"/>
  <c r="A16196" i="13"/>
  <c r="F16195" i="13"/>
  <c r="A16195" i="13"/>
  <c r="F16194" i="13"/>
  <c r="A16194" i="13"/>
  <c r="F16193" i="13"/>
  <c r="A16193" i="13"/>
  <c r="F16192" i="13"/>
  <c r="A16192" i="13"/>
  <c r="F16191" i="13"/>
  <c r="A16191" i="13"/>
  <c r="F16190" i="13"/>
  <c r="A16190" i="13"/>
  <c r="F16189" i="13"/>
  <c r="A16189" i="13"/>
  <c r="F16188" i="13"/>
  <c r="A16188" i="13"/>
  <c r="F16187" i="13"/>
  <c r="A16187" i="13"/>
  <c r="F16186" i="13"/>
  <c r="A16186" i="13"/>
  <c r="J16185" i="13"/>
  <c r="F16185" i="13"/>
  <c r="A16185" i="13"/>
  <c r="F16184" i="13"/>
  <c r="A16184" i="13"/>
  <c r="F16183" i="13"/>
  <c r="A16183" i="13"/>
  <c r="F16182" i="13"/>
  <c r="A16182" i="13"/>
  <c r="F16181" i="13"/>
  <c r="A16181" i="13"/>
  <c r="F16180" i="13"/>
  <c r="A16180" i="13"/>
  <c r="F16179" i="13"/>
  <c r="A16179" i="13"/>
  <c r="F16178" i="13"/>
  <c r="A16178" i="13"/>
  <c r="F16177" i="13"/>
  <c r="A16177" i="13"/>
  <c r="F16176" i="13"/>
  <c r="A16176" i="13"/>
  <c r="F16175" i="13"/>
  <c r="A16175" i="13"/>
  <c r="F16174" i="13"/>
  <c r="A16174" i="13"/>
  <c r="F16173" i="13"/>
  <c r="A16173" i="13"/>
  <c r="F16172" i="13"/>
  <c r="A16172" i="13"/>
  <c r="F16171" i="13"/>
  <c r="A16171" i="13"/>
  <c r="J16170" i="13"/>
  <c r="F16170" i="13"/>
  <c r="A16170" i="13"/>
  <c r="J16169" i="13"/>
  <c r="F16169" i="13"/>
  <c r="A16169" i="13"/>
  <c r="F16168" i="13"/>
  <c r="A16168" i="13"/>
  <c r="J16167" i="13"/>
  <c r="F16167" i="13"/>
  <c r="A16167" i="13"/>
  <c r="F16166" i="13"/>
  <c r="A16166" i="13"/>
  <c r="F16165" i="13"/>
  <c r="A16165" i="13"/>
  <c r="J16164" i="13"/>
  <c r="F16164" i="13"/>
  <c r="A16164" i="13"/>
  <c r="J16163" i="13"/>
  <c r="F16163" i="13"/>
  <c r="A16163" i="13"/>
  <c r="F16162" i="13"/>
  <c r="A16162" i="13"/>
  <c r="F16161" i="13"/>
  <c r="A16161" i="13"/>
  <c r="F16160" i="13"/>
  <c r="A16160" i="13"/>
  <c r="J16159" i="13"/>
  <c r="F16159" i="13"/>
  <c r="A16159" i="13"/>
  <c r="J16158" i="13"/>
  <c r="F16158" i="13"/>
  <c r="A16158" i="13"/>
  <c r="J16157" i="13"/>
  <c r="F16157" i="13"/>
  <c r="A16157" i="13"/>
  <c r="F16156" i="13"/>
  <c r="A16156" i="13"/>
  <c r="J16155" i="13"/>
  <c r="F16155" i="13"/>
  <c r="A16155" i="13"/>
  <c r="J16154" i="13"/>
  <c r="F16154" i="13"/>
  <c r="A16154" i="13"/>
  <c r="F16153" i="13"/>
  <c r="A16153" i="13"/>
  <c r="F16152" i="13"/>
  <c r="A16152" i="13"/>
  <c r="J16151" i="13"/>
  <c r="F16151" i="13"/>
  <c r="A16151" i="13"/>
  <c r="J16150" i="13"/>
  <c r="F16150" i="13"/>
  <c r="A16150" i="13"/>
  <c r="F16149" i="13"/>
  <c r="A16149" i="13"/>
  <c r="F16148" i="13"/>
  <c r="A16148" i="13"/>
  <c r="F16147" i="13"/>
  <c r="A16147" i="13"/>
  <c r="F16146" i="13"/>
  <c r="A16146" i="13"/>
  <c r="F16145" i="13"/>
  <c r="A16145" i="13"/>
  <c r="F16144" i="13"/>
  <c r="A16144" i="13"/>
  <c r="J16143" i="13"/>
  <c r="F16143" i="13"/>
  <c r="A16143" i="13"/>
  <c r="J16142" i="13"/>
  <c r="F16142" i="13"/>
  <c r="A16142" i="13"/>
  <c r="J16141" i="13"/>
  <c r="F16141" i="13"/>
  <c r="A16141" i="13"/>
  <c r="J16140" i="13"/>
  <c r="F16140" i="13"/>
  <c r="A16140" i="13"/>
  <c r="J16139" i="13"/>
  <c r="F16139" i="13"/>
  <c r="A16139" i="13"/>
  <c r="F16138" i="13"/>
  <c r="A16138" i="13"/>
  <c r="F16137" i="13"/>
  <c r="A16137" i="13"/>
  <c r="F16136" i="13"/>
  <c r="A16136" i="13"/>
  <c r="J16135" i="13"/>
  <c r="F16135" i="13"/>
  <c r="A16135" i="13"/>
  <c r="J16134" i="13"/>
  <c r="F16134" i="13"/>
  <c r="A16134" i="13"/>
  <c r="J16133" i="13"/>
  <c r="F16133" i="13"/>
  <c r="A16133" i="13"/>
  <c r="F16132" i="13"/>
  <c r="A16132" i="13"/>
  <c r="J16131" i="13"/>
  <c r="F16131" i="13"/>
  <c r="A16131" i="13"/>
  <c r="J16130" i="13"/>
  <c r="F16130" i="13"/>
  <c r="A16130" i="13"/>
  <c r="F16129" i="13"/>
  <c r="A16129" i="13"/>
  <c r="F16128" i="13"/>
  <c r="A16128" i="13"/>
  <c r="F16127" i="13"/>
  <c r="A16127" i="13"/>
  <c r="F16126" i="13"/>
  <c r="A16126" i="13"/>
  <c r="F16125" i="13"/>
  <c r="A16125" i="13"/>
  <c r="F16124" i="13"/>
  <c r="A16124" i="13"/>
  <c r="J16123" i="13"/>
  <c r="F16123" i="13"/>
  <c r="A16123" i="13"/>
  <c r="J16122" i="13"/>
  <c r="F16122" i="13"/>
  <c r="A16122" i="13"/>
  <c r="J16121" i="13"/>
  <c r="F16121" i="13"/>
  <c r="A16121" i="13"/>
  <c r="F16120" i="13"/>
  <c r="A16120" i="13"/>
  <c r="F16119" i="13"/>
  <c r="A16119" i="13"/>
  <c r="F16118" i="13"/>
  <c r="A16118" i="13"/>
  <c r="F16117" i="13"/>
  <c r="A16117" i="13"/>
  <c r="J16116" i="13"/>
  <c r="F16116" i="13"/>
  <c r="A16116" i="13"/>
  <c r="J16115" i="13"/>
  <c r="F16115" i="13"/>
  <c r="A16115" i="13"/>
  <c r="J16114" i="13"/>
  <c r="F16114" i="13"/>
  <c r="A16114" i="13"/>
  <c r="F16113" i="13"/>
  <c r="A16113" i="13"/>
  <c r="F16112" i="13"/>
  <c r="A16112" i="13"/>
  <c r="F16111" i="13"/>
  <c r="A16111" i="13"/>
  <c r="F16110" i="13"/>
  <c r="A16110" i="13"/>
  <c r="F16109" i="13"/>
  <c r="A16109" i="13"/>
  <c r="F16108" i="13"/>
  <c r="A16108" i="13"/>
  <c r="F16107" i="13"/>
  <c r="A16107" i="13"/>
  <c r="J16106" i="13"/>
  <c r="F16106" i="13"/>
  <c r="A16106" i="13"/>
  <c r="F16105" i="13"/>
  <c r="A16105" i="13"/>
  <c r="F16104" i="13"/>
  <c r="A16104" i="13"/>
  <c r="F16103" i="13"/>
  <c r="A16103" i="13"/>
  <c r="F16102" i="13"/>
  <c r="A16102" i="13"/>
  <c r="F16101" i="13"/>
  <c r="A16101" i="13"/>
  <c r="F16100" i="13"/>
  <c r="A16100" i="13"/>
  <c r="F16099" i="13"/>
  <c r="A16099" i="13"/>
  <c r="F16098" i="13"/>
  <c r="A16098" i="13"/>
  <c r="F16097" i="13"/>
  <c r="A16097" i="13"/>
  <c r="F16096" i="13"/>
  <c r="A16096" i="13"/>
  <c r="F16095" i="13"/>
  <c r="A16095" i="13"/>
  <c r="F16094" i="13"/>
  <c r="A16094" i="13"/>
  <c r="F16093" i="13"/>
  <c r="A16093" i="13"/>
  <c r="F16092" i="13"/>
  <c r="A16092" i="13"/>
  <c r="F16091" i="13"/>
  <c r="A16091" i="13"/>
  <c r="F16090" i="13"/>
  <c r="A16090" i="13"/>
  <c r="F16089" i="13"/>
  <c r="A16089" i="13"/>
  <c r="F16088" i="13"/>
  <c r="A16088" i="13"/>
  <c r="F16087" i="13"/>
  <c r="A16087" i="13"/>
  <c r="F16086" i="13"/>
  <c r="A16086" i="13"/>
  <c r="F16085" i="13"/>
  <c r="A16085" i="13"/>
  <c r="F16084" i="13"/>
  <c r="A16084" i="13"/>
  <c r="F16083" i="13"/>
  <c r="A16083" i="13"/>
  <c r="F16082" i="13"/>
  <c r="A16082" i="13"/>
  <c r="F16081" i="13"/>
  <c r="A16081" i="13"/>
  <c r="J16080" i="13"/>
  <c r="F16080" i="13"/>
  <c r="A16080" i="13"/>
  <c r="F16079" i="13"/>
  <c r="A16079" i="13"/>
  <c r="F16078" i="13"/>
  <c r="A16078" i="13"/>
  <c r="F16077" i="13"/>
  <c r="A16077" i="13"/>
  <c r="F16076" i="13"/>
  <c r="A16076" i="13"/>
  <c r="F16075" i="13"/>
  <c r="A16075" i="13"/>
  <c r="J16074" i="13"/>
  <c r="F16074" i="13"/>
  <c r="A16074" i="13"/>
  <c r="J16073" i="13"/>
  <c r="F16073" i="13"/>
  <c r="A16073" i="13"/>
  <c r="F16072" i="13"/>
  <c r="A16072" i="13"/>
  <c r="F16071" i="13"/>
  <c r="A16071" i="13"/>
  <c r="J16070" i="13"/>
  <c r="F16070" i="13"/>
  <c r="A16070" i="13"/>
  <c r="J16069" i="13"/>
  <c r="F16069" i="13"/>
  <c r="A16069" i="13"/>
  <c r="J16068" i="13"/>
  <c r="F16068" i="13"/>
  <c r="A16068" i="13"/>
  <c r="J16067" i="13"/>
  <c r="F16067" i="13"/>
  <c r="A16067" i="13"/>
  <c r="J16066" i="13"/>
  <c r="F16066" i="13"/>
  <c r="A16066" i="13"/>
  <c r="J16065" i="13"/>
  <c r="F16065" i="13"/>
  <c r="A16065" i="13"/>
  <c r="J16064" i="13"/>
  <c r="F16064" i="13"/>
  <c r="A16064" i="13"/>
  <c r="J16063" i="13"/>
  <c r="F16063" i="13"/>
  <c r="A16063" i="13"/>
  <c r="J16062" i="13"/>
  <c r="F16062" i="13"/>
  <c r="A16062" i="13"/>
  <c r="F16061" i="13"/>
  <c r="A16061" i="13"/>
  <c r="F16060" i="13"/>
  <c r="A16060" i="13"/>
  <c r="F16059" i="13"/>
  <c r="A16059" i="13"/>
  <c r="F16058" i="13"/>
  <c r="A16058" i="13"/>
  <c r="F16057" i="13"/>
  <c r="A16057" i="13"/>
  <c r="F16056" i="13"/>
  <c r="A16056" i="13"/>
  <c r="F16055" i="13"/>
  <c r="A16055" i="13"/>
  <c r="F16054" i="13"/>
  <c r="A16054" i="13"/>
  <c r="F16053" i="13"/>
  <c r="A16053" i="13"/>
  <c r="F16052" i="13"/>
  <c r="A16052" i="13"/>
  <c r="F16051" i="13"/>
  <c r="A16051" i="13"/>
  <c r="F16050" i="13"/>
  <c r="A16050" i="13"/>
  <c r="J16049" i="13"/>
  <c r="F16049" i="13"/>
  <c r="A16049" i="13"/>
  <c r="F16048" i="13"/>
  <c r="A16048" i="13"/>
  <c r="F16047" i="13"/>
  <c r="A16047" i="13"/>
  <c r="J16046" i="13"/>
  <c r="F16046" i="13"/>
  <c r="A16046" i="13"/>
  <c r="J16045" i="13"/>
  <c r="F16045" i="13"/>
  <c r="A16045" i="13"/>
  <c r="J16044" i="13"/>
  <c r="F16044" i="13"/>
  <c r="A16044" i="13"/>
  <c r="J16043" i="13"/>
  <c r="F16043" i="13"/>
  <c r="A16043" i="13"/>
  <c r="J16042" i="13"/>
  <c r="F16042" i="13"/>
  <c r="A16042" i="13"/>
  <c r="F16041" i="13"/>
  <c r="A16041" i="13"/>
  <c r="J16040" i="13"/>
  <c r="F16040" i="13"/>
  <c r="A16040" i="13"/>
  <c r="J16039" i="13"/>
  <c r="F16039" i="13"/>
  <c r="A16039" i="13"/>
  <c r="J16038" i="13"/>
  <c r="F16038" i="13"/>
  <c r="A16038" i="13"/>
  <c r="J16037" i="13"/>
  <c r="F16037" i="13"/>
  <c r="A16037" i="13"/>
  <c r="J16036" i="13"/>
  <c r="F16036" i="13"/>
  <c r="A16036" i="13"/>
  <c r="J16035" i="13"/>
  <c r="F16035" i="13"/>
  <c r="A16035" i="13"/>
  <c r="J16034" i="13"/>
  <c r="F16034" i="13"/>
  <c r="A16034" i="13"/>
  <c r="J16033" i="13"/>
  <c r="F16033" i="13"/>
  <c r="A16033" i="13"/>
  <c r="J16032" i="13"/>
  <c r="F16032" i="13"/>
  <c r="A16032" i="13"/>
  <c r="J16031" i="13"/>
  <c r="F16031" i="13"/>
  <c r="A16031" i="13"/>
  <c r="J16030" i="13"/>
  <c r="F16030" i="13"/>
  <c r="A16030" i="13"/>
  <c r="J16029" i="13"/>
  <c r="F16029" i="13"/>
  <c r="A16029" i="13"/>
  <c r="J16028" i="13"/>
  <c r="F16028" i="13"/>
  <c r="A16028" i="13"/>
  <c r="F16027" i="13"/>
  <c r="A16027" i="13"/>
  <c r="J16026" i="13"/>
  <c r="F16026" i="13"/>
  <c r="A16026" i="13"/>
  <c r="J16025" i="13"/>
  <c r="F16025" i="13"/>
  <c r="A16025" i="13"/>
  <c r="J16024" i="13"/>
  <c r="F16024" i="13"/>
  <c r="A16024" i="13"/>
  <c r="J16023" i="13"/>
  <c r="F16023" i="13"/>
  <c r="A16023" i="13"/>
  <c r="J16022" i="13"/>
  <c r="F16022" i="13"/>
  <c r="A16022" i="13"/>
  <c r="J16021" i="13"/>
  <c r="F16021" i="13"/>
  <c r="A16021" i="13"/>
  <c r="J16020" i="13"/>
  <c r="F16020" i="13"/>
  <c r="A16020" i="13"/>
  <c r="J16019" i="13"/>
  <c r="F16019" i="13"/>
  <c r="A16019" i="13"/>
  <c r="F16018" i="13"/>
  <c r="A16018" i="13"/>
  <c r="J16017" i="13"/>
  <c r="F16017" i="13"/>
  <c r="A16017" i="13"/>
  <c r="J16016" i="13"/>
  <c r="F16016" i="13"/>
  <c r="A16016" i="13"/>
  <c r="J16015" i="13"/>
  <c r="F16015" i="13"/>
  <c r="A16015" i="13"/>
  <c r="F16014" i="13"/>
  <c r="A16014" i="13"/>
  <c r="F16013" i="13"/>
  <c r="A16013" i="13"/>
  <c r="F16012" i="13"/>
  <c r="A16012" i="13"/>
  <c r="J16011" i="13"/>
  <c r="F16011" i="13"/>
  <c r="A16011" i="13"/>
  <c r="J16010" i="13"/>
  <c r="F16010" i="13"/>
  <c r="A16010" i="13"/>
  <c r="F16009" i="13"/>
  <c r="A16009" i="13"/>
  <c r="F16008" i="13"/>
  <c r="A16008" i="13"/>
  <c r="F16007" i="13"/>
  <c r="A16007" i="13"/>
  <c r="F16006" i="13"/>
  <c r="A16006" i="13"/>
  <c r="J16005" i="13"/>
  <c r="F16005" i="13"/>
  <c r="A16005" i="13"/>
  <c r="J16004" i="13"/>
  <c r="F16004" i="13"/>
  <c r="A16004" i="13"/>
  <c r="J16003" i="13"/>
  <c r="F16003" i="13"/>
  <c r="A16003" i="13"/>
  <c r="F16002" i="13"/>
  <c r="A16002" i="13"/>
  <c r="J16001" i="13"/>
  <c r="F16001" i="13"/>
  <c r="A16001" i="13"/>
  <c r="J16000" i="13"/>
  <c r="F16000" i="13"/>
  <c r="A16000" i="13"/>
  <c r="J15999" i="13"/>
  <c r="F15999" i="13"/>
  <c r="A15999" i="13"/>
  <c r="J15998" i="13"/>
  <c r="F15998" i="13"/>
  <c r="A15998" i="13"/>
  <c r="F15997" i="13"/>
  <c r="A15997" i="13"/>
  <c r="J15996" i="13"/>
  <c r="F15996" i="13"/>
  <c r="A15996" i="13"/>
  <c r="J15995" i="13"/>
  <c r="F15995" i="13"/>
  <c r="A15995" i="13"/>
  <c r="F15994" i="13"/>
  <c r="A15994" i="13"/>
  <c r="J15993" i="13"/>
  <c r="F15993" i="13"/>
  <c r="A15993" i="13"/>
  <c r="J15992" i="13"/>
  <c r="F15992" i="13"/>
  <c r="A15992" i="13"/>
  <c r="F15991" i="13"/>
  <c r="A15991" i="13"/>
  <c r="F15990" i="13"/>
  <c r="A15990" i="13"/>
  <c r="J15989" i="13"/>
  <c r="F15989" i="13"/>
  <c r="A15989" i="13"/>
  <c r="F15988" i="13"/>
  <c r="A15988" i="13"/>
  <c r="J15987" i="13"/>
  <c r="F15987" i="13"/>
  <c r="A15987" i="13"/>
  <c r="J15986" i="13"/>
  <c r="F15986" i="13"/>
  <c r="A15986" i="13"/>
  <c r="J15985" i="13"/>
  <c r="F15985" i="13"/>
  <c r="A15985" i="13"/>
  <c r="J15984" i="13"/>
  <c r="F15984" i="13"/>
  <c r="A15984" i="13"/>
  <c r="J15983" i="13"/>
  <c r="F15983" i="13"/>
  <c r="A15983" i="13"/>
  <c r="J15982" i="13"/>
  <c r="F15982" i="13"/>
  <c r="A15982" i="13"/>
  <c r="F15981" i="13"/>
  <c r="A15981" i="13"/>
  <c r="J15980" i="13"/>
  <c r="F15980" i="13"/>
  <c r="A15980" i="13"/>
  <c r="F15979" i="13"/>
  <c r="A15979" i="13"/>
  <c r="J15978" i="13"/>
  <c r="F15978" i="13"/>
  <c r="A15978" i="13"/>
  <c r="J15977" i="13"/>
  <c r="F15977" i="13"/>
  <c r="A15977" i="13"/>
  <c r="F15976" i="13"/>
  <c r="A15976" i="13"/>
  <c r="J15975" i="13"/>
  <c r="F15975" i="13"/>
  <c r="A15975" i="13"/>
  <c r="J15974" i="13"/>
  <c r="F15974" i="13"/>
  <c r="A15974" i="13"/>
  <c r="J15973" i="13"/>
  <c r="F15973" i="13"/>
  <c r="A15973" i="13"/>
  <c r="J15972" i="13"/>
  <c r="F15972" i="13"/>
  <c r="A15972" i="13"/>
  <c r="F15971" i="13"/>
  <c r="A15971" i="13"/>
  <c r="J15970" i="13"/>
  <c r="F15970" i="13"/>
  <c r="A15970" i="13"/>
  <c r="F15969" i="13"/>
  <c r="A15969" i="13"/>
  <c r="J15968" i="13"/>
  <c r="F15968" i="13"/>
  <c r="A15968" i="13"/>
  <c r="J15967" i="13"/>
  <c r="F15967" i="13"/>
  <c r="A15967" i="13"/>
  <c r="J15966" i="13"/>
  <c r="F15966" i="13"/>
  <c r="A15966" i="13"/>
  <c r="J15965" i="13"/>
  <c r="F15965" i="13"/>
  <c r="A15965" i="13"/>
  <c r="F15964" i="13"/>
  <c r="A15964" i="13"/>
  <c r="F15963" i="13"/>
  <c r="A15963" i="13"/>
  <c r="F15962" i="13"/>
  <c r="A15962" i="13"/>
  <c r="F15961" i="13"/>
  <c r="A15961" i="13"/>
  <c r="F15960" i="13"/>
  <c r="A15960" i="13"/>
  <c r="F15959" i="13"/>
  <c r="A15959" i="13"/>
  <c r="F15958" i="13"/>
  <c r="A15958" i="13"/>
  <c r="F15957" i="13"/>
  <c r="A15957" i="13"/>
  <c r="F15956" i="13"/>
  <c r="A15956" i="13"/>
  <c r="F15955" i="13"/>
  <c r="A15955" i="13"/>
  <c r="F15954" i="13"/>
  <c r="A15954" i="13"/>
  <c r="F15953" i="13"/>
  <c r="A15953" i="13"/>
  <c r="J15952" i="13"/>
  <c r="F15952" i="13"/>
  <c r="A15952" i="13"/>
  <c r="F15951" i="13"/>
  <c r="A15951" i="13"/>
  <c r="F15950" i="13"/>
  <c r="A15950" i="13"/>
  <c r="F15949" i="13"/>
  <c r="A15949" i="13"/>
  <c r="F15948" i="13"/>
  <c r="A15948" i="13"/>
  <c r="F15947" i="13"/>
  <c r="A15947" i="13"/>
  <c r="J15946" i="13"/>
  <c r="F15946" i="13"/>
  <c r="A15946" i="13"/>
  <c r="F15945" i="13"/>
  <c r="A15945" i="13"/>
  <c r="F15944" i="13"/>
  <c r="A15944" i="13"/>
  <c r="F15943" i="13"/>
  <c r="A15943" i="13"/>
  <c r="F15942" i="13"/>
  <c r="A15942" i="13"/>
  <c r="F15941" i="13"/>
  <c r="A15941" i="13"/>
  <c r="F15940" i="13"/>
  <c r="A15940" i="13"/>
  <c r="F15939" i="13"/>
  <c r="A15939" i="13"/>
  <c r="J15938" i="13"/>
  <c r="F15938" i="13"/>
  <c r="A15938" i="13"/>
  <c r="F15937" i="13"/>
  <c r="A15937" i="13"/>
  <c r="F15936" i="13"/>
  <c r="A15936" i="13"/>
  <c r="F15935" i="13"/>
  <c r="A15935" i="13"/>
  <c r="F15934" i="13"/>
  <c r="A15934" i="13"/>
  <c r="J15933" i="13"/>
  <c r="F15933" i="13"/>
  <c r="A15933" i="13"/>
  <c r="F15932" i="13"/>
  <c r="A15932" i="13"/>
  <c r="F15931" i="13"/>
  <c r="A15931" i="13"/>
  <c r="F15930" i="13"/>
  <c r="A15930" i="13"/>
  <c r="J15929" i="13"/>
  <c r="F15929" i="13"/>
  <c r="A15929" i="13"/>
  <c r="F15928" i="13"/>
  <c r="A15928" i="13"/>
  <c r="F15927" i="13"/>
  <c r="A15927" i="13"/>
  <c r="J15926" i="13"/>
  <c r="F15926" i="13"/>
  <c r="A15926" i="13"/>
  <c r="F15925" i="13"/>
  <c r="A15925" i="13"/>
  <c r="F15924" i="13"/>
  <c r="A15924" i="13"/>
  <c r="F15923" i="13"/>
  <c r="A15923" i="13"/>
  <c r="F15922" i="13"/>
  <c r="A15922" i="13"/>
  <c r="F15921" i="13"/>
  <c r="A15921" i="13"/>
  <c r="F15920" i="13"/>
  <c r="A15920" i="13"/>
  <c r="F15919" i="13"/>
  <c r="A15919" i="13"/>
  <c r="F15918" i="13"/>
  <c r="A15918" i="13"/>
  <c r="J15917" i="13"/>
  <c r="F15917" i="13"/>
  <c r="A15917" i="13"/>
  <c r="F15916" i="13"/>
  <c r="A15916" i="13"/>
  <c r="J15915" i="13"/>
  <c r="F15915" i="13"/>
  <c r="A15915" i="13"/>
  <c r="F15914" i="13"/>
  <c r="A15914" i="13"/>
  <c r="F15913" i="13"/>
  <c r="A15913" i="13"/>
  <c r="F15912" i="13"/>
  <c r="A15912" i="13"/>
  <c r="J15911" i="13"/>
  <c r="F15911" i="13"/>
  <c r="A15911" i="13"/>
  <c r="J15910" i="13"/>
  <c r="F15910" i="13"/>
  <c r="A15910" i="13"/>
  <c r="F15909" i="13"/>
  <c r="A15909" i="13"/>
  <c r="J15908" i="13"/>
  <c r="F15908" i="13"/>
  <c r="A15908" i="13"/>
  <c r="J15907" i="13"/>
  <c r="F15907" i="13"/>
  <c r="A15907" i="13"/>
  <c r="J15906" i="13"/>
  <c r="F15906" i="13"/>
  <c r="A15906" i="13"/>
  <c r="F15905" i="13"/>
  <c r="A15905" i="13"/>
  <c r="F15904" i="13"/>
  <c r="A15904" i="13"/>
  <c r="F15903" i="13"/>
  <c r="A15903" i="13"/>
  <c r="J15902" i="13"/>
  <c r="F15902" i="13"/>
  <c r="A15902" i="13"/>
  <c r="J15901" i="13"/>
  <c r="F15901" i="13"/>
  <c r="A15901" i="13"/>
  <c r="J15900" i="13"/>
  <c r="F15900" i="13"/>
  <c r="A15900" i="13"/>
  <c r="F15899" i="13"/>
  <c r="A15899" i="13"/>
  <c r="J15898" i="13"/>
  <c r="F15898" i="13"/>
  <c r="A15898" i="13"/>
  <c r="F15897" i="13"/>
  <c r="A15897" i="13"/>
  <c r="J15896" i="13"/>
  <c r="F15896" i="13"/>
  <c r="A15896" i="13"/>
  <c r="J15895" i="13"/>
  <c r="F15895" i="13"/>
  <c r="A15895" i="13"/>
  <c r="F15894" i="13"/>
  <c r="A15894" i="13"/>
  <c r="J15893" i="13"/>
  <c r="F15893" i="13"/>
  <c r="A15893" i="13"/>
  <c r="J15892" i="13"/>
  <c r="F15892" i="13"/>
  <c r="A15892" i="13"/>
  <c r="F15891" i="13"/>
  <c r="A15891" i="13"/>
  <c r="F15890" i="13"/>
  <c r="A15890" i="13"/>
  <c r="F15889" i="13"/>
  <c r="A15889" i="13"/>
  <c r="F15888" i="13"/>
  <c r="A15888" i="13"/>
  <c r="F15887" i="13"/>
  <c r="A15887" i="13"/>
  <c r="J15886" i="13"/>
  <c r="F15886" i="13"/>
  <c r="A15886" i="13"/>
  <c r="J15885" i="13"/>
  <c r="F15885" i="13"/>
  <c r="A15885" i="13"/>
  <c r="F15884" i="13"/>
  <c r="A15884" i="13"/>
  <c r="F15883" i="13"/>
  <c r="A15883" i="13"/>
  <c r="F15882" i="13"/>
  <c r="A15882" i="13"/>
  <c r="F15881" i="13"/>
  <c r="A15881" i="13"/>
  <c r="F15880" i="13"/>
  <c r="A15880" i="13"/>
  <c r="F15879" i="13"/>
  <c r="A15879" i="13"/>
  <c r="F15878" i="13"/>
  <c r="A15878" i="13"/>
  <c r="J15877" i="13"/>
  <c r="F15877" i="13"/>
  <c r="A15877" i="13"/>
  <c r="J15876" i="13"/>
  <c r="F15876" i="13"/>
  <c r="A15876" i="13"/>
  <c r="F15875" i="13"/>
  <c r="A15875" i="13"/>
  <c r="F15874" i="13"/>
  <c r="A15874" i="13"/>
  <c r="J15873" i="13"/>
  <c r="F15873" i="13"/>
  <c r="A15873" i="13"/>
  <c r="J15872" i="13"/>
  <c r="F15872" i="13"/>
  <c r="A15872" i="13"/>
  <c r="F15871" i="13"/>
  <c r="A15871" i="13"/>
  <c r="F15870" i="13"/>
  <c r="A15870" i="13"/>
  <c r="F15869" i="13"/>
  <c r="A15869" i="13"/>
  <c r="J15868" i="13"/>
  <c r="F15868" i="13"/>
  <c r="A15868" i="13"/>
  <c r="J15867" i="13"/>
  <c r="F15867" i="13"/>
  <c r="A15867" i="13"/>
  <c r="F15866" i="13"/>
  <c r="A15866" i="13"/>
  <c r="J15865" i="13"/>
  <c r="F15865" i="13"/>
  <c r="A15865" i="13"/>
  <c r="J15864" i="13"/>
  <c r="F15864" i="13"/>
  <c r="A15864" i="13"/>
  <c r="J15863" i="13"/>
  <c r="F15863" i="13"/>
  <c r="A15863" i="13"/>
  <c r="J15862" i="13"/>
  <c r="F15862" i="13"/>
  <c r="A15862" i="13"/>
  <c r="J15861" i="13"/>
  <c r="F15861" i="13"/>
  <c r="A15861" i="13"/>
  <c r="J15860" i="13"/>
  <c r="F15860" i="13"/>
  <c r="A15860" i="13"/>
  <c r="J15859" i="13"/>
  <c r="F15859" i="13"/>
  <c r="A15859" i="13"/>
  <c r="J15858" i="13"/>
  <c r="F15858" i="13"/>
  <c r="A15858" i="13"/>
  <c r="J15857" i="13"/>
  <c r="F15857" i="13"/>
  <c r="A15857" i="13"/>
  <c r="J15856" i="13"/>
  <c r="F15856" i="13"/>
  <c r="A15856" i="13"/>
  <c r="F15855" i="13"/>
  <c r="A15855" i="13"/>
  <c r="F15854" i="13"/>
  <c r="A15854" i="13"/>
  <c r="F15853" i="13"/>
  <c r="A15853" i="13"/>
  <c r="J15852" i="13"/>
  <c r="F15852" i="13"/>
  <c r="A15852" i="13"/>
  <c r="J15851" i="13"/>
  <c r="F15851" i="13"/>
  <c r="A15851" i="13"/>
  <c r="F15850" i="13"/>
  <c r="A15850" i="13"/>
  <c r="F15849" i="13"/>
  <c r="A15849" i="13"/>
  <c r="F15848" i="13"/>
  <c r="A15848" i="13"/>
  <c r="J15847" i="13"/>
  <c r="F15847" i="13"/>
  <c r="A15847" i="13"/>
  <c r="J15846" i="13"/>
  <c r="F15846" i="13"/>
  <c r="A15846" i="13"/>
  <c r="J15845" i="13"/>
  <c r="F15845" i="13"/>
  <c r="A15845" i="13"/>
  <c r="J15844" i="13"/>
  <c r="F15844" i="13"/>
  <c r="A15844" i="13"/>
  <c r="J15843" i="13"/>
  <c r="F15843" i="13"/>
  <c r="A15843" i="13"/>
  <c r="F15842" i="13"/>
  <c r="A15842" i="13"/>
  <c r="F15841" i="13"/>
  <c r="A15841" i="13"/>
  <c r="F15840" i="13"/>
  <c r="A15840" i="13"/>
  <c r="F15839" i="13"/>
  <c r="A15839" i="13"/>
  <c r="F15838" i="13"/>
  <c r="A15838" i="13"/>
  <c r="F15837" i="13"/>
  <c r="A15837" i="13"/>
  <c r="F15836" i="13"/>
  <c r="A15836" i="13"/>
  <c r="F15835" i="13"/>
  <c r="A15835" i="13"/>
  <c r="F15834" i="13"/>
  <c r="A15834" i="13"/>
  <c r="F15833" i="13"/>
  <c r="A15833" i="13"/>
  <c r="F15832" i="13"/>
  <c r="A15832" i="13"/>
  <c r="F15831" i="13"/>
  <c r="A15831" i="13"/>
  <c r="F15830" i="13"/>
  <c r="A15830" i="13"/>
  <c r="F15829" i="13"/>
  <c r="A15829" i="13"/>
  <c r="F15828" i="13"/>
  <c r="A15828" i="13"/>
  <c r="F15827" i="13"/>
  <c r="A15827" i="13"/>
  <c r="F15826" i="13"/>
  <c r="A15826" i="13"/>
  <c r="F15825" i="13"/>
  <c r="A15825" i="13"/>
  <c r="F15824" i="13"/>
  <c r="A15824" i="13"/>
  <c r="F15823" i="13"/>
  <c r="A15823" i="13"/>
  <c r="F15822" i="13"/>
  <c r="A15822" i="13"/>
  <c r="F15821" i="13"/>
  <c r="A15821" i="13"/>
  <c r="F15820" i="13"/>
  <c r="A15820" i="13"/>
  <c r="F15819" i="13"/>
  <c r="A15819" i="13"/>
  <c r="F15818" i="13"/>
  <c r="A15818" i="13"/>
  <c r="F15817" i="13"/>
  <c r="A15817" i="13"/>
  <c r="F15816" i="13"/>
  <c r="A15816" i="13"/>
  <c r="F15815" i="13"/>
  <c r="A15815" i="13"/>
  <c r="J15814" i="13"/>
  <c r="F15814" i="13"/>
  <c r="A15814" i="13"/>
  <c r="J15813" i="13"/>
  <c r="F15813" i="13"/>
  <c r="A15813" i="13"/>
  <c r="F15812" i="13"/>
  <c r="A15812" i="13"/>
  <c r="F15811" i="13"/>
  <c r="A15811" i="13"/>
  <c r="F15810" i="13"/>
  <c r="A15810" i="13"/>
  <c r="F15809" i="13"/>
  <c r="A15809" i="13"/>
  <c r="F15808" i="13"/>
  <c r="A15808" i="13"/>
  <c r="F15807" i="13"/>
  <c r="A15807" i="13"/>
  <c r="F15806" i="13"/>
  <c r="A15806" i="13"/>
  <c r="F15805" i="13"/>
  <c r="A15805" i="13"/>
  <c r="F15804" i="13"/>
  <c r="A15804" i="13"/>
  <c r="F15803" i="13"/>
  <c r="A15803" i="13"/>
  <c r="F15802" i="13"/>
  <c r="A15802" i="13"/>
  <c r="J15801" i="13"/>
  <c r="F15801" i="13"/>
  <c r="A15801" i="13"/>
  <c r="F15800" i="13"/>
  <c r="A15800" i="13"/>
  <c r="J15799" i="13"/>
  <c r="F15799" i="13"/>
  <c r="A15799" i="13"/>
  <c r="J15798" i="13"/>
  <c r="F15798" i="13"/>
  <c r="A15798" i="13"/>
  <c r="F15797" i="13"/>
  <c r="A15797" i="13"/>
  <c r="J15796" i="13"/>
  <c r="F15796" i="13"/>
  <c r="A15796" i="13"/>
  <c r="J15795" i="13"/>
  <c r="F15795" i="13"/>
  <c r="A15795" i="13"/>
  <c r="F15794" i="13"/>
  <c r="A15794" i="13"/>
  <c r="F15793" i="13"/>
  <c r="A15793" i="13"/>
  <c r="F15792" i="13"/>
  <c r="A15792" i="13"/>
  <c r="F15791" i="13"/>
  <c r="A15791" i="13"/>
  <c r="F15790" i="13"/>
  <c r="A15790" i="13"/>
  <c r="J15789" i="13"/>
  <c r="F15789" i="13"/>
  <c r="A15789" i="13"/>
  <c r="J15788" i="13"/>
  <c r="F15788" i="13"/>
  <c r="A15788" i="13"/>
  <c r="J15787" i="13"/>
  <c r="F15787" i="13"/>
  <c r="A15787" i="13"/>
  <c r="F15786" i="13"/>
  <c r="A15786" i="13"/>
  <c r="F15785" i="13"/>
  <c r="A15785" i="13"/>
  <c r="J15784" i="13"/>
  <c r="F15784" i="13"/>
  <c r="A15784" i="13"/>
  <c r="J15783" i="13"/>
  <c r="F15783" i="13"/>
  <c r="A15783" i="13"/>
  <c r="J15782" i="13"/>
  <c r="F15782" i="13"/>
  <c r="A15782" i="13"/>
  <c r="J15781" i="13"/>
  <c r="F15781" i="13"/>
  <c r="A15781" i="13"/>
  <c r="J15780" i="13"/>
  <c r="F15780" i="13"/>
  <c r="A15780" i="13"/>
  <c r="J15779" i="13"/>
  <c r="F15779" i="13"/>
  <c r="A15779" i="13"/>
  <c r="F15778" i="13"/>
  <c r="A15778" i="13"/>
  <c r="F15777" i="13"/>
  <c r="A15777" i="13"/>
  <c r="F15776" i="13"/>
  <c r="A15776" i="13"/>
  <c r="F15775" i="13"/>
  <c r="A15775" i="13"/>
  <c r="J15774" i="13"/>
  <c r="F15774" i="13"/>
  <c r="A15774" i="13"/>
  <c r="F15773" i="13"/>
  <c r="A15773" i="13"/>
  <c r="F15772" i="13"/>
  <c r="A15772" i="13"/>
  <c r="J15771" i="13"/>
  <c r="F15771" i="13"/>
  <c r="A15771" i="13"/>
  <c r="J15770" i="13"/>
  <c r="F15770" i="13"/>
  <c r="A15770" i="13"/>
  <c r="J15769" i="13"/>
  <c r="F15769" i="13"/>
  <c r="A15769" i="13"/>
  <c r="F15768" i="13"/>
  <c r="A15768" i="13"/>
  <c r="J15767" i="13"/>
  <c r="F15767" i="13"/>
  <c r="A15767" i="13"/>
  <c r="J15766" i="13"/>
  <c r="F15766" i="13"/>
  <c r="A15766" i="13"/>
  <c r="J15765" i="13"/>
  <c r="F15765" i="13"/>
  <c r="A15765" i="13"/>
  <c r="J15764" i="13"/>
  <c r="F15764" i="13"/>
  <c r="A15764" i="13"/>
  <c r="J15763" i="13"/>
  <c r="F15763" i="13"/>
  <c r="A15763" i="13"/>
  <c r="F15762" i="13"/>
  <c r="A15762" i="13"/>
  <c r="F15761" i="13"/>
  <c r="A15761" i="13"/>
  <c r="J15760" i="13"/>
  <c r="F15760" i="13"/>
  <c r="A15760" i="13"/>
  <c r="J15759" i="13"/>
  <c r="F15759" i="13"/>
  <c r="A15759" i="13"/>
  <c r="J15758" i="13"/>
  <c r="F15758" i="13"/>
  <c r="A15758" i="13"/>
  <c r="J15757" i="13"/>
  <c r="F15757" i="13"/>
  <c r="A15757" i="13"/>
  <c r="J15756" i="13"/>
  <c r="F15756" i="13"/>
  <c r="A15756" i="13"/>
  <c r="J15755" i="13"/>
  <c r="F15755" i="13"/>
  <c r="A15755" i="13"/>
  <c r="F15754" i="13"/>
  <c r="A15754" i="13"/>
  <c r="J15753" i="13"/>
  <c r="F15753" i="13"/>
  <c r="A15753" i="13"/>
  <c r="J15752" i="13"/>
  <c r="F15752" i="13"/>
  <c r="A15752" i="13"/>
  <c r="F15751" i="13"/>
  <c r="A15751" i="13"/>
  <c r="F15750" i="13"/>
  <c r="A15750" i="13"/>
  <c r="F15749" i="13"/>
  <c r="A15749" i="13"/>
  <c r="F15748" i="13"/>
  <c r="A15748" i="13"/>
  <c r="F15747" i="13"/>
  <c r="A15747" i="13"/>
  <c r="F15746" i="13"/>
  <c r="A15746" i="13"/>
  <c r="F15745" i="13"/>
  <c r="A15745" i="13"/>
  <c r="F15744" i="13"/>
  <c r="A15744" i="13"/>
  <c r="F15743" i="13"/>
  <c r="A15743" i="13"/>
  <c r="F15742" i="13"/>
  <c r="A15742" i="13"/>
  <c r="F15741" i="13"/>
  <c r="A15741" i="13"/>
  <c r="F15740" i="13"/>
  <c r="A15740" i="13"/>
  <c r="F15739" i="13"/>
  <c r="A15739" i="13"/>
  <c r="J15738" i="13"/>
  <c r="F15738" i="13"/>
  <c r="A15738" i="13"/>
  <c r="F15737" i="13"/>
  <c r="A15737" i="13"/>
  <c r="F15736" i="13"/>
  <c r="A15736" i="13"/>
  <c r="F15735" i="13"/>
  <c r="A15735" i="13"/>
  <c r="F15734" i="13"/>
  <c r="A15734" i="13"/>
  <c r="J15733" i="13"/>
  <c r="F15733" i="13"/>
  <c r="F15732" i="13"/>
  <c r="A15732" i="13"/>
  <c r="F15731" i="13"/>
  <c r="A15731" i="13"/>
  <c r="F15730" i="13"/>
  <c r="A15730" i="13"/>
  <c r="F15729" i="13"/>
  <c r="A15729" i="13"/>
  <c r="F15728" i="13"/>
  <c r="A15728" i="13"/>
  <c r="F15727" i="13"/>
  <c r="A15727" i="13"/>
  <c r="F15726" i="13"/>
  <c r="A15726" i="13"/>
  <c r="F15725" i="13"/>
  <c r="A15725" i="13"/>
  <c r="F15724" i="13"/>
  <c r="A15724" i="13"/>
  <c r="F15723" i="13"/>
  <c r="A15723" i="13"/>
  <c r="F15722" i="13"/>
  <c r="A15722" i="13"/>
  <c r="F15721" i="13"/>
  <c r="A15721" i="13"/>
  <c r="F15720" i="13"/>
  <c r="A15720" i="13"/>
  <c r="F15719" i="13"/>
  <c r="A15719" i="13"/>
  <c r="F15718" i="13"/>
  <c r="A15718" i="13"/>
  <c r="F15717" i="13"/>
  <c r="A15717" i="13"/>
  <c r="F15716" i="13"/>
  <c r="A15716" i="13"/>
  <c r="F15715" i="13"/>
  <c r="A15715" i="13"/>
  <c r="F15714" i="13"/>
  <c r="A15714" i="13"/>
  <c r="F15713" i="13"/>
  <c r="A15713" i="13"/>
  <c r="F15712" i="13"/>
  <c r="A15712" i="13"/>
  <c r="F15711" i="13"/>
  <c r="A15711" i="13"/>
  <c r="F15710" i="13"/>
  <c r="A15710" i="13"/>
  <c r="F15709" i="13"/>
  <c r="A15709" i="13"/>
  <c r="F15708" i="13"/>
  <c r="A15708" i="13"/>
  <c r="F15707" i="13"/>
  <c r="A15707" i="13"/>
  <c r="F15706" i="13"/>
  <c r="A15706" i="13"/>
  <c r="F15705" i="13"/>
  <c r="A15705" i="13"/>
  <c r="F15704" i="13"/>
  <c r="A15704" i="13"/>
  <c r="F15703" i="13"/>
  <c r="A15703" i="13"/>
  <c r="F15702" i="13"/>
  <c r="A15702" i="13"/>
  <c r="F15701" i="13"/>
  <c r="A15701" i="13"/>
  <c r="F15700" i="13"/>
  <c r="A15700" i="13"/>
  <c r="F15699" i="13"/>
  <c r="A15699" i="13"/>
  <c r="F15698" i="13"/>
  <c r="A15698" i="13"/>
  <c r="F15697" i="13"/>
  <c r="A15697" i="13"/>
  <c r="F15696" i="13"/>
  <c r="A15696" i="13"/>
  <c r="F15695" i="13"/>
  <c r="A15695" i="13"/>
  <c r="F15694" i="13"/>
  <c r="A15694" i="13"/>
  <c r="F15693" i="13"/>
  <c r="A15693" i="13"/>
  <c r="F15692" i="13"/>
  <c r="A15692" i="13"/>
  <c r="F15691" i="13"/>
  <c r="A15691" i="13"/>
  <c r="F15690" i="13"/>
  <c r="A15690" i="13"/>
  <c r="F15689" i="13"/>
  <c r="A15689" i="13"/>
  <c r="F15688" i="13"/>
  <c r="A15688" i="13"/>
  <c r="F15687" i="13"/>
  <c r="A15687" i="13"/>
  <c r="F15686" i="13"/>
  <c r="A15686" i="13"/>
  <c r="F15685" i="13"/>
  <c r="A15685" i="13"/>
  <c r="F15684" i="13"/>
  <c r="A15684" i="13"/>
  <c r="F15683" i="13"/>
  <c r="A15683" i="13"/>
  <c r="F15682" i="13"/>
  <c r="A15682" i="13"/>
  <c r="F15681" i="13"/>
  <c r="A15681" i="13"/>
  <c r="F15680" i="13"/>
  <c r="A15680" i="13"/>
  <c r="F15679" i="13"/>
  <c r="A15679" i="13"/>
  <c r="F15678" i="13"/>
  <c r="A15678" i="13"/>
  <c r="F15677" i="13"/>
  <c r="A15677" i="13"/>
  <c r="F15676" i="13"/>
  <c r="A15676" i="13"/>
  <c r="F15675" i="13"/>
  <c r="A15675" i="13"/>
  <c r="F15674" i="13"/>
  <c r="A15674" i="13"/>
  <c r="F15673" i="13"/>
  <c r="A15673" i="13"/>
  <c r="F15672" i="13"/>
  <c r="A15672" i="13"/>
  <c r="F15671" i="13"/>
  <c r="A15671" i="13"/>
  <c r="J15670" i="13"/>
  <c r="F15670" i="13"/>
  <c r="A15670" i="13"/>
  <c r="J15669" i="13"/>
  <c r="F15669" i="13"/>
  <c r="A15669" i="13"/>
  <c r="F15668" i="13"/>
  <c r="A15668" i="13"/>
  <c r="F15667" i="13"/>
  <c r="A15667" i="13"/>
  <c r="F15666" i="13"/>
  <c r="A15666" i="13"/>
  <c r="J15665" i="13"/>
  <c r="F15665" i="13"/>
  <c r="A15665" i="13"/>
  <c r="J15664" i="13"/>
  <c r="F15664" i="13"/>
  <c r="A15664" i="13"/>
  <c r="F15663" i="13"/>
  <c r="A15663" i="13"/>
  <c r="F15662" i="13"/>
  <c r="A15662" i="13"/>
  <c r="F15661" i="13"/>
  <c r="A15661" i="13"/>
  <c r="F15660" i="13"/>
  <c r="A15660" i="13"/>
  <c r="J15659" i="13"/>
  <c r="F15659" i="13"/>
  <c r="A15659" i="13"/>
  <c r="J15658" i="13"/>
  <c r="F15658" i="13"/>
  <c r="A15658" i="13"/>
  <c r="J15657" i="13"/>
  <c r="F15657" i="13"/>
  <c r="A15657" i="13"/>
  <c r="F15656" i="13"/>
  <c r="A15656" i="13"/>
  <c r="J15655" i="13"/>
  <c r="F15655" i="13"/>
  <c r="A15655" i="13"/>
  <c r="J15654" i="13"/>
  <c r="F15654" i="13"/>
  <c r="A15654" i="13"/>
  <c r="J15653" i="13"/>
  <c r="F15653" i="13"/>
  <c r="A15653" i="13"/>
  <c r="J15652" i="13"/>
  <c r="F15652" i="13"/>
  <c r="A15652" i="13"/>
  <c r="J15651" i="13"/>
  <c r="F15651" i="13"/>
  <c r="A15651" i="13"/>
  <c r="J15650" i="13"/>
  <c r="F15650" i="13"/>
  <c r="A15650" i="13"/>
  <c r="F15649" i="13"/>
  <c r="A15649" i="13"/>
  <c r="F15648" i="13"/>
  <c r="A15648" i="13"/>
  <c r="F15647" i="13"/>
  <c r="A15647" i="13"/>
  <c r="F15646" i="13"/>
  <c r="A15646" i="13"/>
  <c r="F15645" i="13"/>
  <c r="A15645" i="13"/>
  <c r="F15644" i="13"/>
  <c r="A15644" i="13"/>
  <c r="F15643" i="13"/>
  <c r="A15643" i="13"/>
  <c r="F15642" i="13"/>
  <c r="A15642" i="13"/>
  <c r="F15641" i="13"/>
  <c r="A15641" i="13"/>
  <c r="J15640" i="13"/>
  <c r="F15640" i="13"/>
  <c r="A15640" i="13"/>
  <c r="J15639" i="13"/>
  <c r="F15639" i="13"/>
  <c r="A15639" i="13"/>
  <c r="J15638" i="13"/>
  <c r="F15638" i="13"/>
  <c r="A15638" i="13"/>
  <c r="F15637" i="13"/>
  <c r="A15637" i="13"/>
  <c r="F15636" i="13"/>
  <c r="A15636" i="13"/>
  <c r="F15635" i="13"/>
  <c r="A15635" i="13"/>
  <c r="J15634" i="13"/>
  <c r="F15634" i="13"/>
  <c r="A15634" i="13"/>
  <c r="J15633" i="13"/>
  <c r="F15633" i="13"/>
  <c r="A15633" i="13"/>
  <c r="F15632" i="13"/>
  <c r="A15632" i="13"/>
  <c r="F15631" i="13"/>
  <c r="A15631" i="13"/>
  <c r="F15630" i="13"/>
  <c r="A15630" i="13"/>
  <c r="F15629" i="13"/>
  <c r="A15629" i="13"/>
  <c r="F15628" i="13"/>
  <c r="A15628" i="13"/>
  <c r="F15627" i="13"/>
  <c r="A15627" i="13"/>
  <c r="F15626" i="13"/>
  <c r="A15626" i="13"/>
  <c r="F15625" i="13"/>
  <c r="A15625" i="13"/>
  <c r="J15624" i="13"/>
  <c r="F15624" i="13"/>
  <c r="A15624" i="13"/>
  <c r="J15623" i="13"/>
  <c r="F15623" i="13"/>
  <c r="A15623" i="13"/>
  <c r="J15622" i="13"/>
  <c r="F15622" i="13"/>
  <c r="A15622" i="13"/>
  <c r="F15621" i="13"/>
  <c r="A15621" i="13"/>
  <c r="J15620" i="13"/>
  <c r="F15620" i="13"/>
  <c r="A15620" i="13"/>
  <c r="J15619" i="13"/>
  <c r="F15619" i="13"/>
  <c r="A15619" i="13"/>
  <c r="J15618" i="13"/>
  <c r="F15618" i="13"/>
  <c r="A15618" i="13"/>
  <c r="F15617" i="13"/>
  <c r="A15617" i="13"/>
  <c r="F15616" i="13"/>
  <c r="A15616" i="13"/>
  <c r="F15615" i="13"/>
  <c r="A15615" i="13"/>
  <c r="F15614" i="13"/>
  <c r="A15614" i="13"/>
  <c r="F15613" i="13"/>
  <c r="A15613" i="13"/>
  <c r="F15612" i="13"/>
  <c r="A15612" i="13"/>
  <c r="F15611" i="13"/>
  <c r="A15611" i="13"/>
  <c r="F15610" i="13"/>
  <c r="A15610" i="13"/>
  <c r="F15609" i="13"/>
  <c r="A15609" i="13"/>
  <c r="F15608" i="13"/>
  <c r="A15608" i="13"/>
  <c r="J15607" i="13"/>
  <c r="F15607" i="13"/>
  <c r="A15607" i="13"/>
  <c r="F15606" i="13"/>
  <c r="A15606" i="13"/>
  <c r="J15605" i="13"/>
  <c r="F15605" i="13"/>
  <c r="A15605" i="13"/>
  <c r="J15604" i="13"/>
  <c r="F15604" i="13"/>
  <c r="A15604" i="13"/>
  <c r="J15603" i="13"/>
  <c r="F15603" i="13"/>
  <c r="A15603" i="13"/>
  <c r="F15602" i="13"/>
  <c r="A15602" i="13"/>
  <c r="F15601" i="13"/>
  <c r="A15601" i="13"/>
  <c r="J15600" i="13"/>
  <c r="F15600" i="13"/>
  <c r="A15600" i="13"/>
  <c r="J15599" i="13"/>
  <c r="F15599" i="13"/>
  <c r="A15599" i="13"/>
  <c r="F15598" i="13"/>
  <c r="A15598" i="13"/>
  <c r="F15597" i="13"/>
  <c r="A15597" i="13"/>
  <c r="F15596" i="13"/>
  <c r="A15596" i="13"/>
  <c r="F15595" i="13"/>
  <c r="A15595" i="13"/>
  <c r="F15594" i="13"/>
  <c r="A15594" i="13"/>
  <c r="F15593" i="13"/>
  <c r="A15593" i="13"/>
  <c r="J15592" i="13"/>
  <c r="F15592" i="13"/>
  <c r="A15592" i="13"/>
  <c r="J15591" i="13"/>
  <c r="F15591" i="13"/>
  <c r="A15591" i="13"/>
  <c r="F15590" i="13"/>
  <c r="A15590" i="13"/>
  <c r="F15589" i="13"/>
  <c r="A15589" i="13"/>
  <c r="F15588" i="13"/>
  <c r="A15588" i="13"/>
  <c r="F15587" i="13"/>
  <c r="A15587" i="13"/>
  <c r="F15586" i="13"/>
  <c r="A15586" i="13"/>
  <c r="F15585" i="13"/>
  <c r="A15585" i="13"/>
  <c r="F15584" i="13"/>
  <c r="A15584" i="13"/>
  <c r="F15583" i="13"/>
  <c r="A15583" i="13"/>
  <c r="F15582" i="13"/>
  <c r="A15582" i="13"/>
  <c r="F15581" i="13"/>
  <c r="A15581" i="13"/>
  <c r="F15580" i="13"/>
  <c r="A15580" i="13"/>
  <c r="J15579" i="13"/>
  <c r="F15579" i="13"/>
  <c r="A15579" i="13"/>
  <c r="J15578" i="13"/>
  <c r="F15578" i="13"/>
  <c r="A15578" i="13"/>
  <c r="J15577" i="13"/>
  <c r="F15577" i="13"/>
  <c r="A15577" i="13"/>
  <c r="J15576" i="13"/>
  <c r="F15576" i="13"/>
  <c r="A15576" i="13"/>
  <c r="J15575" i="13"/>
  <c r="F15575" i="13"/>
  <c r="A15575" i="13"/>
  <c r="J15574" i="13"/>
  <c r="F15574" i="13"/>
  <c r="A15574" i="13"/>
  <c r="J15573" i="13"/>
  <c r="F15573" i="13"/>
  <c r="A15573" i="13"/>
  <c r="J15572" i="13"/>
  <c r="F15572" i="13"/>
  <c r="A15572" i="13"/>
  <c r="J15571" i="13"/>
  <c r="F15571" i="13"/>
  <c r="A15571" i="13"/>
  <c r="J15570" i="13"/>
  <c r="F15570" i="13"/>
  <c r="A15570" i="13"/>
  <c r="F15569" i="13"/>
  <c r="A15569" i="13"/>
  <c r="J15568" i="13"/>
  <c r="F15568" i="13"/>
  <c r="A15568" i="13"/>
  <c r="J15567" i="13"/>
  <c r="F15567" i="13"/>
  <c r="A15567" i="13"/>
  <c r="J15566" i="13"/>
  <c r="F15566" i="13"/>
  <c r="A15566" i="13"/>
  <c r="J15565" i="13"/>
  <c r="F15565" i="13"/>
  <c r="A15565" i="13"/>
  <c r="J15564" i="13"/>
  <c r="F15564" i="13"/>
  <c r="A15564" i="13"/>
  <c r="J15563" i="13"/>
  <c r="F15563" i="13"/>
  <c r="A15563" i="13"/>
  <c r="J15562" i="13"/>
  <c r="F15562" i="13"/>
  <c r="A15562" i="13"/>
  <c r="J15561" i="13"/>
  <c r="F15561" i="13"/>
  <c r="A15561" i="13"/>
  <c r="F15560" i="13"/>
  <c r="A15560" i="13"/>
  <c r="J15559" i="13"/>
  <c r="F15559" i="13"/>
  <c r="A15559" i="13"/>
  <c r="J15558" i="13"/>
  <c r="F15558" i="13"/>
  <c r="A15558" i="13"/>
  <c r="J15557" i="13"/>
  <c r="F15557" i="13"/>
  <c r="A15557" i="13"/>
  <c r="F15556" i="13"/>
  <c r="A15556" i="13"/>
  <c r="F15555" i="13"/>
  <c r="A15555" i="13"/>
  <c r="F15554" i="13"/>
  <c r="A15554" i="13"/>
  <c r="J15553" i="13"/>
  <c r="F15553" i="13"/>
  <c r="A15553" i="13"/>
  <c r="J15552" i="13"/>
  <c r="F15552" i="13"/>
  <c r="A15552" i="13"/>
  <c r="J15551" i="13"/>
  <c r="F15551" i="13"/>
  <c r="A15551" i="13"/>
  <c r="J15550" i="13"/>
  <c r="F15550" i="13"/>
  <c r="A15550" i="13"/>
  <c r="J15549" i="13"/>
  <c r="F15549" i="13"/>
  <c r="A15549" i="13"/>
  <c r="J15548" i="13"/>
  <c r="F15548" i="13"/>
  <c r="A15548" i="13"/>
  <c r="J15547" i="13"/>
  <c r="F15547" i="13"/>
  <c r="A15547" i="13"/>
  <c r="J15546" i="13"/>
  <c r="F15546" i="13"/>
  <c r="A15546" i="13"/>
  <c r="J15545" i="13"/>
  <c r="F15545" i="13"/>
  <c r="A15545" i="13"/>
  <c r="J15544" i="13"/>
  <c r="F15544" i="13"/>
  <c r="A15544" i="13"/>
  <c r="F15543" i="13"/>
  <c r="A15543" i="13"/>
  <c r="F15542" i="13"/>
  <c r="A15542" i="13"/>
  <c r="J15541" i="13"/>
  <c r="F15541" i="13"/>
  <c r="A15541" i="13"/>
  <c r="J15540" i="13"/>
  <c r="F15540" i="13"/>
  <c r="A15540" i="13"/>
  <c r="J15539" i="13"/>
  <c r="F15539" i="13"/>
  <c r="A15539" i="13"/>
  <c r="F15538" i="13"/>
  <c r="A15538" i="13"/>
  <c r="J15537" i="13"/>
  <c r="F15537" i="13"/>
  <c r="A15537" i="13"/>
  <c r="J15536" i="13"/>
  <c r="F15536" i="13"/>
  <c r="A15536" i="13"/>
  <c r="J15535" i="13"/>
  <c r="F15535" i="13"/>
  <c r="A15535" i="13"/>
  <c r="F15534" i="13"/>
  <c r="A15534" i="13"/>
  <c r="J15533" i="13"/>
  <c r="F15533" i="13"/>
  <c r="A15533" i="13"/>
  <c r="J15532" i="13"/>
  <c r="F15532" i="13"/>
  <c r="A15532" i="13"/>
  <c r="F15531" i="13"/>
  <c r="A15531" i="13"/>
  <c r="F15530" i="13"/>
  <c r="A15530" i="13"/>
  <c r="F15529" i="13"/>
  <c r="A15529" i="13"/>
  <c r="J15528" i="13"/>
  <c r="F15528" i="13"/>
  <c r="A15528" i="13"/>
  <c r="J15527" i="13"/>
  <c r="F15527" i="13"/>
  <c r="A15527" i="13"/>
  <c r="F15526" i="13"/>
  <c r="A15526" i="13"/>
  <c r="J15525" i="13"/>
  <c r="F15525" i="13"/>
  <c r="A15525" i="13"/>
  <c r="J15524" i="13"/>
  <c r="F15524" i="13"/>
  <c r="A15524" i="13"/>
  <c r="J15523" i="13"/>
  <c r="F15523" i="13"/>
  <c r="A15523" i="13"/>
  <c r="F15522" i="13"/>
  <c r="A15522" i="13"/>
  <c r="F15521" i="13"/>
  <c r="A15521" i="13"/>
  <c r="F15520" i="13"/>
  <c r="A15520" i="13"/>
  <c r="J15519" i="13"/>
  <c r="F15519" i="13"/>
  <c r="A15519" i="13"/>
  <c r="F15518" i="13"/>
  <c r="A15518" i="13"/>
  <c r="J15517" i="13"/>
  <c r="F15517" i="13"/>
  <c r="A15517" i="13"/>
  <c r="J15516" i="13"/>
  <c r="F15516" i="13"/>
  <c r="A15516" i="13"/>
  <c r="J15515" i="13"/>
  <c r="F15515" i="13"/>
  <c r="A15515" i="13"/>
  <c r="F15514" i="13"/>
  <c r="A15514" i="13"/>
  <c r="J15513" i="13"/>
  <c r="F15513" i="13"/>
  <c r="A15513" i="13"/>
  <c r="J15512" i="13"/>
  <c r="F15512" i="13"/>
  <c r="A15512" i="13"/>
  <c r="F15511" i="13"/>
  <c r="A15511" i="13"/>
  <c r="J15510" i="13"/>
  <c r="F15510" i="13"/>
  <c r="A15510" i="13"/>
  <c r="J15509" i="13"/>
  <c r="F15509" i="13"/>
  <c r="A15509" i="13"/>
  <c r="J15508" i="13"/>
  <c r="F15508" i="13"/>
  <c r="A15508" i="13"/>
  <c r="F15507" i="13"/>
  <c r="A15507" i="13"/>
  <c r="J15506" i="13"/>
  <c r="F15506" i="13"/>
  <c r="A15506" i="13"/>
  <c r="J15505" i="13"/>
  <c r="F15505" i="13"/>
  <c r="A15505" i="13"/>
  <c r="J15504" i="13"/>
  <c r="F15504" i="13"/>
  <c r="A15504" i="13"/>
  <c r="F15503" i="13"/>
  <c r="A15503" i="13"/>
  <c r="J15502" i="13"/>
  <c r="F15502" i="13"/>
  <c r="A15502" i="13"/>
  <c r="J15501" i="13"/>
  <c r="F15501" i="13"/>
  <c r="A15501" i="13"/>
  <c r="J15500" i="13"/>
  <c r="F15500" i="13"/>
  <c r="A15500" i="13"/>
  <c r="F15499" i="13"/>
  <c r="A15499" i="13"/>
  <c r="F15498" i="13"/>
  <c r="A15498" i="13"/>
  <c r="F15497" i="13"/>
  <c r="A15497" i="13"/>
  <c r="F15496" i="13"/>
  <c r="A15496" i="13"/>
  <c r="J15495" i="13"/>
  <c r="F15495" i="13"/>
  <c r="A15495" i="13"/>
  <c r="F15494" i="13"/>
  <c r="A15494" i="13"/>
  <c r="F15493" i="13"/>
  <c r="A15493" i="13"/>
  <c r="F15492" i="13"/>
  <c r="A15492" i="13"/>
  <c r="F15491" i="13"/>
  <c r="A15491" i="13"/>
  <c r="J15490" i="13"/>
  <c r="F15490" i="13"/>
  <c r="A15490" i="13"/>
  <c r="F15489" i="13"/>
  <c r="A15489" i="13"/>
  <c r="F15488" i="13"/>
  <c r="A15488" i="13"/>
  <c r="J15487" i="13"/>
  <c r="F15487" i="13"/>
  <c r="A15487" i="13"/>
  <c r="F15486" i="13"/>
  <c r="A15486" i="13"/>
  <c r="F15485" i="13"/>
  <c r="A15485" i="13"/>
  <c r="F15484" i="13"/>
  <c r="A15484" i="13"/>
  <c r="J15483" i="13"/>
  <c r="F15483" i="13"/>
  <c r="A15483" i="13"/>
  <c r="J15482" i="13"/>
  <c r="F15482" i="13"/>
  <c r="A15482" i="13"/>
  <c r="F15481" i="13"/>
  <c r="A15481" i="13"/>
  <c r="F15480" i="13"/>
  <c r="A15480" i="13"/>
  <c r="J15479" i="13"/>
  <c r="F15479" i="13"/>
  <c r="A15479" i="13"/>
  <c r="J15478" i="13"/>
  <c r="F15478" i="13"/>
  <c r="A15478" i="13"/>
  <c r="F15477" i="13"/>
  <c r="A15477" i="13"/>
  <c r="F15476" i="13"/>
  <c r="A15476" i="13"/>
  <c r="J15475" i="13"/>
  <c r="F15475" i="13"/>
  <c r="A15475" i="13"/>
  <c r="J15474" i="13"/>
  <c r="F15474" i="13"/>
  <c r="A15474" i="13"/>
  <c r="F15473" i="13"/>
  <c r="A15473" i="13"/>
  <c r="F15472" i="13"/>
  <c r="A15472" i="13"/>
  <c r="F15471" i="13"/>
  <c r="A15471" i="13"/>
  <c r="F15470" i="13"/>
  <c r="A15470" i="13"/>
  <c r="J15469" i="13"/>
  <c r="F15469" i="13"/>
  <c r="A15469" i="13"/>
  <c r="F15468" i="13"/>
  <c r="A15468" i="13"/>
  <c r="F15467" i="13"/>
  <c r="A15467" i="13"/>
  <c r="F15466" i="13"/>
  <c r="A15466" i="13"/>
  <c r="F15465" i="13"/>
  <c r="A15465" i="13"/>
  <c r="F15464" i="13"/>
  <c r="A15464" i="13"/>
  <c r="F15463" i="13"/>
  <c r="A15463" i="13"/>
  <c r="F15462" i="13"/>
  <c r="A15462" i="13"/>
  <c r="J15461" i="13"/>
  <c r="F15461" i="13"/>
  <c r="A15461" i="13"/>
  <c r="J15460" i="13"/>
  <c r="F15460" i="13"/>
  <c r="A15460" i="13"/>
  <c r="J15459" i="13"/>
  <c r="F15459" i="13"/>
  <c r="A15459" i="13"/>
  <c r="J15458" i="13"/>
  <c r="F15458" i="13"/>
  <c r="A15458" i="13"/>
  <c r="F15457" i="13"/>
  <c r="A15457" i="13"/>
  <c r="F15456" i="13"/>
  <c r="A15456" i="13"/>
  <c r="F15455" i="13"/>
  <c r="A15455" i="13"/>
  <c r="F15454" i="13"/>
  <c r="A15454" i="13"/>
  <c r="F15453" i="13"/>
  <c r="A15453" i="13"/>
  <c r="J15452" i="13"/>
  <c r="F15452" i="13"/>
  <c r="A15452" i="13"/>
  <c r="J15451" i="13"/>
  <c r="F15451" i="13"/>
  <c r="A15451" i="13"/>
  <c r="J15450" i="13"/>
  <c r="F15450" i="13"/>
  <c r="A15450" i="13"/>
  <c r="J15449" i="13"/>
  <c r="F15449" i="13"/>
  <c r="A15449" i="13"/>
  <c r="J15448" i="13"/>
  <c r="F15448" i="13"/>
  <c r="A15448" i="13"/>
  <c r="J15447" i="13"/>
  <c r="F15447" i="13"/>
  <c r="A15447" i="13"/>
  <c r="J15446" i="13"/>
  <c r="F15446" i="13"/>
  <c r="A15446" i="13"/>
  <c r="J15445" i="13"/>
  <c r="F15445" i="13"/>
  <c r="A15445" i="13"/>
  <c r="J15444" i="13"/>
  <c r="F15444" i="13"/>
  <c r="A15444" i="13"/>
  <c r="F15443" i="13"/>
  <c r="A15443" i="13"/>
  <c r="J15442" i="13"/>
  <c r="F15442" i="13"/>
  <c r="A15442" i="13"/>
  <c r="J15441" i="13"/>
  <c r="F15441" i="13"/>
  <c r="A15441" i="13"/>
  <c r="J15440" i="13"/>
  <c r="F15440" i="13"/>
  <c r="A15440" i="13"/>
  <c r="J15439" i="13"/>
  <c r="F15439" i="13"/>
  <c r="A15439" i="13"/>
  <c r="J15438" i="13"/>
  <c r="F15438" i="13"/>
  <c r="A15438" i="13"/>
  <c r="J15437" i="13"/>
  <c r="F15437" i="13"/>
  <c r="A15437" i="13"/>
  <c r="J15436" i="13"/>
  <c r="F15436" i="13"/>
  <c r="A15436" i="13"/>
  <c r="J15435" i="13"/>
  <c r="F15435" i="13"/>
  <c r="A15435" i="13"/>
  <c r="J15434" i="13"/>
  <c r="F15434" i="13"/>
  <c r="A15434" i="13"/>
  <c r="J15433" i="13"/>
  <c r="F15433" i="13"/>
  <c r="A15433" i="13"/>
  <c r="F15432" i="13"/>
  <c r="A15432" i="13"/>
  <c r="J15431" i="13"/>
  <c r="F15431" i="13"/>
  <c r="A15431" i="13"/>
  <c r="J15430" i="13"/>
  <c r="F15430" i="13"/>
  <c r="A15430" i="13"/>
  <c r="F15429" i="13"/>
  <c r="A15429" i="13"/>
  <c r="J15428" i="13"/>
  <c r="F15428" i="13"/>
  <c r="A15428" i="13"/>
  <c r="J15427" i="13"/>
  <c r="F15427" i="13"/>
  <c r="A15427" i="13"/>
  <c r="J15426" i="13"/>
  <c r="F15426" i="13"/>
  <c r="A15426" i="13"/>
  <c r="F15425" i="13"/>
  <c r="A15425" i="13"/>
  <c r="F15424" i="13"/>
  <c r="A15424" i="13"/>
  <c r="F15423" i="13"/>
  <c r="A15423" i="13"/>
  <c r="J15422" i="13"/>
  <c r="F15422" i="13"/>
  <c r="A15422" i="13"/>
  <c r="F15421" i="13"/>
  <c r="A15421" i="13"/>
  <c r="J15420" i="13"/>
  <c r="F15420" i="13"/>
  <c r="A15420" i="13"/>
  <c r="J15419" i="13"/>
  <c r="F15419" i="13"/>
  <c r="A15419" i="13"/>
  <c r="J15418" i="13"/>
  <c r="F15418" i="13"/>
  <c r="A15418" i="13"/>
  <c r="F15417" i="13"/>
  <c r="A15417" i="13"/>
  <c r="J15416" i="13"/>
  <c r="F15416" i="13"/>
  <c r="A15416" i="13"/>
  <c r="J15415" i="13"/>
  <c r="F15415" i="13"/>
  <c r="A15415" i="13"/>
  <c r="J15414" i="13"/>
  <c r="F15414" i="13"/>
  <c r="A15414" i="13"/>
  <c r="F15413" i="13"/>
  <c r="A15413" i="13"/>
  <c r="J15412" i="13"/>
  <c r="F15412" i="13"/>
  <c r="A15412" i="13"/>
  <c r="J15411" i="13"/>
  <c r="F15411" i="13"/>
  <c r="A15411" i="13"/>
  <c r="J15410" i="13"/>
  <c r="F15410" i="13"/>
  <c r="A15410" i="13"/>
  <c r="J15409" i="13"/>
  <c r="F15409" i="13"/>
  <c r="A15409" i="13"/>
  <c r="J15408" i="13"/>
  <c r="F15408" i="13"/>
  <c r="A15408" i="13"/>
  <c r="J15407" i="13"/>
  <c r="F15407" i="13"/>
  <c r="A15407" i="13"/>
  <c r="J15406" i="13"/>
  <c r="F15406" i="13"/>
  <c r="A15406" i="13"/>
  <c r="F15405" i="13"/>
  <c r="A15405" i="13"/>
  <c r="J15404" i="13"/>
  <c r="F15404" i="13"/>
  <c r="A15404" i="13"/>
  <c r="J15403" i="13"/>
  <c r="F15403" i="13"/>
  <c r="A15403" i="13"/>
  <c r="J15402" i="13"/>
  <c r="F15402" i="13"/>
  <c r="A15402" i="13"/>
  <c r="J15401" i="13"/>
  <c r="F15401" i="13"/>
  <c r="A15401" i="13"/>
  <c r="F15400" i="13"/>
  <c r="A15400" i="13"/>
  <c r="J15399" i="13"/>
  <c r="F15399" i="13"/>
  <c r="A15399" i="13"/>
  <c r="J15398" i="13"/>
  <c r="F15398" i="13"/>
  <c r="A15398" i="13"/>
  <c r="F15397" i="13"/>
  <c r="A15397" i="13"/>
  <c r="J15396" i="13"/>
  <c r="F15396" i="13"/>
  <c r="A15396" i="13"/>
  <c r="J15395" i="13"/>
  <c r="F15395" i="13"/>
  <c r="A15395" i="13"/>
  <c r="J15394" i="13"/>
  <c r="F15394" i="13"/>
  <c r="A15394" i="13"/>
  <c r="F15393" i="13"/>
  <c r="A15393" i="13"/>
  <c r="F15392" i="13"/>
  <c r="A15392" i="13"/>
  <c r="J15391" i="13"/>
  <c r="F15391" i="13"/>
  <c r="A15391" i="13"/>
  <c r="J15390" i="13"/>
  <c r="F15390" i="13"/>
  <c r="A15390" i="13"/>
  <c r="F15389" i="13"/>
  <c r="A15389" i="13"/>
  <c r="J15388" i="13"/>
  <c r="F15388" i="13"/>
  <c r="A15388" i="13"/>
  <c r="J15387" i="13"/>
  <c r="F15387" i="13"/>
  <c r="A15387" i="13"/>
  <c r="J15386" i="13"/>
  <c r="F15386" i="13"/>
  <c r="A15386" i="13"/>
  <c r="F15385" i="13"/>
  <c r="A15385" i="13"/>
  <c r="J15384" i="13"/>
  <c r="F15384" i="13"/>
  <c r="A15384" i="13"/>
  <c r="J15383" i="13"/>
  <c r="F15383" i="13"/>
  <c r="A15383" i="13"/>
  <c r="J15382" i="13"/>
  <c r="F15382" i="13"/>
  <c r="A15382" i="13"/>
  <c r="F15381" i="13"/>
  <c r="A15381" i="13"/>
  <c r="J15380" i="13"/>
  <c r="F15380" i="13"/>
  <c r="A15380" i="13"/>
  <c r="F15379" i="13"/>
  <c r="A15379" i="13"/>
  <c r="J15378" i="13"/>
  <c r="F15378" i="13"/>
  <c r="A15378" i="13"/>
  <c r="J15377" i="13"/>
  <c r="F15377" i="13"/>
  <c r="A15377" i="13"/>
  <c r="F15376" i="13"/>
  <c r="A15376" i="13"/>
  <c r="J15375" i="13"/>
  <c r="F15375" i="13"/>
  <c r="A15375" i="13"/>
  <c r="J15374" i="13"/>
  <c r="F15374" i="13"/>
  <c r="A15374" i="13"/>
  <c r="J15373" i="13"/>
  <c r="F15373" i="13"/>
  <c r="A15373" i="13"/>
  <c r="F15372" i="13"/>
  <c r="A15372" i="13"/>
  <c r="F15371" i="13"/>
  <c r="A15371" i="13"/>
  <c r="F15370" i="13"/>
  <c r="A15370" i="13"/>
  <c r="J15369" i="13"/>
  <c r="F15369" i="13"/>
  <c r="J15368" i="13"/>
  <c r="F15368" i="13"/>
  <c r="J15367" i="13"/>
  <c r="F15367" i="13"/>
  <c r="J15366" i="13"/>
  <c r="F15366" i="13"/>
  <c r="J15365" i="13"/>
  <c r="F15365" i="13"/>
  <c r="J15364" i="13"/>
  <c r="F15364" i="13"/>
  <c r="J15363" i="13"/>
  <c r="F15363" i="13"/>
  <c r="F15362" i="13"/>
  <c r="A15362" i="13"/>
  <c r="F15361" i="13"/>
  <c r="A15361" i="13"/>
  <c r="F15360" i="13"/>
  <c r="A15360" i="13"/>
  <c r="F15359" i="13"/>
  <c r="A15359" i="13"/>
  <c r="F15358" i="13"/>
  <c r="A15358" i="13"/>
  <c r="F15357" i="13"/>
  <c r="A15357" i="13"/>
  <c r="F15356" i="13"/>
  <c r="A15356" i="13"/>
  <c r="F15355" i="13"/>
  <c r="A15355" i="13"/>
  <c r="F15354" i="13"/>
  <c r="A15354" i="13"/>
  <c r="F15353" i="13"/>
  <c r="A15353" i="13"/>
  <c r="F15352" i="13"/>
  <c r="J15351" i="13"/>
  <c r="F15351" i="13"/>
  <c r="A15351" i="13"/>
  <c r="J15350" i="13"/>
  <c r="F15350" i="13"/>
  <c r="A15350" i="13"/>
  <c r="J15349" i="13"/>
  <c r="F15349" i="13"/>
  <c r="A15349" i="13"/>
  <c r="J15348" i="13"/>
  <c r="F15348" i="13"/>
  <c r="A15348" i="13"/>
  <c r="J15347" i="13"/>
  <c r="F15347" i="13"/>
  <c r="A15347" i="13"/>
  <c r="J15346" i="13"/>
  <c r="F15346" i="13"/>
  <c r="A15346" i="13"/>
  <c r="J15345" i="13"/>
  <c r="F15345" i="13"/>
  <c r="A15345" i="13"/>
  <c r="J15344" i="13"/>
  <c r="F15344" i="13"/>
  <c r="A15344" i="13"/>
  <c r="F15343" i="13"/>
  <c r="A15343" i="13"/>
  <c r="J15342" i="13"/>
  <c r="F15342" i="13"/>
  <c r="A15342" i="13"/>
  <c r="J15341" i="13"/>
  <c r="F15341" i="13"/>
  <c r="A15341" i="13"/>
  <c r="J15340" i="13"/>
  <c r="F15340" i="13"/>
  <c r="A15340" i="13"/>
  <c r="F15339" i="13"/>
  <c r="A15339" i="13"/>
  <c r="F15338" i="13"/>
  <c r="A15338" i="13"/>
  <c r="J15337" i="13"/>
  <c r="F15337" i="13"/>
  <c r="A15337" i="13"/>
  <c r="J15336" i="13"/>
  <c r="F15336" i="13"/>
  <c r="A15336" i="13"/>
  <c r="F15335" i="13"/>
  <c r="A15335" i="13"/>
  <c r="J15334" i="13"/>
  <c r="F15334" i="13"/>
  <c r="A15334" i="13"/>
  <c r="J15333" i="13"/>
  <c r="F15333" i="13"/>
  <c r="A15333" i="13"/>
  <c r="J15332" i="13"/>
  <c r="F15332" i="13"/>
  <c r="A15332" i="13"/>
  <c r="F15331" i="13"/>
  <c r="A15331" i="13"/>
  <c r="F15330" i="13"/>
  <c r="A15330" i="13"/>
  <c r="F15329" i="13"/>
  <c r="A15329" i="13"/>
  <c r="F15328" i="13"/>
  <c r="A15328" i="13"/>
  <c r="J15327" i="13"/>
  <c r="F15327" i="13"/>
  <c r="A15327" i="13"/>
  <c r="J15326" i="13"/>
  <c r="F15326" i="13"/>
  <c r="A15326" i="13"/>
  <c r="J15325" i="13"/>
  <c r="F15325" i="13"/>
  <c r="A15325" i="13"/>
  <c r="J15324" i="13"/>
  <c r="F15324" i="13"/>
  <c r="A15324" i="13"/>
  <c r="F15323" i="13"/>
  <c r="A15323" i="13"/>
  <c r="J15322" i="13"/>
  <c r="F15322" i="13"/>
  <c r="A15322" i="13"/>
  <c r="J15321" i="13"/>
  <c r="F15321" i="13"/>
  <c r="A15321" i="13"/>
  <c r="J15320" i="13"/>
  <c r="F15320" i="13"/>
  <c r="A15320" i="13"/>
  <c r="F15319" i="13"/>
  <c r="A15319" i="13"/>
  <c r="F15318" i="13"/>
  <c r="A15318" i="13"/>
  <c r="F15317" i="13"/>
  <c r="A15317" i="13"/>
  <c r="F15316" i="13"/>
  <c r="A15316" i="13"/>
  <c r="F15315" i="13"/>
  <c r="A15315" i="13"/>
  <c r="F15314" i="13"/>
  <c r="A15314" i="13"/>
  <c r="F15313" i="13"/>
  <c r="A15313" i="13"/>
  <c r="F15312" i="13"/>
  <c r="A15312" i="13"/>
  <c r="F15311" i="13"/>
  <c r="A15311" i="13"/>
  <c r="F15310" i="13"/>
  <c r="A15310" i="13"/>
  <c r="F15309" i="13"/>
  <c r="A15309" i="13"/>
  <c r="F15308" i="13"/>
  <c r="A15308" i="13"/>
  <c r="J15307" i="13"/>
  <c r="F15307" i="13"/>
  <c r="A15307" i="13"/>
  <c r="F15306" i="13"/>
  <c r="A15306" i="13"/>
  <c r="F15305" i="13"/>
  <c r="A15305" i="13"/>
  <c r="F15304" i="13"/>
  <c r="A15304" i="13"/>
  <c r="F15303" i="13"/>
  <c r="A15303" i="13"/>
  <c r="F15302" i="13"/>
  <c r="A15302" i="13"/>
  <c r="F15301" i="13"/>
  <c r="A15301" i="13"/>
  <c r="F15300" i="13"/>
  <c r="A15300" i="13"/>
  <c r="F15299" i="13"/>
  <c r="A15299" i="13"/>
  <c r="F15298" i="13"/>
  <c r="A15298" i="13"/>
  <c r="F15297" i="13"/>
  <c r="A15297" i="13"/>
  <c r="F15296" i="13"/>
  <c r="A15296" i="13"/>
  <c r="F15295" i="13"/>
  <c r="A15295" i="13"/>
  <c r="F15294" i="13"/>
  <c r="A15294" i="13"/>
  <c r="F15293" i="13"/>
  <c r="A15293" i="13"/>
  <c r="F15292" i="13"/>
  <c r="A15292" i="13"/>
  <c r="F15291" i="13"/>
  <c r="A15291" i="13"/>
  <c r="J15290" i="13"/>
  <c r="F15290" i="13"/>
  <c r="A15290" i="13"/>
  <c r="J15289" i="13"/>
  <c r="F15289" i="13"/>
  <c r="A15289" i="13"/>
  <c r="F15288" i="13"/>
  <c r="A15288" i="13"/>
  <c r="F15287" i="13"/>
  <c r="A15287" i="13"/>
  <c r="F15286" i="13"/>
  <c r="A15286" i="13"/>
  <c r="F15285" i="13"/>
  <c r="A15285" i="13"/>
  <c r="F15284" i="13"/>
  <c r="A15284" i="13"/>
  <c r="F15283" i="13"/>
  <c r="A15283" i="13"/>
  <c r="F15282" i="13"/>
  <c r="A15282" i="13"/>
  <c r="F15281" i="13"/>
  <c r="A15281" i="13"/>
  <c r="F15280" i="13"/>
  <c r="A15280" i="13"/>
  <c r="F15279" i="13"/>
  <c r="A15279" i="13"/>
  <c r="F15278" i="13"/>
  <c r="A15278" i="13"/>
  <c r="J15277" i="13"/>
  <c r="F15277" i="13"/>
  <c r="A15277" i="13"/>
  <c r="J15276" i="13"/>
  <c r="F15276" i="13"/>
  <c r="A15276" i="13"/>
  <c r="F15275" i="13"/>
  <c r="A15275" i="13"/>
  <c r="F15274" i="13"/>
  <c r="A15274" i="13"/>
  <c r="F15273" i="13"/>
  <c r="A15273" i="13"/>
  <c r="F15272" i="13"/>
  <c r="A15272" i="13"/>
  <c r="F15271" i="13"/>
  <c r="A15271" i="13"/>
  <c r="F15270" i="13"/>
  <c r="A15270" i="13"/>
  <c r="F15269" i="13"/>
  <c r="A15269" i="13"/>
  <c r="F15268" i="13"/>
  <c r="A15268" i="13"/>
  <c r="F15267" i="13"/>
  <c r="A15267" i="13"/>
  <c r="F15266" i="13"/>
  <c r="A15266" i="13"/>
  <c r="F15265" i="13"/>
  <c r="A15265" i="13"/>
  <c r="F15264" i="13"/>
  <c r="A15264" i="13"/>
  <c r="F15263" i="13"/>
  <c r="A15263" i="13"/>
  <c r="J15262" i="13"/>
  <c r="F15262" i="13"/>
  <c r="A15262" i="13"/>
  <c r="J15261" i="13"/>
  <c r="F15261" i="13"/>
  <c r="A15261" i="13"/>
  <c r="J15260" i="13"/>
  <c r="F15260" i="13"/>
  <c r="A15260" i="13"/>
  <c r="J15259" i="13"/>
  <c r="F15259" i="13"/>
  <c r="A15259" i="13"/>
  <c r="F15258" i="13"/>
  <c r="A15258" i="13"/>
  <c r="F15257" i="13"/>
  <c r="A15257" i="13"/>
  <c r="F15256" i="13"/>
  <c r="A15256" i="13"/>
  <c r="F15255" i="13"/>
  <c r="A15255" i="13"/>
  <c r="F15254" i="13"/>
  <c r="A15254" i="13"/>
  <c r="F15253" i="13"/>
  <c r="A15253" i="13"/>
  <c r="F15252" i="13"/>
  <c r="A15252" i="13"/>
  <c r="F15251" i="13"/>
  <c r="A15251" i="13"/>
  <c r="J15250" i="13"/>
  <c r="F15250" i="13"/>
  <c r="A15250" i="13"/>
  <c r="J15249" i="13"/>
  <c r="F15249" i="13"/>
  <c r="A15249" i="13"/>
  <c r="J15248" i="13"/>
  <c r="F15248" i="13"/>
  <c r="A15248" i="13"/>
  <c r="J15247" i="13"/>
  <c r="F15247" i="13"/>
  <c r="A15247" i="13"/>
  <c r="F15246" i="13"/>
  <c r="A15246" i="13"/>
  <c r="F15245" i="13"/>
  <c r="A15245" i="13"/>
  <c r="F15244" i="13"/>
  <c r="A15244" i="13"/>
  <c r="F15243" i="13"/>
  <c r="A15243" i="13"/>
  <c r="F15242" i="13"/>
  <c r="A15242" i="13"/>
  <c r="F15241" i="13"/>
  <c r="A15241" i="13"/>
  <c r="F15240" i="13"/>
  <c r="A15240" i="13"/>
  <c r="F15239" i="13"/>
  <c r="A15239" i="13"/>
  <c r="F15238" i="13"/>
  <c r="A15238" i="13"/>
  <c r="J15237" i="13"/>
  <c r="F15237" i="13"/>
  <c r="A15237" i="13"/>
  <c r="J15236" i="13"/>
  <c r="F15236" i="13"/>
  <c r="A15236" i="13"/>
  <c r="F15235" i="13"/>
  <c r="A15235" i="13"/>
  <c r="F15234" i="13"/>
  <c r="A15234" i="13"/>
  <c r="F15233" i="13"/>
  <c r="A15233" i="13"/>
  <c r="J15232" i="13"/>
  <c r="F15232" i="13"/>
  <c r="A15232" i="13"/>
  <c r="J15231" i="13"/>
  <c r="F15231" i="13"/>
  <c r="A15231" i="13"/>
  <c r="J15230" i="13"/>
  <c r="F15230" i="13"/>
  <c r="A15230" i="13"/>
  <c r="J15229" i="13"/>
  <c r="F15229" i="13"/>
  <c r="A15229" i="13"/>
  <c r="J15228" i="13"/>
  <c r="F15228" i="13"/>
  <c r="A15228" i="13"/>
  <c r="F15227" i="13"/>
  <c r="A15227" i="13"/>
  <c r="F15226" i="13"/>
  <c r="A15226" i="13"/>
  <c r="J15225" i="13"/>
  <c r="F15225" i="13"/>
  <c r="A15225" i="13"/>
  <c r="J15224" i="13"/>
  <c r="F15224" i="13"/>
  <c r="A15224" i="13"/>
  <c r="J15223" i="13"/>
  <c r="F15223" i="13"/>
  <c r="A15223" i="13"/>
  <c r="J15222" i="13"/>
  <c r="F15222" i="13"/>
  <c r="A15222" i="13"/>
  <c r="J15221" i="13"/>
  <c r="F15221" i="13"/>
  <c r="A15221" i="13"/>
  <c r="J15220" i="13"/>
  <c r="F15220" i="13"/>
  <c r="A15220" i="13"/>
  <c r="J15219" i="13"/>
  <c r="F15219" i="13"/>
  <c r="A15219" i="13"/>
  <c r="J15218" i="13"/>
  <c r="F15218" i="13"/>
  <c r="A15218" i="13"/>
  <c r="F15217" i="13"/>
  <c r="A15217" i="13"/>
  <c r="J15216" i="13"/>
  <c r="F15216" i="13"/>
  <c r="A15216" i="13"/>
  <c r="J15215" i="13"/>
  <c r="F15215" i="13"/>
  <c r="A15215" i="13"/>
  <c r="F15214" i="13"/>
  <c r="A15214" i="13"/>
  <c r="F15213" i="13"/>
  <c r="A15213" i="13"/>
  <c r="J15212" i="13"/>
  <c r="F15212" i="13"/>
  <c r="A15212" i="13"/>
  <c r="J15211" i="13"/>
  <c r="F15211" i="13"/>
  <c r="A15211" i="13"/>
  <c r="J15210" i="13"/>
  <c r="F15210" i="13"/>
  <c r="A15210" i="13"/>
  <c r="J15209" i="13"/>
  <c r="F15209" i="13"/>
  <c r="A15209" i="13"/>
  <c r="J15208" i="13"/>
  <c r="F15208" i="13"/>
  <c r="A15208" i="13"/>
  <c r="J15207" i="13"/>
  <c r="F15207" i="13"/>
  <c r="A15207" i="13"/>
  <c r="J15206" i="13"/>
  <c r="F15206" i="13"/>
  <c r="A15206" i="13"/>
  <c r="J15205" i="13"/>
  <c r="F15205" i="13"/>
  <c r="A15205" i="13"/>
  <c r="J15204" i="13"/>
  <c r="F15204" i="13"/>
  <c r="A15204" i="13"/>
  <c r="J15203" i="13"/>
  <c r="F15203" i="13"/>
  <c r="A15203" i="13"/>
  <c r="F15202" i="13"/>
  <c r="A15202" i="13"/>
  <c r="F15201" i="13"/>
  <c r="A15201" i="13"/>
  <c r="J15200" i="13"/>
  <c r="F15200" i="13"/>
  <c r="A15200" i="13"/>
  <c r="F15199" i="13"/>
  <c r="A15199" i="13"/>
  <c r="F15198" i="13"/>
  <c r="A15198" i="13"/>
  <c r="J15197" i="13"/>
  <c r="F15197" i="13"/>
  <c r="A15197" i="13"/>
  <c r="J15196" i="13"/>
  <c r="F15196" i="13"/>
  <c r="A15196" i="13"/>
  <c r="J15195" i="13"/>
  <c r="F15195" i="13"/>
  <c r="A15195" i="13"/>
  <c r="J15194" i="13"/>
  <c r="F15194" i="13"/>
  <c r="A15194" i="13"/>
  <c r="J15193" i="13"/>
  <c r="F15193" i="13"/>
  <c r="A15193" i="13"/>
  <c r="F15192" i="13"/>
  <c r="A15192" i="13"/>
  <c r="J15191" i="13"/>
  <c r="F15191" i="13"/>
  <c r="A15191" i="13"/>
  <c r="J15190" i="13"/>
  <c r="F15190" i="13"/>
  <c r="A15190" i="13"/>
  <c r="J15189" i="13"/>
  <c r="F15189" i="13"/>
  <c r="A15189" i="13"/>
  <c r="J15188" i="13"/>
  <c r="F15188" i="13"/>
  <c r="A15188" i="13"/>
  <c r="J15187" i="13"/>
  <c r="F15187" i="13"/>
  <c r="A15187" i="13"/>
  <c r="F15186" i="13"/>
  <c r="A15186" i="13"/>
  <c r="F15185" i="13"/>
  <c r="A15185" i="13"/>
  <c r="J15184" i="13"/>
  <c r="F15184" i="13"/>
  <c r="A15184" i="13"/>
  <c r="J15183" i="13"/>
  <c r="F15183" i="13"/>
  <c r="A15183" i="13"/>
  <c r="F15182" i="13"/>
  <c r="A15182" i="13"/>
  <c r="F15181" i="13"/>
  <c r="A15181" i="13"/>
  <c r="J15180" i="13"/>
  <c r="F15180" i="13"/>
  <c r="A15180" i="13"/>
  <c r="J15179" i="13"/>
  <c r="F15179" i="13"/>
  <c r="A15179" i="13"/>
  <c r="J15178" i="13"/>
  <c r="F15178" i="13"/>
  <c r="A15178" i="13"/>
  <c r="J15177" i="13"/>
  <c r="F15177" i="13"/>
  <c r="A15177" i="13"/>
  <c r="J15176" i="13"/>
  <c r="F15176" i="13"/>
  <c r="A15176" i="13"/>
  <c r="J15175" i="13"/>
  <c r="F15175" i="13"/>
  <c r="A15175" i="13"/>
  <c r="J15174" i="13"/>
  <c r="F15174" i="13"/>
  <c r="A15174" i="13"/>
  <c r="J15173" i="13"/>
  <c r="F15173" i="13"/>
  <c r="A15173" i="13"/>
  <c r="J15172" i="13"/>
  <c r="F15172" i="13"/>
  <c r="A15172" i="13"/>
  <c r="F15171" i="13"/>
  <c r="A15171" i="13"/>
  <c r="J15170" i="13"/>
  <c r="F15170" i="13"/>
  <c r="A15170" i="13"/>
  <c r="J15169" i="13"/>
  <c r="F15169" i="13"/>
  <c r="A15169" i="13"/>
  <c r="J15168" i="13"/>
  <c r="F15168" i="13"/>
  <c r="A15168" i="13"/>
  <c r="J15167" i="13"/>
  <c r="F15167" i="13"/>
  <c r="A15167" i="13"/>
  <c r="F15166" i="13"/>
  <c r="A15166" i="13"/>
  <c r="F15165" i="13"/>
  <c r="A15165" i="13"/>
  <c r="F15164" i="13"/>
  <c r="A15164" i="13"/>
  <c r="F15163" i="13"/>
  <c r="A15163" i="13"/>
  <c r="J15162" i="13"/>
  <c r="F15162" i="13"/>
  <c r="A15162" i="13"/>
  <c r="J15161" i="13"/>
  <c r="F15161" i="13"/>
  <c r="A15161" i="13"/>
  <c r="J15160" i="13"/>
  <c r="F15160" i="13"/>
  <c r="A15160" i="13"/>
  <c r="F15159" i="13"/>
  <c r="A15159" i="13"/>
  <c r="F15158" i="13"/>
  <c r="A15158" i="13"/>
  <c r="J15157" i="13"/>
  <c r="F15157" i="13"/>
  <c r="A15157" i="13"/>
  <c r="J15156" i="13"/>
  <c r="F15156" i="13"/>
  <c r="A15156" i="13"/>
  <c r="J15155" i="13"/>
  <c r="F15155" i="13"/>
  <c r="A15155" i="13"/>
  <c r="F15154" i="13"/>
  <c r="A15154" i="13"/>
  <c r="F15153" i="13"/>
  <c r="A15153" i="13"/>
  <c r="F15152" i="13"/>
  <c r="A15152" i="13"/>
  <c r="J15151" i="13"/>
  <c r="F15151" i="13"/>
  <c r="A15151" i="13"/>
  <c r="F15150" i="13"/>
  <c r="A15150" i="13"/>
  <c r="J15149" i="13"/>
  <c r="F15149" i="13"/>
  <c r="A15149" i="13"/>
  <c r="J15148" i="13"/>
  <c r="F15148" i="13"/>
  <c r="A15148" i="13"/>
  <c r="J15147" i="13"/>
  <c r="F15147" i="13"/>
  <c r="A15147" i="13"/>
  <c r="J15146" i="13"/>
  <c r="F15146" i="13"/>
  <c r="A15146" i="13"/>
  <c r="J15145" i="13"/>
  <c r="F15145" i="13"/>
  <c r="A15145" i="13"/>
  <c r="F15144" i="13"/>
  <c r="A15144" i="13"/>
  <c r="F15143" i="13"/>
  <c r="A15143" i="13"/>
  <c r="J15142" i="13"/>
  <c r="F15142" i="13"/>
  <c r="A15142" i="13"/>
  <c r="J15141" i="13"/>
  <c r="F15141" i="13"/>
  <c r="A15141" i="13"/>
  <c r="J15140" i="13"/>
  <c r="F15140" i="13"/>
  <c r="A15140" i="13"/>
  <c r="J15139" i="13"/>
  <c r="F15139" i="13"/>
  <c r="A15139" i="13"/>
  <c r="J15138" i="13"/>
  <c r="F15138" i="13"/>
  <c r="A15138" i="13"/>
  <c r="J15137" i="13"/>
  <c r="F15137" i="13"/>
  <c r="A15137" i="13"/>
  <c r="F15136" i="13"/>
  <c r="A15136" i="13"/>
  <c r="J15135" i="13"/>
  <c r="F15135" i="13"/>
  <c r="A15135" i="13"/>
  <c r="J15134" i="13"/>
  <c r="F15134" i="13"/>
  <c r="A15134" i="13"/>
  <c r="J15133" i="13"/>
  <c r="F15133" i="13"/>
  <c r="A15133" i="13"/>
  <c r="J15132" i="13"/>
  <c r="F15132" i="13"/>
  <c r="A15132" i="13"/>
  <c r="F15131" i="13"/>
  <c r="A15131" i="13"/>
  <c r="F15130" i="13"/>
  <c r="A15130" i="13"/>
  <c r="J15129" i="13"/>
  <c r="F15129" i="13"/>
  <c r="A15129" i="13"/>
  <c r="J15128" i="13"/>
  <c r="F15128" i="13"/>
  <c r="A15128" i="13"/>
  <c r="J15127" i="13"/>
  <c r="F15127" i="13"/>
  <c r="A15127" i="13"/>
  <c r="J15126" i="13"/>
  <c r="F15126" i="13"/>
  <c r="A15126" i="13"/>
  <c r="J15125" i="13"/>
  <c r="F15125" i="13"/>
  <c r="A15125" i="13"/>
  <c r="J15124" i="13"/>
  <c r="F15124" i="13"/>
  <c r="A15124" i="13"/>
  <c r="J15123" i="13"/>
  <c r="F15123" i="13"/>
  <c r="A15123" i="13"/>
  <c r="J15122" i="13"/>
  <c r="F15122" i="13"/>
  <c r="A15122" i="13"/>
  <c r="J15121" i="13"/>
  <c r="F15121" i="13"/>
  <c r="A15121" i="13"/>
  <c r="F15120" i="13"/>
  <c r="A15120" i="13"/>
  <c r="J15119" i="13"/>
  <c r="F15119" i="13"/>
  <c r="A15119" i="13"/>
  <c r="F15118" i="13"/>
  <c r="A15118" i="13"/>
  <c r="J15117" i="13"/>
  <c r="F15117" i="13"/>
  <c r="A15117" i="13"/>
  <c r="J15116" i="13"/>
  <c r="F15116" i="13"/>
  <c r="A15116" i="13"/>
  <c r="F15115" i="13"/>
  <c r="A15115" i="13"/>
  <c r="F15114" i="13"/>
  <c r="A15114" i="13"/>
  <c r="F15113" i="13"/>
  <c r="A15113" i="13"/>
  <c r="F15112" i="13"/>
  <c r="A15112" i="13"/>
  <c r="F15111" i="13"/>
  <c r="A15111" i="13"/>
  <c r="F15110" i="13"/>
  <c r="A15110" i="13"/>
  <c r="F15109" i="13"/>
  <c r="A15109" i="13"/>
  <c r="F15108" i="13"/>
  <c r="A15108" i="13"/>
  <c r="F15107" i="13"/>
  <c r="A15107" i="13"/>
  <c r="J15106" i="13"/>
  <c r="F15106" i="13"/>
  <c r="A15106" i="13"/>
  <c r="F15105" i="13"/>
  <c r="A15105" i="13"/>
  <c r="F15104" i="13"/>
  <c r="A15104" i="13"/>
  <c r="F15103" i="13"/>
  <c r="A15103" i="13"/>
  <c r="F15102" i="13"/>
  <c r="A15102" i="13"/>
  <c r="F15101" i="13"/>
  <c r="A15101" i="13"/>
  <c r="F15100" i="13"/>
  <c r="A15100" i="13"/>
  <c r="F15099" i="13"/>
  <c r="A15099" i="13"/>
  <c r="F15098" i="13"/>
  <c r="A15098" i="13"/>
  <c r="F15097" i="13"/>
  <c r="A15097" i="13"/>
  <c r="F15096" i="13"/>
  <c r="A15096" i="13"/>
  <c r="F15095" i="13"/>
  <c r="A15095" i="13"/>
  <c r="F15094" i="13"/>
  <c r="A15094" i="13"/>
  <c r="F15093" i="13"/>
  <c r="A15093" i="13"/>
  <c r="F15092" i="13"/>
  <c r="A15092" i="13"/>
  <c r="F15091" i="13"/>
  <c r="A15091" i="13"/>
  <c r="F15090" i="13"/>
  <c r="A15090" i="13"/>
  <c r="F15089" i="13"/>
  <c r="A15089" i="13"/>
  <c r="F15088" i="13"/>
  <c r="A15088" i="13"/>
  <c r="F15087" i="13"/>
  <c r="A15087" i="13"/>
  <c r="F15086" i="13"/>
  <c r="A15086" i="13"/>
  <c r="F15085" i="13"/>
  <c r="A15085" i="13"/>
  <c r="F15084" i="13"/>
  <c r="A15084" i="13"/>
  <c r="F15083" i="13"/>
  <c r="A15083" i="13"/>
  <c r="J15082" i="13"/>
  <c r="F15082" i="13"/>
  <c r="A15082" i="13"/>
  <c r="F15081" i="13"/>
  <c r="A15081" i="13"/>
  <c r="J15080" i="13"/>
  <c r="F15080" i="13"/>
  <c r="A15080" i="13"/>
  <c r="J15079" i="13"/>
  <c r="F15079" i="13"/>
  <c r="A15079" i="13"/>
  <c r="J15078" i="13"/>
  <c r="F15078" i="13"/>
  <c r="A15078" i="13"/>
  <c r="J15077" i="13"/>
  <c r="F15077" i="13"/>
  <c r="A15077" i="13"/>
  <c r="J15076" i="13"/>
  <c r="F15076" i="13"/>
  <c r="A15076" i="13"/>
  <c r="J15075" i="13"/>
  <c r="F15075" i="13"/>
  <c r="A15075" i="13"/>
  <c r="F15074" i="13"/>
  <c r="A15074" i="13"/>
  <c r="F15073" i="13"/>
  <c r="A15073" i="13"/>
  <c r="F15072" i="13"/>
  <c r="A15072" i="13"/>
  <c r="F15071" i="13"/>
  <c r="A15071" i="13"/>
  <c r="J15070" i="13"/>
  <c r="F15070" i="13"/>
  <c r="A15070" i="13"/>
  <c r="J15069" i="13"/>
  <c r="F15069" i="13"/>
  <c r="A15069" i="13"/>
  <c r="F15068" i="13"/>
  <c r="A15068" i="13"/>
  <c r="J15067" i="13"/>
  <c r="F15067" i="13"/>
  <c r="A15067" i="13"/>
  <c r="J15066" i="13"/>
  <c r="F15066" i="13"/>
  <c r="A15066" i="13"/>
  <c r="J15065" i="13"/>
  <c r="F15065" i="13"/>
  <c r="A15065" i="13"/>
  <c r="J15064" i="13"/>
  <c r="F15064" i="13"/>
  <c r="A15064" i="13"/>
  <c r="J15063" i="13"/>
  <c r="F15063" i="13"/>
  <c r="A15063" i="13"/>
  <c r="F15062" i="13"/>
  <c r="A15062" i="13"/>
  <c r="J15061" i="13"/>
  <c r="F15061" i="13"/>
  <c r="A15061" i="13"/>
  <c r="J15060" i="13"/>
  <c r="F15060" i="13"/>
  <c r="A15060" i="13"/>
  <c r="J15059" i="13"/>
  <c r="F15059" i="13"/>
  <c r="A15059" i="13"/>
  <c r="J15058" i="13"/>
  <c r="F15058" i="13"/>
  <c r="A15058" i="13"/>
  <c r="F15057" i="13"/>
  <c r="A15057" i="13"/>
  <c r="J15056" i="13"/>
  <c r="F15056" i="13"/>
  <c r="A15056" i="13"/>
  <c r="J15055" i="13"/>
  <c r="F15055" i="13"/>
  <c r="A15055" i="13"/>
  <c r="J15054" i="13"/>
  <c r="F15054" i="13"/>
  <c r="A15054" i="13"/>
  <c r="J15053" i="13"/>
  <c r="F15053" i="13"/>
  <c r="A15053" i="13"/>
  <c r="J15052" i="13"/>
  <c r="F15052" i="13"/>
  <c r="A15052" i="13"/>
  <c r="F15051" i="13"/>
  <c r="A15051" i="13"/>
  <c r="F15050" i="13"/>
  <c r="A15050" i="13"/>
  <c r="J15049" i="13"/>
  <c r="F15049" i="13"/>
  <c r="A15049" i="13"/>
  <c r="J15048" i="13"/>
  <c r="F15048" i="13"/>
  <c r="A15048" i="13"/>
  <c r="J15047" i="13"/>
  <c r="F15047" i="13"/>
  <c r="A15047" i="13"/>
  <c r="J15046" i="13"/>
  <c r="F15046" i="13"/>
  <c r="A15046" i="13"/>
  <c r="F15045" i="13"/>
  <c r="A15045" i="13"/>
  <c r="F15044" i="13"/>
  <c r="A15044" i="13"/>
  <c r="J15043" i="13"/>
  <c r="F15043" i="13"/>
  <c r="A15043" i="13"/>
  <c r="J15042" i="13"/>
  <c r="F15042" i="13"/>
  <c r="A15042" i="13"/>
  <c r="J15041" i="13"/>
  <c r="F15041" i="13"/>
  <c r="A15041" i="13"/>
  <c r="F15040" i="13"/>
  <c r="A15040" i="13"/>
  <c r="J15039" i="13"/>
  <c r="F15039" i="13"/>
  <c r="A15039" i="13"/>
  <c r="F15038" i="13"/>
  <c r="A15038" i="13"/>
  <c r="F15037" i="13"/>
  <c r="A15037" i="13"/>
  <c r="J15036" i="13"/>
  <c r="F15036" i="13"/>
  <c r="A15036" i="13"/>
  <c r="J15035" i="13"/>
  <c r="F15035" i="13"/>
  <c r="A15035" i="13"/>
  <c r="J15034" i="13"/>
  <c r="F15034" i="13"/>
  <c r="A15034" i="13"/>
  <c r="J15033" i="13"/>
  <c r="F15033" i="13"/>
  <c r="A15033" i="13"/>
  <c r="J15032" i="13"/>
  <c r="F15032" i="13"/>
  <c r="A15032" i="13"/>
  <c r="J15031" i="13"/>
  <c r="F15031" i="13"/>
  <c r="A15031" i="13"/>
  <c r="J15030" i="13"/>
  <c r="F15030" i="13"/>
  <c r="A15030" i="13"/>
  <c r="J15029" i="13"/>
  <c r="F15029" i="13"/>
  <c r="A15029" i="13"/>
  <c r="J15028" i="13"/>
  <c r="F15028" i="13"/>
  <c r="A15028" i="13"/>
  <c r="J15027" i="13"/>
  <c r="F15027" i="13"/>
  <c r="A15027" i="13"/>
  <c r="J15026" i="13"/>
  <c r="F15026" i="13"/>
  <c r="A15026" i="13"/>
  <c r="J15025" i="13"/>
  <c r="F15025" i="13"/>
  <c r="A15025" i="13"/>
  <c r="J15024" i="13"/>
  <c r="F15024" i="13"/>
  <c r="A15024" i="13"/>
  <c r="J15023" i="13"/>
  <c r="F15023" i="13"/>
  <c r="A15023" i="13"/>
  <c r="J15022" i="13"/>
  <c r="F15022" i="13"/>
  <c r="A15022" i="13"/>
  <c r="F15021" i="13"/>
  <c r="A15021" i="13"/>
  <c r="J15020" i="13"/>
  <c r="F15020" i="13"/>
  <c r="A15020" i="13"/>
  <c r="J15019" i="13"/>
  <c r="F15019" i="13"/>
  <c r="A15019" i="13"/>
  <c r="J15018" i="13"/>
  <c r="F15018" i="13"/>
  <c r="A15018" i="13"/>
  <c r="J15017" i="13"/>
  <c r="F15017" i="13"/>
  <c r="A15017" i="13"/>
  <c r="J15016" i="13"/>
  <c r="F15016" i="13"/>
  <c r="A15016" i="13"/>
  <c r="J15015" i="13"/>
  <c r="F15015" i="13"/>
  <c r="A15015" i="13"/>
  <c r="F15014" i="13"/>
  <c r="A15014" i="13"/>
  <c r="F15013" i="13"/>
  <c r="A15013" i="13"/>
  <c r="F15012" i="13"/>
  <c r="A15012" i="13"/>
  <c r="J15011" i="13"/>
  <c r="F15011" i="13"/>
  <c r="A15011" i="13"/>
  <c r="J15010" i="13"/>
  <c r="F15010" i="13"/>
  <c r="A15010" i="13"/>
  <c r="J15009" i="13"/>
  <c r="F15009" i="13"/>
  <c r="A15009" i="13"/>
  <c r="F15008" i="13"/>
  <c r="A15008" i="13"/>
  <c r="F15007" i="13"/>
  <c r="A15007" i="13"/>
  <c r="F15006" i="13"/>
  <c r="A15006" i="13"/>
  <c r="F15005" i="13"/>
  <c r="A15005" i="13"/>
  <c r="J15004" i="13"/>
  <c r="F15004" i="13"/>
  <c r="A15004" i="13"/>
  <c r="J15003" i="13"/>
  <c r="F15003" i="13"/>
  <c r="A15003" i="13"/>
  <c r="F15002" i="13"/>
  <c r="A15002" i="13"/>
  <c r="F15001" i="13"/>
  <c r="A15001" i="13"/>
  <c r="F15000" i="13"/>
  <c r="A15000" i="13"/>
  <c r="F14999" i="13"/>
  <c r="A14999" i="13"/>
  <c r="F14998" i="13"/>
  <c r="A14998" i="13"/>
  <c r="F14997" i="13"/>
  <c r="A14997" i="13"/>
  <c r="F14996" i="13"/>
  <c r="A14996" i="13"/>
  <c r="F14995" i="13"/>
  <c r="A14995" i="13"/>
  <c r="F14994" i="13"/>
  <c r="A14994" i="13"/>
  <c r="F14993" i="13"/>
  <c r="A14993" i="13"/>
  <c r="F14992" i="13"/>
  <c r="A14992" i="13"/>
  <c r="F14991" i="13"/>
  <c r="A14991" i="13"/>
  <c r="F14990" i="13"/>
  <c r="A14990" i="13"/>
  <c r="F14989" i="13"/>
  <c r="A14989" i="13"/>
  <c r="F14988" i="13"/>
  <c r="A14988" i="13"/>
  <c r="F14987" i="13"/>
  <c r="A14987" i="13"/>
  <c r="F14986" i="13"/>
  <c r="A14986" i="13"/>
  <c r="F14985" i="13"/>
  <c r="A14985" i="13"/>
  <c r="F14984" i="13"/>
  <c r="A14984" i="13"/>
  <c r="F14983" i="13"/>
  <c r="A14983" i="13"/>
  <c r="F14982" i="13"/>
  <c r="A14982" i="13"/>
  <c r="F14981" i="13"/>
  <c r="A14981" i="13"/>
  <c r="F14980" i="13"/>
  <c r="A14980" i="13"/>
  <c r="F14979" i="13"/>
  <c r="A14979" i="13"/>
  <c r="F14978" i="13"/>
  <c r="A14978" i="13"/>
  <c r="F14977" i="13"/>
  <c r="A14977" i="13"/>
  <c r="F14976" i="13"/>
  <c r="A14976" i="13"/>
  <c r="F14975" i="13"/>
  <c r="A14975" i="13"/>
  <c r="F14974" i="13"/>
  <c r="A14974" i="13"/>
  <c r="F14973" i="13"/>
  <c r="A14973" i="13"/>
  <c r="J14972" i="13"/>
  <c r="F14972" i="13"/>
  <c r="A14972" i="13"/>
  <c r="J14971" i="13"/>
  <c r="F14971" i="13"/>
  <c r="A14971" i="13"/>
  <c r="J14970" i="13"/>
  <c r="F14970" i="13"/>
  <c r="A14970" i="13"/>
  <c r="F14969" i="13"/>
  <c r="A14969" i="13"/>
  <c r="F14968" i="13"/>
  <c r="A14968" i="13"/>
  <c r="F14967" i="13"/>
  <c r="A14967" i="13"/>
  <c r="F14966" i="13"/>
  <c r="A14966" i="13"/>
  <c r="F14965" i="13"/>
  <c r="A14965" i="13"/>
  <c r="F14964" i="13"/>
  <c r="A14964" i="13"/>
  <c r="J14963" i="13"/>
  <c r="F14963" i="13"/>
  <c r="A14963" i="13"/>
  <c r="J14962" i="13"/>
  <c r="F14962" i="13"/>
  <c r="A14962" i="13"/>
  <c r="J14961" i="13"/>
  <c r="F14961" i="13"/>
  <c r="A14961" i="13"/>
  <c r="J14960" i="13"/>
  <c r="F14960" i="13"/>
  <c r="A14960" i="13"/>
  <c r="F14959" i="13"/>
  <c r="A14959" i="13"/>
  <c r="F14958" i="13"/>
  <c r="A14958" i="13"/>
  <c r="F14957" i="13"/>
  <c r="A14957" i="13"/>
  <c r="F14956" i="13"/>
  <c r="A14956" i="13"/>
  <c r="J14955" i="13"/>
  <c r="F14955" i="13"/>
  <c r="A14955" i="13"/>
  <c r="F14954" i="13"/>
  <c r="A14954" i="13"/>
  <c r="F14953" i="13"/>
  <c r="A14953" i="13"/>
  <c r="F14952" i="13"/>
  <c r="A14952" i="13"/>
  <c r="J14951" i="13"/>
  <c r="F14951" i="13"/>
  <c r="A14951" i="13"/>
  <c r="J14950" i="13"/>
  <c r="F14950" i="13"/>
  <c r="A14950" i="13"/>
  <c r="F14949" i="13"/>
  <c r="A14949" i="13"/>
  <c r="F14948" i="13"/>
  <c r="A14948" i="13"/>
  <c r="J14947" i="13"/>
  <c r="F14947" i="13"/>
  <c r="A14947" i="13"/>
  <c r="J14946" i="13"/>
  <c r="F14946" i="13"/>
  <c r="A14946" i="13"/>
  <c r="F14945" i="13"/>
  <c r="A14945" i="13"/>
  <c r="F14944" i="13"/>
  <c r="A14944" i="13"/>
  <c r="F14943" i="13"/>
  <c r="A14943" i="13"/>
  <c r="J14942" i="13"/>
  <c r="F14942" i="13"/>
  <c r="A14942" i="13"/>
  <c r="J14941" i="13"/>
  <c r="F14941" i="13"/>
  <c r="A14941" i="13"/>
  <c r="J14940" i="13"/>
  <c r="F14940" i="13"/>
  <c r="A14940" i="13"/>
  <c r="J14939" i="13"/>
  <c r="F14939" i="13"/>
  <c r="A14939" i="13"/>
  <c r="J14938" i="13"/>
  <c r="F14938" i="13"/>
  <c r="A14938" i="13"/>
  <c r="J14937" i="13"/>
  <c r="F14937" i="13"/>
  <c r="A14937" i="13"/>
  <c r="J14936" i="13"/>
  <c r="F14936" i="13"/>
  <c r="A14936" i="13"/>
  <c r="F14935" i="13"/>
  <c r="A14935" i="13"/>
  <c r="J14934" i="13"/>
  <c r="F14934" i="13"/>
  <c r="A14934" i="13"/>
  <c r="J14933" i="13"/>
  <c r="F14933" i="13"/>
  <c r="A14933" i="13"/>
  <c r="F14932" i="13"/>
  <c r="A14932" i="13"/>
  <c r="J14931" i="13"/>
  <c r="F14931" i="13"/>
  <c r="A14931" i="13"/>
  <c r="J14930" i="13"/>
  <c r="F14930" i="13"/>
  <c r="A14930" i="13"/>
  <c r="F14929" i="13"/>
  <c r="A14929" i="13"/>
  <c r="J14928" i="13"/>
  <c r="F14928" i="13"/>
  <c r="A14928" i="13"/>
  <c r="J14927" i="13"/>
  <c r="F14927" i="13"/>
  <c r="A14927" i="13"/>
  <c r="F14926" i="13"/>
  <c r="A14926" i="13"/>
  <c r="F14925" i="13"/>
  <c r="A14925" i="13"/>
  <c r="F14924" i="13"/>
  <c r="A14924" i="13"/>
  <c r="F14923" i="13"/>
  <c r="A14923" i="13"/>
  <c r="J14922" i="13"/>
  <c r="F14922" i="13"/>
  <c r="A14922" i="13"/>
  <c r="J14921" i="13"/>
  <c r="F14921" i="13"/>
  <c r="A14921" i="13"/>
  <c r="F14920" i="13"/>
  <c r="A14920" i="13"/>
  <c r="J14919" i="13"/>
  <c r="F14919" i="13"/>
  <c r="A14919" i="13"/>
  <c r="J14918" i="13"/>
  <c r="F14918" i="13"/>
  <c r="A14918" i="13"/>
  <c r="J14917" i="13"/>
  <c r="F14917" i="13"/>
  <c r="A14917" i="13"/>
  <c r="F14916" i="13"/>
  <c r="A14916" i="13"/>
  <c r="F14915" i="13"/>
  <c r="A14915" i="13"/>
  <c r="F14914" i="13"/>
  <c r="A14914" i="13"/>
  <c r="J14913" i="13"/>
  <c r="F14913" i="13"/>
  <c r="A14913" i="13"/>
  <c r="J14912" i="13"/>
  <c r="F14912" i="13"/>
  <c r="A14912" i="13"/>
  <c r="J14911" i="13"/>
  <c r="F14911" i="13"/>
  <c r="A14911" i="13"/>
  <c r="J14910" i="13"/>
  <c r="F14910" i="13"/>
  <c r="A14910" i="13"/>
  <c r="J14909" i="13"/>
  <c r="F14909" i="13"/>
  <c r="A14909" i="13"/>
  <c r="F14908" i="13"/>
  <c r="A14908" i="13"/>
  <c r="F14907" i="13"/>
  <c r="A14907" i="13"/>
  <c r="J14906" i="13"/>
  <c r="F14906" i="13"/>
  <c r="A14906" i="13"/>
  <c r="J14905" i="13"/>
  <c r="F14905" i="13"/>
  <c r="A14905" i="13"/>
  <c r="F14904" i="13"/>
  <c r="A14904" i="13"/>
  <c r="F14903" i="13"/>
  <c r="A14903" i="13"/>
  <c r="J14902" i="13"/>
  <c r="F14902" i="13"/>
  <c r="A14902" i="13"/>
  <c r="J14901" i="13"/>
  <c r="F14901" i="13"/>
  <c r="A14901" i="13"/>
  <c r="J14900" i="13"/>
  <c r="F14900" i="13"/>
  <c r="A14900" i="13"/>
  <c r="F14899" i="13"/>
  <c r="A14899" i="13"/>
  <c r="F14898" i="13"/>
  <c r="A14898" i="13"/>
  <c r="J14897" i="13"/>
  <c r="F14897" i="13"/>
  <c r="A14897" i="13"/>
  <c r="F14896" i="13"/>
  <c r="A14896" i="13"/>
  <c r="F14895" i="13"/>
  <c r="A14895" i="13"/>
  <c r="F14894" i="13"/>
  <c r="A14894" i="13"/>
  <c r="F14893" i="13"/>
  <c r="A14893" i="13"/>
  <c r="F14892" i="13"/>
  <c r="A14892" i="13"/>
  <c r="J14891" i="13"/>
  <c r="F14891" i="13"/>
  <c r="A14891" i="13"/>
  <c r="F14890" i="13"/>
  <c r="A14890" i="13"/>
  <c r="F14889" i="13"/>
  <c r="A14889" i="13"/>
  <c r="F14888" i="13"/>
  <c r="A14888" i="13"/>
  <c r="F14887" i="13"/>
  <c r="A14887" i="13"/>
  <c r="F14886" i="13"/>
  <c r="A14886" i="13"/>
  <c r="F14885" i="13"/>
  <c r="A14885" i="13"/>
  <c r="F14884" i="13"/>
  <c r="A14884" i="13"/>
  <c r="F14883" i="13"/>
  <c r="A14883" i="13"/>
  <c r="F14882" i="13"/>
  <c r="A14882" i="13"/>
  <c r="F14881" i="13"/>
  <c r="A14881" i="13"/>
  <c r="J14880" i="13"/>
  <c r="F14880" i="13"/>
  <c r="A14880" i="13"/>
  <c r="J14879" i="13"/>
  <c r="F14879" i="13"/>
  <c r="A14879" i="13"/>
  <c r="J14878" i="13"/>
  <c r="F14878" i="13"/>
  <c r="A14878" i="13"/>
  <c r="J14877" i="13"/>
  <c r="F14877" i="13"/>
  <c r="A14877" i="13"/>
  <c r="F14876" i="13"/>
  <c r="A14876" i="13"/>
  <c r="F14875" i="13"/>
  <c r="A14875" i="13"/>
  <c r="F14874" i="13"/>
  <c r="A14874" i="13"/>
  <c r="F14873" i="13"/>
  <c r="A14873" i="13"/>
  <c r="F14872" i="13"/>
  <c r="A14872" i="13"/>
  <c r="F14871" i="13"/>
  <c r="A14871" i="13"/>
  <c r="F14870" i="13"/>
  <c r="A14870" i="13"/>
  <c r="F14869" i="13"/>
  <c r="A14869" i="13"/>
  <c r="F14868" i="13"/>
  <c r="A14868" i="13"/>
  <c r="F14867" i="13"/>
  <c r="A14867" i="13"/>
  <c r="F14866" i="13"/>
  <c r="A14866" i="13"/>
  <c r="J14865" i="13"/>
  <c r="F14865" i="13"/>
  <c r="A14865" i="13"/>
  <c r="F14864" i="13"/>
  <c r="A14864" i="13"/>
  <c r="F14863" i="13"/>
  <c r="A14863" i="13"/>
  <c r="F14862" i="13"/>
  <c r="A14862" i="13"/>
  <c r="F14861" i="13"/>
  <c r="A14861" i="13"/>
  <c r="J14860" i="13"/>
  <c r="F14860" i="13"/>
  <c r="A14860" i="13"/>
  <c r="F14859" i="13"/>
  <c r="A14859" i="13"/>
  <c r="F14858" i="13"/>
  <c r="A14858" i="13"/>
  <c r="J14857" i="13"/>
  <c r="F14857" i="13"/>
  <c r="A14857" i="13"/>
  <c r="J14856" i="13"/>
  <c r="F14856" i="13"/>
  <c r="A14856" i="13"/>
  <c r="J14855" i="13"/>
  <c r="F14855" i="13"/>
  <c r="A14855" i="13"/>
  <c r="J14854" i="13"/>
  <c r="F14854" i="13"/>
  <c r="A14854" i="13"/>
  <c r="J14853" i="13"/>
  <c r="F14853" i="13"/>
  <c r="A14853" i="13"/>
  <c r="F14852" i="13"/>
  <c r="A14852" i="13"/>
  <c r="J14851" i="13"/>
  <c r="F14851" i="13"/>
  <c r="A14851" i="13"/>
  <c r="J14850" i="13"/>
  <c r="F14850" i="13"/>
  <c r="A14850" i="13"/>
  <c r="J14849" i="13"/>
  <c r="F14849" i="13"/>
  <c r="A14849" i="13"/>
  <c r="F14848" i="13"/>
  <c r="A14848" i="13"/>
  <c r="F14847" i="13"/>
  <c r="A14847" i="13"/>
  <c r="J14846" i="13"/>
  <c r="F14846" i="13"/>
  <c r="A14846" i="13"/>
  <c r="J14845" i="13"/>
  <c r="F14845" i="13"/>
  <c r="A14845" i="13"/>
  <c r="F14844" i="13"/>
  <c r="A14844" i="13"/>
  <c r="J14843" i="13"/>
  <c r="F14843" i="13"/>
  <c r="A14843" i="13"/>
  <c r="J14842" i="13"/>
  <c r="F14842" i="13"/>
  <c r="A14842" i="13"/>
  <c r="F14841" i="13"/>
  <c r="A14841" i="13"/>
  <c r="F14840" i="13"/>
  <c r="A14840" i="13"/>
  <c r="F14839" i="13"/>
  <c r="A14839" i="13"/>
  <c r="J14838" i="13"/>
  <c r="F14838" i="13"/>
  <c r="A14838" i="13"/>
  <c r="F14837" i="13"/>
  <c r="A14837" i="13"/>
  <c r="F14836" i="13"/>
  <c r="A14836" i="13"/>
  <c r="J14835" i="13"/>
  <c r="F14835" i="13"/>
  <c r="A14835" i="13"/>
  <c r="J14834" i="13"/>
  <c r="F14834" i="13"/>
  <c r="A14834" i="13"/>
  <c r="F14833" i="13"/>
  <c r="A14833" i="13"/>
  <c r="F14832" i="13"/>
  <c r="A14832" i="13"/>
  <c r="J14831" i="13"/>
  <c r="F14831" i="13"/>
  <c r="A14831" i="13"/>
  <c r="J14830" i="13"/>
  <c r="F14830" i="13"/>
  <c r="A14830" i="13"/>
  <c r="J14829" i="13"/>
  <c r="F14829" i="13"/>
  <c r="A14829" i="13"/>
  <c r="F14828" i="13"/>
  <c r="A14828" i="13"/>
  <c r="J14827" i="13"/>
  <c r="F14827" i="13"/>
  <c r="A14827" i="13"/>
  <c r="J14826" i="13"/>
  <c r="F14826" i="13"/>
  <c r="A14826" i="13"/>
  <c r="J14825" i="13"/>
  <c r="F14825" i="13"/>
  <c r="A14825" i="13"/>
  <c r="F14824" i="13"/>
  <c r="A14824" i="13"/>
  <c r="F14823" i="13"/>
  <c r="A14823" i="13"/>
  <c r="J14822" i="13"/>
  <c r="F14822" i="13"/>
  <c r="A14822" i="13"/>
  <c r="J14821" i="13"/>
  <c r="F14821" i="13"/>
  <c r="A14821" i="13"/>
  <c r="J14820" i="13"/>
  <c r="F14820" i="13"/>
  <c r="A14820" i="13"/>
  <c r="F14819" i="13"/>
  <c r="A14819" i="13"/>
  <c r="J14818" i="13"/>
  <c r="F14818" i="13"/>
  <c r="A14818" i="13"/>
  <c r="J14817" i="13"/>
  <c r="F14817" i="13"/>
  <c r="A14817" i="13"/>
  <c r="J14816" i="13"/>
  <c r="F14816" i="13"/>
  <c r="A14816" i="13"/>
  <c r="F14815" i="13"/>
  <c r="A14815" i="13"/>
  <c r="J14814" i="13"/>
  <c r="F14814" i="13"/>
  <c r="A14814" i="13"/>
  <c r="J14813" i="13"/>
  <c r="F14813" i="13"/>
  <c r="A14813" i="13"/>
  <c r="J14812" i="13"/>
  <c r="F14812" i="13"/>
  <c r="A14812" i="13"/>
  <c r="F14811" i="13"/>
  <c r="A14811" i="13"/>
  <c r="J14810" i="13"/>
  <c r="F14810" i="13"/>
  <c r="A14810" i="13"/>
  <c r="J14809" i="13"/>
  <c r="F14809" i="13"/>
  <c r="A14809" i="13"/>
  <c r="J14808" i="13"/>
  <c r="F14808" i="13"/>
  <c r="A14808" i="13"/>
  <c r="J14807" i="13"/>
  <c r="F14807" i="13"/>
  <c r="A14807" i="13"/>
  <c r="J14806" i="13"/>
  <c r="F14806" i="13"/>
  <c r="A14806" i="13"/>
  <c r="F14805" i="13"/>
  <c r="A14805" i="13"/>
  <c r="F14804" i="13"/>
  <c r="A14804" i="13"/>
  <c r="F14803" i="13"/>
  <c r="A14803" i="13"/>
  <c r="F14802" i="13"/>
  <c r="A14802" i="13"/>
  <c r="F14801" i="13"/>
  <c r="A14801" i="13"/>
  <c r="J14800" i="13"/>
  <c r="F14800" i="13"/>
  <c r="A14800" i="13"/>
  <c r="J14799" i="13"/>
  <c r="F14799" i="13"/>
  <c r="A14799" i="13"/>
  <c r="J14798" i="13"/>
  <c r="F14798" i="13"/>
  <c r="A14798" i="13"/>
  <c r="F14797" i="13"/>
  <c r="A14797" i="13"/>
  <c r="J14796" i="13"/>
  <c r="F14796" i="13"/>
  <c r="A14796" i="13"/>
  <c r="J14795" i="13"/>
  <c r="F14795" i="13"/>
  <c r="A14795" i="13"/>
  <c r="J14794" i="13"/>
  <c r="F14794" i="13"/>
  <c r="A14794" i="13"/>
  <c r="J14793" i="13"/>
  <c r="F14793" i="13"/>
  <c r="A14793" i="13"/>
  <c r="F14792" i="13"/>
  <c r="A14792" i="13"/>
  <c r="F14791" i="13"/>
  <c r="A14791" i="13"/>
  <c r="J14790" i="13"/>
  <c r="F14790" i="13"/>
  <c r="A14790" i="13"/>
  <c r="J14789" i="13"/>
  <c r="F14789" i="13"/>
  <c r="A14789" i="13"/>
  <c r="J14788" i="13"/>
  <c r="F14788" i="13"/>
  <c r="A14788" i="13"/>
  <c r="J14787" i="13"/>
  <c r="F14787" i="13"/>
  <c r="A14787" i="13"/>
  <c r="J14786" i="13"/>
  <c r="F14786" i="13"/>
  <c r="A14786" i="13"/>
  <c r="J14785" i="13"/>
  <c r="F14785" i="13"/>
  <c r="A14785" i="13"/>
  <c r="J14784" i="13"/>
  <c r="F14784" i="13"/>
  <c r="A14784" i="13"/>
  <c r="J14783" i="13"/>
  <c r="F14783" i="13"/>
  <c r="A14783" i="13"/>
  <c r="J14782" i="13"/>
  <c r="F14782" i="13"/>
  <c r="A14782" i="13"/>
  <c r="J14781" i="13"/>
  <c r="F14781" i="13"/>
  <c r="A14781" i="13"/>
  <c r="F14780" i="13"/>
  <c r="A14780" i="13"/>
  <c r="J14779" i="13"/>
  <c r="F14779" i="13"/>
  <c r="A14779" i="13"/>
  <c r="J14778" i="13"/>
  <c r="F14778" i="13"/>
  <c r="A14778" i="13"/>
  <c r="F14777" i="13"/>
  <c r="A14777" i="13"/>
  <c r="J14776" i="13"/>
  <c r="F14776" i="13"/>
  <c r="A14776" i="13"/>
  <c r="J14775" i="13"/>
  <c r="F14775" i="13"/>
  <c r="A14775" i="13"/>
  <c r="F14774" i="13"/>
  <c r="A14774" i="13"/>
  <c r="F14773" i="13"/>
  <c r="A14773" i="13"/>
  <c r="F14772" i="13"/>
  <c r="A14772" i="13"/>
  <c r="F14771" i="13"/>
  <c r="A14771" i="13"/>
  <c r="J14770" i="13"/>
  <c r="F14770" i="13"/>
  <c r="A14770" i="13"/>
  <c r="J14769" i="13"/>
  <c r="F14769" i="13"/>
  <c r="A14769" i="13"/>
  <c r="F14768" i="13"/>
  <c r="A14768" i="13"/>
  <c r="F14767" i="13"/>
  <c r="A14767" i="13"/>
  <c r="J14766" i="13"/>
  <c r="F14766" i="13"/>
  <c r="A14766" i="13"/>
  <c r="F14765" i="13"/>
  <c r="A14765" i="13"/>
  <c r="J14764" i="13"/>
  <c r="F14764" i="13"/>
  <c r="A14764" i="13"/>
  <c r="F14763" i="13"/>
  <c r="A14763" i="13"/>
  <c r="F14762" i="13"/>
  <c r="A14762" i="13"/>
  <c r="F14761" i="13"/>
  <c r="A14761" i="13"/>
  <c r="F14760" i="13"/>
  <c r="A14760" i="13"/>
  <c r="F14759" i="13"/>
  <c r="A14759" i="13"/>
  <c r="J14758" i="13"/>
  <c r="F14758" i="13"/>
  <c r="A14758" i="13"/>
  <c r="J14757" i="13"/>
  <c r="F14757" i="13"/>
  <c r="A14757" i="13"/>
  <c r="J14756" i="13"/>
  <c r="F14756" i="13"/>
  <c r="A14756" i="13"/>
  <c r="J14755" i="13"/>
  <c r="F14755" i="13"/>
  <c r="A14755" i="13"/>
  <c r="F14754" i="13"/>
  <c r="A14754" i="13"/>
  <c r="J14753" i="13"/>
  <c r="F14753" i="13"/>
  <c r="A14753" i="13"/>
  <c r="J14752" i="13"/>
  <c r="F14752" i="13"/>
  <c r="A14752" i="13"/>
  <c r="J14751" i="13"/>
  <c r="F14751" i="13"/>
  <c r="A14751" i="13"/>
  <c r="F14750" i="13"/>
  <c r="A14750" i="13"/>
  <c r="J14749" i="13"/>
  <c r="F14749" i="13"/>
  <c r="A14749" i="13"/>
  <c r="J14748" i="13"/>
  <c r="F14748" i="13"/>
  <c r="A14748" i="13"/>
  <c r="J14747" i="13"/>
  <c r="F14747" i="13"/>
  <c r="A14747" i="13"/>
  <c r="J14746" i="13"/>
  <c r="F14746" i="13"/>
  <c r="A14746" i="13"/>
  <c r="J14745" i="13"/>
  <c r="F14745" i="13"/>
  <c r="A14745" i="13"/>
  <c r="F14744" i="13"/>
  <c r="A14744" i="13"/>
  <c r="J14743" i="13"/>
  <c r="F14743" i="13"/>
  <c r="A14743" i="13"/>
  <c r="F14742" i="13"/>
  <c r="A14742" i="13"/>
  <c r="F14741" i="13"/>
  <c r="A14741" i="13"/>
  <c r="F14740" i="13"/>
  <c r="A14740" i="13"/>
  <c r="F14739" i="13"/>
  <c r="A14739" i="13"/>
  <c r="J14738" i="13"/>
  <c r="F14738" i="13"/>
  <c r="A14738" i="13"/>
  <c r="J14737" i="13"/>
  <c r="F14737" i="13"/>
  <c r="A14737" i="13"/>
  <c r="J14736" i="13"/>
  <c r="F14736" i="13"/>
  <c r="A14736" i="13"/>
  <c r="F14735" i="13"/>
  <c r="A14735" i="13"/>
  <c r="F14734" i="13"/>
  <c r="A14734" i="13"/>
  <c r="J14733" i="13"/>
  <c r="F14733" i="13"/>
  <c r="A14733" i="13"/>
  <c r="F14732" i="13"/>
  <c r="A14732" i="13"/>
  <c r="F14731" i="13"/>
  <c r="A14731" i="13"/>
  <c r="F14730" i="13"/>
  <c r="A14730" i="13"/>
  <c r="F14729" i="13"/>
  <c r="A14729" i="13"/>
  <c r="F14728" i="13"/>
  <c r="A14728" i="13"/>
  <c r="F14727" i="13"/>
  <c r="A14727" i="13"/>
  <c r="F14726" i="13"/>
  <c r="A14726" i="13"/>
  <c r="F14725" i="13"/>
  <c r="A14725" i="13"/>
  <c r="F14724" i="13"/>
  <c r="A14724" i="13"/>
  <c r="F14723" i="13"/>
  <c r="A14723" i="13"/>
  <c r="F14722" i="13"/>
  <c r="A14722" i="13"/>
  <c r="F14721" i="13"/>
  <c r="A14721" i="13"/>
  <c r="F14720" i="13"/>
  <c r="A14720" i="13"/>
  <c r="J14719" i="13"/>
  <c r="F14719" i="13"/>
  <c r="A14719" i="13"/>
  <c r="F14718" i="13"/>
  <c r="A14718" i="13"/>
  <c r="F14717" i="13"/>
  <c r="A14717" i="13"/>
  <c r="F14716" i="13"/>
  <c r="A14716" i="13"/>
  <c r="F14715" i="13"/>
  <c r="A14715" i="13"/>
  <c r="F14714" i="13"/>
  <c r="A14714" i="13"/>
  <c r="F14713" i="13"/>
  <c r="A14713" i="13"/>
  <c r="F14712" i="13"/>
  <c r="A14712" i="13"/>
  <c r="J14711" i="13"/>
  <c r="F14711" i="13"/>
  <c r="A14711" i="13"/>
  <c r="J14710" i="13"/>
  <c r="F14710" i="13"/>
  <c r="A14710" i="13"/>
  <c r="J14709" i="13"/>
  <c r="F14709" i="13"/>
  <c r="A14709" i="13"/>
  <c r="F14708" i="13"/>
  <c r="A14708" i="13"/>
  <c r="J14707" i="13"/>
  <c r="F14707" i="13"/>
  <c r="A14707" i="13"/>
  <c r="J14706" i="13"/>
  <c r="F14706" i="13"/>
  <c r="A14706" i="13"/>
  <c r="F14705" i="13"/>
  <c r="A14705" i="13"/>
  <c r="F14704" i="13"/>
  <c r="A14704" i="13"/>
  <c r="J14703" i="13"/>
  <c r="F14703" i="13"/>
  <c r="J14702" i="13"/>
  <c r="F14702" i="13"/>
  <c r="J14701" i="13"/>
  <c r="F14701" i="13"/>
  <c r="J14700" i="13"/>
  <c r="F14700" i="13"/>
  <c r="J14699" i="13"/>
  <c r="F14699" i="13"/>
  <c r="J14698" i="13"/>
  <c r="F14698" i="13"/>
  <c r="F14697" i="13"/>
  <c r="A14697" i="13"/>
  <c r="F14696" i="13"/>
  <c r="A14696" i="13"/>
  <c r="F14695" i="13"/>
  <c r="A14695" i="13"/>
  <c r="F14694" i="13"/>
  <c r="A14694" i="13"/>
  <c r="F14693" i="13"/>
  <c r="A14693" i="13"/>
  <c r="F14692" i="13"/>
  <c r="A14692" i="13"/>
  <c r="F14691" i="13"/>
  <c r="A14691" i="13"/>
  <c r="F14690" i="13"/>
  <c r="A14690" i="13"/>
  <c r="F14689" i="13"/>
  <c r="A14689" i="13"/>
  <c r="F14688" i="13"/>
  <c r="A14688" i="13"/>
  <c r="F14687" i="13"/>
  <c r="A14687" i="13"/>
  <c r="F14686" i="13"/>
  <c r="A14686" i="13"/>
  <c r="F14685" i="13"/>
  <c r="A14685" i="13"/>
  <c r="F14684" i="13"/>
  <c r="A14684" i="13"/>
  <c r="F14683" i="13"/>
  <c r="A14683" i="13"/>
  <c r="F14682" i="13"/>
  <c r="A14682" i="13"/>
  <c r="F14681" i="13"/>
  <c r="A14681" i="13"/>
  <c r="F14680" i="13"/>
  <c r="A14680" i="13"/>
  <c r="F14679" i="13"/>
  <c r="A14679" i="13"/>
  <c r="F14678" i="13"/>
  <c r="A14678" i="13"/>
  <c r="F14677" i="13"/>
  <c r="A14677" i="13"/>
  <c r="F14676" i="13"/>
  <c r="A14676" i="13"/>
  <c r="F14675" i="13"/>
  <c r="F14674" i="13"/>
  <c r="A14674" i="13"/>
  <c r="J14673" i="13"/>
  <c r="F14673" i="13"/>
  <c r="A14673" i="13"/>
  <c r="J14672" i="13"/>
  <c r="F14672" i="13"/>
  <c r="A14672" i="13"/>
  <c r="F14671" i="13"/>
  <c r="A14671" i="13"/>
  <c r="J14670" i="13"/>
  <c r="F14670" i="13"/>
  <c r="A14670" i="13"/>
  <c r="F14669" i="13"/>
  <c r="A14669" i="13"/>
  <c r="F14668" i="13"/>
  <c r="A14668" i="13"/>
  <c r="F14667" i="13"/>
  <c r="A14667" i="13"/>
  <c r="J14666" i="13"/>
  <c r="F14666" i="13"/>
  <c r="A14666" i="13"/>
  <c r="J14665" i="13"/>
  <c r="F14665" i="13"/>
  <c r="A14665" i="13"/>
  <c r="J14664" i="13"/>
  <c r="F14664" i="13"/>
  <c r="A14664" i="13"/>
  <c r="F14663" i="13"/>
  <c r="A14663" i="13"/>
  <c r="J14662" i="13"/>
  <c r="F14662" i="13"/>
  <c r="A14662" i="13"/>
  <c r="J14661" i="13"/>
  <c r="F14661" i="13"/>
  <c r="A14661" i="13"/>
  <c r="J14660" i="13"/>
  <c r="F14660" i="13"/>
  <c r="A14660" i="13"/>
  <c r="J14659" i="13"/>
  <c r="F14659" i="13"/>
  <c r="A14659" i="13"/>
  <c r="J14658" i="13"/>
  <c r="F14658" i="13"/>
  <c r="A14658" i="13"/>
  <c r="F14657" i="13"/>
  <c r="A14657" i="13"/>
  <c r="J14656" i="13"/>
  <c r="F14656" i="13"/>
  <c r="A14656" i="13"/>
  <c r="J14655" i="13"/>
  <c r="F14655" i="13"/>
  <c r="A14655" i="13"/>
  <c r="J14654" i="13"/>
  <c r="F14654" i="13"/>
  <c r="A14654" i="13"/>
  <c r="F14653" i="13"/>
  <c r="A14653" i="13"/>
  <c r="F14652" i="13"/>
  <c r="A14652" i="13"/>
  <c r="J14651" i="13"/>
  <c r="F14651" i="13"/>
  <c r="A14651" i="13"/>
  <c r="J14650" i="13"/>
  <c r="F14650" i="13"/>
  <c r="A14650" i="13"/>
  <c r="F14649" i="13"/>
  <c r="A14649" i="13"/>
  <c r="J14648" i="13"/>
  <c r="F14648" i="13"/>
  <c r="A14648" i="13"/>
  <c r="J14647" i="13"/>
  <c r="F14647" i="13"/>
  <c r="A14647" i="13"/>
  <c r="J14646" i="13"/>
  <c r="F14646" i="13"/>
  <c r="A14646" i="13"/>
  <c r="F14645" i="13"/>
  <c r="A14645" i="13"/>
  <c r="J14644" i="13"/>
  <c r="F14644" i="13"/>
  <c r="A14644" i="13"/>
  <c r="J14643" i="13"/>
  <c r="F14643" i="13"/>
  <c r="A14643" i="13"/>
  <c r="J14642" i="13"/>
  <c r="F14642" i="13"/>
  <c r="A14642" i="13"/>
  <c r="J14641" i="13"/>
  <c r="F14641" i="13"/>
  <c r="A14641" i="13"/>
  <c r="J14640" i="13"/>
  <c r="F14640" i="13"/>
  <c r="A14640" i="13"/>
  <c r="J14639" i="13"/>
  <c r="F14639" i="13"/>
  <c r="A14639" i="13"/>
  <c r="J14638" i="13"/>
  <c r="F14638" i="13"/>
  <c r="A14638" i="13"/>
  <c r="J14637" i="13"/>
  <c r="F14637" i="13"/>
  <c r="A14637" i="13"/>
  <c r="J14636" i="13"/>
  <c r="F14636" i="13"/>
  <c r="A14636" i="13"/>
  <c r="J14635" i="13"/>
  <c r="F14635" i="13"/>
  <c r="A14635" i="13"/>
  <c r="F14634" i="13"/>
  <c r="A14634" i="13"/>
  <c r="F14633" i="13"/>
  <c r="A14633" i="13"/>
  <c r="J14632" i="13"/>
  <c r="F14632" i="13"/>
  <c r="A14632" i="13"/>
  <c r="J14631" i="13"/>
  <c r="F14631" i="13"/>
  <c r="A14631" i="13"/>
  <c r="J14630" i="13"/>
  <c r="F14630" i="13"/>
  <c r="A14630" i="13"/>
  <c r="F14629" i="13"/>
  <c r="A14629" i="13"/>
  <c r="J14628" i="13"/>
  <c r="F14628" i="13"/>
  <c r="A14628" i="13"/>
  <c r="J14627" i="13"/>
  <c r="F14627" i="13"/>
  <c r="A14627" i="13"/>
  <c r="J14626" i="13"/>
  <c r="F14626" i="13"/>
  <c r="A14626" i="13"/>
  <c r="J14625" i="13"/>
  <c r="F14625" i="13"/>
  <c r="A14625" i="13"/>
  <c r="J14624" i="13"/>
  <c r="F14624" i="13"/>
  <c r="A14624" i="13"/>
  <c r="F14623" i="13"/>
  <c r="A14623" i="13"/>
  <c r="F14622" i="13"/>
  <c r="A14622" i="13"/>
  <c r="J14621" i="13"/>
  <c r="F14621" i="13"/>
  <c r="A14621" i="13"/>
  <c r="J14620" i="13"/>
  <c r="F14620" i="13"/>
  <c r="A14620" i="13"/>
  <c r="J14619" i="13"/>
  <c r="F14619" i="13"/>
  <c r="A14619" i="13"/>
  <c r="F14618" i="13"/>
  <c r="A14618" i="13"/>
  <c r="J14617" i="13"/>
  <c r="F14617" i="13"/>
  <c r="A14617" i="13"/>
  <c r="J14616" i="13"/>
  <c r="F14616" i="13"/>
  <c r="A14616" i="13"/>
  <c r="F14615" i="13"/>
  <c r="A14615" i="13"/>
  <c r="F14614" i="13"/>
  <c r="A14614" i="13"/>
  <c r="J14613" i="13"/>
  <c r="F14613" i="13"/>
  <c r="A14613" i="13"/>
  <c r="J14612" i="13"/>
  <c r="F14612" i="13"/>
  <c r="A14612" i="13"/>
  <c r="F14611" i="13"/>
  <c r="A14611" i="13"/>
  <c r="J14610" i="13"/>
  <c r="F14610" i="13"/>
  <c r="A14610" i="13"/>
  <c r="F14609" i="13"/>
  <c r="A14609" i="13"/>
  <c r="J14608" i="13"/>
  <c r="F14608" i="13"/>
  <c r="A14608" i="13"/>
  <c r="J14607" i="13"/>
  <c r="F14607" i="13"/>
  <c r="A14607" i="13"/>
  <c r="J14606" i="13"/>
  <c r="F14606" i="13"/>
  <c r="A14606" i="13"/>
  <c r="F14605" i="13"/>
  <c r="A14605" i="13"/>
  <c r="F14604" i="13"/>
  <c r="A14604" i="13"/>
  <c r="J14603" i="13"/>
  <c r="F14603" i="13"/>
  <c r="A14603" i="13"/>
  <c r="F14602" i="13"/>
  <c r="A14602" i="13"/>
  <c r="J14601" i="13"/>
  <c r="F14601" i="13"/>
  <c r="A14601" i="13"/>
  <c r="J14600" i="13"/>
  <c r="F14600" i="13"/>
  <c r="A14600" i="13"/>
  <c r="J14599" i="13"/>
  <c r="F14599" i="13"/>
  <c r="A14599" i="13"/>
  <c r="F14598" i="13"/>
  <c r="A14598" i="13"/>
  <c r="J14597" i="13"/>
  <c r="F14597" i="13"/>
  <c r="A14597" i="13"/>
  <c r="J14596" i="13"/>
  <c r="F14596" i="13"/>
  <c r="A14596" i="13"/>
  <c r="F14595" i="13"/>
  <c r="A14595" i="13"/>
  <c r="F14594" i="13"/>
  <c r="A14594" i="13"/>
  <c r="J14593" i="13"/>
  <c r="F14593" i="13"/>
  <c r="A14593" i="13"/>
  <c r="J14592" i="13"/>
  <c r="F14592" i="13"/>
  <c r="A14592" i="13"/>
  <c r="J14591" i="13"/>
  <c r="F14591" i="13"/>
  <c r="A14591" i="13"/>
  <c r="F14590" i="13"/>
  <c r="A14590" i="13"/>
  <c r="J14589" i="13"/>
  <c r="F14589" i="13"/>
  <c r="A14589" i="13"/>
  <c r="J14588" i="13"/>
  <c r="F14588" i="13"/>
  <c r="A14588" i="13"/>
  <c r="F14587" i="13"/>
  <c r="A14587" i="13"/>
  <c r="J14586" i="13"/>
  <c r="F14586" i="13"/>
  <c r="A14586" i="13"/>
  <c r="J14585" i="13"/>
  <c r="F14585" i="13"/>
  <c r="A14585" i="13"/>
  <c r="J14584" i="13"/>
  <c r="F14584" i="13"/>
  <c r="A14584" i="13"/>
  <c r="J14583" i="13"/>
  <c r="F14583" i="13"/>
  <c r="A14583" i="13"/>
  <c r="F14582" i="13"/>
  <c r="A14582" i="13"/>
  <c r="J14581" i="13"/>
  <c r="F14581" i="13"/>
  <c r="A14581" i="13"/>
  <c r="J14580" i="13"/>
  <c r="F14580" i="13"/>
  <c r="A14580" i="13"/>
  <c r="J14579" i="13"/>
  <c r="F14579" i="13"/>
  <c r="A14579" i="13"/>
  <c r="F14578" i="13"/>
  <c r="A14578" i="13"/>
  <c r="F14577" i="13"/>
  <c r="A14577" i="13"/>
  <c r="J14576" i="13"/>
  <c r="F14576" i="13"/>
  <c r="A14576" i="13"/>
  <c r="J14575" i="13"/>
  <c r="F14575" i="13"/>
  <c r="A14575" i="13"/>
  <c r="F14574" i="13"/>
  <c r="A14574" i="13"/>
  <c r="J14573" i="13"/>
  <c r="F14573" i="13"/>
  <c r="A14573" i="13"/>
  <c r="J14572" i="13"/>
  <c r="F14572" i="13"/>
  <c r="A14572" i="13"/>
  <c r="F14571" i="13"/>
  <c r="A14571" i="13"/>
  <c r="F14570" i="13"/>
  <c r="A14570" i="13"/>
  <c r="J14569" i="13"/>
  <c r="F14569" i="13"/>
  <c r="A14569" i="13"/>
  <c r="J14568" i="13"/>
  <c r="F14568" i="13"/>
  <c r="A14568" i="13"/>
  <c r="J14567" i="13"/>
  <c r="F14567" i="13"/>
  <c r="A14567" i="13"/>
  <c r="F14566" i="13"/>
  <c r="A14566" i="13"/>
  <c r="F14565" i="13"/>
  <c r="A14565" i="13"/>
  <c r="J14564" i="13"/>
  <c r="F14564" i="13"/>
  <c r="A14564" i="13"/>
  <c r="J14563" i="13"/>
  <c r="F14563" i="13"/>
  <c r="A14563" i="13"/>
  <c r="F14562" i="13"/>
  <c r="A14562" i="13"/>
  <c r="J14561" i="13"/>
  <c r="F14561" i="13"/>
  <c r="A14561" i="13"/>
  <c r="J14560" i="13"/>
  <c r="F14560" i="13"/>
  <c r="A14560" i="13"/>
  <c r="F14559" i="13"/>
  <c r="A14559" i="13"/>
  <c r="J14558" i="13"/>
  <c r="F14558" i="13"/>
  <c r="A14558" i="13"/>
  <c r="F14557" i="13"/>
  <c r="A14557" i="13"/>
  <c r="J14556" i="13"/>
  <c r="F14556" i="13"/>
  <c r="A14556" i="13"/>
  <c r="J14555" i="13"/>
  <c r="F14555" i="13"/>
  <c r="A14555" i="13"/>
  <c r="F14554" i="13"/>
  <c r="A14554" i="13"/>
  <c r="F14553" i="13"/>
  <c r="A14553" i="13"/>
  <c r="J14552" i="13"/>
  <c r="F14552" i="13"/>
  <c r="A14552" i="13"/>
  <c r="J14551" i="13"/>
  <c r="F14551" i="13"/>
  <c r="A14551" i="13"/>
  <c r="J14550" i="13"/>
  <c r="F14550" i="13"/>
  <c r="A14550" i="13"/>
  <c r="J14549" i="13"/>
  <c r="F14549" i="13"/>
  <c r="A14549" i="13"/>
  <c r="F14548" i="13"/>
  <c r="A14548" i="13"/>
  <c r="F14547" i="13"/>
  <c r="A14547" i="13"/>
  <c r="F14546" i="13"/>
  <c r="A14546" i="13"/>
  <c r="F14545" i="13"/>
  <c r="A14545" i="13"/>
  <c r="F14544" i="13"/>
  <c r="A14544" i="13"/>
  <c r="F14543" i="13"/>
  <c r="A14543" i="13"/>
  <c r="F14542" i="13"/>
  <c r="A14542" i="13"/>
  <c r="F14541" i="13"/>
  <c r="A14541" i="13"/>
  <c r="J14540" i="13"/>
  <c r="F14540" i="13"/>
  <c r="A14540" i="13"/>
  <c r="J14539" i="13"/>
  <c r="F14539" i="13"/>
  <c r="A14539" i="13"/>
  <c r="J14538" i="13"/>
  <c r="F14538" i="13"/>
  <c r="A14538" i="13"/>
  <c r="J14537" i="13"/>
  <c r="F14537" i="13"/>
  <c r="A14537" i="13"/>
  <c r="J14536" i="13"/>
  <c r="F14536" i="13"/>
  <c r="A14536" i="13"/>
  <c r="J14535" i="13"/>
  <c r="F14535" i="13"/>
  <c r="A14535" i="13"/>
  <c r="F14534" i="13"/>
  <c r="A14534" i="13"/>
  <c r="F14533" i="13"/>
  <c r="A14533" i="13"/>
  <c r="F14532" i="13"/>
  <c r="A14532" i="13"/>
  <c r="F14531" i="13"/>
  <c r="A14531" i="13"/>
  <c r="F14530" i="13"/>
  <c r="A14530" i="13"/>
  <c r="F14529" i="13"/>
  <c r="A14529" i="13"/>
  <c r="F14528" i="13"/>
  <c r="A14528" i="13"/>
  <c r="F14527" i="13"/>
  <c r="A14527" i="13"/>
  <c r="F14526" i="13"/>
  <c r="A14526" i="13"/>
  <c r="F14525" i="13"/>
  <c r="A14525" i="13"/>
  <c r="F14524" i="13"/>
  <c r="A14524" i="13"/>
  <c r="F14523" i="13"/>
  <c r="A14523" i="13"/>
  <c r="F14522" i="13"/>
  <c r="A14522" i="13"/>
  <c r="F14521" i="13"/>
  <c r="A14521" i="13"/>
  <c r="F14520" i="13"/>
  <c r="A14520" i="13"/>
  <c r="F14519" i="13"/>
  <c r="A14519" i="13"/>
  <c r="F14518" i="13"/>
  <c r="A14518" i="13"/>
  <c r="F14517" i="13"/>
  <c r="A14517" i="13"/>
  <c r="F14516" i="13"/>
  <c r="A14516" i="13"/>
  <c r="F14515" i="13"/>
  <c r="A14515" i="13"/>
  <c r="J14514" i="13"/>
  <c r="F14514" i="13"/>
  <c r="A14514" i="13"/>
  <c r="J14513" i="13"/>
  <c r="F14513" i="13"/>
  <c r="A14513" i="13"/>
  <c r="F14512" i="13"/>
  <c r="A14512" i="13"/>
  <c r="F14511" i="13"/>
  <c r="A14511" i="13"/>
  <c r="F14510" i="13"/>
  <c r="A14510" i="13"/>
  <c r="F14509" i="13"/>
  <c r="A14509" i="13"/>
  <c r="F14508" i="13"/>
  <c r="A14508" i="13"/>
  <c r="F14507" i="13"/>
  <c r="A14507" i="13"/>
  <c r="F14506" i="13"/>
  <c r="A14506" i="13"/>
  <c r="F14505" i="13"/>
  <c r="A14505" i="13"/>
  <c r="F14504" i="13"/>
  <c r="A14504" i="13"/>
  <c r="J14503" i="13"/>
  <c r="F14503" i="13"/>
  <c r="A14503" i="13"/>
  <c r="J14502" i="13"/>
  <c r="F14502" i="13"/>
  <c r="A14502" i="13"/>
  <c r="F14501" i="13"/>
  <c r="A14501" i="13"/>
  <c r="J14500" i="13"/>
  <c r="F14500" i="13"/>
  <c r="A14500" i="13"/>
  <c r="J14499" i="13"/>
  <c r="F14499" i="13"/>
  <c r="A14499" i="13"/>
  <c r="J14498" i="13"/>
  <c r="F14498" i="13"/>
  <c r="A14498" i="13"/>
  <c r="F14497" i="13"/>
  <c r="A14497" i="13"/>
  <c r="F14496" i="13"/>
  <c r="A14496" i="13"/>
  <c r="J14495" i="13"/>
  <c r="F14495" i="13"/>
  <c r="A14495" i="13"/>
  <c r="J14494" i="13"/>
  <c r="F14494" i="13"/>
  <c r="A14494" i="13"/>
  <c r="F14493" i="13"/>
  <c r="A14493" i="13"/>
  <c r="J14492" i="13"/>
  <c r="F14492" i="13"/>
  <c r="A14492" i="13"/>
  <c r="F14491" i="13"/>
  <c r="A14491" i="13"/>
  <c r="J14490" i="13"/>
  <c r="F14490" i="13"/>
  <c r="A14490" i="13"/>
  <c r="F14489" i="13"/>
  <c r="A14489" i="13"/>
  <c r="F14488" i="13"/>
  <c r="A14488" i="13"/>
  <c r="F14487" i="13"/>
  <c r="A14487" i="13"/>
  <c r="J14486" i="13"/>
  <c r="F14486" i="13"/>
  <c r="A14486" i="13"/>
  <c r="J14485" i="13"/>
  <c r="F14485" i="13"/>
  <c r="A14485" i="13"/>
  <c r="J14484" i="13"/>
  <c r="F14484" i="13"/>
  <c r="A14484" i="13"/>
  <c r="J14483" i="13"/>
  <c r="F14483" i="13"/>
  <c r="A14483" i="13"/>
  <c r="J14482" i="13"/>
  <c r="F14482" i="13"/>
  <c r="A14482" i="13"/>
  <c r="J14481" i="13"/>
  <c r="F14481" i="13"/>
  <c r="A14481" i="13"/>
  <c r="J14480" i="13"/>
  <c r="F14480" i="13"/>
  <c r="A14480" i="13"/>
  <c r="J14479" i="13"/>
  <c r="F14479" i="13"/>
  <c r="A14479" i="13"/>
  <c r="F14478" i="13"/>
  <c r="A14478" i="13"/>
  <c r="F14477" i="13"/>
  <c r="A14477" i="13"/>
  <c r="F14476" i="13"/>
  <c r="A14476" i="13"/>
  <c r="F14475" i="13"/>
  <c r="A14475" i="13"/>
  <c r="F14474" i="13"/>
  <c r="A14474" i="13"/>
  <c r="J14473" i="13"/>
  <c r="F14473" i="13"/>
  <c r="A14473" i="13"/>
  <c r="J14472" i="13"/>
  <c r="F14472" i="13"/>
  <c r="A14472" i="13"/>
  <c r="J14471" i="13"/>
  <c r="F14471" i="13"/>
  <c r="A14471" i="13"/>
  <c r="J14470" i="13"/>
  <c r="F14470" i="13"/>
  <c r="A14470" i="13"/>
  <c r="F14469" i="13"/>
  <c r="A14469" i="13"/>
  <c r="J14468" i="13"/>
  <c r="F14468" i="13"/>
  <c r="A14468" i="13"/>
  <c r="F14467" i="13"/>
  <c r="A14467" i="13"/>
  <c r="F14466" i="13"/>
  <c r="A14466" i="13"/>
  <c r="J14465" i="13"/>
  <c r="F14465" i="13"/>
  <c r="A14465" i="13"/>
  <c r="J14464" i="13"/>
  <c r="F14464" i="13"/>
  <c r="A14464" i="13"/>
  <c r="F14463" i="13"/>
  <c r="A14463" i="13"/>
  <c r="F14462" i="13"/>
  <c r="A14462" i="13"/>
  <c r="F14461" i="13"/>
  <c r="A14461" i="13"/>
  <c r="J14460" i="13"/>
  <c r="F14460" i="13"/>
  <c r="A14460" i="13"/>
  <c r="J14459" i="13"/>
  <c r="F14459" i="13"/>
  <c r="A14459" i="13"/>
  <c r="J14458" i="13"/>
  <c r="F14458" i="13"/>
  <c r="A14458" i="13"/>
  <c r="J14457" i="13"/>
  <c r="F14457" i="13"/>
  <c r="A14457" i="13"/>
  <c r="J14456" i="13"/>
  <c r="F14456" i="13"/>
  <c r="A14456" i="13"/>
  <c r="J14455" i="13"/>
  <c r="F14455" i="13"/>
  <c r="A14455" i="13"/>
  <c r="J14454" i="13"/>
  <c r="F14454" i="13"/>
  <c r="A14454" i="13"/>
  <c r="J14453" i="13"/>
  <c r="F14453" i="13"/>
  <c r="A14453" i="13"/>
  <c r="J14452" i="13"/>
  <c r="F14452" i="13"/>
  <c r="A14452" i="13"/>
  <c r="J14451" i="13"/>
  <c r="F14451" i="13"/>
  <c r="A14451" i="13"/>
  <c r="J14450" i="13"/>
  <c r="F14450" i="13"/>
  <c r="A14450" i="13"/>
  <c r="F14449" i="13"/>
  <c r="A14449" i="13"/>
  <c r="J14448" i="13"/>
  <c r="F14448" i="13"/>
  <c r="A14448" i="13"/>
  <c r="J14447" i="13"/>
  <c r="F14447" i="13"/>
  <c r="A14447" i="13"/>
  <c r="F14446" i="13"/>
  <c r="A14446" i="13"/>
  <c r="J14445" i="13"/>
  <c r="F14445" i="13"/>
  <c r="A14445" i="13"/>
  <c r="J14444" i="13"/>
  <c r="F14444" i="13"/>
  <c r="A14444" i="13"/>
  <c r="F14443" i="13"/>
  <c r="A14443" i="13"/>
  <c r="F14442" i="13"/>
  <c r="A14442" i="13"/>
  <c r="J14441" i="13"/>
  <c r="F14441" i="13"/>
  <c r="A14441" i="13"/>
  <c r="J14440" i="13"/>
  <c r="F14440" i="13"/>
  <c r="A14440" i="13"/>
  <c r="J14439" i="13"/>
  <c r="F14439" i="13"/>
  <c r="A14439" i="13"/>
  <c r="J14438" i="13"/>
  <c r="F14438" i="13"/>
  <c r="A14438" i="13"/>
  <c r="J14437" i="13"/>
  <c r="F14437" i="13"/>
  <c r="A14437" i="13"/>
  <c r="J14436" i="13"/>
  <c r="F14436" i="13"/>
  <c r="A14436" i="13"/>
  <c r="J14435" i="13"/>
  <c r="F14435" i="13"/>
  <c r="A14435" i="13"/>
  <c r="J14434" i="13"/>
  <c r="F14434" i="13"/>
  <c r="A14434" i="13"/>
  <c r="F14433" i="13"/>
  <c r="A14433" i="13"/>
  <c r="J14432" i="13"/>
  <c r="F14432" i="13"/>
  <c r="A14432" i="13"/>
  <c r="F14431" i="13"/>
  <c r="A14431" i="13"/>
  <c r="F14430" i="13"/>
  <c r="A14430" i="13"/>
  <c r="J14429" i="13"/>
  <c r="F14429" i="13"/>
  <c r="A14429" i="13"/>
  <c r="J14428" i="13"/>
  <c r="F14428" i="13"/>
  <c r="A14428" i="13"/>
  <c r="J14427" i="13"/>
  <c r="F14427" i="13"/>
  <c r="A14427" i="13"/>
  <c r="J14426" i="13"/>
  <c r="F14426" i="13"/>
  <c r="A14426" i="13"/>
  <c r="J14425" i="13"/>
  <c r="F14425" i="13"/>
  <c r="A14425" i="13"/>
  <c r="J14424" i="13"/>
  <c r="F14424" i="13"/>
  <c r="A14424" i="13"/>
  <c r="F14423" i="13"/>
  <c r="A14423" i="13"/>
  <c r="J14422" i="13"/>
  <c r="F14422" i="13"/>
  <c r="A14422" i="13"/>
  <c r="J14421" i="13"/>
  <c r="F14421" i="13"/>
  <c r="A14421" i="13"/>
  <c r="F14420" i="13"/>
  <c r="A14420" i="13"/>
  <c r="F14419" i="13"/>
  <c r="A14419" i="13"/>
  <c r="F14418" i="13"/>
  <c r="A14418" i="13"/>
  <c r="J14417" i="13"/>
  <c r="F14417" i="13"/>
  <c r="A14417" i="13"/>
  <c r="J14416" i="13"/>
  <c r="F14416" i="13"/>
  <c r="A14416" i="13"/>
  <c r="J14415" i="13"/>
  <c r="F14415" i="13"/>
  <c r="A14415" i="13"/>
  <c r="J14414" i="13"/>
  <c r="F14414" i="13"/>
  <c r="A14414" i="13"/>
  <c r="J14413" i="13"/>
  <c r="F14413" i="13"/>
  <c r="A14413" i="13"/>
  <c r="J14412" i="13"/>
  <c r="F14412" i="13"/>
  <c r="A14412" i="13"/>
  <c r="J14411" i="13"/>
  <c r="F14411" i="13"/>
  <c r="A14411" i="13"/>
  <c r="J14410" i="13"/>
  <c r="F14410" i="13"/>
  <c r="A14410" i="13"/>
  <c r="J14409" i="13"/>
  <c r="F14409" i="13"/>
  <c r="A14409" i="13"/>
  <c r="J14408" i="13"/>
  <c r="F14408" i="13"/>
  <c r="A14408" i="13"/>
  <c r="J14407" i="13"/>
  <c r="F14407" i="13"/>
  <c r="A14407" i="13"/>
  <c r="J14406" i="13"/>
  <c r="F14406" i="13"/>
  <c r="A14406" i="13"/>
  <c r="J14405" i="13"/>
  <c r="F14405" i="13"/>
  <c r="A14405" i="13"/>
  <c r="J14404" i="13"/>
  <c r="F14404" i="13"/>
  <c r="A14404" i="13"/>
  <c r="J14403" i="13"/>
  <c r="F14403" i="13"/>
  <c r="A14403" i="13"/>
  <c r="J14402" i="13"/>
  <c r="F14402" i="13"/>
  <c r="A14402" i="13"/>
  <c r="J14401" i="13"/>
  <c r="F14401" i="13"/>
  <c r="A14401" i="13"/>
  <c r="J14400" i="13"/>
  <c r="F14400" i="13"/>
  <c r="A14400" i="13"/>
  <c r="J14399" i="13"/>
  <c r="F14399" i="13"/>
  <c r="A14399" i="13"/>
  <c r="F14398" i="13"/>
  <c r="A14398" i="13"/>
  <c r="J14397" i="13"/>
  <c r="F14397" i="13"/>
  <c r="A14397" i="13"/>
  <c r="J14396" i="13"/>
  <c r="F14396" i="13"/>
  <c r="A14396" i="13"/>
  <c r="F14395" i="13"/>
  <c r="A14395" i="13"/>
  <c r="F14394" i="13"/>
  <c r="A14394" i="13"/>
  <c r="J14393" i="13"/>
  <c r="F14393" i="13"/>
  <c r="A14393" i="13"/>
  <c r="F14392" i="13"/>
  <c r="A14392" i="13"/>
  <c r="J14391" i="13"/>
  <c r="F14391" i="13"/>
  <c r="A14391" i="13"/>
  <c r="J14390" i="13"/>
  <c r="F14390" i="13"/>
  <c r="A14390" i="13"/>
  <c r="J14389" i="13"/>
  <c r="F14389" i="13"/>
  <c r="A14389" i="13"/>
  <c r="J14388" i="13"/>
  <c r="F14388" i="13"/>
  <c r="A14388" i="13"/>
  <c r="F14387" i="13"/>
  <c r="A14387" i="13"/>
  <c r="F14386" i="13"/>
  <c r="A14386" i="13"/>
  <c r="F14385" i="13"/>
  <c r="A14385" i="13"/>
  <c r="J14384" i="13"/>
  <c r="F14384" i="13"/>
  <c r="A14384" i="13"/>
  <c r="J14383" i="13"/>
  <c r="F14383" i="13"/>
  <c r="A14383" i="13"/>
  <c r="J14382" i="13"/>
  <c r="F14382" i="13"/>
  <c r="A14382" i="13"/>
  <c r="F14381" i="13"/>
  <c r="A14381" i="13"/>
  <c r="J14380" i="13"/>
  <c r="F14380" i="13"/>
  <c r="A14380" i="13"/>
  <c r="J14379" i="13"/>
  <c r="F14379" i="13"/>
  <c r="A14379" i="13"/>
  <c r="J14378" i="13"/>
  <c r="F14378" i="13"/>
  <c r="A14378" i="13"/>
  <c r="J14377" i="13"/>
  <c r="F14377" i="13"/>
  <c r="A14377" i="13"/>
  <c r="J14376" i="13"/>
  <c r="F14376" i="13"/>
  <c r="A14376" i="13"/>
  <c r="F14375" i="13"/>
  <c r="A14375" i="13"/>
  <c r="J14374" i="13"/>
  <c r="F14374" i="13"/>
  <c r="A14374" i="13"/>
  <c r="J14373" i="13"/>
  <c r="F14373" i="13"/>
  <c r="A14373" i="13"/>
  <c r="F14372" i="13"/>
  <c r="A14372" i="13"/>
  <c r="J14371" i="13"/>
  <c r="F14371" i="13"/>
  <c r="A14371" i="13"/>
  <c r="J14370" i="13"/>
  <c r="F14370" i="13"/>
  <c r="A14370" i="13"/>
  <c r="J14369" i="13"/>
  <c r="F14369" i="13"/>
  <c r="A14369" i="13"/>
  <c r="F14368" i="13"/>
  <c r="A14368" i="13"/>
  <c r="J14367" i="13"/>
  <c r="F14367" i="13"/>
  <c r="A14367" i="13"/>
  <c r="F14366" i="13"/>
  <c r="A14366" i="13"/>
  <c r="F14365" i="13"/>
  <c r="A14365" i="13"/>
  <c r="J14364" i="13"/>
  <c r="F14364" i="13"/>
  <c r="A14364" i="13"/>
  <c r="J14363" i="13"/>
  <c r="F14363" i="13"/>
  <c r="A14363" i="13"/>
  <c r="J14362" i="13"/>
  <c r="F14362" i="13"/>
  <c r="A14362" i="13"/>
  <c r="J14361" i="13"/>
  <c r="F14361" i="13"/>
  <c r="A14361" i="13"/>
  <c r="F14360" i="13"/>
  <c r="A14360" i="13"/>
  <c r="J14359" i="13"/>
  <c r="F14359" i="13"/>
  <c r="A14359" i="13"/>
  <c r="F14358" i="13"/>
  <c r="A14358" i="13"/>
  <c r="J14357" i="13"/>
  <c r="F14357" i="13"/>
  <c r="A14357" i="13"/>
  <c r="J14356" i="13"/>
  <c r="F14356" i="13"/>
  <c r="A14356" i="13"/>
  <c r="J14355" i="13"/>
  <c r="F14355" i="13"/>
  <c r="A14355" i="13"/>
  <c r="F14354" i="13"/>
  <c r="A14354" i="13"/>
  <c r="J14353" i="13"/>
  <c r="F14353" i="13"/>
  <c r="A14353" i="13"/>
  <c r="J14352" i="13"/>
  <c r="F14352" i="13"/>
  <c r="A14352" i="13"/>
  <c r="J14351" i="13"/>
  <c r="F14351" i="13"/>
  <c r="A14351" i="13"/>
  <c r="F14350" i="13"/>
  <c r="A14350" i="13"/>
  <c r="J14349" i="13"/>
  <c r="F14349" i="13"/>
  <c r="A14349" i="13"/>
  <c r="J14348" i="13"/>
  <c r="F14348" i="13"/>
  <c r="A14348" i="13"/>
  <c r="J14347" i="13"/>
  <c r="F14347" i="13"/>
  <c r="A14347" i="13"/>
  <c r="J14346" i="13"/>
  <c r="F14346" i="13"/>
  <c r="A14346" i="13"/>
  <c r="F14345" i="13"/>
  <c r="A14345" i="13"/>
  <c r="J14344" i="13"/>
  <c r="F14344" i="13"/>
  <c r="A14344" i="13"/>
  <c r="J14343" i="13"/>
  <c r="F14343" i="13"/>
  <c r="A14343" i="13"/>
  <c r="J14342" i="13"/>
  <c r="F14342" i="13"/>
  <c r="A14342" i="13"/>
  <c r="J14341" i="13"/>
  <c r="F14341" i="13"/>
  <c r="A14341" i="13"/>
  <c r="F14340" i="13"/>
  <c r="A14340" i="13"/>
  <c r="F14339" i="13"/>
  <c r="A14339" i="13"/>
  <c r="F14338" i="13"/>
  <c r="A14338" i="13"/>
  <c r="F14337" i="13"/>
  <c r="A14337" i="13"/>
  <c r="F14336" i="13"/>
  <c r="A14336" i="13"/>
  <c r="F14335" i="13"/>
  <c r="A14335" i="13"/>
  <c r="F14334" i="13"/>
  <c r="A14334" i="13"/>
  <c r="F14333" i="13"/>
  <c r="A14333" i="13"/>
  <c r="J14332" i="13"/>
  <c r="F14332" i="13"/>
  <c r="A14332" i="13"/>
  <c r="F14331" i="13"/>
  <c r="A14331" i="13"/>
  <c r="F14330" i="13"/>
  <c r="A14330" i="13"/>
  <c r="F14329" i="13"/>
  <c r="A14329" i="13"/>
  <c r="J14328" i="13"/>
  <c r="F14328" i="13"/>
  <c r="A14328" i="13"/>
  <c r="F14327" i="13"/>
  <c r="A14327" i="13"/>
  <c r="F14326" i="13"/>
  <c r="A14326" i="13"/>
  <c r="F14325" i="13"/>
  <c r="A14325" i="13"/>
  <c r="J14324" i="13"/>
  <c r="F14324" i="13"/>
  <c r="A14324" i="13"/>
  <c r="J14323" i="13"/>
  <c r="F14323" i="13"/>
  <c r="A14323" i="13"/>
  <c r="J14322" i="13"/>
  <c r="F14322" i="13"/>
  <c r="A14322" i="13"/>
  <c r="F14321" i="13"/>
  <c r="A14321" i="13"/>
  <c r="F14320" i="13"/>
  <c r="A14320" i="13"/>
  <c r="F14319" i="13"/>
  <c r="A14319" i="13"/>
  <c r="J14318" i="13"/>
  <c r="F14318" i="13"/>
  <c r="A14318" i="13"/>
  <c r="J14317" i="13"/>
  <c r="F14317" i="13"/>
  <c r="A14317" i="13"/>
  <c r="J14316" i="13"/>
  <c r="F14316" i="13"/>
  <c r="A14316" i="13"/>
  <c r="J14315" i="13"/>
  <c r="F14315" i="13"/>
  <c r="A14315" i="13"/>
  <c r="F14314" i="13"/>
  <c r="A14314" i="13"/>
  <c r="F14313" i="13"/>
  <c r="A14313" i="13"/>
  <c r="F14312" i="13"/>
  <c r="A14312" i="13"/>
  <c r="J14311" i="13"/>
  <c r="F14311" i="13"/>
  <c r="A14311" i="13"/>
  <c r="J14310" i="13"/>
  <c r="F14310" i="13"/>
  <c r="A14310" i="13"/>
  <c r="F14309" i="13"/>
  <c r="A14309" i="13"/>
  <c r="F14308" i="13"/>
  <c r="A14308" i="13"/>
  <c r="F14307" i="13"/>
  <c r="A14307" i="13"/>
  <c r="F14306" i="13"/>
  <c r="A14306" i="13"/>
  <c r="J14305" i="13"/>
  <c r="F14305" i="13"/>
  <c r="A14305" i="13"/>
  <c r="F14304" i="13"/>
  <c r="A14304" i="13"/>
  <c r="F14303" i="13"/>
  <c r="A14303" i="13"/>
  <c r="J14302" i="13"/>
  <c r="F14302" i="13"/>
  <c r="A14302" i="13"/>
  <c r="J14301" i="13"/>
  <c r="F14301" i="13"/>
  <c r="A14301" i="13"/>
  <c r="J14300" i="13"/>
  <c r="F14300" i="13"/>
  <c r="A14300" i="13"/>
  <c r="J14299" i="13"/>
  <c r="F14299" i="13"/>
  <c r="A14299" i="13"/>
  <c r="J14298" i="13"/>
  <c r="F14298" i="13"/>
  <c r="A14298" i="13"/>
  <c r="J14297" i="13"/>
  <c r="F14297" i="13"/>
  <c r="A14297" i="13"/>
  <c r="F14296" i="13"/>
  <c r="A14296" i="13"/>
  <c r="F14295" i="13"/>
  <c r="A14295" i="13"/>
  <c r="F14294" i="13"/>
  <c r="A14294" i="13"/>
  <c r="F14293" i="13"/>
  <c r="A14293" i="13"/>
  <c r="F14292" i="13"/>
  <c r="A14292" i="13"/>
  <c r="J14291" i="13"/>
  <c r="F14291" i="13"/>
  <c r="A14291" i="13"/>
  <c r="J14290" i="13"/>
  <c r="F14290" i="13"/>
  <c r="A14290" i="13"/>
  <c r="J14289" i="13"/>
  <c r="F14289" i="13"/>
  <c r="A14289" i="13"/>
  <c r="J14288" i="13"/>
  <c r="F14288" i="13"/>
  <c r="A14288" i="13"/>
  <c r="J14287" i="13"/>
  <c r="F14287" i="13"/>
  <c r="A14287" i="13"/>
  <c r="J14286" i="13"/>
  <c r="F14286" i="13"/>
  <c r="A14286" i="13"/>
  <c r="J14285" i="13"/>
  <c r="F14285" i="13"/>
  <c r="A14285" i="13"/>
  <c r="J14284" i="13"/>
  <c r="F14284" i="13"/>
  <c r="A14284" i="13"/>
  <c r="J14283" i="13"/>
  <c r="F14283" i="13"/>
  <c r="A14283" i="13"/>
  <c r="J14282" i="13"/>
  <c r="F14282" i="13"/>
  <c r="A14282" i="13"/>
  <c r="J14281" i="13"/>
  <c r="F14281" i="13"/>
  <c r="A14281" i="13"/>
  <c r="F14280" i="13"/>
  <c r="A14280" i="13"/>
  <c r="F14279" i="13"/>
  <c r="A14279" i="13"/>
  <c r="J14278" i="13"/>
  <c r="F14278" i="13"/>
  <c r="A14278" i="13"/>
  <c r="J14277" i="13"/>
  <c r="F14277" i="13"/>
  <c r="A14277" i="13"/>
  <c r="F14276" i="13"/>
  <c r="A14276" i="13"/>
  <c r="J14275" i="13"/>
  <c r="F14275" i="13"/>
  <c r="A14275" i="13"/>
  <c r="J14274" i="13"/>
  <c r="F14274" i="13"/>
  <c r="A14274" i="13"/>
  <c r="J14273" i="13"/>
  <c r="F14273" i="13"/>
  <c r="A14273" i="13"/>
  <c r="F14272" i="13"/>
  <c r="A14272" i="13"/>
  <c r="J14271" i="13"/>
  <c r="F14271" i="13"/>
  <c r="A14271" i="13"/>
  <c r="F14270" i="13"/>
  <c r="A14270" i="13"/>
  <c r="J14269" i="13"/>
  <c r="F14269" i="13"/>
  <c r="A14269" i="13"/>
  <c r="J14268" i="13"/>
  <c r="F14268" i="13"/>
  <c r="A14268" i="13"/>
  <c r="F14267" i="13"/>
  <c r="A14267" i="13"/>
  <c r="J14266" i="13"/>
  <c r="F14266" i="13"/>
  <c r="A14266" i="13"/>
  <c r="J14265" i="13"/>
  <c r="F14265" i="13"/>
  <c r="A14265" i="13"/>
  <c r="J14264" i="13"/>
  <c r="F14264" i="13"/>
  <c r="A14264" i="13"/>
  <c r="J14263" i="13"/>
  <c r="F14263" i="13"/>
  <c r="A14263" i="13"/>
  <c r="J14262" i="13"/>
  <c r="F14262" i="13"/>
  <c r="A14262" i="13"/>
  <c r="J14261" i="13"/>
  <c r="F14261" i="13"/>
  <c r="A14261" i="13"/>
  <c r="J14260" i="13"/>
  <c r="F14260" i="13"/>
  <c r="A14260" i="13"/>
  <c r="F14259" i="13"/>
  <c r="A14259" i="13"/>
  <c r="J14258" i="13"/>
  <c r="F14258" i="13"/>
  <c r="A14258" i="13"/>
  <c r="J14257" i="13"/>
  <c r="F14257" i="13"/>
  <c r="A14257" i="13"/>
  <c r="J14256" i="13"/>
  <c r="F14256" i="13"/>
  <c r="A14256" i="13"/>
  <c r="F14255" i="13"/>
  <c r="A14255" i="13"/>
  <c r="F14254" i="13"/>
  <c r="A14254" i="13"/>
  <c r="J14253" i="13"/>
  <c r="F14253" i="13"/>
  <c r="A14253" i="13"/>
  <c r="F14252" i="13"/>
  <c r="A14252" i="13"/>
  <c r="J14251" i="13"/>
  <c r="F14251" i="13"/>
  <c r="A14251" i="13"/>
  <c r="J14250" i="13"/>
  <c r="F14250" i="13"/>
  <c r="A14250" i="13"/>
  <c r="J14249" i="13"/>
  <c r="F14249" i="13"/>
  <c r="A14249" i="13"/>
  <c r="F14248" i="13"/>
  <c r="A14248" i="13"/>
  <c r="J14247" i="13"/>
  <c r="F14247" i="13"/>
  <c r="A14247" i="13"/>
  <c r="F14246" i="13"/>
  <c r="A14246" i="13"/>
  <c r="J14245" i="13"/>
  <c r="F14245" i="13"/>
  <c r="A14245" i="13"/>
  <c r="F14244" i="13"/>
  <c r="A14244" i="13"/>
  <c r="J14243" i="13"/>
  <c r="F14243" i="13"/>
  <c r="A14243" i="13"/>
  <c r="F14242" i="13"/>
  <c r="A14242" i="13"/>
  <c r="F14241" i="13"/>
  <c r="A14241" i="13"/>
  <c r="F14240" i="13"/>
  <c r="A14240" i="13"/>
  <c r="F14239" i="13"/>
  <c r="A14239" i="13"/>
  <c r="F14238" i="13"/>
  <c r="A14238" i="13"/>
  <c r="F14237" i="13"/>
  <c r="A14237" i="13"/>
  <c r="F14236" i="13"/>
  <c r="A14236" i="13"/>
  <c r="F14235" i="13"/>
  <c r="A14235" i="13"/>
  <c r="F14234" i="13"/>
  <c r="A14234" i="13"/>
  <c r="J14233" i="13"/>
  <c r="F14233" i="13"/>
  <c r="A14233" i="13"/>
  <c r="F14232" i="13"/>
  <c r="A14232" i="13"/>
  <c r="F14231" i="13"/>
  <c r="A14231" i="13"/>
  <c r="J14230" i="13"/>
  <c r="F14230" i="13"/>
  <c r="A14230" i="13"/>
  <c r="J14229" i="13"/>
  <c r="F14229" i="13"/>
  <c r="A14229" i="13"/>
  <c r="F14228" i="13"/>
  <c r="A14228" i="13"/>
  <c r="F14227" i="13"/>
  <c r="A14227" i="13"/>
  <c r="F14226" i="13"/>
  <c r="A14226" i="13"/>
  <c r="F14225" i="13"/>
  <c r="A14225" i="13"/>
  <c r="F14224" i="13"/>
  <c r="A14224" i="13"/>
  <c r="F14223" i="13"/>
  <c r="A14223" i="13"/>
  <c r="F14222" i="13"/>
  <c r="A14222" i="13"/>
  <c r="J14221" i="13"/>
  <c r="F14221" i="13"/>
  <c r="A14221" i="13"/>
  <c r="J14220" i="13"/>
  <c r="F14220" i="13"/>
  <c r="A14220" i="13"/>
  <c r="F14219" i="13"/>
  <c r="A14219" i="13"/>
  <c r="J14218" i="13"/>
  <c r="F14218" i="13"/>
  <c r="A14218" i="13"/>
  <c r="J14217" i="13"/>
  <c r="F14217" i="13"/>
  <c r="A14217" i="13"/>
  <c r="J14216" i="13"/>
  <c r="F14216" i="13"/>
  <c r="A14216" i="13"/>
  <c r="F14215" i="13"/>
  <c r="A14215" i="13"/>
  <c r="J14214" i="13"/>
  <c r="F14214" i="13"/>
  <c r="A14214" i="13"/>
  <c r="J14213" i="13"/>
  <c r="F14213" i="13"/>
  <c r="A14213" i="13"/>
  <c r="F14212" i="13"/>
  <c r="A14212" i="13"/>
  <c r="F14211" i="13"/>
  <c r="A14211" i="13"/>
  <c r="F14210" i="13"/>
  <c r="A14210" i="13"/>
  <c r="F14209" i="13"/>
  <c r="A14209" i="13"/>
  <c r="F14208" i="13"/>
  <c r="A14208" i="13"/>
  <c r="J14207" i="13"/>
  <c r="F14207" i="13"/>
  <c r="A14207" i="13"/>
  <c r="F14206" i="13"/>
  <c r="A14206" i="13"/>
  <c r="F14205" i="13"/>
  <c r="A14205" i="13"/>
  <c r="F14204" i="13"/>
  <c r="A14204" i="13"/>
  <c r="F14203" i="13"/>
  <c r="A14203" i="13"/>
  <c r="J14202" i="13"/>
  <c r="F14202" i="13"/>
  <c r="A14202" i="13"/>
  <c r="J14201" i="13"/>
  <c r="F14201" i="13"/>
  <c r="A14201" i="13"/>
  <c r="J14200" i="13"/>
  <c r="F14200" i="13"/>
  <c r="A14200" i="13"/>
  <c r="F14199" i="13"/>
  <c r="A14199" i="13"/>
  <c r="F14198" i="13"/>
  <c r="A14198" i="13"/>
  <c r="F14197" i="13"/>
  <c r="A14197" i="13"/>
  <c r="F14196" i="13"/>
  <c r="A14196" i="13"/>
  <c r="J14195" i="13"/>
  <c r="F14195" i="13"/>
  <c r="A14195" i="13"/>
  <c r="J14194" i="13"/>
  <c r="F14194" i="13"/>
  <c r="A14194" i="13"/>
  <c r="J14193" i="13"/>
  <c r="F14193" i="13"/>
  <c r="A14193" i="13"/>
  <c r="F14192" i="13"/>
  <c r="A14192" i="13"/>
  <c r="F14191" i="13"/>
  <c r="A14191" i="13"/>
  <c r="J14190" i="13"/>
  <c r="F14190" i="13"/>
  <c r="A14190" i="13"/>
  <c r="J14189" i="13"/>
  <c r="F14189" i="13"/>
  <c r="A14189" i="13"/>
  <c r="J14188" i="13"/>
  <c r="F14188" i="13"/>
  <c r="A14188" i="13"/>
  <c r="J14187" i="13"/>
  <c r="F14187" i="13"/>
  <c r="A14187" i="13"/>
  <c r="J14186" i="13"/>
  <c r="F14186" i="13"/>
  <c r="A14186" i="13"/>
  <c r="J14185" i="13"/>
  <c r="F14185" i="13"/>
  <c r="A14185" i="13"/>
  <c r="F14184" i="13"/>
  <c r="A14184" i="13"/>
  <c r="F14183" i="13"/>
  <c r="A14183" i="13"/>
  <c r="J14182" i="13"/>
  <c r="F14182" i="13"/>
  <c r="A14182" i="13"/>
  <c r="J14181" i="13"/>
  <c r="F14181" i="13"/>
  <c r="A14181" i="13"/>
  <c r="J14180" i="13"/>
  <c r="F14180" i="13"/>
  <c r="A14180" i="13"/>
  <c r="J14179" i="13"/>
  <c r="F14179" i="13"/>
  <c r="A14179" i="13"/>
  <c r="F14178" i="13"/>
  <c r="A14178" i="13"/>
  <c r="J14177" i="13"/>
  <c r="F14177" i="13"/>
  <c r="A14177" i="13"/>
  <c r="F14176" i="13"/>
  <c r="A14176" i="13"/>
  <c r="F14175" i="13"/>
  <c r="A14175" i="13"/>
  <c r="J14174" i="13"/>
  <c r="F14174" i="13"/>
  <c r="A14174" i="13"/>
  <c r="J14173" i="13"/>
  <c r="F14173" i="13"/>
  <c r="A14173" i="13"/>
  <c r="F14172" i="13"/>
  <c r="A14172" i="13"/>
  <c r="J14171" i="13"/>
  <c r="F14171" i="13"/>
  <c r="A14171" i="13"/>
  <c r="J14170" i="13"/>
  <c r="F14170" i="13"/>
  <c r="A14170" i="13"/>
  <c r="J14169" i="13"/>
  <c r="F14169" i="13"/>
  <c r="A14169" i="13"/>
  <c r="J14168" i="13"/>
  <c r="F14168" i="13"/>
  <c r="A14168" i="13"/>
  <c r="F14167" i="13"/>
  <c r="A14167" i="13"/>
  <c r="F14166" i="13"/>
  <c r="A14166" i="13"/>
  <c r="F14165" i="13"/>
  <c r="A14165" i="13"/>
  <c r="F14164" i="13"/>
  <c r="A14164" i="13"/>
  <c r="F14163" i="13"/>
  <c r="A14163" i="13"/>
  <c r="F14162" i="13"/>
  <c r="A14162" i="13"/>
  <c r="F14161" i="13"/>
  <c r="A14161" i="13"/>
  <c r="F14160" i="13"/>
  <c r="A14160" i="13"/>
  <c r="F14159" i="13"/>
  <c r="A14159" i="13"/>
  <c r="J14158" i="13"/>
  <c r="F14158" i="13"/>
  <c r="A14158" i="13"/>
  <c r="J14157" i="13"/>
  <c r="F14157" i="13"/>
  <c r="A14157" i="13"/>
  <c r="J14156" i="13"/>
  <c r="F14156" i="13"/>
  <c r="A14156" i="13"/>
  <c r="J14155" i="13"/>
  <c r="F14155" i="13"/>
  <c r="A14155" i="13"/>
  <c r="J14154" i="13"/>
  <c r="F14154" i="13"/>
  <c r="A14154" i="13"/>
  <c r="F14153" i="13"/>
  <c r="A14153" i="13"/>
  <c r="F14152" i="13"/>
  <c r="A14152" i="13"/>
  <c r="F14151" i="13"/>
  <c r="A14151" i="13"/>
  <c r="J14150" i="13"/>
  <c r="F14150" i="13"/>
  <c r="A14150" i="13"/>
  <c r="F14149" i="13"/>
  <c r="A14149" i="13"/>
  <c r="J14148" i="13"/>
  <c r="F14148" i="13"/>
  <c r="A14148" i="13"/>
  <c r="F14147" i="13"/>
  <c r="A14147" i="13"/>
  <c r="J14146" i="13"/>
  <c r="F14146" i="13"/>
  <c r="A14146" i="13"/>
  <c r="F14145" i="13"/>
  <c r="A14145" i="13"/>
  <c r="F14144" i="13"/>
  <c r="A14144" i="13"/>
  <c r="J14143" i="13"/>
  <c r="F14143" i="13"/>
  <c r="A14143" i="13"/>
  <c r="J14142" i="13"/>
  <c r="F14142" i="13"/>
  <c r="A14142" i="13"/>
  <c r="J14141" i="13"/>
  <c r="F14141" i="13"/>
  <c r="A14141" i="13"/>
  <c r="J14140" i="13"/>
  <c r="F14140" i="13"/>
  <c r="A14140" i="13"/>
  <c r="F14139" i="13"/>
  <c r="A14139" i="13"/>
  <c r="F14138" i="13"/>
  <c r="A14138" i="13"/>
  <c r="F14137" i="13"/>
  <c r="A14137" i="13"/>
  <c r="F14136" i="13"/>
  <c r="A14136" i="13"/>
  <c r="F14135" i="13"/>
  <c r="A14135" i="13"/>
  <c r="J14134" i="13"/>
  <c r="F14134" i="13"/>
  <c r="A14134" i="13"/>
  <c r="F14133" i="13"/>
  <c r="A14133" i="13"/>
  <c r="F14132" i="13"/>
  <c r="A14132" i="13"/>
  <c r="F14131" i="13"/>
  <c r="A14131" i="13"/>
  <c r="F14130" i="13"/>
  <c r="A14130" i="13"/>
  <c r="J14129" i="13"/>
  <c r="F14129" i="13"/>
  <c r="A14129" i="13"/>
  <c r="J14128" i="13"/>
  <c r="F14128" i="13"/>
  <c r="A14128" i="13"/>
  <c r="J14127" i="13"/>
  <c r="F14127" i="13"/>
  <c r="A14127" i="13"/>
  <c r="J14126" i="13"/>
  <c r="F14126" i="13"/>
  <c r="A14126" i="13"/>
  <c r="F14125" i="13"/>
  <c r="A14125" i="13"/>
  <c r="F14124" i="13"/>
  <c r="A14124" i="13"/>
  <c r="F14123" i="13"/>
  <c r="A14123" i="13"/>
  <c r="F14122" i="13"/>
  <c r="A14122" i="13"/>
  <c r="F14121" i="13"/>
  <c r="A14121" i="13"/>
  <c r="F14120" i="13"/>
  <c r="A14120" i="13"/>
  <c r="F14119" i="13"/>
  <c r="A14119" i="13"/>
  <c r="F14118" i="13"/>
  <c r="A14118" i="13"/>
  <c r="F14117" i="13"/>
  <c r="A14117" i="13"/>
  <c r="J14116" i="13"/>
  <c r="F14116" i="13"/>
  <c r="A14116" i="13"/>
  <c r="J14115" i="13"/>
  <c r="F14115" i="13"/>
  <c r="A14115" i="13"/>
  <c r="F14114" i="13"/>
  <c r="A14114" i="13"/>
  <c r="J14113" i="13"/>
  <c r="F14113" i="13"/>
  <c r="A14113" i="13"/>
  <c r="F14112" i="13"/>
  <c r="A14112" i="13"/>
  <c r="F14111" i="13"/>
  <c r="A14111" i="13"/>
  <c r="F14110" i="13"/>
  <c r="A14110" i="13"/>
  <c r="F14109" i="13"/>
  <c r="A14109" i="13"/>
  <c r="J14108" i="13"/>
  <c r="F14108" i="13"/>
  <c r="A14108" i="13"/>
  <c r="J14107" i="13"/>
  <c r="F14107" i="13"/>
  <c r="A14107" i="13"/>
  <c r="F14106" i="13"/>
  <c r="A14106" i="13"/>
  <c r="J14105" i="13"/>
  <c r="F14105" i="13"/>
  <c r="A14105" i="13"/>
  <c r="J14104" i="13"/>
  <c r="F14104" i="13"/>
  <c r="A14104" i="13"/>
  <c r="J14103" i="13"/>
  <c r="F14103" i="13"/>
  <c r="A14103" i="13"/>
  <c r="J14102" i="13"/>
  <c r="F14102" i="13"/>
  <c r="A14102" i="13"/>
  <c r="F14101" i="13"/>
  <c r="A14101" i="13"/>
  <c r="F14100" i="13"/>
  <c r="A14100" i="13"/>
  <c r="F14099" i="13"/>
  <c r="A14099" i="13"/>
  <c r="J14098" i="13"/>
  <c r="F14098" i="13"/>
  <c r="A14098" i="13"/>
  <c r="F14097" i="13"/>
  <c r="A14097" i="13"/>
  <c r="J14096" i="13"/>
  <c r="F14096" i="13"/>
  <c r="A14096" i="13"/>
  <c r="J14095" i="13"/>
  <c r="F14095" i="13"/>
  <c r="A14095" i="13"/>
  <c r="J14094" i="13"/>
  <c r="F14094" i="13"/>
  <c r="A14094" i="13"/>
  <c r="J14093" i="13"/>
  <c r="F14093" i="13"/>
  <c r="A14093" i="13"/>
  <c r="F14092" i="13"/>
  <c r="A14092" i="13"/>
  <c r="J14091" i="13"/>
  <c r="F14091" i="13"/>
  <c r="A14091" i="13"/>
  <c r="F14090" i="13"/>
  <c r="A14090" i="13"/>
  <c r="F14089" i="13"/>
  <c r="A14089" i="13"/>
  <c r="F14088" i="13"/>
  <c r="A14088" i="13"/>
  <c r="J14087" i="13"/>
  <c r="F14087" i="13"/>
  <c r="A14087" i="13"/>
  <c r="J14086" i="13"/>
  <c r="F14086" i="13"/>
  <c r="A14086" i="13"/>
  <c r="F14085" i="13"/>
  <c r="A14085" i="13"/>
  <c r="F14084" i="13"/>
  <c r="A14084" i="13"/>
  <c r="F14083" i="13"/>
  <c r="A14083" i="13"/>
  <c r="F14082" i="13"/>
  <c r="A14082" i="13"/>
  <c r="F14081" i="13"/>
  <c r="A14081" i="13"/>
  <c r="F14080" i="13"/>
  <c r="A14080" i="13"/>
  <c r="F14079" i="13"/>
  <c r="A14079" i="13"/>
  <c r="J14078" i="13"/>
  <c r="F14078" i="13"/>
  <c r="A14078" i="13"/>
  <c r="J14077" i="13"/>
  <c r="F14077" i="13"/>
  <c r="A14077" i="13"/>
  <c r="F14076" i="13"/>
  <c r="A14076" i="13"/>
  <c r="J14075" i="13"/>
  <c r="F14075" i="13"/>
  <c r="A14075" i="13"/>
  <c r="J14074" i="13"/>
  <c r="F14074" i="13"/>
  <c r="A14074" i="13"/>
  <c r="J14073" i="13"/>
  <c r="F14073" i="13"/>
  <c r="A14073" i="13"/>
  <c r="F14072" i="13"/>
  <c r="A14072" i="13"/>
  <c r="F14071" i="13"/>
  <c r="A14071" i="13"/>
  <c r="F14070" i="13"/>
  <c r="A14070" i="13"/>
  <c r="F14069" i="13"/>
  <c r="A14069" i="13"/>
  <c r="J14068" i="13"/>
  <c r="F14068" i="13"/>
  <c r="A14068" i="13"/>
  <c r="J14067" i="13"/>
  <c r="F14067" i="13"/>
  <c r="A14067" i="13"/>
  <c r="J14066" i="13"/>
  <c r="F14066" i="13"/>
  <c r="A14066" i="13"/>
  <c r="F14065" i="13"/>
  <c r="A14065" i="13"/>
  <c r="F14064" i="13"/>
  <c r="A14064" i="13"/>
  <c r="J14063" i="13"/>
  <c r="F14063" i="13"/>
  <c r="A14063" i="13"/>
  <c r="J14062" i="13"/>
  <c r="F14062" i="13"/>
  <c r="A14062" i="13"/>
  <c r="J14061" i="13"/>
  <c r="F14061" i="13"/>
  <c r="A14061" i="13"/>
  <c r="J14060" i="13"/>
  <c r="F14060" i="13"/>
  <c r="A14060" i="13"/>
  <c r="J14059" i="13"/>
  <c r="F14059" i="13"/>
  <c r="A14059" i="13"/>
  <c r="F14058" i="13"/>
  <c r="A14058" i="13"/>
  <c r="J14057" i="13"/>
  <c r="F14057" i="13"/>
  <c r="A14057" i="13"/>
  <c r="F14056" i="13"/>
  <c r="A14056" i="13"/>
  <c r="F14055" i="13"/>
  <c r="A14055" i="13"/>
  <c r="F14054" i="13"/>
  <c r="A14054" i="13"/>
  <c r="F14053" i="13"/>
  <c r="A14053" i="13"/>
  <c r="F14052" i="13"/>
  <c r="A14052" i="13"/>
  <c r="J14051" i="13"/>
  <c r="F14051" i="13"/>
  <c r="A14051" i="13"/>
  <c r="J14050" i="13"/>
  <c r="F14050" i="13"/>
  <c r="A14050" i="13"/>
  <c r="J14049" i="13"/>
  <c r="F14049" i="13"/>
  <c r="A14049" i="13"/>
  <c r="J14048" i="13"/>
  <c r="F14048" i="13"/>
  <c r="A14048" i="13"/>
  <c r="J14047" i="13"/>
  <c r="F14047" i="13"/>
  <c r="A14047" i="13"/>
  <c r="J14046" i="13"/>
  <c r="F14046" i="13"/>
  <c r="A14046" i="13"/>
  <c r="J14045" i="13"/>
  <c r="F14045" i="13"/>
  <c r="A14045" i="13"/>
  <c r="J14044" i="13"/>
  <c r="F14044" i="13"/>
  <c r="A14044" i="13"/>
  <c r="J14043" i="13"/>
  <c r="F14043" i="13"/>
  <c r="A14043" i="13"/>
  <c r="F14042" i="13"/>
  <c r="A14042" i="13"/>
  <c r="J14041" i="13"/>
  <c r="F14041" i="13"/>
  <c r="A14041" i="13"/>
  <c r="J14040" i="13"/>
  <c r="F14040" i="13"/>
  <c r="A14040" i="13"/>
  <c r="F14039" i="13"/>
  <c r="A14039" i="13"/>
  <c r="F14038" i="13"/>
  <c r="A14038" i="13"/>
  <c r="J14037" i="13"/>
  <c r="F14037" i="13"/>
  <c r="A14037" i="13"/>
  <c r="J14036" i="13"/>
  <c r="F14036" i="13"/>
  <c r="A14036" i="13"/>
  <c r="J14035" i="13"/>
  <c r="F14035" i="13"/>
  <c r="A14035" i="13"/>
  <c r="J14034" i="13"/>
  <c r="F14034" i="13"/>
  <c r="A14034" i="13"/>
  <c r="F14033" i="13"/>
  <c r="A14033" i="13"/>
  <c r="J14032" i="13"/>
  <c r="F14032" i="13"/>
  <c r="A14032" i="13"/>
  <c r="F14031" i="13"/>
  <c r="A14031" i="13"/>
  <c r="F14030" i="13"/>
  <c r="A14030" i="13"/>
  <c r="F14029" i="13"/>
  <c r="A14029" i="13"/>
  <c r="F14028" i="13"/>
  <c r="A14028" i="13"/>
  <c r="F14027" i="13"/>
  <c r="A14027" i="13"/>
  <c r="F14026" i="13"/>
  <c r="A14026" i="13"/>
  <c r="F14025" i="13"/>
  <c r="A14025" i="13"/>
  <c r="J14024" i="13"/>
  <c r="F14024" i="13"/>
  <c r="A14024" i="13"/>
  <c r="J14023" i="13"/>
  <c r="F14023" i="13"/>
  <c r="A14023" i="13"/>
  <c r="F14022" i="13"/>
  <c r="A14022" i="13"/>
  <c r="J14021" i="13"/>
  <c r="F14021" i="13"/>
  <c r="A14021" i="13"/>
  <c r="J14020" i="13"/>
  <c r="F14020" i="13"/>
  <c r="A14020" i="13"/>
  <c r="J14019" i="13"/>
  <c r="F14019" i="13"/>
  <c r="A14019" i="13"/>
  <c r="J14018" i="13"/>
  <c r="F14018" i="13"/>
  <c r="A14018" i="13"/>
  <c r="F14017" i="13"/>
  <c r="A14017" i="13"/>
  <c r="F14016" i="13"/>
  <c r="A14016" i="13"/>
  <c r="F14015" i="13"/>
  <c r="A14015" i="13"/>
  <c r="F14014" i="13"/>
  <c r="A14014" i="13"/>
  <c r="J14013" i="13"/>
  <c r="F14013" i="13"/>
  <c r="A14013" i="13"/>
  <c r="J14012" i="13"/>
  <c r="F14012" i="13"/>
  <c r="A14012" i="13"/>
  <c r="F14011" i="13"/>
  <c r="A14011" i="13"/>
  <c r="J14010" i="13"/>
  <c r="F14010" i="13"/>
  <c r="A14010" i="13"/>
  <c r="J14009" i="13"/>
  <c r="F14009" i="13"/>
  <c r="A14009" i="13"/>
  <c r="F14008" i="13"/>
  <c r="A14008" i="13"/>
  <c r="J14007" i="13"/>
  <c r="F14007" i="13"/>
  <c r="A14007" i="13"/>
  <c r="J14006" i="13"/>
  <c r="F14006" i="13"/>
  <c r="A14006" i="13"/>
  <c r="J14005" i="13"/>
  <c r="F14005" i="13"/>
  <c r="A14005" i="13"/>
  <c r="F14004" i="13"/>
  <c r="A14004" i="13"/>
  <c r="F14003" i="13"/>
  <c r="A14003" i="13"/>
  <c r="J14002" i="13"/>
  <c r="F14002" i="13"/>
  <c r="A14002" i="13"/>
  <c r="J14001" i="13"/>
  <c r="F14001" i="13"/>
  <c r="A14001" i="13"/>
  <c r="J14000" i="13"/>
  <c r="F14000" i="13"/>
  <c r="A14000" i="13"/>
  <c r="F13999" i="13"/>
  <c r="A13999" i="13"/>
  <c r="F13998" i="13"/>
  <c r="A13998" i="13"/>
  <c r="F13997" i="13"/>
  <c r="A13997" i="13"/>
  <c r="F13996" i="13"/>
  <c r="A13996" i="13"/>
  <c r="J13995" i="13"/>
  <c r="F13995" i="13"/>
  <c r="A13995" i="13"/>
  <c r="J13994" i="13"/>
  <c r="F13994" i="13"/>
  <c r="A13994" i="13"/>
  <c r="J13993" i="13"/>
  <c r="F13993" i="13"/>
  <c r="A13993" i="13"/>
  <c r="J13992" i="13"/>
  <c r="F13992" i="13"/>
  <c r="A13992" i="13"/>
  <c r="J13991" i="13"/>
  <c r="F13991" i="13"/>
  <c r="A13991" i="13"/>
  <c r="J13990" i="13"/>
  <c r="F13990" i="13"/>
  <c r="A13990" i="13"/>
  <c r="J13989" i="13"/>
  <c r="F13989" i="13"/>
  <c r="A13989" i="13"/>
  <c r="J13988" i="13"/>
  <c r="F13988" i="13"/>
  <c r="A13988" i="13"/>
  <c r="J13987" i="13"/>
  <c r="F13987" i="13"/>
  <c r="A13987" i="13"/>
  <c r="J13986" i="13"/>
  <c r="F13986" i="13"/>
  <c r="A13986" i="13"/>
  <c r="F13985" i="13"/>
  <c r="A13985" i="13"/>
  <c r="F13984" i="13"/>
  <c r="A13984" i="13"/>
  <c r="J13983" i="13"/>
  <c r="F13983" i="13"/>
  <c r="A13983" i="13"/>
  <c r="J13982" i="13"/>
  <c r="F13982" i="13"/>
  <c r="A13982" i="13"/>
  <c r="J13981" i="13"/>
  <c r="F13981" i="13"/>
  <c r="A13981" i="13"/>
  <c r="J13980" i="13"/>
  <c r="F13980" i="13"/>
  <c r="A13980" i="13"/>
  <c r="J13979" i="13"/>
  <c r="F13979" i="13"/>
  <c r="A13979" i="13"/>
  <c r="J13978" i="13"/>
  <c r="F13978" i="13"/>
  <c r="A13978" i="13"/>
  <c r="F13977" i="13"/>
  <c r="A13977" i="13"/>
  <c r="J13976" i="13"/>
  <c r="F13976" i="13"/>
  <c r="A13976" i="13"/>
  <c r="J13975" i="13"/>
  <c r="F13975" i="13"/>
  <c r="A13975" i="13"/>
  <c r="F13974" i="13"/>
  <c r="A13974" i="13"/>
  <c r="F13973" i="13"/>
  <c r="A13973" i="13"/>
  <c r="J13972" i="13"/>
  <c r="F13972" i="13"/>
  <c r="A13972" i="13"/>
  <c r="J13971" i="13"/>
  <c r="F13971" i="13"/>
  <c r="A13971" i="13"/>
  <c r="J13970" i="13"/>
  <c r="F13970" i="13"/>
  <c r="A13970" i="13"/>
  <c r="J13969" i="13"/>
  <c r="F13969" i="13"/>
  <c r="A13969" i="13"/>
  <c r="F13968" i="13"/>
  <c r="A13968" i="13"/>
  <c r="J13967" i="13"/>
  <c r="F13967" i="13"/>
  <c r="A13967" i="13"/>
  <c r="J13966" i="13"/>
  <c r="F13966" i="13"/>
  <c r="A13966" i="13"/>
  <c r="F13965" i="13"/>
  <c r="A13965" i="13"/>
  <c r="F13964" i="13"/>
  <c r="A13964" i="13"/>
  <c r="F13963" i="13"/>
  <c r="A13963" i="13"/>
  <c r="F13962" i="13"/>
  <c r="A13962" i="13"/>
  <c r="F13961" i="13"/>
  <c r="A13961" i="13"/>
  <c r="F13960" i="13"/>
  <c r="A13960" i="13"/>
  <c r="F13959" i="13"/>
  <c r="A13959" i="13"/>
  <c r="F13958" i="13"/>
  <c r="A13958" i="13"/>
  <c r="J13957" i="13"/>
  <c r="F13957" i="13"/>
  <c r="A13957" i="13"/>
  <c r="J13956" i="13"/>
  <c r="F13956" i="13"/>
  <c r="A13956" i="13"/>
  <c r="J13955" i="13"/>
  <c r="F13955" i="13"/>
  <c r="A13955" i="13"/>
  <c r="J13954" i="13"/>
  <c r="F13954" i="13"/>
  <c r="A13954" i="13"/>
  <c r="F13953" i="13"/>
  <c r="A13953" i="13"/>
  <c r="F13952" i="13"/>
  <c r="A13952" i="13"/>
  <c r="F13951" i="13"/>
  <c r="A13951" i="13"/>
  <c r="J13950" i="13"/>
  <c r="F13950" i="13"/>
  <c r="A13950" i="13"/>
  <c r="J13949" i="13"/>
  <c r="F13949" i="13"/>
  <c r="A13949" i="13"/>
  <c r="J13948" i="13"/>
  <c r="F13948" i="13"/>
  <c r="A13948" i="13"/>
  <c r="F13947" i="13"/>
  <c r="A13947" i="13"/>
  <c r="F13946" i="13"/>
  <c r="A13946" i="13"/>
  <c r="J13945" i="13"/>
  <c r="F13945" i="13"/>
  <c r="A13945" i="13"/>
  <c r="J13944" i="13"/>
  <c r="F13944" i="13"/>
  <c r="A13944" i="13"/>
  <c r="J13943" i="13"/>
  <c r="F13943" i="13"/>
  <c r="A13943" i="13"/>
  <c r="F13942" i="13"/>
  <c r="A13942" i="13"/>
  <c r="F13941" i="13"/>
  <c r="A13941" i="13"/>
  <c r="F13940" i="13"/>
  <c r="A13940" i="13"/>
  <c r="F13939" i="13"/>
  <c r="A13939" i="13"/>
  <c r="F13938" i="13"/>
  <c r="A13938" i="13"/>
  <c r="J13937" i="13"/>
  <c r="F13937" i="13"/>
  <c r="A13937" i="13"/>
  <c r="F13936" i="13"/>
  <c r="A13936" i="13"/>
  <c r="F13935" i="13"/>
  <c r="A13935" i="13"/>
  <c r="J13934" i="13"/>
  <c r="F13934" i="13"/>
  <c r="A13934" i="13"/>
  <c r="J13933" i="13"/>
  <c r="F13933" i="13"/>
  <c r="A13933" i="13"/>
  <c r="F13932" i="13"/>
  <c r="A13932" i="13"/>
  <c r="F13931" i="13"/>
  <c r="A13931" i="13"/>
  <c r="F13930" i="13"/>
  <c r="A13930" i="13"/>
  <c r="F13929" i="13"/>
  <c r="A13929" i="13"/>
  <c r="F13928" i="13"/>
  <c r="A13928" i="13"/>
  <c r="F13927" i="13"/>
  <c r="A13927" i="13"/>
  <c r="J13926" i="13"/>
  <c r="F13926" i="13"/>
  <c r="A13926" i="13"/>
  <c r="J13925" i="13"/>
  <c r="F13925" i="13"/>
  <c r="A13925" i="13"/>
  <c r="F13924" i="13"/>
  <c r="A13924" i="13"/>
  <c r="J13923" i="13"/>
  <c r="F13923" i="13"/>
  <c r="A13923" i="13"/>
  <c r="F13922" i="13"/>
  <c r="A13922" i="13"/>
  <c r="J13921" i="13"/>
  <c r="F13921" i="13"/>
  <c r="A13921" i="13"/>
  <c r="J13920" i="13"/>
  <c r="F13920" i="13"/>
  <c r="A13920" i="13"/>
  <c r="J13919" i="13"/>
  <c r="F13919" i="13"/>
  <c r="A13919" i="13"/>
  <c r="F13918" i="13"/>
  <c r="A13918" i="13"/>
  <c r="J13917" i="13"/>
  <c r="F13917" i="13"/>
  <c r="A13917" i="13"/>
  <c r="J13916" i="13"/>
  <c r="F13916" i="13"/>
  <c r="A13916" i="13"/>
  <c r="F13915" i="13"/>
  <c r="A13915" i="13"/>
  <c r="J13914" i="13"/>
  <c r="F13914" i="13"/>
  <c r="A13914" i="13"/>
  <c r="F13913" i="13"/>
  <c r="A13913" i="13"/>
  <c r="J13912" i="13"/>
  <c r="F13912" i="13"/>
  <c r="A13912" i="13"/>
  <c r="J13911" i="13"/>
  <c r="F13911" i="13"/>
  <c r="A13911" i="13"/>
  <c r="F13910" i="13"/>
  <c r="A13910" i="13"/>
  <c r="J13909" i="13"/>
  <c r="F13909" i="13"/>
  <c r="A13909" i="13"/>
  <c r="J13908" i="13"/>
  <c r="F13908" i="13"/>
  <c r="A13908" i="13"/>
  <c r="F13907" i="13"/>
  <c r="A13907" i="13"/>
  <c r="J13906" i="13"/>
  <c r="F13906" i="13"/>
  <c r="A13906" i="13"/>
  <c r="J13905" i="13"/>
  <c r="F13905" i="13"/>
  <c r="A13905" i="13"/>
  <c r="J13904" i="13"/>
  <c r="F13904" i="13"/>
  <c r="A13904" i="13"/>
  <c r="J13903" i="13"/>
  <c r="F13903" i="13"/>
  <c r="A13903" i="13"/>
  <c r="F13902" i="13"/>
  <c r="A13902" i="13"/>
  <c r="J13901" i="13"/>
  <c r="F13901" i="13"/>
  <c r="A13901" i="13"/>
  <c r="J13900" i="13"/>
  <c r="F13900" i="13"/>
  <c r="A13900" i="13"/>
  <c r="J13899" i="13"/>
  <c r="F13899" i="13"/>
  <c r="A13899" i="13"/>
  <c r="F13898" i="13"/>
  <c r="A13898" i="13"/>
  <c r="F13897" i="13"/>
  <c r="A13897" i="13"/>
  <c r="F13896" i="13"/>
  <c r="A13896" i="13"/>
  <c r="J13895" i="13"/>
  <c r="F13895" i="13"/>
  <c r="A13895" i="13"/>
  <c r="J13894" i="13"/>
  <c r="F13894" i="13"/>
  <c r="A13894" i="13"/>
  <c r="F13893" i="13"/>
  <c r="A13893" i="13"/>
  <c r="J13892" i="13"/>
  <c r="F13892" i="13"/>
  <c r="A13892" i="13"/>
  <c r="J13891" i="13"/>
  <c r="F13891" i="13"/>
  <c r="A13891" i="13"/>
  <c r="F13890" i="13"/>
  <c r="A13890" i="13"/>
  <c r="J13889" i="13"/>
  <c r="F13889" i="13"/>
  <c r="A13889" i="13"/>
  <c r="J13888" i="13"/>
  <c r="F13888" i="13"/>
  <c r="A13888" i="13"/>
  <c r="J13887" i="13"/>
  <c r="F13887" i="13"/>
  <c r="A13887" i="13"/>
  <c r="J13886" i="13"/>
  <c r="F13886" i="13"/>
  <c r="A13886" i="13"/>
  <c r="J13885" i="13"/>
  <c r="F13885" i="13"/>
  <c r="A13885" i="13"/>
  <c r="F13884" i="13"/>
  <c r="A13884" i="13"/>
  <c r="F13883" i="13"/>
  <c r="A13883" i="13"/>
  <c r="J13882" i="13"/>
  <c r="F13882" i="13"/>
  <c r="A13882" i="13"/>
  <c r="F13881" i="13"/>
  <c r="A13881" i="13"/>
  <c r="F13880" i="13"/>
  <c r="A13880" i="13"/>
  <c r="F13879" i="13"/>
  <c r="A13879" i="13"/>
  <c r="J13878" i="13"/>
  <c r="F13878" i="13"/>
  <c r="A13878" i="13"/>
  <c r="F13877" i="13"/>
  <c r="A13877" i="13"/>
  <c r="J13876" i="13"/>
  <c r="F13876" i="13"/>
  <c r="A13876" i="13"/>
  <c r="F13875" i="13"/>
  <c r="A13875" i="13"/>
  <c r="J13874" i="13"/>
  <c r="F13874" i="13"/>
  <c r="A13874" i="13"/>
  <c r="J13873" i="13"/>
  <c r="F13873" i="13"/>
  <c r="A13873" i="13"/>
  <c r="J13872" i="13"/>
  <c r="F13872" i="13"/>
  <c r="A13872" i="13"/>
  <c r="F13871" i="13"/>
  <c r="A13871" i="13"/>
  <c r="F13870" i="13"/>
  <c r="A13870" i="13"/>
  <c r="F13869" i="13"/>
  <c r="A13869" i="13"/>
  <c r="J13868" i="13"/>
  <c r="F13868" i="13"/>
  <c r="A13868" i="13"/>
  <c r="J13867" i="13"/>
  <c r="F13867" i="13"/>
  <c r="A13867" i="13"/>
  <c r="J13866" i="13"/>
  <c r="F13866" i="13"/>
  <c r="A13866" i="13"/>
  <c r="J13865" i="13"/>
  <c r="F13865" i="13"/>
  <c r="A13865" i="13"/>
  <c r="J13864" i="13"/>
  <c r="F13864" i="13"/>
  <c r="A13864" i="13"/>
  <c r="J13863" i="13"/>
  <c r="F13863" i="13"/>
  <c r="A13863" i="13"/>
  <c r="J13862" i="13"/>
  <c r="F13862" i="13"/>
  <c r="A13862" i="13"/>
  <c r="F13861" i="13"/>
  <c r="A13861" i="13"/>
  <c r="J13860" i="13"/>
  <c r="F13860" i="13"/>
  <c r="A13860" i="13"/>
  <c r="J13859" i="13"/>
  <c r="F13859" i="13"/>
  <c r="A13859" i="13"/>
  <c r="J13858" i="13"/>
  <c r="F13858" i="13"/>
  <c r="A13858" i="13"/>
  <c r="J13857" i="13"/>
  <c r="F13857" i="13"/>
  <c r="A13857" i="13"/>
  <c r="J13856" i="13"/>
  <c r="F13856" i="13"/>
  <c r="A13856" i="13"/>
  <c r="J13855" i="13"/>
  <c r="F13855" i="13"/>
  <c r="A13855" i="13"/>
  <c r="J13854" i="13"/>
  <c r="F13854" i="13"/>
  <c r="A13854" i="13"/>
  <c r="F13853" i="13"/>
  <c r="A13853" i="13"/>
  <c r="F13852" i="13"/>
  <c r="A13852" i="13"/>
  <c r="F13851" i="13"/>
  <c r="A13851" i="13"/>
  <c r="F13850" i="13"/>
  <c r="A13850" i="13"/>
  <c r="F13849" i="13"/>
  <c r="A13849" i="13"/>
  <c r="F13848" i="13"/>
  <c r="A13848" i="13"/>
  <c r="F13847" i="13"/>
  <c r="A13847" i="13"/>
  <c r="F13846" i="13"/>
  <c r="A13846" i="13"/>
  <c r="F13845" i="13"/>
  <c r="A13845" i="13"/>
  <c r="F13844" i="13"/>
  <c r="A13844" i="13"/>
  <c r="F13843" i="13"/>
  <c r="A13843" i="13"/>
  <c r="J13842" i="13"/>
  <c r="F13842" i="13"/>
  <c r="A13842" i="13"/>
  <c r="J13841" i="13"/>
  <c r="F13841" i="13"/>
  <c r="A13841" i="13"/>
  <c r="F13840" i="13"/>
  <c r="A13840" i="13"/>
  <c r="F13839" i="13"/>
  <c r="A13839" i="13"/>
  <c r="J13838" i="13"/>
  <c r="F13838" i="13"/>
  <c r="A13838" i="13"/>
  <c r="J13837" i="13"/>
  <c r="F13837" i="13"/>
  <c r="A13837" i="13"/>
  <c r="J13836" i="13"/>
  <c r="F13836" i="13"/>
  <c r="A13836" i="13"/>
  <c r="F13835" i="13"/>
  <c r="A13835" i="13"/>
  <c r="F13834" i="13"/>
  <c r="A13834" i="13"/>
  <c r="J13833" i="13"/>
  <c r="F13833" i="13"/>
  <c r="A13833" i="13"/>
  <c r="J13832" i="13"/>
  <c r="F13832" i="13"/>
  <c r="A13832" i="13"/>
  <c r="J13831" i="13"/>
  <c r="F13831" i="13"/>
  <c r="A13831" i="13"/>
  <c r="J13830" i="13"/>
  <c r="F13830" i="13"/>
  <c r="A13830" i="13"/>
  <c r="J13829" i="13"/>
  <c r="F13829" i="13"/>
  <c r="A13829" i="13"/>
  <c r="J13828" i="13"/>
  <c r="F13828" i="13"/>
  <c r="A13828" i="13"/>
  <c r="J13827" i="13"/>
  <c r="F13827" i="13"/>
  <c r="A13827" i="13"/>
  <c r="J13826" i="13"/>
  <c r="F13826" i="13"/>
  <c r="A13826" i="13"/>
  <c r="F13825" i="13"/>
  <c r="A13825" i="13"/>
  <c r="J13824" i="13"/>
  <c r="F13824" i="13"/>
  <c r="A13824" i="13"/>
  <c r="J13823" i="13"/>
  <c r="F13823" i="13"/>
  <c r="A13823" i="13"/>
  <c r="J13822" i="13"/>
  <c r="F13822" i="13"/>
  <c r="A13822" i="13"/>
  <c r="J13821" i="13"/>
  <c r="F13821" i="13"/>
  <c r="A13821" i="13"/>
  <c r="F13820" i="13"/>
  <c r="A13820" i="13"/>
  <c r="J13819" i="13"/>
  <c r="F13819" i="13"/>
  <c r="A13819" i="13"/>
  <c r="J13818" i="13"/>
  <c r="F13818" i="13"/>
  <c r="A13818" i="13"/>
  <c r="J13817" i="13"/>
  <c r="F13817" i="13"/>
  <c r="A13817" i="13"/>
  <c r="F13816" i="13"/>
  <c r="A13816" i="13"/>
  <c r="J13815" i="13"/>
  <c r="F13815" i="13"/>
  <c r="A13815" i="13"/>
  <c r="F13814" i="13"/>
  <c r="A13814" i="13"/>
  <c r="J13813" i="13"/>
  <c r="F13813" i="13"/>
  <c r="A13813" i="13"/>
  <c r="J13812" i="13"/>
  <c r="F13812" i="13"/>
  <c r="A13812" i="13"/>
  <c r="F13811" i="13"/>
  <c r="A13811" i="13"/>
  <c r="F13810" i="13"/>
  <c r="A13810" i="13"/>
  <c r="F13809" i="13"/>
  <c r="A13809" i="13"/>
  <c r="F13808" i="13"/>
  <c r="A13808" i="13"/>
  <c r="J13807" i="13"/>
  <c r="F13807" i="13"/>
  <c r="A13807" i="13"/>
  <c r="J13806" i="13"/>
  <c r="F13806" i="13"/>
  <c r="A13806" i="13"/>
  <c r="J13805" i="13"/>
  <c r="F13805" i="13"/>
  <c r="A13805" i="13"/>
  <c r="J13804" i="13"/>
  <c r="F13804" i="13"/>
  <c r="A13804" i="13"/>
  <c r="J13803" i="13"/>
  <c r="F13803" i="13"/>
  <c r="A13803" i="13"/>
  <c r="F13802" i="13"/>
  <c r="A13802" i="13"/>
  <c r="J13801" i="13"/>
  <c r="F13801" i="13"/>
  <c r="J13800" i="13"/>
  <c r="F13800" i="13"/>
  <c r="A13800" i="13"/>
  <c r="J13799" i="13"/>
  <c r="F13799" i="13"/>
  <c r="A13799" i="13"/>
  <c r="J13798" i="13"/>
  <c r="F13798" i="13"/>
  <c r="A13798" i="13"/>
  <c r="J13797" i="13"/>
  <c r="F13797" i="13"/>
  <c r="F13796" i="13"/>
  <c r="A13796" i="13"/>
  <c r="J13795" i="13"/>
  <c r="F13795" i="13"/>
  <c r="A13795" i="13"/>
  <c r="J13794" i="13"/>
  <c r="F13794" i="13"/>
  <c r="A13794" i="13"/>
  <c r="J13793" i="13"/>
  <c r="F13793" i="13"/>
  <c r="A13793" i="13"/>
  <c r="J13792" i="13"/>
  <c r="F13792" i="13"/>
  <c r="A13792" i="13"/>
  <c r="J13791" i="13"/>
  <c r="F13791" i="13"/>
  <c r="A13791" i="13"/>
  <c r="J13790" i="13"/>
  <c r="F13790" i="13"/>
  <c r="A13790" i="13"/>
  <c r="J13789" i="13"/>
  <c r="F13789" i="13"/>
  <c r="A13789" i="13"/>
  <c r="F13788" i="13"/>
  <c r="A13788" i="13"/>
  <c r="J13787" i="13"/>
  <c r="F13787" i="13"/>
  <c r="A13787" i="13"/>
  <c r="J13786" i="13"/>
  <c r="F13786" i="13"/>
  <c r="A13786" i="13"/>
  <c r="F13785" i="13"/>
  <c r="A13785" i="13"/>
  <c r="J13784" i="13"/>
  <c r="F13784" i="13"/>
  <c r="A13784" i="13"/>
  <c r="J13783" i="13"/>
  <c r="F13783" i="13"/>
  <c r="A13783" i="13"/>
  <c r="J13782" i="13"/>
  <c r="F13782" i="13"/>
  <c r="A13782" i="13"/>
  <c r="J13781" i="13"/>
  <c r="F13781" i="13"/>
  <c r="A13781" i="13"/>
  <c r="F13780" i="13"/>
  <c r="A13780" i="13"/>
  <c r="J13779" i="13"/>
  <c r="F13779" i="13"/>
  <c r="A13779" i="13"/>
  <c r="J13778" i="13"/>
  <c r="F13778" i="13"/>
  <c r="A13778" i="13"/>
  <c r="F13777" i="13"/>
  <c r="A13777" i="13"/>
  <c r="F13776" i="13"/>
  <c r="A13776" i="13"/>
  <c r="J13775" i="13"/>
  <c r="F13775" i="13"/>
  <c r="A13775" i="13"/>
  <c r="F13774" i="13"/>
  <c r="A13774" i="13"/>
  <c r="F13773" i="13"/>
  <c r="A13773" i="13"/>
  <c r="J13772" i="13"/>
  <c r="F13772" i="13"/>
  <c r="A13772" i="13"/>
  <c r="J13771" i="13"/>
  <c r="F13771" i="13"/>
  <c r="A13771" i="13"/>
  <c r="J13770" i="13"/>
  <c r="F13770" i="13"/>
  <c r="A13770" i="13"/>
  <c r="J13769" i="13"/>
  <c r="F13769" i="13"/>
  <c r="A13769" i="13"/>
  <c r="J13768" i="13"/>
  <c r="F13768" i="13"/>
  <c r="A13768" i="13"/>
  <c r="J13767" i="13"/>
  <c r="F13767" i="13"/>
  <c r="A13767" i="13"/>
  <c r="J13766" i="13"/>
  <c r="F13766" i="13"/>
  <c r="A13766" i="13"/>
  <c r="F13765" i="13"/>
  <c r="A13765" i="13"/>
  <c r="F13764" i="13"/>
  <c r="A13764" i="13"/>
  <c r="F13763" i="13"/>
  <c r="A13763" i="13"/>
  <c r="J13762" i="13"/>
  <c r="F13762" i="13"/>
  <c r="A13762" i="13"/>
  <c r="J13761" i="13"/>
  <c r="F13761" i="13"/>
  <c r="A13761" i="13"/>
  <c r="J13760" i="13"/>
  <c r="F13760" i="13"/>
  <c r="A13760" i="13"/>
  <c r="J13759" i="13"/>
  <c r="F13759" i="13"/>
  <c r="A13759" i="13"/>
  <c r="J13758" i="13"/>
  <c r="F13758" i="13"/>
  <c r="A13758" i="13"/>
  <c r="J13757" i="13"/>
  <c r="F13757" i="13"/>
  <c r="A13757" i="13"/>
  <c r="F13756" i="13"/>
  <c r="A13756" i="13"/>
  <c r="F13755" i="13"/>
  <c r="A13755" i="13"/>
  <c r="J13754" i="13"/>
  <c r="F13754" i="13"/>
  <c r="A13754" i="13"/>
  <c r="J13753" i="13"/>
  <c r="F13753" i="13"/>
  <c r="A13753" i="13"/>
  <c r="J13752" i="13"/>
  <c r="F13752" i="13"/>
  <c r="A13752" i="13"/>
  <c r="J13751" i="13"/>
  <c r="F13751" i="13"/>
  <c r="A13751" i="13"/>
  <c r="J13750" i="13"/>
  <c r="F13750" i="13"/>
  <c r="A13750" i="13"/>
  <c r="F13749" i="13"/>
  <c r="A13749" i="13"/>
  <c r="F13748" i="13"/>
  <c r="A13748" i="13"/>
  <c r="J13747" i="13"/>
  <c r="F13747" i="13"/>
  <c r="A13747" i="13"/>
  <c r="J13746" i="13"/>
  <c r="F13746" i="13"/>
  <c r="A13746" i="13"/>
  <c r="J13745" i="13"/>
  <c r="F13745" i="13"/>
  <c r="A13745" i="13"/>
  <c r="J13744" i="13"/>
  <c r="F13744" i="13"/>
  <c r="A13744" i="13"/>
  <c r="J13743" i="13"/>
  <c r="F13743" i="13"/>
  <c r="A13743" i="13"/>
  <c r="J13742" i="13"/>
  <c r="F13742" i="13"/>
  <c r="A13742" i="13"/>
  <c r="J13741" i="13"/>
  <c r="F13741" i="13"/>
  <c r="A13741" i="13"/>
  <c r="J13740" i="13"/>
  <c r="F13740" i="13"/>
  <c r="A13740" i="13"/>
  <c r="J13739" i="13"/>
  <c r="F13739" i="13"/>
  <c r="A13739" i="13"/>
  <c r="F13738" i="13"/>
  <c r="A13738" i="13"/>
  <c r="J13737" i="13"/>
  <c r="F13737" i="13"/>
  <c r="A13737" i="13"/>
  <c r="F13736" i="13"/>
  <c r="A13736" i="13"/>
  <c r="F13735" i="13"/>
  <c r="A13735" i="13"/>
  <c r="J13734" i="13"/>
  <c r="F13734" i="13"/>
  <c r="A13734" i="13"/>
  <c r="F13733" i="13"/>
  <c r="A13733" i="13"/>
  <c r="F13732" i="13"/>
  <c r="A13732" i="13"/>
  <c r="F13731" i="13"/>
  <c r="A13731" i="13"/>
  <c r="F13730" i="13"/>
  <c r="A13730" i="13"/>
  <c r="J13729" i="13"/>
  <c r="F13729" i="13"/>
  <c r="A13729" i="13"/>
  <c r="J13728" i="13"/>
  <c r="F13728" i="13"/>
  <c r="A13728" i="13"/>
  <c r="J13727" i="13"/>
  <c r="F13727" i="13"/>
  <c r="A13727" i="13"/>
  <c r="F13726" i="13"/>
  <c r="A13726" i="13"/>
  <c r="J13725" i="13"/>
  <c r="F13725" i="13"/>
  <c r="A13725" i="13"/>
  <c r="J13724" i="13"/>
  <c r="F13724" i="13"/>
  <c r="A13724" i="13"/>
  <c r="J13723" i="13"/>
  <c r="F13723" i="13"/>
  <c r="A13723" i="13"/>
  <c r="J13722" i="13"/>
  <c r="F13722" i="13"/>
  <c r="A13722" i="13"/>
  <c r="J13721" i="13"/>
  <c r="F13721" i="13"/>
  <c r="A13721" i="13"/>
  <c r="J13720" i="13"/>
  <c r="F13720" i="13"/>
  <c r="A13720" i="13"/>
  <c r="F13719" i="13"/>
  <c r="A13719" i="13"/>
  <c r="F13718" i="13"/>
  <c r="A13718" i="13"/>
  <c r="J13717" i="13"/>
  <c r="F13717" i="13"/>
  <c r="A13717" i="13"/>
  <c r="J13716" i="13"/>
  <c r="F13716" i="13"/>
  <c r="A13716" i="13"/>
  <c r="J13715" i="13"/>
  <c r="F13715" i="13"/>
  <c r="A13715" i="13"/>
  <c r="F13714" i="13"/>
  <c r="A13714" i="13"/>
  <c r="F13713" i="13"/>
  <c r="A13713" i="13"/>
  <c r="F13712" i="13"/>
  <c r="A13712" i="13"/>
  <c r="J13711" i="13"/>
  <c r="F13711" i="13"/>
  <c r="A13711" i="13"/>
  <c r="J13710" i="13"/>
  <c r="F13710" i="13"/>
  <c r="A13710" i="13"/>
  <c r="J13709" i="13"/>
  <c r="F13709" i="13"/>
  <c r="A13709" i="13"/>
  <c r="J13708" i="13"/>
  <c r="F13708" i="13"/>
  <c r="A13708" i="13"/>
  <c r="J13707" i="13"/>
  <c r="F13707" i="13"/>
  <c r="A13707" i="13"/>
  <c r="J13706" i="13"/>
  <c r="F13706" i="13"/>
  <c r="A13706" i="13"/>
  <c r="J13705" i="13"/>
  <c r="F13705" i="13"/>
  <c r="A13705" i="13"/>
  <c r="J13704" i="13"/>
  <c r="F13704" i="13"/>
  <c r="A13704" i="13"/>
  <c r="J13703" i="13"/>
  <c r="F13703" i="13"/>
  <c r="A13703" i="13"/>
  <c r="J13702" i="13"/>
  <c r="F13702" i="13"/>
  <c r="A13702" i="13"/>
  <c r="F13701" i="13"/>
  <c r="A13701" i="13"/>
  <c r="J13700" i="13"/>
  <c r="F13700" i="13"/>
  <c r="A13700" i="13"/>
  <c r="J13699" i="13"/>
  <c r="F13699" i="13"/>
  <c r="A13699" i="13"/>
  <c r="J13698" i="13"/>
  <c r="F13698" i="13"/>
  <c r="A13698" i="13"/>
  <c r="J13697" i="13"/>
  <c r="F13697" i="13"/>
  <c r="A13697" i="13"/>
  <c r="J13696" i="13"/>
  <c r="F13696" i="13"/>
  <c r="A13696" i="13"/>
  <c r="F13695" i="13"/>
  <c r="A13695" i="13"/>
  <c r="F13694" i="13"/>
  <c r="A13694" i="13"/>
  <c r="J13693" i="13"/>
  <c r="F13693" i="13"/>
  <c r="A13693" i="13"/>
  <c r="J13692" i="13"/>
  <c r="F13692" i="13"/>
  <c r="A13692" i="13"/>
  <c r="J13691" i="13"/>
  <c r="F13691" i="13"/>
  <c r="A13691" i="13"/>
  <c r="F13690" i="13"/>
  <c r="A13690" i="13"/>
  <c r="J13689" i="13"/>
  <c r="F13689" i="13"/>
  <c r="A13689" i="13"/>
  <c r="J13688" i="13"/>
  <c r="F13688" i="13"/>
  <c r="A13688" i="13"/>
  <c r="J13687" i="13"/>
  <c r="F13687" i="13"/>
  <c r="A13687" i="13"/>
  <c r="F13686" i="13"/>
  <c r="A13686" i="13"/>
  <c r="J13685" i="13"/>
  <c r="F13685" i="13"/>
  <c r="A13685" i="13"/>
  <c r="J13684" i="13"/>
  <c r="F13684" i="13"/>
  <c r="A13684" i="13"/>
  <c r="J13683" i="13"/>
  <c r="F13683" i="13"/>
  <c r="A13683" i="13"/>
  <c r="J13682" i="13"/>
  <c r="F13682" i="13"/>
  <c r="A13682" i="13"/>
  <c r="F13681" i="13"/>
  <c r="A13681" i="13"/>
  <c r="J13680" i="13"/>
  <c r="F13680" i="13"/>
  <c r="A13680" i="13"/>
  <c r="J13679" i="13"/>
  <c r="F13679" i="13"/>
  <c r="A13679" i="13"/>
  <c r="F13678" i="13"/>
  <c r="A13678" i="13"/>
  <c r="F13677" i="13"/>
  <c r="A13677" i="13"/>
  <c r="F13676" i="13"/>
  <c r="A13676" i="13"/>
  <c r="F13675" i="13"/>
  <c r="A13675" i="13"/>
  <c r="F13674" i="13"/>
  <c r="A13674" i="13"/>
  <c r="F13673" i="13"/>
  <c r="A13673" i="13"/>
  <c r="F13672" i="13"/>
  <c r="A13672" i="13"/>
  <c r="F13671" i="13"/>
  <c r="A13671" i="13"/>
  <c r="F13670" i="13"/>
  <c r="A13670" i="13"/>
  <c r="F13669" i="13"/>
  <c r="A13669" i="13"/>
  <c r="F13668" i="13"/>
  <c r="A13668" i="13"/>
  <c r="F13667" i="13"/>
  <c r="A13667" i="13"/>
  <c r="F13666" i="13"/>
  <c r="A13666" i="13"/>
  <c r="F13665" i="13"/>
  <c r="A13665" i="13"/>
  <c r="J13664" i="13"/>
  <c r="F13664" i="13"/>
  <c r="A13664" i="13"/>
  <c r="J13663" i="13"/>
  <c r="F13663" i="13"/>
  <c r="A13663" i="13"/>
  <c r="J13662" i="13"/>
  <c r="F13662" i="13"/>
  <c r="A13662" i="13"/>
  <c r="J13661" i="13"/>
  <c r="F13661" i="13"/>
  <c r="A13661" i="13"/>
  <c r="J13660" i="13"/>
  <c r="F13660" i="13"/>
  <c r="A13660" i="13"/>
  <c r="J13659" i="13"/>
  <c r="F13659" i="13"/>
  <c r="A13659" i="13"/>
  <c r="J13658" i="13"/>
  <c r="F13658" i="13"/>
  <c r="A13658" i="13"/>
  <c r="J13657" i="13"/>
  <c r="F13657" i="13"/>
  <c r="A13657" i="13"/>
  <c r="J13656" i="13"/>
  <c r="F13656" i="13"/>
  <c r="A13656" i="13"/>
  <c r="J13655" i="13"/>
  <c r="F13655" i="13"/>
  <c r="A13655" i="13"/>
  <c r="F13654" i="13"/>
  <c r="A13654" i="13"/>
  <c r="F13653" i="13"/>
  <c r="A13653" i="13"/>
  <c r="J13652" i="13"/>
  <c r="F13652" i="13"/>
  <c r="A13652" i="13"/>
  <c r="J13651" i="13"/>
  <c r="F13651" i="13"/>
  <c r="A13651" i="13"/>
  <c r="J13650" i="13"/>
  <c r="F13650" i="13"/>
  <c r="A13650" i="13"/>
  <c r="J13649" i="13"/>
  <c r="F13649" i="13"/>
  <c r="A13649" i="13"/>
  <c r="J13648" i="13"/>
  <c r="F13648" i="13"/>
  <c r="A13648" i="13"/>
  <c r="F13647" i="13"/>
  <c r="A13647" i="13"/>
  <c r="F13646" i="13"/>
  <c r="A13646" i="13"/>
  <c r="F13645" i="13"/>
  <c r="A13645" i="13"/>
  <c r="F13644" i="13"/>
  <c r="A13644" i="13"/>
  <c r="F13643" i="13"/>
  <c r="A13643" i="13"/>
  <c r="J13642" i="13"/>
  <c r="F13642" i="13"/>
  <c r="A13642" i="13"/>
  <c r="F13641" i="13"/>
  <c r="A13641" i="13"/>
  <c r="F13640" i="13"/>
  <c r="A13640" i="13"/>
  <c r="J13639" i="13"/>
  <c r="F13639" i="13"/>
  <c r="A13639" i="13"/>
  <c r="J13638" i="13"/>
  <c r="F13638" i="13"/>
  <c r="A13638" i="13"/>
  <c r="F13637" i="13"/>
  <c r="A13637" i="13"/>
  <c r="J13636" i="13"/>
  <c r="F13636" i="13"/>
  <c r="A13636" i="13"/>
  <c r="J13635" i="13"/>
  <c r="F13635" i="13"/>
  <c r="A13635" i="13"/>
  <c r="J13634" i="13"/>
  <c r="F13634" i="13"/>
  <c r="A13634" i="13"/>
  <c r="F13633" i="13"/>
  <c r="A13633" i="13"/>
  <c r="F13632" i="13"/>
  <c r="A13632" i="13"/>
  <c r="F13631" i="13"/>
  <c r="A13631" i="13"/>
  <c r="J13630" i="13"/>
  <c r="F13630" i="13"/>
  <c r="A13630" i="13"/>
  <c r="J13629" i="13"/>
  <c r="F13629" i="13"/>
  <c r="A13629" i="13"/>
  <c r="J13628" i="13"/>
  <c r="F13628" i="13"/>
  <c r="A13628" i="13"/>
  <c r="J13627" i="13"/>
  <c r="F13627" i="13"/>
  <c r="A13627" i="13"/>
  <c r="J13626" i="13"/>
  <c r="F13626" i="13"/>
  <c r="A13626" i="13"/>
  <c r="F13625" i="13"/>
  <c r="A13625" i="13"/>
  <c r="J13624" i="13"/>
  <c r="F13624" i="13"/>
  <c r="A13624" i="13"/>
  <c r="F13623" i="13"/>
  <c r="A13623" i="13"/>
  <c r="F13622" i="13"/>
  <c r="A13622" i="13"/>
  <c r="F13621" i="13"/>
  <c r="A13621" i="13"/>
  <c r="F13620" i="13"/>
  <c r="A13620" i="13"/>
  <c r="F13619" i="13"/>
  <c r="A13619" i="13"/>
  <c r="J13618" i="13"/>
  <c r="F13618" i="13"/>
  <c r="A13618" i="13"/>
  <c r="J13617" i="13"/>
  <c r="F13617" i="13"/>
  <c r="A13617" i="13"/>
  <c r="J13616" i="13"/>
  <c r="F13616" i="13"/>
  <c r="A13616" i="13"/>
  <c r="J13615" i="13"/>
  <c r="F13615" i="13"/>
  <c r="A13615" i="13"/>
  <c r="J13614" i="13"/>
  <c r="F13614" i="13"/>
  <c r="A13614" i="13"/>
  <c r="F13613" i="13"/>
  <c r="A13613" i="13"/>
  <c r="F13612" i="13"/>
  <c r="A13612" i="13"/>
  <c r="F13611" i="13"/>
  <c r="A13611" i="13"/>
  <c r="F13610" i="13"/>
  <c r="A13610" i="13"/>
  <c r="J13609" i="13"/>
  <c r="F13609" i="13"/>
  <c r="A13609" i="13"/>
  <c r="J13608" i="13"/>
  <c r="F13608" i="13"/>
  <c r="A13608" i="13"/>
  <c r="J13607" i="13"/>
  <c r="F13607" i="13"/>
  <c r="A13607" i="13"/>
  <c r="J13606" i="13"/>
  <c r="F13606" i="13"/>
  <c r="A13606" i="13"/>
  <c r="J13605" i="13"/>
  <c r="F13605" i="13"/>
  <c r="A13605" i="13"/>
  <c r="F13604" i="13"/>
  <c r="A13604" i="13"/>
  <c r="J13603" i="13"/>
  <c r="F13603" i="13"/>
  <c r="J13602" i="13"/>
  <c r="F13602" i="13"/>
  <c r="J13601" i="13"/>
  <c r="F13601" i="13"/>
  <c r="F13600" i="13"/>
  <c r="A13600" i="13"/>
  <c r="F13599" i="13"/>
  <c r="A13599" i="13"/>
  <c r="F13598" i="13"/>
  <c r="A13598" i="13"/>
  <c r="F13597" i="13"/>
  <c r="A13597" i="13"/>
  <c r="F13596" i="13"/>
  <c r="A13596" i="13"/>
  <c r="F13595" i="13"/>
  <c r="A13595" i="13"/>
  <c r="F13594" i="13"/>
  <c r="A13594" i="13"/>
  <c r="F13593" i="13"/>
  <c r="J13592" i="13"/>
  <c r="F13592" i="13"/>
  <c r="A13592" i="13"/>
  <c r="J13591" i="13"/>
  <c r="F13591" i="13"/>
  <c r="A13591" i="13"/>
  <c r="J13590" i="13"/>
  <c r="F13590" i="13"/>
  <c r="A13590" i="13"/>
  <c r="F13589" i="13"/>
  <c r="A13589" i="13"/>
  <c r="J13588" i="13"/>
  <c r="F13588" i="13"/>
  <c r="A13588" i="13"/>
  <c r="J13587" i="13"/>
  <c r="F13587" i="13"/>
  <c r="A13587" i="13"/>
  <c r="J13586" i="13"/>
  <c r="F13586" i="13"/>
  <c r="A13586" i="13"/>
  <c r="J13585" i="13"/>
  <c r="F13585" i="13"/>
  <c r="A13585" i="13"/>
  <c r="J13584" i="13"/>
  <c r="F13584" i="13"/>
  <c r="A13584" i="13"/>
  <c r="F13583" i="13"/>
  <c r="A13583" i="13"/>
  <c r="J13582" i="13"/>
  <c r="F13582" i="13"/>
  <c r="A13582" i="13"/>
  <c r="J13581" i="13"/>
  <c r="F13581" i="13"/>
  <c r="A13581" i="13"/>
  <c r="F13580" i="13"/>
  <c r="A13580" i="13"/>
  <c r="F13579" i="13"/>
  <c r="A13579" i="13"/>
  <c r="F13578" i="13"/>
  <c r="A13578" i="13"/>
  <c r="J13577" i="13"/>
  <c r="F13577" i="13"/>
  <c r="A13577" i="13"/>
  <c r="J13576" i="13"/>
  <c r="F13576" i="13"/>
  <c r="A13576" i="13"/>
  <c r="F13575" i="13"/>
  <c r="A13575" i="13"/>
  <c r="F13574" i="13"/>
  <c r="A13574" i="13"/>
  <c r="F13573" i="13"/>
  <c r="A13573" i="13"/>
  <c r="J13572" i="13"/>
  <c r="F13572" i="13"/>
  <c r="A13572" i="13"/>
  <c r="J13571" i="13"/>
  <c r="F13571" i="13"/>
  <c r="A13571" i="13"/>
  <c r="J13570" i="13"/>
  <c r="F13570" i="13"/>
  <c r="A13570" i="13"/>
  <c r="F13569" i="13"/>
  <c r="A13569" i="13"/>
  <c r="J13568" i="13"/>
  <c r="F13568" i="13"/>
  <c r="A13568" i="13"/>
  <c r="J13567" i="13"/>
  <c r="F13567" i="13"/>
  <c r="A13567" i="13"/>
  <c r="J13566" i="13"/>
  <c r="F13566" i="13"/>
  <c r="A13566" i="13"/>
  <c r="F13565" i="13"/>
  <c r="A13565" i="13"/>
  <c r="J13564" i="13"/>
  <c r="F13564" i="13"/>
  <c r="A13564" i="13"/>
  <c r="J13563" i="13"/>
  <c r="F13563" i="13"/>
  <c r="A13563" i="13"/>
  <c r="F13562" i="13"/>
  <c r="A13562" i="13"/>
  <c r="J13561" i="13"/>
  <c r="F13561" i="13"/>
  <c r="A13561" i="13"/>
  <c r="J13560" i="13"/>
  <c r="F13560" i="13"/>
  <c r="A13560" i="13"/>
  <c r="F13559" i="13"/>
  <c r="A13559" i="13"/>
  <c r="J13558" i="13"/>
  <c r="F13558" i="13"/>
  <c r="A13558" i="13"/>
  <c r="J13557" i="13"/>
  <c r="F13557" i="13"/>
  <c r="A13557" i="13"/>
  <c r="J13556" i="13"/>
  <c r="F13556" i="13"/>
  <c r="A13556" i="13"/>
  <c r="J13555" i="13"/>
  <c r="F13555" i="13"/>
  <c r="A13555" i="13"/>
  <c r="F13554" i="13"/>
  <c r="A13554" i="13"/>
  <c r="J13553" i="13"/>
  <c r="F13553" i="13"/>
  <c r="A13553" i="13"/>
  <c r="J13552" i="13"/>
  <c r="F13552" i="13"/>
  <c r="A13552" i="13"/>
  <c r="J13551" i="13"/>
  <c r="F13551" i="13"/>
  <c r="A13551" i="13"/>
  <c r="J13550" i="13"/>
  <c r="F13550" i="13"/>
  <c r="A13550" i="13"/>
  <c r="J13549" i="13"/>
  <c r="F13549" i="13"/>
  <c r="A13549" i="13"/>
  <c r="J13548" i="13"/>
  <c r="F13548" i="13"/>
  <c r="A13548" i="13"/>
  <c r="J13547" i="13"/>
  <c r="F13547" i="13"/>
  <c r="A13547" i="13"/>
  <c r="J13546" i="13"/>
  <c r="F13546" i="13"/>
  <c r="A13546" i="13"/>
  <c r="J13545" i="13"/>
  <c r="F13545" i="13"/>
  <c r="A13545" i="13"/>
  <c r="J13544" i="13"/>
  <c r="F13544" i="13"/>
  <c r="A13544" i="13"/>
  <c r="F13543" i="13"/>
  <c r="A13543" i="13"/>
  <c r="F13542" i="13"/>
  <c r="A13542" i="13"/>
  <c r="F13541" i="13"/>
  <c r="A13541" i="13"/>
  <c r="J13540" i="13"/>
  <c r="F13540" i="13"/>
  <c r="A13540" i="13"/>
  <c r="J13539" i="13"/>
  <c r="F13539" i="13"/>
  <c r="A13539" i="13"/>
  <c r="J13538" i="13"/>
  <c r="F13538" i="13"/>
  <c r="A13538" i="13"/>
  <c r="J13537" i="13"/>
  <c r="F13537" i="13"/>
  <c r="A13537" i="13"/>
  <c r="F13536" i="13"/>
  <c r="A13536" i="13"/>
  <c r="F13535" i="13"/>
  <c r="A13535" i="13"/>
  <c r="J13534" i="13"/>
  <c r="F13534" i="13"/>
  <c r="A13534" i="13"/>
  <c r="F13533" i="13"/>
  <c r="A13533" i="13"/>
  <c r="J13532" i="13"/>
  <c r="F13532" i="13"/>
  <c r="A13532" i="13"/>
  <c r="J13531" i="13"/>
  <c r="F13531" i="13"/>
  <c r="A13531" i="13"/>
  <c r="J13530" i="13"/>
  <c r="F13530" i="13"/>
  <c r="A13530" i="13"/>
  <c r="J13529" i="13"/>
  <c r="F13529" i="13"/>
  <c r="A13529" i="13"/>
  <c r="J13528" i="13"/>
  <c r="F13528" i="13"/>
  <c r="A13528" i="13"/>
  <c r="J13527" i="13"/>
  <c r="F13527" i="13"/>
  <c r="A13527" i="13"/>
  <c r="F13526" i="13"/>
  <c r="A13526" i="13"/>
  <c r="J13525" i="13"/>
  <c r="F13525" i="13"/>
  <c r="A13525" i="13"/>
  <c r="J13524" i="13"/>
  <c r="F13524" i="13"/>
  <c r="A13524" i="13"/>
  <c r="F13523" i="13"/>
  <c r="A13523" i="13"/>
  <c r="F13522" i="13"/>
  <c r="A13522" i="13"/>
  <c r="F13521" i="13"/>
  <c r="A13521" i="13"/>
  <c r="F13520" i="13"/>
  <c r="A13520" i="13"/>
  <c r="F13519" i="13"/>
  <c r="A13519" i="13"/>
  <c r="F13518" i="13"/>
  <c r="A13518" i="13"/>
  <c r="F13517" i="13"/>
  <c r="A13517" i="13"/>
  <c r="J13516" i="13"/>
  <c r="F13516" i="13"/>
  <c r="A13516" i="13"/>
  <c r="F13515" i="13"/>
  <c r="A13515" i="13"/>
  <c r="J13514" i="13"/>
  <c r="F13514" i="13"/>
  <c r="A13514" i="13"/>
  <c r="F13513" i="13"/>
  <c r="A13513" i="13"/>
  <c r="F13512" i="13"/>
  <c r="A13512" i="13"/>
  <c r="F13511" i="13"/>
  <c r="A13511" i="13"/>
  <c r="J13510" i="13"/>
  <c r="F13510" i="13"/>
  <c r="A13510" i="13"/>
  <c r="J13509" i="13"/>
  <c r="F13509" i="13"/>
  <c r="A13509" i="13"/>
  <c r="J13508" i="13"/>
  <c r="F13508" i="13"/>
  <c r="A13508" i="13"/>
  <c r="J13507" i="13"/>
  <c r="F13507" i="13"/>
  <c r="A13507" i="13"/>
  <c r="F13506" i="13"/>
  <c r="A13506" i="13"/>
  <c r="F13505" i="13"/>
  <c r="A13505" i="13"/>
  <c r="J13504" i="13"/>
  <c r="F13504" i="13"/>
  <c r="A13504" i="13"/>
  <c r="J13503" i="13"/>
  <c r="F13503" i="13"/>
  <c r="A13503" i="13"/>
  <c r="J13502" i="13"/>
  <c r="F13502" i="13"/>
  <c r="A13502" i="13"/>
  <c r="F13501" i="13"/>
  <c r="A13501" i="13"/>
  <c r="F13500" i="13"/>
  <c r="A13500" i="13"/>
  <c r="J13499" i="13"/>
  <c r="F13499" i="13"/>
  <c r="A13499" i="13"/>
  <c r="F13498" i="13"/>
  <c r="A13498" i="13"/>
  <c r="F13497" i="13"/>
  <c r="A13497" i="13"/>
  <c r="J13496" i="13"/>
  <c r="F13496" i="13"/>
  <c r="A13496" i="13"/>
  <c r="J13495" i="13"/>
  <c r="F13495" i="13"/>
  <c r="A13495" i="13"/>
  <c r="F13494" i="13"/>
  <c r="A13494" i="13"/>
  <c r="F13493" i="13"/>
  <c r="A13493" i="13"/>
  <c r="J13492" i="13"/>
  <c r="F13492" i="13"/>
  <c r="A13492" i="13"/>
  <c r="J13491" i="13"/>
  <c r="F13491" i="13"/>
  <c r="A13491" i="13"/>
  <c r="F13490" i="13"/>
  <c r="A13490" i="13"/>
  <c r="J13489" i="13"/>
  <c r="F13489" i="13"/>
  <c r="A13489" i="13"/>
  <c r="J13488" i="13"/>
  <c r="F13488" i="13"/>
  <c r="A13488" i="13"/>
  <c r="J13487" i="13"/>
  <c r="F13487" i="13"/>
  <c r="A13487" i="13"/>
  <c r="F13486" i="13"/>
  <c r="A13486" i="13"/>
  <c r="F13485" i="13"/>
  <c r="A13485" i="13"/>
  <c r="J13484" i="13"/>
  <c r="F13484" i="13"/>
  <c r="A13484" i="13"/>
  <c r="J13483" i="13"/>
  <c r="F13483" i="13"/>
  <c r="A13483" i="13"/>
  <c r="F13482" i="13"/>
  <c r="A13482" i="13"/>
  <c r="J13481" i="13"/>
  <c r="F13481" i="13"/>
  <c r="A13481" i="13"/>
  <c r="J13480" i="13"/>
  <c r="F13480" i="13"/>
  <c r="A13480" i="13"/>
  <c r="J13479" i="13"/>
  <c r="F13479" i="13"/>
  <c r="A13479" i="13"/>
  <c r="F13478" i="13"/>
  <c r="A13478" i="13"/>
  <c r="F13477" i="13"/>
  <c r="A13477" i="13"/>
  <c r="J13476" i="13"/>
  <c r="F13476" i="13"/>
  <c r="A13476" i="13"/>
  <c r="J13475" i="13"/>
  <c r="F13475" i="13"/>
  <c r="A13475" i="13"/>
  <c r="J13474" i="13"/>
  <c r="F13474" i="13"/>
  <c r="A13474" i="13"/>
  <c r="J13473" i="13"/>
  <c r="F13473" i="13"/>
  <c r="A13473" i="13"/>
  <c r="F13472" i="13"/>
  <c r="A13472" i="13"/>
  <c r="F13471" i="13"/>
  <c r="A13471" i="13"/>
  <c r="F13470" i="13"/>
  <c r="A13470" i="13"/>
  <c r="J13469" i="13"/>
  <c r="F13469" i="13"/>
  <c r="A13469" i="13"/>
  <c r="J13468" i="13"/>
  <c r="F13468" i="13"/>
  <c r="A13468" i="13"/>
  <c r="J13467" i="13"/>
  <c r="F13467" i="13"/>
  <c r="A13467" i="13"/>
  <c r="F13466" i="13"/>
  <c r="A13466" i="13"/>
  <c r="J13465" i="13"/>
  <c r="F13465" i="13"/>
  <c r="A13465" i="13"/>
  <c r="J13464" i="13"/>
  <c r="F13464" i="13"/>
  <c r="A13464" i="13"/>
  <c r="J13463" i="13"/>
  <c r="F13463" i="13"/>
  <c r="A13463" i="13"/>
  <c r="F13462" i="13"/>
  <c r="A13462" i="13"/>
  <c r="F13461" i="13"/>
  <c r="A13461" i="13"/>
  <c r="J13460" i="13"/>
  <c r="F13460" i="13"/>
  <c r="A13460" i="13"/>
  <c r="J13459" i="13"/>
  <c r="F13459" i="13"/>
  <c r="A13459" i="13"/>
  <c r="F13458" i="13"/>
  <c r="A13458" i="13"/>
  <c r="J13457" i="13"/>
  <c r="F13457" i="13"/>
  <c r="A13457" i="13"/>
  <c r="J13456" i="13"/>
  <c r="F13456" i="13"/>
  <c r="A13456" i="13"/>
  <c r="J13455" i="13"/>
  <c r="F13455" i="13"/>
  <c r="A13455" i="13"/>
  <c r="J13454" i="13"/>
  <c r="F13454" i="13"/>
  <c r="A13454" i="13"/>
  <c r="J13453" i="13"/>
  <c r="F13453" i="13"/>
  <c r="A13453" i="13"/>
  <c r="F13452" i="13"/>
  <c r="A13452" i="13"/>
  <c r="J13451" i="13"/>
  <c r="F13451" i="13"/>
  <c r="A13451" i="13"/>
  <c r="J13450" i="13"/>
  <c r="F13450" i="13"/>
  <c r="A13450" i="13"/>
  <c r="J13449" i="13"/>
  <c r="F13449" i="13"/>
  <c r="A13449" i="13"/>
  <c r="J13448" i="13"/>
  <c r="F13448" i="13"/>
  <c r="A13448" i="13"/>
  <c r="J13447" i="13"/>
  <c r="F13447" i="13"/>
  <c r="A13447" i="13"/>
  <c r="F13446" i="13"/>
  <c r="A13446" i="13"/>
  <c r="J13445" i="13"/>
  <c r="F13445" i="13"/>
  <c r="A13445" i="13"/>
  <c r="J13444" i="13"/>
  <c r="F13444" i="13"/>
  <c r="A13444" i="13"/>
  <c r="J13443" i="13"/>
  <c r="F13443" i="13"/>
  <c r="A13443" i="13"/>
  <c r="J13442" i="13"/>
  <c r="F13442" i="13"/>
  <c r="A13442" i="13"/>
  <c r="F13441" i="13"/>
  <c r="A13441" i="13"/>
  <c r="F13440" i="13"/>
  <c r="A13440" i="13"/>
  <c r="F13439" i="13"/>
  <c r="A13439" i="13"/>
  <c r="J13438" i="13"/>
  <c r="F13438" i="13"/>
  <c r="A13438" i="13"/>
  <c r="J13437" i="13"/>
  <c r="F13437" i="13"/>
  <c r="A13437" i="13"/>
  <c r="F13436" i="13"/>
  <c r="A13436" i="13"/>
  <c r="F13435" i="13"/>
  <c r="A13435" i="13"/>
  <c r="F13434" i="13"/>
  <c r="A13434" i="13"/>
  <c r="F13433" i="13"/>
  <c r="A13433" i="13"/>
  <c r="F13432" i="13"/>
  <c r="A13432" i="13"/>
  <c r="J13431" i="13"/>
  <c r="F13431" i="13"/>
  <c r="A13431" i="13"/>
  <c r="J13430" i="13"/>
  <c r="F13430" i="13"/>
  <c r="A13430" i="13"/>
  <c r="J13429" i="13"/>
  <c r="F13429" i="13"/>
  <c r="A13429" i="13"/>
  <c r="F13428" i="13"/>
  <c r="A13428" i="13"/>
  <c r="F13427" i="13"/>
  <c r="A13427" i="13"/>
  <c r="F13426" i="13"/>
  <c r="A13426" i="13"/>
  <c r="F13425" i="13"/>
  <c r="A13425" i="13"/>
  <c r="J13424" i="13"/>
  <c r="F13424" i="13"/>
  <c r="A13424" i="13"/>
  <c r="J13423" i="13"/>
  <c r="F13423" i="13"/>
  <c r="A13423" i="13"/>
  <c r="J13422" i="13"/>
  <c r="F13422" i="13"/>
  <c r="A13422" i="13"/>
  <c r="J13421" i="13"/>
  <c r="F13421" i="13"/>
  <c r="A13421" i="13"/>
  <c r="F13420" i="13"/>
  <c r="A13420" i="13"/>
  <c r="F13419" i="13"/>
  <c r="A13419" i="13"/>
  <c r="F13418" i="13"/>
  <c r="A13418" i="13"/>
  <c r="F13417" i="13"/>
  <c r="A13417" i="13"/>
  <c r="J13416" i="13"/>
  <c r="F13416" i="13"/>
  <c r="A13416" i="13"/>
  <c r="F13415" i="13"/>
  <c r="A13415" i="13"/>
  <c r="F13414" i="13"/>
  <c r="A13414" i="13"/>
  <c r="F13413" i="13"/>
  <c r="A13413" i="13"/>
  <c r="J13412" i="13"/>
  <c r="F13412" i="13"/>
  <c r="A13412" i="13"/>
  <c r="J13411" i="13"/>
  <c r="F13411" i="13"/>
  <c r="A13411" i="13"/>
  <c r="J13410" i="13"/>
  <c r="F13410" i="13"/>
  <c r="A13410" i="13"/>
  <c r="F13409" i="13"/>
  <c r="A13409" i="13"/>
  <c r="J13408" i="13"/>
  <c r="F13408" i="13"/>
  <c r="A13408" i="13"/>
  <c r="J13407" i="13"/>
  <c r="F13407" i="13"/>
  <c r="A13407" i="13"/>
  <c r="J13406" i="13"/>
  <c r="F13406" i="13"/>
  <c r="A13406" i="13"/>
  <c r="J13405" i="13"/>
  <c r="F13405" i="13"/>
  <c r="A13405" i="13"/>
  <c r="J13404" i="13"/>
  <c r="F13404" i="13"/>
  <c r="A13404" i="13"/>
  <c r="J13403" i="13"/>
  <c r="F13403" i="13"/>
  <c r="A13403" i="13"/>
  <c r="J13402" i="13"/>
  <c r="F13402" i="13"/>
  <c r="A13402" i="13"/>
  <c r="J13401" i="13"/>
  <c r="F13401" i="13"/>
  <c r="A13401" i="13"/>
  <c r="J13400" i="13"/>
  <c r="F13400" i="13"/>
  <c r="A13400" i="13"/>
  <c r="J13399" i="13"/>
  <c r="F13399" i="13"/>
  <c r="A13399" i="13"/>
  <c r="J13398" i="13"/>
  <c r="F13398" i="13"/>
  <c r="A13398" i="13"/>
  <c r="F13397" i="13"/>
  <c r="A13397" i="13"/>
  <c r="F13396" i="13"/>
  <c r="A13396" i="13"/>
  <c r="F13395" i="13"/>
  <c r="A13395" i="13"/>
  <c r="J13394" i="13"/>
  <c r="F13394" i="13"/>
  <c r="A13394" i="13"/>
  <c r="F13393" i="13"/>
  <c r="A13393" i="13"/>
  <c r="F13392" i="13"/>
  <c r="A13392" i="13"/>
  <c r="J13391" i="13"/>
  <c r="F13391" i="13"/>
  <c r="A13391" i="13"/>
  <c r="J13390" i="13"/>
  <c r="F13390" i="13"/>
  <c r="A13390" i="13"/>
  <c r="J13389" i="13"/>
  <c r="F13389" i="13"/>
  <c r="A13389" i="13"/>
  <c r="J13388" i="13"/>
  <c r="F13388" i="13"/>
  <c r="A13388" i="13"/>
  <c r="J13387" i="13"/>
  <c r="F13387" i="13"/>
  <c r="A13387" i="13"/>
  <c r="J13386" i="13"/>
  <c r="F13386" i="13"/>
  <c r="A13386" i="13"/>
  <c r="J13385" i="13"/>
  <c r="F13385" i="13"/>
  <c r="A13385" i="13"/>
  <c r="J13384" i="13"/>
  <c r="F13384" i="13"/>
  <c r="A13384" i="13"/>
  <c r="J13383" i="13"/>
  <c r="F13383" i="13"/>
  <c r="A13383" i="13"/>
  <c r="J13382" i="13"/>
  <c r="F13382" i="13"/>
  <c r="A13382" i="13"/>
  <c r="J13381" i="13"/>
  <c r="F13381" i="13"/>
  <c r="A13381" i="13"/>
  <c r="F13380" i="13"/>
  <c r="A13380" i="13"/>
  <c r="J13379" i="13"/>
  <c r="F13379" i="13"/>
  <c r="A13379" i="13"/>
  <c r="J13378" i="13"/>
  <c r="F13378" i="13"/>
  <c r="A13378" i="13"/>
  <c r="F13377" i="13"/>
  <c r="A13377" i="13"/>
  <c r="J13376" i="13"/>
  <c r="F13376" i="13"/>
  <c r="A13376" i="13"/>
  <c r="J13375" i="13"/>
  <c r="F13375" i="13"/>
  <c r="A13375" i="13"/>
  <c r="F13374" i="13"/>
  <c r="A13374" i="13"/>
  <c r="J13373" i="13"/>
  <c r="F13373" i="13"/>
  <c r="A13373" i="13"/>
  <c r="F13372" i="13"/>
  <c r="A13372" i="13"/>
  <c r="F13371" i="13"/>
  <c r="A13371" i="13"/>
  <c r="F13370" i="13"/>
  <c r="A13370" i="13"/>
  <c r="J13369" i="13"/>
  <c r="F13369" i="13"/>
  <c r="A13369" i="13"/>
  <c r="J13368" i="13"/>
  <c r="F13368" i="13"/>
  <c r="A13368" i="13"/>
  <c r="J13367" i="13"/>
  <c r="F13367" i="13"/>
  <c r="A13367" i="13"/>
  <c r="F13366" i="13"/>
  <c r="A13366" i="13"/>
  <c r="F13365" i="13"/>
  <c r="A13365" i="13"/>
  <c r="F13364" i="13"/>
  <c r="A13364" i="13"/>
  <c r="F13363" i="13"/>
  <c r="A13363" i="13"/>
  <c r="F13362" i="13"/>
  <c r="A13362" i="13"/>
  <c r="J13361" i="13"/>
  <c r="F13361" i="13"/>
  <c r="A13361" i="13"/>
  <c r="J13360" i="13"/>
  <c r="F13360" i="13"/>
  <c r="A13360" i="13"/>
  <c r="F13359" i="13"/>
  <c r="A13359" i="13"/>
  <c r="F13358" i="13"/>
  <c r="A13358" i="13"/>
  <c r="F13357" i="13"/>
  <c r="A13357" i="13"/>
  <c r="J13356" i="13"/>
  <c r="F13356" i="13"/>
  <c r="A13356" i="13"/>
  <c r="J13355" i="13"/>
  <c r="F13355" i="13"/>
  <c r="A13355" i="13"/>
  <c r="J13354" i="13"/>
  <c r="F13354" i="13"/>
  <c r="A13354" i="13"/>
  <c r="F13353" i="13"/>
  <c r="A13353" i="13"/>
  <c r="J13352" i="13"/>
  <c r="F13352" i="13"/>
  <c r="A13352" i="13"/>
  <c r="J13351" i="13"/>
  <c r="F13351" i="13"/>
  <c r="A13351" i="13"/>
  <c r="J13350" i="13"/>
  <c r="F13350" i="13"/>
  <c r="A13350" i="13"/>
  <c r="J13349" i="13"/>
  <c r="F13349" i="13"/>
  <c r="A13349" i="13"/>
  <c r="J13348" i="13"/>
  <c r="F13348" i="13"/>
  <c r="A13348" i="13"/>
  <c r="F13347" i="13"/>
  <c r="A13347" i="13"/>
  <c r="J13346" i="13"/>
  <c r="F13346" i="13"/>
  <c r="A13346" i="13"/>
  <c r="J13345" i="13"/>
  <c r="F13345" i="13"/>
  <c r="A13345" i="13"/>
  <c r="J13344" i="13"/>
  <c r="F13344" i="13"/>
  <c r="A13344" i="13"/>
  <c r="F13343" i="13"/>
  <c r="A13343" i="13"/>
  <c r="F13342" i="13"/>
  <c r="A13342" i="13"/>
  <c r="J13341" i="13"/>
  <c r="F13341" i="13"/>
  <c r="A13341" i="13"/>
  <c r="J13340" i="13"/>
  <c r="F13340" i="13"/>
  <c r="A13340" i="13"/>
  <c r="F13339" i="13"/>
  <c r="A13339" i="13"/>
  <c r="F13338" i="13"/>
  <c r="A13338" i="13"/>
  <c r="J13337" i="13"/>
  <c r="F13337" i="13"/>
  <c r="A13337" i="13"/>
  <c r="F13336" i="13"/>
  <c r="A13336" i="13"/>
  <c r="J13335" i="13"/>
  <c r="F13335" i="13"/>
  <c r="A13335" i="13"/>
  <c r="J13334" i="13"/>
  <c r="F13334" i="13"/>
  <c r="A13334" i="13"/>
  <c r="F13333" i="13"/>
  <c r="A13333" i="13"/>
  <c r="F13332" i="13"/>
  <c r="A13332" i="13"/>
  <c r="F13331" i="13"/>
  <c r="A13331" i="13"/>
  <c r="J13330" i="13"/>
  <c r="F13330" i="13"/>
  <c r="A13330" i="13"/>
  <c r="J13329" i="13"/>
  <c r="F13329" i="13"/>
  <c r="A13329" i="13"/>
  <c r="J13328" i="13"/>
  <c r="F13328" i="13"/>
  <c r="A13328" i="13"/>
  <c r="J13327" i="13"/>
  <c r="F13327" i="13"/>
  <c r="A13327" i="13"/>
  <c r="F13326" i="13"/>
  <c r="A13326" i="13"/>
  <c r="F13325" i="13"/>
  <c r="A13325" i="13"/>
  <c r="F13324" i="13"/>
  <c r="A13324" i="13"/>
  <c r="J13323" i="13"/>
  <c r="F13323" i="13"/>
  <c r="A13323" i="13"/>
  <c r="J13322" i="13"/>
  <c r="F13322" i="13"/>
  <c r="A13322" i="13"/>
  <c r="F13321" i="13"/>
  <c r="A13321" i="13"/>
  <c r="J13320" i="13"/>
  <c r="F13320" i="13"/>
  <c r="A13320" i="13"/>
  <c r="J13319" i="13"/>
  <c r="F13319" i="13"/>
  <c r="A13319" i="13"/>
  <c r="F13318" i="13"/>
  <c r="A13318" i="13"/>
  <c r="F13317" i="13"/>
  <c r="A13317" i="13"/>
  <c r="J13316" i="13"/>
  <c r="F13316" i="13"/>
  <c r="A13316" i="13"/>
  <c r="J13315" i="13"/>
  <c r="F13315" i="13"/>
  <c r="A13315" i="13"/>
  <c r="F13314" i="13"/>
  <c r="A13314" i="13"/>
  <c r="F13313" i="13"/>
  <c r="A13313" i="13"/>
  <c r="J13312" i="13"/>
  <c r="F13312" i="13"/>
  <c r="A13312" i="13"/>
  <c r="J13311" i="13"/>
  <c r="F13311" i="13"/>
  <c r="A13311" i="13"/>
  <c r="J13310" i="13"/>
  <c r="F13310" i="13"/>
  <c r="A13310" i="13"/>
  <c r="F13309" i="13"/>
  <c r="A13309" i="13"/>
  <c r="F13308" i="13"/>
  <c r="A13308" i="13"/>
  <c r="F13307" i="13"/>
  <c r="A13307" i="13"/>
  <c r="F13306" i="13"/>
  <c r="A13306" i="13"/>
  <c r="F13305" i="13"/>
  <c r="A13305" i="13"/>
  <c r="F13304" i="13"/>
  <c r="A13304" i="13"/>
  <c r="F13303" i="13"/>
  <c r="A13303" i="13"/>
  <c r="F13302" i="13"/>
  <c r="A13302" i="13"/>
  <c r="J13301" i="13"/>
  <c r="F13301" i="13"/>
  <c r="A13301" i="13"/>
  <c r="J13300" i="13"/>
  <c r="F13300" i="13"/>
  <c r="A13300" i="13"/>
  <c r="J13299" i="13"/>
  <c r="F13299" i="13"/>
  <c r="A13299" i="13"/>
  <c r="F13298" i="13"/>
  <c r="A13298" i="13"/>
  <c r="J13297" i="13"/>
  <c r="F13297" i="13"/>
  <c r="A13297" i="13"/>
  <c r="F13296" i="13"/>
  <c r="A13296" i="13"/>
  <c r="J13295" i="13"/>
  <c r="F13295" i="13"/>
  <c r="A13295" i="13"/>
  <c r="J13294" i="13"/>
  <c r="F13294" i="13"/>
  <c r="A13294" i="13"/>
  <c r="J13293" i="13"/>
  <c r="F13293" i="13"/>
  <c r="A13293" i="13"/>
  <c r="J13292" i="13"/>
  <c r="F13292" i="13"/>
  <c r="A13292" i="13"/>
  <c r="F13291" i="13"/>
  <c r="A13291" i="13"/>
  <c r="J13290" i="13"/>
  <c r="F13290" i="13"/>
  <c r="A13290" i="13"/>
  <c r="J13289" i="13"/>
  <c r="F13289" i="13"/>
  <c r="A13289" i="13"/>
  <c r="J13288" i="13"/>
  <c r="F13288" i="13"/>
  <c r="A13288" i="13"/>
  <c r="F13287" i="13"/>
  <c r="A13287" i="13"/>
  <c r="F13286" i="13"/>
  <c r="A13286" i="13"/>
  <c r="F13285" i="13"/>
  <c r="A13285" i="13"/>
  <c r="J13284" i="13"/>
  <c r="F13284" i="13"/>
  <c r="A13284" i="13"/>
  <c r="J13283" i="13"/>
  <c r="F13283" i="13"/>
  <c r="A13283" i="13"/>
  <c r="J13282" i="13"/>
  <c r="F13282" i="13"/>
  <c r="A13282" i="13"/>
  <c r="J13281" i="13"/>
  <c r="F13281" i="13"/>
  <c r="A13281" i="13"/>
  <c r="J13280" i="13"/>
  <c r="F13280" i="13"/>
  <c r="A13280" i="13"/>
  <c r="J13279" i="13"/>
  <c r="F13279" i="13"/>
  <c r="A13279" i="13"/>
  <c r="J13278" i="13"/>
  <c r="F13278" i="13"/>
  <c r="A13278" i="13"/>
  <c r="F13277" i="13"/>
  <c r="A13277" i="13"/>
  <c r="F13276" i="13"/>
  <c r="A13276" i="13"/>
  <c r="F13275" i="13"/>
  <c r="A13275" i="13"/>
  <c r="F13274" i="13"/>
  <c r="A13274" i="13"/>
  <c r="F13273" i="13"/>
  <c r="A13273" i="13"/>
  <c r="F13272" i="13"/>
  <c r="A13272" i="13"/>
  <c r="F13271" i="13"/>
  <c r="A13271" i="13"/>
  <c r="F13270" i="13"/>
  <c r="A13270" i="13"/>
  <c r="F13269" i="13"/>
  <c r="A13269" i="13"/>
  <c r="F13268" i="13"/>
  <c r="A13268" i="13"/>
  <c r="F13267" i="13"/>
  <c r="A13267" i="13"/>
  <c r="J13266" i="13"/>
  <c r="F13266" i="13"/>
  <c r="A13266" i="13"/>
  <c r="J13265" i="13"/>
  <c r="F13265" i="13"/>
  <c r="A13265" i="13"/>
  <c r="J13264" i="13"/>
  <c r="F13264" i="13"/>
  <c r="A13264" i="13"/>
  <c r="J13263" i="13"/>
  <c r="F13263" i="13"/>
  <c r="A13263" i="13"/>
  <c r="J13262" i="13"/>
  <c r="F13262" i="13"/>
  <c r="A13262" i="13"/>
  <c r="J13261" i="13"/>
  <c r="F13261" i="13"/>
  <c r="A13261" i="13"/>
  <c r="J13260" i="13"/>
  <c r="F13260" i="13"/>
  <c r="A13260" i="13"/>
  <c r="F13259" i="13"/>
  <c r="A13259" i="13"/>
  <c r="F13258" i="13"/>
  <c r="A13258" i="13"/>
  <c r="F13257" i="13"/>
  <c r="A13257" i="13"/>
  <c r="F13256" i="13"/>
  <c r="A13256" i="13"/>
  <c r="J13255" i="13"/>
  <c r="F13255" i="13"/>
  <c r="A13255" i="13"/>
  <c r="F13254" i="13"/>
  <c r="A13254" i="13"/>
  <c r="J13253" i="13"/>
  <c r="F13253" i="13"/>
  <c r="A13253" i="13"/>
  <c r="J13252" i="13"/>
  <c r="F13252" i="13"/>
  <c r="A13252" i="13"/>
  <c r="F13251" i="13"/>
  <c r="A13251" i="13"/>
  <c r="J13250" i="13"/>
  <c r="F13250" i="13"/>
  <c r="A13250" i="13"/>
  <c r="J13249" i="13"/>
  <c r="F13249" i="13"/>
  <c r="A13249" i="13"/>
  <c r="J13248" i="13"/>
  <c r="F13248" i="13"/>
  <c r="A13248" i="13"/>
  <c r="J13247" i="13"/>
  <c r="F13247" i="13"/>
  <c r="A13247" i="13"/>
  <c r="F13246" i="13"/>
  <c r="A13246" i="13"/>
  <c r="F13245" i="13"/>
  <c r="A13245" i="13"/>
  <c r="J13244" i="13"/>
  <c r="F13244" i="13"/>
  <c r="A13244" i="13"/>
  <c r="J13243" i="13"/>
  <c r="F13243" i="13"/>
  <c r="A13243" i="13"/>
  <c r="F13242" i="13"/>
  <c r="A13242" i="13"/>
  <c r="J13241" i="13"/>
  <c r="F13241" i="13"/>
  <c r="A13241" i="13"/>
  <c r="J13240" i="13"/>
  <c r="F13240" i="13"/>
  <c r="A13240" i="13"/>
  <c r="J13239" i="13"/>
  <c r="F13239" i="13"/>
  <c r="A13239" i="13"/>
  <c r="F13238" i="13"/>
  <c r="A13238" i="13"/>
  <c r="F13237" i="13"/>
  <c r="A13237" i="13"/>
  <c r="F13236" i="13"/>
  <c r="A13236" i="13"/>
  <c r="J13235" i="13"/>
  <c r="F13235" i="13"/>
  <c r="A13235" i="13"/>
  <c r="J13234" i="13"/>
  <c r="F13234" i="13"/>
  <c r="A13234" i="13"/>
  <c r="J13233" i="13"/>
  <c r="F13233" i="13"/>
  <c r="A13233" i="13"/>
  <c r="J13232" i="13"/>
  <c r="F13232" i="13"/>
  <c r="A13232" i="13"/>
  <c r="J13231" i="13"/>
  <c r="F13231" i="13"/>
  <c r="A13231" i="13"/>
  <c r="F13230" i="13"/>
  <c r="A13230" i="13"/>
  <c r="F13229" i="13"/>
  <c r="A13229" i="13"/>
  <c r="J13228" i="13"/>
  <c r="F13228" i="13"/>
  <c r="A13228" i="13"/>
  <c r="J13227" i="13"/>
  <c r="F13227" i="13"/>
  <c r="A13227" i="13"/>
  <c r="J13226" i="13"/>
  <c r="F13226" i="13"/>
  <c r="A13226" i="13"/>
  <c r="J13225" i="13"/>
  <c r="F13225" i="13"/>
  <c r="A13225" i="13"/>
  <c r="F13224" i="13"/>
  <c r="A13224" i="13"/>
  <c r="F13223" i="13"/>
  <c r="A13223" i="13"/>
  <c r="J13222" i="13"/>
  <c r="F13222" i="13"/>
  <c r="A13222" i="13"/>
  <c r="J13221" i="13"/>
  <c r="F13221" i="13"/>
  <c r="A13221" i="13"/>
  <c r="J13220" i="13"/>
  <c r="F13220" i="13"/>
  <c r="A13220" i="13"/>
  <c r="J13219" i="13"/>
  <c r="F13219" i="13"/>
  <c r="A13219" i="13"/>
  <c r="J13218" i="13"/>
  <c r="F13218" i="13"/>
  <c r="A13218" i="13"/>
  <c r="F13217" i="13"/>
  <c r="A13217" i="13"/>
  <c r="F13216" i="13"/>
  <c r="A13216" i="13"/>
  <c r="F13215" i="13"/>
  <c r="A13215" i="13"/>
  <c r="J13214" i="13"/>
  <c r="F13214" i="13"/>
  <c r="A13214" i="13"/>
  <c r="J13213" i="13"/>
  <c r="F13213" i="13"/>
  <c r="A13213" i="13"/>
  <c r="J13212" i="13"/>
  <c r="F13212" i="13"/>
  <c r="A13212" i="13"/>
  <c r="J13211" i="13"/>
  <c r="F13211" i="13"/>
  <c r="A13211" i="13"/>
  <c r="F13210" i="13"/>
  <c r="A13210" i="13"/>
  <c r="F13209" i="13"/>
  <c r="A13209" i="13"/>
  <c r="J13208" i="13"/>
  <c r="F13208" i="13"/>
  <c r="A13208" i="13"/>
  <c r="J13207" i="13"/>
  <c r="F13207" i="13"/>
  <c r="A13207" i="13"/>
  <c r="J13206" i="13"/>
  <c r="F13206" i="13"/>
  <c r="A13206" i="13"/>
  <c r="J13205" i="13"/>
  <c r="F13205" i="13"/>
  <c r="A13205" i="13"/>
  <c r="J13204" i="13"/>
  <c r="F13204" i="13"/>
  <c r="A13204" i="13"/>
  <c r="J13203" i="13"/>
  <c r="F13203" i="13"/>
  <c r="A13203" i="13"/>
  <c r="F13202" i="13"/>
  <c r="A13202" i="13"/>
  <c r="F13201" i="13"/>
  <c r="A13201" i="13"/>
  <c r="F13200" i="13"/>
  <c r="A13200" i="13"/>
  <c r="J13199" i="13"/>
  <c r="F13199" i="13"/>
  <c r="A13199" i="13"/>
  <c r="J13198" i="13"/>
  <c r="F13198" i="13"/>
  <c r="A13198" i="13"/>
  <c r="J13197" i="13"/>
  <c r="F13197" i="13"/>
  <c r="A13197" i="13"/>
  <c r="J13196" i="13"/>
  <c r="F13196" i="13"/>
  <c r="A13196" i="13"/>
  <c r="F13195" i="13"/>
  <c r="A13195" i="13"/>
  <c r="J13194" i="13"/>
  <c r="F13194" i="13"/>
  <c r="A13194" i="13"/>
  <c r="F13193" i="13"/>
  <c r="A13193" i="13"/>
  <c r="F13192" i="13"/>
  <c r="A13192" i="13"/>
  <c r="F13191" i="13"/>
  <c r="A13191" i="13"/>
  <c r="F13190" i="13"/>
  <c r="A13190" i="13"/>
  <c r="F13189" i="13"/>
  <c r="A13189" i="13"/>
  <c r="F13188" i="13"/>
  <c r="A13188" i="13"/>
  <c r="F13187" i="13"/>
  <c r="A13187" i="13"/>
  <c r="F13186" i="13"/>
  <c r="A13186" i="13"/>
  <c r="F13185" i="13"/>
  <c r="A13185" i="13"/>
  <c r="F13184" i="13"/>
  <c r="A13184" i="13"/>
  <c r="F13183" i="13"/>
  <c r="A13183" i="13"/>
  <c r="F13182" i="13"/>
  <c r="A13182" i="13"/>
  <c r="F13181" i="13"/>
  <c r="A13181" i="13"/>
  <c r="F13180" i="13"/>
  <c r="A13180" i="13"/>
  <c r="F13179" i="13"/>
  <c r="A13179" i="13"/>
  <c r="F13178" i="13"/>
  <c r="A13178" i="13"/>
  <c r="F13177" i="13"/>
  <c r="A13177" i="13"/>
  <c r="F13176" i="13"/>
  <c r="A13176" i="13"/>
  <c r="F13175" i="13"/>
  <c r="A13175" i="13"/>
  <c r="F13174" i="13"/>
  <c r="A13174" i="13"/>
  <c r="F13173" i="13"/>
  <c r="A13173" i="13"/>
  <c r="F13172" i="13"/>
  <c r="A13172" i="13"/>
  <c r="F13171" i="13"/>
  <c r="A13171" i="13"/>
  <c r="F13170" i="13"/>
  <c r="A13170" i="13"/>
  <c r="F13169" i="13"/>
  <c r="A13169" i="13"/>
  <c r="F13168" i="13"/>
  <c r="A13168" i="13"/>
  <c r="F13167" i="13"/>
  <c r="A13167" i="13"/>
  <c r="F13166" i="13"/>
  <c r="A13166" i="13"/>
  <c r="F13165" i="13"/>
  <c r="A13165" i="13"/>
  <c r="F13164" i="13"/>
  <c r="A13164" i="13"/>
  <c r="F13163" i="13"/>
  <c r="A13163" i="13"/>
  <c r="F13162" i="13"/>
  <c r="A13162" i="13"/>
  <c r="F13161" i="13"/>
  <c r="A13161" i="13"/>
  <c r="F13160" i="13"/>
  <c r="A13160" i="13"/>
  <c r="F13159" i="13"/>
  <c r="A13159" i="13"/>
  <c r="F13158" i="13"/>
  <c r="A13158" i="13"/>
  <c r="F13157" i="13"/>
  <c r="A13157" i="13"/>
  <c r="F13156" i="13"/>
  <c r="A13156" i="13"/>
  <c r="F13155" i="13"/>
  <c r="A13155" i="13"/>
  <c r="F13154" i="13"/>
  <c r="A13154" i="13"/>
  <c r="F13153" i="13"/>
  <c r="A13153" i="13"/>
  <c r="F13152" i="13"/>
  <c r="A13152" i="13"/>
  <c r="F13151" i="13"/>
  <c r="A13151" i="13"/>
  <c r="F13150" i="13"/>
  <c r="A13150" i="13"/>
  <c r="F13149" i="13"/>
  <c r="A13149" i="13"/>
  <c r="F13148" i="13"/>
  <c r="A13148" i="13"/>
  <c r="F13147" i="13"/>
  <c r="A13147" i="13"/>
  <c r="F13146" i="13"/>
  <c r="A13146" i="13"/>
  <c r="F13145" i="13"/>
  <c r="A13145" i="13"/>
  <c r="F13144" i="13"/>
  <c r="A13144" i="13"/>
  <c r="J13143" i="13"/>
  <c r="F13143" i="13"/>
  <c r="A13143" i="13"/>
  <c r="F13142" i="13"/>
  <c r="A13142" i="13"/>
  <c r="F13141" i="13"/>
  <c r="A13141" i="13"/>
  <c r="F13140" i="13"/>
  <c r="A13140" i="13"/>
  <c r="F13139" i="13"/>
  <c r="A13139" i="13"/>
  <c r="F13138" i="13"/>
  <c r="A13138" i="13"/>
  <c r="F13137" i="13"/>
  <c r="A13137" i="13"/>
  <c r="F13136" i="13"/>
  <c r="A13136" i="13"/>
  <c r="F13135" i="13"/>
  <c r="A13135" i="13"/>
  <c r="F13134" i="13"/>
  <c r="A13134" i="13"/>
  <c r="F13133" i="13"/>
  <c r="A13133" i="13"/>
  <c r="F13132" i="13"/>
  <c r="A13132" i="13"/>
  <c r="F13131" i="13"/>
  <c r="A13131" i="13"/>
  <c r="F13130" i="13"/>
  <c r="A13130" i="13"/>
  <c r="F13129" i="13"/>
  <c r="A13129" i="13"/>
  <c r="F13128" i="13"/>
  <c r="A13128" i="13"/>
  <c r="F13127" i="13"/>
  <c r="A13127" i="13"/>
  <c r="F13126" i="13"/>
  <c r="A13126" i="13"/>
  <c r="F13125" i="13"/>
  <c r="A13125" i="13"/>
  <c r="F13124" i="13"/>
  <c r="A13124" i="13"/>
  <c r="F13123" i="13"/>
  <c r="A13123" i="13"/>
  <c r="F13122" i="13"/>
  <c r="A13122" i="13"/>
  <c r="J13121" i="13"/>
  <c r="F13121" i="13"/>
  <c r="A13121" i="13"/>
  <c r="F13120" i="13"/>
  <c r="A13120" i="13"/>
  <c r="F13119" i="13"/>
  <c r="A13119" i="13"/>
  <c r="F13118" i="13"/>
  <c r="A13118" i="13"/>
  <c r="F13117" i="13"/>
  <c r="A13117" i="13"/>
  <c r="F13116" i="13"/>
  <c r="A13116" i="13"/>
  <c r="F13115" i="13"/>
  <c r="A13115" i="13"/>
  <c r="F13114" i="13"/>
  <c r="A13114" i="13"/>
  <c r="F13113" i="13"/>
  <c r="A13113" i="13"/>
  <c r="F13112" i="13"/>
  <c r="A13112" i="13"/>
  <c r="F13111" i="13"/>
  <c r="A13111" i="13"/>
  <c r="F13110" i="13"/>
  <c r="A13110" i="13"/>
  <c r="F13109" i="13"/>
  <c r="A13109" i="13"/>
  <c r="F13108" i="13"/>
  <c r="A13108" i="13"/>
  <c r="F13107" i="13"/>
  <c r="A13107" i="13"/>
  <c r="F13106" i="13"/>
  <c r="A13106" i="13"/>
  <c r="F13105" i="13"/>
  <c r="A13105" i="13"/>
  <c r="F13104" i="13"/>
  <c r="A13104" i="13"/>
  <c r="F13103" i="13"/>
  <c r="A13103" i="13"/>
  <c r="F13102" i="13"/>
  <c r="A13102" i="13"/>
  <c r="F13101" i="13"/>
  <c r="A13101" i="13"/>
  <c r="F13100" i="13"/>
  <c r="A13100" i="13"/>
  <c r="F13099" i="13"/>
  <c r="A13099" i="13"/>
  <c r="F13098" i="13"/>
  <c r="A13098" i="13"/>
  <c r="F13097" i="13"/>
  <c r="A13097" i="13"/>
  <c r="F13096" i="13"/>
  <c r="A13096" i="13"/>
  <c r="F13095" i="13"/>
  <c r="A13095" i="13"/>
  <c r="F13094" i="13"/>
  <c r="A13094" i="13"/>
  <c r="F13093" i="13"/>
  <c r="A13093" i="13"/>
  <c r="F13092" i="13"/>
  <c r="A13092" i="13"/>
  <c r="F13091" i="13"/>
  <c r="A13091" i="13"/>
  <c r="F13090" i="13"/>
  <c r="A13090" i="13"/>
  <c r="F13089" i="13"/>
  <c r="A13089" i="13"/>
  <c r="F13088" i="13"/>
  <c r="A13088" i="13"/>
  <c r="F13087" i="13"/>
  <c r="A13087" i="13"/>
  <c r="F13086" i="13"/>
  <c r="A13086" i="13"/>
  <c r="F13085" i="13"/>
  <c r="A13085" i="13"/>
  <c r="F13084" i="13"/>
  <c r="A13084" i="13"/>
  <c r="F13083" i="13"/>
  <c r="A13083" i="13"/>
  <c r="F13082" i="13"/>
  <c r="A13082" i="13"/>
  <c r="F13081" i="13"/>
  <c r="A13081" i="13"/>
  <c r="F13080" i="13"/>
  <c r="A13080" i="13"/>
  <c r="F13079" i="13"/>
  <c r="A13079" i="13"/>
  <c r="F13078" i="13"/>
  <c r="A13078" i="13"/>
  <c r="F13077" i="13"/>
  <c r="A13077" i="13"/>
  <c r="F13076" i="13"/>
  <c r="A13076" i="13"/>
  <c r="F13075" i="13"/>
  <c r="A13075" i="13"/>
  <c r="F13074" i="13"/>
  <c r="A13074" i="13"/>
  <c r="F13073" i="13"/>
  <c r="A13073" i="13"/>
  <c r="J13072" i="13"/>
  <c r="F13072" i="13"/>
  <c r="A13072" i="13"/>
  <c r="J13071" i="13"/>
  <c r="F13071" i="13"/>
  <c r="A13071" i="13"/>
  <c r="F13070" i="13"/>
  <c r="A13070" i="13"/>
  <c r="F13069" i="13"/>
  <c r="A13069" i="13"/>
  <c r="F13068" i="13"/>
  <c r="A13068" i="13"/>
  <c r="F13067" i="13"/>
  <c r="A13067" i="13"/>
  <c r="F13066" i="13"/>
  <c r="A13066" i="13"/>
  <c r="F13065" i="13"/>
  <c r="A13065" i="13"/>
  <c r="F13064" i="13"/>
  <c r="A13064" i="13"/>
  <c r="F13063" i="13"/>
  <c r="A13063" i="13"/>
  <c r="F13062" i="13"/>
  <c r="A13062" i="13"/>
  <c r="F13061" i="13"/>
  <c r="A13061" i="13"/>
  <c r="F13060" i="13"/>
  <c r="A13060" i="13"/>
  <c r="F13059" i="13"/>
  <c r="A13059" i="13"/>
  <c r="F13058" i="13"/>
  <c r="A13058" i="13"/>
  <c r="F13057" i="13"/>
  <c r="A13057" i="13"/>
  <c r="F13056" i="13"/>
  <c r="A13056" i="13"/>
  <c r="F13055" i="13"/>
  <c r="A13055" i="13"/>
  <c r="F13054" i="13"/>
  <c r="A13054" i="13"/>
  <c r="F13053" i="13"/>
  <c r="A13053" i="13"/>
  <c r="F13052" i="13"/>
  <c r="A13052" i="13"/>
  <c r="F13051" i="13"/>
  <c r="A13051" i="13"/>
  <c r="F13050" i="13"/>
  <c r="A13050" i="13"/>
  <c r="F13049" i="13"/>
  <c r="A13049" i="13"/>
  <c r="F13048" i="13"/>
  <c r="A13048" i="13"/>
  <c r="F13047" i="13"/>
  <c r="A13047" i="13"/>
  <c r="F13046" i="13"/>
  <c r="A13046" i="13"/>
  <c r="F13045" i="13"/>
  <c r="A13045" i="13"/>
  <c r="F13044" i="13"/>
  <c r="A13044" i="13"/>
  <c r="F13043" i="13"/>
  <c r="A13043" i="13"/>
  <c r="F13042" i="13"/>
  <c r="A13042" i="13"/>
  <c r="F13041" i="13"/>
  <c r="A13041" i="13"/>
  <c r="F13040" i="13"/>
  <c r="A13040" i="13"/>
  <c r="F13039" i="13"/>
  <c r="A13039" i="13"/>
  <c r="F13038" i="13"/>
  <c r="A13038" i="13"/>
  <c r="F13037" i="13"/>
  <c r="A13037" i="13"/>
  <c r="F13036" i="13"/>
  <c r="A13036" i="13"/>
  <c r="F13035" i="13"/>
  <c r="A13035" i="13"/>
  <c r="F13034" i="13"/>
  <c r="A13034" i="13"/>
  <c r="F13033" i="13"/>
  <c r="A13033" i="13"/>
  <c r="F13032" i="13"/>
  <c r="A13032" i="13"/>
  <c r="F13031" i="13"/>
  <c r="A13031" i="13"/>
  <c r="F13030" i="13"/>
  <c r="A13030" i="13"/>
  <c r="F13029" i="13"/>
  <c r="A13029" i="13"/>
  <c r="F13028" i="13"/>
  <c r="A13028" i="13"/>
  <c r="F13027" i="13"/>
  <c r="A13027" i="13"/>
  <c r="F13026" i="13"/>
  <c r="A13026" i="13"/>
  <c r="F13025" i="13"/>
  <c r="A13025" i="13"/>
  <c r="F13024" i="13"/>
  <c r="A13024" i="13"/>
  <c r="F13023" i="13"/>
  <c r="A13023" i="13"/>
  <c r="F13022" i="13"/>
  <c r="A13022" i="13"/>
  <c r="F13021" i="13"/>
  <c r="A13021" i="13"/>
  <c r="F13020" i="13"/>
  <c r="A13020" i="13"/>
  <c r="F13019" i="13"/>
  <c r="A13019" i="13"/>
  <c r="F13018" i="13"/>
  <c r="A13018" i="13"/>
  <c r="F13017" i="13"/>
  <c r="A13017" i="13"/>
  <c r="F13016" i="13"/>
  <c r="A13016" i="13"/>
  <c r="F13015" i="13"/>
  <c r="A13015" i="13"/>
  <c r="F13014" i="13"/>
  <c r="A13014" i="13"/>
  <c r="F13013" i="13"/>
  <c r="A13013" i="13"/>
  <c r="F13012" i="13"/>
  <c r="A13012" i="13"/>
  <c r="F13011" i="13"/>
  <c r="A13011" i="13"/>
  <c r="F13010" i="13"/>
  <c r="A13010" i="13"/>
  <c r="F13009" i="13"/>
  <c r="A13009" i="13"/>
  <c r="F13008" i="13"/>
  <c r="A13008" i="13"/>
  <c r="F13007" i="13"/>
  <c r="A13007" i="13"/>
  <c r="F13006" i="13"/>
  <c r="A13006" i="13"/>
  <c r="F13005" i="13"/>
  <c r="A13005" i="13"/>
  <c r="F13004" i="13"/>
  <c r="A13004" i="13"/>
  <c r="F13003" i="13"/>
  <c r="A13003" i="13"/>
  <c r="J13002" i="13"/>
  <c r="F13002" i="13"/>
  <c r="A13002" i="13"/>
  <c r="J13001" i="13"/>
  <c r="F13001" i="13"/>
  <c r="A13001" i="13"/>
  <c r="F13000" i="13"/>
  <c r="A13000" i="13"/>
  <c r="J12999" i="13"/>
  <c r="F12999" i="13"/>
  <c r="A12999" i="13"/>
  <c r="J12998" i="13"/>
  <c r="F12998" i="13"/>
  <c r="A12998" i="13"/>
  <c r="J12997" i="13"/>
  <c r="F12997" i="13"/>
  <c r="A12997" i="13"/>
  <c r="J12996" i="13"/>
  <c r="F12996" i="13"/>
  <c r="A12996" i="13"/>
  <c r="F12995" i="13"/>
  <c r="A12995" i="13"/>
  <c r="F12994" i="13"/>
  <c r="A12994" i="13"/>
  <c r="J12993" i="13"/>
  <c r="F12993" i="13"/>
  <c r="A12993" i="13"/>
  <c r="J12992" i="13"/>
  <c r="F12992" i="13"/>
  <c r="A12992" i="13"/>
  <c r="F12991" i="13"/>
  <c r="A12991" i="13"/>
  <c r="J12990" i="13"/>
  <c r="F12990" i="13"/>
  <c r="A12990" i="13"/>
  <c r="J12989" i="13"/>
  <c r="F12989" i="13"/>
  <c r="A12989" i="13"/>
  <c r="J12988" i="13"/>
  <c r="F12988" i="13"/>
  <c r="A12988" i="13"/>
  <c r="J12987" i="13"/>
  <c r="F12987" i="13"/>
  <c r="A12987" i="13"/>
  <c r="J12986" i="13"/>
  <c r="F12986" i="13"/>
  <c r="A12986" i="13"/>
  <c r="J12985" i="13"/>
  <c r="F12985" i="13"/>
  <c r="A12985" i="13"/>
  <c r="F12984" i="13"/>
  <c r="A12984" i="13"/>
  <c r="J12983" i="13"/>
  <c r="F12983" i="13"/>
  <c r="A12983" i="13"/>
  <c r="J12982" i="13"/>
  <c r="F12982" i="13"/>
  <c r="A12982" i="13"/>
  <c r="J12981" i="13"/>
  <c r="F12981" i="13"/>
  <c r="A12981" i="13"/>
  <c r="F12980" i="13"/>
  <c r="A12980" i="13"/>
  <c r="F12979" i="13"/>
  <c r="A12979" i="13"/>
  <c r="F12978" i="13"/>
  <c r="A12978" i="13"/>
  <c r="F12977" i="13"/>
  <c r="A12977" i="13"/>
  <c r="F12976" i="13"/>
  <c r="A12976" i="13"/>
  <c r="F12975" i="13"/>
  <c r="A12975" i="13"/>
  <c r="F12974" i="13"/>
  <c r="A12974" i="13"/>
  <c r="F12973" i="13"/>
  <c r="A12973" i="13"/>
  <c r="F12972" i="13"/>
  <c r="A12972" i="13"/>
  <c r="J12971" i="13"/>
  <c r="F12971" i="13"/>
  <c r="A12971" i="13"/>
  <c r="J12970" i="13"/>
  <c r="F12970" i="13"/>
  <c r="A12970" i="13"/>
  <c r="J12969" i="13"/>
  <c r="F12969" i="13"/>
  <c r="A12969" i="13"/>
  <c r="J12968" i="13"/>
  <c r="F12968" i="13"/>
  <c r="A12968" i="13"/>
  <c r="F12967" i="13"/>
  <c r="A12967" i="13"/>
  <c r="F12966" i="13"/>
  <c r="A12966" i="13"/>
  <c r="F12965" i="13"/>
  <c r="A12965" i="13"/>
  <c r="F12964" i="13"/>
  <c r="A12964" i="13"/>
  <c r="F12963" i="13"/>
  <c r="A12963" i="13"/>
  <c r="F12962" i="13"/>
  <c r="A12962" i="13"/>
  <c r="F12961" i="13"/>
  <c r="A12961" i="13"/>
  <c r="F12960" i="13"/>
  <c r="A12960" i="13"/>
  <c r="F12959" i="13"/>
  <c r="A12959" i="13"/>
  <c r="J12958" i="13"/>
  <c r="F12958" i="13"/>
  <c r="A12958" i="13"/>
  <c r="J12957" i="13"/>
  <c r="F12957" i="13"/>
  <c r="A12957" i="13"/>
  <c r="J12956" i="13"/>
  <c r="F12956" i="13"/>
  <c r="A12956" i="13"/>
  <c r="J12955" i="13"/>
  <c r="F12955" i="13"/>
  <c r="A12955" i="13"/>
  <c r="J12954" i="13"/>
  <c r="F12954" i="13"/>
  <c r="A12954" i="13"/>
  <c r="F12953" i="13"/>
  <c r="A12953" i="13"/>
  <c r="F12952" i="13"/>
  <c r="A12952" i="13"/>
  <c r="F12951" i="13"/>
  <c r="A12951" i="13"/>
  <c r="J12950" i="13"/>
  <c r="F12950" i="13"/>
  <c r="A12950" i="13"/>
  <c r="J12949" i="13"/>
  <c r="F12949" i="13"/>
  <c r="A12949" i="13"/>
  <c r="F12948" i="13"/>
  <c r="A12948" i="13"/>
  <c r="F12947" i="13"/>
  <c r="A12947" i="13"/>
  <c r="J12946" i="13"/>
  <c r="F12946" i="13"/>
  <c r="A12946" i="13"/>
  <c r="J12945" i="13"/>
  <c r="F12945" i="13"/>
  <c r="A12945" i="13"/>
  <c r="J12944" i="13"/>
  <c r="F12944" i="13"/>
  <c r="A12944" i="13"/>
  <c r="F12943" i="13"/>
  <c r="A12943" i="13"/>
  <c r="J12942" i="13"/>
  <c r="F12942" i="13"/>
  <c r="A12942" i="13"/>
  <c r="J12941" i="13"/>
  <c r="F12941" i="13"/>
  <c r="A12941" i="13"/>
  <c r="J12940" i="13"/>
  <c r="F12940" i="13"/>
  <c r="A12940" i="13"/>
  <c r="J12939" i="13"/>
  <c r="F12939" i="13"/>
  <c r="A12939" i="13"/>
  <c r="J12938" i="13"/>
  <c r="F12938" i="13"/>
  <c r="A12938" i="13"/>
  <c r="F12937" i="13"/>
  <c r="A12937" i="13"/>
  <c r="F12936" i="13"/>
  <c r="A12936" i="13"/>
  <c r="J12935" i="13"/>
  <c r="F12935" i="13"/>
  <c r="A12935" i="13"/>
  <c r="F12934" i="13"/>
  <c r="A12934" i="13"/>
  <c r="F12933" i="13"/>
  <c r="A12933" i="13"/>
  <c r="J12932" i="13"/>
  <c r="F12932" i="13"/>
  <c r="A12932" i="13"/>
  <c r="F12931" i="13"/>
  <c r="A12931" i="13"/>
  <c r="F12930" i="13"/>
  <c r="A12930" i="13"/>
  <c r="J12929" i="13"/>
  <c r="F12929" i="13"/>
  <c r="A12929" i="13"/>
  <c r="J12928" i="13"/>
  <c r="F12928" i="13"/>
  <c r="A12928" i="13"/>
  <c r="J12927" i="13"/>
  <c r="F12927" i="13"/>
  <c r="A12927" i="13"/>
  <c r="F12926" i="13"/>
  <c r="A12926" i="13"/>
  <c r="F12925" i="13"/>
  <c r="A12925" i="13"/>
  <c r="F12924" i="13"/>
  <c r="A12924" i="13"/>
  <c r="J12923" i="13"/>
  <c r="F12923" i="13"/>
  <c r="A12923" i="13"/>
  <c r="J12922" i="13"/>
  <c r="F12922" i="13"/>
  <c r="A12922" i="13"/>
  <c r="F12921" i="13"/>
  <c r="A12921" i="13"/>
  <c r="J12920" i="13"/>
  <c r="F12920" i="13"/>
  <c r="A12920" i="13"/>
  <c r="F12919" i="13"/>
  <c r="A12919" i="13"/>
  <c r="F12918" i="13"/>
  <c r="A12918" i="13"/>
  <c r="J12917" i="13"/>
  <c r="F12917" i="13"/>
  <c r="A12917" i="13"/>
  <c r="J12916" i="13"/>
  <c r="F12916" i="13"/>
  <c r="A12916" i="13"/>
  <c r="J12915" i="13"/>
  <c r="F12915" i="13"/>
  <c r="A12915" i="13"/>
  <c r="F12914" i="13"/>
  <c r="A12914" i="13"/>
  <c r="F12913" i="13"/>
  <c r="A12913" i="13"/>
  <c r="F12912" i="13"/>
  <c r="A12912" i="13"/>
  <c r="F12911" i="13"/>
  <c r="A12911" i="13"/>
  <c r="J12910" i="13"/>
  <c r="F12910" i="13"/>
  <c r="A12910" i="13"/>
  <c r="J12909" i="13"/>
  <c r="F12909" i="13"/>
  <c r="A12909" i="13"/>
  <c r="F12908" i="13"/>
  <c r="A12908" i="13"/>
  <c r="F12907" i="13"/>
  <c r="A12907" i="13"/>
  <c r="J12906" i="13"/>
  <c r="F12906" i="13"/>
  <c r="A12906" i="13"/>
  <c r="J12905" i="13"/>
  <c r="F12905" i="13"/>
  <c r="A12905" i="13"/>
  <c r="J12904" i="13"/>
  <c r="F12904" i="13"/>
  <c r="A12904" i="13"/>
  <c r="J12903" i="13"/>
  <c r="F12903" i="13"/>
  <c r="A12903" i="13"/>
  <c r="F12902" i="13"/>
  <c r="A12902" i="13"/>
  <c r="J12901" i="13"/>
  <c r="F12901" i="13"/>
  <c r="J12900" i="13"/>
  <c r="F12900" i="13"/>
  <c r="J12899" i="13"/>
  <c r="F12899" i="13"/>
  <c r="J12898" i="13"/>
  <c r="F12898" i="13"/>
  <c r="J12897" i="13"/>
  <c r="F12897" i="13"/>
  <c r="F12896" i="13"/>
  <c r="A12896" i="13"/>
  <c r="F12895" i="13"/>
  <c r="A12895" i="13"/>
  <c r="F12894" i="13"/>
  <c r="A12894" i="13"/>
  <c r="F12893" i="13"/>
  <c r="A12893" i="13"/>
  <c r="F12892" i="13"/>
  <c r="J12891" i="13"/>
  <c r="F12891" i="13"/>
  <c r="A12891" i="13"/>
  <c r="J12890" i="13"/>
  <c r="F12890" i="13"/>
  <c r="A12890" i="13"/>
  <c r="F12889" i="13"/>
  <c r="A12889" i="13"/>
  <c r="J12888" i="13"/>
  <c r="F12888" i="13"/>
  <c r="A12888" i="13"/>
  <c r="J12887" i="13"/>
  <c r="F12887" i="13"/>
  <c r="A12887" i="13"/>
  <c r="F12886" i="13"/>
  <c r="A12886" i="13"/>
  <c r="J12885" i="13"/>
  <c r="F12885" i="13"/>
  <c r="A12885" i="13"/>
  <c r="J12884" i="13"/>
  <c r="F12884" i="13"/>
  <c r="A12884" i="13"/>
  <c r="F12883" i="13"/>
  <c r="A12883" i="13"/>
  <c r="J12882" i="13"/>
  <c r="F12882" i="13"/>
  <c r="A12882" i="13"/>
  <c r="F12881" i="13"/>
  <c r="A12881" i="13"/>
  <c r="J12880" i="13"/>
  <c r="F12880" i="13"/>
  <c r="A12880" i="13"/>
  <c r="J12879" i="13"/>
  <c r="F12879" i="13"/>
  <c r="A12879" i="13"/>
  <c r="J12878" i="13"/>
  <c r="F12878" i="13"/>
  <c r="A12878" i="13"/>
  <c r="F12877" i="13"/>
  <c r="A12877" i="13"/>
  <c r="F12876" i="13"/>
  <c r="A12876" i="13"/>
  <c r="J12875" i="13"/>
  <c r="F12875" i="13"/>
  <c r="A12875" i="13"/>
  <c r="F12874" i="13"/>
  <c r="A12874" i="13"/>
  <c r="J12873" i="13"/>
  <c r="F12873" i="13"/>
  <c r="A12873" i="13"/>
  <c r="J12872" i="13"/>
  <c r="F12872" i="13"/>
  <c r="A12872" i="13"/>
  <c r="J12871" i="13"/>
  <c r="F12871" i="13"/>
  <c r="A12871" i="13"/>
  <c r="F12870" i="13"/>
  <c r="A12870" i="13"/>
  <c r="F12869" i="13"/>
  <c r="A12869" i="13"/>
  <c r="J12868" i="13"/>
  <c r="F12868" i="13"/>
  <c r="A12868" i="13"/>
  <c r="J12867" i="13"/>
  <c r="F12867" i="13"/>
  <c r="A12867" i="13"/>
  <c r="J12866" i="13"/>
  <c r="F12866" i="13"/>
  <c r="A12866" i="13"/>
  <c r="J12865" i="13"/>
  <c r="F12865" i="13"/>
  <c r="A12865" i="13"/>
  <c r="F12864" i="13"/>
  <c r="A12864" i="13"/>
  <c r="F12863" i="13"/>
  <c r="A12863" i="13"/>
  <c r="J12862" i="13"/>
  <c r="F12862" i="13"/>
  <c r="A12862" i="13"/>
  <c r="J12861" i="13"/>
  <c r="F12861" i="13"/>
  <c r="A12861" i="13"/>
  <c r="J12860" i="13"/>
  <c r="F12860" i="13"/>
  <c r="A12860" i="13"/>
  <c r="J12859" i="13"/>
  <c r="F12859" i="13"/>
  <c r="A12859" i="13"/>
  <c r="J12858" i="13"/>
  <c r="F12858" i="13"/>
  <c r="A12858" i="13"/>
  <c r="J12857" i="13"/>
  <c r="F12857" i="13"/>
  <c r="A12857" i="13"/>
  <c r="J12856" i="13"/>
  <c r="F12856" i="13"/>
  <c r="A12856" i="13"/>
  <c r="F12855" i="13"/>
  <c r="A12855" i="13"/>
  <c r="F12854" i="13"/>
  <c r="A12854" i="13"/>
  <c r="F12853" i="13"/>
  <c r="A12853" i="13"/>
  <c r="J12852" i="13"/>
  <c r="F12852" i="13"/>
  <c r="A12852" i="13"/>
  <c r="J12851" i="13"/>
  <c r="F12851" i="13"/>
  <c r="A12851" i="13"/>
  <c r="J12850" i="13"/>
  <c r="F12850" i="13"/>
  <c r="A12850" i="13"/>
  <c r="J12849" i="13"/>
  <c r="F12849" i="13"/>
  <c r="A12849" i="13"/>
  <c r="J12848" i="13"/>
  <c r="F12848" i="13"/>
  <c r="A12848" i="13"/>
  <c r="J12847" i="13"/>
  <c r="F12847" i="13"/>
  <c r="A12847" i="13"/>
  <c r="F12846" i="13"/>
  <c r="A12846" i="13"/>
  <c r="F12845" i="13"/>
  <c r="A12845" i="13"/>
  <c r="F12844" i="13"/>
  <c r="A12844" i="13"/>
  <c r="F12843" i="13"/>
  <c r="A12843" i="13"/>
  <c r="F12842" i="13"/>
  <c r="A12842" i="13"/>
  <c r="J12841" i="13"/>
  <c r="F12841" i="13"/>
  <c r="A12841" i="13"/>
  <c r="F12840" i="13"/>
  <c r="A12840" i="13"/>
  <c r="F12839" i="13"/>
  <c r="A12839" i="13"/>
  <c r="J12838" i="13"/>
  <c r="F12838" i="13"/>
  <c r="A12838" i="13"/>
  <c r="J12837" i="13"/>
  <c r="F12837" i="13"/>
  <c r="A12837" i="13"/>
  <c r="J12836" i="13"/>
  <c r="F12836" i="13"/>
  <c r="A12836" i="13"/>
  <c r="F12835" i="13"/>
  <c r="A12835" i="13"/>
  <c r="J12834" i="13"/>
  <c r="F12834" i="13"/>
  <c r="A12834" i="13"/>
  <c r="J12833" i="13"/>
  <c r="F12833" i="13"/>
  <c r="A12833" i="13"/>
  <c r="F12832" i="13"/>
  <c r="A12832" i="13"/>
  <c r="F12831" i="13"/>
  <c r="A12831" i="13"/>
  <c r="J12830" i="13"/>
  <c r="F12830" i="13"/>
  <c r="A12830" i="13"/>
  <c r="J12829" i="13"/>
  <c r="F12829" i="13"/>
  <c r="A12829" i="13"/>
  <c r="F12828" i="13"/>
  <c r="A12828" i="13"/>
  <c r="F12827" i="13"/>
  <c r="A12827" i="13"/>
  <c r="J12826" i="13"/>
  <c r="F12826" i="13"/>
  <c r="A12826" i="13"/>
  <c r="J12825" i="13"/>
  <c r="F12825" i="13"/>
  <c r="A12825" i="13"/>
  <c r="F12824" i="13"/>
  <c r="A12824" i="13"/>
  <c r="J12823" i="13"/>
  <c r="F12823" i="13"/>
  <c r="A12823" i="13"/>
  <c r="F12822" i="13"/>
  <c r="A12822" i="13"/>
  <c r="F12821" i="13"/>
  <c r="A12821" i="13"/>
  <c r="J12820" i="13"/>
  <c r="F12820" i="13"/>
  <c r="A12820" i="13"/>
  <c r="J12819" i="13"/>
  <c r="F12819" i="13"/>
  <c r="A12819" i="13"/>
  <c r="J12818" i="13"/>
  <c r="F12818" i="13"/>
  <c r="A12818" i="13"/>
  <c r="F12817" i="13"/>
  <c r="A12817" i="13"/>
  <c r="J12816" i="13"/>
  <c r="F12816" i="13"/>
  <c r="A12816" i="13"/>
  <c r="F12815" i="13"/>
  <c r="A12815" i="13"/>
  <c r="J12814" i="13"/>
  <c r="F12814" i="13"/>
  <c r="A12814" i="13"/>
  <c r="J12813" i="13"/>
  <c r="F12813" i="13"/>
  <c r="A12813" i="13"/>
  <c r="J12812" i="13"/>
  <c r="F12812" i="13"/>
  <c r="A12812" i="13"/>
  <c r="J12811" i="13"/>
  <c r="F12811" i="13"/>
  <c r="A12811" i="13"/>
  <c r="J12810" i="13"/>
  <c r="F12810" i="13"/>
  <c r="A12810" i="13"/>
  <c r="F12809" i="13"/>
  <c r="A12809" i="13"/>
  <c r="J12808" i="13"/>
  <c r="F12808" i="13"/>
  <c r="A12808" i="13"/>
  <c r="J12807" i="13"/>
  <c r="F12807" i="13"/>
  <c r="A12807" i="13"/>
  <c r="F12806" i="13"/>
  <c r="A12806" i="13"/>
  <c r="J12805" i="13"/>
  <c r="F12805" i="13"/>
  <c r="A12805" i="13"/>
  <c r="J12804" i="13"/>
  <c r="F12804" i="13"/>
  <c r="A12804" i="13"/>
  <c r="J12803" i="13"/>
  <c r="F12803" i="13"/>
  <c r="A12803" i="13"/>
  <c r="J12802" i="13"/>
  <c r="F12802" i="13"/>
  <c r="A12802" i="13"/>
  <c r="F12801" i="13"/>
  <c r="A12801" i="13"/>
  <c r="F12800" i="13"/>
  <c r="A12800" i="13"/>
  <c r="J12799" i="13"/>
  <c r="F12799" i="13"/>
  <c r="A12799" i="13"/>
  <c r="J12798" i="13"/>
  <c r="F12798" i="13"/>
  <c r="A12798" i="13"/>
  <c r="J12797" i="13"/>
  <c r="F12797" i="13"/>
  <c r="A12797" i="13"/>
  <c r="F12796" i="13"/>
  <c r="A12796" i="13"/>
  <c r="F12795" i="13"/>
  <c r="A12795" i="13"/>
  <c r="J12794" i="13"/>
  <c r="F12794" i="13"/>
  <c r="A12794" i="13"/>
  <c r="J12793" i="13"/>
  <c r="F12793" i="13"/>
  <c r="A12793" i="13"/>
  <c r="F12792" i="13"/>
  <c r="A12792" i="13"/>
  <c r="F12791" i="13"/>
  <c r="A12791" i="13"/>
  <c r="F12790" i="13"/>
  <c r="A12790" i="13"/>
  <c r="J12789" i="13"/>
  <c r="F12789" i="13"/>
  <c r="J12788" i="13"/>
  <c r="F12788" i="13"/>
  <c r="J12787" i="13"/>
  <c r="F12787" i="13"/>
  <c r="J12786" i="13"/>
  <c r="F12786" i="13"/>
  <c r="J12785" i="13"/>
  <c r="F12785" i="13"/>
  <c r="J12784" i="13"/>
  <c r="F12784" i="13"/>
  <c r="F12783" i="13"/>
  <c r="A12783" i="13"/>
  <c r="F12782" i="13"/>
  <c r="A12782" i="13"/>
  <c r="F12781" i="13"/>
  <c r="A12781" i="13"/>
  <c r="F12780" i="13"/>
  <c r="A12780" i="13"/>
  <c r="F12779" i="13"/>
  <c r="A12779" i="13"/>
  <c r="F12778" i="13"/>
  <c r="A12778" i="13"/>
  <c r="F12777" i="13"/>
  <c r="A12777" i="13"/>
  <c r="F12776" i="13"/>
  <c r="A12776" i="13"/>
  <c r="F12775" i="13"/>
  <c r="A12775" i="13"/>
  <c r="F12774" i="13"/>
  <c r="A12774" i="13"/>
  <c r="F12773" i="13"/>
  <c r="A12773" i="13"/>
  <c r="F12772" i="13"/>
  <c r="A12772" i="13"/>
  <c r="F12771" i="13"/>
  <c r="A12771" i="13"/>
  <c r="F12770" i="13"/>
  <c r="A12770" i="13"/>
  <c r="F12769" i="13"/>
  <c r="A12769" i="13"/>
  <c r="F12768" i="13"/>
  <c r="A12768" i="13"/>
  <c r="F12767" i="13"/>
  <c r="A12767" i="13"/>
  <c r="F12766" i="13"/>
  <c r="A12766" i="13"/>
  <c r="F12765" i="13"/>
  <c r="A12765" i="13"/>
  <c r="F12764" i="13"/>
  <c r="A12764" i="13"/>
  <c r="F12763" i="13"/>
  <c r="A12763" i="13"/>
  <c r="F12762" i="13"/>
  <c r="A12762" i="13"/>
  <c r="F12761" i="13"/>
  <c r="A12761" i="13"/>
  <c r="F12760" i="13"/>
  <c r="A12760" i="13"/>
  <c r="F12759" i="13"/>
  <c r="A12759" i="13"/>
  <c r="F12758" i="13"/>
  <c r="A12758" i="13"/>
  <c r="F12757" i="13"/>
  <c r="A12757" i="13"/>
  <c r="F12756" i="13"/>
  <c r="A12756" i="13"/>
  <c r="F12755" i="13"/>
  <c r="A12755" i="13"/>
  <c r="F12754" i="13"/>
  <c r="A12754" i="13"/>
  <c r="F12753" i="13"/>
  <c r="A12753" i="13"/>
  <c r="F12752" i="13"/>
  <c r="F12751" i="13"/>
  <c r="A12751" i="13"/>
  <c r="J12750" i="13"/>
  <c r="F12750" i="13"/>
  <c r="A12750" i="13"/>
  <c r="J12749" i="13"/>
  <c r="F12749" i="13"/>
  <c r="A12749" i="13"/>
  <c r="J12748" i="13"/>
  <c r="F12748" i="13"/>
  <c r="A12748" i="13"/>
  <c r="J12747" i="13"/>
  <c r="F12747" i="13"/>
  <c r="A12747" i="13"/>
  <c r="J12746" i="13"/>
  <c r="F12746" i="13"/>
  <c r="A12746" i="13"/>
  <c r="J12745" i="13"/>
  <c r="F12745" i="13"/>
  <c r="A12745" i="13"/>
  <c r="F12744" i="13"/>
  <c r="A12744" i="13"/>
  <c r="F12743" i="13"/>
  <c r="A12743" i="13"/>
  <c r="F12742" i="13"/>
  <c r="A12742" i="13"/>
  <c r="F12741" i="13"/>
  <c r="A12741" i="13"/>
  <c r="J12740" i="13"/>
  <c r="F12740" i="13"/>
  <c r="A12740" i="13"/>
  <c r="J12739" i="13"/>
  <c r="F12739" i="13"/>
  <c r="A12739" i="13"/>
  <c r="J12738" i="13"/>
  <c r="F12738" i="13"/>
  <c r="A12738" i="13"/>
  <c r="J12737" i="13"/>
  <c r="F12737" i="13"/>
  <c r="A12737" i="13"/>
  <c r="F12736" i="13"/>
  <c r="A12736" i="13"/>
  <c r="J12735" i="13"/>
  <c r="F12735" i="13"/>
  <c r="A12735" i="13"/>
  <c r="F12734" i="13"/>
  <c r="A12734" i="13"/>
  <c r="F12733" i="13"/>
  <c r="A12733" i="13"/>
  <c r="J12732" i="13"/>
  <c r="F12732" i="13"/>
  <c r="A12732" i="13"/>
  <c r="J12731" i="13"/>
  <c r="F12731" i="13"/>
  <c r="A12731" i="13"/>
  <c r="J12730" i="13"/>
  <c r="F12730" i="13"/>
  <c r="A12730" i="13"/>
  <c r="F12729" i="13"/>
  <c r="A12729" i="13"/>
  <c r="F12728" i="13"/>
  <c r="A12728" i="13"/>
  <c r="J12727" i="13"/>
  <c r="F12727" i="13"/>
  <c r="A12727" i="13"/>
  <c r="J12726" i="13"/>
  <c r="F12726" i="13"/>
  <c r="A12726" i="13"/>
  <c r="J12725" i="13"/>
  <c r="F12725" i="13"/>
  <c r="A12725" i="13"/>
  <c r="F12724" i="13"/>
  <c r="A12724" i="13"/>
  <c r="J12723" i="13"/>
  <c r="F12723" i="13"/>
  <c r="A12723" i="13"/>
  <c r="J12722" i="13"/>
  <c r="F12722" i="13"/>
  <c r="A12722" i="13"/>
  <c r="J12721" i="13"/>
  <c r="F12721" i="13"/>
  <c r="A12721" i="13"/>
  <c r="F12720" i="13"/>
  <c r="A12720" i="13"/>
  <c r="J12719" i="13"/>
  <c r="F12719" i="13"/>
  <c r="A12719" i="13"/>
  <c r="J12718" i="13"/>
  <c r="F12718" i="13"/>
  <c r="A12718" i="13"/>
  <c r="F12717" i="13"/>
  <c r="A12717" i="13"/>
  <c r="J12716" i="13"/>
  <c r="F12716" i="13"/>
  <c r="A12716" i="13"/>
  <c r="F12715" i="13"/>
  <c r="A12715" i="13"/>
  <c r="F12714" i="13"/>
  <c r="A12714" i="13"/>
  <c r="F12713" i="13"/>
  <c r="A12713" i="13"/>
  <c r="J12712" i="13"/>
  <c r="F12712" i="13"/>
  <c r="A12712" i="13"/>
  <c r="J12711" i="13"/>
  <c r="F12711" i="13"/>
  <c r="A12711" i="13"/>
  <c r="J12710" i="13"/>
  <c r="F12710" i="13"/>
  <c r="A12710" i="13"/>
  <c r="J12709" i="13"/>
  <c r="F12709" i="13"/>
  <c r="A12709" i="13"/>
  <c r="J12708" i="13"/>
  <c r="F12708" i="13"/>
  <c r="A12708" i="13"/>
  <c r="J12707" i="13"/>
  <c r="F12707" i="13"/>
  <c r="A12707" i="13"/>
  <c r="J12706" i="13"/>
  <c r="F12706" i="13"/>
  <c r="A12706" i="13"/>
  <c r="J12705" i="13"/>
  <c r="F12705" i="13"/>
  <c r="A12705" i="13"/>
  <c r="J12704" i="13"/>
  <c r="F12704" i="13"/>
  <c r="A12704" i="13"/>
  <c r="J12703" i="13"/>
  <c r="F12703" i="13"/>
  <c r="A12703" i="13"/>
  <c r="J12702" i="13"/>
  <c r="F12702" i="13"/>
  <c r="A12702" i="13"/>
  <c r="J12701" i="13"/>
  <c r="F12701" i="13"/>
  <c r="A12701" i="13"/>
  <c r="F12700" i="13"/>
  <c r="A12700" i="13"/>
  <c r="F12699" i="13"/>
  <c r="A12699" i="13"/>
  <c r="J12698" i="13"/>
  <c r="F12698" i="13"/>
  <c r="A12698" i="13"/>
  <c r="F12697" i="13"/>
  <c r="A12697" i="13"/>
  <c r="F12696" i="13"/>
  <c r="A12696" i="13"/>
  <c r="F12695" i="13"/>
  <c r="A12695" i="13"/>
  <c r="J12694" i="13"/>
  <c r="F12694" i="13"/>
  <c r="A12694" i="13"/>
  <c r="F12693" i="13"/>
  <c r="A12693" i="13"/>
  <c r="F12692" i="13"/>
  <c r="A12692" i="13"/>
  <c r="J12691" i="13"/>
  <c r="F12691" i="13"/>
  <c r="A12691" i="13"/>
  <c r="J12690" i="13"/>
  <c r="F12690" i="13"/>
  <c r="A12690" i="13"/>
  <c r="J12689" i="13"/>
  <c r="F12689" i="13"/>
  <c r="A12689" i="13"/>
  <c r="F12688" i="13"/>
  <c r="A12688" i="13"/>
  <c r="F12687" i="13"/>
  <c r="A12687" i="13"/>
  <c r="J12686" i="13"/>
  <c r="F12686" i="13"/>
  <c r="A12686" i="13"/>
  <c r="J12685" i="13"/>
  <c r="F12685" i="13"/>
  <c r="A12685" i="13"/>
  <c r="J12684" i="13"/>
  <c r="F12684" i="13"/>
  <c r="A12684" i="13"/>
  <c r="J12683" i="13"/>
  <c r="F12683" i="13"/>
  <c r="A12683" i="13"/>
  <c r="F12682" i="13"/>
  <c r="A12682" i="13"/>
  <c r="J12681" i="13"/>
  <c r="F12681" i="13"/>
  <c r="A12681" i="13"/>
  <c r="J12680" i="13"/>
  <c r="F12680" i="13"/>
  <c r="A12680" i="13"/>
  <c r="F12679" i="13"/>
  <c r="A12679" i="13"/>
  <c r="F12678" i="13"/>
  <c r="A12678" i="13"/>
  <c r="F12677" i="13"/>
  <c r="A12677" i="13"/>
  <c r="F12676" i="13"/>
  <c r="A12676" i="13"/>
  <c r="F12675" i="13"/>
  <c r="A12675" i="13"/>
  <c r="F12674" i="13"/>
  <c r="A12674" i="13"/>
  <c r="F12673" i="13"/>
  <c r="A12673" i="13"/>
  <c r="F12672" i="13"/>
  <c r="A12672" i="13"/>
  <c r="F12671" i="13"/>
  <c r="A12671" i="13"/>
  <c r="F12670" i="13"/>
  <c r="A12670" i="13"/>
  <c r="F12669" i="13"/>
  <c r="A12669" i="13"/>
  <c r="F12668" i="13"/>
  <c r="A12668" i="13"/>
  <c r="F12667" i="13"/>
  <c r="A12667" i="13"/>
  <c r="J12666" i="13"/>
  <c r="F12666" i="13"/>
  <c r="A12666" i="13"/>
  <c r="J12665" i="13"/>
  <c r="F12665" i="13"/>
  <c r="A12665" i="13"/>
  <c r="F12664" i="13"/>
  <c r="A12664" i="13"/>
  <c r="J12663" i="13"/>
  <c r="F12663" i="13"/>
  <c r="A12663" i="13"/>
  <c r="J12662" i="13"/>
  <c r="F12662" i="13"/>
  <c r="A12662" i="13"/>
  <c r="F12661" i="13"/>
  <c r="A12661" i="13"/>
  <c r="J12660" i="13"/>
  <c r="F12660" i="13"/>
  <c r="A12660" i="13"/>
  <c r="J12659" i="13"/>
  <c r="F12659" i="13"/>
  <c r="A12659" i="13"/>
  <c r="J12658" i="13"/>
  <c r="F12658" i="13"/>
  <c r="A12658" i="13"/>
  <c r="J12657" i="13"/>
  <c r="F12657" i="13"/>
  <c r="A12657" i="13"/>
  <c r="F12656" i="13"/>
  <c r="A12656" i="13"/>
  <c r="J12655" i="13"/>
  <c r="F12655" i="13"/>
  <c r="A12655" i="13"/>
  <c r="J12654" i="13"/>
  <c r="F12654" i="13"/>
  <c r="A12654" i="13"/>
  <c r="J12653" i="13"/>
  <c r="F12653" i="13"/>
  <c r="A12653" i="13"/>
  <c r="J12652" i="13"/>
  <c r="F12652" i="13"/>
  <c r="A12652" i="13"/>
  <c r="F12651" i="13"/>
  <c r="A12651" i="13"/>
  <c r="J12650" i="13"/>
  <c r="F12650" i="13"/>
  <c r="A12650" i="13"/>
  <c r="J12649" i="13"/>
  <c r="F12649" i="13"/>
  <c r="A12649" i="13"/>
  <c r="F12648" i="13"/>
  <c r="A12648" i="13"/>
  <c r="F12647" i="13"/>
  <c r="A12647" i="13"/>
  <c r="F12646" i="13"/>
  <c r="A12646" i="13"/>
  <c r="J12645" i="13"/>
  <c r="F12645" i="13"/>
  <c r="A12645" i="13"/>
  <c r="J12644" i="13"/>
  <c r="F12644" i="13"/>
  <c r="A12644" i="13"/>
  <c r="F12643" i="13"/>
  <c r="A12643" i="13"/>
  <c r="F12642" i="13"/>
  <c r="A12642" i="13"/>
  <c r="F12641" i="13"/>
  <c r="A12641" i="13"/>
  <c r="F12640" i="13"/>
  <c r="A12640" i="13"/>
  <c r="F12639" i="13"/>
  <c r="A12639" i="13"/>
  <c r="F12638" i="13"/>
  <c r="A12638" i="13"/>
  <c r="F12637" i="13"/>
  <c r="A12637" i="13"/>
  <c r="F12636" i="13"/>
  <c r="A12636" i="13"/>
  <c r="J12635" i="13"/>
  <c r="F12635" i="13"/>
  <c r="A12635" i="13"/>
  <c r="J12634" i="13"/>
  <c r="F12634" i="13"/>
  <c r="A12634" i="13"/>
  <c r="J12633" i="13"/>
  <c r="F12633" i="13"/>
  <c r="A12633" i="13"/>
  <c r="F12632" i="13"/>
  <c r="A12632" i="13"/>
  <c r="F12631" i="13"/>
  <c r="A12631" i="13"/>
  <c r="J12630" i="13"/>
  <c r="F12630" i="13"/>
  <c r="A12630" i="13"/>
  <c r="J12629" i="13"/>
  <c r="F12629" i="13"/>
  <c r="A12629" i="13"/>
  <c r="J12628" i="13"/>
  <c r="F12628" i="13"/>
  <c r="A12628" i="13"/>
  <c r="J12627" i="13"/>
  <c r="F12627" i="13"/>
  <c r="A12627" i="13"/>
  <c r="J12626" i="13"/>
  <c r="F12626" i="13"/>
  <c r="A12626" i="13"/>
  <c r="J12625" i="13"/>
  <c r="F12625" i="13"/>
  <c r="A12625" i="13"/>
  <c r="F12624" i="13"/>
  <c r="A12624" i="13"/>
  <c r="J12623" i="13"/>
  <c r="F12623" i="13"/>
  <c r="A12623" i="13"/>
  <c r="J12622" i="13"/>
  <c r="F12622" i="13"/>
  <c r="A12622" i="13"/>
  <c r="J12621" i="13"/>
  <c r="F12621" i="13"/>
  <c r="A12621" i="13"/>
  <c r="J12620" i="13"/>
  <c r="F12620" i="13"/>
  <c r="A12620" i="13"/>
  <c r="J12619" i="13"/>
  <c r="F12619" i="13"/>
  <c r="A12619" i="13"/>
  <c r="J12618" i="13"/>
  <c r="F12618" i="13"/>
  <c r="A12618" i="13"/>
  <c r="J12617" i="13"/>
  <c r="F12617" i="13"/>
  <c r="A12617" i="13"/>
  <c r="J12616" i="13"/>
  <c r="F12616" i="13"/>
  <c r="A12616" i="13"/>
  <c r="F12615" i="13"/>
  <c r="A12615" i="13"/>
  <c r="F12614" i="13"/>
  <c r="A12614" i="13"/>
  <c r="F12613" i="13"/>
  <c r="A12613" i="13"/>
  <c r="F12612" i="13"/>
  <c r="A12612" i="13"/>
  <c r="F12611" i="13"/>
  <c r="A12611" i="13"/>
  <c r="J12610" i="13"/>
  <c r="F12610" i="13"/>
  <c r="A12610" i="13"/>
  <c r="F12609" i="13"/>
  <c r="A12609" i="13"/>
  <c r="F12608" i="13"/>
  <c r="A12608" i="13"/>
  <c r="F12607" i="13"/>
  <c r="A12607" i="13"/>
  <c r="F12606" i="13"/>
  <c r="A12606" i="13"/>
  <c r="J12605" i="13"/>
  <c r="F12605" i="13"/>
  <c r="A12605" i="13"/>
  <c r="J12604" i="13"/>
  <c r="F12604" i="13"/>
  <c r="A12604" i="13"/>
  <c r="F12603" i="13"/>
  <c r="A12603" i="13"/>
  <c r="F12602" i="13"/>
  <c r="A12602" i="13"/>
  <c r="J12601" i="13"/>
  <c r="F12601" i="13"/>
  <c r="A12601" i="13"/>
  <c r="J12600" i="13"/>
  <c r="F12600" i="13"/>
  <c r="A12600" i="13"/>
  <c r="F12599" i="13"/>
  <c r="A12599" i="13"/>
  <c r="J12598" i="13"/>
  <c r="F12598" i="13"/>
  <c r="A12598" i="13"/>
  <c r="J12597" i="13"/>
  <c r="F12597" i="13"/>
  <c r="A12597" i="13"/>
  <c r="J12596" i="13"/>
  <c r="F12596" i="13"/>
  <c r="A12596" i="13"/>
  <c r="J12595" i="13"/>
  <c r="F12595" i="13"/>
  <c r="A12595" i="13"/>
  <c r="F12594" i="13"/>
  <c r="A12594" i="13"/>
  <c r="J12593" i="13"/>
  <c r="F12593" i="13"/>
  <c r="A12593" i="13"/>
  <c r="F12592" i="13"/>
  <c r="A12592" i="13"/>
  <c r="J12591" i="13"/>
  <c r="F12591" i="13"/>
  <c r="A12591" i="13"/>
  <c r="J12590" i="13"/>
  <c r="F12590" i="13"/>
  <c r="A12590" i="13"/>
  <c r="J12589" i="13"/>
  <c r="F12589" i="13"/>
  <c r="A12589" i="13"/>
  <c r="F12588" i="13"/>
  <c r="A12588" i="13"/>
  <c r="J12587" i="13"/>
  <c r="F12587" i="13"/>
  <c r="A12587" i="13"/>
  <c r="J12586" i="13"/>
  <c r="F12586" i="13"/>
  <c r="A12586" i="13"/>
  <c r="J12585" i="13"/>
  <c r="F12585" i="13"/>
  <c r="A12585" i="13"/>
  <c r="J12584" i="13"/>
  <c r="F12584" i="13"/>
  <c r="A12584" i="13"/>
  <c r="J12583" i="13"/>
  <c r="F12583" i="13"/>
  <c r="A12583" i="13"/>
  <c r="J12582" i="13"/>
  <c r="F12582" i="13"/>
  <c r="A12582" i="13"/>
  <c r="J12581" i="13"/>
  <c r="F12581" i="13"/>
  <c r="A12581" i="13"/>
  <c r="F12580" i="13"/>
  <c r="A12580" i="13"/>
  <c r="J12579" i="13"/>
  <c r="F12579" i="13"/>
  <c r="A12579" i="13"/>
  <c r="J12578" i="13"/>
  <c r="F12578" i="13"/>
  <c r="A12578" i="13"/>
  <c r="F12577" i="13"/>
  <c r="A12577" i="13"/>
  <c r="J12576" i="13"/>
  <c r="F12576" i="13"/>
  <c r="A12576" i="13"/>
  <c r="J12575" i="13"/>
  <c r="F12575" i="13"/>
  <c r="A12575" i="13"/>
  <c r="J12574" i="13"/>
  <c r="F12574" i="13"/>
  <c r="A12574" i="13"/>
  <c r="J12573" i="13"/>
  <c r="F12573" i="13"/>
  <c r="A12573" i="13"/>
  <c r="F12572" i="13"/>
  <c r="A12572" i="13"/>
  <c r="J12571" i="13"/>
  <c r="F12571" i="13"/>
  <c r="A12571" i="13"/>
  <c r="J12570" i="13"/>
  <c r="F12570" i="13"/>
  <c r="A12570" i="13"/>
  <c r="F12569" i="13"/>
  <c r="A12569" i="13"/>
  <c r="F12568" i="13"/>
  <c r="A12568" i="13"/>
  <c r="J12567" i="13"/>
  <c r="F12567" i="13"/>
  <c r="A12567" i="13"/>
  <c r="J12566" i="13"/>
  <c r="F12566" i="13"/>
  <c r="A12566" i="13"/>
  <c r="J12565" i="13"/>
  <c r="F12565" i="13"/>
  <c r="A12565" i="13"/>
  <c r="F12564" i="13"/>
  <c r="A12564" i="13"/>
  <c r="J12563" i="13"/>
  <c r="F12563" i="13"/>
  <c r="A12563" i="13"/>
  <c r="F12562" i="13"/>
  <c r="A12562" i="13"/>
  <c r="J12561" i="13"/>
  <c r="F12561" i="13"/>
  <c r="A12561" i="13"/>
  <c r="J12560" i="13"/>
  <c r="F12560" i="13"/>
  <c r="A12560" i="13"/>
  <c r="J12559" i="13"/>
  <c r="F12559" i="13"/>
  <c r="A12559" i="13"/>
  <c r="F12558" i="13"/>
  <c r="A12558" i="13"/>
  <c r="J12557" i="13"/>
  <c r="F12557" i="13"/>
  <c r="A12557" i="13"/>
  <c r="F12556" i="13"/>
  <c r="A12556" i="13"/>
  <c r="J12555" i="13"/>
  <c r="F12555" i="13"/>
  <c r="A12555" i="13"/>
  <c r="J12554" i="13"/>
  <c r="F12554" i="13"/>
  <c r="A12554" i="13"/>
  <c r="F12553" i="13"/>
  <c r="A12553" i="13"/>
  <c r="F12552" i="13"/>
  <c r="A12552" i="13"/>
  <c r="J12551" i="13"/>
  <c r="F12551" i="13"/>
  <c r="A12551" i="13"/>
  <c r="J12550" i="13"/>
  <c r="F12550" i="13"/>
  <c r="A12550" i="13"/>
  <c r="J12549" i="13"/>
  <c r="F12549" i="13"/>
  <c r="A12549" i="13"/>
  <c r="J12548" i="13"/>
  <c r="F12548" i="13"/>
  <c r="A12548" i="13"/>
  <c r="F12547" i="13"/>
  <c r="A12547" i="13"/>
  <c r="J12546" i="13"/>
  <c r="F12546" i="13"/>
  <c r="A12546" i="13"/>
  <c r="J12545" i="13"/>
  <c r="F12545" i="13"/>
  <c r="A12545" i="13"/>
  <c r="J12544" i="13"/>
  <c r="F12544" i="13"/>
  <c r="A12544" i="13"/>
  <c r="J12543" i="13"/>
  <c r="F12543" i="13"/>
  <c r="A12543" i="13"/>
  <c r="J12542" i="13"/>
  <c r="F12542" i="13"/>
  <c r="A12542" i="13"/>
  <c r="J12541" i="13"/>
  <c r="F12541" i="13"/>
  <c r="A12541" i="13"/>
  <c r="F12540" i="13"/>
  <c r="A12540" i="13"/>
  <c r="J12539" i="13"/>
  <c r="F12539" i="13"/>
  <c r="A12539" i="13"/>
  <c r="J12538" i="13"/>
  <c r="F12538" i="13"/>
  <c r="A12538" i="13"/>
  <c r="J12537" i="13"/>
  <c r="F12537" i="13"/>
  <c r="A12537" i="13"/>
  <c r="J12536" i="13"/>
  <c r="F12536" i="13"/>
  <c r="A12536" i="13"/>
  <c r="F12535" i="13"/>
  <c r="A12535" i="13"/>
  <c r="F12534" i="13"/>
  <c r="A12534" i="13"/>
  <c r="J12533" i="13"/>
  <c r="F12533" i="13"/>
  <c r="A12533" i="13"/>
  <c r="F12532" i="13"/>
  <c r="A12532" i="13"/>
  <c r="J12531" i="13"/>
  <c r="F12531" i="13"/>
  <c r="A12531" i="13"/>
  <c r="J12530" i="13"/>
  <c r="F12530" i="13"/>
  <c r="A12530" i="13"/>
  <c r="J12529" i="13"/>
  <c r="F12529" i="13"/>
  <c r="A12529" i="13"/>
  <c r="J12528" i="13"/>
  <c r="F12528" i="13"/>
  <c r="A12528" i="13"/>
  <c r="J12527" i="13"/>
  <c r="F12527" i="13"/>
  <c r="A12527" i="13"/>
  <c r="J12526" i="13"/>
  <c r="F12526" i="13"/>
  <c r="A12526" i="13"/>
  <c r="F12525" i="13"/>
  <c r="A12525" i="13"/>
  <c r="J12524" i="13"/>
  <c r="F12524" i="13"/>
  <c r="A12524" i="13"/>
  <c r="J12523" i="13"/>
  <c r="F12523" i="13"/>
  <c r="A12523" i="13"/>
  <c r="J12522" i="13"/>
  <c r="F12522" i="13"/>
  <c r="A12522" i="13"/>
  <c r="F12521" i="13"/>
  <c r="A12521" i="13"/>
  <c r="F12520" i="13"/>
  <c r="A12520" i="13"/>
  <c r="F12519" i="13"/>
  <c r="A12519" i="13"/>
  <c r="F12518" i="13"/>
  <c r="A12518" i="13"/>
  <c r="J12517" i="13"/>
  <c r="F12517" i="13"/>
  <c r="A12517" i="13"/>
  <c r="J12516" i="13"/>
  <c r="F12516" i="13"/>
  <c r="A12516" i="13"/>
  <c r="J12515" i="13"/>
  <c r="F12515" i="13"/>
  <c r="A12515" i="13"/>
  <c r="F12514" i="13"/>
  <c r="A12514" i="13"/>
  <c r="J12513" i="13"/>
  <c r="F12513" i="13"/>
  <c r="A12513" i="13"/>
  <c r="J12512" i="13"/>
  <c r="F12512" i="13"/>
  <c r="A12512" i="13"/>
  <c r="J12511" i="13"/>
  <c r="F12511" i="13"/>
  <c r="A12511" i="13"/>
  <c r="F12510" i="13"/>
  <c r="A12510" i="13"/>
  <c r="F12509" i="13"/>
  <c r="A12509" i="13"/>
  <c r="J12508" i="13"/>
  <c r="F12508" i="13"/>
  <c r="A12508" i="13"/>
  <c r="F12507" i="13"/>
  <c r="A12507" i="13"/>
  <c r="J12506" i="13"/>
  <c r="F12506" i="13"/>
  <c r="A12506" i="13"/>
  <c r="J12505" i="13"/>
  <c r="F12505" i="13"/>
  <c r="A12505" i="13"/>
  <c r="F12504" i="13"/>
  <c r="A12504" i="13"/>
  <c r="J12503" i="13"/>
  <c r="F12503" i="13"/>
  <c r="A12503" i="13"/>
  <c r="J12502" i="13"/>
  <c r="F12502" i="13"/>
  <c r="A12502" i="13"/>
  <c r="F12501" i="13"/>
  <c r="A12501" i="13"/>
  <c r="J12500" i="13"/>
  <c r="F12500" i="13"/>
  <c r="A12500" i="13"/>
  <c r="F12499" i="13"/>
  <c r="A12499" i="13"/>
  <c r="J12498" i="13"/>
  <c r="F12498" i="13"/>
  <c r="A12498" i="13"/>
  <c r="J12497" i="13"/>
  <c r="F12497" i="13"/>
  <c r="A12497" i="13"/>
  <c r="J12496" i="13"/>
  <c r="F12496" i="13"/>
  <c r="A12496" i="13"/>
  <c r="F12495" i="13"/>
  <c r="A12495" i="13"/>
  <c r="J12494" i="13"/>
  <c r="F12494" i="13"/>
  <c r="A12494" i="13"/>
  <c r="J12493" i="13"/>
  <c r="F12493" i="13"/>
  <c r="A12493" i="13"/>
  <c r="J12492" i="13"/>
  <c r="F12492" i="13"/>
  <c r="A12492" i="13"/>
  <c r="F12491" i="13"/>
  <c r="A12491" i="13"/>
  <c r="J12490" i="13"/>
  <c r="F12490" i="13"/>
  <c r="A12490" i="13"/>
  <c r="J12489" i="13"/>
  <c r="F12489" i="13"/>
  <c r="A12489" i="13"/>
  <c r="J12488" i="13"/>
  <c r="F12488" i="13"/>
  <c r="A12488" i="13"/>
  <c r="J12487" i="13"/>
  <c r="F12487" i="13"/>
  <c r="A12487" i="13"/>
  <c r="J12486" i="13"/>
  <c r="F12486" i="13"/>
  <c r="A12486" i="13"/>
  <c r="J12485" i="13"/>
  <c r="F12485" i="13"/>
  <c r="A12485" i="13"/>
  <c r="J12484" i="13"/>
  <c r="F12484" i="13"/>
  <c r="A12484" i="13"/>
  <c r="F12483" i="13"/>
  <c r="A12483" i="13"/>
  <c r="F12482" i="13"/>
  <c r="A12482" i="13"/>
  <c r="F12481" i="13"/>
  <c r="A12481" i="13"/>
  <c r="F12480" i="13"/>
  <c r="A12480" i="13"/>
  <c r="J12479" i="13"/>
  <c r="F12479" i="13"/>
  <c r="A12479" i="13"/>
  <c r="J12478" i="13"/>
  <c r="F12478" i="13"/>
  <c r="A12478" i="13"/>
  <c r="J12477" i="13"/>
  <c r="F12477" i="13"/>
  <c r="A12477" i="13"/>
  <c r="J12476" i="13"/>
  <c r="F12476" i="13"/>
  <c r="A12476" i="13"/>
  <c r="F12475" i="13"/>
  <c r="A12475" i="13"/>
  <c r="J12474" i="13"/>
  <c r="F12474" i="13"/>
  <c r="J12473" i="13"/>
  <c r="F12473" i="13"/>
  <c r="A12473" i="13"/>
  <c r="J12472" i="13"/>
  <c r="F12472" i="13"/>
  <c r="A12472" i="13"/>
  <c r="J12471" i="13"/>
  <c r="F12471" i="13"/>
  <c r="A12471" i="13"/>
  <c r="J12470" i="13"/>
  <c r="F12470" i="13"/>
  <c r="J12469" i="13"/>
  <c r="F12469" i="13"/>
  <c r="A12469" i="13"/>
  <c r="J12468" i="13"/>
  <c r="F12468" i="13"/>
  <c r="A12468" i="13"/>
  <c r="J12467" i="13"/>
  <c r="F12467" i="13"/>
  <c r="A12467" i="13"/>
  <c r="J12466" i="13"/>
  <c r="F12466" i="13"/>
  <c r="A12466" i="13"/>
  <c r="J12465" i="13"/>
  <c r="F12465" i="13"/>
  <c r="A12465" i="13"/>
  <c r="J12464" i="13"/>
  <c r="F12464" i="13"/>
  <c r="A12464" i="13"/>
  <c r="F12463" i="13"/>
  <c r="A12463" i="13"/>
  <c r="J12462" i="13"/>
  <c r="F12462" i="13"/>
  <c r="A12462" i="13"/>
  <c r="J12461" i="13"/>
  <c r="F12461" i="13"/>
  <c r="A12461" i="13"/>
  <c r="J12460" i="13"/>
  <c r="F12460" i="13"/>
  <c r="A12460" i="13"/>
  <c r="J12459" i="13"/>
  <c r="F12459" i="13"/>
  <c r="A12459" i="13"/>
  <c r="J12458" i="13"/>
  <c r="F12458" i="13"/>
  <c r="A12458" i="13"/>
  <c r="F12457" i="13"/>
  <c r="A12457" i="13"/>
  <c r="J12456" i="13"/>
  <c r="F12456" i="13"/>
  <c r="A12456" i="13"/>
  <c r="J12455" i="13"/>
  <c r="F12455" i="13"/>
  <c r="A12455" i="13"/>
  <c r="J12454" i="13"/>
  <c r="F12454" i="13"/>
  <c r="A12454" i="13"/>
  <c r="J12453" i="13"/>
  <c r="F12453" i="13"/>
  <c r="A12453" i="13"/>
  <c r="J12452" i="13"/>
  <c r="F12452" i="13"/>
  <c r="A12452" i="13"/>
  <c r="J12451" i="13"/>
  <c r="F12451" i="13"/>
  <c r="A12451" i="13"/>
  <c r="J12450" i="13"/>
  <c r="F12450" i="13"/>
  <c r="A12450" i="13"/>
  <c r="J12449" i="13"/>
  <c r="F12449" i="13"/>
  <c r="A12449" i="13"/>
  <c r="J12448" i="13"/>
  <c r="F12448" i="13"/>
  <c r="A12448" i="13"/>
  <c r="J12447" i="13"/>
  <c r="F12447" i="13"/>
  <c r="A12447" i="13"/>
  <c r="J12446" i="13"/>
  <c r="F12446" i="13"/>
  <c r="A12446" i="13"/>
  <c r="J12445" i="13"/>
  <c r="F12445" i="13"/>
  <c r="A12445" i="13"/>
  <c r="J12444" i="13"/>
  <c r="F12444" i="13"/>
  <c r="A12444" i="13"/>
  <c r="J12443" i="13"/>
  <c r="F12443" i="13"/>
  <c r="A12443" i="13"/>
  <c r="J12442" i="13"/>
  <c r="F12442" i="13"/>
  <c r="A12442" i="13"/>
  <c r="J12441" i="13"/>
  <c r="F12441" i="13"/>
  <c r="A12441" i="13"/>
  <c r="F12440" i="13"/>
  <c r="A12440" i="13"/>
  <c r="F12439" i="13"/>
  <c r="A12439" i="13"/>
  <c r="F12438" i="13"/>
  <c r="A12438" i="13"/>
  <c r="F12437" i="13"/>
  <c r="A12437" i="13"/>
  <c r="J12436" i="13"/>
  <c r="F12436" i="13"/>
  <c r="A12436" i="13"/>
  <c r="J12435" i="13"/>
  <c r="F12435" i="13"/>
  <c r="A12435" i="13"/>
  <c r="J12434" i="13"/>
  <c r="F12434" i="13"/>
  <c r="A12434" i="13"/>
  <c r="J12433" i="13"/>
  <c r="F12433" i="13"/>
  <c r="A12433" i="13"/>
  <c r="F12432" i="13"/>
  <c r="A12432" i="13"/>
  <c r="J12431" i="13"/>
  <c r="F12431" i="13"/>
  <c r="A12431" i="13"/>
  <c r="F12430" i="13"/>
  <c r="A12430" i="13"/>
  <c r="J12429" i="13"/>
  <c r="F12429" i="13"/>
  <c r="A12429" i="13"/>
  <c r="J12428" i="13"/>
  <c r="F12428" i="13"/>
  <c r="A12428" i="13"/>
  <c r="J12427" i="13"/>
  <c r="F12427" i="13"/>
  <c r="A12427" i="13"/>
  <c r="J12426" i="13"/>
  <c r="F12426" i="13"/>
  <c r="A12426" i="13"/>
  <c r="J12425" i="13"/>
  <c r="F12425" i="13"/>
  <c r="A12425" i="13"/>
  <c r="J12424" i="13"/>
  <c r="F12424" i="13"/>
  <c r="A12424" i="13"/>
  <c r="J12423" i="13"/>
  <c r="F12423" i="13"/>
  <c r="A12423" i="13"/>
  <c r="F12422" i="13"/>
  <c r="A12422" i="13"/>
  <c r="J12421" i="13"/>
  <c r="F12421" i="13"/>
  <c r="A12421" i="13"/>
  <c r="J12420" i="13"/>
  <c r="F12420" i="13"/>
  <c r="A12420" i="13"/>
  <c r="J12419" i="13"/>
  <c r="F12419" i="13"/>
  <c r="A12419" i="13"/>
  <c r="J12418" i="13"/>
  <c r="F12418" i="13"/>
  <c r="A12418" i="13"/>
  <c r="J12417" i="13"/>
  <c r="F12417" i="13"/>
  <c r="A12417" i="13"/>
  <c r="J12416" i="13"/>
  <c r="F12416" i="13"/>
  <c r="A12416" i="13"/>
  <c r="J12415" i="13"/>
  <c r="F12415" i="13"/>
  <c r="A12415" i="13"/>
  <c r="J12414" i="13"/>
  <c r="F12414" i="13"/>
  <c r="A12414" i="13"/>
  <c r="J12413" i="13"/>
  <c r="F12413" i="13"/>
  <c r="A12413" i="13"/>
  <c r="J12412" i="13"/>
  <c r="F12412" i="13"/>
  <c r="A12412" i="13"/>
  <c r="F12411" i="13"/>
  <c r="A12411" i="13"/>
  <c r="J12410" i="13"/>
  <c r="F12410" i="13"/>
  <c r="A12410" i="13"/>
  <c r="J12409" i="13"/>
  <c r="F12409" i="13"/>
  <c r="A12409" i="13"/>
  <c r="F12408" i="13"/>
  <c r="A12408" i="13"/>
  <c r="J12407" i="13"/>
  <c r="F12407" i="13"/>
  <c r="A12407" i="13"/>
  <c r="J12406" i="13"/>
  <c r="F12406" i="13"/>
  <c r="A12406" i="13"/>
  <c r="F12405" i="13"/>
  <c r="A12405" i="13"/>
  <c r="J12404" i="13"/>
  <c r="F12404" i="13"/>
  <c r="A12404" i="13"/>
  <c r="J12403" i="13"/>
  <c r="F12403" i="13"/>
  <c r="A12403" i="13"/>
  <c r="J12402" i="13"/>
  <c r="F12402" i="13"/>
  <c r="A12402" i="13"/>
  <c r="J12401" i="13"/>
  <c r="F12401" i="13"/>
  <c r="A12401" i="13"/>
  <c r="F12400" i="13"/>
  <c r="A12400" i="13"/>
  <c r="J12399" i="13"/>
  <c r="F12399" i="13"/>
  <c r="A12399" i="13"/>
  <c r="J12398" i="13"/>
  <c r="F12398" i="13"/>
  <c r="A12398" i="13"/>
  <c r="J12397" i="13"/>
  <c r="F12397" i="13"/>
  <c r="A12397" i="13"/>
  <c r="J12396" i="13"/>
  <c r="F12396" i="13"/>
  <c r="A12396" i="13"/>
  <c r="J12395" i="13"/>
  <c r="F12395" i="13"/>
  <c r="A12395" i="13"/>
  <c r="F12394" i="13"/>
  <c r="A12394" i="13"/>
  <c r="J12393" i="13"/>
  <c r="F12393" i="13"/>
  <c r="A12393" i="13"/>
  <c r="J12392" i="13"/>
  <c r="F12392" i="13"/>
  <c r="A12392" i="13"/>
  <c r="J12391" i="13"/>
  <c r="F12391" i="13"/>
  <c r="A12391" i="13"/>
  <c r="F12390" i="13"/>
  <c r="A12390" i="13"/>
  <c r="F12389" i="13"/>
  <c r="A12389" i="13"/>
  <c r="J12388" i="13"/>
  <c r="F12388" i="13"/>
  <c r="A12388" i="13"/>
  <c r="F12387" i="13"/>
  <c r="A12387" i="13"/>
  <c r="F12386" i="13"/>
  <c r="A12386" i="13"/>
  <c r="F12385" i="13"/>
  <c r="A12385" i="13"/>
  <c r="J12384" i="13"/>
  <c r="F12384" i="13"/>
  <c r="J12383" i="13"/>
  <c r="F12383" i="13"/>
  <c r="J12382" i="13"/>
  <c r="F12382" i="13"/>
  <c r="J12381" i="13"/>
  <c r="F12381" i="13"/>
  <c r="F12380" i="13"/>
  <c r="A12380" i="13"/>
  <c r="F12379" i="13"/>
  <c r="A12379" i="13"/>
  <c r="F12378" i="13"/>
  <c r="F12377" i="13"/>
  <c r="A12377" i="13"/>
  <c r="F12376" i="13"/>
  <c r="A12376" i="13"/>
  <c r="J12375" i="13"/>
  <c r="F12375" i="13"/>
  <c r="A12375" i="13"/>
  <c r="J12374" i="13"/>
  <c r="F12374" i="13"/>
  <c r="A12374" i="13"/>
  <c r="F12373" i="13"/>
  <c r="A12373" i="13"/>
  <c r="F12372" i="13"/>
  <c r="A12372" i="13"/>
  <c r="F12371" i="13"/>
  <c r="A12371" i="13"/>
  <c r="F12370" i="13"/>
  <c r="A12370" i="13"/>
  <c r="F12369" i="13"/>
  <c r="A12369" i="13"/>
  <c r="F12368" i="13"/>
  <c r="A12368" i="13"/>
  <c r="F12367" i="13"/>
  <c r="A12367" i="13"/>
  <c r="F12366" i="13"/>
  <c r="A12366" i="13"/>
  <c r="F12365" i="13"/>
  <c r="A12365" i="13"/>
  <c r="F12364" i="13"/>
  <c r="A12364" i="13"/>
  <c r="J12363" i="13"/>
  <c r="F12363" i="13"/>
  <c r="A12363" i="13"/>
  <c r="F12362" i="13"/>
  <c r="A12362" i="13"/>
  <c r="J12361" i="13"/>
  <c r="F12361" i="13"/>
  <c r="A12361" i="13"/>
  <c r="J12360" i="13"/>
  <c r="F12360" i="13"/>
  <c r="A12360" i="13"/>
  <c r="J12359" i="13"/>
  <c r="F12359" i="13"/>
  <c r="A12359" i="13"/>
  <c r="F12358" i="13"/>
  <c r="A12358" i="13"/>
  <c r="F12357" i="13"/>
  <c r="A12357" i="13"/>
  <c r="F12356" i="13"/>
  <c r="A12356" i="13"/>
  <c r="F12355" i="13"/>
  <c r="A12355" i="13"/>
  <c r="J12354" i="13"/>
  <c r="F12354" i="13"/>
  <c r="A12354" i="13"/>
  <c r="J12353" i="13"/>
  <c r="F12353" i="13"/>
  <c r="A12353" i="13"/>
  <c r="J12352" i="13"/>
  <c r="F12352" i="13"/>
  <c r="A12352" i="13"/>
  <c r="J12351" i="13"/>
  <c r="F12351" i="13"/>
  <c r="A12351" i="13"/>
  <c r="F12350" i="13"/>
  <c r="A12350" i="13"/>
  <c r="J12349" i="13"/>
  <c r="F12349" i="13"/>
  <c r="A12349" i="13"/>
  <c r="J12348" i="13"/>
  <c r="F12348" i="13"/>
  <c r="A12348" i="13"/>
  <c r="F12347" i="13"/>
  <c r="A12347" i="13"/>
  <c r="F12346" i="13"/>
  <c r="A12346" i="13"/>
  <c r="F12345" i="13"/>
  <c r="A12345" i="13"/>
  <c r="F12344" i="13"/>
  <c r="A12344" i="13"/>
  <c r="J12343" i="13"/>
  <c r="F12343" i="13"/>
  <c r="A12343" i="13"/>
  <c r="J12342" i="13"/>
  <c r="F12342" i="13"/>
  <c r="A12342" i="13"/>
  <c r="F12341" i="13"/>
  <c r="A12341" i="13"/>
  <c r="F12340" i="13"/>
  <c r="A12340" i="13"/>
  <c r="F12339" i="13"/>
  <c r="A12339" i="13"/>
  <c r="F12338" i="13"/>
  <c r="A12338" i="13"/>
  <c r="J12337" i="13"/>
  <c r="F12337" i="13"/>
  <c r="A12337" i="13"/>
  <c r="J12336" i="13"/>
  <c r="F12336" i="13"/>
  <c r="A12336" i="13"/>
  <c r="J12335" i="13"/>
  <c r="F12335" i="13"/>
  <c r="A12335" i="13"/>
  <c r="F12334" i="13"/>
  <c r="A12334" i="13"/>
  <c r="F12333" i="13"/>
  <c r="A12333" i="13"/>
  <c r="J12332" i="13"/>
  <c r="F12332" i="13"/>
  <c r="A12332" i="13"/>
  <c r="J12331" i="13"/>
  <c r="F12331" i="13"/>
  <c r="A12331" i="13"/>
  <c r="J12330" i="13"/>
  <c r="F12330" i="13"/>
  <c r="A12330" i="13"/>
  <c r="J12329" i="13"/>
  <c r="F12329" i="13"/>
  <c r="A12329" i="13"/>
  <c r="J12328" i="13"/>
  <c r="F12328" i="13"/>
  <c r="A12328" i="13"/>
  <c r="J12327" i="13"/>
  <c r="F12327" i="13"/>
  <c r="A12327" i="13"/>
  <c r="F12326" i="13"/>
  <c r="A12326" i="13"/>
  <c r="J12325" i="13"/>
  <c r="F12325" i="13"/>
  <c r="A12325" i="13"/>
  <c r="J12324" i="13"/>
  <c r="F12324" i="13"/>
  <c r="A12324" i="13"/>
  <c r="J12323" i="13"/>
  <c r="F12323" i="13"/>
  <c r="A12323" i="13"/>
  <c r="F12322" i="13"/>
  <c r="A12322" i="13"/>
  <c r="F12321" i="13"/>
  <c r="A12321" i="13"/>
  <c r="F12320" i="13"/>
  <c r="A12320" i="13"/>
  <c r="F12319" i="13"/>
  <c r="A12319" i="13"/>
  <c r="F12318" i="13"/>
  <c r="A12318" i="13"/>
  <c r="F12317" i="13"/>
  <c r="A12317" i="13"/>
  <c r="J12316" i="13"/>
  <c r="F12316" i="13"/>
  <c r="A12316" i="13"/>
  <c r="J12315" i="13"/>
  <c r="F12315" i="13"/>
  <c r="A12315" i="13"/>
  <c r="F12314" i="13"/>
  <c r="A12314" i="13"/>
  <c r="J12313" i="13"/>
  <c r="F12313" i="13"/>
  <c r="A12313" i="13"/>
  <c r="J12312" i="13"/>
  <c r="F12312" i="13"/>
  <c r="A12312" i="13"/>
  <c r="F12311" i="13"/>
  <c r="A12311" i="13"/>
  <c r="J12310" i="13"/>
  <c r="F12310" i="13"/>
  <c r="A12310" i="13"/>
  <c r="J12309" i="13"/>
  <c r="F12309" i="13"/>
  <c r="A12309" i="13"/>
  <c r="F12308" i="13"/>
  <c r="A12308" i="13"/>
  <c r="J12307" i="13"/>
  <c r="F12307" i="13"/>
  <c r="A12307" i="13"/>
  <c r="J12306" i="13"/>
  <c r="F12306" i="13"/>
  <c r="A12306" i="13"/>
  <c r="J12305" i="13"/>
  <c r="F12305" i="13"/>
  <c r="A12305" i="13"/>
  <c r="J12304" i="13"/>
  <c r="F12304" i="13"/>
  <c r="A12304" i="13"/>
  <c r="J12303" i="13"/>
  <c r="F12303" i="13"/>
  <c r="A12303" i="13"/>
  <c r="F12302" i="13"/>
  <c r="A12302" i="13"/>
  <c r="F12301" i="13"/>
  <c r="A12301" i="13"/>
  <c r="F12300" i="13"/>
  <c r="A12300" i="13"/>
  <c r="F12299" i="13"/>
  <c r="A12299" i="13"/>
  <c r="F12298" i="13"/>
  <c r="A12298" i="13"/>
  <c r="F12297" i="13"/>
  <c r="A12297" i="13"/>
  <c r="F12296" i="13"/>
  <c r="A12296" i="13"/>
  <c r="F12295" i="13"/>
  <c r="A12295" i="13"/>
  <c r="F12294" i="13"/>
  <c r="A12294" i="13"/>
  <c r="F12293" i="13"/>
  <c r="A12293" i="13"/>
  <c r="F12292" i="13"/>
  <c r="A12292" i="13"/>
  <c r="J12291" i="13"/>
  <c r="F12291" i="13"/>
  <c r="A12291" i="13"/>
  <c r="J12290" i="13"/>
  <c r="F12290" i="13"/>
  <c r="A12290" i="13"/>
  <c r="J12289" i="13"/>
  <c r="F12289" i="13"/>
  <c r="A12289" i="13"/>
  <c r="J12288" i="13"/>
  <c r="F12288" i="13"/>
  <c r="A12288" i="13"/>
  <c r="J12287" i="13"/>
  <c r="F12287" i="13"/>
  <c r="A12287" i="13"/>
  <c r="F12286" i="13"/>
  <c r="A12286" i="13"/>
  <c r="J12285" i="13"/>
  <c r="F12285" i="13"/>
  <c r="A12285" i="13"/>
  <c r="J12284" i="13"/>
  <c r="F12284" i="13"/>
  <c r="A12284" i="13"/>
  <c r="J12283" i="13"/>
  <c r="F12283" i="13"/>
  <c r="A12283" i="13"/>
  <c r="J12282" i="13"/>
  <c r="F12282" i="13"/>
  <c r="A12282" i="13"/>
  <c r="J12281" i="13"/>
  <c r="F12281" i="13"/>
  <c r="A12281" i="13"/>
  <c r="F12280" i="13"/>
  <c r="A12280" i="13"/>
  <c r="F12279" i="13"/>
  <c r="A12279" i="13"/>
  <c r="F12278" i="13"/>
  <c r="A12278" i="13"/>
  <c r="F12277" i="13"/>
  <c r="A12277" i="13"/>
  <c r="J12276" i="13"/>
  <c r="F12276" i="13"/>
  <c r="A12276" i="13"/>
  <c r="J12275" i="13"/>
  <c r="F12275" i="13"/>
  <c r="A12275" i="13"/>
  <c r="J12274" i="13"/>
  <c r="F12274" i="13"/>
  <c r="A12274" i="13"/>
  <c r="J12273" i="13"/>
  <c r="F12273" i="13"/>
  <c r="A12273" i="13"/>
  <c r="F12272" i="13"/>
  <c r="A12272" i="13"/>
  <c r="F12271" i="13"/>
  <c r="A12271" i="13"/>
  <c r="J12270" i="13"/>
  <c r="F12270" i="13"/>
  <c r="A12270" i="13"/>
  <c r="J12269" i="13"/>
  <c r="F12269" i="13"/>
  <c r="A12269" i="13"/>
  <c r="J12268" i="13"/>
  <c r="F12268" i="13"/>
  <c r="A12268" i="13"/>
  <c r="F12267" i="13"/>
  <c r="A12267" i="13"/>
  <c r="F12266" i="13"/>
  <c r="A12266" i="13"/>
  <c r="J12265" i="13"/>
  <c r="F12265" i="13"/>
  <c r="A12265" i="13"/>
  <c r="J12264" i="13"/>
  <c r="F12264" i="13"/>
  <c r="A12264" i="13"/>
  <c r="J12263" i="13"/>
  <c r="F12263" i="13"/>
  <c r="A12263" i="13"/>
  <c r="F12262" i="13"/>
  <c r="A12262" i="13"/>
  <c r="F12261" i="13"/>
  <c r="A12261" i="13"/>
  <c r="F12260" i="13"/>
  <c r="A12260" i="13"/>
  <c r="F12259" i="13"/>
  <c r="A12259" i="13"/>
  <c r="F12258" i="13"/>
  <c r="A12258" i="13"/>
  <c r="J12257" i="13"/>
  <c r="F12257" i="13"/>
  <c r="A12257" i="13"/>
  <c r="J12256" i="13"/>
  <c r="F12256" i="13"/>
  <c r="A12256" i="13"/>
  <c r="F12255" i="13"/>
  <c r="A12255" i="13"/>
  <c r="F12254" i="13"/>
  <c r="A12254" i="13"/>
  <c r="F12253" i="13"/>
  <c r="A12253" i="13"/>
  <c r="J12252" i="13"/>
  <c r="F12252" i="13"/>
  <c r="A12252" i="13"/>
  <c r="F12251" i="13"/>
  <c r="A12251" i="13"/>
  <c r="F12250" i="13"/>
  <c r="A12250" i="13"/>
  <c r="F12249" i="13"/>
  <c r="A12249" i="13"/>
  <c r="J12248" i="13"/>
  <c r="F12248" i="13"/>
  <c r="A12248" i="13"/>
  <c r="F12247" i="13"/>
  <c r="A12247" i="13"/>
  <c r="J12246" i="13"/>
  <c r="F12246" i="13"/>
  <c r="A12246" i="13"/>
  <c r="J12245" i="13"/>
  <c r="F12245" i="13"/>
  <c r="A12245" i="13"/>
  <c r="J12244" i="13"/>
  <c r="F12244" i="13"/>
  <c r="A12244" i="13"/>
  <c r="J12243" i="13"/>
  <c r="F12243" i="13"/>
  <c r="A12243" i="13"/>
  <c r="J12242" i="13"/>
  <c r="F12242" i="13"/>
  <c r="A12242" i="13"/>
  <c r="J12241" i="13"/>
  <c r="F12241" i="13"/>
  <c r="A12241" i="13"/>
  <c r="J12240" i="13"/>
  <c r="F12240" i="13"/>
  <c r="A12240" i="13"/>
  <c r="J12239" i="13"/>
  <c r="F12239" i="13"/>
  <c r="A12239" i="13"/>
  <c r="J12238" i="13"/>
  <c r="F12238" i="13"/>
  <c r="A12238" i="13"/>
  <c r="J12237" i="13"/>
  <c r="F12237" i="13"/>
  <c r="A12237" i="13"/>
  <c r="F12236" i="13"/>
  <c r="A12236" i="13"/>
  <c r="F12235" i="13"/>
  <c r="A12235" i="13"/>
  <c r="J12234" i="13"/>
  <c r="F12234" i="13"/>
  <c r="A12234" i="13"/>
  <c r="J12233" i="13"/>
  <c r="F12233" i="13"/>
  <c r="A12233" i="13"/>
  <c r="F12232" i="13"/>
  <c r="A12232" i="13"/>
  <c r="F12231" i="13"/>
  <c r="A12231" i="13"/>
  <c r="F12230" i="13"/>
  <c r="A12230" i="13"/>
  <c r="F12229" i="13"/>
  <c r="A12229" i="13"/>
  <c r="F12228" i="13"/>
  <c r="A12228" i="13"/>
  <c r="F12227" i="13"/>
  <c r="A12227" i="13"/>
  <c r="F12226" i="13"/>
  <c r="A12226" i="13"/>
  <c r="F12225" i="13"/>
  <c r="A12225" i="13"/>
  <c r="J12224" i="13"/>
  <c r="F12224" i="13"/>
  <c r="A12224" i="13"/>
  <c r="F12223" i="13"/>
  <c r="A12223" i="13"/>
  <c r="J12222" i="13"/>
  <c r="F12222" i="13"/>
  <c r="A12222" i="13"/>
  <c r="J12221" i="13"/>
  <c r="F12221" i="13"/>
  <c r="A12221" i="13"/>
  <c r="J12220" i="13"/>
  <c r="F12220" i="13"/>
  <c r="A12220" i="13"/>
  <c r="F12219" i="13"/>
  <c r="A12219" i="13"/>
  <c r="F12218" i="13"/>
  <c r="A12218" i="13"/>
  <c r="F12217" i="13"/>
  <c r="A12217" i="13"/>
  <c r="F12216" i="13"/>
  <c r="A12216" i="13"/>
  <c r="F12215" i="13"/>
  <c r="A12215" i="13"/>
  <c r="F12214" i="13"/>
  <c r="A12214" i="13"/>
  <c r="J12213" i="13"/>
  <c r="F12213" i="13"/>
  <c r="A12213" i="13"/>
  <c r="J12212" i="13"/>
  <c r="F12212" i="13"/>
  <c r="A12212" i="13"/>
  <c r="J12211" i="13"/>
  <c r="F12211" i="13"/>
  <c r="A12211" i="13"/>
  <c r="J12210" i="13"/>
  <c r="F12210" i="13"/>
  <c r="A12210" i="13"/>
  <c r="F12209" i="13"/>
  <c r="A12209" i="13"/>
  <c r="F12208" i="13"/>
  <c r="A12208" i="13"/>
  <c r="F12207" i="13"/>
  <c r="A12207" i="13"/>
  <c r="J12206" i="13"/>
  <c r="F12206" i="13"/>
  <c r="A12206" i="13"/>
  <c r="J12205" i="13"/>
  <c r="F12205" i="13"/>
  <c r="A12205" i="13"/>
  <c r="J12204" i="13"/>
  <c r="F12204" i="13"/>
  <c r="A12204" i="13"/>
  <c r="J12203" i="13"/>
  <c r="F12203" i="13"/>
  <c r="A12203" i="13"/>
  <c r="J12202" i="13"/>
  <c r="F12202" i="13"/>
  <c r="A12202" i="13"/>
  <c r="J12201" i="13"/>
  <c r="F12201" i="13"/>
  <c r="A12201" i="13"/>
  <c r="J12200" i="13"/>
  <c r="F12200" i="13"/>
  <c r="A12200" i="13"/>
  <c r="F12199" i="13"/>
  <c r="A12199" i="13"/>
  <c r="F12198" i="13"/>
  <c r="A12198" i="13"/>
  <c r="J12197" i="13"/>
  <c r="F12197" i="13"/>
  <c r="A12197" i="13"/>
  <c r="J12196" i="13"/>
  <c r="F12196" i="13"/>
  <c r="A12196" i="13"/>
  <c r="J12195" i="13"/>
  <c r="F12195" i="13"/>
  <c r="A12195" i="13"/>
  <c r="J12194" i="13"/>
  <c r="F12194" i="13"/>
  <c r="A12194" i="13"/>
  <c r="J12193" i="13"/>
  <c r="F12193" i="13"/>
  <c r="A12193" i="13"/>
  <c r="J12192" i="13"/>
  <c r="F12192" i="13"/>
  <c r="A12192" i="13"/>
  <c r="J12191" i="13"/>
  <c r="F12191" i="13"/>
  <c r="A12191" i="13"/>
  <c r="F12190" i="13"/>
  <c r="A12190" i="13"/>
  <c r="F12189" i="13"/>
  <c r="A12189" i="13"/>
  <c r="J12188" i="13"/>
  <c r="F12188" i="13"/>
  <c r="A12188" i="13"/>
  <c r="J12187" i="13"/>
  <c r="F12187" i="13"/>
  <c r="A12187" i="13"/>
  <c r="F12186" i="13"/>
  <c r="A12186" i="13"/>
  <c r="F12185" i="13"/>
  <c r="A12185" i="13"/>
  <c r="F12184" i="13"/>
  <c r="A12184" i="13"/>
  <c r="J12183" i="13"/>
  <c r="F12183" i="13"/>
  <c r="A12183" i="13"/>
  <c r="J12182" i="13"/>
  <c r="F12182" i="13"/>
  <c r="A12182" i="13"/>
  <c r="F12181" i="13"/>
  <c r="A12181" i="13"/>
  <c r="F12180" i="13"/>
  <c r="A12180" i="13"/>
  <c r="J12179" i="13"/>
  <c r="F12179" i="13"/>
  <c r="A12179" i="13"/>
  <c r="J12178" i="13"/>
  <c r="F12178" i="13"/>
  <c r="A12178" i="13"/>
  <c r="J12177" i="13"/>
  <c r="F12177" i="13"/>
  <c r="A12177" i="13"/>
  <c r="J12176" i="13"/>
  <c r="F12176" i="13"/>
  <c r="A12176" i="13"/>
  <c r="J12175" i="13"/>
  <c r="F12175" i="13"/>
  <c r="A12175" i="13"/>
  <c r="F12174" i="13"/>
  <c r="A12174" i="13"/>
  <c r="J12173" i="13"/>
  <c r="F12173" i="13"/>
  <c r="A12173" i="13"/>
  <c r="J12172" i="13"/>
  <c r="F12172" i="13"/>
  <c r="A12172" i="13"/>
  <c r="F12171" i="13"/>
  <c r="A12171" i="13"/>
  <c r="F12170" i="13"/>
  <c r="A12170" i="13"/>
  <c r="J12169" i="13"/>
  <c r="F12169" i="13"/>
  <c r="A12169" i="13"/>
  <c r="J12168" i="13"/>
  <c r="F12168" i="13"/>
  <c r="A12168" i="13"/>
  <c r="J12167" i="13"/>
  <c r="F12167" i="13"/>
  <c r="A12167" i="13"/>
  <c r="F12166" i="13"/>
  <c r="A12166" i="13"/>
  <c r="F12165" i="13"/>
  <c r="A12165" i="13"/>
  <c r="J12164" i="13"/>
  <c r="F12164" i="13"/>
  <c r="A12164" i="13"/>
  <c r="J12163" i="13"/>
  <c r="F12163" i="13"/>
  <c r="A12163" i="13"/>
  <c r="F12162" i="13"/>
  <c r="A12162" i="13"/>
  <c r="J12161" i="13"/>
  <c r="F12161" i="13"/>
  <c r="J12160" i="13"/>
  <c r="F12160" i="13"/>
  <c r="F12159" i="13"/>
  <c r="A12159" i="13"/>
  <c r="F12158" i="13"/>
  <c r="A12158" i="13"/>
  <c r="F12157" i="13"/>
  <c r="A12157" i="13"/>
  <c r="F12156" i="13"/>
  <c r="A12156" i="13"/>
  <c r="F12155" i="13"/>
  <c r="F12154" i="13"/>
  <c r="A12154" i="13"/>
  <c r="F12153" i="13"/>
  <c r="A12153" i="13"/>
  <c r="J12152" i="13"/>
  <c r="F12152" i="13"/>
  <c r="A12152" i="13"/>
  <c r="J12151" i="13"/>
  <c r="F12151" i="13"/>
  <c r="A12151" i="13"/>
  <c r="J12150" i="13"/>
  <c r="F12150" i="13"/>
  <c r="A12150" i="13"/>
  <c r="F12149" i="13"/>
  <c r="A12149" i="13"/>
  <c r="J12148" i="13"/>
  <c r="F12148" i="13"/>
  <c r="A12148" i="13"/>
  <c r="J12147" i="13"/>
  <c r="F12147" i="13"/>
  <c r="A12147" i="13"/>
  <c r="J12146" i="13"/>
  <c r="F12146" i="13"/>
  <c r="A12146" i="13"/>
  <c r="F12145" i="13"/>
  <c r="A12145" i="13"/>
  <c r="F12144" i="13"/>
  <c r="A12144" i="13"/>
  <c r="J12143" i="13"/>
  <c r="F12143" i="13"/>
  <c r="A12143" i="13"/>
  <c r="J12142" i="13"/>
  <c r="F12142" i="13"/>
  <c r="A12142" i="13"/>
  <c r="F12141" i="13"/>
  <c r="A12141" i="13"/>
  <c r="F12140" i="13"/>
  <c r="A12140" i="13"/>
  <c r="J12139" i="13"/>
  <c r="F12139" i="13"/>
  <c r="A12139" i="13"/>
  <c r="J12138" i="13"/>
  <c r="F12138" i="13"/>
  <c r="A12138" i="13"/>
  <c r="J12137" i="13"/>
  <c r="F12137" i="13"/>
  <c r="A12137" i="13"/>
  <c r="F12136" i="13"/>
  <c r="A12136" i="13"/>
  <c r="F12135" i="13"/>
  <c r="A12135" i="13"/>
  <c r="J12134" i="13"/>
  <c r="F12134" i="13"/>
  <c r="A12134" i="13"/>
  <c r="F12133" i="13"/>
  <c r="A12133" i="13"/>
  <c r="F12132" i="13"/>
  <c r="A12132" i="13"/>
  <c r="F12131" i="13"/>
  <c r="A12131" i="13"/>
  <c r="J12130" i="13"/>
  <c r="F12130" i="13"/>
  <c r="A12130" i="13"/>
  <c r="F12129" i="13"/>
  <c r="A12129" i="13"/>
  <c r="J12128" i="13"/>
  <c r="F12128" i="13"/>
  <c r="A12128" i="13"/>
  <c r="J12127" i="13"/>
  <c r="F12127" i="13"/>
  <c r="A12127" i="13"/>
  <c r="F12126" i="13"/>
  <c r="A12126" i="13"/>
  <c r="J12125" i="13"/>
  <c r="F12125" i="13"/>
  <c r="A12125" i="13"/>
  <c r="J12124" i="13"/>
  <c r="F12124" i="13"/>
  <c r="A12124" i="13"/>
  <c r="J12123" i="13"/>
  <c r="F12123" i="13"/>
  <c r="A12123" i="13"/>
  <c r="F12122" i="13"/>
  <c r="A12122" i="13"/>
  <c r="F12121" i="13"/>
  <c r="A12121" i="13"/>
  <c r="J12120" i="13"/>
  <c r="F12120" i="13"/>
  <c r="A12120" i="13"/>
  <c r="J12119" i="13"/>
  <c r="F12119" i="13"/>
  <c r="A12119" i="13"/>
  <c r="F12118" i="13"/>
  <c r="A12118" i="13"/>
  <c r="F12117" i="13"/>
  <c r="A12117" i="13"/>
  <c r="F12116" i="13"/>
  <c r="A12116" i="13"/>
  <c r="F12115" i="13"/>
  <c r="A12115" i="13"/>
  <c r="F12114" i="13"/>
  <c r="A12114" i="13"/>
  <c r="F12113" i="13"/>
  <c r="A12113" i="13"/>
  <c r="J12112" i="13"/>
  <c r="F12112" i="13"/>
  <c r="A12112" i="13"/>
  <c r="J12111" i="13"/>
  <c r="F12111" i="13"/>
  <c r="A12111" i="13"/>
  <c r="J12110" i="13"/>
  <c r="F12110" i="13"/>
  <c r="A12110" i="13"/>
  <c r="F12109" i="13"/>
  <c r="A12109" i="13"/>
  <c r="F12108" i="13"/>
  <c r="A12108" i="13"/>
  <c r="F12107" i="13"/>
  <c r="A12107" i="13"/>
  <c r="F12106" i="13"/>
  <c r="A12106" i="13"/>
  <c r="F12105" i="13"/>
  <c r="A12105" i="13"/>
  <c r="F12104" i="13"/>
  <c r="A12104" i="13"/>
  <c r="F12103" i="13"/>
  <c r="A12103" i="13"/>
  <c r="F12102" i="13"/>
  <c r="A12102" i="13"/>
  <c r="F12101" i="13"/>
  <c r="A12101" i="13"/>
  <c r="J12100" i="13"/>
  <c r="F12100" i="13"/>
  <c r="A12100" i="13"/>
  <c r="J12099" i="13"/>
  <c r="F12099" i="13"/>
  <c r="A12099" i="13"/>
  <c r="F12098" i="13"/>
  <c r="A12098" i="13"/>
  <c r="J12097" i="13"/>
  <c r="F12097" i="13"/>
  <c r="A12097" i="13"/>
  <c r="J12096" i="13"/>
  <c r="F12096" i="13"/>
  <c r="A12096" i="13"/>
  <c r="J12095" i="13"/>
  <c r="F12095" i="13"/>
  <c r="A12095" i="13"/>
  <c r="J12094" i="13"/>
  <c r="F12094" i="13"/>
  <c r="A12094" i="13"/>
  <c r="J12093" i="13"/>
  <c r="F12093" i="13"/>
  <c r="A12093" i="13"/>
  <c r="J12092" i="13"/>
  <c r="F12092" i="13"/>
  <c r="A12092" i="13"/>
  <c r="J12091" i="13"/>
  <c r="F12091" i="13"/>
  <c r="A12091" i="13"/>
  <c r="J12090" i="13"/>
  <c r="F12090" i="13"/>
  <c r="A12090" i="13"/>
  <c r="J12089" i="13"/>
  <c r="F12089" i="13"/>
  <c r="A12089" i="13"/>
  <c r="J12088" i="13"/>
  <c r="F12088" i="13"/>
  <c r="A12088" i="13"/>
  <c r="F12087" i="13"/>
  <c r="A12087" i="13"/>
  <c r="F12086" i="13"/>
  <c r="A12086" i="13"/>
  <c r="F12085" i="13"/>
  <c r="A12085" i="13"/>
  <c r="J12084" i="13"/>
  <c r="F12084" i="13"/>
  <c r="A12084" i="13"/>
  <c r="J12083" i="13"/>
  <c r="F12083" i="13"/>
  <c r="A12083" i="13"/>
  <c r="F12082" i="13"/>
  <c r="A12082" i="13"/>
  <c r="F12081" i="13"/>
  <c r="A12081" i="13"/>
  <c r="F12080" i="13"/>
  <c r="A12080" i="13"/>
  <c r="F12079" i="13"/>
  <c r="A12079" i="13"/>
  <c r="F12078" i="13"/>
  <c r="A12078" i="13"/>
  <c r="J12077" i="13"/>
  <c r="F12077" i="13"/>
  <c r="A12077" i="13"/>
  <c r="J12076" i="13"/>
  <c r="F12076" i="13"/>
  <c r="A12076" i="13"/>
  <c r="J12075" i="13"/>
  <c r="F12075" i="13"/>
  <c r="A12075" i="13"/>
  <c r="J12074" i="13"/>
  <c r="F12074" i="13"/>
  <c r="A12074" i="13"/>
  <c r="J12073" i="13"/>
  <c r="F12073" i="13"/>
  <c r="A12073" i="13"/>
  <c r="J12072" i="13"/>
  <c r="F12072" i="13"/>
  <c r="A12072" i="13"/>
  <c r="J12071" i="13"/>
  <c r="F12071" i="13"/>
  <c r="A12071" i="13"/>
  <c r="F12070" i="13"/>
  <c r="A12070" i="13"/>
  <c r="F12069" i="13"/>
  <c r="A12069" i="13"/>
  <c r="J12068" i="13"/>
  <c r="F12068" i="13"/>
  <c r="A12068" i="13"/>
  <c r="J12067" i="13"/>
  <c r="F12067" i="13"/>
  <c r="A12067" i="13"/>
  <c r="J12066" i="13"/>
  <c r="F12066" i="13"/>
  <c r="A12066" i="13"/>
  <c r="J12065" i="13"/>
  <c r="F12065" i="13"/>
  <c r="A12065" i="13"/>
  <c r="J12064" i="13"/>
  <c r="F12064" i="13"/>
  <c r="A12064" i="13"/>
  <c r="J12063" i="13"/>
  <c r="F12063" i="13"/>
  <c r="A12063" i="13"/>
  <c r="F12062" i="13"/>
  <c r="A12062" i="13"/>
  <c r="J12061" i="13"/>
  <c r="F12061" i="13"/>
  <c r="A12061" i="13"/>
  <c r="J12060" i="13"/>
  <c r="F12060" i="13"/>
  <c r="A12060" i="13"/>
  <c r="J12059" i="13"/>
  <c r="F12059" i="13"/>
  <c r="A12059" i="13"/>
  <c r="J12058" i="13"/>
  <c r="F12058" i="13"/>
  <c r="A12058" i="13"/>
  <c r="J12057" i="13"/>
  <c r="F12057" i="13"/>
  <c r="A12057" i="13"/>
  <c r="J12056" i="13"/>
  <c r="F12056" i="13"/>
  <c r="A12056" i="13"/>
  <c r="J12055" i="13"/>
  <c r="F12055" i="13"/>
  <c r="A12055" i="13"/>
  <c r="J12054" i="13"/>
  <c r="F12054" i="13"/>
  <c r="A12054" i="13"/>
  <c r="J12053" i="13"/>
  <c r="F12053" i="13"/>
  <c r="A12053" i="13"/>
  <c r="J12052" i="13"/>
  <c r="F12052" i="13"/>
  <c r="A12052" i="13"/>
  <c r="J12051" i="13"/>
  <c r="F12051" i="13"/>
  <c r="A12051" i="13"/>
  <c r="F12050" i="13"/>
  <c r="A12050" i="13"/>
  <c r="J12049" i="13"/>
  <c r="F12049" i="13"/>
  <c r="A12049" i="13"/>
  <c r="F12048" i="13"/>
  <c r="A12048" i="13"/>
  <c r="F12047" i="13"/>
  <c r="A12047" i="13"/>
  <c r="J12046" i="13"/>
  <c r="F12046" i="13"/>
  <c r="A12046" i="13"/>
  <c r="F12045" i="13"/>
  <c r="A12045" i="13"/>
  <c r="J12044" i="13"/>
  <c r="F12044" i="13"/>
  <c r="A12044" i="13"/>
  <c r="F12043" i="13"/>
  <c r="A12043" i="13"/>
  <c r="J12042" i="13"/>
  <c r="F12042" i="13"/>
  <c r="A12042" i="13"/>
  <c r="J12041" i="13"/>
  <c r="F12041" i="13"/>
  <c r="A12041" i="13"/>
  <c r="J12040" i="13"/>
  <c r="F12040" i="13"/>
  <c r="A12040" i="13"/>
  <c r="J12039" i="13"/>
  <c r="F12039" i="13"/>
  <c r="A12039" i="13"/>
  <c r="J12038" i="13"/>
  <c r="F12038" i="13"/>
  <c r="A12038" i="13"/>
  <c r="F12037" i="13"/>
  <c r="A12037" i="13"/>
  <c r="J12036" i="13"/>
  <c r="F12036" i="13"/>
  <c r="A12036" i="13"/>
  <c r="J12035" i="13"/>
  <c r="F12035" i="13"/>
  <c r="A12035" i="13"/>
  <c r="F12034" i="13"/>
  <c r="A12034" i="13"/>
  <c r="F12033" i="13"/>
  <c r="A12033" i="13"/>
  <c r="F12032" i="13"/>
  <c r="A12032" i="13"/>
  <c r="J12031" i="13"/>
  <c r="F12031" i="13"/>
  <c r="A12031" i="13"/>
  <c r="J12030" i="13"/>
  <c r="F12030" i="13"/>
  <c r="A12030" i="13"/>
  <c r="F12029" i="13"/>
  <c r="A12029" i="13"/>
  <c r="J12028" i="13"/>
  <c r="F12028" i="13"/>
  <c r="A12028" i="13"/>
  <c r="F12027" i="13"/>
  <c r="A12027" i="13"/>
  <c r="F12026" i="13"/>
  <c r="A12026" i="13"/>
  <c r="F12025" i="13"/>
  <c r="A12025" i="13"/>
  <c r="J12024" i="13"/>
  <c r="F12024" i="13"/>
  <c r="A12024" i="13"/>
  <c r="J12023" i="13"/>
  <c r="F12023" i="13"/>
  <c r="A12023" i="13"/>
  <c r="J12022" i="13"/>
  <c r="F12022" i="13"/>
  <c r="A12022" i="13"/>
  <c r="F12021" i="13"/>
  <c r="A12021" i="13"/>
  <c r="J12020" i="13"/>
  <c r="F12020" i="13"/>
  <c r="A12020" i="13"/>
  <c r="J12019" i="13"/>
  <c r="F12019" i="13"/>
  <c r="A12019" i="13"/>
  <c r="F12018" i="13"/>
  <c r="A12018" i="13"/>
  <c r="F12017" i="13"/>
  <c r="A12017" i="13"/>
  <c r="F12016" i="13"/>
  <c r="A12016" i="13"/>
  <c r="F12015" i="13"/>
  <c r="A12015" i="13"/>
  <c r="F12014" i="13"/>
  <c r="A12014" i="13"/>
  <c r="J12013" i="13"/>
  <c r="F12013" i="13"/>
  <c r="A12013" i="13"/>
  <c r="F12012" i="13"/>
  <c r="A12012" i="13"/>
  <c r="F12011" i="13"/>
  <c r="A12011" i="13"/>
  <c r="J12010" i="13"/>
  <c r="F12010" i="13"/>
  <c r="A12010" i="13"/>
  <c r="F12009" i="13"/>
  <c r="A12009" i="13"/>
  <c r="F12008" i="13"/>
  <c r="A12008" i="13"/>
  <c r="F12007" i="13"/>
  <c r="A12007" i="13"/>
  <c r="J12006" i="13"/>
  <c r="F12006" i="13"/>
  <c r="A12006" i="13"/>
  <c r="F12005" i="13"/>
  <c r="A12005" i="13"/>
  <c r="F12004" i="13"/>
  <c r="A12004" i="13"/>
  <c r="J12003" i="13"/>
  <c r="F12003" i="13"/>
  <c r="A12003" i="13"/>
  <c r="J12002" i="13"/>
  <c r="F12002" i="13"/>
  <c r="A12002" i="13"/>
  <c r="J12001" i="13"/>
  <c r="F12001" i="13"/>
  <c r="A12001" i="13"/>
  <c r="F12000" i="13"/>
  <c r="A12000" i="13"/>
  <c r="F11999" i="13"/>
  <c r="A11999" i="13"/>
  <c r="F11998" i="13"/>
  <c r="A11998" i="13"/>
  <c r="F11997" i="13"/>
  <c r="A11997" i="13"/>
  <c r="F11996" i="13"/>
  <c r="A11996" i="13"/>
  <c r="J11995" i="13"/>
  <c r="F11995" i="13"/>
  <c r="A11995" i="13"/>
  <c r="J11994" i="13"/>
  <c r="F11994" i="13"/>
  <c r="A11994" i="13"/>
  <c r="F11993" i="13"/>
  <c r="A11993" i="13"/>
  <c r="F11992" i="13"/>
  <c r="A11992" i="13"/>
  <c r="F11991" i="13"/>
  <c r="A11991" i="13"/>
  <c r="F11990" i="13"/>
  <c r="A11990" i="13"/>
  <c r="F11989" i="13"/>
  <c r="A11989" i="13"/>
  <c r="F11988" i="13"/>
  <c r="A11988" i="13"/>
  <c r="F11987" i="13"/>
  <c r="A11987" i="13"/>
  <c r="F11986" i="13"/>
  <c r="A11986" i="13"/>
  <c r="F11985" i="13"/>
  <c r="A11985" i="13"/>
  <c r="F11984" i="13"/>
  <c r="A11984" i="13"/>
  <c r="J11983" i="13"/>
  <c r="F11983" i="13"/>
  <c r="A11983" i="13"/>
  <c r="J11982" i="13"/>
  <c r="F11982" i="13"/>
  <c r="A11982" i="13"/>
  <c r="J11981" i="13"/>
  <c r="F11981" i="13"/>
  <c r="A11981" i="13"/>
  <c r="J11980" i="13"/>
  <c r="F11980" i="13"/>
  <c r="A11980" i="13"/>
  <c r="J11979" i="13"/>
  <c r="F11979" i="13"/>
  <c r="A11979" i="13"/>
  <c r="F11978" i="13"/>
  <c r="A11978" i="13"/>
  <c r="J11977" i="13"/>
  <c r="F11977" i="13"/>
  <c r="A11977" i="13"/>
  <c r="J11976" i="13"/>
  <c r="F11976" i="13"/>
  <c r="A11976" i="13"/>
  <c r="J11975" i="13"/>
  <c r="F11975" i="13"/>
  <c r="A11975" i="13"/>
  <c r="J11974" i="13"/>
  <c r="F11974" i="13"/>
  <c r="A11974" i="13"/>
  <c r="F11973" i="13"/>
  <c r="A11973" i="13"/>
  <c r="F11972" i="13"/>
  <c r="A11972" i="13"/>
  <c r="F11971" i="13"/>
  <c r="A11971" i="13"/>
  <c r="F11970" i="13"/>
  <c r="A11970" i="13"/>
  <c r="J11969" i="13"/>
  <c r="F11969" i="13"/>
  <c r="A11969" i="13"/>
  <c r="J11968" i="13"/>
  <c r="F11968" i="13"/>
  <c r="A11968" i="13"/>
  <c r="J11967" i="13"/>
  <c r="F11967" i="13"/>
  <c r="A11967" i="13"/>
  <c r="F11966" i="13"/>
  <c r="A11966" i="13"/>
  <c r="F11965" i="13"/>
  <c r="A11965" i="13"/>
  <c r="J11964" i="13"/>
  <c r="F11964" i="13"/>
  <c r="A11964" i="13"/>
  <c r="J11963" i="13"/>
  <c r="F11963" i="13"/>
  <c r="A11963" i="13"/>
  <c r="J11962" i="13"/>
  <c r="F11962" i="13"/>
  <c r="A11962" i="13"/>
  <c r="J11961" i="13"/>
  <c r="F11961" i="13"/>
  <c r="A11961" i="13"/>
  <c r="F11960" i="13"/>
  <c r="A11960" i="13"/>
  <c r="J11959" i="13"/>
  <c r="F11959" i="13"/>
  <c r="A11959" i="13"/>
  <c r="F11958" i="13"/>
  <c r="A11958" i="13"/>
  <c r="F11957" i="13"/>
  <c r="A11957" i="13"/>
  <c r="J11956" i="13"/>
  <c r="F11956" i="13"/>
  <c r="A11956" i="13"/>
  <c r="F11955" i="13"/>
  <c r="A11955" i="13"/>
  <c r="J11954" i="13"/>
  <c r="F11954" i="13"/>
  <c r="A11954" i="13"/>
  <c r="F11953" i="13"/>
  <c r="A11953" i="13"/>
  <c r="J11952" i="13"/>
  <c r="F11952" i="13"/>
  <c r="A11952" i="13"/>
  <c r="J11951" i="13"/>
  <c r="F11951" i="13"/>
  <c r="A11951" i="13"/>
  <c r="J11950" i="13"/>
  <c r="F11950" i="13"/>
  <c r="A11950" i="13"/>
  <c r="J11949" i="13"/>
  <c r="F11949" i="13"/>
  <c r="A11949" i="13"/>
  <c r="J11948" i="13"/>
  <c r="F11948" i="13"/>
  <c r="A11948" i="13"/>
  <c r="F11947" i="13"/>
  <c r="A11947" i="13"/>
  <c r="F11946" i="13"/>
  <c r="A11946" i="13"/>
  <c r="F11945" i="13"/>
  <c r="A11945" i="13"/>
  <c r="J11944" i="13"/>
  <c r="F11944" i="13"/>
  <c r="A11944" i="13"/>
  <c r="J11943" i="13"/>
  <c r="F11943" i="13"/>
  <c r="A11943" i="13"/>
  <c r="J11942" i="13"/>
  <c r="F11942" i="13"/>
  <c r="A11942" i="13"/>
  <c r="F11941" i="13"/>
  <c r="A11941" i="13"/>
  <c r="F11940" i="13"/>
  <c r="A11940" i="13"/>
  <c r="F11939" i="13"/>
  <c r="A11939" i="13"/>
  <c r="J11938" i="13"/>
  <c r="F11938" i="13"/>
  <c r="A11938" i="13"/>
  <c r="F11937" i="13"/>
  <c r="A11937" i="13"/>
  <c r="F11936" i="13"/>
  <c r="A11936" i="13"/>
  <c r="J11935" i="13"/>
  <c r="F11935" i="13"/>
  <c r="A11935" i="13"/>
  <c r="F11934" i="13"/>
  <c r="A11934" i="13"/>
  <c r="J11933" i="13"/>
  <c r="F11933" i="13"/>
  <c r="A11933" i="13"/>
  <c r="J11932" i="13"/>
  <c r="F11932" i="13"/>
  <c r="A11932" i="13"/>
  <c r="J11931" i="13"/>
  <c r="F11931" i="13"/>
  <c r="A11931" i="13"/>
  <c r="J11930" i="13"/>
  <c r="F11930" i="13"/>
  <c r="A11930" i="13"/>
  <c r="F11929" i="13"/>
  <c r="A11929" i="13"/>
  <c r="F11928" i="13"/>
  <c r="A11928" i="13"/>
  <c r="F11927" i="13"/>
  <c r="A11927" i="13"/>
  <c r="J11926" i="13"/>
  <c r="F11926" i="13"/>
  <c r="A11926" i="13"/>
  <c r="J11925" i="13"/>
  <c r="F11925" i="13"/>
  <c r="A11925" i="13"/>
  <c r="J11924" i="13"/>
  <c r="F11924" i="13"/>
  <c r="A11924" i="13"/>
  <c r="F11923" i="13"/>
  <c r="A11923" i="13"/>
  <c r="F11922" i="13"/>
  <c r="A11922" i="13"/>
  <c r="F11921" i="13"/>
  <c r="A11921" i="13"/>
  <c r="F11920" i="13"/>
  <c r="A11920" i="13"/>
  <c r="F11919" i="13"/>
  <c r="A11919" i="13"/>
  <c r="F11918" i="13"/>
  <c r="A11918" i="13"/>
  <c r="F11917" i="13"/>
  <c r="A11917" i="13"/>
  <c r="F11916" i="13"/>
  <c r="A11916" i="13"/>
  <c r="F11915" i="13"/>
  <c r="A11915" i="13"/>
  <c r="J11914" i="13"/>
  <c r="F11914" i="13"/>
  <c r="A11914" i="13"/>
  <c r="J11913" i="13"/>
  <c r="F11913" i="13"/>
  <c r="A11913" i="13"/>
  <c r="F11912" i="13"/>
  <c r="A11912" i="13"/>
  <c r="F11911" i="13"/>
  <c r="A11911" i="13"/>
  <c r="J11910" i="13"/>
  <c r="F11910" i="13"/>
  <c r="A11910" i="13"/>
  <c r="J11909" i="13"/>
  <c r="F11909" i="13"/>
  <c r="A11909" i="13"/>
  <c r="J11908" i="13"/>
  <c r="F11908" i="13"/>
  <c r="A11908" i="13"/>
  <c r="J11907" i="13"/>
  <c r="F11907" i="13"/>
  <c r="A11907" i="13"/>
  <c r="F11906" i="13"/>
  <c r="A11906" i="13"/>
  <c r="J11905" i="13"/>
  <c r="F11905" i="13"/>
  <c r="A11905" i="13"/>
  <c r="J11904" i="13"/>
  <c r="F11904" i="13"/>
  <c r="A11904" i="13"/>
  <c r="J11903" i="13"/>
  <c r="F11903" i="13"/>
  <c r="A11903" i="13"/>
  <c r="F11902" i="13"/>
  <c r="A11902" i="13"/>
  <c r="F11901" i="13"/>
  <c r="A11901" i="13"/>
  <c r="F11900" i="13"/>
  <c r="A11900" i="13"/>
  <c r="F11899" i="13"/>
  <c r="A11899" i="13"/>
  <c r="J11898" i="13"/>
  <c r="F11898" i="13"/>
  <c r="A11898" i="13"/>
  <c r="J11897" i="13"/>
  <c r="F11897" i="13"/>
  <c r="A11897" i="13"/>
  <c r="J11896" i="13"/>
  <c r="F11896" i="13"/>
  <c r="A11896" i="13"/>
  <c r="F11895" i="13"/>
  <c r="A11895" i="13"/>
  <c r="J11894" i="13"/>
  <c r="F11894" i="13"/>
  <c r="A11894" i="13"/>
  <c r="J11893" i="13"/>
  <c r="F11893" i="13"/>
  <c r="A11893" i="13"/>
  <c r="F11892" i="13"/>
  <c r="A11892" i="13"/>
  <c r="J11891" i="13"/>
  <c r="F11891" i="13"/>
  <c r="A11891" i="13"/>
  <c r="J11890" i="13"/>
  <c r="F11890" i="13"/>
  <c r="A11890" i="13"/>
  <c r="J11889" i="13"/>
  <c r="F11889" i="13"/>
  <c r="A11889" i="13"/>
  <c r="J11888" i="13"/>
  <c r="F11888" i="13"/>
  <c r="A11888" i="13"/>
  <c r="J11887" i="13"/>
  <c r="F11887" i="13"/>
  <c r="A11887" i="13"/>
  <c r="J11886" i="13"/>
  <c r="F11886" i="13"/>
  <c r="A11886" i="13"/>
  <c r="J11885" i="13"/>
  <c r="F11885" i="13"/>
  <c r="A11885" i="13"/>
  <c r="J11884" i="13"/>
  <c r="F11884" i="13"/>
  <c r="A11884" i="13"/>
  <c r="F11883" i="13"/>
  <c r="A11883" i="13"/>
  <c r="F11882" i="13"/>
  <c r="A11882" i="13"/>
  <c r="F11881" i="13"/>
  <c r="A11881" i="13"/>
  <c r="F11880" i="13"/>
  <c r="A11880" i="13"/>
  <c r="J11879" i="13"/>
  <c r="F11879" i="13"/>
  <c r="A11879" i="13"/>
  <c r="J11878" i="13"/>
  <c r="F11878" i="13"/>
  <c r="A11878" i="13"/>
  <c r="J11877" i="13"/>
  <c r="F11877" i="13"/>
  <c r="A11877" i="13"/>
  <c r="F11876" i="13"/>
  <c r="A11876" i="13"/>
  <c r="J11875" i="13"/>
  <c r="F11875" i="13"/>
  <c r="A11875" i="13"/>
  <c r="J11874" i="13"/>
  <c r="F11874" i="13"/>
  <c r="A11874" i="13"/>
  <c r="F11873" i="13"/>
  <c r="A11873" i="13"/>
  <c r="F11872" i="13"/>
  <c r="A11872" i="13"/>
  <c r="F11871" i="13"/>
  <c r="A11871" i="13"/>
  <c r="F11870" i="13"/>
  <c r="A11870" i="13"/>
  <c r="F11869" i="13"/>
  <c r="A11869" i="13"/>
  <c r="F11868" i="13"/>
  <c r="A11868" i="13"/>
  <c r="F11867" i="13"/>
  <c r="A11867" i="13"/>
  <c r="J11866" i="13"/>
  <c r="F11866" i="13"/>
  <c r="A11866" i="13"/>
  <c r="J11865" i="13"/>
  <c r="F11865" i="13"/>
  <c r="A11865" i="13"/>
  <c r="J11864" i="13"/>
  <c r="F11864" i="13"/>
  <c r="A11864" i="13"/>
  <c r="F11863" i="13"/>
  <c r="A11863" i="13"/>
  <c r="F11862" i="13"/>
  <c r="A11862" i="13"/>
  <c r="F11861" i="13"/>
  <c r="A11861" i="13"/>
  <c r="F11860" i="13"/>
  <c r="A11860" i="13"/>
  <c r="F11859" i="13"/>
  <c r="A11859" i="13"/>
  <c r="F11858" i="13"/>
  <c r="A11858" i="13"/>
  <c r="F11857" i="13"/>
  <c r="A11857" i="13"/>
  <c r="J11856" i="13"/>
  <c r="F11856" i="13"/>
  <c r="A11856" i="13"/>
  <c r="J11855" i="13"/>
  <c r="F11855" i="13"/>
  <c r="A11855" i="13"/>
  <c r="J11854" i="13"/>
  <c r="F11854" i="13"/>
  <c r="A11854" i="13"/>
  <c r="J11853" i="13"/>
  <c r="F11853" i="13"/>
  <c r="A11853" i="13"/>
  <c r="J11852" i="13"/>
  <c r="F11852" i="13"/>
  <c r="A11852" i="13"/>
  <c r="F11851" i="13"/>
  <c r="A11851" i="13"/>
  <c r="F11850" i="13"/>
  <c r="A11850" i="13"/>
  <c r="J11849" i="13"/>
  <c r="F11849" i="13"/>
  <c r="A11849" i="13"/>
  <c r="J11848" i="13"/>
  <c r="F11848" i="13"/>
  <c r="A11848" i="13"/>
  <c r="F11847" i="13"/>
  <c r="A11847" i="13"/>
  <c r="J11846" i="13"/>
  <c r="F11846" i="13"/>
  <c r="A11846" i="13"/>
  <c r="F11845" i="13"/>
  <c r="A11845" i="13"/>
  <c r="F11844" i="13"/>
  <c r="A11844" i="13"/>
  <c r="F11843" i="13"/>
  <c r="A11843" i="13"/>
  <c r="F11842" i="13"/>
  <c r="A11842" i="13"/>
  <c r="F11841" i="13"/>
  <c r="A11841" i="13"/>
  <c r="F11840" i="13"/>
  <c r="A11840" i="13"/>
  <c r="F11839" i="13"/>
  <c r="A11839" i="13"/>
  <c r="F11838" i="13"/>
  <c r="A11838" i="13"/>
  <c r="F11837" i="13"/>
  <c r="A11837" i="13"/>
  <c r="J11836" i="13"/>
  <c r="F11836" i="13"/>
  <c r="A11836" i="13"/>
  <c r="J11835" i="13"/>
  <c r="F11835" i="13"/>
  <c r="A11835" i="13"/>
  <c r="F11834" i="13"/>
  <c r="A11834" i="13"/>
  <c r="F11833" i="13"/>
  <c r="A11833" i="13"/>
  <c r="F11832" i="13"/>
  <c r="A11832" i="13"/>
  <c r="F11831" i="13"/>
  <c r="A11831" i="13"/>
  <c r="J11830" i="13"/>
  <c r="F11830" i="13"/>
  <c r="A11830" i="13"/>
  <c r="J11829" i="13"/>
  <c r="F11829" i="13"/>
  <c r="A11829" i="13"/>
  <c r="J11828" i="13"/>
  <c r="F11828" i="13"/>
  <c r="A11828" i="13"/>
  <c r="F11827" i="13"/>
  <c r="A11827" i="13"/>
  <c r="F11826" i="13"/>
  <c r="A11826" i="13"/>
  <c r="F11825" i="13"/>
  <c r="A11825" i="13"/>
  <c r="F11824" i="13"/>
  <c r="A11824" i="13"/>
  <c r="J11823" i="13"/>
  <c r="F11823" i="13"/>
  <c r="A11823" i="13"/>
  <c r="J11822" i="13"/>
  <c r="F11822" i="13"/>
  <c r="A11822" i="13"/>
  <c r="F11821" i="13"/>
  <c r="A11821" i="13"/>
  <c r="F11820" i="13"/>
  <c r="A11820" i="13"/>
  <c r="F11819" i="13"/>
  <c r="A11819" i="13"/>
  <c r="F11818" i="13"/>
  <c r="A11818" i="13"/>
  <c r="J11817" i="13"/>
  <c r="F11817" i="13"/>
  <c r="A11817" i="13"/>
  <c r="J11816" i="13"/>
  <c r="F11816" i="13"/>
  <c r="A11816" i="13"/>
  <c r="F11815" i="13"/>
  <c r="A11815" i="13"/>
  <c r="F11814" i="13"/>
  <c r="A11814" i="13"/>
  <c r="F11813" i="13"/>
  <c r="A11813" i="13"/>
  <c r="F11812" i="13"/>
  <c r="A11812" i="13"/>
  <c r="J11811" i="13"/>
  <c r="F11811" i="13"/>
  <c r="A11811" i="13"/>
  <c r="F11810" i="13"/>
  <c r="A11810" i="13"/>
  <c r="J11809" i="13"/>
  <c r="F11809" i="13"/>
  <c r="A11809" i="13"/>
  <c r="J11808" i="13"/>
  <c r="F11808" i="13"/>
  <c r="A11808" i="13"/>
  <c r="F11807" i="13"/>
  <c r="A11807" i="13"/>
  <c r="F11806" i="13"/>
  <c r="A11806" i="13"/>
  <c r="F11805" i="13"/>
  <c r="A11805" i="13"/>
  <c r="F11804" i="13"/>
  <c r="A11804" i="13"/>
  <c r="F11803" i="13"/>
  <c r="A11803" i="13"/>
  <c r="F11802" i="13"/>
  <c r="A11802" i="13"/>
  <c r="F11801" i="13"/>
  <c r="A11801" i="13"/>
  <c r="J11800" i="13"/>
  <c r="F11800" i="13"/>
  <c r="A11800" i="13"/>
  <c r="J11799" i="13"/>
  <c r="F11799" i="13"/>
  <c r="A11799" i="13"/>
  <c r="F11798" i="13"/>
  <c r="A11798" i="13"/>
  <c r="J11797" i="13"/>
  <c r="F11797" i="13"/>
  <c r="A11797" i="13"/>
  <c r="J11796" i="13"/>
  <c r="F11796" i="13"/>
  <c r="A11796" i="13"/>
  <c r="J11795" i="13"/>
  <c r="F11795" i="13"/>
  <c r="A11795" i="13"/>
  <c r="F11794" i="13"/>
  <c r="A11794" i="13"/>
  <c r="J11793" i="13"/>
  <c r="F11793" i="13"/>
  <c r="A11793" i="13"/>
  <c r="J11792" i="13"/>
  <c r="F11792" i="13"/>
  <c r="A11792" i="13"/>
  <c r="J11791" i="13"/>
  <c r="F11791" i="13"/>
  <c r="A11791" i="13"/>
  <c r="F11790" i="13"/>
  <c r="A11790" i="13"/>
  <c r="F11789" i="13"/>
  <c r="A11789" i="13"/>
  <c r="F11788" i="13"/>
  <c r="A11788" i="13"/>
  <c r="F11787" i="13"/>
  <c r="A11787" i="13"/>
  <c r="F11786" i="13"/>
  <c r="A11786" i="13"/>
  <c r="F11785" i="13"/>
  <c r="A11785" i="13"/>
  <c r="J11784" i="13"/>
  <c r="F11784" i="13"/>
  <c r="A11784" i="13"/>
  <c r="J11783" i="13"/>
  <c r="F11783" i="13"/>
  <c r="A11783" i="13"/>
  <c r="J11782" i="13"/>
  <c r="F11782" i="13"/>
  <c r="A11782" i="13"/>
  <c r="J11781" i="13"/>
  <c r="F11781" i="13"/>
  <c r="A11781" i="13"/>
  <c r="F11780" i="13"/>
  <c r="A11780" i="13"/>
  <c r="J11779" i="13"/>
  <c r="F11779" i="13"/>
  <c r="A11779" i="13"/>
  <c r="F11778" i="13"/>
  <c r="A11778" i="13"/>
  <c r="J11777" i="13"/>
  <c r="F11777" i="13"/>
  <c r="A11777" i="13"/>
  <c r="J11776" i="13"/>
  <c r="F11776" i="13"/>
  <c r="A11776" i="13"/>
  <c r="J11775" i="13"/>
  <c r="F11775" i="13"/>
  <c r="A11775" i="13"/>
  <c r="J11774" i="13"/>
  <c r="F11774" i="13"/>
  <c r="A11774" i="13"/>
  <c r="J11773" i="13"/>
  <c r="F11773" i="13"/>
  <c r="A11773" i="13"/>
  <c r="F11772" i="13"/>
  <c r="A11772" i="13"/>
  <c r="J11771" i="13"/>
  <c r="F11771" i="13"/>
  <c r="A11771" i="13"/>
  <c r="J11770" i="13"/>
  <c r="F11770" i="13"/>
  <c r="A11770" i="13"/>
  <c r="J11769" i="13"/>
  <c r="F11769" i="13"/>
  <c r="A11769" i="13"/>
  <c r="J11768" i="13"/>
  <c r="F11768" i="13"/>
  <c r="A11768" i="13"/>
  <c r="F11767" i="13"/>
  <c r="A11767" i="13"/>
  <c r="F11766" i="13"/>
  <c r="A11766" i="13"/>
  <c r="F11765" i="13"/>
  <c r="A11765" i="13"/>
  <c r="F11764" i="13"/>
  <c r="A11764" i="13"/>
  <c r="J11763" i="13"/>
  <c r="F11763" i="13"/>
  <c r="A11763" i="13"/>
  <c r="J11762" i="13"/>
  <c r="F11762" i="13"/>
  <c r="A11762" i="13"/>
  <c r="J11761" i="13"/>
  <c r="F11761" i="13"/>
  <c r="A11761" i="13"/>
  <c r="F11760" i="13"/>
  <c r="A11760" i="13"/>
  <c r="J11759" i="13"/>
  <c r="F11759" i="13"/>
  <c r="A11759" i="13"/>
  <c r="J11758" i="13"/>
  <c r="F11758" i="13"/>
  <c r="A11758" i="13"/>
  <c r="J11757" i="13"/>
  <c r="F11757" i="13"/>
  <c r="A11757" i="13"/>
  <c r="J11756" i="13"/>
  <c r="F11756" i="13"/>
  <c r="A11756" i="13"/>
  <c r="J11755" i="13"/>
  <c r="F11755" i="13"/>
  <c r="A11755" i="13"/>
  <c r="J11754" i="13"/>
  <c r="F11754" i="13"/>
  <c r="A11754" i="13"/>
  <c r="J11753" i="13"/>
  <c r="F11753" i="13"/>
  <c r="A11753" i="13"/>
  <c r="F11752" i="13"/>
  <c r="A11752" i="13"/>
  <c r="F11751" i="13"/>
  <c r="A11751" i="13"/>
  <c r="J11750" i="13"/>
  <c r="F11750" i="13"/>
  <c r="A11750" i="13"/>
  <c r="J11749" i="13"/>
  <c r="F11749" i="13"/>
  <c r="A11749" i="13"/>
  <c r="F11748" i="13"/>
  <c r="A11748" i="13"/>
  <c r="F11747" i="13"/>
  <c r="A11747" i="13"/>
  <c r="J11746" i="13"/>
  <c r="F11746" i="13"/>
  <c r="A11746" i="13"/>
  <c r="J11745" i="13"/>
  <c r="F11745" i="13"/>
  <c r="A11745" i="13"/>
  <c r="J11744" i="13"/>
  <c r="F11744" i="13"/>
  <c r="A11744" i="13"/>
  <c r="J11743" i="13"/>
  <c r="F11743" i="13"/>
  <c r="A11743" i="13"/>
  <c r="F11742" i="13"/>
  <c r="A11742" i="13"/>
  <c r="F11741" i="13"/>
  <c r="A11741" i="13"/>
  <c r="F11740" i="13"/>
  <c r="A11740" i="13"/>
  <c r="J11739" i="13"/>
  <c r="F11739" i="13"/>
  <c r="A11739" i="13"/>
  <c r="J11738" i="13"/>
  <c r="F11738" i="13"/>
  <c r="A11738" i="13"/>
  <c r="F11737" i="13"/>
  <c r="A11737" i="13"/>
  <c r="F11736" i="13"/>
  <c r="A11736" i="13"/>
  <c r="F11735" i="13"/>
  <c r="A11735" i="13"/>
  <c r="F11734" i="13"/>
  <c r="A11734" i="13"/>
  <c r="F11733" i="13"/>
  <c r="A11733" i="13"/>
  <c r="J11732" i="13"/>
  <c r="F11732" i="13"/>
  <c r="A11732" i="13"/>
  <c r="J11731" i="13"/>
  <c r="F11731" i="13"/>
  <c r="A11731" i="13"/>
  <c r="F11730" i="13"/>
  <c r="A11730" i="13"/>
  <c r="J11729" i="13"/>
  <c r="F11729" i="13"/>
  <c r="A11729" i="13"/>
  <c r="J11728" i="13"/>
  <c r="F11728" i="13"/>
  <c r="A11728" i="13"/>
  <c r="J11727" i="13"/>
  <c r="F11727" i="13"/>
  <c r="A11727" i="13"/>
  <c r="F11726" i="13"/>
  <c r="A11726" i="13"/>
  <c r="J11725" i="13"/>
  <c r="F11725" i="13"/>
  <c r="A11725" i="13"/>
  <c r="J11724" i="13"/>
  <c r="F11724" i="13"/>
  <c r="A11724" i="13"/>
  <c r="J11723" i="13"/>
  <c r="F11723" i="13"/>
  <c r="A11723" i="13"/>
  <c r="J11722" i="13"/>
  <c r="F11722" i="13"/>
  <c r="A11722" i="13"/>
  <c r="J11721" i="13"/>
  <c r="F11721" i="13"/>
  <c r="A11721" i="13"/>
  <c r="J11720" i="13"/>
  <c r="F11720" i="13"/>
  <c r="A11720" i="13"/>
  <c r="J11719" i="13"/>
  <c r="F11719" i="13"/>
  <c r="A11719" i="13"/>
  <c r="F11718" i="13"/>
  <c r="A11718" i="13"/>
  <c r="F11717" i="13"/>
  <c r="A11717" i="13"/>
  <c r="F11716" i="13"/>
  <c r="A11716" i="13"/>
  <c r="J11715" i="13"/>
  <c r="F11715" i="13"/>
  <c r="A11715" i="13"/>
  <c r="J11714" i="13"/>
  <c r="F11714" i="13"/>
  <c r="A11714" i="13"/>
  <c r="J11713" i="13"/>
  <c r="F11713" i="13"/>
  <c r="A11713" i="13"/>
  <c r="J11712" i="13"/>
  <c r="F11712" i="13"/>
  <c r="A11712" i="13"/>
  <c r="J11711" i="13"/>
  <c r="F11711" i="13"/>
  <c r="A11711" i="13"/>
  <c r="F11710" i="13"/>
  <c r="A11710" i="13"/>
  <c r="J11709" i="13"/>
  <c r="F11709" i="13"/>
  <c r="A11709" i="13"/>
  <c r="F11708" i="13"/>
  <c r="A11708" i="13"/>
  <c r="J11707" i="13"/>
  <c r="F11707" i="13"/>
  <c r="A11707" i="13"/>
  <c r="J11706" i="13"/>
  <c r="F11706" i="13"/>
  <c r="A11706" i="13"/>
  <c r="J11705" i="13"/>
  <c r="F11705" i="13"/>
  <c r="A11705" i="13"/>
  <c r="J11704" i="13"/>
  <c r="F11704" i="13"/>
  <c r="A11704" i="13"/>
  <c r="J11703" i="13"/>
  <c r="F11703" i="13"/>
  <c r="A11703" i="13"/>
  <c r="F11702" i="13"/>
  <c r="A11702" i="13"/>
  <c r="F11701" i="13"/>
  <c r="A11701" i="13"/>
  <c r="F11700" i="13"/>
  <c r="A11700" i="13"/>
  <c r="F11699" i="13"/>
  <c r="A11699" i="13"/>
  <c r="F11698" i="13"/>
  <c r="A11698" i="13"/>
  <c r="F11697" i="13"/>
  <c r="A11697" i="13"/>
  <c r="F11696" i="13"/>
  <c r="A11696" i="13"/>
  <c r="F11695" i="13"/>
  <c r="A11695" i="13"/>
  <c r="F11694" i="13"/>
  <c r="A11694" i="13"/>
  <c r="F11693" i="13"/>
  <c r="A11693" i="13"/>
  <c r="F11692" i="13"/>
  <c r="A11692" i="13"/>
  <c r="J11691" i="13"/>
  <c r="F11691" i="13"/>
  <c r="A11691" i="13"/>
  <c r="J11690" i="13"/>
  <c r="F11690" i="13"/>
  <c r="A11690" i="13"/>
  <c r="F11689" i="13"/>
  <c r="A11689" i="13"/>
  <c r="J11688" i="13"/>
  <c r="F11688" i="13"/>
  <c r="A11688" i="13"/>
  <c r="J11687" i="13"/>
  <c r="F11687" i="13"/>
  <c r="A11687" i="13"/>
  <c r="F11686" i="13"/>
  <c r="A11686" i="13"/>
  <c r="F11685" i="13"/>
  <c r="A11685" i="13"/>
  <c r="J11684" i="13"/>
  <c r="F11684" i="13"/>
  <c r="A11684" i="13"/>
  <c r="J11683" i="13"/>
  <c r="F11683" i="13"/>
  <c r="A11683" i="13"/>
  <c r="J11682" i="13"/>
  <c r="F11682" i="13"/>
  <c r="A11682" i="13"/>
  <c r="F11681" i="13"/>
  <c r="A11681" i="13"/>
  <c r="F11680" i="13"/>
  <c r="A11680" i="13"/>
  <c r="J11679" i="13"/>
  <c r="F11679" i="13"/>
  <c r="A11679" i="13"/>
  <c r="J11678" i="13"/>
  <c r="F11678" i="13"/>
  <c r="A11678" i="13"/>
  <c r="J11677" i="13"/>
  <c r="F11677" i="13"/>
  <c r="A11677" i="13"/>
  <c r="J11676" i="13"/>
  <c r="F11676" i="13"/>
  <c r="A11676" i="13"/>
  <c r="J11675" i="13"/>
  <c r="F11675" i="13"/>
  <c r="A11675" i="13"/>
  <c r="F11674" i="13"/>
  <c r="A11674" i="13"/>
  <c r="F11673" i="13"/>
  <c r="A11673" i="13"/>
  <c r="F11672" i="13"/>
  <c r="A11672" i="13"/>
  <c r="J11671" i="13"/>
  <c r="F11671" i="13"/>
  <c r="A11671" i="13"/>
  <c r="J11670" i="13"/>
  <c r="F11670" i="13"/>
  <c r="A11670" i="13"/>
  <c r="J11669" i="13"/>
  <c r="F11669" i="13"/>
  <c r="A11669" i="13"/>
  <c r="F11668" i="13"/>
  <c r="A11668" i="13"/>
  <c r="J11667" i="13"/>
  <c r="F11667" i="13"/>
  <c r="A11667" i="13"/>
  <c r="J11666" i="13"/>
  <c r="F11666" i="13"/>
  <c r="A11666" i="13"/>
  <c r="F11665" i="13"/>
  <c r="A11665" i="13"/>
  <c r="J11664" i="13"/>
  <c r="F11664" i="13"/>
  <c r="A11664" i="13"/>
  <c r="J11663" i="13"/>
  <c r="F11663" i="13"/>
  <c r="A11663" i="13"/>
  <c r="F11662" i="13"/>
  <c r="A11662" i="13"/>
  <c r="J11661" i="13"/>
  <c r="F11661" i="13"/>
  <c r="A11661" i="13"/>
  <c r="J11660" i="13"/>
  <c r="F11660" i="13"/>
  <c r="A11660" i="13"/>
  <c r="F11659" i="13"/>
  <c r="A11659" i="13"/>
  <c r="J11658" i="13"/>
  <c r="F11658" i="13"/>
  <c r="A11658" i="13"/>
  <c r="F11657" i="13"/>
  <c r="A11657" i="13"/>
  <c r="J11656" i="13"/>
  <c r="F11656" i="13"/>
  <c r="A11656" i="13"/>
  <c r="J11655" i="13"/>
  <c r="F11655" i="13"/>
  <c r="A11655" i="13"/>
  <c r="J11654" i="13"/>
  <c r="F11654" i="13"/>
  <c r="A11654" i="13"/>
  <c r="J11653" i="13"/>
  <c r="F11653" i="13"/>
  <c r="A11653" i="13"/>
  <c r="J11652" i="13"/>
  <c r="F11652" i="13"/>
  <c r="A11652" i="13"/>
  <c r="J11651" i="13"/>
  <c r="F11651" i="13"/>
  <c r="A11651" i="13"/>
  <c r="F11650" i="13"/>
  <c r="A11650" i="13"/>
  <c r="F11649" i="13"/>
  <c r="A11649" i="13"/>
  <c r="J11648" i="13"/>
  <c r="F11648" i="13"/>
  <c r="A11648" i="13"/>
  <c r="J11647" i="13"/>
  <c r="F11647" i="13"/>
  <c r="A11647" i="13"/>
  <c r="J11646" i="13"/>
  <c r="F11646" i="13"/>
  <c r="A11646" i="13"/>
  <c r="F11645" i="13"/>
  <c r="A11645" i="13"/>
  <c r="J11644" i="13"/>
  <c r="F11644" i="13"/>
  <c r="A11644" i="13"/>
  <c r="J11643" i="13"/>
  <c r="F11643" i="13"/>
  <c r="A11643" i="13"/>
  <c r="J11642" i="13"/>
  <c r="F11642" i="13"/>
  <c r="A11642" i="13"/>
  <c r="J11641" i="13"/>
  <c r="F11641" i="13"/>
  <c r="A11641" i="13"/>
  <c r="J11640" i="13"/>
  <c r="F11640" i="13"/>
  <c r="A11640" i="13"/>
  <c r="J11639" i="13"/>
  <c r="F11639" i="13"/>
  <c r="A11639" i="13"/>
  <c r="F11638" i="13"/>
  <c r="A11638" i="13"/>
  <c r="J11637" i="13"/>
  <c r="F11637" i="13"/>
  <c r="A11637" i="13"/>
  <c r="J11636" i="13"/>
  <c r="F11636" i="13"/>
  <c r="A11636" i="13"/>
  <c r="J11635" i="13"/>
  <c r="F11635" i="13"/>
  <c r="A11635" i="13"/>
  <c r="J11634" i="13"/>
  <c r="F11634" i="13"/>
  <c r="A11634" i="13"/>
  <c r="F11633" i="13"/>
  <c r="A11633" i="13"/>
  <c r="F11632" i="13"/>
  <c r="A11632" i="13"/>
  <c r="J11631" i="13"/>
  <c r="F11631" i="13"/>
  <c r="A11631" i="13"/>
  <c r="J11630" i="13"/>
  <c r="F11630" i="13"/>
  <c r="A11630" i="13"/>
  <c r="F11629" i="13"/>
  <c r="A11629" i="13"/>
  <c r="J11628" i="13"/>
  <c r="F11628" i="13"/>
  <c r="A11628" i="13"/>
  <c r="J11627" i="13"/>
  <c r="F11627" i="13"/>
  <c r="A11627" i="13"/>
  <c r="J11626" i="13"/>
  <c r="F11626" i="13"/>
  <c r="A11626" i="13"/>
  <c r="J11625" i="13"/>
  <c r="F11625" i="13"/>
  <c r="A11625" i="13"/>
  <c r="F11624" i="13"/>
  <c r="A11624" i="13"/>
  <c r="F11623" i="13"/>
  <c r="A11623" i="13"/>
  <c r="F11622" i="13"/>
  <c r="A11622" i="13"/>
  <c r="F11621" i="13"/>
  <c r="A11621" i="13"/>
  <c r="F11620" i="13"/>
  <c r="A11620" i="13"/>
  <c r="J11619" i="13"/>
  <c r="F11619" i="13"/>
  <c r="A11619" i="13"/>
  <c r="J11618" i="13"/>
  <c r="F11618" i="13"/>
  <c r="A11618" i="13"/>
  <c r="J11617" i="13"/>
  <c r="F11617" i="13"/>
  <c r="A11617" i="13"/>
  <c r="J11616" i="13"/>
  <c r="F11616" i="13"/>
  <c r="A11616" i="13"/>
  <c r="J11615" i="13"/>
  <c r="F11615" i="13"/>
  <c r="A11615" i="13"/>
  <c r="F11614" i="13"/>
  <c r="A11614" i="13"/>
  <c r="F11613" i="13"/>
  <c r="A11613" i="13"/>
  <c r="F11612" i="13"/>
  <c r="A11612" i="13"/>
  <c r="J11611" i="13"/>
  <c r="F11611" i="13"/>
  <c r="A11611" i="13"/>
  <c r="J11610" i="13"/>
  <c r="F11610" i="13"/>
  <c r="A11610" i="13"/>
  <c r="J11609" i="13"/>
  <c r="F11609" i="13"/>
  <c r="A11609" i="13"/>
  <c r="J11608" i="13"/>
  <c r="F11608" i="13"/>
  <c r="A11608" i="13"/>
  <c r="F11607" i="13"/>
  <c r="A11607" i="13"/>
  <c r="J11606" i="13"/>
  <c r="F11606" i="13"/>
  <c r="A11606" i="13"/>
  <c r="J11605" i="13"/>
  <c r="F11605" i="13"/>
  <c r="A11605" i="13"/>
  <c r="F11604" i="13"/>
  <c r="A11604" i="13"/>
  <c r="F11603" i="13"/>
  <c r="A11603" i="13"/>
  <c r="F11602" i="13"/>
  <c r="A11602" i="13"/>
  <c r="F11601" i="13"/>
  <c r="A11601" i="13"/>
  <c r="J11600" i="13"/>
  <c r="F11600" i="13"/>
  <c r="A11600" i="13"/>
  <c r="J11599" i="13"/>
  <c r="F11599" i="13"/>
  <c r="A11599" i="13"/>
  <c r="J11598" i="13"/>
  <c r="F11598" i="13"/>
  <c r="A11598" i="13"/>
  <c r="J11597" i="13"/>
  <c r="F11597" i="13"/>
  <c r="A11597" i="13"/>
  <c r="J11596" i="13"/>
  <c r="F11596" i="13"/>
  <c r="A11596" i="13"/>
  <c r="J11595" i="13"/>
  <c r="F11595" i="13"/>
  <c r="A11595" i="13"/>
  <c r="J11594" i="13"/>
  <c r="F11594" i="13"/>
  <c r="A11594" i="13"/>
  <c r="J11593" i="13"/>
  <c r="F11593" i="13"/>
  <c r="A11593" i="13"/>
  <c r="F11592" i="13"/>
  <c r="A11592" i="13"/>
  <c r="F11591" i="13"/>
  <c r="A11591" i="13"/>
  <c r="J11590" i="13"/>
  <c r="F11590" i="13"/>
  <c r="A11590" i="13"/>
  <c r="J11589" i="13"/>
  <c r="F11589" i="13"/>
  <c r="A11589" i="13"/>
  <c r="J11588" i="13"/>
  <c r="F11588" i="13"/>
  <c r="A11588" i="13"/>
  <c r="J11587" i="13"/>
  <c r="F11587" i="13"/>
  <c r="A11587" i="13"/>
  <c r="F11586" i="13"/>
  <c r="A11586" i="13"/>
  <c r="J11585" i="13"/>
  <c r="F11585" i="13"/>
  <c r="A11585" i="13"/>
  <c r="F11584" i="13"/>
  <c r="A11584" i="13"/>
  <c r="J11583" i="13"/>
  <c r="F11583" i="13"/>
  <c r="A11583" i="13"/>
  <c r="J11582" i="13"/>
  <c r="F11582" i="13"/>
  <c r="A11582" i="13"/>
  <c r="J11581" i="13"/>
  <c r="F11581" i="13"/>
  <c r="A11581" i="13"/>
  <c r="F11580" i="13"/>
  <c r="A11580" i="13"/>
  <c r="J11579" i="13"/>
  <c r="F11579" i="13"/>
  <c r="J11578" i="13"/>
  <c r="F11578" i="13"/>
  <c r="A11578" i="13"/>
  <c r="J11577" i="13"/>
  <c r="F11577" i="13"/>
  <c r="J11576" i="13"/>
  <c r="F11576" i="13"/>
  <c r="A11576" i="13"/>
  <c r="J11575" i="13"/>
  <c r="F11575" i="13"/>
  <c r="A11575" i="13"/>
  <c r="J11574" i="13"/>
  <c r="F11574" i="13"/>
  <c r="A11574" i="13"/>
  <c r="F11573" i="13"/>
  <c r="A11573" i="13"/>
  <c r="J11572" i="13"/>
  <c r="F11572" i="13"/>
  <c r="A11572" i="13"/>
  <c r="F11571" i="13"/>
  <c r="A11571" i="13"/>
  <c r="J11570" i="13"/>
  <c r="F11570" i="13"/>
  <c r="J11569" i="13"/>
  <c r="F11569" i="13"/>
  <c r="A11569" i="13"/>
  <c r="F11568" i="13"/>
  <c r="A11568" i="13"/>
  <c r="F11567" i="13"/>
  <c r="A11567" i="13"/>
  <c r="F11566" i="13"/>
  <c r="A11566" i="13"/>
  <c r="F11565" i="13"/>
  <c r="A11565" i="13"/>
  <c r="F11564" i="13"/>
  <c r="A11564" i="13"/>
  <c r="J11563" i="13"/>
  <c r="F11563" i="13"/>
  <c r="A11563" i="13"/>
  <c r="J11562" i="13"/>
  <c r="F11562" i="13"/>
  <c r="A11562" i="13"/>
  <c r="J11561" i="13"/>
  <c r="F11561" i="13"/>
  <c r="A11561" i="13"/>
  <c r="J11560" i="13"/>
  <c r="F11560" i="13"/>
  <c r="A11560" i="13"/>
  <c r="J11559" i="13"/>
  <c r="F11559" i="13"/>
  <c r="A11559" i="13"/>
  <c r="F11558" i="13"/>
  <c r="A11558" i="13"/>
  <c r="F11557" i="13"/>
  <c r="A11557" i="13"/>
  <c r="J11556" i="13"/>
  <c r="F11556" i="13"/>
  <c r="A11556" i="13"/>
  <c r="J11555" i="13"/>
  <c r="F11555" i="13"/>
  <c r="A11555" i="13"/>
  <c r="F11554" i="13"/>
  <c r="A11554" i="13"/>
  <c r="F11553" i="13"/>
  <c r="A11553" i="13"/>
  <c r="F11552" i="13"/>
  <c r="A11552" i="13"/>
  <c r="J11551" i="13"/>
  <c r="F11551" i="13"/>
  <c r="A11551" i="13"/>
  <c r="J11550" i="13"/>
  <c r="F11550" i="13"/>
  <c r="A11550" i="13"/>
  <c r="J11549" i="13"/>
  <c r="F11549" i="13"/>
  <c r="A11549" i="13"/>
  <c r="F11548" i="13"/>
  <c r="A11548" i="13"/>
  <c r="F11547" i="13"/>
  <c r="A11547" i="13"/>
  <c r="J11546" i="13"/>
  <c r="F11546" i="13"/>
  <c r="A11546" i="13"/>
  <c r="F11545" i="13"/>
  <c r="A11545" i="13"/>
  <c r="F11544" i="13"/>
  <c r="A11544" i="13"/>
  <c r="F11543" i="13"/>
  <c r="A11543" i="13"/>
  <c r="J11542" i="13"/>
  <c r="F11542" i="13"/>
  <c r="A11542" i="13"/>
  <c r="J11541" i="13"/>
  <c r="F11541" i="13"/>
  <c r="A11541" i="13"/>
  <c r="J11540" i="13"/>
  <c r="F11540" i="13"/>
  <c r="A11540" i="13"/>
  <c r="F11539" i="13"/>
  <c r="A11539" i="13"/>
  <c r="F11538" i="13"/>
  <c r="A11538" i="13"/>
  <c r="F11537" i="13"/>
  <c r="A11537" i="13"/>
  <c r="J11536" i="13"/>
  <c r="F11536" i="13"/>
  <c r="A11536" i="13"/>
  <c r="J11535" i="13"/>
  <c r="F11535" i="13"/>
  <c r="A11535" i="13"/>
  <c r="F11534" i="13"/>
  <c r="A11534" i="13"/>
  <c r="J11533" i="13"/>
  <c r="F11533" i="13"/>
  <c r="A11533" i="13"/>
  <c r="J11532" i="13"/>
  <c r="F11532" i="13"/>
  <c r="A11532" i="13"/>
  <c r="F11531" i="13"/>
  <c r="A11531" i="13"/>
  <c r="F11530" i="13"/>
  <c r="A11530" i="13"/>
  <c r="J11529" i="13"/>
  <c r="F11529" i="13"/>
  <c r="A11529" i="13"/>
  <c r="J11528" i="13"/>
  <c r="F11528" i="13"/>
  <c r="A11528" i="13"/>
  <c r="F11527" i="13"/>
  <c r="A11527" i="13"/>
  <c r="F11526" i="13"/>
  <c r="A11526" i="13"/>
  <c r="J11525" i="13"/>
  <c r="F11525" i="13"/>
  <c r="A11525" i="13"/>
  <c r="J11524" i="13"/>
  <c r="F11524" i="13"/>
  <c r="A11524" i="13"/>
  <c r="J11523" i="13"/>
  <c r="F11523" i="13"/>
  <c r="A11523" i="13"/>
  <c r="J11522" i="13"/>
  <c r="F11522" i="13"/>
  <c r="A11522" i="13"/>
  <c r="J11521" i="13"/>
  <c r="F11521" i="13"/>
  <c r="A11521" i="13"/>
  <c r="F11520" i="13"/>
  <c r="A11520" i="13"/>
  <c r="F11519" i="13"/>
  <c r="A11519" i="13"/>
  <c r="F11518" i="13"/>
  <c r="A11518" i="13"/>
  <c r="F11517" i="13"/>
  <c r="A11517" i="13"/>
  <c r="F11516" i="13"/>
  <c r="A11516" i="13"/>
  <c r="F11515" i="13"/>
  <c r="A11515" i="13"/>
  <c r="F11514" i="13"/>
  <c r="A11514" i="13"/>
  <c r="F11513" i="13"/>
  <c r="A11513" i="13"/>
  <c r="F11512" i="13"/>
  <c r="A11512" i="13"/>
  <c r="F11511" i="13"/>
  <c r="A11511" i="13"/>
  <c r="F11510" i="13"/>
  <c r="A11510" i="13"/>
  <c r="F11509" i="13"/>
  <c r="A11509" i="13"/>
  <c r="F11508" i="13"/>
  <c r="A11508" i="13"/>
  <c r="F11507" i="13"/>
  <c r="A11507" i="13"/>
  <c r="J11506" i="13"/>
  <c r="F11506" i="13"/>
  <c r="A11506" i="13"/>
  <c r="J11505" i="13"/>
  <c r="F11505" i="13"/>
  <c r="A11505" i="13"/>
  <c r="F11504" i="13"/>
  <c r="A11504" i="13"/>
  <c r="F11503" i="13"/>
  <c r="A11503" i="13"/>
  <c r="J11502" i="13"/>
  <c r="F11502" i="13"/>
  <c r="A11502" i="13"/>
  <c r="J11501" i="13"/>
  <c r="F11501" i="13"/>
  <c r="A11501" i="13"/>
  <c r="J11500" i="13"/>
  <c r="F11500" i="13"/>
  <c r="A11500" i="13"/>
  <c r="F11499" i="13"/>
  <c r="A11499" i="13"/>
  <c r="F11498" i="13"/>
  <c r="A11498" i="13"/>
  <c r="J11497" i="13"/>
  <c r="F11497" i="13"/>
  <c r="A11497" i="13"/>
  <c r="F11496" i="13"/>
  <c r="A11496" i="13"/>
  <c r="J11495" i="13"/>
  <c r="F11495" i="13"/>
  <c r="A11495" i="13"/>
  <c r="J11494" i="13"/>
  <c r="F11494" i="13"/>
  <c r="A11494" i="13"/>
  <c r="F11493" i="13"/>
  <c r="A11493" i="13"/>
  <c r="F11492" i="13"/>
  <c r="A11492" i="13"/>
  <c r="J11491" i="13"/>
  <c r="F11491" i="13"/>
  <c r="A11491" i="13"/>
  <c r="F11490" i="13"/>
  <c r="A11490" i="13"/>
  <c r="F11489" i="13"/>
  <c r="A11489" i="13"/>
  <c r="F11488" i="13"/>
  <c r="A11488" i="13"/>
  <c r="F11487" i="13"/>
  <c r="A11487" i="13"/>
  <c r="F11486" i="13"/>
  <c r="A11486" i="13"/>
  <c r="F11485" i="13"/>
  <c r="A11485" i="13"/>
  <c r="F11484" i="13"/>
  <c r="A11484" i="13"/>
  <c r="F11483" i="13"/>
  <c r="A11483" i="13"/>
  <c r="F11482" i="13"/>
  <c r="A11482" i="13"/>
  <c r="J11481" i="13"/>
  <c r="F11481" i="13"/>
  <c r="A11481" i="13"/>
  <c r="J11480" i="13"/>
  <c r="F11480" i="13"/>
  <c r="A11480" i="13"/>
  <c r="J11479" i="13"/>
  <c r="F11479" i="13"/>
  <c r="A11479" i="13"/>
  <c r="J11478" i="13"/>
  <c r="F11478" i="13"/>
  <c r="A11478" i="13"/>
  <c r="J11477" i="13"/>
  <c r="F11477" i="13"/>
  <c r="A11477" i="13"/>
  <c r="F11476" i="13"/>
  <c r="A11476" i="13"/>
  <c r="F11475" i="13"/>
  <c r="A11475" i="13"/>
  <c r="F11474" i="13"/>
  <c r="A11474" i="13"/>
  <c r="F11473" i="13"/>
  <c r="A11473" i="13"/>
  <c r="F11472" i="13"/>
  <c r="A11472" i="13"/>
  <c r="F11471" i="13"/>
  <c r="A11471" i="13"/>
  <c r="F11470" i="13"/>
  <c r="A11470" i="13"/>
  <c r="F11469" i="13"/>
  <c r="A11469" i="13"/>
  <c r="F11468" i="13"/>
  <c r="A11468" i="13"/>
  <c r="F11467" i="13"/>
  <c r="A11467" i="13"/>
  <c r="F11466" i="13"/>
  <c r="A11466" i="13"/>
  <c r="F11465" i="13"/>
  <c r="A11465" i="13"/>
  <c r="F11464" i="13"/>
  <c r="A11464" i="13"/>
  <c r="F11463" i="13"/>
  <c r="A11463" i="13"/>
  <c r="F11462" i="13"/>
  <c r="A11462" i="13"/>
  <c r="F11461" i="13"/>
  <c r="A11461" i="13"/>
  <c r="F11460" i="13"/>
  <c r="A11460" i="13"/>
  <c r="F11459" i="13"/>
  <c r="A11459" i="13"/>
  <c r="F11458" i="13"/>
  <c r="A11458" i="13"/>
  <c r="F11457" i="13"/>
  <c r="A11457" i="13"/>
  <c r="F11456" i="13"/>
  <c r="A11456" i="13"/>
  <c r="F11455" i="13"/>
  <c r="A11455" i="13"/>
  <c r="F11454" i="13"/>
  <c r="A11454" i="13"/>
  <c r="F11453" i="13"/>
  <c r="A11453" i="13"/>
  <c r="F11452" i="13"/>
  <c r="A11452" i="13"/>
  <c r="F11451" i="13"/>
  <c r="A11451" i="13"/>
  <c r="J11450" i="13"/>
  <c r="F11450" i="13"/>
  <c r="A11450" i="13"/>
  <c r="J11449" i="13"/>
  <c r="F11449" i="13"/>
  <c r="A11449" i="13"/>
  <c r="F11448" i="13"/>
  <c r="A11448" i="13"/>
  <c r="F11447" i="13"/>
  <c r="A11447" i="13"/>
  <c r="F11446" i="13"/>
  <c r="A11446" i="13"/>
  <c r="J11445" i="13"/>
  <c r="F11445" i="13"/>
  <c r="A11445" i="13"/>
  <c r="J11444" i="13"/>
  <c r="F11444" i="13"/>
  <c r="A11444" i="13"/>
  <c r="J11443" i="13"/>
  <c r="F11443" i="13"/>
  <c r="A11443" i="13"/>
  <c r="F11442" i="13"/>
  <c r="A11442" i="13"/>
  <c r="F11441" i="13"/>
  <c r="A11441" i="13"/>
  <c r="F11440" i="13"/>
  <c r="A11440" i="13"/>
  <c r="J11439" i="13"/>
  <c r="F11439" i="13"/>
  <c r="A11439" i="13"/>
  <c r="F11438" i="13"/>
  <c r="A11438" i="13"/>
  <c r="J11437" i="13"/>
  <c r="F11437" i="13"/>
  <c r="A11437" i="13"/>
  <c r="J11436" i="13"/>
  <c r="F11436" i="13"/>
  <c r="A11436" i="13"/>
  <c r="J11435" i="13"/>
  <c r="F11435" i="13"/>
  <c r="A11435" i="13"/>
  <c r="J11434" i="13"/>
  <c r="F11434" i="13"/>
  <c r="A11434" i="13"/>
  <c r="J11433" i="13"/>
  <c r="F11433" i="13"/>
  <c r="A11433" i="13"/>
  <c r="F11432" i="13"/>
  <c r="A11432" i="13"/>
  <c r="J11431" i="13"/>
  <c r="F11431" i="13"/>
  <c r="A11431" i="13"/>
  <c r="J11430" i="13"/>
  <c r="F11430" i="13"/>
  <c r="A11430" i="13"/>
  <c r="J11429" i="13"/>
  <c r="F11429" i="13"/>
  <c r="A11429" i="13"/>
  <c r="F11428" i="13"/>
  <c r="A11428" i="13"/>
  <c r="J11427" i="13"/>
  <c r="F11427" i="13"/>
  <c r="A11427" i="13"/>
  <c r="J11426" i="13"/>
  <c r="F11426" i="13"/>
  <c r="A11426" i="13"/>
  <c r="J11425" i="13"/>
  <c r="F11425" i="13"/>
  <c r="A11425" i="13"/>
  <c r="J11424" i="13"/>
  <c r="F11424" i="13"/>
  <c r="A11424" i="13"/>
  <c r="F11423" i="13"/>
  <c r="A11423" i="13"/>
  <c r="J11422" i="13"/>
  <c r="F11422" i="13"/>
  <c r="A11422" i="13"/>
  <c r="J11421" i="13"/>
  <c r="F11421" i="13"/>
  <c r="A11421" i="13"/>
  <c r="J11420" i="13"/>
  <c r="F11420" i="13"/>
  <c r="A11420" i="13"/>
  <c r="J11419" i="13"/>
  <c r="F11419" i="13"/>
  <c r="A11419" i="13"/>
  <c r="F11418" i="13"/>
  <c r="A11418" i="13"/>
  <c r="J11417" i="13"/>
  <c r="F11417" i="13"/>
  <c r="A11417" i="13"/>
  <c r="J11416" i="13"/>
  <c r="F11416" i="13"/>
  <c r="A11416" i="13"/>
  <c r="J11415" i="13"/>
  <c r="F11415" i="13"/>
  <c r="A11415" i="13"/>
  <c r="F11414" i="13"/>
  <c r="A11414" i="13"/>
  <c r="J11413" i="13"/>
  <c r="F11413" i="13"/>
  <c r="A11413" i="13"/>
  <c r="J11412" i="13"/>
  <c r="F11412" i="13"/>
  <c r="A11412" i="13"/>
  <c r="J11411" i="13"/>
  <c r="F11411" i="13"/>
  <c r="A11411" i="13"/>
  <c r="J11410" i="13"/>
  <c r="F11410" i="13"/>
  <c r="A11410" i="13"/>
  <c r="J11409" i="13"/>
  <c r="F11409" i="13"/>
  <c r="A11409" i="13"/>
  <c r="J11408" i="13"/>
  <c r="F11408" i="13"/>
  <c r="A11408" i="13"/>
  <c r="F11407" i="13"/>
  <c r="A11407" i="13"/>
  <c r="F11406" i="13"/>
  <c r="A11406" i="13"/>
  <c r="F11405" i="13"/>
  <c r="A11405" i="13"/>
  <c r="F11404" i="13"/>
  <c r="A11404" i="13"/>
  <c r="F11403" i="13"/>
  <c r="A11403" i="13"/>
  <c r="F11402" i="13"/>
  <c r="A11402" i="13"/>
  <c r="F11401" i="13"/>
  <c r="A11401" i="13"/>
  <c r="J11400" i="13"/>
  <c r="F11400" i="13"/>
  <c r="A11400" i="13"/>
  <c r="J11399" i="13"/>
  <c r="F11399" i="13"/>
  <c r="A11399" i="13"/>
  <c r="F11398" i="13"/>
  <c r="A11398" i="13"/>
  <c r="F11397" i="13"/>
  <c r="A11397" i="13"/>
  <c r="J11396" i="13"/>
  <c r="F11396" i="13"/>
  <c r="A11396" i="13"/>
  <c r="J11395" i="13"/>
  <c r="F11395" i="13"/>
  <c r="A11395" i="13"/>
  <c r="J11394" i="13"/>
  <c r="F11394" i="13"/>
  <c r="A11394" i="13"/>
  <c r="J11393" i="13"/>
  <c r="F11393" i="13"/>
  <c r="A11393" i="13"/>
  <c r="J11392" i="13"/>
  <c r="F11392" i="13"/>
  <c r="A11392" i="13"/>
  <c r="J11391" i="13"/>
  <c r="F11391" i="13"/>
  <c r="A11391" i="13"/>
  <c r="J11390" i="13"/>
  <c r="F11390" i="13"/>
  <c r="A11390" i="13"/>
  <c r="J11389" i="13"/>
  <c r="F11389" i="13"/>
  <c r="A11389" i="13"/>
  <c r="J11388" i="13"/>
  <c r="F11388" i="13"/>
  <c r="A11388" i="13"/>
  <c r="J11387" i="13"/>
  <c r="F11387" i="13"/>
  <c r="A11387" i="13"/>
  <c r="J11386" i="13"/>
  <c r="F11386" i="13"/>
  <c r="A11386" i="13"/>
  <c r="J11385" i="13"/>
  <c r="F11385" i="13"/>
  <c r="A11385" i="13"/>
  <c r="F11384" i="13"/>
  <c r="A11384" i="13"/>
  <c r="J11383" i="13"/>
  <c r="F11383" i="13"/>
  <c r="A11383" i="13"/>
  <c r="J11382" i="13"/>
  <c r="F11382" i="13"/>
  <c r="J11381" i="13"/>
  <c r="F11381" i="13"/>
  <c r="F11380" i="13"/>
  <c r="A11380" i="13"/>
  <c r="J11379" i="13"/>
  <c r="F11379" i="13"/>
  <c r="A11379" i="13"/>
  <c r="J11378" i="13"/>
  <c r="F11378" i="13"/>
  <c r="A11378" i="13"/>
  <c r="F11377" i="13"/>
  <c r="A11377" i="13"/>
  <c r="F11376" i="13"/>
  <c r="A11376" i="13"/>
  <c r="J11375" i="13"/>
  <c r="F11375" i="13"/>
  <c r="A11375" i="13"/>
  <c r="J11374" i="13"/>
  <c r="F11374" i="13"/>
  <c r="A11374" i="13"/>
  <c r="J11373" i="13"/>
  <c r="F11373" i="13"/>
  <c r="A11373" i="13"/>
  <c r="F11372" i="13"/>
  <c r="A11372" i="13"/>
  <c r="F11371" i="13"/>
  <c r="A11371" i="13"/>
  <c r="J11370" i="13"/>
  <c r="F11370" i="13"/>
  <c r="A11370" i="13"/>
  <c r="J11369" i="13"/>
  <c r="F11369" i="13"/>
  <c r="A11369" i="13"/>
  <c r="F11368" i="13"/>
  <c r="A11368" i="13"/>
  <c r="J11367" i="13"/>
  <c r="F11367" i="13"/>
  <c r="A11367" i="13"/>
  <c r="J11366" i="13"/>
  <c r="F11366" i="13"/>
  <c r="A11366" i="13"/>
  <c r="J11365" i="13"/>
  <c r="F11365" i="13"/>
  <c r="A11365" i="13"/>
  <c r="J11364" i="13"/>
  <c r="F11364" i="13"/>
  <c r="A11364" i="13"/>
  <c r="F11363" i="13"/>
  <c r="A11363" i="13"/>
  <c r="J11362" i="13"/>
  <c r="F11362" i="13"/>
  <c r="F11361" i="13"/>
  <c r="A11361" i="13"/>
  <c r="J11360" i="13"/>
  <c r="F11360" i="13"/>
  <c r="A11360" i="13"/>
  <c r="J11359" i="13"/>
  <c r="F11359" i="13"/>
  <c r="A11359" i="13"/>
  <c r="F11358" i="13"/>
  <c r="A11358" i="13"/>
  <c r="F11357" i="13"/>
  <c r="A11357" i="13"/>
  <c r="F11356" i="13"/>
  <c r="A11356" i="13"/>
  <c r="J11355" i="13"/>
  <c r="F11355" i="13"/>
  <c r="A11355" i="13"/>
  <c r="J11354" i="13"/>
  <c r="F11354" i="13"/>
  <c r="A11354" i="13"/>
  <c r="J11353" i="13"/>
  <c r="F11353" i="13"/>
  <c r="A11353" i="13"/>
  <c r="F11352" i="13"/>
  <c r="A11352" i="13"/>
  <c r="J11351" i="13"/>
  <c r="F11351" i="13"/>
  <c r="A11351" i="13"/>
  <c r="J11350" i="13"/>
  <c r="F11350" i="13"/>
  <c r="A11350" i="13"/>
  <c r="J11349" i="13"/>
  <c r="F11349" i="13"/>
  <c r="A11349" i="13"/>
  <c r="J11348" i="13"/>
  <c r="F11348" i="13"/>
  <c r="A11348" i="13"/>
  <c r="J11347" i="13"/>
  <c r="F11347" i="13"/>
  <c r="A11347" i="13"/>
  <c r="J11346" i="13"/>
  <c r="F11346" i="13"/>
  <c r="A11346" i="13"/>
  <c r="J11345" i="13"/>
  <c r="F11345" i="13"/>
  <c r="A11345" i="13"/>
  <c r="J11344" i="13"/>
  <c r="F11344" i="13"/>
  <c r="A11344" i="13"/>
  <c r="F11343" i="13"/>
  <c r="A11343" i="13"/>
  <c r="F11342" i="13"/>
  <c r="A11342" i="13"/>
  <c r="J11341" i="13"/>
  <c r="F11341" i="13"/>
  <c r="A11341" i="13"/>
  <c r="F11340" i="13"/>
  <c r="A11340" i="13"/>
  <c r="F11339" i="13"/>
  <c r="A11339" i="13"/>
  <c r="J11338" i="13"/>
  <c r="F11338" i="13"/>
  <c r="A11338" i="13"/>
  <c r="J11337" i="13"/>
  <c r="F11337" i="13"/>
  <c r="A11337" i="13"/>
  <c r="J11336" i="13"/>
  <c r="F11336" i="13"/>
  <c r="A11336" i="13"/>
  <c r="F11335" i="13"/>
  <c r="A11335" i="13"/>
  <c r="F11334" i="13"/>
  <c r="A11334" i="13"/>
  <c r="F11333" i="13"/>
  <c r="A11333" i="13"/>
  <c r="J11332" i="13"/>
  <c r="F11332" i="13"/>
  <c r="A11332" i="13"/>
  <c r="J11331" i="13"/>
  <c r="F11331" i="13"/>
  <c r="A11331" i="13"/>
  <c r="J11330" i="13"/>
  <c r="F11330" i="13"/>
  <c r="A11330" i="13"/>
  <c r="F11329" i="13"/>
  <c r="A11329" i="13"/>
  <c r="J11328" i="13"/>
  <c r="F11328" i="13"/>
  <c r="A11328" i="13"/>
  <c r="J11327" i="13"/>
  <c r="F11327" i="13"/>
  <c r="A11327" i="13"/>
  <c r="J11326" i="13"/>
  <c r="F11326" i="13"/>
  <c r="A11326" i="13"/>
  <c r="J11325" i="13"/>
  <c r="F11325" i="13"/>
  <c r="A11325" i="13"/>
  <c r="J11324" i="13"/>
  <c r="F11324" i="13"/>
  <c r="A11324" i="13"/>
  <c r="J11323" i="13"/>
  <c r="F11323" i="13"/>
  <c r="A11323" i="13"/>
  <c r="J11322" i="13"/>
  <c r="F11322" i="13"/>
  <c r="A11322" i="13"/>
  <c r="J11321" i="13"/>
  <c r="F11321" i="13"/>
  <c r="A11321" i="13"/>
  <c r="J11320" i="13"/>
  <c r="F11320" i="13"/>
  <c r="A11320" i="13"/>
  <c r="J11319" i="13"/>
  <c r="F11319" i="13"/>
  <c r="A11319" i="13"/>
  <c r="J11318" i="13"/>
  <c r="F11318" i="13"/>
  <c r="A11318" i="13"/>
  <c r="F11317" i="13"/>
  <c r="A11317" i="13"/>
  <c r="F11316" i="13"/>
  <c r="A11316" i="13"/>
  <c r="J11315" i="13"/>
  <c r="F11315" i="13"/>
  <c r="A11315" i="13"/>
  <c r="J11314" i="13"/>
  <c r="F11314" i="13"/>
  <c r="A11314" i="13"/>
  <c r="J11313" i="13"/>
  <c r="F11313" i="13"/>
  <c r="A11313" i="13"/>
  <c r="J11312" i="13"/>
  <c r="F11312" i="13"/>
  <c r="A11312" i="13"/>
  <c r="F11311" i="13"/>
  <c r="A11311" i="13"/>
  <c r="F11310" i="13"/>
  <c r="A11310" i="13"/>
  <c r="F11309" i="13"/>
  <c r="A11309" i="13"/>
  <c r="F11308" i="13"/>
  <c r="A11308" i="13"/>
  <c r="F11307" i="13"/>
  <c r="A11307" i="13"/>
  <c r="F11306" i="13"/>
  <c r="A11306" i="13"/>
  <c r="J11305" i="13"/>
  <c r="F11305" i="13"/>
  <c r="A11305" i="13"/>
  <c r="J11304" i="13"/>
  <c r="F11304" i="13"/>
  <c r="A11304" i="13"/>
  <c r="J11303" i="13"/>
  <c r="F11303" i="13"/>
  <c r="A11303" i="13"/>
  <c r="J11302" i="13"/>
  <c r="F11302" i="13"/>
  <c r="A11302" i="13"/>
  <c r="J11301" i="13"/>
  <c r="F11301" i="13"/>
  <c r="A11301" i="13"/>
  <c r="F11300" i="13"/>
  <c r="A11300" i="13"/>
  <c r="J11299" i="13"/>
  <c r="F11299" i="13"/>
  <c r="A11299" i="13"/>
  <c r="J11298" i="13"/>
  <c r="F11298" i="13"/>
  <c r="A11298" i="13"/>
  <c r="J11297" i="13"/>
  <c r="F11297" i="13"/>
  <c r="A11297" i="13"/>
  <c r="F11296" i="13"/>
  <c r="A11296" i="13"/>
  <c r="F11295" i="13"/>
  <c r="A11295" i="13"/>
  <c r="J11294" i="13"/>
  <c r="F11294" i="13"/>
  <c r="A11294" i="13"/>
  <c r="J11293" i="13"/>
  <c r="F11293" i="13"/>
  <c r="A11293" i="13"/>
  <c r="J11292" i="13"/>
  <c r="F11292" i="13"/>
  <c r="A11292" i="13"/>
  <c r="F11291" i="13"/>
  <c r="A11291" i="13"/>
  <c r="J11290" i="13"/>
  <c r="F11290" i="13"/>
  <c r="A11290" i="13"/>
  <c r="J11289" i="13"/>
  <c r="F11289" i="13"/>
  <c r="A11289" i="13"/>
  <c r="J11288" i="13"/>
  <c r="F11288" i="13"/>
  <c r="A11288" i="13"/>
  <c r="J11287" i="13"/>
  <c r="F11287" i="13"/>
  <c r="A11287" i="13"/>
  <c r="J11286" i="13"/>
  <c r="F11286" i="13"/>
  <c r="A11286" i="13"/>
  <c r="J11285" i="13"/>
  <c r="F11285" i="13"/>
  <c r="A11285" i="13"/>
  <c r="J11284" i="13"/>
  <c r="F11284" i="13"/>
  <c r="A11284" i="13"/>
  <c r="F11283" i="13"/>
  <c r="A11283" i="13"/>
  <c r="J11282" i="13"/>
  <c r="F11282" i="13"/>
  <c r="A11282" i="13"/>
  <c r="F11281" i="13"/>
  <c r="A11281" i="13"/>
  <c r="F11280" i="13"/>
  <c r="A11280" i="13"/>
  <c r="F11279" i="13"/>
  <c r="A11279" i="13"/>
  <c r="J11278" i="13"/>
  <c r="F11278" i="13"/>
  <c r="A11278" i="13"/>
  <c r="J11277" i="13"/>
  <c r="F11277" i="13"/>
  <c r="A11277" i="13"/>
  <c r="J11276" i="13"/>
  <c r="F11276" i="13"/>
  <c r="A11276" i="13"/>
  <c r="J11275" i="13"/>
  <c r="F11275" i="13"/>
  <c r="A11275" i="13"/>
  <c r="J11274" i="13"/>
  <c r="F11274" i="13"/>
  <c r="A11274" i="13"/>
  <c r="J11273" i="13"/>
  <c r="F11273" i="13"/>
  <c r="A11273" i="13"/>
  <c r="F11272" i="13"/>
  <c r="A11272" i="13"/>
  <c r="F11271" i="13"/>
  <c r="A11271" i="13"/>
  <c r="J11270" i="13"/>
  <c r="F11270" i="13"/>
  <c r="A11270" i="13"/>
  <c r="F11269" i="13"/>
  <c r="A11269" i="13"/>
  <c r="J11268" i="13"/>
  <c r="F11268" i="13"/>
  <c r="A11268" i="13"/>
  <c r="J11267" i="13"/>
  <c r="F11267" i="13"/>
  <c r="A11267" i="13"/>
  <c r="J11266" i="13"/>
  <c r="F11266" i="13"/>
  <c r="A11266" i="13"/>
  <c r="J11265" i="13"/>
  <c r="F11265" i="13"/>
  <c r="A11265" i="13"/>
  <c r="J11264" i="13"/>
  <c r="F11264" i="13"/>
  <c r="A11264" i="13"/>
  <c r="J11263" i="13"/>
  <c r="F11263" i="13"/>
  <c r="A11263" i="13"/>
  <c r="J11262" i="13"/>
  <c r="F11262" i="13"/>
  <c r="A11262" i="13"/>
  <c r="F11261" i="13"/>
  <c r="A11261" i="13"/>
  <c r="J11260" i="13"/>
  <c r="F11260" i="13"/>
  <c r="A11260" i="13"/>
  <c r="J11259" i="13"/>
  <c r="F11259" i="13"/>
  <c r="A11259" i="13"/>
  <c r="J11258" i="13"/>
  <c r="F11258" i="13"/>
  <c r="A11258" i="13"/>
  <c r="F11257" i="13"/>
  <c r="A11257" i="13"/>
  <c r="F11256" i="13"/>
  <c r="A11256" i="13"/>
  <c r="F11255" i="13"/>
  <c r="A11255" i="13"/>
  <c r="F11254" i="13"/>
  <c r="A11254" i="13"/>
  <c r="J11253" i="13"/>
  <c r="F11253" i="13"/>
  <c r="A11253" i="13"/>
  <c r="J11252" i="13"/>
  <c r="F11252" i="13"/>
  <c r="A11252" i="13"/>
  <c r="F11251" i="13"/>
  <c r="A11251" i="13"/>
  <c r="F11250" i="13"/>
  <c r="A11250" i="13"/>
  <c r="F11249" i="13"/>
  <c r="A11249" i="13"/>
  <c r="J11248" i="13"/>
  <c r="F11248" i="13"/>
  <c r="A11248" i="13"/>
  <c r="J11247" i="13"/>
  <c r="F11247" i="13"/>
  <c r="A11247" i="13"/>
  <c r="J11246" i="13"/>
  <c r="F11246" i="13"/>
  <c r="A11246" i="13"/>
  <c r="F11245" i="13"/>
  <c r="A11245" i="13"/>
  <c r="F11244" i="13"/>
  <c r="A11244" i="13"/>
  <c r="J11243" i="13"/>
  <c r="F11243" i="13"/>
  <c r="A11243" i="13"/>
  <c r="J11242" i="13"/>
  <c r="F11242" i="13"/>
  <c r="A11242" i="13"/>
  <c r="F11241" i="13"/>
  <c r="A11241" i="13"/>
  <c r="J11240" i="13"/>
  <c r="F11240" i="13"/>
  <c r="A11240" i="13"/>
  <c r="J11239" i="13"/>
  <c r="F11239" i="13"/>
  <c r="A11239" i="13"/>
  <c r="J11238" i="13"/>
  <c r="F11238" i="13"/>
  <c r="A11238" i="13"/>
  <c r="J11237" i="13"/>
  <c r="F11237" i="13"/>
  <c r="A11237" i="13"/>
  <c r="J11236" i="13"/>
  <c r="F11236" i="13"/>
  <c r="A11236" i="13"/>
  <c r="J11235" i="13"/>
  <c r="F11235" i="13"/>
  <c r="A11235" i="13"/>
  <c r="J11234" i="13"/>
  <c r="F11234" i="13"/>
  <c r="A11234" i="13"/>
  <c r="J11233" i="13"/>
  <c r="F11233" i="13"/>
  <c r="A11233" i="13"/>
  <c r="J11232" i="13"/>
  <c r="F11232" i="13"/>
  <c r="A11232" i="13"/>
  <c r="J11231" i="13"/>
  <c r="F11231" i="13"/>
  <c r="A11231" i="13"/>
  <c r="J11230" i="13"/>
  <c r="F11230" i="13"/>
  <c r="A11230" i="13"/>
  <c r="J11229" i="13"/>
  <c r="F11229" i="13"/>
  <c r="A11229" i="13"/>
  <c r="F11228" i="13"/>
  <c r="A11228" i="13"/>
  <c r="J11227" i="13"/>
  <c r="F11227" i="13"/>
  <c r="A11227" i="13"/>
  <c r="J11226" i="13"/>
  <c r="F11226" i="13"/>
  <c r="A11226" i="13"/>
  <c r="J11225" i="13"/>
  <c r="F11225" i="13"/>
  <c r="A11225" i="13"/>
  <c r="J11224" i="13"/>
  <c r="F11224" i="13"/>
  <c r="A11224" i="13"/>
  <c r="J11223" i="13"/>
  <c r="F11223" i="13"/>
  <c r="A11223" i="13"/>
  <c r="F11222" i="13"/>
  <c r="A11222" i="13"/>
  <c r="F11221" i="13"/>
  <c r="A11221" i="13"/>
  <c r="J11220" i="13"/>
  <c r="F11220" i="13"/>
  <c r="A11220" i="13"/>
  <c r="J11219" i="13"/>
  <c r="F11219" i="13"/>
  <c r="A11219" i="13"/>
  <c r="F11218" i="13"/>
  <c r="A11218" i="13"/>
  <c r="F11217" i="13"/>
  <c r="A11217" i="13"/>
  <c r="F11216" i="13"/>
  <c r="A11216" i="13"/>
  <c r="F11215" i="13"/>
  <c r="A11215" i="13"/>
  <c r="F11214" i="13"/>
  <c r="A11214" i="13"/>
  <c r="J11213" i="13"/>
  <c r="F11213" i="13"/>
  <c r="A11213" i="13"/>
  <c r="J11212" i="13"/>
  <c r="F11212" i="13"/>
  <c r="A11212" i="13"/>
  <c r="J11211" i="13"/>
  <c r="F11211" i="13"/>
  <c r="A11211" i="13"/>
  <c r="J11210" i="13"/>
  <c r="F11210" i="13"/>
  <c r="A11210" i="13"/>
  <c r="F11209" i="13"/>
  <c r="A11209" i="13"/>
  <c r="F11208" i="13"/>
  <c r="A11208" i="13"/>
  <c r="J11207" i="13"/>
  <c r="F11207" i="13"/>
  <c r="A11207" i="13"/>
  <c r="J11206" i="13"/>
  <c r="F11206" i="13"/>
  <c r="A11206" i="13"/>
  <c r="F11205" i="13"/>
  <c r="A11205" i="13"/>
  <c r="F11204" i="13"/>
  <c r="A11204" i="13"/>
  <c r="F11203" i="13"/>
  <c r="A11203" i="13"/>
  <c r="F11202" i="13"/>
  <c r="A11202" i="13"/>
  <c r="F11201" i="13"/>
  <c r="A11201" i="13"/>
  <c r="F11200" i="13"/>
  <c r="A11200" i="13"/>
  <c r="F11199" i="13"/>
  <c r="A11199" i="13"/>
  <c r="F11198" i="13"/>
  <c r="A11198" i="13"/>
  <c r="F11197" i="13"/>
  <c r="A11197" i="13"/>
  <c r="F11196" i="13"/>
  <c r="A11196" i="13"/>
  <c r="F11195" i="13"/>
  <c r="A11195" i="13"/>
  <c r="J11194" i="13"/>
  <c r="F11194" i="13"/>
  <c r="A11194" i="13"/>
  <c r="J11193" i="13"/>
  <c r="F11193" i="13"/>
  <c r="A11193" i="13"/>
  <c r="J11192" i="13"/>
  <c r="F11192" i="13"/>
  <c r="A11192" i="13"/>
  <c r="J11191" i="13"/>
  <c r="F11191" i="13"/>
  <c r="A11191" i="13"/>
  <c r="F11190" i="13"/>
  <c r="A11190" i="13"/>
  <c r="J11189" i="13"/>
  <c r="F11189" i="13"/>
  <c r="A11189" i="13"/>
  <c r="J11188" i="13"/>
  <c r="F11188" i="13"/>
  <c r="A11188" i="13"/>
  <c r="J11187" i="13"/>
  <c r="F11187" i="13"/>
  <c r="A11187" i="13"/>
  <c r="F11186" i="13"/>
  <c r="A11186" i="13"/>
  <c r="J11185" i="13"/>
  <c r="F11185" i="13"/>
  <c r="A11185" i="13"/>
  <c r="J11184" i="13"/>
  <c r="F11184" i="13"/>
  <c r="A11184" i="13"/>
  <c r="J11183" i="13"/>
  <c r="F11183" i="13"/>
  <c r="A11183" i="13"/>
  <c r="F11182" i="13"/>
  <c r="A11182" i="13"/>
  <c r="F11181" i="13"/>
  <c r="A11181" i="13"/>
  <c r="F11180" i="13"/>
  <c r="A11180" i="13"/>
  <c r="J11179" i="13"/>
  <c r="F11179" i="13"/>
  <c r="A11179" i="13"/>
  <c r="F11178" i="13"/>
  <c r="A11178" i="13"/>
  <c r="J11177" i="13"/>
  <c r="F11177" i="13"/>
  <c r="A11177" i="13"/>
  <c r="J11176" i="13"/>
  <c r="F11176" i="13"/>
  <c r="A11176" i="13"/>
  <c r="J11175" i="13"/>
  <c r="F11175" i="13"/>
  <c r="A11175" i="13"/>
  <c r="J11174" i="13"/>
  <c r="F11174" i="13"/>
  <c r="A11174" i="13"/>
  <c r="J11173" i="13"/>
  <c r="F11173" i="13"/>
  <c r="A11173" i="13"/>
  <c r="F11172" i="13"/>
  <c r="A11172" i="13"/>
  <c r="J11171" i="13"/>
  <c r="F11171" i="13"/>
  <c r="A11171" i="13"/>
  <c r="J11170" i="13"/>
  <c r="F11170" i="13"/>
  <c r="A11170" i="13"/>
  <c r="J11169" i="13"/>
  <c r="F11169" i="13"/>
  <c r="A11169" i="13"/>
  <c r="J11168" i="13"/>
  <c r="F11168" i="13"/>
  <c r="A11168" i="13"/>
  <c r="J11167" i="13"/>
  <c r="F11167" i="13"/>
  <c r="A11167" i="13"/>
  <c r="F11166" i="13"/>
  <c r="A11166" i="13"/>
  <c r="J11165" i="13"/>
  <c r="F11165" i="13"/>
  <c r="A11165" i="13"/>
  <c r="J11164" i="13"/>
  <c r="F11164" i="13"/>
  <c r="A11164" i="13"/>
  <c r="J11163" i="13"/>
  <c r="F11163" i="13"/>
  <c r="A11163" i="13"/>
  <c r="J11162" i="13"/>
  <c r="F11162" i="13"/>
  <c r="A11162" i="13"/>
  <c r="J11161" i="13"/>
  <c r="F11161" i="13"/>
  <c r="A11161" i="13"/>
  <c r="J11160" i="13"/>
  <c r="F11160" i="13"/>
  <c r="A11160" i="13"/>
  <c r="J11159" i="13"/>
  <c r="F11159" i="13"/>
  <c r="A11159" i="13"/>
  <c r="F11158" i="13"/>
  <c r="A11158" i="13"/>
  <c r="F11157" i="13"/>
  <c r="A11157" i="13"/>
  <c r="J11156" i="13"/>
  <c r="F11156" i="13"/>
  <c r="A11156" i="13"/>
  <c r="J11155" i="13"/>
  <c r="F11155" i="13"/>
  <c r="A11155" i="13"/>
  <c r="J11154" i="13"/>
  <c r="F11154" i="13"/>
  <c r="A11154" i="13"/>
  <c r="J11153" i="13"/>
  <c r="F11153" i="13"/>
  <c r="A11153" i="13"/>
  <c r="J11152" i="13"/>
  <c r="F11152" i="13"/>
  <c r="A11152" i="13"/>
  <c r="J11151" i="13"/>
  <c r="F11151" i="13"/>
  <c r="A11151" i="13"/>
  <c r="J11150" i="13"/>
  <c r="F11150" i="13"/>
  <c r="A11150" i="13"/>
  <c r="F11149" i="13"/>
  <c r="A11149" i="13"/>
  <c r="J11148" i="13"/>
  <c r="F11148" i="13"/>
  <c r="A11148" i="13"/>
  <c r="J11147" i="13"/>
  <c r="F11147" i="13"/>
  <c r="A11147" i="13"/>
  <c r="F11146" i="13"/>
  <c r="A11146" i="13"/>
  <c r="F11145" i="13"/>
  <c r="A11145" i="13"/>
  <c r="J11144" i="13"/>
  <c r="F11144" i="13"/>
  <c r="A11144" i="13"/>
  <c r="J11143" i="13"/>
  <c r="F11143" i="13"/>
  <c r="A11143" i="13"/>
  <c r="J11142" i="13"/>
  <c r="F11142" i="13"/>
  <c r="A11142" i="13"/>
  <c r="J11141" i="13"/>
  <c r="F11141" i="13"/>
  <c r="A11141" i="13"/>
  <c r="F11140" i="13"/>
  <c r="A11140" i="13"/>
  <c r="J11139" i="13"/>
  <c r="F11139" i="13"/>
  <c r="A11139" i="13"/>
  <c r="J11138" i="13"/>
  <c r="F11138" i="13"/>
  <c r="A11138" i="13"/>
  <c r="J11137" i="13"/>
  <c r="F11137" i="13"/>
  <c r="A11137" i="13"/>
  <c r="J11136" i="13"/>
  <c r="F11136" i="13"/>
  <c r="A11136" i="13"/>
  <c r="J11135" i="13"/>
  <c r="F11135" i="13"/>
  <c r="A11135" i="13"/>
  <c r="J11134" i="13"/>
  <c r="F11134" i="13"/>
  <c r="A11134" i="13"/>
  <c r="J11133" i="13"/>
  <c r="F11133" i="13"/>
  <c r="A11133" i="13"/>
  <c r="J11132" i="13"/>
  <c r="F11132" i="13"/>
  <c r="A11132" i="13"/>
  <c r="J11131" i="13"/>
  <c r="F11131" i="13"/>
  <c r="A11131" i="13"/>
  <c r="F11130" i="13"/>
  <c r="A11130" i="13"/>
  <c r="F11129" i="13"/>
  <c r="A11129" i="13"/>
  <c r="F11128" i="13"/>
  <c r="A11128" i="13"/>
  <c r="J11127" i="13"/>
  <c r="F11127" i="13"/>
  <c r="A11127" i="13"/>
  <c r="J11126" i="13"/>
  <c r="F11126" i="13"/>
  <c r="A11126" i="13"/>
  <c r="J11125" i="13"/>
  <c r="F11125" i="13"/>
  <c r="A11125" i="13"/>
  <c r="J11124" i="13"/>
  <c r="F11124" i="13"/>
  <c r="A11124" i="13"/>
  <c r="J11123" i="13"/>
  <c r="F11123" i="13"/>
  <c r="A11123" i="13"/>
  <c r="J11122" i="13"/>
  <c r="F11122" i="13"/>
  <c r="A11122" i="13"/>
  <c r="F11121" i="13"/>
  <c r="A11121" i="13"/>
  <c r="J11120" i="13"/>
  <c r="F11120" i="13"/>
  <c r="A11120" i="13"/>
  <c r="J11119" i="13"/>
  <c r="F11119" i="13"/>
  <c r="A11119" i="13"/>
  <c r="J11118" i="13"/>
  <c r="F11118" i="13"/>
  <c r="A11118" i="13"/>
  <c r="F11117" i="13"/>
  <c r="A11117" i="13"/>
  <c r="J11116" i="13"/>
  <c r="F11116" i="13"/>
  <c r="A11116" i="13"/>
  <c r="J11115" i="13"/>
  <c r="F11115" i="13"/>
  <c r="A11115" i="13"/>
  <c r="J11114" i="13"/>
  <c r="F11114" i="13"/>
  <c r="A11114" i="13"/>
  <c r="J11113" i="13"/>
  <c r="F11113" i="13"/>
  <c r="A11113" i="13"/>
  <c r="F11112" i="13"/>
  <c r="A11112" i="13"/>
  <c r="J11111" i="13"/>
  <c r="F11111" i="13"/>
  <c r="A11111" i="13"/>
  <c r="J11110" i="13"/>
  <c r="F11110" i="13"/>
  <c r="A11110" i="13"/>
  <c r="J11109" i="13"/>
  <c r="F11109" i="13"/>
  <c r="A11109" i="13"/>
  <c r="J11108" i="13"/>
  <c r="F11108" i="13"/>
  <c r="A11108" i="13"/>
  <c r="J11107" i="13"/>
  <c r="F11107" i="13"/>
  <c r="A11107" i="13"/>
  <c r="F11106" i="13"/>
  <c r="A11106" i="13"/>
  <c r="J11105" i="13"/>
  <c r="F11105" i="13"/>
  <c r="A11105" i="13"/>
  <c r="J11104" i="13"/>
  <c r="F11104" i="13"/>
  <c r="A11104" i="13"/>
  <c r="F11103" i="13"/>
  <c r="A11103" i="13"/>
  <c r="F11102" i="13"/>
  <c r="A11102" i="13"/>
  <c r="F11101" i="13"/>
  <c r="A11101" i="13"/>
  <c r="F11100" i="13"/>
  <c r="A11100" i="13"/>
  <c r="F11099" i="13"/>
  <c r="A11099" i="13"/>
  <c r="J11098" i="13"/>
  <c r="F11098" i="13"/>
  <c r="A11098" i="13"/>
  <c r="F11097" i="13"/>
  <c r="A11097" i="13"/>
  <c r="J11096" i="13"/>
  <c r="F11096" i="13"/>
  <c r="A11096" i="13"/>
  <c r="J11095" i="13"/>
  <c r="F11095" i="13"/>
  <c r="A11095" i="13"/>
  <c r="J11094" i="13"/>
  <c r="F11094" i="13"/>
  <c r="A11094" i="13"/>
  <c r="J11093" i="13"/>
  <c r="F11093" i="13"/>
  <c r="A11093" i="13"/>
  <c r="J11092" i="13"/>
  <c r="F11092" i="13"/>
  <c r="A11092" i="13"/>
  <c r="F11091" i="13"/>
  <c r="A11091" i="13"/>
  <c r="J11090" i="13"/>
  <c r="F11090" i="13"/>
  <c r="A11090" i="13"/>
  <c r="J11089" i="13"/>
  <c r="F11089" i="13"/>
  <c r="A11089" i="13"/>
  <c r="J11088" i="13"/>
  <c r="F11088" i="13"/>
  <c r="A11088" i="13"/>
  <c r="J11087" i="13"/>
  <c r="F11087" i="13"/>
  <c r="A11087" i="13"/>
  <c r="J11086" i="13"/>
  <c r="F11086" i="13"/>
  <c r="A11086" i="13"/>
  <c r="F11085" i="13"/>
  <c r="A11085" i="13"/>
  <c r="J11084" i="13"/>
  <c r="F11084" i="13"/>
  <c r="A11084" i="13"/>
  <c r="J11083" i="13"/>
  <c r="F11083" i="13"/>
  <c r="A11083" i="13"/>
  <c r="J11082" i="13"/>
  <c r="F11082" i="13"/>
  <c r="A11082" i="13"/>
  <c r="J11081" i="13"/>
  <c r="F11081" i="13"/>
  <c r="A11081" i="13"/>
  <c r="J11080" i="13"/>
  <c r="F11080" i="13"/>
  <c r="A11080" i="13"/>
  <c r="F11079" i="13"/>
  <c r="A11079" i="13"/>
  <c r="J11078" i="13"/>
  <c r="F11078" i="13"/>
  <c r="A11078" i="13"/>
  <c r="J11077" i="13"/>
  <c r="F11077" i="13"/>
  <c r="A11077" i="13"/>
  <c r="J11076" i="13"/>
  <c r="F11076" i="13"/>
  <c r="A11076" i="13"/>
  <c r="J11075" i="13"/>
  <c r="F11075" i="13"/>
  <c r="A11075" i="13"/>
  <c r="J11074" i="13"/>
  <c r="F11074" i="13"/>
  <c r="A11074" i="13"/>
  <c r="F11073" i="13"/>
  <c r="A11073" i="13"/>
  <c r="J11072" i="13"/>
  <c r="F11072" i="13"/>
  <c r="A11072" i="13"/>
  <c r="J11071" i="13"/>
  <c r="F11071" i="13"/>
  <c r="A11071" i="13"/>
  <c r="J11070" i="13"/>
  <c r="F11070" i="13"/>
  <c r="A11070" i="13"/>
  <c r="J11069" i="13"/>
  <c r="F11069" i="13"/>
  <c r="A11069" i="13"/>
  <c r="J11068" i="13"/>
  <c r="F11068" i="13"/>
  <c r="A11068" i="13"/>
  <c r="F11067" i="13"/>
  <c r="A11067" i="13"/>
  <c r="J11066" i="13"/>
  <c r="F11066" i="13"/>
  <c r="A11066" i="13"/>
  <c r="J11065" i="13"/>
  <c r="F11065" i="13"/>
  <c r="A11065" i="13"/>
  <c r="J11064" i="13"/>
  <c r="F11064" i="13"/>
  <c r="A11064" i="13"/>
  <c r="J11063" i="13"/>
  <c r="F11063" i="13"/>
  <c r="A11063" i="13"/>
  <c r="J11062" i="13"/>
  <c r="F11062" i="13"/>
  <c r="A11062" i="13"/>
  <c r="F11061" i="13"/>
  <c r="A11061" i="13"/>
  <c r="J11060" i="13"/>
  <c r="F11060" i="13"/>
  <c r="A11060" i="13"/>
  <c r="J11059" i="13"/>
  <c r="F11059" i="13"/>
  <c r="A11059" i="13"/>
  <c r="J11058" i="13"/>
  <c r="F11058" i="13"/>
  <c r="A11058" i="13"/>
  <c r="J11057" i="13"/>
  <c r="F11057" i="13"/>
  <c r="A11057" i="13"/>
  <c r="J11056" i="13"/>
  <c r="F11056" i="13"/>
  <c r="A11056" i="13"/>
  <c r="F11055" i="13"/>
  <c r="A11055" i="13"/>
  <c r="J11054" i="13"/>
  <c r="F11054" i="13"/>
  <c r="J11053" i="13"/>
  <c r="F11053" i="13"/>
  <c r="J11052" i="13"/>
  <c r="F11052" i="13"/>
  <c r="J11051" i="13"/>
  <c r="F11051" i="13"/>
  <c r="J11050" i="13"/>
  <c r="F11050" i="13"/>
  <c r="J11049" i="13"/>
  <c r="F11049" i="13"/>
  <c r="J11048" i="13"/>
  <c r="F11048" i="13"/>
  <c r="J11047" i="13"/>
  <c r="F11047" i="13"/>
  <c r="F11046" i="13"/>
  <c r="A11046" i="13"/>
  <c r="F11045" i="13"/>
  <c r="A11045" i="13"/>
  <c r="F11044" i="13"/>
  <c r="J11043" i="13"/>
  <c r="F11043" i="13"/>
  <c r="A11043" i="13"/>
  <c r="J11042" i="13"/>
  <c r="F11042" i="13"/>
  <c r="A11042" i="13"/>
  <c r="F11041" i="13"/>
  <c r="A11041" i="13"/>
  <c r="F11040" i="13"/>
  <c r="A11040" i="13"/>
  <c r="F11039" i="13"/>
  <c r="A11039" i="13"/>
  <c r="F11038" i="13"/>
  <c r="A11038" i="13"/>
  <c r="F11037" i="13"/>
  <c r="A11037" i="13"/>
  <c r="F11036" i="13"/>
  <c r="A11036" i="13"/>
  <c r="F11035" i="13"/>
  <c r="A11035" i="13"/>
  <c r="J11034" i="13"/>
  <c r="F11034" i="13"/>
  <c r="A11034" i="13"/>
  <c r="J11033" i="13"/>
  <c r="F11033" i="13"/>
  <c r="A11033" i="13"/>
  <c r="J11032" i="13"/>
  <c r="F11032" i="13"/>
  <c r="A11032" i="13"/>
  <c r="J11031" i="13"/>
  <c r="F11031" i="13"/>
  <c r="A11031" i="13"/>
  <c r="J11030" i="13"/>
  <c r="F11030" i="13"/>
  <c r="A11030" i="13"/>
  <c r="F11029" i="13"/>
  <c r="A11029" i="13"/>
  <c r="J11028" i="13"/>
  <c r="F11028" i="13"/>
  <c r="A11028" i="13"/>
  <c r="J11027" i="13"/>
  <c r="F11027" i="13"/>
  <c r="A11027" i="13"/>
  <c r="J11026" i="13"/>
  <c r="F11026" i="13"/>
  <c r="A11026" i="13"/>
  <c r="J11025" i="13"/>
  <c r="F11025" i="13"/>
  <c r="A11025" i="13"/>
  <c r="J11024" i="13"/>
  <c r="F11024" i="13"/>
  <c r="A11024" i="13"/>
  <c r="F11023" i="13"/>
  <c r="A11023" i="13"/>
  <c r="J11022" i="13"/>
  <c r="F11022" i="13"/>
  <c r="A11022" i="13"/>
  <c r="J11021" i="13"/>
  <c r="F11021" i="13"/>
  <c r="A11021" i="13"/>
  <c r="J11020" i="13"/>
  <c r="F11020" i="13"/>
  <c r="A11020" i="13"/>
  <c r="J11019" i="13"/>
  <c r="F11019" i="13"/>
  <c r="A11019" i="13"/>
  <c r="J11018" i="13"/>
  <c r="F11018" i="13"/>
  <c r="A11018" i="13"/>
  <c r="J11017" i="13"/>
  <c r="F11017" i="13"/>
  <c r="A11017" i="13"/>
  <c r="F11016" i="13"/>
  <c r="A11016" i="13"/>
  <c r="J11015" i="13"/>
  <c r="F11015" i="13"/>
  <c r="A11015" i="13"/>
  <c r="J11014" i="13"/>
  <c r="F11014" i="13"/>
  <c r="A11014" i="13"/>
  <c r="J11013" i="13"/>
  <c r="F11013" i="13"/>
  <c r="A11013" i="13"/>
  <c r="J11012" i="13"/>
  <c r="F11012" i="13"/>
  <c r="A11012" i="13"/>
  <c r="J11011" i="13"/>
  <c r="F11011" i="13"/>
  <c r="A11011" i="13"/>
  <c r="J11010" i="13"/>
  <c r="F11010" i="13"/>
  <c r="A11010" i="13"/>
  <c r="J11009" i="13"/>
  <c r="F11009" i="13"/>
  <c r="A11009" i="13"/>
  <c r="F11008" i="13"/>
  <c r="A11008" i="13"/>
  <c r="F11007" i="13"/>
  <c r="A11007" i="13"/>
  <c r="F11006" i="13"/>
  <c r="A11006" i="13"/>
  <c r="J11005" i="13"/>
  <c r="F11005" i="13"/>
  <c r="A11005" i="13"/>
  <c r="J11004" i="13"/>
  <c r="F11004" i="13"/>
  <c r="A11004" i="13"/>
  <c r="J11003" i="13"/>
  <c r="F11003" i="13"/>
  <c r="A11003" i="13"/>
  <c r="J11002" i="13"/>
  <c r="F11002" i="13"/>
  <c r="A11002" i="13"/>
  <c r="J11001" i="13"/>
  <c r="F11001" i="13"/>
  <c r="A11001" i="13"/>
  <c r="J11000" i="13"/>
  <c r="F11000" i="13"/>
  <c r="A11000" i="13"/>
  <c r="J10999" i="13"/>
  <c r="F10999" i="13"/>
  <c r="A10999" i="13"/>
  <c r="F10998" i="13"/>
  <c r="A10998" i="13"/>
  <c r="J10997" i="13"/>
  <c r="F10997" i="13"/>
  <c r="A10997" i="13"/>
  <c r="F10996" i="13"/>
  <c r="A10996" i="13"/>
  <c r="J10995" i="13"/>
  <c r="F10995" i="13"/>
  <c r="A10995" i="13"/>
  <c r="J10994" i="13"/>
  <c r="F10994" i="13"/>
  <c r="A10994" i="13"/>
  <c r="J10993" i="13"/>
  <c r="F10993" i="13"/>
  <c r="A10993" i="13"/>
  <c r="J10992" i="13"/>
  <c r="F10992" i="13"/>
  <c r="A10992" i="13"/>
  <c r="F10991" i="13"/>
  <c r="A10991" i="13"/>
  <c r="F10990" i="13"/>
  <c r="A10990" i="13"/>
  <c r="F10989" i="13"/>
  <c r="A10989" i="13"/>
  <c r="J10988" i="13"/>
  <c r="F10988" i="13"/>
  <c r="A10988" i="13"/>
  <c r="J10987" i="13"/>
  <c r="F10987" i="13"/>
  <c r="A10987" i="13"/>
  <c r="J10986" i="13"/>
  <c r="F10986" i="13"/>
  <c r="A10986" i="13"/>
  <c r="J10985" i="13"/>
  <c r="F10985" i="13"/>
  <c r="A10985" i="13"/>
  <c r="F10984" i="13"/>
  <c r="A10984" i="13"/>
  <c r="F10983" i="13"/>
  <c r="A10983" i="13"/>
  <c r="F10982" i="13"/>
  <c r="A10982" i="13"/>
  <c r="J10981" i="13"/>
  <c r="F10981" i="13"/>
  <c r="A10981" i="13"/>
  <c r="J10980" i="13"/>
  <c r="F10980" i="13"/>
  <c r="A10980" i="13"/>
  <c r="F10979" i="13"/>
  <c r="A10979" i="13"/>
  <c r="F10978" i="13"/>
  <c r="A10978" i="13"/>
  <c r="F10977" i="13"/>
  <c r="A10977" i="13"/>
  <c r="F10976" i="13"/>
  <c r="A10976" i="13"/>
  <c r="J10975" i="13"/>
  <c r="F10975" i="13"/>
  <c r="A10975" i="13"/>
  <c r="F10974" i="13"/>
  <c r="A10974" i="13"/>
  <c r="J10973" i="13"/>
  <c r="F10973" i="13"/>
  <c r="A10973" i="13"/>
  <c r="J10972" i="13"/>
  <c r="F10972" i="13"/>
  <c r="A10972" i="13"/>
  <c r="J10971" i="13"/>
  <c r="F10971" i="13"/>
  <c r="A10971" i="13"/>
  <c r="J10970" i="13"/>
  <c r="F10970" i="13"/>
  <c r="A10970" i="13"/>
  <c r="J10969" i="13"/>
  <c r="F10969" i="13"/>
  <c r="A10969" i="13"/>
  <c r="J10968" i="13"/>
  <c r="F10968" i="13"/>
  <c r="A10968" i="13"/>
  <c r="F10967" i="13"/>
  <c r="A10967" i="13"/>
  <c r="F10966" i="13"/>
  <c r="A10966" i="13"/>
  <c r="J10965" i="13"/>
  <c r="F10965" i="13"/>
  <c r="A10965" i="13"/>
  <c r="J10964" i="13"/>
  <c r="F10964" i="13"/>
  <c r="A10964" i="13"/>
  <c r="F10963" i="13"/>
  <c r="A10963" i="13"/>
  <c r="F10962" i="13"/>
  <c r="A10962" i="13"/>
  <c r="J10961" i="13"/>
  <c r="F10961" i="13"/>
  <c r="J10960" i="13"/>
  <c r="F10960" i="13"/>
  <c r="J10959" i="13"/>
  <c r="F10959" i="13"/>
  <c r="J10958" i="13"/>
  <c r="F10958" i="13"/>
  <c r="J10957" i="13"/>
  <c r="F10957" i="13"/>
  <c r="J10956" i="13"/>
  <c r="F10956" i="13"/>
  <c r="F10955" i="13"/>
  <c r="A10955" i="13"/>
  <c r="F10954" i="13"/>
  <c r="A10954" i="13"/>
  <c r="F10953" i="13"/>
  <c r="A10953" i="13"/>
  <c r="F10952" i="13"/>
  <c r="A10952" i="13"/>
  <c r="F10951" i="13"/>
  <c r="A10951" i="13"/>
  <c r="F10950" i="13"/>
  <c r="A10950" i="13"/>
  <c r="F10949" i="13"/>
  <c r="A10949" i="13"/>
  <c r="F10948" i="13"/>
  <c r="A10948" i="13"/>
  <c r="F10947" i="13"/>
  <c r="J10946" i="13"/>
  <c r="F10946" i="13"/>
  <c r="A10946" i="13"/>
  <c r="J10945" i="13"/>
  <c r="F10945" i="13"/>
  <c r="A10945" i="13"/>
  <c r="J10944" i="13"/>
  <c r="F10944" i="13"/>
  <c r="A10944" i="13"/>
  <c r="F10943" i="13"/>
  <c r="A10943" i="13"/>
  <c r="F10942" i="13"/>
  <c r="A10942" i="13"/>
  <c r="J10941" i="13"/>
  <c r="F10941" i="13"/>
  <c r="A10941" i="13"/>
  <c r="J10940" i="13"/>
  <c r="F10940" i="13"/>
  <c r="A10940" i="13"/>
  <c r="F10939" i="13"/>
  <c r="A10939" i="13"/>
  <c r="J10938" i="13"/>
  <c r="F10938" i="13"/>
  <c r="A10938" i="13"/>
  <c r="F10937" i="13"/>
  <c r="A10937" i="13"/>
  <c r="F10936" i="13"/>
  <c r="A10936" i="13"/>
  <c r="F10935" i="13"/>
  <c r="A10935" i="13"/>
  <c r="F10934" i="13"/>
  <c r="A10934" i="13"/>
  <c r="F10933" i="13"/>
  <c r="A10933" i="13"/>
  <c r="J10932" i="13"/>
  <c r="F10932" i="13"/>
  <c r="A10932" i="13"/>
  <c r="J10931" i="13"/>
  <c r="F10931" i="13"/>
  <c r="A10931" i="13"/>
  <c r="J10930" i="13"/>
  <c r="F10930" i="13"/>
  <c r="A10930" i="13"/>
  <c r="J10929" i="13"/>
  <c r="F10929" i="13"/>
  <c r="A10929" i="13"/>
  <c r="J10928" i="13"/>
  <c r="F10928" i="13"/>
  <c r="A10928" i="13"/>
  <c r="F10927" i="13"/>
  <c r="A10927" i="13"/>
  <c r="F10926" i="13"/>
  <c r="A10926" i="13"/>
  <c r="J10925" i="13"/>
  <c r="F10925" i="13"/>
  <c r="A10925" i="13"/>
  <c r="F10924" i="13"/>
  <c r="A10924" i="13"/>
  <c r="J10923" i="13"/>
  <c r="F10923" i="13"/>
  <c r="A10923" i="13"/>
  <c r="J10922" i="13"/>
  <c r="F10922" i="13"/>
  <c r="A10922" i="13"/>
  <c r="J10921" i="13"/>
  <c r="F10921" i="13"/>
  <c r="A10921" i="13"/>
  <c r="J10920" i="13"/>
  <c r="F10920" i="13"/>
  <c r="A10920" i="13"/>
  <c r="J10919" i="13"/>
  <c r="F10919" i="13"/>
  <c r="A10919" i="13"/>
  <c r="F10918" i="13"/>
  <c r="A10918" i="13"/>
  <c r="J10917" i="13"/>
  <c r="F10917" i="13"/>
  <c r="A10917" i="13"/>
  <c r="J10916" i="13"/>
  <c r="F10916" i="13"/>
  <c r="A10916" i="13"/>
  <c r="J10915" i="13"/>
  <c r="F10915" i="13"/>
  <c r="A10915" i="13"/>
  <c r="J10914" i="13"/>
  <c r="F10914" i="13"/>
  <c r="A10914" i="13"/>
  <c r="J10913" i="13"/>
  <c r="F10913" i="13"/>
  <c r="A10913" i="13"/>
  <c r="F10912" i="13"/>
  <c r="A10912" i="13"/>
  <c r="F10911" i="13"/>
  <c r="A10911" i="13"/>
  <c r="J10910" i="13"/>
  <c r="F10910" i="13"/>
  <c r="A10910" i="13"/>
  <c r="J10909" i="13"/>
  <c r="F10909" i="13"/>
  <c r="A10909" i="13"/>
  <c r="J10908" i="13"/>
  <c r="F10908" i="13"/>
  <c r="A10908" i="13"/>
  <c r="J10907" i="13"/>
  <c r="F10907" i="13"/>
  <c r="A10907" i="13"/>
  <c r="J10906" i="13"/>
  <c r="F10906" i="13"/>
  <c r="A10906" i="13"/>
  <c r="J10905" i="13"/>
  <c r="F10905" i="13"/>
  <c r="A10905" i="13"/>
  <c r="F10904" i="13"/>
  <c r="A10904" i="13"/>
  <c r="J10903" i="13"/>
  <c r="F10903" i="13"/>
  <c r="A10903" i="13"/>
  <c r="J10902" i="13"/>
  <c r="F10902" i="13"/>
  <c r="A10902" i="13"/>
  <c r="J10901" i="13"/>
  <c r="F10901" i="13"/>
  <c r="A10901" i="13"/>
  <c r="J10900" i="13"/>
  <c r="F10900" i="13"/>
  <c r="A10900" i="13"/>
  <c r="J10899" i="13"/>
  <c r="F10899" i="13"/>
  <c r="A10899" i="13"/>
  <c r="F10898" i="13"/>
  <c r="A10898" i="13"/>
  <c r="F10897" i="13"/>
  <c r="A10897" i="13"/>
  <c r="J10896" i="13"/>
  <c r="F10896" i="13"/>
  <c r="A10896" i="13"/>
  <c r="J10895" i="13"/>
  <c r="F10895" i="13"/>
  <c r="A10895" i="13"/>
  <c r="J10894" i="13"/>
  <c r="F10894" i="13"/>
  <c r="A10894" i="13"/>
  <c r="J10893" i="13"/>
  <c r="F10893" i="13"/>
  <c r="A10893" i="13"/>
  <c r="J10892" i="13"/>
  <c r="F10892" i="13"/>
  <c r="A10892" i="13"/>
  <c r="F10891" i="13"/>
  <c r="A10891" i="13"/>
  <c r="F10890" i="13"/>
  <c r="A10890" i="13"/>
  <c r="F10889" i="13"/>
  <c r="A10889" i="13"/>
  <c r="F10888" i="13"/>
  <c r="A10888" i="13"/>
  <c r="F10887" i="13"/>
  <c r="A10887" i="13"/>
  <c r="F10886" i="13"/>
  <c r="A10886" i="13"/>
  <c r="J10885" i="13"/>
  <c r="F10885" i="13"/>
  <c r="A10885" i="13"/>
  <c r="J10884" i="13"/>
  <c r="F10884" i="13"/>
  <c r="A10884" i="13"/>
  <c r="F10883" i="13"/>
  <c r="A10883" i="13"/>
  <c r="F10882" i="13"/>
  <c r="A10882" i="13"/>
  <c r="F10881" i="13"/>
  <c r="A10881" i="13"/>
  <c r="F10880" i="13"/>
  <c r="A10880" i="13"/>
  <c r="J10879" i="13"/>
  <c r="F10879" i="13"/>
  <c r="A10879" i="13"/>
  <c r="F10878" i="13"/>
  <c r="A10878" i="13"/>
  <c r="J10877" i="13"/>
  <c r="F10877" i="13"/>
  <c r="A10877" i="13"/>
  <c r="J10876" i="13"/>
  <c r="F10876" i="13"/>
  <c r="A10876" i="13"/>
  <c r="J10875" i="13"/>
  <c r="F10875" i="13"/>
  <c r="A10875" i="13"/>
  <c r="F10874" i="13"/>
  <c r="A10874" i="13"/>
  <c r="J10873" i="13"/>
  <c r="F10873" i="13"/>
  <c r="A10873" i="13"/>
  <c r="J10872" i="13"/>
  <c r="F10872" i="13"/>
  <c r="A10872" i="13"/>
  <c r="F10871" i="13"/>
  <c r="A10871" i="13"/>
  <c r="J10870" i="13"/>
  <c r="F10870" i="13"/>
  <c r="A10870" i="13"/>
  <c r="J10869" i="13"/>
  <c r="F10869" i="13"/>
  <c r="A10869" i="13"/>
  <c r="J10868" i="13"/>
  <c r="F10868" i="13"/>
  <c r="A10868" i="13"/>
  <c r="F10867" i="13"/>
  <c r="A10867" i="13"/>
  <c r="J10866" i="13"/>
  <c r="F10866" i="13"/>
  <c r="A10866" i="13"/>
  <c r="F10865" i="13"/>
  <c r="A10865" i="13"/>
  <c r="J10864" i="13"/>
  <c r="F10864" i="13"/>
  <c r="A10864" i="13"/>
  <c r="J10863" i="13"/>
  <c r="F10863" i="13"/>
  <c r="A10863" i="13"/>
  <c r="J10862" i="13"/>
  <c r="F10862" i="13"/>
  <c r="A10862" i="13"/>
  <c r="J10861" i="13"/>
  <c r="F10861" i="13"/>
  <c r="A10861" i="13"/>
  <c r="J10860" i="13"/>
  <c r="F10860" i="13"/>
  <c r="A10860" i="13"/>
  <c r="J10859" i="13"/>
  <c r="F10859" i="13"/>
  <c r="A10859" i="13"/>
  <c r="F10858" i="13"/>
  <c r="A10858" i="13"/>
  <c r="F10857" i="13"/>
  <c r="A10857" i="13"/>
  <c r="F10856" i="13"/>
  <c r="A10856" i="13"/>
  <c r="J10855" i="13"/>
  <c r="F10855" i="13"/>
  <c r="A10855" i="13"/>
  <c r="J10854" i="13"/>
  <c r="F10854" i="13"/>
  <c r="A10854" i="13"/>
  <c r="J10853" i="13"/>
  <c r="F10853" i="13"/>
  <c r="A10853" i="13"/>
  <c r="J10852" i="13"/>
  <c r="F10852" i="13"/>
  <c r="A10852" i="13"/>
  <c r="J10851" i="13"/>
  <c r="F10851" i="13"/>
  <c r="A10851" i="13"/>
  <c r="F10850" i="13"/>
  <c r="A10850" i="13"/>
  <c r="J10849" i="13"/>
  <c r="F10849" i="13"/>
  <c r="A10849" i="13"/>
  <c r="J10848" i="13"/>
  <c r="F10848" i="13"/>
  <c r="A10848" i="13"/>
  <c r="J10847" i="13"/>
  <c r="F10847" i="13"/>
  <c r="A10847" i="13"/>
  <c r="J10846" i="13"/>
  <c r="F10846" i="13"/>
  <c r="A10846" i="13"/>
  <c r="J10845" i="13"/>
  <c r="F10845" i="13"/>
  <c r="A10845" i="13"/>
  <c r="F10844" i="13"/>
  <c r="A10844" i="13"/>
  <c r="J10843" i="13"/>
  <c r="F10843" i="13"/>
  <c r="A10843" i="13"/>
  <c r="J10842" i="13"/>
  <c r="F10842" i="13"/>
  <c r="A10842" i="13"/>
  <c r="F10841" i="13"/>
  <c r="A10841" i="13"/>
  <c r="J10840" i="13"/>
  <c r="F10840" i="13"/>
  <c r="A10840" i="13"/>
  <c r="J10839" i="13"/>
  <c r="F10839" i="13"/>
  <c r="A10839" i="13"/>
  <c r="F10838" i="13"/>
  <c r="A10838" i="13"/>
  <c r="J10837" i="13"/>
  <c r="F10837" i="13"/>
  <c r="A10837" i="13"/>
  <c r="J10836" i="13"/>
  <c r="F10836" i="13"/>
  <c r="A10836" i="13"/>
  <c r="J10835" i="13"/>
  <c r="F10835" i="13"/>
  <c r="A10835" i="13"/>
  <c r="J10834" i="13"/>
  <c r="F10834" i="13"/>
  <c r="A10834" i="13"/>
  <c r="J10833" i="13"/>
  <c r="F10833" i="13"/>
  <c r="A10833" i="13"/>
  <c r="J10832" i="13"/>
  <c r="F10832" i="13"/>
  <c r="A10832" i="13"/>
  <c r="J10831" i="13"/>
  <c r="F10831" i="13"/>
  <c r="A10831" i="13"/>
  <c r="J10830" i="13"/>
  <c r="F10830" i="13"/>
  <c r="A10830" i="13"/>
  <c r="F10829" i="13"/>
  <c r="A10829" i="13"/>
  <c r="F10828" i="13"/>
  <c r="A10828" i="13"/>
  <c r="J10827" i="13"/>
  <c r="F10827" i="13"/>
  <c r="A10827" i="13"/>
  <c r="J10826" i="13"/>
  <c r="F10826" i="13"/>
  <c r="A10826" i="13"/>
  <c r="F10825" i="13"/>
  <c r="A10825" i="13"/>
  <c r="F10824" i="13"/>
  <c r="A10824" i="13"/>
  <c r="F10823" i="13"/>
  <c r="A10823" i="13"/>
  <c r="J10822" i="13"/>
  <c r="F10822" i="13"/>
  <c r="A10822" i="13"/>
  <c r="J10821" i="13"/>
  <c r="F10821" i="13"/>
  <c r="A10821" i="13"/>
  <c r="J10820" i="13"/>
  <c r="F10820" i="13"/>
  <c r="A10820" i="13"/>
  <c r="J10819" i="13"/>
  <c r="F10819" i="13"/>
  <c r="A10819" i="13"/>
  <c r="J10818" i="13"/>
  <c r="F10818" i="13"/>
  <c r="A10818" i="13"/>
  <c r="J10817" i="13"/>
  <c r="F10817" i="13"/>
  <c r="A10817" i="13"/>
  <c r="J10816" i="13"/>
  <c r="F10816" i="13"/>
  <c r="A10816" i="13"/>
  <c r="F10815" i="13"/>
  <c r="A10815" i="13"/>
  <c r="F10814" i="13"/>
  <c r="A10814" i="13"/>
  <c r="F10813" i="13"/>
  <c r="A10813" i="13"/>
  <c r="J10812" i="13"/>
  <c r="F10812" i="13"/>
  <c r="A10812" i="13"/>
  <c r="J10811" i="13"/>
  <c r="F10811" i="13"/>
  <c r="A10811" i="13"/>
  <c r="J10810" i="13"/>
  <c r="F10810" i="13"/>
  <c r="A10810" i="13"/>
  <c r="F10809" i="13"/>
  <c r="A10809" i="13"/>
  <c r="F10808" i="13"/>
  <c r="A10808" i="13"/>
  <c r="J10807" i="13"/>
  <c r="F10807" i="13"/>
  <c r="A10807" i="13"/>
  <c r="J10806" i="13"/>
  <c r="F10806" i="13"/>
  <c r="A10806" i="13"/>
  <c r="F10805" i="13"/>
  <c r="A10805" i="13"/>
  <c r="J10804" i="13"/>
  <c r="F10804" i="13"/>
  <c r="A10804" i="13"/>
  <c r="J10803" i="13"/>
  <c r="F10803" i="13"/>
  <c r="A10803" i="13"/>
  <c r="J10802" i="13"/>
  <c r="F10802" i="13"/>
  <c r="A10802" i="13"/>
  <c r="J10801" i="13"/>
  <c r="F10801" i="13"/>
  <c r="A10801" i="13"/>
  <c r="F10800" i="13"/>
  <c r="A10800" i="13"/>
  <c r="F10799" i="13"/>
  <c r="A10799" i="13"/>
  <c r="F10798" i="13"/>
  <c r="A10798" i="13"/>
  <c r="F10797" i="13"/>
  <c r="A10797" i="13"/>
  <c r="J10796" i="13"/>
  <c r="F10796" i="13"/>
  <c r="A10796" i="13"/>
  <c r="J10795" i="13"/>
  <c r="F10795" i="13"/>
  <c r="A10795" i="13"/>
  <c r="J10794" i="13"/>
  <c r="F10794" i="13"/>
  <c r="A10794" i="13"/>
  <c r="F10793" i="13"/>
  <c r="A10793" i="13"/>
  <c r="F10792" i="13"/>
  <c r="A10792" i="13"/>
  <c r="F10791" i="13"/>
  <c r="A10791" i="13"/>
  <c r="F10790" i="13"/>
  <c r="A10790" i="13"/>
  <c r="J10789" i="13"/>
  <c r="F10789" i="13"/>
  <c r="A10789" i="13"/>
  <c r="J10788" i="13"/>
  <c r="F10788" i="13"/>
  <c r="A10788" i="13"/>
  <c r="J10787" i="13"/>
  <c r="F10787" i="13"/>
  <c r="A10787" i="13"/>
  <c r="J10786" i="13"/>
  <c r="F10786" i="13"/>
  <c r="A10786" i="13"/>
  <c r="J10785" i="13"/>
  <c r="F10785" i="13"/>
  <c r="A10785" i="13"/>
  <c r="J10784" i="13"/>
  <c r="F10784" i="13"/>
  <c r="A10784" i="13"/>
  <c r="F10783" i="13"/>
  <c r="A10783" i="13"/>
  <c r="F10782" i="13"/>
  <c r="A10782" i="13"/>
  <c r="F10781" i="13"/>
  <c r="A10781" i="13"/>
  <c r="J10780" i="13"/>
  <c r="F10780" i="13"/>
  <c r="A10780" i="13"/>
  <c r="J10779" i="13"/>
  <c r="F10779" i="13"/>
  <c r="A10779" i="13"/>
  <c r="J10778" i="13"/>
  <c r="F10778" i="13"/>
  <c r="A10778" i="13"/>
  <c r="F10777" i="13"/>
  <c r="A10777" i="13"/>
  <c r="F10776" i="13"/>
  <c r="A10776" i="13"/>
  <c r="F10775" i="13"/>
  <c r="A10775" i="13"/>
  <c r="J10774" i="13"/>
  <c r="F10774" i="13"/>
  <c r="A10774" i="13"/>
  <c r="F10773" i="13"/>
  <c r="A10773" i="13"/>
  <c r="F10772" i="13"/>
  <c r="A10772" i="13"/>
  <c r="F10771" i="13"/>
  <c r="A10771" i="13"/>
  <c r="F10770" i="13"/>
  <c r="A10770" i="13"/>
  <c r="F10769" i="13"/>
  <c r="A10769" i="13"/>
  <c r="F10768" i="13"/>
  <c r="A10768" i="13"/>
  <c r="F10767" i="13"/>
  <c r="A10767" i="13"/>
  <c r="F10766" i="13"/>
  <c r="A10766" i="13"/>
  <c r="F10765" i="13"/>
  <c r="A10765" i="13"/>
  <c r="J10764" i="13"/>
  <c r="F10764" i="13"/>
  <c r="A10764" i="13"/>
  <c r="F10763" i="13"/>
  <c r="A10763" i="13"/>
  <c r="J10762" i="13"/>
  <c r="F10762" i="13"/>
  <c r="A10762" i="13"/>
  <c r="F10761" i="13"/>
  <c r="A10761" i="13"/>
  <c r="J10760" i="13"/>
  <c r="F10760" i="13"/>
  <c r="A10760" i="13"/>
  <c r="J10759" i="13"/>
  <c r="F10759" i="13"/>
  <c r="A10759" i="13"/>
  <c r="J10758" i="13"/>
  <c r="F10758" i="13"/>
  <c r="A10758" i="13"/>
  <c r="J10757" i="13"/>
  <c r="F10757" i="13"/>
  <c r="A10757" i="13"/>
  <c r="J10756" i="13"/>
  <c r="F10756" i="13"/>
  <c r="A10756" i="13"/>
  <c r="F10755" i="13"/>
  <c r="A10755" i="13"/>
  <c r="F10754" i="13"/>
  <c r="A10754" i="13"/>
  <c r="J10753" i="13"/>
  <c r="F10753" i="13"/>
  <c r="A10753" i="13"/>
  <c r="F10752" i="13"/>
  <c r="A10752" i="13"/>
  <c r="J10751" i="13"/>
  <c r="F10751" i="13"/>
  <c r="A10751" i="13"/>
  <c r="F10750" i="13"/>
  <c r="A10750" i="13"/>
  <c r="F10749" i="13"/>
  <c r="A10749" i="13"/>
  <c r="F10748" i="13"/>
  <c r="A10748" i="13"/>
  <c r="F10747" i="13"/>
  <c r="A10747" i="13"/>
  <c r="F10746" i="13"/>
  <c r="A10746" i="13"/>
  <c r="F10745" i="13"/>
  <c r="A10745" i="13"/>
  <c r="F10744" i="13"/>
  <c r="A10744" i="13"/>
  <c r="F10743" i="13"/>
  <c r="A10743" i="13"/>
  <c r="F10742" i="13"/>
  <c r="A10742" i="13"/>
  <c r="F10741" i="13"/>
  <c r="A10741" i="13"/>
  <c r="F10740" i="13"/>
  <c r="A10740" i="13"/>
  <c r="F10739" i="13"/>
  <c r="A10739" i="13"/>
  <c r="F10738" i="13"/>
  <c r="A10738" i="13"/>
  <c r="F10737" i="13"/>
  <c r="A10737" i="13"/>
  <c r="F10736" i="13"/>
  <c r="A10736" i="13"/>
  <c r="F10735" i="13"/>
  <c r="A10735" i="13"/>
  <c r="J10734" i="13"/>
  <c r="F10734" i="13"/>
  <c r="A10734" i="13"/>
  <c r="F10733" i="13"/>
  <c r="A10733" i="13"/>
  <c r="F10732" i="13"/>
  <c r="A10732" i="13"/>
  <c r="F10731" i="13"/>
  <c r="A10731" i="13"/>
  <c r="F10730" i="13"/>
  <c r="A10730" i="13"/>
  <c r="F10729" i="13"/>
  <c r="A10729" i="13"/>
  <c r="F10728" i="13"/>
  <c r="A10728" i="13"/>
  <c r="F10727" i="13"/>
  <c r="A10727" i="13"/>
  <c r="F10726" i="13"/>
  <c r="A10726" i="13"/>
  <c r="F10725" i="13"/>
  <c r="A10725" i="13"/>
  <c r="J10724" i="13"/>
  <c r="F10724" i="13"/>
  <c r="A10724" i="13"/>
  <c r="J10723" i="13"/>
  <c r="F10723" i="13"/>
  <c r="A10723" i="13"/>
  <c r="J10722" i="13"/>
  <c r="F10722" i="13"/>
  <c r="A10722" i="13"/>
  <c r="F10721" i="13"/>
  <c r="A10721" i="13"/>
  <c r="F10720" i="13"/>
  <c r="A10720" i="13"/>
  <c r="J10719" i="13"/>
  <c r="F10719" i="13"/>
  <c r="A10719" i="13"/>
  <c r="F10718" i="13"/>
  <c r="A10718" i="13"/>
  <c r="F10717" i="13"/>
  <c r="A10717" i="13"/>
  <c r="J10716" i="13"/>
  <c r="F10716" i="13"/>
  <c r="A10716" i="13"/>
  <c r="J10715" i="13"/>
  <c r="F10715" i="13"/>
  <c r="A10715" i="13"/>
  <c r="J10714" i="13"/>
  <c r="F10714" i="13"/>
  <c r="A10714" i="13"/>
  <c r="J10713" i="13"/>
  <c r="F10713" i="13"/>
  <c r="A10713" i="13"/>
  <c r="F10712" i="13"/>
  <c r="A10712" i="13"/>
  <c r="J10711" i="13"/>
  <c r="F10711" i="13"/>
  <c r="A10711" i="13"/>
  <c r="J10710" i="13"/>
  <c r="F10710" i="13"/>
  <c r="A10710" i="13"/>
  <c r="J10709" i="13"/>
  <c r="F10709" i="13"/>
  <c r="A10709" i="13"/>
  <c r="J10708" i="13"/>
  <c r="F10708" i="13"/>
  <c r="A10708" i="13"/>
  <c r="J10707" i="13"/>
  <c r="F10707" i="13"/>
  <c r="A10707" i="13"/>
  <c r="F10706" i="13"/>
  <c r="A10706" i="13"/>
  <c r="F10705" i="13"/>
  <c r="A10705" i="13"/>
  <c r="J10704" i="13"/>
  <c r="F10704" i="13"/>
  <c r="A10704" i="13"/>
  <c r="F10703" i="13"/>
  <c r="A10703" i="13"/>
  <c r="F10702" i="13"/>
  <c r="A10702" i="13"/>
  <c r="F10701" i="13"/>
  <c r="A10701" i="13"/>
  <c r="F10700" i="13"/>
  <c r="A10700" i="13"/>
  <c r="F10699" i="13"/>
  <c r="A10699" i="13"/>
  <c r="F10698" i="13"/>
  <c r="A10698" i="13"/>
  <c r="J10697" i="13"/>
  <c r="F10697" i="13"/>
  <c r="A10697" i="13"/>
  <c r="J10696" i="13"/>
  <c r="F10696" i="13"/>
  <c r="A10696" i="13"/>
  <c r="F10695" i="13"/>
  <c r="A10695" i="13"/>
  <c r="J10694" i="13"/>
  <c r="F10694" i="13"/>
  <c r="A10694" i="13"/>
  <c r="J10693" i="13"/>
  <c r="F10693" i="13"/>
  <c r="A10693" i="13"/>
  <c r="J10692" i="13"/>
  <c r="F10692" i="13"/>
  <c r="A10692" i="13"/>
  <c r="J10691" i="13"/>
  <c r="F10691" i="13"/>
  <c r="A10691" i="13"/>
  <c r="J10690" i="13"/>
  <c r="F10690" i="13"/>
  <c r="A10690" i="13"/>
  <c r="F10689" i="13"/>
  <c r="A10689" i="13"/>
  <c r="F10688" i="13"/>
  <c r="A10688" i="13"/>
  <c r="F10687" i="13"/>
  <c r="A10687" i="13"/>
  <c r="F10686" i="13"/>
  <c r="A10686" i="13"/>
  <c r="J10685" i="13"/>
  <c r="F10685" i="13"/>
  <c r="A10685" i="13"/>
  <c r="J10684" i="13"/>
  <c r="F10684" i="13"/>
  <c r="A10684" i="13"/>
  <c r="F10683" i="13"/>
  <c r="A10683" i="13"/>
  <c r="F10682" i="13"/>
  <c r="A10682" i="13"/>
  <c r="F10681" i="13"/>
  <c r="A10681" i="13"/>
  <c r="J10680" i="13"/>
  <c r="F10680" i="13"/>
  <c r="A10680" i="13"/>
  <c r="F10679" i="13"/>
  <c r="A10679" i="13"/>
  <c r="F10678" i="13"/>
  <c r="A10678" i="13"/>
  <c r="F10677" i="13"/>
  <c r="A10677" i="13"/>
  <c r="J10676" i="13"/>
  <c r="F10676" i="13"/>
  <c r="A10676" i="13"/>
  <c r="F10675" i="13"/>
  <c r="A10675" i="13"/>
  <c r="F10674" i="13"/>
  <c r="A10674" i="13"/>
  <c r="F10673" i="13"/>
  <c r="A10673" i="13"/>
  <c r="J10672" i="13"/>
  <c r="F10672" i="13"/>
  <c r="A10672" i="13"/>
  <c r="J10671" i="13"/>
  <c r="F10671" i="13"/>
  <c r="A10671" i="13"/>
  <c r="J10670" i="13"/>
  <c r="F10670" i="13"/>
  <c r="A10670" i="13"/>
  <c r="F10669" i="13"/>
  <c r="A10669" i="13"/>
  <c r="J10668" i="13"/>
  <c r="F10668" i="13"/>
  <c r="A10668" i="13"/>
  <c r="J10667" i="13"/>
  <c r="F10667" i="13"/>
  <c r="A10667" i="13"/>
  <c r="F10666" i="13"/>
  <c r="A10666" i="13"/>
  <c r="F10665" i="13"/>
  <c r="A10665" i="13"/>
  <c r="J10664" i="13"/>
  <c r="F10664" i="13"/>
  <c r="A10664" i="13"/>
  <c r="F10663" i="13"/>
  <c r="A10663" i="13"/>
  <c r="F10662" i="13"/>
  <c r="A10662" i="13"/>
  <c r="J10661" i="13"/>
  <c r="F10661" i="13"/>
  <c r="A10661" i="13"/>
  <c r="J10660" i="13"/>
  <c r="F10660" i="13"/>
  <c r="A10660" i="13"/>
  <c r="F10659" i="13"/>
  <c r="A10659" i="13"/>
  <c r="F10658" i="13"/>
  <c r="A10658" i="13"/>
  <c r="F10657" i="13"/>
  <c r="A10657" i="13"/>
  <c r="F10656" i="13"/>
  <c r="A10656" i="13"/>
  <c r="F10655" i="13"/>
  <c r="A10655" i="13"/>
  <c r="F10654" i="13"/>
  <c r="A10654" i="13"/>
  <c r="J10653" i="13"/>
  <c r="F10653" i="13"/>
  <c r="A10653" i="13"/>
  <c r="J10652" i="13"/>
  <c r="F10652" i="13"/>
  <c r="A10652" i="13"/>
  <c r="J10651" i="13"/>
  <c r="F10651" i="13"/>
  <c r="A10651" i="13"/>
  <c r="J10650" i="13"/>
  <c r="F10650" i="13"/>
  <c r="A10650" i="13"/>
  <c r="J10649" i="13"/>
  <c r="F10649" i="13"/>
  <c r="A10649" i="13"/>
  <c r="J10648" i="13"/>
  <c r="F10648" i="13"/>
  <c r="A10648" i="13"/>
  <c r="F10647" i="13"/>
  <c r="A10647" i="13"/>
  <c r="J10646" i="13"/>
  <c r="F10646" i="13"/>
  <c r="A10646" i="13"/>
  <c r="J10645" i="13"/>
  <c r="F10645" i="13"/>
  <c r="A10645" i="13"/>
  <c r="F10644" i="13"/>
  <c r="A10644" i="13"/>
  <c r="J10643" i="13"/>
  <c r="F10643" i="13"/>
  <c r="A10643" i="13"/>
  <c r="J10642" i="13"/>
  <c r="F10642" i="13"/>
  <c r="A10642" i="13"/>
  <c r="J10641" i="13"/>
  <c r="F10641" i="13"/>
  <c r="A10641" i="13"/>
  <c r="J10640" i="13"/>
  <c r="F10640" i="13"/>
  <c r="A10640" i="13"/>
  <c r="J10639" i="13"/>
  <c r="F10639" i="13"/>
  <c r="A10639" i="13"/>
  <c r="J10638" i="13"/>
  <c r="F10638" i="13"/>
  <c r="A10638" i="13"/>
  <c r="J10637" i="13"/>
  <c r="F10637" i="13"/>
  <c r="A10637" i="13"/>
  <c r="F10636" i="13"/>
  <c r="A10636" i="13"/>
  <c r="F10635" i="13"/>
  <c r="A10635" i="13"/>
  <c r="J10634" i="13"/>
  <c r="F10634" i="13"/>
  <c r="A10634" i="13"/>
  <c r="J10633" i="13"/>
  <c r="F10633" i="13"/>
  <c r="A10633" i="13"/>
  <c r="J10632" i="13"/>
  <c r="F10632" i="13"/>
  <c r="A10632" i="13"/>
  <c r="J10631" i="13"/>
  <c r="F10631" i="13"/>
  <c r="A10631" i="13"/>
  <c r="J10630" i="13"/>
  <c r="F10630" i="13"/>
  <c r="A10630" i="13"/>
  <c r="F10629" i="13"/>
  <c r="A10629" i="13"/>
  <c r="J10628" i="13"/>
  <c r="F10628" i="13"/>
  <c r="A10628" i="13"/>
  <c r="J10627" i="13"/>
  <c r="F10627" i="13"/>
  <c r="A10627" i="13"/>
  <c r="J10626" i="13"/>
  <c r="F10626" i="13"/>
  <c r="A10626" i="13"/>
  <c r="F10625" i="13"/>
  <c r="A10625" i="13"/>
  <c r="J10624" i="13"/>
  <c r="F10624" i="13"/>
  <c r="A10624" i="13"/>
  <c r="J10623" i="13"/>
  <c r="F10623" i="13"/>
  <c r="A10623" i="13"/>
  <c r="J10622" i="13"/>
  <c r="F10622" i="13"/>
  <c r="A10622" i="13"/>
  <c r="F10621" i="13"/>
  <c r="A10621" i="13"/>
  <c r="J10620" i="13"/>
  <c r="F10620" i="13"/>
  <c r="A10620" i="13"/>
  <c r="J10619" i="13"/>
  <c r="F10619" i="13"/>
  <c r="A10619" i="13"/>
  <c r="J10618" i="13"/>
  <c r="F10618" i="13"/>
  <c r="A10618" i="13"/>
  <c r="F10617" i="13"/>
  <c r="A10617" i="13"/>
  <c r="J10616" i="13"/>
  <c r="F10616" i="13"/>
  <c r="A10616" i="13"/>
  <c r="J10615" i="13"/>
  <c r="F10615" i="13"/>
  <c r="A10615" i="13"/>
  <c r="J10614" i="13"/>
  <c r="F10614" i="13"/>
  <c r="A10614" i="13"/>
  <c r="J10613" i="13"/>
  <c r="F10613" i="13"/>
  <c r="A10613" i="13"/>
  <c r="J10612" i="13"/>
  <c r="F10612" i="13"/>
  <c r="A10612" i="13"/>
  <c r="J10611" i="13"/>
  <c r="F10611" i="13"/>
  <c r="A10611" i="13"/>
  <c r="J10610" i="13"/>
  <c r="F10610" i="13"/>
  <c r="A10610" i="13"/>
  <c r="J10609" i="13"/>
  <c r="F10609" i="13"/>
  <c r="A10609" i="13"/>
  <c r="F10608" i="13"/>
  <c r="A10608" i="13"/>
  <c r="F10607" i="13"/>
  <c r="A10607" i="13"/>
  <c r="F10606" i="13"/>
  <c r="A10606" i="13"/>
  <c r="F10605" i="13"/>
  <c r="A10605" i="13"/>
  <c r="F10604" i="13"/>
  <c r="A10604" i="13"/>
  <c r="F10603" i="13"/>
  <c r="A10603" i="13"/>
  <c r="F10602" i="13"/>
  <c r="A10602" i="13"/>
  <c r="J10601" i="13"/>
  <c r="F10601" i="13"/>
  <c r="A10601" i="13"/>
  <c r="J10600" i="13"/>
  <c r="F10600" i="13"/>
  <c r="A10600" i="13"/>
  <c r="F10599" i="13"/>
  <c r="A10599" i="13"/>
  <c r="F10598" i="13"/>
  <c r="A10598" i="13"/>
  <c r="J10597" i="13"/>
  <c r="F10597" i="13"/>
  <c r="A10597" i="13"/>
  <c r="J10596" i="13"/>
  <c r="F10596" i="13"/>
  <c r="A10596" i="13"/>
  <c r="J10595" i="13"/>
  <c r="F10595" i="13"/>
  <c r="A10595" i="13"/>
  <c r="F10594" i="13"/>
  <c r="A10594" i="13"/>
  <c r="J10593" i="13"/>
  <c r="F10593" i="13"/>
  <c r="A10593" i="13"/>
  <c r="J10592" i="13"/>
  <c r="F10592" i="13"/>
  <c r="A10592" i="13"/>
  <c r="J10591" i="13"/>
  <c r="F10591" i="13"/>
  <c r="A10591" i="13"/>
  <c r="J10590" i="13"/>
  <c r="F10590" i="13"/>
  <c r="A10590" i="13"/>
  <c r="J10589" i="13"/>
  <c r="F10589" i="13"/>
  <c r="A10589" i="13"/>
  <c r="F10588" i="13"/>
  <c r="A10588" i="13"/>
  <c r="F10587" i="13"/>
  <c r="A10587" i="13"/>
  <c r="F10586" i="13"/>
  <c r="A10586" i="13"/>
  <c r="J10585" i="13"/>
  <c r="F10585" i="13"/>
  <c r="A10585" i="13"/>
  <c r="J10584" i="13"/>
  <c r="F10584" i="13"/>
  <c r="A10584" i="13"/>
  <c r="J10583" i="13"/>
  <c r="F10583" i="13"/>
  <c r="A10583" i="13"/>
  <c r="F10582" i="13"/>
  <c r="A10582" i="13"/>
  <c r="J10581" i="13"/>
  <c r="F10581" i="13"/>
  <c r="A10581" i="13"/>
  <c r="J10580" i="13"/>
  <c r="F10580" i="13"/>
  <c r="A10580" i="13"/>
  <c r="J10579" i="13"/>
  <c r="F10579" i="13"/>
  <c r="A10579" i="13"/>
  <c r="F10578" i="13"/>
  <c r="A10578" i="13"/>
  <c r="F10577" i="13"/>
  <c r="A10577" i="13"/>
  <c r="J10576" i="13"/>
  <c r="F10576" i="13"/>
  <c r="A10576" i="13"/>
  <c r="J10575" i="13"/>
  <c r="F10575" i="13"/>
  <c r="A10575" i="13"/>
  <c r="J10574" i="13"/>
  <c r="F10574" i="13"/>
  <c r="A10574" i="13"/>
  <c r="F10573" i="13"/>
  <c r="A10573" i="13"/>
  <c r="F10572" i="13"/>
  <c r="A10572" i="13"/>
  <c r="F10571" i="13"/>
  <c r="A10571" i="13"/>
  <c r="F10570" i="13"/>
  <c r="A10570" i="13"/>
  <c r="J10569" i="13"/>
  <c r="F10569" i="13"/>
  <c r="A10569" i="13"/>
  <c r="J10568" i="13"/>
  <c r="F10568" i="13"/>
  <c r="A10568" i="13"/>
  <c r="J10567" i="13"/>
  <c r="F10567" i="13"/>
  <c r="A10567" i="13"/>
  <c r="F10566" i="13"/>
  <c r="A10566" i="13"/>
  <c r="J10565" i="13"/>
  <c r="F10565" i="13"/>
  <c r="A10565" i="13"/>
  <c r="J10564" i="13"/>
  <c r="F10564" i="13"/>
  <c r="A10564" i="13"/>
  <c r="F10563" i="13"/>
  <c r="A10563" i="13"/>
  <c r="F10562" i="13"/>
  <c r="A10562" i="13"/>
  <c r="J10561" i="13"/>
  <c r="F10561" i="13"/>
  <c r="A10561" i="13"/>
  <c r="J10560" i="13"/>
  <c r="F10560" i="13"/>
  <c r="A10560" i="13"/>
  <c r="F10559" i="13"/>
  <c r="A10559" i="13"/>
  <c r="F10558" i="13"/>
  <c r="A10558" i="13"/>
  <c r="F10557" i="13"/>
  <c r="A10557" i="13"/>
  <c r="F10556" i="13"/>
  <c r="A10556" i="13"/>
  <c r="J10555" i="13"/>
  <c r="F10555" i="13"/>
  <c r="A10555" i="13"/>
  <c r="J10554" i="13"/>
  <c r="F10554" i="13"/>
  <c r="A10554" i="13"/>
  <c r="F10553" i="13"/>
  <c r="A10553" i="13"/>
  <c r="F10552" i="13"/>
  <c r="A10552" i="13"/>
  <c r="F10551" i="13"/>
  <c r="A10551" i="13"/>
  <c r="F10550" i="13"/>
  <c r="A10550" i="13"/>
  <c r="F10549" i="13"/>
  <c r="A10549" i="13"/>
  <c r="F10548" i="13"/>
  <c r="A10548" i="13"/>
  <c r="F10547" i="13"/>
  <c r="A10547" i="13"/>
  <c r="J10546" i="13"/>
  <c r="F10546" i="13"/>
  <c r="A10546" i="13"/>
  <c r="J10545" i="13"/>
  <c r="F10545" i="13"/>
  <c r="A10545" i="13"/>
  <c r="J10544" i="13"/>
  <c r="F10544" i="13"/>
  <c r="A10544" i="13"/>
  <c r="F10543" i="13"/>
  <c r="A10543" i="13"/>
  <c r="F10542" i="13"/>
  <c r="A10542" i="13"/>
  <c r="J10541" i="13"/>
  <c r="F10541" i="13"/>
  <c r="A10541" i="13"/>
  <c r="J10540" i="13"/>
  <c r="F10540" i="13"/>
  <c r="A10540" i="13"/>
  <c r="J10539" i="13"/>
  <c r="F10539" i="13"/>
  <c r="A10539" i="13"/>
  <c r="F10538" i="13"/>
  <c r="A10538" i="13"/>
  <c r="J10537" i="13"/>
  <c r="F10537" i="13"/>
  <c r="A10537" i="13"/>
  <c r="J10536" i="13"/>
  <c r="F10536" i="13"/>
  <c r="A10536" i="13"/>
  <c r="J10535" i="13"/>
  <c r="F10535" i="13"/>
  <c r="A10535" i="13"/>
  <c r="F10534" i="13"/>
  <c r="A10534" i="13"/>
  <c r="J10533" i="13"/>
  <c r="F10533" i="13"/>
  <c r="A10533" i="13"/>
  <c r="J10532" i="13"/>
  <c r="F10532" i="13"/>
  <c r="F10531" i="13"/>
  <c r="A10531" i="13"/>
  <c r="F10530" i="13"/>
  <c r="A10530" i="13"/>
  <c r="F10529" i="13"/>
  <c r="A10529" i="13"/>
  <c r="F10528" i="13"/>
  <c r="A10528" i="13"/>
  <c r="F10527" i="13"/>
  <c r="A10527" i="13"/>
  <c r="F10526" i="13"/>
  <c r="A10526" i="13"/>
  <c r="F10525" i="13"/>
  <c r="A10525" i="13"/>
  <c r="F10524" i="13"/>
  <c r="A10524" i="13"/>
  <c r="J10523" i="13"/>
  <c r="F10523" i="13"/>
  <c r="A10523" i="13"/>
  <c r="F10522" i="13"/>
  <c r="A10522" i="13"/>
  <c r="F10521" i="13"/>
  <c r="A10521" i="13"/>
  <c r="F10520" i="13"/>
  <c r="A10520" i="13"/>
  <c r="F10519" i="13"/>
  <c r="A10519" i="13"/>
  <c r="F10518" i="13"/>
  <c r="A10518" i="13"/>
  <c r="F10517" i="13"/>
  <c r="A10517" i="13"/>
  <c r="J10516" i="13"/>
  <c r="F10516" i="13"/>
  <c r="A10516" i="13"/>
  <c r="J10515" i="13"/>
  <c r="F10515" i="13"/>
  <c r="A10515" i="13"/>
  <c r="J10514" i="13"/>
  <c r="F10514" i="13"/>
  <c r="A10514" i="13"/>
  <c r="F10513" i="13"/>
  <c r="A10513" i="13"/>
  <c r="F10512" i="13"/>
  <c r="A10512" i="13"/>
  <c r="J10511" i="13"/>
  <c r="F10511" i="13"/>
  <c r="A10511" i="13"/>
  <c r="J10510" i="13"/>
  <c r="F10510" i="13"/>
  <c r="A10510" i="13"/>
  <c r="F10509" i="13"/>
  <c r="A10509" i="13"/>
  <c r="F10508" i="13"/>
  <c r="A10508" i="13"/>
  <c r="F10507" i="13"/>
  <c r="A10507" i="13"/>
  <c r="F10506" i="13"/>
  <c r="A10506" i="13"/>
  <c r="F10505" i="13"/>
  <c r="A10505" i="13"/>
  <c r="F10504" i="13"/>
  <c r="A10504" i="13"/>
  <c r="F10503" i="13"/>
  <c r="A10503" i="13"/>
  <c r="J10502" i="13"/>
  <c r="F10502" i="13"/>
  <c r="A10502" i="13"/>
  <c r="J10501" i="13"/>
  <c r="F10501" i="13"/>
  <c r="A10501" i="13"/>
  <c r="J10500" i="13"/>
  <c r="F10500" i="13"/>
  <c r="A10500" i="13"/>
  <c r="F10499" i="13"/>
  <c r="A10499" i="13"/>
  <c r="F10498" i="13"/>
  <c r="A10498" i="13"/>
  <c r="F10497" i="13"/>
  <c r="A10497" i="13"/>
  <c r="F10496" i="13"/>
  <c r="A10496" i="13"/>
  <c r="F10495" i="13"/>
  <c r="A10495" i="13"/>
  <c r="F10494" i="13"/>
  <c r="A10494" i="13"/>
  <c r="F10493" i="13"/>
  <c r="A10493" i="13"/>
  <c r="F10492" i="13"/>
  <c r="A10492" i="13"/>
  <c r="F10491" i="13"/>
  <c r="A10491" i="13"/>
  <c r="F10490" i="13"/>
  <c r="A10490" i="13"/>
  <c r="F10489" i="13"/>
  <c r="A10489" i="13"/>
  <c r="F10488" i="13"/>
  <c r="A10488" i="13"/>
  <c r="F10487" i="13"/>
  <c r="A10487" i="13"/>
  <c r="F10486" i="13"/>
  <c r="A10486" i="13"/>
  <c r="F10485" i="13"/>
  <c r="A10485" i="13"/>
  <c r="F10484" i="13"/>
  <c r="A10484" i="13"/>
  <c r="F10483" i="13"/>
  <c r="A10483" i="13"/>
  <c r="F10482" i="13"/>
  <c r="A10482" i="13"/>
  <c r="F10481" i="13"/>
  <c r="A10481" i="13"/>
  <c r="F10480" i="13"/>
  <c r="A10480" i="13"/>
  <c r="F10479" i="13"/>
  <c r="A10479" i="13"/>
  <c r="F10478" i="13"/>
  <c r="A10478" i="13"/>
  <c r="F10477" i="13"/>
  <c r="A10477" i="13"/>
  <c r="F10476" i="13"/>
  <c r="A10476" i="13"/>
  <c r="F10475" i="13"/>
  <c r="A10475" i="13"/>
  <c r="F10474" i="13"/>
  <c r="A10474" i="13"/>
  <c r="F10473" i="13"/>
  <c r="A10473" i="13"/>
  <c r="F10472" i="13"/>
  <c r="A10472" i="13"/>
  <c r="F10471" i="13"/>
  <c r="A10471" i="13"/>
  <c r="F10470" i="13"/>
  <c r="A10470" i="13"/>
  <c r="F10469" i="13"/>
  <c r="A10469" i="13"/>
  <c r="J10468" i="13"/>
  <c r="F10468" i="13"/>
  <c r="A10468" i="13"/>
  <c r="J10467" i="13"/>
  <c r="F10467" i="13"/>
  <c r="A10467" i="13"/>
  <c r="F10466" i="13"/>
  <c r="A10466" i="13"/>
  <c r="J10465" i="13"/>
  <c r="F10465" i="13"/>
  <c r="A10465" i="13"/>
  <c r="J10464" i="13"/>
  <c r="F10464" i="13"/>
  <c r="A10464" i="13"/>
  <c r="J10463" i="13"/>
  <c r="F10463" i="13"/>
  <c r="A10463" i="13"/>
  <c r="F10462" i="13"/>
  <c r="A10462" i="13"/>
  <c r="F10461" i="13"/>
  <c r="A10461" i="13"/>
  <c r="F10460" i="13"/>
  <c r="A10460" i="13"/>
  <c r="F10459" i="13"/>
  <c r="A10459" i="13"/>
  <c r="F10458" i="13"/>
  <c r="A10458" i="13"/>
  <c r="F10457" i="13"/>
  <c r="A10457" i="13"/>
  <c r="F10456" i="13"/>
  <c r="A10456" i="13"/>
  <c r="F10455" i="13"/>
  <c r="A10455" i="13"/>
  <c r="F10454" i="13"/>
  <c r="A10454" i="13"/>
  <c r="F10453" i="13"/>
  <c r="A10453" i="13"/>
  <c r="F10452" i="13"/>
  <c r="A10452" i="13"/>
  <c r="F10451" i="13"/>
  <c r="A10451" i="13"/>
  <c r="F10450" i="13"/>
  <c r="A10450" i="13"/>
  <c r="F10449" i="13"/>
  <c r="A10449" i="13"/>
  <c r="F10448" i="13"/>
  <c r="A10448" i="13"/>
  <c r="F10447" i="13"/>
  <c r="A10447" i="13"/>
  <c r="F10446" i="13"/>
  <c r="A10446" i="13"/>
  <c r="F10445" i="13"/>
  <c r="A10445" i="13"/>
  <c r="F10444" i="13"/>
  <c r="A10444" i="13"/>
  <c r="F10443" i="13"/>
  <c r="A10443" i="13"/>
  <c r="F10442" i="13"/>
  <c r="A10442" i="13"/>
  <c r="F10441" i="13"/>
  <c r="A10441" i="13"/>
  <c r="F10440" i="13"/>
  <c r="A10440" i="13"/>
  <c r="F10439" i="13"/>
  <c r="A10439" i="13"/>
  <c r="F10438" i="13"/>
  <c r="A10438" i="13"/>
  <c r="F10437" i="13"/>
  <c r="A10437" i="13"/>
  <c r="F10436" i="13"/>
  <c r="A10436" i="13"/>
  <c r="F10435" i="13"/>
  <c r="A10435" i="13"/>
  <c r="F10434" i="13"/>
  <c r="A10434" i="13"/>
  <c r="F10433" i="13"/>
  <c r="A10433" i="13"/>
  <c r="F10432" i="13"/>
  <c r="A10432" i="13"/>
  <c r="F10431" i="13"/>
  <c r="A10431" i="13"/>
  <c r="F10430" i="13"/>
  <c r="A10430" i="13"/>
  <c r="F10429" i="13"/>
  <c r="A10429" i="13"/>
  <c r="F10428" i="13"/>
  <c r="A10428" i="13"/>
  <c r="F10427" i="13"/>
  <c r="A10427" i="13"/>
  <c r="F10426" i="13"/>
  <c r="A10426" i="13"/>
  <c r="J10425" i="13"/>
  <c r="F10425" i="13"/>
  <c r="A10425" i="13"/>
  <c r="F10424" i="13"/>
  <c r="A10424" i="13"/>
  <c r="F10423" i="13"/>
  <c r="A10423" i="13"/>
  <c r="F10422" i="13"/>
  <c r="A10422" i="13"/>
  <c r="F10421" i="13"/>
  <c r="A10421" i="13"/>
  <c r="F10420" i="13"/>
  <c r="A10420" i="13"/>
  <c r="F10419" i="13"/>
  <c r="A10419" i="13"/>
  <c r="F10418" i="13"/>
  <c r="A10418" i="13"/>
  <c r="F10417" i="13"/>
  <c r="A10417" i="13"/>
  <c r="F10416" i="13"/>
  <c r="A10416" i="13"/>
  <c r="F10415" i="13"/>
  <c r="A10415" i="13"/>
  <c r="F10414" i="13"/>
  <c r="A10414" i="13"/>
  <c r="F10413" i="13"/>
  <c r="A10413" i="13"/>
  <c r="F10412" i="13"/>
  <c r="A10412" i="13"/>
  <c r="F10411" i="13"/>
  <c r="A10411" i="13"/>
  <c r="F10410" i="13"/>
  <c r="A10410" i="13"/>
  <c r="F10409" i="13"/>
  <c r="A10409" i="13"/>
  <c r="F10408" i="13"/>
  <c r="A10408" i="13"/>
  <c r="F10407" i="13"/>
  <c r="A10407" i="13"/>
  <c r="F10406" i="13"/>
  <c r="A10406" i="13"/>
  <c r="F10405" i="13"/>
  <c r="A10405" i="13"/>
  <c r="F10404" i="13"/>
  <c r="A10404" i="13"/>
  <c r="F10403" i="13"/>
  <c r="A10403" i="13"/>
  <c r="F10402" i="13"/>
  <c r="A10402" i="13"/>
  <c r="F10401" i="13"/>
  <c r="A10401" i="13"/>
  <c r="F10400" i="13"/>
  <c r="A10400" i="13"/>
  <c r="F10399" i="13"/>
  <c r="A10399" i="13"/>
  <c r="F10398" i="13"/>
  <c r="A10398" i="13"/>
  <c r="F10397" i="13"/>
  <c r="A10397" i="13"/>
  <c r="F10396" i="13"/>
  <c r="A10396" i="13"/>
  <c r="F10395" i="13"/>
  <c r="A10395" i="13"/>
  <c r="F10394" i="13"/>
  <c r="A10394" i="13"/>
  <c r="F10393" i="13"/>
  <c r="A10393" i="13"/>
  <c r="F10392" i="13"/>
  <c r="A10392" i="13"/>
  <c r="F10391" i="13"/>
  <c r="A10391" i="13"/>
  <c r="F10390" i="13"/>
  <c r="A10390" i="13"/>
  <c r="F10389" i="13"/>
  <c r="A10389" i="13"/>
  <c r="F10388" i="13"/>
  <c r="A10388" i="13"/>
  <c r="F10387" i="13"/>
  <c r="A10387" i="13"/>
  <c r="F10386" i="13"/>
  <c r="A10386" i="13"/>
  <c r="F10385" i="13"/>
  <c r="A10385" i="13"/>
  <c r="F10384" i="13"/>
  <c r="A10384" i="13"/>
  <c r="F10383" i="13"/>
  <c r="A10383" i="13"/>
  <c r="F10382" i="13"/>
  <c r="A10382" i="13"/>
  <c r="F10381" i="13"/>
  <c r="A10381" i="13"/>
  <c r="F10380" i="13"/>
  <c r="A10380" i="13"/>
  <c r="F10379" i="13"/>
  <c r="A10379" i="13"/>
  <c r="F10378" i="13"/>
  <c r="A10378" i="13"/>
  <c r="F10377" i="13"/>
  <c r="A10377" i="13"/>
  <c r="F10376" i="13"/>
  <c r="A10376" i="13"/>
  <c r="F10375" i="13"/>
  <c r="A10375" i="13"/>
  <c r="F10374" i="13"/>
  <c r="A10374" i="13"/>
  <c r="F10373" i="13"/>
  <c r="A10373" i="13"/>
  <c r="F10372" i="13"/>
  <c r="A10372" i="13"/>
  <c r="F10371" i="13"/>
  <c r="A10371" i="13"/>
  <c r="F10370" i="13"/>
  <c r="A10370" i="13"/>
  <c r="F10369" i="13"/>
  <c r="A10369" i="13"/>
  <c r="F10368" i="13"/>
  <c r="A10368" i="13"/>
  <c r="F10367" i="13"/>
  <c r="A10367" i="13"/>
  <c r="F10366" i="13"/>
  <c r="A10366" i="13"/>
  <c r="F10365" i="13"/>
  <c r="A10365" i="13"/>
  <c r="F10364" i="13"/>
  <c r="A10364" i="13"/>
  <c r="F10363" i="13"/>
  <c r="A10363" i="13"/>
  <c r="F10362" i="13"/>
  <c r="A10362" i="13"/>
  <c r="F10361" i="13"/>
  <c r="A10361" i="13"/>
  <c r="F10360" i="13"/>
  <c r="A10360" i="13"/>
  <c r="F10359" i="13"/>
  <c r="A10359" i="13"/>
  <c r="F10358" i="13"/>
  <c r="A10358" i="13"/>
  <c r="F10357" i="13"/>
  <c r="A10357" i="13"/>
  <c r="F10356" i="13"/>
  <c r="A10356" i="13"/>
  <c r="F10355" i="13"/>
  <c r="A10355" i="13"/>
  <c r="F10354" i="13"/>
  <c r="A10354" i="13"/>
  <c r="F10353" i="13"/>
  <c r="A10353" i="13"/>
  <c r="F10352" i="13"/>
  <c r="A10352" i="13"/>
  <c r="F10351" i="13"/>
  <c r="A10351" i="13"/>
  <c r="F10350" i="13"/>
  <c r="A10350" i="13"/>
  <c r="F10349" i="13"/>
  <c r="A10349" i="13"/>
  <c r="F10348" i="13"/>
  <c r="A10348" i="13"/>
  <c r="F10347" i="13"/>
  <c r="A10347" i="13"/>
  <c r="F10346" i="13"/>
  <c r="A10346" i="13"/>
  <c r="F10345" i="13"/>
  <c r="A10345" i="13"/>
  <c r="F10344" i="13"/>
  <c r="A10344" i="13"/>
  <c r="F10343" i="13"/>
  <c r="A10343" i="13"/>
  <c r="F10342" i="13"/>
  <c r="A10342" i="13"/>
  <c r="F10341" i="13"/>
  <c r="A10341" i="13"/>
  <c r="F10340" i="13"/>
  <c r="A10340" i="13"/>
  <c r="F10339" i="13"/>
  <c r="A10339" i="13"/>
  <c r="F10338" i="13"/>
  <c r="A10338" i="13"/>
  <c r="F10337" i="13"/>
  <c r="A10337" i="13"/>
  <c r="F10336" i="13"/>
  <c r="A10336" i="13"/>
  <c r="F10335" i="13"/>
  <c r="A10335" i="13"/>
  <c r="F10334" i="13"/>
  <c r="A10334" i="13"/>
  <c r="F10333" i="13"/>
  <c r="A10333" i="13"/>
  <c r="F10332" i="13"/>
  <c r="A10332" i="13"/>
  <c r="F10331" i="13"/>
  <c r="A10331" i="13"/>
  <c r="F10330" i="13"/>
  <c r="A10330" i="13"/>
  <c r="F10329" i="13"/>
  <c r="A10329" i="13"/>
  <c r="F10328" i="13"/>
  <c r="A10328" i="13"/>
  <c r="F10327" i="13"/>
  <c r="A10327" i="13"/>
  <c r="F10326" i="13"/>
  <c r="A10326" i="13"/>
  <c r="F10325" i="13"/>
  <c r="A10325" i="13"/>
  <c r="F10324" i="13"/>
  <c r="A10324" i="13"/>
  <c r="F10323" i="13"/>
  <c r="A10323" i="13"/>
  <c r="F10322" i="13"/>
  <c r="A10322" i="13"/>
  <c r="F10321" i="13"/>
  <c r="A10321" i="13"/>
  <c r="F10320" i="13"/>
  <c r="A10320" i="13"/>
  <c r="F10319" i="13"/>
  <c r="A10319" i="13"/>
  <c r="F10318" i="13"/>
  <c r="A10318" i="13"/>
  <c r="F10317" i="13"/>
  <c r="A10317" i="13"/>
  <c r="F10316" i="13"/>
  <c r="A10316" i="13"/>
  <c r="F10315" i="13"/>
  <c r="A10315" i="13"/>
  <c r="F10314" i="13"/>
  <c r="A10314" i="13"/>
  <c r="F10313" i="13"/>
  <c r="A10313" i="13"/>
  <c r="F10312" i="13"/>
  <c r="A10312" i="13"/>
  <c r="F10311" i="13"/>
  <c r="A10311" i="13"/>
  <c r="F10310" i="13"/>
  <c r="A10310" i="13"/>
  <c r="F10309" i="13"/>
  <c r="A10309" i="13"/>
  <c r="F10308" i="13"/>
  <c r="A10308" i="13"/>
  <c r="F10307" i="13"/>
  <c r="A10307" i="13"/>
  <c r="F10306" i="13"/>
  <c r="A10306" i="13"/>
  <c r="F10305" i="13"/>
  <c r="A10305" i="13"/>
  <c r="F10304" i="13"/>
  <c r="A10304" i="13"/>
  <c r="F10303" i="13"/>
  <c r="A10303" i="13"/>
  <c r="F10302" i="13"/>
  <c r="A10302" i="13"/>
  <c r="F10301" i="13"/>
  <c r="A10301" i="13"/>
  <c r="F10300" i="13"/>
  <c r="A10300" i="13"/>
  <c r="F10299" i="13"/>
  <c r="A10299" i="13"/>
  <c r="F10298" i="13"/>
  <c r="A10298" i="13"/>
  <c r="F10297" i="13"/>
  <c r="A10297" i="13"/>
  <c r="F10296" i="13"/>
  <c r="A10296" i="13"/>
  <c r="J10295" i="13"/>
  <c r="F10295" i="13"/>
  <c r="A10295" i="13"/>
  <c r="J10294" i="13"/>
  <c r="F10294" i="13"/>
  <c r="A10294" i="13"/>
  <c r="F10293" i="13"/>
  <c r="A10293" i="13"/>
  <c r="J10292" i="13"/>
  <c r="F10292" i="13"/>
  <c r="A10292" i="13"/>
  <c r="J10291" i="13"/>
  <c r="F10291" i="13"/>
  <c r="A10291" i="13"/>
  <c r="J10290" i="13"/>
  <c r="F10290" i="13"/>
  <c r="A10290" i="13"/>
  <c r="J10289" i="13"/>
  <c r="F10289" i="13"/>
  <c r="A10289" i="13"/>
  <c r="J10288" i="13"/>
  <c r="F10288" i="13"/>
  <c r="A10288" i="13"/>
  <c r="F10287" i="13"/>
  <c r="A10287" i="13"/>
  <c r="F10286" i="13"/>
  <c r="A10286" i="13"/>
  <c r="F10285" i="13"/>
  <c r="A10285" i="13"/>
  <c r="F10284" i="13"/>
  <c r="A10284" i="13"/>
  <c r="J10283" i="13"/>
  <c r="F10283" i="13"/>
  <c r="A10283" i="13"/>
  <c r="J10282" i="13"/>
  <c r="F10282" i="13"/>
  <c r="A10282" i="13"/>
  <c r="F10281" i="13"/>
  <c r="A10281" i="13"/>
  <c r="F10280" i="13"/>
  <c r="A10280" i="13"/>
  <c r="J10279" i="13"/>
  <c r="F10279" i="13"/>
  <c r="A10279" i="13"/>
  <c r="J10278" i="13"/>
  <c r="F10278" i="13"/>
  <c r="A10278" i="13"/>
  <c r="F10277" i="13"/>
  <c r="A10277" i="13"/>
  <c r="F10276" i="13"/>
  <c r="A10276" i="13"/>
  <c r="F10275" i="13"/>
  <c r="A10275" i="13"/>
  <c r="F10274" i="13"/>
  <c r="A10274" i="13"/>
  <c r="F10273" i="13"/>
  <c r="A10273" i="13"/>
  <c r="J10272" i="13"/>
  <c r="F10272" i="13"/>
  <c r="A10272" i="13"/>
  <c r="J10271" i="13"/>
  <c r="F10271" i="13"/>
  <c r="A10271" i="13"/>
  <c r="J10270" i="13"/>
  <c r="F10270" i="13"/>
  <c r="A10270" i="13"/>
  <c r="J10269" i="13"/>
  <c r="F10269" i="13"/>
  <c r="A10269" i="13"/>
  <c r="J10268" i="13"/>
  <c r="F10268" i="13"/>
  <c r="A10268" i="13"/>
  <c r="J10267" i="13"/>
  <c r="F10267" i="13"/>
  <c r="A10267" i="13"/>
  <c r="J10266" i="13"/>
  <c r="F10266" i="13"/>
  <c r="A10266" i="13"/>
  <c r="F10265" i="13"/>
  <c r="A10265" i="13"/>
  <c r="F10264" i="13"/>
  <c r="A10264" i="13"/>
  <c r="F10263" i="13"/>
  <c r="A10263" i="13"/>
  <c r="J10262" i="13"/>
  <c r="F10262" i="13"/>
  <c r="A10262" i="13"/>
  <c r="J10261" i="13"/>
  <c r="F10261" i="13"/>
  <c r="A10261" i="13"/>
  <c r="J10260" i="13"/>
  <c r="F10260" i="13"/>
  <c r="A10260" i="13"/>
  <c r="F10259" i="13"/>
  <c r="A10259" i="13"/>
  <c r="F10258" i="13"/>
  <c r="A10258" i="13"/>
  <c r="J10257" i="13"/>
  <c r="F10257" i="13"/>
  <c r="A10257" i="13"/>
  <c r="J10256" i="13"/>
  <c r="F10256" i="13"/>
  <c r="A10256" i="13"/>
  <c r="J10255" i="13"/>
  <c r="F10255" i="13"/>
  <c r="A10255" i="13"/>
  <c r="F10254" i="13"/>
  <c r="A10254" i="13"/>
  <c r="J10253" i="13"/>
  <c r="F10253" i="13"/>
  <c r="A10253" i="13"/>
  <c r="J10252" i="13"/>
  <c r="F10252" i="13"/>
  <c r="A10252" i="13"/>
  <c r="J10251" i="13"/>
  <c r="F10251" i="13"/>
  <c r="A10251" i="13"/>
  <c r="F10250" i="13"/>
  <c r="A10250" i="13"/>
  <c r="J10249" i="13"/>
  <c r="F10249" i="13"/>
  <c r="A10249" i="13"/>
  <c r="J10248" i="13"/>
  <c r="F10248" i="13"/>
  <c r="A10248" i="13"/>
  <c r="F10247" i="13"/>
  <c r="A10247" i="13"/>
  <c r="F10246" i="13"/>
  <c r="A10246" i="13"/>
  <c r="J10245" i="13"/>
  <c r="F10245" i="13"/>
  <c r="A10245" i="13"/>
  <c r="J10244" i="13"/>
  <c r="F10244" i="13"/>
  <c r="A10244" i="13"/>
  <c r="F10243" i="13"/>
  <c r="A10243" i="13"/>
  <c r="F10242" i="13"/>
  <c r="A10242" i="13"/>
  <c r="F10241" i="13"/>
  <c r="A10241" i="13"/>
  <c r="F10240" i="13"/>
  <c r="A10240" i="13"/>
  <c r="F10239" i="13"/>
  <c r="A10239" i="13"/>
  <c r="J10238" i="13"/>
  <c r="F10238" i="13"/>
  <c r="A10238" i="13"/>
  <c r="J10237" i="13"/>
  <c r="F10237" i="13"/>
  <c r="A10237" i="13"/>
  <c r="J10236" i="13"/>
  <c r="F10236" i="13"/>
  <c r="A10236" i="13"/>
  <c r="J10235" i="13"/>
  <c r="F10235" i="13"/>
  <c r="A10235" i="13"/>
  <c r="F10234" i="13"/>
  <c r="A10234" i="13"/>
  <c r="F10233" i="13"/>
  <c r="A10233" i="13"/>
  <c r="F10232" i="13"/>
  <c r="A10232" i="13"/>
  <c r="J10231" i="13"/>
  <c r="F10231" i="13"/>
  <c r="A10231" i="13"/>
  <c r="J10230" i="13"/>
  <c r="F10230" i="13"/>
  <c r="A10230" i="13"/>
  <c r="F10229" i="13"/>
  <c r="A10229" i="13"/>
  <c r="J10228" i="13"/>
  <c r="F10228" i="13"/>
  <c r="A10228" i="13"/>
  <c r="F10227" i="13"/>
  <c r="A10227" i="13"/>
  <c r="F10226" i="13"/>
  <c r="A10226" i="13"/>
  <c r="F10225" i="13"/>
  <c r="A10225" i="13"/>
  <c r="F10224" i="13"/>
  <c r="A10224" i="13"/>
  <c r="F10223" i="13"/>
  <c r="A10223" i="13"/>
  <c r="F10222" i="13"/>
  <c r="A10222" i="13"/>
  <c r="F10221" i="13"/>
  <c r="A10221" i="13"/>
  <c r="J10220" i="13"/>
  <c r="F10220" i="13"/>
  <c r="A10220" i="13"/>
  <c r="J10219" i="13"/>
  <c r="F10219" i="13"/>
  <c r="A10219" i="13"/>
  <c r="F10218" i="13"/>
  <c r="A10218" i="13"/>
  <c r="F10217" i="13"/>
  <c r="A10217" i="13"/>
  <c r="J10216" i="13"/>
  <c r="F10216" i="13"/>
  <c r="A10216" i="13"/>
  <c r="J10215" i="13"/>
  <c r="F10215" i="13"/>
  <c r="A10215" i="13"/>
  <c r="J10214" i="13"/>
  <c r="F10214" i="13"/>
  <c r="A10214" i="13"/>
  <c r="J10213" i="13"/>
  <c r="F10213" i="13"/>
  <c r="A10213" i="13"/>
  <c r="F10212" i="13"/>
  <c r="A10212" i="13"/>
  <c r="J10211" i="13"/>
  <c r="F10211" i="13"/>
  <c r="A10211" i="13"/>
  <c r="J10210" i="13"/>
  <c r="F10210" i="13"/>
  <c r="A10210" i="13"/>
  <c r="J10209" i="13"/>
  <c r="F10209" i="13"/>
  <c r="A10209" i="13"/>
  <c r="J10208" i="13"/>
  <c r="F10208" i="13"/>
  <c r="A10208" i="13"/>
  <c r="J10207" i="13"/>
  <c r="F10207" i="13"/>
  <c r="A10207" i="13"/>
  <c r="J10206" i="13"/>
  <c r="F10206" i="13"/>
  <c r="A10206" i="13"/>
  <c r="F10205" i="13"/>
  <c r="A10205" i="13"/>
  <c r="J10204" i="13"/>
  <c r="F10204" i="13"/>
  <c r="A10204" i="13"/>
  <c r="J10203" i="13"/>
  <c r="F10203" i="13"/>
  <c r="A10203" i="13"/>
  <c r="F10202" i="13"/>
  <c r="A10202" i="13"/>
  <c r="F10201" i="13"/>
  <c r="A10201" i="13"/>
  <c r="F10200" i="13"/>
  <c r="A10200" i="13"/>
  <c r="J10199" i="13"/>
  <c r="F10199" i="13"/>
  <c r="A10199" i="13"/>
  <c r="J10198" i="13"/>
  <c r="F10198" i="13"/>
  <c r="A10198" i="13"/>
  <c r="J10197" i="13"/>
  <c r="F10197" i="13"/>
  <c r="A10197" i="13"/>
  <c r="J10196" i="13"/>
  <c r="F10196" i="13"/>
  <c r="A10196" i="13"/>
  <c r="J10195" i="13"/>
  <c r="F10195" i="13"/>
  <c r="A10195" i="13"/>
  <c r="J10194" i="13"/>
  <c r="F10194" i="13"/>
  <c r="A10194" i="13"/>
  <c r="J10193" i="13"/>
  <c r="F10193" i="13"/>
  <c r="A10193" i="13"/>
  <c r="F10192" i="13"/>
  <c r="A10192" i="13"/>
  <c r="F10191" i="13"/>
  <c r="A10191" i="13"/>
  <c r="F10190" i="13"/>
  <c r="A10190" i="13"/>
  <c r="F10189" i="13"/>
  <c r="A10189" i="13"/>
  <c r="F10188" i="13"/>
  <c r="A10188" i="13"/>
  <c r="J10187" i="13"/>
  <c r="F10187" i="13"/>
  <c r="A10187" i="13"/>
  <c r="J10186" i="13"/>
  <c r="F10186" i="13"/>
  <c r="A10186" i="13"/>
  <c r="J10185" i="13"/>
  <c r="F10185" i="13"/>
  <c r="A10185" i="13"/>
  <c r="J10184" i="13"/>
  <c r="F10184" i="13"/>
  <c r="A10184" i="13"/>
  <c r="J10183" i="13"/>
  <c r="F10183" i="13"/>
  <c r="A10183" i="13"/>
  <c r="J10182" i="13"/>
  <c r="F10182" i="13"/>
  <c r="A10182" i="13"/>
  <c r="F10181" i="13"/>
  <c r="A10181" i="13"/>
  <c r="J10180" i="13"/>
  <c r="F10180" i="13"/>
  <c r="A10180" i="13"/>
  <c r="J10179" i="13"/>
  <c r="F10179" i="13"/>
  <c r="A10179" i="13"/>
  <c r="J10178" i="13"/>
  <c r="F10178" i="13"/>
  <c r="A10178" i="13"/>
  <c r="J10177" i="13"/>
  <c r="F10177" i="13"/>
  <c r="A10177" i="13"/>
  <c r="J10176" i="13"/>
  <c r="F10176" i="13"/>
  <c r="A10176" i="13"/>
  <c r="J10175" i="13"/>
  <c r="F10175" i="13"/>
  <c r="A10175" i="13"/>
  <c r="J10174" i="13"/>
  <c r="F10174" i="13"/>
  <c r="A10174" i="13"/>
  <c r="F10173" i="13"/>
  <c r="A10173" i="13"/>
  <c r="J10172" i="13"/>
  <c r="F10172" i="13"/>
  <c r="A10172" i="13"/>
  <c r="J10171" i="13"/>
  <c r="F10171" i="13"/>
  <c r="A10171" i="13"/>
  <c r="F10170" i="13"/>
  <c r="A10170" i="13"/>
  <c r="F10169" i="13"/>
  <c r="A10169" i="13"/>
  <c r="F10168" i="13"/>
  <c r="A10168" i="13"/>
  <c r="F10167" i="13"/>
  <c r="A10167" i="13"/>
  <c r="F10166" i="13"/>
  <c r="A10166" i="13"/>
  <c r="F10165" i="13"/>
  <c r="A10165" i="13"/>
  <c r="F10164" i="13"/>
  <c r="A10164" i="13"/>
  <c r="F10163" i="13"/>
  <c r="A10163" i="13"/>
  <c r="F10162" i="13"/>
  <c r="A10162" i="13"/>
  <c r="F10161" i="13"/>
  <c r="A10161" i="13"/>
  <c r="F10160" i="13"/>
  <c r="A10160" i="13"/>
  <c r="F10159" i="13"/>
  <c r="A10159" i="13"/>
  <c r="F10158" i="13"/>
  <c r="A10158" i="13"/>
  <c r="F10157" i="13"/>
  <c r="A10157" i="13"/>
  <c r="F10156" i="13"/>
  <c r="A10156" i="13"/>
  <c r="F10155" i="13"/>
  <c r="A10155" i="13"/>
  <c r="F10154" i="13"/>
  <c r="A10154" i="13"/>
  <c r="J10153" i="13"/>
  <c r="F10153" i="13"/>
  <c r="A10153" i="13"/>
  <c r="J10152" i="13"/>
  <c r="F10152" i="13"/>
  <c r="A10152" i="13"/>
  <c r="J10151" i="13"/>
  <c r="F10151" i="13"/>
  <c r="A10151" i="13"/>
  <c r="J10150" i="13"/>
  <c r="F10150" i="13"/>
  <c r="A10150" i="13"/>
  <c r="J10149" i="13"/>
  <c r="F10149" i="13"/>
  <c r="A10149" i="13"/>
  <c r="J10148" i="13"/>
  <c r="F10148" i="13"/>
  <c r="A10148" i="13"/>
  <c r="J10147" i="13"/>
  <c r="F10147" i="13"/>
  <c r="A10147" i="13"/>
  <c r="J10146" i="13"/>
  <c r="F10146" i="13"/>
  <c r="A10146" i="13"/>
  <c r="F10145" i="13"/>
  <c r="A10145" i="13"/>
  <c r="J10144" i="13"/>
  <c r="F10144" i="13"/>
  <c r="A10144" i="13"/>
  <c r="J10143" i="13"/>
  <c r="F10143" i="13"/>
  <c r="A10143" i="13"/>
  <c r="F10142" i="13"/>
  <c r="A10142" i="13"/>
  <c r="J10141" i="13"/>
  <c r="F10141" i="13"/>
  <c r="A10141" i="13"/>
  <c r="J10140" i="13"/>
  <c r="F10140" i="13"/>
  <c r="A10140" i="13"/>
  <c r="J10139" i="13"/>
  <c r="F10139" i="13"/>
  <c r="A10139" i="13"/>
  <c r="J10138" i="13"/>
  <c r="F10138" i="13"/>
  <c r="A10138" i="13"/>
  <c r="J10137" i="13"/>
  <c r="F10137" i="13"/>
  <c r="A10137" i="13"/>
  <c r="F10136" i="13"/>
  <c r="A10136" i="13"/>
  <c r="F10135" i="13"/>
  <c r="A10135" i="13"/>
  <c r="F10134" i="13"/>
  <c r="A10134" i="13"/>
  <c r="F10133" i="13"/>
  <c r="A10133" i="13"/>
  <c r="F10132" i="13"/>
  <c r="A10132" i="13"/>
  <c r="F10131" i="13"/>
  <c r="A10131" i="13"/>
  <c r="F10130" i="13"/>
  <c r="A10130" i="13"/>
  <c r="F10129" i="13"/>
  <c r="A10129" i="13"/>
  <c r="J10128" i="13"/>
  <c r="F10128" i="13"/>
  <c r="A10128" i="13"/>
  <c r="J10127" i="13"/>
  <c r="F10127" i="13"/>
  <c r="A10127" i="13"/>
  <c r="J10126" i="13"/>
  <c r="F10126" i="13"/>
  <c r="A10126" i="13"/>
  <c r="J10125" i="13"/>
  <c r="F10125" i="13"/>
  <c r="A10125" i="13"/>
  <c r="J10124" i="13"/>
  <c r="F10124" i="13"/>
  <c r="A10124" i="13"/>
  <c r="J10123" i="13"/>
  <c r="F10123" i="13"/>
  <c r="A10123" i="13"/>
  <c r="J10122" i="13"/>
  <c r="F10122" i="13"/>
  <c r="A10122" i="13"/>
  <c r="J10121" i="13"/>
  <c r="F10121" i="13"/>
  <c r="A10121" i="13"/>
  <c r="J10120" i="13"/>
  <c r="F10120" i="13"/>
  <c r="A10120" i="13"/>
  <c r="F10119" i="13"/>
  <c r="A10119" i="13"/>
  <c r="J10118" i="13"/>
  <c r="F10118" i="13"/>
  <c r="A10118" i="13"/>
  <c r="J10117" i="13"/>
  <c r="F10117" i="13"/>
  <c r="A10117" i="13"/>
  <c r="F10116" i="13"/>
  <c r="A10116" i="13"/>
  <c r="J10115" i="13"/>
  <c r="F10115" i="13"/>
  <c r="A10115" i="13"/>
  <c r="J10114" i="13"/>
  <c r="F10114" i="13"/>
  <c r="A10114" i="13"/>
  <c r="F10113" i="13"/>
  <c r="A10113" i="13"/>
  <c r="J10112" i="13"/>
  <c r="F10112" i="13"/>
  <c r="A10112" i="13"/>
  <c r="J10111" i="13"/>
  <c r="F10111" i="13"/>
  <c r="A10111" i="13"/>
  <c r="F10110" i="13"/>
  <c r="A10110" i="13"/>
  <c r="J10109" i="13"/>
  <c r="F10109" i="13"/>
  <c r="A10109" i="13"/>
  <c r="J10108" i="13"/>
  <c r="F10108" i="13"/>
  <c r="A10108" i="13"/>
  <c r="F10107" i="13"/>
  <c r="A10107" i="13"/>
  <c r="F10106" i="13"/>
  <c r="A10106" i="13"/>
  <c r="F10105" i="13"/>
  <c r="A10105" i="13"/>
  <c r="J10104" i="13"/>
  <c r="F10104" i="13"/>
  <c r="A10104" i="13"/>
  <c r="F10103" i="13"/>
  <c r="A10103" i="13"/>
  <c r="J10102" i="13"/>
  <c r="F10102" i="13"/>
  <c r="A10102" i="13"/>
  <c r="J10101" i="13"/>
  <c r="F10101" i="13"/>
  <c r="A10101" i="13"/>
  <c r="J10100" i="13"/>
  <c r="F10100" i="13"/>
  <c r="A10100" i="13"/>
  <c r="J10099" i="13"/>
  <c r="F10099" i="13"/>
  <c r="A10099" i="13"/>
  <c r="F10098" i="13"/>
  <c r="A10098" i="13"/>
  <c r="F10097" i="13"/>
  <c r="A10097" i="13"/>
  <c r="J10096" i="13"/>
  <c r="F10096" i="13"/>
  <c r="A10096" i="13"/>
  <c r="J10095" i="13"/>
  <c r="F10095" i="13"/>
  <c r="A10095" i="13"/>
  <c r="J10094" i="13"/>
  <c r="F10094" i="13"/>
  <c r="A10094" i="13"/>
  <c r="J10093" i="13"/>
  <c r="F10093" i="13"/>
  <c r="A10093" i="13"/>
  <c r="J10092" i="13"/>
  <c r="F10092" i="13"/>
  <c r="A10092" i="13"/>
  <c r="J10091" i="13"/>
  <c r="F10091" i="13"/>
  <c r="A10091" i="13"/>
  <c r="F10090" i="13"/>
  <c r="A10090" i="13"/>
  <c r="J10089" i="13"/>
  <c r="F10089" i="13"/>
  <c r="A10089" i="13"/>
  <c r="J10088" i="13"/>
  <c r="F10088" i="13"/>
  <c r="A10088" i="13"/>
  <c r="J10087" i="13"/>
  <c r="F10087" i="13"/>
  <c r="A10087" i="13"/>
  <c r="J10086" i="13"/>
  <c r="F10086" i="13"/>
  <c r="A10086" i="13"/>
  <c r="F10085" i="13"/>
  <c r="A10085" i="13"/>
  <c r="J10084" i="13"/>
  <c r="F10084" i="13"/>
  <c r="A10084" i="13"/>
  <c r="J10083" i="13"/>
  <c r="F10083" i="13"/>
  <c r="A10083" i="13"/>
  <c r="J10082" i="13"/>
  <c r="F10082" i="13"/>
  <c r="A10082" i="13"/>
  <c r="F10081" i="13"/>
  <c r="A10081" i="13"/>
  <c r="J10080" i="13"/>
  <c r="F10080" i="13"/>
  <c r="A10080" i="13"/>
  <c r="F10079" i="13"/>
  <c r="A10079" i="13"/>
  <c r="F10078" i="13"/>
  <c r="A10078" i="13"/>
  <c r="F10077" i="13"/>
  <c r="A10077" i="13"/>
  <c r="F10076" i="13"/>
  <c r="A10076" i="13"/>
  <c r="F10075" i="13"/>
  <c r="A10075" i="13"/>
  <c r="F10074" i="13"/>
  <c r="A10074" i="13"/>
  <c r="F10073" i="13"/>
  <c r="A10073" i="13"/>
  <c r="F10072" i="13"/>
  <c r="A10072" i="13"/>
  <c r="F10071" i="13"/>
  <c r="A10071" i="13"/>
  <c r="F10070" i="13"/>
  <c r="A10070" i="13"/>
  <c r="F10069" i="13"/>
  <c r="A10069" i="13"/>
  <c r="F10068" i="13"/>
  <c r="A10068" i="13"/>
  <c r="F10067" i="13"/>
  <c r="A10067" i="13"/>
  <c r="F10066" i="13"/>
  <c r="A10066" i="13"/>
  <c r="J10065" i="13"/>
  <c r="F10065" i="13"/>
  <c r="A10065" i="13"/>
  <c r="J10064" i="13"/>
  <c r="F10064" i="13"/>
  <c r="A10064" i="13"/>
  <c r="F10063" i="13"/>
  <c r="A10063" i="13"/>
  <c r="F10062" i="13"/>
  <c r="A10062" i="13"/>
  <c r="J10061" i="13"/>
  <c r="F10061" i="13"/>
  <c r="A10061" i="13"/>
  <c r="J10060" i="13"/>
  <c r="F10060" i="13"/>
  <c r="A10060" i="13"/>
  <c r="J10059" i="13"/>
  <c r="F10059" i="13"/>
  <c r="A10059" i="13"/>
  <c r="F10058" i="13"/>
  <c r="A10058" i="13"/>
  <c r="F10057" i="13"/>
  <c r="A10057" i="13"/>
  <c r="J10056" i="13"/>
  <c r="F10056" i="13"/>
  <c r="A10056" i="13"/>
  <c r="J10055" i="13"/>
  <c r="F10055" i="13"/>
  <c r="A10055" i="13"/>
  <c r="F10054" i="13"/>
  <c r="A10054" i="13"/>
  <c r="F10053" i="13"/>
  <c r="A10053" i="13"/>
  <c r="J10052" i="13"/>
  <c r="F10052" i="13"/>
  <c r="A10052" i="13"/>
  <c r="J10051" i="13"/>
  <c r="F10051" i="13"/>
  <c r="A10051" i="13"/>
  <c r="J10050" i="13"/>
  <c r="F10050" i="13"/>
  <c r="A10050" i="13"/>
  <c r="J10049" i="13"/>
  <c r="F10049" i="13"/>
  <c r="A10049" i="13"/>
  <c r="J10048" i="13"/>
  <c r="F10048" i="13"/>
  <c r="A10048" i="13"/>
  <c r="J10047" i="13"/>
  <c r="F10047" i="13"/>
  <c r="A10047" i="13"/>
  <c r="J10046" i="13"/>
  <c r="F10046" i="13"/>
  <c r="A10046" i="13"/>
  <c r="F10045" i="13"/>
  <c r="A10045" i="13"/>
  <c r="J10044" i="13"/>
  <c r="F10044" i="13"/>
  <c r="A10044" i="13"/>
  <c r="F10043" i="13"/>
  <c r="A10043" i="13"/>
  <c r="F10042" i="13"/>
  <c r="A10042" i="13"/>
  <c r="J10041" i="13"/>
  <c r="F10041" i="13"/>
  <c r="A10041" i="13"/>
  <c r="J10040" i="13"/>
  <c r="F10040" i="13"/>
  <c r="A10040" i="13"/>
  <c r="F10039" i="13"/>
  <c r="A10039" i="13"/>
  <c r="J10038" i="13"/>
  <c r="F10038" i="13"/>
  <c r="A10038" i="13"/>
  <c r="J10037" i="13"/>
  <c r="F10037" i="13"/>
  <c r="A10037" i="13"/>
  <c r="F10036" i="13"/>
  <c r="A10036" i="13"/>
  <c r="F10035" i="13"/>
  <c r="A10035" i="13"/>
  <c r="J10034" i="13"/>
  <c r="F10034" i="13"/>
  <c r="A10034" i="13"/>
  <c r="J10033" i="13"/>
  <c r="F10033" i="13"/>
  <c r="A10033" i="13"/>
  <c r="J10032" i="13"/>
  <c r="F10032" i="13"/>
  <c r="A10032" i="13"/>
  <c r="F10031" i="13"/>
  <c r="A10031" i="13"/>
  <c r="F10030" i="13"/>
  <c r="A10030" i="13"/>
  <c r="F10029" i="13"/>
  <c r="A10029" i="13"/>
  <c r="F10028" i="13"/>
  <c r="A10028" i="13"/>
  <c r="F10027" i="13"/>
  <c r="A10027" i="13"/>
  <c r="F10026" i="13"/>
  <c r="A10026" i="13"/>
  <c r="F10025" i="13"/>
  <c r="A10025" i="13"/>
  <c r="F10024" i="13"/>
  <c r="A10024" i="13"/>
  <c r="F10023" i="13"/>
  <c r="A10023" i="13"/>
  <c r="F10022" i="13"/>
  <c r="A10022" i="13"/>
  <c r="J10021" i="13"/>
  <c r="F10021" i="13"/>
  <c r="A10021" i="13"/>
  <c r="J10020" i="13"/>
  <c r="F10020" i="13"/>
  <c r="A10020" i="13"/>
  <c r="F10019" i="13"/>
  <c r="A10019" i="13"/>
  <c r="J10018" i="13"/>
  <c r="F10018" i="13"/>
  <c r="A10018" i="13"/>
  <c r="J10017" i="13"/>
  <c r="F10017" i="13"/>
  <c r="A10017" i="13"/>
  <c r="J10016" i="13"/>
  <c r="F10016" i="13"/>
  <c r="A10016" i="13"/>
  <c r="F10015" i="13"/>
  <c r="A10015" i="13"/>
  <c r="J10014" i="13"/>
  <c r="F10014" i="13"/>
  <c r="A10014" i="13"/>
  <c r="F10013" i="13"/>
  <c r="A10013" i="13"/>
  <c r="F10012" i="13"/>
  <c r="A10012" i="13"/>
  <c r="J10011" i="13"/>
  <c r="F10011" i="13"/>
  <c r="A10011" i="13"/>
  <c r="J10010" i="13"/>
  <c r="F10010" i="13"/>
  <c r="A10010" i="13"/>
  <c r="J10009" i="13"/>
  <c r="F10009" i="13"/>
  <c r="A10009" i="13"/>
  <c r="J10008" i="13"/>
  <c r="F10008" i="13"/>
  <c r="A10008" i="13"/>
  <c r="F10007" i="13"/>
  <c r="A10007" i="13"/>
  <c r="F10006" i="13"/>
  <c r="A10006" i="13"/>
  <c r="F10005" i="13"/>
  <c r="A10005" i="13"/>
  <c r="J10004" i="13"/>
  <c r="F10004" i="13"/>
  <c r="A10004" i="13"/>
  <c r="J10003" i="13"/>
  <c r="F10003" i="13"/>
  <c r="A10003" i="13"/>
  <c r="J10002" i="13"/>
  <c r="F10002" i="13"/>
  <c r="A10002" i="13"/>
  <c r="F10001" i="13"/>
  <c r="A10001" i="13"/>
  <c r="J10000" i="13"/>
  <c r="F10000" i="13"/>
  <c r="A10000" i="13"/>
  <c r="J9999" i="13"/>
  <c r="F9999" i="13"/>
  <c r="A9999" i="13"/>
  <c r="J9998" i="13"/>
  <c r="F9998" i="13"/>
  <c r="A9998" i="13"/>
  <c r="J9997" i="13"/>
  <c r="F9997" i="13"/>
  <c r="A9997" i="13"/>
  <c r="F9996" i="13"/>
  <c r="A9996" i="13"/>
  <c r="F9995" i="13"/>
  <c r="A9995" i="13"/>
  <c r="J9994" i="13"/>
  <c r="F9994" i="13"/>
  <c r="A9994" i="13"/>
  <c r="F9993" i="13"/>
  <c r="A9993" i="13"/>
  <c r="J9992" i="13"/>
  <c r="F9992" i="13"/>
  <c r="A9992" i="13"/>
  <c r="J9991" i="13"/>
  <c r="F9991" i="13"/>
  <c r="A9991" i="13"/>
  <c r="J9990" i="13"/>
  <c r="F9990" i="13"/>
  <c r="A9990" i="13"/>
  <c r="F9989" i="13"/>
  <c r="A9989" i="13"/>
  <c r="F9988" i="13"/>
  <c r="A9988" i="13"/>
  <c r="F9987" i="13"/>
  <c r="A9987" i="13"/>
  <c r="F9986" i="13"/>
  <c r="A9986" i="13"/>
  <c r="F9985" i="13"/>
  <c r="A9985" i="13"/>
  <c r="J9984" i="13"/>
  <c r="F9984" i="13"/>
  <c r="A9984" i="13"/>
  <c r="F9983" i="13"/>
  <c r="A9983" i="13"/>
  <c r="F9982" i="13"/>
  <c r="A9982" i="13"/>
  <c r="F9981" i="13"/>
  <c r="A9981" i="13"/>
  <c r="J9980" i="13"/>
  <c r="F9980" i="13"/>
  <c r="A9980" i="13"/>
  <c r="J9979" i="13"/>
  <c r="F9979" i="13"/>
  <c r="A9979" i="13"/>
  <c r="J9978" i="13"/>
  <c r="F9978" i="13"/>
  <c r="A9978" i="13"/>
  <c r="J9977" i="13"/>
  <c r="F9977" i="13"/>
  <c r="A9977" i="13"/>
  <c r="J9976" i="13"/>
  <c r="F9976" i="13"/>
  <c r="A9976" i="13"/>
  <c r="F9975" i="13"/>
  <c r="A9975" i="13"/>
  <c r="F9974" i="13"/>
  <c r="A9974" i="13"/>
  <c r="F9973" i="13"/>
  <c r="A9973" i="13"/>
  <c r="F9972" i="13"/>
  <c r="A9972" i="13"/>
  <c r="F9971" i="13"/>
  <c r="A9971" i="13"/>
  <c r="F9970" i="13"/>
  <c r="A9970" i="13"/>
  <c r="F9969" i="13"/>
  <c r="A9969" i="13"/>
  <c r="F9968" i="13"/>
  <c r="A9968" i="13"/>
  <c r="J9967" i="13"/>
  <c r="F9967" i="13"/>
  <c r="A9967" i="13"/>
  <c r="J9966" i="13"/>
  <c r="F9966" i="13"/>
  <c r="A9966" i="13"/>
  <c r="F9965" i="13"/>
  <c r="A9965" i="13"/>
  <c r="F9964" i="13"/>
  <c r="A9964" i="13"/>
  <c r="J9963" i="13"/>
  <c r="F9963" i="13"/>
  <c r="A9963" i="13"/>
  <c r="F9962" i="13"/>
  <c r="A9962" i="13"/>
  <c r="F9961" i="13"/>
  <c r="A9961" i="13"/>
  <c r="J9960" i="13"/>
  <c r="F9960" i="13"/>
  <c r="A9960" i="13"/>
  <c r="F9959" i="13"/>
  <c r="A9959" i="13"/>
  <c r="J9958" i="13"/>
  <c r="F9958" i="13"/>
  <c r="A9958" i="13"/>
  <c r="J9957" i="13"/>
  <c r="F9957" i="13"/>
  <c r="A9957" i="13"/>
  <c r="F9956" i="13"/>
  <c r="A9956" i="13"/>
  <c r="J9955" i="13"/>
  <c r="F9955" i="13"/>
  <c r="A9955" i="13"/>
  <c r="J9954" i="13"/>
  <c r="F9954" i="13"/>
  <c r="A9954" i="13"/>
  <c r="F9953" i="13"/>
  <c r="A9953" i="13"/>
  <c r="F9952" i="13"/>
  <c r="A9952" i="13"/>
  <c r="J9951" i="13"/>
  <c r="F9951" i="13"/>
  <c r="A9951" i="13"/>
  <c r="J9950" i="13"/>
  <c r="F9950" i="13"/>
  <c r="A9950" i="13"/>
  <c r="F9949" i="13"/>
  <c r="A9949" i="13"/>
  <c r="F9948" i="13"/>
  <c r="A9948" i="13"/>
  <c r="J9947" i="13"/>
  <c r="F9947" i="13"/>
  <c r="A9947" i="13"/>
  <c r="J9946" i="13"/>
  <c r="F9946" i="13"/>
  <c r="A9946" i="13"/>
  <c r="F9945" i="13"/>
  <c r="A9945" i="13"/>
  <c r="J9944" i="13"/>
  <c r="F9944" i="13"/>
  <c r="A9944" i="13"/>
  <c r="F9943" i="13"/>
  <c r="A9943" i="13"/>
  <c r="J9942" i="13"/>
  <c r="F9942" i="13"/>
  <c r="A9942" i="13"/>
  <c r="J9941" i="13"/>
  <c r="F9941" i="13"/>
  <c r="A9941" i="13"/>
  <c r="J9940" i="13"/>
  <c r="F9940" i="13"/>
  <c r="A9940" i="13"/>
  <c r="J9939" i="13"/>
  <c r="F9939" i="13"/>
  <c r="A9939" i="13"/>
  <c r="F9938" i="13"/>
  <c r="A9938" i="13"/>
  <c r="F9937" i="13"/>
  <c r="A9937" i="13"/>
  <c r="F9936" i="13"/>
  <c r="A9936" i="13"/>
  <c r="J9935" i="13"/>
  <c r="F9935" i="13"/>
  <c r="A9935" i="13"/>
  <c r="J9934" i="13"/>
  <c r="F9934" i="13"/>
  <c r="A9934" i="13"/>
  <c r="F9933" i="13"/>
  <c r="A9933" i="13"/>
  <c r="F9932" i="13"/>
  <c r="A9932" i="13"/>
  <c r="J9931" i="13"/>
  <c r="F9931" i="13"/>
  <c r="A9931" i="13"/>
  <c r="J9930" i="13"/>
  <c r="F9930" i="13"/>
  <c r="A9930" i="13"/>
  <c r="F9929" i="13"/>
  <c r="A9929" i="13"/>
  <c r="J9928" i="13"/>
  <c r="F9928" i="13"/>
  <c r="A9928" i="13"/>
  <c r="F9927" i="13"/>
  <c r="A9927" i="13"/>
  <c r="F9926" i="13"/>
  <c r="A9926" i="13"/>
  <c r="J9925" i="13"/>
  <c r="F9925" i="13"/>
  <c r="A9925" i="13"/>
  <c r="F9924" i="13"/>
  <c r="A9924" i="13"/>
  <c r="F9923" i="13"/>
  <c r="A9923" i="13"/>
  <c r="J9922" i="13"/>
  <c r="F9922" i="13"/>
  <c r="A9922" i="13"/>
  <c r="J9921" i="13"/>
  <c r="F9921" i="13"/>
  <c r="A9921" i="13"/>
  <c r="J9920" i="13"/>
  <c r="F9920" i="13"/>
  <c r="A9920" i="13"/>
  <c r="F9919" i="13"/>
  <c r="A9919" i="13"/>
  <c r="J9918" i="13"/>
  <c r="F9918" i="13"/>
  <c r="A9918" i="13"/>
  <c r="J9917" i="13"/>
  <c r="F9917" i="13"/>
  <c r="A9917" i="13"/>
  <c r="J9916" i="13"/>
  <c r="F9916" i="13"/>
  <c r="A9916" i="13"/>
  <c r="J9915" i="13"/>
  <c r="F9915" i="13"/>
  <c r="A9915" i="13"/>
  <c r="J9914" i="13"/>
  <c r="F9914" i="13"/>
  <c r="A9914" i="13"/>
  <c r="J9913" i="13"/>
  <c r="F9913" i="13"/>
  <c r="A9913" i="13"/>
  <c r="F9912" i="13"/>
  <c r="A9912" i="13"/>
  <c r="J9911" i="13"/>
  <c r="F9911" i="13"/>
  <c r="A9911" i="13"/>
  <c r="J9910" i="13"/>
  <c r="F9910" i="13"/>
  <c r="A9910" i="13"/>
  <c r="J9909" i="13"/>
  <c r="F9909" i="13"/>
  <c r="A9909" i="13"/>
  <c r="J9908" i="13"/>
  <c r="F9908" i="13"/>
  <c r="A9908" i="13"/>
  <c r="F9907" i="13"/>
  <c r="A9907" i="13"/>
  <c r="J9906" i="13"/>
  <c r="F9906" i="13"/>
  <c r="A9906" i="13"/>
  <c r="J9905" i="13"/>
  <c r="F9905" i="13"/>
  <c r="A9905" i="13"/>
  <c r="J9904" i="13"/>
  <c r="F9904" i="13"/>
  <c r="A9904" i="13"/>
  <c r="J9903" i="13"/>
  <c r="F9903" i="13"/>
  <c r="A9903" i="13"/>
  <c r="J9902" i="13"/>
  <c r="F9902" i="13"/>
  <c r="A9902" i="13"/>
  <c r="J9901" i="13"/>
  <c r="F9901" i="13"/>
  <c r="A9901" i="13"/>
  <c r="J9900" i="13"/>
  <c r="F9900" i="13"/>
  <c r="A9900" i="13"/>
  <c r="F9899" i="13"/>
  <c r="A9899" i="13"/>
  <c r="J9898" i="13"/>
  <c r="F9898" i="13"/>
  <c r="A9898" i="13"/>
  <c r="J9897" i="13"/>
  <c r="F9897" i="13"/>
  <c r="A9897" i="13"/>
  <c r="F9896" i="13"/>
  <c r="A9896" i="13"/>
  <c r="F9895" i="13"/>
  <c r="A9895" i="13"/>
  <c r="F9894" i="13"/>
  <c r="A9894" i="13"/>
  <c r="F9893" i="13"/>
  <c r="A9893" i="13"/>
  <c r="F9892" i="13"/>
  <c r="A9892" i="13"/>
  <c r="F9891" i="13"/>
  <c r="A9891" i="13"/>
  <c r="J9890" i="13"/>
  <c r="F9890" i="13"/>
  <c r="A9890" i="13"/>
  <c r="J9889" i="13"/>
  <c r="F9889" i="13"/>
  <c r="A9889" i="13"/>
  <c r="F9888" i="13"/>
  <c r="A9888" i="13"/>
  <c r="J9887" i="13"/>
  <c r="F9887" i="13"/>
  <c r="A9887" i="13"/>
  <c r="J9886" i="13"/>
  <c r="F9886" i="13"/>
  <c r="A9886" i="13"/>
  <c r="J9885" i="13"/>
  <c r="F9885" i="13"/>
  <c r="A9885" i="13"/>
  <c r="J9884" i="13"/>
  <c r="F9884" i="13"/>
  <c r="A9884" i="13"/>
  <c r="J9883" i="13"/>
  <c r="F9883" i="13"/>
  <c r="A9883" i="13"/>
  <c r="J9882" i="13"/>
  <c r="F9882" i="13"/>
  <c r="A9882" i="13"/>
  <c r="J9881" i="13"/>
  <c r="F9881" i="13"/>
  <c r="A9881" i="13"/>
  <c r="F9880" i="13"/>
  <c r="A9880" i="13"/>
  <c r="F9879" i="13"/>
  <c r="A9879" i="13"/>
  <c r="F9878" i="13"/>
  <c r="A9878" i="13"/>
  <c r="J9877" i="13"/>
  <c r="F9877" i="13"/>
  <c r="A9877" i="13"/>
  <c r="J9876" i="13"/>
  <c r="F9876" i="13"/>
  <c r="A9876" i="13"/>
  <c r="F9875" i="13"/>
  <c r="A9875" i="13"/>
  <c r="F9874" i="13"/>
  <c r="A9874" i="13"/>
  <c r="F9873" i="13"/>
  <c r="A9873" i="13"/>
  <c r="J9872" i="13"/>
  <c r="F9872" i="13"/>
  <c r="A9872" i="13"/>
  <c r="J9871" i="13"/>
  <c r="F9871" i="13"/>
  <c r="A9871" i="13"/>
  <c r="J9870" i="13"/>
  <c r="F9870" i="13"/>
  <c r="A9870" i="13"/>
  <c r="J9869" i="13"/>
  <c r="F9869" i="13"/>
  <c r="A9869" i="13"/>
  <c r="F9868" i="13"/>
  <c r="A9868" i="13"/>
  <c r="J9867" i="13"/>
  <c r="F9867" i="13"/>
  <c r="A9867" i="13"/>
  <c r="F9866" i="13"/>
  <c r="A9866" i="13"/>
  <c r="J9865" i="13"/>
  <c r="F9865" i="13"/>
  <c r="A9865" i="13"/>
  <c r="J9864" i="13"/>
  <c r="F9864" i="13"/>
  <c r="A9864" i="13"/>
  <c r="J9863" i="13"/>
  <c r="F9863" i="13"/>
  <c r="A9863" i="13"/>
  <c r="J9862" i="13"/>
  <c r="F9862" i="13"/>
  <c r="A9862" i="13"/>
  <c r="J9861" i="13"/>
  <c r="F9861" i="13"/>
  <c r="A9861" i="13"/>
  <c r="F9860" i="13"/>
  <c r="A9860" i="13"/>
  <c r="F9859" i="13"/>
  <c r="A9859" i="13"/>
  <c r="F9858" i="13"/>
  <c r="A9858" i="13"/>
  <c r="J9857" i="13"/>
  <c r="F9857" i="13"/>
  <c r="A9857" i="13"/>
  <c r="J9856" i="13"/>
  <c r="F9856" i="13"/>
  <c r="A9856" i="13"/>
  <c r="J9855" i="13"/>
  <c r="F9855" i="13"/>
  <c r="A9855" i="13"/>
  <c r="J9854" i="13"/>
  <c r="F9854" i="13"/>
  <c r="A9854" i="13"/>
  <c r="J9853" i="13"/>
  <c r="F9853" i="13"/>
  <c r="A9853" i="13"/>
  <c r="F9852" i="13"/>
  <c r="A9852" i="13"/>
  <c r="J9851" i="13"/>
  <c r="F9851" i="13"/>
  <c r="J9850" i="13"/>
  <c r="F9850" i="13"/>
  <c r="J9849" i="13"/>
  <c r="F9849" i="13"/>
  <c r="J9848" i="13"/>
  <c r="F9848" i="13"/>
  <c r="J9847" i="13"/>
  <c r="F9847" i="13"/>
  <c r="J9846" i="13"/>
  <c r="F9846" i="13"/>
  <c r="J9845" i="13"/>
  <c r="F9845" i="13"/>
  <c r="J9844" i="13"/>
  <c r="F9844" i="13"/>
  <c r="J9843" i="13"/>
  <c r="F9843" i="13"/>
  <c r="J9842" i="13"/>
  <c r="F9842" i="13"/>
  <c r="F9841" i="13"/>
  <c r="A9841" i="13"/>
  <c r="F9840" i="13"/>
  <c r="A9840" i="13"/>
  <c r="F9839" i="13"/>
  <c r="A9839" i="13"/>
  <c r="F9838" i="13"/>
  <c r="A9838" i="13"/>
  <c r="F9837" i="13"/>
  <c r="A9837" i="13"/>
  <c r="F9836" i="13"/>
  <c r="A9836" i="13"/>
  <c r="F9835" i="13"/>
  <c r="A9835" i="13"/>
  <c r="F9834" i="13"/>
  <c r="A9834" i="13"/>
  <c r="F9833" i="13"/>
  <c r="A9833" i="13"/>
  <c r="F9832" i="13"/>
  <c r="A9832" i="13"/>
  <c r="F9831" i="13"/>
  <c r="A9831" i="13"/>
  <c r="F9830" i="13"/>
  <c r="A9830" i="13"/>
  <c r="F9829" i="13"/>
  <c r="A9829" i="13"/>
  <c r="F9828" i="13"/>
  <c r="A9828" i="13"/>
  <c r="F9827" i="13"/>
  <c r="A9827" i="13"/>
  <c r="F9826" i="13"/>
  <c r="A9826" i="13"/>
  <c r="F9825" i="13"/>
  <c r="A9825" i="13"/>
  <c r="F9824" i="13"/>
  <c r="A9824" i="13"/>
  <c r="F9823" i="13"/>
  <c r="A9823" i="13"/>
  <c r="F9822" i="13"/>
  <c r="A9822" i="13"/>
  <c r="F9821" i="13"/>
  <c r="A9821" i="13"/>
  <c r="F9820" i="13"/>
  <c r="A9820" i="13"/>
  <c r="F9819" i="13"/>
  <c r="A9819" i="13"/>
  <c r="F9818" i="13"/>
  <c r="A9818" i="13"/>
  <c r="F9817" i="13"/>
  <c r="A9817" i="13"/>
  <c r="F9816" i="13"/>
  <c r="A9816" i="13"/>
  <c r="F9815" i="13"/>
  <c r="A9815" i="13"/>
  <c r="F9814" i="13"/>
  <c r="A9814" i="13"/>
  <c r="F9813" i="13"/>
  <c r="A9813" i="13"/>
  <c r="F9812" i="13"/>
  <c r="A9812" i="13"/>
  <c r="F9811" i="13"/>
  <c r="A9811" i="13"/>
  <c r="F9810" i="13"/>
  <c r="A9810" i="13"/>
  <c r="F9809" i="13"/>
  <c r="A9809" i="13"/>
  <c r="F9808" i="13"/>
  <c r="A9808" i="13"/>
  <c r="F9807" i="13"/>
  <c r="F9806" i="13"/>
  <c r="A9806" i="13"/>
  <c r="J9805" i="13"/>
  <c r="F9805" i="13"/>
  <c r="A9805" i="13"/>
  <c r="F9804" i="13"/>
  <c r="A9804" i="13"/>
  <c r="F9803" i="13"/>
  <c r="A9803" i="13"/>
  <c r="J9802" i="13"/>
  <c r="F9802" i="13"/>
  <c r="A9802" i="13"/>
  <c r="J9801" i="13"/>
  <c r="F9801" i="13"/>
  <c r="A9801" i="13"/>
  <c r="J9800" i="13"/>
  <c r="F9800" i="13"/>
  <c r="A9800" i="13"/>
  <c r="J9799" i="13"/>
  <c r="F9799" i="13"/>
  <c r="A9799" i="13"/>
  <c r="F9798" i="13"/>
  <c r="A9798" i="13"/>
  <c r="J9797" i="13"/>
  <c r="F9797" i="13"/>
  <c r="A9797" i="13"/>
  <c r="F9796" i="13"/>
  <c r="A9796" i="13"/>
  <c r="J9795" i="13"/>
  <c r="F9795" i="13"/>
  <c r="A9795" i="13"/>
  <c r="J9794" i="13"/>
  <c r="F9794" i="13"/>
  <c r="A9794" i="13"/>
  <c r="J9793" i="13"/>
  <c r="F9793" i="13"/>
  <c r="A9793" i="13"/>
  <c r="F9792" i="13"/>
  <c r="A9792" i="13"/>
  <c r="J9791" i="13"/>
  <c r="F9791" i="13"/>
  <c r="A9791" i="13"/>
  <c r="J9790" i="13"/>
  <c r="F9790" i="13"/>
  <c r="A9790" i="13"/>
  <c r="F9789" i="13"/>
  <c r="A9789" i="13"/>
  <c r="F9788" i="13"/>
  <c r="A9788" i="13"/>
  <c r="F9787" i="13"/>
  <c r="A9787" i="13"/>
  <c r="J9786" i="13"/>
  <c r="F9786" i="13"/>
  <c r="A9786" i="13"/>
  <c r="J9785" i="13"/>
  <c r="F9785" i="13"/>
  <c r="A9785" i="13"/>
  <c r="J9784" i="13"/>
  <c r="F9784" i="13"/>
  <c r="A9784" i="13"/>
  <c r="J9783" i="13"/>
  <c r="F9783" i="13"/>
  <c r="A9783" i="13"/>
  <c r="J9782" i="13"/>
  <c r="F9782" i="13"/>
  <c r="A9782" i="13"/>
  <c r="J9781" i="13"/>
  <c r="F9781" i="13"/>
  <c r="A9781" i="13"/>
  <c r="F9780" i="13"/>
  <c r="A9780" i="13"/>
  <c r="J9779" i="13"/>
  <c r="F9779" i="13"/>
  <c r="A9779" i="13"/>
  <c r="F9778" i="13"/>
  <c r="A9778" i="13"/>
  <c r="J9777" i="13"/>
  <c r="F9777" i="13"/>
  <c r="A9777" i="13"/>
  <c r="J9776" i="13"/>
  <c r="F9776" i="13"/>
  <c r="A9776" i="13"/>
  <c r="J9775" i="13"/>
  <c r="F9775" i="13"/>
  <c r="A9775" i="13"/>
  <c r="J9774" i="13"/>
  <c r="F9774" i="13"/>
  <c r="A9774" i="13"/>
  <c r="J9773" i="13"/>
  <c r="F9773" i="13"/>
  <c r="A9773" i="13"/>
  <c r="J9772" i="13"/>
  <c r="F9772" i="13"/>
  <c r="A9772" i="13"/>
  <c r="J9771" i="13"/>
  <c r="F9771" i="13"/>
  <c r="A9771" i="13"/>
  <c r="J9770" i="13"/>
  <c r="F9770" i="13"/>
  <c r="A9770" i="13"/>
  <c r="J9769" i="13"/>
  <c r="F9769" i="13"/>
  <c r="A9769" i="13"/>
  <c r="J9768" i="13"/>
  <c r="F9768" i="13"/>
  <c r="A9768" i="13"/>
  <c r="J9767" i="13"/>
  <c r="F9767" i="13"/>
  <c r="A9767" i="13"/>
  <c r="J9766" i="13"/>
  <c r="F9766" i="13"/>
  <c r="A9766" i="13"/>
  <c r="J9765" i="13"/>
  <c r="F9765" i="13"/>
  <c r="A9765" i="13"/>
  <c r="J9764" i="13"/>
  <c r="F9764" i="13"/>
  <c r="A9764" i="13"/>
  <c r="F9763" i="13"/>
  <c r="A9763" i="13"/>
  <c r="F9762" i="13"/>
  <c r="A9762" i="13"/>
  <c r="F9761" i="13"/>
  <c r="A9761" i="13"/>
  <c r="J9760" i="13"/>
  <c r="F9760" i="13"/>
  <c r="A9760" i="13"/>
  <c r="J9759" i="13"/>
  <c r="F9759" i="13"/>
  <c r="A9759" i="13"/>
  <c r="J9758" i="13"/>
  <c r="F9758" i="13"/>
  <c r="A9758" i="13"/>
  <c r="J9757" i="13"/>
  <c r="F9757" i="13"/>
  <c r="A9757" i="13"/>
  <c r="J9756" i="13"/>
  <c r="F9756" i="13"/>
  <c r="A9756" i="13"/>
  <c r="J9755" i="13"/>
  <c r="F9755" i="13"/>
  <c r="A9755" i="13"/>
  <c r="J9754" i="13"/>
  <c r="F9754" i="13"/>
  <c r="A9754" i="13"/>
  <c r="F9753" i="13"/>
  <c r="A9753" i="13"/>
  <c r="F9752" i="13"/>
  <c r="A9752" i="13"/>
  <c r="F9751" i="13"/>
  <c r="A9751" i="13"/>
  <c r="F9750" i="13"/>
  <c r="A9750" i="13"/>
  <c r="F9749" i="13"/>
  <c r="A9749" i="13"/>
  <c r="F9748" i="13"/>
  <c r="A9748" i="13"/>
  <c r="J9747" i="13"/>
  <c r="F9747" i="13"/>
  <c r="A9747" i="13"/>
  <c r="F9746" i="13"/>
  <c r="A9746" i="13"/>
  <c r="J9745" i="13"/>
  <c r="F9745" i="13"/>
  <c r="A9745" i="13"/>
  <c r="J9744" i="13"/>
  <c r="F9744" i="13"/>
  <c r="A9744" i="13"/>
  <c r="F9743" i="13"/>
  <c r="A9743" i="13"/>
  <c r="J9742" i="13"/>
  <c r="F9742" i="13"/>
  <c r="A9742" i="13"/>
  <c r="J9741" i="13"/>
  <c r="F9741" i="13"/>
  <c r="A9741" i="13"/>
  <c r="J9740" i="13"/>
  <c r="F9740" i="13"/>
  <c r="A9740" i="13"/>
  <c r="F9739" i="13"/>
  <c r="A9739" i="13"/>
  <c r="F9738" i="13"/>
  <c r="A9738" i="13"/>
  <c r="F9737" i="13"/>
  <c r="A9737" i="13"/>
  <c r="F9736" i="13"/>
  <c r="A9736" i="13"/>
  <c r="F9735" i="13"/>
  <c r="A9735" i="13"/>
  <c r="J9734" i="13"/>
  <c r="F9734" i="13"/>
  <c r="A9734" i="13"/>
  <c r="F9733" i="13"/>
  <c r="A9733" i="13"/>
  <c r="J9732" i="13"/>
  <c r="F9732" i="13"/>
  <c r="A9732" i="13"/>
  <c r="J9731" i="13"/>
  <c r="F9731" i="13"/>
  <c r="A9731" i="13"/>
  <c r="J9730" i="13"/>
  <c r="F9730" i="13"/>
  <c r="A9730" i="13"/>
  <c r="J9729" i="13"/>
  <c r="F9729" i="13"/>
  <c r="A9729" i="13"/>
  <c r="J9728" i="13"/>
  <c r="F9728" i="13"/>
  <c r="A9728" i="13"/>
  <c r="J9727" i="13"/>
  <c r="F9727" i="13"/>
  <c r="A9727" i="13"/>
  <c r="F9726" i="13"/>
  <c r="A9726" i="13"/>
  <c r="F9725" i="13"/>
  <c r="A9725" i="13"/>
  <c r="F9724" i="13"/>
  <c r="A9724" i="13"/>
  <c r="J9723" i="13"/>
  <c r="F9723" i="13"/>
  <c r="A9723" i="13"/>
  <c r="F9722" i="13"/>
  <c r="A9722" i="13"/>
  <c r="F9721" i="13"/>
  <c r="A9721" i="13"/>
  <c r="F9720" i="13"/>
  <c r="A9720" i="13"/>
  <c r="F9719" i="13"/>
  <c r="A9719" i="13"/>
  <c r="F9718" i="13"/>
  <c r="A9718" i="13"/>
  <c r="J9717" i="13"/>
  <c r="F9717" i="13"/>
  <c r="A9717" i="13"/>
  <c r="J9716" i="13"/>
  <c r="F9716" i="13"/>
  <c r="A9716" i="13"/>
  <c r="J9715" i="13"/>
  <c r="F9715" i="13"/>
  <c r="A9715" i="13"/>
  <c r="F9714" i="13"/>
  <c r="A9714" i="13"/>
  <c r="F9713" i="13"/>
  <c r="A9713" i="13"/>
  <c r="F9712" i="13"/>
  <c r="A9712" i="13"/>
  <c r="F9711" i="13"/>
  <c r="A9711" i="13"/>
  <c r="F9710" i="13"/>
  <c r="A9710" i="13"/>
  <c r="F9709" i="13"/>
  <c r="A9709" i="13"/>
  <c r="F9708" i="13"/>
  <c r="A9708" i="13"/>
  <c r="J9707" i="13"/>
  <c r="F9707" i="13"/>
  <c r="A9707" i="13"/>
  <c r="J9706" i="13"/>
  <c r="F9706" i="13"/>
  <c r="A9706" i="13"/>
  <c r="J9705" i="13"/>
  <c r="F9705" i="13"/>
  <c r="A9705" i="13"/>
  <c r="J9704" i="13"/>
  <c r="F9704" i="13"/>
  <c r="A9704" i="13"/>
  <c r="F9703" i="13"/>
  <c r="A9703" i="13"/>
  <c r="J9702" i="13"/>
  <c r="F9702" i="13"/>
  <c r="A9702" i="13"/>
  <c r="J9701" i="13"/>
  <c r="F9701" i="13"/>
  <c r="A9701" i="13"/>
  <c r="J9700" i="13"/>
  <c r="F9700" i="13"/>
  <c r="A9700" i="13"/>
  <c r="J9699" i="13"/>
  <c r="F9699" i="13"/>
  <c r="A9699" i="13"/>
  <c r="J9698" i="13"/>
  <c r="F9698" i="13"/>
  <c r="A9698" i="13"/>
  <c r="J9697" i="13"/>
  <c r="F9697" i="13"/>
  <c r="A9697" i="13"/>
  <c r="J9696" i="13"/>
  <c r="F9696" i="13"/>
  <c r="A9696" i="13"/>
  <c r="J9695" i="13"/>
  <c r="F9695" i="13"/>
  <c r="A9695" i="13"/>
  <c r="F9694" i="13"/>
  <c r="A9694" i="13"/>
  <c r="F9693" i="13"/>
  <c r="A9693" i="13"/>
  <c r="J9692" i="13"/>
  <c r="F9692" i="13"/>
  <c r="A9692" i="13"/>
  <c r="J9691" i="13"/>
  <c r="F9691" i="13"/>
  <c r="A9691" i="13"/>
  <c r="F9690" i="13"/>
  <c r="A9690" i="13"/>
  <c r="J9689" i="13"/>
  <c r="F9689" i="13"/>
  <c r="A9689" i="13"/>
  <c r="J9688" i="13"/>
  <c r="F9688" i="13"/>
  <c r="A9688" i="13"/>
  <c r="J9687" i="13"/>
  <c r="F9687" i="13"/>
  <c r="A9687" i="13"/>
  <c r="J9686" i="13"/>
  <c r="F9686" i="13"/>
  <c r="A9686" i="13"/>
  <c r="F9685" i="13"/>
  <c r="A9685" i="13"/>
  <c r="J9684" i="13"/>
  <c r="F9684" i="13"/>
  <c r="A9684" i="13"/>
  <c r="J9683" i="13"/>
  <c r="F9683" i="13"/>
  <c r="A9683" i="13"/>
  <c r="J9682" i="13"/>
  <c r="F9682" i="13"/>
  <c r="A9682" i="13"/>
  <c r="J9681" i="13"/>
  <c r="F9681" i="13"/>
  <c r="A9681" i="13"/>
  <c r="J9680" i="13"/>
  <c r="F9680" i="13"/>
  <c r="A9680" i="13"/>
  <c r="J9679" i="13"/>
  <c r="F9679" i="13"/>
  <c r="A9679" i="13"/>
  <c r="J9678" i="13"/>
  <c r="F9678" i="13"/>
  <c r="A9678" i="13"/>
  <c r="J9677" i="13"/>
  <c r="F9677" i="13"/>
  <c r="A9677" i="13"/>
  <c r="F9676" i="13"/>
  <c r="A9676" i="13"/>
  <c r="F9675" i="13"/>
  <c r="A9675" i="13"/>
  <c r="F9674" i="13"/>
  <c r="A9674" i="13"/>
  <c r="J9673" i="13"/>
  <c r="F9673" i="13"/>
  <c r="A9673" i="13"/>
  <c r="J9672" i="13"/>
  <c r="F9672" i="13"/>
  <c r="A9672" i="13"/>
  <c r="J9671" i="13"/>
  <c r="F9671" i="13"/>
  <c r="A9671" i="13"/>
  <c r="J9670" i="13"/>
  <c r="F9670" i="13"/>
  <c r="A9670" i="13"/>
  <c r="J9669" i="13"/>
  <c r="F9669" i="13"/>
  <c r="A9669" i="13"/>
  <c r="J9668" i="13"/>
  <c r="F9668" i="13"/>
  <c r="A9668" i="13"/>
  <c r="J9667" i="13"/>
  <c r="F9667" i="13"/>
  <c r="A9667" i="13"/>
  <c r="J9666" i="13"/>
  <c r="F9666" i="13"/>
  <c r="A9666" i="13"/>
  <c r="J9665" i="13"/>
  <c r="F9665" i="13"/>
  <c r="A9665" i="13"/>
  <c r="J9664" i="13"/>
  <c r="F9664" i="13"/>
  <c r="A9664" i="13"/>
  <c r="J9663" i="13"/>
  <c r="F9663" i="13"/>
  <c r="A9663" i="13"/>
  <c r="F9662" i="13"/>
  <c r="A9662" i="13"/>
  <c r="F9661" i="13"/>
  <c r="A9661" i="13"/>
  <c r="F9660" i="13"/>
  <c r="A9660" i="13"/>
  <c r="J9659" i="13"/>
  <c r="F9659" i="13"/>
  <c r="A9659" i="13"/>
  <c r="J9658" i="13"/>
  <c r="F9658" i="13"/>
  <c r="A9658" i="13"/>
  <c r="J9657" i="13"/>
  <c r="F9657" i="13"/>
  <c r="A9657" i="13"/>
  <c r="J9656" i="13"/>
  <c r="F9656" i="13"/>
  <c r="A9656" i="13"/>
  <c r="F9655" i="13"/>
  <c r="A9655" i="13"/>
  <c r="J9654" i="13"/>
  <c r="F9654" i="13"/>
  <c r="A9654" i="13"/>
  <c r="J9653" i="13"/>
  <c r="F9653" i="13"/>
  <c r="A9653" i="13"/>
  <c r="J9652" i="13"/>
  <c r="F9652" i="13"/>
  <c r="A9652" i="13"/>
  <c r="J9651" i="13"/>
  <c r="F9651" i="13"/>
  <c r="A9651" i="13"/>
  <c r="J9650" i="13"/>
  <c r="F9650" i="13"/>
  <c r="A9650" i="13"/>
  <c r="J9649" i="13"/>
  <c r="F9649" i="13"/>
  <c r="A9649" i="13"/>
  <c r="J9648" i="13"/>
  <c r="F9648" i="13"/>
  <c r="A9648" i="13"/>
  <c r="J9647" i="13"/>
  <c r="F9647" i="13"/>
  <c r="A9647" i="13"/>
  <c r="J9646" i="13"/>
  <c r="F9646" i="13"/>
  <c r="A9646" i="13"/>
  <c r="J9645" i="13"/>
  <c r="F9645" i="13"/>
  <c r="A9645" i="13"/>
  <c r="J9644" i="13"/>
  <c r="F9644" i="13"/>
  <c r="A9644" i="13"/>
  <c r="F9643" i="13"/>
  <c r="A9643" i="13"/>
  <c r="F9642" i="13"/>
  <c r="A9642" i="13"/>
  <c r="F9641" i="13"/>
  <c r="A9641" i="13"/>
  <c r="F9640" i="13"/>
  <c r="A9640" i="13"/>
  <c r="J9639" i="13"/>
  <c r="F9639" i="13"/>
  <c r="A9639" i="13"/>
  <c r="J9638" i="13"/>
  <c r="F9638" i="13"/>
  <c r="A9638" i="13"/>
  <c r="J9637" i="13"/>
  <c r="F9637" i="13"/>
  <c r="A9637" i="13"/>
  <c r="F9636" i="13"/>
  <c r="A9636" i="13"/>
  <c r="J9635" i="13"/>
  <c r="F9635" i="13"/>
  <c r="A9635" i="13"/>
  <c r="J9634" i="13"/>
  <c r="F9634" i="13"/>
  <c r="A9634" i="13"/>
  <c r="F9633" i="13"/>
  <c r="A9633" i="13"/>
  <c r="J9632" i="13"/>
  <c r="F9632" i="13"/>
  <c r="A9632" i="13"/>
  <c r="F9631" i="13"/>
  <c r="A9631" i="13"/>
  <c r="F9630" i="13"/>
  <c r="A9630" i="13"/>
  <c r="J9629" i="13"/>
  <c r="F9629" i="13"/>
  <c r="A9629" i="13"/>
  <c r="J9628" i="13"/>
  <c r="F9628" i="13"/>
  <c r="A9628" i="13"/>
  <c r="J9627" i="13"/>
  <c r="F9627" i="13"/>
  <c r="A9627" i="13"/>
  <c r="J9626" i="13"/>
  <c r="F9626" i="13"/>
  <c r="A9626" i="13"/>
  <c r="J9625" i="13"/>
  <c r="F9625" i="13"/>
  <c r="A9625" i="13"/>
  <c r="F9624" i="13"/>
  <c r="A9624" i="13"/>
  <c r="F9623" i="13"/>
  <c r="A9623" i="13"/>
  <c r="J9622" i="13"/>
  <c r="F9622" i="13"/>
  <c r="A9622" i="13"/>
  <c r="J9621" i="13"/>
  <c r="F9621" i="13"/>
  <c r="A9621" i="13"/>
  <c r="J9620" i="13"/>
  <c r="F9620" i="13"/>
  <c r="A9620" i="13"/>
  <c r="F9619" i="13"/>
  <c r="A9619" i="13"/>
  <c r="J9618" i="13"/>
  <c r="F9618" i="13"/>
  <c r="A9618" i="13"/>
  <c r="J9617" i="13"/>
  <c r="F9617" i="13"/>
  <c r="A9617" i="13"/>
  <c r="F9616" i="13"/>
  <c r="A9616" i="13"/>
  <c r="F9615" i="13"/>
  <c r="A9615" i="13"/>
  <c r="F9614" i="13"/>
  <c r="A9614" i="13"/>
  <c r="J9613" i="13"/>
  <c r="F9613" i="13"/>
  <c r="A9613" i="13"/>
  <c r="J9612" i="13"/>
  <c r="F9612" i="13"/>
  <c r="A9612" i="13"/>
  <c r="F9611" i="13"/>
  <c r="A9611" i="13"/>
  <c r="J9610" i="13"/>
  <c r="F9610" i="13"/>
  <c r="A9610" i="13"/>
  <c r="J9609" i="13"/>
  <c r="F9609" i="13"/>
  <c r="A9609" i="13"/>
  <c r="J9608" i="13"/>
  <c r="F9608" i="13"/>
  <c r="A9608" i="13"/>
  <c r="J9607" i="13"/>
  <c r="F9607" i="13"/>
  <c r="A9607" i="13"/>
  <c r="J9606" i="13"/>
  <c r="F9606" i="13"/>
  <c r="A9606" i="13"/>
  <c r="J9605" i="13"/>
  <c r="F9605" i="13"/>
  <c r="A9605" i="13"/>
  <c r="J9604" i="13"/>
  <c r="F9604" i="13"/>
  <c r="A9604" i="13"/>
  <c r="J9603" i="13"/>
  <c r="F9603" i="13"/>
  <c r="A9603" i="13"/>
  <c r="F9602" i="13"/>
  <c r="A9602" i="13"/>
  <c r="J9601" i="13"/>
  <c r="F9601" i="13"/>
  <c r="A9601" i="13"/>
  <c r="J9600" i="13"/>
  <c r="F9600" i="13"/>
  <c r="A9600" i="13"/>
  <c r="J9599" i="13"/>
  <c r="F9599" i="13"/>
  <c r="A9599" i="13"/>
  <c r="J9598" i="13"/>
  <c r="F9598" i="13"/>
  <c r="A9598" i="13"/>
  <c r="J9597" i="13"/>
  <c r="F9597" i="13"/>
  <c r="A9597" i="13"/>
  <c r="F9596" i="13"/>
  <c r="A9596" i="13"/>
  <c r="J9595" i="13"/>
  <c r="F9595" i="13"/>
  <c r="A9595" i="13"/>
  <c r="J9594" i="13"/>
  <c r="F9594" i="13"/>
  <c r="A9594" i="13"/>
  <c r="J9593" i="13"/>
  <c r="F9593" i="13"/>
  <c r="A9593" i="13"/>
  <c r="J9592" i="13"/>
  <c r="F9592" i="13"/>
  <c r="A9592" i="13"/>
  <c r="J9591" i="13"/>
  <c r="F9591" i="13"/>
  <c r="A9591" i="13"/>
  <c r="F9590" i="13"/>
  <c r="A9590" i="13"/>
  <c r="F9589" i="13"/>
  <c r="A9589" i="13"/>
  <c r="F9588" i="13"/>
  <c r="A9588" i="13"/>
  <c r="J9587" i="13"/>
  <c r="F9587" i="13"/>
  <c r="A9587" i="13"/>
  <c r="J9586" i="13"/>
  <c r="F9586" i="13"/>
  <c r="A9586" i="13"/>
  <c r="J9585" i="13"/>
  <c r="F9585" i="13"/>
  <c r="A9585" i="13"/>
  <c r="J9584" i="13"/>
  <c r="F9584" i="13"/>
  <c r="A9584" i="13"/>
  <c r="J9583" i="13"/>
  <c r="F9583" i="13"/>
  <c r="A9583" i="13"/>
  <c r="J9582" i="13"/>
  <c r="F9582" i="13"/>
  <c r="A9582" i="13"/>
  <c r="F9581" i="13"/>
  <c r="A9581" i="13"/>
  <c r="F9580" i="13"/>
  <c r="A9580" i="13"/>
  <c r="F9579" i="13"/>
  <c r="A9579" i="13"/>
  <c r="F9578" i="13"/>
  <c r="A9578" i="13"/>
  <c r="F9577" i="13"/>
  <c r="A9577" i="13"/>
  <c r="J9576" i="13"/>
  <c r="F9576" i="13"/>
  <c r="A9576" i="13"/>
  <c r="J9575" i="13"/>
  <c r="F9575" i="13"/>
  <c r="A9575" i="13"/>
  <c r="J9574" i="13"/>
  <c r="F9574" i="13"/>
  <c r="A9574" i="13"/>
  <c r="J9573" i="13"/>
  <c r="F9573" i="13"/>
  <c r="A9573" i="13"/>
  <c r="J9572" i="13"/>
  <c r="F9572" i="13"/>
  <c r="A9572" i="13"/>
  <c r="J9571" i="13"/>
  <c r="F9571" i="13"/>
  <c r="A9571" i="13"/>
  <c r="J9570" i="13"/>
  <c r="F9570" i="13"/>
  <c r="A9570" i="13"/>
  <c r="F9569" i="13"/>
  <c r="A9569" i="13"/>
  <c r="J9568" i="13"/>
  <c r="F9568" i="13"/>
  <c r="A9568" i="13"/>
  <c r="J9567" i="13"/>
  <c r="F9567" i="13"/>
  <c r="A9567" i="13"/>
  <c r="J9566" i="13"/>
  <c r="F9566" i="13"/>
  <c r="A9566" i="13"/>
  <c r="J9565" i="13"/>
  <c r="F9565" i="13"/>
  <c r="A9565" i="13"/>
  <c r="J9564" i="13"/>
  <c r="F9564" i="13"/>
  <c r="A9564" i="13"/>
  <c r="J9563" i="13"/>
  <c r="F9563" i="13"/>
  <c r="A9563" i="13"/>
  <c r="F9562" i="13"/>
  <c r="A9562" i="13"/>
  <c r="F9561" i="13"/>
  <c r="A9561" i="13"/>
  <c r="F9560" i="13"/>
  <c r="A9560" i="13"/>
  <c r="J9559" i="13"/>
  <c r="F9559" i="13"/>
  <c r="A9559" i="13"/>
  <c r="F9558" i="13"/>
  <c r="A9558" i="13"/>
  <c r="J9557" i="13"/>
  <c r="F9557" i="13"/>
  <c r="A9557" i="13"/>
  <c r="J9556" i="13"/>
  <c r="F9556" i="13"/>
  <c r="A9556" i="13"/>
  <c r="F9555" i="13"/>
  <c r="A9555" i="13"/>
  <c r="J9554" i="13"/>
  <c r="F9554" i="13"/>
  <c r="A9554" i="13"/>
  <c r="J9553" i="13"/>
  <c r="F9553" i="13"/>
  <c r="A9553" i="13"/>
  <c r="F9552" i="13"/>
  <c r="A9552" i="13"/>
  <c r="F9551" i="13"/>
  <c r="A9551" i="13"/>
  <c r="F9550" i="13"/>
  <c r="A9550" i="13"/>
  <c r="F9549" i="13"/>
  <c r="A9549" i="13"/>
  <c r="F9548" i="13"/>
  <c r="A9548" i="13"/>
  <c r="F9547" i="13"/>
  <c r="A9547" i="13"/>
  <c r="J9546" i="13"/>
  <c r="F9546" i="13"/>
  <c r="A9546" i="13"/>
  <c r="J9545" i="13"/>
  <c r="F9545" i="13"/>
  <c r="A9545" i="13"/>
  <c r="F9544" i="13"/>
  <c r="A9544" i="13"/>
  <c r="F9543" i="13"/>
  <c r="A9543" i="13"/>
  <c r="F9542" i="13"/>
  <c r="A9542" i="13"/>
  <c r="F9541" i="13"/>
  <c r="A9541" i="13"/>
  <c r="F9540" i="13"/>
  <c r="A9540" i="13"/>
  <c r="J9539" i="13"/>
  <c r="F9539" i="13"/>
  <c r="A9539" i="13"/>
  <c r="J9538" i="13"/>
  <c r="F9538" i="13"/>
  <c r="A9538" i="13"/>
  <c r="J9537" i="13"/>
  <c r="F9537" i="13"/>
  <c r="A9537" i="13"/>
  <c r="F9536" i="13"/>
  <c r="A9536" i="13"/>
  <c r="F9535" i="13"/>
  <c r="A9535" i="13"/>
  <c r="F9534" i="13"/>
  <c r="A9534" i="13"/>
  <c r="F9533" i="13"/>
  <c r="A9533" i="13"/>
  <c r="F9532" i="13"/>
  <c r="A9532" i="13"/>
  <c r="F9531" i="13"/>
  <c r="A9531" i="13"/>
  <c r="F9530" i="13"/>
  <c r="A9530" i="13"/>
  <c r="F9529" i="13"/>
  <c r="A9529" i="13"/>
  <c r="J9528" i="13"/>
  <c r="F9528" i="13"/>
  <c r="A9528" i="13"/>
  <c r="J9527" i="13"/>
  <c r="F9527" i="13"/>
  <c r="A9527" i="13"/>
  <c r="J9526" i="13"/>
  <c r="F9526" i="13"/>
  <c r="A9526" i="13"/>
  <c r="J9525" i="13"/>
  <c r="F9525" i="13"/>
  <c r="A9525" i="13"/>
  <c r="F9524" i="13"/>
  <c r="A9524" i="13"/>
  <c r="J9523" i="13"/>
  <c r="F9523" i="13"/>
  <c r="A9523" i="13"/>
  <c r="J9522" i="13"/>
  <c r="F9522" i="13"/>
  <c r="A9522" i="13"/>
  <c r="J9521" i="13"/>
  <c r="F9521" i="13"/>
  <c r="A9521" i="13"/>
  <c r="F9520" i="13"/>
  <c r="A9520" i="13"/>
  <c r="F9519" i="13"/>
  <c r="A9519" i="13"/>
  <c r="J9518" i="13"/>
  <c r="F9518" i="13"/>
  <c r="A9518" i="13"/>
  <c r="J9517" i="13"/>
  <c r="F9517" i="13"/>
  <c r="A9517" i="13"/>
  <c r="F9516" i="13"/>
  <c r="A9516" i="13"/>
  <c r="J9515" i="13"/>
  <c r="F9515" i="13"/>
  <c r="A9515" i="13"/>
  <c r="J9514" i="13"/>
  <c r="F9514" i="13"/>
  <c r="A9514" i="13"/>
  <c r="J9513" i="13"/>
  <c r="F9513" i="13"/>
  <c r="A9513" i="13"/>
  <c r="J9512" i="13"/>
  <c r="F9512" i="13"/>
  <c r="A9512" i="13"/>
  <c r="J9511" i="13"/>
  <c r="F9511" i="13"/>
  <c r="A9511" i="13"/>
  <c r="J9510" i="13"/>
  <c r="F9510" i="13"/>
  <c r="A9510" i="13"/>
  <c r="J9509" i="13"/>
  <c r="F9509" i="13"/>
  <c r="A9509" i="13"/>
  <c r="F9508" i="13"/>
  <c r="A9508" i="13"/>
  <c r="J9507" i="13"/>
  <c r="F9507" i="13"/>
  <c r="A9507" i="13"/>
  <c r="F9506" i="13"/>
  <c r="A9506" i="13"/>
  <c r="F9505" i="13"/>
  <c r="A9505" i="13"/>
  <c r="J9504" i="13"/>
  <c r="F9504" i="13"/>
  <c r="A9504" i="13"/>
  <c r="J9503" i="13"/>
  <c r="F9503" i="13"/>
  <c r="A9503" i="13"/>
  <c r="F9502" i="13"/>
  <c r="A9502" i="13"/>
  <c r="F9501" i="13"/>
  <c r="A9501" i="13"/>
  <c r="F9500" i="13"/>
  <c r="A9500" i="13"/>
  <c r="F9499" i="13"/>
  <c r="A9499" i="13"/>
  <c r="F9498" i="13"/>
  <c r="A9498" i="13"/>
  <c r="F9497" i="13"/>
  <c r="A9497" i="13"/>
  <c r="F9496" i="13"/>
  <c r="A9496" i="13"/>
  <c r="F9495" i="13"/>
  <c r="A9495" i="13"/>
  <c r="J9494" i="13"/>
  <c r="F9494" i="13"/>
  <c r="A9494" i="13"/>
  <c r="J9493" i="13"/>
  <c r="F9493" i="13"/>
  <c r="A9493" i="13"/>
  <c r="F9492" i="13"/>
  <c r="A9492" i="13"/>
  <c r="F9491" i="13"/>
  <c r="A9491" i="13"/>
  <c r="F9490" i="13"/>
  <c r="A9490" i="13"/>
  <c r="F9489" i="13"/>
  <c r="A9489" i="13"/>
  <c r="J9488" i="13"/>
  <c r="F9488" i="13"/>
  <c r="A9488" i="13"/>
  <c r="J9487" i="13"/>
  <c r="F9487" i="13"/>
  <c r="A9487" i="13"/>
  <c r="J9486" i="13"/>
  <c r="F9486" i="13"/>
  <c r="A9486" i="13"/>
  <c r="J9485" i="13"/>
  <c r="F9485" i="13"/>
  <c r="A9485" i="13"/>
  <c r="F9484" i="13"/>
  <c r="A9484" i="13"/>
  <c r="F9483" i="13"/>
  <c r="A9483" i="13"/>
  <c r="F9482" i="13"/>
  <c r="A9482" i="13"/>
  <c r="F9481" i="13"/>
  <c r="A9481" i="13"/>
  <c r="F9480" i="13"/>
  <c r="A9480" i="13"/>
  <c r="F9479" i="13"/>
  <c r="A9479" i="13"/>
  <c r="F9478" i="13"/>
  <c r="A9478" i="13"/>
  <c r="F9477" i="13"/>
  <c r="A9477" i="13"/>
  <c r="J9476" i="13"/>
  <c r="F9476" i="13"/>
  <c r="A9476" i="13"/>
  <c r="J9475" i="13"/>
  <c r="F9475" i="13"/>
  <c r="A9475" i="13"/>
  <c r="F9474" i="13"/>
  <c r="A9474" i="13"/>
  <c r="F9473" i="13"/>
  <c r="A9473" i="13"/>
  <c r="F9472" i="13"/>
  <c r="A9472" i="13"/>
  <c r="F9471" i="13"/>
  <c r="A9471" i="13"/>
  <c r="F9470" i="13"/>
  <c r="A9470" i="13"/>
  <c r="F9469" i="13"/>
  <c r="A9469" i="13"/>
  <c r="J9468" i="13"/>
  <c r="F9468" i="13"/>
  <c r="A9468" i="13"/>
  <c r="J9467" i="13"/>
  <c r="F9467" i="13"/>
  <c r="A9467" i="13"/>
  <c r="F9466" i="13"/>
  <c r="A9466" i="13"/>
  <c r="F9465" i="13"/>
  <c r="A9465" i="13"/>
  <c r="F9464" i="13"/>
  <c r="A9464" i="13"/>
  <c r="F9463" i="13"/>
  <c r="A9463" i="13"/>
  <c r="F9462" i="13"/>
  <c r="A9462" i="13"/>
  <c r="F9461" i="13"/>
  <c r="A9461" i="13"/>
  <c r="F9460" i="13"/>
  <c r="A9460" i="13"/>
  <c r="F9459" i="13"/>
  <c r="A9459" i="13"/>
  <c r="F9458" i="13"/>
  <c r="A9458" i="13"/>
  <c r="J9457" i="13"/>
  <c r="F9457" i="13"/>
  <c r="A9457" i="13"/>
  <c r="F9456" i="13"/>
  <c r="A9456" i="13"/>
  <c r="J9455" i="13"/>
  <c r="F9455" i="13"/>
  <c r="A9455" i="13"/>
  <c r="J9454" i="13"/>
  <c r="F9454" i="13"/>
  <c r="A9454" i="13"/>
  <c r="J9453" i="13"/>
  <c r="F9453" i="13"/>
  <c r="A9453" i="13"/>
  <c r="J9452" i="13"/>
  <c r="F9452" i="13"/>
  <c r="A9452" i="13"/>
  <c r="F9451" i="13"/>
  <c r="A9451" i="13"/>
  <c r="J9450" i="13"/>
  <c r="F9450" i="13"/>
  <c r="A9450" i="13"/>
  <c r="J9449" i="13"/>
  <c r="F9449" i="13"/>
  <c r="A9449" i="13"/>
  <c r="F9448" i="13"/>
  <c r="A9448" i="13"/>
  <c r="F9447" i="13"/>
  <c r="A9447" i="13"/>
  <c r="F9446" i="13"/>
  <c r="A9446" i="13"/>
  <c r="F9445" i="13"/>
  <c r="A9445" i="13"/>
  <c r="J9444" i="13"/>
  <c r="F9444" i="13"/>
  <c r="A9444" i="13"/>
  <c r="F9443" i="13"/>
  <c r="A9443" i="13"/>
  <c r="J9442" i="13"/>
  <c r="F9442" i="13"/>
  <c r="A9442" i="13"/>
  <c r="J9441" i="13"/>
  <c r="F9441" i="13"/>
  <c r="A9441" i="13"/>
  <c r="J9440" i="13"/>
  <c r="F9440" i="13"/>
  <c r="A9440" i="13"/>
  <c r="J9439" i="13"/>
  <c r="F9439" i="13"/>
  <c r="A9439" i="13"/>
  <c r="F9438" i="13"/>
  <c r="A9438" i="13"/>
  <c r="F9437" i="13"/>
  <c r="A9437" i="13"/>
  <c r="J9436" i="13"/>
  <c r="F9436" i="13"/>
  <c r="A9436" i="13"/>
  <c r="J9435" i="13"/>
  <c r="F9435" i="13"/>
  <c r="A9435" i="13"/>
  <c r="J9434" i="13"/>
  <c r="F9434" i="13"/>
  <c r="A9434" i="13"/>
  <c r="F9433" i="13"/>
  <c r="A9433" i="13"/>
  <c r="J9432" i="13"/>
  <c r="F9432" i="13"/>
  <c r="A9432" i="13"/>
  <c r="J9431" i="13"/>
  <c r="F9431" i="13"/>
  <c r="A9431" i="13"/>
  <c r="F9430" i="13"/>
  <c r="A9430" i="13"/>
  <c r="J9429" i="13"/>
  <c r="F9429" i="13"/>
  <c r="A9429" i="13"/>
  <c r="J9428" i="13"/>
  <c r="F9428" i="13"/>
  <c r="A9428" i="13"/>
  <c r="J9427" i="13"/>
  <c r="F9427" i="13"/>
  <c r="A9427" i="13"/>
  <c r="J9426" i="13"/>
  <c r="F9426" i="13"/>
  <c r="A9426" i="13"/>
  <c r="F9425" i="13"/>
  <c r="A9425" i="13"/>
  <c r="J9424" i="13"/>
  <c r="F9424" i="13"/>
  <c r="A9424" i="13"/>
  <c r="J9423" i="13"/>
  <c r="F9423" i="13"/>
  <c r="A9423" i="13"/>
  <c r="J9422" i="13"/>
  <c r="F9422" i="13"/>
  <c r="A9422" i="13"/>
  <c r="J9421" i="13"/>
  <c r="F9421" i="13"/>
  <c r="A9421" i="13"/>
  <c r="F9420" i="13"/>
  <c r="A9420" i="13"/>
  <c r="J9419" i="13"/>
  <c r="F9419" i="13"/>
  <c r="A9419" i="13"/>
  <c r="F9418" i="13"/>
  <c r="A9418" i="13"/>
  <c r="F9417" i="13"/>
  <c r="A9417" i="13"/>
  <c r="F9416" i="13"/>
  <c r="A9416" i="13"/>
  <c r="F9415" i="13"/>
  <c r="A9415" i="13"/>
  <c r="F9414" i="13"/>
  <c r="A9414" i="13"/>
  <c r="J9413" i="13"/>
  <c r="F9413" i="13"/>
  <c r="A9413" i="13"/>
  <c r="J9412" i="13"/>
  <c r="F9412" i="13"/>
  <c r="A9412" i="13"/>
  <c r="F9411" i="13"/>
  <c r="A9411" i="13"/>
  <c r="F9410" i="13"/>
  <c r="A9410" i="13"/>
  <c r="J9409" i="13"/>
  <c r="F9409" i="13"/>
  <c r="A9409" i="13"/>
  <c r="F9408" i="13"/>
  <c r="A9408" i="13"/>
  <c r="J9407" i="13"/>
  <c r="F9407" i="13"/>
  <c r="A9407" i="13"/>
  <c r="J9406" i="13"/>
  <c r="F9406" i="13"/>
  <c r="A9406" i="13"/>
  <c r="F9405" i="13"/>
  <c r="A9405" i="13"/>
  <c r="F9404" i="13"/>
  <c r="A9404" i="13"/>
  <c r="F9403" i="13"/>
  <c r="A9403" i="13"/>
  <c r="J9402" i="13"/>
  <c r="F9402" i="13"/>
  <c r="A9402" i="13"/>
  <c r="J9401" i="13"/>
  <c r="F9401" i="13"/>
  <c r="A9401" i="13"/>
  <c r="J9400" i="13"/>
  <c r="F9400" i="13"/>
  <c r="A9400" i="13"/>
  <c r="F9399" i="13"/>
  <c r="A9399" i="13"/>
  <c r="J9398" i="13"/>
  <c r="F9398" i="13"/>
  <c r="A9398" i="13"/>
  <c r="J9397" i="13"/>
  <c r="F9397" i="13"/>
  <c r="A9397" i="13"/>
  <c r="J9396" i="13"/>
  <c r="F9396" i="13"/>
  <c r="A9396" i="13"/>
  <c r="J9395" i="13"/>
  <c r="F9395" i="13"/>
  <c r="A9395" i="13"/>
  <c r="F9394" i="13"/>
  <c r="A9394" i="13"/>
  <c r="F9393" i="13"/>
  <c r="A9393" i="13"/>
  <c r="J9392" i="13"/>
  <c r="F9392" i="13"/>
  <c r="A9392" i="13"/>
  <c r="J9391" i="13"/>
  <c r="F9391" i="13"/>
  <c r="A9391" i="13"/>
  <c r="J9390" i="13"/>
  <c r="F9390" i="13"/>
  <c r="A9390" i="13"/>
  <c r="J9389" i="13"/>
  <c r="F9389" i="13"/>
  <c r="A9389" i="13"/>
  <c r="J9388" i="13"/>
  <c r="F9388" i="13"/>
  <c r="A9388" i="13"/>
  <c r="F9387" i="13"/>
  <c r="A9387" i="13"/>
  <c r="J9386" i="13"/>
  <c r="F9386" i="13"/>
  <c r="A9386" i="13"/>
  <c r="J9385" i="13"/>
  <c r="F9385" i="13"/>
  <c r="A9385" i="13"/>
  <c r="F9384" i="13"/>
  <c r="A9384" i="13"/>
  <c r="F9383" i="13"/>
  <c r="A9383" i="13"/>
  <c r="F9382" i="13"/>
  <c r="A9382" i="13"/>
  <c r="F9381" i="13"/>
  <c r="A9381" i="13"/>
  <c r="F9380" i="13"/>
  <c r="A9380" i="13"/>
  <c r="F9379" i="13"/>
  <c r="A9379" i="13"/>
  <c r="F9378" i="13"/>
  <c r="A9378" i="13"/>
  <c r="J9377" i="13"/>
  <c r="F9377" i="13"/>
  <c r="A9377" i="13"/>
  <c r="J9376" i="13"/>
  <c r="F9376" i="13"/>
  <c r="A9376" i="13"/>
  <c r="J9375" i="13"/>
  <c r="F9375" i="13"/>
  <c r="A9375" i="13"/>
  <c r="J9374" i="13"/>
  <c r="F9374" i="13"/>
  <c r="A9374" i="13"/>
  <c r="J9373" i="13"/>
  <c r="F9373" i="13"/>
  <c r="A9373" i="13"/>
  <c r="J9372" i="13"/>
  <c r="F9372" i="13"/>
  <c r="A9372" i="13"/>
  <c r="J9371" i="13"/>
  <c r="F9371" i="13"/>
  <c r="A9371" i="13"/>
  <c r="F9370" i="13"/>
  <c r="A9370" i="13"/>
  <c r="F9369" i="13"/>
  <c r="A9369" i="13"/>
  <c r="F9368" i="13"/>
  <c r="A9368" i="13"/>
  <c r="J9367" i="13"/>
  <c r="F9367" i="13"/>
  <c r="A9367" i="13"/>
  <c r="J9366" i="13"/>
  <c r="F9366" i="13"/>
  <c r="A9366" i="13"/>
  <c r="J9365" i="13"/>
  <c r="F9365" i="13"/>
  <c r="A9365" i="13"/>
  <c r="J9364" i="13"/>
  <c r="F9364" i="13"/>
  <c r="A9364" i="13"/>
  <c r="F9363" i="13"/>
  <c r="A9363" i="13"/>
  <c r="F9362" i="13"/>
  <c r="A9362" i="13"/>
  <c r="J9361" i="13"/>
  <c r="F9361" i="13"/>
  <c r="A9361" i="13"/>
  <c r="J9360" i="13"/>
  <c r="F9360" i="13"/>
  <c r="A9360" i="13"/>
  <c r="J9359" i="13"/>
  <c r="F9359" i="13"/>
  <c r="A9359" i="13"/>
  <c r="J9358" i="13"/>
  <c r="F9358" i="13"/>
  <c r="A9358" i="13"/>
  <c r="J9357" i="13"/>
  <c r="F9357" i="13"/>
  <c r="A9357" i="13"/>
  <c r="J9356" i="13"/>
  <c r="F9356" i="13"/>
  <c r="A9356" i="13"/>
  <c r="J9355" i="13"/>
  <c r="F9355" i="13"/>
  <c r="A9355" i="13"/>
  <c r="J9354" i="13"/>
  <c r="F9354" i="13"/>
  <c r="A9354" i="13"/>
  <c r="F9353" i="13"/>
  <c r="A9353" i="13"/>
  <c r="F9352" i="13"/>
  <c r="A9352" i="13"/>
  <c r="J9351" i="13"/>
  <c r="F9351" i="13"/>
  <c r="A9351" i="13"/>
  <c r="J9350" i="13"/>
  <c r="F9350" i="13"/>
  <c r="A9350" i="13"/>
  <c r="F9349" i="13"/>
  <c r="A9349" i="13"/>
  <c r="F9348" i="13"/>
  <c r="A9348" i="13"/>
  <c r="J9347" i="13"/>
  <c r="F9347" i="13"/>
  <c r="A9347" i="13"/>
  <c r="J9346" i="13"/>
  <c r="F9346" i="13"/>
  <c r="A9346" i="13"/>
  <c r="J9345" i="13"/>
  <c r="F9345" i="13"/>
  <c r="A9345" i="13"/>
  <c r="J9344" i="13"/>
  <c r="F9344" i="13"/>
  <c r="A9344" i="13"/>
  <c r="J9343" i="13"/>
  <c r="F9343" i="13"/>
  <c r="A9343" i="13"/>
  <c r="J9342" i="13"/>
  <c r="F9342" i="13"/>
  <c r="A9342" i="13"/>
  <c r="F9341" i="13"/>
  <c r="A9341" i="13"/>
  <c r="J9340" i="13"/>
  <c r="F9340" i="13"/>
  <c r="A9340" i="13"/>
  <c r="J9339" i="13"/>
  <c r="F9339" i="13"/>
  <c r="A9339" i="13"/>
  <c r="F9338" i="13"/>
  <c r="A9338" i="13"/>
  <c r="F9337" i="13"/>
  <c r="A9337" i="13"/>
  <c r="J9336" i="13"/>
  <c r="F9336" i="13"/>
  <c r="A9336" i="13"/>
  <c r="J9335" i="13"/>
  <c r="F9335" i="13"/>
  <c r="A9335" i="13"/>
  <c r="F9334" i="13"/>
  <c r="A9334" i="13"/>
  <c r="J9333" i="13"/>
  <c r="F9333" i="13"/>
  <c r="A9333" i="13"/>
  <c r="J9332" i="13"/>
  <c r="F9332" i="13"/>
  <c r="A9332" i="13"/>
  <c r="J9331" i="13"/>
  <c r="F9331" i="13"/>
  <c r="A9331" i="13"/>
  <c r="F9330" i="13"/>
  <c r="A9330" i="13"/>
  <c r="J9329" i="13"/>
  <c r="F9329" i="13"/>
  <c r="A9329" i="13"/>
  <c r="J9328" i="13"/>
  <c r="F9328" i="13"/>
  <c r="A9328" i="13"/>
  <c r="J9327" i="13"/>
  <c r="F9327" i="13"/>
  <c r="A9327" i="13"/>
  <c r="J9326" i="13"/>
  <c r="F9326" i="13"/>
  <c r="A9326" i="13"/>
  <c r="F9325" i="13"/>
  <c r="A9325" i="13"/>
  <c r="F9324" i="13"/>
  <c r="A9324" i="13"/>
  <c r="J9323" i="13"/>
  <c r="F9323" i="13"/>
  <c r="A9323" i="13"/>
  <c r="J9322" i="13"/>
  <c r="F9322" i="13"/>
  <c r="A9322" i="13"/>
  <c r="J9321" i="13"/>
  <c r="F9321" i="13"/>
  <c r="A9321" i="13"/>
  <c r="J9320" i="13"/>
  <c r="F9320" i="13"/>
  <c r="A9320" i="13"/>
  <c r="J9319" i="13"/>
  <c r="F9319" i="13"/>
  <c r="A9319" i="13"/>
  <c r="J9318" i="13"/>
  <c r="F9318" i="13"/>
  <c r="A9318" i="13"/>
  <c r="F9317" i="13"/>
  <c r="A9317" i="13"/>
  <c r="F9316" i="13"/>
  <c r="A9316" i="13"/>
  <c r="F9315" i="13"/>
  <c r="A9315" i="13"/>
  <c r="F9314" i="13"/>
  <c r="A9314" i="13"/>
  <c r="J9313" i="13"/>
  <c r="F9313" i="13"/>
  <c r="A9313" i="13"/>
  <c r="J9312" i="13"/>
  <c r="F9312" i="13"/>
  <c r="A9312" i="13"/>
  <c r="J9311" i="13"/>
  <c r="F9311" i="13"/>
  <c r="A9311" i="13"/>
  <c r="J9310" i="13"/>
  <c r="F9310" i="13"/>
  <c r="A9310" i="13"/>
  <c r="J9309" i="13"/>
  <c r="F9309" i="13"/>
  <c r="A9309" i="13"/>
  <c r="J9308" i="13"/>
  <c r="F9308" i="13"/>
  <c r="A9308" i="13"/>
  <c r="J9307" i="13"/>
  <c r="F9307" i="13"/>
  <c r="A9307" i="13"/>
  <c r="J9306" i="13"/>
  <c r="F9306" i="13"/>
  <c r="A9306" i="13"/>
  <c r="J9305" i="13"/>
  <c r="F9305" i="13"/>
  <c r="A9305" i="13"/>
  <c r="F9304" i="13"/>
  <c r="A9304" i="13"/>
  <c r="J9303" i="13"/>
  <c r="F9303" i="13"/>
  <c r="A9303" i="13"/>
  <c r="J9302" i="13"/>
  <c r="F9302" i="13"/>
  <c r="A9302" i="13"/>
  <c r="J9301" i="13"/>
  <c r="F9301" i="13"/>
  <c r="A9301" i="13"/>
  <c r="J9300" i="13"/>
  <c r="F9300" i="13"/>
  <c r="A9300" i="13"/>
  <c r="J9299" i="13"/>
  <c r="F9299" i="13"/>
  <c r="A9299" i="13"/>
  <c r="J9298" i="13"/>
  <c r="F9298" i="13"/>
  <c r="A9298" i="13"/>
  <c r="J9297" i="13"/>
  <c r="F9297" i="13"/>
  <c r="A9297" i="13"/>
  <c r="J9296" i="13"/>
  <c r="F9296" i="13"/>
  <c r="A9296" i="13"/>
  <c r="F9295" i="13"/>
  <c r="A9295" i="13"/>
  <c r="J9294" i="13"/>
  <c r="F9294" i="13"/>
  <c r="A9294" i="13"/>
  <c r="J9293" i="13"/>
  <c r="F9293" i="13"/>
  <c r="A9293" i="13"/>
  <c r="J9292" i="13"/>
  <c r="F9292" i="13"/>
  <c r="A9292" i="13"/>
  <c r="J9291" i="13"/>
  <c r="F9291" i="13"/>
  <c r="A9291" i="13"/>
  <c r="J9290" i="13"/>
  <c r="F9290" i="13"/>
  <c r="A9290" i="13"/>
  <c r="J9289" i="13"/>
  <c r="F9289" i="13"/>
  <c r="A9289" i="13"/>
  <c r="J9288" i="13"/>
  <c r="F9288" i="13"/>
  <c r="A9288" i="13"/>
  <c r="F9287" i="13"/>
  <c r="A9287" i="13"/>
  <c r="J9286" i="13"/>
  <c r="F9286" i="13"/>
  <c r="A9286" i="13"/>
  <c r="J9285" i="13"/>
  <c r="F9285" i="13"/>
  <c r="A9285" i="13"/>
  <c r="J9284" i="13"/>
  <c r="F9284" i="13"/>
  <c r="A9284" i="13"/>
  <c r="F9283" i="13"/>
  <c r="A9283" i="13"/>
  <c r="F9282" i="13"/>
  <c r="A9282" i="13"/>
  <c r="F9281" i="13"/>
  <c r="A9281" i="13"/>
  <c r="F9280" i="13"/>
  <c r="A9280" i="13"/>
  <c r="F9279" i="13"/>
  <c r="A9279" i="13"/>
  <c r="J9278" i="13"/>
  <c r="F9278" i="13"/>
  <c r="A9278" i="13"/>
  <c r="F9277" i="13"/>
  <c r="A9277" i="13"/>
  <c r="F9276" i="13"/>
  <c r="A9276" i="13"/>
  <c r="J9275" i="13"/>
  <c r="F9275" i="13"/>
  <c r="A9275" i="13"/>
  <c r="F9274" i="13"/>
  <c r="A9274" i="13"/>
  <c r="J9273" i="13"/>
  <c r="F9273" i="13"/>
  <c r="A9273" i="13"/>
  <c r="J9272" i="13"/>
  <c r="F9272" i="13"/>
  <c r="A9272" i="13"/>
  <c r="J9271" i="13"/>
  <c r="F9271" i="13"/>
  <c r="A9271" i="13"/>
  <c r="J9270" i="13"/>
  <c r="F9270" i="13"/>
  <c r="A9270" i="13"/>
  <c r="F9269" i="13"/>
  <c r="A9269" i="13"/>
  <c r="J9268" i="13"/>
  <c r="F9268" i="13"/>
  <c r="A9268" i="13"/>
  <c r="J9267" i="13"/>
  <c r="F9267" i="13"/>
  <c r="A9267" i="13"/>
  <c r="J9266" i="13"/>
  <c r="F9266" i="13"/>
  <c r="A9266" i="13"/>
  <c r="J9265" i="13"/>
  <c r="F9265" i="13"/>
  <c r="A9265" i="13"/>
  <c r="J9264" i="13"/>
  <c r="F9264" i="13"/>
  <c r="A9264" i="13"/>
  <c r="J9263" i="13"/>
  <c r="F9263" i="13"/>
  <c r="A9263" i="13"/>
  <c r="J9262" i="13"/>
  <c r="F9262" i="13"/>
  <c r="A9262" i="13"/>
  <c r="J9261" i="13"/>
  <c r="F9261" i="13"/>
  <c r="A9261" i="13"/>
  <c r="J9260" i="13"/>
  <c r="F9260" i="13"/>
  <c r="A9260" i="13"/>
  <c r="J9259" i="13"/>
  <c r="F9259" i="13"/>
  <c r="A9259" i="13"/>
  <c r="J9258" i="13"/>
  <c r="F9258" i="13"/>
  <c r="A9258" i="13"/>
  <c r="J9257" i="13"/>
  <c r="F9257" i="13"/>
  <c r="A9257" i="13"/>
  <c r="J9256" i="13"/>
  <c r="F9256" i="13"/>
  <c r="A9256" i="13"/>
  <c r="F9255" i="13"/>
  <c r="A9255" i="13"/>
  <c r="J9254" i="13"/>
  <c r="F9254" i="13"/>
  <c r="A9254" i="13"/>
  <c r="J9253" i="13"/>
  <c r="F9253" i="13"/>
  <c r="A9253" i="13"/>
  <c r="J9252" i="13"/>
  <c r="F9252" i="13"/>
  <c r="A9252" i="13"/>
  <c r="F9251" i="13"/>
  <c r="A9251" i="13"/>
  <c r="F9250" i="13"/>
  <c r="A9250" i="13"/>
  <c r="J9249" i="13"/>
  <c r="F9249" i="13"/>
  <c r="A9249" i="13"/>
  <c r="F9248" i="13"/>
  <c r="A9248" i="13"/>
  <c r="F9247" i="13"/>
  <c r="A9247" i="13"/>
  <c r="J9246" i="13"/>
  <c r="F9246" i="13"/>
  <c r="A9246" i="13"/>
  <c r="J9245" i="13"/>
  <c r="F9245" i="13"/>
  <c r="A9245" i="13"/>
  <c r="F9244" i="13"/>
  <c r="A9244" i="13"/>
  <c r="J9243" i="13"/>
  <c r="F9243" i="13"/>
  <c r="A9243" i="13"/>
  <c r="F9242" i="13"/>
  <c r="A9242" i="13"/>
  <c r="J9241" i="13"/>
  <c r="F9241" i="13"/>
  <c r="A9241" i="13"/>
  <c r="J9240" i="13"/>
  <c r="F9240" i="13"/>
  <c r="A9240" i="13"/>
  <c r="J9239" i="13"/>
  <c r="F9239" i="13"/>
  <c r="A9239" i="13"/>
  <c r="J9238" i="13"/>
  <c r="F9238" i="13"/>
  <c r="A9238" i="13"/>
  <c r="J9237" i="13"/>
  <c r="F9237" i="13"/>
  <c r="A9237" i="13"/>
  <c r="J9236" i="13"/>
  <c r="F9236" i="13"/>
  <c r="A9236" i="13"/>
  <c r="J9235" i="13"/>
  <c r="F9235" i="13"/>
  <c r="A9235" i="13"/>
  <c r="J9234" i="13"/>
  <c r="F9234" i="13"/>
  <c r="A9234" i="13"/>
  <c r="J9233" i="13"/>
  <c r="F9233" i="13"/>
  <c r="A9233" i="13"/>
  <c r="F9232" i="13"/>
  <c r="A9232" i="13"/>
  <c r="J9231" i="13"/>
  <c r="F9231" i="13"/>
  <c r="A9231" i="13"/>
  <c r="J9230" i="13"/>
  <c r="F9230" i="13"/>
  <c r="A9230" i="13"/>
  <c r="J9229" i="13"/>
  <c r="F9229" i="13"/>
  <c r="A9229" i="13"/>
  <c r="J9228" i="13"/>
  <c r="F9228" i="13"/>
  <c r="A9228" i="13"/>
  <c r="J9227" i="13"/>
  <c r="F9227" i="13"/>
  <c r="A9227" i="13"/>
  <c r="J9226" i="13"/>
  <c r="F9226" i="13"/>
  <c r="A9226" i="13"/>
  <c r="F9225" i="13"/>
  <c r="A9225" i="13"/>
  <c r="F9224" i="13"/>
  <c r="A9224" i="13"/>
  <c r="J9223" i="13"/>
  <c r="F9223" i="13"/>
  <c r="A9223" i="13"/>
  <c r="J9222" i="13"/>
  <c r="F9222" i="13"/>
  <c r="A9222" i="13"/>
  <c r="F9221" i="13"/>
  <c r="A9221" i="13"/>
  <c r="J9220" i="13"/>
  <c r="F9220" i="13"/>
  <c r="A9220" i="13"/>
  <c r="J9219" i="13"/>
  <c r="F9219" i="13"/>
  <c r="A9219" i="13"/>
  <c r="J9218" i="13"/>
  <c r="F9218" i="13"/>
  <c r="A9218" i="13"/>
  <c r="J9217" i="13"/>
  <c r="F9217" i="13"/>
  <c r="A9217" i="13"/>
  <c r="J9216" i="13"/>
  <c r="F9216" i="13"/>
  <c r="A9216" i="13"/>
  <c r="J9215" i="13"/>
  <c r="F9215" i="13"/>
  <c r="A9215" i="13"/>
  <c r="F9214" i="13"/>
  <c r="A9214" i="13"/>
  <c r="J9213" i="13"/>
  <c r="F9213" i="13"/>
  <c r="A9213" i="13"/>
  <c r="J9212" i="13"/>
  <c r="F9212" i="13"/>
  <c r="A9212" i="13"/>
  <c r="J9211" i="13"/>
  <c r="F9211" i="13"/>
  <c r="A9211" i="13"/>
  <c r="J9210" i="13"/>
  <c r="F9210" i="13"/>
  <c r="A9210" i="13"/>
  <c r="J9209" i="13"/>
  <c r="F9209" i="13"/>
  <c r="A9209" i="13"/>
  <c r="J9208" i="13"/>
  <c r="F9208" i="13"/>
  <c r="A9208" i="13"/>
  <c r="J9207" i="13"/>
  <c r="F9207" i="13"/>
  <c r="A9207" i="13"/>
  <c r="J9206" i="13"/>
  <c r="F9206" i="13"/>
  <c r="A9206" i="13"/>
  <c r="J9205" i="13"/>
  <c r="F9205" i="13"/>
  <c r="A9205" i="13"/>
  <c r="F9204" i="13"/>
  <c r="A9204" i="13"/>
  <c r="F9203" i="13"/>
  <c r="A9203" i="13"/>
  <c r="F9202" i="13"/>
  <c r="A9202" i="13"/>
  <c r="F9201" i="13"/>
  <c r="A9201" i="13"/>
  <c r="J9200" i="13"/>
  <c r="F9200" i="13"/>
  <c r="A9200" i="13"/>
  <c r="F9199" i="13"/>
  <c r="A9199" i="13"/>
  <c r="F9198" i="13"/>
  <c r="A9198" i="13"/>
  <c r="F9197" i="13"/>
  <c r="A9197" i="13"/>
  <c r="F9196" i="13"/>
  <c r="A9196" i="13"/>
  <c r="J9195" i="13"/>
  <c r="F9195" i="13"/>
  <c r="A9195" i="13"/>
  <c r="J9194" i="13"/>
  <c r="F9194" i="13"/>
  <c r="A9194" i="13"/>
  <c r="J9193" i="13"/>
  <c r="F9193" i="13"/>
  <c r="A9193" i="13"/>
  <c r="F9192" i="13"/>
  <c r="A9192" i="13"/>
  <c r="J9191" i="13"/>
  <c r="F9191" i="13"/>
  <c r="A9191" i="13"/>
  <c r="J9190" i="13"/>
  <c r="F9190" i="13"/>
  <c r="A9190" i="13"/>
  <c r="F9189" i="13"/>
  <c r="A9189" i="13"/>
  <c r="F9188" i="13"/>
  <c r="A9188" i="13"/>
  <c r="J9187" i="13"/>
  <c r="F9187" i="13"/>
  <c r="A9187" i="13"/>
  <c r="F9186" i="13"/>
  <c r="A9186" i="13"/>
  <c r="J9185" i="13"/>
  <c r="F9185" i="13"/>
  <c r="A9185" i="13"/>
  <c r="J9184" i="13"/>
  <c r="F9184" i="13"/>
  <c r="A9184" i="13"/>
  <c r="J9183" i="13"/>
  <c r="F9183" i="13"/>
  <c r="A9183" i="13"/>
  <c r="J9182" i="13"/>
  <c r="F9182" i="13"/>
  <c r="A9182" i="13"/>
  <c r="F9181" i="13"/>
  <c r="A9181" i="13"/>
  <c r="F9180" i="13"/>
  <c r="A9180" i="13"/>
  <c r="F9179" i="13"/>
  <c r="A9179" i="13"/>
  <c r="J9178" i="13"/>
  <c r="F9178" i="13"/>
  <c r="A9178" i="13"/>
  <c r="J9177" i="13"/>
  <c r="F9177" i="13"/>
  <c r="A9177" i="13"/>
  <c r="F9176" i="13"/>
  <c r="A9176" i="13"/>
  <c r="J9175" i="13"/>
  <c r="F9175" i="13"/>
  <c r="A9175" i="13"/>
  <c r="J9174" i="13"/>
  <c r="F9174" i="13"/>
  <c r="A9174" i="13"/>
  <c r="J9173" i="13"/>
  <c r="F9173" i="13"/>
  <c r="A9173" i="13"/>
  <c r="J9172" i="13"/>
  <c r="F9172" i="13"/>
  <c r="A9172" i="13"/>
  <c r="J9171" i="13"/>
  <c r="F9171" i="13"/>
  <c r="A9171" i="13"/>
  <c r="J9170" i="13"/>
  <c r="F9170" i="13"/>
  <c r="A9170" i="13"/>
  <c r="F9169" i="13"/>
  <c r="A9169" i="13"/>
  <c r="J9168" i="13"/>
  <c r="F9168" i="13"/>
  <c r="A9168" i="13"/>
  <c r="J9167" i="13"/>
  <c r="F9167" i="13"/>
  <c r="A9167" i="13"/>
  <c r="J9166" i="13"/>
  <c r="F9166" i="13"/>
  <c r="A9166" i="13"/>
  <c r="F9165" i="13"/>
  <c r="A9165" i="13"/>
  <c r="F9164" i="13"/>
  <c r="A9164" i="13"/>
  <c r="F9163" i="13"/>
  <c r="A9163" i="13"/>
  <c r="F9162" i="13"/>
  <c r="A9162" i="13"/>
  <c r="F9161" i="13"/>
  <c r="A9161" i="13"/>
  <c r="F9160" i="13"/>
  <c r="A9160" i="13"/>
  <c r="F9159" i="13"/>
  <c r="A9159" i="13"/>
  <c r="F9158" i="13"/>
  <c r="A9158" i="13"/>
  <c r="F9157" i="13"/>
  <c r="A9157" i="13"/>
  <c r="F9156" i="13"/>
  <c r="A9156" i="13"/>
  <c r="J9155" i="13"/>
  <c r="F9155" i="13"/>
  <c r="A9155" i="13"/>
  <c r="F9154" i="13"/>
  <c r="A9154" i="13"/>
  <c r="J9153" i="13"/>
  <c r="F9153" i="13"/>
  <c r="A9153" i="13"/>
  <c r="J9152" i="13"/>
  <c r="F9152" i="13"/>
  <c r="A9152" i="13"/>
  <c r="F9151" i="13"/>
  <c r="A9151" i="13"/>
  <c r="F9150" i="13"/>
  <c r="A9150" i="13"/>
  <c r="F9149" i="13"/>
  <c r="A9149" i="13"/>
  <c r="J9148" i="13"/>
  <c r="F9148" i="13"/>
  <c r="A9148" i="13"/>
  <c r="F9147" i="13"/>
  <c r="A9147" i="13"/>
  <c r="F9146" i="13"/>
  <c r="A9146" i="13"/>
  <c r="F9145" i="13"/>
  <c r="A9145" i="13"/>
  <c r="F9144" i="13"/>
  <c r="A9144" i="13"/>
  <c r="F9143" i="13"/>
  <c r="A9143" i="13"/>
  <c r="F9142" i="13"/>
  <c r="A9142" i="13"/>
  <c r="F9141" i="13"/>
  <c r="A9141" i="13"/>
  <c r="F9140" i="13"/>
  <c r="A9140" i="13"/>
  <c r="J9139" i="13"/>
  <c r="F9139" i="13"/>
  <c r="A9139" i="13"/>
  <c r="J9138" i="13"/>
  <c r="F9138" i="13"/>
  <c r="A9138" i="13"/>
  <c r="F9137" i="13"/>
  <c r="A9137" i="13"/>
  <c r="F9136" i="13"/>
  <c r="A9136" i="13"/>
  <c r="F9135" i="13"/>
  <c r="A9135" i="13"/>
  <c r="F9134" i="13"/>
  <c r="A9134" i="13"/>
  <c r="J9133" i="13"/>
  <c r="F9133" i="13"/>
  <c r="A9133" i="13"/>
  <c r="J9132" i="13"/>
  <c r="F9132" i="13"/>
  <c r="A9132" i="13"/>
  <c r="F9131" i="13"/>
  <c r="A9131" i="13"/>
  <c r="F9130" i="13"/>
  <c r="A9130" i="13"/>
  <c r="F9129" i="13"/>
  <c r="A9129" i="13"/>
  <c r="J9128" i="13"/>
  <c r="F9128" i="13"/>
  <c r="A9128" i="13"/>
  <c r="J9127" i="13"/>
  <c r="F9127" i="13"/>
  <c r="A9127" i="13"/>
  <c r="J9126" i="13"/>
  <c r="F9126" i="13"/>
  <c r="A9126" i="13"/>
  <c r="J9125" i="13"/>
  <c r="F9125" i="13"/>
  <c r="A9125" i="13"/>
  <c r="J9124" i="13"/>
  <c r="F9124" i="13"/>
  <c r="A9124" i="13"/>
  <c r="F9123" i="13"/>
  <c r="A9123" i="13"/>
  <c r="F9122" i="13"/>
  <c r="A9122" i="13"/>
  <c r="F9121" i="13"/>
  <c r="A9121" i="13"/>
  <c r="F9120" i="13"/>
  <c r="A9120" i="13"/>
  <c r="F9119" i="13"/>
  <c r="A9119" i="13"/>
  <c r="J9118" i="13"/>
  <c r="F9118" i="13"/>
  <c r="A9118" i="13"/>
  <c r="J9117" i="13"/>
  <c r="F9117" i="13"/>
  <c r="A9117" i="13"/>
  <c r="F9116" i="13"/>
  <c r="A9116" i="13"/>
  <c r="J9115" i="13"/>
  <c r="F9115" i="13"/>
  <c r="A9115" i="13"/>
  <c r="J9114" i="13"/>
  <c r="F9114" i="13"/>
  <c r="A9114" i="13"/>
  <c r="F9113" i="13"/>
  <c r="A9113" i="13"/>
  <c r="J9112" i="13"/>
  <c r="F9112" i="13"/>
  <c r="A9112" i="13"/>
  <c r="F9111" i="13"/>
  <c r="A9111" i="13"/>
  <c r="J9110" i="13"/>
  <c r="F9110" i="13"/>
  <c r="A9110" i="13"/>
  <c r="J9109" i="13"/>
  <c r="F9109" i="13"/>
  <c r="A9109" i="13"/>
  <c r="J9108" i="13"/>
  <c r="F9108" i="13"/>
  <c r="A9108" i="13"/>
  <c r="F9107" i="13"/>
  <c r="A9107" i="13"/>
  <c r="F9106" i="13"/>
  <c r="A9106" i="13"/>
  <c r="J9105" i="13"/>
  <c r="F9105" i="13"/>
  <c r="A9105" i="13"/>
  <c r="J9104" i="13"/>
  <c r="F9104" i="13"/>
  <c r="A9104" i="13"/>
  <c r="F9103" i="13"/>
  <c r="A9103" i="13"/>
  <c r="J9102" i="13"/>
  <c r="F9102" i="13"/>
  <c r="A9102" i="13"/>
  <c r="J9101" i="13"/>
  <c r="F9101" i="13"/>
  <c r="A9101" i="13"/>
  <c r="F9100" i="13"/>
  <c r="A9100" i="13"/>
  <c r="J9099" i="13"/>
  <c r="F9099" i="13"/>
  <c r="A9099" i="13"/>
  <c r="J9098" i="13"/>
  <c r="F9098" i="13"/>
  <c r="A9098" i="13"/>
  <c r="J9097" i="13"/>
  <c r="F9097" i="13"/>
  <c r="A9097" i="13"/>
  <c r="F9096" i="13"/>
  <c r="A9096" i="13"/>
  <c r="F9095" i="13"/>
  <c r="A9095" i="13"/>
  <c r="F9094" i="13"/>
  <c r="A9094" i="13"/>
  <c r="J9093" i="13"/>
  <c r="F9093" i="13"/>
  <c r="A9093" i="13"/>
  <c r="J9092" i="13"/>
  <c r="F9092" i="13"/>
  <c r="A9092" i="13"/>
  <c r="J9091" i="13"/>
  <c r="F9091" i="13"/>
  <c r="A9091" i="13"/>
  <c r="J9090" i="13"/>
  <c r="F9090" i="13"/>
  <c r="A9090" i="13"/>
  <c r="F9089" i="13"/>
  <c r="A9089" i="13"/>
  <c r="J9088" i="13"/>
  <c r="F9088" i="13"/>
  <c r="A9088" i="13"/>
  <c r="J9087" i="13"/>
  <c r="F9087" i="13"/>
  <c r="A9087" i="13"/>
  <c r="J9086" i="13"/>
  <c r="F9086" i="13"/>
  <c r="A9086" i="13"/>
  <c r="F9085" i="13"/>
  <c r="A9085" i="13"/>
  <c r="F9084" i="13"/>
  <c r="A9084" i="13"/>
  <c r="F9083" i="13"/>
  <c r="A9083" i="13"/>
  <c r="F9082" i="13"/>
  <c r="A9082" i="13"/>
  <c r="F9081" i="13"/>
  <c r="A9081" i="13"/>
  <c r="J9080" i="13"/>
  <c r="F9080" i="13"/>
  <c r="A9080" i="13"/>
  <c r="F9079" i="13"/>
  <c r="A9079" i="13"/>
  <c r="J9078" i="13"/>
  <c r="F9078" i="13"/>
  <c r="A9078" i="13"/>
  <c r="J9077" i="13"/>
  <c r="F9077" i="13"/>
  <c r="A9077" i="13"/>
  <c r="J9076" i="13"/>
  <c r="F9076" i="13"/>
  <c r="A9076" i="13"/>
  <c r="F9075" i="13"/>
  <c r="A9075" i="13"/>
  <c r="J9074" i="13"/>
  <c r="F9074" i="13"/>
  <c r="A9074" i="13"/>
  <c r="J9073" i="13"/>
  <c r="F9073" i="13"/>
  <c r="A9073" i="13"/>
  <c r="J9072" i="13"/>
  <c r="F9072" i="13"/>
  <c r="A9072" i="13"/>
  <c r="J9071" i="13"/>
  <c r="F9071" i="13"/>
  <c r="A9071" i="13"/>
  <c r="F9070" i="13"/>
  <c r="A9070" i="13"/>
  <c r="J9069" i="13"/>
  <c r="F9069" i="13"/>
  <c r="A9069" i="13"/>
  <c r="J9068" i="13"/>
  <c r="F9068" i="13"/>
  <c r="A9068" i="13"/>
  <c r="J9067" i="13"/>
  <c r="F9067" i="13"/>
  <c r="A9067" i="13"/>
  <c r="F9066" i="13"/>
  <c r="A9066" i="13"/>
  <c r="J9065" i="13"/>
  <c r="F9065" i="13"/>
  <c r="A9065" i="13"/>
  <c r="J9064" i="13"/>
  <c r="F9064" i="13"/>
  <c r="A9064" i="13"/>
  <c r="F9063" i="13"/>
  <c r="A9063" i="13"/>
  <c r="F9062" i="13"/>
  <c r="A9062" i="13"/>
  <c r="J9061" i="13"/>
  <c r="F9061" i="13"/>
  <c r="A9061" i="13"/>
  <c r="F9060" i="13"/>
  <c r="A9060" i="13"/>
  <c r="J9059" i="13"/>
  <c r="F9059" i="13"/>
  <c r="A9059" i="13"/>
  <c r="F9058" i="13"/>
  <c r="A9058" i="13"/>
  <c r="F9057" i="13"/>
  <c r="A9057" i="13"/>
  <c r="F9056" i="13"/>
  <c r="A9056" i="13"/>
  <c r="J9055" i="13"/>
  <c r="F9055" i="13"/>
  <c r="A9055" i="13"/>
  <c r="J9054" i="13"/>
  <c r="F9054" i="13"/>
  <c r="A9054" i="13"/>
  <c r="J9053" i="13"/>
  <c r="F9053" i="13"/>
  <c r="A9053" i="13"/>
  <c r="J9052" i="13"/>
  <c r="F9052" i="13"/>
  <c r="A9052" i="13"/>
  <c r="J9051" i="13"/>
  <c r="F9051" i="13"/>
  <c r="A9051" i="13"/>
  <c r="F9050" i="13"/>
  <c r="A9050" i="13"/>
  <c r="F9049" i="13"/>
  <c r="A9049" i="13"/>
  <c r="F9048" i="13"/>
  <c r="A9048" i="13"/>
  <c r="J9047" i="13"/>
  <c r="F9047" i="13"/>
  <c r="A9047" i="13"/>
  <c r="J9046" i="13"/>
  <c r="F9046" i="13"/>
  <c r="A9046" i="13"/>
  <c r="J9045" i="13"/>
  <c r="F9045" i="13"/>
  <c r="A9045" i="13"/>
  <c r="F9044" i="13"/>
  <c r="A9044" i="13"/>
  <c r="J9043" i="13"/>
  <c r="F9043" i="13"/>
  <c r="A9043" i="13"/>
  <c r="J9042" i="13"/>
  <c r="F9042" i="13"/>
  <c r="A9042" i="13"/>
  <c r="J9041" i="13"/>
  <c r="F9041" i="13"/>
  <c r="A9041" i="13"/>
  <c r="J9040" i="13"/>
  <c r="F9040" i="13"/>
  <c r="A9040" i="13"/>
  <c r="F9039" i="13"/>
  <c r="A9039" i="13"/>
  <c r="F9038" i="13"/>
  <c r="A9038" i="13"/>
  <c r="F9037" i="13"/>
  <c r="A9037" i="13"/>
  <c r="J9036" i="13"/>
  <c r="F9036" i="13"/>
  <c r="A9036" i="13"/>
  <c r="J9035" i="13"/>
  <c r="F9035" i="13"/>
  <c r="A9035" i="13"/>
  <c r="J9034" i="13"/>
  <c r="F9034" i="13"/>
  <c r="A9034" i="13"/>
  <c r="F9033" i="13"/>
  <c r="A9033" i="13"/>
  <c r="J9032" i="13"/>
  <c r="F9032" i="13"/>
  <c r="A9032" i="13"/>
  <c r="J9031" i="13"/>
  <c r="F9031" i="13"/>
  <c r="A9031" i="13"/>
  <c r="J9030" i="13"/>
  <c r="F9030" i="13"/>
  <c r="A9030" i="13"/>
  <c r="J9029" i="13"/>
  <c r="F9029" i="13"/>
  <c r="A9029" i="13"/>
  <c r="F9028" i="13"/>
  <c r="A9028" i="13"/>
  <c r="F9027" i="13"/>
  <c r="A9027" i="13"/>
  <c r="J9026" i="13"/>
  <c r="F9026" i="13"/>
  <c r="A9026" i="13"/>
  <c r="F9025" i="13"/>
  <c r="A9025" i="13"/>
  <c r="F9024" i="13"/>
  <c r="A9024" i="13"/>
  <c r="F9023" i="13"/>
  <c r="A9023" i="13"/>
  <c r="J9022" i="13"/>
  <c r="F9022" i="13"/>
  <c r="A9022" i="13"/>
  <c r="J9021" i="13"/>
  <c r="F9021" i="13"/>
  <c r="A9021" i="13"/>
  <c r="J9020" i="13"/>
  <c r="F9020" i="13"/>
  <c r="A9020" i="13"/>
  <c r="F9019" i="13"/>
  <c r="A9019" i="13"/>
  <c r="J9018" i="13"/>
  <c r="F9018" i="13"/>
  <c r="A9018" i="13"/>
  <c r="J9017" i="13"/>
  <c r="F9017" i="13"/>
  <c r="A9017" i="13"/>
  <c r="J9016" i="13"/>
  <c r="F9016" i="13"/>
  <c r="A9016" i="13"/>
  <c r="F9015" i="13"/>
  <c r="A9015" i="13"/>
  <c r="F9014" i="13"/>
  <c r="A9014" i="13"/>
  <c r="J9013" i="13"/>
  <c r="F9013" i="13"/>
  <c r="A9013" i="13"/>
  <c r="J9012" i="13"/>
  <c r="F9012" i="13"/>
  <c r="A9012" i="13"/>
  <c r="F9011" i="13"/>
  <c r="A9011" i="13"/>
  <c r="J9010" i="13"/>
  <c r="F9010" i="13"/>
  <c r="A9010" i="13"/>
  <c r="J9009" i="13"/>
  <c r="F9009" i="13"/>
  <c r="A9009" i="13"/>
  <c r="F9008" i="13"/>
  <c r="A9008" i="13"/>
  <c r="J9007" i="13"/>
  <c r="F9007" i="13"/>
  <c r="A9007" i="13"/>
  <c r="F9006" i="13"/>
  <c r="A9006" i="13"/>
  <c r="J9005" i="13"/>
  <c r="F9005" i="13"/>
  <c r="A9005" i="13"/>
  <c r="F9004" i="13"/>
  <c r="A9004" i="13"/>
  <c r="J9003" i="13"/>
  <c r="F9003" i="13"/>
  <c r="A9003" i="13"/>
  <c r="J9002" i="13"/>
  <c r="F9002" i="13"/>
  <c r="A9002" i="13"/>
  <c r="J9001" i="13"/>
  <c r="F9001" i="13"/>
  <c r="A9001" i="13"/>
  <c r="F9000" i="13"/>
  <c r="A9000" i="13"/>
  <c r="J8999" i="13"/>
  <c r="F8999" i="13"/>
  <c r="A8999" i="13"/>
  <c r="F8998" i="13"/>
  <c r="A8998" i="13"/>
  <c r="F8997" i="13"/>
  <c r="A8997" i="13"/>
  <c r="F8996" i="13"/>
  <c r="A8996" i="13"/>
  <c r="F8995" i="13"/>
  <c r="A8995" i="13"/>
  <c r="F8994" i="13"/>
  <c r="A8994" i="13"/>
  <c r="F8993" i="13"/>
  <c r="A8993" i="13"/>
  <c r="F8992" i="13"/>
  <c r="A8992" i="13"/>
  <c r="F8991" i="13"/>
  <c r="A8991" i="13"/>
  <c r="F8990" i="13"/>
  <c r="A8990" i="13"/>
  <c r="J8989" i="13"/>
  <c r="F8989" i="13"/>
  <c r="A8989" i="13"/>
  <c r="J8988" i="13"/>
  <c r="F8988" i="13"/>
  <c r="A8988" i="13"/>
  <c r="J8987" i="13"/>
  <c r="F8987" i="13"/>
  <c r="A8987" i="13"/>
  <c r="J8986" i="13"/>
  <c r="F8986" i="13"/>
  <c r="A8986" i="13"/>
  <c r="F8985" i="13"/>
  <c r="A8985" i="13"/>
  <c r="J8984" i="13"/>
  <c r="F8984" i="13"/>
  <c r="A8984" i="13"/>
  <c r="J8983" i="13"/>
  <c r="F8983" i="13"/>
  <c r="A8983" i="13"/>
  <c r="F8982" i="13"/>
  <c r="A8982" i="13"/>
  <c r="F8981" i="13"/>
  <c r="A8981" i="13"/>
  <c r="F8980" i="13"/>
  <c r="A8980" i="13"/>
  <c r="F8979" i="13"/>
  <c r="A8979" i="13"/>
  <c r="F8978" i="13"/>
  <c r="A8978" i="13"/>
  <c r="J8977" i="13"/>
  <c r="F8977" i="13"/>
  <c r="A8977" i="13"/>
  <c r="J8976" i="13"/>
  <c r="F8976" i="13"/>
  <c r="A8976" i="13"/>
  <c r="J8975" i="13"/>
  <c r="F8975" i="13"/>
  <c r="A8975" i="13"/>
  <c r="J8974" i="13"/>
  <c r="F8974" i="13"/>
  <c r="A8974" i="13"/>
  <c r="J8973" i="13"/>
  <c r="F8973" i="13"/>
  <c r="A8973" i="13"/>
  <c r="J8972" i="13"/>
  <c r="F8972" i="13"/>
  <c r="A8972" i="13"/>
  <c r="F8971" i="13"/>
  <c r="A8971" i="13"/>
  <c r="J8970" i="13"/>
  <c r="F8970" i="13"/>
  <c r="A8970" i="13"/>
  <c r="J8969" i="13"/>
  <c r="F8969" i="13"/>
  <c r="A8969" i="13"/>
  <c r="J8968" i="13"/>
  <c r="F8968" i="13"/>
  <c r="A8968" i="13"/>
  <c r="F8967" i="13"/>
  <c r="A8967" i="13"/>
  <c r="F8966" i="13"/>
  <c r="A8966" i="13"/>
  <c r="J8965" i="13"/>
  <c r="F8965" i="13"/>
  <c r="A8965" i="13"/>
  <c r="J8964" i="13"/>
  <c r="F8964" i="13"/>
  <c r="A8964" i="13"/>
  <c r="J8963" i="13"/>
  <c r="F8963" i="13"/>
  <c r="A8963" i="13"/>
  <c r="J8962" i="13"/>
  <c r="F8962" i="13"/>
  <c r="A8962" i="13"/>
  <c r="F8961" i="13"/>
  <c r="A8961" i="13"/>
  <c r="F8960" i="13"/>
  <c r="A8960" i="13"/>
  <c r="F8959" i="13"/>
  <c r="A8959" i="13"/>
  <c r="J8958" i="13"/>
  <c r="F8958" i="13"/>
  <c r="A8958" i="13"/>
  <c r="J8957" i="13"/>
  <c r="F8957" i="13"/>
  <c r="A8957" i="13"/>
  <c r="J8956" i="13"/>
  <c r="F8956" i="13"/>
  <c r="A8956" i="13"/>
  <c r="J8955" i="13"/>
  <c r="F8955" i="13"/>
  <c r="A8955" i="13"/>
  <c r="J8954" i="13"/>
  <c r="F8954" i="13"/>
  <c r="A8954" i="13"/>
  <c r="F8953" i="13"/>
  <c r="A8953" i="13"/>
  <c r="J8952" i="13"/>
  <c r="F8952" i="13"/>
  <c r="A8952" i="13"/>
  <c r="J8951" i="13"/>
  <c r="F8951" i="13"/>
  <c r="A8951" i="13"/>
  <c r="J8950" i="13"/>
  <c r="F8950" i="13"/>
  <c r="A8950" i="13"/>
  <c r="J8949" i="13"/>
  <c r="F8949" i="13"/>
  <c r="A8949" i="13"/>
  <c r="J8948" i="13"/>
  <c r="F8948" i="13"/>
  <c r="A8948" i="13"/>
  <c r="J8947" i="13"/>
  <c r="F8947" i="13"/>
  <c r="A8947" i="13"/>
  <c r="F8946" i="13"/>
  <c r="A8946" i="13"/>
  <c r="J8945" i="13"/>
  <c r="F8945" i="13"/>
  <c r="A8945" i="13"/>
  <c r="J8944" i="13"/>
  <c r="F8944" i="13"/>
  <c r="A8944" i="13"/>
  <c r="J8943" i="13"/>
  <c r="F8943" i="13"/>
  <c r="A8943" i="13"/>
  <c r="F8942" i="13"/>
  <c r="A8942" i="13"/>
  <c r="F8941" i="13"/>
  <c r="A8941" i="13"/>
  <c r="J8940" i="13"/>
  <c r="F8940" i="13"/>
  <c r="A8940" i="13"/>
  <c r="J8939" i="13"/>
  <c r="F8939" i="13"/>
  <c r="A8939" i="13"/>
  <c r="J8938" i="13"/>
  <c r="F8938" i="13"/>
  <c r="A8938" i="13"/>
  <c r="F8937" i="13"/>
  <c r="A8937" i="13"/>
  <c r="F8936" i="13"/>
  <c r="A8936" i="13"/>
  <c r="J8935" i="13"/>
  <c r="F8935" i="13"/>
  <c r="A8935" i="13"/>
  <c r="J8934" i="13"/>
  <c r="F8934" i="13"/>
  <c r="A8934" i="13"/>
  <c r="F8933" i="13"/>
  <c r="A8933" i="13"/>
  <c r="F8932" i="13"/>
  <c r="A8932" i="13"/>
  <c r="J8931" i="13"/>
  <c r="F8931" i="13"/>
  <c r="A8931" i="13"/>
  <c r="J8930" i="13"/>
  <c r="F8930" i="13"/>
  <c r="A8930" i="13"/>
  <c r="J8929" i="13"/>
  <c r="F8929" i="13"/>
  <c r="A8929" i="13"/>
  <c r="J8928" i="13"/>
  <c r="F8928" i="13"/>
  <c r="A8928" i="13"/>
  <c r="J8927" i="13"/>
  <c r="F8927" i="13"/>
  <c r="A8927" i="13"/>
  <c r="J8926" i="13"/>
  <c r="F8926" i="13"/>
  <c r="A8926" i="13"/>
  <c r="F8925" i="13"/>
  <c r="A8925" i="13"/>
  <c r="F8924" i="13"/>
  <c r="A8924" i="13"/>
  <c r="F8923" i="13"/>
  <c r="A8923" i="13"/>
  <c r="J8922" i="13"/>
  <c r="F8922" i="13"/>
  <c r="A8922" i="13"/>
  <c r="J8921" i="13"/>
  <c r="F8921" i="13"/>
  <c r="A8921" i="13"/>
  <c r="F8920" i="13"/>
  <c r="A8920" i="13"/>
  <c r="F8919" i="13"/>
  <c r="A8919" i="13"/>
  <c r="J8918" i="13"/>
  <c r="F8918" i="13"/>
  <c r="A8918" i="13"/>
  <c r="J8917" i="13"/>
  <c r="F8917" i="13"/>
  <c r="A8917" i="13"/>
  <c r="J8916" i="13"/>
  <c r="F8916" i="13"/>
  <c r="A8916" i="13"/>
  <c r="F8915" i="13"/>
  <c r="A8915" i="13"/>
  <c r="F8914" i="13"/>
  <c r="A8914" i="13"/>
  <c r="F8913" i="13"/>
  <c r="A8913" i="13"/>
  <c r="J8912" i="13"/>
  <c r="F8912" i="13"/>
  <c r="A8912" i="13"/>
  <c r="J8911" i="13"/>
  <c r="F8911" i="13"/>
  <c r="A8911" i="13"/>
  <c r="F8910" i="13"/>
  <c r="A8910" i="13"/>
  <c r="F8909" i="13"/>
  <c r="A8909" i="13"/>
  <c r="J8908" i="13"/>
  <c r="F8908" i="13"/>
  <c r="A8908" i="13"/>
  <c r="J8907" i="13"/>
  <c r="F8907" i="13"/>
  <c r="A8907" i="13"/>
  <c r="J8906" i="13"/>
  <c r="F8906" i="13"/>
  <c r="A8906" i="13"/>
  <c r="F8905" i="13"/>
  <c r="A8905" i="13"/>
  <c r="J8904" i="13"/>
  <c r="F8904" i="13"/>
  <c r="A8904" i="13"/>
  <c r="J8903" i="13"/>
  <c r="F8903" i="13"/>
  <c r="A8903" i="13"/>
  <c r="J8902" i="13"/>
  <c r="F8902" i="13"/>
  <c r="A8902" i="13"/>
  <c r="F8901" i="13"/>
  <c r="A8901" i="13"/>
  <c r="J8900" i="13"/>
  <c r="F8900" i="13"/>
  <c r="A8900" i="13"/>
  <c r="J8899" i="13"/>
  <c r="F8899" i="13"/>
  <c r="A8899" i="13"/>
  <c r="J8898" i="13"/>
  <c r="F8898" i="13"/>
  <c r="A8898" i="13"/>
  <c r="J8897" i="13"/>
  <c r="F8897" i="13"/>
  <c r="A8897" i="13"/>
  <c r="J8896" i="13"/>
  <c r="F8896" i="13"/>
  <c r="A8896" i="13"/>
  <c r="F8895" i="13"/>
  <c r="A8895" i="13"/>
  <c r="J8894" i="13"/>
  <c r="F8894" i="13"/>
  <c r="A8894" i="13"/>
  <c r="J8893" i="13"/>
  <c r="F8893" i="13"/>
  <c r="A8893" i="13"/>
  <c r="J8892" i="13"/>
  <c r="F8892" i="13"/>
  <c r="A8892" i="13"/>
  <c r="F8891" i="13"/>
  <c r="A8891" i="13"/>
  <c r="J8890" i="13"/>
  <c r="F8890" i="13"/>
  <c r="A8890" i="13"/>
  <c r="J8889" i="13"/>
  <c r="F8889" i="13"/>
  <c r="A8889" i="13"/>
  <c r="J8888" i="13"/>
  <c r="F8888" i="13"/>
  <c r="A8888" i="13"/>
  <c r="F8887" i="13"/>
  <c r="A8887" i="13"/>
  <c r="J8886" i="13"/>
  <c r="F8886" i="13"/>
  <c r="A8886" i="13"/>
  <c r="J8885" i="13"/>
  <c r="F8885" i="13"/>
  <c r="A8885" i="13"/>
  <c r="J8884" i="13"/>
  <c r="F8884" i="13"/>
  <c r="A8884" i="13"/>
  <c r="F8883" i="13"/>
  <c r="A8883" i="13"/>
  <c r="F8882" i="13"/>
  <c r="A8882" i="13"/>
  <c r="J8881" i="13"/>
  <c r="F8881" i="13"/>
  <c r="A8881" i="13"/>
  <c r="J8880" i="13"/>
  <c r="F8880" i="13"/>
  <c r="A8880" i="13"/>
  <c r="F8879" i="13"/>
  <c r="A8879" i="13"/>
  <c r="F8878" i="13"/>
  <c r="A8878" i="13"/>
  <c r="J8877" i="13"/>
  <c r="F8877" i="13"/>
  <c r="A8877" i="13"/>
  <c r="J8876" i="13"/>
  <c r="F8876" i="13"/>
  <c r="A8876" i="13"/>
  <c r="J8875" i="13"/>
  <c r="F8875" i="13"/>
  <c r="A8875" i="13"/>
  <c r="J8874" i="13"/>
  <c r="F8874" i="13"/>
  <c r="A8874" i="13"/>
  <c r="F8873" i="13"/>
  <c r="A8873" i="13"/>
  <c r="F8872" i="13"/>
  <c r="A8872" i="13"/>
  <c r="F8871" i="13"/>
  <c r="A8871" i="13"/>
  <c r="F8870" i="13"/>
  <c r="A8870" i="13"/>
  <c r="F8869" i="13"/>
  <c r="A8869" i="13"/>
  <c r="F8868" i="13"/>
  <c r="A8868" i="13"/>
  <c r="F8867" i="13"/>
  <c r="A8867" i="13"/>
  <c r="F8866" i="13"/>
  <c r="A8866" i="13"/>
  <c r="J8865" i="13"/>
  <c r="F8865" i="13"/>
  <c r="A8865" i="13"/>
  <c r="J8864" i="13"/>
  <c r="F8864" i="13"/>
  <c r="A8864" i="13"/>
  <c r="J8863" i="13"/>
  <c r="F8863" i="13"/>
  <c r="A8863" i="13"/>
  <c r="F8862" i="13"/>
  <c r="A8862" i="13"/>
  <c r="J8861" i="13"/>
  <c r="F8861" i="13"/>
  <c r="A8861" i="13"/>
  <c r="F8860" i="13"/>
  <c r="A8860" i="13"/>
  <c r="J8859" i="13"/>
  <c r="F8859" i="13"/>
  <c r="A8859" i="13"/>
  <c r="J8858" i="13"/>
  <c r="F8858" i="13"/>
  <c r="A8858" i="13"/>
  <c r="J8857" i="13"/>
  <c r="F8857" i="13"/>
  <c r="A8857" i="13"/>
  <c r="F8856" i="13"/>
  <c r="A8856" i="13"/>
  <c r="J8855" i="13"/>
  <c r="F8855" i="13"/>
  <c r="A8855" i="13"/>
  <c r="J8854" i="13"/>
  <c r="F8854" i="13"/>
  <c r="A8854" i="13"/>
  <c r="F8853" i="13"/>
  <c r="A8853" i="13"/>
  <c r="J8852" i="13"/>
  <c r="F8852" i="13"/>
  <c r="A8852" i="13"/>
  <c r="J8851" i="13"/>
  <c r="F8851" i="13"/>
  <c r="A8851" i="13"/>
  <c r="J8850" i="13"/>
  <c r="F8850" i="13"/>
  <c r="A8850" i="13"/>
  <c r="J8849" i="13"/>
  <c r="F8849" i="13"/>
  <c r="A8849" i="13"/>
  <c r="F8848" i="13"/>
  <c r="A8848" i="13"/>
  <c r="J8847" i="13"/>
  <c r="F8847" i="13"/>
  <c r="A8847" i="13"/>
  <c r="J8846" i="13"/>
  <c r="F8846" i="13"/>
  <c r="A8846" i="13"/>
  <c r="F8845" i="13"/>
  <c r="A8845" i="13"/>
  <c r="F8844" i="13"/>
  <c r="A8844" i="13"/>
  <c r="J8843" i="13"/>
  <c r="F8843" i="13"/>
  <c r="A8843" i="13"/>
  <c r="J8842" i="13"/>
  <c r="F8842" i="13"/>
  <c r="A8842" i="13"/>
  <c r="J8841" i="13"/>
  <c r="F8841" i="13"/>
  <c r="A8841" i="13"/>
  <c r="F8840" i="13"/>
  <c r="A8840" i="13"/>
  <c r="J8839" i="13"/>
  <c r="F8839" i="13"/>
  <c r="A8839" i="13"/>
  <c r="J8838" i="13"/>
  <c r="F8838" i="13"/>
  <c r="A8838" i="13"/>
  <c r="J8837" i="13"/>
  <c r="F8837" i="13"/>
  <c r="A8837" i="13"/>
  <c r="J8836" i="13"/>
  <c r="F8836" i="13"/>
  <c r="A8836" i="13"/>
  <c r="J8835" i="13"/>
  <c r="F8835" i="13"/>
  <c r="A8835" i="13"/>
  <c r="J8834" i="13"/>
  <c r="F8834" i="13"/>
  <c r="A8834" i="13"/>
  <c r="F8833" i="13"/>
  <c r="A8833" i="13"/>
  <c r="F8832" i="13"/>
  <c r="A8832" i="13"/>
  <c r="J8831" i="13"/>
  <c r="F8831" i="13"/>
  <c r="A8831" i="13"/>
  <c r="F8830" i="13"/>
  <c r="A8830" i="13"/>
  <c r="J8829" i="13"/>
  <c r="F8829" i="13"/>
  <c r="A8829" i="13"/>
  <c r="J8828" i="13"/>
  <c r="F8828" i="13"/>
  <c r="A8828" i="13"/>
  <c r="F8827" i="13"/>
  <c r="A8827" i="13"/>
  <c r="F8826" i="13"/>
  <c r="A8826" i="13"/>
  <c r="F8825" i="13"/>
  <c r="A8825" i="13"/>
  <c r="J8824" i="13"/>
  <c r="F8824" i="13"/>
  <c r="A8824" i="13"/>
  <c r="J8823" i="13"/>
  <c r="F8823" i="13"/>
  <c r="A8823" i="13"/>
  <c r="F8822" i="13"/>
  <c r="A8822" i="13"/>
  <c r="J8821" i="13"/>
  <c r="F8821" i="13"/>
  <c r="A8821" i="13"/>
  <c r="F8820" i="13"/>
  <c r="A8820" i="13"/>
  <c r="F8819" i="13"/>
  <c r="A8819" i="13"/>
  <c r="F8818" i="13"/>
  <c r="A8818" i="13"/>
  <c r="J8817" i="13"/>
  <c r="F8817" i="13"/>
  <c r="A8817" i="13"/>
  <c r="F8816" i="13"/>
  <c r="A8816" i="13"/>
  <c r="F8815" i="13"/>
  <c r="A8815" i="13"/>
  <c r="F8814" i="13"/>
  <c r="A8814" i="13"/>
  <c r="F8813" i="13"/>
  <c r="A8813" i="13"/>
  <c r="J8812" i="13"/>
  <c r="F8812" i="13"/>
  <c r="A8812" i="13"/>
  <c r="J8811" i="13"/>
  <c r="F8811" i="13"/>
  <c r="A8811" i="13"/>
  <c r="F8810" i="13"/>
  <c r="A8810" i="13"/>
  <c r="F8809" i="13"/>
  <c r="A8809" i="13"/>
  <c r="F8808" i="13"/>
  <c r="A8808" i="13"/>
  <c r="F8807" i="13"/>
  <c r="A8807" i="13"/>
  <c r="J8806" i="13"/>
  <c r="F8806" i="13"/>
  <c r="A8806" i="13"/>
  <c r="J8805" i="13"/>
  <c r="F8805" i="13"/>
  <c r="A8805" i="13"/>
  <c r="J8804" i="13"/>
  <c r="F8804" i="13"/>
  <c r="A8804" i="13"/>
  <c r="J8803" i="13"/>
  <c r="F8803" i="13"/>
  <c r="A8803" i="13"/>
  <c r="F8802" i="13"/>
  <c r="A8802" i="13"/>
  <c r="J8801" i="13"/>
  <c r="F8801" i="13"/>
  <c r="A8801" i="13"/>
  <c r="J8800" i="13"/>
  <c r="F8800" i="13"/>
  <c r="A8800" i="13"/>
  <c r="J8799" i="13"/>
  <c r="F8799" i="13"/>
  <c r="A8799" i="13"/>
  <c r="J8798" i="13"/>
  <c r="F8798" i="13"/>
  <c r="A8798" i="13"/>
  <c r="F8797" i="13"/>
  <c r="A8797" i="13"/>
  <c r="F8796" i="13"/>
  <c r="A8796" i="13"/>
  <c r="F8795" i="13"/>
  <c r="A8795" i="13"/>
  <c r="F8794" i="13"/>
  <c r="A8794" i="13"/>
  <c r="F8793" i="13"/>
  <c r="A8793" i="13"/>
  <c r="J8792" i="13"/>
  <c r="F8792" i="13"/>
  <c r="A8792" i="13"/>
  <c r="J8791" i="13"/>
  <c r="F8791" i="13"/>
  <c r="A8791" i="13"/>
  <c r="J8790" i="13"/>
  <c r="F8790" i="13"/>
  <c r="A8790" i="13"/>
  <c r="F8789" i="13"/>
  <c r="A8789" i="13"/>
  <c r="J8788" i="13"/>
  <c r="F8788" i="13"/>
  <c r="A8788" i="13"/>
  <c r="F8787" i="13"/>
  <c r="A8787" i="13"/>
  <c r="J8786" i="13"/>
  <c r="F8786" i="13"/>
  <c r="A8786" i="13"/>
  <c r="J8785" i="13"/>
  <c r="F8785" i="13"/>
  <c r="A8785" i="13"/>
  <c r="J8784" i="13"/>
  <c r="F8784" i="13"/>
  <c r="A8784" i="13"/>
  <c r="J8783" i="13"/>
  <c r="F8783" i="13"/>
  <c r="A8783" i="13"/>
  <c r="J8782" i="13"/>
  <c r="F8782" i="13"/>
  <c r="A8782" i="13"/>
  <c r="F8781" i="13"/>
  <c r="A8781" i="13"/>
  <c r="F8780" i="13"/>
  <c r="A8780" i="13"/>
  <c r="F8779" i="13"/>
  <c r="A8779" i="13"/>
  <c r="F8778" i="13"/>
  <c r="A8778" i="13"/>
  <c r="J8777" i="13"/>
  <c r="F8777" i="13"/>
  <c r="A8777" i="13"/>
  <c r="J8776" i="13"/>
  <c r="F8776" i="13"/>
  <c r="A8776" i="13"/>
  <c r="F8775" i="13"/>
  <c r="A8775" i="13"/>
  <c r="F8774" i="13"/>
  <c r="A8774" i="13"/>
  <c r="J8773" i="13"/>
  <c r="F8773" i="13"/>
  <c r="A8773" i="13"/>
  <c r="J8772" i="13"/>
  <c r="F8772" i="13"/>
  <c r="A8772" i="13"/>
  <c r="F8771" i="13"/>
  <c r="A8771" i="13"/>
  <c r="F8770" i="13"/>
  <c r="A8770" i="13"/>
  <c r="F8769" i="13"/>
  <c r="A8769" i="13"/>
  <c r="J8768" i="13"/>
  <c r="F8768" i="13"/>
  <c r="A8768" i="13"/>
  <c r="J8767" i="13"/>
  <c r="F8767" i="13"/>
  <c r="A8767" i="13"/>
  <c r="F8766" i="13"/>
  <c r="A8766" i="13"/>
  <c r="F8765" i="13"/>
  <c r="A8765" i="13"/>
  <c r="F8764" i="13"/>
  <c r="A8764" i="13"/>
  <c r="F8763" i="13"/>
  <c r="A8763" i="13"/>
  <c r="J8762" i="13"/>
  <c r="F8762" i="13"/>
  <c r="A8762" i="13"/>
  <c r="J8761" i="13"/>
  <c r="F8761" i="13"/>
  <c r="A8761" i="13"/>
  <c r="J8760" i="13"/>
  <c r="F8760" i="13"/>
  <c r="A8760" i="13"/>
  <c r="F8759" i="13"/>
  <c r="A8759" i="13"/>
  <c r="F8758" i="13"/>
  <c r="A8758" i="13"/>
  <c r="F8757" i="13"/>
  <c r="A8757" i="13"/>
  <c r="F8756" i="13"/>
  <c r="A8756" i="13"/>
  <c r="J8755" i="13"/>
  <c r="F8755" i="13"/>
  <c r="A8755" i="13"/>
  <c r="J8754" i="13"/>
  <c r="F8754" i="13"/>
  <c r="A8754" i="13"/>
  <c r="J8753" i="13"/>
  <c r="F8753" i="13"/>
  <c r="A8753" i="13"/>
  <c r="J8752" i="13"/>
  <c r="F8752" i="13"/>
  <c r="A8752" i="13"/>
  <c r="F8751" i="13"/>
  <c r="A8751" i="13"/>
  <c r="F8750" i="13"/>
  <c r="A8750" i="13"/>
  <c r="F8749" i="13"/>
  <c r="A8749" i="13"/>
  <c r="J8748" i="13"/>
  <c r="F8748" i="13"/>
  <c r="A8748" i="13"/>
  <c r="J8747" i="13"/>
  <c r="F8747" i="13"/>
  <c r="A8747" i="13"/>
  <c r="F8746" i="13"/>
  <c r="A8746" i="13"/>
  <c r="F8745" i="13"/>
  <c r="A8745" i="13"/>
  <c r="F8744" i="13"/>
  <c r="A8744" i="13"/>
  <c r="F8743" i="13"/>
  <c r="A8743" i="13"/>
  <c r="F8742" i="13"/>
  <c r="A8742" i="13"/>
  <c r="F8741" i="13"/>
  <c r="A8741" i="13"/>
  <c r="F8740" i="13"/>
  <c r="A8740" i="13"/>
  <c r="F8739" i="13"/>
  <c r="A8739" i="13"/>
  <c r="F8738" i="13"/>
  <c r="A8738" i="13"/>
  <c r="F8737" i="13"/>
  <c r="A8737" i="13"/>
  <c r="F8736" i="13"/>
  <c r="A8736" i="13"/>
  <c r="F8735" i="13"/>
  <c r="A8735" i="13"/>
  <c r="F8734" i="13"/>
  <c r="A8734" i="13"/>
  <c r="F8733" i="13"/>
  <c r="A8733" i="13"/>
  <c r="F8732" i="13"/>
  <c r="A8732" i="13"/>
  <c r="J8731" i="13"/>
  <c r="F8731" i="13"/>
  <c r="A8731" i="13"/>
  <c r="J8730" i="13"/>
  <c r="F8730" i="13"/>
  <c r="A8730" i="13"/>
  <c r="F8729" i="13"/>
  <c r="A8729" i="13"/>
  <c r="F8728" i="13"/>
  <c r="A8728" i="13"/>
  <c r="F8727" i="13"/>
  <c r="A8727" i="13"/>
  <c r="F8726" i="13"/>
  <c r="A8726" i="13"/>
  <c r="F8725" i="13"/>
  <c r="A8725" i="13"/>
  <c r="F8724" i="13"/>
  <c r="A8724" i="13"/>
  <c r="F8723" i="13"/>
  <c r="A8723" i="13"/>
  <c r="F8722" i="13"/>
  <c r="A8722" i="13"/>
  <c r="F8721" i="13"/>
  <c r="A8721" i="13"/>
  <c r="F8720" i="13"/>
  <c r="A8720" i="13"/>
  <c r="F8719" i="13"/>
  <c r="A8719" i="13"/>
  <c r="F8718" i="13"/>
  <c r="A8718" i="13"/>
  <c r="J8717" i="13"/>
  <c r="F8717" i="13"/>
  <c r="A8717" i="13"/>
  <c r="J8716" i="13"/>
  <c r="F8716" i="13"/>
  <c r="A8716" i="13"/>
  <c r="J8715" i="13"/>
  <c r="F8715" i="13"/>
  <c r="A8715" i="13"/>
  <c r="J8714" i="13"/>
  <c r="F8714" i="13"/>
  <c r="A8714" i="13"/>
  <c r="J8713" i="13"/>
  <c r="F8713" i="13"/>
  <c r="A8713" i="13"/>
  <c r="J8712" i="13"/>
  <c r="F8712" i="13"/>
  <c r="A8712" i="13"/>
  <c r="J8711" i="13"/>
  <c r="F8711" i="13"/>
  <c r="A8711" i="13"/>
  <c r="F8710" i="13"/>
  <c r="A8710" i="13"/>
  <c r="J8709" i="13"/>
  <c r="F8709" i="13"/>
  <c r="A8709" i="13"/>
  <c r="F8708" i="13"/>
  <c r="A8708" i="13"/>
  <c r="F8707" i="13"/>
  <c r="A8707" i="13"/>
  <c r="F8706" i="13"/>
  <c r="A8706" i="13"/>
  <c r="J8705" i="13"/>
  <c r="F8705" i="13"/>
  <c r="A8705" i="13"/>
  <c r="F8704" i="13"/>
  <c r="A8704" i="13"/>
  <c r="J8703" i="13"/>
  <c r="F8703" i="13"/>
  <c r="A8703" i="13"/>
  <c r="J8702" i="13"/>
  <c r="F8702" i="13"/>
  <c r="A8702" i="13"/>
  <c r="J8701" i="13"/>
  <c r="F8701" i="13"/>
  <c r="A8701" i="13"/>
  <c r="J8700" i="13"/>
  <c r="F8700" i="13"/>
  <c r="A8700" i="13"/>
  <c r="F8699" i="13"/>
  <c r="A8699" i="13"/>
  <c r="F8698" i="13"/>
  <c r="A8698" i="13"/>
  <c r="J8697" i="13"/>
  <c r="F8697" i="13"/>
  <c r="A8697" i="13"/>
  <c r="J8696" i="13"/>
  <c r="F8696" i="13"/>
  <c r="A8696" i="13"/>
  <c r="J8695" i="13"/>
  <c r="F8695" i="13"/>
  <c r="A8695" i="13"/>
  <c r="F8694" i="13"/>
  <c r="A8694" i="13"/>
  <c r="J8693" i="13"/>
  <c r="F8693" i="13"/>
  <c r="A8693" i="13"/>
  <c r="J8692" i="13"/>
  <c r="F8692" i="13"/>
  <c r="A8692" i="13"/>
  <c r="J8691" i="13"/>
  <c r="F8691" i="13"/>
  <c r="A8691" i="13"/>
  <c r="J8690" i="13"/>
  <c r="F8690" i="13"/>
  <c r="A8690" i="13"/>
  <c r="J8689" i="13"/>
  <c r="F8689" i="13"/>
  <c r="A8689" i="13"/>
  <c r="J8688" i="13"/>
  <c r="F8688" i="13"/>
  <c r="A8688" i="13"/>
  <c r="J8687" i="13"/>
  <c r="F8687" i="13"/>
  <c r="A8687" i="13"/>
  <c r="F8686" i="13"/>
  <c r="A8686" i="13"/>
  <c r="F8685" i="13"/>
  <c r="A8685" i="13"/>
  <c r="F8684" i="13"/>
  <c r="A8684" i="13"/>
  <c r="J8683" i="13"/>
  <c r="F8683" i="13"/>
  <c r="A8683" i="13"/>
  <c r="F8682" i="13"/>
  <c r="A8682" i="13"/>
  <c r="F8681" i="13"/>
  <c r="A8681" i="13"/>
  <c r="J8680" i="13"/>
  <c r="F8680" i="13"/>
  <c r="A8680" i="13"/>
  <c r="J8679" i="13"/>
  <c r="F8679" i="13"/>
  <c r="A8679" i="13"/>
  <c r="J8678" i="13"/>
  <c r="F8678" i="13"/>
  <c r="A8678" i="13"/>
  <c r="F8677" i="13"/>
  <c r="A8677" i="13"/>
  <c r="F8676" i="13"/>
  <c r="A8676" i="13"/>
  <c r="J8675" i="13"/>
  <c r="F8675" i="13"/>
  <c r="A8675" i="13"/>
  <c r="F8674" i="13"/>
  <c r="A8674" i="13"/>
  <c r="F8673" i="13"/>
  <c r="A8673" i="13"/>
  <c r="J8672" i="13"/>
  <c r="F8672" i="13"/>
  <c r="A8672" i="13"/>
  <c r="F8671" i="13"/>
  <c r="A8671" i="13"/>
  <c r="J8670" i="13"/>
  <c r="F8670" i="13"/>
  <c r="A8670" i="13"/>
  <c r="F8669" i="13"/>
  <c r="A8669" i="13"/>
  <c r="J8668" i="13"/>
  <c r="F8668" i="13"/>
  <c r="A8668" i="13"/>
  <c r="J8667" i="13"/>
  <c r="F8667" i="13"/>
  <c r="A8667" i="13"/>
  <c r="J8666" i="13"/>
  <c r="F8666" i="13"/>
  <c r="A8666" i="13"/>
  <c r="F8665" i="13"/>
  <c r="A8665" i="13"/>
  <c r="F8664" i="13"/>
  <c r="A8664" i="13"/>
  <c r="J8663" i="13"/>
  <c r="F8663" i="13"/>
  <c r="A8663" i="13"/>
  <c r="J8662" i="13"/>
  <c r="F8662" i="13"/>
  <c r="A8662" i="13"/>
  <c r="J8661" i="13"/>
  <c r="F8661" i="13"/>
  <c r="A8661" i="13"/>
  <c r="J8660" i="13"/>
  <c r="F8660" i="13"/>
  <c r="A8660" i="13"/>
  <c r="J8659" i="13"/>
  <c r="F8659" i="13"/>
  <c r="A8659" i="13"/>
  <c r="J8658" i="13"/>
  <c r="F8658" i="13"/>
  <c r="A8658" i="13"/>
  <c r="J8657" i="13"/>
  <c r="F8657" i="13"/>
  <c r="A8657" i="13"/>
  <c r="F8656" i="13"/>
  <c r="A8656" i="13"/>
  <c r="F8655" i="13"/>
  <c r="A8655" i="13"/>
  <c r="F8654" i="13"/>
  <c r="A8654" i="13"/>
  <c r="J8653" i="13"/>
  <c r="F8653" i="13"/>
  <c r="A8653" i="13"/>
  <c r="J8652" i="13"/>
  <c r="F8652" i="13"/>
  <c r="A8652" i="13"/>
  <c r="J8651" i="13"/>
  <c r="F8651" i="13"/>
  <c r="A8651" i="13"/>
  <c r="J8650" i="13"/>
  <c r="F8650" i="13"/>
  <c r="A8650" i="13"/>
  <c r="F8649" i="13"/>
  <c r="A8649" i="13"/>
  <c r="J8648" i="13"/>
  <c r="F8648" i="13"/>
  <c r="A8648" i="13"/>
  <c r="J8647" i="13"/>
  <c r="F8647" i="13"/>
  <c r="A8647" i="13"/>
  <c r="J8646" i="13"/>
  <c r="F8646" i="13"/>
  <c r="A8646" i="13"/>
  <c r="F8645" i="13"/>
  <c r="A8645" i="13"/>
  <c r="J8644" i="13"/>
  <c r="F8644" i="13"/>
  <c r="A8644" i="13"/>
  <c r="J8643" i="13"/>
  <c r="F8643" i="13"/>
  <c r="A8643" i="13"/>
  <c r="F8642" i="13"/>
  <c r="A8642" i="13"/>
  <c r="J8641" i="13"/>
  <c r="F8641" i="13"/>
  <c r="A8641" i="13"/>
  <c r="J8640" i="13"/>
  <c r="F8640" i="13"/>
  <c r="A8640" i="13"/>
  <c r="J8639" i="13"/>
  <c r="F8639" i="13"/>
  <c r="A8639" i="13"/>
  <c r="J8638" i="13"/>
  <c r="F8638" i="13"/>
  <c r="A8638" i="13"/>
  <c r="J8637" i="13"/>
  <c r="F8637" i="13"/>
  <c r="A8637" i="13"/>
  <c r="F8636" i="13"/>
  <c r="A8636" i="13"/>
  <c r="F8635" i="13"/>
  <c r="A8635" i="13"/>
  <c r="J8634" i="13"/>
  <c r="F8634" i="13"/>
  <c r="A8634" i="13"/>
  <c r="J8633" i="13"/>
  <c r="F8633" i="13"/>
  <c r="A8633" i="13"/>
  <c r="F8632" i="13"/>
  <c r="A8632" i="13"/>
  <c r="F8631" i="13"/>
  <c r="A8631" i="13"/>
  <c r="F8630" i="13"/>
  <c r="A8630" i="13"/>
  <c r="J8629" i="13"/>
  <c r="F8629" i="13"/>
  <c r="A8629" i="13"/>
  <c r="J8628" i="13"/>
  <c r="F8628" i="13"/>
  <c r="A8628" i="13"/>
  <c r="J8627" i="13"/>
  <c r="F8627" i="13"/>
  <c r="A8627" i="13"/>
  <c r="F8626" i="13"/>
  <c r="A8626" i="13"/>
  <c r="J8625" i="13"/>
  <c r="F8625" i="13"/>
  <c r="A8625" i="13"/>
  <c r="J8624" i="13"/>
  <c r="F8624" i="13"/>
  <c r="A8624" i="13"/>
  <c r="J8623" i="13"/>
  <c r="F8623" i="13"/>
  <c r="A8623" i="13"/>
  <c r="J8622" i="13"/>
  <c r="F8622" i="13"/>
  <c r="A8622" i="13"/>
  <c r="F8621" i="13"/>
  <c r="A8621" i="13"/>
  <c r="F8620" i="13"/>
  <c r="A8620" i="13"/>
  <c r="F8619" i="13"/>
  <c r="A8619" i="13"/>
  <c r="J8618" i="13"/>
  <c r="F8618" i="13"/>
  <c r="A8618" i="13"/>
  <c r="J8617" i="13"/>
  <c r="F8617" i="13"/>
  <c r="A8617" i="13"/>
  <c r="J8616" i="13"/>
  <c r="F8616" i="13"/>
  <c r="A8616" i="13"/>
  <c r="F8615" i="13"/>
  <c r="A8615" i="13"/>
  <c r="J8614" i="13"/>
  <c r="F8614" i="13"/>
  <c r="A8614" i="13"/>
  <c r="J8613" i="13"/>
  <c r="F8613" i="13"/>
  <c r="A8613" i="13"/>
  <c r="J8612" i="13"/>
  <c r="F8612" i="13"/>
  <c r="A8612" i="13"/>
  <c r="J8611" i="13"/>
  <c r="F8611" i="13"/>
  <c r="A8611" i="13"/>
  <c r="F8610" i="13"/>
  <c r="A8610" i="13"/>
  <c r="F8609" i="13"/>
  <c r="A8609" i="13"/>
  <c r="J8608" i="13"/>
  <c r="F8608" i="13"/>
  <c r="A8608" i="13"/>
  <c r="F8607" i="13"/>
  <c r="A8607" i="13"/>
  <c r="J8606" i="13"/>
  <c r="F8606" i="13"/>
  <c r="A8606" i="13"/>
  <c r="J8605" i="13"/>
  <c r="F8605" i="13"/>
  <c r="A8605" i="13"/>
  <c r="F8604" i="13"/>
  <c r="A8604" i="13"/>
  <c r="F8603" i="13"/>
  <c r="A8603" i="13"/>
  <c r="F8602" i="13"/>
  <c r="A8602" i="13"/>
  <c r="F8601" i="13"/>
  <c r="A8601" i="13"/>
  <c r="F8600" i="13"/>
  <c r="A8600" i="13"/>
  <c r="F8599" i="13"/>
  <c r="A8599" i="13"/>
  <c r="F8598" i="13"/>
  <c r="A8598" i="13"/>
  <c r="J8597" i="13"/>
  <c r="F8597" i="13"/>
  <c r="A8597" i="13"/>
  <c r="F8596" i="13"/>
  <c r="A8596" i="13"/>
  <c r="F8595" i="13"/>
  <c r="A8595" i="13"/>
  <c r="F8594" i="13"/>
  <c r="A8594" i="13"/>
  <c r="F8593" i="13"/>
  <c r="A8593" i="13"/>
  <c r="F8592" i="13"/>
  <c r="A8592" i="13"/>
  <c r="F8591" i="13"/>
  <c r="A8591" i="13"/>
  <c r="F8590" i="13"/>
  <c r="A8590" i="13"/>
  <c r="F8589" i="13"/>
  <c r="A8589" i="13"/>
  <c r="F8588" i="13"/>
  <c r="A8588" i="13"/>
  <c r="F8587" i="13"/>
  <c r="A8587" i="13"/>
  <c r="J8586" i="13"/>
  <c r="F8586" i="13"/>
  <c r="A8586" i="13"/>
  <c r="J8585" i="13"/>
  <c r="F8585" i="13"/>
  <c r="A8585" i="13"/>
  <c r="F8584" i="13"/>
  <c r="A8584" i="13"/>
  <c r="F8583" i="13"/>
  <c r="A8583" i="13"/>
  <c r="J8582" i="13"/>
  <c r="F8582" i="13"/>
  <c r="A8582" i="13"/>
  <c r="J8581" i="13"/>
  <c r="F8581" i="13"/>
  <c r="A8581" i="13"/>
  <c r="F8580" i="13"/>
  <c r="A8580" i="13"/>
  <c r="J8579" i="13"/>
  <c r="F8579" i="13"/>
  <c r="A8579" i="13"/>
  <c r="J8578" i="13"/>
  <c r="F8578" i="13"/>
  <c r="A8578" i="13"/>
  <c r="J8577" i="13"/>
  <c r="F8577" i="13"/>
  <c r="A8577" i="13"/>
  <c r="J8576" i="13"/>
  <c r="F8576" i="13"/>
  <c r="A8576" i="13"/>
  <c r="J8575" i="13"/>
  <c r="F8575" i="13"/>
  <c r="A8575" i="13"/>
  <c r="F8574" i="13"/>
  <c r="A8574" i="13"/>
  <c r="F8573" i="13"/>
  <c r="A8573" i="13"/>
  <c r="F8572" i="13"/>
  <c r="A8572" i="13"/>
  <c r="J8571" i="13"/>
  <c r="F8571" i="13"/>
  <c r="A8571" i="13"/>
  <c r="J8570" i="13"/>
  <c r="F8570" i="13"/>
  <c r="A8570" i="13"/>
  <c r="J8569" i="13"/>
  <c r="F8569" i="13"/>
  <c r="A8569" i="13"/>
  <c r="J8568" i="13"/>
  <c r="F8568" i="13"/>
  <c r="A8568" i="13"/>
  <c r="F8567" i="13"/>
  <c r="A8567" i="13"/>
  <c r="F8566" i="13"/>
  <c r="A8566" i="13"/>
  <c r="F8565" i="13"/>
  <c r="A8565" i="13"/>
  <c r="F8564" i="13"/>
  <c r="A8564" i="13"/>
  <c r="F8563" i="13"/>
  <c r="A8563" i="13"/>
  <c r="J8562" i="13"/>
  <c r="F8562" i="13"/>
  <c r="A8562" i="13"/>
  <c r="F8561" i="13"/>
  <c r="A8561" i="13"/>
  <c r="F8560" i="13"/>
  <c r="A8560" i="13"/>
  <c r="F8559" i="13"/>
  <c r="A8559" i="13"/>
  <c r="J8558" i="13"/>
  <c r="F8558" i="13"/>
  <c r="A8558" i="13"/>
  <c r="J8557" i="13"/>
  <c r="F8557" i="13"/>
  <c r="A8557" i="13"/>
  <c r="J8556" i="13"/>
  <c r="F8556" i="13"/>
  <c r="A8556" i="13"/>
  <c r="F8555" i="13"/>
  <c r="A8555" i="13"/>
  <c r="F8554" i="13"/>
  <c r="A8554" i="13"/>
  <c r="J8553" i="13"/>
  <c r="F8553" i="13"/>
  <c r="A8553" i="13"/>
  <c r="F8552" i="13"/>
  <c r="A8552" i="13"/>
  <c r="F8551" i="13"/>
  <c r="A8551" i="13"/>
  <c r="J8550" i="13"/>
  <c r="F8550" i="13"/>
  <c r="A8550" i="13"/>
  <c r="J8549" i="13"/>
  <c r="F8549" i="13"/>
  <c r="A8549" i="13"/>
  <c r="J8548" i="13"/>
  <c r="F8548" i="13"/>
  <c r="A8548" i="13"/>
  <c r="J8547" i="13"/>
  <c r="F8547" i="13"/>
  <c r="A8547" i="13"/>
  <c r="F8546" i="13"/>
  <c r="A8546" i="13"/>
  <c r="F8545" i="13"/>
  <c r="A8545" i="13"/>
  <c r="F8544" i="13"/>
  <c r="A8544" i="13"/>
  <c r="F8543" i="13"/>
  <c r="A8543" i="13"/>
  <c r="F8542" i="13"/>
  <c r="A8542" i="13"/>
  <c r="J8541" i="13"/>
  <c r="F8541" i="13"/>
  <c r="A8541" i="13"/>
  <c r="F8540" i="13"/>
  <c r="A8540" i="13"/>
  <c r="J8539" i="13"/>
  <c r="F8539" i="13"/>
  <c r="A8539" i="13"/>
  <c r="F8538" i="13"/>
  <c r="A8538" i="13"/>
  <c r="F8537" i="13"/>
  <c r="A8537" i="13"/>
  <c r="F8536" i="13"/>
  <c r="A8536" i="13"/>
  <c r="J8535" i="13"/>
  <c r="F8535" i="13"/>
  <c r="A8535" i="13"/>
  <c r="J8534" i="13"/>
  <c r="F8534" i="13"/>
  <c r="A8534" i="13"/>
  <c r="J8533" i="13"/>
  <c r="F8533" i="13"/>
  <c r="A8533" i="13"/>
  <c r="J8532" i="13"/>
  <c r="F8532" i="13"/>
  <c r="A8532" i="13"/>
  <c r="J8531" i="13"/>
  <c r="F8531" i="13"/>
  <c r="A8531" i="13"/>
  <c r="F8530" i="13"/>
  <c r="A8530" i="13"/>
  <c r="F8529" i="13"/>
  <c r="A8529" i="13"/>
  <c r="F8528" i="13"/>
  <c r="A8528" i="13"/>
  <c r="F8527" i="13"/>
  <c r="A8527" i="13"/>
  <c r="F8526" i="13"/>
  <c r="A8526" i="13"/>
  <c r="J8525" i="13"/>
  <c r="F8525" i="13"/>
  <c r="A8525" i="13"/>
  <c r="J8524" i="13"/>
  <c r="F8524" i="13"/>
  <c r="A8524" i="13"/>
  <c r="J8523" i="13"/>
  <c r="F8523" i="13"/>
  <c r="A8523" i="13"/>
  <c r="F8522" i="13"/>
  <c r="A8522" i="13"/>
  <c r="J8521" i="13"/>
  <c r="F8521" i="13"/>
  <c r="A8521" i="13"/>
  <c r="J8520" i="13"/>
  <c r="F8520" i="13"/>
  <c r="A8520" i="13"/>
  <c r="F8519" i="13"/>
  <c r="A8519" i="13"/>
  <c r="F8518" i="13"/>
  <c r="A8518" i="13"/>
  <c r="J8517" i="13"/>
  <c r="F8517" i="13"/>
  <c r="A8517" i="13"/>
  <c r="J8516" i="13"/>
  <c r="F8516" i="13"/>
  <c r="A8516" i="13"/>
  <c r="J8515" i="13"/>
  <c r="F8515" i="13"/>
  <c r="A8515" i="13"/>
  <c r="F8514" i="13"/>
  <c r="A8514" i="13"/>
  <c r="F8513" i="13"/>
  <c r="A8513" i="13"/>
  <c r="F8512" i="13"/>
  <c r="A8512" i="13"/>
  <c r="F8511" i="13"/>
  <c r="A8511" i="13"/>
  <c r="J8510" i="13"/>
  <c r="F8510" i="13"/>
  <c r="A8510" i="13"/>
  <c r="J8509" i="13"/>
  <c r="F8509" i="13"/>
  <c r="A8509" i="13"/>
  <c r="J8508" i="13"/>
  <c r="F8508" i="13"/>
  <c r="A8508" i="13"/>
  <c r="F8507" i="13"/>
  <c r="A8507" i="13"/>
  <c r="J8506" i="13"/>
  <c r="F8506" i="13"/>
  <c r="A8506" i="13"/>
  <c r="J8505" i="13"/>
  <c r="F8505" i="13"/>
  <c r="A8505" i="13"/>
  <c r="F8504" i="13"/>
  <c r="A8504" i="13"/>
  <c r="F8503" i="13"/>
  <c r="A8503" i="13"/>
  <c r="F8502" i="13"/>
  <c r="A8502" i="13"/>
  <c r="J8501" i="13"/>
  <c r="F8501" i="13"/>
  <c r="A8501" i="13"/>
  <c r="J8500" i="13"/>
  <c r="F8500" i="13"/>
  <c r="A8500" i="13"/>
  <c r="J8499" i="13"/>
  <c r="F8499" i="13"/>
  <c r="A8499" i="13"/>
  <c r="J8498" i="13"/>
  <c r="F8498" i="13"/>
  <c r="A8498" i="13"/>
  <c r="F8497" i="13"/>
  <c r="A8497" i="13"/>
  <c r="F8496" i="13"/>
  <c r="A8496" i="13"/>
  <c r="J8495" i="13"/>
  <c r="F8495" i="13"/>
  <c r="A8495" i="13"/>
  <c r="F8494" i="13"/>
  <c r="A8494" i="13"/>
  <c r="F8493" i="13"/>
  <c r="A8493" i="13"/>
  <c r="F8492" i="13"/>
  <c r="A8492" i="13"/>
  <c r="F8491" i="13"/>
  <c r="A8491" i="13"/>
  <c r="F8490" i="13"/>
  <c r="A8490" i="13"/>
  <c r="F8489" i="13"/>
  <c r="A8489" i="13"/>
  <c r="F8488" i="13"/>
  <c r="A8488" i="13"/>
  <c r="J8487" i="13"/>
  <c r="F8487" i="13"/>
  <c r="A8487" i="13"/>
  <c r="J8486" i="13"/>
  <c r="F8486" i="13"/>
  <c r="A8486" i="13"/>
  <c r="J8485" i="13"/>
  <c r="F8485" i="13"/>
  <c r="A8485" i="13"/>
  <c r="J8484" i="13"/>
  <c r="F8484" i="13"/>
  <c r="A8484" i="13"/>
  <c r="F8483" i="13"/>
  <c r="A8483" i="13"/>
  <c r="J8482" i="13"/>
  <c r="F8482" i="13"/>
  <c r="A8482" i="13"/>
  <c r="J8481" i="13"/>
  <c r="F8481" i="13"/>
  <c r="A8481" i="13"/>
  <c r="J8480" i="13"/>
  <c r="F8480" i="13"/>
  <c r="A8480" i="13"/>
  <c r="J8479" i="13"/>
  <c r="F8479" i="13"/>
  <c r="A8479" i="13"/>
  <c r="F8478" i="13"/>
  <c r="A8478" i="13"/>
  <c r="J8477" i="13"/>
  <c r="F8477" i="13"/>
  <c r="A8477" i="13"/>
  <c r="J8476" i="13"/>
  <c r="F8476" i="13"/>
  <c r="A8476" i="13"/>
  <c r="J8475" i="13"/>
  <c r="F8475" i="13"/>
  <c r="A8475" i="13"/>
  <c r="F8474" i="13"/>
  <c r="A8474" i="13"/>
  <c r="F8473" i="13"/>
  <c r="A8473" i="13"/>
  <c r="J8472" i="13"/>
  <c r="F8472" i="13"/>
  <c r="A8472" i="13"/>
  <c r="J8471" i="13"/>
  <c r="F8471" i="13"/>
  <c r="A8471" i="13"/>
  <c r="J8470" i="13"/>
  <c r="F8470" i="13"/>
  <c r="A8470" i="13"/>
  <c r="J8469" i="13"/>
  <c r="F8469" i="13"/>
  <c r="A8469" i="13"/>
  <c r="J8468" i="13"/>
  <c r="F8468" i="13"/>
  <c r="A8468" i="13"/>
  <c r="J8467" i="13"/>
  <c r="F8467" i="13"/>
  <c r="A8467" i="13"/>
  <c r="J8466" i="13"/>
  <c r="F8466" i="13"/>
  <c r="A8466" i="13"/>
  <c r="F8465" i="13"/>
  <c r="A8465" i="13"/>
  <c r="J8464" i="13"/>
  <c r="F8464" i="13"/>
  <c r="A8464" i="13"/>
  <c r="J8463" i="13"/>
  <c r="F8463" i="13"/>
  <c r="A8463" i="13"/>
  <c r="J8462" i="13"/>
  <c r="F8462" i="13"/>
  <c r="A8462" i="13"/>
  <c r="J8461" i="13"/>
  <c r="F8461" i="13"/>
  <c r="A8461" i="13"/>
  <c r="J8460" i="13"/>
  <c r="F8460" i="13"/>
  <c r="A8460" i="13"/>
  <c r="J8459" i="13"/>
  <c r="F8459" i="13"/>
  <c r="A8459" i="13"/>
  <c r="J8458" i="13"/>
  <c r="F8458" i="13"/>
  <c r="A8458" i="13"/>
  <c r="F8457" i="13"/>
  <c r="A8457" i="13"/>
  <c r="F8456" i="13"/>
  <c r="A8456" i="13"/>
  <c r="J8455" i="13"/>
  <c r="F8455" i="13"/>
  <c r="A8455" i="13"/>
  <c r="J8454" i="13"/>
  <c r="F8454" i="13"/>
  <c r="A8454" i="13"/>
  <c r="J8453" i="13"/>
  <c r="F8453" i="13"/>
  <c r="A8453" i="13"/>
  <c r="J8452" i="13"/>
  <c r="F8452" i="13"/>
  <c r="A8452" i="13"/>
  <c r="F8451" i="13"/>
  <c r="A8451" i="13"/>
  <c r="F8450" i="13"/>
  <c r="A8450" i="13"/>
  <c r="F8449" i="13"/>
  <c r="A8449" i="13"/>
  <c r="J8448" i="13"/>
  <c r="F8448" i="13"/>
  <c r="A8448" i="13"/>
  <c r="J8447" i="13"/>
  <c r="F8447" i="13"/>
  <c r="A8447" i="13"/>
  <c r="F8446" i="13"/>
  <c r="A8446" i="13"/>
  <c r="J8445" i="13"/>
  <c r="F8445" i="13"/>
  <c r="A8445" i="13"/>
  <c r="J8444" i="13"/>
  <c r="F8444" i="13"/>
  <c r="A8444" i="13"/>
  <c r="J8443" i="13"/>
  <c r="F8443" i="13"/>
  <c r="A8443" i="13"/>
  <c r="F8442" i="13"/>
  <c r="A8442" i="13"/>
  <c r="J8441" i="13"/>
  <c r="F8441" i="13"/>
  <c r="A8441" i="13"/>
  <c r="J8440" i="13"/>
  <c r="F8440" i="13"/>
  <c r="A8440" i="13"/>
  <c r="F8439" i="13"/>
  <c r="A8439" i="13"/>
  <c r="F8438" i="13"/>
  <c r="A8438" i="13"/>
  <c r="J8437" i="13"/>
  <c r="F8437" i="13"/>
  <c r="A8437" i="13"/>
  <c r="J8436" i="13"/>
  <c r="F8436" i="13"/>
  <c r="A8436" i="13"/>
  <c r="J8435" i="13"/>
  <c r="F8435" i="13"/>
  <c r="A8435" i="13"/>
  <c r="J8434" i="13"/>
  <c r="F8434" i="13"/>
  <c r="A8434" i="13"/>
  <c r="J8433" i="13"/>
  <c r="F8433" i="13"/>
  <c r="A8433" i="13"/>
  <c r="J8432" i="13"/>
  <c r="F8432" i="13"/>
  <c r="A8432" i="13"/>
  <c r="J8431" i="13"/>
  <c r="F8431" i="13"/>
  <c r="A8431" i="13"/>
  <c r="J8430" i="13"/>
  <c r="F8430" i="13"/>
  <c r="A8430" i="13"/>
  <c r="J8429" i="13"/>
  <c r="F8429" i="13"/>
  <c r="A8429" i="13"/>
  <c r="F8428" i="13"/>
  <c r="A8428" i="13"/>
  <c r="F8427" i="13"/>
  <c r="A8427" i="13"/>
  <c r="J8426" i="13"/>
  <c r="F8426" i="13"/>
  <c r="A8426" i="13"/>
  <c r="F8425" i="13"/>
  <c r="A8425" i="13"/>
  <c r="J8424" i="13"/>
  <c r="F8424" i="13"/>
  <c r="A8424" i="13"/>
  <c r="J8423" i="13"/>
  <c r="F8423" i="13"/>
  <c r="A8423" i="13"/>
  <c r="J8422" i="13"/>
  <c r="F8422" i="13"/>
  <c r="A8422" i="13"/>
  <c r="J8421" i="13"/>
  <c r="F8421" i="13"/>
  <c r="A8421" i="13"/>
  <c r="J8420" i="13"/>
  <c r="F8420" i="13"/>
  <c r="A8420" i="13"/>
  <c r="J8419" i="13"/>
  <c r="F8419" i="13"/>
  <c r="A8419" i="13"/>
  <c r="J8418" i="13"/>
  <c r="F8418" i="13"/>
  <c r="A8418" i="13"/>
  <c r="J8417" i="13"/>
  <c r="F8417" i="13"/>
  <c r="A8417" i="13"/>
  <c r="J8416" i="13"/>
  <c r="F8416" i="13"/>
  <c r="A8416" i="13"/>
  <c r="F8415" i="13"/>
  <c r="A8415" i="13"/>
  <c r="F8414" i="13"/>
  <c r="A8414" i="13"/>
  <c r="F8413" i="13"/>
  <c r="A8413" i="13"/>
  <c r="F8412" i="13"/>
  <c r="A8412" i="13"/>
  <c r="J8411" i="13"/>
  <c r="F8411" i="13"/>
  <c r="A8411" i="13"/>
  <c r="J8410" i="13"/>
  <c r="F8410" i="13"/>
  <c r="A8410" i="13"/>
  <c r="J8409" i="13"/>
  <c r="F8409" i="13"/>
  <c r="A8409" i="13"/>
  <c r="J8408" i="13"/>
  <c r="F8408" i="13"/>
  <c r="A8408" i="13"/>
  <c r="J8407" i="13"/>
  <c r="F8407" i="13"/>
  <c r="A8407" i="13"/>
  <c r="J8406" i="13"/>
  <c r="F8406" i="13"/>
  <c r="A8406" i="13"/>
  <c r="J8405" i="13"/>
  <c r="F8405" i="13"/>
  <c r="A8405" i="13"/>
  <c r="J8404" i="13"/>
  <c r="F8404" i="13"/>
  <c r="A8404" i="13"/>
  <c r="J8403" i="13"/>
  <c r="F8403" i="13"/>
  <c r="A8403" i="13"/>
  <c r="J8402" i="13"/>
  <c r="F8402" i="13"/>
  <c r="A8402" i="13"/>
  <c r="F8401" i="13"/>
  <c r="A8401" i="13"/>
  <c r="F8400" i="13"/>
  <c r="A8400" i="13"/>
  <c r="F8399" i="13"/>
  <c r="A8399" i="13"/>
  <c r="F8398" i="13"/>
  <c r="A8398" i="13"/>
  <c r="J8397" i="13"/>
  <c r="F8397" i="13"/>
  <c r="A8397" i="13"/>
  <c r="J8396" i="13"/>
  <c r="F8396" i="13"/>
  <c r="A8396" i="13"/>
  <c r="J8395" i="13"/>
  <c r="F8395" i="13"/>
  <c r="A8395" i="13"/>
  <c r="J8394" i="13"/>
  <c r="F8394" i="13"/>
  <c r="A8394" i="13"/>
  <c r="J8393" i="13"/>
  <c r="F8393" i="13"/>
  <c r="A8393" i="13"/>
  <c r="J8392" i="13"/>
  <c r="F8392" i="13"/>
  <c r="A8392" i="13"/>
  <c r="J8391" i="13"/>
  <c r="F8391" i="13"/>
  <c r="A8391" i="13"/>
  <c r="J8390" i="13"/>
  <c r="F8390" i="13"/>
  <c r="A8390" i="13"/>
  <c r="F8389" i="13"/>
  <c r="A8389" i="13"/>
  <c r="J8388" i="13"/>
  <c r="F8388" i="13"/>
  <c r="A8388" i="13"/>
  <c r="J8387" i="13"/>
  <c r="F8387" i="13"/>
  <c r="A8387" i="13"/>
  <c r="J8386" i="13"/>
  <c r="F8386" i="13"/>
  <c r="A8386" i="13"/>
  <c r="J8385" i="13"/>
  <c r="F8385" i="13"/>
  <c r="A8385" i="13"/>
  <c r="J8384" i="13"/>
  <c r="F8384" i="13"/>
  <c r="A8384" i="13"/>
  <c r="J8383" i="13"/>
  <c r="F8383" i="13"/>
  <c r="A8383" i="13"/>
  <c r="J8382" i="13"/>
  <c r="F8382" i="13"/>
  <c r="A8382" i="13"/>
  <c r="J8381" i="13"/>
  <c r="F8381" i="13"/>
  <c r="A8381" i="13"/>
  <c r="F8380" i="13"/>
  <c r="A8380" i="13"/>
  <c r="F8379" i="13"/>
  <c r="A8379" i="13"/>
  <c r="F8378" i="13"/>
  <c r="A8378" i="13"/>
  <c r="F8377" i="13"/>
  <c r="A8377" i="13"/>
  <c r="J8376" i="13"/>
  <c r="F8376" i="13"/>
  <c r="A8376" i="13"/>
  <c r="J8375" i="13"/>
  <c r="F8375" i="13"/>
  <c r="A8375" i="13"/>
  <c r="J8374" i="13"/>
  <c r="F8374" i="13"/>
  <c r="A8374" i="13"/>
  <c r="F8373" i="13"/>
  <c r="A8373" i="13"/>
  <c r="F8372" i="13"/>
  <c r="A8372" i="13"/>
  <c r="J8371" i="13"/>
  <c r="F8371" i="13"/>
  <c r="A8371" i="13"/>
  <c r="J8370" i="13"/>
  <c r="F8370" i="13"/>
  <c r="A8370" i="13"/>
  <c r="F8369" i="13"/>
  <c r="A8369" i="13"/>
  <c r="F8368" i="13"/>
  <c r="A8368" i="13"/>
  <c r="J8367" i="13"/>
  <c r="F8367" i="13"/>
  <c r="A8367" i="13"/>
  <c r="F8366" i="13"/>
  <c r="A8366" i="13"/>
  <c r="F8365" i="13"/>
  <c r="A8365" i="13"/>
  <c r="F8364" i="13"/>
  <c r="A8364" i="13"/>
  <c r="J8363" i="13"/>
  <c r="F8363" i="13"/>
  <c r="A8363" i="13"/>
  <c r="F8362" i="13"/>
  <c r="A8362" i="13"/>
  <c r="J8361" i="13"/>
  <c r="F8361" i="13"/>
  <c r="A8361" i="13"/>
  <c r="J8360" i="13"/>
  <c r="F8360" i="13"/>
  <c r="A8360" i="13"/>
  <c r="F8359" i="13"/>
  <c r="A8359" i="13"/>
  <c r="F8358" i="13"/>
  <c r="A8358" i="13"/>
  <c r="F8357" i="13"/>
  <c r="A8357" i="13"/>
  <c r="F8356" i="13"/>
  <c r="A8356" i="13"/>
  <c r="F8355" i="13"/>
  <c r="A8355" i="13"/>
  <c r="J8354" i="13"/>
  <c r="F8354" i="13"/>
  <c r="A8354" i="13"/>
  <c r="J8353" i="13"/>
  <c r="F8353" i="13"/>
  <c r="A8353" i="13"/>
  <c r="J8352" i="13"/>
  <c r="F8352" i="13"/>
  <c r="A8352" i="13"/>
  <c r="J8351" i="13"/>
  <c r="F8351" i="13"/>
  <c r="A8351" i="13"/>
  <c r="F8350" i="13"/>
  <c r="A8350" i="13"/>
  <c r="F8349" i="13"/>
  <c r="A8349" i="13"/>
  <c r="F8348" i="13"/>
  <c r="A8348" i="13"/>
  <c r="J8347" i="13"/>
  <c r="F8347" i="13"/>
  <c r="A8347" i="13"/>
  <c r="F8346" i="13"/>
  <c r="A8346" i="13"/>
  <c r="J8345" i="13"/>
  <c r="F8345" i="13"/>
  <c r="A8345" i="13"/>
  <c r="J8344" i="13"/>
  <c r="F8344" i="13"/>
  <c r="A8344" i="13"/>
  <c r="F8343" i="13"/>
  <c r="A8343" i="13"/>
  <c r="J8342" i="13"/>
  <c r="F8342" i="13"/>
  <c r="A8342" i="13"/>
  <c r="J8341" i="13"/>
  <c r="F8341" i="13"/>
  <c r="A8341" i="13"/>
  <c r="J8340" i="13"/>
  <c r="F8340" i="13"/>
  <c r="A8340" i="13"/>
  <c r="J8339" i="13"/>
  <c r="F8339" i="13"/>
  <c r="A8339" i="13"/>
  <c r="J8338" i="13"/>
  <c r="F8338" i="13"/>
  <c r="A8338" i="13"/>
  <c r="J8337" i="13"/>
  <c r="F8337" i="13"/>
  <c r="A8337" i="13"/>
  <c r="F8336" i="13"/>
  <c r="A8336" i="13"/>
  <c r="J8335" i="13"/>
  <c r="F8335" i="13"/>
  <c r="J8334" i="13"/>
  <c r="F8334" i="13"/>
  <c r="J8333" i="13"/>
  <c r="F8333" i="13"/>
  <c r="F8332" i="13"/>
  <c r="A8332" i="13"/>
  <c r="F8331" i="13"/>
  <c r="A8331" i="13"/>
  <c r="F8330" i="13"/>
  <c r="A8330" i="13"/>
  <c r="F8329" i="13"/>
  <c r="A8329" i="13"/>
  <c r="F8328" i="13"/>
  <c r="A8328" i="13"/>
  <c r="F8327" i="13"/>
  <c r="A8327" i="13"/>
  <c r="F8326" i="13"/>
  <c r="A8326" i="13"/>
  <c r="F8325" i="13"/>
  <c r="A8325" i="13"/>
  <c r="F8324" i="13"/>
  <c r="A8324" i="13"/>
  <c r="F8323" i="13"/>
  <c r="A8323" i="13"/>
  <c r="F8322" i="13"/>
  <c r="A8322" i="13"/>
  <c r="F8321" i="13"/>
  <c r="A8321" i="13"/>
  <c r="F8320" i="13"/>
  <c r="A8320" i="13"/>
  <c r="F8319" i="13"/>
  <c r="J8318" i="13"/>
  <c r="F8318" i="13"/>
  <c r="A8318" i="13"/>
  <c r="J8317" i="13"/>
  <c r="F8317" i="13"/>
  <c r="A8317" i="13"/>
  <c r="J8316" i="13"/>
  <c r="F8316" i="13"/>
  <c r="A8316" i="13"/>
  <c r="J8315" i="13"/>
  <c r="F8315" i="13"/>
  <c r="A8315" i="13"/>
  <c r="J8314" i="13"/>
  <c r="F8314" i="13"/>
  <c r="A8314" i="13"/>
  <c r="J8313" i="13"/>
  <c r="F8313" i="13"/>
  <c r="A8313" i="13"/>
  <c r="J8312" i="13"/>
  <c r="F8312" i="13"/>
  <c r="A8312" i="13"/>
  <c r="J8311" i="13"/>
  <c r="F8311" i="13"/>
  <c r="A8311" i="13"/>
  <c r="J8310" i="13"/>
  <c r="F8310" i="13"/>
  <c r="A8310" i="13"/>
  <c r="J8309" i="13"/>
  <c r="F8309" i="13"/>
  <c r="A8309" i="13"/>
  <c r="F8308" i="13"/>
  <c r="A8308" i="13"/>
  <c r="J8307" i="13"/>
  <c r="F8307" i="13"/>
  <c r="A8307" i="13"/>
  <c r="J8306" i="13"/>
  <c r="F8306" i="13"/>
  <c r="A8306" i="13"/>
  <c r="J8305" i="13"/>
  <c r="F8305" i="13"/>
  <c r="A8305" i="13"/>
  <c r="J8304" i="13"/>
  <c r="F8304" i="13"/>
  <c r="A8304" i="13"/>
  <c r="F8303" i="13"/>
  <c r="A8303" i="13"/>
  <c r="J8302" i="13"/>
  <c r="F8302" i="13"/>
  <c r="A8302" i="13"/>
  <c r="J8301" i="13"/>
  <c r="F8301" i="13"/>
  <c r="A8301" i="13"/>
  <c r="J8300" i="13"/>
  <c r="F8300" i="13"/>
  <c r="A8300" i="13"/>
  <c r="F8299" i="13"/>
  <c r="A8299" i="13"/>
  <c r="J8298" i="13"/>
  <c r="F8298" i="13"/>
  <c r="A8298" i="13"/>
  <c r="J8297" i="13"/>
  <c r="F8297" i="13"/>
  <c r="A8297" i="13"/>
  <c r="J8296" i="13"/>
  <c r="F8296" i="13"/>
  <c r="A8296" i="13"/>
  <c r="J8295" i="13"/>
  <c r="F8295" i="13"/>
  <c r="A8295" i="13"/>
  <c r="J8294" i="13"/>
  <c r="F8294" i="13"/>
  <c r="A8294" i="13"/>
  <c r="F8293" i="13"/>
  <c r="A8293" i="13"/>
  <c r="J8292" i="13"/>
  <c r="F8292" i="13"/>
  <c r="A8292" i="13"/>
  <c r="J8291" i="13"/>
  <c r="F8291" i="13"/>
  <c r="A8291" i="13"/>
  <c r="J8290" i="13"/>
  <c r="F8290" i="13"/>
  <c r="A8290" i="13"/>
  <c r="J8289" i="13"/>
  <c r="F8289" i="13"/>
  <c r="A8289" i="13"/>
  <c r="F8288" i="13"/>
  <c r="A8288" i="13"/>
  <c r="F8287" i="13"/>
  <c r="A8287" i="13"/>
  <c r="J8286" i="13"/>
  <c r="F8286" i="13"/>
  <c r="A8286" i="13"/>
  <c r="J8285" i="13"/>
  <c r="F8285" i="13"/>
  <c r="A8285" i="13"/>
  <c r="J8284" i="13"/>
  <c r="F8284" i="13"/>
  <c r="A8284" i="13"/>
  <c r="J8283" i="13"/>
  <c r="F8283" i="13"/>
  <c r="A8283" i="13"/>
  <c r="F8282" i="13"/>
  <c r="A8282" i="13"/>
  <c r="J8281" i="13"/>
  <c r="F8281" i="13"/>
  <c r="A8281" i="13"/>
  <c r="J8280" i="13"/>
  <c r="F8280" i="13"/>
  <c r="A8280" i="13"/>
  <c r="J8279" i="13"/>
  <c r="F8279" i="13"/>
  <c r="A8279" i="13"/>
  <c r="J8278" i="13"/>
  <c r="F8278" i="13"/>
  <c r="A8278" i="13"/>
  <c r="F8277" i="13"/>
  <c r="A8277" i="13"/>
  <c r="J8276" i="13"/>
  <c r="F8276" i="13"/>
  <c r="A8276" i="13"/>
  <c r="J8275" i="13"/>
  <c r="F8275" i="13"/>
  <c r="A8275" i="13"/>
  <c r="F8274" i="13"/>
  <c r="A8274" i="13"/>
  <c r="F8273" i="13"/>
  <c r="A8273" i="13"/>
  <c r="J8272" i="13"/>
  <c r="F8272" i="13"/>
  <c r="A8272" i="13"/>
  <c r="F8271" i="13"/>
  <c r="A8271" i="13"/>
  <c r="J8270" i="13"/>
  <c r="F8270" i="13"/>
  <c r="A8270" i="13"/>
  <c r="F8269" i="13"/>
  <c r="A8269" i="13"/>
  <c r="J8268" i="13"/>
  <c r="F8268" i="13"/>
  <c r="A8268" i="13"/>
  <c r="J8267" i="13"/>
  <c r="F8267" i="13"/>
  <c r="A8267" i="13"/>
  <c r="F8266" i="13"/>
  <c r="A8266" i="13"/>
  <c r="F8265" i="13"/>
  <c r="A8265" i="13"/>
  <c r="F8264" i="13"/>
  <c r="A8264" i="13"/>
  <c r="J8263" i="13"/>
  <c r="F8263" i="13"/>
  <c r="A8263" i="13"/>
  <c r="J8262" i="13"/>
  <c r="F8262" i="13"/>
  <c r="A8262" i="13"/>
  <c r="F8261" i="13"/>
  <c r="A8261" i="13"/>
  <c r="J8260" i="13"/>
  <c r="F8260" i="13"/>
  <c r="A8260" i="13"/>
  <c r="J8259" i="13"/>
  <c r="F8259" i="13"/>
  <c r="A8259" i="13"/>
  <c r="F8258" i="13"/>
  <c r="A8258" i="13"/>
  <c r="J8257" i="13"/>
  <c r="F8257" i="13"/>
  <c r="A8257" i="13"/>
  <c r="J8256" i="13"/>
  <c r="F8256" i="13"/>
  <c r="A8256" i="13"/>
  <c r="J8255" i="13"/>
  <c r="F8255" i="13"/>
  <c r="A8255" i="13"/>
  <c r="F8254" i="13"/>
  <c r="A8254" i="13"/>
  <c r="F8253" i="13"/>
  <c r="A8253" i="13"/>
  <c r="F8252" i="13"/>
  <c r="A8252" i="13"/>
  <c r="F8251" i="13"/>
  <c r="A8251" i="13"/>
  <c r="J8250" i="13"/>
  <c r="F8250" i="13"/>
  <c r="A8250" i="13"/>
  <c r="J8249" i="13"/>
  <c r="F8249" i="13"/>
  <c r="A8249" i="13"/>
  <c r="F8248" i="13"/>
  <c r="A8248" i="13"/>
  <c r="F8247" i="13"/>
  <c r="A8247" i="13"/>
  <c r="F8246" i="13"/>
  <c r="A8246" i="13"/>
  <c r="J8245" i="13"/>
  <c r="F8245" i="13"/>
  <c r="A8245" i="13"/>
  <c r="J8244" i="13"/>
  <c r="F8244" i="13"/>
  <c r="A8244" i="13"/>
  <c r="J8243" i="13"/>
  <c r="F8243" i="13"/>
  <c r="A8243" i="13"/>
  <c r="J8242" i="13"/>
  <c r="F8242" i="13"/>
  <c r="A8242" i="13"/>
  <c r="F8241" i="13"/>
  <c r="A8241" i="13"/>
  <c r="J8240" i="13"/>
  <c r="F8240" i="13"/>
  <c r="A8240" i="13"/>
  <c r="J8239" i="13"/>
  <c r="F8239" i="13"/>
  <c r="A8239" i="13"/>
  <c r="J8238" i="13"/>
  <c r="F8238" i="13"/>
  <c r="A8238" i="13"/>
  <c r="J8237" i="13"/>
  <c r="F8237" i="13"/>
  <c r="A8237" i="13"/>
  <c r="F8236" i="13"/>
  <c r="A8236" i="13"/>
  <c r="F8235" i="13"/>
  <c r="A8235" i="13"/>
  <c r="F8234" i="13"/>
  <c r="A8234" i="13"/>
  <c r="F8233" i="13"/>
  <c r="A8233" i="13"/>
  <c r="F8232" i="13"/>
  <c r="A8232" i="13"/>
  <c r="F8231" i="13"/>
  <c r="A8231" i="13"/>
  <c r="F8230" i="13"/>
  <c r="A8230" i="13"/>
  <c r="F8229" i="13"/>
  <c r="A8229" i="13"/>
  <c r="F8228" i="13"/>
  <c r="A8228" i="13"/>
  <c r="J8227" i="13"/>
  <c r="F8227" i="13"/>
  <c r="A8227" i="13"/>
  <c r="F8226" i="13"/>
  <c r="A8226" i="13"/>
  <c r="F8225" i="13"/>
  <c r="A8225" i="13"/>
  <c r="J8224" i="13"/>
  <c r="F8224" i="13"/>
  <c r="A8224" i="13"/>
  <c r="F8223" i="13"/>
  <c r="A8223" i="13"/>
  <c r="J8222" i="13"/>
  <c r="F8222" i="13"/>
  <c r="A8222" i="13"/>
  <c r="F8221" i="13"/>
  <c r="A8221" i="13"/>
  <c r="F8220" i="13"/>
  <c r="A8220" i="13"/>
  <c r="F8219" i="13"/>
  <c r="A8219" i="13"/>
  <c r="J8218" i="13"/>
  <c r="F8218" i="13"/>
  <c r="A8218" i="13"/>
  <c r="F8217" i="13"/>
  <c r="A8217" i="13"/>
  <c r="J8216" i="13"/>
  <c r="F8216" i="13"/>
  <c r="A8216" i="13"/>
  <c r="J8215" i="13"/>
  <c r="F8215" i="13"/>
  <c r="A8215" i="13"/>
  <c r="F8214" i="13"/>
  <c r="A8214" i="13"/>
  <c r="F8213" i="13"/>
  <c r="A8213" i="13"/>
  <c r="J8212" i="13"/>
  <c r="F8212" i="13"/>
  <c r="A8212" i="13"/>
  <c r="J8211" i="13"/>
  <c r="F8211" i="13"/>
  <c r="A8211" i="13"/>
  <c r="J8210" i="13"/>
  <c r="F8210" i="13"/>
  <c r="A8210" i="13"/>
  <c r="J8209" i="13"/>
  <c r="F8209" i="13"/>
  <c r="A8209" i="13"/>
  <c r="J8208" i="13"/>
  <c r="F8208" i="13"/>
  <c r="A8208" i="13"/>
  <c r="J8207" i="13"/>
  <c r="F8207" i="13"/>
  <c r="A8207" i="13"/>
  <c r="F8206" i="13"/>
  <c r="A8206" i="13"/>
  <c r="F8205" i="13"/>
  <c r="A8205" i="13"/>
  <c r="F8204" i="13"/>
  <c r="A8204" i="13"/>
  <c r="J8203" i="13"/>
  <c r="F8203" i="13"/>
  <c r="A8203" i="13"/>
  <c r="J8202" i="13"/>
  <c r="F8202" i="13"/>
  <c r="A8202" i="13"/>
  <c r="J8201" i="13"/>
  <c r="F8201" i="13"/>
  <c r="A8201" i="13"/>
  <c r="J8200" i="13"/>
  <c r="F8200" i="13"/>
  <c r="A8200" i="13"/>
  <c r="J8199" i="13"/>
  <c r="F8199" i="13"/>
  <c r="A8199" i="13"/>
  <c r="J8198" i="13"/>
  <c r="F8198" i="13"/>
  <c r="A8198" i="13"/>
  <c r="J8197" i="13"/>
  <c r="F8197" i="13"/>
  <c r="A8197" i="13"/>
  <c r="J8196" i="13"/>
  <c r="F8196" i="13"/>
  <c r="A8196" i="13"/>
  <c r="J8195" i="13"/>
  <c r="F8195" i="13"/>
  <c r="A8195" i="13"/>
  <c r="J8194" i="13"/>
  <c r="F8194" i="13"/>
  <c r="A8194" i="13"/>
  <c r="F8193" i="13"/>
  <c r="A8193" i="13"/>
  <c r="F8192" i="13"/>
  <c r="A8192" i="13"/>
  <c r="J8191" i="13"/>
  <c r="F8191" i="13"/>
  <c r="A8191" i="13"/>
  <c r="J8190" i="13"/>
  <c r="F8190" i="13"/>
  <c r="A8190" i="13"/>
  <c r="J8189" i="13"/>
  <c r="F8189" i="13"/>
  <c r="A8189" i="13"/>
  <c r="F8188" i="13"/>
  <c r="A8188" i="13"/>
  <c r="F8187" i="13"/>
  <c r="A8187" i="13"/>
  <c r="F8186" i="13"/>
  <c r="A8186" i="13"/>
  <c r="J8185" i="13"/>
  <c r="F8185" i="13"/>
  <c r="A8185" i="13"/>
  <c r="F8184" i="13"/>
  <c r="A8184" i="13"/>
  <c r="F8183" i="13"/>
  <c r="A8183" i="13"/>
  <c r="F8182" i="13"/>
  <c r="A8182" i="13"/>
  <c r="F8181" i="13"/>
  <c r="A8181" i="13"/>
  <c r="F8180" i="13"/>
  <c r="A8180" i="13"/>
  <c r="F8179" i="13"/>
  <c r="A8179" i="13"/>
  <c r="F8178" i="13"/>
  <c r="A8178" i="13"/>
  <c r="J8177" i="13"/>
  <c r="F8177" i="13"/>
  <c r="A8177" i="13"/>
  <c r="J8176" i="13"/>
  <c r="F8176" i="13"/>
  <c r="A8176" i="13"/>
  <c r="J8175" i="13"/>
  <c r="F8175" i="13"/>
  <c r="A8175" i="13"/>
  <c r="F8174" i="13"/>
  <c r="A8174" i="13"/>
  <c r="F8173" i="13"/>
  <c r="A8173" i="13"/>
  <c r="F8172" i="13"/>
  <c r="A8172" i="13"/>
  <c r="J8171" i="13"/>
  <c r="F8171" i="13"/>
  <c r="A8171" i="13"/>
  <c r="J8170" i="13"/>
  <c r="F8170" i="13"/>
  <c r="A8170" i="13"/>
  <c r="F8169" i="13"/>
  <c r="A8169" i="13"/>
  <c r="J8168" i="13"/>
  <c r="F8168" i="13"/>
  <c r="A8168" i="13"/>
  <c r="J8167" i="13"/>
  <c r="F8167" i="13"/>
  <c r="A8167" i="13"/>
  <c r="F8166" i="13"/>
  <c r="A8166" i="13"/>
  <c r="F8165" i="13"/>
  <c r="A8165" i="13"/>
  <c r="F8164" i="13"/>
  <c r="A8164" i="13"/>
  <c r="F8163" i="13"/>
  <c r="A8163" i="13"/>
  <c r="F8162" i="13"/>
  <c r="A8162" i="13"/>
  <c r="F8161" i="13"/>
  <c r="A8161" i="13"/>
  <c r="F8160" i="13"/>
  <c r="A8160" i="13"/>
  <c r="F8159" i="13"/>
  <c r="A8159" i="13"/>
  <c r="F8158" i="13"/>
  <c r="A8158" i="13"/>
  <c r="F8157" i="13"/>
  <c r="A8157" i="13"/>
  <c r="F8156" i="13"/>
  <c r="A8156" i="13"/>
  <c r="F8155" i="13"/>
  <c r="A8155" i="13"/>
  <c r="J8154" i="13"/>
  <c r="F8154" i="13"/>
  <c r="A8154" i="13"/>
  <c r="J8153" i="13"/>
  <c r="F8153" i="13"/>
  <c r="A8153" i="13"/>
  <c r="F8152" i="13"/>
  <c r="A8152" i="13"/>
  <c r="F8151" i="13"/>
  <c r="A8151" i="13"/>
  <c r="J8150" i="13"/>
  <c r="F8150" i="13"/>
  <c r="A8150" i="13"/>
  <c r="J8149" i="13"/>
  <c r="F8149" i="13"/>
  <c r="A8149" i="13"/>
  <c r="J8148" i="13"/>
  <c r="F8148" i="13"/>
  <c r="A8148" i="13"/>
  <c r="J8147" i="13"/>
  <c r="F8147" i="13"/>
  <c r="A8147" i="13"/>
  <c r="F8146" i="13"/>
  <c r="A8146" i="13"/>
  <c r="F8145" i="13"/>
  <c r="A8145" i="13"/>
  <c r="F8144" i="13"/>
  <c r="A8144" i="13"/>
  <c r="F8143" i="13"/>
  <c r="A8143" i="13"/>
  <c r="F8142" i="13"/>
  <c r="A8142" i="13"/>
  <c r="J8141" i="13"/>
  <c r="F8141" i="13"/>
  <c r="A8141" i="13"/>
  <c r="F8140" i="13"/>
  <c r="A8140" i="13"/>
  <c r="F8139" i="13"/>
  <c r="A8139" i="13"/>
  <c r="F8138" i="13"/>
  <c r="A8138" i="13"/>
  <c r="J8137" i="13"/>
  <c r="F8137" i="13"/>
  <c r="A8137" i="13"/>
  <c r="J8136" i="13"/>
  <c r="F8136" i="13"/>
  <c r="A8136" i="13"/>
  <c r="F8135" i="13"/>
  <c r="A8135" i="13"/>
  <c r="F8134" i="13"/>
  <c r="A8134" i="13"/>
  <c r="F8133" i="13"/>
  <c r="A8133" i="13"/>
  <c r="J8132" i="13"/>
  <c r="F8132" i="13"/>
  <c r="A8132" i="13"/>
  <c r="J8131" i="13"/>
  <c r="F8131" i="13"/>
  <c r="A8131" i="13"/>
  <c r="J8130" i="13"/>
  <c r="F8130" i="13"/>
  <c r="A8130" i="13"/>
  <c r="J8129" i="13"/>
  <c r="F8129" i="13"/>
  <c r="A8129" i="13"/>
  <c r="F8128" i="13"/>
  <c r="A8128" i="13"/>
  <c r="J8127" i="13"/>
  <c r="F8127" i="13"/>
  <c r="A8127" i="13"/>
  <c r="J8126" i="13"/>
  <c r="F8126" i="13"/>
  <c r="A8126" i="13"/>
  <c r="J8125" i="13"/>
  <c r="F8125" i="13"/>
  <c r="A8125" i="13"/>
  <c r="J8124" i="13"/>
  <c r="F8124" i="13"/>
  <c r="A8124" i="13"/>
  <c r="J8123" i="13"/>
  <c r="F8123" i="13"/>
  <c r="A8123" i="13"/>
  <c r="F8122" i="13"/>
  <c r="A8122" i="13"/>
  <c r="F8121" i="13"/>
  <c r="A8121" i="13"/>
  <c r="J8120" i="13"/>
  <c r="F8120" i="13"/>
  <c r="A8120" i="13"/>
  <c r="J8119" i="13"/>
  <c r="F8119" i="13"/>
  <c r="A8119" i="13"/>
  <c r="J8118" i="13"/>
  <c r="F8118" i="13"/>
  <c r="A8118" i="13"/>
  <c r="F8117" i="13"/>
  <c r="A8117" i="13"/>
  <c r="F8116" i="13"/>
  <c r="A8116" i="13"/>
  <c r="F8115" i="13"/>
  <c r="A8115" i="13"/>
  <c r="J8114" i="13"/>
  <c r="F8114" i="13"/>
  <c r="A8114" i="13"/>
  <c r="J8113" i="13"/>
  <c r="F8113" i="13"/>
  <c r="A8113" i="13"/>
  <c r="F8112" i="13"/>
  <c r="A8112" i="13"/>
  <c r="F8111" i="13"/>
  <c r="A8111" i="13"/>
  <c r="F8110" i="13"/>
  <c r="A8110" i="13"/>
  <c r="F8109" i="13"/>
  <c r="A8109" i="13"/>
  <c r="F8108" i="13"/>
  <c r="A8108" i="13"/>
  <c r="F8107" i="13"/>
  <c r="A8107" i="13"/>
  <c r="F8106" i="13"/>
  <c r="A8106" i="13"/>
  <c r="F8105" i="13"/>
  <c r="A8105" i="13"/>
  <c r="F8104" i="13"/>
  <c r="A8104" i="13"/>
  <c r="F8103" i="13"/>
  <c r="A8103" i="13"/>
  <c r="F8102" i="13"/>
  <c r="A8102" i="13"/>
  <c r="F8101" i="13"/>
  <c r="A8101" i="13"/>
  <c r="J8100" i="13"/>
  <c r="F8100" i="13"/>
  <c r="A8100" i="13"/>
  <c r="J8099" i="13"/>
  <c r="F8099" i="13"/>
  <c r="A8099" i="13"/>
  <c r="J8098" i="13"/>
  <c r="F8098" i="13"/>
  <c r="A8098" i="13"/>
  <c r="F8097" i="13"/>
  <c r="A8097" i="13"/>
  <c r="J8096" i="13"/>
  <c r="F8096" i="13"/>
  <c r="A8096" i="13"/>
  <c r="J8095" i="13"/>
  <c r="F8095" i="13"/>
  <c r="A8095" i="13"/>
  <c r="J8094" i="13"/>
  <c r="F8094" i="13"/>
  <c r="A8094" i="13"/>
  <c r="J8093" i="13"/>
  <c r="F8093" i="13"/>
  <c r="A8093" i="13"/>
  <c r="F8092" i="13"/>
  <c r="A8092" i="13"/>
  <c r="F8091" i="13"/>
  <c r="A8091" i="13"/>
  <c r="J8090" i="13"/>
  <c r="F8090" i="13"/>
  <c r="A8090" i="13"/>
  <c r="J8089" i="13"/>
  <c r="F8089" i="13"/>
  <c r="A8089" i="13"/>
  <c r="F8088" i="13"/>
  <c r="A8088" i="13"/>
  <c r="F8087" i="13"/>
  <c r="A8087" i="13"/>
  <c r="F8086" i="13"/>
  <c r="A8086" i="13"/>
  <c r="J8085" i="13"/>
  <c r="F8085" i="13"/>
  <c r="A8085" i="13"/>
  <c r="J8084" i="13"/>
  <c r="F8084" i="13"/>
  <c r="A8084" i="13"/>
  <c r="J8083" i="13"/>
  <c r="F8083" i="13"/>
  <c r="A8083" i="13"/>
  <c r="J8082" i="13"/>
  <c r="F8082" i="13"/>
  <c r="A8082" i="13"/>
  <c r="J8081" i="13"/>
  <c r="F8081" i="13"/>
  <c r="A8081" i="13"/>
  <c r="J8080" i="13"/>
  <c r="F8080" i="13"/>
  <c r="A8080" i="13"/>
  <c r="J8079" i="13"/>
  <c r="F8079" i="13"/>
  <c r="A8079" i="13"/>
  <c r="J8078" i="13"/>
  <c r="F8078" i="13"/>
  <c r="A8078" i="13"/>
  <c r="J8077" i="13"/>
  <c r="F8077" i="13"/>
  <c r="A8077" i="13"/>
  <c r="J8076" i="13"/>
  <c r="F8076" i="13"/>
  <c r="A8076" i="13"/>
  <c r="J8075" i="13"/>
  <c r="F8075" i="13"/>
  <c r="A8075" i="13"/>
  <c r="J8074" i="13"/>
  <c r="F8074" i="13"/>
  <c r="A8074" i="13"/>
  <c r="J8073" i="13"/>
  <c r="F8073" i="13"/>
  <c r="A8073" i="13"/>
  <c r="J8072" i="13"/>
  <c r="F8072" i="13"/>
  <c r="A8072" i="13"/>
  <c r="J8071" i="13"/>
  <c r="F8071" i="13"/>
  <c r="A8071" i="13"/>
  <c r="F8070" i="13"/>
  <c r="A8070" i="13"/>
  <c r="F8069" i="13"/>
  <c r="A8069" i="13"/>
  <c r="J8068" i="13"/>
  <c r="F8068" i="13"/>
  <c r="A8068" i="13"/>
  <c r="J8067" i="13"/>
  <c r="F8067" i="13"/>
  <c r="A8067" i="13"/>
  <c r="J8066" i="13"/>
  <c r="F8066" i="13"/>
  <c r="A8066" i="13"/>
  <c r="J8065" i="13"/>
  <c r="F8065" i="13"/>
  <c r="A8065" i="13"/>
  <c r="F8064" i="13"/>
  <c r="A8064" i="13"/>
  <c r="F8063" i="13"/>
  <c r="A8063" i="13"/>
  <c r="F8062" i="13"/>
  <c r="A8062" i="13"/>
  <c r="J8061" i="13"/>
  <c r="F8061" i="13"/>
  <c r="A8061" i="13"/>
  <c r="J8060" i="13"/>
  <c r="F8060" i="13"/>
  <c r="A8060" i="13"/>
  <c r="J8059" i="13"/>
  <c r="F8059" i="13"/>
  <c r="A8059" i="13"/>
  <c r="F8058" i="13"/>
  <c r="A8058" i="13"/>
  <c r="F8057" i="13"/>
  <c r="A8057" i="13"/>
  <c r="F8056" i="13"/>
  <c r="A8056" i="13"/>
  <c r="J8055" i="13"/>
  <c r="F8055" i="13"/>
  <c r="A8055" i="13"/>
  <c r="J8054" i="13"/>
  <c r="F8054" i="13"/>
  <c r="A8054" i="13"/>
  <c r="F8053" i="13"/>
  <c r="A8053" i="13"/>
  <c r="F8052" i="13"/>
  <c r="A8052" i="13"/>
  <c r="F8051" i="13"/>
  <c r="A8051" i="13"/>
  <c r="J8050" i="13"/>
  <c r="F8050" i="13"/>
  <c r="A8050" i="13"/>
  <c r="J8049" i="13"/>
  <c r="F8049" i="13"/>
  <c r="A8049" i="13"/>
  <c r="J8048" i="13"/>
  <c r="F8048" i="13"/>
  <c r="A8048" i="13"/>
  <c r="J8047" i="13"/>
  <c r="F8047" i="13"/>
  <c r="A8047" i="13"/>
  <c r="F8046" i="13"/>
  <c r="A8046" i="13"/>
  <c r="F8045" i="13"/>
  <c r="A8045" i="13"/>
  <c r="F8044" i="13"/>
  <c r="A8044" i="13"/>
  <c r="F8043" i="13"/>
  <c r="A8043" i="13"/>
  <c r="J8042" i="13"/>
  <c r="F8042" i="13"/>
  <c r="A8042" i="13"/>
  <c r="J8041" i="13"/>
  <c r="F8041" i="13"/>
  <c r="A8041" i="13"/>
  <c r="J8040" i="13"/>
  <c r="F8040" i="13"/>
  <c r="A8040" i="13"/>
  <c r="F8039" i="13"/>
  <c r="A8039" i="13"/>
  <c r="F8038" i="13"/>
  <c r="A8038" i="13"/>
  <c r="F8037" i="13"/>
  <c r="A8037" i="13"/>
  <c r="J8036" i="13"/>
  <c r="F8036" i="13"/>
  <c r="A8036" i="13"/>
  <c r="J8035" i="13"/>
  <c r="F8035" i="13"/>
  <c r="A8035" i="13"/>
  <c r="J8034" i="13"/>
  <c r="F8034" i="13"/>
  <c r="A8034" i="13"/>
  <c r="J8033" i="13"/>
  <c r="F8033" i="13"/>
  <c r="A8033" i="13"/>
  <c r="J8032" i="13"/>
  <c r="F8032" i="13"/>
  <c r="A8032" i="13"/>
  <c r="F8031" i="13"/>
  <c r="A8031" i="13"/>
  <c r="J8030" i="13"/>
  <c r="F8030" i="13"/>
  <c r="A8030" i="13"/>
  <c r="F8029" i="13"/>
  <c r="A8029" i="13"/>
  <c r="F8028" i="13"/>
  <c r="A8028" i="13"/>
  <c r="F8027" i="13"/>
  <c r="A8027" i="13"/>
  <c r="F8026" i="13"/>
  <c r="A8026" i="13"/>
  <c r="F8025" i="13"/>
  <c r="A8025" i="13"/>
  <c r="F8024" i="13"/>
  <c r="A8024" i="13"/>
  <c r="F8023" i="13"/>
  <c r="A8023" i="13"/>
  <c r="F8022" i="13"/>
  <c r="A8022" i="13"/>
  <c r="F8021" i="13"/>
  <c r="A8021" i="13"/>
  <c r="F8020" i="13"/>
  <c r="A8020" i="13"/>
  <c r="F8019" i="13"/>
  <c r="A8019" i="13"/>
  <c r="J8018" i="13"/>
  <c r="F8018" i="13"/>
  <c r="A8018" i="13"/>
  <c r="J8017" i="13"/>
  <c r="F8017" i="13"/>
  <c r="A8017" i="13"/>
  <c r="F8016" i="13"/>
  <c r="A8016" i="13"/>
  <c r="J8015" i="13"/>
  <c r="F8015" i="13"/>
  <c r="A8015" i="13"/>
  <c r="J8014" i="13"/>
  <c r="F8014" i="13"/>
  <c r="A8014" i="13"/>
  <c r="F8013" i="13"/>
  <c r="A8013" i="13"/>
  <c r="J8012" i="13"/>
  <c r="F8012" i="13"/>
  <c r="A8012" i="13"/>
  <c r="J8011" i="13"/>
  <c r="F8011" i="13"/>
  <c r="A8011" i="13"/>
  <c r="J8010" i="13"/>
  <c r="F8010" i="13"/>
  <c r="A8010" i="13"/>
  <c r="J8009" i="13"/>
  <c r="F8009" i="13"/>
  <c r="A8009" i="13"/>
  <c r="J8008" i="13"/>
  <c r="F8008" i="13"/>
  <c r="A8008" i="13"/>
  <c r="J8007" i="13"/>
  <c r="F8007" i="13"/>
  <c r="A8007" i="13"/>
  <c r="J8006" i="13"/>
  <c r="F8006" i="13"/>
  <c r="A8006" i="13"/>
  <c r="J8005" i="13"/>
  <c r="F8005" i="13"/>
  <c r="A8005" i="13"/>
  <c r="F8004" i="13"/>
  <c r="A8004" i="13"/>
  <c r="F8003" i="13"/>
  <c r="A8003" i="13"/>
  <c r="J8002" i="13"/>
  <c r="F8002" i="13"/>
  <c r="A8002" i="13"/>
  <c r="J8001" i="13"/>
  <c r="F8001" i="13"/>
  <c r="A8001" i="13"/>
  <c r="F8000" i="13"/>
  <c r="A8000" i="13"/>
  <c r="J7999" i="13"/>
  <c r="F7999" i="13"/>
  <c r="A7999" i="13"/>
  <c r="J7998" i="13"/>
  <c r="F7998" i="13"/>
  <c r="A7998" i="13"/>
  <c r="J7997" i="13"/>
  <c r="F7997" i="13"/>
  <c r="A7997" i="13"/>
  <c r="J7996" i="13"/>
  <c r="F7996" i="13"/>
  <c r="A7996" i="13"/>
  <c r="J7995" i="13"/>
  <c r="F7995" i="13"/>
  <c r="A7995" i="13"/>
  <c r="J7994" i="13"/>
  <c r="F7994" i="13"/>
  <c r="A7994" i="13"/>
  <c r="J7993" i="13"/>
  <c r="F7993" i="13"/>
  <c r="A7993" i="13"/>
  <c r="J7992" i="13"/>
  <c r="F7992" i="13"/>
  <c r="A7992" i="13"/>
  <c r="F7991" i="13"/>
  <c r="A7991" i="13"/>
  <c r="F7990" i="13"/>
  <c r="A7990" i="13"/>
  <c r="J7989" i="13"/>
  <c r="F7989" i="13"/>
  <c r="A7989" i="13"/>
  <c r="J7988" i="13"/>
  <c r="F7988" i="13"/>
  <c r="A7988" i="13"/>
  <c r="F7987" i="13"/>
  <c r="A7987" i="13"/>
  <c r="F7986" i="13"/>
  <c r="A7986" i="13"/>
  <c r="F7985" i="13"/>
  <c r="A7985" i="13"/>
  <c r="J7984" i="13"/>
  <c r="F7984" i="13"/>
  <c r="A7984" i="13"/>
  <c r="J7983" i="13"/>
  <c r="F7983" i="13"/>
  <c r="A7983" i="13"/>
  <c r="F7982" i="13"/>
  <c r="A7982" i="13"/>
  <c r="F7981" i="13"/>
  <c r="A7981" i="13"/>
  <c r="F7980" i="13"/>
  <c r="A7980" i="13"/>
  <c r="J7979" i="13"/>
  <c r="F7979" i="13"/>
  <c r="A7979" i="13"/>
  <c r="J7978" i="13"/>
  <c r="F7978" i="13"/>
  <c r="A7978" i="13"/>
  <c r="J7977" i="13"/>
  <c r="F7977" i="13"/>
  <c r="A7977" i="13"/>
  <c r="J7976" i="13"/>
  <c r="F7976" i="13"/>
  <c r="A7976" i="13"/>
  <c r="J7975" i="13"/>
  <c r="F7975" i="13"/>
  <c r="A7975" i="13"/>
  <c r="J7974" i="13"/>
  <c r="F7974" i="13"/>
  <c r="A7974" i="13"/>
  <c r="J7973" i="13"/>
  <c r="F7973" i="13"/>
  <c r="A7973" i="13"/>
  <c r="J7972" i="13"/>
  <c r="F7972" i="13"/>
  <c r="A7972" i="13"/>
  <c r="J7971" i="13"/>
  <c r="F7971" i="13"/>
  <c r="A7971" i="13"/>
  <c r="J7970" i="13"/>
  <c r="F7970" i="13"/>
  <c r="A7970" i="13"/>
  <c r="F7969" i="13"/>
  <c r="A7969" i="13"/>
  <c r="J7968" i="13"/>
  <c r="F7968" i="13"/>
  <c r="A7968" i="13"/>
  <c r="J7967" i="13"/>
  <c r="F7967" i="13"/>
  <c r="A7967" i="13"/>
  <c r="F7966" i="13"/>
  <c r="A7966" i="13"/>
  <c r="J7965" i="13"/>
  <c r="F7965" i="13"/>
  <c r="A7965" i="13"/>
  <c r="J7964" i="13"/>
  <c r="F7964" i="13"/>
  <c r="A7964" i="13"/>
  <c r="F7963" i="13"/>
  <c r="A7963" i="13"/>
  <c r="J7962" i="13"/>
  <c r="F7962" i="13"/>
  <c r="A7962" i="13"/>
  <c r="J7961" i="13"/>
  <c r="F7961" i="13"/>
  <c r="A7961" i="13"/>
  <c r="J7960" i="13"/>
  <c r="F7960" i="13"/>
  <c r="A7960" i="13"/>
  <c r="J7959" i="13"/>
  <c r="F7959" i="13"/>
  <c r="A7959" i="13"/>
  <c r="J7958" i="13"/>
  <c r="F7958" i="13"/>
  <c r="A7958" i="13"/>
  <c r="J7957" i="13"/>
  <c r="F7957" i="13"/>
  <c r="A7957" i="13"/>
  <c r="J7956" i="13"/>
  <c r="F7956" i="13"/>
  <c r="A7956" i="13"/>
  <c r="F7955" i="13"/>
  <c r="A7955" i="13"/>
  <c r="F7954" i="13"/>
  <c r="A7954" i="13"/>
  <c r="F7953" i="13"/>
  <c r="A7953" i="13"/>
  <c r="F7952" i="13"/>
  <c r="A7952" i="13"/>
  <c r="J7951" i="13"/>
  <c r="F7951" i="13"/>
  <c r="A7951" i="13"/>
  <c r="F7950" i="13"/>
  <c r="A7950" i="13"/>
  <c r="J7949" i="13"/>
  <c r="F7949" i="13"/>
  <c r="A7949" i="13"/>
  <c r="J7948" i="13"/>
  <c r="F7948" i="13"/>
  <c r="A7948" i="13"/>
  <c r="J7947" i="13"/>
  <c r="F7947" i="13"/>
  <c r="A7947" i="13"/>
  <c r="F7946" i="13"/>
  <c r="A7946" i="13"/>
  <c r="J7945" i="13"/>
  <c r="F7945" i="13"/>
  <c r="A7945" i="13"/>
  <c r="J7944" i="13"/>
  <c r="F7944" i="13"/>
  <c r="A7944" i="13"/>
  <c r="J7943" i="13"/>
  <c r="F7943" i="13"/>
  <c r="A7943" i="13"/>
  <c r="F7942" i="13"/>
  <c r="A7942" i="13"/>
  <c r="J7941" i="13"/>
  <c r="F7941" i="13"/>
  <c r="A7941" i="13"/>
  <c r="F7940" i="13"/>
  <c r="A7940" i="13"/>
  <c r="J7939" i="13"/>
  <c r="F7939" i="13"/>
  <c r="A7939" i="13"/>
  <c r="J7938" i="13"/>
  <c r="F7938" i="13"/>
  <c r="A7938" i="13"/>
  <c r="F7937" i="13"/>
  <c r="A7937" i="13"/>
  <c r="J7936" i="13"/>
  <c r="F7936" i="13"/>
  <c r="A7936" i="13"/>
  <c r="J7935" i="13"/>
  <c r="F7935" i="13"/>
  <c r="A7935" i="13"/>
  <c r="J7934" i="13"/>
  <c r="F7934" i="13"/>
  <c r="A7934" i="13"/>
  <c r="F7933" i="13"/>
  <c r="A7933" i="13"/>
  <c r="J7932" i="13"/>
  <c r="F7932" i="13"/>
  <c r="A7932" i="13"/>
  <c r="J7931" i="13"/>
  <c r="F7931" i="13"/>
  <c r="A7931" i="13"/>
  <c r="F7930" i="13"/>
  <c r="A7930" i="13"/>
  <c r="J7929" i="13"/>
  <c r="F7929" i="13"/>
  <c r="A7929" i="13"/>
  <c r="J7928" i="13"/>
  <c r="F7928" i="13"/>
  <c r="A7928" i="13"/>
  <c r="F7927" i="13"/>
  <c r="A7927" i="13"/>
  <c r="F7926" i="13"/>
  <c r="A7926" i="13"/>
  <c r="F7925" i="13"/>
  <c r="A7925" i="13"/>
  <c r="F7924" i="13"/>
  <c r="A7924" i="13"/>
  <c r="F7923" i="13"/>
  <c r="A7923" i="13"/>
  <c r="J7922" i="13"/>
  <c r="F7922" i="13"/>
  <c r="A7922" i="13"/>
  <c r="J7921" i="13"/>
  <c r="F7921" i="13"/>
  <c r="A7921" i="13"/>
  <c r="J7920" i="13"/>
  <c r="F7920" i="13"/>
  <c r="A7920" i="13"/>
  <c r="J7919" i="13"/>
  <c r="F7919" i="13"/>
  <c r="A7919" i="13"/>
  <c r="J7918" i="13"/>
  <c r="F7918" i="13"/>
  <c r="A7918" i="13"/>
  <c r="J7917" i="13"/>
  <c r="F7917" i="13"/>
  <c r="A7917" i="13"/>
  <c r="J7916" i="13"/>
  <c r="F7916" i="13"/>
  <c r="A7916" i="13"/>
  <c r="J7915" i="13"/>
  <c r="F7915" i="13"/>
  <c r="A7915" i="13"/>
  <c r="F7914" i="13"/>
  <c r="A7914" i="13"/>
  <c r="F7913" i="13"/>
  <c r="A7913" i="13"/>
  <c r="J7912" i="13"/>
  <c r="F7912" i="13"/>
  <c r="A7912" i="13"/>
  <c r="J7911" i="13"/>
  <c r="F7911" i="13"/>
  <c r="A7911" i="13"/>
  <c r="J7910" i="13"/>
  <c r="F7910" i="13"/>
  <c r="A7910" i="13"/>
  <c r="J7909" i="13"/>
  <c r="F7909" i="13"/>
  <c r="A7909" i="13"/>
  <c r="J7908" i="13"/>
  <c r="F7908" i="13"/>
  <c r="A7908" i="13"/>
  <c r="J7907" i="13"/>
  <c r="F7907" i="13"/>
  <c r="A7907" i="13"/>
  <c r="F7906" i="13"/>
  <c r="A7906" i="13"/>
  <c r="F7905" i="13"/>
  <c r="A7905" i="13"/>
  <c r="F7904" i="13"/>
  <c r="A7904" i="13"/>
  <c r="F7903" i="13"/>
  <c r="A7903" i="13"/>
  <c r="F7902" i="13"/>
  <c r="A7902" i="13"/>
  <c r="F7901" i="13"/>
  <c r="A7901" i="13"/>
  <c r="F7900" i="13"/>
  <c r="A7900" i="13"/>
  <c r="F7899" i="13"/>
  <c r="A7899" i="13"/>
  <c r="F7898" i="13"/>
  <c r="A7898" i="13"/>
  <c r="J7897" i="13"/>
  <c r="F7897" i="13"/>
  <c r="A7897" i="13"/>
  <c r="J7896" i="13"/>
  <c r="F7896" i="13"/>
  <c r="A7896" i="13"/>
  <c r="F7895" i="13"/>
  <c r="A7895" i="13"/>
  <c r="F7894" i="13"/>
  <c r="A7894" i="13"/>
  <c r="F7893" i="13"/>
  <c r="A7893" i="13"/>
  <c r="J7892" i="13"/>
  <c r="F7892" i="13"/>
  <c r="A7892" i="13"/>
  <c r="J7891" i="13"/>
  <c r="F7891" i="13"/>
  <c r="A7891" i="13"/>
  <c r="J7890" i="13"/>
  <c r="F7890" i="13"/>
  <c r="A7890" i="13"/>
  <c r="J7889" i="13"/>
  <c r="F7889" i="13"/>
  <c r="A7889" i="13"/>
  <c r="J7888" i="13"/>
  <c r="F7888" i="13"/>
  <c r="A7888" i="13"/>
  <c r="F7887" i="13"/>
  <c r="A7887" i="13"/>
  <c r="F7886" i="13"/>
  <c r="A7886" i="13"/>
  <c r="J7885" i="13"/>
  <c r="F7885" i="13"/>
  <c r="A7885" i="13"/>
  <c r="J7884" i="13"/>
  <c r="F7884" i="13"/>
  <c r="A7884" i="13"/>
  <c r="J7883" i="13"/>
  <c r="F7883" i="13"/>
  <c r="A7883" i="13"/>
  <c r="J7882" i="13"/>
  <c r="F7882" i="13"/>
  <c r="A7882" i="13"/>
  <c r="J7881" i="13"/>
  <c r="F7881" i="13"/>
  <c r="A7881" i="13"/>
  <c r="J7880" i="13"/>
  <c r="F7880" i="13"/>
  <c r="A7880" i="13"/>
  <c r="J7879" i="13"/>
  <c r="F7879" i="13"/>
  <c r="A7879" i="13"/>
  <c r="F7878" i="13"/>
  <c r="A7878" i="13"/>
  <c r="F7877" i="13"/>
  <c r="A7877" i="13"/>
  <c r="F7876" i="13"/>
  <c r="A7876" i="13"/>
  <c r="F7875" i="13"/>
  <c r="A7875" i="13"/>
  <c r="J7874" i="13"/>
  <c r="F7874" i="13"/>
  <c r="A7874" i="13"/>
  <c r="J7873" i="13"/>
  <c r="F7873" i="13"/>
  <c r="A7873" i="13"/>
  <c r="J7872" i="13"/>
  <c r="F7872" i="13"/>
  <c r="A7872" i="13"/>
  <c r="J7871" i="13"/>
  <c r="F7871" i="13"/>
  <c r="A7871" i="13"/>
  <c r="J7870" i="13"/>
  <c r="F7870" i="13"/>
  <c r="A7870" i="13"/>
  <c r="F7869" i="13"/>
  <c r="A7869" i="13"/>
  <c r="J7868" i="13"/>
  <c r="F7868" i="13"/>
  <c r="A7868" i="13"/>
  <c r="J7867" i="13"/>
  <c r="F7867" i="13"/>
  <c r="A7867" i="13"/>
  <c r="J7866" i="13"/>
  <c r="F7866" i="13"/>
  <c r="A7866" i="13"/>
  <c r="J7865" i="13"/>
  <c r="F7865" i="13"/>
  <c r="A7865" i="13"/>
  <c r="J7864" i="13"/>
  <c r="F7864" i="13"/>
  <c r="A7864" i="13"/>
  <c r="F7863" i="13"/>
  <c r="A7863" i="13"/>
  <c r="F7862" i="13"/>
  <c r="A7862" i="13"/>
  <c r="F7861" i="13"/>
  <c r="A7861" i="13"/>
  <c r="J7860" i="13"/>
  <c r="F7860" i="13"/>
  <c r="A7860" i="13"/>
  <c r="F7859" i="13"/>
  <c r="A7859" i="13"/>
  <c r="J7858" i="13"/>
  <c r="F7858" i="13"/>
  <c r="A7858" i="13"/>
  <c r="J7857" i="13"/>
  <c r="F7857" i="13"/>
  <c r="A7857" i="13"/>
  <c r="F7856" i="13"/>
  <c r="A7856" i="13"/>
  <c r="F7855" i="13"/>
  <c r="A7855" i="13"/>
  <c r="J7854" i="13"/>
  <c r="F7854" i="13"/>
  <c r="A7854" i="13"/>
  <c r="F7853" i="13"/>
  <c r="A7853" i="13"/>
  <c r="F7852" i="13"/>
  <c r="A7852" i="13"/>
  <c r="J7851" i="13"/>
  <c r="F7851" i="13"/>
  <c r="A7851" i="13"/>
  <c r="F7850" i="13"/>
  <c r="A7850" i="13"/>
  <c r="J7849" i="13"/>
  <c r="F7849" i="13"/>
  <c r="A7849" i="13"/>
  <c r="J7848" i="13"/>
  <c r="F7848" i="13"/>
  <c r="A7848" i="13"/>
  <c r="J7847" i="13"/>
  <c r="F7847" i="13"/>
  <c r="A7847" i="13"/>
  <c r="J7846" i="13"/>
  <c r="F7846" i="13"/>
  <c r="A7846" i="13"/>
  <c r="J7845" i="13"/>
  <c r="F7845" i="13"/>
  <c r="A7845" i="13"/>
  <c r="F7844" i="13"/>
  <c r="A7844" i="13"/>
  <c r="F7843" i="13"/>
  <c r="A7843" i="13"/>
  <c r="F7842" i="13"/>
  <c r="A7842" i="13"/>
  <c r="J7841" i="13"/>
  <c r="F7841" i="13"/>
  <c r="A7841" i="13"/>
  <c r="J7840" i="13"/>
  <c r="F7840" i="13"/>
  <c r="A7840" i="13"/>
  <c r="J7839" i="13"/>
  <c r="F7839" i="13"/>
  <c r="A7839" i="13"/>
  <c r="J7838" i="13"/>
  <c r="F7838" i="13"/>
  <c r="A7838" i="13"/>
  <c r="J7837" i="13"/>
  <c r="F7837" i="13"/>
  <c r="A7837" i="13"/>
  <c r="J7836" i="13"/>
  <c r="F7836" i="13"/>
  <c r="A7836" i="13"/>
  <c r="J7835" i="13"/>
  <c r="F7835" i="13"/>
  <c r="A7835" i="13"/>
  <c r="J7834" i="13"/>
  <c r="F7834" i="13"/>
  <c r="A7834" i="13"/>
  <c r="F7833" i="13"/>
  <c r="A7833" i="13"/>
  <c r="F7832" i="13"/>
  <c r="A7832" i="13"/>
  <c r="J7831" i="13"/>
  <c r="F7831" i="13"/>
  <c r="A7831" i="13"/>
  <c r="F7830" i="13"/>
  <c r="A7830" i="13"/>
  <c r="F7829" i="13"/>
  <c r="A7829" i="13"/>
  <c r="F7828" i="13"/>
  <c r="A7828" i="13"/>
  <c r="F7827" i="13"/>
  <c r="A7827" i="13"/>
  <c r="J7826" i="13"/>
  <c r="F7826" i="13"/>
  <c r="A7826" i="13"/>
  <c r="J7825" i="13"/>
  <c r="F7825" i="13"/>
  <c r="A7825" i="13"/>
  <c r="J7824" i="13"/>
  <c r="F7824" i="13"/>
  <c r="A7824" i="13"/>
  <c r="J7823" i="13"/>
  <c r="F7823" i="13"/>
  <c r="A7823" i="13"/>
  <c r="J7822" i="13"/>
  <c r="F7822" i="13"/>
  <c r="A7822" i="13"/>
  <c r="J7821" i="13"/>
  <c r="F7821" i="13"/>
  <c r="A7821" i="13"/>
  <c r="J7820" i="13"/>
  <c r="F7820" i="13"/>
  <c r="A7820" i="13"/>
  <c r="F7819" i="13"/>
  <c r="A7819" i="13"/>
  <c r="F7818" i="13"/>
  <c r="A7818" i="13"/>
  <c r="J7817" i="13"/>
  <c r="F7817" i="13"/>
  <c r="A7817" i="13"/>
  <c r="J7816" i="13"/>
  <c r="F7816" i="13"/>
  <c r="A7816" i="13"/>
  <c r="F7815" i="13"/>
  <c r="A7815" i="13"/>
  <c r="J7814" i="13"/>
  <c r="F7814" i="13"/>
  <c r="A7814" i="13"/>
  <c r="F7813" i="13"/>
  <c r="A7813" i="13"/>
  <c r="F7812" i="13"/>
  <c r="A7812" i="13"/>
  <c r="J7811" i="13"/>
  <c r="F7811" i="13"/>
  <c r="A7811" i="13"/>
  <c r="J7810" i="13"/>
  <c r="F7810" i="13"/>
  <c r="A7810" i="13"/>
  <c r="F7809" i="13"/>
  <c r="A7809" i="13"/>
  <c r="F7808" i="13"/>
  <c r="A7808" i="13"/>
  <c r="J7807" i="13"/>
  <c r="F7807" i="13"/>
  <c r="A7807" i="13"/>
  <c r="F7806" i="13"/>
  <c r="A7806" i="13"/>
  <c r="F7805" i="13"/>
  <c r="A7805" i="13"/>
  <c r="J7804" i="13"/>
  <c r="F7804" i="13"/>
  <c r="A7804" i="13"/>
  <c r="F7803" i="13"/>
  <c r="A7803" i="13"/>
  <c r="F7802" i="13"/>
  <c r="A7802" i="13"/>
  <c r="J7801" i="13"/>
  <c r="F7801" i="13"/>
  <c r="A7801" i="13"/>
  <c r="F7800" i="13"/>
  <c r="A7800" i="13"/>
  <c r="F7799" i="13"/>
  <c r="A7799" i="13"/>
  <c r="F7798" i="13"/>
  <c r="A7798" i="13"/>
  <c r="F7797" i="13"/>
  <c r="A7797" i="13"/>
  <c r="F7796" i="13"/>
  <c r="A7796" i="13"/>
  <c r="F7795" i="13"/>
  <c r="A7795" i="13"/>
  <c r="J7794" i="13"/>
  <c r="F7794" i="13"/>
  <c r="A7794" i="13"/>
  <c r="F7793" i="13"/>
  <c r="A7793" i="13"/>
  <c r="F7792" i="13"/>
  <c r="A7792" i="13"/>
  <c r="F7791" i="13"/>
  <c r="A7791" i="13"/>
  <c r="F7790" i="13"/>
  <c r="A7790" i="13"/>
  <c r="J7789" i="13"/>
  <c r="F7789" i="13"/>
  <c r="A7789" i="13"/>
  <c r="J7788" i="13"/>
  <c r="F7788" i="13"/>
  <c r="A7788" i="13"/>
  <c r="F7787" i="13"/>
  <c r="A7787" i="13"/>
  <c r="F7786" i="13"/>
  <c r="A7786" i="13"/>
  <c r="F7785" i="13"/>
  <c r="A7785" i="13"/>
  <c r="F7784" i="13"/>
  <c r="A7784" i="13"/>
  <c r="J7783" i="13"/>
  <c r="F7783" i="13"/>
  <c r="A7783" i="13"/>
  <c r="J7782" i="13"/>
  <c r="F7782" i="13"/>
  <c r="A7782" i="13"/>
  <c r="J7781" i="13"/>
  <c r="F7781" i="13"/>
  <c r="A7781" i="13"/>
  <c r="F7780" i="13"/>
  <c r="A7780" i="13"/>
  <c r="F7779" i="13"/>
  <c r="A7779" i="13"/>
  <c r="J7778" i="13"/>
  <c r="F7778" i="13"/>
  <c r="A7778" i="13"/>
  <c r="J7777" i="13"/>
  <c r="F7777" i="13"/>
  <c r="A7777" i="13"/>
  <c r="J7776" i="13"/>
  <c r="F7776" i="13"/>
  <c r="A7776" i="13"/>
  <c r="F7775" i="13"/>
  <c r="A7775" i="13"/>
  <c r="F7774" i="13"/>
  <c r="A7774" i="13"/>
  <c r="J7773" i="13"/>
  <c r="F7773" i="13"/>
  <c r="A7773" i="13"/>
  <c r="J7772" i="13"/>
  <c r="F7772" i="13"/>
  <c r="A7772" i="13"/>
  <c r="J7771" i="13"/>
  <c r="F7771" i="13"/>
  <c r="A7771" i="13"/>
  <c r="F7770" i="13"/>
  <c r="A7770" i="13"/>
  <c r="F7769" i="13"/>
  <c r="A7769" i="13"/>
  <c r="F7768" i="13"/>
  <c r="A7768" i="13"/>
  <c r="J7767" i="13"/>
  <c r="F7767" i="13"/>
  <c r="A7767" i="13"/>
  <c r="J7766" i="13"/>
  <c r="F7766" i="13"/>
  <c r="A7766" i="13"/>
  <c r="F7765" i="13"/>
  <c r="A7765" i="13"/>
  <c r="J7764" i="13"/>
  <c r="F7764" i="13"/>
  <c r="A7764" i="13"/>
  <c r="J7763" i="13"/>
  <c r="F7763" i="13"/>
  <c r="A7763" i="13"/>
  <c r="J7762" i="13"/>
  <c r="F7762" i="13"/>
  <c r="A7762" i="13"/>
  <c r="J7761" i="13"/>
  <c r="F7761" i="13"/>
  <c r="A7761" i="13"/>
  <c r="J7760" i="13"/>
  <c r="F7760" i="13"/>
  <c r="A7760" i="13"/>
  <c r="J7759" i="13"/>
  <c r="F7759" i="13"/>
  <c r="A7759" i="13"/>
  <c r="J7758" i="13"/>
  <c r="F7758" i="13"/>
  <c r="A7758" i="13"/>
  <c r="F7757" i="13"/>
  <c r="A7757" i="13"/>
  <c r="J7756" i="13"/>
  <c r="F7756" i="13"/>
  <c r="A7756" i="13"/>
  <c r="J7755" i="13"/>
  <c r="F7755" i="13"/>
  <c r="A7755" i="13"/>
  <c r="F7754" i="13"/>
  <c r="A7754" i="13"/>
  <c r="F7753" i="13"/>
  <c r="A7753" i="13"/>
  <c r="F7752" i="13"/>
  <c r="A7752" i="13"/>
  <c r="F7751" i="13"/>
  <c r="A7751" i="13"/>
  <c r="F7750" i="13"/>
  <c r="A7750" i="13"/>
  <c r="F7749" i="13"/>
  <c r="A7749" i="13"/>
  <c r="J7748" i="13"/>
  <c r="F7748" i="13"/>
  <c r="A7748" i="13"/>
  <c r="J7747" i="13"/>
  <c r="F7747" i="13"/>
  <c r="A7747" i="13"/>
  <c r="F7746" i="13"/>
  <c r="A7746" i="13"/>
  <c r="F7745" i="13"/>
  <c r="A7745" i="13"/>
  <c r="J7744" i="13"/>
  <c r="F7744" i="13"/>
  <c r="A7744" i="13"/>
  <c r="J7743" i="13"/>
  <c r="F7743" i="13"/>
  <c r="A7743" i="13"/>
  <c r="F7742" i="13"/>
  <c r="A7742" i="13"/>
  <c r="J7741" i="13"/>
  <c r="F7741" i="13"/>
  <c r="A7741" i="13"/>
  <c r="J7740" i="13"/>
  <c r="F7740" i="13"/>
  <c r="A7740" i="13"/>
  <c r="J7739" i="13"/>
  <c r="F7739" i="13"/>
  <c r="A7739" i="13"/>
  <c r="F7738" i="13"/>
  <c r="A7738" i="13"/>
  <c r="F7737" i="13"/>
  <c r="A7737" i="13"/>
  <c r="F7736" i="13"/>
  <c r="A7736" i="13"/>
  <c r="J7735" i="13"/>
  <c r="F7735" i="13"/>
  <c r="A7735" i="13"/>
  <c r="J7734" i="13"/>
  <c r="F7734" i="13"/>
  <c r="A7734" i="13"/>
  <c r="J7733" i="13"/>
  <c r="F7733" i="13"/>
  <c r="A7733" i="13"/>
  <c r="J7732" i="13"/>
  <c r="F7732" i="13"/>
  <c r="A7732" i="13"/>
  <c r="J7731" i="13"/>
  <c r="F7731" i="13"/>
  <c r="A7731" i="13"/>
  <c r="F7730" i="13"/>
  <c r="A7730" i="13"/>
  <c r="F7729" i="13"/>
  <c r="A7729" i="13"/>
  <c r="J7728" i="13"/>
  <c r="F7728" i="13"/>
  <c r="A7728" i="13"/>
  <c r="J7727" i="13"/>
  <c r="F7727" i="13"/>
  <c r="A7727" i="13"/>
  <c r="F7726" i="13"/>
  <c r="A7726" i="13"/>
  <c r="F7725" i="13"/>
  <c r="A7725" i="13"/>
  <c r="F7724" i="13"/>
  <c r="A7724" i="13"/>
  <c r="F7723" i="13"/>
  <c r="A7723" i="13"/>
  <c r="J7722" i="13"/>
  <c r="F7722" i="13"/>
  <c r="A7722" i="13"/>
  <c r="J7721" i="13"/>
  <c r="F7721" i="13"/>
  <c r="A7721" i="13"/>
  <c r="F7720" i="13"/>
  <c r="A7720" i="13"/>
  <c r="F7719" i="13"/>
  <c r="A7719" i="13"/>
  <c r="F7718" i="13"/>
  <c r="A7718" i="13"/>
  <c r="F7717" i="13"/>
  <c r="A7717" i="13"/>
  <c r="J7716" i="13"/>
  <c r="F7716" i="13"/>
  <c r="A7716" i="13"/>
  <c r="F7715" i="13"/>
  <c r="A7715" i="13"/>
  <c r="F7714" i="13"/>
  <c r="A7714" i="13"/>
  <c r="F7713" i="13"/>
  <c r="A7713" i="13"/>
  <c r="F7712" i="13"/>
  <c r="A7712" i="13"/>
  <c r="J7711" i="13"/>
  <c r="F7711" i="13"/>
  <c r="A7711" i="13"/>
  <c r="J7710" i="13"/>
  <c r="F7710" i="13"/>
  <c r="A7710" i="13"/>
  <c r="J7709" i="13"/>
  <c r="F7709" i="13"/>
  <c r="A7709" i="13"/>
  <c r="F7708" i="13"/>
  <c r="A7708" i="13"/>
  <c r="F7707" i="13"/>
  <c r="A7707" i="13"/>
  <c r="F7706" i="13"/>
  <c r="A7706" i="13"/>
  <c r="F7705" i="13"/>
  <c r="A7705" i="13"/>
  <c r="J7704" i="13"/>
  <c r="F7704" i="13"/>
  <c r="A7704" i="13"/>
  <c r="F7703" i="13"/>
  <c r="A7703" i="13"/>
  <c r="F7702" i="13"/>
  <c r="A7702" i="13"/>
  <c r="F7701" i="13"/>
  <c r="A7701" i="13"/>
  <c r="F7700" i="13"/>
  <c r="A7700" i="13"/>
  <c r="F7699" i="13"/>
  <c r="A7699" i="13"/>
  <c r="F7698" i="13"/>
  <c r="A7698" i="13"/>
  <c r="F7697" i="13"/>
  <c r="A7697" i="13"/>
  <c r="F7696" i="13"/>
  <c r="A7696" i="13"/>
  <c r="F7695" i="13"/>
  <c r="A7695" i="13"/>
  <c r="J7694" i="13"/>
  <c r="F7694" i="13"/>
  <c r="A7694" i="13"/>
  <c r="F7693" i="13"/>
  <c r="A7693" i="13"/>
  <c r="F7692" i="13"/>
  <c r="A7692" i="13"/>
  <c r="F7691" i="13"/>
  <c r="A7691" i="13"/>
  <c r="F7690" i="13"/>
  <c r="A7690" i="13"/>
  <c r="J7689" i="13"/>
  <c r="F7689" i="13"/>
  <c r="A7689" i="13"/>
  <c r="F7688" i="13"/>
  <c r="A7688" i="13"/>
  <c r="F7687" i="13"/>
  <c r="A7687" i="13"/>
  <c r="J7686" i="13"/>
  <c r="F7686" i="13"/>
  <c r="A7686" i="13"/>
  <c r="J7685" i="13"/>
  <c r="F7685" i="13"/>
  <c r="A7685" i="13"/>
  <c r="J7684" i="13"/>
  <c r="F7684" i="13"/>
  <c r="A7684" i="13"/>
  <c r="J7683" i="13"/>
  <c r="F7683" i="13"/>
  <c r="A7683" i="13"/>
  <c r="J7682" i="13"/>
  <c r="F7682" i="13"/>
  <c r="A7682" i="13"/>
  <c r="J7681" i="13"/>
  <c r="F7681" i="13"/>
  <c r="A7681" i="13"/>
  <c r="F7680" i="13"/>
  <c r="A7680" i="13"/>
  <c r="F7679" i="13"/>
  <c r="A7679" i="13"/>
  <c r="F7678" i="13"/>
  <c r="A7678" i="13"/>
  <c r="F7677" i="13"/>
  <c r="A7677" i="13"/>
  <c r="J7676" i="13"/>
  <c r="F7676" i="13"/>
  <c r="A7676" i="13"/>
  <c r="F7675" i="13"/>
  <c r="A7675" i="13"/>
  <c r="F7674" i="13"/>
  <c r="A7674" i="13"/>
  <c r="F7673" i="13"/>
  <c r="A7673" i="13"/>
  <c r="F7672" i="13"/>
  <c r="A7672" i="13"/>
  <c r="F7671" i="13"/>
  <c r="A7671" i="13"/>
  <c r="J7670" i="13"/>
  <c r="F7670" i="13"/>
  <c r="A7670" i="13"/>
  <c r="J7669" i="13"/>
  <c r="F7669" i="13"/>
  <c r="A7669" i="13"/>
  <c r="J7668" i="13"/>
  <c r="F7668" i="13"/>
  <c r="A7668" i="13"/>
  <c r="J7667" i="13"/>
  <c r="F7667" i="13"/>
  <c r="A7667" i="13"/>
  <c r="F7666" i="13"/>
  <c r="A7666" i="13"/>
  <c r="J7665" i="13"/>
  <c r="F7665" i="13"/>
  <c r="A7665" i="13"/>
  <c r="J7664" i="13"/>
  <c r="F7664" i="13"/>
  <c r="A7664" i="13"/>
  <c r="J7663" i="13"/>
  <c r="F7663" i="13"/>
  <c r="A7663" i="13"/>
  <c r="J7662" i="13"/>
  <c r="F7662" i="13"/>
  <c r="A7662" i="13"/>
  <c r="F7661" i="13"/>
  <c r="A7661" i="13"/>
  <c r="F7660" i="13"/>
  <c r="A7660" i="13"/>
  <c r="F7659" i="13"/>
  <c r="A7659" i="13"/>
  <c r="J7658" i="13"/>
  <c r="F7658" i="13"/>
  <c r="A7658" i="13"/>
  <c r="J7657" i="13"/>
  <c r="F7657" i="13"/>
  <c r="A7657" i="13"/>
  <c r="J7656" i="13"/>
  <c r="F7656" i="13"/>
  <c r="A7656" i="13"/>
  <c r="F7655" i="13"/>
  <c r="A7655" i="13"/>
  <c r="F7654" i="13"/>
  <c r="A7654" i="13"/>
  <c r="J7653" i="13"/>
  <c r="F7653" i="13"/>
  <c r="A7653" i="13"/>
  <c r="F7652" i="13"/>
  <c r="A7652" i="13"/>
  <c r="F7651" i="13"/>
  <c r="A7651" i="13"/>
  <c r="F7650" i="13"/>
  <c r="A7650" i="13"/>
  <c r="F7649" i="13"/>
  <c r="A7649" i="13"/>
  <c r="F7648" i="13"/>
  <c r="A7648" i="13"/>
  <c r="F7647" i="13"/>
  <c r="A7647" i="13"/>
  <c r="F7646" i="13"/>
  <c r="A7646" i="13"/>
  <c r="F7645" i="13"/>
  <c r="A7645" i="13"/>
  <c r="F7644" i="13"/>
  <c r="A7644" i="13"/>
  <c r="F7643" i="13"/>
  <c r="A7643" i="13"/>
  <c r="F7642" i="13"/>
  <c r="A7642" i="13"/>
  <c r="F7641" i="13"/>
  <c r="A7641" i="13"/>
  <c r="F7640" i="13"/>
  <c r="A7640" i="13"/>
  <c r="J7639" i="13"/>
  <c r="F7639" i="13"/>
  <c r="A7639" i="13"/>
  <c r="J7638" i="13"/>
  <c r="F7638" i="13"/>
  <c r="A7638" i="13"/>
  <c r="J7637" i="13"/>
  <c r="F7637" i="13"/>
  <c r="A7637" i="13"/>
  <c r="F7636" i="13"/>
  <c r="A7636" i="13"/>
  <c r="J7635" i="13"/>
  <c r="F7635" i="13"/>
  <c r="A7635" i="13"/>
  <c r="J7634" i="13"/>
  <c r="F7634" i="13"/>
  <c r="A7634" i="13"/>
  <c r="J7633" i="13"/>
  <c r="F7633" i="13"/>
  <c r="A7633" i="13"/>
  <c r="F7632" i="13"/>
  <c r="A7632" i="13"/>
  <c r="F7631" i="13"/>
  <c r="A7631" i="13"/>
  <c r="J7630" i="13"/>
  <c r="F7630" i="13"/>
  <c r="A7630" i="13"/>
  <c r="J7629" i="13"/>
  <c r="F7629" i="13"/>
  <c r="A7629" i="13"/>
  <c r="F7628" i="13"/>
  <c r="A7628" i="13"/>
  <c r="F7627" i="13"/>
  <c r="A7627" i="13"/>
  <c r="F7626" i="13"/>
  <c r="A7626" i="13"/>
  <c r="J7625" i="13"/>
  <c r="F7625" i="13"/>
  <c r="A7625" i="13"/>
  <c r="J7624" i="13"/>
  <c r="F7624" i="13"/>
  <c r="A7624" i="13"/>
  <c r="F7623" i="13"/>
  <c r="A7623" i="13"/>
  <c r="F7622" i="13"/>
  <c r="A7622" i="13"/>
  <c r="J7621" i="13"/>
  <c r="F7621" i="13"/>
  <c r="A7621" i="13"/>
  <c r="F7620" i="13"/>
  <c r="A7620" i="13"/>
  <c r="J7619" i="13"/>
  <c r="F7619" i="13"/>
  <c r="A7619" i="13"/>
  <c r="J7618" i="13"/>
  <c r="F7618" i="13"/>
  <c r="A7618" i="13"/>
  <c r="J7617" i="13"/>
  <c r="F7617" i="13"/>
  <c r="A7617" i="13"/>
  <c r="F7616" i="13"/>
  <c r="A7616" i="13"/>
  <c r="F7615" i="13"/>
  <c r="A7615" i="13"/>
  <c r="J7614" i="13"/>
  <c r="F7614" i="13"/>
  <c r="A7614" i="13"/>
  <c r="J7613" i="13"/>
  <c r="F7613" i="13"/>
  <c r="A7613" i="13"/>
  <c r="F7612" i="13"/>
  <c r="A7612" i="13"/>
  <c r="F7611" i="13"/>
  <c r="A7611" i="13"/>
  <c r="J7610" i="13"/>
  <c r="F7610" i="13"/>
  <c r="A7610" i="13"/>
  <c r="J7609" i="13"/>
  <c r="F7609" i="13"/>
  <c r="A7609" i="13"/>
  <c r="J7608" i="13"/>
  <c r="F7608" i="13"/>
  <c r="A7608" i="13"/>
  <c r="J7607" i="13"/>
  <c r="F7607" i="13"/>
  <c r="A7607" i="13"/>
  <c r="F7606" i="13"/>
  <c r="A7606" i="13"/>
  <c r="J7605" i="13"/>
  <c r="F7605" i="13"/>
  <c r="A7605" i="13"/>
  <c r="J7604" i="13"/>
  <c r="F7604" i="13"/>
  <c r="A7604" i="13"/>
  <c r="J7603" i="13"/>
  <c r="F7603" i="13"/>
  <c r="A7603" i="13"/>
  <c r="F7602" i="13"/>
  <c r="A7602" i="13"/>
  <c r="J7601" i="13"/>
  <c r="F7601" i="13"/>
  <c r="A7601" i="13"/>
  <c r="J7600" i="13"/>
  <c r="F7600" i="13"/>
  <c r="A7600" i="13"/>
  <c r="F7599" i="13"/>
  <c r="A7599" i="13"/>
  <c r="F7598" i="13"/>
  <c r="A7598" i="13"/>
  <c r="J7597" i="13"/>
  <c r="F7597" i="13"/>
  <c r="A7597" i="13"/>
  <c r="J7596" i="13"/>
  <c r="F7596" i="13"/>
  <c r="A7596" i="13"/>
  <c r="J7595" i="13"/>
  <c r="F7595" i="13"/>
  <c r="A7595" i="13"/>
  <c r="F7594" i="13"/>
  <c r="A7594" i="13"/>
  <c r="J7593" i="13"/>
  <c r="F7593" i="13"/>
  <c r="A7593" i="13"/>
  <c r="J7592" i="13"/>
  <c r="F7592" i="13"/>
  <c r="A7592" i="13"/>
  <c r="J7591" i="13"/>
  <c r="F7591" i="13"/>
  <c r="A7591" i="13"/>
  <c r="J7590" i="13"/>
  <c r="F7590" i="13"/>
  <c r="A7590" i="13"/>
  <c r="J7589" i="13"/>
  <c r="F7589" i="13"/>
  <c r="A7589" i="13"/>
  <c r="J7588" i="13"/>
  <c r="F7588" i="13"/>
  <c r="A7588" i="13"/>
  <c r="F7587" i="13"/>
  <c r="A7587" i="13"/>
  <c r="J7586" i="13"/>
  <c r="F7586" i="13"/>
  <c r="A7586" i="13"/>
  <c r="J7585" i="13"/>
  <c r="F7585" i="13"/>
  <c r="A7585" i="13"/>
  <c r="J7584" i="13"/>
  <c r="F7584" i="13"/>
  <c r="A7584" i="13"/>
  <c r="J7583" i="13"/>
  <c r="F7583" i="13"/>
  <c r="A7583" i="13"/>
  <c r="J7582" i="13"/>
  <c r="F7582" i="13"/>
  <c r="A7582" i="13"/>
  <c r="F7581" i="13"/>
  <c r="A7581" i="13"/>
  <c r="F7580" i="13"/>
  <c r="A7580" i="13"/>
  <c r="J7579" i="13"/>
  <c r="F7579" i="13"/>
  <c r="A7579" i="13"/>
  <c r="J7578" i="13"/>
  <c r="F7578" i="13"/>
  <c r="A7578" i="13"/>
  <c r="J7577" i="13"/>
  <c r="F7577" i="13"/>
  <c r="A7577" i="13"/>
  <c r="F7576" i="13"/>
  <c r="A7576" i="13"/>
  <c r="J7575" i="13"/>
  <c r="F7575" i="13"/>
  <c r="A7575" i="13"/>
  <c r="J7574" i="13"/>
  <c r="F7574" i="13"/>
  <c r="A7574" i="13"/>
  <c r="F7573" i="13"/>
  <c r="A7573" i="13"/>
  <c r="J7572" i="13"/>
  <c r="F7572" i="13"/>
  <c r="A7572" i="13"/>
  <c r="J7571" i="13"/>
  <c r="F7571" i="13"/>
  <c r="A7571" i="13"/>
  <c r="J7570" i="13"/>
  <c r="F7570" i="13"/>
  <c r="A7570" i="13"/>
  <c r="J7569" i="13"/>
  <c r="F7569" i="13"/>
  <c r="A7569" i="13"/>
  <c r="F7568" i="13"/>
  <c r="A7568" i="13"/>
  <c r="F7567" i="13"/>
  <c r="A7567" i="13"/>
  <c r="F7566" i="13"/>
  <c r="A7566" i="13"/>
  <c r="J7565" i="13"/>
  <c r="F7565" i="13"/>
  <c r="J7564" i="13"/>
  <c r="F7564" i="13"/>
  <c r="F7563" i="13"/>
  <c r="A7563" i="13"/>
  <c r="F7562" i="13"/>
  <c r="A7562" i="13"/>
  <c r="F7561" i="13"/>
  <c r="A7561" i="13"/>
  <c r="F7560" i="13"/>
  <c r="A7560" i="13"/>
  <c r="F7559" i="13"/>
  <c r="A7559" i="13"/>
  <c r="F7558" i="13"/>
  <c r="A7558" i="13"/>
  <c r="F7557" i="13"/>
  <c r="A7557" i="13"/>
  <c r="F7556" i="13"/>
  <c r="A7556" i="13"/>
  <c r="F7555" i="13"/>
  <c r="A7555" i="13"/>
  <c r="F7554" i="13"/>
  <c r="A7554" i="13"/>
  <c r="F7553" i="13"/>
  <c r="A7553" i="13"/>
  <c r="F7552" i="13"/>
  <c r="A7552" i="13"/>
  <c r="F7551" i="13"/>
  <c r="F7550" i="13"/>
  <c r="A7550" i="13"/>
  <c r="F7549" i="13"/>
  <c r="A7549" i="13"/>
  <c r="F7548" i="13"/>
  <c r="A7548" i="13"/>
  <c r="J7547" i="13"/>
  <c r="F7547" i="13"/>
  <c r="A7547" i="13"/>
  <c r="J7546" i="13"/>
  <c r="F7546" i="13"/>
  <c r="A7546" i="13"/>
  <c r="J7545" i="13"/>
  <c r="F7545" i="13"/>
  <c r="A7545" i="13"/>
  <c r="F7544" i="13"/>
  <c r="A7544" i="13"/>
  <c r="F7543" i="13"/>
  <c r="A7543" i="13"/>
  <c r="F7542" i="13"/>
  <c r="A7542" i="13"/>
  <c r="J7541" i="13"/>
  <c r="F7541" i="13"/>
  <c r="A7541" i="13"/>
  <c r="J7540" i="13"/>
  <c r="F7540" i="13"/>
  <c r="A7540" i="13"/>
  <c r="J7539" i="13"/>
  <c r="F7539" i="13"/>
  <c r="A7539" i="13"/>
  <c r="J7538" i="13"/>
  <c r="F7538" i="13"/>
  <c r="A7538" i="13"/>
  <c r="J7537" i="13"/>
  <c r="F7537" i="13"/>
  <c r="A7537" i="13"/>
  <c r="J7536" i="13"/>
  <c r="F7536" i="13"/>
  <c r="A7536" i="13"/>
  <c r="J7535" i="13"/>
  <c r="F7535" i="13"/>
  <c r="A7535" i="13"/>
  <c r="F7534" i="13"/>
  <c r="A7534" i="13"/>
  <c r="J7533" i="13"/>
  <c r="F7533" i="13"/>
  <c r="A7533" i="13"/>
  <c r="J7532" i="13"/>
  <c r="F7532" i="13"/>
  <c r="A7532" i="13"/>
  <c r="J7531" i="13"/>
  <c r="F7531" i="13"/>
  <c r="A7531" i="13"/>
  <c r="J7530" i="13"/>
  <c r="F7530" i="13"/>
  <c r="A7530" i="13"/>
  <c r="J7529" i="13"/>
  <c r="F7529" i="13"/>
  <c r="A7529" i="13"/>
  <c r="F7528" i="13"/>
  <c r="A7528" i="13"/>
  <c r="J7527" i="13"/>
  <c r="F7527" i="13"/>
  <c r="A7527" i="13"/>
  <c r="J7526" i="13"/>
  <c r="F7526" i="13"/>
  <c r="A7526" i="13"/>
  <c r="J7525" i="13"/>
  <c r="F7525" i="13"/>
  <c r="A7525" i="13"/>
  <c r="J7524" i="13"/>
  <c r="F7524" i="13"/>
  <c r="A7524" i="13"/>
  <c r="J7523" i="13"/>
  <c r="F7523" i="13"/>
  <c r="A7523" i="13"/>
  <c r="J7522" i="13"/>
  <c r="F7522" i="13"/>
  <c r="A7522" i="13"/>
  <c r="F7521" i="13"/>
  <c r="A7521" i="13"/>
  <c r="J7520" i="13"/>
  <c r="F7520" i="13"/>
  <c r="A7520" i="13"/>
  <c r="J7519" i="13"/>
  <c r="F7519" i="13"/>
  <c r="A7519" i="13"/>
  <c r="J7518" i="13"/>
  <c r="F7518" i="13"/>
  <c r="A7518" i="13"/>
  <c r="J7517" i="13"/>
  <c r="F7517" i="13"/>
  <c r="A7517" i="13"/>
  <c r="J7516" i="13"/>
  <c r="F7516" i="13"/>
  <c r="A7516" i="13"/>
  <c r="F7515" i="13"/>
  <c r="A7515" i="13"/>
  <c r="F7514" i="13"/>
  <c r="A7514" i="13"/>
  <c r="J7513" i="13"/>
  <c r="F7513" i="13"/>
  <c r="A7513" i="13"/>
  <c r="F7512" i="13"/>
  <c r="A7512" i="13"/>
  <c r="F7511" i="13"/>
  <c r="A7511" i="13"/>
  <c r="J7510" i="13"/>
  <c r="F7510" i="13"/>
  <c r="A7510" i="13"/>
  <c r="J7509" i="13"/>
  <c r="F7509" i="13"/>
  <c r="A7509" i="13"/>
  <c r="J7508" i="13"/>
  <c r="F7508" i="13"/>
  <c r="A7508" i="13"/>
  <c r="J7507" i="13"/>
  <c r="F7507" i="13"/>
  <c r="A7507" i="13"/>
  <c r="J7506" i="13"/>
  <c r="F7506" i="13"/>
  <c r="A7506" i="13"/>
  <c r="F7505" i="13"/>
  <c r="A7505" i="13"/>
  <c r="F7504" i="13"/>
  <c r="A7504" i="13"/>
  <c r="J7503" i="13"/>
  <c r="F7503" i="13"/>
  <c r="A7503" i="13"/>
  <c r="F7502" i="13"/>
  <c r="A7502" i="13"/>
  <c r="F7501" i="13"/>
  <c r="A7501" i="13"/>
  <c r="F7500" i="13"/>
  <c r="A7500" i="13"/>
  <c r="J7499" i="13"/>
  <c r="F7499" i="13"/>
  <c r="A7499" i="13"/>
  <c r="J7498" i="13"/>
  <c r="F7498" i="13"/>
  <c r="A7498" i="13"/>
  <c r="F7497" i="13"/>
  <c r="A7497" i="13"/>
  <c r="J7496" i="13"/>
  <c r="F7496" i="13"/>
  <c r="A7496" i="13"/>
  <c r="J7495" i="13"/>
  <c r="F7495" i="13"/>
  <c r="A7495" i="13"/>
  <c r="J7494" i="13"/>
  <c r="F7494" i="13"/>
  <c r="A7494" i="13"/>
  <c r="J7493" i="13"/>
  <c r="F7493" i="13"/>
  <c r="A7493" i="13"/>
  <c r="J7492" i="13"/>
  <c r="F7492" i="13"/>
  <c r="A7492" i="13"/>
  <c r="F7491" i="13"/>
  <c r="A7491" i="13"/>
  <c r="J7490" i="13"/>
  <c r="F7490" i="13"/>
  <c r="A7490" i="13"/>
  <c r="J7489" i="13"/>
  <c r="F7489" i="13"/>
  <c r="A7489" i="13"/>
  <c r="F7488" i="13"/>
  <c r="A7488" i="13"/>
  <c r="J7487" i="13"/>
  <c r="F7487" i="13"/>
  <c r="A7487" i="13"/>
  <c r="J7486" i="13"/>
  <c r="F7486" i="13"/>
  <c r="A7486" i="13"/>
  <c r="J7485" i="13"/>
  <c r="F7485" i="13"/>
  <c r="A7485" i="13"/>
  <c r="J7484" i="13"/>
  <c r="F7484" i="13"/>
  <c r="A7484" i="13"/>
  <c r="J7483" i="13"/>
  <c r="F7483" i="13"/>
  <c r="A7483" i="13"/>
  <c r="J7482" i="13"/>
  <c r="F7482" i="13"/>
  <c r="A7482" i="13"/>
  <c r="F7481" i="13"/>
  <c r="A7481" i="13"/>
  <c r="F7480" i="13"/>
  <c r="A7480" i="13"/>
  <c r="F7479" i="13"/>
  <c r="A7479" i="13"/>
  <c r="J7478" i="13"/>
  <c r="F7478" i="13"/>
  <c r="A7478" i="13"/>
  <c r="F7477" i="13"/>
  <c r="A7477" i="13"/>
  <c r="F7476" i="13"/>
  <c r="A7476" i="13"/>
  <c r="F7475" i="13"/>
  <c r="A7475" i="13"/>
  <c r="F7474" i="13"/>
  <c r="A7474" i="13"/>
  <c r="F7473" i="13"/>
  <c r="A7473" i="13"/>
  <c r="F7472" i="13"/>
  <c r="A7472" i="13"/>
  <c r="F7471" i="13"/>
  <c r="A7471" i="13"/>
  <c r="F7470" i="13"/>
  <c r="A7470" i="13"/>
  <c r="F7469" i="13"/>
  <c r="A7469" i="13"/>
  <c r="J7468" i="13"/>
  <c r="F7468" i="13"/>
  <c r="A7468" i="13"/>
  <c r="J7467" i="13"/>
  <c r="F7467" i="13"/>
  <c r="A7467" i="13"/>
  <c r="J7466" i="13"/>
  <c r="F7466" i="13"/>
  <c r="A7466" i="13"/>
  <c r="J7465" i="13"/>
  <c r="F7465" i="13"/>
  <c r="A7465" i="13"/>
  <c r="J7464" i="13"/>
  <c r="F7464" i="13"/>
  <c r="A7464" i="13"/>
  <c r="J7463" i="13"/>
  <c r="F7463" i="13"/>
  <c r="A7463" i="13"/>
  <c r="J7462" i="13"/>
  <c r="F7462" i="13"/>
  <c r="A7462" i="13"/>
  <c r="J7461" i="13"/>
  <c r="F7461" i="13"/>
  <c r="A7461" i="13"/>
  <c r="F7460" i="13"/>
  <c r="A7460" i="13"/>
  <c r="J7459" i="13"/>
  <c r="F7459" i="13"/>
  <c r="A7459" i="13"/>
  <c r="F7458" i="13"/>
  <c r="A7458" i="13"/>
  <c r="J7457" i="13"/>
  <c r="F7457" i="13"/>
  <c r="A7457" i="13"/>
  <c r="J7456" i="13"/>
  <c r="F7456" i="13"/>
  <c r="A7456" i="13"/>
  <c r="J7455" i="13"/>
  <c r="F7455" i="13"/>
  <c r="A7455" i="13"/>
  <c r="J7454" i="13"/>
  <c r="F7454" i="13"/>
  <c r="A7454" i="13"/>
  <c r="F7453" i="13"/>
  <c r="A7453" i="13"/>
  <c r="F7452" i="13"/>
  <c r="A7452" i="13"/>
  <c r="J7451" i="13"/>
  <c r="F7451" i="13"/>
  <c r="A7451" i="13"/>
  <c r="J7450" i="13"/>
  <c r="F7450" i="13"/>
  <c r="A7450" i="13"/>
  <c r="J7449" i="13"/>
  <c r="F7449" i="13"/>
  <c r="A7449" i="13"/>
  <c r="J7448" i="13"/>
  <c r="F7448" i="13"/>
  <c r="A7448" i="13"/>
  <c r="J7447" i="13"/>
  <c r="F7447" i="13"/>
  <c r="A7447" i="13"/>
  <c r="J7446" i="13"/>
  <c r="F7446" i="13"/>
  <c r="A7446" i="13"/>
  <c r="J7445" i="13"/>
  <c r="F7445" i="13"/>
  <c r="A7445" i="13"/>
  <c r="J7444" i="13"/>
  <c r="F7444" i="13"/>
  <c r="A7444" i="13"/>
  <c r="F7443" i="13"/>
  <c r="A7443" i="13"/>
  <c r="J7442" i="13"/>
  <c r="F7442" i="13"/>
  <c r="A7442" i="13"/>
  <c r="J7441" i="13"/>
  <c r="F7441" i="13"/>
  <c r="A7441" i="13"/>
  <c r="J7440" i="13"/>
  <c r="F7440" i="13"/>
  <c r="A7440" i="13"/>
  <c r="F7439" i="13"/>
  <c r="A7439" i="13"/>
  <c r="F7438" i="13"/>
  <c r="A7438" i="13"/>
  <c r="F7437" i="13"/>
  <c r="A7437" i="13"/>
  <c r="F7436" i="13"/>
  <c r="A7436" i="13"/>
  <c r="F7435" i="13"/>
  <c r="A7435" i="13"/>
  <c r="J7434" i="13"/>
  <c r="F7434" i="13"/>
  <c r="A7434" i="13"/>
  <c r="J7433" i="13"/>
  <c r="F7433" i="13"/>
  <c r="A7433" i="13"/>
  <c r="J7432" i="13"/>
  <c r="F7432" i="13"/>
  <c r="A7432" i="13"/>
  <c r="F7431" i="13"/>
  <c r="A7431" i="13"/>
  <c r="J7430" i="13"/>
  <c r="F7430" i="13"/>
  <c r="A7430" i="13"/>
  <c r="J7429" i="13"/>
  <c r="F7429" i="13"/>
  <c r="A7429" i="13"/>
  <c r="F7428" i="13"/>
  <c r="A7428" i="13"/>
  <c r="J7427" i="13"/>
  <c r="F7427" i="13"/>
  <c r="A7427" i="13"/>
  <c r="J7426" i="13"/>
  <c r="F7426" i="13"/>
  <c r="A7426" i="13"/>
  <c r="J7425" i="13"/>
  <c r="F7425" i="13"/>
  <c r="A7425" i="13"/>
  <c r="F7424" i="13"/>
  <c r="A7424" i="13"/>
  <c r="J7423" i="13"/>
  <c r="F7423" i="13"/>
  <c r="A7423" i="13"/>
  <c r="J7422" i="13"/>
  <c r="F7422" i="13"/>
  <c r="A7422" i="13"/>
  <c r="J7421" i="13"/>
  <c r="F7421" i="13"/>
  <c r="A7421" i="13"/>
  <c r="J7420" i="13"/>
  <c r="F7420" i="13"/>
  <c r="A7420" i="13"/>
  <c r="J7419" i="13"/>
  <c r="F7419" i="13"/>
  <c r="A7419" i="13"/>
  <c r="J7418" i="13"/>
  <c r="F7418" i="13"/>
  <c r="A7418" i="13"/>
  <c r="J7417" i="13"/>
  <c r="F7417" i="13"/>
  <c r="A7417" i="13"/>
  <c r="J7416" i="13"/>
  <c r="F7416" i="13"/>
  <c r="A7416" i="13"/>
  <c r="J7415" i="13"/>
  <c r="F7415" i="13"/>
  <c r="A7415" i="13"/>
  <c r="F7414" i="13"/>
  <c r="A7414" i="13"/>
  <c r="F7413" i="13"/>
  <c r="A7413" i="13"/>
  <c r="J7412" i="13"/>
  <c r="F7412" i="13"/>
  <c r="A7412" i="13"/>
  <c r="J7411" i="13"/>
  <c r="F7411" i="13"/>
  <c r="A7411" i="13"/>
  <c r="F7410" i="13"/>
  <c r="A7410" i="13"/>
  <c r="F7409" i="13"/>
  <c r="A7409" i="13"/>
  <c r="F7408" i="13"/>
  <c r="A7408" i="13"/>
  <c r="J7407" i="13"/>
  <c r="F7407" i="13"/>
  <c r="A7407" i="13"/>
  <c r="J7406" i="13"/>
  <c r="F7406" i="13"/>
  <c r="A7406" i="13"/>
  <c r="J7405" i="13"/>
  <c r="F7405" i="13"/>
  <c r="A7405" i="13"/>
  <c r="J7404" i="13"/>
  <c r="F7404" i="13"/>
  <c r="A7404" i="13"/>
  <c r="F7403" i="13"/>
  <c r="A7403" i="13"/>
  <c r="F7402" i="13"/>
  <c r="A7402" i="13"/>
  <c r="J7401" i="13"/>
  <c r="F7401" i="13"/>
  <c r="A7401" i="13"/>
  <c r="J7400" i="13"/>
  <c r="F7400" i="13"/>
  <c r="A7400" i="13"/>
  <c r="F7399" i="13"/>
  <c r="A7399" i="13"/>
  <c r="J7398" i="13"/>
  <c r="F7398" i="13"/>
  <c r="A7398" i="13"/>
  <c r="F7397" i="13"/>
  <c r="A7397" i="13"/>
  <c r="F7396" i="13"/>
  <c r="A7396" i="13"/>
  <c r="F7395" i="13"/>
  <c r="A7395" i="13"/>
  <c r="F7394" i="13"/>
  <c r="A7394" i="13"/>
  <c r="F7393" i="13"/>
  <c r="A7393" i="13"/>
  <c r="F7392" i="13"/>
  <c r="A7392" i="13"/>
  <c r="F7391" i="13"/>
  <c r="A7391" i="13"/>
  <c r="F7390" i="13"/>
  <c r="A7390" i="13"/>
  <c r="F7389" i="13"/>
  <c r="A7389" i="13"/>
  <c r="F7388" i="13"/>
  <c r="A7388" i="13"/>
  <c r="F7387" i="13"/>
  <c r="A7387" i="13"/>
  <c r="J7386" i="13"/>
  <c r="F7386" i="13"/>
  <c r="A7386" i="13"/>
  <c r="J7385" i="13"/>
  <c r="F7385" i="13"/>
  <c r="A7385" i="13"/>
  <c r="F7384" i="13"/>
  <c r="A7384" i="13"/>
  <c r="F7383" i="13"/>
  <c r="A7383" i="13"/>
  <c r="F7382" i="13"/>
  <c r="A7382" i="13"/>
  <c r="J7381" i="13"/>
  <c r="F7381" i="13"/>
  <c r="A7381" i="13"/>
  <c r="J7380" i="13"/>
  <c r="F7380" i="13"/>
  <c r="A7380" i="13"/>
  <c r="J7379" i="13"/>
  <c r="F7379" i="13"/>
  <c r="A7379" i="13"/>
  <c r="F7378" i="13"/>
  <c r="A7378" i="13"/>
  <c r="J7377" i="13"/>
  <c r="F7377" i="13"/>
  <c r="A7377" i="13"/>
  <c r="J7376" i="13"/>
  <c r="F7376" i="13"/>
  <c r="A7376" i="13"/>
  <c r="F7375" i="13"/>
  <c r="A7375" i="13"/>
  <c r="J7374" i="13"/>
  <c r="F7374" i="13"/>
  <c r="A7374" i="13"/>
  <c r="F7373" i="13"/>
  <c r="A7373" i="13"/>
  <c r="J7372" i="13"/>
  <c r="F7372" i="13"/>
  <c r="A7372" i="13"/>
  <c r="J7371" i="13"/>
  <c r="F7371" i="13"/>
  <c r="A7371" i="13"/>
  <c r="F7370" i="13"/>
  <c r="A7370" i="13"/>
  <c r="J7369" i="13"/>
  <c r="F7369" i="13"/>
  <c r="A7369" i="13"/>
  <c r="J7368" i="13"/>
  <c r="F7368" i="13"/>
  <c r="A7368" i="13"/>
  <c r="J7367" i="13"/>
  <c r="F7367" i="13"/>
  <c r="A7367" i="13"/>
  <c r="J7366" i="13"/>
  <c r="F7366" i="13"/>
  <c r="A7366" i="13"/>
  <c r="F7365" i="13"/>
  <c r="A7365" i="13"/>
  <c r="J7364" i="13"/>
  <c r="F7364" i="13"/>
  <c r="A7364" i="13"/>
  <c r="J7363" i="13"/>
  <c r="F7363" i="13"/>
  <c r="A7363" i="13"/>
  <c r="J7362" i="13"/>
  <c r="F7362" i="13"/>
  <c r="A7362" i="13"/>
  <c r="J7361" i="13"/>
  <c r="F7361" i="13"/>
  <c r="A7361" i="13"/>
  <c r="F7360" i="13"/>
  <c r="A7360" i="13"/>
  <c r="J7359" i="13"/>
  <c r="F7359" i="13"/>
  <c r="A7359" i="13"/>
  <c r="J7358" i="13"/>
  <c r="F7358" i="13"/>
  <c r="A7358" i="13"/>
  <c r="J7357" i="13"/>
  <c r="F7357" i="13"/>
  <c r="A7357" i="13"/>
  <c r="J7356" i="13"/>
  <c r="F7356" i="13"/>
  <c r="A7356" i="13"/>
  <c r="F7355" i="13"/>
  <c r="A7355" i="13"/>
  <c r="F7354" i="13"/>
  <c r="A7354" i="13"/>
  <c r="J7353" i="13"/>
  <c r="F7353" i="13"/>
  <c r="A7353" i="13"/>
  <c r="J7352" i="13"/>
  <c r="F7352" i="13"/>
  <c r="A7352" i="13"/>
  <c r="F7351" i="13"/>
  <c r="A7351" i="13"/>
  <c r="F7350" i="13"/>
  <c r="A7350" i="13"/>
  <c r="J7349" i="13"/>
  <c r="F7349" i="13"/>
  <c r="A7349" i="13"/>
  <c r="J7348" i="13"/>
  <c r="F7348" i="13"/>
  <c r="A7348" i="13"/>
  <c r="J7347" i="13"/>
  <c r="F7347" i="13"/>
  <c r="A7347" i="13"/>
  <c r="F7346" i="13"/>
  <c r="A7346" i="13"/>
  <c r="J7345" i="13"/>
  <c r="F7345" i="13"/>
  <c r="A7345" i="13"/>
  <c r="J7344" i="13"/>
  <c r="F7344" i="13"/>
  <c r="A7344" i="13"/>
  <c r="J7343" i="13"/>
  <c r="F7343" i="13"/>
  <c r="A7343" i="13"/>
  <c r="J7342" i="13"/>
  <c r="F7342" i="13"/>
  <c r="A7342" i="13"/>
  <c r="J7341" i="13"/>
  <c r="F7341" i="13"/>
  <c r="A7341" i="13"/>
  <c r="J7340" i="13"/>
  <c r="F7340" i="13"/>
  <c r="A7340" i="13"/>
  <c r="J7339" i="13"/>
  <c r="F7339" i="13"/>
  <c r="A7339" i="13"/>
  <c r="J7338" i="13"/>
  <c r="F7338" i="13"/>
  <c r="A7338" i="13"/>
  <c r="J7337" i="13"/>
  <c r="F7337" i="13"/>
  <c r="A7337" i="13"/>
  <c r="F7336" i="13"/>
  <c r="A7336" i="13"/>
  <c r="J7335" i="13"/>
  <c r="F7335" i="13"/>
  <c r="A7335" i="13"/>
  <c r="J7334" i="13"/>
  <c r="F7334" i="13"/>
  <c r="A7334" i="13"/>
  <c r="J7333" i="13"/>
  <c r="F7333" i="13"/>
  <c r="A7333" i="13"/>
  <c r="F7332" i="13"/>
  <c r="A7332" i="13"/>
  <c r="J7331" i="13"/>
  <c r="F7331" i="13"/>
  <c r="A7331" i="13"/>
  <c r="J7330" i="13"/>
  <c r="F7330" i="13"/>
  <c r="A7330" i="13"/>
  <c r="F7329" i="13"/>
  <c r="A7329" i="13"/>
  <c r="J7328" i="13"/>
  <c r="F7328" i="13"/>
  <c r="A7328" i="13"/>
  <c r="F7327" i="13"/>
  <c r="A7327" i="13"/>
  <c r="J7326" i="13"/>
  <c r="F7326" i="13"/>
  <c r="A7326" i="13"/>
  <c r="J7325" i="13"/>
  <c r="F7325" i="13"/>
  <c r="A7325" i="13"/>
  <c r="J7324" i="13"/>
  <c r="F7324" i="13"/>
  <c r="A7324" i="13"/>
  <c r="F7323" i="13"/>
  <c r="A7323" i="13"/>
  <c r="J7322" i="13"/>
  <c r="F7322" i="13"/>
  <c r="A7322" i="13"/>
  <c r="F7321" i="13"/>
  <c r="A7321" i="13"/>
  <c r="F7320" i="13"/>
  <c r="A7320" i="13"/>
  <c r="F7319" i="13"/>
  <c r="A7319" i="13"/>
  <c r="J7318" i="13"/>
  <c r="F7318" i="13"/>
  <c r="A7318" i="13"/>
  <c r="J7317" i="13"/>
  <c r="F7317" i="13"/>
  <c r="A7317" i="13"/>
  <c r="F7316" i="13"/>
  <c r="A7316" i="13"/>
  <c r="F7315" i="13"/>
  <c r="A7315" i="13"/>
  <c r="F7314" i="13"/>
  <c r="A7314" i="13"/>
  <c r="F7313" i="13"/>
  <c r="A7313" i="13"/>
  <c r="F7312" i="13"/>
  <c r="A7312" i="13"/>
  <c r="J7311" i="13"/>
  <c r="F7311" i="13"/>
  <c r="A7311" i="13"/>
  <c r="J7310" i="13"/>
  <c r="F7310" i="13"/>
  <c r="A7310" i="13"/>
  <c r="J7309" i="13"/>
  <c r="F7309" i="13"/>
  <c r="A7309" i="13"/>
  <c r="J7308" i="13"/>
  <c r="F7308" i="13"/>
  <c r="A7308" i="13"/>
  <c r="J7307" i="13"/>
  <c r="F7307" i="13"/>
  <c r="A7307" i="13"/>
  <c r="F7306" i="13"/>
  <c r="A7306" i="13"/>
  <c r="J7305" i="13"/>
  <c r="F7305" i="13"/>
  <c r="A7305" i="13"/>
  <c r="J7304" i="13"/>
  <c r="F7304" i="13"/>
  <c r="A7304" i="13"/>
  <c r="F7303" i="13"/>
  <c r="A7303" i="13"/>
  <c r="J7302" i="13"/>
  <c r="F7302" i="13"/>
  <c r="A7302" i="13"/>
  <c r="F7301" i="13"/>
  <c r="A7301" i="13"/>
  <c r="F7300" i="13"/>
  <c r="A7300" i="13"/>
  <c r="J7299" i="13"/>
  <c r="F7299" i="13"/>
  <c r="A7299" i="13"/>
  <c r="F7298" i="13"/>
  <c r="A7298" i="13"/>
  <c r="F7297" i="13"/>
  <c r="A7297" i="13"/>
  <c r="F7296" i="13"/>
  <c r="A7296" i="13"/>
  <c r="J7295" i="13"/>
  <c r="F7295" i="13"/>
  <c r="A7295" i="13"/>
  <c r="J7294" i="13"/>
  <c r="F7294" i="13"/>
  <c r="A7294" i="13"/>
  <c r="J7293" i="13"/>
  <c r="F7293" i="13"/>
  <c r="A7293" i="13"/>
  <c r="F7292" i="13"/>
  <c r="A7292" i="13"/>
  <c r="J7291" i="13"/>
  <c r="F7291" i="13"/>
  <c r="A7291" i="13"/>
  <c r="J7290" i="13"/>
  <c r="F7290" i="13"/>
  <c r="A7290" i="13"/>
  <c r="F7289" i="13"/>
  <c r="A7289" i="13"/>
  <c r="J7288" i="13"/>
  <c r="F7288" i="13"/>
  <c r="A7288" i="13"/>
  <c r="J7287" i="13"/>
  <c r="F7287" i="13"/>
  <c r="A7287" i="13"/>
  <c r="F7286" i="13"/>
  <c r="A7286" i="13"/>
  <c r="F7285" i="13"/>
  <c r="A7285" i="13"/>
  <c r="F7284" i="13"/>
  <c r="A7284" i="13"/>
  <c r="F7283" i="13"/>
  <c r="A7283" i="13"/>
  <c r="F7282" i="13"/>
  <c r="A7282" i="13"/>
  <c r="F7281" i="13"/>
  <c r="A7281" i="13"/>
  <c r="F7280" i="13"/>
  <c r="A7280" i="13"/>
  <c r="F7279" i="13"/>
  <c r="A7279" i="13"/>
  <c r="F7278" i="13"/>
  <c r="A7278" i="13"/>
  <c r="F7277" i="13"/>
  <c r="A7277" i="13"/>
  <c r="F7276" i="13"/>
  <c r="A7276" i="13"/>
  <c r="F7275" i="13"/>
  <c r="A7275" i="13"/>
  <c r="F7274" i="13"/>
  <c r="A7274" i="13"/>
  <c r="F7273" i="13"/>
  <c r="A7273" i="13"/>
  <c r="F7272" i="13"/>
  <c r="A7272" i="13"/>
  <c r="F7271" i="13"/>
  <c r="A7271" i="13"/>
  <c r="F7270" i="13"/>
  <c r="A7270" i="13"/>
  <c r="F7269" i="13"/>
  <c r="A7269" i="13"/>
  <c r="F7268" i="13"/>
  <c r="A7268" i="13"/>
  <c r="F7267" i="13"/>
  <c r="A7267" i="13"/>
  <c r="F7266" i="13"/>
  <c r="A7266" i="13"/>
  <c r="F7265" i="13"/>
  <c r="A7265" i="13"/>
  <c r="F7264" i="13"/>
  <c r="A7264" i="13"/>
  <c r="F7263" i="13"/>
  <c r="A7263" i="13"/>
  <c r="F7262" i="13"/>
  <c r="A7262" i="13"/>
  <c r="J7261" i="13"/>
  <c r="F7261" i="13"/>
  <c r="A7261" i="13"/>
  <c r="J7260" i="13"/>
  <c r="F7260" i="13"/>
  <c r="A7260" i="13"/>
  <c r="J7259" i="13"/>
  <c r="F7259" i="13"/>
  <c r="A7259" i="13"/>
  <c r="J7258" i="13"/>
  <c r="F7258" i="13"/>
  <c r="A7258" i="13"/>
  <c r="F7257" i="13"/>
  <c r="A7257" i="13"/>
  <c r="F7256" i="13"/>
  <c r="A7256" i="13"/>
  <c r="F7255" i="13"/>
  <c r="A7255" i="13"/>
  <c r="F7254" i="13"/>
  <c r="A7254" i="13"/>
  <c r="J7253" i="13"/>
  <c r="F7253" i="13"/>
  <c r="A7253" i="13"/>
  <c r="J7252" i="13"/>
  <c r="F7252" i="13"/>
  <c r="A7252" i="13"/>
  <c r="J7251" i="13"/>
  <c r="F7251" i="13"/>
  <c r="A7251" i="13"/>
  <c r="J7250" i="13"/>
  <c r="F7250" i="13"/>
  <c r="A7250" i="13"/>
  <c r="F7249" i="13"/>
  <c r="A7249" i="13"/>
  <c r="J7248" i="13"/>
  <c r="F7248" i="13"/>
  <c r="A7248" i="13"/>
  <c r="J7247" i="13"/>
  <c r="F7247" i="13"/>
  <c r="A7247" i="13"/>
  <c r="J7246" i="13"/>
  <c r="F7246" i="13"/>
  <c r="A7246" i="13"/>
  <c r="F7245" i="13"/>
  <c r="A7245" i="13"/>
  <c r="F7244" i="13"/>
  <c r="A7244" i="13"/>
  <c r="J7243" i="13"/>
  <c r="F7243" i="13"/>
  <c r="A7243" i="13"/>
  <c r="J7242" i="13"/>
  <c r="F7242" i="13"/>
  <c r="A7242" i="13"/>
  <c r="F7241" i="13"/>
  <c r="A7241" i="13"/>
  <c r="F7240" i="13"/>
  <c r="A7240" i="13"/>
  <c r="J7239" i="13"/>
  <c r="F7239" i="13"/>
  <c r="A7239" i="13"/>
  <c r="J7238" i="13"/>
  <c r="F7238" i="13"/>
  <c r="A7238" i="13"/>
  <c r="J7237" i="13"/>
  <c r="F7237" i="13"/>
  <c r="A7237" i="13"/>
  <c r="J7236" i="13"/>
  <c r="F7236" i="13"/>
  <c r="A7236" i="13"/>
  <c r="F7235" i="13"/>
  <c r="A7235" i="13"/>
  <c r="F7234" i="13"/>
  <c r="A7234" i="13"/>
  <c r="F7233" i="13"/>
  <c r="A7233" i="13"/>
  <c r="J7232" i="13"/>
  <c r="F7232" i="13"/>
  <c r="A7232" i="13"/>
  <c r="J7231" i="13"/>
  <c r="F7231" i="13"/>
  <c r="A7231" i="13"/>
  <c r="F7230" i="13"/>
  <c r="A7230" i="13"/>
  <c r="F7229" i="13"/>
  <c r="A7229" i="13"/>
  <c r="F7228" i="13"/>
  <c r="A7228" i="13"/>
  <c r="F7227" i="13"/>
  <c r="A7227" i="13"/>
  <c r="F7226" i="13"/>
  <c r="A7226" i="13"/>
  <c r="J7225" i="13"/>
  <c r="F7225" i="13"/>
  <c r="A7225" i="13"/>
  <c r="F7224" i="13"/>
  <c r="A7224" i="13"/>
  <c r="F7223" i="13"/>
  <c r="A7223" i="13"/>
  <c r="J7222" i="13"/>
  <c r="F7222" i="13"/>
  <c r="A7222" i="13"/>
  <c r="J7221" i="13"/>
  <c r="F7221" i="13"/>
  <c r="A7221" i="13"/>
  <c r="J7220" i="13"/>
  <c r="F7220" i="13"/>
  <c r="A7220" i="13"/>
  <c r="F7219" i="13"/>
  <c r="A7219" i="13"/>
  <c r="F7218" i="13"/>
  <c r="A7218" i="13"/>
  <c r="F7217" i="13"/>
  <c r="A7217" i="13"/>
  <c r="F7216" i="13"/>
  <c r="A7216" i="13"/>
  <c r="F7215" i="13"/>
  <c r="A7215" i="13"/>
  <c r="F7214" i="13"/>
  <c r="A7214" i="13"/>
  <c r="F7213" i="13"/>
  <c r="A7213" i="13"/>
  <c r="J7212" i="13"/>
  <c r="F7212" i="13"/>
  <c r="A7212" i="13"/>
  <c r="J7211" i="13"/>
  <c r="F7211" i="13"/>
  <c r="A7211" i="13"/>
  <c r="F7210" i="13"/>
  <c r="A7210" i="13"/>
  <c r="J7209" i="13"/>
  <c r="F7209" i="13"/>
  <c r="A7209" i="13"/>
  <c r="J7208" i="13"/>
  <c r="F7208" i="13"/>
  <c r="A7208" i="13"/>
  <c r="J7207" i="13"/>
  <c r="F7207" i="13"/>
  <c r="A7207" i="13"/>
  <c r="J7206" i="13"/>
  <c r="F7206" i="13"/>
  <c r="A7206" i="13"/>
  <c r="J7205" i="13"/>
  <c r="F7205" i="13"/>
  <c r="A7205" i="13"/>
  <c r="J7204" i="13"/>
  <c r="F7204" i="13"/>
  <c r="A7204" i="13"/>
  <c r="J7203" i="13"/>
  <c r="F7203" i="13"/>
  <c r="A7203" i="13"/>
  <c r="F7202" i="13"/>
  <c r="A7202" i="13"/>
  <c r="F7201" i="13"/>
  <c r="A7201" i="13"/>
  <c r="J7200" i="13"/>
  <c r="F7200" i="13"/>
  <c r="A7200" i="13"/>
  <c r="F7199" i="13"/>
  <c r="A7199" i="13"/>
  <c r="J7198" i="13"/>
  <c r="F7198" i="13"/>
  <c r="A7198" i="13"/>
  <c r="J7197" i="13"/>
  <c r="F7197" i="13"/>
  <c r="A7197" i="13"/>
  <c r="F7196" i="13"/>
  <c r="A7196" i="13"/>
  <c r="J7195" i="13"/>
  <c r="F7195" i="13"/>
  <c r="A7195" i="13"/>
  <c r="J7194" i="13"/>
  <c r="F7194" i="13"/>
  <c r="A7194" i="13"/>
  <c r="J7193" i="13"/>
  <c r="F7193" i="13"/>
  <c r="A7193" i="13"/>
  <c r="F7192" i="13"/>
  <c r="A7192" i="13"/>
  <c r="J7191" i="13"/>
  <c r="F7191" i="13"/>
  <c r="A7191" i="13"/>
  <c r="J7190" i="13"/>
  <c r="F7190" i="13"/>
  <c r="A7190" i="13"/>
  <c r="J7189" i="13"/>
  <c r="F7189" i="13"/>
  <c r="A7189" i="13"/>
  <c r="J7188" i="13"/>
  <c r="F7188" i="13"/>
  <c r="A7188" i="13"/>
  <c r="J7187" i="13"/>
  <c r="F7187" i="13"/>
  <c r="A7187" i="13"/>
  <c r="J7186" i="13"/>
  <c r="F7186" i="13"/>
  <c r="A7186" i="13"/>
  <c r="J7185" i="13"/>
  <c r="F7185" i="13"/>
  <c r="A7185" i="13"/>
  <c r="F7184" i="13"/>
  <c r="A7184" i="13"/>
  <c r="F7183" i="13"/>
  <c r="A7183" i="13"/>
  <c r="J7182" i="13"/>
  <c r="F7182" i="13"/>
  <c r="A7182" i="13"/>
  <c r="J7181" i="13"/>
  <c r="F7181" i="13"/>
  <c r="A7181" i="13"/>
  <c r="F7180" i="13"/>
  <c r="A7180" i="13"/>
  <c r="J7179" i="13"/>
  <c r="F7179" i="13"/>
  <c r="A7179" i="13"/>
  <c r="J7178" i="13"/>
  <c r="F7178" i="13"/>
  <c r="A7178" i="13"/>
  <c r="F7177" i="13"/>
  <c r="A7177" i="13"/>
  <c r="F7176" i="13"/>
  <c r="A7176" i="13"/>
  <c r="F7175" i="13"/>
  <c r="A7175" i="13"/>
  <c r="J7174" i="13"/>
  <c r="F7174" i="13"/>
  <c r="A7174" i="13"/>
  <c r="J7173" i="13"/>
  <c r="F7173" i="13"/>
  <c r="A7173" i="13"/>
  <c r="J7172" i="13"/>
  <c r="F7172" i="13"/>
  <c r="A7172" i="13"/>
  <c r="J7171" i="13"/>
  <c r="F7171" i="13"/>
  <c r="A7171" i="13"/>
  <c r="J7170" i="13"/>
  <c r="F7170" i="13"/>
  <c r="A7170" i="13"/>
  <c r="J7169" i="13"/>
  <c r="F7169" i="13"/>
  <c r="A7169" i="13"/>
  <c r="F7168" i="13"/>
  <c r="A7168" i="13"/>
  <c r="J7167" i="13"/>
  <c r="F7167" i="13"/>
  <c r="A7167" i="13"/>
  <c r="J7166" i="13"/>
  <c r="F7166" i="13"/>
  <c r="A7166" i="13"/>
  <c r="J7165" i="13"/>
  <c r="F7165" i="13"/>
  <c r="A7165" i="13"/>
  <c r="F7164" i="13"/>
  <c r="A7164" i="13"/>
  <c r="F7163" i="13"/>
  <c r="A7163" i="13"/>
  <c r="F7162" i="13"/>
  <c r="A7162" i="13"/>
  <c r="F7161" i="13"/>
  <c r="A7161" i="13"/>
  <c r="F7160" i="13"/>
  <c r="A7160" i="13"/>
  <c r="F7159" i="13"/>
  <c r="A7159" i="13"/>
  <c r="F7158" i="13"/>
  <c r="A7158" i="13"/>
  <c r="F7157" i="13"/>
  <c r="A7157" i="13"/>
  <c r="F7156" i="13"/>
  <c r="A7156" i="13"/>
  <c r="F7155" i="13"/>
  <c r="A7155" i="13"/>
  <c r="F7154" i="13"/>
  <c r="A7154" i="13"/>
  <c r="F7153" i="13"/>
  <c r="A7153" i="13"/>
  <c r="F7152" i="13"/>
  <c r="A7152" i="13"/>
  <c r="F7151" i="13"/>
  <c r="A7151" i="13"/>
  <c r="J7150" i="13"/>
  <c r="F7150" i="13"/>
  <c r="A7150" i="13"/>
  <c r="J7149" i="13"/>
  <c r="F7149" i="13"/>
  <c r="A7149" i="13"/>
  <c r="J7148" i="13"/>
  <c r="F7148" i="13"/>
  <c r="A7148" i="13"/>
  <c r="J7147" i="13"/>
  <c r="F7147" i="13"/>
  <c r="A7147" i="13"/>
  <c r="F7146" i="13"/>
  <c r="A7146" i="13"/>
  <c r="F7145" i="13"/>
  <c r="A7145" i="13"/>
  <c r="F7144" i="13"/>
  <c r="A7144" i="13"/>
  <c r="F7143" i="13"/>
  <c r="A7143" i="13"/>
  <c r="F7142" i="13"/>
  <c r="A7142" i="13"/>
  <c r="J7141" i="13"/>
  <c r="F7141" i="13"/>
  <c r="A7141" i="13"/>
  <c r="J7140" i="13"/>
  <c r="F7140" i="13"/>
  <c r="A7140" i="13"/>
  <c r="F7139" i="13"/>
  <c r="A7139" i="13"/>
  <c r="F7138" i="13"/>
  <c r="A7138" i="13"/>
  <c r="F7137" i="13"/>
  <c r="A7137" i="13"/>
  <c r="F7136" i="13"/>
  <c r="A7136" i="13"/>
  <c r="F7135" i="13"/>
  <c r="A7135" i="13"/>
  <c r="F7134" i="13"/>
  <c r="A7134" i="13"/>
  <c r="F7133" i="13"/>
  <c r="A7133" i="13"/>
  <c r="F7132" i="13"/>
  <c r="A7132" i="13"/>
  <c r="F7131" i="13"/>
  <c r="A7131" i="13"/>
  <c r="F7130" i="13"/>
  <c r="A7130" i="13"/>
  <c r="F7129" i="13"/>
  <c r="A7129" i="13"/>
  <c r="F7128" i="13"/>
  <c r="A7128" i="13"/>
  <c r="J7127" i="13"/>
  <c r="F7127" i="13"/>
  <c r="A7127" i="13"/>
  <c r="F7126" i="13"/>
  <c r="A7126" i="13"/>
  <c r="F7125" i="13"/>
  <c r="A7125" i="13"/>
  <c r="F7124" i="13"/>
  <c r="A7124" i="13"/>
  <c r="J7123" i="13"/>
  <c r="F7123" i="13"/>
  <c r="A7123" i="13"/>
  <c r="J7122" i="13"/>
  <c r="F7122" i="13"/>
  <c r="A7122" i="13"/>
  <c r="F7121" i="13"/>
  <c r="A7121" i="13"/>
  <c r="F7120" i="13"/>
  <c r="A7120" i="13"/>
  <c r="J7119" i="13"/>
  <c r="F7119" i="13"/>
  <c r="A7119" i="13"/>
  <c r="J7118" i="13"/>
  <c r="F7118" i="13"/>
  <c r="A7118" i="13"/>
  <c r="J7117" i="13"/>
  <c r="F7117" i="13"/>
  <c r="A7117" i="13"/>
  <c r="F7116" i="13"/>
  <c r="A7116" i="13"/>
  <c r="J7115" i="13"/>
  <c r="F7115" i="13"/>
  <c r="A7115" i="13"/>
  <c r="J7114" i="13"/>
  <c r="F7114" i="13"/>
  <c r="A7114" i="13"/>
  <c r="F7113" i="13"/>
  <c r="A7113" i="13"/>
  <c r="F7112" i="13"/>
  <c r="A7112" i="13"/>
  <c r="J7111" i="13"/>
  <c r="F7111" i="13"/>
  <c r="A7111" i="13"/>
  <c r="J7110" i="13"/>
  <c r="F7110" i="13"/>
  <c r="A7110" i="13"/>
  <c r="J7109" i="13"/>
  <c r="F7109" i="13"/>
  <c r="A7109" i="13"/>
  <c r="F7108" i="13"/>
  <c r="A7108" i="13"/>
  <c r="F7107" i="13"/>
  <c r="A7107" i="13"/>
  <c r="F7106" i="13"/>
  <c r="A7106" i="13"/>
  <c r="F7105" i="13"/>
  <c r="A7105" i="13"/>
  <c r="J7104" i="13"/>
  <c r="F7104" i="13"/>
  <c r="A7104" i="13"/>
  <c r="J7103" i="13"/>
  <c r="F7103" i="13"/>
  <c r="A7103" i="13"/>
  <c r="J7102" i="13"/>
  <c r="F7102" i="13"/>
  <c r="A7102" i="13"/>
  <c r="F7101" i="13"/>
  <c r="A7101" i="13"/>
  <c r="J7100" i="13"/>
  <c r="F7100" i="13"/>
  <c r="A7100" i="13"/>
  <c r="J7099" i="13"/>
  <c r="F7099" i="13"/>
  <c r="A7099" i="13"/>
  <c r="F7098" i="13"/>
  <c r="A7098" i="13"/>
  <c r="F7097" i="13"/>
  <c r="A7097" i="13"/>
  <c r="J7096" i="13"/>
  <c r="F7096" i="13"/>
  <c r="A7096" i="13"/>
  <c r="J7095" i="13"/>
  <c r="F7095" i="13"/>
  <c r="A7095" i="13"/>
  <c r="J7094" i="13"/>
  <c r="F7094" i="13"/>
  <c r="A7094" i="13"/>
  <c r="J7093" i="13"/>
  <c r="F7093" i="13"/>
  <c r="A7093" i="13"/>
  <c r="J7092" i="13"/>
  <c r="F7092" i="13"/>
  <c r="A7092" i="13"/>
  <c r="F7091" i="13"/>
  <c r="A7091" i="13"/>
  <c r="F7090" i="13"/>
  <c r="A7090" i="13"/>
  <c r="F7089" i="13"/>
  <c r="A7089" i="13"/>
  <c r="F7088" i="13"/>
  <c r="A7088" i="13"/>
  <c r="F7087" i="13"/>
  <c r="A7087" i="13"/>
  <c r="F7086" i="13"/>
  <c r="A7086" i="13"/>
  <c r="F7085" i="13"/>
  <c r="A7085" i="13"/>
  <c r="F7084" i="13"/>
  <c r="A7084" i="13"/>
  <c r="J7083" i="13"/>
  <c r="F7083" i="13"/>
  <c r="A7083" i="13"/>
  <c r="J7082" i="13"/>
  <c r="F7082" i="13"/>
  <c r="A7082" i="13"/>
  <c r="F7081" i="13"/>
  <c r="A7081" i="13"/>
  <c r="J7080" i="13"/>
  <c r="F7080" i="13"/>
  <c r="A7080" i="13"/>
  <c r="J7079" i="13"/>
  <c r="F7079" i="13"/>
  <c r="A7079" i="13"/>
  <c r="F7078" i="13"/>
  <c r="A7078" i="13"/>
  <c r="J7077" i="13"/>
  <c r="F7077" i="13"/>
  <c r="A7077" i="13"/>
  <c r="J7076" i="13"/>
  <c r="F7076" i="13"/>
  <c r="A7076" i="13"/>
  <c r="F7075" i="13"/>
  <c r="A7075" i="13"/>
  <c r="J7074" i="13"/>
  <c r="F7074" i="13"/>
  <c r="A7074" i="13"/>
  <c r="F7073" i="13"/>
  <c r="A7073" i="13"/>
  <c r="F7072" i="13"/>
  <c r="A7072" i="13"/>
  <c r="J7071" i="13"/>
  <c r="F7071" i="13"/>
  <c r="A7071" i="13"/>
  <c r="J7070" i="13"/>
  <c r="F7070" i="13"/>
  <c r="A7070" i="13"/>
  <c r="J7069" i="13"/>
  <c r="F7069" i="13"/>
  <c r="J7068" i="13"/>
  <c r="F7068" i="13"/>
  <c r="J7067" i="13"/>
  <c r="F7067" i="13"/>
  <c r="F7066" i="13"/>
  <c r="A7066" i="13"/>
  <c r="F7065" i="13"/>
  <c r="A7065" i="13"/>
  <c r="F7064" i="13"/>
  <c r="A7064" i="13"/>
  <c r="F7063" i="13"/>
  <c r="J7062" i="13"/>
  <c r="F7062" i="13"/>
  <c r="A7062" i="13"/>
  <c r="J7061" i="13"/>
  <c r="F7061" i="13"/>
  <c r="A7061" i="13"/>
  <c r="J7060" i="13"/>
  <c r="F7060" i="13"/>
  <c r="A7060" i="13"/>
  <c r="J7059" i="13"/>
  <c r="F7059" i="13"/>
  <c r="A7059" i="13"/>
  <c r="J7058" i="13"/>
  <c r="F7058" i="13"/>
  <c r="A7058" i="13"/>
  <c r="J7057" i="13"/>
  <c r="F7057" i="13"/>
  <c r="A7057" i="13"/>
  <c r="F7056" i="13"/>
  <c r="A7056" i="13"/>
  <c r="F7055" i="13"/>
  <c r="A7055" i="13"/>
  <c r="F7054" i="13"/>
  <c r="A7054" i="13"/>
  <c r="J7053" i="13"/>
  <c r="F7053" i="13"/>
  <c r="A7053" i="13"/>
  <c r="J7052" i="13"/>
  <c r="F7052" i="13"/>
  <c r="A7052" i="13"/>
  <c r="J7051" i="13"/>
  <c r="F7051" i="13"/>
  <c r="A7051" i="13"/>
  <c r="J7050" i="13"/>
  <c r="F7050" i="13"/>
  <c r="A7050" i="13"/>
  <c r="F7049" i="13"/>
  <c r="A7049" i="13"/>
  <c r="F7048" i="13"/>
  <c r="A7048" i="13"/>
  <c r="F7047" i="13"/>
  <c r="A7047" i="13"/>
  <c r="J7046" i="13"/>
  <c r="F7046" i="13"/>
  <c r="A7046" i="13"/>
  <c r="J7045" i="13"/>
  <c r="F7045" i="13"/>
  <c r="A7045" i="13"/>
  <c r="J7044" i="13"/>
  <c r="F7044" i="13"/>
  <c r="A7044" i="13"/>
  <c r="F7043" i="13"/>
  <c r="A7043" i="13"/>
  <c r="J7042" i="13"/>
  <c r="F7042" i="13"/>
  <c r="A7042" i="13"/>
  <c r="J7041" i="13"/>
  <c r="F7041" i="13"/>
  <c r="A7041" i="13"/>
  <c r="J7040" i="13"/>
  <c r="F7040" i="13"/>
  <c r="A7040" i="13"/>
  <c r="F7039" i="13"/>
  <c r="A7039" i="13"/>
  <c r="F7038" i="13"/>
  <c r="A7038" i="13"/>
  <c r="F7037" i="13"/>
  <c r="A7037" i="13"/>
  <c r="F7036" i="13"/>
  <c r="A7036" i="13"/>
  <c r="F7035" i="13"/>
  <c r="A7035" i="13"/>
  <c r="F7034" i="13"/>
  <c r="A7034" i="13"/>
  <c r="F7033" i="13"/>
  <c r="A7033" i="13"/>
  <c r="J7032" i="13"/>
  <c r="F7032" i="13"/>
  <c r="A7032" i="13"/>
  <c r="J7031" i="13"/>
  <c r="F7031" i="13"/>
  <c r="A7031" i="13"/>
  <c r="J7030" i="13"/>
  <c r="F7030" i="13"/>
  <c r="A7030" i="13"/>
  <c r="J7029" i="13"/>
  <c r="F7029" i="13"/>
  <c r="A7029" i="13"/>
  <c r="J7028" i="13"/>
  <c r="F7028" i="13"/>
  <c r="A7028" i="13"/>
  <c r="J7027" i="13"/>
  <c r="F7027" i="13"/>
  <c r="A7027" i="13"/>
  <c r="F7026" i="13"/>
  <c r="A7026" i="13"/>
  <c r="F7025" i="13"/>
  <c r="A7025" i="13"/>
  <c r="F7024" i="13"/>
  <c r="A7024" i="13"/>
  <c r="F7023" i="13"/>
  <c r="A7023" i="13"/>
  <c r="F7022" i="13"/>
  <c r="A7022" i="13"/>
  <c r="F7021" i="13"/>
  <c r="A7021" i="13"/>
  <c r="F7020" i="13"/>
  <c r="A7020" i="13"/>
  <c r="F7019" i="13"/>
  <c r="A7019" i="13"/>
  <c r="J7018" i="13"/>
  <c r="F7018" i="13"/>
  <c r="A7018" i="13"/>
  <c r="J7017" i="13"/>
  <c r="F7017" i="13"/>
  <c r="A7017" i="13"/>
  <c r="J7016" i="13"/>
  <c r="F7016" i="13"/>
  <c r="A7016" i="13"/>
  <c r="F7015" i="13"/>
  <c r="A7015" i="13"/>
  <c r="J7014" i="13"/>
  <c r="F7014" i="13"/>
  <c r="A7014" i="13"/>
  <c r="F7013" i="13"/>
  <c r="A7013" i="13"/>
  <c r="J7012" i="13"/>
  <c r="F7012" i="13"/>
  <c r="A7012" i="13"/>
  <c r="J7011" i="13"/>
  <c r="F7011" i="13"/>
  <c r="A7011" i="13"/>
  <c r="J7010" i="13"/>
  <c r="F7010" i="13"/>
  <c r="A7010" i="13"/>
  <c r="F7009" i="13"/>
  <c r="A7009" i="13"/>
  <c r="F7008" i="13"/>
  <c r="A7008" i="13"/>
  <c r="F7007" i="13"/>
  <c r="A7007" i="13"/>
  <c r="F7006" i="13"/>
  <c r="A7006" i="13"/>
  <c r="F7005" i="13"/>
  <c r="A7005" i="13"/>
  <c r="F7004" i="13"/>
  <c r="A7004" i="13"/>
  <c r="F7003" i="13"/>
  <c r="A7003" i="13"/>
  <c r="F7002" i="13"/>
  <c r="A7002" i="13"/>
  <c r="F7001" i="13"/>
  <c r="A7001" i="13"/>
  <c r="F7000" i="13"/>
  <c r="A7000" i="13"/>
  <c r="F6999" i="13"/>
  <c r="A6999" i="13"/>
  <c r="J6998" i="13"/>
  <c r="F6998" i="13"/>
  <c r="A6998" i="13"/>
  <c r="J6997" i="13"/>
  <c r="F6997" i="13"/>
  <c r="A6997" i="13"/>
  <c r="F6996" i="13"/>
  <c r="A6996" i="13"/>
  <c r="J6995" i="13"/>
  <c r="F6995" i="13"/>
  <c r="A6995" i="13"/>
  <c r="J6994" i="13"/>
  <c r="F6994" i="13"/>
  <c r="A6994" i="13"/>
  <c r="J6993" i="13"/>
  <c r="F6993" i="13"/>
  <c r="A6993" i="13"/>
  <c r="F6992" i="13"/>
  <c r="A6992" i="13"/>
  <c r="J6991" i="13"/>
  <c r="F6991" i="13"/>
  <c r="A6991" i="13"/>
  <c r="J6990" i="13"/>
  <c r="F6990" i="13"/>
  <c r="A6990" i="13"/>
  <c r="F6989" i="13"/>
  <c r="A6989" i="13"/>
  <c r="J6988" i="13"/>
  <c r="F6988" i="13"/>
  <c r="A6988" i="13"/>
  <c r="F6987" i="13"/>
  <c r="A6987" i="13"/>
  <c r="J6986" i="13"/>
  <c r="F6986" i="13"/>
  <c r="A6986" i="13"/>
  <c r="J6985" i="13"/>
  <c r="F6985" i="13"/>
  <c r="A6985" i="13"/>
  <c r="J6984" i="13"/>
  <c r="F6984" i="13"/>
  <c r="A6984" i="13"/>
  <c r="F6983" i="13"/>
  <c r="A6983" i="13"/>
  <c r="F6982" i="13"/>
  <c r="A6982" i="13"/>
  <c r="J6981" i="13"/>
  <c r="F6981" i="13"/>
  <c r="A6981" i="13"/>
  <c r="F6980" i="13"/>
  <c r="A6980" i="13"/>
  <c r="J6979" i="13"/>
  <c r="F6979" i="13"/>
  <c r="A6979" i="13"/>
  <c r="J6978" i="13"/>
  <c r="F6978" i="13"/>
  <c r="A6978" i="13"/>
  <c r="F6977" i="13"/>
  <c r="A6977" i="13"/>
  <c r="J6976" i="13"/>
  <c r="F6976" i="13"/>
  <c r="A6976" i="13"/>
  <c r="J6975" i="13"/>
  <c r="F6975" i="13"/>
  <c r="A6975" i="13"/>
  <c r="J6974" i="13"/>
  <c r="F6974" i="13"/>
  <c r="A6974" i="13"/>
  <c r="J6973" i="13"/>
  <c r="F6973" i="13"/>
  <c r="A6973" i="13"/>
  <c r="F6972" i="13"/>
  <c r="A6972" i="13"/>
  <c r="F6971" i="13"/>
  <c r="A6971" i="13"/>
  <c r="F6970" i="13"/>
  <c r="A6970" i="13"/>
  <c r="F6969" i="13"/>
  <c r="A6969" i="13"/>
  <c r="F6968" i="13"/>
  <c r="A6968" i="13"/>
  <c r="J6967" i="13"/>
  <c r="F6967" i="13"/>
  <c r="A6967" i="13"/>
  <c r="J6966" i="13"/>
  <c r="F6966" i="13"/>
  <c r="A6966" i="13"/>
  <c r="J6965" i="13"/>
  <c r="F6965" i="13"/>
  <c r="A6965" i="13"/>
  <c r="J6964" i="13"/>
  <c r="F6964" i="13"/>
  <c r="A6964" i="13"/>
  <c r="J6963" i="13"/>
  <c r="F6963" i="13"/>
  <c r="A6963" i="13"/>
  <c r="J6962" i="13"/>
  <c r="F6962" i="13"/>
  <c r="A6962" i="13"/>
  <c r="F6961" i="13"/>
  <c r="A6961" i="13"/>
  <c r="F6960" i="13"/>
  <c r="A6960" i="13"/>
  <c r="F6959" i="13"/>
  <c r="A6959" i="13"/>
  <c r="F6958" i="13"/>
  <c r="A6958" i="13"/>
  <c r="F6957" i="13"/>
  <c r="A6957" i="13"/>
  <c r="F6956" i="13"/>
  <c r="A6956" i="13"/>
  <c r="J6955" i="13"/>
  <c r="F6955" i="13"/>
  <c r="A6955" i="13"/>
  <c r="J6954" i="13"/>
  <c r="F6954" i="13"/>
  <c r="A6954" i="13"/>
  <c r="J6953" i="13"/>
  <c r="F6953" i="13"/>
  <c r="A6953" i="13"/>
  <c r="J6952" i="13"/>
  <c r="F6952" i="13"/>
  <c r="A6952" i="13"/>
  <c r="F6951" i="13"/>
  <c r="A6951" i="13"/>
  <c r="J6950" i="13"/>
  <c r="F6950" i="13"/>
  <c r="A6950" i="13"/>
  <c r="J6949" i="13"/>
  <c r="F6949" i="13"/>
  <c r="A6949" i="13"/>
  <c r="J6948" i="13"/>
  <c r="F6948" i="13"/>
  <c r="A6948" i="13"/>
  <c r="J6947" i="13"/>
  <c r="F6947" i="13"/>
  <c r="A6947" i="13"/>
  <c r="J6946" i="13"/>
  <c r="F6946" i="13"/>
  <c r="A6946" i="13"/>
  <c r="J6945" i="13"/>
  <c r="F6945" i="13"/>
  <c r="A6945" i="13"/>
  <c r="J6944" i="13"/>
  <c r="F6944" i="13"/>
  <c r="A6944" i="13"/>
  <c r="J6943" i="13"/>
  <c r="F6943" i="13"/>
  <c r="A6943" i="13"/>
  <c r="F6942" i="13"/>
  <c r="A6942" i="13"/>
  <c r="J6941" i="13"/>
  <c r="F6941" i="13"/>
  <c r="A6941" i="13"/>
  <c r="J6940" i="13"/>
  <c r="F6940" i="13"/>
  <c r="A6940" i="13"/>
  <c r="J6939" i="13"/>
  <c r="F6939" i="13"/>
  <c r="A6939" i="13"/>
  <c r="F6938" i="13"/>
  <c r="A6938" i="13"/>
  <c r="F6937" i="13"/>
  <c r="A6937" i="13"/>
  <c r="F6936" i="13"/>
  <c r="A6936" i="13"/>
  <c r="F6935" i="13"/>
  <c r="A6935" i="13"/>
  <c r="F6934" i="13"/>
  <c r="A6934" i="13"/>
  <c r="F6933" i="13"/>
  <c r="A6933" i="13"/>
  <c r="F6932" i="13"/>
  <c r="A6932" i="13"/>
  <c r="F6931" i="13"/>
  <c r="A6931" i="13"/>
  <c r="F6930" i="13"/>
  <c r="A6930" i="13"/>
  <c r="J6929" i="13"/>
  <c r="F6929" i="13"/>
  <c r="A6929" i="13"/>
  <c r="F6928" i="13"/>
  <c r="A6928" i="13"/>
  <c r="J6927" i="13"/>
  <c r="F6927" i="13"/>
  <c r="A6927" i="13"/>
  <c r="J6926" i="13"/>
  <c r="F6926" i="13"/>
  <c r="A6926" i="13"/>
  <c r="F6925" i="13"/>
  <c r="A6925" i="13"/>
  <c r="J6924" i="13"/>
  <c r="F6924" i="13"/>
  <c r="A6924" i="13"/>
  <c r="J6923" i="13"/>
  <c r="F6923" i="13"/>
  <c r="A6923" i="13"/>
  <c r="J6922" i="13"/>
  <c r="F6922" i="13"/>
  <c r="A6922" i="13"/>
  <c r="F6921" i="13"/>
  <c r="A6921" i="13"/>
  <c r="F6920" i="13"/>
  <c r="A6920" i="13"/>
  <c r="J6919" i="13"/>
  <c r="F6919" i="13"/>
  <c r="A6919" i="13"/>
  <c r="J6918" i="13"/>
  <c r="F6918" i="13"/>
  <c r="A6918" i="13"/>
  <c r="J6917" i="13"/>
  <c r="F6917" i="13"/>
  <c r="A6917" i="13"/>
  <c r="J6916" i="13"/>
  <c r="F6916" i="13"/>
  <c r="A6916" i="13"/>
  <c r="J6915" i="13"/>
  <c r="F6915" i="13"/>
  <c r="A6915" i="13"/>
  <c r="F6914" i="13"/>
  <c r="A6914" i="13"/>
  <c r="F6913" i="13"/>
  <c r="A6913" i="13"/>
  <c r="F6912" i="13"/>
  <c r="A6912" i="13"/>
  <c r="J6911" i="13"/>
  <c r="F6911" i="13"/>
  <c r="A6911" i="13"/>
  <c r="F6910" i="13"/>
  <c r="A6910" i="13"/>
  <c r="F6909" i="13"/>
  <c r="A6909" i="13"/>
  <c r="J6908" i="13"/>
  <c r="F6908" i="13"/>
  <c r="A6908" i="13"/>
  <c r="J6907" i="13"/>
  <c r="F6907" i="13"/>
  <c r="A6907" i="13"/>
  <c r="J6906" i="13"/>
  <c r="F6906" i="13"/>
  <c r="A6906" i="13"/>
  <c r="J6905" i="13"/>
  <c r="F6905" i="13"/>
  <c r="A6905" i="13"/>
  <c r="F6904" i="13"/>
  <c r="A6904" i="13"/>
  <c r="J6903" i="13"/>
  <c r="F6903" i="13"/>
  <c r="A6903" i="13"/>
  <c r="J6902" i="13"/>
  <c r="F6902" i="13"/>
  <c r="A6902" i="13"/>
  <c r="J6901" i="13"/>
  <c r="F6901" i="13"/>
  <c r="A6901" i="13"/>
  <c r="F6900" i="13"/>
  <c r="A6900" i="13"/>
  <c r="F6899" i="13"/>
  <c r="A6899" i="13"/>
  <c r="F6898" i="13"/>
  <c r="A6898" i="13"/>
  <c r="F6897" i="13"/>
  <c r="A6897" i="13"/>
  <c r="J6896" i="13"/>
  <c r="F6896" i="13"/>
  <c r="A6896" i="13"/>
  <c r="J6895" i="13"/>
  <c r="F6895" i="13"/>
  <c r="A6895" i="13"/>
  <c r="J6894" i="13"/>
  <c r="F6894" i="13"/>
  <c r="A6894" i="13"/>
  <c r="F6893" i="13"/>
  <c r="A6893" i="13"/>
  <c r="F6892" i="13"/>
  <c r="A6892" i="13"/>
  <c r="F6891" i="13"/>
  <c r="A6891" i="13"/>
  <c r="J6890" i="13"/>
  <c r="F6890" i="13"/>
  <c r="A6890" i="13"/>
  <c r="J6889" i="13"/>
  <c r="F6889" i="13"/>
  <c r="A6889" i="13"/>
  <c r="J6888" i="13"/>
  <c r="F6888" i="13"/>
  <c r="A6888" i="13"/>
  <c r="J6887" i="13"/>
  <c r="F6887" i="13"/>
  <c r="A6887" i="13"/>
  <c r="F6886" i="13"/>
  <c r="A6886" i="13"/>
  <c r="F6885" i="13"/>
  <c r="A6885" i="13"/>
  <c r="J6884" i="13"/>
  <c r="F6884" i="13"/>
  <c r="A6884" i="13"/>
  <c r="J6883" i="13"/>
  <c r="F6883" i="13"/>
  <c r="A6883" i="13"/>
  <c r="F6882" i="13"/>
  <c r="A6882" i="13"/>
  <c r="J6881" i="13"/>
  <c r="F6881" i="13"/>
  <c r="A6881" i="13"/>
  <c r="J6880" i="13"/>
  <c r="F6880" i="13"/>
  <c r="A6880" i="13"/>
  <c r="J6879" i="13"/>
  <c r="F6879" i="13"/>
  <c r="A6879" i="13"/>
  <c r="J6878" i="13"/>
  <c r="F6878" i="13"/>
  <c r="A6878" i="13"/>
  <c r="F6877" i="13"/>
  <c r="A6877" i="13"/>
  <c r="J6876" i="13"/>
  <c r="F6876" i="13"/>
  <c r="A6876" i="13"/>
  <c r="F6875" i="13"/>
  <c r="A6875" i="13"/>
  <c r="F6874" i="13"/>
  <c r="A6874" i="13"/>
  <c r="J6873" i="13"/>
  <c r="F6873" i="13"/>
  <c r="A6873" i="13"/>
  <c r="J6872" i="13"/>
  <c r="F6872" i="13"/>
  <c r="A6872" i="13"/>
  <c r="J6871" i="13"/>
  <c r="F6871" i="13"/>
  <c r="A6871" i="13"/>
  <c r="J6870" i="13"/>
  <c r="F6870" i="13"/>
  <c r="A6870" i="13"/>
  <c r="F6869" i="13"/>
  <c r="A6869" i="13"/>
  <c r="F6868" i="13"/>
  <c r="A6868" i="13"/>
  <c r="F6867" i="13"/>
  <c r="A6867" i="13"/>
  <c r="F6866" i="13"/>
  <c r="A6866" i="13"/>
  <c r="F6865" i="13"/>
  <c r="A6865" i="13"/>
  <c r="F6864" i="13"/>
  <c r="A6864" i="13"/>
  <c r="F6863" i="13"/>
  <c r="A6863" i="13"/>
  <c r="F6862" i="13"/>
  <c r="A6862" i="13"/>
  <c r="F6861" i="13"/>
  <c r="A6861" i="13"/>
  <c r="J6860" i="13"/>
  <c r="F6860" i="13"/>
  <c r="A6860" i="13"/>
  <c r="J6859" i="13"/>
  <c r="F6859" i="13"/>
  <c r="A6859" i="13"/>
  <c r="F6858" i="13"/>
  <c r="A6858" i="13"/>
  <c r="F6857" i="13"/>
  <c r="A6857" i="13"/>
  <c r="J6856" i="13"/>
  <c r="F6856" i="13"/>
  <c r="A6856" i="13"/>
  <c r="J6855" i="13"/>
  <c r="F6855" i="13"/>
  <c r="A6855" i="13"/>
  <c r="F6854" i="13"/>
  <c r="A6854" i="13"/>
  <c r="F6853" i="13"/>
  <c r="A6853" i="13"/>
  <c r="F6852" i="13"/>
  <c r="A6852" i="13"/>
  <c r="J6851" i="13"/>
  <c r="F6851" i="13"/>
  <c r="A6851" i="13"/>
  <c r="J6850" i="13"/>
  <c r="F6850" i="13"/>
  <c r="A6850" i="13"/>
  <c r="F6849" i="13"/>
  <c r="A6849" i="13"/>
  <c r="J6848" i="13"/>
  <c r="F6848" i="13"/>
  <c r="A6848" i="13"/>
  <c r="J6847" i="13"/>
  <c r="F6847" i="13"/>
  <c r="A6847" i="13"/>
  <c r="F6846" i="13"/>
  <c r="A6846" i="13"/>
  <c r="F6845" i="13"/>
  <c r="A6845" i="13"/>
  <c r="J6844" i="13"/>
  <c r="F6844" i="13"/>
  <c r="A6844" i="13"/>
  <c r="F6843" i="13"/>
  <c r="A6843" i="13"/>
  <c r="F6842" i="13"/>
  <c r="A6842" i="13"/>
  <c r="F6841" i="13"/>
  <c r="A6841" i="13"/>
  <c r="J6840" i="13"/>
  <c r="F6840" i="13"/>
  <c r="A6840" i="13"/>
  <c r="F6839" i="13"/>
  <c r="A6839" i="13"/>
  <c r="F6838" i="13"/>
  <c r="A6838" i="13"/>
  <c r="J6837" i="13"/>
  <c r="F6837" i="13"/>
  <c r="A6837" i="13"/>
  <c r="J6836" i="13"/>
  <c r="F6836" i="13"/>
  <c r="A6836" i="13"/>
  <c r="F6835" i="13"/>
  <c r="A6835" i="13"/>
  <c r="J6834" i="13"/>
  <c r="F6834" i="13"/>
  <c r="A6834" i="13"/>
  <c r="J6833" i="13"/>
  <c r="F6833" i="13"/>
  <c r="A6833" i="13"/>
  <c r="J6832" i="13"/>
  <c r="F6832" i="13"/>
  <c r="A6832" i="13"/>
  <c r="F6831" i="13"/>
  <c r="A6831" i="13"/>
  <c r="F6830" i="13"/>
  <c r="A6830" i="13"/>
  <c r="J6829" i="13"/>
  <c r="F6829" i="13"/>
  <c r="A6829" i="13"/>
  <c r="F6828" i="13"/>
  <c r="A6828" i="13"/>
  <c r="F6827" i="13"/>
  <c r="A6827" i="13"/>
  <c r="J6826" i="13"/>
  <c r="F6826" i="13"/>
  <c r="A6826" i="13"/>
  <c r="J6825" i="13"/>
  <c r="F6825" i="13"/>
  <c r="A6825" i="13"/>
  <c r="F6824" i="13"/>
  <c r="A6824" i="13"/>
  <c r="F6823" i="13"/>
  <c r="A6823" i="13"/>
  <c r="F6822" i="13"/>
  <c r="A6822" i="13"/>
  <c r="F6821" i="13"/>
  <c r="A6821" i="13"/>
  <c r="F6820" i="13"/>
  <c r="A6820" i="13"/>
  <c r="F6819" i="13"/>
  <c r="A6819" i="13"/>
  <c r="F6818" i="13"/>
  <c r="A6818" i="13"/>
  <c r="F6817" i="13"/>
  <c r="A6817" i="13"/>
  <c r="F6816" i="13"/>
  <c r="A6816" i="13"/>
  <c r="F6815" i="13"/>
  <c r="A6815" i="13"/>
  <c r="F6814" i="13"/>
  <c r="A6814" i="13"/>
  <c r="F6813" i="13"/>
  <c r="A6813" i="13"/>
  <c r="F6812" i="13"/>
  <c r="A6812" i="13"/>
  <c r="F6811" i="13"/>
  <c r="A6811" i="13"/>
  <c r="F6810" i="13"/>
  <c r="A6810" i="13"/>
  <c r="F6809" i="13"/>
  <c r="A6809" i="13"/>
  <c r="F6808" i="13"/>
  <c r="A6808" i="13"/>
  <c r="F6807" i="13"/>
  <c r="A6807" i="13"/>
  <c r="F6806" i="13"/>
  <c r="A6806" i="13"/>
  <c r="F6805" i="13"/>
  <c r="A6805" i="13"/>
  <c r="F6804" i="13"/>
  <c r="A6804" i="13"/>
  <c r="F6803" i="13"/>
  <c r="A6803" i="13"/>
  <c r="F6802" i="13"/>
  <c r="A6802" i="13"/>
  <c r="F6801" i="13"/>
  <c r="A6801" i="13"/>
  <c r="F6800" i="13"/>
  <c r="A6800" i="13"/>
  <c r="F6799" i="13"/>
  <c r="A6799" i="13"/>
  <c r="F6798" i="13"/>
  <c r="A6798" i="13"/>
  <c r="F6797" i="13"/>
  <c r="A6797" i="13"/>
  <c r="J6796" i="13"/>
  <c r="F6796" i="13"/>
  <c r="A6796" i="13"/>
  <c r="J6795" i="13"/>
  <c r="F6795" i="13"/>
  <c r="A6795" i="13"/>
  <c r="J6794" i="13"/>
  <c r="F6794" i="13"/>
  <c r="A6794" i="13"/>
  <c r="J6793" i="13"/>
  <c r="F6793" i="13"/>
  <c r="A6793" i="13"/>
  <c r="J6792" i="13"/>
  <c r="F6792" i="13"/>
  <c r="A6792" i="13"/>
  <c r="J6791" i="13"/>
  <c r="F6791" i="13"/>
  <c r="A6791" i="13"/>
  <c r="J6790" i="13"/>
  <c r="F6790" i="13"/>
  <c r="A6790" i="13"/>
  <c r="F6789" i="13"/>
  <c r="A6789" i="13"/>
  <c r="F6788" i="13"/>
  <c r="A6788" i="13"/>
  <c r="J6787" i="13"/>
  <c r="F6787" i="13"/>
  <c r="A6787" i="13"/>
  <c r="J6786" i="13"/>
  <c r="F6786" i="13"/>
  <c r="A6786" i="13"/>
  <c r="J6785" i="13"/>
  <c r="F6785" i="13"/>
  <c r="A6785" i="13"/>
  <c r="J6784" i="13"/>
  <c r="F6784" i="13"/>
  <c r="A6784" i="13"/>
  <c r="J6783" i="13"/>
  <c r="F6783" i="13"/>
  <c r="A6783" i="13"/>
  <c r="F6782" i="13"/>
  <c r="A6782" i="13"/>
  <c r="J6781" i="13"/>
  <c r="F6781" i="13"/>
  <c r="A6781" i="13"/>
  <c r="J6780" i="13"/>
  <c r="F6780" i="13"/>
  <c r="A6780" i="13"/>
  <c r="J6779" i="13"/>
  <c r="F6779" i="13"/>
  <c r="A6779" i="13"/>
  <c r="J6778" i="13"/>
  <c r="F6778" i="13"/>
  <c r="A6778" i="13"/>
  <c r="J6777" i="13"/>
  <c r="F6777" i="13"/>
  <c r="A6777" i="13"/>
  <c r="J6776" i="13"/>
  <c r="F6776" i="13"/>
  <c r="A6776" i="13"/>
  <c r="J6775" i="13"/>
  <c r="F6775" i="13"/>
  <c r="A6775" i="13"/>
  <c r="F6774" i="13"/>
  <c r="A6774" i="13"/>
  <c r="F6773" i="13"/>
  <c r="A6773" i="13"/>
  <c r="F6772" i="13"/>
  <c r="A6772" i="13"/>
  <c r="F6771" i="13"/>
  <c r="A6771" i="13"/>
  <c r="F6770" i="13"/>
  <c r="A6770" i="13"/>
  <c r="F6769" i="13"/>
  <c r="A6769" i="13"/>
  <c r="F6768" i="13"/>
  <c r="A6768" i="13"/>
  <c r="F6767" i="13"/>
  <c r="A6767" i="13"/>
  <c r="F6766" i="13"/>
  <c r="A6766" i="13"/>
  <c r="F6765" i="13"/>
  <c r="A6765" i="13"/>
  <c r="F6764" i="13"/>
  <c r="A6764" i="13"/>
  <c r="F6763" i="13"/>
  <c r="A6763" i="13"/>
  <c r="F6762" i="13"/>
  <c r="A6762" i="13"/>
  <c r="F6761" i="13"/>
  <c r="A6761" i="13"/>
  <c r="F6760" i="13"/>
  <c r="A6760" i="13"/>
  <c r="J6759" i="13"/>
  <c r="F6759" i="13"/>
  <c r="A6759" i="13"/>
  <c r="J6758" i="13"/>
  <c r="F6758" i="13"/>
  <c r="A6758" i="13"/>
  <c r="F6757" i="13"/>
  <c r="A6757" i="13"/>
  <c r="F6756" i="13"/>
  <c r="A6756" i="13"/>
  <c r="F6755" i="13"/>
  <c r="A6755" i="13"/>
  <c r="F6754" i="13"/>
  <c r="A6754" i="13"/>
  <c r="F6753" i="13"/>
  <c r="A6753" i="13"/>
  <c r="J6752" i="13"/>
  <c r="F6752" i="13"/>
  <c r="A6752" i="13"/>
  <c r="J6751" i="13"/>
  <c r="F6751" i="13"/>
  <c r="A6751" i="13"/>
  <c r="J6750" i="13"/>
  <c r="F6750" i="13"/>
  <c r="A6750" i="13"/>
  <c r="J6749" i="13"/>
  <c r="F6749" i="13"/>
  <c r="A6749" i="13"/>
  <c r="F6748" i="13"/>
  <c r="A6748" i="13"/>
  <c r="F6747" i="13"/>
  <c r="A6747" i="13"/>
  <c r="F6746" i="13"/>
  <c r="A6746" i="13"/>
  <c r="F6745" i="13"/>
  <c r="A6745" i="13"/>
  <c r="F6744" i="13"/>
  <c r="A6744" i="13"/>
  <c r="J6743" i="13"/>
  <c r="F6743" i="13"/>
  <c r="A6743" i="13"/>
  <c r="F6742" i="13"/>
  <c r="A6742" i="13"/>
  <c r="F6741" i="13"/>
  <c r="A6741" i="13"/>
  <c r="J6740" i="13"/>
  <c r="F6740" i="13"/>
  <c r="A6740" i="13"/>
  <c r="J6739" i="13"/>
  <c r="F6739" i="13"/>
  <c r="A6739" i="13"/>
  <c r="J6738" i="13"/>
  <c r="F6738" i="13"/>
  <c r="A6738" i="13"/>
  <c r="F6737" i="13"/>
  <c r="A6737" i="13"/>
  <c r="J6736" i="13"/>
  <c r="F6736" i="13"/>
  <c r="A6736" i="13"/>
  <c r="F6735" i="13"/>
  <c r="A6735" i="13"/>
  <c r="F6734" i="13"/>
  <c r="A6734" i="13"/>
  <c r="F6733" i="13"/>
  <c r="A6733" i="13"/>
  <c r="J6732" i="13"/>
  <c r="F6732" i="13"/>
  <c r="A6732" i="13"/>
  <c r="J6731" i="13"/>
  <c r="F6731" i="13"/>
  <c r="A6731" i="13"/>
  <c r="F6730" i="13"/>
  <c r="A6730" i="13"/>
  <c r="F6729" i="13"/>
  <c r="A6729" i="13"/>
  <c r="F6728" i="13"/>
  <c r="A6728" i="13"/>
  <c r="F6727" i="13"/>
  <c r="A6727" i="13"/>
  <c r="F6726" i="13"/>
  <c r="A6726" i="13"/>
  <c r="F6725" i="13"/>
  <c r="A6725" i="13"/>
  <c r="F6724" i="13"/>
  <c r="A6724" i="13"/>
  <c r="F6723" i="13"/>
  <c r="A6723" i="13"/>
  <c r="F6722" i="13"/>
  <c r="A6722" i="13"/>
  <c r="F6721" i="13"/>
  <c r="A6721" i="13"/>
  <c r="F6720" i="13"/>
  <c r="A6720" i="13"/>
  <c r="J6719" i="13"/>
  <c r="F6719" i="13"/>
  <c r="A6719" i="13"/>
  <c r="J6718" i="13"/>
  <c r="F6718" i="13"/>
  <c r="A6718" i="13"/>
  <c r="J6717" i="13"/>
  <c r="F6717" i="13"/>
  <c r="A6717" i="13"/>
  <c r="J6716" i="13"/>
  <c r="F6716" i="13"/>
  <c r="A6716" i="13"/>
  <c r="F6715" i="13"/>
  <c r="A6715" i="13"/>
  <c r="F6714" i="13"/>
  <c r="A6714" i="13"/>
  <c r="F6713" i="13"/>
  <c r="A6713" i="13"/>
  <c r="F6712" i="13"/>
  <c r="A6712" i="13"/>
  <c r="J6711" i="13"/>
  <c r="F6711" i="13"/>
  <c r="A6711" i="13"/>
  <c r="J6710" i="13"/>
  <c r="F6710" i="13"/>
  <c r="A6710" i="13"/>
  <c r="J6709" i="13"/>
  <c r="F6709" i="13"/>
  <c r="A6709" i="13"/>
  <c r="J6708" i="13"/>
  <c r="F6708" i="13"/>
  <c r="A6708" i="13"/>
  <c r="J6707" i="13"/>
  <c r="F6707" i="13"/>
  <c r="A6707" i="13"/>
  <c r="J6706" i="13"/>
  <c r="F6706" i="13"/>
  <c r="A6706" i="13"/>
  <c r="J6705" i="13"/>
  <c r="F6705" i="13"/>
  <c r="A6705" i="13"/>
  <c r="J6704" i="13"/>
  <c r="F6704" i="13"/>
  <c r="A6704" i="13"/>
  <c r="J6703" i="13"/>
  <c r="F6703" i="13"/>
  <c r="A6703" i="13"/>
  <c r="J6702" i="13"/>
  <c r="F6702" i="13"/>
  <c r="A6702" i="13"/>
  <c r="J6701" i="13"/>
  <c r="F6701" i="13"/>
  <c r="A6701" i="13"/>
  <c r="J6700" i="13"/>
  <c r="F6700" i="13"/>
  <c r="A6700" i="13"/>
  <c r="J6699" i="13"/>
  <c r="F6699" i="13"/>
  <c r="A6699" i="13"/>
  <c r="J6698" i="13"/>
  <c r="F6698" i="13"/>
  <c r="A6698" i="13"/>
  <c r="J6697" i="13"/>
  <c r="F6697" i="13"/>
  <c r="A6697" i="13"/>
  <c r="J6696" i="13"/>
  <c r="F6696" i="13"/>
  <c r="A6696" i="13"/>
  <c r="J6695" i="13"/>
  <c r="F6695" i="13"/>
  <c r="A6695" i="13"/>
  <c r="J6694" i="13"/>
  <c r="F6694" i="13"/>
  <c r="A6694" i="13"/>
  <c r="J6693" i="13"/>
  <c r="F6693" i="13"/>
  <c r="A6693" i="13"/>
  <c r="F6692" i="13"/>
  <c r="A6692" i="13"/>
  <c r="J6691" i="13"/>
  <c r="F6691" i="13"/>
  <c r="A6691" i="13"/>
  <c r="J6690" i="13"/>
  <c r="F6690" i="13"/>
  <c r="A6690" i="13"/>
  <c r="F6689" i="13"/>
  <c r="A6689" i="13"/>
  <c r="J6688" i="13"/>
  <c r="F6688" i="13"/>
  <c r="A6688" i="13"/>
  <c r="J6687" i="13"/>
  <c r="F6687" i="13"/>
  <c r="A6687" i="13"/>
  <c r="J6686" i="13"/>
  <c r="F6686" i="13"/>
  <c r="A6686" i="13"/>
  <c r="J6685" i="13"/>
  <c r="F6685" i="13"/>
  <c r="A6685" i="13"/>
  <c r="F6684" i="13"/>
  <c r="A6684" i="13"/>
  <c r="J6683" i="13"/>
  <c r="F6683" i="13"/>
  <c r="A6683" i="13"/>
  <c r="F6682" i="13"/>
  <c r="A6682" i="13"/>
  <c r="F6681" i="13"/>
  <c r="A6681" i="13"/>
  <c r="F6680" i="13"/>
  <c r="A6680" i="13"/>
  <c r="J6679" i="13"/>
  <c r="F6679" i="13"/>
  <c r="A6679" i="13"/>
  <c r="J6678" i="13"/>
  <c r="F6678" i="13"/>
  <c r="A6678" i="13"/>
  <c r="F6677" i="13"/>
  <c r="A6677" i="13"/>
  <c r="J6676" i="13"/>
  <c r="F6676" i="13"/>
  <c r="A6676" i="13"/>
  <c r="J6675" i="13"/>
  <c r="F6675" i="13"/>
  <c r="A6675" i="13"/>
  <c r="J6674" i="13"/>
  <c r="F6674" i="13"/>
  <c r="A6674" i="13"/>
  <c r="J6673" i="13"/>
  <c r="F6673" i="13"/>
  <c r="A6673" i="13"/>
  <c r="F6672" i="13"/>
  <c r="A6672" i="13"/>
  <c r="J6671" i="13"/>
  <c r="F6671" i="13"/>
  <c r="A6671" i="13"/>
  <c r="F6670" i="13"/>
  <c r="A6670" i="13"/>
  <c r="F6669" i="13"/>
  <c r="A6669" i="13"/>
  <c r="F6668" i="13"/>
  <c r="A6668" i="13"/>
  <c r="F6667" i="13"/>
  <c r="A6667" i="13"/>
  <c r="J6666" i="13"/>
  <c r="F6666" i="13"/>
  <c r="A6666" i="13"/>
  <c r="J6665" i="13"/>
  <c r="F6665" i="13"/>
  <c r="A6665" i="13"/>
  <c r="J6664" i="13"/>
  <c r="F6664" i="13"/>
  <c r="A6664" i="13"/>
  <c r="J6663" i="13"/>
  <c r="F6663" i="13"/>
  <c r="A6663" i="13"/>
  <c r="F6662" i="13"/>
  <c r="A6662" i="13"/>
  <c r="J6661" i="13"/>
  <c r="F6661" i="13"/>
  <c r="A6661" i="13"/>
  <c r="J6660" i="13"/>
  <c r="F6660" i="13"/>
  <c r="A6660" i="13"/>
  <c r="F6659" i="13"/>
  <c r="A6659" i="13"/>
  <c r="J6658" i="13"/>
  <c r="F6658" i="13"/>
  <c r="A6658" i="13"/>
  <c r="J6657" i="13"/>
  <c r="F6657" i="13"/>
  <c r="A6657" i="13"/>
  <c r="J6656" i="13"/>
  <c r="F6656" i="13"/>
  <c r="A6656" i="13"/>
  <c r="F6655" i="13"/>
  <c r="A6655" i="13"/>
  <c r="F6654" i="13"/>
  <c r="A6654" i="13"/>
  <c r="F6653" i="13"/>
  <c r="A6653" i="13"/>
  <c r="F6652" i="13"/>
  <c r="A6652" i="13"/>
  <c r="J6651" i="13"/>
  <c r="F6651" i="13"/>
  <c r="A6651" i="13"/>
  <c r="F6650" i="13"/>
  <c r="A6650" i="13"/>
  <c r="F6649" i="13"/>
  <c r="A6649" i="13"/>
  <c r="F6648" i="13"/>
  <c r="A6648" i="13"/>
  <c r="J6647" i="13"/>
  <c r="F6647" i="13"/>
  <c r="A6647" i="13"/>
  <c r="J6646" i="13"/>
  <c r="F6646" i="13"/>
  <c r="A6646" i="13"/>
  <c r="J6645" i="13"/>
  <c r="F6645" i="13"/>
  <c r="A6645" i="13"/>
  <c r="F6644" i="13"/>
  <c r="A6644" i="13"/>
  <c r="F6643" i="13"/>
  <c r="A6643" i="13"/>
  <c r="F6642" i="13"/>
  <c r="A6642" i="13"/>
  <c r="J6641" i="13"/>
  <c r="F6641" i="13"/>
  <c r="A6641" i="13"/>
  <c r="J6640" i="13"/>
  <c r="F6640" i="13"/>
  <c r="A6640" i="13"/>
  <c r="J6639" i="13"/>
  <c r="F6639" i="13"/>
  <c r="A6639" i="13"/>
  <c r="J6638" i="13"/>
  <c r="F6638" i="13"/>
  <c r="A6638" i="13"/>
  <c r="F6637" i="13"/>
  <c r="A6637" i="13"/>
  <c r="J6636" i="13"/>
  <c r="F6636" i="13"/>
  <c r="A6636" i="13"/>
  <c r="J6635" i="13"/>
  <c r="F6635" i="13"/>
  <c r="A6635" i="13"/>
  <c r="F6634" i="13"/>
  <c r="A6634" i="13"/>
  <c r="F6633" i="13"/>
  <c r="A6633" i="13"/>
  <c r="F6632" i="13"/>
  <c r="A6632" i="13"/>
  <c r="F6631" i="13"/>
  <c r="A6631" i="13"/>
  <c r="J6630" i="13"/>
  <c r="F6630" i="13"/>
  <c r="A6630" i="13"/>
  <c r="F6629" i="13"/>
  <c r="A6629" i="13"/>
  <c r="F6628" i="13"/>
  <c r="A6628" i="13"/>
  <c r="F6627" i="13"/>
  <c r="A6627" i="13"/>
  <c r="J6626" i="13"/>
  <c r="F6626" i="13"/>
  <c r="A6626" i="13"/>
  <c r="J6625" i="13"/>
  <c r="F6625" i="13"/>
  <c r="A6625" i="13"/>
  <c r="F6624" i="13"/>
  <c r="A6624" i="13"/>
  <c r="F6623" i="13"/>
  <c r="A6623" i="13"/>
  <c r="F6622" i="13"/>
  <c r="A6622" i="13"/>
  <c r="F6621" i="13"/>
  <c r="A6621" i="13"/>
  <c r="J6620" i="13"/>
  <c r="F6620" i="13"/>
  <c r="A6620" i="13"/>
  <c r="F6619" i="13"/>
  <c r="A6619" i="13"/>
  <c r="F6618" i="13"/>
  <c r="A6618" i="13"/>
  <c r="F6617" i="13"/>
  <c r="A6617" i="13"/>
  <c r="F6616" i="13"/>
  <c r="A6616" i="13"/>
  <c r="F6615" i="13"/>
  <c r="A6615" i="13"/>
  <c r="J6614" i="13"/>
  <c r="F6614" i="13"/>
  <c r="A6614" i="13"/>
  <c r="F6613" i="13"/>
  <c r="A6613" i="13"/>
  <c r="F6612" i="13"/>
  <c r="A6612" i="13"/>
  <c r="J6611" i="13"/>
  <c r="F6611" i="13"/>
  <c r="A6611" i="13"/>
  <c r="J6610" i="13"/>
  <c r="F6610" i="13"/>
  <c r="A6610" i="13"/>
  <c r="F6609" i="13"/>
  <c r="A6609" i="13"/>
  <c r="J6608" i="13"/>
  <c r="F6608" i="13"/>
  <c r="A6608" i="13"/>
  <c r="J6607" i="13"/>
  <c r="F6607" i="13"/>
  <c r="A6607" i="13"/>
  <c r="J6606" i="13"/>
  <c r="F6606" i="13"/>
  <c r="A6606" i="13"/>
  <c r="J6605" i="13"/>
  <c r="F6605" i="13"/>
  <c r="A6605" i="13"/>
  <c r="J6604" i="13"/>
  <c r="F6604" i="13"/>
  <c r="A6604" i="13"/>
  <c r="J6603" i="13"/>
  <c r="F6603" i="13"/>
  <c r="A6603" i="13"/>
  <c r="J6602" i="13"/>
  <c r="F6602" i="13"/>
  <c r="A6602" i="13"/>
  <c r="J6601" i="13"/>
  <c r="F6601" i="13"/>
  <c r="A6601" i="13"/>
  <c r="F6600" i="13"/>
  <c r="A6600" i="13"/>
  <c r="F6599" i="13"/>
  <c r="A6599" i="13"/>
  <c r="J6598" i="13"/>
  <c r="F6598" i="13"/>
  <c r="A6598" i="13"/>
  <c r="J6597" i="13"/>
  <c r="F6597" i="13"/>
  <c r="A6597" i="13"/>
  <c r="J6596" i="13"/>
  <c r="F6596" i="13"/>
  <c r="A6596" i="13"/>
  <c r="J6595" i="13"/>
  <c r="F6595" i="13"/>
  <c r="A6595" i="13"/>
  <c r="F6594" i="13"/>
  <c r="A6594" i="13"/>
  <c r="J6593" i="13"/>
  <c r="F6593" i="13"/>
  <c r="A6593" i="13"/>
  <c r="F6592" i="13"/>
  <c r="A6592" i="13"/>
  <c r="F6591" i="13"/>
  <c r="A6591" i="13"/>
  <c r="F6590" i="13"/>
  <c r="A6590" i="13"/>
  <c r="J6589" i="13"/>
  <c r="F6589" i="13"/>
  <c r="A6589" i="13"/>
  <c r="J6588" i="13"/>
  <c r="F6588" i="13"/>
  <c r="A6588" i="13"/>
  <c r="F6587" i="13"/>
  <c r="A6587" i="13"/>
  <c r="J6586" i="13"/>
  <c r="F6586" i="13"/>
  <c r="A6586" i="13"/>
  <c r="J6585" i="13"/>
  <c r="F6585" i="13"/>
  <c r="A6585" i="13"/>
  <c r="F6584" i="13"/>
  <c r="A6584" i="13"/>
  <c r="J6583" i="13"/>
  <c r="F6583" i="13"/>
  <c r="A6583" i="13"/>
  <c r="J6582" i="13"/>
  <c r="F6582" i="13"/>
  <c r="A6582" i="13"/>
  <c r="J6581" i="13"/>
  <c r="F6581" i="13"/>
  <c r="A6581" i="13"/>
  <c r="J6580" i="13"/>
  <c r="F6580" i="13"/>
  <c r="A6580" i="13"/>
  <c r="J6579" i="13"/>
  <c r="F6579" i="13"/>
  <c r="A6579" i="13"/>
  <c r="J6578" i="13"/>
  <c r="F6578" i="13"/>
  <c r="A6578" i="13"/>
  <c r="J6577" i="13"/>
  <c r="F6577" i="13"/>
  <c r="A6577" i="13"/>
  <c r="J6576" i="13"/>
  <c r="F6576" i="13"/>
  <c r="A6576" i="13"/>
  <c r="J6575" i="13"/>
  <c r="F6575" i="13"/>
  <c r="A6575" i="13"/>
  <c r="J6574" i="13"/>
  <c r="F6574" i="13"/>
  <c r="A6574" i="13"/>
  <c r="J6573" i="13"/>
  <c r="F6573" i="13"/>
  <c r="A6573" i="13"/>
  <c r="J6572" i="13"/>
  <c r="F6572" i="13"/>
  <c r="A6572" i="13"/>
  <c r="J6571" i="13"/>
  <c r="F6571" i="13"/>
  <c r="A6571" i="13"/>
  <c r="J6570" i="13"/>
  <c r="F6570" i="13"/>
  <c r="A6570" i="13"/>
  <c r="J6569" i="13"/>
  <c r="F6569" i="13"/>
  <c r="A6569" i="13"/>
  <c r="J6568" i="13"/>
  <c r="F6568" i="13"/>
  <c r="A6568" i="13"/>
  <c r="J6567" i="13"/>
  <c r="F6567" i="13"/>
  <c r="A6567" i="13"/>
  <c r="J6566" i="13"/>
  <c r="F6566" i="13"/>
  <c r="A6566" i="13"/>
  <c r="J6565" i="13"/>
  <c r="F6565" i="13"/>
  <c r="A6565" i="13"/>
  <c r="F6564" i="13"/>
  <c r="A6564" i="13"/>
  <c r="J6563" i="13"/>
  <c r="F6563" i="13"/>
  <c r="A6563" i="13"/>
  <c r="J6562" i="13"/>
  <c r="F6562" i="13"/>
  <c r="A6562" i="13"/>
  <c r="J6561" i="13"/>
  <c r="F6561" i="13"/>
  <c r="A6561" i="13"/>
  <c r="F6560" i="13"/>
  <c r="A6560" i="13"/>
  <c r="J6559" i="13"/>
  <c r="F6559" i="13"/>
  <c r="A6559" i="13"/>
  <c r="J6558" i="13"/>
  <c r="F6558" i="13"/>
  <c r="A6558" i="13"/>
  <c r="J6557" i="13"/>
  <c r="F6557" i="13"/>
  <c r="A6557" i="13"/>
  <c r="J6556" i="13"/>
  <c r="F6556" i="13"/>
  <c r="A6556" i="13"/>
  <c r="J6555" i="13"/>
  <c r="F6555" i="13"/>
  <c r="A6555" i="13"/>
  <c r="J6554" i="13"/>
  <c r="F6554" i="13"/>
  <c r="A6554" i="13"/>
  <c r="F6553" i="13"/>
  <c r="A6553" i="13"/>
  <c r="F6552" i="13"/>
  <c r="A6552" i="13"/>
  <c r="F6551" i="13"/>
  <c r="A6551" i="13"/>
  <c r="F6550" i="13"/>
  <c r="A6550" i="13"/>
  <c r="F6549" i="13"/>
  <c r="A6549" i="13"/>
  <c r="J6548" i="13"/>
  <c r="F6548" i="13"/>
  <c r="A6548" i="13"/>
  <c r="J6547" i="13"/>
  <c r="F6547" i="13"/>
  <c r="A6547" i="13"/>
  <c r="F6546" i="13"/>
  <c r="A6546" i="13"/>
  <c r="J6545" i="13"/>
  <c r="F6545" i="13"/>
  <c r="A6545" i="13"/>
  <c r="J6544" i="13"/>
  <c r="F6544" i="13"/>
  <c r="A6544" i="13"/>
  <c r="F6543" i="13"/>
  <c r="A6543" i="13"/>
  <c r="J6542" i="13"/>
  <c r="F6542" i="13"/>
  <c r="A6542" i="13"/>
  <c r="J6541" i="13"/>
  <c r="F6541" i="13"/>
  <c r="A6541" i="13"/>
  <c r="F6540" i="13"/>
  <c r="A6540" i="13"/>
  <c r="F6539" i="13"/>
  <c r="A6539" i="13"/>
  <c r="F6538" i="13"/>
  <c r="A6538" i="13"/>
  <c r="F6537" i="13"/>
  <c r="A6537" i="13"/>
  <c r="J6536" i="13"/>
  <c r="F6536" i="13"/>
  <c r="A6536" i="13"/>
  <c r="J6535" i="13"/>
  <c r="F6535" i="13"/>
  <c r="A6535" i="13"/>
  <c r="F6534" i="13"/>
  <c r="A6534" i="13"/>
  <c r="F6533" i="13"/>
  <c r="A6533" i="13"/>
  <c r="F6532" i="13"/>
  <c r="A6532" i="13"/>
  <c r="F6531" i="13"/>
  <c r="A6531" i="13"/>
  <c r="J6530" i="13"/>
  <c r="F6530" i="13"/>
  <c r="A6530" i="13"/>
  <c r="J6529" i="13"/>
  <c r="F6529" i="13"/>
  <c r="A6529" i="13"/>
  <c r="J6528" i="13"/>
  <c r="F6528" i="13"/>
  <c r="A6528" i="13"/>
  <c r="F6527" i="13"/>
  <c r="A6527" i="13"/>
  <c r="F6526" i="13"/>
  <c r="A6526" i="13"/>
  <c r="F6525" i="13"/>
  <c r="A6525" i="13"/>
  <c r="J6524" i="13"/>
  <c r="F6524" i="13"/>
  <c r="A6524" i="13"/>
  <c r="J6523" i="13"/>
  <c r="F6523" i="13"/>
  <c r="A6523" i="13"/>
  <c r="J6522" i="13"/>
  <c r="F6522" i="13"/>
  <c r="A6522" i="13"/>
  <c r="F6521" i="13"/>
  <c r="A6521" i="13"/>
  <c r="J6520" i="13"/>
  <c r="F6520" i="13"/>
  <c r="A6520" i="13"/>
  <c r="J6519" i="13"/>
  <c r="F6519" i="13"/>
  <c r="A6519" i="13"/>
  <c r="J6518" i="13"/>
  <c r="F6518" i="13"/>
  <c r="A6518" i="13"/>
  <c r="F6517" i="13"/>
  <c r="A6517" i="13"/>
  <c r="J6516" i="13"/>
  <c r="F6516" i="13"/>
  <c r="A6516" i="13"/>
  <c r="J6515" i="13"/>
  <c r="F6515" i="13"/>
  <c r="A6515" i="13"/>
  <c r="J6514" i="13"/>
  <c r="F6514" i="13"/>
  <c r="A6514" i="13"/>
  <c r="F6513" i="13"/>
  <c r="A6513" i="13"/>
  <c r="F6512" i="13"/>
  <c r="A6512" i="13"/>
  <c r="J6511" i="13"/>
  <c r="F6511" i="13"/>
  <c r="A6511" i="13"/>
  <c r="J6510" i="13"/>
  <c r="F6510" i="13"/>
  <c r="A6510" i="13"/>
  <c r="J6509" i="13"/>
  <c r="F6509" i="13"/>
  <c r="A6509" i="13"/>
  <c r="J6508" i="13"/>
  <c r="F6508" i="13"/>
  <c r="A6508" i="13"/>
  <c r="J6507" i="13"/>
  <c r="F6507" i="13"/>
  <c r="A6507" i="13"/>
  <c r="J6506" i="13"/>
  <c r="F6506" i="13"/>
  <c r="A6506" i="13"/>
  <c r="F6505" i="13"/>
  <c r="A6505" i="13"/>
  <c r="F6504" i="13"/>
  <c r="A6504" i="13"/>
  <c r="F6503" i="13"/>
  <c r="A6503" i="13"/>
  <c r="F6502" i="13"/>
  <c r="A6502" i="13"/>
  <c r="F6501" i="13"/>
  <c r="A6501" i="13"/>
  <c r="F6500" i="13"/>
  <c r="A6500" i="13"/>
  <c r="F6499" i="13"/>
  <c r="A6499" i="13"/>
  <c r="F6498" i="13"/>
  <c r="A6498" i="13"/>
  <c r="F6497" i="13"/>
  <c r="A6497" i="13"/>
  <c r="J6496" i="13"/>
  <c r="F6496" i="13"/>
  <c r="A6496" i="13"/>
  <c r="J6495" i="13"/>
  <c r="F6495" i="13"/>
  <c r="A6495" i="13"/>
  <c r="J6494" i="13"/>
  <c r="F6494" i="13"/>
  <c r="A6494" i="13"/>
  <c r="F6493" i="13"/>
  <c r="A6493" i="13"/>
  <c r="F6492" i="13"/>
  <c r="A6492" i="13"/>
  <c r="F6491" i="13"/>
  <c r="A6491" i="13"/>
  <c r="F6490" i="13"/>
  <c r="A6490" i="13"/>
  <c r="F6489" i="13"/>
  <c r="A6489" i="13"/>
  <c r="F6488" i="13"/>
  <c r="A6488" i="13"/>
  <c r="J6487" i="13"/>
  <c r="F6487" i="13"/>
  <c r="A6487" i="13"/>
  <c r="J6486" i="13"/>
  <c r="F6486" i="13"/>
  <c r="A6486" i="13"/>
  <c r="F6485" i="13"/>
  <c r="A6485" i="13"/>
  <c r="F6484" i="13"/>
  <c r="A6484" i="13"/>
  <c r="F6483" i="13"/>
  <c r="A6483" i="13"/>
  <c r="J6482" i="13"/>
  <c r="F6482" i="13"/>
  <c r="A6482" i="13"/>
  <c r="J6481" i="13"/>
  <c r="F6481" i="13"/>
  <c r="A6481" i="13"/>
  <c r="J6480" i="13"/>
  <c r="F6480" i="13"/>
  <c r="A6480" i="13"/>
  <c r="J6479" i="13"/>
  <c r="F6479" i="13"/>
  <c r="A6479" i="13"/>
  <c r="J6478" i="13"/>
  <c r="F6478" i="13"/>
  <c r="A6478" i="13"/>
  <c r="J6477" i="13"/>
  <c r="F6477" i="13"/>
  <c r="A6477" i="13"/>
  <c r="F6476" i="13"/>
  <c r="A6476" i="13"/>
  <c r="F6475" i="13"/>
  <c r="A6475" i="13"/>
  <c r="F6474" i="13"/>
  <c r="A6474" i="13"/>
  <c r="F6473" i="13"/>
  <c r="A6473" i="13"/>
  <c r="J6472" i="13"/>
  <c r="F6472" i="13"/>
  <c r="A6472" i="13"/>
  <c r="J6471" i="13"/>
  <c r="F6471" i="13"/>
  <c r="A6471" i="13"/>
  <c r="J6470" i="13"/>
  <c r="F6470" i="13"/>
  <c r="A6470" i="13"/>
  <c r="J6469" i="13"/>
  <c r="F6469" i="13"/>
  <c r="A6469" i="13"/>
  <c r="F6468" i="13"/>
  <c r="A6468" i="13"/>
  <c r="F6467" i="13"/>
  <c r="A6467" i="13"/>
  <c r="F6466" i="13"/>
  <c r="A6466" i="13"/>
  <c r="J6465" i="13"/>
  <c r="F6465" i="13"/>
  <c r="A6465" i="13"/>
  <c r="J6464" i="13"/>
  <c r="F6464" i="13"/>
  <c r="A6464" i="13"/>
  <c r="F6463" i="13"/>
  <c r="A6463" i="13"/>
  <c r="J6462" i="13"/>
  <c r="F6462" i="13"/>
  <c r="A6462" i="13"/>
  <c r="F6461" i="13"/>
  <c r="A6461" i="13"/>
  <c r="F6460" i="13"/>
  <c r="A6460" i="13"/>
  <c r="F6459" i="13"/>
  <c r="A6459" i="13"/>
  <c r="F6458" i="13"/>
  <c r="A6458" i="13"/>
  <c r="F6457" i="13"/>
  <c r="A6457" i="13"/>
  <c r="F6456" i="13"/>
  <c r="A6456" i="13"/>
  <c r="F6455" i="13"/>
  <c r="A6455" i="13"/>
  <c r="F6454" i="13"/>
  <c r="A6454" i="13"/>
  <c r="F6453" i="13"/>
  <c r="A6453" i="13"/>
  <c r="F6452" i="13"/>
  <c r="A6452" i="13"/>
  <c r="F6451" i="13"/>
  <c r="A6451" i="13"/>
  <c r="F6450" i="13"/>
  <c r="A6450" i="13"/>
  <c r="J6449" i="13"/>
  <c r="F6449" i="13"/>
  <c r="A6449" i="13"/>
  <c r="J6448" i="13"/>
  <c r="F6448" i="13"/>
  <c r="A6448" i="13"/>
  <c r="J6447" i="13"/>
  <c r="F6447" i="13"/>
  <c r="A6447" i="13"/>
  <c r="F6446" i="13"/>
  <c r="A6446" i="13"/>
  <c r="F6445" i="13"/>
  <c r="A6445" i="13"/>
  <c r="F6444" i="13"/>
  <c r="A6444" i="13"/>
  <c r="F6443" i="13"/>
  <c r="A6443" i="13"/>
  <c r="F6442" i="13"/>
  <c r="A6442" i="13"/>
  <c r="J6441" i="13"/>
  <c r="F6441" i="13"/>
  <c r="A6441" i="13"/>
  <c r="J6440" i="13"/>
  <c r="F6440" i="13"/>
  <c r="A6440" i="13"/>
  <c r="J6439" i="13"/>
  <c r="F6439" i="13"/>
  <c r="A6439" i="13"/>
  <c r="J6438" i="13"/>
  <c r="F6438" i="13"/>
  <c r="A6438" i="13"/>
  <c r="F6437" i="13"/>
  <c r="A6437" i="13"/>
  <c r="J6436" i="13"/>
  <c r="F6436" i="13"/>
  <c r="A6436" i="13"/>
  <c r="J6435" i="13"/>
  <c r="F6435" i="13"/>
  <c r="A6435" i="13"/>
  <c r="J6434" i="13"/>
  <c r="F6434" i="13"/>
  <c r="A6434" i="13"/>
  <c r="J6433" i="13"/>
  <c r="F6433" i="13"/>
  <c r="A6433" i="13"/>
  <c r="J6432" i="13"/>
  <c r="F6432" i="13"/>
  <c r="A6432" i="13"/>
  <c r="J6431" i="13"/>
  <c r="F6431" i="13"/>
  <c r="A6431" i="13"/>
  <c r="F6430" i="13"/>
  <c r="A6430" i="13"/>
  <c r="F6429" i="13"/>
  <c r="A6429" i="13"/>
  <c r="F6428" i="13"/>
  <c r="A6428" i="13"/>
  <c r="F6427" i="13"/>
  <c r="A6427" i="13"/>
  <c r="F6426" i="13"/>
  <c r="A6426" i="13"/>
  <c r="F6425" i="13"/>
  <c r="A6425" i="13"/>
  <c r="F6424" i="13"/>
  <c r="A6424" i="13"/>
  <c r="F6423" i="13"/>
  <c r="A6423" i="13"/>
  <c r="F6422" i="13"/>
  <c r="A6422" i="13"/>
  <c r="F6421" i="13"/>
  <c r="A6421" i="13"/>
  <c r="F6420" i="13"/>
  <c r="A6420" i="13"/>
  <c r="F6419" i="13"/>
  <c r="A6419" i="13"/>
  <c r="F6418" i="13"/>
  <c r="A6418" i="13"/>
  <c r="F6417" i="13"/>
  <c r="A6417" i="13"/>
  <c r="J6416" i="13"/>
  <c r="F6416" i="13"/>
  <c r="A6416" i="13"/>
  <c r="J6415" i="13"/>
  <c r="F6415" i="13"/>
  <c r="A6415" i="13"/>
  <c r="F6414" i="13"/>
  <c r="A6414" i="13"/>
  <c r="J6413" i="13"/>
  <c r="F6413" i="13"/>
  <c r="A6413" i="13"/>
  <c r="F6412" i="13"/>
  <c r="A6412" i="13"/>
  <c r="F6411" i="13"/>
  <c r="A6411" i="13"/>
  <c r="F6410" i="13"/>
  <c r="A6410" i="13"/>
  <c r="J6409" i="13"/>
  <c r="F6409" i="13"/>
  <c r="A6409" i="13"/>
  <c r="J6408" i="13"/>
  <c r="F6408" i="13"/>
  <c r="A6408" i="13"/>
  <c r="F6407" i="13"/>
  <c r="A6407" i="13"/>
  <c r="F6406" i="13"/>
  <c r="A6406" i="13"/>
  <c r="F6405" i="13"/>
  <c r="A6405" i="13"/>
  <c r="F6404" i="13"/>
  <c r="A6404" i="13"/>
  <c r="J6403" i="13"/>
  <c r="F6403" i="13"/>
  <c r="A6403" i="13"/>
  <c r="J6402" i="13"/>
  <c r="F6402" i="13"/>
  <c r="A6402" i="13"/>
  <c r="J6401" i="13"/>
  <c r="F6401" i="13"/>
  <c r="A6401" i="13"/>
  <c r="J6400" i="13"/>
  <c r="F6400" i="13"/>
  <c r="A6400" i="13"/>
  <c r="F6399" i="13"/>
  <c r="A6399" i="13"/>
  <c r="J6398" i="13"/>
  <c r="F6398" i="13"/>
  <c r="A6398" i="13"/>
  <c r="J6397" i="13"/>
  <c r="F6397" i="13"/>
  <c r="A6397" i="13"/>
  <c r="F6396" i="13"/>
  <c r="A6396" i="13"/>
  <c r="F6395" i="13"/>
  <c r="A6395" i="13"/>
  <c r="F6394" i="13"/>
  <c r="A6394" i="13"/>
  <c r="F6393" i="13"/>
  <c r="A6393" i="13"/>
  <c r="F6392" i="13"/>
  <c r="A6392" i="13"/>
  <c r="F6391" i="13"/>
  <c r="A6391" i="13"/>
  <c r="F6390" i="13"/>
  <c r="A6390" i="13"/>
  <c r="F6389" i="13"/>
  <c r="A6389" i="13"/>
  <c r="F6388" i="13"/>
  <c r="A6388" i="13"/>
  <c r="F6387" i="13"/>
  <c r="A6387" i="13"/>
  <c r="F6386" i="13"/>
  <c r="A6386" i="13"/>
  <c r="F6385" i="13"/>
  <c r="A6385" i="13"/>
  <c r="F6384" i="13"/>
  <c r="A6384" i="13"/>
  <c r="F6383" i="13"/>
  <c r="A6383" i="13"/>
  <c r="F6382" i="13"/>
  <c r="A6382" i="13"/>
  <c r="J6381" i="13"/>
  <c r="F6381" i="13"/>
  <c r="A6381" i="13"/>
  <c r="J6380" i="13"/>
  <c r="F6380" i="13"/>
  <c r="A6380" i="13"/>
  <c r="J6379" i="13"/>
  <c r="F6379" i="13"/>
  <c r="A6379" i="13"/>
  <c r="J6378" i="13"/>
  <c r="F6378" i="13"/>
  <c r="A6378" i="13"/>
  <c r="J6377" i="13"/>
  <c r="F6377" i="13"/>
  <c r="A6377" i="13"/>
  <c r="J6376" i="13"/>
  <c r="F6376" i="13"/>
  <c r="A6376" i="13"/>
  <c r="F6375" i="13"/>
  <c r="A6375" i="13"/>
  <c r="F6374" i="13"/>
  <c r="A6374" i="13"/>
  <c r="F6373" i="13"/>
  <c r="A6373" i="13"/>
  <c r="F6372" i="13"/>
  <c r="A6372" i="13"/>
  <c r="F6371" i="13"/>
  <c r="A6371" i="13"/>
  <c r="J6370" i="13"/>
  <c r="F6370" i="13"/>
  <c r="A6370" i="13"/>
  <c r="F6369" i="13"/>
  <c r="A6369" i="13"/>
  <c r="F6368" i="13"/>
  <c r="A6368" i="13"/>
  <c r="F6367" i="13"/>
  <c r="A6367" i="13"/>
  <c r="F6366" i="13"/>
  <c r="A6366" i="13"/>
  <c r="F6365" i="13"/>
  <c r="A6365" i="13"/>
  <c r="F6364" i="13"/>
  <c r="A6364" i="13"/>
  <c r="F6363" i="13"/>
  <c r="A6363" i="13"/>
  <c r="F6362" i="13"/>
  <c r="A6362" i="13"/>
  <c r="F6361" i="13"/>
  <c r="A6361" i="13"/>
  <c r="F6360" i="13"/>
  <c r="A6360" i="13"/>
  <c r="F6359" i="13"/>
  <c r="A6359" i="13"/>
  <c r="F6358" i="13"/>
  <c r="A6358" i="13"/>
  <c r="F6357" i="13"/>
  <c r="A6357" i="13"/>
  <c r="F6356" i="13"/>
  <c r="A6356" i="13"/>
  <c r="J6355" i="13"/>
  <c r="F6355" i="13"/>
  <c r="A6355" i="13"/>
  <c r="J6354" i="13"/>
  <c r="F6354" i="13"/>
  <c r="A6354" i="13"/>
  <c r="J6353" i="13"/>
  <c r="F6353" i="13"/>
  <c r="A6353" i="13"/>
  <c r="J6352" i="13"/>
  <c r="F6352" i="13"/>
  <c r="A6352" i="13"/>
  <c r="F6351" i="13"/>
  <c r="A6351" i="13"/>
  <c r="F6350" i="13"/>
  <c r="A6350" i="13"/>
  <c r="J6349" i="13"/>
  <c r="F6349" i="13"/>
  <c r="A6349" i="13"/>
  <c r="J6348" i="13"/>
  <c r="F6348" i="13"/>
  <c r="A6348" i="13"/>
  <c r="J6347" i="13"/>
  <c r="F6347" i="13"/>
  <c r="A6347" i="13"/>
  <c r="F6346" i="13"/>
  <c r="A6346" i="13"/>
  <c r="F6345" i="13"/>
  <c r="A6345" i="13"/>
  <c r="J6344" i="13"/>
  <c r="F6344" i="13"/>
  <c r="A6344" i="13"/>
  <c r="J6343" i="13"/>
  <c r="F6343" i="13"/>
  <c r="A6343" i="13"/>
  <c r="J6342" i="13"/>
  <c r="F6342" i="13"/>
  <c r="A6342" i="13"/>
  <c r="J6341" i="13"/>
  <c r="F6341" i="13"/>
  <c r="A6341" i="13"/>
  <c r="F6340" i="13"/>
  <c r="A6340" i="13"/>
  <c r="F6339" i="13"/>
  <c r="A6339" i="13"/>
  <c r="J6338" i="13"/>
  <c r="F6338" i="13"/>
  <c r="A6338" i="13"/>
  <c r="F6337" i="13"/>
  <c r="A6337" i="13"/>
  <c r="F6336" i="13"/>
  <c r="A6336" i="13"/>
  <c r="J6335" i="13"/>
  <c r="F6335" i="13"/>
  <c r="A6335" i="13"/>
  <c r="J6334" i="13"/>
  <c r="F6334" i="13"/>
  <c r="A6334" i="13"/>
  <c r="F6333" i="13"/>
  <c r="A6333" i="13"/>
  <c r="F6332" i="13"/>
  <c r="A6332" i="13"/>
  <c r="J6331" i="13"/>
  <c r="F6331" i="13"/>
  <c r="A6331" i="13"/>
  <c r="F6330" i="13"/>
  <c r="A6330" i="13"/>
  <c r="J6329" i="13"/>
  <c r="F6329" i="13"/>
  <c r="A6329" i="13"/>
  <c r="J6328" i="13"/>
  <c r="F6328" i="13"/>
  <c r="A6328" i="13"/>
  <c r="F6327" i="13"/>
  <c r="A6327" i="13"/>
  <c r="J6326" i="13"/>
  <c r="F6326" i="13"/>
  <c r="A6326" i="13"/>
  <c r="J6325" i="13"/>
  <c r="F6325" i="13"/>
  <c r="A6325" i="13"/>
  <c r="J6324" i="13"/>
  <c r="F6324" i="13"/>
  <c r="A6324" i="13"/>
  <c r="J6323" i="13"/>
  <c r="F6323" i="13"/>
  <c r="A6323" i="13"/>
  <c r="J6322" i="13"/>
  <c r="F6322" i="13"/>
  <c r="A6322" i="13"/>
  <c r="J6321" i="13"/>
  <c r="F6321" i="13"/>
  <c r="A6321" i="13"/>
  <c r="F6320" i="13"/>
  <c r="A6320" i="13"/>
  <c r="F6319" i="13"/>
  <c r="A6319" i="13"/>
  <c r="F6318" i="13"/>
  <c r="A6318" i="13"/>
  <c r="J6317" i="13"/>
  <c r="F6317" i="13"/>
  <c r="A6317" i="13"/>
  <c r="J6316" i="13"/>
  <c r="F6316" i="13"/>
  <c r="A6316" i="13"/>
  <c r="J6315" i="13"/>
  <c r="F6315" i="13"/>
  <c r="A6315" i="13"/>
  <c r="J6314" i="13"/>
  <c r="F6314" i="13"/>
  <c r="A6314" i="13"/>
  <c r="J6313" i="13"/>
  <c r="F6313" i="13"/>
  <c r="A6313" i="13"/>
  <c r="F6312" i="13"/>
  <c r="A6312" i="13"/>
  <c r="J6311" i="13"/>
  <c r="F6311" i="13"/>
  <c r="A6311" i="13"/>
  <c r="J6310" i="13"/>
  <c r="F6310" i="13"/>
  <c r="A6310" i="13"/>
  <c r="F6309" i="13"/>
  <c r="A6309" i="13"/>
  <c r="F6308" i="13"/>
  <c r="A6308" i="13"/>
  <c r="J6307" i="13"/>
  <c r="F6307" i="13"/>
  <c r="A6307" i="13"/>
  <c r="F6306" i="13"/>
  <c r="A6306" i="13"/>
  <c r="J6305" i="13"/>
  <c r="F6305" i="13"/>
  <c r="A6305" i="13"/>
  <c r="F6304" i="13"/>
  <c r="A6304" i="13"/>
  <c r="F6303" i="13"/>
  <c r="A6303" i="13"/>
  <c r="F6302" i="13"/>
  <c r="A6302" i="13"/>
  <c r="F6301" i="13"/>
  <c r="A6301" i="13"/>
  <c r="J6300" i="13"/>
  <c r="F6300" i="13"/>
  <c r="A6300" i="13"/>
  <c r="F6299" i="13"/>
  <c r="A6299" i="13"/>
  <c r="F6298" i="13"/>
  <c r="A6298" i="13"/>
  <c r="F6297" i="13"/>
  <c r="A6297" i="13"/>
  <c r="F6296" i="13"/>
  <c r="A6296" i="13"/>
  <c r="J6295" i="13"/>
  <c r="F6295" i="13"/>
  <c r="A6295" i="13"/>
  <c r="F6294" i="13"/>
  <c r="A6294" i="13"/>
  <c r="F6293" i="13"/>
  <c r="A6293" i="13"/>
  <c r="F6292" i="13"/>
  <c r="A6292" i="13"/>
  <c r="F6291" i="13"/>
  <c r="A6291" i="13"/>
  <c r="F6290" i="13"/>
  <c r="A6290" i="13"/>
  <c r="F6289" i="13"/>
  <c r="A6289" i="13"/>
  <c r="F6288" i="13"/>
  <c r="A6288" i="13"/>
  <c r="F6287" i="13"/>
  <c r="A6287" i="13"/>
  <c r="F6286" i="13"/>
  <c r="A6286" i="13"/>
  <c r="J6285" i="13"/>
  <c r="F6285" i="13"/>
  <c r="A6285" i="13"/>
  <c r="J6284" i="13"/>
  <c r="F6284" i="13"/>
  <c r="A6284" i="13"/>
  <c r="F6283" i="13"/>
  <c r="A6283" i="13"/>
  <c r="J6282" i="13"/>
  <c r="F6282" i="13"/>
  <c r="A6282" i="13"/>
  <c r="J6281" i="13"/>
  <c r="F6281" i="13"/>
  <c r="A6281" i="13"/>
  <c r="J6280" i="13"/>
  <c r="F6280" i="13"/>
  <c r="A6280" i="13"/>
  <c r="J6279" i="13"/>
  <c r="F6279" i="13"/>
  <c r="A6279" i="13"/>
  <c r="J6278" i="13"/>
  <c r="F6278" i="13"/>
  <c r="A6278" i="13"/>
  <c r="F6277" i="13"/>
  <c r="A6277" i="13"/>
  <c r="J6276" i="13"/>
  <c r="F6276" i="13"/>
  <c r="A6276" i="13"/>
  <c r="J6275" i="13"/>
  <c r="F6275" i="13"/>
  <c r="A6275" i="13"/>
  <c r="J6274" i="13"/>
  <c r="F6274" i="13"/>
  <c r="A6274" i="13"/>
  <c r="F6273" i="13"/>
  <c r="A6273" i="13"/>
  <c r="F6272" i="13"/>
  <c r="A6272" i="13"/>
  <c r="F6271" i="13"/>
  <c r="A6271" i="13"/>
  <c r="F6270" i="13"/>
  <c r="A6270" i="13"/>
  <c r="F6269" i="13"/>
  <c r="A6269" i="13"/>
  <c r="F6268" i="13"/>
  <c r="A6268" i="13"/>
  <c r="F6267" i="13"/>
  <c r="A6267" i="13"/>
  <c r="J6266" i="13"/>
  <c r="F6266" i="13"/>
  <c r="A6266" i="13"/>
  <c r="J6265" i="13"/>
  <c r="F6265" i="13"/>
  <c r="A6265" i="13"/>
  <c r="F6264" i="13"/>
  <c r="A6264" i="13"/>
  <c r="F6263" i="13"/>
  <c r="A6263" i="13"/>
  <c r="F6262" i="13"/>
  <c r="A6262" i="13"/>
  <c r="F6261" i="13"/>
  <c r="A6261" i="13"/>
  <c r="F6260" i="13"/>
  <c r="A6260" i="13"/>
  <c r="F6259" i="13"/>
  <c r="A6259" i="13"/>
  <c r="F6258" i="13"/>
  <c r="A6258" i="13"/>
  <c r="F6257" i="13"/>
  <c r="A6257" i="13"/>
  <c r="F6256" i="13"/>
  <c r="A6256" i="13"/>
  <c r="F6255" i="13"/>
  <c r="A6255" i="13"/>
  <c r="F6254" i="13"/>
  <c r="A6254" i="13"/>
  <c r="F6253" i="13"/>
  <c r="A6253" i="13"/>
  <c r="F6252" i="13"/>
  <c r="A6252" i="13"/>
  <c r="F6251" i="13"/>
  <c r="A6251" i="13"/>
  <c r="F6250" i="13"/>
  <c r="A6250" i="13"/>
  <c r="F6249" i="13"/>
  <c r="A6249" i="13"/>
  <c r="F6248" i="13"/>
  <c r="A6248" i="13"/>
  <c r="J6247" i="13"/>
  <c r="F6247" i="13"/>
  <c r="A6247" i="13"/>
  <c r="J6246" i="13"/>
  <c r="F6246" i="13"/>
  <c r="A6246" i="13"/>
  <c r="F6245" i="13"/>
  <c r="A6245" i="13"/>
  <c r="J6244" i="13"/>
  <c r="F6244" i="13"/>
  <c r="A6244" i="13"/>
  <c r="J6243" i="13"/>
  <c r="F6243" i="13"/>
  <c r="A6243" i="13"/>
  <c r="J6242" i="13"/>
  <c r="F6242" i="13"/>
  <c r="A6242" i="13"/>
  <c r="F6241" i="13"/>
  <c r="A6241" i="13"/>
  <c r="F6240" i="13"/>
  <c r="A6240" i="13"/>
  <c r="J6239" i="13"/>
  <c r="F6239" i="13"/>
  <c r="A6239" i="13"/>
  <c r="J6238" i="13"/>
  <c r="F6238" i="13"/>
  <c r="A6238" i="13"/>
  <c r="F6237" i="13"/>
  <c r="A6237" i="13"/>
  <c r="J6236" i="13"/>
  <c r="F6236" i="13"/>
  <c r="A6236" i="13"/>
  <c r="J6235" i="13"/>
  <c r="F6235" i="13"/>
  <c r="A6235" i="13"/>
  <c r="J6234" i="13"/>
  <c r="F6234" i="13"/>
  <c r="A6234" i="13"/>
  <c r="F6233" i="13"/>
  <c r="A6233" i="13"/>
  <c r="F6232" i="13"/>
  <c r="A6232" i="13"/>
  <c r="F6231" i="13"/>
  <c r="A6231" i="13"/>
  <c r="J6230" i="13"/>
  <c r="F6230" i="13"/>
  <c r="A6230" i="13"/>
  <c r="J6229" i="13"/>
  <c r="F6229" i="13"/>
  <c r="A6229" i="13"/>
  <c r="J6228" i="13"/>
  <c r="F6228" i="13"/>
  <c r="A6228" i="13"/>
  <c r="F6227" i="13"/>
  <c r="A6227" i="13"/>
  <c r="F6226" i="13"/>
  <c r="A6226" i="13"/>
  <c r="F6225" i="13"/>
  <c r="A6225" i="13"/>
  <c r="J6224" i="13"/>
  <c r="F6224" i="13"/>
  <c r="A6224" i="13"/>
  <c r="F6223" i="13"/>
  <c r="A6223" i="13"/>
  <c r="F6222" i="13"/>
  <c r="A6222" i="13"/>
  <c r="J6221" i="13"/>
  <c r="F6221" i="13"/>
  <c r="A6221" i="13"/>
  <c r="J6220" i="13"/>
  <c r="F6220" i="13"/>
  <c r="A6220" i="13"/>
  <c r="F6219" i="13"/>
  <c r="A6219" i="13"/>
  <c r="J6218" i="13"/>
  <c r="F6218" i="13"/>
  <c r="A6218" i="13"/>
  <c r="J6217" i="13"/>
  <c r="F6217" i="13"/>
  <c r="A6217" i="13"/>
  <c r="J6216" i="13"/>
  <c r="F6216" i="13"/>
  <c r="A6216" i="13"/>
  <c r="J6215" i="13"/>
  <c r="F6215" i="13"/>
  <c r="A6215" i="13"/>
  <c r="J6214" i="13"/>
  <c r="F6214" i="13"/>
  <c r="A6214" i="13"/>
  <c r="J6213" i="13"/>
  <c r="F6213" i="13"/>
  <c r="A6213" i="13"/>
  <c r="F6212" i="13"/>
  <c r="A6212" i="13"/>
  <c r="J6211" i="13"/>
  <c r="F6211" i="13"/>
  <c r="A6211" i="13"/>
  <c r="J6210" i="13"/>
  <c r="F6210" i="13"/>
  <c r="A6210" i="13"/>
  <c r="F6209" i="13"/>
  <c r="A6209" i="13"/>
  <c r="F6208" i="13"/>
  <c r="A6208" i="13"/>
  <c r="J6207" i="13"/>
  <c r="F6207" i="13"/>
  <c r="A6207" i="13"/>
  <c r="J6206" i="13"/>
  <c r="F6206" i="13"/>
  <c r="A6206" i="13"/>
  <c r="F6205" i="13"/>
  <c r="A6205" i="13"/>
  <c r="F6204" i="13"/>
  <c r="A6204" i="13"/>
  <c r="F6203" i="13"/>
  <c r="A6203" i="13"/>
  <c r="F6202" i="13"/>
  <c r="A6202" i="13"/>
  <c r="F6201" i="13"/>
  <c r="A6201" i="13"/>
  <c r="F6200" i="13"/>
  <c r="A6200" i="13"/>
  <c r="F6199" i="13"/>
  <c r="A6199" i="13"/>
  <c r="F6198" i="13"/>
  <c r="A6198" i="13"/>
  <c r="F6197" i="13"/>
  <c r="A6197" i="13"/>
  <c r="F6196" i="13"/>
  <c r="A6196" i="13"/>
  <c r="J6195" i="13"/>
  <c r="F6195" i="13"/>
  <c r="A6195" i="13"/>
  <c r="J6194" i="13"/>
  <c r="F6194" i="13"/>
  <c r="A6194" i="13"/>
  <c r="J6193" i="13"/>
  <c r="F6193" i="13"/>
  <c r="A6193" i="13"/>
  <c r="F6192" i="13"/>
  <c r="A6192" i="13"/>
  <c r="J6191" i="13"/>
  <c r="F6191" i="13"/>
  <c r="A6191" i="13"/>
  <c r="J6190" i="13"/>
  <c r="F6190" i="13"/>
  <c r="A6190" i="13"/>
  <c r="J6189" i="13"/>
  <c r="F6189" i="13"/>
  <c r="A6189" i="13"/>
  <c r="F6188" i="13"/>
  <c r="A6188" i="13"/>
  <c r="F6187" i="13"/>
  <c r="A6187" i="13"/>
  <c r="F6186" i="13"/>
  <c r="A6186" i="13"/>
  <c r="J6185" i="13"/>
  <c r="F6185" i="13"/>
  <c r="A6185" i="13"/>
  <c r="J6184" i="13"/>
  <c r="F6184" i="13"/>
  <c r="A6184" i="13"/>
  <c r="F6183" i="13"/>
  <c r="A6183" i="13"/>
  <c r="F6182" i="13"/>
  <c r="A6182" i="13"/>
  <c r="F6181" i="13"/>
  <c r="A6181" i="13"/>
  <c r="J6180" i="13"/>
  <c r="F6180" i="13"/>
  <c r="A6180" i="13"/>
  <c r="F6179" i="13"/>
  <c r="A6179" i="13"/>
  <c r="F6178" i="13"/>
  <c r="A6178" i="13"/>
  <c r="F6177" i="13"/>
  <c r="A6177" i="13"/>
  <c r="J6176" i="13"/>
  <c r="F6176" i="13"/>
  <c r="A6176" i="13"/>
  <c r="F6175" i="13"/>
  <c r="A6175" i="13"/>
  <c r="F6174" i="13"/>
  <c r="A6174" i="13"/>
  <c r="F6173" i="13"/>
  <c r="A6173" i="13"/>
  <c r="J6172" i="13"/>
  <c r="F6172" i="13"/>
  <c r="A6172" i="13"/>
  <c r="J6171" i="13"/>
  <c r="F6171" i="13"/>
  <c r="A6171" i="13"/>
  <c r="F6170" i="13"/>
  <c r="A6170" i="13"/>
  <c r="F6169" i="13"/>
  <c r="A6169" i="13"/>
  <c r="F6168" i="13"/>
  <c r="A6168" i="13"/>
  <c r="J6167" i="13"/>
  <c r="F6167" i="13"/>
  <c r="A6167" i="13"/>
  <c r="F6166" i="13"/>
  <c r="A6166" i="13"/>
  <c r="F6165" i="13"/>
  <c r="A6165" i="13"/>
  <c r="F6164" i="13"/>
  <c r="A6164" i="13"/>
  <c r="F6163" i="13"/>
  <c r="A6163" i="13"/>
  <c r="F6162" i="13"/>
  <c r="A6162" i="13"/>
  <c r="F6161" i="13"/>
  <c r="A6161" i="13"/>
  <c r="F6160" i="13"/>
  <c r="A6160" i="13"/>
  <c r="F6159" i="13"/>
  <c r="A6159" i="13"/>
  <c r="J6158" i="13"/>
  <c r="F6158" i="13"/>
  <c r="A6158" i="13"/>
  <c r="J6157" i="13"/>
  <c r="F6157" i="13"/>
  <c r="A6157" i="13"/>
  <c r="J6156" i="13"/>
  <c r="F6156" i="13"/>
  <c r="A6156" i="13"/>
  <c r="J6155" i="13"/>
  <c r="F6155" i="13"/>
  <c r="A6155" i="13"/>
  <c r="J6154" i="13"/>
  <c r="F6154" i="13"/>
  <c r="A6154" i="13"/>
  <c r="J6153" i="13"/>
  <c r="F6153" i="13"/>
  <c r="A6153" i="13"/>
  <c r="J6152" i="13"/>
  <c r="F6152" i="13"/>
  <c r="A6152" i="13"/>
  <c r="F6151" i="13"/>
  <c r="A6151" i="13"/>
  <c r="F6150" i="13"/>
  <c r="A6150" i="13"/>
  <c r="F6149" i="13"/>
  <c r="A6149" i="13"/>
  <c r="F6148" i="13"/>
  <c r="A6148" i="13"/>
  <c r="F6147" i="13"/>
  <c r="A6147" i="13"/>
  <c r="J6146" i="13"/>
  <c r="F6146" i="13"/>
  <c r="A6146" i="13"/>
  <c r="J6145" i="13"/>
  <c r="F6145" i="13"/>
  <c r="A6145" i="13"/>
  <c r="J6144" i="13"/>
  <c r="F6144" i="13"/>
  <c r="A6144" i="13"/>
  <c r="J6143" i="13"/>
  <c r="F6143" i="13"/>
  <c r="A6143" i="13"/>
  <c r="F6142" i="13"/>
  <c r="A6142" i="13"/>
  <c r="J6141" i="13"/>
  <c r="F6141" i="13"/>
  <c r="A6141" i="13"/>
  <c r="J6140" i="13"/>
  <c r="F6140" i="13"/>
  <c r="A6140" i="13"/>
  <c r="J6139" i="13"/>
  <c r="F6139" i="13"/>
  <c r="A6139" i="13"/>
  <c r="J6138" i="13"/>
  <c r="F6138" i="13"/>
  <c r="A6138" i="13"/>
  <c r="J6137" i="13"/>
  <c r="F6137" i="13"/>
  <c r="A6137" i="13"/>
  <c r="F6136" i="13"/>
  <c r="A6136" i="13"/>
  <c r="F6135" i="13"/>
  <c r="A6135" i="13"/>
  <c r="J6134" i="13"/>
  <c r="F6134" i="13"/>
  <c r="A6134" i="13"/>
  <c r="J6133" i="13"/>
  <c r="F6133" i="13"/>
  <c r="A6133" i="13"/>
  <c r="J6132" i="13"/>
  <c r="F6132" i="13"/>
  <c r="A6132" i="13"/>
  <c r="J6131" i="13"/>
  <c r="F6131" i="13"/>
  <c r="A6131" i="13"/>
  <c r="J6130" i="13"/>
  <c r="F6130" i="13"/>
  <c r="A6130" i="13"/>
  <c r="J6129" i="13"/>
  <c r="F6129" i="13"/>
  <c r="A6129" i="13"/>
  <c r="J6128" i="13"/>
  <c r="F6128" i="13"/>
  <c r="A6128" i="13"/>
  <c r="J6127" i="13"/>
  <c r="F6127" i="13"/>
  <c r="A6127" i="13"/>
  <c r="J6126" i="13"/>
  <c r="F6126" i="13"/>
  <c r="A6126" i="13"/>
  <c r="J6125" i="13"/>
  <c r="F6125" i="13"/>
  <c r="A6125" i="13"/>
  <c r="J6124" i="13"/>
  <c r="F6124" i="13"/>
  <c r="A6124" i="13"/>
  <c r="J6123" i="13"/>
  <c r="F6123" i="13"/>
  <c r="A6123" i="13"/>
  <c r="F6122" i="13"/>
  <c r="A6122" i="13"/>
  <c r="J6121" i="13"/>
  <c r="F6121" i="13"/>
  <c r="A6121" i="13"/>
  <c r="J6120" i="13"/>
  <c r="F6120" i="13"/>
  <c r="A6120" i="13"/>
  <c r="F6119" i="13"/>
  <c r="A6119" i="13"/>
  <c r="F6118" i="13"/>
  <c r="A6118" i="13"/>
  <c r="F6117" i="13"/>
  <c r="A6117" i="13"/>
  <c r="F6116" i="13"/>
  <c r="A6116" i="13"/>
  <c r="F6115" i="13"/>
  <c r="A6115" i="13"/>
  <c r="F6114" i="13"/>
  <c r="A6114" i="13"/>
  <c r="J6113" i="13"/>
  <c r="F6113" i="13"/>
  <c r="A6113" i="13"/>
  <c r="J6112" i="13"/>
  <c r="F6112" i="13"/>
  <c r="A6112" i="13"/>
  <c r="F6111" i="13"/>
  <c r="A6111" i="13"/>
  <c r="F6110" i="13"/>
  <c r="A6110" i="13"/>
  <c r="F6109" i="13"/>
  <c r="A6109" i="13"/>
  <c r="F6108" i="13"/>
  <c r="A6108" i="13"/>
  <c r="F6107" i="13"/>
  <c r="A6107" i="13"/>
  <c r="F6106" i="13"/>
  <c r="A6106" i="13"/>
  <c r="F6105" i="13"/>
  <c r="A6105" i="13"/>
  <c r="F6104" i="13"/>
  <c r="A6104" i="13"/>
  <c r="F6103" i="13"/>
  <c r="A6103" i="13"/>
  <c r="F6102" i="13"/>
  <c r="A6102" i="13"/>
  <c r="F6101" i="13"/>
  <c r="A6101" i="13"/>
  <c r="F6100" i="13"/>
  <c r="A6100" i="13"/>
  <c r="F6099" i="13"/>
  <c r="A6099" i="13"/>
  <c r="F6098" i="13"/>
  <c r="A6098" i="13"/>
  <c r="F6097" i="13"/>
  <c r="A6097" i="13"/>
  <c r="F6096" i="13"/>
  <c r="A6096" i="13"/>
  <c r="F6095" i="13"/>
  <c r="A6095" i="13"/>
  <c r="F6094" i="13"/>
  <c r="A6094" i="13"/>
  <c r="F6093" i="13"/>
  <c r="A6093" i="13"/>
  <c r="F6092" i="13"/>
  <c r="A6092" i="13"/>
  <c r="J6091" i="13"/>
  <c r="F6091" i="13"/>
  <c r="A6091" i="13"/>
  <c r="F6090" i="13"/>
  <c r="A6090" i="13"/>
  <c r="J6089" i="13"/>
  <c r="F6089" i="13"/>
  <c r="A6089" i="13"/>
  <c r="F6088" i="13"/>
  <c r="A6088" i="13"/>
  <c r="J6087" i="13"/>
  <c r="F6087" i="13"/>
  <c r="A6087" i="13"/>
  <c r="J6086" i="13"/>
  <c r="F6086" i="13"/>
  <c r="A6086" i="13"/>
  <c r="J6085" i="13"/>
  <c r="F6085" i="13"/>
  <c r="A6085" i="13"/>
  <c r="J6084" i="13"/>
  <c r="F6084" i="13"/>
  <c r="A6084" i="13"/>
  <c r="F6083" i="13"/>
  <c r="A6083" i="13"/>
  <c r="J6082" i="13"/>
  <c r="F6082" i="13"/>
  <c r="A6082" i="13"/>
  <c r="J6081" i="13"/>
  <c r="F6081" i="13"/>
  <c r="A6081" i="13"/>
  <c r="F6080" i="13"/>
  <c r="A6080" i="13"/>
  <c r="F6079" i="13"/>
  <c r="A6079" i="13"/>
  <c r="J6078" i="13"/>
  <c r="F6078" i="13"/>
  <c r="A6078" i="13"/>
  <c r="J6077" i="13"/>
  <c r="F6077" i="13"/>
  <c r="A6077" i="13"/>
  <c r="F6076" i="13"/>
  <c r="A6076" i="13"/>
  <c r="J6075" i="13"/>
  <c r="F6075" i="13"/>
  <c r="A6075" i="13"/>
  <c r="J6074" i="13"/>
  <c r="F6074" i="13"/>
  <c r="A6074" i="13"/>
  <c r="J6073" i="13"/>
  <c r="F6073" i="13"/>
  <c r="A6073" i="13"/>
  <c r="J6072" i="13"/>
  <c r="F6072" i="13"/>
  <c r="A6072" i="13"/>
  <c r="J6071" i="13"/>
  <c r="F6071" i="13"/>
  <c r="A6071" i="13"/>
  <c r="F6070" i="13"/>
  <c r="A6070" i="13"/>
  <c r="F6069" i="13"/>
  <c r="A6069" i="13"/>
  <c r="F6068" i="13"/>
  <c r="A6068" i="13"/>
  <c r="J6067" i="13"/>
  <c r="F6067" i="13"/>
  <c r="A6067" i="13"/>
  <c r="J6066" i="13"/>
  <c r="F6066" i="13"/>
  <c r="A6066" i="13"/>
  <c r="F6065" i="13"/>
  <c r="A6065" i="13"/>
  <c r="F6064" i="13"/>
  <c r="A6064" i="13"/>
  <c r="F6063" i="13"/>
  <c r="A6063" i="13"/>
  <c r="F6062" i="13"/>
  <c r="A6062" i="13"/>
  <c r="J6061" i="13"/>
  <c r="F6061" i="13"/>
  <c r="A6061" i="13"/>
  <c r="J6060" i="13"/>
  <c r="F6060" i="13"/>
  <c r="A6060" i="13"/>
  <c r="F6059" i="13"/>
  <c r="A6059" i="13"/>
  <c r="F6058" i="13"/>
  <c r="A6058" i="13"/>
  <c r="F6057" i="13"/>
  <c r="A6057" i="13"/>
  <c r="F6056" i="13"/>
  <c r="A6056" i="13"/>
  <c r="F6055" i="13"/>
  <c r="A6055" i="13"/>
  <c r="F6054" i="13"/>
  <c r="A6054" i="13"/>
  <c r="J6053" i="13"/>
  <c r="F6053" i="13"/>
  <c r="A6053" i="13"/>
  <c r="J6052" i="13"/>
  <c r="F6052" i="13"/>
  <c r="A6052" i="13"/>
  <c r="J6051" i="13"/>
  <c r="F6051" i="13"/>
  <c r="A6051" i="13"/>
  <c r="F6050" i="13"/>
  <c r="A6050" i="13"/>
  <c r="F6049" i="13"/>
  <c r="A6049" i="13"/>
  <c r="F6048" i="13"/>
  <c r="A6048" i="13"/>
  <c r="J6047" i="13"/>
  <c r="F6047" i="13"/>
  <c r="A6047" i="13"/>
  <c r="J6046" i="13"/>
  <c r="F6046" i="13"/>
  <c r="A6046" i="13"/>
  <c r="F6045" i="13"/>
  <c r="A6045" i="13"/>
  <c r="F6044" i="13"/>
  <c r="A6044" i="13"/>
  <c r="F6043" i="13"/>
  <c r="A6043" i="13"/>
  <c r="F6042" i="13"/>
  <c r="A6042" i="13"/>
  <c r="F6041" i="13"/>
  <c r="A6041" i="13"/>
  <c r="F6040" i="13"/>
  <c r="A6040" i="13"/>
  <c r="F6039" i="13"/>
  <c r="A6039" i="13"/>
  <c r="F6038" i="13"/>
  <c r="A6038" i="13"/>
  <c r="J6037" i="13"/>
  <c r="F6037" i="13"/>
  <c r="A6037" i="13"/>
  <c r="J6036" i="13"/>
  <c r="F6036" i="13"/>
  <c r="A6036" i="13"/>
  <c r="J6035" i="13"/>
  <c r="F6035" i="13"/>
  <c r="A6035" i="13"/>
  <c r="J6034" i="13"/>
  <c r="F6034" i="13"/>
  <c r="A6034" i="13"/>
  <c r="J6033" i="13"/>
  <c r="F6033" i="13"/>
  <c r="A6033" i="13"/>
  <c r="J6032" i="13"/>
  <c r="F6032" i="13"/>
  <c r="A6032" i="13"/>
  <c r="J6031" i="13"/>
  <c r="F6031" i="13"/>
  <c r="A6031" i="13"/>
  <c r="F6030" i="13"/>
  <c r="A6030" i="13"/>
  <c r="F6029" i="13"/>
  <c r="A6029" i="13"/>
  <c r="F6028" i="13"/>
  <c r="A6028" i="13"/>
  <c r="F6027" i="13"/>
  <c r="A6027" i="13"/>
  <c r="F6026" i="13"/>
  <c r="A6026" i="13"/>
  <c r="F6025" i="13"/>
  <c r="A6025" i="13"/>
  <c r="J6024" i="13"/>
  <c r="F6024" i="13"/>
  <c r="A6024" i="13"/>
  <c r="J6023" i="13"/>
  <c r="F6023" i="13"/>
  <c r="A6023" i="13"/>
  <c r="J6022" i="13"/>
  <c r="F6022" i="13"/>
  <c r="A6022" i="13"/>
  <c r="F6021" i="13"/>
  <c r="A6021" i="13"/>
  <c r="F6020" i="13"/>
  <c r="A6020" i="13"/>
  <c r="J6019" i="13"/>
  <c r="F6019" i="13"/>
  <c r="A6019" i="13"/>
  <c r="J6018" i="13"/>
  <c r="F6018" i="13"/>
  <c r="A6018" i="13"/>
  <c r="F6017" i="13"/>
  <c r="A6017" i="13"/>
  <c r="J6016" i="13"/>
  <c r="F6016" i="13"/>
  <c r="A6016" i="13"/>
  <c r="J6015" i="13"/>
  <c r="F6015" i="13"/>
  <c r="A6015" i="13"/>
  <c r="F6014" i="13"/>
  <c r="A6014" i="13"/>
  <c r="F6013" i="13"/>
  <c r="A6013" i="13"/>
  <c r="F6012" i="13"/>
  <c r="A6012" i="13"/>
  <c r="J6011" i="13"/>
  <c r="F6011" i="13"/>
  <c r="A6011" i="13"/>
  <c r="J6010" i="13"/>
  <c r="F6010" i="13"/>
  <c r="A6010" i="13"/>
  <c r="J6009" i="13"/>
  <c r="F6009" i="13"/>
  <c r="A6009" i="13"/>
  <c r="F6008" i="13"/>
  <c r="A6008" i="13"/>
  <c r="J6007" i="13"/>
  <c r="F6007" i="13"/>
  <c r="A6007" i="13"/>
  <c r="J6006" i="13"/>
  <c r="F6006" i="13"/>
  <c r="A6006" i="13"/>
  <c r="F6005" i="13"/>
  <c r="A6005" i="13"/>
  <c r="F6004" i="13"/>
  <c r="A6004" i="13"/>
  <c r="F6003" i="13"/>
  <c r="A6003" i="13"/>
  <c r="F6002" i="13"/>
  <c r="A6002" i="13"/>
  <c r="F6001" i="13"/>
  <c r="A6001" i="13"/>
  <c r="J6000" i="13"/>
  <c r="F6000" i="13"/>
  <c r="A6000" i="13"/>
  <c r="F5999" i="13"/>
  <c r="A5999" i="13"/>
  <c r="J5998" i="13"/>
  <c r="F5998" i="13"/>
  <c r="A5998" i="13"/>
  <c r="J5997" i="13"/>
  <c r="F5997" i="13"/>
  <c r="A5997" i="13"/>
  <c r="F5996" i="13"/>
  <c r="A5996" i="13"/>
  <c r="F5995" i="13"/>
  <c r="A5995" i="13"/>
  <c r="F5994" i="13"/>
  <c r="A5994" i="13"/>
  <c r="F5993" i="13"/>
  <c r="A5993" i="13"/>
  <c r="F5992" i="13"/>
  <c r="A5992" i="13"/>
  <c r="F5991" i="13"/>
  <c r="A5991" i="13"/>
  <c r="F5990" i="13"/>
  <c r="A5990" i="13"/>
  <c r="J5989" i="13"/>
  <c r="F5989" i="13"/>
  <c r="A5989" i="13"/>
  <c r="F5988" i="13"/>
  <c r="A5988" i="13"/>
  <c r="F5987" i="13"/>
  <c r="A5987" i="13"/>
  <c r="F5986" i="13"/>
  <c r="A5986" i="13"/>
  <c r="F5985" i="13"/>
  <c r="A5985" i="13"/>
  <c r="J5984" i="13"/>
  <c r="F5984" i="13"/>
  <c r="A5984" i="13"/>
  <c r="F5983" i="13"/>
  <c r="A5983" i="13"/>
  <c r="F5982" i="13"/>
  <c r="A5982" i="13"/>
  <c r="F5981" i="13"/>
  <c r="A5981" i="13"/>
  <c r="F5980" i="13"/>
  <c r="A5980" i="13"/>
  <c r="F5979" i="13"/>
  <c r="A5979" i="13"/>
  <c r="F5978" i="13"/>
  <c r="A5978" i="13"/>
  <c r="F5977" i="13"/>
  <c r="A5977" i="13"/>
  <c r="F5976" i="13"/>
  <c r="A5976" i="13"/>
  <c r="J5975" i="13"/>
  <c r="F5975" i="13"/>
  <c r="A5975" i="13"/>
  <c r="J5974" i="13"/>
  <c r="F5974" i="13"/>
  <c r="A5974" i="13"/>
  <c r="F5973" i="13"/>
  <c r="A5973" i="13"/>
  <c r="F5972" i="13"/>
  <c r="A5972" i="13"/>
  <c r="F5971" i="13"/>
  <c r="A5971" i="13"/>
  <c r="F5970" i="13"/>
  <c r="A5970" i="13"/>
  <c r="J5969" i="13"/>
  <c r="F5969" i="13"/>
  <c r="A5969" i="13"/>
  <c r="F5968" i="13"/>
  <c r="A5968" i="13"/>
  <c r="J5967" i="13"/>
  <c r="F5967" i="13"/>
  <c r="A5967" i="13"/>
  <c r="F5966" i="13"/>
  <c r="A5966" i="13"/>
  <c r="F5965" i="13"/>
  <c r="A5965" i="13"/>
  <c r="F5964" i="13"/>
  <c r="A5964" i="13"/>
  <c r="F5963" i="13"/>
  <c r="A5963" i="13"/>
  <c r="J5962" i="13"/>
  <c r="F5962" i="13"/>
  <c r="A5962" i="13"/>
  <c r="J5961" i="13"/>
  <c r="F5961" i="13"/>
  <c r="A5961" i="13"/>
  <c r="J5960" i="13"/>
  <c r="F5960" i="13"/>
  <c r="A5960" i="13"/>
  <c r="F5959" i="13"/>
  <c r="A5959" i="13"/>
  <c r="J5958" i="13"/>
  <c r="F5958" i="13"/>
  <c r="A5958" i="13"/>
  <c r="J5957" i="13"/>
  <c r="F5957" i="13"/>
  <c r="A5957" i="13"/>
  <c r="J5956" i="13"/>
  <c r="F5956" i="13"/>
  <c r="A5956" i="13"/>
  <c r="F5955" i="13"/>
  <c r="A5955" i="13"/>
  <c r="F5954" i="13"/>
  <c r="A5954" i="13"/>
  <c r="F5953" i="13"/>
  <c r="A5953" i="13"/>
  <c r="F5952" i="13"/>
  <c r="A5952" i="13"/>
  <c r="J5951" i="13"/>
  <c r="F5951" i="13"/>
  <c r="J5950" i="13"/>
  <c r="F5950" i="13"/>
  <c r="F5949" i="13"/>
  <c r="A5949" i="13"/>
  <c r="F5948" i="13"/>
  <c r="A5948" i="13"/>
  <c r="F5947" i="13"/>
  <c r="A5947" i="13"/>
  <c r="F5946" i="13"/>
  <c r="A5946" i="13"/>
  <c r="F5945" i="13"/>
  <c r="A5945" i="13"/>
  <c r="F5944" i="13"/>
  <c r="F5943" i="13"/>
  <c r="A5943" i="13"/>
  <c r="F5942" i="13"/>
  <c r="A5942" i="13"/>
  <c r="F5941" i="13"/>
  <c r="A5941" i="13"/>
  <c r="J5940" i="13"/>
  <c r="F5940" i="13"/>
  <c r="A5940" i="13"/>
  <c r="J5939" i="13"/>
  <c r="F5939" i="13"/>
  <c r="A5939" i="13"/>
  <c r="J5938" i="13"/>
  <c r="F5938" i="13"/>
  <c r="A5938" i="13"/>
  <c r="F5937" i="13"/>
  <c r="A5937" i="13"/>
  <c r="F5936" i="13"/>
  <c r="A5936" i="13"/>
  <c r="F5935" i="13"/>
  <c r="A5935" i="13"/>
  <c r="F5934" i="13"/>
  <c r="A5934" i="13"/>
  <c r="F5933" i="13"/>
  <c r="A5933" i="13"/>
  <c r="F5932" i="13"/>
  <c r="A5932" i="13"/>
  <c r="F5931" i="13"/>
  <c r="A5931" i="13"/>
  <c r="J5930" i="13"/>
  <c r="F5930" i="13"/>
  <c r="A5930" i="13"/>
  <c r="J5929" i="13"/>
  <c r="F5929" i="13"/>
  <c r="A5929" i="13"/>
  <c r="J5928" i="13"/>
  <c r="F5928" i="13"/>
  <c r="A5928" i="13"/>
  <c r="J5927" i="13"/>
  <c r="F5927" i="13"/>
  <c r="A5927" i="13"/>
  <c r="J5926" i="13"/>
  <c r="F5926" i="13"/>
  <c r="A5926" i="13"/>
  <c r="J5925" i="13"/>
  <c r="F5925" i="13"/>
  <c r="A5925" i="13"/>
  <c r="F5924" i="13"/>
  <c r="A5924" i="13"/>
  <c r="F5923" i="13"/>
  <c r="A5923" i="13"/>
  <c r="J5922" i="13"/>
  <c r="F5922" i="13"/>
  <c r="A5922" i="13"/>
  <c r="J5921" i="13"/>
  <c r="F5921" i="13"/>
  <c r="A5921" i="13"/>
  <c r="F5920" i="13"/>
  <c r="A5920" i="13"/>
  <c r="F5919" i="13"/>
  <c r="A5919" i="13"/>
  <c r="J5918" i="13"/>
  <c r="F5918" i="13"/>
  <c r="A5918" i="13"/>
  <c r="J5917" i="13"/>
  <c r="F5917" i="13"/>
  <c r="A5917" i="13"/>
  <c r="J5916" i="13"/>
  <c r="F5916" i="13"/>
  <c r="A5916" i="13"/>
  <c r="F5915" i="13"/>
  <c r="A5915" i="13"/>
  <c r="F5914" i="13"/>
  <c r="A5914" i="13"/>
  <c r="F5913" i="13"/>
  <c r="A5913" i="13"/>
  <c r="F5912" i="13"/>
  <c r="A5912" i="13"/>
  <c r="F5911" i="13"/>
  <c r="A5911" i="13"/>
  <c r="F5910" i="13"/>
  <c r="A5910" i="13"/>
  <c r="F5909" i="13"/>
  <c r="A5909" i="13"/>
  <c r="F5908" i="13"/>
  <c r="A5908" i="13"/>
  <c r="F5907" i="13"/>
  <c r="A5907" i="13"/>
  <c r="F5906" i="13"/>
  <c r="A5906" i="13"/>
  <c r="J5905" i="13"/>
  <c r="F5905" i="13"/>
  <c r="A5905" i="13"/>
  <c r="F5904" i="13"/>
  <c r="A5904" i="13"/>
  <c r="F5903" i="13"/>
  <c r="A5903" i="13"/>
  <c r="J5902" i="13"/>
  <c r="F5902" i="13"/>
  <c r="A5902" i="13"/>
  <c r="J5901" i="13"/>
  <c r="F5901" i="13"/>
  <c r="A5901" i="13"/>
  <c r="J5900" i="13"/>
  <c r="F5900" i="13"/>
  <c r="A5900" i="13"/>
  <c r="F5899" i="13"/>
  <c r="A5899" i="13"/>
  <c r="F5898" i="13"/>
  <c r="A5898" i="13"/>
  <c r="F5897" i="13"/>
  <c r="A5897" i="13"/>
  <c r="F5896" i="13"/>
  <c r="A5896" i="13"/>
  <c r="F5895" i="13"/>
  <c r="A5895" i="13"/>
  <c r="F5894" i="13"/>
  <c r="A5894" i="13"/>
  <c r="F5893" i="13"/>
  <c r="A5893" i="13"/>
  <c r="F5892" i="13"/>
  <c r="A5892" i="13"/>
  <c r="F5891" i="13"/>
  <c r="A5891" i="13"/>
  <c r="F5890" i="13"/>
  <c r="A5890" i="13"/>
  <c r="J5889" i="13"/>
  <c r="F5889" i="13"/>
  <c r="A5889" i="13"/>
  <c r="J5888" i="13"/>
  <c r="F5888" i="13"/>
  <c r="A5888" i="13"/>
  <c r="J5887" i="13"/>
  <c r="F5887" i="13"/>
  <c r="A5887" i="13"/>
  <c r="F5886" i="13"/>
  <c r="A5886" i="13"/>
  <c r="F5885" i="13"/>
  <c r="A5885" i="13"/>
  <c r="F5884" i="13"/>
  <c r="A5884" i="13"/>
  <c r="F5883" i="13"/>
  <c r="A5883" i="13"/>
  <c r="F5882" i="13"/>
  <c r="A5882" i="13"/>
  <c r="F5881" i="13"/>
  <c r="A5881" i="13"/>
  <c r="F5880" i="13"/>
  <c r="A5880" i="13"/>
  <c r="F5879" i="13"/>
  <c r="A5879" i="13"/>
  <c r="F5878" i="13"/>
  <c r="A5878" i="13"/>
  <c r="F5877" i="13"/>
  <c r="A5877" i="13"/>
  <c r="F5876" i="13"/>
  <c r="A5876" i="13"/>
  <c r="F5875" i="13"/>
  <c r="A5875" i="13"/>
  <c r="J5874" i="13"/>
  <c r="F5874" i="13"/>
  <c r="A5874" i="13"/>
  <c r="J5873" i="13"/>
  <c r="F5873" i="13"/>
  <c r="A5873" i="13"/>
  <c r="F5872" i="13"/>
  <c r="A5872" i="13"/>
  <c r="F5871" i="13"/>
  <c r="A5871" i="13"/>
  <c r="J5870" i="13"/>
  <c r="F5870" i="13"/>
  <c r="A5870" i="13"/>
  <c r="F5869" i="13"/>
  <c r="A5869" i="13"/>
  <c r="F5868" i="13"/>
  <c r="A5868" i="13"/>
  <c r="J5867" i="13"/>
  <c r="F5867" i="13"/>
  <c r="A5867" i="13"/>
  <c r="F5866" i="13"/>
  <c r="A5866" i="13"/>
  <c r="J5865" i="13"/>
  <c r="F5865" i="13"/>
  <c r="A5865" i="13"/>
  <c r="J5864" i="13"/>
  <c r="F5864" i="13"/>
  <c r="A5864" i="13"/>
  <c r="F5863" i="13"/>
  <c r="A5863" i="13"/>
  <c r="F5862" i="13"/>
  <c r="A5862" i="13"/>
  <c r="J5861" i="13"/>
  <c r="F5861" i="13"/>
  <c r="A5861" i="13"/>
  <c r="J5860" i="13"/>
  <c r="F5860" i="13"/>
  <c r="A5860" i="13"/>
  <c r="F5859" i="13"/>
  <c r="A5859" i="13"/>
  <c r="J5858" i="13"/>
  <c r="F5858" i="13"/>
  <c r="A5858" i="13"/>
  <c r="J5857" i="13"/>
  <c r="F5857" i="13"/>
  <c r="A5857" i="13"/>
  <c r="J5856" i="13"/>
  <c r="F5856" i="13"/>
  <c r="A5856" i="13"/>
  <c r="F5855" i="13"/>
  <c r="A5855" i="13"/>
  <c r="F5854" i="13"/>
  <c r="A5854" i="13"/>
  <c r="F5853" i="13"/>
  <c r="A5853" i="13"/>
  <c r="F5852" i="13"/>
  <c r="A5852" i="13"/>
  <c r="J5851" i="13"/>
  <c r="F5851" i="13"/>
  <c r="A5851" i="13"/>
  <c r="J5850" i="13"/>
  <c r="F5850" i="13"/>
  <c r="A5850" i="13"/>
  <c r="F5849" i="13"/>
  <c r="A5849" i="13"/>
  <c r="J5848" i="13"/>
  <c r="F5848" i="13"/>
  <c r="A5848" i="13"/>
  <c r="F5847" i="13"/>
  <c r="A5847" i="13"/>
  <c r="F5846" i="13"/>
  <c r="A5846" i="13"/>
  <c r="F5845" i="13"/>
  <c r="A5845" i="13"/>
  <c r="F5844" i="13"/>
  <c r="A5844" i="13"/>
  <c r="F5843" i="13"/>
  <c r="A5843" i="13"/>
  <c r="F5842" i="13"/>
  <c r="A5842" i="13"/>
  <c r="F5841" i="13"/>
  <c r="A5841" i="13"/>
  <c r="F5840" i="13"/>
  <c r="A5840" i="13"/>
  <c r="F5839" i="13"/>
  <c r="A5839" i="13"/>
  <c r="J5838" i="13"/>
  <c r="F5838" i="13"/>
  <c r="A5838" i="13"/>
  <c r="J5837" i="13"/>
  <c r="F5837" i="13"/>
  <c r="A5837" i="13"/>
  <c r="F5836" i="13"/>
  <c r="A5836" i="13"/>
  <c r="F5835" i="13"/>
  <c r="A5835" i="13"/>
  <c r="J5834" i="13"/>
  <c r="F5834" i="13"/>
  <c r="A5834" i="13"/>
  <c r="J5833" i="13"/>
  <c r="F5833" i="13"/>
  <c r="A5833" i="13"/>
  <c r="J5832" i="13"/>
  <c r="F5832" i="13"/>
  <c r="A5832" i="13"/>
  <c r="J5831" i="13"/>
  <c r="F5831" i="13"/>
  <c r="A5831" i="13"/>
  <c r="J5830" i="13"/>
  <c r="F5830" i="13"/>
  <c r="A5830" i="13"/>
  <c r="F5829" i="13"/>
  <c r="A5829" i="13"/>
  <c r="F5828" i="13"/>
  <c r="A5828" i="13"/>
  <c r="F5827" i="13"/>
  <c r="A5827" i="13"/>
  <c r="F5826" i="13"/>
  <c r="A5826" i="13"/>
  <c r="J5825" i="13"/>
  <c r="F5825" i="13"/>
  <c r="A5825" i="13"/>
  <c r="F5824" i="13"/>
  <c r="A5824" i="13"/>
  <c r="F5823" i="13"/>
  <c r="A5823" i="13"/>
  <c r="F5822" i="13"/>
  <c r="A5822" i="13"/>
  <c r="F5821" i="13"/>
  <c r="A5821" i="13"/>
  <c r="J5820" i="13"/>
  <c r="F5820" i="13"/>
  <c r="A5820" i="13"/>
  <c r="F5819" i="13"/>
  <c r="A5819" i="13"/>
  <c r="F5818" i="13"/>
  <c r="A5818" i="13"/>
  <c r="F5817" i="13"/>
  <c r="A5817" i="13"/>
  <c r="J5816" i="13"/>
  <c r="F5816" i="13"/>
  <c r="A5816" i="13"/>
  <c r="J5815" i="13"/>
  <c r="F5815" i="13"/>
  <c r="A5815" i="13"/>
  <c r="F5814" i="13"/>
  <c r="A5814" i="13"/>
  <c r="F5813" i="13"/>
  <c r="A5813" i="13"/>
  <c r="F5812" i="13"/>
  <c r="A5812" i="13"/>
  <c r="J5811" i="13"/>
  <c r="F5811" i="13"/>
  <c r="A5811" i="13"/>
  <c r="F5810" i="13"/>
  <c r="A5810" i="13"/>
  <c r="J5809" i="13"/>
  <c r="F5809" i="13"/>
  <c r="A5809" i="13"/>
  <c r="J5808" i="13"/>
  <c r="F5808" i="13"/>
  <c r="A5808" i="13"/>
  <c r="F5807" i="13"/>
  <c r="A5807" i="13"/>
  <c r="F5806" i="13"/>
  <c r="A5806" i="13"/>
  <c r="F5805" i="13"/>
  <c r="A5805" i="13"/>
  <c r="J5804" i="13"/>
  <c r="F5804" i="13"/>
  <c r="A5804" i="13"/>
  <c r="J5803" i="13"/>
  <c r="F5803" i="13"/>
  <c r="A5803" i="13"/>
  <c r="J5802" i="13"/>
  <c r="F5802" i="13"/>
  <c r="A5802" i="13"/>
  <c r="F5801" i="13"/>
  <c r="A5801" i="13"/>
  <c r="J5800" i="13"/>
  <c r="F5800" i="13"/>
  <c r="A5800" i="13"/>
  <c r="J5799" i="13"/>
  <c r="F5799" i="13"/>
  <c r="A5799" i="13"/>
  <c r="F5798" i="13"/>
  <c r="A5798" i="13"/>
  <c r="J5797" i="13"/>
  <c r="F5797" i="13"/>
  <c r="A5797" i="13"/>
  <c r="J5796" i="13"/>
  <c r="F5796" i="13"/>
  <c r="A5796" i="13"/>
  <c r="F5795" i="13"/>
  <c r="A5795" i="13"/>
  <c r="F5794" i="13"/>
  <c r="A5794" i="13"/>
  <c r="J5793" i="13"/>
  <c r="F5793" i="13"/>
  <c r="A5793" i="13"/>
  <c r="J5792" i="13"/>
  <c r="F5792" i="13"/>
  <c r="A5792" i="13"/>
  <c r="F5791" i="13"/>
  <c r="A5791" i="13"/>
  <c r="J5790" i="13"/>
  <c r="F5790" i="13"/>
  <c r="A5790" i="13"/>
  <c r="J5789" i="13"/>
  <c r="F5789" i="13"/>
  <c r="A5789" i="13"/>
  <c r="F5788" i="13"/>
  <c r="A5788" i="13"/>
  <c r="F5787" i="13"/>
  <c r="A5787" i="13"/>
  <c r="F5786" i="13"/>
  <c r="A5786" i="13"/>
  <c r="J5785" i="13"/>
  <c r="F5785" i="13"/>
  <c r="A5785" i="13"/>
  <c r="J5784" i="13"/>
  <c r="F5784" i="13"/>
  <c r="A5784" i="13"/>
  <c r="J5783" i="13"/>
  <c r="F5783" i="13"/>
  <c r="A5783" i="13"/>
  <c r="F5782" i="13"/>
  <c r="A5782" i="13"/>
  <c r="J5781" i="13"/>
  <c r="F5781" i="13"/>
  <c r="A5781" i="13"/>
  <c r="J5780" i="13"/>
  <c r="F5780" i="13"/>
  <c r="A5780" i="13"/>
  <c r="J5779" i="13"/>
  <c r="F5779" i="13"/>
  <c r="A5779" i="13"/>
  <c r="J5778" i="13"/>
  <c r="F5778" i="13"/>
  <c r="A5778" i="13"/>
  <c r="J5777" i="13"/>
  <c r="F5777" i="13"/>
  <c r="A5777" i="13"/>
  <c r="J5776" i="13"/>
  <c r="F5776" i="13"/>
  <c r="A5776" i="13"/>
  <c r="F5775" i="13"/>
  <c r="A5775" i="13"/>
  <c r="F5774" i="13"/>
  <c r="A5774" i="13"/>
  <c r="J5773" i="13"/>
  <c r="F5773" i="13"/>
  <c r="A5773" i="13"/>
  <c r="J5772" i="13"/>
  <c r="F5772" i="13"/>
  <c r="A5772" i="13"/>
  <c r="F5771" i="13"/>
  <c r="A5771" i="13"/>
  <c r="F5770" i="13"/>
  <c r="A5770" i="13"/>
  <c r="F5769" i="13"/>
  <c r="A5769" i="13"/>
  <c r="F5768" i="13"/>
  <c r="A5768" i="13"/>
  <c r="F5767" i="13"/>
  <c r="A5767" i="13"/>
  <c r="F5766" i="13"/>
  <c r="A5766" i="13"/>
  <c r="F5765" i="13"/>
  <c r="A5765" i="13"/>
  <c r="F5764" i="13"/>
  <c r="A5764" i="13"/>
  <c r="F5763" i="13"/>
  <c r="A5763" i="13"/>
  <c r="F5762" i="13"/>
  <c r="A5762" i="13"/>
  <c r="F5761" i="13"/>
  <c r="A5761" i="13"/>
  <c r="F5760" i="13"/>
  <c r="A5760" i="13"/>
  <c r="F5759" i="13"/>
  <c r="A5759" i="13"/>
  <c r="F5758" i="13"/>
  <c r="A5758" i="13"/>
  <c r="J5757" i="13"/>
  <c r="F5757" i="13"/>
  <c r="A5757" i="13"/>
  <c r="F5756" i="13"/>
  <c r="A5756" i="13"/>
  <c r="F5755" i="13"/>
  <c r="A5755" i="13"/>
  <c r="J5754" i="13"/>
  <c r="F5754" i="13"/>
  <c r="A5754" i="13"/>
  <c r="J5753" i="13"/>
  <c r="F5753" i="13"/>
  <c r="A5753" i="13"/>
  <c r="F5752" i="13"/>
  <c r="A5752" i="13"/>
  <c r="F5751" i="13"/>
  <c r="A5751" i="13"/>
  <c r="F5750" i="13"/>
  <c r="A5750" i="13"/>
  <c r="F5749" i="13"/>
  <c r="A5749" i="13"/>
  <c r="F5748" i="13"/>
  <c r="A5748" i="13"/>
  <c r="J5747" i="13"/>
  <c r="F5747" i="13"/>
  <c r="A5747" i="13"/>
  <c r="J5746" i="13"/>
  <c r="F5746" i="13"/>
  <c r="A5746" i="13"/>
  <c r="F5745" i="13"/>
  <c r="A5745" i="13"/>
  <c r="F5744" i="13"/>
  <c r="A5744" i="13"/>
  <c r="J5743" i="13"/>
  <c r="F5743" i="13"/>
  <c r="A5743" i="13"/>
  <c r="J5742" i="13"/>
  <c r="F5742" i="13"/>
  <c r="A5742" i="13"/>
  <c r="F5741" i="13"/>
  <c r="A5741" i="13"/>
  <c r="F5740" i="13"/>
  <c r="A5740" i="13"/>
  <c r="J5739" i="13"/>
  <c r="F5739" i="13"/>
  <c r="A5739" i="13"/>
  <c r="F5738" i="13"/>
  <c r="A5738" i="13"/>
  <c r="F5737" i="13"/>
  <c r="A5737" i="13"/>
  <c r="F5736" i="13"/>
  <c r="A5736" i="13"/>
  <c r="F5735" i="13"/>
  <c r="A5735" i="13"/>
  <c r="F5734" i="13"/>
  <c r="A5734" i="13"/>
  <c r="F5733" i="13"/>
  <c r="A5733" i="13"/>
  <c r="F5732" i="13"/>
  <c r="A5732" i="13"/>
  <c r="J5731" i="13"/>
  <c r="F5731" i="13"/>
  <c r="A5731" i="13"/>
  <c r="F5730" i="13"/>
  <c r="A5730" i="13"/>
  <c r="F5729" i="13"/>
  <c r="A5729" i="13"/>
  <c r="J5728" i="13"/>
  <c r="F5728" i="13"/>
  <c r="A5728" i="13"/>
  <c r="J5727" i="13"/>
  <c r="F5727" i="13"/>
  <c r="A5727" i="13"/>
  <c r="J5726" i="13"/>
  <c r="F5726" i="13"/>
  <c r="A5726" i="13"/>
  <c r="F5725" i="13"/>
  <c r="A5725" i="13"/>
  <c r="J5724" i="13"/>
  <c r="F5724" i="13"/>
  <c r="A5724" i="13"/>
  <c r="J5723" i="13"/>
  <c r="F5723" i="13"/>
  <c r="A5723" i="13"/>
  <c r="J5722" i="13"/>
  <c r="F5722" i="13"/>
  <c r="A5722" i="13"/>
  <c r="J5721" i="13"/>
  <c r="F5721" i="13"/>
  <c r="A5721" i="13"/>
  <c r="J5720" i="13"/>
  <c r="F5720" i="13"/>
  <c r="A5720" i="13"/>
  <c r="J5719" i="13"/>
  <c r="F5719" i="13"/>
  <c r="A5719" i="13"/>
  <c r="J5718" i="13"/>
  <c r="F5718" i="13"/>
  <c r="A5718" i="13"/>
  <c r="J5717" i="13"/>
  <c r="F5717" i="13"/>
  <c r="A5717" i="13"/>
  <c r="F5716" i="13"/>
  <c r="A5716" i="13"/>
  <c r="F5715" i="13"/>
  <c r="A5715" i="13"/>
  <c r="J5714" i="13"/>
  <c r="F5714" i="13"/>
  <c r="A5714" i="13"/>
  <c r="J5713" i="13"/>
  <c r="F5713" i="13"/>
  <c r="A5713" i="13"/>
  <c r="J5712" i="13"/>
  <c r="F5712" i="13"/>
  <c r="A5712" i="13"/>
  <c r="J5711" i="13"/>
  <c r="F5711" i="13"/>
  <c r="A5711" i="13"/>
  <c r="F5710" i="13"/>
  <c r="A5710" i="13"/>
  <c r="F5709" i="13"/>
  <c r="A5709" i="13"/>
  <c r="F5708" i="13"/>
  <c r="A5708" i="13"/>
  <c r="F5707" i="13"/>
  <c r="A5707" i="13"/>
  <c r="J5706" i="13"/>
  <c r="F5706" i="13"/>
  <c r="A5706" i="13"/>
  <c r="J5705" i="13"/>
  <c r="F5705" i="13"/>
  <c r="A5705" i="13"/>
  <c r="J5704" i="13"/>
  <c r="F5704" i="13"/>
  <c r="A5704" i="13"/>
  <c r="J5703" i="13"/>
  <c r="F5703" i="13"/>
  <c r="A5703" i="13"/>
  <c r="F5702" i="13"/>
  <c r="A5702" i="13"/>
  <c r="F5701" i="13"/>
  <c r="A5701" i="13"/>
  <c r="J5700" i="13"/>
  <c r="F5700" i="13"/>
  <c r="A5700" i="13"/>
  <c r="J5699" i="13"/>
  <c r="F5699" i="13"/>
  <c r="A5699" i="13"/>
  <c r="J5698" i="13"/>
  <c r="F5698" i="13"/>
  <c r="A5698" i="13"/>
  <c r="J5697" i="13"/>
  <c r="F5697" i="13"/>
  <c r="A5697" i="13"/>
  <c r="F5696" i="13"/>
  <c r="A5696" i="13"/>
  <c r="J5695" i="13"/>
  <c r="F5695" i="13"/>
  <c r="A5695" i="13"/>
  <c r="J5694" i="13"/>
  <c r="F5694" i="13"/>
  <c r="A5694" i="13"/>
  <c r="J5693" i="13"/>
  <c r="F5693" i="13"/>
  <c r="A5693" i="13"/>
  <c r="J5692" i="13"/>
  <c r="F5692" i="13"/>
  <c r="A5692" i="13"/>
  <c r="J5691" i="13"/>
  <c r="F5691" i="13"/>
  <c r="A5691" i="13"/>
  <c r="F5690" i="13"/>
  <c r="A5690" i="13"/>
  <c r="F5689" i="13"/>
  <c r="A5689" i="13"/>
  <c r="F5688" i="13"/>
  <c r="A5688" i="13"/>
  <c r="J5687" i="13"/>
  <c r="F5687" i="13"/>
  <c r="A5687" i="13"/>
  <c r="F5686" i="13"/>
  <c r="A5686" i="13"/>
  <c r="F5685" i="13"/>
  <c r="A5685" i="13"/>
  <c r="J5684" i="13"/>
  <c r="F5684" i="13"/>
  <c r="A5684" i="13"/>
  <c r="J5683" i="13"/>
  <c r="F5683" i="13"/>
  <c r="A5683" i="13"/>
  <c r="J5682" i="13"/>
  <c r="F5682" i="13"/>
  <c r="A5682" i="13"/>
  <c r="J5681" i="13"/>
  <c r="F5681" i="13"/>
  <c r="A5681" i="13"/>
  <c r="F5680" i="13"/>
  <c r="A5680" i="13"/>
  <c r="F5679" i="13"/>
  <c r="A5679" i="13"/>
  <c r="J5678" i="13"/>
  <c r="F5678" i="13"/>
  <c r="A5678" i="13"/>
  <c r="J5677" i="13"/>
  <c r="F5677" i="13"/>
  <c r="A5677" i="13"/>
  <c r="F5676" i="13"/>
  <c r="A5676" i="13"/>
  <c r="J5675" i="13"/>
  <c r="F5675" i="13"/>
  <c r="A5675" i="13"/>
  <c r="J5674" i="13"/>
  <c r="F5674" i="13"/>
  <c r="A5674" i="13"/>
  <c r="J5673" i="13"/>
  <c r="F5673" i="13"/>
  <c r="A5673" i="13"/>
  <c r="F5672" i="13"/>
  <c r="A5672" i="13"/>
  <c r="F5671" i="13"/>
  <c r="A5671" i="13"/>
  <c r="F5670" i="13"/>
  <c r="A5670" i="13"/>
  <c r="F5669" i="13"/>
  <c r="A5669" i="13"/>
  <c r="F5668" i="13"/>
  <c r="A5668" i="13"/>
  <c r="F5667" i="13"/>
  <c r="A5667" i="13"/>
  <c r="F5666" i="13"/>
  <c r="A5666" i="13"/>
  <c r="F5665" i="13"/>
  <c r="A5665" i="13"/>
  <c r="F5664" i="13"/>
  <c r="A5664" i="13"/>
  <c r="F5663" i="13"/>
  <c r="A5663" i="13"/>
  <c r="F5662" i="13"/>
  <c r="A5662" i="13"/>
  <c r="F5661" i="13"/>
  <c r="A5661" i="13"/>
  <c r="F5660" i="13"/>
  <c r="A5660" i="13"/>
  <c r="F5659" i="13"/>
  <c r="A5659" i="13"/>
  <c r="F5658" i="13"/>
  <c r="A5658" i="13"/>
  <c r="F5657" i="13"/>
  <c r="A5657" i="13"/>
  <c r="J5656" i="13"/>
  <c r="F5656" i="13"/>
  <c r="A5656" i="13"/>
  <c r="F5655" i="13"/>
  <c r="A5655" i="13"/>
  <c r="J5654" i="13"/>
  <c r="F5654" i="13"/>
  <c r="A5654" i="13"/>
  <c r="J5653" i="13"/>
  <c r="F5653" i="13"/>
  <c r="A5653" i="13"/>
  <c r="J5652" i="13"/>
  <c r="F5652" i="13"/>
  <c r="A5652" i="13"/>
  <c r="F5651" i="13"/>
  <c r="A5651" i="13"/>
  <c r="F5650" i="13"/>
  <c r="A5650" i="13"/>
  <c r="F5649" i="13"/>
  <c r="A5649" i="13"/>
  <c r="J5648" i="13"/>
  <c r="F5648" i="13"/>
  <c r="A5648" i="13"/>
  <c r="J5647" i="13"/>
  <c r="F5647" i="13"/>
  <c r="A5647" i="13"/>
  <c r="F5646" i="13"/>
  <c r="A5646" i="13"/>
  <c r="F5645" i="13"/>
  <c r="A5645" i="13"/>
  <c r="F5644" i="13"/>
  <c r="A5644" i="13"/>
  <c r="F5643" i="13"/>
  <c r="A5643" i="13"/>
  <c r="F5642" i="13"/>
  <c r="A5642" i="13"/>
  <c r="F5641" i="13"/>
  <c r="A5641" i="13"/>
  <c r="F5640" i="13"/>
  <c r="A5640" i="13"/>
  <c r="J5639" i="13"/>
  <c r="F5639" i="13"/>
  <c r="A5639" i="13"/>
  <c r="F5638" i="13"/>
  <c r="A5638" i="13"/>
  <c r="F5637" i="13"/>
  <c r="A5637" i="13"/>
  <c r="J5636" i="13"/>
  <c r="F5636" i="13"/>
  <c r="A5636" i="13"/>
  <c r="J5635" i="13"/>
  <c r="F5635" i="13"/>
  <c r="A5635" i="13"/>
  <c r="J5634" i="13"/>
  <c r="F5634" i="13"/>
  <c r="A5634" i="13"/>
  <c r="J5633" i="13"/>
  <c r="F5633" i="13"/>
  <c r="A5633" i="13"/>
  <c r="J5632" i="13"/>
  <c r="F5632" i="13"/>
  <c r="A5632" i="13"/>
  <c r="J5631" i="13"/>
  <c r="F5631" i="13"/>
  <c r="A5631" i="13"/>
  <c r="J5630" i="13"/>
  <c r="F5630" i="13"/>
  <c r="A5630" i="13"/>
  <c r="F5629" i="13"/>
  <c r="A5629" i="13"/>
  <c r="J5628" i="13"/>
  <c r="F5628" i="13"/>
  <c r="A5628" i="13"/>
  <c r="F5627" i="13"/>
  <c r="A5627" i="13"/>
  <c r="J5626" i="13"/>
  <c r="F5626" i="13"/>
  <c r="A5626" i="13"/>
  <c r="J5625" i="13"/>
  <c r="F5625" i="13"/>
  <c r="A5625" i="13"/>
  <c r="J5624" i="13"/>
  <c r="F5624" i="13"/>
  <c r="A5624" i="13"/>
  <c r="F5623" i="13"/>
  <c r="A5623" i="13"/>
  <c r="J5622" i="13"/>
  <c r="F5622" i="13"/>
  <c r="A5622" i="13"/>
  <c r="J5621" i="13"/>
  <c r="F5621" i="13"/>
  <c r="A5621" i="13"/>
  <c r="J5620" i="13"/>
  <c r="F5620" i="13"/>
  <c r="A5620" i="13"/>
  <c r="J5619" i="13"/>
  <c r="F5619" i="13"/>
  <c r="A5619" i="13"/>
  <c r="F5618" i="13"/>
  <c r="A5618" i="13"/>
  <c r="F5617" i="13"/>
  <c r="A5617" i="13"/>
  <c r="F5616" i="13"/>
  <c r="A5616" i="13"/>
  <c r="F5615" i="13"/>
  <c r="A5615" i="13"/>
  <c r="F5614" i="13"/>
  <c r="A5614" i="13"/>
  <c r="F5613" i="13"/>
  <c r="A5613" i="13"/>
  <c r="J5612" i="13"/>
  <c r="F5612" i="13"/>
  <c r="A5612" i="13"/>
  <c r="J5611" i="13"/>
  <c r="F5611" i="13"/>
  <c r="A5611" i="13"/>
  <c r="J5610" i="13"/>
  <c r="F5610" i="13"/>
  <c r="A5610" i="13"/>
  <c r="J5609" i="13"/>
  <c r="F5609" i="13"/>
  <c r="A5609" i="13"/>
  <c r="F5608" i="13"/>
  <c r="A5608" i="13"/>
  <c r="F5607" i="13"/>
  <c r="A5607" i="13"/>
  <c r="F5606" i="13"/>
  <c r="A5606" i="13"/>
  <c r="J5605" i="13"/>
  <c r="F5605" i="13"/>
  <c r="A5605" i="13"/>
  <c r="F5604" i="13"/>
  <c r="A5604" i="13"/>
  <c r="F5603" i="13"/>
  <c r="A5603" i="13"/>
  <c r="F5602" i="13"/>
  <c r="A5602" i="13"/>
  <c r="J5601" i="13"/>
  <c r="F5601" i="13"/>
  <c r="A5601" i="13"/>
  <c r="J5600" i="13"/>
  <c r="F5600" i="13"/>
  <c r="A5600" i="13"/>
  <c r="J5599" i="13"/>
  <c r="F5599" i="13"/>
  <c r="A5599" i="13"/>
  <c r="J5598" i="13"/>
  <c r="F5598" i="13"/>
  <c r="A5598" i="13"/>
  <c r="F5597" i="13"/>
  <c r="A5597" i="13"/>
  <c r="J5596" i="13"/>
  <c r="F5596" i="13"/>
  <c r="A5596" i="13"/>
  <c r="J5595" i="13"/>
  <c r="F5595" i="13"/>
  <c r="A5595" i="13"/>
  <c r="F5594" i="13"/>
  <c r="A5594" i="13"/>
  <c r="F5593" i="13"/>
  <c r="A5593" i="13"/>
  <c r="J5592" i="13"/>
  <c r="F5592" i="13"/>
  <c r="A5592" i="13"/>
  <c r="J5591" i="13"/>
  <c r="F5591" i="13"/>
  <c r="A5591" i="13"/>
  <c r="J5590" i="13"/>
  <c r="F5590" i="13"/>
  <c r="A5590" i="13"/>
  <c r="J5589" i="13"/>
  <c r="F5589" i="13"/>
  <c r="A5589" i="13"/>
  <c r="F5588" i="13"/>
  <c r="A5588" i="13"/>
  <c r="J5587" i="13"/>
  <c r="F5587" i="13"/>
  <c r="A5587" i="13"/>
  <c r="J5586" i="13"/>
  <c r="F5586" i="13"/>
  <c r="A5586" i="13"/>
  <c r="J5585" i="13"/>
  <c r="F5585" i="13"/>
  <c r="A5585" i="13"/>
  <c r="J5584" i="13"/>
  <c r="F5584" i="13"/>
  <c r="A5584" i="13"/>
  <c r="F5583" i="13"/>
  <c r="A5583" i="13"/>
  <c r="F5582" i="13"/>
  <c r="A5582" i="13"/>
  <c r="F5581" i="13"/>
  <c r="A5581" i="13"/>
  <c r="F5580" i="13"/>
  <c r="A5580" i="13"/>
  <c r="J5579" i="13"/>
  <c r="F5579" i="13"/>
  <c r="A5579" i="13"/>
  <c r="J5578" i="13"/>
  <c r="F5578" i="13"/>
  <c r="A5578" i="13"/>
  <c r="J5577" i="13"/>
  <c r="F5577" i="13"/>
  <c r="A5577" i="13"/>
  <c r="J5576" i="13"/>
  <c r="F5576" i="13"/>
  <c r="A5576" i="13"/>
  <c r="F5575" i="13"/>
  <c r="A5575" i="13"/>
  <c r="F5574" i="13"/>
  <c r="A5574" i="13"/>
  <c r="F5573" i="13"/>
  <c r="A5573" i="13"/>
  <c r="F5572" i="13"/>
  <c r="A5572" i="13"/>
  <c r="F5571" i="13"/>
  <c r="A5571" i="13"/>
  <c r="J5570" i="13"/>
  <c r="F5570" i="13"/>
  <c r="A5570" i="13"/>
  <c r="J5569" i="13"/>
  <c r="F5569" i="13"/>
  <c r="A5569" i="13"/>
  <c r="J5568" i="13"/>
  <c r="F5568" i="13"/>
  <c r="A5568" i="13"/>
  <c r="J5567" i="13"/>
  <c r="F5567" i="13"/>
  <c r="A5567" i="13"/>
  <c r="F5566" i="13"/>
  <c r="A5566" i="13"/>
  <c r="J5565" i="13"/>
  <c r="F5565" i="13"/>
  <c r="A5565" i="13"/>
  <c r="J5564" i="13"/>
  <c r="F5564" i="13"/>
  <c r="A5564" i="13"/>
  <c r="F5563" i="13"/>
  <c r="A5563" i="13"/>
  <c r="J5562" i="13"/>
  <c r="F5562" i="13"/>
  <c r="A5562" i="13"/>
  <c r="J5561" i="13"/>
  <c r="F5561" i="13"/>
  <c r="A5561" i="13"/>
  <c r="J5560" i="13"/>
  <c r="F5560" i="13"/>
  <c r="A5560" i="13"/>
  <c r="J5559" i="13"/>
  <c r="F5559" i="13"/>
  <c r="A5559" i="13"/>
  <c r="F5558" i="13"/>
  <c r="A5558" i="13"/>
  <c r="J5557" i="13"/>
  <c r="F5557" i="13"/>
  <c r="A5557" i="13"/>
  <c r="J5556" i="13"/>
  <c r="F5556" i="13"/>
  <c r="A5556" i="13"/>
  <c r="J5555" i="13"/>
  <c r="F5555" i="13"/>
  <c r="A5555" i="13"/>
  <c r="J5554" i="13"/>
  <c r="F5554" i="13"/>
  <c r="A5554" i="13"/>
  <c r="F5553" i="13"/>
  <c r="A5553" i="13"/>
  <c r="J5552" i="13"/>
  <c r="F5552" i="13"/>
  <c r="A5552" i="13"/>
  <c r="F5551" i="13"/>
  <c r="A5551" i="13"/>
  <c r="F5550" i="13"/>
  <c r="A5550" i="13"/>
  <c r="F5549" i="13"/>
  <c r="A5549" i="13"/>
  <c r="J5548" i="13"/>
  <c r="F5548" i="13"/>
  <c r="A5548" i="13"/>
  <c r="J5547" i="13"/>
  <c r="F5547" i="13"/>
  <c r="A5547" i="13"/>
  <c r="J5546" i="13"/>
  <c r="F5546" i="13"/>
  <c r="A5546" i="13"/>
  <c r="J5545" i="13"/>
  <c r="F5545" i="13"/>
  <c r="A5545" i="13"/>
  <c r="F5544" i="13"/>
  <c r="A5544" i="13"/>
  <c r="F5543" i="13"/>
  <c r="A5543" i="13"/>
  <c r="F5542" i="13"/>
  <c r="A5542" i="13"/>
  <c r="J5541" i="13"/>
  <c r="F5541" i="13"/>
  <c r="A5541" i="13"/>
  <c r="J5540" i="13"/>
  <c r="F5540" i="13"/>
  <c r="A5540" i="13"/>
  <c r="J5539" i="13"/>
  <c r="F5539" i="13"/>
  <c r="A5539" i="13"/>
  <c r="J5538" i="13"/>
  <c r="F5538" i="13"/>
  <c r="A5538" i="13"/>
  <c r="J5537" i="13"/>
  <c r="F5537" i="13"/>
  <c r="A5537" i="13"/>
  <c r="J5536" i="13"/>
  <c r="F5536" i="13"/>
  <c r="A5536" i="13"/>
  <c r="J5535" i="13"/>
  <c r="F5535" i="13"/>
  <c r="A5535" i="13"/>
  <c r="F5534" i="13"/>
  <c r="A5534" i="13"/>
  <c r="J5533" i="13"/>
  <c r="F5533" i="13"/>
  <c r="A5533" i="13"/>
  <c r="F5532" i="13"/>
  <c r="A5532" i="13"/>
  <c r="J5531" i="13"/>
  <c r="F5531" i="13"/>
  <c r="A5531" i="13"/>
  <c r="J5530" i="13"/>
  <c r="F5530" i="13"/>
  <c r="A5530" i="13"/>
  <c r="F5529" i="13"/>
  <c r="A5529" i="13"/>
  <c r="F5528" i="13"/>
  <c r="A5528" i="13"/>
  <c r="F5527" i="13"/>
  <c r="A5527" i="13"/>
  <c r="F5526" i="13"/>
  <c r="A5526" i="13"/>
  <c r="J5525" i="13"/>
  <c r="F5525" i="13"/>
  <c r="A5525" i="13"/>
  <c r="J5524" i="13"/>
  <c r="F5524" i="13"/>
  <c r="A5524" i="13"/>
  <c r="J5523" i="13"/>
  <c r="F5523" i="13"/>
  <c r="A5523" i="13"/>
  <c r="J5522" i="13"/>
  <c r="F5522" i="13"/>
  <c r="A5522" i="13"/>
  <c r="J5521" i="13"/>
  <c r="F5521" i="13"/>
  <c r="A5521" i="13"/>
  <c r="F5520" i="13"/>
  <c r="A5520" i="13"/>
  <c r="F5519" i="13"/>
  <c r="A5519" i="13"/>
  <c r="F5518" i="13"/>
  <c r="A5518" i="13"/>
  <c r="F5517" i="13"/>
  <c r="A5517" i="13"/>
  <c r="F5516" i="13"/>
  <c r="A5516" i="13"/>
  <c r="F5515" i="13"/>
  <c r="A5515" i="13"/>
  <c r="F5514" i="13"/>
  <c r="A5514" i="13"/>
  <c r="F5513" i="13"/>
  <c r="A5513" i="13"/>
  <c r="F5512" i="13"/>
  <c r="A5512" i="13"/>
  <c r="F5511" i="13"/>
  <c r="A5511" i="13"/>
  <c r="F5510" i="13"/>
  <c r="A5510" i="13"/>
  <c r="F5509" i="13"/>
  <c r="A5509" i="13"/>
  <c r="F5508" i="13"/>
  <c r="A5508" i="13"/>
  <c r="F5507" i="13"/>
  <c r="A5507" i="13"/>
  <c r="F5506" i="13"/>
  <c r="A5506" i="13"/>
  <c r="F5505" i="13"/>
  <c r="A5505" i="13"/>
  <c r="F5504" i="13"/>
  <c r="A5504" i="13"/>
  <c r="J5503" i="13"/>
  <c r="F5503" i="13"/>
  <c r="A5503" i="13"/>
  <c r="J5502" i="13"/>
  <c r="F5502" i="13"/>
  <c r="A5502" i="13"/>
  <c r="F5501" i="13"/>
  <c r="A5501" i="13"/>
  <c r="F5500" i="13"/>
  <c r="A5500" i="13"/>
  <c r="F5499" i="13"/>
  <c r="A5499" i="13"/>
  <c r="F5498" i="13"/>
  <c r="A5498" i="13"/>
  <c r="F5497" i="13"/>
  <c r="A5497" i="13"/>
  <c r="F5496" i="13"/>
  <c r="A5496" i="13"/>
  <c r="F5495" i="13"/>
  <c r="A5495" i="13"/>
  <c r="F5494" i="13"/>
  <c r="A5494" i="13"/>
  <c r="F5493" i="13"/>
  <c r="A5493" i="13"/>
  <c r="F5492" i="13"/>
  <c r="A5492" i="13"/>
  <c r="F5491" i="13"/>
  <c r="A5491" i="13"/>
  <c r="F5490" i="13"/>
  <c r="A5490" i="13"/>
  <c r="F5489" i="13"/>
  <c r="A5489" i="13"/>
  <c r="F5488" i="13"/>
  <c r="A5488" i="13"/>
  <c r="F5487" i="13"/>
  <c r="A5487" i="13"/>
  <c r="F5486" i="13"/>
  <c r="A5486" i="13"/>
  <c r="F5485" i="13"/>
  <c r="A5485" i="13"/>
  <c r="F5484" i="13"/>
  <c r="A5484" i="13"/>
  <c r="F5483" i="13"/>
  <c r="A5483" i="13"/>
  <c r="F5482" i="13"/>
  <c r="A5482" i="13"/>
  <c r="F5481" i="13"/>
  <c r="A5481" i="13"/>
  <c r="F5480" i="13"/>
  <c r="A5480" i="13"/>
  <c r="F5479" i="13"/>
  <c r="A5479" i="13"/>
  <c r="F5478" i="13"/>
  <c r="A5478" i="13"/>
  <c r="F5477" i="13"/>
  <c r="A5477" i="13"/>
  <c r="F5476" i="13"/>
  <c r="A5476" i="13"/>
  <c r="F5475" i="13"/>
  <c r="A5475" i="13"/>
  <c r="F5474" i="13"/>
  <c r="A5474" i="13"/>
  <c r="F5473" i="13"/>
  <c r="A5473" i="13"/>
  <c r="F5472" i="13"/>
  <c r="A5472" i="13"/>
  <c r="F5471" i="13"/>
  <c r="A5471" i="13"/>
  <c r="F5470" i="13"/>
  <c r="A5470" i="13"/>
  <c r="F5469" i="13"/>
  <c r="A5469" i="13"/>
  <c r="F5468" i="13"/>
  <c r="A5468" i="13"/>
  <c r="F5467" i="13"/>
  <c r="A5467" i="13"/>
  <c r="F5466" i="13"/>
  <c r="A5466" i="13"/>
  <c r="F5465" i="13"/>
  <c r="A5465" i="13"/>
  <c r="F5464" i="13"/>
  <c r="A5464" i="13"/>
  <c r="F5463" i="13"/>
  <c r="A5463" i="13"/>
  <c r="F5462" i="13"/>
  <c r="A5462" i="13"/>
  <c r="F5461" i="13"/>
  <c r="A5461" i="13"/>
  <c r="F5460" i="13"/>
  <c r="A5460" i="13"/>
  <c r="J5459" i="13"/>
  <c r="F5459" i="13"/>
  <c r="A5459" i="13"/>
  <c r="F5458" i="13"/>
  <c r="A5458" i="13"/>
  <c r="F5457" i="13"/>
  <c r="A5457" i="13"/>
  <c r="F5456" i="13"/>
  <c r="A5456" i="13"/>
  <c r="F5455" i="13"/>
  <c r="A5455" i="13"/>
  <c r="F5454" i="13"/>
  <c r="A5454" i="13"/>
  <c r="F5453" i="13"/>
  <c r="A5453" i="13"/>
  <c r="F5452" i="13"/>
  <c r="A5452" i="13"/>
  <c r="F5451" i="13"/>
  <c r="A5451" i="13"/>
  <c r="F5450" i="13"/>
  <c r="A5450" i="13"/>
  <c r="F5449" i="13"/>
  <c r="A5449" i="13"/>
  <c r="F5448" i="13"/>
  <c r="A5448" i="13"/>
  <c r="F5447" i="13"/>
  <c r="A5447" i="13"/>
  <c r="F5446" i="13"/>
  <c r="A5446" i="13"/>
  <c r="F5445" i="13"/>
  <c r="A5445" i="13"/>
  <c r="F5444" i="13"/>
  <c r="A5444" i="13"/>
  <c r="F5443" i="13"/>
  <c r="A5443" i="13"/>
  <c r="F5442" i="13"/>
  <c r="A5442" i="13"/>
  <c r="F5441" i="13"/>
  <c r="A5441" i="13"/>
  <c r="F5440" i="13"/>
  <c r="A5440" i="13"/>
  <c r="F5439" i="13"/>
  <c r="A5439" i="13"/>
  <c r="F5438" i="13"/>
  <c r="A5438" i="13"/>
  <c r="F5437" i="13"/>
  <c r="A5437" i="13"/>
  <c r="F5436" i="13"/>
  <c r="A5436" i="13"/>
  <c r="F5435" i="13"/>
  <c r="A5435" i="13"/>
  <c r="F5434" i="13"/>
  <c r="A5434" i="13"/>
  <c r="F5433" i="13"/>
  <c r="A5433" i="13"/>
  <c r="F5432" i="13"/>
  <c r="A5432" i="13"/>
  <c r="F5431" i="13"/>
  <c r="A5431" i="13"/>
  <c r="F5430" i="13"/>
  <c r="A5430" i="13"/>
  <c r="F5429" i="13"/>
  <c r="A5429" i="13"/>
  <c r="F5428" i="13"/>
  <c r="A5428" i="13"/>
  <c r="F5427" i="13"/>
  <c r="A5427" i="13"/>
  <c r="F5426" i="13"/>
  <c r="A5426" i="13"/>
  <c r="F5425" i="13"/>
  <c r="A5425" i="13"/>
  <c r="F5424" i="13"/>
  <c r="A5424" i="13"/>
  <c r="F5423" i="13"/>
  <c r="A5423" i="13"/>
  <c r="F5422" i="13"/>
  <c r="A5422" i="13"/>
  <c r="F5421" i="13"/>
  <c r="A5421" i="13"/>
  <c r="F5420" i="13"/>
  <c r="A5420" i="13"/>
  <c r="F5419" i="13"/>
  <c r="A5419" i="13"/>
  <c r="F5418" i="13"/>
  <c r="A5418" i="13"/>
  <c r="F5417" i="13"/>
  <c r="A5417" i="13"/>
  <c r="F5416" i="13"/>
  <c r="A5416" i="13"/>
  <c r="F5415" i="13"/>
  <c r="A5415" i="13"/>
  <c r="F5414" i="13"/>
  <c r="A5414" i="13"/>
  <c r="F5413" i="13"/>
  <c r="A5413" i="13"/>
  <c r="F5412" i="13"/>
  <c r="A5412" i="13"/>
  <c r="F5411" i="13"/>
  <c r="A5411" i="13"/>
  <c r="F5410" i="13"/>
  <c r="A5410" i="13"/>
  <c r="F5409" i="13"/>
  <c r="A5409" i="13"/>
  <c r="F5408" i="13"/>
  <c r="A5408" i="13"/>
  <c r="F5407" i="13"/>
  <c r="A5407" i="13"/>
  <c r="F5406" i="13"/>
  <c r="A5406" i="13"/>
  <c r="F5405" i="13"/>
  <c r="A5405" i="13"/>
  <c r="F5404" i="13"/>
  <c r="A5404" i="13"/>
  <c r="F5403" i="13"/>
  <c r="A5403" i="13"/>
  <c r="F5402" i="13"/>
  <c r="A5402" i="13"/>
  <c r="F5401" i="13"/>
  <c r="A5401" i="13"/>
  <c r="F5400" i="13"/>
  <c r="A5400" i="13"/>
  <c r="F5399" i="13"/>
  <c r="A5399" i="13"/>
  <c r="F5398" i="13"/>
  <c r="A5398" i="13"/>
  <c r="F5397" i="13"/>
  <c r="A5397" i="13"/>
  <c r="F5396" i="13"/>
  <c r="A5396" i="13"/>
  <c r="F5395" i="13"/>
  <c r="A5395" i="13"/>
  <c r="F5394" i="13"/>
  <c r="A5394" i="13"/>
  <c r="F5393" i="13"/>
  <c r="A5393" i="13"/>
  <c r="F5392" i="13"/>
  <c r="A5392" i="13"/>
  <c r="F5391" i="13"/>
  <c r="A5391" i="13"/>
  <c r="F5390" i="13"/>
  <c r="A5390" i="13"/>
  <c r="F5389" i="13"/>
  <c r="A5389" i="13"/>
  <c r="F5388" i="13"/>
  <c r="A5388" i="13"/>
  <c r="F5387" i="13"/>
  <c r="A5387" i="13"/>
  <c r="F5386" i="13"/>
  <c r="A5386" i="13"/>
  <c r="F5385" i="13"/>
  <c r="A5385" i="13"/>
  <c r="F5384" i="13"/>
  <c r="A5384" i="13"/>
  <c r="F5383" i="13"/>
  <c r="A5383" i="13"/>
  <c r="F5382" i="13"/>
  <c r="A5382" i="13"/>
  <c r="F5381" i="13"/>
  <c r="A5381" i="13"/>
  <c r="F5380" i="13"/>
  <c r="A5380" i="13"/>
  <c r="F5379" i="13"/>
  <c r="A5379" i="13"/>
  <c r="F5378" i="13"/>
  <c r="A5378" i="13"/>
  <c r="F5377" i="13"/>
  <c r="A5377" i="13"/>
  <c r="F5376" i="13"/>
  <c r="A5376" i="13"/>
  <c r="F5375" i="13"/>
  <c r="A5375" i="13"/>
  <c r="F5374" i="13"/>
  <c r="A5374" i="13"/>
  <c r="F5373" i="13"/>
  <c r="A5373" i="13"/>
  <c r="F5372" i="13"/>
  <c r="A5372" i="13"/>
  <c r="F5371" i="13"/>
  <c r="A5371" i="13"/>
  <c r="F5370" i="13"/>
  <c r="A5370" i="13"/>
  <c r="F5369" i="13"/>
  <c r="A5369" i="13"/>
  <c r="F5368" i="13"/>
  <c r="A5368" i="13"/>
  <c r="F5367" i="13"/>
  <c r="A5367" i="13"/>
  <c r="F5366" i="13"/>
  <c r="A5366" i="13"/>
  <c r="F5365" i="13"/>
  <c r="A5365" i="13"/>
  <c r="F5364" i="13"/>
  <c r="A5364" i="13"/>
  <c r="F5363" i="13"/>
  <c r="A5363" i="13"/>
  <c r="F5362" i="13"/>
  <c r="A5362" i="13"/>
  <c r="F5361" i="13"/>
  <c r="A5361" i="13"/>
  <c r="F5360" i="13"/>
  <c r="A5360" i="13"/>
  <c r="F5359" i="13"/>
  <c r="A5359" i="13"/>
  <c r="F5358" i="13"/>
  <c r="A5358" i="13"/>
  <c r="F5357" i="13"/>
  <c r="A5357" i="13"/>
  <c r="F5356" i="13"/>
  <c r="A5356" i="13"/>
  <c r="F5355" i="13"/>
  <c r="A5355" i="13"/>
  <c r="F5354" i="13"/>
  <c r="A5354" i="13"/>
  <c r="F5353" i="13"/>
  <c r="A5353" i="13"/>
  <c r="F5352" i="13"/>
  <c r="A5352" i="13"/>
  <c r="F5351" i="13"/>
  <c r="A5351" i="13"/>
  <c r="F5350" i="13"/>
  <c r="A5350" i="13"/>
  <c r="F5349" i="13"/>
  <c r="A5349" i="13"/>
  <c r="F5348" i="13"/>
  <c r="A5348" i="13"/>
  <c r="F5347" i="13"/>
  <c r="A5347" i="13"/>
  <c r="F5346" i="13"/>
  <c r="A5346" i="13"/>
  <c r="F5345" i="13"/>
  <c r="A5345" i="13"/>
  <c r="F5344" i="13"/>
  <c r="A5344" i="13"/>
  <c r="F5343" i="13"/>
  <c r="A5343" i="13"/>
  <c r="F5342" i="13"/>
  <c r="A5342" i="13"/>
  <c r="F5341" i="13"/>
  <c r="A5341" i="13"/>
  <c r="F5340" i="13"/>
  <c r="A5340" i="13"/>
  <c r="F5339" i="13"/>
  <c r="A5339" i="13"/>
  <c r="F5338" i="13"/>
  <c r="A5338" i="13"/>
  <c r="F5337" i="13"/>
  <c r="A5337" i="13"/>
  <c r="F5336" i="13"/>
  <c r="A5336" i="13"/>
  <c r="F5335" i="13"/>
  <c r="A5335" i="13"/>
  <c r="F5334" i="13"/>
  <c r="A5334" i="13"/>
  <c r="F5333" i="13"/>
  <c r="A5333" i="13"/>
  <c r="F5332" i="13"/>
  <c r="A5332" i="13"/>
  <c r="F5331" i="13"/>
  <c r="A5331" i="13"/>
  <c r="F5330" i="13"/>
  <c r="A5330" i="13"/>
  <c r="F5329" i="13"/>
  <c r="A5329" i="13"/>
  <c r="F5328" i="13"/>
  <c r="A5328" i="13"/>
  <c r="F5327" i="13"/>
  <c r="A5327" i="13"/>
  <c r="F5326" i="13"/>
  <c r="A5326" i="13"/>
  <c r="F5325" i="13"/>
  <c r="A5325" i="13"/>
  <c r="F5324" i="13"/>
  <c r="A5324" i="13"/>
  <c r="F5323" i="13"/>
  <c r="A5323" i="13"/>
  <c r="F5322" i="13"/>
  <c r="A5322" i="13"/>
  <c r="F5321" i="13"/>
  <c r="A5321" i="13"/>
  <c r="F5320" i="13"/>
  <c r="A5320" i="13"/>
  <c r="F5319" i="13"/>
  <c r="A5319" i="13"/>
  <c r="F5318" i="13"/>
  <c r="A5318" i="13"/>
  <c r="F5317" i="13"/>
  <c r="A5317" i="13"/>
  <c r="F5316" i="13"/>
  <c r="A5316" i="13"/>
  <c r="F5315" i="13"/>
  <c r="A5315" i="13"/>
  <c r="F5314" i="13"/>
  <c r="A5314" i="13"/>
  <c r="F5313" i="13"/>
  <c r="A5313" i="13"/>
  <c r="F5312" i="13"/>
  <c r="A5312" i="13"/>
  <c r="F5311" i="13"/>
  <c r="A5311" i="13"/>
  <c r="F5310" i="13"/>
  <c r="A5310" i="13"/>
  <c r="F5309" i="13"/>
  <c r="A5309" i="13"/>
  <c r="F5308" i="13"/>
  <c r="A5308" i="13"/>
  <c r="F5307" i="13"/>
  <c r="A5307" i="13"/>
  <c r="F5306" i="13"/>
  <c r="A5306" i="13"/>
  <c r="F5305" i="13"/>
  <c r="A5305" i="13"/>
  <c r="F5304" i="13"/>
  <c r="A5304" i="13"/>
  <c r="F5303" i="13"/>
  <c r="A5303" i="13"/>
  <c r="F5302" i="13"/>
  <c r="A5302" i="13"/>
  <c r="F5301" i="13"/>
  <c r="A5301" i="13"/>
  <c r="F5300" i="13"/>
  <c r="A5300" i="13"/>
  <c r="F5299" i="13"/>
  <c r="A5299" i="13"/>
  <c r="F5298" i="13"/>
  <c r="A5298" i="13"/>
  <c r="F5297" i="13"/>
  <c r="A5297" i="13"/>
  <c r="F5296" i="13"/>
  <c r="A5296" i="13"/>
  <c r="F5295" i="13"/>
  <c r="A5295" i="13"/>
  <c r="F5294" i="13"/>
  <c r="A5294" i="13"/>
  <c r="F5293" i="13"/>
  <c r="A5293" i="13"/>
  <c r="F5292" i="13"/>
  <c r="A5292" i="13"/>
  <c r="F5291" i="13"/>
  <c r="A5291" i="13"/>
  <c r="F5290" i="13"/>
  <c r="A5290" i="13"/>
  <c r="F5289" i="13"/>
  <c r="A5289" i="13"/>
  <c r="F5288" i="13"/>
  <c r="A5288" i="13"/>
  <c r="F5287" i="13"/>
  <c r="A5287" i="13"/>
  <c r="F5286" i="13"/>
  <c r="A5286" i="13"/>
  <c r="F5285" i="13"/>
  <c r="A5285" i="13"/>
  <c r="F5284" i="13"/>
  <c r="A5284" i="13"/>
  <c r="F5283" i="13"/>
  <c r="A5283" i="13"/>
  <c r="F5282" i="13"/>
  <c r="A5282" i="13"/>
  <c r="F5281" i="13"/>
  <c r="A5281" i="13"/>
  <c r="F5280" i="13"/>
  <c r="A5280" i="13"/>
  <c r="F5279" i="13"/>
  <c r="A5279" i="13"/>
  <c r="F5278" i="13"/>
  <c r="A5278" i="13"/>
  <c r="F5277" i="13"/>
  <c r="A5277" i="13"/>
  <c r="F5276" i="13"/>
  <c r="A5276" i="13"/>
  <c r="F5275" i="13"/>
  <c r="A5275" i="13"/>
  <c r="F5274" i="13"/>
  <c r="A5274" i="13"/>
  <c r="F5273" i="13"/>
  <c r="A5273" i="13"/>
  <c r="F5272" i="13"/>
  <c r="A5272" i="13"/>
  <c r="F5271" i="13"/>
  <c r="A5271" i="13"/>
  <c r="F5270" i="13"/>
  <c r="A5270" i="13"/>
  <c r="F5269" i="13"/>
  <c r="A5269" i="13"/>
  <c r="F5268" i="13"/>
  <c r="A5268" i="13"/>
  <c r="F5267" i="13"/>
  <c r="A5267" i="13"/>
  <c r="F5266" i="13"/>
  <c r="A5266" i="13"/>
  <c r="F5265" i="13"/>
  <c r="A5265" i="13"/>
  <c r="F5264" i="13"/>
  <c r="A5264" i="13"/>
  <c r="F5263" i="13"/>
  <c r="A5263" i="13"/>
  <c r="F5262" i="13"/>
  <c r="A5262" i="13"/>
  <c r="F5261" i="13"/>
  <c r="A5261" i="13"/>
  <c r="F5260" i="13"/>
  <c r="A5260" i="13"/>
  <c r="F5259" i="13"/>
  <c r="A5259" i="13"/>
  <c r="F5258" i="13"/>
  <c r="A5258" i="13"/>
  <c r="F5257" i="13"/>
  <c r="A5257" i="13"/>
  <c r="F5256" i="13"/>
  <c r="A5256" i="13"/>
  <c r="F5255" i="13"/>
  <c r="A5255" i="13"/>
  <c r="F5254" i="13"/>
  <c r="A5254" i="13"/>
  <c r="F5253" i="13"/>
  <c r="A5253" i="13"/>
  <c r="F5252" i="13"/>
  <c r="A5252" i="13"/>
  <c r="F5251" i="13"/>
  <c r="A5251" i="13"/>
  <c r="F5250" i="13"/>
  <c r="A5250" i="13"/>
  <c r="F5249" i="13"/>
  <c r="A5249" i="13"/>
  <c r="F5248" i="13"/>
  <c r="A5248" i="13"/>
  <c r="F5247" i="13"/>
  <c r="A5247" i="13"/>
  <c r="F5246" i="13"/>
  <c r="A5246" i="13"/>
  <c r="F5245" i="13"/>
  <c r="A5245" i="13"/>
  <c r="F5244" i="13"/>
  <c r="A5244" i="13"/>
  <c r="F5243" i="13"/>
  <c r="A5243" i="13"/>
  <c r="F5242" i="13"/>
  <c r="A5242" i="13"/>
  <c r="F5241" i="13"/>
  <c r="A5241" i="13"/>
  <c r="F5240" i="13"/>
  <c r="A5240" i="13"/>
  <c r="F5239" i="13"/>
  <c r="A5239" i="13"/>
  <c r="F5238" i="13"/>
  <c r="A5238" i="13"/>
  <c r="F5237" i="13"/>
  <c r="A5237" i="13"/>
  <c r="F5236" i="13"/>
  <c r="A5236" i="13"/>
  <c r="F5235" i="13"/>
  <c r="A5235" i="13"/>
  <c r="F5234" i="13"/>
  <c r="A5234" i="13"/>
  <c r="F5233" i="13"/>
  <c r="A5233" i="13"/>
  <c r="F5232" i="13"/>
  <c r="A5232" i="13"/>
  <c r="F5231" i="13"/>
  <c r="A5231" i="13"/>
  <c r="F5230" i="13"/>
  <c r="A5230" i="13"/>
  <c r="F5229" i="13"/>
  <c r="A5229" i="13"/>
  <c r="F5228" i="13"/>
  <c r="A5228" i="13"/>
  <c r="F5227" i="13"/>
  <c r="A5227" i="13"/>
  <c r="F5226" i="13"/>
  <c r="A5226" i="13"/>
  <c r="F5225" i="13"/>
  <c r="A5225" i="13"/>
  <c r="F5224" i="13"/>
  <c r="A5224" i="13"/>
  <c r="F5223" i="13"/>
  <c r="A5223" i="13"/>
  <c r="F5222" i="13"/>
  <c r="A5222" i="13"/>
  <c r="F5221" i="13"/>
  <c r="A5221" i="13"/>
  <c r="F5220" i="13"/>
  <c r="A5220" i="13"/>
  <c r="F5219" i="13"/>
  <c r="A5219" i="13"/>
  <c r="F5218" i="13"/>
  <c r="A5218" i="13"/>
  <c r="F5217" i="13"/>
  <c r="A5217" i="13"/>
  <c r="F5216" i="13"/>
  <c r="A5216" i="13"/>
  <c r="F5215" i="13"/>
  <c r="A5215" i="13"/>
  <c r="F5214" i="13"/>
  <c r="A5214" i="13"/>
  <c r="F5213" i="13"/>
  <c r="A5213" i="13"/>
  <c r="F5212" i="13"/>
  <c r="A5212" i="13"/>
  <c r="F5211" i="13"/>
  <c r="A5211" i="13"/>
  <c r="F5210" i="13"/>
  <c r="A5210" i="13"/>
  <c r="F5209" i="13"/>
  <c r="A5209" i="13"/>
  <c r="F5208" i="13"/>
  <c r="A5208" i="13"/>
  <c r="F5207" i="13"/>
  <c r="A5207" i="13"/>
  <c r="F5206" i="13"/>
  <c r="A5206" i="13"/>
  <c r="F5205" i="13"/>
  <c r="A5205" i="13"/>
  <c r="F5204" i="13"/>
  <c r="A5204" i="13"/>
  <c r="F5203" i="13"/>
  <c r="A5203" i="13"/>
  <c r="F5202" i="13"/>
  <c r="A5202" i="13"/>
  <c r="F5201" i="13"/>
  <c r="A5201" i="13"/>
  <c r="F5200" i="13"/>
  <c r="A5200" i="13"/>
  <c r="F5199" i="13"/>
  <c r="A5199" i="13"/>
  <c r="F5198" i="13"/>
  <c r="A5198" i="13"/>
  <c r="F5197" i="13"/>
  <c r="A5197" i="13"/>
  <c r="F5196" i="13"/>
  <c r="A5196" i="13"/>
  <c r="F5195" i="13"/>
  <c r="A5195" i="13"/>
  <c r="F5194" i="13"/>
  <c r="A5194" i="13"/>
  <c r="F5193" i="13"/>
  <c r="A5193" i="13"/>
  <c r="F5192" i="13"/>
  <c r="A5192" i="13"/>
  <c r="F5191" i="13"/>
  <c r="A5191" i="13"/>
  <c r="F5190" i="13"/>
  <c r="A5190" i="13"/>
  <c r="F5189" i="13"/>
  <c r="A5189" i="13"/>
  <c r="F5188" i="13"/>
  <c r="A5188" i="13"/>
  <c r="F5187" i="13"/>
  <c r="A5187" i="13"/>
  <c r="F5186" i="13"/>
  <c r="A5186" i="13"/>
  <c r="F5185" i="13"/>
  <c r="A5185" i="13"/>
  <c r="F5184" i="13"/>
  <c r="A5184" i="13"/>
  <c r="F5183" i="13"/>
  <c r="A5183" i="13"/>
  <c r="F5182" i="13"/>
  <c r="A5182" i="13"/>
  <c r="F5181" i="13"/>
  <c r="A5181" i="13"/>
  <c r="F5180" i="13"/>
  <c r="A5180" i="13"/>
  <c r="F5179" i="13"/>
  <c r="A5179" i="13"/>
  <c r="F5178" i="13"/>
  <c r="A5178" i="13"/>
  <c r="F5177" i="13"/>
  <c r="A5177" i="13"/>
  <c r="F5176" i="13"/>
  <c r="A5176" i="13"/>
  <c r="F5175" i="13"/>
  <c r="A5175" i="13"/>
  <c r="F5174" i="13"/>
  <c r="A5174" i="13"/>
  <c r="F5173" i="13"/>
  <c r="A5173" i="13"/>
  <c r="F5172" i="13"/>
  <c r="A5172" i="13"/>
  <c r="F5171" i="13"/>
  <c r="A5171" i="13"/>
  <c r="F5170" i="13"/>
  <c r="A5170" i="13"/>
  <c r="F5169" i="13"/>
  <c r="A5169" i="13"/>
  <c r="F5168" i="13"/>
  <c r="A5168" i="13"/>
  <c r="F5167" i="13"/>
  <c r="A5167" i="13"/>
  <c r="F5166" i="13"/>
  <c r="A5166" i="13"/>
  <c r="F5165" i="13"/>
  <c r="A5165" i="13"/>
  <c r="F5164" i="13"/>
  <c r="A5164" i="13"/>
  <c r="F5163" i="13"/>
  <c r="A5163" i="13"/>
  <c r="F5162" i="13"/>
  <c r="A5162" i="13"/>
  <c r="F5161" i="13"/>
  <c r="A5161" i="13"/>
  <c r="F5160" i="13"/>
  <c r="A5160" i="13"/>
  <c r="F5159" i="13"/>
  <c r="A5159" i="13"/>
  <c r="F5158" i="13"/>
  <c r="A5158" i="13"/>
  <c r="F5157" i="13"/>
  <c r="A5157" i="13"/>
  <c r="F5156" i="13"/>
  <c r="A5156" i="13"/>
  <c r="F5155" i="13"/>
  <c r="A5155" i="13"/>
  <c r="F5154" i="13"/>
  <c r="A5154" i="13"/>
  <c r="F5153" i="13"/>
  <c r="A5153" i="13"/>
  <c r="F5152" i="13"/>
  <c r="A5152" i="13"/>
  <c r="F5151" i="13"/>
  <c r="A5151" i="13"/>
  <c r="F5150" i="13"/>
  <c r="A5150" i="13"/>
  <c r="F5149" i="13"/>
  <c r="A5149" i="13"/>
  <c r="F5148" i="13"/>
  <c r="A5148" i="13"/>
  <c r="F5147" i="13"/>
  <c r="A5147" i="13"/>
  <c r="F5146" i="13"/>
  <c r="A5146" i="13"/>
  <c r="F5145" i="13"/>
  <c r="A5145" i="13"/>
  <c r="F5144" i="13"/>
  <c r="A5144" i="13"/>
  <c r="F5143" i="13"/>
  <c r="A5143" i="13"/>
  <c r="F5142" i="13"/>
  <c r="A5142" i="13"/>
  <c r="F5141" i="13"/>
  <c r="A5141" i="13"/>
  <c r="F5140" i="13"/>
  <c r="A5140" i="13"/>
  <c r="F5139" i="13"/>
  <c r="A5139" i="13"/>
  <c r="F5138" i="13"/>
  <c r="A5138" i="13"/>
  <c r="F5137" i="13"/>
  <c r="A5137" i="13"/>
  <c r="F5136" i="13"/>
  <c r="A5136" i="13"/>
  <c r="F5135" i="13"/>
  <c r="A5135" i="13"/>
  <c r="F5134" i="13"/>
  <c r="A5134" i="13"/>
  <c r="F5133" i="13"/>
  <c r="A5133" i="13"/>
  <c r="F5132" i="13"/>
  <c r="A5132" i="13"/>
  <c r="F5131" i="13"/>
  <c r="A5131" i="13"/>
  <c r="F5130" i="13"/>
  <c r="A5130" i="13"/>
  <c r="F5129" i="13"/>
  <c r="A5129" i="13"/>
  <c r="F5128" i="13"/>
  <c r="A5128" i="13"/>
  <c r="F5127" i="13"/>
  <c r="A5127" i="13"/>
  <c r="F5126" i="13"/>
  <c r="A5126" i="13"/>
  <c r="F5125" i="13"/>
  <c r="A5125" i="13"/>
  <c r="F5124" i="13"/>
  <c r="A5124" i="13"/>
  <c r="F5123" i="13"/>
  <c r="A5123" i="13"/>
  <c r="F5122" i="13"/>
  <c r="A5122" i="13"/>
  <c r="F5121" i="13"/>
  <c r="A5121" i="13"/>
  <c r="F5120" i="13"/>
  <c r="A5120" i="13"/>
  <c r="F5119" i="13"/>
  <c r="A5119" i="13"/>
  <c r="F5118" i="13"/>
  <c r="A5118" i="13"/>
  <c r="F5117" i="13"/>
  <c r="A5117" i="13"/>
  <c r="F5116" i="13"/>
  <c r="A5116" i="13"/>
  <c r="F5115" i="13"/>
  <c r="A5115" i="13"/>
  <c r="F5114" i="13"/>
  <c r="A5114" i="13"/>
  <c r="F5113" i="13"/>
  <c r="A5113" i="13"/>
  <c r="F5112" i="13"/>
  <c r="A5112" i="13"/>
  <c r="F5111" i="13"/>
  <c r="A5111" i="13"/>
  <c r="F5110" i="13"/>
  <c r="A5110" i="13"/>
  <c r="F5109" i="13"/>
  <c r="A5109" i="13"/>
  <c r="F5108" i="13"/>
  <c r="A5108" i="13"/>
  <c r="F5107" i="13"/>
  <c r="A5107" i="13"/>
  <c r="F5106" i="13"/>
  <c r="A5106" i="13"/>
  <c r="F5105" i="13"/>
  <c r="A5105" i="13"/>
  <c r="F5104" i="13"/>
  <c r="A5104" i="13"/>
  <c r="F5103" i="13"/>
  <c r="A5103" i="13"/>
  <c r="F5102" i="13"/>
  <c r="A5102" i="13"/>
  <c r="F5101" i="13"/>
  <c r="A5101" i="13"/>
  <c r="F5100" i="13"/>
  <c r="A5100" i="13"/>
  <c r="F5099" i="13"/>
  <c r="A5099" i="13"/>
  <c r="F5098" i="13"/>
  <c r="A5098" i="13"/>
  <c r="F5097" i="13"/>
  <c r="A5097" i="13"/>
  <c r="F5096" i="13"/>
  <c r="A5096" i="13"/>
  <c r="F5095" i="13"/>
  <c r="A5095" i="13"/>
  <c r="F5094" i="13"/>
  <c r="A5094" i="13"/>
  <c r="F5093" i="13"/>
  <c r="A5093" i="13"/>
  <c r="F5092" i="13"/>
  <c r="A5092" i="13"/>
  <c r="F5091" i="13"/>
  <c r="A5091" i="13"/>
  <c r="F5090" i="13"/>
  <c r="A5090" i="13"/>
  <c r="F5089" i="13"/>
  <c r="A5089" i="13"/>
  <c r="F5088" i="13"/>
  <c r="A5088" i="13"/>
  <c r="F5087" i="13"/>
  <c r="A5087" i="13"/>
  <c r="F5086" i="13"/>
  <c r="A5086" i="13"/>
  <c r="F5085" i="13"/>
  <c r="A5085" i="13"/>
  <c r="F5084" i="13"/>
  <c r="A5084" i="13"/>
  <c r="F5083" i="13"/>
  <c r="A5083" i="13"/>
  <c r="F5082" i="13"/>
  <c r="A5082" i="13"/>
  <c r="F5081" i="13"/>
  <c r="A5081" i="13"/>
  <c r="F5080" i="13"/>
  <c r="A5080" i="13"/>
  <c r="F5079" i="13"/>
  <c r="A5079" i="13"/>
  <c r="F5078" i="13"/>
  <c r="A5078" i="13"/>
  <c r="F5077" i="13"/>
  <c r="A5077" i="13"/>
  <c r="F5076" i="13"/>
  <c r="A5076" i="13"/>
  <c r="F5075" i="13"/>
  <c r="A5075" i="13"/>
  <c r="F5074" i="13"/>
  <c r="A5074" i="13"/>
  <c r="F5073" i="13"/>
  <c r="A5073" i="13"/>
  <c r="F5072" i="13"/>
  <c r="A5072" i="13"/>
  <c r="F5071" i="13"/>
  <c r="A5071" i="13"/>
  <c r="F5070" i="13"/>
  <c r="A5070" i="13"/>
  <c r="F5069" i="13"/>
  <c r="A5069" i="13"/>
  <c r="F5068" i="13"/>
  <c r="A5068" i="13"/>
  <c r="F5067" i="13"/>
  <c r="A5067" i="13"/>
  <c r="F5066" i="13"/>
  <c r="A5066" i="13"/>
  <c r="F5065" i="13"/>
  <c r="A5065" i="13"/>
  <c r="F5064" i="13"/>
  <c r="A5064" i="13"/>
  <c r="F5063" i="13"/>
  <c r="A5063" i="13"/>
  <c r="F5062" i="13"/>
  <c r="A5062" i="13"/>
  <c r="F5061" i="13"/>
  <c r="A5061" i="13"/>
  <c r="F5060" i="13"/>
  <c r="A5060" i="13"/>
  <c r="F5059" i="13"/>
  <c r="A5059" i="13"/>
  <c r="F5058" i="13"/>
  <c r="A5058" i="13"/>
  <c r="F5057" i="13"/>
  <c r="A5057" i="13"/>
  <c r="F5056" i="13"/>
  <c r="A5056" i="13"/>
  <c r="F5055" i="13"/>
  <c r="A5055" i="13"/>
  <c r="F5054" i="13"/>
  <c r="A5054" i="13"/>
  <c r="F5053" i="13"/>
  <c r="A5053" i="13"/>
  <c r="F5052" i="13"/>
  <c r="A5052" i="13"/>
  <c r="F5051" i="13"/>
  <c r="A5051" i="13"/>
  <c r="F5050" i="13"/>
  <c r="A5050" i="13"/>
  <c r="F5049" i="13"/>
  <c r="A5049" i="13"/>
  <c r="F5048" i="13"/>
  <c r="A5048" i="13"/>
  <c r="F5047" i="13"/>
  <c r="A5047" i="13"/>
  <c r="F5046" i="13"/>
  <c r="A5046" i="13"/>
  <c r="F5045" i="13"/>
  <c r="A5045" i="13"/>
  <c r="F5044" i="13"/>
  <c r="A5044" i="13"/>
  <c r="F5043" i="13"/>
  <c r="A5043" i="13"/>
  <c r="F5042" i="13"/>
  <c r="A5042" i="13"/>
  <c r="F5041" i="13"/>
  <c r="A5041" i="13"/>
  <c r="F5040" i="13"/>
  <c r="A5040" i="13"/>
  <c r="F5039" i="13"/>
  <c r="A5039" i="13"/>
  <c r="F5038" i="13"/>
  <c r="A5038" i="13"/>
  <c r="F5037" i="13"/>
  <c r="A5037" i="13"/>
  <c r="F5036" i="13"/>
  <c r="A5036" i="13"/>
  <c r="F5035" i="13"/>
  <c r="A5035" i="13"/>
  <c r="F5034" i="13"/>
  <c r="A5034" i="13"/>
  <c r="F5033" i="13"/>
  <c r="A5033" i="13"/>
  <c r="F5032" i="13"/>
  <c r="A5032" i="13"/>
  <c r="F5031" i="13"/>
  <c r="A5031" i="13"/>
  <c r="F5030" i="13"/>
  <c r="A5030" i="13"/>
  <c r="F5029" i="13"/>
  <c r="A5029" i="13"/>
  <c r="F5028" i="13"/>
  <c r="A5028" i="13"/>
  <c r="F5027" i="13"/>
  <c r="A5027" i="13"/>
  <c r="F5026" i="13"/>
  <c r="A5026" i="13"/>
  <c r="F5025" i="13"/>
  <c r="A5025" i="13"/>
  <c r="F5024" i="13"/>
  <c r="A5024" i="13"/>
  <c r="F5023" i="13"/>
  <c r="A5023" i="13"/>
  <c r="F5022" i="13"/>
  <c r="A5022" i="13"/>
  <c r="F5021" i="13"/>
  <c r="A5021" i="13"/>
  <c r="F5020" i="13"/>
  <c r="A5020" i="13"/>
  <c r="F5019" i="13"/>
  <c r="A5019" i="13"/>
  <c r="F5018" i="13"/>
  <c r="A5018" i="13"/>
  <c r="F5017" i="13"/>
  <c r="A5017" i="13"/>
  <c r="F5016" i="13"/>
  <c r="A5016" i="13"/>
  <c r="F5015" i="13"/>
  <c r="A5015" i="13"/>
  <c r="F5014" i="13"/>
  <c r="A5014" i="13"/>
  <c r="F5013" i="13"/>
  <c r="A5013" i="13"/>
  <c r="F5012" i="13"/>
  <c r="A5012" i="13"/>
  <c r="F5011" i="13"/>
  <c r="A5011" i="13"/>
  <c r="F5010" i="13"/>
  <c r="A5010" i="13"/>
  <c r="F5009" i="13"/>
  <c r="A5009" i="13"/>
  <c r="F5008" i="13"/>
  <c r="A5008" i="13"/>
  <c r="F5007" i="13"/>
  <c r="A5007" i="13"/>
  <c r="F5006" i="13"/>
  <c r="A5006" i="13"/>
  <c r="F5005" i="13"/>
  <c r="A5005" i="13"/>
  <c r="F5004" i="13"/>
  <c r="A5004" i="13"/>
  <c r="F5003" i="13"/>
  <c r="A5003" i="13"/>
  <c r="F5002" i="13"/>
  <c r="A5002" i="13"/>
  <c r="F5001" i="13"/>
  <c r="A5001" i="13"/>
  <c r="F5000" i="13"/>
  <c r="A5000" i="13"/>
  <c r="F4999" i="13"/>
  <c r="A4999" i="13"/>
  <c r="F4998" i="13"/>
  <c r="A4998" i="13"/>
  <c r="F4997" i="13"/>
  <c r="A4997" i="13"/>
  <c r="F4996" i="13"/>
  <c r="A4996" i="13"/>
  <c r="F4995" i="13"/>
  <c r="A4995" i="13"/>
  <c r="F4994" i="13"/>
  <c r="A4994" i="13"/>
  <c r="F4993" i="13"/>
  <c r="A4993" i="13"/>
  <c r="F4992" i="13"/>
  <c r="A4992" i="13"/>
  <c r="F4991" i="13"/>
  <c r="A4991" i="13"/>
  <c r="F4990" i="13"/>
  <c r="A4990" i="13"/>
  <c r="F4989" i="13"/>
  <c r="A4989" i="13"/>
  <c r="F4988" i="13"/>
  <c r="A4988" i="13"/>
  <c r="F4987" i="13"/>
  <c r="A4987" i="13"/>
  <c r="F4986" i="13"/>
  <c r="A4986" i="13"/>
  <c r="F4985" i="13"/>
  <c r="A4985" i="13"/>
  <c r="F4984" i="13"/>
  <c r="A4984" i="13"/>
  <c r="F4983" i="13"/>
  <c r="A4983" i="13"/>
  <c r="F4982" i="13"/>
  <c r="A4982" i="13"/>
  <c r="F4981" i="13"/>
  <c r="A4981" i="13"/>
  <c r="F4980" i="13"/>
  <c r="A4980" i="13"/>
  <c r="F4979" i="13"/>
  <c r="A4979" i="13"/>
  <c r="F4978" i="13"/>
  <c r="A4978" i="13"/>
  <c r="F4977" i="13"/>
  <c r="A4977" i="13"/>
  <c r="F4976" i="13"/>
  <c r="A4976" i="13"/>
  <c r="F4975" i="13"/>
  <c r="A4975" i="13"/>
  <c r="F4974" i="13"/>
  <c r="A4974" i="13"/>
  <c r="F4973" i="13"/>
  <c r="A4973" i="13"/>
  <c r="F4972" i="13"/>
  <c r="A4972" i="13"/>
  <c r="F4971" i="13"/>
  <c r="A4971" i="13"/>
  <c r="F4970" i="13"/>
  <c r="A4970" i="13"/>
  <c r="F4969" i="13"/>
  <c r="A4969" i="13"/>
  <c r="F4968" i="13"/>
  <c r="A4968" i="13"/>
  <c r="F4967" i="13"/>
  <c r="A4967" i="13"/>
  <c r="F4966" i="13"/>
  <c r="A4966" i="13"/>
  <c r="F4965" i="13"/>
  <c r="A4965" i="13"/>
  <c r="F4964" i="13"/>
  <c r="A4964" i="13"/>
  <c r="F4963" i="13"/>
  <c r="A4963" i="13"/>
  <c r="F4962" i="13"/>
  <c r="A4962" i="13"/>
  <c r="F4961" i="13"/>
  <c r="A4961" i="13"/>
  <c r="F4960" i="13"/>
  <c r="A4960" i="13"/>
  <c r="F4959" i="13"/>
  <c r="A4959" i="13"/>
  <c r="F4958" i="13"/>
  <c r="A4958" i="13"/>
  <c r="F4957" i="13"/>
  <c r="A4957" i="13"/>
  <c r="F4956" i="13"/>
  <c r="A4956" i="13"/>
  <c r="F4955" i="13"/>
  <c r="A4955" i="13"/>
  <c r="F4954" i="13"/>
  <c r="A4954" i="13"/>
  <c r="F4953" i="13"/>
  <c r="A4953" i="13"/>
  <c r="F4952" i="13"/>
  <c r="A4952" i="13"/>
  <c r="F4951" i="13"/>
  <c r="A4951" i="13"/>
  <c r="F4950" i="13"/>
  <c r="A4950" i="13"/>
  <c r="F4949" i="13"/>
  <c r="A4949" i="13"/>
  <c r="F4948" i="13"/>
  <c r="A4948" i="13"/>
  <c r="F4947" i="13"/>
  <c r="A4947" i="13"/>
  <c r="F4946" i="13"/>
  <c r="A4946" i="13"/>
  <c r="F4945" i="13"/>
  <c r="A4945" i="13"/>
  <c r="F4944" i="13"/>
  <c r="A4944" i="13"/>
  <c r="F4943" i="13"/>
  <c r="A4943" i="13"/>
  <c r="F4942" i="13"/>
  <c r="A4942" i="13"/>
  <c r="F4941" i="13"/>
  <c r="A4941" i="13"/>
  <c r="F4940" i="13"/>
  <c r="A4940" i="13"/>
  <c r="F4939" i="13"/>
  <c r="A4939" i="13"/>
  <c r="F4938" i="13"/>
  <c r="A4938" i="13"/>
  <c r="F4937" i="13"/>
  <c r="A4937" i="13"/>
  <c r="F4936" i="13"/>
  <c r="A4936" i="13"/>
  <c r="F4935" i="13"/>
  <c r="A4935" i="13"/>
  <c r="F4934" i="13"/>
  <c r="A4934" i="13"/>
  <c r="F4933" i="13"/>
  <c r="A4933" i="13"/>
  <c r="J4932" i="13"/>
  <c r="F4932" i="13"/>
  <c r="A4932" i="13"/>
  <c r="F4931" i="13"/>
  <c r="A4931" i="13"/>
  <c r="F4930" i="13"/>
  <c r="A4930" i="13"/>
  <c r="F4929" i="13"/>
  <c r="A4929" i="13"/>
  <c r="F4928" i="13"/>
  <c r="A4928" i="13"/>
  <c r="F4927" i="13"/>
  <c r="A4927" i="13"/>
  <c r="F4926" i="13"/>
  <c r="A4926" i="13"/>
  <c r="F4925" i="13"/>
  <c r="A4925" i="13"/>
  <c r="F4924" i="13"/>
  <c r="A4924" i="13"/>
  <c r="F4923" i="13"/>
  <c r="A4923" i="13"/>
  <c r="F4922" i="13"/>
  <c r="A4922" i="13"/>
  <c r="F4921" i="13"/>
  <c r="A4921" i="13"/>
  <c r="F4920" i="13"/>
  <c r="A4920" i="13"/>
  <c r="F4919" i="13"/>
  <c r="A4919" i="13"/>
  <c r="J4918" i="13"/>
  <c r="F4918" i="13"/>
  <c r="A4918" i="13"/>
  <c r="J4917" i="13"/>
  <c r="F4917" i="13"/>
  <c r="A4917" i="13"/>
  <c r="J4916" i="13"/>
  <c r="F4916" i="13"/>
  <c r="A4916" i="13"/>
  <c r="F4915" i="13"/>
  <c r="A4915" i="13"/>
  <c r="F4914" i="13"/>
  <c r="A4914" i="13"/>
  <c r="F4913" i="13"/>
  <c r="A4913" i="13"/>
  <c r="J4912" i="13"/>
  <c r="F4912" i="13"/>
  <c r="A4912" i="13"/>
  <c r="J4911" i="13"/>
  <c r="F4911" i="13"/>
  <c r="A4911" i="13"/>
  <c r="J4910" i="13"/>
  <c r="F4910" i="13"/>
  <c r="A4910" i="13"/>
  <c r="J4909" i="13"/>
  <c r="F4909" i="13"/>
  <c r="A4909" i="13"/>
  <c r="F4908" i="13"/>
  <c r="A4908" i="13"/>
  <c r="F4907" i="13"/>
  <c r="A4907" i="13"/>
  <c r="F4906" i="13"/>
  <c r="A4906" i="13"/>
  <c r="F4905" i="13"/>
  <c r="A4905" i="13"/>
  <c r="F4904" i="13"/>
  <c r="A4904" i="13"/>
  <c r="F4903" i="13"/>
  <c r="A4903" i="13"/>
  <c r="J4902" i="13"/>
  <c r="F4902" i="13"/>
  <c r="A4902" i="13"/>
  <c r="F4901" i="13"/>
  <c r="A4901" i="13"/>
  <c r="F4900" i="13"/>
  <c r="A4900" i="13"/>
  <c r="F4899" i="13"/>
  <c r="A4899" i="13"/>
  <c r="J4898" i="13"/>
  <c r="F4898" i="13"/>
  <c r="A4898" i="13"/>
  <c r="J4897" i="13"/>
  <c r="F4897" i="13"/>
  <c r="A4897" i="13"/>
  <c r="F4896" i="13"/>
  <c r="A4896" i="13"/>
  <c r="F4895" i="13"/>
  <c r="A4895" i="13"/>
  <c r="F4894" i="13"/>
  <c r="A4894" i="13"/>
  <c r="F4893" i="13"/>
  <c r="A4893" i="13"/>
  <c r="F4892" i="13"/>
  <c r="A4892" i="13"/>
  <c r="F4891" i="13"/>
  <c r="A4891" i="13"/>
  <c r="F4890" i="13"/>
  <c r="A4890" i="13"/>
  <c r="F4889" i="13"/>
  <c r="A4889" i="13"/>
  <c r="F4888" i="13"/>
  <c r="A4888" i="13"/>
  <c r="F4887" i="13"/>
  <c r="A4887" i="13"/>
  <c r="F4886" i="13"/>
  <c r="A4886" i="13"/>
  <c r="J4885" i="13"/>
  <c r="F4885" i="13"/>
  <c r="A4885" i="13"/>
  <c r="J4884" i="13"/>
  <c r="F4884" i="13"/>
  <c r="A4884" i="13"/>
  <c r="F4883" i="13"/>
  <c r="A4883" i="13"/>
  <c r="F4882" i="13"/>
  <c r="A4882" i="13"/>
  <c r="J4881" i="13"/>
  <c r="F4881" i="13"/>
  <c r="A4881" i="13"/>
  <c r="J4880" i="13"/>
  <c r="F4880" i="13"/>
  <c r="A4880" i="13"/>
  <c r="J4879" i="13"/>
  <c r="F4879" i="13"/>
  <c r="A4879" i="13"/>
  <c r="J4878" i="13"/>
  <c r="F4878" i="13"/>
  <c r="A4878" i="13"/>
  <c r="J4877" i="13"/>
  <c r="F4877" i="13"/>
  <c r="A4877" i="13"/>
  <c r="F4876" i="13"/>
  <c r="A4876" i="13"/>
  <c r="F4875" i="13"/>
  <c r="A4875" i="13"/>
  <c r="F4874" i="13"/>
  <c r="A4874" i="13"/>
  <c r="F4873" i="13"/>
  <c r="A4873" i="13"/>
  <c r="J4872" i="13"/>
  <c r="F4872" i="13"/>
  <c r="A4872" i="13"/>
  <c r="J4871" i="13"/>
  <c r="F4871" i="13"/>
  <c r="A4871" i="13"/>
  <c r="F4870" i="13"/>
  <c r="A4870" i="13"/>
  <c r="F4869" i="13"/>
  <c r="A4869" i="13"/>
  <c r="F4868" i="13"/>
  <c r="A4868" i="13"/>
  <c r="F4867" i="13"/>
  <c r="A4867" i="13"/>
  <c r="F4866" i="13"/>
  <c r="A4866" i="13"/>
  <c r="F4865" i="13"/>
  <c r="A4865" i="13"/>
  <c r="F4864" i="13"/>
  <c r="A4864" i="13"/>
  <c r="F4863" i="13"/>
  <c r="A4863" i="13"/>
  <c r="F4862" i="13"/>
  <c r="A4862" i="13"/>
  <c r="F4861" i="13"/>
  <c r="A4861" i="13"/>
  <c r="F4860" i="13"/>
  <c r="A4860" i="13"/>
  <c r="F4859" i="13"/>
  <c r="A4859" i="13"/>
  <c r="F4858" i="13"/>
  <c r="A4858" i="13"/>
  <c r="F4857" i="13"/>
  <c r="A4857" i="13"/>
  <c r="F4856" i="13"/>
  <c r="A4856" i="13"/>
  <c r="F4855" i="13"/>
  <c r="A4855" i="13"/>
  <c r="F4854" i="13"/>
  <c r="A4854" i="13"/>
  <c r="J4853" i="13"/>
  <c r="F4853" i="13"/>
  <c r="A4853" i="13"/>
  <c r="J4852" i="13"/>
  <c r="F4852" i="13"/>
  <c r="A4852" i="13"/>
  <c r="F4851" i="13"/>
  <c r="A4851" i="13"/>
  <c r="F4850" i="13"/>
  <c r="A4850" i="13"/>
  <c r="F4849" i="13"/>
  <c r="A4849" i="13"/>
  <c r="F4848" i="13"/>
  <c r="A4848" i="13"/>
  <c r="F4847" i="13"/>
  <c r="A4847" i="13"/>
  <c r="F4846" i="13"/>
  <c r="A4846" i="13"/>
  <c r="F4845" i="13"/>
  <c r="A4845" i="13"/>
  <c r="F4844" i="13"/>
  <c r="A4844" i="13"/>
  <c r="J4843" i="13"/>
  <c r="F4843" i="13"/>
  <c r="A4843" i="13"/>
  <c r="J4842" i="13"/>
  <c r="F4842" i="13"/>
  <c r="A4842" i="13"/>
  <c r="F4841" i="13"/>
  <c r="A4841" i="13"/>
  <c r="J4840" i="13"/>
  <c r="F4840" i="13"/>
  <c r="A4840" i="13"/>
  <c r="F4839" i="13"/>
  <c r="A4839" i="13"/>
  <c r="F4838" i="13"/>
  <c r="A4838" i="13"/>
  <c r="J4837" i="13"/>
  <c r="F4837" i="13"/>
  <c r="A4837" i="13"/>
  <c r="J4836" i="13"/>
  <c r="F4836" i="13"/>
  <c r="A4836" i="13"/>
  <c r="F4835" i="13"/>
  <c r="A4835" i="13"/>
  <c r="F4834" i="13"/>
  <c r="A4834" i="13"/>
  <c r="J4833" i="13"/>
  <c r="F4833" i="13"/>
  <c r="A4833" i="13"/>
  <c r="J4832" i="13"/>
  <c r="F4832" i="13"/>
  <c r="A4832" i="13"/>
  <c r="J4831" i="13"/>
  <c r="F4831" i="13"/>
  <c r="A4831" i="13"/>
  <c r="J4830" i="13"/>
  <c r="F4830" i="13"/>
  <c r="A4830" i="13"/>
  <c r="J4829" i="13"/>
  <c r="F4829" i="13"/>
  <c r="A4829" i="13"/>
  <c r="F4828" i="13"/>
  <c r="A4828" i="13"/>
  <c r="J4827" i="13"/>
  <c r="F4827" i="13"/>
  <c r="A4827" i="13"/>
  <c r="J4826" i="13"/>
  <c r="F4826" i="13"/>
  <c r="A4826" i="13"/>
  <c r="F4825" i="13"/>
  <c r="A4825" i="13"/>
  <c r="F4824" i="13"/>
  <c r="A4824" i="13"/>
  <c r="F4823" i="13"/>
  <c r="A4823" i="13"/>
  <c r="F4822" i="13"/>
  <c r="A4822" i="13"/>
  <c r="F4821" i="13"/>
  <c r="A4821" i="13"/>
  <c r="F4820" i="13"/>
  <c r="A4820" i="13"/>
  <c r="F4819" i="13"/>
  <c r="A4819" i="13"/>
  <c r="F4818" i="13"/>
  <c r="A4818" i="13"/>
  <c r="F4817" i="13"/>
  <c r="A4817" i="13"/>
  <c r="F4816" i="13"/>
  <c r="A4816" i="13"/>
  <c r="F4815" i="13"/>
  <c r="A4815" i="13"/>
  <c r="F4814" i="13"/>
  <c r="A4814" i="13"/>
  <c r="F4813" i="13"/>
  <c r="A4813" i="13"/>
  <c r="J4812" i="13"/>
  <c r="F4812" i="13"/>
  <c r="A4812" i="13"/>
  <c r="F4811" i="13"/>
  <c r="A4811" i="13"/>
  <c r="F4810" i="13"/>
  <c r="A4810" i="13"/>
  <c r="F4809" i="13"/>
  <c r="A4809" i="13"/>
  <c r="F4808" i="13"/>
  <c r="A4808" i="13"/>
  <c r="F4807" i="13"/>
  <c r="A4807" i="13"/>
  <c r="F4806" i="13"/>
  <c r="A4806" i="13"/>
  <c r="J4805" i="13"/>
  <c r="F4805" i="13"/>
  <c r="A4805" i="13"/>
  <c r="J4804" i="13"/>
  <c r="F4804" i="13"/>
  <c r="A4804" i="13"/>
  <c r="J4803" i="13"/>
  <c r="F4803" i="13"/>
  <c r="A4803" i="13"/>
  <c r="J4802" i="13"/>
  <c r="F4802" i="13"/>
  <c r="A4802" i="13"/>
  <c r="J4801" i="13"/>
  <c r="F4801" i="13"/>
  <c r="A4801" i="13"/>
  <c r="J4800" i="13"/>
  <c r="F4800" i="13"/>
  <c r="A4800" i="13"/>
  <c r="J4799" i="13"/>
  <c r="F4799" i="13"/>
  <c r="A4799" i="13"/>
  <c r="F4798" i="13"/>
  <c r="A4798" i="13"/>
  <c r="F4797" i="13"/>
  <c r="A4797" i="13"/>
  <c r="F4796" i="13"/>
  <c r="A4796" i="13"/>
  <c r="F4795" i="13"/>
  <c r="A4795" i="13"/>
  <c r="F4794" i="13"/>
  <c r="A4794" i="13"/>
  <c r="F4793" i="13"/>
  <c r="A4793" i="13"/>
  <c r="F4792" i="13"/>
  <c r="A4792" i="13"/>
  <c r="F4791" i="13"/>
  <c r="A4791" i="13"/>
  <c r="F4790" i="13"/>
  <c r="A4790" i="13"/>
  <c r="F4789" i="13"/>
  <c r="A4789" i="13"/>
  <c r="F4788" i="13"/>
  <c r="A4788" i="13"/>
  <c r="F4787" i="13"/>
  <c r="A4787" i="13"/>
  <c r="F4786" i="13"/>
  <c r="A4786" i="13"/>
  <c r="J4785" i="13"/>
  <c r="F4785" i="13"/>
  <c r="A4785" i="13"/>
  <c r="J4784" i="13"/>
  <c r="F4784" i="13"/>
  <c r="A4784" i="13"/>
  <c r="J4783" i="13"/>
  <c r="F4783" i="13"/>
  <c r="A4783" i="13"/>
  <c r="J4782" i="13"/>
  <c r="F4782" i="13"/>
  <c r="A4782" i="13"/>
  <c r="J4781" i="13"/>
  <c r="F4781" i="13"/>
  <c r="A4781" i="13"/>
  <c r="J4780" i="13"/>
  <c r="F4780" i="13"/>
  <c r="A4780" i="13"/>
  <c r="J4779" i="13"/>
  <c r="F4779" i="13"/>
  <c r="A4779" i="13"/>
  <c r="J4778" i="13"/>
  <c r="F4778" i="13"/>
  <c r="A4778" i="13"/>
  <c r="F4777" i="13"/>
  <c r="A4777" i="13"/>
  <c r="J4776" i="13"/>
  <c r="F4776" i="13"/>
  <c r="A4776" i="13"/>
  <c r="F4775" i="13"/>
  <c r="A4775" i="13"/>
  <c r="F4774" i="13"/>
  <c r="A4774" i="13"/>
  <c r="F4773" i="13"/>
  <c r="A4773" i="13"/>
  <c r="J4772" i="13"/>
  <c r="F4772" i="13"/>
  <c r="A4772" i="13"/>
  <c r="J4771" i="13"/>
  <c r="F4771" i="13"/>
  <c r="A4771" i="13"/>
  <c r="F4770" i="13"/>
  <c r="A4770" i="13"/>
  <c r="F4769" i="13"/>
  <c r="A4769" i="13"/>
  <c r="F4768" i="13"/>
  <c r="A4768" i="13"/>
  <c r="F4767" i="13"/>
  <c r="A4767" i="13"/>
  <c r="F4766" i="13"/>
  <c r="A4766" i="13"/>
  <c r="F4765" i="13"/>
  <c r="A4765" i="13"/>
  <c r="F4764" i="13"/>
  <c r="A4764" i="13"/>
  <c r="F4763" i="13"/>
  <c r="A4763" i="13"/>
  <c r="F4762" i="13"/>
  <c r="A4762" i="13"/>
  <c r="F4761" i="13"/>
  <c r="A4761" i="13"/>
  <c r="F4760" i="13"/>
  <c r="A4760" i="13"/>
  <c r="F4759" i="13"/>
  <c r="A4759" i="13"/>
  <c r="F4758" i="13"/>
  <c r="A4758" i="13"/>
  <c r="F4757" i="13"/>
  <c r="A4757" i="13"/>
  <c r="F4756" i="13"/>
  <c r="A4756" i="13"/>
  <c r="F4755" i="13"/>
  <c r="A4755" i="13"/>
  <c r="F4754" i="13"/>
  <c r="A4754" i="13"/>
  <c r="F4753" i="13"/>
  <c r="A4753" i="13"/>
  <c r="F4752" i="13"/>
  <c r="A4752" i="13"/>
  <c r="J4751" i="13"/>
  <c r="F4751" i="13"/>
  <c r="A4751" i="13"/>
  <c r="J4750" i="13"/>
  <c r="F4750" i="13"/>
  <c r="A4750" i="13"/>
  <c r="J4749" i="13"/>
  <c r="F4749" i="13"/>
  <c r="A4749" i="13"/>
  <c r="F4748" i="13"/>
  <c r="A4748" i="13"/>
  <c r="F4747" i="13"/>
  <c r="A4747" i="13"/>
  <c r="F4746" i="13"/>
  <c r="A4746" i="13"/>
  <c r="F4745" i="13"/>
  <c r="A4745" i="13"/>
  <c r="J4744" i="13"/>
  <c r="F4744" i="13"/>
  <c r="A4744" i="13"/>
  <c r="J4743" i="13"/>
  <c r="F4743" i="13"/>
  <c r="A4743" i="13"/>
  <c r="F4742" i="13"/>
  <c r="A4742" i="13"/>
  <c r="F4741" i="13"/>
  <c r="A4741" i="13"/>
  <c r="F4740" i="13"/>
  <c r="A4740" i="13"/>
  <c r="F4739" i="13"/>
  <c r="A4739" i="13"/>
  <c r="J4738" i="13"/>
  <c r="F4738" i="13"/>
  <c r="A4738" i="13"/>
  <c r="J4737" i="13"/>
  <c r="F4737" i="13"/>
  <c r="A4737" i="13"/>
  <c r="J4736" i="13"/>
  <c r="F4736" i="13"/>
  <c r="A4736" i="13"/>
  <c r="J4735" i="13"/>
  <c r="F4735" i="13"/>
  <c r="A4735" i="13"/>
  <c r="F4734" i="13"/>
  <c r="A4734" i="13"/>
  <c r="F4733" i="13"/>
  <c r="A4733" i="13"/>
  <c r="J4732" i="13"/>
  <c r="F4732" i="13"/>
  <c r="A4732" i="13"/>
  <c r="F4731" i="13"/>
  <c r="A4731" i="13"/>
  <c r="F4730" i="13"/>
  <c r="A4730" i="13"/>
  <c r="F4729" i="13"/>
  <c r="A4729" i="13"/>
  <c r="J4728" i="13"/>
  <c r="F4728" i="13"/>
  <c r="A4728" i="13"/>
  <c r="J4727" i="13"/>
  <c r="F4727" i="13"/>
  <c r="A4727" i="13"/>
  <c r="F4726" i="13"/>
  <c r="A4726" i="13"/>
  <c r="F4725" i="13"/>
  <c r="A4725" i="13"/>
  <c r="F4724" i="13"/>
  <c r="A4724" i="13"/>
  <c r="F4723" i="13"/>
  <c r="A4723" i="13"/>
  <c r="J4722" i="13"/>
  <c r="F4722" i="13"/>
  <c r="A4722" i="13"/>
  <c r="J4721" i="13"/>
  <c r="F4721" i="13"/>
  <c r="A4721" i="13"/>
  <c r="F4720" i="13"/>
  <c r="A4720" i="13"/>
  <c r="F4719" i="13"/>
  <c r="A4719" i="13"/>
  <c r="J4718" i="13"/>
  <c r="F4718" i="13"/>
  <c r="A4718" i="13"/>
  <c r="J4717" i="13"/>
  <c r="F4717" i="13"/>
  <c r="A4717" i="13"/>
  <c r="F4716" i="13"/>
  <c r="A4716" i="13"/>
  <c r="F4715" i="13"/>
  <c r="A4715" i="13"/>
  <c r="J4714" i="13"/>
  <c r="F4714" i="13"/>
  <c r="A4714" i="13"/>
  <c r="J4713" i="13"/>
  <c r="F4713" i="13"/>
  <c r="A4713" i="13"/>
  <c r="J4712" i="13"/>
  <c r="F4712" i="13"/>
  <c r="A4712" i="13"/>
  <c r="J4711" i="13"/>
  <c r="F4711" i="13"/>
  <c r="A4711" i="13"/>
  <c r="J4710" i="13"/>
  <c r="F4710" i="13"/>
  <c r="A4710" i="13"/>
  <c r="F4709" i="13"/>
  <c r="A4709" i="13"/>
  <c r="F4708" i="13"/>
  <c r="A4708" i="13"/>
  <c r="J4707" i="13"/>
  <c r="F4707" i="13"/>
  <c r="A4707" i="13"/>
  <c r="J4706" i="13"/>
  <c r="F4706" i="13"/>
  <c r="A4706" i="13"/>
  <c r="J4705" i="13"/>
  <c r="F4705" i="13"/>
  <c r="A4705" i="13"/>
  <c r="J4704" i="13"/>
  <c r="F4704" i="13"/>
  <c r="A4704" i="13"/>
  <c r="F4703" i="13"/>
  <c r="A4703" i="13"/>
  <c r="F4702" i="13"/>
  <c r="A4702" i="13"/>
  <c r="F4701" i="13"/>
  <c r="A4701" i="13"/>
  <c r="F4700" i="13"/>
  <c r="A4700" i="13"/>
  <c r="J4699" i="13"/>
  <c r="F4699" i="13"/>
  <c r="A4699" i="13"/>
  <c r="J4698" i="13"/>
  <c r="F4698" i="13"/>
  <c r="A4698" i="13"/>
  <c r="J4697" i="13"/>
  <c r="F4697" i="13"/>
  <c r="A4697" i="13"/>
  <c r="J4696" i="13"/>
  <c r="F4696" i="13"/>
  <c r="A4696" i="13"/>
  <c r="F4695" i="13"/>
  <c r="A4695" i="13"/>
  <c r="F4694" i="13"/>
  <c r="A4694" i="13"/>
  <c r="F4693" i="13"/>
  <c r="A4693" i="13"/>
  <c r="J4692" i="13"/>
  <c r="F4692" i="13"/>
  <c r="A4692" i="13"/>
  <c r="F4691" i="13"/>
  <c r="A4691" i="13"/>
  <c r="F4690" i="13"/>
  <c r="A4690" i="13"/>
  <c r="J4689" i="13"/>
  <c r="F4689" i="13"/>
  <c r="A4689" i="13"/>
  <c r="J4688" i="13"/>
  <c r="F4688" i="13"/>
  <c r="A4688" i="13"/>
  <c r="F4687" i="13"/>
  <c r="A4687" i="13"/>
  <c r="F4686" i="13"/>
  <c r="A4686" i="13"/>
  <c r="J4685" i="13"/>
  <c r="F4685" i="13"/>
  <c r="A4685" i="13"/>
  <c r="J4684" i="13"/>
  <c r="F4684" i="13"/>
  <c r="A4684" i="13"/>
  <c r="F4683" i="13"/>
  <c r="A4683" i="13"/>
  <c r="F4682" i="13"/>
  <c r="A4682" i="13"/>
  <c r="F4681" i="13"/>
  <c r="A4681" i="13"/>
  <c r="F4680" i="13"/>
  <c r="A4680" i="13"/>
  <c r="F4679" i="13"/>
  <c r="A4679" i="13"/>
  <c r="F4678" i="13"/>
  <c r="A4678" i="13"/>
  <c r="F4677" i="13"/>
  <c r="A4677" i="13"/>
  <c r="F4676" i="13"/>
  <c r="A4676" i="13"/>
  <c r="F4675" i="13"/>
  <c r="A4675" i="13"/>
  <c r="F4674" i="13"/>
  <c r="A4674" i="13"/>
  <c r="J4673" i="13"/>
  <c r="F4673" i="13"/>
  <c r="A4673" i="13"/>
  <c r="J4672" i="13"/>
  <c r="F4672" i="13"/>
  <c r="A4672" i="13"/>
  <c r="F4671" i="13"/>
  <c r="A4671" i="13"/>
  <c r="F4670" i="13"/>
  <c r="A4670" i="13"/>
  <c r="F4669" i="13"/>
  <c r="A4669" i="13"/>
  <c r="F4668" i="13"/>
  <c r="A4668" i="13"/>
  <c r="F4667" i="13"/>
  <c r="A4667" i="13"/>
  <c r="F4666" i="13"/>
  <c r="A4666" i="13"/>
  <c r="F4665" i="13"/>
  <c r="A4665" i="13"/>
  <c r="J4664" i="13"/>
  <c r="F4664" i="13"/>
  <c r="A4664" i="13"/>
  <c r="J4663" i="13"/>
  <c r="F4663" i="13"/>
  <c r="A4663" i="13"/>
  <c r="J4662" i="13"/>
  <c r="F4662" i="13"/>
  <c r="A4662" i="13"/>
  <c r="J4661" i="13"/>
  <c r="F4661" i="13"/>
  <c r="A4661" i="13"/>
  <c r="J4660" i="13"/>
  <c r="F4660" i="13"/>
  <c r="A4660" i="13"/>
  <c r="J4659" i="13"/>
  <c r="F4659" i="13"/>
  <c r="A4659" i="13"/>
  <c r="F4658" i="13"/>
  <c r="A4658" i="13"/>
  <c r="J4657" i="13"/>
  <c r="F4657" i="13"/>
  <c r="A4657" i="13"/>
  <c r="J4656" i="13"/>
  <c r="F4656" i="13"/>
  <c r="A4656" i="13"/>
  <c r="F4655" i="13"/>
  <c r="A4655" i="13"/>
  <c r="J4654" i="13"/>
  <c r="F4654" i="13"/>
  <c r="A4654" i="13"/>
  <c r="J4653" i="13"/>
  <c r="F4653" i="13"/>
  <c r="A4653" i="13"/>
  <c r="J4652" i="13"/>
  <c r="F4652" i="13"/>
  <c r="A4652" i="13"/>
  <c r="J4651" i="13"/>
  <c r="F4651" i="13"/>
  <c r="A4651" i="13"/>
  <c r="J4650" i="13"/>
  <c r="F4650" i="13"/>
  <c r="A4650" i="13"/>
  <c r="J4649" i="13"/>
  <c r="F4649" i="13"/>
  <c r="A4649" i="13"/>
  <c r="J4648" i="13"/>
  <c r="F4648" i="13"/>
  <c r="A4648" i="13"/>
  <c r="J4647" i="13"/>
  <c r="F4647" i="13"/>
  <c r="A4647" i="13"/>
  <c r="J4646" i="13"/>
  <c r="F4646" i="13"/>
  <c r="A4646" i="13"/>
  <c r="J4645" i="13"/>
  <c r="F4645" i="13"/>
  <c r="A4645" i="13"/>
  <c r="J4644" i="13"/>
  <c r="F4644" i="13"/>
  <c r="A4644" i="13"/>
  <c r="F4643" i="13"/>
  <c r="A4643" i="13"/>
  <c r="F4642" i="13"/>
  <c r="A4642" i="13"/>
  <c r="F4641" i="13"/>
  <c r="A4641" i="13"/>
  <c r="J4640" i="13"/>
  <c r="F4640" i="13"/>
  <c r="A4640" i="13"/>
  <c r="J4639" i="13"/>
  <c r="F4639" i="13"/>
  <c r="A4639" i="13"/>
  <c r="J4638" i="13"/>
  <c r="F4638" i="13"/>
  <c r="A4638" i="13"/>
  <c r="J4637" i="13"/>
  <c r="F4637" i="13"/>
  <c r="A4637" i="13"/>
  <c r="J4636" i="13"/>
  <c r="F4636" i="13"/>
  <c r="A4636" i="13"/>
  <c r="J4635" i="13"/>
  <c r="F4635" i="13"/>
  <c r="A4635" i="13"/>
  <c r="J4634" i="13"/>
  <c r="F4634" i="13"/>
  <c r="A4634" i="13"/>
  <c r="J4633" i="13"/>
  <c r="F4633" i="13"/>
  <c r="A4633" i="13"/>
  <c r="J4632" i="13"/>
  <c r="F4632" i="13"/>
  <c r="A4632" i="13"/>
  <c r="J4631" i="13"/>
  <c r="F4631" i="13"/>
  <c r="A4631" i="13"/>
  <c r="F4630" i="13"/>
  <c r="A4630" i="13"/>
  <c r="J4629" i="13"/>
  <c r="F4629" i="13"/>
  <c r="A4629" i="13"/>
  <c r="J4628" i="13"/>
  <c r="F4628" i="13"/>
  <c r="A4628" i="13"/>
  <c r="J4627" i="13"/>
  <c r="F4627" i="13"/>
  <c r="A4627" i="13"/>
  <c r="J4626" i="13"/>
  <c r="F4626" i="13"/>
  <c r="A4626" i="13"/>
  <c r="F4625" i="13"/>
  <c r="A4625" i="13"/>
  <c r="F4624" i="13"/>
  <c r="A4624" i="13"/>
  <c r="J4623" i="13"/>
  <c r="F4623" i="13"/>
  <c r="A4623" i="13"/>
  <c r="F4622" i="13"/>
  <c r="A4622" i="13"/>
  <c r="F4621" i="13"/>
  <c r="A4621" i="13"/>
  <c r="J4620" i="13"/>
  <c r="F4620" i="13"/>
  <c r="A4620" i="13"/>
  <c r="J4619" i="13"/>
  <c r="F4619" i="13"/>
  <c r="A4619" i="13"/>
  <c r="J4618" i="13"/>
  <c r="F4618" i="13"/>
  <c r="A4618" i="13"/>
  <c r="J4617" i="13"/>
  <c r="F4617" i="13"/>
  <c r="A4617" i="13"/>
  <c r="J4616" i="13"/>
  <c r="F4616" i="13"/>
  <c r="A4616" i="13"/>
  <c r="F4615" i="13"/>
  <c r="A4615" i="13"/>
  <c r="F4614" i="13"/>
  <c r="A4614" i="13"/>
  <c r="F4613" i="13"/>
  <c r="A4613" i="13"/>
  <c r="F4612" i="13"/>
  <c r="A4612" i="13"/>
  <c r="F4611" i="13"/>
  <c r="A4611" i="13"/>
  <c r="F4610" i="13"/>
  <c r="A4610" i="13"/>
  <c r="F4609" i="13"/>
  <c r="A4609" i="13"/>
  <c r="J4608" i="13"/>
  <c r="F4608" i="13"/>
  <c r="A4608" i="13"/>
  <c r="J4607" i="13"/>
  <c r="F4607" i="13"/>
  <c r="A4607" i="13"/>
  <c r="J4606" i="13"/>
  <c r="F4606" i="13"/>
  <c r="A4606" i="13"/>
  <c r="F4605" i="13"/>
  <c r="A4605" i="13"/>
  <c r="J4604" i="13"/>
  <c r="F4604" i="13"/>
  <c r="A4604" i="13"/>
  <c r="J4603" i="13"/>
  <c r="F4603" i="13"/>
  <c r="A4603" i="13"/>
  <c r="F4602" i="13"/>
  <c r="A4602" i="13"/>
  <c r="F4601" i="13"/>
  <c r="A4601" i="13"/>
  <c r="F4600" i="13"/>
  <c r="A4600" i="13"/>
  <c r="F4599" i="13"/>
  <c r="A4599" i="13"/>
  <c r="J4598" i="13"/>
  <c r="F4598" i="13"/>
  <c r="A4598" i="13"/>
  <c r="J4597" i="13"/>
  <c r="F4597" i="13"/>
  <c r="A4597" i="13"/>
  <c r="F4596" i="13"/>
  <c r="A4596" i="13"/>
  <c r="F4595" i="13"/>
  <c r="A4595" i="13"/>
  <c r="J4594" i="13"/>
  <c r="F4594" i="13"/>
  <c r="A4594" i="13"/>
  <c r="J4593" i="13"/>
  <c r="F4593" i="13"/>
  <c r="A4593" i="13"/>
  <c r="F4592" i="13"/>
  <c r="A4592" i="13"/>
  <c r="F4591" i="13"/>
  <c r="A4591" i="13"/>
  <c r="F4590" i="13"/>
  <c r="A4590" i="13"/>
  <c r="F4589" i="13"/>
  <c r="A4589" i="13"/>
  <c r="F4588" i="13"/>
  <c r="A4588" i="13"/>
  <c r="J4587" i="13"/>
  <c r="F4587" i="13"/>
  <c r="A4587" i="13"/>
  <c r="J4586" i="13"/>
  <c r="F4586" i="13"/>
  <c r="A4586" i="13"/>
  <c r="J4585" i="13"/>
  <c r="F4585" i="13"/>
  <c r="A4585" i="13"/>
  <c r="F4584" i="13"/>
  <c r="A4584" i="13"/>
  <c r="J4583" i="13"/>
  <c r="F4583" i="13"/>
  <c r="A4583" i="13"/>
  <c r="J4582" i="13"/>
  <c r="F4582" i="13"/>
  <c r="A4582" i="13"/>
  <c r="J4581" i="13"/>
  <c r="F4581" i="13"/>
  <c r="A4581" i="13"/>
  <c r="F4580" i="13"/>
  <c r="A4580" i="13"/>
  <c r="F4579" i="13"/>
  <c r="A4579" i="13"/>
  <c r="J4578" i="13"/>
  <c r="F4578" i="13"/>
  <c r="A4578" i="13"/>
  <c r="J4577" i="13"/>
  <c r="F4577" i="13"/>
  <c r="A4577" i="13"/>
  <c r="F4576" i="13"/>
  <c r="A4576" i="13"/>
  <c r="F4575" i="13"/>
  <c r="A4575" i="13"/>
  <c r="J4574" i="13"/>
  <c r="F4574" i="13"/>
  <c r="A4574" i="13"/>
  <c r="J4573" i="13"/>
  <c r="F4573" i="13"/>
  <c r="A4573" i="13"/>
  <c r="J4572" i="13"/>
  <c r="F4572" i="13"/>
  <c r="A4572" i="13"/>
  <c r="F4571" i="13"/>
  <c r="A4571" i="13"/>
  <c r="F4570" i="13"/>
  <c r="A4570" i="13"/>
  <c r="F4569" i="13"/>
  <c r="A4569" i="13"/>
  <c r="F4568" i="13"/>
  <c r="A4568" i="13"/>
  <c r="F4567" i="13"/>
  <c r="A4567" i="13"/>
  <c r="F4566" i="13"/>
  <c r="A4566" i="13"/>
  <c r="F4565" i="13"/>
  <c r="A4565" i="13"/>
  <c r="F4564" i="13"/>
  <c r="A4564" i="13"/>
  <c r="F4563" i="13"/>
  <c r="A4563" i="13"/>
  <c r="J4562" i="13"/>
  <c r="F4562" i="13"/>
  <c r="A4562" i="13"/>
  <c r="J4561" i="13"/>
  <c r="F4561" i="13"/>
  <c r="A4561" i="13"/>
  <c r="F4560" i="13"/>
  <c r="A4560" i="13"/>
  <c r="F4559" i="13"/>
  <c r="A4559" i="13"/>
  <c r="F4558" i="13"/>
  <c r="A4558" i="13"/>
  <c r="F4557" i="13"/>
  <c r="A4557" i="13"/>
  <c r="F4556" i="13"/>
  <c r="A4556" i="13"/>
  <c r="F4555" i="13"/>
  <c r="A4555" i="13"/>
  <c r="F4554" i="13"/>
  <c r="A4554" i="13"/>
  <c r="J4553" i="13"/>
  <c r="F4553" i="13"/>
  <c r="A4553" i="13"/>
  <c r="F4552" i="13"/>
  <c r="A4552" i="13"/>
  <c r="F4551" i="13"/>
  <c r="A4551" i="13"/>
  <c r="F4550" i="13"/>
  <c r="A4550" i="13"/>
  <c r="F4549" i="13"/>
  <c r="A4549" i="13"/>
  <c r="F4548" i="13"/>
  <c r="A4548" i="13"/>
  <c r="F4547" i="13"/>
  <c r="A4547" i="13"/>
  <c r="J4546" i="13"/>
  <c r="F4546" i="13"/>
  <c r="A4546" i="13"/>
  <c r="J4545" i="13"/>
  <c r="F4545" i="13"/>
  <c r="A4545" i="13"/>
  <c r="J4544" i="13"/>
  <c r="F4544" i="13"/>
  <c r="A4544" i="13"/>
  <c r="J4543" i="13"/>
  <c r="F4543" i="13"/>
  <c r="A4543" i="13"/>
  <c r="J4542" i="13"/>
  <c r="F4542" i="13"/>
  <c r="A4542" i="13"/>
  <c r="J4541" i="13"/>
  <c r="F4541" i="13"/>
  <c r="A4541" i="13"/>
  <c r="F4540" i="13"/>
  <c r="A4540" i="13"/>
  <c r="F4539" i="13"/>
  <c r="A4539" i="13"/>
  <c r="F4538" i="13"/>
  <c r="A4538" i="13"/>
  <c r="F4537" i="13"/>
  <c r="A4537" i="13"/>
  <c r="J4536" i="13"/>
  <c r="F4536" i="13"/>
  <c r="A4536" i="13"/>
  <c r="F4535" i="13"/>
  <c r="A4535" i="13"/>
  <c r="J4534" i="13"/>
  <c r="F4534" i="13"/>
  <c r="A4534" i="13"/>
  <c r="J4533" i="13"/>
  <c r="F4533" i="13"/>
  <c r="A4533" i="13"/>
  <c r="F4532" i="13"/>
  <c r="A4532" i="13"/>
  <c r="F4531" i="13"/>
  <c r="A4531" i="13"/>
  <c r="F4530" i="13"/>
  <c r="A4530" i="13"/>
  <c r="F4529" i="13"/>
  <c r="A4529" i="13"/>
  <c r="F4528" i="13"/>
  <c r="A4528" i="13"/>
  <c r="F4527" i="13"/>
  <c r="A4527" i="13"/>
  <c r="F4526" i="13"/>
  <c r="A4526" i="13"/>
  <c r="F4525" i="13"/>
  <c r="A4525" i="13"/>
  <c r="F4524" i="13"/>
  <c r="A4524" i="13"/>
  <c r="J4523" i="13"/>
  <c r="F4523" i="13"/>
  <c r="A4523" i="13"/>
  <c r="J4522" i="13"/>
  <c r="F4522" i="13"/>
  <c r="A4522" i="13"/>
  <c r="J4521" i="13"/>
  <c r="F4521" i="13"/>
  <c r="A4521" i="13"/>
  <c r="F4520" i="13"/>
  <c r="A4520" i="13"/>
  <c r="F4519" i="13"/>
  <c r="A4519" i="13"/>
  <c r="F4518" i="13"/>
  <c r="A4518" i="13"/>
  <c r="F4517" i="13"/>
  <c r="A4517" i="13"/>
  <c r="F4516" i="13"/>
  <c r="A4516" i="13"/>
  <c r="F4515" i="13"/>
  <c r="A4515" i="13"/>
  <c r="J4514" i="13"/>
  <c r="F4514" i="13"/>
  <c r="A4514" i="13"/>
  <c r="J4513" i="13"/>
  <c r="F4513" i="13"/>
  <c r="A4513" i="13"/>
  <c r="J4512" i="13"/>
  <c r="F4512" i="13"/>
  <c r="A4512" i="13"/>
  <c r="J4511" i="13"/>
  <c r="F4511" i="13"/>
  <c r="A4511" i="13"/>
  <c r="F4510" i="13"/>
  <c r="A4510" i="13"/>
  <c r="F4509" i="13"/>
  <c r="A4509" i="13"/>
  <c r="F4508" i="13"/>
  <c r="A4508" i="13"/>
  <c r="F4507" i="13"/>
  <c r="A4507" i="13"/>
  <c r="F4506" i="13"/>
  <c r="A4506" i="13"/>
  <c r="F4505" i="13"/>
  <c r="A4505" i="13"/>
  <c r="F4504" i="13"/>
  <c r="A4504" i="13"/>
  <c r="F4503" i="13"/>
  <c r="A4503" i="13"/>
  <c r="J4502" i="13"/>
  <c r="F4502" i="13"/>
  <c r="A4502" i="13"/>
  <c r="F4501" i="13"/>
  <c r="A4501" i="13"/>
  <c r="F4500" i="13"/>
  <c r="A4500" i="13"/>
  <c r="J4499" i="13"/>
  <c r="F4499" i="13"/>
  <c r="A4499" i="13"/>
  <c r="J4498" i="13"/>
  <c r="F4498" i="13"/>
  <c r="A4498" i="13"/>
  <c r="F4497" i="13"/>
  <c r="A4497" i="13"/>
  <c r="J4496" i="13"/>
  <c r="F4496" i="13"/>
  <c r="A4496" i="13"/>
  <c r="J4495" i="13"/>
  <c r="F4495" i="13"/>
  <c r="A4495" i="13"/>
  <c r="J4494" i="13"/>
  <c r="F4494" i="13"/>
  <c r="A4494" i="13"/>
  <c r="F4493" i="13"/>
  <c r="A4493" i="13"/>
  <c r="F4492" i="13"/>
  <c r="A4492" i="13"/>
  <c r="J4491" i="13"/>
  <c r="F4491" i="13"/>
  <c r="A4491" i="13"/>
  <c r="J4490" i="13"/>
  <c r="F4490" i="13"/>
  <c r="A4490" i="13"/>
  <c r="J4489" i="13"/>
  <c r="F4489" i="13"/>
  <c r="A4489" i="13"/>
  <c r="J4488" i="13"/>
  <c r="F4488" i="13"/>
  <c r="A4488" i="13"/>
  <c r="J4487" i="13"/>
  <c r="F4487" i="13"/>
  <c r="A4487" i="13"/>
  <c r="J4486" i="13"/>
  <c r="F4486" i="13"/>
  <c r="A4486" i="13"/>
  <c r="J4485" i="13"/>
  <c r="F4485" i="13"/>
  <c r="A4485" i="13"/>
  <c r="J4484" i="13"/>
  <c r="F4484" i="13"/>
  <c r="A4484" i="13"/>
  <c r="J4483" i="13"/>
  <c r="F4483" i="13"/>
  <c r="A4483" i="13"/>
  <c r="F4482" i="13"/>
  <c r="A4482" i="13"/>
  <c r="J4481" i="13"/>
  <c r="F4481" i="13"/>
  <c r="A4481" i="13"/>
  <c r="J4480" i="13"/>
  <c r="F4480" i="13"/>
  <c r="A4480" i="13"/>
  <c r="F4479" i="13"/>
  <c r="A4479" i="13"/>
  <c r="J4478" i="13"/>
  <c r="F4478" i="13"/>
  <c r="A4478" i="13"/>
  <c r="J4477" i="13"/>
  <c r="F4477" i="13"/>
  <c r="A4477" i="13"/>
  <c r="J4476" i="13"/>
  <c r="F4476" i="13"/>
  <c r="A4476" i="13"/>
  <c r="J4475" i="13"/>
  <c r="F4475" i="13"/>
  <c r="A4475" i="13"/>
  <c r="J4474" i="13"/>
  <c r="F4474" i="13"/>
  <c r="A4474" i="13"/>
  <c r="J4473" i="13"/>
  <c r="F4473" i="13"/>
  <c r="A4473" i="13"/>
  <c r="F4472" i="13"/>
  <c r="A4472" i="13"/>
  <c r="F4471" i="13"/>
  <c r="A4471" i="13"/>
  <c r="J4470" i="13"/>
  <c r="F4470" i="13"/>
  <c r="A4470" i="13"/>
  <c r="J4469" i="13"/>
  <c r="F4469" i="13"/>
  <c r="A4469" i="13"/>
  <c r="F4468" i="13"/>
  <c r="A4468" i="13"/>
  <c r="F4467" i="13"/>
  <c r="A4467" i="13"/>
  <c r="F4466" i="13"/>
  <c r="A4466" i="13"/>
  <c r="F4465" i="13"/>
  <c r="A4465" i="13"/>
  <c r="F4464" i="13"/>
  <c r="A4464" i="13"/>
  <c r="F4463" i="13"/>
  <c r="A4463" i="13"/>
  <c r="F4462" i="13"/>
  <c r="A4462" i="13"/>
  <c r="F4461" i="13"/>
  <c r="A4461" i="13"/>
  <c r="J4460" i="13"/>
  <c r="F4460" i="13"/>
  <c r="A4460" i="13"/>
  <c r="J4459" i="13"/>
  <c r="F4459" i="13"/>
  <c r="A4459" i="13"/>
  <c r="F4458" i="13"/>
  <c r="A4458" i="13"/>
  <c r="F4457" i="13"/>
  <c r="A4457" i="13"/>
  <c r="J4456" i="13"/>
  <c r="F4456" i="13"/>
  <c r="A4456" i="13"/>
  <c r="J4455" i="13"/>
  <c r="F4455" i="13"/>
  <c r="A4455" i="13"/>
  <c r="J4454" i="13"/>
  <c r="F4454" i="13"/>
  <c r="A4454" i="13"/>
  <c r="J4453" i="13"/>
  <c r="F4453" i="13"/>
  <c r="A4453" i="13"/>
  <c r="F4452" i="13"/>
  <c r="A4452" i="13"/>
  <c r="F4451" i="13"/>
  <c r="A4451" i="13"/>
  <c r="F4450" i="13"/>
  <c r="A4450" i="13"/>
  <c r="F4449" i="13"/>
  <c r="A4449" i="13"/>
  <c r="F4448" i="13"/>
  <c r="A4448" i="13"/>
  <c r="F4447" i="13"/>
  <c r="A4447" i="13"/>
  <c r="F4446" i="13"/>
  <c r="A4446" i="13"/>
  <c r="F4445" i="13"/>
  <c r="A4445" i="13"/>
  <c r="F4444" i="13"/>
  <c r="A4444" i="13"/>
  <c r="F4443" i="13"/>
  <c r="A4443" i="13"/>
  <c r="J4442" i="13"/>
  <c r="F4442" i="13"/>
  <c r="A4442" i="13"/>
  <c r="J4441" i="13"/>
  <c r="F4441" i="13"/>
  <c r="A4441" i="13"/>
  <c r="J4440" i="13"/>
  <c r="F4440" i="13"/>
  <c r="A4440" i="13"/>
  <c r="J4439" i="13"/>
  <c r="F4439" i="13"/>
  <c r="A4439" i="13"/>
  <c r="J4438" i="13"/>
  <c r="F4438" i="13"/>
  <c r="A4438" i="13"/>
  <c r="F4437" i="13"/>
  <c r="A4437" i="13"/>
  <c r="F4436" i="13"/>
  <c r="A4436" i="13"/>
  <c r="F4435" i="13"/>
  <c r="A4435" i="13"/>
  <c r="F4434" i="13"/>
  <c r="A4434" i="13"/>
  <c r="F4433" i="13"/>
  <c r="A4433" i="13"/>
  <c r="J4432" i="13"/>
  <c r="F4432" i="13"/>
  <c r="A4432" i="13"/>
  <c r="J4431" i="13"/>
  <c r="F4431" i="13"/>
  <c r="A4431" i="13"/>
  <c r="J4430" i="13"/>
  <c r="F4430" i="13"/>
  <c r="A4430" i="13"/>
  <c r="J4429" i="13"/>
  <c r="F4429" i="13"/>
  <c r="A4429" i="13"/>
  <c r="J4428" i="13"/>
  <c r="F4428" i="13"/>
  <c r="A4428" i="13"/>
  <c r="F4427" i="13"/>
  <c r="A4427" i="13"/>
  <c r="F4426" i="13"/>
  <c r="A4426" i="13"/>
  <c r="F4425" i="13"/>
  <c r="A4425" i="13"/>
  <c r="F4424" i="13"/>
  <c r="A4424" i="13"/>
  <c r="F4423" i="13"/>
  <c r="A4423" i="13"/>
  <c r="F4422" i="13"/>
  <c r="A4422" i="13"/>
  <c r="F4421" i="13"/>
  <c r="A4421" i="13"/>
  <c r="J4420" i="13"/>
  <c r="F4420" i="13"/>
  <c r="A4420" i="13"/>
  <c r="J4419" i="13"/>
  <c r="F4419" i="13"/>
  <c r="A4419" i="13"/>
  <c r="J4418" i="13"/>
  <c r="F4418" i="13"/>
  <c r="A4418" i="13"/>
  <c r="J4417" i="13"/>
  <c r="F4417" i="13"/>
  <c r="A4417" i="13"/>
  <c r="F4416" i="13"/>
  <c r="A4416" i="13"/>
  <c r="F4415" i="13"/>
  <c r="A4415" i="13"/>
  <c r="J4414" i="13"/>
  <c r="F4414" i="13"/>
  <c r="A4414" i="13"/>
  <c r="J4413" i="13"/>
  <c r="F4413" i="13"/>
  <c r="A4413" i="13"/>
  <c r="F4412" i="13"/>
  <c r="A4412" i="13"/>
  <c r="F4411" i="13"/>
  <c r="A4411" i="13"/>
  <c r="F4410" i="13"/>
  <c r="A4410" i="13"/>
  <c r="F4409" i="13"/>
  <c r="A4409" i="13"/>
  <c r="J4408" i="13"/>
  <c r="F4408" i="13"/>
  <c r="A4408" i="13"/>
  <c r="J4407" i="13"/>
  <c r="F4407" i="13"/>
  <c r="A4407" i="13"/>
  <c r="J4406" i="13"/>
  <c r="F4406" i="13"/>
  <c r="A4406" i="13"/>
  <c r="J4405" i="13"/>
  <c r="F4405" i="13"/>
  <c r="A4405" i="13"/>
  <c r="J4404" i="13"/>
  <c r="F4404" i="13"/>
  <c r="A4404" i="13"/>
  <c r="J4403" i="13"/>
  <c r="F4403" i="13"/>
  <c r="A4403" i="13"/>
  <c r="J4402" i="13"/>
  <c r="F4402" i="13"/>
  <c r="A4402" i="13"/>
  <c r="F4401" i="13"/>
  <c r="A4401" i="13"/>
  <c r="F4400" i="13"/>
  <c r="A4400" i="13"/>
  <c r="F4399" i="13"/>
  <c r="A4399" i="13"/>
  <c r="F4398" i="13"/>
  <c r="A4398" i="13"/>
  <c r="F4397" i="13"/>
  <c r="A4397" i="13"/>
  <c r="J4396" i="13"/>
  <c r="F4396" i="13"/>
  <c r="A4396" i="13"/>
  <c r="J4395" i="13"/>
  <c r="F4395" i="13"/>
  <c r="A4395" i="13"/>
  <c r="F4394" i="13"/>
  <c r="A4394" i="13"/>
  <c r="F4393" i="13"/>
  <c r="A4393" i="13"/>
  <c r="F4392" i="13"/>
  <c r="A4392" i="13"/>
  <c r="F4391" i="13"/>
  <c r="A4391" i="13"/>
  <c r="F4390" i="13"/>
  <c r="A4390" i="13"/>
  <c r="F4389" i="13"/>
  <c r="A4389" i="13"/>
  <c r="F4388" i="13"/>
  <c r="A4388" i="13"/>
  <c r="F4387" i="13"/>
  <c r="A4387" i="13"/>
  <c r="F4386" i="13"/>
  <c r="A4386" i="13"/>
  <c r="F4385" i="13"/>
  <c r="A4385" i="13"/>
  <c r="J4384" i="13"/>
  <c r="F4384" i="13"/>
  <c r="A4384" i="13"/>
  <c r="J4383" i="13"/>
  <c r="F4383" i="13"/>
  <c r="A4383" i="13"/>
  <c r="J4382" i="13"/>
  <c r="F4382" i="13"/>
  <c r="A4382" i="13"/>
  <c r="J4381" i="13"/>
  <c r="F4381" i="13"/>
  <c r="A4381" i="13"/>
  <c r="J4380" i="13"/>
  <c r="F4380" i="13"/>
  <c r="A4380" i="13"/>
  <c r="J4379" i="13"/>
  <c r="F4379" i="13"/>
  <c r="A4379" i="13"/>
  <c r="F4378" i="13"/>
  <c r="A4378" i="13"/>
  <c r="F4377" i="13"/>
  <c r="A4377" i="13"/>
  <c r="J4376" i="13"/>
  <c r="F4376" i="13"/>
  <c r="A4376" i="13"/>
  <c r="J4375" i="13"/>
  <c r="F4375" i="13"/>
  <c r="A4375" i="13"/>
  <c r="J4374" i="13"/>
  <c r="F4374" i="13"/>
  <c r="A4374" i="13"/>
  <c r="J4373" i="13"/>
  <c r="F4373" i="13"/>
  <c r="A4373" i="13"/>
  <c r="J4372" i="13"/>
  <c r="F4372" i="13"/>
  <c r="A4372" i="13"/>
  <c r="J4371" i="13"/>
  <c r="F4371" i="13"/>
  <c r="A4371" i="13"/>
  <c r="J4370" i="13"/>
  <c r="F4370" i="13"/>
  <c r="A4370" i="13"/>
  <c r="J4369" i="13"/>
  <c r="F4369" i="13"/>
  <c r="A4369" i="13"/>
  <c r="J4368" i="13"/>
  <c r="F4368" i="13"/>
  <c r="A4368" i="13"/>
  <c r="F4367" i="13"/>
  <c r="A4367" i="13"/>
  <c r="J4366" i="13"/>
  <c r="F4366" i="13"/>
  <c r="A4366" i="13"/>
  <c r="J4365" i="13"/>
  <c r="F4365" i="13"/>
  <c r="A4365" i="13"/>
  <c r="F4364" i="13"/>
  <c r="A4364" i="13"/>
  <c r="J4363" i="13"/>
  <c r="F4363" i="13"/>
  <c r="A4363" i="13"/>
  <c r="J4362" i="13"/>
  <c r="F4362" i="13"/>
  <c r="A4362" i="13"/>
  <c r="F4361" i="13"/>
  <c r="A4361" i="13"/>
  <c r="F4360" i="13"/>
  <c r="A4360" i="13"/>
  <c r="J4359" i="13"/>
  <c r="F4359" i="13"/>
  <c r="A4359" i="13"/>
  <c r="J4358" i="13"/>
  <c r="F4358" i="13"/>
  <c r="A4358" i="13"/>
  <c r="F4357" i="13"/>
  <c r="A4357" i="13"/>
  <c r="J4356" i="13"/>
  <c r="F4356" i="13"/>
  <c r="A4356" i="13"/>
  <c r="J4355" i="13"/>
  <c r="F4355" i="13"/>
  <c r="A4355" i="13"/>
  <c r="F4354" i="13"/>
  <c r="A4354" i="13"/>
  <c r="F4353" i="13"/>
  <c r="A4353" i="13"/>
  <c r="J4352" i="13"/>
  <c r="F4352" i="13"/>
  <c r="A4352" i="13"/>
  <c r="J4351" i="13"/>
  <c r="F4351" i="13"/>
  <c r="A4351" i="13"/>
  <c r="F4350" i="13"/>
  <c r="A4350" i="13"/>
  <c r="F4349" i="13"/>
  <c r="A4349" i="13"/>
  <c r="J4348" i="13"/>
  <c r="F4348" i="13"/>
  <c r="A4348" i="13"/>
  <c r="J4347" i="13"/>
  <c r="F4347" i="13"/>
  <c r="A4347" i="13"/>
  <c r="F4346" i="13"/>
  <c r="A4346" i="13"/>
  <c r="J4345" i="13"/>
  <c r="F4345" i="13"/>
  <c r="A4345" i="13"/>
  <c r="J4344" i="13"/>
  <c r="F4344" i="13"/>
  <c r="A4344" i="13"/>
  <c r="F4343" i="13"/>
  <c r="A4343" i="13"/>
  <c r="J4342" i="13"/>
  <c r="F4342" i="13"/>
  <c r="A4342" i="13"/>
  <c r="J4341" i="13"/>
  <c r="F4341" i="13"/>
  <c r="A4341" i="13"/>
  <c r="F4340" i="13"/>
  <c r="A4340" i="13"/>
  <c r="J4339" i="13"/>
  <c r="F4339" i="13"/>
  <c r="A4339" i="13"/>
  <c r="J4338" i="13"/>
  <c r="F4338" i="13"/>
  <c r="A4338" i="13"/>
  <c r="J4337" i="13"/>
  <c r="F4337" i="13"/>
  <c r="A4337" i="13"/>
  <c r="F4336" i="13"/>
  <c r="A4336" i="13"/>
  <c r="F4335" i="13"/>
  <c r="A4335" i="13"/>
  <c r="F4334" i="13"/>
  <c r="A4334" i="13"/>
  <c r="J4333" i="13"/>
  <c r="F4333" i="13"/>
  <c r="A4333" i="13"/>
  <c r="J4332" i="13"/>
  <c r="F4332" i="13"/>
  <c r="A4332" i="13"/>
  <c r="F4331" i="13"/>
  <c r="A4331" i="13"/>
  <c r="F4330" i="13"/>
  <c r="A4330" i="13"/>
  <c r="F4329" i="13"/>
  <c r="A4329" i="13"/>
  <c r="J4328" i="13"/>
  <c r="F4328" i="13"/>
  <c r="A4328" i="13"/>
  <c r="F4327" i="13"/>
  <c r="A4327" i="13"/>
  <c r="F4326" i="13"/>
  <c r="A4326" i="13"/>
  <c r="F4325" i="13"/>
  <c r="A4325" i="13"/>
  <c r="F4324" i="13"/>
  <c r="A4324" i="13"/>
  <c r="J4323" i="13"/>
  <c r="F4323" i="13"/>
  <c r="A4323" i="13"/>
  <c r="J4322" i="13"/>
  <c r="F4322" i="13"/>
  <c r="A4322" i="13"/>
  <c r="F4321" i="13"/>
  <c r="A4321" i="13"/>
  <c r="J4320" i="13"/>
  <c r="F4320" i="13"/>
  <c r="A4320" i="13"/>
  <c r="F4319" i="13"/>
  <c r="A4319" i="13"/>
  <c r="F4318" i="13"/>
  <c r="A4318" i="13"/>
  <c r="F4317" i="13"/>
  <c r="A4317" i="13"/>
  <c r="F4316" i="13"/>
  <c r="A4316" i="13"/>
  <c r="F4315" i="13"/>
  <c r="A4315" i="13"/>
  <c r="F4314" i="13"/>
  <c r="A4314" i="13"/>
  <c r="F4313" i="13"/>
  <c r="A4313" i="13"/>
  <c r="F4312" i="13"/>
  <c r="A4312" i="13"/>
  <c r="F4311" i="13"/>
  <c r="A4311" i="13"/>
  <c r="F4310" i="13"/>
  <c r="A4310" i="13"/>
  <c r="F4309" i="13"/>
  <c r="A4309" i="13"/>
  <c r="F4308" i="13"/>
  <c r="A4308" i="13"/>
  <c r="F4307" i="13"/>
  <c r="A4307" i="13"/>
  <c r="F4306" i="13"/>
  <c r="A4306" i="13"/>
  <c r="F4305" i="13"/>
  <c r="A4305" i="13"/>
  <c r="J4304" i="13"/>
  <c r="F4304" i="13"/>
  <c r="A4304" i="13"/>
  <c r="J4303" i="13"/>
  <c r="F4303" i="13"/>
  <c r="A4303" i="13"/>
  <c r="J4302" i="13"/>
  <c r="F4302" i="13"/>
  <c r="A4302" i="13"/>
  <c r="F4301" i="13"/>
  <c r="A4301" i="13"/>
  <c r="J4300" i="13"/>
  <c r="F4300" i="13"/>
  <c r="A4300" i="13"/>
  <c r="J4299" i="13"/>
  <c r="F4299" i="13"/>
  <c r="A4299" i="13"/>
  <c r="J4298" i="13"/>
  <c r="F4298" i="13"/>
  <c r="A4298" i="13"/>
  <c r="J4297" i="13"/>
  <c r="F4297" i="13"/>
  <c r="A4297" i="13"/>
  <c r="F4296" i="13"/>
  <c r="A4296" i="13"/>
  <c r="F4295" i="13"/>
  <c r="A4295" i="13"/>
  <c r="J4294" i="13"/>
  <c r="F4294" i="13"/>
  <c r="A4294" i="13"/>
  <c r="J4293" i="13"/>
  <c r="F4293" i="13"/>
  <c r="A4293" i="13"/>
  <c r="F4292" i="13"/>
  <c r="A4292" i="13"/>
  <c r="F4291" i="13"/>
  <c r="A4291" i="13"/>
  <c r="F4290" i="13"/>
  <c r="A4290" i="13"/>
  <c r="F4289" i="13"/>
  <c r="A4289" i="13"/>
  <c r="F4288" i="13"/>
  <c r="A4288" i="13"/>
  <c r="F4287" i="13"/>
  <c r="A4287" i="13"/>
  <c r="F4286" i="13"/>
  <c r="A4286" i="13"/>
  <c r="J4285" i="13"/>
  <c r="F4285" i="13"/>
  <c r="A4285" i="13"/>
  <c r="J4284" i="13"/>
  <c r="F4284" i="13"/>
  <c r="A4284" i="13"/>
  <c r="F4283" i="13"/>
  <c r="A4283" i="13"/>
  <c r="F4282" i="13"/>
  <c r="A4282" i="13"/>
  <c r="J4281" i="13"/>
  <c r="F4281" i="13"/>
  <c r="A4281" i="13"/>
  <c r="J4280" i="13"/>
  <c r="F4280" i="13"/>
  <c r="A4280" i="13"/>
  <c r="J4279" i="13"/>
  <c r="F4279" i="13"/>
  <c r="A4279" i="13"/>
  <c r="F4278" i="13"/>
  <c r="A4278" i="13"/>
  <c r="J4277" i="13"/>
  <c r="F4277" i="13"/>
  <c r="A4277" i="13"/>
  <c r="F4276" i="13"/>
  <c r="A4276" i="13"/>
  <c r="J4275" i="13"/>
  <c r="F4275" i="13"/>
  <c r="A4275" i="13"/>
  <c r="F4274" i="13"/>
  <c r="A4274" i="13"/>
  <c r="F4273" i="13"/>
  <c r="A4273" i="13"/>
  <c r="F4272" i="13"/>
  <c r="A4272" i="13"/>
  <c r="J4271" i="13"/>
  <c r="F4271" i="13"/>
  <c r="A4271" i="13"/>
  <c r="J4270" i="13"/>
  <c r="F4270" i="13"/>
  <c r="A4270" i="13"/>
  <c r="J4269" i="13"/>
  <c r="F4269" i="13"/>
  <c r="A4269" i="13"/>
  <c r="J4268" i="13"/>
  <c r="F4268" i="13"/>
  <c r="A4268" i="13"/>
  <c r="F4267" i="13"/>
  <c r="A4267" i="13"/>
  <c r="J4266" i="13"/>
  <c r="F4266" i="13"/>
  <c r="A4266" i="13"/>
  <c r="J4265" i="13"/>
  <c r="F4265" i="13"/>
  <c r="A4265" i="13"/>
  <c r="F4264" i="13"/>
  <c r="A4264" i="13"/>
  <c r="F4263" i="13"/>
  <c r="A4263" i="13"/>
  <c r="F4262" i="13"/>
  <c r="A4262" i="13"/>
  <c r="J4261" i="13"/>
  <c r="F4261" i="13"/>
  <c r="A4261" i="13"/>
  <c r="J4260" i="13"/>
  <c r="F4260" i="13"/>
  <c r="A4260" i="13"/>
  <c r="F4259" i="13"/>
  <c r="A4259" i="13"/>
  <c r="F4258" i="13"/>
  <c r="A4258" i="13"/>
  <c r="F4257" i="13"/>
  <c r="A4257" i="13"/>
  <c r="F4256" i="13"/>
  <c r="A4256" i="13"/>
  <c r="F4255" i="13"/>
  <c r="A4255" i="13"/>
  <c r="J4254" i="13"/>
  <c r="F4254" i="13"/>
  <c r="A4254" i="13"/>
  <c r="J4253" i="13"/>
  <c r="F4253" i="13"/>
  <c r="A4253" i="13"/>
  <c r="F4252" i="13"/>
  <c r="A4252" i="13"/>
  <c r="J4251" i="13"/>
  <c r="F4251" i="13"/>
  <c r="A4251" i="13"/>
  <c r="J4250" i="13"/>
  <c r="F4250" i="13"/>
  <c r="A4250" i="13"/>
  <c r="J4249" i="13"/>
  <c r="F4249" i="13"/>
  <c r="A4249" i="13"/>
  <c r="J4248" i="13"/>
  <c r="F4248" i="13"/>
  <c r="A4248" i="13"/>
  <c r="J4247" i="13"/>
  <c r="F4247" i="13"/>
  <c r="A4247" i="13"/>
  <c r="J4246" i="13"/>
  <c r="F4246" i="13"/>
  <c r="A4246" i="13"/>
  <c r="J4245" i="13"/>
  <c r="F4245" i="13"/>
  <c r="A4245" i="13"/>
  <c r="J4244" i="13"/>
  <c r="F4244" i="13"/>
  <c r="A4244" i="13"/>
  <c r="F4243" i="13"/>
  <c r="A4243" i="13"/>
  <c r="F4242" i="13"/>
  <c r="A4242" i="13"/>
  <c r="F4241" i="13"/>
  <c r="A4241" i="13"/>
  <c r="J4240" i="13"/>
  <c r="F4240" i="13"/>
  <c r="A4240" i="13"/>
  <c r="J4239" i="13"/>
  <c r="F4239" i="13"/>
  <c r="A4239" i="13"/>
  <c r="J4238" i="13"/>
  <c r="F4238" i="13"/>
  <c r="A4238" i="13"/>
  <c r="J4237" i="13"/>
  <c r="F4237" i="13"/>
  <c r="A4237" i="13"/>
  <c r="F4236" i="13"/>
  <c r="A4236" i="13"/>
  <c r="J4235" i="13"/>
  <c r="F4235" i="13"/>
  <c r="A4235" i="13"/>
  <c r="J4234" i="13"/>
  <c r="F4234" i="13"/>
  <c r="A4234" i="13"/>
  <c r="F4233" i="13"/>
  <c r="A4233" i="13"/>
  <c r="F4232" i="13"/>
  <c r="A4232" i="13"/>
  <c r="F4231" i="13"/>
  <c r="A4231" i="13"/>
  <c r="F4230" i="13"/>
  <c r="A4230" i="13"/>
  <c r="J4229" i="13"/>
  <c r="F4229" i="13"/>
  <c r="A4229" i="13"/>
  <c r="J4228" i="13"/>
  <c r="F4228" i="13"/>
  <c r="A4228" i="13"/>
  <c r="J4227" i="13"/>
  <c r="F4227" i="13"/>
  <c r="A4227" i="13"/>
  <c r="J4226" i="13"/>
  <c r="F4226" i="13"/>
  <c r="A4226" i="13"/>
  <c r="F4225" i="13"/>
  <c r="A4225" i="13"/>
  <c r="F4224" i="13"/>
  <c r="A4224" i="13"/>
  <c r="F4223" i="13"/>
  <c r="A4223" i="13"/>
  <c r="F4222" i="13"/>
  <c r="A4222" i="13"/>
  <c r="F4221" i="13"/>
  <c r="A4221" i="13"/>
  <c r="J4220" i="13"/>
  <c r="F4220" i="13"/>
  <c r="A4220" i="13"/>
  <c r="J4219" i="13"/>
  <c r="F4219" i="13"/>
  <c r="A4219" i="13"/>
  <c r="F4218" i="13"/>
  <c r="A4218" i="13"/>
  <c r="F4217" i="13"/>
  <c r="A4217" i="13"/>
  <c r="F4216" i="13"/>
  <c r="A4216" i="13"/>
  <c r="F4215" i="13"/>
  <c r="A4215" i="13"/>
  <c r="F4214" i="13"/>
  <c r="A4214" i="13"/>
  <c r="F4213" i="13"/>
  <c r="A4213" i="13"/>
  <c r="F4212" i="13"/>
  <c r="A4212" i="13"/>
  <c r="F4211" i="13"/>
  <c r="A4211" i="13"/>
  <c r="F4210" i="13"/>
  <c r="A4210" i="13"/>
  <c r="F4209" i="13"/>
  <c r="A4209" i="13"/>
  <c r="F4208" i="13"/>
  <c r="A4208" i="13"/>
  <c r="F4207" i="13"/>
  <c r="A4207" i="13"/>
  <c r="F4206" i="13"/>
  <c r="A4206" i="13"/>
  <c r="F4205" i="13"/>
  <c r="A4205" i="13"/>
  <c r="F4204" i="13"/>
  <c r="A4204" i="13"/>
  <c r="F4203" i="13"/>
  <c r="A4203" i="13"/>
  <c r="F4202" i="13"/>
  <c r="A4202" i="13"/>
  <c r="F4201" i="13"/>
  <c r="A4201" i="13"/>
  <c r="F4200" i="13"/>
  <c r="A4200" i="13"/>
  <c r="F4199" i="13"/>
  <c r="A4199" i="13"/>
  <c r="F4198" i="13"/>
  <c r="A4198" i="13"/>
  <c r="F4197" i="13"/>
  <c r="A4197" i="13"/>
  <c r="F4196" i="13"/>
  <c r="A4196" i="13"/>
  <c r="F4195" i="13"/>
  <c r="A4195" i="13"/>
  <c r="F4194" i="13"/>
  <c r="A4194" i="13"/>
  <c r="J4193" i="13"/>
  <c r="F4193" i="13"/>
  <c r="A4193" i="13"/>
  <c r="J4192" i="13"/>
  <c r="F4192" i="13"/>
  <c r="A4192" i="13"/>
  <c r="J4191" i="13"/>
  <c r="F4191" i="13"/>
  <c r="A4191" i="13"/>
  <c r="J4190" i="13"/>
  <c r="F4190" i="13"/>
  <c r="A4190" i="13"/>
  <c r="J4189" i="13"/>
  <c r="F4189" i="13"/>
  <c r="A4189" i="13"/>
  <c r="J4188" i="13"/>
  <c r="F4188" i="13"/>
  <c r="A4188" i="13"/>
  <c r="F4187" i="13"/>
  <c r="A4187" i="13"/>
  <c r="F4186" i="13"/>
  <c r="A4186" i="13"/>
  <c r="F4185" i="13"/>
  <c r="A4185" i="13"/>
  <c r="F4184" i="13"/>
  <c r="A4184" i="13"/>
  <c r="F4183" i="13"/>
  <c r="A4183" i="13"/>
  <c r="J4182" i="13"/>
  <c r="F4182" i="13"/>
  <c r="A4182" i="13"/>
  <c r="F4181" i="13"/>
  <c r="A4181" i="13"/>
  <c r="F4180" i="13"/>
  <c r="A4180" i="13"/>
  <c r="F4179" i="13"/>
  <c r="A4179" i="13"/>
  <c r="J4178" i="13"/>
  <c r="F4178" i="13"/>
  <c r="A4178" i="13"/>
  <c r="J4177" i="13"/>
  <c r="F4177" i="13"/>
  <c r="A4177" i="13"/>
  <c r="F4176" i="13"/>
  <c r="A4176" i="13"/>
  <c r="F4175" i="13"/>
  <c r="A4175" i="13"/>
  <c r="F4174" i="13"/>
  <c r="A4174" i="13"/>
  <c r="F4173" i="13"/>
  <c r="A4173" i="13"/>
  <c r="F4172" i="13"/>
  <c r="A4172" i="13"/>
  <c r="F4171" i="13"/>
  <c r="A4171" i="13"/>
  <c r="F4170" i="13"/>
  <c r="A4170" i="13"/>
  <c r="F4169" i="13"/>
  <c r="A4169" i="13"/>
  <c r="F4168" i="13"/>
  <c r="A4168" i="13"/>
  <c r="F4167" i="13"/>
  <c r="A4167" i="13"/>
  <c r="F4166" i="13"/>
  <c r="A4166" i="13"/>
  <c r="F4165" i="13"/>
  <c r="A4165" i="13"/>
  <c r="J4164" i="13"/>
  <c r="F4164" i="13"/>
  <c r="A4164" i="13"/>
  <c r="J4163" i="13"/>
  <c r="F4163" i="13"/>
  <c r="A4163" i="13"/>
  <c r="J4162" i="13"/>
  <c r="F4162" i="13"/>
  <c r="A4162" i="13"/>
  <c r="F4161" i="13"/>
  <c r="A4161" i="13"/>
  <c r="F4160" i="13"/>
  <c r="A4160" i="13"/>
  <c r="J4159" i="13"/>
  <c r="F4159" i="13"/>
  <c r="A4159" i="13"/>
  <c r="J4158" i="13"/>
  <c r="F4158" i="13"/>
  <c r="A4158" i="13"/>
  <c r="J4157" i="13"/>
  <c r="F4157" i="13"/>
  <c r="A4157" i="13"/>
  <c r="F4156" i="13"/>
  <c r="A4156" i="13"/>
  <c r="F4155" i="13"/>
  <c r="A4155" i="13"/>
  <c r="F4154" i="13"/>
  <c r="A4154" i="13"/>
  <c r="F4153" i="13"/>
  <c r="A4153" i="13"/>
  <c r="J4152" i="13"/>
  <c r="F4152" i="13"/>
  <c r="A4152" i="13"/>
  <c r="J4151" i="13"/>
  <c r="F4151" i="13"/>
  <c r="A4151" i="13"/>
  <c r="J4150" i="13"/>
  <c r="F4150" i="13"/>
  <c r="A4150" i="13"/>
  <c r="J4149" i="13"/>
  <c r="F4149" i="13"/>
  <c r="A4149" i="13"/>
  <c r="J4148" i="13"/>
  <c r="F4148" i="13"/>
  <c r="A4148" i="13"/>
  <c r="J4147" i="13"/>
  <c r="F4147" i="13"/>
  <c r="A4147" i="13"/>
  <c r="J4146" i="13"/>
  <c r="F4146" i="13"/>
  <c r="A4146" i="13"/>
  <c r="J4145" i="13"/>
  <c r="F4145" i="13"/>
  <c r="A4145" i="13"/>
  <c r="J4144" i="13"/>
  <c r="F4144" i="13"/>
  <c r="A4144" i="13"/>
  <c r="F4143" i="13"/>
  <c r="A4143" i="13"/>
  <c r="F4142" i="13"/>
  <c r="A4142" i="13"/>
  <c r="F4141" i="13"/>
  <c r="A4141" i="13"/>
  <c r="F4140" i="13"/>
  <c r="A4140" i="13"/>
  <c r="F4139" i="13"/>
  <c r="A4139" i="13"/>
  <c r="F4138" i="13"/>
  <c r="A4138" i="13"/>
  <c r="F4137" i="13"/>
  <c r="A4137" i="13"/>
  <c r="J4136" i="13"/>
  <c r="F4136" i="13"/>
  <c r="A4136" i="13"/>
  <c r="J4135" i="13"/>
  <c r="F4135" i="13"/>
  <c r="A4135" i="13"/>
  <c r="F4134" i="13"/>
  <c r="A4134" i="13"/>
  <c r="F4133" i="13"/>
  <c r="A4133" i="13"/>
  <c r="F4132" i="13"/>
  <c r="A4132" i="13"/>
  <c r="F4131" i="13"/>
  <c r="A4131" i="13"/>
  <c r="F4130" i="13"/>
  <c r="A4130" i="13"/>
  <c r="F4129" i="13"/>
  <c r="A4129" i="13"/>
  <c r="F4128" i="13"/>
  <c r="A4128" i="13"/>
  <c r="F4127" i="13"/>
  <c r="A4127" i="13"/>
  <c r="F4126" i="13"/>
  <c r="A4126" i="13"/>
  <c r="F4125" i="13"/>
  <c r="A4125" i="13"/>
  <c r="F4124" i="13"/>
  <c r="A4124" i="13"/>
  <c r="F4123" i="13"/>
  <c r="A4123" i="13"/>
  <c r="F4122" i="13"/>
  <c r="A4122" i="13"/>
  <c r="J4121" i="13"/>
  <c r="F4121" i="13"/>
  <c r="A4121" i="13"/>
  <c r="J4120" i="13"/>
  <c r="F4120" i="13"/>
  <c r="A4120" i="13"/>
  <c r="J4119" i="13"/>
  <c r="F4119" i="13"/>
  <c r="A4119" i="13"/>
  <c r="J4118" i="13"/>
  <c r="F4118" i="13"/>
  <c r="A4118" i="13"/>
  <c r="F4117" i="13"/>
  <c r="A4117" i="13"/>
  <c r="F4116" i="13"/>
  <c r="A4116" i="13"/>
  <c r="F4115" i="13"/>
  <c r="A4115" i="13"/>
  <c r="F4114" i="13"/>
  <c r="A4114" i="13"/>
  <c r="F4113" i="13"/>
  <c r="A4113" i="13"/>
  <c r="F4112" i="13"/>
  <c r="A4112" i="13"/>
  <c r="F4111" i="13"/>
  <c r="A4111" i="13"/>
  <c r="F4110" i="13"/>
  <c r="A4110" i="13"/>
  <c r="F4109" i="13"/>
  <c r="A4109" i="13"/>
  <c r="F4108" i="13"/>
  <c r="A4108" i="13"/>
  <c r="F4107" i="13"/>
  <c r="A4107" i="13"/>
  <c r="J4106" i="13"/>
  <c r="F4106" i="13"/>
  <c r="A4106" i="13"/>
  <c r="J4105" i="13"/>
  <c r="F4105" i="13"/>
  <c r="A4105" i="13"/>
  <c r="F4104" i="13"/>
  <c r="A4104" i="13"/>
  <c r="J4103" i="13"/>
  <c r="F4103" i="13"/>
  <c r="A4103" i="13"/>
  <c r="J4102" i="13"/>
  <c r="F4102" i="13"/>
  <c r="A4102" i="13"/>
  <c r="F4101" i="13"/>
  <c r="A4101" i="13"/>
  <c r="J4100" i="13"/>
  <c r="F4100" i="13"/>
  <c r="A4100" i="13"/>
  <c r="J4099" i="13"/>
  <c r="F4099" i="13"/>
  <c r="A4099" i="13"/>
  <c r="F4098" i="13"/>
  <c r="A4098" i="13"/>
  <c r="F4097" i="13"/>
  <c r="A4097" i="13"/>
  <c r="F4096" i="13"/>
  <c r="A4096" i="13"/>
  <c r="F4095" i="13"/>
  <c r="A4095" i="13"/>
  <c r="F4094" i="13"/>
  <c r="A4094" i="13"/>
  <c r="F4093" i="13"/>
  <c r="A4093" i="13"/>
  <c r="F4092" i="13"/>
  <c r="A4092" i="13"/>
  <c r="F4091" i="13"/>
  <c r="A4091" i="13"/>
  <c r="F4090" i="13"/>
  <c r="A4090" i="13"/>
  <c r="F4089" i="13"/>
  <c r="A4089" i="13"/>
  <c r="F4088" i="13"/>
  <c r="A4088" i="13"/>
  <c r="F4087" i="13"/>
  <c r="A4087" i="13"/>
  <c r="F4086" i="13"/>
  <c r="A4086" i="13"/>
  <c r="J4085" i="13"/>
  <c r="F4085" i="13"/>
  <c r="A4085" i="13"/>
  <c r="J4084" i="13"/>
  <c r="F4084" i="13"/>
  <c r="A4084" i="13"/>
  <c r="F4083" i="13"/>
  <c r="A4083" i="13"/>
  <c r="F4082" i="13"/>
  <c r="A4082" i="13"/>
  <c r="J4081" i="13"/>
  <c r="F4081" i="13"/>
  <c r="A4081" i="13"/>
  <c r="J4080" i="13"/>
  <c r="F4080" i="13"/>
  <c r="A4080" i="13"/>
  <c r="J4079" i="13"/>
  <c r="F4079" i="13"/>
  <c r="A4079" i="13"/>
  <c r="F4078" i="13"/>
  <c r="A4078" i="13"/>
  <c r="F4077" i="13"/>
  <c r="A4077" i="13"/>
  <c r="J4076" i="13"/>
  <c r="F4076" i="13"/>
  <c r="A4076" i="13"/>
  <c r="J4075" i="13"/>
  <c r="F4075" i="13"/>
  <c r="A4075" i="13"/>
  <c r="F4074" i="13"/>
  <c r="A4074" i="13"/>
  <c r="F4073" i="13"/>
  <c r="A4073" i="13"/>
  <c r="J4072" i="13"/>
  <c r="F4072" i="13"/>
  <c r="A4072" i="13"/>
  <c r="J4071" i="13"/>
  <c r="F4071" i="13"/>
  <c r="A4071" i="13"/>
  <c r="J4070" i="13"/>
  <c r="F4070" i="13"/>
  <c r="A4070" i="13"/>
  <c r="J4069" i="13"/>
  <c r="F4069" i="13"/>
  <c r="A4069" i="13"/>
  <c r="F4068" i="13"/>
  <c r="A4068" i="13"/>
  <c r="F4067" i="13"/>
  <c r="A4067" i="13"/>
  <c r="J4066" i="13"/>
  <c r="F4066" i="13"/>
  <c r="A4066" i="13"/>
  <c r="J4065" i="13"/>
  <c r="F4065" i="13"/>
  <c r="A4065" i="13"/>
  <c r="J4064" i="13"/>
  <c r="F4064" i="13"/>
  <c r="A4064" i="13"/>
  <c r="J4063" i="13"/>
  <c r="F4063" i="13"/>
  <c r="A4063" i="13"/>
  <c r="F4062" i="13"/>
  <c r="A4062" i="13"/>
  <c r="F4061" i="13"/>
  <c r="A4061" i="13"/>
  <c r="F4060" i="13"/>
  <c r="A4060" i="13"/>
  <c r="J4059" i="13"/>
  <c r="F4059" i="13"/>
  <c r="A4059" i="13"/>
  <c r="J4058" i="13"/>
  <c r="F4058" i="13"/>
  <c r="A4058" i="13"/>
  <c r="J4057" i="13"/>
  <c r="F4057" i="13"/>
  <c r="A4057" i="13"/>
  <c r="F4056" i="13"/>
  <c r="A4056" i="13"/>
  <c r="F4055" i="13"/>
  <c r="A4055" i="13"/>
  <c r="F4054" i="13"/>
  <c r="A4054" i="13"/>
  <c r="F4053" i="13"/>
  <c r="A4053" i="13"/>
  <c r="F4052" i="13"/>
  <c r="A4052" i="13"/>
  <c r="F4051" i="13"/>
  <c r="A4051" i="13"/>
  <c r="F4050" i="13"/>
  <c r="A4050" i="13"/>
  <c r="F4049" i="13"/>
  <c r="A4049" i="13"/>
  <c r="F4048" i="13"/>
  <c r="A4048" i="13"/>
  <c r="J4047" i="13"/>
  <c r="F4047" i="13"/>
  <c r="A4047" i="13"/>
  <c r="F4046" i="13"/>
  <c r="A4046" i="13"/>
  <c r="J4045" i="13"/>
  <c r="F4045" i="13"/>
  <c r="A4045" i="13"/>
  <c r="J4044" i="13"/>
  <c r="F4044" i="13"/>
  <c r="A4044" i="13"/>
  <c r="F4043" i="13"/>
  <c r="A4043" i="13"/>
  <c r="F4042" i="13"/>
  <c r="A4042" i="13"/>
  <c r="F4041" i="13"/>
  <c r="A4041" i="13"/>
  <c r="F4040" i="13"/>
  <c r="A4040" i="13"/>
  <c r="J4039" i="13"/>
  <c r="F4039" i="13"/>
  <c r="A4039" i="13"/>
  <c r="J4038" i="13"/>
  <c r="F4038" i="13"/>
  <c r="A4038" i="13"/>
  <c r="J4037" i="13"/>
  <c r="F4037" i="13"/>
  <c r="A4037" i="13"/>
  <c r="J4036" i="13"/>
  <c r="F4036" i="13"/>
  <c r="A4036" i="13"/>
  <c r="J4035" i="13"/>
  <c r="F4035" i="13"/>
  <c r="A4035" i="13"/>
  <c r="J4034" i="13"/>
  <c r="F4034" i="13"/>
  <c r="A4034" i="13"/>
  <c r="J4033" i="13"/>
  <c r="F4033" i="13"/>
  <c r="A4033" i="13"/>
  <c r="F4032" i="13"/>
  <c r="A4032" i="13"/>
  <c r="F4031" i="13"/>
  <c r="A4031" i="13"/>
  <c r="F4030" i="13"/>
  <c r="A4030" i="13"/>
  <c r="F4029" i="13"/>
  <c r="A4029" i="13"/>
  <c r="F4028" i="13"/>
  <c r="A4028" i="13"/>
  <c r="F4027" i="13"/>
  <c r="A4027" i="13"/>
  <c r="F4026" i="13"/>
  <c r="A4026" i="13"/>
  <c r="F4025" i="13"/>
  <c r="A4025" i="13"/>
  <c r="F4024" i="13"/>
  <c r="A4024" i="13"/>
  <c r="J4023" i="13"/>
  <c r="F4023" i="13"/>
  <c r="A4023" i="13"/>
  <c r="J4022" i="13"/>
  <c r="F4022" i="13"/>
  <c r="A4022" i="13"/>
  <c r="F4021" i="13"/>
  <c r="A4021" i="13"/>
  <c r="J4020" i="13"/>
  <c r="F4020" i="13"/>
  <c r="A4020" i="13"/>
  <c r="J4019" i="13"/>
  <c r="F4019" i="13"/>
  <c r="A4019" i="13"/>
  <c r="J4018" i="13"/>
  <c r="F4018" i="13"/>
  <c r="A4018" i="13"/>
  <c r="J4017" i="13"/>
  <c r="F4017" i="13"/>
  <c r="A4017" i="13"/>
  <c r="J4016" i="13"/>
  <c r="F4016" i="13"/>
  <c r="A4016" i="13"/>
  <c r="J4015" i="13"/>
  <c r="F4015" i="13"/>
  <c r="A4015" i="13"/>
  <c r="F4014" i="13"/>
  <c r="A4014" i="13"/>
  <c r="F4013" i="13"/>
  <c r="A4013" i="13"/>
  <c r="J4012" i="13"/>
  <c r="F4012" i="13"/>
  <c r="A4012" i="13"/>
  <c r="J4011" i="13"/>
  <c r="F4011" i="13"/>
  <c r="A4011" i="13"/>
  <c r="J4010" i="13"/>
  <c r="F4010" i="13"/>
  <c r="A4010" i="13"/>
  <c r="J4009" i="13"/>
  <c r="F4009" i="13"/>
  <c r="A4009" i="13"/>
  <c r="J4008" i="13"/>
  <c r="F4008" i="13"/>
  <c r="A4008" i="13"/>
  <c r="J4007" i="13"/>
  <c r="F4007" i="13"/>
  <c r="A4007" i="13"/>
  <c r="F4006" i="13"/>
  <c r="A4006" i="13"/>
  <c r="F4005" i="13"/>
  <c r="A4005" i="13"/>
  <c r="F4004" i="13"/>
  <c r="A4004" i="13"/>
  <c r="F4003" i="13"/>
  <c r="A4003" i="13"/>
  <c r="J4002" i="13"/>
  <c r="F4002" i="13"/>
  <c r="A4002" i="13"/>
  <c r="J4001" i="13"/>
  <c r="F4001" i="13"/>
  <c r="A4001" i="13"/>
  <c r="J4000" i="13"/>
  <c r="F4000" i="13"/>
  <c r="A4000" i="13"/>
  <c r="J3999" i="13"/>
  <c r="F3999" i="13"/>
  <c r="A3999" i="13"/>
  <c r="F3998" i="13"/>
  <c r="A3998" i="13"/>
  <c r="F3997" i="13"/>
  <c r="A3997" i="13"/>
  <c r="J3996" i="13"/>
  <c r="F3996" i="13"/>
  <c r="A3996" i="13"/>
  <c r="J3995" i="13"/>
  <c r="F3995" i="13"/>
  <c r="A3995" i="13"/>
  <c r="J3994" i="13"/>
  <c r="F3994" i="13"/>
  <c r="A3994" i="13"/>
  <c r="J3993" i="13"/>
  <c r="F3993" i="13"/>
  <c r="A3993" i="13"/>
  <c r="F3992" i="13"/>
  <c r="A3992" i="13"/>
  <c r="J3991" i="13"/>
  <c r="F3991" i="13"/>
  <c r="A3991" i="13"/>
  <c r="F3990" i="13"/>
  <c r="A3990" i="13"/>
  <c r="F3989" i="13"/>
  <c r="A3989" i="13"/>
  <c r="J3988" i="13"/>
  <c r="F3988" i="13"/>
  <c r="A3988" i="13"/>
  <c r="J3987" i="13"/>
  <c r="F3987" i="13"/>
  <c r="A3987" i="13"/>
  <c r="F3986" i="13"/>
  <c r="A3986" i="13"/>
  <c r="F3985" i="13"/>
  <c r="A3985" i="13"/>
  <c r="F3984" i="13"/>
  <c r="A3984" i="13"/>
  <c r="F3983" i="13"/>
  <c r="A3983" i="13"/>
  <c r="F3982" i="13"/>
  <c r="A3982" i="13"/>
  <c r="F3981" i="13"/>
  <c r="A3981" i="13"/>
  <c r="J3980" i="13"/>
  <c r="F3980" i="13"/>
  <c r="A3980" i="13"/>
  <c r="J3979" i="13"/>
  <c r="F3979" i="13"/>
  <c r="A3979" i="13"/>
  <c r="F3978" i="13"/>
  <c r="A3978" i="13"/>
  <c r="J3977" i="13"/>
  <c r="F3977" i="13"/>
  <c r="A3977" i="13"/>
  <c r="J3976" i="13"/>
  <c r="F3976" i="13"/>
  <c r="A3976" i="13"/>
  <c r="J3975" i="13"/>
  <c r="F3975" i="13"/>
  <c r="A3975" i="13"/>
  <c r="F3974" i="13"/>
  <c r="A3974" i="13"/>
  <c r="J3973" i="13"/>
  <c r="F3973" i="13"/>
  <c r="A3973" i="13"/>
  <c r="F3972" i="13"/>
  <c r="A3972" i="13"/>
  <c r="F3971" i="13"/>
  <c r="A3971" i="13"/>
  <c r="J3970" i="13"/>
  <c r="F3970" i="13"/>
  <c r="A3970" i="13"/>
  <c r="F3969" i="13"/>
  <c r="A3969" i="13"/>
  <c r="F3968" i="13"/>
  <c r="A3968" i="13"/>
  <c r="J3967" i="13"/>
  <c r="F3967" i="13"/>
  <c r="A3967" i="13"/>
  <c r="J3966" i="13"/>
  <c r="F3966" i="13"/>
  <c r="A3966" i="13"/>
  <c r="J3965" i="13"/>
  <c r="F3965" i="13"/>
  <c r="A3965" i="13"/>
  <c r="J3964" i="13"/>
  <c r="F3964" i="13"/>
  <c r="A3964" i="13"/>
  <c r="J3963" i="13"/>
  <c r="F3963" i="13"/>
  <c r="A3963" i="13"/>
  <c r="F3962" i="13"/>
  <c r="A3962" i="13"/>
  <c r="J3961" i="13"/>
  <c r="F3961" i="13"/>
  <c r="A3961" i="13"/>
  <c r="F3960" i="13"/>
  <c r="A3960" i="13"/>
  <c r="F3959" i="13"/>
  <c r="A3959" i="13"/>
  <c r="F3958" i="13"/>
  <c r="A3958" i="13"/>
  <c r="F3957" i="13"/>
  <c r="A3957" i="13"/>
  <c r="F3956" i="13"/>
  <c r="A3956" i="13"/>
  <c r="F3955" i="13"/>
  <c r="A3955" i="13"/>
  <c r="F3954" i="13"/>
  <c r="A3954" i="13"/>
  <c r="F3953" i="13"/>
  <c r="A3953" i="13"/>
  <c r="J3952" i="13"/>
  <c r="F3952" i="13"/>
  <c r="A3952" i="13"/>
  <c r="J3951" i="13"/>
  <c r="F3951" i="13"/>
  <c r="A3951" i="13"/>
  <c r="J3950" i="13"/>
  <c r="F3950" i="13"/>
  <c r="A3950" i="13"/>
  <c r="J3949" i="13"/>
  <c r="F3949" i="13"/>
  <c r="A3949" i="13"/>
  <c r="F3948" i="13"/>
  <c r="A3948" i="13"/>
  <c r="F3947" i="13"/>
  <c r="A3947" i="13"/>
  <c r="J3946" i="13"/>
  <c r="F3946" i="13"/>
  <c r="A3946" i="13"/>
  <c r="F3945" i="13"/>
  <c r="A3945" i="13"/>
  <c r="J3944" i="13"/>
  <c r="F3944" i="13"/>
  <c r="A3944" i="13"/>
  <c r="J3943" i="13"/>
  <c r="F3943" i="13"/>
  <c r="A3943" i="13"/>
  <c r="J3942" i="13"/>
  <c r="F3942" i="13"/>
  <c r="A3942" i="13"/>
  <c r="J3941" i="13"/>
  <c r="F3941" i="13"/>
  <c r="A3941" i="13"/>
  <c r="F3940" i="13"/>
  <c r="A3940" i="13"/>
  <c r="F3939" i="13"/>
  <c r="A3939" i="13"/>
  <c r="F3938" i="13"/>
  <c r="A3938" i="13"/>
  <c r="J3937" i="13"/>
  <c r="F3937" i="13"/>
  <c r="A3937" i="13"/>
  <c r="J3936" i="13"/>
  <c r="F3936" i="13"/>
  <c r="A3936" i="13"/>
  <c r="F3935" i="13"/>
  <c r="A3935" i="13"/>
  <c r="F3934" i="13"/>
  <c r="A3934" i="13"/>
  <c r="F3933" i="13"/>
  <c r="A3933" i="13"/>
  <c r="F3932" i="13"/>
  <c r="A3932" i="13"/>
  <c r="J3931" i="13"/>
  <c r="F3931" i="13"/>
  <c r="A3931" i="13"/>
  <c r="J3930" i="13"/>
  <c r="F3930" i="13"/>
  <c r="A3930" i="13"/>
  <c r="J3929" i="13"/>
  <c r="F3929" i="13"/>
  <c r="A3929" i="13"/>
  <c r="J3928" i="13"/>
  <c r="F3928" i="13"/>
  <c r="A3928" i="13"/>
  <c r="J3927" i="13"/>
  <c r="F3927" i="13"/>
  <c r="A3927" i="13"/>
  <c r="F3926" i="13"/>
  <c r="A3926" i="13"/>
  <c r="F3925" i="13"/>
  <c r="A3925" i="13"/>
  <c r="F3924" i="13"/>
  <c r="A3924" i="13"/>
  <c r="F3923" i="13"/>
  <c r="A3923" i="13"/>
  <c r="F3922" i="13"/>
  <c r="A3922" i="13"/>
  <c r="F3921" i="13"/>
  <c r="A3921" i="13"/>
  <c r="F3920" i="13"/>
  <c r="A3920" i="13"/>
  <c r="J3919" i="13"/>
  <c r="F3919" i="13"/>
  <c r="A3919" i="13"/>
  <c r="J3918" i="13"/>
  <c r="F3918" i="13"/>
  <c r="A3918" i="13"/>
  <c r="J3917" i="13"/>
  <c r="F3917" i="13"/>
  <c r="A3917" i="13"/>
  <c r="J3916" i="13"/>
  <c r="F3916" i="13"/>
  <c r="A3916" i="13"/>
  <c r="J3915" i="13"/>
  <c r="F3915" i="13"/>
  <c r="A3915" i="13"/>
  <c r="F3914" i="13"/>
  <c r="A3914" i="13"/>
  <c r="J3913" i="13"/>
  <c r="F3913" i="13"/>
  <c r="J3912" i="13"/>
  <c r="F3912" i="13"/>
  <c r="F3911" i="13"/>
  <c r="A3911" i="13"/>
  <c r="F3910" i="13"/>
  <c r="A3910" i="13"/>
  <c r="F3909" i="13"/>
  <c r="A3909" i="13"/>
  <c r="F3908" i="13"/>
  <c r="A3908" i="13"/>
  <c r="F3907" i="13"/>
  <c r="A3907" i="13"/>
  <c r="F3906" i="13"/>
  <c r="A3906" i="13"/>
  <c r="F3905" i="13"/>
  <c r="A3905" i="13"/>
  <c r="F3904" i="13"/>
  <c r="A3904" i="13"/>
  <c r="F3903" i="13"/>
  <c r="A3903" i="13"/>
  <c r="F3902" i="13"/>
  <c r="A3902" i="13"/>
  <c r="F3901" i="13"/>
  <c r="F3900" i="13"/>
  <c r="A3900" i="13"/>
  <c r="F3899" i="13"/>
  <c r="A3899" i="13"/>
  <c r="F3898" i="13"/>
  <c r="A3898" i="13"/>
  <c r="F3897" i="13"/>
  <c r="A3897" i="13"/>
  <c r="J3896" i="13"/>
  <c r="F3896" i="13"/>
  <c r="A3896" i="13"/>
  <c r="J3895" i="13"/>
  <c r="F3895" i="13"/>
  <c r="A3895" i="13"/>
  <c r="F3894" i="13"/>
  <c r="A3894" i="13"/>
  <c r="J3893" i="13"/>
  <c r="F3893" i="13"/>
  <c r="A3893" i="13"/>
  <c r="F3892" i="13"/>
  <c r="A3892" i="13"/>
  <c r="F3891" i="13"/>
  <c r="A3891" i="13"/>
  <c r="F3890" i="13"/>
  <c r="A3890" i="13"/>
  <c r="F3889" i="13"/>
  <c r="A3889" i="13"/>
  <c r="F3888" i="13"/>
  <c r="A3888" i="13"/>
  <c r="J3887" i="13"/>
  <c r="F3887" i="13"/>
  <c r="A3887" i="13"/>
  <c r="J3886" i="13"/>
  <c r="F3886" i="13"/>
  <c r="A3886" i="13"/>
  <c r="J3885" i="13"/>
  <c r="F3885" i="13"/>
  <c r="A3885" i="13"/>
  <c r="J3884" i="13"/>
  <c r="F3884" i="13"/>
  <c r="A3884" i="13"/>
  <c r="F3883" i="13"/>
  <c r="A3883" i="13"/>
  <c r="F3882" i="13"/>
  <c r="A3882" i="13"/>
  <c r="F3881" i="13"/>
  <c r="A3881" i="13"/>
  <c r="F3880" i="13"/>
  <c r="A3880" i="13"/>
  <c r="J3879" i="13"/>
  <c r="F3879" i="13"/>
  <c r="A3879" i="13"/>
  <c r="F3878" i="13"/>
  <c r="A3878" i="13"/>
  <c r="J3877" i="13"/>
  <c r="F3877" i="13"/>
  <c r="A3877" i="13"/>
  <c r="J3876" i="13"/>
  <c r="F3876" i="13"/>
  <c r="A3876" i="13"/>
  <c r="F3875" i="13"/>
  <c r="A3875" i="13"/>
  <c r="F3874" i="13"/>
  <c r="A3874" i="13"/>
  <c r="F3873" i="13"/>
  <c r="A3873" i="13"/>
  <c r="F3872" i="13"/>
  <c r="A3872" i="13"/>
  <c r="F3871" i="13"/>
  <c r="A3871" i="13"/>
  <c r="F3870" i="13"/>
  <c r="A3870" i="13"/>
  <c r="F3869" i="13"/>
  <c r="A3869" i="13"/>
  <c r="F3868" i="13"/>
  <c r="A3868" i="13"/>
  <c r="J3867" i="13"/>
  <c r="F3867" i="13"/>
  <c r="A3867" i="13"/>
  <c r="F3866" i="13"/>
  <c r="A3866" i="13"/>
  <c r="F3865" i="13"/>
  <c r="A3865" i="13"/>
  <c r="J3864" i="13"/>
  <c r="F3864" i="13"/>
  <c r="A3864" i="13"/>
  <c r="F3863" i="13"/>
  <c r="A3863" i="13"/>
  <c r="F3862" i="13"/>
  <c r="A3862" i="13"/>
  <c r="F3861" i="13"/>
  <c r="A3861" i="13"/>
  <c r="F3860" i="13"/>
  <c r="A3860" i="13"/>
  <c r="F3859" i="13"/>
  <c r="A3859" i="13"/>
  <c r="F3858" i="13"/>
  <c r="A3858" i="13"/>
  <c r="J3857" i="13"/>
  <c r="F3857" i="13"/>
  <c r="A3857" i="13"/>
  <c r="F3856" i="13"/>
  <c r="A3856" i="13"/>
  <c r="J3855" i="13"/>
  <c r="F3855" i="13"/>
  <c r="A3855" i="13"/>
  <c r="F3854" i="13"/>
  <c r="A3854" i="13"/>
  <c r="J3853" i="13"/>
  <c r="F3853" i="13"/>
  <c r="A3853" i="13"/>
  <c r="F3852" i="13"/>
  <c r="A3852" i="13"/>
  <c r="F3851" i="13"/>
  <c r="A3851" i="13"/>
  <c r="F3850" i="13"/>
  <c r="A3850" i="13"/>
  <c r="J3849" i="13"/>
  <c r="F3849" i="13"/>
  <c r="A3849" i="13"/>
  <c r="F3848" i="13"/>
  <c r="A3848" i="13"/>
  <c r="J3847" i="13"/>
  <c r="F3847" i="13"/>
  <c r="A3847" i="13"/>
  <c r="J3846" i="13"/>
  <c r="F3846" i="13"/>
  <c r="A3846" i="13"/>
  <c r="F3845" i="13"/>
  <c r="A3845" i="13"/>
  <c r="J3844" i="13"/>
  <c r="F3844" i="13"/>
  <c r="A3844" i="13"/>
  <c r="F3843" i="13"/>
  <c r="A3843" i="13"/>
  <c r="J3842" i="13"/>
  <c r="F3842" i="13"/>
  <c r="A3842" i="13"/>
  <c r="J3841" i="13"/>
  <c r="F3841" i="13"/>
  <c r="A3841" i="13"/>
  <c r="F3840" i="13"/>
  <c r="A3840" i="13"/>
  <c r="F3839" i="13"/>
  <c r="A3839" i="13"/>
  <c r="F3838" i="13"/>
  <c r="A3838" i="13"/>
  <c r="F3837" i="13"/>
  <c r="A3837" i="13"/>
  <c r="F3836" i="13"/>
  <c r="A3836" i="13"/>
  <c r="F3835" i="13"/>
  <c r="A3835" i="13"/>
  <c r="F3834" i="13"/>
  <c r="A3834" i="13"/>
  <c r="F3833" i="13"/>
  <c r="A3833" i="13"/>
  <c r="F3832" i="13"/>
  <c r="A3832" i="13"/>
  <c r="F3831" i="13"/>
  <c r="A3831" i="13"/>
  <c r="F3830" i="13"/>
  <c r="A3830" i="13"/>
  <c r="F3829" i="13"/>
  <c r="A3829" i="13"/>
  <c r="F3828" i="13"/>
  <c r="A3828" i="13"/>
  <c r="J3827" i="13"/>
  <c r="F3827" i="13"/>
  <c r="A3827" i="13"/>
  <c r="J3826" i="13"/>
  <c r="F3826" i="13"/>
  <c r="A3826" i="13"/>
  <c r="J3825" i="13"/>
  <c r="F3825" i="13"/>
  <c r="A3825" i="13"/>
  <c r="J3824" i="13"/>
  <c r="F3824" i="13"/>
  <c r="A3824" i="13"/>
  <c r="J3823" i="13"/>
  <c r="F3823" i="13"/>
  <c r="A3823" i="13"/>
  <c r="J3822" i="13"/>
  <c r="F3822" i="13"/>
  <c r="A3822" i="13"/>
  <c r="F3821" i="13"/>
  <c r="A3821" i="13"/>
  <c r="F3820" i="13"/>
  <c r="A3820" i="13"/>
  <c r="F3819" i="13"/>
  <c r="A3819" i="13"/>
  <c r="F3818" i="13"/>
  <c r="A3818" i="13"/>
  <c r="F3817" i="13"/>
  <c r="A3817" i="13"/>
  <c r="J3816" i="13"/>
  <c r="F3816" i="13"/>
  <c r="A3816" i="13"/>
  <c r="J3815" i="13"/>
  <c r="F3815" i="13"/>
  <c r="A3815" i="13"/>
  <c r="J3814" i="13"/>
  <c r="F3814" i="13"/>
  <c r="A3814" i="13"/>
  <c r="F3813" i="13"/>
  <c r="A3813" i="13"/>
  <c r="F3812" i="13"/>
  <c r="A3812" i="13"/>
  <c r="J3811" i="13"/>
  <c r="F3811" i="13"/>
  <c r="A3811" i="13"/>
  <c r="J3810" i="13"/>
  <c r="F3810" i="13"/>
  <c r="A3810" i="13"/>
  <c r="J3809" i="13"/>
  <c r="F3809" i="13"/>
  <c r="A3809" i="13"/>
  <c r="J3808" i="13"/>
  <c r="F3808" i="13"/>
  <c r="A3808" i="13"/>
  <c r="F3807" i="13"/>
  <c r="A3807" i="13"/>
  <c r="F3806" i="13"/>
  <c r="A3806" i="13"/>
  <c r="J3805" i="13"/>
  <c r="F3805" i="13"/>
  <c r="A3805" i="13"/>
  <c r="J3804" i="13"/>
  <c r="F3804" i="13"/>
  <c r="A3804" i="13"/>
  <c r="J3803" i="13"/>
  <c r="F3803" i="13"/>
  <c r="A3803" i="13"/>
  <c r="F3802" i="13"/>
  <c r="A3802" i="13"/>
  <c r="J3801" i="13"/>
  <c r="F3801" i="13"/>
  <c r="A3801" i="13"/>
  <c r="J3800" i="13"/>
  <c r="F3800" i="13"/>
  <c r="A3800" i="13"/>
  <c r="F3799" i="13"/>
  <c r="A3799" i="13"/>
  <c r="J3798" i="13"/>
  <c r="F3798" i="13"/>
  <c r="A3798" i="13"/>
  <c r="J3797" i="13"/>
  <c r="F3797" i="13"/>
  <c r="A3797" i="13"/>
  <c r="F3796" i="13"/>
  <c r="A3796" i="13"/>
  <c r="F3795" i="13"/>
  <c r="A3795" i="13"/>
  <c r="F3794" i="13"/>
  <c r="A3794" i="13"/>
  <c r="F3793" i="13"/>
  <c r="A3793" i="13"/>
  <c r="J3792" i="13"/>
  <c r="F3792" i="13"/>
  <c r="A3792" i="13"/>
  <c r="J3791" i="13"/>
  <c r="F3791" i="13"/>
  <c r="A3791" i="13"/>
  <c r="J3790" i="13"/>
  <c r="F3790" i="13"/>
  <c r="A3790" i="13"/>
  <c r="J3789" i="13"/>
  <c r="F3789" i="13"/>
  <c r="A3789" i="13"/>
  <c r="F3788" i="13"/>
  <c r="A3788" i="13"/>
  <c r="F3787" i="13"/>
  <c r="A3787" i="13"/>
  <c r="F3786" i="13"/>
  <c r="A3786" i="13"/>
  <c r="F3785" i="13"/>
  <c r="A3785" i="13"/>
  <c r="F3784" i="13"/>
  <c r="A3784" i="13"/>
  <c r="J3783" i="13"/>
  <c r="F3783" i="13"/>
  <c r="A3783" i="13"/>
  <c r="J3782" i="13"/>
  <c r="F3782" i="13"/>
  <c r="A3782" i="13"/>
  <c r="J3781" i="13"/>
  <c r="F3781" i="13"/>
  <c r="A3781" i="13"/>
  <c r="J3780" i="13"/>
  <c r="F3780" i="13"/>
  <c r="A3780" i="13"/>
  <c r="F3779" i="13"/>
  <c r="A3779" i="13"/>
  <c r="F3778" i="13"/>
  <c r="A3778" i="13"/>
  <c r="J3777" i="13"/>
  <c r="F3777" i="13"/>
  <c r="A3777" i="13"/>
  <c r="J3776" i="13"/>
  <c r="F3776" i="13"/>
  <c r="A3776" i="13"/>
  <c r="J3775" i="13"/>
  <c r="F3775" i="13"/>
  <c r="A3775" i="13"/>
  <c r="F3774" i="13"/>
  <c r="A3774" i="13"/>
  <c r="F3773" i="13"/>
  <c r="A3773" i="13"/>
  <c r="F3772" i="13"/>
  <c r="A3772" i="13"/>
  <c r="J3771" i="13"/>
  <c r="F3771" i="13"/>
  <c r="A3771" i="13"/>
  <c r="J3770" i="13"/>
  <c r="F3770" i="13"/>
  <c r="A3770" i="13"/>
  <c r="F3769" i="13"/>
  <c r="A3769" i="13"/>
  <c r="F3768" i="13"/>
  <c r="A3768" i="13"/>
  <c r="J3767" i="13"/>
  <c r="F3767" i="13"/>
  <c r="A3767" i="13"/>
  <c r="J3766" i="13"/>
  <c r="F3766" i="13"/>
  <c r="A3766" i="13"/>
  <c r="F3765" i="13"/>
  <c r="A3765" i="13"/>
  <c r="F3764" i="13"/>
  <c r="A3764" i="13"/>
  <c r="F3763" i="13"/>
  <c r="A3763" i="13"/>
  <c r="J3762" i="13"/>
  <c r="F3762" i="13"/>
  <c r="A3762" i="13"/>
  <c r="J3761" i="13"/>
  <c r="F3761" i="13"/>
  <c r="A3761" i="13"/>
  <c r="F3760" i="13"/>
  <c r="A3760" i="13"/>
  <c r="J3759" i="13"/>
  <c r="F3759" i="13"/>
  <c r="A3759" i="13"/>
  <c r="F3758" i="13"/>
  <c r="A3758" i="13"/>
  <c r="J3757" i="13"/>
  <c r="F3757" i="13"/>
  <c r="A3757" i="13"/>
  <c r="J3756" i="13"/>
  <c r="F3756" i="13"/>
  <c r="A3756" i="13"/>
  <c r="J3755" i="13"/>
  <c r="F3755" i="13"/>
  <c r="A3755" i="13"/>
  <c r="J3754" i="13"/>
  <c r="F3754" i="13"/>
  <c r="A3754" i="13"/>
  <c r="F3753" i="13"/>
  <c r="A3753" i="13"/>
  <c r="F3752" i="13"/>
  <c r="A3752" i="13"/>
  <c r="F3751" i="13"/>
  <c r="A3751" i="13"/>
  <c r="F3750" i="13"/>
  <c r="A3750" i="13"/>
  <c r="J3749" i="13"/>
  <c r="F3749" i="13"/>
  <c r="A3749" i="13"/>
  <c r="F3748" i="13"/>
  <c r="A3748" i="13"/>
  <c r="F3747" i="13"/>
  <c r="A3747" i="13"/>
  <c r="F3746" i="13"/>
  <c r="A3746" i="13"/>
  <c r="J3745" i="13"/>
  <c r="F3745" i="13"/>
  <c r="A3745" i="13"/>
  <c r="F3744" i="13"/>
  <c r="A3744" i="13"/>
  <c r="F3743" i="13"/>
  <c r="A3743" i="13"/>
  <c r="J3742" i="13"/>
  <c r="F3742" i="13"/>
  <c r="A3742" i="13"/>
  <c r="J3741" i="13"/>
  <c r="F3741" i="13"/>
  <c r="A3741" i="13"/>
  <c r="F3740" i="13"/>
  <c r="A3740" i="13"/>
  <c r="J3739" i="13"/>
  <c r="F3739" i="13"/>
  <c r="A3739" i="13"/>
  <c r="J3738" i="13"/>
  <c r="F3738" i="13"/>
  <c r="A3738" i="13"/>
  <c r="J3737" i="13"/>
  <c r="F3737" i="13"/>
  <c r="A3737" i="13"/>
  <c r="J3736" i="13"/>
  <c r="F3736" i="13"/>
  <c r="A3736" i="13"/>
  <c r="J3735" i="13"/>
  <c r="F3735" i="13"/>
  <c r="A3735" i="13"/>
  <c r="J3734" i="13"/>
  <c r="F3734" i="13"/>
  <c r="A3734" i="13"/>
  <c r="F3733" i="13"/>
  <c r="A3733" i="13"/>
  <c r="F3732" i="13"/>
  <c r="A3732" i="13"/>
  <c r="J3731" i="13"/>
  <c r="F3731" i="13"/>
  <c r="A3731" i="13"/>
  <c r="J3730" i="13"/>
  <c r="F3730" i="13"/>
  <c r="A3730" i="13"/>
  <c r="F3729" i="13"/>
  <c r="A3729" i="13"/>
  <c r="J3728" i="13"/>
  <c r="F3728" i="13"/>
  <c r="A3728" i="13"/>
  <c r="F3727" i="13"/>
  <c r="A3727" i="13"/>
  <c r="J3726" i="13"/>
  <c r="F3726" i="13"/>
  <c r="A3726" i="13"/>
  <c r="F3725" i="13"/>
  <c r="A3725" i="13"/>
  <c r="F3724" i="13"/>
  <c r="A3724" i="13"/>
  <c r="F3723" i="13"/>
  <c r="A3723" i="13"/>
  <c r="F3722" i="13"/>
  <c r="A3722" i="13"/>
  <c r="F3721" i="13"/>
  <c r="A3721" i="13"/>
  <c r="F3720" i="13"/>
  <c r="A3720" i="13"/>
  <c r="F3719" i="13"/>
  <c r="A3719" i="13"/>
  <c r="F3718" i="13"/>
  <c r="A3718" i="13"/>
  <c r="F3717" i="13"/>
  <c r="A3717" i="13"/>
  <c r="F3716" i="13"/>
  <c r="A3716" i="13"/>
  <c r="F3715" i="13"/>
  <c r="A3715" i="13"/>
  <c r="F3714" i="13"/>
  <c r="A3714" i="13"/>
  <c r="F3713" i="13"/>
  <c r="A3713" i="13"/>
  <c r="F3712" i="13"/>
  <c r="A3712" i="13"/>
  <c r="J3711" i="13"/>
  <c r="F3711" i="13"/>
  <c r="A3711" i="13"/>
  <c r="J3710" i="13"/>
  <c r="F3710" i="13"/>
  <c r="A3710" i="13"/>
  <c r="J3709" i="13"/>
  <c r="F3709" i="13"/>
  <c r="A3709" i="13"/>
  <c r="J3708" i="13"/>
  <c r="F3708" i="13"/>
  <c r="A3708" i="13"/>
  <c r="F3707" i="13"/>
  <c r="A3707" i="13"/>
  <c r="J3706" i="13"/>
  <c r="F3706" i="13"/>
  <c r="A3706" i="13"/>
  <c r="J3705" i="13"/>
  <c r="F3705" i="13"/>
  <c r="A3705" i="13"/>
  <c r="J3704" i="13"/>
  <c r="F3704" i="13"/>
  <c r="A3704" i="13"/>
  <c r="F3703" i="13"/>
  <c r="A3703" i="13"/>
  <c r="J3702" i="13"/>
  <c r="F3702" i="13"/>
  <c r="A3702" i="13"/>
  <c r="J3701" i="13"/>
  <c r="F3701" i="13"/>
  <c r="A3701" i="13"/>
  <c r="F3700" i="13"/>
  <c r="A3700" i="13"/>
  <c r="F3699" i="13"/>
  <c r="A3699" i="13"/>
  <c r="F3698" i="13"/>
  <c r="A3698" i="13"/>
  <c r="F3697" i="13"/>
  <c r="A3697" i="13"/>
  <c r="F3696" i="13"/>
  <c r="A3696" i="13"/>
  <c r="F3695" i="13"/>
  <c r="A3695" i="13"/>
  <c r="J3694" i="13"/>
  <c r="F3694" i="13"/>
  <c r="A3694" i="13"/>
  <c r="J3693" i="13"/>
  <c r="F3693" i="13"/>
  <c r="A3693" i="13"/>
  <c r="F3692" i="13"/>
  <c r="A3692" i="13"/>
  <c r="F3691" i="13"/>
  <c r="A3691" i="13"/>
  <c r="F3690" i="13"/>
  <c r="A3690" i="13"/>
  <c r="F3689" i="13"/>
  <c r="A3689" i="13"/>
  <c r="F3688" i="13"/>
  <c r="A3688" i="13"/>
  <c r="F3687" i="13"/>
  <c r="A3687" i="13"/>
  <c r="F3686" i="13"/>
  <c r="F3685" i="13"/>
  <c r="A3685" i="13"/>
  <c r="F3684" i="13"/>
  <c r="A3684" i="13"/>
  <c r="F3683" i="13"/>
  <c r="A3683" i="13"/>
  <c r="J3682" i="13"/>
  <c r="F3682" i="13"/>
  <c r="A3682" i="13"/>
  <c r="F3681" i="13"/>
  <c r="A3681" i="13"/>
  <c r="J3680" i="13"/>
  <c r="F3680" i="13"/>
  <c r="A3680" i="13"/>
  <c r="J3679" i="13"/>
  <c r="F3679" i="13"/>
  <c r="A3679" i="13"/>
  <c r="J3678" i="13"/>
  <c r="F3678" i="13"/>
  <c r="A3678" i="13"/>
  <c r="F3677" i="13"/>
  <c r="A3677" i="13"/>
  <c r="F3676" i="13"/>
  <c r="A3676" i="13"/>
  <c r="J3675" i="13"/>
  <c r="F3675" i="13"/>
  <c r="A3675" i="13"/>
  <c r="J3674" i="13"/>
  <c r="F3674" i="13"/>
  <c r="A3674" i="13"/>
  <c r="J3673" i="13"/>
  <c r="F3673" i="13"/>
  <c r="A3673" i="13"/>
  <c r="J3672" i="13"/>
  <c r="F3672" i="13"/>
  <c r="A3672" i="13"/>
  <c r="J3671" i="13"/>
  <c r="F3671" i="13"/>
  <c r="A3671" i="13"/>
  <c r="J3670" i="13"/>
  <c r="F3670" i="13"/>
  <c r="A3670" i="13"/>
  <c r="F3669" i="13"/>
  <c r="A3669" i="13"/>
  <c r="J3668" i="13"/>
  <c r="F3668" i="13"/>
  <c r="A3668" i="13"/>
  <c r="J3667" i="13"/>
  <c r="F3667" i="13"/>
  <c r="A3667" i="13"/>
  <c r="J3666" i="13"/>
  <c r="F3666" i="13"/>
  <c r="A3666" i="13"/>
  <c r="J3665" i="13"/>
  <c r="F3665" i="13"/>
  <c r="A3665" i="13"/>
  <c r="J3664" i="13"/>
  <c r="F3664" i="13"/>
  <c r="A3664" i="13"/>
  <c r="F3663" i="13"/>
  <c r="A3663" i="13"/>
  <c r="F3662" i="13"/>
  <c r="A3662" i="13"/>
  <c r="J3661" i="13"/>
  <c r="F3661" i="13"/>
  <c r="A3661" i="13"/>
  <c r="J3660" i="13"/>
  <c r="F3660" i="13"/>
  <c r="A3660" i="13"/>
  <c r="F3659" i="13"/>
  <c r="A3659" i="13"/>
  <c r="F3658" i="13"/>
  <c r="A3658" i="13"/>
  <c r="F3657" i="13"/>
  <c r="A3657" i="13"/>
  <c r="F3656" i="13"/>
  <c r="A3656" i="13"/>
  <c r="J3655" i="13"/>
  <c r="F3655" i="13"/>
  <c r="A3655" i="13"/>
  <c r="J3654" i="13"/>
  <c r="F3654" i="13"/>
  <c r="A3654" i="13"/>
  <c r="F3653" i="13"/>
  <c r="A3653" i="13"/>
  <c r="F3652" i="13"/>
  <c r="A3652" i="13"/>
  <c r="J3651" i="13"/>
  <c r="F3651" i="13"/>
  <c r="A3651" i="13"/>
  <c r="J3650" i="13"/>
  <c r="F3650" i="13"/>
  <c r="A3650" i="13"/>
  <c r="J3649" i="13"/>
  <c r="F3649" i="13"/>
  <c r="A3649" i="13"/>
  <c r="F3648" i="13"/>
  <c r="A3648" i="13"/>
  <c r="J3647" i="13"/>
  <c r="F3647" i="13"/>
  <c r="A3647" i="13"/>
  <c r="J3646" i="13"/>
  <c r="F3646" i="13"/>
  <c r="A3646" i="13"/>
  <c r="J3645" i="13"/>
  <c r="F3645" i="13"/>
  <c r="A3645" i="13"/>
  <c r="J3644" i="13"/>
  <c r="F3644" i="13"/>
  <c r="A3644" i="13"/>
  <c r="J3643" i="13"/>
  <c r="F3643" i="13"/>
  <c r="A3643" i="13"/>
  <c r="F3642" i="13"/>
  <c r="A3642" i="13"/>
  <c r="J3641" i="13"/>
  <c r="F3641" i="13"/>
  <c r="A3641" i="13"/>
  <c r="J3640" i="13"/>
  <c r="F3640" i="13"/>
  <c r="A3640" i="13"/>
  <c r="J3639" i="13"/>
  <c r="F3639" i="13"/>
  <c r="A3639" i="13"/>
  <c r="F3638" i="13"/>
  <c r="A3638" i="13"/>
  <c r="J3637" i="13"/>
  <c r="F3637" i="13"/>
  <c r="A3637" i="13"/>
  <c r="J3636" i="13"/>
  <c r="F3636" i="13"/>
  <c r="A3636" i="13"/>
  <c r="J3635" i="13"/>
  <c r="F3635" i="13"/>
  <c r="A3635" i="13"/>
  <c r="J3634" i="13"/>
  <c r="F3634" i="13"/>
  <c r="A3634" i="13"/>
  <c r="J3633" i="13"/>
  <c r="F3633" i="13"/>
  <c r="A3633" i="13"/>
  <c r="F3632" i="13"/>
  <c r="A3632" i="13"/>
  <c r="J3631" i="13"/>
  <c r="F3631" i="13"/>
  <c r="A3631" i="13"/>
  <c r="J3630" i="13"/>
  <c r="F3630" i="13"/>
  <c r="A3630" i="13"/>
  <c r="J3629" i="13"/>
  <c r="F3629" i="13"/>
  <c r="A3629" i="13"/>
  <c r="J3628" i="13"/>
  <c r="F3628" i="13"/>
  <c r="A3628" i="13"/>
  <c r="J3627" i="13"/>
  <c r="F3627" i="13"/>
  <c r="A3627" i="13"/>
  <c r="F3626" i="13"/>
  <c r="A3626" i="13"/>
  <c r="J3625" i="13"/>
  <c r="F3625" i="13"/>
  <c r="A3625" i="13"/>
  <c r="J3624" i="13"/>
  <c r="F3624" i="13"/>
  <c r="A3624" i="13"/>
  <c r="J3623" i="13"/>
  <c r="F3623" i="13"/>
  <c r="A3623" i="13"/>
  <c r="F3622" i="13"/>
  <c r="A3622" i="13"/>
  <c r="J3621" i="13"/>
  <c r="F3621" i="13"/>
  <c r="A3621" i="13"/>
  <c r="F3620" i="13"/>
  <c r="A3620" i="13"/>
  <c r="F3619" i="13"/>
  <c r="A3619" i="13"/>
  <c r="F3618" i="13"/>
  <c r="A3618" i="13"/>
  <c r="F3617" i="13"/>
  <c r="A3617" i="13"/>
  <c r="F3616" i="13"/>
  <c r="A3616" i="13"/>
  <c r="F3615" i="13"/>
  <c r="A3615" i="13"/>
  <c r="F3614" i="13"/>
  <c r="A3614" i="13"/>
  <c r="F3613" i="13"/>
  <c r="A3613" i="13"/>
  <c r="F3612" i="13"/>
  <c r="A3612" i="13"/>
  <c r="F3611" i="13"/>
  <c r="A3611" i="13"/>
  <c r="F3610" i="13"/>
  <c r="A3610" i="13"/>
  <c r="F3609" i="13"/>
  <c r="A3609" i="13"/>
  <c r="F3608" i="13"/>
  <c r="A3608" i="13"/>
  <c r="F3607" i="13"/>
  <c r="A3607" i="13"/>
  <c r="F3606" i="13"/>
  <c r="A3606" i="13"/>
  <c r="F3605" i="13"/>
  <c r="A3605" i="13"/>
  <c r="F3604" i="13"/>
  <c r="A3604" i="13"/>
  <c r="F3603" i="13"/>
  <c r="A3603" i="13"/>
  <c r="F3602" i="13"/>
  <c r="A3602" i="13"/>
  <c r="F3601" i="13"/>
  <c r="A3601" i="13"/>
  <c r="F3600" i="13"/>
  <c r="A3600" i="13"/>
  <c r="J3599" i="13"/>
  <c r="F3599" i="13"/>
  <c r="A3599" i="13"/>
  <c r="J3598" i="13"/>
  <c r="F3598" i="13"/>
  <c r="A3598" i="13"/>
  <c r="J3597" i="13"/>
  <c r="F3597" i="13"/>
  <c r="A3597" i="13"/>
  <c r="J3596" i="13"/>
  <c r="F3596" i="13"/>
  <c r="A3596" i="13"/>
  <c r="J3595" i="13"/>
  <c r="F3595" i="13"/>
  <c r="A3595" i="13"/>
  <c r="F3594" i="13"/>
  <c r="A3594" i="13"/>
  <c r="J3593" i="13"/>
  <c r="F3593" i="13"/>
  <c r="A3593" i="13"/>
  <c r="J3592" i="13"/>
  <c r="F3592" i="13"/>
  <c r="A3592" i="13"/>
  <c r="F3591" i="13"/>
  <c r="A3591" i="13"/>
  <c r="F3590" i="13"/>
  <c r="A3590" i="13"/>
  <c r="F3589" i="13"/>
  <c r="A3589" i="13"/>
  <c r="J3588" i="13"/>
  <c r="F3588" i="13"/>
  <c r="A3588" i="13"/>
  <c r="J3587" i="13"/>
  <c r="F3587" i="13"/>
  <c r="A3587" i="13"/>
  <c r="F3586" i="13"/>
  <c r="A3586" i="13"/>
  <c r="J3585" i="13"/>
  <c r="F3585" i="13"/>
  <c r="A3585" i="13"/>
  <c r="J3584" i="13"/>
  <c r="F3584" i="13"/>
  <c r="A3584" i="13"/>
  <c r="F3583" i="13"/>
  <c r="A3583" i="13"/>
  <c r="J3582" i="13"/>
  <c r="F3582" i="13"/>
  <c r="A3582" i="13"/>
  <c r="J3581" i="13"/>
  <c r="F3581" i="13"/>
  <c r="A3581" i="13"/>
  <c r="F3580" i="13"/>
  <c r="A3580" i="13"/>
  <c r="J3579" i="13"/>
  <c r="F3579" i="13"/>
  <c r="A3579" i="13"/>
  <c r="J3578" i="13"/>
  <c r="F3578" i="13"/>
  <c r="A3578" i="13"/>
  <c r="J3577" i="13"/>
  <c r="F3577" i="13"/>
  <c r="A3577" i="13"/>
  <c r="F3576" i="13"/>
  <c r="A3576" i="13"/>
  <c r="F3575" i="13"/>
  <c r="A3575" i="13"/>
  <c r="F3574" i="13"/>
  <c r="A3574" i="13"/>
  <c r="F3573" i="13"/>
  <c r="A3573" i="13"/>
  <c r="J3572" i="13"/>
  <c r="F3572" i="13"/>
  <c r="A3572" i="13"/>
  <c r="J3571" i="13"/>
  <c r="F3571" i="13"/>
  <c r="A3571" i="13"/>
  <c r="J3570" i="13"/>
  <c r="F3570" i="13"/>
  <c r="A3570" i="13"/>
  <c r="F3569" i="13"/>
  <c r="A3569" i="13"/>
  <c r="F3568" i="13"/>
  <c r="A3568" i="13"/>
  <c r="F3567" i="13"/>
  <c r="A3567" i="13"/>
  <c r="J3566" i="13"/>
  <c r="F3566" i="13"/>
  <c r="A3566" i="13"/>
  <c r="J3565" i="13"/>
  <c r="F3565" i="13"/>
  <c r="A3565" i="13"/>
  <c r="J3564" i="13"/>
  <c r="F3564" i="13"/>
  <c r="A3564" i="13"/>
  <c r="J3563" i="13"/>
  <c r="F3563" i="13"/>
  <c r="A3563" i="13"/>
  <c r="J3562" i="13"/>
  <c r="F3562" i="13"/>
  <c r="A3562" i="13"/>
  <c r="J3561" i="13"/>
  <c r="F3561" i="13"/>
  <c r="A3561" i="13"/>
  <c r="J3560" i="13"/>
  <c r="F3560" i="13"/>
  <c r="A3560" i="13"/>
  <c r="F3559" i="13"/>
  <c r="A3559" i="13"/>
  <c r="J3558" i="13"/>
  <c r="F3558" i="13"/>
  <c r="A3558" i="13"/>
  <c r="J3557" i="13"/>
  <c r="F3557" i="13"/>
  <c r="A3557" i="13"/>
  <c r="J3556" i="13"/>
  <c r="F3556" i="13"/>
  <c r="A3556" i="13"/>
  <c r="J3555" i="13"/>
  <c r="F3555" i="13"/>
  <c r="A3555" i="13"/>
  <c r="F3554" i="13"/>
  <c r="A3554" i="13"/>
  <c r="F3553" i="13"/>
  <c r="A3553" i="13"/>
  <c r="J3552" i="13"/>
  <c r="F3552" i="13"/>
  <c r="A3552" i="13"/>
  <c r="J3551" i="13"/>
  <c r="F3551" i="13"/>
  <c r="A3551" i="13"/>
  <c r="J3550" i="13"/>
  <c r="F3550" i="13"/>
  <c r="A3550" i="13"/>
  <c r="F3549" i="13"/>
  <c r="A3549" i="13"/>
  <c r="J3548" i="13"/>
  <c r="F3548" i="13"/>
  <c r="A3548" i="13"/>
  <c r="J3547" i="13"/>
  <c r="F3547" i="13"/>
  <c r="A3547" i="13"/>
  <c r="J3546" i="13"/>
  <c r="F3546" i="13"/>
  <c r="A3546" i="13"/>
  <c r="J3545" i="13"/>
  <c r="F3545" i="13"/>
  <c r="A3545" i="13"/>
  <c r="J3544" i="13"/>
  <c r="F3544" i="13"/>
  <c r="A3544" i="13"/>
  <c r="J3543" i="13"/>
  <c r="F3543" i="13"/>
  <c r="A3543" i="13"/>
  <c r="F3542" i="13"/>
  <c r="A3542" i="13"/>
  <c r="F3541" i="13"/>
  <c r="A3541" i="13"/>
  <c r="J3540" i="13"/>
  <c r="F3540" i="13"/>
  <c r="A3540" i="13"/>
  <c r="F3539" i="13"/>
  <c r="A3539" i="13"/>
  <c r="J3538" i="13"/>
  <c r="F3538" i="13"/>
  <c r="A3538" i="13"/>
  <c r="J3537" i="13"/>
  <c r="F3537" i="13"/>
  <c r="A3537" i="13"/>
  <c r="J3536" i="13"/>
  <c r="F3536" i="13"/>
  <c r="A3536" i="13"/>
  <c r="F3535" i="13"/>
  <c r="A3535" i="13"/>
  <c r="J3534" i="13"/>
  <c r="F3534" i="13"/>
  <c r="A3534" i="13"/>
  <c r="J3533" i="13"/>
  <c r="F3533" i="13"/>
  <c r="A3533" i="13"/>
  <c r="J3532" i="13"/>
  <c r="F3532" i="13"/>
  <c r="A3532" i="13"/>
  <c r="F3531" i="13"/>
  <c r="A3531" i="13"/>
  <c r="F3530" i="13"/>
  <c r="A3530" i="13"/>
  <c r="F3529" i="13"/>
  <c r="A3529" i="13"/>
  <c r="F3528" i="13"/>
  <c r="A3528" i="13"/>
  <c r="F3527" i="13"/>
  <c r="A3527" i="13"/>
  <c r="F3526" i="13"/>
  <c r="A3526" i="13"/>
  <c r="F3525" i="13"/>
  <c r="A3525" i="13"/>
  <c r="F3524" i="13"/>
  <c r="A3524" i="13"/>
  <c r="F3523" i="13"/>
  <c r="A3523" i="13"/>
  <c r="F3522" i="13"/>
  <c r="A3522" i="13"/>
  <c r="F3521" i="13"/>
  <c r="A3521" i="13"/>
  <c r="J3520" i="13"/>
  <c r="F3520" i="13"/>
  <c r="A3520" i="13"/>
  <c r="J3519" i="13"/>
  <c r="F3519" i="13"/>
  <c r="A3519" i="13"/>
  <c r="F3518" i="13"/>
  <c r="A3518" i="13"/>
  <c r="F3517" i="13"/>
  <c r="A3517" i="13"/>
  <c r="F3516" i="13"/>
  <c r="A3516" i="13"/>
  <c r="F3515" i="13"/>
  <c r="A3515" i="13"/>
  <c r="J3514" i="13"/>
  <c r="F3514" i="13"/>
  <c r="A3514" i="13"/>
  <c r="J3513" i="13"/>
  <c r="F3513" i="13"/>
  <c r="A3513" i="13"/>
  <c r="J3512" i="13"/>
  <c r="F3512" i="13"/>
  <c r="A3512" i="13"/>
  <c r="F3511" i="13"/>
  <c r="A3511" i="13"/>
  <c r="F3510" i="13"/>
  <c r="A3510" i="13"/>
  <c r="F3509" i="13"/>
  <c r="A3509" i="13"/>
  <c r="J3508" i="13"/>
  <c r="F3508" i="13"/>
  <c r="A3508" i="13"/>
  <c r="J3507" i="13"/>
  <c r="F3507" i="13"/>
  <c r="A3507" i="13"/>
  <c r="F3506" i="13"/>
  <c r="A3506" i="13"/>
  <c r="F3505" i="13"/>
  <c r="A3505" i="13"/>
  <c r="J3504" i="13"/>
  <c r="F3504" i="13"/>
  <c r="A3504" i="13"/>
  <c r="F3503" i="13"/>
  <c r="A3503" i="13"/>
  <c r="F3502" i="13"/>
  <c r="A3502" i="13"/>
  <c r="F3501" i="13"/>
  <c r="A3501" i="13"/>
  <c r="F3500" i="13"/>
  <c r="A3500" i="13"/>
  <c r="F3499" i="13"/>
  <c r="A3499" i="13"/>
  <c r="F3498" i="13"/>
  <c r="A3498" i="13"/>
  <c r="J3497" i="13"/>
  <c r="F3497" i="13"/>
  <c r="A3497" i="13"/>
  <c r="J3496" i="13"/>
  <c r="F3496" i="13"/>
  <c r="A3496" i="13"/>
  <c r="F3495" i="13"/>
  <c r="A3495" i="13"/>
  <c r="J3494" i="13"/>
  <c r="F3494" i="13"/>
  <c r="A3494" i="13"/>
  <c r="J3493" i="13"/>
  <c r="F3493" i="13"/>
  <c r="A3493" i="13"/>
  <c r="J3492" i="13"/>
  <c r="F3492" i="13"/>
  <c r="A3492" i="13"/>
  <c r="F3491" i="13"/>
  <c r="A3491" i="13"/>
  <c r="F3490" i="13"/>
  <c r="A3490" i="13"/>
  <c r="J3489" i="13"/>
  <c r="F3489" i="13"/>
  <c r="A3489" i="13"/>
  <c r="J3488" i="13"/>
  <c r="F3488" i="13"/>
  <c r="A3488" i="13"/>
  <c r="J3487" i="13"/>
  <c r="F3487" i="13"/>
  <c r="A3487" i="13"/>
  <c r="F3486" i="13"/>
  <c r="A3486" i="13"/>
  <c r="F3485" i="13"/>
  <c r="A3485" i="13"/>
  <c r="F3484" i="13"/>
  <c r="A3484" i="13"/>
  <c r="J3483" i="13"/>
  <c r="F3483" i="13"/>
  <c r="A3483" i="13"/>
  <c r="J3482" i="13"/>
  <c r="F3482" i="13"/>
  <c r="A3482" i="13"/>
  <c r="J3481" i="13"/>
  <c r="F3481" i="13"/>
  <c r="A3481" i="13"/>
  <c r="J3480" i="13"/>
  <c r="F3480" i="13"/>
  <c r="A3480" i="13"/>
  <c r="F3479" i="13"/>
  <c r="A3479" i="13"/>
  <c r="J3478" i="13"/>
  <c r="F3478" i="13"/>
  <c r="A3478" i="13"/>
  <c r="J3477" i="13"/>
  <c r="F3477" i="13"/>
  <c r="A3477" i="13"/>
  <c r="J3476" i="13"/>
  <c r="F3476" i="13"/>
  <c r="A3476" i="13"/>
  <c r="F3475" i="13"/>
  <c r="A3475" i="13"/>
  <c r="F3474" i="13"/>
  <c r="A3474" i="13"/>
  <c r="F3473" i="13"/>
  <c r="A3473" i="13"/>
  <c r="F3472" i="13"/>
  <c r="A3472" i="13"/>
  <c r="J3471" i="13"/>
  <c r="F3471" i="13"/>
  <c r="A3471" i="13"/>
  <c r="J3470" i="13"/>
  <c r="F3470" i="13"/>
  <c r="A3470" i="13"/>
  <c r="J3469" i="13"/>
  <c r="F3469" i="13"/>
  <c r="A3469" i="13"/>
  <c r="J3468" i="13"/>
  <c r="F3468" i="13"/>
  <c r="A3468" i="13"/>
  <c r="J3467" i="13"/>
  <c r="F3467" i="13"/>
  <c r="A3467" i="13"/>
  <c r="J3466" i="13"/>
  <c r="F3466" i="13"/>
  <c r="A3466" i="13"/>
  <c r="F3465" i="13"/>
  <c r="A3465" i="13"/>
  <c r="F3464" i="13"/>
  <c r="A3464" i="13"/>
  <c r="F3463" i="13"/>
  <c r="A3463" i="13"/>
  <c r="J3462" i="13"/>
  <c r="F3462" i="13"/>
  <c r="A3462" i="13"/>
  <c r="J3461" i="13"/>
  <c r="F3461" i="13"/>
  <c r="A3461" i="13"/>
  <c r="J3460" i="13"/>
  <c r="F3460" i="13"/>
  <c r="A3460" i="13"/>
  <c r="F3459" i="13"/>
  <c r="A3459" i="13"/>
  <c r="J3458" i="13"/>
  <c r="F3458" i="13"/>
  <c r="A3458" i="13"/>
  <c r="F3457" i="13"/>
  <c r="A3457" i="13"/>
  <c r="F3456" i="13"/>
  <c r="A3456" i="13"/>
  <c r="F3455" i="13"/>
  <c r="A3455" i="13"/>
  <c r="F3454" i="13"/>
  <c r="A3454" i="13"/>
  <c r="F3453" i="13"/>
  <c r="A3453" i="13"/>
  <c r="F3452" i="13"/>
  <c r="A3452" i="13"/>
  <c r="F3451" i="13"/>
  <c r="A3451" i="13"/>
  <c r="F3450" i="13"/>
  <c r="A3450" i="13"/>
  <c r="F3449" i="13"/>
  <c r="A3449" i="13"/>
  <c r="F3448" i="13"/>
  <c r="A3448" i="13"/>
  <c r="J3447" i="13"/>
  <c r="F3447" i="13"/>
  <c r="A3447" i="13"/>
  <c r="J3446" i="13"/>
  <c r="F3446" i="13"/>
  <c r="A3446" i="13"/>
  <c r="J3445" i="13"/>
  <c r="F3445" i="13"/>
  <c r="A3445" i="13"/>
  <c r="J3444" i="13"/>
  <c r="F3444" i="13"/>
  <c r="A3444" i="13"/>
  <c r="J3443" i="13"/>
  <c r="F3443" i="13"/>
  <c r="A3443" i="13"/>
  <c r="J3442" i="13"/>
  <c r="F3442" i="13"/>
  <c r="A3442" i="13"/>
  <c r="J3441" i="13"/>
  <c r="F3441" i="13"/>
  <c r="A3441" i="13"/>
  <c r="F3440" i="13"/>
  <c r="A3440" i="13"/>
  <c r="F3439" i="13"/>
  <c r="A3439" i="13"/>
  <c r="F3438" i="13"/>
  <c r="A3438" i="13"/>
  <c r="J3437" i="13"/>
  <c r="F3437" i="13"/>
  <c r="A3437" i="13"/>
  <c r="J3436" i="13"/>
  <c r="F3436" i="13"/>
  <c r="A3436" i="13"/>
  <c r="J3435" i="13"/>
  <c r="F3435" i="13"/>
  <c r="A3435" i="13"/>
  <c r="J3434" i="13"/>
  <c r="F3434" i="13"/>
  <c r="A3434" i="13"/>
  <c r="F3433" i="13"/>
  <c r="A3433" i="13"/>
  <c r="F3432" i="13"/>
  <c r="A3432" i="13"/>
  <c r="F3431" i="13"/>
  <c r="A3431" i="13"/>
  <c r="F3430" i="13"/>
  <c r="A3430" i="13"/>
  <c r="F3429" i="13"/>
  <c r="A3429" i="13"/>
  <c r="F3428" i="13"/>
  <c r="A3428" i="13"/>
  <c r="F3427" i="13"/>
  <c r="A3427" i="13"/>
  <c r="F3426" i="13"/>
  <c r="A3426" i="13"/>
  <c r="J3425" i="13"/>
  <c r="F3425" i="13"/>
  <c r="A3425" i="13"/>
  <c r="F3424" i="13"/>
  <c r="A3424" i="13"/>
  <c r="F3423" i="13"/>
  <c r="A3423" i="13"/>
  <c r="F3422" i="13"/>
  <c r="A3422" i="13"/>
  <c r="F3421" i="13"/>
  <c r="A3421" i="13"/>
  <c r="F3420" i="13"/>
  <c r="A3420" i="13"/>
  <c r="F3419" i="13"/>
  <c r="A3419" i="13"/>
  <c r="F3418" i="13"/>
  <c r="A3418" i="13"/>
  <c r="F3417" i="13"/>
  <c r="A3417" i="13"/>
  <c r="F3416" i="13"/>
  <c r="A3416" i="13"/>
  <c r="F3415" i="13"/>
  <c r="A3415" i="13"/>
  <c r="F3414" i="13"/>
  <c r="A3414" i="13"/>
  <c r="F3413" i="13"/>
  <c r="A3413" i="13"/>
  <c r="F3412" i="13"/>
  <c r="A3412" i="13"/>
  <c r="F3411" i="13"/>
  <c r="A3411" i="13"/>
  <c r="F3410" i="13"/>
  <c r="A3410" i="13"/>
  <c r="F3409" i="13"/>
  <c r="A3409" i="13"/>
  <c r="F3408" i="13"/>
  <c r="A3408" i="13"/>
  <c r="F3407" i="13"/>
  <c r="A3407" i="13"/>
  <c r="J3406" i="13"/>
  <c r="F3406" i="13"/>
  <c r="A3406" i="13"/>
  <c r="J3405" i="13"/>
  <c r="F3405" i="13"/>
  <c r="A3405" i="13"/>
  <c r="J3404" i="13"/>
  <c r="F3404" i="13"/>
  <c r="A3404" i="13"/>
  <c r="J3403" i="13"/>
  <c r="F3403" i="13"/>
  <c r="A3403" i="13"/>
  <c r="J3402" i="13"/>
  <c r="F3402" i="13"/>
  <c r="A3402" i="13"/>
  <c r="J3401" i="13"/>
  <c r="F3401" i="13"/>
  <c r="A3401" i="13"/>
  <c r="J3400" i="13"/>
  <c r="F3400" i="13"/>
  <c r="A3400" i="13"/>
  <c r="J3399" i="13"/>
  <c r="F3399" i="13"/>
  <c r="A3399" i="13"/>
  <c r="J3398" i="13"/>
  <c r="F3398" i="13"/>
  <c r="A3398" i="13"/>
  <c r="J3397" i="13"/>
  <c r="F3397" i="13"/>
  <c r="A3397" i="13"/>
  <c r="F3396" i="13"/>
  <c r="A3396" i="13"/>
  <c r="F3395" i="13"/>
  <c r="A3395" i="13"/>
  <c r="J3394" i="13"/>
  <c r="F3394" i="13"/>
  <c r="A3394" i="13"/>
  <c r="J3393" i="13"/>
  <c r="F3393" i="13"/>
  <c r="A3393" i="13"/>
  <c r="J3392" i="13"/>
  <c r="F3392" i="13"/>
  <c r="A3392" i="13"/>
  <c r="J3391" i="13"/>
  <c r="F3391" i="13"/>
  <c r="A3391" i="13"/>
  <c r="J3390" i="13"/>
  <c r="F3390" i="13"/>
  <c r="A3390" i="13"/>
  <c r="J3389" i="13"/>
  <c r="F3389" i="13"/>
  <c r="A3389" i="13"/>
  <c r="J3388" i="13"/>
  <c r="F3388" i="13"/>
  <c r="A3388" i="13"/>
  <c r="J3387" i="13"/>
  <c r="F3387" i="13"/>
  <c r="A3387" i="13"/>
  <c r="J3386" i="13"/>
  <c r="F3386" i="13"/>
  <c r="A3386" i="13"/>
  <c r="J3385" i="13"/>
  <c r="F3385" i="13"/>
  <c r="A3385" i="13"/>
  <c r="J3384" i="13"/>
  <c r="F3384" i="13"/>
  <c r="A3384" i="13"/>
  <c r="J3383" i="13"/>
  <c r="F3383" i="13"/>
  <c r="A3383" i="13"/>
  <c r="J3382" i="13"/>
  <c r="F3382" i="13"/>
  <c r="A3382" i="13"/>
  <c r="J3381" i="13"/>
  <c r="F3381" i="13"/>
  <c r="A3381" i="13"/>
  <c r="J3380" i="13"/>
  <c r="F3380" i="13"/>
  <c r="A3380" i="13"/>
  <c r="J3379" i="13"/>
  <c r="F3379" i="13"/>
  <c r="A3379" i="13"/>
  <c r="F3378" i="13"/>
  <c r="A3378" i="13"/>
  <c r="J3377" i="13"/>
  <c r="F3377" i="13"/>
  <c r="A3377" i="13"/>
  <c r="J3376" i="13"/>
  <c r="F3376" i="13"/>
  <c r="A3376" i="13"/>
  <c r="F3375" i="13"/>
  <c r="A3375" i="13"/>
  <c r="F3374" i="13"/>
  <c r="A3374" i="13"/>
  <c r="F3373" i="13"/>
  <c r="A3373" i="13"/>
  <c r="F3372" i="13"/>
  <c r="A3372" i="13"/>
  <c r="F3371" i="13"/>
  <c r="A3371" i="13"/>
  <c r="J3370" i="13"/>
  <c r="F3370" i="13"/>
  <c r="A3370" i="13"/>
  <c r="J3369" i="13"/>
  <c r="F3369" i="13"/>
  <c r="A3369" i="13"/>
  <c r="F3368" i="13"/>
  <c r="A3368" i="13"/>
  <c r="J3367" i="13"/>
  <c r="F3367" i="13"/>
  <c r="A3367" i="13"/>
  <c r="J3366" i="13"/>
  <c r="F3366" i="13"/>
  <c r="A3366" i="13"/>
  <c r="F3365" i="13"/>
  <c r="A3365" i="13"/>
  <c r="J3364" i="13"/>
  <c r="F3364" i="13"/>
  <c r="A3364" i="13"/>
  <c r="J3363" i="13"/>
  <c r="F3363" i="13"/>
  <c r="A3363" i="13"/>
  <c r="J3362" i="13"/>
  <c r="F3362" i="13"/>
  <c r="A3362" i="13"/>
  <c r="J3361" i="13"/>
  <c r="F3361" i="13"/>
  <c r="A3361" i="13"/>
  <c r="J3360" i="13"/>
  <c r="F3360" i="13"/>
  <c r="A3360" i="13"/>
  <c r="J3359" i="13"/>
  <c r="F3359" i="13"/>
  <c r="A3359" i="13"/>
  <c r="J3358" i="13"/>
  <c r="F3358" i="13"/>
  <c r="A3358" i="13"/>
  <c r="J3357" i="13"/>
  <c r="F3357" i="13"/>
  <c r="A3357" i="13"/>
  <c r="F3356" i="13"/>
  <c r="A3356" i="13"/>
  <c r="J3355" i="13"/>
  <c r="F3355" i="13"/>
  <c r="A3355" i="13"/>
  <c r="J3354" i="13"/>
  <c r="F3354" i="13"/>
  <c r="A3354" i="13"/>
  <c r="J3353" i="13"/>
  <c r="F3353" i="13"/>
  <c r="A3353" i="13"/>
  <c r="J3352" i="13"/>
  <c r="F3352" i="13"/>
  <c r="A3352" i="13"/>
  <c r="J3351" i="13"/>
  <c r="F3351" i="13"/>
  <c r="A3351" i="13"/>
  <c r="F3350" i="13"/>
  <c r="A3350" i="13"/>
  <c r="J3349" i="13"/>
  <c r="F3349" i="13"/>
  <c r="A3349" i="13"/>
  <c r="F3348" i="13"/>
  <c r="A3348" i="13"/>
  <c r="F3347" i="13"/>
  <c r="A3347" i="13"/>
  <c r="F3346" i="13"/>
  <c r="A3346" i="13"/>
  <c r="F3345" i="13"/>
  <c r="A3345" i="13"/>
  <c r="F3344" i="13"/>
  <c r="A3344" i="13"/>
  <c r="F3343" i="13"/>
  <c r="A3343" i="13"/>
  <c r="F3342" i="13"/>
  <c r="A3342" i="13"/>
  <c r="F3341" i="13"/>
  <c r="A3341" i="13"/>
  <c r="F3340" i="13"/>
  <c r="A3340" i="13"/>
  <c r="F3339" i="13"/>
  <c r="A3339" i="13"/>
  <c r="F3338" i="13"/>
  <c r="A3338" i="13"/>
  <c r="F3337" i="13"/>
  <c r="A3337" i="13"/>
  <c r="F3336" i="13"/>
  <c r="A3336" i="13"/>
  <c r="F3335" i="13"/>
  <c r="A3335" i="13"/>
  <c r="F3334" i="13"/>
  <c r="A3334" i="13"/>
  <c r="J3333" i="13"/>
  <c r="F3333" i="13"/>
  <c r="A3333" i="13"/>
  <c r="J3332" i="13"/>
  <c r="F3332" i="13"/>
  <c r="A3332" i="13"/>
  <c r="J3331" i="13"/>
  <c r="F3331" i="13"/>
  <c r="A3331" i="13"/>
  <c r="J3330" i="13"/>
  <c r="F3330" i="13"/>
  <c r="A3330" i="13"/>
  <c r="F3329" i="13"/>
  <c r="A3329" i="13"/>
  <c r="F3328" i="13"/>
  <c r="A3328" i="13"/>
  <c r="F3327" i="13"/>
  <c r="A3327" i="13"/>
  <c r="F3326" i="13"/>
  <c r="A3326" i="13"/>
  <c r="J3325" i="13"/>
  <c r="F3325" i="13"/>
  <c r="A3325" i="13"/>
  <c r="J3324" i="13"/>
  <c r="F3324" i="13"/>
  <c r="A3324" i="13"/>
  <c r="F3323" i="13"/>
  <c r="A3323" i="13"/>
  <c r="F3322" i="13"/>
  <c r="A3322" i="13"/>
  <c r="J3321" i="13"/>
  <c r="F3321" i="13"/>
  <c r="A3321" i="13"/>
  <c r="J3320" i="13"/>
  <c r="F3320" i="13"/>
  <c r="A3320" i="13"/>
  <c r="J3319" i="13"/>
  <c r="F3319" i="13"/>
  <c r="A3319" i="13"/>
  <c r="J3318" i="13"/>
  <c r="F3318" i="13"/>
  <c r="A3318" i="13"/>
  <c r="F3317" i="13"/>
  <c r="A3317" i="13"/>
  <c r="F3316" i="13"/>
  <c r="A3316" i="13"/>
  <c r="F3315" i="13"/>
  <c r="A3315" i="13"/>
  <c r="F3314" i="13"/>
  <c r="A3314" i="13"/>
  <c r="F3313" i="13"/>
  <c r="A3313" i="13"/>
  <c r="F3312" i="13"/>
  <c r="A3312" i="13"/>
  <c r="J3311" i="13"/>
  <c r="F3311" i="13"/>
  <c r="A3311" i="13"/>
  <c r="J3310" i="13"/>
  <c r="F3310" i="13"/>
  <c r="A3310" i="13"/>
  <c r="J3309" i="13"/>
  <c r="F3309" i="13"/>
  <c r="A3309" i="13"/>
  <c r="F3308" i="13"/>
  <c r="A3308" i="13"/>
  <c r="F3307" i="13"/>
  <c r="A3307" i="13"/>
  <c r="F3306" i="13"/>
  <c r="A3306" i="13"/>
  <c r="F3305" i="13"/>
  <c r="A3305" i="13"/>
  <c r="F3304" i="13"/>
  <c r="A3304" i="13"/>
  <c r="F3303" i="13"/>
  <c r="A3303" i="13"/>
  <c r="J3302" i="13"/>
  <c r="F3302" i="13"/>
  <c r="A3302" i="13"/>
  <c r="J3301" i="13"/>
  <c r="F3301" i="13"/>
  <c r="A3301" i="13"/>
  <c r="J3300" i="13"/>
  <c r="F3300" i="13"/>
  <c r="A3300" i="13"/>
  <c r="J3299" i="13"/>
  <c r="F3299" i="13"/>
  <c r="A3299" i="13"/>
  <c r="F3298" i="13"/>
  <c r="A3298" i="13"/>
  <c r="F3297" i="13"/>
  <c r="A3297" i="13"/>
  <c r="F3296" i="13"/>
  <c r="A3296" i="13"/>
  <c r="F3295" i="13"/>
  <c r="A3295" i="13"/>
  <c r="F3294" i="13"/>
  <c r="A3294" i="13"/>
  <c r="F3293" i="13"/>
  <c r="A3293" i="13"/>
  <c r="F3292" i="13"/>
  <c r="A3292" i="13"/>
  <c r="F3291" i="13"/>
  <c r="A3291" i="13"/>
  <c r="F3290" i="13"/>
  <c r="A3290" i="13"/>
  <c r="F3289" i="13"/>
  <c r="A3289" i="13"/>
  <c r="F3288" i="13"/>
  <c r="A3288" i="13"/>
  <c r="J3287" i="13"/>
  <c r="F3287" i="13"/>
  <c r="A3287" i="13"/>
  <c r="J3286" i="13"/>
  <c r="F3286" i="13"/>
  <c r="A3286" i="13"/>
  <c r="F3285" i="13"/>
  <c r="A3285" i="13"/>
  <c r="J3284" i="13"/>
  <c r="F3284" i="13"/>
  <c r="A3284" i="13"/>
  <c r="J3283" i="13"/>
  <c r="F3283" i="13"/>
  <c r="A3283" i="13"/>
  <c r="J3282" i="13"/>
  <c r="F3282" i="13"/>
  <c r="A3282" i="13"/>
  <c r="J3281" i="13"/>
  <c r="F3281" i="13"/>
  <c r="A3281" i="13"/>
  <c r="F3280" i="13"/>
  <c r="A3280" i="13"/>
  <c r="F3279" i="13"/>
  <c r="A3279" i="13"/>
  <c r="F3278" i="13"/>
  <c r="A3278" i="13"/>
  <c r="F3277" i="13"/>
  <c r="A3277" i="13"/>
  <c r="J3276" i="13"/>
  <c r="F3276" i="13"/>
  <c r="A3276" i="13"/>
  <c r="J3275" i="13"/>
  <c r="F3275" i="13"/>
  <c r="A3275" i="13"/>
  <c r="J3274" i="13"/>
  <c r="F3274" i="13"/>
  <c r="A3274" i="13"/>
  <c r="F3273" i="13"/>
  <c r="A3273" i="13"/>
  <c r="F3272" i="13"/>
  <c r="A3272" i="13"/>
  <c r="F3271" i="13"/>
  <c r="A3271" i="13"/>
  <c r="F3270" i="13"/>
  <c r="A3270" i="13"/>
  <c r="J3269" i="13"/>
  <c r="F3269" i="13"/>
  <c r="A3269" i="13"/>
  <c r="J3268" i="13"/>
  <c r="F3268" i="13"/>
  <c r="A3268" i="13"/>
  <c r="J3267" i="13"/>
  <c r="F3267" i="13"/>
  <c r="A3267" i="13"/>
  <c r="F3266" i="13"/>
  <c r="A3266" i="13"/>
  <c r="F3265" i="13"/>
  <c r="A3265" i="13"/>
  <c r="F3264" i="13"/>
  <c r="A3264" i="13"/>
  <c r="F3263" i="13"/>
  <c r="A3263" i="13"/>
  <c r="J3262" i="13"/>
  <c r="F3262" i="13"/>
  <c r="A3262" i="13"/>
  <c r="J3261" i="13"/>
  <c r="F3261" i="13"/>
  <c r="A3261" i="13"/>
  <c r="F3260" i="13"/>
  <c r="A3260" i="13"/>
  <c r="J3259" i="13"/>
  <c r="F3259" i="13"/>
  <c r="A3259" i="13"/>
  <c r="J3258" i="13"/>
  <c r="F3258" i="13"/>
  <c r="A3258" i="13"/>
  <c r="J3257" i="13"/>
  <c r="F3257" i="13"/>
  <c r="A3257" i="13"/>
  <c r="J3256" i="13"/>
  <c r="F3256" i="13"/>
  <c r="A3256" i="13"/>
  <c r="F3255" i="13"/>
  <c r="A3255" i="13"/>
  <c r="F3254" i="13"/>
  <c r="A3254" i="13"/>
  <c r="J3253" i="13"/>
  <c r="F3253" i="13"/>
  <c r="A3253" i="13"/>
  <c r="F3252" i="13"/>
  <c r="A3252" i="13"/>
  <c r="J3251" i="13"/>
  <c r="F3251" i="13"/>
  <c r="A3251" i="13"/>
  <c r="J3250" i="13"/>
  <c r="F3250" i="13"/>
  <c r="A3250" i="13"/>
  <c r="J3249" i="13"/>
  <c r="F3249" i="13"/>
  <c r="A3249" i="13"/>
  <c r="F3248" i="13"/>
  <c r="A3248" i="13"/>
  <c r="F3247" i="13"/>
  <c r="A3247" i="13"/>
  <c r="F3246" i="13"/>
  <c r="A3246" i="13"/>
  <c r="F3245" i="13"/>
  <c r="A3245" i="13"/>
  <c r="F3244" i="13"/>
  <c r="A3244" i="13"/>
  <c r="F3243" i="13"/>
  <c r="A3243" i="13"/>
  <c r="F3242" i="13"/>
  <c r="A3242" i="13"/>
  <c r="J3241" i="13"/>
  <c r="F3241" i="13"/>
  <c r="A3241" i="13"/>
  <c r="F3240" i="13"/>
  <c r="A3240" i="13"/>
  <c r="J3239" i="13"/>
  <c r="F3239" i="13"/>
  <c r="A3239" i="13"/>
  <c r="J3238" i="13"/>
  <c r="F3238" i="13"/>
  <c r="A3238" i="13"/>
  <c r="F3237" i="13"/>
  <c r="A3237" i="13"/>
  <c r="F3236" i="13"/>
  <c r="A3236" i="13"/>
  <c r="F3235" i="13"/>
  <c r="A3235" i="13"/>
  <c r="F3234" i="13"/>
  <c r="A3234" i="13"/>
  <c r="F3233" i="13"/>
  <c r="A3233" i="13"/>
  <c r="F3232" i="13"/>
  <c r="A3232" i="13"/>
  <c r="J3231" i="13"/>
  <c r="F3231" i="13"/>
  <c r="A3231" i="13"/>
  <c r="J3230" i="13"/>
  <c r="F3230" i="13"/>
  <c r="A3230" i="13"/>
  <c r="J3229" i="13"/>
  <c r="F3229" i="13"/>
  <c r="A3229" i="13"/>
  <c r="F3228" i="13"/>
  <c r="A3228" i="13"/>
  <c r="J3227" i="13"/>
  <c r="F3227" i="13"/>
  <c r="A3227" i="13"/>
  <c r="J3226" i="13"/>
  <c r="F3226" i="13"/>
  <c r="A3226" i="13"/>
  <c r="J3225" i="13"/>
  <c r="F3225" i="13"/>
  <c r="A3225" i="13"/>
  <c r="J3224" i="13"/>
  <c r="F3224" i="13"/>
  <c r="A3224" i="13"/>
  <c r="J3223" i="13"/>
  <c r="F3223" i="13"/>
  <c r="A3223" i="13"/>
  <c r="F3222" i="13"/>
  <c r="A3222" i="13"/>
  <c r="F3221" i="13"/>
  <c r="A3221" i="13"/>
  <c r="F3220" i="13"/>
  <c r="A3220" i="13"/>
  <c r="F3219" i="13"/>
  <c r="A3219" i="13"/>
  <c r="J3218" i="13"/>
  <c r="F3218" i="13"/>
  <c r="A3218" i="13"/>
  <c r="J3217" i="13"/>
  <c r="F3217" i="13"/>
  <c r="A3217" i="13"/>
  <c r="J3216" i="13"/>
  <c r="F3216" i="13"/>
  <c r="A3216" i="13"/>
  <c r="F3215" i="13"/>
  <c r="A3215" i="13"/>
  <c r="F3214" i="13"/>
  <c r="A3214" i="13"/>
  <c r="F3213" i="13"/>
  <c r="A3213" i="13"/>
  <c r="F3212" i="13"/>
  <c r="A3212" i="13"/>
  <c r="F3211" i="13"/>
  <c r="A3211" i="13"/>
  <c r="F3210" i="13"/>
  <c r="A3210" i="13"/>
  <c r="F3209" i="13"/>
  <c r="A3209" i="13"/>
  <c r="J3208" i="13"/>
  <c r="F3208" i="13"/>
  <c r="A3208" i="13"/>
  <c r="J3207" i="13"/>
  <c r="F3207" i="13"/>
  <c r="A3207" i="13"/>
  <c r="J3206" i="13"/>
  <c r="F3206" i="13"/>
  <c r="A3206" i="13"/>
  <c r="J3205" i="13"/>
  <c r="F3205" i="13"/>
  <c r="A3205" i="13"/>
  <c r="J3204" i="13"/>
  <c r="F3204" i="13"/>
  <c r="A3204" i="13"/>
  <c r="J3203" i="13"/>
  <c r="F3203" i="13"/>
  <c r="A3203" i="13"/>
  <c r="F3202" i="13"/>
  <c r="A3202" i="13"/>
  <c r="J3201" i="13"/>
  <c r="F3201" i="13"/>
  <c r="A3201" i="13"/>
  <c r="F3200" i="13"/>
  <c r="A3200" i="13"/>
  <c r="J3199" i="13"/>
  <c r="F3199" i="13"/>
  <c r="A3199" i="13"/>
  <c r="J3198" i="13"/>
  <c r="F3198" i="13"/>
  <c r="A3198" i="13"/>
  <c r="J3197" i="13"/>
  <c r="F3197" i="13"/>
  <c r="A3197" i="13"/>
  <c r="J3196" i="13"/>
  <c r="F3196" i="13"/>
  <c r="A3196" i="13"/>
  <c r="F3195" i="13"/>
  <c r="A3195" i="13"/>
  <c r="F3194" i="13"/>
  <c r="A3194" i="13"/>
  <c r="J3193" i="13"/>
  <c r="F3193" i="13"/>
  <c r="A3193" i="13"/>
  <c r="J3192" i="13"/>
  <c r="F3192" i="13"/>
  <c r="A3192" i="13"/>
  <c r="J3191" i="13"/>
  <c r="F3191" i="13"/>
  <c r="A3191" i="13"/>
  <c r="J3190" i="13"/>
  <c r="F3190" i="13"/>
  <c r="A3190" i="13"/>
  <c r="J3189" i="13"/>
  <c r="F3189" i="13"/>
  <c r="A3189" i="13"/>
  <c r="F3188" i="13"/>
  <c r="A3188" i="13"/>
  <c r="J3187" i="13"/>
  <c r="F3187" i="13"/>
  <c r="A3187" i="13"/>
  <c r="J3186" i="13"/>
  <c r="F3186" i="13"/>
  <c r="A3186" i="13"/>
  <c r="J3185" i="13"/>
  <c r="F3185" i="13"/>
  <c r="A3185" i="13"/>
  <c r="J3184" i="13"/>
  <c r="F3184" i="13"/>
  <c r="A3184" i="13"/>
  <c r="J3183" i="13"/>
  <c r="F3183" i="13"/>
  <c r="A3183" i="13"/>
  <c r="J3182" i="13"/>
  <c r="F3182" i="13"/>
  <c r="A3182" i="13"/>
  <c r="J3181" i="13"/>
  <c r="F3181" i="13"/>
  <c r="A3181" i="13"/>
  <c r="F3180" i="13"/>
  <c r="A3180" i="13"/>
  <c r="J3179" i="13"/>
  <c r="F3179" i="13"/>
  <c r="A3179" i="13"/>
  <c r="J3178" i="13"/>
  <c r="F3178" i="13"/>
  <c r="A3178" i="13"/>
  <c r="F3177" i="13"/>
  <c r="A3177" i="13"/>
  <c r="F3176" i="13"/>
  <c r="A3176" i="13"/>
  <c r="F3175" i="13"/>
  <c r="A3175" i="13"/>
  <c r="J3174" i="13"/>
  <c r="F3174" i="13"/>
  <c r="A3174" i="13"/>
  <c r="J3173" i="13"/>
  <c r="F3173" i="13"/>
  <c r="A3173" i="13"/>
  <c r="F3172" i="13"/>
  <c r="A3172" i="13"/>
  <c r="J3171" i="13"/>
  <c r="F3171" i="13"/>
  <c r="A3171" i="13"/>
  <c r="J3170" i="13"/>
  <c r="F3170" i="13"/>
  <c r="A3170" i="13"/>
  <c r="F3169" i="13"/>
  <c r="A3169" i="13"/>
  <c r="F3168" i="13"/>
  <c r="A3168" i="13"/>
  <c r="F3167" i="13"/>
  <c r="A3167" i="13"/>
  <c r="F3166" i="13"/>
  <c r="A3166" i="13"/>
  <c r="F3165" i="13"/>
  <c r="A3165" i="13"/>
  <c r="F3164" i="13"/>
  <c r="A3164" i="13"/>
  <c r="F3163" i="13"/>
  <c r="A3163" i="13"/>
  <c r="F3162" i="13"/>
  <c r="A3162" i="13"/>
  <c r="F3161" i="13"/>
  <c r="A3161" i="13"/>
  <c r="J3160" i="13"/>
  <c r="F3160" i="13"/>
  <c r="A3160" i="13"/>
  <c r="F3159" i="13"/>
  <c r="A3159" i="13"/>
  <c r="F3158" i="13"/>
  <c r="A3158" i="13"/>
  <c r="J3157" i="13"/>
  <c r="F3157" i="13"/>
  <c r="A3157" i="13"/>
  <c r="J3156" i="13"/>
  <c r="F3156" i="13"/>
  <c r="A3156" i="13"/>
  <c r="J3155" i="13"/>
  <c r="F3155" i="13"/>
  <c r="A3155" i="13"/>
  <c r="J3154" i="13"/>
  <c r="F3154" i="13"/>
  <c r="A3154" i="13"/>
  <c r="F3153" i="13"/>
  <c r="A3153" i="13"/>
  <c r="F3152" i="13"/>
  <c r="A3152" i="13"/>
  <c r="F3151" i="13"/>
  <c r="A3151" i="13"/>
  <c r="F3150" i="13"/>
  <c r="A3150" i="13"/>
  <c r="F3149" i="13"/>
  <c r="A3149" i="13"/>
  <c r="F3148" i="13"/>
  <c r="A3148" i="13"/>
  <c r="J3147" i="13"/>
  <c r="F3147" i="13"/>
  <c r="A3147" i="13"/>
  <c r="F3146" i="13"/>
  <c r="A3146" i="13"/>
  <c r="F3145" i="13"/>
  <c r="A3145" i="13"/>
  <c r="J3144" i="13"/>
  <c r="F3144" i="13"/>
  <c r="A3144" i="13"/>
  <c r="J3143" i="13"/>
  <c r="F3143" i="13"/>
  <c r="A3143" i="13"/>
  <c r="J3142" i="13"/>
  <c r="F3142" i="13"/>
  <c r="A3142" i="13"/>
  <c r="J3141" i="13"/>
  <c r="F3141" i="13"/>
  <c r="A3141" i="13"/>
  <c r="F3140" i="13"/>
  <c r="A3140" i="13"/>
  <c r="F3139" i="13"/>
  <c r="A3139" i="13"/>
  <c r="J3138" i="13"/>
  <c r="F3138" i="13"/>
  <c r="A3138" i="13"/>
  <c r="J3137" i="13"/>
  <c r="F3137" i="13"/>
  <c r="A3137" i="13"/>
  <c r="F3136" i="13"/>
  <c r="A3136" i="13"/>
  <c r="F3135" i="13"/>
  <c r="A3135" i="13"/>
  <c r="J3134" i="13"/>
  <c r="F3134" i="13"/>
  <c r="A3134" i="13"/>
  <c r="J3133" i="13"/>
  <c r="F3133" i="13"/>
  <c r="A3133" i="13"/>
  <c r="J3132" i="13"/>
  <c r="F3132" i="13"/>
  <c r="A3132" i="13"/>
  <c r="F3131" i="13"/>
  <c r="A3131" i="13"/>
  <c r="J3130" i="13"/>
  <c r="F3130" i="13"/>
  <c r="A3130" i="13"/>
  <c r="J3129" i="13"/>
  <c r="F3129" i="13"/>
  <c r="A3129" i="13"/>
  <c r="F3128" i="13"/>
  <c r="A3128" i="13"/>
  <c r="J3127" i="13"/>
  <c r="F3127" i="13"/>
  <c r="A3127" i="13"/>
  <c r="J3126" i="13"/>
  <c r="F3126" i="13"/>
  <c r="A3126" i="13"/>
  <c r="F3125" i="13"/>
  <c r="A3125" i="13"/>
  <c r="J3124" i="13"/>
  <c r="F3124" i="13"/>
  <c r="A3124" i="13"/>
  <c r="J3123" i="13"/>
  <c r="F3123" i="13"/>
  <c r="A3123" i="13"/>
  <c r="F3122" i="13"/>
  <c r="A3122" i="13"/>
  <c r="J3121" i="13"/>
  <c r="F3121" i="13"/>
  <c r="A3121" i="13"/>
  <c r="J3120" i="13"/>
  <c r="F3120" i="13"/>
  <c r="A3120" i="13"/>
  <c r="J3119" i="13"/>
  <c r="F3119" i="13"/>
  <c r="A3119" i="13"/>
  <c r="F3118" i="13"/>
  <c r="A3118" i="13"/>
  <c r="J3117" i="13"/>
  <c r="F3117" i="13"/>
  <c r="A3117" i="13"/>
  <c r="J3116" i="13"/>
  <c r="F3116" i="13"/>
  <c r="A3116" i="13"/>
  <c r="J3115" i="13"/>
  <c r="F3115" i="13"/>
  <c r="A3115" i="13"/>
  <c r="J3114" i="13"/>
  <c r="F3114" i="13"/>
  <c r="A3114" i="13"/>
  <c r="J3113" i="13"/>
  <c r="F3113" i="13"/>
  <c r="A3113" i="13"/>
  <c r="J3112" i="13"/>
  <c r="F3112" i="13"/>
  <c r="A3112" i="13"/>
  <c r="J3111" i="13"/>
  <c r="F3111" i="13"/>
  <c r="A3111" i="13"/>
  <c r="F3110" i="13"/>
  <c r="A3110" i="13"/>
  <c r="F3109" i="13"/>
  <c r="A3109" i="13"/>
  <c r="F3108" i="13"/>
  <c r="A3108" i="13"/>
  <c r="F3107" i="13"/>
  <c r="A3107" i="13"/>
  <c r="F3106" i="13"/>
  <c r="A3106" i="13"/>
  <c r="F3105" i="13"/>
  <c r="A3105" i="13"/>
  <c r="F3104" i="13"/>
  <c r="A3104" i="13"/>
  <c r="F3103" i="13"/>
  <c r="A3103" i="13"/>
  <c r="F3102" i="13"/>
  <c r="A3102" i="13"/>
  <c r="F3101" i="13"/>
  <c r="A3101" i="13"/>
  <c r="F3100" i="13"/>
  <c r="A3100" i="13"/>
  <c r="F3099" i="13"/>
  <c r="A3099" i="13"/>
  <c r="F3098" i="13"/>
  <c r="A3098" i="13"/>
  <c r="F3097" i="13"/>
  <c r="A3097" i="13"/>
  <c r="F3096" i="13"/>
  <c r="A3096" i="13"/>
  <c r="J3095" i="13"/>
  <c r="F3095" i="13"/>
  <c r="A3095" i="13"/>
  <c r="J3094" i="13"/>
  <c r="F3094" i="13"/>
  <c r="A3094" i="13"/>
  <c r="F3093" i="13"/>
  <c r="A3093" i="13"/>
  <c r="F3092" i="13"/>
  <c r="A3092" i="13"/>
  <c r="F3091" i="13"/>
  <c r="A3091" i="13"/>
  <c r="J3090" i="13"/>
  <c r="F3090" i="13"/>
  <c r="A3090" i="13"/>
  <c r="J3089" i="13"/>
  <c r="F3089" i="13"/>
  <c r="A3089" i="13"/>
  <c r="J3088" i="13"/>
  <c r="F3088" i="13"/>
  <c r="A3088" i="13"/>
  <c r="J3087" i="13"/>
  <c r="F3087" i="13"/>
  <c r="A3087" i="13"/>
  <c r="F3086" i="13"/>
  <c r="A3086" i="13"/>
  <c r="F3085" i="13"/>
  <c r="A3085" i="13"/>
  <c r="J3084" i="13"/>
  <c r="F3084" i="13"/>
  <c r="A3084" i="13"/>
  <c r="J3083" i="13"/>
  <c r="F3083" i="13"/>
  <c r="A3083" i="13"/>
  <c r="J3082" i="13"/>
  <c r="F3082" i="13"/>
  <c r="A3082" i="13"/>
  <c r="J3081" i="13"/>
  <c r="F3081" i="13"/>
  <c r="A3081" i="13"/>
  <c r="F3080" i="13"/>
  <c r="A3080" i="13"/>
  <c r="F3079" i="13"/>
  <c r="A3079" i="13"/>
  <c r="F3078" i="13"/>
  <c r="A3078" i="13"/>
  <c r="J3077" i="13"/>
  <c r="F3077" i="13"/>
  <c r="A3077" i="13"/>
  <c r="J3076" i="13"/>
  <c r="F3076" i="13"/>
  <c r="A3076" i="13"/>
  <c r="J3075" i="13"/>
  <c r="F3075" i="13"/>
  <c r="A3075" i="13"/>
  <c r="J3074" i="13"/>
  <c r="F3074" i="13"/>
  <c r="A3074" i="13"/>
  <c r="F3073" i="13"/>
  <c r="A3073" i="13"/>
  <c r="F3072" i="13"/>
  <c r="A3072" i="13"/>
  <c r="F3071" i="13"/>
  <c r="A3071" i="13"/>
  <c r="F3070" i="13"/>
  <c r="A3070" i="13"/>
  <c r="F3069" i="13"/>
  <c r="A3069" i="13"/>
  <c r="F3068" i="13"/>
  <c r="A3068" i="13"/>
  <c r="F3067" i="13"/>
  <c r="A3067" i="13"/>
  <c r="F3066" i="13"/>
  <c r="A3066" i="13"/>
  <c r="F3065" i="13"/>
  <c r="A3065" i="13"/>
  <c r="F3064" i="13"/>
  <c r="A3064" i="13"/>
  <c r="F3063" i="13"/>
  <c r="A3063" i="13"/>
  <c r="F3062" i="13"/>
  <c r="A3062" i="13"/>
  <c r="F3061" i="13"/>
  <c r="A3061" i="13"/>
  <c r="F3060" i="13"/>
  <c r="A3060" i="13"/>
  <c r="F3059" i="13"/>
  <c r="A3059" i="13"/>
  <c r="F3058" i="13"/>
  <c r="A3058" i="13"/>
  <c r="F3057" i="13"/>
  <c r="A3057" i="13"/>
  <c r="F3056" i="13"/>
  <c r="A3056" i="13"/>
  <c r="F3055" i="13"/>
  <c r="A3055" i="13"/>
  <c r="F3054" i="13"/>
  <c r="A3054" i="13"/>
  <c r="F3053" i="13"/>
  <c r="A3053" i="13"/>
  <c r="J3052" i="13"/>
  <c r="F3052" i="13"/>
  <c r="A3052" i="13"/>
  <c r="F3051" i="13"/>
  <c r="A3051" i="13"/>
  <c r="F3050" i="13"/>
  <c r="A3050" i="13"/>
  <c r="F3049" i="13"/>
  <c r="A3049" i="13"/>
  <c r="F3048" i="13"/>
  <c r="A3048" i="13"/>
  <c r="F3047" i="13"/>
  <c r="A3047" i="13"/>
  <c r="F3046" i="13"/>
  <c r="A3046" i="13"/>
  <c r="F3045" i="13"/>
  <c r="A3045" i="13"/>
  <c r="F3044" i="13"/>
  <c r="A3044" i="13"/>
  <c r="J3043" i="13"/>
  <c r="F3043" i="13"/>
  <c r="A3043" i="13"/>
  <c r="J3042" i="13"/>
  <c r="F3042" i="13"/>
  <c r="A3042" i="13"/>
  <c r="J3041" i="13"/>
  <c r="F3041" i="13"/>
  <c r="A3041" i="13"/>
  <c r="J3040" i="13"/>
  <c r="F3040" i="13"/>
  <c r="A3040" i="13"/>
  <c r="J3039" i="13"/>
  <c r="F3039" i="13"/>
  <c r="A3039" i="13"/>
  <c r="J3038" i="13"/>
  <c r="F3038" i="13"/>
  <c r="A3038" i="13"/>
  <c r="J3037" i="13"/>
  <c r="F3037" i="13"/>
  <c r="A3037" i="13"/>
  <c r="F3036" i="13"/>
  <c r="A3036" i="13"/>
  <c r="F3035" i="13"/>
  <c r="A3035" i="13"/>
  <c r="F3034" i="13"/>
  <c r="A3034" i="13"/>
  <c r="F3033" i="13"/>
  <c r="A3033" i="13"/>
  <c r="F3032" i="13"/>
  <c r="A3032" i="13"/>
  <c r="F3031" i="13"/>
  <c r="A3031" i="13"/>
  <c r="J3030" i="13"/>
  <c r="F3030" i="13"/>
  <c r="A3030" i="13"/>
  <c r="J3029" i="13"/>
  <c r="F3029" i="13"/>
  <c r="A3029" i="13"/>
  <c r="F3028" i="13"/>
  <c r="A3028" i="13"/>
  <c r="J3027" i="13"/>
  <c r="F3027" i="13"/>
  <c r="A3027" i="13"/>
  <c r="J3026" i="13"/>
  <c r="F3026" i="13"/>
  <c r="A3026" i="13"/>
  <c r="J3025" i="13"/>
  <c r="F3025" i="13"/>
  <c r="A3025" i="13"/>
  <c r="J3024" i="13"/>
  <c r="F3024" i="13"/>
  <c r="A3024" i="13"/>
  <c r="F3023" i="13"/>
  <c r="A3023" i="13"/>
  <c r="F3022" i="13"/>
  <c r="A3022" i="13"/>
  <c r="J3021" i="13"/>
  <c r="F3021" i="13"/>
  <c r="A3021" i="13"/>
  <c r="F3020" i="13"/>
  <c r="A3020" i="13"/>
  <c r="J3019" i="13"/>
  <c r="F3019" i="13"/>
  <c r="A3019" i="13"/>
  <c r="J3018" i="13"/>
  <c r="F3018" i="13"/>
  <c r="A3018" i="13"/>
  <c r="F3017" i="13"/>
  <c r="A3017" i="13"/>
  <c r="F3016" i="13"/>
  <c r="A3016" i="13"/>
  <c r="J3015" i="13"/>
  <c r="F3015" i="13"/>
  <c r="A3015" i="13"/>
  <c r="F3014" i="13"/>
  <c r="A3014" i="13"/>
  <c r="J3013" i="13"/>
  <c r="F3013" i="13"/>
  <c r="A3013" i="13"/>
  <c r="J3012" i="13"/>
  <c r="F3012" i="13"/>
  <c r="A3012" i="13"/>
  <c r="J3011" i="13"/>
  <c r="F3011" i="13"/>
  <c r="A3011" i="13"/>
  <c r="F3010" i="13"/>
  <c r="A3010" i="13"/>
  <c r="F3009" i="13"/>
  <c r="A3009" i="13"/>
  <c r="F3008" i="13"/>
  <c r="A3008" i="13"/>
  <c r="F3007" i="13"/>
  <c r="A3007" i="13"/>
  <c r="F3006" i="13"/>
  <c r="A3006" i="13"/>
  <c r="F3005" i="13"/>
  <c r="A3005" i="13"/>
  <c r="F3004" i="13"/>
  <c r="A3004" i="13"/>
  <c r="F3003" i="13"/>
  <c r="A3003" i="13"/>
  <c r="F3002" i="13"/>
  <c r="A3002" i="13"/>
  <c r="F3001" i="13"/>
  <c r="A3001" i="13"/>
  <c r="F3000" i="13"/>
  <c r="A3000" i="13"/>
  <c r="F2999" i="13"/>
  <c r="A2999" i="13"/>
  <c r="F2998" i="13"/>
  <c r="A2998" i="13"/>
  <c r="F2997" i="13"/>
  <c r="A2997" i="13"/>
  <c r="J2996" i="13"/>
  <c r="F2996" i="13"/>
  <c r="A2996" i="13"/>
  <c r="J2995" i="13"/>
  <c r="F2995" i="13"/>
  <c r="A2995" i="13"/>
  <c r="J2994" i="13"/>
  <c r="F2994" i="13"/>
  <c r="A2994" i="13"/>
  <c r="J2993" i="13"/>
  <c r="F2993" i="13"/>
  <c r="A2993" i="13"/>
  <c r="J2992" i="13"/>
  <c r="F2992" i="13"/>
  <c r="A2992" i="13"/>
  <c r="F2991" i="13"/>
  <c r="A2991" i="13"/>
  <c r="F2990" i="13"/>
  <c r="A2990" i="13"/>
  <c r="F2989" i="13"/>
  <c r="A2989" i="13"/>
  <c r="F2988" i="13"/>
  <c r="A2988" i="13"/>
  <c r="F2987" i="13"/>
  <c r="A2987" i="13"/>
  <c r="F2986" i="13"/>
  <c r="A2986" i="13"/>
  <c r="J2985" i="13"/>
  <c r="F2985" i="13"/>
  <c r="A2985" i="13"/>
  <c r="F2984" i="13"/>
  <c r="A2984" i="13"/>
  <c r="J2983" i="13"/>
  <c r="F2983" i="13"/>
  <c r="A2983" i="13"/>
  <c r="J2982" i="13"/>
  <c r="F2982" i="13"/>
  <c r="A2982" i="13"/>
  <c r="F2981" i="13"/>
  <c r="A2981" i="13"/>
  <c r="F2980" i="13"/>
  <c r="A2980" i="13"/>
  <c r="F2979" i="13"/>
  <c r="A2979" i="13"/>
  <c r="J2978" i="13"/>
  <c r="F2978" i="13"/>
  <c r="A2978" i="13"/>
  <c r="F2977" i="13"/>
  <c r="A2977" i="13"/>
  <c r="F2976" i="13"/>
  <c r="A2976" i="13"/>
  <c r="F2975" i="13"/>
  <c r="A2975" i="13"/>
  <c r="F2974" i="13"/>
  <c r="A2974" i="13"/>
  <c r="F2973" i="13"/>
  <c r="A2973" i="13"/>
  <c r="F2972" i="13"/>
  <c r="A2972" i="13"/>
  <c r="F2971" i="13"/>
  <c r="A2971" i="13"/>
  <c r="J2970" i="13"/>
  <c r="F2970" i="13"/>
  <c r="A2970" i="13"/>
  <c r="J2969" i="13"/>
  <c r="F2969" i="13"/>
  <c r="A2969" i="13"/>
  <c r="J2968" i="13"/>
  <c r="F2968" i="13"/>
  <c r="A2968" i="13"/>
  <c r="F2967" i="13"/>
  <c r="A2967" i="13"/>
  <c r="J2966" i="13"/>
  <c r="F2966" i="13"/>
  <c r="A2966" i="13"/>
  <c r="J2965" i="13"/>
  <c r="F2965" i="13"/>
  <c r="A2965" i="13"/>
  <c r="J2964" i="13"/>
  <c r="F2964" i="13"/>
  <c r="A2964" i="13"/>
  <c r="F2963" i="13"/>
  <c r="A2963" i="13"/>
  <c r="J2962" i="13"/>
  <c r="F2962" i="13"/>
  <c r="A2962" i="13"/>
  <c r="J2961" i="13"/>
  <c r="F2961" i="13"/>
  <c r="A2961" i="13"/>
  <c r="J2960" i="13"/>
  <c r="F2960" i="13"/>
  <c r="A2960" i="13"/>
  <c r="J2959" i="13"/>
  <c r="F2959" i="13"/>
  <c r="A2959" i="13"/>
  <c r="F2958" i="13"/>
  <c r="A2958" i="13"/>
  <c r="F2957" i="13"/>
  <c r="A2957" i="13"/>
  <c r="J2956" i="13"/>
  <c r="F2956" i="13"/>
  <c r="A2956" i="13"/>
  <c r="J2955" i="13"/>
  <c r="F2955" i="13"/>
  <c r="A2955" i="13"/>
  <c r="F2954" i="13"/>
  <c r="A2954" i="13"/>
  <c r="F2953" i="13"/>
  <c r="A2953" i="13"/>
  <c r="F2952" i="13"/>
  <c r="A2952" i="13"/>
  <c r="F2951" i="13"/>
  <c r="A2951" i="13"/>
  <c r="F2950" i="13"/>
  <c r="A2950" i="13"/>
  <c r="J2949" i="13"/>
  <c r="F2949" i="13"/>
  <c r="A2949" i="13"/>
  <c r="F2948" i="13"/>
  <c r="A2948" i="13"/>
  <c r="F2947" i="13"/>
  <c r="A2947" i="13"/>
  <c r="F2946" i="13"/>
  <c r="A2946" i="13"/>
  <c r="F2945" i="13"/>
  <c r="A2945" i="13"/>
  <c r="F2944" i="13"/>
  <c r="A2944" i="13"/>
  <c r="F2943" i="13"/>
  <c r="A2943" i="13"/>
  <c r="F2942" i="13"/>
  <c r="A2942" i="13"/>
  <c r="J2941" i="13"/>
  <c r="F2941" i="13"/>
  <c r="A2941" i="13"/>
  <c r="J2940" i="13"/>
  <c r="F2940" i="13"/>
  <c r="A2940" i="13"/>
  <c r="F2939" i="13"/>
  <c r="A2939" i="13"/>
  <c r="F2938" i="13"/>
  <c r="A2938" i="13"/>
  <c r="F2937" i="13"/>
  <c r="A2937" i="13"/>
  <c r="J2936" i="13"/>
  <c r="F2936" i="13"/>
  <c r="A2936" i="13"/>
  <c r="J2935" i="13"/>
  <c r="F2935" i="13"/>
  <c r="A2935" i="13"/>
  <c r="J2934" i="13"/>
  <c r="F2934" i="13"/>
  <c r="A2934" i="13"/>
  <c r="J2933" i="13"/>
  <c r="F2933" i="13"/>
  <c r="A2933" i="13"/>
  <c r="J2932" i="13"/>
  <c r="F2932" i="13"/>
  <c r="A2932" i="13"/>
  <c r="F2931" i="13"/>
  <c r="A2931" i="13"/>
  <c r="F2930" i="13"/>
  <c r="A2930" i="13"/>
  <c r="J2929" i="13"/>
  <c r="F2929" i="13"/>
  <c r="A2929" i="13"/>
  <c r="J2928" i="13"/>
  <c r="F2928" i="13"/>
  <c r="A2928" i="13"/>
  <c r="J2927" i="13"/>
  <c r="F2927" i="13"/>
  <c r="A2927" i="13"/>
  <c r="F2926" i="13"/>
  <c r="A2926" i="13"/>
  <c r="F2925" i="13"/>
  <c r="A2925" i="13"/>
  <c r="F2924" i="13"/>
  <c r="A2924" i="13"/>
  <c r="F2923" i="13"/>
  <c r="A2923" i="13"/>
  <c r="F2922" i="13"/>
  <c r="A2922" i="13"/>
  <c r="J2921" i="13"/>
  <c r="F2921" i="13"/>
  <c r="A2921" i="13"/>
  <c r="J2920" i="13"/>
  <c r="F2920" i="13"/>
  <c r="A2920" i="13"/>
  <c r="J2919" i="13"/>
  <c r="F2919" i="13"/>
  <c r="A2919" i="13"/>
  <c r="F2918" i="13"/>
  <c r="A2918" i="13"/>
  <c r="F2917" i="13"/>
  <c r="A2917" i="13"/>
  <c r="F2916" i="13"/>
  <c r="A2916" i="13"/>
  <c r="F2915" i="13"/>
  <c r="A2915" i="13"/>
  <c r="F2914" i="13"/>
  <c r="A2914" i="13"/>
  <c r="J2913" i="13"/>
  <c r="F2913" i="13"/>
  <c r="A2913" i="13"/>
  <c r="J2912" i="13"/>
  <c r="F2912" i="13"/>
  <c r="A2912" i="13"/>
  <c r="J2911" i="13"/>
  <c r="F2911" i="13"/>
  <c r="A2911" i="13"/>
  <c r="J2910" i="13"/>
  <c r="F2910" i="13"/>
  <c r="A2910" i="13"/>
  <c r="J2909" i="13"/>
  <c r="F2909" i="13"/>
  <c r="A2909" i="13"/>
  <c r="F2908" i="13"/>
  <c r="A2908" i="13"/>
  <c r="J2907" i="13"/>
  <c r="F2907" i="13"/>
  <c r="A2907" i="13"/>
  <c r="J2906" i="13"/>
  <c r="F2906" i="13"/>
  <c r="A2906" i="13"/>
  <c r="J2905" i="13"/>
  <c r="F2905" i="13"/>
  <c r="A2905" i="13"/>
  <c r="J2904" i="13"/>
  <c r="F2904" i="13"/>
  <c r="A2904" i="13"/>
  <c r="J2903" i="13"/>
  <c r="F2903" i="13"/>
  <c r="A2903" i="13"/>
  <c r="J2902" i="13"/>
  <c r="F2902" i="13"/>
  <c r="A2902" i="13"/>
  <c r="F2901" i="13"/>
  <c r="A2901" i="13"/>
  <c r="F2900" i="13"/>
  <c r="A2900" i="13"/>
  <c r="F2899" i="13"/>
  <c r="A2899" i="13"/>
  <c r="F2898" i="13"/>
  <c r="A2898" i="13"/>
  <c r="F2897" i="13"/>
  <c r="A2897" i="13"/>
  <c r="F2896" i="13"/>
  <c r="A2896" i="13"/>
  <c r="F2895" i="13"/>
  <c r="A2895" i="13"/>
  <c r="F2894" i="13"/>
  <c r="A2894" i="13"/>
  <c r="F2893" i="13"/>
  <c r="A2893" i="13"/>
  <c r="F2892" i="13"/>
  <c r="A2892" i="13"/>
  <c r="F2891" i="13"/>
  <c r="A2891" i="13"/>
  <c r="J2890" i="13"/>
  <c r="F2890" i="13"/>
  <c r="A2890" i="13"/>
  <c r="J2889" i="13"/>
  <c r="F2889" i="13"/>
  <c r="A2889" i="13"/>
  <c r="J2888" i="13"/>
  <c r="F2888" i="13"/>
  <c r="A2888" i="13"/>
  <c r="F2887" i="13"/>
  <c r="A2887" i="13"/>
  <c r="F2886" i="13"/>
  <c r="A2886" i="13"/>
  <c r="F2885" i="13"/>
  <c r="A2885" i="13"/>
  <c r="F2884" i="13"/>
  <c r="A2884" i="13"/>
  <c r="F2883" i="13"/>
  <c r="A2883" i="13"/>
  <c r="J2882" i="13"/>
  <c r="F2882" i="13"/>
  <c r="A2882" i="13"/>
  <c r="J2881" i="13"/>
  <c r="F2881" i="13"/>
  <c r="A2881" i="13"/>
  <c r="F2880" i="13"/>
  <c r="A2880" i="13"/>
  <c r="J2879" i="13"/>
  <c r="F2879" i="13"/>
  <c r="A2879" i="13"/>
  <c r="J2878" i="13"/>
  <c r="F2878" i="13"/>
  <c r="A2878" i="13"/>
  <c r="F2877" i="13"/>
  <c r="A2877" i="13"/>
  <c r="F2876" i="13"/>
  <c r="A2876" i="13"/>
  <c r="J2875" i="13"/>
  <c r="F2875" i="13"/>
  <c r="A2875" i="13"/>
  <c r="J2874" i="13"/>
  <c r="F2874" i="13"/>
  <c r="A2874" i="13"/>
  <c r="J2873" i="13"/>
  <c r="F2873" i="13"/>
  <c r="A2873" i="13"/>
  <c r="F2872" i="13"/>
  <c r="A2872" i="13"/>
  <c r="J2871" i="13"/>
  <c r="F2871" i="13"/>
  <c r="A2871" i="13"/>
  <c r="F2870" i="13"/>
  <c r="A2870" i="13"/>
  <c r="J2869" i="13"/>
  <c r="F2869" i="13"/>
  <c r="A2869" i="13"/>
  <c r="J2868" i="13"/>
  <c r="F2868" i="13"/>
  <c r="A2868" i="13"/>
  <c r="F2867" i="13"/>
  <c r="A2867" i="13"/>
  <c r="J2866" i="13"/>
  <c r="F2866" i="13"/>
  <c r="A2866" i="13"/>
  <c r="J2865" i="13"/>
  <c r="F2865" i="13"/>
  <c r="A2865" i="13"/>
  <c r="J2864" i="13"/>
  <c r="F2864" i="13"/>
  <c r="A2864" i="13"/>
  <c r="F2863" i="13"/>
  <c r="A2863" i="13"/>
  <c r="F2862" i="13"/>
  <c r="A2862" i="13"/>
  <c r="F2861" i="13"/>
  <c r="A2861" i="13"/>
  <c r="F2860" i="13"/>
  <c r="A2860" i="13"/>
  <c r="F2859" i="13"/>
  <c r="A2859" i="13"/>
  <c r="J2858" i="13"/>
  <c r="F2858" i="13"/>
  <c r="A2858" i="13"/>
  <c r="J2857" i="13"/>
  <c r="F2857" i="13"/>
  <c r="A2857" i="13"/>
  <c r="J2856" i="13"/>
  <c r="F2856" i="13"/>
  <c r="A2856" i="13"/>
  <c r="J2855" i="13"/>
  <c r="F2855" i="13"/>
  <c r="A2855" i="13"/>
  <c r="J2854" i="13"/>
  <c r="F2854" i="13"/>
  <c r="A2854" i="13"/>
  <c r="J2853" i="13"/>
  <c r="F2853" i="13"/>
  <c r="A2853" i="13"/>
  <c r="F2852" i="13"/>
  <c r="A2852" i="13"/>
  <c r="F2851" i="13"/>
  <c r="A2851" i="13"/>
  <c r="F2850" i="13"/>
  <c r="A2850" i="13"/>
  <c r="J2849" i="13"/>
  <c r="F2849" i="13"/>
  <c r="A2849" i="13"/>
  <c r="J2848" i="13"/>
  <c r="F2848" i="13"/>
  <c r="A2848" i="13"/>
  <c r="F2847" i="13"/>
  <c r="A2847" i="13"/>
  <c r="J2846" i="13"/>
  <c r="F2846" i="13"/>
  <c r="A2846" i="13"/>
  <c r="F2845" i="13"/>
  <c r="A2845" i="13"/>
  <c r="F2844" i="13"/>
  <c r="A2844" i="13"/>
  <c r="F2843" i="13"/>
  <c r="A2843" i="13"/>
  <c r="J2842" i="13"/>
  <c r="F2842" i="13"/>
  <c r="A2842" i="13"/>
  <c r="J2841" i="13"/>
  <c r="F2841" i="13"/>
  <c r="A2841" i="13"/>
  <c r="F2840" i="13"/>
  <c r="A2840" i="13"/>
  <c r="J2839" i="13"/>
  <c r="F2839" i="13"/>
  <c r="A2839" i="13"/>
  <c r="J2838" i="13"/>
  <c r="F2838" i="13"/>
  <c r="A2838" i="13"/>
  <c r="J2837" i="13"/>
  <c r="F2837" i="13"/>
  <c r="A2837" i="13"/>
  <c r="F2836" i="13"/>
  <c r="A2836" i="13"/>
  <c r="J2835" i="13"/>
  <c r="F2835" i="13"/>
  <c r="A2835" i="13"/>
  <c r="J2834" i="13"/>
  <c r="F2834" i="13"/>
  <c r="A2834" i="13"/>
  <c r="J2833" i="13"/>
  <c r="F2833" i="13"/>
  <c r="A2833" i="13"/>
  <c r="J2832" i="13"/>
  <c r="F2832" i="13"/>
  <c r="A2832" i="13"/>
  <c r="F2831" i="13"/>
  <c r="A2831" i="13"/>
  <c r="F2830" i="13"/>
  <c r="A2830" i="13"/>
  <c r="F2829" i="13"/>
  <c r="A2829" i="13"/>
  <c r="J2828" i="13"/>
  <c r="F2828" i="13"/>
  <c r="A2828" i="13"/>
  <c r="J2827" i="13"/>
  <c r="F2827" i="13"/>
  <c r="A2827" i="13"/>
  <c r="F2826" i="13"/>
  <c r="A2826" i="13"/>
  <c r="J2825" i="13"/>
  <c r="F2825" i="13"/>
  <c r="A2825" i="13"/>
  <c r="F2824" i="13"/>
  <c r="A2824" i="13"/>
  <c r="J2823" i="13"/>
  <c r="F2823" i="13"/>
  <c r="A2823" i="13"/>
  <c r="F2822" i="13"/>
  <c r="A2822" i="13"/>
  <c r="F2821" i="13"/>
  <c r="A2821" i="13"/>
  <c r="F2820" i="13"/>
  <c r="A2820" i="13"/>
  <c r="F2819" i="13"/>
  <c r="A2819" i="13"/>
  <c r="F2818" i="13"/>
  <c r="A2818" i="13"/>
  <c r="F2817" i="13"/>
  <c r="A2817" i="13"/>
  <c r="F2816" i="13"/>
  <c r="A2816" i="13"/>
  <c r="F2815" i="13"/>
  <c r="A2815" i="13"/>
  <c r="F2814" i="13"/>
  <c r="A2814" i="13"/>
  <c r="F2813" i="13"/>
  <c r="A2813" i="13"/>
  <c r="F2812" i="13"/>
  <c r="A2812" i="13"/>
  <c r="F2811" i="13"/>
  <c r="A2811" i="13"/>
  <c r="F2810" i="13"/>
  <c r="A2810" i="13"/>
  <c r="F2809" i="13"/>
  <c r="A2809" i="13"/>
  <c r="J2808" i="13"/>
  <c r="F2808" i="13"/>
  <c r="A2808" i="13"/>
  <c r="J2807" i="13"/>
  <c r="F2807" i="13"/>
  <c r="A2807" i="13"/>
  <c r="F2806" i="13"/>
  <c r="A2806" i="13"/>
  <c r="F2805" i="13"/>
  <c r="A2805" i="13"/>
  <c r="F2804" i="13"/>
  <c r="A2804" i="13"/>
  <c r="F2803" i="13"/>
  <c r="A2803" i="13"/>
  <c r="F2802" i="13"/>
  <c r="A2802" i="13"/>
  <c r="J2801" i="13"/>
  <c r="F2801" i="13"/>
  <c r="A2801" i="13"/>
  <c r="J2800" i="13"/>
  <c r="F2800" i="13"/>
  <c r="A2800" i="13"/>
  <c r="J2799" i="13"/>
  <c r="F2799" i="13"/>
  <c r="A2799" i="13"/>
  <c r="J2798" i="13"/>
  <c r="F2798" i="13"/>
  <c r="A2798" i="13"/>
  <c r="J2797" i="13"/>
  <c r="F2797" i="13"/>
  <c r="A2797" i="13"/>
  <c r="J2796" i="13"/>
  <c r="F2796" i="13"/>
  <c r="A2796" i="13"/>
  <c r="J2795" i="13"/>
  <c r="F2795" i="13"/>
  <c r="A2795" i="13"/>
  <c r="F2794" i="13"/>
  <c r="A2794" i="13"/>
  <c r="J2793" i="13"/>
  <c r="F2793" i="13"/>
  <c r="A2793" i="13"/>
  <c r="J2792" i="13"/>
  <c r="F2792" i="13"/>
  <c r="A2792" i="13"/>
  <c r="F2791" i="13"/>
  <c r="A2791" i="13"/>
  <c r="F2790" i="13"/>
  <c r="A2790" i="13"/>
  <c r="F2789" i="13"/>
  <c r="A2789" i="13"/>
  <c r="F2788" i="13"/>
  <c r="A2788" i="13"/>
  <c r="F2787" i="13"/>
  <c r="A2787" i="13"/>
  <c r="J2786" i="13"/>
  <c r="F2786" i="13"/>
  <c r="A2786" i="13"/>
  <c r="J2785" i="13"/>
  <c r="F2785" i="13"/>
  <c r="A2785" i="13"/>
  <c r="F2784" i="13"/>
  <c r="A2784" i="13"/>
  <c r="F2783" i="13"/>
  <c r="A2783" i="13"/>
  <c r="F2782" i="13"/>
  <c r="A2782" i="13"/>
  <c r="F2781" i="13"/>
  <c r="A2781" i="13"/>
  <c r="F2780" i="13"/>
  <c r="A2780" i="13"/>
  <c r="F2779" i="13"/>
  <c r="A2779" i="13"/>
  <c r="F2778" i="13"/>
  <c r="A2778" i="13"/>
  <c r="F2777" i="13"/>
  <c r="A2777" i="13"/>
  <c r="F2776" i="13"/>
  <c r="A2776" i="13"/>
  <c r="F2775" i="13"/>
  <c r="A2775" i="13"/>
  <c r="J2774" i="13"/>
  <c r="F2774" i="13"/>
  <c r="A2774" i="13"/>
  <c r="J2773" i="13"/>
  <c r="F2773" i="13"/>
  <c r="A2773" i="13"/>
  <c r="J2772" i="13"/>
  <c r="F2772" i="13"/>
  <c r="A2772" i="13"/>
  <c r="F2771" i="13"/>
  <c r="A2771" i="13"/>
  <c r="J2770" i="13"/>
  <c r="F2770" i="13"/>
  <c r="A2770" i="13"/>
  <c r="J2769" i="13"/>
  <c r="F2769" i="13"/>
  <c r="A2769" i="13"/>
  <c r="J2768" i="13"/>
  <c r="F2768" i="13"/>
  <c r="A2768" i="13"/>
  <c r="J2767" i="13"/>
  <c r="F2767" i="13"/>
  <c r="A2767" i="13"/>
  <c r="J2766" i="13"/>
  <c r="F2766" i="13"/>
  <c r="A2766" i="13"/>
  <c r="J2765" i="13"/>
  <c r="F2765" i="13"/>
  <c r="A2765" i="13"/>
  <c r="F2764" i="13"/>
  <c r="A2764" i="13"/>
  <c r="J2763" i="13"/>
  <c r="F2763" i="13"/>
  <c r="A2763" i="13"/>
  <c r="J2762" i="13"/>
  <c r="F2762" i="13"/>
  <c r="A2762" i="13"/>
  <c r="F2761" i="13"/>
  <c r="A2761" i="13"/>
  <c r="F2760" i="13"/>
  <c r="A2760" i="13"/>
  <c r="F2759" i="13"/>
  <c r="A2759" i="13"/>
  <c r="F2758" i="13"/>
  <c r="A2758" i="13"/>
  <c r="F2757" i="13"/>
  <c r="A2757" i="13"/>
  <c r="F2756" i="13"/>
  <c r="A2756" i="13"/>
  <c r="F2755" i="13"/>
  <c r="A2755" i="13"/>
  <c r="F2754" i="13"/>
  <c r="A2754" i="13"/>
  <c r="F2753" i="13"/>
  <c r="A2753" i="13"/>
  <c r="F2752" i="13"/>
  <c r="A2752" i="13"/>
  <c r="F2751" i="13"/>
  <c r="A2751" i="13"/>
  <c r="F2750" i="13"/>
  <c r="A2750" i="13"/>
  <c r="J2749" i="13"/>
  <c r="F2749" i="13"/>
  <c r="A2749" i="13"/>
  <c r="J2748" i="13"/>
  <c r="F2748" i="13"/>
  <c r="A2748" i="13"/>
  <c r="J2747" i="13"/>
  <c r="F2747" i="13"/>
  <c r="A2747" i="13"/>
  <c r="J2746" i="13"/>
  <c r="F2746" i="13"/>
  <c r="A2746" i="13"/>
  <c r="F2745" i="13"/>
  <c r="A2745" i="13"/>
  <c r="J2744" i="13"/>
  <c r="F2744" i="13"/>
  <c r="A2744" i="13"/>
  <c r="J2743" i="13"/>
  <c r="F2743" i="13"/>
  <c r="A2743" i="13"/>
  <c r="J2742" i="13"/>
  <c r="F2742" i="13"/>
  <c r="A2742" i="13"/>
  <c r="J2741" i="13"/>
  <c r="F2741" i="13"/>
  <c r="A2741" i="13"/>
  <c r="F2740" i="13"/>
  <c r="A2740" i="13"/>
  <c r="F2739" i="13"/>
  <c r="A2739" i="13"/>
  <c r="J2738" i="13"/>
  <c r="F2738" i="13"/>
  <c r="A2738" i="13"/>
  <c r="F2737" i="13"/>
  <c r="A2737" i="13"/>
  <c r="F2736" i="13"/>
  <c r="A2736" i="13"/>
  <c r="J2735" i="13"/>
  <c r="F2735" i="13"/>
  <c r="A2735" i="13"/>
  <c r="J2734" i="13"/>
  <c r="F2734" i="13"/>
  <c r="A2734" i="13"/>
  <c r="F2733" i="13"/>
  <c r="A2733" i="13"/>
  <c r="F2732" i="13"/>
  <c r="A2732" i="13"/>
  <c r="F2731" i="13"/>
  <c r="A2731" i="13"/>
  <c r="F2730" i="13"/>
  <c r="A2730" i="13"/>
  <c r="F2729" i="13"/>
  <c r="A2729" i="13"/>
  <c r="F2728" i="13"/>
  <c r="A2728" i="13"/>
  <c r="J2727" i="13"/>
  <c r="F2727" i="13"/>
  <c r="A2727" i="13"/>
  <c r="J2726" i="13"/>
  <c r="F2726" i="13"/>
  <c r="A2726" i="13"/>
  <c r="J2725" i="13"/>
  <c r="F2725" i="13"/>
  <c r="A2725" i="13"/>
  <c r="F2724" i="13"/>
  <c r="A2724" i="13"/>
  <c r="F2723" i="13"/>
  <c r="A2723" i="13"/>
  <c r="F2722" i="13"/>
  <c r="A2722" i="13"/>
  <c r="F2721" i="13"/>
  <c r="A2721" i="13"/>
  <c r="F2720" i="13"/>
  <c r="A2720" i="13"/>
  <c r="F2719" i="13"/>
  <c r="A2719" i="13"/>
  <c r="F2718" i="13"/>
  <c r="A2718" i="13"/>
  <c r="F2717" i="13"/>
  <c r="A2717" i="13"/>
  <c r="F2716" i="13"/>
  <c r="A2716" i="13"/>
  <c r="F2715" i="13"/>
  <c r="A2715" i="13"/>
  <c r="F2714" i="13"/>
  <c r="A2714" i="13"/>
  <c r="F2713" i="13"/>
  <c r="A2713" i="13"/>
  <c r="F2712" i="13"/>
  <c r="A2712" i="13"/>
  <c r="F2711" i="13"/>
  <c r="A2711" i="13"/>
  <c r="F2710" i="13"/>
  <c r="A2710" i="13"/>
  <c r="F2709" i="13"/>
  <c r="A2709" i="13"/>
  <c r="F2708" i="13"/>
  <c r="A2708" i="13"/>
  <c r="F2707" i="13"/>
  <c r="A2707" i="13"/>
  <c r="F2706" i="13"/>
  <c r="A2706" i="13"/>
  <c r="J2705" i="13"/>
  <c r="F2705" i="13"/>
  <c r="A2705" i="13"/>
  <c r="J2704" i="13"/>
  <c r="F2704" i="13"/>
  <c r="A2704" i="13"/>
  <c r="F2703" i="13"/>
  <c r="A2703" i="13"/>
  <c r="F2702" i="13"/>
  <c r="A2702" i="13"/>
  <c r="F2701" i="13"/>
  <c r="A2701" i="13"/>
  <c r="F2700" i="13"/>
  <c r="A2700" i="13"/>
  <c r="J2699" i="13"/>
  <c r="F2699" i="13"/>
  <c r="A2699" i="13"/>
  <c r="F2698" i="13"/>
  <c r="A2698" i="13"/>
  <c r="J2697" i="13"/>
  <c r="F2697" i="13"/>
  <c r="A2697" i="13"/>
  <c r="J2696" i="13"/>
  <c r="F2696" i="13"/>
  <c r="A2696" i="13"/>
  <c r="J2695" i="13"/>
  <c r="F2695" i="13"/>
  <c r="A2695" i="13"/>
  <c r="J2694" i="13"/>
  <c r="F2694" i="13"/>
  <c r="A2694" i="13"/>
  <c r="F2693" i="13"/>
  <c r="A2693" i="13"/>
  <c r="J2692" i="13"/>
  <c r="F2692" i="13"/>
  <c r="A2692" i="13"/>
  <c r="J2691" i="13"/>
  <c r="F2691" i="13"/>
  <c r="A2691" i="13"/>
  <c r="J2690" i="13"/>
  <c r="F2690" i="13"/>
  <c r="A2690" i="13"/>
  <c r="J2689" i="13"/>
  <c r="F2689" i="13"/>
  <c r="A2689" i="13"/>
  <c r="J2688" i="13"/>
  <c r="F2688" i="13"/>
  <c r="A2688" i="13"/>
  <c r="J2687" i="13"/>
  <c r="F2687" i="13"/>
  <c r="A2687" i="13"/>
  <c r="J2686" i="13"/>
  <c r="F2686" i="13"/>
  <c r="A2686" i="13"/>
  <c r="F2685" i="13"/>
  <c r="A2685" i="13"/>
  <c r="F2684" i="13"/>
  <c r="A2684" i="13"/>
  <c r="F2683" i="13"/>
  <c r="A2683" i="13"/>
  <c r="F2682" i="13"/>
  <c r="A2682" i="13"/>
  <c r="F2681" i="13"/>
  <c r="A2681" i="13"/>
  <c r="F2680" i="13"/>
  <c r="A2680" i="13"/>
  <c r="F2679" i="13"/>
  <c r="A2679" i="13"/>
  <c r="F2678" i="13"/>
  <c r="A2678" i="13"/>
  <c r="F2677" i="13"/>
  <c r="A2677" i="13"/>
  <c r="F2676" i="13"/>
  <c r="A2676" i="13"/>
  <c r="J2675" i="13"/>
  <c r="F2675" i="13"/>
  <c r="A2675" i="13"/>
  <c r="J2674" i="13"/>
  <c r="F2674" i="13"/>
  <c r="A2674" i="13"/>
  <c r="F2673" i="13"/>
  <c r="A2673" i="13"/>
  <c r="F2672" i="13"/>
  <c r="A2672" i="13"/>
  <c r="F2671" i="13"/>
  <c r="A2671" i="13"/>
  <c r="F2670" i="13"/>
  <c r="A2670" i="13"/>
  <c r="F2669" i="13"/>
  <c r="A2669" i="13"/>
  <c r="F2668" i="13"/>
  <c r="A2668" i="13"/>
  <c r="F2667" i="13"/>
  <c r="A2667" i="13"/>
  <c r="F2666" i="13"/>
  <c r="A2666" i="13"/>
  <c r="F2665" i="13"/>
  <c r="A2665" i="13"/>
  <c r="F2664" i="13"/>
  <c r="A2664" i="13"/>
  <c r="F2663" i="13"/>
  <c r="A2663" i="13"/>
  <c r="F2662" i="13"/>
  <c r="A2662" i="13"/>
  <c r="J2661" i="13"/>
  <c r="F2661" i="13"/>
  <c r="A2661" i="13"/>
  <c r="F2660" i="13"/>
  <c r="A2660" i="13"/>
  <c r="J2659" i="13"/>
  <c r="F2659" i="13"/>
  <c r="A2659" i="13"/>
  <c r="J2658" i="13"/>
  <c r="F2658" i="13"/>
  <c r="A2658" i="13"/>
  <c r="F2657" i="13"/>
  <c r="A2657" i="13"/>
  <c r="F2656" i="13"/>
  <c r="A2656" i="13"/>
  <c r="F2655" i="13"/>
  <c r="A2655" i="13"/>
  <c r="J2654" i="13"/>
  <c r="F2654" i="13"/>
  <c r="A2654" i="13"/>
  <c r="J2653" i="13"/>
  <c r="F2653" i="13"/>
  <c r="A2653" i="13"/>
  <c r="F2652" i="13"/>
  <c r="A2652" i="13"/>
  <c r="J2651" i="13"/>
  <c r="F2651" i="13"/>
  <c r="A2651" i="13"/>
  <c r="J2650" i="13"/>
  <c r="F2650" i="13"/>
  <c r="A2650" i="13"/>
  <c r="F2649" i="13"/>
  <c r="A2649" i="13"/>
  <c r="F2648" i="13"/>
  <c r="A2648" i="13"/>
  <c r="J2647" i="13"/>
  <c r="F2647" i="13"/>
  <c r="A2647" i="13"/>
  <c r="J2646" i="13"/>
  <c r="F2646" i="13"/>
  <c r="A2646" i="13"/>
  <c r="J2645" i="13"/>
  <c r="F2645" i="13"/>
  <c r="A2645" i="13"/>
  <c r="F2644" i="13"/>
  <c r="A2644" i="13"/>
  <c r="F2643" i="13"/>
  <c r="A2643" i="13"/>
  <c r="J2642" i="13"/>
  <c r="F2642" i="13"/>
  <c r="A2642" i="13"/>
  <c r="J2641" i="13"/>
  <c r="F2641" i="13"/>
  <c r="A2641" i="13"/>
  <c r="J2640" i="13"/>
  <c r="F2640" i="13"/>
  <c r="A2640" i="13"/>
  <c r="F2639" i="13"/>
  <c r="A2639" i="13"/>
  <c r="F2638" i="13"/>
  <c r="A2638" i="13"/>
  <c r="F2637" i="13"/>
  <c r="A2637" i="13"/>
  <c r="F2636" i="13"/>
  <c r="A2636" i="13"/>
  <c r="F2635" i="13"/>
  <c r="A2635" i="13"/>
  <c r="F2634" i="13"/>
  <c r="A2634" i="13"/>
  <c r="J2633" i="13"/>
  <c r="F2633" i="13"/>
  <c r="A2633" i="13"/>
  <c r="F2632" i="13"/>
  <c r="A2632" i="13"/>
  <c r="J2631" i="13"/>
  <c r="F2631" i="13"/>
  <c r="A2631" i="13"/>
  <c r="J2630" i="13"/>
  <c r="F2630" i="13"/>
  <c r="A2630" i="13"/>
  <c r="J2629" i="13"/>
  <c r="F2629" i="13"/>
  <c r="A2629" i="13"/>
  <c r="F2628" i="13"/>
  <c r="A2628" i="13"/>
  <c r="J2627" i="13"/>
  <c r="F2627" i="13"/>
  <c r="A2627" i="13"/>
  <c r="J2626" i="13"/>
  <c r="F2626" i="13"/>
  <c r="A2626" i="13"/>
  <c r="J2625" i="13"/>
  <c r="F2625" i="13"/>
  <c r="A2625" i="13"/>
  <c r="F2624" i="13"/>
  <c r="A2624" i="13"/>
  <c r="F2623" i="13"/>
  <c r="A2623" i="13"/>
  <c r="F2622" i="13"/>
  <c r="A2622" i="13"/>
  <c r="J2621" i="13"/>
  <c r="F2621" i="13"/>
  <c r="A2621" i="13"/>
  <c r="J2620" i="13"/>
  <c r="F2620" i="13"/>
  <c r="A2620" i="13"/>
  <c r="J2619" i="13"/>
  <c r="F2619" i="13"/>
  <c r="A2619" i="13"/>
  <c r="J2618" i="13"/>
  <c r="F2618" i="13"/>
  <c r="A2618" i="13"/>
  <c r="J2617" i="13"/>
  <c r="F2617" i="13"/>
  <c r="A2617" i="13"/>
  <c r="J2616" i="13"/>
  <c r="F2616" i="13"/>
  <c r="A2616" i="13"/>
  <c r="J2615" i="13"/>
  <c r="F2615" i="13"/>
  <c r="A2615" i="13"/>
  <c r="J2614" i="13"/>
  <c r="F2614" i="13"/>
  <c r="A2614" i="13"/>
  <c r="J2613" i="13"/>
  <c r="F2613" i="13"/>
  <c r="A2613" i="13"/>
  <c r="J2612" i="13"/>
  <c r="F2612" i="13"/>
  <c r="A2612" i="13"/>
  <c r="J2611" i="13"/>
  <c r="F2611" i="13"/>
  <c r="A2611" i="13"/>
  <c r="J2610" i="13"/>
  <c r="F2610" i="13"/>
  <c r="A2610" i="13"/>
  <c r="F2609" i="13"/>
  <c r="A2609" i="13"/>
  <c r="F2608" i="13"/>
  <c r="A2608" i="13"/>
  <c r="F2607" i="13"/>
  <c r="A2607" i="13"/>
  <c r="F2606" i="13"/>
  <c r="A2606" i="13"/>
  <c r="F2605" i="13"/>
  <c r="A2605" i="13"/>
  <c r="F2604" i="13"/>
  <c r="A2604" i="13"/>
  <c r="F2603" i="13"/>
  <c r="A2603" i="13"/>
  <c r="F2602" i="13"/>
  <c r="A2602" i="13"/>
  <c r="F2601" i="13"/>
  <c r="A2601" i="13"/>
  <c r="F2600" i="13"/>
  <c r="A2600" i="13"/>
  <c r="F2599" i="13"/>
  <c r="A2599" i="13"/>
  <c r="F2598" i="13"/>
  <c r="A2598" i="13"/>
  <c r="F2597" i="13"/>
  <c r="A2597" i="13"/>
  <c r="J2596" i="13"/>
  <c r="F2596" i="13"/>
  <c r="A2596" i="13"/>
  <c r="J2595" i="13"/>
  <c r="F2595" i="13"/>
  <c r="A2595" i="13"/>
  <c r="F2594" i="13"/>
  <c r="A2594" i="13"/>
  <c r="F2593" i="13"/>
  <c r="A2593" i="13"/>
  <c r="J2592" i="13"/>
  <c r="F2592" i="13"/>
  <c r="A2592" i="13"/>
  <c r="F2591" i="13"/>
  <c r="A2591" i="13"/>
  <c r="J2590" i="13"/>
  <c r="F2590" i="13"/>
  <c r="A2590" i="13"/>
  <c r="J2589" i="13"/>
  <c r="F2589" i="13"/>
  <c r="A2589" i="13"/>
  <c r="J2588" i="13"/>
  <c r="F2588" i="13"/>
  <c r="A2588" i="13"/>
  <c r="J2587" i="13"/>
  <c r="F2587" i="13"/>
  <c r="A2587" i="13"/>
  <c r="F2586" i="13"/>
  <c r="A2586" i="13"/>
  <c r="J2585" i="13"/>
  <c r="F2585" i="13"/>
  <c r="A2585" i="13"/>
  <c r="J2584" i="13"/>
  <c r="F2584" i="13"/>
  <c r="A2584" i="13"/>
  <c r="J2583" i="13"/>
  <c r="F2583" i="13"/>
  <c r="A2583" i="13"/>
  <c r="J2582" i="13"/>
  <c r="F2582" i="13"/>
  <c r="A2582" i="13"/>
  <c r="J2581" i="13"/>
  <c r="F2581" i="13"/>
  <c r="A2581" i="13"/>
  <c r="F2580" i="13"/>
  <c r="A2580" i="13"/>
  <c r="F2579" i="13"/>
  <c r="A2579" i="13"/>
  <c r="F2578" i="13"/>
  <c r="A2578" i="13"/>
  <c r="J2577" i="13"/>
  <c r="F2577" i="13"/>
  <c r="A2577" i="13"/>
  <c r="J2576" i="13"/>
  <c r="F2576" i="13"/>
  <c r="A2576" i="13"/>
  <c r="F2575" i="13"/>
  <c r="A2575" i="13"/>
  <c r="F2574" i="13"/>
  <c r="A2574" i="13"/>
  <c r="J2573" i="13"/>
  <c r="F2573" i="13"/>
  <c r="A2573" i="13"/>
  <c r="J2572" i="13"/>
  <c r="F2572" i="13"/>
  <c r="A2572" i="13"/>
  <c r="J2571" i="13"/>
  <c r="F2571" i="13"/>
  <c r="A2571" i="13"/>
  <c r="J2570" i="13"/>
  <c r="F2570" i="13"/>
  <c r="A2570" i="13"/>
  <c r="J2569" i="13"/>
  <c r="F2569" i="13"/>
  <c r="A2569" i="13"/>
  <c r="F2568" i="13"/>
  <c r="A2568" i="13"/>
  <c r="F2567" i="13"/>
  <c r="A2567" i="13"/>
  <c r="J2566" i="13"/>
  <c r="F2566" i="13"/>
  <c r="A2566" i="13"/>
  <c r="F2565" i="13"/>
  <c r="A2565" i="13"/>
  <c r="J2564" i="13"/>
  <c r="F2564" i="13"/>
  <c r="A2564" i="13"/>
  <c r="J2563" i="13"/>
  <c r="F2563" i="13"/>
  <c r="A2563" i="13"/>
  <c r="J2562" i="13"/>
  <c r="F2562" i="13"/>
  <c r="A2562" i="13"/>
  <c r="F2561" i="13"/>
  <c r="A2561" i="13"/>
  <c r="F2560" i="13"/>
  <c r="A2560" i="13"/>
  <c r="F2559" i="13"/>
  <c r="A2559" i="13"/>
  <c r="F2558" i="13"/>
  <c r="A2558" i="13"/>
  <c r="F2557" i="13"/>
  <c r="A2557" i="13"/>
  <c r="J2556" i="13"/>
  <c r="F2556" i="13"/>
  <c r="A2556" i="13"/>
  <c r="J2555" i="13"/>
  <c r="F2555" i="13"/>
  <c r="A2555" i="13"/>
  <c r="F2554" i="13"/>
  <c r="A2554" i="13"/>
  <c r="F2553" i="13"/>
  <c r="A2553" i="13"/>
  <c r="J2552" i="13"/>
  <c r="F2552" i="13"/>
  <c r="A2552" i="13"/>
  <c r="J2551" i="13"/>
  <c r="F2551" i="13"/>
  <c r="A2551" i="13"/>
  <c r="J2550" i="13"/>
  <c r="F2550" i="13"/>
  <c r="A2550" i="13"/>
  <c r="F2549" i="13"/>
  <c r="A2549" i="13"/>
  <c r="F2548" i="13"/>
  <c r="A2548" i="13"/>
  <c r="F2547" i="13"/>
  <c r="A2547" i="13"/>
  <c r="F2546" i="13"/>
  <c r="A2546" i="13"/>
  <c r="F2545" i="13"/>
  <c r="A2545" i="13"/>
  <c r="F2544" i="13"/>
  <c r="A2544" i="13"/>
  <c r="F2543" i="13"/>
  <c r="A2543" i="13"/>
  <c r="F2542" i="13"/>
  <c r="A2542" i="13"/>
  <c r="J2541" i="13"/>
  <c r="F2541" i="13"/>
  <c r="A2541" i="13"/>
  <c r="J2540" i="13"/>
  <c r="F2540" i="13"/>
  <c r="A2540" i="13"/>
  <c r="F2539" i="13"/>
  <c r="A2539" i="13"/>
  <c r="J2538" i="13"/>
  <c r="F2538" i="13"/>
  <c r="A2538" i="13"/>
  <c r="J2537" i="13"/>
  <c r="F2537" i="13"/>
  <c r="A2537" i="13"/>
  <c r="J2536" i="13"/>
  <c r="F2536" i="13"/>
  <c r="A2536" i="13"/>
  <c r="J2535" i="13"/>
  <c r="F2535" i="13"/>
  <c r="A2535" i="13"/>
  <c r="F2534" i="13"/>
  <c r="A2534" i="13"/>
  <c r="J2533" i="13"/>
  <c r="F2533" i="13"/>
  <c r="A2533" i="13"/>
  <c r="F2532" i="13"/>
  <c r="A2532" i="13"/>
  <c r="F2531" i="13"/>
  <c r="A2531" i="13"/>
  <c r="J2530" i="13"/>
  <c r="F2530" i="13"/>
  <c r="A2530" i="13"/>
  <c r="F2529" i="13"/>
  <c r="A2529" i="13"/>
  <c r="F2528" i="13"/>
  <c r="A2528" i="13"/>
  <c r="F2527" i="13"/>
  <c r="A2527" i="13"/>
  <c r="F2526" i="13"/>
  <c r="A2526" i="13"/>
  <c r="J2525" i="13"/>
  <c r="F2525" i="13"/>
  <c r="A2525" i="13"/>
  <c r="J2524" i="13"/>
  <c r="F2524" i="13"/>
  <c r="A2524" i="13"/>
  <c r="F2523" i="13"/>
  <c r="A2523" i="13"/>
  <c r="J2522" i="13"/>
  <c r="F2522" i="13"/>
  <c r="A2522" i="13"/>
  <c r="J2521" i="13"/>
  <c r="F2521" i="13"/>
  <c r="A2521" i="13"/>
  <c r="J2520" i="13"/>
  <c r="F2520" i="13"/>
  <c r="A2520" i="13"/>
  <c r="F2519" i="13"/>
  <c r="A2519" i="13"/>
  <c r="J2518" i="13"/>
  <c r="F2518" i="13"/>
  <c r="A2518" i="13"/>
  <c r="J2517" i="13"/>
  <c r="F2517" i="13"/>
  <c r="A2517" i="13"/>
  <c r="J2516" i="13"/>
  <c r="F2516" i="13"/>
  <c r="A2516" i="13"/>
  <c r="F2515" i="13"/>
  <c r="A2515" i="13"/>
  <c r="J2514" i="13"/>
  <c r="F2514" i="13"/>
  <c r="A2514" i="13"/>
  <c r="J2513" i="13"/>
  <c r="F2513" i="13"/>
  <c r="A2513" i="13"/>
  <c r="J2512" i="13"/>
  <c r="F2512" i="13"/>
  <c r="A2512" i="13"/>
  <c r="J2511" i="13"/>
  <c r="F2511" i="13"/>
  <c r="A2511" i="13"/>
  <c r="F2510" i="13"/>
  <c r="A2510" i="13"/>
  <c r="J2509" i="13"/>
  <c r="F2509" i="13"/>
  <c r="A2509" i="13"/>
  <c r="F2508" i="13"/>
  <c r="A2508" i="13"/>
  <c r="F2507" i="13"/>
  <c r="A2507" i="13"/>
  <c r="F2506" i="13"/>
  <c r="A2506" i="13"/>
  <c r="F2505" i="13"/>
  <c r="A2505" i="13"/>
  <c r="J2504" i="13"/>
  <c r="F2504" i="13"/>
  <c r="A2504" i="13"/>
  <c r="J2503" i="13"/>
  <c r="F2503" i="13"/>
  <c r="A2503" i="13"/>
  <c r="F2502" i="13"/>
  <c r="A2502" i="13"/>
  <c r="J2501" i="13"/>
  <c r="F2501" i="13"/>
  <c r="A2501" i="13"/>
  <c r="F2500" i="13"/>
  <c r="A2500" i="13"/>
  <c r="F2499" i="13"/>
  <c r="A2499" i="13"/>
  <c r="J2498" i="13"/>
  <c r="F2498" i="13"/>
  <c r="A2498" i="13"/>
  <c r="J2497" i="13"/>
  <c r="F2497" i="13"/>
  <c r="A2497" i="13"/>
  <c r="F2496" i="13"/>
  <c r="A2496" i="13"/>
  <c r="J2495" i="13"/>
  <c r="F2495" i="13"/>
  <c r="A2495" i="13"/>
  <c r="J2494" i="13"/>
  <c r="F2494" i="13"/>
  <c r="A2494" i="13"/>
  <c r="J2493" i="13"/>
  <c r="F2493" i="13"/>
  <c r="A2493" i="13"/>
  <c r="J2492" i="13"/>
  <c r="F2492" i="13"/>
  <c r="A2492" i="13"/>
  <c r="F2491" i="13"/>
  <c r="A2491" i="13"/>
  <c r="J2490" i="13"/>
  <c r="F2490" i="13"/>
  <c r="A2490" i="13"/>
  <c r="F2489" i="13"/>
  <c r="A2489" i="13"/>
  <c r="J2488" i="13"/>
  <c r="F2488" i="13"/>
  <c r="A2488" i="13"/>
  <c r="J2487" i="13"/>
  <c r="F2487" i="13"/>
  <c r="A2487" i="13"/>
  <c r="J2486" i="13"/>
  <c r="F2486" i="13"/>
  <c r="A2486" i="13"/>
  <c r="J2485" i="13"/>
  <c r="F2485" i="13"/>
  <c r="A2485" i="13"/>
  <c r="F2484" i="13"/>
  <c r="A2484" i="13"/>
  <c r="F2483" i="13"/>
  <c r="A2483" i="13"/>
  <c r="J2482" i="13"/>
  <c r="F2482" i="13"/>
  <c r="A2482" i="13"/>
  <c r="J2481" i="13"/>
  <c r="F2481" i="13"/>
  <c r="A2481" i="13"/>
  <c r="J2480" i="13"/>
  <c r="F2480" i="13"/>
  <c r="A2480" i="13"/>
  <c r="F2479" i="13"/>
  <c r="A2479" i="13"/>
  <c r="J2478" i="13"/>
  <c r="F2478" i="13"/>
  <c r="A2478" i="13"/>
  <c r="F2477" i="13"/>
  <c r="A2477" i="13"/>
  <c r="F2476" i="13"/>
  <c r="A2476" i="13"/>
  <c r="F2475" i="13"/>
  <c r="A2475" i="13"/>
  <c r="F2474" i="13"/>
  <c r="A2474" i="13"/>
  <c r="F2473" i="13"/>
  <c r="A2473" i="13"/>
  <c r="F2472" i="13"/>
  <c r="A2472" i="13"/>
  <c r="F2471" i="13"/>
  <c r="A2471" i="13"/>
  <c r="J2470" i="13"/>
  <c r="F2470" i="13"/>
  <c r="A2470" i="13"/>
  <c r="J2469" i="13"/>
  <c r="F2469" i="13"/>
  <c r="A2469" i="13"/>
  <c r="J2468" i="13"/>
  <c r="F2468" i="13"/>
  <c r="J2467" i="13"/>
  <c r="F2467" i="13"/>
  <c r="J2466" i="13"/>
  <c r="F2466" i="13"/>
  <c r="J2465" i="13"/>
  <c r="F2465" i="13"/>
  <c r="J2464" i="13"/>
  <c r="F2464" i="13"/>
  <c r="J2463" i="13"/>
  <c r="F2463" i="13"/>
  <c r="J2462" i="13"/>
  <c r="F2462" i="13"/>
  <c r="F2461" i="13"/>
  <c r="A2461" i="13"/>
  <c r="F2460" i="13"/>
  <c r="A2460" i="13"/>
  <c r="F2459" i="13"/>
  <c r="A2459" i="13"/>
  <c r="F2458" i="13"/>
  <c r="A2458" i="13"/>
  <c r="F2457" i="13"/>
  <c r="A2457" i="13"/>
  <c r="F2456" i="13"/>
  <c r="A2456" i="13"/>
  <c r="F2455" i="13"/>
  <c r="A2455" i="13"/>
  <c r="F2454" i="13"/>
  <c r="A2454" i="13"/>
  <c r="F2453" i="13"/>
  <c r="A2453" i="13"/>
  <c r="F2452" i="13"/>
  <c r="A2452" i="13"/>
  <c r="F2451" i="13"/>
  <c r="A2451" i="13"/>
  <c r="F2450" i="13"/>
  <c r="A2450" i="13"/>
  <c r="F2449" i="13"/>
  <c r="A2449" i="13"/>
  <c r="F2448" i="13"/>
  <c r="A2448" i="13"/>
  <c r="F2447" i="13"/>
  <c r="A2447" i="13"/>
  <c r="F2446" i="13"/>
  <c r="A2446" i="13"/>
  <c r="F2445" i="13"/>
  <c r="A2445" i="13"/>
  <c r="F2444" i="13"/>
  <c r="A2444" i="13"/>
  <c r="F2443" i="13"/>
  <c r="A2443" i="13"/>
  <c r="F2442" i="13"/>
  <c r="A2442" i="13"/>
  <c r="F2441" i="13"/>
  <c r="A2441" i="13"/>
  <c r="F2440" i="13"/>
  <c r="A2440" i="13"/>
  <c r="F2439" i="13"/>
  <c r="A2439" i="13"/>
  <c r="F2438" i="13"/>
  <c r="A2438" i="13"/>
  <c r="F2437" i="13"/>
  <c r="A2437" i="13"/>
  <c r="F2436" i="13"/>
  <c r="F2435" i="13"/>
  <c r="A2435" i="13"/>
  <c r="F2434" i="13"/>
  <c r="A2434" i="13"/>
  <c r="F2433" i="13"/>
  <c r="A2433" i="13"/>
  <c r="F2432" i="13"/>
  <c r="A2432" i="13"/>
  <c r="F2431" i="13"/>
  <c r="A2431" i="13"/>
  <c r="F2430" i="13"/>
  <c r="A2430" i="13"/>
  <c r="F2429" i="13"/>
  <c r="A2429" i="13"/>
  <c r="F2428" i="13"/>
  <c r="A2428" i="13"/>
  <c r="F2427" i="13"/>
  <c r="A2427" i="13"/>
  <c r="F2426" i="13"/>
  <c r="A2426" i="13"/>
  <c r="F2425" i="13"/>
  <c r="A2425" i="13"/>
  <c r="F2424" i="13"/>
  <c r="A2424" i="13"/>
  <c r="F2423" i="13"/>
  <c r="A2423" i="13"/>
  <c r="F2422" i="13"/>
  <c r="A2422" i="13"/>
  <c r="F2421" i="13"/>
  <c r="A2421" i="13"/>
  <c r="F2420" i="13"/>
  <c r="A2420" i="13"/>
  <c r="F2419" i="13"/>
  <c r="A2419" i="13"/>
  <c r="F2418" i="13"/>
  <c r="A2418" i="13"/>
  <c r="F2417" i="13"/>
  <c r="A2417" i="13"/>
  <c r="J2416" i="13"/>
  <c r="F2416" i="13"/>
  <c r="A2416" i="13"/>
  <c r="J2415" i="13"/>
  <c r="F2415" i="13"/>
  <c r="A2415" i="13"/>
  <c r="J2414" i="13"/>
  <c r="F2414" i="13"/>
  <c r="A2414" i="13"/>
  <c r="J2413" i="13"/>
  <c r="F2413" i="13"/>
  <c r="A2413" i="13"/>
  <c r="J2412" i="13"/>
  <c r="F2412" i="13"/>
  <c r="A2412" i="13"/>
  <c r="J2411" i="13"/>
  <c r="F2411" i="13"/>
  <c r="A2411" i="13"/>
  <c r="J2410" i="13"/>
  <c r="F2410" i="13"/>
  <c r="A2410" i="13"/>
  <c r="F2409" i="13"/>
  <c r="A2409" i="13"/>
  <c r="F2408" i="13"/>
  <c r="A2408" i="13"/>
  <c r="J2407" i="13"/>
  <c r="F2407" i="13"/>
  <c r="A2407" i="13"/>
  <c r="F2406" i="13"/>
  <c r="A2406" i="13"/>
  <c r="F2405" i="13"/>
  <c r="A2405" i="13"/>
  <c r="J2404" i="13"/>
  <c r="F2404" i="13"/>
  <c r="A2404" i="13"/>
  <c r="F2403" i="13"/>
  <c r="A2403" i="13"/>
  <c r="F2402" i="13"/>
  <c r="A2402" i="13"/>
  <c r="F2401" i="13"/>
  <c r="A2401" i="13"/>
  <c r="F2400" i="13"/>
  <c r="A2400" i="13"/>
  <c r="F2399" i="13"/>
  <c r="A2399" i="13"/>
  <c r="F2398" i="13"/>
  <c r="A2398" i="13"/>
  <c r="F2397" i="13"/>
  <c r="A2397" i="13"/>
  <c r="F2396" i="13"/>
  <c r="A2396" i="13"/>
  <c r="J2395" i="13"/>
  <c r="F2395" i="13"/>
  <c r="A2395" i="13"/>
  <c r="J2394" i="13"/>
  <c r="F2394" i="13"/>
  <c r="A2394" i="13"/>
  <c r="F2393" i="13"/>
  <c r="A2393" i="13"/>
  <c r="F2392" i="13"/>
  <c r="A2392" i="13"/>
  <c r="F2391" i="13"/>
  <c r="A2391" i="13"/>
  <c r="F2390" i="13"/>
  <c r="A2390" i="13"/>
  <c r="F2389" i="13"/>
  <c r="A2389" i="13"/>
  <c r="F2388" i="13"/>
  <c r="A2388" i="13"/>
  <c r="F2387" i="13"/>
  <c r="A2387" i="13"/>
  <c r="F2386" i="13"/>
  <c r="A2386" i="13"/>
  <c r="F2385" i="13"/>
  <c r="A2385" i="13"/>
  <c r="F2384" i="13"/>
  <c r="A2384" i="13"/>
  <c r="F2383" i="13"/>
  <c r="A2383" i="13"/>
  <c r="F2382" i="13"/>
  <c r="A2382" i="13"/>
  <c r="F2381" i="13"/>
  <c r="A2381" i="13"/>
  <c r="F2380" i="13"/>
  <c r="A2380" i="13"/>
  <c r="J2379" i="13"/>
  <c r="F2379" i="13"/>
  <c r="A2379" i="13"/>
  <c r="J2378" i="13"/>
  <c r="F2378" i="13"/>
  <c r="A2378" i="13"/>
  <c r="J2377" i="13"/>
  <c r="F2377" i="13"/>
  <c r="A2377" i="13"/>
  <c r="J2376" i="13"/>
  <c r="F2376" i="13"/>
  <c r="A2376" i="13"/>
  <c r="J2375" i="13"/>
  <c r="F2375" i="13"/>
  <c r="A2375" i="13"/>
  <c r="J2374" i="13"/>
  <c r="F2374" i="13"/>
  <c r="A2374" i="13"/>
  <c r="J2373" i="13"/>
  <c r="F2373" i="13"/>
  <c r="A2373" i="13"/>
  <c r="J2372" i="13"/>
  <c r="F2372" i="13"/>
  <c r="A2372" i="13"/>
  <c r="J2371" i="13"/>
  <c r="F2371" i="13"/>
  <c r="A2371" i="13"/>
  <c r="F2370" i="13"/>
  <c r="A2370" i="13"/>
  <c r="J2369" i="13"/>
  <c r="F2369" i="13"/>
  <c r="A2369" i="13"/>
  <c r="J2368" i="13"/>
  <c r="F2368" i="13"/>
  <c r="A2368" i="13"/>
  <c r="J2367" i="13"/>
  <c r="F2367" i="13"/>
  <c r="A2367" i="13"/>
  <c r="F2366" i="13"/>
  <c r="A2366" i="13"/>
  <c r="J2365" i="13"/>
  <c r="F2365" i="13"/>
  <c r="A2365" i="13"/>
  <c r="J2364" i="13"/>
  <c r="F2364" i="13"/>
  <c r="A2364" i="13"/>
  <c r="F2363" i="13"/>
  <c r="A2363" i="13"/>
  <c r="F2362" i="13"/>
  <c r="A2362" i="13"/>
  <c r="J2361" i="13"/>
  <c r="F2361" i="13"/>
  <c r="A2361" i="13"/>
  <c r="J2360" i="13"/>
  <c r="F2360" i="13"/>
  <c r="A2360" i="13"/>
  <c r="J2359" i="13"/>
  <c r="F2359" i="13"/>
  <c r="A2359" i="13"/>
  <c r="J2358" i="13"/>
  <c r="F2358" i="13"/>
  <c r="A2358" i="13"/>
  <c r="F2357" i="13"/>
  <c r="A2357" i="13"/>
  <c r="J2356" i="13"/>
  <c r="F2356" i="13"/>
  <c r="A2356" i="13"/>
  <c r="J2355" i="13"/>
  <c r="F2355" i="13"/>
  <c r="A2355" i="13"/>
  <c r="J2354" i="13"/>
  <c r="F2354" i="13"/>
  <c r="A2354" i="13"/>
  <c r="J2353" i="13"/>
  <c r="F2353" i="13"/>
  <c r="A2353" i="13"/>
  <c r="J2352" i="13"/>
  <c r="F2352" i="13"/>
  <c r="A2352" i="13"/>
  <c r="F2351" i="13"/>
  <c r="A2351" i="13"/>
  <c r="F2350" i="13"/>
  <c r="A2350" i="13"/>
  <c r="F2349" i="13"/>
  <c r="A2349" i="13"/>
  <c r="F2348" i="13"/>
  <c r="A2348" i="13"/>
  <c r="F2347" i="13"/>
  <c r="A2347" i="13"/>
  <c r="J2346" i="13"/>
  <c r="F2346" i="13"/>
  <c r="A2346" i="13"/>
  <c r="J2345" i="13"/>
  <c r="F2345" i="13"/>
  <c r="A2345" i="13"/>
  <c r="J2344" i="13"/>
  <c r="F2344" i="13"/>
  <c r="A2344" i="13"/>
  <c r="F2343" i="13"/>
  <c r="A2343" i="13"/>
  <c r="F2342" i="13"/>
  <c r="A2342" i="13"/>
  <c r="J2341" i="13"/>
  <c r="F2341" i="13"/>
  <c r="A2341" i="13"/>
  <c r="J2340" i="13"/>
  <c r="F2340" i="13"/>
  <c r="A2340" i="13"/>
  <c r="J2339" i="13"/>
  <c r="F2339" i="13"/>
  <c r="A2339" i="13"/>
  <c r="J2338" i="13"/>
  <c r="F2338" i="13"/>
  <c r="A2338" i="13"/>
  <c r="J2337" i="13"/>
  <c r="F2337" i="13"/>
  <c r="A2337" i="13"/>
  <c r="J2336" i="13"/>
  <c r="F2336" i="13"/>
  <c r="A2336" i="13"/>
  <c r="F2335" i="13"/>
  <c r="A2335" i="13"/>
  <c r="F2334" i="13"/>
  <c r="A2334" i="13"/>
  <c r="J2333" i="13"/>
  <c r="F2333" i="13"/>
  <c r="A2333" i="13"/>
  <c r="J2332" i="13"/>
  <c r="F2332" i="13"/>
  <c r="A2332" i="13"/>
  <c r="J2331" i="13"/>
  <c r="F2331" i="13"/>
  <c r="A2331" i="13"/>
  <c r="F2330" i="13"/>
  <c r="A2330" i="13"/>
  <c r="J2329" i="13"/>
  <c r="F2329" i="13"/>
  <c r="A2329" i="13"/>
  <c r="J2328" i="13"/>
  <c r="F2328" i="13"/>
  <c r="A2328" i="13"/>
  <c r="J2327" i="13"/>
  <c r="F2327" i="13"/>
  <c r="A2327" i="13"/>
  <c r="J2326" i="13"/>
  <c r="F2326" i="13"/>
  <c r="A2326" i="13"/>
  <c r="F2325" i="13"/>
  <c r="A2325" i="13"/>
  <c r="J2324" i="13"/>
  <c r="F2324" i="13"/>
  <c r="A2324" i="13"/>
  <c r="J2323" i="13"/>
  <c r="F2323" i="13"/>
  <c r="A2323" i="13"/>
  <c r="J2322" i="13"/>
  <c r="F2322" i="13"/>
  <c r="A2322" i="13"/>
  <c r="J2321" i="13"/>
  <c r="F2321" i="13"/>
  <c r="A2321" i="13"/>
  <c r="J2320" i="13"/>
  <c r="F2320" i="13"/>
  <c r="A2320" i="13"/>
  <c r="J2319" i="13"/>
  <c r="F2319" i="13"/>
  <c r="A2319" i="13"/>
  <c r="F2318" i="13"/>
  <c r="A2318" i="13"/>
  <c r="F2317" i="13"/>
  <c r="A2317" i="13"/>
  <c r="F2316" i="13"/>
  <c r="A2316" i="13"/>
  <c r="F2315" i="13"/>
  <c r="A2315" i="13"/>
  <c r="F2314" i="13"/>
  <c r="A2314" i="13"/>
  <c r="F2313" i="13"/>
  <c r="A2313" i="13"/>
  <c r="F2312" i="13"/>
  <c r="A2312" i="13"/>
  <c r="F2311" i="13"/>
  <c r="A2311" i="13"/>
  <c r="F2310" i="13"/>
  <c r="A2310" i="13"/>
  <c r="J2309" i="13"/>
  <c r="F2309" i="13"/>
  <c r="A2309" i="13"/>
  <c r="J2308" i="13"/>
  <c r="F2308" i="13"/>
  <c r="A2308" i="13"/>
  <c r="F2307" i="13"/>
  <c r="A2307" i="13"/>
  <c r="F2306" i="13"/>
  <c r="A2306" i="13"/>
  <c r="F2305" i="13"/>
  <c r="A2305" i="13"/>
  <c r="F2304" i="13"/>
  <c r="A2304" i="13"/>
  <c r="F2303" i="13"/>
  <c r="A2303" i="13"/>
  <c r="F2302" i="13"/>
  <c r="A2302" i="13"/>
  <c r="F2301" i="13"/>
  <c r="A2301" i="13"/>
  <c r="F2300" i="13"/>
  <c r="A2300" i="13"/>
  <c r="F2299" i="13"/>
  <c r="A2299" i="13"/>
  <c r="F2298" i="13"/>
  <c r="A2298" i="13"/>
  <c r="F2297" i="13"/>
  <c r="A2297" i="13"/>
  <c r="F2296" i="13"/>
  <c r="A2296" i="13"/>
  <c r="F2295" i="13"/>
  <c r="A2295" i="13"/>
  <c r="F2294" i="13"/>
  <c r="A2294" i="13"/>
  <c r="F2293" i="13"/>
  <c r="A2293" i="13"/>
  <c r="F2292" i="13"/>
  <c r="A2292" i="13"/>
  <c r="F2291" i="13"/>
  <c r="A2291" i="13"/>
  <c r="F2290" i="13"/>
  <c r="A2290" i="13"/>
  <c r="J2289" i="13"/>
  <c r="F2289" i="13"/>
  <c r="A2289" i="13"/>
  <c r="J2288" i="13"/>
  <c r="F2288" i="13"/>
  <c r="A2288" i="13"/>
  <c r="J2287" i="13"/>
  <c r="F2287" i="13"/>
  <c r="A2287" i="13"/>
  <c r="J2286" i="13"/>
  <c r="F2286" i="13"/>
  <c r="A2286" i="13"/>
  <c r="J2285" i="13"/>
  <c r="F2285" i="13"/>
  <c r="A2285" i="13"/>
  <c r="F2284" i="13"/>
  <c r="A2284" i="13"/>
  <c r="J2283" i="13"/>
  <c r="F2283" i="13"/>
  <c r="A2283" i="13"/>
  <c r="J2282" i="13"/>
  <c r="F2282" i="13"/>
  <c r="A2282" i="13"/>
  <c r="J2281" i="13"/>
  <c r="F2281" i="13"/>
  <c r="A2281" i="13"/>
  <c r="J2280" i="13"/>
  <c r="F2280" i="13"/>
  <c r="A2280" i="13"/>
  <c r="J2279" i="13"/>
  <c r="F2279" i="13"/>
  <c r="A2279" i="13"/>
  <c r="J2278" i="13"/>
  <c r="F2278" i="13"/>
  <c r="A2278" i="13"/>
  <c r="J2277" i="13"/>
  <c r="F2277" i="13"/>
  <c r="A2277" i="13"/>
  <c r="J2276" i="13"/>
  <c r="F2276" i="13"/>
  <c r="A2276" i="13"/>
  <c r="J2275" i="13"/>
  <c r="F2275" i="13"/>
  <c r="A2275" i="13"/>
  <c r="J2274" i="13"/>
  <c r="F2274" i="13"/>
  <c r="A2274" i="13"/>
  <c r="J2273" i="13"/>
  <c r="F2273" i="13"/>
  <c r="A2273" i="13"/>
  <c r="F2272" i="13"/>
  <c r="A2272" i="13"/>
  <c r="F2271" i="13"/>
  <c r="A2271" i="13"/>
  <c r="F2270" i="13"/>
  <c r="A2270" i="13"/>
  <c r="F2269" i="13"/>
  <c r="A2269" i="13"/>
  <c r="J2268" i="13"/>
  <c r="F2268" i="13"/>
  <c r="A2268" i="13"/>
  <c r="J2267" i="13"/>
  <c r="F2267" i="13"/>
  <c r="A2267" i="13"/>
  <c r="F2266" i="13"/>
  <c r="A2266" i="13"/>
  <c r="J2265" i="13"/>
  <c r="F2265" i="13"/>
  <c r="A2265" i="13"/>
  <c r="J2264" i="13"/>
  <c r="F2264" i="13"/>
  <c r="A2264" i="13"/>
  <c r="F2263" i="13"/>
  <c r="A2263" i="13"/>
  <c r="J2262" i="13"/>
  <c r="F2262" i="13"/>
  <c r="A2262" i="13"/>
  <c r="J2261" i="13"/>
  <c r="F2261" i="13"/>
  <c r="A2261" i="13"/>
  <c r="F2260" i="13"/>
  <c r="A2260" i="13"/>
  <c r="J2259" i="13"/>
  <c r="F2259" i="13"/>
  <c r="A2259" i="13"/>
  <c r="J2258" i="13"/>
  <c r="F2258" i="13"/>
  <c r="A2258" i="13"/>
  <c r="J2257" i="13"/>
  <c r="F2257" i="13"/>
  <c r="A2257" i="13"/>
  <c r="J2256" i="13"/>
  <c r="F2256" i="13"/>
  <c r="A2256" i="13"/>
  <c r="J2255" i="13"/>
  <c r="F2255" i="13"/>
  <c r="A2255" i="13"/>
  <c r="J2254" i="13"/>
  <c r="F2254" i="13"/>
  <c r="A2254" i="13"/>
  <c r="J2253" i="13"/>
  <c r="F2253" i="13"/>
  <c r="A2253" i="13"/>
  <c r="F2252" i="13"/>
  <c r="A2252" i="13"/>
  <c r="J2251" i="13"/>
  <c r="F2251" i="13"/>
  <c r="A2251" i="13"/>
  <c r="J2250" i="13"/>
  <c r="F2250" i="13"/>
  <c r="A2250" i="13"/>
  <c r="J2249" i="13"/>
  <c r="F2249" i="13"/>
  <c r="A2249" i="13"/>
  <c r="F2248" i="13"/>
  <c r="A2248" i="13"/>
  <c r="J2247" i="13"/>
  <c r="F2247" i="13"/>
  <c r="A2247" i="13"/>
  <c r="J2246" i="13"/>
  <c r="F2246" i="13"/>
  <c r="A2246" i="13"/>
  <c r="J2245" i="13"/>
  <c r="F2245" i="13"/>
  <c r="A2245" i="13"/>
  <c r="J2244" i="13"/>
  <c r="F2244" i="13"/>
  <c r="A2244" i="13"/>
  <c r="J2243" i="13"/>
  <c r="F2243" i="13"/>
  <c r="A2243" i="13"/>
  <c r="J2242" i="13"/>
  <c r="F2242" i="13"/>
  <c r="A2242" i="13"/>
  <c r="J2241" i="13"/>
  <c r="F2241" i="13"/>
  <c r="A2241" i="13"/>
  <c r="F2240" i="13"/>
  <c r="A2240" i="13"/>
  <c r="F2239" i="13"/>
  <c r="A2239" i="13"/>
  <c r="F2238" i="13"/>
  <c r="A2238" i="13"/>
  <c r="J2237" i="13"/>
  <c r="F2237" i="13"/>
  <c r="A2237" i="13"/>
  <c r="J2236" i="13"/>
  <c r="F2236" i="13"/>
  <c r="A2236" i="13"/>
  <c r="J2235" i="13"/>
  <c r="F2235" i="13"/>
  <c r="A2235" i="13"/>
  <c r="F2234" i="13"/>
  <c r="A2234" i="13"/>
  <c r="J2233" i="13"/>
  <c r="F2233" i="13"/>
  <c r="A2233" i="13"/>
  <c r="J2232" i="13"/>
  <c r="F2232" i="13"/>
  <c r="A2232" i="13"/>
  <c r="F2231" i="13"/>
  <c r="A2231" i="13"/>
  <c r="J2230" i="13"/>
  <c r="F2230" i="13"/>
  <c r="A2230" i="13"/>
  <c r="J2229" i="13"/>
  <c r="F2229" i="13"/>
  <c r="A2229" i="13"/>
  <c r="F2228" i="13"/>
  <c r="A2228" i="13"/>
  <c r="J2227" i="13"/>
  <c r="F2227" i="13"/>
  <c r="A2227" i="13"/>
  <c r="J2226" i="13"/>
  <c r="F2226" i="13"/>
  <c r="A2226" i="13"/>
  <c r="J2225" i="13"/>
  <c r="F2225" i="13"/>
  <c r="A2225" i="13"/>
  <c r="J2224" i="13"/>
  <c r="F2224" i="13"/>
  <c r="A2224" i="13"/>
  <c r="F2223" i="13"/>
  <c r="A2223" i="13"/>
  <c r="J2222" i="13"/>
  <c r="F2222" i="13"/>
  <c r="A2222" i="13"/>
  <c r="J2221" i="13"/>
  <c r="F2221" i="13"/>
  <c r="A2221" i="13"/>
  <c r="J2220" i="13"/>
  <c r="F2220" i="13"/>
  <c r="A2220" i="13"/>
  <c r="J2219" i="13"/>
  <c r="F2219" i="13"/>
  <c r="A2219" i="13"/>
  <c r="F2218" i="13"/>
  <c r="A2218" i="13"/>
  <c r="F2217" i="13"/>
  <c r="A2217" i="13"/>
  <c r="F2216" i="13"/>
  <c r="A2216" i="13"/>
  <c r="J2215" i="13"/>
  <c r="F2215" i="13"/>
  <c r="A2215" i="13"/>
  <c r="J2214" i="13"/>
  <c r="F2214" i="13"/>
  <c r="A2214" i="13"/>
  <c r="J2213" i="13"/>
  <c r="F2213" i="13"/>
  <c r="A2213" i="13"/>
  <c r="J2212" i="13"/>
  <c r="F2212" i="13"/>
  <c r="A2212" i="13"/>
  <c r="J2211" i="13"/>
  <c r="F2211" i="13"/>
  <c r="A2211" i="13"/>
  <c r="J2210" i="13"/>
  <c r="F2210" i="13"/>
  <c r="A2210" i="13"/>
  <c r="J2209" i="13"/>
  <c r="F2209" i="13"/>
  <c r="A2209" i="13"/>
  <c r="F2208" i="13"/>
  <c r="A2208" i="13"/>
  <c r="F2207" i="13"/>
  <c r="A2207" i="13"/>
  <c r="J2206" i="13"/>
  <c r="F2206" i="13"/>
  <c r="A2206" i="13"/>
  <c r="J2205" i="13"/>
  <c r="F2205" i="13"/>
  <c r="A2205" i="13"/>
  <c r="F2204" i="13"/>
  <c r="A2204" i="13"/>
  <c r="F2203" i="13"/>
  <c r="A2203" i="13"/>
  <c r="F2202" i="13"/>
  <c r="A2202" i="13"/>
  <c r="F2201" i="13"/>
  <c r="A2201" i="13"/>
  <c r="J2200" i="13"/>
  <c r="F2200" i="13"/>
  <c r="A2200" i="13"/>
  <c r="J2199" i="13"/>
  <c r="F2199" i="13"/>
  <c r="A2199" i="13"/>
  <c r="F2198" i="13"/>
  <c r="A2198" i="13"/>
  <c r="F2197" i="13"/>
  <c r="A2197" i="13"/>
  <c r="F2196" i="13"/>
  <c r="A2196" i="13"/>
  <c r="F2195" i="13"/>
  <c r="A2195" i="13"/>
  <c r="F2194" i="13"/>
  <c r="A2194" i="13"/>
  <c r="F2193" i="13"/>
  <c r="A2193" i="13"/>
  <c r="F2192" i="13"/>
  <c r="A2192" i="13"/>
  <c r="F2191" i="13"/>
  <c r="A2191" i="13"/>
  <c r="F2190" i="13"/>
  <c r="A2190" i="13"/>
  <c r="F2189" i="13"/>
  <c r="A2189" i="13"/>
  <c r="F2188" i="13"/>
  <c r="A2188" i="13"/>
  <c r="F2187" i="13"/>
  <c r="A2187" i="13"/>
  <c r="F2186" i="13"/>
  <c r="A2186" i="13"/>
  <c r="F2185" i="13"/>
  <c r="A2185" i="13"/>
  <c r="F2184" i="13"/>
  <c r="A2184" i="13"/>
  <c r="F2183" i="13"/>
  <c r="A2183" i="13"/>
  <c r="F2182" i="13"/>
  <c r="A2182" i="13"/>
  <c r="J2181" i="13"/>
  <c r="F2181" i="13"/>
  <c r="A2181" i="13"/>
  <c r="J2180" i="13"/>
  <c r="F2180" i="13"/>
  <c r="A2180" i="13"/>
  <c r="F2179" i="13"/>
  <c r="A2179" i="13"/>
  <c r="J2178" i="13"/>
  <c r="F2178" i="13"/>
  <c r="A2178" i="13"/>
  <c r="J2177" i="13"/>
  <c r="F2177" i="13"/>
  <c r="A2177" i="13"/>
  <c r="J2176" i="13"/>
  <c r="F2176" i="13"/>
  <c r="A2176" i="13"/>
  <c r="F2175" i="13"/>
  <c r="A2175" i="13"/>
  <c r="J2174" i="13"/>
  <c r="F2174" i="13"/>
  <c r="A2174" i="13"/>
  <c r="F2173" i="13"/>
  <c r="A2173" i="13"/>
  <c r="J2172" i="13"/>
  <c r="F2172" i="13"/>
  <c r="A2172" i="13"/>
  <c r="J2171" i="13"/>
  <c r="F2171" i="13"/>
  <c r="A2171" i="13"/>
  <c r="F2170" i="13"/>
  <c r="A2170" i="13"/>
  <c r="J2169" i="13"/>
  <c r="F2169" i="13"/>
  <c r="A2169" i="13"/>
  <c r="J2168" i="13"/>
  <c r="F2168" i="13"/>
  <c r="A2168" i="13"/>
  <c r="F2167" i="13"/>
  <c r="A2167" i="13"/>
  <c r="J2166" i="13"/>
  <c r="F2166" i="13"/>
  <c r="A2166" i="13"/>
  <c r="J2165" i="13"/>
  <c r="F2165" i="13"/>
  <c r="A2165" i="13"/>
  <c r="J2164" i="13"/>
  <c r="F2164" i="13"/>
  <c r="A2164" i="13"/>
  <c r="J2163" i="13"/>
  <c r="F2163" i="13"/>
  <c r="A2163" i="13"/>
  <c r="F2162" i="13"/>
  <c r="A2162" i="13"/>
  <c r="J2161" i="13"/>
  <c r="F2161" i="13"/>
  <c r="A2161" i="13"/>
  <c r="J2160" i="13"/>
  <c r="F2160" i="13"/>
  <c r="A2160" i="13"/>
  <c r="F2159" i="13"/>
  <c r="A2159" i="13"/>
  <c r="F2158" i="13"/>
  <c r="A2158" i="13"/>
  <c r="J2157" i="13"/>
  <c r="F2157" i="13"/>
  <c r="A2157" i="13"/>
  <c r="F2156" i="13"/>
  <c r="A2156" i="13"/>
  <c r="J2155" i="13"/>
  <c r="F2155" i="13"/>
  <c r="A2155" i="13"/>
  <c r="J2154" i="13"/>
  <c r="F2154" i="13"/>
  <c r="A2154" i="13"/>
  <c r="F2153" i="13"/>
  <c r="A2153" i="13"/>
  <c r="F2152" i="13"/>
  <c r="A2152" i="13"/>
  <c r="F2151" i="13"/>
  <c r="A2151" i="13"/>
  <c r="F2150" i="13"/>
  <c r="A2150" i="13"/>
  <c r="F2149" i="13"/>
  <c r="A2149" i="13"/>
  <c r="F2148" i="13"/>
  <c r="A2148" i="13"/>
  <c r="F2147" i="13"/>
  <c r="A2147" i="13"/>
  <c r="F2146" i="13"/>
  <c r="A2146" i="13"/>
  <c r="J2145" i="13"/>
  <c r="F2145" i="13"/>
  <c r="A2145" i="13"/>
  <c r="J2144" i="13"/>
  <c r="F2144" i="13"/>
  <c r="A2144" i="13"/>
  <c r="J2143" i="13"/>
  <c r="F2143" i="13"/>
  <c r="A2143" i="13"/>
  <c r="J2142" i="13"/>
  <c r="F2142" i="13"/>
  <c r="A2142" i="13"/>
  <c r="F2141" i="13"/>
  <c r="A2141" i="13"/>
  <c r="J2140" i="13"/>
  <c r="F2140" i="13"/>
  <c r="A2140" i="13"/>
  <c r="J2139" i="13"/>
  <c r="F2139" i="13"/>
  <c r="A2139" i="13"/>
  <c r="J2138" i="13"/>
  <c r="F2138" i="13"/>
  <c r="A2138" i="13"/>
  <c r="J2137" i="13"/>
  <c r="F2137" i="13"/>
  <c r="A2137" i="13"/>
  <c r="F2136" i="13"/>
  <c r="A2136" i="13"/>
  <c r="F2135" i="13"/>
  <c r="A2135" i="13"/>
  <c r="J2134" i="13"/>
  <c r="F2134" i="13"/>
  <c r="A2134" i="13"/>
  <c r="J2133" i="13"/>
  <c r="F2133" i="13"/>
  <c r="A2133" i="13"/>
  <c r="J2132" i="13"/>
  <c r="F2132" i="13"/>
  <c r="A2132" i="13"/>
  <c r="F2131" i="13"/>
  <c r="A2131" i="13"/>
  <c r="J2130" i="13"/>
  <c r="F2130" i="13"/>
  <c r="A2130" i="13"/>
  <c r="J2129" i="13"/>
  <c r="F2129" i="13"/>
  <c r="A2129" i="13"/>
  <c r="J2128" i="13"/>
  <c r="F2128" i="13"/>
  <c r="A2128" i="13"/>
  <c r="F2127" i="13"/>
  <c r="A2127" i="13"/>
  <c r="J2126" i="13"/>
  <c r="F2126" i="13"/>
  <c r="A2126" i="13"/>
  <c r="J2125" i="13"/>
  <c r="F2125" i="13"/>
  <c r="A2125" i="13"/>
  <c r="J2124" i="13"/>
  <c r="F2124" i="13"/>
  <c r="A2124" i="13"/>
  <c r="J2123" i="13"/>
  <c r="F2123" i="13"/>
  <c r="A2123" i="13"/>
  <c r="F2122" i="13"/>
  <c r="A2122" i="13"/>
  <c r="J2121" i="13"/>
  <c r="F2121" i="13"/>
  <c r="A2121" i="13"/>
  <c r="J2120" i="13"/>
  <c r="F2120" i="13"/>
  <c r="A2120" i="13"/>
  <c r="F2119" i="13"/>
  <c r="A2119" i="13"/>
  <c r="J2118" i="13"/>
  <c r="F2118" i="13"/>
  <c r="A2118" i="13"/>
  <c r="J2117" i="13"/>
  <c r="F2117" i="13"/>
  <c r="A2117" i="13"/>
  <c r="J2116" i="13"/>
  <c r="F2116" i="13"/>
  <c r="A2116" i="13"/>
  <c r="F2115" i="13"/>
  <c r="A2115" i="13"/>
  <c r="J2114" i="13"/>
  <c r="F2114" i="13"/>
  <c r="A2114" i="13"/>
  <c r="J2113" i="13"/>
  <c r="F2113" i="13"/>
  <c r="A2113" i="13"/>
  <c r="F2112" i="13"/>
  <c r="A2112" i="13"/>
  <c r="F2111" i="13"/>
  <c r="A2111" i="13"/>
  <c r="J2110" i="13"/>
  <c r="F2110" i="13"/>
  <c r="A2110" i="13"/>
  <c r="F2109" i="13"/>
  <c r="A2109" i="13"/>
  <c r="F2108" i="13"/>
  <c r="A2108" i="13"/>
  <c r="F2107" i="13"/>
  <c r="A2107" i="13"/>
  <c r="F2106" i="13"/>
  <c r="A2106" i="13"/>
  <c r="F2105" i="13"/>
  <c r="A2105" i="13"/>
  <c r="F2104" i="13"/>
  <c r="A2104" i="13"/>
  <c r="F2103" i="13"/>
  <c r="A2103" i="13"/>
  <c r="F2102" i="13"/>
  <c r="A2102" i="13"/>
  <c r="F2101" i="13"/>
  <c r="A2101" i="13"/>
  <c r="F2100" i="13"/>
  <c r="A2100" i="13"/>
  <c r="F2099" i="13"/>
  <c r="A2099" i="13"/>
  <c r="F2098" i="13"/>
  <c r="A2098" i="13"/>
  <c r="J2097" i="13"/>
  <c r="F2097" i="13"/>
  <c r="A2097" i="13"/>
  <c r="J2096" i="13"/>
  <c r="F2096" i="13"/>
  <c r="A2096" i="13"/>
  <c r="J2095" i="13"/>
  <c r="F2095" i="13"/>
  <c r="A2095" i="13"/>
  <c r="F2094" i="13"/>
  <c r="A2094" i="13"/>
  <c r="J2093" i="13"/>
  <c r="F2093" i="13"/>
  <c r="A2093" i="13"/>
  <c r="J2092" i="13"/>
  <c r="F2092" i="13"/>
  <c r="A2092" i="13"/>
  <c r="J2091" i="13"/>
  <c r="F2091" i="13"/>
  <c r="A2091" i="13"/>
  <c r="J2090" i="13"/>
  <c r="F2090" i="13"/>
  <c r="A2090" i="13"/>
  <c r="F2089" i="13"/>
  <c r="A2089" i="13"/>
  <c r="J2088" i="13"/>
  <c r="F2088" i="13"/>
  <c r="A2088" i="13"/>
  <c r="J2087" i="13"/>
  <c r="F2087" i="13"/>
  <c r="A2087" i="13"/>
  <c r="J2086" i="13"/>
  <c r="F2086" i="13"/>
  <c r="A2086" i="13"/>
  <c r="J2085" i="13"/>
  <c r="F2085" i="13"/>
  <c r="A2085" i="13"/>
  <c r="F2084" i="13"/>
  <c r="A2084" i="13"/>
  <c r="J2083" i="13"/>
  <c r="F2083" i="13"/>
  <c r="A2083" i="13"/>
  <c r="J2082" i="13"/>
  <c r="F2082" i="13"/>
  <c r="A2082" i="13"/>
  <c r="J2081" i="13"/>
  <c r="F2081" i="13"/>
  <c r="A2081" i="13"/>
  <c r="J2080" i="13"/>
  <c r="F2080" i="13"/>
  <c r="A2080" i="13"/>
  <c r="J2079" i="13"/>
  <c r="F2079" i="13"/>
  <c r="A2079" i="13"/>
  <c r="J2078" i="13"/>
  <c r="F2078" i="13"/>
  <c r="A2078" i="13"/>
  <c r="F2077" i="13"/>
  <c r="A2077" i="13"/>
  <c r="F2076" i="13"/>
  <c r="A2076" i="13"/>
  <c r="F2075" i="13"/>
  <c r="A2075" i="13"/>
  <c r="F2074" i="13"/>
  <c r="A2074" i="13"/>
  <c r="F2073" i="13"/>
  <c r="A2073" i="13"/>
  <c r="F2072" i="13"/>
  <c r="A2072" i="13"/>
  <c r="F2071" i="13"/>
  <c r="A2071" i="13"/>
  <c r="F2070" i="13"/>
  <c r="A2070" i="13"/>
  <c r="F2069" i="13"/>
  <c r="A2069" i="13"/>
  <c r="F2068" i="13"/>
  <c r="A2068" i="13"/>
  <c r="J2067" i="13"/>
  <c r="F2067" i="13"/>
  <c r="A2067" i="13"/>
  <c r="F2066" i="13"/>
  <c r="A2066" i="13"/>
  <c r="J2065" i="13"/>
  <c r="F2065" i="13"/>
  <c r="A2065" i="13"/>
  <c r="J2064" i="13"/>
  <c r="F2064" i="13"/>
  <c r="A2064" i="13"/>
  <c r="J2063" i="13"/>
  <c r="F2063" i="13"/>
  <c r="A2063" i="13"/>
  <c r="F2062" i="13"/>
  <c r="A2062" i="13"/>
  <c r="F2061" i="13"/>
  <c r="A2061" i="13"/>
  <c r="F2060" i="13"/>
  <c r="A2060" i="13"/>
  <c r="J2059" i="13"/>
  <c r="F2059" i="13"/>
  <c r="A2059" i="13"/>
  <c r="F2058" i="13"/>
  <c r="A2058" i="13"/>
  <c r="J2057" i="13"/>
  <c r="F2057" i="13"/>
  <c r="A2057" i="13"/>
  <c r="J2056" i="13"/>
  <c r="F2056" i="13"/>
  <c r="A2056" i="13"/>
  <c r="J2055" i="13"/>
  <c r="F2055" i="13"/>
  <c r="A2055" i="13"/>
  <c r="J2054" i="13"/>
  <c r="F2054" i="13"/>
  <c r="A2054" i="13"/>
  <c r="F2053" i="13"/>
  <c r="A2053" i="13"/>
  <c r="J2052" i="13"/>
  <c r="F2052" i="13"/>
  <c r="A2052" i="13"/>
  <c r="J2051" i="13"/>
  <c r="F2051" i="13"/>
  <c r="A2051" i="13"/>
  <c r="J2050" i="13"/>
  <c r="F2050" i="13"/>
  <c r="A2050" i="13"/>
  <c r="F2049" i="13"/>
  <c r="A2049" i="13"/>
  <c r="J2048" i="13"/>
  <c r="F2048" i="13"/>
  <c r="A2048" i="13"/>
  <c r="J2047" i="13"/>
  <c r="F2047" i="13"/>
  <c r="A2047" i="13"/>
  <c r="J2046" i="13"/>
  <c r="F2046" i="13"/>
  <c r="A2046" i="13"/>
  <c r="J2045" i="13"/>
  <c r="F2045" i="13"/>
  <c r="A2045" i="13"/>
  <c r="J2044" i="13"/>
  <c r="F2044" i="13"/>
  <c r="A2044" i="13"/>
  <c r="F2043" i="13"/>
  <c r="A2043" i="13"/>
  <c r="J2042" i="13"/>
  <c r="F2042" i="13"/>
  <c r="A2042" i="13"/>
  <c r="J2041" i="13"/>
  <c r="F2041" i="13"/>
  <c r="A2041" i="13"/>
  <c r="F2040" i="13"/>
  <c r="A2040" i="13"/>
  <c r="J2039" i="13"/>
  <c r="F2039" i="13"/>
  <c r="A2039" i="13"/>
  <c r="J2038" i="13"/>
  <c r="F2038" i="13"/>
  <c r="A2038" i="13"/>
  <c r="F2037" i="13"/>
  <c r="A2037" i="13"/>
  <c r="J2036" i="13"/>
  <c r="F2036" i="13"/>
  <c r="A2036" i="13"/>
  <c r="J2035" i="13"/>
  <c r="F2035" i="13"/>
  <c r="A2035" i="13"/>
  <c r="J2034" i="13"/>
  <c r="F2034" i="13"/>
  <c r="A2034" i="13"/>
  <c r="J2033" i="13"/>
  <c r="F2033" i="13"/>
  <c r="A2033" i="13"/>
  <c r="J2032" i="13"/>
  <c r="F2032" i="13"/>
  <c r="A2032" i="13"/>
  <c r="J2031" i="13"/>
  <c r="F2031" i="13"/>
  <c r="A2031" i="13"/>
  <c r="J2030" i="13"/>
  <c r="F2030" i="13"/>
  <c r="A2030" i="13"/>
  <c r="F2029" i="13"/>
  <c r="A2029" i="13"/>
  <c r="J2028" i="13"/>
  <c r="F2028" i="13"/>
  <c r="A2028" i="13"/>
  <c r="J2027" i="13"/>
  <c r="F2027" i="13"/>
  <c r="A2027" i="13"/>
  <c r="J2026" i="13"/>
  <c r="F2026" i="13"/>
  <c r="A2026" i="13"/>
  <c r="J2025" i="13"/>
  <c r="F2025" i="13"/>
  <c r="A2025" i="13"/>
  <c r="J2024" i="13"/>
  <c r="F2024" i="13"/>
  <c r="A2024" i="13"/>
  <c r="F2023" i="13"/>
  <c r="A2023" i="13"/>
  <c r="F2022" i="13"/>
  <c r="A2022" i="13"/>
  <c r="F2021" i="13"/>
  <c r="A2021" i="13"/>
  <c r="J2020" i="13"/>
  <c r="F2020" i="13"/>
  <c r="A2020" i="13"/>
  <c r="J2019" i="13"/>
  <c r="F2019" i="13"/>
  <c r="A2019" i="13"/>
  <c r="J2018" i="13"/>
  <c r="F2018" i="13"/>
  <c r="A2018" i="13"/>
  <c r="F2017" i="13"/>
  <c r="A2017" i="13"/>
  <c r="F2016" i="13"/>
  <c r="A2016" i="13"/>
  <c r="J2015" i="13"/>
  <c r="F2015" i="13"/>
  <c r="A2015" i="13"/>
  <c r="F2014" i="13"/>
  <c r="A2014" i="13"/>
  <c r="F2013" i="13"/>
  <c r="A2013" i="13"/>
  <c r="J2012" i="13"/>
  <c r="F2012" i="13"/>
  <c r="A2012" i="13"/>
  <c r="F2011" i="13"/>
  <c r="A2011" i="13"/>
  <c r="J2010" i="13"/>
  <c r="F2010" i="13"/>
  <c r="A2010" i="13"/>
  <c r="F2009" i="13"/>
  <c r="A2009" i="13"/>
  <c r="J2008" i="13"/>
  <c r="F2008" i="13"/>
  <c r="A2008" i="13"/>
  <c r="F2007" i="13"/>
  <c r="A2007" i="13"/>
  <c r="F2006" i="13"/>
  <c r="A2006" i="13"/>
  <c r="F2005" i="13"/>
  <c r="A2005" i="13"/>
  <c r="F2004" i="13"/>
  <c r="A2004" i="13"/>
  <c r="F2003" i="13"/>
  <c r="A2003" i="13"/>
  <c r="F2002" i="13"/>
  <c r="A2002" i="13"/>
  <c r="F2001" i="13"/>
  <c r="A2001" i="13"/>
  <c r="F2000" i="13"/>
  <c r="A2000" i="13"/>
  <c r="F1999" i="13"/>
  <c r="A1999" i="13"/>
  <c r="F1998" i="13"/>
  <c r="A1998" i="13"/>
  <c r="F1997" i="13"/>
  <c r="A1997" i="13"/>
  <c r="F1996" i="13"/>
  <c r="A1996" i="13"/>
  <c r="F1995" i="13"/>
  <c r="A1995" i="13"/>
  <c r="F1994" i="13"/>
  <c r="A1994" i="13"/>
  <c r="F1993" i="13"/>
  <c r="A1993" i="13"/>
  <c r="F1992" i="13"/>
  <c r="A1992" i="13"/>
  <c r="F1991" i="13"/>
  <c r="A1991" i="13"/>
  <c r="F1990" i="13"/>
  <c r="A1990" i="13"/>
  <c r="F1989" i="13"/>
  <c r="A1989" i="13"/>
  <c r="F1988" i="13"/>
  <c r="A1988" i="13"/>
  <c r="F1987" i="13"/>
  <c r="A1987" i="13"/>
  <c r="F1986" i="13"/>
  <c r="A1986" i="13"/>
  <c r="F1985" i="13"/>
  <c r="A1985" i="13"/>
  <c r="F1984" i="13"/>
  <c r="A1984" i="13"/>
  <c r="F1983" i="13"/>
  <c r="A1983" i="13"/>
  <c r="F1982" i="13"/>
  <c r="A1982" i="13"/>
  <c r="F1981" i="13"/>
  <c r="A1981" i="13"/>
  <c r="F1980" i="13"/>
  <c r="A1980" i="13"/>
  <c r="F1979" i="13"/>
  <c r="A1979" i="13"/>
  <c r="F1978" i="13"/>
  <c r="A1978" i="13"/>
  <c r="J1977" i="13"/>
  <c r="F1977" i="13"/>
  <c r="A1977" i="13"/>
  <c r="J1976" i="13"/>
  <c r="F1976" i="13"/>
  <c r="A1976" i="13"/>
  <c r="J1975" i="13"/>
  <c r="F1975" i="13"/>
  <c r="A1975" i="13"/>
  <c r="F1974" i="13"/>
  <c r="A1974" i="13"/>
  <c r="F1973" i="13"/>
  <c r="A1973" i="13"/>
  <c r="J1972" i="13"/>
  <c r="F1972" i="13"/>
  <c r="A1972" i="13"/>
  <c r="F1971" i="13"/>
  <c r="A1971" i="13"/>
  <c r="J1970" i="13"/>
  <c r="F1970" i="13"/>
  <c r="A1970" i="13"/>
  <c r="J1969" i="13"/>
  <c r="F1969" i="13"/>
  <c r="A1969" i="13"/>
  <c r="F1968" i="13"/>
  <c r="A1968" i="13"/>
  <c r="J1967" i="13"/>
  <c r="F1967" i="13"/>
  <c r="A1967" i="13"/>
  <c r="J1966" i="13"/>
  <c r="F1966" i="13"/>
  <c r="A1966" i="13"/>
  <c r="J1965" i="13"/>
  <c r="F1965" i="13"/>
  <c r="A1965" i="13"/>
  <c r="F1964" i="13"/>
  <c r="A1964" i="13"/>
  <c r="F1963" i="13"/>
  <c r="A1963" i="13"/>
  <c r="F1962" i="13"/>
  <c r="A1962" i="13"/>
  <c r="F1961" i="13"/>
  <c r="A1961" i="13"/>
  <c r="F1960" i="13"/>
  <c r="A1960" i="13"/>
  <c r="J1959" i="13"/>
  <c r="F1959" i="13"/>
  <c r="A1959" i="13"/>
  <c r="J1958" i="13"/>
  <c r="F1958" i="13"/>
  <c r="A1958" i="13"/>
  <c r="J1957" i="13"/>
  <c r="F1957" i="13"/>
  <c r="A1957" i="13"/>
  <c r="F1956" i="13"/>
  <c r="A1956" i="13"/>
  <c r="J1955" i="13"/>
  <c r="F1955" i="13"/>
  <c r="A1955" i="13"/>
  <c r="F1954" i="13"/>
  <c r="A1954" i="13"/>
  <c r="J1953" i="13"/>
  <c r="F1953" i="13"/>
  <c r="A1953" i="13"/>
  <c r="J1952" i="13"/>
  <c r="F1952" i="13"/>
  <c r="A1952" i="13"/>
  <c r="F1951" i="13"/>
  <c r="A1951" i="13"/>
  <c r="J1950" i="13"/>
  <c r="F1950" i="13"/>
  <c r="A1950" i="13"/>
  <c r="J1949" i="13"/>
  <c r="F1949" i="13"/>
  <c r="A1949" i="13"/>
  <c r="F1948" i="13"/>
  <c r="A1948" i="13"/>
  <c r="F1947" i="13"/>
  <c r="A1947" i="13"/>
  <c r="F1946" i="13"/>
  <c r="A1946" i="13"/>
  <c r="F1945" i="13"/>
  <c r="A1945" i="13"/>
  <c r="F1944" i="13"/>
  <c r="A1944" i="13"/>
  <c r="F1943" i="13"/>
  <c r="A1943" i="13"/>
  <c r="J1942" i="13"/>
  <c r="F1942" i="13"/>
  <c r="A1942" i="13"/>
  <c r="J1941" i="13"/>
  <c r="F1941" i="13"/>
  <c r="A1941" i="13"/>
  <c r="F1940" i="13"/>
  <c r="A1940" i="13"/>
  <c r="F1939" i="13"/>
  <c r="A1939" i="13"/>
  <c r="F1938" i="13"/>
  <c r="A1938" i="13"/>
  <c r="F1937" i="13"/>
  <c r="A1937" i="13"/>
  <c r="F1936" i="13"/>
  <c r="A1936" i="13"/>
  <c r="F1935" i="13"/>
  <c r="A1935" i="13"/>
  <c r="F1934" i="13"/>
  <c r="A1934" i="13"/>
  <c r="F1933" i="13"/>
  <c r="A1933" i="13"/>
  <c r="F1932" i="13"/>
  <c r="A1932" i="13"/>
  <c r="F1931" i="13"/>
  <c r="A1931" i="13"/>
  <c r="F1930" i="13"/>
  <c r="A1930" i="13"/>
  <c r="F1929" i="13"/>
  <c r="A1929" i="13"/>
  <c r="F1928" i="13"/>
  <c r="A1928" i="13"/>
  <c r="F1927" i="13"/>
  <c r="A1927" i="13"/>
  <c r="F1926" i="13"/>
  <c r="A1926" i="13"/>
  <c r="F1925" i="13"/>
  <c r="A1925" i="13"/>
  <c r="F1924" i="13"/>
  <c r="A1924" i="13"/>
  <c r="J1923" i="13"/>
  <c r="F1923" i="13"/>
  <c r="A1923" i="13"/>
  <c r="J1922" i="13"/>
  <c r="F1922" i="13"/>
  <c r="A1922" i="13"/>
  <c r="F1921" i="13"/>
  <c r="A1921" i="13"/>
  <c r="J1920" i="13"/>
  <c r="F1920" i="13"/>
  <c r="A1920" i="13"/>
  <c r="J1919" i="13"/>
  <c r="F1919" i="13"/>
  <c r="A1919" i="13"/>
  <c r="F1918" i="13"/>
  <c r="A1918" i="13"/>
  <c r="J1917" i="13"/>
  <c r="F1917" i="13"/>
  <c r="A1917" i="13"/>
  <c r="F1916" i="13"/>
  <c r="A1916" i="13"/>
  <c r="F1915" i="13"/>
  <c r="A1915" i="13"/>
  <c r="J1914" i="13"/>
  <c r="F1914" i="13"/>
  <c r="A1914" i="13"/>
  <c r="F1913" i="13"/>
  <c r="A1913" i="13"/>
  <c r="J1912" i="13"/>
  <c r="F1912" i="13"/>
  <c r="A1912" i="13"/>
  <c r="J1911" i="13"/>
  <c r="F1911" i="13"/>
  <c r="A1911" i="13"/>
  <c r="F1910" i="13"/>
  <c r="A1910" i="13"/>
  <c r="F1909" i="13"/>
  <c r="A1909" i="13"/>
  <c r="F1908" i="13"/>
  <c r="A1908" i="13"/>
  <c r="F1907" i="13"/>
  <c r="A1907" i="13"/>
  <c r="J1906" i="13"/>
  <c r="F1906" i="13"/>
  <c r="A1906" i="13"/>
  <c r="J1905" i="13"/>
  <c r="F1905" i="13"/>
  <c r="A1905" i="13"/>
  <c r="F1904" i="13"/>
  <c r="A1904" i="13"/>
  <c r="F1903" i="13"/>
  <c r="A1903" i="13"/>
  <c r="J1902" i="13"/>
  <c r="F1902" i="13"/>
  <c r="A1902" i="13"/>
  <c r="J1901" i="13"/>
  <c r="F1901" i="13"/>
  <c r="A1901" i="13"/>
  <c r="J1900" i="13"/>
  <c r="F1900" i="13"/>
  <c r="A1900" i="13"/>
  <c r="J1899" i="13"/>
  <c r="F1899" i="13"/>
  <c r="A1899" i="13"/>
  <c r="J1898" i="13"/>
  <c r="F1898" i="13"/>
  <c r="A1898" i="13"/>
  <c r="J1897" i="13"/>
  <c r="F1897" i="13"/>
  <c r="A1897" i="13"/>
  <c r="J1896" i="13"/>
  <c r="F1896" i="13"/>
  <c r="A1896" i="13"/>
  <c r="F1895" i="13"/>
  <c r="A1895" i="13"/>
  <c r="F1894" i="13"/>
  <c r="A1894" i="13"/>
  <c r="F1893" i="13"/>
  <c r="A1893" i="13"/>
  <c r="F1892" i="13"/>
  <c r="A1892" i="13"/>
  <c r="J1891" i="13"/>
  <c r="F1891" i="13"/>
  <c r="A1891" i="13"/>
  <c r="F1890" i="13"/>
  <c r="A1890" i="13"/>
  <c r="F1889" i="13"/>
  <c r="A1889" i="13"/>
  <c r="J1888" i="13"/>
  <c r="F1888" i="13"/>
  <c r="A1888" i="13"/>
  <c r="J1887" i="13"/>
  <c r="F1887" i="13"/>
  <c r="A1887" i="13"/>
  <c r="J1886" i="13"/>
  <c r="F1886" i="13"/>
  <c r="A1886" i="13"/>
  <c r="J1885" i="13"/>
  <c r="F1885" i="13"/>
  <c r="A1885" i="13"/>
  <c r="J1884" i="13"/>
  <c r="F1884" i="13"/>
  <c r="A1884" i="13"/>
  <c r="J1883" i="13"/>
  <c r="F1883" i="13"/>
  <c r="A1883" i="13"/>
  <c r="F1882" i="13"/>
  <c r="A1882" i="13"/>
  <c r="F1881" i="13"/>
  <c r="A1881" i="13"/>
  <c r="F1880" i="13"/>
  <c r="A1880" i="13"/>
  <c r="F1879" i="13"/>
  <c r="A1879" i="13"/>
  <c r="F1878" i="13"/>
  <c r="A1878" i="13"/>
  <c r="F1877" i="13"/>
  <c r="A1877" i="13"/>
  <c r="F1876" i="13"/>
  <c r="A1876" i="13"/>
  <c r="F1875" i="13"/>
  <c r="A1875" i="13"/>
  <c r="J1874" i="13"/>
  <c r="F1874" i="13"/>
  <c r="A1874" i="13"/>
  <c r="J1873" i="13"/>
  <c r="F1873" i="13"/>
  <c r="A1873" i="13"/>
  <c r="F1872" i="13"/>
  <c r="A1872" i="13"/>
  <c r="J1871" i="13"/>
  <c r="F1871" i="13"/>
  <c r="A1871" i="13"/>
  <c r="J1870" i="13"/>
  <c r="F1870" i="13"/>
  <c r="A1870" i="13"/>
  <c r="J1869" i="13"/>
  <c r="F1869" i="13"/>
  <c r="A1869" i="13"/>
  <c r="J1868" i="13"/>
  <c r="F1868" i="13"/>
  <c r="A1868" i="13"/>
  <c r="F1867" i="13"/>
  <c r="A1867" i="13"/>
  <c r="F1866" i="13"/>
  <c r="A1866" i="13"/>
  <c r="F1865" i="13"/>
  <c r="A1865" i="13"/>
  <c r="F1864" i="13"/>
  <c r="A1864" i="13"/>
  <c r="F1863" i="13"/>
  <c r="A1863" i="13"/>
  <c r="F1862" i="13"/>
  <c r="A1862" i="13"/>
  <c r="F1861" i="13"/>
  <c r="A1861" i="13"/>
  <c r="J1860" i="13"/>
  <c r="F1860" i="13"/>
  <c r="A1860" i="13"/>
  <c r="J1859" i="13"/>
  <c r="F1859" i="13"/>
  <c r="A1859" i="13"/>
  <c r="J1858" i="13"/>
  <c r="F1858" i="13"/>
  <c r="A1858" i="13"/>
  <c r="J1857" i="13"/>
  <c r="F1857" i="13"/>
  <c r="A1857" i="13"/>
  <c r="F1856" i="13"/>
  <c r="A1856" i="13"/>
  <c r="J1855" i="13"/>
  <c r="F1855" i="13"/>
  <c r="A1855" i="13"/>
  <c r="J1854" i="13"/>
  <c r="F1854" i="13"/>
  <c r="A1854" i="13"/>
  <c r="J1853" i="13"/>
  <c r="F1853" i="13"/>
  <c r="A1853" i="13"/>
  <c r="J1852" i="13"/>
  <c r="F1852" i="13"/>
  <c r="A1852" i="13"/>
  <c r="J1851" i="13"/>
  <c r="F1851" i="13"/>
  <c r="A1851" i="13"/>
  <c r="F1850" i="13"/>
  <c r="A1850" i="13"/>
  <c r="F1849" i="13"/>
  <c r="A1849" i="13"/>
  <c r="F1848" i="13"/>
  <c r="A1848" i="13"/>
  <c r="F1847" i="13"/>
  <c r="A1847" i="13"/>
  <c r="F1846" i="13"/>
  <c r="A1846" i="13"/>
  <c r="F1845" i="13"/>
  <c r="A1845" i="13"/>
  <c r="J1844" i="13"/>
  <c r="F1844" i="13"/>
  <c r="A1844" i="13"/>
  <c r="J1843" i="13"/>
  <c r="F1843" i="13"/>
  <c r="A1843" i="13"/>
  <c r="J1842" i="13"/>
  <c r="F1842" i="13"/>
  <c r="A1842" i="13"/>
  <c r="F1841" i="13"/>
  <c r="A1841" i="13"/>
  <c r="F1840" i="13"/>
  <c r="A1840" i="13"/>
  <c r="F1839" i="13"/>
  <c r="A1839" i="13"/>
  <c r="F1838" i="13"/>
  <c r="A1838" i="13"/>
  <c r="F1837" i="13"/>
  <c r="A1837" i="13"/>
  <c r="F1836" i="13"/>
  <c r="A1836" i="13"/>
  <c r="F1835" i="13"/>
  <c r="A1835" i="13"/>
  <c r="F1834" i="13"/>
  <c r="A1834" i="13"/>
  <c r="F1833" i="13"/>
  <c r="A1833" i="13"/>
  <c r="F1832" i="13"/>
  <c r="A1832" i="13"/>
  <c r="F1831" i="13"/>
  <c r="A1831" i="13"/>
  <c r="J1830" i="13"/>
  <c r="F1830" i="13"/>
  <c r="A1830" i="13"/>
  <c r="J1829" i="13"/>
  <c r="F1829" i="13"/>
  <c r="A1829" i="13"/>
  <c r="J1828" i="13"/>
  <c r="F1828" i="13"/>
  <c r="A1828" i="13"/>
  <c r="J1827" i="13"/>
  <c r="F1827" i="13"/>
  <c r="A1827" i="13"/>
  <c r="J1826" i="13"/>
  <c r="F1826" i="13"/>
  <c r="A1826" i="13"/>
  <c r="J1825" i="13"/>
  <c r="F1825" i="13"/>
  <c r="A1825" i="13"/>
  <c r="F1824" i="13"/>
  <c r="A1824" i="13"/>
  <c r="F1823" i="13"/>
  <c r="A1823" i="13"/>
  <c r="F1822" i="13"/>
  <c r="A1822" i="13"/>
  <c r="F1821" i="13"/>
  <c r="A1821" i="13"/>
  <c r="F1820" i="13"/>
  <c r="A1820" i="13"/>
  <c r="F1819" i="13"/>
  <c r="A1819" i="13"/>
  <c r="F1818" i="13"/>
  <c r="A1818" i="13"/>
  <c r="F1817" i="13"/>
  <c r="A1817" i="13"/>
  <c r="F1816" i="13"/>
  <c r="A1816" i="13"/>
  <c r="F1815" i="13"/>
  <c r="A1815" i="13"/>
  <c r="F1814" i="13"/>
  <c r="A1814" i="13"/>
  <c r="J1813" i="13"/>
  <c r="F1813" i="13"/>
  <c r="A1813" i="13"/>
  <c r="J1812" i="13"/>
  <c r="F1812" i="13"/>
  <c r="A1812" i="13"/>
  <c r="F1811" i="13"/>
  <c r="A1811" i="13"/>
  <c r="F1810" i="13"/>
  <c r="A1810" i="13"/>
  <c r="F1809" i="13"/>
  <c r="A1809" i="13"/>
  <c r="F1808" i="13"/>
  <c r="A1808" i="13"/>
  <c r="F1807" i="13"/>
  <c r="A1807" i="13"/>
  <c r="J1806" i="13"/>
  <c r="F1806" i="13"/>
  <c r="A1806" i="13"/>
  <c r="J1805" i="13"/>
  <c r="F1805" i="13"/>
  <c r="A1805" i="13"/>
  <c r="J1804" i="13"/>
  <c r="F1804" i="13"/>
  <c r="A1804" i="13"/>
  <c r="F1803" i="13"/>
  <c r="A1803" i="13"/>
  <c r="J1802" i="13"/>
  <c r="F1802" i="13"/>
  <c r="A1802" i="13"/>
  <c r="J1801" i="13"/>
  <c r="F1801" i="13"/>
  <c r="A1801" i="13"/>
  <c r="F1800" i="13"/>
  <c r="A1800" i="13"/>
  <c r="F1799" i="13"/>
  <c r="A1799" i="13"/>
  <c r="J1798" i="13"/>
  <c r="F1798" i="13"/>
  <c r="A1798" i="13"/>
  <c r="J1797" i="13"/>
  <c r="F1797" i="13"/>
  <c r="A1797" i="13"/>
  <c r="J1796" i="13"/>
  <c r="F1796" i="13"/>
  <c r="A1796" i="13"/>
  <c r="J1795" i="13"/>
  <c r="F1795" i="13"/>
  <c r="A1795" i="13"/>
  <c r="J1794" i="13"/>
  <c r="F1794" i="13"/>
  <c r="A1794" i="13"/>
  <c r="J1793" i="13"/>
  <c r="F1793" i="13"/>
  <c r="A1793" i="13"/>
  <c r="F1792" i="13"/>
  <c r="A1792" i="13"/>
  <c r="J1791" i="13"/>
  <c r="F1791" i="13"/>
  <c r="A1791" i="13"/>
  <c r="J1790" i="13"/>
  <c r="F1790" i="13"/>
  <c r="A1790" i="13"/>
  <c r="F1789" i="13"/>
  <c r="A1789" i="13"/>
  <c r="J1788" i="13"/>
  <c r="F1788" i="13"/>
  <c r="A1788" i="13"/>
  <c r="J1787" i="13"/>
  <c r="F1787" i="13"/>
  <c r="A1787" i="13"/>
  <c r="F1786" i="13"/>
  <c r="A1786" i="13"/>
  <c r="F1785" i="13"/>
  <c r="A1785" i="13"/>
  <c r="F1784" i="13"/>
  <c r="A1784" i="13"/>
  <c r="F1783" i="13"/>
  <c r="A1783" i="13"/>
  <c r="F1782" i="13"/>
  <c r="A1782" i="13"/>
  <c r="F1781" i="13"/>
  <c r="A1781" i="13"/>
  <c r="F1780" i="13"/>
  <c r="A1780" i="13"/>
  <c r="F1779" i="13"/>
  <c r="A1779" i="13"/>
  <c r="F1778" i="13"/>
  <c r="A1778" i="13"/>
  <c r="F1777" i="13"/>
  <c r="A1777" i="13"/>
  <c r="J1776" i="13"/>
  <c r="F1776" i="13"/>
  <c r="A1776" i="13"/>
  <c r="J1775" i="13"/>
  <c r="F1775" i="13"/>
  <c r="A1775" i="13"/>
  <c r="J1774" i="13"/>
  <c r="F1774" i="13"/>
  <c r="A1774" i="13"/>
  <c r="F1773" i="13"/>
  <c r="A1773" i="13"/>
  <c r="J1772" i="13"/>
  <c r="F1772" i="13"/>
  <c r="A1772" i="13"/>
  <c r="J1771" i="13"/>
  <c r="F1771" i="13"/>
  <c r="A1771" i="13"/>
  <c r="F1770" i="13"/>
  <c r="A1770" i="13"/>
  <c r="J1769" i="13"/>
  <c r="F1769" i="13"/>
  <c r="A1769" i="13"/>
  <c r="J1768" i="13"/>
  <c r="F1768" i="13"/>
  <c r="A1768" i="13"/>
  <c r="J1767" i="13"/>
  <c r="F1767" i="13"/>
  <c r="A1767" i="13"/>
  <c r="J1766" i="13"/>
  <c r="F1766" i="13"/>
  <c r="A1766" i="13"/>
  <c r="J1765" i="13"/>
  <c r="F1765" i="13"/>
  <c r="A1765" i="13"/>
  <c r="F1764" i="13"/>
  <c r="A1764" i="13"/>
  <c r="J1763" i="13"/>
  <c r="F1763" i="13"/>
  <c r="A1763" i="13"/>
  <c r="F1762" i="13"/>
  <c r="A1762" i="13"/>
  <c r="F1761" i="13"/>
  <c r="A1761" i="13"/>
  <c r="J1760" i="13"/>
  <c r="F1760" i="13"/>
  <c r="A1760" i="13"/>
  <c r="J1759" i="13"/>
  <c r="F1759" i="13"/>
  <c r="A1759" i="13"/>
  <c r="J1758" i="13"/>
  <c r="F1758" i="13"/>
  <c r="A1758" i="13"/>
  <c r="J1757" i="13"/>
  <c r="F1757" i="13"/>
  <c r="A1757" i="13"/>
  <c r="J1756" i="13"/>
  <c r="F1756" i="13"/>
  <c r="A1756" i="13"/>
  <c r="F1755" i="13"/>
  <c r="A1755" i="13"/>
  <c r="J1754" i="13"/>
  <c r="F1754" i="13"/>
  <c r="A1754" i="13"/>
  <c r="J1753" i="13"/>
  <c r="F1753" i="13"/>
  <c r="A1753" i="13"/>
  <c r="J1752" i="13"/>
  <c r="F1752" i="13"/>
  <c r="A1752" i="13"/>
  <c r="F1751" i="13"/>
  <c r="A1751" i="13"/>
  <c r="F1750" i="13"/>
  <c r="A1750" i="13"/>
  <c r="F1749" i="13"/>
  <c r="A1749" i="13"/>
  <c r="F1748" i="13"/>
  <c r="A1748" i="13"/>
  <c r="F1747" i="13"/>
  <c r="A1747" i="13"/>
  <c r="J1746" i="13"/>
  <c r="F1746" i="13"/>
  <c r="A1746" i="13"/>
  <c r="J1745" i="13"/>
  <c r="F1745" i="13"/>
  <c r="A1745" i="13"/>
  <c r="F1744" i="13"/>
  <c r="A1744" i="13"/>
  <c r="J1743" i="13"/>
  <c r="F1743" i="13"/>
  <c r="A1743" i="13"/>
  <c r="J1742" i="13"/>
  <c r="F1742" i="13"/>
  <c r="A1742" i="13"/>
  <c r="J1741" i="13"/>
  <c r="F1741" i="13"/>
  <c r="A1741" i="13"/>
  <c r="F1740" i="13"/>
  <c r="A1740" i="13"/>
  <c r="J1739" i="13"/>
  <c r="F1739" i="13"/>
  <c r="A1739" i="13"/>
  <c r="J1738" i="13"/>
  <c r="F1738" i="13"/>
  <c r="A1738" i="13"/>
  <c r="J1737" i="13"/>
  <c r="F1737" i="13"/>
  <c r="A1737" i="13"/>
  <c r="J1736" i="13"/>
  <c r="F1736" i="13"/>
  <c r="A1736" i="13"/>
  <c r="F1735" i="13"/>
  <c r="A1735" i="13"/>
  <c r="F1734" i="13"/>
  <c r="A1734" i="13"/>
  <c r="J1733" i="13"/>
  <c r="F1733" i="13"/>
  <c r="A1733" i="13"/>
  <c r="J1732" i="13"/>
  <c r="F1732" i="13"/>
  <c r="A1732" i="13"/>
  <c r="F1731" i="13"/>
  <c r="A1731" i="13"/>
  <c r="F1730" i="13"/>
  <c r="A1730" i="13"/>
  <c r="F1729" i="13"/>
  <c r="A1729" i="13"/>
  <c r="F1728" i="13"/>
  <c r="A1728" i="13"/>
  <c r="F1727" i="13"/>
  <c r="A1727" i="13"/>
  <c r="F1726" i="13"/>
  <c r="A1726" i="13"/>
  <c r="F1725" i="13"/>
  <c r="A1725" i="13"/>
  <c r="F1724" i="13"/>
  <c r="A1724" i="13"/>
  <c r="F1723" i="13"/>
  <c r="A1723" i="13"/>
  <c r="F1722" i="13"/>
  <c r="A1722" i="13"/>
  <c r="F1721" i="13"/>
  <c r="A1721" i="13"/>
  <c r="F1720" i="13"/>
  <c r="A1720" i="13"/>
  <c r="J1719" i="13"/>
  <c r="F1719" i="13"/>
  <c r="A1719" i="13"/>
  <c r="J1718" i="13"/>
  <c r="F1718" i="13"/>
  <c r="A1718" i="13"/>
  <c r="F1717" i="13"/>
  <c r="A1717" i="13"/>
  <c r="J1716" i="13"/>
  <c r="F1716" i="13"/>
  <c r="A1716" i="13"/>
  <c r="J1715" i="13"/>
  <c r="F1715" i="13"/>
  <c r="A1715" i="13"/>
  <c r="J1714" i="13"/>
  <c r="F1714" i="13"/>
  <c r="A1714" i="13"/>
  <c r="F1713" i="13"/>
  <c r="A1713" i="13"/>
  <c r="F1712" i="13"/>
  <c r="A1712" i="13"/>
  <c r="J1711" i="13"/>
  <c r="F1711" i="13"/>
  <c r="A1711" i="13"/>
  <c r="J1710" i="13"/>
  <c r="F1710" i="13"/>
  <c r="A1710" i="13"/>
  <c r="J1709" i="13"/>
  <c r="F1709" i="13"/>
  <c r="A1709" i="13"/>
  <c r="J1708" i="13"/>
  <c r="F1708" i="13"/>
  <c r="A1708" i="13"/>
  <c r="F1707" i="13"/>
  <c r="A1707" i="13"/>
  <c r="J1706" i="13"/>
  <c r="F1706" i="13"/>
  <c r="A1706" i="13"/>
  <c r="F1705" i="13"/>
  <c r="A1705" i="13"/>
  <c r="J1704" i="13"/>
  <c r="F1704" i="13"/>
  <c r="A1704" i="13"/>
  <c r="J1703" i="13"/>
  <c r="F1703" i="13"/>
  <c r="A1703" i="13"/>
  <c r="F1702" i="13"/>
  <c r="A1702" i="13"/>
  <c r="F1701" i="13"/>
  <c r="A1701" i="13"/>
  <c r="J1700" i="13"/>
  <c r="F1700" i="13"/>
  <c r="A1700" i="13"/>
  <c r="F1699" i="13"/>
  <c r="A1699" i="13"/>
  <c r="F1698" i="13"/>
  <c r="A1698" i="13"/>
  <c r="F1697" i="13"/>
  <c r="A1697" i="13"/>
  <c r="J1696" i="13"/>
  <c r="F1696" i="13"/>
  <c r="A1696" i="13"/>
  <c r="J1695" i="13"/>
  <c r="F1695" i="13"/>
  <c r="A1695" i="13"/>
  <c r="J1694" i="13"/>
  <c r="F1694" i="13"/>
  <c r="A1694" i="13"/>
  <c r="F1693" i="13"/>
  <c r="A1693" i="13"/>
  <c r="J1692" i="13"/>
  <c r="F1692" i="13"/>
  <c r="A1692" i="13"/>
  <c r="J1691" i="13"/>
  <c r="F1691" i="13"/>
  <c r="A1691" i="13"/>
  <c r="J1690" i="13"/>
  <c r="F1690" i="13"/>
  <c r="A1690" i="13"/>
  <c r="J1689" i="13"/>
  <c r="F1689" i="13"/>
  <c r="A1689" i="13"/>
  <c r="J1688" i="13"/>
  <c r="F1688" i="13"/>
  <c r="A1688" i="13"/>
  <c r="J1687" i="13"/>
  <c r="F1687" i="13"/>
  <c r="A1687" i="13"/>
  <c r="J1686" i="13"/>
  <c r="F1686" i="13"/>
  <c r="A1686" i="13"/>
  <c r="J1685" i="13"/>
  <c r="F1685" i="13"/>
  <c r="A1685" i="13"/>
  <c r="F1684" i="13"/>
  <c r="A1684" i="13"/>
  <c r="F1683" i="13"/>
  <c r="A1683" i="13"/>
  <c r="F1682" i="13"/>
  <c r="A1682" i="13"/>
  <c r="J1681" i="13"/>
  <c r="F1681" i="13"/>
  <c r="A1681" i="13"/>
  <c r="J1680" i="13"/>
  <c r="F1680" i="13"/>
  <c r="A1680" i="13"/>
  <c r="F1679" i="13"/>
  <c r="A1679" i="13"/>
  <c r="F1678" i="13"/>
  <c r="A1678" i="13"/>
  <c r="F1677" i="13"/>
  <c r="A1677" i="13"/>
  <c r="F1676" i="13"/>
  <c r="A1676" i="13"/>
  <c r="F1675" i="13"/>
  <c r="A1675" i="13"/>
  <c r="F1674" i="13"/>
  <c r="A1674" i="13"/>
  <c r="F1673" i="13"/>
  <c r="A1673" i="13"/>
  <c r="F1672" i="13"/>
  <c r="A1672" i="13"/>
  <c r="F1671" i="13"/>
  <c r="A1671" i="13"/>
  <c r="J1670" i="13"/>
  <c r="F1670" i="13"/>
  <c r="A1670" i="13"/>
  <c r="J1669" i="13"/>
  <c r="F1669" i="13"/>
  <c r="A1669" i="13"/>
  <c r="F1668" i="13"/>
  <c r="A1668" i="13"/>
  <c r="J1667" i="13"/>
  <c r="F1667" i="13"/>
  <c r="J1666" i="13"/>
  <c r="F1666" i="13"/>
  <c r="J1665" i="13"/>
  <c r="F1665" i="13"/>
  <c r="F1664" i="13"/>
  <c r="A1664" i="13"/>
  <c r="F1663" i="13"/>
  <c r="A1663" i="13"/>
  <c r="F1662" i="13"/>
  <c r="F1661" i="13"/>
  <c r="A1661" i="13"/>
  <c r="F1660" i="13"/>
  <c r="A1660" i="13"/>
  <c r="F1659" i="13"/>
  <c r="A1659" i="13"/>
  <c r="F1658" i="13"/>
  <c r="A1658" i="13"/>
  <c r="F1657" i="13"/>
  <c r="A1657" i="13"/>
  <c r="F1656" i="13"/>
  <c r="A1656" i="13"/>
  <c r="F1655" i="13"/>
  <c r="A1655" i="13"/>
  <c r="J1654" i="13"/>
  <c r="F1654" i="13"/>
  <c r="A1654" i="13"/>
  <c r="J1653" i="13"/>
  <c r="F1653" i="13"/>
  <c r="A1653" i="13"/>
  <c r="J1652" i="13"/>
  <c r="F1652" i="13"/>
  <c r="A1652" i="13"/>
  <c r="F1651" i="13"/>
  <c r="A1651" i="13"/>
  <c r="F1650" i="13"/>
  <c r="A1650" i="13"/>
  <c r="F1649" i="13"/>
  <c r="A1649" i="13"/>
  <c r="F1648" i="13"/>
  <c r="A1648" i="13"/>
  <c r="J1647" i="13"/>
  <c r="F1647" i="13"/>
  <c r="A1647" i="13"/>
  <c r="J1646" i="13"/>
  <c r="F1646" i="13"/>
  <c r="A1646" i="13"/>
  <c r="J1645" i="13"/>
  <c r="F1645" i="13"/>
  <c r="A1645" i="13"/>
  <c r="F1644" i="13"/>
  <c r="A1644" i="13"/>
  <c r="J1643" i="13"/>
  <c r="F1643" i="13"/>
  <c r="A1643" i="13"/>
  <c r="J1642" i="13"/>
  <c r="F1642" i="13"/>
  <c r="A1642" i="13"/>
  <c r="J1641" i="13"/>
  <c r="F1641" i="13"/>
  <c r="A1641" i="13"/>
  <c r="F1640" i="13"/>
  <c r="A1640" i="13"/>
  <c r="F1639" i="13"/>
  <c r="A1639" i="13"/>
  <c r="J1638" i="13"/>
  <c r="F1638" i="13"/>
  <c r="A1638" i="13"/>
  <c r="F1637" i="13"/>
  <c r="A1637" i="13"/>
  <c r="F1636" i="13"/>
  <c r="A1636" i="13"/>
  <c r="F1635" i="13"/>
  <c r="A1635" i="13"/>
  <c r="F1634" i="13"/>
  <c r="A1634" i="13"/>
  <c r="F1633" i="13"/>
  <c r="A1633" i="13"/>
  <c r="F1632" i="13"/>
  <c r="A1632" i="13"/>
  <c r="F1631" i="13"/>
  <c r="A1631" i="13"/>
  <c r="F1630" i="13"/>
  <c r="A1630" i="13"/>
  <c r="F1629" i="13"/>
  <c r="A1629" i="13"/>
  <c r="J1628" i="13"/>
  <c r="F1628" i="13"/>
  <c r="A1628" i="13"/>
  <c r="J1627" i="13"/>
  <c r="F1627" i="13"/>
  <c r="A1627" i="13"/>
  <c r="F1626" i="13"/>
  <c r="A1626" i="13"/>
  <c r="F1625" i="13"/>
  <c r="A1625" i="13"/>
  <c r="F1624" i="13"/>
  <c r="A1624" i="13"/>
  <c r="F1623" i="13"/>
  <c r="A1623" i="13"/>
  <c r="F1622" i="13"/>
  <c r="A1622" i="13"/>
  <c r="F1621" i="13"/>
  <c r="A1621" i="13"/>
  <c r="F1620" i="13"/>
  <c r="A1620" i="13"/>
  <c r="F1619" i="13"/>
  <c r="A1619" i="13"/>
  <c r="F1618" i="13"/>
  <c r="A1618" i="13"/>
  <c r="J1617" i="13"/>
  <c r="F1617" i="13"/>
  <c r="A1617" i="13"/>
  <c r="F1616" i="13"/>
  <c r="A1616" i="13"/>
  <c r="F1615" i="13"/>
  <c r="A1615" i="13"/>
  <c r="J1614" i="13"/>
  <c r="F1614" i="13"/>
  <c r="A1614" i="13"/>
  <c r="J1613" i="13"/>
  <c r="F1613" i="13"/>
  <c r="A1613" i="13"/>
  <c r="J1612" i="13"/>
  <c r="F1612" i="13"/>
  <c r="A1612" i="13"/>
  <c r="J1611" i="13"/>
  <c r="F1611" i="13"/>
  <c r="A1611" i="13"/>
  <c r="J1610" i="13"/>
  <c r="F1610" i="13"/>
  <c r="A1610" i="13"/>
  <c r="J1609" i="13"/>
  <c r="F1609" i="13"/>
  <c r="A1609" i="13"/>
  <c r="J1608" i="13"/>
  <c r="F1608" i="13"/>
  <c r="A1608" i="13"/>
  <c r="F1607" i="13"/>
  <c r="A1607" i="13"/>
  <c r="J1606" i="13"/>
  <c r="F1606" i="13"/>
  <c r="A1606" i="13"/>
  <c r="F1605" i="13"/>
  <c r="A1605" i="13"/>
  <c r="F1604" i="13"/>
  <c r="A1604" i="13"/>
  <c r="F1603" i="13"/>
  <c r="A1603" i="13"/>
  <c r="J1602" i="13"/>
  <c r="F1602" i="13"/>
  <c r="A1602" i="13"/>
  <c r="J1601" i="13"/>
  <c r="F1601" i="13"/>
  <c r="A1601" i="13"/>
  <c r="F1600" i="13"/>
  <c r="A1600" i="13"/>
  <c r="F1599" i="13"/>
  <c r="A1599" i="13"/>
  <c r="J1598" i="13"/>
  <c r="F1598" i="13"/>
  <c r="A1598" i="13"/>
  <c r="J1597" i="13"/>
  <c r="F1597" i="13"/>
  <c r="A1597" i="13"/>
  <c r="F1596" i="13"/>
  <c r="A1596" i="13"/>
  <c r="F1595" i="13"/>
  <c r="A1595" i="13"/>
  <c r="F1594" i="13"/>
  <c r="A1594" i="13"/>
  <c r="F1593" i="13"/>
  <c r="A1593" i="13"/>
  <c r="F1592" i="13"/>
  <c r="A1592" i="13"/>
  <c r="F1591" i="13"/>
  <c r="A1591" i="13"/>
  <c r="F1590" i="13"/>
  <c r="A1590" i="13"/>
  <c r="J1589" i="13"/>
  <c r="F1589" i="13"/>
  <c r="A1589" i="13"/>
  <c r="J1588" i="13"/>
  <c r="F1588" i="13"/>
  <c r="A1588" i="13"/>
  <c r="F1587" i="13"/>
  <c r="A1587" i="13"/>
  <c r="F1586" i="13"/>
  <c r="A1586" i="13"/>
  <c r="F1585" i="13"/>
  <c r="A1585" i="13"/>
  <c r="J1584" i="13"/>
  <c r="F1584" i="13"/>
  <c r="A1584" i="13"/>
  <c r="J1583" i="13"/>
  <c r="F1583" i="13"/>
  <c r="A1583" i="13"/>
  <c r="J1582" i="13"/>
  <c r="F1582" i="13"/>
  <c r="A1582" i="13"/>
  <c r="F1581" i="13"/>
  <c r="A1581" i="13"/>
  <c r="F1580" i="13"/>
  <c r="A1580" i="13"/>
  <c r="J1579" i="13"/>
  <c r="F1579" i="13"/>
  <c r="A1579" i="13"/>
  <c r="J1578" i="13"/>
  <c r="F1578" i="13"/>
  <c r="A1578" i="13"/>
  <c r="J1577" i="13"/>
  <c r="F1577" i="13"/>
  <c r="A1577" i="13"/>
  <c r="F1576" i="13"/>
  <c r="A1576" i="13"/>
  <c r="F1575" i="13"/>
  <c r="A1575" i="13"/>
  <c r="J1574" i="13"/>
  <c r="F1574" i="13"/>
  <c r="A1574" i="13"/>
  <c r="J1573" i="13"/>
  <c r="F1573" i="13"/>
  <c r="A1573" i="13"/>
  <c r="F1572" i="13"/>
  <c r="A1572" i="13"/>
  <c r="F1571" i="13"/>
  <c r="A1571" i="13"/>
  <c r="F1570" i="13"/>
  <c r="A1570" i="13"/>
  <c r="J1569" i="13"/>
  <c r="F1569" i="13"/>
  <c r="A1569" i="13"/>
  <c r="J1568" i="13"/>
  <c r="F1568" i="13"/>
  <c r="A1568" i="13"/>
  <c r="F1567" i="13"/>
  <c r="A1567" i="13"/>
  <c r="F1566" i="13"/>
  <c r="A1566" i="13"/>
  <c r="J1565" i="13"/>
  <c r="F1565" i="13"/>
  <c r="A1565" i="13"/>
  <c r="J1564" i="13"/>
  <c r="F1564" i="13"/>
  <c r="A1564" i="13"/>
  <c r="F1563" i="13"/>
  <c r="A1563" i="13"/>
  <c r="F1562" i="13"/>
  <c r="A1562" i="13"/>
  <c r="J1561" i="13"/>
  <c r="F1561" i="13"/>
  <c r="A1561" i="13"/>
  <c r="F1560" i="13"/>
  <c r="A1560" i="13"/>
  <c r="J1559" i="13"/>
  <c r="F1559" i="13"/>
  <c r="A1559" i="13"/>
  <c r="F1558" i="13"/>
  <c r="A1558" i="13"/>
  <c r="J1557" i="13"/>
  <c r="F1557" i="13"/>
  <c r="A1557" i="13"/>
  <c r="J1556" i="13"/>
  <c r="F1556" i="13"/>
  <c r="A1556" i="13"/>
  <c r="F1555" i="13"/>
  <c r="A1555" i="13"/>
  <c r="F1554" i="13"/>
  <c r="A1554" i="13"/>
  <c r="J1553" i="13"/>
  <c r="F1553" i="13"/>
  <c r="A1553" i="13"/>
  <c r="J1552" i="13"/>
  <c r="F1552" i="13"/>
  <c r="A1552" i="13"/>
  <c r="J1551" i="13"/>
  <c r="F1551" i="13"/>
  <c r="A1551" i="13"/>
  <c r="F1550" i="13"/>
  <c r="A1550" i="13"/>
  <c r="J1549" i="13"/>
  <c r="F1549" i="13"/>
  <c r="A1549" i="13"/>
  <c r="J1548" i="13"/>
  <c r="F1548" i="13"/>
  <c r="A1548" i="13"/>
  <c r="J1547" i="13"/>
  <c r="F1547" i="13"/>
  <c r="A1547" i="13"/>
  <c r="J1546" i="13"/>
  <c r="F1546" i="13"/>
  <c r="A1546" i="13"/>
  <c r="J1545" i="13"/>
  <c r="F1545" i="13"/>
  <c r="A1545" i="13"/>
  <c r="J1544" i="13"/>
  <c r="F1544" i="13"/>
  <c r="A1544" i="13"/>
  <c r="J1543" i="13"/>
  <c r="F1543" i="13"/>
  <c r="A1543" i="13"/>
  <c r="J1542" i="13"/>
  <c r="F1542" i="13"/>
  <c r="A1542" i="13"/>
  <c r="F1541" i="13"/>
  <c r="A1541" i="13"/>
  <c r="F1540" i="13"/>
  <c r="A1540" i="13"/>
  <c r="J1539" i="13"/>
  <c r="F1539" i="13"/>
  <c r="A1539" i="13"/>
  <c r="J1538" i="13"/>
  <c r="F1538" i="13"/>
  <c r="A1538" i="13"/>
  <c r="J1537" i="13"/>
  <c r="F1537" i="13"/>
  <c r="A1537" i="13"/>
  <c r="J1536" i="13"/>
  <c r="F1536" i="13"/>
  <c r="A1536" i="13"/>
  <c r="J1535" i="13"/>
  <c r="F1535" i="13"/>
  <c r="A1535" i="13"/>
  <c r="J1534" i="13"/>
  <c r="F1534" i="13"/>
  <c r="A1534" i="13"/>
  <c r="J1533" i="13"/>
  <c r="F1533" i="13"/>
  <c r="A1533" i="13"/>
  <c r="J1532" i="13"/>
  <c r="F1532" i="13"/>
  <c r="A1532" i="13"/>
  <c r="J1531" i="13"/>
  <c r="F1531" i="13"/>
  <c r="A1531" i="13"/>
  <c r="F1530" i="13"/>
  <c r="A1530" i="13"/>
  <c r="F1529" i="13"/>
  <c r="A1529" i="13"/>
  <c r="F1528" i="13"/>
  <c r="A1528" i="13"/>
  <c r="F1527" i="13"/>
  <c r="A1527" i="13"/>
  <c r="F1526" i="13"/>
  <c r="A1526" i="13"/>
  <c r="F1525" i="13"/>
  <c r="A1525" i="13"/>
  <c r="F1524" i="13"/>
  <c r="A1524" i="13"/>
  <c r="F1523" i="13"/>
  <c r="A1523" i="13"/>
  <c r="F1522" i="13"/>
  <c r="A1522" i="13"/>
  <c r="F1521" i="13"/>
  <c r="A1521" i="13"/>
  <c r="F1520" i="13"/>
  <c r="A1520" i="13"/>
  <c r="F1519" i="13"/>
  <c r="A1519" i="13"/>
  <c r="F1518" i="13"/>
  <c r="A1518" i="13"/>
  <c r="F1517" i="13"/>
  <c r="A1517" i="13"/>
  <c r="F1516" i="13"/>
  <c r="A1516" i="13"/>
  <c r="J1515" i="13"/>
  <c r="F1515" i="13"/>
  <c r="A1515" i="13"/>
  <c r="J1514" i="13"/>
  <c r="F1514" i="13"/>
  <c r="A1514" i="13"/>
  <c r="F1513" i="13"/>
  <c r="A1513" i="13"/>
  <c r="F1512" i="13"/>
  <c r="A1512" i="13"/>
  <c r="J1511" i="13"/>
  <c r="F1511" i="13"/>
  <c r="A1511" i="13"/>
  <c r="J1510" i="13"/>
  <c r="F1510" i="13"/>
  <c r="A1510" i="13"/>
  <c r="J1509" i="13"/>
  <c r="F1509" i="13"/>
  <c r="A1509" i="13"/>
  <c r="J1508" i="13"/>
  <c r="F1508" i="13"/>
  <c r="A1508" i="13"/>
  <c r="F1507" i="13"/>
  <c r="A1507" i="13"/>
  <c r="F1506" i="13"/>
  <c r="A1506" i="13"/>
  <c r="J1505" i="13"/>
  <c r="F1505" i="13"/>
  <c r="A1505" i="13"/>
  <c r="J1504" i="13"/>
  <c r="F1504" i="13"/>
  <c r="A1504" i="13"/>
  <c r="J1503" i="13"/>
  <c r="F1503" i="13"/>
  <c r="A1503" i="13"/>
  <c r="F1502" i="13"/>
  <c r="A1502" i="13"/>
  <c r="J1501" i="13"/>
  <c r="F1501" i="13"/>
  <c r="A1501" i="13"/>
  <c r="J1500" i="13"/>
  <c r="F1500" i="13"/>
  <c r="A1500" i="13"/>
  <c r="J1499" i="13"/>
  <c r="F1499" i="13"/>
  <c r="A1499" i="13"/>
  <c r="F1498" i="13"/>
  <c r="A1498" i="13"/>
  <c r="J1497" i="13"/>
  <c r="F1497" i="13"/>
  <c r="A1497" i="13"/>
  <c r="J1496" i="13"/>
  <c r="F1496" i="13"/>
  <c r="A1496" i="13"/>
  <c r="F1495" i="13"/>
  <c r="A1495" i="13"/>
  <c r="F1494" i="13"/>
  <c r="A1494" i="13"/>
  <c r="F1493" i="13"/>
  <c r="A1493" i="13"/>
  <c r="F1492" i="13"/>
  <c r="A1492" i="13"/>
  <c r="F1491" i="13"/>
  <c r="A1491" i="13"/>
  <c r="F1490" i="13"/>
  <c r="A1490" i="13"/>
  <c r="F1489" i="13"/>
  <c r="A1489" i="13"/>
  <c r="F1488" i="13"/>
  <c r="A1488" i="13"/>
  <c r="F1487" i="13"/>
  <c r="A1487" i="13"/>
  <c r="F1486" i="13"/>
  <c r="A1486" i="13"/>
  <c r="F1485" i="13"/>
  <c r="A1485" i="13"/>
  <c r="F1484" i="13"/>
  <c r="A1484" i="13"/>
  <c r="F1483" i="13"/>
  <c r="A1483" i="13"/>
  <c r="F1482" i="13"/>
  <c r="A1482" i="13"/>
  <c r="F1481" i="13"/>
  <c r="A1481" i="13"/>
  <c r="F1480" i="13"/>
  <c r="A1480" i="13"/>
  <c r="F1479" i="13"/>
  <c r="A1479" i="13"/>
  <c r="F1478" i="13"/>
  <c r="A1478" i="13"/>
  <c r="F1477" i="13"/>
  <c r="A1477" i="13"/>
  <c r="F1476" i="13"/>
  <c r="A1476" i="13"/>
  <c r="F1475" i="13"/>
  <c r="A1475" i="13"/>
  <c r="F1474" i="13"/>
  <c r="A1474" i="13"/>
  <c r="F1473" i="13"/>
  <c r="A1473" i="13"/>
  <c r="F1472" i="13"/>
  <c r="A1472" i="13"/>
  <c r="F1471" i="13"/>
  <c r="A1471" i="13"/>
  <c r="F1470" i="13"/>
  <c r="A1470" i="13"/>
  <c r="F1469" i="13"/>
  <c r="A1469" i="13"/>
  <c r="F1468" i="13"/>
  <c r="A1468" i="13"/>
  <c r="F1467" i="13"/>
  <c r="A1467" i="13"/>
  <c r="F1466" i="13"/>
  <c r="A1466" i="13"/>
  <c r="F1465" i="13"/>
  <c r="A1465" i="13"/>
  <c r="F1464" i="13"/>
  <c r="A1464" i="13"/>
  <c r="F1463" i="13"/>
  <c r="A1463" i="13"/>
  <c r="F1462" i="13"/>
  <c r="A1462" i="13"/>
  <c r="F1461" i="13"/>
  <c r="A1461" i="13"/>
  <c r="F1460" i="13"/>
  <c r="A1460" i="13"/>
  <c r="F1459" i="13"/>
  <c r="A1459" i="13"/>
  <c r="F1458" i="13"/>
  <c r="A1458" i="13"/>
  <c r="F1457" i="13"/>
  <c r="A1457" i="13"/>
  <c r="F1456" i="13"/>
  <c r="A1456" i="13"/>
  <c r="F1455" i="13"/>
  <c r="A1455" i="13"/>
  <c r="F1454" i="13"/>
  <c r="A1454" i="13"/>
  <c r="F1453" i="13"/>
  <c r="A1453" i="13"/>
  <c r="F1452" i="13"/>
  <c r="A1452" i="13"/>
  <c r="F1451" i="13"/>
  <c r="A1451" i="13"/>
  <c r="F1450" i="13"/>
  <c r="A1450" i="13"/>
  <c r="F1449" i="13"/>
  <c r="A1449" i="13"/>
  <c r="F1448" i="13"/>
  <c r="A1448" i="13"/>
  <c r="F1447" i="13"/>
  <c r="A1447" i="13"/>
  <c r="F1446" i="13"/>
  <c r="A1446" i="13"/>
  <c r="J1445" i="13"/>
  <c r="F1445" i="13"/>
  <c r="A1445" i="13"/>
  <c r="J1444" i="13"/>
  <c r="F1444" i="13"/>
  <c r="A1444" i="13"/>
  <c r="J1443" i="13"/>
  <c r="F1443" i="13"/>
  <c r="A1443" i="13"/>
  <c r="F1442" i="13"/>
  <c r="A1442" i="13"/>
  <c r="F1441" i="13"/>
  <c r="A1441" i="13"/>
  <c r="J1440" i="13"/>
  <c r="F1440" i="13"/>
  <c r="A1440" i="13"/>
  <c r="F1439" i="13"/>
  <c r="A1439" i="13"/>
  <c r="F1438" i="13"/>
  <c r="A1438" i="13"/>
  <c r="J1437" i="13"/>
  <c r="F1437" i="13"/>
  <c r="A1437" i="13"/>
  <c r="F1436" i="13"/>
  <c r="A1436" i="13"/>
  <c r="F1435" i="13"/>
  <c r="A1435" i="13"/>
  <c r="J1434" i="13"/>
  <c r="F1434" i="13"/>
  <c r="A1434" i="13"/>
  <c r="F1433" i="13"/>
  <c r="A1433" i="13"/>
  <c r="F1432" i="13"/>
  <c r="A1432" i="13"/>
  <c r="J1431" i="13"/>
  <c r="F1431" i="13"/>
  <c r="A1431" i="13"/>
  <c r="J1430" i="13"/>
  <c r="F1430" i="13"/>
  <c r="A1430" i="13"/>
  <c r="F1429" i="13"/>
  <c r="A1429" i="13"/>
  <c r="F1428" i="13"/>
  <c r="A1428" i="13"/>
  <c r="J1427" i="13"/>
  <c r="F1427" i="13"/>
  <c r="A1427" i="13"/>
  <c r="J1426" i="13"/>
  <c r="F1426" i="13"/>
  <c r="A1426" i="13"/>
  <c r="F1425" i="13"/>
  <c r="A1425" i="13"/>
  <c r="J1424" i="13"/>
  <c r="F1424" i="13"/>
  <c r="A1424" i="13"/>
  <c r="J1423" i="13"/>
  <c r="F1423" i="13"/>
  <c r="A1423" i="13"/>
  <c r="J1422" i="13"/>
  <c r="F1422" i="13"/>
  <c r="A1422" i="13"/>
  <c r="F1421" i="13"/>
  <c r="A1421" i="13"/>
  <c r="J1420" i="13"/>
  <c r="F1420" i="13"/>
  <c r="A1420" i="13"/>
  <c r="J1419" i="13"/>
  <c r="F1419" i="13"/>
  <c r="A1419" i="13"/>
  <c r="F1418" i="13"/>
  <c r="A1418" i="13"/>
  <c r="F1417" i="13"/>
  <c r="A1417" i="13"/>
  <c r="F1416" i="13"/>
  <c r="A1416" i="13"/>
  <c r="F1415" i="13"/>
  <c r="A1415" i="13"/>
  <c r="F1414" i="13"/>
  <c r="A1414" i="13"/>
  <c r="J1413" i="13"/>
  <c r="F1413" i="13"/>
  <c r="A1413" i="13"/>
  <c r="J1412" i="13"/>
  <c r="F1412" i="13"/>
  <c r="A1412" i="13"/>
  <c r="J1411" i="13"/>
  <c r="F1411" i="13"/>
  <c r="A1411" i="13"/>
  <c r="J1410" i="13"/>
  <c r="F1410" i="13"/>
  <c r="A1410" i="13"/>
  <c r="J1409" i="13"/>
  <c r="F1409" i="13"/>
  <c r="A1409" i="13"/>
  <c r="J1408" i="13"/>
  <c r="F1408" i="13"/>
  <c r="A1408" i="13"/>
  <c r="F1407" i="13"/>
  <c r="A1407" i="13"/>
  <c r="J1406" i="13"/>
  <c r="F1406" i="13"/>
  <c r="A1406" i="13"/>
  <c r="J1405" i="13"/>
  <c r="F1405" i="13"/>
  <c r="A1405" i="13"/>
  <c r="J1404" i="13"/>
  <c r="F1404" i="13"/>
  <c r="A1404" i="13"/>
  <c r="J1403" i="13"/>
  <c r="F1403" i="13"/>
  <c r="A1403" i="13"/>
  <c r="J1402" i="13"/>
  <c r="F1402" i="13"/>
  <c r="A1402" i="13"/>
  <c r="J1401" i="13"/>
  <c r="F1401" i="13"/>
  <c r="A1401" i="13"/>
  <c r="J1400" i="13"/>
  <c r="F1400" i="13"/>
  <c r="A1400" i="13"/>
  <c r="J1399" i="13"/>
  <c r="F1399" i="13"/>
  <c r="A1399" i="13"/>
  <c r="J1398" i="13"/>
  <c r="F1398" i="13"/>
  <c r="A1398" i="13"/>
  <c r="J1397" i="13"/>
  <c r="F1397" i="13"/>
  <c r="A1397" i="13"/>
  <c r="F1396" i="13"/>
  <c r="A1396" i="13"/>
  <c r="J1395" i="13"/>
  <c r="F1395" i="13"/>
  <c r="A1395" i="13"/>
  <c r="J1394" i="13"/>
  <c r="F1394" i="13"/>
  <c r="A1394" i="13"/>
  <c r="J1393" i="13"/>
  <c r="F1393" i="13"/>
  <c r="A1393" i="13"/>
  <c r="J1392" i="13"/>
  <c r="F1392" i="13"/>
  <c r="A1392" i="13"/>
  <c r="J1391" i="13"/>
  <c r="F1391" i="13"/>
  <c r="A1391" i="13"/>
  <c r="J1390" i="13"/>
  <c r="F1390" i="13"/>
  <c r="A1390" i="13"/>
  <c r="F1389" i="13"/>
  <c r="A1389" i="13"/>
  <c r="J1388" i="13"/>
  <c r="F1388" i="13"/>
  <c r="A1388" i="13"/>
  <c r="F1387" i="13"/>
  <c r="A1387" i="13"/>
  <c r="F1386" i="13"/>
  <c r="A1386" i="13"/>
  <c r="F1385" i="13"/>
  <c r="A1385" i="13"/>
  <c r="F1384" i="13"/>
  <c r="A1384" i="13"/>
  <c r="F1383" i="13"/>
  <c r="A1383" i="13"/>
  <c r="F1382" i="13"/>
  <c r="A1382" i="13"/>
  <c r="F1381" i="13"/>
  <c r="A1381" i="13"/>
  <c r="F1380" i="13"/>
  <c r="A1380" i="13"/>
  <c r="F1379" i="13"/>
  <c r="A1379" i="13"/>
  <c r="F1378" i="13"/>
  <c r="A1378" i="13"/>
  <c r="F1377" i="13"/>
  <c r="A1377" i="13"/>
  <c r="F1376" i="13"/>
  <c r="A1376" i="13"/>
  <c r="F1375" i="13"/>
  <c r="A1375" i="13"/>
  <c r="J1374" i="13"/>
  <c r="F1374" i="13"/>
  <c r="A1374" i="13"/>
  <c r="F1373" i="13"/>
  <c r="A1373" i="13"/>
  <c r="F1372" i="13"/>
  <c r="A1372" i="13"/>
  <c r="J1371" i="13"/>
  <c r="F1371" i="13"/>
  <c r="A1371" i="13"/>
  <c r="J1370" i="13"/>
  <c r="F1370" i="13"/>
  <c r="A1370" i="13"/>
  <c r="F1369" i="13"/>
  <c r="A1369" i="13"/>
  <c r="F1368" i="13"/>
  <c r="A1368" i="13"/>
  <c r="F1367" i="13"/>
  <c r="A1367" i="13"/>
  <c r="F1366" i="13"/>
  <c r="A1366" i="13"/>
  <c r="F1365" i="13"/>
  <c r="A1365" i="13"/>
  <c r="F1364" i="13"/>
  <c r="A1364" i="13"/>
  <c r="F1363" i="13"/>
  <c r="A1363" i="13"/>
  <c r="F1362" i="13"/>
  <c r="A1362" i="13"/>
  <c r="F1361" i="13"/>
  <c r="A1361" i="13"/>
  <c r="F1360" i="13"/>
  <c r="A1360" i="13"/>
  <c r="F1359" i="13"/>
  <c r="A1359" i="13"/>
  <c r="F1358" i="13"/>
  <c r="A1358" i="13"/>
  <c r="F1357" i="13"/>
  <c r="A1357" i="13"/>
  <c r="F1356" i="13"/>
  <c r="A1356" i="13"/>
  <c r="F1355" i="13"/>
  <c r="A1355" i="13"/>
  <c r="F1354" i="13"/>
  <c r="A1354" i="13"/>
  <c r="F1353" i="13"/>
  <c r="A1353" i="13"/>
  <c r="F1352" i="13"/>
  <c r="A1352" i="13"/>
  <c r="F1351" i="13"/>
  <c r="A1351" i="13"/>
  <c r="F1350" i="13"/>
  <c r="A1350" i="13"/>
  <c r="F1349" i="13"/>
  <c r="A1349" i="13"/>
  <c r="F1348" i="13"/>
  <c r="A1348" i="13"/>
  <c r="F1347" i="13"/>
  <c r="A1347" i="13"/>
  <c r="F1346" i="13"/>
  <c r="A1346" i="13"/>
  <c r="F1345" i="13"/>
  <c r="A1345" i="13"/>
  <c r="J1344" i="13"/>
  <c r="F1344" i="13"/>
  <c r="A1344" i="13"/>
  <c r="J1343" i="13"/>
  <c r="F1343" i="13"/>
  <c r="A1343" i="13"/>
  <c r="F1342" i="13"/>
  <c r="A1342" i="13"/>
  <c r="J1341" i="13"/>
  <c r="F1341" i="13"/>
  <c r="A1341" i="13"/>
  <c r="J1340" i="13"/>
  <c r="F1340" i="13"/>
  <c r="A1340" i="13"/>
  <c r="J1339" i="13"/>
  <c r="F1339" i="13"/>
  <c r="A1339" i="13"/>
  <c r="F1338" i="13"/>
  <c r="A1338" i="13"/>
  <c r="F1337" i="13"/>
  <c r="A1337" i="13"/>
  <c r="F1336" i="13"/>
  <c r="A1336" i="13"/>
  <c r="J1335" i="13"/>
  <c r="F1335" i="13"/>
  <c r="A1335" i="13"/>
  <c r="J1334" i="13"/>
  <c r="F1334" i="13"/>
  <c r="A1334" i="13"/>
  <c r="F1333" i="13"/>
  <c r="A1333" i="13"/>
  <c r="J1332" i="13"/>
  <c r="F1332" i="13"/>
  <c r="A1332" i="13"/>
  <c r="J1331" i="13"/>
  <c r="F1331" i="13"/>
  <c r="A1331" i="13"/>
  <c r="J1330" i="13"/>
  <c r="F1330" i="13"/>
  <c r="A1330" i="13"/>
  <c r="F1329" i="13"/>
  <c r="A1329" i="13"/>
  <c r="F1328" i="13"/>
  <c r="A1328" i="13"/>
  <c r="F1327" i="13"/>
  <c r="A1327" i="13"/>
  <c r="F1326" i="13"/>
  <c r="A1326" i="13"/>
  <c r="F1325" i="13"/>
  <c r="A1325" i="13"/>
  <c r="F1324" i="13"/>
  <c r="A1324" i="13"/>
  <c r="J1323" i="13"/>
  <c r="F1323" i="13"/>
  <c r="A1323" i="13"/>
  <c r="J1322" i="13"/>
  <c r="F1322" i="13"/>
  <c r="A1322" i="13"/>
  <c r="J1321" i="13"/>
  <c r="F1321" i="13"/>
  <c r="A1321" i="13"/>
  <c r="F1320" i="13"/>
  <c r="A1320" i="13"/>
  <c r="J1319" i="13"/>
  <c r="F1319" i="13"/>
  <c r="A1319" i="13"/>
  <c r="J1318" i="13"/>
  <c r="F1318" i="13"/>
  <c r="A1318" i="13"/>
  <c r="J1317" i="13"/>
  <c r="F1317" i="13"/>
  <c r="A1317" i="13"/>
  <c r="J1316" i="13"/>
  <c r="F1316" i="13"/>
  <c r="A1316" i="13"/>
  <c r="J1315" i="13"/>
  <c r="F1315" i="13"/>
  <c r="A1315" i="13"/>
  <c r="J1314" i="13"/>
  <c r="F1314" i="13"/>
  <c r="A1314" i="13"/>
  <c r="F1313" i="13"/>
  <c r="A1313" i="13"/>
  <c r="F1312" i="13"/>
  <c r="A1312" i="13"/>
  <c r="J1311" i="13"/>
  <c r="F1311" i="13"/>
  <c r="A1311" i="13"/>
  <c r="J1310" i="13"/>
  <c r="F1310" i="13"/>
  <c r="A1310" i="13"/>
  <c r="J1309" i="13"/>
  <c r="F1309" i="13"/>
  <c r="A1309" i="13"/>
  <c r="F1308" i="13"/>
  <c r="A1308" i="13"/>
  <c r="J1307" i="13"/>
  <c r="F1307" i="13"/>
  <c r="A1307" i="13"/>
  <c r="J1306" i="13"/>
  <c r="F1306" i="13"/>
  <c r="A1306" i="13"/>
  <c r="J1305" i="13"/>
  <c r="F1305" i="13"/>
  <c r="A1305" i="13"/>
  <c r="J1304" i="13"/>
  <c r="F1304" i="13"/>
  <c r="A1304" i="13"/>
  <c r="F1303" i="13"/>
  <c r="A1303" i="13"/>
  <c r="J1302" i="13"/>
  <c r="F1302" i="13"/>
  <c r="A1302" i="13"/>
  <c r="J1301" i="13"/>
  <c r="F1301" i="13"/>
  <c r="A1301" i="13"/>
  <c r="F1300" i="13"/>
  <c r="A1300" i="13"/>
  <c r="J1299" i="13"/>
  <c r="F1299" i="13"/>
  <c r="A1299" i="13"/>
  <c r="J1298" i="13"/>
  <c r="F1298" i="13"/>
  <c r="A1298" i="13"/>
  <c r="F1297" i="13"/>
  <c r="A1297" i="13"/>
  <c r="J1296" i="13"/>
  <c r="F1296" i="13"/>
  <c r="A1296" i="13"/>
  <c r="J1295" i="13"/>
  <c r="F1295" i="13"/>
  <c r="A1295" i="13"/>
  <c r="F1294" i="13"/>
  <c r="A1294" i="13"/>
  <c r="F1293" i="13"/>
  <c r="A1293" i="13"/>
  <c r="F1292" i="13"/>
  <c r="A1292" i="13"/>
  <c r="F1291" i="13"/>
  <c r="A1291" i="13"/>
  <c r="F1290" i="13"/>
  <c r="A1290" i="13"/>
  <c r="F1289" i="13"/>
  <c r="A1289" i="13"/>
  <c r="F1288" i="13"/>
  <c r="A1288" i="13"/>
  <c r="F1287" i="13"/>
  <c r="A1287" i="13"/>
  <c r="F1286" i="13"/>
  <c r="A1286" i="13"/>
  <c r="F1285" i="13"/>
  <c r="A1285" i="13"/>
  <c r="F1284" i="13"/>
  <c r="A1284" i="13"/>
  <c r="J1283" i="13"/>
  <c r="F1283" i="13"/>
  <c r="A1283" i="13"/>
  <c r="J1282" i="13"/>
  <c r="F1282" i="13"/>
  <c r="A1282" i="13"/>
  <c r="J1281" i="13"/>
  <c r="F1281" i="13"/>
  <c r="A1281" i="13"/>
  <c r="J1280" i="13"/>
  <c r="F1280" i="13"/>
  <c r="A1280" i="13"/>
  <c r="F1279" i="13"/>
  <c r="A1279" i="13"/>
  <c r="F1278" i="13"/>
  <c r="A1278" i="13"/>
  <c r="J1277" i="13"/>
  <c r="F1277" i="13"/>
  <c r="A1277" i="13"/>
  <c r="J1276" i="13"/>
  <c r="F1276" i="13"/>
  <c r="A1276" i="13"/>
  <c r="J1275" i="13"/>
  <c r="F1275" i="13"/>
  <c r="A1275" i="13"/>
  <c r="J1274" i="13"/>
  <c r="F1274" i="13"/>
  <c r="A1274" i="13"/>
  <c r="J1273" i="13"/>
  <c r="F1273" i="13"/>
  <c r="A1273" i="13"/>
  <c r="J1272" i="13"/>
  <c r="F1272" i="13"/>
  <c r="A1272" i="13"/>
  <c r="F1271" i="13"/>
  <c r="A1271" i="13"/>
  <c r="J1270" i="13"/>
  <c r="F1270" i="13"/>
  <c r="A1270" i="13"/>
  <c r="J1269" i="13"/>
  <c r="F1269" i="13"/>
  <c r="A1269" i="13"/>
  <c r="J1268" i="13"/>
  <c r="F1268" i="13"/>
  <c r="A1268" i="13"/>
  <c r="J1267" i="13"/>
  <c r="F1267" i="13"/>
  <c r="A1267" i="13"/>
  <c r="J1266" i="13"/>
  <c r="F1266" i="13"/>
  <c r="A1266" i="13"/>
  <c r="J1265" i="13"/>
  <c r="F1265" i="13"/>
  <c r="A1265" i="13"/>
  <c r="F1264" i="13"/>
  <c r="A1264" i="13"/>
  <c r="F1263" i="13"/>
  <c r="A1263" i="13"/>
  <c r="F1262" i="13"/>
  <c r="A1262" i="13"/>
  <c r="F1261" i="13"/>
  <c r="A1261" i="13"/>
  <c r="F1260" i="13"/>
  <c r="A1260" i="13"/>
  <c r="F1259" i="13"/>
  <c r="A1259" i="13"/>
  <c r="F1258" i="13"/>
  <c r="A1258" i="13"/>
  <c r="J1257" i="13"/>
  <c r="F1257" i="13"/>
  <c r="A1257" i="13"/>
  <c r="F1256" i="13"/>
  <c r="A1256" i="13"/>
  <c r="F1255" i="13"/>
  <c r="A1255" i="13"/>
  <c r="F1254" i="13"/>
  <c r="A1254" i="13"/>
  <c r="F1253" i="13"/>
  <c r="A1253" i="13"/>
  <c r="F1252" i="13"/>
  <c r="A1252" i="13"/>
  <c r="F1251" i="13"/>
  <c r="A1251" i="13"/>
  <c r="F1250" i="13"/>
  <c r="A1250" i="13"/>
  <c r="F1249" i="13"/>
  <c r="A1249" i="13"/>
  <c r="F1248" i="13"/>
  <c r="A1248" i="13"/>
  <c r="F1247" i="13"/>
  <c r="A1247" i="13"/>
  <c r="F1246" i="13"/>
  <c r="A1246" i="13"/>
  <c r="F1245" i="13"/>
  <c r="A1245" i="13"/>
  <c r="F1244" i="13"/>
  <c r="A1244" i="13"/>
  <c r="F1243" i="13"/>
  <c r="A1243" i="13"/>
  <c r="F1242" i="13"/>
  <c r="A1242" i="13"/>
  <c r="F1241" i="13"/>
  <c r="A1241" i="13"/>
  <c r="F1240" i="13"/>
  <c r="A1240" i="13"/>
  <c r="J1239" i="13"/>
  <c r="F1239" i="13"/>
  <c r="A1239" i="13"/>
  <c r="J1238" i="13"/>
  <c r="F1238" i="13"/>
  <c r="A1238" i="13"/>
  <c r="J1237" i="13"/>
  <c r="F1237" i="13"/>
  <c r="A1237" i="13"/>
  <c r="J1236" i="13"/>
  <c r="F1236" i="13"/>
  <c r="A1236" i="13"/>
  <c r="F1235" i="13"/>
  <c r="A1235" i="13"/>
  <c r="J1234" i="13"/>
  <c r="F1234" i="13"/>
  <c r="A1234" i="13"/>
  <c r="J1233" i="13"/>
  <c r="F1233" i="13"/>
  <c r="A1233" i="13"/>
  <c r="J1232" i="13"/>
  <c r="F1232" i="13"/>
  <c r="A1232" i="13"/>
  <c r="J1231" i="13"/>
  <c r="F1231" i="13"/>
  <c r="A1231" i="13"/>
  <c r="F1230" i="13"/>
  <c r="A1230" i="13"/>
  <c r="F1229" i="13"/>
  <c r="A1229" i="13"/>
  <c r="F1228" i="13"/>
  <c r="A1228" i="13"/>
  <c r="J1227" i="13"/>
  <c r="F1227" i="13"/>
  <c r="A1227" i="13"/>
  <c r="J1226" i="13"/>
  <c r="F1226" i="13"/>
  <c r="A1226" i="13"/>
  <c r="J1225" i="13"/>
  <c r="F1225" i="13"/>
  <c r="A1225" i="13"/>
  <c r="J1224" i="13"/>
  <c r="F1224" i="13"/>
  <c r="A1224" i="13"/>
  <c r="J1223" i="13"/>
  <c r="F1223" i="13"/>
  <c r="A1223" i="13"/>
  <c r="F1222" i="13"/>
  <c r="A1222" i="13"/>
  <c r="F1221" i="13"/>
  <c r="A1221" i="13"/>
  <c r="F1220" i="13"/>
  <c r="A1220" i="13"/>
  <c r="J1219" i="13"/>
  <c r="F1219" i="13"/>
  <c r="A1219" i="13"/>
  <c r="J1218" i="13"/>
  <c r="F1218" i="13"/>
  <c r="A1218" i="13"/>
  <c r="F1217" i="13"/>
  <c r="A1217" i="13"/>
  <c r="F1216" i="13"/>
  <c r="A1216" i="13"/>
  <c r="F1215" i="13"/>
  <c r="A1215" i="13"/>
  <c r="F1214" i="13"/>
  <c r="A1214" i="13"/>
  <c r="F1213" i="13"/>
  <c r="A1213" i="13"/>
  <c r="F1212" i="13"/>
  <c r="A1212" i="13"/>
  <c r="F1211" i="13"/>
  <c r="A1211" i="13"/>
  <c r="J1210" i="13"/>
  <c r="F1210" i="13"/>
  <c r="A1210" i="13"/>
  <c r="F1209" i="13"/>
  <c r="A1209" i="13"/>
  <c r="F1208" i="13"/>
  <c r="A1208" i="13"/>
  <c r="F1207" i="13"/>
  <c r="A1207" i="13"/>
  <c r="F1206" i="13"/>
  <c r="A1206" i="13"/>
  <c r="F1205" i="13"/>
  <c r="A1205" i="13"/>
  <c r="F1204" i="13"/>
  <c r="A1204" i="13"/>
  <c r="F1203" i="13"/>
  <c r="A1203" i="13"/>
  <c r="F1202" i="13"/>
  <c r="A1202" i="13"/>
  <c r="J1201" i="13"/>
  <c r="F1201" i="13"/>
  <c r="A1201" i="13"/>
  <c r="J1200" i="13"/>
  <c r="F1200" i="13"/>
  <c r="A1200" i="13"/>
  <c r="J1199" i="13"/>
  <c r="F1199" i="13"/>
  <c r="A1199" i="13"/>
  <c r="J1198" i="13"/>
  <c r="F1198" i="13"/>
  <c r="A1198" i="13"/>
  <c r="F1197" i="13"/>
  <c r="A1197" i="13"/>
  <c r="F1196" i="13"/>
  <c r="A1196" i="13"/>
  <c r="J1195" i="13"/>
  <c r="F1195" i="13"/>
  <c r="A1195" i="13"/>
  <c r="J1194" i="13"/>
  <c r="F1194" i="13"/>
  <c r="A1194" i="13"/>
  <c r="J1193" i="13"/>
  <c r="F1193" i="13"/>
  <c r="A1193" i="13"/>
  <c r="J1192" i="13"/>
  <c r="F1192" i="13"/>
  <c r="A1192" i="13"/>
  <c r="J1191" i="13"/>
  <c r="F1191" i="13"/>
  <c r="A1191" i="13"/>
  <c r="F1190" i="13"/>
  <c r="A1190" i="13"/>
  <c r="J1189" i="13"/>
  <c r="F1189" i="13"/>
  <c r="A1189" i="13"/>
  <c r="J1188" i="13"/>
  <c r="F1188" i="13"/>
  <c r="A1188" i="13"/>
  <c r="J1187" i="13"/>
  <c r="F1187" i="13"/>
  <c r="A1187" i="13"/>
  <c r="J1186" i="13"/>
  <c r="F1186" i="13"/>
  <c r="A1186" i="13"/>
  <c r="J1185" i="13"/>
  <c r="F1185" i="13"/>
  <c r="A1185" i="13"/>
  <c r="J1184" i="13"/>
  <c r="F1184" i="13"/>
  <c r="A1184" i="13"/>
  <c r="J1183" i="13"/>
  <c r="F1183" i="13"/>
  <c r="A1183" i="13"/>
  <c r="J1182" i="13"/>
  <c r="F1182" i="13"/>
  <c r="A1182" i="13"/>
  <c r="J1181" i="13"/>
  <c r="F1181" i="13"/>
  <c r="A1181" i="13"/>
  <c r="J1180" i="13"/>
  <c r="F1180" i="13"/>
  <c r="A1180" i="13"/>
  <c r="F1179" i="13"/>
  <c r="A1179" i="13"/>
  <c r="J1178" i="13"/>
  <c r="F1178" i="13"/>
  <c r="A1178" i="13"/>
  <c r="J1177" i="13"/>
  <c r="F1177" i="13"/>
  <c r="A1177" i="13"/>
  <c r="J1176" i="13"/>
  <c r="F1176" i="13"/>
  <c r="A1176" i="13"/>
  <c r="J1175" i="13"/>
  <c r="F1175" i="13"/>
  <c r="A1175" i="13"/>
  <c r="F1174" i="13"/>
  <c r="A1174" i="13"/>
  <c r="J1173" i="13"/>
  <c r="F1173" i="13"/>
  <c r="A1173" i="13"/>
  <c r="J1172" i="13"/>
  <c r="F1172" i="13"/>
  <c r="A1172" i="13"/>
  <c r="F1171" i="13"/>
  <c r="A1171" i="13"/>
  <c r="J1170" i="13"/>
  <c r="F1170" i="13"/>
  <c r="A1170" i="13"/>
  <c r="J1169" i="13"/>
  <c r="F1169" i="13"/>
  <c r="A1169" i="13"/>
  <c r="J1168" i="13"/>
  <c r="F1168" i="13"/>
  <c r="A1168" i="13"/>
  <c r="J1167" i="13"/>
  <c r="F1167" i="13"/>
  <c r="A1167" i="13"/>
  <c r="F1166" i="13"/>
  <c r="A1166" i="13"/>
  <c r="J1165" i="13"/>
  <c r="F1165" i="13"/>
  <c r="A1165" i="13"/>
  <c r="J1164" i="13"/>
  <c r="F1164" i="13"/>
  <c r="A1164" i="13"/>
  <c r="J1163" i="13"/>
  <c r="F1163" i="13"/>
  <c r="A1163" i="13"/>
  <c r="J1162" i="13"/>
  <c r="F1162" i="13"/>
  <c r="A1162" i="13"/>
  <c r="F1161" i="13"/>
  <c r="A1161" i="13"/>
  <c r="J1160" i="13"/>
  <c r="F1160" i="13"/>
  <c r="A1160" i="13"/>
  <c r="J1159" i="13"/>
  <c r="F1159" i="13"/>
  <c r="A1159" i="13"/>
  <c r="F1158" i="13"/>
  <c r="A1158" i="13"/>
  <c r="J1157" i="13"/>
  <c r="F1157" i="13"/>
  <c r="A1157" i="13"/>
  <c r="J1156" i="13"/>
  <c r="F1156" i="13"/>
  <c r="A1156" i="13"/>
  <c r="F1155" i="13"/>
  <c r="A1155" i="13"/>
  <c r="J1154" i="13"/>
  <c r="F1154" i="13"/>
  <c r="A1154" i="13"/>
  <c r="J1153" i="13"/>
  <c r="F1153" i="13"/>
  <c r="A1153" i="13"/>
  <c r="J1152" i="13"/>
  <c r="F1152" i="13"/>
  <c r="A1152" i="13"/>
  <c r="F1151" i="13"/>
  <c r="A1151" i="13"/>
  <c r="F1150" i="13"/>
  <c r="A1150" i="13"/>
  <c r="F1149" i="13"/>
  <c r="A1149" i="13"/>
  <c r="F1148" i="13"/>
  <c r="A1148" i="13"/>
  <c r="F1147" i="13"/>
  <c r="A1147" i="13"/>
  <c r="F1146" i="13"/>
  <c r="A1146" i="13"/>
  <c r="F1145" i="13"/>
  <c r="A1145" i="13"/>
  <c r="F1144" i="13"/>
  <c r="A1144" i="13"/>
  <c r="F1143" i="13"/>
  <c r="A1143" i="13"/>
  <c r="F1142" i="13"/>
  <c r="A1142" i="13"/>
  <c r="F1141" i="13"/>
  <c r="A1141" i="13"/>
  <c r="F1140" i="13"/>
  <c r="A1140" i="13"/>
  <c r="F1139" i="13"/>
  <c r="A1139" i="13"/>
  <c r="F1138" i="13"/>
  <c r="A1138" i="13"/>
  <c r="F1137" i="13"/>
  <c r="A1137" i="13"/>
  <c r="J1136" i="13"/>
  <c r="F1136" i="13"/>
  <c r="A1136" i="13"/>
  <c r="J1135" i="13"/>
  <c r="F1135" i="13"/>
  <c r="A1135" i="13"/>
  <c r="J1134" i="13"/>
  <c r="F1134" i="13"/>
  <c r="A1134" i="13"/>
  <c r="F1133" i="13"/>
  <c r="A1133" i="13"/>
  <c r="J1132" i="13"/>
  <c r="F1132" i="13"/>
  <c r="A1132" i="13"/>
  <c r="J1131" i="13"/>
  <c r="F1131" i="13"/>
  <c r="A1131" i="13"/>
  <c r="F1130" i="13"/>
  <c r="A1130" i="13"/>
  <c r="F1129" i="13"/>
  <c r="A1129" i="13"/>
  <c r="F1128" i="13"/>
  <c r="A1128" i="13"/>
  <c r="F1127" i="13"/>
  <c r="A1127" i="13"/>
  <c r="F1126" i="13"/>
  <c r="A1126" i="13"/>
  <c r="J1125" i="13"/>
  <c r="F1125" i="13"/>
  <c r="A1125" i="13"/>
  <c r="J1124" i="13"/>
  <c r="F1124" i="13"/>
  <c r="A1124" i="13"/>
  <c r="F1123" i="13"/>
  <c r="A1123" i="13"/>
  <c r="F1122" i="13"/>
  <c r="A1122" i="13"/>
  <c r="J1121" i="13"/>
  <c r="F1121" i="13"/>
  <c r="A1121" i="13"/>
  <c r="J1120" i="13"/>
  <c r="F1120" i="13"/>
  <c r="A1120" i="13"/>
  <c r="F1119" i="13"/>
  <c r="A1119" i="13"/>
  <c r="J1118" i="13"/>
  <c r="F1118" i="13"/>
  <c r="A1118" i="13"/>
  <c r="F1117" i="13"/>
  <c r="A1117" i="13"/>
  <c r="J1116" i="13"/>
  <c r="F1116" i="13"/>
  <c r="A1116" i="13"/>
  <c r="J1115" i="13"/>
  <c r="F1115" i="13"/>
  <c r="A1115" i="13"/>
  <c r="J1114" i="13"/>
  <c r="F1114" i="13"/>
  <c r="A1114" i="13"/>
  <c r="J1113" i="13"/>
  <c r="F1113" i="13"/>
  <c r="A1113" i="13"/>
  <c r="F1112" i="13"/>
  <c r="A1112" i="13"/>
  <c r="F1111" i="13"/>
  <c r="A1111" i="13"/>
  <c r="J1110" i="13"/>
  <c r="F1110" i="13"/>
  <c r="A1110" i="13"/>
  <c r="J1109" i="13"/>
  <c r="F1109" i="13"/>
  <c r="A1109" i="13"/>
  <c r="F1108" i="13"/>
  <c r="A1108" i="13"/>
  <c r="F1107" i="13"/>
  <c r="A1107" i="13"/>
  <c r="J1106" i="13"/>
  <c r="F1106" i="13"/>
  <c r="A1106" i="13"/>
  <c r="J1105" i="13"/>
  <c r="F1105" i="13"/>
  <c r="A1105" i="13"/>
  <c r="F1104" i="13"/>
  <c r="A1104" i="13"/>
  <c r="F1103" i="13"/>
  <c r="A1103" i="13"/>
  <c r="F1102" i="13"/>
  <c r="A1102" i="13"/>
  <c r="J1101" i="13"/>
  <c r="F1101" i="13"/>
  <c r="A1101" i="13"/>
  <c r="J1100" i="13"/>
  <c r="F1100" i="13"/>
  <c r="A1100" i="13"/>
  <c r="J1099" i="13"/>
  <c r="F1099" i="13"/>
  <c r="A1099" i="13"/>
  <c r="F1098" i="13"/>
  <c r="A1098" i="13"/>
  <c r="F1097" i="13"/>
  <c r="A1097" i="13"/>
  <c r="J1096" i="13"/>
  <c r="F1096" i="13"/>
  <c r="A1096" i="13"/>
  <c r="J1095" i="13"/>
  <c r="F1095" i="13"/>
  <c r="A1095" i="13"/>
  <c r="J1094" i="13"/>
  <c r="F1094" i="13"/>
  <c r="A1094" i="13"/>
  <c r="J1093" i="13"/>
  <c r="F1093" i="13"/>
  <c r="A1093" i="13"/>
  <c r="J1092" i="13"/>
  <c r="F1092" i="13"/>
  <c r="A1092" i="13"/>
  <c r="F1091" i="13"/>
  <c r="A1091" i="13"/>
  <c r="F1090" i="13"/>
  <c r="A1090" i="13"/>
  <c r="F1089" i="13"/>
  <c r="A1089" i="13"/>
  <c r="F1088" i="13"/>
  <c r="A1088" i="13"/>
  <c r="F1087" i="13"/>
  <c r="A1087" i="13"/>
  <c r="F1086" i="13"/>
  <c r="A1086" i="13"/>
  <c r="J1085" i="13"/>
  <c r="F1085" i="13"/>
  <c r="A1085" i="13"/>
  <c r="J1084" i="13"/>
  <c r="F1084" i="13"/>
  <c r="A1084" i="13"/>
  <c r="J1083" i="13"/>
  <c r="F1083" i="13"/>
  <c r="A1083" i="13"/>
  <c r="F1082" i="13"/>
  <c r="A1082" i="13"/>
  <c r="F1081" i="13"/>
  <c r="A1081" i="13"/>
  <c r="J1080" i="13"/>
  <c r="F1080" i="13"/>
  <c r="A1080" i="13"/>
  <c r="J1079" i="13"/>
  <c r="F1079" i="13"/>
  <c r="A1079" i="13"/>
  <c r="F1078" i="13"/>
  <c r="A1078" i="13"/>
  <c r="F1077" i="13"/>
  <c r="A1077" i="13"/>
  <c r="F1076" i="13"/>
  <c r="A1076" i="13"/>
  <c r="F1075" i="13"/>
  <c r="A1075" i="13"/>
  <c r="F1074" i="13"/>
  <c r="A1074" i="13"/>
  <c r="F1073" i="13"/>
  <c r="A1073" i="13"/>
  <c r="F1072" i="13"/>
  <c r="A1072" i="13"/>
  <c r="F1071" i="13"/>
  <c r="A1071" i="13"/>
  <c r="F1070" i="13"/>
  <c r="A1070" i="13"/>
  <c r="F1069" i="13"/>
  <c r="A1069" i="13"/>
  <c r="F1068" i="13"/>
  <c r="A1068" i="13"/>
  <c r="J1067" i="13"/>
  <c r="F1067" i="13"/>
  <c r="A1067" i="13"/>
  <c r="F1066" i="13"/>
  <c r="A1066" i="13"/>
  <c r="F1065" i="13"/>
  <c r="A1065" i="13"/>
  <c r="J1064" i="13"/>
  <c r="F1064" i="13"/>
  <c r="A1064" i="13"/>
  <c r="J1063" i="13"/>
  <c r="F1063" i="13"/>
  <c r="A1063" i="13"/>
  <c r="J1062" i="13"/>
  <c r="F1062" i="13"/>
  <c r="A1062" i="13"/>
  <c r="F1061" i="13"/>
  <c r="A1061" i="13"/>
  <c r="F1060" i="13"/>
  <c r="A1060" i="13"/>
  <c r="J1059" i="13"/>
  <c r="F1059" i="13"/>
  <c r="A1059" i="13"/>
  <c r="J1058" i="13"/>
  <c r="F1058" i="13"/>
  <c r="A1058" i="13"/>
  <c r="F1057" i="13"/>
  <c r="A1057" i="13"/>
  <c r="F1056" i="13"/>
  <c r="A1056" i="13"/>
  <c r="F1055" i="13"/>
  <c r="A1055" i="13"/>
  <c r="F1054" i="13"/>
  <c r="A1054" i="13"/>
  <c r="J1053" i="13"/>
  <c r="F1053" i="13"/>
  <c r="A1053" i="13"/>
  <c r="J1052" i="13"/>
  <c r="F1052" i="13"/>
  <c r="A1052" i="13"/>
  <c r="J1051" i="13"/>
  <c r="F1051" i="13"/>
  <c r="A1051" i="13"/>
  <c r="F1050" i="13"/>
  <c r="A1050" i="13"/>
  <c r="F1049" i="13"/>
  <c r="A1049" i="13"/>
  <c r="F1048" i="13"/>
  <c r="A1048" i="13"/>
  <c r="F1047" i="13"/>
  <c r="A1047" i="13"/>
  <c r="F1046" i="13"/>
  <c r="A1046" i="13"/>
  <c r="F1045" i="13"/>
  <c r="A1045" i="13"/>
  <c r="J1044" i="13"/>
  <c r="F1044" i="13"/>
  <c r="A1044" i="13"/>
  <c r="J1043" i="13"/>
  <c r="F1043" i="13"/>
  <c r="A1043" i="13"/>
  <c r="J1042" i="13"/>
  <c r="F1042" i="13"/>
  <c r="A1042" i="13"/>
  <c r="J1041" i="13"/>
  <c r="F1041" i="13"/>
  <c r="A1041" i="13"/>
  <c r="J1040" i="13"/>
  <c r="F1040" i="13"/>
  <c r="A1040" i="13"/>
  <c r="J1039" i="13"/>
  <c r="F1039" i="13"/>
  <c r="A1039" i="13"/>
  <c r="F1038" i="13"/>
  <c r="A1038" i="13"/>
  <c r="F1037" i="13"/>
  <c r="A1037" i="13"/>
  <c r="F1036" i="13"/>
  <c r="A1036" i="13"/>
  <c r="F1035" i="13"/>
  <c r="A1035" i="13"/>
  <c r="F1034" i="13"/>
  <c r="A1034" i="13"/>
  <c r="J1033" i="13"/>
  <c r="F1033" i="13"/>
  <c r="A1033" i="13"/>
  <c r="J1032" i="13"/>
  <c r="F1032" i="13"/>
  <c r="A1032" i="13"/>
  <c r="J1031" i="13"/>
  <c r="F1031" i="13"/>
  <c r="A1031" i="13"/>
  <c r="F1030" i="13"/>
  <c r="A1030" i="13"/>
  <c r="F1029" i="13"/>
  <c r="A1029" i="13"/>
  <c r="F1028" i="13"/>
  <c r="A1028" i="13"/>
  <c r="J1027" i="13"/>
  <c r="F1027" i="13"/>
  <c r="A1027" i="13"/>
  <c r="F1026" i="13"/>
  <c r="A1026" i="13"/>
  <c r="F1025" i="13"/>
  <c r="A1025" i="13"/>
  <c r="J1024" i="13"/>
  <c r="F1024" i="13"/>
  <c r="A1024" i="13"/>
  <c r="F1023" i="13"/>
  <c r="A1023" i="13"/>
  <c r="F1022" i="13"/>
  <c r="A1022" i="13"/>
  <c r="F1021" i="13"/>
  <c r="A1021" i="13"/>
  <c r="F1020" i="13"/>
  <c r="A1020" i="13"/>
  <c r="F1019" i="13"/>
  <c r="A1019" i="13"/>
  <c r="F1018" i="13"/>
  <c r="A1018" i="13"/>
  <c r="F1017" i="13"/>
  <c r="A1017" i="13"/>
  <c r="F1016" i="13"/>
  <c r="A1016" i="13"/>
  <c r="F1015" i="13"/>
  <c r="A1015" i="13"/>
  <c r="F1014" i="13"/>
  <c r="A1014" i="13"/>
  <c r="F1013" i="13"/>
  <c r="A1013" i="13"/>
  <c r="F1012" i="13"/>
  <c r="A1012" i="13"/>
  <c r="F1011" i="13"/>
  <c r="A1011" i="13"/>
  <c r="F1010" i="13"/>
  <c r="A1010" i="13"/>
  <c r="F1009" i="13"/>
  <c r="A1009" i="13"/>
  <c r="F1008" i="13"/>
  <c r="A1008" i="13"/>
  <c r="J1007" i="13"/>
  <c r="F1007" i="13"/>
  <c r="A1007" i="13"/>
  <c r="J1006" i="13"/>
  <c r="F1006" i="13"/>
  <c r="A1006" i="13"/>
  <c r="F1005" i="13"/>
  <c r="A1005" i="13"/>
  <c r="F1004" i="13"/>
  <c r="A1004" i="13"/>
  <c r="F1003" i="13"/>
  <c r="A1003" i="13"/>
  <c r="F1002" i="13"/>
  <c r="A1002" i="13"/>
  <c r="F1001" i="13"/>
  <c r="A1001" i="13"/>
  <c r="F1000" i="13"/>
  <c r="A1000" i="13"/>
  <c r="F999" i="13"/>
  <c r="A999" i="13"/>
  <c r="J998" i="13"/>
  <c r="F998" i="13"/>
  <c r="A998" i="13"/>
  <c r="J997" i="13"/>
  <c r="F997" i="13"/>
  <c r="A997" i="13"/>
  <c r="F996" i="13"/>
  <c r="A996" i="13"/>
  <c r="J995" i="13"/>
  <c r="F995" i="13"/>
  <c r="A995" i="13"/>
  <c r="F994" i="13"/>
  <c r="A994" i="13"/>
  <c r="F993" i="13"/>
  <c r="A993" i="13"/>
  <c r="J992" i="13"/>
  <c r="F992" i="13"/>
  <c r="A992" i="13"/>
  <c r="J991" i="13"/>
  <c r="F991" i="13"/>
  <c r="A991" i="13"/>
  <c r="J990" i="13"/>
  <c r="F990" i="13"/>
  <c r="A990" i="13"/>
  <c r="F989" i="13"/>
  <c r="A989" i="13"/>
  <c r="J988" i="13"/>
  <c r="F988" i="13"/>
  <c r="A988" i="13"/>
  <c r="J987" i="13"/>
  <c r="F987" i="13"/>
  <c r="A987" i="13"/>
  <c r="J986" i="13"/>
  <c r="F986" i="13"/>
  <c r="A986" i="13"/>
  <c r="J985" i="13"/>
  <c r="F985" i="13"/>
  <c r="A985" i="13"/>
  <c r="F984" i="13"/>
  <c r="A984" i="13"/>
  <c r="J983" i="13"/>
  <c r="F983" i="13"/>
  <c r="A983" i="13"/>
  <c r="J982" i="13"/>
  <c r="F982" i="13"/>
  <c r="A982" i="13"/>
  <c r="J981" i="13"/>
  <c r="F981" i="13"/>
  <c r="A981" i="13"/>
  <c r="J980" i="13"/>
  <c r="F980" i="13"/>
  <c r="A980" i="13"/>
  <c r="J979" i="13"/>
  <c r="F979" i="13"/>
  <c r="A979" i="13"/>
  <c r="J978" i="13"/>
  <c r="F978" i="13"/>
  <c r="A978" i="13"/>
  <c r="J977" i="13"/>
  <c r="F977" i="13"/>
  <c r="A977" i="13"/>
  <c r="J976" i="13"/>
  <c r="F976" i="13"/>
  <c r="A976" i="13"/>
  <c r="F975" i="13"/>
  <c r="A975" i="13"/>
  <c r="J974" i="13"/>
  <c r="F974" i="13"/>
  <c r="A974" i="13"/>
  <c r="F973" i="13"/>
  <c r="A973" i="13"/>
  <c r="F972" i="13"/>
  <c r="A972" i="13"/>
  <c r="F971" i="13"/>
  <c r="A971" i="13"/>
  <c r="J970" i="13"/>
  <c r="F970" i="13"/>
  <c r="A970" i="13"/>
  <c r="F969" i="13"/>
  <c r="A969" i="13"/>
  <c r="F968" i="13"/>
  <c r="A968" i="13"/>
  <c r="F967" i="13"/>
  <c r="A967" i="13"/>
  <c r="F966" i="13"/>
  <c r="A966" i="13"/>
  <c r="F965" i="13"/>
  <c r="A965" i="13"/>
  <c r="J964" i="13"/>
  <c r="F964" i="13"/>
  <c r="A964" i="13"/>
  <c r="J963" i="13"/>
  <c r="F963" i="13"/>
  <c r="A963" i="13"/>
  <c r="F962" i="13"/>
  <c r="A962" i="13"/>
  <c r="F961" i="13"/>
  <c r="A961" i="13"/>
  <c r="J960" i="13"/>
  <c r="F960" i="13"/>
  <c r="A960" i="13"/>
  <c r="F959" i="13"/>
  <c r="A959" i="13"/>
  <c r="F958" i="13"/>
  <c r="A958" i="13"/>
  <c r="F957" i="13"/>
  <c r="A957" i="13"/>
  <c r="J956" i="13"/>
  <c r="F956" i="13"/>
  <c r="A956" i="13"/>
  <c r="J955" i="13"/>
  <c r="F955" i="13"/>
  <c r="A955" i="13"/>
  <c r="J954" i="13"/>
  <c r="F954" i="13"/>
  <c r="A954" i="13"/>
  <c r="J953" i="13"/>
  <c r="F953" i="13"/>
  <c r="A953" i="13"/>
  <c r="J952" i="13"/>
  <c r="F952" i="13"/>
  <c r="A952" i="13"/>
  <c r="J951" i="13"/>
  <c r="F951" i="13"/>
  <c r="A951" i="13"/>
  <c r="J950" i="13"/>
  <c r="F950" i="13"/>
  <c r="A950" i="13"/>
  <c r="J949" i="13"/>
  <c r="F949" i="13"/>
  <c r="A949" i="13"/>
  <c r="J948" i="13"/>
  <c r="F948" i="13"/>
  <c r="A948" i="13"/>
  <c r="J947" i="13"/>
  <c r="F947" i="13"/>
  <c r="A947" i="13"/>
  <c r="J946" i="13"/>
  <c r="F946" i="13"/>
  <c r="A946" i="13"/>
  <c r="J945" i="13"/>
  <c r="F945" i="13"/>
  <c r="A945" i="13"/>
  <c r="J944" i="13"/>
  <c r="F944" i="13"/>
  <c r="A944" i="13"/>
  <c r="J943" i="13"/>
  <c r="F943" i="13"/>
  <c r="A943" i="13"/>
  <c r="J942" i="13"/>
  <c r="F942" i="13"/>
  <c r="A942" i="13"/>
  <c r="J941" i="13"/>
  <c r="F941" i="13"/>
  <c r="A941" i="13"/>
  <c r="F940" i="13"/>
  <c r="A940" i="13"/>
  <c r="F939" i="13"/>
  <c r="A939" i="13"/>
  <c r="F938" i="13"/>
  <c r="A938" i="13"/>
  <c r="F937" i="13"/>
  <c r="A937" i="13"/>
  <c r="F936" i="13"/>
  <c r="A936" i="13"/>
  <c r="J935" i="13"/>
  <c r="F935" i="13"/>
  <c r="A935" i="13"/>
  <c r="J934" i="13"/>
  <c r="F934" i="13"/>
  <c r="A934" i="13"/>
  <c r="J933" i="13"/>
  <c r="F933" i="13"/>
  <c r="A933" i="13"/>
  <c r="J932" i="13"/>
  <c r="F932" i="13"/>
  <c r="A932" i="13"/>
  <c r="J931" i="13"/>
  <c r="F931" i="13"/>
  <c r="A931" i="13"/>
  <c r="F930" i="13"/>
  <c r="A930" i="13"/>
  <c r="F929" i="13"/>
  <c r="A929" i="13"/>
  <c r="F928" i="13"/>
  <c r="A928" i="13"/>
  <c r="F927" i="13"/>
  <c r="A927" i="13"/>
  <c r="F926" i="13"/>
  <c r="A926" i="13"/>
  <c r="F925" i="13"/>
  <c r="A925" i="13"/>
  <c r="F924" i="13"/>
  <c r="A924" i="13"/>
  <c r="F923" i="13"/>
  <c r="A923" i="13"/>
  <c r="F922" i="13"/>
  <c r="A922" i="13"/>
  <c r="F921" i="13"/>
  <c r="A921" i="13"/>
  <c r="F920" i="13"/>
  <c r="A920" i="13"/>
  <c r="F919" i="13"/>
  <c r="A919" i="13"/>
  <c r="F918" i="13"/>
  <c r="A918" i="13"/>
  <c r="F917" i="13"/>
  <c r="A917" i="13"/>
  <c r="F916" i="13"/>
  <c r="A916" i="13"/>
  <c r="J915" i="13"/>
  <c r="F915" i="13"/>
  <c r="A915" i="13"/>
  <c r="J914" i="13"/>
  <c r="F914" i="13"/>
  <c r="A914" i="13"/>
  <c r="J913" i="13"/>
  <c r="F913" i="13"/>
  <c r="A913" i="13"/>
  <c r="J912" i="13"/>
  <c r="F912" i="13"/>
  <c r="A912" i="13"/>
  <c r="J911" i="13"/>
  <c r="F911" i="13"/>
  <c r="A911" i="13"/>
  <c r="J910" i="13"/>
  <c r="F910" i="13"/>
  <c r="A910" i="13"/>
  <c r="F909" i="13"/>
  <c r="A909" i="13"/>
  <c r="F908" i="13"/>
  <c r="A908" i="13"/>
  <c r="F907" i="13"/>
  <c r="A907" i="13"/>
  <c r="F906" i="13"/>
  <c r="A906" i="13"/>
  <c r="F905" i="13"/>
  <c r="A905" i="13"/>
  <c r="F904" i="13"/>
  <c r="A904" i="13"/>
  <c r="F903" i="13"/>
  <c r="A903" i="13"/>
  <c r="F902" i="13"/>
  <c r="A902" i="13"/>
  <c r="F901" i="13"/>
  <c r="A901" i="13"/>
  <c r="F900" i="13"/>
  <c r="A900" i="13"/>
  <c r="F899" i="13"/>
  <c r="A899" i="13"/>
  <c r="F898" i="13"/>
  <c r="A898" i="13"/>
  <c r="F897" i="13"/>
  <c r="A897" i="13"/>
  <c r="F896" i="13"/>
  <c r="A896" i="13"/>
  <c r="F895" i="13"/>
  <c r="A895" i="13"/>
  <c r="F894" i="13"/>
  <c r="A894" i="13"/>
  <c r="F893" i="13"/>
  <c r="A893" i="13"/>
  <c r="F892" i="13"/>
  <c r="A892" i="13"/>
  <c r="F891" i="13"/>
  <c r="A891" i="13"/>
  <c r="F890" i="13"/>
  <c r="A890" i="13"/>
  <c r="F889" i="13"/>
  <c r="A889" i="13"/>
  <c r="F888" i="13"/>
  <c r="A888" i="13"/>
  <c r="F887" i="13"/>
  <c r="A887" i="13"/>
  <c r="F886" i="13"/>
  <c r="A886" i="13"/>
  <c r="F885" i="13"/>
  <c r="A885" i="13"/>
  <c r="F884" i="13"/>
  <c r="A884" i="13"/>
  <c r="F883" i="13"/>
  <c r="A883" i="13"/>
  <c r="F882" i="13"/>
  <c r="A882" i="13"/>
  <c r="F881" i="13"/>
  <c r="A881" i="13"/>
  <c r="F880" i="13"/>
  <c r="A880" i="13"/>
  <c r="F879" i="13"/>
  <c r="A879" i="13"/>
  <c r="F878" i="13"/>
  <c r="A878" i="13"/>
  <c r="J877" i="13"/>
  <c r="F877" i="13"/>
  <c r="A877" i="13"/>
  <c r="J876" i="13"/>
  <c r="F876" i="13"/>
  <c r="A876" i="13"/>
  <c r="F875" i="13"/>
  <c r="A875" i="13"/>
  <c r="F874" i="13"/>
  <c r="A874" i="13"/>
  <c r="F873" i="13"/>
  <c r="A873" i="13"/>
  <c r="F872" i="13"/>
  <c r="A872" i="13"/>
  <c r="J871" i="13"/>
  <c r="F871" i="13"/>
  <c r="A871" i="13"/>
  <c r="J870" i="13"/>
  <c r="F870" i="13"/>
  <c r="A870" i="13"/>
  <c r="J869" i="13"/>
  <c r="F869" i="13"/>
  <c r="A869" i="13"/>
  <c r="J868" i="13"/>
  <c r="F868" i="13"/>
  <c r="A868" i="13"/>
  <c r="J867" i="13"/>
  <c r="F867" i="13"/>
  <c r="A867" i="13"/>
  <c r="J866" i="13"/>
  <c r="F866" i="13"/>
  <c r="A866" i="13"/>
  <c r="J865" i="13"/>
  <c r="F865" i="13"/>
  <c r="A865" i="13"/>
  <c r="F864" i="13"/>
  <c r="A864" i="13"/>
  <c r="J863" i="13"/>
  <c r="F863" i="13"/>
  <c r="A863" i="13"/>
  <c r="F862" i="13"/>
  <c r="A862" i="13"/>
  <c r="F861" i="13"/>
  <c r="A861" i="13"/>
  <c r="F860" i="13"/>
  <c r="A860" i="13"/>
  <c r="J859" i="13"/>
  <c r="F859" i="13"/>
  <c r="A859" i="13"/>
  <c r="J858" i="13"/>
  <c r="F858" i="13"/>
  <c r="A858" i="13"/>
  <c r="J857" i="13"/>
  <c r="F857" i="13"/>
  <c r="A857" i="13"/>
  <c r="J856" i="13"/>
  <c r="F856" i="13"/>
  <c r="A856" i="13"/>
  <c r="J855" i="13"/>
  <c r="F855" i="13"/>
  <c r="A855" i="13"/>
  <c r="J854" i="13"/>
  <c r="F854" i="13"/>
  <c r="A854" i="13"/>
  <c r="F853" i="13"/>
  <c r="A853" i="13"/>
  <c r="F852" i="13"/>
  <c r="A852" i="13"/>
  <c r="F851" i="13"/>
  <c r="A851" i="13"/>
  <c r="F850" i="13"/>
  <c r="A850" i="13"/>
  <c r="F849" i="13"/>
  <c r="A849" i="13"/>
  <c r="F848" i="13"/>
  <c r="A848" i="13"/>
  <c r="F847" i="13"/>
  <c r="A847" i="13"/>
  <c r="J846" i="13"/>
  <c r="F846" i="13"/>
  <c r="A846" i="13"/>
  <c r="F845" i="13"/>
  <c r="A845" i="13"/>
  <c r="J844" i="13"/>
  <c r="F844" i="13"/>
  <c r="A844" i="13"/>
  <c r="J843" i="13"/>
  <c r="F843" i="13"/>
  <c r="A843" i="13"/>
  <c r="F842" i="13"/>
  <c r="A842" i="13"/>
  <c r="J841" i="13"/>
  <c r="F841" i="13"/>
  <c r="A841" i="13"/>
  <c r="J840" i="13"/>
  <c r="F840" i="13"/>
  <c r="A840" i="13"/>
  <c r="F839" i="13"/>
  <c r="A839" i="13"/>
  <c r="J838" i="13"/>
  <c r="F838" i="13"/>
  <c r="A838" i="13"/>
  <c r="J837" i="13"/>
  <c r="F837" i="13"/>
  <c r="A837" i="13"/>
  <c r="J836" i="13"/>
  <c r="F836" i="13"/>
  <c r="A836" i="13"/>
  <c r="J835" i="13"/>
  <c r="F835" i="13"/>
  <c r="A835" i="13"/>
  <c r="J834" i="13"/>
  <c r="F834" i="13"/>
  <c r="A834" i="13"/>
  <c r="J833" i="13"/>
  <c r="F833" i="13"/>
  <c r="A833" i="13"/>
  <c r="F832" i="13"/>
  <c r="A832" i="13"/>
  <c r="J831" i="13"/>
  <c r="F831" i="13"/>
  <c r="A831" i="13"/>
  <c r="J830" i="13"/>
  <c r="F830" i="13"/>
  <c r="A830" i="13"/>
  <c r="J829" i="13"/>
  <c r="F829" i="13"/>
  <c r="A829" i="13"/>
  <c r="J828" i="13"/>
  <c r="F828" i="13"/>
  <c r="A828" i="13"/>
  <c r="F827" i="13"/>
  <c r="A827" i="13"/>
  <c r="J826" i="13"/>
  <c r="F826" i="13"/>
  <c r="A826" i="13"/>
  <c r="J825" i="13"/>
  <c r="F825" i="13"/>
  <c r="A825" i="13"/>
  <c r="J824" i="13"/>
  <c r="F824" i="13"/>
  <c r="A824" i="13"/>
  <c r="J823" i="13"/>
  <c r="F823" i="13"/>
  <c r="A823" i="13"/>
  <c r="J822" i="13"/>
  <c r="F822" i="13"/>
  <c r="A822" i="13"/>
  <c r="F821" i="13"/>
  <c r="A821" i="13"/>
  <c r="F820" i="13"/>
  <c r="A820" i="13"/>
  <c r="J819" i="13"/>
  <c r="F819" i="13"/>
  <c r="A819" i="13"/>
  <c r="J818" i="13"/>
  <c r="F818" i="13"/>
  <c r="A818" i="13"/>
  <c r="J817" i="13"/>
  <c r="F817" i="13"/>
  <c r="A817" i="13"/>
  <c r="F816" i="13"/>
  <c r="A816" i="13"/>
  <c r="J815" i="13"/>
  <c r="F815" i="13"/>
  <c r="A815" i="13"/>
  <c r="J814" i="13"/>
  <c r="F814" i="13"/>
  <c r="A814" i="13"/>
  <c r="F813" i="13"/>
  <c r="A813" i="13"/>
  <c r="J812" i="13"/>
  <c r="F812" i="13"/>
  <c r="A812" i="13"/>
  <c r="J811" i="13"/>
  <c r="F811" i="13"/>
  <c r="A811" i="13"/>
  <c r="J810" i="13"/>
  <c r="F810" i="13"/>
  <c r="A810" i="13"/>
  <c r="J809" i="13"/>
  <c r="F809" i="13"/>
  <c r="A809" i="13"/>
  <c r="F808" i="13"/>
  <c r="A808" i="13"/>
  <c r="F807" i="13"/>
  <c r="A807" i="13"/>
  <c r="F806" i="13"/>
  <c r="A806" i="13"/>
  <c r="F805" i="13"/>
  <c r="A805" i="13"/>
  <c r="J804" i="13"/>
  <c r="F804" i="13"/>
  <c r="A804" i="13"/>
  <c r="J803" i="13"/>
  <c r="F803" i="13"/>
  <c r="A803" i="13"/>
  <c r="J802" i="13"/>
  <c r="F802" i="13"/>
  <c r="A802" i="13"/>
  <c r="F801" i="13"/>
  <c r="A801" i="13"/>
  <c r="F800" i="13"/>
  <c r="A800" i="13"/>
  <c r="F799" i="13"/>
  <c r="A799" i="13"/>
  <c r="F798" i="13"/>
  <c r="A798" i="13"/>
  <c r="F797" i="13"/>
  <c r="A797" i="13"/>
  <c r="F796" i="13"/>
  <c r="A796" i="13"/>
  <c r="F795" i="13"/>
  <c r="A795" i="13"/>
  <c r="F794" i="13"/>
  <c r="A794" i="13"/>
  <c r="F793" i="13"/>
  <c r="A793" i="13"/>
  <c r="F792" i="13"/>
  <c r="A792" i="13"/>
  <c r="F791" i="13"/>
  <c r="A791" i="13"/>
  <c r="F790" i="13"/>
  <c r="A790" i="13"/>
  <c r="F789" i="13"/>
  <c r="A789" i="13"/>
  <c r="F788" i="13"/>
  <c r="A788" i="13"/>
  <c r="F787" i="13"/>
  <c r="A787" i="13"/>
  <c r="F786" i="13"/>
  <c r="A786" i="13"/>
  <c r="F785" i="13"/>
  <c r="A785" i="13"/>
  <c r="F784" i="13"/>
  <c r="A784" i="13"/>
  <c r="F783" i="13"/>
  <c r="A783" i="13"/>
  <c r="F782" i="13"/>
  <c r="A782" i="13"/>
  <c r="F781" i="13"/>
  <c r="A781" i="13"/>
  <c r="F780" i="13"/>
  <c r="A780" i="13"/>
  <c r="F779" i="13"/>
  <c r="A779" i="13"/>
  <c r="F778" i="13"/>
  <c r="A778" i="13"/>
  <c r="F777" i="13"/>
  <c r="A777" i="13"/>
  <c r="F776" i="13"/>
  <c r="A776" i="13"/>
  <c r="F775" i="13"/>
  <c r="A775" i="13"/>
  <c r="F774" i="13"/>
  <c r="A774" i="13"/>
  <c r="F773" i="13"/>
  <c r="A773" i="13"/>
  <c r="F772" i="13"/>
  <c r="A772" i="13"/>
  <c r="F771" i="13"/>
  <c r="A771" i="13"/>
  <c r="F770" i="13"/>
  <c r="A770" i="13"/>
  <c r="F769" i="13"/>
  <c r="A769" i="13"/>
  <c r="F768" i="13"/>
  <c r="A768" i="13"/>
  <c r="F767" i="13"/>
  <c r="A767" i="13"/>
  <c r="F766" i="13"/>
  <c r="A766" i="13"/>
  <c r="F765" i="13"/>
  <c r="A765" i="13"/>
  <c r="F764" i="13"/>
  <c r="A764" i="13"/>
  <c r="J763" i="13"/>
  <c r="F763" i="13"/>
  <c r="A763" i="13"/>
  <c r="J762" i="13"/>
  <c r="F762" i="13"/>
  <c r="A762" i="13"/>
  <c r="F761" i="13"/>
  <c r="A761" i="13"/>
  <c r="J760" i="13"/>
  <c r="F760" i="13"/>
  <c r="A760" i="13"/>
  <c r="J759" i="13"/>
  <c r="F759" i="13"/>
  <c r="A759" i="13"/>
  <c r="J758" i="13"/>
  <c r="F758" i="13"/>
  <c r="A758" i="13"/>
  <c r="J757" i="13"/>
  <c r="F757" i="13"/>
  <c r="A757" i="13"/>
  <c r="J756" i="13"/>
  <c r="F756" i="13"/>
  <c r="A756" i="13"/>
  <c r="F755" i="13"/>
  <c r="A755" i="13"/>
  <c r="F754" i="13"/>
  <c r="A754" i="13"/>
  <c r="F753" i="13"/>
  <c r="A753" i="13"/>
  <c r="F752" i="13"/>
  <c r="A752" i="13"/>
  <c r="F751" i="13"/>
  <c r="A751" i="13"/>
  <c r="F750" i="13"/>
  <c r="A750" i="13"/>
  <c r="F749" i="13"/>
  <c r="A749" i="13"/>
  <c r="F748" i="13"/>
  <c r="A748" i="13"/>
  <c r="J747" i="13"/>
  <c r="F747" i="13"/>
  <c r="A747" i="13"/>
  <c r="J746" i="13"/>
  <c r="F746" i="13"/>
  <c r="A746" i="13"/>
  <c r="F745" i="13"/>
  <c r="A745" i="13"/>
  <c r="J744" i="13"/>
  <c r="F744" i="13"/>
  <c r="A744" i="13"/>
  <c r="J743" i="13"/>
  <c r="F743" i="13"/>
  <c r="A743" i="13"/>
  <c r="F742" i="13"/>
  <c r="A742" i="13"/>
  <c r="J741" i="13"/>
  <c r="F741" i="13"/>
  <c r="A741" i="13"/>
  <c r="J740" i="13"/>
  <c r="F740" i="13"/>
  <c r="A740" i="13"/>
  <c r="J739" i="13"/>
  <c r="F739" i="13"/>
  <c r="A739" i="13"/>
  <c r="J738" i="13"/>
  <c r="F738" i="13"/>
  <c r="A738" i="13"/>
  <c r="F737" i="13"/>
  <c r="A737" i="13"/>
  <c r="J736" i="13"/>
  <c r="F736" i="13"/>
  <c r="A736" i="13"/>
  <c r="J735" i="13"/>
  <c r="F735" i="13"/>
  <c r="A735" i="13"/>
  <c r="F734" i="13"/>
  <c r="A734" i="13"/>
  <c r="J733" i="13"/>
  <c r="F733" i="13"/>
  <c r="A733" i="13"/>
  <c r="J732" i="13"/>
  <c r="F732" i="13"/>
  <c r="A732" i="13"/>
  <c r="F731" i="13"/>
  <c r="A731" i="13"/>
  <c r="J730" i="13"/>
  <c r="F730" i="13"/>
  <c r="A730" i="13"/>
  <c r="J729" i="13"/>
  <c r="F729" i="13"/>
  <c r="A729" i="13"/>
  <c r="F728" i="13"/>
  <c r="A728" i="13"/>
  <c r="J727" i="13"/>
  <c r="F727" i="13"/>
  <c r="A727" i="13"/>
  <c r="J726" i="13"/>
  <c r="F726" i="13"/>
  <c r="A726" i="13"/>
  <c r="J725" i="13"/>
  <c r="F725" i="13"/>
  <c r="A725" i="13"/>
  <c r="J724" i="13"/>
  <c r="F724" i="13"/>
  <c r="A724" i="13"/>
  <c r="J723" i="13"/>
  <c r="F723" i="13"/>
  <c r="A723" i="13"/>
  <c r="J722" i="13"/>
  <c r="F722" i="13"/>
  <c r="A722" i="13"/>
  <c r="J721" i="13"/>
  <c r="F721" i="13"/>
  <c r="A721" i="13"/>
  <c r="F720" i="13"/>
  <c r="A720" i="13"/>
  <c r="J719" i="13"/>
  <c r="F719" i="13"/>
  <c r="A719" i="13"/>
  <c r="J718" i="13"/>
  <c r="F718" i="13"/>
  <c r="A718" i="13"/>
  <c r="J717" i="13"/>
  <c r="F717" i="13"/>
  <c r="A717" i="13"/>
  <c r="F716" i="13"/>
  <c r="A716" i="13"/>
  <c r="J715" i="13"/>
  <c r="F715" i="13"/>
  <c r="A715" i="13"/>
  <c r="J714" i="13"/>
  <c r="F714" i="13"/>
  <c r="A714" i="13"/>
  <c r="F713" i="13"/>
  <c r="A713" i="13"/>
  <c r="F712" i="13"/>
  <c r="A712" i="13"/>
  <c r="F711" i="13"/>
  <c r="A711" i="13"/>
  <c r="J710" i="13"/>
  <c r="F710" i="13"/>
  <c r="A710" i="13"/>
  <c r="J709" i="13"/>
  <c r="F709" i="13"/>
  <c r="A709" i="13"/>
  <c r="J708" i="13"/>
  <c r="F708" i="13"/>
  <c r="A708" i="13"/>
  <c r="F707" i="13"/>
  <c r="A707" i="13"/>
  <c r="F706" i="13"/>
  <c r="A706" i="13"/>
  <c r="F705" i="13"/>
  <c r="A705" i="13"/>
  <c r="F704" i="13"/>
  <c r="A704" i="13"/>
  <c r="F703" i="13"/>
  <c r="A703" i="13"/>
  <c r="F702" i="13"/>
  <c r="A702" i="13"/>
  <c r="F701" i="13"/>
  <c r="A701" i="13"/>
  <c r="F700" i="13"/>
  <c r="A700" i="13"/>
  <c r="F699" i="13"/>
  <c r="A699" i="13"/>
  <c r="F698" i="13"/>
  <c r="A698" i="13"/>
  <c r="J697" i="13"/>
  <c r="F697" i="13"/>
  <c r="A697" i="13"/>
  <c r="F696" i="13"/>
  <c r="A696" i="13"/>
  <c r="F695" i="13"/>
  <c r="A695" i="13"/>
  <c r="F694" i="13"/>
  <c r="A694" i="13"/>
  <c r="F693" i="13"/>
  <c r="A693" i="13"/>
  <c r="F692" i="13"/>
  <c r="A692" i="13"/>
  <c r="F691" i="13"/>
  <c r="A691" i="13"/>
  <c r="F690" i="13"/>
  <c r="A690" i="13"/>
  <c r="F689" i="13"/>
  <c r="A689" i="13"/>
  <c r="F688" i="13"/>
  <c r="A688" i="13"/>
  <c r="F687" i="13"/>
  <c r="A687" i="13"/>
  <c r="F686" i="13"/>
  <c r="A686" i="13"/>
  <c r="F685" i="13"/>
  <c r="A685" i="13"/>
  <c r="F684" i="13"/>
  <c r="A684" i="13"/>
  <c r="J683" i="13"/>
  <c r="F683" i="13"/>
  <c r="A683" i="13"/>
  <c r="J682" i="13"/>
  <c r="F682" i="13"/>
  <c r="A682" i="13"/>
  <c r="J681" i="13"/>
  <c r="F681" i="13"/>
  <c r="A681" i="13"/>
  <c r="F680" i="13"/>
  <c r="A680" i="13"/>
  <c r="F679" i="13"/>
  <c r="A679" i="13"/>
  <c r="J678" i="13"/>
  <c r="F678" i="13"/>
  <c r="A678" i="13"/>
  <c r="J677" i="13"/>
  <c r="F677" i="13"/>
  <c r="A677" i="13"/>
  <c r="J676" i="13"/>
  <c r="F676" i="13"/>
  <c r="A676" i="13"/>
  <c r="F675" i="13"/>
  <c r="A675" i="13"/>
  <c r="J674" i="13"/>
  <c r="F674" i="13"/>
  <c r="A674" i="13"/>
  <c r="J673" i="13"/>
  <c r="F673" i="13"/>
  <c r="A673" i="13"/>
  <c r="J672" i="13"/>
  <c r="F672" i="13"/>
  <c r="A672" i="13"/>
  <c r="J671" i="13"/>
  <c r="F671" i="13"/>
  <c r="A671" i="13"/>
  <c r="J670" i="13"/>
  <c r="F670" i="13"/>
  <c r="A670" i="13"/>
  <c r="F669" i="13"/>
  <c r="A669" i="13"/>
  <c r="F668" i="13"/>
  <c r="A668" i="13"/>
  <c r="F667" i="13"/>
  <c r="A667" i="13"/>
  <c r="F666" i="13"/>
  <c r="A666" i="13"/>
  <c r="F665" i="13"/>
  <c r="A665" i="13"/>
  <c r="F664" i="13"/>
  <c r="A664" i="13"/>
  <c r="F663" i="13"/>
  <c r="A663" i="13"/>
  <c r="J662" i="13"/>
  <c r="F662" i="13"/>
  <c r="A662" i="13"/>
  <c r="J661" i="13"/>
  <c r="F661" i="13"/>
  <c r="A661" i="13"/>
  <c r="F660" i="13"/>
  <c r="A660" i="13"/>
  <c r="F659" i="13"/>
  <c r="A659" i="13"/>
  <c r="F658" i="13"/>
  <c r="A658" i="13"/>
  <c r="F657" i="13"/>
  <c r="A657" i="13"/>
  <c r="J656" i="13"/>
  <c r="F656" i="13"/>
  <c r="A656" i="13"/>
  <c r="J655" i="13"/>
  <c r="F655" i="13"/>
  <c r="A655" i="13"/>
  <c r="J654" i="13"/>
  <c r="F654" i="13"/>
  <c r="A654" i="13"/>
  <c r="F653" i="13"/>
  <c r="A653" i="13"/>
  <c r="F652" i="13"/>
  <c r="A652" i="13"/>
  <c r="J651" i="13"/>
  <c r="F651" i="13"/>
  <c r="A651" i="13"/>
  <c r="J650" i="13"/>
  <c r="F650" i="13"/>
  <c r="A650" i="13"/>
  <c r="J649" i="13"/>
  <c r="F649" i="13"/>
  <c r="A649" i="13"/>
  <c r="J648" i="13"/>
  <c r="F648" i="13"/>
  <c r="A648" i="13"/>
  <c r="J647" i="13"/>
  <c r="F647" i="13"/>
  <c r="A647" i="13"/>
  <c r="J646" i="13"/>
  <c r="F646" i="13"/>
  <c r="A646" i="13"/>
  <c r="J645" i="13"/>
  <c r="F645" i="13"/>
  <c r="A645" i="13"/>
  <c r="F644" i="13"/>
  <c r="A644" i="13"/>
  <c r="F643" i="13"/>
  <c r="A643" i="13"/>
  <c r="F642" i="13"/>
  <c r="A642" i="13"/>
  <c r="J641" i="13"/>
  <c r="F641" i="13"/>
  <c r="A641" i="13"/>
  <c r="J640" i="13"/>
  <c r="F640" i="13"/>
  <c r="A640" i="13"/>
  <c r="F639" i="13"/>
  <c r="A639" i="13"/>
  <c r="F638" i="13"/>
  <c r="A638" i="13"/>
  <c r="F637" i="13"/>
  <c r="A637" i="13"/>
  <c r="J636" i="13"/>
  <c r="F636" i="13"/>
  <c r="A636" i="13"/>
  <c r="J635" i="13"/>
  <c r="F635" i="13"/>
  <c r="A635" i="13"/>
  <c r="F634" i="13"/>
  <c r="A634" i="13"/>
  <c r="F633" i="13"/>
  <c r="A633" i="13"/>
  <c r="F632" i="13"/>
  <c r="A632" i="13"/>
  <c r="J631" i="13"/>
  <c r="F631" i="13"/>
  <c r="A631" i="13"/>
  <c r="J630" i="13"/>
  <c r="F630" i="13"/>
  <c r="A630" i="13"/>
  <c r="J629" i="13"/>
  <c r="F629" i="13"/>
  <c r="A629" i="13"/>
  <c r="J628" i="13"/>
  <c r="F628" i="13"/>
  <c r="A628" i="13"/>
  <c r="F627" i="13"/>
  <c r="A627" i="13"/>
  <c r="F626" i="13"/>
  <c r="A626" i="13"/>
  <c r="J625" i="13"/>
  <c r="F625" i="13"/>
  <c r="A625" i="13"/>
  <c r="J624" i="13"/>
  <c r="F624" i="13"/>
  <c r="A624" i="13"/>
  <c r="J623" i="13"/>
  <c r="F623" i="13"/>
  <c r="A623" i="13"/>
  <c r="F622" i="13"/>
  <c r="A622" i="13"/>
  <c r="J621" i="13"/>
  <c r="F621" i="13"/>
  <c r="A621" i="13"/>
  <c r="J620" i="13"/>
  <c r="F620" i="13"/>
  <c r="A620" i="13"/>
  <c r="J619" i="13"/>
  <c r="F619" i="13"/>
  <c r="A619" i="13"/>
  <c r="J618" i="13"/>
  <c r="F618" i="13"/>
  <c r="A618" i="13"/>
  <c r="F617" i="13"/>
  <c r="A617" i="13"/>
  <c r="J616" i="13"/>
  <c r="F616" i="13"/>
  <c r="A616" i="13"/>
  <c r="J615" i="13"/>
  <c r="F615" i="13"/>
  <c r="A615" i="13"/>
  <c r="J614" i="13"/>
  <c r="F614" i="13"/>
  <c r="A614" i="13"/>
  <c r="J613" i="13"/>
  <c r="F613" i="13"/>
  <c r="A613" i="13"/>
  <c r="J612" i="13"/>
  <c r="F612" i="13"/>
  <c r="A612" i="13"/>
  <c r="J611" i="13"/>
  <c r="F611" i="13"/>
  <c r="A611" i="13"/>
  <c r="F610" i="13"/>
  <c r="A610" i="13"/>
  <c r="J609" i="13"/>
  <c r="F609" i="13"/>
  <c r="A609" i="13"/>
  <c r="J608" i="13"/>
  <c r="F608" i="13"/>
  <c r="A608" i="13"/>
  <c r="J607" i="13"/>
  <c r="F607" i="13"/>
  <c r="A607" i="13"/>
  <c r="F606" i="13"/>
  <c r="A606" i="13"/>
  <c r="J605" i="13"/>
  <c r="F605" i="13"/>
  <c r="A605" i="13"/>
  <c r="J604" i="13"/>
  <c r="F604" i="13"/>
  <c r="A604" i="13"/>
  <c r="F603" i="13"/>
  <c r="A603" i="13"/>
  <c r="J602" i="13"/>
  <c r="F602" i="13"/>
  <c r="A602" i="13"/>
  <c r="J601" i="13"/>
  <c r="F601" i="13"/>
  <c r="A601" i="13"/>
  <c r="J600" i="13"/>
  <c r="F600" i="13"/>
  <c r="A600" i="13"/>
  <c r="J599" i="13"/>
  <c r="F599" i="13"/>
  <c r="A599" i="13"/>
  <c r="J598" i="13"/>
  <c r="F598" i="13"/>
  <c r="A598" i="13"/>
  <c r="F597" i="13"/>
  <c r="A597" i="13"/>
  <c r="J596" i="13"/>
  <c r="F596" i="13"/>
  <c r="A596" i="13"/>
  <c r="J595" i="13"/>
  <c r="F595" i="13"/>
  <c r="A595" i="13"/>
  <c r="F594" i="13"/>
  <c r="A594" i="13"/>
  <c r="J593" i="13"/>
  <c r="F593" i="13"/>
  <c r="A593" i="13"/>
  <c r="J592" i="13"/>
  <c r="F592" i="13"/>
  <c r="A592" i="13"/>
  <c r="J591" i="13"/>
  <c r="F591" i="13"/>
  <c r="A591" i="13"/>
  <c r="F590" i="13"/>
  <c r="A590" i="13"/>
  <c r="F589" i="13"/>
  <c r="A589" i="13"/>
  <c r="F588" i="13"/>
  <c r="A588" i="13"/>
  <c r="F587" i="13"/>
  <c r="A587" i="13"/>
  <c r="J586" i="13"/>
  <c r="F586" i="13"/>
  <c r="A586" i="13"/>
  <c r="J585" i="13"/>
  <c r="F585" i="13"/>
  <c r="A585" i="13"/>
  <c r="J584" i="13"/>
  <c r="F584" i="13"/>
  <c r="A584" i="13"/>
  <c r="J583" i="13"/>
  <c r="F583" i="13"/>
  <c r="A583" i="13"/>
  <c r="J582" i="13"/>
  <c r="F582" i="13"/>
  <c r="A582" i="13"/>
  <c r="J581" i="13"/>
  <c r="F581" i="13"/>
  <c r="A581" i="13"/>
  <c r="F580" i="13"/>
  <c r="A580" i="13"/>
  <c r="F579" i="13"/>
  <c r="A579" i="13"/>
  <c r="J578" i="13"/>
  <c r="F578" i="13"/>
  <c r="A578" i="13"/>
  <c r="J577" i="13"/>
  <c r="F577" i="13"/>
  <c r="A577" i="13"/>
  <c r="J576" i="13"/>
  <c r="F576" i="13"/>
  <c r="A576" i="13"/>
  <c r="J575" i="13"/>
  <c r="F575" i="13"/>
  <c r="A575" i="13"/>
  <c r="F574" i="13"/>
  <c r="A574" i="13"/>
  <c r="F573" i="13"/>
  <c r="A573" i="13"/>
  <c r="J572" i="13"/>
  <c r="F572" i="13"/>
  <c r="A572" i="13"/>
  <c r="F571" i="13"/>
  <c r="A571" i="13"/>
  <c r="F570" i="13"/>
  <c r="A570" i="13"/>
  <c r="F569" i="13"/>
  <c r="A569" i="13"/>
  <c r="F568" i="13"/>
  <c r="A568" i="13"/>
  <c r="F567" i="13"/>
  <c r="A567" i="13"/>
  <c r="F566" i="13"/>
  <c r="A566" i="13"/>
  <c r="F565" i="13"/>
  <c r="A565" i="13"/>
  <c r="F564" i="13"/>
  <c r="A564" i="13"/>
  <c r="F563" i="13"/>
  <c r="A563" i="13"/>
  <c r="F562" i="13"/>
  <c r="A562" i="13"/>
  <c r="F561" i="13"/>
  <c r="A561" i="13"/>
  <c r="F560" i="13"/>
  <c r="A560" i="13"/>
  <c r="J559" i="13"/>
  <c r="F559" i="13"/>
  <c r="A559" i="13"/>
  <c r="J558" i="13"/>
  <c r="F558" i="13"/>
  <c r="A558" i="13"/>
  <c r="J557" i="13"/>
  <c r="F557" i="13"/>
  <c r="A557" i="13"/>
  <c r="J556" i="13"/>
  <c r="F556" i="13"/>
  <c r="A556" i="13"/>
  <c r="J555" i="13"/>
  <c r="F555" i="13"/>
  <c r="A555" i="13"/>
  <c r="J554" i="13"/>
  <c r="F554" i="13"/>
  <c r="A554" i="13"/>
  <c r="J553" i="13"/>
  <c r="F553" i="13"/>
  <c r="A553" i="13"/>
  <c r="F552" i="13"/>
  <c r="A552" i="13"/>
  <c r="F551" i="13"/>
  <c r="A551" i="13"/>
  <c r="J550" i="13"/>
  <c r="F550" i="13"/>
  <c r="A550" i="13"/>
  <c r="J549" i="13"/>
  <c r="F549" i="13"/>
  <c r="A549" i="13"/>
  <c r="F548" i="13"/>
  <c r="A548" i="13"/>
  <c r="J547" i="13"/>
  <c r="F547" i="13"/>
  <c r="A547" i="13"/>
  <c r="F546" i="13"/>
  <c r="A546" i="13"/>
  <c r="J545" i="13"/>
  <c r="F545" i="13"/>
  <c r="A545" i="13"/>
  <c r="J544" i="13"/>
  <c r="F544" i="13"/>
  <c r="A544" i="13"/>
  <c r="F543" i="13"/>
  <c r="A543" i="13"/>
  <c r="F542" i="13"/>
  <c r="A542" i="13"/>
  <c r="J541" i="13"/>
  <c r="F541" i="13"/>
  <c r="A541" i="13"/>
  <c r="J540" i="13"/>
  <c r="F540" i="13"/>
  <c r="A540" i="13"/>
  <c r="F539" i="13"/>
  <c r="A539" i="13"/>
  <c r="F538" i="13"/>
  <c r="A538" i="13"/>
  <c r="F537" i="13"/>
  <c r="A537" i="13"/>
  <c r="F536" i="13"/>
  <c r="A536" i="13"/>
  <c r="F535" i="13"/>
  <c r="A535" i="13"/>
  <c r="F534" i="13"/>
  <c r="A534" i="13"/>
  <c r="J533" i="13"/>
  <c r="F533" i="13"/>
  <c r="A533" i="13"/>
  <c r="J532" i="13"/>
  <c r="F532" i="13"/>
  <c r="A532" i="13"/>
  <c r="F531" i="13"/>
  <c r="A531" i="13"/>
  <c r="F530" i="13"/>
  <c r="A530" i="13"/>
  <c r="F529" i="13"/>
  <c r="A529" i="13"/>
  <c r="J528" i="13"/>
  <c r="F528" i="13"/>
  <c r="A528" i="13"/>
  <c r="J527" i="13"/>
  <c r="F527" i="13"/>
  <c r="A527" i="13"/>
  <c r="J526" i="13"/>
  <c r="F526" i="13"/>
  <c r="A526" i="13"/>
  <c r="J525" i="13"/>
  <c r="F525" i="13"/>
  <c r="A525" i="13"/>
  <c r="J524" i="13"/>
  <c r="F524" i="13"/>
  <c r="A524" i="13"/>
  <c r="F523" i="13"/>
  <c r="A523" i="13"/>
  <c r="F522" i="13"/>
  <c r="A522" i="13"/>
  <c r="F521" i="13"/>
  <c r="A521" i="13"/>
  <c r="F520" i="13"/>
  <c r="A520" i="13"/>
  <c r="F519" i="13"/>
  <c r="A519" i="13"/>
  <c r="F518" i="13"/>
  <c r="A518" i="13"/>
  <c r="F517" i="13"/>
  <c r="A517" i="13"/>
  <c r="J516" i="13"/>
  <c r="F516" i="13"/>
  <c r="A516" i="13"/>
  <c r="F515" i="13"/>
  <c r="A515" i="13"/>
  <c r="F514" i="13"/>
  <c r="A514" i="13"/>
  <c r="F513" i="13"/>
  <c r="A513" i="13"/>
  <c r="F512" i="13"/>
  <c r="A512" i="13"/>
  <c r="F511" i="13"/>
  <c r="A511" i="13"/>
  <c r="J510" i="13"/>
  <c r="F510" i="13"/>
  <c r="A510" i="13"/>
  <c r="J509" i="13"/>
  <c r="F509" i="13"/>
  <c r="A509" i="13"/>
  <c r="J508" i="13"/>
  <c r="F508" i="13"/>
  <c r="A508" i="13"/>
  <c r="J507" i="13"/>
  <c r="F507" i="13"/>
  <c r="A507" i="13"/>
  <c r="F506" i="13"/>
  <c r="A506" i="13"/>
  <c r="F505" i="13"/>
  <c r="A505" i="13"/>
  <c r="F504" i="13"/>
  <c r="A504" i="13"/>
  <c r="J503" i="13"/>
  <c r="F503" i="13"/>
  <c r="A503" i="13"/>
  <c r="J502" i="13"/>
  <c r="F502" i="13"/>
  <c r="A502" i="13"/>
  <c r="J501" i="13"/>
  <c r="F501" i="13"/>
  <c r="A501" i="13"/>
  <c r="J500" i="13"/>
  <c r="F500" i="13"/>
  <c r="A500" i="13"/>
  <c r="F499" i="13"/>
  <c r="A499" i="13"/>
  <c r="F498" i="13"/>
  <c r="A498" i="13"/>
  <c r="F497" i="13"/>
  <c r="A497" i="13"/>
  <c r="F496" i="13"/>
  <c r="A496" i="13"/>
  <c r="F495" i="13"/>
  <c r="A495" i="13"/>
  <c r="F494" i="13"/>
  <c r="A494" i="13"/>
  <c r="F493" i="13"/>
  <c r="A493" i="13"/>
  <c r="F492" i="13"/>
  <c r="A492" i="13"/>
  <c r="F491" i="13"/>
  <c r="A491" i="13"/>
  <c r="F490" i="13"/>
  <c r="A490" i="13"/>
  <c r="F489" i="13"/>
  <c r="A489" i="13"/>
  <c r="F488" i="13"/>
  <c r="A488" i="13"/>
  <c r="F487" i="13"/>
  <c r="A487" i="13"/>
  <c r="J486" i="13"/>
  <c r="F486" i="13"/>
  <c r="A486" i="13"/>
  <c r="J485" i="13"/>
  <c r="F485" i="13"/>
  <c r="A485" i="13"/>
  <c r="F484" i="13"/>
  <c r="A484" i="13"/>
  <c r="F483" i="13"/>
  <c r="A483" i="13"/>
  <c r="F482" i="13"/>
  <c r="A482" i="13"/>
  <c r="F481" i="13"/>
  <c r="A481" i="13"/>
  <c r="F480" i="13"/>
  <c r="A480" i="13"/>
  <c r="F479" i="13"/>
  <c r="A479" i="13"/>
  <c r="F478" i="13"/>
  <c r="A478" i="13"/>
  <c r="F477" i="13"/>
  <c r="A477" i="13"/>
  <c r="F476" i="13"/>
  <c r="A476" i="13"/>
  <c r="F475" i="13"/>
  <c r="A475" i="13"/>
  <c r="F474" i="13"/>
  <c r="A474" i="13"/>
  <c r="F473" i="13"/>
  <c r="A473" i="13"/>
  <c r="F472" i="13"/>
  <c r="A472" i="13"/>
  <c r="F471" i="13"/>
  <c r="A471" i="13"/>
  <c r="F470" i="13"/>
  <c r="A470" i="13"/>
  <c r="F469" i="13"/>
  <c r="A469" i="13"/>
  <c r="F468" i="13"/>
  <c r="A468" i="13"/>
  <c r="F467" i="13"/>
  <c r="A467" i="13"/>
  <c r="F466" i="13"/>
  <c r="A466" i="13"/>
  <c r="J465" i="13"/>
  <c r="F465" i="13"/>
  <c r="A465" i="13"/>
  <c r="F464" i="13"/>
  <c r="A464" i="13"/>
  <c r="F463" i="13"/>
  <c r="A463" i="13"/>
  <c r="J462" i="13"/>
  <c r="F462" i="13"/>
  <c r="A462" i="13"/>
  <c r="J461" i="13"/>
  <c r="F461" i="13"/>
  <c r="A461" i="13"/>
  <c r="J460" i="13"/>
  <c r="F460" i="13"/>
  <c r="A460" i="13"/>
  <c r="J459" i="13"/>
  <c r="F459" i="13"/>
  <c r="A459" i="13"/>
  <c r="F458" i="13"/>
  <c r="A458" i="13"/>
  <c r="J457" i="13"/>
  <c r="F457" i="13"/>
  <c r="J456" i="13"/>
  <c r="F456" i="13"/>
  <c r="A456" i="13"/>
  <c r="J455" i="13"/>
  <c r="F455" i="13"/>
  <c r="A455" i="13"/>
  <c r="J454" i="13"/>
  <c r="F454" i="13"/>
  <c r="A454" i="13"/>
  <c r="F453" i="13"/>
  <c r="A453" i="13"/>
  <c r="F452" i="13"/>
  <c r="A452" i="13"/>
  <c r="J451" i="13"/>
  <c r="F451" i="13"/>
  <c r="A451" i="13"/>
  <c r="J450" i="13"/>
  <c r="F450" i="13"/>
  <c r="A450" i="13"/>
  <c r="F449" i="13"/>
  <c r="A449" i="13"/>
  <c r="J448" i="13"/>
  <c r="F448" i="13"/>
  <c r="A448" i="13"/>
  <c r="J447" i="13"/>
  <c r="F447" i="13"/>
  <c r="A447" i="13"/>
  <c r="F446" i="13"/>
  <c r="A446" i="13"/>
  <c r="F445" i="13"/>
  <c r="A445" i="13"/>
  <c r="F444" i="13"/>
  <c r="A444" i="13"/>
  <c r="F443" i="13"/>
  <c r="A443" i="13"/>
  <c r="F442" i="13"/>
  <c r="A442" i="13"/>
  <c r="F441" i="13"/>
  <c r="A441" i="13"/>
  <c r="J440" i="13"/>
  <c r="F440" i="13"/>
  <c r="A440" i="13"/>
  <c r="F439" i="13"/>
  <c r="A439" i="13"/>
  <c r="F438" i="13"/>
  <c r="A438" i="13"/>
  <c r="J437" i="13"/>
  <c r="F437" i="13"/>
  <c r="A437" i="13"/>
  <c r="J436" i="13"/>
  <c r="F436" i="13"/>
  <c r="A436" i="13"/>
  <c r="F435" i="13"/>
  <c r="A435" i="13"/>
  <c r="F434" i="13"/>
  <c r="A434" i="13"/>
  <c r="F433" i="13"/>
  <c r="A433" i="13"/>
  <c r="F432" i="13"/>
  <c r="A432" i="13"/>
  <c r="F431" i="13"/>
  <c r="A431" i="13"/>
  <c r="F430" i="13"/>
  <c r="A430" i="13"/>
  <c r="J429" i="13"/>
  <c r="F429" i="13"/>
  <c r="F428" i="13"/>
  <c r="A428" i="13"/>
  <c r="J427" i="13"/>
  <c r="F427" i="13"/>
  <c r="A427" i="13"/>
  <c r="F426" i="13"/>
  <c r="A426" i="13"/>
  <c r="F425" i="13"/>
  <c r="A425" i="13"/>
  <c r="J424" i="13"/>
  <c r="F424" i="13"/>
  <c r="A424" i="13"/>
  <c r="F423" i="13"/>
  <c r="A423" i="13"/>
  <c r="F422" i="13"/>
  <c r="A422" i="13"/>
  <c r="F421" i="13"/>
  <c r="A421" i="13"/>
  <c r="F420" i="13"/>
  <c r="A420" i="13"/>
  <c r="F419" i="13"/>
  <c r="A419" i="13"/>
  <c r="F418" i="13"/>
  <c r="A418" i="13"/>
  <c r="F417" i="13"/>
  <c r="A417" i="13"/>
  <c r="F416" i="13"/>
  <c r="A416" i="13"/>
  <c r="F415" i="13"/>
  <c r="A415" i="13"/>
  <c r="F414" i="13"/>
  <c r="A414" i="13"/>
  <c r="F413" i="13"/>
  <c r="A413" i="13"/>
  <c r="F412" i="13"/>
  <c r="A412" i="13"/>
  <c r="F411" i="13"/>
  <c r="A411" i="13"/>
  <c r="F410" i="13"/>
  <c r="A410" i="13"/>
  <c r="F409" i="13"/>
  <c r="A409" i="13"/>
  <c r="F408" i="13"/>
  <c r="A408" i="13"/>
  <c r="F407" i="13"/>
  <c r="A407" i="13"/>
  <c r="F406" i="13"/>
  <c r="A406" i="13"/>
  <c r="F405" i="13"/>
  <c r="A405" i="13"/>
  <c r="F404" i="13"/>
  <c r="A404" i="13"/>
  <c r="F403" i="13"/>
  <c r="A403" i="13"/>
  <c r="F402" i="13"/>
  <c r="A402" i="13"/>
  <c r="F401" i="13"/>
  <c r="A401" i="13"/>
  <c r="J400" i="13"/>
  <c r="F400" i="13"/>
  <c r="A400" i="13"/>
  <c r="J399" i="13"/>
  <c r="F399" i="13"/>
  <c r="A399" i="13"/>
  <c r="J398" i="13"/>
  <c r="F398" i="13"/>
  <c r="A398" i="13"/>
  <c r="F397" i="13"/>
  <c r="A397" i="13"/>
  <c r="F396" i="13"/>
  <c r="A396" i="13"/>
  <c r="F395" i="13"/>
  <c r="A395" i="13"/>
  <c r="F394" i="13"/>
  <c r="A394" i="13"/>
  <c r="F393" i="13"/>
  <c r="A393" i="13"/>
  <c r="F392" i="13"/>
  <c r="A392" i="13"/>
  <c r="F391" i="13"/>
  <c r="A391" i="13"/>
  <c r="F390" i="13"/>
  <c r="A390" i="13"/>
  <c r="F389" i="13"/>
  <c r="A389" i="13"/>
  <c r="F388" i="13"/>
  <c r="A388" i="13"/>
  <c r="F387" i="13"/>
  <c r="A387" i="13"/>
  <c r="F386" i="13"/>
  <c r="A386" i="13"/>
  <c r="F385" i="13"/>
  <c r="A385" i="13"/>
  <c r="F384" i="13"/>
  <c r="A384" i="13"/>
  <c r="F383" i="13"/>
  <c r="A383" i="13"/>
  <c r="F382" i="13"/>
  <c r="A382" i="13"/>
  <c r="F381" i="13"/>
  <c r="A381" i="13"/>
  <c r="F380" i="13"/>
  <c r="A380" i="13"/>
  <c r="F379" i="13"/>
  <c r="A379" i="13"/>
  <c r="F378" i="13"/>
  <c r="A378" i="13"/>
  <c r="F377" i="13"/>
  <c r="A377" i="13"/>
  <c r="F376" i="13"/>
  <c r="A376" i="13"/>
  <c r="J375" i="13"/>
  <c r="F375" i="13"/>
  <c r="A375" i="13"/>
  <c r="F374" i="13"/>
  <c r="A374" i="13"/>
  <c r="F373" i="13"/>
  <c r="A373" i="13"/>
  <c r="F372" i="13"/>
  <c r="A372" i="13"/>
  <c r="F371" i="13"/>
  <c r="A371" i="13"/>
  <c r="J370" i="13"/>
  <c r="F370" i="13"/>
  <c r="A370" i="13"/>
  <c r="F369" i="13"/>
  <c r="A369" i="13"/>
  <c r="F368" i="13"/>
  <c r="A368" i="13"/>
  <c r="F367" i="13"/>
  <c r="A367" i="13"/>
  <c r="F366" i="13"/>
  <c r="A366" i="13"/>
  <c r="F365" i="13"/>
  <c r="A365" i="13"/>
  <c r="F364" i="13"/>
  <c r="A364" i="13"/>
  <c r="F363" i="13"/>
  <c r="A363" i="13"/>
  <c r="F362" i="13"/>
  <c r="A362" i="13"/>
  <c r="F361" i="13"/>
  <c r="A361" i="13"/>
  <c r="F360" i="13"/>
  <c r="A360" i="13"/>
  <c r="J359" i="13"/>
  <c r="F359" i="13"/>
  <c r="A359" i="13"/>
  <c r="F358" i="13"/>
  <c r="A358" i="13"/>
  <c r="F357" i="13"/>
  <c r="A357" i="13"/>
  <c r="F356" i="13"/>
  <c r="A356" i="13"/>
  <c r="F355" i="13"/>
  <c r="A355" i="13"/>
  <c r="F354" i="13"/>
  <c r="A354" i="13"/>
  <c r="F353" i="13"/>
  <c r="A353" i="13"/>
  <c r="F352" i="13"/>
  <c r="A352" i="13"/>
  <c r="F351" i="13"/>
  <c r="A351" i="13"/>
  <c r="F350" i="13"/>
  <c r="A350" i="13"/>
  <c r="F349" i="13"/>
  <c r="A349" i="13"/>
  <c r="F348" i="13"/>
  <c r="A348" i="13"/>
  <c r="F347" i="13"/>
  <c r="A347" i="13"/>
  <c r="F346" i="13"/>
  <c r="A346" i="13"/>
  <c r="F345" i="13"/>
  <c r="A345" i="13"/>
  <c r="F344" i="13"/>
  <c r="A344" i="13"/>
  <c r="F343" i="13"/>
  <c r="A343" i="13"/>
  <c r="F342" i="13"/>
  <c r="A342" i="13"/>
  <c r="F341" i="13"/>
  <c r="A341" i="13"/>
  <c r="F340" i="13"/>
  <c r="A340" i="13"/>
  <c r="F339" i="13"/>
  <c r="A339" i="13"/>
  <c r="F338" i="13"/>
  <c r="A338" i="13"/>
  <c r="F337" i="13"/>
  <c r="A337" i="13"/>
  <c r="J336" i="13"/>
  <c r="F336" i="13"/>
  <c r="A336" i="13"/>
  <c r="F335" i="13"/>
  <c r="A335" i="13"/>
  <c r="F334" i="13"/>
  <c r="A334" i="13"/>
  <c r="F333" i="13"/>
  <c r="A333" i="13"/>
  <c r="F332" i="13"/>
  <c r="A332" i="13"/>
  <c r="F331" i="13"/>
  <c r="A331" i="13"/>
  <c r="F330" i="13"/>
  <c r="A330" i="13"/>
  <c r="F329" i="13"/>
  <c r="A329" i="13"/>
  <c r="F328" i="13"/>
  <c r="A328" i="13"/>
  <c r="F327" i="13"/>
  <c r="A327" i="13"/>
  <c r="F326" i="13"/>
  <c r="A326" i="13"/>
  <c r="F325" i="13"/>
  <c r="A325" i="13"/>
  <c r="F324" i="13"/>
  <c r="A324" i="13"/>
  <c r="F323" i="13"/>
  <c r="A323" i="13"/>
  <c r="F322" i="13"/>
  <c r="A322" i="13"/>
  <c r="F321" i="13"/>
  <c r="A321" i="13"/>
  <c r="F320" i="13"/>
  <c r="A320" i="13"/>
  <c r="F319" i="13"/>
  <c r="A319" i="13"/>
  <c r="F318" i="13"/>
  <c r="A318" i="13"/>
  <c r="F317" i="13"/>
  <c r="A317" i="13"/>
  <c r="F316" i="13"/>
  <c r="A316" i="13"/>
  <c r="F315" i="13"/>
  <c r="A315" i="13"/>
  <c r="F314" i="13"/>
  <c r="A314" i="13"/>
  <c r="F313" i="13"/>
  <c r="A313" i="13"/>
  <c r="F312" i="13"/>
  <c r="A312" i="13"/>
  <c r="F311" i="13"/>
  <c r="A311" i="13"/>
  <c r="F310" i="13"/>
  <c r="A310" i="13"/>
  <c r="F309" i="13"/>
  <c r="A309" i="13"/>
  <c r="F308" i="13"/>
  <c r="A308" i="13"/>
  <c r="F307" i="13"/>
  <c r="A307" i="13"/>
  <c r="F306" i="13"/>
  <c r="A306" i="13"/>
  <c r="F305" i="13"/>
  <c r="A305" i="13"/>
  <c r="F304" i="13"/>
  <c r="A304" i="13"/>
  <c r="F303" i="13"/>
  <c r="A303" i="13"/>
  <c r="F302" i="13"/>
  <c r="A302" i="13"/>
  <c r="F301" i="13"/>
  <c r="A301" i="13"/>
  <c r="F300" i="13"/>
  <c r="A300" i="13"/>
  <c r="F299" i="13"/>
  <c r="A299" i="13"/>
  <c r="F298" i="13"/>
  <c r="A298" i="13"/>
  <c r="F297" i="13"/>
  <c r="A297" i="13"/>
  <c r="F296" i="13"/>
  <c r="A296" i="13"/>
  <c r="F295" i="13"/>
  <c r="A295" i="13"/>
  <c r="F294" i="13"/>
  <c r="A294" i="13"/>
  <c r="F293" i="13"/>
  <c r="A293" i="13"/>
  <c r="F292" i="13"/>
  <c r="A292" i="13"/>
  <c r="F291" i="13"/>
  <c r="A291" i="13"/>
  <c r="F290" i="13"/>
  <c r="A290" i="13"/>
  <c r="F289" i="13"/>
  <c r="A289" i="13"/>
  <c r="F288" i="13"/>
  <c r="A288" i="13"/>
  <c r="F287" i="13"/>
  <c r="A287" i="13"/>
  <c r="F286" i="13"/>
  <c r="A286" i="13"/>
  <c r="F285" i="13"/>
  <c r="A285" i="13"/>
  <c r="F284" i="13"/>
  <c r="A284" i="13"/>
  <c r="F283" i="13"/>
  <c r="A283" i="13"/>
  <c r="F282" i="13"/>
  <c r="A282" i="13"/>
  <c r="F281" i="13"/>
  <c r="A281" i="13"/>
  <c r="F280" i="13"/>
  <c r="A280" i="13"/>
  <c r="F279" i="13"/>
  <c r="A279" i="13"/>
  <c r="F278" i="13"/>
  <c r="A278" i="13"/>
  <c r="F277" i="13"/>
  <c r="A277" i="13"/>
  <c r="F276" i="13"/>
  <c r="A276" i="13"/>
  <c r="F275" i="13"/>
  <c r="A275" i="13"/>
  <c r="F274" i="13"/>
  <c r="A274" i="13"/>
  <c r="F273" i="13"/>
  <c r="A273" i="13"/>
  <c r="J272" i="13"/>
  <c r="F272" i="13"/>
  <c r="F271" i="13"/>
  <c r="A271" i="13"/>
  <c r="F270" i="13"/>
  <c r="A270" i="13"/>
  <c r="F269" i="13"/>
  <c r="A269" i="13"/>
  <c r="F268" i="13"/>
  <c r="A268" i="13"/>
  <c r="F267" i="13"/>
  <c r="A267" i="13"/>
  <c r="F266" i="13"/>
  <c r="A266" i="13"/>
  <c r="F265" i="13"/>
  <c r="A265" i="13"/>
  <c r="F264" i="13"/>
  <c r="A264" i="13"/>
  <c r="F263" i="13"/>
  <c r="A263" i="13"/>
  <c r="F262" i="13"/>
  <c r="A262" i="13"/>
  <c r="F261" i="13"/>
  <c r="A261" i="13"/>
  <c r="F260" i="13"/>
  <c r="A260" i="13"/>
  <c r="F259" i="13"/>
  <c r="A259" i="13"/>
  <c r="F258" i="13"/>
  <c r="A258" i="13"/>
  <c r="F257" i="13"/>
  <c r="A257" i="13"/>
  <c r="F256" i="13"/>
  <c r="A256" i="13"/>
  <c r="F255" i="13"/>
  <c r="A255" i="13"/>
  <c r="F254" i="13"/>
  <c r="A254" i="13"/>
  <c r="F253" i="13"/>
  <c r="A253" i="13"/>
  <c r="F252" i="13"/>
  <c r="A252" i="13"/>
  <c r="J251" i="13"/>
  <c r="F251" i="13"/>
  <c r="F250" i="13"/>
  <c r="A250" i="13"/>
  <c r="F249" i="13"/>
  <c r="A249" i="13"/>
  <c r="F248" i="13"/>
  <c r="A248" i="13"/>
  <c r="F247" i="13"/>
  <c r="A247" i="13"/>
  <c r="F246" i="13"/>
  <c r="A246" i="13"/>
  <c r="F245" i="13"/>
  <c r="A245" i="13"/>
  <c r="F244" i="13"/>
  <c r="A244" i="13"/>
  <c r="F243" i="13"/>
  <c r="A243" i="13"/>
  <c r="F242" i="13"/>
  <c r="A242" i="13"/>
  <c r="F241" i="13"/>
  <c r="A241" i="13"/>
  <c r="F240" i="13"/>
  <c r="A240" i="13"/>
  <c r="F239" i="13"/>
  <c r="A239" i="13"/>
  <c r="F238" i="13"/>
  <c r="A238" i="13"/>
  <c r="F237" i="13"/>
  <c r="A237" i="13"/>
  <c r="F236" i="13"/>
  <c r="A236" i="13"/>
  <c r="F235" i="13"/>
  <c r="A235" i="13"/>
  <c r="F234" i="13"/>
  <c r="A234" i="13"/>
  <c r="F233" i="13"/>
  <c r="A233" i="13"/>
  <c r="F232" i="13"/>
  <c r="A232" i="13"/>
  <c r="F231" i="13"/>
  <c r="A231" i="13"/>
  <c r="F230" i="13"/>
  <c r="A230" i="13"/>
  <c r="F229" i="13"/>
  <c r="A229" i="13"/>
  <c r="F228" i="13"/>
  <c r="A228" i="13"/>
  <c r="F227" i="13"/>
  <c r="A227" i="13"/>
  <c r="F226" i="13"/>
  <c r="A226" i="13"/>
  <c r="F225" i="13"/>
  <c r="A225" i="13"/>
  <c r="F224" i="13"/>
  <c r="A224" i="13"/>
  <c r="F223" i="13"/>
  <c r="A223" i="13"/>
  <c r="F222" i="13"/>
  <c r="A222" i="13"/>
  <c r="F221" i="13"/>
  <c r="A221" i="13"/>
  <c r="F220" i="13"/>
  <c r="A220" i="13"/>
  <c r="F219" i="13"/>
  <c r="A219" i="13"/>
  <c r="J218" i="13"/>
  <c r="F218" i="13"/>
  <c r="A218" i="13"/>
  <c r="F217" i="13"/>
  <c r="A217" i="13"/>
  <c r="F216" i="13"/>
  <c r="A216" i="13"/>
  <c r="F215" i="13"/>
  <c r="A215" i="13"/>
  <c r="F214" i="13"/>
  <c r="A214" i="13"/>
  <c r="F213" i="13"/>
  <c r="A213" i="13"/>
  <c r="F212" i="13"/>
  <c r="A212" i="13"/>
  <c r="F211" i="13"/>
  <c r="A211" i="13"/>
  <c r="F210" i="13"/>
  <c r="A210" i="13"/>
  <c r="F209" i="13"/>
  <c r="A209" i="13"/>
  <c r="F208" i="13"/>
  <c r="A208" i="13"/>
  <c r="F207" i="13"/>
  <c r="A207" i="13"/>
  <c r="F206" i="13"/>
  <c r="A206" i="13"/>
  <c r="F205" i="13"/>
  <c r="A205" i="13"/>
  <c r="F204" i="13"/>
  <c r="A204" i="13"/>
  <c r="F203" i="13"/>
  <c r="A203" i="13"/>
  <c r="F202" i="13"/>
  <c r="A202" i="13"/>
  <c r="F201" i="13"/>
  <c r="A201" i="13"/>
  <c r="F200" i="13"/>
  <c r="A200" i="13"/>
  <c r="F199" i="13"/>
  <c r="A199" i="13"/>
  <c r="F198" i="13"/>
  <c r="A198" i="13"/>
  <c r="F197" i="13"/>
  <c r="A197" i="13"/>
  <c r="F196" i="13"/>
  <c r="A196" i="13"/>
  <c r="F195" i="13"/>
  <c r="A195" i="13"/>
  <c r="F194" i="13"/>
  <c r="A194" i="13"/>
  <c r="F193" i="13"/>
  <c r="A193" i="13"/>
  <c r="F192" i="13"/>
  <c r="A192" i="13"/>
  <c r="F191" i="13"/>
  <c r="A191" i="13"/>
  <c r="F190" i="13"/>
  <c r="A190" i="13"/>
  <c r="F189" i="13"/>
  <c r="A189" i="13"/>
  <c r="F188" i="13"/>
  <c r="A188" i="13"/>
  <c r="F187" i="13"/>
  <c r="A187" i="13"/>
  <c r="F186" i="13"/>
  <c r="A186" i="13"/>
  <c r="F185" i="13"/>
  <c r="A185" i="13"/>
  <c r="F184" i="13"/>
  <c r="A184" i="13"/>
  <c r="F183" i="13"/>
  <c r="A183" i="13"/>
  <c r="F182" i="13"/>
  <c r="A182" i="13"/>
  <c r="F181" i="13"/>
  <c r="A181" i="13"/>
  <c r="F180" i="13"/>
  <c r="A180" i="13"/>
  <c r="F179" i="13"/>
  <c r="A179" i="13"/>
  <c r="F178" i="13"/>
  <c r="A178" i="13"/>
  <c r="F177" i="13"/>
  <c r="A177" i="13"/>
  <c r="F176" i="13"/>
  <c r="A176" i="13"/>
  <c r="F175" i="13"/>
  <c r="A175" i="13"/>
  <c r="F174" i="13"/>
  <c r="A174" i="13"/>
  <c r="F173" i="13"/>
  <c r="A173" i="13"/>
  <c r="F172" i="13"/>
  <c r="A172" i="13"/>
  <c r="F171" i="13"/>
  <c r="A171" i="13"/>
  <c r="F170" i="13"/>
  <c r="A170" i="13"/>
  <c r="F169" i="13"/>
  <c r="A169" i="13"/>
  <c r="F168" i="13"/>
  <c r="A168" i="13"/>
  <c r="F167" i="13"/>
  <c r="A167" i="13"/>
  <c r="F166" i="13"/>
  <c r="A166" i="13"/>
  <c r="F165" i="13"/>
  <c r="A165" i="13"/>
  <c r="F164" i="13"/>
  <c r="A164" i="13"/>
  <c r="F163" i="13"/>
  <c r="A163" i="13"/>
  <c r="F162" i="13"/>
  <c r="A162" i="13"/>
  <c r="F161" i="13"/>
  <c r="A161" i="13"/>
  <c r="F160" i="13"/>
  <c r="A160" i="13"/>
  <c r="F159" i="13"/>
  <c r="A159" i="13"/>
  <c r="F158" i="13"/>
  <c r="A158" i="13"/>
  <c r="F157" i="13"/>
  <c r="A157" i="13"/>
  <c r="F156" i="13"/>
  <c r="A156" i="13"/>
  <c r="F155" i="13"/>
  <c r="A155" i="13"/>
  <c r="F154" i="13"/>
  <c r="A154" i="13"/>
  <c r="F153" i="13"/>
  <c r="A153" i="13"/>
  <c r="F152" i="13"/>
  <c r="A152" i="13"/>
  <c r="F151" i="13"/>
  <c r="A151" i="13"/>
  <c r="F150" i="13"/>
  <c r="A150" i="13"/>
  <c r="F149" i="13"/>
  <c r="A149" i="13"/>
  <c r="F148" i="13"/>
  <c r="A148" i="13"/>
  <c r="F147" i="13"/>
  <c r="A147" i="13"/>
  <c r="F146" i="13"/>
  <c r="A146" i="13"/>
  <c r="F145" i="13"/>
  <c r="A145" i="13"/>
  <c r="F144" i="13"/>
  <c r="A144" i="13"/>
  <c r="F143" i="13"/>
  <c r="A143" i="13"/>
  <c r="F142" i="13"/>
  <c r="A142" i="13"/>
  <c r="F141" i="13"/>
  <c r="A141" i="13"/>
  <c r="F140" i="13"/>
  <c r="A140" i="13"/>
  <c r="F139" i="13"/>
  <c r="A139" i="13"/>
  <c r="F138" i="13"/>
  <c r="A138" i="13"/>
  <c r="F137" i="13"/>
  <c r="A137" i="13"/>
  <c r="F136" i="13"/>
  <c r="A136" i="13"/>
  <c r="F135" i="13"/>
  <c r="A135" i="13"/>
  <c r="F134" i="13"/>
  <c r="A134" i="13"/>
  <c r="F133" i="13"/>
  <c r="A133" i="13"/>
  <c r="F132" i="13"/>
  <c r="A132" i="13"/>
  <c r="F131" i="13"/>
  <c r="A131" i="13"/>
  <c r="F130" i="13"/>
  <c r="A130" i="13"/>
  <c r="F129" i="13"/>
  <c r="A129" i="13"/>
  <c r="F128" i="13"/>
  <c r="A128" i="13"/>
  <c r="F127" i="13"/>
  <c r="A127" i="13"/>
  <c r="F126" i="13"/>
  <c r="A126" i="13"/>
  <c r="F125" i="13"/>
  <c r="A125" i="13"/>
  <c r="F124" i="13"/>
  <c r="A124" i="13"/>
  <c r="F123" i="13"/>
  <c r="A123" i="13"/>
  <c r="F122" i="13"/>
  <c r="A122" i="13"/>
  <c r="F121" i="13"/>
  <c r="A121" i="13"/>
  <c r="F120" i="13"/>
  <c r="A120" i="13"/>
  <c r="F119" i="13"/>
  <c r="A119" i="13"/>
  <c r="F118" i="13"/>
  <c r="A118" i="13"/>
  <c r="F117" i="13"/>
  <c r="A117" i="13"/>
  <c r="F116" i="13"/>
  <c r="A116" i="13"/>
  <c r="F115" i="13"/>
  <c r="A115" i="13"/>
  <c r="F114" i="13"/>
  <c r="A114" i="13"/>
  <c r="F113" i="13"/>
  <c r="A113" i="13"/>
  <c r="F112" i="13"/>
  <c r="A112" i="13"/>
  <c r="F111" i="13"/>
  <c r="A111" i="13"/>
  <c r="F110" i="13"/>
  <c r="A110" i="13"/>
  <c r="F109" i="13"/>
  <c r="A109" i="13"/>
  <c r="F108" i="13"/>
  <c r="A108" i="13"/>
  <c r="F107" i="13"/>
  <c r="A107" i="13"/>
  <c r="F106" i="13"/>
  <c r="A106" i="13"/>
  <c r="F105" i="13"/>
  <c r="A105" i="13"/>
  <c r="F104" i="13"/>
  <c r="A104" i="13"/>
  <c r="F103" i="13"/>
  <c r="A103" i="13"/>
  <c r="F102" i="13"/>
  <c r="A102" i="13"/>
  <c r="F101" i="13"/>
  <c r="A101" i="13"/>
  <c r="F100" i="13"/>
  <c r="A100" i="13"/>
  <c r="F99" i="13"/>
  <c r="A99" i="13"/>
  <c r="F98" i="13"/>
  <c r="A98" i="13"/>
  <c r="F97" i="13"/>
  <c r="A97" i="13"/>
  <c r="F96" i="13"/>
  <c r="A96" i="13"/>
  <c r="F95" i="13"/>
  <c r="A95" i="13"/>
  <c r="F94" i="13"/>
  <c r="A94" i="13"/>
  <c r="F93" i="13"/>
  <c r="A93" i="13"/>
  <c r="F92" i="13"/>
  <c r="A92" i="13"/>
  <c r="F91" i="13"/>
  <c r="A91" i="13"/>
  <c r="F90" i="13"/>
  <c r="A90" i="13"/>
  <c r="F89" i="13"/>
  <c r="A89" i="13"/>
  <c r="F88" i="13"/>
  <c r="A88" i="13"/>
  <c r="F87" i="13"/>
  <c r="A87" i="13"/>
  <c r="F86" i="13"/>
  <c r="A86" i="13"/>
  <c r="F85" i="13"/>
  <c r="A85" i="13"/>
  <c r="F84" i="13"/>
  <c r="A84" i="13"/>
  <c r="F83" i="13"/>
  <c r="A83" i="13"/>
  <c r="F82" i="13"/>
  <c r="A82" i="13"/>
  <c r="F81" i="13"/>
  <c r="A81" i="13"/>
  <c r="F80" i="13"/>
  <c r="A80" i="13"/>
  <c r="F79" i="13"/>
  <c r="A79" i="13"/>
  <c r="F78" i="13"/>
  <c r="A78" i="13"/>
  <c r="F77" i="13"/>
  <c r="A77" i="13"/>
  <c r="F76" i="13"/>
  <c r="A76" i="13"/>
  <c r="F75" i="13"/>
  <c r="A75" i="13"/>
  <c r="F74" i="13"/>
  <c r="A74" i="13"/>
  <c r="F73" i="13"/>
  <c r="A73" i="13"/>
  <c r="F72" i="13"/>
  <c r="A72" i="13"/>
  <c r="F71" i="13"/>
  <c r="A71" i="13"/>
  <c r="F70" i="13"/>
  <c r="A70" i="13"/>
  <c r="F69" i="13"/>
  <c r="A69" i="13"/>
  <c r="F68" i="13"/>
  <c r="A68" i="13"/>
  <c r="F67" i="13"/>
  <c r="A67" i="13"/>
  <c r="F66" i="13"/>
  <c r="A66" i="13"/>
  <c r="F65" i="13"/>
  <c r="A65" i="13"/>
  <c r="F64" i="13"/>
  <c r="A64" i="13"/>
  <c r="F63" i="13"/>
  <c r="A63" i="13"/>
  <c r="F62" i="13"/>
  <c r="A62" i="13"/>
  <c r="F61" i="13"/>
  <c r="A61" i="13"/>
  <c r="F60" i="13"/>
  <c r="A60" i="13"/>
  <c r="F59" i="13"/>
  <c r="A59" i="13"/>
  <c r="F58" i="13"/>
  <c r="A58" i="13"/>
  <c r="F57" i="13"/>
  <c r="A57" i="13"/>
  <c r="F56" i="13"/>
  <c r="A56" i="13"/>
  <c r="F55" i="13"/>
  <c r="A55" i="13"/>
  <c r="F54" i="13"/>
  <c r="A54" i="13"/>
  <c r="F53" i="13"/>
  <c r="A53" i="13"/>
  <c r="F52" i="13"/>
  <c r="A52" i="13"/>
  <c r="F51" i="13"/>
  <c r="A51" i="13"/>
  <c r="F50" i="13"/>
  <c r="A50" i="13"/>
  <c r="F49" i="13"/>
  <c r="A49" i="13"/>
  <c r="F48" i="13"/>
  <c r="A48" i="13"/>
  <c r="F47" i="13"/>
  <c r="A47" i="13"/>
  <c r="F46" i="13"/>
  <c r="A46" i="13"/>
  <c r="F45" i="13"/>
  <c r="A45" i="13"/>
  <c r="F44" i="13"/>
  <c r="A44" i="13"/>
  <c r="F43" i="13"/>
  <c r="A43" i="13"/>
  <c r="F42" i="13"/>
  <c r="A42" i="13"/>
  <c r="F41" i="13"/>
  <c r="A41" i="13"/>
  <c r="F40" i="13"/>
  <c r="A40" i="13"/>
  <c r="F39" i="13"/>
  <c r="A39" i="13"/>
  <c r="F38" i="13"/>
  <c r="A38" i="13"/>
  <c r="F37" i="13"/>
  <c r="A37" i="13"/>
  <c r="F36" i="13"/>
  <c r="A36" i="13"/>
  <c r="J35" i="13"/>
  <c r="F35" i="13"/>
  <c r="F34" i="13"/>
  <c r="A34" i="13"/>
  <c r="F33" i="13"/>
  <c r="A33" i="13"/>
  <c r="F32" i="13"/>
  <c r="A32" i="13"/>
  <c r="F31" i="13"/>
  <c r="A31" i="13"/>
  <c r="F30" i="13"/>
  <c r="A30" i="13"/>
  <c r="F29" i="13"/>
  <c r="A29" i="13"/>
  <c r="F28" i="13"/>
  <c r="A28" i="13"/>
  <c r="F27" i="13"/>
  <c r="A27" i="13"/>
  <c r="F26" i="13"/>
  <c r="A26" i="13"/>
  <c r="F25" i="13"/>
  <c r="A25" i="13"/>
  <c r="F24" i="13"/>
  <c r="F23" i="13"/>
  <c r="A23" i="13"/>
  <c r="F22" i="13"/>
  <c r="A22" i="13"/>
  <c r="F21" i="13"/>
  <c r="A21" i="13"/>
  <c r="F20" i="13"/>
  <c r="A20" i="13"/>
  <c r="F19" i="13"/>
  <c r="A19" i="13"/>
  <c r="F18" i="13"/>
  <c r="A18" i="13"/>
  <c r="F17" i="13"/>
  <c r="A17" i="13"/>
  <c r="F16" i="13"/>
  <c r="A16" i="13"/>
  <c r="F15" i="13"/>
  <c r="A15" i="13"/>
  <c r="F14" i="13"/>
  <c r="A14" i="13"/>
  <c r="F13" i="13"/>
  <c r="A13" i="13"/>
  <c r="F12" i="13"/>
  <c r="A12" i="13"/>
  <c r="F11" i="13"/>
  <c r="A11" i="13"/>
  <c r="F10" i="13"/>
  <c r="A10" i="13"/>
  <c r="F9" i="13"/>
  <c r="A9" i="13"/>
  <c r="F8" i="13"/>
  <c r="A8" i="13"/>
  <c r="F7" i="13"/>
  <c r="A7" i="13"/>
  <c r="F6" i="13"/>
  <c r="A6" i="13"/>
  <c r="F5" i="13"/>
  <c r="A5" i="13"/>
  <c r="J4" i="13"/>
  <c r="F4" i="13"/>
  <c r="F3" i="13"/>
  <c r="A3" i="13"/>
</calcChain>
</file>

<file path=xl/sharedStrings.xml><?xml version="1.0" encoding="utf-8"?>
<sst xmlns="http://schemas.openxmlformats.org/spreadsheetml/2006/main" count="146445" uniqueCount="19095">
  <si>
    <t>Текстовое поле</t>
  </si>
  <si>
    <t>Направление</t>
  </si>
  <si>
    <t>Форма публикации</t>
  </si>
  <si>
    <t>Регион поставки</t>
  </si>
  <si>
    <t>Источник</t>
  </si>
  <si>
    <t>ИНН</t>
  </si>
  <si>
    <t>*Публикация</t>
  </si>
  <si>
    <t xml:space="preserve">Найдено публикаций всего*: </t>
  </si>
  <si>
    <t>Стоимость, руб.</t>
  </si>
  <si>
    <t>Дата построения отчета:</t>
  </si>
  <si>
    <t>Победитель</t>
  </si>
  <si>
    <t>Наименование публикации</t>
  </si>
  <si>
    <t>Предложение</t>
  </si>
  <si>
    <t>Дата публикации</t>
  </si>
  <si>
    <t>Публикация</t>
  </si>
  <si>
    <t>Спрос</t>
  </si>
  <si>
    <t>Стоимость
(руб.)</t>
  </si>
  <si>
    <t xml:space="preserve">Выбрано публикаций: </t>
  </si>
  <si>
    <t>Снижение на торгах,%</t>
  </si>
  <si>
    <t>Параметры поиска в реестре Торгов:</t>
  </si>
  <si>
    <t>Размер обеспечения заявки, руб.</t>
  </si>
  <si>
    <t>Размер обеспечения контракта, руб.</t>
  </si>
  <si>
    <t>Торговые площадки</t>
  </si>
  <si>
    <t>Типы торгов</t>
  </si>
  <si>
    <t>Источник финансирования</t>
  </si>
  <si>
    <t>Дата начала</t>
  </si>
  <si>
    <t>Дата окончания</t>
  </si>
  <si>
    <t>Сфера деятельности</t>
  </si>
  <si>
    <t>Список торгов</t>
  </si>
  <si>
    <t>КБК</t>
  </si>
  <si>
    <t>Торговая процедура в разрезе лотов, контрактов или позиций плана-графика</t>
  </si>
  <si>
    <t>Город поставки</t>
  </si>
  <si>
    <t>По цвету</t>
  </si>
  <si>
    <t>Организатор</t>
  </si>
  <si>
    <t>Реестровый номер</t>
  </si>
  <si>
    <t>Поставщик</t>
  </si>
  <si>
    <t>Заказчик</t>
  </si>
  <si>
    <t>Все отмеченные заказчики в одной публикации</t>
  </si>
  <si>
    <t>Все отмеченные поставщики в одной публикации</t>
  </si>
  <si>
    <t>(&lt;реагирование сотрудников&gt; или &lt;охрана имущества&gt; ИЛИ &lt;пультовая охрана&gt; ИЛИ &lt;тревожная кнопка&gt; ИЛИ (установка или техническое обслуживание или техобслуживание или &lt;=ТО&gt; или обслуживание) (&lt;средства охраны&gt; или  видео* или сигнализация) ИЛИ (охрана) (груза или имущества или автомобиль или железнодорожный или состав или контейнер ) или (охрана или защита)(&lt;транспортное средство&gt; или &lt;транспортная инфраструктура&gt;) ИЛИ  &lt;охрана объекта&gt; или &lt;сопровождение объекта&gt; или &lt;обеспечение пропускного режима&gt; ИЛИ &lt;охрана ржд&gt; ИЛИ &lt;охрана джв*&gt; или &lt;транспортная безопасность&gt; ИЛИ &lt;автосопровождение грузов&gt; ИЛИ &lt;сопровождение грузов&gt; или &lt;охранные услуги&gt; или &lt;защита объектов транспортной&gt; или &lt;обеспечение порядка&gt; или &lt;охрана сотрудников&gt;) не образовательный не слушание не ремонт не аттестация  не лифт не обучение не &lt;проектная документация&gt; не проектно-изыскат* не проектирование не испытан* не оценка не &lt;информационная безопасность&gt; не билет не &lt;проектные работы&gt; не телекоммуникацион* не пожар* не команда не медицин* не вода не &lt;информационные услуги&gt; не предрейсовый не мебель не &lt;проектные работы&gt; не &lt;расходные материалы&gt; не историко* не компьютер* не корм не кадастр* не &lt;транспортные услуги&gt; не аренда не страхование не &lt;запасные части&gt; не &lt;хозяйственные товары&gt; не &lt;электро-бытовые товары&gt; не культурное не печатный не архив не бумага не радиостанция не телефон не типографский не &lt;технический осмотр&gt; не уборка не шины не &lt;поставка автомобиля&gt; не &lt;программное обеспечение&gt; не курьер* не &lt;поставка транспортных средств&gt; не &lt;поставка автотранспортных средств&gt; не уголь не &lt;поставка автотранспорта&gt; не аккумулятор не картридж  не мусор не снег не трава не водоснабжение не мыло не мытье не растение не &lt;поставка приборов&gt; не канцелярск* не лицензия не &lt;поставка оборудования&gt; не &lt;обеспечение участия&gt; не  &lt;поставка средств&gt; не &lt;обслуживание недвижимого&gt; не &lt;реализация автомобиля&gt; не &lt;реализация транспортных средств&gt; не эколог* не бланк не удостоверение не бланочн* не интернет* не &lt;поставка оборудования&gt; не учебно-методический не банков* не &lt;поставка устройств&gt; не &lt;бытовая техника&gt; не кровель* не обмундирование не археолог* не метод* не &lt;поставка транспорта&gt; не алкотестер не &lt;животный мир&gt; не освидетель* не медосмотр не оружие не исследование не перевозка не &lt;закупка транспортного средства&gt; не &lt;индивидуальная защита&gt; не дыхательный не водоох* не &lt;программный комплекс&gt; не &lt;программный продукт&gt; не &lt;=ТМЦ&gt; не топливо не &lt;услуги связи&gt; не корреспонд* не благоустройство не аудит* не справочно-правовой не &lt;защита тайны&gt; не &lt;защита гостайны&gt; не &lt;поставка видеокамер&gt; не огнетушит* не патрон не &lt;источник питания&gt; не дозимет* не &lt;доступ к сети&gt; не огнезащитный не ноутбук не огнетуш* не энергетический не &lt;мобильная связь&gt; не радиосвязь не &lt;поставка фотоловушек&gt; не светильник</t>
  </si>
  <si>
    <t>c 01.01.2019 по 18.10.2019</t>
  </si>
  <si>
    <t>Весь период</t>
  </si>
  <si>
    <t>-</t>
  </si>
  <si>
    <t>Торговая процедура</t>
  </si>
  <si>
    <t>Нет</t>
  </si>
  <si>
    <t>НЕ Продукция и услуги сельского хозяйства и охоты; НЕ Изделия текстильные готовые (кроме одежды); НЕ Одежда, кроме одежды из меха; НЕ Кокс и нефтепродукты; НЕ Мыло и средства моющие, средства чистящие и полирующие, средства парфюмерные и косметические; НЕ Услуги по техническому обслуживанию и ремонту автотранспортных средств; НЕ Услуги телекоммуникационные проводные; НЕ Услуги в области образования; НЕ Услуги частных охранных служб; НЕ Услуги систем обеспечения безопасности</t>
  </si>
  <si>
    <t>Отчет формируется по первым 10 000 публикаций</t>
  </si>
  <si>
    <t>6315376946</t>
  </si>
  <si>
    <t>31908396708</t>
  </si>
  <si>
    <t>[ОКПД2 43.21] Работы электромонтажные, [ОКВЭД2 43.21] Производство электромонтажных работ</t>
  </si>
  <si>
    <t>Московская область</t>
  </si>
  <si>
    <t>Красногорск</t>
  </si>
  <si>
    <t/>
  </si>
  <si>
    <t>Неизвестно</t>
  </si>
  <si>
    <t>73006638214152962</t>
  </si>
  <si>
    <t>Москва</t>
  </si>
  <si>
    <t>7710016640</t>
  </si>
  <si>
    <t>7427000559</t>
  </si>
  <si>
    <t>0369600036419000250</t>
  </si>
  <si>
    <t>[ОКПД2 43.21] Работы электромонтажные</t>
  </si>
  <si>
    <t>Челябинская область</t>
  </si>
  <si>
    <t>Брединский район</t>
  </si>
  <si>
    <t>5260214123</t>
  </si>
  <si>
    <t>ATOM17101900369</t>
  </si>
  <si>
    <t>Нижегородская область</t>
  </si>
  <si>
    <t>Нижний Новгород</t>
  </si>
  <si>
    <t>6501154700</t>
  </si>
  <si>
    <t>0161100000419000035</t>
  </si>
  <si>
    <t>[ОКПД2 84.24] Услуги по обеспечению общественного порядка и безопасности</t>
  </si>
  <si>
    <t>Сахалинская область</t>
  </si>
  <si>
    <t>6636003664</t>
  </si>
  <si>
    <t>0162300011119000094</t>
  </si>
  <si>
    <t>Свердловская область</t>
  </si>
  <si>
    <t>Артинский район</t>
  </si>
  <si>
    <t>5038038450</t>
  </si>
  <si>
    <t>902390</t>
  </si>
  <si>
    <t>Пушкинский район</t>
  </si>
  <si>
    <t>6452118182</t>
  </si>
  <si>
    <t>0360200054019000174</t>
  </si>
  <si>
    <t>[ОКПД2 43.29] Работы строительно-монтажные прочие</t>
  </si>
  <si>
    <t>Саратовская область</t>
  </si>
  <si>
    <t>Саратов</t>
  </si>
  <si>
    <t>6646002170</t>
  </si>
  <si>
    <t>0162300038619000026</t>
  </si>
  <si>
    <t>[ОКПД2 33.20] Услуги по монтажу промышленных машин и оборудования</t>
  </si>
  <si>
    <t>Нижнесергинский район</t>
  </si>
  <si>
    <t>ББ2019-0143(ЗКО)</t>
  </si>
  <si>
    <t>7821006887</t>
  </si>
  <si>
    <t>0372100048819000599</t>
  </si>
  <si>
    <t>Санкт-Петербург</t>
  </si>
  <si>
    <t>4025062831</t>
  </si>
  <si>
    <t>100110512219000281</t>
  </si>
  <si>
    <t>5256033357</t>
  </si>
  <si>
    <t>0332200023019000036</t>
  </si>
  <si>
    <t>1830003120</t>
  </si>
  <si>
    <t>0813500000119013578</t>
  </si>
  <si>
    <t>Удмуртская Республика</t>
  </si>
  <si>
    <t>Можга</t>
  </si>
  <si>
    <t>0245956682</t>
  </si>
  <si>
    <t>0801300012819000204</t>
  </si>
  <si>
    <t>Республика Башкортостан</t>
  </si>
  <si>
    <t>5034083847</t>
  </si>
  <si>
    <t>902284</t>
  </si>
  <si>
    <t>[ОКПД2 33.13] Услуги по ремонту электронного и оптического оборудования</t>
  </si>
  <si>
    <t>Орехово-Зуево</t>
  </si>
  <si>
    <t>5024058841</t>
  </si>
  <si>
    <t>902309</t>
  </si>
  <si>
    <t>[ОКПД2 33.12] Услуги по ремонту оборудования</t>
  </si>
  <si>
    <t>0711035900</t>
  </si>
  <si>
    <t>0104300014419000226</t>
  </si>
  <si>
    <t>Кабардино-Балкарская Республика</t>
  </si>
  <si>
    <t>Нальчик</t>
  </si>
  <si>
    <t>7744001497</t>
  </si>
  <si>
    <t>ГП934739</t>
  </si>
  <si>
    <t>[ОКПД2 26+] Оборудование компьютерное, электронное и оптическое</t>
  </si>
  <si>
    <t>7713046032</t>
  </si>
  <si>
    <t>0373200593419000058</t>
  </si>
  <si>
    <t>8604032722</t>
  </si>
  <si>
    <t>0387200029319000064</t>
  </si>
  <si>
    <t>Ханты-Мансийский автономный округ - Югра</t>
  </si>
  <si>
    <t>Нефтеюганск</t>
  </si>
  <si>
    <t>Совместные торги</t>
  </si>
  <si>
    <t>0172200002719000067</t>
  </si>
  <si>
    <t>7825431280</t>
  </si>
  <si>
    <t>7825127160</t>
  </si>
  <si>
    <t>7825128389</t>
  </si>
  <si>
    <t>7825128460</t>
  </si>
  <si>
    <t>7825128438</t>
  </si>
  <si>
    <t>7825427452</t>
  </si>
  <si>
    <t>7825128082</t>
  </si>
  <si>
    <t>2303013299</t>
  </si>
  <si>
    <t>100283563219000021</t>
  </si>
  <si>
    <t>Краснодарский край</t>
  </si>
  <si>
    <t>Белореченск</t>
  </si>
  <si>
    <t>72962207498895619</t>
  </si>
  <si>
    <t>2723049957</t>
  </si>
  <si>
    <t>30425</t>
  </si>
  <si>
    <t>[ОКПД2 33.13] Услуги по ремонту электронного и оптического оборудования, [ОКВЭД2 33.13] Ремонт электронного и оптического оборудования</t>
  </si>
  <si>
    <t>Хабаровский край</t>
  </si>
  <si>
    <t>Комсомольск-на-Амуре</t>
  </si>
  <si>
    <t>6027133249</t>
  </si>
  <si>
    <t>0157100007419000049</t>
  </si>
  <si>
    <t>Псковская область</t>
  </si>
  <si>
    <t>1365874</t>
  </si>
  <si>
    <t>[ОКПД2 84.24] Услуги по обеспечению общественного порядка и безопасности, [ОКВЭД2 84.24] Деятельность по обеспечению общественного порядка и безопасности</t>
  </si>
  <si>
    <t>Владимирская область</t>
  </si>
  <si>
    <t>Владимир</t>
  </si>
  <si>
    <t>7014006870</t>
  </si>
  <si>
    <t>31908403500</t>
  </si>
  <si>
    <t>[ОКПД2 26.51] Оборудование для измерения, испытаний и навигации, [ОКВЭД2 26.51] Производство инструментов и приборов для измерения, тестирования и навигации</t>
  </si>
  <si>
    <t>Томская область</t>
  </si>
  <si>
    <t>Томский район</t>
  </si>
  <si>
    <t>7606053324</t>
  </si>
  <si>
    <t>31908412704</t>
  </si>
  <si>
    <t>[ОКПД2 80.3+] Услуги по проведению расследований, [ОКВЭД2 80.3+] Деятельность по расследованию</t>
  </si>
  <si>
    <t>Ярославская область</t>
  </si>
  <si>
    <t>Ярославль</t>
  </si>
  <si>
    <t>7717609102</t>
  </si>
  <si>
    <t>1366067</t>
  </si>
  <si>
    <t>7024029499</t>
  </si>
  <si>
    <t>1366176</t>
  </si>
  <si>
    <t>Северск</t>
  </si>
  <si>
    <t>7743773042</t>
  </si>
  <si>
    <t>7708503727</t>
  </si>
  <si>
    <t>31908412078</t>
  </si>
  <si>
    <t>[ОКПД2 62.09] Услуги в области информационных технологий прочие и компьютерные услуги, [ОКВЭД2 62.09] Деятельность, связанная с использованием вычислительной техники и информационных технологий, прочая</t>
  </si>
  <si>
    <t>31908409064</t>
  </si>
  <si>
    <t>123100000-MTR</t>
  </si>
  <si>
    <t>31908412587</t>
  </si>
  <si>
    <t>1366597</t>
  </si>
  <si>
    <t>1366622</t>
  </si>
  <si>
    <t>31908412662</t>
  </si>
  <si>
    <t>[ОКПД2 80.30] Услуги по проведению расследований, [ОКВЭД2 80.30] Деятельность по расследованию</t>
  </si>
  <si>
    <t>3117000921</t>
  </si>
  <si>
    <t>31908405125</t>
  </si>
  <si>
    <t>[ОКПД2 33.14] Услуги по ремонту электрического оборудования, [ОКВЭД2 33.14] Ремонт электрического оборудования</t>
  </si>
  <si>
    <t>Белгородская область</t>
  </si>
  <si>
    <t>Ровеньский район</t>
  </si>
  <si>
    <t>7736110982</t>
  </si>
  <si>
    <t>901492</t>
  </si>
  <si>
    <t>[ОКПД2 28.99] Оборудование специального назначения прочее, не включенное в другие группировки</t>
  </si>
  <si>
    <t>7707575567</t>
  </si>
  <si>
    <t>0373100084419000450</t>
  </si>
  <si>
    <t>[ОКПД2 81.10] Услуги по комплексному обслуживанию помещений</t>
  </si>
  <si>
    <t>6231012981</t>
  </si>
  <si>
    <t>0859200001119013134</t>
  </si>
  <si>
    <t>Рязанская область</t>
  </si>
  <si>
    <t>Рязань</t>
  </si>
  <si>
    <t>5191502336</t>
  </si>
  <si>
    <t>0149100003619000142</t>
  </si>
  <si>
    <t>Мурманская область</t>
  </si>
  <si>
    <t>Мурманск</t>
  </si>
  <si>
    <t>5072712937</t>
  </si>
  <si>
    <t>900803</t>
  </si>
  <si>
    <t>[ОКПД2 26.40] Техника бытовая электронная</t>
  </si>
  <si>
    <t>Луховицы</t>
  </si>
  <si>
    <t>8607009577</t>
  </si>
  <si>
    <t>0187300010119000213</t>
  </si>
  <si>
    <t>Лангепас</t>
  </si>
  <si>
    <t>7606111858</t>
  </si>
  <si>
    <t>100164163219000082</t>
  </si>
  <si>
    <t>1632008687</t>
  </si>
  <si>
    <t>0111300029819000159</t>
  </si>
  <si>
    <t>[ОКПД2 84.13] Услуги государственного управления по повышению эффективности коммерческой деятельности предприятий</t>
  </si>
  <si>
    <t>Республика Татарстан</t>
  </si>
  <si>
    <t>Нурлат</t>
  </si>
  <si>
    <t>5407129381</t>
  </si>
  <si>
    <t>0351100002719000467</t>
  </si>
  <si>
    <t>[ОКПД2 26.30] Оборудование коммуникационное</t>
  </si>
  <si>
    <t>Новосибирская область</t>
  </si>
  <si>
    <t>Новосибирск</t>
  </si>
  <si>
    <t>7721632827</t>
  </si>
  <si>
    <t>ATOM16101900257</t>
  </si>
  <si>
    <t>3231001656</t>
  </si>
  <si>
    <t>100249474219000079</t>
  </si>
  <si>
    <t>Брянская область</t>
  </si>
  <si>
    <t>Унечский район</t>
  </si>
  <si>
    <t>0111300029819000160</t>
  </si>
  <si>
    <t>[ОКПД2 71.12] Услуги в области инженерно-технического проектирования и связанные технические консультативные услуги</t>
  </si>
  <si>
    <t>7445040219</t>
  </si>
  <si>
    <t>0369300102519000057</t>
  </si>
  <si>
    <t>Магнитогорск</t>
  </si>
  <si>
    <t>0265016447</t>
  </si>
  <si>
    <t>0201100005819000011</t>
  </si>
  <si>
    <t>Октябрьский</t>
  </si>
  <si>
    <t>6507009996</t>
  </si>
  <si>
    <t>0361200015019006704</t>
  </si>
  <si>
    <t>Поронайск</t>
  </si>
  <si>
    <t>2801128045</t>
  </si>
  <si>
    <t>0123200000319003093</t>
  </si>
  <si>
    <t>Амурская область</t>
  </si>
  <si>
    <t>Благовещенск</t>
  </si>
  <si>
    <t>7444200607</t>
  </si>
  <si>
    <t>0369100050819000103</t>
  </si>
  <si>
    <t>[ОКПД2 95.12] Услуги по ремонту коммуникационного оборудования</t>
  </si>
  <si>
    <t>5050027952</t>
  </si>
  <si>
    <t>900053</t>
  </si>
  <si>
    <t>5011005867</t>
  </si>
  <si>
    <t>900057</t>
  </si>
  <si>
    <t>Егорьевск</t>
  </si>
  <si>
    <t>7710661801</t>
  </si>
  <si>
    <t>0373200138219001046</t>
  </si>
  <si>
    <t>5040088280</t>
  </si>
  <si>
    <t>899816</t>
  </si>
  <si>
    <t>Раменский район</t>
  </si>
  <si>
    <t>3921002800</t>
  </si>
  <si>
    <t>0335300004319000060</t>
  </si>
  <si>
    <t>Калининградская область</t>
  </si>
  <si>
    <t>Озерский район</t>
  </si>
  <si>
    <t>7728264570</t>
  </si>
  <si>
    <t>100287305119000030</t>
  </si>
  <si>
    <t>Тверская область</t>
  </si>
  <si>
    <t>Тверь</t>
  </si>
  <si>
    <t>2721086505</t>
  </si>
  <si>
    <t>100196450219000065</t>
  </si>
  <si>
    <t>Хабаровск</t>
  </si>
  <si>
    <t>2628007530</t>
  </si>
  <si>
    <t>0321100019319000033</t>
  </si>
  <si>
    <t>Ставропольский край</t>
  </si>
  <si>
    <t>Кисловодск</t>
  </si>
  <si>
    <t>3227002216</t>
  </si>
  <si>
    <t>0127200000219006108</t>
  </si>
  <si>
    <t>Стародубский район</t>
  </si>
  <si>
    <t>5044090378</t>
  </si>
  <si>
    <t>899544</t>
  </si>
  <si>
    <t>Солнечногорский район</t>
  </si>
  <si>
    <t>899520</t>
  </si>
  <si>
    <t>Красногорский район</t>
  </si>
  <si>
    <t>6619003093</t>
  </si>
  <si>
    <t>0162300009419000014</t>
  </si>
  <si>
    <t>Красноуфимск</t>
  </si>
  <si>
    <t>2700000786</t>
  </si>
  <si>
    <t>100193569219000067</t>
  </si>
  <si>
    <t>7702352454</t>
  </si>
  <si>
    <t>31908407377</t>
  </si>
  <si>
    <t>[ОКПД2 84+] Услуги в области государственного управления и обеспечения военной безопасности, услуги в области обязательного социального обеспечения, [ОКВЭД2 84.24] Деятельность по обеспечению общественного порядка и безопасности</t>
  </si>
  <si>
    <t>1365045</t>
  </si>
  <si>
    <t>31908403958</t>
  </si>
  <si>
    <t>[ОКПД2 43.9+] Работы строительные специализированные прочие, [ОКВЭД2 43.9+] Работы строительные специализированные прочие</t>
  </si>
  <si>
    <t>3803101040</t>
  </si>
  <si>
    <t>31908403609</t>
  </si>
  <si>
    <t>Иркутская область</t>
  </si>
  <si>
    <t>Братск</t>
  </si>
  <si>
    <t>31908406199</t>
  </si>
  <si>
    <t>[ОКПД2 82.99] Услуги вспомогательные, связанные с предпринимательской деятельностью, прочие, не включенные в другие группировки, [ОКВЭД2 80.10] Деятельность частных охранных служб</t>
  </si>
  <si>
    <t>191016/0670/541</t>
  </si>
  <si>
    <t>7601001509</t>
  </si>
  <si>
    <t>1365447</t>
  </si>
  <si>
    <t>5011036819</t>
  </si>
  <si>
    <t>0848300046019000660</t>
  </si>
  <si>
    <t>7706452851</t>
  </si>
  <si>
    <t>ATOM15101900328</t>
  </si>
  <si>
    <t>5017048480</t>
  </si>
  <si>
    <t>899297</t>
  </si>
  <si>
    <t>[ОКПД2 95.21] Услуги по ремонту приборов бытовой электроники</t>
  </si>
  <si>
    <t>Истра</t>
  </si>
  <si>
    <t>5043013998</t>
  </si>
  <si>
    <t>899298</t>
  </si>
  <si>
    <t>[ОКПД2 62.02] Услуги консультативные, связанные с компьютерной техникой</t>
  </si>
  <si>
    <t>Серпухов</t>
  </si>
  <si>
    <t>899253</t>
  </si>
  <si>
    <t>1639028805</t>
  </si>
  <si>
    <t>326039</t>
  </si>
  <si>
    <t>Казань</t>
  </si>
  <si>
    <t>5003119483</t>
  </si>
  <si>
    <t>899040</t>
  </si>
  <si>
    <t>1644014815</t>
  </si>
  <si>
    <t>ЗП-191015-141</t>
  </si>
  <si>
    <t>Альметьевск</t>
  </si>
  <si>
    <t>8901014010</t>
  </si>
  <si>
    <t>0190200000319010673</t>
  </si>
  <si>
    <t>Ямало-Ненецкий автономный округ</t>
  </si>
  <si>
    <t>Салехард</t>
  </si>
  <si>
    <t>1657238273</t>
  </si>
  <si>
    <t>0811500001019000080</t>
  </si>
  <si>
    <t>[ОКПД2 59.11] Услуги по производству кинофильмов, видеофильмов и телевизионных программ</t>
  </si>
  <si>
    <t>3123448020</t>
  </si>
  <si>
    <t>0126200000419004316</t>
  </si>
  <si>
    <t>Белгород</t>
  </si>
  <si>
    <t>3448028903</t>
  </si>
  <si>
    <t>521671</t>
  </si>
  <si>
    <t>7709123968</t>
  </si>
  <si>
    <t>0348200061519000075</t>
  </si>
  <si>
    <t>Мытищи</t>
  </si>
  <si>
    <t>5042004292</t>
  </si>
  <si>
    <t>0348100048919000041</t>
  </si>
  <si>
    <t>Сергиево-Посадский район</t>
  </si>
  <si>
    <t>5034019249</t>
  </si>
  <si>
    <t>898710</t>
  </si>
  <si>
    <t>1326196375</t>
  </si>
  <si>
    <t>100070603219000014</t>
  </si>
  <si>
    <t>Республика Мордовия</t>
  </si>
  <si>
    <t>Саранск</t>
  </si>
  <si>
    <t>5038004331</t>
  </si>
  <si>
    <t>0348100026819000074</t>
  </si>
  <si>
    <t>7810208176</t>
  </si>
  <si>
    <t>0372200046219000027</t>
  </si>
  <si>
    <t>100249474219000076</t>
  </si>
  <si>
    <t>3709004522</t>
  </si>
  <si>
    <t>100022156219000034</t>
  </si>
  <si>
    <t>Ивановская область</t>
  </si>
  <si>
    <t>3447005798</t>
  </si>
  <si>
    <t>0329100020519000065</t>
  </si>
  <si>
    <t>Волгоградская область</t>
  </si>
  <si>
    <t>Волгоград</t>
  </si>
  <si>
    <t>7716035705</t>
  </si>
  <si>
    <t>0373200152819000433</t>
  </si>
  <si>
    <t>7723339790</t>
  </si>
  <si>
    <t>0373200111819000081</t>
  </si>
  <si>
    <t>[ОКПД2 33.14] Услуги по ремонту электрического оборудования</t>
  </si>
  <si>
    <t>7723040720</t>
  </si>
  <si>
    <t>0373200094019000056</t>
  </si>
  <si>
    <t>0323075130</t>
  </si>
  <si>
    <t>100264416119000021</t>
  </si>
  <si>
    <t>Республика Бурятия</t>
  </si>
  <si>
    <t>Улан-Удэ</t>
  </si>
  <si>
    <t>2801007971</t>
  </si>
  <si>
    <t>100292576219000035</t>
  </si>
  <si>
    <t>0326012322</t>
  </si>
  <si>
    <t>100157816219000118</t>
  </si>
  <si>
    <t>31908401665</t>
  </si>
  <si>
    <t>4716016979</t>
  </si>
  <si>
    <t>31908398693</t>
  </si>
  <si>
    <t>[ОКПД2 80+] Услуги по обеспечению безопасности и проведению расследований, [ОКВЭД2 80+] Деятельность по обеспечению безопасности и проведению расследований</t>
  </si>
  <si>
    <t>4218006431</t>
  </si>
  <si>
    <t>31908398911</t>
  </si>
  <si>
    <t>[ОКПД2 26.40] Техника бытовая электронная, [ОКПД2 26.20] Компьютеры и периферийное оборудование, [ОКПД2 25.94] Изделия крепежные и винты крепежные, [ОКПД2 27.12] Аппаратура распределительная и регулирующая электрическая, [ОКПД2 27.32] Провода и кабели электронные и электрические прочие, [ОКПД2 26.30] Оборудование коммуникационное, [ОКПД2 27.33] Изделия электроустановочные, [ОКПД2 33.20] Услуги по монтажу промышленных машин и оборудования, [ОКВЭД2 26.40] Производство бытовой электроники, [ОКВЭД2 26.30] Производство коммуникационного оборудования, [ОКВЭД2 25.94] Производство крепежных изделий, [ОКВЭД2 27.12] Производство электрической распределительной и регулирующей аппаратуры, [ОКВЭД2 27.32] Производство прочих проводов и кабелей для электронного и электрического оборудования, [ОКВЭД2 27.33] Производство электроустановочных изделий, [ОКВЭД2 33.20] Монтаж промышленных машин и оборудования, [ОКВЭД2 26.20] Производство компьютеров и периферийного оборудования</t>
  </si>
  <si>
    <t>Кемеровская область</t>
  </si>
  <si>
    <t>4220039385</t>
  </si>
  <si>
    <t>31908400039</t>
  </si>
  <si>
    <t>[ОКПД2 33.12] Услуги по ремонту оборудования, [ОКВЭД2 33.12] Ремонт машин и оборудования</t>
  </si>
  <si>
    <t>0276053659</t>
  </si>
  <si>
    <t>31908403070</t>
  </si>
  <si>
    <t>Уфа</t>
  </si>
  <si>
    <t>7805368914</t>
  </si>
  <si>
    <t>1363632</t>
  </si>
  <si>
    <t>[ОКПД2 27.90] Оборудование электрическое прочее</t>
  </si>
  <si>
    <t>1831032740</t>
  </si>
  <si>
    <t>31908401686</t>
  </si>
  <si>
    <t>31908403065</t>
  </si>
  <si>
    <t>7802687430</t>
  </si>
  <si>
    <t>1364575</t>
  </si>
  <si>
    <t>1364550</t>
  </si>
  <si>
    <t>31908398841</t>
  </si>
  <si>
    <t>Оренбургская область</t>
  </si>
  <si>
    <t>8901016378</t>
  </si>
  <si>
    <t>31908395685</t>
  </si>
  <si>
    <t>31908400382</t>
  </si>
  <si>
    <t>1364527</t>
  </si>
  <si>
    <t>31908399179</t>
  </si>
  <si>
    <t>[ОКПД2 84.24] Услуги по обеспечению общественного порядка и безопасности, [ОКВЭД2 84.2+] Предоставление государственных услуг обществу</t>
  </si>
  <si>
    <t>Пермский край</t>
  </si>
  <si>
    <t>Пермь</t>
  </si>
  <si>
    <t>31908402287</t>
  </si>
  <si>
    <t>3827000443</t>
  </si>
  <si>
    <t>31908399833</t>
  </si>
  <si>
    <t>[ОКПД2 33.20] Услуги по монтажу промышленных машин и оборудования, [ОКВЭД2 43.21] Производство электромонтажных работ</t>
  </si>
  <si>
    <t>5028016909</t>
  </si>
  <si>
    <t>0848300046119000634</t>
  </si>
  <si>
    <t>Можайск</t>
  </si>
  <si>
    <t>6163072891</t>
  </si>
  <si>
    <t>100082708219000069</t>
  </si>
  <si>
    <t>Ростовская область</t>
  </si>
  <si>
    <t>Ростов-на-Дону</t>
  </si>
  <si>
    <t>3233012798</t>
  </si>
  <si>
    <t>0127200000219006031</t>
  </si>
  <si>
    <t>Брянск</t>
  </si>
  <si>
    <t>2540056611</t>
  </si>
  <si>
    <t>0320200029119000020</t>
  </si>
  <si>
    <t>Приморский край</t>
  </si>
  <si>
    <t>6621011736</t>
  </si>
  <si>
    <t>0162200011819002879</t>
  </si>
  <si>
    <t>Невьянск</t>
  </si>
  <si>
    <t>8617013935</t>
  </si>
  <si>
    <t>0387200030219000093</t>
  </si>
  <si>
    <t>[ОКПД2 33.19] Услуги по ремонту прочего оборудования</t>
  </si>
  <si>
    <t>Сургутский район</t>
  </si>
  <si>
    <t>6517006401</t>
  </si>
  <si>
    <t>0361200015019006633</t>
  </si>
  <si>
    <t>Тымовский район</t>
  </si>
  <si>
    <t>7715020463</t>
  </si>
  <si>
    <t>ATOM14101900261</t>
  </si>
  <si>
    <t>1433029474</t>
  </si>
  <si>
    <t>0816300021819000062</t>
  </si>
  <si>
    <t>Республика Саха</t>
  </si>
  <si>
    <t>Мирный</t>
  </si>
  <si>
    <t>2221016612</t>
  </si>
  <si>
    <t>0817200000319012394</t>
  </si>
  <si>
    <t>Алтайский край</t>
  </si>
  <si>
    <t>Барнаул</t>
  </si>
  <si>
    <t>5001007590</t>
  </si>
  <si>
    <t>0348300062119000315</t>
  </si>
  <si>
    <t>Балашиха</t>
  </si>
  <si>
    <t>1001117010</t>
  </si>
  <si>
    <t>100270319219000068</t>
  </si>
  <si>
    <t>Республика Карелия</t>
  </si>
  <si>
    <t>Петрозаводск</t>
  </si>
  <si>
    <t>7813047463</t>
  </si>
  <si>
    <t>0372100010619000583</t>
  </si>
  <si>
    <t>7728043524</t>
  </si>
  <si>
    <t>0373200028319000037</t>
  </si>
  <si>
    <t>ATOM14101900198</t>
  </si>
  <si>
    <t>7706004345</t>
  </si>
  <si>
    <t>0373200173319000109</t>
  </si>
  <si>
    <t>7302040242</t>
  </si>
  <si>
    <t>ATOM14101900154</t>
  </si>
  <si>
    <t>Ульяновская область</t>
  </si>
  <si>
    <t>Димитровград</t>
  </si>
  <si>
    <t>5919028210</t>
  </si>
  <si>
    <t>0356500001119000497</t>
  </si>
  <si>
    <t>2315083195</t>
  </si>
  <si>
    <t>0318200083519000024</t>
  </si>
  <si>
    <t>Новороссийск</t>
  </si>
  <si>
    <t>8612011211</t>
  </si>
  <si>
    <t>0387200011519000024</t>
  </si>
  <si>
    <t>Пыть-Ях</t>
  </si>
  <si>
    <t>5050031282</t>
  </si>
  <si>
    <t>0848300041219001084</t>
  </si>
  <si>
    <t>Щелковский район</t>
  </si>
  <si>
    <t>7814367258</t>
  </si>
  <si>
    <t>0372200213219000007</t>
  </si>
  <si>
    <t>8602024067</t>
  </si>
  <si>
    <t>0387200026819000101</t>
  </si>
  <si>
    <t>Сургут</t>
  </si>
  <si>
    <t>7826050512</t>
  </si>
  <si>
    <t>0372200190319000011</t>
  </si>
  <si>
    <t>5028018247</t>
  </si>
  <si>
    <t>897263</t>
  </si>
  <si>
    <t>[ОКПД2 26.60] Оборудование для облучения, электрическое диагностическое и терапевтическое, применяемые в медицинских целях, [ОКПД2 25.11] Металлоконструкции строительные и их части, [ОКПД2 26.30] Оборудование коммуникационное</t>
  </si>
  <si>
    <t>6674121179</t>
  </si>
  <si>
    <t>SBR028-1910140012</t>
  </si>
  <si>
    <t>7537002580</t>
  </si>
  <si>
    <t>0891200000619011524</t>
  </si>
  <si>
    <t>Забайкальский край</t>
  </si>
  <si>
    <t>Читинский район</t>
  </si>
  <si>
    <t>0891200000619011526</t>
  </si>
  <si>
    <t>Чита</t>
  </si>
  <si>
    <t>2019-753725</t>
  </si>
  <si>
    <t>6903006879</t>
  </si>
  <si>
    <t>0136200003619006656</t>
  </si>
  <si>
    <t>0136200003619006655</t>
  </si>
  <si>
    <t>0136200003619006657</t>
  </si>
  <si>
    <t>6228020069</t>
  </si>
  <si>
    <t>0859200001119012985</t>
  </si>
  <si>
    <t>0136200003619006660</t>
  </si>
  <si>
    <t>7402002480</t>
  </si>
  <si>
    <t>0369300068719000165</t>
  </si>
  <si>
    <t>[ОКПД2 25.11] Металлоконструкции строительные и их части</t>
  </si>
  <si>
    <t>Верхний Уфалей</t>
  </si>
  <si>
    <t>5752030770</t>
  </si>
  <si>
    <t>0154200000719001766</t>
  </si>
  <si>
    <t>[ОКПД2 74.90] Услуги профессиональные, научные и технические, прочие, не включенные в другие группировки</t>
  </si>
  <si>
    <t>Орловская область</t>
  </si>
  <si>
    <t>3201005156</t>
  </si>
  <si>
    <t>100017765219000073</t>
  </si>
  <si>
    <t>5042069370</t>
  </si>
  <si>
    <t>0848300051719001074</t>
  </si>
  <si>
    <t>5042009621</t>
  </si>
  <si>
    <t>0348300274619000347</t>
  </si>
  <si>
    <t>1658109383</t>
  </si>
  <si>
    <t>0311100031919000008</t>
  </si>
  <si>
    <t>[ОКПД2 32.99] Изделия готовые прочие, не включенные в другие группировки</t>
  </si>
  <si>
    <t>5007045480</t>
  </si>
  <si>
    <t>0848300037419001012</t>
  </si>
  <si>
    <t>Дмитровский район</t>
  </si>
  <si>
    <t>0162300011119000091</t>
  </si>
  <si>
    <t>5072704566</t>
  </si>
  <si>
    <t>896922</t>
  </si>
  <si>
    <t>[ОКПД2 26.51] Оборудование для измерения, испытаний и навигации</t>
  </si>
  <si>
    <t>5007007212</t>
  </si>
  <si>
    <t>0848300037419001003</t>
  </si>
  <si>
    <t>Дмитров</t>
  </si>
  <si>
    <t>5837013491</t>
  </si>
  <si>
    <t>0355100003619000027</t>
  </si>
  <si>
    <t>Пензенская область</t>
  </si>
  <si>
    <t>Пензенский район</t>
  </si>
  <si>
    <t>1363451</t>
  </si>
  <si>
    <t>1363301</t>
  </si>
  <si>
    <t>5503249258</t>
  </si>
  <si>
    <t>31908394161</t>
  </si>
  <si>
    <t>[ОКПД2 33.12] Услуги по ремонту оборудования, [ОКВЭД2 33.2+] Монтаж промышленных машин и оборудования</t>
  </si>
  <si>
    <t>Омская область</t>
  </si>
  <si>
    <t>Омск</t>
  </si>
  <si>
    <t>0268013356</t>
  </si>
  <si>
    <t>31908395178</t>
  </si>
  <si>
    <t>7718979307</t>
  </si>
  <si>
    <t>1362864</t>
  </si>
  <si>
    <t>[ОКПД2 58.19] Услуги в области издательской деятельности прочие</t>
  </si>
  <si>
    <t>7701984274</t>
  </si>
  <si>
    <t>31908397195</t>
  </si>
  <si>
    <t>[ОКПД2 74.90] Услуги профессиональные, научные и технические, прочие, не включенные в другие группировки, [ОКВЭД2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t>
  </si>
  <si>
    <t>5012082423</t>
  </si>
  <si>
    <t>31908395376</t>
  </si>
  <si>
    <t>[ОКПД2 26.30] Оборудование коммуникационное, [ОКВЭД2 26.30] Производство коммуникационного оборудования</t>
  </si>
  <si>
    <t>1360875</t>
  </si>
  <si>
    <t>1101056139</t>
  </si>
  <si>
    <t>31908394855</t>
  </si>
  <si>
    <t>[ОКПД2 26.40] Техника бытовая электронная, [ОКВЭД2 26.30] Производство коммуникационного оборудования</t>
  </si>
  <si>
    <t>Республика Коми</t>
  </si>
  <si>
    <t>8604028028</t>
  </si>
  <si>
    <t>31908394063</t>
  </si>
  <si>
    <t>7022004259</t>
  </si>
  <si>
    <t>31908393926</t>
  </si>
  <si>
    <t>2635040105</t>
  </si>
  <si>
    <t>31908396624</t>
  </si>
  <si>
    <t>[ОКПД2 29.20] Кузова (корпуса) для автотранспортных средств; прицепы и полуприцепы, [ОКВЭД2 29.20] Производство кузовов для автотранспортных средств; производство прицепов и полуприцепов</t>
  </si>
  <si>
    <t>Ставрополь</t>
  </si>
  <si>
    <t>1363177</t>
  </si>
  <si>
    <t>5047085094</t>
  </si>
  <si>
    <t>1362765</t>
  </si>
  <si>
    <t>3665046177</t>
  </si>
  <si>
    <t>31908395821</t>
  </si>
  <si>
    <t>Воронежская область</t>
  </si>
  <si>
    <t>7743254939</t>
  </si>
  <si>
    <t>4345000249</t>
  </si>
  <si>
    <t>31908392723</t>
  </si>
  <si>
    <t>Кировская область</t>
  </si>
  <si>
    <t>Киров</t>
  </si>
  <si>
    <t>5248015280</t>
  </si>
  <si>
    <t>31908392961</t>
  </si>
  <si>
    <t>6658139683</t>
  </si>
  <si>
    <t>31908393550</t>
  </si>
  <si>
    <t>[ОКПД2 61.90] Услуги телекоммуникационные прочие, [ОКВЭД2 61.90] Деятельность в области телекоммуникаций прочая</t>
  </si>
  <si>
    <t>3017061328</t>
  </si>
  <si>
    <t>100033038219000133</t>
  </si>
  <si>
    <t>Астраханская область</t>
  </si>
  <si>
    <t>Астрахань</t>
  </si>
  <si>
    <t>5074018820</t>
  </si>
  <si>
    <t>876737</t>
  </si>
  <si>
    <t>Подольск</t>
  </si>
  <si>
    <t>3120081769</t>
  </si>
  <si>
    <t>0126200000419004274</t>
  </si>
  <si>
    <t>Шебекинский район</t>
  </si>
  <si>
    <t>3906240543</t>
  </si>
  <si>
    <t>0835100003919000026</t>
  </si>
  <si>
    <t>[ОКПД2 26.30] Оборудование коммуникационное, [ОКПД2 33.20] Услуги по монтажу промышленных машин и оборудования</t>
  </si>
  <si>
    <t>Калининград</t>
  </si>
  <si>
    <t>0227001305</t>
  </si>
  <si>
    <t>100317105219000013</t>
  </si>
  <si>
    <t>Калтасинский район</t>
  </si>
  <si>
    <t>3307011946</t>
  </si>
  <si>
    <t>0328300007319000065</t>
  </si>
  <si>
    <t>100317105219000014</t>
  </si>
  <si>
    <t>7728126530</t>
  </si>
  <si>
    <t>0373100056119000421</t>
  </si>
  <si>
    <t>[ОКПД2 71.20] Услуги в области технических испытаний, исследований, анализа и сертификации</t>
  </si>
  <si>
    <t>7422000795</t>
  </si>
  <si>
    <t>2600773</t>
  </si>
  <si>
    <t>Озерск</t>
  </si>
  <si>
    <t>5028016916</t>
  </si>
  <si>
    <t>876343</t>
  </si>
  <si>
    <t>[ОКПД2 82.99] Услуги вспомогательные, связанные с предпринимательской деятельностью, прочие, не включенные в другие группировки</t>
  </si>
  <si>
    <t>0523000904</t>
  </si>
  <si>
    <t>0103200008419008038</t>
  </si>
  <si>
    <t>[ОКПД2 26.40] Техника бытовая электронная, [ОКПД2 27.33] Изделия электроустановочные, [ОКПД2 63.11] Услуги по обработке данных, размещению и взаимосвязанные услуги, [ОКПД2 27.31] Кабели волоконно-оптические, [ОКПД2 26.20] Компьютеры и периферийное оборудование, [ОКПД2 25.73] Инструмент, [ОКПД2 26.30] Оборудование коммуникационное, [ОКПД2 71.20] Услуги в области технических испытаний, исследований, анализа и сертификации, [ОКПД2 27.12] Аппаратура распределительная и регулирующая электрическая</t>
  </si>
  <si>
    <t>Республика Дагестан</t>
  </si>
  <si>
    <t>7724071552</t>
  </si>
  <si>
    <t>0373200303719000070</t>
  </si>
  <si>
    <t>100110512219000272</t>
  </si>
  <si>
    <t>100110512219000271</t>
  </si>
  <si>
    <t>1402008636</t>
  </si>
  <si>
    <t>100195410219000109</t>
  </si>
  <si>
    <t>Алданский улус</t>
  </si>
  <si>
    <t>100195410219000108</t>
  </si>
  <si>
    <t>5050073540</t>
  </si>
  <si>
    <t>31908391466</t>
  </si>
  <si>
    <t>[ОКПД2 43.99] Работы строительные специализированные, не включенные в другие группировки, [ОКВЭД2 43.99] Работы строительные специализированные прочие, не включенные в другие группировки</t>
  </si>
  <si>
    <t>7707049388</t>
  </si>
  <si>
    <t>cntrt19102828DP</t>
  </si>
  <si>
    <t>[ОКПД2 33.20] Услуги по монтажу промышленных машин и оборудования, [ОКВЭД2 80.20] Деятельность систем обеспечения безопасности</t>
  </si>
  <si>
    <t>RT11101900003</t>
  </si>
  <si>
    <t>1362124</t>
  </si>
  <si>
    <t>[ОКПД2 17.23] Принадлежности канцелярские бумажные</t>
  </si>
  <si>
    <t>7724561282</t>
  </si>
  <si>
    <t>31908391394</t>
  </si>
  <si>
    <t>[ОКПД2 81+] Услуги по обслуживанию зданий и территорий, [ОКВЭД2 81+] Деятельность по обслуживанию зданий и территорий</t>
  </si>
  <si>
    <t>7743895280</t>
  </si>
  <si>
    <t>1361421</t>
  </si>
  <si>
    <t>[ОКПД2 61+] Услуги телекоммуникационные</t>
  </si>
  <si>
    <t>7705953848</t>
  </si>
  <si>
    <t>31908387354</t>
  </si>
  <si>
    <t>[ОКПД2 41.20] Здания и работы по возведению зданий, [ОКВЭД2 41.20] Строительство жилых и нежилых зданий</t>
  </si>
  <si>
    <t>4207059960</t>
  </si>
  <si>
    <t>31908390632</t>
  </si>
  <si>
    <t>7702235133</t>
  </si>
  <si>
    <t>SBR031-1910100004</t>
  </si>
  <si>
    <t>Курганская область</t>
  </si>
  <si>
    <t>4824030804</t>
  </si>
  <si>
    <t>31908389918</t>
  </si>
  <si>
    <t>Липецкая область</t>
  </si>
  <si>
    <t>31908392606</t>
  </si>
  <si>
    <t>Белокалитвинский район</t>
  </si>
  <si>
    <t>5024129010</t>
  </si>
  <si>
    <t>0148200005419000530</t>
  </si>
  <si>
    <t>71991951234171394</t>
  </si>
  <si>
    <t>5252011433</t>
  </si>
  <si>
    <t>0832200006619001613</t>
  </si>
  <si>
    <t>2019-753179</t>
  </si>
  <si>
    <t>2457048598</t>
  </si>
  <si>
    <t>0319200000119000038</t>
  </si>
  <si>
    <t>Красноярский край</t>
  </si>
  <si>
    <t>0319200000119000039</t>
  </si>
  <si>
    <t>6164294858</t>
  </si>
  <si>
    <t>0358300284519000164</t>
  </si>
  <si>
    <t>5042064809</t>
  </si>
  <si>
    <t>0348200036519000023</t>
  </si>
  <si>
    <t>0608026500</t>
  </si>
  <si>
    <t>0114200000119001642</t>
  </si>
  <si>
    <t>Республика Ингушетия</t>
  </si>
  <si>
    <t>2019-753150</t>
  </si>
  <si>
    <t>2312012492</t>
  </si>
  <si>
    <t>0318100019519000111</t>
  </si>
  <si>
    <t>Краснодар</t>
  </si>
  <si>
    <t>0318100019519000112</t>
  </si>
  <si>
    <t>5028017444</t>
  </si>
  <si>
    <t>876002</t>
  </si>
  <si>
    <t>4025450383</t>
  </si>
  <si>
    <t>ATOM10101900248</t>
  </si>
  <si>
    <t>Калужская область</t>
  </si>
  <si>
    <t>Обнинск</t>
  </si>
  <si>
    <t>2539008116</t>
  </si>
  <si>
    <t>0323400000219000116</t>
  </si>
  <si>
    <t>5044043071</t>
  </si>
  <si>
    <t>875923</t>
  </si>
  <si>
    <t>5036172250</t>
  </si>
  <si>
    <t>875948</t>
  </si>
  <si>
    <t>2019-753086</t>
  </si>
  <si>
    <t>7729355029</t>
  </si>
  <si>
    <t>SBR016-1910100006</t>
  </si>
  <si>
    <t>0271001569</t>
  </si>
  <si>
    <t>0301200034719000219</t>
  </si>
  <si>
    <t>Янаул</t>
  </si>
  <si>
    <t>2902012368</t>
  </si>
  <si>
    <t>0324300097619000007</t>
  </si>
  <si>
    <t>Архангельская область</t>
  </si>
  <si>
    <t>Северодвинск</t>
  </si>
  <si>
    <t>71947519982043395</t>
  </si>
  <si>
    <t>5048052503</t>
  </si>
  <si>
    <t>875701</t>
  </si>
  <si>
    <t>Чеховский район</t>
  </si>
  <si>
    <t>5070011460</t>
  </si>
  <si>
    <t>875604</t>
  </si>
  <si>
    <t>Коломна</t>
  </si>
  <si>
    <t>29545</t>
  </si>
  <si>
    <t>7710168515</t>
  </si>
  <si>
    <t>0173200015819000010</t>
  </si>
  <si>
    <t>0274170967</t>
  </si>
  <si>
    <t>1361079</t>
  </si>
  <si>
    <t>Чишминский район</t>
  </si>
  <si>
    <t>6683004658</t>
  </si>
  <si>
    <t>31908389071</t>
  </si>
  <si>
    <t>[ОКПД2 33.20] Услуги по монтажу промышленных машин и оборудования, [ОКВЭД2 33.20] Монтаж промышленных машин и оборудования</t>
  </si>
  <si>
    <t>Асбест</t>
  </si>
  <si>
    <t>7706092528</t>
  </si>
  <si>
    <t>COM10101900053</t>
  </si>
  <si>
    <t>31908385968</t>
  </si>
  <si>
    <t>Оренбург</t>
  </si>
  <si>
    <t>31908387328</t>
  </si>
  <si>
    <t>6668010047</t>
  </si>
  <si>
    <t>31908382119</t>
  </si>
  <si>
    <t>31908385858</t>
  </si>
  <si>
    <t>Светлинский район</t>
  </si>
  <si>
    <t>31908386228</t>
  </si>
  <si>
    <t>2823003970</t>
  </si>
  <si>
    <t>31908385302</t>
  </si>
  <si>
    <t>Свободненский район</t>
  </si>
  <si>
    <t>31908386393</t>
  </si>
  <si>
    <t>Сыктывкар</t>
  </si>
  <si>
    <t>1361448</t>
  </si>
  <si>
    <t>31908388087</t>
  </si>
  <si>
    <t>31908388170</t>
  </si>
  <si>
    <t>COM10101900008</t>
  </si>
  <si>
    <t>9204555494</t>
  </si>
  <si>
    <t>0174300001419000029</t>
  </si>
  <si>
    <t>Севастополь</t>
  </si>
  <si>
    <t>2323005289</t>
  </si>
  <si>
    <t>0318300445319000091</t>
  </si>
  <si>
    <t>Абинский район</t>
  </si>
  <si>
    <t>2510003933</t>
  </si>
  <si>
    <t>0320300057119000135</t>
  </si>
  <si>
    <t>Спасский район</t>
  </si>
  <si>
    <t>2014259159</t>
  </si>
  <si>
    <t>0194200000519006964</t>
  </si>
  <si>
    <t>[ОКПД2 42.11] Дороги автомобильные и автомагистрали; строительные работы по строительству автомобильных дорог и автомагистралей</t>
  </si>
  <si>
    <t>Чеченская Республика</t>
  </si>
  <si>
    <t>8905028896</t>
  </si>
  <si>
    <t>0190200000319010513</t>
  </si>
  <si>
    <t>Ноябрьск</t>
  </si>
  <si>
    <t>7805149528</t>
  </si>
  <si>
    <t>0372200064319000025</t>
  </si>
  <si>
    <t>5073008836</t>
  </si>
  <si>
    <t>875251</t>
  </si>
  <si>
    <t>[ОКПД2 26.60] Оборудование для облучения, электрическое диагностическое и терапевтическое, применяемые в медицинских целях</t>
  </si>
  <si>
    <t>2310017015</t>
  </si>
  <si>
    <t>0818500000819001246</t>
  </si>
  <si>
    <t>ATOM09101900169</t>
  </si>
  <si>
    <t>5070011439</t>
  </si>
  <si>
    <t>875111</t>
  </si>
  <si>
    <t>Коломенский район</t>
  </si>
  <si>
    <t>4028017474</t>
  </si>
  <si>
    <t>0137100001519000181</t>
  </si>
  <si>
    <t>Калуга</t>
  </si>
  <si>
    <t>5070013919</t>
  </si>
  <si>
    <t>875061</t>
  </si>
  <si>
    <t>5053005918</t>
  </si>
  <si>
    <t>2599729</t>
  </si>
  <si>
    <t>[ОКПД2 81.29] Услуги по чистке и уборке прочие</t>
  </si>
  <si>
    <t>Электросталь</t>
  </si>
  <si>
    <t>1648028150</t>
  </si>
  <si>
    <t>325466</t>
  </si>
  <si>
    <t>Зеленодольский район</t>
  </si>
  <si>
    <t>ATOM09101900097</t>
  </si>
  <si>
    <t>5259077666</t>
  </si>
  <si>
    <t>ATOM09101900086</t>
  </si>
  <si>
    <t>5049012341</t>
  </si>
  <si>
    <t>874989</t>
  </si>
  <si>
    <t>Шатурский район</t>
  </si>
  <si>
    <t>6350000022</t>
  </si>
  <si>
    <t>0142300007819000076</t>
  </si>
  <si>
    <t>[ОКПД2 32.99] Изделия готовые прочие, не включенные в другие группировки, [ОКПД2 26.30] Оборудование коммуникационное, [ОКПД2 29.32] Комплектующие и принадлежности для автотранспортных средств прочие, [ОКПД2 26.40] Техника бытовая электронная, [ОКПД2 23.12] Стекло листовое гнутое и обработанное, [ОКПД2 22.29] Изделия пластмассовые прочие</t>
  </si>
  <si>
    <t>Самарская область</t>
  </si>
  <si>
    <t>5048053955</t>
  </si>
  <si>
    <t>874890</t>
  </si>
  <si>
    <t>ATOM09101900044</t>
  </si>
  <si>
    <t>7714343246</t>
  </si>
  <si>
    <t>0373200018819001801</t>
  </si>
  <si>
    <t>[ОКПД2 41.20] Здания и работы по возведению зданий</t>
  </si>
  <si>
    <t>5254001230</t>
  </si>
  <si>
    <t>2599610</t>
  </si>
  <si>
    <t>Саров</t>
  </si>
  <si>
    <t>ATOM09101900036</t>
  </si>
  <si>
    <t>5214003008</t>
  </si>
  <si>
    <t>100128177219000009</t>
  </si>
  <si>
    <t>Володарский район</t>
  </si>
  <si>
    <t>5911027895</t>
  </si>
  <si>
    <t>31908381687</t>
  </si>
  <si>
    <t>7715031627</t>
  </si>
  <si>
    <t>31908382931</t>
  </si>
  <si>
    <t>[ОКПД2 25.11] Металлоконструкции строительные и их части, [ОКВЭД2 25.11] Производство строительных металлических конструкций, изделий и их частей</t>
  </si>
  <si>
    <t>7719555477</t>
  </si>
  <si>
    <t>31908378125</t>
  </si>
  <si>
    <t>[ОКПД2 79.11] Услуги туристических агентств, [ОКВЭД2 79.11] Деятельность туристических агентств</t>
  </si>
  <si>
    <t>31908384075</t>
  </si>
  <si>
    <t>1360015</t>
  </si>
  <si>
    <t>3802008553</t>
  </si>
  <si>
    <t>1359680</t>
  </si>
  <si>
    <t>[ОКПД2 43.22] Работы по монтажу систем водопровода, канализации, отопления и кондиционирования воздуха</t>
  </si>
  <si>
    <t>Муйский район</t>
  </si>
  <si>
    <t>31908381889</t>
  </si>
  <si>
    <t>[ОКПД2 81.10] Услуги по комплексному обслуживанию помещений, [ОКВЭД2 81.10] Деятельность по комплексному обслуживанию помещений</t>
  </si>
  <si>
    <t>31908383883</t>
  </si>
  <si>
    <t>7805113497</t>
  </si>
  <si>
    <t>31908382563</t>
  </si>
  <si>
    <t>1360261</t>
  </si>
  <si>
    <t>7707074137</t>
  </si>
  <si>
    <t>31908384067</t>
  </si>
  <si>
    <t>2221064060</t>
  </si>
  <si>
    <t>31908382351</t>
  </si>
  <si>
    <t>[ОКПД2 70.22] Услуги консультативные в области управления предприятием, [ОКВЭД2 70.22] Консультирование по вопросам коммерческой деятельности и управления</t>
  </si>
  <si>
    <t>1359759</t>
  </si>
  <si>
    <t>31908384174</t>
  </si>
  <si>
    <t>7734135124</t>
  </si>
  <si>
    <t>31908382891</t>
  </si>
  <si>
    <t>[ОКПД2 52.23] Услуги вспомогательные, связанные с воздушным и космическим транспортом, [ОКВЭД2 80.20] Деятельность систем обеспечения безопасности</t>
  </si>
  <si>
    <t>8603119138</t>
  </si>
  <si>
    <t>1359790</t>
  </si>
  <si>
    <t>4909009103</t>
  </si>
  <si>
    <t>0347200003019000032</t>
  </si>
  <si>
    <t>Магаданская область</t>
  </si>
  <si>
    <t>Магадан</t>
  </si>
  <si>
    <t>8901001325</t>
  </si>
  <si>
    <t>519752</t>
  </si>
  <si>
    <t>519749</t>
  </si>
  <si>
    <t>519746</t>
  </si>
  <si>
    <t>5042070070</t>
  </si>
  <si>
    <t>874690</t>
  </si>
  <si>
    <t>7106022159</t>
  </si>
  <si>
    <t>0366200010019000069</t>
  </si>
  <si>
    <t>Тульская область</t>
  </si>
  <si>
    <t>Тула</t>
  </si>
  <si>
    <t>5011019066</t>
  </si>
  <si>
    <t>874566</t>
  </si>
  <si>
    <t>1651000010</t>
  </si>
  <si>
    <t>326600</t>
  </si>
  <si>
    <t>Нижнекамск</t>
  </si>
  <si>
    <t>5027067820</t>
  </si>
  <si>
    <t>874541</t>
  </si>
  <si>
    <t>Люберецкий район</t>
  </si>
  <si>
    <t>874554</t>
  </si>
  <si>
    <t>4027048776</t>
  </si>
  <si>
    <t>0137200001219005093</t>
  </si>
  <si>
    <t>1513034328</t>
  </si>
  <si>
    <t>100158616119000295</t>
  </si>
  <si>
    <t>Республика Северная Осетия-Алания</t>
  </si>
  <si>
    <t>Владикавказ</t>
  </si>
  <si>
    <t>4501172590</t>
  </si>
  <si>
    <t>0143300006919000614</t>
  </si>
  <si>
    <t>100158616119000297</t>
  </si>
  <si>
    <t>5001000919</t>
  </si>
  <si>
    <t>874401</t>
  </si>
  <si>
    <t>5001049223</t>
  </si>
  <si>
    <t>0348200082019000022</t>
  </si>
  <si>
    <t>[ОКПД2 43.99] Работы строительные специализированные, не включенные в другие группировки</t>
  </si>
  <si>
    <t>31908377447</t>
  </si>
  <si>
    <t>5838013374</t>
  </si>
  <si>
    <t>31908377322</t>
  </si>
  <si>
    <t>Заречный</t>
  </si>
  <si>
    <t>100195410119000105</t>
  </si>
  <si>
    <t>100195410119000107</t>
  </si>
  <si>
    <t>0256008739</t>
  </si>
  <si>
    <t>31908377692</t>
  </si>
  <si>
    <t>0273924636</t>
  </si>
  <si>
    <t>2019-752347</t>
  </si>
  <si>
    <t>31908380814</t>
  </si>
  <si>
    <t>[ОКПД2 71.12] Услуги в области инженерно-технического проектирования и связанные технические консультативные услуги, [ОКВЭД2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t>
  </si>
  <si>
    <t>0560022871</t>
  </si>
  <si>
    <t>31908379996</t>
  </si>
  <si>
    <t>[ОКПД2 33.12] Услуги по ремонту оборудования, [ОКВЭД2 80.1+] Деятельность частных охранных служб</t>
  </si>
  <si>
    <t>2019-752337</t>
  </si>
  <si>
    <t>4703144282</t>
  </si>
  <si>
    <t>31908379753</t>
  </si>
  <si>
    <t>Ленинградская область</t>
  </si>
  <si>
    <t>2019-752327</t>
  </si>
  <si>
    <t>1326207411</t>
  </si>
  <si>
    <t>100063525219000003</t>
  </si>
  <si>
    <t>5024176605</t>
  </si>
  <si>
    <t>31908376885</t>
  </si>
  <si>
    <t>[ОКПД2 95.12] Услуги по ремонту коммуникационного оборудования, [ОКВЭД2 95.12] Ремонт коммуникационного оборудования</t>
  </si>
  <si>
    <t>3232005484</t>
  </si>
  <si>
    <t>5086031</t>
  </si>
  <si>
    <t>0210003150</t>
  </si>
  <si>
    <t>0301300359219000009</t>
  </si>
  <si>
    <t>Белокатайский район</t>
  </si>
  <si>
    <t>7118011747</t>
  </si>
  <si>
    <t>0366200035619007127</t>
  </si>
  <si>
    <t>Щекинский район</t>
  </si>
  <si>
    <t>2536008728</t>
  </si>
  <si>
    <t>0320200008819000060</t>
  </si>
  <si>
    <t>Владивосток</t>
  </si>
  <si>
    <t>4207023869</t>
  </si>
  <si>
    <t>0339300000119000855</t>
  </si>
  <si>
    <t>Кемерово</t>
  </si>
  <si>
    <t>2466016747</t>
  </si>
  <si>
    <t>0319100001019000055</t>
  </si>
  <si>
    <t>3666179941</t>
  </si>
  <si>
    <t>100195026219000092</t>
  </si>
  <si>
    <t>Воронеж</t>
  </si>
  <si>
    <t>1107004112</t>
  </si>
  <si>
    <t>0107300003319000166</t>
  </si>
  <si>
    <t>Вуктыл</t>
  </si>
  <si>
    <t>1101052335</t>
  </si>
  <si>
    <t>7202079711</t>
  </si>
  <si>
    <t>0167100002219000133</t>
  </si>
  <si>
    <t>Тюменская область</t>
  </si>
  <si>
    <t>Тюмень</t>
  </si>
  <si>
    <t>5017015893</t>
  </si>
  <si>
    <t>873976</t>
  </si>
  <si>
    <t>7610062392</t>
  </si>
  <si>
    <t>0171200001919001701</t>
  </si>
  <si>
    <t>Рыбинск</t>
  </si>
  <si>
    <t>3525073170</t>
  </si>
  <si>
    <t>0130200002419003474</t>
  </si>
  <si>
    <t>Вологодская область</t>
  </si>
  <si>
    <t>Вологда</t>
  </si>
  <si>
    <t>5073009082</t>
  </si>
  <si>
    <t>873906</t>
  </si>
  <si>
    <t>2019-751992</t>
  </si>
  <si>
    <t>0276090428</t>
  </si>
  <si>
    <t>0101100001119000110</t>
  </si>
  <si>
    <t>31908374210</t>
  </si>
  <si>
    <t>8601002737</t>
  </si>
  <si>
    <t>31908373457</t>
  </si>
  <si>
    <t>[ОКПД2 27+] Оборудование электрическое, [ОКВЭД2 27+] Производство электрического оборудования</t>
  </si>
  <si>
    <t>3802001340</t>
  </si>
  <si>
    <t>0134300004519000426</t>
  </si>
  <si>
    <t>Бодайбинский район</t>
  </si>
  <si>
    <t>2019-751716</t>
  </si>
  <si>
    <t>2019-751710</t>
  </si>
  <si>
    <t>2019-751731</t>
  </si>
  <si>
    <t>7415010295</t>
  </si>
  <si>
    <t>100288290119000051</t>
  </si>
  <si>
    <t>Миасс</t>
  </si>
  <si>
    <t>100288290119000050</t>
  </si>
  <si>
    <t>1001012709</t>
  </si>
  <si>
    <t>31908375722</t>
  </si>
  <si>
    <t>[ОКПД2 84.24] Услуги по обеспечению общественного порядка и безопасности, [ОКВЭД2 74.90] Деятельность профессиональная, научная и техническая прочая, не включенная в другие группировки</t>
  </si>
  <si>
    <t>5406323202</t>
  </si>
  <si>
    <t>31908374057</t>
  </si>
  <si>
    <t>6901067107</t>
  </si>
  <si>
    <t>31908375689</t>
  </si>
  <si>
    <t>[ОКПД2 95.11] Услуги по ремонту компьютеров и периферийного оборудования, [ОКВЭД2 95.11] Ремонт компьютеров и периферийного компьютерного оборудования</t>
  </si>
  <si>
    <t>COM07101900014</t>
  </si>
  <si>
    <t>4703142849</t>
  </si>
  <si>
    <t>31908376421</t>
  </si>
  <si>
    <t>Всеволожский район</t>
  </si>
  <si>
    <t>5047047821</t>
  </si>
  <si>
    <t>873383</t>
  </si>
  <si>
    <t>[ОКПД2 62.01] Продукты программные и услуги по разработке и тестированию программного обеспечения</t>
  </si>
  <si>
    <t>Химки</t>
  </si>
  <si>
    <t>1101140912</t>
  </si>
  <si>
    <t>0807200000519000076</t>
  </si>
  <si>
    <t>1101035210</t>
  </si>
  <si>
    <t>4345483331</t>
  </si>
  <si>
    <t>1101158966</t>
  </si>
  <si>
    <t>5028028936</t>
  </si>
  <si>
    <t>873214</t>
  </si>
  <si>
    <t>Можайский район</t>
  </si>
  <si>
    <t>6661004608</t>
  </si>
  <si>
    <t>0162200017619000015</t>
  </si>
  <si>
    <t>Екатеринбург</t>
  </si>
  <si>
    <t>8603033000</t>
  </si>
  <si>
    <t>0387200019819000049</t>
  </si>
  <si>
    <t>Нижневартовск</t>
  </si>
  <si>
    <t>ATOM04101900104</t>
  </si>
  <si>
    <t>7722093367</t>
  </si>
  <si>
    <t>0863400000819000015</t>
  </si>
  <si>
    <t>Смоленская область</t>
  </si>
  <si>
    <t>5321049166</t>
  </si>
  <si>
    <t>0150200003919001013</t>
  </si>
  <si>
    <t>Новгородская область</t>
  </si>
  <si>
    <t>Великий Новгород</t>
  </si>
  <si>
    <t>ATOM04101900066</t>
  </si>
  <si>
    <t>7709895509</t>
  </si>
  <si>
    <t>100311047119001187</t>
  </si>
  <si>
    <t>2518117700</t>
  </si>
  <si>
    <t>0320300133719000008</t>
  </si>
  <si>
    <t>Лазовский район</t>
  </si>
  <si>
    <t>ATOM04101900067</t>
  </si>
  <si>
    <t>6905010888</t>
  </si>
  <si>
    <t>0336100017019000171</t>
  </si>
  <si>
    <t>6501238975</t>
  </si>
  <si>
    <t>0161300000119001681</t>
  </si>
  <si>
    <t>[ОКПД2 71.11] Услуги в области архитектуры</t>
  </si>
  <si>
    <t>Южно-Сахалинск</t>
  </si>
  <si>
    <t>1356842</t>
  </si>
  <si>
    <t>7708587205</t>
  </si>
  <si>
    <t>31908365648</t>
  </si>
  <si>
    <t>[ОКПД2 74.9+] Услуги профессиональные, научные и технические, прочие, не включенные в другие группировки, [ОКВЭД2 74.90] Деятельность профессиональная, научная и техническая прочая, не включенная в другие группировки</t>
  </si>
  <si>
    <t>31908370248</t>
  </si>
  <si>
    <t>1356767</t>
  </si>
  <si>
    <t>7813045547</t>
  </si>
  <si>
    <t>31908372958</t>
  </si>
  <si>
    <t>1356844</t>
  </si>
  <si>
    <t>6439071143</t>
  </si>
  <si>
    <t>1357155</t>
  </si>
  <si>
    <t>[ОКПД2 29.32] Комплектующие и принадлежности для автотранспортных средств прочие</t>
  </si>
  <si>
    <t>Балаково</t>
  </si>
  <si>
    <t>1356969</t>
  </si>
  <si>
    <t>6659122795</t>
  </si>
  <si>
    <t>31908371715</t>
  </si>
  <si>
    <t>3662990355</t>
  </si>
  <si>
    <t>31908370615</t>
  </si>
  <si>
    <t>31908369274</t>
  </si>
  <si>
    <t>[ОКПД2 82.99] Услуги вспомогательные, связанные с предпринимательской деятельностью, прочие, не включенные в другие группировки, [ОКВЭД2 82.99] Деятельность по предоставлению прочих вспомогательных услуг для бизнеса, не включенная в другие группировки</t>
  </si>
  <si>
    <t>7709105630</t>
  </si>
  <si>
    <t>31908371846</t>
  </si>
  <si>
    <t>[ОКПД2 43.29] Работы строительно-монтажные прочие, [ОКВЭД2 43.29] Производство прочих строительно-монтажных работ</t>
  </si>
  <si>
    <t>3436110085</t>
  </si>
  <si>
    <t>31908370953</t>
  </si>
  <si>
    <t>[ОКПД2 29.32] Комплектующие и принадлежности для автотранспортных средств прочие, [ОКВЭД2 29.32] Производство прочих комплектующих и принадлежностей для автотранспортных средств</t>
  </si>
  <si>
    <t>7819308094</t>
  </si>
  <si>
    <t>31908378664</t>
  </si>
  <si>
    <t>[ОКПД2 74+] Услуги профессиональные, научные и технические, прочие, [ОКВЭД2 74+] Деятельность профессиональная научная и техническая прочая</t>
  </si>
  <si>
    <t>7816442648</t>
  </si>
  <si>
    <t>31908372519</t>
  </si>
  <si>
    <t>7813251645</t>
  </si>
  <si>
    <t>ATOM03101900293</t>
  </si>
  <si>
    <t>70977263197225220</t>
  </si>
  <si>
    <t>ATOM03101900292</t>
  </si>
  <si>
    <t>ATOM03101900287</t>
  </si>
  <si>
    <t>ATOM03101900291</t>
  </si>
  <si>
    <t>8300003448</t>
  </si>
  <si>
    <t>100272315219000010</t>
  </si>
  <si>
    <t>[ОКПД2 84.25] Услуги по обеспечению безопасности в чрезвычайных ситуациях; услуги по обеспечению безопасности в области использования атомной энергии</t>
  </si>
  <si>
    <t>Ненецкий автономный округ</t>
  </si>
  <si>
    <t>Нарьян-Мар</t>
  </si>
  <si>
    <t>ATOM03101900294</t>
  </si>
  <si>
    <t>4017001264</t>
  </si>
  <si>
    <t>100263591219000036</t>
  </si>
  <si>
    <t>Сухиничский район</t>
  </si>
  <si>
    <t>3711004456</t>
  </si>
  <si>
    <t>0133200001719002841</t>
  </si>
  <si>
    <t>Ивановский район</t>
  </si>
  <si>
    <t>5038136754</t>
  </si>
  <si>
    <t>7106076813</t>
  </si>
  <si>
    <t>0366200035619007090</t>
  </si>
  <si>
    <t>[ОКПД2 42.22] Сооружения и строительные работы по строительству коммунальных объектов для электроснабжения и связи</t>
  </si>
  <si>
    <t>7107532681</t>
  </si>
  <si>
    <t>3730010021</t>
  </si>
  <si>
    <t>100254411219000021</t>
  </si>
  <si>
    <t>Иваново</t>
  </si>
  <si>
    <t>ATOM03101900247</t>
  </si>
  <si>
    <t>6664017429</t>
  </si>
  <si>
    <t>0162200011819002778</t>
  </si>
  <si>
    <t>[ОКПД2 26.20] Компьютеры и периферийное оборудование, [ОКПД2 62.01] Продукты программные и услуги по разработке и тестированию программного обеспечения</t>
  </si>
  <si>
    <t>6685054968</t>
  </si>
  <si>
    <t>7734423210</t>
  </si>
  <si>
    <t>ATOM03101900230</t>
  </si>
  <si>
    <t>ATOM03101900235</t>
  </si>
  <si>
    <t>1905008061</t>
  </si>
  <si>
    <t>0180300011919000027</t>
  </si>
  <si>
    <t>Республика Хакасия</t>
  </si>
  <si>
    <t>100254411219000013</t>
  </si>
  <si>
    <t>5032032276</t>
  </si>
  <si>
    <t>872007</t>
  </si>
  <si>
    <t>Одинцовский район</t>
  </si>
  <si>
    <t>0210000367</t>
  </si>
  <si>
    <t>0301300358219000010</t>
  </si>
  <si>
    <t>1651080368</t>
  </si>
  <si>
    <t>022000625129</t>
  </si>
  <si>
    <t>0301300358219000011</t>
  </si>
  <si>
    <t>9104002640</t>
  </si>
  <si>
    <t>0175300042419000074</t>
  </si>
  <si>
    <t>Республика Крым</t>
  </si>
  <si>
    <t>5014011139</t>
  </si>
  <si>
    <t>0848300069519000399</t>
  </si>
  <si>
    <t>Зарайск</t>
  </si>
  <si>
    <t>5022068393</t>
  </si>
  <si>
    <t>5022056856</t>
  </si>
  <si>
    <t>503809231709</t>
  </si>
  <si>
    <t>70932832129646849</t>
  </si>
  <si>
    <t>0210003576</t>
  </si>
  <si>
    <t>0301300407319000005</t>
  </si>
  <si>
    <t>590848253881</t>
  </si>
  <si>
    <t>0323100005119000050</t>
  </si>
  <si>
    <t>Свободный</t>
  </si>
  <si>
    <t>2807013481</t>
  </si>
  <si>
    <t>6658078110</t>
  </si>
  <si>
    <t>0162200011819002724</t>
  </si>
  <si>
    <t>5034084270</t>
  </si>
  <si>
    <t>861747</t>
  </si>
  <si>
    <t>2709003774</t>
  </si>
  <si>
    <t>0822300013319000110</t>
  </si>
  <si>
    <t>224800494403</t>
  </si>
  <si>
    <t>1356552</t>
  </si>
  <si>
    <t>7736044850</t>
  </si>
  <si>
    <t>31908364050</t>
  </si>
  <si>
    <t>[ОКПД2 69.10] Услуги юридические, [ОКВЭД2 69.10] Деятельность в области права</t>
  </si>
  <si>
    <t>1356396</t>
  </si>
  <si>
    <t>1356563</t>
  </si>
  <si>
    <t>1645000340</t>
  </si>
  <si>
    <t>31908368647</t>
  </si>
  <si>
    <t>1356568</t>
  </si>
  <si>
    <t>1356566</t>
  </si>
  <si>
    <t>1356559</t>
  </si>
  <si>
    <t>31908368645</t>
  </si>
  <si>
    <t>31908368648</t>
  </si>
  <si>
    <t>31908368651</t>
  </si>
  <si>
    <t>1355713</t>
  </si>
  <si>
    <t>3126005637</t>
  </si>
  <si>
    <t>31908364036</t>
  </si>
  <si>
    <t>5004009363</t>
  </si>
  <si>
    <t>31908363965</t>
  </si>
  <si>
    <t>ROSSETI03101900005</t>
  </si>
  <si>
    <t>1356409</t>
  </si>
  <si>
    <t>1356434</t>
  </si>
  <si>
    <t>5024129789</t>
  </si>
  <si>
    <t>861708</t>
  </si>
  <si>
    <t>5032139678</t>
  </si>
  <si>
    <t>0848300045419001157</t>
  </si>
  <si>
    <t>5032225937</t>
  </si>
  <si>
    <t>5021020462</t>
  </si>
  <si>
    <t>4401046232</t>
  </si>
  <si>
    <t>100001445219000027</t>
  </si>
  <si>
    <t>Костромская область</t>
  </si>
  <si>
    <t>Кострома</t>
  </si>
  <si>
    <t>1657133351</t>
  </si>
  <si>
    <t>325913</t>
  </si>
  <si>
    <t>1653001805</t>
  </si>
  <si>
    <t>325785</t>
  </si>
  <si>
    <t>РН91000843</t>
  </si>
  <si>
    <t>[ОКПД2 32.30] Товары спортивные, [ОКВЭД2 32.30] Производство спортивных товаров</t>
  </si>
  <si>
    <t>5433142188</t>
  </si>
  <si>
    <t>0851200000619006103</t>
  </si>
  <si>
    <t>0319100033319000145</t>
  </si>
  <si>
    <t>2465251498</t>
  </si>
  <si>
    <t>2460066484</t>
  </si>
  <si>
    <t>2466253836</t>
  </si>
  <si>
    <t>246411435850</t>
  </si>
  <si>
    <t>7710474294</t>
  </si>
  <si>
    <t>100232547219000020</t>
  </si>
  <si>
    <t>4460488</t>
  </si>
  <si>
    <t>1001034886</t>
  </si>
  <si>
    <t>2320036377</t>
  </si>
  <si>
    <t>0118300018719000631</t>
  </si>
  <si>
    <t>[ОКПД2 26.51] Оборудование для измерения, испытаний и навигации, [ОКПД2 26.12] Платы печатные смонтированные</t>
  </si>
  <si>
    <t>Сочи</t>
  </si>
  <si>
    <t>7725800335</t>
  </si>
  <si>
    <t>7410001498</t>
  </si>
  <si>
    <t>0169300027819000240</t>
  </si>
  <si>
    <t>[ОКПД2 61.90] Услуги телекоммуникационные прочие</t>
  </si>
  <si>
    <t>7417015958</t>
  </si>
  <si>
    <t>2904006994</t>
  </si>
  <si>
    <t>0324100010419000084</t>
  </si>
  <si>
    <t>780158563935</t>
  </si>
  <si>
    <t>2128700232</t>
  </si>
  <si>
    <t>RH02101900001</t>
  </si>
  <si>
    <t>Чувашская Республика - Чувашия</t>
  </si>
  <si>
    <t>Чебоксары</t>
  </si>
  <si>
    <t>4101125564</t>
  </si>
  <si>
    <t>100292266219000037</t>
  </si>
  <si>
    <t>Камчатский край</t>
  </si>
  <si>
    <t>Петропавловск-Камчатский</t>
  </si>
  <si>
    <t>7702060003</t>
  </si>
  <si>
    <t>31908364010</t>
  </si>
  <si>
    <t>8621002012</t>
  </si>
  <si>
    <t>31908363771</t>
  </si>
  <si>
    <t>[ОКПД2 26.30] Оборудование коммуникационное, [ОКВЭД2 80.20] Деятельность систем обеспечения безопасности</t>
  </si>
  <si>
    <t>31908358814</t>
  </si>
  <si>
    <t>[ОКПД2 26.20] Компьютеры и периферийное оборудование, [ОКВЭД2 26.20] Производство компьютеров и периферийного оборудования</t>
  </si>
  <si>
    <t>7731082971</t>
  </si>
  <si>
    <t>31908363887</t>
  </si>
  <si>
    <t>[ОКПД2 26.30] Оборудование коммуникационное, [ОКПД2 27.20] Батареи и аккумуляторы, [ОКПД2 27.32] Провода и кабели электронные и электрические прочие, [ОКПД2 32.99] Изделия готовые прочие, не включенные в другие группировки, [ОКПД2 26.20] Компьютеры и периферийное оборудование, [ОКПД2 43.21] Работы электромонтажные, [ОКВЭД2 26.30] Производство коммуникационного оборудования, [ОКВЭД2 27.32] Производство прочих проводов и кабелей для электронного и электрического оборудования, [ОКВЭД2 26.20] Производство компьютеров и периферийного оборудования, [ОКВЭД2 27.20] Производство электрических аккумуляторов и аккумуляторных батарей, [ОКВЭД2 43.21] Производство электромонтажных работ, [ОКВЭД2 32.99] Производство прочих готовых изделий, не включенных в другие группировки</t>
  </si>
  <si>
    <t>7701814145</t>
  </si>
  <si>
    <t>31908364657</t>
  </si>
  <si>
    <t>31908364659</t>
  </si>
  <si>
    <t>518189</t>
  </si>
  <si>
    <t>518186</t>
  </si>
  <si>
    <t>518185</t>
  </si>
  <si>
    <t>5048052207</t>
  </si>
  <si>
    <t>860882</t>
  </si>
  <si>
    <t>[ОКПД2 33.20] Услуги по монтажу промышленных машин и оборудования, [ОКПД2 26.40] Техника бытовая электронная</t>
  </si>
  <si>
    <t>Чехов</t>
  </si>
  <si>
    <t>7726316247</t>
  </si>
  <si>
    <t>0373200586419000115</t>
  </si>
  <si>
    <t>505306538409</t>
  </si>
  <si>
    <t>7720793236</t>
  </si>
  <si>
    <t>500106894947</t>
  </si>
  <si>
    <t>771402302342</t>
  </si>
  <si>
    <t>7720345851</t>
  </si>
  <si>
    <t>5079009280</t>
  </si>
  <si>
    <t>860843</t>
  </si>
  <si>
    <t>Шаховская рп</t>
  </si>
  <si>
    <t>1660238629</t>
  </si>
  <si>
    <t>324480</t>
  </si>
  <si>
    <t>6658089577</t>
  </si>
  <si>
    <t>0362100017519000253</t>
  </si>
  <si>
    <t>6659222341</t>
  </si>
  <si>
    <t>6678005913</t>
  </si>
  <si>
    <t>2597029</t>
  </si>
  <si>
    <t>ATOM01101900144</t>
  </si>
  <si>
    <t>100272315119000009</t>
  </si>
  <si>
    <t>7734115270</t>
  </si>
  <si>
    <t>100232561219000220</t>
  </si>
  <si>
    <t>1435151857</t>
  </si>
  <si>
    <t>100248700219000021</t>
  </si>
  <si>
    <t>Якутск</t>
  </si>
  <si>
    <t>5034033130</t>
  </si>
  <si>
    <t>0848300050819000974</t>
  </si>
  <si>
    <t>0562011314</t>
  </si>
  <si>
    <t>0803200014719000277</t>
  </si>
  <si>
    <t>7820323280</t>
  </si>
  <si>
    <t>5028017290</t>
  </si>
  <si>
    <t>860476</t>
  </si>
  <si>
    <t>[ОКПД2 26.40] Техника бытовая электронная, [ОКПД2 26.20] Компьютеры и периферийное оборудование</t>
  </si>
  <si>
    <t>5028017042</t>
  </si>
  <si>
    <t>0848300046119000591</t>
  </si>
  <si>
    <t>5009116633</t>
  </si>
  <si>
    <t>5028032298</t>
  </si>
  <si>
    <t>4029001011</t>
  </si>
  <si>
    <t>РН91000144</t>
  </si>
  <si>
    <t>1909020077</t>
  </si>
  <si>
    <t>0380200000119005598</t>
  </si>
  <si>
    <t>Абаза</t>
  </si>
  <si>
    <t>1909000024</t>
  </si>
  <si>
    <t>5075009747</t>
  </si>
  <si>
    <t>860487</t>
  </si>
  <si>
    <t>Руза</t>
  </si>
  <si>
    <t>7450010467</t>
  </si>
  <si>
    <t>0369200019619000182</t>
  </si>
  <si>
    <t>4514100402</t>
  </si>
  <si>
    <t>4246017354</t>
  </si>
  <si>
    <t>100304020119000046</t>
  </si>
  <si>
    <t>Анжеро-Судженск</t>
  </si>
  <si>
    <t>7715586996</t>
  </si>
  <si>
    <t>0373200046819000063</t>
  </si>
  <si>
    <t>7701270456</t>
  </si>
  <si>
    <t>771319442256</t>
  </si>
  <si>
    <t>7703468980</t>
  </si>
  <si>
    <t>773010973142</t>
  </si>
  <si>
    <t>9717046340</t>
  </si>
  <si>
    <t>7743703260</t>
  </si>
  <si>
    <t>5752079133</t>
  </si>
  <si>
    <t>1435193127</t>
  </si>
  <si>
    <t>100191656119000405</t>
  </si>
  <si>
    <t>31908361227</t>
  </si>
  <si>
    <t>[ОКПД2 43.29] Работы строительно-монтажные прочие, [ОКВЭД2 43.9+] Работы строительные специализированные прочие</t>
  </si>
  <si>
    <t>7820313765</t>
  </si>
  <si>
    <t>31908359728</t>
  </si>
  <si>
    <t>[ОКПД2 94.11] Услуги, предоставляемые коммерческими и предпринимательскими членскими организациями, [ОКВЭД2 96.09] Предоставление прочих персональных услуг, не включенных в другие группировки</t>
  </si>
  <si>
    <t>7724490000</t>
  </si>
  <si>
    <t>31908350672</t>
  </si>
  <si>
    <t>7702070139</t>
  </si>
  <si>
    <t>31908358705</t>
  </si>
  <si>
    <t>[ОКПД2 95.12] Услуги по ремонту коммуникационного оборудования, [ОКВЭД2 95.1+] Ремонт компьютеров и коммуникационного оборудования</t>
  </si>
  <si>
    <t>2372006479</t>
  </si>
  <si>
    <t>31908351171</t>
  </si>
  <si>
    <t>[ОКПД2 26.30] Оборудование коммуникационное, [ОКВЭД2 46.52] Торговля оптовая электронным и телекоммуникационным оборудованием и его запасными частями</t>
  </si>
  <si>
    <t>31908359628</t>
  </si>
  <si>
    <t>31908355695</t>
  </si>
  <si>
    <t>7020016160</t>
  </si>
  <si>
    <t>31908351260</t>
  </si>
  <si>
    <t>[ОКПД2 84.24] Услуги по обеспечению общественного порядка и безопасности, [ОКВЭД2 80.10] Деятельность частных охранных служб</t>
  </si>
  <si>
    <t>1352711</t>
  </si>
  <si>
    <t>[ОКПД2 80+] Услуги по обеспечению безопасности и проведению расследований</t>
  </si>
  <si>
    <t>Амурск</t>
  </si>
  <si>
    <t>7716523950</t>
  </si>
  <si>
    <t>31908358918</t>
  </si>
  <si>
    <t>1354097</t>
  </si>
  <si>
    <t>6659021229</t>
  </si>
  <si>
    <t>31908358087</t>
  </si>
  <si>
    <t>5720006005</t>
  </si>
  <si>
    <t>31908360620</t>
  </si>
  <si>
    <t>5040133334</t>
  </si>
  <si>
    <t>0848300051619002593</t>
  </si>
  <si>
    <t>5013047848</t>
  </si>
  <si>
    <t>6321404790</t>
  </si>
  <si>
    <t>211700077387</t>
  </si>
  <si>
    <t>5040132683</t>
  </si>
  <si>
    <t>6904011920</t>
  </si>
  <si>
    <t>0136200003619006354</t>
  </si>
  <si>
    <t>[ОКПД2 43.39] Работы завершающие и отделочные в зданиях и сооружениях, прочие</t>
  </si>
  <si>
    <t>6603009621</t>
  </si>
  <si>
    <t>0362300159619000006</t>
  </si>
  <si>
    <t>660309694260</t>
  </si>
  <si>
    <t>7404068399</t>
  </si>
  <si>
    <t>7451403125</t>
  </si>
  <si>
    <t>3123031526</t>
  </si>
  <si>
    <t>0126100004619000055</t>
  </si>
  <si>
    <t>7701330105</t>
  </si>
  <si>
    <t>7702166610</t>
  </si>
  <si>
    <t>0173100008719000067</t>
  </si>
  <si>
    <t>[ОКПД2 33.20] Услуги по монтажу промышленных машин и оборудования, [ОКПД2 26.20] Компьютеры и периферийное оборудование, [ОКПД2 26.40] Техника бытовая электронная</t>
  </si>
  <si>
    <t>7718751006</t>
  </si>
  <si>
    <t>5031006040</t>
  </si>
  <si>
    <t>840313</t>
  </si>
  <si>
    <t>Ногинск</t>
  </si>
  <si>
    <t>2309033598</t>
  </si>
  <si>
    <t>0318100043419000176</t>
  </si>
  <si>
    <t>7708671295</t>
  </si>
  <si>
    <t>2596794</t>
  </si>
  <si>
    <t>0373200586419000111</t>
  </si>
  <si>
    <t>7830001885</t>
  </si>
  <si>
    <t>0372100007619000040</t>
  </si>
  <si>
    <t>7805441219</t>
  </si>
  <si>
    <t>7802770198</t>
  </si>
  <si>
    <t>5028017331</t>
  </si>
  <si>
    <t>0848300046119000589</t>
  </si>
  <si>
    <t>502800644611</t>
  </si>
  <si>
    <t>502802230486</t>
  </si>
  <si>
    <t>502800443062</t>
  </si>
  <si>
    <t>7709827266</t>
  </si>
  <si>
    <t>0303100001719000043</t>
  </si>
  <si>
    <t>[ОКПД2 26.20] Компьютеры и периферийное оборудование</t>
  </si>
  <si>
    <t>0560029570</t>
  </si>
  <si>
    <t>5050044073</t>
  </si>
  <si>
    <t>0348100061119000035</t>
  </si>
  <si>
    <t>[ОКПД2 26.70] Приборы оптические и фотографическое оборудование</t>
  </si>
  <si>
    <t>4205379644</t>
  </si>
  <si>
    <t>505008412908</t>
  </si>
  <si>
    <t>0277013480</t>
  </si>
  <si>
    <t>0301300071919000431</t>
  </si>
  <si>
    <t>0277052263</t>
  </si>
  <si>
    <t>027813831409</t>
  </si>
  <si>
    <t>026104092144</t>
  </si>
  <si>
    <t>5424100079</t>
  </si>
  <si>
    <t>0351300149119000045</t>
  </si>
  <si>
    <t>Колыванский район</t>
  </si>
  <si>
    <t>5445028225</t>
  </si>
  <si>
    <t>543205423548</t>
  </si>
  <si>
    <t>543314936525</t>
  </si>
  <si>
    <t>5434116656</t>
  </si>
  <si>
    <t>540419545107</t>
  </si>
  <si>
    <t>9102157783</t>
  </si>
  <si>
    <t>0575400000119000358</t>
  </si>
  <si>
    <t>[ОКПД2 42.99] Сооружения и строительные работы по строительству прочих гражданских сооружений, не включенных в другие группировки</t>
  </si>
  <si>
    <t>9102189954</t>
  </si>
  <si>
    <t>6829075190</t>
  </si>
  <si>
    <t>0164200003019002869</t>
  </si>
  <si>
    <t>Тамбовская область</t>
  </si>
  <si>
    <t>Тамбов</t>
  </si>
  <si>
    <t>2807009559</t>
  </si>
  <si>
    <t>0123300007919000241</t>
  </si>
  <si>
    <t>0816015379</t>
  </si>
  <si>
    <t>0105100001819000032</t>
  </si>
  <si>
    <t>Республика Калмыкия</t>
  </si>
  <si>
    <t>7106510491</t>
  </si>
  <si>
    <t>0166100005719000054</t>
  </si>
  <si>
    <t>7107553120</t>
  </si>
  <si>
    <t>8617018771</t>
  </si>
  <si>
    <t>0187300014719001113</t>
  </si>
  <si>
    <t>8602229561</t>
  </si>
  <si>
    <t>8602250203</t>
  </si>
  <si>
    <t>861100013693</t>
  </si>
  <si>
    <t>ATOM30091900284</t>
  </si>
  <si>
    <t>0166100005719000053</t>
  </si>
  <si>
    <t>6234181586</t>
  </si>
  <si>
    <t>6234140967</t>
  </si>
  <si>
    <t>0348100026819000066</t>
  </si>
  <si>
    <t>7606116574</t>
  </si>
  <si>
    <t>1833038145</t>
  </si>
  <si>
    <t>0313100007419000269</t>
  </si>
  <si>
    <t>Ижевск</t>
  </si>
  <si>
    <t>5028017229</t>
  </si>
  <si>
    <t>840009</t>
  </si>
  <si>
    <t>6316026366</t>
  </si>
  <si>
    <t>0342100033819000075</t>
  </si>
  <si>
    <t>5944202359</t>
  </si>
  <si>
    <t>0156300022319000026</t>
  </si>
  <si>
    <t>590522368238</t>
  </si>
  <si>
    <t>7826717274</t>
  </si>
  <si>
    <t>0372200270219000018</t>
  </si>
  <si>
    <t>7811513408</t>
  </si>
  <si>
    <t>8617020019</t>
  </si>
  <si>
    <t>0187300014719001096</t>
  </si>
  <si>
    <t>8617029100</t>
  </si>
  <si>
    <t>8602212952</t>
  </si>
  <si>
    <t>8602067455</t>
  </si>
  <si>
    <t>8602286792</t>
  </si>
  <si>
    <t>8602158021</t>
  </si>
  <si>
    <t>8602208949</t>
  </si>
  <si>
    <t>5246012929</t>
  </si>
  <si>
    <t>100138668119000046</t>
  </si>
  <si>
    <t>Бор</t>
  </si>
  <si>
    <t>7838345165</t>
  </si>
  <si>
    <t>0172100009019000043</t>
  </si>
  <si>
    <t>[ОКПД2 25.72] Замки и петли</t>
  </si>
  <si>
    <t>781310613802</t>
  </si>
  <si>
    <t>7841056854</t>
  </si>
  <si>
    <t>7811509465</t>
  </si>
  <si>
    <t>100232561219000218</t>
  </si>
  <si>
    <t>ATOM30091900162</t>
  </si>
  <si>
    <t>3109001953</t>
  </si>
  <si>
    <t>0126200000419004128</t>
  </si>
  <si>
    <t>Ивнянский район</t>
  </si>
  <si>
    <t>7722307594</t>
  </si>
  <si>
    <t>0373200570719000024</t>
  </si>
  <si>
    <t>7724582042</t>
  </si>
  <si>
    <t>7723862047</t>
  </si>
  <si>
    <t>100232561219000217</t>
  </si>
  <si>
    <t>100232561219000219</t>
  </si>
  <si>
    <t>6501096047</t>
  </si>
  <si>
    <t>РН90908336</t>
  </si>
  <si>
    <t>[ОКПД2 74.90] Услуги профессиональные, научные и технические, прочие, не включенные в другие группировки, [ОКВЭД2 80.30] Деятельность по расследованию</t>
  </si>
  <si>
    <t>5037001730</t>
  </si>
  <si>
    <t>839785</t>
  </si>
  <si>
    <t>Протвино</t>
  </si>
  <si>
    <t>4909109066</t>
  </si>
  <si>
    <t>0347100003619000032</t>
  </si>
  <si>
    <t>8607010678</t>
  </si>
  <si>
    <t>4909114620</t>
  </si>
  <si>
    <t>2232010549</t>
  </si>
  <si>
    <t>0851100001919000822</t>
  </si>
  <si>
    <t>2221199187</t>
  </si>
  <si>
    <t>5075003287</t>
  </si>
  <si>
    <t>0848300059119000377</t>
  </si>
  <si>
    <t>5075026767</t>
  </si>
  <si>
    <t>5075024417</t>
  </si>
  <si>
    <t>7729734700</t>
  </si>
  <si>
    <t>2201002996</t>
  </si>
  <si>
    <t>0817200000319011807</t>
  </si>
  <si>
    <t>Алейск</t>
  </si>
  <si>
    <t>6658041737</t>
  </si>
  <si>
    <t>0362200065919000229</t>
  </si>
  <si>
    <t>6619011489</t>
  </si>
  <si>
    <t>6671168186</t>
  </si>
  <si>
    <t>7453226908</t>
  </si>
  <si>
    <t>4524006938</t>
  </si>
  <si>
    <t>100285798219000046</t>
  </si>
  <si>
    <t>2721120717</t>
  </si>
  <si>
    <t>100242198219000020</t>
  </si>
  <si>
    <t>1353207</t>
  </si>
  <si>
    <t>6603009558</t>
  </si>
  <si>
    <t>31908351384</t>
  </si>
  <si>
    <t>7717127211</t>
  </si>
  <si>
    <t>31908356092</t>
  </si>
  <si>
    <t>6632017722</t>
  </si>
  <si>
    <t>31908352661</t>
  </si>
  <si>
    <t>31908351371</t>
  </si>
  <si>
    <t>[ОКПД2 32.99] Изделия готовые прочие, не включенные в другие группировки, [ОКВЭД2 32.99] Производство прочих готовых изделий, не включенных в другие группировки</t>
  </si>
  <si>
    <t>6612011546</t>
  </si>
  <si>
    <t>31908351307</t>
  </si>
  <si>
    <t>[ОКПД2 95.1+] Услуги по ремонту компьютеров и коммуникационного оборудования, [ОКВЭД2 95.1+] Ремонт компьютеров и коммуникационного оборудования</t>
  </si>
  <si>
    <t>Каменск-Уральский</t>
  </si>
  <si>
    <t>7724261610</t>
  </si>
  <si>
    <t>SBR035-190014860300039</t>
  </si>
  <si>
    <t>31908355981</t>
  </si>
  <si>
    <t>1352891</t>
  </si>
  <si>
    <t>2311014546</t>
  </si>
  <si>
    <t>31908380229</t>
  </si>
  <si>
    <t>7830000426</t>
  </si>
  <si>
    <t>31908354296</t>
  </si>
  <si>
    <t>2128012902</t>
  </si>
  <si>
    <t>31908350747</t>
  </si>
  <si>
    <t>2128048539</t>
  </si>
  <si>
    <t>7714008061</t>
  </si>
  <si>
    <t>31908355889</t>
  </si>
  <si>
    <t>[ОКПД2 94.99] Услуги прочих общественных организаций, не включенных в другие группировки, [ОКВЭД2 90.04] Деятельность учреждений культуры и искусства</t>
  </si>
  <si>
    <t>31908380294</t>
  </si>
  <si>
    <t>2446000650</t>
  </si>
  <si>
    <t>31908350361</t>
  </si>
  <si>
    <t>[ОКПД2 26.20] Компьютеры и периферийное оборудование, [ОКВЭД2 46.14] Деятельность агентов по оптовой торговле машинами, промышленным оборудованием, судами и летательными аппаратами</t>
  </si>
  <si>
    <t>2224028951</t>
  </si>
  <si>
    <t>100319627219000030</t>
  </si>
  <si>
    <t>7203262893</t>
  </si>
  <si>
    <t>31908348430</t>
  </si>
  <si>
    <t>[ОКПД2 47.59] Услуги по розничной торговле мебелью, осветительными приборами и прочими бытовыми изделиями в специализированных магазинах, [ОКВЭД2 43.21] Производство электромонтажных работ</t>
  </si>
  <si>
    <t>7703370784</t>
  </si>
  <si>
    <t>0373100113919000020</t>
  </si>
  <si>
    <t>6730009960</t>
  </si>
  <si>
    <t>0163200000319007095</t>
  </si>
  <si>
    <t>Смоленск</t>
  </si>
  <si>
    <t>0163200000319007103</t>
  </si>
  <si>
    <t>0163200000319007098</t>
  </si>
  <si>
    <t>0602000142</t>
  </si>
  <si>
    <t>0114100000419000038</t>
  </si>
  <si>
    <t>Магас</t>
  </si>
  <si>
    <t>0608018820</t>
  </si>
  <si>
    <t>261811116026</t>
  </si>
  <si>
    <t>0608050206</t>
  </si>
  <si>
    <t>7805065719</t>
  </si>
  <si>
    <t>100091772219000014</t>
  </si>
  <si>
    <t>100091772219000015</t>
  </si>
  <si>
    <t>8620019373</t>
  </si>
  <si>
    <t>0187300010319001136</t>
  </si>
  <si>
    <t>[ОКПД2 27.33] Изделия электроустановочные, [ОКПД2 27.32] Провода и кабели электронные и электрические прочие, [ОКПД2 26.40] Техника бытовая электронная</t>
  </si>
  <si>
    <t>8603193205</t>
  </si>
  <si>
    <t>2225777777</t>
  </si>
  <si>
    <t>0117100014419000018</t>
  </si>
  <si>
    <t>2221228180</t>
  </si>
  <si>
    <t>222100358708</t>
  </si>
  <si>
    <t>0360200054019000149</t>
  </si>
  <si>
    <t>7707311363</t>
  </si>
  <si>
    <t>3804004755</t>
  </si>
  <si>
    <t>0134200000119003422</t>
  </si>
  <si>
    <t>3804035859</t>
  </si>
  <si>
    <t>3801123507</t>
  </si>
  <si>
    <t>3810339492</t>
  </si>
  <si>
    <t>667221091405</t>
  </si>
  <si>
    <t>3827044352</t>
  </si>
  <si>
    <t>3801127212</t>
  </si>
  <si>
    <t>380126309639</t>
  </si>
  <si>
    <t>5321065753</t>
  </si>
  <si>
    <t>0150100004219000147</t>
  </si>
  <si>
    <t>5321053162</t>
  </si>
  <si>
    <t>532113174131</t>
  </si>
  <si>
    <t>6130000411</t>
  </si>
  <si>
    <t>0358300068419000161</t>
  </si>
  <si>
    <t>616705243912</t>
  </si>
  <si>
    <t>613501062687</t>
  </si>
  <si>
    <t>5034033363</t>
  </si>
  <si>
    <t>0848300050819000954</t>
  </si>
  <si>
    <t>5034038530</t>
  </si>
  <si>
    <t>5034005870</t>
  </si>
  <si>
    <t>0134200000119003423</t>
  </si>
  <si>
    <t>7202100787</t>
  </si>
  <si>
    <t>0167200003419005181</t>
  </si>
  <si>
    <t>7203280444</t>
  </si>
  <si>
    <t>0162300038619000025</t>
  </si>
  <si>
    <t>4200000083</t>
  </si>
  <si>
    <t>0139200000119007734</t>
  </si>
  <si>
    <t>4205196961</t>
  </si>
  <si>
    <t>0139200000119007712</t>
  </si>
  <si>
    <t>4205287224</t>
  </si>
  <si>
    <t>839022</t>
  </si>
  <si>
    <t>Луховицкий район</t>
  </si>
  <si>
    <t>4501111767</t>
  </si>
  <si>
    <t>100044487219000053</t>
  </si>
  <si>
    <t>Курган</t>
  </si>
  <si>
    <t>5085469</t>
  </si>
  <si>
    <t>5085475</t>
  </si>
  <si>
    <t>7708697977</t>
  </si>
  <si>
    <t>2596056</t>
  </si>
  <si>
    <t>ATOM27091900090</t>
  </si>
  <si>
    <t>2019-749853</t>
  </si>
  <si>
    <t>2901131228</t>
  </si>
  <si>
    <t>0124100002419000048</t>
  </si>
  <si>
    <t>2901219419</t>
  </si>
  <si>
    <t>3313010147</t>
  </si>
  <si>
    <t>0128300013019000093</t>
  </si>
  <si>
    <t>3338006551</t>
  </si>
  <si>
    <t>0139200000119007683</t>
  </si>
  <si>
    <t>2466251821</t>
  </si>
  <si>
    <t>100143130219000144</t>
  </si>
  <si>
    <t>Красноярск</t>
  </si>
  <si>
    <t>5321144444</t>
  </si>
  <si>
    <t>0150100006419000049</t>
  </si>
  <si>
    <t>0139200000119007680</t>
  </si>
  <si>
    <t>4205125199</t>
  </si>
  <si>
    <t>100304020119000033</t>
  </si>
  <si>
    <t>[ОКПД2 33.13] Услуги по ремонту электронного и оптического оборудования, [ОКПД2 84.25] Услуги по обеспечению безопасности в чрезвычайных ситуациях; услуги по обеспечению безопасности в области использования атомной энергии</t>
  </si>
  <si>
    <t>7410002484</t>
  </si>
  <si>
    <t>100311961219000019</t>
  </si>
  <si>
    <t>Катав-Ивановск</t>
  </si>
  <si>
    <t>5401118295</t>
  </si>
  <si>
    <t>100019990219000059</t>
  </si>
  <si>
    <t>6501094699</t>
  </si>
  <si>
    <t>27538</t>
  </si>
  <si>
    <t>[ОКПД2 47.59] Услуги по розничной торговле мебелью, осветительными приборами и прочими бытовыми изделиями в специализированных магазинах</t>
  </si>
  <si>
    <t>1351755</t>
  </si>
  <si>
    <t>2019-749980</t>
  </si>
  <si>
    <t>8709014858</t>
  </si>
  <si>
    <t>31908338681</t>
  </si>
  <si>
    <t>[ОКПД2 29.10] Средства автотранспортные, [ОКВЭД2 29.10] Производство автотранспортных средств</t>
  </si>
  <si>
    <t>Чукотский автономный округ</t>
  </si>
  <si>
    <t>0105014177</t>
  </si>
  <si>
    <t>31908346588</t>
  </si>
  <si>
    <t>Республика Адыгея</t>
  </si>
  <si>
    <t>7736050003</t>
  </si>
  <si>
    <t>31908348267</t>
  </si>
  <si>
    <t>[ОКПД2 49.39] Услуги сухопутного пассажирского транспорта прочие, не включенные в другие группировки, [ОКВЭД2 49.39] Деятельность прочего сухопутного пассажирского транспорта, не включенная в другие группировки</t>
  </si>
  <si>
    <t>31908348298</t>
  </si>
  <si>
    <t>0276140862</t>
  </si>
  <si>
    <t>31908344918</t>
  </si>
  <si>
    <t>7018047034</t>
  </si>
  <si>
    <t>31908346814</t>
  </si>
  <si>
    <t>8613000477</t>
  </si>
  <si>
    <t>31908345170</t>
  </si>
  <si>
    <t>7704759968</t>
  </si>
  <si>
    <t>31908343775</t>
  </si>
  <si>
    <t>[ОКПД2 26.30] Оборудование коммуникационное, [ОКВЭД2 47.59] Торговля розничная мебелью, осветительными приборами и прочими бытовыми изделиями в специализированных магазинах</t>
  </si>
  <si>
    <t>6672169922</t>
  </si>
  <si>
    <t>31908346218</t>
  </si>
  <si>
    <t>9102161282</t>
  </si>
  <si>
    <t>31908345838</t>
  </si>
  <si>
    <t>[ОКПД2 42.11] Дороги автомобильные и автомагистрали; строительные работы по строительству автомобильных дорог и автомагистралей, [ОКВЭД2 42.11] Строительство автомобильных дорог и автомагистралей</t>
  </si>
  <si>
    <t>3523002368</t>
  </si>
  <si>
    <t>31908345696</t>
  </si>
  <si>
    <t>5047109796</t>
  </si>
  <si>
    <t>COM27091900078</t>
  </si>
  <si>
    <t>7219001329</t>
  </si>
  <si>
    <t>31908344555</t>
  </si>
  <si>
    <t>7202139992</t>
  </si>
  <si>
    <t>7202116848</t>
  </si>
  <si>
    <t>7710353606</t>
  </si>
  <si>
    <t>2310067376</t>
  </si>
  <si>
    <t>31908342207</t>
  </si>
  <si>
    <t>8602060185</t>
  </si>
  <si>
    <t>ROSSETI27091900004</t>
  </si>
  <si>
    <t>ROSSETI27091900005</t>
  </si>
  <si>
    <t>7710445889</t>
  </si>
  <si>
    <t>0373200159619000247</t>
  </si>
  <si>
    <t>9725015191</t>
  </si>
  <si>
    <t>7706302380</t>
  </si>
  <si>
    <t>9715287485</t>
  </si>
  <si>
    <t>5036093343</t>
  </si>
  <si>
    <t>0862100005119001005</t>
  </si>
  <si>
    <t>8613006750</t>
  </si>
  <si>
    <t>0373200159619000246</t>
  </si>
  <si>
    <t>[ОКПД2 26.40] Техника бытовая электронная, [ОКПД2 33.20] Услуги по монтажу промышленных машин и оборудования</t>
  </si>
  <si>
    <t>7735588906</t>
  </si>
  <si>
    <t>7720393693</t>
  </si>
  <si>
    <t>5001106697</t>
  </si>
  <si>
    <t>838603</t>
  </si>
  <si>
    <t>0862100005119001006</t>
  </si>
  <si>
    <t>8622010778</t>
  </si>
  <si>
    <t>8601022797</t>
  </si>
  <si>
    <t>8601022451</t>
  </si>
  <si>
    <t>0821400000119000327</t>
  </si>
  <si>
    <t>[ОКПД2 26.70] Приборы оптические и фотографическое оборудование, [ОКПД2 26.30] Оборудование коммуникационное</t>
  </si>
  <si>
    <t>6154567859</t>
  </si>
  <si>
    <t>4823006453</t>
  </si>
  <si>
    <t>0346200008019000382</t>
  </si>
  <si>
    <t>Липецк</t>
  </si>
  <si>
    <t>4826112700</t>
  </si>
  <si>
    <t>4823058162</t>
  </si>
  <si>
    <t>4826081226</t>
  </si>
  <si>
    <t>4826056526</t>
  </si>
  <si>
    <t>5942200596</t>
  </si>
  <si>
    <t>0356300000219000106</t>
  </si>
  <si>
    <t>5933008342</t>
  </si>
  <si>
    <t>5908044241</t>
  </si>
  <si>
    <t>5902993966</t>
  </si>
  <si>
    <t>5947015043</t>
  </si>
  <si>
    <t>5904161561</t>
  </si>
  <si>
    <t>4714004270</t>
  </si>
  <si>
    <t>0573100002519001084</t>
  </si>
  <si>
    <t>2015002734</t>
  </si>
  <si>
    <t>5027053224</t>
  </si>
  <si>
    <t>0320100028719000067</t>
  </si>
  <si>
    <t>272012266200</t>
  </si>
  <si>
    <t>2540147643</t>
  </si>
  <si>
    <t>[ОКПД2 25.99] Металлоизделия готовые прочие, не включенные в другие группировки</t>
  </si>
  <si>
    <t>2634801050</t>
  </si>
  <si>
    <t>0321100031819000116</t>
  </si>
  <si>
    <t>2636804385</t>
  </si>
  <si>
    <t>5050035329</t>
  </si>
  <si>
    <t>0348200061719000044</t>
  </si>
  <si>
    <t>7716074172</t>
  </si>
  <si>
    <t>7407004428</t>
  </si>
  <si>
    <t>100181186219000021</t>
  </si>
  <si>
    <t>Локомотивный</t>
  </si>
  <si>
    <t>6450930656</t>
  </si>
  <si>
    <t>0360200048619000120</t>
  </si>
  <si>
    <t>[ОКПД2 93.29] Услуги в области развлечений и отдыха прочие</t>
  </si>
  <si>
    <t>645106054254</t>
  </si>
  <si>
    <t>0126100004619000054</t>
  </si>
  <si>
    <t>4340000171</t>
  </si>
  <si>
    <t>100194907219000015</t>
  </si>
  <si>
    <t>Вятские Поляны</t>
  </si>
  <si>
    <t>1106023112</t>
  </si>
  <si>
    <t>РН90907605</t>
  </si>
  <si>
    <t>Усинск</t>
  </si>
  <si>
    <t>100181186219000020</t>
  </si>
  <si>
    <t>0323102930</t>
  </si>
  <si>
    <t>0302100013119000147</t>
  </si>
  <si>
    <t>4459783</t>
  </si>
  <si>
    <t>[ОКПД2 63.11] Услуги по обработке данных, размещению и взаимосвязанные услуги</t>
  </si>
  <si>
    <t>2727025940</t>
  </si>
  <si>
    <t>0322200029019000157</t>
  </si>
  <si>
    <t>2703024087</t>
  </si>
  <si>
    <t>2722131060</t>
  </si>
  <si>
    <t>270317335180</t>
  </si>
  <si>
    <t>2703036413</t>
  </si>
  <si>
    <t>7017276722</t>
  </si>
  <si>
    <t>0165100009019000059</t>
  </si>
  <si>
    <t>Томск</t>
  </si>
  <si>
    <t>7017311832</t>
  </si>
  <si>
    <t>0828100000719000888</t>
  </si>
  <si>
    <t>7604229808</t>
  </si>
  <si>
    <t>100063250119000269</t>
  </si>
  <si>
    <t>Тутаевский район</t>
  </si>
  <si>
    <t>5048052888</t>
  </si>
  <si>
    <t>838080</t>
  </si>
  <si>
    <t>3666142821</t>
  </si>
  <si>
    <t>100211749219000045</t>
  </si>
  <si>
    <t>7707778246</t>
  </si>
  <si>
    <t>0195100000219000301</t>
  </si>
  <si>
    <t>0274110679</t>
  </si>
  <si>
    <t>2632056918</t>
  </si>
  <si>
    <t>0321200010119000081</t>
  </si>
  <si>
    <t>Пятигорск</t>
  </si>
  <si>
    <t>2635213950</t>
  </si>
  <si>
    <t>263505884706</t>
  </si>
  <si>
    <t>2636215982</t>
  </si>
  <si>
    <t>2631802747</t>
  </si>
  <si>
    <t>2630042733</t>
  </si>
  <si>
    <t>5029115081</t>
  </si>
  <si>
    <t>838057</t>
  </si>
  <si>
    <t>100181186119000040</t>
  </si>
  <si>
    <t>100181186119000039</t>
  </si>
  <si>
    <t>7453061572</t>
  </si>
  <si>
    <t>0369200012119000104</t>
  </si>
  <si>
    <t>Челябинск</t>
  </si>
  <si>
    <t>5402105933</t>
  </si>
  <si>
    <t>7451051089</t>
  </si>
  <si>
    <t>1644037241</t>
  </si>
  <si>
    <t>ЗП-190926-1</t>
  </si>
  <si>
    <t>ЗП-190926-1 (1)</t>
  </si>
  <si>
    <t>4229001844</t>
  </si>
  <si>
    <t>100003514219000035</t>
  </si>
  <si>
    <t>Топки</t>
  </si>
  <si>
    <t>3662020886</t>
  </si>
  <si>
    <t>31908342378</t>
  </si>
  <si>
    <t>2019-749652</t>
  </si>
  <si>
    <t>6449053070</t>
  </si>
  <si>
    <t>31908339367</t>
  </si>
  <si>
    <t>6163070485</t>
  </si>
  <si>
    <t>31908341761</t>
  </si>
  <si>
    <t>7721062736</t>
  </si>
  <si>
    <t>31908342649</t>
  </si>
  <si>
    <t>7715719854</t>
  </si>
  <si>
    <t>31908341484</t>
  </si>
  <si>
    <t>[ОКПД2 43.9+] Работы строительные специализированные прочие, [ОКВЭД2 43+] Работы строительные специализированные</t>
  </si>
  <si>
    <t>5012073203</t>
  </si>
  <si>
    <t>31908342082</t>
  </si>
  <si>
    <t>[ОКПД2 33.20] Услуги по монтажу промышленных машин и оборудования, [ОКВЭД2 46.52] Торговля оптовая электронным и телекоммуникационным оборудованием и его запасными частями</t>
  </si>
  <si>
    <t>6318301113</t>
  </si>
  <si>
    <t>COM26091900018</t>
  </si>
  <si>
    <t>Самара</t>
  </si>
  <si>
    <t>5017045094</t>
  </si>
  <si>
    <t>837651</t>
  </si>
  <si>
    <t>100091772219000002</t>
  </si>
  <si>
    <t>324355</t>
  </si>
  <si>
    <t>7826020645</t>
  </si>
  <si>
    <t>0372200058219000006</t>
  </si>
  <si>
    <t>7840381202</t>
  </si>
  <si>
    <t>7811128413</t>
  </si>
  <si>
    <t>7716725032</t>
  </si>
  <si>
    <t>7839484193</t>
  </si>
  <si>
    <t>7838479264</t>
  </si>
  <si>
    <t>0302100013119000143</t>
  </si>
  <si>
    <t>0326008157</t>
  </si>
  <si>
    <t>0323337971</t>
  </si>
  <si>
    <t>0323065460</t>
  </si>
  <si>
    <t>0326555921</t>
  </si>
  <si>
    <t>0323408809</t>
  </si>
  <si>
    <t>0318100043419000173</t>
  </si>
  <si>
    <t>5249046997</t>
  </si>
  <si>
    <t>114392</t>
  </si>
  <si>
    <t>Дзержинск</t>
  </si>
  <si>
    <t>4025001204</t>
  </si>
  <si>
    <t>100197984219000055</t>
  </si>
  <si>
    <t>2127012794</t>
  </si>
  <si>
    <t>100280625219000053</t>
  </si>
  <si>
    <t>7709210297</t>
  </si>
  <si>
    <t>0373200114319000320</t>
  </si>
  <si>
    <t>7720009546</t>
  </si>
  <si>
    <t>7720291814</t>
  </si>
  <si>
    <t>5050114370</t>
  </si>
  <si>
    <t>2204054840</t>
  </si>
  <si>
    <t>7721559951</t>
  </si>
  <si>
    <t>644001624995</t>
  </si>
  <si>
    <t>7716898532</t>
  </si>
  <si>
    <t>7735160290</t>
  </si>
  <si>
    <t>7721315715</t>
  </si>
  <si>
    <t>4401092983</t>
  </si>
  <si>
    <t>9718141043</t>
  </si>
  <si>
    <t>5006012361</t>
  </si>
  <si>
    <t>7719475616</t>
  </si>
  <si>
    <t>7716748449</t>
  </si>
  <si>
    <t>114334</t>
  </si>
  <si>
    <t>ЮЗБ2019-0191(ЗКО)</t>
  </si>
  <si>
    <t>ЮЗБ2019-0190(ЗКО)</t>
  </si>
  <si>
    <t>0835100003919000024</t>
  </si>
  <si>
    <t>3906240222</t>
  </si>
  <si>
    <t>7203424512</t>
  </si>
  <si>
    <t>100174823219000067</t>
  </si>
  <si>
    <t>4209030981</t>
  </si>
  <si>
    <t>0139100006819000043</t>
  </si>
  <si>
    <t>4205250464</t>
  </si>
  <si>
    <t>7812031703</t>
  </si>
  <si>
    <t>0172200006019000112</t>
  </si>
  <si>
    <t>5410027319</t>
  </si>
  <si>
    <t>2595190</t>
  </si>
  <si>
    <t>100263591119000047</t>
  </si>
  <si>
    <t>ATOM25091900121</t>
  </si>
  <si>
    <t>0187300010319001132</t>
  </si>
  <si>
    <t>[ОКПД2 27.32] Провода и кабели электронные и электрические прочие, [ОКПД2 26.40] Техника бытовая электронная, [ОКПД2 27.33] Изделия электроустановочные</t>
  </si>
  <si>
    <t>6617010151</t>
  </si>
  <si>
    <t>0362300231019000222</t>
  </si>
  <si>
    <t>Карпинск</t>
  </si>
  <si>
    <t>661403848079</t>
  </si>
  <si>
    <t>100063525119000004</t>
  </si>
  <si>
    <t>3114003642</t>
  </si>
  <si>
    <t>100039675219000021</t>
  </si>
  <si>
    <t>Новооскольский район</t>
  </si>
  <si>
    <t>1646026380</t>
  </si>
  <si>
    <t>100219289219000021</t>
  </si>
  <si>
    <t>Елабуга</t>
  </si>
  <si>
    <t>5321038647</t>
  </si>
  <si>
    <t>0150100004119000017</t>
  </si>
  <si>
    <t>6161025529</t>
  </si>
  <si>
    <t>0358300409219000050</t>
  </si>
  <si>
    <t>616117310505</t>
  </si>
  <si>
    <t>6167088892</t>
  </si>
  <si>
    <t>6162079118</t>
  </si>
  <si>
    <t>612101570797</t>
  </si>
  <si>
    <t>615010268351</t>
  </si>
  <si>
    <t>616131781136</t>
  </si>
  <si>
    <t>5034084449</t>
  </si>
  <si>
    <t>0848300049019000708</t>
  </si>
  <si>
    <t>9715230217</t>
  </si>
  <si>
    <t>5034036484</t>
  </si>
  <si>
    <t>5034018100</t>
  </si>
  <si>
    <t>6832038550</t>
  </si>
  <si>
    <t>0364100001419000057</t>
  </si>
  <si>
    <t>[ОКПД2 27.20] Батареи и аккумуляторы, [ОКПД2 26.30] Оборудование коммуникационное, [ОКПД2 26.40] Техника бытовая электронная, [ОКПД2 26.20] Компьютеры и периферийное оборудование</t>
  </si>
  <si>
    <t>4345338750</t>
  </si>
  <si>
    <t>5404061826</t>
  </si>
  <si>
    <t>4345429380</t>
  </si>
  <si>
    <t>100311961119000018</t>
  </si>
  <si>
    <t>100063250119000267</t>
  </si>
  <si>
    <t>6320001847</t>
  </si>
  <si>
    <t>0542600011619000024</t>
  </si>
  <si>
    <t>Тольятти</t>
  </si>
  <si>
    <t>6321301811</t>
  </si>
  <si>
    <t>2304054192</t>
  </si>
  <si>
    <t>0118300003719000301</t>
  </si>
  <si>
    <t>Геленджик</t>
  </si>
  <si>
    <t>2454018130</t>
  </si>
  <si>
    <t>230407449281</t>
  </si>
  <si>
    <t>2605006700</t>
  </si>
  <si>
    <t>100186885219000049</t>
  </si>
  <si>
    <t>Благодарненский район</t>
  </si>
  <si>
    <t>ЗП-190925-27 (1)</t>
  </si>
  <si>
    <t>ЗП-190925-27</t>
  </si>
  <si>
    <t>4205199592</t>
  </si>
  <si>
    <t>100050454219000015</t>
  </si>
  <si>
    <t>7538000018</t>
  </si>
  <si>
    <t>100110397219000025</t>
  </si>
  <si>
    <t>100110397119000012</t>
  </si>
  <si>
    <t>Хилокский район</t>
  </si>
  <si>
    <t>6501295853</t>
  </si>
  <si>
    <t>0361500000619000022</t>
  </si>
  <si>
    <t>7708812370</t>
  </si>
  <si>
    <t>650400579567</t>
  </si>
  <si>
    <t>31908333214</t>
  </si>
  <si>
    <t>[ОКПД2 52.21] Услуги, связанные с сухопутным транспортом, [ОКВЭД2 52.21] Деятельность вспомогательная, связанная с сухопутным транспортом</t>
  </si>
  <si>
    <t>0274035573</t>
  </si>
  <si>
    <t>31908336009</t>
  </si>
  <si>
    <t>1103006077</t>
  </si>
  <si>
    <t>31908337753</t>
  </si>
  <si>
    <t>Воркута</t>
  </si>
  <si>
    <t>7740000076</t>
  </si>
  <si>
    <t>7729101120</t>
  </si>
  <si>
    <t>31908336535</t>
  </si>
  <si>
    <t>[ОКПД2 43.21] Работы электромонтажные, [ОКВЭД2 43.29] Производство прочих строительно-монтажных работ</t>
  </si>
  <si>
    <t>2722010548</t>
  </si>
  <si>
    <t>31908334510</t>
  </si>
  <si>
    <t>[ОКПД2 33.2+] Услуги по монтажу промышленных машин и оборудования, [ОКВЭД2 33.2+] Монтаж промышленных машин и оборудования</t>
  </si>
  <si>
    <t>SBR035-190005476100519</t>
  </si>
  <si>
    <t>31908337291</t>
  </si>
  <si>
    <t>6680008453</t>
  </si>
  <si>
    <t>31908334848</t>
  </si>
  <si>
    <t>7843003128</t>
  </si>
  <si>
    <t>31908337334</t>
  </si>
  <si>
    <t>6167081833</t>
  </si>
  <si>
    <t>31908335141</t>
  </si>
  <si>
    <t>[ОКПД2 43.22] Работы по монтажу систем водопровода, канализации, отопления и кондиционирования воздуха, [ОКВЭД2 43.22] Производство санитарно-технических работ, монтаж отопительных систем и систем кондиционирования воздуха</t>
  </si>
  <si>
    <t>8602153263</t>
  </si>
  <si>
    <t>31908336948</t>
  </si>
  <si>
    <t>7710031380</t>
  </si>
  <si>
    <t>31908338532</t>
  </si>
  <si>
    <t>1349933</t>
  </si>
  <si>
    <t>4703102356</t>
  </si>
  <si>
    <t>0345200005319000196</t>
  </si>
  <si>
    <t>7842108262</t>
  </si>
  <si>
    <t>1651020979</t>
  </si>
  <si>
    <t>324927</t>
  </si>
  <si>
    <t>1624005844</t>
  </si>
  <si>
    <t>324934</t>
  </si>
  <si>
    <t>7705002602</t>
  </si>
  <si>
    <t>0373200082119000699</t>
  </si>
  <si>
    <t>6154077886</t>
  </si>
  <si>
    <t>3507003413</t>
  </si>
  <si>
    <t>0130200002419003257</t>
  </si>
  <si>
    <t>Вологодский район</t>
  </si>
  <si>
    <t>352526722563</t>
  </si>
  <si>
    <t>3525420360</t>
  </si>
  <si>
    <t>3525437565</t>
  </si>
  <si>
    <t>100232547119000084</t>
  </si>
  <si>
    <t>2322014690</t>
  </si>
  <si>
    <t>100199342219000004</t>
  </si>
  <si>
    <t>Туапсе</t>
  </si>
  <si>
    <t>1644047828</t>
  </si>
  <si>
    <t>РД-190912-142 (9)</t>
  </si>
  <si>
    <t>РД-190912-142 (10)</t>
  </si>
  <si>
    <t>5045025156</t>
  </si>
  <si>
    <t>0848600008919000295</t>
  </si>
  <si>
    <t>Ступинский район</t>
  </si>
  <si>
    <t>5019028182</t>
  </si>
  <si>
    <t>6321452144</t>
  </si>
  <si>
    <t>504506543330</t>
  </si>
  <si>
    <t>РД-190912-142 (6)</t>
  </si>
  <si>
    <t>РД-190912-142 (8)</t>
  </si>
  <si>
    <t>РД-190912-142 (7)</t>
  </si>
  <si>
    <t>7715529860</t>
  </si>
  <si>
    <t>0873100007719000025</t>
  </si>
  <si>
    <t>100174823119000031</t>
  </si>
  <si>
    <t>5014007157</t>
  </si>
  <si>
    <t>0348200017719000011</t>
  </si>
  <si>
    <t>5029166262</t>
  </si>
  <si>
    <t>5029176574</t>
  </si>
  <si>
    <t>5029141571</t>
  </si>
  <si>
    <t>РД-190912-142 (4)</t>
  </si>
  <si>
    <t>100174823119000032</t>
  </si>
  <si>
    <t>РД-190912-142 (5)</t>
  </si>
  <si>
    <t>3015064468</t>
  </si>
  <si>
    <t>0325200000719000069</t>
  </si>
  <si>
    <t>3443134898</t>
  </si>
  <si>
    <t>3016034321</t>
  </si>
  <si>
    <t>РД-190912-142 (3)</t>
  </si>
  <si>
    <t>2901110845</t>
  </si>
  <si>
    <t>0124200001019000055</t>
  </si>
  <si>
    <t>Архангельск</t>
  </si>
  <si>
    <t>2901168757</t>
  </si>
  <si>
    <t>2901171397</t>
  </si>
  <si>
    <t>3525347054</t>
  </si>
  <si>
    <t>РД-190912-142 (2)</t>
  </si>
  <si>
    <t>6315800805</t>
  </si>
  <si>
    <t>0142200001319015619</t>
  </si>
  <si>
    <t>7720800596</t>
  </si>
  <si>
    <t>0373200006219001697</t>
  </si>
  <si>
    <t>SBR035-190003234300101</t>
  </si>
  <si>
    <t>31908333490</t>
  </si>
  <si>
    <t>SBR035-190003234300100</t>
  </si>
  <si>
    <t>4714000067</t>
  </si>
  <si>
    <t>31908328018</t>
  </si>
  <si>
    <t>[ОКПД2 72.19] Услуги, связанные с научными исследованиями и экспериментальными разработками в области естественных и технических наук, прочие, [ОКВЭД2 72.19] Научные исследования и разработки в области естественных и технических наук прочие</t>
  </si>
  <si>
    <t>Сосновый Бор</t>
  </si>
  <si>
    <t>4101017801</t>
  </si>
  <si>
    <t>31908329177</t>
  </si>
  <si>
    <t>[ОКПД2 71.20] Услуги в области технических испытаний, исследований, анализа и сертификации, [ОКВЭД2 71.20] Технические испытания, исследования, анализ и сертификация</t>
  </si>
  <si>
    <t>31908333165</t>
  </si>
  <si>
    <t>7404056114</t>
  </si>
  <si>
    <t>2129018294</t>
  </si>
  <si>
    <t>31908383513</t>
  </si>
  <si>
    <t>[ОКПД2 43.21] Работы электромонтажные, [ОКВЭД2 80.20] Деятельность систем обеспечения безопасности</t>
  </si>
  <si>
    <t>31908333498</t>
  </si>
  <si>
    <t>31908332137</t>
  </si>
  <si>
    <t>1701034257</t>
  </si>
  <si>
    <t>0312100005619000010</t>
  </si>
  <si>
    <t>170112651819</t>
  </si>
  <si>
    <t>5055001669</t>
  </si>
  <si>
    <t>836480</t>
  </si>
  <si>
    <t>Рошаль</t>
  </si>
  <si>
    <t>7826720140</t>
  </si>
  <si>
    <t>0372200057819000013</t>
  </si>
  <si>
    <t>7838059407</t>
  </si>
  <si>
    <t>7810895962</t>
  </si>
  <si>
    <t>0863400000819000014</t>
  </si>
  <si>
    <t>ATOM23091900225</t>
  </si>
  <si>
    <t>1650345519</t>
  </si>
  <si>
    <t>324682</t>
  </si>
  <si>
    <t>Набережные Челны</t>
  </si>
  <si>
    <t>0162300038619000024</t>
  </si>
  <si>
    <t>5001007537</t>
  </si>
  <si>
    <t>836360</t>
  </si>
  <si>
    <t>1655030632</t>
  </si>
  <si>
    <t>323858</t>
  </si>
  <si>
    <t>3328101414</t>
  </si>
  <si>
    <t>0128200000119006079</t>
  </si>
  <si>
    <t>5249070816</t>
  </si>
  <si>
    <t>661215870794</t>
  </si>
  <si>
    <t>3328464591</t>
  </si>
  <si>
    <t>3329082299</t>
  </si>
  <si>
    <t>3327852986</t>
  </si>
  <si>
    <t>5016010290</t>
  </si>
  <si>
    <t>836229</t>
  </si>
  <si>
    <t>Ивантеевка</t>
  </si>
  <si>
    <t>0387200030219000081</t>
  </si>
  <si>
    <t>8602227645</t>
  </si>
  <si>
    <t>8601047640</t>
  </si>
  <si>
    <t>8602119255</t>
  </si>
  <si>
    <t>324560</t>
  </si>
  <si>
    <t>5039006589</t>
  </si>
  <si>
    <t>836263</t>
  </si>
  <si>
    <t>Пущино</t>
  </si>
  <si>
    <t>ATOM23091900176</t>
  </si>
  <si>
    <t>3728016604</t>
  </si>
  <si>
    <t>0333200015419000030</t>
  </si>
  <si>
    <t>3702570938</t>
  </si>
  <si>
    <t>3616007344</t>
  </si>
  <si>
    <t>100030778219000077</t>
  </si>
  <si>
    <t>Новоусманский район</t>
  </si>
  <si>
    <t>7816211249</t>
  </si>
  <si>
    <t>0372200243519000022</t>
  </si>
  <si>
    <t>7810423293</t>
  </si>
  <si>
    <t>7811704032</t>
  </si>
  <si>
    <t>100030778219000076</t>
  </si>
  <si>
    <t>0105014561</t>
  </si>
  <si>
    <t>0176200005519001849</t>
  </si>
  <si>
    <t>Майкоп</t>
  </si>
  <si>
    <t>0105073969</t>
  </si>
  <si>
    <t>2308104824</t>
  </si>
  <si>
    <t>0105067228</t>
  </si>
  <si>
    <t>232106025074</t>
  </si>
  <si>
    <t>7724521579</t>
  </si>
  <si>
    <t>100314543119000078</t>
  </si>
  <si>
    <t>1435033691</t>
  </si>
  <si>
    <t>0316100015219000360</t>
  </si>
  <si>
    <t>[ОКПД2 29.20] Кузова (корпуса) для автотранспортных средств; прицепы и полуприцепы</t>
  </si>
  <si>
    <t>1431012620</t>
  </si>
  <si>
    <t>2130106185</t>
  </si>
  <si>
    <t>0115200001119002569</t>
  </si>
  <si>
    <t>7814747757</t>
  </si>
  <si>
    <t>1215184582</t>
  </si>
  <si>
    <t>2238005369</t>
  </si>
  <si>
    <t>100182032119000013</t>
  </si>
  <si>
    <t>Волчихинский район</t>
  </si>
  <si>
    <t>1644062424</t>
  </si>
  <si>
    <t>0711200003719000079</t>
  </si>
  <si>
    <t>1644056220</t>
  </si>
  <si>
    <t>5047024694</t>
  </si>
  <si>
    <t>0348100046519000109</t>
  </si>
  <si>
    <t>3800000742</t>
  </si>
  <si>
    <t>26616</t>
  </si>
  <si>
    <t>Иркутск</t>
  </si>
  <si>
    <t>26598</t>
  </si>
  <si>
    <t>5010010374</t>
  </si>
  <si>
    <t>835862</t>
  </si>
  <si>
    <t>Дубна</t>
  </si>
  <si>
    <t>3661006889</t>
  </si>
  <si>
    <t>0331300057119000180</t>
  </si>
  <si>
    <t>3334002490</t>
  </si>
  <si>
    <t>5263094738</t>
  </si>
  <si>
    <t>7017162531</t>
  </si>
  <si>
    <t>0165100002619000018</t>
  </si>
  <si>
    <t>5402055908</t>
  </si>
  <si>
    <t>5404493600</t>
  </si>
  <si>
    <t>7017219555</t>
  </si>
  <si>
    <t>SBR035-190003234300097</t>
  </si>
  <si>
    <t>1347775</t>
  </si>
  <si>
    <t>COM23091900033</t>
  </si>
  <si>
    <t>31908328001</t>
  </si>
  <si>
    <t>[ОКПД2 27.90] Оборудование электрическое прочее, [ОКВЭД2 27.90] Производство прочего электрического оборудования</t>
  </si>
  <si>
    <t>SBR035-190003234300098</t>
  </si>
  <si>
    <t>1651027886</t>
  </si>
  <si>
    <t>BP00341867</t>
  </si>
  <si>
    <t>1348143</t>
  </si>
  <si>
    <t>2466107345</t>
  </si>
  <si>
    <t>31908325013</t>
  </si>
  <si>
    <t>7719091049</t>
  </si>
  <si>
    <t>1045/ЭТП/2019/ПБГ</t>
  </si>
  <si>
    <t>7830001525</t>
  </si>
  <si>
    <t>31908325561</t>
  </si>
  <si>
    <t>COM23091900028</t>
  </si>
  <si>
    <t>7709018297</t>
  </si>
  <si>
    <t>31908325629</t>
  </si>
  <si>
    <t>1347415</t>
  </si>
  <si>
    <t>4204001987</t>
  </si>
  <si>
    <t>100143719219000007</t>
  </si>
  <si>
    <t>Гурьевск</t>
  </si>
  <si>
    <t>0163200000319006928</t>
  </si>
  <si>
    <t>3327120830</t>
  </si>
  <si>
    <t>3662199513</t>
  </si>
  <si>
    <t>0163200000319006929</t>
  </si>
  <si>
    <t>6726022421</t>
  </si>
  <si>
    <t>0163200000319006927</t>
  </si>
  <si>
    <t>5005065674</t>
  </si>
  <si>
    <t>0163200000319006925</t>
  </si>
  <si>
    <t>5050126400</t>
  </si>
  <si>
    <t>0163200000319006923</t>
  </si>
  <si>
    <t>6732027668</t>
  </si>
  <si>
    <t>0360200048619000116</t>
  </si>
  <si>
    <t>7706400162</t>
  </si>
  <si>
    <t>0373200099919000036</t>
  </si>
  <si>
    <t>9723068769</t>
  </si>
  <si>
    <t>503817833993</t>
  </si>
  <si>
    <t>7723611332</t>
  </si>
  <si>
    <t>502103155910</t>
  </si>
  <si>
    <t>3728013339</t>
  </si>
  <si>
    <t>0133200001719002726</t>
  </si>
  <si>
    <t>3702084462</t>
  </si>
  <si>
    <t>6501102460</t>
  </si>
  <si>
    <t>0161300000119001564</t>
  </si>
  <si>
    <t>6501253420</t>
  </si>
  <si>
    <t>2539090720</t>
  </si>
  <si>
    <t>6501191653</t>
  </si>
  <si>
    <t>6501156602</t>
  </si>
  <si>
    <t>5047045574</t>
  </si>
  <si>
    <t>0848300044519000493</t>
  </si>
  <si>
    <t>7751138929</t>
  </si>
  <si>
    <t>7714965744</t>
  </si>
  <si>
    <t>502714484932</t>
  </si>
  <si>
    <t>5256120063</t>
  </si>
  <si>
    <t>5047216420</t>
  </si>
  <si>
    <t>7707393542</t>
  </si>
  <si>
    <t>6672279114</t>
  </si>
  <si>
    <t>0162300005319003370</t>
  </si>
  <si>
    <t>7726412092</t>
  </si>
  <si>
    <t>6671273180</t>
  </si>
  <si>
    <t>6679069268</t>
  </si>
  <si>
    <t>7728385077</t>
  </si>
  <si>
    <t>100232561219000214</t>
  </si>
  <si>
    <t>5029071116</t>
  </si>
  <si>
    <t>0348200076119000004</t>
  </si>
  <si>
    <t>Мытищинский район</t>
  </si>
  <si>
    <t>7118007250</t>
  </si>
  <si>
    <t>0366200035619006783</t>
  </si>
  <si>
    <t>0266005007</t>
  </si>
  <si>
    <t>100284084219000032</t>
  </si>
  <si>
    <t>Салават</t>
  </si>
  <si>
    <t>100310625119000028</t>
  </si>
  <si>
    <t>Гагаринский район</t>
  </si>
  <si>
    <t>2019-748481</t>
  </si>
  <si>
    <t>5011026899</t>
  </si>
  <si>
    <t>835502</t>
  </si>
  <si>
    <t>[ОКПД2 26.80] Носители данных магнитные и оптические</t>
  </si>
  <si>
    <t>6451114900</t>
  </si>
  <si>
    <t>РН90906063</t>
  </si>
  <si>
    <t>[ОКПД2 72+] Услуги и работы, связанные с научными исследованиями и экспериментальными разработками, [ОКВЭД2 72+] Научные исследования и разработки</t>
  </si>
  <si>
    <t>5043016861</t>
  </si>
  <si>
    <t>835474</t>
  </si>
  <si>
    <t>100232561219000213</t>
  </si>
  <si>
    <t>0822100002819000643</t>
  </si>
  <si>
    <t>Верхневилюйский улус</t>
  </si>
  <si>
    <t>323619</t>
  </si>
  <si>
    <t>5042025077</t>
  </si>
  <si>
    <t>0348200056219000026</t>
  </si>
  <si>
    <t>632400251939</t>
  </si>
  <si>
    <t>7719400498</t>
  </si>
  <si>
    <t>5902293837</t>
  </si>
  <si>
    <t>0856300001119000072</t>
  </si>
  <si>
    <t>590522787670</t>
  </si>
  <si>
    <t>5905267987</t>
  </si>
  <si>
    <t>5908035550</t>
  </si>
  <si>
    <t>5904338811</t>
  </si>
  <si>
    <t>590614134695</t>
  </si>
  <si>
    <t>6908003960</t>
  </si>
  <si>
    <t>100147018119000056</t>
  </si>
  <si>
    <t>Вышний Волочек</t>
  </si>
  <si>
    <t>1326136841</t>
  </si>
  <si>
    <t>0109100000119000034</t>
  </si>
  <si>
    <t>1326253619</t>
  </si>
  <si>
    <t>1657194153</t>
  </si>
  <si>
    <t>132606577779</t>
  </si>
  <si>
    <t>1328038247</t>
  </si>
  <si>
    <t>3808135597</t>
  </si>
  <si>
    <t>0134300090019000615</t>
  </si>
  <si>
    <t>381901715809</t>
  </si>
  <si>
    <t>3810065435</t>
  </si>
  <si>
    <t>3810069790</t>
  </si>
  <si>
    <t>3808174067</t>
  </si>
  <si>
    <t>0275006462</t>
  </si>
  <si>
    <t>100310037219000067</t>
  </si>
  <si>
    <t>31908323617</t>
  </si>
  <si>
    <t>31908321164</t>
  </si>
  <si>
    <t>31908321732</t>
  </si>
  <si>
    <t>6167080156</t>
  </si>
  <si>
    <t>31908324433</t>
  </si>
  <si>
    <t>[ОКПД2 82.19] Услуги по фотокопированию, подготовке документов и прочие вспомогательные услуги по обеспечению деятельности офиса, [ОКПД2 81.29] Услуги по чистке и уборке прочие, [ОКПД2 81.10] Услуги по комплексному обслуживанию помещений, [ОКВЭД2 81.10] Деятельность по комплексному обслуживанию помещений, [ОКВЭД2 82.19] Деятельность по фотокопированию и подготовке документов и прочая специализированная вспомогательная деятельность по обеспечению деятельности офиса, [ОКВЭД2 81.29] Деятельность по чистке и уборке прочая</t>
  </si>
  <si>
    <t>31908321088</t>
  </si>
  <si>
    <t>31908323536</t>
  </si>
  <si>
    <t>31908323441</t>
  </si>
  <si>
    <t>5902292103</t>
  </si>
  <si>
    <t>31908320064</t>
  </si>
  <si>
    <t>31908324322</t>
  </si>
  <si>
    <t>[ОКПД2 26.30] Оборудование коммуникационное, [ОКВЭД2 80.10] Деятельность частных охранных служб</t>
  </si>
  <si>
    <t>31908323630</t>
  </si>
  <si>
    <t>31908323479</t>
  </si>
  <si>
    <t>31908323523</t>
  </si>
  <si>
    <t>COM20091900053</t>
  </si>
  <si>
    <t>6315706009</t>
  </si>
  <si>
    <t>100304917119000022</t>
  </si>
  <si>
    <t>5031035549</t>
  </si>
  <si>
    <t>0348100006019000066</t>
  </si>
  <si>
    <t>0348100006019000067</t>
  </si>
  <si>
    <t>7812033570</t>
  </si>
  <si>
    <t>0372100047319000150</t>
  </si>
  <si>
    <t>7801483137</t>
  </si>
  <si>
    <t>100280625119000086</t>
  </si>
  <si>
    <t>4714023385</t>
  </si>
  <si>
    <t>ATOM19091900166</t>
  </si>
  <si>
    <t>5834004869</t>
  </si>
  <si>
    <t>100149869219000072</t>
  </si>
  <si>
    <t>Пенза</t>
  </si>
  <si>
    <t>6225002745</t>
  </si>
  <si>
    <t>100081529219000071</t>
  </si>
  <si>
    <t>5042142253</t>
  </si>
  <si>
    <t>834719</t>
  </si>
  <si>
    <t>834721</t>
  </si>
  <si>
    <t>4222014192</t>
  </si>
  <si>
    <t>0139300001419000721</t>
  </si>
  <si>
    <t>Калтан</t>
  </si>
  <si>
    <t>2460103376</t>
  </si>
  <si>
    <t>4214038947</t>
  </si>
  <si>
    <t>4205013590</t>
  </si>
  <si>
    <t>4205276110</t>
  </si>
  <si>
    <t>5503021655</t>
  </si>
  <si>
    <t>0352200002719000086</t>
  </si>
  <si>
    <t>5507081888</t>
  </si>
  <si>
    <t>ATOM19091900084</t>
  </si>
  <si>
    <t>0139200000119007296</t>
  </si>
  <si>
    <t>0139200000119007329</t>
  </si>
  <si>
    <t>0139200000119007326</t>
  </si>
  <si>
    <t>5504038958</t>
  </si>
  <si>
    <t>100035184219000013</t>
  </si>
  <si>
    <t>0139200000119007312</t>
  </si>
  <si>
    <t>0139200000119007327</t>
  </si>
  <si>
    <t>1701044223</t>
  </si>
  <si>
    <t>100104166219000023</t>
  </si>
  <si>
    <t>Республика Тыва</t>
  </si>
  <si>
    <t>Кызыл</t>
  </si>
  <si>
    <t>RT19091900003</t>
  </si>
  <si>
    <t>31908317510</t>
  </si>
  <si>
    <t>[ОКПД2 63.11] Услуги по обработке данных, размещению и взаимосвязанные услуги, [ОКВЭД2 63.11] Деятельность по обработке данных, предоставление услуг по размещению информации и связанная с этим деятельность</t>
  </si>
  <si>
    <t>31908318642</t>
  </si>
  <si>
    <t>31908316309</t>
  </si>
  <si>
    <t>5042000869</t>
  </si>
  <si>
    <t>31908318382</t>
  </si>
  <si>
    <t>6663018740</t>
  </si>
  <si>
    <t>31908311251</t>
  </si>
  <si>
    <t>[ОКПД2 26.40] Техника бытовая электронная, [ОКВЭД2 26.40] Производство бытовой электроники</t>
  </si>
  <si>
    <t>8620019077</t>
  </si>
  <si>
    <t>31908315899</t>
  </si>
  <si>
    <t>5001023095</t>
  </si>
  <si>
    <t>31908312480</t>
  </si>
  <si>
    <t>323934</t>
  </si>
  <si>
    <t>1435004700</t>
  </si>
  <si>
    <t>0216100000219000050</t>
  </si>
  <si>
    <t>141501272710</t>
  </si>
  <si>
    <t>142701903179</t>
  </si>
  <si>
    <t>1417002274</t>
  </si>
  <si>
    <t>0816300023619000088</t>
  </si>
  <si>
    <t>Намский улус</t>
  </si>
  <si>
    <t>1435275884</t>
  </si>
  <si>
    <t>1435317301</t>
  </si>
  <si>
    <t>7205029853</t>
  </si>
  <si>
    <t>0267400000619000039</t>
  </si>
  <si>
    <t>[ОКПД2 26.40] Техника бытовая электронная, [ОКПД2 43.21] Работы электромонтажные</t>
  </si>
  <si>
    <t>Ишим</t>
  </si>
  <si>
    <t>7205021830</t>
  </si>
  <si>
    <t>7202204419</t>
  </si>
  <si>
    <t>3441019931</t>
  </si>
  <si>
    <t>0329200062219004691</t>
  </si>
  <si>
    <t>3444254299</t>
  </si>
  <si>
    <t>3444260180</t>
  </si>
  <si>
    <t>0163200000319006812</t>
  </si>
  <si>
    <t>4027055519</t>
  </si>
  <si>
    <t>2918004394</t>
  </si>
  <si>
    <t>0124200000619004779</t>
  </si>
  <si>
    <t>2901196899</t>
  </si>
  <si>
    <t>2904021093</t>
  </si>
  <si>
    <t>3525432207</t>
  </si>
  <si>
    <t>0278007048</t>
  </si>
  <si>
    <t>100106220219000077</t>
  </si>
  <si>
    <t>1660049283</t>
  </si>
  <si>
    <t>0311200024919000519</t>
  </si>
  <si>
    <t>5012093993</t>
  </si>
  <si>
    <t>5054009520</t>
  </si>
  <si>
    <t>5036162519</t>
  </si>
  <si>
    <t>9718053894</t>
  </si>
  <si>
    <t>6732100565</t>
  </si>
  <si>
    <t>0125500000219000487</t>
  </si>
  <si>
    <t>[ОКПД2 18.12] Услуги печатные прочие</t>
  </si>
  <si>
    <t>3016034032</t>
  </si>
  <si>
    <t>301500113394</t>
  </si>
  <si>
    <t>324133</t>
  </si>
  <si>
    <t>5049021057</t>
  </si>
  <si>
    <t>833954</t>
  </si>
  <si>
    <t>Шатура</t>
  </si>
  <si>
    <t>8911021401</t>
  </si>
  <si>
    <t>0190300001319000970</t>
  </si>
  <si>
    <t>6678081689</t>
  </si>
  <si>
    <t>7723919663</t>
  </si>
  <si>
    <t>0190300001319000969</t>
  </si>
  <si>
    <t>833951</t>
  </si>
  <si>
    <t>1101481800</t>
  </si>
  <si>
    <t>100244151219000034</t>
  </si>
  <si>
    <t>5917509687</t>
  </si>
  <si>
    <t>0356200013419000051</t>
  </si>
  <si>
    <t>5917600784</t>
  </si>
  <si>
    <t>1432000338</t>
  </si>
  <si>
    <t>0816500000619013733</t>
  </si>
  <si>
    <t>Эвено-Бытантайский Национальный улус</t>
  </si>
  <si>
    <t>1432000232</t>
  </si>
  <si>
    <t>100050454119000017</t>
  </si>
  <si>
    <t>0139200000119007283</t>
  </si>
  <si>
    <t>833824</t>
  </si>
  <si>
    <t>[ОКПД2 29.31] Оборудование электрическое и электронное для автотранспортных средств</t>
  </si>
  <si>
    <t>1651020369</t>
  </si>
  <si>
    <t>100003185119000026</t>
  </si>
  <si>
    <t>100003185119000025</t>
  </si>
  <si>
    <t>5032204694</t>
  </si>
  <si>
    <t>833798</t>
  </si>
  <si>
    <t>100194907119000016</t>
  </si>
  <si>
    <t>100292266119000056</t>
  </si>
  <si>
    <t>7017354441</t>
  </si>
  <si>
    <t>61281</t>
  </si>
  <si>
    <t>7718560636</t>
  </si>
  <si>
    <t>399546</t>
  </si>
  <si>
    <t>Кашира</t>
  </si>
  <si>
    <t>399531</t>
  </si>
  <si>
    <t>7810577007</t>
  </si>
  <si>
    <t>31908314533</t>
  </si>
  <si>
    <t>399529</t>
  </si>
  <si>
    <t>399518</t>
  </si>
  <si>
    <t>2465102746</t>
  </si>
  <si>
    <t>1345185</t>
  </si>
  <si>
    <t>Богучанский район</t>
  </si>
  <si>
    <t>399549</t>
  </si>
  <si>
    <t>399547</t>
  </si>
  <si>
    <t>399523</t>
  </si>
  <si>
    <t>2019-747664</t>
  </si>
  <si>
    <t>399461</t>
  </si>
  <si>
    <t>31908314195</t>
  </si>
  <si>
    <t>399524</t>
  </si>
  <si>
    <t>3666127502</t>
  </si>
  <si>
    <t>31908314933</t>
  </si>
  <si>
    <t>399527</t>
  </si>
  <si>
    <t>7705825187</t>
  </si>
  <si>
    <t>31908314297</t>
  </si>
  <si>
    <t>31908315130</t>
  </si>
  <si>
    <t>5025004567</t>
  </si>
  <si>
    <t>0848300053819000245</t>
  </si>
  <si>
    <t>Лобня</t>
  </si>
  <si>
    <t>504013875650</t>
  </si>
  <si>
    <t>5025030447</t>
  </si>
  <si>
    <t>7710154311</t>
  </si>
  <si>
    <t>100107798219000213</t>
  </si>
  <si>
    <t>100107798219000212</t>
  </si>
  <si>
    <t>2460028834</t>
  </si>
  <si>
    <t>0319100010319000084</t>
  </si>
  <si>
    <t>[ОКПД2 42.13] Мосты и тоннели; строительные работы по строительству мостов и тоннелей</t>
  </si>
  <si>
    <t>2460108230</t>
  </si>
  <si>
    <t>323918</t>
  </si>
  <si>
    <t>6027086246</t>
  </si>
  <si>
    <t>100227240219000070</t>
  </si>
  <si>
    <t>Псков</t>
  </si>
  <si>
    <t>100107798219000211</t>
  </si>
  <si>
    <t>7621004233</t>
  </si>
  <si>
    <t>100246813219000016</t>
  </si>
  <si>
    <t>0274101120</t>
  </si>
  <si>
    <t>100137354119000165</t>
  </si>
  <si>
    <t>2207006411</t>
  </si>
  <si>
    <t>100101838119000011</t>
  </si>
  <si>
    <t>Каменский район</t>
  </si>
  <si>
    <t>100003514219000032</t>
  </si>
  <si>
    <t>5030048506</t>
  </si>
  <si>
    <t>833268</t>
  </si>
  <si>
    <t>Наро-Фоминск</t>
  </si>
  <si>
    <t>0105067122</t>
  </si>
  <si>
    <t>100292901219000008</t>
  </si>
  <si>
    <t>100003514219000033</t>
  </si>
  <si>
    <t>6661002248</t>
  </si>
  <si>
    <t>0162300005319003300</t>
  </si>
  <si>
    <t>6658439743</t>
  </si>
  <si>
    <t>7620001529</t>
  </si>
  <si>
    <t>0371300044619000070</t>
  </si>
  <si>
    <t>Некоузский район</t>
  </si>
  <si>
    <t>7606115274</t>
  </si>
  <si>
    <t>7606118476</t>
  </si>
  <si>
    <t>7610109869</t>
  </si>
  <si>
    <t>3702216020</t>
  </si>
  <si>
    <t>761900027075</t>
  </si>
  <si>
    <t>352527305964</t>
  </si>
  <si>
    <t>5902292640</t>
  </si>
  <si>
    <t>0356200006919000164</t>
  </si>
  <si>
    <t>591906667893</t>
  </si>
  <si>
    <t>5908038135</t>
  </si>
  <si>
    <t>591100843543</t>
  </si>
  <si>
    <t>595738050038</t>
  </si>
  <si>
    <t>5919027914</t>
  </si>
  <si>
    <t>5903112843</t>
  </si>
  <si>
    <t>5904311601</t>
  </si>
  <si>
    <t>5911075970</t>
  </si>
  <si>
    <t>2223021738</t>
  </si>
  <si>
    <t>0817200000319010663</t>
  </si>
  <si>
    <t>2224160068</t>
  </si>
  <si>
    <t>2224106381</t>
  </si>
  <si>
    <t>2222873507</t>
  </si>
  <si>
    <t>2222874885</t>
  </si>
  <si>
    <t>2204044754</t>
  </si>
  <si>
    <t>2221212938</t>
  </si>
  <si>
    <t>5838009089</t>
  </si>
  <si>
    <t>ATOM17091900004</t>
  </si>
  <si>
    <t>2592183</t>
  </si>
  <si>
    <t>8605022318</t>
  </si>
  <si>
    <t>135/02</t>
  </si>
  <si>
    <t>Мегион</t>
  </si>
  <si>
    <t>0163200000319006733</t>
  </si>
  <si>
    <t>0163200000319006732</t>
  </si>
  <si>
    <t>7726763478</t>
  </si>
  <si>
    <t>0163200000319006731</t>
  </si>
  <si>
    <t>0163200000319006730</t>
  </si>
  <si>
    <t>5050126375</t>
  </si>
  <si>
    <t>ATOM16091900225</t>
  </si>
  <si>
    <t>0163200000319006729</t>
  </si>
  <si>
    <t>5004013962</t>
  </si>
  <si>
    <t>832968</t>
  </si>
  <si>
    <t>Волоколамский район</t>
  </si>
  <si>
    <t>5074030369</t>
  </si>
  <si>
    <t>0348300514319000007</t>
  </si>
  <si>
    <t>7751522003</t>
  </si>
  <si>
    <t>7725791659</t>
  </si>
  <si>
    <t>5047055950</t>
  </si>
  <si>
    <t>832923</t>
  </si>
  <si>
    <t>7728127037</t>
  </si>
  <si>
    <t>832944</t>
  </si>
  <si>
    <t>Ленинский район</t>
  </si>
  <si>
    <t>4101027609</t>
  </si>
  <si>
    <t>0138300000419000655</t>
  </si>
  <si>
    <t>4101114562</t>
  </si>
  <si>
    <t>ATOM16091900175</t>
  </si>
  <si>
    <t>4213010931</t>
  </si>
  <si>
    <t>100025229219000013</t>
  </si>
  <si>
    <t>7811131487</t>
  </si>
  <si>
    <t>0372200046419000109</t>
  </si>
  <si>
    <t>784812865100</t>
  </si>
  <si>
    <t>100249474119000052</t>
  </si>
  <si>
    <t>100249474119000055</t>
  </si>
  <si>
    <t>0128300013019000085</t>
  </si>
  <si>
    <t>323672</t>
  </si>
  <si>
    <t>2538127953</t>
  </si>
  <si>
    <t>0320300111619000189</t>
  </si>
  <si>
    <t>2536153891</t>
  </si>
  <si>
    <t>323684</t>
  </si>
  <si>
    <t>323682</t>
  </si>
  <si>
    <t>2707006579</t>
  </si>
  <si>
    <t>100293200219000019</t>
  </si>
  <si>
    <t>Бикин</t>
  </si>
  <si>
    <t>1343084</t>
  </si>
  <si>
    <t>4026008065</t>
  </si>
  <si>
    <t>31908298384</t>
  </si>
  <si>
    <t>6163089180</t>
  </si>
  <si>
    <t>31908300932</t>
  </si>
  <si>
    <t>31908304372</t>
  </si>
  <si>
    <t>1342923</t>
  </si>
  <si>
    <t>[ОКПД2 26.2+] Компьютеры и периферийное оборудование</t>
  </si>
  <si>
    <t>1343223</t>
  </si>
  <si>
    <t>0361500000619000016</t>
  </si>
  <si>
    <t>1833037470</t>
  </si>
  <si>
    <t>31908305282</t>
  </si>
  <si>
    <t>5036041169</t>
  </si>
  <si>
    <t>31908305392</t>
  </si>
  <si>
    <t>832531</t>
  </si>
  <si>
    <t>5030067266</t>
  </si>
  <si>
    <t>822459</t>
  </si>
  <si>
    <t>Наро-Фоминский район</t>
  </si>
  <si>
    <t>7730176088</t>
  </si>
  <si>
    <t>0173100006719000009</t>
  </si>
  <si>
    <t>2607022471</t>
  </si>
  <si>
    <t>0121600003919000123</t>
  </si>
  <si>
    <t>Изобильненский район</t>
  </si>
  <si>
    <t>2607800450</t>
  </si>
  <si>
    <t>7223007316</t>
  </si>
  <si>
    <t>0362100008219000128</t>
  </si>
  <si>
    <t>[ОКПД2 43.21] Работы электромонтажные, [ОКПД2 42.13] Мосты и тоннели; строительные работы по строительству мостов и тоннелей</t>
  </si>
  <si>
    <t>7724933082</t>
  </si>
  <si>
    <t>3329007622</t>
  </si>
  <si>
    <t>0328300020519000425</t>
  </si>
  <si>
    <t>3328015275</t>
  </si>
  <si>
    <t>3329068287</t>
  </si>
  <si>
    <t>3328473684</t>
  </si>
  <si>
    <t>7202023074</t>
  </si>
  <si>
    <t>0367100012019000033</t>
  </si>
  <si>
    <t>4206022936</t>
  </si>
  <si>
    <t>0339200017219000209</t>
  </si>
  <si>
    <t>7017069839</t>
  </si>
  <si>
    <t>5014011717</t>
  </si>
  <si>
    <t>822179</t>
  </si>
  <si>
    <t>822171</t>
  </si>
  <si>
    <t>0573100002519001006</t>
  </si>
  <si>
    <t>0367100012019000032</t>
  </si>
  <si>
    <t>0726013722</t>
  </si>
  <si>
    <t>0304200023419000021</t>
  </si>
  <si>
    <t>[ОКПД2 29.10] Средства автотранспортные</t>
  </si>
  <si>
    <t>2632082788</t>
  </si>
  <si>
    <t>100211749119000015</t>
  </si>
  <si>
    <t>5005032421</t>
  </si>
  <si>
    <t>821959</t>
  </si>
  <si>
    <t>Воскресенский район</t>
  </si>
  <si>
    <t>5260234391</t>
  </si>
  <si>
    <t>0832200006619001484</t>
  </si>
  <si>
    <t>5260081201</t>
  </si>
  <si>
    <t>100293200119000040</t>
  </si>
  <si>
    <t>2503026908</t>
  </si>
  <si>
    <t>514722</t>
  </si>
  <si>
    <t>Большой Камень</t>
  </si>
  <si>
    <t>1820</t>
  </si>
  <si>
    <t>7811406004</t>
  </si>
  <si>
    <t>31908301126</t>
  </si>
  <si>
    <t>7017004366</t>
  </si>
  <si>
    <t>31908276961</t>
  </si>
  <si>
    <t>31908276965</t>
  </si>
  <si>
    <t>7226002700</t>
  </si>
  <si>
    <t>31908299110</t>
  </si>
  <si>
    <t>6654009549</t>
  </si>
  <si>
    <t>31908293423</t>
  </si>
  <si>
    <t>Талицкий район</t>
  </si>
  <si>
    <t>7604014760</t>
  </si>
  <si>
    <t>31908301304</t>
  </si>
  <si>
    <t>ЗП-190912-142 (1)</t>
  </si>
  <si>
    <t>31908301259</t>
  </si>
  <si>
    <t>31908299257</t>
  </si>
  <si>
    <t>ЗП-190912-142</t>
  </si>
  <si>
    <t>31908300019</t>
  </si>
  <si>
    <t>2308077190</t>
  </si>
  <si>
    <t>0818500000819000659</t>
  </si>
  <si>
    <t>0323055198</t>
  </si>
  <si>
    <t>6670170224</t>
  </si>
  <si>
    <t>7702348225</t>
  </si>
  <si>
    <t>7729098893</t>
  </si>
  <si>
    <t>7804302798</t>
  </si>
  <si>
    <t>1653021223</t>
  </si>
  <si>
    <t>7726532696</t>
  </si>
  <si>
    <t>3666182920</t>
  </si>
  <si>
    <t>7701340551</t>
  </si>
  <si>
    <t>6163030588</t>
  </si>
  <si>
    <t>100291313119000077</t>
  </si>
  <si>
    <t>6902016169</t>
  </si>
  <si>
    <t>0136200003619005686</t>
  </si>
  <si>
    <t>6950045868</t>
  </si>
  <si>
    <t>6950194877</t>
  </si>
  <si>
    <t>666200081115</t>
  </si>
  <si>
    <t>6950169292</t>
  </si>
  <si>
    <t>6913008547</t>
  </si>
  <si>
    <t>7715517791</t>
  </si>
  <si>
    <t>6950208600</t>
  </si>
  <si>
    <t>4703163567</t>
  </si>
  <si>
    <t>1213004481</t>
  </si>
  <si>
    <t>0108300013319000032</t>
  </si>
  <si>
    <t>Республика Марий Эл</t>
  </si>
  <si>
    <t>Советский район</t>
  </si>
  <si>
    <t>212810090640</t>
  </si>
  <si>
    <t>6626002291</t>
  </si>
  <si>
    <t>COM12091900049</t>
  </si>
  <si>
    <t>Полевской</t>
  </si>
  <si>
    <t>0803200014719000268</t>
  </si>
  <si>
    <t>0362100008219000126</t>
  </si>
  <si>
    <t>0362100008219000127</t>
  </si>
  <si>
    <t>[ОКПД2 42.13] Мосты и тоннели; строительные работы по строительству мостов и тоннелей, [ОКПД2 43.21] Работы электромонтажные</t>
  </si>
  <si>
    <t>6671052777</t>
  </si>
  <si>
    <t>6629022962</t>
  </si>
  <si>
    <t>ATOM12091900231</t>
  </si>
  <si>
    <t>Новоуральск</t>
  </si>
  <si>
    <t>1901017523</t>
  </si>
  <si>
    <t>0380100000119000085</t>
  </si>
  <si>
    <t>100104166119000064</t>
  </si>
  <si>
    <t>1101486798</t>
  </si>
  <si>
    <t>0307100022419000094</t>
  </si>
  <si>
    <t>1101486903</t>
  </si>
  <si>
    <t>100003185119000022</t>
  </si>
  <si>
    <t>0101100001119000092</t>
  </si>
  <si>
    <t>0275916849</t>
  </si>
  <si>
    <t>0276153621</t>
  </si>
  <si>
    <t>100003185119000023</t>
  </si>
  <si>
    <t>8602200386</t>
  </si>
  <si>
    <t>0387200019219000139</t>
  </si>
  <si>
    <t>6674237198</t>
  </si>
  <si>
    <t>8601042088</t>
  </si>
  <si>
    <t>5031062888</t>
  </si>
  <si>
    <t>811507</t>
  </si>
  <si>
    <t>Черноголовка</t>
  </si>
  <si>
    <t>811490</t>
  </si>
  <si>
    <t>ATOM12091900146</t>
  </si>
  <si>
    <t>0255009867</t>
  </si>
  <si>
    <t>0301200030619000011</t>
  </si>
  <si>
    <t>Белебей</t>
  </si>
  <si>
    <t>0276937552</t>
  </si>
  <si>
    <t>ATOM12091900116</t>
  </si>
  <si>
    <t>6454053212</t>
  </si>
  <si>
    <t>0160100011019000055</t>
  </si>
  <si>
    <t>6434013469</t>
  </si>
  <si>
    <t>645410546267</t>
  </si>
  <si>
    <t>6451004520</t>
  </si>
  <si>
    <t>2348012827</t>
  </si>
  <si>
    <t>100248256119000031</t>
  </si>
  <si>
    <t>Северский район</t>
  </si>
  <si>
    <t>8601017035</t>
  </si>
  <si>
    <t>0387300000119000021</t>
  </si>
  <si>
    <t>Ханты-Мансийск</t>
  </si>
  <si>
    <t>8601047600</t>
  </si>
  <si>
    <t>8601039328</t>
  </si>
  <si>
    <t>5262280410</t>
  </si>
  <si>
    <t>0832100001319000186</t>
  </si>
  <si>
    <t>[ОКПД2 56.29] Услуги по обеспечению питанием прочие</t>
  </si>
  <si>
    <t>525004962558</t>
  </si>
  <si>
    <t>100025229119000013</t>
  </si>
  <si>
    <t>Чебулинский район</t>
  </si>
  <si>
    <t>2721136241</t>
  </si>
  <si>
    <t>100095637119000021</t>
  </si>
  <si>
    <t>0387300000119000020</t>
  </si>
  <si>
    <t>5253000836</t>
  </si>
  <si>
    <t>31908293113</t>
  </si>
  <si>
    <t>[ОКПД2 74.90] Услуги профессиональные, научные и технические, прочие, не включенные в другие группировки, [ОКВЭД2 74.90] Деятельность профессиональная, научная и техническая прочая, не включенная в другие группировки</t>
  </si>
  <si>
    <t>1341332</t>
  </si>
  <si>
    <t>5036065113</t>
  </si>
  <si>
    <t>31908297169</t>
  </si>
  <si>
    <t>[ОКПД2 26.51] Оборудование для измерения, испытаний и навигации, [ОКВЭД2 61.9+] Деятельность в области телекоммуникаций прочая</t>
  </si>
  <si>
    <t>31908297143</t>
  </si>
  <si>
    <t>31908296525</t>
  </si>
  <si>
    <t>811288</t>
  </si>
  <si>
    <t>7707086090</t>
  </si>
  <si>
    <t>0373100103819000021</t>
  </si>
  <si>
    <t>7705592687</t>
  </si>
  <si>
    <t>7701389885</t>
  </si>
  <si>
    <t>ББ2019-0127(ЗКО)</t>
  </si>
  <si>
    <t>0302001219</t>
  </si>
  <si>
    <t>2590772</t>
  </si>
  <si>
    <t>Баунтовский Эвенкийский район</t>
  </si>
  <si>
    <t>0814026664</t>
  </si>
  <si>
    <t>0305100004019000014</t>
  </si>
  <si>
    <t>Элиста</t>
  </si>
  <si>
    <t>6163065380</t>
  </si>
  <si>
    <t>3435900186</t>
  </si>
  <si>
    <t>COM11091900043</t>
  </si>
  <si>
    <t>Волжский</t>
  </si>
  <si>
    <t>7703812538</t>
  </si>
  <si>
    <t>100308553119000080</t>
  </si>
  <si>
    <t>Ессентуки</t>
  </si>
  <si>
    <t>100199342119000001</t>
  </si>
  <si>
    <t>2621800250</t>
  </si>
  <si>
    <t>0121300000319000037</t>
  </si>
  <si>
    <t>Труновский район</t>
  </si>
  <si>
    <t>2635830047</t>
  </si>
  <si>
    <t>5050037510</t>
  </si>
  <si>
    <t>0848300041219000898</t>
  </si>
  <si>
    <t>5050098047</t>
  </si>
  <si>
    <t>5050099160</t>
  </si>
  <si>
    <t>7715642168</t>
  </si>
  <si>
    <t>7730718132</t>
  </si>
  <si>
    <t>332892417747</t>
  </si>
  <si>
    <t>5028017405</t>
  </si>
  <si>
    <t>810878</t>
  </si>
  <si>
    <t>0139100006819000036</t>
  </si>
  <si>
    <t>6658028937</t>
  </si>
  <si>
    <t>0362200065719000104</t>
  </si>
  <si>
    <t>6658393016</t>
  </si>
  <si>
    <t>ATOM11091900023</t>
  </si>
  <si>
    <t>2590384</t>
  </si>
  <si>
    <t>[ОКПД2 62.09] Услуги в области информационных технологий прочие и компьютерные услуги</t>
  </si>
  <si>
    <t>2724096798</t>
  </si>
  <si>
    <t>100020068119000074</t>
  </si>
  <si>
    <t>7704460462</t>
  </si>
  <si>
    <t>31908291468</t>
  </si>
  <si>
    <t>5003065767</t>
  </si>
  <si>
    <t>31908288785</t>
  </si>
  <si>
    <t>[ОКПД2 95.11] Услуги по ремонту компьютеров и периферийного оборудования, [ОКВЭД2 95.22] Ремонт бытовых приборов, домашнего и садового инвентаря</t>
  </si>
  <si>
    <t>6632022521</t>
  </si>
  <si>
    <t>31908288783</t>
  </si>
  <si>
    <t>6315000291</t>
  </si>
  <si>
    <t>31908292510</t>
  </si>
  <si>
    <t>1339675</t>
  </si>
  <si>
    <t>6632010660</t>
  </si>
  <si>
    <t>31908290147</t>
  </si>
  <si>
    <t>4217048100</t>
  </si>
  <si>
    <t>1339613</t>
  </si>
  <si>
    <t>Новокузнецк</t>
  </si>
  <si>
    <t>0348100046519000103</t>
  </si>
  <si>
    <t>100143719119000012</t>
  </si>
  <si>
    <t>7714549751</t>
  </si>
  <si>
    <t>0173100005019000014</t>
  </si>
  <si>
    <t>6730024742</t>
  </si>
  <si>
    <t>100273363219000021</t>
  </si>
  <si>
    <t>4703068472</t>
  </si>
  <si>
    <t>0845100000119000017</t>
  </si>
  <si>
    <t>1651025328</t>
  </si>
  <si>
    <t>323101</t>
  </si>
  <si>
    <t>2225156794</t>
  </si>
  <si>
    <t>0817200000319010505</t>
  </si>
  <si>
    <t>2204042972</t>
  </si>
  <si>
    <t>2225098951</t>
  </si>
  <si>
    <t>2224160082</t>
  </si>
  <si>
    <t>3728012818</t>
  </si>
  <si>
    <t>0333100004519000017</t>
  </si>
  <si>
    <t>3731031313</t>
  </si>
  <si>
    <t>3702041050</t>
  </si>
  <si>
    <t>0362100008219000125</t>
  </si>
  <si>
    <t>6150017131</t>
  </si>
  <si>
    <t>100143749119000109</t>
  </si>
  <si>
    <t>Новочеркасск</t>
  </si>
  <si>
    <t>100232561219000204</t>
  </si>
  <si>
    <t>7309901444</t>
  </si>
  <si>
    <t>100192264219000005</t>
  </si>
  <si>
    <t>Майнский район</t>
  </si>
  <si>
    <t>7842012419</t>
  </si>
  <si>
    <t>0372100020819000012</t>
  </si>
  <si>
    <t>Зеленоградский район</t>
  </si>
  <si>
    <t>3906374145</t>
  </si>
  <si>
    <t>7802775319</t>
  </si>
  <si>
    <t>4705047703</t>
  </si>
  <si>
    <t>5835077845</t>
  </si>
  <si>
    <t>100222970219000001</t>
  </si>
  <si>
    <t>5075010453</t>
  </si>
  <si>
    <t>810525</t>
  </si>
  <si>
    <t>3808115008</t>
  </si>
  <si>
    <t>100245092219000030</t>
  </si>
  <si>
    <t>5917002150</t>
  </si>
  <si>
    <t>100050138219000010</t>
  </si>
  <si>
    <t>Кишертский район</t>
  </si>
  <si>
    <t>2444001585</t>
  </si>
  <si>
    <t>100264446219000047</t>
  </si>
  <si>
    <t>Боготол</t>
  </si>
  <si>
    <t>513921</t>
  </si>
  <si>
    <t>100246813119000019</t>
  </si>
  <si>
    <t>Некрасовский район</t>
  </si>
  <si>
    <t>0848300048719000291</t>
  </si>
  <si>
    <t>5035020470</t>
  </si>
  <si>
    <t>Павлово-Посадский район</t>
  </si>
  <si>
    <t>5035020430</t>
  </si>
  <si>
    <t>5035039946</t>
  </si>
  <si>
    <t>771576122179</t>
  </si>
  <si>
    <t>2700000183</t>
  </si>
  <si>
    <t>0222100000219000286</t>
  </si>
  <si>
    <t>2724167784</t>
  </si>
  <si>
    <t>2721210583</t>
  </si>
  <si>
    <t>2707007036</t>
  </si>
  <si>
    <t>100179588219000049</t>
  </si>
  <si>
    <t>5422110603</t>
  </si>
  <si>
    <t>100210935119000019</t>
  </si>
  <si>
    <t>Карасукский район</t>
  </si>
  <si>
    <t>5507249611</t>
  </si>
  <si>
    <t>31908281496</t>
  </si>
  <si>
    <t>1109000096</t>
  </si>
  <si>
    <t>31908282304</t>
  </si>
  <si>
    <t>Сыктывдинский район</t>
  </si>
  <si>
    <t>31908286244</t>
  </si>
  <si>
    <t>31908286814</t>
  </si>
  <si>
    <t>5039009396</t>
  </si>
  <si>
    <t>31908287974</t>
  </si>
  <si>
    <t>5072705263</t>
  </si>
  <si>
    <t>0348200001019000059</t>
  </si>
  <si>
    <t>6155080761</t>
  </si>
  <si>
    <t>330409054669</t>
  </si>
  <si>
    <t>ATOM09091900235</t>
  </si>
  <si>
    <t>6673089388</t>
  </si>
  <si>
    <t>ГП909878</t>
  </si>
  <si>
    <t>[ОКДП C+] ПРОДУКЦИЯ И УСЛУГИ ГОРНОДОБЫВАЮЩЕЙ ПРОМЫШЛЕННОСТИ И РАЗРАБОТКИ КАРЬЕРОВ, [ОКПД2 C+] ПРОДУКЦИЯ ОБРАБАТЫВАЮЩИХ ПРОИЗВОДСТВ</t>
  </si>
  <si>
    <t>5034083808</t>
  </si>
  <si>
    <t>0848300049019000659</t>
  </si>
  <si>
    <t>9715345909</t>
  </si>
  <si>
    <t>212908028655</t>
  </si>
  <si>
    <t>503403644945</t>
  </si>
  <si>
    <t>503403175436</t>
  </si>
  <si>
    <t>5011035212</t>
  </si>
  <si>
    <t>5036145231</t>
  </si>
  <si>
    <t>6730055050</t>
  </si>
  <si>
    <t>0163100006319000044</t>
  </si>
  <si>
    <t>6732041528</t>
  </si>
  <si>
    <t>2635057469</t>
  </si>
  <si>
    <t>0321300001119000477</t>
  </si>
  <si>
    <t>263501202342</t>
  </si>
  <si>
    <t>263504917116</t>
  </si>
  <si>
    <t>0162200011819002490</t>
  </si>
  <si>
    <t>5432100690</t>
  </si>
  <si>
    <t>100180314119000027</t>
  </si>
  <si>
    <t>Мошковский район</t>
  </si>
  <si>
    <t>100192264219000003</t>
  </si>
  <si>
    <t>0321002031</t>
  </si>
  <si>
    <t>0302300006319000044</t>
  </si>
  <si>
    <t>Хоринский район</t>
  </si>
  <si>
    <t>032354973610</t>
  </si>
  <si>
    <t>5043016325</t>
  </si>
  <si>
    <t>810030</t>
  </si>
  <si>
    <t>4027034646</t>
  </si>
  <si>
    <t>0137100000419000131</t>
  </si>
  <si>
    <t>7731426164</t>
  </si>
  <si>
    <t>1657248056</t>
  </si>
  <si>
    <t>ATOM09091900072</t>
  </si>
  <si>
    <t>3703004685</t>
  </si>
  <si>
    <t>0133300010319000153</t>
  </si>
  <si>
    <t>[ОКПД2 52.22] Услуги, связанные с водным транспортом</t>
  </si>
  <si>
    <t>Кинешма</t>
  </si>
  <si>
    <t>3713001475</t>
  </si>
  <si>
    <t>1326045802</t>
  </si>
  <si>
    <t>0809500000319002021</t>
  </si>
  <si>
    <t>1326225097</t>
  </si>
  <si>
    <t>1328003558</t>
  </si>
  <si>
    <t>1326184669</t>
  </si>
  <si>
    <t>1327017660</t>
  </si>
  <si>
    <t>100143749119000103</t>
  </si>
  <si>
    <t>5321107379</t>
  </si>
  <si>
    <t>0350100008219000194</t>
  </si>
  <si>
    <t>5318007857</t>
  </si>
  <si>
    <t>5321096529</t>
  </si>
  <si>
    <t>7812024833</t>
  </si>
  <si>
    <t>0330100005319000121</t>
  </si>
  <si>
    <t>2130114066</t>
  </si>
  <si>
    <t>583512996754</t>
  </si>
  <si>
    <t>100179588119000024</t>
  </si>
  <si>
    <t>1337899</t>
  </si>
  <si>
    <t>1338548</t>
  </si>
  <si>
    <t>0277077282</t>
  </si>
  <si>
    <t>31908282127</t>
  </si>
  <si>
    <t>[ОКПД2 33.12] Услуги по ремонту оборудования, [ОКВЭД2 33.19] Ремонт прочего оборудования</t>
  </si>
  <si>
    <t>2452026745</t>
  </si>
  <si>
    <t>31908281114</t>
  </si>
  <si>
    <t>8603231764</t>
  </si>
  <si>
    <t>31908279685</t>
  </si>
  <si>
    <t>31908282459</t>
  </si>
  <si>
    <t>7812014560</t>
  </si>
  <si>
    <t>1337841</t>
  </si>
  <si>
    <t>5043016815</t>
  </si>
  <si>
    <t>809819</t>
  </si>
  <si>
    <t>2589427</t>
  </si>
  <si>
    <t>[ОКПД2 28.99] Оборудование специального назначения прочее, не включенное в другие группировки, [ОКПД2 26.51] Оборудование для измерения, испытаний и навигации</t>
  </si>
  <si>
    <t>31908277945</t>
  </si>
  <si>
    <t>4704063780</t>
  </si>
  <si>
    <t>0145300003819000036</t>
  </si>
  <si>
    <t>Выборгский район</t>
  </si>
  <si>
    <t>542505253133</t>
  </si>
  <si>
    <t>3203003490</t>
  </si>
  <si>
    <t>100264973119000017</t>
  </si>
  <si>
    <t>Клинцы</t>
  </si>
  <si>
    <t>0268020191</t>
  </si>
  <si>
    <t>0301300063519000070</t>
  </si>
  <si>
    <t>Стерлитамак</t>
  </si>
  <si>
    <t>0261020700</t>
  </si>
  <si>
    <t>0266023736</t>
  </si>
  <si>
    <t>7826051805</t>
  </si>
  <si>
    <t>0372200132519000010</t>
  </si>
  <si>
    <t>4715027858</t>
  </si>
  <si>
    <t>0350100008219000187</t>
  </si>
  <si>
    <t>5310013873</t>
  </si>
  <si>
    <t>3811028531</t>
  </si>
  <si>
    <t>0234200000119000052</t>
  </si>
  <si>
    <t>3818016430</t>
  </si>
  <si>
    <t>3808099444</t>
  </si>
  <si>
    <t>2019-745015</t>
  </si>
  <si>
    <t>ATOM06091900171</t>
  </si>
  <si>
    <t>100280625119000066</t>
  </si>
  <si>
    <t>4028040392</t>
  </si>
  <si>
    <t>0137100000219000054</t>
  </si>
  <si>
    <t>4027107936</t>
  </si>
  <si>
    <t>4029044216</t>
  </si>
  <si>
    <t>0137100000219000053</t>
  </si>
  <si>
    <t>2309053153</t>
  </si>
  <si>
    <t>0118100000619000041</t>
  </si>
  <si>
    <t>3522002654</t>
  </si>
  <si>
    <t>0130300006919000205</t>
  </si>
  <si>
    <t>Чагодощенский район</t>
  </si>
  <si>
    <t>3525372678</t>
  </si>
  <si>
    <t>3720001758</t>
  </si>
  <si>
    <t>100261241219000052</t>
  </si>
  <si>
    <t>Пестяковский район</t>
  </si>
  <si>
    <t>5032140151</t>
  </si>
  <si>
    <t>809386</t>
  </si>
  <si>
    <t>4212025653</t>
  </si>
  <si>
    <t>0139300019919000109</t>
  </si>
  <si>
    <t>Полысаево</t>
  </si>
  <si>
    <t>4212034665</t>
  </si>
  <si>
    <t>6122003673</t>
  </si>
  <si>
    <t>0158300058419000052</t>
  </si>
  <si>
    <t>Мясниковский район</t>
  </si>
  <si>
    <t>616601346670</t>
  </si>
  <si>
    <t>6132012941</t>
  </si>
  <si>
    <t>615500670090</t>
  </si>
  <si>
    <t>612700142053</t>
  </si>
  <si>
    <t>4205009474</t>
  </si>
  <si>
    <t>0139100004619000050</t>
  </si>
  <si>
    <t>4217041970</t>
  </si>
  <si>
    <t>0139100004619000049</t>
  </si>
  <si>
    <t>7703214270</t>
  </si>
  <si>
    <t>31908276839</t>
  </si>
  <si>
    <t>[ОКПД2 33.12] Услуги по ремонту оборудования, [ОКВЭД2 80.20] Деятельность систем обеспечения безопасности</t>
  </si>
  <si>
    <t>1337226</t>
  </si>
  <si>
    <t>5050053825</t>
  </si>
  <si>
    <t>31908276382</t>
  </si>
  <si>
    <t>[ОКПД2 25.72] Замки и петли, [ОКВЭД2 25.72] Производство замков, петель</t>
  </si>
  <si>
    <t>2019-744966</t>
  </si>
  <si>
    <t>1824002054</t>
  </si>
  <si>
    <t>31908277793</t>
  </si>
  <si>
    <t>[ОКПД2 43.21] Работы электромонтажные, [ОКВЭД2 41.20] Строительство жилых и нежилых зданий</t>
  </si>
  <si>
    <t>Якшур-Бодьинский район</t>
  </si>
  <si>
    <t>7701186067</t>
  </si>
  <si>
    <t>190906/0591/229</t>
  </si>
  <si>
    <t>7728840569</t>
  </si>
  <si>
    <t>31908278374</t>
  </si>
  <si>
    <t>[ОКПД2 96.09] Услуги персональные прочие, не включенные в другие группировки, [ОКВЭД2 96+] Деятельность по предоставлению прочих персональных услуг</t>
  </si>
  <si>
    <t>4205050521</t>
  </si>
  <si>
    <t>31908276589</t>
  </si>
  <si>
    <t>5102007251</t>
  </si>
  <si>
    <t>100044848219000005</t>
  </si>
  <si>
    <t>Кандалакшский</t>
  </si>
  <si>
    <t>0350100008219000164</t>
  </si>
  <si>
    <t>0350100008219000165</t>
  </si>
  <si>
    <t>4826129728</t>
  </si>
  <si>
    <t>0846500000319000102</t>
  </si>
  <si>
    <t>3663072220</t>
  </si>
  <si>
    <t>5018150366</t>
  </si>
  <si>
    <t>9715286700</t>
  </si>
  <si>
    <t>100280625119000063</t>
  </si>
  <si>
    <t>2320100329</t>
  </si>
  <si>
    <t>0318100051219000127</t>
  </si>
  <si>
    <t>2634092774</t>
  </si>
  <si>
    <t>7743913476</t>
  </si>
  <si>
    <t>7816164479</t>
  </si>
  <si>
    <t>0372200169519000028</t>
  </si>
  <si>
    <t>7826132821</t>
  </si>
  <si>
    <t>7802677858</t>
  </si>
  <si>
    <t>2342010936</t>
  </si>
  <si>
    <t>100305157219000047</t>
  </si>
  <si>
    <t>7842328719</t>
  </si>
  <si>
    <t>100304134219000097</t>
  </si>
  <si>
    <t>3801000449</t>
  </si>
  <si>
    <t>РН90901300</t>
  </si>
  <si>
    <t>[ОКПД2 71.1+] Услуги в области архитектуры, инженерно-технического проектирования и связанные технические консультативные услуги, [ОКВЭД2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t>
  </si>
  <si>
    <t>Ангарский район</t>
  </si>
  <si>
    <t>100305157219000046</t>
  </si>
  <si>
    <t>0139100004619000047</t>
  </si>
  <si>
    <t>4442016237</t>
  </si>
  <si>
    <t>31908274747</t>
  </si>
  <si>
    <t>1333857</t>
  </si>
  <si>
    <t>6500005706</t>
  </si>
  <si>
    <t>31908270784</t>
  </si>
  <si>
    <t>31908271701</t>
  </si>
  <si>
    <t>7724053916</t>
  </si>
  <si>
    <t>1335299</t>
  </si>
  <si>
    <t>7838479881</t>
  </si>
  <si>
    <t>31908273643</t>
  </si>
  <si>
    <t>7702764909</t>
  </si>
  <si>
    <t>1335808</t>
  </si>
  <si>
    <t>Иркутский район</t>
  </si>
  <si>
    <t>5602023251</t>
  </si>
  <si>
    <t>0853500000319009967</t>
  </si>
  <si>
    <t>Бугуруслан</t>
  </si>
  <si>
    <t>561108253674</t>
  </si>
  <si>
    <t>5638073009</t>
  </si>
  <si>
    <t>5603013009</t>
  </si>
  <si>
    <t>5602024569</t>
  </si>
  <si>
    <t>562502453666</t>
  </si>
  <si>
    <t>5610135424</t>
  </si>
  <si>
    <t>320883</t>
  </si>
  <si>
    <t>6684021776</t>
  </si>
  <si>
    <t>0362200072319000495</t>
  </si>
  <si>
    <t>Первоуральск</t>
  </si>
  <si>
    <t>6646013012</t>
  </si>
  <si>
    <t>6625026540</t>
  </si>
  <si>
    <t>6674323111</t>
  </si>
  <si>
    <t>5013017025</t>
  </si>
  <si>
    <t>808733</t>
  </si>
  <si>
    <t>5032240100</t>
  </si>
  <si>
    <t>0148100003219000027</t>
  </si>
  <si>
    <t>7733894672</t>
  </si>
  <si>
    <t>7729752509</t>
  </si>
  <si>
    <t>7707627769</t>
  </si>
  <si>
    <t>7717026799</t>
  </si>
  <si>
    <t>2318012957</t>
  </si>
  <si>
    <t>0118300018719000563</t>
  </si>
  <si>
    <t>2301089951</t>
  </si>
  <si>
    <t>0105057325</t>
  </si>
  <si>
    <t>2308209376</t>
  </si>
  <si>
    <t>7016000834</t>
  </si>
  <si>
    <t>0165300015519000066</t>
  </si>
  <si>
    <t>Шегарский район</t>
  </si>
  <si>
    <t>7008006776</t>
  </si>
  <si>
    <t>3443077223</t>
  </si>
  <si>
    <t>10021815118000238</t>
  </si>
  <si>
    <t>6167021288</t>
  </si>
  <si>
    <t>100314560119000172</t>
  </si>
  <si>
    <t>0169300027819000205</t>
  </si>
  <si>
    <t>100314560119000174</t>
  </si>
  <si>
    <t>100307115219000030</t>
  </si>
  <si>
    <t>3702167327</t>
  </si>
  <si>
    <t>100261373219000008</t>
  </si>
  <si>
    <t>7704029538</t>
  </si>
  <si>
    <t>0373200126219000046</t>
  </si>
  <si>
    <t>7708358452</t>
  </si>
  <si>
    <t>7450002949</t>
  </si>
  <si>
    <t>0369200027919000017</t>
  </si>
  <si>
    <t>7450025304</t>
  </si>
  <si>
    <t>7448095294</t>
  </si>
  <si>
    <t>5023006336</t>
  </si>
  <si>
    <t>808300</t>
  </si>
  <si>
    <t>Красноармейск</t>
  </si>
  <si>
    <t>РН90900810</t>
  </si>
  <si>
    <t>7414002238</t>
  </si>
  <si>
    <t>31908269103</t>
  </si>
  <si>
    <t>VTB04091900001</t>
  </si>
  <si>
    <t>5032047018</t>
  </si>
  <si>
    <t>808256</t>
  </si>
  <si>
    <t>7714086422</t>
  </si>
  <si>
    <t>0373100015719000310</t>
  </si>
  <si>
    <t>2311110137</t>
  </si>
  <si>
    <t>0573100002519000994</t>
  </si>
  <si>
    <t>5000001525</t>
  </si>
  <si>
    <t>0348200049719000661</t>
  </si>
  <si>
    <t>0573100002519000992</t>
  </si>
  <si>
    <t>5243015583</t>
  </si>
  <si>
    <t>100129839219000030</t>
  </si>
  <si>
    <t>Арзамас</t>
  </si>
  <si>
    <t>100129839219000031</t>
  </si>
  <si>
    <t>0573100002519000993</t>
  </si>
  <si>
    <t>100129839219000029</t>
  </si>
  <si>
    <t>5047047395</t>
  </si>
  <si>
    <t>808082</t>
  </si>
  <si>
    <t>7536076678</t>
  </si>
  <si>
    <t>4456213</t>
  </si>
  <si>
    <t>2722912088</t>
  </si>
  <si>
    <t>0122200002519005384</t>
  </si>
  <si>
    <t>272207060909</t>
  </si>
  <si>
    <t>2723173055</t>
  </si>
  <si>
    <t>2725002665</t>
  </si>
  <si>
    <t>2722093223</t>
  </si>
  <si>
    <t>2721122376</t>
  </si>
  <si>
    <t>100280540219000184</t>
  </si>
  <si>
    <t>5507072393</t>
  </si>
  <si>
    <t>0152100002719000015</t>
  </si>
  <si>
    <t>5506040215</t>
  </si>
  <si>
    <t>2462041823</t>
  </si>
  <si>
    <t>9701087623</t>
  </si>
  <si>
    <t>ATOM03091900179</t>
  </si>
  <si>
    <t>100044487119000016</t>
  </si>
  <si>
    <t>100129839219000028</t>
  </si>
  <si>
    <t>0411004883</t>
  </si>
  <si>
    <t>0377100004219000050</t>
  </si>
  <si>
    <t>[ОКПД2 81.21] Услуги по общей уборке зданий</t>
  </si>
  <si>
    <t>Республика Алтай</t>
  </si>
  <si>
    <t>Горно-Алтайск</t>
  </si>
  <si>
    <t>0411147137</t>
  </si>
  <si>
    <t>1203000872</t>
  </si>
  <si>
    <t>100065604219000018</t>
  </si>
  <si>
    <t>Звениговский район</t>
  </si>
  <si>
    <t>0814106609</t>
  </si>
  <si>
    <t>0105100000719000102</t>
  </si>
  <si>
    <t>6340006106</t>
  </si>
  <si>
    <t>РН90900448</t>
  </si>
  <si>
    <t>Отрадный</t>
  </si>
  <si>
    <t>5045025861</t>
  </si>
  <si>
    <t>807766</t>
  </si>
  <si>
    <t>7704773754</t>
  </si>
  <si>
    <t>0373100029819000052</t>
  </si>
  <si>
    <t>6509012433</t>
  </si>
  <si>
    <t>0361300002119000108</t>
  </si>
  <si>
    <t>Холмск</t>
  </si>
  <si>
    <t>6501276000</t>
  </si>
  <si>
    <t>6501157028</t>
  </si>
  <si>
    <t>3328103274</t>
  </si>
  <si>
    <t>0128100001419000023</t>
  </si>
  <si>
    <t>3328485062</t>
  </si>
  <si>
    <t>5075015035</t>
  </si>
  <si>
    <t>807714</t>
  </si>
  <si>
    <t>807677</t>
  </si>
  <si>
    <t>5537005764</t>
  </si>
  <si>
    <t>100213459119000020</t>
  </si>
  <si>
    <t>Тюкалинск</t>
  </si>
  <si>
    <t>190903/0591/220</t>
  </si>
  <si>
    <t>7725114488</t>
  </si>
  <si>
    <t>31908263357</t>
  </si>
  <si>
    <t>3445042160</t>
  </si>
  <si>
    <t>31908265560</t>
  </si>
  <si>
    <t>6659027478</t>
  </si>
  <si>
    <t>31908263403</t>
  </si>
  <si>
    <t>2308024537</t>
  </si>
  <si>
    <t>GEO03091900002</t>
  </si>
  <si>
    <t>7704060880</t>
  </si>
  <si>
    <t>31908266165</t>
  </si>
  <si>
    <t>[ОКПД2 90.02] Услуги по поддержке исполнительских искусств, [ОКВЭД2 90.02] Деятельность вспомогательная, связанная с исполнительскими искусствами</t>
  </si>
  <si>
    <t>7811378050</t>
  </si>
  <si>
    <t>31908264819</t>
  </si>
  <si>
    <t>[ОКПД2 26.40] Техника бытовая электронная, [ОКВЭД2 26+] Производство компьютеров, электронных и оптических изделий</t>
  </si>
  <si>
    <t>7215008115</t>
  </si>
  <si>
    <t>31908265995</t>
  </si>
  <si>
    <t>1334358</t>
  </si>
  <si>
    <t>ЗП909016</t>
  </si>
  <si>
    <t>100107798219000208</t>
  </si>
  <si>
    <t>3705003768</t>
  </si>
  <si>
    <t>100011210219000023</t>
  </si>
  <si>
    <t>Фурмановский район</t>
  </si>
  <si>
    <t>4811005857</t>
  </si>
  <si>
    <t>0346100008819000014</t>
  </si>
  <si>
    <t>4813024502</t>
  </si>
  <si>
    <t>4825063055</t>
  </si>
  <si>
    <t>100011210219000024</t>
  </si>
  <si>
    <t>ATOM02091900193</t>
  </si>
  <si>
    <t>2587375</t>
  </si>
  <si>
    <t>[ОКПД2 41.10] Документация проектная для строительства</t>
  </si>
  <si>
    <t>5037001754</t>
  </si>
  <si>
    <t>807492</t>
  </si>
  <si>
    <t>0150100004119000012</t>
  </si>
  <si>
    <t>6831018819</t>
  </si>
  <si>
    <t>0164300016519000665</t>
  </si>
  <si>
    <t>6829122450</t>
  </si>
  <si>
    <t>6829141188</t>
  </si>
  <si>
    <t>7714338609</t>
  </si>
  <si>
    <t>0873200009819004113</t>
  </si>
  <si>
    <t>[ОКПД2 32.50] Инструменты и оборудование медицинские</t>
  </si>
  <si>
    <t>9709011143</t>
  </si>
  <si>
    <t>7724434950</t>
  </si>
  <si>
    <t>100192264219000001</t>
  </si>
  <si>
    <t>6831017766</t>
  </si>
  <si>
    <t>0364100001519000130</t>
  </si>
  <si>
    <t>5042013459</t>
  </si>
  <si>
    <t>0348200078019000015</t>
  </si>
  <si>
    <t>5047058478</t>
  </si>
  <si>
    <t>5425106838</t>
  </si>
  <si>
    <t>0151300042919000014</t>
  </si>
  <si>
    <t>Коченевский район</t>
  </si>
  <si>
    <t>345765</t>
  </si>
  <si>
    <t>5048053803</t>
  </si>
  <si>
    <t>807266</t>
  </si>
  <si>
    <t>5031032900</t>
  </si>
  <si>
    <t>100026052119000048</t>
  </si>
  <si>
    <t>7723356386</t>
  </si>
  <si>
    <t>0373200015519000257</t>
  </si>
  <si>
    <t>7725833041</t>
  </si>
  <si>
    <t>7729705643</t>
  </si>
  <si>
    <t>9731036369</t>
  </si>
  <si>
    <t>5516003050</t>
  </si>
  <si>
    <t>0352200032119000076</t>
  </si>
  <si>
    <t>Колосовский район</t>
  </si>
  <si>
    <t>5501087435</t>
  </si>
  <si>
    <t>5535009354</t>
  </si>
  <si>
    <t>6500000169</t>
  </si>
  <si>
    <t>100301512219000160</t>
  </si>
  <si>
    <t>5902292287</t>
  </si>
  <si>
    <t>0356200001819000223</t>
  </si>
  <si>
    <t>5902202276</t>
  </si>
  <si>
    <t>1904001874</t>
  </si>
  <si>
    <t>100103680219000031</t>
  </si>
  <si>
    <t>5504118265</t>
  </si>
  <si>
    <t>0152100007319000056</t>
  </si>
  <si>
    <t>5501244889</t>
  </si>
  <si>
    <t>7719723690</t>
  </si>
  <si>
    <t>1333096</t>
  </si>
  <si>
    <t>3525076372</t>
  </si>
  <si>
    <t>3621005430</t>
  </si>
  <si>
    <t>31908260271</t>
  </si>
  <si>
    <t>2453013555</t>
  </si>
  <si>
    <t>190902/0508/407</t>
  </si>
  <si>
    <t>Зеленогорск</t>
  </si>
  <si>
    <t>7701791321</t>
  </si>
  <si>
    <t>31908262425</t>
  </si>
  <si>
    <t>7842425303</t>
  </si>
  <si>
    <t>31908261458</t>
  </si>
  <si>
    <t>[ОКПД2 68.3+] Услуги по операциям с недвижимым имуществом за вознаграждение или на договорной основе, [ОКВЭД2 68.3+] Операции с недвижимым имуществом за вознаграждение или на договорной основе</t>
  </si>
  <si>
    <t>6656004218</t>
  </si>
  <si>
    <t>31908261050</t>
  </si>
  <si>
    <t>[ОКПД2 99.00] Услуги, предоставляемые экстерриториальными организациями и органами, [ОКВЭД2 99.00] Деятельность экстерриториальных организаций и органов</t>
  </si>
  <si>
    <t>1333646</t>
  </si>
  <si>
    <t>31908253567</t>
  </si>
  <si>
    <t>0822300013319000085</t>
  </si>
  <si>
    <t>0816300023619000082</t>
  </si>
  <si>
    <t>4611012695</t>
  </si>
  <si>
    <t>0844200001419000052</t>
  </si>
  <si>
    <t>Курская область</t>
  </si>
  <si>
    <t>Курский район</t>
  </si>
  <si>
    <t>4632179328</t>
  </si>
  <si>
    <t>2019-743474</t>
  </si>
  <si>
    <t>4909051144</t>
  </si>
  <si>
    <t>0147100000219000040</t>
  </si>
  <si>
    <t>2315093820</t>
  </si>
  <si>
    <t>100060189119000018</t>
  </si>
  <si>
    <t>0575400000119000341</t>
  </si>
  <si>
    <t>6662022335</t>
  </si>
  <si>
    <t>0362100003119000033</t>
  </si>
  <si>
    <t>6671397556</t>
  </si>
  <si>
    <t>8912001990</t>
  </si>
  <si>
    <t>ГП944623</t>
  </si>
  <si>
    <t>[ОКПД2 43.29] Работы строительно-монтажные прочие, [ОКВЭД2 42.99] Строительство прочих инженерных сооружений, не включенных в другие группировки</t>
  </si>
  <si>
    <t>Красноселькупский район</t>
  </si>
  <si>
    <t>7451332347</t>
  </si>
  <si>
    <t>0369200034819000067</t>
  </si>
  <si>
    <t>660103951316</t>
  </si>
  <si>
    <t>745300962683</t>
  </si>
  <si>
    <t>6449017346</t>
  </si>
  <si>
    <t>100146517119000105</t>
  </si>
  <si>
    <t>Энгельс</t>
  </si>
  <si>
    <t>ATOM30081900311</t>
  </si>
  <si>
    <t>7727682430</t>
  </si>
  <si>
    <t>0373200106219000013</t>
  </si>
  <si>
    <t>[ОКПД2 33.13] Услуги по ремонту электронного и оптического оборудования, [ОКПД2 33.12] Услуги по ремонту оборудования</t>
  </si>
  <si>
    <t>7724816318</t>
  </si>
  <si>
    <t>7720661663</t>
  </si>
  <si>
    <t>7716909135</t>
  </si>
  <si>
    <t>7743280343</t>
  </si>
  <si>
    <t>8903006696</t>
  </si>
  <si>
    <t>7733024083</t>
  </si>
  <si>
    <t>0373200005819000431</t>
  </si>
  <si>
    <t>7724681332</t>
  </si>
  <si>
    <t>7743894600</t>
  </si>
  <si>
    <t>9729022200</t>
  </si>
  <si>
    <t>9203000669</t>
  </si>
  <si>
    <t>0174200002019000303</t>
  </si>
  <si>
    <t>7810065672</t>
  </si>
  <si>
    <t>7718579700</t>
  </si>
  <si>
    <t>8609014205</t>
  </si>
  <si>
    <t>0187300007819000187</t>
  </si>
  <si>
    <t>Радужный</t>
  </si>
  <si>
    <t>3525065660</t>
  </si>
  <si>
    <t>0330100010519000167</t>
  </si>
  <si>
    <t>2901239461</t>
  </si>
  <si>
    <t>7816058657</t>
  </si>
  <si>
    <t>0372200007919000140</t>
  </si>
  <si>
    <t>8602003941</t>
  </si>
  <si>
    <t>7017107820</t>
  </si>
  <si>
    <t>0165100003719000162</t>
  </si>
  <si>
    <t>7017411234</t>
  </si>
  <si>
    <t>0330100010519000168</t>
  </si>
  <si>
    <t>4629030857</t>
  </si>
  <si>
    <t>0144300004019000684</t>
  </si>
  <si>
    <t>Курск</t>
  </si>
  <si>
    <t>4632001687</t>
  </si>
  <si>
    <t>0330100010519000165</t>
  </si>
  <si>
    <t>7804631979</t>
  </si>
  <si>
    <t>7725808479</t>
  </si>
  <si>
    <t>0835100003919000016</t>
  </si>
  <si>
    <t>7816030115</t>
  </si>
  <si>
    <t>0372200091219000032</t>
  </si>
  <si>
    <t>7804652217</t>
  </si>
  <si>
    <t>5022050950</t>
  </si>
  <si>
    <t>806649</t>
  </si>
  <si>
    <t>100186885219000044</t>
  </si>
  <si>
    <t>2279002448</t>
  </si>
  <si>
    <t>0817200000319009996</t>
  </si>
  <si>
    <t>Топчихинский район</t>
  </si>
  <si>
    <t>2222873916</t>
  </si>
  <si>
    <t>2279005551</t>
  </si>
  <si>
    <t>100193569219000047</t>
  </si>
  <si>
    <t>4346018062</t>
  </si>
  <si>
    <t>0140100005119000041</t>
  </si>
  <si>
    <t>6027008576</t>
  </si>
  <si>
    <t>31908256566</t>
  </si>
  <si>
    <t>[ОКПД2 62.09] Услуги в области информационных технологий прочие и компьютерные услуги, [ОКВЭД2 63.9+] Деятельность в области информационных услуг прочая</t>
  </si>
  <si>
    <t>1332534</t>
  </si>
  <si>
    <t>31908252665</t>
  </si>
  <si>
    <t>31908250870</t>
  </si>
  <si>
    <t>31908252659</t>
  </si>
  <si>
    <t>5902290441</t>
  </si>
  <si>
    <t>31908255444</t>
  </si>
  <si>
    <t>5000001388</t>
  </si>
  <si>
    <t>31908256881</t>
  </si>
  <si>
    <t>3508009915</t>
  </si>
  <si>
    <t>31908254642</t>
  </si>
  <si>
    <t>31908258019</t>
  </si>
  <si>
    <t>0195100000219000280</t>
  </si>
  <si>
    <t>7734672288</t>
  </si>
  <si>
    <t>7713612168</t>
  </si>
  <si>
    <t>7743774261</t>
  </si>
  <si>
    <t>507802275165</t>
  </si>
  <si>
    <t>7717699730</t>
  </si>
  <si>
    <t>5751061260</t>
  </si>
  <si>
    <t>6662054256</t>
  </si>
  <si>
    <t>0162300005319003116</t>
  </si>
  <si>
    <t>6678059838</t>
  </si>
  <si>
    <t>6658476456</t>
  </si>
  <si>
    <t>6679051302</t>
  </si>
  <si>
    <t>0162300005319003117</t>
  </si>
  <si>
    <t>7448034615</t>
  </si>
  <si>
    <t>6670044540</t>
  </si>
  <si>
    <t>6607005963</t>
  </si>
  <si>
    <t>0862600013619000190</t>
  </si>
  <si>
    <t>6623110718</t>
  </si>
  <si>
    <t>2019-743060</t>
  </si>
  <si>
    <t>0575400000119000333</t>
  </si>
  <si>
    <t>[ОКПД2 26.30] Оборудование коммуникационное, [ОКПД2 26.20] Компьютеры и периферийное оборудование</t>
  </si>
  <si>
    <t>Симферополь</t>
  </si>
  <si>
    <t>5024028773</t>
  </si>
  <si>
    <t>806469</t>
  </si>
  <si>
    <t>2619006594</t>
  </si>
  <si>
    <t>100202009219000025</t>
  </si>
  <si>
    <t>100310037119000081</t>
  </si>
  <si>
    <t>7707830457</t>
  </si>
  <si>
    <t>100053286219000028</t>
  </si>
  <si>
    <t>Ялта</t>
  </si>
  <si>
    <t>0339200017219000198</t>
  </si>
  <si>
    <t>3426003165</t>
  </si>
  <si>
    <t>100036269119000026</t>
  </si>
  <si>
    <t>Светлоярский район</t>
  </si>
  <si>
    <t>6662127391</t>
  </si>
  <si>
    <t>0262100003519000023</t>
  </si>
  <si>
    <t>742208108523</t>
  </si>
  <si>
    <t>0321300001119000453</t>
  </si>
  <si>
    <t>151300768008</t>
  </si>
  <si>
    <t>261602512788</t>
  </si>
  <si>
    <t>4716021880</t>
  </si>
  <si>
    <t>0145200000419001728</t>
  </si>
  <si>
    <t>7839371697</t>
  </si>
  <si>
    <t>4707029185</t>
  </si>
  <si>
    <t>4025043821</t>
  </si>
  <si>
    <t>0237100001619000018</t>
  </si>
  <si>
    <t>4028019369</t>
  </si>
  <si>
    <t>4023010034</t>
  </si>
  <si>
    <t>5030080796</t>
  </si>
  <si>
    <t>4027019790</t>
  </si>
  <si>
    <t>6905005038</t>
  </si>
  <si>
    <t>100254132219000052</t>
  </si>
  <si>
    <t>1515912930</t>
  </si>
  <si>
    <t>0310200000319002756</t>
  </si>
  <si>
    <t>1655215859</t>
  </si>
  <si>
    <t>4326008066</t>
  </si>
  <si>
    <t>0140300020919000019</t>
  </si>
  <si>
    <t>Подосиновский район</t>
  </si>
  <si>
    <t>4345258142</t>
  </si>
  <si>
    <t>3730006473</t>
  </si>
  <si>
    <t>0133100006919000019</t>
  </si>
  <si>
    <t>6729018350</t>
  </si>
  <si>
    <t>0363100011219000070</t>
  </si>
  <si>
    <t>[ОКПД2 15.20] Обувь</t>
  </si>
  <si>
    <t>5504156165</t>
  </si>
  <si>
    <t>6952038760</t>
  </si>
  <si>
    <t>6732129148</t>
  </si>
  <si>
    <t>5247006364</t>
  </si>
  <si>
    <t>100308311119000041</t>
  </si>
  <si>
    <t>Выкса</t>
  </si>
  <si>
    <t>8617011470</t>
  </si>
  <si>
    <t>0387200006319000083</t>
  </si>
  <si>
    <t>8602269733</t>
  </si>
  <si>
    <t>181701541363</t>
  </si>
  <si>
    <t>860229733015</t>
  </si>
  <si>
    <t>6142015807</t>
  </si>
  <si>
    <t>0358200038319000031</t>
  </si>
  <si>
    <t>6142023244</t>
  </si>
  <si>
    <t>614708642492</t>
  </si>
  <si>
    <t>6147030735</t>
  </si>
  <si>
    <t>SBR016-1908290003</t>
  </si>
  <si>
    <t>321596</t>
  </si>
  <si>
    <t>100308311119000038</t>
  </si>
  <si>
    <t>100308311119000034</t>
  </si>
  <si>
    <t>100308311119000035</t>
  </si>
  <si>
    <t>0318100051219000123</t>
  </si>
  <si>
    <t>7715755316</t>
  </si>
  <si>
    <t>1660194266</t>
  </si>
  <si>
    <t>321708</t>
  </si>
  <si>
    <t>2627012993</t>
  </si>
  <si>
    <t>0121300021119000131</t>
  </si>
  <si>
    <t>Железноводск</t>
  </si>
  <si>
    <t>2632070694</t>
  </si>
  <si>
    <t>6633020559</t>
  </si>
  <si>
    <t>100271283219000011</t>
  </si>
  <si>
    <t>0139200000119006900</t>
  </si>
  <si>
    <t>5422106237</t>
  </si>
  <si>
    <t>0851600003519000587</t>
  </si>
  <si>
    <t>5422113428</t>
  </si>
  <si>
    <t>5405335830</t>
  </si>
  <si>
    <t>5403350857</t>
  </si>
  <si>
    <t>0139200000119006902</t>
  </si>
  <si>
    <t>0139200000119006903</t>
  </si>
  <si>
    <t>100271283219000010</t>
  </si>
  <si>
    <t>2502039950</t>
  </si>
  <si>
    <t>0320300073219000083</t>
  </si>
  <si>
    <t>Артем</t>
  </si>
  <si>
    <t>253702041201</t>
  </si>
  <si>
    <t>7717040095</t>
  </si>
  <si>
    <t>0373200543819000007</t>
  </si>
  <si>
    <t>7720665481</t>
  </si>
  <si>
    <t>3-000020-19</t>
  </si>
  <si>
    <t>6669008925</t>
  </si>
  <si>
    <t>0362300062119000103</t>
  </si>
  <si>
    <t>Нижний Тагил</t>
  </si>
  <si>
    <t>6623081009</t>
  </si>
  <si>
    <t>5012006239</t>
  </si>
  <si>
    <t>806054</t>
  </si>
  <si>
    <t>7021008268</t>
  </si>
  <si>
    <t>100092757219000020</t>
  </si>
  <si>
    <t>2019-742542</t>
  </si>
  <si>
    <t>2712012610</t>
  </si>
  <si>
    <t>100159464219000050</t>
  </si>
  <si>
    <t>5019010594</t>
  </si>
  <si>
    <t>31908249211</t>
  </si>
  <si>
    <t>31908251045</t>
  </si>
  <si>
    <t>[ОКПД2 43+] Работы строительные специализированные, [ОКВЭД2 43+] Работы строительные специализированные</t>
  </si>
  <si>
    <t>31908250530</t>
  </si>
  <si>
    <t>31908248037</t>
  </si>
  <si>
    <t>31908246852</t>
  </si>
  <si>
    <t>7717666051</t>
  </si>
  <si>
    <t>31908248231</t>
  </si>
  <si>
    <t>31908249797</t>
  </si>
  <si>
    <t>7718105676</t>
  </si>
  <si>
    <t>COM29081900060</t>
  </si>
  <si>
    <t>5022014285</t>
  </si>
  <si>
    <t>31908248837</t>
  </si>
  <si>
    <t>100011210119000040</t>
  </si>
  <si>
    <t>100011210119000039</t>
  </si>
  <si>
    <t>0844200001419000051</t>
  </si>
  <si>
    <t>462901346279</t>
  </si>
  <si>
    <t>1701027443</t>
  </si>
  <si>
    <t>0312100008519000035</t>
  </si>
  <si>
    <t>2348014630</t>
  </si>
  <si>
    <t>100292066219000027</t>
  </si>
  <si>
    <t>ATOM28081900282</t>
  </si>
  <si>
    <t>0844200001419000050</t>
  </si>
  <si>
    <t>462900188929</t>
  </si>
  <si>
    <t>2586067</t>
  </si>
  <si>
    <t>7735069192</t>
  </si>
  <si>
    <t>0373200063119000381</t>
  </si>
  <si>
    <t>272590159309</t>
  </si>
  <si>
    <t>7726760340</t>
  </si>
  <si>
    <t>7733299842</t>
  </si>
  <si>
    <t>2723168182</t>
  </si>
  <si>
    <t>7710424110</t>
  </si>
  <si>
    <t>6027090203</t>
  </si>
  <si>
    <t>100206666219000050</t>
  </si>
  <si>
    <t>1101486639</t>
  </si>
  <si>
    <t>100133368219000015</t>
  </si>
  <si>
    <t>2312076344</t>
  </si>
  <si>
    <t>0318100009519000013</t>
  </si>
  <si>
    <t>591807474604</t>
  </si>
  <si>
    <t>0105070781</t>
  </si>
  <si>
    <t>5257056163</t>
  </si>
  <si>
    <t>0832200006619001388</t>
  </si>
  <si>
    <t>7714896353</t>
  </si>
  <si>
    <t>7720827125</t>
  </si>
  <si>
    <t>0348200001019000056</t>
  </si>
  <si>
    <t>7107129970</t>
  </si>
  <si>
    <t>6230106683</t>
  </si>
  <si>
    <t>0348200001019000058</t>
  </si>
  <si>
    <t>3329081190</t>
  </si>
  <si>
    <t>0373200114319000279</t>
  </si>
  <si>
    <t>7448139417</t>
  </si>
  <si>
    <t>507803115742</t>
  </si>
  <si>
    <t>7604252532</t>
  </si>
  <si>
    <t>7708025358</t>
  </si>
  <si>
    <t>100275229219000008</t>
  </si>
  <si>
    <t>100275229219000007</t>
  </si>
  <si>
    <t>3124013946</t>
  </si>
  <si>
    <t>0126200000419003229</t>
  </si>
  <si>
    <t>250200660805</t>
  </si>
  <si>
    <t>3123097894</t>
  </si>
  <si>
    <t>3123409600</t>
  </si>
  <si>
    <t>3120082868</t>
  </si>
  <si>
    <t>3121185707</t>
  </si>
  <si>
    <t>3123081372</t>
  </si>
  <si>
    <t>310501508456</t>
  </si>
  <si>
    <t>0369200019619000160</t>
  </si>
  <si>
    <t>7447250518</t>
  </si>
  <si>
    <t>741101573340</t>
  </si>
  <si>
    <t>7410000960</t>
  </si>
  <si>
    <t>0369500000919000134</t>
  </si>
  <si>
    <t>7451395770</t>
  </si>
  <si>
    <t>0277907342</t>
  </si>
  <si>
    <t>7447157974</t>
  </si>
  <si>
    <t>7453316125</t>
  </si>
  <si>
    <t>7415081754</t>
  </si>
  <si>
    <t>744410731006</t>
  </si>
  <si>
    <t>0139200000119006809</t>
  </si>
  <si>
    <t>0139200000119006813</t>
  </si>
  <si>
    <t>0139200000119006817</t>
  </si>
  <si>
    <t>1657005416</t>
  </si>
  <si>
    <t>321478</t>
  </si>
  <si>
    <t>3703004741</t>
  </si>
  <si>
    <t>100298227219000049</t>
  </si>
  <si>
    <t>5037009418</t>
  </si>
  <si>
    <t>805572</t>
  </si>
  <si>
    <t>7733231361</t>
  </si>
  <si>
    <t>0373100134619000319</t>
  </si>
  <si>
    <t>5752000133</t>
  </si>
  <si>
    <t>0354100008419000153</t>
  </si>
  <si>
    <t>5720022409</t>
  </si>
  <si>
    <t>0354100008419000152</t>
  </si>
  <si>
    <t>0354100008419000156</t>
  </si>
  <si>
    <t>0354100008419000154</t>
  </si>
  <si>
    <t>0139200000119006818</t>
  </si>
  <si>
    <t>0354100008419000151</t>
  </si>
  <si>
    <t>0362300062119000102</t>
  </si>
  <si>
    <t>6623126845</t>
  </si>
  <si>
    <t>6658516109</t>
  </si>
  <si>
    <t>0354100008419000155</t>
  </si>
  <si>
    <t>РН90801804</t>
  </si>
  <si>
    <t>[ОКПД2 84.25] Услуги по обеспечению безопасности в чрезвычайных ситуациях; услуги по обеспечению безопасности в области использования атомной энергии, [ОКВЭД2 84.25] Деятельность по обеспечению безопасности в чрезвычайных ситуациях; деятельность по обеспечению безопасности в области использования атомной энергии</t>
  </si>
  <si>
    <t>5540005605</t>
  </si>
  <si>
    <t>100048132219000031</t>
  </si>
  <si>
    <t>ATOM28081900018</t>
  </si>
  <si>
    <t>1637002287</t>
  </si>
  <si>
    <t>100133799219000024</t>
  </si>
  <si>
    <t>1330292</t>
  </si>
  <si>
    <t>31908244047</t>
  </si>
  <si>
    <t>5036000236</t>
  </si>
  <si>
    <t>31908242287</t>
  </si>
  <si>
    <t>2019/08/2596</t>
  </si>
  <si>
    <t>31908242546</t>
  </si>
  <si>
    <t>7701885820</t>
  </si>
  <si>
    <t>31908244291</t>
  </si>
  <si>
    <t>[ОКПД2 71.12] Услуги в области инженерно-технического проектирования и связанные технические консультативные услуги, [ОКВЭД2 71.1+] Деятельность в области архитектуры, инженерных изысканий и предоставление технических консультаций в этих областях</t>
  </si>
  <si>
    <t>31908244819</t>
  </si>
  <si>
    <t>5050002933</t>
  </si>
  <si>
    <t>31908245737</t>
  </si>
  <si>
    <t>321208</t>
  </si>
  <si>
    <t>0195100000219000273</t>
  </si>
  <si>
    <t>7713053544</t>
  </si>
  <si>
    <t>0195100000219000274</t>
  </si>
  <si>
    <t>0111300029819000143</t>
  </si>
  <si>
    <t>1630001654</t>
  </si>
  <si>
    <t>0111300005119000534</t>
  </si>
  <si>
    <t>Нижнекамский район</t>
  </si>
  <si>
    <t>1651054745</t>
  </si>
  <si>
    <t>1644091986</t>
  </si>
  <si>
    <t>165116817803</t>
  </si>
  <si>
    <t>165807642052</t>
  </si>
  <si>
    <t>3904064765</t>
  </si>
  <si>
    <t>0135100002519000062</t>
  </si>
  <si>
    <t>3906182161</t>
  </si>
  <si>
    <t>1630001703</t>
  </si>
  <si>
    <t>0111300005119000535</t>
  </si>
  <si>
    <t>1651001750</t>
  </si>
  <si>
    <t>0111300005119000532</t>
  </si>
  <si>
    <t>6903005804</t>
  </si>
  <si>
    <t>100163254219000025</t>
  </si>
  <si>
    <t>7020009893</t>
  </si>
  <si>
    <t>0865200000319001629</t>
  </si>
  <si>
    <t>2221217421</t>
  </si>
  <si>
    <t>7017297722</t>
  </si>
  <si>
    <t>7451332795</t>
  </si>
  <si>
    <t>7804278640</t>
  </si>
  <si>
    <t>7107028403</t>
  </si>
  <si>
    <t>0366200035619006098</t>
  </si>
  <si>
    <t>7105510210</t>
  </si>
  <si>
    <t>0372100047319000141</t>
  </si>
  <si>
    <t>3661011416</t>
  </si>
  <si>
    <t>0331300007819000035</t>
  </si>
  <si>
    <t>3666120578</t>
  </si>
  <si>
    <t>3665036034</t>
  </si>
  <si>
    <t>361002667415</t>
  </si>
  <si>
    <t>5834013341</t>
  </si>
  <si>
    <t>100110024219000051</t>
  </si>
  <si>
    <t>5001039842</t>
  </si>
  <si>
    <t>805198</t>
  </si>
  <si>
    <t>7017330440</t>
  </si>
  <si>
    <t>604837</t>
  </si>
  <si>
    <t>6905006017</t>
  </si>
  <si>
    <t>100207715219000016</t>
  </si>
  <si>
    <t>5036034348</t>
  </si>
  <si>
    <t>0848300062219001232</t>
  </si>
  <si>
    <t>503613623148</t>
  </si>
  <si>
    <t>7710928406</t>
  </si>
  <si>
    <t>9701002500</t>
  </si>
  <si>
    <t>8204000525</t>
  </si>
  <si>
    <t>0338300044119000039</t>
  </si>
  <si>
    <t>Корякский округ, входящий в состав Камчатского края</t>
  </si>
  <si>
    <t>Пенжинский район</t>
  </si>
  <si>
    <t>7826062821</t>
  </si>
  <si>
    <t>0372100009919000121</t>
  </si>
  <si>
    <t>7810032317</t>
  </si>
  <si>
    <t>3904013369</t>
  </si>
  <si>
    <t>0135200000519003517</t>
  </si>
  <si>
    <t>3906222135</t>
  </si>
  <si>
    <t>100103680119000041</t>
  </si>
  <si>
    <t>Алтайский район</t>
  </si>
  <si>
    <t>6501233462</t>
  </si>
  <si>
    <t>0361200015019005429</t>
  </si>
  <si>
    <t>6501015270</t>
  </si>
  <si>
    <t>5011014773</t>
  </si>
  <si>
    <t>0348200067719000031</t>
  </si>
  <si>
    <t>Егорьевский район</t>
  </si>
  <si>
    <t>502714869259</t>
  </si>
  <si>
    <t>5003076310</t>
  </si>
  <si>
    <t>5036159957</t>
  </si>
  <si>
    <t>7724093531</t>
  </si>
  <si>
    <t>0373200138219000766</t>
  </si>
  <si>
    <t>7716082078</t>
  </si>
  <si>
    <t>773704139093</t>
  </si>
  <si>
    <t>6952005451</t>
  </si>
  <si>
    <t>9717068979</t>
  </si>
  <si>
    <t>862101491292</t>
  </si>
  <si>
    <t>7722018916</t>
  </si>
  <si>
    <t>7728458840</t>
  </si>
  <si>
    <t>7705491079</t>
  </si>
  <si>
    <t>9729063301</t>
  </si>
  <si>
    <t>7205000170</t>
  </si>
  <si>
    <t>100120767119000018</t>
  </si>
  <si>
    <t>[ОКПД2 26.30] Оборудование коммуникационное, [ОКПД2 27.33] Изделия электроустановочные, [ОКПД2 27.12] Аппаратура распределительная и регулирующая электрическая, [ОКПД2 27.40] Оборудование электрическое осветительное, [ОКПД2 27.32] Провода и кабели электронные и электрические прочие</t>
  </si>
  <si>
    <t>2801030145</t>
  </si>
  <si>
    <t>100296846119000069</t>
  </si>
  <si>
    <t>992/ЭТП/2019/ПБГ</t>
  </si>
  <si>
    <t>31908236691</t>
  </si>
  <si>
    <t>[ОКПД2 82.11] Услуги в области административного обслуживания комплексные, [ОКВЭД2 62.02] Деятельность консультативная и работы в области компьютерных технологий</t>
  </si>
  <si>
    <t>7606076748</t>
  </si>
  <si>
    <t>31908236430</t>
  </si>
  <si>
    <t>2314010596</t>
  </si>
  <si>
    <t>31908239135</t>
  </si>
  <si>
    <t>0277006179</t>
  </si>
  <si>
    <t>31908239475</t>
  </si>
  <si>
    <t>31908241107</t>
  </si>
  <si>
    <t>1833012468</t>
  </si>
  <si>
    <t>31908238232</t>
  </si>
  <si>
    <t>31908239605</t>
  </si>
  <si>
    <t>1701010288</t>
  </si>
  <si>
    <t>31908237425</t>
  </si>
  <si>
    <t>7704252261</t>
  </si>
  <si>
    <t>0173100004519001511</t>
  </si>
  <si>
    <t>3113001949</t>
  </si>
  <si>
    <t>100056496219000021</t>
  </si>
  <si>
    <t>0139200000119006732</t>
  </si>
  <si>
    <t>3327102084</t>
  </si>
  <si>
    <t>100151141219000028</t>
  </si>
  <si>
    <t>0173100004519001500</t>
  </si>
  <si>
    <t>[ОКПД2 23.12] Стекло листовое гнутое и обработанное</t>
  </si>
  <si>
    <t>6113011212</t>
  </si>
  <si>
    <t>100301879219000021</t>
  </si>
  <si>
    <t>Кагальницкий район</t>
  </si>
  <si>
    <t>6002004185</t>
  </si>
  <si>
    <t>100309179219000010</t>
  </si>
  <si>
    <t>Великие Луки</t>
  </si>
  <si>
    <t>4802008548</t>
  </si>
  <si>
    <t>100315970119000018</t>
  </si>
  <si>
    <t>Грязинский район</t>
  </si>
  <si>
    <t>ATOM26081900179</t>
  </si>
  <si>
    <t>2585133</t>
  </si>
  <si>
    <t>100033038119000170</t>
  </si>
  <si>
    <t>0862600013619000177</t>
  </si>
  <si>
    <t>660705144969</t>
  </si>
  <si>
    <t>100213459119000018</t>
  </si>
  <si>
    <t>7710007910</t>
  </si>
  <si>
    <t>РН90801158</t>
  </si>
  <si>
    <t>[ОКПД2 41.20] Здания и работы по возведению зданий, [ОКВЭД2 42.99] Строительство прочих инженерных сооружений, не включенных в другие группировки</t>
  </si>
  <si>
    <t>2537061153</t>
  </si>
  <si>
    <t>0320200015219000047</t>
  </si>
  <si>
    <t>2543103605</t>
  </si>
  <si>
    <t>РН90801134</t>
  </si>
  <si>
    <t>5904114191</t>
  </si>
  <si>
    <t>0356300296219000015</t>
  </si>
  <si>
    <t>5916034230</t>
  </si>
  <si>
    <t>5904299841</t>
  </si>
  <si>
    <t>0128300013019000081</t>
  </si>
  <si>
    <t>2713011440</t>
  </si>
  <si>
    <t>100154727119000056</t>
  </si>
  <si>
    <t>им Лазо район</t>
  </si>
  <si>
    <t>1327902</t>
  </si>
  <si>
    <t>5104002234</t>
  </si>
  <si>
    <t>1327825</t>
  </si>
  <si>
    <t>Ковдорский район</t>
  </si>
  <si>
    <t>5036027421</t>
  </si>
  <si>
    <t>31908235319</t>
  </si>
  <si>
    <t>2319023817</t>
  </si>
  <si>
    <t>31908232391</t>
  </si>
  <si>
    <t>[ОКПД2 62.03] Услуги по управлению компьютерным оборудованием, [ОКВЭД2 62.03] Деятельность по управлению компьютерным оборудованием</t>
  </si>
  <si>
    <t>7813080598</t>
  </si>
  <si>
    <t>31908234656</t>
  </si>
  <si>
    <t>COM26081900021</t>
  </si>
  <si>
    <t>6671163413</t>
  </si>
  <si>
    <t>31908234562</t>
  </si>
  <si>
    <t>3811146038</t>
  </si>
  <si>
    <t>31908229660</t>
  </si>
  <si>
    <t>[ОКПД2 46.52] Услуги по оптовой торговле электронным и телекоммуникационным оборудованием и его частями, [ОКВЭД2 46.52] Торговля оптовая электронным и телекоммуникационным оборудованием и его запасными частями</t>
  </si>
  <si>
    <t>7718606827</t>
  </si>
  <si>
    <t>31908234468</t>
  </si>
  <si>
    <t>[ОКПД2 71.20] Услуги в области технических испытаний, исследований, анализа и сертификации, [ОКВЭД2 35.30] Производство, передача и распределение пара и горячей воды; кондиционирование воздуха</t>
  </si>
  <si>
    <t>6163024930</t>
  </si>
  <si>
    <t>31908234217</t>
  </si>
  <si>
    <t>[ОКПД2 84.25] Услуги по обеспечению безопасности в чрезвычайных ситуациях; услуги по обеспечению безопасности в области использования атомной энергии, [ОКВЭД2 33+] Ремонт и монтаж машин и оборудования</t>
  </si>
  <si>
    <t>5024161398</t>
  </si>
  <si>
    <t>804374</t>
  </si>
  <si>
    <t>100317105119000018</t>
  </si>
  <si>
    <t>100056496119000033</t>
  </si>
  <si>
    <t>Краснояружский район</t>
  </si>
  <si>
    <t>100317105119000017</t>
  </si>
  <si>
    <t>6163097938</t>
  </si>
  <si>
    <t>31908231896</t>
  </si>
  <si>
    <t>5028016881</t>
  </si>
  <si>
    <t>794309</t>
  </si>
  <si>
    <t>0301300471019000191</t>
  </si>
  <si>
    <t>0254006260</t>
  </si>
  <si>
    <t>Баймак</t>
  </si>
  <si>
    <t>0254005436</t>
  </si>
  <si>
    <t>0254005595</t>
  </si>
  <si>
    <t>Баймакский район</t>
  </si>
  <si>
    <t>0254005764</t>
  </si>
  <si>
    <t>0254005517</t>
  </si>
  <si>
    <t>0254005570</t>
  </si>
  <si>
    <t>0254005796</t>
  </si>
  <si>
    <t>0254007144</t>
  </si>
  <si>
    <t>0254005468</t>
  </si>
  <si>
    <t>0254005771</t>
  </si>
  <si>
    <t>0254006140</t>
  </si>
  <si>
    <t>0254006214</t>
  </si>
  <si>
    <t>0254005676</t>
  </si>
  <si>
    <t>0254006084</t>
  </si>
  <si>
    <t>0254005450</t>
  </si>
  <si>
    <t>0254005563</t>
  </si>
  <si>
    <t>0254005884</t>
  </si>
  <si>
    <t>0254005820</t>
  </si>
  <si>
    <t>0254005740</t>
  </si>
  <si>
    <t>0254005972</t>
  </si>
  <si>
    <t>0254005700</t>
  </si>
  <si>
    <t>0254005845</t>
  </si>
  <si>
    <t>0254005475</t>
  </si>
  <si>
    <t>0254027101</t>
  </si>
  <si>
    <t>0254027422</t>
  </si>
  <si>
    <t>025406726677</t>
  </si>
  <si>
    <t>0267022830</t>
  </si>
  <si>
    <t>0267020858</t>
  </si>
  <si>
    <t>025403648702</t>
  </si>
  <si>
    <t>023400964551</t>
  </si>
  <si>
    <t>6685153912</t>
  </si>
  <si>
    <t>0241005333</t>
  </si>
  <si>
    <t>3915010070</t>
  </si>
  <si>
    <t>0135200000519003484</t>
  </si>
  <si>
    <t>Багратионовский район</t>
  </si>
  <si>
    <t>3906258886</t>
  </si>
  <si>
    <t>5036092340</t>
  </si>
  <si>
    <t>2584909</t>
  </si>
  <si>
    <t>ATOM23081900273</t>
  </si>
  <si>
    <t>СРБ2019-0049(ЗКО)</t>
  </si>
  <si>
    <t>100307115119000032</t>
  </si>
  <si>
    <t>Магарамкентский район</t>
  </si>
  <si>
    <t>7434000831</t>
  </si>
  <si>
    <t>0169600001919000134</t>
  </si>
  <si>
    <t>[ОКПД2 38.11] Отходы неопасные; услуги по сбору неопасных отходов</t>
  </si>
  <si>
    <t>Кусинский район</t>
  </si>
  <si>
    <t>743401444420</t>
  </si>
  <si>
    <t>8901003989</t>
  </si>
  <si>
    <t>0190200000319009354</t>
  </si>
  <si>
    <t>8901029680</t>
  </si>
  <si>
    <t>2463244329</t>
  </si>
  <si>
    <t>6163045249</t>
  </si>
  <si>
    <t>0158200002219000060</t>
  </si>
  <si>
    <t>6164318499</t>
  </si>
  <si>
    <t>8901027108</t>
  </si>
  <si>
    <t>100264585119000033</t>
  </si>
  <si>
    <t>100138668219000019</t>
  </si>
  <si>
    <t>0139200000119006669</t>
  </si>
  <si>
    <t>6234116361</t>
  </si>
  <si>
    <t>0859200001119010745</t>
  </si>
  <si>
    <t>6230097735</t>
  </si>
  <si>
    <t>5260358157</t>
  </si>
  <si>
    <t>0832200006619001345</t>
  </si>
  <si>
    <t>[ОКПД2 62.03] Услуги по управлению компьютерным оборудованием</t>
  </si>
  <si>
    <t>5260089634</t>
  </si>
  <si>
    <t>ATOM23081900194</t>
  </si>
  <si>
    <t>6121995270</t>
  </si>
  <si>
    <t>0358300352219000001</t>
  </si>
  <si>
    <t>[ОКПД2 26.40] Техника бытовая электронная, [ОКПД2 27.33] Изделия электроустановочные, [ОКПД2 27.32] Провода и кабели электронные и электрические прочие</t>
  </si>
  <si>
    <t>Морозовский район</t>
  </si>
  <si>
    <t>615001249994</t>
  </si>
  <si>
    <t>6230001602</t>
  </si>
  <si>
    <t>0859200001119010741</t>
  </si>
  <si>
    <t>6234127606</t>
  </si>
  <si>
    <t>6230109268</t>
  </si>
  <si>
    <t>6229083720</t>
  </si>
  <si>
    <t>0139200000119006670</t>
  </si>
  <si>
    <t>100206666219000046</t>
  </si>
  <si>
    <t>5101200816</t>
  </si>
  <si>
    <t>0349300001719000193</t>
  </si>
  <si>
    <t>Апатиты</t>
  </si>
  <si>
    <t>3448009717</t>
  </si>
  <si>
    <t>0329100005919000390</t>
  </si>
  <si>
    <t>7743210145</t>
  </si>
  <si>
    <t>5404079478</t>
  </si>
  <si>
    <t>0151400000419000033</t>
  </si>
  <si>
    <t>100138668219000018</t>
  </si>
  <si>
    <t>22353</t>
  </si>
  <si>
    <t>1001047814</t>
  </si>
  <si>
    <t>100217507119000011</t>
  </si>
  <si>
    <t>5034033469</t>
  </si>
  <si>
    <t>794015</t>
  </si>
  <si>
    <t>7129001349</t>
  </si>
  <si>
    <t>0166300017919000052</t>
  </si>
  <si>
    <t>Куркинский район</t>
  </si>
  <si>
    <t>7107535114</t>
  </si>
  <si>
    <t>7705846236</t>
  </si>
  <si>
    <t>0173100013819000012</t>
  </si>
  <si>
    <t>7715940799</t>
  </si>
  <si>
    <t>2902054897</t>
  </si>
  <si>
    <t>0124200000619004354</t>
  </si>
  <si>
    <t>2902073755</t>
  </si>
  <si>
    <t>2501015749</t>
  </si>
  <si>
    <t>0320300150019000195</t>
  </si>
  <si>
    <t>Арсеньев</t>
  </si>
  <si>
    <t>2501013029</t>
  </si>
  <si>
    <t>2501017390</t>
  </si>
  <si>
    <t>2540104304</t>
  </si>
  <si>
    <t>5007010198</t>
  </si>
  <si>
    <t>0848300037419000764</t>
  </si>
  <si>
    <t>7106078289</t>
  </si>
  <si>
    <t>6685105193</t>
  </si>
  <si>
    <t>7714334690</t>
  </si>
  <si>
    <t>5504030483</t>
  </si>
  <si>
    <t>0152100004719000031</t>
  </si>
  <si>
    <t>7604013630</t>
  </si>
  <si>
    <t>100043340219000027</t>
  </si>
  <si>
    <t>100043340219000028</t>
  </si>
  <si>
    <t>2614010822</t>
  </si>
  <si>
    <t>100175681119000078</t>
  </si>
  <si>
    <t>Нефтекумский район</t>
  </si>
  <si>
    <t>100175681119000077</t>
  </si>
  <si>
    <t>4246006345</t>
  </si>
  <si>
    <t>0139300016819000020</t>
  </si>
  <si>
    <t>Яшкинский район</t>
  </si>
  <si>
    <t>421215629027</t>
  </si>
  <si>
    <t>100275229119000014</t>
  </si>
  <si>
    <t>100275229119000013</t>
  </si>
  <si>
    <t>6162059986</t>
  </si>
  <si>
    <t>0858100004319000045</t>
  </si>
  <si>
    <t>Махачкала</t>
  </si>
  <si>
    <t>6164124430</t>
  </si>
  <si>
    <t>5902291029</t>
  </si>
  <si>
    <t>0356100010119000080</t>
  </si>
  <si>
    <t>[ОКПД2 26.40] Техника бытовая электронная, [ОКПД2 26.30] Оборудование коммуникационное</t>
  </si>
  <si>
    <t>5911041138</t>
  </si>
  <si>
    <t>5906151368</t>
  </si>
  <si>
    <t>0139200000119006621</t>
  </si>
  <si>
    <t>7702044530</t>
  </si>
  <si>
    <t>31908230773</t>
  </si>
  <si>
    <t>1326814</t>
  </si>
  <si>
    <t>31908232310</t>
  </si>
  <si>
    <t>4704041900</t>
  </si>
  <si>
    <t>31908228602</t>
  </si>
  <si>
    <t>31908229499</t>
  </si>
  <si>
    <t>1327023</t>
  </si>
  <si>
    <t>100292066119000058</t>
  </si>
  <si>
    <t>2466124527</t>
  </si>
  <si>
    <t>0119100008319000168</t>
  </si>
  <si>
    <t>2465257919</t>
  </si>
  <si>
    <t>242901180339</t>
  </si>
  <si>
    <t>246110367099</t>
  </si>
  <si>
    <t>2019-741426</t>
  </si>
  <si>
    <t>2221217157</t>
  </si>
  <si>
    <t>0817200000319009174</t>
  </si>
  <si>
    <t>2221227571</t>
  </si>
  <si>
    <t>2221122498</t>
  </si>
  <si>
    <t>100301879219000009</t>
  </si>
  <si>
    <t>5022004946</t>
  </si>
  <si>
    <t>100175952119000023</t>
  </si>
  <si>
    <t>8610007851</t>
  </si>
  <si>
    <t>1047862</t>
  </si>
  <si>
    <t>Нягань</t>
  </si>
  <si>
    <t>100175681119000075</t>
  </si>
  <si>
    <t>0320300150019000194</t>
  </si>
  <si>
    <t>100175681119000076</t>
  </si>
  <si>
    <t>5447100029</t>
  </si>
  <si>
    <t>0351300071819000432</t>
  </si>
  <si>
    <t>Куйбышев</t>
  </si>
  <si>
    <t>5452113305</t>
  </si>
  <si>
    <t>7705853829</t>
  </si>
  <si>
    <t>22155</t>
  </si>
  <si>
    <t>2356042529</t>
  </si>
  <si>
    <t>0318300441119000045</t>
  </si>
  <si>
    <t>Усть-Лабинский район</t>
  </si>
  <si>
    <t>2625067041</t>
  </si>
  <si>
    <t>0101010245</t>
  </si>
  <si>
    <t>2356043924</t>
  </si>
  <si>
    <t>0107021758</t>
  </si>
  <si>
    <t>2361000450</t>
  </si>
  <si>
    <t>2584350</t>
  </si>
  <si>
    <t>1435211305</t>
  </si>
  <si>
    <t>0816500000619012322</t>
  </si>
  <si>
    <t>1435277345</t>
  </si>
  <si>
    <t>ATOM22081900159</t>
  </si>
  <si>
    <t>2626800494</t>
  </si>
  <si>
    <t>100136233119000030</t>
  </si>
  <si>
    <t>6618001784</t>
  </si>
  <si>
    <t>0362300002719000223</t>
  </si>
  <si>
    <t>Красноуральск</t>
  </si>
  <si>
    <t>6623029224</t>
  </si>
  <si>
    <t>6670355465</t>
  </si>
  <si>
    <t>6623017980</t>
  </si>
  <si>
    <t>6686117346</t>
  </si>
  <si>
    <t>6630008514</t>
  </si>
  <si>
    <t>3812014490</t>
  </si>
  <si>
    <t>0334300108419000056</t>
  </si>
  <si>
    <t>3810051619</t>
  </si>
  <si>
    <t>3808221101</t>
  </si>
  <si>
    <t>3849060372</t>
  </si>
  <si>
    <t>5311001824</t>
  </si>
  <si>
    <t>100272529219000032</t>
  </si>
  <si>
    <t>Окуловский район</t>
  </si>
  <si>
    <t>7538000561</t>
  </si>
  <si>
    <t>0191300026819000057</t>
  </si>
  <si>
    <t>753100215800</t>
  </si>
  <si>
    <t>100272529219000033</t>
  </si>
  <si>
    <t>6501025568</t>
  </si>
  <si>
    <t>0361200009119000355</t>
  </si>
  <si>
    <t>6501086634</t>
  </si>
  <si>
    <t>6501168943</t>
  </si>
  <si>
    <t>31908222966</t>
  </si>
  <si>
    <t>[ОКПД2 31.01] Мебель для офисов и предприятий торговли, [ОКВЭД2 31.01] Производство мебели для офисов и предприятий торговли</t>
  </si>
  <si>
    <t>1325771</t>
  </si>
  <si>
    <t>31908227969</t>
  </si>
  <si>
    <t>0266036534</t>
  </si>
  <si>
    <t>31908223785</t>
  </si>
  <si>
    <t>[ОКПД2 49.20] Услуги железнодорожного транспорта по перевозке грузов, [ОКВЭД2 49.20] Деятельность железнодорожного транспорта: грузовые перевозки</t>
  </si>
  <si>
    <t>31908225351</t>
  </si>
  <si>
    <t>7729040491</t>
  </si>
  <si>
    <t>31908227620</t>
  </si>
  <si>
    <t>7703801737</t>
  </si>
  <si>
    <t>31908225695</t>
  </si>
  <si>
    <t>2584104</t>
  </si>
  <si>
    <t>ATOM21081900303</t>
  </si>
  <si>
    <t>793121</t>
  </si>
  <si>
    <t>5029084997</t>
  </si>
  <si>
    <t>793035</t>
  </si>
  <si>
    <t>5008044150</t>
  </si>
  <si>
    <t>793066</t>
  </si>
  <si>
    <t>Долгопрудный</t>
  </si>
  <si>
    <t>7733054120</t>
  </si>
  <si>
    <t>0373200107419000396</t>
  </si>
  <si>
    <t>Рузский район</t>
  </si>
  <si>
    <t>7714435257</t>
  </si>
  <si>
    <t>7727355810</t>
  </si>
  <si>
    <t>7702437612</t>
  </si>
  <si>
    <t>230604383978</t>
  </si>
  <si>
    <t>7743268346</t>
  </si>
  <si>
    <t>7714879559</t>
  </si>
  <si>
    <t>5047217978</t>
  </si>
  <si>
    <t>370203831846</t>
  </si>
  <si>
    <t>7709700887</t>
  </si>
  <si>
    <t>5070009006</t>
  </si>
  <si>
    <t>792988</t>
  </si>
  <si>
    <t>1604000968</t>
  </si>
  <si>
    <t>100015672219000016</t>
  </si>
  <si>
    <t>[ОКПД2 81.29] Услуги по чистке и уборке прочие, [ОКПД2 56.29] Услуги по обеспечению питанием прочие, [ОКПД2 33.12] Услуги по ремонту оборудования</t>
  </si>
  <si>
    <t>3448027040</t>
  </si>
  <si>
    <t>0129300014919000238</t>
  </si>
  <si>
    <t>9102226148</t>
  </si>
  <si>
    <t>343594052129</t>
  </si>
  <si>
    <t>3435008748</t>
  </si>
  <si>
    <t>1502021729</t>
  </si>
  <si>
    <t>0110100000619000015</t>
  </si>
  <si>
    <t>1502008407</t>
  </si>
  <si>
    <t>150300331047</t>
  </si>
  <si>
    <t>5050112414</t>
  </si>
  <si>
    <t>792935</t>
  </si>
  <si>
    <t>Лосино-Петровский</t>
  </si>
  <si>
    <t>1835048685</t>
  </si>
  <si>
    <t>0113100005119000043</t>
  </si>
  <si>
    <t>1835081107</t>
  </si>
  <si>
    <t>COM21081900064</t>
  </si>
  <si>
    <t>7405001573</t>
  </si>
  <si>
    <t>100025365119000012</t>
  </si>
  <si>
    <t>Трехгорный</t>
  </si>
  <si>
    <t>2583836</t>
  </si>
  <si>
    <t>100120767219000052</t>
  </si>
  <si>
    <t>4404001007</t>
  </si>
  <si>
    <t>100241856219000002</t>
  </si>
  <si>
    <t>Мантурово</t>
  </si>
  <si>
    <t>0336100017019000097</t>
  </si>
  <si>
    <t>6950013721</t>
  </si>
  <si>
    <t>695006786009</t>
  </si>
  <si>
    <t>100298227119000023</t>
  </si>
  <si>
    <t>9204004761</t>
  </si>
  <si>
    <t>0574500003119000005</t>
  </si>
  <si>
    <t>6671159287</t>
  </si>
  <si>
    <t>100068366219000041</t>
  </si>
  <si>
    <t>6102041938</t>
  </si>
  <si>
    <t>0858300002119000079</t>
  </si>
  <si>
    <t>6161001461</t>
  </si>
  <si>
    <t>6123008240</t>
  </si>
  <si>
    <t>0358100034719000034</t>
  </si>
  <si>
    <t>Неклиновский район</t>
  </si>
  <si>
    <t>6154568429</t>
  </si>
  <si>
    <t>6168091489</t>
  </si>
  <si>
    <t>7412002120</t>
  </si>
  <si>
    <t>100106039219000018</t>
  </si>
  <si>
    <t>Коркино</t>
  </si>
  <si>
    <t>4825120465</t>
  </si>
  <si>
    <t>100221049219000012</t>
  </si>
  <si>
    <t>5050015435</t>
  </si>
  <si>
    <t>0348200066419000027</t>
  </si>
  <si>
    <t>7708821712</t>
  </si>
  <si>
    <t>732714553612</t>
  </si>
  <si>
    <t>100106039219000017</t>
  </si>
  <si>
    <t>2632041647</t>
  </si>
  <si>
    <t>0321100019419000092</t>
  </si>
  <si>
    <t>Карачаево-Черкесская Республика</t>
  </si>
  <si>
    <t>2624034886</t>
  </si>
  <si>
    <t>100301512119000039</t>
  </si>
  <si>
    <t>2510008804</t>
  </si>
  <si>
    <t>100204721219000001</t>
  </si>
  <si>
    <t>Спасск-Дальний</t>
  </si>
  <si>
    <t>7710170225</t>
  </si>
  <si>
    <t>31908219605</t>
  </si>
  <si>
    <t>[ОКПД2 33.12] Услуги по ремонту оборудования, [ОКВЭД2 91.02] Деятельность музеев</t>
  </si>
  <si>
    <t>31908216869</t>
  </si>
  <si>
    <t>7842461679</t>
  </si>
  <si>
    <t>31908216739</t>
  </si>
  <si>
    <t>190819/0611/315</t>
  </si>
  <si>
    <t>1325169</t>
  </si>
  <si>
    <t>31908222970</t>
  </si>
  <si>
    <t>[ОКПД2 61.90] Услуги телекоммуникационные прочие, [ОКВЭД2 61.10] Деятельность в области связи на базе проводных технологий</t>
  </si>
  <si>
    <t>1644015657</t>
  </si>
  <si>
    <t>1324536</t>
  </si>
  <si>
    <t>3232015281</t>
  </si>
  <si>
    <t>1043093</t>
  </si>
  <si>
    <t>3232015041</t>
  </si>
  <si>
    <t>1043087</t>
  </si>
  <si>
    <t>1701038364</t>
  </si>
  <si>
    <t>0112200000819003000</t>
  </si>
  <si>
    <t>170600567511</t>
  </si>
  <si>
    <t>1701047111</t>
  </si>
  <si>
    <t>1043092</t>
  </si>
  <si>
    <t>3232015002</t>
  </si>
  <si>
    <t>1043098</t>
  </si>
  <si>
    <t>3232014915</t>
  </si>
  <si>
    <t>1043061</t>
  </si>
  <si>
    <t>5028017236</t>
  </si>
  <si>
    <t>792457</t>
  </si>
  <si>
    <t>320009</t>
  </si>
  <si>
    <t>6829047675</t>
  </si>
  <si>
    <t>100053267219000022</t>
  </si>
  <si>
    <t>3232014979</t>
  </si>
  <si>
    <t>1042995</t>
  </si>
  <si>
    <t>7712029193</t>
  </si>
  <si>
    <t>0373200008119000112</t>
  </si>
  <si>
    <t>7743624330</t>
  </si>
  <si>
    <t>7722464580</t>
  </si>
  <si>
    <t>5629020963</t>
  </si>
  <si>
    <t>0853500000319009236</t>
  </si>
  <si>
    <t>Илекский район</t>
  </si>
  <si>
    <t>5611070434</t>
  </si>
  <si>
    <t>564680083709</t>
  </si>
  <si>
    <t>561102603964</t>
  </si>
  <si>
    <t>3232014986</t>
  </si>
  <si>
    <t>1042924</t>
  </si>
  <si>
    <t>0312100008519000032</t>
  </si>
  <si>
    <t>170106463856</t>
  </si>
  <si>
    <t>3232015034</t>
  </si>
  <si>
    <t>1042829</t>
  </si>
  <si>
    <t>3232015210</t>
  </si>
  <si>
    <t>1042878</t>
  </si>
  <si>
    <t>3232015370</t>
  </si>
  <si>
    <t>1042723</t>
  </si>
  <si>
    <t>7325126055</t>
  </si>
  <si>
    <t>0168200002419006884</t>
  </si>
  <si>
    <t>Ульяновск</t>
  </si>
  <si>
    <t>7328065932</t>
  </si>
  <si>
    <t>2224179573</t>
  </si>
  <si>
    <t>3232035633</t>
  </si>
  <si>
    <t>1042550</t>
  </si>
  <si>
    <t>3232015323</t>
  </si>
  <si>
    <t>1042640</t>
  </si>
  <si>
    <t>3232014947</t>
  </si>
  <si>
    <t>1042560</t>
  </si>
  <si>
    <t>1042540</t>
  </si>
  <si>
    <t>100261373119000020</t>
  </si>
  <si>
    <t>COM20081900090</t>
  </si>
  <si>
    <t>1042421</t>
  </si>
  <si>
    <t>3232014993</t>
  </si>
  <si>
    <t>1042291</t>
  </si>
  <si>
    <t>3232015228</t>
  </si>
  <si>
    <t>1042266</t>
  </si>
  <si>
    <t>2019-740681</t>
  </si>
  <si>
    <t>3232015309</t>
  </si>
  <si>
    <t>1042244</t>
  </si>
  <si>
    <t>3232015193</t>
  </si>
  <si>
    <t>1042303</t>
  </si>
  <si>
    <t>3232014922</t>
  </si>
  <si>
    <t>1042315</t>
  </si>
  <si>
    <t>0721010510</t>
  </si>
  <si>
    <t>100196259219000005</t>
  </si>
  <si>
    <t>2625022869</t>
  </si>
  <si>
    <t>100142725219000031</t>
  </si>
  <si>
    <t>Георгиевск</t>
  </si>
  <si>
    <t>3232015355</t>
  </si>
  <si>
    <t>1041938</t>
  </si>
  <si>
    <t>3232015203</t>
  </si>
  <si>
    <t>1041913</t>
  </si>
  <si>
    <t>3232015274</t>
  </si>
  <si>
    <t>1041948</t>
  </si>
  <si>
    <t>6906006718</t>
  </si>
  <si>
    <t>0136100003519000053</t>
  </si>
  <si>
    <t>[ОКПД2 27.33] Изделия электроустановочные, [ОКПД2 26.30] Оборудование коммуникационное</t>
  </si>
  <si>
    <t>6950013707</t>
  </si>
  <si>
    <t>3232015059</t>
  </si>
  <si>
    <t>1041863</t>
  </si>
  <si>
    <t>3232014961</t>
  </si>
  <si>
    <t>1041879</t>
  </si>
  <si>
    <t>3232014930</t>
  </si>
  <si>
    <t>1041807</t>
  </si>
  <si>
    <t>3232014954</t>
  </si>
  <si>
    <t>1041850</t>
  </si>
  <si>
    <t>5056000675</t>
  </si>
  <si>
    <t>791971</t>
  </si>
  <si>
    <t>Дзержинский</t>
  </si>
  <si>
    <t>1321114298</t>
  </si>
  <si>
    <t>0109300031519000027</t>
  </si>
  <si>
    <t>Торбеевский район</t>
  </si>
  <si>
    <t>1326207387</t>
  </si>
  <si>
    <t>0133300010319000145</t>
  </si>
  <si>
    <t>5007088476</t>
  </si>
  <si>
    <t>791887</t>
  </si>
  <si>
    <t>6731003463</t>
  </si>
  <si>
    <t>0163200000319005995</t>
  </si>
  <si>
    <t>7804471316</t>
  </si>
  <si>
    <t>2583365</t>
  </si>
  <si>
    <t>ЮЗБ2019-0166(ЗКО)</t>
  </si>
  <si>
    <t>6670049570</t>
  </si>
  <si>
    <t>5611027573</t>
  </si>
  <si>
    <t>5610127470</t>
  </si>
  <si>
    <t>2311212266</t>
  </si>
  <si>
    <t>5190313079</t>
  </si>
  <si>
    <t>0149200002319005327</t>
  </si>
  <si>
    <t>5191202741</t>
  </si>
  <si>
    <t>5190183415</t>
  </si>
  <si>
    <t>5190070429</t>
  </si>
  <si>
    <t>8201001231</t>
  </si>
  <si>
    <t>0138300013019000012</t>
  </si>
  <si>
    <t>Олюторский район</t>
  </si>
  <si>
    <t>4101165817</t>
  </si>
  <si>
    <t>3808017280</t>
  </si>
  <si>
    <t>100283892219000014</t>
  </si>
  <si>
    <t>8622000931</t>
  </si>
  <si>
    <t>31908217702</t>
  </si>
  <si>
    <t>Югорск</t>
  </si>
  <si>
    <t>3905614482</t>
  </si>
  <si>
    <t>31908218246</t>
  </si>
  <si>
    <t>7704305026</t>
  </si>
  <si>
    <t>31908218815</t>
  </si>
  <si>
    <t>31908214779</t>
  </si>
  <si>
    <t>COM20081900032</t>
  </si>
  <si>
    <t>31908215701</t>
  </si>
  <si>
    <t>7452054702</t>
  </si>
  <si>
    <t>31908218827</t>
  </si>
  <si>
    <t>[ОКПД2 63.99] Услуги информационные прочие, не включенные в другие группировки, [ОКВЭД2 63.99] Деятельность информационных служб прочая, не включенная в другие группировки</t>
  </si>
  <si>
    <t>5036055450</t>
  </si>
  <si>
    <t>31908216799</t>
  </si>
  <si>
    <t>8607008728</t>
  </si>
  <si>
    <t>31908216643</t>
  </si>
  <si>
    <t>0306100000419000100</t>
  </si>
  <si>
    <t>4706036461</t>
  </si>
  <si>
    <t>7802804626</t>
  </si>
  <si>
    <t>7728434750</t>
  </si>
  <si>
    <t>0373400007719000065</t>
  </si>
  <si>
    <t>504804183588</t>
  </si>
  <si>
    <t>7736540833</t>
  </si>
  <si>
    <t>7701808550</t>
  </si>
  <si>
    <t>7713392843</t>
  </si>
  <si>
    <t>400900746593</t>
  </si>
  <si>
    <t>7714448778</t>
  </si>
  <si>
    <t>7117006857</t>
  </si>
  <si>
    <t>0166300015919000165</t>
  </si>
  <si>
    <t>Узловский район</t>
  </si>
  <si>
    <t>7106519840</t>
  </si>
  <si>
    <t>4027135193</t>
  </si>
  <si>
    <t>7825011824</t>
  </si>
  <si>
    <t>0372100017719000031</t>
  </si>
  <si>
    <t>[ОКПД2 26.40] Техника бытовая электронная, [ОКПД2 27.33] Изделия электроустановочные</t>
  </si>
  <si>
    <t>7801460764</t>
  </si>
  <si>
    <t>6317053595</t>
  </si>
  <si>
    <t>100071729219000011</t>
  </si>
  <si>
    <t>0372100009919000120</t>
  </si>
  <si>
    <t>0372100009919000119</t>
  </si>
  <si>
    <t>5007036767</t>
  </si>
  <si>
    <t>791387</t>
  </si>
  <si>
    <t>[ОКПД2 68.32] Услуги по управлению недвижимым имуществом, предоставляемые за вознаграждение или на договорной основе</t>
  </si>
  <si>
    <t>7404066031</t>
  </si>
  <si>
    <t>100224570119000013</t>
  </si>
  <si>
    <t>3444116115</t>
  </si>
  <si>
    <t>100040563219000033</t>
  </si>
  <si>
    <t>2635049098</t>
  </si>
  <si>
    <t>1038899</t>
  </si>
  <si>
    <t>100151141119000031</t>
  </si>
  <si>
    <t>100309179119000017</t>
  </si>
  <si>
    <t>1648003525</t>
  </si>
  <si>
    <t>0311100028919000016</t>
  </si>
  <si>
    <t>[ОКПД2 82.11] Услуги в области административного обслуживания комплексные</t>
  </si>
  <si>
    <t>164800970503</t>
  </si>
  <si>
    <t>166011849380</t>
  </si>
  <si>
    <t>100224570119000012</t>
  </si>
  <si>
    <t>1038887</t>
  </si>
  <si>
    <t>6950000024</t>
  </si>
  <si>
    <t>100207375219000017</t>
  </si>
  <si>
    <t>5027161340</t>
  </si>
  <si>
    <t>791207</t>
  </si>
  <si>
    <t>7814355510</t>
  </si>
  <si>
    <t>0372200131319000023</t>
  </si>
  <si>
    <t>7807041760</t>
  </si>
  <si>
    <t>7839316470</t>
  </si>
  <si>
    <t>7733167540</t>
  </si>
  <si>
    <t>0373200559119000059</t>
  </si>
  <si>
    <t>7716723525</t>
  </si>
  <si>
    <t>7723653893</t>
  </si>
  <si>
    <t>100206666219000041</t>
  </si>
  <si>
    <t>5049003675</t>
  </si>
  <si>
    <t>791188</t>
  </si>
  <si>
    <t>5502033168</t>
  </si>
  <si>
    <t>1038239</t>
  </si>
  <si>
    <t>5803009730</t>
  </si>
  <si>
    <t>100275115119000092</t>
  </si>
  <si>
    <t>Кузнецк</t>
  </si>
  <si>
    <t>2429002792</t>
  </si>
  <si>
    <t>0119200000119007440</t>
  </si>
  <si>
    <t>Новоселовский район</t>
  </si>
  <si>
    <t>2439004333</t>
  </si>
  <si>
    <t>100120767119000017</t>
  </si>
  <si>
    <t>2019-740000</t>
  </si>
  <si>
    <t>31908210278</t>
  </si>
  <si>
    <t>31908210501</t>
  </si>
  <si>
    <t>31908213214</t>
  </si>
  <si>
    <t>31908213309</t>
  </si>
  <si>
    <t>31908210439</t>
  </si>
  <si>
    <t>31908210804</t>
  </si>
  <si>
    <t>31908210525</t>
  </si>
  <si>
    <t>31908213395</t>
  </si>
  <si>
    <t>0202008355</t>
  </si>
  <si>
    <t>1322418</t>
  </si>
  <si>
    <t>Альшеевский район</t>
  </si>
  <si>
    <t>5260343440</t>
  </si>
  <si>
    <t>31908209983</t>
  </si>
  <si>
    <t>[ОКПД2 90.02] Услуги по поддержке исполнительских искусств, [ОКВЭД2 93.29] Деятельность зрелищно-развлекательная прочая</t>
  </si>
  <si>
    <t>5031078214</t>
  </si>
  <si>
    <t>791044</t>
  </si>
  <si>
    <t>0865200000319001580</t>
  </si>
  <si>
    <t>0848300041219000802</t>
  </si>
  <si>
    <t>5018090332</t>
  </si>
  <si>
    <t>2019-740083</t>
  </si>
  <si>
    <t>6426000748</t>
  </si>
  <si>
    <t>0360300311419000010</t>
  </si>
  <si>
    <t>[ОКПД2 43.21] Работы электромонтажные, [ОКПД2 26.40] Техника бытовая электронная, [ОКПД2 28.23] Машины офисные и оборудование, кроме компьютеров и периферийного оборудования</t>
  </si>
  <si>
    <t>Питерский район</t>
  </si>
  <si>
    <t>7842016565</t>
  </si>
  <si>
    <t>0187300010319000956</t>
  </si>
  <si>
    <t>8603137916</t>
  </si>
  <si>
    <t>5005033087</t>
  </si>
  <si>
    <t>790980</t>
  </si>
  <si>
    <t>1215097379</t>
  </si>
  <si>
    <t>100085688219000011</t>
  </si>
  <si>
    <t>Йошкар-Ола</t>
  </si>
  <si>
    <t>7418004772</t>
  </si>
  <si>
    <t>0369200012019000011</t>
  </si>
  <si>
    <t>Троицк</t>
  </si>
  <si>
    <t>744401745468</t>
  </si>
  <si>
    <t>0369200012019000012</t>
  </si>
  <si>
    <t>6406000387</t>
  </si>
  <si>
    <t>0360300065619000134</t>
  </si>
  <si>
    <t>Балашов</t>
  </si>
  <si>
    <t>6453096654</t>
  </si>
  <si>
    <t>6440016250</t>
  </si>
  <si>
    <t>6916006241</t>
  </si>
  <si>
    <t>100309983119000036</t>
  </si>
  <si>
    <t>Удомля</t>
  </si>
  <si>
    <t>100309983119000037</t>
  </si>
  <si>
    <t>5028016899</t>
  </si>
  <si>
    <t>790786</t>
  </si>
  <si>
    <t>0320300073219000065</t>
  </si>
  <si>
    <t>0234200000119000043</t>
  </si>
  <si>
    <t>3816007221</t>
  </si>
  <si>
    <t>1653016921</t>
  </si>
  <si>
    <t>319846</t>
  </si>
  <si>
    <t>ATOM16081900113</t>
  </si>
  <si>
    <t>2635136449</t>
  </si>
  <si>
    <t>0321100028919000001</t>
  </si>
  <si>
    <t>2634063678</t>
  </si>
  <si>
    <t>7718225444</t>
  </si>
  <si>
    <t>0373200566319000015</t>
  </si>
  <si>
    <t>7728768489</t>
  </si>
  <si>
    <t>1833004509</t>
  </si>
  <si>
    <t>100045197219000092</t>
  </si>
  <si>
    <t>[ОКПД2 25.73] Инструмент</t>
  </si>
  <si>
    <t>7706613770</t>
  </si>
  <si>
    <t>РН968705</t>
  </si>
  <si>
    <t>[ОКПД2 62.02] Услуги консультативные, связанные с компьютерной техникой, [ОКВЭД2 62.02] Деятельность консультативная и работы в области компьютерных технологий</t>
  </si>
  <si>
    <t>РН968695</t>
  </si>
  <si>
    <t>6118010357</t>
  </si>
  <si>
    <t>1035926</t>
  </si>
  <si>
    <t>Мартыновский район</t>
  </si>
  <si>
    <t>9203538249</t>
  </si>
  <si>
    <t>0174200005319000025</t>
  </si>
  <si>
    <t>591402170196</t>
  </si>
  <si>
    <t>7203475267</t>
  </si>
  <si>
    <t>541012108218</t>
  </si>
  <si>
    <t>2126000323</t>
  </si>
  <si>
    <t>0315100000319000142</t>
  </si>
  <si>
    <t>5903096398</t>
  </si>
  <si>
    <t>1658115436</t>
  </si>
  <si>
    <t>РН968662</t>
  </si>
  <si>
    <t>[ОКПД2 33.20] Услуги по монтажу промышленных машин и оборудования, [ОКВЭД2 43.29] Производство прочих строительно-монтажных работ</t>
  </si>
  <si>
    <t>6928002273</t>
  </si>
  <si>
    <t>0136300001019000054</t>
  </si>
  <si>
    <t>6906008962</t>
  </si>
  <si>
    <t>0315100000319000141</t>
  </si>
  <si>
    <t>1657220029</t>
  </si>
  <si>
    <t>0174200005319000024</t>
  </si>
  <si>
    <t>7614001182</t>
  </si>
  <si>
    <t>100279353219000024</t>
  </si>
  <si>
    <t>Борисоглебский район</t>
  </si>
  <si>
    <t>0315100000319000144</t>
  </si>
  <si>
    <t>161401492232</t>
  </si>
  <si>
    <t>162201225231</t>
  </si>
  <si>
    <t>0315100000319000143</t>
  </si>
  <si>
    <t>0140300020919000018</t>
  </si>
  <si>
    <t>7708669867</t>
  </si>
  <si>
    <t>4453471</t>
  </si>
  <si>
    <t>100279353219000023</t>
  </si>
  <si>
    <t>5501051559</t>
  </si>
  <si>
    <t>1035168</t>
  </si>
  <si>
    <t>2727025996</t>
  </si>
  <si>
    <t>0322300073619000031</t>
  </si>
  <si>
    <t>2703025027</t>
  </si>
  <si>
    <t>2703022033</t>
  </si>
  <si>
    <t>270398605402</t>
  </si>
  <si>
    <t>31908202643</t>
  </si>
  <si>
    <t>[ОКПД2 27.20] Батареи и аккумуляторы, [ОКВЭД2 27.20] Производство электрических аккумуляторов и аккумуляторных батарей</t>
  </si>
  <si>
    <t>2311040578</t>
  </si>
  <si>
    <t>31908207643</t>
  </si>
  <si>
    <t>[ОКПД2 47.43] Услуги по розничной торговле аудио- и видеотехникой в специализированных магазинах, [ОКВЭД2 47.43] Торговля розничная аудио- и видеотехникой в специализированных магазинах</t>
  </si>
  <si>
    <t>31908207796</t>
  </si>
  <si>
    <t>7708591995</t>
  </si>
  <si>
    <t>31908205923</t>
  </si>
  <si>
    <t>[ОКПД2 80+] Услуги по обеспечению безопасности и проведению расследований, [ОКВЭД2 80.1+] Деятельность частных охранных служб</t>
  </si>
  <si>
    <t>31908207375</t>
  </si>
  <si>
    <t>Реж</t>
  </si>
  <si>
    <t>31908205833</t>
  </si>
  <si>
    <t>[ОКПД2 27.40] Оборудование электрическое осветительное, [ОКВЭД2 27.40] Производство электрических ламп и осветительного оборудования</t>
  </si>
  <si>
    <t>31908205941</t>
  </si>
  <si>
    <t>1321722</t>
  </si>
  <si>
    <t>6381031101</t>
  </si>
  <si>
    <t>100222812219000008</t>
  </si>
  <si>
    <t>100222812219000007</t>
  </si>
  <si>
    <t>6454016404</t>
  </si>
  <si>
    <t>0360200009419000031</t>
  </si>
  <si>
    <t>645392806819</t>
  </si>
  <si>
    <t>645102147740</t>
  </si>
  <si>
    <t>6453138791</t>
  </si>
  <si>
    <t>645209190040</t>
  </si>
  <si>
    <t>6452136350</t>
  </si>
  <si>
    <t>7814723682</t>
  </si>
  <si>
    <t>0372500002819000017</t>
  </si>
  <si>
    <t>7817301819</t>
  </si>
  <si>
    <t>7801506730</t>
  </si>
  <si>
    <t>2466074594</t>
  </si>
  <si>
    <t>0119200000119007367</t>
  </si>
  <si>
    <t>380413081339</t>
  </si>
  <si>
    <t>100068366119000062</t>
  </si>
  <si>
    <t>100015672219000013</t>
  </si>
  <si>
    <t>3908013480</t>
  </si>
  <si>
    <t>0135100005419000196</t>
  </si>
  <si>
    <t>6826000301</t>
  </si>
  <si>
    <t>100029905219000036</t>
  </si>
  <si>
    <t>Моршанск</t>
  </si>
  <si>
    <t>0848300046019000531</t>
  </si>
  <si>
    <t>501106462931</t>
  </si>
  <si>
    <t>5011035974</t>
  </si>
  <si>
    <t>РН968487</t>
  </si>
  <si>
    <t>РН968453</t>
  </si>
  <si>
    <t>5029173573</t>
  </si>
  <si>
    <t>790106</t>
  </si>
  <si>
    <t>1901028067</t>
  </si>
  <si>
    <t>0180100002319000019</t>
  </si>
  <si>
    <t>Абакан</t>
  </si>
  <si>
    <t>2466193520</t>
  </si>
  <si>
    <t>1901068824</t>
  </si>
  <si>
    <t>1901033927</t>
  </si>
  <si>
    <t>2582201</t>
  </si>
  <si>
    <t>2315061385</t>
  </si>
  <si>
    <t>0318100000419000044</t>
  </si>
  <si>
    <t>2311291589</t>
  </si>
  <si>
    <t>6143084970</t>
  </si>
  <si>
    <t>212800053310</t>
  </si>
  <si>
    <t>3460058090</t>
  </si>
  <si>
    <t>5905234244</t>
  </si>
  <si>
    <t>100143632219000018</t>
  </si>
  <si>
    <t>2582093</t>
  </si>
  <si>
    <t>5753040026</t>
  </si>
  <si>
    <t>0154200000719001330</t>
  </si>
  <si>
    <t>5751037395</t>
  </si>
  <si>
    <t>5752076118</t>
  </si>
  <si>
    <t>ATOM15081900035</t>
  </si>
  <si>
    <t>0361500000619000014</t>
  </si>
  <si>
    <t>31908197663</t>
  </si>
  <si>
    <t>2301035890</t>
  </si>
  <si>
    <t>31908203426</t>
  </si>
  <si>
    <t>31908204193</t>
  </si>
  <si>
    <t>SBR035-190015328200203</t>
  </si>
  <si>
    <t>31908201097</t>
  </si>
  <si>
    <t>31908201357</t>
  </si>
  <si>
    <t>3906283160</t>
  </si>
  <si>
    <t>31908205322</t>
  </si>
  <si>
    <t>COM15081900013</t>
  </si>
  <si>
    <t>1320606</t>
  </si>
  <si>
    <t>7811529430</t>
  </si>
  <si>
    <t>0872100001019000229</t>
  </si>
  <si>
    <t>[ОКПД2 27.11] Электродвигатели, генераторы и трансформаторы</t>
  </si>
  <si>
    <t>7811504330</t>
  </si>
  <si>
    <t>0844200001419000041</t>
  </si>
  <si>
    <t>6501076940</t>
  </si>
  <si>
    <t>0361200015019005365</t>
  </si>
  <si>
    <t>2724089575</t>
  </si>
  <si>
    <t>2703080363</t>
  </si>
  <si>
    <t>2720056931</t>
  </si>
  <si>
    <t>6944003531</t>
  </si>
  <si>
    <t>0136300015119000079</t>
  </si>
  <si>
    <t>694401890168</t>
  </si>
  <si>
    <t>8301040019</t>
  </si>
  <si>
    <t>0384200002919000013</t>
  </si>
  <si>
    <t>2983003143</t>
  </si>
  <si>
    <t>2983010670</t>
  </si>
  <si>
    <t>0329100005919000382</t>
  </si>
  <si>
    <t>6510010977</t>
  </si>
  <si>
    <t>0361300027519000188</t>
  </si>
  <si>
    <t>Анивский район</t>
  </si>
  <si>
    <t>6501036841</t>
  </si>
  <si>
    <t>6504020624</t>
  </si>
  <si>
    <t>6501283760</t>
  </si>
  <si>
    <t>9106003953</t>
  </si>
  <si>
    <t>1031366</t>
  </si>
  <si>
    <t>Раздольненский</t>
  </si>
  <si>
    <t>0349300001719000185</t>
  </si>
  <si>
    <t>ATOM14081900140</t>
  </si>
  <si>
    <t>6155027630</t>
  </si>
  <si>
    <t>1030782</t>
  </si>
  <si>
    <t>[ОКПД2 25.40] Оружие и боеприпасы, [ОКПД2 27.20] Батареи и аккумуляторы</t>
  </si>
  <si>
    <t>Шахты</t>
  </si>
  <si>
    <t>5028017187</t>
  </si>
  <si>
    <t>789557</t>
  </si>
  <si>
    <t>6165177233</t>
  </si>
  <si>
    <t>100054775119000187</t>
  </si>
  <si>
    <t>2581755</t>
  </si>
  <si>
    <t>7814046511</t>
  </si>
  <si>
    <t>0372200276519000012</t>
  </si>
  <si>
    <t>6027147361</t>
  </si>
  <si>
    <t>2225066170</t>
  </si>
  <si>
    <t>100271489219000065</t>
  </si>
  <si>
    <t>3666119484</t>
  </si>
  <si>
    <t>100255122219000070</t>
  </si>
  <si>
    <t>100138668119000027</t>
  </si>
  <si>
    <t>0708015220</t>
  </si>
  <si>
    <t>0104400000119000042</t>
  </si>
  <si>
    <t>[ОКПД2 46.18] Услуги по оптовой торговле прочими отдельными товарами за вознаграждение или на договорной основе</t>
  </si>
  <si>
    <t>0711054807</t>
  </si>
  <si>
    <t>100280540119000241</t>
  </si>
  <si>
    <t>0104400000119000043</t>
  </si>
  <si>
    <t>100015672119000024</t>
  </si>
  <si>
    <t>Актанышский район</t>
  </si>
  <si>
    <t>2581610</t>
  </si>
  <si>
    <t>100138668119000026</t>
  </si>
  <si>
    <t>100071729119000022</t>
  </si>
  <si>
    <t>100255122219000069</t>
  </si>
  <si>
    <t>4205100211</t>
  </si>
  <si>
    <t>0339100011319000181</t>
  </si>
  <si>
    <t>[ОКПД2 33.17] Услуги по ремонту и техническому обслуживанию прочих транспортных средств и обо рудования</t>
  </si>
  <si>
    <t>4205209843</t>
  </si>
  <si>
    <t>4205315256</t>
  </si>
  <si>
    <t>4205236283</t>
  </si>
  <si>
    <t>4205373963</t>
  </si>
  <si>
    <t>343911</t>
  </si>
  <si>
    <t>2515002370</t>
  </si>
  <si>
    <t>100051505219000014</t>
  </si>
  <si>
    <t>7710040730</t>
  </si>
  <si>
    <t>31908197984</t>
  </si>
  <si>
    <t>4027008974</t>
  </si>
  <si>
    <t>31908200101</t>
  </si>
  <si>
    <t>1320008</t>
  </si>
  <si>
    <t>2019-739296</t>
  </si>
  <si>
    <t>1319868</t>
  </si>
  <si>
    <t>5047066172</t>
  </si>
  <si>
    <t>1319993</t>
  </si>
  <si>
    <t>31908207699</t>
  </si>
  <si>
    <t>7203139949</t>
  </si>
  <si>
    <t>31908196782</t>
  </si>
  <si>
    <t>5032200347</t>
  </si>
  <si>
    <t>789352</t>
  </si>
  <si>
    <t>1615001057</t>
  </si>
  <si>
    <t>100038420219000032</t>
  </si>
  <si>
    <t>100038420219000031</t>
  </si>
  <si>
    <t>7716567668</t>
  </si>
  <si>
    <t>0373100128219000009</t>
  </si>
  <si>
    <t>1001041227</t>
  </si>
  <si>
    <t>0306200010119000026</t>
  </si>
  <si>
    <t>7820045097</t>
  </si>
  <si>
    <t>0372100027319000024</t>
  </si>
  <si>
    <t>6151005266</t>
  </si>
  <si>
    <t>1029135</t>
  </si>
  <si>
    <t>Новошахтинск</t>
  </si>
  <si>
    <t>5919021101</t>
  </si>
  <si>
    <t>0156300001219000249</t>
  </si>
  <si>
    <t>591903296560</t>
  </si>
  <si>
    <t>5047043175</t>
  </si>
  <si>
    <t>789221</t>
  </si>
  <si>
    <t>9103001267</t>
  </si>
  <si>
    <t>0875100005419000101</t>
  </si>
  <si>
    <t>3825003671</t>
  </si>
  <si>
    <t>0334300009719000047</t>
  </si>
  <si>
    <t>[ОКПД2 86.90] Услуги в области медицины прочие</t>
  </si>
  <si>
    <t>Заларинский район</t>
  </si>
  <si>
    <t>3525157600</t>
  </si>
  <si>
    <t>0130100000319000017</t>
  </si>
  <si>
    <t>5029106714</t>
  </si>
  <si>
    <t>ATOM13081900201</t>
  </si>
  <si>
    <t>0257002433</t>
  </si>
  <si>
    <t>0301300264019000306</t>
  </si>
  <si>
    <t>Бирск</t>
  </si>
  <si>
    <t>5044013302</t>
  </si>
  <si>
    <t>789077</t>
  </si>
  <si>
    <t>2308076609</t>
  </si>
  <si>
    <t>0318200068119000100</t>
  </si>
  <si>
    <t>0105081134</t>
  </si>
  <si>
    <t>2312169863</t>
  </si>
  <si>
    <t>2311235009</t>
  </si>
  <si>
    <t>3808059441</t>
  </si>
  <si>
    <t>0134200000119002803</t>
  </si>
  <si>
    <t>3811091090</t>
  </si>
  <si>
    <t>4235002719</t>
  </si>
  <si>
    <t>100266223119000031</t>
  </si>
  <si>
    <t>Крапивинский район</t>
  </si>
  <si>
    <t>789022</t>
  </si>
  <si>
    <t>ATOM13081900185</t>
  </si>
  <si>
    <t>5007029329</t>
  </si>
  <si>
    <t>788993</t>
  </si>
  <si>
    <t>7706729736</t>
  </si>
  <si>
    <t>ATOM13081900140</t>
  </si>
  <si>
    <t>5610038967</t>
  </si>
  <si>
    <t>0353100002619000011</t>
  </si>
  <si>
    <t>5614009967</t>
  </si>
  <si>
    <t>5612069488</t>
  </si>
  <si>
    <t>5610228968</t>
  </si>
  <si>
    <t>5610118813</t>
  </si>
  <si>
    <t>5610081994</t>
  </si>
  <si>
    <t>0260006893</t>
  </si>
  <si>
    <t>0301200006519000007</t>
  </si>
  <si>
    <t>Илишевский район</t>
  </si>
  <si>
    <t>0278205515</t>
  </si>
  <si>
    <t>1631004961</t>
  </si>
  <si>
    <t>100257899219000040</t>
  </si>
  <si>
    <t>100257899219000041</t>
  </si>
  <si>
    <t>1027140</t>
  </si>
  <si>
    <t>7825706086</t>
  </si>
  <si>
    <t>1318989</t>
  </si>
  <si>
    <t>31908194024</t>
  </si>
  <si>
    <t>1102024468</t>
  </si>
  <si>
    <t>31908194967</t>
  </si>
  <si>
    <t>Ухта</t>
  </si>
  <si>
    <t>7840306212</t>
  </si>
  <si>
    <t>31908193653</t>
  </si>
  <si>
    <t>31908195205</t>
  </si>
  <si>
    <t>[ОКПД2 58.29] Услуги по изданию прочего программного обеспечения, [ОКВЭД2 58.29] Издание прочих программных продуктов</t>
  </si>
  <si>
    <t>1651028343</t>
  </si>
  <si>
    <t>BP00319072</t>
  </si>
  <si>
    <t>3905015270</t>
  </si>
  <si>
    <t>31908241765</t>
  </si>
  <si>
    <t>5025023552</t>
  </si>
  <si>
    <t>31908194460</t>
  </si>
  <si>
    <t>2466114215</t>
  </si>
  <si>
    <t>31908192311</t>
  </si>
  <si>
    <t>1319138</t>
  </si>
  <si>
    <t>1651027910</t>
  </si>
  <si>
    <t>BP00319322</t>
  </si>
  <si>
    <t>1319205</t>
  </si>
  <si>
    <t>8904034784</t>
  </si>
  <si>
    <t>31908195686</t>
  </si>
  <si>
    <t>[ОКПД2 41.20] Здания и работы по возведению зданий, [ОКВЭД2 46.69] Торговля оптовая прочими машинами и оборудованием</t>
  </si>
  <si>
    <t>Новый Уренгой</t>
  </si>
  <si>
    <t>6133002390</t>
  </si>
  <si>
    <t>100152418219000024</t>
  </si>
  <si>
    <t>Тарасовский район</t>
  </si>
  <si>
    <t>1832050502</t>
  </si>
  <si>
    <t>100189089219000022</t>
  </si>
  <si>
    <t>6009001232</t>
  </si>
  <si>
    <t>100027505219000007</t>
  </si>
  <si>
    <t>Невельский район</t>
  </si>
  <si>
    <t>100027505219000008</t>
  </si>
  <si>
    <t>5024033283</t>
  </si>
  <si>
    <t>788525</t>
  </si>
  <si>
    <t>7705502725</t>
  </si>
  <si>
    <t>100264183219000017</t>
  </si>
  <si>
    <t>7814046543</t>
  </si>
  <si>
    <t>0372200108419000018</t>
  </si>
  <si>
    <t>7802210069</t>
  </si>
  <si>
    <t>7734251530</t>
  </si>
  <si>
    <t>0873200009819003863</t>
  </si>
  <si>
    <t>100143130219000072</t>
  </si>
  <si>
    <t>7814104266</t>
  </si>
  <si>
    <t>0372200255719000032</t>
  </si>
  <si>
    <t>5050002154</t>
  </si>
  <si>
    <t>788394</t>
  </si>
  <si>
    <t>6620015826</t>
  </si>
  <si>
    <t>0362300367619000030</t>
  </si>
  <si>
    <t>6685156423</t>
  </si>
  <si>
    <t>6684000920</t>
  </si>
  <si>
    <t>6677006632</t>
  </si>
  <si>
    <t>1619006521</t>
  </si>
  <si>
    <t>100093673219000011</t>
  </si>
  <si>
    <t>2580672</t>
  </si>
  <si>
    <t>6658416070</t>
  </si>
  <si>
    <t>0862100000819000149</t>
  </si>
  <si>
    <t>6671403200</t>
  </si>
  <si>
    <t>9709019150</t>
  </si>
  <si>
    <t>100093673219000010</t>
  </si>
  <si>
    <t>100266223119000030</t>
  </si>
  <si>
    <t>2501001792</t>
  </si>
  <si>
    <t>100004690219000010</t>
  </si>
  <si>
    <t>507375</t>
  </si>
  <si>
    <t>5003026493</t>
  </si>
  <si>
    <t>SBR028-1908120001</t>
  </si>
  <si>
    <t>7704758153</t>
  </si>
  <si>
    <t>393198</t>
  </si>
  <si>
    <t>3906025507</t>
  </si>
  <si>
    <t>31908190808</t>
  </si>
  <si>
    <t>7719061340</t>
  </si>
  <si>
    <t>31908190862</t>
  </si>
  <si>
    <t>9204001440</t>
  </si>
  <si>
    <t>31908189412</t>
  </si>
  <si>
    <t>3435000442</t>
  </si>
  <si>
    <t>31908191608</t>
  </si>
  <si>
    <t>COM12081900029</t>
  </si>
  <si>
    <t>5047045503</t>
  </si>
  <si>
    <t>788143</t>
  </si>
  <si>
    <t>8301020196</t>
  </si>
  <si>
    <t>1023729</t>
  </si>
  <si>
    <t>0811500001019000062</t>
  </si>
  <si>
    <t>1656104407</t>
  </si>
  <si>
    <t>1661003281</t>
  </si>
  <si>
    <t>7603071484</t>
  </si>
  <si>
    <t>0371500000619000248</t>
  </si>
  <si>
    <t>7604348964</t>
  </si>
  <si>
    <t>5228056666</t>
  </si>
  <si>
    <t>0832300001419000218</t>
  </si>
  <si>
    <t>Семенов</t>
  </si>
  <si>
    <t>5258122884</t>
  </si>
  <si>
    <t>7814046840</t>
  </si>
  <si>
    <t>0372200017619000009</t>
  </si>
  <si>
    <t>7813601882</t>
  </si>
  <si>
    <t>7814046423</t>
  </si>
  <si>
    <t>0372200048919000019</t>
  </si>
  <si>
    <t>3800000140</t>
  </si>
  <si>
    <t>0334100007519000119</t>
  </si>
  <si>
    <t>0334100007519000120</t>
  </si>
  <si>
    <t>0334100007519000118</t>
  </si>
  <si>
    <t>4703125515</t>
  </si>
  <si>
    <t>0845300007519000002</t>
  </si>
  <si>
    <t>[ОКПД2 46.69] Услуги по оптовой торговле прочими машинами и оборудованием, [ОКПД2 43.99] Работы строительные специализированные, не включенные в другие группировки, [ОКПД2 33.17] Услуги по ремонту и техническому обслуживанию прочих транспортных средств и обо рудования</t>
  </si>
  <si>
    <t>490909575942</t>
  </si>
  <si>
    <t>7709952066</t>
  </si>
  <si>
    <t>100042723219000010</t>
  </si>
  <si>
    <t>3528011091</t>
  </si>
  <si>
    <t>0130200002419002789</t>
  </si>
  <si>
    <t>Череповец</t>
  </si>
  <si>
    <t>3525319106</t>
  </si>
  <si>
    <t>3528194430</t>
  </si>
  <si>
    <t>5034084150</t>
  </si>
  <si>
    <t>787851</t>
  </si>
  <si>
    <t>5440110155</t>
  </si>
  <si>
    <t>1023103</t>
  </si>
  <si>
    <t>Черепановский район</t>
  </si>
  <si>
    <t>0316100007219000075</t>
  </si>
  <si>
    <t>5643022352</t>
  </si>
  <si>
    <t>0811500001019000057</t>
  </si>
  <si>
    <t>[ОКПД2 32.40] Игры и игрушки</t>
  </si>
  <si>
    <t>165116807160</t>
  </si>
  <si>
    <t>4804003217</t>
  </si>
  <si>
    <t>0346300117719000162</t>
  </si>
  <si>
    <t>6162070926</t>
  </si>
  <si>
    <t>5007025187</t>
  </si>
  <si>
    <t>787820</t>
  </si>
  <si>
    <t>5032036721</t>
  </si>
  <si>
    <t>787758</t>
  </si>
  <si>
    <t>8907000920</t>
  </si>
  <si>
    <t>0190300002719000336</t>
  </si>
  <si>
    <t>8901033503</t>
  </si>
  <si>
    <t>6134009983</t>
  </si>
  <si>
    <t>1022376</t>
  </si>
  <si>
    <t>Тацинский район</t>
  </si>
  <si>
    <t>800208169</t>
  </si>
  <si>
    <t>8301020319</t>
  </si>
  <si>
    <t>1022379</t>
  </si>
  <si>
    <t>2313010410</t>
  </si>
  <si>
    <t>100283562119000025</t>
  </si>
  <si>
    <t>Кропоткин</t>
  </si>
  <si>
    <t>100283562119000026</t>
  </si>
  <si>
    <t>9203535199</t>
  </si>
  <si>
    <t>0174200002019000269</t>
  </si>
  <si>
    <t>3664235598</t>
  </si>
  <si>
    <t>6150070600</t>
  </si>
  <si>
    <t>7712005121</t>
  </si>
  <si>
    <t>8602284178</t>
  </si>
  <si>
    <t>100283562119000027</t>
  </si>
  <si>
    <t>20324</t>
  </si>
  <si>
    <t>0162300005319002893</t>
  </si>
  <si>
    <t>8601024730</t>
  </si>
  <si>
    <t>1021842</t>
  </si>
  <si>
    <t>6639019528</t>
  </si>
  <si>
    <t>ATOM09081900021</t>
  </si>
  <si>
    <t>5506024830</t>
  </si>
  <si>
    <t>100123707219000009</t>
  </si>
  <si>
    <t>1833034221</t>
  </si>
  <si>
    <t>100131086219000023</t>
  </si>
  <si>
    <t>1316648</t>
  </si>
  <si>
    <t>100004690119000023</t>
  </si>
  <si>
    <t>100004690119000024</t>
  </si>
  <si>
    <t>7449006730</t>
  </si>
  <si>
    <t>1317162</t>
  </si>
  <si>
    <t>0811500001019000056</t>
  </si>
  <si>
    <t>[ОКПД2 32.30] Товары спортивные</t>
  </si>
  <si>
    <t>323305134206</t>
  </si>
  <si>
    <t>165604390138</t>
  </si>
  <si>
    <t>0811500001019000055</t>
  </si>
  <si>
    <t>598063</t>
  </si>
  <si>
    <t>5022026435</t>
  </si>
  <si>
    <t>787531</t>
  </si>
  <si>
    <t>4725002972</t>
  </si>
  <si>
    <t>0845300014819000647</t>
  </si>
  <si>
    <t>Ломоносовский район</t>
  </si>
  <si>
    <t>7807208715</t>
  </si>
  <si>
    <t>4705069418</t>
  </si>
  <si>
    <t>7814046600</t>
  </si>
  <si>
    <t>0372200190219000014</t>
  </si>
  <si>
    <t>7801171882</t>
  </si>
  <si>
    <t>7453156217</t>
  </si>
  <si>
    <t>0169100000819000041</t>
  </si>
  <si>
    <t>6418008052</t>
  </si>
  <si>
    <t>0360300129919000092</t>
  </si>
  <si>
    <t>Краснопартизанский район</t>
  </si>
  <si>
    <t>6449084952</t>
  </si>
  <si>
    <t>641800293303</t>
  </si>
  <si>
    <t>645406929860</t>
  </si>
  <si>
    <t>1500000177</t>
  </si>
  <si>
    <t>506945</t>
  </si>
  <si>
    <t>9204022136</t>
  </si>
  <si>
    <t>0374200000419000448</t>
  </si>
  <si>
    <t>4501105442</t>
  </si>
  <si>
    <t>9104000925</t>
  </si>
  <si>
    <t>9203003821</t>
  </si>
  <si>
    <t>2466268960</t>
  </si>
  <si>
    <t>3127094492</t>
  </si>
  <si>
    <t>1020686</t>
  </si>
  <si>
    <t>Губкин</t>
  </si>
  <si>
    <t>0130300006919000172</t>
  </si>
  <si>
    <t>3525150820</t>
  </si>
  <si>
    <t>6624002634</t>
  </si>
  <si>
    <t>0362100032919000008</t>
  </si>
  <si>
    <t>Нижняя Тура</t>
  </si>
  <si>
    <t>6630005270</t>
  </si>
  <si>
    <t>662400119506</t>
  </si>
  <si>
    <t>100271283219000007</t>
  </si>
  <si>
    <t>6908002211</t>
  </si>
  <si>
    <t>100110016219000011</t>
  </si>
  <si>
    <t>2452002423</t>
  </si>
  <si>
    <t>100152227219000016</t>
  </si>
  <si>
    <t>Железногорск</t>
  </si>
  <si>
    <t>100271283219000006</t>
  </si>
  <si>
    <t>100272529119000035</t>
  </si>
  <si>
    <t>5050046426</t>
  </si>
  <si>
    <t>787259</t>
  </si>
  <si>
    <t>5246039134</t>
  </si>
  <si>
    <t>0332300349519000252</t>
  </si>
  <si>
    <t>5246028855</t>
  </si>
  <si>
    <t>5256148132</t>
  </si>
  <si>
    <t>100082432219000075</t>
  </si>
  <si>
    <t>4018007607</t>
  </si>
  <si>
    <t>100137699119000016</t>
  </si>
  <si>
    <t>Тарусский район</t>
  </si>
  <si>
    <t>100272529119000034</t>
  </si>
  <si>
    <t>5036124337</t>
  </si>
  <si>
    <t>0848300062219001130</t>
  </si>
  <si>
    <t>615147428291</t>
  </si>
  <si>
    <t>5040076693</t>
  </si>
  <si>
    <t>4338002291</t>
  </si>
  <si>
    <t>0340300069919000035</t>
  </si>
  <si>
    <t>Юрьянский район</t>
  </si>
  <si>
    <t>7709380500</t>
  </si>
  <si>
    <t>0338300044119000031</t>
  </si>
  <si>
    <t>2443005570</t>
  </si>
  <si>
    <t>1315614</t>
  </si>
  <si>
    <t>[ОКПД2 16.23] Изделия деревянные строительные и столярные прочие</t>
  </si>
  <si>
    <t>Шарыпово</t>
  </si>
  <si>
    <t>7422000629</t>
  </si>
  <si>
    <t>100286706219000033</t>
  </si>
  <si>
    <t>1315620</t>
  </si>
  <si>
    <t>100286706219000032</t>
  </si>
  <si>
    <t>3525155049</t>
  </si>
  <si>
    <t>0330200001219000027</t>
  </si>
  <si>
    <t>3525374160</t>
  </si>
  <si>
    <t>6658462742</t>
  </si>
  <si>
    <t>5440115322</t>
  </si>
  <si>
    <t>1019017</t>
  </si>
  <si>
    <t>[ОКПД2 26.20] Компьютеры и периферийное оборудование, [ОКПД2 26.51] Оборудование для измерения, испытаний и навигации</t>
  </si>
  <si>
    <t>5050010740</t>
  </si>
  <si>
    <t>0148300050419000124</t>
  </si>
  <si>
    <t>7716520934</t>
  </si>
  <si>
    <t>2721172546</t>
  </si>
  <si>
    <t>100013694219000005</t>
  </si>
  <si>
    <t>0411006464</t>
  </si>
  <si>
    <t>100252894219000010</t>
  </si>
  <si>
    <t>6312139922</t>
  </si>
  <si>
    <t>31908181510</t>
  </si>
  <si>
    <t>[ОКПД2 96.09] Услуги персональные прочие, не включенные в другие группировки, [ОКВЭД2 96.09] Предоставление прочих персональных услуг, не включенных в другие группировки</t>
  </si>
  <si>
    <t>6439036300</t>
  </si>
  <si>
    <t>31908179666</t>
  </si>
  <si>
    <t>0174300001419000025</t>
  </si>
  <si>
    <t>5215009370</t>
  </si>
  <si>
    <t>100305169119000017</t>
  </si>
  <si>
    <t>Дальнеконстантиновский район</t>
  </si>
  <si>
    <t>7718123097</t>
  </si>
  <si>
    <t>0373100037419000020</t>
  </si>
  <si>
    <t>5029130280</t>
  </si>
  <si>
    <t>5029166255</t>
  </si>
  <si>
    <t>7734255090</t>
  </si>
  <si>
    <t>0373100077619000038</t>
  </si>
  <si>
    <t>7810268545</t>
  </si>
  <si>
    <t>6317021642</t>
  </si>
  <si>
    <t>100122412219000010</t>
  </si>
  <si>
    <t>0373200082119000454</t>
  </si>
  <si>
    <t>РН932997</t>
  </si>
  <si>
    <t>7826717877</t>
  </si>
  <si>
    <t>0372200033619000024</t>
  </si>
  <si>
    <t>3025026704</t>
  </si>
  <si>
    <t>7806534191</t>
  </si>
  <si>
    <t>026603723123</t>
  </si>
  <si>
    <t>0319102021</t>
  </si>
  <si>
    <t>0302300010519000015</t>
  </si>
  <si>
    <t>Тарбагатайский район</t>
  </si>
  <si>
    <t>0326023772</t>
  </si>
  <si>
    <t>0323118539</t>
  </si>
  <si>
    <t>7717687510</t>
  </si>
  <si>
    <t>РН932996</t>
  </si>
  <si>
    <t>[ОКПД2 62.02] Услуги консультативные, связанные с компьютерной техникой, [ОКВЭД2 63.11] Деятельность по обработке данных, предоставление услуг по размещению информации и связанная с этим деятельность</t>
  </si>
  <si>
    <t>5025021481</t>
  </si>
  <si>
    <t>786891</t>
  </si>
  <si>
    <t>5009029927</t>
  </si>
  <si>
    <t>786789</t>
  </si>
  <si>
    <t>Домодедово</t>
  </si>
  <si>
    <t>8901026873</t>
  </si>
  <si>
    <t>0190100003619000070</t>
  </si>
  <si>
    <t>[ОКПД2 45.31] Услуги по оптовой торговле автомобильными деталями, узлами и принадлежностями, [ОКПД2 29.31] Оборудование электрическое и электронное для автотранспортных средств, [ОКПД2 29.32] Комплектующие и принадлежности для автотранспортных средств прочие, [ОКПД2 22.19] Изделия из резины прочие, [ОКПД2 28.13] Насосы и компрессоры прочие</t>
  </si>
  <si>
    <t>8905047225</t>
  </si>
  <si>
    <t>7448171019</t>
  </si>
  <si>
    <t>7452136521</t>
  </si>
  <si>
    <t>7708119944</t>
  </si>
  <si>
    <t>4590-19-Т-МП-МП</t>
  </si>
  <si>
    <t>786703</t>
  </si>
  <si>
    <t>ATOM07081900117</t>
  </si>
  <si>
    <t>9204007681</t>
  </si>
  <si>
    <t>0874200000119000047</t>
  </si>
  <si>
    <t>632142221491</t>
  </si>
  <si>
    <t>5403359095</t>
  </si>
  <si>
    <t>7805620200</t>
  </si>
  <si>
    <t>1315014</t>
  </si>
  <si>
    <t>100110016119000048</t>
  </si>
  <si>
    <t>5102007406</t>
  </si>
  <si>
    <t>100287705219000008</t>
  </si>
  <si>
    <t>0276143260</t>
  </si>
  <si>
    <t>0101500000319001396</t>
  </si>
  <si>
    <t>0274171978</t>
  </si>
  <si>
    <t>7723565630</t>
  </si>
  <si>
    <t>7841494640</t>
  </si>
  <si>
    <t>0373200566319000014</t>
  </si>
  <si>
    <t>7728212500</t>
  </si>
  <si>
    <t>9723003923</t>
  </si>
  <si>
    <t>5503207723</t>
  </si>
  <si>
    <t>100159802119000029</t>
  </si>
  <si>
    <t>100051505119000021</t>
  </si>
  <si>
    <t>Кавалеровский район</t>
  </si>
  <si>
    <t>7214008994</t>
  </si>
  <si>
    <t>100136356119000023</t>
  </si>
  <si>
    <t>Голышмановский район</t>
  </si>
  <si>
    <t>2710007607</t>
  </si>
  <si>
    <t>100195403219000028</t>
  </si>
  <si>
    <t>Верхнебуреинский район</t>
  </si>
  <si>
    <t>100195403219000027</t>
  </si>
  <si>
    <t>31908175283</t>
  </si>
  <si>
    <t>31908175055</t>
  </si>
  <si>
    <t>1901022788</t>
  </si>
  <si>
    <t>31908176082</t>
  </si>
  <si>
    <t>5022030086</t>
  </si>
  <si>
    <t>786480</t>
  </si>
  <si>
    <t>7727260438</t>
  </si>
  <si>
    <t>0373200577519000051</t>
  </si>
  <si>
    <t>7733106106</t>
  </si>
  <si>
    <t>7727393808</t>
  </si>
  <si>
    <t>0263002304</t>
  </si>
  <si>
    <t>100261702119000018</t>
  </si>
  <si>
    <t>Мелеуз</t>
  </si>
  <si>
    <t>100261702119000017</t>
  </si>
  <si>
    <t>2579197</t>
  </si>
  <si>
    <t>317726</t>
  </si>
  <si>
    <t>ATOM06081900258</t>
  </si>
  <si>
    <t>7133002899</t>
  </si>
  <si>
    <t>0366200035619005545</t>
  </si>
  <si>
    <t>Суворовский район</t>
  </si>
  <si>
    <t>7743176470</t>
  </si>
  <si>
    <t>712701346119</t>
  </si>
  <si>
    <t>0274101138</t>
  </si>
  <si>
    <t>0301100027819000150</t>
  </si>
  <si>
    <t>317803</t>
  </si>
  <si>
    <t>6215006733</t>
  </si>
  <si>
    <t>100262132119000035</t>
  </si>
  <si>
    <t>100262132119000036</t>
  </si>
  <si>
    <t>100082432219000056</t>
  </si>
  <si>
    <t>0373200063119000350</t>
  </si>
  <si>
    <t>504305138702</t>
  </si>
  <si>
    <t>331402812509</t>
  </si>
  <si>
    <t>7725847083</t>
  </si>
  <si>
    <t>1015246</t>
  </si>
  <si>
    <t>Стрежевой</t>
  </si>
  <si>
    <t>5219001533</t>
  </si>
  <si>
    <t>100184162219000015</t>
  </si>
  <si>
    <t>0851100001919000651</t>
  </si>
  <si>
    <t>0201000530</t>
  </si>
  <si>
    <t>100305660219000008</t>
  </si>
  <si>
    <t>Абзелиловский район</t>
  </si>
  <si>
    <t>ATOM06081900121</t>
  </si>
  <si>
    <t>317789</t>
  </si>
  <si>
    <t>7814485741</t>
  </si>
  <si>
    <t>0372200279219000014</t>
  </si>
  <si>
    <t>9109000020</t>
  </si>
  <si>
    <t>100280488219000009</t>
  </si>
  <si>
    <t>6664003909</t>
  </si>
  <si>
    <t>2578928</t>
  </si>
  <si>
    <t>[ОКПД2 74.20] Услуги в области фотографии, [ОКПД2 59.12] Услуги по редактированию отснятых материалов кинофильмов и видеофильмов и по компоновке телевизионных программ, [ОКПД2 59.11] Услуги по производству кинофильмов, видеофильмов и телевизионных программ</t>
  </si>
  <si>
    <t>100255122219000058</t>
  </si>
  <si>
    <t>5406132409</t>
  </si>
  <si>
    <t>100159658219000015</t>
  </si>
  <si>
    <t>100193569219000042</t>
  </si>
  <si>
    <t>5047125572</t>
  </si>
  <si>
    <t>1313569</t>
  </si>
  <si>
    <t>100195403219000021</t>
  </si>
  <si>
    <t>100195403219000022</t>
  </si>
  <si>
    <t>5020072193</t>
  </si>
  <si>
    <t>785874</t>
  </si>
  <si>
    <t>Клин</t>
  </si>
  <si>
    <t>100266223119000020</t>
  </si>
  <si>
    <t>31908173563</t>
  </si>
  <si>
    <t>31908173392</t>
  </si>
  <si>
    <t>31908173512</t>
  </si>
  <si>
    <t>31908173286</t>
  </si>
  <si>
    <t>2538017661</t>
  </si>
  <si>
    <t>0320100004219000022</t>
  </si>
  <si>
    <t>[ОКПД2 95.11] Услуги по ремонту компьютеров и периферийного оборудования</t>
  </si>
  <si>
    <t>2536273162</t>
  </si>
  <si>
    <t>6668011890</t>
  </si>
  <si>
    <t>0162200011819002137</t>
  </si>
  <si>
    <t>662331326403</t>
  </si>
  <si>
    <t>6658501254</t>
  </si>
  <si>
    <t>0316100000619000132</t>
  </si>
  <si>
    <t>1435246770</t>
  </si>
  <si>
    <t>5403358542</t>
  </si>
  <si>
    <t>7802595490</t>
  </si>
  <si>
    <t>5259069305</t>
  </si>
  <si>
    <t>7608015998</t>
  </si>
  <si>
    <t>0171300012019000072</t>
  </si>
  <si>
    <t>Переславль-Залесский</t>
  </si>
  <si>
    <t>7604070998</t>
  </si>
  <si>
    <t>7608012725</t>
  </si>
  <si>
    <t>1511011269</t>
  </si>
  <si>
    <t>0310200000319002452</t>
  </si>
  <si>
    <t>1513061240</t>
  </si>
  <si>
    <t>1513043890</t>
  </si>
  <si>
    <t>1829008035</t>
  </si>
  <si>
    <t>2578613</t>
  </si>
  <si>
    <t>Глазов</t>
  </si>
  <si>
    <t>ATOM05081900177</t>
  </si>
  <si>
    <t>5030011224</t>
  </si>
  <si>
    <t>100208478219000026</t>
  </si>
  <si>
    <t>1313412</t>
  </si>
  <si>
    <t>0873200009819003742</t>
  </si>
  <si>
    <t>9710037379</t>
  </si>
  <si>
    <t>7706795376</t>
  </si>
  <si>
    <t>6345021570</t>
  </si>
  <si>
    <t>0142300006219000108</t>
  </si>
  <si>
    <t>Жигулевск</t>
  </si>
  <si>
    <t>634500159313</t>
  </si>
  <si>
    <t>1657125600</t>
  </si>
  <si>
    <t>6321413924</t>
  </si>
  <si>
    <t>634500678100</t>
  </si>
  <si>
    <t>6321417020</t>
  </si>
  <si>
    <t>1831165109</t>
  </si>
  <si>
    <t>6322029904</t>
  </si>
  <si>
    <t>6321409710</t>
  </si>
  <si>
    <t>6350024150</t>
  </si>
  <si>
    <t>6312132525</t>
  </si>
  <si>
    <t>2130096040</t>
  </si>
  <si>
    <t>6345024807</t>
  </si>
  <si>
    <t>6321456420</t>
  </si>
  <si>
    <t>632142545104</t>
  </si>
  <si>
    <t>100054775119000168</t>
  </si>
  <si>
    <t>7810151836</t>
  </si>
  <si>
    <t>0372200185119000010</t>
  </si>
  <si>
    <t>7811532873</t>
  </si>
  <si>
    <t>7802730325</t>
  </si>
  <si>
    <t>7814430118</t>
  </si>
  <si>
    <t>7805728853</t>
  </si>
  <si>
    <t>7840437582</t>
  </si>
  <si>
    <t>7842472712</t>
  </si>
  <si>
    <t>7838454372</t>
  </si>
  <si>
    <t>1313222</t>
  </si>
  <si>
    <t>ATOM05081900111</t>
  </si>
  <si>
    <t>6140019154</t>
  </si>
  <si>
    <t>1011698</t>
  </si>
  <si>
    <t>Азов</t>
  </si>
  <si>
    <t>6153017820</t>
  </si>
  <si>
    <t>1006596</t>
  </si>
  <si>
    <t>[ОКПД2 26.20] Компьютеры и периферийное оборудование, [ОКПД2 26.40] Техника бытовая электронная, [ОКПД2 25.94] Изделия крепежные и винты крепежные, [ОКПД2 43.21] Работы электромонтажные</t>
  </si>
  <si>
    <t>Сальский район</t>
  </si>
  <si>
    <t>6153018165</t>
  </si>
  <si>
    <t>1011764</t>
  </si>
  <si>
    <t>[ОКПД2 25.94] Изделия крепежные и винты крепежные, [ОКПД2 26.40] Техника бытовая электронная, [ОКПД2 26.20] Компьютеры и периферийное оборудование, [ОКПД2 43.21] Работы электромонтажные</t>
  </si>
  <si>
    <t>2578461</t>
  </si>
  <si>
    <t>[ОКПД2 22.29] Изделия пластмассовые прочие</t>
  </si>
  <si>
    <t>5617005618</t>
  </si>
  <si>
    <t>100173789219000004</t>
  </si>
  <si>
    <t>Сорочинск</t>
  </si>
  <si>
    <t>SBR035-190015265400045</t>
  </si>
  <si>
    <t>7450001007</t>
  </si>
  <si>
    <t>ГП908254</t>
  </si>
  <si>
    <t>100173789219000005</t>
  </si>
  <si>
    <t>5506037614</t>
  </si>
  <si>
    <t>1011516</t>
  </si>
  <si>
    <t>5077025991</t>
  </si>
  <si>
    <t>785406</t>
  </si>
  <si>
    <t>2314019180</t>
  </si>
  <si>
    <t>31908169626</t>
  </si>
  <si>
    <t>31908168763</t>
  </si>
  <si>
    <t>7805018099</t>
  </si>
  <si>
    <t>31908168765</t>
  </si>
  <si>
    <t>31908169549</t>
  </si>
  <si>
    <t>7712045131</t>
  </si>
  <si>
    <t>31908170048</t>
  </si>
  <si>
    <t>31908168745</t>
  </si>
  <si>
    <t>2309076859</t>
  </si>
  <si>
    <t>0318100021219000063</t>
  </si>
  <si>
    <t>COM03081900012</t>
  </si>
  <si>
    <t>COM03081900010</t>
  </si>
  <si>
    <t>100054775119000167</t>
  </si>
  <si>
    <t>100054775119000166</t>
  </si>
  <si>
    <t>0844200001419000040</t>
  </si>
  <si>
    <t>100273363119000042</t>
  </si>
  <si>
    <t>РН920853</t>
  </si>
  <si>
    <t>4207014720</t>
  </si>
  <si>
    <t>0139100004819000034</t>
  </si>
  <si>
    <t>4205098114</t>
  </si>
  <si>
    <t>7703651760</t>
  </si>
  <si>
    <t>5904100431</t>
  </si>
  <si>
    <t>0356200022519000016</t>
  </si>
  <si>
    <t>5908046440</t>
  </si>
  <si>
    <t>5903089577</t>
  </si>
  <si>
    <t>5908047740</t>
  </si>
  <si>
    <t>5906054124</t>
  </si>
  <si>
    <t>5902871968</t>
  </si>
  <si>
    <t>5903955561</t>
  </si>
  <si>
    <t>6013006265</t>
  </si>
  <si>
    <t>100191426219000006</t>
  </si>
  <si>
    <t>Островский район</t>
  </si>
  <si>
    <t>7202198042</t>
  </si>
  <si>
    <t>100147422219000019</t>
  </si>
  <si>
    <t>100286706119000035</t>
  </si>
  <si>
    <t>1010293</t>
  </si>
  <si>
    <t>317499</t>
  </si>
  <si>
    <t>100286706119000034</t>
  </si>
  <si>
    <t>0105043890</t>
  </si>
  <si>
    <t>100281469219000030</t>
  </si>
  <si>
    <t>0144300004019000641</t>
  </si>
  <si>
    <t>100147422219000020</t>
  </si>
  <si>
    <t>4632098319</t>
  </si>
  <si>
    <t>0344200027719000031</t>
  </si>
  <si>
    <t>4632049270</t>
  </si>
  <si>
    <t>0873200009819003737</t>
  </si>
  <si>
    <t>7729715899</t>
  </si>
  <si>
    <t>5256146449</t>
  </si>
  <si>
    <t>100255122219000057</t>
  </si>
  <si>
    <t>2127305110</t>
  </si>
  <si>
    <t>1009929</t>
  </si>
  <si>
    <t>0154200000719001269</t>
  </si>
  <si>
    <t>Орёл</t>
  </si>
  <si>
    <t>7703204586</t>
  </si>
  <si>
    <t>0373100047019000045</t>
  </si>
  <si>
    <t>7714953210</t>
  </si>
  <si>
    <t>7707089101</t>
  </si>
  <si>
    <t>100018641219000028</t>
  </si>
  <si>
    <t>100018641219000026</t>
  </si>
  <si>
    <t>100018641219000027</t>
  </si>
  <si>
    <t>7707089084</t>
  </si>
  <si>
    <t>0173200000519000016</t>
  </si>
  <si>
    <t>[ОКПД2 33.13] Услуги по ремонту электронного и оптического оборудования, [ОКПД2 33.14] Услуги по ремонту электрического оборудования</t>
  </si>
  <si>
    <t>7724595820</t>
  </si>
  <si>
    <t>7723690207</t>
  </si>
  <si>
    <t>7814514760</t>
  </si>
  <si>
    <t>0372200281519000017</t>
  </si>
  <si>
    <t>100018641219000025</t>
  </si>
  <si>
    <t>5078002404</t>
  </si>
  <si>
    <t>784945</t>
  </si>
  <si>
    <t>Талдомский район</t>
  </si>
  <si>
    <t>7814046649</t>
  </si>
  <si>
    <t>0372200058419000019</t>
  </si>
  <si>
    <t>1435155072</t>
  </si>
  <si>
    <t>100309355219000031</t>
  </si>
  <si>
    <t>2330020464</t>
  </si>
  <si>
    <t>0318300469019000237</t>
  </si>
  <si>
    <t>Динской район</t>
  </si>
  <si>
    <t>2308059160</t>
  </si>
  <si>
    <t>6453144957</t>
  </si>
  <si>
    <t>7702516575</t>
  </si>
  <si>
    <t>4824019840</t>
  </si>
  <si>
    <t>0346200007219000013</t>
  </si>
  <si>
    <t>4824062330</t>
  </si>
  <si>
    <t>4824057316</t>
  </si>
  <si>
    <t>3327819001</t>
  </si>
  <si>
    <t>100104445219000035</t>
  </si>
  <si>
    <t>6660008159</t>
  </si>
  <si>
    <t>31908164566</t>
  </si>
  <si>
    <t>[ОКПД2 43.2+] Работы электромонтажные, работы по монтажу водопроводных и канализационных систем и прочие строительно-монтажные работы, [ОКВЭД2 43.2+] Производство электромонтажных, санитарно-технических и прочих строительно-монтажных работ</t>
  </si>
  <si>
    <t>31908164562</t>
  </si>
  <si>
    <t>2019-736289</t>
  </si>
  <si>
    <t>7727656790</t>
  </si>
  <si>
    <t>31908166051</t>
  </si>
  <si>
    <t>2019-736592</t>
  </si>
  <si>
    <t>5716001011</t>
  </si>
  <si>
    <t>0354300069419000026</t>
  </si>
  <si>
    <t>Малоархангельский район</t>
  </si>
  <si>
    <t>100287705119000011</t>
  </si>
  <si>
    <t>7708652888</t>
  </si>
  <si>
    <t>0325100016919000026</t>
  </si>
  <si>
    <t>3025015117</t>
  </si>
  <si>
    <t>3019007943</t>
  </si>
  <si>
    <t>100107798219000203</t>
  </si>
  <si>
    <t>1311755</t>
  </si>
  <si>
    <t>1215061478</t>
  </si>
  <si>
    <t>100070470219000025</t>
  </si>
  <si>
    <t>[ОКПД2 27.33] Изделия электроустановочные, [ОКПД2 27.32] Провода и кабели электронные и электрические прочие, [ОКПД2 28.29] Машины и оборудование общего назначения прочие, не включенные в другие группировки, [ОКПД2 28.24] Инструменты ручные с механизированным приводом, [ОКПД2 27.20] Батареи и аккумуляторы, [ОКПД2 22.29] Изделия пластмассовые прочие</t>
  </si>
  <si>
    <t>0562072003</t>
  </si>
  <si>
    <t>0303100003819000005</t>
  </si>
  <si>
    <t>6335006742</t>
  </si>
  <si>
    <t>0342300119019000038</t>
  </si>
  <si>
    <t>Чапаевск</t>
  </si>
  <si>
    <t>5007049300</t>
  </si>
  <si>
    <t>784540</t>
  </si>
  <si>
    <t>7021018851</t>
  </si>
  <si>
    <t>100285936219000011</t>
  </si>
  <si>
    <t>100053267119000032</t>
  </si>
  <si>
    <t>7703773127</t>
  </si>
  <si>
    <t>100049345119000113</t>
  </si>
  <si>
    <t>5405100316</t>
  </si>
  <si>
    <t>0851200000619004321</t>
  </si>
  <si>
    <t>5410080270</t>
  </si>
  <si>
    <t>0851200000619004323</t>
  </si>
  <si>
    <t>100305660119000013</t>
  </si>
  <si>
    <t>7444049924</t>
  </si>
  <si>
    <t>1006500</t>
  </si>
  <si>
    <t>2706009070</t>
  </si>
  <si>
    <t>100128127119000143</t>
  </si>
  <si>
    <t>7022013599</t>
  </si>
  <si>
    <t>РН920086</t>
  </si>
  <si>
    <t>7725618950</t>
  </si>
  <si>
    <t>31908162418</t>
  </si>
  <si>
    <t>[ОКПД2 26.40] Техника бытовая электронная, [ОКПД2 26.20] Компьютеры и периферийное оборудование, [ОКПД2 27.32] Провода и кабели электронные и электрические прочие, [ОКВЭД2 26.40] Производство бытовой электроники, [ОКВЭД2 26.20] Производство компьютеров и периферийного оборудования, [ОКВЭД2 27.32] Производство прочих проводов и кабелей для электронного и электрического оборудования</t>
  </si>
  <si>
    <t>1651028431</t>
  </si>
  <si>
    <t>BP00313024</t>
  </si>
  <si>
    <t>7715027275</t>
  </si>
  <si>
    <t>31908161344</t>
  </si>
  <si>
    <t>1830011681</t>
  </si>
  <si>
    <t>31908160702</t>
  </si>
  <si>
    <t>6669005748</t>
  </si>
  <si>
    <t>31908160275</t>
  </si>
  <si>
    <t>1651028174</t>
  </si>
  <si>
    <t>BP00313294</t>
  </si>
  <si>
    <t>0832200006619001175</t>
  </si>
  <si>
    <t>2308251770</t>
  </si>
  <si>
    <t>4501220491</t>
  </si>
  <si>
    <t>2348014729</t>
  </si>
  <si>
    <t>0318300165719000455</t>
  </si>
  <si>
    <t>1809905140</t>
  </si>
  <si>
    <t>7204149900</t>
  </si>
  <si>
    <t>0167300000519000941</t>
  </si>
  <si>
    <t>7203442938</t>
  </si>
  <si>
    <t>2309090540</t>
  </si>
  <si>
    <t>100107434219000066</t>
  </si>
  <si>
    <t>0111300029819000117</t>
  </si>
  <si>
    <t>1681000024</t>
  </si>
  <si>
    <t>0573100002519000820</t>
  </si>
  <si>
    <t>6910005259</t>
  </si>
  <si>
    <t>0136200003619004615</t>
  </si>
  <si>
    <t>Кимры</t>
  </si>
  <si>
    <t>6901005044</t>
  </si>
  <si>
    <t>6950174944</t>
  </si>
  <si>
    <t>6905013310</t>
  </si>
  <si>
    <t>0836600003319000554</t>
  </si>
  <si>
    <t>3128028189</t>
  </si>
  <si>
    <t>1005356</t>
  </si>
  <si>
    <t>[ОКПД2 26.40] Техника бытовая электронная, [ОКПД2 26.20] Компьютеры и периферийное оборудование, [ОКПД2 27.33] Изделия электроустановочные</t>
  </si>
  <si>
    <t>Старый Оскол</t>
  </si>
  <si>
    <t>5036062440</t>
  </si>
  <si>
    <t>0348100033219000041</t>
  </si>
  <si>
    <t>7720288314</t>
  </si>
  <si>
    <t>7730544207</t>
  </si>
  <si>
    <t>0173200002519000026</t>
  </si>
  <si>
    <t>5030048760</t>
  </si>
  <si>
    <t>7727819116</t>
  </si>
  <si>
    <t>7725688147</t>
  </si>
  <si>
    <t>7719759181</t>
  </si>
  <si>
    <t>2635215556</t>
  </si>
  <si>
    <t>0321300001119000420</t>
  </si>
  <si>
    <t>2635234742</t>
  </si>
  <si>
    <t>0234200000119000040</t>
  </si>
  <si>
    <t>6118010999</t>
  </si>
  <si>
    <t>1004735</t>
  </si>
  <si>
    <t>8601010858</t>
  </si>
  <si>
    <t>1004985</t>
  </si>
  <si>
    <t>5077011117</t>
  </si>
  <si>
    <t>0348100015019000038</t>
  </si>
  <si>
    <t>Серпуховский район</t>
  </si>
  <si>
    <t>5037002395</t>
  </si>
  <si>
    <t>5037008728</t>
  </si>
  <si>
    <t>0234200000119000039</t>
  </si>
  <si>
    <t>3808012605</t>
  </si>
  <si>
    <t>0329100005919000365</t>
  </si>
  <si>
    <t>5071003945</t>
  </si>
  <si>
    <t>783927</t>
  </si>
  <si>
    <t>Лотошинский район</t>
  </si>
  <si>
    <t>0173100004519001371</t>
  </si>
  <si>
    <t>0173100004519001369</t>
  </si>
  <si>
    <t>4826039802</t>
  </si>
  <si>
    <t>0346200005319000015</t>
  </si>
  <si>
    <t>6685126570</t>
  </si>
  <si>
    <t>5501024019</t>
  </si>
  <si>
    <t>0152200004719001253</t>
  </si>
  <si>
    <t>5507235217</t>
  </si>
  <si>
    <t>7702038150</t>
  </si>
  <si>
    <t>0373200082119000406</t>
  </si>
  <si>
    <t>7730187019</t>
  </si>
  <si>
    <t>7327043936</t>
  </si>
  <si>
    <t>2328000083</t>
  </si>
  <si>
    <t>28203</t>
  </si>
  <si>
    <t>Выселковский район</t>
  </si>
  <si>
    <t>0360200054019000134</t>
  </si>
  <si>
    <t>6450053010</t>
  </si>
  <si>
    <t>28201</t>
  </si>
  <si>
    <t>0152200004719001251</t>
  </si>
  <si>
    <t>342159</t>
  </si>
  <si>
    <t>28200</t>
  </si>
  <si>
    <t>28202</t>
  </si>
  <si>
    <t>0360200054019000133</t>
  </si>
  <si>
    <t>4710026064</t>
  </si>
  <si>
    <t>0145300016519000117</t>
  </si>
  <si>
    <t>Лужский район</t>
  </si>
  <si>
    <t>7710375166</t>
  </si>
  <si>
    <t>6727022985</t>
  </si>
  <si>
    <t>471000206263</t>
  </si>
  <si>
    <t>232603078990</t>
  </si>
  <si>
    <t>5725002371</t>
  </si>
  <si>
    <t>100110024219000043</t>
  </si>
  <si>
    <t>3110022517</t>
  </si>
  <si>
    <t>1003444</t>
  </si>
  <si>
    <t>Корочанский район</t>
  </si>
  <si>
    <t>1657204193</t>
  </si>
  <si>
    <t>317730</t>
  </si>
  <si>
    <t>5436108629</t>
  </si>
  <si>
    <t>1003435</t>
  </si>
  <si>
    <t>Сузунский район</t>
  </si>
  <si>
    <t>4205003440</t>
  </si>
  <si>
    <t>1309880</t>
  </si>
  <si>
    <t>31908154602</t>
  </si>
  <si>
    <t>5701000449</t>
  </si>
  <si>
    <t>31908153962</t>
  </si>
  <si>
    <t>[ОКПД2 93.29] Услуги в области развлечений и отдыха прочие, [ОКВЭД2 93.29] Деятельность зрелищно-развлекательная прочая</t>
  </si>
  <si>
    <t>5075011055</t>
  </si>
  <si>
    <t>31908155643</t>
  </si>
  <si>
    <t>31908155030</t>
  </si>
  <si>
    <t>31908155331</t>
  </si>
  <si>
    <t>366530</t>
  </si>
  <si>
    <t>2019-735898</t>
  </si>
  <si>
    <t>31908156208</t>
  </si>
  <si>
    <t>31908156692</t>
  </si>
  <si>
    <t>[ОКПД2 84.24] Услуги по обеспечению общественного порядка и безопасности, [ОКВЭД2 80.1+] Деятельность частных охранных служб</t>
  </si>
  <si>
    <t>6606011940</t>
  </si>
  <si>
    <t>31908155453</t>
  </si>
  <si>
    <t>Верхняя Пышма</t>
  </si>
  <si>
    <t>31908152237</t>
  </si>
  <si>
    <t>7805029076</t>
  </si>
  <si>
    <t>31908156660</t>
  </si>
  <si>
    <t>[ОКПД2 74.9+] Услуги профессиональные, научные и технические, прочие, не включенные в другие группировки, [ОКВЭД2 74+] Деятельность профессиональная научная и техническая прочая</t>
  </si>
  <si>
    <t>31908156291</t>
  </si>
  <si>
    <t>4027135732</t>
  </si>
  <si>
    <t>31908154876</t>
  </si>
  <si>
    <t>[ОКПД2 82.30] Услуги по организации конференций и торговых выставок, [ОКВЭД2 82.30] Деятельность по организации конференций и выставок</t>
  </si>
  <si>
    <t>31908153249</t>
  </si>
  <si>
    <t>3523011161</t>
  </si>
  <si>
    <t>31908155818</t>
  </si>
  <si>
    <t>5902290875</t>
  </si>
  <si>
    <t>0356100015219000007</t>
  </si>
  <si>
    <t>5905254650</t>
  </si>
  <si>
    <t>6335006478</t>
  </si>
  <si>
    <t>0142200001319012022</t>
  </si>
  <si>
    <t>631918318965</t>
  </si>
  <si>
    <t>6324082741</t>
  </si>
  <si>
    <t>6335010668</t>
  </si>
  <si>
    <t>0373400007719000055</t>
  </si>
  <si>
    <t>7701070432</t>
  </si>
  <si>
    <t>0348200078019000009</t>
  </si>
  <si>
    <t>5610013514</t>
  </si>
  <si>
    <t>0853500000319008431</t>
  </si>
  <si>
    <t>[ОКПД2 26.40] Техника бытовая электронная, [ОКПД2 27.90] Оборудование электрическое прочее</t>
  </si>
  <si>
    <t>2312233808</t>
  </si>
  <si>
    <t>8602002472</t>
  </si>
  <si>
    <t>0387200019119000078</t>
  </si>
  <si>
    <t>8602256195</t>
  </si>
  <si>
    <t>0362100024019000060</t>
  </si>
  <si>
    <t>0348200078019000007</t>
  </si>
  <si>
    <t>0306100000419000088</t>
  </si>
  <si>
    <t>3714002224</t>
  </si>
  <si>
    <t>0133300014119000093</t>
  </si>
  <si>
    <t>3526008696</t>
  </si>
  <si>
    <t>0130300009719000288</t>
  </si>
  <si>
    <t>3526024955</t>
  </si>
  <si>
    <t>РН908671</t>
  </si>
  <si>
    <t>ATOM30071900303</t>
  </si>
  <si>
    <t>2576850</t>
  </si>
  <si>
    <t>[ОКПД2 96.09] Услуги персональные прочие, не включенные в другие группировки</t>
  </si>
  <si>
    <t>1309716</t>
  </si>
  <si>
    <t>1430006782</t>
  </si>
  <si>
    <t>0816500000619010967</t>
  </si>
  <si>
    <t>Чурапчинский улус</t>
  </si>
  <si>
    <t>1435258737</t>
  </si>
  <si>
    <t>2346006673</t>
  </si>
  <si>
    <t>0318200019019000056</t>
  </si>
  <si>
    <t>Павловский район</t>
  </si>
  <si>
    <t>2310198876</t>
  </si>
  <si>
    <t>1434016446</t>
  </si>
  <si>
    <t>0316300008919000010</t>
  </si>
  <si>
    <t>6831014042</t>
  </si>
  <si>
    <t>0164100008119000015</t>
  </si>
  <si>
    <t>6829116752</t>
  </si>
  <si>
    <t>683000813954</t>
  </si>
  <si>
    <t>6829038800</t>
  </si>
  <si>
    <t>6803010279</t>
  </si>
  <si>
    <t>0164100004419000029</t>
  </si>
  <si>
    <t>6828003812</t>
  </si>
  <si>
    <t>0362200052119000015</t>
  </si>
  <si>
    <t>5027006383</t>
  </si>
  <si>
    <t>100132805219000055</t>
  </si>
  <si>
    <t>[ОКПД2 68.20] Услуги по сдаче в аренду (внаем) собственного или арендованного недвижимого имущества</t>
  </si>
  <si>
    <t>Люберцы</t>
  </si>
  <si>
    <t>0858300002119000068</t>
  </si>
  <si>
    <t>3326005017</t>
  </si>
  <si>
    <t>0328300110719000016</t>
  </si>
  <si>
    <t>Юрьев-Польский район</t>
  </si>
  <si>
    <t>3306009574</t>
  </si>
  <si>
    <t>0164100004419000030</t>
  </si>
  <si>
    <t>4223020008</t>
  </si>
  <si>
    <t>0139300019719000228</t>
  </si>
  <si>
    <t>Прокопьевск</t>
  </si>
  <si>
    <t>1326138503</t>
  </si>
  <si>
    <t>0809500000319001641</t>
  </si>
  <si>
    <t>ATOM30071900199</t>
  </si>
  <si>
    <t>2634087735</t>
  </si>
  <si>
    <t>0321300001119000398</t>
  </si>
  <si>
    <t>2635212918</t>
  </si>
  <si>
    <t>2635233883</t>
  </si>
  <si>
    <t>2635112977</t>
  </si>
  <si>
    <t>100142725219000019</t>
  </si>
  <si>
    <t>9111021877</t>
  </si>
  <si>
    <t>0375300010219000044</t>
  </si>
  <si>
    <t>[ОКПД2 63.99] Услуги информационные прочие, не включенные в другие группировки</t>
  </si>
  <si>
    <t>Ленинский</t>
  </si>
  <si>
    <t>2310183742</t>
  </si>
  <si>
    <t>100142725219000018</t>
  </si>
  <si>
    <t>100024521119000022</t>
  </si>
  <si>
    <t>6672219595</t>
  </si>
  <si>
    <t>2576708</t>
  </si>
  <si>
    <t>0862300042019000136</t>
  </si>
  <si>
    <t>6607008160</t>
  </si>
  <si>
    <t>Верхнесалдинский район</t>
  </si>
  <si>
    <t>6607008467</t>
  </si>
  <si>
    <t>6607008308</t>
  </si>
  <si>
    <t>2576699</t>
  </si>
  <si>
    <t>ATOM30071900158</t>
  </si>
  <si>
    <t>7401006813</t>
  </si>
  <si>
    <t>0169300038719000343</t>
  </si>
  <si>
    <t>562301266810</t>
  </si>
  <si>
    <t>780727092501</t>
  </si>
  <si>
    <t>1309434</t>
  </si>
  <si>
    <t>3652002038</t>
  </si>
  <si>
    <t>0331100006819000030</t>
  </si>
  <si>
    <t>[ОКПД2 52.21] Услуги, связанные с сухопутным транспортом</t>
  </si>
  <si>
    <t>9111009252</t>
  </si>
  <si>
    <t>1000874</t>
  </si>
  <si>
    <t>Керчь</t>
  </si>
  <si>
    <t>0602001153</t>
  </si>
  <si>
    <t>0314100004719000017</t>
  </si>
  <si>
    <t>3123114282</t>
  </si>
  <si>
    <t>100225626219000001</t>
  </si>
  <si>
    <t>0195100000219000251</t>
  </si>
  <si>
    <t>5024048000</t>
  </si>
  <si>
    <t>7726311464</t>
  </si>
  <si>
    <t>2227025853</t>
  </si>
  <si>
    <t>0817200000319008395</t>
  </si>
  <si>
    <t>Бийск</t>
  </si>
  <si>
    <t>2204034587</t>
  </si>
  <si>
    <t>041105442807</t>
  </si>
  <si>
    <t>7729466410</t>
  </si>
  <si>
    <t>0373200014219001189</t>
  </si>
  <si>
    <t>7701155051</t>
  </si>
  <si>
    <t>7723340837</t>
  </si>
  <si>
    <t>860318548543</t>
  </si>
  <si>
    <t>2805004675</t>
  </si>
  <si>
    <t>999760</t>
  </si>
  <si>
    <t>Зея</t>
  </si>
  <si>
    <t>5436108932</t>
  </si>
  <si>
    <t>999829</t>
  </si>
  <si>
    <t>100309355219000026</t>
  </si>
  <si>
    <t>0277059276</t>
  </si>
  <si>
    <t>511000</t>
  </si>
  <si>
    <t>5446107180</t>
  </si>
  <si>
    <t>31908147059</t>
  </si>
  <si>
    <t>5035034916</t>
  </si>
  <si>
    <t>31908151088</t>
  </si>
  <si>
    <t>[ОКПД2 63.91] Услуги информационных агентств, [ОКВЭД2 63.91] Деятельность информационных агентств</t>
  </si>
  <si>
    <t>31908148228</t>
  </si>
  <si>
    <t>31908149025</t>
  </si>
  <si>
    <t>2451000110</t>
  </si>
  <si>
    <t>31908150282</t>
  </si>
  <si>
    <t>31908149774</t>
  </si>
  <si>
    <t>[ОКПД2 33.14] Услуги по ремонту электрического оборудования, [ОКВЭД2 80.20] Деятельность систем обеспечения безопасности</t>
  </si>
  <si>
    <t>100208478219000008</t>
  </si>
  <si>
    <t>100208478219000007</t>
  </si>
  <si>
    <t>5047043094</t>
  </si>
  <si>
    <t>783079</t>
  </si>
  <si>
    <t>31908146641</t>
  </si>
  <si>
    <t>0573100002519000810</t>
  </si>
  <si>
    <t>0316300008919000011</t>
  </si>
  <si>
    <t>0573100002519000808</t>
  </si>
  <si>
    <t>3328009708</t>
  </si>
  <si>
    <t>100285772219000015</t>
  </si>
  <si>
    <t>0573100002519000809</t>
  </si>
  <si>
    <t>2624800080</t>
  </si>
  <si>
    <t>0121300039419000095</t>
  </si>
  <si>
    <t>Буденновский район</t>
  </si>
  <si>
    <t>2624025842</t>
  </si>
  <si>
    <t>31908145907</t>
  </si>
  <si>
    <t>8617010250</t>
  </si>
  <si>
    <t>0187300014719000753</t>
  </si>
  <si>
    <t>8602236921</t>
  </si>
  <si>
    <t>861001121722</t>
  </si>
  <si>
    <t>31908144845</t>
  </si>
  <si>
    <t>1651011660</t>
  </si>
  <si>
    <t>0111300005119000480</t>
  </si>
  <si>
    <t>1660284992</t>
  </si>
  <si>
    <t>7714359863</t>
  </si>
  <si>
    <t>31908145602</t>
  </si>
  <si>
    <t>[ОКПД2 61.20] Услуги телекоммуникационные беспроводные, [ОКВЭД2 33.20] Монтаж промышленных машин и оборудования</t>
  </si>
  <si>
    <t>[ОКПД2 62.0+] Продукты программные и услуги по разработке программного обеспечения; консультационные и аналогичные услуги в области информационных технологий, [ОКПД2 63.99] Услуги информационные прочие, не включенные в другие группировки, [ОКВЭД2 62.0+] Разработка компьютерного программного обеспечения, консультационные услуги в данной области и другие сопутствующие услуги, [ОКВЭД2 63.99] Деятельность информационных служб прочая, не включенная в другие группировки</t>
  </si>
  <si>
    <t>2466012686</t>
  </si>
  <si>
    <t>0119100011719000028</t>
  </si>
  <si>
    <t>2901038518</t>
  </si>
  <si>
    <t>31908145096</t>
  </si>
  <si>
    <t>[ОКПД2 71.20] Услуги в области технических испытаний, исследований, анализа и сертификации, [ОКВЭД2 71.2+] Технические испытания, исследования, анализ и сертификация</t>
  </si>
  <si>
    <t>7707083893</t>
  </si>
  <si>
    <t>31908145019</t>
  </si>
  <si>
    <t>6232003147</t>
  </si>
  <si>
    <t>100077747219000027</t>
  </si>
  <si>
    <t>Сасово</t>
  </si>
  <si>
    <t>0361200015019005049</t>
  </si>
  <si>
    <t>7805093681</t>
  </si>
  <si>
    <t>100049345119000103</t>
  </si>
  <si>
    <t>31908145206</t>
  </si>
  <si>
    <t>5072713419</t>
  </si>
  <si>
    <t>782881</t>
  </si>
  <si>
    <t>7535002024</t>
  </si>
  <si>
    <t>0391100014019000044</t>
  </si>
  <si>
    <t>7536077632</t>
  </si>
  <si>
    <t>7536033000</t>
  </si>
  <si>
    <t>5031029760</t>
  </si>
  <si>
    <t>0148300009119000086</t>
  </si>
  <si>
    <t>5031113123</t>
  </si>
  <si>
    <t>5436108940</t>
  </si>
  <si>
    <t>998375</t>
  </si>
  <si>
    <t>5642009013</t>
  </si>
  <si>
    <t>0153300035019000008</t>
  </si>
  <si>
    <t>5422103564</t>
  </si>
  <si>
    <t>0851600003519000517</t>
  </si>
  <si>
    <t>421708082285</t>
  </si>
  <si>
    <t>31908144045</t>
  </si>
  <si>
    <t>1308308</t>
  </si>
  <si>
    <t>5422106981</t>
  </si>
  <si>
    <t>0851600003519000518</t>
  </si>
  <si>
    <t>ATOM29071900109</t>
  </si>
  <si>
    <t>5422106364</t>
  </si>
  <si>
    <t>0851600003519000516</t>
  </si>
  <si>
    <t>100152227219000015</t>
  </si>
  <si>
    <t>7204006878</t>
  </si>
  <si>
    <t>100046348119000132</t>
  </si>
  <si>
    <t>0367100000519000023</t>
  </si>
  <si>
    <t>[ОКПД2 58.11] Услуги по изданию книг</t>
  </si>
  <si>
    <t>7702676811</t>
  </si>
  <si>
    <t>5007085588</t>
  </si>
  <si>
    <t>8905027532</t>
  </si>
  <si>
    <t>0190300003719000544</t>
  </si>
  <si>
    <t>8905058555</t>
  </si>
  <si>
    <t>592641</t>
  </si>
  <si>
    <t>6669008918</t>
  </si>
  <si>
    <t>0362200052319000114</t>
  </si>
  <si>
    <t>660205815538</t>
  </si>
  <si>
    <t>0301300071919000228</t>
  </si>
  <si>
    <t>0276105321</t>
  </si>
  <si>
    <t>1323124975</t>
  </si>
  <si>
    <t>0809500000319001596</t>
  </si>
  <si>
    <t>Ковылкино</t>
  </si>
  <si>
    <t>132807540497</t>
  </si>
  <si>
    <t>592576</t>
  </si>
  <si>
    <t>1660033244</t>
  </si>
  <si>
    <t>BP00312179</t>
  </si>
  <si>
    <t>100077747119000042</t>
  </si>
  <si>
    <t>1653004235</t>
  </si>
  <si>
    <t>0311200043219000023</t>
  </si>
  <si>
    <t>1657125336</t>
  </si>
  <si>
    <t>165505009816</t>
  </si>
  <si>
    <t>1661027980</t>
  </si>
  <si>
    <t>1657096290</t>
  </si>
  <si>
    <t>5038017299</t>
  </si>
  <si>
    <t>782479</t>
  </si>
  <si>
    <t>3908013539</t>
  </si>
  <si>
    <t>100207922219000010</t>
  </si>
  <si>
    <t>5245004266</t>
  </si>
  <si>
    <t>100184595119000022</t>
  </si>
  <si>
    <t>Богородский район</t>
  </si>
  <si>
    <t>2722009856</t>
  </si>
  <si>
    <t>0122100010519000169</t>
  </si>
  <si>
    <t>Ванинский район</t>
  </si>
  <si>
    <t>0122100010519000170</t>
  </si>
  <si>
    <t>2721195173</t>
  </si>
  <si>
    <t>0267400000619000024</t>
  </si>
  <si>
    <t>Абатский район</t>
  </si>
  <si>
    <t>7205015191</t>
  </si>
  <si>
    <t>7205017865</t>
  </si>
  <si>
    <t>316726</t>
  </si>
  <si>
    <t>8617015160</t>
  </si>
  <si>
    <t>0187300014719000743</t>
  </si>
  <si>
    <t>4329015939</t>
  </si>
  <si>
    <t>0340200003319009918</t>
  </si>
  <si>
    <t>Слободской</t>
  </si>
  <si>
    <t>2128030860</t>
  </si>
  <si>
    <t>995477</t>
  </si>
  <si>
    <t>3713004081</t>
  </si>
  <si>
    <t>0333200011519000004</t>
  </si>
  <si>
    <t>Кинешемский район</t>
  </si>
  <si>
    <t>3703015373</t>
  </si>
  <si>
    <t>3703040669</t>
  </si>
  <si>
    <t>4629017729</t>
  </si>
  <si>
    <t>0344200013019000420</t>
  </si>
  <si>
    <t>4632058059</t>
  </si>
  <si>
    <t>7708731561</t>
  </si>
  <si>
    <t>100272123119000071</t>
  </si>
  <si>
    <t>5070011319</t>
  </si>
  <si>
    <t>782232</t>
  </si>
  <si>
    <t>8609015417</t>
  </si>
  <si>
    <t>31908137998</t>
  </si>
  <si>
    <t>8609015343</t>
  </si>
  <si>
    <t>31908137970</t>
  </si>
  <si>
    <t>7202131792</t>
  </si>
  <si>
    <t>0367100003119000061</t>
  </si>
  <si>
    <t>7202112905</t>
  </si>
  <si>
    <t>720320495114</t>
  </si>
  <si>
    <t>720506479238</t>
  </si>
  <si>
    <t>7204188522</t>
  </si>
  <si>
    <t>861007201004</t>
  </si>
  <si>
    <t>720320366895</t>
  </si>
  <si>
    <t>100107434219000065</t>
  </si>
  <si>
    <t>Староминский район</t>
  </si>
  <si>
    <t>6154072197</t>
  </si>
  <si>
    <t>994621</t>
  </si>
  <si>
    <t>Таганрог</t>
  </si>
  <si>
    <t>1307011</t>
  </si>
  <si>
    <t>ATOM26071900029</t>
  </si>
  <si>
    <t>5509002000</t>
  </si>
  <si>
    <t>994295</t>
  </si>
  <si>
    <t>Азовский немецкий национальный район</t>
  </si>
  <si>
    <t>591862</t>
  </si>
  <si>
    <t>7411015260</t>
  </si>
  <si>
    <t>984444</t>
  </si>
  <si>
    <t>Копейск</t>
  </si>
  <si>
    <t>31908139697</t>
  </si>
  <si>
    <t>[ОКПД2 18.12] Услуги печатные прочие, [ОКВЭД2 18.12] Прочие виды полиграфической деятельности</t>
  </si>
  <si>
    <t>7830000970</t>
  </si>
  <si>
    <t>31908141574</t>
  </si>
  <si>
    <t>31908139382</t>
  </si>
  <si>
    <t>31908140523</t>
  </si>
  <si>
    <t>31908139573</t>
  </si>
  <si>
    <t>31908140819</t>
  </si>
  <si>
    <t>0318100043419000135</t>
  </si>
  <si>
    <t>782057</t>
  </si>
  <si>
    <t>0139200000119005893</t>
  </si>
  <si>
    <t>0144300004019000629</t>
  </si>
  <si>
    <t>8911027957</t>
  </si>
  <si>
    <t>0190300001319000782</t>
  </si>
  <si>
    <t>890506036113</t>
  </si>
  <si>
    <t>0863400000819000013</t>
  </si>
  <si>
    <t>3120009314</t>
  </si>
  <si>
    <t>993399</t>
  </si>
  <si>
    <t>3702696257</t>
  </si>
  <si>
    <t>0133200001719002170</t>
  </si>
  <si>
    <t>330517434643</t>
  </si>
  <si>
    <t>COM25071900051</t>
  </si>
  <si>
    <t>2310095895</t>
  </si>
  <si>
    <t>РН991349</t>
  </si>
  <si>
    <t>[ОКПД2 41.10] Документация проектная для строительства, [ОКВЭД2 71.11] Деятельность в области архитектуры</t>
  </si>
  <si>
    <t>7728381587</t>
  </si>
  <si>
    <t>0873500001019000360</t>
  </si>
  <si>
    <t>[ОКПД2 37.00] Услуги по водоотведению; шлам сточных вод</t>
  </si>
  <si>
    <t>1901049733</t>
  </si>
  <si>
    <t>0380200000119004163</t>
  </si>
  <si>
    <t>1901094408</t>
  </si>
  <si>
    <t>100272123119000065</t>
  </si>
  <si>
    <t>0573100002519000752</t>
  </si>
  <si>
    <t>0573100002519000751</t>
  </si>
  <si>
    <t>0573100002519000750</t>
  </si>
  <si>
    <t>0322002732</t>
  </si>
  <si>
    <t>0302300069619000028</t>
  </si>
  <si>
    <t>Северобайкальск</t>
  </si>
  <si>
    <t>31908133792</t>
  </si>
  <si>
    <t>2310133572</t>
  </si>
  <si>
    <t>100071191219000018</t>
  </si>
  <si>
    <t>7604318511</t>
  </si>
  <si>
    <t>100184612119000048</t>
  </si>
  <si>
    <t>4401189400</t>
  </si>
  <si>
    <t>992423</t>
  </si>
  <si>
    <t>5012001181</t>
  </si>
  <si>
    <t>31908134415</t>
  </si>
  <si>
    <t>3127050230</t>
  </si>
  <si>
    <t>0126100006319000009</t>
  </si>
  <si>
    <t>3123307090</t>
  </si>
  <si>
    <t>2724041260</t>
  </si>
  <si>
    <t>100262068219000096</t>
  </si>
  <si>
    <t>5039001559</t>
  </si>
  <si>
    <t>781554</t>
  </si>
  <si>
    <t>6311083770</t>
  </si>
  <si>
    <t>0342200046519000034</t>
  </si>
  <si>
    <t>6318162413</t>
  </si>
  <si>
    <t>6453119615</t>
  </si>
  <si>
    <t>31908133249</t>
  </si>
  <si>
    <t>[ОКПД2 26.20] Компьютеры и периферийное оборудование, [ОКВЭД2 26+] Производство компьютеров, электронных и оптических изделий</t>
  </si>
  <si>
    <t>0136300001019000043</t>
  </si>
  <si>
    <t>2813005457</t>
  </si>
  <si>
    <t>100041051219000016</t>
  </si>
  <si>
    <t>Бурейский район</t>
  </si>
  <si>
    <t>0161300000119001230</t>
  </si>
  <si>
    <t>2019-734273</t>
  </si>
  <si>
    <t>9731026963</t>
  </si>
  <si>
    <t>SBR028-1907240026</t>
  </si>
  <si>
    <t>7808004760</t>
  </si>
  <si>
    <t>31908132677</t>
  </si>
  <si>
    <t>0139200000119005809</t>
  </si>
  <si>
    <t>0139200000119005808</t>
  </si>
  <si>
    <t>1001040939</t>
  </si>
  <si>
    <t>0139200000119005807</t>
  </si>
  <si>
    <t>100142725219000016</t>
  </si>
  <si>
    <t>100042723119000012</t>
  </si>
  <si>
    <t>6605006224</t>
  </si>
  <si>
    <t>31908129928</t>
  </si>
  <si>
    <t>2721001815</t>
  </si>
  <si>
    <t>0322200001319000116</t>
  </si>
  <si>
    <t>2723100628</t>
  </si>
  <si>
    <t>2721196811</t>
  </si>
  <si>
    <t>2724156870</t>
  </si>
  <si>
    <t>2723093963</t>
  </si>
  <si>
    <t>100272123119000061</t>
  </si>
  <si>
    <t>7710142570</t>
  </si>
  <si>
    <t>31908131117</t>
  </si>
  <si>
    <t>[ОКПД2 33.12] Услуги по ремонту оборудования, [ОКВЭД2 43.21] Производство электромонтажных работ</t>
  </si>
  <si>
    <t>6316121764</t>
  </si>
  <si>
    <t>100101585219000027</t>
  </si>
  <si>
    <t>6316098843</t>
  </si>
  <si>
    <t>100242027219000036</t>
  </si>
  <si>
    <t>Сызрань</t>
  </si>
  <si>
    <t>7722775458</t>
  </si>
  <si>
    <t>31908130178</t>
  </si>
  <si>
    <t>6607002585</t>
  </si>
  <si>
    <t>0862300042019000131</t>
  </si>
  <si>
    <t>0234200000119000035</t>
  </si>
  <si>
    <t>3808119997</t>
  </si>
  <si>
    <t>7718178402</t>
  </si>
  <si>
    <t>100007165219000006</t>
  </si>
  <si>
    <t>5426102392</t>
  </si>
  <si>
    <t>989697</t>
  </si>
  <si>
    <t>Кочковский район</t>
  </si>
  <si>
    <t>100272123119000056</t>
  </si>
  <si>
    <t>3234011250</t>
  </si>
  <si>
    <t>100107755119000036</t>
  </si>
  <si>
    <t>0133300006619000137</t>
  </si>
  <si>
    <t>3706007405</t>
  </si>
  <si>
    <t>3706007324</t>
  </si>
  <si>
    <t>3706006560</t>
  </si>
  <si>
    <t>3706007370</t>
  </si>
  <si>
    <t>3706007691</t>
  </si>
  <si>
    <t>3706006553</t>
  </si>
  <si>
    <t>3706007290</t>
  </si>
  <si>
    <t>3706004443</t>
  </si>
  <si>
    <t>3706007331</t>
  </si>
  <si>
    <t>3706006779</t>
  </si>
  <si>
    <t>3702532509</t>
  </si>
  <si>
    <t>3702654169</t>
  </si>
  <si>
    <t>4027050694</t>
  </si>
  <si>
    <t>0137200001219003572</t>
  </si>
  <si>
    <t>4004019384</t>
  </si>
  <si>
    <t>4027040488</t>
  </si>
  <si>
    <t>4028028229</t>
  </si>
  <si>
    <t>7729123204</t>
  </si>
  <si>
    <t>31908128593</t>
  </si>
  <si>
    <t>100254411119000022</t>
  </si>
  <si>
    <t>4449621</t>
  </si>
  <si>
    <t>COM24071900011</t>
  </si>
  <si>
    <t>5038115962</t>
  </si>
  <si>
    <t>780872</t>
  </si>
  <si>
    <t>[ОКПД2 26.40] Техника бытовая электронная, [ОКПД2 26.20] Компьютеры и периферийное оборудование, [ОКПД2 33.20] Услуги по монтажу промышленных машин и оборудования</t>
  </si>
  <si>
    <t>5003129330</t>
  </si>
  <si>
    <t>780865</t>
  </si>
  <si>
    <t>0356300296219000010</t>
  </si>
  <si>
    <t>590415886154</t>
  </si>
  <si>
    <t>0356300296219000013</t>
  </si>
  <si>
    <t>1501036112</t>
  </si>
  <si>
    <t>100281057219000005</t>
  </si>
  <si>
    <t>5001023391</t>
  </si>
  <si>
    <t>780773</t>
  </si>
  <si>
    <t>100101585219000026</t>
  </si>
  <si>
    <t>7724807867</t>
  </si>
  <si>
    <t>0373200553219000043</t>
  </si>
  <si>
    <t>5029226200</t>
  </si>
  <si>
    <t>100242027219000035</t>
  </si>
  <si>
    <t>3122506819</t>
  </si>
  <si>
    <t>31908126593</t>
  </si>
  <si>
    <t>[ОКПД2 33.17] Услуги по ремонту и техническому обслуживанию прочих транспортных средств и обо рудования, [ОКПД2 26.51] Оборудование для измерения, испытаний и навигации, [ОКПД2 26.40] Техника бытовая электронная, [ОКВЭД2 47.43] Торговля розничная аудио- и видеотехникой в специализированных магазинах, [ОКВЭД2 33.17] Ремонт и техническое обслуживание прочих транспортных средств и оборудования, [ОКВЭД2 26.51] Производство инструментов и приборов для измерения, тестирования и навигации</t>
  </si>
  <si>
    <t>6606037232</t>
  </si>
  <si>
    <t>0862300002219000067</t>
  </si>
  <si>
    <t>6606003473</t>
  </si>
  <si>
    <t>5401365463</t>
  </si>
  <si>
    <t>6685099782</t>
  </si>
  <si>
    <t>100049345119000082</t>
  </si>
  <si>
    <t>2721141925</t>
  </si>
  <si>
    <t>0122200000919000068</t>
  </si>
  <si>
    <t>2723152739</t>
  </si>
  <si>
    <t>5047058580</t>
  </si>
  <si>
    <t>РН979565</t>
  </si>
  <si>
    <t>[ОКПД2 74.9+] Услуги профессиональные, научные и технические, прочие, не включенные в другие группировки, [ОКВЭД2 74.9+] Деятельность профессиональная, научная и техническая прочая, не включенная в другие группировки</t>
  </si>
  <si>
    <t>7021022449</t>
  </si>
  <si>
    <t>0165300010519000737</t>
  </si>
  <si>
    <t>7017167498</t>
  </si>
  <si>
    <t>7017147519</t>
  </si>
  <si>
    <t>7017456940</t>
  </si>
  <si>
    <t>100049345119000083</t>
  </si>
  <si>
    <t>100057951219000102</t>
  </si>
  <si>
    <t>2279005833</t>
  </si>
  <si>
    <t>31908124790</t>
  </si>
  <si>
    <t>[ОКПД2 26.70] Приборы оптические и фотографическое оборудование, [ОКВЭД2 26+] Производство компьютеров, электронных и оптических изделий</t>
  </si>
  <si>
    <t>ATOM23071900147</t>
  </si>
  <si>
    <t>780482</t>
  </si>
  <si>
    <t>5053031964</t>
  </si>
  <si>
    <t>780502</t>
  </si>
  <si>
    <t>1304484</t>
  </si>
  <si>
    <t>5440102637</t>
  </si>
  <si>
    <t>987112</t>
  </si>
  <si>
    <t>2014255524</t>
  </si>
  <si>
    <t>0194200000519005151</t>
  </si>
  <si>
    <t>Грозный</t>
  </si>
  <si>
    <t>2007491908</t>
  </si>
  <si>
    <t>0358100034719000027</t>
  </si>
  <si>
    <t>616389545126</t>
  </si>
  <si>
    <t>6168023922</t>
  </si>
  <si>
    <t>6168051285</t>
  </si>
  <si>
    <t>6154105340</t>
  </si>
  <si>
    <t>7609028319</t>
  </si>
  <si>
    <t>0371200021119000170</t>
  </si>
  <si>
    <t>Ростов</t>
  </si>
  <si>
    <t>2319037129</t>
  </si>
  <si>
    <t>100107728219000018</t>
  </si>
  <si>
    <t>5070010700</t>
  </si>
  <si>
    <t>780384</t>
  </si>
  <si>
    <t>3407110235</t>
  </si>
  <si>
    <t>0129300043519000073</t>
  </si>
  <si>
    <t>[ОКПД2 25.94] Изделия крепежные и винты крепежные</t>
  </si>
  <si>
    <t>Жирновский район</t>
  </si>
  <si>
    <t>341811347087</t>
  </si>
  <si>
    <t>3123369450</t>
  </si>
  <si>
    <t>100225951219000033</t>
  </si>
  <si>
    <t>100254411119000021</t>
  </si>
  <si>
    <t>0562053748</t>
  </si>
  <si>
    <t>0103200008419006093</t>
  </si>
  <si>
    <t>0572012927</t>
  </si>
  <si>
    <t>5003056924</t>
  </si>
  <si>
    <t>0148300014619000042</t>
  </si>
  <si>
    <t>7729489030</t>
  </si>
  <si>
    <t>332134634881</t>
  </si>
  <si>
    <t>5050130526</t>
  </si>
  <si>
    <t>5031001652</t>
  </si>
  <si>
    <t>0148300000619000512</t>
  </si>
  <si>
    <t>[ОКПД2 26.20] Компьютеры и периферийное оборудование, [ОКПД2 26.70] Приборы оптические и фотографическое оборудование</t>
  </si>
  <si>
    <t>Ногинский район</t>
  </si>
  <si>
    <t>780400415240</t>
  </si>
  <si>
    <t>501209386190</t>
  </si>
  <si>
    <t>7224037176</t>
  </si>
  <si>
    <t>E99925</t>
  </si>
  <si>
    <t>Тюменский район</t>
  </si>
  <si>
    <t>8709004698</t>
  </si>
  <si>
    <t>0188100001419000023</t>
  </si>
  <si>
    <t>5031007809</t>
  </si>
  <si>
    <t>31908124015</t>
  </si>
  <si>
    <t>5070010731</t>
  </si>
  <si>
    <t>780246</t>
  </si>
  <si>
    <t>5404120567</t>
  </si>
  <si>
    <t>985556</t>
  </si>
  <si>
    <t>0326506498</t>
  </si>
  <si>
    <t>100144257219000020</t>
  </si>
  <si>
    <t>0306014152</t>
  </si>
  <si>
    <t>0302300050719000012</t>
  </si>
  <si>
    <t>[ОКПД2 43.21] Работы электромонтажные, [ОКПД2 26.40] Техника бытовая электронная</t>
  </si>
  <si>
    <t>Заиграевский район</t>
  </si>
  <si>
    <t>0326565310</t>
  </si>
  <si>
    <t>100283562219000015</t>
  </si>
  <si>
    <t>5048050619</t>
  </si>
  <si>
    <t>31908123559</t>
  </si>
  <si>
    <t>0304200023419000017</t>
  </si>
  <si>
    <t>071302230328</t>
  </si>
  <si>
    <t>4201001178</t>
  </si>
  <si>
    <t>0139200000119005673</t>
  </si>
  <si>
    <t>4205180619</t>
  </si>
  <si>
    <t>4205380216</t>
  </si>
  <si>
    <t>425303334774</t>
  </si>
  <si>
    <t>424624504120</t>
  </si>
  <si>
    <t>7713011336</t>
  </si>
  <si>
    <t>1303843</t>
  </si>
  <si>
    <t>7704177310</t>
  </si>
  <si>
    <t>0573500000119000216</t>
  </si>
  <si>
    <t>[ОКПД2 94.99] Услуги прочих общественных организаций, не включенных в другие группировки</t>
  </si>
  <si>
    <t>4329015287</t>
  </si>
  <si>
    <t>7725485387</t>
  </si>
  <si>
    <t>9102190741</t>
  </si>
  <si>
    <t>6166084060</t>
  </si>
  <si>
    <t>6214003190</t>
  </si>
  <si>
    <t>100195408219000021</t>
  </si>
  <si>
    <t>Ряжский район</t>
  </si>
  <si>
    <t>100272123119000051</t>
  </si>
  <si>
    <t>5045002624</t>
  </si>
  <si>
    <t>780134</t>
  </si>
  <si>
    <t>Ступино</t>
  </si>
  <si>
    <t>0846500000319000092</t>
  </si>
  <si>
    <t>7706731132</t>
  </si>
  <si>
    <t>7743294233</t>
  </si>
  <si>
    <t>2721110243</t>
  </si>
  <si>
    <t>100195408219000020</t>
  </si>
  <si>
    <t>7827001934</t>
  </si>
  <si>
    <t>0372200209319000070</t>
  </si>
  <si>
    <t>[ОКПД2 99.00] Услуги, предоставляемые экстерриториальными организациями и органами</t>
  </si>
  <si>
    <t>7810626960</t>
  </si>
  <si>
    <t>7839041628</t>
  </si>
  <si>
    <t>4706039303</t>
  </si>
  <si>
    <t>7807324197</t>
  </si>
  <si>
    <t>7810672772</t>
  </si>
  <si>
    <t>6603010200</t>
  </si>
  <si>
    <t>31908121843</t>
  </si>
  <si>
    <t>0145300016519000106</t>
  </si>
  <si>
    <t>100195408219000019</t>
  </si>
  <si>
    <t>0276012797</t>
  </si>
  <si>
    <t>31908121231</t>
  </si>
  <si>
    <t>6606011548</t>
  </si>
  <si>
    <t>31908121202</t>
  </si>
  <si>
    <t>100272123119000048</t>
  </si>
  <si>
    <t>31908120253</t>
  </si>
  <si>
    <t>5835120152</t>
  </si>
  <si>
    <t>31908122044</t>
  </si>
  <si>
    <t>7730064419</t>
  </si>
  <si>
    <t>100421359219000035</t>
  </si>
  <si>
    <t>2129035451</t>
  </si>
  <si>
    <t>984408</t>
  </si>
  <si>
    <t>3524003607</t>
  </si>
  <si>
    <t>0130200002419002466</t>
  </si>
  <si>
    <t>Шекснинский район</t>
  </si>
  <si>
    <t>781008785994</t>
  </si>
  <si>
    <t>616304243908</t>
  </si>
  <si>
    <t>3528104701</t>
  </si>
  <si>
    <t>3525319593</t>
  </si>
  <si>
    <t>3525417015</t>
  </si>
  <si>
    <t>7805482938</t>
  </si>
  <si>
    <t>31908121250</t>
  </si>
  <si>
    <t>[ОКПД2 41.10] Документация проектная для строительства, [ОКВЭД2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t>
  </si>
  <si>
    <t>1901064467</t>
  </si>
  <si>
    <t>100133028219000010</t>
  </si>
  <si>
    <t>7703570430</t>
  </si>
  <si>
    <t>502776</t>
  </si>
  <si>
    <t>0234200000119000033</t>
  </si>
  <si>
    <t>3813002218</t>
  </si>
  <si>
    <t>5016010726</t>
  </si>
  <si>
    <t>779707</t>
  </si>
  <si>
    <t>0234200000119000034</t>
  </si>
  <si>
    <t>3334017070</t>
  </si>
  <si>
    <t>31908119862</t>
  </si>
  <si>
    <t>[ОКПД2 84.24] Услуги по обеспечению общественного порядка и безопасности, [ОКВЭД2 25.40] Производство оружия и боеприпасов</t>
  </si>
  <si>
    <t>Муром</t>
  </si>
  <si>
    <t>1901065397</t>
  </si>
  <si>
    <t>100099917219000046</t>
  </si>
  <si>
    <t>2536153725</t>
  </si>
  <si>
    <t>100184629219000024</t>
  </si>
  <si>
    <t>1651027967</t>
  </si>
  <si>
    <t>BP00310038</t>
  </si>
  <si>
    <t>100272123119000042</t>
  </si>
  <si>
    <t>5044019199</t>
  </si>
  <si>
    <t>779540</t>
  </si>
  <si>
    <t>3328103250</t>
  </si>
  <si>
    <t>0128100000519000013</t>
  </si>
  <si>
    <t>5407121512</t>
  </si>
  <si>
    <t>0316100017919000029</t>
  </si>
  <si>
    <t>1435306081</t>
  </si>
  <si>
    <t>1435226365</t>
  </si>
  <si>
    <t>100272123119000037</t>
  </si>
  <si>
    <t>502604</t>
  </si>
  <si>
    <t>6511005578</t>
  </si>
  <si>
    <t>0861300007119000006</t>
  </si>
  <si>
    <t>Курильский район</t>
  </si>
  <si>
    <t>6518009116</t>
  </si>
  <si>
    <t>6501116991</t>
  </si>
  <si>
    <t>6501257720</t>
  </si>
  <si>
    <t>6501286640</t>
  </si>
  <si>
    <t>7722365099</t>
  </si>
  <si>
    <t>SBR028-1907190030</t>
  </si>
  <si>
    <t>0861300007119000005</t>
  </si>
  <si>
    <t>6450041738</t>
  </si>
  <si>
    <t>31908117268</t>
  </si>
  <si>
    <t>0372200091219000030</t>
  </si>
  <si>
    <t>7810422324</t>
  </si>
  <si>
    <t>7810990373</t>
  </si>
  <si>
    <t>6501071941</t>
  </si>
  <si>
    <t>31908114562</t>
  </si>
  <si>
    <t>1605003665</t>
  </si>
  <si>
    <t>0311200025019000005</t>
  </si>
  <si>
    <t>Алексеевский район</t>
  </si>
  <si>
    <t>1660235804</t>
  </si>
  <si>
    <t>5408106490</t>
  </si>
  <si>
    <t>31908115573</t>
  </si>
  <si>
    <t>5905048618</t>
  </si>
  <si>
    <t>0356500000319000184</t>
  </si>
  <si>
    <t>5906154168</t>
  </si>
  <si>
    <t>5036049545</t>
  </si>
  <si>
    <t>31908117136</t>
  </si>
  <si>
    <t>SBR035-190014494200311</t>
  </si>
  <si>
    <t>6117000910</t>
  </si>
  <si>
    <t>981831</t>
  </si>
  <si>
    <t>Куйбышевский район</t>
  </si>
  <si>
    <t>100004513219000012</t>
  </si>
  <si>
    <t>1655118284</t>
  </si>
  <si>
    <t>100170850219000018</t>
  </si>
  <si>
    <t>100004513219000011</t>
  </si>
  <si>
    <t>5036045205</t>
  </si>
  <si>
    <t>SBR051-1907190002</t>
  </si>
  <si>
    <t>5105020902</t>
  </si>
  <si>
    <t>100260645119000014</t>
  </si>
  <si>
    <t>нп Видяево</t>
  </si>
  <si>
    <t>1516609782</t>
  </si>
  <si>
    <t>31908115929</t>
  </si>
  <si>
    <t>2225021067</t>
  </si>
  <si>
    <t>981245</t>
  </si>
  <si>
    <t>100285798119000025</t>
  </si>
  <si>
    <t>Шумихинский район</t>
  </si>
  <si>
    <t>0234200000119000032</t>
  </si>
  <si>
    <t>3823017894</t>
  </si>
  <si>
    <t>0234200000119000031</t>
  </si>
  <si>
    <t>3817040101</t>
  </si>
  <si>
    <t>0234200000119000030</t>
  </si>
  <si>
    <t>3815008800</t>
  </si>
  <si>
    <t>2462218020</t>
  </si>
  <si>
    <t>7453045154</t>
  </si>
  <si>
    <t>100321049219000017</t>
  </si>
  <si>
    <t>4207012419</t>
  </si>
  <si>
    <t>100222340219000004</t>
  </si>
  <si>
    <t>100301512219000129</t>
  </si>
  <si>
    <t>860/ЭТП/2019/КБ</t>
  </si>
  <si>
    <t>0369100050819000059</t>
  </si>
  <si>
    <t>0873500001019000356</t>
  </si>
  <si>
    <t>[ОКПД2 35.12] Услуги по передаче электроэнергии и технологическому присоединению к распределительным электросетям</t>
  </si>
  <si>
    <t>31908112187</t>
  </si>
  <si>
    <t>100040563219000023</t>
  </si>
  <si>
    <t>8603092493</t>
  </si>
  <si>
    <t>31908112113</t>
  </si>
  <si>
    <t>31908112202</t>
  </si>
  <si>
    <t>5405201071</t>
  </si>
  <si>
    <t>0351100008919000100</t>
  </si>
  <si>
    <t>5405956636</t>
  </si>
  <si>
    <t>0351100008919000099</t>
  </si>
  <si>
    <t>3250057358</t>
  </si>
  <si>
    <t>100001344219000005</t>
  </si>
  <si>
    <t>7804347365</t>
  </si>
  <si>
    <t>31908112778</t>
  </si>
  <si>
    <t>5036046110</t>
  </si>
  <si>
    <t>778732</t>
  </si>
  <si>
    <t>4634010454</t>
  </si>
  <si>
    <t>2573454</t>
  </si>
  <si>
    <t>Курчатов</t>
  </si>
  <si>
    <t>3328101887</t>
  </si>
  <si>
    <t>100074804219000002</t>
  </si>
  <si>
    <t>ATOM18071900222</t>
  </si>
  <si>
    <t>1301403</t>
  </si>
  <si>
    <t>6117003653</t>
  </si>
  <si>
    <t>978988</t>
  </si>
  <si>
    <t>6161025991</t>
  </si>
  <si>
    <t>979272</t>
  </si>
  <si>
    <t>5012005517</t>
  </si>
  <si>
    <t>778690</t>
  </si>
  <si>
    <t>6153017683</t>
  </si>
  <si>
    <t>979240</t>
  </si>
  <si>
    <t>6666007017</t>
  </si>
  <si>
    <t>100270967219000010</t>
  </si>
  <si>
    <t>3702004019</t>
  </si>
  <si>
    <t>0133200001719002067</t>
  </si>
  <si>
    <t>3711025784</t>
  </si>
  <si>
    <t>3702662410</t>
  </si>
  <si>
    <t>315690</t>
  </si>
  <si>
    <t>31908109966</t>
  </si>
  <si>
    <t>6150011771</t>
  </si>
  <si>
    <t>100261847219000027</t>
  </si>
  <si>
    <t>2608004891</t>
  </si>
  <si>
    <t>100103642219000027</t>
  </si>
  <si>
    <t>Ипатовский район</t>
  </si>
  <si>
    <t>100103642219000026</t>
  </si>
  <si>
    <t>100049345119000079</t>
  </si>
  <si>
    <t>0372200064319000022</t>
  </si>
  <si>
    <t>7743228520</t>
  </si>
  <si>
    <t>7810862533</t>
  </si>
  <si>
    <t>7811359749</t>
  </si>
  <si>
    <t>7814728634</t>
  </si>
  <si>
    <t>5261043858</t>
  </si>
  <si>
    <t>7816462725</t>
  </si>
  <si>
    <t>100007165119000013</t>
  </si>
  <si>
    <t>100242027119000023</t>
  </si>
  <si>
    <t>7807029071</t>
  </si>
  <si>
    <t>100068517219000025</t>
  </si>
  <si>
    <t>0363100011219000057</t>
  </si>
  <si>
    <t>5528030940</t>
  </si>
  <si>
    <t>0307100022419000087</t>
  </si>
  <si>
    <t>8619009268</t>
  </si>
  <si>
    <t>0187300001719000416</t>
  </si>
  <si>
    <t>8612016001</t>
  </si>
  <si>
    <t>1840056120</t>
  </si>
  <si>
    <t>5503241315</t>
  </si>
  <si>
    <t>100155831219000015</t>
  </si>
  <si>
    <t>100041051119000071</t>
  </si>
  <si>
    <t>4100000668</t>
  </si>
  <si>
    <t>31908109475</t>
  </si>
  <si>
    <t>2019-732581</t>
  </si>
  <si>
    <t>2019-732705</t>
  </si>
  <si>
    <t>9110001370</t>
  </si>
  <si>
    <t>100267936219000009</t>
  </si>
  <si>
    <t>Евпатория</t>
  </si>
  <si>
    <t>7724558466</t>
  </si>
  <si>
    <t>ATOM17071900364</t>
  </si>
  <si>
    <t>1300699</t>
  </si>
  <si>
    <t>2573149</t>
  </si>
  <si>
    <t>2721068961</t>
  </si>
  <si>
    <t>31908106381</t>
  </si>
  <si>
    <t>5075010904</t>
  </si>
  <si>
    <t>31908109194</t>
  </si>
  <si>
    <t>0278198875</t>
  </si>
  <si>
    <t>0301300247619000992</t>
  </si>
  <si>
    <t>7704730084</t>
  </si>
  <si>
    <t>31908108974</t>
  </si>
  <si>
    <t>5012038142</t>
  </si>
  <si>
    <t>31908108871</t>
  </si>
  <si>
    <t>31908108873</t>
  </si>
  <si>
    <t>5509006011</t>
  </si>
  <si>
    <t>0152300010219000079</t>
  </si>
  <si>
    <t>553001313582</t>
  </si>
  <si>
    <t>0133300014119000084</t>
  </si>
  <si>
    <t>0144300004019000421</t>
  </si>
  <si>
    <t>100242027119000022</t>
  </si>
  <si>
    <t>7732537999</t>
  </si>
  <si>
    <t>0373100003519000204</t>
  </si>
  <si>
    <t>2628016101</t>
  </si>
  <si>
    <t>0321300150519000101</t>
  </si>
  <si>
    <t>262810418467</t>
  </si>
  <si>
    <t>2632102628</t>
  </si>
  <si>
    <t>2635209369</t>
  </si>
  <si>
    <t>262902247194</t>
  </si>
  <si>
    <t>6165033136</t>
  </si>
  <si>
    <t>31908107570</t>
  </si>
  <si>
    <t>[ОКПД2 26.40] Техника бытовая электронная, [ОКПД2 27.32] Провода и кабели электронные и электрические прочие, [ОКПД2 27.33] Изделия электроустановочные, [ОКВЭД2 47.43] Торговля розничная аудио- и видеотехникой в специализированных магазинах</t>
  </si>
  <si>
    <t>31908107799</t>
  </si>
  <si>
    <t>4401102328</t>
  </si>
  <si>
    <t>100148194219000006</t>
  </si>
  <si>
    <t>2127011208</t>
  </si>
  <si>
    <t>976014</t>
  </si>
  <si>
    <t>7825117637</t>
  </si>
  <si>
    <t>0172100008119000054</t>
  </si>
  <si>
    <t>100148194219000007</t>
  </si>
  <si>
    <t>1294814</t>
  </si>
  <si>
    <t>315702</t>
  </si>
  <si>
    <t>777860</t>
  </si>
  <si>
    <t>[ОКПД2 33.20] Услуги по монтажу промышленных машин и оборудования, [ОКПД2 33.13] Услуги по ремонту электронного и оптического оборудования</t>
  </si>
  <si>
    <t>0139100004619000046</t>
  </si>
  <si>
    <t>100143130219000036</t>
  </si>
  <si>
    <t>0363100011219000056</t>
  </si>
  <si>
    <t>[ОКПД2 14.39] Предметы одежды трикотажные и вязаные прочие, [ОКПД2 15.12] Чемоданы, сумки дамские и аналогичные изделия; изделия шорно-седельные и упряжь</t>
  </si>
  <si>
    <t>5752072265</t>
  </si>
  <si>
    <t>7703003336</t>
  </si>
  <si>
    <t>9701123303</t>
  </si>
  <si>
    <t>31908106126</t>
  </si>
  <si>
    <t>SBR035-190073894100025</t>
  </si>
  <si>
    <t>0574500000119000007</t>
  </si>
  <si>
    <t>4501207395</t>
  </si>
  <si>
    <t>0843500000219001804</t>
  </si>
  <si>
    <t>6319734134</t>
  </si>
  <si>
    <t>5190022601</t>
  </si>
  <si>
    <t>3811087625</t>
  </si>
  <si>
    <t>31908104977</t>
  </si>
  <si>
    <t>[ОКПД2 84.24] Услуги по обеспечению общественного порядка и безопасности, [ОКВЭД2 80+] Деятельность по обеспечению безопасности и проведению расследований</t>
  </si>
  <si>
    <t>6144002970</t>
  </si>
  <si>
    <t>975178</t>
  </si>
  <si>
    <t>Гуково</t>
  </si>
  <si>
    <t>6605000060</t>
  </si>
  <si>
    <t>0362200030519000038</t>
  </si>
  <si>
    <t>Богданович</t>
  </si>
  <si>
    <t>6679121119</t>
  </si>
  <si>
    <t>0542600011619000018</t>
  </si>
  <si>
    <t>5050081533</t>
  </si>
  <si>
    <t>0148300044119000026</t>
  </si>
  <si>
    <t>Звездный городок</t>
  </si>
  <si>
    <t>9729150890</t>
  </si>
  <si>
    <t>974841</t>
  </si>
  <si>
    <t>190709/0513/1040</t>
  </si>
  <si>
    <t>2019-732444</t>
  </si>
  <si>
    <t>31908104527</t>
  </si>
  <si>
    <t>0550006493</t>
  </si>
  <si>
    <t>0303300206319000013</t>
  </si>
  <si>
    <t>Дагестанские Огни</t>
  </si>
  <si>
    <t>0542018713</t>
  </si>
  <si>
    <t>SBR035-190003234300052</t>
  </si>
  <si>
    <t>100068517219000024</t>
  </si>
  <si>
    <t>6663056513</t>
  </si>
  <si>
    <t>0362200017419000024</t>
  </si>
  <si>
    <t>6658495924</t>
  </si>
  <si>
    <t>6671026505</t>
  </si>
  <si>
    <t>8617014488</t>
  </si>
  <si>
    <t>0387200030619000043</t>
  </si>
  <si>
    <t>890102894067</t>
  </si>
  <si>
    <t>8602271161</t>
  </si>
  <si>
    <t>5011006003</t>
  </si>
  <si>
    <t>777573</t>
  </si>
  <si>
    <t>31908103836</t>
  </si>
  <si>
    <t>5032139406</t>
  </si>
  <si>
    <t>777545</t>
  </si>
  <si>
    <t>6661001660</t>
  </si>
  <si>
    <t>0162100021819000042</t>
  </si>
  <si>
    <t>6658424049</t>
  </si>
  <si>
    <t>6119007607</t>
  </si>
  <si>
    <t>974193</t>
  </si>
  <si>
    <t>Матвеево-Курганский район</t>
  </si>
  <si>
    <t>6124000893</t>
  </si>
  <si>
    <t>0358300218719000146</t>
  </si>
  <si>
    <t>Обливский район</t>
  </si>
  <si>
    <t>5190800114</t>
  </si>
  <si>
    <t>0149200002319004629</t>
  </si>
  <si>
    <t>5105004379</t>
  </si>
  <si>
    <t>5190080096</t>
  </si>
  <si>
    <t>COM16071900054</t>
  </si>
  <si>
    <t>6500000024</t>
  </si>
  <si>
    <t>31908100260</t>
  </si>
  <si>
    <t>[ОКПД2 42.22] Сооружения и строительные работы по строительству коммунальных объектов для электроснабжения и связи, [ОКВЭД2 42+] Строительство инженерных сооружений</t>
  </si>
  <si>
    <t>7719614852</t>
  </si>
  <si>
    <t>0373200006219001235</t>
  </si>
  <si>
    <t>31908102291</t>
  </si>
  <si>
    <t>5045025942</t>
  </si>
  <si>
    <t>777387</t>
  </si>
  <si>
    <t>100132805219000054</t>
  </si>
  <si>
    <t>0862600013619000153</t>
  </si>
  <si>
    <t>0270001580</t>
  </si>
  <si>
    <t>31908101937</t>
  </si>
  <si>
    <t>[ОКПД2 47.73] Услуги по розничной торговле лекарственными средствами в специализированных магазинах, [ОКВЭД2 47.73] Торговля розничная лекарственными средствами в специализированных магазинах (аптеках)</t>
  </si>
  <si>
    <t>Учалы</t>
  </si>
  <si>
    <t>5259011464</t>
  </si>
  <si>
    <t>0332300253119000024</t>
  </si>
  <si>
    <t>0110100000619000012</t>
  </si>
  <si>
    <t>1102027130</t>
  </si>
  <si>
    <t>0307300009119000084</t>
  </si>
  <si>
    <t>7709486087</t>
  </si>
  <si>
    <t>5011005955</t>
  </si>
  <si>
    <t>777295</t>
  </si>
  <si>
    <t>8904038210</t>
  </si>
  <si>
    <t>0190300010819000439</t>
  </si>
  <si>
    <t>8904069988</t>
  </si>
  <si>
    <t>8904084270</t>
  </si>
  <si>
    <t>1902024890</t>
  </si>
  <si>
    <t>6147021473</t>
  </si>
  <si>
    <t>0158100025919000008</t>
  </si>
  <si>
    <t>Каменск-Шахтинский</t>
  </si>
  <si>
    <t>614702765681</t>
  </si>
  <si>
    <t>616513569526</t>
  </si>
  <si>
    <t>6155059939</t>
  </si>
  <si>
    <t>31908101586</t>
  </si>
  <si>
    <t>5907005546</t>
  </si>
  <si>
    <t>100153634219000011</t>
  </si>
  <si>
    <t>100153634219000010</t>
  </si>
  <si>
    <t>5225002101</t>
  </si>
  <si>
    <t>100240303119000024</t>
  </si>
  <si>
    <t>Перевозский район</t>
  </si>
  <si>
    <t>5904081482</t>
  </si>
  <si>
    <t>31908100345</t>
  </si>
  <si>
    <t>6377014985</t>
  </si>
  <si>
    <t>100085528219000018</t>
  </si>
  <si>
    <t>Нефтегорский район</t>
  </si>
  <si>
    <t>100085528219000019</t>
  </si>
  <si>
    <t>100264446119000187</t>
  </si>
  <si>
    <t>2019-732132</t>
  </si>
  <si>
    <t>7706453728</t>
  </si>
  <si>
    <t>COM16071900080</t>
  </si>
  <si>
    <t>6661000635</t>
  </si>
  <si>
    <t>31908098970</t>
  </si>
  <si>
    <t>[ОКПД2 26.30] Оборудование коммуникационное, [ОКВЭД2 47.43] Торговля розничная аудио- и видеотехникой в специализированных магазинах</t>
  </si>
  <si>
    <t>7705598840</t>
  </si>
  <si>
    <t>100164187219000002</t>
  </si>
  <si>
    <t>2536238023</t>
  </si>
  <si>
    <t>0120100009619000050</t>
  </si>
  <si>
    <t>2540183923</t>
  </si>
  <si>
    <t>100281469119000059</t>
  </si>
  <si>
    <t>3821001560</t>
  </si>
  <si>
    <t>0334300041419000189</t>
  </si>
  <si>
    <t>3821009263</t>
  </si>
  <si>
    <t>7702361427</t>
  </si>
  <si>
    <t>0173100013919000045</t>
  </si>
  <si>
    <t>[ОКПД2 72.20] Услуги, связанные с научными исследованиями и экспериментальными разработками в области общественных и гуманитарных наук</t>
  </si>
  <si>
    <t>7708083600</t>
  </si>
  <si>
    <t>100240303119000023</t>
  </si>
  <si>
    <t>[ОКПД2 33.12] Услуги по ремонту оборудования, [ОКПД2 43.21] Работы электромонтажные</t>
  </si>
  <si>
    <t>4105032720</t>
  </si>
  <si>
    <t>31908095922</t>
  </si>
  <si>
    <t>[ОКПД2 26.70] Приборы оптические и фотографическое оборудование, [ОКВЭД2 26.70] Производство оптических приборов, фото- и кинооборудования</t>
  </si>
  <si>
    <t>4101183767</t>
  </si>
  <si>
    <t>31908095927</t>
  </si>
  <si>
    <t>0165100009019000055</t>
  </si>
  <si>
    <t>5075010630</t>
  </si>
  <si>
    <t>31908098371</t>
  </si>
  <si>
    <t>0275072433</t>
  </si>
  <si>
    <t>0301100003519000086</t>
  </si>
  <si>
    <t>6905009018</t>
  </si>
  <si>
    <t>0136200003619004031</t>
  </si>
  <si>
    <t>31908098055</t>
  </si>
  <si>
    <t>[ОКПД2 71.20] Услуги в области технических испытаний, исследований, анализа и сертификации, [ОКВЭД2 41.10] Разработка строительных проектов</t>
  </si>
  <si>
    <t>6726018979</t>
  </si>
  <si>
    <t>31908097372</t>
  </si>
  <si>
    <t>4442003213</t>
  </si>
  <si>
    <t>0341300031519000187</t>
  </si>
  <si>
    <t>4401076847</t>
  </si>
  <si>
    <t>4401034879</t>
  </si>
  <si>
    <t>4401077826</t>
  </si>
  <si>
    <t>0136200003619004030</t>
  </si>
  <si>
    <t>0136200003619004026</t>
  </si>
  <si>
    <t>0136200003619004025</t>
  </si>
  <si>
    <t>5044019400</t>
  </si>
  <si>
    <t>776630</t>
  </si>
  <si>
    <t>[ОКПД2 26.40] Техника бытовая электронная, [ОКПД2 25.72] Замки и петли, [ОКПД2 27.32] Провода и кабели электронные и электрические прочие, [ОКПД2 26.20] Компьютеры и периферийное оборудование, [ОКПД2 26.70] Приборы оптические и фотографическое оборудование, [ОКПД2 25.73] Инструмент</t>
  </si>
  <si>
    <t>0136200003619004027</t>
  </si>
  <si>
    <t>1001034854</t>
  </si>
  <si>
    <t>[ОКПД2 26.40] Техника бытовая электронная, [ОКПД2 27.3+] Кабели и арматура кабельная, [ОКПД2 43.29] Работы строительно-монтажные прочие</t>
  </si>
  <si>
    <t>0136200003619004028</t>
  </si>
  <si>
    <t>0136200003619004029</t>
  </si>
  <si>
    <t>5834055260</t>
  </si>
  <si>
    <t>100257416219000097</t>
  </si>
  <si>
    <t>0136200003619004023</t>
  </si>
  <si>
    <t>0136200003619004024</t>
  </si>
  <si>
    <t>7805149359</t>
  </si>
  <si>
    <t>0372200042419000025</t>
  </si>
  <si>
    <t>7810575218</t>
  </si>
  <si>
    <t>7802854063</t>
  </si>
  <si>
    <t>7811433311</t>
  </si>
  <si>
    <t>7814250475</t>
  </si>
  <si>
    <t>7805732472</t>
  </si>
  <si>
    <t>2571888</t>
  </si>
  <si>
    <t>5408147538</t>
  </si>
  <si>
    <t>0251100002119000016</t>
  </si>
  <si>
    <t>4205375745</t>
  </si>
  <si>
    <t>5408146397</t>
  </si>
  <si>
    <t>4217072375</t>
  </si>
  <si>
    <t>5406987820</t>
  </si>
  <si>
    <t>3801120337</t>
  </si>
  <si>
    <t>ATOM15071900006</t>
  </si>
  <si>
    <t>2420070928</t>
  </si>
  <si>
    <t>2571849</t>
  </si>
  <si>
    <t>1297684</t>
  </si>
  <si>
    <t>969452</t>
  </si>
  <si>
    <t>7536069159</t>
  </si>
  <si>
    <t>100298605119000021</t>
  </si>
  <si>
    <t>7731414433</t>
  </si>
  <si>
    <t>5077010804</t>
  </si>
  <si>
    <t>776415</t>
  </si>
  <si>
    <t>2309054573</t>
  </si>
  <si>
    <t>100262888219000010</t>
  </si>
  <si>
    <t>7704810710</t>
  </si>
  <si>
    <t>31908095304</t>
  </si>
  <si>
    <t>0268039241</t>
  </si>
  <si>
    <t>0101300031319000229</t>
  </si>
  <si>
    <t>0276904109</t>
  </si>
  <si>
    <t>0241005414</t>
  </si>
  <si>
    <t>0323102031</t>
  </si>
  <si>
    <t>31908092909</t>
  </si>
  <si>
    <t>100068517119000026</t>
  </si>
  <si>
    <t>5009035663</t>
  </si>
  <si>
    <t>776286</t>
  </si>
  <si>
    <t>5005041320</t>
  </si>
  <si>
    <t>776253</t>
  </si>
  <si>
    <t>5401109364</t>
  </si>
  <si>
    <t>0851200000619003783</t>
  </si>
  <si>
    <t>5410149444</t>
  </si>
  <si>
    <t>5405222667</t>
  </si>
  <si>
    <t>5433151739</t>
  </si>
  <si>
    <t>2801222320</t>
  </si>
  <si>
    <t>5408009930</t>
  </si>
  <si>
    <t>3666008174</t>
  </si>
  <si>
    <t>31908094308</t>
  </si>
  <si>
    <t>6449023100</t>
  </si>
  <si>
    <t>31908094510</t>
  </si>
  <si>
    <t>Энгельсский район</t>
  </si>
  <si>
    <t>1297225</t>
  </si>
  <si>
    <t>5027036772</t>
  </si>
  <si>
    <t>0848300053019000128</t>
  </si>
  <si>
    <t>Котельники</t>
  </si>
  <si>
    <t>5027190735</t>
  </si>
  <si>
    <t>5027190742</t>
  </si>
  <si>
    <t>6161029812</t>
  </si>
  <si>
    <t>968415</t>
  </si>
  <si>
    <t>8901025446</t>
  </si>
  <si>
    <t>0190200000319007937</t>
  </si>
  <si>
    <t>8901030774</t>
  </si>
  <si>
    <t>8901037473</t>
  </si>
  <si>
    <t>6605006351</t>
  </si>
  <si>
    <t>31908092573</t>
  </si>
  <si>
    <t>5192110050</t>
  </si>
  <si>
    <t>31908092677</t>
  </si>
  <si>
    <t>[ОКПД2 33.13] Услуги по ремонту электронного и оптического оборудования, [ОКВЭД2 33.19] Ремонт прочего оборудования</t>
  </si>
  <si>
    <t>5043016484</t>
  </si>
  <si>
    <t>776092</t>
  </si>
  <si>
    <t>5050016372</t>
  </si>
  <si>
    <t>776094</t>
  </si>
  <si>
    <t>5190163962</t>
  </si>
  <si>
    <t>100046793219000013</t>
  </si>
  <si>
    <t>Кольский район</t>
  </si>
  <si>
    <t>100189089119000032</t>
  </si>
  <si>
    <t>2129009250</t>
  </si>
  <si>
    <t>0115200001119001881</t>
  </si>
  <si>
    <t>1659052122</t>
  </si>
  <si>
    <t>2130198443</t>
  </si>
  <si>
    <t>2129047305</t>
  </si>
  <si>
    <t>2127324497</t>
  </si>
  <si>
    <t>7736046504</t>
  </si>
  <si>
    <t>31908092543</t>
  </si>
  <si>
    <t>8605012077</t>
  </si>
  <si>
    <t>968029</t>
  </si>
  <si>
    <t>100271489119000055</t>
  </si>
  <si>
    <t>5038005825</t>
  </si>
  <si>
    <t>775960</t>
  </si>
  <si>
    <t>2209011079</t>
  </si>
  <si>
    <t>0117300085519000095</t>
  </si>
  <si>
    <t>Рубцовск</t>
  </si>
  <si>
    <t>2209040351</t>
  </si>
  <si>
    <t>2222874370</t>
  </si>
  <si>
    <t>2223607441</t>
  </si>
  <si>
    <t>7801136408</t>
  </si>
  <si>
    <t>0372200101319000015</t>
  </si>
  <si>
    <t>7805672417</t>
  </si>
  <si>
    <t>4321005390</t>
  </si>
  <si>
    <t>100145408219000005</t>
  </si>
  <si>
    <t>Нолинский район</t>
  </si>
  <si>
    <t>100145408219000008</t>
  </si>
  <si>
    <t>100145408219000004</t>
  </si>
  <si>
    <t>100145408219000007</t>
  </si>
  <si>
    <t>0711044742</t>
  </si>
  <si>
    <t>100197556119000009</t>
  </si>
  <si>
    <t>5406306550</t>
  </si>
  <si>
    <t>100146482219000032</t>
  </si>
  <si>
    <t>967439</t>
  </si>
  <si>
    <t>800204529</t>
  </si>
  <si>
    <t>1655395778</t>
  </si>
  <si>
    <t>315217</t>
  </si>
  <si>
    <t>2450000491</t>
  </si>
  <si>
    <t>0119200000119006322</t>
  </si>
  <si>
    <t>Канск</t>
  </si>
  <si>
    <t>2450032662</t>
  </si>
  <si>
    <t>2464122620</t>
  </si>
  <si>
    <t>2450031348</t>
  </si>
  <si>
    <t>100103680119000033</t>
  </si>
  <si>
    <t>5610070022</t>
  </si>
  <si>
    <t>0853500000319007356</t>
  </si>
  <si>
    <t>2717005704</t>
  </si>
  <si>
    <t>100067397119000047</t>
  </si>
  <si>
    <t>Солнечный район</t>
  </si>
  <si>
    <t>2019-731315</t>
  </si>
  <si>
    <t>2315061040</t>
  </si>
  <si>
    <t>31908090546</t>
  </si>
  <si>
    <t>7458000686</t>
  </si>
  <si>
    <t>100160793219000013</t>
  </si>
  <si>
    <t>775792</t>
  </si>
  <si>
    <t>5070011407</t>
  </si>
  <si>
    <t>775787</t>
  </si>
  <si>
    <t>МОСКВА2019-0043(КО)</t>
  </si>
  <si>
    <t>7722593458</t>
  </si>
  <si>
    <t>7715787653</t>
  </si>
  <si>
    <t>8911018039</t>
  </si>
  <si>
    <t>31908088978</t>
  </si>
  <si>
    <t>2113002010</t>
  </si>
  <si>
    <t>0315200017819000005</t>
  </si>
  <si>
    <t>2129055659</t>
  </si>
  <si>
    <t>1659049137</t>
  </si>
  <si>
    <t>6382052087</t>
  </si>
  <si>
    <t>2124032376</t>
  </si>
  <si>
    <t>8601018303</t>
  </si>
  <si>
    <t>0387300055719000003</t>
  </si>
  <si>
    <t>8601033887</t>
  </si>
  <si>
    <t>1435035635</t>
  </si>
  <si>
    <t>0216200000119000032</t>
  </si>
  <si>
    <t>1434044517</t>
  </si>
  <si>
    <t>143518742735</t>
  </si>
  <si>
    <t>1435296436</t>
  </si>
  <si>
    <t>1435222522</t>
  </si>
  <si>
    <t>1435005550</t>
  </si>
  <si>
    <t>1435281623</t>
  </si>
  <si>
    <t>7719839486</t>
  </si>
  <si>
    <t>1435274464</t>
  </si>
  <si>
    <t>4632093423</t>
  </si>
  <si>
    <t>31908089833</t>
  </si>
  <si>
    <t>6325997533</t>
  </si>
  <si>
    <t>0342100040819000021</t>
  </si>
  <si>
    <t>6325027334</t>
  </si>
  <si>
    <t>7743870208</t>
  </si>
  <si>
    <t>6318168694</t>
  </si>
  <si>
    <t>3703007051</t>
  </si>
  <si>
    <t>0333300042219000137</t>
  </si>
  <si>
    <t>3703014683</t>
  </si>
  <si>
    <t>31908089790</t>
  </si>
  <si>
    <t>SBR016-1907110003</t>
  </si>
  <si>
    <t>ВВБ2019-0129(ЗКО)</t>
  </si>
  <si>
    <t>1658045274</t>
  </si>
  <si>
    <t>31908088105</t>
  </si>
  <si>
    <t>6682003041</t>
  </si>
  <si>
    <t>31908088161</t>
  </si>
  <si>
    <t>31908088061</t>
  </si>
  <si>
    <t>6104002620</t>
  </si>
  <si>
    <t>965883</t>
  </si>
  <si>
    <t>Боковский район</t>
  </si>
  <si>
    <t>0274051582</t>
  </si>
  <si>
    <t>31908087868</t>
  </si>
  <si>
    <t>3115005177</t>
  </si>
  <si>
    <t>965905</t>
  </si>
  <si>
    <t>Прохоровский район</t>
  </si>
  <si>
    <t>0816500000619009761</t>
  </si>
  <si>
    <t>3106001994</t>
  </si>
  <si>
    <t>100270982219000006</t>
  </si>
  <si>
    <t>Волоконовский район</t>
  </si>
  <si>
    <t>0319100010319000069</t>
  </si>
  <si>
    <t>0326543683</t>
  </si>
  <si>
    <t>0574500000119000006</t>
  </si>
  <si>
    <t>9204559058</t>
  </si>
  <si>
    <t>0319100010319000070</t>
  </si>
  <si>
    <t>500709</t>
  </si>
  <si>
    <t>6603009903</t>
  </si>
  <si>
    <t>31908087469</t>
  </si>
  <si>
    <t>7901009072</t>
  </si>
  <si>
    <t>31908085988</t>
  </si>
  <si>
    <t>Еврейская автономная область</t>
  </si>
  <si>
    <t>Биробиджан</t>
  </si>
  <si>
    <t>5044050826</t>
  </si>
  <si>
    <t>775376</t>
  </si>
  <si>
    <t>7017251534</t>
  </si>
  <si>
    <t>965079</t>
  </si>
  <si>
    <t>[ОКПД2 29.32] Комплектующие и принадлежности для автотранспортных средств прочие, [ОКПД2 33.20] Услуги по монтажу промышленных машин и оборудования</t>
  </si>
  <si>
    <t>5044000825</t>
  </si>
  <si>
    <t>0348200002719000072</t>
  </si>
  <si>
    <t>5044109558</t>
  </si>
  <si>
    <t>7714947463</t>
  </si>
  <si>
    <t>6102021579</t>
  </si>
  <si>
    <t>965176</t>
  </si>
  <si>
    <t>Аксайский район</t>
  </si>
  <si>
    <t>2722099955</t>
  </si>
  <si>
    <t>0122400000119000067</t>
  </si>
  <si>
    <t>4027065394</t>
  </si>
  <si>
    <t>100150889219000025</t>
  </si>
  <si>
    <t>0362200052119000014</t>
  </si>
  <si>
    <t>100085528119000019</t>
  </si>
  <si>
    <t>100123707119000023</t>
  </si>
  <si>
    <t>4403001533</t>
  </si>
  <si>
    <t>0141100004519000002</t>
  </si>
  <si>
    <t>100085528119000020</t>
  </si>
  <si>
    <t>0333200014619000077</t>
  </si>
  <si>
    <t>5022032284</t>
  </si>
  <si>
    <t>100132040119000010</t>
  </si>
  <si>
    <t>6658001558</t>
  </si>
  <si>
    <t>0362200032319000137</t>
  </si>
  <si>
    <t>Сысертский район</t>
  </si>
  <si>
    <t>5022028471</t>
  </si>
  <si>
    <t>775122</t>
  </si>
  <si>
    <t>2464036561</t>
  </si>
  <si>
    <t>РН943187</t>
  </si>
  <si>
    <t>[ОКПД2 09.10] Услуги по добыче нефти и природного газа, [ОКВЭД2 09.10] Предоставление услуг в области добычи нефти и природного газа</t>
  </si>
  <si>
    <t>5446018903</t>
  </si>
  <si>
    <t>31908085932</t>
  </si>
  <si>
    <t>0330200024919000003</t>
  </si>
  <si>
    <t>Череповецкий район</t>
  </si>
  <si>
    <t>3525419291</t>
  </si>
  <si>
    <t>3525339906</t>
  </si>
  <si>
    <t>7024023673</t>
  </si>
  <si>
    <t>100224002219000037</t>
  </si>
  <si>
    <t>6662054224</t>
  </si>
  <si>
    <t>EX19071100016</t>
  </si>
  <si>
    <t>4105015428</t>
  </si>
  <si>
    <t>31908082104</t>
  </si>
  <si>
    <t>5008046246</t>
  </si>
  <si>
    <t>775025</t>
  </si>
  <si>
    <t>1431010647</t>
  </si>
  <si>
    <t>31908083235</t>
  </si>
  <si>
    <t>6164101489</t>
  </si>
  <si>
    <t>963794</t>
  </si>
  <si>
    <t>4105033191</t>
  </si>
  <si>
    <t>0138300002119000078</t>
  </si>
  <si>
    <t>[ОКПД2 26.30] Оборудование коммуникационное, [ОКПД2 26.40] Техника бытовая электронная</t>
  </si>
  <si>
    <t>410114985221</t>
  </si>
  <si>
    <t>2311028605</t>
  </si>
  <si>
    <t>31908085282</t>
  </si>
  <si>
    <t>7705709543</t>
  </si>
  <si>
    <t>31908085459</t>
  </si>
  <si>
    <t>5411100064</t>
  </si>
  <si>
    <t>31908083337</t>
  </si>
  <si>
    <t>5032067840</t>
  </si>
  <si>
    <t>774901</t>
  </si>
  <si>
    <t>7708698473</t>
  </si>
  <si>
    <t>31908084797</t>
  </si>
  <si>
    <t>1434031476</t>
  </si>
  <si>
    <t>0116300037719000010</t>
  </si>
  <si>
    <t>Нерюнгри</t>
  </si>
  <si>
    <t>5834029976</t>
  </si>
  <si>
    <t>0155100005419000068</t>
  </si>
  <si>
    <t>5836629721</t>
  </si>
  <si>
    <t>4503000727</t>
  </si>
  <si>
    <t>0343300008319000044</t>
  </si>
  <si>
    <t>Альменевский район</t>
  </si>
  <si>
    <t>5040036718</t>
  </si>
  <si>
    <t>31908084293</t>
  </si>
  <si>
    <t>[ОКПД2 33.11] Услуги по ремонту металлоизделий, [ОКВЭД2 33.1+] Ремонт и монтаж металлических изделий, машин и оборудования</t>
  </si>
  <si>
    <t>774759</t>
  </si>
  <si>
    <t>2570625</t>
  </si>
  <si>
    <t>ATOM10071900065</t>
  </si>
  <si>
    <t>1294958</t>
  </si>
  <si>
    <t>5610133346</t>
  </si>
  <si>
    <t>100177206119000031</t>
  </si>
  <si>
    <t>5007033406</t>
  </si>
  <si>
    <t>774681</t>
  </si>
  <si>
    <t>6506907820</t>
  </si>
  <si>
    <t>0561600001319000002</t>
  </si>
  <si>
    <t>Оха</t>
  </si>
  <si>
    <t>5024140743</t>
  </si>
  <si>
    <t>666301954920</t>
  </si>
  <si>
    <t>3703006996</t>
  </si>
  <si>
    <t>100080651119000144</t>
  </si>
  <si>
    <t>0373100029519000088</t>
  </si>
  <si>
    <t>7710379690</t>
  </si>
  <si>
    <t>7726306383</t>
  </si>
  <si>
    <t>31908083004</t>
  </si>
  <si>
    <t>2721026055</t>
  </si>
  <si>
    <t>0322200015219000095</t>
  </si>
  <si>
    <t>2723158297</t>
  </si>
  <si>
    <t>2720039799</t>
  </si>
  <si>
    <t>0342200046519000028</t>
  </si>
  <si>
    <t>772702835336</t>
  </si>
  <si>
    <t>7325149334</t>
  </si>
  <si>
    <t>315060</t>
  </si>
  <si>
    <t>8301020157</t>
  </si>
  <si>
    <t>962565</t>
  </si>
  <si>
    <t>5834007436</t>
  </si>
  <si>
    <t>31908082546</t>
  </si>
  <si>
    <t>[ОКПД2 33.20] Услуги по монтажу промышленных машин и оборудования, [ОКВЭД2 33+] Ремонт и монтаж машин и оборудования</t>
  </si>
  <si>
    <t>7811130035</t>
  </si>
  <si>
    <t>0372200087319000045</t>
  </si>
  <si>
    <t>511201054713</t>
  </si>
  <si>
    <t>352512081937</t>
  </si>
  <si>
    <t>5034082628</t>
  </si>
  <si>
    <t>774503</t>
  </si>
  <si>
    <t>5017027232</t>
  </si>
  <si>
    <t>0848300048219000188</t>
  </si>
  <si>
    <t>4028028003</t>
  </si>
  <si>
    <t>7720346630</t>
  </si>
  <si>
    <t>6902024427</t>
  </si>
  <si>
    <t>0136100010319000049</t>
  </si>
  <si>
    <t>2709010186</t>
  </si>
  <si>
    <t>100173747219000006</t>
  </si>
  <si>
    <t>31908081964</t>
  </si>
  <si>
    <t>6114003736</t>
  </si>
  <si>
    <t>0158300000419000072</t>
  </si>
  <si>
    <t>614308144100</t>
  </si>
  <si>
    <t>4811007928</t>
  </si>
  <si>
    <t>0346300044719000012</t>
  </si>
  <si>
    <t>Данковский район</t>
  </si>
  <si>
    <t>4826138521</t>
  </si>
  <si>
    <t>4826101786</t>
  </si>
  <si>
    <t>4825111189</t>
  </si>
  <si>
    <t>100099917119000024</t>
  </si>
  <si>
    <t>4101099096</t>
  </si>
  <si>
    <t>100195970219000018</t>
  </si>
  <si>
    <t>3904021828</t>
  </si>
  <si>
    <t>31908081240</t>
  </si>
  <si>
    <t>7320002585</t>
  </si>
  <si>
    <t>31908081003</t>
  </si>
  <si>
    <t>[ОКПД2 26.40] Техника бытовая электронная, [ОКВЭД2 46.52] Торговля оптовая электронным и телекоммуникационным оборудованием и его запасными частями</t>
  </si>
  <si>
    <t>5014011153</t>
  </si>
  <si>
    <t>774401</t>
  </si>
  <si>
    <t>7734077659</t>
  </si>
  <si>
    <t>0373200030319000017</t>
  </si>
  <si>
    <t>7725795100</t>
  </si>
  <si>
    <t>5032217277</t>
  </si>
  <si>
    <t>3112263003</t>
  </si>
  <si>
    <t>961050</t>
  </si>
  <si>
    <t>Красненский район</t>
  </si>
  <si>
    <t>100294189119000033</t>
  </si>
  <si>
    <t>0320001606</t>
  </si>
  <si>
    <t>0302300030119000014</t>
  </si>
  <si>
    <t>Тункинский район</t>
  </si>
  <si>
    <t>032382538464</t>
  </si>
  <si>
    <t>6729045219</t>
  </si>
  <si>
    <t>100163894219000003</t>
  </si>
  <si>
    <t>0268039347</t>
  </si>
  <si>
    <t>0101300031319000210</t>
  </si>
  <si>
    <t>0278109628</t>
  </si>
  <si>
    <t>0276131730</t>
  </si>
  <si>
    <t>0274018377</t>
  </si>
  <si>
    <t>7723336742</t>
  </si>
  <si>
    <t>0173100001219000010</t>
  </si>
  <si>
    <t>7736218471</t>
  </si>
  <si>
    <t>1109013899</t>
  </si>
  <si>
    <t>7707355931</t>
  </si>
  <si>
    <t>7725599779</t>
  </si>
  <si>
    <t>7717623386</t>
  </si>
  <si>
    <t>7705531726</t>
  </si>
  <si>
    <t>5044056666</t>
  </si>
  <si>
    <t>7715444663</t>
  </si>
  <si>
    <t>5031063962</t>
  </si>
  <si>
    <t>5010011258</t>
  </si>
  <si>
    <t>774123</t>
  </si>
  <si>
    <t>100146482119000051</t>
  </si>
  <si>
    <t>6166096308</t>
  </si>
  <si>
    <t>0358300442819000013</t>
  </si>
  <si>
    <t>262405562118</t>
  </si>
  <si>
    <t>615399018303</t>
  </si>
  <si>
    <t>616204496856</t>
  </si>
  <si>
    <t>6166042662</t>
  </si>
  <si>
    <t>0572021777</t>
  </si>
  <si>
    <t>6164084554</t>
  </si>
  <si>
    <t>3604004606</t>
  </si>
  <si>
    <t>0131300011219000262</t>
  </si>
  <si>
    <t>3604018292</t>
  </si>
  <si>
    <t>362300219114</t>
  </si>
  <si>
    <t>6621008571</t>
  </si>
  <si>
    <t>0162300019819000185</t>
  </si>
  <si>
    <t>Невьянский район</t>
  </si>
  <si>
    <t>6673247490</t>
  </si>
  <si>
    <t>667117290933</t>
  </si>
  <si>
    <t>6679110460</t>
  </si>
  <si>
    <t>665815697524</t>
  </si>
  <si>
    <t>3663022212</t>
  </si>
  <si>
    <t>0331100001019000093</t>
  </si>
  <si>
    <t>6603010151</t>
  </si>
  <si>
    <t>31908078414</t>
  </si>
  <si>
    <t>100041299219000039</t>
  </si>
  <si>
    <t>6167021200</t>
  </si>
  <si>
    <t>100116826219000030</t>
  </si>
  <si>
    <t>2221016531</t>
  </si>
  <si>
    <t>0317100017719000009</t>
  </si>
  <si>
    <t>6315230513</t>
  </si>
  <si>
    <t>ГП907971</t>
  </si>
  <si>
    <t>0323071753</t>
  </si>
  <si>
    <t>0302200006019000067</t>
  </si>
  <si>
    <t>0326046441</t>
  </si>
  <si>
    <t>0326005170</t>
  </si>
  <si>
    <t>1515900068</t>
  </si>
  <si>
    <t>100061858219000011</t>
  </si>
  <si>
    <t>5012030591</t>
  </si>
  <si>
    <t>31908078403</t>
  </si>
  <si>
    <t>РН931511</t>
  </si>
  <si>
    <t>7725524660</t>
  </si>
  <si>
    <t>1293721</t>
  </si>
  <si>
    <t>100195410219000056</t>
  </si>
  <si>
    <t>5440113389</t>
  </si>
  <si>
    <t>959403</t>
  </si>
  <si>
    <t>6715001490</t>
  </si>
  <si>
    <t>100185905219000014</t>
  </si>
  <si>
    <t>Сычевский район</t>
  </si>
  <si>
    <t>100195410219000057</t>
  </si>
  <si>
    <t>0342100040819000016</t>
  </si>
  <si>
    <t>Октябрьск</t>
  </si>
  <si>
    <t>6603009727</t>
  </si>
  <si>
    <t>31908077104</t>
  </si>
  <si>
    <t>0320200029119000014</t>
  </si>
  <si>
    <t>2536175133</t>
  </si>
  <si>
    <t>2521015426</t>
  </si>
  <si>
    <t>2506002944</t>
  </si>
  <si>
    <t>0320100000719000007</t>
  </si>
  <si>
    <t>Дальнереченск</t>
  </si>
  <si>
    <t>2721105613</t>
  </si>
  <si>
    <t>100182096219000021</t>
  </si>
  <si>
    <t>0329100005919000322</t>
  </si>
  <si>
    <t>7722692000</t>
  </si>
  <si>
    <t>2804009600</t>
  </si>
  <si>
    <t>0123100004019000008</t>
  </si>
  <si>
    <t>Белогорск</t>
  </si>
  <si>
    <t>5440112610</t>
  </si>
  <si>
    <t>958197</t>
  </si>
  <si>
    <t>0245023069</t>
  </si>
  <si>
    <t>0301300247619000914</t>
  </si>
  <si>
    <t>Уфимский район</t>
  </si>
  <si>
    <t>026810962088</t>
  </si>
  <si>
    <t>0273091222</t>
  </si>
  <si>
    <t>0278160303</t>
  </si>
  <si>
    <t>773728</t>
  </si>
  <si>
    <t>Жуковский</t>
  </si>
  <si>
    <t>314812</t>
  </si>
  <si>
    <t>2709006503</t>
  </si>
  <si>
    <t>31908073299</t>
  </si>
  <si>
    <t>6607003780</t>
  </si>
  <si>
    <t>0362300248219000117</t>
  </si>
  <si>
    <t>Верхняя Салда</t>
  </si>
  <si>
    <t>6607008925</t>
  </si>
  <si>
    <t>6625017457</t>
  </si>
  <si>
    <t>0162300018019000268</t>
  </si>
  <si>
    <t>31908075457</t>
  </si>
  <si>
    <t>0352200002719000067</t>
  </si>
  <si>
    <t>5503085426</t>
  </si>
  <si>
    <t>5501099776</t>
  </si>
  <si>
    <t>5501073175</t>
  </si>
  <si>
    <t>5004028990</t>
  </si>
  <si>
    <t>773549</t>
  </si>
  <si>
    <t>0575400000119000272</t>
  </si>
  <si>
    <t>0303100003819000004</t>
  </si>
  <si>
    <t>7702443905</t>
  </si>
  <si>
    <t>1609002077</t>
  </si>
  <si>
    <t>0711200000119000038</t>
  </si>
  <si>
    <t>Арский район</t>
  </si>
  <si>
    <t>5005030103</t>
  </si>
  <si>
    <t>773545</t>
  </si>
  <si>
    <t>7705401340</t>
  </si>
  <si>
    <t>0373100128519001869</t>
  </si>
  <si>
    <t>6686016958</t>
  </si>
  <si>
    <t>31908074075</t>
  </si>
  <si>
    <t>5017003810</t>
  </si>
  <si>
    <t>31908074802</t>
  </si>
  <si>
    <t>[ОКПД2 71.12] Услуги в области инженерно-технического проектирования и связанные технические консультативные услуги, [ОКВЭД2 55.20] Деятельность по предоставлению мест для краткосрочного проживания</t>
  </si>
  <si>
    <t>31908074090</t>
  </si>
  <si>
    <t>7727846494</t>
  </si>
  <si>
    <t>0373200032219000933</t>
  </si>
  <si>
    <t>7716652338</t>
  </si>
  <si>
    <t>6115903017</t>
  </si>
  <si>
    <t>956871</t>
  </si>
  <si>
    <t>Кашарский район</t>
  </si>
  <si>
    <t>6602010007</t>
  </si>
  <si>
    <t>31908073486</t>
  </si>
  <si>
    <t>4501042739</t>
  </si>
  <si>
    <t>100259479219000020</t>
  </si>
  <si>
    <t>4509000995</t>
  </si>
  <si>
    <t>0343300002519000043</t>
  </si>
  <si>
    <t>Катайский район</t>
  </si>
  <si>
    <t>4522008175</t>
  </si>
  <si>
    <t>6632014513</t>
  </si>
  <si>
    <t>31908073210</t>
  </si>
  <si>
    <t>0150100004219000112</t>
  </si>
  <si>
    <t>5321192350</t>
  </si>
  <si>
    <t>5318007102</t>
  </si>
  <si>
    <t>5003120513</t>
  </si>
  <si>
    <t>773328</t>
  </si>
  <si>
    <t>773285</t>
  </si>
  <si>
    <t>100294189119000031</t>
  </si>
  <si>
    <t>6150021466</t>
  </si>
  <si>
    <t>0358300324919000019</t>
  </si>
  <si>
    <t>6150044270</t>
  </si>
  <si>
    <t>5440109664</t>
  </si>
  <si>
    <t>956292</t>
  </si>
  <si>
    <t>5432110659</t>
  </si>
  <si>
    <t>0351300248019000003</t>
  </si>
  <si>
    <t>5073009237</t>
  </si>
  <si>
    <t>773253</t>
  </si>
  <si>
    <t>3665016292</t>
  </si>
  <si>
    <t>0331300037219000014</t>
  </si>
  <si>
    <t>3620006329</t>
  </si>
  <si>
    <t>3666195823</t>
  </si>
  <si>
    <t>3664236457</t>
  </si>
  <si>
    <t>2301027433</t>
  </si>
  <si>
    <t>100095757219000007</t>
  </si>
  <si>
    <t>Анапа</t>
  </si>
  <si>
    <t>5070011260</t>
  </si>
  <si>
    <t>773250</t>
  </si>
  <si>
    <t>100193569219000032</t>
  </si>
  <si>
    <t>5045025325</t>
  </si>
  <si>
    <t>31908073081</t>
  </si>
  <si>
    <t>2452040122</t>
  </si>
  <si>
    <t>31908072712</t>
  </si>
  <si>
    <t>31908072971</t>
  </si>
  <si>
    <t>1292447</t>
  </si>
  <si>
    <t>2019/07/2544</t>
  </si>
  <si>
    <t>190705/0611/249</t>
  </si>
  <si>
    <t>1651011685</t>
  </si>
  <si>
    <t>BP00305097</t>
  </si>
  <si>
    <t>31908072473</t>
  </si>
  <si>
    <t>6621001262</t>
  </si>
  <si>
    <t>31908071487</t>
  </si>
  <si>
    <t>31908072108</t>
  </si>
  <si>
    <t>7325056619</t>
  </si>
  <si>
    <t>0368200000919000010</t>
  </si>
  <si>
    <t>8904005920</t>
  </si>
  <si>
    <t>РН919890</t>
  </si>
  <si>
    <t>[ОКПД2 78.30] Услуги в области трудовых ресурсов по обеспечению персоналом прочие, [ОКВЭД2 78.10] Деятельность агентств по подбору персонала</t>
  </si>
  <si>
    <t>5103070023</t>
  </si>
  <si>
    <t>46096</t>
  </si>
  <si>
    <t>7106512065</t>
  </si>
  <si>
    <t>100085570219000004</t>
  </si>
  <si>
    <t>2801060767</t>
  </si>
  <si>
    <t>31908067261</t>
  </si>
  <si>
    <t>7130002918</t>
  </si>
  <si>
    <t>0366200035619004592</t>
  </si>
  <si>
    <t>7107065331</t>
  </si>
  <si>
    <t>7705744234</t>
  </si>
  <si>
    <t>1292242</t>
  </si>
  <si>
    <t>[ОКПД2 25.50] Услуги по ковке, прессованию, штамповке и профилированию листового металла; услуги по производству изделий методом порошковой металлургии</t>
  </si>
  <si>
    <t>Михайловский район</t>
  </si>
  <si>
    <t>100129839219000021</t>
  </si>
  <si>
    <t>31908069883</t>
  </si>
  <si>
    <t>2129039343</t>
  </si>
  <si>
    <t>0115200001119001830</t>
  </si>
  <si>
    <t>7714690225</t>
  </si>
  <si>
    <t>0373200014219000975</t>
  </si>
  <si>
    <t>3241001045</t>
  </si>
  <si>
    <t>9715293150</t>
  </si>
  <si>
    <t>7604175817</t>
  </si>
  <si>
    <t>5030057483</t>
  </si>
  <si>
    <t>6146003979</t>
  </si>
  <si>
    <t>954506</t>
  </si>
  <si>
    <t>Зверево</t>
  </si>
  <si>
    <t>1292129</t>
  </si>
  <si>
    <t>31908067213</t>
  </si>
  <si>
    <t>100163894119000004</t>
  </si>
  <si>
    <t>7704595082</t>
  </si>
  <si>
    <t>31908069772</t>
  </si>
  <si>
    <t>7704001959</t>
  </si>
  <si>
    <t>31908069205</t>
  </si>
  <si>
    <t>0320200029119000010</t>
  </si>
  <si>
    <t>3420007269</t>
  </si>
  <si>
    <t>31908068639</t>
  </si>
  <si>
    <t>5190018080</t>
  </si>
  <si>
    <t>100003718219000012</t>
  </si>
  <si>
    <t>6652007271</t>
  </si>
  <si>
    <t>0362300338719000062</t>
  </si>
  <si>
    <t>31908069413</t>
  </si>
  <si>
    <t>[ОКПД2 26.40] Техника бытовая электронная, [ОКВЭД2 43.29] Производство прочих строительно-монтажных работ</t>
  </si>
  <si>
    <t>0142300006219000094</t>
  </si>
  <si>
    <t>3221003372</t>
  </si>
  <si>
    <t>100285751219000015</t>
  </si>
  <si>
    <t>Навлинский район</t>
  </si>
  <si>
    <t>4909004602</t>
  </si>
  <si>
    <t>0347100001219000027</t>
  </si>
  <si>
    <t>3501005340</t>
  </si>
  <si>
    <t>100076152219000002</t>
  </si>
  <si>
    <t>Бабаевский район</t>
  </si>
  <si>
    <t>31908067366</t>
  </si>
  <si>
    <t>[ОКПД2 26.40] Техника бытовая электронная, [ОКПД2 26.20] Компьютеры и периферийное оборудование, [ОКПД2 27.32] Провода и кабели электронные и электрические прочие, [ОКВЭД2 27.32] Производство прочих проводов и кабелей для электронного и электрического оборудования, [ОКВЭД2 26.40] Производство бытовой электроники, [ОКВЭД2 26.20] Производство компьютеров и периферийного оборудования</t>
  </si>
  <si>
    <t>1117000879</t>
  </si>
  <si>
    <t>0307300058519000149</t>
  </si>
  <si>
    <t>Княжпогостский район</t>
  </si>
  <si>
    <t>0307300058519000150</t>
  </si>
  <si>
    <t>1291660</t>
  </si>
  <si>
    <t>31908066635</t>
  </si>
  <si>
    <t>100195403119000022</t>
  </si>
  <si>
    <t>100182096119000026</t>
  </si>
  <si>
    <t>2019-729461</t>
  </si>
  <si>
    <t>7726447433</t>
  </si>
  <si>
    <t>387303</t>
  </si>
  <si>
    <t>5070010629</t>
  </si>
  <si>
    <t>772636</t>
  </si>
  <si>
    <t>2721083617</t>
  </si>
  <si>
    <t>0122100000619000011</t>
  </si>
  <si>
    <t>3811031622</t>
  </si>
  <si>
    <t>0334200000519000043</t>
  </si>
  <si>
    <t>0302100003019000068</t>
  </si>
  <si>
    <t>0848300046019000390</t>
  </si>
  <si>
    <t>7724451875</t>
  </si>
  <si>
    <t>5022045100</t>
  </si>
  <si>
    <t>5027003858</t>
  </si>
  <si>
    <t>772500</t>
  </si>
  <si>
    <t>5635042210</t>
  </si>
  <si>
    <t>0353600001919000003</t>
  </si>
  <si>
    <t>Новоорский район</t>
  </si>
  <si>
    <t>027405330362</t>
  </si>
  <si>
    <t>0278217567</t>
  </si>
  <si>
    <t>7708797121</t>
  </si>
  <si>
    <t>SBR016-1907040004</t>
  </si>
  <si>
    <t>0873500001019000322</t>
  </si>
  <si>
    <t>0832100001319000088</t>
  </si>
  <si>
    <t>2319025638</t>
  </si>
  <si>
    <t>0318300437919000001</t>
  </si>
  <si>
    <t>2356044484</t>
  </si>
  <si>
    <t>4632170244</t>
  </si>
  <si>
    <t>0334200000519000037</t>
  </si>
  <si>
    <t>Слюдянский район</t>
  </si>
  <si>
    <t>0334200000519000040</t>
  </si>
  <si>
    <t>4202045971</t>
  </si>
  <si>
    <t>100272648119000016</t>
  </si>
  <si>
    <t>Белово</t>
  </si>
  <si>
    <t>6316071792</t>
  </si>
  <si>
    <t>0342100001719000013</t>
  </si>
  <si>
    <t>6163041269</t>
  </si>
  <si>
    <t>100111296219000057</t>
  </si>
  <si>
    <t>0107012457</t>
  </si>
  <si>
    <t>100318597219000003</t>
  </si>
  <si>
    <t>0848300053819000155</t>
  </si>
  <si>
    <t>100111296219000059</t>
  </si>
  <si>
    <t>2225091378</t>
  </si>
  <si>
    <t>РН919273</t>
  </si>
  <si>
    <t>[ОКПД2 30.99] Средства транспортные и оборудование прочие, не включенные в другие группировки, [ОКВЭД2 30.99] Производство прочих транспортных средств и оборудования, не включенных в другие группировки</t>
  </si>
  <si>
    <t>5522003370</t>
  </si>
  <si>
    <t>100092040219000012</t>
  </si>
  <si>
    <t>5022030110</t>
  </si>
  <si>
    <t>772266</t>
  </si>
  <si>
    <t>2311061088</t>
  </si>
  <si>
    <t>31908064631</t>
  </si>
  <si>
    <t>3117005831</t>
  </si>
  <si>
    <t>950523</t>
  </si>
  <si>
    <t>100107798219000195</t>
  </si>
  <si>
    <t>7722814241</t>
  </si>
  <si>
    <t>0373100132419000083</t>
  </si>
  <si>
    <t>0373100132419000084</t>
  </si>
  <si>
    <t>3117003785</t>
  </si>
  <si>
    <t>950503</t>
  </si>
  <si>
    <t>3117003802</t>
  </si>
  <si>
    <t>950464</t>
  </si>
  <si>
    <t>100107798219000196</t>
  </si>
  <si>
    <t>3117003986</t>
  </si>
  <si>
    <t>950561</t>
  </si>
  <si>
    <t>3117005976</t>
  </si>
  <si>
    <t>950589</t>
  </si>
  <si>
    <t>3117003834</t>
  </si>
  <si>
    <t>950483</t>
  </si>
  <si>
    <t>3117003993</t>
  </si>
  <si>
    <t>950545</t>
  </si>
  <si>
    <t>4706012950</t>
  </si>
  <si>
    <t>0345200014419000010</t>
  </si>
  <si>
    <t>Кировск</t>
  </si>
  <si>
    <t>4723002712</t>
  </si>
  <si>
    <t>7804174881</t>
  </si>
  <si>
    <t>7422001213</t>
  </si>
  <si>
    <t>100244931219000027</t>
  </si>
  <si>
    <t>4719006182</t>
  </si>
  <si>
    <t>0345200005119000058</t>
  </si>
  <si>
    <t>Гатчинский район</t>
  </si>
  <si>
    <t>100050454219000012</t>
  </si>
  <si>
    <t>8602176327</t>
  </si>
  <si>
    <t>0387200027519000049</t>
  </si>
  <si>
    <t>8602268754</t>
  </si>
  <si>
    <t>100244931219000028</t>
  </si>
  <si>
    <t>7723811412</t>
  </si>
  <si>
    <t>0373200563919000012</t>
  </si>
  <si>
    <t>1290535</t>
  </si>
  <si>
    <t>5503093120</t>
  </si>
  <si>
    <t>949914</t>
  </si>
  <si>
    <t>2434000335</t>
  </si>
  <si>
    <t>KBE-2019-0134</t>
  </si>
  <si>
    <t>Северо-Енисейский район</t>
  </si>
  <si>
    <t>5445101362</t>
  </si>
  <si>
    <t>190704/1072/002</t>
  </si>
  <si>
    <t>Бердск</t>
  </si>
  <si>
    <t>31908063822</t>
  </si>
  <si>
    <t>100270982119000018</t>
  </si>
  <si>
    <t>6664014643</t>
  </si>
  <si>
    <t>1290507</t>
  </si>
  <si>
    <t>100129839219000018</t>
  </si>
  <si>
    <t>6121007763</t>
  </si>
  <si>
    <t>100065946219000015</t>
  </si>
  <si>
    <t>100068517119000020</t>
  </si>
  <si>
    <t>100129839219000019</t>
  </si>
  <si>
    <t>2801032142</t>
  </si>
  <si>
    <t>0123200000319001976</t>
  </si>
  <si>
    <t>2801095400</t>
  </si>
  <si>
    <t>0165100004619000016</t>
  </si>
  <si>
    <t>2926005793</t>
  </si>
  <si>
    <t>0324100003319000114</t>
  </si>
  <si>
    <t>3808202282</t>
  </si>
  <si>
    <t>0134400000619000031</t>
  </si>
  <si>
    <t>7808038086</t>
  </si>
  <si>
    <t>31908063027</t>
  </si>
  <si>
    <t>0901006262</t>
  </si>
  <si>
    <t>0379100000419000027</t>
  </si>
  <si>
    <t>Усть-Джегутинский район</t>
  </si>
  <si>
    <t>7604016045</t>
  </si>
  <si>
    <t>100042247219000060</t>
  </si>
  <si>
    <t>6345004007</t>
  </si>
  <si>
    <t>100025429219000006</t>
  </si>
  <si>
    <t>100318597119000006</t>
  </si>
  <si>
    <t>Тахтамукайский район</t>
  </si>
  <si>
    <t>4205109214</t>
  </si>
  <si>
    <t>31908060863</t>
  </si>
  <si>
    <t>2631002998</t>
  </si>
  <si>
    <t>100142812219000018</t>
  </si>
  <si>
    <t>Невинномысск</t>
  </si>
  <si>
    <t>4630009698</t>
  </si>
  <si>
    <t>0344200012719000030</t>
  </si>
  <si>
    <t>4632038101</t>
  </si>
  <si>
    <t>4632251768</t>
  </si>
  <si>
    <t>3017063614</t>
  </si>
  <si>
    <t>2510011042</t>
  </si>
  <si>
    <t>0320300041419000016</t>
  </si>
  <si>
    <t>31908062223</t>
  </si>
  <si>
    <t>2808016164</t>
  </si>
  <si>
    <t>0123100004619000013</t>
  </si>
  <si>
    <t>Тында</t>
  </si>
  <si>
    <t>2808021990</t>
  </si>
  <si>
    <t>2724114609</t>
  </si>
  <si>
    <t>100315970219000009</t>
  </si>
  <si>
    <t>1644024972</t>
  </si>
  <si>
    <t>0711200009119000008</t>
  </si>
  <si>
    <t>ATOM03071900199</t>
  </si>
  <si>
    <t>4719009627</t>
  </si>
  <si>
    <t>100071152119000012</t>
  </si>
  <si>
    <t>7218006081</t>
  </si>
  <si>
    <t>31908060983</t>
  </si>
  <si>
    <t>[ОКПД2 78.30] Услуги в области трудовых ресурсов по обеспечению персоналом прочие, [ОКВЭД2 78.30] Деятельность по подбору персонала прочая</t>
  </si>
  <si>
    <t>5030011136</t>
  </si>
  <si>
    <t>771895</t>
  </si>
  <si>
    <t>100285751119000015</t>
  </si>
  <si>
    <t>100270967119000007</t>
  </si>
  <si>
    <t>ATOM03071900160</t>
  </si>
  <si>
    <t>100133028119000014</t>
  </si>
  <si>
    <t>5413103920</t>
  </si>
  <si>
    <t>948020</t>
  </si>
  <si>
    <t>Болотнинский район</t>
  </si>
  <si>
    <t>6912006748</t>
  </si>
  <si>
    <t>100092838119000001</t>
  </si>
  <si>
    <t>Нелидовский район</t>
  </si>
  <si>
    <t>7705424509</t>
  </si>
  <si>
    <t>31908060965</t>
  </si>
  <si>
    <t>[ОКПД2 62.01] Продукты программные и услуги по разработке и тестированию программного обеспечения, [ОКВЭД2 62.01] Разработка компьютерного программного обеспечения</t>
  </si>
  <si>
    <t>7107036098</t>
  </si>
  <si>
    <t>0166100003619000031</t>
  </si>
  <si>
    <t>947662</t>
  </si>
  <si>
    <t>100107728219000016</t>
  </si>
  <si>
    <t>5506024816</t>
  </si>
  <si>
    <t>947441</t>
  </si>
  <si>
    <t>100054775119000144</t>
  </si>
  <si>
    <t>РН907791</t>
  </si>
  <si>
    <t>2020003571</t>
  </si>
  <si>
    <t>498763</t>
  </si>
  <si>
    <t>100146482219000024</t>
  </si>
  <si>
    <t>5406203106</t>
  </si>
  <si>
    <t>100309431219000022</t>
  </si>
  <si>
    <t>100262068119000147</t>
  </si>
  <si>
    <t>0362200030519000028</t>
  </si>
  <si>
    <t>1285631</t>
  </si>
  <si>
    <t>7728029110</t>
  </si>
  <si>
    <t>1289175</t>
  </si>
  <si>
    <t>1289392</t>
  </si>
  <si>
    <t>1289396</t>
  </si>
  <si>
    <t>1289393</t>
  </si>
  <si>
    <t>1289387</t>
  </si>
  <si>
    <t>1289391</t>
  </si>
  <si>
    <t>1289398</t>
  </si>
  <si>
    <t>1289389</t>
  </si>
  <si>
    <t>1289383</t>
  </si>
  <si>
    <t>2466209072</t>
  </si>
  <si>
    <t>31908057705</t>
  </si>
  <si>
    <t>1215133605</t>
  </si>
  <si>
    <t>100087114219000018</t>
  </si>
  <si>
    <t>5019009422</t>
  </si>
  <si>
    <t>100059863219000002</t>
  </si>
  <si>
    <t>31908059480</t>
  </si>
  <si>
    <t>7709221179</t>
  </si>
  <si>
    <t>31908058745</t>
  </si>
  <si>
    <t>[ОКПД2 94.12] Услуги, предоставляемые профессиональными членскими организациями, [ОКВЭД2 94.12] Деятельность профессиональных членских организаций</t>
  </si>
  <si>
    <t>2801127771</t>
  </si>
  <si>
    <t>31908056161</t>
  </si>
  <si>
    <t>5027235016</t>
  </si>
  <si>
    <t>771435</t>
  </si>
  <si>
    <t>31908056380</t>
  </si>
  <si>
    <t>100295876219000020</t>
  </si>
  <si>
    <t>5513006085</t>
  </si>
  <si>
    <t>100126215219000018</t>
  </si>
  <si>
    <t>3705003609</t>
  </si>
  <si>
    <t>100253053219000017</t>
  </si>
  <si>
    <t>7536057435</t>
  </si>
  <si>
    <t>100268450219000017</t>
  </si>
  <si>
    <t>1902018760</t>
  </si>
  <si>
    <t>100198133219000000</t>
  </si>
  <si>
    <t>Саяногорск</t>
  </si>
  <si>
    <t>31908056021</t>
  </si>
  <si>
    <t>100270967219000000</t>
  </si>
  <si>
    <t>4246003760</t>
  </si>
  <si>
    <t>31908055797</t>
  </si>
  <si>
    <t>3327838710</t>
  </si>
  <si>
    <t>100254674219000011</t>
  </si>
  <si>
    <t>2319008819</t>
  </si>
  <si>
    <t>0318100058819000105</t>
  </si>
  <si>
    <t>5536002785</t>
  </si>
  <si>
    <t>100311571219000000</t>
  </si>
  <si>
    <t>4704047468</t>
  </si>
  <si>
    <t>0345300007619000016</t>
  </si>
  <si>
    <t>4704067961</t>
  </si>
  <si>
    <t>5529007817</t>
  </si>
  <si>
    <t>100108794219000001</t>
  </si>
  <si>
    <t>[ОКПД2 84.24] Услуги по обеспечению общественного порядка и безопасности, [ОКПД2 26.30] Оборудование коммуникационное</t>
  </si>
  <si>
    <t>Павлоградский район</t>
  </si>
  <si>
    <t>1288688</t>
  </si>
  <si>
    <t>1651027614</t>
  </si>
  <si>
    <t>BP00303482</t>
  </si>
  <si>
    <t>6612011264</t>
  </si>
  <si>
    <t>31908054914</t>
  </si>
  <si>
    <t>1660061210</t>
  </si>
  <si>
    <t>100219210219000013</t>
  </si>
  <si>
    <t>31908055225</t>
  </si>
  <si>
    <t>6829084719</t>
  </si>
  <si>
    <t>100178148219000084</t>
  </si>
  <si>
    <t>100110024219000029</t>
  </si>
  <si>
    <t>100107798219000193</t>
  </si>
  <si>
    <t>100107798219000192</t>
  </si>
  <si>
    <t>31908053887</t>
  </si>
  <si>
    <t>8901025421</t>
  </si>
  <si>
    <t>31908053915</t>
  </si>
  <si>
    <t>7729705354</t>
  </si>
  <si>
    <t>1287774</t>
  </si>
  <si>
    <t>5612002469</t>
  </si>
  <si>
    <t>РН907269</t>
  </si>
  <si>
    <t>[ОКПД2 26.30] Оборудование коммуникационное, [ОКВЭД2 61.20] Деятельность в области связи на базе беспроводных технологий</t>
  </si>
  <si>
    <t>Бузулук</t>
  </si>
  <si>
    <t>5263031209</t>
  </si>
  <si>
    <t>100078557219000000</t>
  </si>
  <si>
    <t>1505008701</t>
  </si>
  <si>
    <t>31908053942</t>
  </si>
  <si>
    <t>[ОКПД2 62.02] Услуги консультативные, связанные с компьютерной техникой, [ОКВЭД2 62.03] Деятельность по управлению компьютерным оборудованием</t>
  </si>
  <si>
    <t>100107798219000191</t>
  </si>
  <si>
    <t>313295</t>
  </si>
  <si>
    <t>7817012398</t>
  </si>
  <si>
    <t>100178805219000041</t>
  </si>
  <si>
    <t>7701108654</t>
  </si>
  <si>
    <t>100104895219000017</t>
  </si>
  <si>
    <t>100178805219000000</t>
  </si>
  <si>
    <t>9201012877</t>
  </si>
  <si>
    <t>31908053595</t>
  </si>
  <si>
    <t>100178805219000042</t>
  </si>
  <si>
    <t>31908053713</t>
  </si>
  <si>
    <t>100107798219000190</t>
  </si>
  <si>
    <t>8603089934</t>
  </si>
  <si>
    <t>РН907206</t>
  </si>
  <si>
    <t>[ОКПД2 33.12] Услуги по ремонту оборудования, [ОКВЭД2 33+] Ремонт и монтаж машин и оборудования</t>
  </si>
  <si>
    <t>7902525961</t>
  </si>
  <si>
    <t>0378300003519000048</t>
  </si>
  <si>
    <t>6686030582</t>
  </si>
  <si>
    <t>31908052377</t>
  </si>
  <si>
    <t>РН907149</t>
  </si>
  <si>
    <t>5003048874</t>
  </si>
  <si>
    <t>1287757</t>
  </si>
  <si>
    <t>1651052219</t>
  </si>
  <si>
    <t>313572</t>
  </si>
  <si>
    <t>7224009980</t>
  </si>
  <si>
    <t>31908052465</t>
  </si>
  <si>
    <t>1827019000</t>
  </si>
  <si>
    <t>100233868219000045</t>
  </si>
  <si>
    <t>Сарапул</t>
  </si>
  <si>
    <t>7717509757</t>
  </si>
  <si>
    <t>100164096219000000</t>
  </si>
  <si>
    <t>2226008460</t>
  </si>
  <si>
    <t>942456</t>
  </si>
  <si>
    <t>5017098924</t>
  </si>
  <si>
    <t>770816</t>
  </si>
  <si>
    <t>Истринский район</t>
  </si>
  <si>
    <t>0120100009619000046</t>
  </si>
  <si>
    <t>0139200000119005100</t>
  </si>
  <si>
    <t>0139200000119005112</t>
  </si>
  <si>
    <t>3445071308</t>
  </si>
  <si>
    <t>100038999219000000</t>
  </si>
  <si>
    <t>2257002518</t>
  </si>
  <si>
    <t>941799</t>
  </si>
  <si>
    <t>Мамонтовский район</t>
  </si>
  <si>
    <t>4101125250</t>
  </si>
  <si>
    <t>100253623219000000</t>
  </si>
  <si>
    <t>BP00302884</t>
  </si>
  <si>
    <t>2019-728633</t>
  </si>
  <si>
    <t>2019-728593</t>
  </si>
  <si>
    <t>5044019992</t>
  </si>
  <si>
    <t>770657</t>
  </si>
  <si>
    <t>0136200003619004011</t>
  </si>
  <si>
    <t>0136200003619004005</t>
  </si>
  <si>
    <t>0136200003619004008</t>
  </si>
  <si>
    <t>0136200003619003985</t>
  </si>
  <si>
    <t>0136200003619003987</t>
  </si>
  <si>
    <t>770605</t>
  </si>
  <si>
    <t>7706693215</t>
  </si>
  <si>
    <t>498208</t>
  </si>
  <si>
    <t>0163200000319004652</t>
  </si>
  <si>
    <t>0163200000319004626</t>
  </si>
  <si>
    <t>7805718750</t>
  </si>
  <si>
    <t>6915003061</t>
  </si>
  <si>
    <t>100295578219000002</t>
  </si>
  <si>
    <t>Торжок</t>
  </si>
  <si>
    <t>0163200000319004627</t>
  </si>
  <si>
    <t>0373200082119000249</t>
  </si>
  <si>
    <t>7720241147</t>
  </si>
  <si>
    <t>7703402732</t>
  </si>
  <si>
    <t>7722393113</t>
  </si>
  <si>
    <t>7730190205</t>
  </si>
  <si>
    <t>7731571771</t>
  </si>
  <si>
    <t>0114200000119000958</t>
  </si>
  <si>
    <t>0608016727</t>
  </si>
  <si>
    <t>3250507416</t>
  </si>
  <si>
    <t>100112768219000019</t>
  </si>
  <si>
    <t>0373100132419000082</t>
  </si>
  <si>
    <t>2356013704</t>
  </si>
  <si>
    <t>100096975119000026</t>
  </si>
  <si>
    <t>0163200000319004620</t>
  </si>
  <si>
    <t>7705970498</t>
  </si>
  <si>
    <t>7118506771</t>
  </si>
  <si>
    <t>0366200035819000089</t>
  </si>
  <si>
    <t>7107104580</t>
  </si>
  <si>
    <t>0163200000319004625</t>
  </si>
  <si>
    <t>0163200000319004624</t>
  </si>
  <si>
    <t>5503026540</t>
  </si>
  <si>
    <t>0352200035419000002</t>
  </si>
  <si>
    <t>5937003426</t>
  </si>
  <si>
    <t>0356300030019000006</t>
  </si>
  <si>
    <t>100095757119000020</t>
  </si>
  <si>
    <t>2526000014</t>
  </si>
  <si>
    <t>0320300012219000062</t>
  </si>
  <si>
    <t>252600663586</t>
  </si>
  <si>
    <t>4823015024</t>
  </si>
  <si>
    <t>0346200004619000049</t>
  </si>
  <si>
    <t>4826049328</t>
  </si>
  <si>
    <t>4823053703</t>
  </si>
  <si>
    <t>4824046554</t>
  </si>
  <si>
    <t>0163200000319004622</t>
  </si>
  <si>
    <t>0163200000319004619</t>
  </si>
  <si>
    <t>7725295121</t>
  </si>
  <si>
    <t>6658466987</t>
  </si>
  <si>
    <t>2461023606</t>
  </si>
  <si>
    <t>31908046873</t>
  </si>
  <si>
    <t>[ОКПД2 28.99] Оборудование специального назначения прочее, не включенное в другие группировки, [ОКВЭД2 28.99] Производство прочих машин и оборудования специального назначения, не включенных в другие группировки</t>
  </si>
  <si>
    <t>0163200000319004621</t>
  </si>
  <si>
    <t>0163200000319004623</t>
  </si>
  <si>
    <t>0268003982</t>
  </si>
  <si>
    <t>0301200004319000004</t>
  </si>
  <si>
    <t>0274138628</t>
  </si>
  <si>
    <t>0276912967</t>
  </si>
  <si>
    <t>100287244219000039</t>
  </si>
  <si>
    <t>100287244219000037</t>
  </si>
  <si>
    <t>100075832119000031</t>
  </si>
  <si>
    <t>100287244219000038</t>
  </si>
  <si>
    <t>6662088520</t>
  </si>
  <si>
    <t>0162200011819001759</t>
  </si>
  <si>
    <t>6674245569</t>
  </si>
  <si>
    <t>100287244219000036</t>
  </si>
  <si>
    <t>ATOM28061900191</t>
  </si>
  <si>
    <t>6603000227</t>
  </si>
  <si>
    <t>31908047086</t>
  </si>
  <si>
    <t>8602188724</t>
  </si>
  <si>
    <t>0187300006519001428</t>
  </si>
  <si>
    <t>8904068705</t>
  </si>
  <si>
    <t>8602277357</t>
  </si>
  <si>
    <t>8602064528</t>
  </si>
  <si>
    <t>31908046600</t>
  </si>
  <si>
    <t>5911997090</t>
  </si>
  <si>
    <t>7714841940</t>
  </si>
  <si>
    <t>0173100017019000027</t>
  </si>
  <si>
    <t>5038089871</t>
  </si>
  <si>
    <t>2309154426</t>
  </si>
  <si>
    <t>7708826943</t>
  </si>
  <si>
    <t>0234000990</t>
  </si>
  <si>
    <t>100120401119000013</t>
  </si>
  <si>
    <t>Кушнаренковский район</t>
  </si>
  <si>
    <t>7718110852</t>
  </si>
  <si>
    <t>0373200141919000050</t>
  </si>
  <si>
    <t>7725414393</t>
  </si>
  <si>
    <t>7726754762</t>
  </si>
  <si>
    <t>0607000330</t>
  </si>
  <si>
    <t>0114200000119000944</t>
  </si>
  <si>
    <t>2013001887</t>
  </si>
  <si>
    <t>0608047845</t>
  </si>
  <si>
    <t>0606012484</t>
  </si>
  <si>
    <t>100120401119000012</t>
  </si>
  <si>
    <t>2636035027</t>
  </si>
  <si>
    <t>РН990310</t>
  </si>
  <si>
    <t>[ОКПД2 43+] Работы строительные специализированные, [ОКВЭД2 41.2+] Строительство жилых и нежилых зданий</t>
  </si>
  <si>
    <t>5256022404</t>
  </si>
  <si>
    <t>0332300038119000051</t>
  </si>
  <si>
    <t>7627013227</t>
  </si>
  <si>
    <t>0171200001919001049</t>
  </si>
  <si>
    <t>7606048050</t>
  </si>
  <si>
    <t>100232547119000047</t>
  </si>
  <si>
    <t>РН990279</t>
  </si>
  <si>
    <t>7814046695</t>
  </si>
  <si>
    <t>0372200036219000021</t>
  </si>
  <si>
    <t>7816591985</t>
  </si>
  <si>
    <t>7802637894</t>
  </si>
  <si>
    <t>7814667244</t>
  </si>
  <si>
    <t>31908046710</t>
  </si>
  <si>
    <t>5033007956</t>
  </si>
  <si>
    <t>770156</t>
  </si>
  <si>
    <t>Озеры</t>
  </si>
  <si>
    <t>770082</t>
  </si>
  <si>
    <t>100092040119000014</t>
  </si>
  <si>
    <t>Муромцевский район</t>
  </si>
  <si>
    <t>100042247119000075</t>
  </si>
  <si>
    <t>6501101988</t>
  </si>
  <si>
    <t>0161300000119001134</t>
  </si>
  <si>
    <t>6501208106</t>
  </si>
  <si>
    <t>6501231169</t>
  </si>
  <si>
    <t>6501286697</t>
  </si>
  <si>
    <t>6509016290</t>
  </si>
  <si>
    <t>5035039128</t>
  </si>
  <si>
    <t>0348200037119000024</t>
  </si>
  <si>
    <t>Павловский Посад</t>
  </si>
  <si>
    <t>5035001237</t>
  </si>
  <si>
    <t>4205178352</t>
  </si>
  <si>
    <t>6163066640</t>
  </si>
  <si>
    <t>100274760219000003</t>
  </si>
  <si>
    <t>0114200000119000951</t>
  </si>
  <si>
    <t>7709041289</t>
  </si>
  <si>
    <t>0348200068119000089</t>
  </si>
  <si>
    <t>7722629658</t>
  </si>
  <si>
    <t>7704437008</t>
  </si>
  <si>
    <t>7727555713</t>
  </si>
  <si>
    <t>7723670377</t>
  </si>
  <si>
    <t>100272648119000014</t>
  </si>
  <si>
    <t>100254674219000009</t>
  </si>
  <si>
    <t>4101035896</t>
  </si>
  <si>
    <t>0138100004719000030</t>
  </si>
  <si>
    <t>410116696722</t>
  </si>
  <si>
    <t>3801992708</t>
  </si>
  <si>
    <t>938979</t>
  </si>
  <si>
    <t>3436014977</t>
  </si>
  <si>
    <t>100114700219000036</t>
  </si>
  <si>
    <t>Камышин</t>
  </si>
  <si>
    <t>100114700219000037</t>
  </si>
  <si>
    <t>100114700219000040</t>
  </si>
  <si>
    <t>100114700219000041</t>
  </si>
  <si>
    <t>100114700219000038</t>
  </si>
  <si>
    <t>100114700219000039</t>
  </si>
  <si>
    <t>0319100010319000068</t>
  </si>
  <si>
    <t>769956</t>
  </si>
  <si>
    <t>3306017617</t>
  </si>
  <si>
    <t>0328300036719000085</t>
  </si>
  <si>
    <t>Кольчугинский район</t>
  </si>
  <si>
    <t>6027132728</t>
  </si>
  <si>
    <t>0157200000319000552</t>
  </si>
  <si>
    <t>6027159920</t>
  </si>
  <si>
    <t>7811246456</t>
  </si>
  <si>
    <t>0139200000119005043</t>
  </si>
  <si>
    <t>31908043972</t>
  </si>
  <si>
    <t>0139200000119005055</t>
  </si>
  <si>
    <t>100262068119000145</t>
  </si>
  <si>
    <t>7708709686</t>
  </si>
  <si>
    <t>[ОКПД2 68.31] Услуги агентств недвижимости, предоставляемые за вознаграждение или на договорной основе</t>
  </si>
  <si>
    <t>5506024580</t>
  </si>
  <si>
    <t>938132</t>
  </si>
  <si>
    <t>100108794119000002</t>
  </si>
  <si>
    <t>7717036797</t>
  </si>
  <si>
    <t>31908044092</t>
  </si>
  <si>
    <t>[ОКПД2 29.20] Кузова (корпуса) для автотранспортных средств; прицепы и полуприцепы, [ОКВЭД2 33.12] Ремонт машин и оборудования</t>
  </si>
  <si>
    <t>2813001910</t>
  </si>
  <si>
    <t>100047574219000012</t>
  </si>
  <si>
    <t>100047574219000013</t>
  </si>
  <si>
    <t>7710404473</t>
  </si>
  <si>
    <t>COM28061900104</t>
  </si>
  <si>
    <t>2019-728426</t>
  </si>
  <si>
    <t>2466240347</t>
  </si>
  <si>
    <t>RC-2019-0517</t>
  </si>
  <si>
    <t>COM28061900148</t>
  </si>
  <si>
    <t>2019-728341</t>
  </si>
  <si>
    <t>4401111354</t>
  </si>
  <si>
    <t>100286368119000007</t>
  </si>
  <si>
    <t>100207922119000014</t>
  </si>
  <si>
    <t>31908042724</t>
  </si>
  <si>
    <t>0872100001019000136</t>
  </si>
  <si>
    <t>[ОКПД2 30.30] Аппараты летательные и космические и соответствующее оборудование</t>
  </si>
  <si>
    <t>7811652930</t>
  </si>
  <si>
    <t>7810871231</t>
  </si>
  <si>
    <t>7723918518</t>
  </si>
  <si>
    <t>7810260169</t>
  </si>
  <si>
    <t>0372200100719000006</t>
  </si>
  <si>
    <t>7810682530</t>
  </si>
  <si>
    <t>7814728264</t>
  </si>
  <si>
    <t>7816445737</t>
  </si>
  <si>
    <t>31908042955</t>
  </si>
  <si>
    <t>5503036524</t>
  </si>
  <si>
    <t>0152300011919000721</t>
  </si>
  <si>
    <t>5405504887</t>
  </si>
  <si>
    <t>5504110820</t>
  </si>
  <si>
    <t>0162200011819001722</t>
  </si>
  <si>
    <t>6671434166</t>
  </si>
  <si>
    <t>31908042161</t>
  </si>
  <si>
    <t>31908041517</t>
  </si>
  <si>
    <t>31908040241</t>
  </si>
  <si>
    <t>0372100009919000082</t>
  </si>
  <si>
    <t>0372100009919000081</t>
  </si>
  <si>
    <t>7604355190</t>
  </si>
  <si>
    <t>0171200001919001024</t>
  </si>
  <si>
    <t>7604287630</t>
  </si>
  <si>
    <t>7602085942</t>
  </si>
  <si>
    <t>7604334908</t>
  </si>
  <si>
    <t>7604079550</t>
  </si>
  <si>
    <t>370209475785</t>
  </si>
  <si>
    <t>8913009343</t>
  </si>
  <si>
    <t>0190300001919000293</t>
  </si>
  <si>
    <t>Губкинский</t>
  </si>
  <si>
    <t>8911030068</t>
  </si>
  <si>
    <t>890514950779</t>
  </si>
  <si>
    <t>8911028823</t>
  </si>
  <si>
    <t>8913010564</t>
  </si>
  <si>
    <t>31908041257</t>
  </si>
  <si>
    <t>4705031090</t>
  </si>
  <si>
    <t>0145300008719000038</t>
  </si>
  <si>
    <t>4705026365</t>
  </si>
  <si>
    <t>780255604697</t>
  </si>
  <si>
    <t>2902016122</t>
  </si>
  <si>
    <t>31908041231</t>
  </si>
  <si>
    <t>7736189037</t>
  </si>
  <si>
    <t>103135</t>
  </si>
  <si>
    <t>9107037553</t>
  </si>
  <si>
    <t>0875300038919000072</t>
  </si>
  <si>
    <t>Саки</t>
  </si>
  <si>
    <t>2369000660</t>
  </si>
  <si>
    <t>3666186709</t>
  </si>
  <si>
    <t>0278200676</t>
  </si>
  <si>
    <t>5256139522</t>
  </si>
  <si>
    <t>103118</t>
  </si>
  <si>
    <t>7819017602</t>
  </si>
  <si>
    <t>0372200018019000005</t>
  </si>
  <si>
    <t>7801356851</t>
  </si>
  <si>
    <t>7813548251</t>
  </si>
  <si>
    <t>7842026059</t>
  </si>
  <si>
    <t>7838394959</t>
  </si>
  <si>
    <t>7813328954</t>
  </si>
  <si>
    <t>7810322672</t>
  </si>
  <si>
    <t>0373200063119000254</t>
  </si>
  <si>
    <t>7735100043</t>
  </si>
  <si>
    <t>773500957823</t>
  </si>
  <si>
    <t>773510838920</t>
  </si>
  <si>
    <t>7224010181</t>
  </si>
  <si>
    <t>31908039107</t>
  </si>
  <si>
    <t>2502035642</t>
  </si>
  <si>
    <t>31908037482</t>
  </si>
  <si>
    <t>0114200000119000928</t>
  </si>
  <si>
    <t>100195410119000057</t>
  </si>
  <si>
    <t>3245502290</t>
  </si>
  <si>
    <t>31908039160</t>
  </si>
  <si>
    <t>0277072661</t>
  </si>
  <si>
    <t>31908038384</t>
  </si>
  <si>
    <t>[ОКПД2 43.29] Работы строительно-монтажные прочие, [ОКВЭД2 80.20] Деятельность систем обеспечения безопасности</t>
  </si>
  <si>
    <t>7224009965</t>
  </si>
  <si>
    <t>31908038033</t>
  </si>
  <si>
    <t>2533006828</t>
  </si>
  <si>
    <t>100283717219000003</t>
  </si>
  <si>
    <t>Черниговский район</t>
  </si>
  <si>
    <t>0373200063119000247</t>
  </si>
  <si>
    <t>0317001532</t>
  </si>
  <si>
    <t>0302300092719000003</t>
  </si>
  <si>
    <t>Северо-Байкальский район</t>
  </si>
  <si>
    <t>100283717219000004</t>
  </si>
  <si>
    <t>1910012761</t>
  </si>
  <si>
    <t>100021606219000013</t>
  </si>
  <si>
    <t>4026008467</t>
  </si>
  <si>
    <t>0137200001219003176</t>
  </si>
  <si>
    <t>4028032024</t>
  </si>
  <si>
    <t>5070010717</t>
  </si>
  <si>
    <t>769213</t>
  </si>
  <si>
    <t>1313000272</t>
  </si>
  <si>
    <t>0809500000319001342</t>
  </si>
  <si>
    <t>Кочкуровский район</t>
  </si>
  <si>
    <t>1328009158</t>
  </si>
  <si>
    <t>5904273603</t>
  </si>
  <si>
    <t>0856100000219000079</t>
  </si>
  <si>
    <t>Соликамск</t>
  </si>
  <si>
    <t>3613001457</t>
  </si>
  <si>
    <t>0331300128719000045</t>
  </si>
  <si>
    <t>Каширский район</t>
  </si>
  <si>
    <t>1285469</t>
  </si>
  <si>
    <t>100142812119000033</t>
  </si>
  <si>
    <t>3525253247</t>
  </si>
  <si>
    <t>0330100014819000090</t>
  </si>
  <si>
    <t>3528275792</t>
  </si>
  <si>
    <t>3528094323</t>
  </si>
  <si>
    <t>5007029382</t>
  </si>
  <si>
    <t>769160</t>
  </si>
  <si>
    <t>2455010905</t>
  </si>
  <si>
    <t>100271544219000013</t>
  </si>
  <si>
    <t>Минусинск</t>
  </si>
  <si>
    <t>31908037740</t>
  </si>
  <si>
    <t>100271544219000014</t>
  </si>
  <si>
    <t>7812022096</t>
  </si>
  <si>
    <t>31908037772</t>
  </si>
  <si>
    <t>100283717219000001</t>
  </si>
  <si>
    <t>2225171626</t>
  </si>
  <si>
    <t>934293</t>
  </si>
  <si>
    <t>100050454219000010</t>
  </si>
  <si>
    <t>4246018407</t>
  </si>
  <si>
    <t>100075009119000012</t>
  </si>
  <si>
    <t>Тайга</t>
  </si>
  <si>
    <t>100047574119000015</t>
  </si>
  <si>
    <t>2019-727385</t>
  </si>
  <si>
    <t>1617001366</t>
  </si>
  <si>
    <t>100175856219000014</t>
  </si>
  <si>
    <t>100175856219000016</t>
  </si>
  <si>
    <t>100175856219000015</t>
  </si>
  <si>
    <t>100175856219000017</t>
  </si>
  <si>
    <t>100264973219000005</t>
  </si>
  <si>
    <t>1502009030</t>
  </si>
  <si>
    <t>31908036916</t>
  </si>
  <si>
    <t>7205009783</t>
  </si>
  <si>
    <t>31908036058</t>
  </si>
  <si>
    <t>720500790750</t>
  </si>
  <si>
    <t>0190300001919000292</t>
  </si>
  <si>
    <t>6658170299</t>
  </si>
  <si>
    <t>0162100022319000044</t>
  </si>
  <si>
    <t>Байконур</t>
  </si>
  <si>
    <t>3326006476</t>
  </si>
  <si>
    <t>0128200000119004205</t>
  </si>
  <si>
    <t>3326006525</t>
  </si>
  <si>
    <t>3329056348</t>
  </si>
  <si>
    <t>3309006116</t>
  </si>
  <si>
    <t>7729627057</t>
  </si>
  <si>
    <t>3329032107</t>
  </si>
  <si>
    <t>3326005803</t>
  </si>
  <si>
    <t>0118300018719000429</t>
  </si>
  <si>
    <t>2309136040</t>
  </si>
  <si>
    <t>0334300041419000174</t>
  </si>
  <si>
    <t>6605006577</t>
  </si>
  <si>
    <t>31908034683</t>
  </si>
  <si>
    <t>[ОКПД2 43+] Работы строительные специализированные, [ОКВЭД2 43.2+] Производство электромонтажных, санитарно-технических и прочих строительно-монтажных работ, [ОКВЭД2 43.3+] Работы строительные отделочные</t>
  </si>
  <si>
    <t>0195100000219000248</t>
  </si>
  <si>
    <t>7321316986</t>
  </si>
  <si>
    <t>2566495</t>
  </si>
  <si>
    <t>Новоульяновск</t>
  </si>
  <si>
    <t>0195100000219000247</t>
  </si>
  <si>
    <t>5445265120</t>
  </si>
  <si>
    <t>933066</t>
  </si>
  <si>
    <t>0160100011019000044</t>
  </si>
  <si>
    <t>6453071191</t>
  </si>
  <si>
    <t>0873200009819002952</t>
  </si>
  <si>
    <t>7706269912</t>
  </si>
  <si>
    <t>0869200000219002055</t>
  </si>
  <si>
    <t>7451389128</t>
  </si>
  <si>
    <t>5109800318</t>
  </si>
  <si>
    <t>100285845219000003</t>
  </si>
  <si>
    <t>Печенгский район</t>
  </si>
  <si>
    <t>5043009818</t>
  </si>
  <si>
    <t>768749</t>
  </si>
  <si>
    <t>7228000177</t>
  </si>
  <si>
    <t>0167200003419003249</t>
  </si>
  <si>
    <t>Ялуторовск</t>
  </si>
  <si>
    <t>7207003650</t>
  </si>
  <si>
    <t>7203183867</t>
  </si>
  <si>
    <t>6166040873</t>
  </si>
  <si>
    <t>931925</t>
  </si>
  <si>
    <t>[ОКПД2 26.70] Приборы оптические и фотографическое оборудование, [ОКПД2 26.40] Техника бытовая электронная</t>
  </si>
  <si>
    <t>2539026700</t>
  </si>
  <si>
    <t>0320200005219000054</t>
  </si>
  <si>
    <t>2543029408</t>
  </si>
  <si>
    <t>100087114119000024</t>
  </si>
  <si>
    <t>100285845219000002</t>
  </si>
  <si>
    <t>6325068605</t>
  </si>
  <si>
    <t>0142300000819000046</t>
  </si>
  <si>
    <t>Сызранский район</t>
  </si>
  <si>
    <t>6325072810</t>
  </si>
  <si>
    <t>6325073683</t>
  </si>
  <si>
    <t>100057951219000069</t>
  </si>
  <si>
    <t>4207054289</t>
  </si>
  <si>
    <t>0139100001519000090</t>
  </si>
  <si>
    <t>31908033642</t>
  </si>
  <si>
    <t>[ОКПД2 63+] Услуги в области информационных технологий, [ОКВЭД2 63+] Деятельность в области информационных технологий</t>
  </si>
  <si>
    <t>7536039588</t>
  </si>
  <si>
    <t>0391300029819000048</t>
  </si>
  <si>
    <t>753502248509</t>
  </si>
  <si>
    <t>5019010795</t>
  </si>
  <si>
    <t>768617</t>
  </si>
  <si>
    <t>4700001222</t>
  </si>
  <si>
    <t>31908032947</t>
  </si>
  <si>
    <t>5075015571</t>
  </si>
  <si>
    <t>768558</t>
  </si>
  <si>
    <t>1001027960</t>
  </si>
  <si>
    <t>4106002421</t>
  </si>
  <si>
    <t>0338300031919000056</t>
  </si>
  <si>
    <t>Мильковский район</t>
  </si>
  <si>
    <t>4101113640</t>
  </si>
  <si>
    <t>7205005066</t>
  </si>
  <si>
    <t>31908032077</t>
  </si>
  <si>
    <t>31908032549</t>
  </si>
  <si>
    <t>1001041298</t>
  </si>
  <si>
    <t>0806300011819000222</t>
  </si>
  <si>
    <t>1001263572</t>
  </si>
  <si>
    <t>100122493980</t>
  </si>
  <si>
    <t>1001315887</t>
  </si>
  <si>
    <t>1001225506</t>
  </si>
  <si>
    <t>1001224083</t>
  </si>
  <si>
    <t>6135007033</t>
  </si>
  <si>
    <t>930804</t>
  </si>
  <si>
    <t>Усть-Донецкий район</t>
  </si>
  <si>
    <t>5053057835</t>
  </si>
  <si>
    <t>0848600005319000161</t>
  </si>
  <si>
    <t>5053034690</t>
  </si>
  <si>
    <t>5053034820</t>
  </si>
  <si>
    <t>7726671234</t>
  </si>
  <si>
    <t>31908032225</t>
  </si>
  <si>
    <t>[ОКПД2 42.2+] Сооружения и строительные работы по строительству инженерных коммуникаций, [ОКВЭД2 42.2+] Строительство инженерных коммуникаций</t>
  </si>
  <si>
    <t>31908032010</t>
  </si>
  <si>
    <t>5908010299</t>
  </si>
  <si>
    <t>100050915219000037</t>
  </si>
  <si>
    <t>5507040909</t>
  </si>
  <si>
    <t>930450</t>
  </si>
  <si>
    <t>2806006450</t>
  </si>
  <si>
    <t>930036</t>
  </si>
  <si>
    <t>Райчихинск</t>
  </si>
  <si>
    <t>5406299260</t>
  </si>
  <si>
    <t>100000050219000007</t>
  </si>
  <si>
    <t>1435137122</t>
  </si>
  <si>
    <t>100000192119000028</t>
  </si>
  <si>
    <t>0917001943</t>
  </si>
  <si>
    <t>100305120219000009</t>
  </si>
  <si>
    <t>Черкесск</t>
  </si>
  <si>
    <t>0112200000819002303</t>
  </si>
  <si>
    <t>0373100037419000012</t>
  </si>
  <si>
    <t>0301100027819000141</t>
  </si>
  <si>
    <t>7710036332</t>
  </si>
  <si>
    <t>0373100066819000059</t>
  </si>
  <si>
    <t>768281</t>
  </si>
  <si>
    <t>7726396281</t>
  </si>
  <si>
    <t>ATOM25061900213</t>
  </si>
  <si>
    <t>1013000200</t>
  </si>
  <si>
    <t>0306100005919000138</t>
  </si>
  <si>
    <t>Сегежский район</t>
  </si>
  <si>
    <t>7604328894</t>
  </si>
  <si>
    <t>7842397582</t>
  </si>
  <si>
    <t>7811545030</t>
  </si>
  <si>
    <t>0301100027819000140</t>
  </si>
  <si>
    <t>0265022144</t>
  </si>
  <si>
    <t>100310603219000011</t>
  </si>
  <si>
    <t>4101041931</t>
  </si>
  <si>
    <t>0338300006819000041</t>
  </si>
  <si>
    <t>4101164370</t>
  </si>
  <si>
    <t>31908029523</t>
  </si>
  <si>
    <t>5321047240</t>
  </si>
  <si>
    <t>0150200003919000592</t>
  </si>
  <si>
    <t>312202</t>
  </si>
  <si>
    <t>0358300284519000094</t>
  </si>
  <si>
    <t>5405213849</t>
  </si>
  <si>
    <t>0151100004619000011</t>
  </si>
  <si>
    <t>2801092984</t>
  </si>
  <si>
    <t>0123100007019000013</t>
  </si>
  <si>
    <t>4823007778</t>
  </si>
  <si>
    <t>0346200000119000011</t>
  </si>
  <si>
    <t>4824006015</t>
  </si>
  <si>
    <t>768102</t>
  </si>
  <si>
    <t>5079006634</t>
  </si>
  <si>
    <t>768048</t>
  </si>
  <si>
    <t>100048132119000014</t>
  </si>
  <si>
    <t>Шербакульский район</t>
  </si>
  <si>
    <t>100285845119000003</t>
  </si>
  <si>
    <t>5439103717</t>
  </si>
  <si>
    <t>927841</t>
  </si>
  <si>
    <t>Убинский район</t>
  </si>
  <si>
    <t>0364100001519000094</t>
  </si>
  <si>
    <t>100021606119000016</t>
  </si>
  <si>
    <t>Усть-Абаканский район</t>
  </si>
  <si>
    <t>100021606119000019</t>
  </si>
  <si>
    <t>100285845119000002</t>
  </si>
  <si>
    <t>7706560536</t>
  </si>
  <si>
    <t>100109903219000027</t>
  </si>
  <si>
    <t>100283563119000026</t>
  </si>
  <si>
    <t>2904007170</t>
  </si>
  <si>
    <t>0124200000619003131</t>
  </si>
  <si>
    <t>2904018407</t>
  </si>
  <si>
    <t>3526019257</t>
  </si>
  <si>
    <t>2629000344</t>
  </si>
  <si>
    <t>31908027788</t>
  </si>
  <si>
    <t>4445036</t>
  </si>
  <si>
    <t>31908027717</t>
  </si>
  <si>
    <t>5048053095</t>
  </si>
  <si>
    <t>100102939119000017</t>
  </si>
  <si>
    <t>31908027769</t>
  </si>
  <si>
    <t>578796</t>
  </si>
  <si>
    <t>100310730219000040</t>
  </si>
  <si>
    <t>ATOM25061900075</t>
  </si>
  <si>
    <t>31908027614</t>
  </si>
  <si>
    <t>4007005485</t>
  </si>
  <si>
    <t>0337100017319000111</t>
  </si>
  <si>
    <t>Жуковский район</t>
  </si>
  <si>
    <t>4028043876</t>
  </si>
  <si>
    <t>7703368190</t>
  </si>
  <si>
    <t>31908027477</t>
  </si>
  <si>
    <t>2565875</t>
  </si>
  <si>
    <t>7706593605</t>
  </si>
  <si>
    <t>0829100001719000047</t>
  </si>
  <si>
    <t>344208739352</t>
  </si>
  <si>
    <t>0158100007619000095</t>
  </si>
  <si>
    <t>1831102821</t>
  </si>
  <si>
    <t>0313100009919000162</t>
  </si>
  <si>
    <t>8601047760</t>
  </si>
  <si>
    <t>926577</t>
  </si>
  <si>
    <t>7445016880</t>
  </si>
  <si>
    <t>31908026201</t>
  </si>
  <si>
    <t>2019-726294</t>
  </si>
  <si>
    <t>1283503</t>
  </si>
  <si>
    <t>2019-726109</t>
  </si>
  <si>
    <t>5024034255</t>
  </si>
  <si>
    <t>767662</t>
  </si>
  <si>
    <t>7714584918</t>
  </si>
  <si>
    <t>0348100009319000102</t>
  </si>
  <si>
    <t>623401152809</t>
  </si>
  <si>
    <t>2315078029</t>
  </si>
  <si>
    <t>31908025575</t>
  </si>
  <si>
    <t>5835079850</t>
  </si>
  <si>
    <t>7707092707</t>
  </si>
  <si>
    <t>100314979119000030</t>
  </si>
  <si>
    <t>1659048020</t>
  </si>
  <si>
    <t>0311200046519000096</t>
  </si>
  <si>
    <t>[ОКПД2 93.19] Услуги в области спорта прочие</t>
  </si>
  <si>
    <t>1659050541</t>
  </si>
  <si>
    <t>1655362596</t>
  </si>
  <si>
    <t>ATOM24061900160</t>
  </si>
  <si>
    <t>0372100027319000018</t>
  </si>
  <si>
    <t>2130186920</t>
  </si>
  <si>
    <t>781442411400</t>
  </si>
  <si>
    <t>470312276803</t>
  </si>
  <si>
    <t>1282987</t>
  </si>
  <si>
    <t>31908024420</t>
  </si>
  <si>
    <t>0711009240</t>
  </si>
  <si>
    <t>100150689119000032</t>
  </si>
  <si>
    <t>ATOM24061900163</t>
  </si>
  <si>
    <t>1282997</t>
  </si>
  <si>
    <t>6163072274</t>
  </si>
  <si>
    <t>100022399219000005</t>
  </si>
  <si>
    <t>7325048537</t>
  </si>
  <si>
    <t>0168200002419004646</t>
  </si>
  <si>
    <t>7327075303</t>
  </si>
  <si>
    <t>31908023990</t>
  </si>
  <si>
    <t>0862600013619000137</t>
  </si>
  <si>
    <t>7224017282</t>
  </si>
  <si>
    <t>31908022853</t>
  </si>
  <si>
    <t>0172200002219000071</t>
  </si>
  <si>
    <t>7816156510</t>
  </si>
  <si>
    <t>7816158154</t>
  </si>
  <si>
    <t>7816160499</t>
  </si>
  <si>
    <t>7816160410</t>
  </si>
  <si>
    <t>7816158330</t>
  </si>
  <si>
    <t>4101068210</t>
  </si>
  <si>
    <t>0338300004719000158</t>
  </si>
  <si>
    <t>1282749</t>
  </si>
  <si>
    <t>4027074134</t>
  </si>
  <si>
    <t>0137200001219003125</t>
  </si>
  <si>
    <t>6506007700</t>
  </si>
  <si>
    <t>0861300005719000208</t>
  </si>
  <si>
    <t>6501281089</t>
  </si>
  <si>
    <t>6501265898</t>
  </si>
  <si>
    <t>5402037225</t>
  </si>
  <si>
    <t>ГП930140</t>
  </si>
  <si>
    <t>[ОКПД2 26.40] Техника бытовая электронная, [ОКВЭД2 47.43] Торговля розничная аудио- и видеотехникой в специализированных магазинах</t>
  </si>
  <si>
    <t>31908021441</t>
  </si>
  <si>
    <t>5053003163</t>
  </si>
  <si>
    <t>767176</t>
  </si>
  <si>
    <t>5245016060</t>
  </si>
  <si>
    <t>31908022424</t>
  </si>
  <si>
    <t>4022004013</t>
  </si>
  <si>
    <t>0137300016119000034</t>
  </si>
  <si>
    <t>402200602014</t>
  </si>
  <si>
    <t>767172</t>
  </si>
  <si>
    <t>6659029468</t>
  </si>
  <si>
    <t>0362200010119000022</t>
  </si>
  <si>
    <t>7451375781</t>
  </si>
  <si>
    <t>2538030581</t>
  </si>
  <si>
    <t>0120200000119000006</t>
  </si>
  <si>
    <t>0138300002119000068</t>
  </si>
  <si>
    <t>0120200000119000007</t>
  </si>
  <si>
    <t>6606004237</t>
  </si>
  <si>
    <t>0362200058319000019</t>
  </si>
  <si>
    <t>720311340107</t>
  </si>
  <si>
    <t>6163021343</t>
  </si>
  <si>
    <t>923116</t>
  </si>
  <si>
    <t>5115200069</t>
  </si>
  <si>
    <t>100315064219000002</t>
  </si>
  <si>
    <t>Заозерск</t>
  </si>
  <si>
    <t>1660033036</t>
  </si>
  <si>
    <t>31908022151</t>
  </si>
  <si>
    <t>3808079367</t>
  </si>
  <si>
    <t>РН966734</t>
  </si>
  <si>
    <t>5432110306</t>
  </si>
  <si>
    <t>0351300250019000005</t>
  </si>
  <si>
    <t>0120200000119000005</t>
  </si>
  <si>
    <t>6916015990</t>
  </si>
  <si>
    <t>31908021517</t>
  </si>
  <si>
    <t>0856100000219000075</t>
  </si>
  <si>
    <t>5902293474</t>
  </si>
  <si>
    <t>0156100003019000032</t>
  </si>
  <si>
    <t>[ОКПД2 84.22] Услуги в области обеспечения военной безопасности</t>
  </si>
  <si>
    <t>2301052969</t>
  </si>
  <si>
    <t>31908021590</t>
  </si>
  <si>
    <t>5426102995</t>
  </si>
  <si>
    <t>922653</t>
  </si>
  <si>
    <t>5406628469</t>
  </si>
  <si>
    <t>922539</t>
  </si>
  <si>
    <t>922661</t>
  </si>
  <si>
    <t>6640003106</t>
  </si>
  <si>
    <t>0362100009019000011</t>
  </si>
  <si>
    <t>Верхотурский район</t>
  </si>
  <si>
    <t>5426102466</t>
  </si>
  <si>
    <t>922497</t>
  </si>
  <si>
    <t>922503</t>
  </si>
  <si>
    <t>100272648119000008</t>
  </si>
  <si>
    <t>7411016017</t>
  </si>
  <si>
    <t>100085419119000058</t>
  </si>
  <si>
    <t>5426102850</t>
  </si>
  <si>
    <t>922379</t>
  </si>
  <si>
    <t>922382</t>
  </si>
  <si>
    <t>100020068219000011</t>
  </si>
  <si>
    <t>3664122837</t>
  </si>
  <si>
    <t>0131300000619001958</t>
  </si>
  <si>
    <t>3666129203</t>
  </si>
  <si>
    <t>0131300000619001959</t>
  </si>
  <si>
    <t>2565368</t>
  </si>
  <si>
    <t>8609011300</t>
  </si>
  <si>
    <t>31908020400</t>
  </si>
  <si>
    <t>6952314770</t>
  </si>
  <si>
    <t>5042068673</t>
  </si>
  <si>
    <t>766847</t>
  </si>
  <si>
    <t>5908015160</t>
  </si>
  <si>
    <t>31908018736</t>
  </si>
  <si>
    <t>1001108288</t>
  </si>
  <si>
    <t>31908019649</t>
  </si>
  <si>
    <t>[ОКПД2 33.20] Услуги по монтажу промышленных машин и оборудования, [ОКВЭД2 33.19] Ремонт прочего оборудования</t>
  </si>
  <si>
    <t>6661004661</t>
  </si>
  <si>
    <t>0162300005319002381</t>
  </si>
  <si>
    <t>4345456747</t>
  </si>
  <si>
    <t>6625024905</t>
  </si>
  <si>
    <t>0162300018019000230</t>
  </si>
  <si>
    <t>560705597194</t>
  </si>
  <si>
    <t>6671080767</t>
  </si>
  <si>
    <t>31908018189</t>
  </si>
  <si>
    <t>31908018140</t>
  </si>
  <si>
    <t>5405116122</t>
  </si>
  <si>
    <t>0851200000619003308</t>
  </si>
  <si>
    <t>7722351995</t>
  </si>
  <si>
    <t>661304725189</t>
  </si>
  <si>
    <t>0318100058819000091</t>
  </si>
  <si>
    <t>2320207946</t>
  </si>
  <si>
    <t>2311254499</t>
  </si>
  <si>
    <t>3444108058</t>
  </si>
  <si>
    <t>100064313119000012</t>
  </si>
  <si>
    <t>8603132428</t>
  </si>
  <si>
    <t>0387200026219000038</t>
  </si>
  <si>
    <t>8620019736</t>
  </si>
  <si>
    <t>8603172004</t>
  </si>
  <si>
    <t>3303001094</t>
  </si>
  <si>
    <t>31908018727</t>
  </si>
  <si>
    <t>31908018112</t>
  </si>
  <si>
    <t>5411100875</t>
  </si>
  <si>
    <t>31908016450</t>
  </si>
  <si>
    <t>31908017171</t>
  </si>
  <si>
    <t>6445009150</t>
  </si>
  <si>
    <t>0160300042619000032</t>
  </si>
  <si>
    <t>Пугачев</t>
  </si>
  <si>
    <t>6616001771</t>
  </si>
  <si>
    <t>0362200014319000041</t>
  </si>
  <si>
    <t>Кировград</t>
  </si>
  <si>
    <t>6623126517</t>
  </si>
  <si>
    <t>6679082607</t>
  </si>
  <si>
    <t>6684030178</t>
  </si>
  <si>
    <t>7838302676</t>
  </si>
  <si>
    <t>100014874219000020</t>
  </si>
  <si>
    <t>100014874219000019</t>
  </si>
  <si>
    <t>100014874219000018</t>
  </si>
  <si>
    <t>6150003065</t>
  </si>
  <si>
    <t>1280759</t>
  </si>
  <si>
    <t>[ОКПД2 27.31] Кабели волоконно-оптические</t>
  </si>
  <si>
    <t>6667006400</t>
  </si>
  <si>
    <t>31908016114</t>
  </si>
  <si>
    <t>100049345119000039</t>
  </si>
  <si>
    <t>6025000660</t>
  </si>
  <si>
    <t>100090057219000017</t>
  </si>
  <si>
    <t>5075009850</t>
  </si>
  <si>
    <t>0848300059119000195</t>
  </si>
  <si>
    <t>7536125117</t>
  </si>
  <si>
    <t>РН966374</t>
  </si>
  <si>
    <t>908837</t>
  </si>
  <si>
    <t>0152100007319000047</t>
  </si>
  <si>
    <t>3123215499</t>
  </si>
  <si>
    <t>ГП918917</t>
  </si>
  <si>
    <t>918791</t>
  </si>
  <si>
    <t>8601018462</t>
  </si>
  <si>
    <t>918750</t>
  </si>
  <si>
    <t>100050454119000003</t>
  </si>
  <si>
    <t>100020068119000037</t>
  </si>
  <si>
    <t>5262277070</t>
  </si>
  <si>
    <t>0132300007519000383</t>
  </si>
  <si>
    <t>5257139395</t>
  </si>
  <si>
    <t>384735</t>
  </si>
  <si>
    <t>31908013616</t>
  </si>
  <si>
    <t>0275916687</t>
  </si>
  <si>
    <t>31908012996</t>
  </si>
  <si>
    <t>[ОКПД2 73.11] Услуги, предоставляемые рекламными агентствами, [ОКВЭД2 73.11] Деятельность рекламных агентств</t>
  </si>
  <si>
    <t>2913003982</t>
  </si>
  <si>
    <t>31908014087</t>
  </si>
  <si>
    <t>Котласский район</t>
  </si>
  <si>
    <t>2460017720</t>
  </si>
  <si>
    <t>0119200000119005631</t>
  </si>
  <si>
    <t>2465303989</t>
  </si>
  <si>
    <t>5078002683</t>
  </si>
  <si>
    <t>765905</t>
  </si>
  <si>
    <t>5045030702</t>
  </si>
  <si>
    <t>765917</t>
  </si>
  <si>
    <t>7708186450</t>
  </si>
  <si>
    <t>0373200001919000127</t>
  </si>
  <si>
    <t>7714965085</t>
  </si>
  <si>
    <t>7701991176</t>
  </si>
  <si>
    <t>7725842825</t>
  </si>
  <si>
    <t>2983007162</t>
  </si>
  <si>
    <t>0384300004219000130</t>
  </si>
  <si>
    <t>2983008416</t>
  </si>
  <si>
    <t>1651032759</t>
  </si>
  <si>
    <t>0111300005119000376</t>
  </si>
  <si>
    <t>5260041350</t>
  </si>
  <si>
    <t>0332200042419000037</t>
  </si>
  <si>
    <t>2511007754</t>
  </si>
  <si>
    <t>0320300000619000034</t>
  </si>
  <si>
    <t>Уссурийск</t>
  </si>
  <si>
    <t>2537135630</t>
  </si>
  <si>
    <t>251112859706</t>
  </si>
  <si>
    <t>0123200000319001861</t>
  </si>
  <si>
    <t>2801189810</t>
  </si>
  <si>
    <t>2801134049</t>
  </si>
  <si>
    <t>2801246377</t>
  </si>
  <si>
    <t>2801244718</t>
  </si>
  <si>
    <t>7736153344</t>
  </si>
  <si>
    <t>РН966177</t>
  </si>
  <si>
    <t>0114200000119000902</t>
  </si>
  <si>
    <t>7325051145</t>
  </si>
  <si>
    <t>100104267219000005</t>
  </si>
  <si>
    <t>2451000991</t>
  </si>
  <si>
    <t>0119300035319000014</t>
  </si>
  <si>
    <t>2462231990</t>
  </si>
  <si>
    <t>3911001043</t>
  </si>
  <si>
    <t>917317</t>
  </si>
  <si>
    <t>SBR035-190014409400020</t>
  </si>
  <si>
    <t>0387200026219000033</t>
  </si>
  <si>
    <t>31908011709</t>
  </si>
  <si>
    <t>31908009723</t>
  </si>
  <si>
    <t>31908011617</t>
  </si>
  <si>
    <t>100041299219000032</t>
  </si>
  <si>
    <t>5903091745</t>
  </si>
  <si>
    <t>31908010282</t>
  </si>
  <si>
    <t>[ОКПД2 96+] Услуги персональные прочие, [ОКВЭД2 80.10] Деятельность частных охранных служб</t>
  </si>
  <si>
    <t>2128019746</t>
  </si>
  <si>
    <t>916332</t>
  </si>
  <si>
    <t>312309</t>
  </si>
  <si>
    <t>0134400000619000029</t>
  </si>
  <si>
    <t>0134400000619000028</t>
  </si>
  <si>
    <t>РН954989</t>
  </si>
  <si>
    <t>0274037972</t>
  </si>
  <si>
    <t>0301100012819000043</t>
  </si>
  <si>
    <t>100281639219000184</t>
  </si>
  <si>
    <t>1280561</t>
  </si>
  <si>
    <t>ATOM20061900083</t>
  </si>
  <si>
    <t>31908010722</t>
  </si>
  <si>
    <t>1101487311</t>
  </si>
  <si>
    <t>915769</t>
  </si>
  <si>
    <t>0257001528</t>
  </si>
  <si>
    <t>100298913219000006</t>
  </si>
  <si>
    <t>8909000370</t>
  </si>
  <si>
    <t>0190200000319007203</t>
  </si>
  <si>
    <t>Ямальский район</t>
  </si>
  <si>
    <t>5505212133</t>
  </si>
  <si>
    <t>1701044255</t>
  </si>
  <si>
    <t>100266538119000012</t>
  </si>
  <si>
    <t>190603/0503/505</t>
  </si>
  <si>
    <t>3015041037</t>
  </si>
  <si>
    <t>BP00297098</t>
  </si>
  <si>
    <t>5072713105</t>
  </si>
  <si>
    <t>765213</t>
  </si>
  <si>
    <t>5003012282</t>
  </si>
  <si>
    <t>31908008990</t>
  </si>
  <si>
    <t>3704000789</t>
  </si>
  <si>
    <t>100315856119000038</t>
  </si>
  <si>
    <t>Тейково</t>
  </si>
  <si>
    <t>0163200000319004168</t>
  </si>
  <si>
    <t>0163200000319004173</t>
  </si>
  <si>
    <t>0163200000319004171</t>
  </si>
  <si>
    <t>0163200000319004170</t>
  </si>
  <si>
    <t>0163200000319004175</t>
  </si>
  <si>
    <t>0163200000319004179</t>
  </si>
  <si>
    <t>5752079119</t>
  </si>
  <si>
    <t>0163200000319004166</t>
  </si>
  <si>
    <t>7708726226</t>
  </si>
  <si>
    <t>0163200000319004165</t>
  </si>
  <si>
    <t>0163200000319004176</t>
  </si>
  <si>
    <t>7728397650</t>
  </si>
  <si>
    <t>0163200000319004177</t>
  </si>
  <si>
    <t>0163200000319004169</t>
  </si>
  <si>
    <t>8904051268</t>
  </si>
  <si>
    <t>31908007824</t>
  </si>
  <si>
    <t>0163200000319004164</t>
  </si>
  <si>
    <t>0163200000319004167</t>
  </si>
  <si>
    <t>9709008782</t>
  </si>
  <si>
    <t>0163200000319004172</t>
  </si>
  <si>
    <t>9718023681</t>
  </si>
  <si>
    <t>0163200000319004178</t>
  </si>
  <si>
    <t>2320036296</t>
  </si>
  <si>
    <t>0318100066419000063</t>
  </si>
  <si>
    <t>2309120272</t>
  </si>
  <si>
    <t>7106079927</t>
  </si>
  <si>
    <t>0163200000319004174</t>
  </si>
  <si>
    <t>31908008220</t>
  </si>
  <si>
    <t>СРБ2019-0047(ЗКО)</t>
  </si>
  <si>
    <t>2564383</t>
  </si>
  <si>
    <t>6725004211</t>
  </si>
  <si>
    <t>0163200000319004131</t>
  </si>
  <si>
    <t>Рославльский район</t>
  </si>
  <si>
    <t>6732106969</t>
  </si>
  <si>
    <t>6731029493</t>
  </si>
  <si>
    <t>6732071152</t>
  </si>
  <si>
    <t>6732068583</t>
  </si>
  <si>
    <t>6732158300</t>
  </si>
  <si>
    <t>6732068128</t>
  </si>
  <si>
    <t>31908008165</t>
  </si>
  <si>
    <t>[ОКПД2 84.21] Услуги в области международных отношений, [ОКВЭД2 84.21] Деятельность международная</t>
  </si>
  <si>
    <t>7718852163</t>
  </si>
  <si>
    <t>31908008188</t>
  </si>
  <si>
    <t>3234011910</t>
  </si>
  <si>
    <t>31908007768</t>
  </si>
  <si>
    <t>[ОКПД2 27.4+] Оборудование электрическое осветительное, [ОКВЭД2 27.4+] Производство электрических ламп и осветительного оборудования</t>
  </si>
  <si>
    <t>100315064119000002</t>
  </si>
  <si>
    <t>5048052711</t>
  </si>
  <si>
    <t>764919</t>
  </si>
  <si>
    <t>0274036320</t>
  </si>
  <si>
    <t>31908006335</t>
  </si>
  <si>
    <t>1435102955</t>
  </si>
  <si>
    <t>0816500000619008473</t>
  </si>
  <si>
    <t>1435302866</t>
  </si>
  <si>
    <t>0603285282</t>
  </si>
  <si>
    <t>496027</t>
  </si>
  <si>
    <t>6234001473</t>
  </si>
  <si>
    <t>1279817</t>
  </si>
  <si>
    <t>Рязанский район</t>
  </si>
  <si>
    <t>5249049966</t>
  </si>
  <si>
    <t>0332300237919000018</t>
  </si>
  <si>
    <t>5260449492</t>
  </si>
  <si>
    <t>5249067595</t>
  </si>
  <si>
    <t>5070011414</t>
  </si>
  <si>
    <t>764696</t>
  </si>
  <si>
    <t>0342100001719000010</t>
  </si>
  <si>
    <t>31908006346</t>
  </si>
  <si>
    <t>[ОКПД2 81.29] Услуги по чистке и уборке прочие, [ОКПД2 81.10] Услуги по комплексному обслуживанию помещений, [ОКПД2 82.19] Услуги по фотокопированию, подготовке документов и прочие вспомогательные услуги по обеспечению деятельности офиса, [ОКВЭД2 81.29] Деятельность по чистке и уборке прочая, [ОКВЭД2 81.10] Деятельность по комплексному обслуживанию помещений, [ОКВЭД2 82.19] Деятельность по фотокопированию и подготовке документов и прочая специализированная вспомогательная деятельность по обеспечению деятельности офиса</t>
  </si>
  <si>
    <t>6730016879</t>
  </si>
  <si>
    <t>0163100004019000146</t>
  </si>
  <si>
    <t>5022038751</t>
  </si>
  <si>
    <t>764683</t>
  </si>
  <si>
    <t>3123114243</t>
  </si>
  <si>
    <t>913098</t>
  </si>
  <si>
    <t>31908004815</t>
  </si>
  <si>
    <t>5725001089</t>
  </si>
  <si>
    <t>31908005977</t>
  </si>
  <si>
    <t>575101396395</t>
  </si>
  <si>
    <t>6450090478</t>
  </si>
  <si>
    <t>31908005590</t>
  </si>
  <si>
    <t>31908005420</t>
  </si>
  <si>
    <t>0334300041419000158</t>
  </si>
  <si>
    <t>3808202388</t>
  </si>
  <si>
    <t>31908005481</t>
  </si>
  <si>
    <t>2204000933</t>
  </si>
  <si>
    <t>912304</t>
  </si>
  <si>
    <t>7532001223</t>
  </si>
  <si>
    <t>100295565219000013</t>
  </si>
  <si>
    <t>2308245455</t>
  </si>
  <si>
    <t>0118500000119000105</t>
  </si>
  <si>
    <t>0118500000119000107</t>
  </si>
  <si>
    <t>0118500000119000106</t>
  </si>
  <si>
    <t>5502033753</t>
  </si>
  <si>
    <t>911991</t>
  </si>
  <si>
    <t>2322016190</t>
  </si>
  <si>
    <t>0318200063919002532</t>
  </si>
  <si>
    <t>2311152296</t>
  </si>
  <si>
    <t>0134300004519000266</t>
  </si>
  <si>
    <t>3802007729</t>
  </si>
  <si>
    <t>100004513119000016</t>
  </si>
  <si>
    <t>8604022121</t>
  </si>
  <si>
    <t>100088048219000002</t>
  </si>
  <si>
    <t>1279258</t>
  </si>
  <si>
    <t>1279274</t>
  </si>
  <si>
    <t>[ОКПД2 22.21] Плиты, листы, трубы и профили пластмассовые</t>
  </si>
  <si>
    <t>6230029069</t>
  </si>
  <si>
    <t>1266</t>
  </si>
  <si>
    <t>5027059226</t>
  </si>
  <si>
    <t>764258</t>
  </si>
  <si>
    <t>2014004520</t>
  </si>
  <si>
    <t>31908003906</t>
  </si>
  <si>
    <t>100264973119000007</t>
  </si>
  <si>
    <t>7734673771</t>
  </si>
  <si>
    <t>31908003695</t>
  </si>
  <si>
    <t>7703616170</t>
  </si>
  <si>
    <t>31908003687</t>
  </si>
  <si>
    <t>7702809853</t>
  </si>
  <si>
    <t>7734598193</t>
  </si>
  <si>
    <t>31908003655</t>
  </si>
  <si>
    <t>4632111827</t>
  </si>
  <si>
    <t>0344200022819000028</t>
  </si>
  <si>
    <t>7728442254</t>
  </si>
  <si>
    <t>4632177578</t>
  </si>
  <si>
    <t>5534008679</t>
  </si>
  <si>
    <t>0352300202719000023</t>
  </si>
  <si>
    <t>Таврический район</t>
  </si>
  <si>
    <t>5533003075</t>
  </si>
  <si>
    <t>5507154543</t>
  </si>
  <si>
    <t>5501255464</t>
  </si>
  <si>
    <t>5503211543</t>
  </si>
  <si>
    <t>5534021341</t>
  </si>
  <si>
    <t>0351100002719000329</t>
  </si>
  <si>
    <t>5405414231</t>
  </si>
  <si>
    <t>2537104150</t>
  </si>
  <si>
    <t>РН954381</t>
  </si>
  <si>
    <t>5190131872</t>
  </si>
  <si>
    <t>100079888219000003</t>
  </si>
  <si>
    <t>0125500000219000265</t>
  </si>
  <si>
    <t>[ОКПД2 26.52] Часы всех видов</t>
  </si>
  <si>
    <t>7725848658</t>
  </si>
  <si>
    <t>2563953</t>
  </si>
  <si>
    <t>4427000610</t>
  </si>
  <si>
    <t>910505</t>
  </si>
  <si>
    <t>Судиславский район</t>
  </si>
  <si>
    <t>0848300046119000340</t>
  </si>
  <si>
    <t>2204058281</t>
  </si>
  <si>
    <t>31908000281</t>
  </si>
  <si>
    <t>5190008678</t>
  </si>
  <si>
    <t>100023215119000081</t>
  </si>
  <si>
    <t>0373200082119000172</t>
  </si>
  <si>
    <t>010513686906</t>
  </si>
  <si>
    <t>7726664251</t>
  </si>
  <si>
    <t>8601034224</t>
  </si>
  <si>
    <t>0387200030019000096</t>
  </si>
  <si>
    <t>5501103207</t>
  </si>
  <si>
    <t>100298913119000013</t>
  </si>
  <si>
    <t>3311004500</t>
  </si>
  <si>
    <t>0328300017419000169</t>
  </si>
  <si>
    <t>Александровский район</t>
  </si>
  <si>
    <t>331104997967</t>
  </si>
  <si>
    <t>3250512737</t>
  </si>
  <si>
    <t>100109164219000021</t>
  </si>
  <si>
    <t>7806394392</t>
  </si>
  <si>
    <t>2563814</t>
  </si>
  <si>
    <t>2439006490</t>
  </si>
  <si>
    <t>0119300045319000032</t>
  </si>
  <si>
    <t>[ОКПД2 59.13] Услуги по распространению кинофильмов, видеофильмов и телевизионных программ</t>
  </si>
  <si>
    <t>Ужурский район</t>
  </si>
  <si>
    <t>2456009733</t>
  </si>
  <si>
    <t>3729024260</t>
  </si>
  <si>
    <t>0133200001719001825</t>
  </si>
  <si>
    <t>3702733639</t>
  </si>
  <si>
    <t>0105017227</t>
  </si>
  <si>
    <t>0176200005519001232</t>
  </si>
  <si>
    <t>010800136215</t>
  </si>
  <si>
    <t>0105059058</t>
  </si>
  <si>
    <t>5030033027</t>
  </si>
  <si>
    <t>763649</t>
  </si>
  <si>
    <t>3801046690</t>
  </si>
  <si>
    <t>РН954226</t>
  </si>
  <si>
    <t>0856100000219000070</t>
  </si>
  <si>
    <t>0856100000219000069</t>
  </si>
  <si>
    <t>2315062854</t>
  </si>
  <si>
    <t>100288965219000037</t>
  </si>
  <si>
    <t>0120100009619000040</t>
  </si>
  <si>
    <t>100023215119000079</t>
  </si>
  <si>
    <t>8905050926</t>
  </si>
  <si>
    <t>0390300069419000004</t>
  </si>
  <si>
    <t>100023215119000076</t>
  </si>
  <si>
    <t>5075017025</t>
  </si>
  <si>
    <t>31908000375</t>
  </si>
  <si>
    <t>[ОКПД2 26.30] Оборудование коммуникационное, [ОКВЭД2 33.12] Ремонт машин и оборудования</t>
  </si>
  <si>
    <t>4826063347</t>
  </si>
  <si>
    <t>100238506219000021</t>
  </si>
  <si>
    <t>5504043676</t>
  </si>
  <si>
    <t>909429</t>
  </si>
  <si>
    <t>31907999624</t>
  </si>
  <si>
    <t>909275</t>
  </si>
  <si>
    <t>6725010984</t>
  </si>
  <si>
    <t>100231450219000014</t>
  </si>
  <si>
    <t>100023215119000080</t>
  </si>
  <si>
    <t>7102005402</t>
  </si>
  <si>
    <t>0366200022919000044</t>
  </si>
  <si>
    <t>763399</t>
  </si>
  <si>
    <t>Клинский район</t>
  </si>
  <si>
    <t>100288965219000036</t>
  </si>
  <si>
    <t>5005030142</t>
  </si>
  <si>
    <t>763418</t>
  </si>
  <si>
    <t>2465106613</t>
  </si>
  <si>
    <t>31907998830</t>
  </si>
  <si>
    <t>[ОКПД2 80+] Услуги по обеспечению безопасности и проведению расследований, [ОКВЭД2 80.10] Деятельность частных охранных служб</t>
  </si>
  <si>
    <t>7712039709</t>
  </si>
  <si>
    <t>31907999922</t>
  </si>
  <si>
    <t>6434007948</t>
  </si>
  <si>
    <t>100263124119000020</t>
  </si>
  <si>
    <t>Татищевский район</t>
  </si>
  <si>
    <t>4815006153</t>
  </si>
  <si>
    <t>0346300145119000002</t>
  </si>
  <si>
    <t>Тербунский район</t>
  </si>
  <si>
    <t>463227764750</t>
  </si>
  <si>
    <t>4825052857</t>
  </si>
  <si>
    <t>4826128322</t>
  </si>
  <si>
    <t>3913000817</t>
  </si>
  <si>
    <t>0835300000119000044</t>
  </si>
  <si>
    <t>Светлый</t>
  </si>
  <si>
    <t>3904085758</t>
  </si>
  <si>
    <t>3904066554</t>
  </si>
  <si>
    <t>3906194008</t>
  </si>
  <si>
    <t>6622002371</t>
  </si>
  <si>
    <t>0362300326219000045</t>
  </si>
  <si>
    <t>Нижняя Салда</t>
  </si>
  <si>
    <t>7447072625</t>
  </si>
  <si>
    <t>0114200000119000877</t>
  </si>
  <si>
    <t>0608000484</t>
  </si>
  <si>
    <t>31907998859</t>
  </si>
  <si>
    <t>100295565119000022</t>
  </si>
  <si>
    <t>100204721119000008</t>
  </si>
  <si>
    <t>7724313681</t>
  </si>
  <si>
    <t>190618/5610/352</t>
  </si>
  <si>
    <t>1278323</t>
  </si>
  <si>
    <t>[ОКПД2 38.21] Услуги по переработке и утилизации отходов неопасных</t>
  </si>
  <si>
    <t>7708619320</t>
  </si>
  <si>
    <t>31907998188</t>
  </si>
  <si>
    <t>2466055489</t>
  </si>
  <si>
    <t>31907996149</t>
  </si>
  <si>
    <t>[ОКПД2 43.21] Работы электромонтажные, [ОКПД2 26.30] Оборудование коммуникационное, [ОКВЭД2 43.21] Производство электромонтажных работ, [ОКВЭД2 26.30] Производство коммуникационного оборудования</t>
  </si>
  <si>
    <t>6661014645</t>
  </si>
  <si>
    <t>0362100026219000172</t>
  </si>
  <si>
    <t>100158616119000127</t>
  </si>
  <si>
    <t>4229006673</t>
  </si>
  <si>
    <t>0339300037019000036</t>
  </si>
  <si>
    <t>4205291975</t>
  </si>
  <si>
    <t>100231450219000013</t>
  </si>
  <si>
    <t>100158616119000128</t>
  </si>
  <si>
    <t>7604004843</t>
  </si>
  <si>
    <t>31907997342</t>
  </si>
  <si>
    <t>100231450219000009</t>
  </si>
  <si>
    <t>7817045570</t>
  </si>
  <si>
    <t>31907997223</t>
  </si>
  <si>
    <t>7801612640</t>
  </si>
  <si>
    <t>100158616119000126</t>
  </si>
  <si>
    <t>100231450219000010</t>
  </si>
  <si>
    <t>100014874219000016</t>
  </si>
  <si>
    <t>3444200416</t>
  </si>
  <si>
    <t>0829200002119000006</t>
  </si>
  <si>
    <t>0347100001219000026</t>
  </si>
  <si>
    <t>8709014329</t>
  </si>
  <si>
    <t>5022021620</t>
  </si>
  <si>
    <t>762818</t>
  </si>
  <si>
    <t>8613001960</t>
  </si>
  <si>
    <t>0387100009019000002</t>
  </si>
  <si>
    <t>Березовский район</t>
  </si>
  <si>
    <t>6410900060</t>
  </si>
  <si>
    <t>100184296119000007</t>
  </si>
  <si>
    <t>Дергачевский район</t>
  </si>
  <si>
    <t>4807011230</t>
  </si>
  <si>
    <t>0346300067819000002</t>
  </si>
  <si>
    <t>480282553690</t>
  </si>
  <si>
    <t>1651019148</t>
  </si>
  <si>
    <t>0111300005119000361</t>
  </si>
  <si>
    <t>1650317060</t>
  </si>
  <si>
    <t>1657247817</t>
  </si>
  <si>
    <t>6117001247</t>
  </si>
  <si>
    <t>906860</t>
  </si>
  <si>
    <t>6631006090</t>
  </si>
  <si>
    <t>31907995286</t>
  </si>
  <si>
    <t>7451080428</t>
  </si>
  <si>
    <t>0169300000119001353</t>
  </si>
  <si>
    <t>7453211651</t>
  </si>
  <si>
    <t>7451372614</t>
  </si>
  <si>
    <t>7447088664</t>
  </si>
  <si>
    <t>7448116321</t>
  </si>
  <si>
    <t>3328103130</t>
  </si>
  <si>
    <t>0128200000119003899</t>
  </si>
  <si>
    <t>5259062042</t>
  </si>
  <si>
    <t>3329029489</t>
  </si>
  <si>
    <t>4811005134</t>
  </si>
  <si>
    <t>31907995740</t>
  </si>
  <si>
    <t>Лебедянский район</t>
  </si>
  <si>
    <t>3327103289</t>
  </si>
  <si>
    <t>0328100001419000129</t>
  </si>
  <si>
    <t>1435323383</t>
  </si>
  <si>
    <t>31907993737</t>
  </si>
  <si>
    <t>[ОКПД2 43.22] Работы по монтажу систем водопровода, канализации, отопления и кондиционирования воздуха, [ОКВЭД2 43.2+] Производство электромонтажных, санитарно-технических и прочих строительно-монтажных работ</t>
  </si>
  <si>
    <t>2420004178</t>
  </si>
  <si>
    <t>0819600002219000079</t>
  </si>
  <si>
    <t>Кежемский район</t>
  </si>
  <si>
    <t>2420072690</t>
  </si>
  <si>
    <t>8709009223</t>
  </si>
  <si>
    <t>31907993609</t>
  </si>
  <si>
    <t>Анадырь</t>
  </si>
  <si>
    <t>5077022782</t>
  </si>
  <si>
    <t>762528</t>
  </si>
  <si>
    <t>0347100001219000025</t>
  </si>
  <si>
    <t>905956</t>
  </si>
  <si>
    <t>7814059687</t>
  </si>
  <si>
    <t>0372200102319000003</t>
  </si>
  <si>
    <t>7810021636</t>
  </si>
  <si>
    <t>7806199680</t>
  </si>
  <si>
    <t>0814045297</t>
  </si>
  <si>
    <t>0105100003019000034</t>
  </si>
  <si>
    <t>5302001218</t>
  </si>
  <si>
    <t>0150300011619000080</t>
  </si>
  <si>
    <t>5320026367</t>
  </si>
  <si>
    <t>5302013982</t>
  </si>
  <si>
    <t>5321195752</t>
  </si>
  <si>
    <t>1277360</t>
  </si>
  <si>
    <t>0362200017419000017</t>
  </si>
  <si>
    <t>0362200017419000018</t>
  </si>
  <si>
    <t>5507037215</t>
  </si>
  <si>
    <t>905426</t>
  </si>
  <si>
    <t>2710009530</t>
  </si>
  <si>
    <t>100133261219000009</t>
  </si>
  <si>
    <t>5902190648</t>
  </si>
  <si>
    <t>383535</t>
  </si>
  <si>
    <t>5012005901</t>
  </si>
  <si>
    <t>752290</t>
  </si>
  <si>
    <t>7450047957</t>
  </si>
  <si>
    <t>31907993439</t>
  </si>
  <si>
    <t>5077010875</t>
  </si>
  <si>
    <t>752197</t>
  </si>
  <si>
    <t>7453010095</t>
  </si>
  <si>
    <t>31907992705</t>
  </si>
  <si>
    <t>6150010834</t>
  </si>
  <si>
    <t>31907992864</t>
  </si>
  <si>
    <t>5612019938</t>
  </si>
  <si>
    <t>0353300033619000011</t>
  </si>
  <si>
    <t>6902016578</t>
  </si>
  <si>
    <t>100032875219000012</t>
  </si>
  <si>
    <t>6372022291</t>
  </si>
  <si>
    <t>100016180219000009</t>
  </si>
  <si>
    <t>5261077695</t>
  </si>
  <si>
    <t>31907991755</t>
  </si>
  <si>
    <t>0372100047319000083</t>
  </si>
  <si>
    <t>100016180219000010</t>
  </si>
  <si>
    <t>309526</t>
  </si>
  <si>
    <t>1435270928</t>
  </si>
  <si>
    <t>0816500000619007979</t>
  </si>
  <si>
    <t>1001040135</t>
  </si>
  <si>
    <t>0806500000219000458</t>
  </si>
  <si>
    <t>1001175622</t>
  </si>
  <si>
    <t>1020010506</t>
  </si>
  <si>
    <t>1001327152</t>
  </si>
  <si>
    <t>1001333540</t>
  </si>
  <si>
    <t>31907990384</t>
  </si>
  <si>
    <t>100158616119000123</t>
  </si>
  <si>
    <t>1901001837</t>
  </si>
  <si>
    <t>31907989146</t>
  </si>
  <si>
    <t>100158616119000124</t>
  </si>
  <si>
    <t>8611008826</t>
  </si>
  <si>
    <t>903557</t>
  </si>
  <si>
    <t>Белоярский</t>
  </si>
  <si>
    <t>6372022301</t>
  </si>
  <si>
    <t>100031339219000026</t>
  </si>
  <si>
    <t>100031339219000025</t>
  </si>
  <si>
    <t>8602200001</t>
  </si>
  <si>
    <t>903384</t>
  </si>
  <si>
    <t>100092757219000004</t>
  </si>
  <si>
    <t>100092757219000005</t>
  </si>
  <si>
    <t>9111009044</t>
  </si>
  <si>
    <t>0375200009819000063</t>
  </si>
  <si>
    <t>9201521024</t>
  </si>
  <si>
    <t>027813375386</t>
  </si>
  <si>
    <t>0105066506</t>
  </si>
  <si>
    <t>0376300000119000119</t>
  </si>
  <si>
    <t>2311249107</t>
  </si>
  <si>
    <t>3442065578</t>
  </si>
  <si>
    <t>7734365223</t>
  </si>
  <si>
    <t>5022092131</t>
  </si>
  <si>
    <t>751726</t>
  </si>
  <si>
    <t>5030033563</t>
  </si>
  <si>
    <t>751648</t>
  </si>
  <si>
    <t>4442971</t>
  </si>
  <si>
    <t>6219003388</t>
  </si>
  <si>
    <t>0859200001119007120</t>
  </si>
  <si>
    <t>Милославский район</t>
  </si>
  <si>
    <t>6234088234</t>
  </si>
  <si>
    <t>5422100154</t>
  </si>
  <si>
    <t>902567</t>
  </si>
  <si>
    <t>5075011383</t>
  </si>
  <si>
    <t>751463</t>
  </si>
  <si>
    <t>100272529219000010</t>
  </si>
  <si>
    <t>2539085054</t>
  </si>
  <si>
    <t>0120200000819000014</t>
  </si>
  <si>
    <t>2538151378</t>
  </si>
  <si>
    <t>1645019164</t>
  </si>
  <si>
    <t>1276156</t>
  </si>
  <si>
    <t>[ОКПД2 26.3+] Оборудование коммуникационное</t>
  </si>
  <si>
    <t>Асекеевский район</t>
  </si>
  <si>
    <t>7810214719</t>
  </si>
  <si>
    <t>0372200073619000011</t>
  </si>
  <si>
    <t>7446046580</t>
  </si>
  <si>
    <t>902167</t>
  </si>
  <si>
    <t>31907987963</t>
  </si>
  <si>
    <t>31907987965</t>
  </si>
  <si>
    <t>7459000015</t>
  </si>
  <si>
    <t>100195657219000004</t>
  </si>
  <si>
    <t>5036040729</t>
  </si>
  <si>
    <t>190605/0601/452</t>
  </si>
  <si>
    <t>190605/0601/451</t>
  </si>
  <si>
    <t>7734242302</t>
  </si>
  <si>
    <t>190614/0606/121</t>
  </si>
  <si>
    <t>7224015052</t>
  </si>
  <si>
    <t>31907987577</t>
  </si>
  <si>
    <t>31907987586</t>
  </si>
  <si>
    <t>7224010079</t>
  </si>
  <si>
    <t>31907987583</t>
  </si>
  <si>
    <t>7224010086</t>
  </si>
  <si>
    <t>31907987590</t>
  </si>
  <si>
    <t>1275823</t>
  </si>
  <si>
    <t>7704058909</t>
  </si>
  <si>
    <t>0373100042319000016</t>
  </si>
  <si>
    <t>9729000213</t>
  </si>
  <si>
    <t>7716862720</t>
  </si>
  <si>
    <t>6027021425</t>
  </si>
  <si>
    <t>0157200000319000477</t>
  </si>
  <si>
    <t>6027146576</t>
  </si>
  <si>
    <t>6625015516</t>
  </si>
  <si>
    <t>0162300018019000220</t>
  </si>
  <si>
    <t>6684001018</t>
  </si>
  <si>
    <t>6679104681</t>
  </si>
  <si>
    <t>5022028834</t>
  </si>
  <si>
    <t>751146</t>
  </si>
  <si>
    <t>2128017971</t>
  </si>
  <si>
    <t>100119878119000027</t>
  </si>
  <si>
    <t>100022399119000007</t>
  </si>
  <si>
    <t>0274089610</t>
  </si>
  <si>
    <t>494900</t>
  </si>
  <si>
    <t>6205006460</t>
  </si>
  <si>
    <t>0159300010219000012</t>
  </si>
  <si>
    <t>Клепиковский район</t>
  </si>
  <si>
    <t>6234149695</t>
  </si>
  <si>
    <t>6205008280</t>
  </si>
  <si>
    <t>622809198798</t>
  </si>
  <si>
    <t>6164048010</t>
  </si>
  <si>
    <t>100269570219000006</t>
  </si>
  <si>
    <t>6603010289</t>
  </si>
  <si>
    <t>31907984483</t>
  </si>
  <si>
    <t>[ОКПД2 43.21] Работы электромонтажные, [ОКВЭД2 85.14] Образование среднее общее</t>
  </si>
  <si>
    <t>4206025775</t>
  </si>
  <si>
    <t>100156381219000016</t>
  </si>
  <si>
    <t>750915</t>
  </si>
  <si>
    <t>31907985084</t>
  </si>
  <si>
    <t>8612009043</t>
  </si>
  <si>
    <t>900330</t>
  </si>
  <si>
    <t>2562475</t>
  </si>
  <si>
    <t>РН930992</t>
  </si>
  <si>
    <t>ATOM13061900090</t>
  </si>
  <si>
    <t>1275423</t>
  </si>
  <si>
    <t>0137200001219002885</t>
  </si>
  <si>
    <t>100218151219000010</t>
  </si>
  <si>
    <t>1110003479</t>
  </si>
  <si>
    <t>0107300004619000029</t>
  </si>
  <si>
    <t>Сысольский район</t>
  </si>
  <si>
    <t>110102923825</t>
  </si>
  <si>
    <t>6603010120</t>
  </si>
  <si>
    <t>0362300153919000016</t>
  </si>
  <si>
    <t>7710146102</t>
  </si>
  <si>
    <t>0122100003819000022</t>
  </si>
  <si>
    <t>7717083691</t>
  </si>
  <si>
    <t>100285812219000081</t>
  </si>
  <si>
    <t>0348200056219000014</t>
  </si>
  <si>
    <t>5042103977</t>
  </si>
  <si>
    <t>0153100008319000008</t>
  </si>
  <si>
    <t>4246006426</t>
  </si>
  <si>
    <t>31907982521</t>
  </si>
  <si>
    <t>[ОКПД2 84.24] Услуги по обеспечению общественного порядка и безопасности, [ОКВЭД2 80.20] Деятельность систем обеспечения безопасности</t>
  </si>
  <si>
    <t>4246004429</t>
  </si>
  <si>
    <t>2807011893</t>
  </si>
  <si>
    <t>100254679219000022</t>
  </si>
  <si>
    <t>5070011252</t>
  </si>
  <si>
    <t>750556</t>
  </si>
  <si>
    <t>5906123280</t>
  </si>
  <si>
    <t>100191865219000005</t>
  </si>
  <si>
    <t>2634056367</t>
  </si>
  <si>
    <t>0321200008919000020</t>
  </si>
  <si>
    <t>2635100876</t>
  </si>
  <si>
    <t>2635064868</t>
  </si>
  <si>
    <t>6168062022</t>
  </si>
  <si>
    <t>2634806531</t>
  </si>
  <si>
    <t>750547</t>
  </si>
  <si>
    <t>100269570119000016</t>
  </si>
  <si>
    <t>1835015954</t>
  </si>
  <si>
    <t>0813500000119006059</t>
  </si>
  <si>
    <t>1834025967</t>
  </si>
  <si>
    <t>1832140530</t>
  </si>
  <si>
    <t>6903006170</t>
  </si>
  <si>
    <t>100146417219000022</t>
  </si>
  <si>
    <t>898806</t>
  </si>
  <si>
    <t>[ОКПД2 33.20] Услуги по монтажу промышленных машин и оборудования, [ОКПД2 29.32] Комплектующие и принадлежности для автотранспортных средств прочие</t>
  </si>
  <si>
    <t>РН930829</t>
  </si>
  <si>
    <t>[ОКПД2 43.21] Работы электромонтажные, [ОКВЭД2 42.22] Строительство коммунальных объектов для обеспечения электроэнергией и телекоммуникациями</t>
  </si>
  <si>
    <t>1651029724</t>
  </si>
  <si>
    <t>BP00294339</t>
  </si>
  <si>
    <t>1650082637</t>
  </si>
  <si>
    <t>0111300000819000604</t>
  </si>
  <si>
    <t>1650283823</t>
  </si>
  <si>
    <t>1652011825</t>
  </si>
  <si>
    <t>1659123278</t>
  </si>
  <si>
    <t>5440113011</t>
  </si>
  <si>
    <t>898231</t>
  </si>
  <si>
    <t>100260645219000004</t>
  </si>
  <si>
    <t>31907981520</t>
  </si>
  <si>
    <t>31907981351</t>
  </si>
  <si>
    <t>100260645119000005</t>
  </si>
  <si>
    <t>6603009660</t>
  </si>
  <si>
    <t>31907980838</t>
  </si>
  <si>
    <t>31907980716</t>
  </si>
  <si>
    <t>31907981382</t>
  </si>
  <si>
    <t>1808206981</t>
  </si>
  <si>
    <t>0813600003619000086</t>
  </si>
  <si>
    <t>1841032309</t>
  </si>
  <si>
    <t>1833010622</t>
  </si>
  <si>
    <t>1831066605</t>
  </si>
  <si>
    <t>1841060017</t>
  </si>
  <si>
    <t>183502334119</t>
  </si>
  <si>
    <t>7729632610</t>
  </si>
  <si>
    <t>ATOM11061900224</t>
  </si>
  <si>
    <t>7018002700</t>
  </si>
  <si>
    <t>0865200000319001082</t>
  </si>
  <si>
    <t>7014060965</t>
  </si>
  <si>
    <t>7017167191</t>
  </si>
  <si>
    <t>1001040600</t>
  </si>
  <si>
    <t>0306200004519000051</t>
  </si>
  <si>
    <t>5049002819</t>
  </si>
  <si>
    <t>0348300007319000151</t>
  </si>
  <si>
    <t>5011017580</t>
  </si>
  <si>
    <t>7841447015</t>
  </si>
  <si>
    <t>0872100004319000016</t>
  </si>
  <si>
    <t>[ОКПД2 26.30] Оборудование коммуникационное, [ОКПД2 43.21] Работы электромонтажные</t>
  </si>
  <si>
    <t>7802776390</t>
  </si>
  <si>
    <t>4906001402</t>
  </si>
  <si>
    <t>0347300007619000063</t>
  </si>
  <si>
    <t>Тенькинский район</t>
  </si>
  <si>
    <t>490909640302</t>
  </si>
  <si>
    <t>4909088850</t>
  </si>
  <si>
    <t>4909115567</t>
  </si>
  <si>
    <t>5030033820</t>
  </si>
  <si>
    <t>31907981516</t>
  </si>
  <si>
    <t>2310173039</t>
  </si>
  <si>
    <t>31907981539</t>
  </si>
  <si>
    <t>5753007212</t>
  </si>
  <si>
    <t>0354200024719000044</t>
  </si>
  <si>
    <t>5752043673</t>
  </si>
  <si>
    <t>6723003974</t>
  </si>
  <si>
    <t>0163300036619000015</t>
  </si>
  <si>
    <t>1274871</t>
  </si>
  <si>
    <t>5005021250</t>
  </si>
  <si>
    <t>31907981005</t>
  </si>
  <si>
    <t>5003130720</t>
  </si>
  <si>
    <t>750043</t>
  </si>
  <si>
    <t>9105003566</t>
  </si>
  <si>
    <t>0875300047619000059</t>
  </si>
  <si>
    <t>Красногвардейский</t>
  </si>
  <si>
    <t>7606049840</t>
  </si>
  <si>
    <t>5050038591</t>
  </si>
  <si>
    <t>750002</t>
  </si>
  <si>
    <t>0116300037719000007</t>
  </si>
  <si>
    <t>1001027783</t>
  </si>
  <si>
    <t>5034056113</t>
  </si>
  <si>
    <t>0148600009919000022</t>
  </si>
  <si>
    <t>1614007634</t>
  </si>
  <si>
    <t>0111300095519000066</t>
  </si>
  <si>
    <t>Буинск</t>
  </si>
  <si>
    <t>0302300006319000028</t>
  </si>
  <si>
    <t>6006000696</t>
  </si>
  <si>
    <t>0357200010419000090</t>
  </si>
  <si>
    <t>Красногородский район</t>
  </si>
  <si>
    <t>6027100846</t>
  </si>
  <si>
    <t>6027068960</t>
  </si>
  <si>
    <t>РН930703</t>
  </si>
  <si>
    <t>31907979353</t>
  </si>
  <si>
    <t>РН930694</t>
  </si>
  <si>
    <t>6439047768</t>
  </si>
  <si>
    <t>31907979810</t>
  </si>
  <si>
    <t>6714000960</t>
  </si>
  <si>
    <t>0163200000319003921</t>
  </si>
  <si>
    <t>Смоленский район</t>
  </si>
  <si>
    <t>6730080786</t>
  </si>
  <si>
    <t>6732003681</t>
  </si>
  <si>
    <t>6732139040</t>
  </si>
  <si>
    <t>6714048802</t>
  </si>
  <si>
    <t>6732058708</t>
  </si>
  <si>
    <t>6727029194</t>
  </si>
  <si>
    <t>7418006770</t>
  </si>
  <si>
    <t>0369100004919000047</t>
  </si>
  <si>
    <t>7447238278</t>
  </si>
  <si>
    <t>7724255736</t>
  </si>
  <si>
    <t>0173200018619000003</t>
  </si>
  <si>
    <t>7714388649</t>
  </si>
  <si>
    <t>5042107308</t>
  </si>
  <si>
    <t>5047209021</t>
  </si>
  <si>
    <t>9709046940</t>
  </si>
  <si>
    <t>7720776760</t>
  </si>
  <si>
    <t>331906130142</t>
  </si>
  <si>
    <t>7726430630</t>
  </si>
  <si>
    <t>7724459440</t>
  </si>
  <si>
    <t>7724708062</t>
  </si>
  <si>
    <t>7743169948</t>
  </si>
  <si>
    <t>7715445748</t>
  </si>
  <si>
    <t>7725801145</t>
  </si>
  <si>
    <t>0372200046419000069</t>
  </si>
  <si>
    <t>7804631305</t>
  </si>
  <si>
    <t>7427004539</t>
  </si>
  <si>
    <t>0169300034119000036</t>
  </si>
  <si>
    <t>7427006769</t>
  </si>
  <si>
    <t>7451341013</t>
  </si>
  <si>
    <t>5010022080</t>
  </si>
  <si>
    <t>749712</t>
  </si>
  <si>
    <t>6316130984</t>
  </si>
  <si>
    <t>12367</t>
  </si>
  <si>
    <t>897158</t>
  </si>
  <si>
    <t>0328100001419000115</t>
  </si>
  <si>
    <t>6668007083</t>
  </si>
  <si>
    <t>0362100009319000024</t>
  </si>
  <si>
    <t>7708196924</t>
  </si>
  <si>
    <t>1271773</t>
  </si>
  <si>
    <t>0362100009319000023</t>
  </si>
  <si>
    <t>662332713236</t>
  </si>
  <si>
    <t>6659029394</t>
  </si>
  <si>
    <t>0362200011619000015</t>
  </si>
  <si>
    <t>6685116036</t>
  </si>
  <si>
    <t>3302001983</t>
  </si>
  <si>
    <t>31907977693</t>
  </si>
  <si>
    <t>[ОКПД2 43.21] Работы электромонтажные, [ОКВЭД2 42.21] Строительство инженерных коммуникаций для водоснабжения и водоотведения, газоснабжения</t>
  </si>
  <si>
    <t>5009035720</t>
  </si>
  <si>
    <t>749455</t>
  </si>
  <si>
    <t>0362200058319000017</t>
  </si>
  <si>
    <t>1823001650</t>
  </si>
  <si>
    <t>31907977085</t>
  </si>
  <si>
    <t>0708001812</t>
  </si>
  <si>
    <t>100087708219000002</t>
  </si>
  <si>
    <t>Чегемский район</t>
  </si>
  <si>
    <t>895462</t>
  </si>
  <si>
    <t>Верхнекетский район</t>
  </si>
  <si>
    <t>895487</t>
  </si>
  <si>
    <t>Первомайский район</t>
  </si>
  <si>
    <t>12320</t>
  </si>
  <si>
    <t>2225079331</t>
  </si>
  <si>
    <t>0817200000319005992</t>
  </si>
  <si>
    <t>5030033362</t>
  </si>
  <si>
    <t>749356</t>
  </si>
  <si>
    <t>6441019849</t>
  </si>
  <si>
    <t>31907976553</t>
  </si>
  <si>
    <t>[ОКПД2 52.2+] Услуги транспортные вспомогательные, [ОКВЭД2 49.4+] Деятельность автомобильного грузового транспорта и услуги по перевозкам</t>
  </si>
  <si>
    <t>Вольск</t>
  </si>
  <si>
    <t>310312</t>
  </si>
  <si>
    <t>7807026345</t>
  </si>
  <si>
    <t>0372200096819000007</t>
  </si>
  <si>
    <t>100132805219000029</t>
  </si>
  <si>
    <t>0195100000219000216</t>
  </si>
  <si>
    <t>2130189858</t>
  </si>
  <si>
    <t>894735</t>
  </si>
  <si>
    <t>2315061988</t>
  </si>
  <si>
    <t>0118300013319000518</t>
  </si>
  <si>
    <t>6164207421</t>
  </si>
  <si>
    <t>2312190569</t>
  </si>
  <si>
    <t>3328900255</t>
  </si>
  <si>
    <t>0128200000119003740</t>
  </si>
  <si>
    <t>7104026133</t>
  </si>
  <si>
    <t>7705987050</t>
  </si>
  <si>
    <t>3328422351</t>
  </si>
  <si>
    <t>3702164630</t>
  </si>
  <si>
    <t>SBR035-190014622600009</t>
  </si>
  <si>
    <t>ATOM10061900176</t>
  </si>
  <si>
    <t>4338008455</t>
  </si>
  <si>
    <t>0340200003319007711</t>
  </si>
  <si>
    <t>4345140158</t>
  </si>
  <si>
    <t>4345482306</t>
  </si>
  <si>
    <t>4345415620</t>
  </si>
  <si>
    <t>7721247141</t>
  </si>
  <si>
    <t>1273471</t>
  </si>
  <si>
    <t>ATOM10061900100</t>
  </si>
  <si>
    <t>8601022074</t>
  </si>
  <si>
    <t>31907973080</t>
  </si>
  <si>
    <t>[ОКПД2 33.20] Услуги по монтажу промышленных машин и оборудования, [ОКВЭД2 61.90] Деятельность в области телекоммуникаций прочая</t>
  </si>
  <si>
    <t>4700000130</t>
  </si>
  <si>
    <t>31907973936</t>
  </si>
  <si>
    <t>100004513119000014</t>
  </si>
  <si>
    <t>100104895219000012</t>
  </si>
  <si>
    <t>31907972547</t>
  </si>
  <si>
    <t>5235000921</t>
  </si>
  <si>
    <t>0132300024119000045</t>
  </si>
  <si>
    <t>Уренский район</t>
  </si>
  <si>
    <t>525005686540</t>
  </si>
  <si>
    <t>1637005440</t>
  </si>
  <si>
    <t>0111300084619000014</t>
  </si>
  <si>
    <t>1656071141</t>
  </si>
  <si>
    <t>0140100005119000035</t>
  </si>
  <si>
    <t>7022006947</t>
  </si>
  <si>
    <t>0365300044219000107</t>
  </si>
  <si>
    <t>[ОКПД2 26.20] Компьютеры и периферийное оборудование, [ОКПД2 26.70] Приборы оптические и фотографическое оборудование, [ОКПД2 27.20] Батареи и аккумуляторы, [ОКПД2 27.32] Провода и кабели электронные и электрические прочие, [ОКПД2 27.12] Аппаратура распределительная и регулирующая электрическая, [ОКПД2 27.33] Изделия электроустановочные, [ОКПД2 43.21] Работы электромонтажные</t>
  </si>
  <si>
    <t>7017109601</t>
  </si>
  <si>
    <t>7022016864</t>
  </si>
  <si>
    <t>5503043673</t>
  </si>
  <si>
    <t>0352100001119000084</t>
  </si>
  <si>
    <t>5416102749</t>
  </si>
  <si>
    <t>893068</t>
  </si>
  <si>
    <t>5438112268</t>
  </si>
  <si>
    <t>892949</t>
  </si>
  <si>
    <t>Тогучинский район</t>
  </si>
  <si>
    <t>ATOM10061900040</t>
  </si>
  <si>
    <t>5416102770</t>
  </si>
  <si>
    <t>893007</t>
  </si>
  <si>
    <t>Усть-Таркский район</t>
  </si>
  <si>
    <t>6027019031</t>
  </si>
  <si>
    <t>0157100004719000084</t>
  </si>
  <si>
    <t>0126200000419001902</t>
  </si>
  <si>
    <t>3120081511</t>
  </si>
  <si>
    <t>3102202178</t>
  </si>
  <si>
    <t>3123165199</t>
  </si>
  <si>
    <t>3123084045</t>
  </si>
  <si>
    <t>100272529119000010</t>
  </si>
  <si>
    <t>6443011355</t>
  </si>
  <si>
    <t>0160300052619000085</t>
  </si>
  <si>
    <t>0817400000119000092</t>
  </si>
  <si>
    <t>31907972473</t>
  </si>
  <si>
    <t>2983997174</t>
  </si>
  <si>
    <t>892635</t>
  </si>
  <si>
    <t>0266007276</t>
  </si>
  <si>
    <t>100099081119000023</t>
  </si>
  <si>
    <t>4212000401</t>
  </si>
  <si>
    <t>0139300018019000072</t>
  </si>
  <si>
    <t>4212021507</t>
  </si>
  <si>
    <t>7609015172</t>
  </si>
  <si>
    <t>0871300004219000068</t>
  </si>
  <si>
    <t>Ростовский район</t>
  </si>
  <si>
    <t>6613001734</t>
  </si>
  <si>
    <t>0362200057819000006</t>
  </si>
  <si>
    <t>Камышлов</t>
  </si>
  <si>
    <t>8612015689</t>
  </si>
  <si>
    <t>6633018479</t>
  </si>
  <si>
    <t>7720001850</t>
  </si>
  <si>
    <t>0373200024419000358</t>
  </si>
  <si>
    <t>7722399500</t>
  </si>
  <si>
    <t>7727419414</t>
  </si>
  <si>
    <t>7733233168</t>
  </si>
  <si>
    <t>7704321839</t>
  </si>
  <si>
    <t>5031067357</t>
  </si>
  <si>
    <t>7718308620</t>
  </si>
  <si>
    <t>7723538185</t>
  </si>
  <si>
    <t>9715273147</t>
  </si>
  <si>
    <t>7703252822</t>
  </si>
  <si>
    <t>366318251941</t>
  </si>
  <si>
    <t>5022039177</t>
  </si>
  <si>
    <t>31907971912</t>
  </si>
  <si>
    <t>2536206864</t>
  </si>
  <si>
    <t>100195479219000041</t>
  </si>
  <si>
    <t>2019-719989</t>
  </si>
  <si>
    <t>31907971320</t>
  </si>
  <si>
    <t>7204080688</t>
  </si>
  <si>
    <t>5905006470</t>
  </si>
  <si>
    <t>31907971246</t>
  </si>
  <si>
    <t>[ОКПД2 43.9+] Работы строительные специализированные прочие, [ОКВЭД2 43.99] Работы строительные специализированные прочие, не включенные в другие группировки</t>
  </si>
  <si>
    <t>5905270820</t>
  </si>
  <si>
    <t>0136300015119000041</t>
  </si>
  <si>
    <t>31907969163</t>
  </si>
  <si>
    <t>РН918917</t>
  </si>
  <si>
    <t>5032036471</t>
  </si>
  <si>
    <t>748240</t>
  </si>
  <si>
    <t>[ОКПД2 26.30] Оборудование коммуникационное, [ОКПД2 27.32] Провода и кабели электронные и электрические прочие, [ОКПД2 43.29] Работы строительно-монтажные прочие, [ОКПД2 27.11] Электродвигатели, генераторы и трансформаторы, [ОКПД2 27.20] Батареи и аккумуляторы, [ОКПД2 43.21] Работы электромонтажные</t>
  </si>
  <si>
    <t>6950127983</t>
  </si>
  <si>
    <t>0136100012619000064</t>
  </si>
  <si>
    <t>Конаковский район</t>
  </si>
  <si>
    <t>8901002135</t>
  </si>
  <si>
    <t>100217583219000017</t>
  </si>
  <si>
    <t>310675</t>
  </si>
  <si>
    <t>4803001400</t>
  </si>
  <si>
    <t>31907969489</t>
  </si>
  <si>
    <t>31907969989</t>
  </si>
  <si>
    <t>5040088152</t>
  </si>
  <si>
    <t>0848300051619001146</t>
  </si>
  <si>
    <t>5040125069</t>
  </si>
  <si>
    <t>5040072963</t>
  </si>
  <si>
    <t>6643004108</t>
  </si>
  <si>
    <t>31907968526</t>
  </si>
  <si>
    <t>7417003310</t>
  </si>
  <si>
    <t>100321333219000007</t>
  </si>
  <si>
    <t>Сатка</t>
  </si>
  <si>
    <t>5262034800</t>
  </si>
  <si>
    <t>100118598219000011</t>
  </si>
  <si>
    <t>0373100047019000032</t>
  </si>
  <si>
    <t>6668019466</t>
  </si>
  <si>
    <t>0162300000819000303</t>
  </si>
  <si>
    <t>6623056644</t>
  </si>
  <si>
    <t>748040</t>
  </si>
  <si>
    <t>12151</t>
  </si>
  <si>
    <t>4208001748</t>
  </si>
  <si>
    <t>0339300265219000177</t>
  </si>
  <si>
    <t>4205141803</t>
  </si>
  <si>
    <t>100040563219000006</t>
  </si>
  <si>
    <t>5612019857</t>
  </si>
  <si>
    <t>31907967146</t>
  </si>
  <si>
    <t>[ОКПД2 71.1+] Услуги в области архитектуры, инженерно-технического проектирования и связанные технические консультативные услуги, [ОКВЭД2 71.1+] Деятельность в области архитектуры, инженерных изысканий и предоставление технических консультаций в этих областях</t>
  </si>
  <si>
    <t>3801098402</t>
  </si>
  <si>
    <t>1272057</t>
  </si>
  <si>
    <t>1200001444</t>
  </si>
  <si>
    <t>100314322119000027</t>
  </si>
  <si>
    <t>[ОКПД2 22.29] Изделия пластмассовые прочие, [ОКПД2 28.29] Машины и оборудование общего назначения прочие, не включенные в другие группировки, [ОКПД2 27.33] Изделия электроустановочные, [ОКПД2 20.59] Продукты химические прочие, не включенные в другие группировки</t>
  </si>
  <si>
    <t>5028017412</t>
  </si>
  <si>
    <t>0848300046119000316</t>
  </si>
  <si>
    <t>502805665358</t>
  </si>
  <si>
    <t>1200001370</t>
  </si>
  <si>
    <t>0308100000219000105</t>
  </si>
  <si>
    <t>100295876119000043</t>
  </si>
  <si>
    <t>890012</t>
  </si>
  <si>
    <t>ATOM07061900078</t>
  </si>
  <si>
    <t>0324100010419000069</t>
  </si>
  <si>
    <t>7802412636</t>
  </si>
  <si>
    <t>5261107540</t>
  </si>
  <si>
    <t>ATOM07061900058</t>
  </si>
  <si>
    <t>747756</t>
  </si>
  <si>
    <t>0829100001719000040</t>
  </si>
  <si>
    <t>0358300284519000079</t>
  </si>
  <si>
    <t>31907967103</t>
  </si>
  <si>
    <t>2019-719316</t>
  </si>
  <si>
    <t>5022030248</t>
  </si>
  <si>
    <t>747538</t>
  </si>
  <si>
    <t>31907964904</t>
  </si>
  <si>
    <t>5055000256</t>
  </si>
  <si>
    <t>747505</t>
  </si>
  <si>
    <t>РН918549</t>
  </si>
  <si>
    <t>7205011944</t>
  </si>
  <si>
    <t>888156</t>
  </si>
  <si>
    <t>7327032451</t>
  </si>
  <si>
    <t>31907964240</t>
  </si>
  <si>
    <t>7811483834</t>
  </si>
  <si>
    <t>31907964606</t>
  </si>
  <si>
    <t>[ОКПД2 68.32] Услуги по управлению недвижимым имуществом, предоставляемые за вознаграждение или на договорной основе, [ОКВЭД2 68.32] Управление недвижимым имуществом за вознаграждение или на договорной основе</t>
  </si>
  <si>
    <t>31907964486</t>
  </si>
  <si>
    <t>7725242056</t>
  </si>
  <si>
    <t>0373200302319000109</t>
  </si>
  <si>
    <t>7719477638</t>
  </si>
  <si>
    <t>3664030921</t>
  </si>
  <si>
    <t>0131200001019002664</t>
  </si>
  <si>
    <t>3665107863</t>
  </si>
  <si>
    <t>3662161911</t>
  </si>
  <si>
    <t>3666126114</t>
  </si>
  <si>
    <t>3665100233</t>
  </si>
  <si>
    <t>6215002168</t>
  </si>
  <si>
    <t>0359100003219000014</t>
  </si>
  <si>
    <t>6603009580</t>
  </si>
  <si>
    <t>0362300145419000006</t>
  </si>
  <si>
    <t>6672326710</t>
  </si>
  <si>
    <t>7448196341</t>
  </si>
  <si>
    <t>6671420580</t>
  </si>
  <si>
    <t>7707795160</t>
  </si>
  <si>
    <t>100037628219000019</t>
  </si>
  <si>
    <t>887698</t>
  </si>
  <si>
    <t>5048053264</t>
  </si>
  <si>
    <t>747288</t>
  </si>
  <si>
    <t>4632032727</t>
  </si>
  <si>
    <t>31907963700</t>
  </si>
  <si>
    <t>31907962720</t>
  </si>
  <si>
    <t>1271227</t>
  </si>
  <si>
    <t>3123030473</t>
  </si>
  <si>
    <t>887339</t>
  </si>
  <si>
    <t>2560729</t>
  </si>
  <si>
    <t>2801065596</t>
  </si>
  <si>
    <t>0123100006419000050</t>
  </si>
  <si>
    <t>ATOM06061900136</t>
  </si>
  <si>
    <t>886820</t>
  </si>
  <si>
    <t>5416102717</t>
  </si>
  <si>
    <t>886769</t>
  </si>
  <si>
    <t>5406299616</t>
  </si>
  <si>
    <t>100242906219000169</t>
  </si>
  <si>
    <t>6603009572</t>
  </si>
  <si>
    <t>31907960687</t>
  </si>
  <si>
    <t>8603214896</t>
  </si>
  <si>
    <t>493436</t>
  </si>
  <si>
    <t>2019-718461</t>
  </si>
  <si>
    <t>31907929033</t>
  </si>
  <si>
    <t>[ОКПД2 74.90] Услуги профессиональные, научные и технические, прочие, не включенные в другие группировки, [ОКВЭД2 81.10] Деятельность по комплексному обслуживанию помещений</t>
  </si>
  <si>
    <t>2466050508</t>
  </si>
  <si>
    <t>31907957527</t>
  </si>
  <si>
    <t>[ОКПД2 77.29] Услуги по прокату прочих бытовых изделий и предметов личного пользования, [ОКВЭД2 77.29] Прокат и аренда прочих предметов личного пользования и хозяйственно-бытового назначения</t>
  </si>
  <si>
    <t>100023215219000032</t>
  </si>
  <si>
    <t>1270359</t>
  </si>
  <si>
    <t>3127503882</t>
  </si>
  <si>
    <t>885010</t>
  </si>
  <si>
    <t>100023215219000031</t>
  </si>
  <si>
    <t>4524000125</t>
  </si>
  <si>
    <t>0343200026019000044</t>
  </si>
  <si>
    <t>7453067616</t>
  </si>
  <si>
    <t>4501179691</t>
  </si>
  <si>
    <t>100023215219000030</t>
  </si>
  <si>
    <t>100023215219000029</t>
  </si>
  <si>
    <t>4501111750</t>
  </si>
  <si>
    <t>0143100005019000063</t>
  </si>
  <si>
    <t>6620007448</t>
  </si>
  <si>
    <t>31907957524</t>
  </si>
  <si>
    <t>8615010128</t>
  </si>
  <si>
    <t>0387200007919000012</t>
  </si>
  <si>
    <t>8622023939</t>
  </si>
  <si>
    <t>8622021385</t>
  </si>
  <si>
    <t>746565</t>
  </si>
  <si>
    <t>0307100022419000080</t>
  </si>
  <si>
    <t>6638002183</t>
  </si>
  <si>
    <t>0362200058719000004</t>
  </si>
  <si>
    <t>Байкаловский район</t>
  </si>
  <si>
    <t>6613008514</t>
  </si>
  <si>
    <t>3442014492</t>
  </si>
  <si>
    <t>РН918019</t>
  </si>
  <si>
    <t>1435314741</t>
  </si>
  <si>
    <t>31907955178</t>
  </si>
  <si>
    <t>[ОКПД2 38.11] Отходы неопасные; услуги по сбору неопасных отходов, [ОКВЭД2 38.11] Сбор неопасных отходов</t>
  </si>
  <si>
    <t>0163200000319003733</t>
  </si>
  <si>
    <t>7728732370</t>
  </si>
  <si>
    <t>0163200000319003737</t>
  </si>
  <si>
    <t>6147021829</t>
  </si>
  <si>
    <t>884111</t>
  </si>
  <si>
    <t>6437011290</t>
  </si>
  <si>
    <t>31907956618</t>
  </si>
  <si>
    <t>0163200000319003735</t>
  </si>
  <si>
    <t>0369100051619000065</t>
  </si>
  <si>
    <t>[ОКПД2 27.32] Провода и кабели электронные и электрические прочие</t>
  </si>
  <si>
    <t>3808172006</t>
  </si>
  <si>
    <t>0134200000119001899</t>
  </si>
  <si>
    <t>3812139530</t>
  </si>
  <si>
    <t>3849058550</t>
  </si>
  <si>
    <t>0134200000119001898</t>
  </si>
  <si>
    <t>883983</t>
  </si>
  <si>
    <t>7714038980</t>
  </si>
  <si>
    <t>31907956682</t>
  </si>
  <si>
    <t>0134200000119001900</t>
  </si>
  <si>
    <t>3808217401</t>
  </si>
  <si>
    <t>6117000187</t>
  </si>
  <si>
    <t>883409</t>
  </si>
  <si>
    <t>1657054678</t>
  </si>
  <si>
    <t>0311200013419000059</t>
  </si>
  <si>
    <t>1659177450</t>
  </si>
  <si>
    <t>310317</t>
  </si>
  <si>
    <t>ATOM05061900048</t>
  </si>
  <si>
    <t>1269730</t>
  </si>
  <si>
    <t>5916028596</t>
  </si>
  <si>
    <t>100145714219000009</t>
  </si>
  <si>
    <t>Краснокамск</t>
  </si>
  <si>
    <t>2560076</t>
  </si>
  <si>
    <t>[ОКПД2 29.32] Комплектующие и принадлежности для автотранспортных средств прочие, [ОКПД2 33.12] Услуги по ремонту оборудования</t>
  </si>
  <si>
    <t>100070470119000016</t>
  </si>
  <si>
    <t>[ОКПД2 27.33] Изделия электроустановочные, [ОКПД2 27.32] Провода и кабели электронные и электрические прочие, [ОКПД2 22.29] Изделия пластмассовые прочие, [ОКПД2 28.29] Машины и оборудование общего назначения прочие, не включенные в другие группировки, [ОКПД2 28.24] Инструменты ручные с механизированным приводом, [ОКПД2 27.20] Батареи и аккумуляторы</t>
  </si>
  <si>
    <t>100144257219000013</t>
  </si>
  <si>
    <t>381645</t>
  </si>
  <si>
    <t>2019-717892</t>
  </si>
  <si>
    <t>0114200000119000817</t>
  </si>
  <si>
    <t>0114200000119000818</t>
  </si>
  <si>
    <t>0114200000119000819</t>
  </si>
  <si>
    <t>7017200956</t>
  </si>
  <si>
    <t>0365200003819000049</t>
  </si>
  <si>
    <t>7017109721</t>
  </si>
  <si>
    <t>31907952055</t>
  </si>
  <si>
    <t>[ОКПД2 84.24] Услуги по обеспечению общественного порядка и безопасности, [ОКВЭД2 84+] Деятельность органов государственного управления по обеспечению военной безопасности, обязательному социальному обеспечению</t>
  </si>
  <si>
    <t>3329026311</t>
  </si>
  <si>
    <t>100229546219000006</t>
  </si>
  <si>
    <t>3127004185</t>
  </si>
  <si>
    <t>31907954303</t>
  </si>
  <si>
    <t>[ОКПД2 26.40] Техника бытовая электронная, [ОКПД2 33.13] Услуги по ремонту электронного и оптического оборудования, [ОКВЭД2 26.40] Производство бытовой электроники, [ОКВЭД2 33.13] Ремонт электронного и оптического оборудования</t>
  </si>
  <si>
    <t>7734415114</t>
  </si>
  <si>
    <t>1504029836</t>
  </si>
  <si>
    <t>0210100000219000009</t>
  </si>
  <si>
    <t>Пригородный район</t>
  </si>
  <si>
    <t>150100182285</t>
  </si>
  <si>
    <t>2634804012</t>
  </si>
  <si>
    <t>1504011652</t>
  </si>
  <si>
    <t>1510017275</t>
  </si>
  <si>
    <t>0373100003519000136</t>
  </si>
  <si>
    <t>7728800573</t>
  </si>
  <si>
    <t>5079903</t>
  </si>
  <si>
    <t>6603011081</t>
  </si>
  <si>
    <t>31907952981</t>
  </si>
  <si>
    <t>7224079948</t>
  </si>
  <si>
    <t>31907954144</t>
  </si>
  <si>
    <t>5321083424</t>
  </si>
  <si>
    <t>0150100005819000063</t>
  </si>
  <si>
    <t>6603010955</t>
  </si>
  <si>
    <t>0362300245919000006</t>
  </si>
  <si>
    <t>100129839219000016</t>
  </si>
  <si>
    <t>100218151119000017</t>
  </si>
  <si>
    <t>11751</t>
  </si>
  <si>
    <t>0348100026819000026</t>
  </si>
  <si>
    <t>7604044162</t>
  </si>
  <si>
    <t>7715862759</t>
  </si>
  <si>
    <t>8615011097</t>
  </si>
  <si>
    <t>0387200010919000031</t>
  </si>
  <si>
    <t>8622019474</t>
  </si>
  <si>
    <t>862200439960</t>
  </si>
  <si>
    <t>7303022447</t>
  </si>
  <si>
    <t>31907952443</t>
  </si>
  <si>
    <t>[ОКПД2 73.1+] Услуги рекламные, [ОКВЭД2 73.1+] Деятельность рекламная</t>
  </si>
  <si>
    <t>7819310752</t>
  </si>
  <si>
    <t>31907952943</t>
  </si>
  <si>
    <t>3831000630</t>
  </si>
  <si>
    <t>0134300019219000059</t>
  </si>
  <si>
    <t>Киренский район</t>
  </si>
  <si>
    <t>7703030058</t>
  </si>
  <si>
    <t>31907951657</t>
  </si>
  <si>
    <t>31907950614</t>
  </si>
  <si>
    <t>3207003998</t>
  </si>
  <si>
    <t>0127200000219003424</t>
  </si>
  <si>
    <t>Брянский район</t>
  </si>
  <si>
    <t>3250506290</t>
  </si>
  <si>
    <t>3250534667</t>
  </si>
  <si>
    <t>3255049992</t>
  </si>
  <si>
    <t>3257062460</t>
  </si>
  <si>
    <t>3250514766</t>
  </si>
  <si>
    <t>7809018702</t>
  </si>
  <si>
    <t>31907951308</t>
  </si>
  <si>
    <t>3661011494</t>
  </si>
  <si>
    <t>0331300052619000002</t>
  </si>
  <si>
    <t>3664100696</t>
  </si>
  <si>
    <t>3663088855</t>
  </si>
  <si>
    <t>3664108670</t>
  </si>
  <si>
    <t>0131100015819000081</t>
  </si>
  <si>
    <t>3662180590</t>
  </si>
  <si>
    <t>6501102420</t>
  </si>
  <si>
    <t>31907949982</t>
  </si>
  <si>
    <t>[ОКПД2 96+] Услуги персональные прочие, [ОКВЭД2 96.0+] Деятельность по предоставлению прочих персональных услуг</t>
  </si>
  <si>
    <t>5409109888</t>
  </si>
  <si>
    <t>0351100008619000037</t>
  </si>
  <si>
    <t>5073087108</t>
  </si>
  <si>
    <t>31907951321</t>
  </si>
  <si>
    <t>0172100008419000015</t>
  </si>
  <si>
    <t>7813542362</t>
  </si>
  <si>
    <t>5403128933</t>
  </si>
  <si>
    <t>877233</t>
  </si>
  <si>
    <t>5007029569</t>
  </si>
  <si>
    <t>745195</t>
  </si>
  <si>
    <t>5070010562</t>
  </si>
  <si>
    <t>745194</t>
  </si>
  <si>
    <t>8602176302</t>
  </si>
  <si>
    <t>879536</t>
  </si>
  <si>
    <t>7445040635</t>
  </si>
  <si>
    <t>879462</t>
  </si>
  <si>
    <t>2703003601</t>
  </si>
  <si>
    <t>100218524219000019</t>
  </si>
  <si>
    <t>100218524219000018</t>
  </si>
  <si>
    <t>2902060361</t>
  </si>
  <si>
    <t>31907949036</t>
  </si>
  <si>
    <t>[ОКПД2 33.15] Услуги по ремонту и техническому обслуживанию судов и лодок, [ОКВЭД2 33.15] Ремонт и техническое обслуживание судов и лодок</t>
  </si>
  <si>
    <t>0276015981</t>
  </si>
  <si>
    <t>0301300261019000080</t>
  </si>
  <si>
    <t>0274056020</t>
  </si>
  <si>
    <t>1623012334</t>
  </si>
  <si>
    <t>0269007362</t>
  </si>
  <si>
    <t>0301300001619000396</t>
  </si>
  <si>
    <t>Туймазы</t>
  </si>
  <si>
    <t>0274172989</t>
  </si>
  <si>
    <t>0276927272</t>
  </si>
  <si>
    <t>0276936904</t>
  </si>
  <si>
    <t>0265035190</t>
  </si>
  <si>
    <t>0277110204</t>
  </si>
  <si>
    <t>0234002557</t>
  </si>
  <si>
    <t>0274187720</t>
  </si>
  <si>
    <t>0276159655</t>
  </si>
  <si>
    <t>2312116131</t>
  </si>
  <si>
    <t>0318200015519000014</t>
  </si>
  <si>
    <t>2311198396</t>
  </si>
  <si>
    <t>0107032414</t>
  </si>
  <si>
    <t>2310139623</t>
  </si>
  <si>
    <t>6168057689</t>
  </si>
  <si>
    <t>31907949420</t>
  </si>
  <si>
    <t>100281639219000045</t>
  </si>
  <si>
    <t>5321026521</t>
  </si>
  <si>
    <t>31907949259</t>
  </si>
  <si>
    <t>878810</t>
  </si>
  <si>
    <t>31907948935</t>
  </si>
  <si>
    <t>7819018042</t>
  </si>
  <si>
    <t>0372200015619000031</t>
  </si>
  <si>
    <t>782701528787</t>
  </si>
  <si>
    <t>7810611836</t>
  </si>
  <si>
    <t>7825676191</t>
  </si>
  <si>
    <t>7807124448</t>
  </si>
  <si>
    <t>4706036253</t>
  </si>
  <si>
    <t>31907948815</t>
  </si>
  <si>
    <t>1831036505</t>
  </si>
  <si>
    <t>31907948473</t>
  </si>
  <si>
    <t>7708609931</t>
  </si>
  <si>
    <t>31907949053</t>
  </si>
  <si>
    <t>[ОКПД2 47.41] Услуги по розничной торговле компьютерами, периферийными устройствами к ним и программным обеспечением в специализированных магазинах, [ОКВЭД2 47.41] Торговля розничная компьютерами, периферийными устройствами к ним и программным обеспечением в специализированных магазинах</t>
  </si>
  <si>
    <t>0914000677</t>
  </si>
  <si>
    <t>100298481219000046</t>
  </si>
  <si>
    <t>0387200010919000036</t>
  </si>
  <si>
    <t>8619004975</t>
  </si>
  <si>
    <t>0387200025419000118</t>
  </si>
  <si>
    <t>Нефтеюганский район</t>
  </si>
  <si>
    <t>860102633394</t>
  </si>
  <si>
    <t>861900380653</t>
  </si>
  <si>
    <t>100107798219000149</t>
  </si>
  <si>
    <t>3811085917</t>
  </si>
  <si>
    <t>0134100009919000113</t>
  </si>
  <si>
    <t>3811998353</t>
  </si>
  <si>
    <t>100315970119000011</t>
  </si>
  <si>
    <t>0222100000219000173</t>
  </si>
  <si>
    <t>2705093375</t>
  </si>
  <si>
    <t>0268000188</t>
  </si>
  <si>
    <t>31907947249</t>
  </si>
  <si>
    <t>2813000480</t>
  </si>
  <si>
    <t>0123300036919000033</t>
  </si>
  <si>
    <t>280600880787</t>
  </si>
  <si>
    <t>0373100128519001618</t>
  </si>
  <si>
    <t>5190149527</t>
  </si>
  <si>
    <t>4815002053</t>
  </si>
  <si>
    <t>0346300067619000005</t>
  </si>
  <si>
    <t>4824055132</t>
  </si>
  <si>
    <t>481360660550</t>
  </si>
  <si>
    <t>0334300108419000035</t>
  </si>
  <si>
    <t>0608014060</t>
  </si>
  <si>
    <t>0314300000219000080</t>
  </si>
  <si>
    <t>1267680</t>
  </si>
  <si>
    <t>2559189</t>
  </si>
  <si>
    <t>5432107254</t>
  </si>
  <si>
    <t>0351300250219000005</t>
  </si>
  <si>
    <t>7536034653</t>
  </si>
  <si>
    <t>100002316119000014</t>
  </si>
  <si>
    <t>3102018002</t>
  </si>
  <si>
    <t>100156286219000016</t>
  </si>
  <si>
    <t>ATOM03061900084</t>
  </si>
  <si>
    <t>100156286219000015</t>
  </si>
  <si>
    <t>7717043346</t>
  </si>
  <si>
    <t>31907946653</t>
  </si>
  <si>
    <t>7405000428</t>
  </si>
  <si>
    <t>31907945702</t>
  </si>
  <si>
    <t>2310154124</t>
  </si>
  <si>
    <t>0818300003619000023</t>
  </si>
  <si>
    <t>2311220370</t>
  </si>
  <si>
    <t>224210303991</t>
  </si>
  <si>
    <t>2308065195</t>
  </si>
  <si>
    <t>0338300031919000052</t>
  </si>
  <si>
    <t>1103032905</t>
  </si>
  <si>
    <t>0307200031219000004</t>
  </si>
  <si>
    <t>3234017485</t>
  </si>
  <si>
    <t>0127100002719000040</t>
  </si>
  <si>
    <t>3257004764</t>
  </si>
  <si>
    <t>5753068430</t>
  </si>
  <si>
    <t>0917002175</t>
  </si>
  <si>
    <t>0179300001619000019</t>
  </si>
  <si>
    <t>Прикубанский район</t>
  </si>
  <si>
    <t>100309355219000010</t>
  </si>
  <si>
    <t>100242906219000165</t>
  </si>
  <si>
    <t>2722038504</t>
  </si>
  <si>
    <t>100149189219000012</t>
  </si>
  <si>
    <t>100309355219000011</t>
  </si>
  <si>
    <t>100145714219000006</t>
  </si>
  <si>
    <t>100145714219000005</t>
  </si>
  <si>
    <t>31907945337</t>
  </si>
  <si>
    <t>7718084948</t>
  </si>
  <si>
    <t>0373200122119000133</t>
  </si>
  <si>
    <t>7722325829</t>
  </si>
  <si>
    <t>7714908739</t>
  </si>
  <si>
    <t>7743113222</t>
  </si>
  <si>
    <t>7715413802</t>
  </si>
  <si>
    <t>7411004004</t>
  </si>
  <si>
    <t>31907945229</t>
  </si>
  <si>
    <t>[ОКПД2 99.00] Услуги, предоставляемые экстерриториальными организациями и органами, [ОКВЭД2 99.0+] Деятельность экстерриториальных организаций и органов</t>
  </si>
  <si>
    <t>7413014583</t>
  </si>
  <si>
    <t>1267375</t>
  </si>
  <si>
    <t>1651029749</t>
  </si>
  <si>
    <t>BP00291329</t>
  </si>
  <si>
    <t>5905006801</t>
  </si>
  <si>
    <t>31907938171</t>
  </si>
  <si>
    <t>100082432219000042</t>
  </si>
  <si>
    <t>7530000048</t>
  </si>
  <si>
    <t>31907942969</t>
  </si>
  <si>
    <t>[ОКПД2 82+] Услуги в области административного, хозяйственного и прочего вспомогательного обслуживания, [ОКВЭД2 82.1+] Деятельность административно-хозяйственная и вспомогательная деятельность по обеспечению функционирования организации</t>
  </si>
  <si>
    <t>Краснокаменский район</t>
  </si>
  <si>
    <t>4717008339</t>
  </si>
  <si>
    <t>0145300016319000033</t>
  </si>
  <si>
    <t>Волосовский район</t>
  </si>
  <si>
    <t>7805581858</t>
  </si>
  <si>
    <t>4705074908</t>
  </si>
  <si>
    <t>4705031326</t>
  </si>
  <si>
    <t>7708208337</t>
  </si>
  <si>
    <t>0373100034019000006</t>
  </si>
  <si>
    <t>5029113687</t>
  </si>
  <si>
    <t>5038073423</t>
  </si>
  <si>
    <t>2801123826</t>
  </si>
  <si>
    <t>0123200001319000019</t>
  </si>
  <si>
    <t>Мазановский район</t>
  </si>
  <si>
    <t>7710757158</t>
  </si>
  <si>
    <t>0373100099519000035</t>
  </si>
  <si>
    <t>7445020452</t>
  </si>
  <si>
    <t>31907941705</t>
  </si>
  <si>
    <t>[ОКПД2 35.11] Электроэнергия, [ОКВЭД2 35.11] Производство электроэнергии</t>
  </si>
  <si>
    <t>7806215195</t>
  </si>
  <si>
    <t>0372200290019000181</t>
  </si>
  <si>
    <t>7810143306</t>
  </si>
  <si>
    <t>7706808392</t>
  </si>
  <si>
    <t>0175100001319000032</t>
  </si>
  <si>
    <t>3023000901</t>
  </si>
  <si>
    <t>1267113</t>
  </si>
  <si>
    <t>[ОКПД2 82+] Услуги в области административного, хозяйственного и прочего вспомогательного обслуживания</t>
  </si>
  <si>
    <t>6620007430</t>
  </si>
  <si>
    <t>31907941940</t>
  </si>
  <si>
    <t>9204008244</t>
  </si>
  <si>
    <t>0374200005119000009</t>
  </si>
  <si>
    <t>100123556922</t>
  </si>
  <si>
    <t>9202503187</t>
  </si>
  <si>
    <t>9102186590</t>
  </si>
  <si>
    <t>9723057277</t>
  </si>
  <si>
    <t>0121600005619000123</t>
  </si>
  <si>
    <t>[ОКПД2 33.20] Услуги по монтажу промышленных машин и оборудования, [ОКПД2 43.21] Работы электромонтажные</t>
  </si>
  <si>
    <t>2617008638</t>
  </si>
  <si>
    <t>2617008740</t>
  </si>
  <si>
    <t>2617008620</t>
  </si>
  <si>
    <t>263601329695</t>
  </si>
  <si>
    <t>0372200290019000167</t>
  </si>
  <si>
    <t>7450007760</t>
  </si>
  <si>
    <t>31907941062</t>
  </si>
  <si>
    <t>31907939926</t>
  </si>
  <si>
    <t>2464117612</t>
  </si>
  <si>
    <t>6660008053</t>
  </si>
  <si>
    <t>0162200011819001418</t>
  </si>
  <si>
    <t>2348035817</t>
  </si>
  <si>
    <t>0318300165719000278</t>
  </si>
  <si>
    <t>2703042840</t>
  </si>
  <si>
    <t>230811076855</t>
  </si>
  <si>
    <t>2313018144</t>
  </si>
  <si>
    <t>0318200027519000115</t>
  </si>
  <si>
    <t>0105073285</t>
  </si>
  <si>
    <t>31907941665</t>
  </si>
  <si>
    <t>100107798219000133</t>
  </si>
  <si>
    <t>0136200003619002986</t>
  </si>
  <si>
    <t>2607018122</t>
  </si>
  <si>
    <t>31907941990</t>
  </si>
  <si>
    <t>100024521219000017</t>
  </si>
  <si>
    <t>4444004558</t>
  </si>
  <si>
    <t>875068</t>
  </si>
  <si>
    <t>100107798219000134</t>
  </si>
  <si>
    <t>3017002996</t>
  </si>
  <si>
    <t>0325300001819000021</t>
  </si>
  <si>
    <t>3017043287</t>
  </si>
  <si>
    <t>5031090652</t>
  </si>
  <si>
    <t>3025012490</t>
  </si>
  <si>
    <t>5406118940</t>
  </si>
  <si>
    <t>0151100014919000020</t>
  </si>
  <si>
    <t>3666027794</t>
  </si>
  <si>
    <t>31907940875</t>
  </si>
  <si>
    <t>4715011262</t>
  </si>
  <si>
    <t>0345200014919000018</t>
  </si>
  <si>
    <t>Тихвинский район</t>
  </si>
  <si>
    <t>4715032167</t>
  </si>
  <si>
    <t>4715031974</t>
  </si>
  <si>
    <t>0373200082119000114</t>
  </si>
  <si>
    <t>[ОКПД2 28.22] Оборудование подъемно-транспортное</t>
  </si>
  <si>
    <t>7715372874</t>
  </si>
  <si>
    <t>7717296851</t>
  </si>
  <si>
    <t>0372200290019000153</t>
  </si>
  <si>
    <t>6164311302</t>
  </si>
  <si>
    <t>100034451219000006</t>
  </si>
  <si>
    <t>1013900113</t>
  </si>
  <si>
    <t>100229966219000014</t>
  </si>
  <si>
    <t>Медвежьегорский район</t>
  </si>
  <si>
    <t>100321333119000009</t>
  </si>
  <si>
    <t>7701827320</t>
  </si>
  <si>
    <t>0373200041519000847</t>
  </si>
  <si>
    <t>2343017243</t>
  </si>
  <si>
    <t>7724312335</t>
  </si>
  <si>
    <t>31907940486</t>
  </si>
  <si>
    <t>100229966219000018</t>
  </si>
  <si>
    <t>5017051482</t>
  </si>
  <si>
    <t>743868</t>
  </si>
  <si>
    <t>0372200290019000146</t>
  </si>
  <si>
    <t>0862600013619000123</t>
  </si>
  <si>
    <t>663903706453</t>
  </si>
  <si>
    <t>100034451219000003</t>
  </si>
  <si>
    <t>0276130800</t>
  </si>
  <si>
    <t>0301300247619000605</t>
  </si>
  <si>
    <t>1266443</t>
  </si>
  <si>
    <t>ATOM31051900073</t>
  </si>
  <si>
    <t>100034451219000001</t>
  </si>
  <si>
    <t>0152100004719000019</t>
  </si>
  <si>
    <t>6142023420</t>
  </si>
  <si>
    <t>873449</t>
  </si>
  <si>
    <t>309746</t>
  </si>
  <si>
    <t>873362</t>
  </si>
  <si>
    <t>31907937809</t>
  </si>
  <si>
    <t>7411015937</t>
  </si>
  <si>
    <t>100192539219000019</t>
  </si>
  <si>
    <t>7604217947</t>
  </si>
  <si>
    <t>0171200001919000808</t>
  </si>
  <si>
    <t>7604250038</t>
  </si>
  <si>
    <t>6317054052</t>
  </si>
  <si>
    <t>100262069219000005</t>
  </si>
  <si>
    <t>100218524119000041</t>
  </si>
  <si>
    <t>100218524119000040</t>
  </si>
  <si>
    <t>0362200065919000142</t>
  </si>
  <si>
    <t>6612014385</t>
  </si>
  <si>
    <t>6612010013</t>
  </si>
  <si>
    <t>0123100006619000062</t>
  </si>
  <si>
    <t>2801158882</t>
  </si>
  <si>
    <t>2725022365</t>
  </si>
  <si>
    <t>100046464219000053</t>
  </si>
  <si>
    <t>2540019970</t>
  </si>
  <si>
    <t>100211109219000027</t>
  </si>
  <si>
    <t>8617018651</t>
  </si>
  <si>
    <t>100312030219000014</t>
  </si>
  <si>
    <t>5445256863</t>
  </si>
  <si>
    <t>31907937268</t>
  </si>
  <si>
    <t>[ОКПД2 33.13] Услуги по ремонту электронного и оптического оборудования, [ОКВЭД2 95.21] Ремонт электронной бытовой техники</t>
  </si>
  <si>
    <t>31907937479</t>
  </si>
  <si>
    <t>31907937464</t>
  </si>
  <si>
    <t>0326023500</t>
  </si>
  <si>
    <t>100127606219000027</t>
  </si>
  <si>
    <t>31907937436</t>
  </si>
  <si>
    <t>BP00290394</t>
  </si>
  <si>
    <t>5050025306</t>
  </si>
  <si>
    <t>31907935051</t>
  </si>
  <si>
    <t>2019-716222</t>
  </si>
  <si>
    <t>5077010770</t>
  </si>
  <si>
    <t>743688</t>
  </si>
  <si>
    <t>100150889219000012</t>
  </si>
  <si>
    <t>743625</t>
  </si>
  <si>
    <t>1013800077</t>
  </si>
  <si>
    <t>0106300002819000004</t>
  </si>
  <si>
    <t>101300908768</t>
  </si>
  <si>
    <t>0372200091219000024</t>
  </si>
  <si>
    <t>4714022952</t>
  </si>
  <si>
    <t>6664034329</t>
  </si>
  <si>
    <t>0162200009319000004</t>
  </si>
  <si>
    <t>6674332606</t>
  </si>
  <si>
    <t>100112768219000007</t>
  </si>
  <si>
    <t>5702000096</t>
  </si>
  <si>
    <t>100207239219000003</t>
  </si>
  <si>
    <t>Ливны</t>
  </si>
  <si>
    <t>1651020721</t>
  </si>
  <si>
    <t>0111300005119000295</t>
  </si>
  <si>
    <t>6009006329</t>
  </si>
  <si>
    <t>0157300002519000053</t>
  </si>
  <si>
    <t>773371800050</t>
  </si>
  <si>
    <t>6027089896</t>
  </si>
  <si>
    <t>31907935708</t>
  </si>
  <si>
    <t>0373200302319000103</t>
  </si>
  <si>
    <t>7720330950</t>
  </si>
  <si>
    <t>7703806277</t>
  </si>
  <si>
    <t>0873200009419000009</t>
  </si>
  <si>
    <t>7730583830</t>
  </si>
  <si>
    <t>5050112735</t>
  </si>
  <si>
    <t>31907935289</t>
  </si>
  <si>
    <t>[ОКПД2 68.20] Услуги по сдаче в аренду (внаем) собственного или арендованного недвижимого имущества, [ОКВЭД2 68.20] Аренда и управление собственным или арендованным недвижимым имуществом</t>
  </si>
  <si>
    <t>7719860657</t>
  </si>
  <si>
    <t>7801145804</t>
  </si>
  <si>
    <t>0372200213519000018</t>
  </si>
  <si>
    <t>7843004604</t>
  </si>
  <si>
    <t>782540352219</t>
  </si>
  <si>
    <t>7107032745</t>
  </si>
  <si>
    <t>31907934595</t>
  </si>
  <si>
    <t>3123035312</t>
  </si>
  <si>
    <t>31907934624</t>
  </si>
  <si>
    <t>3123453060</t>
  </si>
  <si>
    <t>9102157832</t>
  </si>
  <si>
    <t>871602</t>
  </si>
  <si>
    <t>[ОКПД2 27.12] Аппаратура распределительная и регулирующая электрическая</t>
  </si>
  <si>
    <t>0373200302319000101</t>
  </si>
  <si>
    <t>SBR016-1905300003</t>
  </si>
  <si>
    <t>1419002167</t>
  </si>
  <si>
    <t>0816500000619007230</t>
  </si>
  <si>
    <t>Нюрба</t>
  </si>
  <si>
    <t>1435221783</t>
  </si>
  <si>
    <t>100229546119000014</t>
  </si>
  <si>
    <t>5034032970</t>
  </si>
  <si>
    <t>743349</t>
  </si>
  <si>
    <t>6123023168</t>
  </si>
  <si>
    <t>870916</t>
  </si>
  <si>
    <t>871015</t>
  </si>
  <si>
    <t>5020084209</t>
  </si>
  <si>
    <t>31907933053</t>
  </si>
  <si>
    <t>5440103782</t>
  </si>
  <si>
    <t>870657</t>
  </si>
  <si>
    <t>1433017750</t>
  </si>
  <si>
    <t>0116300000219000202</t>
  </si>
  <si>
    <t>[ОКПД2 26.30] Оборудование коммуникационное, [ОКПД2 81.10] Услуги по комплексному обслуживанию помещений</t>
  </si>
  <si>
    <t>1433016098</t>
  </si>
  <si>
    <t>1435157680</t>
  </si>
  <si>
    <t>31907930501</t>
  </si>
  <si>
    <t>2463011853</t>
  </si>
  <si>
    <t>31907930738</t>
  </si>
  <si>
    <t>0163100006319000022</t>
  </si>
  <si>
    <t>5021001117</t>
  </si>
  <si>
    <t>743114</t>
  </si>
  <si>
    <t>4440073</t>
  </si>
  <si>
    <t>0167200003419002713</t>
  </si>
  <si>
    <t>6123008811</t>
  </si>
  <si>
    <t>869935</t>
  </si>
  <si>
    <t>7703715816</t>
  </si>
  <si>
    <t>31907931659</t>
  </si>
  <si>
    <t>7722019652</t>
  </si>
  <si>
    <t>0329100005219000025</t>
  </si>
  <si>
    <t>9102228106</t>
  </si>
  <si>
    <t>3435064206</t>
  </si>
  <si>
    <t>3444142845</t>
  </si>
  <si>
    <t>4629028400</t>
  </si>
  <si>
    <t>31907931488</t>
  </si>
  <si>
    <t>8619015247</t>
  </si>
  <si>
    <t>0187300001719000329</t>
  </si>
  <si>
    <t>8604054980</t>
  </si>
  <si>
    <t>31907931199</t>
  </si>
  <si>
    <t>5102050031</t>
  </si>
  <si>
    <t>0149200002319003416</t>
  </si>
  <si>
    <t>5102045881</t>
  </si>
  <si>
    <t>5101305488</t>
  </si>
  <si>
    <t>2901262005</t>
  </si>
  <si>
    <t>0809500000319001078</t>
  </si>
  <si>
    <t>1328010019</t>
  </si>
  <si>
    <t>869408</t>
  </si>
  <si>
    <t>5407479629</t>
  </si>
  <si>
    <t>31907930064</t>
  </si>
  <si>
    <t>100088048119000002</t>
  </si>
  <si>
    <t>0373200107419000160</t>
  </si>
  <si>
    <t>7709940656</t>
  </si>
  <si>
    <t>7708809480</t>
  </si>
  <si>
    <t>7524011919</t>
  </si>
  <si>
    <t>100060538219000026</t>
  </si>
  <si>
    <t>2019-715448</t>
  </si>
  <si>
    <t>2420002597</t>
  </si>
  <si>
    <t>31907932896</t>
  </si>
  <si>
    <t>[ОКПД2 68+] Услуги по операциям с недвижимым имуществом, [ОКВЭД2 68+] Операции с недвижимым имуществом</t>
  </si>
  <si>
    <t>COM30051900107</t>
  </si>
  <si>
    <t>697/ЭТП/2019/КБ</t>
  </si>
  <si>
    <t>4028017080</t>
  </si>
  <si>
    <t>31907929242</t>
  </si>
  <si>
    <t>100207239219000002</t>
  </si>
  <si>
    <t>3015096519</t>
  </si>
  <si>
    <t>0825300004219000065</t>
  </si>
  <si>
    <t>301601760197</t>
  </si>
  <si>
    <t>0825300004219000064</t>
  </si>
  <si>
    <t>6603010137</t>
  </si>
  <si>
    <t>0362300157719000008</t>
  </si>
  <si>
    <t>100232561219000020</t>
  </si>
  <si>
    <t>5906107231</t>
  </si>
  <si>
    <t>0856300000219000011</t>
  </si>
  <si>
    <t>590410996210</t>
  </si>
  <si>
    <t>3301008464</t>
  </si>
  <si>
    <t>0328300017419000142</t>
  </si>
  <si>
    <t>3301003970</t>
  </si>
  <si>
    <t>100232561219000021</t>
  </si>
  <si>
    <t>0101002251</t>
  </si>
  <si>
    <t>100186421219000009</t>
  </si>
  <si>
    <t>5006008439</t>
  </si>
  <si>
    <t>742688</t>
  </si>
  <si>
    <t>Краснознаменск</t>
  </si>
  <si>
    <t>0345200003919000027</t>
  </si>
  <si>
    <t>Тосненский район</t>
  </si>
  <si>
    <t>7814721075</t>
  </si>
  <si>
    <t>6665002425</t>
  </si>
  <si>
    <t>31907926703</t>
  </si>
  <si>
    <t>5506218498</t>
  </si>
  <si>
    <t>31907926252</t>
  </si>
  <si>
    <t>31907927802</t>
  </si>
  <si>
    <t>7813158734</t>
  </si>
  <si>
    <t>100299081219000006</t>
  </si>
  <si>
    <t>5902292512</t>
  </si>
  <si>
    <t>0156100008919000024</t>
  </si>
  <si>
    <t>4013002468</t>
  </si>
  <si>
    <t>0137300000319000071</t>
  </si>
  <si>
    <t>3250068783</t>
  </si>
  <si>
    <t>1701048404</t>
  </si>
  <si>
    <t>0112100001619000049</t>
  </si>
  <si>
    <t>5921010393</t>
  </si>
  <si>
    <t>0356300207619000011</t>
  </si>
  <si>
    <t>8906006976</t>
  </si>
  <si>
    <t>31907925802</t>
  </si>
  <si>
    <t>0133200001719001605</t>
  </si>
  <si>
    <t>100142725219000006</t>
  </si>
  <si>
    <t>100272315219000003</t>
  </si>
  <si>
    <t>7203116275</t>
  </si>
  <si>
    <t>0167200003419002658</t>
  </si>
  <si>
    <t>7203453986</t>
  </si>
  <si>
    <t>7203138952</t>
  </si>
  <si>
    <t>6224002069</t>
  </si>
  <si>
    <t>100080803119000019</t>
  </si>
  <si>
    <t>Шацкий район</t>
  </si>
  <si>
    <t>7820023840</t>
  </si>
  <si>
    <t>0372200182019000007</t>
  </si>
  <si>
    <t>8610016609</t>
  </si>
  <si>
    <t>866766</t>
  </si>
  <si>
    <t>5514006793</t>
  </si>
  <si>
    <t>0352100005019000016</t>
  </si>
  <si>
    <t>0275014199</t>
  </si>
  <si>
    <t>0301200039719000003</t>
  </si>
  <si>
    <t>0278174200</t>
  </si>
  <si>
    <t>0275060565</t>
  </si>
  <si>
    <t>866689</t>
  </si>
  <si>
    <t>0195100000219000214</t>
  </si>
  <si>
    <t>5407125147</t>
  </si>
  <si>
    <t>866033</t>
  </si>
  <si>
    <t>0195100000219000213</t>
  </si>
  <si>
    <t>0195100000219000211</t>
  </si>
  <si>
    <t>7701213835</t>
  </si>
  <si>
    <t>0195100000219000215</t>
  </si>
  <si>
    <t>7708331362</t>
  </si>
  <si>
    <t>7736652008</t>
  </si>
  <si>
    <t>7718227120</t>
  </si>
  <si>
    <t>0873200003319000017</t>
  </si>
  <si>
    <t>507002424481</t>
  </si>
  <si>
    <t>7702785271</t>
  </si>
  <si>
    <t>2308227569</t>
  </si>
  <si>
    <t>0195100000219000212</t>
  </si>
  <si>
    <t>3122508358</t>
  </si>
  <si>
    <t>866399</t>
  </si>
  <si>
    <t>Алексеевка</t>
  </si>
  <si>
    <t>4703134005</t>
  </si>
  <si>
    <t>0145200000419000892</t>
  </si>
  <si>
    <t>7802670620</t>
  </si>
  <si>
    <t>4706033990</t>
  </si>
  <si>
    <t>742302</t>
  </si>
  <si>
    <t>6619003030</t>
  </si>
  <si>
    <t>0362100027819000019</t>
  </si>
  <si>
    <t>0362100027819000020</t>
  </si>
  <si>
    <t>0362100027819000021</t>
  </si>
  <si>
    <t>661900009041</t>
  </si>
  <si>
    <t>0364100001519000075</t>
  </si>
  <si>
    <t>5027092858</t>
  </si>
  <si>
    <t>742190</t>
  </si>
  <si>
    <t>[ОКПД2 33.13] Услуги по ремонту электронного и оптического оборудования, [ОКПД2 33.20] Услуги по монтажу промышленных машин и оборудования</t>
  </si>
  <si>
    <t>0816033530</t>
  </si>
  <si>
    <t>0105400000219000014</t>
  </si>
  <si>
    <t>6671281495</t>
  </si>
  <si>
    <t>0162300005319002078</t>
  </si>
  <si>
    <t>6658481664</t>
  </si>
  <si>
    <t>5028017099</t>
  </si>
  <si>
    <t>0848300046119000291</t>
  </si>
  <si>
    <t>5035004319</t>
  </si>
  <si>
    <t>31907924211</t>
  </si>
  <si>
    <t>[ОКПД2 26.40] Техника бытовая электронная, [ОКВЭД2 80.20] Деятельность систем обеспечения безопасности</t>
  </si>
  <si>
    <t>7734715527</t>
  </si>
  <si>
    <t>31907924269</t>
  </si>
  <si>
    <t>[ОКПД2 33.20] Услуги по монтажу промышленных машин и оборудования, [ОКВЭД2 33.2+] Монтаж промышленных машин и оборудования</t>
  </si>
  <si>
    <t>4703063562</t>
  </si>
  <si>
    <t>0345200013319000016</t>
  </si>
  <si>
    <t>7813573339</t>
  </si>
  <si>
    <t>7604260036</t>
  </si>
  <si>
    <t>5012008589</t>
  </si>
  <si>
    <t>31907924272</t>
  </si>
  <si>
    <t>8604013180</t>
  </si>
  <si>
    <t>865083</t>
  </si>
  <si>
    <t>31907925626</t>
  </si>
  <si>
    <t>123098082-O</t>
  </si>
  <si>
    <t>3802010390</t>
  </si>
  <si>
    <t>LZO-2019-0038</t>
  </si>
  <si>
    <t>31907926110</t>
  </si>
  <si>
    <t>2019-715004</t>
  </si>
  <si>
    <t>742128</t>
  </si>
  <si>
    <t>5040088233</t>
  </si>
  <si>
    <t>742073</t>
  </si>
  <si>
    <t>31907923239</t>
  </si>
  <si>
    <t>742070</t>
  </si>
  <si>
    <t>5631020488</t>
  </si>
  <si>
    <t>0153300066719000035</t>
  </si>
  <si>
    <t>Красногвардейский район</t>
  </si>
  <si>
    <t>7701003690</t>
  </si>
  <si>
    <t>0373100043519000013</t>
  </si>
  <si>
    <t>[ОКПД2 72.19] Услуги, связанные с научными исследованиями и экспериментальными разработками в области естественных и технических наук, прочие</t>
  </si>
  <si>
    <t>6670357350</t>
  </si>
  <si>
    <t>6670355560</t>
  </si>
  <si>
    <t>31907921893</t>
  </si>
  <si>
    <t>6830002943</t>
  </si>
  <si>
    <t>0164300006919000072</t>
  </si>
  <si>
    <t>Уваровский район</t>
  </si>
  <si>
    <t>6829127419</t>
  </si>
  <si>
    <t>6829019678</t>
  </si>
  <si>
    <t>6831000924</t>
  </si>
  <si>
    <t>0139200000119003918</t>
  </si>
  <si>
    <t>4205377414</t>
  </si>
  <si>
    <t>СРБ2019-0045(ЗКО)</t>
  </si>
  <si>
    <t>6653001963</t>
  </si>
  <si>
    <t>0362300333019000007</t>
  </si>
  <si>
    <t>Таборинский район</t>
  </si>
  <si>
    <t>6673157567</t>
  </si>
  <si>
    <t>0162200011819001319</t>
  </si>
  <si>
    <t>6672144117</t>
  </si>
  <si>
    <t>6662117900</t>
  </si>
  <si>
    <t>6659152503</t>
  </si>
  <si>
    <t>6658436453</t>
  </si>
  <si>
    <t>3445916210</t>
  </si>
  <si>
    <t>0229200000119000043</t>
  </si>
  <si>
    <t>3430010013</t>
  </si>
  <si>
    <t>0229200000119000044</t>
  </si>
  <si>
    <t>0276097286</t>
  </si>
  <si>
    <t>0301300247619000576</t>
  </si>
  <si>
    <t>0276931952</t>
  </si>
  <si>
    <t>0163200000319003450</t>
  </si>
  <si>
    <t>0163200000319003454</t>
  </si>
  <si>
    <t>5321173188</t>
  </si>
  <si>
    <t>0250100001519000029</t>
  </si>
  <si>
    <t>5321157436</t>
  </si>
  <si>
    <t>2536017137</t>
  </si>
  <si>
    <t>31907917776</t>
  </si>
  <si>
    <t>2508111561</t>
  </si>
  <si>
    <t>0195100000219000207</t>
  </si>
  <si>
    <t>7710106212</t>
  </si>
  <si>
    <t>0163200000319003457</t>
  </si>
  <si>
    <t>0321300001119000263</t>
  </si>
  <si>
    <t>2635214827</t>
  </si>
  <si>
    <t>7705013033</t>
  </si>
  <si>
    <t>31907921293</t>
  </si>
  <si>
    <t>[ОКПД2 42.91] Сооружения водные; работы строительные по строительству водных сооружений, [ОКВЭД2 42.91] Строительство водных сооружений</t>
  </si>
  <si>
    <t>5619005268</t>
  </si>
  <si>
    <t>0153300051919000041</t>
  </si>
  <si>
    <t>7426001905</t>
  </si>
  <si>
    <t>0169300010319000338</t>
  </si>
  <si>
    <t>Аргаяшский район</t>
  </si>
  <si>
    <t>7447253741</t>
  </si>
  <si>
    <t>31907920474</t>
  </si>
  <si>
    <t>[ОКПД2 33.13] Услуги по ремонту электронного и оптического оборудования, [ОКПД2 33.12] Услуги по ремонту оборудования, [ОКВЭД2 33.12] Ремонт машин и оборудования, [ОКВЭД2 33.13] Ремонт электронного и оптического оборудования</t>
  </si>
  <si>
    <t>2027000989</t>
  </si>
  <si>
    <t>0194400000119000019</t>
  </si>
  <si>
    <t>5024047494</t>
  </si>
  <si>
    <t>31907919587</t>
  </si>
  <si>
    <t>РН977109</t>
  </si>
  <si>
    <t>31907917455</t>
  </si>
  <si>
    <t>4202024690</t>
  </si>
  <si>
    <t>4246021382</t>
  </si>
  <si>
    <t>4246015036</t>
  </si>
  <si>
    <t>6140018721</t>
  </si>
  <si>
    <t>859785</t>
  </si>
  <si>
    <t>[ОКПД2 47.43] Услуги по розничной торговле аудио- и видеотехникой в специализированных магазинах</t>
  </si>
  <si>
    <t>5024001482</t>
  </si>
  <si>
    <t>31907919193</t>
  </si>
  <si>
    <t>[ОКПД2 33.13] Услуги по ремонту электронного и оптического оборудования, [ОКВЭД2 80.20] Деятельность систем обеспечения безопасности</t>
  </si>
  <si>
    <t>5012074888</t>
  </si>
  <si>
    <t>0163200000319003407</t>
  </si>
  <si>
    <t>0163200000319003406</t>
  </si>
  <si>
    <t>3304001234</t>
  </si>
  <si>
    <t>0163200000319003405</t>
  </si>
  <si>
    <t>31907919154</t>
  </si>
  <si>
    <t>0163200000319003404</t>
  </si>
  <si>
    <t>РН977026</t>
  </si>
  <si>
    <t>[ОКПД2 41.20] Здания и работы по возведению зданий, [ОКВЭД2 41.2+] Строительство жилых и нежилых зданий</t>
  </si>
  <si>
    <t>0124200000619002393</t>
  </si>
  <si>
    <t>2901216672</t>
  </si>
  <si>
    <t>2128020011</t>
  </si>
  <si>
    <t>0115100001219000022</t>
  </si>
  <si>
    <t>5044090530</t>
  </si>
  <si>
    <t>741375</t>
  </si>
  <si>
    <t>8607007876</t>
  </si>
  <si>
    <t>31907917469</t>
  </si>
  <si>
    <t>[ОКПД2 84.24] Услуги по обеспечению общественного порядка и безопасности, [ОКВЭД2 90.04] Деятельность учреждений культуры и искусства</t>
  </si>
  <si>
    <t>8607002821</t>
  </si>
  <si>
    <t>7714097791</t>
  </si>
  <si>
    <t>0148200004319000002</t>
  </si>
  <si>
    <t>5018153448</t>
  </si>
  <si>
    <t>5007011931</t>
  </si>
  <si>
    <t>7802837981</t>
  </si>
  <si>
    <t>7728733503</t>
  </si>
  <si>
    <t>7716865745</t>
  </si>
  <si>
    <t>6027018687</t>
  </si>
  <si>
    <t>0357200023619000088</t>
  </si>
  <si>
    <t>6025026315</t>
  </si>
  <si>
    <t>7720544208</t>
  </si>
  <si>
    <t>COM28051900058</t>
  </si>
  <si>
    <t>COM28051900047</t>
  </si>
  <si>
    <t>COM28051900054</t>
  </si>
  <si>
    <t>COM28051900056</t>
  </si>
  <si>
    <t>COM28051900055</t>
  </si>
  <si>
    <t>6501141420</t>
  </si>
  <si>
    <t>31907913760</t>
  </si>
  <si>
    <t>[ОКПД2 43.21] Работы электромонтажные, [ОКВЭД2 80.2+] Деятельность систем обеспечения безопасности</t>
  </si>
  <si>
    <t>0570006710</t>
  </si>
  <si>
    <t>BP00288817</t>
  </si>
  <si>
    <t>1651072409</t>
  </si>
  <si>
    <t>BP00288322</t>
  </si>
  <si>
    <t>6621008564</t>
  </si>
  <si>
    <t>31907916980</t>
  </si>
  <si>
    <t>[ОКПД2 26.30] Оборудование коммуникационное, [ОКВЭД2 43.99] Работы строительные специализированные прочие, не включенные в другие группировки</t>
  </si>
  <si>
    <t>0360200048619000065</t>
  </si>
  <si>
    <t>5436108555</t>
  </si>
  <si>
    <t>860429</t>
  </si>
  <si>
    <t>0116300037719000005</t>
  </si>
  <si>
    <t>8608040918</t>
  </si>
  <si>
    <t>0187300013719000158</t>
  </si>
  <si>
    <t>Когалым</t>
  </si>
  <si>
    <t>860800021546</t>
  </si>
  <si>
    <t>862002195140</t>
  </si>
  <si>
    <t>8603227006</t>
  </si>
  <si>
    <t>0373100128519001574</t>
  </si>
  <si>
    <t>2223572189</t>
  </si>
  <si>
    <t>7743946810</t>
  </si>
  <si>
    <t>0373200018819000641</t>
  </si>
  <si>
    <t>0810100000619000037</t>
  </si>
  <si>
    <t>260702925515</t>
  </si>
  <si>
    <t>6625006744</t>
  </si>
  <si>
    <t>31907915239</t>
  </si>
  <si>
    <t>1308078876</t>
  </si>
  <si>
    <t>100069276119000020</t>
  </si>
  <si>
    <t>Зубово-Полянский район</t>
  </si>
  <si>
    <t>100263124119000013</t>
  </si>
  <si>
    <t>0253016883</t>
  </si>
  <si>
    <t>0101300000219000040</t>
  </si>
  <si>
    <t>Агидель</t>
  </si>
  <si>
    <t>0264052788</t>
  </si>
  <si>
    <t>31907915248</t>
  </si>
  <si>
    <t>1101487262</t>
  </si>
  <si>
    <t>0307300007319000093</t>
  </si>
  <si>
    <t>1101055008</t>
  </si>
  <si>
    <t>110114455924</t>
  </si>
  <si>
    <t>1101144314</t>
  </si>
  <si>
    <t>1101025317</t>
  </si>
  <si>
    <t>6163045143</t>
  </si>
  <si>
    <t>0358200034819000253</t>
  </si>
  <si>
    <t>6155048077</t>
  </si>
  <si>
    <t>31907915966</t>
  </si>
  <si>
    <t>1435236701</t>
  </si>
  <si>
    <t>0116100002919000061</t>
  </si>
  <si>
    <t>[ОКПД2 82.20] Услуги центров обработки телефонных вызовов</t>
  </si>
  <si>
    <t>4501164254</t>
  </si>
  <si>
    <t>0143100009619000044</t>
  </si>
  <si>
    <t>0901040249</t>
  </si>
  <si>
    <t>0179100004719000077</t>
  </si>
  <si>
    <t>6668017532</t>
  </si>
  <si>
    <t>0162200011819001295</t>
  </si>
  <si>
    <t>6668018896</t>
  </si>
  <si>
    <t>6679101144</t>
  </si>
  <si>
    <t>0169300027819000117</t>
  </si>
  <si>
    <t>7401016064</t>
  </si>
  <si>
    <t>7405008498</t>
  </si>
  <si>
    <t>6603010190</t>
  </si>
  <si>
    <t>0362300266319000006</t>
  </si>
  <si>
    <t>6663041348</t>
  </si>
  <si>
    <t>0229200000119000042</t>
  </si>
  <si>
    <t>343200075235</t>
  </si>
  <si>
    <t>0169300027819000116</t>
  </si>
  <si>
    <t>7417011382</t>
  </si>
  <si>
    <t>4824005237</t>
  </si>
  <si>
    <t>0346200012319000028</t>
  </si>
  <si>
    <t>2311021085</t>
  </si>
  <si>
    <t>0318100024519000020</t>
  </si>
  <si>
    <t>6143077443</t>
  </si>
  <si>
    <t>2311194673</t>
  </si>
  <si>
    <t>2311170584</t>
  </si>
  <si>
    <t>7401002008</t>
  </si>
  <si>
    <t>0369300128319000115</t>
  </si>
  <si>
    <t>Ашинский район</t>
  </si>
  <si>
    <t>6603010828</t>
  </si>
  <si>
    <t>31907914121</t>
  </si>
  <si>
    <t>7445040138</t>
  </si>
  <si>
    <t>0869200000219001556</t>
  </si>
  <si>
    <t>7445020685</t>
  </si>
  <si>
    <t>7705557717</t>
  </si>
  <si>
    <t>0175100002619000002</t>
  </si>
  <si>
    <t>COM28051900008</t>
  </si>
  <si>
    <t>31907914704</t>
  </si>
  <si>
    <t>[ОКПД2 96.01] Услуги по стирке и чистке (в том числе химической) изделий из тканей и меха, [ОКВЭД2 96.01] Стирка и химическая чистка текстильных и меховых изделий</t>
  </si>
  <si>
    <t>0172200002219000055</t>
  </si>
  <si>
    <t>7816160548</t>
  </si>
  <si>
    <t>7816165232</t>
  </si>
  <si>
    <t>7816157224</t>
  </si>
  <si>
    <t>7816166300</t>
  </si>
  <si>
    <t>7816075500</t>
  </si>
  <si>
    <t>7816522406</t>
  </si>
  <si>
    <t>7816164101</t>
  </si>
  <si>
    <t>7816156541</t>
  </si>
  <si>
    <t>7816157425</t>
  </si>
  <si>
    <t>7816157457</t>
  </si>
  <si>
    <t>7816157432</t>
  </si>
  <si>
    <t>7816159020</t>
  </si>
  <si>
    <t>0391100003719000012</t>
  </si>
  <si>
    <t>Приаргунский</t>
  </si>
  <si>
    <t>740895</t>
  </si>
  <si>
    <t>0307300007319000092</t>
  </si>
  <si>
    <t>0277013240</t>
  </si>
  <si>
    <t>31907913162</t>
  </si>
  <si>
    <t>0845300007519000001</t>
  </si>
  <si>
    <t>5028017035</t>
  </si>
  <si>
    <t>0848300046119000280</t>
  </si>
  <si>
    <t>5436108227</t>
  </si>
  <si>
    <t>858652</t>
  </si>
  <si>
    <t>7107117340</t>
  </si>
  <si>
    <t>0866500000119000008</t>
  </si>
  <si>
    <t>6646002645</t>
  </si>
  <si>
    <t>31907912973</t>
  </si>
  <si>
    <t>6646015482</t>
  </si>
  <si>
    <t>1103037156</t>
  </si>
  <si>
    <t>0307200005519000083</t>
  </si>
  <si>
    <t>0301300001619000355</t>
  </si>
  <si>
    <t>Туймазинский район</t>
  </si>
  <si>
    <t>0274172996</t>
  </si>
  <si>
    <t>5110102332</t>
  </si>
  <si>
    <t>0349100003019000010</t>
  </si>
  <si>
    <t>Североморск</t>
  </si>
  <si>
    <t>31907912921</t>
  </si>
  <si>
    <t>0301300001619000353</t>
  </si>
  <si>
    <t>0153300051919000039</t>
  </si>
  <si>
    <t>0313100009919000129</t>
  </si>
  <si>
    <t>1834041197</t>
  </si>
  <si>
    <t>1841007126</t>
  </si>
  <si>
    <t>8601018945</t>
  </si>
  <si>
    <t>0387200003119000005</t>
  </si>
  <si>
    <t>8601019730</t>
  </si>
  <si>
    <t>4807003462</t>
  </si>
  <si>
    <t>0346200002219000013</t>
  </si>
  <si>
    <t>Елец</t>
  </si>
  <si>
    <t>4821047133</t>
  </si>
  <si>
    <t>3663074965</t>
  </si>
  <si>
    <t>740625</t>
  </si>
  <si>
    <t>2503018287</t>
  </si>
  <si>
    <t>0320300042919000029</t>
  </si>
  <si>
    <t>2503033454</t>
  </si>
  <si>
    <t>2503028863</t>
  </si>
  <si>
    <t>8613001248</t>
  </si>
  <si>
    <t>857956</t>
  </si>
  <si>
    <t>0301300001619000354</t>
  </si>
  <si>
    <t>31907913332</t>
  </si>
  <si>
    <t>[ОКПД2 59.11] Услуги по производству кинофильмов, видеофильмов и телевизионных программ, [ОКВЭД2 59.11] Производство кинофильмов, видеофильмов и телевизионных программ</t>
  </si>
  <si>
    <t>7807021756</t>
  </si>
  <si>
    <t>0372200048019000130</t>
  </si>
  <si>
    <t>7826679163</t>
  </si>
  <si>
    <t>10998</t>
  </si>
  <si>
    <t>7450014101</t>
  </si>
  <si>
    <t>0369200019719000006</t>
  </si>
  <si>
    <t>7451278890</t>
  </si>
  <si>
    <t>7452073991</t>
  </si>
  <si>
    <t>7453022742</t>
  </si>
  <si>
    <t>0369200030019000045</t>
  </si>
  <si>
    <t>100312030119000009</t>
  </si>
  <si>
    <t>0313100009919000128</t>
  </si>
  <si>
    <t>1619001876</t>
  </si>
  <si>
    <t>308408</t>
  </si>
  <si>
    <t>4341007902</t>
  </si>
  <si>
    <t>0840300037419000099</t>
  </si>
  <si>
    <t>4312131359</t>
  </si>
  <si>
    <t>4312136854</t>
  </si>
  <si>
    <t>4345035611</t>
  </si>
  <si>
    <t>0313100009919000127</t>
  </si>
  <si>
    <t>100060538219000023</t>
  </si>
  <si>
    <t>100060538219000025</t>
  </si>
  <si>
    <t>2539011630</t>
  </si>
  <si>
    <t>100102975219000017</t>
  </si>
  <si>
    <t>31907911634</t>
  </si>
  <si>
    <t>5010043203</t>
  </si>
  <si>
    <t>190527/41750/016</t>
  </si>
  <si>
    <t>190524/19845/034</t>
  </si>
  <si>
    <t>0835300000119000033</t>
  </si>
  <si>
    <t>7728358556</t>
  </si>
  <si>
    <t>31907911402</t>
  </si>
  <si>
    <t>5191501188</t>
  </si>
  <si>
    <t>31907911419</t>
  </si>
  <si>
    <t>5190145586</t>
  </si>
  <si>
    <t>31907911272</t>
  </si>
  <si>
    <t>9106001681</t>
  </si>
  <si>
    <t>0875300057119000037</t>
  </si>
  <si>
    <t>Красноперекопск</t>
  </si>
  <si>
    <t>7405002810</t>
  </si>
  <si>
    <t>0169300043219000067</t>
  </si>
  <si>
    <t>7401013722</t>
  </si>
  <si>
    <t>740203</t>
  </si>
  <si>
    <t>740179</t>
  </si>
  <si>
    <t>3904072639</t>
  </si>
  <si>
    <t>0135200000519001955</t>
  </si>
  <si>
    <t>3906222255</t>
  </si>
  <si>
    <t>3905076788</t>
  </si>
  <si>
    <t>3906987663</t>
  </si>
  <si>
    <t>0862300042019000085</t>
  </si>
  <si>
    <t>0328300017419000135</t>
  </si>
  <si>
    <t>3327132723</t>
  </si>
  <si>
    <t>3665062355</t>
  </si>
  <si>
    <t>0131300000619001347</t>
  </si>
  <si>
    <t>366312486520</t>
  </si>
  <si>
    <t>6325028472</t>
  </si>
  <si>
    <t>31907909623</t>
  </si>
  <si>
    <t>100023215219000022</t>
  </si>
  <si>
    <t>31907909910</t>
  </si>
  <si>
    <t>100023215219000023</t>
  </si>
  <si>
    <t>5191502329</t>
  </si>
  <si>
    <t>100110992219000006</t>
  </si>
  <si>
    <t>0105100001819000012</t>
  </si>
  <si>
    <t>7017107837</t>
  </si>
  <si>
    <t>100004464219000006</t>
  </si>
  <si>
    <t>5044019350</t>
  </si>
  <si>
    <t>740073</t>
  </si>
  <si>
    <t>855282</t>
  </si>
  <si>
    <t>5034043202</t>
  </si>
  <si>
    <t>0848300003019000194</t>
  </si>
  <si>
    <t>9721057930</t>
  </si>
  <si>
    <t>9721052259</t>
  </si>
  <si>
    <t>771817061207</t>
  </si>
  <si>
    <t>773401722443</t>
  </si>
  <si>
    <t>5509005681</t>
  </si>
  <si>
    <t>100044598219000002</t>
  </si>
  <si>
    <t>31907908281</t>
  </si>
  <si>
    <t>4909041964</t>
  </si>
  <si>
    <t>0147200000919000351</t>
  </si>
  <si>
    <t>4900007736</t>
  </si>
  <si>
    <t>100315856119000029</t>
  </si>
  <si>
    <t>7709379649</t>
  </si>
  <si>
    <t>31907908231</t>
  </si>
  <si>
    <t>0917016682</t>
  </si>
  <si>
    <t>0379200011619000011</t>
  </si>
  <si>
    <t>0105001273</t>
  </si>
  <si>
    <t>31907906952</t>
  </si>
  <si>
    <t>2311137435</t>
  </si>
  <si>
    <t>0718200000419000022</t>
  </si>
  <si>
    <t>0107025495</t>
  </si>
  <si>
    <t>10760</t>
  </si>
  <si>
    <t>5321038608</t>
  </si>
  <si>
    <t>100174870219000004</t>
  </si>
  <si>
    <t>5505026666</t>
  </si>
  <si>
    <t>853957</t>
  </si>
  <si>
    <t>[ОКПД2 74.20] Услуги в области фотографии</t>
  </si>
  <si>
    <t>31907906259</t>
  </si>
  <si>
    <t>31907905693</t>
  </si>
  <si>
    <t>2019-713093</t>
  </si>
  <si>
    <t>2311223500</t>
  </si>
  <si>
    <t>31907906073</t>
  </si>
  <si>
    <t>6627009035</t>
  </si>
  <si>
    <t>31907905563</t>
  </si>
  <si>
    <t>5010023119</t>
  </si>
  <si>
    <t>729649</t>
  </si>
  <si>
    <t>7842375557</t>
  </si>
  <si>
    <t>0145200000419000842</t>
  </si>
  <si>
    <t>[ОКПД2 58.29] Услуги по изданию прочего программного обеспечения, [ОКПД2 62.03] Услуги по управлению компьютерным оборудованием</t>
  </si>
  <si>
    <t>7811463860</t>
  </si>
  <si>
    <t>0138300002119000052</t>
  </si>
  <si>
    <t>5007044510</t>
  </si>
  <si>
    <t>729546</t>
  </si>
  <si>
    <t>6501232412</t>
  </si>
  <si>
    <t>31907900324</t>
  </si>
  <si>
    <t>7722281473</t>
  </si>
  <si>
    <t>0373100040419000092</t>
  </si>
  <si>
    <t>7726432162</t>
  </si>
  <si>
    <t>7106030801</t>
  </si>
  <si>
    <t>7704009700</t>
  </si>
  <si>
    <t>2556054</t>
  </si>
  <si>
    <t>31907900288</t>
  </si>
  <si>
    <t>7705923730</t>
  </si>
  <si>
    <t>ATOM23051900125</t>
  </si>
  <si>
    <t>1415003890</t>
  </si>
  <si>
    <t>0816500000619006252</t>
  </si>
  <si>
    <t>Мегино-Кангаласский улус</t>
  </si>
  <si>
    <t>SBR016-1905230006</t>
  </si>
  <si>
    <t>SBR016-1905230005</t>
  </si>
  <si>
    <t>98368</t>
  </si>
  <si>
    <t>31907903572</t>
  </si>
  <si>
    <t>[ОКПД2 94.99] Услуги прочих общественных организаций, не включенных в другие группировки, [ОКВЭД2 94.99] Деятельность прочих общественных организаций, не включенных в другие группировки</t>
  </si>
  <si>
    <t>6154010465</t>
  </si>
  <si>
    <t>31907902829</t>
  </si>
  <si>
    <t>5902290882</t>
  </si>
  <si>
    <t>0156200009919000224</t>
  </si>
  <si>
    <t>5904286923</t>
  </si>
  <si>
    <t>5904334060</t>
  </si>
  <si>
    <t>31907903148</t>
  </si>
  <si>
    <t>3918008200</t>
  </si>
  <si>
    <t>0135300003819000126</t>
  </si>
  <si>
    <t>3918504367</t>
  </si>
  <si>
    <t>3907062406</t>
  </si>
  <si>
    <t>2222855160</t>
  </si>
  <si>
    <t>3906200029</t>
  </si>
  <si>
    <t>8903019871</t>
  </si>
  <si>
    <t>31907901047</t>
  </si>
  <si>
    <t>Надым</t>
  </si>
  <si>
    <t>31907902494</t>
  </si>
  <si>
    <t>[ОКПД2 52.24] Услуги по обработке грузов, [ОКВЭД2 52.24] Транспортная обработка грузов</t>
  </si>
  <si>
    <t>31907902168</t>
  </si>
  <si>
    <t>[ОКПД2 23.61] Изделия из бетона, используемые в строительстве, [ОКВЭД2 23.61] Производство изделий из бетона для использования в строительстве</t>
  </si>
  <si>
    <t>7724675770</t>
  </si>
  <si>
    <t>31907902237</t>
  </si>
  <si>
    <t>3719009150</t>
  </si>
  <si>
    <t>0133300012619000063</t>
  </si>
  <si>
    <t>3721005410</t>
  </si>
  <si>
    <t>31907900583</t>
  </si>
  <si>
    <t>0114200000119000768</t>
  </si>
  <si>
    <t>1650027890</t>
  </si>
  <si>
    <t>0711200009219000036</t>
  </si>
  <si>
    <t>2434000818</t>
  </si>
  <si>
    <t>0119300019619000121</t>
  </si>
  <si>
    <t>246408069064</t>
  </si>
  <si>
    <t>0114200000119000766</t>
  </si>
  <si>
    <t>6317024749</t>
  </si>
  <si>
    <t>31907901040</t>
  </si>
  <si>
    <t>5190404150</t>
  </si>
  <si>
    <t>0149200002319003234</t>
  </si>
  <si>
    <t>5190005420</t>
  </si>
  <si>
    <t>1901050182</t>
  </si>
  <si>
    <t>100158046219000009</t>
  </si>
  <si>
    <t>850181</t>
  </si>
  <si>
    <t>2019-712658</t>
  </si>
  <si>
    <t>31907899731</t>
  </si>
  <si>
    <t>4401074159</t>
  </si>
  <si>
    <t>849615</t>
  </si>
  <si>
    <t>2801027537</t>
  </si>
  <si>
    <t>0123200000319001423</t>
  </si>
  <si>
    <t>2801199127</t>
  </si>
  <si>
    <t>2801102382</t>
  </si>
  <si>
    <t>6950061404</t>
  </si>
  <si>
    <t>0136200003619002422</t>
  </si>
  <si>
    <t>611103400171</t>
  </si>
  <si>
    <t>6950215340</t>
  </si>
  <si>
    <t>6950189228</t>
  </si>
  <si>
    <t>6950040838</t>
  </si>
  <si>
    <t>695010252190</t>
  </si>
  <si>
    <t>2312159262</t>
  </si>
  <si>
    <t>31907898760</t>
  </si>
  <si>
    <t>[ОКПД2 33.12] Услуги по ремонту оборудования, [ОКВЭД2 35.11] Производство электроэнергии</t>
  </si>
  <si>
    <t>7724788533</t>
  </si>
  <si>
    <t>31907898524</t>
  </si>
  <si>
    <t>5643007428</t>
  </si>
  <si>
    <t>0353300045719000002</t>
  </si>
  <si>
    <t>5643020563</t>
  </si>
  <si>
    <t>0373100099519000033</t>
  </si>
  <si>
    <t>7708234633</t>
  </si>
  <si>
    <t>100312238219000004</t>
  </si>
  <si>
    <t>5078012018</t>
  </si>
  <si>
    <t>0848300060619000268</t>
  </si>
  <si>
    <t>5078019888</t>
  </si>
  <si>
    <t>31907898583</t>
  </si>
  <si>
    <t>0862600013619000108</t>
  </si>
  <si>
    <t>6603011035</t>
  </si>
  <si>
    <t>0362300169519000005</t>
  </si>
  <si>
    <t>0361200015019003150</t>
  </si>
  <si>
    <t>5610016674</t>
  </si>
  <si>
    <t>31907896784</t>
  </si>
  <si>
    <t>7805039099</t>
  </si>
  <si>
    <t>0372200019819000016</t>
  </si>
  <si>
    <t>7839373038</t>
  </si>
  <si>
    <t>7838483694</t>
  </si>
  <si>
    <t>6603010835</t>
  </si>
  <si>
    <t>0362300175119000008</t>
  </si>
  <si>
    <t>31907897367</t>
  </si>
  <si>
    <t>31907897478</t>
  </si>
  <si>
    <t>848698</t>
  </si>
  <si>
    <t>0348100048919000014</t>
  </si>
  <si>
    <t>5042065175</t>
  </si>
  <si>
    <t>6310000026</t>
  </si>
  <si>
    <t>31907896827</t>
  </si>
  <si>
    <t>[ОКПД2 52.21] Услуги, связанные с сухопутным транспортом, [ОКВЭД2 52.2+] Деятельность транспортная вспомогательная</t>
  </si>
  <si>
    <t>31907896793</t>
  </si>
  <si>
    <t>31907896685</t>
  </si>
  <si>
    <t>31907896717</t>
  </si>
  <si>
    <t>1101482560</t>
  </si>
  <si>
    <t>0107100005119000021</t>
  </si>
  <si>
    <t>5539009034</t>
  </si>
  <si>
    <t>100045960219000001</t>
  </si>
  <si>
    <t>Черлакский район</t>
  </si>
  <si>
    <t>5032036707</t>
  </si>
  <si>
    <t>718443</t>
  </si>
  <si>
    <t>718454</t>
  </si>
  <si>
    <t>31907896647</t>
  </si>
  <si>
    <t>100242027219000022</t>
  </si>
  <si>
    <t>Красноярский район</t>
  </si>
  <si>
    <t>718449</t>
  </si>
  <si>
    <t>31907896846</t>
  </si>
  <si>
    <t>7106032703</t>
  </si>
  <si>
    <t>7207000289</t>
  </si>
  <si>
    <t>100076375119000023</t>
  </si>
  <si>
    <t>2442003700</t>
  </si>
  <si>
    <t>100056043219000002</t>
  </si>
  <si>
    <t>Шушенский район</t>
  </si>
  <si>
    <t>8615009411</t>
  </si>
  <si>
    <t>0387200005119000041</t>
  </si>
  <si>
    <t>0136300015119000027</t>
  </si>
  <si>
    <t>6111004668</t>
  </si>
  <si>
    <t>31907895363</t>
  </si>
  <si>
    <t>0358200034819000247</t>
  </si>
  <si>
    <t>6154126269</t>
  </si>
  <si>
    <t>3233011956</t>
  </si>
  <si>
    <t>847011</t>
  </si>
  <si>
    <t>6125023710</t>
  </si>
  <si>
    <t>847164</t>
  </si>
  <si>
    <t>Октябрьский район</t>
  </si>
  <si>
    <t>1119002293</t>
  </si>
  <si>
    <t>0307300082319000022</t>
  </si>
  <si>
    <t>5042083978</t>
  </si>
  <si>
    <t>718189</t>
  </si>
  <si>
    <t>0318200063919001956</t>
  </si>
  <si>
    <t>9204563390</t>
  </si>
  <si>
    <t>0374500000519000076</t>
  </si>
  <si>
    <t>9201503515</t>
  </si>
  <si>
    <t>5075009578</t>
  </si>
  <si>
    <t>0848300059119000127</t>
  </si>
  <si>
    <t>5907042643</t>
  </si>
  <si>
    <t>0356500003219000110</t>
  </si>
  <si>
    <t>0873500000819001797</t>
  </si>
  <si>
    <t>7724424864</t>
  </si>
  <si>
    <t>7725774974</t>
  </si>
  <si>
    <t>5250049520</t>
  </si>
  <si>
    <t>0332300330619000101</t>
  </si>
  <si>
    <t>5260156707</t>
  </si>
  <si>
    <t>6803629911</t>
  </si>
  <si>
    <t>1258783</t>
  </si>
  <si>
    <t>[ОКПД2 25+] Изделия металлические готовые, кроме машин и оборудования</t>
  </si>
  <si>
    <t>31907893421</t>
  </si>
  <si>
    <t>31907893782</t>
  </si>
  <si>
    <t>2019-711670</t>
  </si>
  <si>
    <t>6621014889</t>
  </si>
  <si>
    <t>31907893181</t>
  </si>
  <si>
    <t>9102007266</t>
  </si>
  <si>
    <t>31907893536</t>
  </si>
  <si>
    <t>7811040737</t>
  </si>
  <si>
    <t>0372200022219000064</t>
  </si>
  <si>
    <t>7816538090</t>
  </si>
  <si>
    <t>7806230387</t>
  </si>
  <si>
    <t>7802820459</t>
  </si>
  <si>
    <t>7811540514</t>
  </si>
  <si>
    <t>183510618210</t>
  </si>
  <si>
    <t>0274906051</t>
  </si>
  <si>
    <t>600101039025</t>
  </si>
  <si>
    <t>31907892974</t>
  </si>
  <si>
    <t>31907892763</t>
  </si>
  <si>
    <t>[ОКПД2 74.10] Услуги по специализированному дизайну, [ОКВЭД2 74.10] Деятельность специализированная в области дизайна</t>
  </si>
  <si>
    <t>0373100028119000103</t>
  </si>
  <si>
    <t>7706790811</t>
  </si>
  <si>
    <t>7743874058</t>
  </si>
  <si>
    <t>771896221443</t>
  </si>
  <si>
    <t>7716802826</t>
  </si>
  <si>
    <t>5029056647</t>
  </si>
  <si>
    <t>717772</t>
  </si>
  <si>
    <t>7838027691</t>
  </si>
  <si>
    <t>0172100008919000061</t>
  </si>
  <si>
    <t>[ОКПД2 52.10] Услуги по складированию и хранению</t>
  </si>
  <si>
    <t>7842353970</t>
  </si>
  <si>
    <t>31907892326</t>
  </si>
  <si>
    <t>[ОКПД2 77.39] Услуги по аренде и лизингу прочих машин, оборудования и материальных средств, не включенных в другие группировки, [ОКПД2 62.03] Услуги по управлению компьютерным оборудованием, [ОКВЭД2 77.39] Аренда и лизинг прочих видов транспорта, оборудования и материальных средств, не включенных в другие группировки, [ОКВЭД2 62.03] Деятельность по управлению компьютерным оборудованием</t>
  </si>
  <si>
    <t>31907892033</t>
  </si>
  <si>
    <t>[ОКПД2 33.17] Услуги по ремонту и техническому обслуживанию прочих транспортных средств и обо рудования, [ОКВЭД2 33.17] Ремонт и техническое обслуживание прочих транспортных средств и оборудования</t>
  </si>
  <si>
    <t>6660012532</t>
  </si>
  <si>
    <t>0862500002919000006</t>
  </si>
  <si>
    <t>31907890485</t>
  </si>
  <si>
    <t>[ОКПД2 33.20] Услуги по монтажу промышленных машин и оборудования, [ОКВЭД2 85.14] Образование среднее общее</t>
  </si>
  <si>
    <t>4823011125</t>
  </si>
  <si>
    <t>0346200006219000037</t>
  </si>
  <si>
    <t>4813028384</t>
  </si>
  <si>
    <t>31907890843</t>
  </si>
  <si>
    <t>3206003547</t>
  </si>
  <si>
    <t>0327100010719000063</t>
  </si>
  <si>
    <t>Брасовский район</t>
  </si>
  <si>
    <t>7714731464</t>
  </si>
  <si>
    <t>1512247</t>
  </si>
  <si>
    <t>100285812119000124</t>
  </si>
  <si>
    <t>31907891558</t>
  </si>
  <si>
    <t>0574500003119000004</t>
  </si>
  <si>
    <t>233600216393</t>
  </si>
  <si>
    <t>9102244490</t>
  </si>
  <si>
    <t>910216901922</t>
  </si>
  <si>
    <t>7704520601</t>
  </si>
  <si>
    <t>1257454</t>
  </si>
  <si>
    <t>5033008131</t>
  </si>
  <si>
    <t>717553</t>
  </si>
  <si>
    <t>31907890386</t>
  </si>
  <si>
    <t>0362100009319000019</t>
  </si>
  <si>
    <t>6661089418</t>
  </si>
  <si>
    <t>6623014210</t>
  </si>
  <si>
    <t>6671280999</t>
  </si>
  <si>
    <t>717428</t>
  </si>
  <si>
    <t>0362100009319000018</t>
  </si>
  <si>
    <t>4909099555</t>
  </si>
  <si>
    <t>100110120219000001</t>
  </si>
  <si>
    <t>5027091364</t>
  </si>
  <si>
    <t>717375</t>
  </si>
  <si>
    <t>4824030515</t>
  </si>
  <si>
    <t>0346200000619000008</t>
  </si>
  <si>
    <t>5906019169</t>
  </si>
  <si>
    <t>100264689219000009</t>
  </si>
  <si>
    <t>5615002393</t>
  </si>
  <si>
    <t>31907889267</t>
  </si>
  <si>
    <t>Орск</t>
  </si>
  <si>
    <t>3651008478</t>
  </si>
  <si>
    <t>1257767</t>
  </si>
  <si>
    <t>Нововоронеж</t>
  </si>
  <si>
    <t>31907889601</t>
  </si>
  <si>
    <t>2310012472</t>
  </si>
  <si>
    <t>31907889560</t>
  </si>
  <si>
    <t>5504048473</t>
  </si>
  <si>
    <t>843460</t>
  </si>
  <si>
    <t>31907889700</t>
  </si>
  <si>
    <t>1257768</t>
  </si>
  <si>
    <t>5101100280</t>
  </si>
  <si>
    <t>0349100005119000048</t>
  </si>
  <si>
    <t>510401172705</t>
  </si>
  <si>
    <t>5190929284</t>
  </si>
  <si>
    <t>5257189501</t>
  </si>
  <si>
    <t>5105095707</t>
  </si>
  <si>
    <t>5190179923</t>
  </si>
  <si>
    <t>1001048543</t>
  </si>
  <si>
    <t>0106100001419000015</t>
  </si>
  <si>
    <t>2721216352</t>
  </si>
  <si>
    <t>31907888395</t>
  </si>
  <si>
    <t>8602020390</t>
  </si>
  <si>
    <t>0387200016419000031</t>
  </si>
  <si>
    <t>8602159307</t>
  </si>
  <si>
    <t>550716048030</t>
  </si>
  <si>
    <t>8602026226</t>
  </si>
  <si>
    <t>8617035093</t>
  </si>
  <si>
    <t>ATOM21051900028</t>
  </si>
  <si>
    <t>ATOM21051900027</t>
  </si>
  <si>
    <t>6501115412</t>
  </si>
  <si>
    <t>100169777219000010</t>
  </si>
  <si>
    <t>2019-710831</t>
  </si>
  <si>
    <t>7723084929</t>
  </si>
  <si>
    <t>0873200009819002133</t>
  </si>
  <si>
    <t>0118300013319000420</t>
  </si>
  <si>
    <t>2355011221</t>
  </si>
  <si>
    <t>2315986253</t>
  </si>
  <si>
    <t>2311078927</t>
  </si>
  <si>
    <t>0318200072019000014</t>
  </si>
  <si>
    <t>2310059128</t>
  </si>
  <si>
    <t>2310107364</t>
  </si>
  <si>
    <t>2721122030</t>
  </si>
  <si>
    <t>0322100017219000055</t>
  </si>
  <si>
    <t>2724149048</t>
  </si>
  <si>
    <t>5032036577</t>
  </si>
  <si>
    <t>716880</t>
  </si>
  <si>
    <t>[ОКПД2 26.30] Оборудование коммуникационное, [ОКПД2 26.40] Техника бытовая электронная, [ОКПД2 27.11] Электродвигатели, генераторы и трансформаторы</t>
  </si>
  <si>
    <t>2225019188</t>
  </si>
  <si>
    <t>0117100014019000039</t>
  </si>
  <si>
    <t>2320145827</t>
  </si>
  <si>
    <t>31907887104</t>
  </si>
  <si>
    <t>2801025522</t>
  </si>
  <si>
    <t>0123100003519000011</t>
  </si>
  <si>
    <t>2801173601</t>
  </si>
  <si>
    <t>0117100014019000040</t>
  </si>
  <si>
    <t>6213016158</t>
  </si>
  <si>
    <t>0159300034819000059</t>
  </si>
  <si>
    <t>6229071556</t>
  </si>
  <si>
    <t>0318100051219000066</t>
  </si>
  <si>
    <t>7743761600</t>
  </si>
  <si>
    <t>132804919600</t>
  </si>
  <si>
    <t>2310154646</t>
  </si>
  <si>
    <t>5042132640</t>
  </si>
  <si>
    <t>716727</t>
  </si>
  <si>
    <t>31907886731</t>
  </si>
  <si>
    <t>[ОКПД2 84.24] Услуги по обеспечению общественного порядка и безопасности, [ОКВЭД2 46+] Торговля оптовая, кроме оптовой торговли автотранспортными средствами и мотоциклами</t>
  </si>
  <si>
    <t>6165197511</t>
  </si>
  <si>
    <t>5805006974</t>
  </si>
  <si>
    <t>100225860219000006</t>
  </si>
  <si>
    <t>Сердобский район</t>
  </si>
  <si>
    <t>РН941894</t>
  </si>
  <si>
    <t>1257012</t>
  </si>
  <si>
    <t>31907885950</t>
  </si>
  <si>
    <t>6004002401</t>
  </si>
  <si>
    <t>0357300018419000007</t>
  </si>
  <si>
    <t>Дедовичский район</t>
  </si>
  <si>
    <t>6027078936</t>
  </si>
  <si>
    <t>5321164602</t>
  </si>
  <si>
    <t>1901067718</t>
  </si>
  <si>
    <t>31907883829</t>
  </si>
  <si>
    <t>[ОКПД2 33.19] Услуги по ремонту прочего оборудования, [ОКВЭД2 33.19] Ремонт прочего оборудования</t>
  </si>
  <si>
    <t>0342100033819000032</t>
  </si>
  <si>
    <t>31907885387</t>
  </si>
  <si>
    <t>31907885654</t>
  </si>
  <si>
    <t>9701039940</t>
  </si>
  <si>
    <t>31907885303</t>
  </si>
  <si>
    <t>3806009212</t>
  </si>
  <si>
    <t>0334200041619000004</t>
  </si>
  <si>
    <t>Зима</t>
  </si>
  <si>
    <t>6671356260</t>
  </si>
  <si>
    <t>0162100025319000037</t>
  </si>
  <si>
    <t>7452146022</t>
  </si>
  <si>
    <t>ATOM20051900117</t>
  </si>
  <si>
    <t>2804003157</t>
  </si>
  <si>
    <t>31907883223</t>
  </si>
  <si>
    <t>7721037218</t>
  </si>
  <si>
    <t>31907885104</t>
  </si>
  <si>
    <t>31907885066</t>
  </si>
  <si>
    <t>[ОКПД2 84.25] Услуги по обеспечению безопасности в чрезвычайных ситуациях; услуги по обеспечению безопасности в области использования атомной энергии, [ОКВЭД2 46+] Торговля оптовая, кроме оптовой торговли автотранспортными средствами и мотоциклами</t>
  </si>
  <si>
    <t>611332541311</t>
  </si>
  <si>
    <t>7807027846</t>
  </si>
  <si>
    <t>0172300011619000017</t>
  </si>
  <si>
    <t>780709965143</t>
  </si>
  <si>
    <t>307987</t>
  </si>
  <si>
    <t>0848300046119000254</t>
  </si>
  <si>
    <t>6901061440</t>
  </si>
  <si>
    <t>502803521632</t>
  </si>
  <si>
    <t>6101004228</t>
  </si>
  <si>
    <t>0858600001219000011</t>
  </si>
  <si>
    <t>Азовский район</t>
  </si>
  <si>
    <t>6161057305</t>
  </si>
  <si>
    <t>6165129053</t>
  </si>
  <si>
    <t>31907883390</t>
  </si>
  <si>
    <t>8601009877</t>
  </si>
  <si>
    <t>0187200001719000380</t>
  </si>
  <si>
    <t>6658384004</t>
  </si>
  <si>
    <t>6732165266</t>
  </si>
  <si>
    <t>0387200027519000037</t>
  </si>
  <si>
    <t>1314095044</t>
  </si>
  <si>
    <t>0809500000319000877</t>
  </si>
  <si>
    <t>Краснослободский район</t>
  </si>
  <si>
    <t>0391300029819000034</t>
  </si>
  <si>
    <t>0542600011619000012</t>
  </si>
  <si>
    <t>7720800660</t>
  </si>
  <si>
    <t>0373200006219000476</t>
  </si>
  <si>
    <t>2225018459</t>
  </si>
  <si>
    <t>100292334219000064</t>
  </si>
  <si>
    <t>5407002730</t>
  </si>
  <si>
    <t>100146484219000006</t>
  </si>
  <si>
    <t>2461007121</t>
  </si>
  <si>
    <t>839040</t>
  </si>
  <si>
    <t>6671156423</t>
  </si>
  <si>
    <t>1257286</t>
  </si>
  <si>
    <t>0153019001CB</t>
  </si>
  <si>
    <t>2315128336</t>
  </si>
  <si>
    <t>31907883003</t>
  </si>
  <si>
    <t>3509005568</t>
  </si>
  <si>
    <t>0330300184719000018</t>
  </si>
  <si>
    <t>Грязовецкий район</t>
  </si>
  <si>
    <t>0330300184719000017</t>
  </si>
  <si>
    <t>COM20051900006</t>
  </si>
  <si>
    <t>2460044191</t>
  </si>
  <si>
    <t>31907881134</t>
  </si>
  <si>
    <t>0111300095519000051</t>
  </si>
  <si>
    <t>5020027994</t>
  </si>
  <si>
    <t>0348200037419000002</t>
  </si>
  <si>
    <t>5020072387</t>
  </si>
  <si>
    <t>7713448038</t>
  </si>
  <si>
    <t>0411152899</t>
  </si>
  <si>
    <t>0177100001519000031</t>
  </si>
  <si>
    <t>cntrt19102682DP</t>
  </si>
  <si>
    <t>[ОКПД2 33.12] Услуги по ремонту оборудования, [ОКВЭД2 33.14] Ремонт электрического оборудования</t>
  </si>
  <si>
    <t>1200000433</t>
  </si>
  <si>
    <t>100272831219000015</t>
  </si>
  <si>
    <t>0387200005119000035</t>
  </si>
  <si>
    <t>5027092833</t>
  </si>
  <si>
    <t>705706</t>
  </si>
  <si>
    <t>31907880219</t>
  </si>
  <si>
    <t>[ОКПД2 45.19] Услуги по торговле прочими автотранспортными средствами, [ОКПД2 26.51] Оборудование для измерения, испытаний и навигации, [ОКВЭД2 45.19] Торговля прочими автотранспортными средствами, [ОКВЭД2 46.69] Торговля оптовая прочими машинами и оборудованием</t>
  </si>
  <si>
    <t>100076152219000001</t>
  </si>
  <si>
    <t>8616006734</t>
  </si>
  <si>
    <t>0387200010419000028</t>
  </si>
  <si>
    <t>Кондинский район</t>
  </si>
  <si>
    <t>6315659528</t>
  </si>
  <si>
    <t>9102172220</t>
  </si>
  <si>
    <t>31907881482</t>
  </si>
  <si>
    <t>0328100001419000104</t>
  </si>
  <si>
    <t>2538033783</t>
  </si>
  <si>
    <t>0320300101119000040</t>
  </si>
  <si>
    <t>COM17051900064</t>
  </si>
  <si>
    <t>2906007633</t>
  </si>
  <si>
    <t>0324300028019000032</t>
  </si>
  <si>
    <t>7734260044</t>
  </si>
  <si>
    <t>100280323219000002</t>
  </si>
  <si>
    <t>0387200010419000027</t>
  </si>
  <si>
    <t>8701005139</t>
  </si>
  <si>
    <t>31907877148</t>
  </si>
  <si>
    <t>6606011643</t>
  </si>
  <si>
    <t>31907878500</t>
  </si>
  <si>
    <t>5001023264</t>
  </si>
  <si>
    <t>705490</t>
  </si>
  <si>
    <t>8601016183</t>
  </si>
  <si>
    <t>0387200004819000023</t>
  </si>
  <si>
    <t>6501074580</t>
  </si>
  <si>
    <t>0361200012219000043</t>
  </si>
  <si>
    <t>6501296078</t>
  </si>
  <si>
    <t>100054775119000082</t>
  </si>
  <si>
    <t>5032001630</t>
  </si>
  <si>
    <t>0248100000319000094</t>
  </si>
  <si>
    <t>7743273554</t>
  </si>
  <si>
    <t>3321029536</t>
  </si>
  <si>
    <t>5032209519</t>
  </si>
  <si>
    <t>7736317105</t>
  </si>
  <si>
    <t>5015012826</t>
  </si>
  <si>
    <t>3810318453</t>
  </si>
  <si>
    <t>7718966280</t>
  </si>
  <si>
    <t>5030089693</t>
  </si>
  <si>
    <t>4437467</t>
  </si>
  <si>
    <t>2452000401</t>
  </si>
  <si>
    <t>ATOM17051900103</t>
  </si>
  <si>
    <t>0359100003219000012</t>
  </si>
  <si>
    <t>5725000624</t>
  </si>
  <si>
    <t>0354100006219000070</t>
  </si>
  <si>
    <t>[ОКПД2 27.33] Изделия электроустановочные</t>
  </si>
  <si>
    <t>Урицкий район</t>
  </si>
  <si>
    <t>РН941313</t>
  </si>
  <si>
    <t>7227001273</t>
  </si>
  <si>
    <t>31907877535</t>
  </si>
  <si>
    <t>7207006210</t>
  </si>
  <si>
    <t>7453293125</t>
  </si>
  <si>
    <t>7204190666</t>
  </si>
  <si>
    <t>3123017793</t>
  </si>
  <si>
    <t>0326100004119000017</t>
  </si>
  <si>
    <t>5260346176</t>
  </si>
  <si>
    <t>0832200006619000571</t>
  </si>
  <si>
    <t>5257137711</t>
  </si>
  <si>
    <t>5257128844</t>
  </si>
  <si>
    <t>9701054177</t>
  </si>
  <si>
    <t>5436108925</t>
  </si>
  <si>
    <t>835439</t>
  </si>
  <si>
    <t>5436104180</t>
  </si>
  <si>
    <t>835411</t>
  </si>
  <si>
    <t>RT17051900003</t>
  </si>
  <si>
    <t>2019-709867</t>
  </si>
  <si>
    <t>2019-709773</t>
  </si>
  <si>
    <t>31907876322</t>
  </si>
  <si>
    <t>[ОКПД2 28.99] Оборудование специального назначения прочее, не включенное в другие группировки, [ОКВЭД2 45.19] Торговля прочими автотранспортными средствами</t>
  </si>
  <si>
    <t>31907876136</t>
  </si>
  <si>
    <t>6664030878</t>
  </si>
  <si>
    <t>31907875073</t>
  </si>
  <si>
    <t>2301027360</t>
  </si>
  <si>
    <t>0318300537419000238</t>
  </si>
  <si>
    <t>230102905155</t>
  </si>
  <si>
    <t>31907876102</t>
  </si>
  <si>
    <t>[ОКПД2 26.40] Техника бытовая электронная, [ОКВЭД2 26.70] Производство оптических приборов, фото- и кинооборудования</t>
  </si>
  <si>
    <t>1254932</t>
  </si>
  <si>
    <t>5190411647</t>
  </si>
  <si>
    <t>0149200002319003041</t>
  </si>
  <si>
    <t>5190156852</t>
  </si>
  <si>
    <t>519091107410</t>
  </si>
  <si>
    <t>519017782480</t>
  </si>
  <si>
    <t>5009104606</t>
  </si>
  <si>
    <t>704937</t>
  </si>
  <si>
    <t>6603010867</t>
  </si>
  <si>
    <t>0362300251019000012</t>
  </si>
  <si>
    <t>7451356531</t>
  </si>
  <si>
    <t>0362300251019000013</t>
  </si>
  <si>
    <t>6671073262</t>
  </si>
  <si>
    <t>5257046101</t>
  </si>
  <si>
    <t>100255429219000001</t>
  </si>
  <si>
    <t>305601</t>
  </si>
  <si>
    <t>6168006148</t>
  </si>
  <si>
    <t>SBR028-1905160025</t>
  </si>
  <si>
    <t>0339100019519000073</t>
  </si>
  <si>
    <t>5041019754</t>
  </si>
  <si>
    <t>0148200000819000283</t>
  </si>
  <si>
    <t>Реутов</t>
  </si>
  <si>
    <t>100272831119000018</t>
  </si>
  <si>
    <t>704829</t>
  </si>
  <si>
    <t>5009101450</t>
  </si>
  <si>
    <t>704715</t>
  </si>
  <si>
    <t>0318100019519000058</t>
  </si>
  <si>
    <t>2223613780</t>
  </si>
  <si>
    <t>833649</t>
  </si>
  <si>
    <t>5044068090</t>
  </si>
  <si>
    <t>704659</t>
  </si>
  <si>
    <t>7707807190</t>
  </si>
  <si>
    <t>31907872965</t>
  </si>
  <si>
    <t>100189089219000005</t>
  </si>
  <si>
    <t>4821012973</t>
  </si>
  <si>
    <t>0346200003519000003</t>
  </si>
  <si>
    <t>3128108211</t>
  </si>
  <si>
    <t>3448034223</t>
  </si>
  <si>
    <t>704523</t>
  </si>
  <si>
    <t>5436108509</t>
  </si>
  <si>
    <t>832692</t>
  </si>
  <si>
    <t>31907872656</t>
  </si>
  <si>
    <t>488507</t>
  </si>
  <si>
    <t>5009035470</t>
  </si>
  <si>
    <t>704389</t>
  </si>
  <si>
    <t>5436109076</t>
  </si>
  <si>
    <t>831945</t>
  </si>
  <si>
    <t>2019-709127</t>
  </si>
  <si>
    <t>31907878518</t>
  </si>
  <si>
    <t>5049017276</t>
  </si>
  <si>
    <t>704283</t>
  </si>
  <si>
    <t>5436109051</t>
  </si>
  <si>
    <t>831794</t>
  </si>
  <si>
    <t>5436108717</t>
  </si>
  <si>
    <t>831804</t>
  </si>
  <si>
    <t>0163200000319003077</t>
  </si>
  <si>
    <t>0816021301</t>
  </si>
  <si>
    <t>100195915219000005</t>
  </si>
  <si>
    <t>5436108474</t>
  </si>
  <si>
    <t>831768</t>
  </si>
  <si>
    <t>6618002925</t>
  </si>
  <si>
    <t>0362200031719000012</t>
  </si>
  <si>
    <t>6685154867</t>
  </si>
  <si>
    <t>0309100008819000024</t>
  </si>
  <si>
    <t>6452913600</t>
  </si>
  <si>
    <t>5254491954</t>
  </si>
  <si>
    <t>9204002475</t>
  </si>
  <si>
    <t>31907870714</t>
  </si>
  <si>
    <t>6829012023</t>
  </si>
  <si>
    <t>31907870812</t>
  </si>
  <si>
    <t>4815000715</t>
  </si>
  <si>
    <t>0346200014819000003</t>
  </si>
  <si>
    <t>482100597160</t>
  </si>
  <si>
    <t>4824034460</t>
  </si>
  <si>
    <t>4824064514</t>
  </si>
  <si>
    <t>0362200032319000094</t>
  </si>
  <si>
    <t>5436109083</t>
  </si>
  <si>
    <t>830862</t>
  </si>
  <si>
    <t>100189089119000007</t>
  </si>
  <si>
    <t>5436108957</t>
  </si>
  <si>
    <t>830885</t>
  </si>
  <si>
    <t>0373100132419000069</t>
  </si>
  <si>
    <t>5436104663</t>
  </si>
  <si>
    <t>830836</t>
  </si>
  <si>
    <t>0373100132419000071</t>
  </si>
  <si>
    <t>2020003613</t>
  </si>
  <si>
    <t>0194100000319000042</t>
  </si>
  <si>
    <t>2014017255</t>
  </si>
  <si>
    <t>0373100132419000070</t>
  </si>
  <si>
    <t>0373100132419000072</t>
  </si>
  <si>
    <t>6154035660</t>
  </si>
  <si>
    <t>0358300019019000036</t>
  </si>
  <si>
    <t>6154129566</t>
  </si>
  <si>
    <t>6165121590</t>
  </si>
  <si>
    <t>6154095331</t>
  </si>
  <si>
    <t>5436107826</t>
  </si>
  <si>
    <t>830777</t>
  </si>
  <si>
    <t>6633005536</t>
  </si>
  <si>
    <t>0362200010819000008</t>
  </si>
  <si>
    <t>Сухой Лог</t>
  </si>
  <si>
    <t>6633019881</t>
  </si>
  <si>
    <t>6633022450</t>
  </si>
  <si>
    <t>8905057400</t>
  </si>
  <si>
    <t>6679071355</t>
  </si>
  <si>
    <t>7453014519</t>
  </si>
  <si>
    <t>31907868247</t>
  </si>
  <si>
    <t>7736627820</t>
  </si>
  <si>
    <t>6132012356</t>
  </si>
  <si>
    <t>830758</t>
  </si>
  <si>
    <t>Семикаракорский район</t>
  </si>
  <si>
    <t>5436106942</t>
  </si>
  <si>
    <t>830773</t>
  </si>
  <si>
    <t>7714029960</t>
  </si>
  <si>
    <t>0373200020219000024</t>
  </si>
  <si>
    <t>7444201657</t>
  </si>
  <si>
    <t>830434</t>
  </si>
  <si>
    <t>0348200036519000011</t>
  </si>
  <si>
    <t>830505</t>
  </si>
  <si>
    <t>Красносулинский район</t>
  </si>
  <si>
    <t>6439039559</t>
  </si>
  <si>
    <t>31907868939</t>
  </si>
  <si>
    <t>31907867988</t>
  </si>
  <si>
    <t>5406011122</t>
  </si>
  <si>
    <t>830151</t>
  </si>
  <si>
    <t>31907867408</t>
  </si>
  <si>
    <t>5260038012</t>
  </si>
  <si>
    <t>0332100002419000024</t>
  </si>
  <si>
    <t>31907867147</t>
  </si>
  <si>
    <t>7203076576</t>
  </si>
  <si>
    <t>31907867001</t>
  </si>
  <si>
    <t>7202208251</t>
  </si>
  <si>
    <t>5078003278</t>
  </si>
  <si>
    <t>703578</t>
  </si>
  <si>
    <t>31907866925</t>
  </si>
  <si>
    <t>5017009385</t>
  </si>
  <si>
    <t>31907867265</t>
  </si>
  <si>
    <t>[ОКПД2 82.19] Услуги по фотокопированию, подготовке документов и прочие вспомогательные услуги по обеспечению деятельности офиса, [ОКВЭД2 82.19] Деятельность по фотокопированию и подготовке документов и прочая специализированная вспомогательная деятельность по обеспечению деятельности офиса</t>
  </si>
  <si>
    <t>5017084537</t>
  </si>
  <si>
    <t>5911071943</t>
  </si>
  <si>
    <t>100024829119000013</t>
  </si>
  <si>
    <t>Александровск</t>
  </si>
  <si>
    <t>631/ЭТП/2019/КБ</t>
  </si>
  <si>
    <t>7534000257</t>
  </si>
  <si>
    <t>31907863490</t>
  </si>
  <si>
    <t>1252586</t>
  </si>
  <si>
    <t>5016010652</t>
  </si>
  <si>
    <t>703356</t>
  </si>
  <si>
    <t>3017042156</t>
  </si>
  <si>
    <t>100183990219000010</t>
  </si>
  <si>
    <t>ATOM14051900228</t>
  </si>
  <si>
    <t>2902040326</t>
  </si>
  <si>
    <t>0324300091819000005</t>
  </si>
  <si>
    <t>2901141233</t>
  </si>
  <si>
    <t>2902051945</t>
  </si>
  <si>
    <t>290211729236</t>
  </si>
  <si>
    <t>1651019356</t>
  </si>
  <si>
    <t>0111300005119000228</t>
  </si>
  <si>
    <t>1651037355</t>
  </si>
  <si>
    <t>1639041066</t>
  </si>
  <si>
    <t>31907865530</t>
  </si>
  <si>
    <t>5008044136</t>
  </si>
  <si>
    <t>703164</t>
  </si>
  <si>
    <t>827010</t>
  </si>
  <si>
    <t>6620007180</t>
  </si>
  <si>
    <t>31907863091</t>
  </si>
  <si>
    <t>[ОКПД2 43.39] Работы завершающие и отделочные в зданиях и сооружениях, прочие, [ОКВЭД2 43.39] Производство прочих отделочных и завершающих работ</t>
  </si>
  <si>
    <t>6681003698</t>
  </si>
  <si>
    <t>8709908245</t>
  </si>
  <si>
    <t>0888600000419000026</t>
  </si>
  <si>
    <t>8709011840</t>
  </si>
  <si>
    <t>5009038368</t>
  </si>
  <si>
    <t>702814</t>
  </si>
  <si>
    <t>0304200023419000002</t>
  </si>
  <si>
    <t>5071001320</t>
  </si>
  <si>
    <t>702835</t>
  </si>
  <si>
    <t>0304200023419000004</t>
  </si>
  <si>
    <t>5249164990</t>
  </si>
  <si>
    <t>2634038079</t>
  </si>
  <si>
    <t>0304200023419000003</t>
  </si>
  <si>
    <t>3329000715</t>
  </si>
  <si>
    <t>0328200022519000025</t>
  </si>
  <si>
    <t>3329040193</t>
  </si>
  <si>
    <t>3328433000</t>
  </si>
  <si>
    <t>6455036724</t>
  </si>
  <si>
    <t>0360200045619000004</t>
  </si>
  <si>
    <t>0711200009219000031</t>
  </si>
  <si>
    <t>1251828</t>
  </si>
  <si>
    <t>6603005948</t>
  </si>
  <si>
    <t>0362300002319000037</t>
  </si>
  <si>
    <t>6679113975</t>
  </si>
  <si>
    <t>2907001306</t>
  </si>
  <si>
    <t>31907862710</t>
  </si>
  <si>
    <t>6640003410</t>
  </si>
  <si>
    <t>0362200055619000095</t>
  </si>
  <si>
    <t>ATOM14051900046</t>
  </si>
  <si>
    <t>3800000703</t>
  </si>
  <si>
    <t>0134100010219000047</t>
  </si>
  <si>
    <t>825634</t>
  </si>
  <si>
    <t>7122000730</t>
  </si>
  <si>
    <t>0366200035619002628</t>
  </si>
  <si>
    <t>Белевский район</t>
  </si>
  <si>
    <t>7103041107</t>
  </si>
  <si>
    <t>31907861731</t>
  </si>
  <si>
    <t>7728094832</t>
  </si>
  <si>
    <t>31907861774</t>
  </si>
  <si>
    <t>[ОКПД2 33.13] Услуги по ремонту электронного и оптического оборудования, [ОКВЭД2 86.10] Деятельность больничных организаций</t>
  </si>
  <si>
    <t>7725324365</t>
  </si>
  <si>
    <t>7743937082</t>
  </si>
  <si>
    <t>31907861723</t>
  </si>
  <si>
    <t>31907861722</t>
  </si>
  <si>
    <t>6939011110</t>
  </si>
  <si>
    <t>0136300003119000036</t>
  </si>
  <si>
    <t>Селижаровский район</t>
  </si>
  <si>
    <t>6939004995</t>
  </si>
  <si>
    <t>7819026974</t>
  </si>
  <si>
    <t>0372200009819000051</t>
  </si>
  <si>
    <t>7823005350</t>
  </si>
  <si>
    <t>7806526835</t>
  </si>
  <si>
    <t>0353600001919000002</t>
  </si>
  <si>
    <t>7723794654</t>
  </si>
  <si>
    <t>2301039943</t>
  </si>
  <si>
    <t>0218100005519000106</t>
  </si>
  <si>
    <t>[ОКПД2 77.39] Услуги по аренде и лизингу прочих машин, оборудования и материальных средств, не включенных в другие группировки</t>
  </si>
  <si>
    <t>2312184477</t>
  </si>
  <si>
    <t>6668009764</t>
  </si>
  <si>
    <t>31907859456</t>
  </si>
  <si>
    <t>6623032844</t>
  </si>
  <si>
    <t>2900000543</t>
  </si>
  <si>
    <t>31907859842</t>
  </si>
  <si>
    <t>2902049329</t>
  </si>
  <si>
    <t>2901129317</t>
  </si>
  <si>
    <t>2901108483</t>
  </si>
  <si>
    <t>31907859767</t>
  </si>
  <si>
    <t>2901122294</t>
  </si>
  <si>
    <t>2901138135</t>
  </si>
  <si>
    <t>0373200122119000117</t>
  </si>
  <si>
    <t>9721071283</t>
  </si>
  <si>
    <t>6113023070</t>
  </si>
  <si>
    <t>7706534261</t>
  </si>
  <si>
    <t>7727789623</t>
  </si>
  <si>
    <t>9715312942</t>
  </si>
  <si>
    <t>7723391447</t>
  </si>
  <si>
    <t>7719765210</t>
  </si>
  <si>
    <t>7723922232</t>
  </si>
  <si>
    <t>0346300142519000005</t>
  </si>
  <si>
    <t>4811011040</t>
  </si>
  <si>
    <t>4811005783</t>
  </si>
  <si>
    <t>4811005159</t>
  </si>
  <si>
    <t>4811005102</t>
  </si>
  <si>
    <t>4811005790</t>
  </si>
  <si>
    <t>4811004980</t>
  </si>
  <si>
    <t>4811005007</t>
  </si>
  <si>
    <t>4811005769</t>
  </si>
  <si>
    <t>4811005060</t>
  </si>
  <si>
    <t>4811005198</t>
  </si>
  <si>
    <t>4811005046</t>
  </si>
  <si>
    <t>4811023380</t>
  </si>
  <si>
    <t>4811005014</t>
  </si>
  <si>
    <t>6829013235</t>
  </si>
  <si>
    <t>4825112263</t>
  </si>
  <si>
    <t>2706017440</t>
  </si>
  <si>
    <t>0122300017019000046</t>
  </si>
  <si>
    <t>2724216953</t>
  </si>
  <si>
    <t>2706022899</t>
  </si>
  <si>
    <t>2706022320</t>
  </si>
  <si>
    <t>2721237602</t>
  </si>
  <si>
    <t>100283892219000009</t>
  </si>
  <si>
    <t>7813045709</t>
  </si>
  <si>
    <t>0372200000919000069</t>
  </si>
  <si>
    <t>7825492613</t>
  </si>
  <si>
    <t>2539028264</t>
  </si>
  <si>
    <t>31907857684</t>
  </si>
  <si>
    <t>[ОКПД2 80+] Услуги по обеспечению безопасности и проведению расследований, [ОКВЭД2 80.20] Деятельность систем обеспечения безопасности</t>
  </si>
  <si>
    <t>3525144985</t>
  </si>
  <si>
    <t>0330100013119000055</t>
  </si>
  <si>
    <t>3525182420</t>
  </si>
  <si>
    <t>100308311119000015</t>
  </si>
  <si>
    <t>701757</t>
  </si>
  <si>
    <t>0301300063519000042</t>
  </si>
  <si>
    <t>5609078034</t>
  </si>
  <si>
    <t>31907860364</t>
  </si>
  <si>
    <t>GEO13051900001</t>
  </si>
  <si>
    <t>GEO13051900002</t>
  </si>
  <si>
    <t>0711011320</t>
  </si>
  <si>
    <t>100108093219000030</t>
  </si>
  <si>
    <t>0135300003819000125</t>
  </si>
  <si>
    <t>3904611256</t>
  </si>
  <si>
    <t>2507011405</t>
  </si>
  <si>
    <t>0120100005419000008</t>
  </si>
  <si>
    <t>Лесозаводск</t>
  </si>
  <si>
    <t>31907856605</t>
  </si>
  <si>
    <t>7728399986</t>
  </si>
  <si>
    <t>0120100005419000007</t>
  </si>
  <si>
    <t>ATOM08051900180</t>
  </si>
  <si>
    <t>1250334</t>
  </si>
  <si>
    <t>0332200013719000046</t>
  </si>
  <si>
    <t>5259116386</t>
  </si>
  <si>
    <t>5110003363</t>
  </si>
  <si>
    <t>100020870219000003</t>
  </si>
  <si>
    <t>7733012419</t>
  </si>
  <si>
    <t>0373100102019000012</t>
  </si>
  <si>
    <t>7736531814</t>
  </si>
  <si>
    <t>5016017457</t>
  </si>
  <si>
    <t>2628016895</t>
  </si>
  <si>
    <t>100297557219000042</t>
  </si>
  <si>
    <t>2126002384</t>
  </si>
  <si>
    <t>0115200001119001291</t>
  </si>
  <si>
    <t>2130117998</t>
  </si>
  <si>
    <t>100285772119000011</t>
  </si>
  <si>
    <t>ГП905349</t>
  </si>
  <si>
    <t>0818300003619000013</t>
  </si>
  <si>
    <t>2920005363</t>
  </si>
  <si>
    <t>0324200027819000010</t>
  </si>
  <si>
    <t>Плесецкий район</t>
  </si>
  <si>
    <t>290117391849</t>
  </si>
  <si>
    <t>2920015026</t>
  </si>
  <si>
    <t>2919007567</t>
  </si>
  <si>
    <t>2920013396</t>
  </si>
  <si>
    <t>5620006940</t>
  </si>
  <si>
    <t>0153300052819000059</t>
  </si>
  <si>
    <t>0171300012019000018</t>
  </si>
  <si>
    <t>Переславский район</t>
  </si>
  <si>
    <t>31907856119</t>
  </si>
  <si>
    <t>5620007037</t>
  </si>
  <si>
    <t>0153300052819000060</t>
  </si>
  <si>
    <t>5620006107</t>
  </si>
  <si>
    <t>0153300052819000057</t>
  </si>
  <si>
    <t>5620006971</t>
  </si>
  <si>
    <t>0153300052819000056</t>
  </si>
  <si>
    <t>5620007005</t>
  </si>
  <si>
    <t>0153300052819000058</t>
  </si>
  <si>
    <t>2437261631</t>
  </si>
  <si>
    <t>31907855430</t>
  </si>
  <si>
    <t>Туруханский район</t>
  </si>
  <si>
    <t>7705454461</t>
  </si>
  <si>
    <t>31907855542</t>
  </si>
  <si>
    <t>[ОКПД2 62+] Продукты программные и услуги по разработке программного обеспечения; консультационные и аналогичные услуги в области информационных технологий, [ОКВЭД2 62+] Разработка компьютерного программного обеспечения, консультационные услуги в данной области и другие сопутствующие услуги</t>
  </si>
  <si>
    <t>31907854329</t>
  </si>
  <si>
    <t>0373200107419000128</t>
  </si>
  <si>
    <t>9723044750</t>
  </si>
  <si>
    <t>5047031229</t>
  </si>
  <si>
    <t>5034055078</t>
  </si>
  <si>
    <t>7743241721</t>
  </si>
  <si>
    <t>7725415206</t>
  </si>
  <si>
    <t>7702444610</t>
  </si>
  <si>
    <t>1250039</t>
  </si>
  <si>
    <t>УБ2019-0057(АО)</t>
  </si>
  <si>
    <t>ATOM08051900118</t>
  </si>
  <si>
    <t>2328005589</t>
  </si>
  <si>
    <t>0318300163419000153</t>
  </si>
  <si>
    <t>2311165305</t>
  </si>
  <si>
    <t>235206396342</t>
  </si>
  <si>
    <t>5615007105</t>
  </si>
  <si>
    <t>0153300060619000160</t>
  </si>
  <si>
    <t>5616011030</t>
  </si>
  <si>
    <t>РН917582</t>
  </si>
  <si>
    <t>1419002174</t>
  </si>
  <si>
    <t>0316100004319000017</t>
  </si>
  <si>
    <t>Вилюйский улус</t>
  </si>
  <si>
    <t>7705035037</t>
  </si>
  <si>
    <t>31907854604</t>
  </si>
  <si>
    <t>8602002521</t>
  </si>
  <si>
    <t>0387200017519000005</t>
  </si>
  <si>
    <t>860319451569</t>
  </si>
  <si>
    <t>8615005135</t>
  </si>
  <si>
    <t>861703043049</t>
  </si>
  <si>
    <t>2801178840</t>
  </si>
  <si>
    <t>100126186219000033</t>
  </si>
  <si>
    <t>1648006283</t>
  </si>
  <si>
    <t>0711200004619000006</t>
  </si>
  <si>
    <t>Зеленодольск</t>
  </si>
  <si>
    <t>1216013798</t>
  </si>
  <si>
    <t>5902291011</t>
  </si>
  <si>
    <t>0356100015419000034</t>
  </si>
  <si>
    <t>5905225112</t>
  </si>
  <si>
    <t>5905284767</t>
  </si>
  <si>
    <t>6616002398</t>
  </si>
  <si>
    <t>31907853094</t>
  </si>
  <si>
    <t>[ОКПД2 33.20] Услуги по монтажу промышленных машин и оборудования, [ОКПД2 26.30] Оборудование коммуникационное, [ОКВЭД2 33.20] Монтаж промышленных машин и оборудования, [ОКВЭД2 26.30] Производство коммуникационного оборудования</t>
  </si>
  <si>
    <t>6670342603</t>
  </si>
  <si>
    <t>2812004958</t>
  </si>
  <si>
    <t>0123200000319001243</t>
  </si>
  <si>
    <t>280400526690</t>
  </si>
  <si>
    <t>280104276313</t>
  </si>
  <si>
    <t>2801018229</t>
  </si>
  <si>
    <t>100073151219000009</t>
  </si>
  <si>
    <t>РН917454</t>
  </si>
  <si>
    <t>31907852515</t>
  </si>
  <si>
    <t>0139100001519000053</t>
  </si>
  <si>
    <t>31907852514</t>
  </si>
  <si>
    <t>0162300005319001784</t>
  </si>
  <si>
    <t>31907852388</t>
  </si>
  <si>
    <t>5321143560</t>
  </si>
  <si>
    <t>7105521469</t>
  </si>
  <si>
    <t>0366200035619002399</t>
  </si>
  <si>
    <t>7718766718</t>
  </si>
  <si>
    <t>31907852145</t>
  </si>
  <si>
    <t>7806327798</t>
  </si>
  <si>
    <t>8605021794</t>
  </si>
  <si>
    <t>0149200002319002645</t>
  </si>
  <si>
    <t>1805004049</t>
  </si>
  <si>
    <t>0113300025319000088</t>
  </si>
  <si>
    <t>1829010605</t>
  </si>
  <si>
    <t>6501102710</t>
  </si>
  <si>
    <t>31907848977</t>
  </si>
  <si>
    <t>6501254127</t>
  </si>
  <si>
    <t>6501269719</t>
  </si>
  <si>
    <t>7453320202</t>
  </si>
  <si>
    <t>31907850375</t>
  </si>
  <si>
    <t>7727015468</t>
  </si>
  <si>
    <t>100314322219000011</t>
  </si>
  <si>
    <t>8608000601</t>
  </si>
  <si>
    <t>818505</t>
  </si>
  <si>
    <t>100076152119000005</t>
  </si>
  <si>
    <t>31907851106</t>
  </si>
  <si>
    <t>7736663049</t>
  </si>
  <si>
    <t>31907850102</t>
  </si>
  <si>
    <t>700149</t>
  </si>
  <si>
    <t>5820001635</t>
  </si>
  <si>
    <t>100063594219000001</t>
  </si>
  <si>
    <t>Лопатинский район</t>
  </si>
  <si>
    <t>1901045802</t>
  </si>
  <si>
    <t>0380100004519000048</t>
  </si>
  <si>
    <t>1901076173</t>
  </si>
  <si>
    <t>31907849573</t>
  </si>
  <si>
    <t>[ОКПД2 42.22] Сооружения и строительные работы по строительству коммунальных объектов для электроснабжения и связи, [ОКВЭД2 42.22] Строительство коммунальных объектов для обеспечения электроэнергией и телекоммуникациями</t>
  </si>
  <si>
    <t>0369200027919000011</t>
  </si>
  <si>
    <t>7449098530</t>
  </si>
  <si>
    <t>7415095242</t>
  </si>
  <si>
    <t>100193569219000012</t>
  </si>
  <si>
    <t>Николаевск-на-Амуре</t>
  </si>
  <si>
    <t>2128703040</t>
  </si>
  <si>
    <t>817590</t>
  </si>
  <si>
    <t>Моргаушский район</t>
  </si>
  <si>
    <t>0373100077619000020</t>
  </si>
  <si>
    <t>7701014621</t>
  </si>
  <si>
    <t>6820022059</t>
  </si>
  <si>
    <t>0164300000319000009</t>
  </si>
  <si>
    <t>Тамбовский район</t>
  </si>
  <si>
    <t>5752049080</t>
  </si>
  <si>
    <t>6829098510</t>
  </si>
  <si>
    <t>305986</t>
  </si>
  <si>
    <t>7226004810</t>
  </si>
  <si>
    <t>31907848623</t>
  </si>
  <si>
    <t>7215009630</t>
  </si>
  <si>
    <t>7207011682</t>
  </si>
  <si>
    <t>7215000613</t>
  </si>
  <si>
    <t>100076152119000004</t>
  </si>
  <si>
    <t>6730010852</t>
  </si>
  <si>
    <t>0163300029419000444</t>
  </si>
  <si>
    <t>5258016163</t>
  </si>
  <si>
    <t>0332300274319000049</t>
  </si>
  <si>
    <t>5262352785</t>
  </si>
  <si>
    <t>5260365965</t>
  </si>
  <si>
    <t>0155100005419000042</t>
  </si>
  <si>
    <t>5029112443</t>
  </si>
  <si>
    <t>2551105</t>
  </si>
  <si>
    <t>0118100000619000020</t>
  </si>
  <si>
    <t>0324300028019000030</t>
  </si>
  <si>
    <t>COM07051900030</t>
  </si>
  <si>
    <t>6603009692</t>
  </si>
  <si>
    <t>0362300277919000008</t>
  </si>
  <si>
    <t>6679103511</t>
  </si>
  <si>
    <t>5903138746</t>
  </si>
  <si>
    <t>0324300028019000029</t>
  </si>
  <si>
    <t>5753017683</t>
  </si>
  <si>
    <t>0154100005919000084</t>
  </si>
  <si>
    <t>0154100005919000085</t>
  </si>
  <si>
    <t>0316100004319000015</t>
  </si>
  <si>
    <t>Нюрбинский улус</t>
  </si>
  <si>
    <t>2311024047</t>
  </si>
  <si>
    <t>100169266219000004</t>
  </si>
  <si>
    <t>0316100004319000016</t>
  </si>
  <si>
    <t>Сунтарский улус</t>
  </si>
  <si>
    <t>2315024369</t>
  </si>
  <si>
    <t>31907848075</t>
  </si>
  <si>
    <t>31907848090</t>
  </si>
  <si>
    <t>100017765219000030</t>
  </si>
  <si>
    <t>31907847813</t>
  </si>
  <si>
    <t>5402155123</t>
  </si>
  <si>
    <t>0351200003319001103</t>
  </si>
  <si>
    <t>5406671680</t>
  </si>
  <si>
    <t>5407042356</t>
  </si>
  <si>
    <t>0863400000819000008</t>
  </si>
  <si>
    <t>5258094179</t>
  </si>
  <si>
    <t>0332100054119000043</t>
  </si>
  <si>
    <t>31907847536</t>
  </si>
  <si>
    <t>7451990794</t>
  </si>
  <si>
    <t>2069500000119000090</t>
  </si>
  <si>
    <t>7453196844</t>
  </si>
  <si>
    <t>2069500000119000089</t>
  </si>
  <si>
    <t>4101059907</t>
  </si>
  <si>
    <t>0338200005119000099</t>
  </si>
  <si>
    <t>4101175357</t>
  </si>
  <si>
    <t>100107798219000129</t>
  </si>
  <si>
    <t>31907846548</t>
  </si>
  <si>
    <t>100107798219000130</t>
  </si>
  <si>
    <t>7842332680</t>
  </si>
  <si>
    <t>31907846508</t>
  </si>
  <si>
    <t>7720005291</t>
  </si>
  <si>
    <t>6501106390</t>
  </si>
  <si>
    <t>0361200010219000003</t>
  </si>
  <si>
    <t>3250055537</t>
  </si>
  <si>
    <t>100095541219000011</t>
  </si>
  <si>
    <t>7704706758</t>
  </si>
  <si>
    <t>100067307219000015</t>
  </si>
  <si>
    <t>100095541219000012</t>
  </si>
  <si>
    <t>100107798219000099</t>
  </si>
  <si>
    <t>3834016035</t>
  </si>
  <si>
    <t>0134300005219000029</t>
  </si>
  <si>
    <t>Нижнеилимский район</t>
  </si>
  <si>
    <t>6623003787</t>
  </si>
  <si>
    <t>0362200040619000017</t>
  </si>
  <si>
    <t>0263005016</t>
  </si>
  <si>
    <t>100289471219000015</t>
  </si>
  <si>
    <t>8300003600</t>
  </si>
  <si>
    <t>814643</t>
  </si>
  <si>
    <t>6632014048</t>
  </si>
  <si>
    <t>0362200055819000019</t>
  </si>
  <si>
    <t>Серов</t>
  </si>
  <si>
    <t>6674179108</t>
  </si>
  <si>
    <t>663211645216</t>
  </si>
  <si>
    <t>1901066489</t>
  </si>
  <si>
    <t>0380100002119000013</t>
  </si>
  <si>
    <t>1901108410</t>
  </si>
  <si>
    <t>100242027219000016</t>
  </si>
  <si>
    <t>5422112255</t>
  </si>
  <si>
    <t>0851600003519000240</t>
  </si>
  <si>
    <t>31907844810</t>
  </si>
  <si>
    <t>7731063560</t>
  </si>
  <si>
    <t>0373200061319000026</t>
  </si>
  <si>
    <t>7707701701</t>
  </si>
  <si>
    <t>0387200027519000033</t>
  </si>
  <si>
    <t>5075011457</t>
  </si>
  <si>
    <t>699183</t>
  </si>
  <si>
    <t>1247338</t>
  </si>
  <si>
    <t>100242027219000015</t>
  </si>
  <si>
    <t>100242027219000014</t>
  </si>
  <si>
    <t>5426103928</t>
  </si>
  <si>
    <t>814015</t>
  </si>
  <si>
    <t>4101128090</t>
  </si>
  <si>
    <t>100095044219000004</t>
  </si>
  <si>
    <t>100309355219000006</t>
  </si>
  <si>
    <t>100292266219000013</t>
  </si>
  <si>
    <t>COM05051900012</t>
  </si>
  <si>
    <t>0114200000119000649</t>
  </si>
  <si>
    <t>2019-705582</t>
  </si>
  <si>
    <t>2019-704631</t>
  </si>
  <si>
    <t>4200000333</t>
  </si>
  <si>
    <t>COM03051900003</t>
  </si>
  <si>
    <t>COM03051900004</t>
  </si>
  <si>
    <t>COM03051900002</t>
  </si>
  <si>
    <t>0351300071819000199</t>
  </si>
  <si>
    <t>5406718793</t>
  </si>
  <si>
    <t>813483</t>
  </si>
  <si>
    <t>0351300071819000200</t>
  </si>
  <si>
    <t>5452111996</t>
  </si>
  <si>
    <t>2019-703931</t>
  </si>
  <si>
    <t>2983003930</t>
  </si>
  <si>
    <t>0184300000419000059</t>
  </si>
  <si>
    <t>Андегский</t>
  </si>
  <si>
    <t>1121014176</t>
  </si>
  <si>
    <t>298302280898</t>
  </si>
  <si>
    <t>2263006905</t>
  </si>
  <si>
    <t>0317300025019000147</t>
  </si>
  <si>
    <t>227702068258</t>
  </si>
  <si>
    <t>31907842916</t>
  </si>
  <si>
    <t>7705043493</t>
  </si>
  <si>
    <t>31907843027</t>
  </si>
  <si>
    <t>[ОКПД2 62.03] Услуги по управлению компьютерным оборудованием, [ОКВЭД2 80.20] Деятельность систем обеспечения безопасности</t>
  </si>
  <si>
    <t>2129039079</t>
  </si>
  <si>
    <t>813161</t>
  </si>
  <si>
    <t>7730688625</t>
  </si>
  <si>
    <t>0373200014219000559</t>
  </si>
  <si>
    <t>7801249881</t>
  </si>
  <si>
    <t>7729760683</t>
  </si>
  <si>
    <t>0373200014219000554</t>
  </si>
  <si>
    <t>7729785938</t>
  </si>
  <si>
    <t>0373200014219000561</t>
  </si>
  <si>
    <t>7726373260</t>
  </si>
  <si>
    <t>0345200013319000014</t>
  </si>
  <si>
    <t>31907840243</t>
  </si>
  <si>
    <t>3233004155</t>
  </si>
  <si>
    <t>31907841841</t>
  </si>
  <si>
    <t>0101300031319000126</t>
  </si>
  <si>
    <t>0268078184</t>
  </si>
  <si>
    <t>31907838153</t>
  </si>
  <si>
    <t>[ОКПД2 90.01] Услуги в области исполнительских искусств, [ОКВЭД2 90.01] Деятельность в области исполнительских искусств</t>
  </si>
  <si>
    <t>6164266561</t>
  </si>
  <si>
    <t>31907840917</t>
  </si>
  <si>
    <t>3444157111</t>
  </si>
  <si>
    <t>0816007561</t>
  </si>
  <si>
    <t>3447013679</t>
  </si>
  <si>
    <t>0367100012019000010</t>
  </si>
  <si>
    <t>5633005301</t>
  </si>
  <si>
    <t>0353300038819000001</t>
  </si>
  <si>
    <t>0367100012019000009</t>
  </si>
  <si>
    <t>0105028229</t>
  </si>
  <si>
    <t>0176100004319000048</t>
  </si>
  <si>
    <t>233006275202</t>
  </si>
  <si>
    <t>5042078960</t>
  </si>
  <si>
    <t>0348200056319000015</t>
  </si>
  <si>
    <t>5029174418</t>
  </si>
  <si>
    <t>504200021224</t>
  </si>
  <si>
    <t>100020870119000004</t>
  </si>
  <si>
    <t>2801010011</t>
  </si>
  <si>
    <t>31907835858</t>
  </si>
  <si>
    <t>7804029740</t>
  </si>
  <si>
    <t>0372200275619000040</t>
  </si>
  <si>
    <t>7707216310</t>
  </si>
  <si>
    <t>7802496234</t>
  </si>
  <si>
    <t>7841344010</t>
  </si>
  <si>
    <t>5222011940</t>
  </si>
  <si>
    <t>0332100009819000038</t>
  </si>
  <si>
    <t>3016032540</t>
  </si>
  <si>
    <t>100202008219000026</t>
  </si>
  <si>
    <t>31907839358</t>
  </si>
  <si>
    <t>[ОКПД2 26.51] Оборудование для измерения, испытаний и навигации, [ОКВЭД2 26.30] Производство коммуникационного оборудования</t>
  </si>
  <si>
    <t>7801410107</t>
  </si>
  <si>
    <t>9729069536</t>
  </si>
  <si>
    <t>7816570569</t>
  </si>
  <si>
    <t>5919000133</t>
  </si>
  <si>
    <t>100210923219000016</t>
  </si>
  <si>
    <t>7805128038</t>
  </si>
  <si>
    <t>31907839483</t>
  </si>
  <si>
    <t>7725778344</t>
  </si>
  <si>
    <t>31907838918</t>
  </si>
  <si>
    <t>5407958607</t>
  </si>
  <si>
    <t>0151400000119000025</t>
  </si>
  <si>
    <t>7720700577</t>
  </si>
  <si>
    <t>2325008670</t>
  </si>
  <si>
    <t>100020000219000002</t>
  </si>
  <si>
    <t>Апшеронский район</t>
  </si>
  <si>
    <t>0825300004219000059</t>
  </si>
  <si>
    <t>7734003657</t>
  </si>
  <si>
    <t>31907838858</t>
  </si>
  <si>
    <t>7327039672</t>
  </si>
  <si>
    <t>0825300004219000061</t>
  </si>
  <si>
    <t>5034084209</t>
  </si>
  <si>
    <t>698515</t>
  </si>
  <si>
    <t>6832041909</t>
  </si>
  <si>
    <t>31907839151</t>
  </si>
  <si>
    <t>6832038984</t>
  </si>
  <si>
    <t>3701001537</t>
  </si>
  <si>
    <t>0133300025319000007</t>
  </si>
  <si>
    <t>3701007070</t>
  </si>
  <si>
    <t>31907839094</t>
  </si>
  <si>
    <t>1651000034</t>
  </si>
  <si>
    <t>306160</t>
  </si>
  <si>
    <t>31907838345</t>
  </si>
  <si>
    <t>0825300004219000062</t>
  </si>
  <si>
    <t>0887100002219000005</t>
  </si>
  <si>
    <t>5052017452</t>
  </si>
  <si>
    <t>698470</t>
  </si>
  <si>
    <t>Фрязино</t>
  </si>
  <si>
    <t>8617018757</t>
  </si>
  <si>
    <t>0187300014719000339</t>
  </si>
  <si>
    <t>6658516123</t>
  </si>
  <si>
    <t>7711027436</t>
  </si>
  <si>
    <t>0573100025919000123</t>
  </si>
  <si>
    <t>4345372913</t>
  </si>
  <si>
    <t>7805145410</t>
  </si>
  <si>
    <t>0372200225219000008</t>
  </si>
  <si>
    <t>100314322219000008</t>
  </si>
  <si>
    <t>2318012805</t>
  </si>
  <si>
    <t>0318300446319000001</t>
  </si>
  <si>
    <t>2318041267</t>
  </si>
  <si>
    <t>2309117921</t>
  </si>
  <si>
    <t>9111019853</t>
  </si>
  <si>
    <t>31907837231</t>
  </si>
  <si>
    <t>2002000049</t>
  </si>
  <si>
    <t>0194200000519003783</t>
  </si>
  <si>
    <t>2010003477</t>
  </si>
  <si>
    <t>31907836659</t>
  </si>
  <si>
    <t>2501007000</t>
  </si>
  <si>
    <t>100005631219000002</t>
  </si>
  <si>
    <t>31907836616</t>
  </si>
  <si>
    <t>0139200000119002842</t>
  </si>
  <si>
    <t>6905003496</t>
  </si>
  <si>
    <t>0136200003619001951</t>
  </si>
  <si>
    <t>6904025426</t>
  </si>
  <si>
    <t>690802211345</t>
  </si>
  <si>
    <t>6454004110</t>
  </si>
  <si>
    <t>31907835699</t>
  </si>
  <si>
    <t>1655010393</t>
  </si>
  <si>
    <t>0311300293819000022</t>
  </si>
  <si>
    <t>0362300231019000110</t>
  </si>
  <si>
    <t>100309431219000015</t>
  </si>
  <si>
    <t>SBR035-190015265400008</t>
  </si>
  <si>
    <t>5406228816</t>
  </si>
  <si>
    <t>810132</t>
  </si>
  <si>
    <t>5436109069</t>
  </si>
  <si>
    <t>810102</t>
  </si>
  <si>
    <t>5436108428</t>
  </si>
  <si>
    <t>810035</t>
  </si>
  <si>
    <t>5436109125</t>
  </si>
  <si>
    <t>810062</t>
  </si>
  <si>
    <t>810077</t>
  </si>
  <si>
    <t>2019-703494</t>
  </si>
  <si>
    <t>31907833037</t>
  </si>
  <si>
    <t>7448178159</t>
  </si>
  <si>
    <t>7448192428</t>
  </si>
  <si>
    <t>1604010275</t>
  </si>
  <si>
    <t>BP00276298</t>
  </si>
  <si>
    <t>3015012734</t>
  </si>
  <si>
    <t>BP00276315</t>
  </si>
  <si>
    <t>5028017081</t>
  </si>
  <si>
    <t>698133</t>
  </si>
  <si>
    <t>7736093127</t>
  </si>
  <si>
    <t>31907834839</t>
  </si>
  <si>
    <t>5610151560</t>
  </si>
  <si>
    <t>561500087885</t>
  </si>
  <si>
    <t>5017048426</t>
  </si>
  <si>
    <t>698091</t>
  </si>
  <si>
    <t>[ОКПД2 26.70] Приборы оптические и фотографическое оборудование, [ОКПД2 26.20] Компьютеры и периферийное оборудование</t>
  </si>
  <si>
    <t>5022031202</t>
  </si>
  <si>
    <t>698062</t>
  </si>
  <si>
    <t>8605015430</t>
  </si>
  <si>
    <t>0387200001819000028</t>
  </si>
  <si>
    <t>8605021762</t>
  </si>
  <si>
    <t>8605017357</t>
  </si>
  <si>
    <t>1245806</t>
  </si>
  <si>
    <t>1245844</t>
  </si>
  <si>
    <t>306078</t>
  </si>
  <si>
    <t>0184300000419000060</t>
  </si>
  <si>
    <t>Приморско-Куйский</t>
  </si>
  <si>
    <t>7704784450</t>
  </si>
  <si>
    <t>31907834083</t>
  </si>
  <si>
    <t>31907833943</t>
  </si>
  <si>
    <t>3435110011</t>
  </si>
  <si>
    <t>0129300016719000146</t>
  </si>
  <si>
    <t>343521159166</t>
  </si>
  <si>
    <t>3661171201</t>
  </si>
  <si>
    <t>2308021656</t>
  </si>
  <si>
    <t>31907834032</t>
  </si>
  <si>
    <t>ATOM29041900271</t>
  </si>
  <si>
    <t>3327102172</t>
  </si>
  <si>
    <t>0128100000119000055</t>
  </si>
  <si>
    <t>3309005465</t>
  </si>
  <si>
    <t>31907832900</t>
  </si>
  <si>
    <t>0318300165719000211</t>
  </si>
  <si>
    <t>5260900490</t>
  </si>
  <si>
    <t>31907833157</t>
  </si>
  <si>
    <t>[ОКПД2 35.22] Услуги по распределению газообразного топлива по трубопроводам, [ОКВЭД2 35.30] Производство, передача и распределение пара и горячей воды; кондиционирование воздуха</t>
  </si>
  <si>
    <t>1102054991</t>
  </si>
  <si>
    <t>31907833233</t>
  </si>
  <si>
    <t>5618000771</t>
  </si>
  <si>
    <t>0353300035719000007</t>
  </si>
  <si>
    <t>Ясный</t>
  </si>
  <si>
    <t>31907833338</t>
  </si>
  <si>
    <t>7804465619</t>
  </si>
  <si>
    <t>7801180206</t>
  </si>
  <si>
    <t>7810204206</t>
  </si>
  <si>
    <t>0372100009919000032</t>
  </si>
  <si>
    <t>7816645711</t>
  </si>
  <si>
    <t>7839002386</t>
  </si>
  <si>
    <t>100156607219000001</t>
  </si>
  <si>
    <t>0372100009919000031</t>
  </si>
  <si>
    <t>7716099554</t>
  </si>
  <si>
    <t>0373200087819000121</t>
  </si>
  <si>
    <t>7719422854</t>
  </si>
  <si>
    <t>560301447718</t>
  </si>
  <si>
    <t>ATOM29041900186</t>
  </si>
  <si>
    <t>6153010127</t>
  </si>
  <si>
    <t>809202</t>
  </si>
  <si>
    <t>[ОКПД2 78.30] Услуги в области трудовых ресурсов по обеспечению персоналом прочие</t>
  </si>
  <si>
    <t>5028017324</t>
  </si>
  <si>
    <t>697799</t>
  </si>
  <si>
    <t>100044848219000001</t>
  </si>
  <si>
    <t>0268029910</t>
  </si>
  <si>
    <t>0101300031319000122</t>
  </si>
  <si>
    <t>744302621447</t>
  </si>
  <si>
    <t>7717784658</t>
  </si>
  <si>
    <t>0387200001819000027</t>
  </si>
  <si>
    <t>8601049622</t>
  </si>
  <si>
    <t>3702065237</t>
  </si>
  <si>
    <t>100061781219000012</t>
  </si>
  <si>
    <t>697773</t>
  </si>
  <si>
    <t>697733</t>
  </si>
  <si>
    <t>100061781219000011</t>
  </si>
  <si>
    <t>3906976260</t>
  </si>
  <si>
    <t>0135200000519001549</t>
  </si>
  <si>
    <t>3905004021</t>
  </si>
  <si>
    <t>5044013246</t>
  </si>
  <si>
    <t>0348100009519000077</t>
  </si>
  <si>
    <t>7724948466</t>
  </si>
  <si>
    <t>7726606316</t>
  </si>
  <si>
    <t>ATOM29041900159</t>
  </si>
  <si>
    <t>СРБ2019-0038(ЗКО)</t>
  </si>
  <si>
    <t>100281257219000101</t>
  </si>
  <si>
    <t>Родниковский район</t>
  </si>
  <si>
    <t>0362200032319000082</t>
  </si>
  <si>
    <t>0326006110</t>
  </si>
  <si>
    <t>31907828817</t>
  </si>
  <si>
    <t>[ОКПД2 33.20] Услуги по монтажу промышленных машин и оборудования, [ОКВЭД2 33.14] Ремонт электрического оборудования</t>
  </si>
  <si>
    <t>0123300036919000027</t>
  </si>
  <si>
    <t>7801486561</t>
  </si>
  <si>
    <t>0372200227019000008</t>
  </si>
  <si>
    <t>7811568703</t>
  </si>
  <si>
    <t>7839058004</t>
  </si>
  <si>
    <t>3015083460</t>
  </si>
  <si>
    <t>100293022219000025</t>
  </si>
  <si>
    <t>5816004746</t>
  </si>
  <si>
    <t>100236609219000005</t>
  </si>
  <si>
    <t>Камешкирский район</t>
  </si>
  <si>
    <t>31907831235</t>
  </si>
  <si>
    <t>0301200034719000117</t>
  </si>
  <si>
    <t>0274167900</t>
  </si>
  <si>
    <t>31907830571</t>
  </si>
  <si>
    <t>[ОКПД2 43.12] Работы по подготовке строительной площадки, [ОКВЭД2 43.12] Подготовка строительной площадки</t>
  </si>
  <si>
    <t>7801136704</t>
  </si>
  <si>
    <t>0372200241019000007</t>
  </si>
  <si>
    <t>697362</t>
  </si>
  <si>
    <t>0150100004219000091</t>
  </si>
  <si>
    <t>5321070665</t>
  </si>
  <si>
    <t>6027090059</t>
  </si>
  <si>
    <t>5321168678</t>
  </si>
  <si>
    <t>5321122560</t>
  </si>
  <si>
    <t>7805145428</t>
  </si>
  <si>
    <t>0372200272219000007</t>
  </si>
  <si>
    <t>7811624242</t>
  </si>
  <si>
    <t>2452011266</t>
  </si>
  <si>
    <t>31907828327</t>
  </si>
  <si>
    <t>5030032136</t>
  </si>
  <si>
    <t>697291</t>
  </si>
  <si>
    <t>0817200000319003701</t>
  </si>
  <si>
    <t>Локтевский район</t>
  </si>
  <si>
    <t>4501112954</t>
  </si>
  <si>
    <t>0143100012119000021</t>
  </si>
  <si>
    <t>5027093107</t>
  </si>
  <si>
    <t>0148300021219000173</t>
  </si>
  <si>
    <t>7720270028</t>
  </si>
  <si>
    <t>0373200578319000024</t>
  </si>
  <si>
    <t>6504043879</t>
  </si>
  <si>
    <t>31907827892</t>
  </si>
  <si>
    <t>Корсаков</t>
  </si>
  <si>
    <t>6501273200</t>
  </si>
  <si>
    <t>6501171329</t>
  </si>
  <si>
    <t>5701000872</t>
  </si>
  <si>
    <t>0154300014619000193</t>
  </si>
  <si>
    <t>0562044550</t>
  </si>
  <si>
    <t>0103200008419002773</t>
  </si>
  <si>
    <t>0500000030</t>
  </si>
  <si>
    <t>100254132219000018</t>
  </si>
  <si>
    <t>1101481905</t>
  </si>
  <si>
    <t>0307100013619000019</t>
  </si>
  <si>
    <t>6669009453</t>
  </si>
  <si>
    <t>0362100009419000015</t>
  </si>
  <si>
    <t>0362100009419000016</t>
  </si>
  <si>
    <t>7313002810</t>
  </si>
  <si>
    <t>100112315219000003</t>
  </si>
  <si>
    <t>Новоспасский район</t>
  </si>
  <si>
    <t>5433108116</t>
  </si>
  <si>
    <t>806252</t>
  </si>
  <si>
    <t>Новосибирский район</t>
  </si>
  <si>
    <t>COM29041900034</t>
  </si>
  <si>
    <t>31907827149</t>
  </si>
  <si>
    <t>2019-702875</t>
  </si>
  <si>
    <t>31907820961</t>
  </si>
  <si>
    <t>7838017541</t>
  </si>
  <si>
    <t>31907836416</t>
  </si>
  <si>
    <t>7801372807</t>
  </si>
  <si>
    <t>7801433915</t>
  </si>
  <si>
    <t>7811520540</t>
  </si>
  <si>
    <t>0373200577519000017</t>
  </si>
  <si>
    <t>805992</t>
  </si>
  <si>
    <t>31907824501</t>
  </si>
  <si>
    <t>5405025355</t>
  </si>
  <si>
    <t>0411161678</t>
  </si>
  <si>
    <t>31907827192</t>
  </si>
  <si>
    <t>6944005338</t>
  </si>
  <si>
    <t>0136300015119000026</t>
  </si>
  <si>
    <t>6943000915</t>
  </si>
  <si>
    <t>0608018202</t>
  </si>
  <si>
    <t>0114200000119000587</t>
  </si>
  <si>
    <t>4704019710</t>
  </si>
  <si>
    <t>0345100008819000041</t>
  </si>
  <si>
    <t>4704050809</t>
  </si>
  <si>
    <t>4704047884</t>
  </si>
  <si>
    <t>3123046385</t>
  </si>
  <si>
    <t>0126100003319000035</t>
  </si>
  <si>
    <t>1650050120</t>
  </si>
  <si>
    <t>0311100002719000005</t>
  </si>
  <si>
    <t>1659155777</t>
  </si>
  <si>
    <t>1650303692</t>
  </si>
  <si>
    <t>1655219758</t>
  </si>
  <si>
    <t>2460066149</t>
  </si>
  <si>
    <t>31907824718</t>
  </si>
  <si>
    <t>[ОКПД2 71.12] Услуги в области инженерно-технического проектирования и связанные технические консультативные услуги, [ОКВЭД2 74.9+] Деятельность профессиональная, научная и техническая прочая, не включенная в другие группировки</t>
  </si>
  <si>
    <t>7708004929</t>
  </si>
  <si>
    <t>0373200172419000029</t>
  </si>
  <si>
    <t>6950217933</t>
  </si>
  <si>
    <t>2311196279</t>
  </si>
  <si>
    <t>100133368219000006</t>
  </si>
  <si>
    <t>0174200005319000009</t>
  </si>
  <si>
    <t>7718009316</t>
  </si>
  <si>
    <t>7818010410</t>
  </si>
  <si>
    <t>0372200010319000025</t>
  </si>
  <si>
    <t>[ОКПД2 43.21] Работы электромонтажные, [ОКПД2 33.20] Услуги по монтажу промышленных машин и оборудования</t>
  </si>
  <si>
    <t>7802829892</t>
  </si>
  <si>
    <t>7702358248</t>
  </si>
  <si>
    <t>0373100000819000023</t>
  </si>
  <si>
    <t>5404428591</t>
  </si>
  <si>
    <t>0151100013019000058</t>
  </si>
  <si>
    <t>6439030644</t>
  </si>
  <si>
    <t>31907825368</t>
  </si>
  <si>
    <t>6439079833</t>
  </si>
  <si>
    <t>0358100011819000065</t>
  </si>
  <si>
    <t>6164114985</t>
  </si>
  <si>
    <t>5109954</t>
  </si>
  <si>
    <t>0139100001519000048</t>
  </si>
  <si>
    <t>0339100001519000127</t>
  </si>
  <si>
    <t>422110804450</t>
  </si>
  <si>
    <t>ДВБ2019-0043(ЗПО)</t>
  </si>
  <si>
    <t>8901004862</t>
  </si>
  <si>
    <t>0190200000319005225</t>
  </si>
  <si>
    <t>5451006999</t>
  </si>
  <si>
    <t>8901028084</t>
  </si>
  <si>
    <t>SBR016-1904260004</t>
  </si>
  <si>
    <t>8601030861</t>
  </si>
  <si>
    <t>804721</t>
  </si>
  <si>
    <t>7801140073</t>
  </si>
  <si>
    <t>0372200177719000008</t>
  </si>
  <si>
    <t>7839466444</t>
  </si>
  <si>
    <t>9725003044</t>
  </si>
  <si>
    <t>100164096219000002</t>
  </si>
  <si>
    <t>5038053723</t>
  </si>
  <si>
    <t>31907823670</t>
  </si>
  <si>
    <t>7722678655</t>
  </si>
  <si>
    <t>5003107449</t>
  </si>
  <si>
    <t>7901525782</t>
  </si>
  <si>
    <t>0378300000119000028</t>
  </si>
  <si>
    <t>6438004680</t>
  </si>
  <si>
    <t>0160300046219000037</t>
  </si>
  <si>
    <t>Аткарск</t>
  </si>
  <si>
    <t>0721009680</t>
  </si>
  <si>
    <t>100261581219000006</t>
  </si>
  <si>
    <t>0187300015619000077</t>
  </si>
  <si>
    <t>8602264319</t>
  </si>
  <si>
    <t>8602270182</t>
  </si>
  <si>
    <t>7822005614</t>
  </si>
  <si>
    <t>0372200241319000013</t>
  </si>
  <si>
    <t>780701961309</t>
  </si>
  <si>
    <t>781912465090</t>
  </si>
  <si>
    <t>5105031492</t>
  </si>
  <si>
    <t>31907822321</t>
  </si>
  <si>
    <t>0372200241319000012</t>
  </si>
  <si>
    <t>6829010185</t>
  </si>
  <si>
    <t>100224777219000018</t>
  </si>
  <si>
    <t>100255122219000041</t>
  </si>
  <si>
    <t>803707</t>
  </si>
  <si>
    <t>6163046411</t>
  </si>
  <si>
    <t>0358200010619000090</t>
  </si>
  <si>
    <t>1434031444</t>
  </si>
  <si>
    <t>0116300038819000008</t>
  </si>
  <si>
    <t>31907822352</t>
  </si>
  <si>
    <t>6455039436</t>
  </si>
  <si>
    <t>0160100008319000077</t>
  </si>
  <si>
    <t>6450089024</t>
  </si>
  <si>
    <t>6165218867</t>
  </si>
  <si>
    <t>6455062700</t>
  </si>
  <si>
    <t>8602003388</t>
  </si>
  <si>
    <t>0187300006519000653</t>
  </si>
  <si>
    <t>7203449620</t>
  </si>
  <si>
    <t>100255122219000042</t>
  </si>
  <si>
    <t>31907822402</t>
  </si>
  <si>
    <t>3605002714</t>
  </si>
  <si>
    <t>0331300066119000008</t>
  </si>
  <si>
    <t>Бутурлиновский район</t>
  </si>
  <si>
    <t>803223</t>
  </si>
  <si>
    <t>1101482338</t>
  </si>
  <si>
    <t>0307300005219000142</t>
  </si>
  <si>
    <t>1101204242</t>
  </si>
  <si>
    <t>0411175222</t>
  </si>
  <si>
    <t>0177200000919000745</t>
  </si>
  <si>
    <t>2227002221</t>
  </si>
  <si>
    <t>7706757331</t>
  </si>
  <si>
    <t>ATOM26041900013</t>
  </si>
  <si>
    <t>7017068803</t>
  </si>
  <si>
    <t>802758</t>
  </si>
  <si>
    <t>19/464-5</t>
  </si>
  <si>
    <t>2129009412</t>
  </si>
  <si>
    <t>31907818252</t>
  </si>
  <si>
    <t>802535</t>
  </si>
  <si>
    <t>31907820623</t>
  </si>
  <si>
    <t>[ОКПД2 63.11] Услуги по обработке данных, размещению и взаимосвязанные услуги, [ОКВЭД2 63+] Деятельность в области информационных технологий</t>
  </si>
  <si>
    <t>7705035012</t>
  </si>
  <si>
    <t>31907820401</t>
  </si>
  <si>
    <t>1243420</t>
  </si>
  <si>
    <t>[ОКПД2 69.10] Услуги юридические</t>
  </si>
  <si>
    <t>31907820301</t>
  </si>
  <si>
    <t>Котлас</t>
  </si>
  <si>
    <t>0318100043419000052</t>
  </si>
  <si>
    <t>7530012861</t>
  </si>
  <si>
    <t>0291100000619000033</t>
  </si>
  <si>
    <t>7516003093</t>
  </si>
  <si>
    <t>100067307119000039</t>
  </si>
  <si>
    <t>5047052620</t>
  </si>
  <si>
    <t>31907820015</t>
  </si>
  <si>
    <t>[ОКПД2 27.90] Оборудование электрическое прочее, [ОКВЭД2 27.9+] Производство прочего электрического оборудования</t>
  </si>
  <si>
    <t>911109537501</t>
  </si>
  <si>
    <t>9198</t>
  </si>
  <si>
    <t>7446040638</t>
  </si>
  <si>
    <t>31907818465</t>
  </si>
  <si>
    <t>7445041854</t>
  </si>
  <si>
    <t>0291100000619000034</t>
  </si>
  <si>
    <t>2460104620</t>
  </si>
  <si>
    <t>0291100000619000032</t>
  </si>
  <si>
    <t>7536124000</t>
  </si>
  <si>
    <t>2511055959</t>
  </si>
  <si>
    <t>31907815502</t>
  </si>
  <si>
    <t>[ОКПД2 81.1+] Услуги по комплексному обслуживанию помещений, [ОКВЭД2 81.1+] Деятельность по комплексному обслуживанию помещений</t>
  </si>
  <si>
    <t>4716024480</t>
  </si>
  <si>
    <t>0145300006319000142</t>
  </si>
  <si>
    <t>Тосно</t>
  </si>
  <si>
    <t>4716017933</t>
  </si>
  <si>
    <t>4716026328</t>
  </si>
  <si>
    <t>31907819582</t>
  </si>
  <si>
    <t>2636003949</t>
  </si>
  <si>
    <t>7809003047</t>
  </si>
  <si>
    <t>31907819123</t>
  </si>
  <si>
    <t>0708003619</t>
  </si>
  <si>
    <t>0304300058919000037</t>
  </si>
  <si>
    <t>[ОКПД2 84.11] Услуги государственного управления общего характера</t>
  </si>
  <si>
    <t>7841312071</t>
  </si>
  <si>
    <t>31907819271</t>
  </si>
  <si>
    <t>31907818745</t>
  </si>
  <si>
    <t>2447012666</t>
  </si>
  <si>
    <t>31907816706</t>
  </si>
  <si>
    <t>[ОКПД2 61.90] Услуги телекоммуникационные прочие, [ОКВЭД2 61.1+] Деятельность в области связи на базе проводных технологий</t>
  </si>
  <si>
    <t>2464073179</t>
  </si>
  <si>
    <t>6153017468</t>
  </si>
  <si>
    <t>801478</t>
  </si>
  <si>
    <t>0851100001919000346</t>
  </si>
  <si>
    <t>5019014535</t>
  </si>
  <si>
    <t>31907818433</t>
  </si>
  <si>
    <t>0917014406</t>
  </si>
  <si>
    <t>31907816938</t>
  </si>
  <si>
    <t>[ОКПД2 43.99] Работы строительные специализированные, не включенные в другие группировки, [ОКВЭД2 43+] Работы строительные специализированные</t>
  </si>
  <si>
    <t>2631054322</t>
  </si>
  <si>
    <t>2631028690</t>
  </si>
  <si>
    <t>7804004400</t>
  </si>
  <si>
    <t>SBR035-190017351300001</t>
  </si>
  <si>
    <t>0304300058919000036</t>
  </si>
  <si>
    <t>4704088721</t>
  </si>
  <si>
    <t>0345300130719000047</t>
  </si>
  <si>
    <t>Выборг</t>
  </si>
  <si>
    <t>7802748795</t>
  </si>
  <si>
    <t>7842509680</t>
  </si>
  <si>
    <t>31907816943</t>
  </si>
  <si>
    <t>5032036954</t>
  </si>
  <si>
    <t>695529</t>
  </si>
  <si>
    <t>[ОКПД2 95.21] Услуги по ремонту приборов бытовой электроники, [ОКПД2 62.01] Продукты программные и услуги по разработке и тестированию программного обеспечения</t>
  </si>
  <si>
    <t>РН988394</t>
  </si>
  <si>
    <t>0372200182019000005</t>
  </si>
  <si>
    <t>470315041334</t>
  </si>
  <si>
    <t>4705036363</t>
  </si>
  <si>
    <t>31907816618</t>
  </si>
  <si>
    <t>5013011425</t>
  </si>
  <si>
    <t>695469</t>
  </si>
  <si>
    <t>2465068887</t>
  </si>
  <si>
    <t>100295970219000039</t>
  </si>
  <si>
    <t>Емельяновский район</t>
  </si>
  <si>
    <t>31907816803</t>
  </si>
  <si>
    <t>9715005363</t>
  </si>
  <si>
    <t>31907816498</t>
  </si>
  <si>
    <t>0150200003919000363</t>
  </si>
  <si>
    <t>31907816269</t>
  </si>
  <si>
    <t>0848300059119000086</t>
  </si>
  <si>
    <t>0150200003919000362</t>
  </si>
  <si>
    <t>7723579329</t>
  </si>
  <si>
    <t>7820020399</t>
  </si>
  <si>
    <t>0372200215119000008</t>
  </si>
  <si>
    <t>7811620600</t>
  </si>
  <si>
    <t>7816545467</t>
  </si>
  <si>
    <t>4826024549</t>
  </si>
  <si>
    <t>0146100004219000068</t>
  </si>
  <si>
    <t>3663107321</t>
  </si>
  <si>
    <t>31907814968</t>
  </si>
  <si>
    <t>5053003847</t>
  </si>
  <si>
    <t>695302</t>
  </si>
  <si>
    <t>2712009367</t>
  </si>
  <si>
    <t>31907814630</t>
  </si>
  <si>
    <t>2703060180</t>
  </si>
  <si>
    <t>100283892219000006</t>
  </si>
  <si>
    <t>2709015787</t>
  </si>
  <si>
    <t>ГП928770</t>
  </si>
  <si>
    <t>190425/0508/166</t>
  </si>
  <si>
    <t>31907812514</t>
  </si>
  <si>
    <t>31907812432</t>
  </si>
  <si>
    <t>7455003262</t>
  </si>
  <si>
    <t>7456009531</t>
  </si>
  <si>
    <t>7820020511</t>
  </si>
  <si>
    <t>0372200241219000004</t>
  </si>
  <si>
    <t>5047176601</t>
  </si>
  <si>
    <t>695055</t>
  </si>
  <si>
    <t>0373100132419000052</t>
  </si>
  <si>
    <t>31907813447</t>
  </si>
  <si>
    <t>7802471624</t>
  </si>
  <si>
    <t>7806553268</t>
  </si>
  <si>
    <t>2301013617</t>
  </si>
  <si>
    <t>31907813460</t>
  </si>
  <si>
    <t>0821400000119000106</t>
  </si>
  <si>
    <t>0362100008219000033</t>
  </si>
  <si>
    <t>6630004492</t>
  </si>
  <si>
    <t>31907811085</t>
  </si>
  <si>
    <t>Лесной</t>
  </si>
  <si>
    <t>3122014856</t>
  </si>
  <si>
    <t>0126600001619000003</t>
  </si>
  <si>
    <t>0262000343</t>
  </si>
  <si>
    <t>31907811320</t>
  </si>
  <si>
    <t>Кумертау</t>
  </si>
  <si>
    <t>0233006968</t>
  </si>
  <si>
    <t>31907812793</t>
  </si>
  <si>
    <t>3527009371</t>
  </si>
  <si>
    <t>0230100002019000022</t>
  </si>
  <si>
    <t>Усть-Кубинский район</t>
  </si>
  <si>
    <t>3528102253</t>
  </si>
  <si>
    <t>31907812866</t>
  </si>
  <si>
    <t>4401012089</t>
  </si>
  <si>
    <t>798381</t>
  </si>
  <si>
    <t>6150926923</t>
  </si>
  <si>
    <t>797733</t>
  </si>
  <si>
    <t>SBR016-1904240005</t>
  </si>
  <si>
    <t>SBR016-1904240004</t>
  </si>
  <si>
    <t>7820020374</t>
  </si>
  <si>
    <t>0372200176219000007</t>
  </si>
  <si>
    <t>100155831219000006</t>
  </si>
  <si>
    <t>31907811374</t>
  </si>
  <si>
    <t>6450925977</t>
  </si>
  <si>
    <t>31907810417</t>
  </si>
  <si>
    <t>1326220733</t>
  </si>
  <si>
    <t>1326219505</t>
  </si>
  <si>
    <t>7705492450</t>
  </si>
  <si>
    <t>31907810611</t>
  </si>
  <si>
    <t>100261581219000004</t>
  </si>
  <si>
    <t>31907810691</t>
  </si>
  <si>
    <t>4634010687</t>
  </si>
  <si>
    <t>0344300087319000005</t>
  </si>
  <si>
    <t>[ОКПД2 27.20] Батареи и аккумуляторы, [ОКПД2 26.40] Техника бытовая электронная, [ОКПД2 26.70] Приборы оптические и фотографическое оборудование, [ОКПД2 26.20] Компьютеры и периферийное оборудование, [ОКПД2 27.40] Оборудование электрическое осветительное</t>
  </si>
  <si>
    <t>7729050901</t>
  </si>
  <si>
    <t>31907810374</t>
  </si>
  <si>
    <t>2462017330</t>
  </si>
  <si>
    <t>0119300019819000567</t>
  </si>
  <si>
    <t>240800551304</t>
  </si>
  <si>
    <t>31907810327</t>
  </si>
  <si>
    <t>31907810511</t>
  </si>
  <si>
    <t>5044019417</t>
  </si>
  <si>
    <t>694530</t>
  </si>
  <si>
    <t>31907810151</t>
  </si>
  <si>
    <t>SBR035-190014144100026</t>
  </si>
  <si>
    <t>5007010367</t>
  </si>
  <si>
    <t>694429</t>
  </si>
  <si>
    <t>31907809874</t>
  </si>
  <si>
    <t>8300010188</t>
  </si>
  <si>
    <t>31907809528</t>
  </si>
  <si>
    <t>5038008368</t>
  </si>
  <si>
    <t>31907809517</t>
  </si>
  <si>
    <t>5023000616</t>
  </si>
  <si>
    <t>2536014538</t>
  </si>
  <si>
    <t>31907808426</t>
  </si>
  <si>
    <t>[ОКПД2 72.19] Услуги, связанные с научными исследованиями и экспериментальными разработками в области естественных и технических наук, прочие, [ОКВЭД2 72+] Научные исследования и разработки</t>
  </si>
  <si>
    <t>31907809767</t>
  </si>
  <si>
    <t>2445000873</t>
  </si>
  <si>
    <t>0319300087119000014</t>
  </si>
  <si>
    <t>Бородино</t>
  </si>
  <si>
    <t>2450015868</t>
  </si>
  <si>
    <t>4909007995</t>
  </si>
  <si>
    <t>100118534219000011</t>
  </si>
  <si>
    <t>31907809040</t>
  </si>
  <si>
    <t>[ОКПД2 52.23] Услуги вспомогательные, связанные с воздушным и космическим транспортом, [ОКВЭД2 52.23] Деятельность вспомогательная, связанная с воздушным и космическим транспортом</t>
  </si>
  <si>
    <t>5101360263</t>
  </si>
  <si>
    <t>2019-700963</t>
  </si>
  <si>
    <t>694150</t>
  </si>
  <si>
    <t>5011018947</t>
  </si>
  <si>
    <t>694100</t>
  </si>
  <si>
    <t>3906042982</t>
  </si>
  <si>
    <t>31907807706</t>
  </si>
  <si>
    <t>8602060523</t>
  </si>
  <si>
    <t>31907805900</t>
  </si>
  <si>
    <t>5009035254</t>
  </si>
  <si>
    <t>693782</t>
  </si>
  <si>
    <t>794758</t>
  </si>
  <si>
    <t>3665009908</t>
  </si>
  <si>
    <t>0131200001019001656</t>
  </si>
  <si>
    <t>366408647070</t>
  </si>
  <si>
    <t>7820020409</t>
  </si>
  <si>
    <t>0372200246619000003</t>
  </si>
  <si>
    <t>794976</t>
  </si>
  <si>
    <t>0195100000219000189</t>
  </si>
  <si>
    <t>2703086647</t>
  </si>
  <si>
    <t>0822200001519000019</t>
  </si>
  <si>
    <t>2724177951</t>
  </si>
  <si>
    <t>6950087219</t>
  </si>
  <si>
    <t>100283702219000022</t>
  </si>
  <si>
    <t>2352002170</t>
  </si>
  <si>
    <t>1240811</t>
  </si>
  <si>
    <t>Темрюкский район</t>
  </si>
  <si>
    <t>7804009662</t>
  </si>
  <si>
    <t>0372200122219000021</t>
  </si>
  <si>
    <t>7813403425</t>
  </si>
  <si>
    <t>7536098181</t>
  </si>
  <si>
    <t>0391200025719000008</t>
  </si>
  <si>
    <t>31907803405</t>
  </si>
  <si>
    <t>7017054039</t>
  </si>
  <si>
    <t>100283702219000020</t>
  </si>
  <si>
    <t>5610084498</t>
  </si>
  <si>
    <t>0153100001419000092</t>
  </si>
  <si>
    <t>5609042510</t>
  </si>
  <si>
    <t>5612030307</t>
  </si>
  <si>
    <t>31907805007</t>
  </si>
  <si>
    <t>5027269230</t>
  </si>
  <si>
    <t>0274071518</t>
  </si>
  <si>
    <t>0101100008119000026</t>
  </si>
  <si>
    <t>330662</t>
  </si>
  <si>
    <t>5406300420</t>
  </si>
  <si>
    <t>100264916219000002</t>
  </si>
  <si>
    <t>5030031943</t>
  </si>
  <si>
    <t>693580</t>
  </si>
  <si>
    <t>0195100000219000188</t>
  </si>
  <si>
    <t>5024050190</t>
  </si>
  <si>
    <t>693558</t>
  </si>
  <si>
    <t>5027177205</t>
  </si>
  <si>
    <t>693510</t>
  </si>
  <si>
    <t>5077015810</t>
  </si>
  <si>
    <t>693429</t>
  </si>
  <si>
    <t>7820337195</t>
  </si>
  <si>
    <t>0372200287819000012</t>
  </si>
  <si>
    <t>3525412384</t>
  </si>
  <si>
    <t>0195100000219000181</t>
  </si>
  <si>
    <t>5024098393</t>
  </si>
  <si>
    <t>7820020455</t>
  </si>
  <si>
    <t>0372200215319000012</t>
  </si>
  <si>
    <t>531800614090</t>
  </si>
  <si>
    <t>7842448491</t>
  </si>
  <si>
    <t>31907803741</t>
  </si>
  <si>
    <t>[ОКПД2 81.30] Услуги по планировке ландшафта, [ОКВЭД2 81.30] Деятельность по благоустройству ландшафта</t>
  </si>
  <si>
    <t>1421008053</t>
  </si>
  <si>
    <t>0116300005219000063</t>
  </si>
  <si>
    <t>1435291075</t>
  </si>
  <si>
    <t>0983-19-Т-МБ-МБ</t>
  </si>
  <si>
    <t>7820020504</t>
  </si>
  <si>
    <t>0372200210719000018</t>
  </si>
  <si>
    <t>7838382400</t>
  </si>
  <si>
    <t>0372200210719000017</t>
  </si>
  <si>
    <t>7842164933</t>
  </si>
  <si>
    <t>772020199007</t>
  </si>
  <si>
    <t>1638001279</t>
  </si>
  <si>
    <t>0311300183019000017</t>
  </si>
  <si>
    <t>Тетюшский район</t>
  </si>
  <si>
    <t>0195100000219000182</t>
  </si>
  <si>
    <t>0369200030019000040</t>
  </si>
  <si>
    <t>5053003156</t>
  </si>
  <si>
    <t>693230</t>
  </si>
  <si>
    <t>5079006754</t>
  </si>
  <si>
    <t>693278</t>
  </si>
  <si>
    <t>0190300001919000160</t>
  </si>
  <si>
    <t>8913005525</t>
  </si>
  <si>
    <t>5047076491</t>
  </si>
  <si>
    <t>31907803080</t>
  </si>
  <si>
    <t>[ОКПД2 95.21] Услуги по ремонту приборов бытовой электроники, [ОКВЭД2 95.12] Ремонт коммуникационного оборудования</t>
  </si>
  <si>
    <t>5044061578</t>
  </si>
  <si>
    <t>31907803022</t>
  </si>
  <si>
    <t>5044049443</t>
  </si>
  <si>
    <t>5003115016</t>
  </si>
  <si>
    <t>0848300048419000232</t>
  </si>
  <si>
    <t>7701955690</t>
  </si>
  <si>
    <t>9718056944</t>
  </si>
  <si>
    <t>3231002787</t>
  </si>
  <si>
    <t>0127300005219000020</t>
  </si>
  <si>
    <t>3253501765</t>
  </si>
  <si>
    <t>7107031043</t>
  </si>
  <si>
    <t>0366300027319000058</t>
  </si>
  <si>
    <t>7105048813</t>
  </si>
  <si>
    <t>0366300027319000061</t>
  </si>
  <si>
    <t>0366300027319000059</t>
  </si>
  <si>
    <t>5260040759</t>
  </si>
  <si>
    <t>0332100002319000026</t>
  </si>
  <si>
    <t>5249103236</t>
  </si>
  <si>
    <t>5257138190</t>
  </si>
  <si>
    <t>1240217</t>
  </si>
  <si>
    <t>0366300027319000060</t>
  </si>
  <si>
    <t>3812080809</t>
  </si>
  <si>
    <t>100273452219000008</t>
  </si>
  <si>
    <t>100273452219000010</t>
  </si>
  <si>
    <t>7327063509</t>
  </si>
  <si>
    <t>31907802636</t>
  </si>
  <si>
    <t>7325117974</t>
  </si>
  <si>
    <t>100157816219000035</t>
  </si>
  <si>
    <t>190416/0506/050</t>
  </si>
  <si>
    <t>2019-700510</t>
  </si>
  <si>
    <t>5001064415</t>
  </si>
  <si>
    <t>693098</t>
  </si>
  <si>
    <t>0274023088</t>
  </si>
  <si>
    <t>0301100049619000253</t>
  </si>
  <si>
    <t>2319064411</t>
  </si>
  <si>
    <t>7606098710</t>
  </si>
  <si>
    <t>0274912658</t>
  </si>
  <si>
    <t>2303010788</t>
  </si>
  <si>
    <t>0318200034919000088</t>
  </si>
  <si>
    <t>2308120431</t>
  </si>
  <si>
    <t>2325017258</t>
  </si>
  <si>
    <t>2308127356</t>
  </si>
  <si>
    <t>0318200034919000090</t>
  </si>
  <si>
    <t>2308123312</t>
  </si>
  <si>
    <t>0318200034919000089</t>
  </si>
  <si>
    <t>2325017201</t>
  </si>
  <si>
    <t>1414012059</t>
  </si>
  <si>
    <t>0816300009419000046</t>
  </si>
  <si>
    <t>Ленский улус</t>
  </si>
  <si>
    <t>1435327821</t>
  </si>
  <si>
    <t>3664012520</t>
  </si>
  <si>
    <t>0131100011419000103</t>
  </si>
  <si>
    <t>31907799116</t>
  </si>
  <si>
    <t>[ОКПД2 93+] Услуги, связанные со спортом, и услуги по организации развлечений и отдыха, [ОКВЭД2 93+] Деятельность в области спорта, отдыха и развлечений</t>
  </si>
  <si>
    <t>31907799020</t>
  </si>
  <si>
    <t>6439012116</t>
  </si>
  <si>
    <t>31907800877</t>
  </si>
  <si>
    <t>6439094415</t>
  </si>
  <si>
    <t>6439044541</t>
  </si>
  <si>
    <t>643909081117</t>
  </si>
  <si>
    <t>643910527477</t>
  </si>
  <si>
    <t>6439085844</t>
  </si>
  <si>
    <t>5050031998</t>
  </si>
  <si>
    <t>31907800667</t>
  </si>
  <si>
    <t>4029017981</t>
  </si>
  <si>
    <t>8901002488</t>
  </si>
  <si>
    <t>0390100008519000058</t>
  </si>
  <si>
    <t>0360200054019000061</t>
  </si>
  <si>
    <t>Балашовский район</t>
  </si>
  <si>
    <t>9715001104</t>
  </si>
  <si>
    <t>6455054145</t>
  </si>
  <si>
    <t>6449092921</t>
  </si>
  <si>
    <t>1117003630</t>
  </si>
  <si>
    <t>0307100019519000053</t>
  </si>
  <si>
    <t>1121022392</t>
  </si>
  <si>
    <t>1101065158</t>
  </si>
  <si>
    <t>7438003030</t>
  </si>
  <si>
    <t>0369300014819000007</t>
  </si>
  <si>
    <t>Сосновский район</t>
  </si>
  <si>
    <t>6671080647</t>
  </si>
  <si>
    <t>7451286193</t>
  </si>
  <si>
    <t>7705484441</t>
  </si>
  <si>
    <t>10688</t>
  </si>
  <si>
    <t>5623005013</t>
  </si>
  <si>
    <t>0853500000319003452</t>
  </si>
  <si>
    <t>Беляевский район</t>
  </si>
  <si>
    <t>0195100000219000174</t>
  </si>
  <si>
    <t>9102177780</t>
  </si>
  <si>
    <t>7722176486</t>
  </si>
  <si>
    <t>7703406769</t>
  </si>
  <si>
    <t>7730036073</t>
  </si>
  <si>
    <t>0373100087419000021</t>
  </si>
  <si>
    <t>7726665801</t>
  </si>
  <si>
    <t>9102160176</t>
  </si>
  <si>
    <t>787552</t>
  </si>
  <si>
    <t>7736038013</t>
  </si>
  <si>
    <t>0373100009319000006</t>
  </si>
  <si>
    <t>5505031994</t>
  </si>
  <si>
    <t>0352200031919000048</t>
  </si>
  <si>
    <t>692774</t>
  </si>
  <si>
    <t>0269023501</t>
  </si>
  <si>
    <t>0801300016519000084</t>
  </si>
  <si>
    <t>102003341982</t>
  </si>
  <si>
    <t>7806293041</t>
  </si>
  <si>
    <t>664301919985</t>
  </si>
  <si>
    <t>0278186774</t>
  </si>
  <si>
    <t>7451422495</t>
  </si>
  <si>
    <t>0274183839</t>
  </si>
  <si>
    <t>7751009257</t>
  </si>
  <si>
    <t>787516</t>
  </si>
  <si>
    <t>7709938054</t>
  </si>
  <si>
    <t>0373100133119000001</t>
  </si>
  <si>
    <t>7729766646</t>
  </si>
  <si>
    <t>7743057560</t>
  </si>
  <si>
    <t>7724815233</t>
  </si>
  <si>
    <t>7723823922</t>
  </si>
  <si>
    <t>790971</t>
  </si>
  <si>
    <t>5009035173</t>
  </si>
  <si>
    <t>692658</t>
  </si>
  <si>
    <t>7822005646</t>
  </si>
  <si>
    <t>0372200214819000010</t>
  </si>
  <si>
    <t>7839487130</t>
  </si>
  <si>
    <t>0339300037019000015</t>
  </si>
  <si>
    <t>692513</t>
  </si>
  <si>
    <t>692533</t>
  </si>
  <si>
    <t>3108004817</t>
  </si>
  <si>
    <t>789815</t>
  </si>
  <si>
    <t>Грайворонский район</t>
  </si>
  <si>
    <t>1239188</t>
  </si>
  <si>
    <t>789501</t>
  </si>
  <si>
    <t>0133300012619000044</t>
  </si>
  <si>
    <t>3702102961</t>
  </si>
  <si>
    <t>370257675865</t>
  </si>
  <si>
    <t>0360200054019000058</t>
  </si>
  <si>
    <t>6509023731</t>
  </si>
  <si>
    <t>0361300009119000104</t>
  </si>
  <si>
    <t>6509023770</t>
  </si>
  <si>
    <t>ATOM22041900049</t>
  </si>
  <si>
    <t>8901016000</t>
  </si>
  <si>
    <t>0190100003719000013</t>
  </si>
  <si>
    <t>8905062657</t>
  </si>
  <si>
    <t>6627008137</t>
  </si>
  <si>
    <t>0362100011619000004</t>
  </si>
  <si>
    <t>Ревда</t>
  </si>
  <si>
    <t>6661032852</t>
  </si>
  <si>
    <t>6658462340</t>
  </si>
  <si>
    <t>6625030673</t>
  </si>
  <si>
    <t>6161040076</t>
  </si>
  <si>
    <t>789266</t>
  </si>
  <si>
    <t>5833001921</t>
  </si>
  <si>
    <t>100237441219000001</t>
  </si>
  <si>
    <t>Шемышейский район</t>
  </si>
  <si>
    <t>6684011200</t>
  </si>
  <si>
    <t>0362200070519000089</t>
  </si>
  <si>
    <t>789437</t>
  </si>
  <si>
    <t>5920046446</t>
  </si>
  <si>
    <t>0356500000519000157</t>
  </si>
  <si>
    <t>РН976150</t>
  </si>
  <si>
    <t>4821004010</t>
  </si>
  <si>
    <t>0346300076819000116</t>
  </si>
  <si>
    <t>4807012604</t>
  </si>
  <si>
    <t>2019-699753</t>
  </si>
  <si>
    <t>2547273</t>
  </si>
  <si>
    <t>1238845</t>
  </si>
  <si>
    <t>ATOM20041900005</t>
  </si>
  <si>
    <t>2626801272</t>
  </si>
  <si>
    <t>31907795657</t>
  </si>
  <si>
    <t>[ОКПД2 43.29] Работы строительно-монтажные прочие, [ОКВЭД2 84.24] Деятельность по обеспечению общественного порядка и безопасности</t>
  </si>
  <si>
    <t>31907795305</t>
  </si>
  <si>
    <t>5030010950</t>
  </si>
  <si>
    <t>0148300062719000100</t>
  </si>
  <si>
    <t>7721344988</t>
  </si>
  <si>
    <t>5012038897</t>
  </si>
  <si>
    <t>5030053930</t>
  </si>
  <si>
    <t>2801025890</t>
  </si>
  <si>
    <t>0123200000319001035</t>
  </si>
  <si>
    <t>0573200002419000189</t>
  </si>
  <si>
    <t>[ОКПД2 55.90] Услуги по предоставлению временного жилья прочие</t>
  </si>
  <si>
    <t>7714116250</t>
  </si>
  <si>
    <t>7704384148</t>
  </si>
  <si>
    <t>5078012</t>
  </si>
  <si>
    <t>5190123078</t>
  </si>
  <si>
    <t>31907795011</t>
  </si>
  <si>
    <t>7710637012</t>
  </si>
  <si>
    <t>0194100000319000034</t>
  </si>
  <si>
    <t>691833</t>
  </si>
  <si>
    <t>0123200000319001027</t>
  </si>
  <si>
    <t>5049012260</t>
  </si>
  <si>
    <t>691697</t>
  </si>
  <si>
    <t>31907792999</t>
  </si>
  <si>
    <t>7204123243</t>
  </si>
  <si>
    <t>0872400000219000161</t>
  </si>
  <si>
    <t>31907792329</t>
  </si>
  <si>
    <t>SBR016-1904190006</t>
  </si>
  <si>
    <t>31907793944</t>
  </si>
  <si>
    <t>[ОКПД2 51.10] Услуги по пассажирским перевозкам воздушным транспортом, [ОКВЭД2 51.10] Деятельность пассажирского воздушного транспорта</t>
  </si>
  <si>
    <t>4909125406</t>
  </si>
  <si>
    <t>2540065503</t>
  </si>
  <si>
    <t>6454026970</t>
  </si>
  <si>
    <t>31907793857</t>
  </si>
  <si>
    <t>642800818626</t>
  </si>
  <si>
    <t>6454090006</t>
  </si>
  <si>
    <t>8907002396</t>
  </si>
  <si>
    <t>0190300002719000190</t>
  </si>
  <si>
    <t>890700779039</t>
  </si>
  <si>
    <t>5012028465</t>
  </si>
  <si>
    <t>31907793047</t>
  </si>
  <si>
    <t>5190930843</t>
  </si>
  <si>
    <t>31907793304</t>
  </si>
  <si>
    <t>5190172438</t>
  </si>
  <si>
    <t>ЗП904216</t>
  </si>
  <si>
    <t>31907791187</t>
  </si>
  <si>
    <t>5017048909</t>
  </si>
  <si>
    <t>691516</t>
  </si>
  <si>
    <t>0330100013119000037</t>
  </si>
  <si>
    <t>9204569240</t>
  </si>
  <si>
    <t>31907791604</t>
  </si>
  <si>
    <t>100193569219000006</t>
  </si>
  <si>
    <t>31907789623</t>
  </si>
  <si>
    <t>5017027225</t>
  </si>
  <si>
    <t>691282</t>
  </si>
  <si>
    <t>2632055946</t>
  </si>
  <si>
    <t>0321200014919000018</t>
  </si>
  <si>
    <t>2618015613</t>
  </si>
  <si>
    <t>2632077241</t>
  </si>
  <si>
    <t>31907791010</t>
  </si>
  <si>
    <t>6143047417</t>
  </si>
  <si>
    <t>31907790861</t>
  </si>
  <si>
    <t>4909107100</t>
  </si>
  <si>
    <t>31907789636</t>
  </si>
  <si>
    <t>100041299219000009</t>
  </si>
  <si>
    <t>Тобольск</t>
  </si>
  <si>
    <t>5033008815</t>
  </si>
  <si>
    <t>691156</t>
  </si>
  <si>
    <t>31907790181</t>
  </si>
  <si>
    <t>1837004370</t>
  </si>
  <si>
    <t>1237856</t>
  </si>
  <si>
    <t>100196450119000022</t>
  </si>
  <si>
    <t>31907789826</t>
  </si>
  <si>
    <t>[ОКПД2 81.29] Услуги по чистке и уборке прочие, [ОКВЭД2 81.29] Деятельность по чистке и уборке прочая</t>
  </si>
  <si>
    <t>5503031029</t>
  </si>
  <si>
    <t>785472</t>
  </si>
  <si>
    <t>2019-699354</t>
  </si>
  <si>
    <t>1833010750</t>
  </si>
  <si>
    <t>31907789314</t>
  </si>
  <si>
    <t>1835064729</t>
  </si>
  <si>
    <t>1238772</t>
  </si>
  <si>
    <t>7621008421</t>
  </si>
  <si>
    <t>31907789552</t>
  </si>
  <si>
    <t>7720295255</t>
  </si>
  <si>
    <t>6155008444</t>
  </si>
  <si>
    <t>373436</t>
  </si>
  <si>
    <t>5053011460</t>
  </si>
  <si>
    <t>691101</t>
  </si>
  <si>
    <t>100261581219000001</t>
  </si>
  <si>
    <t>5244006648</t>
  </si>
  <si>
    <t>100166124219000002</t>
  </si>
  <si>
    <t>Балахнинский район</t>
  </si>
  <si>
    <t>690923</t>
  </si>
  <si>
    <t>8622014123</t>
  </si>
  <si>
    <t>0187300002819000083</t>
  </si>
  <si>
    <t>5007076791</t>
  </si>
  <si>
    <t>690893</t>
  </si>
  <si>
    <t>31907788437</t>
  </si>
  <si>
    <t>31907788359</t>
  </si>
  <si>
    <t>6449013567</t>
  </si>
  <si>
    <t>31907786737</t>
  </si>
  <si>
    <t>6449040320</t>
  </si>
  <si>
    <t>6449076479</t>
  </si>
  <si>
    <t>6449967700</t>
  </si>
  <si>
    <t>6451213556</t>
  </si>
  <si>
    <t>645206467801</t>
  </si>
  <si>
    <t>6440010762</t>
  </si>
  <si>
    <t>0360300052819000265</t>
  </si>
  <si>
    <t>6440999715</t>
  </si>
  <si>
    <t>2717004355</t>
  </si>
  <si>
    <t>0322100023819000025</t>
  </si>
  <si>
    <t>2722002699</t>
  </si>
  <si>
    <t>5045062493</t>
  </si>
  <si>
    <t>690676</t>
  </si>
  <si>
    <t>7704674312</t>
  </si>
  <si>
    <t>31907787463</t>
  </si>
  <si>
    <t>[ОКПД2 33.14] Услуги по ремонту электрического оборудования, [ОКВЭД2 84.24] Деятельность по обеспечению общественного порядка и безопасности</t>
  </si>
  <si>
    <t>5012026651</t>
  </si>
  <si>
    <t>9723039366</t>
  </si>
  <si>
    <t>2013000643</t>
  </si>
  <si>
    <t>0194200000519003313</t>
  </si>
  <si>
    <t>2014010115</t>
  </si>
  <si>
    <t>5902044157</t>
  </si>
  <si>
    <t>31907785433</t>
  </si>
  <si>
    <t>[ОКПД2 L+] УСЛУГИ, СВЯЗАННЫЕ С НЕДВИЖИМЫМ ИМУЩЕСТВОМ, [ОКВЭД2 81+] Деятельность по обслуживанию зданий и территорий</t>
  </si>
  <si>
    <t>5904199124</t>
  </si>
  <si>
    <t>5904159072</t>
  </si>
  <si>
    <t>5906066874</t>
  </si>
  <si>
    <t>7819012731</t>
  </si>
  <si>
    <t>0372100015819000010</t>
  </si>
  <si>
    <t>1237201</t>
  </si>
  <si>
    <t>ATOM18041900126</t>
  </si>
  <si>
    <t>2546569</t>
  </si>
  <si>
    <t>5025016925</t>
  </si>
  <si>
    <t>690443</t>
  </si>
  <si>
    <t>5011020128</t>
  </si>
  <si>
    <t>690322</t>
  </si>
  <si>
    <t>8301020171</t>
  </si>
  <si>
    <t>783317</t>
  </si>
  <si>
    <t>5504044704</t>
  </si>
  <si>
    <t>783583</t>
  </si>
  <si>
    <t>1651028110</t>
  </si>
  <si>
    <t>0111300005119000177</t>
  </si>
  <si>
    <t>1660320190</t>
  </si>
  <si>
    <t>1648047145</t>
  </si>
  <si>
    <t>31907784659</t>
  </si>
  <si>
    <t>7729405872</t>
  </si>
  <si>
    <t>SBR028-1904180010</t>
  </si>
  <si>
    <t>5507040779</t>
  </si>
  <si>
    <t>783005</t>
  </si>
  <si>
    <t>3124018052</t>
  </si>
  <si>
    <t>0126100002819000014</t>
  </si>
  <si>
    <t>7203076350</t>
  </si>
  <si>
    <t>31907783508</t>
  </si>
  <si>
    <t>782686</t>
  </si>
  <si>
    <t>1435067210</t>
  </si>
  <si>
    <t>31907783289</t>
  </si>
  <si>
    <t>9102012153</t>
  </si>
  <si>
    <t>782875</t>
  </si>
  <si>
    <t>329950</t>
  </si>
  <si>
    <t>5039006476</t>
  </si>
  <si>
    <t>690111</t>
  </si>
  <si>
    <t>3128029129</t>
  </si>
  <si>
    <t>0126200000419001138</t>
  </si>
  <si>
    <t>3128049326</t>
  </si>
  <si>
    <t>5260200603</t>
  </si>
  <si>
    <t>31907782611</t>
  </si>
  <si>
    <t>5027214680</t>
  </si>
  <si>
    <t>100063594119000003</t>
  </si>
  <si>
    <t>3823001534</t>
  </si>
  <si>
    <t>0334100022319000016</t>
  </si>
  <si>
    <t>Братский район</t>
  </si>
  <si>
    <t>3808186697</t>
  </si>
  <si>
    <t>5503088339</t>
  </si>
  <si>
    <t>31907780139</t>
  </si>
  <si>
    <t>ATOM17041900206</t>
  </si>
  <si>
    <t>0301100049619000231</t>
  </si>
  <si>
    <t>027611224850</t>
  </si>
  <si>
    <t>5048052895</t>
  </si>
  <si>
    <t>689857</t>
  </si>
  <si>
    <t>[ОКПД2 43.21] Работы электромонтажные, [ОКПД2 26.30] Оборудование коммуникационное</t>
  </si>
  <si>
    <t>31907779798</t>
  </si>
  <si>
    <t>0169300038719000157</t>
  </si>
  <si>
    <t>5404500142</t>
  </si>
  <si>
    <t>4221028435</t>
  </si>
  <si>
    <t>7819017673</t>
  </si>
  <si>
    <t>0372200080819000023</t>
  </si>
  <si>
    <t>7817085082</t>
  </si>
  <si>
    <t>7816556211</t>
  </si>
  <si>
    <t>2374001645</t>
  </si>
  <si>
    <t>7813272050</t>
  </si>
  <si>
    <t>7810731308</t>
  </si>
  <si>
    <t>7807215409</t>
  </si>
  <si>
    <t>7838436870</t>
  </si>
  <si>
    <t>SBR016-1904170005</t>
  </si>
  <si>
    <t>8300002973</t>
  </si>
  <si>
    <t>780413</t>
  </si>
  <si>
    <t>100023215219000010</t>
  </si>
  <si>
    <t>2356044276</t>
  </si>
  <si>
    <t>0318300017519000109</t>
  </si>
  <si>
    <t>235611791504</t>
  </si>
  <si>
    <t>235407418204</t>
  </si>
  <si>
    <t>231150810900</t>
  </si>
  <si>
    <t>2311276781</t>
  </si>
  <si>
    <t>235621468243</t>
  </si>
  <si>
    <t>0562058182</t>
  </si>
  <si>
    <t>0103100007519000005</t>
  </si>
  <si>
    <t>0372200096819000005</t>
  </si>
  <si>
    <t>7611024167</t>
  </si>
  <si>
    <t>0171300007819000089</t>
  </si>
  <si>
    <t>Тутаев</t>
  </si>
  <si>
    <t>7627037926</t>
  </si>
  <si>
    <t>7627021210</t>
  </si>
  <si>
    <t>7603064247</t>
  </si>
  <si>
    <t>7612035130</t>
  </si>
  <si>
    <t>0171300003419000013</t>
  </si>
  <si>
    <t>Углич</t>
  </si>
  <si>
    <t>7805500760</t>
  </si>
  <si>
    <t>7702401567</t>
  </si>
  <si>
    <t>3664012746</t>
  </si>
  <si>
    <t>100211372219000052</t>
  </si>
  <si>
    <t>31907779367</t>
  </si>
  <si>
    <t>6154153375</t>
  </si>
  <si>
    <t>5620005142</t>
  </si>
  <si>
    <t>0153300052819000037</t>
  </si>
  <si>
    <t>3706006585</t>
  </si>
  <si>
    <t>0133200001719000963</t>
  </si>
  <si>
    <t>Шуя</t>
  </si>
  <si>
    <t>3706009995</t>
  </si>
  <si>
    <t>0601021238</t>
  </si>
  <si>
    <t>0314300003219000001</t>
  </si>
  <si>
    <t>0608027285</t>
  </si>
  <si>
    <t>5620006964</t>
  </si>
  <si>
    <t>0153300052819000038</t>
  </si>
  <si>
    <t>5620006989</t>
  </si>
  <si>
    <t>0153300052819000039</t>
  </si>
  <si>
    <t>5609084341</t>
  </si>
  <si>
    <t>100237441119000002</t>
  </si>
  <si>
    <t>5035019820</t>
  </si>
  <si>
    <t>689373</t>
  </si>
  <si>
    <t>Электрогорск</t>
  </si>
  <si>
    <t>5620005431</t>
  </si>
  <si>
    <t>0153300052819000036</t>
  </si>
  <si>
    <t>6315800523</t>
  </si>
  <si>
    <t>0842200002119000048</t>
  </si>
  <si>
    <t>6311055934</t>
  </si>
  <si>
    <t>689308</t>
  </si>
  <si>
    <t>5249048095</t>
  </si>
  <si>
    <t>0332200057119000007</t>
  </si>
  <si>
    <t>5249072041</t>
  </si>
  <si>
    <t>5259100065</t>
  </si>
  <si>
    <t>5249154390</t>
  </si>
  <si>
    <t>779080</t>
  </si>
  <si>
    <t>5410152380</t>
  </si>
  <si>
    <t>778878</t>
  </si>
  <si>
    <t>5609016158</t>
  </si>
  <si>
    <t>31907773355</t>
  </si>
  <si>
    <t>5609070331</t>
  </si>
  <si>
    <t>31907777570</t>
  </si>
  <si>
    <t>[ОКПД2 84.2+] Услуги государства обществу в целом, [ОКВЭД2 80.10] Деятельность частных охранных служб</t>
  </si>
  <si>
    <t>7725573146</t>
  </si>
  <si>
    <t>7727579312</t>
  </si>
  <si>
    <t>6659209750</t>
  </si>
  <si>
    <t>31907777471</t>
  </si>
  <si>
    <t>3119002699</t>
  </si>
  <si>
    <t>100110908219000009</t>
  </si>
  <si>
    <t>Чернянский район</t>
  </si>
  <si>
    <t>6161013587</t>
  </si>
  <si>
    <t>778640</t>
  </si>
  <si>
    <t>1235314</t>
  </si>
  <si>
    <t>3124014851</t>
  </si>
  <si>
    <t>0126100005419000069</t>
  </si>
  <si>
    <t>3123350547</t>
  </si>
  <si>
    <t>3123098337</t>
  </si>
  <si>
    <t>3123209216</t>
  </si>
  <si>
    <t>4001009645</t>
  </si>
  <si>
    <t>1101023006</t>
  </si>
  <si>
    <t>3123379546</t>
  </si>
  <si>
    <t>3123035094</t>
  </si>
  <si>
    <t>3123018564</t>
  </si>
  <si>
    <t>3123205420</t>
  </si>
  <si>
    <t>0608054497</t>
  </si>
  <si>
    <t>0114200000119000442</t>
  </si>
  <si>
    <t>0605001218</t>
  </si>
  <si>
    <t>2130024126</t>
  </si>
  <si>
    <t>0115200001119001034</t>
  </si>
  <si>
    <t>5258097148</t>
  </si>
  <si>
    <t>5620006996</t>
  </si>
  <si>
    <t>0153300052819000035</t>
  </si>
  <si>
    <t>6455010081</t>
  </si>
  <si>
    <t>31907775958</t>
  </si>
  <si>
    <t>3910500339</t>
  </si>
  <si>
    <t>0335300039319000025</t>
  </si>
  <si>
    <t>0162300005319001470</t>
  </si>
  <si>
    <t>665900677342</t>
  </si>
  <si>
    <t>665910580100</t>
  </si>
  <si>
    <t>6658473279</t>
  </si>
  <si>
    <t>6679117480</t>
  </si>
  <si>
    <t>6671344875</t>
  </si>
  <si>
    <t>5620007012</t>
  </si>
  <si>
    <t>0153300052819000034</t>
  </si>
  <si>
    <t>5048052863</t>
  </si>
  <si>
    <t>689118</t>
  </si>
  <si>
    <t>778375</t>
  </si>
  <si>
    <t>[ОКПД2 10.82] Какао, шоколад и изделия кондитерские сахаристые</t>
  </si>
  <si>
    <t>8617020259</t>
  </si>
  <si>
    <t>0387200017019000017</t>
  </si>
  <si>
    <t>8604056089</t>
  </si>
  <si>
    <t>5048053063</t>
  </si>
  <si>
    <t>0348000000319000007</t>
  </si>
  <si>
    <t>7720335067</t>
  </si>
  <si>
    <t>504800025118</t>
  </si>
  <si>
    <t>9201502053</t>
  </si>
  <si>
    <t>0374200019719000008</t>
  </si>
  <si>
    <t>6350013590</t>
  </si>
  <si>
    <t>0142300007819000025</t>
  </si>
  <si>
    <t>6319179949</t>
  </si>
  <si>
    <t>31907775039</t>
  </si>
  <si>
    <t>0362300175119000007</t>
  </si>
  <si>
    <t>7807026296</t>
  </si>
  <si>
    <t>0372200075619000007</t>
  </si>
  <si>
    <t>31907774897</t>
  </si>
  <si>
    <t>7447110302</t>
  </si>
  <si>
    <t>93323</t>
  </si>
  <si>
    <t>7841000499</t>
  </si>
  <si>
    <t>0375100003419000051</t>
  </si>
  <si>
    <t>7604247525</t>
  </si>
  <si>
    <t>31907775630</t>
  </si>
  <si>
    <t>[ОКПД2 77.3+] Услуги по аренде и лизингу прочих машин, оборудования и материальных средств, [ОКВЭД2 77.29] Прокат и аренда прочих предметов личного пользования и хозяйственно-бытового назначения</t>
  </si>
  <si>
    <t>5011019316</t>
  </si>
  <si>
    <t>688845</t>
  </si>
  <si>
    <t>5410115188</t>
  </si>
  <si>
    <t>777788</t>
  </si>
  <si>
    <t>6154011797</t>
  </si>
  <si>
    <t>COM16041900074</t>
  </si>
  <si>
    <t>2340010698</t>
  </si>
  <si>
    <t>0318300469519000103</t>
  </si>
  <si>
    <t>2312259637</t>
  </si>
  <si>
    <t>2361009580</t>
  </si>
  <si>
    <t>7715027733</t>
  </si>
  <si>
    <t>31907775155</t>
  </si>
  <si>
    <t>7723002556</t>
  </si>
  <si>
    <t>1509123</t>
  </si>
  <si>
    <t>0818300003619000007</t>
  </si>
  <si>
    <t>100198437219000036</t>
  </si>
  <si>
    <t>0358200034819000201</t>
  </si>
  <si>
    <t>100236609119000005</t>
  </si>
  <si>
    <t>0152100004719000014</t>
  </si>
  <si>
    <t>5048053923</t>
  </si>
  <si>
    <t>688646</t>
  </si>
  <si>
    <t>3327818840</t>
  </si>
  <si>
    <t>100295525219000006</t>
  </si>
  <si>
    <t>1655028471</t>
  </si>
  <si>
    <t>0311200038719000058</t>
  </si>
  <si>
    <t>1657104713</t>
  </si>
  <si>
    <t>1659075585</t>
  </si>
  <si>
    <t>1659065393</t>
  </si>
  <si>
    <t>1660285788</t>
  </si>
  <si>
    <t>1657243812</t>
  </si>
  <si>
    <t>1656106443</t>
  </si>
  <si>
    <t>5032036168</t>
  </si>
  <si>
    <t>688568</t>
  </si>
  <si>
    <t>3719002080</t>
  </si>
  <si>
    <t>0133200001719000953</t>
  </si>
  <si>
    <t>Приволжский район</t>
  </si>
  <si>
    <t>3807002509</t>
  </si>
  <si>
    <t>31907773436</t>
  </si>
  <si>
    <t>0301100003519000056</t>
  </si>
  <si>
    <t>0301100003519000057</t>
  </si>
  <si>
    <t>4432351</t>
  </si>
  <si>
    <t>2636055305</t>
  </si>
  <si>
    <t>0121200004719000345</t>
  </si>
  <si>
    <t>6164249799</t>
  </si>
  <si>
    <t>9102250790</t>
  </si>
  <si>
    <t>0172300011619000006</t>
  </si>
  <si>
    <t>5262068407</t>
  </si>
  <si>
    <t>31907772823</t>
  </si>
  <si>
    <t>6501243453</t>
  </si>
  <si>
    <t>31907771982</t>
  </si>
  <si>
    <t>[ОКПД2 61+] Услуги телекоммуникационные, [ОКВЭД2 61.10] Деятельность в области связи на базе проводных технологий</t>
  </si>
  <si>
    <t>2019-695179</t>
  </si>
  <si>
    <t>190416/0668/273</t>
  </si>
  <si>
    <t>COM16041900012</t>
  </si>
  <si>
    <t>31907770180</t>
  </si>
  <si>
    <t>5018157001</t>
  </si>
  <si>
    <t>688268</t>
  </si>
  <si>
    <t>Королев</t>
  </si>
  <si>
    <t>0268017167</t>
  </si>
  <si>
    <t>0301200059819000045</t>
  </si>
  <si>
    <t>0266043299</t>
  </si>
  <si>
    <t>0278159682</t>
  </si>
  <si>
    <t>0268038216</t>
  </si>
  <si>
    <t>0268054338</t>
  </si>
  <si>
    <t>3905606770</t>
  </si>
  <si>
    <t>31907771635</t>
  </si>
  <si>
    <t>ATOM15041900278</t>
  </si>
  <si>
    <t>0373200172419000023</t>
  </si>
  <si>
    <t>7710286269</t>
  </si>
  <si>
    <t>7720376296</t>
  </si>
  <si>
    <t>7717742023</t>
  </si>
  <si>
    <t>7725783337</t>
  </si>
  <si>
    <t>7726438862</t>
  </si>
  <si>
    <t>6900000364</t>
  </si>
  <si>
    <t>31907770572</t>
  </si>
  <si>
    <t>7702252795</t>
  </si>
  <si>
    <t>31907770876</t>
  </si>
  <si>
    <t>3906272898</t>
  </si>
  <si>
    <t>5110102170</t>
  </si>
  <si>
    <t>0349100014719000003</t>
  </si>
  <si>
    <t>7702680818</t>
  </si>
  <si>
    <t>9718048566</t>
  </si>
  <si>
    <t>6135006985</t>
  </si>
  <si>
    <t>775053</t>
  </si>
  <si>
    <t>7808046224</t>
  </si>
  <si>
    <t>0372200000119000101</t>
  </si>
  <si>
    <t>3903006520</t>
  </si>
  <si>
    <t>31907770810</t>
  </si>
  <si>
    <t>7024026709</t>
  </si>
  <si>
    <t>0165300009019000146</t>
  </si>
  <si>
    <t>7017081040</t>
  </si>
  <si>
    <t>7810466709</t>
  </si>
  <si>
    <t>7017321693</t>
  </si>
  <si>
    <t>0123300036919000022</t>
  </si>
  <si>
    <t>7225002962</t>
  </si>
  <si>
    <t>0167300024519000040</t>
  </si>
  <si>
    <t>Уватский район</t>
  </si>
  <si>
    <t>7204058386</t>
  </si>
  <si>
    <t>31907768548</t>
  </si>
  <si>
    <t>6603004415</t>
  </si>
  <si>
    <t>6603021876</t>
  </si>
  <si>
    <t>5029100737</t>
  </si>
  <si>
    <t>687904</t>
  </si>
  <si>
    <t>31907769766</t>
  </si>
  <si>
    <t>0138300002119000036</t>
  </si>
  <si>
    <t>2902016316</t>
  </si>
  <si>
    <t>31907768474</t>
  </si>
  <si>
    <t>0348300380719000226</t>
  </si>
  <si>
    <t>5038111083</t>
  </si>
  <si>
    <t>5038104417</t>
  </si>
  <si>
    <t>5038025451</t>
  </si>
  <si>
    <t>5038025236</t>
  </si>
  <si>
    <t>5038058070</t>
  </si>
  <si>
    <t>5038104230</t>
  </si>
  <si>
    <t>5038025444</t>
  </si>
  <si>
    <t>5038032730</t>
  </si>
  <si>
    <t>5038025412</t>
  </si>
  <si>
    <t>5038043387</t>
  </si>
  <si>
    <t>5038029640</t>
  </si>
  <si>
    <t>5038025596</t>
  </si>
  <si>
    <t>5038025733</t>
  </si>
  <si>
    <t>5038025677</t>
  </si>
  <si>
    <t>5038025571</t>
  </si>
  <si>
    <t>5038025525</t>
  </si>
  <si>
    <t>5038025758</t>
  </si>
  <si>
    <t>5038025229</t>
  </si>
  <si>
    <t>5038025187</t>
  </si>
  <si>
    <t>5038026159</t>
  </si>
  <si>
    <t>5038025532</t>
  </si>
  <si>
    <t>5038025959</t>
  </si>
  <si>
    <t>5038026141</t>
  </si>
  <si>
    <t>5038025892</t>
  </si>
  <si>
    <t>5038025290</t>
  </si>
  <si>
    <t>5038025814</t>
  </si>
  <si>
    <t>5038031920</t>
  </si>
  <si>
    <t>5038025620</t>
  </si>
  <si>
    <t>5038025204</t>
  </si>
  <si>
    <t>5038026060</t>
  </si>
  <si>
    <t>5038025162</t>
  </si>
  <si>
    <t>5038025250</t>
  </si>
  <si>
    <t>5038102709</t>
  </si>
  <si>
    <t>5038120881</t>
  </si>
  <si>
    <t>9717048443</t>
  </si>
  <si>
    <t>7722466202</t>
  </si>
  <si>
    <t>5038088765</t>
  </si>
  <si>
    <t>5042084650</t>
  </si>
  <si>
    <t>5042063851</t>
  </si>
  <si>
    <t>7404010582</t>
  </si>
  <si>
    <t>0169300003319000127</t>
  </si>
  <si>
    <t>[ОКПД2 43.29] Работы строительно-монтажные прочие, [ОКПД2 26.40] Техника бытовая электронная</t>
  </si>
  <si>
    <t>Златоуст</t>
  </si>
  <si>
    <t>665802162183</t>
  </si>
  <si>
    <t>7404035650</t>
  </si>
  <si>
    <t>8601020302</t>
  </si>
  <si>
    <t>774210</t>
  </si>
  <si>
    <t>6133006161</t>
  </si>
  <si>
    <t>773793</t>
  </si>
  <si>
    <t>0119200000119002956</t>
  </si>
  <si>
    <t>2466177688</t>
  </si>
  <si>
    <t>2460067449</t>
  </si>
  <si>
    <t>773695</t>
  </si>
  <si>
    <t>5919017899</t>
  </si>
  <si>
    <t>0356100001919000010</t>
  </si>
  <si>
    <t>5902036043</t>
  </si>
  <si>
    <t>3719002490</t>
  </si>
  <si>
    <t>0333300003619000021</t>
  </si>
  <si>
    <t>7807046800</t>
  </si>
  <si>
    <t>0372200039519000005</t>
  </si>
  <si>
    <t>0356100001919000011</t>
  </si>
  <si>
    <t>5044019086</t>
  </si>
  <si>
    <t>687692</t>
  </si>
  <si>
    <t>0356100001919000009</t>
  </si>
  <si>
    <t>7449019666</t>
  </si>
  <si>
    <t>31907766968</t>
  </si>
  <si>
    <t>3662097776</t>
  </si>
  <si>
    <t>100223888219000012</t>
  </si>
  <si>
    <t>0358300148819000003</t>
  </si>
  <si>
    <t>614405099453</t>
  </si>
  <si>
    <t>31907767402</t>
  </si>
  <si>
    <t>5014003427</t>
  </si>
  <si>
    <t>0348300211719000062</t>
  </si>
  <si>
    <t>5072000295</t>
  </si>
  <si>
    <t>31907766730</t>
  </si>
  <si>
    <t>ATOM15041900004</t>
  </si>
  <si>
    <t>1232933</t>
  </si>
  <si>
    <t>2019-696616</t>
  </si>
  <si>
    <t>31907766397</t>
  </si>
  <si>
    <t>7203300588</t>
  </si>
  <si>
    <t>31907766327</t>
  </si>
  <si>
    <t>7203172706</t>
  </si>
  <si>
    <t>7204195791</t>
  </si>
  <si>
    <t>7203236163</t>
  </si>
  <si>
    <t>31907766218</t>
  </si>
  <si>
    <t>7204177440</t>
  </si>
  <si>
    <t>7203474104</t>
  </si>
  <si>
    <t>31907762406</t>
  </si>
  <si>
    <t>6670340596</t>
  </si>
  <si>
    <t>0373200041519000507</t>
  </si>
  <si>
    <t>6629004410</t>
  </si>
  <si>
    <t>31907765171</t>
  </si>
  <si>
    <t>6658200546</t>
  </si>
  <si>
    <t>6453041542</t>
  </si>
  <si>
    <t>0860200000819003639</t>
  </si>
  <si>
    <t>6450078590</t>
  </si>
  <si>
    <t>6452074841</t>
  </si>
  <si>
    <t>2721131613</t>
  </si>
  <si>
    <t>31907761279</t>
  </si>
  <si>
    <t>2723173802</t>
  </si>
  <si>
    <t>2724192195</t>
  </si>
  <si>
    <t>7018012970</t>
  </si>
  <si>
    <t>31907762903</t>
  </si>
  <si>
    <t>7017094049</t>
  </si>
  <si>
    <t>7017256469</t>
  </si>
  <si>
    <t>7017236504</t>
  </si>
  <si>
    <t>1232705</t>
  </si>
  <si>
    <t>31907764665</t>
  </si>
  <si>
    <t>2463225453</t>
  </si>
  <si>
    <t>31907762168</t>
  </si>
  <si>
    <t>2464117281</t>
  </si>
  <si>
    <t>100223888219000011</t>
  </si>
  <si>
    <t>31907762819</t>
  </si>
  <si>
    <t>0195100000219000162</t>
  </si>
  <si>
    <t>1232327</t>
  </si>
  <si>
    <t>7716789300</t>
  </si>
  <si>
    <t>0373200017519000339</t>
  </si>
  <si>
    <t>0139100001519000040</t>
  </si>
  <si>
    <t>0187300002819000073</t>
  </si>
  <si>
    <t>8622002086</t>
  </si>
  <si>
    <t>6140019066</t>
  </si>
  <si>
    <t>771193</t>
  </si>
  <si>
    <t>ATOM12041900148</t>
  </si>
  <si>
    <t>2460002917</t>
  </si>
  <si>
    <t>0319100025119000016</t>
  </si>
  <si>
    <t>245210530011</t>
  </si>
  <si>
    <t>2460108670</t>
  </si>
  <si>
    <t>31907763159</t>
  </si>
  <si>
    <t>772634036950</t>
  </si>
  <si>
    <t>0195100000219000161</t>
  </si>
  <si>
    <t>0139300001419000298</t>
  </si>
  <si>
    <t>4202024442</t>
  </si>
  <si>
    <t>0318300537419000160</t>
  </si>
  <si>
    <t>5008029402</t>
  </si>
  <si>
    <t>676663</t>
  </si>
  <si>
    <t>2318021662</t>
  </si>
  <si>
    <t>0118300018719000153</t>
  </si>
  <si>
    <t>0105077642</t>
  </si>
  <si>
    <t>676665</t>
  </si>
  <si>
    <t>0319100032319000032</t>
  </si>
  <si>
    <t>[ОКПД2 52.29] Услуги транспортные вспомогательные прочие</t>
  </si>
  <si>
    <t>2538034064</t>
  </si>
  <si>
    <t>0320200022419000018</t>
  </si>
  <si>
    <t>253901814181</t>
  </si>
  <si>
    <t>7810814522</t>
  </si>
  <si>
    <t>31907761431</t>
  </si>
  <si>
    <t>7840468220</t>
  </si>
  <si>
    <t>7801282110</t>
  </si>
  <si>
    <t>3812014637</t>
  </si>
  <si>
    <t>100029243219000011</t>
  </si>
  <si>
    <t>6616000785</t>
  </si>
  <si>
    <t>0162300010819000045</t>
  </si>
  <si>
    <t>6311108576</t>
  </si>
  <si>
    <t>100057902219000001</t>
  </si>
  <si>
    <t>100110397219000009</t>
  </si>
  <si>
    <t>7708525167</t>
  </si>
  <si>
    <t>0373100007119000014</t>
  </si>
  <si>
    <t>6318100463</t>
  </si>
  <si>
    <t>100110397219000010</t>
  </si>
  <si>
    <t>2501006695</t>
  </si>
  <si>
    <t>0320200028919000024</t>
  </si>
  <si>
    <t>6161025945</t>
  </si>
  <si>
    <t>769975</t>
  </si>
  <si>
    <t>7405001608</t>
  </si>
  <si>
    <t>0369100040719000001</t>
  </si>
  <si>
    <t>0369100040719000002</t>
  </si>
  <si>
    <t>2019-696116</t>
  </si>
  <si>
    <t>2019-695889</t>
  </si>
  <si>
    <t>1651016757</t>
  </si>
  <si>
    <t>BP00267866</t>
  </si>
  <si>
    <t>6321391646</t>
  </si>
  <si>
    <t>31907759886</t>
  </si>
  <si>
    <t>6318149003</t>
  </si>
  <si>
    <t>6376018105</t>
  </si>
  <si>
    <t>6317006387</t>
  </si>
  <si>
    <t>6323064972</t>
  </si>
  <si>
    <t>6321124873</t>
  </si>
  <si>
    <t>LZO-2019-0015</t>
  </si>
  <si>
    <t>5031074756</t>
  </si>
  <si>
    <t>676375</t>
  </si>
  <si>
    <t>676373</t>
  </si>
  <si>
    <t>5024000030</t>
  </si>
  <si>
    <t>31907759723</t>
  </si>
  <si>
    <t>1231464</t>
  </si>
  <si>
    <t>5902290138</t>
  </si>
  <si>
    <t>0156100008519000030</t>
  </si>
  <si>
    <t>5027071537</t>
  </si>
  <si>
    <t>676258</t>
  </si>
  <si>
    <t>SBR016-1904110003</t>
  </si>
  <si>
    <t>7722000860</t>
  </si>
  <si>
    <t>31907759285</t>
  </si>
  <si>
    <t>ATOM11041900244</t>
  </si>
  <si>
    <t>6114009030</t>
  </si>
  <si>
    <t>0158300023019000012</t>
  </si>
  <si>
    <t>611400054968</t>
  </si>
  <si>
    <t>2333007983</t>
  </si>
  <si>
    <t>31907758773</t>
  </si>
  <si>
    <t>2901204317</t>
  </si>
  <si>
    <t>31907758175</t>
  </si>
  <si>
    <t>[ОКПД2 61.9+] Услуги телекоммуникационные прочие, [ОКВЭД2 61.9+] Деятельность в области телекоммуникаций прочая</t>
  </si>
  <si>
    <t>2901277650</t>
  </si>
  <si>
    <t>2907015370</t>
  </si>
  <si>
    <t>31907757968</t>
  </si>
  <si>
    <t>2902044708</t>
  </si>
  <si>
    <t>5001083979</t>
  </si>
  <si>
    <t>31907758378</t>
  </si>
  <si>
    <t>[ОКПД2 33.19] Услуги по ремонту прочего оборудования, [ОКВЭД2 35.30] Производство, передача и распределение пара и горячей воды; кондиционирование воздуха</t>
  </si>
  <si>
    <t>100223888219000008</t>
  </si>
  <si>
    <t>31907757276</t>
  </si>
  <si>
    <t>5043013959</t>
  </si>
  <si>
    <t>675946</t>
  </si>
  <si>
    <t>7705843041</t>
  </si>
  <si>
    <t>482912</t>
  </si>
  <si>
    <t>5050115310</t>
  </si>
  <si>
    <t>0348100099019000003</t>
  </si>
  <si>
    <t>5050113753</t>
  </si>
  <si>
    <t>5049013056</t>
  </si>
  <si>
    <t>31907756157</t>
  </si>
  <si>
    <t>502206348543</t>
  </si>
  <si>
    <t>501107094409</t>
  </si>
  <si>
    <t>8301020125</t>
  </si>
  <si>
    <t>763587</t>
  </si>
  <si>
    <t>Заполярный</t>
  </si>
  <si>
    <t>5610084723</t>
  </si>
  <si>
    <t>0353100004719000047</t>
  </si>
  <si>
    <t>6439022587</t>
  </si>
  <si>
    <t>31907755373</t>
  </si>
  <si>
    <t>[ОКПД2 96+] Услуги персональные прочие, [ОКВЭД2 96+] Деятельность по предоставлению прочих персональных услуг</t>
  </si>
  <si>
    <t>643918829247</t>
  </si>
  <si>
    <t>ЮЗБ2019-0061(КО)</t>
  </si>
  <si>
    <t>4909007240</t>
  </si>
  <si>
    <t>100108850219000006</t>
  </si>
  <si>
    <t>2345008276</t>
  </si>
  <si>
    <t>31907754522</t>
  </si>
  <si>
    <t>1230577</t>
  </si>
  <si>
    <t>ATOM11041900029</t>
  </si>
  <si>
    <t>5501038597</t>
  </si>
  <si>
    <t>766260</t>
  </si>
  <si>
    <t>482773</t>
  </si>
  <si>
    <t>2019-695303</t>
  </si>
  <si>
    <t>5025032067</t>
  </si>
  <si>
    <t>675542</t>
  </si>
  <si>
    <t>0345200003919000022</t>
  </si>
  <si>
    <t>6732033076</t>
  </si>
  <si>
    <t>0345200003919000023</t>
  </si>
  <si>
    <t>6440037813</t>
  </si>
  <si>
    <t>0360300052819000255</t>
  </si>
  <si>
    <t>31907752133</t>
  </si>
  <si>
    <t>31907752814</t>
  </si>
  <si>
    <t>2225066565</t>
  </si>
  <si>
    <t>0317100000119000086</t>
  </si>
  <si>
    <t>2225052805</t>
  </si>
  <si>
    <t>7327063643</t>
  </si>
  <si>
    <t>31907751739</t>
  </si>
  <si>
    <t>5030033806</t>
  </si>
  <si>
    <t>675141</t>
  </si>
  <si>
    <t>1102016594</t>
  </si>
  <si>
    <t>31907750911</t>
  </si>
  <si>
    <t>[ОКПД2 45.2+] Услуги по техническому обслуживанию и ремонту автотранспортных средств, [ОКВЭД2 45.2+] Техническое обслуживание и ремонт автотранспортных средств</t>
  </si>
  <si>
    <t>1101009682</t>
  </si>
  <si>
    <t>6656004088</t>
  </si>
  <si>
    <t>0362200036819000007</t>
  </si>
  <si>
    <t>Туринский район</t>
  </si>
  <si>
    <t>675089</t>
  </si>
  <si>
    <t>5506037452</t>
  </si>
  <si>
    <t>763826</t>
  </si>
  <si>
    <t>3443009921</t>
  </si>
  <si>
    <t>31907749656</t>
  </si>
  <si>
    <t>5406671545</t>
  </si>
  <si>
    <t>8300010526</t>
  </si>
  <si>
    <t>0384200001819000133</t>
  </si>
  <si>
    <t>910204336754</t>
  </si>
  <si>
    <t>5050031420</t>
  </si>
  <si>
    <t>674982</t>
  </si>
  <si>
    <t>5407120942</t>
  </si>
  <si>
    <t>100115788219000004</t>
  </si>
  <si>
    <t>1411002849</t>
  </si>
  <si>
    <t>0116300000719000032</t>
  </si>
  <si>
    <t>Горный улус</t>
  </si>
  <si>
    <t>31907749962</t>
  </si>
  <si>
    <t>7606102028</t>
  </si>
  <si>
    <t>4633006046</t>
  </si>
  <si>
    <t>0344300032819000020</t>
  </si>
  <si>
    <t>462902873662</t>
  </si>
  <si>
    <t>1229391</t>
  </si>
  <si>
    <t>5027036758</t>
  </si>
  <si>
    <t>0148300021219000129</t>
  </si>
  <si>
    <t>5027184820</t>
  </si>
  <si>
    <t>ATOM10041900046</t>
  </si>
  <si>
    <t>6330000553</t>
  </si>
  <si>
    <t>482541</t>
  </si>
  <si>
    <t>Новокуйбышевск</t>
  </si>
  <si>
    <t>0172100008119000021</t>
  </si>
  <si>
    <t>0172100008119000022</t>
  </si>
  <si>
    <t>0172100008119000020</t>
  </si>
  <si>
    <t>РН928830</t>
  </si>
  <si>
    <t>762721</t>
  </si>
  <si>
    <t>762725</t>
  </si>
  <si>
    <t>2019-694993</t>
  </si>
  <si>
    <t>2019-694779</t>
  </si>
  <si>
    <t>2019-695136</t>
  </si>
  <si>
    <t>100202008219000013</t>
  </si>
  <si>
    <t>31907747937</t>
  </si>
  <si>
    <t>0362100017519000115</t>
  </si>
  <si>
    <t>8904012710</t>
  </si>
  <si>
    <t>0190200000319003828</t>
  </si>
  <si>
    <t>2460107420</t>
  </si>
  <si>
    <t>2310080271</t>
  </si>
  <si>
    <t>0318200046219000010</t>
  </si>
  <si>
    <t>2312141113</t>
  </si>
  <si>
    <t>2320080129</t>
  </si>
  <si>
    <t>4217066420</t>
  </si>
  <si>
    <t>31907745214</t>
  </si>
  <si>
    <t>1433020506</t>
  </si>
  <si>
    <t>0316300053719000046</t>
  </si>
  <si>
    <t>382007607573</t>
  </si>
  <si>
    <t>143501232101</t>
  </si>
  <si>
    <t>143306851482</t>
  </si>
  <si>
    <t>380504409497</t>
  </si>
  <si>
    <t>100059863219000001</t>
  </si>
  <si>
    <t>0373100007119000013</t>
  </si>
  <si>
    <t>4346011035</t>
  </si>
  <si>
    <t>0373100012619000067</t>
  </si>
  <si>
    <t>0872100001219000032</t>
  </si>
  <si>
    <t>1325127361</t>
  </si>
  <si>
    <t>0309300012319000063</t>
  </si>
  <si>
    <t>6678088331</t>
  </si>
  <si>
    <t>31907746769</t>
  </si>
  <si>
    <t>3123148725</t>
  </si>
  <si>
    <t>31907746403</t>
  </si>
  <si>
    <t>3662165296</t>
  </si>
  <si>
    <t>7106060637</t>
  </si>
  <si>
    <t>0114200000119000372</t>
  </si>
  <si>
    <t>7736115684</t>
  </si>
  <si>
    <t>2128014360</t>
  </si>
  <si>
    <t>0315100002019000009</t>
  </si>
  <si>
    <t>1652025708</t>
  </si>
  <si>
    <t>2130041072</t>
  </si>
  <si>
    <t>213003174443</t>
  </si>
  <si>
    <t>2129036279</t>
  </si>
  <si>
    <t>4702005952</t>
  </si>
  <si>
    <t>0345200017619000004</t>
  </si>
  <si>
    <t>Волхов</t>
  </si>
  <si>
    <t>4702006160</t>
  </si>
  <si>
    <t>5248015587</t>
  </si>
  <si>
    <t>100297852219000006</t>
  </si>
  <si>
    <t>Городецкий район</t>
  </si>
  <si>
    <t>6153022813</t>
  </si>
  <si>
    <t>761542</t>
  </si>
  <si>
    <t>100297852219000007</t>
  </si>
  <si>
    <t>5005038840</t>
  </si>
  <si>
    <t>674370</t>
  </si>
  <si>
    <t>0332200042419000017</t>
  </si>
  <si>
    <t>674388</t>
  </si>
  <si>
    <t>6155030633</t>
  </si>
  <si>
    <t>0358200039619000059</t>
  </si>
  <si>
    <t>[ОКПД2 27.20] Батареи и аккумуляторы</t>
  </si>
  <si>
    <t>8603112809</t>
  </si>
  <si>
    <t>0387200007019000047</t>
  </si>
  <si>
    <t>8620014880</t>
  </si>
  <si>
    <t>8603133083</t>
  </si>
  <si>
    <t>2020003902</t>
  </si>
  <si>
    <t>0194400000519000012</t>
  </si>
  <si>
    <t>2013428460</t>
  </si>
  <si>
    <t>8617005645</t>
  </si>
  <si>
    <t>0387200000919000099</t>
  </si>
  <si>
    <t>8602256847</t>
  </si>
  <si>
    <t>8617026701</t>
  </si>
  <si>
    <t>8602271796</t>
  </si>
  <si>
    <t>3250058048</t>
  </si>
  <si>
    <t>0127200000819000048</t>
  </si>
  <si>
    <t>6137006691</t>
  </si>
  <si>
    <t>760474</t>
  </si>
  <si>
    <t>Цимлянский район</t>
  </si>
  <si>
    <t>100110397219000006</t>
  </si>
  <si>
    <t>ATOM09041900025</t>
  </si>
  <si>
    <t>100110397219000004</t>
  </si>
  <si>
    <t>6102019918</t>
  </si>
  <si>
    <t>759851</t>
  </si>
  <si>
    <t>1228017</t>
  </si>
  <si>
    <t>100110397219000003</t>
  </si>
  <si>
    <t>759676</t>
  </si>
  <si>
    <t>4909114796</t>
  </si>
  <si>
    <t>100025420119000006</t>
  </si>
  <si>
    <t>5436109044</t>
  </si>
  <si>
    <t>759307</t>
  </si>
  <si>
    <t>100153430119000006</t>
  </si>
  <si>
    <t>309340</t>
  </si>
  <si>
    <t>7814687586</t>
  </si>
  <si>
    <t>COM09041900081</t>
  </si>
  <si>
    <t>7732121310</t>
  </si>
  <si>
    <t>100062540219000005</t>
  </si>
  <si>
    <t>7825096313</t>
  </si>
  <si>
    <t>0572200002019000017</t>
  </si>
  <si>
    <t>7814389406</t>
  </si>
  <si>
    <t>7805413405</t>
  </si>
  <si>
    <t>0373200172419000014</t>
  </si>
  <si>
    <t>4205374043</t>
  </si>
  <si>
    <t>7723932255</t>
  </si>
  <si>
    <t>5027234693</t>
  </si>
  <si>
    <t>0148300021219000131</t>
  </si>
  <si>
    <t>7743046865</t>
  </si>
  <si>
    <t>9709004192</t>
  </si>
  <si>
    <t>5027201144</t>
  </si>
  <si>
    <t>7736186950</t>
  </si>
  <si>
    <t>31907742247</t>
  </si>
  <si>
    <t>5620006957</t>
  </si>
  <si>
    <t>0153300052819000028</t>
  </si>
  <si>
    <t>2318010332</t>
  </si>
  <si>
    <t>31907741597</t>
  </si>
  <si>
    <t>3102020788</t>
  </si>
  <si>
    <t>758816</t>
  </si>
  <si>
    <t>Белгородский район</t>
  </si>
  <si>
    <t>5753019056</t>
  </si>
  <si>
    <t>100320550219000024</t>
  </si>
  <si>
    <t>0136300015119000022</t>
  </si>
  <si>
    <t>5217001111</t>
  </si>
  <si>
    <t>0332300042419000010</t>
  </si>
  <si>
    <t>Княгининский район</t>
  </si>
  <si>
    <t>5260029709</t>
  </si>
  <si>
    <t>5257134301</t>
  </si>
  <si>
    <t>5262152345</t>
  </si>
  <si>
    <t>131600010117</t>
  </si>
  <si>
    <t>ATOM08041900269</t>
  </si>
  <si>
    <t>1227711</t>
  </si>
  <si>
    <t>1641002642</t>
  </si>
  <si>
    <t>0711200004019000022</t>
  </si>
  <si>
    <t>1652024912</t>
  </si>
  <si>
    <t>1652009431</t>
  </si>
  <si>
    <t>0358200010619000083</t>
  </si>
  <si>
    <t>Волгодонск</t>
  </si>
  <si>
    <t>6143080453</t>
  </si>
  <si>
    <t>7807026835</t>
  </si>
  <si>
    <t>0372200083019000003</t>
  </si>
  <si>
    <t>0358200010619000084</t>
  </si>
  <si>
    <t>6167141659</t>
  </si>
  <si>
    <t>615006951283</t>
  </si>
  <si>
    <t>3201002405</t>
  </si>
  <si>
    <t>31907740951</t>
  </si>
  <si>
    <t>3250505218</t>
  </si>
  <si>
    <t>2365025047</t>
  </si>
  <si>
    <t>31907740540</t>
  </si>
  <si>
    <t>2365027044</t>
  </si>
  <si>
    <t>758269</t>
  </si>
  <si>
    <t>2538061420</t>
  </si>
  <si>
    <t>0820300001419000017</t>
  </si>
  <si>
    <t>2508081613</t>
  </si>
  <si>
    <t>2508064671</t>
  </si>
  <si>
    <t>7414003633</t>
  </si>
  <si>
    <t>5091222</t>
  </si>
  <si>
    <t>91987</t>
  </si>
  <si>
    <t>6315229162</t>
  </si>
  <si>
    <t>РН928166</t>
  </si>
  <si>
    <t>5027093516</t>
  </si>
  <si>
    <t>673619</t>
  </si>
  <si>
    <t>5029186300</t>
  </si>
  <si>
    <t>673628</t>
  </si>
  <si>
    <t>[ОКПД2 26.20] Компьютеры и периферийное оборудование, [ОКПД2 26.40] Техника бытовая электронная</t>
  </si>
  <si>
    <t>757880</t>
  </si>
  <si>
    <t>757546</t>
  </si>
  <si>
    <t>2704800381</t>
  </si>
  <si>
    <t>0122300020019000029</t>
  </si>
  <si>
    <t>Советская Гавань</t>
  </si>
  <si>
    <t>2704014300</t>
  </si>
  <si>
    <t>7807047264</t>
  </si>
  <si>
    <t>0372200027819000047</t>
  </si>
  <si>
    <t>5905300063</t>
  </si>
  <si>
    <t>1835062672</t>
  </si>
  <si>
    <t>100204834219000004</t>
  </si>
  <si>
    <t>673415</t>
  </si>
  <si>
    <t>[ОКПД2 27.32] Провода и кабели электронные и электрические прочие, [ОКПД2 26.40] Техника бытовая электронная, [ОКПД2 26.20] Компьютеры и периферийное оборудование, [ОКПД2 25.72] Замки и петли, [ОКПД2 30.92] Велосипеды и коляски инвалидные, [ОКПД2 22.23] Изделия пластмассовые строительные, [ОКПД2 27.33] Изделия электроустановочные, [ОКПД2 25.93] Проволока, цепи и пружины, [ОКПД2 22.21] Плиты, листы, трубы и профили пластмассовые, [ОКПД2 26.30] Оборудование коммуникационное</t>
  </si>
  <si>
    <t>1001046867</t>
  </si>
  <si>
    <t>0806500000219000200</t>
  </si>
  <si>
    <t>Лоухский</t>
  </si>
  <si>
    <t>100159658219000001</t>
  </si>
  <si>
    <t>5044019216</t>
  </si>
  <si>
    <t>673358</t>
  </si>
  <si>
    <t>5022054707</t>
  </si>
  <si>
    <t>673350</t>
  </si>
  <si>
    <t>5037002275</t>
  </si>
  <si>
    <t>673199</t>
  </si>
  <si>
    <t>7709026844</t>
  </si>
  <si>
    <t>0148200001919000159</t>
  </si>
  <si>
    <t>7705558982</t>
  </si>
  <si>
    <t>7728313890</t>
  </si>
  <si>
    <t>5092010</t>
  </si>
  <si>
    <t>7302043437</t>
  </si>
  <si>
    <t>0168300013019000158</t>
  </si>
  <si>
    <t>7302025580</t>
  </si>
  <si>
    <t>7302041616</t>
  </si>
  <si>
    <t>31907737927</t>
  </si>
  <si>
    <t>0105066055</t>
  </si>
  <si>
    <t>4826084001</t>
  </si>
  <si>
    <t>2121002542</t>
  </si>
  <si>
    <t>0115300032619000001</t>
  </si>
  <si>
    <t>Янтиковский район</t>
  </si>
  <si>
    <t>2130040865</t>
  </si>
  <si>
    <t>5050060621</t>
  </si>
  <si>
    <t>673007</t>
  </si>
  <si>
    <t>7002007156</t>
  </si>
  <si>
    <t>0865300002419000040</t>
  </si>
  <si>
    <t>Асиновский район</t>
  </si>
  <si>
    <t>7017364802</t>
  </si>
  <si>
    <t>7017356255</t>
  </si>
  <si>
    <t>6441017697</t>
  </si>
  <si>
    <t>31907737121</t>
  </si>
  <si>
    <t>2726008853</t>
  </si>
  <si>
    <t>0322200013619000017</t>
  </si>
  <si>
    <t>4826112749</t>
  </si>
  <si>
    <t>0146300030219000239</t>
  </si>
  <si>
    <t>4825094960</t>
  </si>
  <si>
    <t>3123445340</t>
  </si>
  <si>
    <t>3730004236</t>
  </si>
  <si>
    <t>0333100002319000109</t>
  </si>
  <si>
    <t>5504097128</t>
  </si>
  <si>
    <t>31907735373</t>
  </si>
  <si>
    <t>5504206730</t>
  </si>
  <si>
    <t>31907734449</t>
  </si>
  <si>
    <t>7017032557</t>
  </si>
  <si>
    <t>5053014849</t>
  </si>
  <si>
    <t>672790</t>
  </si>
  <si>
    <t>672793</t>
  </si>
  <si>
    <t>[ОКПД2 43.29] Работы строительно-монтажные прочие, [ОКПД2 26.30] Оборудование коммуникационное, [ОКПД2 27.32] Провода и кабели электронные и электрические прочие, [ОКПД2 43.21] Работы электромонтажные, [ОКПД2 27.11] Электродвигатели, генераторы и трансформаторы, [ОКПД2 27.20] Батареи и аккумуляторы</t>
  </si>
  <si>
    <t>5027072481</t>
  </si>
  <si>
    <t>672757</t>
  </si>
  <si>
    <t>[ОКПД2 25.72] Замки и петли, [ОКПД2 26.60] Оборудование для облучения, электрическое диагностическое и терапевтическое, применяемые в медицинских целях, [ОКПД2 27.32] Провода и кабели электронные и электрические прочие, [ОКПД2 27.33] Изделия электроустановочные, [ОКПД2 27.11] Электродвигатели, генераторы и трансформаторы, [ОКПД2 33.20] Услуги по монтажу промышленных машин и оборудования</t>
  </si>
  <si>
    <t>5006008380</t>
  </si>
  <si>
    <t>672698</t>
  </si>
  <si>
    <t>100082708219000016</t>
  </si>
  <si>
    <t>1655229675</t>
  </si>
  <si>
    <t>0711200023619000002</t>
  </si>
  <si>
    <t>5054009270</t>
  </si>
  <si>
    <t>672646</t>
  </si>
  <si>
    <t>2901043349</t>
  </si>
  <si>
    <t>0124200000619001222</t>
  </si>
  <si>
    <t>2901119904</t>
  </si>
  <si>
    <t>290118154914</t>
  </si>
  <si>
    <t>7505004063</t>
  </si>
  <si>
    <t>100120924219000015</t>
  </si>
  <si>
    <t>Забайкальский</t>
  </si>
  <si>
    <t>100120924219000013</t>
  </si>
  <si>
    <t>100120924219000014</t>
  </si>
  <si>
    <t>0351200003319000583</t>
  </si>
  <si>
    <t>5406261370</t>
  </si>
  <si>
    <t>4025077436</t>
  </si>
  <si>
    <t>0137200001219001392</t>
  </si>
  <si>
    <t>4029033038</t>
  </si>
  <si>
    <t>0351200003319000584</t>
  </si>
  <si>
    <t>2801098070</t>
  </si>
  <si>
    <t>100254759219000004</t>
  </si>
  <si>
    <t>100254759219000003</t>
  </si>
  <si>
    <t>100044598119000004</t>
  </si>
  <si>
    <t>5436107880</t>
  </si>
  <si>
    <t>753179</t>
  </si>
  <si>
    <t>753186</t>
  </si>
  <si>
    <t>753107</t>
  </si>
  <si>
    <t>5436109615</t>
  </si>
  <si>
    <t>753116</t>
  </si>
  <si>
    <t>753059</t>
  </si>
  <si>
    <t>2019-692669</t>
  </si>
  <si>
    <t>302548</t>
  </si>
  <si>
    <t>302550</t>
  </si>
  <si>
    <t>6910005227</t>
  </si>
  <si>
    <t>0136300050519000027</t>
  </si>
  <si>
    <t>302512</t>
  </si>
  <si>
    <t>2128033437</t>
  </si>
  <si>
    <t>752468</t>
  </si>
  <si>
    <t>5190800026</t>
  </si>
  <si>
    <t>0149100002519000016</t>
  </si>
  <si>
    <t>5190009939</t>
  </si>
  <si>
    <t>7702331944</t>
  </si>
  <si>
    <t>100061214219000011</t>
  </si>
  <si>
    <t>0123100003519000009</t>
  </si>
  <si>
    <t>2801106468</t>
  </si>
  <si>
    <t>31907731346</t>
  </si>
  <si>
    <t>0159300034819000038</t>
  </si>
  <si>
    <t>7719459903</t>
  </si>
  <si>
    <t>0322200013619000015</t>
  </si>
  <si>
    <t>100061214219000007</t>
  </si>
  <si>
    <t>100061214219000004</t>
  </si>
  <si>
    <t>100061214219000006</t>
  </si>
  <si>
    <t>100061214219000003</t>
  </si>
  <si>
    <t>100061214219000005</t>
  </si>
  <si>
    <t>3328415442</t>
  </si>
  <si>
    <t>31907731356</t>
  </si>
  <si>
    <t>100061214219000002</t>
  </si>
  <si>
    <t>100061214219000010</t>
  </si>
  <si>
    <t>3005002335</t>
  </si>
  <si>
    <t>31907731214</t>
  </si>
  <si>
    <t>[ОКПД2 27.32] Провода и кабели электронные и электрические прочие, [ОКПД2 26.40] Техника бытовая электронная, [ОКПД2 26.30] Оборудование коммуникационное, [ОКПД2 27.90] Оборудование электрическое прочее, [ОКПД2 27.33] Изделия электроустановочные, [ОКПД2 25.99] Металлоизделия готовые прочие, не включенные в другие группировки, [ОКПД2 26.20] Компьютеры и периферийное оборудование, [ОКПД2 31.01] Мебель для офисов и предприятий торговли, [ОКПД2 25.72] Замки и петли, [ОКПД2 25.93] Проволока, цепи и пружины, [ОКВЭД2 26.30] Производство коммуникационного оборудования, [ОКВЭД2 25.99] Производство прочих готовых металлических изделий, не включенных в другие группировки, [ОКВЭД2 27.33] Производство электроустановочных изделий, [ОКВЭД2 26.40] Производство бытовой электроники, [ОКВЭД2 27.90] Производство прочего электрического оборудования, [ОКВЭД2 31.01] Производство мебели для офисов и предприятий торговли, [ОКВЭД2 25.72] Производство замков, петель, [ОКВЭД2 26.20] Производство компьютеров и периферийного оборудования, [ОКВЭД2 25.93] Производство изделий из проволоки, цепей и пружин, [ОКВЭД2 27.32] Производство прочих проводов и кабелей для электронного и электрического оборудования</t>
  </si>
  <si>
    <t>100061214219000008</t>
  </si>
  <si>
    <t>5105020204</t>
  </si>
  <si>
    <t>31907731198</t>
  </si>
  <si>
    <t>5436311719</t>
  </si>
  <si>
    <t>752041</t>
  </si>
  <si>
    <t>752009</t>
  </si>
  <si>
    <t>752025</t>
  </si>
  <si>
    <t>5117065288</t>
  </si>
  <si>
    <t>1224973</t>
  </si>
  <si>
    <t>Полярные Зори</t>
  </si>
  <si>
    <t>0131100011419000093</t>
  </si>
  <si>
    <t>752066</t>
  </si>
  <si>
    <t>752053</t>
  </si>
  <si>
    <t>100293022219000020</t>
  </si>
  <si>
    <t>31907729683</t>
  </si>
  <si>
    <t>2541059</t>
  </si>
  <si>
    <t>ATOM04041900172</t>
  </si>
  <si>
    <t>100293022219000016</t>
  </si>
  <si>
    <t>5050001062</t>
  </si>
  <si>
    <t>671926</t>
  </si>
  <si>
    <t>671927</t>
  </si>
  <si>
    <t>100293022219000008</t>
  </si>
  <si>
    <t>671920</t>
  </si>
  <si>
    <t>2308111927</t>
  </si>
  <si>
    <t>31907730010</t>
  </si>
  <si>
    <t>3666073790</t>
  </si>
  <si>
    <t>31907729976</t>
  </si>
  <si>
    <t>31907729165</t>
  </si>
  <si>
    <t>6670419101</t>
  </si>
  <si>
    <t>5050057675</t>
  </si>
  <si>
    <t>671874</t>
  </si>
  <si>
    <t>4816006614</t>
  </si>
  <si>
    <t>100029476219000004</t>
  </si>
  <si>
    <t>Усманский район</t>
  </si>
  <si>
    <t>100029476219000005</t>
  </si>
  <si>
    <t>100297557219000010</t>
  </si>
  <si>
    <t>2346006017</t>
  </si>
  <si>
    <t>31907729597</t>
  </si>
  <si>
    <t>cntrt19102633DP</t>
  </si>
  <si>
    <t>[ОКПД2 43.21] Работы электромонтажные, [ОКВЭД2 26.30] Производство коммуникационного оборудования</t>
  </si>
  <si>
    <t>7811119930</t>
  </si>
  <si>
    <t>0372200086919000002</t>
  </si>
  <si>
    <t>7842348377</t>
  </si>
  <si>
    <t>4345333819</t>
  </si>
  <si>
    <t>100304602219000003</t>
  </si>
  <si>
    <t>6671086053</t>
  </si>
  <si>
    <t>0362500003719000010</t>
  </si>
  <si>
    <t>6659008690</t>
  </si>
  <si>
    <t>6670407353</t>
  </si>
  <si>
    <t>100304602219000004</t>
  </si>
  <si>
    <t>100259479219000004</t>
  </si>
  <si>
    <t>100304602219000002</t>
  </si>
  <si>
    <t>2540878</t>
  </si>
  <si>
    <t>100291405119000002</t>
  </si>
  <si>
    <t>5426101487</t>
  </si>
  <si>
    <t>750186</t>
  </si>
  <si>
    <t>6450065023</t>
  </si>
  <si>
    <t>31907728335</t>
  </si>
  <si>
    <t>6453067460</t>
  </si>
  <si>
    <t>100146482219000005</t>
  </si>
  <si>
    <t>8602015224</t>
  </si>
  <si>
    <t>749738</t>
  </si>
  <si>
    <t>5416102700</t>
  </si>
  <si>
    <t>749638</t>
  </si>
  <si>
    <t>5416102812</t>
  </si>
  <si>
    <t>749565</t>
  </si>
  <si>
    <t>5416102731</t>
  </si>
  <si>
    <t>749602</t>
  </si>
  <si>
    <t>5416102805</t>
  </si>
  <si>
    <t>749569</t>
  </si>
  <si>
    <t>RT04041900001</t>
  </si>
  <si>
    <t>100219210219000002</t>
  </si>
  <si>
    <t>1220149</t>
  </si>
  <si>
    <t>[ОКПД2 28.25] Оборудование промышленное холодильное и вентиляционное</t>
  </si>
  <si>
    <t>8612018136</t>
  </si>
  <si>
    <t>31907727013</t>
  </si>
  <si>
    <t>[ОКПД2 43.21] Работы электромонтажные, [ОКВЭД2 43.2+] Производство электромонтажных, санитарно-технических и прочих строительно-монтажных работ</t>
  </si>
  <si>
    <t>8612011370</t>
  </si>
  <si>
    <t>0362200072319000150</t>
  </si>
  <si>
    <t>6155031034</t>
  </si>
  <si>
    <t>0358300211919000057</t>
  </si>
  <si>
    <t>6167107489</t>
  </si>
  <si>
    <t>5044063751</t>
  </si>
  <si>
    <t>671357</t>
  </si>
  <si>
    <t>[ОКПД2 95.21] Услуги по ремонту приборов бытовой электроники, [ОКПД2 33.12] Услуги по ремонту оборудования</t>
  </si>
  <si>
    <t>5835120145</t>
  </si>
  <si>
    <t>31907726616</t>
  </si>
  <si>
    <t>[ОКПД2 26.40] Техника бытовая электронная, [ОКВЭД2 46.4+] Торговля оптовая непродовольственными потребительскими товарами</t>
  </si>
  <si>
    <t>0372100047319000049</t>
  </si>
  <si>
    <t>1655206460</t>
  </si>
  <si>
    <t>0111100008619000041</t>
  </si>
  <si>
    <t>1655248519</t>
  </si>
  <si>
    <t>2320211460</t>
  </si>
  <si>
    <t>100165146219000004</t>
  </si>
  <si>
    <t>3128037063</t>
  </si>
  <si>
    <t>748540</t>
  </si>
  <si>
    <t>2540640</t>
  </si>
  <si>
    <t>6656003743</t>
  </si>
  <si>
    <t>31907724561</t>
  </si>
  <si>
    <t>9102067836</t>
  </si>
  <si>
    <t>31907725170</t>
  </si>
  <si>
    <t>1223651</t>
  </si>
  <si>
    <t>3128002536</t>
  </si>
  <si>
    <t>0326100007019000017</t>
  </si>
  <si>
    <t>3665017313</t>
  </si>
  <si>
    <t>3123171403</t>
  </si>
  <si>
    <t>2128013367</t>
  </si>
  <si>
    <t>747710</t>
  </si>
  <si>
    <t>747827</t>
  </si>
  <si>
    <t>100304602119000003</t>
  </si>
  <si>
    <t>2315158387</t>
  </si>
  <si>
    <t>31907723992</t>
  </si>
  <si>
    <t>2309125922</t>
  </si>
  <si>
    <t>7701081730</t>
  </si>
  <si>
    <t>100304602119000002</t>
  </si>
  <si>
    <t>100304602119000004</t>
  </si>
  <si>
    <t>0116300000219000103</t>
  </si>
  <si>
    <t>1433030529</t>
  </si>
  <si>
    <t>31907724383</t>
  </si>
  <si>
    <t>5024043926</t>
  </si>
  <si>
    <t>2543000014</t>
  </si>
  <si>
    <t>0120100010819000015</t>
  </si>
  <si>
    <t>1117003622</t>
  </si>
  <si>
    <t>100115990219000006</t>
  </si>
  <si>
    <t>100057951219000014</t>
  </si>
  <si>
    <t>4342001639</t>
  </si>
  <si>
    <t>0140100006019000006</t>
  </si>
  <si>
    <t>Котельнич</t>
  </si>
  <si>
    <t>4347029959</t>
  </si>
  <si>
    <t>5024175954</t>
  </si>
  <si>
    <t>670903</t>
  </si>
  <si>
    <t>3128069770</t>
  </si>
  <si>
    <t>31907723719</t>
  </si>
  <si>
    <t>7318001376</t>
  </si>
  <si>
    <t>0168200002419001596</t>
  </si>
  <si>
    <t>Старомайнский район</t>
  </si>
  <si>
    <t>7327038453</t>
  </si>
  <si>
    <t>7325145516</t>
  </si>
  <si>
    <t>7325114839</t>
  </si>
  <si>
    <t>100120924219000008</t>
  </si>
  <si>
    <t>100120924219000009</t>
  </si>
  <si>
    <t>7727019543</t>
  </si>
  <si>
    <t>0373200036119000065</t>
  </si>
  <si>
    <t>5012023731</t>
  </si>
  <si>
    <t>7722655136</t>
  </si>
  <si>
    <t>7724413990</t>
  </si>
  <si>
    <t>0168200002419001597</t>
  </si>
  <si>
    <t>100120924219000007</t>
  </si>
  <si>
    <t>9102013284</t>
  </si>
  <si>
    <t>0175200000519000099</t>
  </si>
  <si>
    <t>910200140895</t>
  </si>
  <si>
    <t>5504237696</t>
  </si>
  <si>
    <t>746510</t>
  </si>
  <si>
    <t>4345138945</t>
  </si>
  <si>
    <t>100197111219000002</t>
  </si>
  <si>
    <t>5008029554</t>
  </si>
  <si>
    <t>670746</t>
  </si>
  <si>
    <t>7527002334</t>
  </si>
  <si>
    <t>100058925219000006</t>
  </si>
  <si>
    <t>Шилкинский район</t>
  </si>
  <si>
    <t>2539007634</t>
  </si>
  <si>
    <t>100194481219000005</t>
  </si>
  <si>
    <t>2019-691772</t>
  </si>
  <si>
    <t>7709886600</t>
  </si>
  <si>
    <t>0373200081219000325</t>
  </si>
  <si>
    <t>8603115790</t>
  </si>
  <si>
    <t>500721816085</t>
  </si>
  <si>
    <t>31907722004</t>
  </si>
  <si>
    <t>7838082893</t>
  </si>
  <si>
    <t>7841073200</t>
  </si>
  <si>
    <t>0374200000419000183</t>
  </si>
  <si>
    <t>9201526939</t>
  </si>
  <si>
    <t>9201512580</t>
  </si>
  <si>
    <t>7019027425</t>
  </si>
  <si>
    <t>31907719734</t>
  </si>
  <si>
    <t>7017214035</t>
  </si>
  <si>
    <t>7017049705</t>
  </si>
  <si>
    <t>7017401109</t>
  </si>
  <si>
    <t>5902293097</t>
  </si>
  <si>
    <t>0356300060519000012</t>
  </si>
  <si>
    <t>594203704434</t>
  </si>
  <si>
    <t>5229002060</t>
  </si>
  <si>
    <t>100077101219000001</t>
  </si>
  <si>
    <t>Сергачский район</t>
  </si>
  <si>
    <t>0113100005119000020</t>
  </si>
  <si>
    <t>183311697538</t>
  </si>
  <si>
    <t>1831148907</t>
  </si>
  <si>
    <t>1831185426</t>
  </si>
  <si>
    <t>181101173622</t>
  </si>
  <si>
    <t>0374200000419000181</t>
  </si>
  <si>
    <t>2724113972</t>
  </si>
  <si>
    <t>31907718254</t>
  </si>
  <si>
    <t>5517002973</t>
  </si>
  <si>
    <t>0352300015219000053</t>
  </si>
  <si>
    <t>Кормиловский район</t>
  </si>
  <si>
    <t>0352300015219000052</t>
  </si>
  <si>
    <t>4712006289</t>
  </si>
  <si>
    <t>100239209219000001</t>
  </si>
  <si>
    <t>Приозерский район</t>
  </si>
  <si>
    <t>ВВБ2019-0045(ЗКО)</t>
  </si>
  <si>
    <t>100107798219000087</t>
  </si>
  <si>
    <t>5075011062</t>
  </si>
  <si>
    <t>670494</t>
  </si>
  <si>
    <t>100061214219000001</t>
  </si>
  <si>
    <t>8801012845</t>
  </si>
  <si>
    <t>0319300325519000430</t>
  </si>
  <si>
    <t>Эвенкийский район - административно-территориальная единица с особым статусом</t>
  </si>
  <si>
    <t>2470000965</t>
  </si>
  <si>
    <t>100107798219000088</t>
  </si>
  <si>
    <t>0361200015019001758</t>
  </si>
  <si>
    <t>1644003838</t>
  </si>
  <si>
    <t>1222432</t>
  </si>
  <si>
    <t>5408106348</t>
  </si>
  <si>
    <t>0351100002919000389</t>
  </si>
  <si>
    <t>0114200000119000326</t>
  </si>
  <si>
    <t>2635832319</t>
  </si>
  <si>
    <t>0608006285</t>
  </si>
  <si>
    <t>31907717841</t>
  </si>
  <si>
    <t>2801232582</t>
  </si>
  <si>
    <t>100004464219000002</t>
  </si>
  <si>
    <t>0328100001419000082</t>
  </si>
  <si>
    <t>5836010515</t>
  </si>
  <si>
    <t>100114922219000001</t>
  </si>
  <si>
    <t>6163072309</t>
  </si>
  <si>
    <t>0358100012919000026</t>
  </si>
  <si>
    <t>6163129315</t>
  </si>
  <si>
    <t>100298227219000013</t>
  </si>
  <si>
    <t>100107798219000085</t>
  </si>
  <si>
    <t>ATOM02041900132</t>
  </si>
  <si>
    <t>7720832654</t>
  </si>
  <si>
    <t>0373200006219000217</t>
  </si>
  <si>
    <t>7536174139</t>
  </si>
  <si>
    <t>9718085952</t>
  </si>
  <si>
    <t>643904532246</t>
  </si>
  <si>
    <t>2318021359</t>
  </si>
  <si>
    <t>0118300018719000139</t>
  </si>
  <si>
    <t>2318035136</t>
  </si>
  <si>
    <t>5250051800</t>
  </si>
  <si>
    <t>327771</t>
  </si>
  <si>
    <t>Кстовский район</t>
  </si>
  <si>
    <t>2226021052</t>
  </si>
  <si>
    <t>100292888219000007</t>
  </si>
  <si>
    <t>100297557219000008</t>
  </si>
  <si>
    <t>0114200000119000324</t>
  </si>
  <si>
    <t>100120924119000009</t>
  </si>
  <si>
    <t>100297557219000009</t>
  </si>
  <si>
    <t>5006004321</t>
  </si>
  <si>
    <t>31907719154</t>
  </si>
  <si>
    <t>7743004840</t>
  </si>
  <si>
    <t>7714072807</t>
  </si>
  <si>
    <t>31907718520</t>
  </si>
  <si>
    <t>[ОКПД2 84.25] Услуги по обеспечению безопасности в чрезвычайных ситуациях; услуги по обеспечению безопасности в области использования атомной энергии, [ОКВЭД2 84.2+] Предоставление государственных услуг обществу</t>
  </si>
  <si>
    <t>31907718690</t>
  </si>
  <si>
    <t>4824037623</t>
  </si>
  <si>
    <t>5260380152</t>
  </si>
  <si>
    <t>7743203370</t>
  </si>
  <si>
    <t>3704009340</t>
  </si>
  <si>
    <t>7743795832</t>
  </si>
  <si>
    <t>100232561219000006</t>
  </si>
  <si>
    <t>2466228533</t>
  </si>
  <si>
    <t>0319100000219000129</t>
  </si>
  <si>
    <t>8709013318</t>
  </si>
  <si>
    <t>0688100000119000022</t>
  </si>
  <si>
    <t>9204562808</t>
  </si>
  <si>
    <t>100242027219000006</t>
  </si>
  <si>
    <t>100242027219000005</t>
  </si>
  <si>
    <t>0105100000719000030</t>
  </si>
  <si>
    <t>5028017726</t>
  </si>
  <si>
    <t>670046</t>
  </si>
  <si>
    <t>5401117816</t>
  </si>
  <si>
    <t>0851200000619001249</t>
  </si>
  <si>
    <t>3810339527</t>
  </si>
  <si>
    <t>5403123526</t>
  </si>
  <si>
    <t>7536053744</t>
  </si>
  <si>
    <t>100295368219000016</t>
  </si>
  <si>
    <t>100295368219000015</t>
  </si>
  <si>
    <t>7730239877</t>
  </si>
  <si>
    <t>COM02041900086</t>
  </si>
  <si>
    <t>369637</t>
  </si>
  <si>
    <t>COM02041900013</t>
  </si>
  <si>
    <t>2019-690881</t>
  </si>
  <si>
    <t>5001085824</t>
  </si>
  <si>
    <t>669970</t>
  </si>
  <si>
    <t>2460237901</t>
  </si>
  <si>
    <t>COM02041900079</t>
  </si>
  <si>
    <t>6501165653</t>
  </si>
  <si>
    <t>0161000000219000065</t>
  </si>
  <si>
    <t>[ОКПД2 25.93] Проволока, цепи и пружины</t>
  </si>
  <si>
    <t>7803031305</t>
  </si>
  <si>
    <t>0372200204819000020</t>
  </si>
  <si>
    <t>2636041207</t>
  </si>
  <si>
    <t>100235695219000001</t>
  </si>
  <si>
    <t>0373100132419000042</t>
  </si>
  <si>
    <t>2539701</t>
  </si>
  <si>
    <t>0373100132419000044</t>
  </si>
  <si>
    <t>1221821</t>
  </si>
  <si>
    <t>1221796</t>
  </si>
  <si>
    <t>ATOM01041900211</t>
  </si>
  <si>
    <t>0373100132419000041</t>
  </si>
  <si>
    <t>0373100132419000039</t>
  </si>
  <si>
    <t>1505005556</t>
  </si>
  <si>
    <t>0310300023419000007</t>
  </si>
  <si>
    <t>Алагирский район</t>
  </si>
  <si>
    <t>0373100132419000045</t>
  </si>
  <si>
    <t>0373100132419000046</t>
  </si>
  <si>
    <t>4909044651</t>
  </si>
  <si>
    <t>0347100002519000005</t>
  </si>
  <si>
    <t>ATOM01041900217</t>
  </si>
  <si>
    <t>0373100132419000043</t>
  </si>
  <si>
    <t>0373100132419000047</t>
  </si>
  <si>
    <t>31907715420</t>
  </si>
  <si>
    <t>0373100132419000040</t>
  </si>
  <si>
    <t>6315015812</t>
  </si>
  <si>
    <t>0142200001319003975</t>
  </si>
  <si>
    <t>6311151420</t>
  </si>
  <si>
    <t>5031051780</t>
  </si>
  <si>
    <t>669612</t>
  </si>
  <si>
    <t>1821002514</t>
  </si>
  <si>
    <t>0813500000119002349</t>
  </si>
  <si>
    <t>Увинский район</t>
  </si>
  <si>
    <t>165041080407</t>
  </si>
  <si>
    <t>1832105857</t>
  </si>
  <si>
    <t>1840034840</t>
  </si>
  <si>
    <t>1841013553</t>
  </si>
  <si>
    <t>5260258667</t>
  </si>
  <si>
    <t>100044657219000006</t>
  </si>
  <si>
    <t>5613000552</t>
  </si>
  <si>
    <t>0353100018019000038</t>
  </si>
  <si>
    <t>6452105391</t>
  </si>
  <si>
    <t>5506031309</t>
  </si>
  <si>
    <t>31907714463</t>
  </si>
  <si>
    <t>31907714568</t>
  </si>
  <si>
    <t>4501202478</t>
  </si>
  <si>
    <t>0334200000519000031</t>
  </si>
  <si>
    <t>1221589</t>
  </si>
  <si>
    <t>ATOM01041900163</t>
  </si>
  <si>
    <t>1221516</t>
  </si>
  <si>
    <t>31907714310</t>
  </si>
  <si>
    <t>ATOM01041900151</t>
  </si>
  <si>
    <t>РН904148</t>
  </si>
  <si>
    <t>1221207</t>
  </si>
  <si>
    <t>0334200000519000029</t>
  </si>
  <si>
    <t>6163021657</t>
  </si>
  <si>
    <t>0158200003319000065</t>
  </si>
  <si>
    <t>[ОКПД2 73.11] Услуги, предоставляемые рекламными агентствами</t>
  </si>
  <si>
    <t>6164077028</t>
  </si>
  <si>
    <t>100231450219000004</t>
  </si>
  <si>
    <t>0334200000519000027</t>
  </si>
  <si>
    <t>0264000846</t>
  </si>
  <si>
    <t>0301200081019000008</t>
  </si>
  <si>
    <t>Нефтекамск</t>
  </si>
  <si>
    <t>0264051390</t>
  </si>
  <si>
    <t>0351200003319000449</t>
  </si>
  <si>
    <t>1215099584</t>
  </si>
  <si>
    <t>100087959219000003</t>
  </si>
  <si>
    <t>7807017647</t>
  </si>
  <si>
    <t>0372200006519000009</t>
  </si>
  <si>
    <t>7806496193</t>
  </si>
  <si>
    <t>781435968631</t>
  </si>
  <si>
    <t>4205372215</t>
  </si>
  <si>
    <t>0139400000219000013</t>
  </si>
  <si>
    <t>31907712632</t>
  </si>
  <si>
    <t>5406447159</t>
  </si>
  <si>
    <t>740580</t>
  </si>
  <si>
    <t>7814106827</t>
  </si>
  <si>
    <t>0372200130919000006</t>
  </si>
  <si>
    <t>7811348553</t>
  </si>
  <si>
    <t>ДВБ2019-0029(ЗПО)</t>
  </si>
  <si>
    <t>6112003586</t>
  </si>
  <si>
    <t>100135655219000001</t>
  </si>
  <si>
    <t>Зимовниковский район</t>
  </si>
  <si>
    <t>0327300028619000006</t>
  </si>
  <si>
    <t>1501024759</t>
  </si>
  <si>
    <t>0310200000319000707</t>
  </si>
  <si>
    <t>1513061018</t>
  </si>
  <si>
    <t>1513059178</t>
  </si>
  <si>
    <t>1515909303</t>
  </si>
  <si>
    <t>1639009175</t>
  </si>
  <si>
    <t>0311100015619000009</t>
  </si>
  <si>
    <t>160400031572</t>
  </si>
  <si>
    <t>0264020257</t>
  </si>
  <si>
    <t>0362300002319000023</t>
  </si>
  <si>
    <t>2313019317</t>
  </si>
  <si>
    <t>0118100003119000017</t>
  </si>
  <si>
    <t>Кавказский район</t>
  </si>
  <si>
    <t>2361008604</t>
  </si>
  <si>
    <t>2364006002</t>
  </si>
  <si>
    <t>2536207610</t>
  </si>
  <si>
    <t>5076493</t>
  </si>
  <si>
    <t>1220803</t>
  </si>
  <si>
    <t>4230016154</t>
  </si>
  <si>
    <t>0339300103119000002</t>
  </si>
  <si>
    <t>Юргинский район</t>
  </si>
  <si>
    <t>421804454786</t>
  </si>
  <si>
    <t>4230030198</t>
  </si>
  <si>
    <t>4205306325</t>
  </si>
  <si>
    <t>ATOM01041900006</t>
  </si>
  <si>
    <t>6603013508</t>
  </si>
  <si>
    <t>31907705890</t>
  </si>
  <si>
    <t>4101036120</t>
  </si>
  <si>
    <t>0338300007819000048</t>
  </si>
  <si>
    <t>1220564</t>
  </si>
  <si>
    <t>5836013717</t>
  </si>
  <si>
    <t>0855200000519000689</t>
  </si>
  <si>
    <t>31907710989</t>
  </si>
  <si>
    <t>7718834809</t>
  </si>
  <si>
    <t>1701009765</t>
  </si>
  <si>
    <t>0312300017319000039</t>
  </si>
  <si>
    <t>246311530940</t>
  </si>
  <si>
    <t>31907710456</t>
  </si>
  <si>
    <t>7714862523</t>
  </si>
  <si>
    <t>6153023616</t>
  </si>
  <si>
    <t>0158300033619000048</t>
  </si>
  <si>
    <t>615308997460</t>
  </si>
  <si>
    <t>6153005247</t>
  </si>
  <si>
    <t>0855200000519000674</t>
  </si>
  <si>
    <t>0855200000519000675</t>
  </si>
  <si>
    <t>7838434432</t>
  </si>
  <si>
    <t>100174007219000003</t>
  </si>
  <si>
    <t>31907709595</t>
  </si>
  <si>
    <t>4238003446</t>
  </si>
  <si>
    <t>0239100003919000064</t>
  </si>
  <si>
    <t>421716035909</t>
  </si>
  <si>
    <t>4217156917</t>
  </si>
  <si>
    <t>4205288250</t>
  </si>
  <si>
    <t>738581</t>
  </si>
  <si>
    <t>7714072839</t>
  </si>
  <si>
    <t>31907709702</t>
  </si>
  <si>
    <t>4345080043</t>
  </si>
  <si>
    <t>0340200003319003361</t>
  </si>
  <si>
    <t>3525204063</t>
  </si>
  <si>
    <t>4345253539</t>
  </si>
  <si>
    <t>0372200290019000081</t>
  </si>
  <si>
    <t>7826099638</t>
  </si>
  <si>
    <t>4508001996</t>
  </si>
  <si>
    <t>0343200029519000055</t>
  </si>
  <si>
    <t>Каргапольский район</t>
  </si>
  <si>
    <t>4501125960</t>
  </si>
  <si>
    <t>4501111887</t>
  </si>
  <si>
    <t>100135655119000001</t>
  </si>
  <si>
    <t>0122100010519000067</t>
  </si>
  <si>
    <t>100261847219000004</t>
  </si>
  <si>
    <t>3435111079</t>
  </si>
  <si>
    <t>100199017119000003</t>
  </si>
  <si>
    <t>1220437</t>
  </si>
  <si>
    <t>Альметьевский район</t>
  </si>
  <si>
    <t>0318100031819000003</t>
  </si>
  <si>
    <t>0107021966</t>
  </si>
  <si>
    <t>6154026296</t>
  </si>
  <si>
    <t>738484</t>
  </si>
  <si>
    <t>738501</t>
  </si>
  <si>
    <t>0855200000519000661</t>
  </si>
  <si>
    <t>3122008041</t>
  </si>
  <si>
    <t>738142</t>
  </si>
  <si>
    <t>0855200000519000659</t>
  </si>
  <si>
    <t>7728662669</t>
  </si>
  <si>
    <t>31907708484</t>
  </si>
  <si>
    <t>7722734846</t>
  </si>
  <si>
    <t>7715592358</t>
  </si>
  <si>
    <t>7730016670</t>
  </si>
  <si>
    <t>7724395003</t>
  </si>
  <si>
    <t>7724244406</t>
  </si>
  <si>
    <t>7705307770</t>
  </si>
  <si>
    <t>31907707861</t>
  </si>
  <si>
    <t>0855200000519000662</t>
  </si>
  <si>
    <t>8619009758</t>
  </si>
  <si>
    <t>0187300001719000191</t>
  </si>
  <si>
    <t>1659115816</t>
  </si>
  <si>
    <t>5422111533</t>
  </si>
  <si>
    <t>2465142996</t>
  </si>
  <si>
    <t>РН987739</t>
  </si>
  <si>
    <t>3906079478</t>
  </si>
  <si>
    <t>31907707821</t>
  </si>
  <si>
    <t>3906332297</t>
  </si>
  <si>
    <t>4633016157</t>
  </si>
  <si>
    <t>100140271219000002</t>
  </si>
  <si>
    <t>0855200000519000658</t>
  </si>
  <si>
    <t>2235003250</t>
  </si>
  <si>
    <t>737463</t>
  </si>
  <si>
    <t>Благовещенский район</t>
  </si>
  <si>
    <t>737340</t>
  </si>
  <si>
    <t>100140271219000003</t>
  </si>
  <si>
    <t>668536</t>
  </si>
  <si>
    <t>0384200001819000100</t>
  </si>
  <si>
    <t>31907706358</t>
  </si>
  <si>
    <t>7707828786</t>
  </si>
  <si>
    <t>5044019382</t>
  </si>
  <si>
    <t>0848300066119000187</t>
  </si>
  <si>
    <t>4027129168</t>
  </si>
  <si>
    <t>91001</t>
  </si>
  <si>
    <t>0372200102319000001</t>
  </si>
  <si>
    <t>5190800121</t>
  </si>
  <si>
    <t>31907705983</t>
  </si>
  <si>
    <t>0160300003619000073</t>
  </si>
  <si>
    <t>6449031164</t>
  </si>
  <si>
    <t>6449019329</t>
  </si>
  <si>
    <t>6449031069</t>
  </si>
  <si>
    <t>6449030097</t>
  </si>
  <si>
    <t>6449044533</t>
  </si>
  <si>
    <t>6449019449</t>
  </si>
  <si>
    <t>6449019400</t>
  </si>
  <si>
    <t>6449081662</t>
  </si>
  <si>
    <t>644910232034</t>
  </si>
  <si>
    <t>6455040047</t>
  </si>
  <si>
    <t>0135100005419000089</t>
  </si>
  <si>
    <t>5442101244</t>
  </si>
  <si>
    <t>0151100016619000029</t>
  </si>
  <si>
    <t>Чулымский район</t>
  </si>
  <si>
    <t>5406519981</t>
  </si>
  <si>
    <t>7709267582</t>
  </si>
  <si>
    <t>8613004979</t>
  </si>
  <si>
    <t>736581</t>
  </si>
  <si>
    <t>7814133757</t>
  </si>
  <si>
    <t>0372200077719000023</t>
  </si>
  <si>
    <t>7811416531</t>
  </si>
  <si>
    <t>7814567169</t>
  </si>
  <si>
    <t>7838046743</t>
  </si>
  <si>
    <t>31907705012</t>
  </si>
  <si>
    <t>7717091519</t>
  </si>
  <si>
    <t>31907705427</t>
  </si>
  <si>
    <t>7727595755</t>
  </si>
  <si>
    <t>5036062137</t>
  </si>
  <si>
    <t>668326</t>
  </si>
  <si>
    <t>668341</t>
  </si>
  <si>
    <t>РН987618</t>
  </si>
  <si>
    <t>0173200001419000356</t>
  </si>
  <si>
    <t>7719627410</t>
  </si>
  <si>
    <t>100050563219000002</t>
  </si>
  <si>
    <t>2311043339</t>
  </si>
  <si>
    <t>31907705029</t>
  </si>
  <si>
    <t>31907705364</t>
  </si>
  <si>
    <t>780600542968</t>
  </si>
  <si>
    <t>3662046958</t>
  </si>
  <si>
    <t>3662168233</t>
  </si>
  <si>
    <t>3664132909</t>
  </si>
  <si>
    <t>8301020284</t>
  </si>
  <si>
    <t>736466</t>
  </si>
  <si>
    <t>7722319952</t>
  </si>
  <si>
    <t>736392</t>
  </si>
  <si>
    <t>7606000386</t>
  </si>
  <si>
    <t>0271100000119000016</t>
  </si>
  <si>
    <t>7604312446</t>
  </si>
  <si>
    <t>7805144872</t>
  </si>
  <si>
    <t>0372200043419000003</t>
  </si>
  <si>
    <t>4428477</t>
  </si>
  <si>
    <t>8613004496</t>
  </si>
  <si>
    <t>0387300095419000001</t>
  </si>
  <si>
    <t>2628016140</t>
  </si>
  <si>
    <t>0321100029619000048</t>
  </si>
  <si>
    <t>2629011674</t>
  </si>
  <si>
    <t>7722433888</t>
  </si>
  <si>
    <t>0372200077719000024</t>
  </si>
  <si>
    <t>7826159679</t>
  </si>
  <si>
    <t>0374200019719000006</t>
  </si>
  <si>
    <t>5035028060</t>
  </si>
  <si>
    <t>668243</t>
  </si>
  <si>
    <t>0855200000519000645</t>
  </si>
  <si>
    <t>7805144907</t>
  </si>
  <si>
    <t>0372200071719000003</t>
  </si>
  <si>
    <t>31907704038</t>
  </si>
  <si>
    <t>[ОКПД2 20.30] Материалы лакокрасочные и аналогичные для нанесения покрытий, полиграфические краски и мастики, [ОКВЭД2 20.30] Производство красок, лаков и аналогичных материалов для нанесения покрытий, полиграфических красок и мастик</t>
  </si>
  <si>
    <t>7708826598</t>
  </si>
  <si>
    <t>0855200000519000652</t>
  </si>
  <si>
    <t>0855200000519000651</t>
  </si>
  <si>
    <t>5439103499</t>
  </si>
  <si>
    <t>735631</t>
  </si>
  <si>
    <t>5439103234</t>
  </si>
  <si>
    <t>735595</t>
  </si>
  <si>
    <t>5439103435</t>
  </si>
  <si>
    <t>735512</t>
  </si>
  <si>
    <t>5439103227</t>
  </si>
  <si>
    <t>735548</t>
  </si>
  <si>
    <t>369047</t>
  </si>
  <si>
    <t>2019-689448</t>
  </si>
  <si>
    <t>0162200011819000646</t>
  </si>
  <si>
    <t>6672138554</t>
  </si>
  <si>
    <t>0848300062219000216</t>
  </si>
  <si>
    <t>5021010658</t>
  </si>
  <si>
    <t>5074018957</t>
  </si>
  <si>
    <t>507400096705</t>
  </si>
  <si>
    <t>0855200000519000640</t>
  </si>
  <si>
    <t>0855200000519000641</t>
  </si>
  <si>
    <t>0855200000519000642</t>
  </si>
  <si>
    <t>0855200000519000643</t>
  </si>
  <si>
    <t>0573200002419000147</t>
  </si>
  <si>
    <t>7724582035</t>
  </si>
  <si>
    <t>7726550800</t>
  </si>
  <si>
    <t>0855200000519000634</t>
  </si>
  <si>
    <t>0855200000519000644</t>
  </si>
  <si>
    <t>100288965219000012</t>
  </si>
  <si>
    <t>3102013484</t>
  </si>
  <si>
    <t>0126200000419000930</t>
  </si>
  <si>
    <t>3123086388</t>
  </si>
  <si>
    <t>31907701827</t>
  </si>
  <si>
    <t>31907701916</t>
  </si>
  <si>
    <t>100288965219000013</t>
  </si>
  <si>
    <t>5448100399</t>
  </si>
  <si>
    <t>0351300134719000067</t>
  </si>
  <si>
    <t>Обь</t>
  </si>
  <si>
    <t>7717668394</t>
  </si>
  <si>
    <t>31907702041</t>
  </si>
  <si>
    <t>Светлогорск</t>
  </si>
  <si>
    <t>3904064645</t>
  </si>
  <si>
    <t>3906371708</t>
  </si>
  <si>
    <t>0855200000519000633</t>
  </si>
  <si>
    <t>0126200000419000929</t>
  </si>
  <si>
    <t>3123333661</t>
  </si>
  <si>
    <t>3123105640</t>
  </si>
  <si>
    <t>3123089886</t>
  </si>
  <si>
    <t>0345200003919000021</t>
  </si>
  <si>
    <t>7719272800</t>
  </si>
  <si>
    <t>31907700989</t>
  </si>
  <si>
    <t>[ОКПД2 63.11] Услуги по обработке данных, размещению и взаимосвязанные услуги, [ОКВЭД2 63.9+] Деятельность в области информационных услуг прочая</t>
  </si>
  <si>
    <t>7710414961</t>
  </si>
  <si>
    <t>7736680750</t>
  </si>
  <si>
    <t>2319056379</t>
  </si>
  <si>
    <t>31907701317</t>
  </si>
  <si>
    <t>503823784423</t>
  </si>
  <si>
    <t>6501055146</t>
  </si>
  <si>
    <t>0161300000119000491</t>
  </si>
  <si>
    <t>6501093430</t>
  </si>
  <si>
    <t>6501146700</t>
  </si>
  <si>
    <t>6501221587</t>
  </si>
  <si>
    <t>6501221555</t>
  </si>
  <si>
    <t>6119007004</t>
  </si>
  <si>
    <t>100315871219000013</t>
  </si>
  <si>
    <t>3123087159</t>
  </si>
  <si>
    <t>734509</t>
  </si>
  <si>
    <t>7704040281</t>
  </si>
  <si>
    <t>0373100108119000090</t>
  </si>
  <si>
    <t>2626040885</t>
  </si>
  <si>
    <t>2302050964</t>
  </si>
  <si>
    <t>262802743801</t>
  </si>
  <si>
    <t>7021000043</t>
  </si>
  <si>
    <t>31907697852</t>
  </si>
  <si>
    <t>[ОКПД2 28.99] Оборудование специального назначения прочее, не включенное в другие группировки, [ОКПД2 26.80] Носители данных магнитные и оптические, [ОКВЭД2 28.99] Производство прочих машин и оборудования специального назначения, не включенных в другие группировки, [ОКВЭД2 26.80] Производство незаписанных магнитных и оптических технических носителей информации</t>
  </si>
  <si>
    <t>7017401980</t>
  </si>
  <si>
    <t>2364001237</t>
  </si>
  <si>
    <t>0118300004519000153</t>
  </si>
  <si>
    <t>2329016103</t>
  </si>
  <si>
    <t>235604461953</t>
  </si>
  <si>
    <t>2309110281</t>
  </si>
  <si>
    <t>6148004463</t>
  </si>
  <si>
    <t>734420</t>
  </si>
  <si>
    <t>667932</t>
  </si>
  <si>
    <t>0145300003819000005</t>
  </si>
  <si>
    <t>4703078488</t>
  </si>
  <si>
    <t>6603009974</t>
  </si>
  <si>
    <t>0362300198219000004</t>
  </si>
  <si>
    <t>6652032197</t>
  </si>
  <si>
    <t>100203226219000003</t>
  </si>
  <si>
    <t>7805386494</t>
  </si>
  <si>
    <t>0372200125719000004</t>
  </si>
  <si>
    <t>2353021506</t>
  </si>
  <si>
    <t>0818300019919000094</t>
  </si>
  <si>
    <t>235302001163</t>
  </si>
  <si>
    <t>2353021249</t>
  </si>
  <si>
    <t>2328040128</t>
  </si>
  <si>
    <t>0855200000519000619</t>
  </si>
  <si>
    <t>31907699412</t>
  </si>
  <si>
    <t>5222010425</t>
  </si>
  <si>
    <t>0132300002019000021</t>
  </si>
  <si>
    <t>5260341763</t>
  </si>
  <si>
    <t>100242906219000098</t>
  </si>
  <si>
    <t>31907699404</t>
  </si>
  <si>
    <t>[ОКПД2 86.21] Услуги в области общей врачебной практики, [ОКВЭД2 86.21] Общая врачебная практика</t>
  </si>
  <si>
    <t>5010028043</t>
  </si>
  <si>
    <t>667833</t>
  </si>
  <si>
    <t>6231021048</t>
  </si>
  <si>
    <t>0859200001119002886</t>
  </si>
  <si>
    <t>9102211600</t>
  </si>
  <si>
    <t>2464028666</t>
  </si>
  <si>
    <t>31907696379</t>
  </si>
  <si>
    <t>2463248860</t>
  </si>
  <si>
    <t>7536050020</t>
  </si>
  <si>
    <t>0891200000619002366</t>
  </si>
  <si>
    <t>0848300046119000108</t>
  </si>
  <si>
    <t>7703407970</t>
  </si>
  <si>
    <t>502801897421</t>
  </si>
  <si>
    <t>2625015269</t>
  </si>
  <si>
    <t>100257008219000004</t>
  </si>
  <si>
    <t>4704021251</t>
  </si>
  <si>
    <t>100295062219000001</t>
  </si>
  <si>
    <t>5032039218</t>
  </si>
  <si>
    <t>667657</t>
  </si>
  <si>
    <t>0187300013719000070</t>
  </si>
  <si>
    <t>2536019060</t>
  </si>
  <si>
    <t>100196782219000009</t>
  </si>
  <si>
    <t>1218618</t>
  </si>
  <si>
    <t>100143749219000004</t>
  </si>
  <si>
    <t>7703052630</t>
  </si>
  <si>
    <t>0376100008919000005</t>
  </si>
  <si>
    <t>100050563119000002</t>
  </si>
  <si>
    <t>100315871219000011</t>
  </si>
  <si>
    <t>7804400450</t>
  </si>
  <si>
    <t>0372200130119000040</t>
  </si>
  <si>
    <t>0127200000819000041</t>
  </si>
  <si>
    <t>1105004460</t>
  </si>
  <si>
    <t>0307300052619000113</t>
  </si>
  <si>
    <t>Печора</t>
  </si>
  <si>
    <t>1105018984</t>
  </si>
  <si>
    <t>8906005041</t>
  </si>
  <si>
    <t>0190200000319003273</t>
  </si>
  <si>
    <t>Муравленко</t>
  </si>
  <si>
    <t>8905044023</t>
  </si>
  <si>
    <t>7704193182</t>
  </si>
  <si>
    <t>100304827219000002</t>
  </si>
  <si>
    <t>100060538219000003</t>
  </si>
  <si>
    <t>100060538219000004</t>
  </si>
  <si>
    <t>100270954119000034</t>
  </si>
  <si>
    <t>5410028351</t>
  </si>
  <si>
    <t>31907694971</t>
  </si>
  <si>
    <t>5402519067</t>
  </si>
  <si>
    <t>4205328826</t>
  </si>
  <si>
    <t>1654003114</t>
  </si>
  <si>
    <t>31907695379</t>
  </si>
  <si>
    <t>[ОКПД2 28.14] Краны и клапаны прочие, [ОКПД2 26.51] Оборудование для измерения, испытаний и навигации, [ОКВЭД2 28.14] Производство прочих кранов и клапанов, [ОКВЭД2 26.51] Производство инструментов и приборов для измерения, тестирования и навигации</t>
  </si>
  <si>
    <t>7805045350</t>
  </si>
  <si>
    <t>0372200006219000057</t>
  </si>
  <si>
    <t>7842147039</t>
  </si>
  <si>
    <t>7807213433</t>
  </si>
  <si>
    <t>7805062010</t>
  </si>
  <si>
    <t>0195100000219000146</t>
  </si>
  <si>
    <t>0195100000219000147</t>
  </si>
  <si>
    <t>9203007640</t>
  </si>
  <si>
    <t>0374200004319000043</t>
  </si>
  <si>
    <t>7811589767</t>
  </si>
  <si>
    <t>9102187650</t>
  </si>
  <si>
    <t>9102246994</t>
  </si>
  <si>
    <t>920251189045</t>
  </si>
  <si>
    <t>9201003664</t>
  </si>
  <si>
    <t>660302069606</t>
  </si>
  <si>
    <t>2452018078</t>
  </si>
  <si>
    <t>9201515060</t>
  </si>
  <si>
    <t>920161575374</t>
  </si>
  <si>
    <t>9204568648</t>
  </si>
  <si>
    <t>31907694747</t>
  </si>
  <si>
    <t>300711</t>
  </si>
  <si>
    <t>2405002063</t>
  </si>
  <si>
    <t>0319300209919000016</t>
  </si>
  <si>
    <t>Бирилюсский район</t>
  </si>
  <si>
    <t>2443023681</t>
  </si>
  <si>
    <t>7705874233</t>
  </si>
  <si>
    <t>2460037892</t>
  </si>
  <si>
    <t>31907694769</t>
  </si>
  <si>
    <t>0127200000819000038</t>
  </si>
  <si>
    <t>0162200011819000598</t>
  </si>
  <si>
    <t>5907054624</t>
  </si>
  <si>
    <t>1435124420</t>
  </si>
  <si>
    <t>0116300000119000188</t>
  </si>
  <si>
    <t>1434025987</t>
  </si>
  <si>
    <t>1435214384</t>
  </si>
  <si>
    <t>1435272731</t>
  </si>
  <si>
    <t>3120099501</t>
  </si>
  <si>
    <t>730459</t>
  </si>
  <si>
    <t>Шебекино</t>
  </si>
  <si>
    <t>0195100000219000144</t>
  </si>
  <si>
    <t>1218230</t>
  </si>
  <si>
    <t>0855200000519000591</t>
  </si>
  <si>
    <t>31907693850</t>
  </si>
  <si>
    <t>0116100002919000041</t>
  </si>
  <si>
    <t>4101142320</t>
  </si>
  <si>
    <t>0338100009219000053</t>
  </si>
  <si>
    <t>Вилючинск</t>
  </si>
  <si>
    <t>2538179</t>
  </si>
  <si>
    <t>3304004267</t>
  </si>
  <si>
    <t>31907693791</t>
  </si>
  <si>
    <t>3304009466</t>
  </si>
  <si>
    <t>7718115064</t>
  </si>
  <si>
    <t>0373200059719000095</t>
  </si>
  <si>
    <t>7716710710</t>
  </si>
  <si>
    <t>7720410109</t>
  </si>
  <si>
    <t>7704449540</t>
  </si>
  <si>
    <t>2711006733</t>
  </si>
  <si>
    <t>0122300002619000033</t>
  </si>
  <si>
    <t>Вяземский район</t>
  </si>
  <si>
    <t>271100005910</t>
  </si>
  <si>
    <t>272012862354</t>
  </si>
  <si>
    <t>270700027907</t>
  </si>
  <si>
    <t>5023006230</t>
  </si>
  <si>
    <t>667155</t>
  </si>
  <si>
    <t>5907013219</t>
  </si>
  <si>
    <t>31907691905</t>
  </si>
  <si>
    <t>[ОКПД2 81.10] Услуги по комплексному обслуживанию помещений, [ОКВЭД2 80.10] Деятельность частных охранных служб</t>
  </si>
  <si>
    <t>5904199766</t>
  </si>
  <si>
    <t>0855200000519000588</t>
  </si>
  <si>
    <t>6125002396</t>
  </si>
  <si>
    <t>729926</t>
  </si>
  <si>
    <t>729896</t>
  </si>
  <si>
    <t>2540088123</t>
  </si>
  <si>
    <t>0120100005519000007</t>
  </si>
  <si>
    <t>3445097480</t>
  </si>
  <si>
    <t>100036139219000004</t>
  </si>
  <si>
    <t>5049012172</t>
  </si>
  <si>
    <t>667003</t>
  </si>
  <si>
    <t>31907691729</t>
  </si>
  <si>
    <t>5903070946</t>
  </si>
  <si>
    <t>31907692794</t>
  </si>
  <si>
    <t>5110905114</t>
  </si>
  <si>
    <t>7821006750</t>
  </si>
  <si>
    <t>0372200044019000014</t>
  </si>
  <si>
    <t>3442007544</t>
  </si>
  <si>
    <t>0329200062219000731</t>
  </si>
  <si>
    <t>344104746429</t>
  </si>
  <si>
    <t>3442082647</t>
  </si>
  <si>
    <t>3444114171</t>
  </si>
  <si>
    <t>3444187250</t>
  </si>
  <si>
    <t>3435301048</t>
  </si>
  <si>
    <t>3459008602</t>
  </si>
  <si>
    <t>5042082903</t>
  </si>
  <si>
    <t>0148300042819000021</t>
  </si>
  <si>
    <t>5029171255</t>
  </si>
  <si>
    <t>5029207021</t>
  </si>
  <si>
    <t>7743119520</t>
  </si>
  <si>
    <t>31907690966</t>
  </si>
  <si>
    <t>536230</t>
  </si>
  <si>
    <t>6418000705</t>
  </si>
  <si>
    <t>31907690638</t>
  </si>
  <si>
    <t>п Михайловский</t>
  </si>
  <si>
    <t>6445010903</t>
  </si>
  <si>
    <t>6453121269</t>
  </si>
  <si>
    <t>31907688558</t>
  </si>
  <si>
    <t>4703145254</t>
  </si>
  <si>
    <t>31907691253</t>
  </si>
  <si>
    <t>0373100096719000002</t>
  </si>
  <si>
    <t>[ОКПД2 42.12] Дороги железные наземные и подземные; строительные работы по строительству наземных и подземных железных дорог</t>
  </si>
  <si>
    <t>100112768219000001</t>
  </si>
  <si>
    <t>4710023627</t>
  </si>
  <si>
    <t>0372200277719000017</t>
  </si>
  <si>
    <t>4710025060</t>
  </si>
  <si>
    <t>4710027808</t>
  </si>
  <si>
    <t>532117172030</t>
  </si>
  <si>
    <t>6165028680</t>
  </si>
  <si>
    <t>0358200036219000231</t>
  </si>
  <si>
    <t>6166062203</t>
  </si>
  <si>
    <t>615508194679</t>
  </si>
  <si>
    <t>100087959119000004</t>
  </si>
  <si>
    <t>7160</t>
  </si>
  <si>
    <t>4628004935</t>
  </si>
  <si>
    <t>100041061219000002</t>
  </si>
  <si>
    <t>Щигры</t>
  </si>
  <si>
    <t>6441013798</t>
  </si>
  <si>
    <t>0160300006519000042</t>
  </si>
  <si>
    <t>6441020749</t>
  </si>
  <si>
    <t>6630002336</t>
  </si>
  <si>
    <t>31907689534</t>
  </si>
  <si>
    <t>[ОКПД2 96.09] Услуги персональные прочие, не включенные в другие группировки, [ОКВЭД2 80.10] Деятельность частных охранных служб</t>
  </si>
  <si>
    <t>6681008551</t>
  </si>
  <si>
    <t>7527006924</t>
  </si>
  <si>
    <t>100078593219000002</t>
  </si>
  <si>
    <t>1217574</t>
  </si>
  <si>
    <t>1644055843</t>
  </si>
  <si>
    <t>8602001782</t>
  </si>
  <si>
    <t>0387200026019000014</t>
  </si>
  <si>
    <t>8602071892</t>
  </si>
  <si>
    <t>7203406753</t>
  </si>
  <si>
    <t>0167400000319000056</t>
  </si>
  <si>
    <t>8602221530</t>
  </si>
  <si>
    <t>1102011331</t>
  </si>
  <si>
    <t>31907690405</t>
  </si>
  <si>
    <t>0318200019019000041</t>
  </si>
  <si>
    <t>2338010637</t>
  </si>
  <si>
    <t>5035020617</t>
  </si>
  <si>
    <t>666734</t>
  </si>
  <si>
    <t>0848300048219000044</t>
  </si>
  <si>
    <t>100196782219000008</t>
  </si>
  <si>
    <t>31907689010</t>
  </si>
  <si>
    <t>7204036199</t>
  </si>
  <si>
    <t>0167200003419001056</t>
  </si>
  <si>
    <t>7203227874</t>
  </si>
  <si>
    <t>246200866007</t>
  </si>
  <si>
    <t>7204093398</t>
  </si>
  <si>
    <t>721301325743</t>
  </si>
  <si>
    <t>7203336104</t>
  </si>
  <si>
    <t>7202186343</t>
  </si>
  <si>
    <t>7204198143</t>
  </si>
  <si>
    <t>6313034986</t>
  </si>
  <si>
    <t>31907688834</t>
  </si>
  <si>
    <t>[ОКПД2 43.21] Работы электромонтажные, [ОКВЭД2 43+] Работы строительные специализированные</t>
  </si>
  <si>
    <t>6164045555</t>
  </si>
  <si>
    <t>0158100014419000096</t>
  </si>
  <si>
    <t>5075010742</t>
  </si>
  <si>
    <t>31907688484</t>
  </si>
  <si>
    <t>5075034422</t>
  </si>
  <si>
    <t>0158100014419000095</t>
  </si>
  <si>
    <t>100301512219000068</t>
  </si>
  <si>
    <t>100057951119000030</t>
  </si>
  <si>
    <t>7709770002</t>
  </si>
  <si>
    <t>368585</t>
  </si>
  <si>
    <t>2019-688374</t>
  </si>
  <si>
    <t>4250005979</t>
  </si>
  <si>
    <t>19-SSA-01-03K</t>
  </si>
  <si>
    <t>Березовский</t>
  </si>
  <si>
    <t>5042083576</t>
  </si>
  <si>
    <t>0148300010019000011</t>
  </si>
  <si>
    <t>244311289295</t>
  </si>
  <si>
    <t>5042128065</t>
  </si>
  <si>
    <t>5042079065</t>
  </si>
  <si>
    <t>1435328913</t>
  </si>
  <si>
    <t>31907685130</t>
  </si>
  <si>
    <t>7021024125</t>
  </si>
  <si>
    <t>0165100003319000012</t>
  </si>
  <si>
    <t>1435224086</t>
  </si>
  <si>
    <t>0116300000119000180</t>
  </si>
  <si>
    <t>1435119405</t>
  </si>
  <si>
    <t>0165100003319000011</t>
  </si>
  <si>
    <t>0266025821</t>
  </si>
  <si>
    <t>0801300011919000098</t>
  </si>
  <si>
    <t>0266032956</t>
  </si>
  <si>
    <t>4813008028</t>
  </si>
  <si>
    <t>0146300005419000015</t>
  </si>
  <si>
    <t>4818010140</t>
  </si>
  <si>
    <t>3123448013</t>
  </si>
  <si>
    <t>0126200000419000855</t>
  </si>
  <si>
    <t>5022085381</t>
  </si>
  <si>
    <t>3121183562</t>
  </si>
  <si>
    <t>2301036903</t>
  </si>
  <si>
    <t>0318300537419000123</t>
  </si>
  <si>
    <t>4707037193</t>
  </si>
  <si>
    <t>0145300001919000038</t>
  </si>
  <si>
    <t>Сланцы</t>
  </si>
  <si>
    <t>4713008056</t>
  </si>
  <si>
    <t>7819039500</t>
  </si>
  <si>
    <t>7453042065</t>
  </si>
  <si>
    <t>0369100004819000010</t>
  </si>
  <si>
    <t>7451030240</t>
  </si>
  <si>
    <t>7460021309</t>
  </si>
  <si>
    <t>7447002258</t>
  </si>
  <si>
    <t>7460005459</t>
  </si>
  <si>
    <t>7448206470</t>
  </si>
  <si>
    <t>5008023263</t>
  </si>
  <si>
    <t>666419</t>
  </si>
  <si>
    <t>7804452708</t>
  </si>
  <si>
    <t>0172100006119000025</t>
  </si>
  <si>
    <t>5032139420</t>
  </si>
  <si>
    <t>666377</t>
  </si>
  <si>
    <t>5191120087</t>
  </si>
  <si>
    <t>0349100003519000044</t>
  </si>
  <si>
    <t>0369100004819000011</t>
  </si>
  <si>
    <t>0358300284519000036</t>
  </si>
  <si>
    <t>5032201478</t>
  </si>
  <si>
    <t>666312</t>
  </si>
  <si>
    <t>7816158281</t>
  </si>
  <si>
    <t>0372200073419000003</t>
  </si>
  <si>
    <t>1216792</t>
  </si>
  <si>
    <t>8619012800</t>
  </si>
  <si>
    <t>0187300000919000020</t>
  </si>
  <si>
    <t>027006592408</t>
  </si>
  <si>
    <t>8604001499</t>
  </si>
  <si>
    <t>31907684145</t>
  </si>
  <si>
    <t>2464259046</t>
  </si>
  <si>
    <t>5023006294</t>
  </si>
  <si>
    <t>666161</t>
  </si>
  <si>
    <t>666117</t>
  </si>
  <si>
    <t>1322044533</t>
  </si>
  <si>
    <t>0809500000319000410</t>
  </si>
  <si>
    <t>Чамзинский район</t>
  </si>
  <si>
    <t>2224153367</t>
  </si>
  <si>
    <t>0817100000619000032</t>
  </si>
  <si>
    <t>2224170316</t>
  </si>
  <si>
    <t>0376100008919000002</t>
  </si>
  <si>
    <t>5620005270</t>
  </si>
  <si>
    <t>0153300052819000019</t>
  </si>
  <si>
    <t>5256020647</t>
  </si>
  <si>
    <t>90549</t>
  </si>
  <si>
    <t>6501278008</t>
  </si>
  <si>
    <t>0161300000119000453</t>
  </si>
  <si>
    <t>650404786268</t>
  </si>
  <si>
    <t>6504033775</t>
  </si>
  <si>
    <t>1216481</t>
  </si>
  <si>
    <t>1701037522</t>
  </si>
  <si>
    <t>0312100006519000027</t>
  </si>
  <si>
    <t>5620005400</t>
  </si>
  <si>
    <t>0153300052819000020</t>
  </si>
  <si>
    <t>2627013059</t>
  </si>
  <si>
    <t>0821200000519000006</t>
  </si>
  <si>
    <t>2635070477</t>
  </si>
  <si>
    <t>2635092880</t>
  </si>
  <si>
    <t>2626035003</t>
  </si>
  <si>
    <t>5078018309</t>
  </si>
  <si>
    <t>665973</t>
  </si>
  <si>
    <t>7801049674</t>
  </si>
  <si>
    <t>0372200199919000032</t>
  </si>
  <si>
    <t>7804470320</t>
  </si>
  <si>
    <t>7810801107</t>
  </si>
  <si>
    <t>5260138592</t>
  </si>
  <si>
    <t>100218861119000070</t>
  </si>
  <si>
    <t>4501089110</t>
  </si>
  <si>
    <t>0343100003519000027</t>
  </si>
  <si>
    <t>7202164011</t>
  </si>
  <si>
    <t>7203416818</t>
  </si>
  <si>
    <t>2319026173</t>
  </si>
  <si>
    <t>0118300018719000125</t>
  </si>
  <si>
    <t>2317086297</t>
  </si>
  <si>
    <t>100082708219000005</t>
  </si>
  <si>
    <t>31907684250</t>
  </si>
  <si>
    <t>0373200647219000003</t>
  </si>
  <si>
    <t>31907684276</t>
  </si>
  <si>
    <t>ЗП-190325-103</t>
  </si>
  <si>
    <t>100281660119000041</t>
  </si>
  <si>
    <t>6944003901</t>
  </si>
  <si>
    <t>0136200003619000778</t>
  </si>
  <si>
    <t>Торопецкий район</t>
  </si>
  <si>
    <t>6913009830</t>
  </si>
  <si>
    <t>0301100003519000042</t>
  </si>
  <si>
    <t>1001040696</t>
  </si>
  <si>
    <t>0806500000219000142</t>
  </si>
  <si>
    <t>1001083202</t>
  </si>
  <si>
    <t>1001257924</t>
  </si>
  <si>
    <t>1001204168</t>
  </si>
  <si>
    <t>5029165780</t>
  </si>
  <si>
    <t>665907</t>
  </si>
  <si>
    <t>31907683665</t>
  </si>
  <si>
    <t>4205038806</t>
  </si>
  <si>
    <t>0139200000119001691</t>
  </si>
  <si>
    <t>4207019164</t>
  </si>
  <si>
    <t>100173803219000001</t>
  </si>
  <si>
    <t>0323084505</t>
  </si>
  <si>
    <t>0302100005319000013</t>
  </si>
  <si>
    <t>[ОКПД2 26.40] Техника бытовая электронная, [ОКПД2 27.32] Провода и кабели электронные и электрические прочие, [ОКПД2 26.30] Оборудование коммуникационное</t>
  </si>
  <si>
    <t>7751135702</t>
  </si>
  <si>
    <t>5401353838</t>
  </si>
  <si>
    <t>31907683653</t>
  </si>
  <si>
    <t>5406407815</t>
  </si>
  <si>
    <t>100107631219000003</t>
  </si>
  <si>
    <t>1216281</t>
  </si>
  <si>
    <t>2226018660</t>
  </si>
  <si>
    <t>722616</t>
  </si>
  <si>
    <t>5008029360</t>
  </si>
  <si>
    <t>665754</t>
  </si>
  <si>
    <t>0195100000219000128</t>
  </si>
  <si>
    <t>5027262517</t>
  </si>
  <si>
    <t>1215998</t>
  </si>
  <si>
    <t>7728238178</t>
  </si>
  <si>
    <t>479222</t>
  </si>
  <si>
    <t>31907682720</t>
  </si>
  <si>
    <t>0261014128</t>
  </si>
  <si>
    <t>0101200002319000068</t>
  </si>
  <si>
    <t>1216003</t>
  </si>
  <si>
    <t>0195100000219000133</t>
  </si>
  <si>
    <t>Назрань</t>
  </si>
  <si>
    <t>0322100017219000038</t>
  </si>
  <si>
    <t>2725053807</t>
  </si>
  <si>
    <t>272112097058</t>
  </si>
  <si>
    <t>0153300052819000018</t>
  </si>
  <si>
    <t>8709012145</t>
  </si>
  <si>
    <t>0188200000319000014</t>
  </si>
  <si>
    <t>31907681890</t>
  </si>
  <si>
    <t>8001014850</t>
  </si>
  <si>
    <t>0291100000519000008</t>
  </si>
  <si>
    <t>Агинский</t>
  </si>
  <si>
    <t>7536156490</t>
  </si>
  <si>
    <t>7515008081</t>
  </si>
  <si>
    <t>5620005209</t>
  </si>
  <si>
    <t>0153300052819000016</t>
  </si>
  <si>
    <t>5620005110</t>
  </si>
  <si>
    <t>0153300052819000017</t>
  </si>
  <si>
    <t>ATOM25031900168</t>
  </si>
  <si>
    <t>7816376882</t>
  </si>
  <si>
    <t>0372200244319000010</t>
  </si>
  <si>
    <t>7813573272</t>
  </si>
  <si>
    <t>0332100054119000029</t>
  </si>
  <si>
    <t>31907681369</t>
  </si>
  <si>
    <t>665487</t>
  </si>
  <si>
    <t>6730031475</t>
  </si>
  <si>
    <t>0163100002519000053</t>
  </si>
  <si>
    <t>0117300085519000024</t>
  </si>
  <si>
    <t>220912201986</t>
  </si>
  <si>
    <t>0117300085519000023</t>
  </si>
  <si>
    <t>2221239538</t>
  </si>
  <si>
    <t>220901634378</t>
  </si>
  <si>
    <t>721209</t>
  </si>
  <si>
    <t>5001023049</t>
  </si>
  <si>
    <t>665518</t>
  </si>
  <si>
    <t>1660050458</t>
  </si>
  <si>
    <t>0311500000419000009</t>
  </si>
  <si>
    <t>1658193272</t>
  </si>
  <si>
    <t>90292</t>
  </si>
  <si>
    <t>6128005324</t>
  </si>
  <si>
    <t>721094</t>
  </si>
  <si>
    <t>Пролетарский район</t>
  </si>
  <si>
    <t>5024034128</t>
  </si>
  <si>
    <t>665431</t>
  </si>
  <si>
    <t>5017051210</t>
  </si>
  <si>
    <t>665446</t>
  </si>
  <si>
    <t>5422104261</t>
  </si>
  <si>
    <t>0851600003519000141</t>
  </si>
  <si>
    <t>5440110331</t>
  </si>
  <si>
    <t>542208748140</t>
  </si>
  <si>
    <t>5407244384</t>
  </si>
  <si>
    <t>6617006099</t>
  </si>
  <si>
    <t>0362300002619000005</t>
  </si>
  <si>
    <t>Краснотурьинск</t>
  </si>
  <si>
    <t>6617009050</t>
  </si>
  <si>
    <t>0319100032319000023</t>
  </si>
  <si>
    <t>6433002591</t>
  </si>
  <si>
    <t>0160300030919000023</t>
  </si>
  <si>
    <t>6452124813</t>
  </si>
  <si>
    <t>4345404435</t>
  </si>
  <si>
    <t>0340200003319002711</t>
  </si>
  <si>
    <t>4345300210</t>
  </si>
  <si>
    <t>4345201795</t>
  </si>
  <si>
    <t>4345248602</t>
  </si>
  <si>
    <t>4346003877</t>
  </si>
  <si>
    <t>4345392525</t>
  </si>
  <si>
    <t>2318021503</t>
  </si>
  <si>
    <t>0118300018719000124</t>
  </si>
  <si>
    <t>2308070396</t>
  </si>
  <si>
    <t>31907680391</t>
  </si>
  <si>
    <t>6027087909</t>
  </si>
  <si>
    <t>0157100007219000019</t>
  </si>
  <si>
    <t>6027173516</t>
  </si>
  <si>
    <t>6018008386</t>
  </si>
  <si>
    <t>6027180070</t>
  </si>
  <si>
    <t>6027095265</t>
  </si>
  <si>
    <t>6027148968</t>
  </si>
  <si>
    <t>0278008355</t>
  </si>
  <si>
    <t>100037330219000009</t>
  </si>
  <si>
    <t>4100004133</t>
  </si>
  <si>
    <t>0338200001319000008</t>
  </si>
  <si>
    <t>4101109298</t>
  </si>
  <si>
    <t>4825066916</t>
  </si>
  <si>
    <t>31907678778</t>
  </si>
  <si>
    <t>7838044182</t>
  </si>
  <si>
    <t>4824042278</t>
  </si>
  <si>
    <t>2318021550</t>
  </si>
  <si>
    <t>0118300018719000122</t>
  </si>
  <si>
    <t>2315098829</t>
  </si>
  <si>
    <t>100259261219000008</t>
  </si>
  <si>
    <t>9102010357</t>
  </si>
  <si>
    <t>0175100003019000084</t>
  </si>
  <si>
    <t>7839040487</t>
  </si>
  <si>
    <t>0820300001419000013</t>
  </si>
  <si>
    <t>2540223862</t>
  </si>
  <si>
    <t>7729789869</t>
  </si>
  <si>
    <t>4207017537</t>
  </si>
  <si>
    <t>0339100007619000020</t>
  </si>
  <si>
    <t>100259261219000007</t>
  </si>
  <si>
    <t>4821036300</t>
  </si>
  <si>
    <t>0346200019719000006</t>
  </si>
  <si>
    <t>480502720004</t>
  </si>
  <si>
    <t>3665804649</t>
  </si>
  <si>
    <t>6829081122</t>
  </si>
  <si>
    <t>9107000190</t>
  </si>
  <si>
    <t>0875100005719000054</t>
  </si>
  <si>
    <t>7303014661</t>
  </si>
  <si>
    <t>0168200002419001251</t>
  </si>
  <si>
    <t>7839095581</t>
  </si>
  <si>
    <t>6317076754</t>
  </si>
  <si>
    <t>7328084477</t>
  </si>
  <si>
    <t>7703122485</t>
  </si>
  <si>
    <t>0355400000119000006</t>
  </si>
  <si>
    <t>5038014241</t>
  </si>
  <si>
    <t>0373200230519000065</t>
  </si>
  <si>
    <t>4714011083</t>
  </si>
  <si>
    <t>0145300000119000041</t>
  </si>
  <si>
    <t>4714023970</t>
  </si>
  <si>
    <t>4703091680</t>
  </si>
  <si>
    <t>5430102780</t>
  </si>
  <si>
    <t>718512</t>
  </si>
  <si>
    <t>Кыштовский район</t>
  </si>
  <si>
    <t>1435157898</t>
  </si>
  <si>
    <t>100158384219000007</t>
  </si>
  <si>
    <t>100158384219000006</t>
  </si>
  <si>
    <t>5422100059</t>
  </si>
  <si>
    <t>718245</t>
  </si>
  <si>
    <t>100196782119000010</t>
  </si>
  <si>
    <t>1651000210</t>
  </si>
  <si>
    <t>BP00259053</t>
  </si>
  <si>
    <t>1604010469</t>
  </si>
  <si>
    <t>BP00258690</t>
  </si>
  <si>
    <t>5009049264</t>
  </si>
  <si>
    <t>664870</t>
  </si>
  <si>
    <t>5050005356</t>
  </si>
  <si>
    <t>664809</t>
  </si>
  <si>
    <t>2458015073</t>
  </si>
  <si>
    <t>31907674929</t>
  </si>
  <si>
    <t>[ОКПД2 26.30] Оборудование коммуникационное, [ОКВЭД2 43.21] Производство электромонтажных работ</t>
  </si>
  <si>
    <t>7704251571</t>
  </si>
  <si>
    <t>0373200574219000003</t>
  </si>
  <si>
    <t>772902439234</t>
  </si>
  <si>
    <t>760805005626</t>
  </si>
  <si>
    <t>31907676353</t>
  </si>
  <si>
    <t>0195100000219000123</t>
  </si>
  <si>
    <t>2454002500</t>
  </si>
  <si>
    <t>0319300076419000143</t>
  </si>
  <si>
    <t>Лесосибирск</t>
  </si>
  <si>
    <t>2466192870</t>
  </si>
  <si>
    <t>2454023570</t>
  </si>
  <si>
    <t>2460111240</t>
  </si>
  <si>
    <t>0195100000219000126</t>
  </si>
  <si>
    <t>0195100000219000119</t>
  </si>
  <si>
    <t>31907676102</t>
  </si>
  <si>
    <t>6155065700</t>
  </si>
  <si>
    <t>0158300045119000115</t>
  </si>
  <si>
    <t>612705003649</t>
  </si>
  <si>
    <t>2443018064</t>
  </si>
  <si>
    <t>0119200000119001912</t>
  </si>
  <si>
    <t>Ачинск</t>
  </si>
  <si>
    <t>2443031178</t>
  </si>
  <si>
    <t>2443018593</t>
  </si>
  <si>
    <t>2466246973</t>
  </si>
  <si>
    <t>100030778219000019</t>
  </si>
  <si>
    <t>31907675788</t>
  </si>
  <si>
    <t>2312214450</t>
  </si>
  <si>
    <t>5018156008</t>
  </si>
  <si>
    <t>664646</t>
  </si>
  <si>
    <t>7536095462</t>
  </si>
  <si>
    <t>0191200001519000027</t>
  </si>
  <si>
    <t>1214882</t>
  </si>
  <si>
    <t>664534</t>
  </si>
  <si>
    <t>31907674954</t>
  </si>
  <si>
    <t>5049022445</t>
  </si>
  <si>
    <t>100054775119000001</t>
  </si>
  <si>
    <t>31907673983</t>
  </si>
  <si>
    <t>0172200006019000021</t>
  </si>
  <si>
    <t>[ОКПД2 22.23] Изделия пластмассовые строительные, [ОКПД2 27.32] Провода и кабели электронные и электрические прочие, [ОКПД2 27.90] Оборудование электрическое прочее, [ОКПД2 26.30] Оборудование коммуникационное, [ОКПД2 22.29] Изделия пластмассовые прочие</t>
  </si>
  <si>
    <t>5018164619</t>
  </si>
  <si>
    <t>519014771458</t>
  </si>
  <si>
    <t>7806292993</t>
  </si>
  <si>
    <t>7802800371</t>
  </si>
  <si>
    <t>299973</t>
  </si>
  <si>
    <t>7709129423</t>
  </si>
  <si>
    <t>0873200009819001135</t>
  </si>
  <si>
    <t>9701090464</t>
  </si>
  <si>
    <t>7721705955</t>
  </si>
  <si>
    <t>664481</t>
  </si>
  <si>
    <t>0278117594</t>
  </si>
  <si>
    <t>0301300247619000228</t>
  </si>
  <si>
    <t>027719256906</t>
  </si>
  <si>
    <t>1835079066</t>
  </si>
  <si>
    <t>0813500000119001921</t>
  </si>
  <si>
    <t>1831122881</t>
  </si>
  <si>
    <t>2127308760</t>
  </si>
  <si>
    <t>716200</t>
  </si>
  <si>
    <t>0159300034819000023</t>
  </si>
  <si>
    <t>0159300034819000022</t>
  </si>
  <si>
    <t>0334200000519000021</t>
  </si>
  <si>
    <t>Эхирит-Булагатский район</t>
  </si>
  <si>
    <t>5321038855</t>
  </si>
  <si>
    <t>100209785219000003</t>
  </si>
  <si>
    <t>0136300050519000025</t>
  </si>
  <si>
    <t>31907673117</t>
  </si>
  <si>
    <t>0319001707</t>
  </si>
  <si>
    <t>0102200001619001052</t>
  </si>
  <si>
    <t>0323389112</t>
  </si>
  <si>
    <t>5506039040</t>
  </si>
  <si>
    <t>0352300078519000012</t>
  </si>
  <si>
    <t>9102040256</t>
  </si>
  <si>
    <t>5504067268</t>
  </si>
  <si>
    <t>5009079452</t>
  </si>
  <si>
    <t>664189</t>
  </si>
  <si>
    <t>3664021807</t>
  </si>
  <si>
    <t>0131100004419000012</t>
  </si>
  <si>
    <t>7724250985</t>
  </si>
  <si>
    <t>0373200341919000008</t>
  </si>
  <si>
    <t>7733656491</t>
  </si>
  <si>
    <t>6732033809</t>
  </si>
  <si>
    <t>0363100015119000153</t>
  </si>
  <si>
    <t>2633005994</t>
  </si>
  <si>
    <t>0121200002119000032</t>
  </si>
  <si>
    <t>5981007596</t>
  </si>
  <si>
    <t>0356500003419000025</t>
  </si>
  <si>
    <t>5044109050</t>
  </si>
  <si>
    <t>664161</t>
  </si>
  <si>
    <t>31907670798</t>
  </si>
  <si>
    <t>31907670575</t>
  </si>
  <si>
    <t>0574500003119000003</t>
  </si>
  <si>
    <t>714543</t>
  </si>
  <si>
    <t>0136100012619000039</t>
  </si>
  <si>
    <t>0411119740</t>
  </si>
  <si>
    <t>100257686119000007</t>
  </si>
  <si>
    <t>2019-686910</t>
  </si>
  <si>
    <t>2019-686608</t>
  </si>
  <si>
    <t>5028022010</t>
  </si>
  <si>
    <t>664052</t>
  </si>
  <si>
    <t>664038</t>
  </si>
  <si>
    <t>4027106964</t>
  </si>
  <si>
    <t>31907670013</t>
  </si>
  <si>
    <t>[ОКПД2 53.20] Услуги почтовой связи прочие и услуги курьерские, [ОКВЭД2 53.20] Деятельность почтовой связи прочая и курьерская деятельность</t>
  </si>
  <si>
    <t>7717043113</t>
  </si>
  <si>
    <t>31907668709</t>
  </si>
  <si>
    <t>5038115000</t>
  </si>
  <si>
    <t>663969</t>
  </si>
  <si>
    <t>5321136443</t>
  </si>
  <si>
    <t>31907669596</t>
  </si>
  <si>
    <t>[ОКПД2 S+] УСЛУГИ ОБЩЕСТВЕННЫХ ОРГАНИЗАЦИЙ; ПРОЧИЕ УСЛУГИ ДЛЯ НАСЕЛЕНИЯ, [ОКВЭД2 61.20] Деятельность в области связи на базе беспроводных технологий</t>
  </si>
  <si>
    <t>7813523218</t>
  </si>
  <si>
    <t>1435111251</t>
  </si>
  <si>
    <t>0316200007019000005</t>
  </si>
  <si>
    <t>663938</t>
  </si>
  <si>
    <t>663936</t>
  </si>
  <si>
    <t>31907669421</t>
  </si>
  <si>
    <t>6143064148</t>
  </si>
  <si>
    <t>2636045699</t>
  </si>
  <si>
    <t>713449</t>
  </si>
  <si>
    <t>100050454219000002</t>
  </si>
  <si>
    <t>5008017125</t>
  </si>
  <si>
    <t>663902</t>
  </si>
  <si>
    <t>31907667093</t>
  </si>
  <si>
    <t>[ОКПД2 33.19] Услуги по ремонту прочего оборудования, [ОКВЭД2 33.12] Ремонт машин и оборудования</t>
  </si>
  <si>
    <t>1213657</t>
  </si>
  <si>
    <t>6167021055</t>
  </si>
  <si>
    <t>713637</t>
  </si>
  <si>
    <t>ATOM21031900231</t>
  </si>
  <si>
    <t>0320300150019000040</t>
  </si>
  <si>
    <t>0255020324</t>
  </si>
  <si>
    <t>31907667352</t>
  </si>
  <si>
    <t>5038019680</t>
  </si>
  <si>
    <t>100188636219000004</t>
  </si>
  <si>
    <t>1212954</t>
  </si>
  <si>
    <t>7722086539</t>
  </si>
  <si>
    <t>0873200009819001106</t>
  </si>
  <si>
    <t>0139100001519000031</t>
  </si>
  <si>
    <t>0151100013019000046</t>
  </si>
  <si>
    <t>3220000241</t>
  </si>
  <si>
    <t>0327300001319000010</t>
  </si>
  <si>
    <t>Мглинский район</t>
  </si>
  <si>
    <t>0151100013019000042</t>
  </si>
  <si>
    <t>0151100013019000043</t>
  </si>
  <si>
    <t>0151100013019000047</t>
  </si>
  <si>
    <t>6163048112</t>
  </si>
  <si>
    <t>712202</t>
  </si>
  <si>
    <t>5038029304</t>
  </si>
  <si>
    <t>663565</t>
  </si>
  <si>
    <t>7536012226</t>
  </si>
  <si>
    <t>0391200025819000004</t>
  </si>
  <si>
    <t>7718084994</t>
  </si>
  <si>
    <t>31907666052</t>
  </si>
  <si>
    <t>6827</t>
  </si>
  <si>
    <t>[ОКПД2 26.20] Компьютеры и периферийное оборудование, [ОКВЭД2 26.30] Производство коммуникационного оборудования</t>
  </si>
  <si>
    <t>0324100003319000050</t>
  </si>
  <si>
    <t>2901263023</t>
  </si>
  <si>
    <t>663498</t>
  </si>
  <si>
    <t>31907666310</t>
  </si>
  <si>
    <t>6166046681</t>
  </si>
  <si>
    <t>6950207741</t>
  </si>
  <si>
    <t>7448202475</t>
  </si>
  <si>
    <t>8506004660</t>
  </si>
  <si>
    <t>0334200002119000038</t>
  </si>
  <si>
    <t>[ОКПД2 27.32] Провода и кабели электронные и электрические прочие, [ОКПД2 27.33] Изделия электроустановочные, [ОКПД2 22.29] Изделия пластмассовые прочие</t>
  </si>
  <si>
    <t>3812151030</t>
  </si>
  <si>
    <t>4205069089</t>
  </si>
  <si>
    <t>100239276219000019</t>
  </si>
  <si>
    <t>5045005336</t>
  </si>
  <si>
    <t>100146563219000001</t>
  </si>
  <si>
    <t>710918</t>
  </si>
  <si>
    <t>31907664343</t>
  </si>
  <si>
    <t>5001023289</t>
  </si>
  <si>
    <t>663330</t>
  </si>
  <si>
    <t>[ОКПД2 26.70] Приборы оптические и фотографическое оборудование, [ОКПД2 33.20] Услуги по монтажу промышленных машин и оборудования</t>
  </si>
  <si>
    <t>0351200003319000271</t>
  </si>
  <si>
    <t>0131300011219000088</t>
  </si>
  <si>
    <t>312004710225</t>
  </si>
  <si>
    <t>5009084460</t>
  </si>
  <si>
    <t>663293</t>
  </si>
  <si>
    <t>8603112816</t>
  </si>
  <si>
    <t>710330</t>
  </si>
  <si>
    <t>2019-685913</t>
  </si>
  <si>
    <t>5045025780</t>
  </si>
  <si>
    <t>663226</t>
  </si>
  <si>
    <t>5907013307</t>
  </si>
  <si>
    <t>31907663917</t>
  </si>
  <si>
    <t>5906111661</t>
  </si>
  <si>
    <t>31907664016</t>
  </si>
  <si>
    <t>1326214257</t>
  </si>
  <si>
    <t>5263096534</t>
  </si>
  <si>
    <t>5257136757</t>
  </si>
  <si>
    <t>478126</t>
  </si>
  <si>
    <t>1212590</t>
  </si>
  <si>
    <t>3703001684</t>
  </si>
  <si>
    <t>100277292219000012</t>
  </si>
  <si>
    <t>7826146060</t>
  </si>
  <si>
    <t>0372200058819000003</t>
  </si>
  <si>
    <t>7826670682</t>
  </si>
  <si>
    <t>7729673529</t>
  </si>
  <si>
    <t>7810582744</t>
  </si>
  <si>
    <t>7805235248</t>
  </si>
  <si>
    <t>5507028605</t>
  </si>
  <si>
    <t>31907661606</t>
  </si>
  <si>
    <t>[ОКПД2 33.17] Услуги по ремонту и техническому обслуживанию прочих транспортных средств и обо рудования, [ОКВЭД2 95.21] Ремонт электронной бытовой техники</t>
  </si>
  <si>
    <t>5408160218</t>
  </si>
  <si>
    <t>6672149122</t>
  </si>
  <si>
    <t>6730001840</t>
  </si>
  <si>
    <t>0163200000319001486</t>
  </si>
  <si>
    <t>6730065971</t>
  </si>
  <si>
    <t>6727012112</t>
  </si>
  <si>
    <t>6732077651</t>
  </si>
  <si>
    <t>6712003186</t>
  </si>
  <si>
    <t>0363300010819000008</t>
  </si>
  <si>
    <t>Починковский район</t>
  </si>
  <si>
    <t>7813169221</t>
  </si>
  <si>
    <t>31907663854</t>
  </si>
  <si>
    <t>6501152735</t>
  </si>
  <si>
    <t>0361100000219000013</t>
  </si>
  <si>
    <t>8901002223</t>
  </si>
  <si>
    <t>0290100000619000023</t>
  </si>
  <si>
    <t>890100241425</t>
  </si>
  <si>
    <t>8901036529</t>
  </si>
  <si>
    <t>5234002482</t>
  </si>
  <si>
    <t>0332100036119000006</t>
  </si>
  <si>
    <t>Тоншаевский район</t>
  </si>
  <si>
    <t>0334200002119000036</t>
  </si>
  <si>
    <t>383700594435</t>
  </si>
  <si>
    <t>31907662121</t>
  </si>
  <si>
    <t>0332200042419000012</t>
  </si>
  <si>
    <t>4909085866</t>
  </si>
  <si>
    <t>0347100000919000003</t>
  </si>
  <si>
    <t>4909119434</t>
  </si>
  <si>
    <t>31907662096</t>
  </si>
  <si>
    <t>5042055586</t>
  </si>
  <si>
    <t>662928</t>
  </si>
  <si>
    <t>100186421219000003</t>
  </si>
  <si>
    <t>3443003870</t>
  </si>
  <si>
    <t>31907661872</t>
  </si>
  <si>
    <t>[ОКПД2 49.41] Услуги по грузовым перевозкам автомобильным транспортом, [ОКВЭД2 49.4+] Деятельность автомобильного грузового транспорта и услуги по перевозкам</t>
  </si>
  <si>
    <t>478074</t>
  </si>
  <si>
    <t>5751777777</t>
  </si>
  <si>
    <t>100161924219000002</t>
  </si>
  <si>
    <t>5005029972</t>
  </si>
  <si>
    <t>662803</t>
  </si>
  <si>
    <t>РН951939</t>
  </si>
  <si>
    <t>[ОКПД2 80+] Услуги по обеспечению безопасности и проведению расследований, [ОКВЭД2 82+] Деятельность административно-хозяйственная, вспомогательная деятельность по обеспечению функционирования организации, деятельность по предоставлению прочих вспомогательных услуг для бизнеса</t>
  </si>
  <si>
    <t>7811067062</t>
  </si>
  <si>
    <t>0372200054119000014</t>
  </si>
  <si>
    <t>7805403647</t>
  </si>
  <si>
    <t>2635049010</t>
  </si>
  <si>
    <t>707191</t>
  </si>
  <si>
    <t>8604026486</t>
  </si>
  <si>
    <t>707458</t>
  </si>
  <si>
    <t>3017017946</t>
  </si>
  <si>
    <t>0125500000219000049</t>
  </si>
  <si>
    <t>3015038796</t>
  </si>
  <si>
    <t>5030033179</t>
  </si>
  <si>
    <t>662336</t>
  </si>
  <si>
    <t>3255500260</t>
  </si>
  <si>
    <t>0127200000219001107</t>
  </si>
  <si>
    <t>3255052748</t>
  </si>
  <si>
    <t>662408</t>
  </si>
  <si>
    <t>6829071318</t>
  </si>
  <si>
    <t>100256298219000001</t>
  </si>
  <si>
    <t>7217000190</t>
  </si>
  <si>
    <t>31907658543</t>
  </si>
  <si>
    <t>[ОКПД2 26.30] Оборудование коммуникационное, [ОКВЭД2 01.11] Выращивание зерновых (кроме риса), зернобобовых культур и семян масличных культур</t>
  </si>
  <si>
    <t>0363300010819000005</t>
  </si>
  <si>
    <t>0816500000619002091</t>
  </si>
  <si>
    <t>0162300005319000986</t>
  </si>
  <si>
    <t>6671088572</t>
  </si>
  <si>
    <t>3108004800</t>
  </si>
  <si>
    <t>706824</t>
  </si>
  <si>
    <t>5427128611</t>
  </si>
  <si>
    <t>706551</t>
  </si>
  <si>
    <t>Краснозерский район</t>
  </si>
  <si>
    <t>0832200006619000256</t>
  </si>
  <si>
    <t>9717053940</t>
  </si>
  <si>
    <t>0814135906</t>
  </si>
  <si>
    <t>ТН-190319-201</t>
  </si>
  <si>
    <t>0323087898</t>
  </si>
  <si>
    <t>31907655031</t>
  </si>
  <si>
    <t>5401988002</t>
  </si>
  <si>
    <t>9204508487</t>
  </si>
  <si>
    <t>0374200020319000002</t>
  </si>
  <si>
    <t>1411003465</t>
  </si>
  <si>
    <t>0116300000719000026</t>
  </si>
  <si>
    <t>0374200020319000003</t>
  </si>
  <si>
    <t>5001023176</t>
  </si>
  <si>
    <t>662023</t>
  </si>
  <si>
    <t>[ОКПД2 26.40] Техника бытовая электронная, [ОКПД2 95.21] Услуги по ремонту приборов бытовой электроники</t>
  </si>
  <si>
    <t>1310000612</t>
  </si>
  <si>
    <t>0209400000319000001</t>
  </si>
  <si>
    <t>Большеигнатовский район</t>
  </si>
  <si>
    <t>9102245380</t>
  </si>
  <si>
    <t>0175400000619000005</t>
  </si>
  <si>
    <t>910217573449</t>
  </si>
  <si>
    <t>910228685698</t>
  </si>
  <si>
    <t>0151100013019000040</t>
  </si>
  <si>
    <t>3812008873</t>
  </si>
  <si>
    <t>0858100000419000002</t>
  </si>
  <si>
    <t>6165105920</t>
  </si>
  <si>
    <t>0151100013019000039</t>
  </si>
  <si>
    <t>100023215219000005</t>
  </si>
  <si>
    <t>100023215219000004</t>
  </si>
  <si>
    <t>0356300207619000009</t>
  </si>
  <si>
    <t>5904367234</t>
  </si>
  <si>
    <t>591405750460</t>
  </si>
  <si>
    <t>2308065678</t>
  </si>
  <si>
    <t>31907656861</t>
  </si>
  <si>
    <t>[ОКПД2 26.51] Оборудование для измерения, испытаний и навигации, [ОКВЭД2 45.2+] Техническое обслуживание и ремонт автотранспортных средств</t>
  </si>
  <si>
    <t>1109009370</t>
  </si>
  <si>
    <t>2727026012</t>
  </si>
  <si>
    <t>0122200002519001479</t>
  </si>
  <si>
    <t>2703054349</t>
  </si>
  <si>
    <t>2722024780</t>
  </si>
  <si>
    <t>9102060566</t>
  </si>
  <si>
    <t>100278323219000046</t>
  </si>
  <si>
    <t>5036034267</t>
  </si>
  <si>
    <t>661704</t>
  </si>
  <si>
    <t>100199347219000001</t>
  </si>
  <si>
    <t>6608003655</t>
  </si>
  <si>
    <t>31907654032</t>
  </si>
  <si>
    <t>100292888219000004</t>
  </si>
  <si>
    <t>5403115300</t>
  </si>
  <si>
    <t>704105</t>
  </si>
  <si>
    <t>5076006280</t>
  </si>
  <si>
    <t>661503</t>
  </si>
  <si>
    <t>Серебряные Пруды рп</t>
  </si>
  <si>
    <t>3808217049</t>
  </si>
  <si>
    <t>0134100014519000039</t>
  </si>
  <si>
    <t>661451</t>
  </si>
  <si>
    <t>5050099837</t>
  </si>
  <si>
    <t>31907654318</t>
  </si>
  <si>
    <t>100292888219000001</t>
  </si>
  <si>
    <t>100292888219000003</t>
  </si>
  <si>
    <t>100292888219000002</t>
  </si>
  <si>
    <t>0151100013019000038</t>
  </si>
  <si>
    <t>0190200000319002470</t>
  </si>
  <si>
    <t>0560035430</t>
  </si>
  <si>
    <t>8617032688</t>
  </si>
  <si>
    <t>4401012339</t>
  </si>
  <si>
    <t>703465</t>
  </si>
  <si>
    <t>100161924119000003</t>
  </si>
  <si>
    <t>2014014991</t>
  </si>
  <si>
    <t>0194200000519001447</t>
  </si>
  <si>
    <t>5003122912</t>
  </si>
  <si>
    <t>661249</t>
  </si>
  <si>
    <t>31907653812</t>
  </si>
  <si>
    <t>5021012510</t>
  </si>
  <si>
    <t>661350</t>
  </si>
  <si>
    <t>31907652201</t>
  </si>
  <si>
    <t>702984</t>
  </si>
  <si>
    <t>[ОКПД2 26.40] Техника бытовая электронная, [ОКПД2 26.20] Компьютеры и периферийное оборудование, [ОКПД2 26.70] Приборы оптические и фотографическое оборудование</t>
  </si>
  <si>
    <t>5007036365</t>
  </si>
  <si>
    <t>661193</t>
  </si>
  <si>
    <t>0275038496</t>
  </si>
  <si>
    <t>31907652457</t>
  </si>
  <si>
    <t>[ОКПД2 33.12] Услуги по ремонту оборудования, [ОКВЭД2 33.13] Ремонт электронного и оптического оборудования</t>
  </si>
  <si>
    <t>0245014434</t>
  </si>
  <si>
    <t>BP00256525</t>
  </si>
  <si>
    <t>5053022504</t>
  </si>
  <si>
    <t>661062</t>
  </si>
  <si>
    <t>5022029436</t>
  </si>
  <si>
    <t>661061</t>
  </si>
  <si>
    <t>5001023497</t>
  </si>
  <si>
    <t>661016</t>
  </si>
  <si>
    <t>7719082245</t>
  </si>
  <si>
    <t>0373200142019000012</t>
  </si>
  <si>
    <t>7734358096</t>
  </si>
  <si>
    <t>31907650961</t>
  </si>
  <si>
    <t>7452115786</t>
  </si>
  <si>
    <t>5036034179</t>
  </si>
  <si>
    <t>660993</t>
  </si>
  <si>
    <t>5920031111</t>
  </si>
  <si>
    <t>0356300172519000002</t>
  </si>
  <si>
    <t>5073065016</t>
  </si>
  <si>
    <t>660982</t>
  </si>
  <si>
    <t>7903003407</t>
  </si>
  <si>
    <t>0378100004519000007</t>
  </si>
  <si>
    <t>[ОКПД2 22.19] Изделия из резины прочие, [ОКПД2 27.32] Провода и кабели электронные и электрические прочие, [ОКПД2 25.94] Изделия крепежные и винты крепежные</t>
  </si>
  <si>
    <t>790105141333</t>
  </si>
  <si>
    <t>0131200001019000839</t>
  </si>
  <si>
    <t>0356300172519000003</t>
  </si>
  <si>
    <t>5018048919</t>
  </si>
  <si>
    <t>660983</t>
  </si>
  <si>
    <t>0711037590</t>
  </si>
  <si>
    <t>0104100002019000013</t>
  </si>
  <si>
    <t>0117100001919000015</t>
  </si>
  <si>
    <t>2221052226</t>
  </si>
  <si>
    <t>222101441571</t>
  </si>
  <si>
    <t>2462003320</t>
  </si>
  <si>
    <t>31907649062</t>
  </si>
  <si>
    <t>0114200000119000203</t>
  </si>
  <si>
    <t>100133368219000001</t>
  </si>
  <si>
    <t>1501002522</t>
  </si>
  <si>
    <t>31907650359</t>
  </si>
  <si>
    <t>[ОКПД2 84.25] Услуги по обеспечению безопасности в чрезвычайных ситуациях; услуги по обеспечению безопасности в области использования атомной энергии, [ОКВЭД2 80.20] Деятельность систем обеспечения безопасности</t>
  </si>
  <si>
    <t>1513034663</t>
  </si>
  <si>
    <t>31907650634</t>
  </si>
  <si>
    <t>2534453</t>
  </si>
  <si>
    <t>5050031194</t>
  </si>
  <si>
    <t>31907650743</t>
  </si>
  <si>
    <t>2612003869</t>
  </si>
  <si>
    <t>0321300178319000087</t>
  </si>
  <si>
    <t>2635221119</t>
  </si>
  <si>
    <t>2348039240</t>
  </si>
  <si>
    <t>2619800302</t>
  </si>
  <si>
    <t>263605512155</t>
  </si>
  <si>
    <t>2632107633</t>
  </si>
  <si>
    <t>2311010502</t>
  </si>
  <si>
    <t>31907649738</t>
  </si>
  <si>
    <t>2308248329</t>
  </si>
  <si>
    <t>3808221398</t>
  </si>
  <si>
    <t>6320005560</t>
  </si>
  <si>
    <t>6166114878</t>
  </si>
  <si>
    <t>026818911180</t>
  </si>
  <si>
    <t>1659146571</t>
  </si>
  <si>
    <t>5050096339</t>
  </si>
  <si>
    <t>650712</t>
  </si>
  <si>
    <t>[ОКПД2 81.22] Услуги по чистке и уборке зданий и промышленной уборке прочие</t>
  </si>
  <si>
    <t>2612000642</t>
  </si>
  <si>
    <t>0321300178319000086</t>
  </si>
  <si>
    <t>150409000100</t>
  </si>
  <si>
    <t>7704076129</t>
  </si>
  <si>
    <t>0373200597919000003</t>
  </si>
  <si>
    <t>5017048881</t>
  </si>
  <si>
    <t>650635</t>
  </si>
  <si>
    <t>5507041331</t>
  </si>
  <si>
    <t>700365</t>
  </si>
  <si>
    <t>0279000581</t>
  </si>
  <si>
    <t>31907648109</t>
  </si>
  <si>
    <t>5502028626</t>
  </si>
  <si>
    <t>0352100004919000031</t>
  </si>
  <si>
    <t>7702848980</t>
  </si>
  <si>
    <t>2129039618</t>
  </si>
  <si>
    <t>700442</t>
  </si>
  <si>
    <t>31907647984</t>
  </si>
  <si>
    <t>5406010760</t>
  </si>
  <si>
    <t>0351100021919000138</t>
  </si>
  <si>
    <t>540606473847</t>
  </si>
  <si>
    <t>5407030907</t>
  </si>
  <si>
    <t>5405285949</t>
  </si>
  <si>
    <t>5432001561</t>
  </si>
  <si>
    <t>5401195081</t>
  </si>
  <si>
    <t>5404052412</t>
  </si>
  <si>
    <t>5405028540</t>
  </si>
  <si>
    <t>5406553044</t>
  </si>
  <si>
    <t>0820300001419000011</t>
  </si>
  <si>
    <t>4401050824</t>
  </si>
  <si>
    <t>100150544219000003</t>
  </si>
  <si>
    <t>0134400000619000019</t>
  </si>
  <si>
    <t>1207000288</t>
  </si>
  <si>
    <t>100033963219000008</t>
  </si>
  <si>
    <t>Медведевский район</t>
  </si>
  <si>
    <t>0134400000619000020</t>
  </si>
  <si>
    <t>5501256130</t>
  </si>
  <si>
    <t>698675</t>
  </si>
  <si>
    <t>698674</t>
  </si>
  <si>
    <t>5007105065</t>
  </si>
  <si>
    <t>650397</t>
  </si>
  <si>
    <t>31907647691</t>
  </si>
  <si>
    <t>0334200002119000025</t>
  </si>
  <si>
    <t>7412007657</t>
  </si>
  <si>
    <t>0369300277019000002</t>
  </si>
  <si>
    <t>Коркинский район</t>
  </si>
  <si>
    <t>0542600011619000008</t>
  </si>
  <si>
    <t>650500000818</t>
  </si>
  <si>
    <t>SBR028-1903180002</t>
  </si>
  <si>
    <t>5017108080</t>
  </si>
  <si>
    <t>650261</t>
  </si>
  <si>
    <t>5023006255</t>
  </si>
  <si>
    <t>650245</t>
  </si>
  <si>
    <t>650230</t>
  </si>
  <si>
    <t>0312300017319000024</t>
  </si>
  <si>
    <t>5906031800</t>
  </si>
  <si>
    <t>31907645435</t>
  </si>
  <si>
    <t>3711028873</t>
  </si>
  <si>
    <t>0133300020019000049</t>
  </si>
  <si>
    <t>3721007865</t>
  </si>
  <si>
    <t>31907645934</t>
  </si>
  <si>
    <t>3006006822</t>
  </si>
  <si>
    <t>100302578219000001</t>
  </si>
  <si>
    <t>0143100003919000022</t>
  </si>
  <si>
    <t>4501110379</t>
  </si>
  <si>
    <t>0114200000119000200</t>
  </si>
  <si>
    <t>31907645358</t>
  </si>
  <si>
    <t>7825007923</t>
  </si>
  <si>
    <t>0172100010419000039</t>
  </si>
  <si>
    <t>0114200000119000198</t>
  </si>
  <si>
    <t>100283702219000011</t>
  </si>
  <si>
    <t>0873500001019000049</t>
  </si>
  <si>
    <t>100283702219000009</t>
  </si>
  <si>
    <t>7708245723</t>
  </si>
  <si>
    <t>0338400000519000014</t>
  </si>
  <si>
    <t>100283702219000010</t>
  </si>
  <si>
    <t>1832015709</t>
  </si>
  <si>
    <t>31907643805</t>
  </si>
  <si>
    <t>8301020164</t>
  </si>
  <si>
    <t>697594</t>
  </si>
  <si>
    <t>31907644036</t>
  </si>
  <si>
    <t>6682000019</t>
  </si>
  <si>
    <t>100196915219000003</t>
  </si>
  <si>
    <t>6127009012</t>
  </si>
  <si>
    <t>0358300172319000010</t>
  </si>
  <si>
    <t>Песчанокопский район</t>
  </si>
  <si>
    <t>2632111982</t>
  </si>
  <si>
    <t>31907643711</t>
  </si>
  <si>
    <t>0276938235</t>
  </si>
  <si>
    <t>0848300046019000082</t>
  </si>
  <si>
    <t>[ОКПД2 26.40] Техника бытовая электронная, [ОКПД2 26.30] Оборудование коммуникационное, [ОКПД2 27.11] Электродвигатели, генераторы и трансформаторы, [ОКПД2 27.32] Провода и кабели электронные и электрические прочие</t>
  </si>
  <si>
    <t>6320005520</t>
  </si>
  <si>
    <t>0142200001319002844</t>
  </si>
  <si>
    <t>[ОКПД2 27.32] Провода и кабели электронные и электрические прочие, [ОКПД2 26.51] Оборудование для измерения, испытаний и навигации</t>
  </si>
  <si>
    <t>632415545603</t>
  </si>
  <si>
    <t>5050040706</t>
  </si>
  <si>
    <t>31907643668</t>
  </si>
  <si>
    <t>[ОКПД2 63.11] Услуги по обработке данных, размещению и взаимосвязанные услуги, [ОКВЭД2 59.13] Деятельность по распространению кинофильмов, видеофильмов и телевизионных программ</t>
  </si>
  <si>
    <t>1208510</t>
  </si>
  <si>
    <t>0848300054819000061</t>
  </si>
  <si>
    <t>5020029350</t>
  </si>
  <si>
    <t>5020029335</t>
  </si>
  <si>
    <t>5020029303</t>
  </si>
  <si>
    <t>5020029409</t>
  </si>
  <si>
    <t>7104526200</t>
  </si>
  <si>
    <t>3838001897</t>
  </si>
  <si>
    <t>0134300026319000165</t>
  </si>
  <si>
    <t>Тайшетский район</t>
  </si>
  <si>
    <t>31907643312</t>
  </si>
  <si>
    <t>31907643100</t>
  </si>
  <si>
    <t>5040109331</t>
  </si>
  <si>
    <t>31907643188</t>
  </si>
  <si>
    <t>5040067378</t>
  </si>
  <si>
    <t>31907643164</t>
  </si>
  <si>
    <t>0134300026319000163</t>
  </si>
  <si>
    <t>6449932120</t>
  </si>
  <si>
    <t>31907642766</t>
  </si>
  <si>
    <t>6449072467</t>
  </si>
  <si>
    <t>6454036016</t>
  </si>
  <si>
    <t>6449077867</t>
  </si>
  <si>
    <t>529515</t>
  </si>
  <si>
    <t>0134300026319000162</t>
  </si>
  <si>
    <t>1644045764</t>
  </si>
  <si>
    <t>РД-190228-122 (2)</t>
  </si>
  <si>
    <t>5030060782</t>
  </si>
  <si>
    <t>649385</t>
  </si>
  <si>
    <t>0411158724</t>
  </si>
  <si>
    <t>0177200000919000366</t>
  </si>
  <si>
    <t>0411141311</t>
  </si>
  <si>
    <t>0411107247</t>
  </si>
  <si>
    <t>5040053470</t>
  </si>
  <si>
    <t>649374</t>
  </si>
  <si>
    <t>5036045131</t>
  </si>
  <si>
    <t>0848300062219000149</t>
  </si>
  <si>
    <t>6164305757</t>
  </si>
  <si>
    <t>7802605395</t>
  </si>
  <si>
    <t>7714912911</t>
  </si>
  <si>
    <t>5017048472</t>
  </si>
  <si>
    <t>649346</t>
  </si>
  <si>
    <t>0832200006619000206</t>
  </si>
  <si>
    <t>6027024472</t>
  </si>
  <si>
    <t>31907641139</t>
  </si>
  <si>
    <t>100281257219000012</t>
  </si>
  <si>
    <t>9102067956</t>
  </si>
  <si>
    <t>695380</t>
  </si>
  <si>
    <t>5050023933</t>
  </si>
  <si>
    <t>0848300041219000103</t>
  </si>
  <si>
    <t>7718510459</t>
  </si>
  <si>
    <t>505006102210</t>
  </si>
  <si>
    <t>7733857261</t>
  </si>
  <si>
    <t>4424138</t>
  </si>
  <si>
    <t>5012005108</t>
  </si>
  <si>
    <t>649126</t>
  </si>
  <si>
    <t>0352300015219000028</t>
  </si>
  <si>
    <t>3904013344</t>
  </si>
  <si>
    <t>695294</t>
  </si>
  <si>
    <t>0352300015219000027</t>
  </si>
  <si>
    <t>5610036350</t>
  </si>
  <si>
    <t>0853500000319001095</t>
  </si>
  <si>
    <t>ATOM14031900131</t>
  </si>
  <si>
    <t>2014014952</t>
  </si>
  <si>
    <t>0194200000519001309</t>
  </si>
  <si>
    <t>5079009321</t>
  </si>
  <si>
    <t>649084</t>
  </si>
  <si>
    <t>1207829</t>
  </si>
  <si>
    <t>31907639262</t>
  </si>
  <si>
    <t>7709115815</t>
  </si>
  <si>
    <t>100170894219000005</t>
  </si>
  <si>
    <t>694734</t>
  </si>
  <si>
    <t>6662073900</t>
  </si>
  <si>
    <t>31907638088</t>
  </si>
  <si>
    <t>6135011142</t>
  </si>
  <si>
    <t>694846</t>
  </si>
  <si>
    <t>0146300005419000010</t>
  </si>
  <si>
    <t>5609075322</t>
  </si>
  <si>
    <t>6025046865</t>
  </si>
  <si>
    <t>0357200028719000006</t>
  </si>
  <si>
    <t>9204021679</t>
  </si>
  <si>
    <t>0374200006119000016</t>
  </si>
  <si>
    <t>920155582937</t>
  </si>
  <si>
    <t>920453713663</t>
  </si>
  <si>
    <t>0123200000319000531</t>
  </si>
  <si>
    <t>5001023088</t>
  </si>
  <si>
    <t>648849</t>
  </si>
  <si>
    <t>31907637887</t>
  </si>
  <si>
    <t>6659063772</t>
  </si>
  <si>
    <t>5022033344</t>
  </si>
  <si>
    <t>648811</t>
  </si>
  <si>
    <t>5050042622</t>
  </si>
  <si>
    <t>648774</t>
  </si>
  <si>
    <t>648727</t>
  </si>
  <si>
    <t>Орехово-Зуевский район</t>
  </si>
  <si>
    <t>2339015187</t>
  </si>
  <si>
    <t>0118300007319000036</t>
  </si>
  <si>
    <t>233901923357</t>
  </si>
  <si>
    <t>648740</t>
  </si>
  <si>
    <t>5191601859</t>
  </si>
  <si>
    <t>31907637823</t>
  </si>
  <si>
    <t>0373200087819000055</t>
  </si>
  <si>
    <t>0349100009219000012</t>
  </si>
  <si>
    <t>5013029824</t>
  </si>
  <si>
    <t>648638</t>
  </si>
  <si>
    <t>5008036368</t>
  </si>
  <si>
    <t>648561</t>
  </si>
  <si>
    <t>6165157156</t>
  </si>
  <si>
    <t>100152613219000002</t>
  </si>
  <si>
    <t>1430008469</t>
  </si>
  <si>
    <t>0116300029819000007</t>
  </si>
  <si>
    <t>1431010132</t>
  </si>
  <si>
    <t>1430011408</t>
  </si>
  <si>
    <t>1435316481</t>
  </si>
  <si>
    <t>0360300052819000212</t>
  </si>
  <si>
    <t>3620007587</t>
  </si>
  <si>
    <t>0231100001619000008</t>
  </si>
  <si>
    <t>3620010371</t>
  </si>
  <si>
    <t>3627031476</t>
  </si>
  <si>
    <t>3525145192</t>
  </si>
  <si>
    <t>100266435219000003</t>
  </si>
  <si>
    <t>0137200001219000806</t>
  </si>
  <si>
    <t>5905012114</t>
  </si>
  <si>
    <t>31907635756</t>
  </si>
  <si>
    <t>[ОКПД2 25.99] Металлоизделия готовые прочие, не включенные в другие группировки, [ОКВЭД2 25.99] Производство прочих готовых металлических изделий, не включенных в другие группировки</t>
  </si>
  <si>
    <t>5042074028</t>
  </si>
  <si>
    <t>648304</t>
  </si>
  <si>
    <t>7445016826</t>
  </si>
  <si>
    <t>692848</t>
  </si>
  <si>
    <t>7735046653</t>
  </si>
  <si>
    <t>0373200092619000008</t>
  </si>
  <si>
    <t>7735563404</t>
  </si>
  <si>
    <t>370102422195</t>
  </si>
  <si>
    <t>7709407790</t>
  </si>
  <si>
    <t>1433016549</t>
  </si>
  <si>
    <t>0316100009119000013</t>
  </si>
  <si>
    <t>Мирнинский улус</t>
  </si>
  <si>
    <t>143300161860</t>
  </si>
  <si>
    <t>5027051530</t>
  </si>
  <si>
    <t>648128</t>
  </si>
  <si>
    <t>2019-683031</t>
  </si>
  <si>
    <t>31907635319</t>
  </si>
  <si>
    <t>[ОКПД2 33.20] Услуги по монтажу промышленных машин и оборудования, [ОКВЭД2 33.13] Ремонт электронного и оптического оборудования</t>
  </si>
  <si>
    <t>5317003031</t>
  </si>
  <si>
    <t>31907634810</t>
  </si>
  <si>
    <t>[ОКПД2 88.99] Услуги социальные без обеспечения проживания прочие, не включенные в другие группировки, [ОКВЭД2 88.99] Предоставление прочих социальных услуг без обеспечения проживания, не включенных в другие группировки</t>
  </si>
  <si>
    <t>5204000304</t>
  </si>
  <si>
    <t>0332300062719000013</t>
  </si>
  <si>
    <t>5258119810</t>
  </si>
  <si>
    <t>5256155299</t>
  </si>
  <si>
    <t>5256035530</t>
  </si>
  <si>
    <t>31907634828</t>
  </si>
  <si>
    <t>7327077188</t>
  </si>
  <si>
    <t>4716028445</t>
  </si>
  <si>
    <t>31907634731</t>
  </si>
  <si>
    <t>4709008208</t>
  </si>
  <si>
    <t>0148300027919000031</t>
  </si>
  <si>
    <t>31907634758</t>
  </si>
  <si>
    <t>[ОКПД2 81.29] Услуги по чистке и уборке прочие, [ОКПД2 81.10] Услуги по комплексному обслуживанию помещений, [ОКПД2 82.19] Услуги по фотокопированию, подготовке документов и прочие вспомогательные услуги по обеспечению деятельности офиса, [ОКВЭД2 82.19] Деятельность по фотокопированию и подготовке документов и прочая специализированная вспомогательная деятельность по обеспечению деятельности офиса, [ОКВЭД2 81.29] Деятельность по чистке и уборке прочая, [ОКВЭД2 81.10] Деятельность по комплексному обслуживанию помещений</t>
  </si>
  <si>
    <t>6163138165</t>
  </si>
  <si>
    <t>611310743804</t>
  </si>
  <si>
    <t>691574</t>
  </si>
  <si>
    <t>ATOM13031900183</t>
  </si>
  <si>
    <t>691567</t>
  </si>
  <si>
    <t>1206677</t>
  </si>
  <si>
    <t>691569</t>
  </si>
  <si>
    <t>31907634130</t>
  </si>
  <si>
    <t>0105075003</t>
  </si>
  <si>
    <t>1001256529</t>
  </si>
  <si>
    <t>7453215984</t>
  </si>
  <si>
    <t>0369100032519000155</t>
  </si>
  <si>
    <t>7453189300</t>
  </si>
  <si>
    <t>0316100009119000011</t>
  </si>
  <si>
    <t>31907632397</t>
  </si>
  <si>
    <t>7202118248</t>
  </si>
  <si>
    <t>3906027695</t>
  </si>
  <si>
    <t>0335100005619000003</t>
  </si>
  <si>
    <t>690943</t>
  </si>
  <si>
    <t>1206488</t>
  </si>
  <si>
    <t>5024059531</t>
  </si>
  <si>
    <t>647928</t>
  </si>
  <si>
    <t>9110088974</t>
  </si>
  <si>
    <t>0375300127419000026</t>
  </si>
  <si>
    <t>911014738778</t>
  </si>
  <si>
    <t>2601003761</t>
  </si>
  <si>
    <t>0321200004319000008</t>
  </si>
  <si>
    <t>0335100005619000002</t>
  </si>
  <si>
    <t>690867</t>
  </si>
  <si>
    <t>5034033211</t>
  </si>
  <si>
    <t>647941</t>
  </si>
  <si>
    <t>4705020571</t>
  </si>
  <si>
    <t>0345200011519000040</t>
  </si>
  <si>
    <t>Гатчина</t>
  </si>
  <si>
    <t>7737032409</t>
  </si>
  <si>
    <t>0373200057819000005</t>
  </si>
  <si>
    <t>7714515880</t>
  </si>
  <si>
    <t>31907632341</t>
  </si>
  <si>
    <t>5024084760</t>
  </si>
  <si>
    <t>647819</t>
  </si>
  <si>
    <t>[ОКПД2 26.40] Техника бытовая электронная, [ОКПД2 27.90] Оборудование электрическое прочее, [ОКПД2 27.32] Провода и кабели электронные и электрические прочие, [ОКПД2 27.12] Аппаратура распределительная и регулирующая электрическая, [ОКПД2 32.50] Инструменты и оборудование медицинские, [ОКПД2 26.52] Часы всех видов</t>
  </si>
  <si>
    <t>7206025040</t>
  </si>
  <si>
    <t>325357</t>
  </si>
  <si>
    <t>5507209256</t>
  </si>
  <si>
    <t>0352200034919000014</t>
  </si>
  <si>
    <t>5406973458</t>
  </si>
  <si>
    <t>552804324999</t>
  </si>
  <si>
    <t>5503212040</t>
  </si>
  <si>
    <t>3729009737</t>
  </si>
  <si>
    <t>100035888219000001</t>
  </si>
  <si>
    <t>6027138617</t>
  </si>
  <si>
    <t>31907631643</t>
  </si>
  <si>
    <t>6027163109</t>
  </si>
  <si>
    <t>7813397637</t>
  </si>
  <si>
    <t>31907631798</t>
  </si>
  <si>
    <t>[ОКПД2 84.11] Услуги государственного управления общего характера, [ОКВЭД2 84.11] Деятельность органов государственного управления и местного самоуправления по вопросам общего характера</t>
  </si>
  <si>
    <t>3108002270</t>
  </si>
  <si>
    <t>0326300010319000005</t>
  </si>
  <si>
    <t>5027092840</t>
  </si>
  <si>
    <t>647578</t>
  </si>
  <si>
    <t>6140018841</t>
  </si>
  <si>
    <t>689603</t>
  </si>
  <si>
    <t>[ОКПД2 26.12] Платы печатные смонтированные, [ОКПД2 27.33] Изделия электроустановочные, [ОКПД2 26.40] Техника бытовая электронная, [ОКПД2 27.32] Провода и кабели электронные и электрические прочие, [ОКПД2 26.20] Компьютеры и периферийное оборудование, [ОКПД2 43.21] Работы электромонтажные</t>
  </si>
  <si>
    <t>5507036003</t>
  </si>
  <si>
    <t>689527</t>
  </si>
  <si>
    <t>31907630339</t>
  </si>
  <si>
    <t>647508</t>
  </si>
  <si>
    <t>0817200000319001584</t>
  </si>
  <si>
    <t>5047157060</t>
  </si>
  <si>
    <t>647436</t>
  </si>
  <si>
    <t>5040030770</t>
  </si>
  <si>
    <t>0348100055319000005</t>
  </si>
  <si>
    <t>5002005229</t>
  </si>
  <si>
    <t>2721170838</t>
  </si>
  <si>
    <t>100105583219000002</t>
  </si>
  <si>
    <t>100105583219000004</t>
  </si>
  <si>
    <t>0111300060619000013</t>
  </si>
  <si>
    <t>1628006341</t>
  </si>
  <si>
    <t>Мензелинский район</t>
  </si>
  <si>
    <t>1628006310</t>
  </si>
  <si>
    <t>1628009141</t>
  </si>
  <si>
    <t>1655324907</t>
  </si>
  <si>
    <t>1650248890</t>
  </si>
  <si>
    <t>2510005553</t>
  </si>
  <si>
    <t>100252658219000006</t>
  </si>
  <si>
    <t>100252658219000003</t>
  </si>
  <si>
    <t>5043034469</t>
  </si>
  <si>
    <t>647330</t>
  </si>
  <si>
    <t>7017005289</t>
  </si>
  <si>
    <t>31907627636</t>
  </si>
  <si>
    <t>[ОКПД2 95.11] Услуги по ремонту компьютеров и периферийного оборудования, [ОКВЭД2 95.12] Ремонт коммуникационного оборудования</t>
  </si>
  <si>
    <t>100107798219000041</t>
  </si>
  <si>
    <t>6163030563</t>
  </si>
  <si>
    <t>0358300210619000006</t>
  </si>
  <si>
    <t>6162511994</t>
  </si>
  <si>
    <t>6165178974</t>
  </si>
  <si>
    <t>5219000730</t>
  </si>
  <si>
    <t>0332300220519000024</t>
  </si>
  <si>
    <t>Краснобаковский район</t>
  </si>
  <si>
    <t>5259069432</t>
  </si>
  <si>
    <t>5219383762</t>
  </si>
  <si>
    <t>5050031980</t>
  </si>
  <si>
    <t>31907629272</t>
  </si>
  <si>
    <t>5050090030</t>
  </si>
  <si>
    <t>8604026221</t>
  </si>
  <si>
    <t>0187300012819000049</t>
  </si>
  <si>
    <t>2983008053</t>
  </si>
  <si>
    <t>0384200004219000024</t>
  </si>
  <si>
    <t>830000254743</t>
  </si>
  <si>
    <t>298304512495</t>
  </si>
  <si>
    <t>31907627659</t>
  </si>
  <si>
    <t>7202086540</t>
  </si>
  <si>
    <t>2311079945</t>
  </si>
  <si>
    <t>0318100017219000024</t>
  </si>
  <si>
    <t>232907048309</t>
  </si>
  <si>
    <t>2311176970</t>
  </si>
  <si>
    <t>2312190181</t>
  </si>
  <si>
    <t>560403877100</t>
  </si>
  <si>
    <t>232703418287</t>
  </si>
  <si>
    <t>2311144425</t>
  </si>
  <si>
    <t>2308109893</t>
  </si>
  <si>
    <t>6317021970</t>
  </si>
  <si>
    <t>0342100015219000028</t>
  </si>
  <si>
    <t>[ОКПД2 26.20] Компьютеры и периферийное оборудование, [ОКПД2 26.30] Оборудование коммуникационное</t>
  </si>
  <si>
    <t>1840070598</t>
  </si>
  <si>
    <t>7719828389</t>
  </si>
  <si>
    <t>5638050756</t>
  </si>
  <si>
    <t>632100068604</t>
  </si>
  <si>
    <t>6316173593</t>
  </si>
  <si>
    <t>5905279051</t>
  </si>
  <si>
    <t>2365014221</t>
  </si>
  <si>
    <t>31907628859</t>
  </si>
  <si>
    <t>0373100015719000057</t>
  </si>
  <si>
    <t>Звенигород</t>
  </si>
  <si>
    <t>7724006715</t>
  </si>
  <si>
    <t>6413003981</t>
  </si>
  <si>
    <t>0860200000819001871</t>
  </si>
  <si>
    <t>Ершовский район</t>
  </si>
  <si>
    <t>6453140134</t>
  </si>
  <si>
    <t>ATOM12031900221</t>
  </si>
  <si>
    <t>4345100444</t>
  </si>
  <si>
    <t>100155196219000001</t>
  </si>
  <si>
    <t>5107010480</t>
  </si>
  <si>
    <t>31907628360</t>
  </si>
  <si>
    <t>[ОКПД2 26.30] Оборудование коммуникационное, [ОКВЭД2 26.3+] Производство коммуникационного оборудования</t>
  </si>
  <si>
    <t>7713210236</t>
  </si>
  <si>
    <t>0373200021519000011</t>
  </si>
  <si>
    <t>7734367862</t>
  </si>
  <si>
    <t>7701921475</t>
  </si>
  <si>
    <t>7723733242</t>
  </si>
  <si>
    <t>5034055159</t>
  </si>
  <si>
    <t>7727362380</t>
  </si>
  <si>
    <t>7017004447</t>
  </si>
  <si>
    <t>0865200000319000227</t>
  </si>
  <si>
    <t>7017431093</t>
  </si>
  <si>
    <t>7017434295</t>
  </si>
  <si>
    <t>0335300053319000008</t>
  </si>
  <si>
    <t>3906203580</t>
  </si>
  <si>
    <t>3906958768</t>
  </si>
  <si>
    <t>390101609860</t>
  </si>
  <si>
    <t>0146300005419000007</t>
  </si>
  <si>
    <t>2462004130</t>
  </si>
  <si>
    <t>0319100010519000019</t>
  </si>
  <si>
    <t>2466253723</t>
  </si>
  <si>
    <t>0372200261819000001</t>
  </si>
  <si>
    <t>7814046504</t>
  </si>
  <si>
    <t>7814046487</t>
  </si>
  <si>
    <t>7814046913</t>
  </si>
  <si>
    <t>5507017890</t>
  </si>
  <si>
    <t>0352200027619000007</t>
  </si>
  <si>
    <t>5507238930</t>
  </si>
  <si>
    <t>5620004942</t>
  </si>
  <si>
    <t>0153300052819000014</t>
  </si>
  <si>
    <t>5047142779</t>
  </si>
  <si>
    <t>646832</t>
  </si>
  <si>
    <t>1205070</t>
  </si>
  <si>
    <t>5907035928</t>
  </si>
  <si>
    <t>31907625908</t>
  </si>
  <si>
    <t>0301200030619000008</t>
  </si>
  <si>
    <t>0276934914</t>
  </si>
  <si>
    <t>0278216877</t>
  </si>
  <si>
    <t>5620004879</t>
  </si>
  <si>
    <t>0153300052819000012</t>
  </si>
  <si>
    <t>5620004974</t>
  </si>
  <si>
    <t>0153300052819000013</t>
  </si>
  <si>
    <t>0332200013719000024</t>
  </si>
  <si>
    <t>5259065090</t>
  </si>
  <si>
    <t>5260098580</t>
  </si>
  <si>
    <t>0311200013419000036</t>
  </si>
  <si>
    <t>1650191153</t>
  </si>
  <si>
    <t>1657036502</t>
  </si>
  <si>
    <t>1656079905</t>
  </si>
  <si>
    <t>ATOM12031900101</t>
  </si>
  <si>
    <t>5616004026</t>
  </si>
  <si>
    <t>0153300060619000058</t>
  </si>
  <si>
    <t>5610124782</t>
  </si>
  <si>
    <t>6505009969</t>
  </si>
  <si>
    <t>0861300004619000058</t>
  </si>
  <si>
    <t>Невельск</t>
  </si>
  <si>
    <t>1402011893</t>
  </si>
  <si>
    <t>0816300014519000016</t>
  </si>
  <si>
    <t>1402047709</t>
  </si>
  <si>
    <t>0332300253119000007</t>
  </si>
  <si>
    <t>4105023034</t>
  </si>
  <si>
    <t>31907624268</t>
  </si>
  <si>
    <t>4101153586</t>
  </si>
  <si>
    <t>3231001166</t>
  </si>
  <si>
    <t>0327300011019000022</t>
  </si>
  <si>
    <t>0356500001119000043</t>
  </si>
  <si>
    <t>5919004096</t>
  </si>
  <si>
    <t>591900104823</t>
  </si>
  <si>
    <t>6671380834</t>
  </si>
  <si>
    <t>0362200050719000150</t>
  </si>
  <si>
    <t>0327300011019000016</t>
  </si>
  <si>
    <t>5009035568</t>
  </si>
  <si>
    <t>646670</t>
  </si>
  <si>
    <t>0327300011019000017</t>
  </si>
  <si>
    <t>6501146065</t>
  </si>
  <si>
    <t>0161200000419000064</t>
  </si>
  <si>
    <t>0362200050719000151</t>
  </si>
  <si>
    <t>6671461233</t>
  </si>
  <si>
    <t>0332300253119000008</t>
  </si>
  <si>
    <t>2015000173</t>
  </si>
  <si>
    <t>0194200000519001027</t>
  </si>
  <si>
    <t>2005009152</t>
  </si>
  <si>
    <t>5501054253</t>
  </si>
  <si>
    <t>686350</t>
  </si>
  <si>
    <t>8619009010</t>
  </si>
  <si>
    <t>0187300001719000116</t>
  </si>
  <si>
    <t>6670465651</t>
  </si>
  <si>
    <t>7805045462</t>
  </si>
  <si>
    <t>0372200020019000009</t>
  </si>
  <si>
    <t>7806320432</t>
  </si>
  <si>
    <t>0274922769</t>
  </si>
  <si>
    <t>31907624805</t>
  </si>
  <si>
    <t>0245022481</t>
  </si>
  <si>
    <t>0278077990</t>
  </si>
  <si>
    <t>5030033309</t>
  </si>
  <si>
    <t>646547</t>
  </si>
  <si>
    <t>31907624664</t>
  </si>
  <si>
    <t>COM11031900049</t>
  </si>
  <si>
    <t>7202187749</t>
  </si>
  <si>
    <t>31907624113</t>
  </si>
  <si>
    <t>7017179567</t>
  </si>
  <si>
    <t>31907621977</t>
  </si>
  <si>
    <t>[ОКПД2 33.19] Услуги по ремонту прочего оборудования, [ОКВЭД2 33.1+] Ремонт и монтаж металлических изделий, машин и оборудования</t>
  </si>
  <si>
    <t>4101121182</t>
  </si>
  <si>
    <t>0238100000119000010</t>
  </si>
  <si>
    <t>2452024096</t>
  </si>
  <si>
    <t>31907622083</t>
  </si>
  <si>
    <t>6104001666</t>
  </si>
  <si>
    <t>0358200010219000008</t>
  </si>
  <si>
    <t>6115903024</t>
  </si>
  <si>
    <t>610400411488</t>
  </si>
  <si>
    <t>5713000605</t>
  </si>
  <si>
    <t>0354300004119000019</t>
  </si>
  <si>
    <t>Краснозоренский район</t>
  </si>
  <si>
    <t>5753036541</t>
  </si>
  <si>
    <t>0154100005719000010</t>
  </si>
  <si>
    <t>6330050089</t>
  </si>
  <si>
    <t>0142300013119000045</t>
  </si>
  <si>
    <t>6317046020</t>
  </si>
  <si>
    <t>6318233047</t>
  </si>
  <si>
    <t>1424003335</t>
  </si>
  <si>
    <t>0816500000619001465</t>
  </si>
  <si>
    <t>1435327028</t>
  </si>
  <si>
    <t>141501808783</t>
  </si>
  <si>
    <t>6722006531</t>
  </si>
  <si>
    <t>0163300025019000033</t>
  </si>
  <si>
    <t>6722024940</t>
  </si>
  <si>
    <t>5008043118</t>
  </si>
  <si>
    <t>646093</t>
  </si>
  <si>
    <t>0139100004619000014</t>
  </si>
  <si>
    <t>0602001308</t>
  </si>
  <si>
    <t>0314100001819000001</t>
  </si>
  <si>
    <t>0608021678</t>
  </si>
  <si>
    <t>1651063041</t>
  </si>
  <si>
    <t>0111300005119000069</t>
  </si>
  <si>
    <t>1655385434</t>
  </si>
  <si>
    <t>1650346946</t>
  </si>
  <si>
    <t>180902257760</t>
  </si>
  <si>
    <t>1513008350</t>
  </si>
  <si>
    <t>31907622693</t>
  </si>
  <si>
    <t>[ОКПД2 26+] Оборудование компьютерное, электронное и оптическое, [ОКВЭД2 26+] Производство компьютеров, электронных и оптических изделий</t>
  </si>
  <si>
    <t>150408404741</t>
  </si>
  <si>
    <t>151203053773</t>
  </si>
  <si>
    <t>5048052422</t>
  </si>
  <si>
    <t>646098</t>
  </si>
  <si>
    <t>0114200000119000153</t>
  </si>
  <si>
    <t>0362300277919000006</t>
  </si>
  <si>
    <t>6683008211</t>
  </si>
  <si>
    <t>2466010657</t>
  </si>
  <si>
    <t>0119300019819000234</t>
  </si>
  <si>
    <t>2461206039</t>
  </si>
  <si>
    <t>1204093</t>
  </si>
  <si>
    <t>0560029210</t>
  </si>
  <si>
    <t>0103100007319000038</t>
  </si>
  <si>
    <t>0572002439</t>
  </si>
  <si>
    <t>0562067324</t>
  </si>
  <si>
    <t>1204156</t>
  </si>
  <si>
    <t>5075003671</t>
  </si>
  <si>
    <t>646010</t>
  </si>
  <si>
    <t>ATOM11031900128</t>
  </si>
  <si>
    <t>2531879</t>
  </si>
  <si>
    <t>0114200000119000152</t>
  </si>
  <si>
    <t>7734521419</t>
  </si>
  <si>
    <t>0173100009119000088</t>
  </si>
  <si>
    <t>5071001553</t>
  </si>
  <si>
    <t>645866</t>
  </si>
  <si>
    <t>6439036406</t>
  </si>
  <si>
    <t>31907621221</t>
  </si>
  <si>
    <t>100143749119000005</t>
  </si>
  <si>
    <t>7810158373</t>
  </si>
  <si>
    <t>0372200256719000007</t>
  </si>
  <si>
    <t>7813165178</t>
  </si>
  <si>
    <t>7839489064</t>
  </si>
  <si>
    <t>2464036032</t>
  </si>
  <si>
    <t>0319100006719000010</t>
  </si>
  <si>
    <t>5424403637</t>
  </si>
  <si>
    <t>2460255900</t>
  </si>
  <si>
    <t>245011949810</t>
  </si>
  <si>
    <t>7842134047</t>
  </si>
  <si>
    <t>2465157897</t>
  </si>
  <si>
    <t>2465232008</t>
  </si>
  <si>
    <t>0173100009119000084</t>
  </si>
  <si>
    <t>8601002670</t>
  </si>
  <si>
    <t>0387200002219000006</t>
  </si>
  <si>
    <t>8601058514</t>
  </si>
  <si>
    <t>4205077509</t>
  </si>
  <si>
    <t>100097868219000002</t>
  </si>
  <si>
    <t>5009035920</t>
  </si>
  <si>
    <t>645640</t>
  </si>
  <si>
    <t>0721021159</t>
  </si>
  <si>
    <t>0304200015119000005</t>
  </si>
  <si>
    <t>3122006943</t>
  </si>
  <si>
    <t>100113763219000002</t>
  </si>
  <si>
    <t>8603233401</t>
  </si>
  <si>
    <t>6011</t>
  </si>
  <si>
    <t>2302067397</t>
  </si>
  <si>
    <t>100143588219000001</t>
  </si>
  <si>
    <t>Армавир</t>
  </si>
  <si>
    <t>0304200015119000006</t>
  </si>
  <si>
    <t>7814103777</t>
  </si>
  <si>
    <t>0372200250319000002</t>
  </si>
  <si>
    <t>3705003479</t>
  </si>
  <si>
    <t>0333300078919000009</t>
  </si>
  <si>
    <t>0333300078919000008</t>
  </si>
  <si>
    <t>2901130440</t>
  </si>
  <si>
    <t>0124100003219000031</t>
  </si>
  <si>
    <t>8608040266</t>
  </si>
  <si>
    <t>0387200031019000012</t>
  </si>
  <si>
    <t>0367100010619000017</t>
  </si>
  <si>
    <t>7814042203</t>
  </si>
  <si>
    <t>0372200197319000004</t>
  </si>
  <si>
    <t>7814103625</t>
  </si>
  <si>
    <t>0372200145319000002</t>
  </si>
  <si>
    <t>0311100031919000001</t>
  </si>
  <si>
    <t>1657138663</t>
  </si>
  <si>
    <t>165900003117</t>
  </si>
  <si>
    <t>2019-680835</t>
  </si>
  <si>
    <t>2083</t>
  </si>
  <si>
    <t>1644031472</t>
  </si>
  <si>
    <t>ЗП-190309-22</t>
  </si>
  <si>
    <t>645495</t>
  </si>
  <si>
    <t>5019015793</t>
  </si>
  <si>
    <t>645482</t>
  </si>
  <si>
    <t>645484</t>
  </si>
  <si>
    <t>7841484169</t>
  </si>
  <si>
    <t>31907619836</t>
  </si>
  <si>
    <t>31907619426</t>
  </si>
  <si>
    <t>РН915950</t>
  </si>
  <si>
    <t>0351300076619000019</t>
  </si>
  <si>
    <t>7720723422</t>
  </si>
  <si>
    <t>31907619137</t>
  </si>
  <si>
    <t>0351300076619000018</t>
  </si>
  <si>
    <t>4717008096</t>
  </si>
  <si>
    <t>0345300047819000012</t>
  </si>
  <si>
    <t>4717007720</t>
  </si>
  <si>
    <t>31907619011</t>
  </si>
  <si>
    <t>3442003010</t>
  </si>
  <si>
    <t>3442056774</t>
  </si>
  <si>
    <t>6162052282</t>
  </si>
  <si>
    <t>5020025771</t>
  </si>
  <si>
    <t>645294</t>
  </si>
  <si>
    <t>2721025301</t>
  </si>
  <si>
    <t>0322100001919000062</t>
  </si>
  <si>
    <t>1326251273</t>
  </si>
  <si>
    <t>2464261084</t>
  </si>
  <si>
    <t>1435030316</t>
  </si>
  <si>
    <t>0816500000619001328</t>
  </si>
  <si>
    <t>1435273534</t>
  </si>
  <si>
    <t>5010003352</t>
  </si>
  <si>
    <t>0348100071819000001</t>
  </si>
  <si>
    <t>7604016101</t>
  </si>
  <si>
    <t>100277342219000023</t>
  </si>
  <si>
    <t>7435000376</t>
  </si>
  <si>
    <t>0169300025719000011</t>
  </si>
  <si>
    <t>Нагайбакский район</t>
  </si>
  <si>
    <t>31907617360</t>
  </si>
  <si>
    <t>5003021544</t>
  </si>
  <si>
    <t>645115</t>
  </si>
  <si>
    <t>31907617395</t>
  </si>
  <si>
    <t>4322006798</t>
  </si>
  <si>
    <t>31907617161</t>
  </si>
  <si>
    <t>4714004079</t>
  </si>
  <si>
    <t>31907616865</t>
  </si>
  <si>
    <t>9106007644</t>
  </si>
  <si>
    <t>0375300159019000004</t>
  </si>
  <si>
    <t>2312158036</t>
  </si>
  <si>
    <t>2503005859</t>
  </si>
  <si>
    <t>0320100004119000008</t>
  </si>
  <si>
    <t>Шкотовский район</t>
  </si>
  <si>
    <t>0387200004819000005</t>
  </si>
  <si>
    <t>5048052870</t>
  </si>
  <si>
    <t>644929</t>
  </si>
  <si>
    <t>[ОКПД2 33.13] Услуги по ремонту электронного и оптического оборудования, [ОКПД2 58.29] Услуги по изданию прочего программного обеспечения, [ОКПД2 62.02] Услуги консультативные, связанные с компьютерной техникой</t>
  </si>
  <si>
    <t>31907615396</t>
  </si>
  <si>
    <t>8601042810</t>
  </si>
  <si>
    <t>31907614208</t>
  </si>
  <si>
    <t>31907614163</t>
  </si>
  <si>
    <t>5905998063</t>
  </si>
  <si>
    <t>0162300005319000794</t>
  </si>
  <si>
    <t>2813006299</t>
  </si>
  <si>
    <t>31907612366</t>
  </si>
  <si>
    <t>6345012488</t>
  </si>
  <si>
    <t>2801030890</t>
  </si>
  <si>
    <t>2721140512</t>
  </si>
  <si>
    <t>5079009314</t>
  </si>
  <si>
    <t>644846</t>
  </si>
  <si>
    <t>Шаховской район</t>
  </si>
  <si>
    <t>31907615017</t>
  </si>
  <si>
    <t>Ейск</t>
  </si>
  <si>
    <t>2306031828</t>
  </si>
  <si>
    <t>5012019132</t>
  </si>
  <si>
    <t>644761</t>
  </si>
  <si>
    <t>88032</t>
  </si>
  <si>
    <t>0218100005519000033</t>
  </si>
  <si>
    <t>0339300000119000128</t>
  </si>
  <si>
    <t>5406365273</t>
  </si>
  <si>
    <t>4205306100</t>
  </si>
  <si>
    <t>4205082210</t>
  </si>
  <si>
    <t>7701391387</t>
  </si>
  <si>
    <t>0174100000319000008</t>
  </si>
  <si>
    <t>5030033370</t>
  </si>
  <si>
    <t>644676</t>
  </si>
  <si>
    <t>2130147791</t>
  </si>
  <si>
    <t>680243</t>
  </si>
  <si>
    <t>2511009409</t>
  </si>
  <si>
    <t>0120300006519000071</t>
  </si>
  <si>
    <t>2511041441</t>
  </si>
  <si>
    <t>251109184838</t>
  </si>
  <si>
    <t>2539080338</t>
  </si>
  <si>
    <t>2511100143</t>
  </si>
  <si>
    <t>0330100010519000019</t>
  </si>
  <si>
    <t>[ОКПД2 35.13] Услуги по распределению электроэнергии</t>
  </si>
  <si>
    <t>2901115427</t>
  </si>
  <si>
    <t>644656</t>
  </si>
  <si>
    <t>0111300005119000063</t>
  </si>
  <si>
    <t>1651027879</t>
  </si>
  <si>
    <t>1651028054</t>
  </si>
  <si>
    <t>1651028262</t>
  </si>
  <si>
    <t>1651028270</t>
  </si>
  <si>
    <t>1651046215</t>
  </si>
  <si>
    <t>1651028248</t>
  </si>
  <si>
    <t>1651028336</t>
  </si>
  <si>
    <t>1651028015</t>
  </si>
  <si>
    <t>1651028135</t>
  </si>
  <si>
    <t>1651028199</t>
  </si>
  <si>
    <t>1651072991</t>
  </si>
  <si>
    <t>1651028382</t>
  </si>
  <si>
    <t>1651075544</t>
  </si>
  <si>
    <t>1651082566</t>
  </si>
  <si>
    <t>1651028216</t>
  </si>
  <si>
    <t>1651028079</t>
  </si>
  <si>
    <t>1651028030</t>
  </si>
  <si>
    <t>1651028294</t>
  </si>
  <si>
    <t>1651028230</t>
  </si>
  <si>
    <t>1651027861</t>
  </si>
  <si>
    <t>1651027903</t>
  </si>
  <si>
    <t>1651027935</t>
  </si>
  <si>
    <t>1651028150</t>
  </si>
  <si>
    <t>1651028329</t>
  </si>
  <si>
    <t>1651028093</t>
  </si>
  <si>
    <t>1651028304</t>
  </si>
  <si>
    <t>1651027999</t>
  </si>
  <si>
    <t>1651035171</t>
  </si>
  <si>
    <t>1651028022</t>
  </si>
  <si>
    <t>1651028424</t>
  </si>
  <si>
    <t>1651027950</t>
  </si>
  <si>
    <t>1660211673</t>
  </si>
  <si>
    <t>1426004101</t>
  </si>
  <si>
    <t>0316200019919000004</t>
  </si>
  <si>
    <t>Томпонский улус</t>
  </si>
  <si>
    <t>6132009402</t>
  </si>
  <si>
    <t>680009</t>
  </si>
  <si>
    <t>31907613452</t>
  </si>
  <si>
    <t>4028046757</t>
  </si>
  <si>
    <t>644525</t>
  </si>
  <si>
    <t>3724001318</t>
  </si>
  <si>
    <t>0133200001719000427</t>
  </si>
  <si>
    <t>3702726494</t>
  </si>
  <si>
    <t>3702049838</t>
  </si>
  <si>
    <t>2129034507</t>
  </si>
  <si>
    <t>680086</t>
  </si>
  <si>
    <t>0158300009919000004</t>
  </si>
  <si>
    <t>6165213210</t>
  </si>
  <si>
    <t>7453246446</t>
  </si>
  <si>
    <t>0169300000119000155</t>
  </si>
  <si>
    <t>6447000040</t>
  </si>
  <si>
    <t>0260100000219000006</t>
  </si>
  <si>
    <t>645399883153</t>
  </si>
  <si>
    <t>3123162818</t>
  </si>
  <si>
    <t>679475</t>
  </si>
  <si>
    <t>31907612022</t>
  </si>
  <si>
    <t>5034028109</t>
  </si>
  <si>
    <t>31907611602</t>
  </si>
  <si>
    <t>678932</t>
  </si>
  <si>
    <t>644380</t>
  </si>
  <si>
    <t>31907611420</t>
  </si>
  <si>
    <t>5019008901</t>
  </si>
  <si>
    <t>0134100010219000017</t>
  </si>
  <si>
    <t>678861</t>
  </si>
  <si>
    <t>7720753353</t>
  </si>
  <si>
    <t>0373200599419000001</t>
  </si>
  <si>
    <t>7714344923</t>
  </si>
  <si>
    <t>1201543</t>
  </si>
  <si>
    <t>5031047921</t>
  </si>
  <si>
    <t>0348100007819000032</t>
  </si>
  <si>
    <t>5031070494</t>
  </si>
  <si>
    <t>3123316994</t>
  </si>
  <si>
    <t>0126200000419000569</t>
  </si>
  <si>
    <t>3123354990</t>
  </si>
  <si>
    <t>3127016261</t>
  </si>
  <si>
    <t>0394300053419000004</t>
  </si>
  <si>
    <t>0311100015619000002</t>
  </si>
  <si>
    <t>2540188015</t>
  </si>
  <si>
    <t>0120200004719000069</t>
  </si>
  <si>
    <t>5024002197</t>
  </si>
  <si>
    <t>644129</t>
  </si>
  <si>
    <t>2019-680006</t>
  </si>
  <si>
    <t>ADN-2019-0004</t>
  </si>
  <si>
    <t>0231000576</t>
  </si>
  <si>
    <t>0301100025419000002</t>
  </si>
  <si>
    <t>0245951677</t>
  </si>
  <si>
    <t>0275053021</t>
  </si>
  <si>
    <t>0245020501</t>
  </si>
  <si>
    <t>0250009060</t>
  </si>
  <si>
    <t>5045027259</t>
  </si>
  <si>
    <t>644123</t>
  </si>
  <si>
    <t>0320200022419000009</t>
  </si>
  <si>
    <t>7725112547</t>
  </si>
  <si>
    <t>0373100077419000026</t>
  </si>
  <si>
    <t>0688100000119000017</t>
  </si>
  <si>
    <t>6601000077</t>
  </si>
  <si>
    <t>0162200011819000352</t>
  </si>
  <si>
    <t>Алапаевск</t>
  </si>
  <si>
    <t>4908006780</t>
  </si>
  <si>
    <t>0347100012419000002</t>
  </si>
  <si>
    <t>Ягоднинский район</t>
  </si>
  <si>
    <t>4101135273</t>
  </si>
  <si>
    <t>0138100000619000016</t>
  </si>
  <si>
    <t>2318014979</t>
  </si>
  <si>
    <t>0118300018719000076</t>
  </si>
  <si>
    <t>2320149557</t>
  </si>
  <si>
    <t>5078018115</t>
  </si>
  <si>
    <t>644058</t>
  </si>
  <si>
    <t>0374200019719000002</t>
  </si>
  <si>
    <t>0362100017519000050</t>
  </si>
  <si>
    <t>5050057280</t>
  </si>
  <si>
    <t>31907608986</t>
  </si>
  <si>
    <t>7718673950</t>
  </si>
  <si>
    <t>5050029484</t>
  </si>
  <si>
    <t>5026011550</t>
  </si>
  <si>
    <t>643931</t>
  </si>
  <si>
    <t>Лыткарино</t>
  </si>
  <si>
    <t>0339100019519000032</t>
  </si>
  <si>
    <t>Юрга</t>
  </si>
  <si>
    <t>4230000309</t>
  </si>
  <si>
    <t>3728012776</t>
  </si>
  <si>
    <t>0333100004019000006</t>
  </si>
  <si>
    <t>3702042776</t>
  </si>
  <si>
    <t>0318200046219000008</t>
  </si>
  <si>
    <t>0333100004019000005</t>
  </si>
  <si>
    <t>3702592353</t>
  </si>
  <si>
    <t>0111300005119000058</t>
  </si>
  <si>
    <t>1651028368</t>
  </si>
  <si>
    <t>1651028128</t>
  </si>
  <si>
    <t>1651028417</t>
  </si>
  <si>
    <t>1651028449</t>
  </si>
  <si>
    <t>3703012284</t>
  </si>
  <si>
    <t>0333200011419000001</t>
  </si>
  <si>
    <t>31907608274</t>
  </si>
  <si>
    <t>7729328138</t>
  </si>
  <si>
    <t>5917101993</t>
  </si>
  <si>
    <t>0156100011019000009</t>
  </si>
  <si>
    <t>0362200050719000140</t>
  </si>
  <si>
    <t>6626012412</t>
  </si>
  <si>
    <t>676931</t>
  </si>
  <si>
    <t>676952</t>
  </si>
  <si>
    <t>676917</t>
  </si>
  <si>
    <t>5423101256</t>
  </si>
  <si>
    <t>0351300256819000023</t>
  </si>
  <si>
    <t>Каргатский район</t>
  </si>
  <si>
    <t>5404013195</t>
  </si>
  <si>
    <t>2537009770</t>
  </si>
  <si>
    <t>31907604916</t>
  </si>
  <si>
    <t>676452</t>
  </si>
  <si>
    <t>РН915073</t>
  </si>
  <si>
    <t>[ОКПД2 63+] Услуги в области информационных технологий, [ОКВЭД2 74+] Деятельность профессиональная научная и техническая прочая</t>
  </si>
  <si>
    <t>1435099188</t>
  </si>
  <si>
    <t>31907605033</t>
  </si>
  <si>
    <t>3728024806</t>
  </si>
  <si>
    <t>0133200001719000410</t>
  </si>
  <si>
    <t>3719009801</t>
  </si>
  <si>
    <t>5019028200</t>
  </si>
  <si>
    <t>643505</t>
  </si>
  <si>
    <t>1200047</t>
  </si>
  <si>
    <t>0148300062719000026</t>
  </si>
  <si>
    <t>0179100004719000045</t>
  </si>
  <si>
    <t>0917020784</t>
  </si>
  <si>
    <t>0319100000219000065</t>
  </si>
  <si>
    <t>0349100003519000038</t>
  </si>
  <si>
    <t>0179100004719000044</t>
  </si>
  <si>
    <t>5029160944</t>
  </si>
  <si>
    <t>643448</t>
  </si>
  <si>
    <t>5007029294</t>
  </si>
  <si>
    <t>643450</t>
  </si>
  <si>
    <t>7709022913</t>
  </si>
  <si>
    <t>31907606435</t>
  </si>
  <si>
    <t>5030041211</t>
  </si>
  <si>
    <t>0349100003519000041</t>
  </si>
  <si>
    <t>1835016228</t>
  </si>
  <si>
    <t>0813500000119001273</t>
  </si>
  <si>
    <t>1841055715</t>
  </si>
  <si>
    <t>31907605938</t>
  </si>
  <si>
    <t>7806110989</t>
  </si>
  <si>
    <t>8611006120</t>
  </si>
  <si>
    <t>0387200009319000002</t>
  </si>
  <si>
    <t>8611008304</t>
  </si>
  <si>
    <t>4501168996</t>
  </si>
  <si>
    <t>5071004900</t>
  </si>
  <si>
    <t>643375</t>
  </si>
  <si>
    <t>3730013960</t>
  </si>
  <si>
    <t>0333100007019000005</t>
  </si>
  <si>
    <t>Южский район</t>
  </si>
  <si>
    <t>5050128157</t>
  </si>
  <si>
    <t>3528235662</t>
  </si>
  <si>
    <t>5003000696</t>
  </si>
  <si>
    <t>87741</t>
  </si>
  <si>
    <t>5044016102</t>
  </si>
  <si>
    <t>643361</t>
  </si>
  <si>
    <t>0384200004219000021</t>
  </si>
  <si>
    <t>7718982290</t>
  </si>
  <si>
    <t>7802639362</t>
  </si>
  <si>
    <t>2634063950</t>
  </si>
  <si>
    <t>0321100014519000042</t>
  </si>
  <si>
    <t>2635233178</t>
  </si>
  <si>
    <t>643301</t>
  </si>
  <si>
    <t>31907605564</t>
  </si>
  <si>
    <t>87720</t>
  </si>
  <si>
    <t>6151002459</t>
  </si>
  <si>
    <t>675556</t>
  </si>
  <si>
    <t>5837004472</t>
  </si>
  <si>
    <t>0355200006619000006</t>
  </si>
  <si>
    <t>675269</t>
  </si>
  <si>
    <t>1659008571</t>
  </si>
  <si>
    <t>0311300273619000001</t>
  </si>
  <si>
    <t>5502034179</t>
  </si>
  <si>
    <t>675268</t>
  </si>
  <si>
    <t>4824010565</t>
  </si>
  <si>
    <t>0146300030219000129</t>
  </si>
  <si>
    <t>482613032254</t>
  </si>
  <si>
    <t>4824095880</t>
  </si>
  <si>
    <t>674951</t>
  </si>
  <si>
    <t>2530251</t>
  </si>
  <si>
    <t>475067</t>
  </si>
  <si>
    <t>2019-679223</t>
  </si>
  <si>
    <t>COM05031900076</t>
  </si>
  <si>
    <t>COM05031900041</t>
  </si>
  <si>
    <t>8601037426</t>
  </si>
  <si>
    <t>31907603540</t>
  </si>
  <si>
    <t>0301100025419000003</t>
  </si>
  <si>
    <t>6153019144</t>
  </si>
  <si>
    <t>0358200042919000002</t>
  </si>
  <si>
    <t>6162064457</t>
  </si>
  <si>
    <t>5011002224</t>
  </si>
  <si>
    <t>0848300046019000050</t>
  </si>
  <si>
    <t>5037007869</t>
  </si>
  <si>
    <t>0348100096319000009</t>
  </si>
  <si>
    <t>1433029788</t>
  </si>
  <si>
    <t>31907601220</t>
  </si>
  <si>
    <t>[ОКПД2 26.30] Оборудование коммуникационное, [ОКВЭД2 95.12] Ремонт коммуникационного оборудования</t>
  </si>
  <si>
    <t>4401044098</t>
  </si>
  <si>
    <t>0162300005319000742</t>
  </si>
  <si>
    <t>3123414913</t>
  </si>
  <si>
    <t>0126200000419000553</t>
  </si>
  <si>
    <t>297757</t>
  </si>
  <si>
    <t>297760</t>
  </si>
  <si>
    <t>297748</t>
  </si>
  <si>
    <t>2530202</t>
  </si>
  <si>
    <t>0169100000819000013</t>
  </si>
  <si>
    <t>1200097</t>
  </si>
  <si>
    <t>0333100004519000005</t>
  </si>
  <si>
    <t>3702675803</t>
  </si>
  <si>
    <t>3525044123</t>
  </si>
  <si>
    <t>0130100005519000043</t>
  </si>
  <si>
    <t>1001122941</t>
  </si>
  <si>
    <t>31907603655</t>
  </si>
  <si>
    <t>8617018034</t>
  </si>
  <si>
    <t>674264</t>
  </si>
  <si>
    <t>6163032850</t>
  </si>
  <si>
    <t>0358100022819000056</t>
  </si>
  <si>
    <t>5836012255</t>
  </si>
  <si>
    <t>31907603200</t>
  </si>
  <si>
    <t>583505953502</t>
  </si>
  <si>
    <t>31907603508</t>
  </si>
  <si>
    <t>[ОКПД2 80.30] Услуги по проведению расследований, [ОКВЭД2 84.24] Деятельность по обеспечению общественного порядка и безопасности</t>
  </si>
  <si>
    <t>1121013101</t>
  </si>
  <si>
    <t>7708556239</t>
  </si>
  <si>
    <t>5022033009</t>
  </si>
  <si>
    <t>5030042215</t>
  </si>
  <si>
    <t>642807</t>
  </si>
  <si>
    <t>Молодежный</t>
  </si>
  <si>
    <t>6827023936</t>
  </si>
  <si>
    <t>0164300012719000038</t>
  </si>
  <si>
    <t>Мичуринск</t>
  </si>
  <si>
    <t>5038077033</t>
  </si>
  <si>
    <t>0348300380719000072</t>
  </si>
  <si>
    <t>5038043500</t>
  </si>
  <si>
    <t>7728341859</t>
  </si>
  <si>
    <t>ATOM04031900213</t>
  </si>
  <si>
    <t>0358200036219000183</t>
  </si>
  <si>
    <t>616512524709</t>
  </si>
  <si>
    <t>2129040363</t>
  </si>
  <si>
    <t>673961</t>
  </si>
  <si>
    <t>7813046452</t>
  </si>
  <si>
    <t>31907602681</t>
  </si>
  <si>
    <t>7736242019</t>
  </si>
  <si>
    <t>0373200105419000002</t>
  </si>
  <si>
    <t>615510140889</t>
  </si>
  <si>
    <t>7735151873</t>
  </si>
  <si>
    <t>4101054602</t>
  </si>
  <si>
    <t>0338200010119000008</t>
  </si>
  <si>
    <t>4101179383</t>
  </si>
  <si>
    <t>5075009592</t>
  </si>
  <si>
    <t>642757</t>
  </si>
  <si>
    <t>2358004247</t>
  </si>
  <si>
    <t>0318300471819000013</t>
  </si>
  <si>
    <t>Щербиновский район</t>
  </si>
  <si>
    <t>232106170201</t>
  </si>
  <si>
    <t>5903003844</t>
  </si>
  <si>
    <t>31907601914</t>
  </si>
  <si>
    <t>0574500003119000001</t>
  </si>
  <si>
    <t>2311208799</t>
  </si>
  <si>
    <t>9201016504</t>
  </si>
  <si>
    <t>6656019278</t>
  </si>
  <si>
    <t>31907601583</t>
  </si>
  <si>
    <t>6611009199</t>
  </si>
  <si>
    <t>5501041254</t>
  </si>
  <si>
    <t>3-45185-300-19</t>
  </si>
  <si>
    <t>9110001395</t>
  </si>
  <si>
    <t>100267847219000002</t>
  </si>
  <si>
    <t>31907600843</t>
  </si>
  <si>
    <t>0820300001419000007</t>
  </si>
  <si>
    <t>31907601991</t>
  </si>
  <si>
    <t>[ОКПД2 71.12] Услуги в области инженерно-технического проектирования и связанные технические консультативные услуги, [ОКВЭД2 35.11] Производство электроэнергии</t>
  </si>
  <si>
    <t>4802007030</t>
  </si>
  <si>
    <t>0146200001819000003</t>
  </si>
  <si>
    <t>4823033376</t>
  </si>
  <si>
    <t>642600</t>
  </si>
  <si>
    <t>31907602066</t>
  </si>
  <si>
    <t>0328100001419000069</t>
  </si>
  <si>
    <t>2524001397</t>
  </si>
  <si>
    <t>0320300043119000020</t>
  </si>
  <si>
    <t>Партизанский район</t>
  </si>
  <si>
    <t>6439064467</t>
  </si>
  <si>
    <t>31907600689</t>
  </si>
  <si>
    <t>672558</t>
  </si>
  <si>
    <t>5009051136</t>
  </si>
  <si>
    <t>642341</t>
  </si>
  <si>
    <t>100242906219000065</t>
  </si>
  <si>
    <t>0187300007819000022</t>
  </si>
  <si>
    <t>8603156002</t>
  </si>
  <si>
    <t>910807591810</t>
  </si>
  <si>
    <t>860900022102</t>
  </si>
  <si>
    <t>8601052270</t>
  </si>
  <si>
    <t>8603227920</t>
  </si>
  <si>
    <t>2019-678573</t>
  </si>
  <si>
    <t>363943</t>
  </si>
  <si>
    <t>5009036145</t>
  </si>
  <si>
    <t>642245</t>
  </si>
  <si>
    <t>7445016449</t>
  </si>
  <si>
    <t>671654</t>
  </si>
  <si>
    <t>5007009435</t>
  </si>
  <si>
    <t>642136</t>
  </si>
  <si>
    <t>7445016713</t>
  </si>
  <si>
    <t>671541</t>
  </si>
  <si>
    <t>5002003550</t>
  </si>
  <si>
    <t>642099</t>
  </si>
  <si>
    <t>Бронницы</t>
  </si>
  <si>
    <t>5024091158</t>
  </si>
  <si>
    <t>31907599052</t>
  </si>
  <si>
    <t>5079006850</t>
  </si>
  <si>
    <t>642089</t>
  </si>
  <si>
    <t>5009035776</t>
  </si>
  <si>
    <t>642049</t>
  </si>
  <si>
    <t>2634038255</t>
  </si>
  <si>
    <t>0321200016519000022</t>
  </si>
  <si>
    <t>2635032859</t>
  </si>
  <si>
    <t>2634811725</t>
  </si>
  <si>
    <t>1198916</t>
  </si>
  <si>
    <t>3904004170</t>
  </si>
  <si>
    <t>671325</t>
  </si>
  <si>
    <t>7444063260</t>
  </si>
  <si>
    <t>0369300058519000004</t>
  </si>
  <si>
    <t>7444019101</t>
  </si>
  <si>
    <t>7838454421</t>
  </si>
  <si>
    <t>0372100009019000035</t>
  </si>
  <si>
    <t>0373200126219000003</t>
  </si>
  <si>
    <t>7725785630</t>
  </si>
  <si>
    <t>7732121990</t>
  </si>
  <si>
    <t>5032039190</t>
  </si>
  <si>
    <t>641840</t>
  </si>
  <si>
    <t>2331006416</t>
  </si>
  <si>
    <t>0118300018119000013</t>
  </si>
  <si>
    <t>31907597419</t>
  </si>
  <si>
    <t>1198731</t>
  </si>
  <si>
    <t>9103078799</t>
  </si>
  <si>
    <t>670775</t>
  </si>
  <si>
    <t>ATOM01031900144</t>
  </si>
  <si>
    <t>7704111479</t>
  </si>
  <si>
    <t>0173200001619000047</t>
  </si>
  <si>
    <t>3115003973</t>
  </si>
  <si>
    <t>670659</t>
  </si>
  <si>
    <t>641684</t>
  </si>
  <si>
    <t>0373100067019000006</t>
  </si>
  <si>
    <t>2352028354</t>
  </si>
  <si>
    <t>31907596997</t>
  </si>
  <si>
    <t>4205243178</t>
  </si>
  <si>
    <t>31907595055</t>
  </si>
  <si>
    <t>4217142537</t>
  </si>
  <si>
    <t>7734392562</t>
  </si>
  <si>
    <t>0173400000319000020</t>
  </si>
  <si>
    <t>[ОКПД2 52.23] Услуги вспомогательные, связанные с воздушным и космическим транспортом</t>
  </si>
  <si>
    <t>7701024429</t>
  </si>
  <si>
    <t>2127305550</t>
  </si>
  <si>
    <t>670424</t>
  </si>
  <si>
    <t>4100018305</t>
  </si>
  <si>
    <t>31907594089</t>
  </si>
  <si>
    <t>4101167123</t>
  </si>
  <si>
    <t>7704694213</t>
  </si>
  <si>
    <t>0373400006119000002</t>
  </si>
  <si>
    <t>0349100003019000003</t>
  </si>
  <si>
    <t>31907595773</t>
  </si>
  <si>
    <t>6658138707</t>
  </si>
  <si>
    <t>6670171718</t>
  </si>
  <si>
    <t>4513008771</t>
  </si>
  <si>
    <t>0243400000219000027</t>
  </si>
  <si>
    <t>0243400000219000026</t>
  </si>
  <si>
    <t>31907595409</t>
  </si>
  <si>
    <t>644910792205</t>
  </si>
  <si>
    <t>31907596290</t>
  </si>
  <si>
    <t>5044089478</t>
  </si>
  <si>
    <t>0162300010819000026</t>
  </si>
  <si>
    <t>6317084804</t>
  </si>
  <si>
    <t>31907595310</t>
  </si>
  <si>
    <t>5044051026</t>
  </si>
  <si>
    <t>641503</t>
  </si>
  <si>
    <t>1431009095</t>
  </si>
  <si>
    <t>0116300016319000008</t>
  </si>
  <si>
    <t>Хангаласский улус</t>
  </si>
  <si>
    <t>1431010140</t>
  </si>
  <si>
    <t>5050066341</t>
  </si>
  <si>
    <t>641549</t>
  </si>
  <si>
    <t>7452029368</t>
  </si>
  <si>
    <t>0369200001519000060</t>
  </si>
  <si>
    <t>0162300010819000028</t>
  </si>
  <si>
    <t>0194200000519000711</t>
  </si>
  <si>
    <t>0326509435</t>
  </si>
  <si>
    <t>0102200001619000568</t>
  </si>
  <si>
    <t>0323366926</t>
  </si>
  <si>
    <t>8609018055</t>
  </si>
  <si>
    <t>669571</t>
  </si>
  <si>
    <t>3327101919</t>
  </si>
  <si>
    <t>0328300017919000035</t>
  </si>
  <si>
    <t>3328499393</t>
  </si>
  <si>
    <t>3328449113</t>
  </si>
  <si>
    <t>0562045881</t>
  </si>
  <si>
    <t>0103200008419000638</t>
  </si>
  <si>
    <t>0573011122</t>
  </si>
  <si>
    <t>6133000635</t>
  </si>
  <si>
    <t>0358200045419000015</t>
  </si>
  <si>
    <t>6133013419</t>
  </si>
  <si>
    <t>0326496000</t>
  </si>
  <si>
    <t>0102100006819000060</t>
  </si>
  <si>
    <t>0326503480</t>
  </si>
  <si>
    <t>7303002000</t>
  </si>
  <si>
    <t>0359100003719000010</t>
  </si>
  <si>
    <t>6234092872</t>
  </si>
  <si>
    <t>5502035969</t>
  </si>
  <si>
    <t>669158</t>
  </si>
  <si>
    <t>2019-677923</t>
  </si>
  <si>
    <t>31907406834</t>
  </si>
  <si>
    <t>5032204461</t>
  </si>
  <si>
    <t>ЗП-190228-122 (1)</t>
  </si>
  <si>
    <t>ЗП-190228-122</t>
  </si>
  <si>
    <t>BP00251170</t>
  </si>
  <si>
    <t>2019-677889</t>
  </si>
  <si>
    <t>7729082090</t>
  </si>
  <si>
    <t>31907593864</t>
  </si>
  <si>
    <t>7722353248</t>
  </si>
  <si>
    <t>7718016666</t>
  </si>
  <si>
    <t>31907593458</t>
  </si>
  <si>
    <t>31907593420</t>
  </si>
  <si>
    <t>31907593418</t>
  </si>
  <si>
    <t>5047044972</t>
  </si>
  <si>
    <t>31907592285</t>
  </si>
  <si>
    <t>1315099549</t>
  </si>
  <si>
    <t>0209100001219000001</t>
  </si>
  <si>
    <t>Лямбирский район</t>
  </si>
  <si>
    <t>1326232136</t>
  </si>
  <si>
    <t>0291100000619000006</t>
  </si>
  <si>
    <t>1657052303</t>
  </si>
  <si>
    <t>0311200049519000002</t>
  </si>
  <si>
    <t>1655075168</t>
  </si>
  <si>
    <t>4716001838</t>
  </si>
  <si>
    <t>0345300000519000018</t>
  </si>
  <si>
    <t>7806474464</t>
  </si>
  <si>
    <t>7805380510</t>
  </si>
  <si>
    <t>4716015728</t>
  </si>
  <si>
    <t>7817314832</t>
  </si>
  <si>
    <t>470706872337</t>
  </si>
  <si>
    <t>784202910948</t>
  </si>
  <si>
    <t>2020000570</t>
  </si>
  <si>
    <t>31907592297</t>
  </si>
  <si>
    <t>641295</t>
  </si>
  <si>
    <t>2356005608</t>
  </si>
  <si>
    <t>0318300170419000002</t>
  </si>
  <si>
    <t>5030051650</t>
  </si>
  <si>
    <t>0148300001519000019</t>
  </si>
  <si>
    <t>0291100000619000005</t>
  </si>
  <si>
    <t>0136300015119000008</t>
  </si>
  <si>
    <t>7811001382</t>
  </si>
  <si>
    <t>0372200071119000023</t>
  </si>
  <si>
    <t>7813591850</t>
  </si>
  <si>
    <t>7842510774</t>
  </si>
  <si>
    <t>7807130226</t>
  </si>
  <si>
    <t>7802622136</t>
  </si>
  <si>
    <t>0291100000619000004</t>
  </si>
  <si>
    <t>7536053857</t>
  </si>
  <si>
    <t>0291100000619000007</t>
  </si>
  <si>
    <t>5006004145</t>
  </si>
  <si>
    <t>31907592839</t>
  </si>
  <si>
    <t>0343200029519000034</t>
  </si>
  <si>
    <t>СРБ2019-0017(ЗКО)</t>
  </si>
  <si>
    <t>5050077618</t>
  </si>
  <si>
    <t>31907591593</t>
  </si>
  <si>
    <t>7743041627</t>
  </si>
  <si>
    <t>4347023266</t>
  </si>
  <si>
    <t>0340200015019000004</t>
  </si>
  <si>
    <t>2600000038</t>
  </si>
  <si>
    <t>0321100032619000009</t>
  </si>
  <si>
    <t>2634098021</t>
  </si>
  <si>
    <t>5403122392</t>
  </si>
  <si>
    <t>0351300123919000056</t>
  </si>
  <si>
    <t>2724902600</t>
  </si>
  <si>
    <t>0322300009419000017</t>
  </si>
  <si>
    <t>5079006507</t>
  </si>
  <si>
    <t>641144</t>
  </si>
  <si>
    <t>7819018878</t>
  </si>
  <si>
    <t>0372200018619000008</t>
  </si>
  <si>
    <t>7810435242</t>
  </si>
  <si>
    <t>7806079915</t>
  </si>
  <si>
    <t>31907587403</t>
  </si>
  <si>
    <t>5001027558</t>
  </si>
  <si>
    <t>641120</t>
  </si>
  <si>
    <t>5040088579</t>
  </si>
  <si>
    <t>0848300051619000298</t>
  </si>
  <si>
    <t>5040079207</t>
  </si>
  <si>
    <t>4023010651</t>
  </si>
  <si>
    <t>0137300031919000021</t>
  </si>
  <si>
    <t>771976951854</t>
  </si>
  <si>
    <t>7717073566</t>
  </si>
  <si>
    <t>0873200004019000004</t>
  </si>
  <si>
    <t>5012052154</t>
  </si>
  <si>
    <t>7743219042</t>
  </si>
  <si>
    <t>1322119806</t>
  </si>
  <si>
    <t>0209100000819000001</t>
  </si>
  <si>
    <t>Большеберезниковский район</t>
  </si>
  <si>
    <t>5906152883</t>
  </si>
  <si>
    <t>0356500002119000048</t>
  </si>
  <si>
    <t>0332100012719000007</t>
  </si>
  <si>
    <t>5257119342</t>
  </si>
  <si>
    <t>5072713169</t>
  </si>
  <si>
    <t>641053</t>
  </si>
  <si>
    <t>7814488478</t>
  </si>
  <si>
    <t>0345100016319000038</t>
  </si>
  <si>
    <t>7806484159</t>
  </si>
  <si>
    <t>3250524147</t>
  </si>
  <si>
    <t>0127200000219000707</t>
  </si>
  <si>
    <t>31907588537</t>
  </si>
  <si>
    <t>31907589167</t>
  </si>
  <si>
    <t>2225068178</t>
  </si>
  <si>
    <t>0117100003619000012</t>
  </si>
  <si>
    <t>640922</t>
  </si>
  <si>
    <t>5107908549</t>
  </si>
  <si>
    <t>31907587774</t>
  </si>
  <si>
    <t>5190406372</t>
  </si>
  <si>
    <t>7723011906</t>
  </si>
  <si>
    <t>31907587932</t>
  </si>
  <si>
    <t>[ОКПД2 27.32] Провода и кабели электронные и электрические прочие, [ОКПД2 20.59] Продукты химические прочие, не включенные в другие группировки, [ОКПД2 22.19] Изделия из резины прочие, [ОКПД2 25.72] Замки и петли, [ОКПД2 26.11] Компоненты электронные, [ОКПД2 22.29] Изделия пластмассовые прочие, [ОКПД2 26.12] Платы печатные смонтированные, [ОКПД2 26.20] Компьютеры и периферийное оборудование, [ОКПД2 26.30] Оборудование коммуникационное, [ОКПД2 26.51] Оборудование для измерения, испытаний и навигации, [ОКПД2 27.33] Изделия электроустановочные, [ОКВЭД2 26.12] Производство электронных печатных плат, [ОКВЭД2 25.72] Производство замков, петель, [ОКВЭД2 27.32] Производство прочих проводов и кабелей для электронного и электрического оборудования, [ОКВЭД2 27.33] Производство электроустановочных изделий, [ОКВЭД2 20.59] Производство прочих химических продуктов, не включенных в другие группировки, [ОКВЭД2 22.29] Производство прочих пластмассовых изделий, [ОКВЭД2 26.20] Производство компьютеров и периферийного оборудования, [ОКВЭД2 22.19] Производство прочих резиновых изделий, [ОКВЭД2 26.51] Производство инструментов и приборов для измерения, тестирования и навигации, [ОКВЭД2 26.11] Производство элементов электронной аппаратуры, [ОКВЭД2 26.30] Производство коммуникационного оборудования</t>
  </si>
  <si>
    <t>1658207408</t>
  </si>
  <si>
    <t>31907587881</t>
  </si>
  <si>
    <t>5107031843</t>
  </si>
  <si>
    <t>4240004430</t>
  </si>
  <si>
    <t>0339300094119000014</t>
  </si>
  <si>
    <t>0360200048619000019</t>
  </si>
  <si>
    <t>645211187052</t>
  </si>
  <si>
    <t>6455043810</t>
  </si>
  <si>
    <t>9104002168</t>
  </si>
  <si>
    <t>0175300049419000006</t>
  </si>
  <si>
    <t>7707656103</t>
  </si>
  <si>
    <t>7703810040</t>
  </si>
  <si>
    <t>31907586879</t>
  </si>
  <si>
    <t>31907586337</t>
  </si>
  <si>
    <t>3619011099</t>
  </si>
  <si>
    <t>3651008453</t>
  </si>
  <si>
    <t>5079006835</t>
  </si>
  <si>
    <t>640782</t>
  </si>
  <si>
    <t>1197341</t>
  </si>
  <si>
    <t>0387200030019000020</t>
  </si>
  <si>
    <t>8601033277</t>
  </si>
  <si>
    <t>31907586140</t>
  </si>
  <si>
    <t>6924003325</t>
  </si>
  <si>
    <t>0136200003619000277</t>
  </si>
  <si>
    <t>Калининский район</t>
  </si>
  <si>
    <t>6950146168</t>
  </si>
  <si>
    <t>6950174013</t>
  </si>
  <si>
    <t>0139100004619000008</t>
  </si>
  <si>
    <t>0351200003319000155</t>
  </si>
  <si>
    <t>7807014861</t>
  </si>
  <si>
    <t>0372200262519000008</t>
  </si>
  <si>
    <t>780490024569</t>
  </si>
  <si>
    <t>470901845344</t>
  </si>
  <si>
    <t>2308208735</t>
  </si>
  <si>
    <t>5403046085</t>
  </si>
  <si>
    <t>ТН-190130-8 (1)</t>
  </si>
  <si>
    <t>Сармановский район</t>
  </si>
  <si>
    <t>ТН-190130-8</t>
  </si>
  <si>
    <t>7736054230</t>
  </si>
  <si>
    <t>31907585576</t>
  </si>
  <si>
    <t>5012013042</t>
  </si>
  <si>
    <t>31907585613</t>
  </si>
  <si>
    <t>[ОКПД2 84.24] Услуги по обеспечению общественного порядка и безопасности, [ОКВЭД2 84.11] Деятельность органов государственного управления и местного самоуправления по вопросам общего характера</t>
  </si>
  <si>
    <t>0716009710</t>
  </si>
  <si>
    <t>0804200000119000011</t>
  </si>
  <si>
    <t>Прохладный</t>
  </si>
  <si>
    <t>4704105134</t>
  </si>
  <si>
    <t>31907585339</t>
  </si>
  <si>
    <t>0804200000119000010</t>
  </si>
  <si>
    <t>3808015123</t>
  </si>
  <si>
    <t>0134100005119000007</t>
  </si>
  <si>
    <t>9102012121</t>
  </si>
  <si>
    <t>0175200003719000034</t>
  </si>
  <si>
    <t>0804200000119000009</t>
  </si>
  <si>
    <t>1660063440</t>
  </si>
  <si>
    <t>0311200048219000020</t>
  </si>
  <si>
    <t>0128100000519000003</t>
  </si>
  <si>
    <t>5045033750</t>
  </si>
  <si>
    <t>31907584509</t>
  </si>
  <si>
    <t>[ОКПД2 95.21] Услуги по ремонту приборов бытовой электроники, [ОКВЭД2 95.11] Ремонт компьютеров и периферийного компьютерного оборудования</t>
  </si>
  <si>
    <t>7712047957</t>
  </si>
  <si>
    <t>0373200589319000022</t>
  </si>
  <si>
    <t>501709168680</t>
  </si>
  <si>
    <t>235503601001</t>
  </si>
  <si>
    <t>7725363565</t>
  </si>
  <si>
    <t>7204007208</t>
  </si>
  <si>
    <t>31907583568</t>
  </si>
  <si>
    <t>7204188040</t>
  </si>
  <si>
    <t>660539</t>
  </si>
  <si>
    <t>[ОКПД2 95.12] Услуги по ремонту коммуникационного оборудования, [ОКВЭД2 95.11] Ремонт компьютеров и периферийного компьютерного оборудования</t>
  </si>
  <si>
    <t>31907584345</t>
  </si>
  <si>
    <t>7816203417</t>
  </si>
  <si>
    <t>9110000401</t>
  </si>
  <si>
    <t>0875100001319000011</t>
  </si>
  <si>
    <t>6501067310</t>
  </si>
  <si>
    <t>0161300000119000246</t>
  </si>
  <si>
    <t>0349100003519000032</t>
  </si>
  <si>
    <t>0151100012819000004</t>
  </si>
  <si>
    <t>2312052583</t>
  </si>
  <si>
    <t>0318200041219000125</t>
  </si>
  <si>
    <t>2311205678</t>
  </si>
  <si>
    <t>233608327899</t>
  </si>
  <si>
    <t>234909866381</t>
  </si>
  <si>
    <t>2310179827</t>
  </si>
  <si>
    <t>6164104049</t>
  </si>
  <si>
    <t>0358200011919000062</t>
  </si>
  <si>
    <t>615419675003</t>
  </si>
  <si>
    <t>2128026782</t>
  </si>
  <si>
    <t>0115100002519000008</t>
  </si>
  <si>
    <t>8901020511</t>
  </si>
  <si>
    <t>0190200000319001652</t>
  </si>
  <si>
    <t>5006008397</t>
  </si>
  <si>
    <t>0148300027919000027</t>
  </si>
  <si>
    <t>7017113608</t>
  </si>
  <si>
    <t>0365100013319000008</t>
  </si>
  <si>
    <t>6165159114</t>
  </si>
  <si>
    <t>7203162698</t>
  </si>
  <si>
    <t>31907583517</t>
  </si>
  <si>
    <t>7204156697</t>
  </si>
  <si>
    <t>2124025033</t>
  </si>
  <si>
    <t>0115300022719000016</t>
  </si>
  <si>
    <t>2124025080</t>
  </si>
  <si>
    <t>2128022555</t>
  </si>
  <si>
    <t>1414011930</t>
  </si>
  <si>
    <t>0116300034719000016</t>
  </si>
  <si>
    <t>141404169588</t>
  </si>
  <si>
    <t>5032075456</t>
  </si>
  <si>
    <t>31907583401</t>
  </si>
  <si>
    <t>640250</t>
  </si>
  <si>
    <t>2537019306</t>
  </si>
  <si>
    <t>0120100007619000008</t>
  </si>
  <si>
    <t>2538053885</t>
  </si>
  <si>
    <t>1426004430</t>
  </si>
  <si>
    <t>0316200004419000002</t>
  </si>
  <si>
    <t>0331300066119000004</t>
  </si>
  <si>
    <t>7205010965</t>
  </si>
  <si>
    <t>0367100014119000003</t>
  </si>
  <si>
    <t>4813014102</t>
  </si>
  <si>
    <t>0846200000219000002</t>
  </si>
  <si>
    <t>2224040726</t>
  </si>
  <si>
    <t>312322474966</t>
  </si>
  <si>
    <t>4823055490</t>
  </si>
  <si>
    <t>482502124492</t>
  </si>
  <si>
    <t>0369200027919000005</t>
  </si>
  <si>
    <t>0862300042019000021</t>
  </si>
  <si>
    <t>6607008280</t>
  </si>
  <si>
    <t>6607014333</t>
  </si>
  <si>
    <t>6607008153</t>
  </si>
  <si>
    <t>6607012495</t>
  </si>
  <si>
    <t>6607008107</t>
  </si>
  <si>
    <t>6607008481</t>
  </si>
  <si>
    <t>6607008114</t>
  </si>
  <si>
    <t>6607007142</t>
  </si>
  <si>
    <t>6623047294</t>
  </si>
  <si>
    <t>7810215092</t>
  </si>
  <si>
    <t>0372200265919000008</t>
  </si>
  <si>
    <t>531300014827</t>
  </si>
  <si>
    <t>3904047760</t>
  </si>
  <si>
    <t>100157179219000006</t>
  </si>
  <si>
    <t>100157179219000004</t>
  </si>
  <si>
    <t>1515914092</t>
  </si>
  <si>
    <t>0310100017919000031</t>
  </si>
  <si>
    <t>0148200003119000002</t>
  </si>
  <si>
    <t>232602931319</t>
  </si>
  <si>
    <t>504801878486</t>
  </si>
  <si>
    <t>5046007752</t>
  </si>
  <si>
    <t>100157179219000002</t>
  </si>
  <si>
    <t>100157179219000003</t>
  </si>
  <si>
    <t>3128030572</t>
  </si>
  <si>
    <t>663419</t>
  </si>
  <si>
    <t>Старооскольский район</t>
  </si>
  <si>
    <t>4401129841</t>
  </si>
  <si>
    <t>663414</t>
  </si>
  <si>
    <t>1514000018</t>
  </si>
  <si>
    <t>100105553219000011</t>
  </si>
  <si>
    <t>Ардонский район</t>
  </si>
  <si>
    <t>7202226772</t>
  </si>
  <si>
    <t>31907579696</t>
  </si>
  <si>
    <t>7203154560</t>
  </si>
  <si>
    <t>7411054005</t>
  </si>
  <si>
    <t>0169300025319000060</t>
  </si>
  <si>
    <t>7430019623</t>
  </si>
  <si>
    <t>7451378415</t>
  </si>
  <si>
    <t>5042083551</t>
  </si>
  <si>
    <t>640100</t>
  </si>
  <si>
    <t>5012016237</t>
  </si>
  <si>
    <t>640098</t>
  </si>
  <si>
    <t>8619014885</t>
  </si>
  <si>
    <t>0187300001719000079</t>
  </si>
  <si>
    <t>8604028660</t>
  </si>
  <si>
    <t>639956</t>
  </si>
  <si>
    <t>7817026993</t>
  </si>
  <si>
    <t>0372200148319000001</t>
  </si>
  <si>
    <t>0332300274319000026</t>
  </si>
  <si>
    <t>4401050493</t>
  </si>
  <si>
    <t>100058334219000020</t>
  </si>
  <si>
    <t>7102004399</t>
  </si>
  <si>
    <t>0366200035619000470</t>
  </si>
  <si>
    <t>7105512168</t>
  </si>
  <si>
    <t>5052008112</t>
  </si>
  <si>
    <t>640009</t>
  </si>
  <si>
    <t>31907579791</t>
  </si>
  <si>
    <t>5078018250</t>
  </si>
  <si>
    <t>639909</t>
  </si>
  <si>
    <t>31907579759</t>
  </si>
  <si>
    <t>8901010739</t>
  </si>
  <si>
    <t>0190200000319001680</t>
  </si>
  <si>
    <t>890202467478</t>
  </si>
  <si>
    <t>6676002804</t>
  </si>
  <si>
    <t>0362200071219000013</t>
  </si>
  <si>
    <t>Тавда</t>
  </si>
  <si>
    <t>6671450489</t>
  </si>
  <si>
    <t>31907579608</t>
  </si>
  <si>
    <t>31907579707</t>
  </si>
  <si>
    <t>9204003380</t>
  </si>
  <si>
    <t>0874200000819000002</t>
  </si>
  <si>
    <t>920400003684</t>
  </si>
  <si>
    <t>920151394548</t>
  </si>
  <si>
    <t>7536106876</t>
  </si>
  <si>
    <t>662013</t>
  </si>
  <si>
    <t>4207024189</t>
  </si>
  <si>
    <t>0339200016719000003</t>
  </si>
  <si>
    <t>Тяжинский район</t>
  </si>
  <si>
    <t>2503032517</t>
  </si>
  <si>
    <t>473862</t>
  </si>
  <si>
    <t>ATOM27021900017</t>
  </si>
  <si>
    <t>0339200016719000004</t>
  </si>
  <si>
    <t>31907579514</t>
  </si>
  <si>
    <t>1196030</t>
  </si>
  <si>
    <t>0561058687</t>
  </si>
  <si>
    <t>BP00249823</t>
  </si>
  <si>
    <t>7817311895</t>
  </si>
  <si>
    <t>190227/1025/069</t>
  </si>
  <si>
    <t>7706471614</t>
  </si>
  <si>
    <t>1195893</t>
  </si>
  <si>
    <t>ATOM26021900242</t>
  </si>
  <si>
    <t>2528075</t>
  </si>
  <si>
    <t>2631018148</t>
  </si>
  <si>
    <t>31907578522</t>
  </si>
  <si>
    <t>0278016765</t>
  </si>
  <si>
    <t>0801500000119000140</t>
  </si>
  <si>
    <t>0274904463</t>
  </si>
  <si>
    <t>3902010404</t>
  </si>
  <si>
    <t>0135300013219000019</t>
  </si>
  <si>
    <t>Гусевский район</t>
  </si>
  <si>
    <t>3906052613</t>
  </si>
  <si>
    <t>3911016459</t>
  </si>
  <si>
    <t>5043043960</t>
  </si>
  <si>
    <t>31907578284</t>
  </si>
  <si>
    <t>781123182955</t>
  </si>
  <si>
    <t>31907577097</t>
  </si>
  <si>
    <t>7444044740</t>
  </si>
  <si>
    <t>0361200015019000673</t>
  </si>
  <si>
    <t>6505011005</t>
  </si>
  <si>
    <t>6501254590</t>
  </si>
  <si>
    <t>5802002185</t>
  </si>
  <si>
    <t>0155100002219000010</t>
  </si>
  <si>
    <t>5836682179</t>
  </si>
  <si>
    <t>5836620870</t>
  </si>
  <si>
    <t>5836651220</t>
  </si>
  <si>
    <t>5053025706</t>
  </si>
  <si>
    <t>629629</t>
  </si>
  <si>
    <t>0274052018</t>
  </si>
  <si>
    <t>0301300019419000052</t>
  </si>
  <si>
    <t>0273903724</t>
  </si>
  <si>
    <t>0278194415</t>
  </si>
  <si>
    <t>0272024061</t>
  </si>
  <si>
    <t>0373200111819000008</t>
  </si>
  <si>
    <t>501805354209</t>
  </si>
  <si>
    <t>500300897385</t>
  </si>
  <si>
    <t>7719476850</t>
  </si>
  <si>
    <t>9717053179</t>
  </si>
  <si>
    <t>7721702915</t>
  </si>
  <si>
    <t>661329</t>
  </si>
  <si>
    <t>3329056771</t>
  </si>
  <si>
    <t>0128100004019000012</t>
  </si>
  <si>
    <t>0369300102519000023</t>
  </si>
  <si>
    <t>7448097333</t>
  </si>
  <si>
    <t>7444031910</t>
  </si>
  <si>
    <t>661301</t>
  </si>
  <si>
    <t>1650364007</t>
  </si>
  <si>
    <t>0111300000819000067</t>
  </si>
  <si>
    <t>165037466101</t>
  </si>
  <si>
    <t>1650230532</t>
  </si>
  <si>
    <t>0163200000319000802</t>
  </si>
  <si>
    <t>0307200030619000216</t>
  </si>
  <si>
    <t>1121018759</t>
  </si>
  <si>
    <t>1101093003</t>
  </si>
  <si>
    <t>0163200000319000805</t>
  </si>
  <si>
    <t>660901</t>
  </si>
  <si>
    <t>661165</t>
  </si>
  <si>
    <t>661005</t>
  </si>
  <si>
    <t>0163200000319000804</t>
  </si>
  <si>
    <t>7810687137</t>
  </si>
  <si>
    <t>31907575023</t>
  </si>
  <si>
    <t>5024028808</t>
  </si>
  <si>
    <t>629579</t>
  </si>
  <si>
    <t>0163200000319000807</t>
  </si>
  <si>
    <t>7707003506</t>
  </si>
  <si>
    <t>0373100019919000005</t>
  </si>
  <si>
    <t>7724926832</t>
  </si>
  <si>
    <t>0353100004719000027</t>
  </si>
  <si>
    <t>2355004898</t>
  </si>
  <si>
    <t>0318100059219000010</t>
  </si>
  <si>
    <t>Туапсинский район</t>
  </si>
  <si>
    <t>2322028533</t>
  </si>
  <si>
    <t>2302054790</t>
  </si>
  <si>
    <t>232204069351</t>
  </si>
  <si>
    <t>2308121795</t>
  </si>
  <si>
    <t>660800</t>
  </si>
  <si>
    <t>5040047117</t>
  </si>
  <si>
    <t>0848300051619000251</t>
  </si>
  <si>
    <t>7743238550</t>
  </si>
  <si>
    <t>5040134296</t>
  </si>
  <si>
    <t>660673</t>
  </si>
  <si>
    <t>629336</t>
  </si>
  <si>
    <t>0356500001119000024</t>
  </si>
  <si>
    <t>593700196605</t>
  </si>
  <si>
    <t>594804069762</t>
  </si>
  <si>
    <t>629358</t>
  </si>
  <si>
    <t>660527</t>
  </si>
  <si>
    <t>31907574860</t>
  </si>
  <si>
    <t>8301020206</t>
  </si>
  <si>
    <t>660291</t>
  </si>
  <si>
    <t>5001023345</t>
  </si>
  <si>
    <t>629366</t>
  </si>
  <si>
    <t>5916017675</t>
  </si>
  <si>
    <t>0356300005319000003</t>
  </si>
  <si>
    <t>0102200001619000492</t>
  </si>
  <si>
    <t>3819002285</t>
  </si>
  <si>
    <t>0323351704</t>
  </si>
  <si>
    <t>0326031903</t>
  </si>
  <si>
    <t>6674158796</t>
  </si>
  <si>
    <t>7804009870</t>
  </si>
  <si>
    <t>0372200119819000026</t>
  </si>
  <si>
    <t>7802442912</t>
  </si>
  <si>
    <t>7810613424</t>
  </si>
  <si>
    <t>2612005087</t>
  </si>
  <si>
    <t>0321300178319000071</t>
  </si>
  <si>
    <t>2130150000</t>
  </si>
  <si>
    <t>659834</t>
  </si>
  <si>
    <t>0848300060519000012</t>
  </si>
  <si>
    <t>5013007531</t>
  </si>
  <si>
    <t>5013029969</t>
  </si>
  <si>
    <t>5013029341</t>
  </si>
  <si>
    <t>1001041107</t>
  </si>
  <si>
    <t>0306100001219000001</t>
  </si>
  <si>
    <t>7813618491</t>
  </si>
  <si>
    <t>5260449943</t>
  </si>
  <si>
    <t>6168063379</t>
  </si>
  <si>
    <t>7722386684</t>
  </si>
  <si>
    <t>629087</t>
  </si>
  <si>
    <t>5008022911</t>
  </si>
  <si>
    <t>629096</t>
  </si>
  <si>
    <t>658921</t>
  </si>
  <si>
    <t>7714082636</t>
  </si>
  <si>
    <t>0873200009819000619</t>
  </si>
  <si>
    <t>7733304348</t>
  </si>
  <si>
    <t>659089</t>
  </si>
  <si>
    <t>7809009970</t>
  </si>
  <si>
    <t>0372200167919000024</t>
  </si>
  <si>
    <t>7826157696</t>
  </si>
  <si>
    <t>7017052120</t>
  </si>
  <si>
    <t>0865200000319000154</t>
  </si>
  <si>
    <t>7021053800</t>
  </si>
  <si>
    <t>5609098898</t>
  </si>
  <si>
    <t>0373200566319000003</t>
  </si>
  <si>
    <t>7810145303</t>
  </si>
  <si>
    <t>0372200265619000002</t>
  </si>
  <si>
    <t>7842105007</t>
  </si>
  <si>
    <t>7806451393</t>
  </si>
  <si>
    <t>6117004209</t>
  </si>
  <si>
    <t>7839077374</t>
  </si>
  <si>
    <t>7810688042</t>
  </si>
  <si>
    <t>3115003652</t>
  </si>
  <si>
    <t>658966</t>
  </si>
  <si>
    <t>7447041747</t>
  </si>
  <si>
    <t>0369300019219000072</t>
  </si>
  <si>
    <t>7451061305</t>
  </si>
  <si>
    <t>5008029441</t>
  </si>
  <si>
    <t>628904</t>
  </si>
  <si>
    <t>3715001230</t>
  </si>
  <si>
    <t>0333300099419000016</t>
  </si>
  <si>
    <t>Лежневский район</t>
  </si>
  <si>
    <t>3702015349</t>
  </si>
  <si>
    <t>3702030731</t>
  </si>
  <si>
    <t>5031024554</t>
  </si>
  <si>
    <t>628872</t>
  </si>
  <si>
    <t>[ОКПД2 26.30] Оборудование коммуникационное, [ОКПД2 27.32] Провода и кабели электронные и электрические прочие, [ОКПД2 26.40] Техника бытовая электронная, [ОКПД2 25.99] Металлоизделия готовые прочие, не включенные в другие группировки, [ОКПД2 27.11] Электродвигатели, генераторы и трансформаторы, [ОКПД2 33.20] Услуги по монтажу промышленных машин и оборудования</t>
  </si>
  <si>
    <t>2019-676280</t>
  </si>
  <si>
    <t>190226/1025/067</t>
  </si>
  <si>
    <t>5504102498</t>
  </si>
  <si>
    <t>0352100010119000010</t>
  </si>
  <si>
    <t>[ОКПД2 46.52] Услуги по оптовой торговле электронным и телекоммуникационным оборудованием и его частями</t>
  </si>
  <si>
    <t>31907571936</t>
  </si>
  <si>
    <t>0105073454</t>
  </si>
  <si>
    <t>2308253128</t>
  </si>
  <si>
    <t>0105065862</t>
  </si>
  <si>
    <t>31907571898</t>
  </si>
  <si>
    <t>5032004550</t>
  </si>
  <si>
    <t>0348100051619000006</t>
  </si>
  <si>
    <t>0348100051619000007</t>
  </si>
  <si>
    <t>0348100051619000005</t>
  </si>
  <si>
    <t>3128039166</t>
  </si>
  <si>
    <t>0126200000419000269</t>
  </si>
  <si>
    <t>3128089230</t>
  </si>
  <si>
    <t>4328001210</t>
  </si>
  <si>
    <t>0140300037519000013</t>
  </si>
  <si>
    <t>Свечинский район</t>
  </si>
  <si>
    <t>4401092937</t>
  </si>
  <si>
    <t>100292903219000007</t>
  </si>
  <si>
    <t>7815027624</t>
  </si>
  <si>
    <t>0145100002419000010</t>
  </si>
  <si>
    <t>7801093031</t>
  </si>
  <si>
    <t>5078018186</t>
  </si>
  <si>
    <t>628741</t>
  </si>
  <si>
    <t>3123022874</t>
  </si>
  <si>
    <t>0126200000419000268</t>
  </si>
  <si>
    <t>6142013038</t>
  </si>
  <si>
    <t>657409</t>
  </si>
  <si>
    <t>5034051355</t>
  </si>
  <si>
    <t>628634</t>
  </si>
  <si>
    <t>5321058347</t>
  </si>
  <si>
    <t>31907571103</t>
  </si>
  <si>
    <t>2912004704</t>
  </si>
  <si>
    <t>0124300016019000010</t>
  </si>
  <si>
    <t>Коношский район</t>
  </si>
  <si>
    <t>3120007275</t>
  </si>
  <si>
    <t>657337</t>
  </si>
  <si>
    <t>31907571004</t>
  </si>
  <si>
    <t>3904602244</t>
  </si>
  <si>
    <t>5001061220</t>
  </si>
  <si>
    <t>5838045506</t>
  </si>
  <si>
    <t>0114100000419000001</t>
  </si>
  <si>
    <t>100292903219000004</t>
  </si>
  <si>
    <t>0195100000219000094</t>
  </si>
  <si>
    <t>3201004674</t>
  </si>
  <si>
    <t>0127300013119000053</t>
  </si>
  <si>
    <t>3250511853</t>
  </si>
  <si>
    <t>3233014636</t>
  </si>
  <si>
    <t>628542</t>
  </si>
  <si>
    <t>3120005969</t>
  </si>
  <si>
    <t>657111</t>
  </si>
  <si>
    <t>5102050962</t>
  </si>
  <si>
    <t>0149300003519000104</t>
  </si>
  <si>
    <t>5190403879</t>
  </si>
  <si>
    <t>5190113295</t>
  </si>
  <si>
    <t>5103064485</t>
  </si>
  <si>
    <t>0149300003519000107</t>
  </si>
  <si>
    <t>0149300003519000106</t>
  </si>
  <si>
    <t>5190031719</t>
  </si>
  <si>
    <t>3528243825</t>
  </si>
  <si>
    <t>0130300023519000074</t>
  </si>
  <si>
    <t>352813575231</t>
  </si>
  <si>
    <t>0149300003519000103</t>
  </si>
  <si>
    <t>5190062442</t>
  </si>
  <si>
    <t>0358200034819000084</t>
  </si>
  <si>
    <t>6167071200</t>
  </si>
  <si>
    <t>6165177603</t>
  </si>
  <si>
    <t>4305003003</t>
  </si>
  <si>
    <t>100196125219000011</t>
  </si>
  <si>
    <t>7444063284</t>
  </si>
  <si>
    <t>0369300068119000039</t>
  </si>
  <si>
    <t>0149300003519000108</t>
  </si>
  <si>
    <t>0149300003519000105</t>
  </si>
  <si>
    <t>5047054473</t>
  </si>
  <si>
    <t>31907569819</t>
  </si>
  <si>
    <t>5902291090</t>
  </si>
  <si>
    <t>0156200001319000006</t>
  </si>
  <si>
    <t>[ОКПД2 60.20] Услуги в области телевизионного вещания</t>
  </si>
  <si>
    <t>5906105989</t>
  </si>
  <si>
    <t>5011022904</t>
  </si>
  <si>
    <t>0848300046019000032</t>
  </si>
  <si>
    <t>[ОКПД2 27.33] Изделия электроустановочные, [ОКПД2 26.40] Техника бытовая электронная, [ОКПД2 27.11] Электродвигатели, генераторы и трансформаторы, [ОКПД2 27.32] Провода и кабели электронные и электрические прочие</t>
  </si>
  <si>
    <t>3445016191</t>
  </si>
  <si>
    <t>31907568734</t>
  </si>
  <si>
    <t>5018011877</t>
  </si>
  <si>
    <t>628446</t>
  </si>
  <si>
    <t>0332300220519000016</t>
  </si>
  <si>
    <t>3628009995</t>
  </si>
  <si>
    <t>0131100011719000008</t>
  </si>
  <si>
    <t>Нижнедевицкий район</t>
  </si>
  <si>
    <t>5218002326</t>
  </si>
  <si>
    <t>0332300219019000004</t>
  </si>
  <si>
    <t>Ковернинский район</t>
  </si>
  <si>
    <t>2445900673</t>
  </si>
  <si>
    <t>0319300174119000004</t>
  </si>
  <si>
    <t>2450020850</t>
  </si>
  <si>
    <t>0304300058919000022</t>
  </si>
  <si>
    <t>628351</t>
  </si>
  <si>
    <t>31907567668</t>
  </si>
  <si>
    <t>0304300058919000021</t>
  </si>
  <si>
    <t>3120007772</t>
  </si>
  <si>
    <t>656056</t>
  </si>
  <si>
    <t>3120010528</t>
  </si>
  <si>
    <t>655700</t>
  </si>
  <si>
    <t>5075009715</t>
  </si>
  <si>
    <t>628180</t>
  </si>
  <si>
    <t>0158200003319000030</t>
  </si>
  <si>
    <t>616108412765</t>
  </si>
  <si>
    <t>540224540851</t>
  </si>
  <si>
    <t>616303940582</t>
  </si>
  <si>
    <t>5035033292</t>
  </si>
  <si>
    <t>628198</t>
  </si>
  <si>
    <t>0158200003319000029</t>
  </si>
  <si>
    <t>100196125219000001</t>
  </si>
  <si>
    <t>0358100022819000020</t>
  </si>
  <si>
    <t>6634007279</t>
  </si>
  <si>
    <t>0162300033219000027</t>
  </si>
  <si>
    <t>1658019154</t>
  </si>
  <si>
    <t>0311300268219000023</t>
  </si>
  <si>
    <t>5022045364</t>
  </si>
  <si>
    <t>628171</t>
  </si>
  <si>
    <t>1434017070</t>
  </si>
  <si>
    <t>0316200027719000001</t>
  </si>
  <si>
    <t>628056</t>
  </si>
  <si>
    <t>0316200027719000003</t>
  </si>
  <si>
    <t>4520002570</t>
  </si>
  <si>
    <t>0343200025419000023</t>
  </si>
  <si>
    <t>Целинный район</t>
  </si>
  <si>
    <t>3446501024</t>
  </si>
  <si>
    <t>31907567150</t>
  </si>
  <si>
    <t>[ОКПД2 29.20] Кузова (корпуса) для автотранспортных средств; прицепы и полуприцепы, [ОКВЭД2 29.10] Производство автотранспортных средств</t>
  </si>
  <si>
    <t>7751527121</t>
  </si>
  <si>
    <t>628075</t>
  </si>
  <si>
    <t>0372200213519000001</t>
  </si>
  <si>
    <t>7811501804</t>
  </si>
  <si>
    <t>6317032919</t>
  </si>
  <si>
    <t>0142200001319001641</t>
  </si>
  <si>
    <t>6312066880</t>
  </si>
  <si>
    <t>5610218222</t>
  </si>
  <si>
    <t>6705003918</t>
  </si>
  <si>
    <t>0163300014319000009</t>
  </si>
  <si>
    <t>Духовщинский район</t>
  </si>
  <si>
    <t>6727051866</t>
  </si>
  <si>
    <t>5003021590</t>
  </si>
  <si>
    <t>628007</t>
  </si>
  <si>
    <t>2130063118</t>
  </si>
  <si>
    <t>0815300003219000060</t>
  </si>
  <si>
    <t>2130144367</t>
  </si>
  <si>
    <t>2128056963</t>
  </si>
  <si>
    <t>2723165914</t>
  </si>
  <si>
    <t>0322200030119000036</t>
  </si>
  <si>
    <t>5031024674</t>
  </si>
  <si>
    <t>627951</t>
  </si>
  <si>
    <t>7212005123</t>
  </si>
  <si>
    <t>0167300003319000014</t>
  </si>
  <si>
    <t>[ОКПД2 28.13] Насосы и компрессоры прочие</t>
  </si>
  <si>
    <t>Вагайский район</t>
  </si>
  <si>
    <t>720412613061</t>
  </si>
  <si>
    <t>7206035183</t>
  </si>
  <si>
    <t>550410882915</t>
  </si>
  <si>
    <t>720406233520</t>
  </si>
  <si>
    <t>7204202657</t>
  </si>
  <si>
    <t>7206043480</t>
  </si>
  <si>
    <t>RC-2019-0146</t>
  </si>
  <si>
    <t>190225/0594/044</t>
  </si>
  <si>
    <t>1651028008</t>
  </si>
  <si>
    <t>BP00248814</t>
  </si>
  <si>
    <t>1435254524</t>
  </si>
  <si>
    <t>31907564077</t>
  </si>
  <si>
    <t>1434002771</t>
  </si>
  <si>
    <t>5009035737</t>
  </si>
  <si>
    <t>627680</t>
  </si>
  <si>
    <t>2401000178</t>
  </si>
  <si>
    <t>0319300427119000008</t>
  </si>
  <si>
    <t>Абанский район</t>
  </si>
  <si>
    <t>0384200004219000016</t>
  </si>
  <si>
    <t>2983003168</t>
  </si>
  <si>
    <t>2901095160</t>
  </si>
  <si>
    <t>2318020997</t>
  </si>
  <si>
    <t>0318100036819000015</t>
  </si>
  <si>
    <t>2320215344</t>
  </si>
  <si>
    <t>6312194909</t>
  </si>
  <si>
    <t>31907565468</t>
  </si>
  <si>
    <t>5031024353</t>
  </si>
  <si>
    <t>627623</t>
  </si>
  <si>
    <t>0308100004019000004</t>
  </si>
  <si>
    <t>31907565411</t>
  </si>
  <si>
    <t>7725839244</t>
  </si>
  <si>
    <t>5031049799</t>
  </si>
  <si>
    <t>5044054034</t>
  </si>
  <si>
    <t>5044051080</t>
  </si>
  <si>
    <t>6501155038</t>
  </si>
  <si>
    <t>0361200015019000591</t>
  </si>
  <si>
    <t>5038029696</t>
  </si>
  <si>
    <t>627494</t>
  </si>
  <si>
    <t>0163200000319000686</t>
  </si>
  <si>
    <t>31907564594</t>
  </si>
  <si>
    <t>1001017986</t>
  </si>
  <si>
    <t>0306100000119000031</t>
  </si>
  <si>
    <t>0306100000119000028</t>
  </si>
  <si>
    <t>0306100000119000030</t>
  </si>
  <si>
    <t>0306100000119000029</t>
  </si>
  <si>
    <t>6163044982</t>
  </si>
  <si>
    <t>0158100017019000001</t>
  </si>
  <si>
    <t>6102005111</t>
  </si>
  <si>
    <t>0358300212619000001</t>
  </si>
  <si>
    <t>6166075259</t>
  </si>
  <si>
    <t>6164309670</t>
  </si>
  <si>
    <t>6155078748</t>
  </si>
  <si>
    <t>5022034570</t>
  </si>
  <si>
    <t>627425</t>
  </si>
  <si>
    <t>5019010883</t>
  </si>
  <si>
    <t>0848300041019000012</t>
  </si>
  <si>
    <t>5050101726</t>
  </si>
  <si>
    <t>31907564079</t>
  </si>
  <si>
    <t>[ОКПД2 27.12] Аппаратура распределительная и регулирующая электрическая, [ОКВЭД2 27.12] Производство электрической распределительной и регулирующей аппаратуры</t>
  </si>
  <si>
    <t>5050050302</t>
  </si>
  <si>
    <t>503117357548</t>
  </si>
  <si>
    <t>5050108270</t>
  </si>
  <si>
    <t>627464</t>
  </si>
  <si>
    <t>627353</t>
  </si>
  <si>
    <t>7126010627</t>
  </si>
  <si>
    <t>0366100002319000003</t>
  </si>
  <si>
    <t>Заокский район</t>
  </si>
  <si>
    <t>3112262539</t>
  </si>
  <si>
    <t>649863</t>
  </si>
  <si>
    <t>[ОКПД2 28.22] Оборудование подъемно-транспортное, [ОКПД2 43.21] Работы электромонтажные, [ОКПД2 26.70] Приборы оптические и фотографическое оборудование, [ОКПД2 43.99] Работы строительные специализированные, не включенные в другие группировки, [ОКПД2 26.30] Оборудование коммуникационное, [ОКПД2 35.13] Услуги по распределению электроэнергии, [ОКПД2 35.12] Услуги по передаче электроэнергии и технологическому присоединению к распределительным электросетям</t>
  </si>
  <si>
    <t>0302100003019000013</t>
  </si>
  <si>
    <t>0163200000319000672</t>
  </si>
  <si>
    <t>6317093936</t>
  </si>
  <si>
    <t>0142300048519000130</t>
  </si>
  <si>
    <t>6318002610</t>
  </si>
  <si>
    <t>6315622824</t>
  </si>
  <si>
    <t>0366100002319000004</t>
  </si>
  <si>
    <t>6729008390</t>
  </si>
  <si>
    <t>0163200000319000661</t>
  </si>
  <si>
    <t>6730080320</t>
  </si>
  <si>
    <t>4418254</t>
  </si>
  <si>
    <t>3322000635</t>
  </si>
  <si>
    <t>0328300010119000012</t>
  </si>
  <si>
    <t>Селивановский район</t>
  </si>
  <si>
    <t>2013000139</t>
  </si>
  <si>
    <t>0394200024419000005</t>
  </si>
  <si>
    <t>0163200000319000659</t>
  </si>
  <si>
    <t>6730044763</t>
  </si>
  <si>
    <t>5019010918</t>
  </si>
  <si>
    <t>0848300041019000010</t>
  </si>
  <si>
    <t>5012092661</t>
  </si>
  <si>
    <t>627199</t>
  </si>
  <si>
    <t>5049017325</t>
  </si>
  <si>
    <t>627176</t>
  </si>
  <si>
    <t>4712017259</t>
  </si>
  <si>
    <t>0345300046719000016</t>
  </si>
  <si>
    <t>Приозерск</t>
  </si>
  <si>
    <t>0345300046719000019</t>
  </si>
  <si>
    <t>0345300046719000017</t>
  </si>
  <si>
    <t>0345300046719000021</t>
  </si>
  <si>
    <t>0721009673</t>
  </si>
  <si>
    <t>0304100002419000046</t>
  </si>
  <si>
    <t>0721010372</t>
  </si>
  <si>
    <t>0345300046719000018</t>
  </si>
  <si>
    <t>0345300046719000020</t>
  </si>
  <si>
    <t>0345300046719000022</t>
  </si>
  <si>
    <t>0851100001919000087</t>
  </si>
  <si>
    <t>2223618482</t>
  </si>
  <si>
    <t>8906005154</t>
  </si>
  <si>
    <t>0190300004619000044</t>
  </si>
  <si>
    <t>7203341062</t>
  </si>
  <si>
    <t>1192889</t>
  </si>
  <si>
    <t>31907561608</t>
  </si>
  <si>
    <t>[ОКПД2 84.25] Услуги по обеспечению безопасности в чрезвычайных ситуациях; услуги по обеспечению безопасности в области использования атомной энергии, [ОКВЭД2 84.24] Деятельность по обеспечению общественного порядка и безопасности</t>
  </si>
  <si>
    <t>6908004716</t>
  </si>
  <si>
    <t>473004</t>
  </si>
  <si>
    <t>362114</t>
  </si>
  <si>
    <t>31907560885</t>
  </si>
  <si>
    <t>7717296570</t>
  </si>
  <si>
    <t>7714355280</t>
  </si>
  <si>
    <t>5263108081</t>
  </si>
  <si>
    <t>6317112674</t>
  </si>
  <si>
    <t>7706228218</t>
  </si>
  <si>
    <t>31907560626</t>
  </si>
  <si>
    <t>7736227885</t>
  </si>
  <si>
    <t>7720820948</t>
  </si>
  <si>
    <t>5050004137</t>
  </si>
  <si>
    <t>626903</t>
  </si>
  <si>
    <t>5024181468</t>
  </si>
  <si>
    <t>626919</t>
  </si>
  <si>
    <t>0306100000119000027</t>
  </si>
  <si>
    <t>1701044664</t>
  </si>
  <si>
    <t>0312200021019000014</t>
  </si>
  <si>
    <t>7720148807</t>
  </si>
  <si>
    <t>31907560455</t>
  </si>
  <si>
    <t>6234144880</t>
  </si>
  <si>
    <t>7817027404</t>
  </si>
  <si>
    <t>0372200051819000001</t>
  </si>
  <si>
    <t>7817300540</t>
  </si>
  <si>
    <t>31907558353</t>
  </si>
  <si>
    <t>0306100000119000026</t>
  </si>
  <si>
    <t>1192429</t>
  </si>
  <si>
    <t>0306100000119000023</t>
  </si>
  <si>
    <t>5027197963</t>
  </si>
  <si>
    <t>626745</t>
  </si>
  <si>
    <t>0306100000119000025</t>
  </si>
  <si>
    <t>0157200000319000040</t>
  </si>
  <si>
    <t>6027110259</t>
  </si>
  <si>
    <t>0153300060619000032</t>
  </si>
  <si>
    <t>0306100000119000024</t>
  </si>
  <si>
    <t>5404105174</t>
  </si>
  <si>
    <t>31907557557</t>
  </si>
  <si>
    <t>7416001230</t>
  </si>
  <si>
    <t>0369300259119000014</t>
  </si>
  <si>
    <t>7424009401</t>
  </si>
  <si>
    <t>744845833067</t>
  </si>
  <si>
    <t>6167080043</t>
  </si>
  <si>
    <t>0158100009719000014</t>
  </si>
  <si>
    <t>3250532405</t>
  </si>
  <si>
    <t>0827100000419000009</t>
  </si>
  <si>
    <t>2464033793</t>
  </si>
  <si>
    <t>0356100002719000011</t>
  </si>
  <si>
    <t>0113300025319000019</t>
  </si>
  <si>
    <t>5012028320</t>
  </si>
  <si>
    <t>626621</t>
  </si>
  <si>
    <t>0113300025319000018</t>
  </si>
  <si>
    <t>0572019545</t>
  </si>
  <si>
    <t>0103200008419000293</t>
  </si>
  <si>
    <t>0562074307</t>
  </si>
  <si>
    <t>0570003589</t>
  </si>
  <si>
    <t>0570001246</t>
  </si>
  <si>
    <t>5502043367</t>
  </si>
  <si>
    <t>650636</t>
  </si>
  <si>
    <t>650440</t>
  </si>
  <si>
    <t>5008029459</t>
  </si>
  <si>
    <t>626436</t>
  </si>
  <si>
    <t>ATOM21021900102</t>
  </si>
  <si>
    <t>5024181820</t>
  </si>
  <si>
    <t>626418</t>
  </si>
  <si>
    <t>5503039187</t>
  </si>
  <si>
    <t>649733</t>
  </si>
  <si>
    <t>5076006361</t>
  </si>
  <si>
    <t>626303</t>
  </si>
  <si>
    <t>Серебряно-Прудский район</t>
  </si>
  <si>
    <t>3389-19-Т-ГО-ГО</t>
  </si>
  <si>
    <t>7717585042</t>
  </si>
  <si>
    <t>31907556389</t>
  </si>
  <si>
    <t>7727839585</t>
  </si>
  <si>
    <t>5042125882</t>
  </si>
  <si>
    <t>1433014365</t>
  </si>
  <si>
    <t>31907555299</t>
  </si>
  <si>
    <t>1433014020</t>
  </si>
  <si>
    <t>5028017363</t>
  </si>
  <si>
    <t>626188</t>
  </si>
  <si>
    <t>5003021777</t>
  </si>
  <si>
    <t>626158</t>
  </si>
  <si>
    <t>2225178149</t>
  </si>
  <si>
    <t>0117400000319000009</t>
  </si>
  <si>
    <t>5008053003</t>
  </si>
  <si>
    <t>0848300057119000008</t>
  </si>
  <si>
    <t>7716748270</t>
  </si>
  <si>
    <t>5078016894</t>
  </si>
  <si>
    <t>0307300058519000027</t>
  </si>
  <si>
    <t>2315060310</t>
  </si>
  <si>
    <t>0318100006719000009</t>
  </si>
  <si>
    <t>2315124236</t>
  </si>
  <si>
    <t>2315000880</t>
  </si>
  <si>
    <t>231504153161</t>
  </si>
  <si>
    <t>0139100001519000015</t>
  </si>
  <si>
    <t>2404013305</t>
  </si>
  <si>
    <t>0319300041019000006</t>
  </si>
  <si>
    <t>2462205905</t>
  </si>
  <si>
    <t>2631016990</t>
  </si>
  <si>
    <t>0321100020419000005</t>
  </si>
  <si>
    <t>0307300058519000028</t>
  </si>
  <si>
    <t>1651028311</t>
  </si>
  <si>
    <t>BP00248146</t>
  </si>
  <si>
    <t>4238003340</t>
  </si>
  <si>
    <t>0339300252219000005</t>
  </si>
  <si>
    <t>8619014518</t>
  </si>
  <si>
    <t>0187300001719000052</t>
  </si>
  <si>
    <t>8612014621</t>
  </si>
  <si>
    <t>8602283512</t>
  </si>
  <si>
    <t>6623083253</t>
  </si>
  <si>
    <t>31907555173</t>
  </si>
  <si>
    <t>8709004715</t>
  </si>
  <si>
    <t>0188100001719000005</t>
  </si>
  <si>
    <t>648431</t>
  </si>
  <si>
    <t>5405270340</t>
  </si>
  <si>
    <t>COM21021900017</t>
  </si>
  <si>
    <t>31907555143</t>
  </si>
  <si>
    <t>2014012497</t>
  </si>
  <si>
    <t>7717020170</t>
  </si>
  <si>
    <t>1191807</t>
  </si>
  <si>
    <t>5009035046</t>
  </si>
  <si>
    <t>625942</t>
  </si>
  <si>
    <t>625839</t>
  </si>
  <si>
    <t>[ОКПД2 25.93] Проволока, цепи и пружины, [ОКПД2 26.40] Техника бытовая электронная, [ОКПД2 33.20] Услуги по монтажу промышленных машин и оборудования, [ОКПД2 27.11] Электродвигатели, генераторы и трансформаторы, [ОКПД2 32.50] Инструменты и оборудование медицинские</t>
  </si>
  <si>
    <t>31907554583</t>
  </si>
  <si>
    <t>1435142972</t>
  </si>
  <si>
    <t>31907550828</t>
  </si>
  <si>
    <t>1435161661</t>
  </si>
  <si>
    <t>31907553716</t>
  </si>
  <si>
    <t>5001044000</t>
  </si>
  <si>
    <t>6142017106</t>
  </si>
  <si>
    <t>647543</t>
  </si>
  <si>
    <t>5028017050</t>
  </si>
  <si>
    <t>625492</t>
  </si>
  <si>
    <t>647606</t>
  </si>
  <si>
    <t>1191311</t>
  </si>
  <si>
    <t>Лениногорск</t>
  </si>
  <si>
    <t>31907553225</t>
  </si>
  <si>
    <t>8601050392</t>
  </si>
  <si>
    <t>647238</t>
  </si>
  <si>
    <t>625425</t>
  </si>
  <si>
    <t>31907552071</t>
  </si>
  <si>
    <t>31907551958</t>
  </si>
  <si>
    <t>4442017382</t>
  </si>
  <si>
    <t>647012</t>
  </si>
  <si>
    <t>5008029297</t>
  </si>
  <si>
    <t>625348</t>
  </si>
  <si>
    <t>31907551697</t>
  </si>
  <si>
    <t>7731400649</t>
  </si>
  <si>
    <t>625232</t>
  </si>
  <si>
    <t>5501049126</t>
  </si>
  <si>
    <t>646650</t>
  </si>
  <si>
    <t>7513000922</t>
  </si>
  <si>
    <t>646842</t>
  </si>
  <si>
    <t>Нерчинский район</t>
  </si>
  <si>
    <t>5052015180</t>
  </si>
  <si>
    <t>625193</t>
  </si>
  <si>
    <t>5009035261</t>
  </si>
  <si>
    <t>625137</t>
  </si>
  <si>
    <t>625054</t>
  </si>
  <si>
    <t>6142026911</t>
  </si>
  <si>
    <t>645974</t>
  </si>
  <si>
    <t>5003021488</t>
  </si>
  <si>
    <t>625069</t>
  </si>
  <si>
    <t>5009035462</t>
  </si>
  <si>
    <t>624976</t>
  </si>
  <si>
    <t>0195100000219000080</t>
  </si>
  <si>
    <t>0191200001519000003</t>
  </si>
  <si>
    <t>0164100004419000004</t>
  </si>
  <si>
    <t>0191200001519000004</t>
  </si>
  <si>
    <t>0195100000219000074</t>
  </si>
  <si>
    <t>0151100016619000008</t>
  </si>
  <si>
    <t>5406753163</t>
  </si>
  <si>
    <t>5406527020</t>
  </si>
  <si>
    <t>2019-673794</t>
  </si>
  <si>
    <t>0195100000219000083</t>
  </si>
  <si>
    <t>0195100000219000079</t>
  </si>
  <si>
    <t>2309090902</t>
  </si>
  <si>
    <t>0318200031319000028</t>
  </si>
  <si>
    <t>0139200000119000496</t>
  </si>
  <si>
    <t>0301100027819000019</t>
  </si>
  <si>
    <t>0278134127</t>
  </si>
  <si>
    <t>0153100008319000006</t>
  </si>
  <si>
    <t>5612060990</t>
  </si>
  <si>
    <t>5614028871</t>
  </si>
  <si>
    <t>5603034062</t>
  </si>
  <si>
    <t>0277923760</t>
  </si>
  <si>
    <t>0195100000219000071</t>
  </si>
  <si>
    <t>2014024407</t>
  </si>
  <si>
    <t>0194200000519000419</t>
  </si>
  <si>
    <t>2014012360</t>
  </si>
  <si>
    <t>7203155161</t>
  </si>
  <si>
    <t>0167100001119000025</t>
  </si>
  <si>
    <t>0195100000219000072</t>
  </si>
  <si>
    <t>2225022582</t>
  </si>
  <si>
    <t>0817200000319000631</t>
  </si>
  <si>
    <t>2224195494</t>
  </si>
  <si>
    <t>0301001505</t>
  </si>
  <si>
    <t>0302300032919000002</t>
  </si>
  <si>
    <t>Баргузинский район</t>
  </si>
  <si>
    <t>0326526688</t>
  </si>
  <si>
    <t>2315052542</t>
  </si>
  <si>
    <t>0318300402419000005</t>
  </si>
  <si>
    <t>3525001916</t>
  </si>
  <si>
    <t>0230200000119000010</t>
  </si>
  <si>
    <t>3528221878</t>
  </si>
  <si>
    <t>3525308721</t>
  </si>
  <si>
    <t>3525284213</t>
  </si>
  <si>
    <t>3525099740</t>
  </si>
  <si>
    <t>3525319515</t>
  </si>
  <si>
    <t>3525010283</t>
  </si>
  <si>
    <t>3525311097</t>
  </si>
  <si>
    <t>4421002410</t>
  </si>
  <si>
    <t>0341100007519000001</t>
  </si>
  <si>
    <t>7709772056</t>
  </si>
  <si>
    <t>1191822</t>
  </si>
  <si>
    <t>2365023900</t>
  </si>
  <si>
    <t>0318100073419000008</t>
  </si>
  <si>
    <t>0349200016119000003</t>
  </si>
  <si>
    <t>0134100014519000030</t>
  </si>
  <si>
    <t>6940001780</t>
  </si>
  <si>
    <t>0136300049419000009</t>
  </si>
  <si>
    <t>Сонковский район</t>
  </si>
  <si>
    <t>861102050027</t>
  </si>
  <si>
    <t>0167100001119000026</t>
  </si>
  <si>
    <t>Омутинский район</t>
  </si>
  <si>
    <t>7709094629</t>
  </si>
  <si>
    <t>31907549475</t>
  </si>
  <si>
    <t>[ОКПД2 71.1+] Услуги в области архитектуры, инженерно-технического проектирования и связанные технические консультативные услуги, [ОКВЭД2 71.11] Деятельность в области архитектуры</t>
  </si>
  <si>
    <t>31907548941</t>
  </si>
  <si>
    <t>0274130467</t>
  </si>
  <si>
    <t>5029100230</t>
  </si>
  <si>
    <t>624789</t>
  </si>
  <si>
    <t>31907549238</t>
  </si>
  <si>
    <t>31907549067</t>
  </si>
  <si>
    <t>31907549161</t>
  </si>
  <si>
    <t>3651008460</t>
  </si>
  <si>
    <t>5018048370</t>
  </si>
  <si>
    <t>624797</t>
  </si>
  <si>
    <t>5009061536</t>
  </si>
  <si>
    <t>624843</t>
  </si>
  <si>
    <t>31907549036</t>
  </si>
  <si>
    <t>644947</t>
  </si>
  <si>
    <t>31907546326</t>
  </si>
  <si>
    <t>31907548109</t>
  </si>
  <si>
    <t>4824092381</t>
  </si>
  <si>
    <t>4826068962</t>
  </si>
  <si>
    <t>5921014694</t>
  </si>
  <si>
    <t>31907546876</t>
  </si>
  <si>
    <t>Чусовой</t>
  </si>
  <si>
    <t>624571</t>
  </si>
  <si>
    <t>31907546098</t>
  </si>
  <si>
    <t>7445040096</t>
  </si>
  <si>
    <t>31907546461</t>
  </si>
  <si>
    <t>[ОКПД2 74.20] Услуги в области фотографии, [ОКВЭД2 74.20] Деятельность в области фотографии</t>
  </si>
  <si>
    <t>7706699062</t>
  </si>
  <si>
    <t>31907546838</t>
  </si>
  <si>
    <t>[ОКПД2 33.12] Услуги по ремонту оборудования, [ОКВЭД2 33.1+] Ремонт и монтаж металлических изделий, машин и оборудования</t>
  </si>
  <si>
    <t>5029212511</t>
  </si>
  <si>
    <t>624458</t>
  </si>
  <si>
    <t>5032036496</t>
  </si>
  <si>
    <t>624342</t>
  </si>
  <si>
    <t>31907546014</t>
  </si>
  <si>
    <t>5006009390</t>
  </si>
  <si>
    <t>624222</t>
  </si>
  <si>
    <t>5075010044</t>
  </si>
  <si>
    <t>624158</t>
  </si>
  <si>
    <t>624235</t>
  </si>
  <si>
    <t>0276143694</t>
  </si>
  <si>
    <t>SBR016-1902180008</t>
  </si>
  <si>
    <t>5024149552</t>
  </si>
  <si>
    <t>624087</t>
  </si>
  <si>
    <t>624137</t>
  </si>
  <si>
    <t>6315576582</t>
  </si>
  <si>
    <t>РН950321</t>
  </si>
  <si>
    <t>4101119472</t>
  </si>
  <si>
    <t>0538300000219000020</t>
  </si>
  <si>
    <t>183106744104</t>
  </si>
  <si>
    <t>7415056370</t>
  </si>
  <si>
    <t>6163143528</t>
  </si>
  <si>
    <t>6501294747</t>
  </si>
  <si>
    <t>0173100001219000001</t>
  </si>
  <si>
    <t>7720587191</t>
  </si>
  <si>
    <t>5032259326</t>
  </si>
  <si>
    <t>7707293185</t>
  </si>
  <si>
    <t>5033008332</t>
  </si>
  <si>
    <t>0848300041119000026</t>
  </si>
  <si>
    <t>4223018979</t>
  </si>
  <si>
    <t>0339300273419000037</t>
  </si>
  <si>
    <t>0154200002719000181</t>
  </si>
  <si>
    <t>5754006934</t>
  </si>
  <si>
    <t>0163200000319000523</t>
  </si>
  <si>
    <t>0195100000219000066</t>
  </si>
  <si>
    <t>7022010679</t>
  </si>
  <si>
    <t>0865200000319000115</t>
  </si>
  <si>
    <t>7022144217</t>
  </si>
  <si>
    <t>3702086910</t>
  </si>
  <si>
    <t>0133200001719000223</t>
  </si>
  <si>
    <t>1435253288</t>
  </si>
  <si>
    <t>0816200000619000015</t>
  </si>
  <si>
    <t>2311040088</t>
  </si>
  <si>
    <t>0318200065619000029</t>
  </si>
  <si>
    <t>0195100000219000061</t>
  </si>
  <si>
    <t>8913009880</t>
  </si>
  <si>
    <t>0190300001919000033</t>
  </si>
  <si>
    <t>7203158966</t>
  </si>
  <si>
    <t>6027021658</t>
  </si>
  <si>
    <t>0357300006319000010</t>
  </si>
  <si>
    <t>782003393508</t>
  </si>
  <si>
    <t>7728273782</t>
  </si>
  <si>
    <t>0373200032219000187</t>
  </si>
  <si>
    <t>5027141946</t>
  </si>
  <si>
    <t>0195100000219000060</t>
  </si>
  <si>
    <t>5527007770</t>
  </si>
  <si>
    <t>0352200003319000005</t>
  </si>
  <si>
    <t>Оконешниковский район</t>
  </si>
  <si>
    <t>0163200000319000520</t>
  </si>
  <si>
    <t>7705018169</t>
  </si>
  <si>
    <t>1648007135</t>
  </si>
  <si>
    <t>BP00247135</t>
  </si>
  <si>
    <t>0274059951</t>
  </si>
  <si>
    <t>0101100000619000004</t>
  </si>
  <si>
    <t>0373200032219000186</t>
  </si>
  <si>
    <t>616202885977</t>
  </si>
  <si>
    <t>2204052723</t>
  </si>
  <si>
    <t>0317100032219000001</t>
  </si>
  <si>
    <t>7204006003</t>
  </si>
  <si>
    <t>0167100003919000016</t>
  </si>
  <si>
    <t>9201016832</t>
  </si>
  <si>
    <t>0374200015719000003</t>
  </si>
  <si>
    <t>6444003766</t>
  </si>
  <si>
    <t>0360300129119000005</t>
  </si>
  <si>
    <t>Петровск</t>
  </si>
  <si>
    <t>6454122522</t>
  </si>
  <si>
    <t>7838067567</t>
  </si>
  <si>
    <t>0172400000419000008</t>
  </si>
  <si>
    <t>7810391877</t>
  </si>
  <si>
    <t>632131773980</t>
  </si>
  <si>
    <t>7804431881</t>
  </si>
  <si>
    <t>780500848945</t>
  </si>
  <si>
    <t>7816633402</t>
  </si>
  <si>
    <t>2013434680</t>
  </si>
  <si>
    <t>0194400000419000024</t>
  </si>
  <si>
    <t>0688100000119000014</t>
  </si>
  <si>
    <t>0163200000319000522</t>
  </si>
  <si>
    <t>2352044959</t>
  </si>
  <si>
    <t>0318300008819000025</t>
  </si>
  <si>
    <t>4501222562</t>
  </si>
  <si>
    <t>235203298266</t>
  </si>
  <si>
    <t>1701027066</t>
  </si>
  <si>
    <t>0312100008919000018</t>
  </si>
  <si>
    <t>0688100000119000016</t>
  </si>
  <si>
    <t>2315018132</t>
  </si>
  <si>
    <t>31907543249</t>
  </si>
  <si>
    <t>5051002171</t>
  </si>
  <si>
    <t>0348300299519000001</t>
  </si>
  <si>
    <t>7724318714</t>
  </si>
  <si>
    <t>771565295733</t>
  </si>
  <si>
    <t>7722421988</t>
  </si>
  <si>
    <t>0195100000219000064</t>
  </si>
  <si>
    <t>3328404610</t>
  </si>
  <si>
    <t>0195100000219000067</t>
  </si>
  <si>
    <t>0101100000619000002</t>
  </si>
  <si>
    <t>2502013800</t>
  </si>
  <si>
    <t>0320300091119000009</t>
  </si>
  <si>
    <t>2538070785</t>
  </si>
  <si>
    <t>2502029737</t>
  </si>
  <si>
    <t>5114000290</t>
  </si>
  <si>
    <t>0149300005019000013</t>
  </si>
  <si>
    <t>Островной</t>
  </si>
  <si>
    <t>5190049240</t>
  </si>
  <si>
    <t>5114020024</t>
  </si>
  <si>
    <t>0358300068419000022</t>
  </si>
  <si>
    <t>610107739559</t>
  </si>
  <si>
    <t>6165207689</t>
  </si>
  <si>
    <t>3435135249</t>
  </si>
  <si>
    <t>6155923468</t>
  </si>
  <si>
    <t>7817026619</t>
  </si>
  <si>
    <t>0372200128619000001</t>
  </si>
  <si>
    <t>0139100001519000006</t>
  </si>
  <si>
    <t>0373100132419000009</t>
  </si>
  <si>
    <t>8910002910</t>
  </si>
  <si>
    <t>0190300000719000118</t>
  </si>
  <si>
    <t>Тазовский район</t>
  </si>
  <si>
    <t>8904083397</t>
  </si>
  <si>
    <t>660701682927</t>
  </si>
  <si>
    <t>4024008503</t>
  </si>
  <si>
    <t>0337100011519000004</t>
  </si>
  <si>
    <t>1115001108</t>
  </si>
  <si>
    <t>0307300037519000007</t>
  </si>
  <si>
    <t>Троицко-Печорский район</t>
  </si>
  <si>
    <t>0163200000319000521</t>
  </si>
  <si>
    <t>4501090490</t>
  </si>
  <si>
    <t>0843500000119000074</t>
  </si>
  <si>
    <t>4501183497</t>
  </si>
  <si>
    <t>4501208381</t>
  </si>
  <si>
    <t>0373100132419000008</t>
  </si>
  <si>
    <t>0139100001519000005</t>
  </si>
  <si>
    <t>0337100011519000002</t>
  </si>
  <si>
    <t>Хвастовичский район</t>
  </si>
  <si>
    <t>2019-673038</t>
  </si>
  <si>
    <t>4826121447</t>
  </si>
  <si>
    <t>0846200001719000004</t>
  </si>
  <si>
    <t>450144482848</t>
  </si>
  <si>
    <t>4826072207</t>
  </si>
  <si>
    <t>3666171773</t>
  </si>
  <si>
    <t>366111835669</t>
  </si>
  <si>
    <t>482502028100</t>
  </si>
  <si>
    <t>3525115536</t>
  </si>
  <si>
    <t>0130100008019000038</t>
  </si>
  <si>
    <t>0194400000119000005</t>
  </si>
  <si>
    <t>0688100000119000015</t>
  </si>
  <si>
    <t>2605016659</t>
  </si>
  <si>
    <t>0121600011019000006</t>
  </si>
  <si>
    <t>2635813891</t>
  </si>
  <si>
    <t>0517015123</t>
  </si>
  <si>
    <t>BP00247488</t>
  </si>
  <si>
    <t>Кизляр</t>
  </si>
  <si>
    <t>0387200030219000007</t>
  </si>
  <si>
    <t>7825077938</t>
  </si>
  <si>
    <t>0337100011519000003</t>
  </si>
  <si>
    <t>4025031061</t>
  </si>
  <si>
    <t>0537300001119000016</t>
  </si>
  <si>
    <t>4025082757</t>
  </si>
  <si>
    <t>0101100000619000001</t>
  </si>
  <si>
    <t>0843500000119000075</t>
  </si>
  <si>
    <t>0360300129119000004</t>
  </si>
  <si>
    <t>SBR028-1902180025</t>
  </si>
  <si>
    <t>1841036455</t>
  </si>
  <si>
    <t>1816-8М6</t>
  </si>
  <si>
    <t>7811057064</t>
  </si>
  <si>
    <t>31907543806</t>
  </si>
  <si>
    <t>[ОКПД2 69.10] Услуги юридические, [ОКВЭД2 69.1+] Деятельность в области права</t>
  </si>
  <si>
    <t>5001044433</t>
  </si>
  <si>
    <t>623882</t>
  </si>
  <si>
    <t>6151002480</t>
  </si>
  <si>
    <t>641856</t>
  </si>
  <si>
    <t>5079008416</t>
  </si>
  <si>
    <t>623756</t>
  </si>
  <si>
    <t>5037001017</t>
  </si>
  <si>
    <t>623790</t>
  </si>
  <si>
    <t>623728</t>
  </si>
  <si>
    <t>6151002554</t>
  </si>
  <si>
    <t>641802</t>
  </si>
  <si>
    <t>1624446535</t>
  </si>
  <si>
    <t>31907542372</t>
  </si>
  <si>
    <t>Лаишевский район</t>
  </si>
  <si>
    <t>1655078747</t>
  </si>
  <si>
    <t>31907541509</t>
  </si>
  <si>
    <t>4703082540</t>
  </si>
  <si>
    <t>5009036378</t>
  </si>
  <si>
    <t>623451</t>
  </si>
  <si>
    <t>623486</t>
  </si>
  <si>
    <t>5034033476</t>
  </si>
  <si>
    <t>623474</t>
  </si>
  <si>
    <t>5047181440</t>
  </si>
  <si>
    <t>623430</t>
  </si>
  <si>
    <t>1189209</t>
  </si>
  <si>
    <t>5506038921</t>
  </si>
  <si>
    <t>640785</t>
  </si>
  <si>
    <t>623373</t>
  </si>
  <si>
    <t>ATOM18021900085</t>
  </si>
  <si>
    <t>5045039906</t>
  </si>
  <si>
    <t>623302</t>
  </si>
  <si>
    <t>5075009659</t>
  </si>
  <si>
    <t>623238</t>
  </si>
  <si>
    <t>7536087454</t>
  </si>
  <si>
    <t>640346</t>
  </si>
  <si>
    <t>5075009585</t>
  </si>
  <si>
    <t>623138</t>
  </si>
  <si>
    <t>5075009680</t>
  </si>
  <si>
    <t>623152</t>
  </si>
  <si>
    <t>31907539907</t>
  </si>
  <si>
    <t>5003030997</t>
  </si>
  <si>
    <t>623111</t>
  </si>
  <si>
    <t>5003021417</t>
  </si>
  <si>
    <t>623161</t>
  </si>
  <si>
    <t>6165090832</t>
  </si>
  <si>
    <t>640188</t>
  </si>
  <si>
    <t>623136</t>
  </si>
  <si>
    <t>4214000608</t>
  </si>
  <si>
    <t>1188118</t>
  </si>
  <si>
    <t>Междуреченск</t>
  </si>
  <si>
    <t>5050029396</t>
  </si>
  <si>
    <t>31907539348</t>
  </si>
  <si>
    <t>5071004032</t>
  </si>
  <si>
    <t>623024</t>
  </si>
  <si>
    <t>5502034034</t>
  </si>
  <si>
    <t>639747</t>
  </si>
  <si>
    <t>623055</t>
  </si>
  <si>
    <t>7326011508</t>
  </si>
  <si>
    <t>100208909219000001</t>
  </si>
  <si>
    <t>623061</t>
  </si>
  <si>
    <t>2721002350</t>
  </si>
  <si>
    <t>100092305219000008</t>
  </si>
  <si>
    <t>100092305219000007</t>
  </si>
  <si>
    <t>2465004033</t>
  </si>
  <si>
    <t>0119200000119000555</t>
  </si>
  <si>
    <t>4907007767</t>
  </si>
  <si>
    <t>0347100004719000003</t>
  </si>
  <si>
    <t>Омсукчанский район</t>
  </si>
  <si>
    <t>3662044189</t>
  </si>
  <si>
    <t>0331200026519000009</t>
  </si>
  <si>
    <t>3665085666</t>
  </si>
  <si>
    <t>1646031132</t>
  </si>
  <si>
    <t>190218/2655/027</t>
  </si>
  <si>
    <t>0195100000219000056</t>
  </si>
  <si>
    <t>5407071413</t>
  </si>
  <si>
    <t>0851200000619000312</t>
  </si>
  <si>
    <t>5406974959</t>
  </si>
  <si>
    <t>5408223355</t>
  </si>
  <si>
    <t>0851200000619000309</t>
  </si>
  <si>
    <t>Барабинск</t>
  </si>
  <si>
    <t>9102164702</t>
  </si>
  <si>
    <t>0875200000519000001</t>
  </si>
  <si>
    <t>8601013337</t>
  </si>
  <si>
    <t>0387200005419000010</t>
  </si>
  <si>
    <t>8603115060</t>
  </si>
  <si>
    <t>8603212024</t>
  </si>
  <si>
    <t>7328049578</t>
  </si>
  <si>
    <t>0368300013619000003</t>
  </si>
  <si>
    <t>0891200000619000604</t>
  </si>
  <si>
    <t>7536080219</t>
  </si>
  <si>
    <t>7536045609</t>
  </si>
  <si>
    <t>6629024945</t>
  </si>
  <si>
    <t>0362300117319000007</t>
  </si>
  <si>
    <t>662907810703</t>
  </si>
  <si>
    <t>6682007790</t>
  </si>
  <si>
    <t>0851200000619000318</t>
  </si>
  <si>
    <t>0851200000619000314</t>
  </si>
  <si>
    <t>0195100000219000057</t>
  </si>
  <si>
    <t>0891200000619000606</t>
  </si>
  <si>
    <t>7536122010</t>
  </si>
  <si>
    <t>7534016465</t>
  </si>
  <si>
    <t>7536100377</t>
  </si>
  <si>
    <t>0851200000619000317</t>
  </si>
  <si>
    <t>6629021969</t>
  </si>
  <si>
    <t>0362300178019000005</t>
  </si>
  <si>
    <t>6629009591</t>
  </si>
  <si>
    <t>6629016888</t>
  </si>
  <si>
    <t>4826050517</t>
  </si>
  <si>
    <t>0346300089419000019</t>
  </si>
  <si>
    <t>7451216069</t>
  </si>
  <si>
    <t>0369100043319000020</t>
  </si>
  <si>
    <t>7404064852</t>
  </si>
  <si>
    <t>0301100003519000026</t>
  </si>
  <si>
    <t>3120002196</t>
  </si>
  <si>
    <t>0126200000419000157</t>
  </si>
  <si>
    <t>3126016879</t>
  </si>
  <si>
    <t>5027139859</t>
  </si>
  <si>
    <t>0348100065119000013</t>
  </si>
  <si>
    <t>0332100054119000016</t>
  </si>
  <si>
    <t>2466236372</t>
  </si>
  <si>
    <t>0119100015519000006</t>
  </si>
  <si>
    <t>0118200001519000010</t>
  </si>
  <si>
    <t>0369100043319000022</t>
  </si>
  <si>
    <t>7450042780</t>
  </si>
  <si>
    <t>5260107770</t>
  </si>
  <si>
    <t>0132100001319000009</t>
  </si>
  <si>
    <t>8902002635</t>
  </si>
  <si>
    <t>0190200000319000823</t>
  </si>
  <si>
    <t>Лабытнанги</t>
  </si>
  <si>
    <t>1651031988</t>
  </si>
  <si>
    <t>0111300005119000027</t>
  </si>
  <si>
    <t>1651022817</t>
  </si>
  <si>
    <t>0851200000619000319</t>
  </si>
  <si>
    <t>0338100009219000015</t>
  </si>
  <si>
    <t>0851200000619000307</t>
  </si>
  <si>
    <t>0369100043319000021</t>
  </si>
  <si>
    <t>7452113309</t>
  </si>
  <si>
    <t>0303200001919000022</t>
  </si>
  <si>
    <t>4105022104</t>
  </si>
  <si>
    <t>0338300012019000010</t>
  </si>
  <si>
    <t>Елизовский район</t>
  </si>
  <si>
    <t>4101149565</t>
  </si>
  <si>
    <t>4105030151</t>
  </si>
  <si>
    <t>4100013226</t>
  </si>
  <si>
    <t>7312002510</t>
  </si>
  <si>
    <t>0168300008819000041</t>
  </si>
  <si>
    <t>Новомалыклинский район</t>
  </si>
  <si>
    <t>7310105937</t>
  </si>
  <si>
    <t>6382048210</t>
  </si>
  <si>
    <t>0347100004719000004</t>
  </si>
  <si>
    <t>Хасынский район</t>
  </si>
  <si>
    <t>3419400718</t>
  </si>
  <si>
    <t>0129300015819000011</t>
  </si>
  <si>
    <t>Новоаннинский район</t>
  </si>
  <si>
    <t>3443084990</t>
  </si>
  <si>
    <t>3444206873</t>
  </si>
  <si>
    <t>346001386633</t>
  </si>
  <si>
    <t>0811400000119000233</t>
  </si>
  <si>
    <t>4901008764</t>
  </si>
  <si>
    <t>0347300005719000025</t>
  </si>
  <si>
    <t>Ольский район</t>
  </si>
  <si>
    <t>5406011115</t>
  </si>
  <si>
    <t>0351300276119000027</t>
  </si>
  <si>
    <t>5410775184</t>
  </si>
  <si>
    <t>2225147359</t>
  </si>
  <si>
    <t>0134400000619000016</t>
  </si>
  <si>
    <t>3129000115</t>
  </si>
  <si>
    <t>0126200000419000158</t>
  </si>
  <si>
    <t>3120081448</t>
  </si>
  <si>
    <t>0387200005419000011</t>
  </si>
  <si>
    <t>8601049904</t>
  </si>
  <si>
    <t>8601052946</t>
  </si>
  <si>
    <t>431203937880</t>
  </si>
  <si>
    <t>8601026463</t>
  </si>
  <si>
    <t>0338100009219000012</t>
  </si>
  <si>
    <t>7702750991</t>
  </si>
  <si>
    <t>0348100090619000015</t>
  </si>
  <si>
    <t>0391100016419000015</t>
  </si>
  <si>
    <t>7536128816</t>
  </si>
  <si>
    <t>2019-672138</t>
  </si>
  <si>
    <t>3906013100</t>
  </si>
  <si>
    <t>0135100003419000003</t>
  </si>
  <si>
    <t>0118200001519000011</t>
  </si>
  <si>
    <t>0391100016419000016</t>
  </si>
  <si>
    <t>1435027673</t>
  </si>
  <si>
    <t>0816500000619000513</t>
  </si>
  <si>
    <t>1435225467</t>
  </si>
  <si>
    <t>1435295295</t>
  </si>
  <si>
    <t>0347100004719000002</t>
  </si>
  <si>
    <t>0848600007419000032</t>
  </si>
  <si>
    <t>5076006139</t>
  </si>
  <si>
    <t>5076005463</t>
  </si>
  <si>
    <t>5076006227</t>
  </si>
  <si>
    <t>5076006322</t>
  </si>
  <si>
    <t>5076006259</t>
  </si>
  <si>
    <t>5076006234</t>
  </si>
  <si>
    <t>5076006210</t>
  </si>
  <si>
    <t>5076000874</t>
  </si>
  <si>
    <t>5076006033</t>
  </si>
  <si>
    <t>5076006273</t>
  </si>
  <si>
    <t>5076006178</t>
  </si>
  <si>
    <t>5076006668</t>
  </si>
  <si>
    <t>5076006185</t>
  </si>
  <si>
    <t>5076006107</t>
  </si>
  <si>
    <t>5076006266</t>
  </si>
  <si>
    <t>5076006040</t>
  </si>
  <si>
    <t>5076006298</t>
  </si>
  <si>
    <t>5076006153</t>
  </si>
  <si>
    <t>5076006080</t>
  </si>
  <si>
    <t>5076006072</t>
  </si>
  <si>
    <t>5076006058</t>
  </si>
  <si>
    <t>5076006146</t>
  </si>
  <si>
    <t>9718112758</t>
  </si>
  <si>
    <t>5033010162</t>
  </si>
  <si>
    <t>5045023134</t>
  </si>
  <si>
    <t>5038124501</t>
  </si>
  <si>
    <t>0303200001919000021</t>
  </si>
  <si>
    <t>0156100008519000010</t>
  </si>
  <si>
    <t>3127003015</t>
  </si>
  <si>
    <t>0126200000419000156</t>
  </si>
  <si>
    <t>3127009810</t>
  </si>
  <si>
    <t>7312002310</t>
  </si>
  <si>
    <t>0168300008819000040</t>
  </si>
  <si>
    <t>3018009391</t>
  </si>
  <si>
    <t>BP00246465</t>
  </si>
  <si>
    <t>5008029392</t>
  </si>
  <si>
    <t>622981</t>
  </si>
  <si>
    <t>5003027458</t>
  </si>
  <si>
    <t>622933</t>
  </si>
  <si>
    <t>622905</t>
  </si>
  <si>
    <t>5050032046</t>
  </si>
  <si>
    <t>622876</t>
  </si>
  <si>
    <t>5050042654</t>
  </si>
  <si>
    <t>622838</t>
  </si>
  <si>
    <t>5011025493</t>
  </si>
  <si>
    <t>622824</t>
  </si>
  <si>
    <t>2722031570</t>
  </si>
  <si>
    <t>31907537359</t>
  </si>
  <si>
    <t>[ОКПД2 84.24] Услуги по обеспечению общественного порядка и безопасности, [ОКВЭД2 96.09] Предоставление прочих персональных услуг, не включенных в другие группировки</t>
  </si>
  <si>
    <t>2724222900</t>
  </si>
  <si>
    <t>5027083652</t>
  </si>
  <si>
    <t>602775</t>
  </si>
  <si>
    <t>5031075076</t>
  </si>
  <si>
    <t>602758</t>
  </si>
  <si>
    <t>31907537967</t>
  </si>
  <si>
    <t>0700000373</t>
  </si>
  <si>
    <t>31907537813</t>
  </si>
  <si>
    <t>5047227020</t>
  </si>
  <si>
    <t>31907537796</t>
  </si>
  <si>
    <t>602667</t>
  </si>
  <si>
    <t>602664</t>
  </si>
  <si>
    <t>5009038375</t>
  </si>
  <si>
    <t>602595</t>
  </si>
  <si>
    <t>602599</t>
  </si>
  <si>
    <t>5027090794</t>
  </si>
  <si>
    <t>602480</t>
  </si>
  <si>
    <t>5036062306</t>
  </si>
  <si>
    <t>602453</t>
  </si>
  <si>
    <t>5033008283</t>
  </si>
  <si>
    <t>602271</t>
  </si>
  <si>
    <t>31907535897</t>
  </si>
  <si>
    <t>31907536168</t>
  </si>
  <si>
    <t>5078018242</t>
  </si>
  <si>
    <t>602335</t>
  </si>
  <si>
    <t>31907533714</t>
  </si>
  <si>
    <t>2223047260</t>
  </si>
  <si>
    <t>31907535378</t>
  </si>
  <si>
    <t>31907532746</t>
  </si>
  <si>
    <t>602189</t>
  </si>
  <si>
    <t>602194</t>
  </si>
  <si>
    <t>31907535342</t>
  </si>
  <si>
    <t>5050030994</t>
  </si>
  <si>
    <t>31907535632</t>
  </si>
  <si>
    <t>3808069986</t>
  </si>
  <si>
    <t>31907532642</t>
  </si>
  <si>
    <t>[ОКПД2 84.22] Услуги в области обеспечения военной безопасности, [ОКВЭД2 84.22] Деятельность, связанная с обеспечением военной безопасности</t>
  </si>
  <si>
    <t>3808091501</t>
  </si>
  <si>
    <t>31907534052</t>
  </si>
  <si>
    <t>6312112134</t>
  </si>
  <si>
    <t>31907532621</t>
  </si>
  <si>
    <t>31907532379</t>
  </si>
  <si>
    <t>4101178534</t>
  </si>
  <si>
    <t>4101111579</t>
  </si>
  <si>
    <t>4101175861</t>
  </si>
  <si>
    <t>4101119962</t>
  </si>
  <si>
    <t>2460069527</t>
  </si>
  <si>
    <t>31907532793</t>
  </si>
  <si>
    <t>7706016076</t>
  </si>
  <si>
    <t>2524415</t>
  </si>
  <si>
    <t>5007000520</t>
  </si>
  <si>
    <t>602041</t>
  </si>
  <si>
    <t>31907532604</t>
  </si>
  <si>
    <t>1187766</t>
  </si>
  <si>
    <t>31907532578</t>
  </si>
  <si>
    <t>601890</t>
  </si>
  <si>
    <t>3448025726</t>
  </si>
  <si>
    <t>31907532904</t>
  </si>
  <si>
    <t>3445063681</t>
  </si>
  <si>
    <t>0028-19-Т-МЮ-МЮ</t>
  </si>
  <si>
    <t>31907532492</t>
  </si>
  <si>
    <t>5042056967</t>
  </si>
  <si>
    <t>601825</t>
  </si>
  <si>
    <t>0105018622</t>
  </si>
  <si>
    <t>0376100000119000004</t>
  </si>
  <si>
    <t>2309039134</t>
  </si>
  <si>
    <t>0318200028119000089</t>
  </si>
  <si>
    <t>1435071658</t>
  </si>
  <si>
    <t>0816500000619000482</t>
  </si>
  <si>
    <t>1435186627</t>
  </si>
  <si>
    <t>3234018626</t>
  </si>
  <si>
    <t>0327100005019000007</t>
  </si>
  <si>
    <t>1324125298</t>
  </si>
  <si>
    <t>0109100004619000004</t>
  </si>
  <si>
    <t>Рузаевка</t>
  </si>
  <si>
    <t>1326222963</t>
  </si>
  <si>
    <t>1326200695</t>
  </si>
  <si>
    <t>4704102133</t>
  </si>
  <si>
    <t>0845300015019000034</t>
  </si>
  <si>
    <t>4704030217</t>
  </si>
  <si>
    <t>0163200000319000441</t>
  </si>
  <si>
    <t>1435174244</t>
  </si>
  <si>
    <t>0816500000619000470</t>
  </si>
  <si>
    <t>0163200000319000445</t>
  </si>
  <si>
    <t>7743921981</t>
  </si>
  <si>
    <t>0349100003519000015</t>
  </si>
  <si>
    <t>2353019592</t>
  </si>
  <si>
    <t>0818300031219000004</t>
  </si>
  <si>
    <t>2308204339</t>
  </si>
  <si>
    <t>2353021954</t>
  </si>
  <si>
    <t>7312001980</t>
  </si>
  <si>
    <t>0168300008819000037</t>
  </si>
  <si>
    <t>7801023965</t>
  </si>
  <si>
    <t>0372100007219000001</t>
  </si>
  <si>
    <t>0163200000319000442</t>
  </si>
  <si>
    <t>1651028752</t>
  </si>
  <si>
    <t>BP00246573</t>
  </si>
  <si>
    <t>0126600001619000001</t>
  </si>
  <si>
    <t>0718200000419000013</t>
  </si>
  <si>
    <t>2310138274</t>
  </si>
  <si>
    <t>2308095104</t>
  </si>
  <si>
    <t>0163200000319000447</t>
  </si>
  <si>
    <t>7733271117</t>
  </si>
  <si>
    <t>6451126335</t>
  </si>
  <si>
    <t>31907529711</t>
  </si>
  <si>
    <t>7312002380</t>
  </si>
  <si>
    <t>0168300008819000036</t>
  </si>
  <si>
    <t>0356100002719000008</t>
  </si>
  <si>
    <t>7817026680</t>
  </si>
  <si>
    <t>0372200198719000001</t>
  </si>
  <si>
    <t>7816155403</t>
  </si>
  <si>
    <t>7806113556</t>
  </si>
  <si>
    <t>7312002101</t>
  </si>
  <si>
    <t>0168300008819000035</t>
  </si>
  <si>
    <t>2019-671973</t>
  </si>
  <si>
    <t>2123012970</t>
  </si>
  <si>
    <t>0315200026119000017</t>
  </si>
  <si>
    <t>Канаш</t>
  </si>
  <si>
    <t>2128049035</t>
  </si>
  <si>
    <t>0312100008519000004</t>
  </si>
  <si>
    <t>2309102153</t>
  </si>
  <si>
    <t>0318200060019000031</t>
  </si>
  <si>
    <t>0163200000319000448</t>
  </si>
  <si>
    <t>0163200000319000443</t>
  </si>
  <si>
    <t>5262034782</t>
  </si>
  <si>
    <t>0832200006619000025</t>
  </si>
  <si>
    <t>5261042004</t>
  </si>
  <si>
    <t>2466134028</t>
  </si>
  <si>
    <t>0119200000119000473</t>
  </si>
  <si>
    <t>7715583561</t>
  </si>
  <si>
    <t>0163200000319000446</t>
  </si>
  <si>
    <t>0163200000319000440</t>
  </si>
  <si>
    <t>0163200000319000444</t>
  </si>
  <si>
    <t>7724354906</t>
  </si>
  <si>
    <t>0167300024519000005</t>
  </si>
  <si>
    <t>5018139517</t>
  </si>
  <si>
    <t>31907532145</t>
  </si>
  <si>
    <t>5033008220</t>
  </si>
  <si>
    <t>601767</t>
  </si>
  <si>
    <t>31907531866</t>
  </si>
  <si>
    <t>601698</t>
  </si>
  <si>
    <t>601696</t>
  </si>
  <si>
    <t>7811411780</t>
  </si>
  <si>
    <t>1187495</t>
  </si>
  <si>
    <t>5007048949</t>
  </si>
  <si>
    <t>601609</t>
  </si>
  <si>
    <t>31907531096</t>
  </si>
  <si>
    <t>3904047304</t>
  </si>
  <si>
    <t>293970</t>
  </si>
  <si>
    <t>5029155246</t>
  </si>
  <si>
    <t>601626</t>
  </si>
  <si>
    <t>ATOM14021900214</t>
  </si>
  <si>
    <t>5003026310</t>
  </si>
  <si>
    <t>601573</t>
  </si>
  <si>
    <t>5024068857</t>
  </si>
  <si>
    <t>601526</t>
  </si>
  <si>
    <t>6140011853</t>
  </si>
  <si>
    <t>635790</t>
  </si>
  <si>
    <t>1653018661</t>
  </si>
  <si>
    <t>295160</t>
  </si>
  <si>
    <t>5018082998</t>
  </si>
  <si>
    <t>601511</t>
  </si>
  <si>
    <t>5032047240</t>
  </si>
  <si>
    <t>601508</t>
  </si>
  <si>
    <t>2127308978</t>
  </si>
  <si>
    <t>635851</t>
  </si>
  <si>
    <t>7812003110</t>
  </si>
  <si>
    <t>31907530225</t>
  </si>
  <si>
    <t>7804512756</t>
  </si>
  <si>
    <t>3528220401</t>
  </si>
  <si>
    <t>5007010127</t>
  </si>
  <si>
    <t>601403</t>
  </si>
  <si>
    <t>2127318052</t>
  </si>
  <si>
    <t>635514</t>
  </si>
  <si>
    <t>5033008325</t>
  </si>
  <si>
    <t>601411</t>
  </si>
  <si>
    <t>5007010014</t>
  </si>
  <si>
    <t>601426</t>
  </si>
  <si>
    <t>601316</t>
  </si>
  <si>
    <t>5029100310</t>
  </si>
  <si>
    <t>601374</t>
  </si>
  <si>
    <t>5009074140</t>
  </si>
  <si>
    <t>601335</t>
  </si>
  <si>
    <t>4105003359</t>
  </si>
  <si>
    <t>31907526841</t>
  </si>
  <si>
    <t>601236</t>
  </si>
  <si>
    <t>6142013020</t>
  </si>
  <si>
    <t>635057</t>
  </si>
  <si>
    <t>31907528697</t>
  </si>
  <si>
    <t>5078003630</t>
  </si>
  <si>
    <t>601112</t>
  </si>
  <si>
    <t>601113</t>
  </si>
  <si>
    <t>5506028842</t>
  </si>
  <si>
    <t>634100</t>
  </si>
  <si>
    <t>1660076640</t>
  </si>
  <si>
    <t>31907527293</t>
  </si>
  <si>
    <t>[ОКПД2 26.30] Оборудование коммуникационное, [ОКВЭД2 72.1+] Научные исследования и разработки в области естественных и технических наук</t>
  </si>
  <si>
    <t>5502041874</t>
  </si>
  <si>
    <t>633714</t>
  </si>
  <si>
    <t>0901038151</t>
  </si>
  <si>
    <t>0179200001919000053</t>
  </si>
  <si>
    <t>0917015897</t>
  </si>
  <si>
    <t>0134100014519000026</t>
  </si>
  <si>
    <t>2224022205</t>
  </si>
  <si>
    <t>0817200000319000327</t>
  </si>
  <si>
    <t>2221061414</t>
  </si>
  <si>
    <t>7303009823</t>
  </si>
  <si>
    <t>0368100010119000001</t>
  </si>
  <si>
    <t>2020003331</t>
  </si>
  <si>
    <t>0194200000519000260</t>
  </si>
  <si>
    <t>0373100047019000001</t>
  </si>
  <si>
    <t>7325000479</t>
  </si>
  <si>
    <t>0268100000119000008</t>
  </si>
  <si>
    <t>7325128302</t>
  </si>
  <si>
    <t>7325048167</t>
  </si>
  <si>
    <t>1326175826</t>
  </si>
  <si>
    <t>0373100047019000008</t>
  </si>
  <si>
    <t>0331100001019000014</t>
  </si>
  <si>
    <t>0373100047019000005</t>
  </si>
  <si>
    <t>0848300066119000036</t>
  </si>
  <si>
    <t>7743598785</t>
  </si>
  <si>
    <t>7713768447</t>
  </si>
  <si>
    <t>9701059930</t>
  </si>
  <si>
    <t>0373500001319000008</t>
  </si>
  <si>
    <t>0373100047019000004</t>
  </si>
  <si>
    <t>0134100014519000028</t>
  </si>
  <si>
    <t>0349100003519000006</t>
  </si>
  <si>
    <t>0134100014519000027</t>
  </si>
  <si>
    <t>0119100015519000005</t>
  </si>
  <si>
    <t>2905012380</t>
  </si>
  <si>
    <t>0124300012819000016</t>
  </si>
  <si>
    <t>2904012243</t>
  </si>
  <si>
    <t>0124300012819000017</t>
  </si>
  <si>
    <t>2129009518</t>
  </si>
  <si>
    <t>0315200006119000016</t>
  </si>
  <si>
    <t>526111648806</t>
  </si>
  <si>
    <t>2130071285</t>
  </si>
  <si>
    <t>2127313086</t>
  </si>
  <si>
    <t>211401655907</t>
  </si>
  <si>
    <t>0387200030019000013</t>
  </si>
  <si>
    <t>0373100047019000003</t>
  </si>
  <si>
    <t>0373100047019000002</t>
  </si>
  <si>
    <t>6102008578</t>
  </si>
  <si>
    <t>0358300081819000004</t>
  </si>
  <si>
    <t>2019-671010</t>
  </si>
  <si>
    <t>7812009592</t>
  </si>
  <si>
    <t>0344400000219000005</t>
  </si>
  <si>
    <t>0349100003519000007</t>
  </si>
  <si>
    <t>0373100047019000006</t>
  </si>
  <si>
    <t>0127200000219000172</t>
  </si>
  <si>
    <t>0130300006919000036</t>
  </si>
  <si>
    <t>RT14021900002</t>
  </si>
  <si>
    <t>5007062100</t>
  </si>
  <si>
    <t>600870</t>
  </si>
  <si>
    <t>3123029220</t>
  </si>
  <si>
    <t>633357</t>
  </si>
  <si>
    <t>7710898590</t>
  </si>
  <si>
    <t>31907526171</t>
  </si>
  <si>
    <t>2722060228</t>
  </si>
  <si>
    <t>4909075988</t>
  </si>
  <si>
    <t>272103731246</t>
  </si>
  <si>
    <t>600821</t>
  </si>
  <si>
    <t>6147008842</t>
  </si>
  <si>
    <t>633278</t>
  </si>
  <si>
    <t>5009036410</t>
  </si>
  <si>
    <t>600807</t>
  </si>
  <si>
    <t>4909088095</t>
  </si>
  <si>
    <t>31907521901</t>
  </si>
  <si>
    <t>6509007296</t>
  </si>
  <si>
    <t>31907522234</t>
  </si>
  <si>
    <t>31907525567</t>
  </si>
  <si>
    <t>7734736566</t>
  </si>
  <si>
    <t>5032249279</t>
  </si>
  <si>
    <t>5036160046</t>
  </si>
  <si>
    <t>6154074451</t>
  </si>
  <si>
    <t>633169</t>
  </si>
  <si>
    <t>5029100046</t>
  </si>
  <si>
    <t>600684</t>
  </si>
  <si>
    <t>1186230</t>
  </si>
  <si>
    <t>5260429200</t>
  </si>
  <si>
    <t>31907525331</t>
  </si>
  <si>
    <t>600666</t>
  </si>
  <si>
    <t>SBR016-1902130005</t>
  </si>
  <si>
    <t>ATOM13021900200</t>
  </si>
  <si>
    <t>600548</t>
  </si>
  <si>
    <t>632674</t>
  </si>
  <si>
    <t>6141005122</t>
  </si>
  <si>
    <t>632827</t>
  </si>
  <si>
    <t>Батайск</t>
  </si>
  <si>
    <t>600534</t>
  </si>
  <si>
    <t>5001023271</t>
  </si>
  <si>
    <t>600556</t>
  </si>
  <si>
    <t>5008029280</t>
  </si>
  <si>
    <t>600624</t>
  </si>
  <si>
    <t>7732538030</t>
  </si>
  <si>
    <t>31907524386</t>
  </si>
  <si>
    <t>5075009708</t>
  </si>
  <si>
    <t>600492</t>
  </si>
  <si>
    <t>600480</t>
  </si>
  <si>
    <t>5075009698</t>
  </si>
  <si>
    <t>600442</t>
  </si>
  <si>
    <t>ATOM13021900157</t>
  </si>
  <si>
    <t>ATOM13021900132</t>
  </si>
  <si>
    <t>1186150</t>
  </si>
  <si>
    <t>5007034801</t>
  </si>
  <si>
    <t>600297</t>
  </si>
  <si>
    <t>5071001384</t>
  </si>
  <si>
    <t>600189</t>
  </si>
  <si>
    <t>4823038078</t>
  </si>
  <si>
    <t>31907522356</t>
  </si>
  <si>
    <t>5071003906</t>
  </si>
  <si>
    <t>600183</t>
  </si>
  <si>
    <t>600186</t>
  </si>
  <si>
    <t>5027208220</t>
  </si>
  <si>
    <t>600028</t>
  </si>
  <si>
    <t>600019</t>
  </si>
  <si>
    <t>5072713200</t>
  </si>
  <si>
    <t>599988</t>
  </si>
  <si>
    <t>0361200015019000318</t>
  </si>
  <si>
    <t>0124100003219000022</t>
  </si>
  <si>
    <t>0124100003219000023</t>
  </si>
  <si>
    <t>0318200072019000006</t>
  </si>
  <si>
    <t>6604003608</t>
  </si>
  <si>
    <t>0162300002719000088</t>
  </si>
  <si>
    <t>6658503011</t>
  </si>
  <si>
    <t>6501154644</t>
  </si>
  <si>
    <t>0161100000519000020</t>
  </si>
  <si>
    <t>0710057876</t>
  </si>
  <si>
    <t>0304300010619000002</t>
  </si>
  <si>
    <t>Эльбрусский район</t>
  </si>
  <si>
    <t>0323062082</t>
  </si>
  <si>
    <t>0102200001619000258</t>
  </si>
  <si>
    <t>0326005950</t>
  </si>
  <si>
    <t>0326555537</t>
  </si>
  <si>
    <t>0323338189</t>
  </si>
  <si>
    <t>0326003825</t>
  </si>
  <si>
    <t>7707639796</t>
  </si>
  <si>
    <t>0373200008519000011</t>
  </si>
  <si>
    <t>0274159995</t>
  </si>
  <si>
    <t>0801200000419000015</t>
  </si>
  <si>
    <t>0274166223</t>
  </si>
  <si>
    <t>0273901822</t>
  </si>
  <si>
    <t>027300190799</t>
  </si>
  <si>
    <t>7704308242</t>
  </si>
  <si>
    <t>0274914824</t>
  </si>
  <si>
    <t>0245957943</t>
  </si>
  <si>
    <t>024301508052</t>
  </si>
  <si>
    <t>0278182748</t>
  </si>
  <si>
    <t>7813045441</t>
  </si>
  <si>
    <t>0372100030619000015</t>
  </si>
  <si>
    <t>0161000000219000042</t>
  </si>
  <si>
    <t>4205077178</t>
  </si>
  <si>
    <t>0339100013719000009</t>
  </si>
  <si>
    <t>0131100009219000001</t>
  </si>
  <si>
    <t>3664062899</t>
  </si>
  <si>
    <t>3666123410</t>
  </si>
  <si>
    <t>4348033147</t>
  </si>
  <si>
    <t>0140100010019000004</t>
  </si>
  <si>
    <t>3015010180</t>
  </si>
  <si>
    <t>0825200002319000001</t>
  </si>
  <si>
    <t>3016063932</t>
  </si>
  <si>
    <t>3016044129</t>
  </si>
  <si>
    <t>2019-670628</t>
  </si>
  <si>
    <t>1651063323</t>
  </si>
  <si>
    <t>0111300005119000021</t>
  </si>
  <si>
    <t>6017004163</t>
  </si>
  <si>
    <t>0157300002719000007</t>
  </si>
  <si>
    <t>Порховский район</t>
  </si>
  <si>
    <t>6027097858</t>
  </si>
  <si>
    <t>5430100422</t>
  </si>
  <si>
    <t>0351300161519000009</t>
  </si>
  <si>
    <t>6501247218</t>
  </si>
  <si>
    <t>0361200015019000336</t>
  </si>
  <si>
    <t>6501261741</t>
  </si>
  <si>
    <t>6501097410</t>
  </si>
  <si>
    <t>6501119209</t>
  </si>
  <si>
    <t>0103100007319000036</t>
  </si>
  <si>
    <t>0572006458</t>
  </si>
  <si>
    <t>0140100010019000005</t>
  </si>
  <si>
    <t>0140100010019000003</t>
  </si>
  <si>
    <t>6730011743</t>
  </si>
  <si>
    <t>0363200018819000002</t>
  </si>
  <si>
    <t>0361200015019000340</t>
  </si>
  <si>
    <t>Долинск</t>
  </si>
  <si>
    <t>0111100008619000015</t>
  </si>
  <si>
    <t>Высокогорский район</t>
  </si>
  <si>
    <t>0339100013719000008</t>
  </si>
  <si>
    <t>6439078445</t>
  </si>
  <si>
    <t>31907521200</t>
  </si>
  <si>
    <t>31907521198</t>
  </si>
  <si>
    <t>6142017096</t>
  </si>
  <si>
    <t>630530</t>
  </si>
  <si>
    <t>5050034251</t>
  </si>
  <si>
    <t>599694</t>
  </si>
  <si>
    <t>630222</t>
  </si>
  <si>
    <t>31907520211</t>
  </si>
  <si>
    <t>[ОКПД2 33.14] Услуги по ремонту электрического оборудования, [ОКВЭД2 33.1+] Ремонт и монтаж металлических изделий, машин и оборудования</t>
  </si>
  <si>
    <t>5078009939</t>
  </si>
  <si>
    <t>599793</t>
  </si>
  <si>
    <t>24998</t>
  </si>
  <si>
    <t>3921996</t>
  </si>
  <si>
    <t>599616</t>
  </si>
  <si>
    <t>31907517280</t>
  </si>
  <si>
    <t>2323026641</t>
  </si>
  <si>
    <t>ГП914270</t>
  </si>
  <si>
    <t>5246037433</t>
  </si>
  <si>
    <t>31907519015</t>
  </si>
  <si>
    <t>[ОКПД2 74.90] Услуги профессиональные, научные и технические, прочие, не включенные в другие группировки, [ОКВЭД2 95.1+] Ремонт компьютеров и коммуникационного оборудования</t>
  </si>
  <si>
    <t>31907519110</t>
  </si>
  <si>
    <t>РН926511</t>
  </si>
  <si>
    <t>[ОКПД2 26.51] Оборудование для измерения, испытаний и навигации, [ОКВЭД2 26.5+] Производство контрольно-измерительных и навигационных приборов и аппаратов; производство часов</t>
  </si>
  <si>
    <t>6136008544</t>
  </si>
  <si>
    <t>629404</t>
  </si>
  <si>
    <t>Целинский район</t>
  </si>
  <si>
    <t>599551</t>
  </si>
  <si>
    <t>1184943</t>
  </si>
  <si>
    <t>599419</t>
  </si>
  <si>
    <t>2522894</t>
  </si>
  <si>
    <t>31907517827</t>
  </si>
  <si>
    <t>31907517231</t>
  </si>
  <si>
    <t>ATOM12021900078</t>
  </si>
  <si>
    <t>6149006953</t>
  </si>
  <si>
    <t>628349</t>
  </si>
  <si>
    <t>Миллеровский район</t>
  </si>
  <si>
    <t>5507041437</t>
  </si>
  <si>
    <t>628283</t>
  </si>
  <si>
    <t>7445016512</t>
  </si>
  <si>
    <t>628117</t>
  </si>
  <si>
    <t>7017001950</t>
  </si>
  <si>
    <t>628173</t>
  </si>
  <si>
    <t>5078009400</t>
  </si>
  <si>
    <t>599150</t>
  </si>
  <si>
    <t>4710005628</t>
  </si>
  <si>
    <t>31907516599</t>
  </si>
  <si>
    <t>4710030060</t>
  </si>
  <si>
    <t>3525030610</t>
  </si>
  <si>
    <t>0330200013219000007</t>
  </si>
  <si>
    <t>5703002917</t>
  </si>
  <si>
    <t>0354300009019000010</t>
  </si>
  <si>
    <t>Мценск</t>
  </si>
  <si>
    <t>5717001945</t>
  </si>
  <si>
    <t>5032004222</t>
  </si>
  <si>
    <t>0848300045419000108</t>
  </si>
  <si>
    <t>5032289881</t>
  </si>
  <si>
    <t>7730225930</t>
  </si>
  <si>
    <t>7802010020</t>
  </si>
  <si>
    <t>0372100041319000006</t>
  </si>
  <si>
    <t>6434007909</t>
  </si>
  <si>
    <t>0860200000819000617</t>
  </si>
  <si>
    <t>6434012730</t>
  </si>
  <si>
    <t>5003057325</t>
  </si>
  <si>
    <t>0148300014519000003</t>
  </si>
  <si>
    <t>7721797730</t>
  </si>
  <si>
    <t>5075027471</t>
  </si>
  <si>
    <t>7604303339</t>
  </si>
  <si>
    <t>7708329275</t>
  </si>
  <si>
    <t>673004150469</t>
  </si>
  <si>
    <t>BP00245056</t>
  </si>
  <si>
    <t>0339100011319000001</t>
  </si>
  <si>
    <t>4205351744</t>
  </si>
  <si>
    <t>4205287425</t>
  </si>
  <si>
    <t>7402003149</t>
  </si>
  <si>
    <t>0169300027119000041</t>
  </si>
  <si>
    <t>0115100001219000001</t>
  </si>
  <si>
    <t>7725806898</t>
  </si>
  <si>
    <t>6603007857</t>
  </si>
  <si>
    <t>0362300318719000003</t>
  </si>
  <si>
    <t>4401172893</t>
  </si>
  <si>
    <t>0241100003419000007</t>
  </si>
  <si>
    <t>3702057966</t>
  </si>
  <si>
    <t>4401165896</t>
  </si>
  <si>
    <t>4443000984</t>
  </si>
  <si>
    <t>0330200013219000004</t>
  </si>
  <si>
    <t>4826004782</t>
  </si>
  <si>
    <t>0246100000419000008</t>
  </si>
  <si>
    <t>4825042908</t>
  </si>
  <si>
    <t>4826053807</t>
  </si>
  <si>
    <t>BP00245048</t>
  </si>
  <si>
    <t>3666052487</t>
  </si>
  <si>
    <t>0331200034019000002</t>
  </si>
  <si>
    <t>2703024200</t>
  </si>
  <si>
    <t>0322100003319000005</t>
  </si>
  <si>
    <t>6148002917</t>
  </si>
  <si>
    <t>0358200001119000028</t>
  </si>
  <si>
    <t>6125031157</t>
  </si>
  <si>
    <t>6452006471</t>
  </si>
  <si>
    <t>0360100030519000007</t>
  </si>
  <si>
    <t>6451009511</t>
  </si>
  <si>
    <t>6452106885</t>
  </si>
  <si>
    <t>6451014800</t>
  </si>
  <si>
    <t>6450066242</t>
  </si>
  <si>
    <t>0330200013219000006</t>
  </si>
  <si>
    <t>5503085553</t>
  </si>
  <si>
    <t>0152100002419000005</t>
  </si>
  <si>
    <t>5505201526</t>
  </si>
  <si>
    <t>5504211137</t>
  </si>
  <si>
    <t>0550600002219000003</t>
  </si>
  <si>
    <t>0133200005919000006</t>
  </si>
  <si>
    <t>3704007826</t>
  </si>
  <si>
    <t>3702745881</t>
  </si>
  <si>
    <t>3728002464</t>
  </si>
  <si>
    <t>2368003891</t>
  </si>
  <si>
    <t>0118300010519000010</t>
  </si>
  <si>
    <t>Белореченский район</t>
  </si>
  <si>
    <t>0330200013219000005</t>
  </si>
  <si>
    <t>3414500050</t>
  </si>
  <si>
    <t>0329300029319000003</t>
  </si>
  <si>
    <t>Котовский район</t>
  </si>
  <si>
    <t>1101501478</t>
  </si>
  <si>
    <t>0307500000519000002</t>
  </si>
  <si>
    <t>1109000392</t>
  </si>
  <si>
    <t>0330200013219000002</t>
  </si>
  <si>
    <t>7714372367</t>
  </si>
  <si>
    <t>0373100135919000005</t>
  </si>
  <si>
    <t>772153893133</t>
  </si>
  <si>
    <t>0330200013219000008</t>
  </si>
  <si>
    <t>0330200013219000003</t>
  </si>
  <si>
    <t>7712031202</t>
  </si>
  <si>
    <t>0373200554519000006</t>
  </si>
  <si>
    <t>4816012463</t>
  </si>
  <si>
    <t>0846200001019000004</t>
  </si>
  <si>
    <t>5260160502</t>
  </si>
  <si>
    <t>7722386613</t>
  </si>
  <si>
    <t>1657140408</t>
  </si>
  <si>
    <t>525208250358</t>
  </si>
  <si>
    <t>3666106020</t>
  </si>
  <si>
    <t>561012760930</t>
  </si>
  <si>
    <t>3604015132</t>
  </si>
  <si>
    <t>0131100005619000011</t>
  </si>
  <si>
    <t>0373200025619000010</t>
  </si>
  <si>
    <t>6623036366</t>
  </si>
  <si>
    <t>0162300000819000012</t>
  </si>
  <si>
    <t>2624028360</t>
  </si>
  <si>
    <t>0121300031719000002</t>
  </si>
  <si>
    <t>5007029093</t>
  </si>
  <si>
    <t>599096</t>
  </si>
  <si>
    <t>0316100004319000013</t>
  </si>
  <si>
    <t>5615010933</t>
  </si>
  <si>
    <t>31907515668</t>
  </si>
  <si>
    <t>599062</t>
  </si>
  <si>
    <t>31907515519</t>
  </si>
  <si>
    <t>5044042889</t>
  </si>
  <si>
    <t>598919</t>
  </si>
  <si>
    <t>5003118779</t>
  </si>
  <si>
    <t>598993</t>
  </si>
  <si>
    <t>6166034100</t>
  </si>
  <si>
    <t>627083</t>
  </si>
  <si>
    <t>598835</t>
  </si>
  <si>
    <t>627172</t>
  </si>
  <si>
    <t>31907511624</t>
  </si>
  <si>
    <t>7901538742</t>
  </si>
  <si>
    <t>31907514986</t>
  </si>
  <si>
    <t>6166018660</t>
  </si>
  <si>
    <t>627087</t>
  </si>
  <si>
    <t>6149002839</t>
  </si>
  <si>
    <t>626831</t>
  </si>
  <si>
    <t>6149006914</t>
  </si>
  <si>
    <t>626992</t>
  </si>
  <si>
    <t>6149002660</t>
  </si>
  <si>
    <t>626933</t>
  </si>
  <si>
    <t>6149002941</t>
  </si>
  <si>
    <t>626945</t>
  </si>
  <si>
    <t>6149007026</t>
  </si>
  <si>
    <t>626826</t>
  </si>
  <si>
    <t>31907511250</t>
  </si>
  <si>
    <t>6149003173</t>
  </si>
  <si>
    <t>626837</t>
  </si>
  <si>
    <t>5017047976</t>
  </si>
  <si>
    <t>598709</t>
  </si>
  <si>
    <t>6149002772</t>
  </si>
  <si>
    <t>626820</t>
  </si>
  <si>
    <t>6149002652</t>
  </si>
  <si>
    <t>626969</t>
  </si>
  <si>
    <t>6149004018</t>
  </si>
  <si>
    <t>626908</t>
  </si>
  <si>
    <t>6149002677</t>
  </si>
  <si>
    <t>626817</t>
  </si>
  <si>
    <t>6149002821</t>
  </si>
  <si>
    <t>626894</t>
  </si>
  <si>
    <t>6149002638</t>
  </si>
  <si>
    <t>626957</t>
  </si>
  <si>
    <t>6149002645</t>
  </si>
  <si>
    <t>626910</t>
  </si>
  <si>
    <t>6149002934</t>
  </si>
  <si>
    <t>626851</t>
  </si>
  <si>
    <t>2129035363</t>
  </si>
  <si>
    <t>626906</t>
  </si>
  <si>
    <t>6149003102</t>
  </si>
  <si>
    <t>626924</t>
  </si>
  <si>
    <t>31907513360</t>
  </si>
  <si>
    <t>[ОКПД2 74.20] Услуги в области фотографии, [ОКВЭД2 74.2+] Деятельность в области фотографии</t>
  </si>
  <si>
    <t>6149006992</t>
  </si>
  <si>
    <t>626882</t>
  </si>
  <si>
    <t>6149006960</t>
  </si>
  <si>
    <t>626862</t>
  </si>
  <si>
    <t>6149003053</t>
  </si>
  <si>
    <t>626943</t>
  </si>
  <si>
    <t>6149006985</t>
  </si>
  <si>
    <t>626784</t>
  </si>
  <si>
    <t>6149002620</t>
  </si>
  <si>
    <t>626873</t>
  </si>
  <si>
    <t>6149004353</t>
  </si>
  <si>
    <t>626732</t>
  </si>
  <si>
    <t>6132012290</t>
  </si>
  <si>
    <t>626759</t>
  </si>
  <si>
    <t>6149006939</t>
  </si>
  <si>
    <t>626709</t>
  </si>
  <si>
    <t>5003021745</t>
  </si>
  <si>
    <t>598632</t>
  </si>
  <si>
    <t>626775</t>
  </si>
  <si>
    <t>5026008130</t>
  </si>
  <si>
    <t>598700</t>
  </si>
  <si>
    <t>2311044607</t>
  </si>
  <si>
    <t>31907513641</t>
  </si>
  <si>
    <t>2310163739</t>
  </si>
  <si>
    <t>4909058735</t>
  </si>
  <si>
    <t>31907510930</t>
  </si>
  <si>
    <t>3115004085</t>
  </si>
  <si>
    <t>626470</t>
  </si>
  <si>
    <t>6149002910</t>
  </si>
  <si>
    <t>626769</t>
  </si>
  <si>
    <t>3115003980</t>
  </si>
  <si>
    <t>626449</t>
  </si>
  <si>
    <t>598585</t>
  </si>
  <si>
    <t>5022064416</t>
  </si>
  <si>
    <t>598548</t>
  </si>
  <si>
    <t>2320242443</t>
  </si>
  <si>
    <t>31907513565</t>
  </si>
  <si>
    <t>5038005670</t>
  </si>
  <si>
    <t>598477</t>
  </si>
  <si>
    <t>7704228075</t>
  </si>
  <si>
    <t>1183970</t>
  </si>
  <si>
    <t>5020004845</t>
  </si>
  <si>
    <t>598542</t>
  </si>
  <si>
    <t>ATOM11021900121</t>
  </si>
  <si>
    <t>598494</t>
  </si>
  <si>
    <t>[ОКПД2 26.40] Техника бытовая электронная, [ОКПД2 43.29] Работы строительно-монтажные прочие, [ОКПД2 27.11] Электродвигатели, генераторы и трансформаторы, [ОКПД2 27.32] Провода и кабели электронные и электрические прочие, [ОКПД2 26.30] Оборудование коммуникационное</t>
  </si>
  <si>
    <t>598511</t>
  </si>
  <si>
    <t>598528</t>
  </si>
  <si>
    <t>5047160827</t>
  </si>
  <si>
    <t>598295</t>
  </si>
  <si>
    <t>2129036350</t>
  </si>
  <si>
    <t>625864</t>
  </si>
  <si>
    <t>5017048391</t>
  </si>
  <si>
    <t>598354</t>
  </si>
  <si>
    <t>31907512659</t>
  </si>
  <si>
    <t>598173</t>
  </si>
  <si>
    <t>3705008</t>
  </si>
  <si>
    <t>31907511841</t>
  </si>
  <si>
    <t>5050038827</t>
  </si>
  <si>
    <t>598152</t>
  </si>
  <si>
    <t>5075009627</t>
  </si>
  <si>
    <t>598219</t>
  </si>
  <si>
    <t>598118</t>
  </si>
  <si>
    <t>598062</t>
  </si>
  <si>
    <t>625075</t>
  </si>
  <si>
    <t>5506028546</t>
  </si>
  <si>
    <t>625092</t>
  </si>
  <si>
    <t>5073005200</t>
  </si>
  <si>
    <t>598034</t>
  </si>
  <si>
    <t>5501041670</t>
  </si>
  <si>
    <t>624809</t>
  </si>
  <si>
    <t>7312002158</t>
  </si>
  <si>
    <t>0168300008819000032</t>
  </si>
  <si>
    <t>6730061462</t>
  </si>
  <si>
    <t>0163100002919000003</t>
  </si>
  <si>
    <t>0148300014619000011</t>
  </si>
  <si>
    <t>0303200001919000009</t>
  </si>
  <si>
    <t>Каспийск</t>
  </si>
  <si>
    <t>5440102612</t>
  </si>
  <si>
    <t>0351300126619000006</t>
  </si>
  <si>
    <t>5260041417</t>
  </si>
  <si>
    <t>0332200034719000003</t>
  </si>
  <si>
    <t>7312002937</t>
  </si>
  <si>
    <t>0168300008819000026</t>
  </si>
  <si>
    <t>0325300001819000003</t>
  </si>
  <si>
    <t>3025029046</t>
  </si>
  <si>
    <t>301508152349</t>
  </si>
  <si>
    <t>0348100090619000007</t>
  </si>
  <si>
    <t>7312002292</t>
  </si>
  <si>
    <t>0168300008819000033</t>
  </si>
  <si>
    <t>2713012203</t>
  </si>
  <si>
    <t>0122200002519000418</t>
  </si>
  <si>
    <t>0174100000319000001</t>
  </si>
  <si>
    <t>7724232168</t>
  </si>
  <si>
    <t>0361200015019000268</t>
  </si>
  <si>
    <t>0162300033219000012</t>
  </si>
  <si>
    <t>6634007818</t>
  </si>
  <si>
    <t>Тавдинский район</t>
  </si>
  <si>
    <t>6634007871</t>
  </si>
  <si>
    <t>6634007504</t>
  </si>
  <si>
    <t>6634007631</t>
  </si>
  <si>
    <t>6634007487</t>
  </si>
  <si>
    <t>6634008868</t>
  </si>
  <si>
    <t>6634007261</t>
  </si>
  <si>
    <t>6634007832</t>
  </si>
  <si>
    <t>6634008642</t>
  </si>
  <si>
    <t>6634007575</t>
  </si>
  <si>
    <t>6677003127</t>
  </si>
  <si>
    <t>6660043019</t>
  </si>
  <si>
    <t>6672223030</t>
  </si>
  <si>
    <t>6671081030</t>
  </si>
  <si>
    <t>1326211305</t>
  </si>
  <si>
    <t>0109100002019000015</t>
  </si>
  <si>
    <t>4818000199</t>
  </si>
  <si>
    <t>0346200004319000010</t>
  </si>
  <si>
    <t>4823016300</t>
  </si>
  <si>
    <t>5917100911</t>
  </si>
  <si>
    <t>0156100011719000003</t>
  </si>
  <si>
    <t>Кунгур</t>
  </si>
  <si>
    <t>5917003611</t>
  </si>
  <si>
    <t>0348100090619000008</t>
  </si>
  <si>
    <t>4027023394</t>
  </si>
  <si>
    <t>0337100012019000003</t>
  </si>
  <si>
    <t>7329011577</t>
  </si>
  <si>
    <t>0168300008819000029</t>
  </si>
  <si>
    <t>0320300091119000001</t>
  </si>
  <si>
    <t>2538149435</t>
  </si>
  <si>
    <t>7817027475</t>
  </si>
  <si>
    <t>0372200032619000001</t>
  </si>
  <si>
    <t>BP00244524</t>
  </si>
  <si>
    <t>7312002133</t>
  </si>
  <si>
    <t>0168300008819000027</t>
  </si>
  <si>
    <t>0331200026519000002</t>
  </si>
  <si>
    <t>7123007866</t>
  </si>
  <si>
    <t>0366200019119000010</t>
  </si>
  <si>
    <t>Веневский район</t>
  </si>
  <si>
    <t>710506390142</t>
  </si>
  <si>
    <t>7106526036</t>
  </si>
  <si>
    <t>710508749243</t>
  </si>
  <si>
    <t>8602061830</t>
  </si>
  <si>
    <t>0187300006519000006</t>
  </si>
  <si>
    <t>8602141099</t>
  </si>
  <si>
    <t>263508313267</t>
  </si>
  <si>
    <t>7312002207</t>
  </si>
  <si>
    <t>0168300008819000028</t>
  </si>
  <si>
    <t>7312002430</t>
  </si>
  <si>
    <t>0168300008819000031</t>
  </si>
  <si>
    <t>8703009026</t>
  </si>
  <si>
    <t>0188300001719000013</t>
  </si>
  <si>
    <t>7412002546</t>
  </si>
  <si>
    <t>0169300051319000043</t>
  </si>
  <si>
    <t>7412012128</t>
  </si>
  <si>
    <t>2019-669094</t>
  </si>
  <si>
    <t>0348100090619000006</t>
  </si>
  <si>
    <t>7312002581</t>
  </si>
  <si>
    <t>0168300008819000030</t>
  </si>
  <si>
    <t>0538300000219000017</t>
  </si>
  <si>
    <t>[ОКПД2 23.61] Изделия из бетона, используемые в строительстве</t>
  </si>
  <si>
    <t>2540166734</t>
  </si>
  <si>
    <t>3528271580</t>
  </si>
  <si>
    <t>0332300038119000006</t>
  </si>
  <si>
    <t>5257082780</t>
  </si>
  <si>
    <t>5259081119</t>
  </si>
  <si>
    <t>5262259401</t>
  </si>
  <si>
    <t>5263126757</t>
  </si>
  <si>
    <t>5261063170</t>
  </si>
  <si>
    <t>5259116001</t>
  </si>
  <si>
    <t>0332300038119000007</t>
  </si>
  <si>
    <t>7710125381</t>
  </si>
  <si>
    <t>0373100109219000001</t>
  </si>
  <si>
    <t>5007028597</t>
  </si>
  <si>
    <t>597847</t>
  </si>
  <si>
    <t>5029100215</t>
  </si>
  <si>
    <t>597833</t>
  </si>
  <si>
    <t>2461022881</t>
  </si>
  <si>
    <t>31907508399</t>
  </si>
  <si>
    <t>[ОКПД2 82.11] Услуги в области административного обслуживания комплексные, [ОКВЭД2 82.11] Деятельность административно-хозяйственная комплексная по обеспечению работы организации</t>
  </si>
  <si>
    <t>6168047440</t>
  </si>
  <si>
    <t>31907510072</t>
  </si>
  <si>
    <t>7802030919</t>
  </si>
  <si>
    <t>3811022096</t>
  </si>
  <si>
    <t>31907507324</t>
  </si>
  <si>
    <t>3808107039</t>
  </si>
  <si>
    <t>7704670879</t>
  </si>
  <si>
    <t>1183103</t>
  </si>
  <si>
    <t>7720571804</t>
  </si>
  <si>
    <t>31907509827</t>
  </si>
  <si>
    <t>31907508458</t>
  </si>
  <si>
    <t>624187</t>
  </si>
  <si>
    <t>5009081099</t>
  </si>
  <si>
    <t>597730</t>
  </si>
  <si>
    <t>5008047923</t>
  </si>
  <si>
    <t>597638</t>
  </si>
  <si>
    <t>31907508975</t>
  </si>
  <si>
    <t>31907509104</t>
  </si>
  <si>
    <t>3666162345</t>
  </si>
  <si>
    <t>5042136965</t>
  </si>
  <si>
    <t>597678</t>
  </si>
  <si>
    <t>5029072470</t>
  </si>
  <si>
    <t>597664</t>
  </si>
  <si>
    <t>1182956</t>
  </si>
  <si>
    <t>6402003852</t>
  </si>
  <si>
    <t>0360100035519000023</t>
  </si>
  <si>
    <t>Красноармейский район</t>
  </si>
  <si>
    <t>9102067970</t>
  </si>
  <si>
    <t>623385</t>
  </si>
  <si>
    <t>0360100035519000024</t>
  </si>
  <si>
    <t>Аркадакский район</t>
  </si>
  <si>
    <t>ATOM08021900144</t>
  </si>
  <si>
    <t>623381</t>
  </si>
  <si>
    <t>31907507276</t>
  </si>
  <si>
    <t>230801724345</t>
  </si>
  <si>
    <t>232804637447</t>
  </si>
  <si>
    <t>5003021625</t>
  </si>
  <si>
    <t>597467</t>
  </si>
  <si>
    <t>5035026249</t>
  </si>
  <si>
    <t>597486</t>
  </si>
  <si>
    <t>597469</t>
  </si>
  <si>
    <t>31907505153</t>
  </si>
  <si>
    <t>2543036613</t>
  </si>
  <si>
    <t>5047086605</t>
  </si>
  <si>
    <t>597376</t>
  </si>
  <si>
    <t>6166040859</t>
  </si>
  <si>
    <t>622680</t>
  </si>
  <si>
    <t>4632219475</t>
  </si>
  <si>
    <t>31907506619</t>
  </si>
  <si>
    <t>463207173477</t>
  </si>
  <si>
    <t>2452034898</t>
  </si>
  <si>
    <t>31907505249</t>
  </si>
  <si>
    <t>5003119518</t>
  </si>
  <si>
    <t>597291</t>
  </si>
  <si>
    <t>5030031911</t>
  </si>
  <si>
    <t>597270</t>
  </si>
  <si>
    <t>2128033420</t>
  </si>
  <si>
    <t>622338</t>
  </si>
  <si>
    <t>7706660065</t>
  </si>
  <si>
    <t>31907505549</t>
  </si>
  <si>
    <t>8603167149</t>
  </si>
  <si>
    <t>7707274249</t>
  </si>
  <si>
    <t>31907505001</t>
  </si>
  <si>
    <t>6163056346</t>
  </si>
  <si>
    <t>0158200000419000007</t>
  </si>
  <si>
    <t>7329020116</t>
  </si>
  <si>
    <t>0168300008819000023</t>
  </si>
  <si>
    <t>0373200173319000002</t>
  </si>
  <si>
    <t>7718110404</t>
  </si>
  <si>
    <t>351200798117</t>
  </si>
  <si>
    <t>4909048800</t>
  </si>
  <si>
    <t>0347100000619000013</t>
  </si>
  <si>
    <t>4900003192</t>
  </si>
  <si>
    <t>7312002599</t>
  </si>
  <si>
    <t>0168300008819000024</t>
  </si>
  <si>
    <t>0139100006819000002</t>
  </si>
  <si>
    <t>2536024977</t>
  </si>
  <si>
    <t>0320200017419000016</t>
  </si>
  <si>
    <t>2540094247</t>
  </si>
  <si>
    <t>2536077658</t>
  </si>
  <si>
    <t>1655182480</t>
  </si>
  <si>
    <t>31907504364</t>
  </si>
  <si>
    <t>1655026805</t>
  </si>
  <si>
    <t>0149100002519000004</t>
  </si>
  <si>
    <t>2720015420</t>
  </si>
  <si>
    <t>0822600006719000041</t>
  </si>
  <si>
    <t>Хабаровский район</t>
  </si>
  <si>
    <t>0316200023919000004</t>
  </si>
  <si>
    <t>2019-667949</t>
  </si>
  <si>
    <t>1648002835</t>
  </si>
  <si>
    <t>0311100012419000019</t>
  </si>
  <si>
    <t>165906976144</t>
  </si>
  <si>
    <t>1660186650</t>
  </si>
  <si>
    <t>1200001701</t>
  </si>
  <si>
    <t>0108100004219000022</t>
  </si>
  <si>
    <t>3814008935</t>
  </si>
  <si>
    <t>0134100011019000009</t>
  </si>
  <si>
    <t>Саянск</t>
  </si>
  <si>
    <t>3652013777</t>
  </si>
  <si>
    <t>0131100016219000025</t>
  </si>
  <si>
    <t>0387200026819000002</t>
  </si>
  <si>
    <t>7329000790</t>
  </si>
  <si>
    <t>0168300008819000025</t>
  </si>
  <si>
    <t>7312002052</t>
  </si>
  <si>
    <t>0168300008819000022</t>
  </si>
  <si>
    <t>0131100016219000027</t>
  </si>
  <si>
    <t>7810215166</t>
  </si>
  <si>
    <t>0372200256419000001</t>
  </si>
  <si>
    <t>7805576110</t>
  </si>
  <si>
    <t>0169100000819000002</t>
  </si>
  <si>
    <t>7734097831</t>
  </si>
  <si>
    <t>0373100096519000114</t>
  </si>
  <si>
    <t>[ОКПД2 33.11] Услуги по ремонту металлоизделий</t>
  </si>
  <si>
    <t>5243013593</t>
  </si>
  <si>
    <t>0332300294019000006</t>
  </si>
  <si>
    <t>5243016308</t>
  </si>
  <si>
    <t>0318100019519000002</t>
  </si>
  <si>
    <t>0373200589319000008</t>
  </si>
  <si>
    <t>7743655112</t>
  </si>
  <si>
    <t>7806459018</t>
  </si>
  <si>
    <t>5505011483</t>
  </si>
  <si>
    <t>0352200011819000018</t>
  </si>
  <si>
    <t>5505214638</t>
  </si>
  <si>
    <t>5503175849</t>
  </si>
  <si>
    <t>5507239243</t>
  </si>
  <si>
    <t>5504228571</t>
  </si>
  <si>
    <t>5506069937</t>
  </si>
  <si>
    <t>5501174455</t>
  </si>
  <si>
    <t>5501241278</t>
  </si>
  <si>
    <t>5504118410</t>
  </si>
  <si>
    <t>BP00244222</t>
  </si>
  <si>
    <t>0131100016219000028</t>
  </si>
  <si>
    <t>5025014460</t>
  </si>
  <si>
    <t>597148</t>
  </si>
  <si>
    <t>5053003967</t>
  </si>
  <si>
    <t>597112</t>
  </si>
  <si>
    <t>84634</t>
  </si>
  <si>
    <t>5018098324</t>
  </si>
  <si>
    <t>597079</t>
  </si>
  <si>
    <t>5029100254</t>
  </si>
  <si>
    <t>597064</t>
  </si>
  <si>
    <t>5038053804</t>
  </si>
  <si>
    <t>597040</t>
  </si>
  <si>
    <t>6660124780</t>
  </si>
  <si>
    <t>31907502846</t>
  </si>
  <si>
    <t>5008029378</t>
  </si>
  <si>
    <t>596973</t>
  </si>
  <si>
    <t>3128004420</t>
  </si>
  <si>
    <t>31907503476</t>
  </si>
  <si>
    <t>3664104404</t>
  </si>
  <si>
    <t>3128046861</t>
  </si>
  <si>
    <t>3435111400</t>
  </si>
  <si>
    <t>100090694219000002</t>
  </si>
  <si>
    <t>5003042255</t>
  </si>
  <si>
    <t>596923</t>
  </si>
  <si>
    <t>2129034190</t>
  </si>
  <si>
    <t>621281</t>
  </si>
  <si>
    <t>5026007803</t>
  </si>
  <si>
    <t>596824</t>
  </si>
  <si>
    <t>6115902334</t>
  </si>
  <si>
    <t>620696</t>
  </si>
  <si>
    <t>5422100860</t>
  </si>
  <si>
    <t>31907501504</t>
  </si>
  <si>
    <t>5422111082</t>
  </si>
  <si>
    <t>5003041413</t>
  </si>
  <si>
    <t>596845</t>
  </si>
  <si>
    <t>31907502966</t>
  </si>
  <si>
    <t>5505012857</t>
  </si>
  <si>
    <t>620700</t>
  </si>
  <si>
    <t>2454001175</t>
  </si>
  <si>
    <t>31907500820</t>
  </si>
  <si>
    <t>7743281114</t>
  </si>
  <si>
    <t>620634</t>
  </si>
  <si>
    <t>31907502482</t>
  </si>
  <si>
    <t>596781</t>
  </si>
  <si>
    <t>4222010511</t>
  </si>
  <si>
    <t>31907500405</t>
  </si>
  <si>
    <t>5077011212</t>
  </si>
  <si>
    <t>596659</t>
  </si>
  <si>
    <t>8709007931</t>
  </si>
  <si>
    <t>31907499684</t>
  </si>
  <si>
    <t>2521107</t>
  </si>
  <si>
    <t>619766</t>
  </si>
  <si>
    <t>5075011908</t>
  </si>
  <si>
    <t>596574</t>
  </si>
  <si>
    <t>619809</t>
  </si>
  <si>
    <t>0352100005019000011</t>
  </si>
  <si>
    <t>0352100005019000012</t>
  </si>
  <si>
    <t>31907499859</t>
  </si>
  <si>
    <t>7017116398</t>
  </si>
  <si>
    <t>5503043850</t>
  </si>
  <si>
    <t>619562</t>
  </si>
  <si>
    <t>2317044843</t>
  </si>
  <si>
    <t>31907500175</t>
  </si>
  <si>
    <t>[ОКПД2 74.90] Услуги профессиональные, научные и технические, прочие, не включенные в другие группировки, [ОКВЭД2 80.2+] Деятельность систем обеспечения безопасности</t>
  </si>
  <si>
    <t>7709025230</t>
  </si>
  <si>
    <t>31907500144</t>
  </si>
  <si>
    <t>[ОКПД2 27.33] Изделия электроустановочные, [ОКВЭД2 27.33] Производство электроустановочных изделий</t>
  </si>
  <si>
    <t>7718258707</t>
  </si>
  <si>
    <t>31907500341</t>
  </si>
  <si>
    <t>[ОКПД2 26.30] Оборудование коммуникационное, [ОКВЭД2 80+] Деятельность по обеспечению безопасности и проведению расследований</t>
  </si>
  <si>
    <t>5050031476</t>
  </si>
  <si>
    <t>596388</t>
  </si>
  <si>
    <t>0172100008419000010</t>
  </si>
  <si>
    <t>1651027928</t>
  </si>
  <si>
    <t>BP00243746</t>
  </si>
  <si>
    <t>6901067121</t>
  </si>
  <si>
    <t>0136100006619000009</t>
  </si>
  <si>
    <t>359115</t>
  </si>
  <si>
    <t>0133100006919000005</t>
  </si>
  <si>
    <t>1101482017</t>
  </si>
  <si>
    <t>0107100006119000030</t>
  </si>
  <si>
    <t>0331100001019000005</t>
  </si>
  <si>
    <t>3662115552</t>
  </si>
  <si>
    <t>2020002747</t>
  </si>
  <si>
    <t>0394100009119000003</t>
  </si>
  <si>
    <t>0162300005319000176</t>
  </si>
  <si>
    <t>7612001765</t>
  </si>
  <si>
    <t>0371100006019000003</t>
  </si>
  <si>
    <t>Угличский район</t>
  </si>
  <si>
    <t>7612038910</t>
  </si>
  <si>
    <t>7612030639</t>
  </si>
  <si>
    <t>7612037063</t>
  </si>
  <si>
    <t>0347100012419000001</t>
  </si>
  <si>
    <t>BP00243451</t>
  </si>
  <si>
    <t>3443902067</t>
  </si>
  <si>
    <t>0329100018419000016</t>
  </si>
  <si>
    <t>0323055222</t>
  </si>
  <si>
    <t>0102200001919000005</t>
  </si>
  <si>
    <t>5426100035</t>
  </si>
  <si>
    <t>0351300040019000022</t>
  </si>
  <si>
    <t>BP00244176</t>
  </si>
  <si>
    <t>6362004720</t>
  </si>
  <si>
    <t>0342100031619000031</t>
  </si>
  <si>
    <t>Безенчукский район</t>
  </si>
  <si>
    <t>BP00243642</t>
  </si>
  <si>
    <t>6377010765</t>
  </si>
  <si>
    <t>0142200001319000480</t>
  </si>
  <si>
    <t>6316240296</t>
  </si>
  <si>
    <t>6319697316</t>
  </si>
  <si>
    <t>6318244088</t>
  </si>
  <si>
    <t>636100002914</t>
  </si>
  <si>
    <t>6366006037</t>
  </si>
  <si>
    <t>4407005842</t>
  </si>
  <si>
    <t>0141100005219000019</t>
  </si>
  <si>
    <t>4407013191</t>
  </si>
  <si>
    <t>5228057010</t>
  </si>
  <si>
    <t>0901032590</t>
  </si>
  <si>
    <t>0179200001919000009</t>
  </si>
  <si>
    <t>0917025020</t>
  </si>
  <si>
    <t>1651028287</t>
  </si>
  <si>
    <t>BP00243670</t>
  </si>
  <si>
    <t>BP00243452</t>
  </si>
  <si>
    <t>0562066962</t>
  </si>
  <si>
    <t>0303200024019000004</t>
  </si>
  <si>
    <t>0545011427</t>
  </si>
  <si>
    <t>0103300002719000007</t>
  </si>
  <si>
    <t>0562050930</t>
  </si>
  <si>
    <t>208/ЭТП/2019/КБ</t>
  </si>
  <si>
    <t>1402008820</t>
  </si>
  <si>
    <t>0316200005019000005</t>
  </si>
  <si>
    <t>5033008170</t>
  </si>
  <si>
    <t>596335</t>
  </si>
  <si>
    <t>5003086982</t>
  </si>
  <si>
    <t>31907499493</t>
  </si>
  <si>
    <t>7701996738</t>
  </si>
  <si>
    <t>31907499506</t>
  </si>
  <si>
    <t>5029100222</t>
  </si>
  <si>
    <t>596281</t>
  </si>
  <si>
    <t>596249</t>
  </si>
  <si>
    <t>2128024030</t>
  </si>
  <si>
    <t>618520</t>
  </si>
  <si>
    <t>596112</t>
  </si>
  <si>
    <t>618267</t>
  </si>
  <si>
    <t>5017073944</t>
  </si>
  <si>
    <t>596172</t>
  </si>
  <si>
    <t>293888</t>
  </si>
  <si>
    <t>5044051139</t>
  </si>
  <si>
    <t>596081</t>
  </si>
  <si>
    <t>0274011237</t>
  </si>
  <si>
    <t>31907497094</t>
  </si>
  <si>
    <t>4101134417</t>
  </si>
  <si>
    <t>COM07021900001</t>
  </si>
  <si>
    <t>5507040730</t>
  </si>
  <si>
    <t>617976</t>
  </si>
  <si>
    <t>100037330219000007</t>
  </si>
  <si>
    <t>5017049050</t>
  </si>
  <si>
    <t>595888</t>
  </si>
  <si>
    <t>31907496444</t>
  </si>
  <si>
    <t>5042068803</t>
  </si>
  <si>
    <t>595825</t>
  </si>
  <si>
    <t>595815</t>
  </si>
  <si>
    <t>1178739</t>
  </si>
  <si>
    <t>100037330219000003</t>
  </si>
  <si>
    <t>595740</t>
  </si>
  <si>
    <t>5003021713</t>
  </si>
  <si>
    <t>595733</t>
  </si>
  <si>
    <t>6150928857</t>
  </si>
  <si>
    <t>617017</t>
  </si>
  <si>
    <t>2632015661</t>
  </si>
  <si>
    <t>31907496219</t>
  </si>
  <si>
    <t>595705</t>
  </si>
  <si>
    <t>5503032921</t>
  </si>
  <si>
    <t>617113</t>
  </si>
  <si>
    <t>5050044450</t>
  </si>
  <si>
    <t>595532</t>
  </si>
  <si>
    <t>3105003830</t>
  </si>
  <si>
    <t>1180666</t>
  </si>
  <si>
    <t>[ОКПД2 29.3+] Части и принадлежности для автотранспортных средств</t>
  </si>
  <si>
    <t>6142017681</t>
  </si>
  <si>
    <t>616622</t>
  </si>
  <si>
    <t>616642</t>
  </si>
  <si>
    <t>616312</t>
  </si>
  <si>
    <t>5504052060</t>
  </si>
  <si>
    <t>615931</t>
  </si>
  <si>
    <t>616002</t>
  </si>
  <si>
    <t>5507041733</t>
  </si>
  <si>
    <t>615761</t>
  </si>
  <si>
    <t>0131100016219000021</t>
  </si>
  <si>
    <t>2019-667240</t>
  </si>
  <si>
    <t>0243400000219000022</t>
  </si>
  <si>
    <t>0373200141919000001</t>
  </si>
  <si>
    <t>0714007393</t>
  </si>
  <si>
    <t>0304200005519000002</t>
  </si>
  <si>
    <t>0319200061119000005</t>
  </si>
  <si>
    <t>2461018910</t>
  </si>
  <si>
    <t>0173100013819000002</t>
  </si>
  <si>
    <t>7720510463</t>
  </si>
  <si>
    <t>7716523780</t>
  </si>
  <si>
    <t>BP00243278</t>
  </si>
  <si>
    <t>7734598490</t>
  </si>
  <si>
    <t>190206/0514/006</t>
  </si>
  <si>
    <t>2357003709</t>
  </si>
  <si>
    <t>0318300553719000010</t>
  </si>
  <si>
    <t>0162100022319000002</t>
  </si>
  <si>
    <t>4027020160</t>
  </si>
  <si>
    <t>0137100002619000028</t>
  </si>
  <si>
    <t>2019-667136</t>
  </si>
  <si>
    <t>6234131264</t>
  </si>
  <si>
    <t>0859200001119000186</t>
  </si>
  <si>
    <t>6234057300</t>
  </si>
  <si>
    <t>6229056847</t>
  </si>
  <si>
    <t>501402651110</t>
  </si>
  <si>
    <t>0162100022319000001</t>
  </si>
  <si>
    <t>3664062627</t>
  </si>
  <si>
    <t>0331200007319000022</t>
  </si>
  <si>
    <t>2311141907</t>
  </si>
  <si>
    <t>3623002080</t>
  </si>
  <si>
    <t>0331300038619000009</t>
  </si>
  <si>
    <t>Поворинский район</t>
  </si>
  <si>
    <t>2507011300</t>
  </si>
  <si>
    <t>0120300008819000010</t>
  </si>
  <si>
    <t>BP00243435</t>
  </si>
  <si>
    <t>0131100016219000020</t>
  </si>
  <si>
    <t>3627020957</t>
  </si>
  <si>
    <t>0131100010019000004</t>
  </si>
  <si>
    <t>Подгоренский район</t>
  </si>
  <si>
    <t>0123100003119000005</t>
  </si>
  <si>
    <t>Архаринский район</t>
  </si>
  <si>
    <t>9103065768</t>
  </si>
  <si>
    <t>0375200054419000005</t>
  </si>
  <si>
    <t>2312194958</t>
  </si>
  <si>
    <t>5904100784</t>
  </si>
  <si>
    <t>0356100011719000003</t>
  </si>
  <si>
    <t>2628050110</t>
  </si>
  <si>
    <t>0321100025219000007</t>
  </si>
  <si>
    <t>262803668730</t>
  </si>
  <si>
    <t>0131100010019000006</t>
  </si>
  <si>
    <t>Кантемировский район</t>
  </si>
  <si>
    <t>0118300007319000008</t>
  </si>
  <si>
    <t>0134400000619000011</t>
  </si>
  <si>
    <t>1651028390</t>
  </si>
  <si>
    <t>BP00243469</t>
  </si>
  <si>
    <t>COM06021900039</t>
  </si>
  <si>
    <t>0131100016219000018</t>
  </si>
  <si>
    <t>0279111450</t>
  </si>
  <si>
    <t>0301100055419000005</t>
  </si>
  <si>
    <t>Межгорье</t>
  </si>
  <si>
    <t>0131100010019000002</t>
  </si>
  <si>
    <t>1073</t>
  </si>
  <si>
    <t>0131100016219000017</t>
  </si>
  <si>
    <t>2337029219</t>
  </si>
  <si>
    <t>0318300049919000002</t>
  </si>
  <si>
    <t>31907493718</t>
  </si>
  <si>
    <t>2128020710</t>
  </si>
  <si>
    <t>615466</t>
  </si>
  <si>
    <t>6142017191</t>
  </si>
  <si>
    <t>615394</t>
  </si>
  <si>
    <t>5008052828</t>
  </si>
  <si>
    <t>595156</t>
  </si>
  <si>
    <t>5504035629</t>
  </si>
  <si>
    <t>614876</t>
  </si>
  <si>
    <t>5023006865</t>
  </si>
  <si>
    <t>31907492508</t>
  </si>
  <si>
    <t>5262035514</t>
  </si>
  <si>
    <t>84180</t>
  </si>
  <si>
    <t>5507036469</t>
  </si>
  <si>
    <t>614692</t>
  </si>
  <si>
    <t>8622007951</t>
  </si>
  <si>
    <t>614816</t>
  </si>
  <si>
    <t>5001023056</t>
  </si>
  <si>
    <t>595072</t>
  </si>
  <si>
    <t>6142015860</t>
  </si>
  <si>
    <t>614501</t>
  </si>
  <si>
    <t>0602013600</t>
  </si>
  <si>
    <t>0114200000119000009</t>
  </si>
  <si>
    <t>31907491849</t>
  </si>
  <si>
    <t>31907491922</t>
  </si>
  <si>
    <t>594830</t>
  </si>
  <si>
    <t>5009035060</t>
  </si>
  <si>
    <t>594889</t>
  </si>
  <si>
    <t>613975</t>
  </si>
  <si>
    <t>5008029353</t>
  </si>
  <si>
    <t>594874</t>
  </si>
  <si>
    <t>5047188389</t>
  </si>
  <si>
    <t>594721</t>
  </si>
  <si>
    <t>1179736</t>
  </si>
  <si>
    <t>5008048290</t>
  </si>
  <si>
    <t>594786</t>
  </si>
  <si>
    <t>6165076387</t>
  </si>
  <si>
    <t>613472</t>
  </si>
  <si>
    <t>1179751</t>
  </si>
  <si>
    <t>2128019665</t>
  </si>
  <si>
    <t>613700</t>
  </si>
  <si>
    <t>2807008763</t>
  </si>
  <si>
    <t>31907490068</t>
  </si>
  <si>
    <t>5033008371</t>
  </si>
  <si>
    <t>594639</t>
  </si>
  <si>
    <t>5003021826</t>
  </si>
  <si>
    <t>594675</t>
  </si>
  <si>
    <t>8604050721</t>
  </si>
  <si>
    <t>613006</t>
  </si>
  <si>
    <t>0268100000119000003</t>
  </si>
  <si>
    <t>7328031588</t>
  </si>
  <si>
    <t>7326025934</t>
  </si>
  <si>
    <t>8001009770</t>
  </si>
  <si>
    <t>0191100004419000018</t>
  </si>
  <si>
    <t>Акшинский район</t>
  </si>
  <si>
    <t>0561058366</t>
  </si>
  <si>
    <t>0303200053619000002</t>
  </si>
  <si>
    <t>2225068499</t>
  </si>
  <si>
    <t>0117200001319000007</t>
  </si>
  <si>
    <t>6150010979</t>
  </si>
  <si>
    <t>0358200006719000005</t>
  </si>
  <si>
    <t>0307100022419000015</t>
  </si>
  <si>
    <t>7727270299</t>
  </si>
  <si>
    <t>0348100056619000010</t>
  </si>
  <si>
    <t>5902290650</t>
  </si>
  <si>
    <t>0156100006919000010</t>
  </si>
  <si>
    <t>5904127578</t>
  </si>
  <si>
    <t>5903007020</t>
  </si>
  <si>
    <t>5933010895</t>
  </si>
  <si>
    <t>590308861839</t>
  </si>
  <si>
    <t>594203926099</t>
  </si>
  <si>
    <t>5903011059</t>
  </si>
  <si>
    <t>590201161922</t>
  </si>
  <si>
    <t>0352100005019000013</t>
  </si>
  <si>
    <t>5505031627</t>
  </si>
  <si>
    <t>0188200000319000008</t>
  </si>
  <si>
    <t>0338100009219000001</t>
  </si>
  <si>
    <t>0322100001919000012</t>
  </si>
  <si>
    <t>7713201030</t>
  </si>
  <si>
    <t>1215153591</t>
  </si>
  <si>
    <t>0108100006319000002</t>
  </si>
  <si>
    <t>2539051947</t>
  </si>
  <si>
    <t>0220100003819000002</t>
  </si>
  <si>
    <t>2539103296</t>
  </si>
  <si>
    <t>0303200053619000001</t>
  </si>
  <si>
    <t>0188200000319000009</t>
  </si>
  <si>
    <t>BP00241854</t>
  </si>
  <si>
    <t>5256038115</t>
  </si>
  <si>
    <t>0332300014319000001</t>
  </si>
  <si>
    <t>2019-666285</t>
  </si>
  <si>
    <t>2019-666573</t>
  </si>
  <si>
    <t>0114200000119000029</t>
  </si>
  <si>
    <t>0238100000119000004</t>
  </si>
  <si>
    <t>1651035005</t>
  </si>
  <si>
    <t>BP00242357</t>
  </si>
  <si>
    <t>7005000688</t>
  </si>
  <si>
    <t>0365300032119000003</t>
  </si>
  <si>
    <t>Зырянский район</t>
  </si>
  <si>
    <t>2504001670</t>
  </si>
  <si>
    <t>0320300090619000006</t>
  </si>
  <si>
    <t>0345200005119000006</t>
  </si>
  <si>
    <t>4239002269</t>
  </si>
  <si>
    <t>0139300020919000010</t>
  </si>
  <si>
    <t>[ОКПД2 26.30] Оборудование коммуникационное, [ОКПД2 27.32] Провода и кабели электронные и электрические прочие, [ОКПД2 25.72] Замки и петли, [ОКПД2 26.40] Техника бытовая электронная, [ОКПД2 27.90] Оборудование электрическое прочее</t>
  </si>
  <si>
    <t>5402540213</t>
  </si>
  <si>
    <t>422318873893</t>
  </si>
  <si>
    <t>0307100022419000014</t>
  </si>
  <si>
    <t>0330100010519000011</t>
  </si>
  <si>
    <t>3711025287</t>
  </si>
  <si>
    <t>6147013225</t>
  </si>
  <si>
    <t>0358100018919000005</t>
  </si>
  <si>
    <t>6147022847</t>
  </si>
  <si>
    <t>3018310295</t>
  </si>
  <si>
    <t>1435029737</t>
  </si>
  <si>
    <t>0116100003919000016</t>
  </si>
  <si>
    <t>5445118574</t>
  </si>
  <si>
    <t>0351100009719000002</t>
  </si>
  <si>
    <t>0131100010019000001</t>
  </si>
  <si>
    <t>5001106672</t>
  </si>
  <si>
    <t>0848300064119000011</t>
  </si>
  <si>
    <t>5001050927</t>
  </si>
  <si>
    <t>5012072168</t>
  </si>
  <si>
    <t>7723820061</t>
  </si>
  <si>
    <t>0317100017719000004</t>
  </si>
  <si>
    <t>2224155727</t>
  </si>
  <si>
    <t>2225150104</t>
  </si>
  <si>
    <t>0351100009719000001</t>
  </si>
  <si>
    <t>594580</t>
  </si>
  <si>
    <t>594583</t>
  </si>
  <si>
    <t>31907489884</t>
  </si>
  <si>
    <t>6950198695</t>
  </si>
  <si>
    <t>5017048000</t>
  </si>
  <si>
    <t>594503</t>
  </si>
  <si>
    <t>31907488505</t>
  </si>
  <si>
    <t>293261</t>
  </si>
  <si>
    <t>612556</t>
  </si>
  <si>
    <t>594337</t>
  </si>
  <si>
    <t>7720522853</t>
  </si>
  <si>
    <t>31907489387</t>
  </si>
  <si>
    <t>612224</t>
  </si>
  <si>
    <t>31907487189</t>
  </si>
  <si>
    <t>5014007870</t>
  </si>
  <si>
    <t>594371</t>
  </si>
  <si>
    <t>5033008212</t>
  </si>
  <si>
    <t>594399</t>
  </si>
  <si>
    <t>[ОКПД2 26.11] Компоненты электронные, [ОКПД2 26.40] Техника бытовая электронная, [ОКПД2 33.13] Услуги по ремонту электронного и оптического оборудования</t>
  </si>
  <si>
    <t>5003116348</t>
  </si>
  <si>
    <t>31907489102</t>
  </si>
  <si>
    <t>500345807462</t>
  </si>
  <si>
    <t>6154035501</t>
  </si>
  <si>
    <t>611957</t>
  </si>
  <si>
    <t>6167020541</t>
  </si>
  <si>
    <t>612062</t>
  </si>
  <si>
    <t>7722016820</t>
  </si>
  <si>
    <t>31907488543</t>
  </si>
  <si>
    <t>611922</t>
  </si>
  <si>
    <t>5003021858</t>
  </si>
  <si>
    <t>594207</t>
  </si>
  <si>
    <t>611810</t>
  </si>
  <si>
    <t>7802312751</t>
  </si>
  <si>
    <t>31907488067</t>
  </si>
  <si>
    <t>7802534070</t>
  </si>
  <si>
    <t>5044018981</t>
  </si>
  <si>
    <t>594182</t>
  </si>
  <si>
    <t>31907485969</t>
  </si>
  <si>
    <t>1179010</t>
  </si>
  <si>
    <t>ATOM04021900110</t>
  </si>
  <si>
    <t>2634014783</t>
  </si>
  <si>
    <t>31907487913</t>
  </si>
  <si>
    <t>2635107695</t>
  </si>
  <si>
    <t>5010010409</t>
  </si>
  <si>
    <t>594067</t>
  </si>
  <si>
    <t>1178858</t>
  </si>
  <si>
    <t>5502039829</t>
  </si>
  <si>
    <t>611233</t>
  </si>
  <si>
    <t>2129034659</t>
  </si>
  <si>
    <t>611410</t>
  </si>
  <si>
    <t>ATOM04021900088</t>
  </si>
  <si>
    <t>5504035594</t>
  </si>
  <si>
    <t>611048</t>
  </si>
  <si>
    <t>9102068237</t>
  </si>
  <si>
    <t>611161</t>
  </si>
  <si>
    <t>5407193789</t>
  </si>
  <si>
    <t>31907485776</t>
  </si>
  <si>
    <t>5009069736</t>
  </si>
  <si>
    <t>593781</t>
  </si>
  <si>
    <t>5050057428</t>
  </si>
  <si>
    <t>593845</t>
  </si>
  <si>
    <t>5009035399</t>
  </si>
  <si>
    <t>593838</t>
  </si>
  <si>
    <t>31907485519</t>
  </si>
  <si>
    <t>[ОКПД2 74+] Услуги профессиональные, научные и технические, прочие, [ОКВЭД2 74.90] Деятельность профессиональная, научная и техническая прочая, не включенная в другие группировки</t>
  </si>
  <si>
    <t>593798</t>
  </si>
  <si>
    <t>31907485821</t>
  </si>
  <si>
    <t>2519550</t>
  </si>
  <si>
    <t>ATOM04021900011</t>
  </si>
  <si>
    <t>1178495</t>
  </si>
  <si>
    <t>0301100055419000006</t>
  </si>
  <si>
    <t>4210002040</t>
  </si>
  <si>
    <t>0339100014519000006</t>
  </si>
  <si>
    <t>0340100005319000001</t>
  </si>
  <si>
    <t>Куменский район</t>
  </si>
  <si>
    <t>0131100016219000009</t>
  </si>
  <si>
    <t>Лискинский район</t>
  </si>
  <si>
    <t>2019-665815</t>
  </si>
  <si>
    <t>2019-665819</t>
  </si>
  <si>
    <t>0131100016219000007</t>
  </si>
  <si>
    <t>0144100006019000003</t>
  </si>
  <si>
    <t>4824032488</t>
  </si>
  <si>
    <t>0146100006419000004</t>
  </si>
  <si>
    <t>4826126131</t>
  </si>
  <si>
    <t>4826029586</t>
  </si>
  <si>
    <t>1643002863</t>
  </si>
  <si>
    <t>0311300052319000009</t>
  </si>
  <si>
    <t>Азнакаево</t>
  </si>
  <si>
    <t>3509001027</t>
  </si>
  <si>
    <t>0330100006219000004</t>
  </si>
  <si>
    <t>6606003882</t>
  </si>
  <si>
    <t>0162300005819000003</t>
  </si>
  <si>
    <t>6660126280</t>
  </si>
  <si>
    <t>3443900038</t>
  </si>
  <si>
    <t>0329200051419000002</t>
  </si>
  <si>
    <t>7329000014</t>
  </si>
  <si>
    <t>0168100003719000008</t>
  </si>
  <si>
    <t>4101097050</t>
  </si>
  <si>
    <t>0138100003919000003</t>
  </si>
  <si>
    <t>0373100103819000004</t>
  </si>
  <si>
    <t>0330100010519000008</t>
  </si>
  <si>
    <t>7737053261</t>
  </si>
  <si>
    <t>1835064045</t>
  </si>
  <si>
    <t>0313100008419000007</t>
  </si>
  <si>
    <t>1841027468</t>
  </si>
  <si>
    <t>BP00241658</t>
  </si>
  <si>
    <t>7804085825</t>
  </si>
  <si>
    <t>0372200128319000003</t>
  </si>
  <si>
    <t>7735566324</t>
  </si>
  <si>
    <t>0373200012319000020</t>
  </si>
  <si>
    <t>773570457101</t>
  </si>
  <si>
    <t>773572929663</t>
  </si>
  <si>
    <t>7727337874</t>
  </si>
  <si>
    <t>BP00241421</t>
  </si>
  <si>
    <t>6148007697</t>
  </si>
  <si>
    <t>0358200001219000003</t>
  </si>
  <si>
    <t>6148655850</t>
  </si>
  <si>
    <t>0330100006219000005</t>
  </si>
  <si>
    <t>6312023163</t>
  </si>
  <si>
    <t>0342100008919000007</t>
  </si>
  <si>
    <t>6367002405</t>
  </si>
  <si>
    <t>0133100000919000002</t>
  </si>
  <si>
    <t>3705062925</t>
  </si>
  <si>
    <t>0120100007619000006</t>
  </si>
  <si>
    <t>2537100660</t>
  </si>
  <si>
    <t>0358200001219000001</t>
  </si>
  <si>
    <t>6148001656</t>
  </si>
  <si>
    <t>615518910000</t>
  </si>
  <si>
    <t>0301100003519000011</t>
  </si>
  <si>
    <t>BP00241654</t>
  </si>
  <si>
    <t>0339100014519000005</t>
  </si>
  <si>
    <t>0326473725</t>
  </si>
  <si>
    <t>0302200012819000005</t>
  </si>
  <si>
    <t>Прибайкальский район</t>
  </si>
  <si>
    <t>BP00241545</t>
  </si>
  <si>
    <t>0301100012819000008</t>
  </si>
  <si>
    <t>6510003271</t>
  </si>
  <si>
    <t>0161300000119000041</t>
  </si>
  <si>
    <t>6501221932</t>
  </si>
  <si>
    <t>6501177948</t>
  </si>
  <si>
    <t>7727780275</t>
  </si>
  <si>
    <t>0173100015919000001</t>
  </si>
  <si>
    <t>5012081966</t>
  </si>
  <si>
    <t>7710066922</t>
  </si>
  <si>
    <t>5047209825</t>
  </si>
  <si>
    <t>0387200005419000012</t>
  </si>
  <si>
    <t>8602262978</t>
  </si>
  <si>
    <t>8602189693</t>
  </si>
  <si>
    <t>862202166958</t>
  </si>
  <si>
    <t>8603230841</t>
  </si>
  <si>
    <t>0302200012819000006</t>
  </si>
  <si>
    <t>Селенгинский район</t>
  </si>
  <si>
    <t>3730011995</t>
  </si>
  <si>
    <t>0133200001719000031</t>
  </si>
  <si>
    <t>3711033440</t>
  </si>
  <si>
    <t>0330100010519000009</t>
  </si>
  <si>
    <t>3527014396</t>
  </si>
  <si>
    <t>0109100002019000011</t>
  </si>
  <si>
    <t>0144100006019000006</t>
  </si>
  <si>
    <t>0373100103819000001</t>
  </si>
  <si>
    <t>1627001100</t>
  </si>
  <si>
    <t>0311100018619000002</t>
  </si>
  <si>
    <t>Менделеевский район</t>
  </si>
  <si>
    <t>1628003823</t>
  </si>
  <si>
    <t>0330100010519000010</t>
  </si>
  <si>
    <t>BP00241445</t>
  </si>
  <si>
    <t>0220100003819000001</t>
  </si>
  <si>
    <t>5042057015</t>
  </si>
  <si>
    <t>593658</t>
  </si>
  <si>
    <t>5037002204</t>
  </si>
  <si>
    <t>593644</t>
  </si>
  <si>
    <t>5009035769</t>
  </si>
  <si>
    <t>593627</t>
  </si>
  <si>
    <t>5528017499</t>
  </si>
  <si>
    <t>609871</t>
  </si>
  <si>
    <t>5044062010</t>
  </si>
  <si>
    <t>593594</t>
  </si>
  <si>
    <t>593573</t>
  </si>
  <si>
    <t>5008044143</t>
  </si>
  <si>
    <t>593546</t>
  </si>
  <si>
    <t>5012009670</t>
  </si>
  <si>
    <t>31907485228</t>
  </si>
  <si>
    <t>3918002818</t>
  </si>
  <si>
    <t>0335100009619000018</t>
  </si>
  <si>
    <t>3906136535</t>
  </si>
  <si>
    <t>3918026456</t>
  </si>
  <si>
    <t>3906165367</t>
  </si>
  <si>
    <t>3907205037</t>
  </si>
  <si>
    <t>3905084130</t>
  </si>
  <si>
    <t>5027036620</t>
  </si>
  <si>
    <t>593508</t>
  </si>
  <si>
    <t>593436</t>
  </si>
  <si>
    <t>7704016401</t>
  </si>
  <si>
    <t>31907484857</t>
  </si>
  <si>
    <t>7714200826</t>
  </si>
  <si>
    <t>31907484836</t>
  </si>
  <si>
    <t>6142016977</t>
  </si>
  <si>
    <t>609331</t>
  </si>
  <si>
    <t>31907484495</t>
  </si>
  <si>
    <t>31907483654</t>
  </si>
  <si>
    <t>5047047236</t>
  </si>
  <si>
    <t>593377</t>
  </si>
  <si>
    <t>5009036160</t>
  </si>
  <si>
    <t>593411</t>
  </si>
  <si>
    <t>31907483468</t>
  </si>
  <si>
    <t>5031028478</t>
  </si>
  <si>
    <t>593313</t>
  </si>
  <si>
    <t>5005028979</t>
  </si>
  <si>
    <t>593339</t>
  </si>
  <si>
    <t>5436109774</t>
  </si>
  <si>
    <t>31907481750</t>
  </si>
  <si>
    <t>1178028</t>
  </si>
  <si>
    <t>5009034885</t>
  </si>
  <si>
    <t>593201</t>
  </si>
  <si>
    <t>5027124210</t>
  </si>
  <si>
    <t>593175</t>
  </si>
  <si>
    <t>6143052625</t>
  </si>
  <si>
    <t>608853</t>
  </si>
  <si>
    <t>ATOM01021900138</t>
  </si>
  <si>
    <t>1177931</t>
  </si>
  <si>
    <t>5007031543</t>
  </si>
  <si>
    <t>593114</t>
  </si>
  <si>
    <t>593113</t>
  </si>
  <si>
    <t>31907482538</t>
  </si>
  <si>
    <t>31907482359</t>
  </si>
  <si>
    <t>ATOM01021900115</t>
  </si>
  <si>
    <t>593096</t>
  </si>
  <si>
    <t>6154151554</t>
  </si>
  <si>
    <t>608294</t>
  </si>
  <si>
    <t>5026008109</t>
  </si>
  <si>
    <t>593027</t>
  </si>
  <si>
    <t>ATOM01021900088</t>
  </si>
  <si>
    <t>5042128450</t>
  </si>
  <si>
    <t>592997</t>
  </si>
  <si>
    <t>1177564</t>
  </si>
  <si>
    <t>592978</t>
  </si>
  <si>
    <t>ATOM01021900078</t>
  </si>
  <si>
    <t>607973</t>
  </si>
  <si>
    <t>5075010809</t>
  </si>
  <si>
    <t>592960</t>
  </si>
  <si>
    <t>293016</t>
  </si>
  <si>
    <t>31907481633</t>
  </si>
  <si>
    <t>3663033951</t>
  </si>
  <si>
    <t>5009035423</t>
  </si>
  <si>
    <t>592933</t>
  </si>
  <si>
    <t>607904</t>
  </si>
  <si>
    <t>ATOM01021900037</t>
  </si>
  <si>
    <t>607532</t>
  </si>
  <si>
    <t>2127308431</t>
  </si>
  <si>
    <t>607547</t>
  </si>
  <si>
    <t>5073559</t>
  </si>
  <si>
    <t>0134100011019000007</t>
  </si>
  <si>
    <t>6827022097</t>
  </si>
  <si>
    <t>0164100010319000016</t>
  </si>
  <si>
    <t>1651027981</t>
  </si>
  <si>
    <t>BP00241325</t>
  </si>
  <si>
    <t>1002000488</t>
  </si>
  <si>
    <t>0306300003919000008</t>
  </si>
  <si>
    <t>5838001280</t>
  </si>
  <si>
    <t>0355100008519000003</t>
  </si>
  <si>
    <t>0369200030019000010</t>
  </si>
  <si>
    <t>5104004369</t>
  </si>
  <si>
    <t>0849300004519000013</t>
  </si>
  <si>
    <t>0355100008519000002</t>
  </si>
  <si>
    <t>7713006449</t>
  </si>
  <si>
    <t>COM01021900039</t>
  </si>
  <si>
    <t>0188100001419000007</t>
  </si>
  <si>
    <t>0217001715</t>
  </si>
  <si>
    <t>0301300252319000025</t>
  </si>
  <si>
    <t>Бураевский район</t>
  </si>
  <si>
    <t>0257005650</t>
  </si>
  <si>
    <t>0387200028919000003</t>
  </si>
  <si>
    <t>591807554472</t>
  </si>
  <si>
    <t>860505318596</t>
  </si>
  <si>
    <t>1651027893</t>
  </si>
  <si>
    <t>BP00241256</t>
  </si>
  <si>
    <t>6731018660</t>
  </si>
  <si>
    <t>0363200022619000004</t>
  </si>
  <si>
    <t>5902292745</t>
  </si>
  <si>
    <t>0156200000119000003</t>
  </si>
  <si>
    <t>5904295075</t>
  </si>
  <si>
    <t>0188100001419000006</t>
  </si>
  <si>
    <t>2320093329</t>
  </si>
  <si>
    <t>0318300561119000002</t>
  </si>
  <si>
    <t>1651028209</t>
  </si>
  <si>
    <t>BP00241025</t>
  </si>
  <si>
    <t>1651028181</t>
  </si>
  <si>
    <t>BP00241319</t>
  </si>
  <si>
    <t>BP00241230</t>
  </si>
  <si>
    <t>6625024447</t>
  </si>
  <si>
    <t>0362200016419000008</t>
  </si>
  <si>
    <t>6625046352</t>
  </si>
  <si>
    <t>BP00241310</t>
  </si>
  <si>
    <t>0134100011019000006</t>
  </si>
  <si>
    <t>3728013000</t>
  </si>
  <si>
    <t>0133200001519000010</t>
  </si>
  <si>
    <t>3702174571</t>
  </si>
  <si>
    <t>3702067065</t>
  </si>
  <si>
    <t>0133200001719000025</t>
  </si>
  <si>
    <t>3702706508</t>
  </si>
  <si>
    <t>BP00241219</t>
  </si>
  <si>
    <t>4007003618</t>
  </si>
  <si>
    <t>0337300057819000011</t>
  </si>
  <si>
    <t>0848300046019000006</t>
  </si>
  <si>
    <t>5011018143</t>
  </si>
  <si>
    <t>773422267450</t>
  </si>
  <si>
    <t>BP00241270</t>
  </si>
  <si>
    <t>6154058805</t>
  </si>
  <si>
    <t>606965</t>
  </si>
  <si>
    <t>8301020069</t>
  </si>
  <si>
    <t>31907479824</t>
  </si>
  <si>
    <t>31907477868</t>
  </si>
  <si>
    <t>6103005450</t>
  </si>
  <si>
    <t>606893</t>
  </si>
  <si>
    <t>Багаевский район</t>
  </si>
  <si>
    <t>31907479156</t>
  </si>
  <si>
    <t>5044068372</t>
  </si>
  <si>
    <t>592732</t>
  </si>
  <si>
    <t>6501251158</t>
  </si>
  <si>
    <t>31907473440</t>
  </si>
  <si>
    <t>5003046281</t>
  </si>
  <si>
    <t>31907479018</t>
  </si>
  <si>
    <t>3123116402</t>
  </si>
  <si>
    <t>606794</t>
  </si>
  <si>
    <t>31907475969</t>
  </si>
  <si>
    <t>5012016220</t>
  </si>
  <si>
    <t>592715</t>
  </si>
  <si>
    <t>5003021632</t>
  </si>
  <si>
    <t>592628</t>
  </si>
  <si>
    <t>8620022584</t>
  </si>
  <si>
    <t>292958</t>
  </si>
  <si>
    <t>Нижневартовский район</t>
  </si>
  <si>
    <t>5003105258</t>
  </si>
  <si>
    <t>592565</t>
  </si>
  <si>
    <t>1177261</t>
  </si>
  <si>
    <t>1177168</t>
  </si>
  <si>
    <t>5003084199</t>
  </si>
  <si>
    <t>592605</t>
  </si>
  <si>
    <t>6661003315</t>
  </si>
  <si>
    <t>31907476659</t>
  </si>
  <si>
    <t>6142026750</t>
  </si>
  <si>
    <t>606460</t>
  </si>
  <si>
    <t>31907478027</t>
  </si>
  <si>
    <t>ATOM31011900175</t>
  </si>
  <si>
    <t>292880</t>
  </si>
  <si>
    <t>5027113875</t>
  </si>
  <si>
    <t>592503</t>
  </si>
  <si>
    <t>6134007993</t>
  </si>
  <si>
    <t>605948</t>
  </si>
  <si>
    <t>3023009439</t>
  </si>
  <si>
    <t>31907476487</t>
  </si>
  <si>
    <t>592382</t>
  </si>
  <si>
    <t>31907476834</t>
  </si>
  <si>
    <t>605853</t>
  </si>
  <si>
    <t>31907476671</t>
  </si>
  <si>
    <t>100078557219000001</t>
  </si>
  <si>
    <t>8608045240</t>
  </si>
  <si>
    <t>31907475063</t>
  </si>
  <si>
    <t>3232020330</t>
  </si>
  <si>
    <t>605549</t>
  </si>
  <si>
    <t>6142015853</t>
  </si>
  <si>
    <t>605812</t>
  </si>
  <si>
    <t>5046051913</t>
  </si>
  <si>
    <t>31907476032</t>
  </si>
  <si>
    <t>5077010811</t>
  </si>
  <si>
    <t>592262</t>
  </si>
  <si>
    <t>605363</t>
  </si>
  <si>
    <t>31907475562</t>
  </si>
  <si>
    <t>7816146085</t>
  </si>
  <si>
    <t>592206</t>
  </si>
  <si>
    <t>6167015446</t>
  </si>
  <si>
    <t>604699</t>
  </si>
  <si>
    <t>5009088256</t>
  </si>
  <si>
    <t>592213</t>
  </si>
  <si>
    <t>6165100512</t>
  </si>
  <si>
    <t>604563</t>
  </si>
  <si>
    <t>592095</t>
  </si>
  <si>
    <t>6143009404</t>
  </si>
  <si>
    <t>604648</t>
  </si>
  <si>
    <t>5003107544</t>
  </si>
  <si>
    <t>592013</t>
  </si>
  <si>
    <t>2801888889</t>
  </si>
  <si>
    <t>100031854219000004</t>
  </si>
  <si>
    <t>5009036843</t>
  </si>
  <si>
    <t>591989</t>
  </si>
  <si>
    <t>591988</t>
  </si>
  <si>
    <t>5009035430</t>
  </si>
  <si>
    <t>591986</t>
  </si>
  <si>
    <t>5503055220</t>
  </si>
  <si>
    <t>604339</t>
  </si>
  <si>
    <t>5071001602</t>
  </si>
  <si>
    <t>591965</t>
  </si>
  <si>
    <t>1651070377</t>
  </si>
  <si>
    <t>292797</t>
  </si>
  <si>
    <t>31907473192</t>
  </si>
  <si>
    <t>6142013743</t>
  </si>
  <si>
    <t>604101</t>
  </si>
  <si>
    <t>7825340522</t>
  </si>
  <si>
    <t>0345200011819000005</t>
  </si>
  <si>
    <t>5027001755</t>
  </si>
  <si>
    <t>0348100034619000010</t>
  </si>
  <si>
    <t>2014014984</t>
  </si>
  <si>
    <t>0194200000519000072</t>
  </si>
  <si>
    <t>0348100034619000011</t>
  </si>
  <si>
    <t>3902802424</t>
  </si>
  <si>
    <t>0135300013219000006</t>
  </si>
  <si>
    <t>3906281758</t>
  </si>
  <si>
    <t>0345200011819000004</t>
  </si>
  <si>
    <t>7817027669</t>
  </si>
  <si>
    <t>0372200104419000001</t>
  </si>
  <si>
    <t>7817314374</t>
  </si>
  <si>
    <t>5751025946</t>
  </si>
  <si>
    <t>0154200000919000030</t>
  </si>
  <si>
    <t>190131/0513/098</t>
  </si>
  <si>
    <t>0131200001019000011</t>
  </si>
  <si>
    <t>3662193230</t>
  </si>
  <si>
    <t>6950123107</t>
  </si>
  <si>
    <t>9705062958</t>
  </si>
  <si>
    <t>3128038444</t>
  </si>
  <si>
    <t>3662166211</t>
  </si>
  <si>
    <t>BP00240782</t>
  </si>
  <si>
    <t>2019-664153</t>
  </si>
  <si>
    <t>2420070477</t>
  </si>
  <si>
    <t>0119300012619000001</t>
  </si>
  <si>
    <t>242000297444</t>
  </si>
  <si>
    <t>0154200000919000025</t>
  </si>
  <si>
    <t>4909083435</t>
  </si>
  <si>
    <t>0347100003019000001</t>
  </si>
  <si>
    <t>7807312297</t>
  </si>
  <si>
    <t>7817034465</t>
  </si>
  <si>
    <t>0372200051719000001</t>
  </si>
  <si>
    <t>3620009150</t>
  </si>
  <si>
    <t>0131100012619000016</t>
  </si>
  <si>
    <t>6732009500</t>
  </si>
  <si>
    <t>0163100001419000017</t>
  </si>
  <si>
    <t>7412003814</t>
  </si>
  <si>
    <t>0369300277119000017</t>
  </si>
  <si>
    <t>0345200011819000006</t>
  </si>
  <si>
    <t>0345200011819000003</t>
  </si>
  <si>
    <t>0345200011819000002</t>
  </si>
  <si>
    <t>0175200003719000016</t>
  </si>
  <si>
    <t>9102043017</t>
  </si>
  <si>
    <t>0163100001419000016</t>
  </si>
  <si>
    <t>0345200011819000007</t>
  </si>
  <si>
    <t>0163100001419000019</t>
  </si>
  <si>
    <t>7536167357</t>
  </si>
  <si>
    <t>0891500000119000001</t>
  </si>
  <si>
    <t>2540027804</t>
  </si>
  <si>
    <t>0320100013019000002</t>
  </si>
  <si>
    <t>0345200011819000001</t>
  </si>
  <si>
    <t>603651</t>
  </si>
  <si>
    <t>5003123458</t>
  </si>
  <si>
    <t>591829</t>
  </si>
  <si>
    <t>603628</t>
  </si>
  <si>
    <t>6142013528</t>
  </si>
  <si>
    <t>603558</t>
  </si>
  <si>
    <t>5501044576</t>
  </si>
  <si>
    <t>603419</t>
  </si>
  <si>
    <t>7713012650</t>
  </si>
  <si>
    <t>31907471860</t>
  </si>
  <si>
    <t>[ОКПД2 33.13] Услуги по ремонту электронного и оптического оборудования, [ОКВЭД2 26.40] Производство бытовой электроники</t>
  </si>
  <si>
    <t>7820012503</t>
  </si>
  <si>
    <t>0372100024219000001</t>
  </si>
  <si>
    <t>31907470306</t>
  </si>
  <si>
    <t>[ОКПД2 28.92] Оборудование для добычи полезных ископаемых подземным и открытым способами и строительства, [ОКВЭД2 45.19] Торговля прочими автотранспортными средствами</t>
  </si>
  <si>
    <t>31907470157</t>
  </si>
  <si>
    <t>5009031210</t>
  </si>
  <si>
    <t>591710</t>
  </si>
  <si>
    <t>5014007478</t>
  </si>
  <si>
    <t>591679</t>
  </si>
  <si>
    <t>[ОКПД2 33.20] Услуги по монтажу промышленных машин и оборудования, [ОКПД2 26.40] Техника бытовая электронная, [ОКПД2 27.11] Электродвигатели, генераторы и трансформаторы, [ОКПД2 27.32] Провода и кабели электронные и электрические прочие, [ОКПД2 26.30] Оборудование коммуникационное</t>
  </si>
  <si>
    <t>5077012294</t>
  </si>
  <si>
    <t>591727</t>
  </si>
  <si>
    <t>6142024294</t>
  </si>
  <si>
    <t>602696</t>
  </si>
  <si>
    <t>591587</t>
  </si>
  <si>
    <t>5008029314</t>
  </si>
  <si>
    <t>581497</t>
  </si>
  <si>
    <t>7326033364</t>
  </si>
  <si>
    <t>31907469926</t>
  </si>
  <si>
    <t>5055001250</t>
  </si>
  <si>
    <t>581527</t>
  </si>
  <si>
    <t>3123207258</t>
  </si>
  <si>
    <t>602413</t>
  </si>
  <si>
    <t>3113001353</t>
  </si>
  <si>
    <t>602415</t>
  </si>
  <si>
    <t>3764999</t>
  </si>
  <si>
    <t>5501040211</t>
  </si>
  <si>
    <t>602400</t>
  </si>
  <si>
    <t>4708002274</t>
  </si>
  <si>
    <t>31907469480</t>
  </si>
  <si>
    <t>602082</t>
  </si>
  <si>
    <t>601833</t>
  </si>
  <si>
    <t>31907467274</t>
  </si>
  <si>
    <t>5507035680</t>
  </si>
  <si>
    <t>601691</t>
  </si>
  <si>
    <t>3123026075</t>
  </si>
  <si>
    <t>601731</t>
  </si>
  <si>
    <t>5504035724</t>
  </si>
  <si>
    <t>601321</t>
  </si>
  <si>
    <t>6163030940</t>
  </si>
  <si>
    <t>601288</t>
  </si>
  <si>
    <t>601382</t>
  </si>
  <si>
    <t>6128007106</t>
  </si>
  <si>
    <t>600810</t>
  </si>
  <si>
    <t>5003021505</t>
  </si>
  <si>
    <t>581280</t>
  </si>
  <si>
    <t>31907468499</t>
  </si>
  <si>
    <t>[ОКПД2 M+] УСЛУГИ, СВЯЗАННЫЕ С НАУЧНОЙ, ИНЖЕНЕРНО-ТЕХНИЧЕСКОЙ И ПРОФЕССИОНАЛЬНОЙ ДЕЯТЕЛЬНОСТЬЮ, [ОКВЭД2 M+] ДЕЯТЕЛЬНОСТЬ ПРОФЕССИОНАЛЬНАЯ, НАУЧНАЯ И ТЕХНИЧЕСКАЯ</t>
  </si>
  <si>
    <t>2129033768</t>
  </si>
  <si>
    <t>601115</t>
  </si>
  <si>
    <t>ATOM30011900065</t>
  </si>
  <si>
    <t>1175775</t>
  </si>
  <si>
    <t>5022028584</t>
  </si>
  <si>
    <t>581166</t>
  </si>
  <si>
    <t>6671446235</t>
  </si>
  <si>
    <t>31907467033</t>
  </si>
  <si>
    <t>31907466850</t>
  </si>
  <si>
    <t>31907467554</t>
  </si>
  <si>
    <t>5507032753</t>
  </si>
  <si>
    <t>600426</t>
  </si>
  <si>
    <t>5504035820</t>
  </si>
  <si>
    <t>600421</t>
  </si>
  <si>
    <t>5504048547</t>
  </si>
  <si>
    <t>599932</t>
  </si>
  <si>
    <t>0195100000219000036</t>
  </si>
  <si>
    <t>0195100000219000027</t>
  </si>
  <si>
    <t>6901068750</t>
  </si>
  <si>
    <t>0136100006419000005</t>
  </si>
  <si>
    <t>0195100000219000041</t>
  </si>
  <si>
    <t>0195100000219000022</t>
  </si>
  <si>
    <t>0195100000219000030</t>
  </si>
  <si>
    <t>0195100000219000043</t>
  </si>
  <si>
    <t>0153100001419000001</t>
  </si>
  <si>
    <t>1322119980</t>
  </si>
  <si>
    <t>0109100006119000004</t>
  </si>
  <si>
    <t>1326213648</t>
  </si>
  <si>
    <t>1651064165</t>
  </si>
  <si>
    <t>BP00240417</t>
  </si>
  <si>
    <t>0163300029419000006</t>
  </si>
  <si>
    <t>0348300629419000004</t>
  </si>
  <si>
    <t>5055002101</t>
  </si>
  <si>
    <t>5055001228</t>
  </si>
  <si>
    <t>5055001267</t>
  </si>
  <si>
    <t>5055001281</t>
  </si>
  <si>
    <t>7716776767</t>
  </si>
  <si>
    <t>5049017935</t>
  </si>
  <si>
    <t>0195100000219000035</t>
  </si>
  <si>
    <t>0195100000219000040</t>
  </si>
  <si>
    <t>0195100000219000023</t>
  </si>
  <si>
    <t>0195100000219000044</t>
  </si>
  <si>
    <t>1645006101</t>
  </si>
  <si>
    <t>0111100002419000013</t>
  </si>
  <si>
    <t>Бугульминский район</t>
  </si>
  <si>
    <t>0365100013319000001</t>
  </si>
  <si>
    <t>0721021617</t>
  </si>
  <si>
    <t>0104200000919000007</t>
  </si>
  <si>
    <t>3444080684</t>
  </si>
  <si>
    <t>0129200001219000002</t>
  </si>
  <si>
    <t>0195100000219000042</t>
  </si>
  <si>
    <t>0195100000219000031</t>
  </si>
  <si>
    <t>5040072410</t>
  </si>
  <si>
    <t>0304200015119000001</t>
  </si>
  <si>
    <t>0360200054019000001</t>
  </si>
  <si>
    <t>0195100000219000032</t>
  </si>
  <si>
    <t>0195100000219000026</t>
  </si>
  <si>
    <t>0111100002419000001</t>
  </si>
  <si>
    <t>Бавлинский район</t>
  </si>
  <si>
    <t>0379200011619000003</t>
  </si>
  <si>
    <t>0195100000219000038</t>
  </si>
  <si>
    <t>0129200001219000003</t>
  </si>
  <si>
    <t>0104200000919000002</t>
  </si>
  <si>
    <t>0111100002419000003</t>
  </si>
  <si>
    <t>0195100000219000025</t>
  </si>
  <si>
    <t>0195100000219000028</t>
  </si>
  <si>
    <t>2019-663546</t>
  </si>
  <si>
    <t>0195100000219000037</t>
  </si>
  <si>
    <t>0373200307319000020</t>
  </si>
  <si>
    <t>7720240993</t>
  </si>
  <si>
    <t>0148300001519000005</t>
  </si>
  <si>
    <t>7804626922</t>
  </si>
  <si>
    <t>7722388963</t>
  </si>
  <si>
    <t>0111100002419000012</t>
  </si>
  <si>
    <t>Азнакаевский район</t>
  </si>
  <si>
    <t>0111100002419000002</t>
  </si>
  <si>
    <t>Лениногорский район</t>
  </si>
  <si>
    <t>0195100000219000039</t>
  </si>
  <si>
    <t>0162300002719000066</t>
  </si>
  <si>
    <t>0318100043419000002</t>
  </si>
  <si>
    <t>0136100006419000006</t>
  </si>
  <si>
    <t>0195100000219000029</t>
  </si>
  <si>
    <t>BP00240507</t>
  </si>
  <si>
    <t>5052013225</t>
  </si>
  <si>
    <t>31907466534</t>
  </si>
  <si>
    <t>5050031839</t>
  </si>
  <si>
    <t>581075</t>
  </si>
  <si>
    <t>2129044752</t>
  </si>
  <si>
    <t>600008</t>
  </si>
  <si>
    <t>581092</t>
  </si>
  <si>
    <t>5050048053</t>
  </si>
  <si>
    <t>581051</t>
  </si>
  <si>
    <t>5006266084</t>
  </si>
  <si>
    <t>581045</t>
  </si>
  <si>
    <t>5053002995</t>
  </si>
  <si>
    <t>581042</t>
  </si>
  <si>
    <t>31907466438</t>
  </si>
  <si>
    <t>[ОКПД2 70.22] Услуги консультативные в области управления предприятием, [ОКВЭД2 80+] Деятельность по обеспечению безопасности и проведению расследований</t>
  </si>
  <si>
    <t>5032197567</t>
  </si>
  <si>
    <t>7718611584</t>
  </si>
  <si>
    <t>7724272763</t>
  </si>
  <si>
    <t>6163052711</t>
  </si>
  <si>
    <t>599938</t>
  </si>
  <si>
    <t>31907466184</t>
  </si>
  <si>
    <t>7701004101</t>
  </si>
  <si>
    <t>7735003794</t>
  </si>
  <si>
    <t>7701125963</t>
  </si>
  <si>
    <t>31907466104</t>
  </si>
  <si>
    <t>[ОКПД2 33.13] Услуги по ремонту электронного и оптического оборудования, [ОКВЭД2 33.1+] Ремонт и монтаж металлических изделий, машин и оборудования</t>
  </si>
  <si>
    <t>31907466034</t>
  </si>
  <si>
    <t>31907464847</t>
  </si>
  <si>
    <t>599902</t>
  </si>
  <si>
    <t>5016010846</t>
  </si>
  <si>
    <t>580984</t>
  </si>
  <si>
    <t>1175228</t>
  </si>
  <si>
    <t>[ОКПД2 09.10] Услуги по добыче нефти и природного газа</t>
  </si>
  <si>
    <t>7444056777</t>
  </si>
  <si>
    <t>31907464652</t>
  </si>
  <si>
    <t>6143028238</t>
  </si>
  <si>
    <t>599515</t>
  </si>
  <si>
    <t>6125010164</t>
  </si>
  <si>
    <t>599265</t>
  </si>
  <si>
    <t>31907464789</t>
  </si>
  <si>
    <t>2308047083</t>
  </si>
  <si>
    <t>2629012156</t>
  </si>
  <si>
    <t>4712006730</t>
  </si>
  <si>
    <t>31907465256</t>
  </si>
  <si>
    <t>ATOM29011900189</t>
  </si>
  <si>
    <t>6161025920</t>
  </si>
  <si>
    <t>598829</t>
  </si>
  <si>
    <t>31907464536</t>
  </si>
  <si>
    <t>9111000450</t>
  </si>
  <si>
    <t>31907464579</t>
  </si>
  <si>
    <t>7733858152</t>
  </si>
  <si>
    <t>2320200933</t>
  </si>
  <si>
    <t>5008060233</t>
  </si>
  <si>
    <t>560705</t>
  </si>
  <si>
    <t>6136009058</t>
  </si>
  <si>
    <t>598875</t>
  </si>
  <si>
    <t>1175119</t>
  </si>
  <si>
    <t>5506028698</t>
  </si>
  <si>
    <t>598592</t>
  </si>
  <si>
    <t>6154057880</t>
  </si>
  <si>
    <t>598616</t>
  </si>
  <si>
    <t>5507035754</t>
  </si>
  <si>
    <t>598230</t>
  </si>
  <si>
    <t>5044019103</t>
  </si>
  <si>
    <t>560586</t>
  </si>
  <si>
    <t>5033008269</t>
  </si>
  <si>
    <t>560506</t>
  </si>
  <si>
    <t>31907462825</t>
  </si>
  <si>
    <t>2129035109</t>
  </si>
  <si>
    <t>597940</t>
  </si>
  <si>
    <t>5501026048</t>
  </si>
  <si>
    <t>31907461970</t>
  </si>
  <si>
    <t>[ОКПД2 84.12] Услуги государственного управления организаций, обеспечивающих услуги в области здравоохранения, образования, культуры, и прочие социальные услуги, кроме услуг в области социального обеспечения, [ОКВЭД2 84.12] Государственное регулирование деятельности в области здравоохранения, образования, социально-культурного развития и других социальных услуг, кроме социального обеспечения</t>
  </si>
  <si>
    <t>31907462333</t>
  </si>
  <si>
    <t>5505022870</t>
  </si>
  <si>
    <t>597587</t>
  </si>
  <si>
    <t>31907462764</t>
  </si>
  <si>
    <t>597185</t>
  </si>
  <si>
    <t>5033008702</t>
  </si>
  <si>
    <t>560339</t>
  </si>
  <si>
    <t>7407000462</t>
  </si>
  <si>
    <t>100100729219000001</t>
  </si>
  <si>
    <t>Карталы</t>
  </si>
  <si>
    <t>560304</t>
  </si>
  <si>
    <t>560330</t>
  </si>
  <si>
    <t>597268</t>
  </si>
  <si>
    <t>7743096224</t>
  </si>
  <si>
    <t>31907462156</t>
  </si>
  <si>
    <t>5033010740</t>
  </si>
  <si>
    <t>560277</t>
  </si>
  <si>
    <t>6325004584</t>
  </si>
  <si>
    <t>РН949008</t>
  </si>
  <si>
    <t>[ОКПД2 62.0+] Продукты программные и услуги по разработке программного обеспечения; консультационные и аналогичные услуги в области информационных технологий, [ОКВЭД2 62.0+] Разработка компьютерного программного обеспечения, консультационные услуги в данной области и другие сопутствующие услуги</t>
  </si>
  <si>
    <t>0195100000219000005</t>
  </si>
  <si>
    <t>9204556307</t>
  </si>
  <si>
    <t>8911006266</t>
  </si>
  <si>
    <t>0390100005819000003</t>
  </si>
  <si>
    <t>7838385841</t>
  </si>
  <si>
    <t>0172100004819000008</t>
  </si>
  <si>
    <t>BP00240390</t>
  </si>
  <si>
    <t>0195100000219000021</t>
  </si>
  <si>
    <t>5263009394</t>
  </si>
  <si>
    <t>0332200033019000009</t>
  </si>
  <si>
    <t>0131100012619000009</t>
  </si>
  <si>
    <t>3127003978</t>
  </si>
  <si>
    <t>0126100006219000005</t>
  </si>
  <si>
    <t>3601008881</t>
  </si>
  <si>
    <t>0131100005519000007</t>
  </si>
  <si>
    <t>Панинский район</t>
  </si>
  <si>
    <t>4205074681</t>
  </si>
  <si>
    <t>0139100001019000006</t>
  </si>
  <si>
    <t>0332200023019000003</t>
  </si>
  <si>
    <t>0332200033019000008</t>
  </si>
  <si>
    <t>5249090361</t>
  </si>
  <si>
    <t>6829001173</t>
  </si>
  <si>
    <t>0164100003319000006</t>
  </si>
  <si>
    <t>3906227454</t>
  </si>
  <si>
    <t>0135100005919000013</t>
  </si>
  <si>
    <t>0550600002219000002</t>
  </si>
  <si>
    <t>31907458848</t>
  </si>
  <si>
    <t>0195100000219000007</t>
  </si>
  <si>
    <t>1651027974</t>
  </si>
  <si>
    <t>BP00239452</t>
  </si>
  <si>
    <t>0131100012619000005</t>
  </si>
  <si>
    <t>0195100000219000011</t>
  </si>
  <si>
    <t>0195100000219000018</t>
  </si>
  <si>
    <t>0319100000219000001</t>
  </si>
  <si>
    <t>2441001918</t>
  </si>
  <si>
    <t>0819300019719000011</t>
  </si>
  <si>
    <t>Шарыповский район</t>
  </si>
  <si>
    <t>4804004179</t>
  </si>
  <si>
    <t>0346300117619000001</t>
  </si>
  <si>
    <t>Добринский район</t>
  </si>
  <si>
    <t>3665093000</t>
  </si>
  <si>
    <t>4824095625</t>
  </si>
  <si>
    <t>3257060141</t>
  </si>
  <si>
    <t>3664205177</t>
  </si>
  <si>
    <t>4824025297</t>
  </si>
  <si>
    <t>6829036480</t>
  </si>
  <si>
    <t>5751059511</t>
  </si>
  <si>
    <t>0316100004319000001</t>
  </si>
  <si>
    <t>1511012985</t>
  </si>
  <si>
    <t>0110100000919000004</t>
  </si>
  <si>
    <t>3305057871</t>
  </si>
  <si>
    <t>0328300129419000008</t>
  </si>
  <si>
    <t>Ковров</t>
  </si>
  <si>
    <t>3305720256</t>
  </si>
  <si>
    <t>0195100000219000019</t>
  </si>
  <si>
    <t>0164100003319000005</t>
  </si>
  <si>
    <t>6027001299</t>
  </si>
  <si>
    <t>0257100001419000036</t>
  </si>
  <si>
    <t>6027114831</t>
  </si>
  <si>
    <t>6027098080</t>
  </si>
  <si>
    <t>6027123931</t>
  </si>
  <si>
    <t>6027154023</t>
  </si>
  <si>
    <t>1657030317</t>
  </si>
  <si>
    <t>0311300298819000017</t>
  </si>
  <si>
    <t>1655080827</t>
  </si>
  <si>
    <t>1659076797</t>
  </si>
  <si>
    <t>1660048353</t>
  </si>
  <si>
    <t>0390100008519000004</t>
  </si>
  <si>
    <t>0195100000219000009</t>
  </si>
  <si>
    <t>BP00239660</t>
  </si>
  <si>
    <t>BP00239817</t>
  </si>
  <si>
    <t>0195100000219000002</t>
  </si>
  <si>
    <t>1510012911</t>
  </si>
  <si>
    <t>0310100001319000001</t>
  </si>
  <si>
    <t>0274002218</t>
  </si>
  <si>
    <t>0301300022119000008</t>
  </si>
  <si>
    <t>0250146958</t>
  </si>
  <si>
    <t>BP00239288</t>
  </si>
  <si>
    <t>0357100000219000013</t>
  </si>
  <si>
    <t>6027177207</t>
  </si>
  <si>
    <t>0390100005819000006</t>
  </si>
  <si>
    <t>BP00240383</t>
  </si>
  <si>
    <t>0131100005519000008</t>
  </si>
  <si>
    <t>Эртильский район</t>
  </si>
  <si>
    <t>0195100000219000003</t>
  </si>
  <si>
    <t>0195100000219000014</t>
  </si>
  <si>
    <t>7736048847</t>
  </si>
  <si>
    <t>0373200094119000004</t>
  </si>
  <si>
    <t>0243400000219000018</t>
  </si>
  <si>
    <t>7448069174</t>
  </si>
  <si>
    <t>0369100038319000005</t>
  </si>
  <si>
    <t>0195100000219000017</t>
  </si>
  <si>
    <t>5908001470</t>
  </si>
  <si>
    <t>0356100007419000004</t>
  </si>
  <si>
    <t>5902890262</t>
  </si>
  <si>
    <t>0390100005819000001</t>
  </si>
  <si>
    <t>BP00239601</t>
  </si>
  <si>
    <t>0129200001219000001</t>
  </si>
  <si>
    <t>3002007279</t>
  </si>
  <si>
    <t>0325300025419000002</t>
  </si>
  <si>
    <t>4804004161</t>
  </si>
  <si>
    <t>0346300063219000001</t>
  </si>
  <si>
    <t>2103003293</t>
  </si>
  <si>
    <t>0315300159219000008</t>
  </si>
  <si>
    <t>Батыревский район</t>
  </si>
  <si>
    <t>0316100004319000002</t>
  </si>
  <si>
    <t>0195100000219000012</t>
  </si>
  <si>
    <t>8617014431</t>
  </si>
  <si>
    <t>0887200001319000011</t>
  </si>
  <si>
    <t>BP00239278</t>
  </si>
  <si>
    <t>0390100005819000002</t>
  </si>
  <si>
    <t>0316100004319000003</t>
  </si>
  <si>
    <t>0195100000219000020</t>
  </si>
  <si>
    <t>0195100000219000004</t>
  </si>
  <si>
    <t>8905017816</t>
  </si>
  <si>
    <t>0190200000319000100</t>
  </si>
  <si>
    <t>890508239609</t>
  </si>
  <si>
    <t>8905051292</t>
  </si>
  <si>
    <t>0390100005819000008</t>
  </si>
  <si>
    <t>BP00239308</t>
  </si>
  <si>
    <t>0131100012619000003</t>
  </si>
  <si>
    <t>0131100005519000006</t>
  </si>
  <si>
    <t>Аннинский район</t>
  </si>
  <si>
    <t>0332200023019000002</t>
  </si>
  <si>
    <t>31907461048</t>
  </si>
  <si>
    <t>7839330845</t>
  </si>
  <si>
    <t>31907461069</t>
  </si>
  <si>
    <t>7721719644</t>
  </si>
  <si>
    <t>31907461025</t>
  </si>
  <si>
    <t>6316194755</t>
  </si>
  <si>
    <t>31907460701</t>
  </si>
  <si>
    <t>596444</t>
  </si>
  <si>
    <t>100136233219000006</t>
  </si>
  <si>
    <t>5031108998</t>
  </si>
  <si>
    <t>560066</t>
  </si>
  <si>
    <t>5009106057</t>
  </si>
  <si>
    <t>560056</t>
  </si>
  <si>
    <t>5027084014</t>
  </si>
  <si>
    <t>560117</t>
  </si>
  <si>
    <t>7019011979</t>
  </si>
  <si>
    <t>31907458735</t>
  </si>
  <si>
    <t>7838415359</t>
  </si>
  <si>
    <t>100019134219000007</t>
  </si>
  <si>
    <t>596255</t>
  </si>
  <si>
    <t>31907461046</t>
  </si>
  <si>
    <t>596224</t>
  </si>
  <si>
    <t>596143</t>
  </si>
  <si>
    <t>596165</t>
  </si>
  <si>
    <t>6143031086</t>
  </si>
  <si>
    <t>596017</t>
  </si>
  <si>
    <t>6140019108</t>
  </si>
  <si>
    <t>596034</t>
  </si>
  <si>
    <t>596201</t>
  </si>
  <si>
    <t>596180</t>
  </si>
  <si>
    <t>596092</t>
  </si>
  <si>
    <t>595931</t>
  </si>
  <si>
    <t>595961</t>
  </si>
  <si>
    <t>596213</t>
  </si>
  <si>
    <t>100114700219000011</t>
  </si>
  <si>
    <t>6166019705</t>
  </si>
  <si>
    <t>595795</t>
  </si>
  <si>
    <t>100114700219000010</t>
  </si>
  <si>
    <t>559976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</si>
</sst>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_-* #,##0.00_р_._-;\-* #,##0.00_р_._-;_-* &quot;-&quot;??_р_._-;_-@_-"/>
  </numFmts>
  <fonts count="17" x14ac:knownFonts="1">
    <font>
      <sz val="11"/>
      <color theme="1"/>
      <name val="Calibri"/>
      <family val="2"/>
      <charset val="204"/>
      <scheme val="minor"/>
    </font>
    <font>
      <sz val="11"/>
      <color theme="1"/>
      <name val="Calibri"/>
      <family val="2"/>
      <charset val="204"/>
      <scheme val="minor"/>
    </font>
    <font>
      <sz val="11"/>
      <color theme="0"/>
      <name val="Calibri"/>
      <family val="2"/>
      <charset val="204"/>
      <scheme val="minor"/>
    </font>
    <font>
      <b/>
      <sz val="10"/>
      <color theme="1"/>
      <name val="Calibri"/>
      <family val="2"/>
      <charset val="204"/>
      <scheme val="minor"/>
    </font>
    <font>
      <sz val="10"/>
      <color theme="1"/>
      <name val="Calibri"/>
      <family val="2"/>
      <charset val="204"/>
      <scheme val="minor"/>
    </font>
    <font>
      <sz val="10"/>
      <color theme="0" tint="-0.499984740745262"/>
      <name val="Calibri"/>
      <family val="2"/>
      <charset val="204"/>
      <scheme val="minor"/>
    </font>
    <font>
      <sz val="11"/>
      <color theme="0" tint="-0.499984740745262"/>
      <name val="Calibri"/>
      <family val="2"/>
      <charset val="204"/>
      <scheme val="minor"/>
    </font>
    <font>
      <b/>
      <sz val="16"/>
      <color theme="8" tint="-0.24994659260841701"/>
      <name val="Calibri"/>
      <family val="2"/>
      <charset val="204"/>
      <scheme val="minor"/>
    </font>
    <font>
      <sz val="10"/>
      <color theme="1"/>
      <name val="Calibri"/>
      <family val="2"/>
      <scheme val="minor"/>
    </font>
    <font>
      <u/>
      <sz val="10"/>
      <color rgb="FF0070C0"/>
      <name val="Calibri"/>
      <family val="2"/>
      <scheme val="minor"/>
    </font>
    <font>
      <b/>
      <sz val="11"/>
      <color theme="1"/>
      <name val="Calibri"/>
      <family val="2"/>
      <charset val="204"/>
      <scheme val="minor"/>
    </font>
    <font>
      <sz val="8"/>
      <color theme="1"/>
      <name val="Tahoma"/>
      <family val="2"/>
      <charset val="204"/>
    </font>
    <font>
      <sz val="10"/>
      <color rgb="FF808080"/>
      <name val="Calibri"/>
      <family val="2"/>
      <charset val="204"/>
      <scheme val="minor"/>
    </font>
    <font>
      <b/>
      <sz val="10"/>
      <color rgb="FF000000"/>
      <name val="Calibri"/>
      <family val="2"/>
      <charset val="204"/>
    </font>
    <font>
      <b/>
      <sz val="11"/>
      <color theme="1"/>
      <name val="Calibri"/>
      <family val="2"/>
      <scheme val="minor"/>
    </font>
    <font>
      <sz val="11"/>
      <color theme="1"/>
      <name val="Calibri"/>
      <family val="2"/>
      <scheme val="minor"/>
    </font>
    <font>
      <sz val="11"/>
      <name val="Calibri"/>
      <family val="2"/>
      <charset val="204"/>
      <scheme val="minor"/>
    </font>
  </fonts>
  <fills count="8">
    <fill>
      <patternFill patternType="none"/>
    </fill>
    <fill>
      <patternFill patternType="gray125"/>
    </fill>
    <fill>
      <patternFill patternType="solid">
        <fgColor theme="8"/>
      </patternFill>
    </fill>
    <fill>
      <patternFill patternType="solid">
        <fgColor theme="8" tint="0.39994506668294322"/>
        <bgColor indexed="64"/>
      </patternFill>
    </fill>
    <fill>
      <patternFill patternType="solid">
        <fgColor theme="0"/>
        <bgColor indexed="64"/>
      </patternFill>
    </fill>
    <fill>
      <patternFill patternType="solid">
        <fgColor theme="8" tint="0.79998168889431442"/>
        <bgColor indexed="65"/>
      </patternFill>
    </fill>
    <fill>
      <patternFill patternType="solid">
        <fgColor rgb="FF92CDDC"/>
        <bgColor rgb="FF000000"/>
      </patternFill>
    </fill>
    <fill>
      <patternFill patternType="none"/>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bottom style="thin">
        <color theme="0" tint="-0.24994659260841701"/>
      </bottom>
      <diagonal/>
    </border>
  </borders>
  <cellStyleXfs count="4">
    <xf numFmtId="0" fontId="0" fillId="0" borderId="0"/>
    <xf numFmtId="0" fontId="2" fillId="2" borderId="0" applyNumberFormat="0" applyBorder="0" applyAlignment="0" applyProtection="0"/>
    <xf numFmtId="0" fontId="1" fillId="5" borderId="0" applyNumberFormat="0" applyBorder="0" applyAlignment="0" applyProtection="0"/>
    <xf numFmtId="164" fontId="1" fillId="0" borderId="0" applyFont="0" applyFill="0" applyBorder="0" applyAlignment="0" applyProtection="0"/>
  </cellStyleXfs>
  <cellXfs count="36">
    <xf numFmtId="0" fontId="0" fillId="0" borderId="0" xfId="0"/>
    <xf numFmtId="0" fontId="3" fillId="3" borderId="1" xfId="1" applyFont="1" applyFill="1" applyBorder="1" applyAlignment="1">
      <alignment horizontal="center" vertical="center" wrapText="1"/>
    </xf>
    <xf numFmtId="0" fontId="0" fillId="4" borderId="0" xfId="0" applyFill="1" applyBorder="1"/>
    <xf numFmtId="0" fontId="0" fillId="4" borderId="0" xfId="0" applyFill="1" applyBorder="1" applyAlignment="1">
      <alignment wrapText="1"/>
    </xf>
    <xf numFmtId="0" fontId="4" fillId="4" borderId="0" xfId="0" applyFont="1" applyFill="1" applyBorder="1" applyAlignment="1">
      <alignment wrapText="1"/>
    </xf>
    <xf numFmtId="0" fontId="4" fillId="4" borderId="0" xfId="0" applyFont="1" applyFill="1" applyBorder="1"/>
    <xf numFmtId="0" fontId="5" fillId="4" borderId="0" xfId="0" applyFont="1" applyFill="1" applyBorder="1"/>
    <xf numFmtId="0" fontId="6" fillId="4" borderId="0" xfId="0" applyFont="1" applyFill="1" applyBorder="1"/>
    <xf numFmtId="0" fontId="11" fillId="0" borderId="0" xfId="0" applyFont="1"/>
    <xf numFmtId="0" fontId="11" fillId="0" borderId="0" xfId="0" applyFont="1" applyAlignment="1">
      <alignment horizontal="center" vertical="center" wrapText="1"/>
    </xf>
    <xf numFmtId="0" fontId="11" fillId="0" borderId="0" xfId="0" applyFont="1" applyAlignment="1">
      <alignment vertical="center" wrapText="1"/>
    </xf>
    <xf numFmtId="0" fontId="12" fillId="4" borderId="0" xfId="0" applyFont="1" applyFill="1"/>
    <xf numFmtId="0" fontId="13" fillId="6" borderId="1" xfId="1" applyFont="1" applyFill="1" applyBorder="1" applyAlignment="1">
      <alignment horizontal="center" vertical="center" wrapText="1"/>
    </xf>
    <xf numFmtId="0" fontId="10" fillId="4" borderId="7" xfId="0" applyFont="1" applyFill="1" applyBorder="1" applyAlignment="1">
      <alignment horizontal="left" vertical="top" wrapText="1"/>
    </xf>
    <xf numFmtId="14" fontId="10" fillId="4" borderId="7" xfId="2" applyNumberFormat="1" applyFont="1" applyFill="1" applyBorder="1" applyAlignment="1">
      <alignment horizontal="left" vertical="top" wrapText="1"/>
    </xf>
    <xf numFmtId="3" fontId="10" fillId="4" borderId="7" xfId="0" applyNumberFormat="1" applyFont="1" applyFill="1" applyBorder="1" applyAlignment="1">
      <alignment horizontal="left" vertical="top" wrapText="1"/>
    </xf>
    <xf numFmtId="0" fontId="14" fillId="4" borderId="7" xfId="1" applyFont="1" applyFill="1" applyBorder="1" applyAlignment="1">
      <alignment horizontal="left" vertical="top" wrapText="1"/>
    </xf>
    <xf numFmtId="0" fontId="15" fillId="4" borderId="7" xfId="0" applyFont="1" applyFill="1" applyBorder="1" applyAlignment="1">
      <alignment vertical="top" wrapText="1"/>
    </xf>
    <xf numFmtId="0" fontId="10" fillId="4" borderId="7" xfId="0" applyFont="1" applyFill="1" applyBorder="1"/>
    <xf numFmtId="14" fontId="16" fillId="4" borderId="7" xfId="3" applyNumberFormat="1" applyFont="1" applyFill="1" applyBorder="1" applyAlignment="1">
      <alignment horizontal="left" wrapText="1"/>
    </xf>
    <xf numFmtId="0" fontId="11" fillId="0" borderId="0" xfId="0" applyFont="1"/>
    <xf numFmtId="0" fontId="0" fillId="4" borderId="7" xfId="0" applyFont="1" applyFill="1" applyBorder="1" applyAlignment="1">
      <alignment vertical="top" wrapText="1"/>
    </xf>
    <xf numFmtId="49" fontId="8" fillId="7" borderId="1" xfId="2" applyNumberFormat="1" applyFont="1" applyFill="1" applyBorder="1" applyAlignment="1">
      <alignment horizontal="left" vertical="top"/>
    </xf>
    <xf numFmtId="1" fontId="9" fillId="7" borderId="1" xfId="2" applyNumberFormat="1" applyFont="1" applyFill="1" applyBorder="1" applyAlignment="1">
      <alignment horizontal="left" vertical="top"/>
    </xf>
    <xf numFmtId="1" fontId="8" fillId="7" borderId="1" xfId="2" applyNumberFormat="1" applyFont="1" applyFill="1" applyBorder="1" applyAlignment="1">
      <alignment horizontal="left" vertical="top"/>
    </xf>
    <xf numFmtId="4" fontId="8" fillId="7" borderId="1" xfId="2" applyNumberFormat="1" applyFont="1" applyFill="1" applyBorder="1" applyAlignment="1">
      <alignment horizontal="left" vertical="top"/>
    </xf>
    <xf numFmtId="14" fontId="8" fillId="7" borderId="1" xfId="2" applyNumberFormat="1" applyFont="1" applyFill="1" applyBorder="1" applyAlignment="1">
      <alignment horizontal="left" vertical="top"/>
    </xf>
    <xf numFmtId="10" fontId="8" fillId="7" borderId="1" xfId="2" applyNumberFormat="1" applyFont="1" applyFill="1" applyBorder="1" applyAlignment="1">
      <alignment horizontal="left"/>
    </xf>
    <xf numFmtId="0" fontId="0" fillId="7" borderId="1" xfId="0" applyFill="1" applyBorder="1" applyAlignment="1">
      <alignment horizontal="left" vertical="top"/>
    </xf>
    <xf numFmtId="0" fontId="7" fillId="4" borderId="8" xfId="0" applyFont="1" applyFill="1" applyBorder="1" applyAlignment="1"/>
    <xf numFmtId="0" fontId="0" fillId="0" borderId="8" xfId="0" applyBorder="1" applyAlignment="1"/>
    <xf numFmtId="0" fontId="3" fillId="3" borderId="2" xfId="1" applyFont="1" applyFill="1" applyBorder="1" applyAlignment="1">
      <alignment horizontal="center" vertical="center" wrapText="1"/>
    </xf>
    <xf numFmtId="0" fontId="3" fillId="3" borderId="3" xfId="1" applyFont="1" applyFill="1" applyBorder="1" applyAlignment="1">
      <alignment horizontal="center" vertical="center" wrapText="1"/>
    </xf>
    <xf numFmtId="0" fontId="3" fillId="3" borderId="4" xfId="1" applyFont="1" applyFill="1" applyBorder="1" applyAlignment="1">
      <alignment horizontal="center" vertical="center" wrapText="1"/>
    </xf>
    <xf numFmtId="0" fontId="3" fillId="3" borderId="5" xfId="1" applyFont="1" applyFill="1" applyBorder="1" applyAlignment="1">
      <alignment horizontal="center" vertical="center" wrapText="1"/>
    </xf>
    <xf numFmtId="0" fontId="3" fillId="3" borderId="6" xfId="1" applyFont="1" applyFill="1" applyBorder="1" applyAlignment="1">
      <alignment horizontal="center" vertical="center" wrapText="1"/>
    </xf>
  </cellXfs>
  <cellStyles count="4">
    <cellStyle name="20% — акцент5" xfId="2" builtinId="46"/>
    <cellStyle name="Акцент5" xfId="1" builtinId="45"/>
    <cellStyle name="Обычный" xfId="0" builtinId="0"/>
    <cellStyle name="Финансовый" xfId="3" builtin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D31"/>
  <sheetViews>
    <sheetView workbookViewId="0"/>
  </sheetViews>
  <sheetFormatPr defaultRowHeight="15" x14ac:dyDescent="0.25"/>
  <cols>
    <col min="1" max="1" width="52.140625" style="2" customWidth="1"/>
    <col min="2" max="2" width="65.5703125" style="3" customWidth="1"/>
    <col min="3" max="3" width="32" style="7" customWidth="1"/>
    <col min="4" max="16384" width="9.140625" style="2"/>
  </cols>
  <sheetData>
    <row r="1" spans="1:4" ht="21" x14ac:dyDescent="0.35">
      <c r="A1" s="29" t="s">
        <v>19</v>
      </c>
      <c r="B1" s="30"/>
      <c r="C1" s="2"/>
    </row>
    <row r="2" spans="1:4" x14ac:dyDescent="0.25">
      <c r="A2" s="13" t="s">
        <v>9</v>
      </c>
      <c r="B2" s="14">
        <v>43756.708854166704</v>
      </c>
      <c r="C2" s="2"/>
    </row>
    <row r="3" spans="1:4" x14ac:dyDescent="0.25">
      <c r="A3" s="13" t="s">
        <v>7</v>
      </c>
      <c r="B3" s="15">
        <v>10921</v>
      </c>
      <c r="C3" s="2"/>
    </row>
    <row r="4" spans="1:4" x14ac:dyDescent="0.25">
      <c r="A4" s="13" t="s">
        <v>17</v>
      </c>
      <c r="B4" s="15">
        <v>10000</v>
      </c>
      <c r="C4" s="6"/>
    </row>
    <row r="5" spans="1:4" x14ac:dyDescent="0.25">
      <c r="C5" s="2"/>
    </row>
    <row r="6" spans="1:4" ht="409.5" x14ac:dyDescent="0.25">
      <c r="A6" s="16" t="s">
        <v>0</v>
      </c>
      <c r="B6" s="17" t="s">
        <v>39</v>
      </c>
      <c r="C6" s="5"/>
      <c r="D6" s="4"/>
    </row>
    <row r="7" spans="1:4" x14ac:dyDescent="0.25">
      <c r="A7" s="16" t="s">
        <v>13</v>
      </c>
      <c r="B7" s="17" t="s">
        <v>40</v>
      </c>
      <c r="C7" s="5"/>
      <c r="D7" s="4"/>
    </row>
    <row r="8" spans="1:4" x14ac:dyDescent="0.25">
      <c r="A8" s="16" t="s">
        <v>25</v>
      </c>
      <c r="B8" s="17" t="s">
        <v>41</v>
      </c>
      <c r="C8" s="5"/>
      <c r="D8" s="5"/>
    </row>
    <row r="9" spans="1:4" x14ac:dyDescent="0.25">
      <c r="A9" s="16" t="s">
        <v>26</v>
      </c>
      <c r="B9" s="17" t="s">
        <v>41</v>
      </c>
      <c r="C9" s="5"/>
      <c r="D9" s="5"/>
    </row>
    <row r="10" spans="1:4" x14ac:dyDescent="0.25">
      <c r="A10" s="16" t="s">
        <v>8</v>
      </c>
      <c r="B10" s="17" t="s">
        <v>42</v>
      </c>
      <c r="C10" s="5"/>
      <c r="D10" s="5"/>
    </row>
    <row r="11" spans="1:4" x14ac:dyDescent="0.25">
      <c r="A11" s="16" t="s">
        <v>20</v>
      </c>
      <c r="B11" s="17" t="s">
        <v>42</v>
      </c>
      <c r="C11" s="2"/>
      <c r="D11" s="5"/>
    </row>
    <row r="12" spans="1:4" x14ac:dyDescent="0.25">
      <c r="A12" s="16" t="s">
        <v>21</v>
      </c>
      <c r="B12" s="17" t="s">
        <v>42</v>
      </c>
      <c r="C12" s="2"/>
      <c r="D12" s="5"/>
    </row>
    <row r="13" spans="1:4" x14ac:dyDescent="0.25">
      <c r="A13" s="16" t="s">
        <v>1</v>
      </c>
      <c r="B13" s="17" t="s">
        <v>42</v>
      </c>
      <c r="C13" s="2"/>
      <c r="D13" s="5"/>
    </row>
    <row r="14" spans="1:4" x14ac:dyDescent="0.25">
      <c r="A14" s="16" t="s">
        <v>2</v>
      </c>
      <c r="B14" s="17" t="s">
        <v>43</v>
      </c>
      <c r="C14" s="2"/>
      <c r="D14" s="5"/>
    </row>
    <row r="15" spans="1:4" x14ac:dyDescent="0.25">
      <c r="A15" s="16" t="s">
        <v>36</v>
      </c>
      <c r="B15" s="17" t="s">
        <v>42</v>
      </c>
      <c r="C15" s="2"/>
      <c r="D15" s="5"/>
    </row>
    <row r="16" spans="1:4" ht="15" customHeight="1" x14ac:dyDescent="0.25">
      <c r="A16" s="16" t="s">
        <v>37</v>
      </c>
      <c r="B16" s="21" t="s">
        <v>44</v>
      </c>
      <c r="C16" s="2"/>
      <c r="D16" s="5"/>
    </row>
    <row r="17" spans="1:4" x14ac:dyDescent="0.25">
      <c r="A17" s="16" t="s">
        <v>35</v>
      </c>
      <c r="B17" s="17" t="s">
        <v>42</v>
      </c>
      <c r="C17" s="2"/>
      <c r="D17" s="5"/>
    </row>
    <row r="18" spans="1:4" ht="15" customHeight="1" x14ac:dyDescent="0.25">
      <c r="A18" s="16" t="s">
        <v>38</v>
      </c>
      <c r="B18" s="21" t="s">
        <v>44</v>
      </c>
      <c r="C18" s="2"/>
      <c r="D18" s="5"/>
    </row>
    <row r="19" spans="1:4" x14ac:dyDescent="0.25">
      <c r="A19" s="16" t="s">
        <v>3</v>
      </c>
      <c r="B19" s="17" t="s">
        <v>42</v>
      </c>
      <c r="C19" s="2"/>
      <c r="D19" s="5"/>
    </row>
    <row r="20" spans="1:4" x14ac:dyDescent="0.25">
      <c r="A20" s="16" t="s">
        <v>23</v>
      </c>
      <c r="B20" s="17" t="s">
        <v>42</v>
      </c>
      <c r="C20" s="2"/>
    </row>
    <row r="21" spans="1:4" x14ac:dyDescent="0.25">
      <c r="A21" s="16" t="s">
        <v>22</v>
      </c>
      <c r="B21" s="17" t="s">
        <v>42</v>
      </c>
      <c r="C21" s="2"/>
    </row>
    <row r="22" spans="1:4" x14ac:dyDescent="0.25">
      <c r="A22" s="16" t="s">
        <v>4</v>
      </c>
      <c r="B22" s="17" t="s">
        <v>42</v>
      </c>
      <c r="C22" s="2"/>
    </row>
    <row r="23" spans="1:4" ht="135" x14ac:dyDescent="0.25">
      <c r="A23" s="16" t="s">
        <v>27</v>
      </c>
      <c r="B23" s="17" t="s">
        <v>45</v>
      </c>
    </row>
    <row r="24" spans="1:4" x14ac:dyDescent="0.25">
      <c r="A24" s="18" t="s">
        <v>28</v>
      </c>
      <c r="B24" s="19" t="s">
        <v>42</v>
      </c>
    </row>
    <row r="25" spans="1:4" x14ac:dyDescent="0.25">
      <c r="A25" s="16" t="s">
        <v>29</v>
      </c>
      <c r="B25" s="17" t="s">
        <v>42</v>
      </c>
    </row>
    <row r="26" spans="1:4" x14ac:dyDescent="0.25">
      <c r="A26" s="18" t="s">
        <v>24</v>
      </c>
      <c r="B26" s="19" t="s">
        <v>42</v>
      </c>
    </row>
    <row r="27" spans="1:4" x14ac:dyDescent="0.25">
      <c r="A27" s="18" t="s">
        <v>32</v>
      </c>
      <c r="B27" s="19" t="s">
        <v>42</v>
      </c>
    </row>
    <row r="28" spans="1:4" x14ac:dyDescent="0.25">
      <c r="A28" s="18" t="s">
        <v>33</v>
      </c>
      <c r="B28" s="19" t="s">
        <v>42</v>
      </c>
    </row>
    <row r="30" spans="1:4" x14ac:dyDescent="0.25">
      <c r="A30" s="11" t="s">
        <v>6</v>
      </c>
      <c r="B30" s="11" t="s">
        <v>30</v>
      </c>
    </row>
    <row r="31" spans="1:4" x14ac:dyDescent="0.25">
      <c r="B31" s="11" t="s">
        <v>46</v>
      </c>
    </row>
  </sheetData>
  <mergeCells count="1">
    <mergeCell ref="A1:B1"/>
  </mergeCells>
  <pageMargins left="0.7" right="0.7" top="0.75" bottom="0.75" header="0.3" footer="0.3"/>
  <pageSetup paperSize="9"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P16621"/>
  <sheetViews>
    <sheetView tabSelected="1" workbookViewId="0">
      <pane ySplit="2" topLeftCell="A3" activePane="bottomLeft" state="frozen"/>
      <selection pane="bottomLeft" activeCell="O1" sqref="O1:O1048576"/>
    </sheetView>
  </sheetViews>
  <sheetFormatPr defaultRowHeight="15" customHeight="1" outlineLevelRow="1" x14ac:dyDescent="0.15"/>
  <cols>
    <col min="1" max="1" width="20.7109375" style="8" customWidth="1"/>
    <col min="2" max="2" width="12.7109375" style="8" customWidth="1"/>
    <col min="3" max="3" width="15.7109375" style="8" customWidth="1"/>
    <col min="4" max="4" width="20.7109375" style="8" customWidth="1"/>
    <col min="5" max="5" width="18.7109375" style="8" customWidth="1"/>
    <col min="6" max="6" width="30.7109375" style="8" customWidth="1"/>
    <col min="7" max="7" width="14.7109375" style="8" customWidth="1"/>
    <col min="8" max="8" width="14.7109375" style="20" customWidth="1"/>
    <col min="9" max="9" width="10.7109375" style="8" customWidth="1"/>
    <col min="10" max="10" width="20.7109375" style="8" customWidth="1"/>
    <col min="11" max="11" width="12.7109375" style="8" customWidth="1"/>
    <col min="12" max="12" width="14.7109375" style="8" customWidth="1"/>
    <col min="13" max="13" width="15.7109375" style="8" customWidth="1"/>
    <col min="14" max="14" width="16" style="8" bestFit="1" customWidth="1"/>
    <col min="15" max="15" width="38.5703125" style="20" customWidth="1"/>
    <col min="16" max="16" width="21.140625" style="20" customWidth="1"/>
    <col min="17" max="16384" width="9.140625" style="8"/>
  </cols>
  <sheetData>
    <row r="1" spans="1:15" s="10" customFormat="1" ht="30" customHeight="1" x14ac:dyDescent="0.25">
      <c r="A1" s="33" t="s">
        <v>15</v>
      </c>
      <c r="B1" s="34"/>
      <c r="C1" s="35"/>
      <c r="D1" s="33" t="s">
        <v>14</v>
      </c>
      <c r="E1" s="34"/>
      <c r="F1" s="35"/>
      <c r="G1" s="31" t="s">
        <v>3</v>
      </c>
      <c r="H1" s="31" t="s">
        <v>31</v>
      </c>
      <c r="I1" s="31" t="s">
        <v>13</v>
      </c>
      <c r="J1" s="33" t="s">
        <v>12</v>
      </c>
      <c r="K1" s="34"/>
      <c r="L1" s="34"/>
      <c r="M1" s="34"/>
      <c r="N1" s="35"/>
      <c r="O1" s="9"/>
    </row>
    <row r="2" spans="1:15" s="9" customFormat="1" ht="53.25" customHeight="1" x14ac:dyDescent="0.25">
      <c r="A2" s="1" t="s">
        <v>36</v>
      </c>
      <c r="B2" s="1" t="s">
        <v>5</v>
      </c>
      <c r="C2" s="1" t="s">
        <v>16</v>
      </c>
      <c r="D2" s="1" t="s">
        <v>34</v>
      </c>
      <c r="E2" s="1" t="s">
        <v>27</v>
      </c>
      <c r="F2" s="1" t="s">
        <v>11</v>
      </c>
      <c r="G2" s="32"/>
      <c r="H2" s="32"/>
      <c r="I2" s="32"/>
      <c r="J2" s="1" t="s">
        <v>35</v>
      </c>
      <c r="K2" s="1" t="s">
        <v>5</v>
      </c>
      <c r="L2" s="1" t="s">
        <v>10</v>
      </c>
      <c r="M2" s="1" t="s">
        <v>16</v>
      </c>
      <c r="N2" s="12" t="s">
        <v>18</v>
      </c>
    </row>
    <row r="3" spans="1:15" x14ac:dyDescent="0.15">
      <c r="A3" s="23" t="str">
        <f>HYPERLINK("https://www.spark-marketing.ru/Card/Person/4348451", "ПАО ""Т ПЛЮС""")</f>
        <v>ПАО "Т ПЛЮС"</v>
      </c>
      <c r="B3" s="24" t="s">
        <v>47</v>
      </c>
      <c r="C3" s="25">
        <v>1978676.14</v>
      </c>
      <c r="D3" s="22" t="s">
        <v>48</v>
      </c>
      <c r="E3" s="22" t="s">
        <v>49</v>
      </c>
      <c r="F3" s="23" t="str">
        <f>HYPERLINK("https://www.spark-marketing.ru/Card/Lot/74319412", "ТО систем охранных телевизионных и СКУД ТЭЦ-1,2,3")</f>
        <v>ТО систем охранных телевизионных и СКУД ТЭЦ-1,2,3</v>
      </c>
      <c r="G3" s="22" t="s">
        <v>50</v>
      </c>
      <c r="H3" s="22" t="s">
        <v>51</v>
      </c>
      <c r="I3" s="26">
        <v>43752</v>
      </c>
      <c r="J3" s="28" t="s">
        <v>52</v>
      </c>
      <c r="K3" s="28" t="s">
        <v>52</v>
      </c>
      <c r="L3" s="28" t="s">
        <v>52</v>
      </c>
      <c r="M3" s="28" t="s">
        <v>52</v>
      </c>
      <c r="N3" s="28" t="s">
        <v>52</v>
      </c>
    </row>
    <row r="4" spans="1:15" x14ac:dyDescent="0.15">
      <c r="A4" s="28" t="s">
        <v>52</v>
      </c>
      <c r="B4" s="28" t="s">
        <v>52</v>
      </c>
      <c r="C4" s="28" t="s">
        <v>52</v>
      </c>
      <c r="D4" s="22" t="s">
        <v>54</v>
      </c>
      <c r="E4" s="22" t="s">
        <v>53</v>
      </c>
      <c r="F4" s="23" t="str">
        <f>HYPERLINK("https://www.spark-marketing.ru/Card/Lot/74410299", "Беспроводной передатчик DOMONIAL-DET8M-RU и другое (169 шт)")</f>
        <v>Беспроводной передатчик DOMONIAL-DET8M-RU и другое (169 шт)</v>
      </c>
      <c r="G4" s="22" t="s">
        <v>55</v>
      </c>
      <c r="H4" s="22" t="s">
        <v>55</v>
      </c>
      <c r="I4" s="26">
        <v>43755.774849537003</v>
      </c>
      <c r="J4" s="23" t="str">
        <f>HYPERLINK("https://www.spark-marketing.ru/Card/Person/35401", "ПАО МГТС")</f>
        <v>ПАО МГТС</v>
      </c>
      <c r="K4" s="24" t="s">
        <v>56</v>
      </c>
      <c r="L4" s="28" t="s">
        <v>52</v>
      </c>
      <c r="M4" s="25">
        <v>407375</v>
      </c>
      <c r="N4" s="28" t="s">
        <v>52</v>
      </c>
    </row>
    <row r="5" spans="1:15" x14ac:dyDescent="0.15">
      <c r="A5" s="23" t="str">
        <f>HYPERLINK("https://www.spark-marketing.ru/Card/Person/4347257", "ГБУЗ ""РАЙОННАЯ БОЛЬНИЦА П.БРЕДЫ""")</f>
        <v>ГБУЗ "РАЙОННАЯ БОЛЬНИЦА П.БРЕДЫ"</v>
      </c>
      <c r="B5" s="24" t="s">
        <v>57</v>
      </c>
      <c r="C5" s="25">
        <v>422264</v>
      </c>
      <c r="D5" s="22" t="s">
        <v>58</v>
      </c>
      <c r="E5" s="22" t="s">
        <v>59</v>
      </c>
      <c r="F5" s="23" t="str">
        <f>HYPERLINK("https://www.spark-marketing.ru/Card/Lot/74412462", "Услуги по установке оборудования системы видеонаблюдения")</f>
        <v>Услуги по установке оборудования системы видеонаблюдения</v>
      </c>
      <c r="G5" s="22" t="s">
        <v>60</v>
      </c>
      <c r="H5" s="22" t="s">
        <v>61</v>
      </c>
      <c r="I5" s="26">
        <v>43755.636111111096</v>
      </c>
      <c r="J5" s="28" t="s">
        <v>52</v>
      </c>
      <c r="K5" s="28" t="s">
        <v>52</v>
      </c>
      <c r="L5" s="28" t="s">
        <v>52</v>
      </c>
      <c r="M5" s="28" t="s">
        <v>52</v>
      </c>
      <c r="N5" s="28" t="s">
        <v>52</v>
      </c>
    </row>
    <row r="6" spans="1:15" x14ac:dyDescent="0.15">
      <c r="A6" s="23" t="str">
        <f>HYPERLINK("https://www.spark-marketing.ru/Card/Person/4348528", "АО ИК ""АСЭ""")</f>
        <v>АО ИК "АСЭ"</v>
      </c>
      <c r="B6" s="24" t="s">
        <v>62</v>
      </c>
      <c r="C6" s="25">
        <v>0</v>
      </c>
      <c r="D6" s="22" t="s">
        <v>63</v>
      </c>
      <c r="E6" s="22" t="s">
        <v>53</v>
      </c>
      <c r="F6" s="23" t="str">
        <f>HYPERLINK("https://www.spark-marketing.ru/Card/Lot/74416199", "мониторинг цен в электронной форме на оказание услуг Государственной (ведомственной) охраной по обеспечению пропускного и внутриобъектового режимов на объектах сооружения Курской АЭС-2 (энергоблоки №1, №2) в 2020 году")</f>
        <v>мониторинг цен в электронной форме на оказание услуг Государственной (ведомственной) охраной по обеспечению пропускного и внутриобъектового режимов на объектах сооружения Курской АЭС-2 (энергоблоки №1, №2) в 2020 году</v>
      </c>
      <c r="G6" s="22" t="s">
        <v>64</v>
      </c>
      <c r="H6" s="22" t="s">
        <v>65</v>
      </c>
      <c r="I6" s="26">
        <v>43755.743275462999</v>
      </c>
      <c r="J6" s="28" t="s">
        <v>52</v>
      </c>
      <c r="K6" s="28" t="s">
        <v>52</v>
      </c>
      <c r="L6" s="28" t="s">
        <v>52</v>
      </c>
      <c r="M6" s="28" t="s">
        <v>52</v>
      </c>
      <c r="N6" s="28" t="s">
        <v>52</v>
      </c>
    </row>
    <row r="7" spans="1:15" x14ac:dyDescent="0.15">
      <c r="A7" s="23" t="str">
        <f>HYPERLINK("https://www.spark-marketing.ru/Card/Person/13616", "УФНС РОССИИ ПО САХАЛИНСКОЙ ОБЛАСТИ")</f>
        <v>УФНС РОССИИ ПО САХАЛИНСКОЙ ОБЛАСТИ</v>
      </c>
      <c r="B7" s="24" t="s">
        <v>66</v>
      </c>
      <c r="C7" s="25">
        <v>3864960</v>
      </c>
      <c r="D7" s="22" t="s">
        <v>67</v>
      </c>
      <c r="E7" s="22" t="s">
        <v>68</v>
      </c>
      <c r="F7" s="23" t="str">
        <f>HYPERLINK("https://www.spark-marketing.ru/Card/Lot/74398404", "Оказание услуг по обеспечению пропускного и внутриобъектового режимов и охрана имущества, находящегося в административных зданиях, расположенных по адресу: Сахалинская область, г. Южно-Сахалинск, ул. Карла Маркса, 14 и Сахалинская область, г. Южно-Са...")</f>
        <v>Оказание услуг по обеспечению пропускного и внутриобъектового режимов и охрана имущества, находящегося в административных зданиях, расположенных по адресу: Сахалинская область, г. Южно-Сахалинск, ул. Карла Маркса, 14 и Сахалинская область, г. Южно-Са...</v>
      </c>
      <c r="G7" s="22" t="s">
        <v>69</v>
      </c>
      <c r="H7" s="22" t="s">
        <v>69</v>
      </c>
      <c r="I7" s="26">
        <v>43755.541666666701</v>
      </c>
      <c r="J7" s="28" t="s">
        <v>52</v>
      </c>
      <c r="K7" s="28" t="s">
        <v>52</v>
      </c>
      <c r="L7" s="28" t="s">
        <v>52</v>
      </c>
      <c r="M7" s="28" t="s">
        <v>52</v>
      </c>
      <c r="N7" s="28" t="s">
        <v>52</v>
      </c>
    </row>
    <row r="8" spans="1:15" x14ac:dyDescent="0.15">
      <c r="A8" s="23" t="str">
        <f>HYPERLINK("https://www.spark-marketing.ru/Card/Person/79262", "АРТИНСКАЯ ПОСЕЛКОВАЯ АДМИНИСТРАЦИЯ")</f>
        <v>АРТИНСКАЯ ПОСЕЛКОВАЯ АДМИНИСТРАЦИЯ</v>
      </c>
      <c r="B8" s="24" t="s">
        <v>70</v>
      </c>
      <c r="C8" s="25">
        <v>178000</v>
      </c>
      <c r="D8" s="22" t="s">
        <v>71</v>
      </c>
      <c r="E8" s="22" t="s">
        <v>59</v>
      </c>
      <c r="F8" s="23" t="str">
        <f>HYPERLINK("https://www.spark-marketing.ru/Card/Lot/74409726", "Установка системы видеонаблюдения в местах массового пребывания людей")</f>
        <v>Установка системы видеонаблюдения в местах массового пребывания людей</v>
      </c>
      <c r="G8" s="22" t="s">
        <v>72</v>
      </c>
      <c r="H8" s="22" t="s">
        <v>73</v>
      </c>
      <c r="I8" s="26">
        <v>43755.653472222199</v>
      </c>
      <c r="J8" s="28" t="s">
        <v>52</v>
      </c>
      <c r="K8" s="28" t="s">
        <v>52</v>
      </c>
      <c r="L8" s="28" t="s">
        <v>52</v>
      </c>
      <c r="M8" s="28" t="s">
        <v>52</v>
      </c>
      <c r="N8" s="28" t="s">
        <v>52</v>
      </c>
    </row>
    <row r="9" spans="1:15" x14ac:dyDescent="0.15">
      <c r="A9" s="23" t="str">
        <f>HYPERLINK("https://www.spark-marketing.ru/Card/Person/1078097", "МБУК ""МЕЖПОСЕЛЕНЧЕСКАЯ БИБЛИОТЕКА ПУШКИНСКОГО МУНИЦИПАЛЬНОГО РАЙОНА МОСКОВСКОЙ ОБЛАСТИ""")</f>
        <v>МБУК "МЕЖПОСЕЛЕНЧЕСКАЯ БИБЛИОТЕКА ПУШКИНСКОГО МУНИЦИПАЛЬНОГО РАЙОНА МОСКОВСКОЙ ОБЛАСТИ"</v>
      </c>
      <c r="B9" s="24" t="s">
        <v>74</v>
      </c>
      <c r="C9" s="25">
        <v>19000</v>
      </c>
      <c r="D9" s="22" t="s">
        <v>75</v>
      </c>
      <c r="E9" s="22" t="s">
        <v>59</v>
      </c>
      <c r="F9" s="23" t="str">
        <f>HYPERLINK("https://www.spark-marketing.ru/Card/Lot/74407365", "Выполнение работ по установке кнопки тревожной сигнализации (КТС)")</f>
        <v>Выполнение работ по установке кнопки тревожной сигнализации (КТС)</v>
      </c>
      <c r="G9" s="22" t="s">
        <v>50</v>
      </c>
      <c r="H9" s="22" t="s">
        <v>76</v>
      </c>
      <c r="I9" s="26">
        <v>43755.6800462963</v>
      </c>
      <c r="J9" s="28" t="s">
        <v>52</v>
      </c>
      <c r="K9" s="28" t="s">
        <v>52</v>
      </c>
      <c r="L9" s="28" t="s">
        <v>52</v>
      </c>
      <c r="M9" s="28" t="s">
        <v>52</v>
      </c>
      <c r="N9" s="28" t="s">
        <v>52</v>
      </c>
    </row>
    <row r="10" spans="1:15" x14ac:dyDescent="0.15">
      <c r="A10" s="23" t="str">
        <f>HYPERLINK("https://www.spark-marketing.ru/Card/Person/244760", "ГКУ СО ""ДИРЕКЦИЯ ТРАНСПОРТА И ДОРОЖНОГО ХОЗЯЙСТВА""")</f>
        <v>ГКУ СО "ДИРЕКЦИЯ ТРАНСПОРТА И ДОРОЖНОГО ХОЗЯЙСТВА"</v>
      </c>
      <c r="B10" s="24" t="s">
        <v>77</v>
      </c>
      <c r="C10" s="25">
        <v>144177138.72</v>
      </c>
      <c r="D10" s="22" t="s">
        <v>78</v>
      </c>
      <c r="E10" s="22" t="s">
        <v>79</v>
      </c>
      <c r="F10" s="23" t="str">
        <f>HYPERLINK("https://www.spark-marketing.ru/Card/Lot/74417482", "Выполнение работ по оснащению категорированного объекта мостовой переход «Саратов-Энгельс» (автодорожный мост через р. Волга) средствами обеспечения транспортной безопасности, предусмотренных планами обеспечения транспортной безопасности на объектах ...")</f>
        <v>Выполнение работ по оснащению категорированного объекта мостовой переход «Саратов-Энгельс» (автодорожный мост через р. Волга) средствами обеспечения транспортной безопасности, предусмотренных планами обеспечения транспортной безопасности на объектах ...</v>
      </c>
      <c r="G10" s="22" t="s">
        <v>80</v>
      </c>
      <c r="H10" s="22" t="s">
        <v>81</v>
      </c>
      <c r="I10" s="26">
        <v>43755.796527777798</v>
      </c>
      <c r="J10" s="28" t="s">
        <v>52</v>
      </c>
      <c r="K10" s="28" t="s">
        <v>52</v>
      </c>
      <c r="L10" s="28" t="s">
        <v>52</v>
      </c>
      <c r="M10" s="28" t="s">
        <v>52</v>
      </c>
      <c r="N10" s="28" t="s">
        <v>52</v>
      </c>
    </row>
    <row r="11" spans="1:15" x14ac:dyDescent="0.15">
      <c r="A11" s="23" t="str">
        <f>HYPERLINK("https://www.spark-marketing.ru/Card/Person/58147", "АДМИНИСТРАЦИЯ БИСЕРТСКОГО ГОРОДСКОГО ОКРУГА")</f>
        <v>АДМИНИСТРАЦИЯ БИСЕРТСКОГО ГОРОДСКОГО ОКРУГА</v>
      </c>
      <c r="B11" s="24" t="s">
        <v>82</v>
      </c>
      <c r="C11" s="25">
        <v>629347.06999999995</v>
      </c>
      <c r="D11" s="22" t="s">
        <v>83</v>
      </c>
      <c r="E11" s="22" t="s">
        <v>84</v>
      </c>
      <c r="F11" s="23" t="str">
        <f>HYPERLINK("https://www.spark-marketing.ru/Card/Lot/74414033", "Выполнение работ по приобретению и установке системы видеонаблюдения на ГТС и набережную плотины Бисертского водохранилища")</f>
        <v>Выполнение работ по приобретению и установке системы видеонаблюдения на ГТС и набережную плотины Бисертского водохранилища</v>
      </c>
      <c r="G11" s="22" t="s">
        <v>72</v>
      </c>
      <c r="H11" s="22" t="s">
        <v>85</v>
      </c>
      <c r="I11" s="26">
        <v>43755.613194444399</v>
      </c>
      <c r="J11" s="28" t="s">
        <v>52</v>
      </c>
      <c r="K11" s="28" t="s">
        <v>52</v>
      </c>
      <c r="L11" s="28" t="s">
        <v>52</v>
      </c>
      <c r="M11" s="28" t="s">
        <v>52</v>
      </c>
      <c r="N11" s="28" t="s">
        <v>52</v>
      </c>
    </row>
    <row r="12" spans="1:15" x14ac:dyDescent="0.15">
      <c r="A12" s="23" t="str">
        <f>HYPERLINK("https://www.spark-marketing.ru/Card/Person/4924815", "БАЙКАЛЬСКИЙ БАНК ПАО СБЕРБАНК")</f>
        <v>БАЙКАЛЬСКИЙ БАНК ПАО СБЕРБАНК</v>
      </c>
      <c r="B12" s="28" t="s">
        <v>52</v>
      </c>
      <c r="C12" s="25">
        <v>596330.88</v>
      </c>
      <c r="D12" s="22" t="s">
        <v>86</v>
      </c>
      <c r="E12" s="22" t="s">
        <v>53</v>
      </c>
      <c r="F12" s="23" t="str">
        <f>HYPERLINK("https://www.spark-marketing.ru/Card/Lot/74407521", "Оказание услуг по физической охране имущества объекта, расположенного на территории г. Железногорск-Илимский, Иркутская область")</f>
        <v>Оказание услуг по физической охране имущества объекта, расположенного на территории г. Железногорск-Илимский, Иркутская область</v>
      </c>
      <c r="G12" s="22" t="s">
        <v>52</v>
      </c>
      <c r="H12" s="22" t="s">
        <v>52</v>
      </c>
      <c r="I12" s="26">
        <v>43755.475694444402</v>
      </c>
      <c r="J12" s="28" t="s">
        <v>52</v>
      </c>
      <c r="K12" s="28" t="s">
        <v>52</v>
      </c>
      <c r="L12" s="28" t="s">
        <v>52</v>
      </c>
      <c r="M12" s="28" t="s">
        <v>52</v>
      </c>
      <c r="N12" s="28" t="s">
        <v>52</v>
      </c>
    </row>
    <row r="13" spans="1:15" x14ac:dyDescent="0.15">
      <c r="A13" s="23" t="str">
        <f>HYPERLINK("https://www.spark-marketing.ru/Card/Person/6183", "ФГБУ ""НМИЦ ОНКОЛОГИИ ИМ. Н.Н. ПЕТРОВА"" МИНЗДРАВА РОССИИ")</f>
        <v>ФГБУ "НМИЦ ОНКОЛОГИИ ИМ. Н.Н. ПЕТРОВА" МИНЗДРАВА РОССИИ</v>
      </c>
      <c r="B13" s="24" t="s">
        <v>87</v>
      </c>
      <c r="C13" s="25">
        <v>6600000</v>
      </c>
      <c r="D13" s="22" t="s">
        <v>88</v>
      </c>
      <c r="E13" s="22" t="s">
        <v>52</v>
      </c>
      <c r="F13" s="23" t="str">
        <f>HYPERLINK("https://www.spark-marketing.ru/Card/Lot/74417758", "Оказание услуг по охране объектов учреждения и выезда группы быстрого реагирования по тревожным сигналам с объектов учреждения")</f>
        <v>Оказание услуг по охране объектов учреждения и выезда группы быстрого реагирования по тревожным сигналам с объектов учреждения</v>
      </c>
      <c r="G13" s="22" t="s">
        <v>89</v>
      </c>
      <c r="H13" s="22" t="s">
        <v>89</v>
      </c>
      <c r="I13" s="26">
        <v>43755.675694444399</v>
      </c>
      <c r="J13" s="28" t="s">
        <v>52</v>
      </c>
      <c r="K13" s="28" t="s">
        <v>52</v>
      </c>
      <c r="L13" s="28" t="s">
        <v>52</v>
      </c>
      <c r="M13" s="28" t="s">
        <v>52</v>
      </c>
      <c r="N13" s="28" t="s">
        <v>52</v>
      </c>
    </row>
    <row r="14" spans="1:15" x14ac:dyDescent="0.15">
      <c r="A14" s="23" t="str">
        <f>HYPERLINK("https://www.spark-marketing.ru/Card/Person/1804440", "ФКУ ""НАЛОГ-СЕРВИС"" ФНС РОССИИ")</f>
        <v>ФКУ "НАЛОГ-СЕРВИС" ФНС РОССИИ</v>
      </c>
      <c r="B14" s="24" t="s">
        <v>90</v>
      </c>
      <c r="C14" s="25">
        <v>4500</v>
      </c>
      <c r="D14" s="22" t="s">
        <v>91</v>
      </c>
      <c r="E14" s="22" t="s">
        <v>53</v>
      </c>
      <c r="F14" s="23" t="str">
        <f>HYPERLINK("https://www.spark-marketing.ru/Card/Lot/74415394", "Охрана помещений, с использованием средств тревожной сигнализации.")</f>
        <v>Охрана помещений, с использованием средств тревожной сигнализации.</v>
      </c>
      <c r="G14" s="22" t="s">
        <v>89</v>
      </c>
      <c r="H14" s="22" t="s">
        <v>89</v>
      </c>
      <c r="I14" s="26">
        <v>43755.6401273148</v>
      </c>
      <c r="J14" s="28" t="s">
        <v>52</v>
      </c>
      <c r="K14" s="28" t="s">
        <v>52</v>
      </c>
      <c r="L14" s="28" t="s">
        <v>52</v>
      </c>
      <c r="M14" s="28" t="s">
        <v>52</v>
      </c>
      <c r="N14" s="28" t="s">
        <v>52</v>
      </c>
    </row>
    <row r="15" spans="1:15" x14ac:dyDescent="0.15">
      <c r="A15" s="23" t="str">
        <f>HYPERLINK("https://www.spark-marketing.ru/Card/Person/47824", "ГБУЗ НО ""ИНФЕКЦИОННАЯ БОЛЬНИЦА № 23 Г. НИЖНЕГО НОВГОРОДА""")</f>
        <v>ГБУЗ НО "ИНФЕКЦИОННАЯ БОЛЬНИЦА № 23 Г. НИЖНЕГО НОВГОРОДА"</v>
      </c>
      <c r="B15" s="24" t="s">
        <v>92</v>
      </c>
      <c r="C15" s="25">
        <v>110357.52</v>
      </c>
      <c r="D15" s="22" t="s">
        <v>93</v>
      </c>
      <c r="E15" s="22" t="s">
        <v>68</v>
      </c>
      <c r="F15" s="23" t="str">
        <f>HYPERLINK("https://www.spark-marketing.ru/Card/Lot/74409474", "Оказание услуг по охране объектов")</f>
        <v>Оказание услуг по охране объектов</v>
      </c>
      <c r="G15" s="22" t="s">
        <v>64</v>
      </c>
      <c r="H15" s="22" t="s">
        <v>65</v>
      </c>
      <c r="I15" s="26">
        <v>43755.644502314797</v>
      </c>
      <c r="J15" s="28" t="s">
        <v>52</v>
      </c>
      <c r="K15" s="28" t="s">
        <v>52</v>
      </c>
      <c r="L15" s="28" t="s">
        <v>52</v>
      </c>
      <c r="M15" s="28" t="s">
        <v>52</v>
      </c>
      <c r="N15" s="28" t="s">
        <v>52</v>
      </c>
    </row>
    <row r="16" spans="1:15" x14ac:dyDescent="0.15">
      <c r="A16" s="23" t="str">
        <f>HYPERLINK("https://www.spark-marketing.ru/Card/Person/47856", "АДМИНИСТРАЦИЯ ГОРОДА МОЖГИ")</f>
        <v>АДМИНИСТРАЦИЯ ГОРОДА МОЖГИ</v>
      </c>
      <c r="B16" s="24" t="s">
        <v>94</v>
      </c>
      <c r="C16" s="25">
        <v>3345000</v>
      </c>
      <c r="D16" s="22" t="s">
        <v>95</v>
      </c>
      <c r="E16" s="22" t="s">
        <v>59</v>
      </c>
      <c r="F16" s="23" t="str">
        <f>HYPERLINK("https://www.spark-marketing.ru/Card/Lot/74416746", "№ зз-32577-19 Установка системы видеонаблюдения в местах с массовым пребыванием людей в г. Можга")</f>
        <v>№ зз-32577-19 Установка системы видеонаблюдения в местах с массовым пребыванием людей в г. Можга</v>
      </c>
      <c r="G16" s="22" t="s">
        <v>96</v>
      </c>
      <c r="H16" s="22" t="s">
        <v>97</v>
      </c>
      <c r="I16" s="26">
        <v>43755.602083333302</v>
      </c>
      <c r="J16" s="28" t="s">
        <v>52</v>
      </c>
      <c r="K16" s="28" t="s">
        <v>52</v>
      </c>
      <c r="L16" s="28" t="s">
        <v>52</v>
      </c>
      <c r="M16" s="28" t="s">
        <v>52</v>
      </c>
      <c r="N16" s="28" t="s">
        <v>52</v>
      </c>
    </row>
    <row r="17" spans="1:14" x14ac:dyDescent="0.15">
      <c r="A17" s="23" t="str">
        <f>HYPERLINK("https://www.spark-marketing.ru/Card/Person/6219389", "МКУ ""УО МР УФИМСКИЙ РАЙОН РБ""")</f>
        <v>МКУ "УО МР УФИМСКИЙ РАЙОН РБ"</v>
      </c>
      <c r="B17" s="24" t="s">
        <v>98</v>
      </c>
      <c r="C17" s="25">
        <v>8727012</v>
      </c>
      <c r="D17" s="22" t="s">
        <v>99</v>
      </c>
      <c r="E17" s="22" t="s">
        <v>59</v>
      </c>
      <c r="F17" s="23" t="str">
        <f>HYPERLINK("https://www.spark-marketing.ru/Card/Lot/74417373", "выполнение монтажных работ по установке системы видеонаблюдения, системы контроля и управления доступом, системы охранной сигнализации")</f>
        <v>выполнение монтажных работ по установке системы видеонаблюдения, системы контроля и управления доступом, системы охранной сигнализации</v>
      </c>
      <c r="G17" s="22" t="s">
        <v>100</v>
      </c>
      <c r="H17" s="22" t="s">
        <v>100</v>
      </c>
      <c r="I17" s="26">
        <v>43755.635115740697</v>
      </c>
      <c r="J17" s="28" t="s">
        <v>52</v>
      </c>
      <c r="K17" s="28" t="s">
        <v>52</v>
      </c>
      <c r="L17" s="28" t="s">
        <v>52</v>
      </c>
      <c r="M17" s="28" t="s">
        <v>52</v>
      </c>
      <c r="N17" s="28" t="s">
        <v>52</v>
      </c>
    </row>
    <row r="18" spans="1:14" x14ac:dyDescent="0.15">
      <c r="A18" s="23" t="str">
        <f>HYPERLINK("https://www.spark-marketing.ru/Card/Person/996367", "МДОУ Д/С №25 КОМПЕНСИРУЮЩЕГО ВИДА")</f>
        <v>МДОУ Д/С №25 КОМПЕНСИРУЮЩЕГО ВИДА</v>
      </c>
      <c r="B18" s="24" t="s">
        <v>101</v>
      </c>
      <c r="C18" s="25">
        <v>21874.25</v>
      </c>
      <c r="D18" s="22" t="s">
        <v>102</v>
      </c>
      <c r="E18" s="22" t="s">
        <v>103</v>
      </c>
      <c r="F18" s="23" t="str">
        <f>HYPERLINK("https://www.spark-marketing.ru/Card/Lot/74405668", "Дооснащение системы видеонаблюдения (установка 2 камер)")</f>
        <v>Дооснащение системы видеонаблюдения (установка 2 камер)</v>
      </c>
      <c r="G18" s="22" t="s">
        <v>50</v>
      </c>
      <c r="H18" s="22" t="s">
        <v>104</v>
      </c>
      <c r="I18" s="26">
        <v>43755.6381944444</v>
      </c>
      <c r="J18" s="28" t="s">
        <v>52</v>
      </c>
      <c r="K18" s="28" t="s">
        <v>52</v>
      </c>
      <c r="L18" s="28" t="s">
        <v>52</v>
      </c>
      <c r="M18" s="28" t="s">
        <v>52</v>
      </c>
      <c r="N18" s="28" t="s">
        <v>52</v>
      </c>
    </row>
    <row r="19" spans="1:14" x14ac:dyDescent="0.15">
      <c r="A19" s="23" t="str">
        <f>HYPERLINK("https://www.spark-marketing.ru/Card/Person/1029728", "ГБУЗ МО ККВД")</f>
        <v>ГБУЗ МО ККВД</v>
      </c>
      <c r="B19" s="24" t="s">
        <v>105</v>
      </c>
      <c r="C19" s="25">
        <v>19200</v>
      </c>
      <c r="D19" s="22" t="s">
        <v>106</v>
      </c>
      <c r="E19" s="22" t="s">
        <v>107</v>
      </c>
      <c r="F19" s="23" t="str">
        <f>HYPERLINK("https://www.spark-marketing.ru/Card/Lot/74405577", "Услуги по техническому обслуживанию оборудования охранной сигнализации для нужд ГБУЗ МО ККВД")</f>
        <v>Услуги по техническому обслуживанию оборудования охранной сигнализации для нужд ГБУЗ МО ККВД</v>
      </c>
      <c r="G19" s="22" t="s">
        <v>50</v>
      </c>
      <c r="H19" s="22" t="s">
        <v>51</v>
      </c>
      <c r="I19" s="26">
        <v>43755.638912037</v>
      </c>
      <c r="J19" s="28" t="s">
        <v>52</v>
      </c>
      <c r="K19" s="28" t="s">
        <v>52</v>
      </c>
      <c r="L19" s="28" t="s">
        <v>52</v>
      </c>
      <c r="M19" s="28" t="s">
        <v>52</v>
      </c>
      <c r="N19" s="28" t="s">
        <v>52</v>
      </c>
    </row>
    <row r="20" spans="1:14" x14ac:dyDescent="0.15">
      <c r="A20" s="23" t="str">
        <f>HYPERLINK("https://www.spark-marketing.ru/Card/Person/253911", "МКУ ""УК""")</f>
        <v>МКУ "УК"</v>
      </c>
      <c r="B20" s="24" t="s">
        <v>108</v>
      </c>
      <c r="C20" s="25">
        <v>506065</v>
      </c>
      <c r="D20" s="22" t="s">
        <v>109</v>
      </c>
      <c r="E20" s="22" t="s">
        <v>59</v>
      </c>
      <c r="F20" s="23" t="str">
        <f>HYPERLINK("https://www.spark-marketing.ru/Card/Lot/74413701", "Установка систем видеонаблюдения в филиалах Централизованной библиотечной системы г.о. Нальчик")</f>
        <v>Установка систем видеонаблюдения в филиалах Централизованной библиотечной системы г.о. Нальчик</v>
      </c>
      <c r="G20" s="22" t="s">
        <v>110</v>
      </c>
      <c r="H20" s="22" t="s">
        <v>111</v>
      </c>
      <c r="I20" s="26">
        <v>43755.660266203697</v>
      </c>
      <c r="J20" s="28" t="s">
        <v>52</v>
      </c>
      <c r="K20" s="28" t="s">
        <v>52</v>
      </c>
      <c r="L20" s="28" t="s">
        <v>52</v>
      </c>
      <c r="M20" s="28" t="s">
        <v>52</v>
      </c>
      <c r="N20" s="28" t="s">
        <v>52</v>
      </c>
    </row>
    <row r="21" spans="1:14" x14ac:dyDescent="0.15">
      <c r="A21" s="23" t="str">
        <f>HYPERLINK("https://www.spark-marketing.ru/Card/Person/41734", "БАНК ГПБ (АО)")</f>
        <v>БАНК ГПБ (АО)</v>
      </c>
      <c r="B21" s="24" t="s">
        <v>112</v>
      </c>
      <c r="C21" s="28" t="s">
        <v>52</v>
      </c>
      <c r="D21" s="22" t="s">
        <v>113</v>
      </c>
      <c r="E21" s="22" t="s">
        <v>114</v>
      </c>
      <c r="F21" s="23" t="str">
        <f>HYPERLINK("https://www.spark-marketing.ru/Card/Lot/74402330", "оказание услуг по сервисному обслуживанию, банкоматов, информационно-платежных терминалов, систем видеонаблюдения и антискимминга для Банка ГПБ (АО)")</f>
        <v>оказание услуг по сервисному обслуживанию, банкоматов, информационно-платежных терминалов, систем видеонаблюдения и антискимминга для Банка ГПБ (АО)</v>
      </c>
      <c r="G21" s="22" t="s">
        <v>55</v>
      </c>
      <c r="H21" s="22" t="s">
        <v>55</v>
      </c>
      <c r="I21" s="26">
        <v>43755.552083333299</v>
      </c>
      <c r="J21" s="28" t="s">
        <v>52</v>
      </c>
      <c r="K21" s="28" t="s">
        <v>52</v>
      </c>
      <c r="L21" s="28" t="s">
        <v>52</v>
      </c>
      <c r="M21" s="28" t="s">
        <v>52</v>
      </c>
      <c r="N21" s="28" t="s">
        <v>52</v>
      </c>
    </row>
    <row r="22" spans="1:14" x14ac:dyDescent="0.15">
      <c r="A22" s="23" t="str">
        <f>HYPERLINK("https://www.spark-marketing.ru/Card/Person/5119", "ГБУЗ ""ДГП № 15 ДЗМ""")</f>
        <v>ГБУЗ "ДГП № 15 ДЗМ"</v>
      </c>
      <c r="B22" s="24" t="s">
        <v>115</v>
      </c>
      <c r="C22" s="25">
        <v>376175.72</v>
      </c>
      <c r="D22" s="22" t="s">
        <v>116</v>
      </c>
      <c r="E22" s="22" t="s">
        <v>103</v>
      </c>
      <c r="F22" s="23" t="str">
        <f>HYPERLINK("https://www.spark-marketing.ru/Card/Lot/74406762", "Оказание услуг по техническому обслуживанию систем видеонаблюдения")</f>
        <v>Оказание услуг по техническому обслуживанию систем видеонаблюдения</v>
      </c>
      <c r="G22" s="22" t="s">
        <v>55</v>
      </c>
      <c r="H22" s="22" t="s">
        <v>55</v>
      </c>
      <c r="I22" s="26">
        <v>43755.543055555601</v>
      </c>
      <c r="J22" s="28" t="s">
        <v>52</v>
      </c>
      <c r="K22" s="28" t="s">
        <v>52</v>
      </c>
      <c r="L22" s="28" t="s">
        <v>52</v>
      </c>
      <c r="M22" s="28" t="s">
        <v>52</v>
      </c>
      <c r="N22" s="28" t="s">
        <v>52</v>
      </c>
    </row>
    <row r="23" spans="1:14" x14ac:dyDescent="0.15">
      <c r="A23" s="23" t="str">
        <f>HYPERLINK("https://www.spark-marketing.ru/Card/Person/84652", "БУ ""НЕФТЕЮГАНСКАЯ ГОРОДСКАЯ СТАНЦИЯ СКОРОЙ МЕДИЦИНСКОЙ ПОМОЩИ""")</f>
        <v>БУ "НЕФТЕЮГАНСКАЯ ГОРОДСКАЯ СТАНЦИЯ СКОРОЙ МЕДИЦИНСКОЙ ПОМОЩИ"</v>
      </c>
      <c r="B23" s="24" t="s">
        <v>117</v>
      </c>
      <c r="C23" s="25">
        <v>306399.96000000002</v>
      </c>
      <c r="D23" s="22" t="s">
        <v>118</v>
      </c>
      <c r="E23" s="22" t="s">
        <v>52</v>
      </c>
      <c r="F23" s="23" t="str">
        <f>HYPERLINK("https://www.spark-marketing.ru/Card/Lot/74406624", "Оказание услуг по охране помещения для хранения наркотических и сильнодействующих препаратов посредством пульта централизованного наблюдения и кнопки экстренного вызова.")</f>
        <v>Оказание услуг по охране помещения для хранения наркотических и сильнодействующих препаратов посредством пульта централизованного наблюдения и кнопки экстренного вызова.</v>
      </c>
      <c r="G23" s="22" t="s">
        <v>119</v>
      </c>
      <c r="H23" s="22" t="s">
        <v>120</v>
      </c>
      <c r="I23" s="26">
        <v>43755.593055555597</v>
      </c>
      <c r="J23" s="28" t="s">
        <v>52</v>
      </c>
      <c r="K23" s="28" t="s">
        <v>52</v>
      </c>
      <c r="L23" s="28" t="s">
        <v>52</v>
      </c>
      <c r="M23" s="28" t="s">
        <v>52</v>
      </c>
      <c r="N23" s="28" t="s">
        <v>52</v>
      </c>
    </row>
    <row r="24" spans="1:14" collapsed="1" x14ac:dyDescent="0.15">
      <c r="A24" s="23" t="s">
        <v>121</v>
      </c>
      <c r="B24" s="28" t="s">
        <v>52</v>
      </c>
      <c r="C24" s="25">
        <v>22587315.460000001</v>
      </c>
      <c r="D24" s="22" t="s">
        <v>122</v>
      </c>
      <c r="E24" s="22" t="s">
        <v>59</v>
      </c>
      <c r="F24" s="23" t="str">
        <f t="shared" ref="F24:F33" si="0">HYPERLINK("https://www.spark-marketing.ru/Card/Lot/74417755", "Выполнение работ по устройству слаботочных систем для нужд учреждений, подведомственных администрации Центрального района Санкт-Петербурга")</f>
        <v>Выполнение работ по устройству слаботочных систем для нужд учреждений, подведомственных администрации Центрального района Санкт-Петербурга</v>
      </c>
      <c r="G24" s="22" t="s">
        <v>52</v>
      </c>
      <c r="H24" s="22" t="s">
        <v>52</v>
      </c>
      <c r="I24" s="26">
        <v>43755.519444444399</v>
      </c>
      <c r="J24" s="28" t="s">
        <v>52</v>
      </c>
      <c r="K24" s="28" t="s">
        <v>52</v>
      </c>
      <c r="L24" s="28" t="s">
        <v>52</v>
      </c>
      <c r="M24" s="28" t="s">
        <v>52</v>
      </c>
      <c r="N24" s="28" t="s">
        <v>52</v>
      </c>
    </row>
    <row r="25" spans="1:14" hidden="1" outlineLevel="1" x14ac:dyDescent="0.15">
      <c r="A25" s="23" t="str">
        <f>HYPERLINK("https://www.spark-marketing.ru/Card/Person/29168", "ГБОУ ЛИЦЕЙ № 214 ЦЕНТРАЛЬНОГО РАЙОНА САНКТ-ПЕТЕРБУРГА")</f>
        <v>ГБОУ ЛИЦЕЙ № 214 ЦЕНТРАЛЬНОГО РАЙОНА САНКТ-ПЕТЕРБУРГА</v>
      </c>
      <c r="B25" s="24" t="s">
        <v>123</v>
      </c>
      <c r="C25" s="25">
        <v>4234584.99</v>
      </c>
      <c r="D25" s="22" t="s">
        <v>122</v>
      </c>
      <c r="E25" s="22" t="s">
        <v>59</v>
      </c>
      <c r="F25" s="23" t="str">
        <f t="shared" si="0"/>
        <v>Выполнение работ по устройству слаботочных систем для нужд учреждений, подведомственных администрации Центрального района Санкт-Петербурга</v>
      </c>
      <c r="G25" s="22" t="s">
        <v>89</v>
      </c>
      <c r="H25" s="22" t="s">
        <v>89</v>
      </c>
      <c r="I25" s="26">
        <v>43755.519444444399</v>
      </c>
      <c r="J25" s="28" t="s">
        <v>52</v>
      </c>
      <c r="K25" s="28" t="s">
        <v>52</v>
      </c>
      <c r="L25" s="28" t="s">
        <v>52</v>
      </c>
      <c r="M25" s="28" t="s">
        <v>52</v>
      </c>
      <c r="N25" s="28" t="s">
        <v>52</v>
      </c>
    </row>
    <row r="26" spans="1:14" hidden="1" outlineLevel="1" x14ac:dyDescent="0.15">
      <c r="A26" s="23" t="str">
        <f>HYPERLINK("https://www.spark-marketing.ru/Card/Person/112863", "ГБДОУ ДЕТСКИЙ САД № 45 ЦЕНТРАЛЬНОГО РАЙОНА СПБ")</f>
        <v>ГБДОУ ДЕТСКИЙ САД № 45 ЦЕНТРАЛЬНОГО РАЙОНА СПБ</v>
      </c>
      <c r="B26" s="24" t="s">
        <v>124</v>
      </c>
      <c r="C26" s="25">
        <v>777418.99</v>
      </c>
      <c r="D26" s="22" t="s">
        <v>122</v>
      </c>
      <c r="E26" s="22" t="s">
        <v>59</v>
      </c>
      <c r="F26" s="23" t="str">
        <f t="shared" si="0"/>
        <v>Выполнение работ по устройству слаботочных систем для нужд учреждений, подведомственных администрации Центрального района Санкт-Петербурга</v>
      </c>
      <c r="G26" s="22" t="s">
        <v>89</v>
      </c>
      <c r="H26" s="22" t="s">
        <v>89</v>
      </c>
      <c r="I26" s="26">
        <v>43755.519444444399</v>
      </c>
      <c r="J26" s="28" t="s">
        <v>52</v>
      </c>
      <c r="K26" s="28" t="s">
        <v>52</v>
      </c>
      <c r="L26" s="28" t="s">
        <v>52</v>
      </c>
      <c r="M26" s="28" t="s">
        <v>52</v>
      </c>
      <c r="N26" s="28" t="s">
        <v>52</v>
      </c>
    </row>
    <row r="27" spans="1:14" hidden="1" outlineLevel="1" x14ac:dyDescent="0.15">
      <c r="A27" s="23" t="str">
        <f>HYPERLINK("https://www.spark-marketing.ru/Card/Person/112905", "ГБОУ ГИМНАЗИЯ № 171 ЦЕНТРАЛЬНОГО РАЙОНА САНКТ-ПЕТЕРБУРГА")</f>
        <v>ГБОУ ГИМНАЗИЯ № 171 ЦЕНТРАЛЬНОГО РАЙОНА САНКТ-ПЕТЕРБУРГА</v>
      </c>
      <c r="B27" s="24" t="s">
        <v>125</v>
      </c>
      <c r="C27" s="25">
        <v>8291891.0899999999</v>
      </c>
      <c r="D27" s="22" t="s">
        <v>122</v>
      </c>
      <c r="E27" s="22" t="s">
        <v>59</v>
      </c>
      <c r="F27" s="23" t="str">
        <f t="shared" si="0"/>
        <v>Выполнение работ по устройству слаботочных систем для нужд учреждений, подведомственных администрации Центрального района Санкт-Петербурга</v>
      </c>
      <c r="G27" s="22" t="s">
        <v>89</v>
      </c>
      <c r="H27" s="22" t="s">
        <v>89</v>
      </c>
      <c r="I27" s="26">
        <v>43755.519444444399</v>
      </c>
      <c r="J27" s="28" t="s">
        <v>52</v>
      </c>
      <c r="K27" s="28" t="s">
        <v>52</v>
      </c>
      <c r="L27" s="28" t="s">
        <v>52</v>
      </c>
      <c r="M27" s="28" t="s">
        <v>52</v>
      </c>
      <c r="N27" s="28" t="s">
        <v>52</v>
      </c>
    </row>
    <row r="28" spans="1:14" hidden="1" outlineLevel="1" x14ac:dyDescent="0.15">
      <c r="A28" s="23" t="str">
        <f>HYPERLINK("https://www.spark-marketing.ru/Card/Person/117202", "ГБДОУ ДЕТСКИЙ САД № 115 ЦЕНТРАЛЬНОГО РАЙОНА СПБ")</f>
        <v>ГБДОУ ДЕТСКИЙ САД № 115 ЦЕНТРАЛЬНОГО РАЙОНА СПБ</v>
      </c>
      <c r="B28" s="24" t="s">
        <v>126</v>
      </c>
      <c r="C28" s="25">
        <v>803677.88</v>
      </c>
      <c r="D28" s="22" t="s">
        <v>122</v>
      </c>
      <c r="E28" s="22" t="s">
        <v>59</v>
      </c>
      <c r="F28" s="23" t="str">
        <f t="shared" si="0"/>
        <v>Выполнение работ по устройству слаботочных систем для нужд учреждений, подведомственных администрации Центрального района Санкт-Петербурга</v>
      </c>
      <c r="G28" s="22" t="s">
        <v>89</v>
      </c>
      <c r="H28" s="22" t="s">
        <v>89</v>
      </c>
      <c r="I28" s="26">
        <v>43755.519444444399</v>
      </c>
      <c r="J28" s="28" t="s">
        <v>52</v>
      </c>
      <c r="K28" s="28" t="s">
        <v>52</v>
      </c>
      <c r="L28" s="28" t="s">
        <v>52</v>
      </c>
      <c r="M28" s="28" t="s">
        <v>52</v>
      </c>
      <c r="N28" s="28" t="s">
        <v>52</v>
      </c>
    </row>
    <row r="29" spans="1:14" hidden="1" outlineLevel="1" x14ac:dyDescent="0.15">
      <c r="A29" s="23" t="str">
        <f>HYPERLINK("https://www.spark-marketing.ru/Card/Person/241231", "ГБДОУ ДЕТСКИЙ САД № 15 ЦЕНТРАЛЬНОГО РАЙОНА СПБ.")</f>
        <v>ГБДОУ ДЕТСКИЙ САД № 15 ЦЕНТРАЛЬНОГО РАЙОНА СПБ.</v>
      </c>
      <c r="B29" s="24" t="s">
        <v>127</v>
      </c>
      <c r="C29" s="25">
        <v>1011032.25</v>
      </c>
      <c r="D29" s="22" t="s">
        <v>122</v>
      </c>
      <c r="E29" s="22" t="s">
        <v>59</v>
      </c>
      <c r="F29" s="23" t="str">
        <f t="shared" si="0"/>
        <v>Выполнение работ по устройству слаботочных систем для нужд учреждений, подведомственных администрации Центрального района Санкт-Петербурга</v>
      </c>
      <c r="G29" s="22" t="s">
        <v>89</v>
      </c>
      <c r="H29" s="22" t="s">
        <v>89</v>
      </c>
      <c r="I29" s="26">
        <v>43755.519444444399</v>
      </c>
      <c r="J29" s="28" t="s">
        <v>52</v>
      </c>
      <c r="K29" s="28" t="s">
        <v>52</v>
      </c>
      <c r="L29" s="28" t="s">
        <v>52</v>
      </c>
      <c r="M29" s="28" t="s">
        <v>52</v>
      </c>
      <c r="N29" s="28" t="s">
        <v>52</v>
      </c>
    </row>
    <row r="30" spans="1:14" hidden="1" outlineLevel="1" x14ac:dyDescent="0.15">
      <c r="A30" s="23" t="str">
        <f>HYPERLINK("https://www.spark-marketing.ru/Card/Person/4347833", "ГБДОУ ДЕТСКИЙ САД № 81 ЦЕНТРАЛЬНОГО РАЙОНА СПБ")</f>
        <v>ГБДОУ ДЕТСКИЙ САД № 81 ЦЕНТРАЛЬНОГО РАЙОНА СПБ</v>
      </c>
      <c r="B30" s="24" t="s">
        <v>128</v>
      </c>
      <c r="C30" s="25">
        <v>1127430.32</v>
      </c>
      <c r="D30" s="22" t="s">
        <v>122</v>
      </c>
      <c r="E30" s="22" t="s">
        <v>59</v>
      </c>
      <c r="F30" s="23" t="str">
        <f t="shared" si="0"/>
        <v>Выполнение работ по устройству слаботочных систем для нужд учреждений, подведомственных администрации Центрального района Санкт-Петербурга</v>
      </c>
      <c r="G30" s="22" t="s">
        <v>89</v>
      </c>
      <c r="H30" s="22" t="s">
        <v>89</v>
      </c>
      <c r="I30" s="26">
        <v>43755.519444444399</v>
      </c>
      <c r="J30" s="28" t="s">
        <v>52</v>
      </c>
      <c r="K30" s="28" t="s">
        <v>52</v>
      </c>
      <c r="L30" s="28" t="s">
        <v>52</v>
      </c>
      <c r="M30" s="28" t="s">
        <v>52</v>
      </c>
      <c r="N30" s="28" t="s">
        <v>52</v>
      </c>
    </row>
    <row r="31" spans="1:14" hidden="1" outlineLevel="1" x14ac:dyDescent="0.15">
      <c r="A31" s="23" t="str">
        <f>HYPERLINK("https://www.spark-marketing.ru/Card/Person/4352180", "ГБДОУ ДЕТСКИЙ САД № 85 ЦЕНТРАЛЬНОГО РАЙОНА СПБ ""ПСИХОЛОГО-ПЕДАГОГИЧЕСКИЙ ЦЕНТР ПО СОЦИАЛЬНОЙ АДАПТАЦИИ ДЕТЕЙ С ТЯЖЕЛЫМИ НАРУШЕНИЯМИ РЕЧИ""")</f>
        <v>ГБДОУ ДЕТСКИЙ САД № 85 ЦЕНТРАЛЬНОГО РАЙОНА СПБ "ПСИХОЛОГО-ПЕДАГОГИЧЕСКИЙ ЦЕНТР ПО СОЦИАЛЬНОЙ АДАПТАЦИИ ДЕТЕЙ С ТЯЖЕЛЫМИ НАРУШЕНИЯМИ РЕЧИ"</v>
      </c>
      <c r="B31" s="24" t="s">
        <v>129</v>
      </c>
      <c r="C31" s="25">
        <v>1162979.8</v>
      </c>
      <c r="D31" s="22" t="s">
        <v>122</v>
      </c>
      <c r="E31" s="22" t="s">
        <v>59</v>
      </c>
      <c r="F31" s="23" t="str">
        <f t="shared" si="0"/>
        <v>Выполнение работ по устройству слаботочных систем для нужд учреждений, подведомственных администрации Центрального района Санкт-Петербурга</v>
      </c>
      <c r="G31" s="22" t="s">
        <v>89</v>
      </c>
      <c r="H31" s="22" t="s">
        <v>89</v>
      </c>
      <c r="I31" s="26">
        <v>43755.519444444399</v>
      </c>
      <c r="J31" s="28" t="s">
        <v>52</v>
      </c>
      <c r="K31" s="28" t="s">
        <v>52</v>
      </c>
      <c r="L31" s="28" t="s">
        <v>52</v>
      </c>
      <c r="M31" s="28" t="s">
        <v>52</v>
      </c>
      <c r="N31" s="28" t="s">
        <v>52</v>
      </c>
    </row>
    <row r="32" spans="1:14" hidden="1" outlineLevel="1" x14ac:dyDescent="0.15">
      <c r="A32" s="23" t="str">
        <f>HYPERLINK("https://www.spark-marketing.ru/Card/Person/6219590", "ГБОУ ГИМНАЗИЯ 19 ЦЕНТРАЛЬНОГО РН САНКТ ПЕТЕРБУРГА")</f>
        <v>ГБОУ ГИМНАЗИЯ 19 ЦЕНТРАЛЬНОГО РН САНКТ ПЕТЕРБУРГА</v>
      </c>
      <c r="B32" s="28" t="s">
        <v>52</v>
      </c>
      <c r="C32" s="25">
        <v>2118088.4500000002</v>
      </c>
      <c r="D32" s="22" t="s">
        <v>122</v>
      </c>
      <c r="E32" s="22" t="s">
        <v>59</v>
      </c>
      <c r="F32" s="23" t="str">
        <f t="shared" si="0"/>
        <v>Выполнение работ по устройству слаботочных систем для нужд учреждений, подведомственных администрации Центрального района Санкт-Петербурга</v>
      </c>
      <c r="G32" s="22" t="s">
        <v>52</v>
      </c>
      <c r="H32" s="22" t="s">
        <v>52</v>
      </c>
      <c r="I32" s="26">
        <v>43755.519444444399</v>
      </c>
      <c r="J32" s="28" t="s">
        <v>52</v>
      </c>
      <c r="K32" s="28" t="s">
        <v>52</v>
      </c>
      <c r="L32" s="28" t="s">
        <v>52</v>
      </c>
      <c r="M32" s="28" t="s">
        <v>52</v>
      </c>
      <c r="N32" s="28" t="s">
        <v>52</v>
      </c>
    </row>
    <row r="33" spans="1:14" hidden="1" outlineLevel="1" x14ac:dyDescent="0.15">
      <c r="A33" s="23" t="str">
        <f>HYPERLINK("https://www.spark-marketing.ru/Card/Person/6266442", "ГБОУ НАЧАЛЬНАЯ ШКОЛА Д/С 62 ЦЕНТРАЛЬНОГО РН САНКТ ПЕТЕРБУРГА РОСТОК")</f>
        <v>ГБОУ НАЧАЛЬНАЯ ШКОЛА Д/С 62 ЦЕНТРАЛЬНОГО РН САНКТ ПЕТЕРБУРГА РОСТОК</v>
      </c>
      <c r="B33" s="28" t="s">
        <v>52</v>
      </c>
      <c r="C33" s="25">
        <v>3060211.69</v>
      </c>
      <c r="D33" s="22" t="s">
        <v>122</v>
      </c>
      <c r="E33" s="22" t="s">
        <v>59</v>
      </c>
      <c r="F33" s="23" t="str">
        <f t="shared" si="0"/>
        <v>Выполнение работ по устройству слаботочных систем для нужд учреждений, подведомственных администрации Центрального района Санкт-Петербурга</v>
      </c>
      <c r="G33" s="22" t="s">
        <v>52</v>
      </c>
      <c r="H33" s="22" t="s">
        <v>52</v>
      </c>
      <c r="I33" s="26">
        <v>43755.519444444399</v>
      </c>
      <c r="J33" s="28" t="s">
        <v>52</v>
      </c>
      <c r="K33" s="28" t="s">
        <v>52</v>
      </c>
      <c r="L33" s="28" t="s">
        <v>52</v>
      </c>
      <c r="M33" s="28" t="s">
        <v>52</v>
      </c>
      <c r="N33" s="28" t="s">
        <v>52</v>
      </c>
    </row>
    <row r="34" spans="1:14" x14ac:dyDescent="0.15">
      <c r="A34" s="23" t="str">
        <f>HYPERLINK("https://www.spark-marketing.ru/Card/Person/175573", "ОТДЕЛ МВД РОССИИ ПО БЕЛОРЕЧЕНСКОМУ РАЙОНУ")</f>
        <v>ОТДЕЛ МВД РОССИИ ПО БЕЛОРЕЧЕНСКОМУ РАЙОНУ</v>
      </c>
      <c r="B34" s="24" t="s">
        <v>130</v>
      </c>
      <c r="C34" s="25">
        <v>89000</v>
      </c>
      <c r="D34" s="22" t="s">
        <v>131</v>
      </c>
      <c r="E34" s="22" t="s">
        <v>84</v>
      </c>
      <c r="F34" s="23" t="str">
        <f>HYPERLINK("https://www.spark-marketing.ru/Card/Lot/74415859", "Монтаж, установка, сборка систем охранного видеонаблюдения, 1 шт")</f>
        <v>Монтаж, установка, сборка систем охранного видеонаблюдения, 1 шт</v>
      </c>
      <c r="G34" s="22" t="s">
        <v>132</v>
      </c>
      <c r="H34" s="22" t="s">
        <v>133</v>
      </c>
      <c r="I34" s="26">
        <v>43755.477337962999</v>
      </c>
      <c r="J34" s="28" t="s">
        <v>52</v>
      </c>
      <c r="K34" s="28" t="s">
        <v>52</v>
      </c>
      <c r="L34" s="28" t="s">
        <v>52</v>
      </c>
      <c r="M34" s="28" t="s">
        <v>52</v>
      </c>
      <c r="N34" s="28" t="s">
        <v>52</v>
      </c>
    </row>
    <row r="35" spans="1:14" x14ac:dyDescent="0.15">
      <c r="A35" s="28" t="s">
        <v>52</v>
      </c>
      <c r="B35" s="28" t="s">
        <v>52</v>
      </c>
      <c r="C35" s="28" t="s">
        <v>52</v>
      </c>
      <c r="D35" s="22" t="s">
        <v>134</v>
      </c>
      <c r="E35" s="22" t="s">
        <v>53</v>
      </c>
      <c r="F35" s="23" t="str">
        <f>HYPERLINK("https://www.spark-marketing.ru/Card/Lot/74398361", "Комплектующие для RVI в ассортименте (637 шт)")</f>
        <v>Комплектующие для RVI в ассортименте (637 шт)</v>
      </c>
      <c r="G35" s="22" t="s">
        <v>55</v>
      </c>
      <c r="H35" s="22" t="s">
        <v>55</v>
      </c>
      <c r="I35" s="26">
        <v>43755.4683449074</v>
      </c>
      <c r="J35" s="23" t="str">
        <f>HYPERLINK("https://www.spark-marketing.ru/Card/Person/35401", "ПАО МГТС")</f>
        <v>ПАО МГТС</v>
      </c>
      <c r="K35" s="24" t="s">
        <v>56</v>
      </c>
      <c r="L35" s="28" t="s">
        <v>52</v>
      </c>
      <c r="M35" s="25">
        <v>1003532</v>
      </c>
      <c r="N35" s="28" t="s">
        <v>52</v>
      </c>
    </row>
    <row r="36" spans="1:14" x14ac:dyDescent="0.15">
      <c r="A36" s="23" t="str">
        <f>HYPERLINK("https://www.spark-marketing.ru/Card/Person/4358393", "ООО ""РН-ВНП""")</f>
        <v>ООО "РН-ВНП"</v>
      </c>
      <c r="B36" s="24" t="s">
        <v>135</v>
      </c>
      <c r="C36" s="28" t="s">
        <v>52</v>
      </c>
      <c r="D36" s="22" t="s">
        <v>136</v>
      </c>
      <c r="E36" s="22" t="s">
        <v>137</v>
      </c>
      <c r="F36" s="23" t="str">
        <f>HYPERLINK("https://www.spark-marketing.ru/Card/Lot/74396385", "Выполнение работ по техническому обслуживанию систем видеонаблюдения АЗС/АЗК в г. Комсомольске-на-Амуре")</f>
        <v>Выполнение работ по техническому обслуживанию систем видеонаблюдения АЗС/АЗК в г. Комсомольске-на-Амуре</v>
      </c>
      <c r="G36" s="22" t="s">
        <v>138</v>
      </c>
      <c r="H36" s="22" t="s">
        <v>139</v>
      </c>
      <c r="I36" s="26">
        <v>43755.432638888902</v>
      </c>
      <c r="J36" s="28" t="s">
        <v>52</v>
      </c>
      <c r="K36" s="28" t="s">
        <v>52</v>
      </c>
      <c r="L36" s="28" t="s">
        <v>52</v>
      </c>
      <c r="M36" s="28" t="s">
        <v>52</v>
      </c>
      <c r="N36" s="28" t="s">
        <v>52</v>
      </c>
    </row>
    <row r="37" spans="1:14" x14ac:dyDescent="0.15">
      <c r="A37" s="23" t="str">
        <f>HYPERLINK("https://www.spark-marketing.ru/Card/Person/124127", "СУ СК РОССИИ ПО ПСКОВСКОЙ ОБЛАСТИ")</f>
        <v>СУ СК РОССИИ ПО ПСКОВСКОЙ ОБЛАСТИ</v>
      </c>
      <c r="B37" s="24" t="s">
        <v>140</v>
      </c>
      <c r="C37" s="25">
        <v>2734283.52</v>
      </c>
      <c r="D37" s="22" t="s">
        <v>141</v>
      </c>
      <c r="E37" s="22" t="s">
        <v>68</v>
      </c>
      <c r="F37" s="23" t="str">
        <f>HYPERLINK("https://www.spark-marketing.ru/Card/Lot/74398070", "Охрана объекта следственного управления Следственного комитета Российской Федерации по Псковской области, по адресу: Псковская область, г. Псков, Комиссаровский пер., д. 1, обеспечение на охраняемом объекте пропускного и внутриобъектового режима, охр...")</f>
        <v>Охрана объекта следственного управления Следственного комитета Российской Федерации по Псковской области, по адресу: Псковская область, г. Псков, Комиссаровский пер., д. 1, обеспечение на охраняемом объекте пропускного и внутриобъектового режима, охр...</v>
      </c>
      <c r="G37" s="22" t="s">
        <v>142</v>
      </c>
      <c r="H37" s="22" t="s">
        <v>142</v>
      </c>
      <c r="I37" s="26">
        <v>43755.379861111098</v>
      </c>
      <c r="J37" s="28" t="s">
        <v>52</v>
      </c>
      <c r="K37" s="28" t="s">
        <v>52</v>
      </c>
      <c r="L37" s="28" t="s">
        <v>52</v>
      </c>
      <c r="M37" s="28" t="s">
        <v>52</v>
      </c>
      <c r="N37" s="28" t="s">
        <v>52</v>
      </c>
    </row>
    <row r="38" spans="1:14" x14ac:dyDescent="0.15">
      <c r="A38" s="23" t="str">
        <f>HYPERLINK("https://www.spark-marketing.ru/Card/Person/307350", "Филиал ""Владимирский"" ПАО ""Т Плюс""")</f>
        <v>Филиал "Владимирский" ПАО "Т Плюс"</v>
      </c>
      <c r="B38" s="24" t="s">
        <v>47</v>
      </c>
      <c r="C38" s="25">
        <v>21215890.440000001</v>
      </c>
      <c r="D38" s="22" t="s">
        <v>143</v>
      </c>
      <c r="E38" s="22" t="s">
        <v>144</v>
      </c>
      <c r="F38" s="23" t="str">
        <f>HYPERLINK("https://www.spark-marketing.ru/Card/Lot/74401264", "Открытый запрос предложений № ОЗП-57/ВФ на право заключения договора, на оказание услуг охраны объектов для нужд филиала «Владимирский» ПАО «Т Плюс»")</f>
        <v>Открытый запрос предложений № ОЗП-57/ВФ на право заключения договора, на оказание услуг охраны объектов для нужд филиала «Владимирский» ПАО «Т Плюс»</v>
      </c>
      <c r="G38" s="22" t="s">
        <v>145</v>
      </c>
      <c r="H38" s="22" t="s">
        <v>146</v>
      </c>
      <c r="I38" s="26">
        <v>43755.385219907403</v>
      </c>
      <c r="J38" s="28" t="s">
        <v>52</v>
      </c>
      <c r="K38" s="28" t="s">
        <v>52</v>
      </c>
      <c r="L38" s="28" t="s">
        <v>52</v>
      </c>
      <c r="M38" s="28" t="s">
        <v>52</v>
      </c>
      <c r="N38" s="28" t="s">
        <v>52</v>
      </c>
    </row>
    <row r="39" spans="1:14" x14ac:dyDescent="0.15">
      <c r="A39" s="23" t="str">
        <f>HYPERLINK("https://www.spark-marketing.ru/Card/Person/126803", "ОГАУЗ ""ТОМСКАЯ РБ""")</f>
        <v>ОГАУЗ "ТОМСКАЯ РБ"</v>
      </c>
      <c r="B39" s="24" t="s">
        <v>147</v>
      </c>
      <c r="C39" s="25">
        <v>2375035</v>
      </c>
      <c r="D39" s="22" t="s">
        <v>148</v>
      </c>
      <c r="E39" s="22" t="s">
        <v>149</v>
      </c>
      <c r="F39" s="23" t="str">
        <f>HYPERLINK("https://www.spark-marketing.ru/Card/Lot/74362299", "Поставка, установка и ввод в эксплуатацию видеоэндоскопической системы для гастроскопии для нужд ОГАУЗ «Томская РБ»")</f>
        <v>Поставка, установка и ввод в эксплуатацию видеоэндоскопической системы для гастроскопии для нужд ОГАУЗ «Томская РБ»</v>
      </c>
      <c r="G39" s="22" t="s">
        <v>150</v>
      </c>
      <c r="H39" s="22" t="s">
        <v>151</v>
      </c>
      <c r="I39" s="26">
        <v>43754</v>
      </c>
      <c r="J39" s="28" t="s">
        <v>52</v>
      </c>
      <c r="K39" s="28" t="s">
        <v>52</v>
      </c>
      <c r="L39" s="28" t="s">
        <v>52</v>
      </c>
      <c r="M39" s="28" t="s">
        <v>52</v>
      </c>
      <c r="N39" s="28" t="s">
        <v>52</v>
      </c>
    </row>
    <row r="40" spans="1:14" x14ac:dyDescent="0.15">
      <c r="A40" s="23" t="str">
        <f>HYPERLINK("https://www.spark-marketing.ru/Card/Person/4366030", "ПАО ""ТГК-2""")</f>
        <v>ПАО "ТГК-2"</v>
      </c>
      <c r="B40" s="24" t="s">
        <v>152</v>
      </c>
      <c r="C40" s="25">
        <v>39468000</v>
      </c>
      <c r="D40" s="22" t="s">
        <v>153</v>
      </c>
      <c r="E40" s="22" t="s">
        <v>154</v>
      </c>
      <c r="F40" s="23" t="str">
        <f>HYPERLINK("https://www.spark-marketing.ru/Card/Lot/74410512", "Оказание услуг по ведомственной охране объектов")</f>
        <v>Оказание услуг по ведомственной охране объектов</v>
      </c>
      <c r="G40" s="22" t="s">
        <v>155</v>
      </c>
      <c r="H40" s="22" t="s">
        <v>156</v>
      </c>
      <c r="I40" s="26">
        <v>43755</v>
      </c>
      <c r="J40" s="28" t="s">
        <v>52</v>
      </c>
      <c r="K40" s="28" t="s">
        <v>52</v>
      </c>
      <c r="L40" s="28" t="s">
        <v>52</v>
      </c>
      <c r="M40" s="28" t="s">
        <v>52</v>
      </c>
      <c r="N40" s="28" t="s">
        <v>52</v>
      </c>
    </row>
    <row r="41" spans="1:14" x14ac:dyDescent="0.15">
      <c r="A41" s="23" t="str">
        <f>HYPERLINK("https://www.spark-marketing.ru/Card/Person/1597485", "АО ""АТОМСПЕЦТРАНС""")</f>
        <v>АО "АТОМСПЕЦТРАНС"</v>
      </c>
      <c r="B41" s="24" t="s">
        <v>157</v>
      </c>
      <c r="C41" s="28" t="s">
        <v>52</v>
      </c>
      <c r="D41" s="22" t="s">
        <v>158</v>
      </c>
      <c r="E41" s="22" t="s">
        <v>53</v>
      </c>
      <c r="F41" s="23" t="str">
        <f>HYPERLINK("https://www.spark-marketing.ru/Card/Lot/74404201", "Физическая охрана объектов для нужд Сибирского филиала АО ""Атомспецтранс"" (1366067)")</f>
        <v>Физическая охрана объектов для нужд Сибирского филиала АО "Атомспецтранс" (1366067)</v>
      </c>
      <c r="G41" s="22" t="s">
        <v>55</v>
      </c>
      <c r="H41" s="22" t="s">
        <v>55</v>
      </c>
      <c r="I41" s="26">
        <v>43755.459756944401</v>
      </c>
      <c r="J41" s="28" t="s">
        <v>52</v>
      </c>
      <c r="K41" s="28" t="s">
        <v>52</v>
      </c>
      <c r="L41" s="28" t="s">
        <v>52</v>
      </c>
      <c r="M41" s="28" t="s">
        <v>52</v>
      </c>
      <c r="N41" s="28" t="s">
        <v>52</v>
      </c>
    </row>
    <row r="42" spans="1:14" x14ac:dyDescent="0.15">
      <c r="A42" s="23" t="str">
        <f>HYPERLINK("https://www.spark-marketing.ru/Card/Person/38622", "АО ""СХК""")</f>
        <v>АО "СХК"</v>
      </c>
      <c r="B42" s="24" t="s">
        <v>159</v>
      </c>
      <c r="C42" s="28" t="s">
        <v>52</v>
      </c>
      <c r="D42" s="22" t="s">
        <v>160</v>
      </c>
      <c r="E42" s="22" t="s">
        <v>53</v>
      </c>
      <c r="F42" s="23" t="str">
        <f>HYPERLINK("https://www.spark-marketing.ru/Card/Lot/74403925", "оказание услуг пультовой охраны на объектах АО «СХК» (1366176)")</f>
        <v>оказание услуг пультовой охраны на объектах АО «СХК» (1366176)</v>
      </c>
      <c r="G42" s="22" t="s">
        <v>150</v>
      </c>
      <c r="H42" s="22" t="s">
        <v>161</v>
      </c>
      <c r="I42" s="26">
        <v>43755.519236111097</v>
      </c>
      <c r="J42" s="28" t="s">
        <v>52</v>
      </c>
      <c r="K42" s="28" t="s">
        <v>52</v>
      </c>
      <c r="L42" s="28" t="s">
        <v>52</v>
      </c>
      <c r="M42" s="28" t="s">
        <v>52</v>
      </c>
      <c r="N42" s="28" t="s">
        <v>52</v>
      </c>
    </row>
    <row r="43" spans="1:14" x14ac:dyDescent="0.15">
      <c r="A43" s="23" t="str">
        <f>HYPERLINK("https://www.spark-marketing.ru/Card/Person/1338911", "ООО ""НОРНИКЕЛЬ - ОБЩИЙ ЦЕНТР ОБСЛУЖИВАНИЯ""")</f>
        <v>ООО "НОРНИКЕЛЬ - ОБЩИЙ ЦЕНТР ОБСЛУЖИВАНИЯ"</v>
      </c>
      <c r="B43" s="24" t="s">
        <v>162</v>
      </c>
      <c r="C43" s="28" t="s">
        <v>52</v>
      </c>
      <c r="D43" s="28" t="s">
        <v>52</v>
      </c>
      <c r="E43" s="22" t="s">
        <v>53</v>
      </c>
      <c r="F43" s="23" t="str">
        <f>HYPERLINK("https://www.spark-marketing.ru/Card/Lot/74405515", "Выполнение работ в рамках создания систем Видеомониторинга» в том числе поставка материалов для нужд Заполярного филиала«Норникель-Общий центр обслуживания» (№ НО/1085)")</f>
        <v>Выполнение работ в рамках создания систем Видеомониторинга» в том числе поставка материалов для нужд Заполярного филиала«Норникель-Общий центр обслуживания» (№ НО/1085)</v>
      </c>
      <c r="G43" s="22" t="s">
        <v>55</v>
      </c>
      <c r="H43" s="22" t="s">
        <v>55</v>
      </c>
      <c r="I43" s="26">
        <v>43755</v>
      </c>
      <c r="J43" s="28" t="s">
        <v>52</v>
      </c>
      <c r="K43" s="28" t="s">
        <v>52</v>
      </c>
      <c r="L43" s="28" t="s">
        <v>52</v>
      </c>
      <c r="M43" s="28" t="s">
        <v>52</v>
      </c>
      <c r="N43" s="28" t="s">
        <v>52</v>
      </c>
    </row>
    <row r="44" spans="1:14" x14ac:dyDescent="0.15">
      <c r="A44" s="23" t="str">
        <f>HYPERLINK("https://www.spark-marketing.ru/Card/Person/95245", "ОАО ""РЖД""")</f>
        <v>ОАО "РЖД"</v>
      </c>
      <c r="B44" s="24" t="s">
        <v>163</v>
      </c>
      <c r="C44" s="25">
        <v>2399923.2000000002</v>
      </c>
      <c r="D44" s="22" t="s">
        <v>164</v>
      </c>
      <c r="E44" s="22" t="s">
        <v>165</v>
      </c>
      <c r="F44" s="23" t="str">
        <f>HYPERLINK("https://www.spark-marketing.ru/Card/Lot/74408393", "На право заключения договора оказания услуг по техническому обслуживанию систем внешнего видеонаблюдения на высокоскоростных поездах ""Сапсан""")</f>
        <v>На право заключения договора оказания услуг по техническому обслуживанию систем внешнего видеонаблюдения на высокоскоростных поездах "Сапсан"</v>
      </c>
      <c r="G44" s="22" t="s">
        <v>55</v>
      </c>
      <c r="H44" s="22" t="s">
        <v>55</v>
      </c>
      <c r="I44" s="26">
        <v>43755</v>
      </c>
      <c r="J44" s="28" t="s">
        <v>52</v>
      </c>
      <c r="K44" s="28" t="s">
        <v>52</v>
      </c>
      <c r="L44" s="28" t="s">
        <v>52</v>
      </c>
      <c r="M44" s="28" t="s">
        <v>52</v>
      </c>
      <c r="N44" s="28" t="s">
        <v>52</v>
      </c>
    </row>
    <row r="45" spans="1:14" x14ac:dyDescent="0.15">
      <c r="A45" s="23" t="str">
        <f>HYPERLINK("https://www.spark-marketing.ru/Card/Person/4348451", "ПАО ""Т ПЛЮС""")</f>
        <v>ПАО "Т ПЛЮС"</v>
      </c>
      <c r="B45" s="24" t="s">
        <v>47</v>
      </c>
      <c r="C45" s="25">
        <v>21215890.440000001</v>
      </c>
      <c r="D45" s="22" t="s">
        <v>166</v>
      </c>
      <c r="E45" s="22" t="s">
        <v>144</v>
      </c>
      <c r="F45" s="23" t="str">
        <f>HYPERLINK("https://www.spark-marketing.ru/Card/Lot/74397075", "Открытый запрос предложений № ОЗП-57/ВФ на право заключения договора, на оказание услуг охраны объектов для нужд филиала «Владимирский» ПАО «Т Плюс»")</f>
        <v>Открытый запрос предложений № ОЗП-57/ВФ на право заключения договора, на оказание услуг охраны объектов для нужд филиала «Владимирский» ПАО «Т Плюс»</v>
      </c>
      <c r="G45" s="22" t="s">
        <v>50</v>
      </c>
      <c r="H45" s="22" t="s">
        <v>51</v>
      </c>
      <c r="I45" s="26">
        <v>43755</v>
      </c>
      <c r="J45" s="28" t="s">
        <v>52</v>
      </c>
      <c r="K45" s="28" t="s">
        <v>52</v>
      </c>
      <c r="L45" s="28" t="s">
        <v>52</v>
      </c>
      <c r="M45" s="28" t="s">
        <v>52</v>
      </c>
      <c r="N45" s="28" t="s">
        <v>52</v>
      </c>
    </row>
    <row r="46" spans="1:14" x14ac:dyDescent="0.15">
      <c r="A46" s="23" t="str">
        <f>HYPERLINK("https://www.spark-marketing.ru/Card/Person/4695456", "РУСАЛ")</f>
        <v>РУСАЛ</v>
      </c>
      <c r="B46" s="28" t="s">
        <v>52</v>
      </c>
      <c r="C46" s="28" t="s">
        <v>52</v>
      </c>
      <c r="D46" s="22" t="s">
        <v>167</v>
      </c>
      <c r="E46" s="22" t="s">
        <v>53</v>
      </c>
      <c r="F46" s="23" t="str">
        <f>HYPERLINK("https://www.spark-marketing.ru/Card/Lot/74368601", "У-50/20 ""Обслуживание противопожарной сигнализации жилого фонда ЗАО ""БоАЗ""")</f>
        <v>У-50/20 "Обслуживание противопожарной сигнализации жилого фонда ЗАО "БоАЗ"</v>
      </c>
      <c r="G46" s="22" t="s">
        <v>52</v>
      </c>
      <c r="H46" s="22" t="s">
        <v>52</v>
      </c>
      <c r="I46" s="26">
        <v>43755</v>
      </c>
      <c r="J46" s="28" t="s">
        <v>52</v>
      </c>
      <c r="K46" s="28" t="s">
        <v>52</v>
      </c>
      <c r="L46" s="28" t="s">
        <v>52</v>
      </c>
      <c r="M46" s="28" t="s">
        <v>52</v>
      </c>
      <c r="N46" s="28" t="s">
        <v>52</v>
      </c>
    </row>
    <row r="47" spans="1:14" x14ac:dyDescent="0.15">
      <c r="A47" s="23" t="str">
        <f>HYPERLINK("https://www.spark-marketing.ru/Card/Person/4366030", "ПАО ""ТГК-2""")</f>
        <v>ПАО "ТГК-2"</v>
      </c>
      <c r="B47" s="24" t="s">
        <v>152</v>
      </c>
      <c r="C47" s="25">
        <v>7524000</v>
      </c>
      <c r="D47" s="22" t="s">
        <v>168</v>
      </c>
      <c r="E47" s="22" t="s">
        <v>154</v>
      </c>
      <c r="F47" s="23" t="str">
        <f>HYPERLINK("https://www.spark-marketing.ru/Card/Lot/74408226", "Оказание услуг по ведомственной охране объекта")</f>
        <v>Оказание услуг по ведомственной охране объекта</v>
      </c>
      <c r="G47" s="22" t="s">
        <v>155</v>
      </c>
      <c r="H47" s="22" t="s">
        <v>156</v>
      </c>
      <c r="I47" s="26">
        <v>43755</v>
      </c>
      <c r="J47" s="28" t="s">
        <v>52</v>
      </c>
      <c r="K47" s="28" t="s">
        <v>52</v>
      </c>
      <c r="L47" s="28" t="s">
        <v>52</v>
      </c>
      <c r="M47" s="28" t="s">
        <v>52</v>
      </c>
      <c r="N47" s="28" t="s">
        <v>52</v>
      </c>
    </row>
    <row r="48" spans="1:14" x14ac:dyDescent="0.15">
      <c r="A48" s="23" t="str">
        <f>HYPERLINK("https://www.spark-marketing.ru/Card/Person/4348528", "АО ИК ""АСЭ""")</f>
        <v>АО ИК "АСЭ"</v>
      </c>
      <c r="B48" s="24" t="s">
        <v>62</v>
      </c>
      <c r="C48" s="28" t="s">
        <v>52</v>
      </c>
      <c r="D48" s="22" t="s">
        <v>169</v>
      </c>
      <c r="E48" s="22" t="s">
        <v>53</v>
      </c>
      <c r="F48" s="23" t="str">
        <f>HYPERLINK("https://www.spark-marketing.ru/Card/Lot/74413395", "оказание услуг Государственной (ведомственной) охраной по обеспечению пропускного и внутриобъектового режимов на объектах сооружения Курской АЭС-2 (энергоблоки №1, №2) в 2020 году (1366597)")</f>
        <v>оказание услуг Государственной (ведомственной) охраной по обеспечению пропускного и внутриобъектового режимов на объектах сооружения Курской АЭС-2 (энергоблоки №1, №2) в 2020 году (1366597)</v>
      </c>
      <c r="G48" s="22" t="s">
        <v>64</v>
      </c>
      <c r="H48" s="22" t="s">
        <v>65</v>
      </c>
      <c r="I48" s="26">
        <v>43755.727847222202</v>
      </c>
      <c r="J48" s="28" t="s">
        <v>52</v>
      </c>
      <c r="K48" s="28" t="s">
        <v>52</v>
      </c>
      <c r="L48" s="28" t="s">
        <v>52</v>
      </c>
      <c r="M48" s="28" t="s">
        <v>52</v>
      </c>
      <c r="N48" s="28" t="s">
        <v>52</v>
      </c>
    </row>
    <row r="49" spans="1:14" x14ac:dyDescent="0.15">
      <c r="A49" s="23" t="str">
        <f>HYPERLINK("https://www.spark-marketing.ru/Card/Person/4348528", "АО ИК ""АСЭ""")</f>
        <v>АО ИК "АСЭ"</v>
      </c>
      <c r="B49" s="24" t="s">
        <v>62</v>
      </c>
      <c r="C49" s="28" t="s">
        <v>52</v>
      </c>
      <c r="D49" s="22" t="s">
        <v>170</v>
      </c>
      <c r="E49" s="22" t="s">
        <v>53</v>
      </c>
      <c r="F49" s="23" t="str">
        <f>HYPERLINK("https://www.spark-marketing.ru/Card/Lot/74413335", "оказание услуг Государственной (ведомственной) охраной по обеспечению пропускного и внутриобъектового режимов на объектах сооружения Курской АЭС-2 (энергоблоки №1, №2) в 2020 году (1366622)")</f>
        <v>оказание услуг Государственной (ведомственной) охраной по обеспечению пропускного и внутриобъектового режимов на объектах сооружения Курской АЭС-2 (энергоблоки №1, №2) в 2020 году (1366622)</v>
      </c>
      <c r="G49" s="22" t="s">
        <v>64</v>
      </c>
      <c r="H49" s="22" t="s">
        <v>65</v>
      </c>
      <c r="I49" s="26">
        <v>43755.743252314802</v>
      </c>
      <c r="J49" s="28" t="s">
        <v>52</v>
      </c>
      <c r="K49" s="28" t="s">
        <v>52</v>
      </c>
      <c r="L49" s="28" t="s">
        <v>52</v>
      </c>
      <c r="M49" s="28" t="s">
        <v>52</v>
      </c>
      <c r="N49" s="28" t="s">
        <v>52</v>
      </c>
    </row>
    <row r="50" spans="1:14" x14ac:dyDescent="0.15">
      <c r="A50" s="23" t="str">
        <f>HYPERLINK("https://www.spark-marketing.ru/Card/Person/4366030", "ПАО ""ТГК-2""")</f>
        <v>ПАО "ТГК-2"</v>
      </c>
      <c r="B50" s="24" t="s">
        <v>152</v>
      </c>
      <c r="C50" s="25">
        <v>27324000</v>
      </c>
      <c r="D50" s="22" t="s">
        <v>171</v>
      </c>
      <c r="E50" s="22" t="s">
        <v>172</v>
      </c>
      <c r="F50" s="23" t="str">
        <f>HYPERLINK("https://www.spark-marketing.ru/Card/Lot/74410509", "Оказание услуг по ведомственной охране объектов")</f>
        <v>Оказание услуг по ведомственной охране объектов</v>
      </c>
      <c r="G50" s="22" t="s">
        <v>155</v>
      </c>
      <c r="H50" s="22" t="s">
        <v>156</v>
      </c>
      <c r="I50" s="26">
        <v>43755</v>
      </c>
      <c r="J50" s="28" t="s">
        <v>52</v>
      </c>
      <c r="K50" s="28" t="s">
        <v>52</v>
      </c>
      <c r="L50" s="28" t="s">
        <v>52</v>
      </c>
      <c r="M50" s="28" t="s">
        <v>52</v>
      </c>
      <c r="N50" s="28" t="s">
        <v>52</v>
      </c>
    </row>
    <row r="51" spans="1:14" x14ac:dyDescent="0.15">
      <c r="A51" s="23" t="str">
        <f>HYPERLINK("https://www.spark-marketing.ru/Card/Person/127201", "ОГБУЗ ""РОВЕНЬСКАЯ ЦРБ""")</f>
        <v>ОГБУЗ "РОВЕНЬСКАЯ ЦРБ"</v>
      </c>
      <c r="B51" s="24" t="s">
        <v>173</v>
      </c>
      <c r="C51" s="25">
        <v>132000</v>
      </c>
      <c r="D51" s="22" t="s">
        <v>174</v>
      </c>
      <c r="E51" s="22" t="s">
        <v>175</v>
      </c>
      <c r="F51" s="23" t="str">
        <f>HYPERLINK("https://www.spark-marketing.ru/Card/Lot/74370189", "Оказание услу по техническому обслуживанию технических средств системы видеонаблюдения на 2020-2021 гг")</f>
        <v>Оказание услу по техническому обслуживанию технических средств системы видеонаблюдения на 2020-2021 гг</v>
      </c>
      <c r="G51" s="22" t="s">
        <v>176</v>
      </c>
      <c r="H51" s="22" t="s">
        <v>177</v>
      </c>
      <c r="I51" s="26">
        <v>43754</v>
      </c>
      <c r="J51" s="28" t="s">
        <v>52</v>
      </c>
      <c r="K51" s="28" t="s">
        <v>52</v>
      </c>
      <c r="L51" s="28" t="s">
        <v>52</v>
      </c>
      <c r="M51" s="28" t="s">
        <v>52</v>
      </c>
      <c r="N51" s="28" t="s">
        <v>52</v>
      </c>
    </row>
    <row r="52" spans="1:14" x14ac:dyDescent="0.15">
      <c r="A52" s="23" t="str">
        <f>HYPERLINK("https://www.spark-marketing.ru/Card/Person/837", "ГБПОУ ""ВОРОБЬЕВЫ ГОРЫ""; ОБРАЗОВАТЕЛЬНЫЙ КОМПЛЕКС ""ВОРОБЬЕВЫ ГОРЫ""; МОСКОВСКИЙ ДВОРЕЦ ПИОНЕРОВ; МОСКОВСКИЙ ДВОРЕЦ ПИОНЕРОВ НА ВОРОБЬЕВЫХ ГОРАХ; МДП")</f>
        <v>ГБПОУ "ВОРОБЬЕВЫ ГОРЫ"; ОБРАЗОВАТЕЛЬНЫЙ КОМПЛЕКС "ВОРОБЬЕВЫ ГОРЫ"; МОСКОВСКИЙ ДВОРЕЦ ПИОНЕРОВ; МОСКОВСКИЙ ДВОРЕЦ ПИОНЕРОВ НА ВОРОБЬЕВЫХ ГОРАХ; МДП</v>
      </c>
      <c r="B52" s="24" t="s">
        <v>178</v>
      </c>
      <c r="C52" s="25">
        <v>311000</v>
      </c>
      <c r="D52" s="22" t="s">
        <v>179</v>
      </c>
      <c r="E52" s="22" t="s">
        <v>180</v>
      </c>
      <c r="F52" s="23" t="str">
        <f>HYPERLINK("https://www.spark-marketing.ru/Card/Lot/74382695", "Закупка продукции: Прочее оборудование систем охраны, обеспечения безопасности")</f>
        <v>Закупка продукции: Прочее оборудование систем охраны, обеспечения безопасности</v>
      </c>
      <c r="G52" s="22" t="s">
        <v>55</v>
      </c>
      <c r="H52" s="22" t="s">
        <v>55</v>
      </c>
      <c r="I52" s="26">
        <v>43754.807141203702</v>
      </c>
      <c r="J52" s="28" t="s">
        <v>52</v>
      </c>
      <c r="K52" s="28" t="s">
        <v>52</v>
      </c>
      <c r="L52" s="28" t="s">
        <v>52</v>
      </c>
      <c r="M52" s="28" t="s">
        <v>52</v>
      </c>
      <c r="N52" s="28" t="s">
        <v>52</v>
      </c>
    </row>
    <row r="53" spans="1:14" x14ac:dyDescent="0.15">
      <c r="A53" s="23" t="str">
        <f>HYPERLINK("https://www.spark-marketing.ru/Card/Person/26125", "ФКУЗ ""МСЧ МВД РОССИИ ПО Г. МОСКВЕ""")</f>
        <v>ФКУЗ "МСЧ МВД РОССИИ ПО Г. МОСКВЕ"</v>
      </c>
      <c r="B53" s="24" t="s">
        <v>181</v>
      </c>
      <c r="C53" s="25">
        <v>7853333.3300000001</v>
      </c>
      <c r="D53" s="22" t="s">
        <v>182</v>
      </c>
      <c r="E53" s="22" t="s">
        <v>183</v>
      </c>
      <c r="F53" s="23" t="str">
        <f>HYPERLINK("https://www.spark-marketing.ru/Card/Lot/74389277", "Оказание услуг по осуществлению внутриобъектового режима, охраны помещений и имущества в административных зданиях ЛПУ ФКУЗ ""МСЧ МВД России по г.Москве"" в 2020 году")</f>
        <v>Оказание услуг по осуществлению внутриобъектового режима, охраны помещений и имущества в административных зданиях ЛПУ ФКУЗ "МСЧ МВД России по г.Москве" в 2020 году</v>
      </c>
      <c r="G53" s="22" t="s">
        <v>55</v>
      </c>
      <c r="H53" s="22" t="s">
        <v>55</v>
      </c>
      <c r="I53" s="26">
        <v>43754.827141203699</v>
      </c>
      <c r="J53" s="28" t="s">
        <v>52</v>
      </c>
      <c r="K53" s="28" t="s">
        <v>52</v>
      </c>
      <c r="L53" s="28" t="s">
        <v>52</v>
      </c>
      <c r="M53" s="28" t="s">
        <v>52</v>
      </c>
      <c r="N53" s="28" t="s">
        <v>52</v>
      </c>
    </row>
    <row r="54" spans="1:14" x14ac:dyDescent="0.15">
      <c r="A54" s="23" t="str">
        <f>HYPERLINK("https://www.spark-marketing.ru/Card/Person/70189", "ГБУ РО ""РДС ПАМЯТИ В.И. ЛЕНИНА""")</f>
        <v>ГБУ РО "РДС ПАМЯТИ В.И. ЛЕНИНА"</v>
      </c>
      <c r="B54" s="24" t="s">
        <v>184</v>
      </c>
      <c r="C54" s="25">
        <v>24000</v>
      </c>
      <c r="D54" s="22" t="s">
        <v>185</v>
      </c>
      <c r="E54" s="22" t="s">
        <v>103</v>
      </c>
      <c r="F54" s="23" t="str">
        <f>HYPERLINK("https://www.spark-marketing.ru/Card/Lot/74380799", "Оказание услуг по техническому обслуживанию комплекса технических средств кнопки тревожной сигнализации")</f>
        <v>Оказание услуг по техническому обслуживанию комплекса технических средств кнопки тревожной сигнализации</v>
      </c>
      <c r="G54" s="22" t="s">
        <v>186</v>
      </c>
      <c r="H54" s="22" t="s">
        <v>187</v>
      </c>
      <c r="I54" s="26">
        <v>43754.686805555597</v>
      </c>
      <c r="J54" s="28" t="s">
        <v>52</v>
      </c>
      <c r="K54" s="28" t="s">
        <v>52</v>
      </c>
      <c r="L54" s="28" t="s">
        <v>52</v>
      </c>
      <c r="M54" s="28" t="s">
        <v>52</v>
      </c>
      <c r="N54" s="28" t="s">
        <v>52</v>
      </c>
    </row>
    <row r="55" spans="1:14" x14ac:dyDescent="0.15">
      <c r="A55" s="23" t="str">
        <f>HYPERLINK("https://www.spark-marketing.ru/Card/Person/11846", "УСД В МУРМАНСКОЙ ОБЛАСТИ")</f>
        <v>УСД В МУРМАНСКОЙ ОБЛАСТИ</v>
      </c>
      <c r="B55" s="24" t="s">
        <v>188</v>
      </c>
      <c r="C55" s="25">
        <v>1425643</v>
      </c>
      <c r="D55" s="22" t="s">
        <v>189</v>
      </c>
      <c r="E55" s="22" t="s">
        <v>68</v>
      </c>
      <c r="F55" s="23" t="str">
        <f>HYPERLINK("https://www.spark-marketing.ru/Card/Lot/74387031", "Оказание услуг по охране зданий судов общей юрисдикции Мурманской области при помощи технических средста")</f>
        <v>Оказание услуг по охране зданий судов общей юрисдикции Мурманской области при помощи технических средста</v>
      </c>
      <c r="G55" s="22" t="s">
        <v>190</v>
      </c>
      <c r="H55" s="22" t="s">
        <v>191</v>
      </c>
      <c r="I55" s="26">
        <v>43754.699571759302</v>
      </c>
      <c r="J55" s="28" t="s">
        <v>52</v>
      </c>
      <c r="K55" s="28" t="s">
        <v>52</v>
      </c>
      <c r="L55" s="28" t="s">
        <v>52</v>
      </c>
      <c r="M55" s="28" t="s">
        <v>52</v>
      </c>
      <c r="N55" s="28" t="s">
        <v>52</v>
      </c>
    </row>
    <row r="56" spans="1:14" x14ac:dyDescent="0.15">
      <c r="A56" s="23" t="str">
        <f>HYPERLINK("https://www.spark-marketing.ru/Card/Person/145830", "МБОУ ""ФРУКТОВСКАЯ СОШ""")</f>
        <v>МБОУ "ФРУКТОВСКАЯ СОШ"</v>
      </c>
      <c r="B56" s="24" t="s">
        <v>192</v>
      </c>
      <c r="C56" s="25">
        <v>111200</v>
      </c>
      <c r="D56" s="22" t="s">
        <v>193</v>
      </c>
      <c r="E56" s="22" t="s">
        <v>194</v>
      </c>
      <c r="F56" s="23" t="str">
        <f>HYPERLINK("https://www.spark-marketing.ru/Card/Lot/74376640", "Приобретение видеокамер")</f>
        <v>Приобретение видеокамер</v>
      </c>
      <c r="G56" s="22" t="s">
        <v>50</v>
      </c>
      <c r="H56" s="22" t="s">
        <v>195</v>
      </c>
      <c r="I56" s="26">
        <v>43754.690474536997</v>
      </c>
      <c r="J56" s="28" t="s">
        <v>52</v>
      </c>
      <c r="K56" s="28" t="s">
        <v>52</v>
      </c>
      <c r="L56" s="28" t="s">
        <v>52</v>
      </c>
      <c r="M56" s="28" t="s">
        <v>52</v>
      </c>
      <c r="N56" s="28" t="s">
        <v>52</v>
      </c>
    </row>
    <row r="57" spans="1:14" x14ac:dyDescent="0.15">
      <c r="A57" s="23" t="str">
        <f>HYPERLINK("https://www.spark-marketing.ru/Card/Person/4345992", "ЛГ МБУ ""ДЭУ""")</f>
        <v>ЛГ МБУ "ДЭУ"</v>
      </c>
      <c r="B57" s="24" t="s">
        <v>196</v>
      </c>
      <c r="C57" s="25">
        <v>505000</v>
      </c>
      <c r="D57" s="22" t="s">
        <v>197</v>
      </c>
      <c r="E57" s="22" t="s">
        <v>59</v>
      </c>
      <c r="F57" s="23" t="str">
        <f>HYPERLINK("https://www.spark-marketing.ru/Card/Lot/74388771", "Выполнение работ по монтажу системы видеонаблюдения на автостоянке по ул. Комсомольская с установкой пропускного устройства (шлагбаум) для нужд ЛГ МБУ «ДЭУ» (182ЭА/19)")</f>
        <v>Выполнение работ по монтажу системы видеонаблюдения на автостоянке по ул. Комсомольская с установкой пропускного устройства (шлагбаум) для нужд ЛГ МБУ «ДЭУ» (182ЭА/19)</v>
      </c>
      <c r="G57" s="22" t="s">
        <v>119</v>
      </c>
      <c r="H57" s="22" t="s">
        <v>198</v>
      </c>
      <c r="I57" s="26">
        <v>43754.554861111101</v>
      </c>
      <c r="J57" s="28" t="s">
        <v>52</v>
      </c>
      <c r="K57" s="28" t="s">
        <v>52</v>
      </c>
      <c r="L57" s="28" t="s">
        <v>52</v>
      </c>
      <c r="M57" s="28" t="s">
        <v>52</v>
      </c>
      <c r="N57" s="28" t="s">
        <v>52</v>
      </c>
    </row>
    <row r="58" spans="1:14" x14ac:dyDescent="0.15">
      <c r="A58" s="23" t="str">
        <f>HYPERLINK("https://www.spark-marketing.ru/Card/Person/5855073", "ОМВД РОССИИ ПО ЛЕНИНСКОМУ ГОРОДСКОМУ РАЙОНУ")</f>
        <v>ОМВД РОССИИ ПО ЛЕНИНСКОМУ ГОРОДСКОМУ РАЙОНУ</v>
      </c>
      <c r="B58" s="24" t="s">
        <v>199</v>
      </c>
      <c r="C58" s="25">
        <v>45000</v>
      </c>
      <c r="D58" s="22" t="s">
        <v>200</v>
      </c>
      <c r="E58" s="22" t="s">
        <v>84</v>
      </c>
      <c r="F58" s="23" t="str">
        <f>HYPERLINK("https://www.spark-marketing.ru/Card/Lot/74372792", "Монтаж, установка, сборка систем охранного видеонаблюдения, 8 шт")</f>
        <v>Монтаж, установка, сборка систем охранного видеонаблюдения, 8 шт</v>
      </c>
      <c r="G58" s="22" t="s">
        <v>155</v>
      </c>
      <c r="H58" s="22" t="s">
        <v>156</v>
      </c>
      <c r="I58" s="26">
        <v>43754.641817129603</v>
      </c>
      <c r="J58" s="28" t="s">
        <v>52</v>
      </c>
      <c r="K58" s="28" t="s">
        <v>52</v>
      </c>
      <c r="L58" s="28" t="s">
        <v>52</v>
      </c>
      <c r="M58" s="28" t="s">
        <v>52</v>
      </c>
      <c r="N58" s="28" t="s">
        <v>52</v>
      </c>
    </row>
    <row r="59" spans="1:14" x14ac:dyDescent="0.15">
      <c r="A59" s="23" t="str">
        <f>HYPERLINK("https://www.spark-marketing.ru/Card/Person/161238", "ИСПОЛНИТЕЛЬНЫЙ КОМИТЕТ Г.НУРЛАТ НУРЛАТСКОГО МУНИЦИПАЛЬНОГО РАЙОНА РЕСПУБЛИКИ ТАТАРСТАН")</f>
        <v>ИСПОЛНИТЕЛЬНЫЙ КОМИТЕТ Г.НУРЛАТ НУРЛАТСКОГО МУНИЦИПАЛЬНОГО РАЙОНА РЕСПУБЛИКИ ТАТАРСТАН</v>
      </c>
      <c r="B59" s="24" t="s">
        <v>201</v>
      </c>
      <c r="C59" s="25">
        <v>11810.84</v>
      </c>
      <c r="D59" s="22" t="s">
        <v>202</v>
      </c>
      <c r="E59" s="22" t="s">
        <v>203</v>
      </c>
      <c r="F59" s="23" t="str">
        <f>HYPERLINK("https://www.spark-marketing.ru/Card/Lot/74380766", "Услуга по осуществлению строительного контроля за ходом выполнения работ по установке систем видеонаблюдения на территории города Нурлат Нурлатского муниципального района РТ, по заявке Заказчика;")</f>
        <v>Услуга по осуществлению строительного контроля за ходом выполнения работ по установке систем видеонаблюдения на территории города Нурлат Нурлатского муниципального района РТ, по заявке Заказчика;</v>
      </c>
      <c r="G59" s="22" t="s">
        <v>204</v>
      </c>
      <c r="H59" s="22" t="s">
        <v>205</v>
      </c>
      <c r="I59" s="26">
        <v>43754.608726851897</v>
      </c>
      <c r="J59" s="28" t="s">
        <v>52</v>
      </c>
      <c r="K59" s="28" t="s">
        <v>52</v>
      </c>
      <c r="L59" s="28" t="s">
        <v>52</v>
      </c>
      <c r="M59" s="28" t="s">
        <v>52</v>
      </c>
      <c r="N59" s="28" t="s">
        <v>52</v>
      </c>
    </row>
    <row r="60" spans="1:14" x14ac:dyDescent="0.15">
      <c r="A60" s="23" t="str">
        <f>HYPERLINK("https://www.spark-marketing.ru/Card/Person/2450", "ФБУ ""АДМИНИСТРАЦИЯ ОБСКОГО БВП""")</f>
        <v>ФБУ "АДМИНИСТРАЦИЯ ОБСКОГО БВП"</v>
      </c>
      <c r="B60" s="24" t="s">
        <v>206</v>
      </c>
      <c r="C60" s="25">
        <v>2597649.86</v>
      </c>
      <c r="D60" s="22" t="s">
        <v>207</v>
      </c>
      <c r="E60" s="22" t="s">
        <v>208</v>
      </c>
      <c r="F60" s="23" t="str">
        <f>HYPERLINK("https://www.spark-marketing.ru/Card/Lot/74387834", "Поставка, установка и пусконаладочные работы технических средств обеспечения транспортной безопасности на объекте транспортной инфраструктуры ФБУ «Администрация Обского бассейна внутренних водных путей»")</f>
        <v>Поставка, установка и пусконаладочные работы технических средств обеспечения транспортной безопасности на объекте транспортной инфраструктуры ФБУ «Администрация Обского бассейна внутренних водных путей»</v>
      </c>
      <c r="G60" s="22" t="s">
        <v>209</v>
      </c>
      <c r="H60" s="22" t="s">
        <v>210</v>
      </c>
      <c r="I60" s="26">
        <v>43754.609027777798</v>
      </c>
      <c r="J60" s="28" t="s">
        <v>52</v>
      </c>
      <c r="K60" s="28" t="s">
        <v>52</v>
      </c>
      <c r="L60" s="28" t="s">
        <v>52</v>
      </c>
      <c r="M60" s="28" t="s">
        <v>52</v>
      </c>
      <c r="N60" s="28" t="s">
        <v>52</v>
      </c>
    </row>
    <row r="61" spans="1:14" x14ac:dyDescent="0.15">
      <c r="A61" s="23" t="str">
        <f>HYPERLINK("https://www.spark-marketing.ru/Card/Person/6682319", "ФЛ ОАО КОНЦЕРН РОСЭНЕРГОАТОМ РОСТОВСКАЯ АТОМНАЯ СТАНЦИЯ")</f>
        <v>ФЛ ОАО КОНЦЕРН РОСЭНЕРГОАТОМ РОСТОВСКАЯ АТОМНАЯ СТАНЦИЯ</v>
      </c>
      <c r="B61" s="24" t="s">
        <v>211</v>
      </c>
      <c r="C61" s="25">
        <v>13153342.140000001</v>
      </c>
      <c r="D61" s="22" t="s">
        <v>212</v>
      </c>
      <c r="E61" s="22" t="s">
        <v>53</v>
      </c>
      <c r="F61" s="23" t="str">
        <f>HYPERLINK("https://www.spark-marketing.ru/Card/Lot/74387889", "ЕИС №31908406199 Право заключения договора на Оказание услуг по охране внешних объектов филиала АО ""Концерн Росэнергоатом"" ""Ростовская атомная станция""")</f>
        <v>ЕИС №31908406199 Право заключения договора на Оказание услуг по охране внешних объектов филиала АО "Концерн Росэнергоатом" "Ростовская атомная станция"</v>
      </c>
      <c r="G61" s="22" t="s">
        <v>52</v>
      </c>
      <c r="H61" s="22" t="s">
        <v>52</v>
      </c>
      <c r="I61" s="26">
        <v>43754.612604166701</v>
      </c>
      <c r="J61" s="28" t="s">
        <v>52</v>
      </c>
      <c r="K61" s="28" t="s">
        <v>52</v>
      </c>
      <c r="L61" s="28" t="s">
        <v>52</v>
      </c>
      <c r="M61" s="28" t="s">
        <v>52</v>
      </c>
      <c r="N61" s="28" t="s">
        <v>52</v>
      </c>
    </row>
    <row r="62" spans="1:14" x14ac:dyDescent="0.15">
      <c r="A62" s="23" t="str">
        <f>HYPERLINK("https://www.spark-marketing.ru/Card/Person/1692809", "МО МВД РОССИИ ""УНЕЧСКИЙ""")</f>
        <v>МО МВД РОССИИ "УНЕЧСКИЙ"</v>
      </c>
      <c r="B62" s="24" t="s">
        <v>213</v>
      </c>
      <c r="C62" s="25">
        <v>40800</v>
      </c>
      <c r="D62" s="22" t="s">
        <v>214</v>
      </c>
      <c r="E62" s="22" t="s">
        <v>107</v>
      </c>
      <c r="F62" s="23" t="str">
        <f>HYPERLINK("https://www.spark-marketing.ru/Card/Lot/74372165", "Техническое обслуживание системы видеонаблюдения, 1 шт")</f>
        <v>Техническое обслуживание системы видеонаблюдения, 1 шт</v>
      </c>
      <c r="G62" s="22" t="s">
        <v>215</v>
      </c>
      <c r="H62" s="22" t="s">
        <v>216</v>
      </c>
      <c r="I62" s="26">
        <v>43754.6096412037</v>
      </c>
      <c r="J62" s="28" t="s">
        <v>52</v>
      </c>
      <c r="K62" s="28" t="s">
        <v>52</v>
      </c>
      <c r="L62" s="28" t="s">
        <v>52</v>
      </c>
      <c r="M62" s="28" t="s">
        <v>52</v>
      </c>
      <c r="N62" s="28" t="s">
        <v>52</v>
      </c>
    </row>
    <row r="63" spans="1:14" x14ac:dyDescent="0.15">
      <c r="A63" s="23" t="str">
        <f>HYPERLINK("https://www.spark-marketing.ru/Card/Person/161238", "ИСПОЛНИТЕЛЬНЫЙ КОМИТЕТ Г.НУРЛАТ НУРЛАТСКОГО МУНИЦИПАЛЬНОГО РАЙОНА РЕСПУБЛИКИ ТАТАРСТАН")</f>
        <v>ИСПОЛНИТЕЛЬНЫЙ КОМИТЕТ Г.НУРЛАТ НУРЛАТСКОГО МУНИЦИПАЛЬНОГО РАЙОНА РЕСПУБЛИКИ ТАТАРСТАН</v>
      </c>
      <c r="B63" s="24" t="s">
        <v>201</v>
      </c>
      <c r="C63" s="25">
        <v>5872.79</v>
      </c>
      <c r="D63" s="22" t="s">
        <v>217</v>
      </c>
      <c r="E63" s="22" t="s">
        <v>218</v>
      </c>
      <c r="F63" s="23" t="str">
        <f>HYPERLINK("https://www.spark-marketing.ru/Card/Lot/74380327", "Услуга по составлению дефектной ведомости и сметной документации на работы по установке систем видеонаблюдения на территории города Нурлат Нурлатского муниципального района РТ, по заявке Заказчика")</f>
        <v>Услуга по составлению дефектной ведомости и сметной документации на работы по установке систем видеонаблюдения на территории города Нурлат Нурлатского муниципального района РТ, по заявке Заказчика</v>
      </c>
      <c r="G63" s="22" t="s">
        <v>204</v>
      </c>
      <c r="H63" s="22" t="s">
        <v>205</v>
      </c>
      <c r="I63" s="26">
        <v>43754.620138888902</v>
      </c>
      <c r="J63" s="28" t="s">
        <v>52</v>
      </c>
      <c r="K63" s="28" t="s">
        <v>52</v>
      </c>
      <c r="L63" s="28" t="s">
        <v>52</v>
      </c>
      <c r="M63" s="28" t="s">
        <v>52</v>
      </c>
      <c r="N63" s="28" t="s">
        <v>52</v>
      </c>
    </row>
    <row r="64" spans="1:14" x14ac:dyDescent="0.15">
      <c r="A64" s="23" t="str">
        <f>HYPERLINK("https://www.spark-marketing.ru/Card/Person/4347246", "ГБУЗ ""ДГП № 1 Г. МАГНИТОГОРСК""")</f>
        <v>ГБУЗ "ДГП № 1 Г. МАГНИТОГОРСК"</v>
      </c>
      <c r="B64" s="24" t="s">
        <v>219</v>
      </c>
      <c r="C64" s="25">
        <v>112072</v>
      </c>
      <c r="D64" s="22" t="s">
        <v>220</v>
      </c>
      <c r="E64" s="22" t="s">
        <v>59</v>
      </c>
      <c r="F64" s="23" t="str">
        <f>HYPERLINK("https://www.spark-marketing.ru/Card/Lot/74372318", "Монтаж системы видеонаблюдения по адресу: пр. Ленина, 150")</f>
        <v>Монтаж системы видеонаблюдения по адресу: пр. Ленина, 150</v>
      </c>
      <c r="G64" s="22" t="s">
        <v>60</v>
      </c>
      <c r="H64" s="22" t="s">
        <v>221</v>
      </c>
      <c r="I64" s="26">
        <v>43754.5</v>
      </c>
      <c r="J64" s="28" t="s">
        <v>52</v>
      </c>
      <c r="K64" s="28" t="s">
        <v>52</v>
      </c>
      <c r="L64" s="28" t="s">
        <v>52</v>
      </c>
      <c r="M64" s="28" t="s">
        <v>52</v>
      </c>
      <c r="N64" s="28" t="s">
        <v>52</v>
      </c>
    </row>
    <row r="65" spans="1:14" x14ac:dyDescent="0.15">
      <c r="A65" s="23" t="str">
        <f>HYPERLINK("https://www.spark-marketing.ru/Card/Person/639526", "ГОСУДАРСТВЕННОЕ УЧРЕЖДЕНИЕ - УПРАВЛЕНИЕ ПЕНСИОННОГО ФОНДА РОССИЙСКОЙ ФЕДЕРАЦИИ В Г. ОКТЯБРЬСКИЙ РЕСПУБЛИКИ БАШКОРТОСТАН")</f>
        <v>ГОСУДАРСТВЕННОЕ УЧРЕЖДЕНИЕ - УПРАВЛЕНИЕ ПЕНСИОННОГО ФОНДА РОССИЙСКОЙ ФЕДЕРАЦИИ В Г. ОКТЯБРЬСКИЙ РЕСПУБЛИКИ БАШКОРТОСТАН</v>
      </c>
      <c r="B65" s="24" t="s">
        <v>222</v>
      </c>
      <c r="C65" s="25">
        <v>323355.43</v>
      </c>
      <c r="D65" s="22" t="s">
        <v>223</v>
      </c>
      <c r="E65" s="22" t="s">
        <v>59</v>
      </c>
      <c r="F65" s="23" t="str">
        <f>HYPERLINK("https://www.spark-marketing.ru/Card/Lot/74384936", "Создание системы видеонаблюдения")</f>
        <v>Создание системы видеонаблюдения</v>
      </c>
      <c r="G65" s="22" t="s">
        <v>100</v>
      </c>
      <c r="H65" s="22" t="s">
        <v>224</v>
      </c>
      <c r="I65" s="26">
        <v>43754.5402777778</v>
      </c>
      <c r="J65" s="28" t="s">
        <v>52</v>
      </c>
      <c r="K65" s="28" t="s">
        <v>52</v>
      </c>
      <c r="L65" s="28" t="s">
        <v>52</v>
      </c>
      <c r="M65" s="28" t="s">
        <v>52</v>
      </c>
      <c r="N65" s="28" t="s">
        <v>52</v>
      </c>
    </row>
    <row r="66" spans="1:14" x14ac:dyDescent="0.15">
      <c r="A66" s="23" t="str">
        <f>HYPERLINK("https://www.spark-marketing.ru/Card/Person/1070481", "ОКУ ПОРОНАЙСКИЙ ЦЗН")</f>
        <v>ОКУ ПОРОНАЙСКИЙ ЦЗН</v>
      </c>
      <c r="B66" s="24" t="s">
        <v>225</v>
      </c>
      <c r="C66" s="25">
        <v>230253</v>
      </c>
      <c r="D66" s="22" t="s">
        <v>226</v>
      </c>
      <c r="E66" s="22" t="s">
        <v>84</v>
      </c>
      <c r="F66" s="23" t="str">
        <f>HYPERLINK("https://www.spark-marketing.ru/Card/Lot/74364187", "монтаж системы видеонаблюдения на 10 камер")</f>
        <v>монтаж системы видеонаблюдения на 10 камер</v>
      </c>
      <c r="G66" s="22" t="s">
        <v>69</v>
      </c>
      <c r="H66" s="22" t="s">
        <v>227</v>
      </c>
      <c r="I66" s="26">
        <v>43754.290972222203</v>
      </c>
      <c r="J66" s="28" t="s">
        <v>52</v>
      </c>
      <c r="K66" s="28" t="s">
        <v>52</v>
      </c>
      <c r="L66" s="28" t="s">
        <v>52</v>
      </c>
      <c r="M66" s="28" t="s">
        <v>52</v>
      </c>
      <c r="N66" s="28" t="s">
        <v>52</v>
      </c>
    </row>
    <row r="67" spans="1:14" x14ac:dyDescent="0.15">
      <c r="A67" s="23" t="str">
        <f>HYPERLINK("https://www.spark-marketing.ru/Card/Person/145400", "ГБУ ""ДИРЕКЦИЯ ПО СОДЕРЖАНИЮ И ОБСЛУЖИВАНИЮ АДМИНИСТРАТИВНЫХ ЗДАНИЙ""")</f>
        <v>ГБУ "ДИРЕКЦИЯ ПО СОДЕРЖАНИЮ И ОБСЛУЖИВАНИЮ АДМИНИСТРАТИВНЫХ ЗДАНИЙ"</v>
      </c>
      <c r="B67" s="24" t="s">
        <v>228</v>
      </c>
      <c r="C67" s="25">
        <v>220610</v>
      </c>
      <c r="D67" s="22" t="s">
        <v>229</v>
      </c>
      <c r="E67" s="22" t="s">
        <v>59</v>
      </c>
      <c r="F67" s="23" t="str">
        <f>HYPERLINK("https://www.spark-marketing.ru/Card/Lot/74363368", "Выполнение работ по монтажу охранной сигнализации и тревожных кнопок")</f>
        <v>Выполнение работ по монтажу охранной сигнализации и тревожных кнопок</v>
      </c>
      <c r="G67" s="22" t="s">
        <v>230</v>
      </c>
      <c r="H67" s="22" t="s">
        <v>231</v>
      </c>
      <c r="I67" s="26">
        <v>43754.273611111101</v>
      </c>
      <c r="J67" s="28" t="s">
        <v>52</v>
      </c>
      <c r="K67" s="28" t="s">
        <v>52</v>
      </c>
      <c r="L67" s="28" t="s">
        <v>52</v>
      </c>
      <c r="M67" s="28" t="s">
        <v>52</v>
      </c>
      <c r="N67" s="28" t="s">
        <v>52</v>
      </c>
    </row>
    <row r="68" spans="1:14" x14ac:dyDescent="0.15">
      <c r="A68" s="23" t="str">
        <f>HYPERLINK("https://www.spark-marketing.ru/Card/Person/9655", "УМВД РОССИИ ПО Г.МАГНИТОГОРСКУ ЧЕЛЯБИНСКОЙ ОБЛАСТИ")</f>
        <v>УМВД РОССИИ ПО Г.МАГНИТОГОРСКУ ЧЕЛЯБИНСКОЙ ОБЛАСТИ</v>
      </c>
      <c r="B68" s="24" t="s">
        <v>232</v>
      </c>
      <c r="C68" s="25">
        <v>45000</v>
      </c>
      <c r="D68" s="22" t="s">
        <v>233</v>
      </c>
      <c r="E68" s="22" t="s">
        <v>234</v>
      </c>
      <c r="F68" s="23" t="str">
        <f>HYPERLINK("https://www.spark-marketing.ru/Card/Lot/74371055", "Оказание услуг по проведению планового технического обслуживания систем видеонаблюдения для нужд УМВД России по г. Магнитогорску Челябинской области")</f>
        <v>Оказание услуг по проведению планового технического обслуживания систем видеонаблюдения для нужд УМВД России по г. Магнитогорску Челябинской области</v>
      </c>
      <c r="G68" s="22" t="s">
        <v>60</v>
      </c>
      <c r="H68" s="22" t="s">
        <v>221</v>
      </c>
      <c r="I68" s="26">
        <v>43754.45</v>
      </c>
      <c r="J68" s="28" t="s">
        <v>52</v>
      </c>
      <c r="K68" s="28" t="s">
        <v>52</v>
      </c>
      <c r="L68" s="28" t="s">
        <v>52</v>
      </c>
      <c r="M68" s="28" t="s">
        <v>52</v>
      </c>
      <c r="N68" s="28" t="s">
        <v>52</v>
      </c>
    </row>
    <row r="69" spans="1:14" x14ac:dyDescent="0.15">
      <c r="A69" s="23" t="str">
        <f>HYPERLINK("https://www.spark-marketing.ru/Card/Person/123649", "МБОУ СОШ №2 ИМ. В.В. ДАГАЕВА")</f>
        <v>МБОУ СОШ №2 ИМ. В.В. ДАГАЕВА</v>
      </c>
      <c r="B69" s="24" t="s">
        <v>235</v>
      </c>
      <c r="C69" s="25">
        <v>87209.17</v>
      </c>
      <c r="D69" s="22" t="s">
        <v>236</v>
      </c>
      <c r="E69" s="22" t="s">
        <v>234</v>
      </c>
      <c r="F69" s="23" t="str">
        <f>HYPERLINK("https://www.spark-marketing.ru/Card/Lot/74368700", "Выполнение работ по установке камер видеонаблюдения")</f>
        <v>Выполнение работ по установке камер видеонаблюдения</v>
      </c>
      <c r="G69" s="22" t="s">
        <v>50</v>
      </c>
      <c r="H69" s="22" t="s">
        <v>50</v>
      </c>
      <c r="I69" s="26">
        <v>43754.524317129602</v>
      </c>
      <c r="J69" s="28" t="s">
        <v>52</v>
      </c>
      <c r="K69" s="28" t="s">
        <v>52</v>
      </c>
      <c r="L69" s="28" t="s">
        <v>52</v>
      </c>
      <c r="M69" s="28" t="s">
        <v>52</v>
      </c>
      <c r="N69" s="28" t="s">
        <v>52</v>
      </c>
    </row>
    <row r="70" spans="1:14" x14ac:dyDescent="0.15">
      <c r="A70" s="23" t="str">
        <f>HYPERLINK("https://www.spark-marketing.ru/Card/Person/1025686", "МОУ СОШ №12 С УИОП")</f>
        <v>МОУ СОШ №12 С УИОП</v>
      </c>
      <c r="B70" s="24" t="s">
        <v>237</v>
      </c>
      <c r="C70" s="25">
        <v>25926.36</v>
      </c>
      <c r="D70" s="22" t="s">
        <v>238</v>
      </c>
      <c r="E70" s="22" t="s">
        <v>107</v>
      </c>
      <c r="F70" s="23" t="str">
        <f>HYPERLINK("https://www.spark-marketing.ru/Card/Lot/74368704", "Оказание услуг по установке видеодомофона")</f>
        <v>Оказание услуг по установке видеодомофона</v>
      </c>
      <c r="G70" s="22" t="s">
        <v>50</v>
      </c>
      <c r="H70" s="22" t="s">
        <v>239</v>
      </c>
      <c r="I70" s="26">
        <v>43754.524502314802</v>
      </c>
      <c r="J70" s="28" t="s">
        <v>52</v>
      </c>
      <c r="K70" s="28" t="s">
        <v>52</v>
      </c>
      <c r="L70" s="28" t="s">
        <v>52</v>
      </c>
      <c r="M70" s="28" t="s">
        <v>52</v>
      </c>
      <c r="N70" s="28" t="s">
        <v>52</v>
      </c>
    </row>
    <row r="71" spans="1:14" x14ac:dyDescent="0.15">
      <c r="A71" s="23" t="str">
        <f>HYPERLINK("https://www.spark-marketing.ru/Card/Person/2952", "ГКУ ""ТЕХНИЧЕСКИЙ ЦЕНТР ДЕПАРТАМЕНТА КУЛЬТУРЫ ГОРОДА МОСКВЫ""")</f>
        <v>ГКУ "ТЕХНИЧЕСКИЙ ЦЕНТР ДЕПАРТАМЕНТА КУЛЬТУРЫ ГОРОДА МОСКВЫ"</v>
      </c>
      <c r="B71" s="24" t="s">
        <v>240</v>
      </c>
      <c r="C71" s="25">
        <v>1550946.8</v>
      </c>
      <c r="D71" s="22" t="s">
        <v>241</v>
      </c>
      <c r="E71" s="22" t="s">
        <v>84</v>
      </c>
      <c r="F71" s="23" t="str">
        <f>HYPERLINK("https://www.spark-marketing.ru/Card/Lot/74387066", "Выполнение работ по восстановлению работоспособности систем охранной сигнализации (СОС), контроля и управления доступом (СКУД), охранного телевидения (СОТ) в ГБУК г. Москвы ""ТКС ""Фили-Давыдково"" по адресу : г. Москва, Рублевское шоссе, д. 18, к. 1...")</f>
        <v>Выполнение работ по восстановлению работоспособности систем охранной сигнализации (СОС), контроля и управления доступом (СКУД), охранного телевидения (СОТ) в ГБУК г. Москвы "ТКС "Фили-Давыдково" по адресу : г. Москва, Рублевское шоссе, д. 18, к. 1...</v>
      </c>
      <c r="G71" s="22" t="s">
        <v>55</v>
      </c>
      <c r="H71" s="22" t="s">
        <v>55</v>
      </c>
      <c r="I71" s="26">
        <v>43754.476388888899</v>
      </c>
      <c r="J71" s="28" t="s">
        <v>52</v>
      </c>
      <c r="K71" s="28" t="s">
        <v>52</v>
      </c>
      <c r="L71" s="28" t="s">
        <v>52</v>
      </c>
      <c r="M71" s="28" t="s">
        <v>52</v>
      </c>
      <c r="N71" s="28" t="s">
        <v>52</v>
      </c>
    </row>
    <row r="72" spans="1:14" x14ac:dyDescent="0.15">
      <c r="A72" s="23" t="str">
        <f>HYPERLINK("https://www.spark-marketing.ru/Card/Person/81798", "МУК ДК ""РУБИН""")</f>
        <v>МУК ДК "РУБИН"</v>
      </c>
      <c r="B72" s="24" t="s">
        <v>242</v>
      </c>
      <c r="C72" s="25">
        <v>4500</v>
      </c>
      <c r="D72" s="22" t="s">
        <v>243</v>
      </c>
      <c r="E72" s="22" t="s">
        <v>103</v>
      </c>
      <c r="F72" s="23" t="str">
        <f>HYPERLINK("https://www.spark-marketing.ru/Card/Lot/74367402", "Услуги по техническому обслуживанию уличного видеонаблюдения")</f>
        <v>Услуги по техническому обслуживанию уличного видеонаблюдения</v>
      </c>
      <c r="G72" s="22" t="s">
        <v>50</v>
      </c>
      <c r="H72" s="22" t="s">
        <v>244</v>
      </c>
      <c r="I72" s="26">
        <v>43754.472546296303</v>
      </c>
      <c r="J72" s="28" t="s">
        <v>52</v>
      </c>
      <c r="K72" s="28" t="s">
        <v>52</v>
      </c>
      <c r="L72" s="28" t="s">
        <v>52</v>
      </c>
      <c r="M72" s="28" t="s">
        <v>52</v>
      </c>
      <c r="N72" s="28" t="s">
        <v>52</v>
      </c>
    </row>
    <row r="73" spans="1:14" x14ac:dyDescent="0.15">
      <c r="A73" s="23" t="str">
        <f>HYPERLINK("https://www.spark-marketing.ru/Card/Person/1069099", "МБОУ ООШ П.УШАКОВО")</f>
        <v>МБОУ ООШ П.УШАКОВО</v>
      </c>
      <c r="B73" s="24" t="s">
        <v>245</v>
      </c>
      <c r="C73" s="25">
        <v>223785.33</v>
      </c>
      <c r="D73" s="22" t="s">
        <v>246</v>
      </c>
      <c r="E73" s="22" t="s">
        <v>84</v>
      </c>
      <c r="F73" s="23" t="str">
        <f>HYPERLINK("https://www.spark-marketing.ru/Card/Lot/74376534", "Монтаж системы установки контроля: поставка и монтаж системы видеонаблюдения")</f>
        <v>Монтаж системы установки контроля: поставка и монтаж системы видеонаблюдения</v>
      </c>
      <c r="G73" s="22" t="s">
        <v>247</v>
      </c>
      <c r="H73" s="22" t="s">
        <v>248</v>
      </c>
      <c r="I73" s="26">
        <v>43754.421805555598</v>
      </c>
      <c r="J73" s="28" t="s">
        <v>52</v>
      </c>
      <c r="K73" s="28" t="s">
        <v>52</v>
      </c>
      <c r="L73" s="28" t="s">
        <v>52</v>
      </c>
      <c r="M73" s="28" t="s">
        <v>52</v>
      </c>
      <c r="N73" s="28" t="s">
        <v>52</v>
      </c>
    </row>
    <row r="74" spans="1:14" x14ac:dyDescent="0.15">
      <c r="A74" s="23" t="str">
        <f>HYPERLINK("https://www.spark-marketing.ru/Card/Person/4927542", "ТВЕРСКОЙ ФИЛИАЛ МОСКОВСКОГО УНИВЕРСИТЕТА МВД РОССИИ ИМЕНИ В.Я. КИКОТЯ, ТВЕРСКОЙ ФИЛИАЛ МОСУ МВД РОССИИ ИМЕНИ В.Я. КИКОТЯ")</f>
        <v>ТВЕРСКОЙ ФИЛИАЛ МОСКОВСКОГО УНИВЕРСИТЕТА МВД РОССИИ ИМЕНИ В.Я. КИКОТЯ, ТВЕРСКОЙ ФИЛИАЛ МОСУ МВД РОССИИ ИМЕНИ В.Я. КИКОТЯ</v>
      </c>
      <c r="B74" s="24" t="s">
        <v>249</v>
      </c>
      <c r="C74" s="25">
        <v>99995.76</v>
      </c>
      <c r="D74" s="22" t="s">
        <v>250</v>
      </c>
      <c r="E74" s="22" t="s">
        <v>107</v>
      </c>
      <c r="F74" s="23" t="str">
        <f>HYPERLINK("https://www.spark-marketing.ru/Card/Lot/74364785", "Техническое обслуживание комплексов технических средств охраны, 1 шт")</f>
        <v>Техническое обслуживание комплексов технических средств охраны, 1 шт</v>
      </c>
      <c r="G74" s="22" t="s">
        <v>251</v>
      </c>
      <c r="H74" s="22" t="s">
        <v>252</v>
      </c>
      <c r="I74" s="26">
        <v>43754.439988425896</v>
      </c>
      <c r="J74" s="28" t="s">
        <v>52</v>
      </c>
      <c r="K74" s="28" t="s">
        <v>52</v>
      </c>
      <c r="L74" s="28" t="s">
        <v>52</v>
      </c>
      <c r="M74" s="28" t="s">
        <v>52</v>
      </c>
      <c r="N74" s="28" t="s">
        <v>52</v>
      </c>
    </row>
    <row r="75" spans="1:14" x14ac:dyDescent="0.15">
      <c r="A75" s="23" t="str">
        <f>HYPERLINK("https://www.spark-marketing.ru/Card/Person/45690", "КГКУ ""ХАБАРОВСКУПРАВТОДОР""")</f>
        <v>КГКУ "ХАБАРОВСКУПРАВТОДОР"</v>
      </c>
      <c r="B75" s="24" t="s">
        <v>253</v>
      </c>
      <c r="C75" s="25">
        <v>108547.92</v>
      </c>
      <c r="D75" s="22" t="s">
        <v>254</v>
      </c>
      <c r="E75" s="22" t="s">
        <v>53</v>
      </c>
      <c r="F75" s="23" t="str">
        <f>HYPERLINK("https://www.spark-marketing.ru/Card/Lot/74365370", "Оказание услуг по техническому обслуживанию наружного мультимедийного экрана и наружной обзорной видеокамеры")</f>
        <v>Оказание услуг по техническому обслуживанию наружного мультимедийного экрана и наружной обзорной видеокамеры</v>
      </c>
      <c r="G75" s="22" t="s">
        <v>138</v>
      </c>
      <c r="H75" s="22" t="s">
        <v>255</v>
      </c>
      <c r="I75" s="26">
        <v>43754.4369560185</v>
      </c>
      <c r="J75" s="28" t="s">
        <v>52</v>
      </c>
      <c r="K75" s="28" t="s">
        <v>52</v>
      </c>
      <c r="L75" s="28" t="s">
        <v>52</v>
      </c>
      <c r="M75" s="28" t="s">
        <v>52</v>
      </c>
      <c r="N75" s="28" t="s">
        <v>52</v>
      </c>
    </row>
    <row r="76" spans="1:14" x14ac:dyDescent="0.15">
      <c r="A76" s="23" t="str">
        <f>HYPERLINK("https://www.spark-marketing.ru/Card/Person/59911", "ФГБУ ""САНАТОРИЙ ""КРАСНЫЕ КАМНИ""")</f>
        <v>ФГБУ "САНАТОРИЙ "КРАСНЫЕ КАМНИ"</v>
      </c>
      <c r="B76" s="24" t="s">
        <v>256</v>
      </c>
      <c r="C76" s="25">
        <v>142800</v>
      </c>
      <c r="D76" s="22" t="s">
        <v>257</v>
      </c>
      <c r="E76" s="22" t="s">
        <v>107</v>
      </c>
      <c r="F76" s="23" t="str">
        <f>HYPERLINK("https://www.spark-marketing.ru/Card/Lot/74376548", "оказание услуг по техническому обслуживанию систем видеонаблюдения в зданиях ФГБУ «Санаторий «Красные Камни» УДП  РФ в 2020 г.")</f>
        <v>оказание услуг по техническому обслуживанию систем видеонаблюдения в зданиях ФГБУ «Санаторий «Красные Камни» УДП  РФ в 2020 г.</v>
      </c>
      <c r="G76" s="22" t="s">
        <v>258</v>
      </c>
      <c r="H76" s="22" t="s">
        <v>259</v>
      </c>
      <c r="I76" s="26">
        <v>43754.448923611097</v>
      </c>
      <c r="J76" s="28" t="s">
        <v>52</v>
      </c>
      <c r="K76" s="28" t="s">
        <v>52</v>
      </c>
      <c r="L76" s="28" t="s">
        <v>52</v>
      </c>
      <c r="M76" s="28" t="s">
        <v>52</v>
      </c>
      <c r="N76" s="28" t="s">
        <v>52</v>
      </c>
    </row>
    <row r="77" spans="1:14" x14ac:dyDescent="0.15">
      <c r="A77" s="23" t="str">
        <f>HYPERLINK("https://www.spark-marketing.ru/Card/Person/91546", "ГБУЗ ""СТАРОДУБСКАЯ ЦРБ""")</f>
        <v>ГБУЗ "СТАРОДУБСКАЯ ЦРБ"</v>
      </c>
      <c r="B77" s="24" t="s">
        <v>260</v>
      </c>
      <c r="C77" s="25">
        <v>199690.33</v>
      </c>
      <c r="D77" s="22" t="s">
        <v>261</v>
      </c>
      <c r="E77" s="22" t="s">
        <v>84</v>
      </c>
      <c r="F77" s="23" t="str">
        <f>HYPERLINK("https://www.spark-marketing.ru/Card/Lot/74366178", "Установка системы видеонаблюдения")</f>
        <v>Установка системы видеонаблюдения</v>
      </c>
      <c r="G77" s="22" t="s">
        <v>215</v>
      </c>
      <c r="H77" s="22" t="s">
        <v>262</v>
      </c>
      <c r="I77" s="26">
        <v>43754.379166666702</v>
      </c>
      <c r="J77" s="28" t="s">
        <v>52</v>
      </c>
      <c r="K77" s="28" t="s">
        <v>52</v>
      </c>
      <c r="L77" s="28" t="s">
        <v>52</v>
      </c>
      <c r="M77" s="28" t="s">
        <v>52</v>
      </c>
      <c r="N77" s="28" t="s">
        <v>52</v>
      </c>
    </row>
    <row r="78" spans="1:14" x14ac:dyDescent="0.15">
      <c r="A78" s="23" t="str">
        <f>HYPERLINK("https://www.spark-marketing.ru/Card/Person/59752", "МБДОУ № 54")</f>
        <v>МБДОУ № 54</v>
      </c>
      <c r="B78" s="24" t="s">
        <v>263</v>
      </c>
      <c r="C78" s="25">
        <v>80000</v>
      </c>
      <c r="D78" s="22" t="s">
        <v>264</v>
      </c>
      <c r="E78" s="22" t="s">
        <v>59</v>
      </c>
      <c r="F78" s="23" t="str">
        <f>HYPERLINK("https://www.spark-marketing.ru/Card/Lot/74364214", "установка домофона")</f>
        <v>установка домофона</v>
      </c>
      <c r="G78" s="22" t="s">
        <v>50</v>
      </c>
      <c r="H78" s="22" t="s">
        <v>265</v>
      </c>
      <c r="I78" s="26">
        <v>43754.388298611098</v>
      </c>
      <c r="J78" s="28" t="s">
        <v>52</v>
      </c>
      <c r="K78" s="28" t="s">
        <v>52</v>
      </c>
      <c r="L78" s="28" t="s">
        <v>52</v>
      </c>
      <c r="M78" s="28" t="s">
        <v>52</v>
      </c>
      <c r="N78" s="28" t="s">
        <v>52</v>
      </c>
    </row>
    <row r="79" spans="1:14" x14ac:dyDescent="0.15">
      <c r="A79" s="23" t="str">
        <f>HYPERLINK("https://www.spark-marketing.ru/Card/Person/1029728", "ГБУЗ МО ККВД")</f>
        <v>ГБУЗ МО ККВД</v>
      </c>
      <c r="B79" s="24" t="s">
        <v>105</v>
      </c>
      <c r="C79" s="25">
        <v>19200</v>
      </c>
      <c r="D79" s="22" t="s">
        <v>266</v>
      </c>
      <c r="E79" s="22" t="s">
        <v>107</v>
      </c>
      <c r="F79" s="23" t="str">
        <f>HYPERLINK("https://www.spark-marketing.ru/Card/Lot/74362856", "Услуги по техническому обслуживанию оборудования охранной сигнализации для нужд ГБУЗ МО ККВД")</f>
        <v>Услуги по техническому обслуживанию оборудования охранной сигнализации для нужд ГБУЗ МО ККВД</v>
      </c>
      <c r="G79" s="22" t="s">
        <v>50</v>
      </c>
      <c r="H79" s="22" t="s">
        <v>267</v>
      </c>
      <c r="I79" s="26">
        <v>43754.377835648098</v>
      </c>
      <c r="J79" s="28" t="s">
        <v>52</v>
      </c>
      <c r="K79" s="28" t="s">
        <v>52</v>
      </c>
      <c r="L79" s="28" t="s">
        <v>52</v>
      </c>
      <c r="M79" s="28" t="s">
        <v>52</v>
      </c>
      <c r="N79" s="28" t="s">
        <v>52</v>
      </c>
    </row>
    <row r="80" spans="1:14" x14ac:dyDescent="0.15">
      <c r="A80" s="23" t="str">
        <f>HYPERLINK("https://www.spark-marketing.ru/Card/Person/81437", "АДМИНИСТРАЦИЯ ГО КРАСНОУФИМСК")</f>
        <v>АДМИНИСТРАЦИЯ ГО КРАСНОУФИМСК</v>
      </c>
      <c r="B80" s="24" t="s">
        <v>268</v>
      </c>
      <c r="C80" s="25">
        <v>1038005.28</v>
      </c>
      <c r="D80" s="22" t="s">
        <v>269</v>
      </c>
      <c r="E80" s="22" t="s">
        <v>52</v>
      </c>
      <c r="F80" s="23" t="str">
        <f>HYPERLINK("https://www.spark-marketing.ru/Card/Lot/74363421", "Оказание услуг по охране объектов администрации городского округа Красноуфимск в 2020 году")</f>
        <v>Оказание услуг по охране объектов администрации городского округа Красноуфимск в 2020 году</v>
      </c>
      <c r="G80" s="22" t="s">
        <v>72</v>
      </c>
      <c r="H80" s="22" t="s">
        <v>270</v>
      </c>
      <c r="I80" s="26">
        <v>43754.288888888899</v>
      </c>
      <c r="J80" s="28" t="s">
        <v>52</v>
      </c>
      <c r="K80" s="28" t="s">
        <v>52</v>
      </c>
      <c r="L80" s="28" t="s">
        <v>52</v>
      </c>
      <c r="M80" s="28" t="s">
        <v>52</v>
      </c>
      <c r="N80" s="28" t="s">
        <v>52</v>
      </c>
    </row>
    <row r="81" spans="1:14" x14ac:dyDescent="0.15">
      <c r="A81" s="23" t="str">
        <f>HYPERLINK("https://www.spark-marketing.ru/Card/Person/4344165", "ПРАВИТЕЛЬСТВО КРАЯ")</f>
        <v>ПРАВИТЕЛЬСТВО КРАЯ</v>
      </c>
      <c r="B81" s="24" t="s">
        <v>271</v>
      </c>
      <c r="C81" s="25">
        <v>12627</v>
      </c>
      <c r="D81" s="22" t="s">
        <v>272</v>
      </c>
      <c r="E81" s="22" t="s">
        <v>53</v>
      </c>
      <c r="F81" s="23" t="str">
        <f>HYPERLINK("https://www.spark-marketing.ru/Card/Lot/74359965", "Услуги пультовой охраны, мониторинг систем охранной и аварийной сигнализации, 1804 шт")</f>
        <v>Услуги пультовой охраны, мониторинг систем охранной и аварийной сигнализации, 1804 шт</v>
      </c>
      <c r="G81" s="22" t="s">
        <v>138</v>
      </c>
      <c r="H81" s="22" t="s">
        <v>255</v>
      </c>
      <c r="I81" s="26">
        <v>43754.1194328704</v>
      </c>
      <c r="J81" s="28" t="s">
        <v>52</v>
      </c>
      <c r="K81" s="28" t="s">
        <v>52</v>
      </c>
      <c r="L81" s="28" t="s">
        <v>52</v>
      </c>
      <c r="M81" s="28" t="s">
        <v>52</v>
      </c>
      <c r="N81" s="28" t="s">
        <v>52</v>
      </c>
    </row>
    <row r="82" spans="1:14" x14ac:dyDescent="0.15">
      <c r="A82" s="23" t="str">
        <f>HYPERLINK("https://www.spark-marketing.ru/Card/Person/4365569", "ФГУП ""РОСМОРПОРТ""")</f>
        <v>ФГУП "РОСМОРПОРТ"</v>
      </c>
      <c r="B82" s="24" t="s">
        <v>273</v>
      </c>
      <c r="C82" s="25">
        <v>1299000</v>
      </c>
      <c r="D82" s="22" t="s">
        <v>274</v>
      </c>
      <c r="E82" s="22" t="s">
        <v>275</v>
      </c>
      <c r="F82" s="23" t="str">
        <f>HYPERLINK("https://www.spark-marketing.ru/Card/Lot/74380446", "Услуги по охране объекта «База отдыха «Черномор» (KU 080500048)")</f>
        <v>Услуги по охране объекта «База отдыха «Черномор» (KU 080500048)</v>
      </c>
      <c r="G82" s="22" t="s">
        <v>55</v>
      </c>
      <c r="H82" s="22" t="s">
        <v>55</v>
      </c>
      <c r="I82" s="26">
        <v>43754</v>
      </c>
      <c r="J82" s="28" t="s">
        <v>52</v>
      </c>
      <c r="K82" s="28" t="s">
        <v>52</v>
      </c>
      <c r="L82" s="28" t="s">
        <v>52</v>
      </c>
      <c r="M82" s="28" t="s">
        <v>52</v>
      </c>
      <c r="N82" s="28" t="s">
        <v>52</v>
      </c>
    </row>
    <row r="83" spans="1:14" x14ac:dyDescent="0.15">
      <c r="A83" s="23" t="str">
        <f>HYPERLINK("https://www.spark-marketing.ru/Card/Person/330022", "ФЛ Балаковская АЭС АО ""Концерн Росэнергоатом""")</f>
        <v>ФЛ Балаковская АЭС АО "Концерн Росэнергоатом"</v>
      </c>
      <c r="B83" s="24" t="s">
        <v>211</v>
      </c>
      <c r="C83" s="25">
        <v>235419.47</v>
      </c>
      <c r="D83" s="22" t="s">
        <v>276</v>
      </c>
      <c r="E83" s="22" t="s">
        <v>68</v>
      </c>
      <c r="F83" s="23" t="str">
        <f>HYPERLINK("https://www.spark-marketing.ru/Card/Lot/74373643", "Оказание услуг по государственной пультовой охране объектов защищенного пункта управления противоаварийными действиями в районе эвакуации (ЗПУПД РЭ) Балаковской АЭС в городе Пугачев (Саратовская область, г. Пугачев, ул. Набережная, 19/1) филиала АО ...")</f>
        <v>Оказание услуг по государственной пультовой охране объектов защищенного пункта управления противоаварийными действиями в районе эвакуации (ЗПУПД РЭ) Балаковской АЭС в городе Пугачев (Саратовская область, г. Пугачев, ул. Набережная, 19/1) филиала АО ...</v>
      </c>
      <c r="G83" s="22" t="s">
        <v>55</v>
      </c>
      <c r="H83" s="22" t="s">
        <v>55</v>
      </c>
      <c r="I83" s="26">
        <v>43754.469456018502</v>
      </c>
      <c r="J83" s="28" t="s">
        <v>52</v>
      </c>
      <c r="K83" s="28" t="s">
        <v>52</v>
      </c>
      <c r="L83" s="28" t="s">
        <v>52</v>
      </c>
      <c r="M83" s="28" t="s">
        <v>52</v>
      </c>
      <c r="N83" s="28" t="s">
        <v>52</v>
      </c>
    </row>
    <row r="84" spans="1:14" x14ac:dyDescent="0.15">
      <c r="A84" s="23" t="str">
        <f>HYPERLINK("https://www.spark-marketing.ru/Card/Person/4348451", "ПАО ""Т ПЛЮС""")</f>
        <v>ПАО "Т ПЛЮС"</v>
      </c>
      <c r="B84" s="24" t="s">
        <v>47</v>
      </c>
      <c r="C84" s="25">
        <v>6724934.54</v>
      </c>
      <c r="D84" s="22" t="s">
        <v>277</v>
      </c>
      <c r="E84" s="22" t="s">
        <v>278</v>
      </c>
      <c r="F84" s="23" t="str">
        <f>HYPERLINK("https://www.spark-marketing.ru/Card/Lot/74365223", "Выполнение работ по техническому перевооружению реагентного хозяйства ХВО-2 с установкой газоанализаторов с сигнализацией превышения ПДК для нужд Новогорьковской ТЭЦ филиала «Нижегородский» ПАО «Т Плюс»")</f>
        <v>Выполнение работ по техническому перевооружению реагентного хозяйства ХВО-2 с установкой газоанализаторов с сигнализацией превышения ПДК для нужд Новогорьковской ТЭЦ филиала «Нижегородский» ПАО «Т Плюс»</v>
      </c>
      <c r="G84" s="22" t="s">
        <v>50</v>
      </c>
      <c r="H84" s="22" t="s">
        <v>51</v>
      </c>
      <c r="I84" s="26">
        <v>43754</v>
      </c>
      <c r="J84" s="28" t="s">
        <v>52</v>
      </c>
      <c r="K84" s="28" t="s">
        <v>52</v>
      </c>
      <c r="L84" s="28" t="s">
        <v>52</v>
      </c>
      <c r="M84" s="28" t="s">
        <v>52</v>
      </c>
      <c r="N84" s="28" t="s">
        <v>52</v>
      </c>
    </row>
    <row r="85" spans="1:14" x14ac:dyDescent="0.15">
      <c r="A85" s="23" t="str">
        <f>HYPERLINK("https://www.spark-marketing.ru/Card/Person/265057", "ОГАУЗ ""БРАТСКАЯ СТОМАТОЛОГИЧЕСКАЯ ПОЛИКЛИНИКА № 1""")</f>
        <v>ОГАУЗ "БРАТСКАЯ СТОМАТОЛОГИЧЕСКАЯ ПОЛИКЛИНИКА № 1"</v>
      </c>
      <c r="B85" s="24" t="s">
        <v>279</v>
      </c>
      <c r="C85" s="25">
        <v>204000</v>
      </c>
      <c r="D85" s="22" t="s">
        <v>280</v>
      </c>
      <c r="E85" s="22" t="s">
        <v>144</v>
      </c>
      <c r="F85" s="23" t="str">
        <f>HYPERLINK("https://www.spark-marketing.ru/Card/Lot/74362123", "Оказание услуг по пультовой охране объектов")</f>
        <v>Оказание услуг по пультовой охране объектов</v>
      </c>
      <c r="G85" s="22" t="s">
        <v>281</v>
      </c>
      <c r="H85" s="22" t="s">
        <v>282</v>
      </c>
      <c r="I85" s="26">
        <v>43754</v>
      </c>
      <c r="J85" s="28" t="s">
        <v>52</v>
      </c>
      <c r="K85" s="28" t="s">
        <v>52</v>
      </c>
      <c r="L85" s="28" t="s">
        <v>52</v>
      </c>
      <c r="M85" s="28" t="s">
        <v>52</v>
      </c>
      <c r="N85" s="28" t="s">
        <v>52</v>
      </c>
    </row>
    <row r="86" spans="1:14" x14ac:dyDescent="0.15">
      <c r="A86" s="23" t="str">
        <f>HYPERLINK("https://www.spark-marketing.ru/Card/Person/2097942", "АО ""КОНЦЕРН РОСЭНЕРГОАТОМ""")</f>
        <v>АО "КОНЦЕРН РОСЭНЕРГОАТОМ"</v>
      </c>
      <c r="B86" s="24" t="s">
        <v>211</v>
      </c>
      <c r="C86" s="25">
        <v>13153342.140000001</v>
      </c>
      <c r="D86" s="22" t="s">
        <v>283</v>
      </c>
      <c r="E86" s="22" t="s">
        <v>284</v>
      </c>
      <c r="F86" s="23" t="str">
        <f>HYPERLINK("https://www.spark-marketing.ru/Card/Lot/74372925", "Право заключения договора на Оказание услуг по охране внешних объектов филиала АО ""Концерн Росэнергоатом"" ""Ростовская атомная станция""")</f>
        <v>Право заключения договора на Оказание услуг по охране внешних объектов филиала АО "Концерн Росэнергоатом" "Ростовская атомная станция"</v>
      </c>
      <c r="G86" s="22" t="s">
        <v>55</v>
      </c>
      <c r="H86" s="22" t="s">
        <v>55</v>
      </c>
      <c r="I86" s="26">
        <v>43754</v>
      </c>
      <c r="J86" s="28" t="s">
        <v>52</v>
      </c>
      <c r="K86" s="28" t="s">
        <v>52</v>
      </c>
      <c r="L86" s="28" t="s">
        <v>52</v>
      </c>
      <c r="M86" s="28" t="s">
        <v>52</v>
      </c>
      <c r="N86" s="28" t="s">
        <v>52</v>
      </c>
    </row>
    <row r="87" spans="1:14" x14ac:dyDescent="0.15">
      <c r="A87" s="23" t="str">
        <f>HYPERLINK("https://www.spark-marketing.ru/Card/Person/2097942", "АО ""КОНЦЕРН РОСЭНЕРГОАТОМ""")</f>
        <v>АО "КОНЦЕРН РОСЭНЕРГОАТОМ"</v>
      </c>
      <c r="B87" s="24" t="s">
        <v>211</v>
      </c>
      <c r="C87" s="25">
        <v>327186.43</v>
      </c>
      <c r="D87" s="22" t="s">
        <v>285</v>
      </c>
      <c r="E87" s="22" t="s">
        <v>53</v>
      </c>
      <c r="F87" s="23" t="str">
        <f>HYPERLINK("https://www.spark-marketing.ru/Card/Lot/74364320", "Право заключения договора на Централизованная охрана объектов Белоярской АЭС с помощью технических средств в соответствии с техническим заданием")</f>
        <v>Право заключения договора на Централизованная охрана объектов Белоярской АЭС с помощью технических средств в соответствии с техническим заданием</v>
      </c>
      <c r="G87" s="22" t="s">
        <v>55</v>
      </c>
      <c r="H87" s="22" t="s">
        <v>55</v>
      </c>
      <c r="I87" s="26">
        <v>43754</v>
      </c>
      <c r="J87" s="28" t="s">
        <v>52</v>
      </c>
      <c r="K87" s="28" t="s">
        <v>52</v>
      </c>
      <c r="L87" s="28" t="s">
        <v>52</v>
      </c>
      <c r="M87" s="28" t="s">
        <v>52</v>
      </c>
      <c r="N87" s="28" t="s">
        <v>52</v>
      </c>
    </row>
    <row r="88" spans="1:14" x14ac:dyDescent="0.15">
      <c r="A88" s="23" t="str">
        <f>HYPERLINK("https://www.spark-marketing.ru/Card/Person/4365569", "ФГУП ""РОСМОРПОРТ""")</f>
        <v>ФГУП "РОСМОРПОРТ"</v>
      </c>
      <c r="B88" s="24" t="s">
        <v>273</v>
      </c>
      <c r="C88" s="25">
        <v>906000</v>
      </c>
      <c r="D88" s="22" t="s">
        <v>274</v>
      </c>
      <c r="E88" s="22" t="s">
        <v>144</v>
      </c>
      <c r="F88" s="23" t="str">
        <f>HYPERLINK("https://www.spark-marketing.ru/Card/Lot/74380445", "Услуги по охране объекта «Временная яхтенная стоянка у Западного мола» (KU 080104235)")</f>
        <v>Услуги по охране объекта «Временная яхтенная стоянка у Западного мола» (KU 080104235)</v>
      </c>
      <c r="G88" s="22" t="s">
        <v>55</v>
      </c>
      <c r="H88" s="22" t="s">
        <v>55</v>
      </c>
      <c r="I88" s="26">
        <v>43754</v>
      </c>
      <c r="J88" s="28" t="s">
        <v>52</v>
      </c>
      <c r="K88" s="28" t="s">
        <v>52</v>
      </c>
      <c r="L88" s="28" t="s">
        <v>52</v>
      </c>
      <c r="M88" s="28" t="s">
        <v>52</v>
      </c>
      <c r="N88" s="28" t="s">
        <v>52</v>
      </c>
    </row>
    <row r="89" spans="1:14" x14ac:dyDescent="0.15">
      <c r="A89" s="23" t="str">
        <f>HYPERLINK("https://www.spark-marketing.ru/Card/Person/2202972", "АО ""КОРДИАНТ""")</f>
        <v>АО "КОРДИАНТ"</v>
      </c>
      <c r="B89" s="24" t="s">
        <v>286</v>
      </c>
      <c r="C89" s="25">
        <v>0</v>
      </c>
      <c r="D89" s="22" t="s">
        <v>287</v>
      </c>
      <c r="E89" s="22" t="s">
        <v>194</v>
      </c>
      <c r="F89" s="23" t="str">
        <f>HYPERLINK("https://www.spark-marketing.ru/Card/Lot/74382727", "Установка камер видеонаблюдения")</f>
        <v>Установка камер видеонаблюдения</v>
      </c>
      <c r="G89" s="22" t="s">
        <v>155</v>
      </c>
      <c r="H89" s="22" t="s">
        <v>156</v>
      </c>
      <c r="I89" s="26">
        <v>43754.645150463002</v>
      </c>
      <c r="J89" s="28" t="s">
        <v>52</v>
      </c>
      <c r="K89" s="28" t="s">
        <v>52</v>
      </c>
      <c r="L89" s="28" t="s">
        <v>52</v>
      </c>
      <c r="M89" s="28" t="s">
        <v>52</v>
      </c>
      <c r="N89" s="28" t="s">
        <v>52</v>
      </c>
    </row>
    <row r="90" spans="1:14" x14ac:dyDescent="0.15">
      <c r="A90" s="23" t="str">
        <f>HYPERLINK("https://www.spark-marketing.ru/Card/Person/5960722", "МКУ ""ЕДДС ГОРОДСКОГО ОКРУГА ЕГОРЬЕВСК""")</f>
        <v>МКУ "ЕДДС ГОРОДСКОГО ОКРУГА ЕГОРЬЕВСК"</v>
      </c>
      <c r="B90" s="24" t="s">
        <v>288</v>
      </c>
      <c r="C90" s="25">
        <v>844475.92</v>
      </c>
      <c r="D90" s="22" t="s">
        <v>289</v>
      </c>
      <c r="E90" s="22" t="s">
        <v>84</v>
      </c>
      <c r="F90" s="23" t="str">
        <f>HYPERLINK("https://www.spark-marketing.ru/Card/Lot/74357061", "Установка видеонаблюдения на детских игровых площадках и в населенных пунктах г. о. Егорьевск с подключением к системе ""Безопасный регион""")</f>
        <v>Установка видеонаблюдения на детских игровых площадках и в населенных пунктах г. о. Егорьевск с подключением к системе "Безопасный регион"</v>
      </c>
      <c r="G90" s="22" t="s">
        <v>50</v>
      </c>
      <c r="H90" s="22" t="s">
        <v>239</v>
      </c>
      <c r="I90" s="26">
        <v>43753.718055555597</v>
      </c>
      <c r="J90" s="28" t="s">
        <v>52</v>
      </c>
      <c r="K90" s="28" t="s">
        <v>52</v>
      </c>
      <c r="L90" s="28" t="s">
        <v>52</v>
      </c>
      <c r="M90" s="28" t="s">
        <v>52</v>
      </c>
      <c r="N90" s="28" t="s">
        <v>52</v>
      </c>
    </row>
    <row r="91" spans="1:14" x14ac:dyDescent="0.15">
      <c r="A91" s="23" t="str">
        <f>HYPERLINK("https://www.spark-marketing.ru/Card/Person/6445046", "ООО ""РУСАТОМ ГРИНВЭЙ""")</f>
        <v>ООО "РУСАТОМ ГРИНВЭЙ"</v>
      </c>
      <c r="B91" s="24" t="s">
        <v>290</v>
      </c>
      <c r="C91" s="25">
        <v>0</v>
      </c>
      <c r="D91" s="22" t="s">
        <v>291</v>
      </c>
      <c r="E91" s="22" t="s">
        <v>53</v>
      </c>
      <c r="F91" s="23" t="str">
        <f>HYPERLINK("https://www.spark-marketing.ru/Card/Lot/74358523", "мониторинг цен в электронной форме на Оказание услуг по физической охране площадки модульного комплекса по переработке ЗШМ и имущества находящегося на ней.")</f>
        <v>мониторинг цен в электронной форме на Оказание услуг по физической охране площадки модульного комплекса по переработке ЗШМ и имущества находящегося на ней.</v>
      </c>
      <c r="G91" s="22" t="s">
        <v>55</v>
      </c>
      <c r="H91" s="22" t="s">
        <v>55</v>
      </c>
      <c r="I91" s="26">
        <v>43753.692314814798</v>
      </c>
      <c r="J91" s="28" t="s">
        <v>52</v>
      </c>
      <c r="K91" s="28" t="s">
        <v>52</v>
      </c>
      <c r="L91" s="28" t="s">
        <v>52</v>
      </c>
      <c r="M91" s="28" t="s">
        <v>52</v>
      </c>
      <c r="N91" s="28" t="s">
        <v>52</v>
      </c>
    </row>
    <row r="92" spans="1:14" x14ac:dyDescent="0.15">
      <c r="A92" s="23" t="str">
        <f>HYPERLINK("https://www.spark-marketing.ru/Card/Person/83846", "МДОУ ЦРР №21")</f>
        <v>МДОУ ЦРР №21</v>
      </c>
      <c r="B92" s="24" t="s">
        <v>292</v>
      </c>
      <c r="C92" s="25">
        <v>50000</v>
      </c>
      <c r="D92" s="22" t="s">
        <v>293</v>
      </c>
      <c r="E92" s="22" t="s">
        <v>294</v>
      </c>
      <c r="F92" s="23" t="str">
        <f>HYPERLINK("https://www.spark-marketing.ru/Card/Lot/74350140", "Услуги по техническому обслуживанию системы видеонаблюдения")</f>
        <v>Услуги по техническому обслуживанию системы видеонаблюдения</v>
      </c>
      <c r="G92" s="22" t="s">
        <v>50</v>
      </c>
      <c r="H92" s="22" t="s">
        <v>295</v>
      </c>
      <c r="I92" s="26">
        <v>43753.7014583333</v>
      </c>
      <c r="J92" s="28" t="s">
        <v>52</v>
      </c>
      <c r="K92" s="28" t="s">
        <v>52</v>
      </c>
      <c r="L92" s="28" t="s">
        <v>52</v>
      </c>
      <c r="M92" s="28" t="s">
        <v>52</v>
      </c>
      <c r="N92" s="28" t="s">
        <v>52</v>
      </c>
    </row>
    <row r="93" spans="1:14" x14ac:dyDescent="0.15">
      <c r="A93" s="23" t="str">
        <f>HYPERLINK("https://www.spark-marketing.ru/Card/Person/92123", "МБОУ ШКОЛА №8")</f>
        <v>МБОУ ШКОЛА №8</v>
      </c>
      <c r="B93" s="24" t="s">
        <v>296</v>
      </c>
      <c r="C93" s="25">
        <v>23442</v>
      </c>
      <c r="D93" s="22" t="s">
        <v>297</v>
      </c>
      <c r="E93" s="22" t="s">
        <v>298</v>
      </c>
      <c r="F93" s="23" t="str">
        <f>HYPERLINK("https://www.spark-marketing.ru/Card/Lot/74350141", "Оказание услуг по приобретению и установке камер видеонаблюдения")</f>
        <v>Оказание услуг по приобретению и установке камер видеонаблюдения</v>
      </c>
      <c r="G93" s="22" t="s">
        <v>50</v>
      </c>
      <c r="H93" s="22" t="s">
        <v>299</v>
      </c>
      <c r="I93" s="26">
        <v>43753.7014583333</v>
      </c>
      <c r="J93" s="28" t="s">
        <v>52</v>
      </c>
      <c r="K93" s="28" t="s">
        <v>52</v>
      </c>
      <c r="L93" s="28" t="s">
        <v>52</v>
      </c>
      <c r="M93" s="28" t="s">
        <v>52</v>
      </c>
      <c r="N93" s="28" t="s">
        <v>52</v>
      </c>
    </row>
    <row r="94" spans="1:14" x14ac:dyDescent="0.15">
      <c r="A94" s="23" t="str">
        <f>HYPERLINK("https://www.spark-marketing.ru/Card/Person/83846", "МДОУ ЦРР №21")</f>
        <v>МДОУ ЦРР №21</v>
      </c>
      <c r="B94" s="24" t="s">
        <v>292</v>
      </c>
      <c r="C94" s="25">
        <v>26400</v>
      </c>
      <c r="D94" s="22" t="s">
        <v>300</v>
      </c>
      <c r="E94" s="22" t="s">
        <v>294</v>
      </c>
      <c r="F94" s="23" t="str">
        <f>HYPERLINK("https://www.spark-marketing.ru/Card/Lot/74350028", "Услуги по техническому обслуживанию видеодомофонов")</f>
        <v>Услуги по техническому обслуживанию видеодомофонов</v>
      </c>
      <c r="G94" s="22" t="s">
        <v>50</v>
      </c>
      <c r="H94" s="22" t="s">
        <v>295</v>
      </c>
      <c r="I94" s="26">
        <v>43753.681655092601</v>
      </c>
      <c r="J94" s="28" t="s">
        <v>52</v>
      </c>
      <c r="K94" s="28" t="s">
        <v>52</v>
      </c>
      <c r="L94" s="28" t="s">
        <v>52</v>
      </c>
      <c r="M94" s="28" t="s">
        <v>52</v>
      </c>
      <c r="N94" s="28" t="s">
        <v>52</v>
      </c>
    </row>
    <row r="95" spans="1:14" x14ac:dyDescent="0.15">
      <c r="A95" s="23" t="str">
        <f t="shared" ref="A95:A106" si="1">HYPERLINK("https://www.spark-marketing.ru/Card/Person/4348446", "ООО ""ТАИФ-НК АЗС""")</f>
        <v>ООО "ТАИФ-НК АЗС"</v>
      </c>
      <c r="B95" s="24" t="s">
        <v>301</v>
      </c>
      <c r="C95" s="25">
        <v>992896</v>
      </c>
      <c r="D95" s="22" t="s">
        <v>302</v>
      </c>
      <c r="E95" s="22" t="s">
        <v>53</v>
      </c>
      <c r="F95" s="23" t="str">
        <f>HYPERLINK("https://www.spark-marketing.ru/Card/Lot/74360929", "Физическая охрана АЗС № 704, 705, 724 12 часовой режим охраны (2 объекта)")</f>
        <v>Физическая охрана АЗС № 704, 705, 724 12 часовой режим охраны (2 объекта)</v>
      </c>
      <c r="G95" s="22" t="s">
        <v>204</v>
      </c>
      <c r="H95" s="22" t="s">
        <v>303</v>
      </c>
      <c r="I95" s="26">
        <v>43753.625243055598</v>
      </c>
      <c r="J95" s="28" t="s">
        <v>52</v>
      </c>
      <c r="K95" s="28" t="s">
        <v>52</v>
      </c>
      <c r="L95" s="28" t="s">
        <v>52</v>
      </c>
      <c r="M95" s="28" t="s">
        <v>52</v>
      </c>
      <c r="N95" s="28" t="s">
        <v>52</v>
      </c>
    </row>
    <row r="96" spans="1:14" x14ac:dyDescent="0.15">
      <c r="A96" s="23" t="str">
        <f t="shared" si="1"/>
        <v>ООО "ТАИФ-НК АЗС"</v>
      </c>
      <c r="B96" s="24" t="s">
        <v>301</v>
      </c>
      <c r="C96" s="25">
        <v>15638112</v>
      </c>
      <c r="D96" s="22" t="s">
        <v>302</v>
      </c>
      <c r="E96" s="22" t="s">
        <v>53</v>
      </c>
      <c r="F96" s="23" t="str">
        <f>HYPERLINK("https://www.spark-marketing.ru/Card/Lot/74360920", "Физическая охрана АЗС № 102, 103, 104, 107, 108, 120, 121,123, 131, 133, 134, 141, 147, 154, 157, 162, 166, 169, 206, 242, 255 12 часовой режим (21 объект)")</f>
        <v>Физическая охрана АЗС № 102, 103, 104, 107, 108, 120, 121,123, 131, 133, 134, 141, 147, 154, 157, 162, 166, 169, 206, 242, 255 12 часовой режим (21 объект)</v>
      </c>
      <c r="G96" s="22" t="s">
        <v>204</v>
      </c>
      <c r="H96" s="22" t="s">
        <v>303</v>
      </c>
      <c r="I96" s="26">
        <v>43753.625243055598</v>
      </c>
      <c r="J96" s="28" t="s">
        <v>52</v>
      </c>
      <c r="K96" s="28" t="s">
        <v>52</v>
      </c>
      <c r="L96" s="28" t="s">
        <v>52</v>
      </c>
      <c r="M96" s="28" t="s">
        <v>52</v>
      </c>
      <c r="N96" s="28" t="s">
        <v>52</v>
      </c>
    </row>
    <row r="97" spans="1:14" x14ac:dyDescent="0.15">
      <c r="A97" s="23" t="str">
        <f t="shared" si="1"/>
        <v>ООО "ТАИФ-НК АЗС"</v>
      </c>
      <c r="B97" s="24" t="s">
        <v>301</v>
      </c>
      <c r="C97" s="25">
        <v>934400</v>
      </c>
      <c r="D97" s="22" t="s">
        <v>302</v>
      </c>
      <c r="E97" s="22" t="s">
        <v>53</v>
      </c>
      <c r="F97" s="23" t="str">
        <f>HYPERLINK("https://www.spark-marketing.ru/Card/Lot/74360931", "Физическая охрана АЗС № 724 охрана 24 часа (1 объект)")</f>
        <v>Физическая охрана АЗС № 724 охрана 24 часа (1 объект)</v>
      </c>
      <c r="G97" s="22" t="s">
        <v>204</v>
      </c>
      <c r="H97" s="22" t="s">
        <v>303</v>
      </c>
      <c r="I97" s="26">
        <v>43753.625243055598</v>
      </c>
      <c r="J97" s="28" t="s">
        <v>52</v>
      </c>
      <c r="K97" s="28" t="s">
        <v>52</v>
      </c>
      <c r="L97" s="28" t="s">
        <v>52</v>
      </c>
      <c r="M97" s="28" t="s">
        <v>52</v>
      </c>
      <c r="N97" s="28" t="s">
        <v>52</v>
      </c>
    </row>
    <row r="98" spans="1:14" x14ac:dyDescent="0.15">
      <c r="A98" s="23" t="str">
        <f t="shared" si="1"/>
        <v>ООО "ТАИФ-НК АЗС"</v>
      </c>
      <c r="B98" s="24" t="s">
        <v>301</v>
      </c>
      <c r="C98" s="25">
        <v>1311468</v>
      </c>
      <c r="D98" s="22" t="s">
        <v>302</v>
      </c>
      <c r="E98" s="22" t="s">
        <v>53</v>
      </c>
      <c r="F98" s="23" t="str">
        <f>HYPERLINK("https://www.spark-marketing.ru/Card/Lot/74360924", "Физическая охрана офиса по адресу: г. Набережные Челны, Проспект Казанский, д.253 охрана 24 часа (1 объект)")</f>
        <v>Физическая охрана офиса по адресу: г. Набережные Челны, Проспект Казанский, д.253 охрана 24 часа (1 объект)</v>
      </c>
      <c r="G98" s="22" t="s">
        <v>204</v>
      </c>
      <c r="H98" s="22" t="s">
        <v>303</v>
      </c>
      <c r="I98" s="26">
        <v>43753.625243055598</v>
      </c>
      <c r="J98" s="28" t="s">
        <v>52</v>
      </c>
      <c r="K98" s="28" t="s">
        <v>52</v>
      </c>
      <c r="L98" s="28" t="s">
        <v>52</v>
      </c>
      <c r="M98" s="28" t="s">
        <v>52</v>
      </c>
      <c r="N98" s="28" t="s">
        <v>52</v>
      </c>
    </row>
    <row r="99" spans="1:14" x14ac:dyDescent="0.15">
      <c r="A99" s="23" t="str">
        <f t="shared" si="1"/>
        <v>ООО "ТАИФ-НК АЗС"</v>
      </c>
      <c r="B99" s="24" t="s">
        <v>301</v>
      </c>
      <c r="C99" s="25">
        <v>4150656</v>
      </c>
      <c r="D99" s="22" t="s">
        <v>302</v>
      </c>
      <c r="E99" s="22" t="s">
        <v>53</v>
      </c>
      <c r="F99" s="23" t="str">
        <f>HYPERLINK("https://www.spark-marketing.ru/Card/Lot/74360922", "Физическая охрана АЗС № 101;311, 716 охрана 24 часа (3 объекта)")</f>
        <v>Физическая охрана АЗС № 101;311, 716 охрана 24 часа (3 объекта)</v>
      </c>
      <c r="G99" s="22" t="s">
        <v>204</v>
      </c>
      <c r="H99" s="22" t="s">
        <v>303</v>
      </c>
      <c r="I99" s="26">
        <v>43753.625243055598</v>
      </c>
      <c r="J99" s="28" t="s">
        <v>52</v>
      </c>
      <c r="K99" s="28" t="s">
        <v>52</v>
      </c>
      <c r="L99" s="28" t="s">
        <v>52</v>
      </c>
      <c r="M99" s="28" t="s">
        <v>52</v>
      </c>
      <c r="N99" s="28" t="s">
        <v>52</v>
      </c>
    </row>
    <row r="100" spans="1:14" x14ac:dyDescent="0.15">
      <c r="A100" s="23" t="str">
        <f t="shared" si="1"/>
        <v>ООО "ТАИФ-НК АЗС"</v>
      </c>
      <c r="B100" s="24" t="s">
        <v>301</v>
      </c>
      <c r="C100" s="25">
        <v>1675512</v>
      </c>
      <c r="D100" s="22" t="s">
        <v>302</v>
      </c>
      <c r="E100" s="22" t="s">
        <v>53</v>
      </c>
      <c r="F100" s="23" t="str">
        <f>HYPERLINK("https://www.spark-marketing.ru/Card/Lot/74360928", "Физическая охрана АЗС № 303, 305, 312 12 часовой режим охраны (3 объекта)")</f>
        <v>Физическая охрана АЗС № 303, 305, 312 12 часовой режим охраны (3 объекта)</v>
      </c>
      <c r="G100" s="22" t="s">
        <v>204</v>
      </c>
      <c r="H100" s="22" t="s">
        <v>303</v>
      </c>
      <c r="I100" s="26">
        <v>43753.625243055598</v>
      </c>
      <c r="J100" s="28" t="s">
        <v>52</v>
      </c>
      <c r="K100" s="28" t="s">
        <v>52</v>
      </c>
      <c r="L100" s="28" t="s">
        <v>52</v>
      </c>
      <c r="M100" s="28" t="s">
        <v>52</v>
      </c>
      <c r="N100" s="28" t="s">
        <v>52</v>
      </c>
    </row>
    <row r="101" spans="1:14" x14ac:dyDescent="0.15">
      <c r="A101" s="23" t="str">
        <f t="shared" si="1"/>
        <v>ООО "ТАИФ-НК АЗС"</v>
      </c>
      <c r="B101" s="24" t="s">
        <v>301</v>
      </c>
      <c r="C101" s="25">
        <v>922368</v>
      </c>
      <c r="D101" s="22" t="s">
        <v>302</v>
      </c>
      <c r="E101" s="22" t="s">
        <v>53</v>
      </c>
      <c r="F101" s="23" t="str">
        <f>HYPERLINK("https://www.spark-marketing.ru/Card/Lot/74360923", "Физическая охрана АЗС № 158 охрана 24 часа (1 объект)")</f>
        <v>Физическая охрана АЗС № 158 охрана 24 часа (1 объект)</v>
      </c>
      <c r="G101" s="22" t="s">
        <v>204</v>
      </c>
      <c r="H101" s="22" t="s">
        <v>303</v>
      </c>
      <c r="I101" s="26">
        <v>43753.625243055598</v>
      </c>
      <c r="J101" s="28" t="s">
        <v>52</v>
      </c>
      <c r="K101" s="28" t="s">
        <v>52</v>
      </c>
      <c r="L101" s="28" t="s">
        <v>52</v>
      </c>
      <c r="M101" s="28" t="s">
        <v>52</v>
      </c>
      <c r="N101" s="28" t="s">
        <v>52</v>
      </c>
    </row>
    <row r="102" spans="1:14" x14ac:dyDescent="0.15">
      <c r="A102" s="23" t="str">
        <f t="shared" si="1"/>
        <v>ООО "ТАИФ-НК АЗС"</v>
      </c>
      <c r="B102" s="24" t="s">
        <v>301</v>
      </c>
      <c r="C102" s="25">
        <v>3971584</v>
      </c>
      <c r="D102" s="22" t="s">
        <v>302</v>
      </c>
      <c r="E102" s="22" t="s">
        <v>53</v>
      </c>
      <c r="F102" s="23" t="str">
        <f>HYPERLINK("https://www.spark-marketing.ru/Card/Lot/74360921", "Физическая охрана АЗС № 110, 117, 132, 151, 159, 161, 211, 722 12 часовой режим (8 объектов)")</f>
        <v>Физическая охрана АЗС № 110, 117, 132, 151, 159, 161, 211, 722 12 часовой режим (8 объектов)</v>
      </c>
      <c r="G102" s="22" t="s">
        <v>204</v>
      </c>
      <c r="H102" s="22" t="s">
        <v>303</v>
      </c>
      <c r="I102" s="26">
        <v>43753.625243055598</v>
      </c>
      <c r="J102" s="28" t="s">
        <v>52</v>
      </c>
      <c r="K102" s="28" t="s">
        <v>52</v>
      </c>
      <c r="L102" s="28" t="s">
        <v>52</v>
      </c>
      <c r="M102" s="28" t="s">
        <v>52</v>
      </c>
      <c r="N102" s="28" t="s">
        <v>52</v>
      </c>
    </row>
    <row r="103" spans="1:14" x14ac:dyDescent="0.15">
      <c r="A103" s="23" t="str">
        <f t="shared" si="1"/>
        <v>ООО "ТАИФ-НК АЗС"</v>
      </c>
      <c r="B103" s="24" t="s">
        <v>301</v>
      </c>
      <c r="C103" s="25">
        <v>447120</v>
      </c>
      <c r="D103" s="22" t="s">
        <v>302</v>
      </c>
      <c r="E103" s="22" t="s">
        <v>53</v>
      </c>
      <c r="F103" s="23" t="str">
        <f>HYPERLINK("https://www.spark-marketing.ru/Card/Lot/74360925", "Физическая охрана офиса по адресу: г. Казань, ул. Зинина.д.10а в рабочие дни (5 дней) 10 часов (1 объект)")</f>
        <v>Физическая охрана офиса по адресу: г. Казань, ул. Зинина.д.10а в рабочие дни (5 дней) 10 часов (1 объект)</v>
      </c>
      <c r="G103" s="22" t="s">
        <v>204</v>
      </c>
      <c r="H103" s="22" t="s">
        <v>303</v>
      </c>
      <c r="I103" s="26">
        <v>43753.625243055598</v>
      </c>
      <c r="J103" s="28" t="s">
        <v>52</v>
      </c>
      <c r="K103" s="28" t="s">
        <v>52</v>
      </c>
      <c r="L103" s="28" t="s">
        <v>52</v>
      </c>
      <c r="M103" s="28" t="s">
        <v>52</v>
      </c>
      <c r="N103" s="28" t="s">
        <v>52</v>
      </c>
    </row>
    <row r="104" spans="1:14" x14ac:dyDescent="0.15">
      <c r="A104" s="23" t="str">
        <f t="shared" si="1"/>
        <v>ООО "ТАИФ-НК АЗС"</v>
      </c>
      <c r="B104" s="24" t="s">
        <v>301</v>
      </c>
      <c r="C104" s="25">
        <v>4557600</v>
      </c>
      <c r="D104" s="22" t="s">
        <v>302</v>
      </c>
      <c r="E104" s="22" t="s">
        <v>53</v>
      </c>
      <c r="F104" s="23" t="str">
        <f>HYPERLINK("https://www.spark-marketing.ru/Card/Lot/74360926", "Физическая охрана нефтебазы по адресу: РТ, Тукаевский муниципальный район, территория ПК ""Биклянь"" 24 часовой режим, 2 поста ( с учетом обслуживания и использованием 8 служебных собак имееющихся на территории нефтебазы) (1 объект)")</f>
        <v>Физическая охрана нефтебазы по адресу: РТ, Тукаевский муниципальный район, территория ПК "Биклянь" 24 часовой режим, 2 поста ( с учетом обслуживания и использованием 8 служебных собак имееющихся на территории нефтебазы) (1 объект)</v>
      </c>
      <c r="G104" s="22" t="s">
        <v>204</v>
      </c>
      <c r="H104" s="22" t="s">
        <v>303</v>
      </c>
      <c r="I104" s="26">
        <v>43753.625243055598</v>
      </c>
      <c r="J104" s="28" t="s">
        <v>52</v>
      </c>
      <c r="K104" s="28" t="s">
        <v>52</v>
      </c>
      <c r="L104" s="28" t="s">
        <v>52</v>
      </c>
      <c r="M104" s="28" t="s">
        <v>52</v>
      </c>
      <c r="N104" s="28" t="s">
        <v>52</v>
      </c>
    </row>
    <row r="105" spans="1:14" x14ac:dyDescent="0.15">
      <c r="A105" s="23" t="str">
        <f t="shared" si="1"/>
        <v>ООО "ТАИФ-НК АЗС"</v>
      </c>
      <c r="B105" s="24" t="s">
        <v>301</v>
      </c>
      <c r="C105" s="25">
        <v>744672</v>
      </c>
      <c r="D105" s="22" t="s">
        <v>302</v>
      </c>
      <c r="E105" s="22" t="s">
        <v>53</v>
      </c>
      <c r="F105" s="23" t="str">
        <f>HYPERLINK("https://www.spark-marketing.ru/Card/Lot/74360930", "Физическая охрана АЗС № 252 12 часовой режим охраны (1 объект)")</f>
        <v>Физическая охрана АЗС № 252 12 часовой режим охраны (1 объект)</v>
      </c>
      <c r="G105" s="22" t="s">
        <v>204</v>
      </c>
      <c r="H105" s="22" t="s">
        <v>303</v>
      </c>
      <c r="I105" s="26">
        <v>43753.625243055598</v>
      </c>
      <c r="J105" s="28" t="s">
        <v>52</v>
      </c>
      <c r="K105" s="28" t="s">
        <v>52</v>
      </c>
      <c r="L105" s="28" t="s">
        <v>52</v>
      </c>
      <c r="M105" s="28" t="s">
        <v>52</v>
      </c>
      <c r="N105" s="28" t="s">
        <v>52</v>
      </c>
    </row>
    <row r="106" spans="1:14" x14ac:dyDescent="0.15">
      <c r="A106" s="23" t="str">
        <f t="shared" si="1"/>
        <v>ООО "ТАИФ-НК АЗС"</v>
      </c>
      <c r="B106" s="24" t="s">
        <v>301</v>
      </c>
      <c r="C106" s="25">
        <v>1117008</v>
      </c>
      <c r="D106" s="22" t="s">
        <v>302</v>
      </c>
      <c r="E106" s="22" t="s">
        <v>53</v>
      </c>
      <c r="F106" s="23" t="str">
        <f>HYPERLINK("https://www.spark-marketing.ru/Card/Lot/74360927", "Физическая охрана АЗС № 224, 254, 325 12 часовой режим охраны, 3 объекта")</f>
        <v>Физическая охрана АЗС № 224, 254, 325 12 часовой режим охраны, 3 объекта</v>
      </c>
      <c r="G106" s="22" t="s">
        <v>204</v>
      </c>
      <c r="H106" s="22" t="s">
        <v>303</v>
      </c>
      <c r="I106" s="26">
        <v>43753.625243055598</v>
      </c>
      <c r="J106" s="28" t="s">
        <v>52</v>
      </c>
      <c r="K106" s="28" t="s">
        <v>52</v>
      </c>
      <c r="L106" s="28" t="s">
        <v>52</v>
      </c>
      <c r="M106" s="28" t="s">
        <v>52</v>
      </c>
      <c r="N106" s="28" t="s">
        <v>52</v>
      </c>
    </row>
    <row r="107" spans="1:14" x14ac:dyDescent="0.15">
      <c r="A107" s="23" t="str">
        <f>HYPERLINK("https://www.spark-marketing.ru/Card/Person/94924", "ГБУ МО ""АВТОХОЗЯЙСТВО""")</f>
        <v>ГБУ МО "АВТОХОЗЯЙСТВО"</v>
      </c>
      <c r="B107" s="24" t="s">
        <v>304</v>
      </c>
      <c r="C107" s="25">
        <v>99700</v>
      </c>
      <c r="D107" s="22" t="s">
        <v>305</v>
      </c>
      <c r="E107" s="22" t="s">
        <v>103</v>
      </c>
      <c r="F107" s="23" t="str">
        <f>HYPERLINK("https://www.spark-marketing.ru/Card/Lot/74345232", "Оказание услуг по техническому обслуживанию аналоговых систем видеонаблюдения")</f>
        <v>Оказание услуг по техническому обслуживанию аналоговых систем видеонаблюдения</v>
      </c>
      <c r="G107" s="22" t="s">
        <v>55</v>
      </c>
      <c r="H107" s="22" t="s">
        <v>55</v>
      </c>
      <c r="I107" s="26">
        <v>43753.596875000003</v>
      </c>
      <c r="J107" s="28" t="s">
        <v>52</v>
      </c>
      <c r="K107" s="28" t="s">
        <v>52</v>
      </c>
      <c r="L107" s="28" t="s">
        <v>52</v>
      </c>
      <c r="M107" s="28" t="s">
        <v>52</v>
      </c>
      <c r="N107" s="28" t="s">
        <v>52</v>
      </c>
    </row>
    <row r="108" spans="1:14" x14ac:dyDescent="0.15">
      <c r="A108" s="23" t="str">
        <f>HYPERLINK("https://www.spark-marketing.ru/Card/Person/2244776", "АО ""ТАТЕХ""")</f>
        <v>АО "ТАТЕХ"</v>
      </c>
      <c r="B108" s="24" t="s">
        <v>306</v>
      </c>
      <c r="C108" s="28" t="s">
        <v>52</v>
      </c>
      <c r="D108" s="22" t="s">
        <v>307</v>
      </c>
      <c r="E108" s="22" t="s">
        <v>53</v>
      </c>
      <c r="F108" s="23" t="str">
        <f>HYPERLINK("https://www.spark-marketing.ru/Card/Lot/74351890", "Оказание услуг по техническому обслуживанию систем видеонаблюдения АО ""ТАТЕХ"" (01-22/1013)")</f>
        <v>Оказание услуг по техническому обслуживанию систем видеонаблюдения АО "ТАТЕХ" (01-22/1013)</v>
      </c>
      <c r="G108" s="22" t="s">
        <v>204</v>
      </c>
      <c r="H108" s="22" t="s">
        <v>308</v>
      </c>
      <c r="I108" s="26">
        <v>43753.622916666704</v>
      </c>
      <c r="J108" s="28" t="s">
        <v>52</v>
      </c>
      <c r="K108" s="28" t="s">
        <v>52</v>
      </c>
      <c r="L108" s="28" t="s">
        <v>52</v>
      </c>
      <c r="M108" s="28" t="s">
        <v>52</v>
      </c>
      <c r="N108" s="28" t="s">
        <v>52</v>
      </c>
    </row>
    <row r="109" spans="1:14" x14ac:dyDescent="0.15">
      <c r="A109" s="23" t="str">
        <f>HYPERLINK("https://www.spark-marketing.ru/Card/Person/977870", """МУЗЕЙНО-ВЫСТАВОЧНЫЙ КОМПЛЕКС"", ГБУ ""МВК""")</f>
        <v>"МУЗЕЙНО-ВЫСТАВОЧНЫЙ КОМПЛЕКС", ГБУ "МВК"</v>
      </c>
      <c r="B109" s="24" t="s">
        <v>309</v>
      </c>
      <c r="C109" s="25">
        <v>3854400</v>
      </c>
      <c r="D109" s="22" t="s">
        <v>310</v>
      </c>
      <c r="E109" s="22" t="s">
        <v>68</v>
      </c>
      <c r="F109" s="23" t="str">
        <f>HYPERLINK("https://www.spark-marketing.ru/Card/Lot/74358983", "Оказание услуг по обеспечению общественного порядка")</f>
        <v>Оказание услуг по обеспечению общественного порядка</v>
      </c>
      <c r="G109" s="22" t="s">
        <v>311</v>
      </c>
      <c r="H109" s="22" t="s">
        <v>312</v>
      </c>
      <c r="I109" s="26">
        <v>43753.556250000001</v>
      </c>
      <c r="J109" s="28" t="s">
        <v>52</v>
      </c>
      <c r="K109" s="28" t="s">
        <v>52</v>
      </c>
      <c r="L109" s="28" t="s">
        <v>52</v>
      </c>
      <c r="M109" s="28" t="s">
        <v>52</v>
      </c>
      <c r="N109" s="28" t="s">
        <v>52</v>
      </c>
    </row>
    <row r="110" spans="1:14" x14ac:dyDescent="0.15">
      <c r="A110" s="23" t="str">
        <f>HYPERLINK("https://www.spark-marketing.ru/Card/Person/5904515", "ГКУ ""РРЦ""")</f>
        <v>ГКУ "РРЦ"</v>
      </c>
      <c r="B110" s="24" t="s">
        <v>313</v>
      </c>
      <c r="C110" s="25">
        <v>2500000</v>
      </c>
      <c r="D110" s="22" t="s">
        <v>314</v>
      </c>
      <c r="E110" s="22" t="s">
        <v>315</v>
      </c>
      <c r="F110" s="23" t="str">
        <f>HYPERLINK("https://www.spark-marketing.ru/Card/Lot/74358122", "На право заключения государственного на оказание услуг по изготовлению видеороликов, демонстрирующих эффективные практики социально-реабилитационной работы в учреждениях социального обслуживания населения Республики Татарстан")</f>
        <v>На право заключения государственного на оказание услуг по изготовлению видеороликов, демонстрирующих эффективные практики социально-реабилитационной работы в учреждениях социального обслуживания населения Республики Татарстан</v>
      </c>
      <c r="G110" s="22" t="s">
        <v>204</v>
      </c>
      <c r="H110" s="22" t="s">
        <v>204</v>
      </c>
      <c r="I110" s="26">
        <v>43753.579317129603</v>
      </c>
      <c r="J110" s="28" t="s">
        <v>52</v>
      </c>
      <c r="K110" s="28" t="s">
        <v>52</v>
      </c>
      <c r="L110" s="28" t="s">
        <v>52</v>
      </c>
      <c r="M110" s="28" t="s">
        <v>52</v>
      </c>
      <c r="N110" s="28" t="s">
        <v>52</v>
      </c>
    </row>
    <row r="111" spans="1:14" x14ac:dyDescent="0.15">
      <c r="A111" s="23" t="str">
        <f>HYPERLINK("https://www.spark-marketing.ru/Card/Person/6481765", "ОГБУЗ ""ДОКБ""")</f>
        <v>ОГБУЗ "ДОКБ"</v>
      </c>
      <c r="B111" s="24" t="s">
        <v>316</v>
      </c>
      <c r="C111" s="25">
        <v>832800</v>
      </c>
      <c r="D111" s="22" t="s">
        <v>317</v>
      </c>
      <c r="E111" s="22" t="s">
        <v>107</v>
      </c>
      <c r="F111" s="23" t="str">
        <f>HYPERLINK("https://www.spark-marketing.ru/Card/Lot/74357108", "Оказание услуг по по техническому обслуживанию технических средств системы видеонаблюдения на 2020-2021 г.")</f>
        <v>Оказание услуг по по техническому обслуживанию технических средств системы видеонаблюдения на 2020-2021 г.</v>
      </c>
      <c r="G111" s="22" t="s">
        <v>176</v>
      </c>
      <c r="H111" s="22" t="s">
        <v>318</v>
      </c>
      <c r="I111" s="26">
        <v>43753.533333333296</v>
      </c>
      <c r="J111" s="28" t="s">
        <v>52</v>
      </c>
      <c r="K111" s="28" t="s">
        <v>52</v>
      </c>
      <c r="L111" s="28" t="s">
        <v>52</v>
      </c>
      <c r="M111" s="28" t="s">
        <v>52</v>
      </c>
      <c r="N111" s="28" t="s">
        <v>52</v>
      </c>
    </row>
    <row r="112" spans="1:14" x14ac:dyDescent="0.15">
      <c r="A112" s="23" t="str">
        <f>HYPERLINK("https://www.spark-marketing.ru/Card/Person/6488005", "ООО РН ВОЛГОГРАД")</f>
        <v>ООО РН ВОЛГОГРАД</v>
      </c>
      <c r="B112" s="24" t="s">
        <v>319</v>
      </c>
      <c r="C112" s="25">
        <v>6065010</v>
      </c>
      <c r="D112" s="22" t="s">
        <v>320</v>
      </c>
      <c r="E112" s="22" t="s">
        <v>53</v>
      </c>
      <c r="F112" s="23" t="str">
        <f>HYPERLINK("https://www.spark-marketing.ru/Card/Lot/74341986", "Номер закупки 100049447. Оказание услуг по обеспечению физической охраны объектов ООО «РН-Волгоград» на 2020 год.")</f>
        <v>Номер закупки 100049447. Оказание услуг по обеспечению физической охраны объектов ООО «РН-Волгоград» на 2020 год.</v>
      </c>
      <c r="G112" s="22" t="s">
        <v>52</v>
      </c>
      <c r="H112" s="22" t="s">
        <v>52</v>
      </c>
      <c r="I112" s="26">
        <v>43753.529166666704</v>
      </c>
      <c r="J112" s="28" t="s">
        <v>52</v>
      </c>
      <c r="K112" s="28" t="s">
        <v>52</v>
      </c>
      <c r="L112" s="28" t="s">
        <v>52</v>
      </c>
      <c r="M112" s="28" t="s">
        <v>52</v>
      </c>
      <c r="N112" s="28" t="s">
        <v>52</v>
      </c>
    </row>
    <row r="113" spans="1:14" x14ac:dyDescent="0.15">
      <c r="A113" s="23" t="str">
        <f>HYPERLINK("https://www.spark-marketing.ru/Card/Person/10756", "МГОУ")</f>
        <v>МГОУ</v>
      </c>
      <c r="B113" s="24" t="s">
        <v>321</v>
      </c>
      <c r="C113" s="25">
        <v>1027236</v>
      </c>
      <c r="D113" s="22" t="s">
        <v>322</v>
      </c>
      <c r="E113" s="22" t="s">
        <v>84</v>
      </c>
      <c r="F113" s="23" t="str">
        <f>HYPERLINK("https://www.spark-marketing.ru/Card/Lot/74357250", "Выполнение работ по монтажу и установке видеодомофонной связи и визуального опознавания (видеодомофон и видеоглазок в двери) на объектах МГОУ")</f>
        <v>Выполнение работ по монтажу и установке видеодомофонной связи и визуального опознавания (видеодомофон и видеоглазок в двери) на объектах МГОУ</v>
      </c>
      <c r="G113" s="22" t="s">
        <v>50</v>
      </c>
      <c r="H113" s="22" t="s">
        <v>323</v>
      </c>
      <c r="I113" s="26">
        <v>43753.531944444403</v>
      </c>
      <c r="J113" s="28" t="s">
        <v>52</v>
      </c>
      <c r="K113" s="28" t="s">
        <v>52</v>
      </c>
      <c r="L113" s="28" t="s">
        <v>52</v>
      </c>
      <c r="M113" s="28" t="s">
        <v>52</v>
      </c>
      <c r="N113" s="28" t="s">
        <v>52</v>
      </c>
    </row>
    <row r="114" spans="1:14" x14ac:dyDescent="0.15">
      <c r="A114" s="23" t="str">
        <f>HYPERLINK("https://www.spark-marketing.ru/Card/Person/4352086", "ГБПОУ МО ""СЕРГИЕВО-ПОСАДСКИЙ АГРАРНЫЙ КОЛЛЕДЖ""")</f>
        <v>ГБПОУ МО "СЕРГИЕВО-ПОСАДСКИЙ АГРАРНЫЙ КОЛЛЕДЖ"</v>
      </c>
      <c r="B114" s="24" t="s">
        <v>324</v>
      </c>
      <c r="C114" s="25">
        <v>127000</v>
      </c>
      <c r="D114" s="22" t="s">
        <v>325</v>
      </c>
      <c r="E114" s="22" t="s">
        <v>208</v>
      </c>
      <c r="F114" s="23" t="str">
        <f>HYPERLINK("https://www.spark-marketing.ru/Card/Lot/74344758", "оснащение автоматизированной системой контроля, ограничения и управления доступом основного входа с установкой видеосистемы, установку устройств ограждения для исключения прохода и установку видеодомофона в здании ГБПОУ МО «Сергиево-Посадский аграрны...")</f>
        <v>оснащение автоматизированной системой контроля, ограничения и управления доступом основного входа с установкой видеосистемы, установку устройств ограждения для исключения прохода и установку видеодомофона в здании ГБПОУ МО «Сергиево-Посадский аграрны...</v>
      </c>
      <c r="G114" s="22" t="s">
        <v>50</v>
      </c>
      <c r="H114" s="22" t="s">
        <v>326</v>
      </c>
      <c r="I114" s="26">
        <v>43753.506828703699</v>
      </c>
      <c r="J114" s="28" t="s">
        <v>52</v>
      </c>
      <c r="K114" s="28" t="s">
        <v>52</v>
      </c>
      <c r="L114" s="28" t="s">
        <v>52</v>
      </c>
      <c r="M114" s="28" t="s">
        <v>52</v>
      </c>
      <c r="N114" s="28" t="s">
        <v>52</v>
      </c>
    </row>
    <row r="115" spans="1:14" x14ac:dyDescent="0.15">
      <c r="A115" s="23" t="str">
        <f>HYPERLINK("https://www.spark-marketing.ru/Card/Person/31745", "ГКУСО МО ""ОРЕХОВО-ЗУЕВСКИЙ СРЦ ""НАШ ДОМ""")</f>
        <v>ГКУСО МО "ОРЕХОВО-ЗУЕВСКИЙ СРЦ "НАШ ДОМ"</v>
      </c>
      <c r="B115" s="24" t="s">
        <v>327</v>
      </c>
      <c r="C115" s="25">
        <v>9000</v>
      </c>
      <c r="D115" s="22" t="s">
        <v>328</v>
      </c>
      <c r="E115" s="22" t="s">
        <v>234</v>
      </c>
      <c r="F115" s="23" t="str">
        <f>HYPERLINK("https://www.spark-marketing.ru/Card/Lot/74338246", "Оказание услуги по техническому обслуживанию камер для видеонаблюдения учреждения")</f>
        <v>Оказание услуги по техническому обслуживанию камер для видеонаблюдения учреждения</v>
      </c>
      <c r="G115" s="22" t="s">
        <v>50</v>
      </c>
      <c r="H115" s="22" t="s">
        <v>50</v>
      </c>
      <c r="I115" s="26">
        <v>43753.462233796301</v>
      </c>
      <c r="J115" s="28" t="s">
        <v>52</v>
      </c>
      <c r="K115" s="28" t="s">
        <v>52</v>
      </c>
      <c r="L115" s="28" t="s">
        <v>52</v>
      </c>
      <c r="M115" s="28" t="s">
        <v>52</v>
      </c>
      <c r="N115" s="28" t="s">
        <v>52</v>
      </c>
    </row>
    <row r="116" spans="1:14" x14ac:dyDescent="0.15">
      <c r="A116" s="23" t="str">
        <f>HYPERLINK("https://www.spark-marketing.ru/Card/Person/178456", "ТЕРРИТОРИАЛЬНЫЙ ОРГАН РОСЗДРАВНАДЗОРА ПО РЕСПУБЛИКЕ МОРДОВИЯ")</f>
        <v>ТЕРРИТОРИАЛЬНЫЙ ОРГАН РОСЗДРАВНАДЗОРА ПО РЕСПУБЛИКЕ МОРДОВИЯ</v>
      </c>
      <c r="B116" s="24" t="s">
        <v>329</v>
      </c>
      <c r="C116" s="25">
        <v>28623</v>
      </c>
      <c r="D116" s="22" t="s">
        <v>330</v>
      </c>
      <c r="E116" s="22" t="s">
        <v>53</v>
      </c>
      <c r="F116" s="23" t="str">
        <f>HYPERLINK("https://www.spark-marketing.ru/Card/Lot/74338706", "Выполнение монтажных работ по установке видеодомофона и контроля доступа в помещение")</f>
        <v>Выполнение монтажных работ по установке видеодомофона и контроля доступа в помещение</v>
      </c>
      <c r="G116" s="22" t="s">
        <v>331</v>
      </c>
      <c r="H116" s="22" t="s">
        <v>332</v>
      </c>
      <c r="I116" s="26">
        <v>43753.483807870398</v>
      </c>
      <c r="J116" s="28" t="s">
        <v>52</v>
      </c>
      <c r="K116" s="28" t="s">
        <v>52</v>
      </c>
      <c r="L116" s="28" t="s">
        <v>52</v>
      </c>
      <c r="M116" s="28" t="s">
        <v>52</v>
      </c>
      <c r="N116" s="28" t="s">
        <v>52</v>
      </c>
    </row>
    <row r="117" spans="1:14" x14ac:dyDescent="0.15">
      <c r="A117" s="23" t="str">
        <f>HYPERLINK("https://www.spark-marketing.ru/Card/Person/32510", "ГКУ МО ""МОСОБЛЛЕС""")</f>
        <v>ГКУ МО "МОСОБЛЛЕС"</v>
      </c>
      <c r="B117" s="24" t="s">
        <v>333</v>
      </c>
      <c r="C117" s="25">
        <v>182580</v>
      </c>
      <c r="D117" s="22" t="s">
        <v>334</v>
      </c>
      <c r="E117" s="22" t="s">
        <v>218</v>
      </c>
      <c r="F117" s="23" t="str">
        <f>HYPERLINK("https://www.spark-marketing.ru/Card/Lot/74344757", "Оказание услуг по техническому надзору работ по установке оборудования систем тревожной сигнализации")</f>
        <v>Оказание услуг по техническому надзору работ по установке оборудования систем тревожной сигнализации</v>
      </c>
      <c r="G117" s="22" t="s">
        <v>50</v>
      </c>
      <c r="H117" s="22" t="s">
        <v>51</v>
      </c>
      <c r="I117" s="26">
        <v>43753.483333333301</v>
      </c>
      <c r="J117" s="28" t="s">
        <v>52</v>
      </c>
      <c r="K117" s="28" t="s">
        <v>52</v>
      </c>
      <c r="L117" s="28" t="s">
        <v>52</v>
      </c>
      <c r="M117" s="28" t="s">
        <v>52</v>
      </c>
      <c r="N117" s="28" t="s">
        <v>52</v>
      </c>
    </row>
    <row r="118" spans="1:14" x14ac:dyDescent="0.15">
      <c r="A118" s="23" t="str">
        <f>HYPERLINK("https://www.spark-marketing.ru/Card/Person/67329", "ПНД №8")</f>
        <v>ПНД №8</v>
      </c>
      <c r="B118" s="24" t="s">
        <v>335</v>
      </c>
      <c r="C118" s="25">
        <v>1345815.08</v>
      </c>
      <c r="D118" s="22" t="s">
        <v>336</v>
      </c>
      <c r="E118" s="22" t="s">
        <v>59</v>
      </c>
      <c r="F118" s="23" t="str">
        <f>HYPERLINK("https://www.spark-marketing.ru/Card/Lot/74357684", "Оказание услуг по монтажу системы видеонаблюдения в помещениях СПб ГБУЗ ""Психоневрологический диспансер № 8"" в 2019 году")</f>
        <v>Оказание услуг по монтажу системы видеонаблюдения в помещениях СПб ГБУЗ "Психоневрологический диспансер № 8" в 2019 году</v>
      </c>
      <c r="G118" s="22" t="s">
        <v>89</v>
      </c>
      <c r="H118" s="22" t="s">
        <v>89</v>
      </c>
      <c r="I118" s="26">
        <v>43753.425173611096</v>
      </c>
      <c r="J118" s="28" t="s">
        <v>52</v>
      </c>
      <c r="K118" s="28" t="s">
        <v>52</v>
      </c>
      <c r="L118" s="28" t="s">
        <v>52</v>
      </c>
      <c r="M118" s="28" t="s">
        <v>52</v>
      </c>
      <c r="N118" s="28" t="s">
        <v>52</v>
      </c>
    </row>
    <row r="119" spans="1:14" x14ac:dyDescent="0.15">
      <c r="A119" s="23" t="str">
        <f>HYPERLINK("https://www.spark-marketing.ru/Card/Person/1692809", "МО МВД РОССИИ ""УНЕЧСКИЙ""")</f>
        <v>МО МВД РОССИИ "УНЕЧСКИЙ"</v>
      </c>
      <c r="B119" s="24" t="s">
        <v>213</v>
      </c>
      <c r="C119" s="25">
        <v>42720</v>
      </c>
      <c r="D119" s="22" t="s">
        <v>337</v>
      </c>
      <c r="E119" s="22" t="s">
        <v>107</v>
      </c>
      <c r="F119" s="23" t="str">
        <f>HYPERLINK("https://www.spark-marketing.ru/Card/Lot/74336899", "Техническое обслуживание системы видеонаблюдения, 1 шт")</f>
        <v>Техническое обслуживание системы видеонаблюдения, 1 шт</v>
      </c>
      <c r="G119" s="22" t="s">
        <v>215</v>
      </c>
      <c r="H119" s="22" t="s">
        <v>216</v>
      </c>
      <c r="I119" s="26">
        <v>43753.403159722198</v>
      </c>
      <c r="J119" s="28" t="s">
        <v>52</v>
      </c>
      <c r="K119" s="28" t="s">
        <v>52</v>
      </c>
      <c r="L119" s="28" t="s">
        <v>52</v>
      </c>
      <c r="M119" s="28" t="s">
        <v>52</v>
      </c>
      <c r="N119" s="28" t="s">
        <v>52</v>
      </c>
    </row>
    <row r="120" spans="1:14" x14ac:dyDescent="0.15">
      <c r="A120" s="23" t="str">
        <f>HYPERLINK("https://www.spark-marketing.ru/Card/Person/271194", "ФКУ ИК-10 УФСИН РОССИИ ПО ИВАНОВСКОЙ ОБЛАСТИ")</f>
        <v>ФКУ ИК-10 УФСИН РОССИИ ПО ИВАНОВСКОЙ ОБЛАСТИ</v>
      </c>
      <c r="B120" s="24" t="s">
        <v>338</v>
      </c>
      <c r="C120" s="25">
        <v>11447.45</v>
      </c>
      <c r="D120" s="22" t="s">
        <v>339</v>
      </c>
      <c r="E120" s="22" t="s">
        <v>53</v>
      </c>
      <c r="F120" s="23" t="str">
        <f>HYPERLINK("https://www.spark-marketing.ru/Card/Lot/74337035", "Услуги по предоставлению страховой защиты транспортного средства")</f>
        <v>Услуги по предоставлению страховой защиты транспортного средства</v>
      </c>
      <c r="G120" s="22" t="s">
        <v>340</v>
      </c>
      <c r="H120" s="22" t="s">
        <v>340</v>
      </c>
      <c r="I120" s="26">
        <v>43753.4144675926</v>
      </c>
      <c r="J120" s="28" t="s">
        <v>52</v>
      </c>
      <c r="K120" s="28" t="s">
        <v>52</v>
      </c>
      <c r="L120" s="28" t="s">
        <v>52</v>
      </c>
      <c r="M120" s="28" t="s">
        <v>52</v>
      </c>
      <c r="N120" s="28" t="s">
        <v>52</v>
      </c>
    </row>
    <row r="121" spans="1:14" x14ac:dyDescent="0.15">
      <c r="A121" s="23" t="str">
        <f>HYPERLINK("https://www.spark-marketing.ru/Card/Person/12129", "ФГБУЗ ВМКЦ ФМБА РОССИИ")</f>
        <v>ФГБУЗ ВМКЦ ФМБА РОССИИ</v>
      </c>
      <c r="B121" s="24" t="s">
        <v>341</v>
      </c>
      <c r="C121" s="25">
        <v>2999662.75</v>
      </c>
      <c r="D121" s="22" t="s">
        <v>342</v>
      </c>
      <c r="E121" s="22" t="s">
        <v>68</v>
      </c>
      <c r="F121" s="23" t="str">
        <f>HYPERLINK("https://www.spark-marketing.ru/Card/Lot/74340669", "Оказание услуг по охране объектов")</f>
        <v>Оказание услуг по охране объектов</v>
      </c>
      <c r="G121" s="22" t="s">
        <v>343</v>
      </c>
      <c r="H121" s="22" t="s">
        <v>344</v>
      </c>
      <c r="I121" s="26">
        <v>43753.356249999997</v>
      </c>
      <c r="J121" s="28" t="s">
        <v>52</v>
      </c>
      <c r="K121" s="28" t="s">
        <v>52</v>
      </c>
      <c r="L121" s="28" t="s">
        <v>52</v>
      </c>
      <c r="M121" s="28" t="s">
        <v>52</v>
      </c>
      <c r="N121" s="28" t="s">
        <v>52</v>
      </c>
    </row>
    <row r="122" spans="1:14" x14ac:dyDescent="0.15">
      <c r="A122" s="23" t="str">
        <f>HYPERLINK("https://www.spark-marketing.ru/Card/Person/11743", "ГБУЗ ""ГКБ ИМ. А.К. ЕРАМИШАНЦЕВА ДЗМ""")</f>
        <v>ГБУЗ "ГКБ ИМ. А.К. ЕРАМИШАНЦЕВА ДЗМ"</v>
      </c>
      <c r="B122" s="24" t="s">
        <v>345</v>
      </c>
      <c r="C122" s="25">
        <v>528998.80000000005</v>
      </c>
      <c r="D122" s="22" t="s">
        <v>346</v>
      </c>
      <c r="E122" s="22" t="s">
        <v>84</v>
      </c>
      <c r="F122" s="23" t="str">
        <f>HYPERLINK("https://www.spark-marketing.ru/Card/Lot/74356416", "Выполнение работ по устройству автоматических сдвижных ворот с установкой видеонаблюдения при въезде на территорию Травматологического пункта №2 ГБУЗ ""ГКБ им. А.К. Ерамишанцева ДЗМ""")</f>
        <v>Выполнение работ по устройству автоматических сдвижных ворот с установкой видеонаблюдения при въезде на территорию Травматологического пункта №2 ГБУЗ "ГКБ им. А.К. Ерамишанцева ДЗМ"</v>
      </c>
      <c r="G122" s="22" t="s">
        <v>55</v>
      </c>
      <c r="H122" s="22" t="s">
        <v>55</v>
      </c>
      <c r="I122" s="26">
        <v>43753.405555555597</v>
      </c>
      <c r="J122" s="28" t="s">
        <v>52</v>
      </c>
      <c r="K122" s="28" t="s">
        <v>52</v>
      </c>
      <c r="L122" s="28" t="s">
        <v>52</v>
      </c>
      <c r="M122" s="28" t="s">
        <v>52</v>
      </c>
      <c r="N122" s="28" t="s">
        <v>52</v>
      </c>
    </row>
    <row r="123" spans="1:14" x14ac:dyDescent="0.15">
      <c r="A123" s="23" t="str">
        <f>HYPERLINK("https://www.spark-marketing.ru/Card/Person/32507", "ГБУЗ ""ГП № 19 ДЗМ""")</f>
        <v>ГБУЗ "ГП № 19 ДЗМ"</v>
      </c>
      <c r="B123" s="24" t="s">
        <v>347</v>
      </c>
      <c r="C123" s="25">
        <v>239905.2</v>
      </c>
      <c r="D123" s="22" t="s">
        <v>348</v>
      </c>
      <c r="E123" s="22" t="s">
        <v>349</v>
      </c>
      <c r="F123" s="23" t="str">
        <f>HYPERLINK("https://www.spark-marketing.ru/Card/Lot/74341601", "Выполнение работ по техническому обслуживанию системы видеонаблюдения ГБУЗ ""ГП№19 ДЗМ"" в 2020 году")</f>
        <v>Выполнение работ по техническому обслуживанию системы видеонаблюдения ГБУЗ "ГП№19 ДЗМ" в 2020 году</v>
      </c>
      <c r="G123" s="22" t="s">
        <v>55</v>
      </c>
      <c r="H123" s="22" t="s">
        <v>55</v>
      </c>
      <c r="I123" s="26">
        <v>43753.383333333302</v>
      </c>
      <c r="J123" s="28" t="s">
        <v>52</v>
      </c>
      <c r="K123" s="28" t="s">
        <v>52</v>
      </c>
      <c r="L123" s="28" t="s">
        <v>52</v>
      </c>
      <c r="M123" s="28" t="s">
        <v>52</v>
      </c>
      <c r="N123" s="28" t="s">
        <v>52</v>
      </c>
    </row>
    <row r="124" spans="1:14" x14ac:dyDescent="0.15">
      <c r="A124" s="23" t="str">
        <f>HYPERLINK("https://www.spark-marketing.ru/Card/Person/16390", "ГБУЗ ""ПКБ № 13 ДЗМ""")</f>
        <v>ГБУЗ "ПКБ № 13 ДЗМ"</v>
      </c>
      <c r="B124" s="24" t="s">
        <v>350</v>
      </c>
      <c r="C124" s="25">
        <v>3744990.93</v>
      </c>
      <c r="D124" s="22" t="s">
        <v>351</v>
      </c>
      <c r="E124" s="22" t="s">
        <v>349</v>
      </c>
      <c r="F124" s="23" t="str">
        <f>HYPERLINK("https://www.spark-marketing.ru/Card/Lot/74341598", "Оказание услуг по техническому обслуживанию и поддержанию в исправном состоянии систем контроля безопасности в ГБУЗ ""ПКБ № 13 ДЗМ"" и филиалах в 2020 году")</f>
        <v>Оказание услуг по техническому обслуживанию и поддержанию в исправном состоянии систем контроля безопасности в ГБУЗ "ПКБ № 13 ДЗМ" и филиалах в 2020 году</v>
      </c>
      <c r="G124" s="22" t="s">
        <v>55</v>
      </c>
      <c r="H124" s="22" t="s">
        <v>55</v>
      </c>
      <c r="I124" s="26">
        <v>43753.337500000001</v>
      </c>
      <c r="J124" s="28" t="s">
        <v>52</v>
      </c>
      <c r="K124" s="28" t="s">
        <v>52</v>
      </c>
      <c r="L124" s="28" t="s">
        <v>52</v>
      </c>
      <c r="M124" s="28" t="s">
        <v>52</v>
      </c>
      <c r="N124" s="28" t="s">
        <v>52</v>
      </c>
    </row>
    <row r="125" spans="1:14" x14ac:dyDescent="0.15">
      <c r="A125" s="23" t="str">
        <f>HYPERLINK("https://www.spark-marketing.ru/Card/Person/160085", "ОТДЕЛ ГФС РОССИИ В Г. УЛАН-УДЭ")</f>
        <v>ОТДЕЛ ГФС РОССИИ В Г. УЛАН-УДЭ</v>
      </c>
      <c r="B125" s="24" t="s">
        <v>352</v>
      </c>
      <c r="C125" s="25">
        <v>60000</v>
      </c>
      <c r="D125" s="22" t="s">
        <v>353</v>
      </c>
      <c r="E125" s="22" t="s">
        <v>84</v>
      </c>
      <c r="F125" s="23" t="str">
        <f>HYPERLINK("https://www.spark-marketing.ru/Card/Lot/74334391", "Выполнение работ по установке систем видеонаблюдения, 1 шт")</f>
        <v>Выполнение работ по установке систем видеонаблюдения, 1 шт</v>
      </c>
      <c r="G125" s="22" t="s">
        <v>354</v>
      </c>
      <c r="H125" s="22" t="s">
        <v>355</v>
      </c>
      <c r="I125" s="26">
        <v>43753.241655092599</v>
      </c>
      <c r="J125" s="28" t="s">
        <v>52</v>
      </c>
      <c r="K125" s="28" t="s">
        <v>52</v>
      </c>
      <c r="L125" s="28" t="s">
        <v>52</v>
      </c>
      <c r="M125" s="28" t="s">
        <v>52</v>
      </c>
      <c r="N125" s="28" t="s">
        <v>52</v>
      </c>
    </row>
    <row r="126" spans="1:14" x14ac:dyDescent="0.15">
      <c r="A126" s="23" t="str">
        <f>HYPERLINK("https://www.spark-marketing.ru/Card/Person/264196", "ОТДЕЛ ГФС РОССИИ В Г. БЛАГОВЕЩЕНСКЕ")</f>
        <v>ОТДЕЛ ГФС РОССИИ В Г. БЛАГОВЕЩЕНСКЕ</v>
      </c>
      <c r="B126" s="24" t="s">
        <v>356</v>
      </c>
      <c r="C126" s="25">
        <v>26752.68</v>
      </c>
      <c r="D126" s="22" t="s">
        <v>357</v>
      </c>
      <c r="E126" s="22" t="s">
        <v>53</v>
      </c>
      <c r="F126" s="23" t="str">
        <f>HYPERLINK("https://www.spark-marketing.ru/Card/Lot/74332755", "Охрана объектов")</f>
        <v>Охрана объектов</v>
      </c>
      <c r="G126" s="22" t="s">
        <v>230</v>
      </c>
      <c r="H126" s="22" t="s">
        <v>231</v>
      </c>
      <c r="I126" s="26">
        <v>43753.197847222204</v>
      </c>
      <c r="J126" s="28" t="s">
        <v>52</v>
      </c>
      <c r="K126" s="28" t="s">
        <v>52</v>
      </c>
      <c r="L126" s="28" t="s">
        <v>52</v>
      </c>
      <c r="M126" s="28" t="s">
        <v>52</v>
      </c>
      <c r="N126" s="28" t="s">
        <v>52</v>
      </c>
    </row>
    <row r="127" spans="1:14" x14ac:dyDescent="0.15">
      <c r="A127" s="23" t="str">
        <f>HYPERLINK("https://www.spark-marketing.ru/Card/Person/21855", "ФКУ УПРДОР ""ЮЖНЫЙ БАЙКАЛ""")</f>
        <v>ФКУ УПРДОР "ЮЖНЫЙ БАЙКАЛ"</v>
      </c>
      <c r="B127" s="24" t="s">
        <v>358</v>
      </c>
      <c r="C127" s="25">
        <v>20000</v>
      </c>
      <c r="D127" s="22" t="s">
        <v>359</v>
      </c>
      <c r="E127" s="22" t="s">
        <v>53</v>
      </c>
      <c r="F127" s="23" t="str">
        <f>HYPERLINK("https://www.spark-marketing.ru/Card/Lot/74332855", "услуги")</f>
        <v>услуги</v>
      </c>
      <c r="G127" s="22" t="s">
        <v>354</v>
      </c>
      <c r="H127" s="22" t="s">
        <v>355</v>
      </c>
      <c r="I127" s="26">
        <v>43753.1795949074</v>
      </c>
      <c r="J127" s="28" t="s">
        <v>52</v>
      </c>
      <c r="K127" s="28" t="s">
        <v>52</v>
      </c>
      <c r="L127" s="28" t="s">
        <v>52</v>
      </c>
      <c r="M127" s="28" t="s">
        <v>52</v>
      </c>
      <c r="N127" s="28" t="s">
        <v>52</v>
      </c>
    </row>
    <row r="128" spans="1:14" x14ac:dyDescent="0.15">
      <c r="A128" s="23" t="str">
        <f>HYPERLINK("https://www.spark-marketing.ru/Card/Person/2097942", "АО ""КОНЦЕРН РОСЭНЕРГОАТОМ""")</f>
        <v>АО "КОНЦЕРН РОСЭНЕРГОАТОМ"</v>
      </c>
      <c r="B128" s="24" t="s">
        <v>211</v>
      </c>
      <c r="C128" s="25">
        <v>1798298.53</v>
      </c>
      <c r="D128" s="22" t="s">
        <v>360</v>
      </c>
      <c r="E128" s="22" t="s">
        <v>144</v>
      </c>
      <c r="F128" s="23" t="str">
        <f>HYPERLINK("https://www.spark-marketing.ru/Card/Lot/74350898", "Право заключения договора на Оказание услуг по государственной круглосуточной охране объектов филиала АО ""Концерн Росэнергоатом"" ""Балаковская атомная станция"" путем оперативного реагирования на тревожные сообщения")</f>
        <v>Право заключения договора на Оказание услуг по государственной круглосуточной охране объектов филиала АО "Концерн Росэнергоатом" "Балаковская атомная станция" путем оперативного реагирования на тревожные сообщения</v>
      </c>
      <c r="G128" s="22" t="s">
        <v>55</v>
      </c>
      <c r="H128" s="22" t="s">
        <v>55</v>
      </c>
      <c r="I128" s="26">
        <v>43753</v>
      </c>
      <c r="J128" s="28" t="s">
        <v>52</v>
      </c>
      <c r="K128" s="28" t="s">
        <v>52</v>
      </c>
      <c r="L128" s="28" t="s">
        <v>52</v>
      </c>
      <c r="M128" s="28" t="s">
        <v>52</v>
      </c>
      <c r="N128" s="28" t="s">
        <v>52</v>
      </c>
    </row>
    <row r="129" spans="1:14" x14ac:dyDescent="0.15">
      <c r="A129" s="23" t="str">
        <f>HYPERLINK("https://www.spark-marketing.ru/Card/Person/4346324", "ПАО ""ФСК ЕЭС""")</f>
        <v>ПАО "ФСК ЕЭС"</v>
      </c>
      <c r="B129" s="24" t="s">
        <v>361</v>
      </c>
      <c r="C129" s="25">
        <v>38339180</v>
      </c>
      <c r="D129" s="22" t="s">
        <v>362</v>
      </c>
      <c r="E129" s="22" t="s">
        <v>363</v>
      </c>
      <c r="F129" s="23" t="str">
        <f>HYPERLINK("https://www.spark-marketing.ru/Card/Lot/74339445", "Оказание услуг физической охраны объектов филиала ПАО ""ФСК ЕЭС"" - Свердловское ПМЭС")</f>
        <v>Оказание услуг физической охраны объектов филиала ПАО "ФСК ЕЭС" - Свердловское ПМЭС</v>
      </c>
      <c r="G129" s="22" t="s">
        <v>72</v>
      </c>
      <c r="H129" s="22" t="s">
        <v>72</v>
      </c>
      <c r="I129" s="26">
        <v>43753</v>
      </c>
      <c r="J129" s="28" t="s">
        <v>52</v>
      </c>
      <c r="K129" s="28" t="s">
        <v>52</v>
      </c>
      <c r="L129" s="28" t="s">
        <v>52</v>
      </c>
      <c r="M129" s="28" t="s">
        <v>52</v>
      </c>
      <c r="N129" s="28" t="s">
        <v>52</v>
      </c>
    </row>
    <row r="130" spans="1:14" x14ac:dyDescent="0.15">
      <c r="A130" s="23" t="str">
        <f>HYPERLINK("https://www.spark-marketing.ru/Card/Person/72688", "ФГБУ ННПЦ МСЭ И РИ МИНТРУДА РОССИИ")</f>
        <v>ФГБУ ННПЦ МСЭ И РИ МИНТРУДА РОССИИ</v>
      </c>
      <c r="B130" s="24" t="s">
        <v>364</v>
      </c>
      <c r="C130" s="25">
        <v>392201.06</v>
      </c>
      <c r="D130" s="22" t="s">
        <v>365</v>
      </c>
      <c r="E130" s="22" t="s">
        <v>366</v>
      </c>
      <c r="F130" s="23" t="str">
        <f>HYPERLINK("https://www.spark-marketing.ru/Card/Lot/74339429", "Оказание услуги по поставке и монтажу системы видеонаблюдения")</f>
        <v>Оказание услуги по поставке и монтажу системы видеонаблюдения</v>
      </c>
      <c r="G130" s="22" t="s">
        <v>367</v>
      </c>
      <c r="H130" s="22" t="s">
        <v>367</v>
      </c>
      <c r="I130" s="26">
        <v>43753</v>
      </c>
      <c r="J130" s="28" t="s">
        <v>52</v>
      </c>
      <c r="K130" s="28" t="s">
        <v>52</v>
      </c>
      <c r="L130" s="28" t="s">
        <v>52</v>
      </c>
      <c r="M130" s="28" t="s">
        <v>52</v>
      </c>
      <c r="N130" s="28" t="s">
        <v>52</v>
      </c>
    </row>
    <row r="131" spans="1:14" x14ac:dyDescent="0.15">
      <c r="A131" s="23" t="str">
        <f>HYPERLINK("https://www.spark-marketing.ru/Card/Person/4904101", "МКП ""ЦЕНТРАЛЬНАЯ ТЭЦ""")</f>
        <v>МКП "ЦЕНТРАЛЬНАЯ ТЭЦ"</v>
      </c>
      <c r="B131" s="24" t="s">
        <v>368</v>
      </c>
      <c r="C131" s="25">
        <v>2118232.04</v>
      </c>
      <c r="D131" s="22" t="s">
        <v>369</v>
      </c>
      <c r="E131" s="22" t="s">
        <v>370</v>
      </c>
      <c r="F131" s="23" t="str">
        <f>HYPERLINK("https://www.spark-marketing.ru/Card/Lot/74341686", "выполнение работ по установке приборов контроля и сигнализации состояния воздушной среды в помещениях склада химических реагентов химического цеха МКП «Центральная ТЭЦ»")</f>
        <v>выполнение работ по установке приборов контроля и сигнализации состояния воздушной среды в помещениях склада химических реагентов химического цеха МКП «Центральная ТЭЦ»</v>
      </c>
      <c r="G131" s="22" t="s">
        <v>367</v>
      </c>
      <c r="H131" s="22" t="s">
        <v>367</v>
      </c>
      <c r="I131" s="26">
        <v>43753</v>
      </c>
      <c r="J131" s="28" t="s">
        <v>52</v>
      </c>
      <c r="K131" s="28" t="s">
        <v>52</v>
      </c>
      <c r="L131" s="28" t="s">
        <v>52</v>
      </c>
      <c r="M131" s="28" t="s">
        <v>52</v>
      </c>
      <c r="N131" s="28" t="s">
        <v>52</v>
      </c>
    </row>
    <row r="132" spans="1:14" x14ac:dyDescent="0.15">
      <c r="A132" s="23" t="str">
        <f>HYPERLINK("https://www.spark-marketing.ru/Card/Person/4366379", "ООО ""ГАЗПРОМ ТРАНСГАЗ УФА""")</f>
        <v>ООО "ГАЗПРОМ ТРАНСГАЗ УФА"</v>
      </c>
      <c r="B132" s="24" t="s">
        <v>371</v>
      </c>
      <c r="C132" s="25">
        <v>108821727.58</v>
      </c>
      <c r="D132" s="22" t="s">
        <v>372</v>
      </c>
      <c r="E132" s="22" t="s">
        <v>144</v>
      </c>
      <c r="F132" s="23" t="str">
        <f>HYPERLINK("https://www.spark-marketing.ru/Card/Lot/74354394", "Оказание услуг по охране объектов ООО ""Газпром трансгаз Уфа"" (УТТи СТ, УМТСиК, Стерлитамакское ЛПУМГ) для нужд ООО ""Газпром трансгаз Уфа"" (для субъектов малого и среднего предпринимательства)")</f>
        <v>Оказание услуг по охране объектов ООО "Газпром трансгаз Уфа" (УТТи СТ, УМТСиК, Стерлитамакское ЛПУМГ) для нужд ООО "Газпром трансгаз Уфа" (для субъектов малого и среднего предпринимательства)</v>
      </c>
      <c r="G132" s="22" t="s">
        <v>100</v>
      </c>
      <c r="H132" s="22" t="s">
        <v>373</v>
      </c>
      <c r="I132" s="26">
        <v>43753</v>
      </c>
      <c r="J132" s="28" t="s">
        <v>52</v>
      </c>
      <c r="K132" s="28" t="s">
        <v>52</v>
      </c>
      <c r="L132" s="28" t="s">
        <v>52</v>
      </c>
      <c r="M132" s="28" t="s">
        <v>52</v>
      </c>
      <c r="N132" s="28" t="s">
        <v>52</v>
      </c>
    </row>
    <row r="133" spans="1:14" x14ac:dyDescent="0.15">
      <c r="A133" s="23" t="str">
        <f>HYPERLINK("https://www.spark-marketing.ru/Card/Person/4348435", "ООО ""ТД ПОЛИМЕТАЛЛ""")</f>
        <v>ООО "ТД ПОЛИМЕТАЛЛ"</v>
      </c>
      <c r="B133" s="24" t="s">
        <v>374</v>
      </c>
      <c r="C133" s="25">
        <v>1500</v>
      </c>
      <c r="D133" s="22" t="s">
        <v>375</v>
      </c>
      <c r="E133" s="22" t="s">
        <v>376</v>
      </c>
      <c r="F133" s="23" t="str">
        <f>HYPERLINK("https://www.spark-marketing.ru/Card/Lot/74338568", "Плакат ""Схемы строповки грузов""")</f>
        <v>Плакат "Схемы строповки грузов"</v>
      </c>
      <c r="G133" s="22" t="s">
        <v>89</v>
      </c>
      <c r="H133" s="22" t="s">
        <v>89</v>
      </c>
      <c r="I133" s="26">
        <v>43753.296932870398</v>
      </c>
      <c r="J133" s="28" t="s">
        <v>52</v>
      </c>
      <c r="K133" s="28" t="s">
        <v>52</v>
      </c>
      <c r="L133" s="28" t="s">
        <v>52</v>
      </c>
      <c r="M133" s="28" t="s">
        <v>52</v>
      </c>
      <c r="N133" s="28" t="s">
        <v>52</v>
      </c>
    </row>
    <row r="134" spans="1:14" x14ac:dyDescent="0.15">
      <c r="A134" s="23" t="str">
        <f>HYPERLINK("https://www.spark-marketing.ru/Card/Person/8768", "ФГБОУ ВО ""ИЖГТУ ИМЕНИ М.Т. КАЛАШНИКОВА""")</f>
        <v>ФГБОУ ВО "ИЖГТУ ИМЕНИ М.Т. КАЛАШНИКОВА"</v>
      </c>
      <c r="B134" s="24" t="s">
        <v>377</v>
      </c>
      <c r="C134" s="25">
        <v>488287</v>
      </c>
      <c r="D134" s="22" t="s">
        <v>378</v>
      </c>
      <c r="E134" s="22" t="s">
        <v>49</v>
      </c>
      <c r="F134" s="23" t="str">
        <f>HYPERLINK("https://www.spark-marketing.ru/Card/Lot/74347655", "Монтаж технических средств охраны для нужд ФГБОУ ВО ""ИжГТУ М.Т. Калашникова""")</f>
        <v>Монтаж технических средств охраны для нужд ФГБОУ ВО "ИжГТУ М.Т. Калашникова"</v>
      </c>
      <c r="G134" s="22" t="s">
        <v>96</v>
      </c>
      <c r="H134" s="22" t="s">
        <v>96</v>
      </c>
      <c r="I134" s="26">
        <v>43753</v>
      </c>
      <c r="J134" s="28" t="s">
        <v>52</v>
      </c>
      <c r="K134" s="28" t="s">
        <v>52</v>
      </c>
      <c r="L134" s="28" t="s">
        <v>52</v>
      </c>
      <c r="M134" s="28" t="s">
        <v>52</v>
      </c>
      <c r="N134" s="28" t="s">
        <v>52</v>
      </c>
    </row>
    <row r="135" spans="1:14" x14ac:dyDescent="0.15">
      <c r="A135" s="23" t="str">
        <f>HYPERLINK("https://www.spark-marketing.ru/Card/Person/4366379", "ООО ""ГАЗПРОМ ТРАНСГАЗ УФА""")</f>
        <v>ООО "ГАЗПРОМ ТРАНСГАЗ УФА"</v>
      </c>
      <c r="B135" s="24" t="s">
        <v>371</v>
      </c>
      <c r="C135" s="25">
        <v>74314405.019999996</v>
      </c>
      <c r="D135" s="22" t="s">
        <v>379</v>
      </c>
      <c r="E135" s="22" t="s">
        <v>144</v>
      </c>
      <c r="F135" s="23" t="str">
        <f>HYPERLINK("https://www.spark-marketing.ru/Card/Lot/74354368", "Оказание услуг по охране объектов ООО ""Газпром трансгаз Уфа"" (Кармаскалинское ЛПУМГ, Сибайское ЛПУМГ, Ургалинское ЛПУМГ, Аркауловское ЛПУМГ, Шаранское ЛПУМГ, Полянское ЛПУМГ, Приютовское ЛПУМГ)"" для нужд ООО ""Газпром трансгаз Уфа"" (для субъектов...")</f>
        <v>Оказание услуг по охране объектов ООО "Газпром трансгаз Уфа" (Кармаскалинское ЛПУМГ, Сибайское ЛПУМГ, Ургалинское ЛПУМГ, Аркауловское ЛПУМГ, Шаранское ЛПУМГ, Полянское ЛПУМГ, Приютовское ЛПУМГ)" для нужд ООО "Газпром трансгаз Уфа" (для субъектов...</v>
      </c>
      <c r="G135" s="22" t="s">
        <v>100</v>
      </c>
      <c r="H135" s="22" t="s">
        <v>373</v>
      </c>
      <c r="I135" s="26">
        <v>43753</v>
      </c>
      <c r="J135" s="28" t="s">
        <v>52</v>
      </c>
      <c r="K135" s="28" t="s">
        <v>52</v>
      </c>
      <c r="L135" s="28" t="s">
        <v>52</v>
      </c>
      <c r="M135" s="28" t="s">
        <v>52</v>
      </c>
      <c r="N135" s="28" t="s">
        <v>52</v>
      </c>
    </row>
    <row r="136" spans="1:14" x14ac:dyDescent="0.15">
      <c r="A136" s="23" t="str">
        <f>HYPERLINK("https://www.spark-marketing.ru/Card/Person/144311", "АО ""АТЦ РОСАТОМА""")</f>
        <v>АО "АТЦ РОСАТОМА"</v>
      </c>
      <c r="B136" s="24" t="s">
        <v>380</v>
      </c>
      <c r="C136" s="25">
        <v>372000</v>
      </c>
      <c r="D136" s="22" t="s">
        <v>381</v>
      </c>
      <c r="E136" s="22" t="s">
        <v>59</v>
      </c>
      <c r="F136" s="23" t="str">
        <f>HYPERLINK("https://www.spark-marketing.ru/Card/Lot/74355714", "Оказание услуг по техническому обслуживанию системы видеонаблюдения расположенной по адресу: г. Северск, ул. Лесная 5а")</f>
        <v>Оказание услуг по техническому обслуживанию системы видеонаблюдения расположенной по адресу: г. Северск, ул. Лесная 5а</v>
      </c>
      <c r="G136" s="22" t="s">
        <v>89</v>
      </c>
      <c r="H136" s="22" t="s">
        <v>89</v>
      </c>
      <c r="I136" s="26">
        <v>43753.704907407402</v>
      </c>
      <c r="J136" s="28" t="s">
        <v>52</v>
      </c>
      <c r="K136" s="28" t="s">
        <v>52</v>
      </c>
      <c r="L136" s="28" t="s">
        <v>52</v>
      </c>
      <c r="M136" s="28" t="s">
        <v>52</v>
      </c>
      <c r="N136" s="28" t="s">
        <v>52</v>
      </c>
    </row>
    <row r="137" spans="1:14" x14ac:dyDescent="0.15">
      <c r="A137" s="23" t="str">
        <f>HYPERLINK("https://www.spark-marketing.ru/Card/Person/6445046", "ООО ""РУСАТОМ ГРИНВЭЙ""")</f>
        <v>ООО "РУСАТОМ ГРИНВЭЙ"</v>
      </c>
      <c r="B137" s="24" t="s">
        <v>290</v>
      </c>
      <c r="C137" s="28" t="s">
        <v>52</v>
      </c>
      <c r="D137" s="22" t="s">
        <v>382</v>
      </c>
      <c r="E137" s="22" t="s">
        <v>53</v>
      </c>
      <c r="F137" s="23" t="str">
        <f>HYPERLINK("https://www.spark-marketing.ru/Card/Lot/74353434", "Оказание услуг по физической охране площадки модульного комплекса по переработке ЗШМ и имущества находящегося на ней. (1364550)")</f>
        <v>Оказание услуг по физической охране площадки модульного комплекса по переработке ЗШМ и имущества находящегося на ней. (1364550)</v>
      </c>
      <c r="G137" s="22" t="s">
        <v>55</v>
      </c>
      <c r="H137" s="22" t="s">
        <v>55</v>
      </c>
      <c r="I137" s="26">
        <v>43753.692314814798</v>
      </c>
      <c r="J137" s="28" t="s">
        <v>52</v>
      </c>
      <c r="K137" s="28" t="s">
        <v>52</v>
      </c>
      <c r="L137" s="28" t="s">
        <v>52</v>
      </c>
      <c r="M137" s="28" t="s">
        <v>52</v>
      </c>
      <c r="N137" s="28" t="s">
        <v>52</v>
      </c>
    </row>
    <row r="138" spans="1:14" x14ac:dyDescent="0.15">
      <c r="A138" s="23" t="str">
        <f>HYPERLINK("https://www.spark-marketing.ru/Card/Person/4346324", "ПАО ""ФСК ЕЭС""")</f>
        <v>ПАО "ФСК ЕЭС"</v>
      </c>
      <c r="B138" s="24" t="s">
        <v>361</v>
      </c>
      <c r="C138" s="25">
        <v>16372247.199999999</v>
      </c>
      <c r="D138" s="22" t="s">
        <v>383</v>
      </c>
      <c r="E138" s="22" t="s">
        <v>363</v>
      </c>
      <c r="F138" s="23" t="str">
        <f>HYPERLINK("https://www.spark-marketing.ru/Card/Lot/74340983", "Оказание услуг по физической охране объектов филиала ПАО ""ФСК ЕЭС"" - Оренбургское ПМЭС")</f>
        <v>Оказание услуг по физической охране объектов филиала ПАО "ФСК ЕЭС" - Оренбургское ПМЭС</v>
      </c>
      <c r="G138" s="22" t="s">
        <v>384</v>
      </c>
      <c r="H138" s="22" t="s">
        <v>384</v>
      </c>
      <c r="I138" s="26">
        <v>43753</v>
      </c>
      <c r="J138" s="28" t="s">
        <v>52</v>
      </c>
      <c r="K138" s="28" t="s">
        <v>52</v>
      </c>
      <c r="L138" s="28" t="s">
        <v>52</v>
      </c>
      <c r="M138" s="28" t="s">
        <v>52</v>
      </c>
      <c r="N138" s="28" t="s">
        <v>52</v>
      </c>
    </row>
    <row r="139" spans="1:14" x14ac:dyDescent="0.15">
      <c r="A139" s="23" t="str">
        <f>HYPERLINK("https://www.spark-marketing.ru/Card/Person/59315", "ФБУЗ ""ЦЕНТР ГИГИЕНЫ И ЭПИДЕМИОЛОГИИ В ЯМАЛО-НЕНЕЦКОМ АВТОНОМНОМ ОКРУГЕ""")</f>
        <v>ФБУЗ "ЦЕНТР ГИГИЕНЫ И ЭПИДЕМИОЛОГИИ В ЯМАЛО-НЕНЕЦКОМ АВТОНОМНОМ ОКРУГЕ"</v>
      </c>
      <c r="B139" s="24" t="s">
        <v>385</v>
      </c>
      <c r="C139" s="25">
        <v>99918</v>
      </c>
      <c r="D139" s="22" t="s">
        <v>386</v>
      </c>
      <c r="E139" s="22" t="s">
        <v>144</v>
      </c>
      <c r="F139" s="23" t="str">
        <f>HYPERLINK("https://www.spark-marketing.ru/Card/Lot/74315450", "оказание услуг по централизованной охране объекта для нужд филиала Федерального бюджетного учреждения здравоохранения ""Центр гигиены и эпидемиологии в Ямало-Ненецком автономном округе в городах Ноябрьск, Муравленко""")</f>
        <v>оказание услуг по централизованной охране объекта для нужд филиала Федерального бюджетного учреждения здравоохранения "Центр гигиены и эпидемиологии в Ямало-Ненецком автономном округе в городах Ноябрьск, Муравленко"</v>
      </c>
      <c r="G139" s="22" t="s">
        <v>311</v>
      </c>
      <c r="H139" s="22" t="s">
        <v>311</v>
      </c>
      <c r="I139" s="26">
        <v>43752</v>
      </c>
      <c r="J139" s="28" t="s">
        <v>52</v>
      </c>
      <c r="K139" s="28" t="s">
        <v>52</v>
      </c>
      <c r="L139" s="28" t="s">
        <v>52</v>
      </c>
      <c r="M139" s="28" t="s">
        <v>52</v>
      </c>
      <c r="N139" s="28" t="s">
        <v>52</v>
      </c>
    </row>
    <row r="140" spans="1:14" x14ac:dyDescent="0.15">
      <c r="A140" s="23" t="str">
        <f>HYPERLINK("https://www.spark-marketing.ru/Card/Person/4346324", "ПАО ""ФСК ЕЭС""")</f>
        <v>ПАО "ФСК ЕЭС"</v>
      </c>
      <c r="B140" s="24" t="s">
        <v>361</v>
      </c>
      <c r="C140" s="25">
        <v>18787067.289999999</v>
      </c>
      <c r="D140" s="22" t="s">
        <v>387</v>
      </c>
      <c r="E140" s="22" t="s">
        <v>363</v>
      </c>
      <c r="F140" s="23" t="str">
        <f>HYPERLINK("https://www.spark-marketing.ru/Card/Lot/74347699", "Охрана объектов низкой категории опасности филиала ПАО ""ФСК ЕЭС"" - Южно-Уральское ПМЭС")</f>
        <v>Охрана объектов низкой категории опасности филиала ПАО "ФСК ЕЭС" - Южно-Уральское ПМЭС</v>
      </c>
      <c r="G140" s="22" t="s">
        <v>60</v>
      </c>
      <c r="H140" s="22" t="s">
        <v>60</v>
      </c>
      <c r="I140" s="26">
        <v>43753</v>
      </c>
      <c r="J140" s="28" t="s">
        <v>52</v>
      </c>
      <c r="K140" s="28" t="s">
        <v>52</v>
      </c>
      <c r="L140" s="28" t="s">
        <v>52</v>
      </c>
      <c r="M140" s="28" t="s">
        <v>52</v>
      </c>
      <c r="N140" s="28" t="s">
        <v>52</v>
      </c>
    </row>
    <row r="141" spans="1:14" x14ac:dyDescent="0.15">
      <c r="A141" s="23" t="str">
        <f>HYPERLINK("https://www.spark-marketing.ru/Card/Person/330022", "ФЛ Балаковская АЭС АО ""Концерн Росэнергоатом""")</f>
        <v>ФЛ Балаковская АЭС АО "Концерн Росэнергоатом"</v>
      </c>
      <c r="B141" s="24" t="s">
        <v>211</v>
      </c>
      <c r="C141" s="25">
        <v>1798298.53</v>
      </c>
      <c r="D141" s="22" t="s">
        <v>388</v>
      </c>
      <c r="E141" s="22" t="s">
        <v>68</v>
      </c>
      <c r="F141" s="23" t="str">
        <f>HYPERLINK("https://www.spark-marketing.ru/Card/Lot/74353295", "Оказание услуг по государственной круглосуточной охране объектов филиала АО ""Концерн Росэнергоатом"" ""Балаковская атомная станция"" путем оперативного реагирования на тревожные сообщения")</f>
        <v>Оказание услуг по государственной круглосуточной охране объектов филиала АО "Концерн Росэнергоатом" "Балаковская атомная станция" путем оперативного реагирования на тревожные сообщения</v>
      </c>
      <c r="G141" s="22" t="s">
        <v>55</v>
      </c>
      <c r="H141" s="22" t="s">
        <v>55</v>
      </c>
      <c r="I141" s="26">
        <v>43753.6852083333</v>
      </c>
      <c r="J141" s="28" t="s">
        <v>52</v>
      </c>
      <c r="K141" s="28" t="s">
        <v>52</v>
      </c>
      <c r="L141" s="28" t="s">
        <v>52</v>
      </c>
      <c r="M141" s="28" t="s">
        <v>52</v>
      </c>
      <c r="N141" s="28" t="s">
        <v>52</v>
      </c>
    </row>
    <row r="142" spans="1:14" x14ac:dyDescent="0.15">
      <c r="A142" s="23" t="str">
        <f>HYPERLINK("https://www.spark-marketing.ru/Card/Person/4348451", "ПАО ""Т ПЛЮС""")</f>
        <v>ПАО "Т ПЛЮС"</v>
      </c>
      <c r="B142" s="24" t="s">
        <v>47</v>
      </c>
      <c r="C142" s="25">
        <v>106409520</v>
      </c>
      <c r="D142" s="22" t="s">
        <v>389</v>
      </c>
      <c r="E142" s="22" t="s">
        <v>390</v>
      </c>
      <c r="F142" s="23" t="str">
        <f>HYPERLINK("https://www.spark-marketing.ru/Card/Lot/74339791", "Право заключения договора на оказание услуг по физической охране производственных объектов для нужд Филиала «Пермский» ПАО «Т Плюс»")</f>
        <v>Право заключения договора на оказание услуг по физической охране производственных объектов для нужд Филиала «Пермский» ПАО «Т Плюс»</v>
      </c>
      <c r="G142" s="22" t="s">
        <v>391</v>
      </c>
      <c r="H142" s="22" t="s">
        <v>392</v>
      </c>
      <c r="I142" s="26">
        <v>43753</v>
      </c>
      <c r="J142" s="28" t="s">
        <v>52</v>
      </c>
      <c r="K142" s="28" t="s">
        <v>52</v>
      </c>
      <c r="L142" s="28" t="s">
        <v>52</v>
      </c>
      <c r="M142" s="28" t="s">
        <v>52</v>
      </c>
      <c r="N142" s="28" t="s">
        <v>52</v>
      </c>
    </row>
    <row r="143" spans="1:14" x14ac:dyDescent="0.15">
      <c r="A143" s="23" t="str">
        <f>HYPERLINK("https://www.spark-marketing.ru/Card/Person/144311", "АО ""АТЦ РОСАТОМА""")</f>
        <v>АО "АТЦ РОСАТОМА"</v>
      </c>
      <c r="B143" s="24" t="s">
        <v>380</v>
      </c>
      <c r="C143" s="25">
        <v>372000</v>
      </c>
      <c r="D143" s="22" t="s">
        <v>393</v>
      </c>
      <c r="E143" s="22" t="s">
        <v>49</v>
      </c>
      <c r="F143" s="23" t="str">
        <f>HYPERLINK("https://www.spark-marketing.ru/Card/Lot/74350419", "Право заключения договора на оказание услуг по техническому обслуживанию системы видеонаблюдения расположенной по адресу: г. Северск, ул. Лесная 5а")</f>
        <v>Право заключения договора на оказание услуг по техническому обслуживанию системы видеонаблюдения расположенной по адресу: г. Северск, ул. Лесная 5а</v>
      </c>
      <c r="G143" s="22" t="s">
        <v>89</v>
      </c>
      <c r="H143" s="22" t="s">
        <v>89</v>
      </c>
      <c r="I143" s="26">
        <v>43753</v>
      </c>
      <c r="J143" s="28" t="s">
        <v>52</v>
      </c>
      <c r="K143" s="28" t="s">
        <v>52</v>
      </c>
      <c r="L143" s="28" t="s">
        <v>52</v>
      </c>
      <c r="M143" s="28" t="s">
        <v>52</v>
      </c>
      <c r="N143" s="28" t="s">
        <v>52</v>
      </c>
    </row>
    <row r="144" spans="1:14" x14ac:dyDescent="0.15">
      <c r="A144" s="23" t="str">
        <f>HYPERLINK("https://www.spark-marketing.ru/Card/Person/119794", "ИОГАУК АЭМ ""ТАЛЬЦЫ""")</f>
        <v>ИОГАУК АЭМ "ТАЛЬЦЫ"</v>
      </c>
      <c r="B144" s="24" t="s">
        <v>394</v>
      </c>
      <c r="C144" s="25">
        <v>1479342</v>
      </c>
      <c r="D144" s="22" t="s">
        <v>395</v>
      </c>
      <c r="E144" s="22" t="s">
        <v>396</v>
      </c>
      <c r="F144" s="23" t="str">
        <f>HYPERLINK("https://www.spark-marketing.ru/Card/Lot/74341795", "Строительно-монтажные работы по установке системы видеонаблюдения ""Эвенкийское стойбище"" в музее ""Тальцы"", Иркутская область, Иркутский район, 47 км. Байкальского тракта")</f>
        <v>Строительно-монтажные работы по установке системы видеонаблюдения "Эвенкийское стойбище" в музее "Тальцы", Иркутская область, Иркутский район, 47 км. Байкальского тракта</v>
      </c>
      <c r="G144" s="22" t="s">
        <v>281</v>
      </c>
      <c r="H144" s="22" t="s">
        <v>281</v>
      </c>
      <c r="I144" s="26">
        <v>43753</v>
      </c>
      <c r="J144" s="28" t="s">
        <v>52</v>
      </c>
      <c r="K144" s="28" t="s">
        <v>52</v>
      </c>
      <c r="L144" s="28" t="s">
        <v>52</v>
      </c>
      <c r="M144" s="28" t="s">
        <v>52</v>
      </c>
      <c r="N144" s="28" t="s">
        <v>52</v>
      </c>
    </row>
    <row r="145" spans="1:14" x14ac:dyDescent="0.15">
      <c r="A145" s="23" t="str">
        <f>HYPERLINK("https://www.spark-marketing.ru/Card/Person/1022283", "МОУ ГОРЕТОВСКАЯ СОШ")</f>
        <v>МОУ ГОРЕТОВСКАЯ СОШ</v>
      </c>
      <c r="B145" s="24" t="s">
        <v>397</v>
      </c>
      <c r="C145" s="25">
        <v>121433.33</v>
      </c>
      <c r="D145" s="22" t="s">
        <v>398</v>
      </c>
      <c r="E145" s="22" t="s">
        <v>194</v>
      </c>
      <c r="F145" s="23" t="str">
        <f>HYPERLINK("https://www.spark-marketing.ru/Card/Lot/74328277", "Приобретение и установка системы вдеонаблюдения")</f>
        <v>Приобретение и установка системы вдеонаблюдения</v>
      </c>
      <c r="G145" s="22" t="s">
        <v>50</v>
      </c>
      <c r="H145" s="22" t="s">
        <v>399</v>
      </c>
      <c r="I145" s="26">
        <v>43752.828159722201</v>
      </c>
      <c r="J145" s="28" t="s">
        <v>52</v>
      </c>
      <c r="K145" s="28" t="s">
        <v>52</v>
      </c>
      <c r="L145" s="28" t="s">
        <v>52</v>
      </c>
      <c r="M145" s="28" t="s">
        <v>52</v>
      </c>
      <c r="N145" s="28" t="s">
        <v>52</v>
      </c>
    </row>
    <row r="146" spans="1:14" x14ac:dyDescent="0.15">
      <c r="A146" s="23" t="str">
        <f>HYPERLINK("https://www.spark-marketing.ru/Card/Person/3203", "УПРАВЛЕНИЕ РОССЕЛЬХОЗНАДЗОРА ПО РОСТОВСКОЙ, ВОЛГОГРАДСКОЙ И АСТРАХАНСКОЙ ОБЛАСТЯМ И РЕСПУБЛИКЕ КАЛМЫКИЯ")</f>
        <v>УПРАВЛЕНИЕ РОССЕЛЬХОЗНАДЗОРА ПО РОСТОВСКОЙ, ВОЛГОГРАДСКОЙ И АСТРАХАНСКОЙ ОБЛАСТЯМ И РЕСПУБЛИКЕ КАЛМЫКИЯ</v>
      </c>
      <c r="B146" s="24" t="s">
        <v>400</v>
      </c>
      <c r="C146" s="25">
        <v>1200</v>
      </c>
      <c r="D146" s="22" t="s">
        <v>401</v>
      </c>
      <c r="E146" s="22" t="s">
        <v>53</v>
      </c>
      <c r="F146" s="23" t="str">
        <f>HYPERLINK("https://www.spark-marketing.ru/Card/Lot/74323961", "Услуги по техническому обслуживанию системы тревожной сигнализации, установленной в помещении Управления.")</f>
        <v>Услуги по техническому обслуживанию системы тревожной сигнализации, установленной в помещении Управления.</v>
      </c>
      <c r="G146" s="22" t="s">
        <v>402</v>
      </c>
      <c r="H146" s="22" t="s">
        <v>403</v>
      </c>
      <c r="I146" s="26">
        <v>43752.7746527778</v>
      </c>
      <c r="J146" s="28" t="s">
        <v>52</v>
      </c>
      <c r="K146" s="28" t="s">
        <v>52</v>
      </c>
      <c r="L146" s="28" t="s">
        <v>52</v>
      </c>
      <c r="M146" s="28" t="s">
        <v>52</v>
      </c>
      <c r="N146" s="28" t="s">
        <v>52</v>
      </c>
    </row>
    <row r="147" spans="1:14" x14ac:dyDescent="0.15">
      <c r="A147" s="23" t="str">
        <f>HYPERLINK("https://www.spark-marketing.ru/Card/Person/154748", "ГБУ КЦСОН Г.БРЯНСКА")</f>
        <v>ГБУ КЦСОН Г.БРЯНСКА</v>
      </c>
      <c r="B147" s="24" t="s">
        <v>404</v>
      </c>
      <c r="C147" s="25">
        <v>325267</v>
      </c>
      <c r="D147" s="22" t="s">
        <v>405</v>
      </c>
      <c r="E147" s="22" t="s">
        <v>59</v>
      </c>
      <c r="F147" s="23" t="str">
        <f>HYPERLINK("https://www.spark-marketing.ru/Card/Lot/74327461", "Монтаж системы видеонаблюдения в зданиях комплексного центра социального обслуживания населения по адресам: г. Брянск, бульвар 50 лет Октября, д.д. 2,4,6;г. Брянск, пер. Димитрова, д.3; г. Брянск, ул.Фокина, д.66; г. Брянск, пр-кт Московский, д.58.")</f>
        <v>Монтаж системы видеонаблюдения в зданиях комплексного центра социального обслуживания населения по адресам: г. Брянск, бульвар 50 лет Октября, д.д. 2,4,6;г. Брянск, пер. Димитрова, д.3; г. Брянск, ул.Фокина, д.66; г. Брянск, пр-кт Московский, д.58.</v>
      </c>
      <c r="G147" s="22" t="s">
        <v>215</v>
      </c>
      <c r="H147" s="22" t="s">
        <v>406</v>
      </c>
      <c r="I147" s="26">
        <v>43752.773275462998</v>
      </c>
      <c r="J147" s="28" t="s">
        <v>52</v>
      </c>
      <c r="K147" s="28" t="s">
        <v>52</v>
      </c>
      <c r="L147" s="28" t="s">
        <v>52</v>
      </c>
      <c r="M147" s="28" t="s">
        <v>52</v>
      </c>
      <c r="N147" s="28" t="s">
        <v>52</v>
      </c>
    </row>
    <row r="148" spans="1:14" x14ac:dyDescent="0.15">
      <c r="A148" s="23" t="str">
        <f>HYPERLINK("https://www.spark-marketing.ru/Card/Person/4353300", "КГКУ ""ПРИМГОСАВТОНАДЗОР""")</f>
        <v>КГКУ "ПРИМГОСАВТОНАДЗОР"</v>
      </c>
      <c r="B148" s="24" t="s">
        <v>407</v>
      </c>
      <c r="C148" s="25">
        <v>26000000</v>
      </c>
      <c r="D148" s="22" t="s">
        <v>408</v>
      </c>
      <c r="E148" s="22" t="s">
        <v>194</v>
      </c>
      <c r="F148" s="23" t="str">
        <f>HYPERLINK("https://www.spark-marketing.ru/Card/Lot/74332236", "поставка автоматизированных комплексов фото- и видеофиксации нарушений правил дорожного движения с проведением монтажных работ, электромонтажных работ, установкой и пуско-наладкой оборудования, интеграцией в информационную систему ЦАФАП УГИБДД УМВД Р...")</f>
        <v>поставка автоматизированных комплексов фото- и видеофиксации нарушений правил дорожного движения с проведением монтажных работ, электромонтажных работ, установкой и пуско-наладкой оборудования, интеграцией в информационную систему ЦАФАП УГИБДД УМВД Р...</v>
      </c>
      <c r="G148" s="22" t="s">
        <v>409</v>
      </c>
      <c r="H148" s="22" t="s">
        <v>409</v>
      </c>
      <c r="I148" s="26">
        <v>43752.720798611103</v>
      </c>
      <c r="J148" s="28" t="s">
        <v>52</v>
      </c>
      <c r="K148" s="28" t="s">
        <v>52</v>
      </c>
      <c r="L148" s="28" t="s">
        <v>52</v>
      </c>
      <c r="M148" s="28" t="s">
        <v>52</v>
      </c>
      <c r="N148" s="28" t="s">
        <v>52</v>
      </c>
    </row>
    <row r="149" spans="1:14" x14ac:dyDescent="0.15">
      <c r="A149" s="23" t="str">
        <f>HYPERLINK("https://www.spark-marketing.ru/Card/Person/57896", "ГБПОУ СО ""УРГЗК""")</f>
        <v>ГБПОУ СО "УРГЗК"</v>
      </c>
      <c r="B149" s="24" t="s">
        <v>410</v>
      </c>
      <c r="C149" s="25">
        <v>1343870.45</v>
      </c>
      <c r="D149" s="22" t="s">
        <v>411</v>
      </c>
      <c r="E149" s="22" t="s">
        <v>84</v>
      </c>
      <c r="F149" s="23" t="str">
        <f>HYPERLINK("https://www.spark-marketing.ru/Card/Lot/74331799", "Выполнение работ по установке системы видеонаблюдения, турникетов и оборудования системы электронных пропусков с использованием материалов и оборудования подрядчика")</f>
        <v>Выполнение работ по установке системы видеонаблюдения, турникетов и оборудования системы электронных пропусков с использованием материалов и оборудования подрядчика</v>
      </c>
      <c r="G149" s="22" t="s">
        <v>72</v>
      </c>
      <c r="H149" s="22" t="s">
        <v>412</v>
      </c>
      <c r="I149" s="26">
        <v>43752.651388888902</v>
      </c>
      <c r="J149" s="28" t="s">
        <v>52</v>
      </c>
      <c r="K149" s="28" t="s">
        <v>52</v>
      </c>
      <c r="L149" s="28" t="s">
        <v>52</v>
      </c>
      <c r="M149" s="28" t="s">
        <v>52</v>
      </c>
      <c r="N149" s="28" t="s">
        <v>52</v>
      </c>
    </row>
    <row r="150" spans="1:14" x14ac:dyDescent="0.15">
      <c r="A150" s="23" t="str">
        <f>HYPERLINK("https://www.spark-marketing.ru/Card/Person/7653", "БУ ""ФЕДОРОВСКАЯ ГОРОДСКАЯ БОЛЬНИЦА""")</f>
        <v>БУ "ФЕДОРОВСКАЯ ГОРОДСКАЯ БОЛЬНИЦА"</v>
      </c>
      <c r="B150" s="24" t="s">
        <v>413</v>
      </c>
      <c r="C150" s="25">
        <v>321866.64</v>
      </c>
      <c r="D150" s="22" t="s">
        <v>414</v>
      </c>
      <c r="E150" s="22" t="s">
        <v>415</v>
      </c>
      <c r="F150" s="23" t="str">
        <f>HYPERLINK("https://www.spark-marketing.ru/Card/Lot/74327450", "Оказание услуг по техническому обслуживанию эндоскопического оборудования")</f>
        <v>Оказание услуг по техническому обслуживанию эндоскопического оборудования</v>
      </c>
      <c r="G150" s="22" t="s">
        <v>119</v>
      </c>
      <c r="H150" s="22" t="s">
        <v>416</v>
      </c>
      <c r="I150" s="26">
        <v>43752.609722222202</v>
      </c>
      <c r="J150" s="28" t="s">
        <v>52</v>
      </c>
      <c r="K150" s="28" t="s">
        <v>52</v>
      </c>
      <c r="L150" s="28" t="s">
        <v>52</v>
      </c>
      <c r="M150" s="28" t="s">
        <v>52</v>
      </c>
      <c r="N150" s="28" t="s">
        <v>52</v>
      </c>
    </row>
    <row r="151" spans="1:14" x14ac:dyDescent="0.15">
      <c r="A151" s="23" t="str">
        <f>HYPERLINK("https://www.spark-marketing.ru/Card/Person/4355140", "ГБУ ""ТПНИ""")</f>
        <v>ГБУ "ТПНИ"</v>
      </c>
      <c r="B151" s="24" t="s">
        <v>417</v>
      </c>
      <c r="C151" s="25">
        <v>108000</v>
      </c>
      <c r="D151" s="22" t="s">
        <v>418</v>
      </c>
      <c r="E151" s="22" t="s">
        <v>107</v>
      </c>
      <c r="F151" s="23" t="str">
        <f>HYPERLINK("https://www.spark-marketing.ru/Card/Lot/74308510", "Техническое обслуживание системы видеонаблюдения")</f>
        <v>Техническое обслуживание системы видеонаблюдения</v>
      </c>
      <c r="G151" s="22" t="s">
        <v>69</v>
      </c>
      <c r="H151" s="22" t="s">
        <v>419</v>
      </c>
      <c r="I151" s="26">
        <v>43752.370833333298</v>
      </c>
      <c r="J151" s="28" t="s">
        <v>52</v>
      </c>
      <c r="K151" s="28" t="s">
        <v>52</v>
      </c>
      <c r="L151" s="28" t="s">
        <v>52</v>
      </c>
      <c r="M151" s="28" t="s">
        <v>52</v>
      </c>
      <c r="N151" s="28" t="s">
        <v>52</v>
      </c>
    </row>
    <row r="152" spans="1:14" x14ac:dyDescent="0.15">
      <c r="A152" s="23" t="str">
        <f>HYPERLINK("https://www.spark-marketing.ru/Card/Person/4413786", "ПАО ""КЦ""")</f>
        <v>ПАО "КЦ"</v>
      </c>
      <c r="B152" s="24" t="s">
        <v>420</v>
      </c>
      <c r="C152" s="25">
        <v>0</v>
      </c>
      <c r="D152" s="22" t="s">
        <v>421</v>
      </c>
      <c r="E152" s="22" t="s">
        <v>53</v>
      </c>
      <c r="F152" s="23" t="str">
        <f>HYPERLINK("https://www.spark-marketing.ru/Card/Lot/74331778", "мониторинг цен в электронной форме на Заключение Договора Оказание охранных услуг на территории Регионального представительства ПАО «КЦ» по адресу: Удмуртская Республика, г. Глазов, ул. Пряженникова, 10 сроком на 24 месяца, согласно ТЗ")</f>
        <v>мониторинг цен в электронной форме на Заключение Договора Оказание охранных услуг на территории Регионального представительства ПАО «КЦ» по адресу: Удмуртская Республика, г. Глазов, ул. Пряженникова, 10 сроком на 24 месяца, согласно ТЗ</v>
      </c>
      <c r="G152" s="22" t="s">
        <v>55</v>
      </c>
      <c r="H152" s="22" t="s">
        <v>55</v>
      </c>
      <c r="I152" s="26">
        <v>43752.7007407407</v>
      </c>
      <c r="J152" s="28" t="s">
        <v>52</v>
      </c>
      <c r="K152" s="28" t="s">
        <v>52</v>
      </c>
      <c r="L152" s="28" t="s">
        <v>52</v>
      </c>
      <c r="M152" s="28" t="s">
        <v>52</v>
      </c>
      <c r="N152" s="28" t="s">
        <v>52</v>
      </c>
    </row>
    <row r="153" spans="1:14" x14ac:dyDescent="0.15">
      <c r="A153" s="23" t="str">
        <f>HYPERLINK("https://www.spark-marketing.ru/Card/Person/246270", "МКУ ""УСКИМП"" МО""ГОРОД МИРНЫЙ""")</f>
        <v>МКУ "УСКИМП" МО"ГОРОД МИРНЫЙ"</v>
      </c>
      <c r="B153" s="24" t="s">
        <v>422</v>
      </c>
      <c r="C153" s="25">
        <v>138996</v>
      </c>
      <c r="D153" s="22" t="s">
        <v>423</v>
      </c>
      <c r="E153" s="22" t="s">
        <v>294</v>
      </c>
      <c r="F153" s="23" t="str">
        <f>HYPERLINK("https://www.spark-marketing.ru/Card/Lot/74322939", "Обслуживание видео наблюдения")</f>
        <v>Обслуживание видео наблюдения</v>
      </c>
      <c r="G153" s="22" t="s">
        <v>424</v>
      </c>
      <c r="H153" s="22" t="s">
        <v>425</v>
      </c>
      <c r="I153" s="26">
        <v>43752.706712963001</v>
      </c>
      <c r="J153" s="28" t="s">
        <v>52</v>
      </c>
      <c r="K153" s="28" t="s">
        <v>52</v>
      </c>
      <c r="L153" s="28" t="s">
        <v>52</v>
      </c>
      <c r="M153" s="28" t="s">
        <v>52</v>
      </c>
      <c r="N153" s="28" t="s">
        <v>52</v>
      </c>
    </row>
    <row r="154" spans="1:14" x14ac:dyDescent="0.15">
      <c r="A154" s="23" t="str">
        <f>HYPERLINK("https://www.spark-marketing.ru/Card/Person/45579", "КГБУЗ ""ДЕТСКАЯ ГОРОДСКАЯ БОЛЬНИЦА № 1, Г. БАРНАУЛ""")</f>
        <v>КГБУЗ "ДЕТСКАЯ ГОРОДСКАЯ БОЛЬНИЦА № 1, Г. БАРНАУЛ"</v>
      </c>
      <c r="B154" s="24" t="s">
        <v>426</v>
      </c>
      <c r="C154" s="25">
        <v>65220</v>
      </c>
      <c r="D154" s="22" t="s">
        <v>427</v>
      </c>
      <c r="E154" s="22" t="s">
        <v>103</v>
      </c>
      <c r="F154" s="23" t="str">
        <f>HYPERLINK("https://www.spark-marketing.ru/Card/Lot/74319281", "Оказание услуг по техническому обслуживанию системы видеонаблюдения для нужд КГБУЗ «Детская городская больница №1, г. Барнаул» на 2020 год")</f>
        <v>Оказание услуг по техническому обслуживанию системы видеонаблюдения для нужд КГБУЗ «Детская городская больница №1, г. Барнаул» на 2020 год</v>
      </c>
      <c r="G154" s="22" t="s">
        <v>428</v>
      </c>
      <c r="H154" s="22" t="s">
        <v>429</v>
      </c>
      <c r="I154" s="26">
        <v>43752.531944444403</v>
      </c>
      <c r="J154" s="28" t="s">
        <v>52</v>
      </c>
      <c r="K154" s="28" t="s">
        <v>52</v>
      </c>
      <c r="L154" s="28" t="s">
        <v>52</v>
      </c>
      <c r="M154" s="28" t="s">
        <v>52</v>
      </c>
      <c r="N154" s="28" t="s">
        <v>52</v>
      </c>
    </row>
    <row r="155" spans="1:14" x14ac:dyDescent="0.15">
      <c r="A155" s="23" t="str">
        <f>HYPERLINK("https://www.spark-marketing.ru/Card/Person/8928", "ГБУЗ МО ""БАЛАШИХИНСКАЯ ОБЛАСТНАЯ БОЛЬНИЦА""")</f>
        <v>ГБУЗ МО "БАЛАШИХИНСКАЯ ОБЛАСТНАЯ БОЛЬНИЦА"</v>
      </c>
      <c r="B155" s="24" t="s">
        <v>430</v>
      </c>
      <c r="C155" s="25">
        <v>621279.32999999996</v>
      </c>
      <c r="D155" s="22" t="s">
        <v>431</v>
      </c>
      <c r="E155" s="22" t="s">
        <v>84</v>
      </c>
      <c r="F155" s="23" t="str">
        <f>HYPERLINK("https://www.spark-marketing.ru/Card/Lot/74329057", "Выполнение работ по установке системы видеонаблюдения в 2019 году.")</f>
        <v>Выполнение работ по установке системы видеонаблюдения в 2019 году.</v>
      </c>
      <c r="G155" s="22" t="s">
        <v>50</v>
      </c>
      <c r="H155" s="22" t="s">
        <v>432</v>
      </c>
      <c r="I155" s="26">
        <v>43752.668749999997</v>
      </c>
      <c r="J155" s="28" t="s">
        <v>52</v>
      </c>
      <c r="K155" s="28" t="s">
        <v>52</v>
      </c>
      <c r="L155" s="28" t="s">
        <v>52</v>
      </c>
      <c r="M155" s="28" t="s">
        <v>52</v>
      </c>
      <c r="N155" s="28" t="s">
        <v>52</v>
      </c>
    </row>
    <row r="156" spans="1:14" x14ac:dyDescent="0.15">
      <c r="A156" s="23" t="str">
        <f>HYPERLINK("https://www.spark-marketing.ru/Card/Person/12551", "ФКУ УПРДОР ""КОЛА""")</f>
        <v>ФКУ УПРДОР "КОЛА"</v>
      </c>
      <c r="B156" s="24" t="s">
        <v>433</v>
      </c>
      <c r="C156" s="25">
        <v>129500</v>
      </c>
      <c r="D156" s="22" t="s">
        <v>434</v>
      </c>
      <c r="E156" s="22" t="s">
        <v>53</v>
      </c>
      <c r="F156" s="23" t="str">
        <f>HYPERLINK("https://www.spark-marketing.ru/Card/Lot/74319774", "Выполнение работ по обслуживанию систем сигнализации, видеонаблюдения, инженерно-технических средств (систем) обеспечения транспортной безопасности на искусственных дорожных сооружениях. Замена технических средств обеспечения транспортной безопасност...")</f>
        <v>Выполнение работ по обслуживанию систем сигнализации, видеонаблюдения, инженерно-технических средств (систем) обеспечения транспортной безопасности на искусственных дорожных сооружениях. Замена технических средств обеспечения транспортной безопасност...</v>
      </c>
      <c r="G156" s="22" t="s">
        <v>435</v>
      </c>
      <c r="H156" s="22" t="s">
        <v>436</v>
      </c>
      <c r="I156" s="26">
        <v>43752.672962962999</v>
      </c>
      <c r="J156" s="28" t="s">
        <v>52</v>
      </c>
      <c r="K156" s="28" t="s">
        <v>52</v>
      </c>
      <c r="L156" s="28" t="s">
        <v>52</v>
      </c>
      <c r="M156" s="28" t="s">
        <v>52</v>
      </c>
      <c r="N156" s="28" t="s">
        <v>52</v>
      </c>
    </row>
    <row r="157" spans="1:14" x14ac:dyDescent="0.15">
      <c r="A157" s="23" t="str">
        <f>HYPERLINK("https://www.spark-marketing.ru/Card/Person/9471", "ФГБОУ ВО ПСПБГМУ ИМ. И.П. ПАВЛОВА МИНЗДРАВА РОССИИ")</f>
        <v>ФГБОУ ВО ПСПБГМУ ИМ. И.П. ПАВЛОВА МИНЗДРАВА РОССИИ</v>
      </c>
      <c r="B157" s="24" t="s">
        <v>437</v>
      </c>
      <c r="C157" s="25">
        <v>26878674</v>
      </c>
      <c r="D157" s="22" t="s">
        <v>438</v>
      </c>
      <c r="E157" s="22" t="s">
        <v>68</v>
      </c>
      <c r="F157" s="23" t="str">
        <f>HYPERLINK("https://www.spark-marketing.ru/Card/Lot/74332521", "Оказание услуг по охране городка, общежитий и спортивно-оздоровительного комплекса")</f>
        <v>Оказание услуг по охране городка, общежитий и спортивно-оздоровительного комплекса</v>
      </c>
      <c r="G157" s="22" t="s">
        <v>89</v>
      </c>
      <c r="H157" s="22" t="s">
        <v>89</v>
      </c>
      <c r="I157" s="26">
        <v>43752.691944444399</v>
      </c>
      <c r="J157" s="28" t="s">
        <v>52</v>
      </c>
      <c r="K157" s="28" t="s">
        <v>52</v>
      </c>
      <c r="L157" s="28" t="s">
        <v>52</v>
      </c>
      <c r="M157" s="28" t="s">
        <v>52</v>
      </c>
      <c r="N157" s="28" t="s">
        <v>52</v>
      </c>
    </row>
    <row r="158" spans="1:14" x14ac:dyDescent="0.15">
      <c r="A158" s="23" t="str">
        <f>HYPERLINK("https://www.spark-marketing.ru/Card/Person/3739", "ГБУ ПВТ №31")</f>
        <v>ГБУ ПВТ №31</v>
      </c>
      <c r="B158" s="24" t="s">
        <v>439</v>
      </c>
      <c r="C158" s="25">
        <v>299890.71999999997</v>
      </c>
      <c r="D158" s="22" t="s">
        <v>440</v>
      </c>
      <c r="E158" s="22" t="s">
        <v>103</v>
      </c>
      <c r="F158" s="23" t="str">
        <f>HYPERLINK("https://www.spark-marketing.ru/Card/Lot/74327508", "Оказание услуг по техническому обслуживанию палатной сигнализации в 2020-2021гг.")</f>
        <v>Оказание услуг по техническому обслуживанию палатной сигнализации в 2020-2021гг.</v>
      </c>
      <c r="G158" s="22" t="s">
        <v>55</v>
      </c>
      <c r="H158" s="22" t="s">
        <v>55</v>
      </c>
      <c r="I158" s="26">
        <v>43752.632303240702</v>
      </c>
      <c r="J158" s="28" t="s">
        <v>52</v>
      </c>
      <c r="K158" s="28" t="s">
        <v>52</v>
      </c>
      <c r="L158" s="28" t="s">
        <v>52</v>
      </c>
      <c r="M158" s="28" t="s">
        <v>52</v>
      </c>
      <c r="N158" s="28" t="s">
        <v>52</v>
      </c>
    </row>
    <row r="159" spans="1:14" x14ac:dyDescent="0.15">
      <c r="A159" s="23" t="str">
        <f>HYPERLINK("https://www.spark-marketing.ru/Card/Person/4348528", "АО ИК ""АСЭ""")</f>
        <v>АО ИК "АСЭ"</v>
      </c>
      <c r="B159" s="24" t="s">
        <v>62</v>
      </c>
      <c r="C159" s="25">
        <v>0</v>
      </c>
      <c r="D159" s="22" t="s">
        <v>441</v>
      </c>
      <c r="E159" s="22" t="s">
        <v>53</v>
      </c>
      <c r="F159" s="23" t="str">
        <f>HYPERLINK("https://www.spark-marketing.ru/Card/Lot/74328880", "мониторинг цен в электронной форме на оказание услуг Государственной (ведомственной) охраной по обеспечению пропускного и внутриобъектового режимов на объектах сооружения Курской АЭС-2 (энергоблоки №1, №2) в 2020 году")</f>
        <v>мониторинг цен в электронной форме на оказание услуг Государственной (ведомственной) охраной по обеспечению пропускного и внутриобъектового режимов на объектах сооружения Курской АЭС-2 (энергоблоки №1, №2) в 2020 году</v>
      </c>
      <c r="G159" s="22" t="s">
        <v>64</v>
      </c>
      <c r="H159" s="22" t="s">
        <v>65</v>
      </c>
      <c r="I159" s="26">
        <v>43752.637384259302</v>
      </c>
      <c r="J159" s="28" t="s">
        <v>52</v>
      </c>
      <c r="K159" s="28" t="s">
        <v>52</v>
      </c>
      <c r="L159" s="28" t="s">
        <v>52</v>
      </c>
      <c r="M159" s="28" t="s">
        <v>52</v>
      </c>
      <c r="N159" s="28" t="s">
        <v>52</v>
      </c>
    </row>
    <row r="160" spans="1:14" x14ac:dyDescent="0.15">
      <c r="A160" s="23" t="str">
        <f>HYPERLINK("https://www.spark-marketing.ru/Card/Person/5926", "ГБУЗ ""ГП № 68 ДЗМ""")</f>
        <v>ГБУЗ "ГП № 68 ДЗМ"</v>
      </c>
      <c r="B160" s="24" t="s">
        <v>442</v>
      </c>
      <c r="C160" s="25">
        <v>509990.44</v>
      </c>
      <c r="D160" s="22" t="s">
        <v>443</v>
      </c>
      <c r="E160" s="22" t="s">
        <v>107</v>
      </c>
      <c r="F160" s="23" t="str">
        <f>HYPERLINK("https://www.spark-marketing.ru/Card/Lot/74328621", "Электронный аукцион на выполнение работ по техническому обслуживанию охранно-тревожных систем установленных на объектах ГБУЗ «ГП № 68 ДЗМ»")</f>
        <v>Электронный аукцион на выполнение работ по техническому обслуживанию охранно-тревожных систем установленных на объектах ГБУЗ «ГП № 68 ДЗМ»</v>
      </c>
      <c r="G160" s="22" t="s">
        <v>55</v>
      </c>
      <c r="H160" s="22" t="s">
        <v>55</v>
      </c>
      <c r="I160" s="26">
        <v>43752.588495370401</v>
      </c>
      <c r="J160" s="28" t="s">
        <v>52</v>
      </c>
      <c r="K160" s="28" t="s">
        <v>52</v>
      </c>
      <c r="L160" s="28" t="s">
        <v>52</v>
      </c>
      <c r="M160" s="28" t="s">
        <v>52</v>
      </c>
      <c r="N160" s="28" t="s">
        <v>52</v>
      </c>
    </row>
    <row r="161" spans="1:14" x14ac:dyDescent="0.15">
      <c r="A161" s="23" t="str">
        <f>HYPERLINK("https://www.spark-marketing.ru/Card/Person/4345133", "АО ""ГНЦ НИИАР""")</f>
        <v>АО "ГНЦ НИИАР"</v>
      </c>
      <c r="B161" s="24" t="s">
        <v>444</v>
      </c>
      <c r="C161" s="25">
        <v>0</v>
      </c>
      <c r="D161" s="22" t="s">
        <v>445</v>
      </c>
      <c r="E161" s="22" t="s">
        <v>53</v>
      </c>
      <c r="F161" s="23" t="str">
        <f>HYPERLINK("https://www.spark-marketing.ru/Card/Lot/74326905", "мониторинг цен в электронной форме на Оказание услуг по оперативному дежурству и обеспечению круглосуточной охраны имущества на объектах АО ""ГНЦ НИИАР"".")</f>
        <v>мониторинг цен в электронной форме на Оказание услуг по оперативному дежурству и обеспечению круглосуточной охраны имущества на объектах АО "ГНЦ НИИАР".</v>
      </c>
      <c r="G161" s="22" t="s">
        <v>446</v>
      </c>
      <c r="H161" s="22" t="s">
        <v>447</v>
      </c>
      <c r="I161" s="26">
        <v>43752.5952314815</v>
      </c>
      <c r="J161" s="28" t="s">
        <v>52</v>
      </c>
      <c r="K161" s="28" t="s">
        <v>52</v>
      </c>
      <c r="L161" s="28" t="s">
        <v>52</v>
      </c>
      <c r="M161" s="28" t="s">
        <v>52</v>
      </c>
      <c r="N161" s="28" t="s">
        <v>52</v>
      </c>
    </row>
    <row r="162" spans="1:14" x14ac:dyDescent="0.15">
      <c r="A162" s="23" t="str">
        <f>HYPERLINK("https://www.spark-marketing.ru/Card/Person/5951331", "ГБУЗ ПК ""ГБ Г. СОЛИКАМСК""")</f>
        <v>ГБУЗ ПК "ГБ Г. СОЛИКАМСК"</v>
      </c>
      <c r="B162" s="24" t="s">
        <v>448</v>
      </c>
      <c r="C162" s="25">
        <v>229800</v>
      </c>
      <c r="D162" s="22" t="s">
        <v>449</v>
      </c>
      <c r="E162" s="22" t="s">
        <v>103</v>
      </c>
      <c r="F162" s="23" t="str">
        <f>HYPERLINK("https://www.spark-marketing.ru/Card/Lot/74325814", "Оказание услуг по техническому обслуживанию палатной сигнализации на 2020 год")</f>
        <v>Оказание услуг по техническому обслуживанию палатной сигнализации на 2020 год</v>
      </c>
      <c r="G162" s="22" t="s">
        <v>391</v>
      </c>
      <c r="H162" s="22" t="s">
        <v>391</v>
      </c>
      <c r="I162" s="26">
        <v>43752.501388888901</v>
      </c>
      <c r="J162" s="28" t="s">
        <v>52</v>
      </c>
      <c r="K162" s="28" t="s">
        <v>52</v>
      </c>
      <c r="L162" s="28" t="s">
        <v>52</v>
      </c>
      <c r="M162" s="28" t="s">
        <v>52</v>
      </c>
      <c r="N162" s="28" t="s">
        <v>52</v>
      </c>
    </row>
    <row r="163" spans="1:14" x14ac:dyDescent="0.15">
      <c r="A163" s="23" t="str">
        <f>HYPERLINK("https://www.spark-marketing.ru/Card/Person/873926", "ГБУ СО КК ""НОВОРОССИЙСКИЙ КЦСОН""")</f>
        <v>ГБУ СО КК "НОВОРОССИЙСКИЙ КЦСОН"</v>
      </c>
      <c r="B163" s="24" t="s">
        <v>450</v>
      </c>
      <c r="C163" s="25">
        <v>91353.600000000006</v>
      </c>
      <c r="D163" s="22" t="s">
        <v>451</v>
      </c>
      <c r="E163" s="22" t="s">
        <v>84</v>
      </c>
      <c r="F163" s="23" t="str">
        <f>HYPERLINK("https://www.spark-marketing.ru/Card/Lot/74322766", "Монтажные работы по установке системы видеонаблюдения")</f>
        <v>Монтажные работы по установке системы видеонаблюдения</v>
      </c>
      <c r="G163" s="22" t="s">
        <v>132</v>
      </c>
      <c r="H163" s="22" t="s">
        <v>452</v>
      </c>
      <c r="I163" s="26">
        <v>43752.6159722222</v>
      </c>
      <c r="J163" s="28" t="s">
        <v>52</v>
      </c>
      <c r="K163" s="28" t="s">
        <v>52</v>
      </c>
      <c r="L163" s="28" t="s">
        <v>52</v>
      </c>
      <c r="M163" s="28" t="s">
        <v>52</v>
      </c>
      <c r="N163" s="28" t="s">
        <v>52</v>
      </c>
    </row>
    <row r="164" spans="1:14" x14ac:dyDescent="0.15">
      <c r="A164" s="23" t="str">
        <f>HYPERLINK("https://www.spark-marketing.ru/Card/Person/113238", "БУ ""ПЫТЬ-ЯХСКИЙ КОМПЛЕКСНЫЙ ЦЕНТР СОЦИАЛЬНОГО ОБСЛУЖИВАНИЯ НАСЕЛЕНИЯ""")</f>
        <v>БУ "ПЫТЬ-ЯХСКИЙ КОМПЛЕКСНЫЙ ЦЕНТР СОЦИАЛЬНОГО ОБСЛУЖИВАНИЯ НАСЕЛЕНИЯ"</v>
      </c>
      <c r="B164" s="24" t="s">
        <v>453</v>
      </c>
      <c r="C164" s="25">
        <v>97166.67</v>
      </c>
      <c r="D164" s="22" t="s">
        <v>454</v>
      </c>
      <c r="E164" s="22" t="s">
        <v>194</v>
      </c>
      <c r="F164" s="23" t="str">
        <f>HYPERLINK("https://www.spark-marketing.ru/Card/Lot/74322218", "Выполнение работ по установке и монтажу системы аудио-и видеонаблюдения и контроля управления доступом")</f>
        <v>Выполнение работ по установке и монтажу системы аудио-и видеонаблюдения и контроля управления доступом</v>
      </c>
      <c r="G164" s="22" t="s">
        <v>119</v>
      </c>
      <c r="H164" s="22" t="s">
        <v>455</v>
      </c>
      <c r="I164" s="26">
        <v>43752.6106828704</v>
      </c>
      <c r="J164" s="28" t="s">
        <v>52</v>
      </c>
      <c r="K164" s="28" t="s">
        <v>52</v>
      </c>
      <c r="L164" s="28" t="s">
        <v>52</v>
      </c>
      <c r="M164" s="28" t="s">
        <v>52</v>
      </c>
      <c r="N164" s="28" t="s">
        <v>52</v>
      </c>
    </row>
    <row r="165" spans="1:14" x14ac:dyDescent="0.15">
      <c r="A165" s="23" t="str">
        <f>HYPERLINK("https://www.spark-marketing.ru/Card/Person/75759", "МБДОУ ЦЕНТР РАЗВИТИЯ РЕБЁНКА-ДЕТСКИЙ САД №12 ""СОЛНЫШКО"" ГОЩ")</f>
        <v>МБДОУ ЦЕНТР РАЗВИТИЯ РЕБЁНКА-ДЕТСКИЙ САД №12 "СОЛНЫШКО" ГОЩ</v>
      </c>
      <c r="B165" s="24" t="s">
        <v>456</v>
      </c>
      <c r="C165" s="25">
        <v>77425.56</v>
      </c>
      <c r="D165" s="22" t="s">
        <v>457</v>
      </c>
      <c r="E165" s="22" t="s">
        <v>208</v>
      </c>
      <c r="F165" s="23" t="str">
        <f>HYPERLINK("https://www.spark-marketing.ru/Card/Lot/74322174", "Поставка и установка системы контроля и управления доступом")</f>
        <v>Поставка и установка системы контроля и управления доступом</v>
      </c>
      <c r="G165" s="22" t="s">
        <v>50</v>
      </c>
      <c r="H165" s="22" t="s">
        <v>458</v>
      </c>
      <c r="I165" s="26">
        <v>43752.595138888901</v>
      </c>
      <c r="J165" s="28" t="s">
        <v>52</v>
      </c>
      <c r="K165" s="28" t="s">
        <v>52</v>
      </c>
      <c r="L165" s="28" t="s">
        <v>52</v>
      </c>
      <c r="M165" s="28" t="s">
        <v>52</v>
      </c>
      <c r="N165" s="28" t="s">
        <v>52</v>
      </c>
    </row>
    <row r="166" spans="1:14" x14ac:dyDescent="0.15">
      <c r="A166" s="23" t="str">
        <f>HYPERLINK("https://www.spark-marketing.ru/Card/Person/15274", "ГБДОУ ДЕТСКИЙ САД № 40 ПРИМОРСКОГО РАЙОНА САНКТ-ПЕТЕРБУРГА")</f>
        <v>ГБДОУ ДЕТСКИЙ САД № 40 ПРИМОРСКОГО РАЙОНА САНКТ-ПЕТЕРБУРГА</v>
      </c>
      <c r="B166" s="24" t="s">
        <v>459</v>
      </c>
      <c r="C166" s="25">
        <v>1180877</v>
      </c>
      <c r="D166" s="22" t="s">
        <v>460</v>
      </c>
      <c r="E166" s="22" t="s">
        <v>59</v>
      </c>
      <c r="F166" s="23" t="str">
        <f>HYPERLINK("https://www.spark-marketing.ru/Card/Lot/74330058", "ВЫПОЛНЕНИЕ РАБОТ ПО МОНТАЖУ СИСТЕМЫ ВИДЕОНАБЛЮДЕНИЯ В ГБДОУ ДЕТСКИЙ САД № 40 ПРИМОРСКОГО РАЙОНА САНКТ-ПЕТЕРБУРГА В 2019 ГОДУ ПО АДРЕСУ: Г. САНКТ-ПЕТЕРБУРГ, УЛ. ШКОЛЬНАЯ, Д. 74, ЛИТ. А")</f>
        <v>ВЫПОЛНЕНИЕ РАБОТ ПО МОНТАЖУ СИСТЕМЫ ВИДЕОНАБЛЮДЕНИЯ В ГБДОУ ДЕТСКИЙ САД № 40 ПРИМОРСКОГО РАЙОНА САНКТ-ПЕТЕРБУРГА В 2019 ГОДУ ПО АДРЕСУ: Г. САНКТ-ПЕТЕРБУРГ, УЛ. ШКОЛЬНАЯ, Д. 74, ЛИТ. А</v>
      </c>
      <c r="G166" s="22" t="s">
        <v>89</v>
      </c>
      <c r="H166" s="22" t="s">
        <v>89</v>
      </c>
      <c r="I166" s="26">
        <v>43752.608148148101</v>
      </c>
      <c r="J166" s="28" t="s">
        <v>52</v>
      </c>
      <c r="K166" s="28" t="s">
        <v>52</v>
      </c>
      <c r="L166" s="28" t="s">
        <v>52</v>
      </c>
      <c r="M166" s="28" t="s">
        <v>52</v>
      </c>
      <c r="N166" s="28" t="s">
        <v>52</v>
      </c>
    </row>
    <row r="167" spans="1:14" x14ac:dyDescent="0.15">
      <c r="A167" s="23" t="str">
        <f>HYPERLINK("https://www.spark-marketing.ru/Card/Person/27996", "БУ ""СУРГУТСКАЯ ГОРОДСКАЯ КЛИНИЧЕСКАЯ ПОЛИКЛИНИКА № 3""")</f>
        <v>БУ "СУРГУТСКАЯ ГОРОДСКАЯ КЛИНИЧЕСКАЯ ПОЛИКЛИНИКА № 3"</v>
      </c>
      <c r="B167" s="24" t="s">
        <v>461</v>
      </c>
      <c r="C167" s="25">
        <v>214000.08</v>
      </c>
      <c r="D167" s="22" t="s">
        <v>462</v>
      </c>
      <c r="E167" s="22" t="s">
        <v>183</v>
      </c>
      <c r="F167" s="23" t="str">
        <f>HYPERLINK("https://www.spark-marketing.ru/Card/Lot/74325903", "Оказание услуг по техническому обслуживанию охранной сигнализации (ОС), кнопок тревожной сигнализации (КТС), системы охранного видеонаблюдения")</f>
        <v>Оказание услуг по техническому обслуживанию охранной сигнализации (ОС), кнопок тревожной сигнализации (КТС), системы охранного видеонаблюдения</v>
      </c>
      <c r="G167" s="22" t="s">
        <v>119</v>
      </c>
      <c r="H167" s="22" t="s">
        <v>463</v>
      </c>
      <c r="I167" s="26">
        <v>43752.526388888902</v>
      </c>
      <c r="J167" s="28" t="s">
        <v>52</v>
      </c>
      <c r="K167" s="28" t="s">
        <v>52</v>
      </c>
      <c r="L167" s="28" t="s">
        <v>52</v>
      </c>
      <c r="M167" s="28" t="s">
        <v>52</v>
      </c>
      <c r="N167" s="28" t="s">
        <v>52</v>
      </c>
    </row>
    <row r="168" spans="1:14" x14ac:dyDescent="0.15">
      <c r="A168" s="23" t="str">
        <f>HYPERLINK("https://www.spark-marketing.ru/Card/Person/111254", "ГБДОУ ДЕТСКИЙ САД № 115 АДМИРАЛТЕЙСКОГО РАЙОНА СПБ")</f>
        <v>ГБДОУ ДЕТСКИЙ САД № 115 АДМИРАЛТЕЙСКОГО РАЙОНА СПБ</v>
      </c>
      <c r="B168" s="24" t="s">
        <v>464</v>
      </c>
      <c r="C168" s="25">
        <v>542152.06999999995</v>
      </c>
      <c r="D168" s="22" t="s">
        <v>465</v>
      </c>
      <c r="E168" s="22" t="s">
        <v>59</v>
      </c>
      <c r="F168" s="23" t="str">
        <f>HYPERLINK("https://www.spark-marketing.ru/Card/Lot/74328520", "Выполнение работ по монтажу системы видеонаблюдения")</f>
        <v>Выполнение работ по монтажу системы видеонаблюдения</v>
      </c>
      <c r="G168" s="22" t="s">
        <v>89</v>
      </c>
      <c r="H168" s="22" t="s">
        <v>89</v>
      </c>
      <c r="I168" s="26">
        <v>43752.502083333296</v>
      </c>
      <c r="J168" s="28" t="s">
        <v>52</v>
      </c>
      <c r="K168" s="28" t="s">
        <v>52</v>
      </c>
      <c r="L168" s="28" t="s">
        <v>52</v>
      </c>
      <c r="M168" s="28" t="s">
        <v>52</v>
      </c>
      <c r="N168" s="28" t="s">
        <v>52</v>
      </c>
    </row>
    <row r="169" spans="1:14" x14ac:dyDescent="0.15">
      <c r="A169" s="23" t="str">
        <f>HYPERLINK("https://www.spark-marketing.ru/Card/Person/1026945", "МОУ ПАВЛИЩЕВСКАЯ СОШ")</f>
        <v>МОУ ПАВЛИЩЕВСКАЯ СОШ</v>
      </c>
      <c r="B169" s="24" t="s">
        <v>466</v>
      </c>
      <c r="C169" s="25">
        <v>220100</v>
      </c>
      <c r="D169" s="22" t="s">
        <v>467</v>
      </c>
      <c r="E169" s="22" t="s">
        <v>468</v>
      </c>
      <c r="F169" s="23" t="str">
        <f>HYPERLINK("https://www.spark-marketing.ru/Card/Lot/74312239", "Поставка и установка системы контроля и управления доступом, стационарных рамок металлодетектора, системы видеодомофонии")</f>
        <v>Поставка и установка системы контроля и управления доступом, стационарных рамок металлодетектора, системы видеодомофонии</v>
      </c>
      <c r="G169" s="22" t="s">
        <v>50</v>
      </c>
      <c r="H169" s="22" t="s">
        <v>399</v>
      </c>
      <c r="I169" s="26">
        <v>43752.513472222199</v>
      </c>
      <c r="J169" s="28" t="s">
        <v>52</v>
      </c>
      <c r="K169" s="28" t="s">
        <v>52</v>
      </c>
      <c r="L169" s="28" t="s">
        <v>52</v>
      </c>
      <c r="M169" s="28" t="s">
        <v>52</v>
      </c>
      <c r="N169" s="28" t="s">
        <v>52</v>
      </c>
    </row>
    <row r="170" spans="1:14" x14ac:dyDescent="0.15">
      <c r="A170" s="23" t="str">
        <f>HYPERLINK("https://www.spark-marketing.ru/Card/Person/4580515", "ООО ""ЭЛЕМЕНТ-ТРЕЙД""")</f>
        <v>ООО "ЭЛЕМЕНТ-ТРЕЙД"</v>
      </c>
      <c r="B170" s="24" t="s">
        <v>469</v>
      </c>
      <c r="C170" s="28" t="s">
        <v>52</v>
      </c>
      <c r="D170" s="22" t="s">
        <v>470</v>
      </c>
      <c r="E170" s="22" t="s">
        <v>53</v>
      </c>
      <c r="F170" s="23" t="str">
        <f>HYPERLINK("https://www.spark-marketing.ru/Card/Lot/74312581", "Монтаж СВН в центральном городе региона Юг - Екатеринбурге (в т.ч. командировочные расходы)")</f>
        <v>Монтаж СВН в центральном городе региона Юг - Екатеринбурге (в т.ч. командировочные расходы)</v>
      </c>
      <c r="G170" s="22" t="s">
        <v>72</v>
      </c>
      <c r="H170" s="22" t="s">
        <v>72</v>
      </c>
      <c r="I170" s="26">
        <v>43752.531944444403</v>
      </c>
      <c r="J170" s="28" t="s">
        <v>52</v>
      </c>
      <c r="K170" s="28" t="s">
        <v>52</v>
      </c>
      <c r="L170" s="28" t="s">
        <v>52</v>
      </c>
      <c r="M170" s="28" t="s">
        <v>52</v>
      </c>
      <c r="N170" s="28" t="s">
        <v>52</v>
      </c>
    </row>
    <row r="171" spans="1:14" x14ac:dyDescent="0.15">
      <c r="A171" s="23" t="str">
        <f>HYPERLINK("https://www.spark-marketing.ru/Card/Person/4580515", "ООО ""ЭЛЕМЕНТ-ТРЕЙД""")</f>
        <v>ООО "ЭЛЕМЕНТ-ТРЕЙД"</v>
      </c>
      <c r="B171" s="24" t="s">
        <v>469</v>
      </c>
      <c r="C171" s="28" t="s">
        <v>52</v>
      </c>
      <c r="D171" s="22" t="s">
        <v>470</v>
      </c>
      <c r="E171" s="22" t="s">
        <v>53</v>
      </c>
      <c r="F171" s="23" t="str">
        <f>HYPERLINK("https://www.spark-marketing.ru/Card/Lot/74312589", "Монтаж СВН в центральном городе региона СФО - Новосибирске (в т.ч. командировочные расходы)")</f>
        <v>Монтаж СВН в центральном городе региона СФО - Новосибирске (в т.ч. командировочные расходы)</v>
      </c>
      <c r="G171" s="22" t="s">
        <v>72</v>
      </c>
      <c r="H171" s="22" t="s">
        <v>72</v>
      </c>
      <c r="I171" s="26">
        <v>43752.531944444403</v>
      </c>
      <c r="J171" s="28" t="s">
        <v>52</v>
      </c>
      <c r="K171" s="28" t="s">
        <v>52</v>
      </c>
      <c r="L171" s="28" t="s">
        <v>52</v>
      </c>
      <c r="M171" s="28" t="s">
        <v>52</v>
      </c>
      <c r="N171" s="28" t="s">
        <v>52</v>
      </c>
    </row>
    <row r="172" spans="1:14" x14ac:dyDescent="0.15">
      <c r="A172" s="23" t="str">
        <f>HYPERLINK("https://www.spark-marketing.ru/Card/Person/4580515", "ООО ""ЭЛЕМЕНТ-ТРЕЙД""")</f>
        <v>ООО "ЭЛЕМЕНТ-ТРЕЙД"</v>
      </c>
      <c r="B172" s="24" t="s">
        <v>469</v>
      </c>
      <c r="C172" s="28" t="s">
        <v>52</v>
      </c>
      <c r="D172" s="22" t="s">
        <v>470</v>
      </c>
      <c r="E172" s="22" t="s">
        <v>53</v>
      </c>
      <c r="F172" s="23" t="str">
        <f>HYPERLINK("https://www.spark-marketing.ru/Card/Lot/74312587", "Монтаж СВН в центральном городе региона ХМАО - Сургуте (в т.ч. командировочные расходы)")</f>
        <v>Монтаж СВН в центральном городе региона ХМАО - Сургуте (в т.ч. командировочные расходы)</v>
      </c>
      <c r="G172" s="22" t="s">
        <v>72</v>
      </c>
      <c r="H172" s="22" t="s">
        <v>72</v>
      </c>
      <c r="I172" s="26">
        <v>43752.531944444403</v>
      </c>
      <c r="J172" s="28" t="s">
        <v>52</v>
      </c>
      <c r="K172" s="28" t="s">
        <v>52</v>
      </c>
      <c r="L172" s="28" t="s">
        <v>52</v>
      </c>
      <c r="M172" s="28" t="s">
        <v>52</v>
      </c>
      <c r="N172" s="28" t="s">
        <v>52</v>
      </c>
    </row>
    <row r="173" spans="1:14" x14ac:dyDescent="0.15">
      <c r="A173" s="23" t="str">
        <f>HYPERLINK("https://www.spark-marketing.ru/Card/Person/1028716", "ГУСО ""ЧЕРНОВСКИЙ ЦПДОПР ""ВОСТОЧНЫЙ"" ЗАБАЙКАЛЬСКОГО КРАЯ")</f>
        <v>ГУСО "ЧЕРНОВСКИЙ ЦПДОПР "ВОСТОЧНЫЙ" ЗАБАЙКАЛЬСКОГО КРАЯ</v>
      </c>
      <c r="B173" s="24" t="s">
        <v>471</v>
      </c>
      <c r="C173" s="25">
        <v>73730</v>
      </c>
      <c r="D173" s="22" t="s">
        <v>472</v>
      </c>
      <c r="E173" s="22" t="s">
        <v>84</v>
      </c>
      <c r="F173" s="23" t="str">
        <f>HYPERLINK("https://www.spark-marketing.ru/Card/Lot/74305687", "Оказание услуг по монтажу и установке системы видеонаблюдения (12064-ЭА)")</f>
        <v>Оказание услуг по монтажу и установке системы видеонаблюдения (12064-ЭА)</v>
      </c>
      <c r="G173" s="22" t="s">
        <v>473</v>
      </c>
      <c r="H173" s="22" t="s">
        <v>474</v>
      </c>
      <c r="I173" s="26">
        <v>43752.28125</v>
      </c>
      <c r="J173" s="28" t="s">
        <v>52</v>
      </c>
      <c r="K173" s="28" t="s">
        <v>52</v>
      </c>
      <c r="L173" s="28" t="s">
        <v>52</v>
      </c>
      <c r="M173" s="28" t="s">
        <v>52</v>
      </c>
      <c r="N173" s="28" t="s">
        <v>52</v>
      </c>
    </row>
    <row r="174" spans="1:14" x14ac:dyDescent="0.15">
      <c r="A174" s="23" t="str">
        <f>HYPERLINK("https://www.spark-marketing.ru/Card/Person/4580515", "ООО ""ЭЛЕМЕНТ-ТРЕЙД""")</f>
        <v>ООО "ЭЛЕМЕНТ-ТРЕЙД"</v>
      </c>
      <c r="B174" s="24" t="s">
        <v>469</v>
      </c>
      <c r="C174" s="28" t="s">
        <v>52</v>
      </c>
      <c r="D174" s="22" t="s">
        <v>470</v>
      </c>
      <c r="E174" s="22" t="s">
        <v>53</v>
      </c>
      <c r="F174" s="23" t="str">
        <f>HYPERLINK("https://www.spark-marketing.ru/Card/Lot/74312584", "Монтаж СВН в центральном городе региона ПК - Перми (в т.ч. командировочные расходы)")</f>
        <v>Монтаж СВН в центральном городе региона ПК - Перми (в т.ч. командировочные расходы)</v>
      </c>
      <c r="G174" s="22" t="s">
        <v>72</v>
      </c>
      <c r="H174" s="22" t="s">
        <v>72</v>
      </c>
      <c r="I174" s="26">
        <v>43752.531944444403</v>
      </c>
      <c r="J174" s="28" t="s">
        <v>52</v>
      </c>
      <c r="K174" s="28" t="s">
        <v>52</v>
      </c>
      <c r="L174" s="28" t="s">
        <v>52</v>
      </c>
      <c r="M174" s="28" t="s">
        <v>52</v>
      </c>
      <c r="N174" s="28" t="s">
        <v>52</v>
      </c>
    </row>
    <row r="175" spans="1:14" x14ac:dyDescent="0.15">
      <c r="A175" s="23" t="str">
        <f>HYPERLINK("https://www.spark-marketing.ru/Card/Person/4580515", "ООО ""ЭЛЕМЕНТ-ТРЕЙД""")</f>
        <v>ООО "ЭЛЕМЕНТ-ТРЕЙД"</v>
      </c>
      <c r="B175" s="24" t="s">
        <v>469</v>
      </c>
      <c r="C175" s="28" t="s">
        <v>52</v>
      </c>
      <c r="D175" s="22" t="s">
        <v>470</v>
      </c>
      <c r="E175" s="22" t="s">
        <v>53</v>
      </c>
      <c r="F175" s="23" t="str">
        <f>HYPERLINK("https://www.spark-marketing.ru/Card/Lot/74312579", "Монтаж СВН в центральном городе региона Екатеринбург - Екатеринбурге (в т.ч. командировочные расходы)")</f>
        <v>Монтаж СВН в центральном городе региона Екатеринбург - Екатеринбурге (в т.ч. командировочные расходы)</v>
      </c>
      <c r="G175" s="22" t="s">
        <v>72</v>
      </c>
      <c r="H175" s="22" t="s">
        <v>72</v>
      </c>
      <c r="I175" s="26">
        <v>43752.531944444403</v>
      </c>
      <c r="J175" s="28" t="s">
        <v>52</v>
      </c>
      <c r="K175" s="28" t="s">
        <v>52</v>
      </c>
      <c r="L175" s="28" t="s">
        <v>52</v>
      </c>
      <c r="M175" s="28" t="s">
        <v>52</v>
      </c>
      <c r="N175" s="28" t="s">
        <v>52</v>
      </c>
    </row>
    <row r="176" spans="1:14" x14ac:dyDescent="0.15">
      <c r="A176" s="23" t="str">
        <f>HYPERLINK("https://www.spark-marketing.ru/Card/Person/1028716", "ГУСО ""ЧЕРНОВСКИЙ ЦПДОПР ""ВОСТОЧНЫЙ"" ЗАБАЙКАЛЬСКОГО КРАЯ")</f>
        <v>ГУСО "ЧЕРНОВСКИЙ ЦПДОПР "ВОСТОЧНЫЙ" ЗАБАЙКАЛЬСКОГО КРАЯ</v>
      </c>
      <c r="B176" s="24" t="s">
        <v>471</v>
      </c>
      <c r="C176" s="25">
        <v>74480</v>
      </c>
      <c r="D176" s="22" t="s">
        <v>475</v>
      </c>
      <c r="E176" s="22" t="s">
        <v>84</v>
      </c>
      <c r="F176" s="23" t="str">
        <f>HYPERLINK("https://www.spark-marketing.ru/Card/Lot/74305688", "Оказание услуг по монтажу и установке видеонаблюдения (12066-ЭА)")</f>
        <v>Оказание услуг по монтажу и установке видеонаблюдения (12066-ЭА)</v>
      </c>
      <c r="G176" s="22" t="s">
        <v>473</v>
      </c>
      <c r="H176" s="22" t="s">
        <v>476</v>
      </c>
      <c r="I176" s="26">
        <v>43752.28125</v>
      </c>
      <c r="J176" s="28" t="s">
        <v>52</v>
      </c>
      <c r="K176" s="28" t="s">
        <v>52</v>
      </c>
      <c r="L176" s="28" t="s">
        <v>52</v>
      </c>
      <c r="M176" s="28" t="s">
        <v>52</v>
      </c>
      <c r="N176" s="28" t="s">
        <v>52</v>
      </c>
    </row>
    <row r="177" spans="1:14" x14ac:dyDescent="0.15">
      <c r="A177" s="23" t="str">
        <f>HYPERLINK("https://www.spark-marketing.ru/Card/Person/4580515", "ООО ""ЭЛЕМЕНТ-ТРЕЙД""")</f>
        <v>ООО "ЭЛЕМЕНТ-ТРЕЙД"</v>
      </c>
      <c r="B177" s="24" t="s">
        <v>469</v>
      </c>
      <c r="C177" s="28" t="s">
        <v>52</v>
      </c>
      <c r="D177" s="22" t="s">
        <v>470</v>
      </c>
      <c r="E177" s="22" t="s">
        <v>53</v>
      </c>
      <c r="F177" s="23" t="str">
        <f>HYPERLINK("https://www.spark-marketing.ru/Card/Lot/74312588", "Монтаж СВН в центральном городе региона ЯНАО - Ноябрьске (в т.ч. командировочные расходы)")</f>
        <v>Монтаж СВН в центральном городе региона ЯНАО - Ноябрьске (в т.ч. командировочные расходы)</v>
      </c>
      <c r="G177" s="22" t="s">
        <v>72</v>
      </c>
      <c r="H177" s="22" t="s">
        <v>72</v>
      </c>
      <c r="I177" s="26">
        <v>43752.531944444403</v>
      </c>
      <c r="J177" s="28" t="s">
        <v>52</v>
      </c>
      <c r="K177" s="28" t="s">
        <v>52</v>
      </c>
      <c r="L177" s="28" t="s">
        <v>52</v>
      </c>
      <c r="M177" s="28" t="s">
        <v>52</v>
      </c>
      <c r="N177" s="28" t="s">
        <v>52</v>
      </c>
    </row>
    <row r="178" spans="1:14" x14ac:dyDescent="0.15">
      <c r="A178" s="23" t="str">
        <f>HYPERLINK("https://www.spark-marketing.ru/Card/Person/4580515", "ООО ""ЭЛЕМЕНТ-ТРЕЙД""")</f>
        <v>ООО "ЭЛЕМЕНТ-ТРЕЙД"</v>
      </c>
      <c r="B178" s="24" t="s">
        <v>469</v>
      </c>
      <c r="C178" s="28" t="s">
        <v>52</v>
      </c>
      <c r="D178" s="22" t="s">
        <v>470</v>
      </c>
      <c r="E178" s="22" t="s">
        <v>53</v>
      </c>
      <c r="F178" s="23" t="str">
        <f>HYPERLINK("https://www.spark-marketing.ru/Card/Lot/74312586", "Монтаж СВН в центральном городе региона ТО - Тюмени (в т.ч. командировочные расходы)")</f>
        <v>Монтаж СВН в центральном городе региона ТО - Тюмени (в т.ч. командировочные расходы)</v>
      </c>
      <c r="G178" s="22" t="s">
        <v>72</v>
      </c>
      <c r="H178" s="22" t="s">
        <v>72</v>
      </c>
      <c r="I178" s="26">
        <v>43752.531944444403</v>
      </c>
      <c r="J178" s="28" t="s">
        <v>52</v>
      </c>
      <c r="K178" s="28" t="s">
        <v>52</v>
      </c>
      <c r="L178" s="28" t="s">
        <v>52</v>
      </c>
      <c r="M178" s="28" t="s">
        <v>52</v>
      </c>
      <c r="N178" s="28" t="s">
        <v>52</v>
      </c>
    </row>
    <row r="179" spans="1:14" x14ac:dyDescent="0.15">
      <c r="A179" s="23" t="str">
        <f>HYPERLINK("https://www.spark-marketing.ru/Card/Person/6450322", "ЗАКАЗЧИК РП БЕЛАРУСЬ")</f>
        <v>ЗАКАЗЧИК РП БЕЛАРУСЬ</v>
      </c>
      <c r="B179" s="28" t="s">
        <v>52</v>
      </c>
      <c r="C179" s="25">
        <v>136325.95499999999</v>
      </c>
      <c r="D179" s="22" t="s">
        <v>477</v>
      </c>
      <c r="E179" s="22" t="s">
        <v>53</v>
      </c>
      <c r="F179" s="23" t="str">
        <f>HYPERLINK("https://www.spark-marketing.ru/Card/Lot/74314457", "Техническое обслуживание средств и системы охраны, систем видеонаблюдения (согласно приложению 1)")</f>
        <v>Техническое обслуживание средств и системы охраны, систем видеонаблюдения (согласно приложению 1)</v>
      </c>
      <c r="G179" s="22" t="s">
        <v>52</v>
      </c>
      <c r="H179" s="22" t="s">
        <v>52</v>
      </c>
      <c r="I179" s="26">
        <v>43752</v>
      </c>
      <c r="J179" s="28" t="s">
        <v>52</v>
      </c>
      <c r="K179" s="28" t="s">
        <v>52</v>
      </c>
      <c r="L179" s="28" t="s">
        <v>52</v>
      </c>
      <c r="M179" s="28" t="s">
        <v>52</v>
      </c>
      <c r="N179" s="28" t="s">
        <v>52</v>
      </c>
    </row>
    <row r="180" spans="1:14" x14ac:dyDescent="0.15">
      <c r="A180" s="23" t="str">
        <f>HYPERLINK("https://www.spark-marketing.ru/Card/Person/4580515", "ООО ""ЭЛЕМЕНТ-ТРЕЙД""")</f>
        <v>ООО "ЭЛЕМЕНТ-ТРЕЙД"</v>
      </c>
      <c r="B180" s="24" t="s">
        <v>469</v>
      </c>
      <c r="C180" s="28" t="s">
        <v>52</v>
      </c>
      <c r="D180" s="22" t="s">
        <v>470</v>
      </c>
      <c r="E180" s="22" t="s">
        <v>53</v>
      </c>
      <c r="F180" s="23" t="str">
        <f>HYPERLINK("https://www.spark-marketing.ru/Card/Lot/74312583", "Монтаж СВН в центральном городе региона РБ - Уфе (в т.ч. командировочные расходы)")</f>
        <v>Монтаж СВН в центральном городе региона РБ - Уфе (в т.ч. командировочные расходы)</v>
      </c>
      <c r="G180" s="22" t="s">
        <v>72</v>
      </c>
      <c r="H180" s="22" t="s">
        <v>72</v>
      </c>
      <c r="I180" s="26">
        <v>43752.531944444403</v>
      </c>
      <c r="J180" s="28" t="s">
        <v>52</v>
      </c>
      <c r="K180" s="28" t="s">
        <v>52</v>
      </c>
      <c r="L180" s="28" t="s">
        <v>52</v>
      </c>
      <c r="M180" s="28" t="s">
        <v>52</v>
      </c>
      <c r="N180" s="28" t="s">
        <v>52</v>
      </c>
    </row>
    <row r="181" spans="1:14" x14ac:dyDescent="0.15">
      <c r="A181" s="23" t="str">
        <f>HYPERLINK("https://www.spark-marketing.ru/Card/Person/4580515", "ООО ""ЭЛЕМЕНТ-ТРЕЙД""")</f>
        <v>ООО "ЭЛЕМЕНТ-ТРЕЙД"</v>
      </c>
      <c r="B181" s="24" t="s">
        <v>469</v>
      </c>
      <c r="C181" s="28" t="s">
        <v>52</v>
      </c>
      <c r="D181" s="22" t="s">
        <v>470</v>
      </c>
      <c r="E181" s="22" t="s">
        <v>53</v>
      </c>
      <c r="F181" s="23" t="str">
        <f>HYPERLINK("https://www.spark-marketing.ru/Card/Lot/74312585", "Монтаж СВН в центральном городе региона ЧО - Челябинске (в т.ч. командировочные расходы)")</f>
        <v>Монтаж СВН в центральном городе региона ЧО - Челябинске (в т.ч. командировочные расходы)</v>
      </c>
      <c r="G181" s="22" t="s">
        <v>72</v>
      </c>
      <c r="H181" s="22" t="s">
        <v>72</v>
      </c>
      <c r="I181" s="26">
        <v>43752.531944444403</v>
      </c>
      <c r="J181" s="28" t="s">
        <v>52</v>
      </c>
      <c r="K181" s="28" t="s">
        <v>52</v>
      </c>
      <c r="L181" s="28" t="s">
        <v>52</v>
      </c>
      <c r="M181" s="28" t="s">
        <v>52</v>
      </c>
      <c r="N181" s="28" t="s">
        <v>52</v>
      </c>
    </row>
    <row r="182" spans="1:14" x14ac:dyDescent="0.15">
      <c r="A182" s="23" t="str">
        <f>HYPERLINK("https://www.spark-marketing.ru/Card/Person/4580515", "ООО ""ЭЛЕМЕНТ-ТРЕЙД""")</f>
        <v>ООО "ЭЛЕМЕНТ-ТРЕЙД"</v>
      </c>
      <c r="B182" s="24" t="s">
        <v>469</v>
      </c>
      <c r="C182" s="28" t="s">
        <v>52</v>
      </c>
      <c r="D182" s="22" t="s">
        <v>470</v>
      </c>
      <c r="E182" s="22" t="s">
        <v>53</v>
      </c>
      <c r="F182" s="23" t="str">
        <f>HYPERLINK("https://www.spark-marketing.ru/Card/Lot/74312580", "Монтаж СВН в центральном городе региона Восток - Екатеринбурге (в т.ч. командировочные расходы)")</f>
        <v>Монтаж СВН в центральном городе региона Восток - Екатеринбурге (в т.ч. командировочные расходы)</v>
      </c>
      <c r="G182" s="22" t="s">
        <v>72</v>
      </c>
      <c r="H182" s="22" t="s">
        <v>72</v>
      </c>
      <c r="I182" s="26">
        <v>43752.531944444403</v>
      </c>
      <c r="J182" s="28" t="s">
        <v>52</v>
      </c>
      <c r="K182" s="28" t="s">
        <v>52</v>
      </c>
      <c r="L182" s="28" t="s">
        <v>52</v>
      </c>
      <c r="M182" s="28" t="s">
        <v>52</v>
      </c>
      <c r="N182" s="28" t="s">
        <v>52</v>
      </c>
    </row>
    <row r="183" spans="1:14" x14ac:dyDescent="0.15">
      <c r="A183" s="23" t="str">
        <f>HYPERLINK("https://www.spark-marketing.ru/Card/Person/4580515", "ООО ""ЭЛЕМЕНТ-ТРЕЙД""")</f>
        <v>ООО "ЭЛЕМЕНТ-ТРЕЙД"</v>
      </c>
      <c r="B183" s="24" t="s">
        <v>469</v>
      </c>
      <c r="C183" s="28" t="s">
        <v>52</v>
      </c>
      <c r="D183" s="22" t="s">
        <v>470</v>
      </c>
      <c r="E183" s="22" t="s">
        <v>53</v>
      </c>
      <c r="F183" s="23" t="str">
        <f>HYPERLINK("https://www.spark-marketing.ru/Card/Lot/74312582", "Монтаж СВН в центральном городе региона Н.Тагил - Н.Тагиле (в т.ч. командировочные расходы)")</f>
        <v>Монтаж СВН в центральном городе региона Н.Тагил - Н.Тагиле (в т.ч. командировочные расходы)</v>
      </c>
      <c r="G183" s="22" t="s">
        <v>72</v>
      </c>
      <c r="H183" s="22" t="s">
        <v>72</v>
      </c>
      <c r="I183" s="26">
        <v>43752.531944444403</v>
      </c>
      <c r="J183" s="28" t="s">
        <v>52</v>
      </c>
      <c r="K183" s="28" t="s">
        <v>52</v>
      </c>
      <c r="L183" s="28" t="s">
        <v>52</v>
      </c>
      <c r="M183" s="28" t="s">
        <v>52</v>
      </c>
      <c r="N183" s="28" t="s">
        <v>52</v>
      </c>
    </row>
    <row r="184" spans="1:14" x14ac:dyDescent="0.15">
      <c r="A184" s="23" t="str">
        <f>HYPERLINK("https://www.spark-marketing.ru/Card/Person/131453", "ГБПОУ ""ТКТИС""")</f>
        <v>ГБПОУ "ТКТИС"</v>
      </c>
      <c r="B184" s="24" t="s">
        <v>478</v>
      </c>
      <c r="C184" s="25">
        <v>226375</v>
      </c>
      <c r="D184" s="22" t="s">
        <v>479</v>
      </c>
      <c r="E184" s="22" t="s">
        <v>59</v>
      </c>
      <c r="F184" s="23" t="str">
        <f>HYPERLINK("https://www.spark-marketing.ru/Card/Lot/74325743", "Выполнение работ по установке системы внешнего и внутреннего видеонаблюдения с возможностью архивирования и хранения данных")</f>
        <v>Выполнение работ по установке системы внешнего и внутреннего видеонаблюдения с возможностью архивирования и хранения данных</v>
      </c>
      <c r="G184" s="22" t="s">
        <v>251</v>
      </c>
      <c r="H184" s="22" t="s">
        <v>252</v>
      </c>
      <c r="I184" s="26">
        <v>43752.482638888898</v>
      </c>
      <c r="J184" s="28" t="s">
        <v>52</v>
      </c>
      <c r="K184" s="28" t="s">
        <v>52</v>
      </c>
      <c r="L184" s="28" t="s">
        <v>52</v>
      </c>
      <c r="M184" s="28" t="s">
        <v>52</v>
      </c>
      <c r="N184" s="28" t="s">
        <v>52</v>
      </c>
    </row>
    <row r="185" spans="1:14" x14ac:dyDescent="0.15">
      <c r="A185" s="23" t="str">
        <f>HYPERLINK("https://www.spark-marketing.ru/Card/Person/131453", "ГБПОУ ""ТКТИС""")</f>
        <v>ГБПОУ "ТКТИС"</v>
      </c>
      <c r="B185" s="24" t="s">
        <v>478</v>
      </c>
      <c r="C185" s="25">
        <v>448789</v>
      </c>
      <c r="D185" s="22" t="s">
        <v>480</v>
      </c>
      <c r="E185" s="22" t="s">
        <v>59</v>
      </c>
      <c r="F185" s="23" t="str">
        <f>HYPERLINK("https://www.spark-marketing.ru/Card/Lot/74328145", "Выполнение работ по установке системы внешнего и внутреннего видеонаблюдения с возможностью архивирования и хранения данных (8)")</f>
        <v>Выполнение работ по установке системы внешнего и внутреннего видеонаблюдения с возможностью архивирования и хранения данных (8)</v>
      </c>
      <c r="G185" s="22" t="s">
        <v>251</v>
      </c>
      <c r="H185" s="22" t="s">
        <v>252</v>
      </c>
      <c r="I185" s="26">
        <v>43752.483055555596</v>
      </c>
      <c r="J185" s="28" t="s">
        <v>52</v>
      </c>
      <c r="K185" s="28" t="s">
        <v>52</v>
      </c>
      <c r="L185" s="28" t="s">
        <v>52</v>
      </c>
      <c r="M185" s="28" t="s">
        <v>52</v>
      </c>
      <c r="N185" s="28" t="s">
        <v>52</v>
      </c>
    </row>
    <row r="186" spans="1:14" x14ac:dyDescent="0.15">
      <c r="A186" s="23" t="str">
        <f>HYPERLINK("https://www.spark-marketing.ru/Card/Person/131453", "ГБПОУ ""ТКТИС""")</f>
        <v>ГБПОУ "ТКТИС"</v>
      </c>
      <c r="B186" s="24" t="s">
        <v>478</v>
      </c>
      <c r="C186" s="25">
        <v>116403</v>
      </c>
      <c r="D186" s="22" t="s">
        <v>481</v>
      </c>
      <c r="E186" s="22" t="s">
        <v>59</v>
      </c>
      <c r="F186" s="23" t="str">
        <f>HYPERLINK("https://www.spark-marketing.ru/Card/Lot/74322820", "Выполнение работ по установке системы внешнего и внутреннего видеонаблюдения с возможностью архивирования и хранения данных (10)")</f>
        <v>Выполнение работ по установке системы внешнего и внутреннего видеонаблюдения с возможностью архивирования и хранения данных (10)</v>
      </c>
      <c r="G186" s="22" t="s">
        <v>251</v>
      </c>
      <c r="H186" s="22" t="s">
        <v>252</v>
      </c>
      <c r="I186" s="26">
        <v>43752.482638888898</v>
      </c>
      <c r="J186" s="28" t="s">
        <v>52</v>
      </c>
      <c r="K186" s="28" t="s">
        <v>52</v>
      </c>
      <c r="L186" s="28" t="s">
        <v>52</v>
      </c>
      <c r="M186" s="28" t="s">
        <v>52</v>
      </c>
      <c r="N186" s="28" t="s">
        <v>52</v>
      </c>
    </row>
    <row r="187" spans="1:14" x14ac:dyDescent="0.15">
      <c r="A187" s="23" t="str">
        <f>HYPERLINK("https://www.spark-marketing.ru/Card/Person/52862", "ГБУ РО ""ГКБСМП""")</f>
        <v>ГБУ РО "ГКБСМП"</v>
      </c>
      <c r="B187" s="24" t="s">
        <v>482</v>
      </c>
      <c r="C187" s="25">
        <v>2949.99</v>
      </c>
      <c r="D187" s="22" t="s">
        <v>483</v>
      </c>
      <c r="E187" s="22" t="s">
        <v>107</v>
      </c>
      <c r="F187" s="23" t="str">
        <f>HYPERLINK("https://www.spark-marketing.ru/Card/Lot/74315505", "Оказание услуг по техническому обслуживанию системы видеонаблюдения")</f>
        <v>Оказание услуг по техническому обслуживанию системы видеонаблюдения</v>
      </c>
      <c r="G187" s="22" t="s">
        <v>186</v>
      </c>
      <c r="H187" s="22" t="s">
        <v>187</v>
      </c>
      <c r="I187" s="26">
        <v>43752.492361111101</v>
      </c>
      <c r="J187" s="28" t="s">
        <v>52</v>
      </c>
      <c r="K187" s="28" t="s">
        <v>52</v>
      </c>
      <c r="L187" s="28" t="s">
        <v>52</v>
      </c>
      <c r="M187" s="28" t="s">
        <v>52</v>
      </c>
      <c r="N187" s="28" t="s">
        <v>52</v>
      </c>
    </row>
    <row r="188" spans="1:14" x14ac:dyDescent="0.15">
      <c r="A188" s="23" t="str">
        <f>HYPERLINK("https://www.spark-marketing.ru/Card/Person/131453", "ГБПОУ ""ТКТИС""")</f>
        <v>ГБПОУ "ТКТИС"</v>
      </c>
      <c r="B188" s="24" t="s">
        <v>478</v>
      </c>
      <c r="C188" s="25">
        <v>114432</v>
      </c>
      <c r="D188" s="22" t="s">
        <v>484</v>
      </c>
      <c r="E188" s="22" t="s">
        <v>59</v>
      </c>
      <c r="F188" s="23" t="str">
        <f>HYPERLINK("https://www.spark-marketing.ru/Card/Lot/74322881", "Выполнение работ по установке системы внешнего и внутреннего видеонаблюдения с возможностью архивирования и хранения данных (11)")</f>
        <v>Выполнение работ по установке системы внешнего и внутреннего видеонаблюдения с возможностью архивирования и хранения данных (11)</v>
      </c>
      <c r="G188" s="22" t="s">
        <v>251</v>
      </c>
      <c r="H188" s="22" t="s">
        <v>252</v>
      </c>
      <c r="I188" s="26">
        <v>43752.483078703699</v>
      </c>
      <c r="J188" s="28" t="s">
        <v>52</v>
      </c>
      <c r="K188" s="28" t="s">
        <v>52</v>
      </c>
      <c r="L188" s="28" t="s">
        <v>52</v>
      </c>
      <c r="M188" s="28" t="s">
        <v>52</v>
      </c>
      <c r="N188" s="28" t="s">
        <v>52</v>
      </c>
    </row>
    <row r="189" spans="1:14" x14ac:dyDescent="0.15">
      <c r="A189" s="23" t="str">
        <f>HYPERLINK("https://www.spark-marketing.ru/Card/Person/65727", "ГБУЗ ""ГОРОДСКАЯ БОЛЬНИЦА Г. ВЕРХНИЙ УФАЛЕЙ""")</f>
        <v>ГБУЗ "ГОРОДСКАЯ БОЛЬНИЦА Г. ВЕРХНИЙ УФАЛЕЙ"</v>
      </c>
      <c r="B189" s="24" t="s">
        <v>485</v>
      </c>
      <c r="C189" s="25">
        <v>116443.08</v>
      </c>
      <c r="D189" s="22" t="s">
        <v>486</v>
      </c>
      <c r="E189" s="22" t="s">
        <v>487</v>
      </c>
      <c r="F189" s="23" t="str">
        <f>HYPERLINK("https://www.spark-marketing.ru/Card/Lot/74313209", "Обеспечение комплексной безопасности организаций Челябинской области (приобретение поста охраны (контейнер))")</f>
        <v>Обеспечение комплексной безопасности организаций Челябинской области (приобретение поста охраны (контейнер))</v>
      </c>
      <c r="G189" s="22" t="s">
        <v>60</v>
      </c>
      <c r="H189" s="22" t="s">
        <v>488</v>
      </c>
      <c r="I189" s="26">
        <v>43752.471921296303</v>
      </c>
      <c r="J189" s="28" t="s">
        <v>52</v>
      </c>
      <c r="K189" s="28" t="s">
        <v>52</v>
      </c>
      <c r="L189" s="28" t="s">
        <v>52</v>
      </c>
      <c r="M189" s="28" t="s">
        <v>52</v>
      </c>
      <c r="N189" s="28" t="s">
        <v>52</v>
      </c>
    </row>
    <row r="190" spans="1:14" x14ac:dyDescent="0.15">
      <c r="A190" s="23" t="str">
        <f>HYPERLINK("https://www.spark-marketing.ru/Card/Person/12120", "КУ ОО ""ОРЕЛГОСЗАКАЗЧИК""")</f>
        <v>КУ ОО "ОРЕЛГОСЗАКАЗЧИК"</v>
      </c>
      <c r="B190" s="24" t="s">
        <v>489</v>
      </c>
      <c r="C190" s="25">
        <v>3699976.66</v>
      </c>
      <c r="D190" s="22" t="s">
        <v>490</v>
      </c>
      <c r="E190" s="22" t="s">
        <v>491</v>
      </c>
      <c r="F190" s="23" t="str">
        <f>HYPERLINK("https://www.spark-marketing.ru/Card/Lot/74330942", "Оказание услуг по разработке планов обеспечения транспортной безопасности объектов транспортной инфраструктуры Орловской области")</f>
        <v>Оказание услуг по разработке планов обеспечения транспортной безопасности объектов транспортной инфраструктуры Орловской области</v>
      </c>
      <c r="G190" s="22" t="s">
        <v>492</v>
      </c>
      <c r="H190" s="22" t="s">
        <v>492</v>
      </c>
      <c r="I190" s="26">
        <v>43752.472962963002</v>
      </c>
      <c r="J190" s="28" t="s">
        <v>52</v>
      </c>
      <c r="K190" s="28" t="s">
        <v>52</v>
      </c>
      <c r="L190" s="28" t="s">
        <v>52</v>
      </c>
      <c r="M190" s="28" t="s">
        <v>52</v>
      </c>
      <c r="N190" s="28" t="s">
        <v>52</v>
      </c>
    </row>
    <row r="191" spans="1:14" x14ac:dyDescent="0.15">
      <c r="A191" s="23" t="str">
        <f>HYPERLINK("https://www.spark-marketing.ru/Card/Person/117394", "ФКУЗ ""МСЧ МВД РОССИИ ПО БРЯНСКОЙ ОБЛАСТИ""")</f>
        <v>ФКУЗ "МСЧ МВД РОССИИ ПО БРЯНСКОЙ ОБЛАСТИ"</v>
      </c>
      <c r="B191" s="24" t="s">
        <v>493</v>
      </c>
      <c r="C191" s="25">
        <v>3781.5</v>
      </c>
      <c r="D191" s="22" t="s">
        <v>494</v>
      </c>
      <c r="E191" s="22" t="s">
        <v>53</v>
      </c>
      <c r="F191" s="23" t="str">
        <f>HYPERLINK("https://www.spark-marketing.ru/Card/Lot/74307973", "Услуги по техническому обслуживанию охранной сигнализации")</f>
        <v>Услуги по техническому обслуживанию охранной сигнализации</v>
      </c>
      <c r="G191" s="22" t="s">
        <v>215</v>
      </c>
      <c r="H191" s="22" t="s">
        <v>406</v>
      </c>
      <c r="I191" s="26">
        <v>43752.428668981498</v>
      </c>
      <c r="J191" s="28" t="s">
        <v>52</v>
      </c>
      <c r="K191" s="28" t="s">
        <v>52</v>
      </c>
      <c r="L191" s="28" t="s">
        <v>52</v>
      </c>
      <c r="M191" s="28" t="s">
        <v>52</v>
      </c>
      <c r="N191" s="28" t="s">
        <v>52</v>
      </c>
    </row>
    <row r="192" spans="1:14" x14ac:dyDescent="0.15">
      <c r="A192" s="23" t="str">
        <f>HYPERLINK("https://www.spark-marketing.ru/Card/Person/1031735", "МБДОУ ""Детский сад общеразвивающего вида № 57""")</f>
        <v>МБДОУ "Детский сад общеразвивающего вида № 57"</v>
      </c>
      <c r="B192" s="24" t="s">
        <v>495</v>
      </c>
      <c r="C192" s="25">
        <v>68000</v>
      </c>
      <c r="D192" s="22" t="s">
        <v>496</v>
      </c>
      <c r="E192" s="22" t="s">
        <v>208</v>
      </c>
      <c r="F192" s="23" t="str">
        <f>HYPERLINK("https://www.spark-marketing.ru/Card/Lot/74313162", "Поставка и установка рамки металлоискателя для нужд МБДОУ «Детский сад общеразвивающего вида №57»")</f>
        <v>Поставка и установка рамки металлоискателя для нужд МБДОУ «Детский сад общеразвивающего вида №57»</v>
      </c>
      <c r="G192" s="22" t="s">
        <v>50</v>
      </c>
      <c r="H192" s="22" t="s">
        <v>326</v>
      </c>
      <c r="I192" s="26">
        <v>43752.440972222197</v>
      </c>
      <c r="J192" s="28" t="s">
        <v>52</v>
      </c>
      <c r="K192" s="28" t="s">
        <v>52</v>
      </c>
      <c r="L192" s="28" t="s">
        <v>52</v>
      </c>
      <c r="M192" s="28" t="s">
        <v>52</v>
      </c>
      <c r="N192" s="28" t="s">
        <v>52</v>
      </c>
    </row>
    <row r="193" spans="1:14" x14ac:dyDescent="0.15">
      <c r="A193" s="23" t="str">
        <f>HYPERLINK("https://www.spark-marketing.ru/Card/Person/9025", "ГБУЗ МО ""СЕРГИЕВО-ПОСАДСКАЯ РБ""")</f>
        <v>ГБУЗ МО "СЕРГИЕВО-ПОСАДСКАЯ РБ"</v>
      </c>
      <c r="B193" s="24" t="s">
        <v>497</v>
      </c>
      <c r="C193" s="25">
        <v>155000</v>
      </c>
      <c r="D193" s="22" t="s">
        <v>498</v>
      </c>
      <c r="E193" s="22" t="s">
        <v>107</v>
      </c>
      <c r="F193" s="23" t="str">
        <f>HYPERLINK("https://www.spark-marketing.ru/Card/Lot/74323227", "Оказание услуг по техническому обслуживанию существующей системы видеонаблюдения, подключенной системе технологического обеспечения региональной общественной безопасности и оперативного управления ""Безопасный регион"" для нужд ГБУЗ МО ""Сергиево-Пос...")</f>
        <v>Оказание услуг по техническому обслуживанию существующей системы видеонаблюдения, подключенной системе технологического обеспечения региональной общественной безопасности и оперативного управления "Безопасный регион" для нужд ГБУЗ МО "Сергиево-Пос...</v>
      </c>
      <c r="G193" s="22" t="s">
        <v>50</v>
      </c>
      <c r="H193" s="22" t="s">
        <v>326</v>
      </c>
      <c r="I193" s="26">
        <v>43752.4555555556</v>
      </c>
      <c r="J193" s="28" t="s">
        <v>52</v>
      </c>
      <c r="K193" s="28" t="s">
        <v>52</v>
      </c>
      <c r="L193" s="28" t="s">
        <v>52</v>
      </c>
      <c r="M193" s="28" t="s">
        <v>52</v>
      </c>
      <c r="N193" s="28" t="s">
        <v>52</v>
      </c>
    </row>
    <row r="194" spans="1:14" x14ac:dyDescent="0.15">
      <c r="A194" s="23" t="str">
        <f>HYPERLINK("https://www.spark-marketing.ru/Card/Person/109005", "ФГБУ ""5 ОТРЯД ФПС ГПС ПО РЕСПУБЛИКЕ ТАТАРСТАН (ДОГОВОРНОЙ)""")</f>
        <v>ФГБУ "5 ОТРЯД ФПС ГПС ПО РЕСПУБЛИКЕ ТАТАРСТАН (ДОГОВОРНОЙ)"</v>
      </c>
      <c r="B194" s="24" t="s">
        <v>499</v>
      </c>
      <c r="C194" s="25">
        <v>699667</v>
      </c>
      <c r="D194" s="22" t="s">
        <v>500</v>
      </c>
      <c r="E194" s="22" t="s">
        <v>501</v>
      </c>
      <c r="F194" s="23" t="str">
        <f>HYPERLINK("https://www.spark-marketing.ru/Card/Lot/74329018", "Прочая закупка товаров, работ и услуг (поставка имущества, функционально ориентированного на охрану труда и технику безопасности, гражданскую оборону)")</f>
        <v>Прочая закупка товаров, работ и услуг (поставка имущества, функционально ориентированного на охрану труда и технику безопасности, гражданскую оборону)</v>
      </c>
      <c r="G194" s="22" t="s">
        <v>204</v>
      </c>
      <c r="H194" s="22" t="s">
        <v>303</v>
      </c>
      <c r="I194" s="26">
        <v>43752.3840277778</v>
      </c>
      <c r="J194" s="28" t="s">
        <v>52</v>
      </c>
      <c r="K194" s="28" t="s">
        <v>52</v>
      </c>
      <c r="L194" s="28" t="s">
        <v>52</v>
      </c>
      <c r="M194" s="28" t="s">
        <v>52</v>
      </c>
      <c r="N194" s="28" t="s">
        <v>52</v>
      </c>
    </row>
    <row r="195" spans="1:14" x14ac:dyDescent="0.15">
      <c r="A195" s="23" t="str">
        <f>HYPERLINK("https://www.spark-marketing.ru/Card/Person/99797", "МБУ ЦДК ""СОЗВЕЗДИЕ""")</f>
        <v>МБУ ЦДК "СОЗВЕЗДИЕ"</v>
      </c>
      <c r="B195" s="24" t="s">
        <v>502</v>
      </c>
      <c r="C195" s="25">
        <v>300000</v>
      </c>
      <c r="D195" s="22" t="s">
        <v>503</v>
      </c>
      <c r="E195" s="22" t="s">
        <v>84</v>
      </c>
      <c r="F195" s="23" t="str">
        <f>HYPERLINK("https://www.spark-marketing.ru/Card/Lot/74314055", "Приобретение камер видеонаблюдения и проведение монтажных работ по их установке (в том числе приобретение комплектующих компонентов, кабельной продукции)")</f>
        <v>Приобретение камер видеонаблюдения и проведение монтажных работ по их установке (в том числе приобретение комплектующих компонентов, кабельной продукции)</v>
      </c>
      <c r="G195" s="22" t="s">
        <v>50</v>
      </c>
      <c r="H195" s="22" t="s">
        <v>504</v>
      </c>
      <c r="I195" s="26">
        <v>43752.378472222197</v>
      </c>
      <c r="J195" s="28" t="s">
        <v>52</v>
      </c>
      <c r="K195" s="28" t="s">
        <v>52</v>
      </c>
      <c r="L195" s="28" t="s">
        <v>52</v>
      </c>
      <c r="M195" s="28" t="s">
        <v>52</v>
      </c>
      <c r="N195" s="28" t="s">
        <v>52</v>
      </c>
    </row>
    <row r="196" spans="1:14" x14ac:dyDescent="0.15">
      <c r="A196" s="23" t="str">
        <f>HYPERLINK("https://www.spark-marketing.ru/Card/Person/79262", "АРТИНСКАЯ ПОСЕЛКОВАЯ АДМИНИСТРАЦИЯ")</f>
        <v>АРТИНСКАЯ ПОСЕЛКОВАЯ АДМИНИСТРАЦИЯ</v>
      </c>
      <c r="B196" s="24" t="s">
        <v>70</v>
      </c>
      <c r="C196" s="25">
        <v>198000</v>
      </c>
      <c r="D196" s="22" t="s">
        <v>505</v>
      </c>
      <c r="E196" s="22" t="s">
        <v>59</v>
      </c>
      <c r="F196" s="23" t="str">
        <f>HYPERLINK("https://www.spark-marketing.ru/Card/Lot/74305873", "Установка системы видеонаблюдения в местах массового пребывания людей")</f>
        <v>Установка системы видеонаблюдения в местах массового пребывания людей</v>
      </c>
      <c r="G196" s="22" t="s">
        <v>72</v>
      </c>
      <c r="H196" s="22" t="s">
        <v>73</v>
      </c>
      <c r="I196" s="26">
        <v>43752.3907175926</v>
      </c>
      <c r="J196" s="28" t="s">
        <v>52</v>
      </c>
      <c r="K196" s="28" t="s">
        <v>52</v>
      </c>
      <c r="L196" s="28" t="s">
        <v>52</v>
      </c>
      <c r="M196" s="28" t="s">
        <v>52</v>
      </c>
      <c r="N196" s="28" t="s">
        <v>52</v>
      </c>
    </row>
    <row r="197" spans="1:14" x14ac:dyDescent="0.15">
      <c r="A197" s="23" t="str">
        <f>HYPERLINK("https://www.spark-marketing.ru/Card/Person/19872", "ГБУЗ МО ""ЛУХОВИЦКАЯ ЦРБ""")</f>
        <v>ГБУЗ МО "ЛУХОВИЦКАЯ ЦРБ"</v>
      </c>
      <c r="B197" s="24" t="s">
        <v>506</v>
      </c>
      <c r="C197" s="25">
        <v>60000</v>
      </c>
      <c r="D197" s="22" t="s">
        <v>507</v>
      </c>
      <c r="E197" s="22" t="s">
        <v>508</v>
      </c>
      <c r="F197" s="23" t="str">
        <f>HYPERLINK("https://www.spark-marketing.ru/Card/Lot/74305860", "Поставка кнопок тревожной сигнализации (монтаж и вывод сигнала на пульт ЧОО) для нужд ГБУЗ МО ""Луховицкая ЦРБ""")</f>
        <v>Поставка кнопок тревожной сигнализации (монтаж и вывод сигнала на пульт ЧОО) для нужд ГБУЗ МО "Луховицкая ЦРБ"</v>
      </c>
      <c r="G197" s="22" t="s">
        <v>50</v>
      </c>
      <c r="H197" s="22" t="s">
        <v>195</v>
      </c>
      <c r="I197" s="26">
        <v>43752.377847222197</v>
      </c>
      <c r="J197" s="28" t="s">
        <v>52</v>
      </c>
      <c r="K197" s="28" t="s">
        <v>52</v>
      </c>
      <c r="L197" s="28" t="s">
        <v>52</v>
      </c>
      <c r="M197" s="28" t="s">
        <v>52</v>
      </c>
      <c r="N197" s="28" t="s">
        <v>52</v>
      </c>
    </row>
    <row r="198" spans="1:14" x14ac:dyDescent="0.15">
      <c r="A198" s="23" t="str">
        <f>HYPERLINK("https://www.spark-marketing.ru/Card/Person/12658", "АДМИНИСТРАЦИЯ ДМИТРОВСКОГО ГОРОДСКОГО ОКРУГА")</f>
        <v>АДМИНИСТРАЦИЯ ДМИТРОВСКОГО ГОРОДСКОГО ОКРУГА</v>
      </c>
      <c r="B198" s="24" t="s">
        <v>509</v>
      </c>
      <c r="C198" s="25">
        <v>4998499</v>
      </c>
      <c r="D198" s="22" t="s">
        <v>510</v>
      </c>
      <c r="E198" s="22" t="s">
        <v>194</v>
      </c>
      <c r="F198" s="23" t="str">
        <f>HYPERLINK("https://www.spark-marketing.ru/Card/Lot/74331366", "Выполнение работ по установке систем видеонаблюдения и контроля доступа для нужд администрации Дмитровского городского округа Московской области")</f>
        <v>Выполнение работ по установке систем видеонаблюдения и контроля доступа для нужд администрации Дмитровского городского округа Московской области</v>
      </c>
      <c r="G198" s="22" t="s">
        <v>50</v>
      </c>
      <c r="H198" s="22" t="s">
        <v>511</v>
      </c>
      <c r="I198" s="26">
        <v>43752.378888888903</v>
      </c>
      <c r="J198" s="28" t="s">
        <v>52</v>
      </c>
      <c r="K198" s="28" t="s">
        <v>52</v>
      </c>
      <c r="L198" s="28" t="s">
        <v>52</v>
      </c>
      <c r="M198" s="28" t="s">
        <v>52</v>
      </c>
      <c r="N198" s="28" t="s">
        <v>52</v>
      </c>
    </row>
    <row r="199" spans="1:14" x14ac:dyDescent="0.15">
      <c r="A199" s="23" t="str">
        <f>HYPERLINK("https://www.spark-marketing.ru/Card/Person/6654327", "МОСКОВСКАЯ ДИРЕКЦИЯ СВЯЗИ СТРУКТУРНОЕ ПОДРАЗДЕЛЕНИЕ ЦЕНТРАЛЬНОЙ СТАНЦИИ СВЯЗИ–ФЛ ОАО РЖД")</f>
        <v>МОСКОВСКАЯ ДИРЕКЦИЯ СВЯЗИ СТРУКТУРНОЕ ПОДРАЗДЕЛЕНИЕ ЦЕНТРАЛЬНОЙ СТАНЦИИ СВЯЗИ–ФЛ ОАО РЖД</v>
      </c>
      <c r="B199" s="24" t="s">
        <v>163</v>
      </c>
      <c r="C199" s="25">
        <v>32500</v>
      </c>
      <c r="D199" s="28" t="s">
        <v>52</v>
      </c>
      <c r="E199" s="22" t="s">
        <v>234</v>
      </c>
      <c r="F199" s="23" t="str">
        <f>HYPERLINK("https://www.spark-marketing.ru/Card/Lot/74306131", "№29612 Оказание услуг по техническому обслуживанию средств тревожной сигнализации")</f>
        <v>№29612 Оказание услуг по техническому обслуживанию средств тревожной сигнализации</v>
      </c>
      <c r="G199" s="22" t="s">
        <v>215</v>
      </c>
      <c r="H199" s="22" t="s">
        <v>406</v>
      </c>
      <c r="I199" s="26">
        <v>43752.354907407404</v>
      </c>
      <c r="J199" s="28" t="s">
        <v>52</v>
      </c>
      <c r="K199" s="28" t="s">
        <v>52</v>
      </c>
      <c r="L199" s="28" t="s">
        <v>52</v>
      </c>
      <c r="M199" s="28" t="s">
        <v>52</v>
      </c>
      <c r="N199" s="28" t="s">
        <v>52</v>
      </c>
    </row>
    <row r="200" spans="1:14" x14ac:dyDescent="0.15">
      <c r="A200" s="23" t="str">
        <f>HYPERLINK("https://www.spark-marketing.ru/Card/Person/13910", "ФГУ ""СУРСКИЙ ГИДРОУЗЕЛ""")</f>
        <v>ФГУ "СУРСКИЙ ГИДРОУЗЕЛ"</v>
      </c>
      <c r="B200" s="24" t="s">
        <v>512</v>
      </c>
      <c r="C200" s="25">
        <v>11253512</v>
      </c>
      <c r="D200" s="22" t="s">
        <v>513</v>
      </c>
      <c r="E200" s="22" t="s">
        <v>68</v>
      </c>
      <c r="F200" s="23" t="str">
        <f>HYPERLINK("https://www.spark-marketing.ru/Card/Lot/74332170", "Оказание услуг по охране комплекса ГТС Пензенского водохранилища (военизированная охрана)")</f>
        <v>Оказание услуг по охране комплекса ГТС Пензенского водохранилища (военизированная охрана)</v>
      </c>
      <c r="G200" s="22" t="s">
        <v>514</v>
      </c>
      <c r="H200" s="22" t="s">
        <v>515</v>
      </c>
      <c r="I200" s="26">
        <v>43752.366273148102</v>
      </c>
      <c r="J200" s="28" t="s">
        <v>52</v>
      </c>
      <c r="K200" s="28" t="s">
        <v>52</v>
      </c>
      <c r="L200" s="28" t="s">
        <v>52</v>
      </c>
      <c r="M200" s="28" t="s">
        <v>52</v>
      </c>
      <c r="N200" s="28" t="s">
        <v>52</v>
      </c>
    </row>
    <row r="201" spans="1:14" x14ac:dyDescent="0.15">
      <c r="A201" s="23" t="str">
        <f>HYPERLINK("https://www.spark-marketing.ru/Card/Person/4413786", "ПАО ""КЦ""")</f>
        <v>ПАО "КЦ"</v>
      </c>
      <c r="B201" s="24" t="s">
        <v>420</v>
      </c>
      <c r="C201" s="28" t="s">
        <v>52</v>
      </c>
      <c r="D201" s="22" t="s">
        <v>516</v>
      </c>
      <c r="E201" s="22" t="s">
        <v>53</v>
      </c>
      <c r="F201" s="23" t="str">
        <f>HYPERLINK("https://www.spark-marketing.ru/Card/Lot/74325093", "Заключение Договора Оказание охранных услуг на территории Регионального представительства ПАО «КЦ» по адресу: Удмуртская Республика, г. Глазов, ул. Пряженникова, 10 сроком на 24 месяца, согласно ТЗ (1363451)")</f>
        <v>Заключение Договора Оказание охранных услуг на территории Регионального представительства ПАО «КЦ» по адресу: Удмуртская Республика, г. Глазов, ул. Пряженникова, 10 сроком на 24 месяца, согласно ТЗ (1363451)</v>
      </c>
      <c r="G201" s="22" t="s">
        <v>55</v>
      </c>
      <c r="H201" s="22" t="s">
        <v>55</v>
      </c>
      <c r="I201" s="26">
        <v>43752.700486111098</v>
      </c>
      <c r="J201" s="28" t="s">
        <v>52</v>
      </c>
      <c r="K201" s="28" t="s">
        <v>52</v>
      </c>
      <c r="L201" s="28" t="s">
        <v>52</v>
      </c>
      <c r="M201" s="28" t="s">
        <v>52</v>
      </c>
      <c r="N201" s="28" t="s">
        <v>52</v>
      </c>
    </row>
    <row r="202" spans="1:14" x14ac:dyDescent="0.15">
      <c r="A202" s="23" t="str">
        <f>HYPERLINK("https://www.spark-marketing.ru/Card/Person/4348528", "АО ИК ""АСЭ""")</f>
        <v>АО ИК "АСЭ"</v>
      </c>
      <c r="B202" s="24" t="s">
        <v>62</v>
      </c>
      <c r="C202" s="28" t="s">
        <v>52</v>
      </c>
      <c r="D202" s="22" t="s">
        <v>517</v>
      </c>
      <c r="E202" s="22" t="s">
        <v>53</v>
      </c>
      <c r="F202" s="23" t="str">
        <f>HYPERLINK("https://www.spark-marketing.ru/Card/Lot/74324493", "оказание услуг Государственной (ведомственной) охраной по обеспечению пропускного и внутриобъектового режимов на объектах сооружения Курской АЭС-2 (энергоблоки №1, №2) в 2020 году (1363301)")</f>
        <v>оказание услуг Государственной (ведомственной) охраной по обеспечению пропускного и внутриобъектового режимов на объектах сооружения Курской АЭС-2 (энергоблоки №1, №2) в 2020 году (1363301)</v>
      </c>
      <c r="G202" s="22" t="s">
        <v>64</v>
      </c>
      <c r="H202" s="22" t="s">
        <v>65</v>
      </c>
      <c r="I202" s="26">
        <v>43752.637361111098</v>
      </c>
      <c r="J202" s="28" t="s">
        <v>52</v>
      </c>
      <c r="K202" s="28" t="s">
        <v>52</v>
      </c>
      <c r="L202" s="28" t="s">
        <v>52</v>
      </c>
      <c r="M202" s="28" t="s">
        <v>52</v>
      </c>
      <c r="N202" s="28" t="s">
        <v>52</v>
      </c>
    </row>
    <row r="203" spans="1:14" x14ac:dyDescent="0.15">
      <c r="A203" s="23" t="str">
        <f>HYPERLINK("https://www.spark-marketing.ru/Card/Person/294736", "АО ""ОМСК РТС""")</f>
        <v>АО "ОМСК РТС"</v>
      </c>
      <c r="B203" s="24" t="s">
        <v>518</v>
      </c>
      <c r="C203" s="25">
        <v>1012571</v>
      </c>
      <c r="D203" s="22" t="s">
        <v>519</v>
      </c>
      <c r="E203" s="22" t="s">
        <v>520</v>
      </c>
      <c r="F203" s="23" t="str">
        <f>HYPERLINK("https://www.spark-marketing.ru/Card/Lot/74308454", "Услуги по техническому обслуживанию инженерно-технических средств охраны СП АО ""Омск РТС""")</f>
        <v>Услуги по техническому обслуживанию инженерно-технических средств охраны СП АО "Омск РТС"</v>
      </c>
      <c r="G203" s="22" t="s">
        <v>521</v>
      </c>
      <c r="H203" s="22" t="s">
        <v>522</v>
      </c>
      <c r="I203" s="26">
        <v>43752</v>
      </c>
      <c r="J203" s="28" t="s">
        <v>52</v>
      </c>
      <c r="K203" s="28" t="s">
        <v>52</v>
      </c>
      <c r="L203" s="28" t="s">
        <v>52</v>
      </c>
      <c r="M203" s="28" t="s">
        <v>52</v>
      </c>
      <c r="N203" s="28" t="s">
        <v>52</v>
      </c>
    </row>
    <row r="204" spans="1:14" x14ac:dyDescent="0.15">
      <c r="A204" s="23" t="str">
        <f>HYPERLINK("https://www.spark-marketing.ru/Card/Person/214061", "ГАПОУ СМПК")</f>
        <v>ГАПОУ СМПК</v>
      </c>
      <c r="B204" s="24" t="s">
        <v>523</v>
      </c>
      <c r="C204" s="25">
        <v>161160</v>
      </c>
      <c r="D204" s="22" t="s">
        <v>524</v>
      </c>
      <c r="E204" s="22" t="s">
        <v>363</v>
      </c>
      <c r="F204" s="23" t="str">
        <f>HYPERLINK("https://www.spark-marketing.ru/Card/Lot/74311432", "Оказание услуг по обеспечению охраны общественного порядка, охраны имущества, товарно-материальных ценностей, техники и оборудования, на объектах расположенных по адресу: Республика Башкортостан, г. Стерлитамак, ул. Николаева д. 124")</f>
        <v>Оказание услуг по обеспечению охраны общественного порядка, охраны имущества, товарно-материальных ценностей, техники и оборудования, на объектах расположенных по адресу: Республика Башкортостан, г. Стерлитамак, ул. Николаева д. 124</v>
      </c>
      <c r="G204" s="22" t="s">
        <v>100</v>
      </c>
      <c r="H204" s="22" t="s">
        <v>100</v>
      </c>
      <c r="I204" s="26">
        <v>43752</v>
      </c>
      <c r="J204" s="28" t="s">
        <v>52</v>
      </c>
      <c r="K204" s="28" t="s">
        <v>52</v>
      </c>
      <c r="L204" s="28" t="s">
        <v>52</v>
      </c>
      <c r="M204" s="28" t="s">
        <v>52</v>
      </c>
      <c r="N204" s="28" t="s">
        <v>52</v>
      </c>
    </row>
    <row r="205" spans="1:14" x14ac:dyDescent="0.15">
      <c r="A205" s="23" t="str">
        <f>HYPERLINK("https://www.spark-marketing.ru/Card/Person/729041", "ООО ""СИТИЛИНК""")</f>
        <v>ООО "СИТИЛИНК"</v>
      </c>
      <c r="B205" s="24" t="s">
        <v>525</v>
      </c>
      <c r="C205" s="25">
        <v>0</v>
      </c>
      <c r="D205" s="22" t="s">
        <v>526</v>
      </c>
      <c r="E205" s="22" t="s">
        <v>527</v>
      </c>
      <c r="F205" s="23" t="str">
        <f>HYPERLINK("https://www.spark-marketing.ru/Card/Lot/74317414", "Ведется видеонаблюдение"", ""Бесплатный WI-FI")</f>
        <v>Ведется видеонаблюдение", "Бесплатный WI-FI</v>
      </c>
      <c r="G205" s="22" t="s">
        <v>55</v>
      </c>
      <c r="H205" s="22" t="s">
        <v>55</v>
      </c>
      <c r="I205" s="26">
        <v>43752.494270833296</v>
      </c>
      <c r="J205" s="28" t="s">
        <v>52</v>
      </c>
      <c r="K205" s="28" t="s">
        <v>52</v>
      </c>
      <c r="L205" s="28" t="s">
        <v>52</v>
      </c>
      <c r="M205" s="28" t="s">
        <v>52</v>
      </c>
      <c r="N205" s="28" t="s">
        <v>52</v>
      </c>
    </row>
    <row r="206" spans="1:14" x14ac:dyDescent="0.15">
      <c r="A206" s="23" t="str">
        <f>HYPERLINK("https://www.spark-marketing.ru/Card/Person/56453", "АО ""МОСВОДОКАНАЛ""")</f>
        <v>АО "МОСВОДОКАНАЛ"</v>
      </c>
      <c r="B206" s="24" t="s">
        <v>528</v>
      </c>
      <c r="C206" s="25">
        <v>3778865.64</v>
      </c>
      <c r="D206" s="22" t="s">
        <v>529</v>
      </c>
      <c r="E206" s="22" t="s">
        <v>530</v>
      </c>
      <c r="F206" s="23" t="str">
        <f>HYPERLINK("https://www.spark-marketing.ru/Card/Lot/74322965", "Выполнение комплекса работ по выполнению требований природоохранного законодательства в области охраны атмосферного воздуха для объектов ПУ ВКХ ТиНАО АО ""Мосводоканал""")</f>
        <v>Выполнение комплекса работ по выполнению требований природоохранного законодательства в области охраны атмосферного воздуха для объектов ПУ ВКХ ТиНАО АО "Мосводоканал"</v>
      </c>
      <c r="G206" s="22" t="s">
        <v>55</v>
      </c>
      <c r="H206" s="22" t="s">
        <v>55</v>
      </c>
      <c r="I206" s="26">
        <v>43752</v>
      </c>
      <c r="J206" s="28" t="s">
        <v>52</v>
      </c>
      <c r="K206" s="28" t="s">
        <v>52</v>
      </c>
      <c r="L206" s="28" t="s">
        <v>52</v>
      </c>
      <c r="M206" s="28" t="s">
        <v>52</v>
      </c>
      <c r="N206" s="28" t="s">
        <v>52</v>
      </c>
    </row>
    <row r="207" spans="1:14" x14ac:dyDescent="0.15">
      <c r="A207" s="23" t="str">
        <f>HYPERLINK("https://www.spark-marketing.ru/Card/Person/6677", "ГАПОУ МО ""ПК ""ЭНЕРГИЯ""")</f>
        <v>ГАПОУ МО "ПК "ЭНЕРГИЯ"</v>
      </c>
      <c r="B207" s="24" t="s">
        <v>531</v>
      </c>
      <c r="C207" s="25">
        <v>720000</v>
      </c>
      <c r="D207" s="22" t="s">
        <v>532</v>
      </c>
      <c r="E207" s="22" t="s">
        <v>533</v>
      </c>
      <c r="F207" s="23" t="str">
        <f>HYPERLINK("https://www.spark-marketing.ru/Card/Lot/74313854", "Закупка и установка видеодомофонов в рамках программы ""Безопасность Подмосковья""")</f>
        <v>Закупка и установка видеодомофонов в рамках программы "Безопасность Подмосковья"</v>
      </c>
      <c r="G207" s="22" t="s">
        <v>50</v>
      </c>
      <c r="H207" s="22" t="s">
        <v>50</v>
      </c>
      <c r="I207" s="26">
        <v>43752</v>
      </c>
      <c r="J207" s="28" t="s">
        <v>52</v>
      </c>
      <c r="K207" s="28" t="s">
        <v>52</v>
      </c>
      <c r="L207" s="28" t="s">
        <v>52</v>
      </c>
      <c r="M207" s="28" t="s">
        <v>52</v>
      </c>
      <c r="N207" s="28" t="s">
        <v>52</v>
      </c>
    </row>
    <row r="208" spans="1:14" x14ac:dyDescent="0.15">
      <c r="A208" s="23" t="str">
        <f>HYPERLINK("https://www.spark-marketing.ru/Card/Person/729041", "ООО ""СИТИЛИНК""")</f>
        <v>ООО "СИТИЛИНК"</v>
      </c>
      <c r="B208" s="24" t="s">
        <v>525</v>
      </c>
      <c r="C208" s="25">
        <v>0</v>
      </c>
      <c r="D208" s="22" t="s">
        <v>534</v>
      </c>
      <c r="E208" s="22" t="s">
        <v>527</v>
      </c>
      <c r="F208" s="23" t="str">
        <f>HYPERLINK("https://www.spark-marketing.ru/Card/Lot/74316797", "Ведется видеонаблюдение"", ""Бесплатный WI-FI")</f>
        <v>Ведется видеонаблюдение", "Бесплатный WI-FI</v>
      </c>
      <c r="G208" s="22" t="s">
        <v>55</v>
      </c>
      <c r="H208" s="22" t="s">
        <v>55</v>
      </c>
      <c r="I208" s="26">
        <v>43752.457731481503</v>
      </c>
      <c r="J208" s="28" t="s">
        <v>52</v>
      </c>
      <c r="K208" s="28" t="s">
        <v>52</v>
      </c>
      <c r="L208" s="28" t="s">
        <v>52</v>
      </c>
      <c r="M208" s="28" t="s">
        <v>52</v>
      </c>
      <c r="N208" s="28" t="s">
        <v>52</v>
      </c>
    </row>
    <row r="209" spans="1:14" x14ac:dyDescent="0.15">
      <c r="A209" s="23" t="str">
        <f>HYPERLINK("https://www.spark-marketing.ru/Card/Person/1779968", "АО ""ККТ""")</f>
        <v>АО "ККТ"</v>
      </c>
      <c r="B209" s="24" t="s">
        <v>535</v>
      </c>
      <c r="C209" s="25">
        <v>1392000</v>
      </c>
      <c r="D209" s="22" t="s">
        <v>536</v>
      </c>
      <c r="E209" s="22" t="s">
        <v>537</v>
      </c>
      <c r="F209" s="23" t="str">
        <f>HYPERLINK("https://www.spark-marketing.ru/Card/Lot/74310300", "Выполнение работ по установке систем видеонаблюдения на склады ГСМ ДЭС Важгорт, Новый Бор, Бугаево, Медвежка, Окунево")</f>
        <v>Выполнение работ по установке систем видеонаблюдения на склады ГСМ ДЭС Важгорт, Новый Бор, Бугаево, Медвежка, Окунево</v>
      </c>
      <c r="G209" s="22" t="s">
        <v>538</v>
      </c>
      <c r="H209" s="22" t="s">
        <v>538</v>
      </c>
      <c r="I209" s="26">
        <v>43752</v>
      </c>
      <c r="J209" s="28" t="s">
        <v>52</v>
      </c>
      <c r="K209" s="28" t="s">
        <v>52</v>
      </c>
      <c r="L209" s="28" t="s">
        <v>52</v>
      </c>
      <c r="M209" s="28" t="s">
        <v>52</v>
      </c>
      <c r="N209" s="28" t="s">
        <v>52</v>
      </c>
    </row>
    <row r="210" spans="1:14" x14ac:dyDescent="0.15">
      <c r="A210" s="23" t="str">
        <f>HYPERLINK("https://www.spark-marketing.ru/Card/Person/1759723", "МАДОУ ""ДЕТСКИЙ САД № 6 ""ЛУКОМОРЬЕ""")</f>
        <v>МАДОУ "ДЕТСКИЙ САД № 6 "ЛУКОМОРЬЕ"</v>
      </c>
      <c r="B210" s="24" t="s">
        <v>539</v>
      </c>
      <c r="C210" s="25">
        <v>204960</v>
      </c>
      <c r="D210" s="22" t="s">
        <v>540</v>
      </c>
      <c r="E210" s="22" t="s">
        <v>144</v>
      </c>
      <c r="F210" s="23" t="str">
        <f>HYPERLINK("https://www.spark-marketing.ru/Card/Lot/74305913", "Оказание охранных услуг")</f>
        <v>Оказание охранных услуг</v>
      </c>
      <c r="G210" s="22" t="s">
        <v>119</v>
      </c>
      <c r="H210" s="22" t="s">
        <v>119</v>
      </c>
      <c r="I210" s="26">
        <v>43752</v>
      </c>
      <c r="J210" s="28" t="s">
        <v>52</v>
      </c>
      <c r="K210" s="28" t="s">
        <v>52</v>
      </c>
      <c r="L210" s="28" t="s">
        <v>52</v>
      </c>
      <c r="M210" s="28" t="s">
        <v>52</v>
      </c>
      <c r="N210" s="28" t="s">
        <v>52</v>
      </c>
    </row>
    <row r="211" spans="1:14" x14ac:dyDescent="0.15">
      <c r="A211" s="23" t="str">
        <f>HYPERLINK("https://www.spark-marketing.ru/Card/Person/132821", "ОГАУЗ ""СТРЕЖЕВСКАЯ ГБ""")</f>
        <v>ОГАУЗ "СТРЕЖЕВСКАЯ ГБ"</v>
      </c>
      <c r="B211" s="24" t="s">
        <v>541</v>
      </c>
      <c r="C211" s="25">
        <v>2319408</v>
      </c>
      <c r="D211" s="22" t="s">
        <v>542</v>
      </c>
      <c r="E211" s="22" t="s">
        <v>144</v>
      </c>
      <c r="F211" s="23" t="str">
        <f>HYPERLINK("https://www.spark-marketing.ru/Card/Lot/74305597", "Оказание охранных услуг (физический пост) на объектах ОГАУЗ ""Стрежевская ГБ""")</f>
        <v>Оказание охранных услуг (физический пост) на объектах ОГАУЗ "Стрежевская ГБ"</v>
      </c>
      <c r="G211" s="22" t="s">
        <v>150</v>
      </c>
      <c r="H211" s="22" t="s">
        <v>150</v>
      </c>
      <c r="I211" s="26">
        <v>43752</v>
      </c>
      <c r="J211" s="28" t="s">
        <v>52</v>
      </c>
      <c r="K211" s="28" t="s">
        <v>52</v>
      </c>
      <c r="L211" s="28" t="s">
        <v>52</v>
      </c>
      <c r="M211" s="28" t="s">
        <v>52</v>
      </c>
      <c r="N211" s="28" t="s">
        <v>52</v>
      </c>
    </row>
    <row r="212" spans="1:14" x14ac:dyDescent="0.15">
      <c r="A212" s="23" t="str">
        <f>HYPERLINK("https://www.spark-marketing.ru/Card/Person/27705", "ГУП СК ""СТАВРОПОЛЬКРАЙВОДОКАНАЛ""")</f>
        <v>ГУП СК "СТАВРОПОЛЬКРАЙВОДОКАНАЛ"</v>
      </c>
      <c r="B212" s="24" t="s">
        <v>543</v>
      </c>
      <c r="C212" s="25">
        <v>154563.34</v>
      </c>
      <c r="D212" s="22" t="s">
        <v>544</v>
      </c>
      <c r="E212" s="22" t="s">
        <v>545</v>
      </c>
      <c r="F212" s="23" t="str">
        <f>HYPERLINK("https://www.spark-marketing.ru/Card/Lot/74320005", "Поставка блок-контейнеров (помещений КПП) для размещения постов охраны на объектах филиала ГУП СК «Ставрополькрайводоканал» - «Центральный»")</f>
        <v>Поставка блок-контейнеров (помещений КПП) для размещения постов охраны на объектах филиала ГУП СК «Ставрополькрайводоканал» - «Центральный»</v>
      </c>
      <c r="G212" s="22" t="s">
        <v>258</v>
      </c>
      <c r="H212" s="22" t="s">
        <v>546</v>
      </c>
      <c r="I212" s="26">
        <v>43752</v>
      </c>
      <c r="J212" s="28" t="s">
        <v>52</v>
      </c>
      <c r="K212" s="28" t="s">
        <v>52</v>
      </c>
      <c r="L212" s="28" t="s">
        <v>52</v>
      </c>
      <c r="M212" s="28" t="s">
        <v>52</v>
      </c>
      <c r="N212" s="28" t="s">
        <v>52</v>
      </c>
    </row>
    <row r="213" spans="1:14" x14ac:dyDescent="0.15">
      <c r="A213" s="23" t="str">
        <f>HYPERLINK("https://www.spark-marketing.ru/Card/Person/729041", "ООО ""СИТИЛИНК""")</f>
        <v>ООО "СИТИЛИНК"</v>
      </c>
      <c r="B213" s="24" t="s">
        <v>525</v>
      </c>
      <c r="C213" s="25">
        <v>0</v>
      </c>
      <c r="D213" s="22" t="s">
        <v>547</v>
      </c>
      <c r="E213" s="22" t="s">
        <v>527</v>
      </c>
      <c r="F213" s="23" t="str">
        <f>HYPERLINK("https://www.spark-marketing.ru/Card/Lot/74322145", "Ведется видеонаблюдение"", ""Бесплатный WI-FI")</f>
        <v>Ведется видеонаблюдение", "Бесплатный WI-FI</v>
      </c>
      <c r="G213" s="22" t="s">
        <v>55</v>
      </c>
      <c r="H213" s="22" t="s">
        <v>55</v>
      </c>
      <c r="I213" s="26">
        <v>43752.607928240701</v>
      </c>
      <c r="J213" s="28" t="s">
        <v>52</v>
      </c>
      <c r="K213" s="28" t="s">
        <v>52</v>
      </c>
      <c r="L213" s="28" t="s">
        <v>52</v>
      </c>
      <c r="M213" s="28" t="s">
        <v>52</v>
      </c>
      <c r="N213" s="28" t="s">
        <v>52</v>
      </c>
    </row>
    <row r="214" spans="1:14" x14ac:dyDescent="0.15">
      <c r="A214" s="23" t="str">
        <f>HYPERLINK("https://www.spark-marketing.ru/Card/Person/729041", "ООО ""СИТИЛИНК""")</f>
        <v>ООО "СИТИЛИНК"</v>
      </c>
      <c r="B214" s="24" t="s">
        <v>525</v>
      </c>
      <c r="C214" s="25">
        <v>0</v>
      </c>
      <c r="D214" s="22" t="s">
        <v>534</v>
      </c>
      <c r="E214" s="22" t="s">
        <v>527</v>
      </c>
      <c r="F214" s="23" t="str">
        <f>HYPERLINK("https://www.spark-marketing.ru/Card/Lot/74316725", "Ведется видеонаблюдение"", ""Бесплатный WI-FI")</f>
        <v>Ведется видеонаблюдение", "Бесплатный WI-FI</v>
      </c>
      <c r="G214" s="22" t="s">
        <v>55</v>
      </c>
      <c r="H214" s="22" t="s">
        <v>55</v>
      </c>
      <c r="I214" s="26">
        <v>43752.457731481503</v>
      </c>
      <c r="J214" s="28" t="s">
        <v>52</v>
      </c>
      <c r="K214" s="28" t="s">
        <v>52</v>
      </c>
      <c r="L214" s="28" t="s">
        <v>52</v>
      </c>
      <c r="M214" s="28" t="s">
        <v>52</v>
      </c>
      <c r="N214" s="28" t="s">
        <v>52</v>
      </c>
    </row>
    <row r="215" spans="1:14" x14ac:dyDescent="0.15">
      <c r="A215" s="23" t="str">
        <f>HYPERLINK("https://www.spark-marketing.ru/Card/Person/729041", "ООО ""СИТИЛИНК""")</f>
        <v>ООО "СИТИЛИНК"</v>
      </c>
      <c r="B215" s="24" t="s">
        <v>525</v>
      </c>
      <c r="C215" s="25">
        <v>0</v>
      </c>
      <c r="D215" s="22" t="s">
        <v>547</v>
      </c>
      <c r="E215" s="22" t="s">
        <v>527</v>
      </c>
      <c r="F215" s="23" t="str">
        <f>HYPERLINK("https://www.spark-marketing.ru/Card/Lot/74321845", "Ведется видеонаблюдение"", ""Бесплатный WI-FI")</f>
        <v>Ведется видеонаблюдение", "Бесплатный WI-FI</v>
      </c>
      <c r="G215" s="22" t="s">
        <v>55</v>
      </c>
      <c r="H215" s="22" t="s">
        <v>55</v>
      </c>
      <c r="I215" s="26">
        <v>43752.607928240701</v>
      </c>
      <c r="J215" s="28" t="s">
        <v>52</v>
      </c>
      <c r="K215" s="28" t="s">
        <v>52</v>
      </c>
      <c r="L215" s="28" t="s">
        <v>52</v>
      </c>
      <c r="M215" s="28" t="s">
        <v>52</v>
      </c>
      <c r="N215" s="28" t="s">
        <v>52</v>
      </c>
    </row>
    <row r="216" spans="1:14" x14ac:dyDescent="0.15">
      <c r="A216" s="23" t="str">
        <f>HYPERLINK("https://www.spark-marketing.ru/Card/Person/729041", "ООО ""СИТИЛИНК""")</f>
        <v>ООО "СИТИЛИНК"</v>
      </c>
      <c r="B216" s="24" t="s">
        <v>525</v>
      </c>
      <c r="C216" s="25">
        <v>0</v>
      </c>
      <c r="D216" s="22" t="s">
        <v>526</v>
      </c>
      <c r="E216" s="22" t="s">
        <v>527</v>
      </c>
      <c r="F216" s="23" t="str">
        <f>HYPERLINK("https://www.spark-marketing.ru/Card/Lot/74317357", "Ведется видеонаблюдение"", ""Бесплатный WI-FI")</f>
        <v>Ведется видеонаблюдение", "Бесплатный WI-FI</v>
      </c>
      <c r="G216" s="22" t="s">
        <v>55</v>
      </c>
      <c r="H216" s="22" t="s">
        <v>55</v>
      </c>
      <c r="I216" s="26">
        <v>43752.494270833296</v>
      </c>
      <c r="J216" s="28" t="s">
        <v>52</v>
      </c>
      <c r="K216" s="28" t="s">
        <v>52</v>
      </c>
      <c r="L216" s="28" t="s">
        <v>52</v>
      </c>
      <c r="M216" s="28" t="s">
        <v>52</v>
      </c>
      <c r="N216" s="28" t="s">
        <v>52</v>
      </c>
    </row>
    <row r="217" spans="1:14" x14ac:dyDescent="0.15">
      <c r="A217" s="23" t="str">
        <f>HYPERLINK("https://www.spark-marketing.ru/Card/Person/1196261", "ООО ""БЭСТ ПРАЙС""")</f>
        <v>ООО "БЭСТ ПРАЙС"</v>
      </c>
      <c r="B217" s="24" t="s">
        <v>548</v>
      </c>
      <c r="C217" s="25">
        <v>0</v>
      </c>
      <c r="D217" s="22" t="s">
        <v>549</v>
      </c>
      <c r="E217" s="22" t="s">
        <v>208</v>
      </c>
      <c r="F217" s="23" t="str">
        <f>HYPERLINK("https://www.spark-marketing.ru/Card/Lot/74322115", "КТС")</f>
        <v>КТС</v>
      </c>
      <c r="G217" s="22" t="s">
        <v>55</v>
      </c>
      <c r="H217" s="22" t="s">
        <v>55</v>
      </c>
      <c r="I217" s="26">
        <v>43752.591041666703</v>
      </c>
      <c r="J217" s="28" t="s">
        <v>52</v>
      </c>
      <c r="K217" s="28" t="s">
        <v>52</v>
      </c>
      <c r="L217" s="28" t="s">
        <v>52</v>
      </c>
      <c r="M217" s="28" t="s">
        <v>52</v>
      </c>
      <c r="N217" s="28" t="s">
        <v>52</v>
      </c>
    </row>
    <row r="218" spans="1:14" ht="12.75" x14ac:dyDescent="0.2">
      <c r="A218" s="23" t="str">
        <f>HYPERLINK("https://www.spark-marketing.ru/Card/Person/4350085", "АО КБХА")</f>
        <v>АО КБХА</v>
      </c>
      <c r="B218" s="24" t="s">
        <v>550</v>
      </c>
      <c r="C218" s="25">
        <v>11476408.220000001</v>
      </c>
      <c r="D218" s="22" t="s">
        <v>551</v>
      </c>
      <c r="E218" s="22" t="s">
        <v>144</v>
      </c>
      <c r="F218" s="23" t="str">
        <f>HYPERLINK("https://www.spark-marketing.ru/Card/Lot/74316130", "Услуги по охране основной площадки")</f>
        <v>Услуги по охране основной площадки</v>
      </c>
      <c r="G218" s="22" t="s">
        <v>552</v>
      </c>
      <c r="H218" s="22" t="s">
        <v>552</v>
      </c>
      <c r="I218" s="26">
        <v>43752</v>
      </c>
      <c r="J218" s="23" t="str">
        <f>HYPERLINK("https://www.spark-marketing.ru/Card/Person/692534", "АО НТЦ ""ОХРАНА""")</f>
        <v>АО НТЦ "ОХРАНА"</v>
      </c>
      <c r="K218" s="24" t="s">
        <v>553</v>
      </c>
      <c r="L218" s="22" t="s">
        <v>10</v>
      </c>
      <c r="M218" s="25">
        <v>11516859.880000001</v>
      </c>
      <c r="N218" s="27">
        <v>-3.5247665667298821E-3</v>
      </c>
    </row>
    <row r="219" spans="1:14" x14ac:dyDescent="0.15">
      <c r="A219" s="23" t="str">
        <f>HYPERLINK("https://www.spark-marketing.ru/Card/Person/291062", "МУП ""ВОДОКАНАЛ""")</f>
        <v>МУП "ВОДОКАНАЛ"</v>
      </c>
      <c r="B219" s="24" t="s">
        <v>554</v>
      </c>
      <c r="C219" s="25">
        <v>936901.44</v>
      </c>
      <c r="D219" s="22" t="s">
        <v>555</v>
      </c>
      <c r="E219" s="22" t="s">
        <v>363</v>
      </c>
      <c r="F219" s="23" t="str">
        <f>HYPERLINK("https://www.spark-marketing.ru/Card/Lot/74292577", "Оказание услуг по охране объектов МУП «Водоканал» по адресам: г.Киров ул. Водопроводная, 21, г.Киров ул. Производственная,23; г.Киров ул. Производственная,25» для нужд МУП «Водоканал""")</f>
        <v>Оказание услуг по охране объектов МУП «Водоканал» по адресам: г.Киров ул. Водопроводная, 21, г.Киров ул. Производственная,23; г.Киров ул. Производственная,25» для нужд МУП «Водоканал"</v>
      </c>
      <c r="G219" s="22" t="s">
        <v>556</v>
      </c>
      <c r="H219" s="22" t="s">
        <v>557</v>
      </c>
      <c r="I219" s="26">
        <v>43749</v>
      </c>
      <c r="J219" s="28" t="s">
        <v>52</v>
      </c>
      <c r="K219" s="28" t="s">
        <v>52</v>
      </c>
      <c r="L219" s="28" t="s">
        <v>52</v>
      </c>
      <c r="M219" s="28" t="s">
        <v>52</v>
      </c>
      <c r="N219" s="28" t="s">
        <v>52</v>
      </c>
    </row>
    <row r="220" spans="1:14" x14ac:dyDescent="0.15">
      <c r="A220" s="23" t="str">
        <f>HYPERLINK("https://www.spark-marketing.ru/Card/Person/48468", "ГБУЗ НО ""ДЕТСКИЙ САНАТОРИЙ ""ГОРОДЕЦ""")</f>
        <v>ГБУЗ НО "ДЕТСКИЙ САНАТОРИЙ "ГОРОДЕЦ"</v>
      </c>
      <c r="B220" s="24" t="s">
        <v>558</v>
      </c>
      <c r="C220" s="25">
        <v>295533.33</v>
      </c>
      <c r="D220" s="22" t="s">
        <v>559</v>
      </c>
      <c r="E220" s="22" t="s">
        <v>545</v>
      </c>
      <c r="F220" s="23" t="str">
        <f>HYPERLINK("https://www.spark-marketing.ru/Card/Lot/74294241", "Поставка блок контейнера для поста охраны")</f>
        <v>Поставка блок контейнера для поста охраны</v>
      </c>
      <c r="G220" s="22" t="s">
        <v>64</v>
      </c>
      <c r="H220" s="22" t="s">
        <v>64</v>
      </c>
      <c r="I220" s="26">
        <v>43749</v>
      </c>
      <c r="J220" s="28" t="s">
        <v>52</v>
      </c>
      <c r="K220" s="28" t="s">
        <v>52</v>
      </c>
      <c r="L220" s="28" t="s">
        <v>52</v>
      </c>
      <c r="M220" s="28" t="s">
        <v>52</v>
      </c>
      <c r="N220" s="28" t="s">
        <v>52</v>
      </c>
    </row>
    <row r="221" spans="1:14" x14ac:dyDescent="0.15">
      <c r="A221" s="23" t="str">
        <f>HYPERLINK("https://www.spark-marketing.ru/Card/Person/535263", "АО ""ЕЭСК""")</f>
        <v>АО "ЕЭСК"</v>
      </c>
      <c r="B221" s="24" t="s">
        <v>560</v>
      </c>
      <c r="C221" s="25">
        <v>1132800</v>
      </c>
      <c r="D221" s="22" t="s">
        <v>561</v>
      </c>
      <c r="E221" s="22" t="s">
        <v>562</v>
      </c>
      <c r="F221" s="23" t="str">
        <f>HYPERLINK("https://www.spark-marketing.ru/Card/Lot/74302026", "Выполнение работ по техническому обслуживанию систем управления диспетчерских щитов и видеостены")</f>
        <v>Выполнение работ по техническому обслуживанию систем управления диспетчерских щитов и видеостены</v>
      </c>
      <c r="G221" s="22" t="s">
        <v>72</v>
      </c>
      <c r="H221" s="22" t="s">
        <v>72</v>
      </c>
      <c r="I221" s="26">
        <v>43750</v>
      </c>
      <c r="J221" s="28" t="s">
        <v>52</v>
      </c>
      <c r="K221" s="28" t="s">
        <v>52</v>
      </c>
      <c r="L221" s="28" t="s">
        <v>52</v>
      </c>
      <c r="M221" s="28" t="s">
        <v>52</v>
      </c>
      <c r="N221" s="28" t="s">
        <v>52</v>
      </c>
    </row>
    <row r="222" spans="1:14" x14ac:dyDescent="0.15">
      <c r="A222" s="23" t="str">
        <f>HYPERLINK("https://www.spark-marketing.ru/Card/Person/22099", "АСТРАХАНСКОЕ СУВОРОВСКОЕ ВОЕННОЕ УЧИЛИЩЕ МВД РОССИИ, ФГКОУ АСВУ МВД РОССИИ, АСТРАХАНСКОЕ СВУ МВД РОССИИ")</f>
        <v>АСТРАХАНСКОЕ СУВОРОВСКОЕ ВОЕННОЕ УЧИЛИЩЕ МВД РОССИИ, ФГКОУ АСВУ МВД РОССИИ, АСТРАХАНСКОЕ СВУ МВД РОССИИ</v>
      </c>
      <c r="B222" s="24" t="s">
        <v>563</v>
      </c>
      <c r="C222" s="25">
        <v>17591.88</v>
      </c>
      <c r="D222" s="22" t="s">
        <v>564</v>
      </c>
      <c r="E222" s="22" t="s">
        <v>107</v>
      </c>
      <c r="F222" s="23" t="str">
        <f>HYPERLINK("https://www.spark-marketing.ru/Card/Lot/74297431", "Оказание услуг по техническому обслуживанию комплекса технических средств охраны и технологическому обеспечению систем передачи извещений для нужд АСВУ МВД России")</f>
        <v>Оказание услуг по техническому обслуживанию комплекса технических средств охраны и технологическому обеспечению систем передачи извещений для нужд АСВУ МВД России</v>
      </c>
      <c r="G222" s="22" t="s">
        <v>565</v>
      </c>
      <c r="H222" s="22" t="s">
        <v>566</v>
      </c>
      <c r="I222" s="26">
        <v>43749.836458333302</v>
      </c>
      <c r="J222" s="28" t="s">
        <v>52</v>
      </c>
      <c r="K222" s="28" t="s">
        <v>52</v>
      </c>
      <c r="L222" s="28" t="s">
        <v>52</v>
      </c>
      <c r="M222" s="28" t="s">
        <v>52</v>
      </c>
      <c r="N222" s="28" t="s">
        <v>52</v>
      </c>
    </row>
    <row r="223" spans="1:14" x14ac:dyDescent="0.15">
      <c r="A223" s="23" t="str">
        <f>HYPERLINK("https://www.spark-marketing.ru/Card/Person/4352101", "МДОУ ЦРР ДЕТСКИЙ САД №29 ""ДУБРАВУШКА""")</f>
        <v>МДОУ ЦРР ДЕТСКИЙ САД №29 "ДУБРАВУШКА"</v>
      </c>
      <c r="B223" s="24" t="s">
        <v>567</v>
      </c>
      <c r="C223" s="25">
        <v>32000</v>
      </c>
      <c r="D223" s="22" t="s">
        <v>568</v>
      </c>
      <c r="E223" s="22" t="s">
        <v>59</v>
      </c>
      <c r="F223" s="23" t="str">
        <f>HYPERLINK("https://www.spark-marketing.ru/Card/Lot/74294940", "Выполнение работ по установке системы охранной сигнализации")</f>
        <v>Выполнение работ по установке системы охранной сигнализации</v>
      </c>
      <c r="G223" s="22" t="s">
        <v>50</v>
      </c>
      <c r="H223" s="22" t="s">
        <v>569</v>
      </c>
      <c r="I223" s="26">
        <v>43749.773668981499</v>
      </c>
      <c r="J223" s="28" t="s">
        <v>52</v>
      </c>
      <c r="K223" s="28" t="s">
        <v>52</v>
      </c>
      <c r="L223" s="28" t="s">
        <v>52</v>
      </c>
      <c r="M223" s="28" t="s">
        <v>52</v>
      </c>
      <c r="N223" s="28" t="s">
        <v>52</v>
      </c>
    </row>
    <row r="224" spans="1:14" x14ac:dyDescent="0.15">
      <c r="A224" s="23" t="str">
        <f>HYPERLINK("https://www.spark-marketing.ru/Card/Person/85218", "ОГБУЗ ""НОВО-ТАВОЛЖАНСКАЯ БОЛЬНИЦА МЕДИЦИНСКОЙ РЕАБИЛИТАЦИИ""")</f>
        <v>ОГБУЗ "НОВО-ТАВОЛЖАНСКАЯ БОЛЬНИЦА МЕДИЦИНСКОЙ РЕАБИЛИТАЦИИ"</v>
      </c>
      <c r="B224" s="24" t="s">
        <v>570</v>
      </c>
      <c r="C224" s="25">
        <v>3042129.6</v>
      </c>
      <c r="D224" s="22" t="s">
        <v>571</v>
      </c>
      <c r="E224" s="22" t="s">
        <v>52</v>
      </c>
      <c r="F224" s="23" t="str">
        <f>HYPERLINK("https://www.spark-marketing.ru/Card/Lot/74299275", "Оказание услуг по круглосуточной охране помещений и территории в 2020-2021 гг.")</f>
        <v>Оказание услуг по круглосуточной охране помещений и территории в 2020-2021 гг.</v>
      </c>
      <c r="G224" s="22" t="s">
        <v>176</v>
      </c>
      <c r="H224" s="22" t="s">
        <v>572</v>
      </c>
      <c r="I224" s="26">
        <v>43749.735416666699</v>
      </c>
      <c r="J224" s="28" t="s">
        <v>52</v>
      </c>
      <c r="K224" s="28" t="s">
        <v>52</v>
      </c>
      <c r="L224" s="28" t="s">
        <v>52</v>
      </c>
      <c r="M224" s="28" t="s">
        <v>52</v>
      </c>
      <c r="N224" s="28" t="s">
        <v>52</v>
      </c>
    </row>
    <row r="225" spans="1:14" x14ac:dyDescent="0.15">
      <c r="A225" s="23" t="str">
        <f>HYPERLINK("https://www.spark-marketing.ru/Card/Person/1752950", "ВОЕННОЕ СЛЕДСТВЕННОЕ УПРАВЛЕНИЕ СЛЕДСТВЕННОГО КОМИТЕТА РОССИЙСКОЙ ФЕДЕРАЦИИ ПО БАЛТИЙСКОМУ ФЛОТУ")</f>
        <v>ВОЕННОЕ СЛЕДСТВЕННОЕ УПРАВЛЕНИЕ СЛЕДСТВЕННОГО КОМИТЕТА РОССИЙСКОЙ ФЕДЕРАЦИИ ПО БАЛТИЙСКОМУ ФЛОТУ</v>
      </c>
      <c r="B225" s="24" t="s">
        <v>573</v>
      </c>
      <c r="C225" s="25">
        <v>1049700</v>
      </c>
      <c r="D225" s="22" t="s">
        <v>574</v>
      </c>
      <c r="E225" s="22" t="s">
        <v>575</v>
      </c>
      <c r="F225" s="23" t="str">
        <f>HYPERLINK("https://www.spark-marketing.ru/Card/Lot/74298197", "Приобретение и установка систем безопасности (видеонаблюдения и СКУД);")</f>
        <v>Приобретение и установка систем безопасности (видеонаблюдения и СКУД);</v>
      </c>
      <c r="G225" s="22" t="s">
        <v>247</v>
      </c>
      <c r="H225" s="22" t="s">
        <v>576</v>
      </c>
      <c r="I225" s="26">
        <v>43749.6694907407</v>
      </c>
      <c r="J225" s="28" t="s">
        <v>52</v>
      </c>
      <c r="K225" s="28" t="s">
        <v>52</v>
      </c>
      <c r="L225" s="28" t="s">
        <v>52</v>
      </c>
      <c r="M225" s="28" t="s">
        <v>52</v>
      </c>
      <c r="N225" s="28" t="s">
        <v>52</v>
      </c>
    </row>
    <row r="226" spans="1:14" x14ac:dyDescent="0.15">
      <c r="A226" s="23" t="str">
        <f>HYPERLINK("https://www.spark-marketing.ru/Card/Person/639227", "ОТДЕЛ МВД РОССИИ ПО КАЛТАСИНСКОМУ РАЙОНУ")</f>
        <v>ОТДЕЛ МВД РОССИИ ПО КАЛТАСИНСКОМУ РАЙОНУ</v>
      </c>
      <c r="B226" s="24" t="s">
        <v>577</v>
      </c>
      <c r="C226" s="25">
        <v>20000</v>
      </c>
      <c r="D226" s="22" t="s">
        <v>578</v>
      </c>
      <c r="E226" s="22" t="s">
        <v>107</v>
      </c>
      <c r="F226" s="23" t="str">
        <f>HYPERLINK("https://www.spark-marketing.ru/Card/Lot/74290012", "Техническое обслуживание средств ОС, ОПС, ТС, видеонаблюдения и СКУД, 1 шт")</f>
        <v>Техническое обслуживание средств ОС, ОПС, ТС, видеонаблюдения и СКУД, 1 шт</v>
      </c>
      <c r="G226" s="22" t="s">
        <v>100</v>
      </c>
      <c r="H226" s="22" t="s">
        <v>579</v>
      </c>
      <c r="I226" s="26">
        <v>43749.654340277797</v>
      </c>
      <c r="J226" s="28" t="s">
        <v>52</v>
      </c>
      <c r="K226" s="28" t="s">
        <v>52</v>
      </c>
      <c r="L226" s="28" t="s">
        <v>52</v>
      </c>
      <c r="M226" s="28" t="s">
        <v>52</v>
      </c>
      <c r="N226" s="28" t="s">
        <v>52</v>
      </c>
    </row>
    <row r="227" spans="1:14" x14ac:dyDescent="0.15">
      <c r="A227" s="23" t="str">
        <f>HYPERLINK("https://www.spark-marketing.ru/Card/Person/3033", "ГБУЗ ВО МРД")</f>
        <v>ГБУЗ ВО МРД</v>
      </c>
      <c r="B227" s="24" t="s">
        <v>580</v>
      </c>
      <c r="C227" s="25">
        <v>78119.03</v>
      </c>
      <c r="D227" s="22" t="s">
        <v>581</v>
      </c>
      <c r="E227" s="22" t="s">
        <v>68</v>
      </c>
      <c r="F227" s="23" t="str">
        <f>HYPERLINK("https://www.spark-marketing.ru/Card/Lot/74295945", "Оказание услуг по охране (охрана имущества и общественного порядка) для нужд ГБУЗ ВО ""Муромский родильный дом"" в 2019 году")</f>
        <v>Оказание услуг по охране (охрана имущества и общественного порядка) для нужд ГБУЗ ВО "Муромский родильный дом" в 2019 году</v>
      </c>
      <c r="G227" s="22" t="s">
        <v>145</v>
      </c>
      <c r="H227" s="22" t="s">
        <v>145</v>
      </c>
      <c r="I227" s="26">
        <v>43749.629166666702</v>
      </c>
      <c r="J227" s="28" t="s">
        <v>52</v>
      </c>
      <c r="K227" s="28" t="s">
        <v>52</v>
      </c>
      <c r="L227" s="28" t="s">
        <v>52</v>
      </c>
      <c r="M227" s="28" t="s">
        <v>52</v>
      </c>
      <c r="N227" s="28" t="s">
        <v>52</v>
      </c>
    </row>
    <row r="228" spans="1:14" x14ac:dyDescent="0.15">
      <c r="A228" s="23" t="str">
        <f>HYPERLINK("https://www.spark-marketing.ru/Card/Person/639227", "ОТДЕЛ МВД РОССИИ ПО КАЛТАСИНСКОМУ РАЙОНУ")</f>
        <v>ОТДЕЛ МВД РОССИИ ПО КАЛТАСИНСКОМУ РАЙОНУ</v>
      </c>
      <c r="B228" s="24" t="s">
        <v>577</v>
      </c>
      <c r="C228" s="25">
        <v>20000</v>
      </c>
      <c r="D228" s="22" t="s">
        <v>582</v>
      </c>
      <c r="E228" s="22" t="s">
        <v>107</v>
      </c>
      <c r="F228" s="23" t="str">
        <f>HYPERLINK("https://www.spark-marketing.ru/Card/Lot/74290055", "Техническое обслуживание средств ОС, ОПС, ТС, видеонаблюдения и СКУД, 1 шт")</f>
        <v>Техническое обслуживание средств ОС, ОПС, ТС, видеонаблюдения и СКУД, 1 шт</v>
      </c>
      <c r="G228" s="22" t="s">
        <v>100</v>
      </c>
      <c r="H228" s="22" t="s">
        <v>579</v>
      </c>
      <c r="I228" s="26">
        <v>43749.657569444404</v>
      </c>
      <c r="J228" s="28" t="s">
        <v>52</v>
      </c>
      <c r="K228" s="28" t="s">
        <v>52</v>
      </c>
      <c r="L228" s="28" t="s">
        <v>52</v>
      </c>
      <c r="M228" s="28" t="s">
        <v>52</v>
      </c>
      <c r="N228" s="28" t="s">
        <v>52</v>
      </c>
    </row>
    <row r="229" spans="1:14" x14ac:dyDescent="0.15">
      <c r="A229" s="23" t="str">
        <f>HYPERLINK("https://www.spark-marketing.ru/Card/Person/697", "В/Ч 28178")</f>
        <v>В/Ч 28178</v>
      </c>
      <c r="B229" s="24" t="s">
        <v>583</v>
      </c>
      <c r="C229" s="25">
        <v>91000</v>
      </c>
      <c r="D229" s="22" t="s">
        <v>584</v>
      </c>
      <c r="E229" s="22" t="s">
        <v>585</v>
      </c>
      <c r="F229" s="23" t="str">
        <f>HYPERLINK("https://www.spark-marketing.ru/Card/Lot/74296162", "оказание услуг по проведению экспертизы промышленной безопасности транспортных средств")</f>
        <v>оказание услуг по проведению экспертизы промышленной безопасности транспортных средств</v>
      </c>
      <c r="G229" s="22" t="s">
        <v>55</v>
      </c>
      <c r="H229" s="22" t="s">
        <v>55</v>
      </c>
      <c r="I229" s="26">
        <v>43749.629861111098</v>
      </c>
      <c r="J229" s="28" t="s">
        <v>52</v>
      </c>
      <c r="K229" s="28" t="s">
        <v>52</v>
      </c>
      <c r="L229" s="28" t="s">
        <v>52</v>
      </c>
      <c r="M229" s="28" t="s">
        <v>52</v>
      </c>
      <c r="N229" s="28" t="s">
        <v>52</v>
      </c>
    </row>
    <row r="230" spans="1:14" x14ac:dyDescent="0.15">
      <c r="A230" s="23" t="str">
        <f>HYPERLINK("https://www.spark-marketing.ru/Card/Person/9200", "ФГУП ""ПО ""МАЯК""")</f>
        <v>ФГУП "ПО "МАЯК"</v>
      </c>
      <c r="B230" s="24" t="s">
        <v>586</v>
      </c>
      <c r="C230" s="28" t="s">
        <v>52</v>
      </c>
      <c r="D230" s="22" t="s">
        <v>587</v>
      </c>
      <c r="E230" s="22" t="s">
        <v>491</v>
      </c>
      <c r="F230" s="23" t="str">
        <f>HYPERLINK("https://www.spark-marketing.ru/Card/Lot/74290984", "Техническое обслуживание прибора видеоизмерительного Mahr Vision MM 200/320 №208140-04")</f>
        <v>Техническое обслуживание прибора видеоизмерительного Mahr Vision MM 200/320 №208140-04</v>
      </c>
      <c r="G230" s="22" t="s">
        <v>60</v>
      </c>
      <c r="H230" s="22" t="s">
        <v>588</v>
      </c>
      <c r="I230" s="26">
        <v>43749.5696412037</v>
      </c>
      <c r="J230" s="28" t="s">
        <v>52</v>
      </c>
      <c r="K230" s="28" t="s">
        <v>52</v>
      </c>
      <c r="L230" s="28" t="s">
        <v>52</v>
      </c>
      <c r="M230" s="28" t="s">
        <v>52</v>
      </c>
      <c r="N230" s="28" t="s">
        <v>52</v>
      </c>
    </row>
    <row r="231" spans="1:14" x14ac:dyDescent="0.15">
      <c r="A231" s="23" t="str">
        <f>HYPERLINK("https://www.spark-marketing.ru/Card/Person/1026765", "МОУ-КЛЕМЕНТЬЕВСКАЯ СОШ")</f>
        <v>МОУ-КЛЕМЕНТЬЕВСКАЯ СОШ</v>
      </c>
      <c r="B231" s="24" t="s">
        <v>589</v>
      </c>
      <c r="C231" s="25">
        <v>54000</v>
      </c>
      <c r="D231" s="22" t="s">
        <v>590</v>
      </c>
      <c r="E231" s="22" t="s">
        <v>208</v>
      </c>
      <c r="F231" s="23" t="str">
        <f>HYPERLINK("https://www.spark-marketing.ru/Card/Lot/74283463", "Поставка и установка системы видеодомофона")</f>
        <v>Поставка и установка системы видеодомофона</v>
      </c>
      <c r="G231" s="22" t="s">
        <v>50</v>
      </c>
      <c r="H231" s="22" t="s">
        <v>399</v>
      </c>
      <c r="I231" s="26">
        <v>43749.514074074097</v>
      </c>
      <c r="J231" s="28" t="s">
        <v>52</v>
      </c>
      <c r="K231" s="28" t="s">
        <v>52</v>
      </c>
      <c r="L231" s="28" t="s">
        <v>52</v>
      </c>
      <c r="M231" s="28" t="s">
        <v>52</v>
      </c>
      <c r="N231" s="28" t="s">
        <v>52</v>
      </c>
    </row>
    <row r="232" spans="1:14" x14ac:dyDescent="0.15">
      <c r="A232" s="23" t="str">
        <f>HYPERLINK("https://www.spark-marketing.ru/Card/Person/6654357", "ДИРЕКЦИЯ ПО ЭКСПЛУАТАЦИИ ЗДАНИЙ И СООРУЖЕНИЙ – СТРУКТУРНОЕ ПОДРАЗДЕЛЕНИЕ ЗАПАДНО СИБИРСКОЙ ЖЕЛЕЗНОЙ ДОРОГИ – ФЛ ОАО РЖД")</f>
        <v>ДИРЕКЦИЯ ПО ЭКСПЛУАТАЦИИ ЗДАНИЙ И СООРУЖЕНИЙ – СТРУКТУРНОЕ ПОДРАЗДЕЛЕНИЕ ЗАПАДНО СИБИРСКОЙ ЖЕЛЕЗНОЙ ДОРОГИ – ФЛ ОАО РЖД</v>
      </c>
      <c r="B232" s="24" t="s">
        <v>163</v>
      </c>
      <c r="C232" s="25">
        <v>125710.08</v>
      </c>
      <c r="D232" s="28" t="s">
        <v>52</v>
      </c>
      <c r="E232" s="22" t="s">
        <v>591</v>
      </c>
      <c r="F232" s="23" t="str">
        <f>HYPERLINK("https://www.spark-marketing.ru/Card/Lot/74283317", "№29422 Оказание услуг по обеспечению пропускного режима на объекте ""Учебный центр УЦПК г. Новосибирск, ул.Владимировский спуск,2""")</f>
        <v>№29422 Оказание услуг по обеспечению пропускного режима на объекте "Учебный центр УЦПК г. Новосибирск, ул.Владимировский спуск,2"</v>
      </c>
      <c r="G232" s="22" t="s">
        <v>52</v>
      </c>
      <c r="H232" s="22" t="s">
        <v>52</v>
      </c>
      <c r="I232" s="26">
        <v>43749.520902777796</v>
      </c>
      <c r="J232" s="28" t="s">
        <v>52</v>
      </c>
      <c r="K232" s="28" t="s">
        <v>52</v>
      </c>
      <c r="L232" s="28" t="s">
        <v>52</v>
      </c>
      <c r="M232" s="28" t="s">
        <v>52</v>
      </c>
      <c r="N232" s="28" t="s">
        <v>52</v>
      </c>
    </row>
    <row r="233" spans="1:14" x14ac:dyDescent="0.15">
      <c r="A233" s="23" t="str">
        <f>HYPERLINK("https://www.spark-marketing.ru/Card/Person/9654", "ГБУ РД ""МАГАРАМКЕНТСКАЯ ЦРБ""")</f>
        <v>ГБУ РД "МАГАРАМКЕНТСКАЯ ЦРБ"</v>
      </c>
      <c r="B233" s="24" t="s">
        <v>592</v>
      </c>
      <c r="C233" s="25">
        <v>751415</v>
      </c>
      <c r="D233" s="22" t="s">
        <v>593</v>
      </c>
      <c r="E233" s="22" t="s">
        <v>594</v>
      </c>
      <c r="F233" s="23" t="str">
        <f>HYPERLINK("https://www.spark-marketing.ru/Card/Lot/74289024", "Поставка видеонаблюдения")</f>
        <v>Поставка видеонаблюдения</v>
      </c>
      <c r="G233" s="22" t="s">
        <v>595</v>
      </c>
      <c r="H233" s="22" t="s">
        <v>595</v>
      </c>
      <c r="I233" s="26">
        <v>43749.5222222222</v>
      </c>
      <c r="J233" s="28" t="s">
        <v>52</v>
      </c>
      <c r="K233" s="28" t="s">
        <v>52</v>
      </c>
      <c r="L233" s="28" t="s">
        <v>52</v>
      </c>
      <c r="M233" s="28" t="s">
        <v>52</v>
      </c>
      <c r="N233" s="28" t="s">
        <v>52</v>
      </c>
    </row>
    <row r="234" spans="1:14" x14ac:dyDescent="0.15">
      <c r="A234" s="23" t="str">
        <f>HYPERLINK("https://www.spark-marketing.ru/Card/Person/18410", "ГБУЗ ""ГП № 210 ДЗМ""")</f>
        <v>ГБУЗ "ГП № 210 ДЗМ"</v>
      </c>
      <c r="B234" s="24" t="s">
        <v>596</v>
      </c>
      <c r="C234" s="25">
        <v>265231.2</v>
      </c>
      <c r="D234" s="22" t="s">
        <v>597</v>
      </c>
      <c r="E234" s="22" t="s">
        <v>107</v>
      </c>
      <c r="F234" s="23" t="str">
        <f>HYPERLINK("https://www.spark-marketing.ru/Card/Lot/74284456", "Оказание услуг по техническому обслуживанию и мониторингу системы передачи тревожных сообщений ""БОПИ-04"" для нужд ГБУЗ ""ГП № 210 ДЗМ"" в 2020 году (Закупка осуществляется у субъектов малого предпринимательства и социально ориентированных некоммерч...")</f>
        <v>Оказание услуг по техническому обслуживанию и мониторингу системы передачи тревожных сообщений "БОПИ-04" для нужд ГБУЗ "ГП № 210 ДЗМ" в 2020 году (Закупка осуществляется у субъектов малого предпринимательства и социально ориентированных некоммерч...</v>
      </c>
      <c r="G234" s="22" t="s">
        <v>55</v>
      </c>
      <c r="H234" s="22" t="s">
        <v>55</v>
      </c>
      <c r="I234" s="26">
        <v>43749.447916666701</v>
      </c>
      <c r="J234" s="28" t="s">
        <v>52</v>
      </c>
      <c r="K234" s="28" t="s">
        <v>52</v>
      </c>
      <c r="L234" s="28" t="s">
        <v>52</v>
      </c>
      <c r="M234" s="28" t="s">
        <v>52</v>
      </c>
      <c r="N234" s="28" t="s">
        <v>52</v>
      </c>
    </row>
    <row r="235" spans="1:14" x14ac:dyDescent="0.15">
      <c r="A235" s="23" t="str">
        <f>HYPERLINK("https://www.spark-marketing.ru/Card/Person/1804440", "ФКУ ""НАЛОГ-СЕРВИС"" ФНС РОССИИ")</f>
        <v>ФКУ "НАЛОГ-СЕРВИС" ФНС РОССИИ</v>
      </c>
      <c r="B235" s="24" t="s">
        <v>90</v>
      </c>
      <c r="C235" s="25">
        <v>86798.28</v>
      </c>
      <c r="D235" s="22" t="s">
        <v>598</v>
      </c>
      <c r="E235" s="22" t="s">
        <v>53</v>
      </c>
      <c r="F235" s="23" t="str">
        <f>HYPERLINK("https://www.spark-marketing.ru/Card/Lot/74280423", "Услуги на централизованную охрану имущества, оборудованное техническими средствами охраны и элементами технической укрепленности")</f>
        <v>Услуги на централизованную охрану имущества, оборудованное техническими средствами охраны и элементами технической укрепленности</v>
      </c>
      <c r="G235" s="22" t="s">
        <v>50</v>
      </c>
      <c r="H235" s="22" t="s">
        <v>50</v>
      </c>
      <c r="I235" s="26">
        <v>43749.454733796301</v>
      </c>
      <c r="J235" s="28" t="s">
        <v>52</v>
      </c>
      <c r="K235" s="28" t="s">
        <v>52</v>
      </c>
      <c r="L235" s="28" t="s">
        <v>52</v>
      </c>
      <c r="M235" s="28" t="s">
        <v>52</v>
      </c>
      <c r="N235" s="28" t="s">
        <v>52</v>
      </c>
    </row>
    <row r="236" spans="1:14" x14ac:dyDescent="0.15">
      <c r="A236" s="23" t="str">
        <f>HYPERLINK("https://www.spark-marketing.ru/Card/Person/1804440", "ФКУ ""НАЛОГ-СЕРВИС"" ФНС РОССИИ")</f>
        <v>ФКУ "НАЛОГ-СЕРВИС" ФНС РОССИИ</v>
      </c>
      <c r="B236" s="24" t="s">
        <v>90</v>
      </c>
      <c r="C236" s="25">
        <v>86388</v>
      </c>
      <c r="D236" s="22" t="s">
        <v>599</v>
      </c>
      <c r="E236" s="22" t="s">
        <v>53</v>
      </c>
      <c r="F236" s="23" t="str">
        <f>HYPERLINK("https://www.spark-marketing.ru/Card/Lot/74280558", "Услуги на централизованную охрану имущества, оборудованное техническими средствами охраны и элементами технической укрепленности")</f>
        <v>Услуги на централизованную охрану имущества, оборудованное техническими средствами охраны и элементами технической укрепленности</v>
      </c>
      <c r="G236" s="22" t="s">
        <v>402</v>
      </c>
      <c r="H236" s="22" t="s">
        <v>403</v>
      </c>
      <c r="I236" s="26">
        <v>43749.447789351798</v>
      </c>
      <c r="J236" s="28" t="s">
        <v>52</v>
      </c>
      <c r="K236" s="28" t="s">
        <v>52</v>
      </c>
      <c r="L236" s="28" t="s">
        <v>52</v>
      </c>
      <c r="M236" s="28" t="s">
        <v>52</v>
      </c>
      <c r="N236" s="28" t="s">
        <v>52</v>
      </c>
    </row>
    <row r="237" spans="1:14" x14ac:dyDescent="0.15">
      <c r="A237" s="23" t="str">
        <f>HYPERLINK("https://www.spark-marketing.ru/Card/Person/4958", "ФКУ УПРДОР ""ЛЕНА""")</f>
        <v>ФКУ УПРДОР "ЛЕНА"</v>
      </c>
      <c r="B237" s="24" t="s">
        <v>600</v>
      </c>
      <c r="C237" s="25">
        <v>290000</v>
      </c>
      <c r="D237" s="22" t="s">
        <v>601</v>
      </c>
      <c r="E237" s="22" t="s">
        <v>294</v>
      </c>
      <c r="F237" s="23" t="str">
        <f>HYPERLINK("https://www.spark-marketing.ru/Card/Lot/74276531", "Tехническое обслуживание систем видеонаблюдения, 1 шт")</f>
        <v>Tехническое обслуживание систем видеонаблюдения, 1 шт</v>
      </c>
      <c r="G237" s="22" t="s">
        <v>424</v>
      </c>
      <c r="H237" s="22" t="s">
        <v>602</v>
      </c>
      <c r="I237" s="26">
        <v>43749.134606481501</v>
      </c>
      <c r="J237" s="28" t="s">
        <v>52</v>
      </c>
      <c r="K237" s="28" t="s">
        <v>52</v>
      </c>
      <c r="L237" s="28" t="s">
        <v>52</v>
      </c>
      <c r="M237" s="28" t="s">
        <v>52</v>
      </c>
      <c r="N237" s="28" t="s">
        <v>52</v>
      </c>
    </row>
    <row r="238" spans="1:14" x14ac:dyDescent="0.15">
      <c r="A238" s="23" t="str">
        <f>HYPERLINK("https://www.spark-marketing.ru/Card/Person/4958", "ФКУ УПРДОР ""ЛЕНА""")</f>
        <v>ФКУ УПРДОР "ЛЕНА"</v>
      </c>
      <c r="B238" s="24" t="s">
        <v>600</v>
      </c>
      <c r="C238" s="25">
        <v>219088</v>
      </c>
      <c r="D238" s="22" t="s">
        <v>603</v>
      </c>
      <c r="E238" s="22" t="s">
        <v>294</v>
      </c>
      <c r="F238" s="23" t="str">
        <f>HYPERLINK("https://www.spark-marketing.ru/Card/Lot/74276524", "Tехническое обслуживание систем видеонаблюдения, 1 шт")</f>
        <v>Tехническое обслуживание систем видеонаблюдения, 1 шт</v>
      </c>
      <c r="G238" s="22" t="s">
        <v>424</v>
      </c>
      <c r="H238" s="22" t="s">
        <v>602</v>
      </c>
      <c r="I238" s="26">
        <v>43749.131990740701</v>
      </c>
      <c r="J238" s="28" t="s">
        <v>52</v>
      </c>
      <c r="K238" s="28" t="s">
        <v>52</v>
      </c>
      <c r="L238" s="28" t="s">
        <v>52</v>
      </c>
      <c r="M238" s="28" t="s">
        <v>52</v>
      </c>
      <c r="N238" s="28" t="s">
        <v>52</v>
      </c>
    </row>
    <row r="239" spans="1:14" x14ac:dyDescent="0.15">
      <c r="A239" s="23" t="str">
        <f>HYPERLINK("https://www.spark-marketing.ru/Card/Person/4413943", "ООО""ГАЗПРОМ ЦЕНТРРЕМОНТ""")</f>
        <v>ООО"ГАЗПРОМ ЦЕНТРРЕМОНТ"</v>
      </c>
      <c r="B239" s="24" t="s">
        <v>604</v>
      </c>
      <c r="C239" s="25">
        <v>19156070</v>
      </c>
      <c r="D239" s="22" t="s">
        <v>605</v>
      </c>
      <c r="E239" s="22" t="s">
        <v>606</v>
      </c>
      <c r="F239" s="23" t="str">
        <f>HYPERLINK("https://www.spark-marketing.ru/Card/Lot/74285691", "Выполнение работ по оснащению инженерно-техническими средствами охраны объектов КЦ №2 КС-27 «Балашов» в составе стройки «Реконструкция газопровода «Уренгой - Новопсков» на участке «Петровск - Писаревка» к началу поставок газа по газопроводу «Южный по...")</f>
        <v>Выполнение работ по оснащению инженерно-техническими средствами охраны объектов КЦ №2 КС-27 «Балашов» в составе стройки «Реконструкция газопровода «Уренгой - Новопсков» на участке «Петровск - Писаревка» к началу поставок газа по газопроводу «Южный по...</v>
      </c>
      <c r="G239" s="22" t="s">
        <v>50</v>
      </c>
      <c r="H239" s="22" t="s">
        <v>458</v>
      </c>
      <c r="I239" s="26">
        <v>43749</v>
      </c>
      <c r="J239" s="28" t="s">
        <v>52</v>
      </c>
      <c r="K239" s="28" t="s">
        <v>52</v>
      </c>
      <c r="L239" s="22" t="s">
        <v>10</v>
      </c>
      <c r="M239" s="28" t="s">
        <v>52</v>
      </c>
      <c r="N239" s="28" t="s">
        <v>52</v>
      </c>
    </row>
    <row r="240" spans="1:14" x14ac:dyDescent="0.15">
      <c r="A240" s="23" t="str">
        <f>HYPERLINK("https://www.spark-marketing.ru/Card/Person/11011", "ТУ-4 СЕВЕРО-ЗАПАДНОГО ФИЛИАЛА ОАО ""РОСТЕЛЕКОМ""")</f>
        <v>ТУ-4 СЕВЕРО-ЗАПАДНОГО ФИЛИАЛА ОАО "РОСТЕЛЕКОМ"</v>
      </c>
      <c r="B240" s="24" t="s">
        <v>607</v>
      </c>
      <c r="C240" s="28" t="s">
        <v>52</v>
      </c>
      <c r="D240" s="22" t="s">
        <v>608</v>
      </c>
      <c r="E240" s="22" t="s">
        <v>609</v>
      </c>
      <c r="F240" s="23" t="str">
        <f>HYPERLINK("https://www.spark-marketing.ru/Card/Lot/74291816", "Модернизации технических систем охраны (ТСО) на объектах МРФ «Центр» ПАО «Ростелеком»")</f>
        <v>Модернизации технических систем охраны (ТСО) на объектах МРФ «Центр» ПАО «Ростелеком»</v>
      </c>
      <c r="G240" s="22" t="s">
        <v>89</v>
      </c>
      <c r="H240" s="22" t="s">
        <v>89</v>
      </c>
      <c r="I240" s="26">
        <v>43749.6234722222</v>
      </c>
      <c r="J240" s="28" t="s">
        <v>52</v>
      </c>
      <c r="K240" s="28" t="s">
        <v>52</v>
      </c>
      <c r="L240" s="28" t="s">
        <v>52</v>
      </c>
      <c r="M240" s="28" t="s">
        <v>52</v>
      </c>
      <c r="N240" s="28" t="s">
        <v>52</v>
      </c>
    </row>
    <row r="241" spans="1:14" x14ac:dyDescent="0.15">
      <c r="A241" s="23" t="str">
        <f>HYPERLINK("https://www.spark-marketing.ru/Card/Person/11557", "Макрорегиональный филиал ""Центр"" ПАО ""Ростелеком""")</f>
        <v>Макрорегиональный филиал "Центр" ПАО "Ростелеком"</v>
      </c>
      <c r="B241" s="24" t="s">
        <v>607</v>
      </c>
      <c r="C241" s="25">
        <v>0</v>
      </c>
      <c r="D241" s="22" t="s">
        <v>610</v>
      </c>
      <c r="E241" s="22" t="s">
        <v>53</v>
      </c>
      <c r="F241" s="23" t="str">
        <f>HYPERLINK("https://www.spark-marketing.ru/Card/Lot/74299810", "модернизации технических систем охраны (ТСО) на объектах МРФ «Центр» ПАО «Ростелеком»")</f>
        <v>модернизации технических систем охраны (ТСО) на объектах МРФ «Центр» ПАО «Ростелеком»</v>
      </c>
      <c r="G241" s="22" t="s">
        <v>89</v>
      </c>
      <c r="H241" s="22" t="s">
        <v>89</v>
      </c>
      <c r="I241" s="26">
        <v>43749</v>
      </c>
      <c r="J241" s="28" t="s">
        <v>52</v>
      </c>
      <c r="K241" s="28" t="s">
        <v>52</v>
      </c>
      <c r="L241" s="28" t="s">
        <v>52</v>
      </c>
      <c r="M241" s="28" t="s">
        <v>52</v>
      </c>
      <c r="N241" s="28" t="s">
        <v>52</v>
      </c>
    </row>
    <row r="242" spans="1:14" x14ac:dyDescent="0.15">
      <c r="A242" s="23" t="str">
        <f>HYPERLINK("https://www.spark-marketing.ru/Card/Person/4348435", "ООО ""ТД ПОЛИМЕТАЛЛ""")</f>
        <v>ООО "ТД ПОЛИМЕТАЛЛ"</v>
      </c>
      <c r="B242" s="24" t="s">
        <v>374</v>
      </c>
      <c r="C242" s="25">
        <v>0</v>
      </c>
      <c r="D242" s="22" t="s">
        <v>611</v>
      </c>
      <c r="E242" s="22" t="s">
        <v>612</v>
      </c>
      <c r="F242" s="23" t="str">
        <f>HYPERLINK("https://www.spark-marketing.ru/Card/Lot/74292705", "Журнал учета приема сдачи объектов под охрану на КПП")</f>
        <v>Журнал учета приема сдачи объектов под охрану на КПП</v>
      </c>
      <c r="G242" s="22" t="s">
        <v>89</v>
      </c>
      <c r="H242" s="22" t="s">
        <v>89</v>
      </c>
      <c r="I242" s="26">
        <v>43749.611087963</v>
      </c>
      <c r="J242" s="28" t="s">
        <v>52</v>
      </c>
      <c r="K242" s="28" t="s">
        <v>52</v>
      </c>
      <c r="L242" s="28" t="s">
        <v>52</v>
      </c>
      <c r="M242" s="28" t="s">
        <v>52</v>
      </c>
      <c r="N242" s="28" t="s">
        <v>52</v>
      </c>
    </row>
    <row r="243" spans="1:14" x14ac:dyDescent="0.15">
      <c r="A243" s="23" t="str">
        <f>HYPERLINK("https://www.spark-marketing.ru/Card/Person/1761832", "ОАО ""РЫНОЧНЫЙ КОМПЛЕКС ""ЦАРИЦЫНСКИЙ""")</f>
        <v>ОАО "РЫНОЧНЫЙ КОМПЛЕКС "ЦАРИЦЫНСКИЙ"</v>
      </c>
      <c r="B243" s="24" t="s">
        <v>613</v>
      </c>
      <c r="C243" s="25">
        <v>293832</v>
      </c>
      <c r="D243" s="22" t="s">
        <v>614</v>
      </c>
      <c r="E243" s="22" t="s">
        <v>615</v>
      </c>
      <c r="F243" s="23" t="str">
        <f>HYPERLINK("https://www.spark-marketing.ru/Card/Lot/74285212", "оказание услуг по охране объекта")</f>
        <v>оказание услуг по охране объекта</v>
      </c>
      <c r="G243" s="22" t="s">
        <v>55</v>
      </c>
      <c r="H243" s="22" t="s">
        <v>55</v>
      </c>
      <c r="I243" s="26">
        <v>43749</v>
      </c>
      <c r="J243" s="28" t="s">
        <v>52</v>
      </c>
      <c r="K243" s="28" t="s">
        <v>52</v>
      </c>
      <c r="L243" s="28" t="s">
        <v>52</v>
      </c>
      <c r="M243" s="28" t="s">
        <v>52</v>
      </c>
      <c r="N243" s="28" t="s">
        <v>52</v>
      </c>
    </row>
    <row r="244" spans="1:14" x14ac:dyDescent="0.15">
      <c r="A244" s="23" t="str">
        <f>HYPERLINK("https://www.spark-marketing.ru/Card/Person/33291", "ООО ""Т2 МОБАЙЛ""")</f>
        <v>ООО "Т2 МОБАЙЛ"</v>
      </c>
      <c r="B244" s="24" t="s">
        <v>616</v>
      </c>
      <c r="C244" s="25">
        <v>0</v>
      </c>
      <c r="D244" s="22" t="s">
        <v>617</v>
      </c>
      <c r="E244" s="22" t="s">
        <v>618</v>
      </c>
      <c r="F244" s="23" t="str">
        <f>HYPERLINK("https://www.spark-marketing.ru/Card/Lot/74295806", "Документальное сопровождение процесса обеспечения объектов связи Теle2 электроэнергией")</f>
        <v>Документальное сопровождение процесса обеспечения объектов связи Теle2 электроэнергией</v>
      </c>
      <c r="G244" s="22" t="s">
        <v>55</v>
      </c>
      <c r="H244" s="22" t="s">
        <v>55</v>
      </c>
      <c r="I244" s="26">
        <v>43749.684548611098</v>
      </c>
      <c r="J244" s="28" t="s">
        <v>52</v>
      </c>
      <c r="K244" s="28" t="s">
        <v>52</v>
      </c>
      <c r="L244" s="28" t="s">
        <v>52</v>
      </c>
      <c r="M244" s="28" t="s">
        <v>52</v>
      </c>
      <c r="N244" s="28" t="s">
        <v>52</v>
      </c>
    </row>
    <row r="245" spans="1:14" x14ac:dyDescent="0.15">
      <c r="A245" s="23" t="str">
        <f>HYPERLINK("https://www.spark-marketing.ru/Card/Person/4386454", "АО ""МКЖД""")</f>
        <v>АО "МКЖД"</v>
      </c>
      <c r="B245" s="24" t="s">
        <v>619</v>
      </c>
      <c r="C245" s="25">
        <v>149976358.25999999</v>
      </c>
      <c r="D245" s="22" t="s">
        <v>620</v>
      </c>
      <c r="E245" s="22" t="s">
        <v>621</v>
      </c>
      <c r="F245" s="23" t="str">
        <f>HYPERLINK("https://www.spark-marketing.ru/Card/Lot/74264428", "Выполнение работ в рамках реализации мероприятий по улучшению обслуживания пассажиров на объектах капитального строительства технологической части ТПУ АО ""МКЖД"" на Московском центральном кольце в части транспортной безопасности и мероприятий по улу...")</f>
        <v>Выполнение работ в рамках реализации мероприятий по улучшению обслуживания пассажиров на объектах капитального строительства технологической части ТПУ АО "МКЖД" на Московском центральном кольце в части транспортной безопасности и мероприятий по улу...</v>
      </c>
      <c r="G245" s="22" t="s">
        <v>55</v>
      </c>
      <c r="H245" s="22" t="s">
        <v>55</v>
      </c>
      <c r="I245" s="26">
        <v>43748</v>
      </c>
      <c r="J245" s="28" t="s">
        <v>52</v>
      </c>
      <c r="K245" s="28" t="s">
        <v>52</v>
      </c>
      <c r="L245" s="28" t="s">
        <v>52</v>
      </c>
      <c r="M245" s="28" t="s">
        <v>52</v>
      </c>
      <c r="N245" s="28" t="s">
        <v>52</v>
      </c>
    </row>
    <row r="246" spans="1:14" x14ac:dyDescent="0.15">
      <c r="A246" s="23" t="str">
        <f>HYPERLINK("https://www.spark-marketing.ru/Card/Person/4385453", "ООО ""ГАЗПРОМ МЕЖРЕГИОНГАЗ КЕМЕРОВО""")</f>
        <v>ООО "ГАЗПРОМ МЕЖРЕГИОНГАЗ КЕМЕРОВО"</v>
      </c>
      <c r="B246" s="24" t="s">
        <v>622</v>
      </c>
      <c r="C246" s="25">
        <v>1235136.8</v>
      </c>
      <c r="D246" s="22" t="s">
        <v>623</v>
      </c>
      <c r="E246" s="22" t="s">
        <v>165</v>
      </c>
      <c r="F246" s="23" t="str">
        <f>HYPERLINK("https://www.spark-marketing.ru/Card/Lot/74282489", "Техническое сопровождение и эксплуатация СЗИ ЕИТП")</f>
        <v>Техническое сопровождение и эксплуатация СЗИ ЕИТП</v>
      </c>
      <c r="G246" s="22" t="s">
        <v>367</v>
      </c>
      <c r="H246" s="22" t="s">
        <v>367</v>
      </c>
      <c r="I246" s="26">
        <v>43749</v>
      </c>
      <c r="J246" s="28" t="s">
        <v>52</v>
      </c>
      <c r="K246" s="28" t="s">
        <v>52</v>
      </c>
      <c r="L246" s="28" t="s">
        <v>52</v>
      </c>
      <c r="M246" s="28" t="s">
        <v>52</v>
      </c>
      <c r="N246" s="28" t="s">
        <v>52</v>
      </c>
    </row>
    <row r="247" spans="1:14" x14ac:dyDescent="0.15">
      <c r="A247" s="23" t="str">
        <f>HYPERLINK("https://www.spark-marketing.ru/Card/Person/3509669", "БАНК РОССИИ")</f>
        <v>БАНК РОССИИ</v>
      </c>
      <c r="B247" s="24" t="s">
        <v>624</v>
      </c>
      <c r="C247" s="25">
        <v>2051655.96</v>
      </c>
      <c r="D247" s="22" t="s">
        <v>625</v>
      </c>
      <c r="E247" s="22" t="s">
        <v>53</v>
      </c>
      <c r="F247" s="23" t="str">
        <f>HYPERLINK("https://www.spark-marketing.ru/Card/Lot/74269137", "Выполнение работ по переносу системы аудио и видео сопровождения коллективных мероприятий в служебном здании ГУ Банка России по Курганской области по ул. Ленина, д. 36, зал заседаний, на новое место установки по адресу: 640002, г. Курган, ул. Климова...")</f>
        <v>Выполнение работ по переносу системы аудио и видео сопровождения коллективных мероприятий в служебном здании ГУ Банка России по Курганской области по ул. Ленина, д. 36, зал заседаний, на новое место установки по адресу: 640002, г. Курган, ул. Климова...</v>
      </c>
      <c r="G247" s="22" t="s">
        <v>626</v>
      </c>
      <c r="H247" s="22" t="s">
        <v>626</v>
      </c>
      <c r="I247" s="26">
        <v>43748.730555555601</v>
      </c>
      <c r="J247" s="28" t="s">
        <v>52</v>
      </c>
      <c r="K247" s="28" t="s">
        <v>52</v>
      </c>
      <c r="L247" s="28" t="s">
        <v>52</v>
      </c>
      <c r="M247" s="28" t="s">
        <v>52</v>
      </c>
      <c r="N247" s="28" t="s">
        <v>52</v>
      </c>
    </row>
    <row r="248" spans="1:14" x14ac:dyDescent="0.15">
      <c r="A248" s="23" t="str">
        <f>HYPERLINK("https://www.spark-marketing.ru/Card/Person/118993", "ГБУ ДО ""ЦДО ЛО""")</f>
        <v>ГБУ ДО "ЦДО ЛО"</v>
      </c>
      <c r="B248" s="24" t="s">
        <v>627</v>
      </c>
      <c r="C248" s="25">
        <v>226450.3</v>
      </c>
      <c r="D248" s="22" t="s">
        <v>628</v>
      </c>
      <c r="E248" s="22" t="s">
        <v>49</v>
      </c>
      <c r="F248" s="23" t="str">
        <f>HYPERLINK("https://www.spark-marketing.ru/Card/Lot/74279291", "Установка камер видеонаблюдения")</f>
        <v>Установка камер видеонаблюдения</v>
      </c>
      <c r="G248" s="22" t="s">
        <v>629</v>
      </c>
      <c r="H248" s="22" t="s">
        <v>629</v>
      </c>
      <c r="I248" s="26">
        <v>43749</v>
      </c>
      <c r="J248" s="28" t="s">
        <v>52</v>
      </c>
      <c r="K248" s="28" t="s">
        <v>52</v>
      </c>
      <c r="L248" s="28" t="s">
        <v>52</v>
      </c>
      <c r="M248" s="28" t="s">
        <v>52</v>
      </c>
      <c r="N248" s="28" t="s">
        <v>52</v>
      </c>
    </row>
    <row r="249" spans="1:14" x14ac:dyDescent="0.15">
      <c r="A249" s="23" t="str">
        <f>HYPERLINK("https://www.spark-marketing.ru/Card/Person/10991", "ПАО ""РОСТЕЛЕКОМ""")</f>
        <v>ПАО "РОСТЕЛЕКОМ"</v>
      </c>
      <c r="B249" s="24" t="s">
        <v>607</v>
      </c>
      <c r="C249" s="25">
        <v>2804400</v>
      </c>
      <c r="D249" s="22" t="s">
        <v>630</v>
      </c>
      <c r="E249" s="22" t="s">
        <v>562</v>
      </c>
      <c r="F249" s="23" t="str">
        <f>HYPERLINK("https://www.spark-marketing.ru/Card/Lot/74292374", "Услуги по Техническому сопровождению объекта энергосервиса: система уличного освещения города Белая Калитва Ростовской области")</f>
        <v>Услуги по Техническому сопровождению объекта энергосервиса: система уличного освещения города Белая Калитва Ростовской области</v>
      </c>
      <c r="G249" s="22" t="s">
        <v>402</v>
      </c>
      <c r="H249" s="22" t="s">
        <v>631</v>
      </c>
      <c r="I249" s="26">
        <v>43749</v>
      </c>
      <c r="J249" s="28" t="s">
        <v>52</v>
      </c>
      <c r="K249" s="28" t="s">
        <v>52</v>
      </c>
      <c r="L249" s="28" t="s">
        <v>52</v>
      </c>
      <c r="M249" s="28" t="s">
        <v>52</v>
      </c>
      <c r="N249" s="28" t="s">
        <v>52</v>
      </c>
    </row>
    <row r="250" spans="1:14" x14ac:dyDescent="0.15">
      <c r="A250" s="23" t="str">
        <f>HYPERLINK("https://www.spark-marketing.ru/Card/Person/4813", "УПРАВЛЕНИЕ ДЕЛАМИ ГУБЕРНАТОРА МОСКОВСКОЙ ОБЛАСТИ И ПРАВИТЕЛЬСТВА МОСКОВСКОЙ ОБЛАСТИ")</f>
        <v>УПРАВЛЕНИЕ ДЕЛАМИ ГУБЕРНАТОРА МОСКОВСКОЙ ОБЛАСТИ И ПРАВИТЕЛЬСТВА МОСКОВСКОЙ ОБЛАСТИ</v>
      </c>
      <c r="B250" s="24" t="s">
        <v>632</v>
      </c>
      <c r="C250" s="25">
        <v>10274426.82</v>
      </c>
      <c r="D250" s="22" t="s">
        <v>633</v>
      </c>
      <c r="E250" s="22" t="s">
        <v>68</v>
      </c>
      <c r="F250" s="23" t="str">
        <f>HYPERLINK("https://www.spark-marketing.ru/Card/Lot/74275995", "Оказание услуг по охране объекта и имущества высшего должностного лица Московской области, обеспечению внутриобъектового и пропускного режимов на объекте охраны")</f>
        <v>Оказание услуг по охране объекта и имущества высшего должностного лица Московской области, обеспечению внутриобъектового и пропускного режимов на объекте охраны</v>
      </c>
      <c r="G250" s="22" t="s">
        <v>50</v>
      </c>
      <c r="H250" s="22" t="s">
        <v>51</v>
      </c>
      <c r="I250" s="26">
        <v>43748.53125</v>
      </c>
      <c r="J250" s="28" t="s">
        <v>52</v>
      </c>
      <c r="K250" s="28" t="s">
        <v>52</v>
      </c>
      <c r="L250" s="28" t="s">
        <v>52</v>
      </c>
      <c r="M250" s="28" t="s">
        <v>52</v>
      </c>
      <c r="N250" s="28" t="s">
        <v>52</v>
      </c>
    </row>
    <row r="251" spans="1:14" x14ac:dyDescent="0.15">
      <c r="A251" s="28" t="s">
        <v>52</v>
      </c>
      <c r="B251" s="28" t="s">
        <v>52</v>
      </c>
      <c r="C251" s="28" t="s">
        <v>52</v>
      </c>
      <c r="D251" s="22" t="s">
        <v>634</v>
      </c>
      <c r="E251" s="22" t="s">
        <v>53</v>
      </c>
      <c r="F251" s="23" t="str">
        <f>HYPERLINK("https://www.spark-marketing.ru/Card/Lot/74270376", "Беспроводной передатчик DOMONIAL-DET8M-RU и другое (169 шт)")</f>
        <v>Беспроводной передатчик DOMONIAL-DET8M-RU и другое (169 шт)</v>
      </c>
      <c r="G251" s="22" t="s">
        <v>55</v>
      </c>
      <c r="H251" s="22" t="s">
        <v>55</v>
      </c>
      <c r="I251" s="26">
        <v>43748.774849537003</v>
      </c>
      <c r="J251" s="23" t="str">
        <f>HYPERLINK("https://www.spark-marketing.ru/Card/Person/35401", "ПАО МГТС")</f>
        <v>ПАО МГТС</v>
      </c>
      <c r="K251" s="24" t="s">
        <v>56</v>
      </c>
      <c r="L251" s="28" t="s">
        <v>52</v>
      </c>
      <c r="M251" s="25">
        <v>407375</v>
      </c>
      <c r="N251" s="28" t="s">
        <v>52</v>
      </c>
    </row>
    <row r="252" spans="1:14" x14ac:dyDescent="0.15">
      <c r="A252" s="23" t="str">
        <f>HYPERLINK("https://www.spark-marketing.ru/Card/Person/1072872", "ГКУ ЦЗН ПАВЛОВСКОГО РАЙОНА")</f>
        <v>ГКУ ЦЗН ПАВЛОВСКОГО РАЙОНА</v>
      </c>
      <c r="B252" s="24" t="s">
        <v>635</v>
      </c>
      <c r="C252" s="25">
        <v>2139490</v>
      </c>
      <c r="D252" s="22" t="s">
        <v>636</v>
      </c>
      <c r="E252" s="22" t="s">
        <v>59</v>
      </c>
      <c r="F252" s="23" t="str">
        <f>HYPERLINK("https://www.spark-marketing.ru/Card/Lot/74275466", "Поставка и установка: информационной системы ""Электронная очередь"", системы видеонаблюдения, пусконаладочные работы в рамках реализации национального проекта «Производительность труда и поддержка занятости» ГКУ ЦЗН Павловского района")</f>
        <v>Поставка и установка: информационной системы "Электронная очередь", системы видеонаблюдения, пусконаладочные работы в рамках реализации национального проекта «Производительность труда и поддержка занятости» ГКУ ЦЗН Павловского района</v>
      </c>
      <c r="G252" s="22" t="s">
        <v>64</v>
      </c>
      <c r="H252" s="22" t="s">
        <v>64</v>
      </c>
      <c r="I252" s="26">
        <v>43748.754861111098</v>
      </c>
      <c r="J252" s="28" t="s">
        <v>52</v>
      </c>
      <c r="K252" s="28" t="s">
        <v>52</v>
      </c>
      <c r="L252" s="28" t="s">
        <v>52</v>
      </c>
      <c r="M252" s="28" t="s">
        <v>52</v>
      </c>
      <c r="N252" s="28" t="s">
        <v>52</v>
      </c>
    </row>
    <row r="253" spans="1:14" x14ac:dyDescent="0.15">
      <c r="A253" s="23" t="str">
        <f>HYPERLINK("https://www.spark-marketing.ru/Card/Person/6450322", "ЗАКАЗЧИК РП БЕЛАРУСЬ")</f>
        <v>ЗАКАЗЧИК РП БЕЛАРУСЬ</v>
      </c>
      <c r="B253" s="28" t="s">
        <v>52</v>
      </c>
      <c r="C253" s="28" t="s">
        <v>52</v>
      </c>
      <c r="D253" s="22" t="s">
        <v>637</v>
      </c>
      <c r="E253" s="22" t="s">
        <v>53</v>
      </c>
      <c r="F253" s="23" t="str">
        <f>HYPERLINK("https://www.spark-marketing.ru/Card/Lot/74266341", "Закупка посадочного материала на объект: «Озеленение, воспроизводство объектов растительного мира, проведение мероприятий, направленных на охрану и защиту объектов растительного мира (посадочный материал для питомника)».")</f>
        <v>Закупка посадочного материала на объект: «Озеленение, воспроизводство объектов растительного мира, проведение мероприятий, направленных на охрану и защиту объектов растительного мира (посадочный материал для питомника)».</v>
      </c>
      <c r="G253" s="22" t="s">
        <v>52</v>
      </c>
      <c r="H253" s="22" t="s">
        <v>52</v>
      </c>
      <c r="I253" s="26">
        <v>43748</v>
      </c>
      <c r="J253" s="28" t="s">
        <v>52</v>
      </c>
      <c r="K253" s="28" t="s">
        <v>52</v>
      </c>
      <c r="L253" s="28" t="s">
        <v>52</v>
      </c>
      <c r="M253" s="28" t="s">
        <v>52</v>
      </c>
      <c r="N253" s="28" t="s">
        <v>52</v>
      </c>
    </row>
    <row r="254" spans="1:14" x14ac:dyDescent="0.15">
      <c r="A254" s="23" t="str">
        <f>HYPERLINK("https://www.spark-marketing.ru/Card/Person/33666", "КГКУ ""ЦЗН Г.НОРИЛЬСКА""")</f>
        <v>КГКУ "ЦЗН Г.НОРИЛЬСКА"</v>
      </c>
      <c r="B254" s="24" t="s">
        <v>638</v>
      </c>
      <c r="C254" s="25">
        <v>486376.8</v>
      </c>
      <c r="D254" s="22" t="s">
        <v>639</v>
      </c>
      <c r="E254" s="22" t="s">
        <v>52</v>
      </c>
      <c r="F254" s="23" t="str">
        <f>HYPERLINK("https://www.spark-marketing.ru/Card/Lot/74273880", "Оказание услуг по охране объекта и внутриобъектового порядка на нем в 2020 году (1 полугодие)")</f>
        <v>Оказание услуг по охране объекта и внутриобъектового порядка на нем в 2020 году (1 полугодие)</v>
      </c>
      <c r="G254" s="22" t="s">
        <v>640</v>
      </c>
      <c r="H254" s="22" t="s">
        <v>640</v>
      </c>
      <c r="I254" s="26">
        <v>43748.739583333299</v>
      </c>
      <c r="J254" s="28" t="s">
        <v>52</v>
      </c>
      <c r="K254" s="28" t="s">
        <v>52</v>
      </c>
      <c r="L254" s="28" t="s">
        <v>52</v>
      </c>
      <c r="M254" s="28" t="s">
        <v>52</v>
      </c>
      <c r="N254" s="28" t="s">
        <v>52</v>
      </c>
    </row>
    <row r="255" spans="1:14" x14ac:dyDescent="0.15">
      <c r="A255" s="23" t="str">
        <f>HYPERLINK("https://www.spark-marketing.ru/Card/Person/33666", "КГКУ ""ЦЗН Г.НОРИЛЬСКА""")</f>
        <v>КГКУ "ЦЗН Г.НОРИЛЬСКА"</v>
      </c>
      <c r="B255" s="24" t="s">
        <v>638</v>
      </c>
      <c r="C255" s="25">
        <v>491721.6</v>
      </c>
      <c r="D255" s="22" t="s">
        <v>641</v>
      </c>
      <c r="E255" s="22" t="s">
        <v>52</v>
      </c>
      <c r="F255" s="23" t="str">
        <f>HYPERLINK("https://www.spark-marketing.ru/Card/Lot/74273884", "Оказание услуг по охране объекта и внутриобъектового порядка на нем в 2020 году (2 полугодие)")</f>
        <v>Оказание услуг по охране объекта и внутриобъектового порядка на нем в 2020 году (2 полугодие)</v>
      </c>
      <c r="G255" s="22" t="s">
        <v>640</v>
      </c>
      <c r="H255" s="22" t="s">
        <v>640</v>
      </c>
      <c r="I255" s="26">
        <v>43748.572916666701</v>
      </c>
      <c r="J255" s="28" t="s">
        <v>52</v>
      </c>
      <c r="K255" s="28" t="s">
        <v>52</v>
      </c>
      <c r="L255" s="28" t="s">
        <v>52</v>
      </c>
      <c r="M255" s="28" t="s">
        <v>52</v>
      </c>
      <c r="N255" s="28" t="s">
        <v>52</v>
      </c>
    </row>
    <row r="256" spans="1:14" x14ac:dyDescent="0.15">
      <c r="A256" s="23" t="str">
        <f>HYPERLINK("https://www.spark-marketing.ru/Card/Person/4596", "МКУ ""ДИСОТИ""")</f>
        <v>МКУ "ДИСОТИ"</v>
      </c>
      <c r="B256" s="24" t="s">
        <v>642</v>
      </c>
      <c r="C256" s="25">
        <v>2920528</v>
      </c>
      <c r="D256" s="22" t="s">
        <v>643</v>
      </c>
      <c r="E256" s="22" t="s">
        <v>68</v>
      </c>
      <c r="F256" s="23" t="str">
        <f>HYPERLINK("https://www.spark-marketing.ru/Card/Lot/74275642", "Оказание услуг на охрану объектов транспортной инфраструктуры от противоправных посягательств, включающую в себя защиту объектов транспортной инфраструктуры от актов незаконного вмешательства на виадуке по ул. Сарьяна через р. Кизитеринка; Магистраль...")</f>
        <v>Оказание услуг на охрану объектов транспортной инфраструктуры от противоправных посягательств, включающую в себя защиту объектов транспортной инфраструктуры от актов незаконного вмешательства на виадуке по ул. Сарьяна через р. Кизитеринка; Магистраль...</v>
      </c>
      <c r="G256" s="22" t="s">
        <v>402</v>
      </c>
      <c r="H256" s="22" t="s">
        <v>403</v>
      </c>
      <c r="I256" s="26">
        <v>43748.711805555598</v>
      </c>
      <c r="J256" s="28" t="s">
        <v>52</v>
      </c>
      <c r="K256" s="28" t="s">
        <v>52</v>
      </c>
      <c r="L256" s="28" t="s">
        <v>52</v>
      </c>
      <c r="M256" s="28" t="s">
        <v>52</v>
      </c>
      <c r="N256" s="28" t="s">
        <v>52</v>
      </c>
    </row>
    <row r="257" spans="1:14" x14ac:dyDescent="0.15">
      <c r="A257" s="23" t="str">
        <f>HYPERLINK("https://www.spark-marketing.ru/Card/Person/34197", "ГКУСО МО ""СЕРГИЕВО-ПОСАДСКИЙ СРЦН""")</f>
        <v>ГКУСО МО "СЕРГИЕВО-ПОСАДСКИЙ СРЦН"</v>
      </c>
      <c r="B257" s="24" t="s">
        <v>644</v>
      </c>
      <c r="C257" s="25">
        <v>380328.05</v>
      </c>
      <c r="D257" s="22" t="s">
        <v>645</v>
      </c>
      <c r="E257" s="22" t="s">
        <v>84</v>
      </c>
      <c r="F257" s="23" t="str">
        <f>HYPERLINK("https://www.spark-marketing.ru/Card/Lot/74273515", "Работы по установке системы внутреннего видеонаблюдения по трем адресам")</f>
        <v>Работы по установке системы внутреннего видеонаблюдения по трем адресам</v>
      </c>
      <c r="G257" s="22" t="s">
        <v>50</v>
      </c>
      <c r="H257" s="22" t="s">
        <v>326</v>
      </c>
      <c r="I257" s="26">
        <v>43748.722222222197</v>
      </c>
      <c r="J257" s="28" t="s">
        <v>52</v>
      </c>
      <c r="K257" s="28" t="s">
        <v>52</v>
      </c>
      <c r="L257" s="28" t="s">
        <v>52</v>
      </c>
      <c r="M257" s="28" t="s">
        <v>52</v>
      </c>
      <c r="N257" s="28" t="s">
        <v>52</v>
      </c>
    </row>
    <row r="258" spans="1:14" x14ac:dyDescent="0.15">
      <c r="A258" s="23" t="str">
        <f>HYPERLINK("https://www.spark-marketing.ru/Card/Person/9633", "МИНСТРОЙ ИНГУШЕТИИ")</f>
        <v>МИНСТРОЙ ИНГУШЕТИИ</v>
      </c>
      <c r="B258" s="24" t="s">
        <v>646</v>
      </c>
      <c r="C258" s="25">
        <v>2022540</v>
      </c>
      <c r="D258" s="22" t="s">
        <v>647</v>
      </c>
      <c r="E258" s="22" t="s">
        <v>218</v>
      </c>
      <c r="F258" s="23" t="str">
        <f>HYPERLINK("https://www.spark-marketing.ru/Card/Lot/74275293", "Оказание услуг по строительному контролю и техническому сопровождению работ по объекту «Строительство детского сада на 220 мест в с.п. Гамурзиево»")</f>
        <v>Оказание услуг по строительному контролю и техническому сопровождению работ по объекту «Строительство детского сада на 220 мест в с.п. Гамурзиево»</v>
      </c>
      <c r="G258" s="22" t="s">
        <v>648</v>
      </c>
      <c r="H258" s="22" t="s">
        <v>648</v>
      </c>
      <c r="I258" s="26">
        <v>43748.688888888901</v>
      </c>
      <c r="J258" s="28" t="s">
        <v>52</v>
      </c>
      <c r="K258" s="28" t="s">
        <v>52</v>
      </c>
      <c r="L258" s="28" t="s">
        <v>52</v>
      </c>
      <c r="M258" s="28" t="s">
        <v>52</v>
      </c>
      <c r="N258" s="28" t="s">
        <v>52</v>
      </c>
    </row>
    <row r="259" spans="1:14" x14ac:dyDescent="0.15">
      <c r="A259" s="23" t="str">
        <f>HYPERLINK("https://www.spark-marketing.ru/Card/Person/6450322", "ЗАКАЗЧИК РП БЕЛАРУСЬ")</f>
        <v>ЗАКАЗЧИК РП БЕЛАРУСЬ</v>
      </c>
      <c r="B259" s="28" t="s">
        <v>52</v>
      </c>
      <c r="C259" s="28" t="s">
        <v>52</v>
      </c>
      <c r="D259" s="22" t="s">
        <v>649</v>
      </c>
      <c r="E259" s="22" t="s">
        <v>53</v>
      </c>
      <c r="F259" s="23" t="str">
        <f>HYPERLINK("https://www.spark-marketing.ru/Card/Lot/74264684", "Закупка посадочного материала на объект: «Озеленение, воспроизводство объектов растительного мира, проведение мероприятий, направленных на охрану и защиту объектов растительного мира».")</f>
        <v>Закупка посадочного материала на объект: «Озеленение, воспроизводство объектов растительного мира, проведение мероприятий, направленных на охрану и защиту объектов растительного мира».</v>
      </c>
      <c r="G259" s="22" t="s">
        <v>52</v>
      </c>
      <c r="H259" s="22" t="s">
        <v>52</v>
      </c>
      <c r="I259" s="26">
        <v>43748</v>
      </c>
      <c r="J259" s="28" t="s">
        <v>52</v>
      </c>
      <c r="K259" s="28" t="s">
        <v>52</v>
      </c>
      <c r="L259" s="28" t="s">
        <v>52</v>
      </c>
      <c r="M259" s="28" t="s">
        <v>52</v>
      </c>
      <c r="N259" s="28" t="s">
        <v>52</v>
      </c>
    </row>
    <row r="260" spans="1:14" x14ac:dyDescent="0.15">
      <c r="A260" s="23" t="str">
        <f>HYPERLINK("https://www.spark-marketing.ru/Card/Person/5704", "ФГУ ""КВ""")</f>
        <v>ФГУ "КВ"</v>
      </c>
      <c r="B260" s="24" t="s">
        <v>650</v>
      </c>
      <c r="C260" s="25">
        <v>27750596.280000001</v>
      </c>
      <c r="D260" s="22" t="s">
        <v>651</v>
      </c>
      <c r="E260" s="22" t="s">
        <v>68</v>
      </c>
      <c r="F260" s="23" t="str">
        <f>HYPERLINK("https://www.spark-marketing.ru/Card/Lot/74275965", "Оказание услуг по военизированной охране объектов Федерального государственного бюджетного учреждения «Краснодарское водохранилище»")</f>
        <v>Оказание услуг по военизированной охране объектов Федерального государственного бюджетного учреждения «Краснодарское водохранилище»</v>
      </c>
      <c r="G260" s="22" t="s">
        <v>132</v>
      </c>
      <c r="H260" s="22" t="s">
        <v>652</v>
      </c>
      <c r="I260" s="26">
        <v>43748.677083333299</v>
      </c>
      <c r="J260" s="28" t="s">
        <v>52</v>
      </c>
      <c r="K260" s="28" t="s">
        <v>52</v>
      </c>
      <c r="L260" s="28" t="s">
        <v>52</v>
      </c>
      <c r="M260" s="28" t="s">
        <v>52</v>
      </c>
      <c r="N260" s="28" t="s">
        <v>52</v>
      </c>
    </row>
    <row r="261" spans="1:14" x14ac:dyDescent="0.15">
      <c r="A261" s="23" t="str">
        <f>HYPERLINK("https://www.spark-marketing.ru/Card/Person/5704", "ФГУ ""КВ""")</f>
        <v>ФГУ "КВ"</v>
      </c>
      <c r="B261" s="24" t="s">
        <v>650</v>
      </c>
      <c r="C261" s="25">
        <v>558662.40000000002</v>
      </c>
      <c r="D261" s="22" t="s">
        <v>653</v>
      </c>
      <c r="E261" s="22" t="s">
        <v>68</v>
      </c>
      <c r="F261" s="23" t="str">
        <f>HYPERLINK("https://www.spark-marketing.ru/Card/Lot/74273902", "Оказание охранных услуг в зданиях, помещениях, их частях или комбинациях, оборудованных действующим комплексом технических средств охраны (тревожной сигнализации).")</f>
        <v>Оказание охранных услуг в зданиях, помещениях, их частях или комбинациях, оборудованных действующим комплексом технических средств охраны (тревожной сигнализации).</v>
      </c>
      <c r="G261" s="22" t="s">
        <v>132</v>
      </c>
      <c r="H261" s="22" t="s">
        <v>652</v>
      </c>
      <c r="I261" s="26">
        <v>43748.681944444397</v>
      </c>
      <c r="J261" s="28" t="s">
        <v>52</v>
      </c>
      <c r="K261" s="28" t="s">
        <v>52</v>
      </c>
      <c r="L261" s="28" t="s">
        <v>52</v>
      </c>
      <c r="M261" s="28" t="s">
        <v>52</v>
      </c>
      <c r="N261" s="28" t="s">
        <v>52</v>
      </c>
    </row>
    <row r="262" spans="1:14" x14ac:dyDescent="0.15">
      <c r="A262" s="23" t="str">
        <f>HYPERLINK("https://www.spark-marketing.ru/Card/Person/1029512", "МДОУ №6 Д. ГОРЕТОВО")</f>
        <v>МДОУ №6 Д. ГОРЕТОВО</v>
      </c>
      <c r="B262" s="24" t="s">
        <v>654</v>
      </c>
      <c r="C262" s="25">
        <v>84000</v>
      </c>
      <c r="D262" s="22" t="s">
        <v>655</v>
      </c>
      <c r="E262" s="22" t="s">
        <v>84</v>
      </c>
      <c r="F262" s="23" t="str">
        <f>HYPERLINK("https://www.spark-marketing.ru/Card/Lot/74266474", "Установка видеонаблюдения и видеомофона на калитку")</f>
        <v>Установка видеонаблюдения и видеомофона на калитку</v>
      </c>
      <c r="G262" s="22" t="s">
        <v>50</v>
      </c>
      <c r="H262" s="22" t="s">
        <v>399</v>
      </c>
      <c r="I262" s="26">
        <v>43748.691041666701</v>
      </c>
      <c r="J262" s="28" t="s">
        <v>52</v>
      </c>
      <c r="K262" s="28" t="s">
        <v>52</v>
      </c>
      <c r="L262" s="28" t="s">
        <v>52</v>
      </c>
      <c r="M262" s="28" t="s">
        <v>52</v>
      </c>
      <c r="N262" s="28" t="s">
        <v>52</v>
      </c>
    </row>
    <row r="263" spans="1:14" x14ac:dyDescent="0.15">
      <c r="A263" s="23" t="str">
        <f>HYPERLINK("https://www.spark-marketing.ru/Card/Person/6217322", "АНО ДПО ""ТЕХНИЧЕСКАЯ АКАДЕМИЯ РОСАТОМА""")</f>
        <v>АНО ДПО "ТЕХНИЧЕСКАЯ АКАДЕМИЯ РОСАТОМА"</v>
      </c>
      <c r="B263" s="24" t="s">
        <v>656</v>
      </c>
      <c r="C263" s="25">
        <v>0</v>
      </c>
      <c r="D263" s="22" t="s">
        <v>657</v>
      </c>
      <c r="E263" s="22" t="s">
        <v>53</v>
      </c>
      <c r="F263" s="23" t="str">
        <f>HYPERLINK("https://www.spark-marketing.ru/Card/Lot/74272578", "мониторинг цен в электронной форме на Оказание охранных услуг для нужд Нововоронежского филиала АНО ДПО «Техническая академия Росатома»")</f>
        <v>мониторинг цен в электронной форме на Оказание охранных услуг для нужд Нововоронежского филиала АНО ДПО «Техническая академия Росатома»</v>
      </c>
      <c r="G263" s="22" t="s">
        <v>658</v>
      </c>
      <c r="H263" s="22" t="s">
        <v>659</v>
      </c>
      <c r="I263" s="26">
        <v>43748.692199074103</v>
      </c>
      <c r="J263" s="28" t="s">
        <v>52</v>
      </c>
      <c r="K263" s="28" t="s">
        <v>52</v>
      </c>
      <c r="L263" s="28" t="s">
        <v>52</v>
      </c>
      <c r="M263" s="28" t="s">
        <v>52</v>
      </c>
      <c r="N263" s="28" t="s">
        <v>52</v>
      </c>
    </row>
    <row r="264" spans="1:14" x14ac:dyDescent="0.15">
      <c r="A264" s="23" t="str">
        <f>HYPERLINK("https://www.spark-marketing.ru/Card/Person/5893312", "МСЧ космодрома ""Восточный"" ФГБУЗ ДВОМЦ ФМБА России")</f>
        <v>МСЧ космодрома "Восточный" ФГБУЗ ДВОМЦ ФМБА России</v>
      </c>
      <c r="B264" s="24" t="s">
        <v>660</v>
      </c>
      <c r="C264" s="25">
        <v>5062102.08</v>
      </c>
      <c r="D264" s="22" t="s">
        <v>661</v>
      </c>
      <c r="E264" s="22" t="s">
        <v>68</v>
      </c>
      <c r="F264" s="23" t="str">
        <f>HYPERLINK("https://www.spark-marketing.ru/Card/Lot/74265165", "Оказание охранных услуг (физическая охрана) объектов МСЧ космодрома «Восточный» ФГБУЗ ДВОМЦ ФМБА России")</f>
        <v>Оказание охранных услуг (физическая охрана) объектов МСЧ космодрома «Восточный» ФГБУЗ ДВОМЦ ФМБА России</v>
      </c>
      <c r="G264" s="22" t="s">
        <v>230</v>
      </c>
      <c r="H264" s="22" t="s">
        <v>230</v>
      </c>
      <c r="I264" s="26">
        <v>43748.4777777778</v>
      </c>
      <c r="J264" s="28" t="s">
        <v>52</v>
      </c>
      <c r="K264" s="28" t="s">
        <v>52</v>
      </c>
      <c r="L264" s="28" t="s">
        <v>52</v>
      </c>
      <c r="M264" s="28" t="s">
        <v>52</v>
      </c>
      <c r="N264" s="28" t="s">
        <v>52</v>
      </c>
    </row>
    <row r="265" spans="1:14" x14ac:dyDescent="0.15">
      <c r="A265" s="23" t="str">
        <f>HYPERLINK("https://www.spark-marketing.ru/Card/Person/1001198", "МБУ МЦ ""ПОДСОЛНУХ""")</f>
        <v>МБУ МЦ "ПОДСОЛНУХ"</v>
      </c>
      <c r="B265" s="24" t="s">
        <v>662</v>
      </c>
      <c r="C265" s="25">
        <v>68958.22</v>
      </c>
      <c r="D265" s="22" t="s">
        <v>663</v>
      </c>
      <c r="E265" s="22" t="s">
        <v>59</v>
      </c>
      <c r="F265" s="23" t="str">
        <f>HYPERLINK("https://www.spark-marketing.ru/Card/Lot/74264813", "Оказание услуг по монтажу и пуско-наладке системы тревожной сигнализации")</f>
        <v>Оказание услуг по монтажу и пуско-наладке системы тревожной сигнализации</v>
      </c>
      <c r="G265" s="22" t="s">
        <v>50</v>
      </c>
      <c r="H265" s="22" t="s">
        <v>265</v>
      </c>
      <c r="I265" s="26">
        <v>43748.638402777797</v>
      </c>
      <c r="J265" s="28" t="s">
        <v>52</v>
      </c>
      <c r="K265" s="28" t="s">
        <v>52</v>
      </c>
      <c r="L265" s="28" t="s">
        <v>52</v>
      </c>
      <c r="M265" s="28" t="s">
        <v>52</v>
      </c>
      <c r="N265" s="28" t="s">
        <v>52</v>
      </c>
    </row>
    <row r="266" spans="1:14" x14ac:dyDescent="0.15">
      <c r="A266" s="23" t="str">
        <f>HYPERLINK("https://www.spark-marketing.ru/Card/Person/149547", "МБУ ""ПКИО ИМ В.ТАЛАЛИХИНА""")</f>
        <v>МБУ "ПКИО ИМ В.ТАЛАЛИХИНА"</v>
      </c>
      <c r="B266" s="24" t="s">
        <v>664</v>
      </c>
      <c r="C266" s="25">
        <v>69423.17</v>
      </c>
      <c r="D266" s="22" t="s">
        <v>665</v>
      </c>
      <c r="E266" s="22" t="s">
        <v>208</v>
      </c>
      <c r="F266" s="23" t="str">
        <f>HYPERLINK("https://www.spark-marketing.ru/Card/Lot/74264838", "Приобретение и установка тревожной кнопки")</f>
        <v>Приобретение и установка тревожной кнопки</v>
      </c>
      <c r="G266" s="22" t="s">
        <v>50</v>
      </c>
      <c r="H266" s="22" t="s">
        <v>569</v>
      </c>
      <c r="I266" s="26">
        <v>43748.649664351899</v>
      </c>
      <c r="J266" s="28" t="s">
        <v>52</v>
      </c>
      <c r="K266" s="28" t="s">
        <v>52</v>
      </c>
      <c r="L266" s="28" t="s">
        <v>52</v>
      </c>
      <c r="M266" s="28" t="s">
        <v>52</v>
      </c>
      <c r="N266" s="28" t="s">
        <v>52</v>
      </c>
    </row>
    <row r="267" spans="1:14" x14ac:dyDescent="0.15">
      <c r="A267" s="23" t="str">
        <f>HYPERLINK("https://www.spark-marketing.ru/Card/Person/6450322", "ЗАКАЗЧИК РП БЕЛАРУСЬ")</f>
        <v>ЗАКАЗЧИК РП БЕЛАРУСЬ</v>
      </c>
      <c r="B267" s="28" t="s">
        <v>52</v>
      </c>
      <c r="C267" s="28" t="s">
        <v>52</v>
      </c>
      <c r="D267" s="22" t="s">
        <v>666</v>
      </c>
      <c r="E267" s="22" t="s">
        <v>53</v>
      </c>
      <c r="F267" s="23" t="str">
        <f>HYPERLINK("https://www.spark-marketing.ru/Card/Lot/74261081", "Устройство записи со встроенным коммутатором, Клавиатура, Мышь, ЖКИ монитор, Подставки для настольной установки монитора (технические характеристики в Приглашении).")</f>
        <v>Устройство записи со встроенным коммутатором, Клавиатура, Мышь, ЖКИ монитор, Подставки для настольной установки монитора (технические характеристики в Приглашении).</v>
      </c>
      <c r="G267" s="22" t="s">
        <v>52</v>
      </c>
      <c r="H267" s="22" t="s">
        <v>52</v>
      </c>
      <c r="I267" s="26">
        <v>43748</v>
      </c>
      <c r="J267" s="28" t="s">
        <v>52</v>
      </c>
      <c r="K267" s="28" t="s">
        <v>52</v>
      </c>
      <c r="L267" s="28" t="s">
        <v>52</v>
      </c>
      <c r="M267" s="28" t="s">
        <v>52</v>
      </c>
      <c r="N267" s="28" t="s">
        <v>52</v>
      </c>
    </row>
    <row r="268" spans="1:14" x14ac:dyDescent="0.15">
      <c r="A268" s="23" t="str">
        <f>HYPERLINK("https://www.spark-marketing.ru/Card/Person/6450322", "ЗАКАЗЧИК РП БЕЛАРУСЬ")</f>
        <v>ЗАКАЗЧИК РП БЕЛАРУСЬ</v>
      </c>
      <c r="B268" s="28" t="s">
        <v>52</v>
      </c>
      <c r="C268" s="28" t="s">
        <v>52</v>
      </c>
      <c r="D268" s="22" t="s">
        <v>666</v>
      </c>
      <c r="E268" s="22" t="s">
        <v>53</v>
      </c>
      <c r="F268" s="23" t="str">
        <f>HYPERLINK("https://www.spark-marketing.ru/Card/Lot/74261082", "Купольная IP камера, Корпусная IP камера в кожухе для наружной установки, Корпусная IP камера, Коммутационная коробка, Устройство передачи сигнала TCP/IP по кабелю витой пары (со стороны камеры), Устройство передачи сигнала TCP/IP по кабелю витой пар...")</f>
        <v>Купольная IP камера, Корпусная IP камера в кожухе для наружной установки, Корпусная IP камера, Коммутационная коробка, Устройство передачи сигнала TCP/IP по кабелю витой пары (со стороны камеры), Устройство передачи сигнала TCP/IP по кабелю витой пар...</v>
      </c>
      <c r="G268" s="22" t="s">
        <v>52</v>
      </c>
      <c r="H268" s="22" t="s">
        <v>52</v>
      </c>
      <c r="I268" s="26">
        <v>43748</v>
      </c>
      <c r="J268" s="28" t="s">
        <v>52</v>
      </c>
      <c r="K268" s="28" t="s">
        <v>52</v>
      </c>
      <c r="L268" s="28" t="s">
        <v>52</v>
      </c>
      <c r="M268" s="28" t="s">
        <v>52</v>
      </c>
      <c r="N268" s="28" t="s">
        <v>52</v>
      </c>
    </row>
    <row r="269" spans="1:14" x14ac:dyDescent="0.15">
      <c r="A269" s="23" t="str">
        <f>HYPERLINK("https://www.spark-marketing.ru/Card/Person/1661477", "ПАО ""ДЕТСКИЙ МИР""")</f>
        <v>ПАО "ДЕТСКИЙ МИР"</v>
      </c>
      <c r="B269" s="24" t="s">
        <v>667</v>
      </c>
      <c r="C269" s="28" t="s">
        <v>52</v>
      </c>
      <c r="D269" s="22" t="s">
        <v>668</v>
      </c>
      <c r="E269" s="22" t="s">
        <v>53</v>
      </c>
      <c r="F269" s="23" t="str">
        <f>HYPERLINK("https://www.spark-marketing.ru/Card/Lot/74259487", "Оказание услуг по охране объектов ПАО «Детский мир» РО Сибирь в г. Омск, Барнаул, Горно-Алтайск, Бийск, Абакан, Биробиджан, Ишим, Кызыл, Магадан.")</f>
        <v>Оказание услуг по охране объектов ПАО «Детский мир» РО Сибирь в г. Омск, Барнаул, Горно-Алтайск, Бийск, Абакан, Биробиджан, Ишим, Кызыл, Магадан.</v>
      </c>
      <c r="G269" s="22" t="s">
        <v>521</v>
      </c>
      <c r="H269" s="22" t="s">
        <v>521</v>
      </c>
      <c r="I269" s="26">
        <v>43748.529861111099</v>
      </c>
      <c r="J269" s="28" t="s">
        <v>52</v>
      </c>
      <c r="K269" s="28" t="s">
        <v>52</v>
      </c>
      <c r="L269" s="28" t="s">
        <v>52</v>
      </c>
      <c r="M269" s="28" t="s">
        <v>52</v>
      </c>
      <c r="N269" s="28" t="s">
        <v>52</v>
      </c>
    </row>
    <row r="270" spans="1:14" x14ac:dyDescent="0.15">
      <c r="A270" s="23" t="str">
        <f>HYPERLINK("https://www.spark-marketing.ru/Card/Person/30894", "ГБУЗ РБ ЯНАУЛЬСКАЯ ЦРБ")</f>
        <v>ГБУЗ РБ ЯНАУЛЬСКАЯ ЦРБ</v>
      </c>
      <c r="B270" s="24" t="s">
        <v>669</v>
      </c>
      <c r="C270" s="25">
        <v>634986</v>
      </c>
      <c r="D270" s="22" t="s">
        <v>670</v>
      </c>
      <c r="E270" s="22" t="s">
        <v>68</v>
      </c>
      <c r="F270" s="23" t="str">
        <f>HYPERLINK("https://www.spark-marketing.ru/Card/Lot/74263348", "Оказание услуг по охране объектов")</f>
        <v>Оказание услуг по охране объектов</v>
      </c>
      <c r="G270" s="22" t="s">
        <v>100</v>
      </c>
      <c r="H270" s="22" t="s">
        <v>671</v>
      </c>
      <c r="I270" s="26">
        <v>43748.425694444399</v>
      </c>
      <c r="J270" s="28" t="s">
        <v>52</v>
      </c>
      <c r="K270" s="28" t="s">
        <v>52</v>
      </c>
      <c r="L270" s="28" t="s">
        <v>52</v>
      </c>
      <c r="M270" s="28" t="s">
        <v>52</v>
      </c>
      <c r="N270" s="28" t="s">
        <v>52</v>
      </c>
    </row>
    <row r="271" spans="1:14" x14ac:dyDescent="0.15">
      <c r="A271" s="23" t="str">
        <f>HYPERLINK("https://www.spark-marketing.ru/Card/Person/1009341", "МБОУ ДО ""ДЮСШ № 2""")</f>
        <v>МБОУ ДО "ДЮСШ № 2"</v>
      </c>
      <c r="B271" s="24" t="s">
        <v>672</v>
      </c>
      <c r="C271" s="25">
        <v>960000</v>
      </c>
      <c r="D271" s="22" t="s">
        <v>673</v>
      </c>
      <c r="E271" s="22" t="s">
        <v>59</v>
      </c>
      <c r="F271" s="23" t="str">
        <f>HYPERLINK("https://www.spark-marketing.ru/Card/Lot/74274583", "Выполнение работ по монтажу системы видеонаблюдения МБОУ ДО ""ДЮСШ №2""")</f>
        <v>Выполнение работ по монтажу системы видеонаблюдения МБОУ ДО "ДЮСШ №2"</v>
      </c>
      <c r="G271" s="22" t="s">
        <v>674</v>
      </c>
      <c r="H271" s="22" t="s">
        <v>675</v>
      </c>
      <c r="I271" s="26">
        <v>43748.487500000003</v>
      </c>
      <c r="J271" s="28" t="s">
        <v>52</v>
      </c>
      <c r="K271" s="28" t="s">
        <v>52</v>
      </c>
      <c r="L271" s="28" t="s">
        <v>52</v>
      </c>
      <c r="M271" s="28" t="s">
        <v>52</v>
      </c>
      <c r="N271" s="28" t="s">
        <v>52</v>
      </c>
    </row>
    <row r="272" spans="1:14" x14ac:dyDescent="0.15">
      <c r="A272" s="28" t="s">
        <v>52</v>
      </c>
      <c r="B272" s="28" t="s">
        <v>52</v>
      </c>
      <c r="C272" s="28" t="s">
        <v>52</v>
      </c>
      <c r="D272" s="22" t="s">
        <v>676</v>
      </c>
      <c r="E272" s="22" t="s">
        <v>53</v>
      </c>
      <c r="F272" s="23" t="str">
        <f>HYPERLINK("https://www.spark-marketing.ru/Card/Lot/74257063", "Комплектующие для RVI в ассортименте (637 шт)")</f>
        <v>Комплектующие для RVI в ассортименте (637 шт)</v>
      </c>
      <c r="G272" s="22" t="s">
        <v>55</v>
      </c>
      <c r="H272" s="22" t="s">
        <v>55</v>
      </c>
      <c r="I272" s="26">
        <v>43748.468333333301</v>
      </c>
      <c r="J272" s="23" t="str">
        <f>HYPERLINK("https://www.spark-marketing.ru/Card/Person/35401", "ПАО МГТС")</f>
        <v>ПАО МГТС</v>
      </c>
      <c r="K272" s="24" t="s">
        <v>56</v>
      </c>
      <c r="L272" s="28" t="s">
        <v>52</v>
      </c>
      <c r="M272" s="25">
        <v>1003532</v>
      </c>
      <c r="N272" s="28" t="s">
        <v>52</v>
      </c>
    </row>
    <row r="273" spans="1:14" x14ac:dyDescent="0.15">
      <c r="A273" s="23" t="str">
        <f>HYPERLINK("https://www.spark-marketing.ru/Card/Person/108833", "МКДОУ Д/С №43")</f>
        <v>МКДОУ Д/С №43</v>
      </c>
      <c r="B273" s="24" t="s">
        <v>677</v>
      </c>
      <c r="C273" s="25">
        <v>20000</v>
      </c>
      <c r="D273" s="22" t="s">
        <v>678</v>
      </c>
      <c r="E273" s="22" t="s">
        <v>103</v>
      </c>
      <c r="F273" s="23" t="str">
        <f>HYPERLINK("https://www.spark-marketing.ru/Card/Lot/74257515", "Договор на услугу по монтажу системы видеонаблюдения (перенос 1 камеры и установка 2 камер)")</f>
        <v>Договор на услугу по монтажу системы видеонаблюдения (перенос 1 камеры и установка 2 камер)</v>
      </c>
      <c r="G273" s="22" t="s">
        <v>50</v>
      </c>
      <c r="H273" s="22" t="s">
        <v>679</v>
      </c>
      <c r="I273" s="26">
        <v>43748.492465277799</v>
      </c>
      <c r="J273" s="28" t="s">
        <v>52</v>
      </c>
      <c r="K273" s="28" t="s">
        <v>52</v>
      </c>
      <c r="L273" s="28" t="s">
        <v>52</v>
      </c>
      <c r="M273" s="28" t="s">
        <v>52</v>
      </c>
      <c r="N273" s="28" t="s">
        <v>52</v>
      </c>
    </row>
    <row r="274" spans="1:14" x14ac:dyDescent="0.15">
      <c r="A274" s="23" t="str">
        <f>HYPERLINK("https://www.spark-marketing.ru/Card/Person/1029059", "МДОУ ДЕТСКИЙ САД ОБЩЕРАЗВИВАЮЩЕГО ВИДА № 2 ""ВИШЕНКА""")</f>
        <v>МДОУ ДЕТСКИЙ САД ОБЩЕРАЗВИВАЮЩЕГО ВИДА № 2 "ВИШЕНКА"</v>
      </c>
      <c r="B274" s="24" t="s">
        <v>680</v>
      </c>
      <c r="C274" s="25">
        <v>21700</v>
      </c>
      <c r="D274" s="22" t="s">
        <v>681</v>
      </c>
      <c r="E274" s="22" t="s">
        <v>84</v>
      </c>
      <c r="F274" s="23" t="str">
        <f>HYPERLINK("https://www.spark-marketing.ru/Card/Lot/74256352", "Выполнение работ по установке системы видеонаблюдения")</f>
        <v>Выполнение работ по установке системы видеонаблюдения</v>
      </c>
      <c r="G274" s="22" t="s">
        <v>50</v>
      </c>
      <c r="H274" s="22" t="s">
        <v>682</v>
      </c>
      <c r="I274" s="26">
        <v>43748.430520833303</v>
      </c>
      <c r="J274" s="28" t="s">
        <v>52</v>
      </c>
      <c r="K274" s="28" t="s">
        <v>52</v>
      </c>
      <c r="L274" s="28" t="s">
        <v>52</v>
      </c>
      <c r="M274" s="28" t="s">
        <v>52</v>
      </c>
      <c r="N274" s="28" t="s">
        <v>52</v>
      </c>
    </row>
    <row r="275" spans="1:14" x14ac:dyDescent="0.15">
      <c r="A275" s="23" t="str">
        <f>HYPERLINK("https://www.spark-marketing.ru/Card/Person/4365569", "ФГУП ""РОСМОРПОРТ""")</f>
        <v>ФГУП "РОСМОРПОРТ"</v>
      </c>
      <c r="B275" s="24" t="s">
        <v>273</v>
      </c>
      <c r="C275" s="28" t="s">
        <v>52</v>
      </c>
      <c r="D275" s="22" t="s">
        <v>683</v>
      </c>
      <c r="E275" s="22" t="s">
        <v>59</v>
      </c>
      <c r="F275" s="23" t="str">
        <f>HYPERLINK("https://www.spark-marketing.ru/Card/Lot/74255199", "Установка системы видеонаблюдения")</f>
        <v>Установка системы видеонаблюдения</v>
      </c>
      <c r="G275" s="22" t="s">
        <v>132</v>
      </c>
      <c r="H275" s="22" t="s">
        <v>132</v>
      </c>
      <c r="I275" s="26">
        <v>43748.3972222222</v>
      </c>
      <c r="J275" s="28" t="s">
        <v>52</v>
      </c>
      <c r="K275" s="28" t="s">
        <v>52</v>
      </c>
      <c r="L275" s="28" t="s">
        <v>52</v>
      </c>
      <c r="M275" s="28" t="s">
        <v>52</v>
      </c>
      <c r="N275" s="28" t="s">
        <v>52</v>
      </c>
    </row>
    <row r="276" spans="1:14" x14ac:dyDescent="0.15">
      <c r="A276" s="23" t="str">
        <f>HYPERLINK("https://www.spark-marketing.ru/Card/Person/32299", "ДЕПАРТАМЕНТ ЭКОНОМИЧЕСКОЙ ПОЛИТИКИ И РАЗВИТИЯ ГОРОДА МОСКВЫ")</f>
        <v>ДЕПАРТАМЕНТ ЭКОНОМИЧЕСКОЙ ПОЛИТИКИ И РАЗВИТИЯ ГОРОДА МОСКВЫ</v>
      </c>
      <c r="B276" s="24" t="s">
        <v>684</v>
      </c>
      <c r="C276" s="25">
        <v>166383.18</v>
      </c>
      <c r="D276" s="22" t="s">
        <v>685</v>
      </c>
      <c r="E276" s="22" t="s">
        <v>84</v>
      </c>
      <c r="F276" s="23" t="str">
        <f>HYPERLINK("https://www.spark-marketing.ru/Card/Lot/74255948", "Выполнение работ по установке, монтажу и вводу в эксплуатацию системы автоматической охранной сигнализации")</f>
        <v>Выполнение работ по установке, монтажу и вводу в эксплуатацию системы автоматической охранной сигнализации</v>
      </c>
      <c r="G276" s="22" t="s">
        <v>55</v>
      </c>
      <c r="H276" s="22" t="s">
        <v>55</v>
      </c>
      <c r="I276" s="26">
        <v>43748.349305555603</v>
      </c>
      <c r="J276" s="28" t="s">
        <v>52</v>
      </c>
      <c r="K276" s="28" t="s">
        <v>52</v>
      </c>
      <c r="L276" s="28" t="s">
        <v>52</v>
      </c>
      <c r="M276" s="28" t="s">
        <v>52</v>
      </c>
      <c r="N276" s="28" t="s">
        <v>52</v>
      </c>
    </row>
    <row r="277" spans="1:14" x14ac:dyDescent="0.15">
      <c r="A277" s="23" t="str">
        <f>HYPERLINK("https://www.spark-marketing.ru/Card/Person/4806679", "ООО ""УК ТАВРОС УФА""")</f>
        <v>ООО "УК ТАВРОС УФА"</v>
      </c>
      <c r="B277" s="24" t="s">
        <v>686</v>
      </c>
      <c r="C277" s="25">
        <v>0</v>
      </c>
      <c r="D277" s="22" t="s">
        <v>687</v>
      </c>
      <c r="E277" s="22" t="s">
        <v>585</v>
      </c>
      <c r="F277" s="23" t="str">
        <f>HYPERLINK("https://www.spark-marketing.ru/Card/Lot/74263420", "ЛОТ1")</f>
        <v>ЛОТ1</v>
      </c>
      <c r="G277" s="22" t="s">
        <v>100</v>
      </c>
      <c r="H277" s="22" t="s">
        <v>688</v>
      </c>
      <c r="I277" s="26">
        <v>43748.524895833303</v>
      </c>
      <c r="J277" s="28" t="s">
        <v>52</v>
      </c>
      <c r="K277" s="28" t="s">
        <v>52</v>
      </c>
      <c r="L277" s="28" t="s">
        <v>52</v>
      </c>
      <c r="M277" s="28" t="s">
        <v>52</v>
      </c>
      <c r="N277" s="28" t="s">
        <v>52</v>
      </c>
    </row>
    <row r="278" spans="1:14" x14ac:dyDescent="0.15">
      <c r="A278" s="23" t="str">
        <f>HYPERLINK("https://www.spark-marketing.ru/Card/Person/2577242", "МАДОУ ""ДЕТСКИЙ САД ""ТЕРЕМОК"", ДЕТСКИЙ САД ""ТЕРЕМОК""")</f>
        <v>МАДОУ "ДЕТСКИЙ САД "ТЕРЕМОК", ДЕТСКИЙ САД "ТЕРЕМОК"</v>
      </c>
      <c r="B278" s="24" t="s">
        <v>689</v>
      </c>
      <c r="C278" s="25">
        <v>68293.33</v>
      </c>
      <c r="D278" s="22" t="s">
        <v>690</v>
      </c>
      <c r="E278" s="22" t="s">
        <v>691</v>
      </c>
      <c r="F278" s="23" t="str">
        <f>HYPERLINK("https://www.spark-marketing.ru/Card/Lot/74269160", "Установка (модернизация имеющегося) внутреннего и наружного видеонаблюдения")</f>
        <v>Установка (модернизация имеющегося) внутреннего и наружного видеонаблюдения</v>
      </c>
      <c r="G278" s="22" t="s">
        <v>72</v>
      </c>
      <c r="H278" s="22" t="s">
        <v>692</v>
      </c>
      <c r="I278" s="26">
        <v>43748</v>
      </c>
      <c r="J278" s="28" t="s">
        <v>52</v>
      </c>
      <c r="K278" s="28" t="s">
        <v>52</v>
      </c>
      <c r="L278" s="28" t="s">
        <v>52</v>
      </c>
      <c r="M278" s="28" t="s">
        <v>52</v>
      </c>
      <c r="N278" s="28" t="s">
        <v>52</v>
      </c>
    </row>
    <row r="279" spans="1:14" x14ac:dyDescent="0.15">
      <c r="A279" s="23" t="str">
        <f>HYPERLINK("https://www.spark-marketing.ru/Card/Person/130109", "ПАО БАНК ""ФК ОТКРЫТИЕ""")</f>
        <v>ПАО БАНК "ФК ОТКРЫТИЕ"</v>
      </c>
      <c r="B279" s="24" t="s">
        <v>693</v>
      </c>
      <c r="C279" s="25">
        <v>0</v>
      </c>
      <c r="D279" s="22" t="s">
        <v>694</v>
      </c>
      <c r="E279" s="22" t="s">
        <v>53</v>
      </c>
      <c r="F279" s="23" t="str">
        <f>HYPERLINK("https://www.spark-marketing.ru/Card/Lot/74275256", "Услуги по пультовой охране (реагировании мобильными группами ГБР на тревожные сигналы системы сигнализации) в офисах Банка в г. Нижнем Новгороде.")</f>
        <v>Услуги по пультовой охране (реагировании мобильными группами ГБР на тревожные сигналы системы сигнализации) в офисах Банка в г. Нижнем Новгороде.</v>
      </c>
      <c r="G279" s="22" t="s">
        <v>55</v>
      </c>
      <c r="H279" s="22" t="s">
        <v>55</v>
      </c>
      <c r="I279" s="26">
        <v>43748</v>
      </c>
      <c r="J279" s="28" t="s">
        <v>52</v>
      </c>
      <c r="K279" s="28" t="s">
        <v>52</v>
      </c>
      <c r="L279" s="28" t="s">
        <v>52</v>
      </c>
      <c r="M279" s="28" t="s">
        <v>52</v>
      </c>
      <c r="N279" s="28" t="s">
        <v>52</v>
      </c>
    </row>
    <row r="280" spans="1:14" x14ac:dyDescent="0.15">
      <c r="A280" s="23" t="str">
        <f>HYPERLINK("https://www.spark-marketing.ru/Card/Person/4348451", "ПАО ""Т ПЛЮС""")</f>
        <v>ПАО "Т ПЛЮС"</v>
      </c>
      <c r="B280" s="24" t="s">
        <v>47</v>
      </c>
      <c r="C280" s="25">
        <v>3347963.76</v>
      </c>
      <c r="D280" s="22" t="s">
        <v>695</v>
      </c>
      <c r="E280" s="22" t="s">
        <v>390</v>
      </c>
      <c r="F280" s="23" t="str">
        <f>HYPERLINK("https://www.spark-marketing.ru/Card/Lot/74255624", "Охрана объектов Оренбургской котельной"" филиала ""Оренбургский"" ПАО "" Т Плюс")</f>
        <v>Охрана объектов Оренбургской котельной" филиала "Оренбургский" ПАО " Т Плюс</v>
      </c>
      <c r="G280" s="22" t="s">
        <v>384</v>
      </c>
      <c r="H280" s="22" t="s">
        <v>696</v>
      </c>
      <c r="I280" s="26">
        <v>43748</v>
      </c>
      <c r="J280" s="28" t="s">
        <v>52</v>
      </c>
      <c r="K280" s="28" t="s">
        <v>52</v>
      </c>
      <c r="L280" s="28" t="s">
        <v>52</v>
      </c>
      <c r="M280" s="28" t="s">
        <v>52</v>
      </c>
      <c r="N280" s="28" t="s">
        <v>52</v>
      </c>
    </row>
    <row r="281" spans="1:14" x14ac:dyDescent="0.15">
      <c r="A281" s="23" t="str">
        <f>HYPERLINK("https://www.spark-marketing.ru/Card/Person/4348451", "ПАО ""Т ПЛЮС""")</f>
        <v>ПАО "Т ПЛЮС"</v>
      </c>
      <c r="B281" s="24" t="s">
        <v>47</v>
      </c>
      <c r="C281" s="25">
        <v>64644384.960000001</v>
      </c>
      <c r="D281" s="22" t="s">
        <v>697</v>
      </c>
      <c r="E281" s="22" t="s">
        <v>390</v>
      </c>
      <c r="F281" s="23" t="str">
        <f>HYPERLINK("https://www.spark-marketing.ru/Card/Lot/74264427", "Оказание охранных услуг")</f>
        <v>Оказание охранных услуг</v>
      </c>
      <c r="G281" s="22" t="s">
        <v>50</v>
      </c>
      <c r="H281" s="22" t="s">
        <v>51</v>
      </c>
      <c r="I281" s="26">
        <v>43748</v>
      </c>
      <c r="J281" s="28" t="s">
        <v>52</v>
      </c>
      <c r="K281" s="28" t="s">
        <v>52</v>
      </c>
      <c r="L281" s="28" t="s">
        <v>52</v>
      </c>
      <c r="M281" s="28" t="s">
        <v>52</v>
      </c>
      <c r="N281" s="28" t="s">
        <v>52</v>
      </c>
    </row>
    <row r="282" spans="1:14" x14ac:dyDescent="0.15">
      <c r="A282" s="23" t="str">
        <f>HYPERLINK("https://www.spark-marketing.ru/Card/Person/568461", "ГАПОУ СО ""НТГПК ИМ. Н.А. ДЕМИДОВА""")</f>
        <v>ГАПОУ СО "НТГПК ИМ. Н.А. ДЕМИДОВА"</v>
      </c>
      <c r="B282" s="24" t="s">
        <v>698</v>
      </c>
      <c r="C282" s="25">
        <v>685725</v>
      </c>
      <c r="D282" s="22" t="s">
        <v>699</v>
      </c>
      <c r="E282" s="22" t="s">
        <v>49</v>
      </c>
      <c r="F282" s="23" t="str">
        <f>HYPERLINK("https://www.spark-marketing.ru/Card/Lot/74246297", "работы по установке системы охранной сигнализации территории по адресам: г. Нижний Тагил, ул. Карла Маркса, д.2 (главный учебный корпус), ул. Карла Маркса, д.2 (учебный корпус), ул. Карла Маркса, д.2 (общежитие), ул. Карла Маркса, д.2 (бытовой корпус...")</f>
        <v>работы по установке системы охранной сигнализации территории по адресам: г. Нижний Тагил, ул. Карла Маркса, д.2 (главный учебный корпус), ул. Карла Маркса, д.2 (учебный корпус), ул. Карла Маркса, д.2 (общежитие), ул. Карла Маркса, д.2 (бытовой корпус...</v>
      </c>
      <c r="G282" s="22" t="s">
        <v>72</v>
      </c>
      <c r="H282" s="22" t="s">
        <v>72</v>
      </c>
      <c r="I282" s="26">
        <v>43747</v>
      </c>
      <c r="J282" s="28" t="s">
        <v>52</v>
      </c>
      <c r="K282" s="28" t="s">
        <v>52</v>
      </c>
      <c r="L282" s="28" t="s">
        <v>52</v>
      </c>
      <c r="M282" s="28" t="s">
        <v>52</v>
      </c>
      <c r="N282" s="28" t="s">
        <v>52</v>
      </c>
    </row>
    <row r="283" spans="1:14" x14ac:dyDescent="0.15">
      <c r="A283" s="23" t="str">
        <f>HYPERLINK("https://www.spark-marketing.ru/Card/Person/4348451", "ПАО ""Т ПЛЮС""")</f>
        <v>ПАО "Т ПЛЮС"</v>
      </c>
      <c r="B283" s="24" t="s">
        <v>47</v>
      </c>
      <c r="C283" s="25">
        <v>1350000</v>
      </c>
      <c r="D283" s="22" t="s">
        <v>700</v>
      </c>
      <c r="E283" s="22" t="s">
        <v>49</v>
      </c>
      <c r="F283" s="23" t="str">
        <f>HYPERLINK("https://www.spark-marketing.ru/Card/Lot/74255468", "Оказание услуг по техническому обслуживанию инженерно-технических средств охраны Самарской СЭС-4 для филиала ""Оренбургский"" ПАО ""Т Плюс""")</f>
        <v>Оказание услуг по техническому обслуживанию инженерно-технических средств охраны Самарской СЭС-4 для филиала "Оренбургский" ПАО "Т Плюс"</v>
      </c>
      <c r="G283" s="22" t="s">
        <v>384</v>
      </c>
      <c r="H283" s="22" t="s">
        <v>701</v>
      </c>
      <c r="I283" s="26">
        <v>43748</v>
      </c>
      <c r="J283" s="28" t="s">
        <v>52</v>
      </c>
      <c r="K283" s="28" t="s">
        <v>52</v>
      </c>
      <c r="L283" s="28" t="s">
        <v>52</v>
      </c>
      <c r="M283" s="28" t="s">
        <v>52</v>
      </c>
      <c r="N283" s="28" t="s">
        <v>52</v>
      </c>
    </row>
    <row r="284" spans="1:14" x14ac:dyDescent="0.15">
      <c r="A284" s="23" t="str">
        <f>HYPERLINK("https://www.spark-marketing.ru/Card/Person/4348451", "ПАО ""Т ПЛЮС""")</f>
        <v>ПАО "Т ПЛЮС"</v>
      </c>
      <c r="B284" s="24" t="s">
        <v>47</v>
      </c>
      <c r="C284" s="25">
        <v>55514015.710000001</v>
      </c>
      <c r="D284" s="22" t="s">
        <v>702</v>
      </c>
      <c r="E284" s="22" t="s">
        <v>390</v>
      </c>
      <c r="F284" s="23" t="str">
        <f>HYPERLINK("https://www.spark-marketing.ru/Card/Lot/74260681", "Ведомственная охрана объектов")</f>
        <v>Ведомственная охрана объектов</v>
      </c>
      <c r="G284" s="22" t="s">
        <v>50</v>
      </c>
      <c r="H284" s="22" t="s">
        <v>51</v>
      </c>
      <c r="I284" s="26">
        <v>43748</v>
      </c>
      <c r="J284" s="28" t="s">
        <v>52</v>
      </c>
      <c r="K284" s="28" t="s">
        <v>52</v>
      </c>
      <c r="L284" s="28" t="s">
        <v>52</v>
      </c>
      <c r="M284" s="28" t="s">
        <v>52</v>
      </c>
      <c r="N284" s="28" t="s">
        <v>52</v>
      </c>
    </row>
    <row r="285" spans="1:14" x14ac:dyDescent="0.15">
      <c r="A285" s="23" t="str">
        <f>HYPERLINK("https://www.spark-marketing.ru/Card/Person/1081603", "МОУ ЮХТИНСКАЯ СОШ")</f>
        <v>МОУ ЮХТИНСКАЯ СОШ</v>
      </c>
      <c r="B285" s="24" t="s">
        <v>703</v>
      </c>
      <c r="C285" s="25">
        <v>283189.24</v>
      </c>
      <c r="D285" s="22" t="s">
        <v>704</v>
      </c>
      <c r="E285" s="22" t="s">
        <v>49</v>
      </c>
      <c r="F285" s="23" t="str">
        <f>HYPERLINK("https://www.spark-marketing.ru/Card/Lot/74253450", "На оказание услуг по установке технических средств охранной сигнализации")</f>
        <v>На оказание услуг по установке технических средств охранной сигнализации</v>
      </c>
      <c r="G285" s="22" t="s">
        <v>230</v>
      </c>
      <c r="H285" s="22" t="s">
        <v>705</v>
      </c>
      <c r="I285" s="26">
        <v>43748</v>
      </c>
      <c r="J285" s="28" t="s">
        <v>52</v>
      </c>
      <c r="K285" s="28" t="s">
        <v>52</v>
      </c>
      <c r="L285" s="28" t="s">
        <v>52</v>
      </c>
      <c r="M285" s="28" t="s">
        <v>52</v>
      </c>
      <c r="N285" s="28" t="s">
        <v>52</v>
      </c>
    </row>
    <row r="286" spans="1:14" x14ac:dyDescent="0.15">
      <c r="A286" s="23" t="str">
        <f>HYPERLINK("https://www.spark-marketing.ru/Card/Person/1779968", "АО ""ККТ""")</f>
        <v>АО "ККТ"</v>
      </c>
      <c r="B286" s="24" t="s">
        <v>535</v>
      </c>
      <c r="C286" s="25">
        <v>2127176</v>
      </c>
      <c r="D286" s="22" t="s">
        <v>706</v>
      </c>
      <c r="E286" s="22" t="s">
        <v>537</v>
      </c>
      <c r="F286" s="23" t="str">
        <f>HYPERLINK("https://www.spark-marketing.ru/Card/Lot/74260718", "Выполнение работ по установке систем видеонаблюдения на склады ГСМ ДЭС Важгорт, Новый Бор, Бугаево, Медвежка, Окунево")</f>
        <v>Выполнение работ по установке систем видеонаблюдения на склады ГСМ ДЭС Важгорт, Новый Бор, Бугаево, Медвежка, Окунево</v>
      </c>
      <c r="G286" s="22" t="s">
        <v>538</v>
      </c>
      <c r="H286" s="22" t="s">
        <v>707</v>
      </c>
      <c r="I286" s="26">
        <v>43748</v>
      </c>
      <c r="J286" s="28" t="s">
        <v>52</v>
      </c>
      <c r="K286" s="28" t="s">
        <v>52</v>
      </c>
      <c r="L286" s="28" t="s">
        <v>52</v>
      </c>
      <c r="M286" s="28" t="s">
        <v>52</v>
      </c>
      <c r="N286" s="28" t="s">
        <v>52</v>
      </c>
    </row>
    <row r="287" spans="1:14" x14ac:dyDescent="0.15">
      <c r="A287" s="23" t="str">
        <f>HYPERLINK("https://www.spark-marketing.ru/Card/Person/6217322", "АНО ДПО ""ТЕХНИЧЕСКАЯ АКАДЕМИЯ РОСАТОМА""")</f>
        <v>АНО ДПО "ТЕХНИЧЕСКАЯ АКАДЕМИЯ РОСАТОМА"</v>
      </c>
      <c r="B287" s="24" t="s">
        <v>656</v>
      </c>
      <c r="C287" s="28" t="s">
        <v>52</v>
      </c>
      <c r="D287" s="22" t="s">
        <v>708</v>
      </c>
      <c r="E287" s="22" t="s">
        <v>53</v>
      </c>
      <c r="F287" s="23" t="str">
        <f>HYPERLINK("https://www.spark-marketing.ru/Card/Lot/74271373", "Оказание охранных услуг для нужд Нововоронежского филиала АНО ДПО «Техническая академия Росатома» (1361448)")</f>
        <v>Оказание охранных услуг для нужд Нововоронежского филиала АНО ДПО «Техническая академия Росатома» (1361448)</v>
      </c>
      <c r="G287" s="22" t="s">
        <v>658</v>
      </c>
      <c r="H287" s="22" t="s">
        <v>659</v>
      </c>
      <c r="I287" s="26">
        <v>43748.692361111098</v>
      </c>
      <c r="J287" s="28" t="s">
        <v>52</v>
      </c>
      <c r="K287" s="28" t="s">
        <v>52</v>
      </c>
      <c r="L287" s="28" t="s">
        <v>52</v>
      </c>
      <c r="M287" s="28" t="s">
        <v>52</v>
      </c>
      <c r="N287" s="28" t="s">
        <v>52</v>
      </c>
    </row>
    <row r="288" spans="1:14" x14ac:dyDescent="0.15">
      <c r="A288" s="23" t="str">
        <f>HYPERLINK("https://www.spark-marketing.ru/Card/Person/4348451", "ПАО ""Т ПЛЮС""")</f>
        <v>ПАО "Т ПЛЮС"</v>
      </c>
      <c r="B288" s="24" t="s">
        <v>47</v>
      </c>
      <c r="C288" s="25">
        <v>2918736</v>
      </c>
      <c r="D288" s="22" t="s">
        <v>709</v>
      </c>
      <c r="E288" s="22" t="s">
        <v>49</v>
      </c>
      <c r="F288" s="23" t="str">
        <f>HYPERLINK("https://www.spark-marketing.ru/Card/Lot/74264989", "Оказание услуг по техническому обслуживанию инженерно-технических средств охраны Сакмарской СФЭС им. А.А. Влазнева, Державинской СЭС и Оренбургской СЭС-5 филиала «Оренбургский» ПАО «Т Плюс»")</f>
        <v>Оказание услуг по техническому обслуживанию инженерно-технических средств охраны Сакмарской СФЭС им. А.А. Влазнева, Державинской СЭС и Оренбургской СЭС-5 филиала «Оренбургский» ПАО «Т Плюс»</v>
      </c>
      <c r="G288" s="22" t="s">
        <v>50</v>
      </c>
      <c r="H288" s="22" t="s">
        <v>51</v>
      </c>
      <c r="I288" s="26">
        <v>43748</v>
      </c>
      <c r="J288" s="28" t="s">
        <v>52</v>
      </c>
      <c r="K288" s="28" t="s">
        <v>52</v>
      </c>
      <c r="L288" s="28" t="s">
        <v>52</v>
      </c>
      <c r="M288" s="28" t="s">
        <v>52</v>
      </c>
      <c r="N288" s="28" t="s">
        <v>52</v>
      </c>
    </row>
    <row r="289" spans="1:14" x14ac:dyDescent="0.15">
      <c r="A289" s="23" t="str">
        <f>HYPERLINK("https://www.spark-marketing.ru/Card/Person/4348451", "ПАО ""Т ПЛЮС""")</f>
        <v>ПАО "Т ПЛЮС"</v>
      </c>
      <c r="B289" s="24" t="s">
        <v>47</v>
      </c>
      <c r="C289" s="25">
        <v>570314.30000000005</v>
      </c>
      <c r="D289" s="22" t="s">
        <v>710</v>
      </c>
      <c r="E289" s="22" t="s">
        <v>49</v>
      </c>
      <c r="F289" s="23" t="str">
        <f>HYPERLINK("https://www.spark-marketing.ru/Card/Lot/74264013", "Оказание услуг по техническому обслуживанию инженерно-технических средств охраны базы Оренбургских тепловых сетей филиала «Оренбургский» ПАО «Т Плюс»")</f>
        <v>Оказание услуг по техническому обслуживанию инженерно-технических средств охраны базы Оренбургских тепловых сетей филиала «Оренбургский» ПАО «Т Плюс»</v>
      </c>
      <c r="G289" s="22" t="s">
        <v>384</v>
      </c>
      <c r="H289" s="22" t="s">
        <v>696</v>
      </c>
      <c r="I289" s="26">
        <v>43748</v>
      </c>
      <c r="J289" s="28" t="s">
        <v>52</v>
      </c>
      <c r="K289" s="28" t="s">
        <v>52</v>
      </c>
      <c r="L289" s="28" t="s">
        <v>52</v>
      </c>
      <c r="M289" s="28" t="s">
        <v>52</v>
      </c>
      <c r="N289" s="28" t="s">
        <v>52</v>
      </c>
    </row>
    <row r="290" spans="1:14" x14ac:dyDescent="0.15">
      <c r="A290" s="23" t="str">
        <f>HYPERLINK("https://www.spark-marketing.ru/Card/Person/130109", "ПАО БАНК ""ФК ОТКРЫТИЕ""")</f>
        <v>ПАО БАНК "ФК ОТКРЫТИЕ"</v>
      </c>
      <c r="B290" s="24" t="s">
        <v>693</v>
      </c>
      <c r="C290" s="25">
        <v>8160000</v>
      </c>
      <c r="D290" s="22" t="s">
        <v>711</v>
      </c>
      <c r="E290" s="22" t="s">
        <v>53</v>
      </c>
      <c r="F290" s="23" t="str">
        <f>HYPERLINK("https://www.spark-marketing.ru/Card/Lot/74256134", "Оказание услуг по техническому обслуживанию систем охранно-тревожной сигнализаций, систем контроля и управления доступом, систем охранного телевидения установленных на объектах ПАО Банк «ФК Открытие» в г. Санкт-Петербурге и Ленинградской области.")</f>
        <v>Оказание услуг по техническому обслуживанию систем охранно-тревожной сигнализаций, систем контроля и управления доступом, систем охранного телевидения установленных на объектах ПАО Банк «ФК Открытие» в г. Санкт-Петербурге и Ленинградской области.</v>
      </c>
      <c r="G290" s="22" t="s">
        <v>55</v>
      </c>
      <c r="H290" s="22" t="s">
        <v>55</v>
      </c>
      <c r="I290" s="26">
        <v>43747.958333333299</v>
      </c>
      <c r="J290" s="28" t="s">
        <v>52</v>
      </c>
      <c r="K290" s="28" t="s">
        <v>52</v>
      </c>
      <c r="L290" s="28" t="s">
        <v>52</v>
      </c>
      <c r="M290" s="28" t="s">
        <v>52</v>
      </c>
      <c r="N290" s="28" t="s">
        <v>52</v>
      </c>
    </row>
    <row r="291" spans="1:14" x14ac:dyDescent="0.15">
      <c r="A291" s="23" t="str">
        <f>HYPERLINK("https://www.spark-marketing.ru/Card/Person/4376909", "МА ВМО ЛЕНИНСКОГО МО")</f>
        <v>МА ВМО ЛЕНИНСКОГО МО</v>
      </c>
      <c r="B291" s="24" t="s">
        <v>712</v>
      </c>
      <c r="C291" s="25">
        <v>220000</v>
      </c>
      <c r="D291" s="22" t="s">
        <v>713</v>
      </c>
      <c r="E291" s="22" t="s">
        <v>84</v>
      </c>
      <c r="F291" s="23" t="str">
        <f>HYPERLINK("https://www.spark-marketing.ru/Card/Lot/74243652", "Закупка товаров, работ, услуг для обеспечения мероприятий в рамках реализации муниципальной программы «Участие в профилактике терроризма и экстремизма, а также минимизации и (или) ликвидации последствий проявлений терроризма и экстремизма, гармонизац...")</f>
        <v>Закупка товаров, работ, услуг для обеспечения мероприятий в рамках реализации муниципальной программы «Участие в профилактике терроризма и экстремизма, а также минимизации и (или) ликвидации последствий проявлений терроризма и экстремизма, гармонизац...</v>
      </c>
      <c r="G291" s="22" t="s">
        <v>714</v>
      </c>
      <c r="H291" s="22" t="s">
        <v>714</v>
      </c>
      <c r="I291" s="26">
        <v>43747.751388888901</v>
      </c>
      <c r="J291" s="28" t="s">
        <v>52</v>
      </c>
      <c r="K291" s="28" t="s">
        <v>52</v>
      </c>
      <c r="L291" s="28" t="s">
        <v>52</v>
      </c>
      <c r="M291" s="28" t="s">
        <v>52</v>
      </c>
      <c r="N291" s="28" t="s">
        <v>52</v>
      </c>
    </row>
    <row r="292" spans="1:14" x14ac:dyDescent="0.15">
      <c r="A292" s="23" t="str">
        <f>HYPERLINK("https://www.spark-marketing.ru/Card/Person/72267", "ГБУЗ ""АБИНСКАЯ ЦРБ"" МЗ КК")</f>
        <v>ГБУЗ "АБИНСКАЯ ЦРБ" МЗ КК</v>
      </c>
      <c r="B292" s="24" t="s">
        <v>715</v>
      </c>
      <c r="C292" s="25">
        <v>628970.76</v>
      </c>
      <c r="D292" s="22" t="s">
        <v>716</v>
      </c>
      <c r="E292" s="22" t="s">
        <v>68</v>
      </c>
      <c r="F292" s="23" t="str">
        <f>HYPERLINK("https://www.spark-marketing.ru/Card/Lot/74245209", "Оказание услуг по охране объектов и имущества ГБУЗ «Абинская ЦРБ» МЗ КК в 2020 году")</f>
        <v>Оказание услуг по охране объектов и имущества ГБУЗ «Абинская ЦРБ» МЗ КК в 2020 году</v>
      </c>
      <c r="G292" s="22" t="s">
        <v>132</v>
      </c>
      <c r="H292" s="22" t="s">
        <v>717</v>
      </c>
      <c r="I292" s="26">
        <v>43747.709027777797</v>
      </c>
      <c r="J292" s="28" t="s">
        <v>52</v>
      </c>
      <c r="K292" s="28" t="s">
        <v>52</v>
      </c>
      <c r="L292" s="28" t="s">
        <v>52</v>
      </c>
      <c r="M292" s="28" t="s">
        <v>52</v>
      </c>
      <c r="N292" s="28" t="s">
        <v>52</v>
      </c>
    </row>
    <row r="293" spans="1:14" x14ac:dyDescent="0.15">
      <c r="A293" s="23" t="str">
        <f>HYPERLINK("https://www.spark-marketing.ru/Card/Person/18894", "КГБУЗ ""СПАССКАЯ ГБ""")</f>
        <v>КГБУЗ "СПАССКАЯ ГБ"</v>
      </c>
      <c r="B293" s="24" t="s">
        <v>718</v>
      </c>
      <c r="C293" s="25">
        <v>220187.16</v>
      </c>
      <c r="D293" s="22" t="s">
        <v>719</v>
      </c>
      <c r="E293" s="22" t="s">
        <v>68</v>
      </c>
      <c r="F293" s="23" t="str">
        <f>HYPERLINK("https://www.spark-marketing.ru/Card/Lot/74233107", "Оказание услуг по централизованной охране объекта краевого государственного бюджетного учреждения здравоохранения «Спасская городская больница» в 2020 году")</f>
        <v>Оказание услуг по централизованной охране объекта краевого государственного бюджетного учреждения здравоохранения «Спасская городская больница» в 2020 году</v>
      </c>
      <c r="G293" s="22" t="s">
        <v>409</v>
      </c>
      <c r="H293" s="22" t="s">
        <v>720</v>
      </c>
      <c r="I293" s="26">
        <v>43747.395138888904</v>
      </c>
      <c r="J293" s="28" t="s">
        <v>52</v>
      </c>
      <c r="K293" s="28" t="s">
        <v>52</v>
      </c>
      <c r="L293" s="28" t="s">
        <v>52</v>
      </c>
      <c r="M293" s="28" t="s">
        <v>52</v>
      </c>
      <c r="N293" s="28" t="s">
        <v>52</v>
      </c>
    </row>
    <row r="294" spans="1:14" x14ac:dyDescent="0.15">
      <c r="A294" s="23" t="str">
        <f>HYPERLINK("https://www.spark-marketing.ru/Card/Person/4347824", "МИНАВТОДОР")</f>
        <v>МИНАВТОДОР</v>
      </c>
      <c r="B294" s="24" t="s">
        <v>721</v>
      </c>
      <c r="C294" s="25">
        <v>2300000</v>
      </c>
      <c r="D294" s="22" t="s">
        <v>722</v>
      </c>
      <c r="E294" s="22" t="s">
        <v>723</v>
      </c>
      <c r="F294" s="23" t="str">
        <f>HYPERLINK("https://www.spark-marketing.ru/Card/Lot/74249072", "Выполнение работ по установке и внедрению комплекса фото-видеофиксации по измерению скоростного режима транспортных средств в движении, сбора данных, контроля и мониторинга ФВФ и контроля дорожной ситуации на 2 км подъезда от а/д Р-217 «Кавказ» к г. ...")</f>
        <v>Выполнение работ по установке и внедрению комплекса фото-видеофиксации по измерению скоростного режима транспортных средств в движении, сбора данных, контроля и мониторинга ФВФ и контроля дорожной ситуации на 2 км подъезда от а/д Р-217 «Кавказ» к г. ...</v>
      </c>
      <c r="G294" s="22" t="s">
        <v>724</v>
      </c>
      <c r="H294" s="22" t="s">
        <v>724</v>
      </c>
      <c r="I294" s="26">
        <v>43747.706250000003</v>
      </c>
      <c r="J294" s="28" t="s">
        <v>52</v>
      </c>
      <c r="K294" s="28" t="s">
        <v>52</v>
      </c>
      <c r="L294" s="28" t="s">
        <v>52</v>
      </c>
      <c r="M294" s="28" t="s">
        <v>52</v>
      </c>
      <c r="N294" s="28" t="s">
        <v>52</v>
      </c>
    </row>
    <row r="295" spans="1:14" x14ac:dyDescent="0.15">
      <c r="A295" s="23" t="str">
        <f>HYPERLINK("https://www.spark-marketing.ru/Card/Person/7097", "ГБУ ЯНАО ""ЦЕНТР ""ГАРМОНИЯ"" В МО Г. НОЯБРЬСК""")</f>
        <v>ГБУ ЯНАО "ЦЕНТР "ГАРМОНИЯ" В МО Г. НОЯБРЬСК"</v>
      </c>
      <c r="B295" s="24" t="s">
        <v>725</v>
      </c>
      <c r="C295" s="25">
        <v>850000</v>
      </c>
      <c r="D295" s="22" t="s">
        <v>726</v>
      </c>
      <c r="E295" s="22" t="s">
        <v>52</v>
      </c>
      <c r="F295" s="23" t="str">
        <f>HYPERLINK("https://www.spark-marketing.ru/Card/Lot/74246093", "Оказание услуг по круглосуточной охране объекта")</f>
        <v>Оказание услуг по круглосуточной охране объекта</v>
      </c>
      <c r="G295" s="22" t="s">
        <v>311</v>
      </c>
      <c r="H295" s="22" t="s">
        <v>727</v>
      </c>
      <c r="I295" s="26">
        <v>43747.583333333299</v>
      </c>
      <c r="J295" s="28" t="s">
        <v>52</v>
      </c>
      <c r="K295" s="28" t="s">
        <v>52</v>
      </c>
      <c r="L295" s="28" t="s">
        <v>52</v>
      </c>
      <c r="M295" s="28" t="s">
        <v>52</v>
      </c>
      <c r="N295" s="28" t="s">
        <v>52</v>
      </c>
    </row>
    <row r="296" spans="1:14" x14ac:dyDescent="0.15">
      <c r="A296" s="23" t="str">
        <f>HYPERLINK("https://www.spark-marketing.ru/Card/Person/81504", "ГБОУ СОШ № 608 ИМЕНИ ГЕРОЯ СОВЕТСКОГО СОЮЗА ЗИНЫ ПОРТНОВОЙ КИРОВСКОГО РАЙОНА САНКТ-ПЕТЕРБУРГА")</f>
        <v>ГБОУ СОШ № 608 ИМЕНИ ГЕРОЯ СОВЕТСКОГО СОЮЗА ЗИНЫ ПОРТНОВОЙ КИРОВСКОГО РАЙОНА САНКТ-ПЕТЕРБУРГА</v>
      </c>
      <c r="B296" s="24" t="s">
        <v>728</v>
      </c>
      <c r="C296" s="25">
        <v>2068623.68</v>
      </c>
      <c r="D296" s="22" t="s">
        <v>729</v>
      </c>
      <c r="E296" s="22" t="s">
        <v>84</v>
      </c>
      <c r="F296" s="23" t="str">
        <f>HYPERLINK("https://www.spark-marketing.ru/Card/Lot/74248453", "Выполнение работ по установке системы видеонаблюдения")</f>
        <v>Выполнение работ по установке системы видеонаблюдения</v>
      </c>
      <c r="G296" s="22" t="s">
        <v>89</v>
      </c>
      <c r="H296" s="22" t="s">
        <v>89</v>
      </c>
      <c r="I296" s="26">
        <v>43747.631249999999</v>
      </c>
      <c r="J296" s="28" t="s">
        <v>52</v>
      </c>
      <c r="K296" s="28" t="s">
        <v>52</v>
      </c>
      <c r="L296" s="28" t="s">
        <v>52</v>
      </c>
      <c r="M296" s="28" t="s">
        <v>52</v>
      </c>
      <c r="N296" s="28" t="s">
        <v>52</v>
      </c>
    </row>
    <row r="297" spans="1:14" x14ac:dyDescent="0.15">
      <c r="A297" s="23" t="str">
        <f>HYPERLINK("https://www.spark-marketing.ru/Card/Person/1044445", "МОУ ВЕРЕЙСКАЯ СОШ № 19")</f>
        <v>МОУ ВЕРЕЙСКАЯ СОШ № 19</v>
      </c>
      <c r="B297" s="24" t="s">
        <v>730</v>
      </c>
      <c r="C297" s="25">
        <v>23406.25</v>
      </c>
      <c r="D297" s="22" t="s">
        <v>731</v>
      </c>
      <c r="E297" s="22" t="s">
        <v>732</v>
      </c>
      <c r="F297" s="23" t="str">
        <f>HYPERLINK("https://www.spark-marketing.ru/Card/Lot/74235965", "Оказание услуг по установке видеодомофона")</f>
        <v>Оказание услуг по установке видеодомофона</v>
      </c>
      <c r="G297" s="22" t="s">
        <v>50</v>
      </c>
      <c r="H297" s="22" t="s">
        <v>104</v>
      </c>
      <c r="I297" s="26">
        <v>43747.628541666701</v>
      </c>
      <c r="J297" s="28" t="s">
        <v>52</v>
      </c>
      <c r="K297" s="28" t="s">
        <v>52</v>
      </c>
      <c r="L297" s="28" t="s">
        <v>52</v>
      </c>
      <c r="M297" s="28" t="s">
        <v>52</v>
      </c>
      <c r="N297" s="28" t="s">
        <v>52</v>
      </c>
    </row>
    <row r="298" spans="1:14" x14ac:dyDescent="0.15">
      <c r="A298" s="23" t="str">
        <f>HYPERLINK("https://www.spark-marketing.ru/Card/Person/4349319", "ГБПОУ КК КМСК")</f>
        <v>ГБПОУ КК КМСК</v>
      </c>
      <c r="B298" s="24" t="s">
        <v>733</v>
      </c>
      <c r="C298" s="25">
        <v>2239565.06</v>
      </c>
      <c r="D298" s="22" t="s">
        <v>734</v>
      </c>
      <c r="E298" s="22" t="s">
        <v>84</v>
      </c>
      <c r="F298" s="23" t="str">
        <f>HYPERLINK("https://www.spark-marketing.ru/Card/Lot/74248920", "Установка системы видеонаблюдения для нужд ГБПОУ КК КМСК по адресу: г. Краснодар , ул. Красная, д.186, 188 ; ул. Северная,309")</f>
        <v>Установка системы видеонаблюдения для нужд ГБПОУ КК КМСК по адресу: г. Краснодар , ул. Красная, д.186, 188 ; ул. Северная,309</v>
      </c>
      <c r="G298" s="22" t="s">
        <v>132</v>
      </c>
      <c r="H298" s="22" t="s">
        <v>652</v>
      </c>
      <c r="I298" s="26">
        <v>43747.65625</v>
      </c>
      <c r="J298" s="28" t="s">
        <v>52</v>
      </c>
      <c r="K298" s="28" t="s">
        <v>52</v>
      </c>
      <c r="L298" s="28" t="s">
        <v>52</v>
      </c>
      <c r="M298" s="28" t="s">
        <v>52</v>
      </c>
      <c r="N298" s="28" t="s">
        <v>52</v>
      </c>
    </row>
    <row r="299" spans="1:14" x14ac:dyDescent="0.15">
      <c r="A299" s="23" t="str">
        <f>HYPERLINK("https://www.spark-marketing.ru/Card/Person/4348528", "АО ИК ""АСЭ""")</f>
        <v>АО ИК "АСЭ"</v>
      </c>
      <c r="B299" s="24" t="s">
        <v>62</v>
      </c>
      <c r="C299" s="25">
        <v>0</v>
      </c>
      <c r="D299" s="22" t="s">
        <v>735</v>
      </c>
      <c r="E299" s="22" t="s">
        <v>53</v>
      </c>
      <c r="F299" s="23" t="str">
        <f>HYPERLINK("https://www.spark-marketing.ru/Card/Lot/74244752", "мониторинг цен в электронной форме на Оказание услуг по техническому обслуживанию комплекса технических средств охраны (кнопка тревожной сигнализации) установленной в караульном помещении по адресу: г. Санкт-Петербург, ул. Савушкина, д. 82 лит. А")</f>
        <v>мониторинг цен в электронной форме на Оказание услуг по техническому обслуживанию комплекса технических средств охраны (кнопка тревожной сигнализации) установленной в караульном помещении по адресу: г. Санкт-Петербург, ул. Савушкина, д. 82 лит. А</v>
      </c>
      <c r="G299" s="22" t="s">
        <v>64</v>
      </c>
      <c r="H299" s="22" t="s">
        <v>65</v>
      </c>
      <c r="I299" s="26">
        <v>43747.589305555601</v>
      </c>
      <c r="J299" s="28" t="s">
        <v>52</v>
      </c>
      <c r="K299" s="28" t="s">
        <v>52</v>
      </c>
      <c r="L299" s="28" t="s">
        <v>52</v>
      </c>
      <c r="M299" s="28" t="s">
        <v>52</v>
      </c>
      <c r="N299" s="28" t="s">
        <v>52</v>
      </c>
    </row>
    <row r="300" spans="1:14" x14ac:dyDescent="0.15">
      <c r="A300" s="23" t="str">
        <f>HYPERLINK("https://www.spark-marketing.ru/Card/Person/1030816", "МДОУ ДЕТСКИЙ САД ОБЩЕРАЗВИВАЮЩЕГО ВИДА № 25 ""ЧЕБУРАШКА""")</f>
        <v>МДОУ ДЕТСКИЙ САД ОБЩЕРАЗВИВАЮЩЕГО ВИДА № 25 "ЧЕБУРАШКА"</v>
      </c>
      <c r="B300" s="24" t="s">
        <v>736</v>
      </c>
      <c r="C300" s="25">
        <v>152000</v>
      </c>
      <c r="D300" s="22" t="s">
        <v>737</v>
      </c>
      <c r="E300" s="22" t="s">
        <v>84</v>
      </c>
      <c r="F300" s="23" t="str">
        <f>HYPERLINK("https://www.spark-marketing.ru/Card/Lot/74233565", "Услуги по согласованию паспортов и мест размещения камер видеонаблюдения, установке и подключения оборудования системы видеонаблюдения в соответствии с общими техническими требованиями к системам видеонаблюдения технологического обеспечения региональ...")</f>
        <v>Услуги по согласованию паспортов и мест размещения камер видеонаблюдения, установке и подключения оборудования системы видеонаблюдения в соответствии с общими техническими требованиями к системам видеонаблюдения технологического обеспечения региональ...</v>
      </c>
      <c r="G300" s="22" t="s">
        <v>50</v>
      </c>
      <c r="H300" s="22" t="s">
        <v>738</v>
      </c>
      <c r="I300" s="26">
        <v>43747.544513888897</v>
      </c>
      <c r="J300" s="28" t="s">
        <v>52</v>
      </c>
      <c r="K300" s="28" t="s">
        <v>52</v>
      </c>
      <c r="L300" s="28" t="s">
        <v>52</v>
      </c>
      <c r="M300" s="28" t="s">
        <v>52</v>
      </c>
      <c r="N300" s="28" t="s">
        <v>52</v>
      </c>
    </row>
    <row r="301" spans="1:14" x14ac:dyDescent="0.15">
      <c r="A301" s="23" t="str">
        <f>HYPERLINK("https://www.spark-marketing.ru/Card/Person/19979", "ПРИОКСКИЙ ТЫЛОВОЙ ТАМОЖЕННЫЙ ПОСТ")</f>
        <v>ПРИОКСКИЙ ТЫЛОВОЙ ТАМОЖЕННЫЙ ПОСТ</v>
      </c>
      <c r="B301" s="24" t="s">
        <v>739</v>
      </c>
      <c r="C301" s="25">
        <v>127306.67</v>
      </c>
      <c r="D301" s="22" t="s">
        <v>740</v>
      </c>
      <c r="E301" s="22" t="s">
        <v>84</v>
      </c>
      <c r="F301" s="23" t="str">
        <f>HYPERLINK("https://www.spark-marketing.ru/Card/Lot/74237998", "Оказание услуг по установке видеокамер охранного теленаблюдения для нужд Приокского тылового таможенного поста по адресу Калуга, ул.Литвиновская, 2а")</f>
        <v>Оказание услуг по установке видеокамер охранного теленаблюдения для нужд Приокского тылового таможенного поста по адресу Калуга, ул.Литвиновская, 2а</v>
      </c>
      <c r="G301" s="22" t="s">
        <v>658</v>
      </c>
      <c r="H301" s="22" t="s">
        <v>741</v>
      </c>
      <c r="I301" s="26">
        <v>43747.545138888898</v>
      </c>
      <c r="J301" s="28" t="s">
        <v>52</v>
      </c>
      <c r="K301" s="28" t="s">
        <v>52</v>
      </c>
      <c r="L301" s="28" t="s">
        <v>52</v>
      </c>
      <c r="M301" s="28" t="s">
        <v>52</v>
      </c>
      <c r="N301" s="28" t="s">
        <v>52</v>
      </c>
    </row>
    <row r="302" spans="1:14" x14ac:dyDescent="0.15">
      <c r="A302" s="23" t="str">
        <f>HYPERLINK("https://www.spark-marketing.ru/Card/Person/997269", "МОУ ЧЕРКИЗОВСКАЯ ОСНОВНАЯ ОБЩЕОБРАЗОВАТЕЛЬНАЯ ШКОЛА")</f>
        <v>МОУ ЧЕРКИЗОВСКАЯ ОСНОВНАЯ ОБЩЕОБРАЗОВАТЕЛЬНАЯ ШКОЛА</v>
      </c>
      <c r="B302" s="24" t="s">
        <v>742</v>
      </c>
      <c r="C302" s="25">
        <v>209000</v>
      </c>
      <c r="D302" s="22" t="s">
        <v>743</v>
      </c>
      <c r="E302" s="22" t="s">
        <v>84</v>
      </c>
      <c r="F302" s="23" t="str">
        <f>HYPERLINK("https://www.spark-marketing.ru/Card/Lot/74232133", "услуги по согласованию паспортов и мест размещения камер видеонаблюдения, 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технологического обесп...")</f>
        <v>услуги по согласованию паспортов и мест размещения камер видеонаблюдения, 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технологического обесп...</v>
      </c>
      <c r="G302" s="22" t="s">
        <v>50</v>
      </c>
      <c r="H302" s="22" t="s">
        <v>682</v>
      </c>
      <c r="I302" s="26">
        <v>43747.504363425898</v>
      </c>
      <c r="J302" s="28" t="s">
        <v>52</v>
      </c>
      <c r="K302" s="28" t="s">
        <v>52</v>
      </c>
      <c r="L302" s="28" t="s">
        <v>52</v>
      </c>
      <c r="M302" s="28" t="s">
        <v>52</v>
      </c>
      <c r="N302" s="28" t="s">
        <v>52</v>
      </c>
    </row>
    <row r="303" spans="1:14" x14ac:dyDescent="0.15">
      <c r="A303" s="23" t="str">
        <f>HYPERLINK("https://www.spark-marketing.ru/Card/Person/4346781", "ПАО ""МСЗ""")</f>
        <v>ПАО "МСЗ"</v>
      </c>
      <c r="B303" s="24" t="s">
        <v>744</v>
      </c>
      <c r="C303" s="28" t="s">
        <v>52</v>
      </c>
      <c r="D303" s="22" t="s">
        <v>745</v>
      </c>
      <c r="E303" s="22" t="s">
        <v>746</v>
      </c>
      <c r="F303" s="23" t="str">
        <f>HYPERLINK("https://www.spark-marketing.ru/Card/Lot/74232708", "услуги по Обслуживанию систем безопасности (включая системы общепромышленной, ядерной, радиационной безопасности, физической защиты, охраны окружающей среды) объектов капитального строительства ПАО «МСЗ», находящийся по адресу: Московская область, г....")</f>
        <v>услуги по Обслуживанию систем безопасности (включая системы общепромышленной, ядерной, радиационной безопасности, физической защиты, охраны окружающей среды) объектов капитального строительства ПАО «МСЗ», находящийся по адресу: Московская область, г....</v>
      </c>
      <c r="G303" s="22" t="s">
        <v>50</v>
      </c>
      <c r="H303" s="22" t="s">
        <v>747</v>
      </c>
      <c r="I303" s="26">
        <v>43747.483391203699</v>
      </c>
      <c r="J303" s="28" t="s">
        <v>52</v>
      </c>
      <c r="K303" s="28" t="s">
        <v>52</v>
      </c>
      <c r="L303" s="28" t="s">
        <v>52</v>
      </c>
      <c r="M303" s="28" t="s">
        <v>52</v>
      </c>
      <c r="N303" s="28" t="s">
        <v>52</v>
      </c>
    </row>
    <row r="304" spans="1:14" x14ac:dyDescent="0.15">
      <c r="A304" s="23" t="str">
        <f>HYPERLINK("https://www.spark-marketing.ru/Card/Person/4772542", "АО ""ЭЦМ""")</f>
        <v>АО "ЭЦМ"</v>
      </c>
      <c r="B304" s="24" t="s">
        <v>748</v>
      </c>
      <c r="C304" s="25">
        <v>0</v>
      </c>
      <c r="D304" s="22" t="s">
        <v>749</v>
      </c>
      <c r="E304" s="22" t="s">
        <v>53</v>
      </c>
      <c r="F304" s="23" t="str">
        <f>HYPERLINK("https://www.spark-marketing.ru/Card/Lot/74251913", "IP монитор «Dahua»")</f>
        <v>IP монитор «Dahua»</v>
      </c>
      <c r="G304" s="22" t="s">
        <v>204</v>
      </c>
      <c r="H304" s="22" t="s">
        <v>750</v>
      </c>
      <c r="I304" s="26">
        <v>43747.481458333299</v>
      </c>
      <c r="J304" s="28" t="s">
        <v>52</v>
      </c>
      <c r="K304" s="28" t="s">
        <v>52</v>
      </c>
      <c r="L304" s="28" t="s">
        <v>52</v>
      </c>
      <c r="M304" s="28" t="s">
        <v>52</v>
      </c>
      <c r="N304" s="28" t="s">
        <v>52</v>
      </c>
    </row>
    <row r="305" spans="1:14" x14ac:dyDescent="0.15">
      <c r="A305" s="23" t="str">
        <f>HYPERLINK("https://www.spark-marketing.ru/Card/Person/4346781", "ПАО ""МСЗ""")</f>
        <v>ПАО "МСЗ"</v>
      </c>
      <c r="B305" s="24" t="s">
        <v>744</v>
      </c>
      <c r="C305" s="25">
        <v>0</v>
      </c>
      <c r="D305" s="22" t="s">
        <v>751</v>
      </c>
      <c r="E305" s="22" t="s">
        <v>53</v>
      </c>
      <c r="F305" s="23" t="str">
        <f>HYPERLINK("https://www.spark-marketing.ru/Card/Lot/74238509", "мониторинг цен в электронной форме на услуги по Обслуживанию систем безопасности (включая системы общепромышленной, ядерной, радиационной безопасности, физической защиты, охраны окружающей среды) объектов капитального строительства ПАО «МСЗ», находящ...")</f>
        <v>мониторинг цен в электронной форме на услуги по Обслуживанию систем безопасности (включая системы общепромышленной, ядерной, радиационной безопасности, физической защиты, охраны окружающей среды) объектов капитального строительства ПАО «МСЗ», находящ...</v>
      </c>
      <c r="G305" s="22" t="s">
        <v>50</v>
      </c>
      <c r="H305" s="22" t="s">
        <v>747</v>
      </c>
      <c r="I305" s="26">
        <v>43747.483275462997</v>
      </c>
      <c r="J305" s="28" t="s">
        <v>52</v>
      </c>
      <c r="K305" s="28" t="s">
        <v>52</v>
      </c>
      <c r="L305" s="28" t="s">
        <v>52</v>
      </c>
      <c r="M305" s="28" t="s">
        <v>52</v>
      </c>
      <c r="N305" s="28" t="s">
        <v>52</v>
      </c>
    </row>
    <row r="306" spans="1:14" x14ac:dyDescent="0.15">
      <c r="A306" s="23" t="str">
        <f>HYPERLINK("https://www.spark-marketing.ru/Card/Person/4772542", "АО ""ЭЦМ""")</f>
        <v>АО "ЭЦМ"</v>
      </c>
      <c r="B306" s="24" t="s">
        <v>748</v>
      </c>
      <c r="C306" s="25">
        <v>0</v>
      </c>
      <c r="D306" s="22" t="s">
        <v>749</v>
      </c>
      <c r="E306" s="22" t="s">
        <v>53</v>
      </c>
      <c r="F306" s="23" t="str">
        <f>HYPERLINK("https://www.spark-marketing.ru/Card/Lot/74251907", "Комплект цветного видеодомофона HorizontVDP111")</f>
        <v>Комплект цветного видеодомофона HorizontVDP111</v>
      </c>
      <c r="G306" s="22" t="s">
        <v>204</v>
      </c>
      <c r="H306" s="22" t="s">
        <v>750</v>
      </c>
      <c r="I306" s="26">
        <v>43747.481458333299</v>
      </c>
      <c r="J306" s="28" t="s">
        <v>52</v>
      </c>
      <c r="K306" s="28" t="s">
        <v>52</v>
      </c>
      <c r="L306" s="28" t="s">
        <v>52</v>
      </c>
      <c r="M306" s="28" t="s">
        <v>52</v>
      </c>
      <c r="N306" s="28" t="s">
        <v>52</v>
      </c>
    </row>
    <row r="307" spans="1:14" x14ac:dyDescent="0.15">
      <c r="A307" s="23" t="str">
        <f>HYPERLINK("https://www.spark-marketing.ru/Card/Person/4772542", "АО ""ЭЦМ""")</f>
        <v>АО "ЭЦМ"</v>
      </c>
      <c r="B307" s="24" t="s">
        <v>748</v>
      </c>
      <c r="C307" s="25">
        <v>0</v>
      </c>
      <c r="D307" s="22" t="s">
        <v>749</v>
      </c>
      <c r="E307" s="22" t="s">
        <v>53</v>
      </c>
      <c r="F307" s="23" t="str">
        <f>HYPERLINK("https://www.spark-marketing.ru/Card/Lot/74251910", "SW-5000KIT- комплект приводов для распашных ворот (DOORHAN). Блок управления PCB-SWдля распашных приводов (DOORHAN) Лампа сигнальная LAMPс антенной 220В (DOORHAN) Фотоэлементы PI 10TOCELL-Nдальность до 20м (DOORHAN)")</f>
        <v>SW-5000KIT- комплект приводов для распашных ворот (DOORHAN). Блок управления PCB-SWдля распашных приводов (DOORHAN) Лампа сигнальная LAMPс антенной 220В (DOORHAN) Фотоэлементы PI 10TOCELL-Nдальность до 20м (DOORHAN)</v>
      </c>
      <c r="G307" s="22" t="s">
        <v>204</v>
      </c>
      <c r="H307" s="22" t="s">
        <v>750</v>
      </c>
      <c r="I307" s="26">
        <v>43747.481458333299</v>
      </c>
      <c r="J307" s="28" t="s">
        <v>52</v>
      </c>
      <c r="K307" s="28" t="s">
        <v>52</v>
      </c>
      <c r="L307" s="28" t="s">
        <v>52</v>
      </c>
      <c r="M307" s="28" t="s">
        <v>52</v>
      </c>
      <c r="N307" s="28" t="s">
        <v>52</v>
      </c>
    </row>
    <row r="308" spans="1:14" x14ac:dyDescent="0.15">
      <c r="A308" s="23" t="str">
        <f>HYPERLINK("https://www.spark-marketing.ru/Card/Person/4772542", "АО ""ЭЦМ""")</f>
        <v>АО "ЭЦМ"</v>
      </c>
      <c r="B308" s="24" t="s">
        <v>748</v>
      </c>
      <c r="C308" s="25">
        <v>0</v>
      </c>
      <c r="D308" s="22" t="s">
        <v>749</v>
      </c>
      <c r="E308" s="22" t="s">
        <v>53</v>
      </c>
      <c r="F308" s="23" t="str">
        <f>HYPERLINK("https://www.spark-marketing.ru/Card/Lot/74251911", "PoE коммутатор 5ти портовый")</f>
        <v>PoE коммутатор 5ти портовый</v>
      </c>
      <c r="G308" s="22" t="s">
        <v>204</v>
      </c>
      <c r="H308" s="22" t="s">
        <v>750</v>
      </c>
      <c r="I308" s="26">
        <v>43747.481458333299</v>
      </c>
      <c r="J308" s="28" t="s">
        <v>52</v>
      </c>
      <c r="K308" s="28" t="s">
        <v>52</v>
      </c>
      <c r="L308" s="28" t="s">
        <v>52</v>
      </c>
      <c r="M308" s="28" t="s">
        <v>52</v>
      </c>
      <c r="N308" s="28" t="s">
        <v>52</v>
      </c>
    </row>
    <row r="309" spans="1:14" x14ac:dyDescent="0.15">
      <c r="A309" s="23" t="str">
        <f>HYPERLINK("https://www.spark-marketing.ru/Card/Person/4772542", "АО ""ЭЦМ""")</f>
        <v>АО "ЭЦМ"</v>
      </c>
      <c r="B309" s="24" t="s">
        <v>748</v>
      </c>
      <c r="C309" s="25">
        <v>0</v>
      </c>
      <c r="D309" s="22" t="s">
        <v>749</v>
      </c>
      <c r="E309" s="22" t="s">
        <v>53</v>
      </c>
      <c r="F309" s="23" t="str">
        <f>HYPERLINK("https://www.spark-marketing.ru/Card/Lot/74251908", "CTV-D1000HDВ Цветная вызывная видеопанель 700ТВЛ, (черная), уголок и козырек в комплекте, Р=4,3мм (60град.), -40- +50, 42мм х 140мм х 30мм")</f>
        <v>CTV-D1000HDВ Цветная вызывная видеопанель 700ТВЛ, (черная), уголок и козырек в комплекте, Р=4,3мм (60град.), -40- +50, 42мм х 140мм х 30мм</v>
      </c>
      <c r="G309" s="22" t="s">
        <v>204</v>
      </c>
      <c r="H309" s="22" t="s">
        <v>750</v>
      </c>
      <c r="I309" s="26">
        <v>43747.481458333299</v>
      </c>
      <c r="J309" s="28" t="s">
        <v>52</v>
      </c>
      <c r="K309" s="28" t="s">
        <v>52</v>
      </c>
      <c r="L309" s="28" t="s">
        <v>52</v>
      </c>
      <c r="M309" s="28" t="s">
        <v>52</v>
      </c>
      <c r="N309" s="28" t="s">
        <v>52</v>
      </c>
    </row>
    <row r="310" spans="1:14" x14ac:dyDescent="0.15">
      <c r="A310" s="23" t="str">
        <f>HYPERLINK("https://www.spark-marketing.ru/Card/Person/31865", "АО ""ОКБМ АФРИКАНТОВ""")</f>
        <v>АО "ОКБМ АФРИКАНТОВ"</v>
      </c>
      <c r="B310" s="24" t="s">
        <v>752</v>
      </c>
      <c r="C310" s="25">
        <v>1442802.48</v>
      </c>
      <c r="D310" s="22" t="s">
        <v>753</v>
      </c>
      <c r="E310" s="22" t="s">
        <v>53</v>
      </c>
      <c r="F310" s="23" t="str">
        <f>HYPERLINK("https://www.spark-marketing.ru/Card/Lot/74238502", "Право заключения договора на Оказание услуг по охране здания, имущества и общественного порядка Делового центра АО «ОКБМ Африкантов», г. Нижний Новгород, ул. Шаляпина, 23А")</f>
        <v>Право заключения договора на Оказание услуг по охране здания, имущества и общественного порядка Делового центра АО «ОКБМ Африкантов», г. Нижний Новгород, ул. Шаляпина, 23А</v>
      </c>
      <c r="G310" s="22" t="s">
        <v>64</v>
      </c>
      <c r="H310" s="22" t="s">
        <v>65</v>
      </c>
      <c r="I310" s="26">
        <v>43747.466122685197</v>
      </c>
      <c r="J310" s="28" t="s">
        <v>52</v>
      </c>
      <c r="K310" s="28" t="s">
        <v>52</v>
      </c>
      <c r="L310" s="28" t="s">
        <v>52</v>
      </c>
      <c r="M310" s="28" t="s">
        <v>52</v>
      </c>
      <c r="N310" s="28" t="s">
        <v>52</v>
      </c>
    </row>
    <row r="311" spans="1:14" x14ac:dyDescent="0.15">
      <c r="A311" s="23" t="str">
        <f>HYPERLINK("https://www.spark-marketing.ru/Card/Person/123352", "МБОУ ""ООШ П. ТУГОЛЕССКИЙ БОР""")</f>
        <v>МБОУ "ООШ П. ТУГОЛЕССКИЙ БОР"</v>
      </c>
      <c r="B311" s="24" t="s">
        <v>754</v>
      </c>
      <c r="C311" s="25">
        <v>24000</v>
      </c>
      <c r="D311" s="22" t="s">
        <v>755</v>
      </c>
      <c r="E311" s="22" t="s">
        <v>294</v>
      </c>
      <c r="F311" s="23" t="str">
        <f>HYPERLINK("https://www.spark-marketing.ru/Card/Lot/74232208", "Услуги по техническому обслуживанию камер видеонаблюдения")</f>
        <v>Услуги по техническому обслуживанию камер видеонаблюдения</v>
      </c>
      <c r="G311" s="22" t="s">
        <v>50</v>
      </c>
      <c r="H311" s="22" t="s">
        <v>756</v>
      </c>
      <c r="I311" s="26">
        <v>43747.472581018497</v>
      </c>
      <c r="J311" s="28" t="s">
        <v>52</v>
      </c>
      <c r="K311" s="28" t="s">
        <v>52</v>
      </c>
      <c r="L311" s="28" t="s">
        <v>52</v>
      </c>
      <c r="M311" s="28" t="s">
        <v>52</v>
      </c>
      <c r="N311" s="28" t="s">
        <v>52</v>
      </c>
    </row>
    <row r="312" spans="1:14" x14ac:dyDescent="0.15">
      <c r="A312" s="23" t="str">
        <f>HYPERLINK("https://www.spark-marketing.ru/Card/Person/4772542", "АО ""ЭЦМ""")</f>
        <v>АО "ЭЦМ"</v>
      </c>
      <c r="B312" s="24" t="s">
        <v>748</v>
      </c>
      <c r="C312" s="25">
        <v>0</v>
      </c>
      <c r="D312" s="22" t="s">
        <v>749</v>
      </c>
      <c r="E312" s="22" t="s">
        <v>53</v>
      </c>
      <c r="F312" s="23" t="str">
        <f>HYPERLINK("https://www.spark-marketing.ru/Card/Lot/74251909", "Кнопка ПО-2 Tantosнакладная ""Выход"", пластиковая")</f>
        <v>Кнопка ПО-2 Tantosнакладная "Выход", пластиковая</v>
      </c>
      <c r="G312" s="22" t="s">
        <v>204</v>
      </c>
      <c r="H312" s="22" t="s">
        <v>750</v>
      </c>
      <c r="I312" s="26">
        <v>43747.481458333299</v>
      </c>
      <c r="J312" s="28" t="s">
        <v>52</v>
      </c>
      <c r="K312" s="28" t="s">
        <v>52</v>
      </c>
      <c r="L312" s="28" t="s">
        <v>52</v>
      </c>
      <c r="M312" s="28" t="s">
        <v>52</v>
      </c>
      <c r="N312" s="28" t="s">
        <v>52</v>
      </c>
    </row>
    <row r="313" spans="1:14" x14ac:dyDescent="0.15">
      <c r="A313" s="23" t="str">
        <f>HYPERLINK("https://www.spark-marketing.ru/Card/Person/4772542", "АО ""ЭЦМ""")</f>
        <v>АО "ЭЦМ"</v>
      </c>
      <c r="B313" s="24" t="s">
        <v>748</v>
      </c>
      <c r="C313" s="25">
        <v>0</v>
      </c>
      <c r="D313" s="22" t="s">
        <v>749</v>
      </c>
      <c r="E313" s="22" t="s">
        <v>53</v>
      </c>
      <c r="F313" s="23" t="str">
        <f>HYPERLINK("https://www.spark-marketing.ru/Card/Lot/74251912", "IP домофон «Dahua»")</f>
        <v>IP домофон «Dahua»</v>
      </c>
      <c r="G313" s="22" t="s">
        <v>204</v>
      </c>
      <c r="H313" s="22" t="s">
        <v>750</v>
      </c>
      <c r="I313" s="26">
        <v>43747.481458333299</v>
      </c>
      <c r="J313" s="28" t="s">
        <v>52</v>
      </c>
      <c r="K313" s="28" t="s">
        <v>52</v>
      </c>
      <c r="L313" s="28" t="s">
        <v>52</v>
      </c>
      <c r="M313" s="28" t="s">
        <v>52</v>
      </c>
      <c r="N313" s="28" t="s">
        <v>52</v>
      </c>
    </row>
    <row r="314" spans="1:14" x14ac:dyDescent="0.15">
      <c r="A314" s="23" t="str">
        <f>HYPERLINK("https://www.spark-marketing.ru/Card/Person/143093", "МБУ М.Р.КИНЕЛЬСКИЙ ""МФЦ""")</f>
        <v>МБУ М.Р.КИНЕЛЬСКИЙ "МФЦ"</v>
      </c>
      <c r="B314" s="24" t="s">
        <v>757</v>
      </c>
      <c r="C314" s="25">
        <v>176700</v>
      </c>
      <c r="D314" s="22" t="s">
        <v>758</v>
      </c>
      <c r="E314" s="22" t="s">
        <v>759</v>
      </c>
      <c r="F314" s="23" t="str">
        <f>HYPERLINK("https://www.spark-marketing.ru/Card/Lot/74235417", "приобретение, установка и внедрение материалов и основных средств для условий по безбарьерной среде для нужд МБУ муниципального района Кинельский «МФЦ».")</f>
        <v>приобретение, установка и внедрение материалов и основных средств для условий по безбарьерной среде для нужд МБУ муниципального района Кинельский «МФЦ».</v>
      </c>
      <c r="G314" s="22" t="s">
        <v>760</v>
      </c>
      <c r="H314" s="22" t="s">
        <v>760</v>
      </c>
      <c r="I314" s="26">
        <v>43747.439583333296</v>
      </c>
      <c r="J314" s="28" t="s">
        <v>52</v>
      </c>
      <c r="K314" s="28" t="s">
        <v>52</v>
      </c>
      <c r="L314" s="28" t="s">
        <v>52</v>
      </c>
      <c r="M314" s="28" t="s">
        <v>52</v>
      </c>
      <c r="N314" s="28" t="s">
        <v>52</v>
      </c>
    </row>
    <row r="315" spans="1:14" x14ac:dyDescent="0.15">
      <c r="A315" s="23" t="str">
        <f>HYPERLINK("https://www.spark-marketing.ru/Card/Person/6481296", "МБУ ""ДИРЕКЦИЯ ПО УПРАВЛЕНИЮ ИМУЩЕСТВОМ ГО ЧЕХОВ""")</f>
        <v>МБУ "ДИРЕКЦИЯ ПО УПРАВЛЕНИЮ ИМУЩЕСТВОМ ГО ЧЕХОВ"</v>
      </c>
      <c r="B315" s="24" t="s">
        <v>761</v>
      </c>
      <c r="C315" s="25">
        <v>9026.51</v>
      </c>
      <c r="D315" s="22" t="s">
        <v>762</v>
      </c>
      <c r="E315" s="22" t="s">
        <v>103</v>
      </c>
      <c r="F315" s="23" t="str">
        <f>HYPERLINK("https://www.spark-marketing.ru/Card/Lot/74229960", "Оказание услуг по содержанию имущества (техническое обслуживание системы охранного видеонаблюдения нежилого здания) по адресу: Московская область, г.Чехов, ул.Молодёжная, д.1")</f>
        <v>Оказание услуг по содержанию имущества (техническое обслуживание системы охранного видеонаблюдения нежилого здания) по адресу: Московская область, г.Чехов, ул.Молодёжная, д.1</v>
      </c>
      <c r="G315" s="22" t="s">
        <v>50</v>
      </c>
      <c r="H315" s="22" t="s">
        <v>679</v>
      </c>
      <c r="I315" s="26">
        <v>43747.409490740698</v>
      </c>
      <c r="J315" s="28" t="s">
        <v>52</v>
      </c>
      <c r="K315" s="28" t="s">
        <v>52</v>
      </c>
      <c r="L315" s="28" t="s">
        <v>52</v>
      </c>
      <c r="M315" s="28" t="s">
        <v>52</v>
      </c>
      <c r="N315" s="28" t="s">
        <v>52</v>
      </c>
    </row>
    <row r="316" spans="1:14" x14ac:dyDescent="0.15">
      <c r="A316" s="23" t="str">
        <f>HYPERLINK("https://www.spark-marketing.ru/Card/Person/4348528", "АО ИК ""АСЭ""")</f>
        <v>АО ИК "АСЭ"</v>
      </c>
      <c r="B316" s="24" t="s">
        <v>62</v>
      </c>
      <c r="C316" s="25">
        <v>0</v>
      </c>
      <c r="D316" s="22" t="s">
        <v>763</v>
      </c>
      <c r="E316" s="22" t="s">
        <v>53</v>
      </c>
      <c r="F316" s="23" t="str">
        <f>HYPERLINK("https://www.spark-marketing.ru/Card/Lot/74235784", "мониторинг цен в электронной форме на Оказание услуг по техническому обслуживанию автоматической установки охранной организации и системы видеонаблюдения территории КПИФ АО ""Атомэнергопроект""")</f>
        <v>мониторинг цен в электронной форме на Оказание услуг по техническому обслуживанию автоматической установки охранной организации и системы видеонаблюдения территории КПИФ АО "Атомэнергопроект"</v>
      </c>
      <c r="G316" s="22" t="s">
        <v>64</v>
      </c>
      <c r="H316" s="22" t="s">
        <v>65</v>
      </c>
      <c r="I316" s="26">
        <v>43747.391006944403</v>
      </c>
      <c r="J316" s="28" t="s">
        <v>52</v>
      </c>
      <c r="K316" s="28" t="s">
        <v>52</v>
      </c>
      <c r="L316" s="28" t="s">
        <v>52</v>
      </c>
      <c r="M316" s="28" t="s">
        <v>52</v>
      </c>
      <c r="N316" s="28" t="s">
        <v>52</v>
      </c>
    </row>
    <row r="317" spans="1:14" x14ac:dyDescent="0.15">
      <c r="A317" s="23" t="str">
        <f>HYPERLINK("https://www.spark-marketing.ru/Card/Person/33945", "ГБУ ""ЖИЛИЩНИК РАЙОНА БЕГОВОЙ""")</f>
        <v>ГБУ "ЖИЛИЩНИК РАЙОНА БЕГОВОЙ"</v>
      </c>
      <c r="B317" s="24" t="s">
        <v>764</v>
      </c>
      <c r="C317" s="25">
        <v>244633.33</v>
      </c>
      <c r="D317" s="22" t="s">
        <v>765</v>
      </c>
      <c r="E317" s="22" t="s">
        <v>766</v>
      </c>
      <c r="F317" s="23" t="str">
        <f>HYPERLINK("https://www.spark-marketing.ru/Card/Lot/74236408", "Поставка и установка блок-контейнера для охраны по адресу ул. Нижняя д. 16")</f>
        <v>Поставка и установка блок-контейнера для охраны по адресу ул. Нижняя д. 16</v>
      </c>
      <c r="G317" s="22" t="s">
        <v>55</v>
      </c>
      <c r="H317" s="22" t="s">
        <v>55</v>
      </c>
      <c r="I317" s="26">
        <v>43747.413888888899</v>
      </c>
      <c r="J317" s="28" t="s">
        <v>52</v>
      </c>
      <c r="K317" s="28" t="s">
        <v>52</v>
      </c>
      <c r="L317" s="28" t="s">
        <v>52</v>
      </c>
      <c r="M317" s="28" t="s">
        <v>52</v>
      </c>
      <c r="N317" s="28" t="s">
        <v>52</v>
      </c>
    </row>
    <row r="318" spans="1:14" x14ac:dyDescent="0.15">
      <c r="A318" s="23" t="str">
        <f>HYPERLINK("https://www.spark-marketing.ru/Card/Person/4852464", "ФГУП ""РФЯЦ - ВНИИЭФ""")</f>
        <v>ФГУП "РФЯЦ - ВНИИЭФ"</v>
      </c>
      <c r="B318" s="24" t="s">
        <v>767</v>
      </c>
      <c r="C318" s="28" t="s">
        <v>52</v>
      </c>
      <c r="D318" s="22" t="s">
        <v>768</v>
      </c>
      <c r="E318" s="22" t="s">
        <v>107</v>
      </c>
      <c r="F318" s="23" t="str">
        <f>HYPERLINK("https://www.spark-marketing.ru/Card/Lot/74250093", "Оказание услуг по техническому обслуживанию системы видеонаблюдения в общежитиях РФЯЦ-ВНИИЭФ")</f>
        <v>Оказание услуг по техническому обслуживанию системы видеонаблюдения в общежитиях РФЯЦ-ВНИИЭФ</v>
      </c>
      <c r="G318" s="22" t="s">
        <v>64</v>
      </c>
      <c r="H318" s="22" t="s">
        <v>769</v>
      </c>
      <c r="I318" s="26">
        <v>43747.380416666703</v>
      </c>
      <c r="J318" s="28" t="s">
        <v>52</v>
      </c>
      <c r="K318" s="28" t="s">
        <v>52</v>
      </c>
      <c r="L318" s="28" t="s">
        <v>52</v>
      </c>
      <c r="M318" s="28" t="s">
        <v>52</v>
      </c>
      <c r="N318" s="28" t="s">
        <v>52</v>
      </c>
    </row>
    <row r="319" spans="1:14" x14ac:dyDescent="0.15">
      <c r="A319" s="23" t="str">
        <f>HYPERLINK("https://www.spark-marketing.ru/Card/Person/4852464", "ФГУП ""РФЯЦ - ВНИИЭФ""")</f>
        <v>ФГУП "РФЯЦ - ВНИИЭФ"</v>
      </c>
      <c r="B319" s="24" t="s">
        <v>767</v>
      </c>
      <c r="C319" s="25">
        <v>0</v>
      </c>
      <c r="D319" s="22" t="s">
        <v>770</v>
      </c>
      <c r="E319" s="22" t="s">
        <v>53</v>
      </c>
      <c r="F319" s="23" t="str">
        <f>HYPERLINK("https://www.spark-marketing.ru/Card/Lot/74235776", "мониторинг цен в электронной форме на Оказание услуг по техническому обслуживанию системы видеонаблюдения в общежитиях РФЯЦ-ВНИИЭФ")</f>
        <v>мониторинг цен в электронной форме на Оказание услуг по техническому обслуживанию системы видеонаблюдения в общежитиях РФЯЦ-ВНИИЭФ</v>
      </c>
      <c r="G319" s="22" t="s">
        <v>64</v>
      </c>
      <c r="H319" s="22" t="s">
        <v>769</v>
      </c>
      <c r="I319" s="26">
        <v>43747.380347222199</v>
      </c>
      <c r="J319" s="28" t="s">
        <v>52</v>
      </c>
      <c r="K319" s="28" t="s">
        <v>52</v>
      </c>
      <c r="L319" s="28" t="s">
        <v>52</v>
      </c>
      <c r="M319" s="28" t="s">
        <v>52</v>
      </c>
      <c r="N319" s="28" t="s">
        <v>52</v>
      </c>
    </row>
    <row r="320" spans="1:14" x14ac:dyDescent="0.15">
      <c r="A320" s="23" t="str">
        <f>HYPERLINK("https://www.spark-marketing.ru/Card/Person/1005244", "ОТДЕЛ МВД РОССИИ ПО ВОЛОДАРСКОМУ РАЙОНУ")</f>
        <v>ОТДЕЛ МВД РОССИИ ПО ВОЛОДАРСКОМУ РАЙОНУ</v>
      </c>
      <c r="B320" s="24" t="s">
        <v>771</v>
      </c>
      <c r="C320" s="25">
        <v>33518.519999999997</v>
      </c>
      <c r="D320" s="22" t="s">
        <v>772</v>
      </c>
      <c r="E320" s="22" t="s">
        <v>53</v>
      </c>
      <c r="F320" s="23" t="str">
        <f>HYPERLINK("https://www.spark-marketing.ru/Card/Lot/74229395", "оказание услуг по техническому обслуживанию комплекса технических средств охраны, 1 усл. ед")</f>
        <v>оказание услуг по техническому обслуживанию комплекса технических средств охраны, 1 усл. ед</v>
      </c>
      <c r="G320" s="22" t="s">
        <v>64</v>
      </c>
      <c r="H320" s="22" t="s">
        <v>773</v>
      </c>
      <c r="I320" s="26">
        <v>43747.321597222202</v>
      </c>
      <c r="J320" s="28" t="s">
        <v>52</v>
      </c>
      <c r="K320" s="28" t="s">
        <v>52</v>
      </c>
      <c r="L320" s="28" t="s">
        <v>52</v>
      </c>
      <c r="M320" s="28" t="s">
        <v>52</v>
      </c>
      <c r="N320" s="28" t="s">
        <v>52</v>
      </c>
    </row>
    <row r="321" spans="1:14" x14ac:dyDescent="0.15">
      <c r="A321" s="23" t="str">
        <f>HYPERLINK("https://www.spark-marketing.ru/Card/Person/1311037", "МАОУ СОШ №2")</f>
        <v>МАОУ СОШ №2</v>
      </c>
      <c r="B321" s="24" t="s">
        <v>774</v>
      </c>
      <c r="C321" s="25">
        <v>156240</v>
      </c>
      <c r="D321" s="22" t="s">
        <v>775</v>
      </c>
      <c r="E321" s="22" t="s">
        <v>144</v>
      </c>
      <c r="F321" s="23" t="str">
        <f>HYPERLINK("https://www.spark-marketing.ru/Card/Lot/74244073", "Оказание услуг в здании МАОУ СОШ № 2 по физической охране имущества и поддержанию общественного порядка на территории учреждения")</f>
        <v>Оказание услуг в здании МАОУ СОШ № 2 по физической охране имущества и поддержанию общественного порядка на территории учреждения</v>
      </c>
      <c r="G321" s="22" t="s">
        <v>391</v>
      </c>
      <c r="H321" s="22" t="s">
        <v>391</v>
      </c>
      <c r="I321" s="26">
        <v>43747</v>
      </c>
      <c r="J321" s="28" t="s">
        <v>52</v>
      </c>
      <c r="K321" s="28" t="s">
        <v>52</v>
      </c>
      <c r="L321" s="28" t="s">
        <v>52</v>
      </c>
      <c r="M321" s="28" t="s">
        <v>52</v>
      </c>
      <c r="N321" s="28" t="s">
        <v>52</v>
      </c>
    </row>
    <row r="322" spans="1:14" x14ac:dyDescent="0.15">
      <c r="A322" s="23" t="str">
        <f>HYPERLINK("https://www.spark-marketing.ru/Card/Person/108664", "ИФР РАН")</f>
        <v>ИФР РАН</v>
      </c>
      <c r="B322" s="24" t="s">
        <v>776</v>
      </c>
      <c r="C322" s="25">
        <v>132500</v>
      </c>
      <c r="D322" s="22" t="s">
        <v>777</v>
      </c>
      <c r="E322" s="22" t="s">
        <v>778</v>
      </c>
      <c r="F322" s="23" t="str">
        <f>HYPERLINK("https://www.spark-marketing.ru/Card/Lot/74243930", "Поставка блок контейнера пост охраны")</f>
        <v>Поставка блок контейнера пост охраны</v>
      </c>
      <c r="G322" s="22" t="s">
        <v>55</v>
      </c>
      <c r="H322" s="22" t="s">
        <v>55</v>
      </c>
      <c r="I322" s="26">
        <v>43747</v>
      </c>
      <c r="J322" s="28" t="s">
        <v>52</v>
      </c>
      <c r="K322" s="28" t="s">
        <v>52</v>
      </c>
      <c r="L322" s="28" t="s">
        <v>52</v>
      </c>
      <c r="M322" s="28" t="s">
        <v>52</v>
      </c>
      <c r="N322" s="28" t="s">
        <v>52</v>
      </c>
    </row>
    <row r="323" spans="1:14" x14ac:dyDescent="0.15">
      <c r="A323" s="23" t="str">
        <f>HYPERLINK("https://www.spark-marketing.ru/Card/Person/10487", "ФГУП ""ОХРАНА"" РОСГВАРДИИ")</f>
        <v>ФГУП "ОХРАНА" РОСГВАРДИИ</v>
      </c>
      <c r="B323" s="24" t="s">
        <v>779</v>
      </c>
      <c r="C323" s="25">
        <v>20815146.239999998</v>
      </c>
      <c r="D323" s="22" t="s">
        <v>780</v>
      </c>
      <c r="E323" s="22" t="s">
        <v>781</v>
      </c>
      <c r="F323" s="23" t="str">
        <f>HYPERLINK("https://www.spark-marketing.ru/Card/Lot/74226339", "Оказание услуг по бронированию и приобретению проездных документов на авиатранспорт для нужд Управления по Сибирскому Федеральному округу Центра охраны объектов промышленности на период до 31 декабря 2020 года (г. Красноярск, г. Магадан)")</f>
        <v>Оказание услуг по бронированию и приобретению проездных документов на авиатранспорт для нужд Управления по Сибирскому Федеральному округу Центра охраны объектов промышленности на период до 31 декабря 2020 года (г. Красноярск, г. Магадан)</v>
      </c>
      <c r="G323" s="22" t="s">
        <v>640</v>
      </c>
      <c r="H323" s="22" t="s">
        <v>640</v>
      </c>
      <c r="I323" s="26">
        <v>43746.448587963001</v>
      </c>
      <c r="J323" s="28" t="s">
        <v>52</v>
      </c>
      <c r="K323" s="28" t="s">
        <v>52</v>
      </c>
      <c r="L323" s="28" t="s">
        <v>52</v>
      </c>
      <c r="M323" s="28" t="s">
        <v>52</v>
      </c>
      <c r="N323" s="28" t="s">
        <v>52</v>
      </c>
    </row>
    <row r="324" spans="1:14" x14ac:dyDescent="0.15">
      <c r="A324" s="23" t="str">
        <f>HYPERLINK("https://www.spark-marketing.ru/Card/Person/4348451", "ПАО ""Т ПЛЮС""")</f>
        <v>ПАО "Т ПЛЮС"</v>
      </c>
      <c r="B324" s="24" t="s">
        <v>47</v>
      </c>
      <c r="C324" s="25">
        <v>31319056.510000002</v>
      </c>
      <c r="D324" s="22" t="s">
        <v>782</v>
      </c>
      <c r="E324" s="22" t="s">
        <v>390</v>
      </c>
      <c r="F324" s="23" t="str">
        <f>HYPERLINK("https://www.spark-marketing.ru/Card/Lot/74250924", "Оказание охранных услуг для нужд Филиала «Марий Эл и Чувашии» ПАО «Т Плюс»")</f>
        <v>Оказание охранных услуг для нужд Филиала «Марий Эл и Чувашии» ПАО «Т Плюс»</v>
      </c>
      <c r="G324" s="22" t="s">
        <v>50</v>
      </c>
      <c r="H324" s="22" t="s">
        <v>51</v>
      </c>
      <c r="I324" s="26">
        <v>43747</v>
      </c>
      <c r="J324" s="28" t="s">
        <v>52</v>
      </c>
      <c r="K324" s="28" t="s">
        <v>52</v>
      </c>
      <c r="L324" s="28" t="s">
        <v>52</v>
      </c>
      <c r="M324" s="28" t="s">
        <v>52</v>
      </c>
      <c r="N324" s="28" t="s">
        <v>52</v>
      </c>
    </row>
    <row r="325" spans="1:14" x14ac:dyDescent="0.15">
      <c r="A325" s="23" t="str">
        <f>HYPERLINK("https://www.spark-marketing.ru/Card/Person/4346781", "ПАО ""МСЗ""")</f>
        <v>ПАО "МСЗ"</v>
      </c>
      <c r="B325" s="24" t="s">
        <v>744</v>
      </c>
      <c r="C325" s="28" t="s">
        <v>52</v>
      </c>
      <c r="D325" s="22" t="s">
        <v>783</v>
      </c>
      <c r="E325" s="22" t="s">
        <v>53</v>
      </c>
      <c r="F325" s="23" t="str">
        <f>HYPERLINK("https://www.spark-marketing.ru/Card/Lot/74236601", "услуги по Обслуживанию систем безопасности (включая системы общепромышленной, ядерной, радиационной безопасности, физической защиты, охраны окружающей среды) объектов капитального строительства ПАО «МСЗ», находящийся по адресу: Московская область, г....")</f>
        <v>услуги по Обслуживанию систем безопасности (включая системы общепромышленной, ядерной, радиационной безопасности, физической защиты, охраны окружающей среды) объектов капитального строительства ПАО «МСЗ», находящийся по адресу: Московская область, г....</v>
      </c>
      <c r="G325" s="22" t="s">
        <v>50</v>
      </c>
      <c r="H325" s="22" t="s">
        <v>747</v>
      </c>
      <c r="I325" s="26">
        <v>43747.483287037001</v>
      </c>
      <c r="J325" s="28" t="s">
        <v>52</v>
      </c>
      <c r="K325" s="28" t="s">
        <v>52</v>
      </c>
      <c r="L325" s="28" t="s">
        <v>52</v>
      </c>
      <c r="M325" s="28" t="s">
        <v>52</v>
      </c>
      <c r="N325" s="28" t="s">
        <v>52</v>
      </c>
    </row>
    <row r="326" spans="1:14" x14ac:dyDescent="0.15">
      <c r="A326" s="23" t="str">
        <f>HYPERLINK("https://www.spark-marketing.ru/Card/Person/1781189", "ПАО ""ВЫСОЧАЙШИЙ""")</f>
        <v>ПАО "ВЫСОЧАЙШИЙ"</v>
      </c>
      <c r="B326" s="24" t="s">
        <v>784</v>
      </c>
      <c r="C326" s="25">
        <v>0</v>
      </c>
      <c r="D326" s="22" t="s">
        <v>785</v>
      </c>
      <c r="E326" s="22" t="s">
        <v>786</v>
      </c>
      <c r="F326" s="23" t="str">
        <f>HYPERLINK("https://www.spark-marketing.ru/Card/Lot/74231661", "Строго в соответствии с ТЗ")</f>
        <v>Строго в соответствии с ТЗ</v>
      </c>
      <c r="G326" s="22" t="s">
        <v>354</v>
      </c>
      <c r="H326" s="22" t="s">
        <v>787</v>
      </c>
      <c r="I326" s="26">
        <v>43747.346944444398</v>
      </c>
      <c r="J326" s="28" t="s">
        <v>52</v>
      </c>
      <c r="K326" s="28" t="s">
        <v>52</v>
      </c>
      <c r="L326" s="28" t="s">
        <v>52</v>
      </c>
      <c r="M326" s="28" t="s">
        <v>52</v>
      </c>
      <c r="N326" s="28" t="s">
        <v>52</v>
      </c>
    </row>
    <row r="327" spans="1:14" x14ac:dyDescent="0.15">
      <c r="A327" s="23" t="str">
        <f>HYPERLINK("https://www.spark-marketing.ru/Card/Person/95245", "ОАО ""РЖД""")</f>
        <v>ОАО "РЖД"</v>
      </c>
      <c r="B327" s="24" t="s">
        <v>163</v>
      </c>
      <c r="C327" s="25">
        <v>870866.21</v>
      </c>
      <c r="D327" s="22" t="s">
        <v>788</v>
      </c>
      <c r="E327" s="22" t="s">
        <v>789</v>
      </c>
      <c r="F327" s="23" t="str">
        <f>HYPERLINK("https://www.spark-marketing.ru/Card/Lot/74247179", "На право заключения договора оказания услуг по обеспечению пропускного режима (Алтайский край)")</f>
        <v>На право заключения договора оказания услуг по обеспечению пропускного режима (Алтайский край)</v>
      </c>
      <c r="G327" s="22" t="s">
        <v>428</v>
      </c>
      <c r="H327" s="22" t="s">
        <v>428</v>
      </c>
      <c r="I327" s="26">
        <v>43747</v>
      </c>
      <c r="J327" s="28" t="s">
        <v>52</v>
      </c>
      <c r="K327" s="28" t="s">
        <v>52</v>
      </c>
      <c r="L327" s="28" t="s">
        <v>52</v>
      </c>
      <c r="M327" s="28" t="s">
        <v>52</v>
      </c>
      <c r="N327" s="28" t="s">
        <v>52</v>
      </c>
    </row>
    <row r="328" spans="1:14" x14ac:dyDescent="0.15">
      <c r="A328" s="23" t="str">
        <f>HYPERLINK("https://www.spark-marketing.ru/Card/Person/4348451", "ПАО ""Т ПЛЮС""")</f>
        <v>ПАО "Т ПЛЮС"</v>
      </c>
      <c r="B328" s="24" t="s">
        <v>47</v>
      </c>
      <c r="C328" s="25">
        <v>744640.56</v>
      </c>
      <c r="D328" s="22" t="s">
        <v>790</v>
      </c>
      <c r="E328" s="22" t="s">
        <v>49</v>
      </c>
      <c r="F328" s="23" t="str">
        <f>HYPERLINK("https://www.spark-marketing.ru/Card/Lot/74246745", "Оказание услуг по техническому обслуживанию инженерно-технических средств охраны Оренбургской котельной филиала «Оренбургский» ПАО «Т Плюс»")</f>
        <v>Оказание услуг по техническому обслуживанию инженерно-технических средств охраны Оренбургской котельной филиала «Оренбургский» ПАО «Т Плюс»</v>
      </c>
      <c r="G328" s="22" t="s">
        <v>384</v>
      </c>
      <c r="H328" s="22" t="s">
        <v>696</v>
      </c>
      <c r="I328" s="26">
        <v>43747</v>
      </c>
      <c r="J328" s="28" t="s">
        <v>52</v>
      </c>
      <c r="K328" s="28" t="s">
        <v>52</v>
      </c>
      <c r="L328" s="28" t="s">
        <v>52</v>
      </c>
      <c r="M328" s="28" t="s">
        <v>52</v>
      </c>
      <c r="N328" s="28" t="s">
        <v>52</v>
      </c>
    </row>
    <row r="329" spans="1:14" x14ac:dyDescent="0.15">
      <c r="A329" s="23" t="str">
        <f>HYPERLINK("https://www.spark-marketing.ru/Card/Person/4413901", "АО ""ПКТ""")</f>
        <v>АО "ПКТ"</v>
      </c>
      <c r="B329" s="24" t="s">
        <v>791</v>
      </c>
      <c r="C329" s="25">
        <v>47868000</v>
      </c>
      <c r="D329" s="22" t="s">
        <v>792</v>
      </c>
      <c r="E329" s="22" t="s">
        <v>49</v>
      </c>
      <c r="F329" s="23" t="str">
        <f>HYPERLINK("https://www.spark-marketing.ru/Card/Lot/74250802", "Выполнение работ по реализации мероприятий повышения безопасности объекта транспортной инфраструктуры 4-й категории АО «ПКТ»")</f>
        <v>Выполнение работ по реализации мероприятий повышения безопасности объекта транспортной инфраструктуры 4-й категории АО «ПКТ»</v>
      </c>
      <c r="G329" s="22" t="s">
        <v>89</v>
      </c>
      <c r="H329" s="22" t="s">
        <v>89</v>
      </c>
      <c r="I329" s="26">
        <v>43747</v>
      </c>
      <c r="J329" s="28" t="s">
        <v>52</v>
      </c>
      <c r="K329" s="28" t="s">
        <v>52</v>
      </c>
      <c r="L329" s="28" t="s">
        <v>52</v>
      </c>
      <c r="M329" s="28" t="s">
        <v>52</v>
      </c>
      <c r="N329" s="28" t="s">
        <v>52</v>
      </c>
    </row>
    <row r="330" spans="1:14" x14ac:dyDescent="0.15">
      <c r="A330" s="23" t="str">
        <f>HYPERLINK("https://www.spark-marketing.ru/Card/Person/4348528", "АО ИК ""АСЭ""")</f>
        <v>АО ИК "АСЭ"</v>
      </c>
      <c r="B330" s="24" t="s">
        <v>62</v>
      </c>
      <c r="C330" s="28" t="s">
        <v>52</v>
      </c>
      <c r="D330" s="22" t="s">
        <v>793</v>
      </c>
      <c r="E330" s="22" t="s">
        <v>53</v>
      </c>
      <c r="F330" s="23" t="str">
        <f>HYPERLINK("https://www.spark-marketing.ru/Card/Lot/74239248", "Оказание услуг по техническому обслуживанию комплекса технических средств охраны (кнопка тревожной сигнализации) установленной в караульном помещении по адресу: г. Санкт-Петербург, ул. Савушкина, д. 82 лит. А (1360261)")</f>
        <v>Оказание услуг по техническому обслуживанию комплекса технических средств охраны (кнопка тревожной сигнализации) установленной в караульном помещении по адресу: г. Санкт-Петербург, ул. Савушкина, д. 82 лит. А (1360261)</v>
      </c>
      <c r="G330" s="22" t="s">
        <v>64</v>
      </c>
      <c r="H330" s="22" t="s">
        <v>65</v>
      </c>
      <c r="I330" s="26">
        <v>43747.589270833298</v>
      </c>
      <c r="J330" s="28" t="s">
        <v>52</v>
      </c>
      <c r="K330" s="28" t="s">
        <v>52</v>
      </c>
      <c r="L330" s="28" t="s">
        <v>52</v>
      </c>
      <c r="M330" s="28" t="s">
        <v>52</v>
      </c>
      <c r="N330" s="28" t="s">
        <v>52</v>
      </c>
    </row>
    <row r="331" spans="1:14" x14ac:dyDescent="0.15">
      <c r="A331" s="23" t="str">
        <f>HYPERLINK("https://www.spark-marketing.ru/Card/Person/4997", "ФГУП ""ВНИИА""")</f>
        <v>ФГУП "ВНИИА"</v>
      </c>
      <c r="B331" s="24" t="s">
        <v>794</v>
      </c>
      <c r="C331" s="25">
        <v>12877309.800000001</v>
      </c>
      <c r="D331" s="22" t="s">
        <v>795</v>
      </c>
      <c r="E331" s="22" t="s">
        <v>165</v>
      </c>
      <c r="F331" s="23" t="str">
        <f>HYPERLINK("https://www.spark-marketing.ru/Card/Lot/74249352", "Инжиниринговые работы по разработке видеокадров и установке ПО ВУ на 6 стойках приборных автономных из состава ПТК САУ ВО для энергоблока № 2 Белорусской АЭС")</f>
        <v>Инжиниринговые работы по разработке видеокадров и установке ПО ВУ на 6 стойках приборных автономных из состава ПТК САУ ВО для энергоблока № 2 Белорусской АЭС</v>
      </c>
      <c r="G331" s="22" t="s">
        <v>55</v>
      </c>
      <c r="H331" s="22" t="s">
        <v>55</v>
      </c>
      <c r="I331" s="26">
        <v>43747</v>
      </c>
      <c r="J331" s="28" t="s">
        <v>52</v>
      </c>
      <c r="K331" s="28" t="s">
        <v>52</v>
      </c>
      <c r="L331" s="28" t="s">
        <v>52</v>
      </c>
      <c r="M331" s="28" t="s">
        <v>52</v>
      </c>
      <c r="N331" s="28" t="s">
        <v>52</v>
      </c>
    </row>
    <row r="332" spans="1:14" x14ac:dyDescent="0.15">
      <c r="A332" s="23" t="str">
        <f>HYPERLINK("https://www.spark-marketing.ru/Card/Person/160852", "ООО ""БАРНАУЛЬСКИЙ ВОДОКАНАЛ""")</f>
        <v>ООО "БАРНАУЛЬСКИЙ ВОДОКАНАЛ"</v>
      </c>
      <c r="B332" s="24" t="s">
        <v>796</v>
      </c>
      <c r="C332" s="25">
        <v>18048924</v>
      </c>
      <c r="D332" s="22" t="s">
        <v>797</v>
      </c>
      <c r="E332" s="22" t="s">
        <v>798</v>
      </c>
      <c r="F332" s="23" t="str">
        <f>HYPERLINK("https://www.spark-marketing.ru/Card/Lot/74249320", "Оказание услуг по физической частной охране объектов, имущества и товарно-материальных ценностей на объектах ООО «БАРНАУЛЬСКИЙ ВОДОКАНАЛ» на 2019 - 2020 г.г.")</f>
        <v>Оказание услуг по физической частной охране объектов, имущества и товарно-материальных ценностей на объектах ООО «БАРНАУЛЬСКИЙ ВОДОКАНАЛ» на 2019 - 2020 г.г.</v>
      </c>
      <c r="G332" s="22" t="s">
        <v>428</v>
      </c>
      <c r="H332" s="22" t="s">
        <v>429</v>
      </c>
      <c r="I332" s="26">
        <v>43747</v>
      </c>
      <c r="J332" s="28" t="s">
        <v>52</v>
      </c>
      <c r="K332" s="28" t="s">
        <v>52</v>
      </c>
      <c r="L332" s="28" t="s">
        <v>52</v>
      </c>
      <c r="M332" s="28" t="s">
        <v>52</v>
      </c>
      <c r="N332" s="28" t="s">
        <v>52</v>
      </c>
    </row>
    <row r="333" spans="1:14" x14ac:dyDescent="0.15">
      <c r="A333" s="23" t="str">
        <f>HYPERLINK("https://www.spark-marketing.ru/Card/Person/4852464", "ФГУП ""РФЯЦ - ВНИИЭФ""")</f>
        <v>ФГУП "РФЯЦ - ВНИИЭФ"</v>
      </c>
      <c r="B333" s="24" t="s">
        <v>767</v>
      </c>
      <c r="C333" s="28" t="s">
        <v>52</v>
      </c>
      <c r="D333" s="22" t="s">
        <v>799</v>
      </c>
      <c r="E333" s="22" t="s">
        <v>53</v>
      </c>
      <c r="F333" s="23" t="str">
        <f>HYPERLINK("https://www.spark-marketing.ru/Card/Lot/74233758", "Оказание услуг по техническому обслуживанию системы видеонаблюдения в общежитиях РФЯЦ-ВНИИЭФ (1359759)")</f>
        <v>Оказание услуг по техническому обслуживанию системы видеонаблюдения в общежитиях РФЯЦ-ВНИИЭФ (1359759)</v>
      </c>
      <c r="G333" s="22" t="s">
        <v>64</v>
      </c>
      <c r="H333" s="22" t="s">
        <v>769</v>
      </c>
      <c r="I333" s="26">
        <v>43747.380312499998</v>
      </c>
      <c r="J333" s="28" t="s">
        <v>52</v>
      </c>
      <c r="K333" s="28" t="s">
        <v>52</v>
      </c>
      <c r="L333" s="28" t="s">
        <v>52</v>
      </c>
      <c r="M333" s="28" t="s">
        <v>52</v>
      </c>
      <c r="N333" s="28" t="s">
        <v>52</v>
      </c>
    </row>
    <row r="334" spans="1:14" x14ac:dyDescent="0.15">
      <c r="A334" s="23" t="str">
        <f>HYPERLINK("https://www.spark-marketing.ru/Card/Person/4348451", "ПАО ""Т ПЛЮС""")</f>
        <v>ПАО "Т ПЛЮС"</v>
      </c>
      <c r="B334" s="24" t="s">
        <v>47</v>
      </c>
      <c r="C334" s="25">
        <v>20762025.600000001</v>
      </c>
      <c r="D334" s="22" t="s">
        <v>800</v>
      </c>
      <c r="E334" s="22" t="s">
        <v>144</v>
      </c>
      <c r="F334" s="23" t="str">
        <f>HYPERLINK("https://www.spark-marketing.ru/Card/Lot/74250750", "Открытый одноэтапный запрос предложений № ОЗП-54/ВФ на право заключения договора на оказание услуг по охране производственных (хозяйственных) объектов филиала «Владимирский» ПАО «Т Плюс» г. Иваново для нужд филиала «Владимирский» ПАО «Т Плюс» (ИвТЭЦ-...")</f>
        <v>Открытый одноэтапный запрос предложений № ОЗП-54/ВФ на право заключения договора на оказание услуг по охране производственных (хозяйственных) объектов филиала «Владимирский» ПАО «Т Плюс» г. Иваново для нужд филиала «Владимирский» ПАО «Т Плюс» (ИвТЭЦ-...</v>
      </c>
      <c r="G334" s="22" t="s">
        <v>50</v>
      </c>
      <c r="H334" s="22" t="s">
        <v>51</v>
      </c>
      <c r="I334" s="26">
        <v>43747</v>
      </c>
      <c r="J334" s="28" t="s">
        <v>52</v>
      </c>
      <c r="K334" s="28" t="s">
        <v>52</v>
      </c>
      <c r="L334" s="28" t="s">
        <v>52</v>
      </c>
      <c r="M334" s="28" t="s">
        <v>52</v>
      </c>
      <c r="N334" s="28" t="s">
        <v>52</v>
      </c>
    </row>
    <row r="335" spans="1:14" x14ac:dyDescent="0.15">
      <c r="A335" s="23" t="str">
        <f>HYPERLINK("https://www.spark-marketing.ru/Card/Person/95245", "ОАО ""РЖД""")</f>
        <v>ОАО "РЖД"</v>
      </c>
      <c r="B335" s="24" t="s">
        <v>163</v>
      </c>
      <c r="C335" s="25">
        <v>580577.47</v>
      </c>
      <c r="D335" s="22" t="s">
        <v>788</v>
      </c>
      <c r="E335" s="22" t="s">
        <v>789</v>
      </c>
      <c r="F335" s="23" t="str">
        <f>HYPERLINK("https://www.spark-marketing.ru/Card/Lot/74247178", "На право заключения договора оказания услуг по обеспечению пропускного режима (Новосибирская область)")</f>
        <v>На право заключения договора оказания услуг по обеспечению пропускного режима (Новосибирская область)</v>
      </c>
      <c r="G335" s="22" t="s">
        <v>209</v>
      </c>
      <c r="H335" s="22" t="s">
        <v>209</v>
      </c>
      <c r="I335" s="26">
        <v>43747</v>
      </c>
      <c r="J335" s="28" t="s">
        <v>52</v>
      </c>
      <c r="K335" s="28" t="s">
        <v>52</v>
      </c>
      <c r="L335" s="28" t="s">
        <v>52</v>
      </c>
      <c r="M335" s="28" t="s">
        <v>52</v>
      </c>
      <c r="N335" s="28" t="s">
        <v>52</v>
      </c>
    </row>
    <row r="336" spans="1:14" x14ac:dyDescent="0.2">
      <c r="A336" s="23" t="str">
        <f>HYPERLINK("https://www.spark-marketing.ru/Card/Person/4343405", "ФГУП ""ГОСКОРПОРАЦИЯ ПО ОРВД""")</f>
        <v>ФГУП "ГОСКОРПОРАЦИЯ ПО ОРВД"</v>
      </c>
      <c r="B336" s="24" t="s">
        <v>801</v>
      </c>
      <c r="C336" s="25">
        <v>1387440</v>
      </c>
      <c r="D336" s="22" t="s">
        <v>802</v>
      </c>
      <c r="E336" s="22" t="s">
        <v>803</v>
      </c>
      <c r="F336" s="23" t="str">
        <f>HYPERLINK("https://www.spark-marketing.ru/Card/Lot/74247332", "Оказание услуг по обеспечению пропускного и внутриобъектового режима при проезде через запасные ворота в периметровом ограждении аэропорта Нижневартовск на объекты Единой системы организации воздушного движения Нижневартовского центра ОВД филиала «Аэ...")</f>
        <v>Оказание услуг по обеспечению пропускного и внутриобъектового режима при проезде через запасные ворота в периметровом ограждении аэропорта Нижневартовск на объекты Единой системы организации воздушного движения Нижневартовского центра ОВД филиала «Аэ...</v>
      </c>
      <c r="G336" s="22" t="s">
        <v>119</v>
      </c>
      <c r="H336" s="22" t="s">
        <v>119</v>
      </c>
      <c r="I336" s="26">
        <v>43747</v>
      </c>
      <c r="J336" s="23" t="str">
        <f>HYPERLINK("https://www.spark-marketing.ru/Card/Person/101207", "АО ""НВА""")</f>
        <v>АО "НВА"</v>
      </c>
      <c r="K336" s="24" t="s">
        <v>804</v>
      </c>
      <c r="L336" s="28" t="s">
        <v>52</v>
      </c>
      <c r="M336" s="25">
        <v>1387440</v>
      </c>
      <c r="N336" s="27">
        <v>0</v>
      </c>
    </row>
    <row r="337" spans="1:14" x14ac:dyDescent="0.15">
      <c r="A337" s="23" t="str">
        <f>HYPERLINK("https://www.spark-marketing.ru/Card/Person/4348528", "АО ИК ""АСЭ""")</f>
        <v>АО ИК "АСЭ"</v>
      </c>
      <c r="B337" s="24" t="s">
        <v>62</v>
      </c>
      <c r="C337" s="28" t="s">
        <v>52</v>
      </c>
      <c r="D337" s="22" t="s">
        <v>805</v>
      </c>
      <c r="E337" s="22" t="s">
        <v>53</v>
      </c>
      <c r="F337" s="23" t="str">
        <f>HYPERLINK("https://www.spark-marketing.ru/Card/Lot/74234016", "Оказание услуг по техническому обслуживанию автоматической установки охранной организации и системы видеонаблюдения территории КПИФ АО ""Атомэнергопроект"" (1359790)")</f>
        <v>Оказание услуг по техническому обслуживанию автоматической установки охранной организации и системы видеонаблюдения территории КПИФ АО "Атомэнергопроект" (1359790)</v>
      </c>
      <c r="G337" s="22" t="s">
        <v>64</v>
      </c>
      <c r="H337" s="22" t="s">
        <v>65</v>
      </c>
      <c r="I337" s="26">
        <v>43747.391053240703</v>
      </c>
      <c r="J337" s="28" t="s">
        <v>52</v>
      </c>
      <c r="K337" s="28" t="s">
        <v>52</v>
      </c>
      <c r="L337" s="28" t="s">
        <v>52</v>
      </c>
      <c r="M337" s="28" t="s">
        <v>52</v>
      </c>
      <c r="N337" s="28" t="s">
        <v>52</v>
      </c>
    </row>
    <row r="338" spans="1:14" x14ac:dyDescent="0.15">
      <c r="A338" s="23" t="str">
        <f>HYPERLINK("https://www.spark-marketing.ru/Card/Person/5314", "ГБУ СОН ""ЦЕНТР СОЦИАЛЬНОГО ОБСЛУЖИВАНИЯ ГРАЖДАН ПОЖИЛОГО ВОЗРАСТА И ИНВАЛИДОВ""")</f>
        <v>ГБУ СОН "ЦЕНТР СОЦИАЛЬНОГО ОБСЛУЖИВАНИЯ ГРАЖДАН ПОЖИЛОГО ВОЗРАСТА И ИНВАЛИДОВ"</v>
      </c>
      <c r="B338" s="24" t="s">
        <v>806</v>
      </c>
      <c r="C338" s="25">
        <v>275963.67</v>
      </c>
      <c r="D338" s="22" t="s">
        <v>807</v>
      </c>
      <c r="E338" s="22" t="s">
        <v>84</v>
      </c>
      <c r="F338" s="23" t="str">
        <f>HYPERLINK("https://www.spark-marketing.ru/Card/Lot/74221149", "Выполнение работ по монтажу и установке наружной системы видеонаблюдения для нужд ГБУ СОН ""Центр социального обслуживания граждан пожилого возраста и инвалидов""")</f>
        <v>Выполнение работ по монтажу и установке наружной системы видеонаблюдения для нужд ГБУ СОН "Центр социального обслуживания граждан пожилого возраста и инвалидов"</v>
      </c>
      <c r="G338" s="22" t="s">
        <v>808</v>
      </c>
      <c r="H338" s="22" t="s">
        <v>809</v>
      </c>
      <c r="I338" s="26">
        <v>43746.876365740703</v>
      </c>
      <c r="J338" s="28" t="s">
        <v>52</v>
      </c>
      <c r="K338" s="28" t="s">
        <v>52</v>
      </c>
      <c r="L338" s="28" t="s">
        <v>52</v>
      </c>
      <c r="M338" s="28" t="s">
        <v>52</v>
      </c>
      <c r="N338" s="28" t="s">
        <v>52</v>
      </c>
    </row>
    <row r="339" spans="1:14" x14ac:dyDescent="0.15">
      <c r="A339" s="23" t="str">
        <f>HYPERLINK("https://www.spark-marketing.ru/Card/Person/73507", "ПАО ""НК ""РОСНЕФТЬ""-ЯМАЛНЕФТЕПРОДУКТ""")</f>
        <v>ПАО "НК "РОСНЕФТЬ"-ЯМАЛНЕФТЕПРОДУКТ"</v>
      </c>
      <c r="B339" s="24" t="s">
        <v>810</v>
      </c>
      <c r="C339" s="25">
        <v>147500</v>
      </c>
      <c r="D339" s="22" t="s">
        <v>811</v>
      </c>
      <c r="E339" s="22" t="s">
        <v>53</v>
      </c>
      <c r="F339" s="23" t="str">
        <f>HYPERLINK("https://www.spark-marketing.ru/Card/Lot/74174866", "Номер закупки 105-Б. «Выполнение работ по техническому обслуживанию систем тревожной сигнализации на АЗС №233, АЗС №250, АЗС №231, АЗС №232, для ПАО «НК «Роснефть»-Ямалнефтепродукт»")</f>
        <v>Номер закупки 105-Б. «Выполнение работ по техническому обслуживанию систем тревожной сигнализации на АЗС №233, АЗС №250, АЗС №231, АЗС №232, для ПАО «НК «Роснефть»-Ямалнефтепродукт»</v>
      </c>
      <c r="G339" s="22" t="s">
        <v>311</v>
      </c>
      <c r="H339" s="22" t="s">
        <v>312</v>
      </c>
      <c r="I339" s="26">
        <v>43742.552083333299</v>
      </c>
      <c r="J339" s="28" t="s">
        <v>52</v>
      </c>
      <c r="K339" s="28" t="s">
        <v>52</v>
      </c>
      <c r="L339" s="28" t="s">
        <v>52</v>
      </c>
      <c r="M339" s="28" t="s">
        <v>52</v>
      </c>
      <c r="N339" s="28" t="s">
        <v>52</v>
      </c>
    </row>
    <row r="340" spans="1:14" x14ac:dyDescent="0.15">
      <c r="A340" s="23" t="str">
        <f>HYPERLINK("https://www.spark-marketing.ru/Card/Person/73507", "ПАО ""НК ""РОСНЕФТЬ""-ЯМАЛНЕФТЕПРОДУКТ""")</f>
        <v>ПАО "НК "РОСНЕФТЬ"-ЯМАЛНЕФТЕПРОДУКТ"</v>
      </c>
      <c r="B340" s="24" t="s">
        <v>810</v>
      </c>
      <c r="C340" s="25">
        <v>14400</v>
      </c>
      <c r="D340" s="22" t="s">
        <v>812</v>
      </c>
      <c r="E340" s="22" t="s">
        <v>53</v>
      </c>
      <c r="F340" s="23" t="str">
        <f>HYPERLINK("https://www.spark-marketing.ru/Card/Lot/74174865", "Номер закупки 104-Б. «Выполнение работ по техническому обслуживанию системы тревожной сигнализации на АЗС №238 для ПАО «НК «Роснефть»-Ямалнефтепродукт»")</f>
        <v>Номер закупки 104-Б. «Выполнение работ по техническому обслуживанию системы тревожной сигнализации на АЗС №238 для ПАО «НК «Роснефть»-Ямалнефтепродукт»</v>
      </c>
      <c r="G340" s="22" t="s">
        <v>311</v>
      </c>
      <c r="H340" s="22" t="s">
        <v>312</v>
      </c>
      <c r="I340" s="26">
        <v>43742.547916666699</v>
      </c>
      <c r="J340" s="28" t="s">
        <v>52</v>
      </c>
      <c r="K340" s="28" t="s">
        <v>52</v>
      </c>
      <c r="L340" s="28" t="s">
        <v>52</v>
      </c>
      <c r="M340" s="28" t="s">
        <v>52</v>
      </c>
      <c r="N340" s="28" t="s">
        <v>52</v>
      </c>
    </row>
    <row r="341" spans="1:14" x14ac:dyDescent="0.15">
      <c r="A341" s="23" t="str">
        <f>HYPERLINK("https://www.spark-marketing.ru/Card/Person/73507", "ПАО ""НК ""РОСНЕФТЬ""-ЯМАЛНЕФТЕПРОДУКТ""")</f>
        <v>ПАО "НК "РОСНЕФТЬ"-ЯМАЛНЕФТЕПРОДУКТ"</v>
      </c>
      <c r="B341" s="24" t="s">
        <v>810</v>
      </c>
      <c r="C341" s="25">
        <v>57815</v>
      </c>
      <c r="D341" s="22" t="s">
        <v>813</v>
      </c>
      <c r="E341" s="22" t="s">
        <v>53</v>
      </c>
      <c r="F341" s="23" t="str">
        <f>HYPERLINK("https://www.spark-marketing.ru/Card/Lot/74174864", "Номер закупки 103-Б. «Выполнение работ по техническому обслуживанию систем тревожной сигнализации на АЗС №11; №12; АЗС №13, АЗК №2 для ПАО «НК «Роснефть»-Ямалнефтепродукт»")</f>
        <v>Номер закупки 103-Б. «Выполнение работ по техническому обслуживанию систем тревожной сигнализации на АЗС №11; №12; АЗС №13, АЗК №2 для ПАО «НК «Роснефть»-Ямалнефтепродукт»</v>
      </c>
      <c r="G341" s="22" t="s">
        <v>311</v>
      </c>
      <c r="H341" s="22" t="s">
        <v>312</v>
      </c>
      <c r="I341" s="26">
        <v>43742.542361111096</v>
      </c>
      <c r="J341" s="28" t="s">
        <v>52</v>
      </c>
      <c r="K341" s="28" t="s">
        <v>52</v>
      </c>
      <c r="L341" s="28" t="s">
        <v>52</v>
      </c>
      <c r="M341" s="28" t="s">
        <v>52</v>
      </c>
      <c r="N341" s="28" t="s">
        <v>52</v>
      </c>
    </row>
    <row r="342" spans="1:14" x14ac:dyDescent="0.15">
      <c r="A342" s="23" t="str">
        <f>HYPERLINK("https://www.spark-marketing.ru/Card/Person/1023023", "МБУДО ДШИ ""ГАРМОНИЯ"" (Г.ПЕРЕСВЕТ)")</f>
        <v>МБУДО ДШИ "ГАРМОНИЯ" (Г.ПЕРЕСВЕТ)</v>
      </c>
      <c r="B342" s="24" t="s">
        <v>814</v>
      </c>
      <c r="C342" s="25">
        <v>9000</v>
      </c>
      <c r="D342" s="22" t="s">
        <v>815</v>
      </c>
      <c r="E342" s="22" t="s">
        <v>194</v>
      </c>
      <c r="F342" s="23" t="str">
        <f>HYPERLINK("https://www.spark-marketing.ru/Card/Lot/74213698", "Поставка, установка и отладка камер видеонаблюдения для нужд МБУДО ДШИ ""Гармония""")</f>
        <v>Поставка, установка и отладка камер видеонаблюдения для нужд МБУДО ДШИ "Гармония"</v>
      </c>
      <c r="G342" s="22" t="s">
        <v>50</v>
      </c>
      <c r="H342" s="22" t="s">
        <v>326</v>
      </c>
      <c r="I342" s="26">
        <v>43746.680682870399</v>
      </c>
      <c r="J342" s="28" t="s">
        <v>52</v>
      </c>
      <c r="K342" s="28" t="s">
        <v>52</v>
      </c>
      <c r="L342" s="28" t="s">
        <v>52</v>
      </c>
      <c r="M342" s="28" t="s">
        <v>52</v>
      </c>
      <c r="N342" s="28" t="s">
        <v>52</v>
      </c>
    </row>
    <row r="343" spans="1:14" x14ac:dyDescent="0.15">
      <c r="A343" s="23" t="str">
        <f>HYPERLINK("https://www.spark-marketing.ru/Card/Person/137611", "ГУЗ ТО ""МЦМР ""РЕЗЕРВ""")</f>
        <v>ГУЗ ТО "МЦМР "РЕЗЕРВ"</v>
      </c>
      <c r="B343" s="24" t="s">
        <v>816</v>
      </c>
      <c r="C343" s="25">
        <v>44850.58</v>
      </c>
      <c r="D343" s="22" t="s">
        <v>817</v>
      </c>
      <c r="E343" s="22" t="s">
        <v>349</v>
      </c>
      <c r="F343" s="23" t="str">
        <f>HYPERLINK("https://www.spark-marketing.ru/Card/Lot/74218898", "Оказание услуг по техническому обслуживанию системы видеонаблюдения")</f>
        <v>Оказание услуг по техническому обслуживанию системы видеонаблюдения</v>
      </c>
      <c r="G343" s="22" t="s">
        <v>818</v>
      </c>
      <c r="H343" s="22" t="s">
        <v>819</v>
      </c>
      <c r="I343" s="26">
        <v>43746.668287036999</v>
      </c>
      <c r="J343" s="28" t="s">
        <v>52</v>
      </c>
      <c r="K343" s="28" t="s">
        <v>52</v>
      </c>
      <c r="L343" s="28" t="s">
        <v>52</v>
      </c>
      <c r="M343" s="28" t="s">
        <v>52</v>
      </c>
      <c r="N343" s="28" t="s">
        <v>52</v>
      </c>
    </row>
    <row r="344" spans="1:14" x14ac:dyDescent="0.15">
      <c r="A344" s="23" t="str">
        <f>HYPERLINK("https://www.spark-marketing.ru/Card/Person/1028872", "МОУ САВВИНСКАЯ СОШ")</f>
        <v>МОУ САВВИНСКАЯ СОШ</v>
      </c>
      <c r="B344" s="24" t="s">
        <v>820</v>
      </c>
      <c r="C344" s="25">
        <v>18000</v>
      </c>
      <c r="D344" s="22" t="s">
        <v>821</v>
      </c>
      <c r="E344" s="22" t="s">
        <v>103</v>
      </c>
      <c r="F344" s="23" t="str">
        <f>HYPERLINK("https://www.spark-marketing.ru/Card/Lot/74210742", "Техническое обслуживание системы видеонаблюдения (ПАЗ)")</f>
        <v>Техническое обслуживание системы видеонаблюдения (ПАЗ)</v>
      </c>
      <c r="G344" s="22" t="s">
        <v>50</v>
      </c>
      <c r="H344" s="22" t="s">
        <v>239</v>
      </c>
      <c r="I344" s="26">
        <v>43746.607291666704</v>
      </c>
      <c r="J344" s="28" t="s">
        <v>52</v>
      </c>
      <c r="K344" s="28" t="s">
        <v>52</v>
      </c>
      <c r="L344" s="28" t="s">
        <v>52</v>
      </c>
      <c r="M344" s="28" t="s">
        <v>52</v>
      </c>
      <c r="N344" s="28" t="s">
        <v>52</v>
      </c>
    </row>
    <row r="345" spans="1:14" x14ac:dyDescent="0.15">
      <c r="A345" s="23" t="str">
        <f>HYPERLINK("https://www.spark-marketing.ru/Card/Person/4348428", "ПАО ""НИЖНЕКАМСКНЕФТЕХИМ""")</f>
        <v>ПАО "НИЖНЕКАМСКНЕФТЕХИМ"</v>
      </c>
      <c r="B345" s="24" t="s">
        <v>822</v>
      </c>
      <c r="C345" s="25">
        <v>0</v>
      </c>
      <c r="D345" s="22" t="s">
        <v>823</v>
      </c>
      <c r="E345" s="22" t="s">
        <v>53</v>
      </c>
      <c r="F345" s="23" t="str">
        <f>HYPERLINK("https://www.spark-marketing.ru/Card/Lot/74228721", "Извещатель охранный ручной точечный электроконтактный Астра-321 (Астра 321 тревожная кнопка, фиксация при нажатаии, индивидуальный механический ключ разблоктровки)")</f>
        <v>Извещатель охранный ручной точечный электроконтактный Астра-321 (Астра 321 тревожная кнопка, фиксация при нажатаии, индивидуальный механический ключ разблоктровки)</v>
      </c>
      <c r="G345" s="22" t="s">
        <v>204</v>
      </c>
      <c r="H345" s="22" t="s">
        <v>824</v>
      </c>
      <c r="I345" s="26">
        <v>43746.6190740741</v>
      </c>
      <c r="J345" s="28" t="s">
        <v>52</v>
      </c>
      <c r="K345" s="28" t="s">
        <v>52</v>
      </c>
      <c r="L345" s="28" t="s">
        <v>52</v>
      </c>
      <c r="M345" s="28" t="s">
        <v>52</v>
      </c>
      <c r="N345" s="28" t="s">
        <v>52</v>
      </c>
    </row>
    <row r="346" spans="1:14" x14ac:dyDescent="0.15">
      <c r="A346" s="23" t="str">
        <f>HYPERLINK("https://www.spark-marketing.ru/Card/Person/4350771", "МДОУ Д/С № 11")</f>
        <v>МДОУ Д/С № 11</v>
      </c>
      <c r="B346" s="24" t="s">
        <v>825</v>
      </c>
      <c r="C346" s="25">
        <v>296397.15000000002</v>
      </c>
      <c r="D346" s="22" t="s">
        <v>826</v>
      </c>
      <c r="E346" s="22" t="s">
        <v>84</v>
      </c>
      <c r="F346" s="23" t="str">
        <f>HYPERLINK("https://www.spark-marketing.ru/Card/Lot/74210589", "Услуги по установке системы видеонаблюдения и системы контроля доступа на уличную калитку с аудиодомофоном на территории МДОУ д/с № 11")</f>
        <v>Услуги по установке системы видеонаблюдения и системы контроля доступа на уличную калитку с аудиодомофоном на территории МДОУ д/с № 11</v>
      </c>
      <c r="G346" s="22" t="s">
        <v>50</v>
      </c>
      <c r="H346" s="22" t="s">
        <v>827</v>
      </c>
      <c r="I346" s="26">
        <v>43746.597696759301</v>
      </c>
      <c r="J346" s="28" t="s">
        <v>52</v>
      </c>
      <c r="K346" s="28" t="s">
        <v>52</v>
      </c>
      <c r="L346" s="28" t="s">
        <v>52</v>
      </c>
      <c r="M346" s="28" t="s">
        <v>52</v>
      </c>
      <c r="N346" s="28" t="s">
        <v>52</v>
      </c>
    </row>
    <row r="347" spans="1:14" x14ac:dyDescent="0.15">
      <c r="A347" s="23" t="str">
        <f>HYPERLINK("https://www.spark-marketing.ru/Card/Person/1028872", "МОУ САВВИНСКАЯ СОШ")</f>
        <v>МОУ САВВИНСКАЯ СОШ</v>
      </c>
      <c r="B347" s="24" t="s">
        <v>820</v>
      </c>
      <c r="C347" s="25">
        <v>18000</v>
      </c>
      <c r="D347" s="22" t="s">
        <v>828</v>
      </c>
      <c r="E347" s="22" t="s">
        <v>103</v>
      </c>
      <c r="F347" s="23" t="str">
        <f>HYPERLINK("https://www.spark-marketing.ru/Card/Lot/74210669", "Техническое обслуживание системы видеонаблюдения (Форд)")</f>
        <v>Техническое обслуживание системы видеонаблюдения (Форд)</v>
      </c>
      <c r="G347" s="22" t="s">
        <v>50</v>
      </c>
      <c r="H347" s="22" t="s">
        <v>239</v>
      </c>
      <c r="I347" s="26">
        <v>43746.606932870403</v>
      </c>
      <c r="J347" s="28" t="s">
        <v>52</v>
      </c>
      <c r="K347" s="28" t="s">
        <v>52</v>
      </c>
      <c r="L347" s="28" t="s">
        <v>52</v>
      </c>
      <c r="M347" s="28" t="s">
        <v>52</v>
      </c>
      <c r="N347" s="28" t="s">
        <v>52</v>
      </c>
    </row>
    <row r="348" spans="1:14" x14ac:dyDescent="0.15">
      <c r="A348" s="23" t="str">
        <f>HYPERLINK("https://www.spark-marketing.ru/Card/Person/1010512", "ГКУ ""ЦЗН ГОРОДА КАЛУГА""")</f>
        <v>ГКУ "ЦЗН ГОРОДА КАЛУГА"</v>
      </c>
      <c r="B348" s="24" t="s">
        <v>829</v>
      </c>
      <c r="C348" s="25">
        <v>687609</v>
      </c>
      <c r="D348" s="22" t="s">
        <v>830</v>
      </c>
      <c r="E348" s="22" t="s">
        <v>59</v>
      </c>
      <c r="F348" s="23" t="str">
        <f>HYPERLINK("https://www.spark-marketing.ru/Card/Lot/74219305", "Монтаж и установка системы охранной сигнализации")</f>
        <v>Монтаж и установка системы охранной сигнализации</v>
      </c>
      <c r="G348" s="22" t="s">
        <v>658</v>
      </c>
      <c r="H348" s="22" t="s">
        <v>741</v>
      </c>
      <c r="I348" s="26">
        <v>43746.500787037003</v>
      </c>
      <c r="J348" s="28" t="s">
        <v>52</v>
      </c>
      <c r="K348" s="28" t="s">
        <v>52</v>
      </c>
      <c r="L348" s="28" t="s">
        <v>52</v>
      </c>
      <c r="M348" s="28" t="s">
        <v>52</v>
      </c>
      <c r="N348" s="28" t="s">
        <v>52</v>
      </c>
    </row>
    <row r="349" spans="1:14" x14ac:dyDescent="0.15">
      <c r="A349" s="23" t="str">
        <f>HYPERLINK("https://www.spark-marketing.ru/Card/Person/9675", "ФКУ ""ЦХ И СО МВД ПО РСО-АЛАНИЯ""")</f>
        <v>ФКУ "ЦХ И СО МВД ПО РСО-АЛАНИЯ"</v>
      </c>
      <c r="B349" s="24" t="s">
        <v>831</v>
      </c>
      <c r="C349" s="25">
        <v>296816.40000000002</v>
      </c>
      <c r="D349" s="22" t="s">
        <v>832</v>
      </c>
      <c r="E349" s="22" t="s">
        <v>59</v>
      </c>
      <c r="F349" s="23" t="str">
        <f>HYPERLINK("https://www.spark-marketing.ru/Card/Lot/74208656", "Установка охранной сигнализации, 1 шт")</f>
        <v>Установка охранной сигнализации, 1 шт</v>
      </c>
      <c r="G349" s="22" t="s">
        <v>833</v>
      </c>
      <c r="H349" s="22" t="s">
        <v>834</v>
      </c>
      <c r="I349" s="26">
        <v>43746.509305555599</v>
      </c>
      <c r="J349" s="28" t="s">
        <v>52</v>
      </c>
      <c r="K349" s="28" t="s">
        <v>52</v>
      </c>
      <c r="L349" s="28" t="s">
        <v>52</v>
      </c>
      <c r="M349" s="28" t="s">
        <v>52</v>
      </c>
      <c r="N349" s="28" t="s">
        <v>52</v>
      </c>
    </row>
    <row r="350" spans="1:14" x14ac:dyDescent="0.15">
      <c r="A350" s="23" t="str">
        <f>HYPERLINK("https://www.spark-marketing.ru/Card/Person/120134", "ДРГХ АДМИНИСТРАЦИИ Г. КУРГАНА")</f>
        <v>ДРГХ АДМИНИСТРАЦИИ Г. КУРГАНА</v>
      </c>
      <c r="B350" s="24" t="s">
        <v>835</v>
      </c>
      <c r="C350" s="25">
        <v>1536186.67</v>
      </c>
      <c r="D350" s="22" t="s">
        <v>836</v>
      </c>
      <c r="E350" s="22" t="s">
        <v>491</v>
      </c>
      <c r="F350" s="23" t="str">
        <f>HYPERLINK("https://www.spark-marketing.ru/Card/Lot/74218468", "Оказание услуг в области обеспечения транспортной безопасности")</f>
        <v>Оказание услуг в области обеспечения транспортной безопасности</v>
      </c>
      <c r="G350" s="22" t="s">
        <v>626</v>
      </c>
      <c r="H350" s="22" t="s">
        <v>626</v>
      </c>
      <c r="I350" s="26">
        <v>43746.603958333297</v>
      </c>
      <c r="J350" s="28" t="s">
        <v>52</v>
      </c>
      <c r="K350" s="28" t="s">
        <v>52</v>
      </c>
      <c r="L350" s="28" t="s">
        <v>52</v>
      </c>
      <c r="M350" s="28" t="s">
        <v>52</v>
      </c>
      <c r="N350" s="28" t="s">
        <v>52</v>
      </c>
    </row>
    <row r="351" spans="1:14" x14ac:dyDescent="0.15">
      <c r="A351" s="23" t="str">
        <f>HYPERLINK("https://www.spark-marketing.ru/Card/Person/9675", "ФКУ ""ЦХ И СО МВД ПО РСО-АЛАНИЯ""")</f>
        <v>ФКУ "ЦХ И СО МВД ПО РСО-АЛАНИЯ"</v>
      </c>
      <c r="B351" s="24" t="s">
        <v>831</v>
      </c>
      <c r="C351" s="25">
        <v>296816.40000000002</v>
      </c>
      <c r="D351" s="22" t="s">
        <v>837</v>
      </c>
      <c r="E351" s="22" t="s">
        <v>59</v>
      </c>
      <c r="F351" s="23" t="str">
        <f>HYPERLINK("https://www.spark-marketing.ru/Card/Lot/74209245", "Установка охранной сигнализации, 1 шт")</f>
        <v>Установка охранной сигнализации, 1 шт</v>
      </c>
      <c r="G351" s="22" t="s">
        <v>833</v>
      </c>
      <c r="H351" s="22" t="s">
        <v>834</v>
      </c>
      <c r="I351" s="26">
        <v>43746.529074074097</v>
      </c>
      <c r="J351" s="28" t="s">
        <v>52</v>
      </c>
      <c r="K351" s="28" t="s">
        <v>52</v>
      </c>
      <c r="L351" s="28" t="s">
        <v>52</v>
      </c>
      <c r="M351" s="28" t="s">
        <v>52</v>
      </c>
      <c r="N351" s="28" t="s">
        <v>52</v>
      </c>
    </row>
    <row r="352" spans="1:14" x14ac:dyDescent="0.15">
      <c r="A352" s="23" t="str">
        <f>HYPERLINK("https://www.spark-marketing.ru/Card/Person/1001243", "МБУК ""ЦБС""")</f>
        <v>МБУК "ЦБС"</v>
      </c>
      <c r="B352" s="24" t="s">
        <v>838</v>
      </c>
      <c r="C352" s="25">
        <v>60000</v>
      </c>
      <c r="D352" s="22" t="s">
        <v>839</v>
      </c>
      <c r="E352" s="22" t="s">
        <v>208</v>
      </c>
      <c r="F352" s="23" t="str">
        <f>HYPERLINK("https://www.spark-marketing.ru/Card/Lot/74208574", "Приобретение оборудования и установка тревожной сигнализации")</f>
        <v>Приобретение оборудования и установка тревожной сигнализации</v>
      </c>
      <c r="G352" s="22" t="s">
        <v>50</v>
      </c>
      <c r="H352" s="22" t="s">
        <v>432</v>
      </c>
      <c r="I352" s="26">
        <v>43746.4929050926</v>
      </c>
      <c r="J352" s="28" t="s">
        <v>52</v>
      </c>
      <c r="K352" s="28" t="s">
        <v>52</v>
      </c>
      <c r="L352" s="28" t="s">
        <v>52</v>
      </c>
      <c r="M352" s="28" t="s">
        <v>52</v>
      </c>
      <c r="N352" s="28" t="s">
        <v>52</v>
      </c>
    </row>
    <row r="353" spans="1:14" x14ac:dyDescent="0.15">
      <c r="A353" s="23" t="str">
        <f>HYPERLINK("https://www.spark-marketing.ru/Card/Person/6654357", "ДИРЕКЦИЯ ПО ЭКСПЛУАТАЦИИ ЗДАНИЙ И СООРУЖЕНИЙ – СТРУКТУРНОЕ ПОДРАЗДЕЛЕНИЕ ЗАПАДНО СИБИРСКОЙ ЖЕЛЕЗНОЙ ДОРОГИ – ФЛ ОАО РЖД")</f>
        <v>ДИРЕКЦИЯ ПО ЭКСПЛУАТАЦИИ ЗДАНИЙ И СООРУЖЕНИЙ – СТРУКТУРНОЕ ПОДРАЗДЕЛЕНИЕ ЗАПАДНО СИБИРСКОЙ ЖЕЛЕЗНОЙ ДОРОГИ – ФЛ ОАО РЖД</v>
      </c>
      <c r="B353" s="24" t="s">
        <v>163</v>
      </c>
      <c r="C353" s="25">
        <v>176986.56</v>
      </c>
      <c r="D353" s="28" t="s">
        <v>52</v>
      </c>
      <c r="E353" s="22" t="s">
        <v>591</v>
      </c>
      <c r="F353" s="23" t="str">
        <f>HYPERLINK("https://www.spark-marketing.ru/Card/Lot/74208789", "№28802 Оказание услуг по обеспечению пропускного режима на объекте ""Учебный центр УЦПК г. Новосибирск, ул. Владимировский спуск,2""")</f>
        <v>№28802 Оказание услуг по обеспечению пропускного режима на объекте "Учебный центр УЦПК г. Новосибирск, ул. Владимировский спуск,2"</v>
      </c>
      <c r="G353" s="22" t="s">
        <v>52</v>
      </c>
      <c r="H353" s="22" t="s">
        <v>52</v>
      </c>
      <c r="I353" s="26">
        <v>43746.483391203699</v>
      </c>
      <c r="J353" s="28" t="s">
        <v>52</v>
      </c>
      <c r="K353" s="28" t="s">
        <v>52</v>
      </c>
      <c r="L353" s="28" t="s">
        <v>52</v>
      </c>
      <c r="M353" s="28" t="s">
        <v>52</v>
      </c>
      <c r="N353" s="28" t="s">
        <v>52</v>
      </c>
    </row>
    <row r="354" spans="1:14" x14ac:dyDescent="0.15">
      <c r="A354" s="23" t="str">
        <f>HYPERLINK("https://www.spark-marketing.ru/Card/Person/31861", "ГБУСО МО ""МЕЖМУНИЦИПАЛЬНЫЙ КЦСОН""")</f>
        <v>ГБУСО МО "МЕЖМУНИЦИПАЛЬНЫЙ КЦСОН"</v>
      </c>
      <c r="B354" s="24" t="s">
        <v>840</v>
      </c>
      <c r="C354" s="25">
        <v>573856.67000000004</v>
      </c>
      <c r="D354" s="22" t="s">
        <v>841</v>
      </c>
      <c r="E354" s="22" t="s">
        <v>842</v>
      </c>
      <c r="F354" s="23" t="str">
        <f>HYPERLINK("https://www.spark-marketing.ru/Card/Lot/74217154", "Оказание услуг по поставке и монтажу блок-контейнера для размещения поста охраны на территории ГБУСО МО «Межмуниципальный КЦСОН»")</f>
        <v>Оказание услуг по поставке и монтажу блок-контейнера для размещения поста охраны на территории ГБУСО МО «Межмуниципальный КЦСОН»</v>
      </c>
      <c r="G354" s="22" t="s">
        <v>50</v>
      </c>
      <c r="H354" s="22" t="s">
        <v>432</v>
      </c>
      <c r="I354" s="26">
        <v>43746.397638888899</v>
      </c>
      <c r="J354" s="28" t="s">
        <v>52</v>
      </c>
      <c r="K354" s="28" t="s">
        <v>52</v>
      </c>
      <c r="L354" s="28" t="s">
        <v>52</v>
      </c>
      <c r="M354" s="28" t="s">
        <v>52</v>
      </c>
      <c r="N354" s="28" t="s">
        <v>52</v>
      </c>
    </row>
    <row r="355" spans="1:14" x14ac:dyDescent="0.2">
      <c r="A355" s="23" t="str">
        <f>HYPERLINK("https://www.spark-marketing.ru/Card/Person/56453", "АО ""МОСВОДОКАНАЛ""")</f>
        <v>АО "МОСВОДОКАНАЛ"</v>
      </c>
      <c r="B355" s="24" t="s">
        <v>528</v>
      </c>
      <c r="C355" s="25">
        <v>7027946.4000000004</v>
      </c>
      <c r="D355" s="22" t="s">
        <v>843</v>
      </c>
      <c r="E355" s="22" t="s">
        <v>144</v>
      </c>
      <c r="F355" s="23" t="str">
        <f>HYPERLINK("https://www.spark-marketing.ru/Card/Lot/74226886", "Услуги пультовой охраны объектов")</f>
        <v>Услуги пультовой охраны объектов</v>
      </c>
      <c r="G355" s="22" t="s">
        <v>55</v>
      </c>
      <c r="H355" s="22" t="s">
        <v>55</v>
      </c>
      <c r="I355" s="26">
        <v>43746.382870370398</v>
      </c>
      <c r="J355" s="28" t="s">
        <v>52</v>
      </c>
      <c r="K355" s="28" t="s">
        <v>52</v>
      </c>
      <c r="L355" s="28" t="s">
        <v>52</v>
      </c>
      <c r="M355" s="25">
        <v>7027946.4000000004</v>
      </c>
      <c r="N355" s="27">
        <v>0</v>
      </c>
    </row>
    <row r="356" spans="1:14" x14ac:dyDescent="0.15">
      <c r="A356" s="23" t="str">
        <f>HYPERLINK("https://www.spark-marketing.ru/Card/Person/72459", "АО ""ФНПЦ ""ПО ""СТАРТ"" ИМ. М.В. ПРОЦЕНКО""")</f>
        <v>АО "ФНПЦ "ПО "СТАРТ" ИМ. М.В. ПРОЦЕНКО"</v>
      </c>
      <c r="B356" s="24" t="s">
        <v>844</v>
      </c>
      <c r="C356" s="25">
        <v>782766.92208000005</v>
      </c>
      <c r="D356" s="22" t="s">
        <v>845</v>
      </c>
      <c r="E356" s="22" t="s">
        <v>606</v>
      </c>
      <c r="F356" s="23" t="str">
        <f>HYPERLINK("https://www.spark-marketing.ru/Card/Lot/74223635", "выполнение строительных и электромонтажных работ для восстановления вышедших из строя рубежей охраны объекта Посольства России в Италии")</f>
        <v>выполнение строительных и электромонтажных работ для восстановления вышедших из строя рубежей охраны объекта Посольства России в Италии</v>
      </c>
      <c r="G356" s="22" t="s">
        <v>514</v>
      </c>
      <c r="H356" s="22" t="s">
        <v>846</v>
      </c>
      <c r="I356" s="26">
        <v>43746.360925925903</v>
      </c>
      <c r="J356" s="28" t="s">
        <v>52</v>
      </c>
      <c r="K356" s="28" t="s">
        <v>52</v>
      </c>
      <c r="L356" s="28" t="s">
        <v>52</v>
      </c>
      <c r="M356" s="28" t="s">
        <v>52</v>
      </c>
      <c r="N356" s="28" t="s">
        <v>52</v>
      </c>
    </row>
    <row r="357" spans="1:14" x14ac:dyDescent="0.15">
      <c r="A357" s="23" t="str">
        <f>HYPERLINK("https://www.spark-marketing.ru/Card/Person/4958", "ФКУ УПРДОР ""ЛЕНА""")</f>
        <v>ФКУ УПРДОР "ЛЕНА"</v>
      </c>
      <c r="B357" s="24" t="s">
        <v>600</v>
      </c>
      <c r="C357" s="25">
        <v>220000</v>
      </c>
      <c r="D357" s="22" t="s">
        <v>847</v>
      </c>
      <c r="E357" s="22" t="s">
        <v>294</v>
      </c>
      <c r="F357" s="23" t="str">
        <f>HYPERLINK("https://www.spark-marketing.ru/Card/Lot/74202523", "Tехническое обслуживание систем видеонаблюдения, 1 шт")</f>
        <v>Tехническое обслуживание систем видеонаблюдения, 1 шт</v>
      </c>
      <c r="G357" s="22" t="s">
        <v>424</v>
      </c>
      <c r="H357" s="22" t="s">
        <v>602</v>
      </c>
      <c r="I357" s="26">
        <v>43746.298460648097</v>
      </c>
      <c r="J357" s="28" t="s">
        <v>52</v>
      </c>
      <c r="K357" s="28" t="s">
        <v>52</v>
      </c>
      <c r="L357" s="28" t="s">
        <v>52</v>
      </c>
      <c r="M357" s="28" t="s">
        <v>52</v>
      </c>
      <c r="N357" s="28" t="s">
        <v>52</v>
      </c>
    </row>
    <row r="358" spans="1:14" x14ac:dyDescent="0.15">
      <c r="A358" s="23" t="str">
        <f>HYPERLINK("https://www.spark-marketing.ru/Card/Person/4958", "ФКУ УПРДОР ""ЛЕНА""")</f>
        <v>ФКУ УПРДОР "ЛЕНА"</v>
      </c>
      <c r="B358" s="24" t="s">
        <v>600</v>
      </c>
      <c r="C358" s="25">
        <v>296000</v>
      </c>
      <c r="D358" s="22" t="s">
        <v>848</v>
      </c>
      <c r="E358" s="22" t="s">
        <v>294</v>
      </c>
      <c r="F358" s="23" t="str">
        <f>HYPERLINK("https://www.spark-marketing.ru/Card/Lot/74202525", "Tехническое обслуживание систем видеонаблюдения, 1 шт")</f>
        <v>Tехническое обслуживание систем видеонаблюдения, 1 шт</v>
      </c>
      <c r="G358" s="22" t="s">
        <v>424</v>
      </c>
      <c r="H358" s="22" t="s">
        <v>602</v>
      </c>
      <c r="I358" s="26">
        <v>43746.301932870403</v>
      </c>
      <c r="J358" s="28" t="s">
        <v>52</v>
      </c>
      <c r="K358" s="28" t="s">
        <v>52</v>
      </c>
      <c r="L358" s="28" t="s">
        <v>52</v>
      </c>
      <c r="M358" s="28" t="s">
        <v>52</v>
      </c>
      <c r="N358" s="28" t="s">
        <v>52</v>
      </c>
    </row>
    <row r="359" spans="1:14" ht="12.75" x14ac:dyDescent="0.2">
      <c r="A359" s="23" t="str">
        <f>HYPERLINK("https://www.spark-marketing.ru/Card/Person/741795", "МАОУ ГИМНАЗИЯ № 17 Г.БЕЛОРЕЦК")</f>
        <v>МАОУ ГИМНАЗИЯ № 17 Г.БЕЛОРЕЦК</v>
      </c>
      <c r="B359" s="24" t="s">
        <v>849</v>
      </c>
      <c r="C359" s="25">
        <v>148800</v>
      </c>
      <c r="D359" s="22" t="s">
        <v>850</v>
      </c>
      <c r="E359" s="22" t="s">
        <v>144</v>
      </c>
      <c r="F359" s="23" t="str">
        <f>HYPERLINK("https://www.spark-marketing.ru/Card/Lot/74223401", "Услуги по физической охране объектов Заказчика.")</f>
        <v>Услуги по физической охране объектов Заказчика.</v>
      </c>
      <c r="G359" s="22" t="s">
        <v>100</v>
      </c>
      <c r="H359" s="22" t="s">
        <v>100</v>
      </c>
      <c r="I359" s="26">
        <v>43746.491446759297</v>
      </c>
      <c r="J359" s="23" t="str">
        <f>HYPERLINK("https://www.spark-marketing.ru/Card/Person/6592775", "ООО ЧОО ""СБ""")</f>
        <v>ООО ЧОО "СБ"</v>
      </c>
      <c r="K359" s="24" t="s">
        <v>851</v>
      </c>
      <c r="L359" s="22" t="s">
        <v>10</v>
      </c>
      <c r="M359" s="25">
        <v>148800</v>
      </c>
      <c r="N359" s="27">
        <v>0</v>
      </c>
    </row>
    <row r="360" spans="1:14" x14ac:dyDescent="0.15">
      <c r="A360" s="23" t="str">
        <f>HYPERLINK("https://www.spark-marketing.ru/Card/Person/6450322", "ЗАКАЗЧИК РП БЕЛАРУСЬ")</f>
        <v>ЗАКАЗЧИК РП БЕЛАРУСЬ</v>
      </c>
      <c r="B360" s="28" t="s">
        <v>52</v>
      </c>
      <c r="C360" s="28" t="s">
        <v>52</v>
      </c>
      <c r="D360" s="22" t="s">
        <v>852</v>
      </c>
      <c r="E360" s="22" t="s">
        <v>53</v>
      </c>
      <c r="F360" s="23" t="str">
        <f>HYPERLINK("https://www.spark-marketing.ru/Card/Lot/74208332", "Выбор генеральной подрядной организации на выполнение строительно-монтажных работ по объекту «Установка системы видеонаблюдения на МАЗС №6 Витебская обл., Шумилинский р-н, г.п. Шумилино, ул. Юбилейная,1»")</f>
        <v>Выбор генеральной подрядной организации на выполнение строительно-монтажных работ по объекту «Установка системы видеонаблюдения на МАЗС №6 Витебская обл., Шумилинский р-н, г.п. Шумилино, ул. Юбилейная,1»</v>
      </c>
      <c r="G360" s="22" t="s">
        <v>52</v>
      </c>
      <c r="H360" s="22" t="s">
        <v>52</v>
      </c>
      <c r="I360" s="26">
        <v>43746</v>
      </c>
      <c r="J360" s="28" t="s">
        <v>52</v>
      </c>
      <c r="K360" s="28" t="s">
        <v>52</v>
      </c>
      <c r="L360" s="28" t="s">
        <v>52</v>
      </c>
      <c r="M360" s="28" t="s">
        <v>52</v>
      </c>
      <c r="N360" s="28" t="s">
        <v>52</v>
      </c>
    </row>
    <row r="361" spans="1:14" x14ac:dyDescent="0.15">
      <c r="A361" s="23" t="str">
        <f>HYPERLINK("https://www.spark-marketing.ru/Card/Person/4365569", "ФГУП ""РОСМОРПОРТ""")</f>
        <v>ФГУП "РОСМОРПОРТ"</v>
      </c>
      <c r="B361" s="24" t="s">
        <v>273</v>
      </c>
      <c r="C361" s="25">
        <v>220000</v>
      </c>
      <c r="D361" s="22" t="s">
        <v>853</v>
      </c>
      <c r="E361" s="22" t="s">
        <v>854</v>
      </c>
      <c r="F361" s="23" t="str">
        <f>HYPERLINK("https://www.spark-marketing.ru/Card/Lot/74227283", "Запрос котировок в электронной форме № АБФ 135-19 по выбору организации на право заключения договора на выполнение поверочных расчетов несущей способности объектов инженерно-технических средств обеспечения транспортной безопасности")</f>
        <v>Запрос котировок в электронной форме № АБФ 135-19 по выбору организации на право заключения договора на выполнение поверочных расчетов несущей способности объектов инженерно-технических средств обеспечения транспортной безопасности</v>
      </c>
      <c r="G361" s="22" t="s">
        <v>402</v>
      </c>
      <c r="H361" s="22" t="s">
        <v>402</v>
      </c>
      <c r="I361" s="26">
        <v>43746.740787037001</v>
      </c>
      <c r="J361" s="28" t="s">
        <v>52</v>
      </c>
      <c r="K361" s="28" t="s">
        <v>52</v>
      </c>
      <c r="L361" s="28" t="s">
        <v>52</v>
      </c>
      <c r="M361" s="28" t="s">
        <v>52</v>
      </c>
      <c r="N361" s="28" t="s">
        <v>52</v>
      </c>
    </row>
    <row r="362" spans="1:14" x14ac:dyDescent="0.15">
      <c r="A362" s="23" t="str">
        <f>HYPERLINK("https://www.spark-marketing.ru/Card/Person/1777544", "ООО ""ГАЗПРОМ ПРОЕКТИРОВАНИЕ""")</f>
        <v>ООО "ГАЗПРОМ ПРОЕКТИРОВАНИЕ"</v>
      </c>
      <c r="B362" s="24" t="s">
        <v>855</v>
      </c>
      <c r="C362" s="25">
        <v>3473280</v>
      </c>
      <c r="D362" s="22" t="s">
        <v>856</v>
      </c>
      <c r="E362" s="22" t="s">
        <v>857</v>
      </c>
      <c r="F362" s="23" t="str">
        <f>HYPERLINK("https://www.spark-marketing.ru/Card/Lot/74224982", "Оказание услуг по охране объектов, защите жизни и здоровья работников от диких животных на участках выполнения инженерных изысканий, объект - «Система магистральных газопроводов Ухта-Торжок III нитка (Ямал)».")</f>
        <v>Оказание услуг по охране объектов, защите жизни и здоровья работников от диких животных на участках выполнения инженерных изысканий, объект - «Система магистральных газопроводов Ухта-Торжок III нитка (Ямал)».</v>
      </c>
      <c r="G362" s="22" t="s">
        <v>89</v>
      </c>
      <c r="H362" s="22" t="s">
        <v>89</v>
      </c>
      <c r="I362" s="26">
        <v>43746.645925925899</v>
      </c>
      <c r="J362" s="28" t="s">
        <v>52</v>
      </c>
      <c r="K362" s="28" t="s">
        <v>52</v>
      </c>
      <c r="L362" s="28" t="s">
        <v>52</v>
      </c>
      <c r="M362" s="28" t="s">
        <v>52</v>
      </c>
      <c r="N362" s="28" t="s">
        <v>52</v>
      </c>
    </row>
    <row r="363" spans="1:14" x14ac:dyDescent="0.15">
      <c r="A363" s="23" t="str">
        <f>HYPERLINK("https://www.spark-marketing.ru/Card/Person/6450322", "ЗАКАЗЧИК РП БЕЛАРУСЬ")</f>
        <v>ЗАКАЗЧИК РП БЕЛАРУСЬ</v>
      </c>
      <c r="B363" s="28" t="s">
        <v>52</v>
      </c>
      <c r="C363" s="28" t="s">
        <v>52</v>
      </c>
      <c r="D363" s="22" t="s">
        <v>858</v>
      </c>
      <c r="E363" s="22" t="s">
        <v>53</v>
      </c>
      <c r="F363" s="23" t="str">
        <f>HYPERLINK("https://www.spark-marketing.ru/Card/Lot/74209859", "Выбор генеральной подрядной организации на выполнение строительно-монтажных работ по объекту «Установка системы видеонаблюдения на МАЗС №3 Республика Беларусь, Витебская обл., г. Витебск, ул. Ленинградская,178А»")</f>
        <v>Выбор генеральной подрядной организации на выполнение строительно-монтажных работ по объекту «Установка системы видеонаблюдения на МАЗС №3 Республика Беларусь, Витебская обл., г. Витебск, ул. Ленинградская,178А»</v>
      </c>
      <c r="G363" s="22" t="s">
        <v>52</v>
      </c>
      <c r="H363" s="22" t="s">
        <v>52</v>
      </c>
      <c r="I363" s="26">
        <v>43746</v>
      </c>
      <c r="J363" s="28" t="s">
        <v>52</v>
      </c>
      <c r="K363" s="28" t="s">
        <v>52</v>
      </c>
      <c r="L363" s="28" t="s">
        <v>52</v>
      </c>
      <c r="M363" s="28" t="s">
        <v>52</v>
      </c>
      <c r="N363" s="28" t="s">
        <v>52</v>
      </c>
    </row>
    <row r="364" spans="1:14" x14ac:dyDescent="0.15">
      <c r="A364" s="23" t="str">
        <f>HYPERLINK("https://www.spark-marketing.ru/Card/Person/4681342", "ГУП ""ЛЕНОБЛВОДОКАНАЛ""")</f>
        <v>ГУП "ЛЕНОБЛВОДОКАНАЛ"</v>
      </c>
      <c r="B364" s="24" t="s">
        <v>859</v>
      </c>
      <c r="C364" s="25">
        <v>371046.45</v>
      </c>
      <c r="D364" s="22" t="s">
        <v>860</v>
      </c>
      <c r="E364" s="22" t="s">
        <v>370</v>
      </c>
      <c r="F364" s="23" t="str">
        <f>HYPERLINK("https://www.spark-marketing.ru/Card/Lot/74224636", "Оказание услуг по восстановлению системы контроля и управления доступом, системы видеонаблюдения, установки электропривода на распашные ворота")</f>
        <v>Оказание услуг по восстановлению системы контроля и управления доступом, системы видеонаблюдения, установки электропривода на распашные ворота</v>
      </c>
      <c r="G364" s="22" t="s">
        <v>861</v>
      </c>
      <c r="H364" s="22" t="s">
        <v>861</v>
      </c>
      <c r="I364" s="26">
        <v>43746.618159722202</v>
      </c>
      <c r="J364" s="28" t="s">
        <v>52</v>
      </c>
      <c r="K364" s="28" t="s">
        <v>52</v>
      </c>
      <c r="L364" s="28" t="s">
        <v>52</v>
      </c>
      <c r="M364" s="28" t="s">
        <v>52</v>
      </c>
      <c r="N364" s="28" t="s">
        <v>52</v>
      </c>
    </row>
    <row r="365" spans="1:14" x14ac:dyDescent="0.15">
      <c r="A365" s="23" t="str">
        <f>HYPERLINK("https://www.spark-marketing.ru/Card/Person/6450322", "ЗАКАЗЧИК РП БЕЛАРУСЬ")</f>
        <v>ЗАКАЗЧИК РП БЕЛАРУСЬ</v>
      </c>
      <c r="B365" s="28" t="s">
        <v>52</v>
      </c>
      <c r="C365" s="28" t="s">
        <v>52</v>
      </c>
      <c r="D365" s="22" t="s">
        <v>862</v>
      </c>
      <c r="E365" s="22" t="s">
        <v>53</v>
      </c>
      <c r="F365" s="23" t="str">
        <f>HYPERLINK("https://www.spark-marketing.ru/Card/Lot/74208775", "Выбор генеральной подрядной организации на выполнение строительно-монтажных работ по объекту «Установка системы видеонаблюдения на МАЗС №1 Республика Беларусь, Витебская обл., г. Витебск, ш. Бешенковичское,52»")</f>
        <v>Выбор генеральной подрядной организации на выполнение строительно-монтажных работ по объекту «Установка системы видеонаблюдения на МАЗС №1 Республика Беларусь, Витебская обл., г. Витебск, ш. Бешенковичское,52»</v>
      </c>
      <c r="G365" s="22" t="s">
        <v>52</v>
      </c>
      <c r="H365" s="22" t="s">
        <v>52</v>
      </c>
      <c r="I365" s="26">
        <v>43746</v>
      </c>
      <c r="J365" s="28" t="s">
        <v>52</v>
      </c>
      <c r="K365" s="28" t="s">
        <v>52</v>
      </c>
      <c r="L365" s="28" t="s">
        <v>52</v>
      </c>
      <c r="M365" s="28" t="s">
        <v>52</v>
      </c>
      <c r="N365" s="28" t="s">
        <v>52</v>
      </c>
    </row>
    <row r="366" spans="1:14" x14ac:dyDescent="0.15">
      <c r="A366" s="23" t="str">
        <f>HYPERLINK("https://www.spark-marketing.ru/Card/Person/167058", "УПРАВЛЕНИЕ МИНЮСТА РОССИИ ПО РЕСПУБЛИКЕ МОРДОВИЯ")</f>
        <v>УПРАВЛЕНИЕ МИНЮСТА РОССИИ ПО РЕСПУБЛИКЕ МОРДОВИЯ</v>
      </c>
      <c r="B366" s="24" t="s">
        <v>863</v>
      </c>
      <c r="C366" s="25">
        <v>273260.52</v>
      </c>
      <c r="D366" s="22" t="s">
        <v>864</v>
      </c>
      <c r="E366" s="22" t="s">
        <v>68</v>
      </c>
      <c r="F366" s="23" t="str">
        <f>HYPERLINK("https://www.spark-marketing.ru/Card/Lot/74195032", "Услуги, связанные с обеспечением общественного порядка и безопасности прочие, 1672 усл. ед")</f>
        <v>Услуги, связанные с обеспечением общественного порядка и безопасности прочие, 1672 усл. ед</v>
      </c>
      <c r="G366" s="22" t="s">
        <v>331</v>
      </c>
      <c r="H366" s="22" t="s">
        <v>332</v>
      </c>
      <c r="I366" s="26">
        <v>43745.904374999998</v>
      </c>
      <c r="J366" s="28" t="s">
        <v>52</v>
      </c>
      <c r="K366" s="28" t="s">
        <v>52</v>
      </c>
      <c r="L366" s="28" t="s">
        <v>52</v>
      </c>
      <c r="M366" s="28" t="s">
        <v>52</v>
      </c>
      <c r="N366" s="28" t="s">
        <v>52</v>
      </c>
    </row>
    <row r="367" spans="1:14" x14ac:dyDescent="0.2">
      <c r="A367" s="23" t="str">
        <f>HYPERLINK("https://www.spark-marketing.ru/Card/Person/4345875", "АО ""ТЕЛЕКАНАЛ 360""")</f>
        <v>АО "ТЕЛЕКАНАЛ 360"</v>
      </c>
      <c r="B367" s="24" t="s">
        <v>865</v>
      </c>
      <c r="C367" s="25">
        <v>220869.57</v>
      </c>
      <c r="D367" s="22" t="s">
        <v>866</v>
      </c>
      <c r="E367" s="22" t="s">
        <v>867</v>
      </c>
      <c r="F367" s="23" t="str">
        <f>HYPERLINK("https://www.spark-marketing.ru/Card/Lot/74200366", "Оказание услуг по установке, подключению и настройке двух серверов TVU Networks, установке внешних звуковых карт, прокладке кабелей, подключению к видео матрице Evertz, подключению к матрице связи ADAM-M в студийном комплексе Заказчика")</f>
        <v>Оказание услуг по установке, подключению и настройке двух серверов TVU Networks, установке внешних звуковых карт, прокладке кабелей, подключению к видео матрице Evertz, подключению к матрице связи ADAM-M в студийном комплексе Заказчика</v>
      </c>
      <c r="G367" s="22" t="s">
        <v>50</v>
      </c>
      <c r="H367" s="22" t="s">
        <v>51</v>
      </c>
      <c r="I367" s="26">
        <v>43745.768356481502</v>
      </c>
      <c r="J367" s="28" t="s">
        <v>52</v>
      </c>
      <c r="K367" s="28" t="s">
        <v>52</v>
      </c>
      <c r="L367" s="28" t="s">
        <v>52</v>
      </c>
      <c r="M367" s="25">
        <v>220869.57</v>
      </c>
      <c r="N367" s="27">
        <v>0</v>
      </c>
    </row>
    <row r="368" spans="1:14" x14ac:dyDescent="0.15">
      <c r="A368" s="23" t="str">
        <f>HYPERLINK("https://www.spark-marketing.ru/Card/Person/1753398", "ПАО ""ПОЧТА БАНК""")</f>
        <v>ПАО "ПОЧТА БАНК"</v>
      </c>
      <c r="B368" s="24" t="s">
        <v>868</v>
      </c>
      <c r="C368" s="25">
        <v>7057588.0800000001</v>
      </c>
      <c r="D368" s="22" t="s">
        <v>869</v>
      </c>
      <c r="E368" s="22" t="s">
        <v>52</v>
      </c>
      <c r="F368" s="23" t="str">
        <f>HYPERLINK("https://www.spark-marketing.ru/Card/Lot/74194736", "Оказание услуг по физической охране на объектах ПАО «Почта Банк» в г. Омск")</f>
        <v>Оказание услуг по физической охране на объектах ПАО «Почта Банк» в г. Омск</v>
      </c>
      <c r="G368" s="22" t="s">
        <v>55</v>
      </c>
      <c r="H368" s="22" t="s">
        <v>55</v>
      </c>
      <c r="I368" s="26">
        <v>43745.714282407404</v>
      </c>
      <c r="J368" s="28" t="s">
        <v>52</v>
      </c>
      <c r="K368" s="28" t="s">
        <v>52</v>
      </c>
      <c r="L368" s="28" t="s">
        <v>52</v>
      </c>
      <c r="M368" s="28" t="s">
        <v>52</v>
      </c>
      <c r="N368" s="28" t="s">
        <v>52</v>
      </c>
    </row>
    <row r="369" spans="1:14" x14ac:dyDescent="0.15">
      <c r="A369" s="23" t="str">
        <f>HYPERLINK("https://www.spark-marketing.ru/Card/Person/1762623", "МБОУ СОШ С МАЙГАЗА")</f>
        <v>МБОУ СОШ С МАЙГАЗА</v>
      </c>
      <c r="B369" s="24" t="s">
        <v>870</v>
      </c>
      <c r="C369" s="25">
        <v>140054</v>
      </c>
      <c r="D369" s="22" t="s">
        <v>871</v>
      </c>
      <c r="E369" s="22" t="s">
        <v>84</v>
      </c>
      <c r="F369" s="23" t="str">
        <f>HYPERLINK("https://www.spark-marketing.ru/Card/Lot/74197701", "Монтажные работы по установке видеонаблюдения в МБОУ СОШ с.Майгаза по адресу: 452583, РБ, Белокатайский район, с.Майгаза, ул.Мира, 7")</f>
        <v>Монтажные работы по установке видеонаблюдения в МБОУ СОШ с.Майгаза по адресу: 452583, РБ, Белокатайский район, с.Майгаза, ул.Мира, 7</v>
      </c>
      <c r="G369" s="22" t="s">
        <v>100</v>
      </c>
      <c r="H369" s="22" t="s">
        <v>872</v>
      </c>
      <c r="I369" s="26">
        <v>43745.732534722199</v>
      </c>
      <c r="J369" s="28" t="s">
        <v>52</v>
      </c>
      <c r="K369" s="28" t="s">
        <v>52</v>
      </c>
      <c r="L369" s="28" t="s">
        <v>52</v>
      </c>
      <c r="M369" s="28" t="s">
        <v>52</v>
      </c>
      <c r="N369" s="28" t="s">
        <v>52</v>
      </c>
    </row>
    <row r="370" spans="1:14" x14ac:dyDescent="0.15">
      <c r="A370" s="23" t="str">
        <f>HYPERLINK("https://www.spark-marketing.ru/Card/Person/21407", "АДМИНИСТРАЦИЯ ЩЕКИНСКОГО РАЙОНА")</f>
        <v>АДМИНИСТРАЦИЯ ЩЕКИНСКОГО РАЙОНА</v>
      </c>
      <c r="B370" s="24" t="s">
        <v>873</v>
      </c>
      <c r="C370" s="25">
        <v>1970000</v>
      </c>
      <c r="D370" s="22" t="s">
        <v>874</v>
      </c>
      <c r="E370" s="22" t="s">
        <v>84</v>
      </c>
      <c r="F370" s="23" t="str">
        <f>HYPERLINK("https://www.spark-marketing.ru/Card/Lot/74205019", "оказание услуги по созданию системы видеонаблюдения в сфере общественной безопасности и присоединению к сетям радиофикации в селе Крапивна МО Щекинский район Тульской области")</f>
        <v>оказание услуги по созданию системы видеонаблюдения в сфере общественной безопасности и присоединению к сетям радиофикации в селе Крапивна МО Щекинский район Тульской области</v>
      </c>
      <c r="G370" s="22" t="s">
        <v>818</v>
      </c>
      <c r="H370" s="22" t="s">
        <v>875</v>
      </c>
      <c r="I370" s="26">
        <v>43745.727928240703</v>
      </c>
      <c r="J370" s="23" t="str">
        <f>HYPERLINK("https://www.spark-marketing.ru/Card/Person/10991", "ПАО ""РОСТЕЛЕКОМ""")</f>
        <v>ПАО "РОСТЕЛЕКОМ"</v>
      </c>
      <c r="K370" s="24" t="s">
        <v>607</v>
      </c>
      <c r="L370" s="22" t="s">
        <v>10</v>
      </c>
      <c r="M370" s="28" t="s">
        <v>52</v>
      </c>
      <c r="N370" s="28" t="s">
        <v>52</v>
      </c>
    </row>
    <row r="371" spans="1:14" x14ac:dyDescent="0.15">
      <c r="A371" s="23" t="str">
        <f>HYPERLINK("https://www.spark-marketing.ru/Card/Person/121735", "ГБУЗ ""ККПБ""")</f>
        <v>ГБУЗ "ККПБ"</v>
      </c>
      <c r="B371" s="24" t="s">
        <v>876</v>
      </c>
      <c r="C371" s="25">
        <v>832000</v>
      </c>
      <c r="D371" s="22" t="s">
        <v>877</v>
      </c>
      <c r="E371" s="22" t="s">
        <v>84</v>
      </c>
      <c r="F371" s="23" t="str">
        <f>HYPERLINK("https://www.spark-marketing.ru/Card/Lot/74204194", "Выполнение работ по установке систем внутренней и внешней охраны (систем видеонаблюдения)")</f>
        <v>Выполнение работ по установке систем внутренней и внешней охраны (систем видеонаблюдения)</v>
      </c>
      <c r="G371" s="22" t="s">
        <v>409</v>
      </c>
      <c r="H371" s="22" t="s">
        <v>878</v>
      </c>
      <c r="I371" s="26">
        <v>43745.728935185201</v>
      </c>
      <c r="J371" s="28" t="s">
        <v>52</v>
      </c>
      <c r="K371" s="28" t="s">
        <v>52</v>
      </c>
      <c r="L371" s="28" t="s">
        <v>52</v>
      </c>
      <c r="M371" s="28" t="s">
        <v>52</v>
      </c>
      <c r="N371" s="28" t="s">
        <v>52</v>
      </c>
    </row>
    <row r="372" spans="1:14" x14ac:dyDescent="0.15">
      <c r="A372" s="23" t="str">
        <f>HYPERLINK("https://www.spark-marketing.ru/Card/Person/16488", "АДМИНИСТРАЦИЯ ГОРОДА КЕМЕРОВО")</f>
        <v>АДМИНИСТРАЦИЯ ГОРОДА КЕМЕРОВО</v>
      </c>
      <c r="B372" s="24" t="s">
        <v>879</v>
      </c>
      <c r="C372" s="25">
        <v>19983.009999999998</v>
      </c>
      <c r="D372" s="22" t="s">
        <v>880</v>
      </c>
      <c r="E372" s="22" t="s">
        <v>103</v>
      </c>
      <c r="F372" s="23" t="str">
        <f>HYPERLINK("https://www.spark-marketing.ru/Card/Lot/74197450", "Оказание услуг по техническому обслуживанию оборудования системы видеонаблюдения и системы контроля доступа")</f>
        <v>Оказание услуг по техническому обслуживанию оборудования системы видеонаблюдения и системы контроля доступа</v>
      </c>
      <c r="G372" s="22" t="s">
        <v>367</v>
      </c>
      <c r="H372" s="22" t="s">
        <v>881</v>
      </c>
      <c r="I372" s="26">
        <v>43745.689467592601</v>
      </c>
      <c r="J372" s="28" t="s">
        <v>52</v>
      </c>
      <c r="K372" s="28" t="s">
        <v>52</v>
      </c>
      <c r="L372" s="28" t="s">
        <v>52</v>
      </c>
      <c r="M372" s="28" t="s">
        <v>52</v>
      </c>
      <c r="N372" s="28" t="s">
        <v>52</v>
      </c>
    </row>
    <row r="373" spans="1:14" x14ac:dyDescent="0.15">
      <c r="A373" s="23" t="str">
        <f>HYPERLINK("https://www.spark-marketing.ru/Card/Person/5581", "ФБУ ""АДМИНИСТРАЦИЯ ""ЕНИСЕЙРЕЧТРАНС""")</f>
        <v>ФБУ "АДМИНИСТРАЦИЯ "ЕНИСЕЙРЕЧТРАНС"</v>
      </c>
      <c r="B373" s="24" t="s">
        <v>882</v>
      </c>
      <c r="C373" s="25">
        <v>16875000</v>
      </c>
      <c r="D373" s="22" t="s">
        <v>883</v>
      </c>
      <c r="E373" s="22" t="s">
        <v>68</v>
      </c>
      <c r="F373" s="23" t="str">
        <f>HYPERLINK("https://www.spark-marketing.ru/Card/Lot/74198589", "Оказание услуг по защите от актов незаконного вмешательства объекта транспортной инфраструктуры - Красноярского судоподъёмника.")</f>
        <v>Оказание услуг по защите от актов незаконного вмешательства объекта транспортной инфраструктуры - Красноярского судоподъёмника.</v>
      </c>
      <c r="G373" s="22" t="s">
        <v>640</v>
      </c>
      <c r="H373" s="22" t="s">
        <v>640</v>
      </c>
      <c r="I373" s="26">
        <v>43745.691643518498</v>
      </c>
      <c r="J373" s="28" t="s">
        <v>52</v>
      </c>
      <c r="K373" s="28" t="s">
        <v>52</v>
      </c>
      <c r="L373" s="28" t="s">
        <v>52</v>
      </c>
      <c r="M373" s="28" t="s">
        <v>52</v>
      </c>
      <c r="N373" s="28" t="s">
        <v>52</v>
      </c>
    </row>
    <row r="374" spans="1:14" x14ac:dyDescent="0.15">
      <c r="A374" s="23" t="str">
        <f>HYPERLINK("https://www.spark-marketing.ru/Card/Person/4101", "ФКУ ""ЦХИСО ГУ МВД РОССИИ ПО ВОРОНЕЖСКОЙ ОБЛАСТИ""")</f>
        <v>ФКУ "ЦХИСО ГУ МВД РОССИИ ПО ВОРОНЕЖСКОЙ ОБЛАСТИ"</v>
      </c>
      <c r="B374" s="24" t="s">
        <v>884</v>
      </c>
      <c r="C374" s="25">
        <v>165113.76</v>
      </c>
      <c r="D374" s="22" t="s">
        <v>885</v>
      </c>
      <c r="E374" s="22" t="s">
        <v>53</v>
      </c>
      <c r="F374" s="23" t="str">
        <f>HYPERLINK("https://www.spark-marketing.ru/Card/Lot/74192087", "Оказание услуг по фзической охране объектов, расположенных по адресам: г. Воронеж. Вл. Невского, 73, ул. Витрука,1")</f>
        <v>Оказание услуг по фзической охране объектов, расположенных по адресам: г. Воронеж. Вл. Невского, 73, ул. Витрука,1</v>
      </c>
      <c r="G374" s="22" t="s">
        <v>552</v>
      </c>
      <c r="H374" s="22" t="s">
        <v>886</v>
      </c>
      <c r="I374" s="26">
        <v>43745.672453703701</v>
      </c>
      <c r="J374" s="28" t="s">
        <v>52</v>
      </c>
      <c r="K374" s="28" t="s">
        <v>52</v>
      </c>
      <c r="L374" s="28" t="s">
        <v>52</v>
      </c>
      <c r="M374" s="28" t="s">
        <v>52</v>
      </c>
      <c r="N374" s="28" t="s">
        <v>52</v>
      </c>
    </row>
    <row r="375" spans="1:14" x14ac:dyDescent="0.15">
      <c r="A375" s="23" t="str">
        <f>HYPERLINK("https://www.spark-marketing.ru/Card/Person/173613", "АДМИНИСТРАЦИЯ ОКРУГА ""ВУКТЫЛ""")</f>
        <v>АДМИНИСТРАЦИЯ ОКРУГА "ВУКТЫЛ"</v>
      </c>
      <c r="B375" s="24" t="s">
        <v>887</v>
      </c>
      <c r="C375" s="25">
        <v>43500</v>
      </c>
      <c r="D375" s="22" t="s">
        <v>888</v>
      </c>
      <c r="E375" s="22" t="s">
        <v>234</v>
      </c>
      <c r="F375" s="23" t="str">
        <f>HYPERLINK("https://www.spark-marketing.ru/Card/Lot/74198403", "Оказание услуг по техническому обслуживанию системы видеонаблюдения, системы контроля и управления доступом")</f>
        <v>Оказание услуг по техническому обслуживанию системы видеонаблюдения, системы контроля и управления доступом</v>
      </c>
      <c r="G375" s="22" t="s">
        <v>538</v>
      </c>
      <c r="H375" s="22" t="s">
        <v>889</v>
      </c>
      <c r="I375" s="26">
        <v>43745.678182870397</v>
      </c>
      <c r="J375" s="23" t="str">
        <f>HYPERLINK("https://www.spark-marketing.ru/Card/Person/276827", "ООО ""АРС""")</f>
        <v>ООО "АРС"</v>
      </c>
      <c r="K375" s="24" t="s">
        <v>890</v>
      </c>
      <c r="L375" s="22" t="s">
        <v>10</v>
      </c>
      <c r="M375" s="28" t="s">
        <v>52</v>
      </c>
      <c r="N375" s="28" t="s">
        <v>52</v>
      </c>
    </row>
    <row r="376" spans="1:14" x14ac:dyDescent="0.15">
      <c r="A376" s="23" t="str">
        <f>HYPERLINK("https://www.spark-marketing.ru/Card/Person/27439", "УСД В ТЮМЕНСКОЙ ОБЛАСТИ")</f>
        <v>УСД В ТЮМЕНСКОЙ ОБЛАСТИ</v>
      </c>
      <c r="B376" s="24" t="s">
        <v>891</v>
      </c>
      <c r="C376" s="25">
        <v>526432.31000000006</v>
      </c>
      <c r="D376" s="22" t="s">
        <v>892</v>
      </c>
      <c r="E376" s="22" t="s">
        <v>59</v>
      </c>
      <c r="F376" s="23" t="str">
        <f>HYPERLINK("https://www.spark-marketing.ru/Card/Lot/74206736", "расширение единой действующей системы видеонаблюдения в здании Ленинского районного суда г.Тюмени")</f>
        <v>расширение единой действующей системы видеонаблюдения в здании Ленинского районного суда г.Тюмени</v>
      </c>
      <c r="G376" s="22" t="s">
        <v>893</v>
      </c>
      <c r="H376" s="22" t="s">
        <v>894</v>
      </c>
      <c r="I376" s="26">
        <v>43745.6632986111</v>
      </c>
      <c r="J376" s="28" t="s">
        <v>52</v>
      </c>
      <c r="K376" s="28" t="s">
        <v>52</v>
      </c>
      <c r="L376" s="28" t="s">
        <v>52</v>
      </c>
      <c r="M376" s="28" t="s">
        <v>52</v>
      </c>
      <c r="N376" s="28" t="s">
        <v>52</v>
      </c>
    </row>
    <row r="377" spans="1:14" x14ac:dyDescent="0.15">
      <c r="A377" s="23" t="str">
        <f>HYPERLINK("https://www.spark-marketing.ru/Card/Person/105188", "АДМИНИСТРАЦИЯ ЗАТО ГОРОДСКОЙ ОКРУГ ВОСХОД")</f>
        <v>АДМИНИСТРАЦИЯ ЗАТО ГОРОДСКОЙ ОКРУГ ВОСХОД</v>
      </c>
      <c r="B377" s="24" t="s">
        <v>895</v>
      </c>
      <c r="C377" s="25">
        <v>40167</v>
      </c>
      <c r="D377" s="22" t="s">
        <v>896</v>
      </c>
      <c r="E377" s="22" t="s">
        <v>194</v>
      </c>
      <c r="F377" s="23" t="str">
        <f>HYPERLINK("https://www.spark-marketing.ru/Card/Lot/74191495", "Приобретение и выполнение работ по установке системы IP-видеонаблюдения в ЗАТО г. о. Восход.")</f>
        <v>Приобретение и выполнение работ по установке системы IP-видеонаблюдения в ЗАТО г. о. Восход.</v>
      </c>
      <c r="G377" s="22" t="s">
        <v>50</v>
      </c>
      <c r="H377" s="22" t="s">
        <v>50</v>
      </c>
      <c r="I377" s="26">
        <v>43745.660949074103</v>
      </c>
      <c r="J377" s="28" t="s">
        <v>52</v>
      </c>
      <c r="K377" s="28" t="s">
        <v>52</v>
      </c>
      <c r="L377" s="28" t="s">
        <v>52</v>
      </c>
      <c r="M377" s="28" t="s">
        <v>52</v>
      </c>
      <c r="N377" s="28" t="s">
        <v>52</v>
      </c>
    </row>
    <row r="378" spans="1:14" x14ac:dyDescent="0.15">
      <c r="A378" s="23" t="str">
        <f>HYPERLINK("https://www.spark-marketing.ru/Card/Person/1025712", "ГОУ ЯО ""РЫБИНСКАЯ ШКОЛА-ИНТЕРНАТ № 2""")</f>
        <v>ГОУ ЯО "РЫБИНСКАЯ ШКОЛА-ИНТЕРНАТ № 2"</v>
      </c>
      <c r="B378" s="24" t="s">
        <v>897</v>
      </c>
      <c r="C378" s="25">
        <v>596840</v>
      </c>
      <c r="D378" s="22" t="s">
        <v>898</v>
      </c>
      <c r="E378" s="22" t="s">
        <v>59</v>
      </c>
      <c r="F378" s="23" t="str">
        <f>HYPERLINK("https://www.spark-marketing.ru/Card/Lot/74196687", "Монтаж видеонаблюдения")</f>
        <v>Монтаж видеонаблюдения</v>
      </c>
      <c r="G378" s="22" t="s">
        <v>155</v>
      </c>
      <c r="H378" s="22" t="s">
        <v>899</v>
      </c>
      <c r="I378" s="26">
        <v>43745.615127314799</v>
      </c>
      <c r="J378" s="28" t="s">
        <v>52</v>
      </c>
      <c r="K378" s="28" t="s">
        <v>52</v>
      </c>
      <c r="L378" s="28" t="s">
        <v>52</v>
      </c>
      <c r="M378" s="28" t="s">
        <v>52</v>
      </c>
      <c r="N378" s="28" t="s">
        <v>52</v>
      </c>
    </row>
    <row r="379" spans="1:14" x14ac:dyDescent="0.15">
      <c r="A379" s="23" t="str">
        <f>HYPERLINK("https://www.spark-marketing.ru/Card/Person/138729", "БУЗ ВО ""ВОЛОГОДСКИЙ ОБЛАСТНОЙ НАРКОЛОГИЧЕСКИЙ ДИСПАНСЕР № 1"", БУЗ ВО ""ВОНД № 1""")</f>
        <v>БУЗ ВО "ВОЛОГОДСКИЙ ОБЛАСТНОЙ НАРКОЛОГИЧЕСКИЙ ДИСПАНСЕР № 1", БУЗ ВО "ВОНД № 1"</v>
      </c>
      <c r="B379" s="24" t="s">
        <v>900</v>
      </c>
      <c r="C379" s="25">
        <v>204000</v>
      </c>
      <c r="D379" s="22" t="s">
        <v>901</v>
      </c>
      <c r="E379" s="22" t="s">
        <v>68</v>
      </c>
      <c r="F379" s="23" t="str">
        <f>HYPERLINK("https://www.spark-marketing.ru/Card/Lot/74205186", "Оказание услуг по охране объектов БУЗ ВО ""Вологодский областной наркологический диспансер № 1"" при помощи электронных средств")</f>
        <v>Оказание услуг по охране объектов БУЗ ВО "Вологодский областной наркологический диспансер № 1" при помощи электронных средств</v>
      </c>
      <c r="G379" s="22" t="s">
        <v>902</v>
      </c>
      <c r="H379" s="22" t="s">
        <v>903</v>
      </c>
      <c r="I379" s="26">
        <v>43745.604178240697</v>
      </c>
      <c r="J379" s="28" t="s">
        <v>52</v>
      </c>
      <c r="K379" s="28" t="s">
        <v>52</v>
      </c>
      <c r="L379" s="28" t="s">
        <v>52</v>
      </c>
      <c r="M379" s="28" t="s">
        <v>52</v>
      </c>
      <c r="N379" s="28" t="s">
        <v>52</v>
      </c>
    </row>
    <row r="380" spans="1:14" x14ac:dyDescent="0.15">
      <c r="A380" s="23" t="str">
        <f>HYPERLINK("https://www.spark-marketing.ru/Card/Person/1026749", "МБДОУ Д/С № 15 ""РОДНИЧОК""")</f>
        <v>МБДОУ Д/С № 15 "РОДНИЧОК"</v>
      </c>
      <c r="B380" s="24" t="s">
        <v>904</v>
      </c>
      <c r="C380" s="25">
        <v>25854.78</v>
      </c>
      <c r="D380" s="22" t="s">
        <v>905</v>
      </c>
      <c r="E380" s="22" t="s">
        <v>84</v>
      </c>
      <c r="F380" s="23" t="str">
        <f>HYPERLINK("https://www.spark-marketing.ru/Card/Lot/74190667", "Выполнение работ по дополнительной установке видеокамер системы видеонаблюдения в здании МБДОУ детский сад №15 ""Родничок""")</f>
        <v>Выполнение работ по дополнительной установке видеокамер системы видеонаблюдения в здании МБДОУ детский сад №15 "Родничок"</v>
      </c>
      <c r="G380" s="22" t="s">
        <v>50</v>
      </c>
      <c r="H380" s="22" t="s">
        <v>50</v>
      </c>
      <c r="I380" s="26">
        <v>43745.607175925899</v>
      </c>
      <c r="J380" s="28" t="s">
        <v>52</v>
      </c>
      <c r="K380" s="28" t="s">
        <v>52</v>
      </c>
      <c r="L380" s="28" t="s">
        <v>52</v>
      </c>
      <c r="M380" s="28" t="s">
        <v>52</v>
      </c>
      <c r="N380" s="28" t="s">
        <v>52</v>
      </c>
    </row>
    <row r="381" spans="1:14" x14ac:dyDescent="0.15">
      <c r="A381" s="23" t="str">
        <f>HYPERLINK("https://www.spark-marketing.ru/Card/Person/6450322", "ЗАКАЗЧИК РП БЕЛАРУСЬ")</f>
        <v>ЗАКАЗЧИК РП БЕЛАРУСЬ</v>
      </c>
      <c r="B381" s="28" t="s">
        <v>52</v>
      </c>
      <c r="C381" s="25">
        <v>4552100</v>
      </c>
      <c r="D381" s="22" t="s">
        <v>906</v>
      </c>
      <c r="E381" s="22" t="s">
        <v>53</v>
      </c>
      <c r="F381" s="23" t="str">
        <f>HYPERLINK("https://www.spark-marketing.ru/Card/Lot/74188935", "строительство объекта «под ключ»: «Установка в ОПЛ КЦ (25шт.) видеокамер наблюдения для обеспечения контроля за загрузкой металлошихты мостовыми кранами в скраповые корзины»")</f>
        <v>строительство объекта «под ключ»: «Установка в ОПЛ КЦ (25шт.) видеокамер наблюдения для обеспечения контроля за загрузкой металлошихты мостовыми кранами в скраповые корзины»</v>
      </c>
      <c r="G381" s="22" t="s">
        <v>52</v>
      </c>
      <c r="H381" s="22" t="s">
        <v>52</v>
      </c>
      <c r="I381" s="26">
        <v>43745</v>
      </c>
      <c r="J381" s="28" t="s">
        <v>52</v>
      </c>
      <c r="K381" s="28" t="s">
        <v>52</v>
      </c>
      <c r="L381" s="28" t="s">
        <v>52</v>
      </c>
      <c r="M381" s="28" t="s">
        <v>52</v>
      </c>
      <c r="N381" s="28" t="s">
        <v>52</v>
      </c>
    </row>
    <row r="382" spans="1:14" x14ac:dyDescent="0.15">
      <c r="A382" s="23" t="str">
        <f>HYPERLINK("https://www.spark-marketing.ru/Card/Person/6836", "УПРАВЛЕНИЕ РОСПОТРЕБНАДЗОРА ПО РЕСПУБЛИКЕ БАШКОРТОСТАН")</f>
        <v>УПРАВЛЕНИЕ РОСПОТРЕБНАДЗОРА ПО РЕСПУБЛИКЕ БАШКОРТОСТАН</v>
      </c>
      <c r="B382" s="24" t="s">
        <v>907</v>
      </c>
      <c r="C382" s="25">
        <v>4154480.6400000001</v>
      </c>
      <c r="D382" s="22" t="s">
        <v>908</v>
      </c>
      <c r="E382" s="22" t="s">
        <v>68</v>
      </c>
      <c r="F382" s="23" t="str">
        <f>HYPERLINK("https://www.spark-marketing.ru/Card/Lot/74195676", "Услуги охраны имущества, обеспечения внутриобъектного режима и общественного порядка на охраняемых объектах Управления Роспотребнадзора по Республике Башкортостан, в объеме, по техническим характеристикам согласно Части II. ""Описание объекта закупки...")</f>
        <v>Услуги охраны имущества, обеспечения внутриобъектного режима и общественного порядка на охраняемых объектах Управления Роспотребнадзора по Республике Башкортостан, в объеме, по техническим характеристикам согласно Части II. "Описание объекта закупки...</v>
      </c>
      <c r="G382" s="22" t="s">
        <v>100</v>
      </c>
      <c r="H382" s="22" t="s">
        <v>373</v>
      </c>
      <c r="I382" s="26">
        <v>43745.4690625</v>
      </c>
      <c r="J382" s="28" t="s">
        <v>52</v>
      </c>
      <c r="K382" s="28" t="s">
        <v>52</v>
      </c>
      <c r="L382" s="28" t="s">
        <v>52</v>
      </c>
      <c r="M382" s="28" t="s">
        <v>52</v>
      </c>
      <c r="N382" s="28" t="s">
        <v>52</v>
      </c>
    </row>
    <row r="383" spans="1:14" x14ac:dyDescent="0.15">
      <c r="A383" s="23" t="str">
        <f>HYPERLINK("https://www.spark-marketing.ru/Card/Person/4413943", "ООО""ГАЗПРОМ ЦЕНТРРЕМОНТ""")</f>
        <v>ООО"ГАЗПРОМ ЦЕНТРРЕМОНТ"</v>
      </c>
      <c r="B383" s="24" t="s">
        <v>604</v>
      </c>
      <c r="C383" s="25">
        <v>39750168</v>
      </c>
      <c r="D383" s="22" t="s">
        <v>909</v>
      </c>
      <c r="E383" s="22" t="s">
        <v>606</v>
      </c>
      <c r="F383" s="23" t="str">
        <f>HYPERLINK("https://www.spark-marketing.ru/Card/Lot/74200498", "Выполнение работ по оснащению инженерно-техническими средствами охраны объектов КЦ №3 КС «Калач» в составе стройки «Реконструкция газопровода «Уренгой - Новопсков» на участке «Петровск - Писаревка» к началу поставок газа по газопроводу «Южный поток»")</f>
        <v>Выполнение работ по оснащению инженерно-техническими средствами охраны объектов КЦ №3 КС «Калач» в составе стройки «Реконструкция газопровода «Уренгой - Новопсков» на участке «Петровск - Писаревка» к началу поставок газа по газопроводу «Южный поток»</v>
      </c>
      <c r="G383" s="22" t="s">
        <v>50</v>
      </c>
      <c r="H383" s="22" t="s">
        <v>458</v>
      </c>
      <c r="I383" s="26">
        <v>43745.454502314802</v>
      </c>
      <c r="J383" s="28" t="s">
        <v>52</v>
      </c>
      <c r="K383" s="28" t="s">
        <v>52</v>
      </c>
      <c r="L383" s="22" t="s">
        <v>10</v>
      </c>
      <c r="M383" s="28" t="s">
        <v>52</v>
      </c>
      <c r="N383" s="28" t="s">
        <v>52</v>
      </c>
    </row>
    <row r="384" spans="1:14" x14ac:dyDescent="0.2">
      <c r="A384" s="23" t="str">
        <f>HYPERLINK("https://www.spark-marketing.ru/Card/Person/554064", "АУ ""НАУЧНО-АНАЛИТИЧЕСКИЙ ЦЕНТР РАЦИОНАЛЬНОГО НЕДРОПОЛЬЗОВАНИЯ ИМ. В.И. ШПИЛЬМАНА""")</f>
        <v>АУ "НАУЧНО-АНАЛИТИЧЕСКИЙ ЦЕНТР РАЦИОНАЛЬНОГО НЕДРОПОЛЬЗОВАНИЯ ИМ. В.И. ШПИЛЬМАНА"</v>
      </c>
      <c r="B384" s="24" t="s">
        <v>910</v>
      </c>
      <c r="C384" s="25">
        <v>260000</v>
      </c>
      <c r="D384" s="22" t="s">
        <v>911</v>
      </c>
      <c r="E384" s="22" t="s">
        <v>912</v>
      </c>
      <c r="F384" s="23" t="str">
        <f>HYPERLINK("https://www.spark-marketing.ru/Card/Lot/74198836", "Закупка технического обслуживания системы охранной сигнализации, системы охранного видеонаблюдения на объекте АУ «Научно-аналитический центр рационального недропользования им. В.И. Шпильмана»")</f>
        <v>Закупка технического обслуживания системы охранной сигнализации, системы охранного видеонаблюдения на объекте АУ «Научно-аналитический центр рационального недропользования им. В.И. Шпильмана»</v>
      </c>
      <c r="G384" s="22" t="s">
        <v>893</v>
      </c>
      <c r="H384" s="22" t="s">
        <v>893</v>
      </c>
      <c r="I384" s="26">
        <v>43745.415162037003</v>
      </c>
      <c r="J384" s="28" t="s">
        <v>52</v>
      </c>
      <c r="K384" s="28" t="s">
        <v>52</v>
      </c>
      <c r="L384" s="28" t="s">
        <v>52</v>
      </c>
      <c r="M384" s="25">
        <v>266086</v>
      </c>
      <c r="N384" s="27">
        <v>-2.3407692307692306E-2</v>
      </c>
    </row>
    <row r="385" spans="1:14" x14ac:dyDescent="0.15">
      <c r="A385" s="23" t="str">
        <f>HYPERLINK("https://www.spark-marketing.ru/Card/Person/18291", "АДМИНИСТРАЦИЯ Г.БОДАЙБО И РАЙОНА")</f>
        <v>АДМИНИСТРАЦИЯ Г.БОДАЙБО И РАЙОНА</v>
      </c>
      <c r="B385" s="24" t="s">
        <v>913</v>
      </c>
      <c r="C385" s="25">
        <v>353245.18</v>
      </c>
      <c r="D385" s="22" t="s">
        <v>914</v>
      </c>
      <c r="E385" s="22" t="s">
        <v>79</v>
      </c>
      <c r="F385" s="23" t="str">
        <f>HYPERLINK("https://www.spark-marketing.ru/Card/Lot/74195787", "Установка камер видеонаблюдения")</f>
        <v>Установка камер видеонаблюдения</v>
      </c>
      <c r="G385" s="22" t="s">
        <v>281</v>
      </c>
      <c r="H385" s="22" t="s">
        <v>915</v>
      </c>
      <c r="I385" s="26">
        <v>43745.392210648097</v>
      </c>
      <c r="J385" s="28" t="s">
        <v>52</v>
      </c>
      <c r="K385" s="28" t="s">
        <v>52</v>
      </c>
      <c r="L385" s="28" t="s">
        <v>52</v>
      </c>
      <c r="M385" s="28" t="s">
        <v>52</v>
      </c>
      <c r="N385" s="28" t="s">
        <v>52</v>
      </c>
    </row>
    <row r="386" spans="1:14" x14ac:dyDescent="0.15">
      <c r="A386" s="23" t="str">
        <f>HYPERLINK("https://www.spark-marketing.ru/Card/Person/6450322", "ЗАКАЗЧИК РП БЕЛАРУСЬ")</f>
        <v>ЗАКАЗЧИК РП БЕЛАРУСЬ</v>
      </c>
      <c r="B386" s="28" t="s">
        <v>52</v>
      </c>
      <c r="C386" s="28" t="s">
        <v>52</v>
      </c>
      <c r="D386" s="22" t="s">
        <v>916</v>
      </c>
      <c r="E386" s="22" t="s">
        <v>53</v>
      </c>
      <c r="F386" s="23" t="str">
        <f>HYPERLINK("https://www.spark-marketing.ru/Card/Lot/74171523", "Выбор генеральной подрядной организации на выполнение строительно-монтажных работ по объекту «Установка системы видеонаблюдения на АЗС №14 Витебская обл., г. Витебск, ул. Титова,160».")</f>
        <v>Выбор генеральной подрядной организации на выполнение строительно-монтажных работ по объекту «Установка системы видеонаблюдения на АЗС №14 Витебская обл., г. Витебск, ул. Титова,160».</v>
      </c>
      <c r="G386" s="22" t="s">
        <v>52</v>
      </c>
      <c r="H386" s="22" t="s">
        <v>52</v>
      </c>
      <c r="I386" s="26">
        <v>43742</v>
      </c>
      <c r="J386" s="28" t="s">
        <v>52</v>
      </c>
      <c r="K386" s="28" t="s">
        <v>52</v>
      </c>
      <c r="L386" s="28" t="s">
        <v>52</v>
      </c>
      <c r="M386" s="28" t="s">
        <v>52</v>
      </c>
      <c r="N386" s="28" t="s">
        <v>52</v>
      </c>
    </row>
    <row r="387" spans="1:14" x14ac:dyDescent="0.15">
      <c r="A387" s="23" t="str">
        <f>HYPERLINK("https://www.spark-marketing.ru/Card/Person/6450322", "ЗАКАЗЧИК РП БЕЛАРУСЬ")</f>
        <v>ЗАКАЗЧИК РП БЕЛАРУСЬ</v>
      </c>
      <c r="B387" s="28" t="s">
        <v>52</v>
      </c>
      <c r="C387" s="28" t="s">
        <v>52</v>
      </c>
      <c r="D387" s="22" t="s">
        <v>917</v>
      </c>
      <c r="E387" s="22" t="s">
        <v>53</v>
      </c>
      <c r="F387" s="23" t="str">
        <f>HYPERLINK("https://www.spark-marketing.ru/Card/Lot/74171636", "Выбор генеральной подрядной организации на выполнение строительно-монтажных работ по объекту «Установка системы видеонаблюдения на МАЗС №5 Витебская обл., Городокский р-н, Первомайский с/с,15, восточнее д. Хомяково»")</f>
        <v>Выбор генеральной подрядной организации на выполнение строительно-монтажных работ по объекту «Установка системы видеонаблюдения на МАЗС №5 Витебская обл., Городокский р-н, Первомайский с/с,15, восточнее д. Хомяково»</v>
      </c>
      <c r="G387" s="22" t="s">
        <v>52</v>
      </c>
      <c r="H387" s="22" t="s">
        <v>52</v>
      </c>
      <c r="I387" s="26">
        <v>43742</v>
      </c>
      <c r="J387" s="28" t="s">
        <v>52</v>
      </c>
      <c r="K387" s="28" t="s">
        <v>52</v>
      </c>
      <c r="L387" s="28" t="s">
        <v>52</v>
      </c>
      <c r="M387" s="28" t="s">
        <v>52</v>
      </c>
      <c r="N387" s="28" t="s">
        <v>52</v>
      </c>
    </row>
    <row r="388" spans="1:14" x14ac:dyDescent="0.15">
      <c r="A388" s="23" t="str">
        <f>HYPERLINK("https://www.spark-marketing.ru/Card/Person/6450322", "ЗАКАЗЧИК РП БЕЛАРУСЬ")</f>
        <v>ЗАКАЗЧИК РП БЕЛАРУСЬ</v>
      </c>
      <c r="B388" s="28" t="s">
        <v>52</v>
      </c>
      <c r="C388" s="28" t="s">
        <v>52</v>
      </c>
      <c r="D388" s="22" t="s">
        <v>918</v>
      </c>
      <c r="E388" s="22" t="s">
        <v>53</v>
      </c>
      <c r="F388" s="23" t="str">
        <f>HYPERLINK("https://www.spark-marketing.ru/Card/Lot/74171535", "Выбор генеральной подрядной организации на выполнение строительно-монтажных работ по объекту «Установка системы видеонаблюдения на АЗС №67 Витебская обл., Верхнедвинский р-н, г. Верхнедвинск, ул. Советская,178».")</f>
        <v>Выбор генеральной подрядной организации на выполнение строительно-монтажных работ по объекту «Установка системы видеонаблюдения на АЗС №67 Витебская обл., Верхнедвинский р-н, г. Верхнедвинск, ул. Советская,178».</v>
      </c>
      <c r="G388" s="22" t="s">
        <v>52</v>
      </c>
      <c r="H388" s="22" t="s">
        <v>52</v>
      </c>
      <c r="I388" s="26">
        <v>43742</v>
      </c>
      <c r="J388" s="28" t="s">
        <v>52</v>
      </c>
      <c r="K388" s="28" t="s">
        <v>52</v>
      </c>
      <c r="L388" s="28" t="s">
        <v>52</v>
      </c>
      <c r="M388" s="28" t="s">
        <v>52</v>
      </c>
      <c r="N388" s="28" t="s">
        <v>52</v>
      </c>
    </row>
    <row r="389" spans="1:14" x14ac:dyDescent="0.15">
      <c r="A389" s="23" t="str">
        <f>HYPERLINK("https://www.spark-marketing.ru/Card/Person/37144", "ОТДЕЛ МВД РОССИИ ПО ГОРОДУ МИАССУ ЧЕЛЯБИНСКОЙ ОБЛАСТИ")</f>
        <v>ОТДЕЛ МВД РОССИИ ПО ГОРОДУ МИАССУ ЧЕЛЯБИНСКОЙ ОБЛАСТИ</v>
      </c>
      <c r="B389" s="24" t="s">
        <v>919</v>
      </c>
      <c r="C389" s="25">
        <v>25100</v>
      </c>
      <c r="D389" s="22" t="s">
        <v>920</v>
      </c>
      <c r="E389" s="22" t="s">
        <v>107</v>
      </c>
      <c r="F389" s="23" t="str">
        <f>HYPERLINK("https://www.spark-marketing.ru/Card/Lot/74185784", "Техническое обслуживание системы видеонаблюдения, 1 шт")</f>
        <v>Техническое обслуживание системы видеонаблюдения, 1 шт</v>
      </c>
      <c r="G389" s="22" t="s">
        <v>60</v>
      </c>
      <c r="H389" s="22" t="s">
        <v>921</v>
      </c>
      <c r="I389" s="26">
        <v>43745.322708333297</v>
      </c>
      <c r="J389" s="28" t="s">
        <v>52</v>
      </c>
      <c r="K389" s="28" t="s">
        <v>52</v>
      </c>
      <c r="L389" s="28" t="s">
        <v>52</v>
      </c>
      <c r="M389" s="28" t="s">
        <v>52</v>
      </c>
      <c r="N389" s="28" t="s">
        <v>52</v>
      </c>
    </row>
    <row r="390" spans="1:14" x14ac:dyDescent="0.15">
      <c r="A390" s="23" t="str">
        <f>HYPERLINK("https://www.spark-marketing.ru/Card/Person/37144", "ОТДЕЛ МВД РОССИИ ПО ГОРОДУ МИАССУ ЧЕЛЯБИНСКОЙ ОБЛАСТИ")</f>
        <v>ОТДЕЛ МВД РОССИИ ПО ГОРОДУ МИАССУ ЧЕЛЯБИНСКОЙ ОБЛАСТИ</v>
      </c>
      <c r="B390" s="24" t="s">
        <v>919</v>
      </c>
      <c r="C390" s="25">
        <v>25100</v>
      </c>
      <c r="D390" s="22" t="s">
        <v>922</v>
      </c>
      <c r="E390" s="22" t="s">
        <v>107</v>
      </c>
      <c r="F390" s="23" t="str">
        <f>HYPERLINK("https://www.spark-marketing.ru/Card/Lot/74185781", "Техническое обслуживание системы видеонаблюдения, 1 шт")</f>
        <v>Техническое обслуживание системы видеонаблюдения, 1 шт</v>
      </c>
      <c r="G390" s="22" t="s">
        <v>60</v>
      </c>
      <c r="H390" s="22" t="s">
        <v>921</v>
      </c>
      <c r="I390" s="26">
        <v>43745.3176157407</v>
      </c>
      <c r="J390" s="28" t="s">
        <v>52</v>
      </c>
      <c r="K390" s="28" t="s">
        <v>52</v>
      </c>
      <c r="L390" s="28" t="s">
        <v>52</v>
      </c>
      <c r="M390" s="28" t="s">
        <v>52</v>
      </c>
      <c r="N390" s="28" t="s">
        <v>52</v>
      </c>
    </row>
    <row r="391" spans="1:14" x14ac:dyDescent="0.2">
      <c r="A391" s="23" t="str">
        <f>HYPERLINK("https://www.spark-marketing.ru/Card/Person/4365828", "АО ""ОРЭС-ПЕТРОЗАВОДСК""")</f>
        <v>АО "ОРЭС-ПЕТРОЗАВОДСК"</v>
      </c>
      <c r="B391" s="24" t="s">
        <v>923</v>
      </c>
      <c r="C391" s="25">
        <v>1788000</v>
      </c>
      <c r="D391" s="22" t="s">
        <v>924</v>
      </c>
      <c r="E391" s="22" t="s">
        <v>925</v>
      </c>
      <c r="F391" s="23" t="str">
        <f>HYPERLINK("https://www.spark-marketing.ru/Card/Lot/74205391", "Услуги по охране объектов")</f>
        <v>Услуги по охране объектов</v>
      </c>
      <c r="G391" s="22" t="s">
        <v>435</v>
      </c>
      <c r="H391" s="22" t="s">
        <v>435</v>
      </c>
      <c r="I391" s="26">
        <v>43745.632789351897</v>
      </c>
      <c r="J391" s="28" t="s">
        <v>52</v>
      </c>
      <c r="K391" s="28" t="s">
        <v>52</v>
      </c>
      <c r="L391" s="22" t="s">
        <v>10</v>
      </c>
      <c r="M391" s="25">
        <v>1776000</v>
      </c>
      <c r="N391" s="27">
        <v>6.7114093959731542E-3</v>
      </c>
    </row>
    <row r="392" spans="1:14" x14ac:dyDescent="0.15">
      <c r="A392" s="23" t="str">
        <f>HYPERLINK("https://www.spark-marketing.ru/Card/Person/4349962", "АО ""ТГК-11""")</f>
        <v>АО "ТГК-11"</v>
      </c>
      <c r="B392" s="24" t="s">
        <v>926</v>
      </c>
      <c r="C392" s="25">
        <v>10632290</v>
      </c>
      <c r="D392" s="22" t="s">
        <v>927</v>
      </c>
      <c r="E392" s="22" t="s">
        <v>370</v>
      </c>
      <c r="F392" s="23" t="str">
        <f>HYPERLINK("https://www.spark-marketing.ru/Card/Lot/74205945", "Обслуживание инженерно-технических средств охраны и вспомогательных систем, средств охранной сигнализации структурных подразделений АО ""ТГК-11""")</f>
        <v>Обслуживание инженерно-технических средств охраны и вспомогательных систем, средств охранной сигнализации структурных подразделений АО "ТГК-11"</v>
      </c>
      <c r="G392" s="22" t="s">
        <v>521</v>
      </c>
      <c r="H392" s="22" t="s">
        <v>522</v>
      </c>
      <c r="I392" s="26">
        <v>43745.561550925901</v>
      </c>
      <c r="J392" s="28" t="s">
        <v>52</v>
      </c>
      <c r="K392" s="28" t="s">
        <v>52</v>
      </c>
      <c r="L392" s="28" t="s">
        <v>52</v>
      </c>
      <c r="M392" s="28" t="s">
        <v>52</v>
      </c>
      <c r="N392" s="28" t="s">
        <v>52</v>
      </c>
    </row>
    <row r="393" spans="1:14" x14ac:dyDescent="0.15">
      <c r="A393" s="23" t="str">
        <f>HYPERLINK("https://www.spark-marketing.ru/Card/Person/4348483", "ПАО ""МРСК ЦЕНТРА""")</f>
        <v>ПАО "МРСК ЦЕНТРА"</v>
      </c>
      <c r="B393" s="24" t="s">
        <v>928</v>
      </c>
      <c r="C393" s="25">
        <v>526500</v>
      </c>
      <c r="D393" s="22" t="s">
        <v>929</v>
      </c>
      <c r="E393" s="22" t="s">
        <v>930</v>
      </c>
      <c r="F393" s="23" t="str">
        <f>HYPERLINK("https://www.spark-marketing.ru/Card/Lot/74205367", "Оказание услуг по сервисному обслуживанию видеокубов")</f>
        <v>Оказание услуг по сервисному обслуживанию видеокубов</v>
      </c>
      <c r="G393" s="22" t="s">
        <v>176</v>
      </c>
      <c r="H393" s="22" t="s">
        <v>176</v>
      </c>
      <c r="I393" s="26">
        <v>43745.630416666703</v>
      </c>
      <c r="J393" s="28" t="s">
        <v>52</v>
      </c>
      <c r="K393" s="28" t="s">
        <v>52</v>
      </c>
      <c r="L393" s="28" t="s">
        <v>52</v>
      </c>
      <c r="M393" s="28" t="s">
        <v>52</v>
      </c>
      <c r="N393" s="28" t="s">
        <v>52</v>
      </c>
    </row>
    <row r="394" spans="1:14" x14ac:dyDescent="0.15">
      <c r="A394" s="23" t="str">
        <f>HYPERLINK("https://www.spark-marketing.ru/Card/Person/130109", "ПАО БАНК ""ФК ОТКРЫТИЕ""")</f>
        <v>ПАО БАНК "ФК ОТКРЫТИЕ"</v>
      </c>
      <c r="B394" s="24" t="s">
        <v>693</v>
      </c>
      <c r="C394" s="25">
        <v>0</v>
      </c>
      <c r="D394" s="22" t="s">
        <v>931</v>
      </c>
      <c r="E394" s="22" t="s">
        <v>53</v>
      </c>
      <c r="F394" s="23" t="str">
        <f>HYPERLINK("https://www.spark-marketing.ru/Card/Lot/74195178", "Оказание услуг по техническому обслуживанию системы видеонаблюдения (СОТ), охранной сигнализации (СОТС), системы контроля и управления доступом (СКУД) на территории объектов ПАО Банк «ФК Открытие» в Ульяновской обл.")</f>
        <v>Оказание услуг по техническому обслуживанию системы видеонаблюдения (СОТ), охранной сигнализации (СОТС), системы контроля и управления доступом (СКУД) на территории объектов ПАО Банк «ФК Открытие» в Ульяновской обл.</v>
      </c>
      <c r="G394" s="22" t="s">
        <v>55</v>
      </c>
      <c r="H394" s="22" t="s">
        <v>55</v>
      </c>
      <c r="I394" s="26">
        <v>43745</v>
      </c>
      <c r="J394" s="28" t="s">
        <v>52</v>
      </c>
      <c r="K394" s="28" t="s">
        <v>52</v>
      </c>
      <c r="L394" s="28" t="s">
        <v>52</v>
      </c>
      <c r="M394" s="28" t="s">
        <v>52</v>
      </c>
      <c r="N394" s="28" t="s">
        <v>52</v>
      </c>
    </row>
    <row r="395" spans="1:14" x14ac:dyDescent="0.15">
      <c r="A395" s="23" t="str">
        <f>HYPERLINK("https://www.spark-marketing.ru/Card/Person/1762973", "АО ""НПО ""ПОИСК""")</f>
        <v>АО "НПО "ПОИСК"</v>
      </c>
      <c r="B395" s="24" t="s">
        <v>932</v>
      </c>
      <c r="C395" s="25">
        <v>4036709.04</v>
      </c>
      <c r="D395" s="22" t="s">
        <v>933</v>
      </c>
      <c r="E395" s="22" t="s">
        <v>533</v>
      </c>
      <c r="F395" s="23" t="str">
        <f>HYPERLINK("https://www.spark-marketing.ru/Card/Lot/74199550", "0846-2019-00357 Оказание услуги по установки системы контроля управления доступом (СКУД) интегрированой с системами видеонаблюдения и 1С:Предприятие")</f>
        <v>0846-2019-00357 Оказание услуги по установки системы контроля управления доступом (СКУД) интегрированой с системами видеонаблюдения и 1С:Предприятие</v>
      </c>
      <c r="G395" s="22" t="s">
        <v>861</v>
      </c>
      <c r="H395" s="22" t="s">
        <v>934</v>
      </c>
      <c r="I395" s="26">
        <v>43745.698761574102</v>
      </c>
      <c r="J395" s="28" t="s">
        <v>52</v>
      </c>
      <c r="K395" s="28" t="s">
        <v>52</v>
      </c>
      <c r="L395" s="28" t="s">
        <v>52</v>
      </c>
      <c r="M395" s="28" t="s">
        <v>52</v>
      </c>
      <c r="N395" s="28" t="s">
        <v>52</v>
      </c>
    </row>
    <row r="396" spans="1:14" x14ac:dyDescent="0.15">
      <c r="A396" s="23" t="str">
        <f>HYPERLINK("https://www.spark-marketing.ru/Card/Person/64671", "МБОУ СОШ № 24 Г. ХИМКИ")</f>
        <v>МБОУ СОШ № 24 Г. ХИМКИ</v>
      </c>
      <c r="B396" s="24" t="s">
        <v>935</v>
      </c>
      <c r="C396" s="25">
        <v>18000</v>
      </c>
      <c r="D396" s="22" t="s">
        <v>936</v>
      </c>
      <c r="E396" s="22" t="s">
        <v>937</v>
      </c>
      <c r="F396" s="23" t="str">
        <f>HYPERLINK("https://www.spark-marketing.ru/Card/Lot/74183217", "Оказание услуг по техническому обслуживанию системы видеонаблюдения для нужд МБОУ СОШ №24 г.Химки в 2019 г.")</f>
        <v>Оказание услуг по техническому обслуживанию системы видеонаблюдения для нужд МБОУ СОШ №24 г.Химки в 2019 г.</v>
      </c>
      <c r="G396" s="22" t="s">
        <v>50</v>
      </c>
      <c r="H396" s="22" t="s">
        <v>938</v>
      </c>
      <c r="I396" s="26">
        <v>43742.961157407401</v>
      </c>
      <c r="J396" s="28" t="s">
        <v>52</v>
      </c>
      <c r="K396" s="28" t="s">
        <v>52</v>
      </c>
      <c r="L396" s="28" t="s">
        <v>52</v>
      </c>
      <c r="M396" s="28" t="s">
        <v>52</v>
      </c>
      <c r="N396" s="28" t="s">
        <v>52</v>
      </c>
    </row>
    <row r="397" spans="1:14" x14ac:dyDescent="0.15">
      <c r="A397" s="23" t="str">
        <f>HYPERLINK("https://www.spark-marketing.ru/Card/Person/85338", "ГКУ РК ""ДИРЕКЦИЯ ПО СОДЕРЖАНИЮ КАЗЕННОГО ИМУЩЕСТВА РК""")</f>
        <v>ГКУ РК "ДИРЕКЦИЯ ПО СОДЕРЖАНИЮ КАЗЕННОГО ИМУЩЕСТВА РК"</v>
      </c>
      <c r="B397" s="24" t="s">
        <v>939</v>
      </c>
      <c r="C397" s="25">
        <v>256314.23999999999</v>
      </c>
      <c r="D397" s="22" t="s">
        <v>940</v>
      </c>
      <c r="E397" s="22" t="s">
        <v>52</v>
      </c>
      <c r="F397" s="23" t="str">
        <f>HYPERLINK("https://www.spark-marketing.ru/Card/Lot/74180078", "Услуги частных охранных служб")</f>
        <v>Услуги частных охранных служб</v>
      </c>
      <c r="G397" s="22" t="s">
        <v>538</v>
      </c>
      <c r="H397" s="22" t="s">
        <v>707</v>
      </c>
      <c r="I397" s="26">
        <v>43742.690972222197</v>
      </c>
      <c r="J397" s="28" t="s">
        <v>52</v>
      </c>
      <c r="K397" s="28" t="s">
        <v>52</v>
      </c>
      <c r="L397" s="28" t="s">
        <v>52</v>
      </c>
      <c r="M397" s="28" t="s">
        <v>52</v>
      </c>
      <c r="N397" s="28" t="s">
        <v>52</v>
      </c>
    </row>
    <row r="398" spans="1:14" ht="12.75" hidden="1" outlineLevel="1" x14ac:dyDescent="0.2">
      <c r="A398" s="23" t="str">
        <f>HYPERLINK("https://www.spark-marketing.ru/Card/Person/85338", "ГКУ РК ""ДИРЕКЦИЯ ПО СОДЕРЖАНИЮ КАЗЕННОГО ИМУЩЕСТВА РК""")</f>
        <v>ГКУ РК "ДИРЕКЦИЯ ПО СОДЕРЖАНИЮ КАЗЕННОГО ИМУЩЕСТВА РК"</v>
      </c>
      <c r="B398" s="24" t="s">
        <v>939</v>
      </c>
      <c r="C398" s="25">
        <v>256314.23999999999</v>
      </c>
      <c r="D398" s="22" t="s">
        <v>940</v>
      </c>
      <c r="E398" s="22" t="s">
        <v>52</v>
      </c>
      <c r="F398" s="23" t="str">
        <f>HYPERLINK("https://www.spark-marketing.ru/Card/Lot/74180078", "Услуги частных охранных служб")</f>
        <v>Услуги частных охранных служб</v>
      </c>
      <c r="G398" s="22" t="s">
        <v>538</v>
      </c>
      <c r="H398" s="22" t="s">
        <v>707</v>
      </c>
      <c r="I398" s="26">
        <v>43742.690972222197</v>
      </c>
      <c r="J398" s="23" t="str">
        <f>HYPERLINK("https://www.spark-marketing.ru/Card/Person/103181", "ООО ЧОП ""МОНОЛИТ-2""")</f>
        <v>ООО ЧОП "МОНОЛИТ-2"</v>
      </c>
      <c r="K398" s="24" t="s">
        <v>941</v>
      </c>
      <c r="L398" s="22" t="s">
        <v>10</v>
      </c>
      <c r="M398" s="25">
        <v>177984</v>
      </c>
      <c r="N398" s="27">
        <v>0.30560237308703564</v>
      </c>
    </row>
    <row r="399" spans="1:14" hidden="1" outlineLevel="1" x14ac:dyDescent="0.2">
      <c r="A399" s="23" t="str">
        <f>HYPERLINK("https://www.spark-marketing.ru/Card/Person/85338", "ГКУ РК ""ДИРЕКЦИЯ ПО СОДЕРЖАНИЮ КАЗЕННОГО ИМУЩЕСТВА РК""")</f>
        <v>ГКУ РК "ДИРЕКЦИЯ ПО СОДЕРЖАНИЮ КАЗЕННОГО ИМУЩЕСТВА РК"</v>
      </c>
      <c r="B399" s="24" t="s">
        <v>939</v>
      </c>
      <c r="C399" s="25">
        <v>256314.23999999999</v>
      </c>
      <c r="D399" s="22" t="s">
        <v>940</v>
      </c>
      <c r="E399" s="22" t="s">
        <v>52</v>
      </c>
      <c r="F399" s="23" t="str">
        <f>HYPERLINK("https://www.spark-marketing.ru/Card/Lot/74180078", "Услуги частных охранных служб")</f>
        <v>Услуги частных охранных служб</v>
      </c>
      <c r="G399" s="22" t="s">
        <v>538</v>
      </c>
      <c r="H399" s="22" t="s">
        <v>707</v>
      </c>
      <c r="I399" s="26">
        <v>43742.690972222197</v>
      </c>
      <c r="J399" s="23" t="str">
        <f>HYPERLINK("https://www.spark-marketing.ru/Card/Person/6591842", "ООО ""ЧОО ""ГРАНИТ""")</f>
        <v>ООО "ЧОО "ГРАНИТ"</v>
      </c>
      <c r="K399" s="24" t="s">
        <v>942</v>
      </c>
      <c r="L399" s="28" t="s">
        <v>52</v>
      </c>
      <c r="M399" s="25">
        <v>203786</v>
      </c>
      <c r="N399" s="27">
        <v>0.20493687748288975</v>
      </c>
    </row>
    <row r="400" spans="1:14" hidden="1" outlineLevel="1" x14ac:dyDescent="0.2">
      <c r="A400" s="23" t="str">
        <f>HYPERLINK("https://www.spark-marketing.ru/Card/Person/85338", "ГКУ РК ""ДИРЕКЦИЯ ПО СОДЕРЖАНИЮ КАЗЕННОГО ИМУЩЕСТВА РК""")</f>
        <v>ГКУ РК "ДИРЕКЦИЯ ПО СОДЕРЖАНИЮ КАЗЕННОГО ИМУЩЕСТВА РК"</v>
      </c>
      <c r="B400" s="24" t="s">
        <v>939</v>
      </c>
      <c r="C400" s="25">
        <v>256314.23999999999</v>
      </c>
      <c r="D400" s="22" t="s">
        <v>940</v>
      </c>
      <c r="E400" s="22" t="s">
        <v>52</v>
      </c>
      <c r="F400" s="23" t="str">
        <f>HYPERLINK("https://www.spark-marketing.ru/Card/Lot/74180078", "Услуги частных охранных служб")</f>
        <v>Услуги частных охранных служб</v>
      </c>
      <c r="G400" s="22" t="s">
        <v>538</v>
      </c>
      <c r="H400" s="22" t="s">
        <v>707</v>
      </c>
      <c r="I400" s="26">
        <v>43742.690972222197</v>
      </c>
      <c r="J400" s="23" t="str">
        <f>HYPERLINK("https://www.spark-marketing.ru/Card/Person/6287158", "ООО ЧОО ""КВАНТ""")</f>
        <v>ООО ЧОО "КВАНТ"</v>
      </c>
      <c r="K400" s="24" t="s">
        <v>943</v>
      </c>
      <c r="L400" s="28" t="s">
        <v>52</v>
      </c>
      <c r="M400" s="25">
        <v>233280</v>
      </c>
      <c r="N400" s="27">
        <v>8.9867188026697228E-2</v>
      </c>
    </row>
    <row r="401" spans="1:14" x14ac:dyDescent="0.15">
      <c r="A401" s="23" t="str">
        <f>HYPERLINK("https://www.spark-marketing.ru/Card/Person/1027897", "МБОУ СОШ ""ГАРМОНИЯ"" Г.МОЖАЙСКА")</f>
        <v>МБОУ СОШ "ГАРМОНИЯ" Г.МОЖАЙСКА</v>
      </c>
      <c r="B401" s="24" t="s">
        <v>944</v>
      </c>
      <c r="C401" s="25">
        <v>124000</v>
      </c>
      <c r="D401" s="22" t="s">
        <v>945</v>
      </c>
      <c r="E401" s="22" t="s">
        <v>194</v>
      </c>
      <c r="F401" s="23" t="str">
        <f>HYPERLINK("https://www.spark-marketing.ru/Card/Lot/74176992", "Поставка и установка системы видеонаблюдения")</f>
        <v>Поставка и установка системы видеонаблюдения</v>
      </c>
      <c r="G401" s="22" t="s">
        <v>50</v>
      </c>
      <c r="H401" s="22" t="s">
        <v>946</v>
      </c>
      <c r="I401" s="26">
        <v>43742.680439814802</v>
      </c>
      <c r="J401" s="28" t="s">
        <v>52</v>
      </c>
      <c r="K401" s="28" t="s">
        <v>52</v>
      </c>
      <c r="L401" s="28" t="s">
        <v>52</v>
      </c>
      <c r="M401" s="28" t="s">
        <v>52</v>
      </c>
      <c r="N401" s="28" t="s">
        <v>52</v>
      </c>
    </row>
    <row r="402" spans="1:14" x14ac:dyDescent="0.15">
      <c r="A402" s="23" t="str">
        <f>HYPERLINK("https://www.spark-marketing.ru/Card/Person/4347643", "МИНФИН СВЕРДЛОВСКОЙ ОБЛАСТИ")</f>
        <v>МИНФИН СВЕРДЛОВСКОЙ ОБЛАСТИ</v>
      </c>
      <c r="B402" s="24" t="s">
        <v>947</v>
      </c>
      <c r="C402" s="25">
        <v>648961.92000000004</v>
      </c>
      <c r="D402" s="22" t="s">
        <v>948</v>
      </c>
      <c r="E402" s="22" t="s">
        <v>52</v>
      </c>
      <c r="F402" s="23" t="str">
        <f>HYPERLINK("https://www.spark-marketing.ru/Card/Lot/74174206", "Оказание услуг по охране автомобилей, принадлежащих Министерству финансов Свердловской области")</f>
        <v>Оказание услуг по охране автомобилей, принадлежащих Министерству финансов Свердловской области</v>
      </c>
      <c r="G402" s="22" t="s">
        <v>72</v>
      </c>
      <c r="H402" s="22" t="s">
        <v>949</v>
      </c>
      <c r="I402" s="26">
        <v>43742.6472222222</v>
      </c>
      <c r="J402" s="28" t="s">
        <v>52</v>
      </c>
      <c r="K402" s="28" t="s">
        <v>52</v>
      </c>
      <c r="L402" s="28" t="s">
        <v>52</v>
      </c>
      <c r="M402" s="28" t="s">
        <v>52</v>
      </c>
      <c r="N402" s="28" t="s">
        <v>52</v>
      </c>
    </row>
    <row r="403" spans="1:14" x14ac:dyDescent="0.15">
      <c r="A403" s="23" t="str">
        <f>HYPERLINK("https://www.spark-marketing.ru/Card/Person/123605", "БУ ""НИЖНЕВАРТОВСКИЙ СТРОИТЕЛЬНЫЙ КОЛЛЕДЖ""")</f>
        <v>БУ "НИЖНЕВАРТОВСКИЙ СТРОИТЕЛЬНЫЙ КОЛЛЕДЖ"</v>
      </c>
      <c r="B403" s="24" t="s">
        <v>950</v>
      </c>
      <c r="C403" s="25">
        <v>290000</v>
      </c>
      <c r="D403" s="22" t="s">
        <v>951</v>
      </c>
      <c r="E403" s="22" t="s">
        <v>79</v>
      </c>
      <c r="F403" s="23" t="str">
        <f>HYPERLINK("https://www.spark-marketing.ru/Card/Lot/74165059", "Выполнение монтажных работ по установке системы видеонаблюдения")</f>
        <v>Выполнение монтажных работ по установке системы видеонаблюдения</v>
      </c>
      <c r="G403" s="22" t="s">
        <v>119</v>
      </c>
      <c r="H403" s="22" t="s">
        <v>952</v>
      </c>
      <c r="I403" s="26">
        <v>43742.497916666704</v>
      </c>
      <c r="J403" s="28" t="s">
        <v>52</v>
      </c>
      <c r="K403" s="28" t="s">
        <v>52</v>
      </c>
      <c r="L403" s="28" t="s">
        <v>52</v>
      </c>
      <c r="M403" s="28" t="s">
        <v>52</v>
      </c>
      <c r="N403" s="28" t="s">
        <v>52</v>
      </c>
    </row>
    <row r="404" spans="1:14" x14ac:dyDescent="0.15">
      <c r="A404" s="23" t="str">
        <f>HYPERLINK("https://www.spark-marketing.ru/Card/Person/4348528", "АО ИК ""АСЭ""")</f>
        <v>АО ИК "АСЭ"</v>
      </c>
      <c r="B404" s="24" t="s">
        <v>62</v>
      </c>
      <c r="C404" s="25">
        <v>0</v>
      </c>
      <c r="D404" s="22" t="s">
        <v>953</v>
      </c>
      <c r="E404" s="22" t="s">
        <v>53</v>
      </c>
      <c r="F404" s="23" t="str">
        <f>HYPERLINK("https://www.spark-marketing.ru/Card/Lot/74171564", "мониторинг цен в электронной форме на Оказание услуг по техническому обслуживанию системы видеонаблюдения.")</f>
        <v>мониторинг цен в электронной форме на Оказание услуг по техническому обслуживанию системы видеонаблюдения.</v>
      </c>
      <c r="G404" s="22" t="s">
        <v>64</v>
      </c>
      <c r="H404" s="22" t="s">
        <v>65</v>
      </c>
      <c r="I404" s="26">
        <v>43742.476851851898</v>
      </c>
      <c r="J404" s="28" t="s">
        <v>52</v>
      </c>
      <c r="K404" s="28" t="s">
        <v>52</v>
      </c>
      <c r="L404" s="28" t="s">
        <v>52</v>
      </c>
      <c r="M404" s="28" t="s">
        <v>52</v>
      </c>
      <c r="N404" s="28" t="s">
        <v>52</v>
      </c>
    </row>
    <row r="405" spans="1:14" x14ac:dyDescent="0.15">
      <c r="A405" s="23" t="str">
        <f>HYPERLINK("https://www.spark-marketing.ru/Card/Person/5888558", "ГБХР ФКУ ""ЦОУМТС МВД России""")</f>
        <v>ГБХР ФКУ "ЦОУМТС МВД России"</v>
      </c>
      <c r="B405" s="24" t="s">
        <v>954</v>
      </c>
      <c r="C405" s="25">
        <v>1290922.56</v>
      </c>
      <c r="D405" s="22" t="s">
        <v>955</v>
      </c>
      <c r="E405" s="22" t="s">
        <v>68</v>
      </c>
      <c r="F405" s="23" t="str">
        <f>HYPERLINK("https://www.spark-marketing.ru/Card/Lot/74169887", "Военизированная охрана объектов")</f>
        <v>Военизированная охрана объектов</v>
      </c>
      <c r="G405" s="22" t="s">
        <v>956</v>
      </c>
      <c r="H405" s="22" t="s">
        <v>956</v>
      </c>
      <c r="I405" s="26">
        <v>43742.485416666699</v>
      </c>
      <c r="J405" s="28" t="s">
        <v>52</v>
      </c>
      <c r="K405" s="28" t="s">
        <v>52</v>
      </c>
      <c r="L405" s="28" t="s">
        <v>52</v>
      </c>
      <c r="M405" s="28" t="s">
        <v>52</v>
      </c>
      <c r="N405" s="28" t="s">
        <v>52</v>
      </c>
    </row>
    <row r="406" spans="1:14" x14ac:dyDescent="0.15">
      <c r="A406" s="23" t="str">
        <f>HYPERLINK("https://www.spark-marketing.ru/Card/Person/4346987", "КОМИТЕТ ЗАГС И ООДМС НОВГОРОДСКОЙ ОБЛАСТИ")</f>
        <v>КОМИТЕТ ЗАГС И ООДМС НОВГОРОДСКОЙ ОБЛАСТИ</v>
      </c>
      <c r="B406" s="24" t="s">
        <v>957</v>
      </c>
      <c r="C406" s="25">
        <v>177550</v>
      </c>
      <c r="D406" s="22" t="s">
        <v>958</v>
      </c>
      <c r="E406" s="22" t="s">
        <v>52</v>
      </c>
      <c r="F406" s="23" t="str">
        <f>HYPERLINK("https://www.spark-marketing.ru/Card/Lot/74169183", "Услуги по установке системы видеонаблюдения")</f>
        <v>Услуги по установке системы видеонаблюдения</v>
      </c>
      <c r="G406" s="22" t="s">
        <v>959</v>
      </c>
      <c r="H406" s="22" t="s">
        <v>960</v>
      </c>
      <c r="I406" s="26">
        <v>43742.4597222222</v>
      </c>
      <c r="J406" s="28" t="s">
        <v>52</v>
      </c>
      <c r="K406" s="28" t="s">
        <v>52</v>
      </c>
      <c r="L406" s="28" t="s">
        <v>52</v>
      </c>
      <c r="M406" s="28" t="s">
        <v>52</v>
      </c>
      <c r="N406" s="28" t="s">
        <v>52</v>
      </c>
    </row>
    <row r="407" spans="1:14" x14ac:dyDescent="0.15">
      <c r="A407" s="23" t="str">
        <f>HYPERLINK("https://www.spark-marketing.ru/Card/Person/4348528", "АО ИК ""АСЭ""")</f>
        <v>АО ИК "АСЭ"</v>
      </c>
      <c r="B407" s="24" t="s">
        <v>62</v>
      </c>
      <c r="C407" s="25">
        <v>0</v>
      </c>
      <c r="D407" s="22" t="s">
        <v>961</v>
      </c>
      <c r="E407" s="22" t="s">
        <v>53</v>
      </c>
      <c r="F407" s="23" t="str">
        <f>HYPERLINK("https://www.spark-marketing.ru/Card/Lot/74167912", "мониторинг цен в электронной форме на оказание услуг по охране объектов АО ИК «АСЭ»")</f>
        <v>мониторинг цен в электронной форме на оказание услуг по охране объектов АО ИК «АСЭ»</v>
      </c>
      <c r="G407" s="22" t="s">
        <v>64</v>
      </c>
      <c r="H407" s="22" t="s">
        <v>65</v>
      </c>
      <c r="I407" s="26">
        <v>43742.424085648097</v>
      </c>
      <c r="J407" s="28" t="s">
        <v>52</v>
      </c>
      <c r="K407" s="28" t="s">
        <v>52</v>
      </c>
      <c r="L407" s="28" t="s">
        <v>52</v>
      </c>
      <c r="M407" s="28" t="s">
        <v>52</v>
      </c>
      <c r="N407" s="28" t="s">
        <v>52</v>
      </c>
    </row>
    <row r="408" spans="1:14" x14ac:dyDescent="0.15">
      <c r="A408" s="23" t="str">
        <f>HYPERLINK("https://www.spark-marketing.ru/Card/Person/4863125", "МЕЖРЕГИОНАЛЬНЫЙ ФЛ ФКУ ""ЦОКР"" В Г. ЕКАТЕРИНБУРГЕ")</f>
        <v>МЕЖРЕГИОНАЛЬНЫЙ ФЛ ФКУ "ЦОКР" В Г. ЕКАТЕРИНБУРГЕ</v>
      </c>
      <c r="B408" s="24" t="s">
        <v>962</v>
      </c>
      <c r="C408" s="25">
        <v>1600</v>
      </c>
      <c r="D408" s="22" t="s">
        <v>963</v>
      </c>
      <c r="E408" s="22" t="s">
        <v>107</v>
      </c>
      <c r="F408" s="23" t="str">
        <f>HYPERLINK("https://www.spark-marketing.ru/Card/Lot/74162679", "Техническое обслуживание видеодомофона, 9 мес")</f>
        <v>Техническое обслуживание видеодомофона, 9 мес</v>
      </c>
      <c r="G408" s="22" t="s">
        <v>55</v>
      </c>
      <c r="H408" s="22" t="s">
        <v>55</v>
      </c>
      <c r="I408" s="26">
        <v>43742.417997685203</v>
      </c>
      <c r="J408" s="28" t="s">
        <v>52</v>
      </c>
      <c r="K408" s="28" t="s">
        <v>52</v>
      </c>
      <c r="L408" s="28" t="s">
        <v>52</v>
      </c>
      <c r="M408" s="28" t="s">
        <v>52</v>
      </c>
      <c r="N408" s="28" t="s">
        <v>52</v>
      </c>
    </row>
    <row r="409" spans="1:14" x14ac:dyDescent="0.15">
      <c r="A409" s="23" t="str">
        <f>HYPERLINK("https://www.spark-marketing.ru/Card/Person/105397", "МУ ""ХОЗУ АДМИНИСТРАЦИИ ЛАЗОВСКОГО МУНИЦИПАЛЬНОГО РАЙОНА""")</f>
        <v>МУ "ХОЗУ АДМИНИСТРАЦИИ ЛАЗОВСКОГО МУНИЦИПАЛЬНОГО РАЙОНА"</v>
      </c>
      <c r="B409" s="24" t="s">
        <v>964</v>
      </c>
      <c r="C409" s="25">
        <v>86060</v>
      </c>
      <c r="D409" s="22" t="s">
        <v>965</v>
      </c>
      <c r="E409" s="22" t="s">
        <v>59</v>
      </c>
      <c r="F409" s="23" t="str">
        <f>HYPERLINK("https://www.spark-marketing.ru/Card/Lot/74158588", "Оснащение уличным видеонаблюдением здание администрации Лазовского муниципального района")</f>
        <v>Оснащение уличным видеонаблюдением здание администрации Лазовского муниципального района</v>
      </c>
      <c r="G409" s="22" t="s">
        <v>409</v>
      </c>
      <c r="H409" s="22" t="s">
        <v>966</v>
      </c>
      <c r="I409" s="26">
        <v>43742.427083333299</v>
      </c>
      <c r="J409" s="28" t="s">
        <v>52</v>
      </c>
      <c r="K409" s="28" t="s">
        <v>52</v>
      </c>
      <c r="L409" s="28" t="s">
        <v>52</v>
      </c>
      <c r="M409" s="28" t="s">
        <v>52</v>
      </c>
      <c r="N409" s="28" t="s">
        <v>52</v>
      </c>
    </row>
    <row r="410" spans="1:14" x14ac:dyDescent="0.15">
      <c r="A410" s="23" t="str">
        <f>HYPERLINK("https://www.spark-marketing.ru/Card/Person/4348528", "АО ИК ""АСЭ""")</f>
        <v>АО ИК "АСЭ"</v>
      </c>
      <c r="B410" s="24" t="s">
        <v>62</v>
      </c>
      <c r="C410" s="25">
        <v>0</v>
      </c>
      <c r="D410" s="22" t="s">
        <v>967</v>
      </c>
      <c r="E410" s="22" t="s">
        <v>53</v>
      </c>
      <c r="F410" s="23" t="str">
        <f>HYPERLINK("https://www.spark-marketing.ru/Card/Lot/74167913", "мониторинг цен в электронной форме на оказание услуг по охране объектов АО ИК «АСЭ»")</f>
        <v>мониторинг цен в электронной форме на оказание услуг по охране объектов АО ИК «АСЭ»</v>
      </c>
      <c r="G410" s="22" t="s">
        <v>64</v>
      </c>
      <c r="H410" s="22" t="s">
        <v>65</v>
      </c>
      <c r="I410" s="26">
        <v>43742.425613425898</v>
      </c>
      <c r="J410" s="28" t="s">
        <v>52</v>
      </c>
      <c r="K410" s="28" t="s">
        <v>52</v>
      </c>
      <c r="L410" s="28" t="s">
        <v>52</v>
      </c>
      <c r="M410" s="28" t="s">
        <v>52</v>
      </c>
      <c r="N410" s="28" t="s">
        <v>52</v>
      </c>
    </row>
    <row r="411" spans="1:14" x14ac:dyDescent="0.15">
      <c r="A411" s="23" t="str">
        <f>HYPERLINK("https://www.spark-marketing.ru/Card/Person/41992", "ФГБОУ ВО ТВЕРСКОЙ ГМУ МИНЗДРАВА РОССИИ")</f>
        <v>ФГБОУ ВО ТВЕРСКОЙ ГМУ МИНЗДРАВА РОССИИ</v>
      </c>
      <c r="B411" s="24" t="s">
        <v>968</v>
      </c>
      <c r="C411" s="25">
        <v>2443342</v>
      </c>
      <c r="D411" s="22" t="s">
        <v>969</v>
      </c>
      <c r="E411" s="22" t="s">
        <v>79</v>
      </c>
      <c r="F411" s="23" t="str">
        <f>HYPERLINK("https://www.spark-marketing.ru/Card/Lot/74167408", "Выполнение работ по установке IP системы видеонаблюдения, структурированной кабельной сети, пультового и голосового оповещения")</f>
        <v>Выполнение работ по установке IP системы видеонаблюдения, структурированной кабельной сети, пультового и голосового оповещения</v>
      </c>
      <c r="G411" s="22" t="s">
        <v>251</v>
      </c>
      <c r="H411" s="22" t="s">
        <v>251</v>
      </c>
      <c r="I411" s="26">
        <v>43742.4465277778</v>
      </c>
      <c r="J411" s="28" t="s">
        <v>52</v>
      </c>
      <c r="K411" s="28" t="s">
        <v>52</v>
      </c>
      <c r="L411" s="28" t="s">
        <v>52</v>
      </c>
      <c r="M411" s="28" t="s">
        <v>52</v>
      </c>
      <c r="N411" s="28" t="s">
        <v>52</v>
      </c>
    </row>
    <row r="412" spans="1:14" x14ac:dyDescent="0.15">
      <c r="A412" s="23" t="str">
        <f>HYPERLINK("https://www.spark-marketing.ru/Card/Person/5816", "МКУ ""УКС"" ГОРОДА ЮЖНО-САХАЛИНСКА")</f>
        <v>МКУ "УКС" ГОРОДА ЮЖНО-САХАЛИНСКА</v>
      </c>
      <c r="B412" s="24" t="s">
        <v>970</v>
      </c>
      <c r="C412" s="25">
        <v>630208.80000000005</v>
      </c>
      <c r="D412" s="22" t="s">
        <v>971</v>
      </c>
      <c r="E412" s="22" t="s">
        <v>972</v>
      </c>
      <c r="F412" s="23" t="str">
        <f>HYPERLINK("https://www.spark-marketing.ru/Card/Lot/74163519", "разработка проекта организации зон санитарной охраны по объекту: Реконструкция и строительство объектов коммунальной инфраструктуры (Реконструкция очистных сооружений ОСК-7 в г.Южно-Сахалинске) (2 очередь)")</f>
        <v>разработка проекта организации зон санитарной охраны по объекту: Реконструкция и строительство объектов коммунальной инфраструктуры (Реконструкция очистных сооружений ОСК-7 в г.Южно-Сахалинске) (2 очередь)</v>
      </c>
      <c r="G412" s="22" t="s">
        <v>69</v>
      </c>
      <c r="H412" s="22" t="s">
        <v>973</v>
      </c>
      <c r="I412" s="26">
        <v>43742.720833333296</v>
      </c>
      <c r="J412" s="28" t="s">
        <v>52</v>
      </c>
      <c r="K412" s="28" t="s">
        <v>52</v>
      </c>
      <c r="L412" s="28" t="s">
        <v>52</v>
      </c>
      <c r="M412" s="28" t="s">
        <v>52</v>
      </c>
      <c r="N412" s="28" t="s">
        <v>52</v>
      </c>
    </row>
    <row r="413" spans="1:14" x14ac:dyDescent="0.15">
      <c r="A413" s="23" t="str">
        <f>HYPERLINK("https://www.spark-marketing.ru/Card/Person/4348528", "АО ИК ""АСЭ""")</f>
        <v>АО ИК "АСЭ"</v>
      </c>
      <c r="B413" s="24" t="s">
        <v>62</v>
      </c>
      <c r="C413" s="28" t="s">
        <v>52</v>
      </c>
      <c r="D413" s="22" t="s">
        <v>974</v>
      </c>
      <c r="E413" s="22" t="s">
        <v>53</v>
      </c>
      <c r="F413" s="23" t="str">
        <f>HYPERLINK("https://www.spark-marketing.ru/Card/Lot/74168668", "оказание услуг по охране объектов АО ИК «АСЭ» (1356842)")</f>
        <v>оказание услуг по охране объектов АО ИК «АСЭ» (1356842)</v>
      </c>
      <c r="G413" s="22" t="s">
        <v>64</v>
      </c>
      <c r="H413" s="22" t="s">
        <v>65</v>
      </c>
      <c r="I413" s="26">
        <v>43742.4239930556</v>
      </c>
      <c r="J413" s="28" t="s">
        <v>52</v>
      </c>
      <c r="K413" s="28" t="s">
        <v>52</v>
      </c>
      <c r="L413" s="28" t="s">
        <v>52</v>
      </c>
      <c r="M413" s="28" t="s">
        <v>52</v>
      </c>
      <c r="N413" s="28" t="s">
        <v>52</v>
      </c>
    </row>
    <row r="414" spans="1:14" x14ac:dyDescent="0.15">
      <c r="A414" s="23" t="str">
        <f>HYPERLINK("https://www.spark-marketing.ru/Card/Person/4348813", "АО ""РЖДСТРОЙ""")</f>
        <v>АО "РЖДСТРОЙ"</v>
      </c>
      <c r="B414" s="24" t="s">
        <v>975</v>
      </c>
      <c r="C414" s="25">
        <v>636825.66</v>
      </c>
      <c r="D414" s="22" t="s">
        <v>976</v>
      </c>
      <c r="E414" s="22" t="s">
        <v>977</v>
      </c>
      <c r="F414" s="23" t="str">
        <f>HYPERLINK("https://www.spark-marketing.ru/Card/Lot/74144042", "Запрос котировок в электронной форме среди субъектов малого и среднего предпринимательства №144/1 на право заключения договора на оказание услуг по геодезическому сопровождению объекта: «Комплексная реконструкция участка им. Максима Горького-Котельни...")</f>
        <v>Запрос котировок в электронной форме среди субъектов малого и среднего предпринимательства №144/1 на право заключения договора на оказание услуг по геодезическому сопровождению объекта: «Комплексная реконструкция участка им. Максима Горького-Котельни...</v>
      </c>
      <c r="G414" s="22" t="s">
        <v>343</v>
      </c>
      <c r="H414" s="22" t="s">
        <v>343</v>
      </c>
      <c r="I414" s="26">
        <v>43741</v>
      </c>
      <c r="J414" s="28" t="s">
        <v>52</v>
      </c>
      <c r="K414" s="28" t="s">
        <v>52</v>
      </c>
      <c r="L414" s="28" t="s">
        <v>52</v>
      </c>
      <c r="M414" s="28" t="s">
        <v>52</v>
      </c>
      <c r="N414" s="28" t="s">
        <v>52</v>
      </c>
    </row>
    <row r="415" spans="1:14" x14ac:dyDescent="0.15">
      <c r="A415" s="23" t="str">
        <f>HYPERLINK("https://www.spark-marketing.ru/Card/Person/4681342", "ГУП ""ЛЕНОБЛВОДОКАНАЛ""")</f>
        <v>ГУП "ЛЕНОБЛВОДОКАНАЛ"</v>
      </c>
      <c r="B415" s="24" t="s">
        <v>859</v>
      </c>
      <c r="C415" s="25">
        <v>52666.66</v>
      </c>
      <c r="D415" s="22" t="s">
        <v>978</v>
      </c>
      <c r="E415" s="22" t="s">
        <v>175</v>
      </c>
      <c r="F415" s="23" t="str">
        <f>HYPERLINK("https://www.spark-marketing.ru/Card/Lot/74166786", "Оказание услуг по техническому обслуживанию систем контроля и учета доступа, видеонаблюдения")</f>
        <v>Оказание услуг по техническому обслуживанию систем контроля и учета доступа, видеонаблюдения</v>
      </c>
      <c r="G415" s="22" t="s">
        <v>861</v>
      </c>
      <c r="H415" s="22" t="s">
        <v>861</v>
      </c>
      <c r="I415" s="26">
        <v>43742</v>
      </c>
      <c r="J415" s="28" t="s">
        <v>52</v>
      </c>
      <c r="K415" s="28" t="s">
        <v>52</v>
      </c>
      <c r="L415" s="28" t="s">
        <v>52</v>
      </c>
      <c r="M415" s="28" t="s">
        <v>52</v>
      </c>
      <c r="N415" s="28" t="s">
        <v>52</v>
      </c>
    </row>
    <row r="416" spans="1:14" x14ac:dyDescent="0.15">
      <c r="A416" s="23" t="str">
        <f>HYPERLINK("https://www.spark-marketing.ru/Card/Person/4852665", "БЕЛОЯРСКАЯ АЭС")</f>
        <v>БЕЛОЯРСКАЯ АЭС</v>
      </c>
      <c r="B416" s="24" t="s">
        <v>211</v>
      </c>
      <c r="C416" s="28" t="s">
        <v>52</v>
      </c>
      <c r="D416" s="22" t="s">
        <v>979</v>
      </c>
      <c r="E416" s="22" t="s">
        <v>53</v>
      </c>
      <c r="F416" s="23" t="str">
        <f>HYPERLINK("https://www.spark-marketing.ru/Card/Lot/74165362", "«Услуги по охране объектов Белоярской АЭС согласно перечню охраняемых объектов в соответствии с техническим заданием» (1356767)")</f>
        <v>«Услуги по охране объектов Белоярской АЭС согласно перечню охраняемых объектов в соответствии с техническим заданием» (1356767)</v>
      </c>
      <c r="G416" s="22" t="s">
        <v>52</v>
      </c>
      <c r="H416" s="22" t="s">
        <v>52</v>
      </c>
      <c r="I416" s="26">
        <v>43742.371076388903</v>
      </c>
      <c r="J416" s="28" t="s">
        <v>52</v>
      </c>
      <c r="K416" s="28" t="s">
        <v>52</v>
      </c>
      <c r="L416" s="28" t="s">
        <v>52</v>
      </c>
      <c r="M416" s="28" t="s">
        <v>52</v>
      </c>
      <c r="N416" s="28" t="s">
        <v>52</v>
      </c>
    </row>
    <row r="417" spans="1:14" x14ac:dyDescent="0.15">
      <c r="A417" s="23" t="str">
        <f>HYPERLINK("https://www.spark-marketing.ru/Card/Person/42491", "УНИВЕРСИТЕТ ИТМО; НИУ ИТМО; ИТМО")</f>
        <v>УНИВЕРСИТЕТ ИТМО; НИУ ИТМО; ИТМО</v>
      </c>
      <c r="B417" s="24" t="s">
        <v>980</v>
      </c>
      <c r="C417" s="25">
        <v>40098240</v>
      </c>
      <c r="D417" s="22" t="s">
        <v>981</v>
      </c>
      <c r="E417" s="22" t="s">
        <v>144</v>
      </c>
      <c r="F417" s="23" t="str">
        <f>HYPERLINK("https://www.spark-marketing.ru/Card/Lot/74180176", "Оказание услуг охраны объектов Университета ИТМО")</f>
        <v>Оказание услуг охраны объектов Университета ИТМО</v>
      </c>
      <c r="G417" s="22" t="s">
        <v>89</v>
      </c>
      <c r="H417" s="22" t="s">
        <v>89</v>
      </c>
      <c r="I417" s="26">
        <v>43742</v>
      </c>
      <c r="J417" s="28" t="s">
        <v>52</v>
      </c>
      <c r="K417" s="28" t="s">
        <v>52</v>
      </c>
      <c r="L417" s="28" t="s">
        <v>52</v>
      </c>
      <c r="M417" s="28" t="s">
        <v>52</v>
      </c>
      <c r="N417" s="28" t="s">
        <v>52</v>
      </c>
    </row>
    <row r="418" spans="1:14" x14ac:dyDescent="0.15">
      <c r="A418" s="23" t="str">
        <f>HYPERLINK("https://www.spark-marketing.ru/Card/Person/4348528", "АО ИК ""АСЭ""")</f>
        <v>АО ИК "АСЭ"</v>
      </c>
      <c r="B418" s="24" t="s">
        <v>62</v>
      </c>
      <c r="C418" s="28" t="s">
        <v>52</v>
      </c>
      <c r="D418" s="22" t="s">
        <v>982</v>
      </c>
      <c r="E418" s="22" t="s">
        <v>53</v>
      </c>
      <c r="F418" s="23" t="str">
        <f>HYPERLINK("https://www.spark-marketing.ru/Card/Lot/74168704", "оказание услуг по охране объектов АО ИК «АСЭ» (1356844)")</f>
        <v>оказание услуг по охране объектов АО ИК «АСЭ» (1356844)</v>
      </c>
      <c r="G418" s="22" t="s">
        <v>64</v>
      </c>
      <c r="H418" s="22" t="s">
        <v>65</v>
      </c>
      <c r="I418" s="26">
        <v>43742.425648148099</v>
      </c>
      <c r="J418" s="28" t="s">
        <v>52</v>
      </c>
      <c r="K418" s="28" t="s">
        <v>52</v>
      </c>
      <c r="L418" s="28" t="s">
        <v>52</v>
      </c>
      <c r="M418" s="28" t="s">
        <v>52</v>
      </c>
      <c r="N418" s="28" t="s">
        <v>52</v>
      </c>
    </row>
    <row r="419" spans="1:14" x14ac:dyDescent="0.15">
      <c r="A419" s="23" t="str">
        <f>HYPERLINK("https://www.spark-marketing.ru/Card/Person/4358361", "ООО ""БАЛАКОВСКАЯ АЭС - АВТО""")</f>
        <v>ООО "БАЛАКОВСКАЯ АЭС - АВТО"</v>
      </c>
      <c r="B419" s="24" t="s">
        <v>983</v>
      </c>
      <c r="C419" s="25">
        <v>200843.64</v>
      </c>
      <c r="D419" s="22" t="s">
        <v>984</v>
      </c>
      <c r="E419" s="22" t="s">
        <v>985</v>
      </c>
      <c r="F419" s="23" t="str">
        <f>HYPERLINK("https://www.spark-marketing.ru/Card/Lot/74178640", "Оказание услуг по оснащению транспортных средств ООО ""Балаковская АЭС-Авто"" техническими средствами обеспечения транспортной безопасности")</f>
        <v>Оказание услуг по оснащению транспортных средств ООО "Балаковская АЭС-Авто" техническими средствами обеспечения транспортной безопасности</v>
      </c>
      <c r="G419" s="22" t="s">
        <v>80</v>
      </c>
      <c r="H419" s="22" t="s">
        <v>986</v>
      </c>
      <c r="I419" s="26">
        <v>43742.572210648097</v>
      </c>
      <c r="J419" s="28" t="s">
        <v>52</v>
      </c>
      <c r="K419" s="28" t="s">
        <v>52</v>
      </c>
      <c r="L419" s="28" t="s">
        <v>52</v>
      </c>
      <c r="M419" s="28" t="s">
        <v>52</v>
      </c>
      <c r="N419" s="28" t="s">
        <v>52</v>
      </c>
    </row>
    <row r="420" spans="1:14" x14ac:dyDescent="0.15">
      <c r="A420" s="23" t="str">
        <f>HYPERLINK("https://www.spark-marketing.ru/Card/Person/4348528", "АО ИК ""АСЭ""")</f>
        <v>АО ИК "АСЭ"</v>
      </c>
      <c r="B420" s="24" t="s">
        <v>62</v>
      </c>
      <c r="C420" s="28" t="s">
        <v>52</v>
      </c>
      <c r="D420" s="22" t="s">
        <v>987</v>
      </c>
      <c r="E420" s="22" t="s">
        <v>53</v>
      </c>
      <c r="F420" s="23" t="str">
        <f>HYPERLINK("https://www.spark-marketing.ru/Card/Lot/74172522", "Оказание услуг по техническому обслуживанию системы видеонаблюдения. (1356969)")</f>
        <v>Оказание услуг по техническому обслуживанию системы видеонаблюдения. (1356969)</v>
      </c>
      <c r="G420" s="22" t="s">
        <v>64</v>
      </c>
      <c r="H420" s="22" t="s">
        <v>65</v>
      </c>
      <c r="I420" s="26">
        <v>43742.476504629602</v>
      </c>
      <c r="J420" s="28" t="s">
        <v>52</v>
      </c>
      <c r="K420" s="28" t="s">
        <v>52</v>
      </c>
      <c r="L420" s="28" t="s">
        <v>52</v>
      </c>
      <c r="M420" s="28" t="s">
        <v>52</v>
      </c>
      <c r="N420" s="28" t="s">
        <v>52</v>
      </c>
    </row>
    <row r="421" spans="1:14" x14ac:dyDescent="0.15">
      <c r="A421" s="23" t="str">
        <f>HYPERLINK("https://www.spark-marketing.ru/Card/Person/380203", "АО ""СПК""")</f>
        <v>АО "СПК"</v>
      </c>
      <c r="B421" s="24" t="s">
        <v>988</v>
      </c>
      <c r="C421" s="25">
        <v>176100</v>
      </c>
      <c r="D421" s="22" t="s">
        <v>989</v>
      </c>
      <c r="E421" s="22" t="s">
        <v>175</v>
      </c>
      <c r="F421" s="23" t="str">
        <f>HYPERLINK("https://www.spark-marketing.ru/Card/Lot/74174442", "Оказание услуг по выполнению монтажных работ по установке систем видеонаблюдения на станциях: Голышманово, Кособродск, Лебяжья-Сибирская")</f>
        <v>Оказание услуг по выполнению монтажных работ по установке систем видеонаблюдения на станциях: Голышманово, Кособродск, Лебяжья-Сибирская</v>
      </c>
      <c r="G421" s="22" t="s">
        <v>72</v>
      </c>
      <c r="H421" s="22" t="s">
        <v>72</v>
      </c>
      <c r="I421" s="26">
        <v>43742</v>
      </c>
      <c r="J421" s="28" t="s">
        <v>52</v>
      </c>
      <c r="K421" s="28" t="s">
        <v>52</v>
      </c>
      <c r="L421" s="28" t="s">
        <v>52</v>
      </c>
      <c r="M421" s="28" t="s">
        <v>52</v>
      </c>
      <c r="N421" s="28" t="s">
        <v>52</v>
      </c>
    </row>
    <row r="422" spans="1:14" x14ac:dyDescent="0.15">
      <c r="A422" s="23" t="str">
        <f>HYPERLINK("https://www.spark-marketing.ru/Card/Person/6158198", "ООО ""ГОРЭЛЕКТРОСЕТЬ-ВОРОНЕЖ""")</f>
        <v>ООО "ГОРЭЛЕКТРОСЕТЬ-ВОРОНЕЖ"</v>
      </c>
      <c r="B422" s="24" t="s">
        <v>990</v>
      </c>
      <c r="C422" s="25">
        <v>2190000</v>
      </c>
      <c r="D422" s="22" t="s">
        <v>991</v>
      </c>
      <c r="E422" s="22" t="s">
        <v>363</v>
      </c>
      <c r="F422" s="23" t="str">
        <f>HYPERLINK("https://www.spark-marketing.ru/Card/Lot/74168385", "оказание охранных услуг с помощью технических средств охраны")</f>
        <v>оказание охранных услуг с помощью технических средств охраны</v>
      </c>
      <c r="G422" s="22" t="s">
        <v>552</v>
      </c>
      <c r="H422" s="22" t="s">
        <v>552</v>
      </c>
      <c r="I422" s="26">
        <v>43742</v>
      </c>
      <c r="J422" s="28" t="s">
        <v>52</v>
      </c>
      <c r="K422" s="28" t="s">
        <v>52</v>
      </c>
      <c r="L422" s="28" t="s">
        <v>52</v>
      </c>
      <c r="M422" s="28" t="s">
        <v>52</v>
      </c>
      <c r="N422" s="28" t="s">
        <v>52</v>
      </c>
    </row>
    <row r="423" spans="1:14" x14ac:dyDescent="0.15">
      <c r="A423" s="23" t="str">
        <f>HYPERLINK("https://www.spark-marketing.ru/Card/Person/95245", "ОАО ""РЖД""")</f>
        <v>ОАО "РЖД"</v>
      </c>
      <c r="B423" s="24" t="s">
        <v>163</v>
      </c>
      <c r="C423" s="25">
        <v>2965356.86</v>
      </c>
      <c r="D423" s="22" t="s">
        <v>992</v>
      </c>
      <c r="E423" s="22" t="s">
        <v>993</v>
      </c>
      <c r="F423" s="23" t="str">
        <f>HYPERLINK("https://www.spark-marketing.ru/Card/Lot/74163527", "На право заключения договора оказания услуг по обеспечению пропускного режима на объектах Западно-Сибирской дирекции инфраструктуры")</f>
        <v>На право заключения договора оказания услуг по обеспечению пропускного режима на объектах Западно-Сибирской дирекции инфраструктуры</v>
      </c>
      <c r="G423" s="22" t="s">
        <v>367</v>
      </c>
      <c r="H423" s="22" t="s">
        <v>367</v>
      </c>
      <c r="I423" s="26">
        <v>43742</v>
      </c>
      <c r="J423" s="28" t="s">
        <v>52</v>
      </c>
      <c r="K423" s="28" t="s">
        <v>52</v>
      </c>
      <c r="L423" s="28" t="s">
        <v>52</v>
      </c>
      <c r="M423" s="28" t="s">
        <v>52</v>
      </c>
      <c r="N423" s="28" t="s">
        <v>52</v>
      </c>
    </row>
    <row r="424" spans="1:14" x14ac:dyDescent="0.2">
      <c r="A424" s="23" t="str">
        <f>HYPERLINK("https://www.spark-marketing.ru/Card/Person/1231447", "АО ""ГАЗЭНЕРГОСЕРВИС""")</f>
        <v>АО "ГАЗЭНЕРГОСЕРВИС"</v>
      </c>
      <c r="B424" s="24" t="s">
        <v>994</v>
      </c>
      <c r="C424" s="25">
        <v>222000</v>
      </c>
      <c r="D424" s="22" t="s">
        <v>995</v>
      </c>
      <c r="E424" s="22" t="s">
        <v>996</v>
      </c>
      <c r="F424" s="23" t="str">
        <f>HYPERLINK("https://www.spark-marketing.ru/Card/Lot/74174431", "Оказание услуг по техническому обслуживанию установок охранной сигнализации на объектах филиала АО «Газэнергосервис»- завод «Ротор»")</f>
        <v>Оказание услуг по техническому обслуживанию установок охранной сигнализации на объектах филиала АО «Газэнергосервис»- завод «Ротор»</v>
      </c>
      <c r="G424" s="22" t="s">
        <v>55</v>
      </c>
      <c r="H424" s="22" t="s">
        <v>55</v>
      </c>
      <c r="I424" s="26">
        <v>43742</v>
      </c>
      <c r="J424" s="23" t="str">
        <f>HYPERLINK("https://www.spark-marketing.ru/Card/Person/349164", "ООО ""РУБЕЖ""")</f>
        <v>ООО "РУБЕЖ"</v>
      </c>
      <c r="K424" s="24" t="s">
        <v>997</v>
      </c>
      <c r="L424" s="28" t="s">
        <v>52</v>
      </c>
      <c r="M424" s="25">
        <v>222000</v>
      </c>
      <c r="N424" s="27">
        <v>0</v>
      </c>
    </row>
    <row r="425" spans="1:14" x14ac:dyDescent="0.15">
      <c r="A425" s="23" t="str">
        <f>HYPERLINK("https://www.spark-marketing.ru/Card/Person/4358361", "ООО ""БАЛАКОВСКАЯ АЭС - АВТО""")</f>
        <v>ООО "БАЛАКОВСКАЯ АЭС - АВТО"</v>
      </c>
      <c r="B425" s="24" t="s">
        <v>983</v>
      </c>
      <c r="C425" s="25">
        <v>200843.64</v>
      </c>
      <c r="D425" s="22" t="s">
        <v>998</v>
      </c>
      <c r="E425" s="22" t="s">
        <v>999</v>
      </c>
      <c r="F425" s="23" t="str">
        <f>HYPERLINK("https://www.spark-marketing.ru/Card/Lot/74170658", "Право заключения договора на оказание услуг по оснащению транспортных средств ООО ""Балаковская АЭС-Авто"" техническими средствами обеспечения транспортной безопасности")</f>
        <v>Право заключения договора на оказание услуг по оснащению транспортных средств ООО "Балаковская АЭС-Авто" техническими средствами обеспечения транспортной безопасности</v>
      </c>
      <c r="G425" s="22" t="s">
        <v>80</v>
      </c>
      <c r="H425" s="22" t="s">
        <v>986</v>
      </c>
      <c r="I425" s="26">
        <v>43742</v>
      </c>
      <c r="J425" s="28" t="s">
        <v>52</v>
      </c>
      <c r="K425" s="28" t="s">
        <v>52</v>
      </c>
      <c r="L425" s="28" t="s">
        <v>52</v>
      </c>
      <c r="M425" s="28" t="s">
        <v>52</v>
      </c>
      <c r="N425" s="28" t="s">
        <v>52</v>
      </c>
    </row>
    <row r="426" spans="1:14" x14ac:dyDescent="0.2">
      <c r="A426" s="23" t="str">
        <f>HYPERLINK("https://www.spark-marketing.ru/Card/Person/569633", "АО ""НИИ МОРТЕПЛОТЕХНИКИ""")</f>
        <v>АО "НИИ МОРТЕПЛОТЕХНИКИ"</v>
      </c>
      <c r="B426" s="24" t="s">
        <v>1000</v>
      </c>
      <c r="C426" s="25">
        <v>1000000</v>
      </c>
      <c r="D426" s="22" t="s">
        <v>1001</v>
      </c>
      <c r="E426" s="22" t="s">
        <v>1002</v>
      </c>
      <c r="F426" s="23" t="str">
        <f>HYPERLINK("https://www.spark-marketing.ru/Card/Lot/74225625", "Оказание услуг по охране перевозимого имущества, материальных ценностей и грузов, в том числе при их транспортировке и охране в местах временного расположения во время следования к месту назначения")</f>
        <v>Оказание услуг по охране перевозимого имущества, материальных ценностей и грузов, в том числе при их транспортировке и охране в местах временного расположения во время следования к месту назначения</v>
      </c>
      <c r="G426" s="22" t="s">
        <v>89</v>
      </c>
      <c r="H426" s="22" t="s">
        <v>89</v>
      </c>
      <c r="I426" s="26">
        <v>43746.4984722222</v>
      </c>
      <c r="J426" s="28" t="s">
        <v>52</v>
      </c>
      <c r="K426" s="28" t="s">
        <v>52</v>
      </c>
      <c r="L426" s="28" t="s">
        <v>52</v>
      </c>
      <c r="M426" s="25">
        <v>1000000</v>
      </c>
      <c r="N426" s="27">
        <v>0</v>
      </c>
    </row>
    <row r="427" spans="1:14" x14ac:dyDescent="0.2">
      <c r="A427" s="23" t="str">
        <f>HYPERLINK("https://www.spark-marketing.ru/Card/Person/573574", "ООО ""ЖКС №2 ФРУНЗЕНСКОГО РАЙОНА""")</f>
        <v>ООО "ЖКС №2 ФРУНЗЕНСКОГО РАЙОНА"</v>
      </c>
      <c r="B427" s="24" t="s">
        <v>1003</v>
      </c>
      <c r="C427" s="25">
        <v>153772</v>
      </c>
      <c r="D427" s="22" t="s">
        <v>1004</v>
      </c>
      <c r="E427" s="22" t="s">
        <v>49</v>
      </c>
      <c r="F427" s="23" t="str">
        <f>HYPERLINK("https://www.spark-marketing.ru/Card/Lot/74177447", "Выполнение работ по установке оборудования системы сигнализации по адресу: ул. Малая Карпатская, д.23, к1")</f>
        <v>Выполнение работ по установке оборудования системы сигнализации по адресу: ул. Малая Карпатская, д.23, к1</v>
      </c>
      <c r="G427" s="22" t="s">
        <v>89</v>
      </c>
      <c r="H427" s="22" t="s">
        <v>89</v>
      </c>
      <c r="I427" s="26">
        <v>43742</v>
      </c>
      <c r="J427" s="23" t="str">
        <f>HYPERLINK("https://www.spark-marketing.ru/Card/Person/6675703", "ООО ""СРС""")</f>
        <v>ООО "СРС"</v>
      </c>
      <c r="K427" s="24" t="s">
        <v>1005</v>
      </c>
      <c r="L427" s="28" t="s">
        <v>52</v>
      </c>
      <c r="M427" s="25">
        <v>153772</v>
      </c>
      <c r="N427" s="27">
        <v>0</v>
      </c>
    </row>
    <row r="428" spans="1:14" x14ac:dyDescent="0.15">
      <c r="A428" s="23" t="str">
        <f>HYPERLINK("https://www.spark-marketing.ru/Card/Person/4348528", "АО ИК ""АСЭ""")</f>
        <v>АО ИК "АСЭ"</v>
      </c>
      <c r="B428" s="24" t="s">
        <v>62</v>
      </c>
      <c r="C428" s="25">
        <v>0</v>
      </c>
      <c r="D428" s="22" t="s">
        <v>1006</v>
      </c>
      <c r="E428" s="22" t="s">
        <v>53</v>
      </c>
      <c r="F428" s="23" t="str">
        <f>HYPERLINK("https://www.spark-marketing.ru/Card/Lot/74158282", "мониторинг цен в электронной форме на оказание услуг по охране объектов АО ИК «АСЭ»")</f>
        <v>мониторинг цен в электронной форме на оказание услуг по охране объектов АО ИК «АСЭ»</v>
      </c>
      <c r="G428" s="22" t="s">
        <v>64</v>
      </c>
      <c r="H428" s="22" t="s">
        <v>65</v>
      </c>
      <c r="I428" s="26">
        <v>43741.7714583333</v>
      </c>
      <c r="J428" s="28" t="s">
        <v>52</v>
      </c>
      <c r="K428" s="28" t="s">
        <v>52</v>
      </c>
      <c r="L428" s="28" t="s">
        <v>52</v>
      </c>
      <c r="M428" s="28" t="s">
        <v>52</v>
      </c>
      <c r="N428" s="28" t="s">
        <v>52</v>
      </c>
    </row>
    <row r="429" spans="1:14" x14ac:dyDescent="0.15">
      <c r="A429" s="28" t="s">
        <v>52</v>
      </c>
      <c r="B429" s="28" t="s">
        <v>52</v>
      </c>
      <c r="C429" s="28" t="s">
        <v>52</v>
      </c>
      <c r="D429" s="22" t="s">
        <v>1007</v>
      </c>
      <c r="E429" s="22" t="s">
        <v>53</v>
      </c>
      <c r="F429" s="23" t="str">
        <f>HYPERLINK("https://www.spark-marketing.ru/Card/Lot/74155965", "Беспроводной передатчик DOMONIAL-DET8M-RU и другое (169 шт)")</f>
        <v>Беспроводной передатчик DOMONIAL-DET8M-RU и другое (169 шт)</v>
      </c>
      <c r="G429" s="22" t="s">
        <v>55</v>
      </c>
      <c r="H429" s="22" t="s">
        <v>55</v>
      </c>
      <c r="I429" s="26">
        <v>43741.774837962999</v>
      </c>
      <c r="J429" s="23" t="str">
        <f>HYPERLINK("https://www.spark-marketing.ru/Card/Person/35401", "ПАО МГТС")</f>
        <v>ПАО МГТС</v>
      </c>
      <c r="K429" s="24" t="s">
        <v>56</v>
      </c>
      <c r="L429" s="28" t="s">
        <v>52</v>
      </c>
      <c r="M429" s="25">
        <v>407375</v>
      </c>
      <c r="N429" s="28" t="s">
        <v>52</v>
      </c>
    </row>
    <row r="430" spans="1:14" x14ac:dyDescent="0.15">
      <c r="A430" s="23" t="str">
        <f>HYPERLINK("https://www.spark-marketing.ru/Card/Person/4348528", "АО ИК ""АСЭ""")</f>
        <v>АО ИК "АСЭ"</v>
      </c>
      <c r="B430" s="24" t="s">
        <v>62</v>
      </c>
      <c r="C430" s="25">
        <v>0</v>
      </c>
      <c r="D430" s="22" t="s">
        <v>1008</v>
      </c>
      <c r="E430" s="22" t="s">
        <v>53</v>
      </c>
      <c r="F430" s="23" t="str">
        <f>HYPERLINK("https://www.spark-marketing.ru/Card/Lot/74158030", "мониторинг цен в электронной форме на оказание услуг по охране объектов АО ИК «АСЭ»")</f>
        <v>мониторинг цен в электронной форме на оказание услуг по охране объектов АО ИК «АСЭ»</v>
      </c>
      <c r="G430" s="22" t="s">
        <v>64</v>
      </c>
      <c r="H430" s="22" t="s">
        <v>65</v>
      </c>
      <c r="I430" s="26">
        <v>43741.768854166701</v>
      </c>
      <c r="J430" s="28" t="s">
        <v>52</v>
      </c>
      <c r="K430" s="28" t="s">
        <v>52</v>
      </c>
      <c r="L430" s="28" t="s">
        <v>52</v>
      </c>
      <c r="M430" s="28" t="s">
        <v>52</v>
      </c>
      <c r="N430" s="28" t="s">
        <v>52</v>
      </c>
    </row>
    <row r="431" spans="1:14" x14ac:dyDescent="0.15">
      <c r="A431" s="23" t="str">
        <f>HYPERLINK("https://www.spark-marketing.ru/Card/Person/4348528", "АО ИК ""АСЭ""")</f>
        <v>АО ИК "АСЭ"</v>
      </c>
      <c r="B431" s="24" t="s">
        <v>62</v>
      </c>
      <c r="C431" s="25">
        <v>0</v>
      </c>
      <c r="D431" s="22" t="s">
        <v>1009</v>
      </c>
      <c r="E431" s="22" t="s">
        <v>53</v>
      </c>
      <c r="F431" s="23" t="str">
        <f>HYPERLINK("https://www.spark-marketing.ru/Card/Lot/74157787", "мониторинг цен в электронной форме на оказание услуг по охране объектов АО ИК «АСЭ»")</f>
        <v>мониторинг цен в электронной форме на оказание услуг по охране объектов АО ИК «АСЭ»</v>
      </c>
      <c r="G431" s="22" t="s">
        <v>64</v>
      </c>
      <c r="H431" s="22" t="s">
        <v>65</v>
      </c>
      <c r="I431" s="26">
        <v>43741.761041666701</v>
      </c>
      <c r="J431" s="28" t="s">
        <v>52</v>
      </c>
      <c r="K431" s="28" t="s">
        <v>52</v>
      </c>
      <c r="L431" s="28" t="s">
        <v>52</v>
      </c>
      <c r="M431" s="28" t="s">
        <v>52</v>
      </c>
      <c r="N431" s="28" t="s">
        <v>52</v>
      </c>
    </row>
    <row r="432" spans="1:14" x14ac:dyDescent="0.15">
      <c r="A432" s="23" t="str">
        <f>HYPERLINK("https://www.spark-marketing.ru/Card/Person/4348528", "АО ИК ""АСЭ""")</f>
        <v>АО ИК "АСЭ"</v>
      </c>
      <c r="B432" s="24" t="s">
        <v>62</v>
      </c>
      <c r="C432" s="25">
        <v>0</v>
      </c>
      <c r="D432" s="22" t="s">
        <v>1010</v>
      </c>
      <c r="E432" s="22" t="s">
        <v>53</v>
      </c>
      <c r="F432" s="23" t="str">
        <f>HYPERLINK("https://www.spark-marketing.ru/Card/Lot/74158029", "мониторинг цен в электронной форме на оказание услуг по охране объектов АО ИК «АСЭ»")</f>
        <v>мониторинг цен в электронной форме на оказание услуг по охране объектов АО ИК «АСЭ»</v>
      </c>
      <c r="G432" s="22" t="s">
        <v>64</v>
      </c>
      <c r="H432" s="22" t="s">
        <v>65</v>
      </c>
      <c r="I432" s="26">
        <v>43741.7664351852</v>
      </c>
      <c r="J432" s="28" t="s">
        <v>52</v>
      </c>
      <c r="K432" s="28" t="s">
        <v>52</v>
      </c>
      <c r="L432" s="28" t="s">
        <v>52</v>
      </c>
      <c r="M432" s="28" t="s">
        <v>52</v>
      </c>
      <c r="N432" s="28" t="s">
        <v>52</v>
      </c>
    </row>
    <row r="433" spans="1:14" x14ac:dyDescent="0.15">
      <c r="A433" s="23" t="str">
        <f>HYPERLINK("https://www.spark-marketing.ru/Card/Person/61399", "УМВД РОССИИ ПО НЕНЕЦКОМУ АВТОНОМНОМУ ОКРУГУ")</f>
        <v>УМВД РОССИИ ПО НЕНЕЦКОМУ АВТОНОМНОМУ ОКРУГУ</v>
      </c>
      <c r="B433" s="24" t="s">
        <v>1011</v>
      </c>
      <c r="C433" s="25">
        <v>45000</v>
      </c>
      <c r="D433" s="22" t="s">
        <v>1012</v>
      </c>
      <c r="E433" s="22" t="s">
        <v>1013</v>
      </c>
      <c r="F433" s="23" t="str">
        <f>HYPERLINK("https://www.spark-marketing.ru/Card/Lot/74155609", "Техническое обслуживание системы видеонаблюдения, 1 усл. ед")</f>
        <v>Техническое обслуживание системы видеонаблюдения, 1 усл. ед</v>
      </c>
      <c r="G433" s="22" t="s">
        <v>1014</v>
      </c>
      <c r="H433" s="22" t="s">
        <v>1015</v>
      </c>
      <c r="I433" s="26">
        <v>43741.7659837963</v>
      </c>
      <c r="J433" s="28" t="s">
        <v>52</v>
      </c>
      <c r="K433" s="28" t="s">
        <v>52</v>
      </c>
      <c r="L433" s="28" t="s">
        <v>52</v>
      </c>
      <c r="M433" s="28" t="s">
        <v>52</v>
      </c>
      <c r="N433" s="28" t="s">
        <v>52</v>
      </c>
    </row>
    <row r="434" spans="1:14" x14ac:dyDescent="0.15">
      <c r="A434" s="23" t="str">
        <f>HYPERLINK("https://www.spark-marketing.ru/Card/Person/4348528", "АО ИК ""АСЭ""")</f>
        <v>АО ИК "АСЭ"</v>
      </c>
      <c r="B434" s="24" t="s">
        <v>62</v>
      </c>
      <c r="C434" s="25">
        <v>0</v>
      </c>
      <c r="D434" s="22" t="s">
        <v>1016</v>
      </c>
      <c r="E434" s="22" t="s">
        <v>53</v>
      </c>
      <c r="F434" s="23" t="str">
        <f>HYPERLINK("https://www.spark-marketing.ru/Card/Lot/74158031", "мониторинг цен в электронной форме на оказание услуг по охране объектов АО ИК «АСЭ»")</f>
        <v>мониторинг цен в электронной форме на оказание услуг по охране объектов АО ИК «АСЭ»</v>
      </c>
      <c r="G434" s="22" t="s">
        <v>64</v>
      </c>
      <c r="H434" s="22" t="s">
        <v>65</v>
      </c>
      <c r="I434" s="26">
        <v>43741.773680555598</v>
      </c>
      <c r="J434" s="28" t="s">
        <v>52</v>
      </c>
      <c r="K434" s="28" t="s">
        <v>52</v>
      </c>
      <c r="L434" s="28" t="s">
        <v>52</v>
      </c>
      <c r="M434" s="28" t="s">
        <v>52</v>
      </c>
      <c r="N434" s="28" t="s">
        <v>52</v>
      </c>
    </row>
    <row r="435" spans="1:14" x14ac:dyDescent="0.15">
      <c r="A435" s="23" t="str">
        <f>HYPERLINK("https://www.spark-marketing.ru/Card/Person/1016254", "МОМВД РОССИИ ""СУХИНИЧСКИЙ""")</f>
        <v>МОМВД РОССИИ "СУХИНИЧСКИЙ"</v>
      </c>
      <c r="B435" s="24" t="s">
        <v>1017</v>
      </c>
      <c r="C435" s="25">
        <v>36381.83</v>
      </c>
      <c r="D435" s="22" t="s">
        <v>1018</v>
      </c>
      <c r="E435" s="22" t="s">
        <v>68</v>
      </c>
      <c r="F435" s="23" t="str">
        <f>HYPERLINK("https://www.spark-marketing.ru/Card/Lot/74154228", "Услуги, связанные с обеспечением общественного порядка и безопасности прочие, 1 усл. ед")</f>
        <v>Услуги, связанные с обеспечением общественного порядка и безопасности прочие, 1 усл. ед</v>
      </c>
      <c r="G435" s="22" t="s">
        <v>658</v>
      </c>
      <c r="H435" s="22" t="s">
        <v>1019</v>
      </c>
      <c r="I435" s="26">
        <v>43741.731527777803</v>
      </c>
      <c r="J435" s="28" t="s">
        <v>52</v>
      </c>
      <c r="K435" s="28" t="s">
        <v>52</v>
      </c>
      <c r="L435" s="28" t="s">
        <v>52</v>
      </c>
      <c r="M435" s="28" t="s">
        <v>52</v>
      </c>
      <c r="N435" s="28" t="s">
        <v>52</v>
      </c>
    </row>
    <row r="436" spans="1:14" x14ac:dyDescent="0.15">
      <c r="A436" s="23" t="str">
        <f>HYPERLINK("https://www.spark-marketing.ru/Card/Person/92946", "ОБУЗ ""ОКПБ ""БОГОРОДСКОЕ""")</f>
        <v>ОБУЗ "ОКПБ "БОГОРОДСКОЕ"</v>
      </c>
      <c r="B436" s="24" t="s">
        <v>1020</v>
      </c>
      <c r="C436" s="25">
        <v>2226000</v>
      </c>
      <c r="D436" s="22" t="s">
        <v>1021</v>
      </c>
      <c r="E436" s="22" t="s">
        <v>52</v>
      </c>
      <c r="F436" s="23" t="str">
        <f>HYPERLINK("https://www.spark-marketing.ru/Card/Lot/74157228", "Оказание услуг по охране территории")</f>
        <v>Оказание услуг по охране территории</v>
      </c>
      <c r="G436" s="22" t="s">
        <v>340</v>
      </c>
      <c r="H436" s="22" t="s">
        <v>1022</v>
      </c>
      <c r="I436" s="26">
        <v>43741.689583333296</v>
      </c>
      <c r="J436" s="23" t="str">
        <f>HYPERLINK("https://www.spark-marketing.ru/Card/Person/6591269", "ООО ЧОО ""ТРОЯ""")</f>
        <v>ООО ЧОО "ТРОЯ"</v>
      </c>
      <c r="K436" s="24" t="s">
        <v>1023</v>
      </c>
      <c r="L436" s="28" t="s">
        <v>52</v>
      </c>
      <c r="M436" s="28" t="s">
        <v>52</v>
      </c>
      <c r="N436" s="28" t="s">
        <v>52</v>
      </c>
    </row>
    <row r="437" spans="1:14" x14ac:dyDescent="0.15">
      <c r="A437" s="23" t="str">
        <f>HYPERLINK("https://www.spark-marketing.ru/Card/Person/38568", "ГУ ТО ""ТУЛЬСКИЕ ПАРКИ""")</f>
        <v>ГУ ТО "ТУЛЬСКИЕ ПАРКИ"</v>
      </c>
      <c r="B437" s="24" t="s">
        <v>1024</v>
      </c>
      <c r="C437" s="25">
        <v>1293467.71</v>
      </c>
      <c r="D437" s="22" t="s">
        <v>1025</v>
      </c>
      <c r="E437" s="22" t="s">
        <v>1026</v>
      </c>
      <c r="F437" s="23" t="str">
        <f>HYPERLINK("https://www.spark-marketing.ru/Card/Lot/74156987", "Выполнение работ по устройству систем видеонаблюдения")</f>
        <v>Выполнение работ по устройству систем видеонаблюдения</v>
      </c>
      <c r="G437" s="22" t="s">
        <v>818</v>
      </c>
      <c r="H437" s="22" t="s">
        <v>819</v>
      </c>
      <c r="I437" s="26">
        <v>43741.691666666702</v>
      </c>
      <c r="J437" s="23" t="str">
        <f>HYPERLINK("https://www.spark-marketing.ru/Card/Person/246831", "ООО ""ГЛОБАЛТЕК""")</f>
        <v>ООО "ГЛОБАЛТЕК"</v>
      </c>
      <c r="K437" s="24" t="s">
        <v>1027</v>
      </c>
      <c r="L437" s="22" t="s">
        <v>10</v>
      </c>
      <c r="M437" s="28" t="s">
        <v>52</v>
      </c>
      <c r="N437" s="28" t="s">
        <v>52</v>
      </c>
    </row>
    <row r="438" spans="1:14" x14ac:dyDescent="0.15">
      <c r="A438" s="23" t="str">
        <f>HYPERLINK("https://www.spark-marketing.ru/Card/Person/1085205", "ИВАНОВСКИЙ ЛО МВД РОССИИ НА ТРАНСПОРТЕ")</f>
        <v>ИВАНОВСКИЙ ЛО МВД РОССИИ НА ТРАНСПОРТЕ</v>
      </c>
      <c r="B438" s="24" t="s">
        <v>1028</v>
      </c>
      <c r="C438" s="25">
        <v>14157.84</v>
      </c>
      <c r="D438" s="22" t="s">
        <v>1029</v>
      </c>
      <c r="E438" s="22" t="s">
        <v>107</v>
      </c>
      <c r="F438" s="23" t="str">
        <f>HYPERLINK("https://www.spark-marketing.ru/Card/Lot/74152111", "Техническое обслуживание комплекса технических средств охраны, 1 шт")</f>
        <v>Техническое обслуживание комплекса технических средств охраны, 1 шт</v>
      </c>
      <c r="G438" s="22" t="s">
        <v>340</v>
      </c>
      <c r="H438" s="22" t="s">
        <v>1030</v>
      </c>
      <c r="I438" s="26">
        <v>43741.684351851902</v>
      </c>
      <c r="J438" s="28" t="s">
        <v>52</v>
      </c>
      <c r="K438" s="28" t="s">
        <v>52</v>
      </c>
      <c r="L438" s="28" t="s">
        <v>52</v>
      </c>
      <c r="M438" s="28" t="s">
        <v>52</v>
      </c>
      <c r="N438" s="28" t="s">
        <v>52</v>
      </c>
    </row>
    <row r="439" spans="1:14" x14ac:dyDescent="0.15">
      <c r="A439" s="23" t="str">
        <f>HYPERLINK("https://www.spark-marketing.ru/Card/Person/4348528", "АО ИК ""АСЭ""")</f>
        <v>АО ИК "АСЭ"</v>
      </c>
      <c r="B439" s="24" t="s">
        <v>62</v>
      </c>
      <c r="C439" s="25">
        <v>0</v>
      </c>
      <c r="D439" s="22" t="s">
        <v>1031</v>
      </c>
      <c r="E439" s="22" t="s">
        <v>53</v>
      </c>
      <c r="F439" s="23" t="str">
        <f>HYPERLINK("https://www.spark-marketing.ru/Card/Lot/74155891", "мониторинг цен в электронной форме на оказание услуг по охране объектов АО ИК «АСЭ»")</f>
        <v>мониторинг цен в электронной форме на оказание услуг по охране объектов АО ИК «АСЭ»</v>
      </c>
      <c r="G439" s="22" t="s">
        <v>64</v>
      </c>
      <c r="H439" s="22" t="s">
        <v>65</v>
      </c>
      <c r="I439" s="26">
        <v>43741.677534722199</v>
      </c>
      <c r="J439" s="28" t="s">
        <v>52</v>
      </c>
      <c r="K439" s="28" t="s">
        <v>52</v>
      </c>
      <c r="L439" s="28" t="s">
        <v>52</v>
      </c>
      <c r="M439" s="28" t="s">
        <v>52</v>
      </c>
      <c r="N439" s="28" t="s">
        <v>52</v>
      </c>
    </row>
    <row r="440" spans="1:14" x14ac:dyDescent="0.15">
      <c r="A440" s="23" t="str">
        <f>HYPERLINK("https://www.spark-marketing.ru/Card/Person/1520449", "ГУП СО ""СООПА""")</f>
        <v>ГУП СО "СООПА"</v>
      </c>
      <c r="B440" s="24" t="s">
        <v>1032</v>
      </c>
      <c r="C440" s="25">
        <v>4998249.33</v>
      </c>
      <c r="D440" s="22" t="s">
        <v>1033</v>
      </c>
      <c r="E440" s="22" t="s">
        <v>1034</v>
      </c>
      <c r="F440" s="23" t="str">
        <f>HYPERLINK("https://www.spark-marketing.ru/Card/Lot/74150844", "Поставка (с монтажом и пуско-наладкой на месте эксплуатации) оборудования системы досмотра на границе зоны транспортной безопасности контрольно-пропускного пункта №3, входящего в систему телевизионного контроля и управления доступом на объекте трансп...")</f>
        <v>Поставка (с монтажом и пуско-наладкой на месте эксплуатации) оборудования системы досмотра на границе зоны транспортной безопасности контрольно-пропускного пункта №3, входящего в систему телевизионного контроля и управления доступом на объекте трансп...</v>
      </c>
      <c r="G440" s="22" t="s">
        <v>72</v>
      </c>
      <c r="H440" s="22" t="s">
        <v>949</v>
      </c>
      <c r="I440" s="26">
        <v>43741.627083333296</v>
      </c>
      <c r="J440" s="23" t="str">
        <f>HYPERLINK("https://www.spark-marketing.ru/Card/Person/1480631", "ООО ""АЙТИБОКС""")</f>
        <v>ООО "АЙТИБОКС"</v>
      </c>
      <c r="K440" s="24" t="s">
        <v>1035</v>
      </c>
      <c r="L440" s="28" t="s">
        <v>52</v>
      </c>
      <c r="M440" s="28" t="s">
        <v>52</v>
      </c>
      <c r="N440" s="28" t="s">
        <v>52</v>
      </c>
    </row>
    <row r="441" spans="1:14" x14ac:dyDescent="0.15">
      <c r="A441" s="23" t="str">
        <f>HYPERLINK("https://www.spark-marketing.ru/Card/Person/4348584", "АО ""АТОМ-ОХРАНА""")</f>
        <v>АО "АТОМ-ОХРАНА"</v>
      </c>
      <c r="B441" s="24" t="s">
        <v>1036</v>
      </c>
      <c r="C441" s="25">
        <v>0</v>
      </c>
      <c r="D441" s="22" t="s">
        <v>1037</v>
      </c>
      <c r="E441" s="22" t="s">
        <v>53</v>
      </c>
      <c r="F441" s="23" t="str">
        <f>HYPERLINK("https://www.spark-marketing.ru/Card/Lot/74155862", "мониторинг цен в электронной форме на Оказание услуг по обслуживанию технических средств охраны, установленных на объектах отдельного отряда №121 МУВО № 1 АО ""Атом-охрана""")</f>
        <v>мониторинг цен в электронной форме на Оказание услуг по обслуживанию технических средств охраны, установленных на объектах отдельного отряда №121 МУВО № 1 АО "Атом-охрана"</v>
      </c>
      <c r="G441" s="22" t="s">
        <v>55</v>
      </c>
      <c r="H441" s="22" t="s">
        <v>55</v>
      </c>
      <c r="I441" s="26">
        <v>43741.659270833297</v>
      </c>
      <c r="J441" s="28" t="s">
        <v>52</v>
      </c>
      <c r="K441" s="28" t="s">
        <v>52</v>
      </c>
      <c r="L441" s="28" t="s">
        <v>52</v>
      </c>
      <c r="M441" s="28" t="s">
        <v>52</v>
      </c>
      <c r="N441" s="28" t="s">
        <v>52</v>
      </c>
    </row>
    <row r="442" spans="1:14" x14ac:dyDescent="0.15">
      <c r="A442" s="23" t="str">
        <f>HYPERLINK("https://www.spark-marketing.ru/Card/Person/4348528", "АО ИК ""АСЭ""")</f>
        <v>АО ИК "АСЭ"</v>
      </c>
      <c r="B442" s="24" t="s">
        <v>62</v>
      </c>
      <c r="C442" s="25">
        <v>0</v>
      </c>
      <c r="D442" s="22" t="s">
        <v>1038</v>
      </c>
      <c r="E442" s="22" t="s">
        <v>53</v>
      </c>
      <c r="F442" s="23" t="str">
        <f>HYPERLINK("https://www.spark-marketing.ru/Card/Lot/74155879", "мониторинг цен в электронной форме на оказание услуг по охране объектов АО ИК «АСЭ»")</f>
        <v>мониторинг цен в электронной форме на оказание услуг по охране объектов АО ИК «АСЭ»</v>
      </c>
      <c r="G442" s="22" t="s">
        <v>64</v>
      </c>
      <c r="H442" s="22" t="s">
        <v>65</v>
      </c>
      <c r="I442" s="26">
        <v>43741.665694444397</v>
      </c>
      <c r="J442" s="28" t="s">
        <v>52</v>
      </c>
      <c r="K442" s="28" t="s">
        <v>52</v>
      </c>
      <c r="L442" s="28" t="s">
        <v>52</v>
      </c>
      <c r="M442" s="28" t="s">
        <v>52</v>
      </c>
      <c r="N442" s="28" t="s">
        <v>52</v>
      </c>
    </row>
    <row r="443" spans="1:14" x14ac:dyDescent="0.15">
      <c r="A443" s="23" t="str">
        <f>HYPERLINK("https://www.spark-marketing.ru/Card/Person/19301", "АДМИНИСТРАЦИЯ АСКИЗСКОГО РАЙОНА")</f>
        <v>АДМИНИСТРАЦИЯ АСКИЗСКОГО РАЙОНА</v>
      </c>
      <c r="B443" s="24" t="s">
        <v>1039</v>
      </c>
      <c r="C443" s="25">
        <v>169021</v>
      </c>
      <c r="D443" s="22" t="s">
        <v>1040</v>
      </c>
      <c r="E443" s="22" t="s">
        <v>194</v>
      </c>
      <c r="F443" s="23" t="str">
        <f>HYPERLINK("https://www.spark-marketing.ru/Card/Lot/74146216", "Поставка системы видеонаблюдения с установкой")</f>
        <v>Поставка системы видеонаблюдения с установкой</v>
      </c>
      <c r="G443" s="22" t="s">
        <v>1041</v>
      </c>
      <c r="H443" s="22" t="s">
        <v>1041</v>
      </c>
      <c r="I443" s="26">
        <v>43741.645138888904</v>
      </c>
      <c r="J443" s="28" t="s">
        <v>52</v>
      </c>
      <c r="K443" s="28" t="s">
        <v>52</v>
      </c>
      <c r="L443" s="28" t="s">
        <v>52</v>
      </c>
      <c r="M443" s="28" t="s">
        <v>52</v>
      </c>
      <c r="N443" s="28" t="s">
        <v>52</v>
      </c>
    </row>
    <row r="444" spans="1:14" x14ac:dyDescent="0.15">
      <c r="A444" s="23" t="str">
        <f>HYPERLINK("https://www.spark-marketing.ru/Card/Person/1085205", "ИВАНОВСКИЙ ЛО МВД РОССИИ НА ТРАНСПОРТЕ")</f>
        <v>ИВАНОВСКИЙ ЛО МВД РОССИИ НА ТРАНСПОРТЕ</v>
      </c>
      <c r="B444" s="24" t="s">
        <v>1028</v>
      </c>
      <c r="C444" s="25">
        <v>14157.84</v>
      </c>
      <c r="D444" s="22" t="s">
        <v>1042</v>
      </c>
      <c r="E444" s="22" t="s">
        <v>107</v>
      </c>
      <c r="F444" s="23" t="str">
        <f>HYPERLINK("https://www.spark-marketing.ru/Card/Lot/74147281", "Техническое обслуживание комплекса технических средств охраны, 1 шт")</f>
        <v>Техническое обслуживание комплекса технических средств охраны, 1 шт</v>
      </c>
      <c r="G444" s="22" t="s">
        <v>340</v>
      </c>
      <c r="H444" s="22" t="s">
        <v>1030</v>
      </c>
      <c r="I444" s="26">
        <v>43741.625949074099</v>
      </c>
      <c r="J444" s="28" t="s">
        <v>52</v>
      </c>
      <c r="K444" s="28" t="s">
        <v>52</v>
      </c>
      <c r="L444" s="28" t="s">
        <v>52</v>
      </c>
      <c r="M444" s="28" t="s">
        <v>52</v>
      </c>
      <c r="N444" s="28" t="s">
        <v>52</v>
      </c>
    </row>
    <row r="445" spans="1:14" x14ac:dyDescent="0.15">
      <c r="A445" s="23" t="str">
        <f>HYPERLINK("https://www.spark-marketing.ru/Card/Person/138655", "ГБПОУ МО ""ОДИНЦОВСКИЙ ТЕХНИКУМ""")</f>
        <v>ГБПОУ МО "ОДИНЦОВСКИЙ ТЕХНИКУМ"</v>
      </c>
      <c r="B445" s="24" t="s">
        <v>1043</v>
      </c>
      <c r="C445" s="25">
        <v>89778</v>
      </c>
      <c r="D445" s="22" t="s">
        <v>1044</v>
      </c>
      <c r="E445" s="22" t="s">
        <v>194</v>
      </c>
      <c r="F445" s="23" t="str">
        <f>HYPERLINK("https://www.spark-marketing.ru/Card/Lot/74144563", "Камеры наружного и внутреннего видеонаблюдения с установкой.")</f>
        <v>Камеры наружного и внутреннего видеонаблюдения с установкой.</v>
      </c>
      <c r="G445" s="22" t="s">
        <v>50</v>
      </c>
      <c r="H445" s="22" t="s">
        <v>1045</v>
      </c>
      <c r="I445" s="26">
        <v>43741.523564814801</v>
      </c>
      <c r="J445" s="28" t="s">
        <v>52</v>
      </c>
      <c r="K445" s="28" t="s">
        <v>52</v>
      </c>
      <c r="L445" s="28" t="s">
        <v>52</v>
      </c>
      <c r="M445" s="28" t="s">
        <v>52</v>
      </c>
      <c r="N445" s="28" t="s">
        <v>52</v>
      </c>
    </row>
    <row r="446" spans="1:14" x14ac:dyDescent="0.15">
      <c r="A446" s="23" t="str">
        <f t="shared" ref="A446:A451" si="2">HYPERLINK("https://www.spark-marketing.ru/Card/Person/1762637", "МБОУ СОШ №1 С.НОВОБЕЛОКАТАЙ")</f>
        <v>МБОУ СОШ №1 С.НОВОБЕЛОКАТАЙ</v>
      </c>
      <c r="B446" s="24" t="s">
        <v>1046</v>
      </c>
      <c r="C446" s="25">
        <v>120034</v>
      </c>
      <c r="D446" s="22" t="s">
        <v>1047</v>
      </c>
      <c r="E446" s="22" t="s">
        <v>84</v>
      </c>
      <c r="F446" s="23" t="str">
        <f>HYPERLINK("https://www.spark-marketing.ru/Card/Lot/74144970", "Монтажные работы по установке видеонаблюдения в филиале МБОУ СОШ № 1 с. Новобелокатай ""Атаршинская ООШ"" по адресу: 452572, РБ, Белокатайский район, с. Атарша, ул. Школьная, 1")</f>
        <v>Монтажные работы по установке видеонаблюдения в филиале МБОУ СОШ № 1 с. Новобелокатай "Атаршинская ООШ" по адресу: 452572, РБ, Белокатайский район, с. Атарша, ул. Школьная, 1</v>
      </c>
      <c r="G446" s="22" t="s">
        <v>100</v>
      </c>
      <c r="H446" s="22" t="s">
        <v>872</v>
      </c>
      <c r="I446" s="26">
        <v>43741.526388888902</v>
      </c>
      <c r="J446" s="28" t="s">
        <v>52</v>
      </c>
      <c r="K446" s="28" t="s">
        <v>52</v>
      </c>
      <c r="L446" s="28" t="s">
        <v>52</v>
      </c>
      <c r="M446" s="28" t="s">
        <v>52</v>
      </c>
      <c r="N446" s="28" t="s">
        <v>52</v>
      </c>
    </row>
    <row r="447" spans="1:14" hidden="1" outlineLevel="1" x14ac:dyDescent="0.2">
      <c r="A447" s="23" t="str">
        <f t="shared" si="2"/>
        <v>МБОУ СОШ №1 С.НОВОБЕЛОКАТАЙ</v>
      </c>
      <c r="B447" s="24" t="s">
        <v>1046</v>
      </c>
      <c r="C447" s="25">
        <v>120034</v>
      </c>
      <c r="D447" s="22" t="s">
        <v>1047</v>
      </c>
      <c r="E447" s="22" t="s">
        <v>84</v>
      </c>
      <c r="F447" s="23" t="str">
        <f>HYPERLINK("https://www.spark-marketing.ru/Card/Lot/74144970", "Монтажные работы по установке видеонаблюдения в филиале МБОУ СОШ № 1 с. Новобелокатай ""Атаршинская ООШ"" по адресу: 452572, РБ, Белокатайский район, с. Атарша, ул. Школьная, 1")</f>
        <v>Монтажные работы по установке видеонаблюдения в филиале МБОУ СОШ № 1 с. Новобелокатай "Атаршинская ООШ" по адресу: 452572, РБ, Белокатайский район, с. Атарша, ул. Школьная, 1</v>
      </c>
      <c r="G447" s="22" t="s">
        <v>100</v>
      </c>
      <c r="H447" s="22" t="s">
        <v>872</v>
      </c>
      <c r="I447" s="26">
        <v>43741.526388888902</v>
      </c>
      <c r="J447" s="23" t="str">
        <f>HYPERLINK("https://www.spark-marketing.ru/Card/Person/6717015", "ООО ""СТРОЙ-АЛЬЯНС""")</f>
        <v>ООО "СТРОЙ-АЛЬЯНС"</v>
      </c>
      <c r="K447" s="24" t="s">
        <v>1048</v>
      </c>
      <c r="L447" s="28" t="s">
        <v>52</v>
      </c>
      <c r="M447" s="25">
        <v>91598.47</v>
      </c>
      <c r="N447" s="27">
        <v>0.23689562957162139</v>
      </c>
    </row>
    <row r="448" spans="1:14" ht="12.75" hidden="1" outlineLevel="1" x14ac:dyDescent="0.2">
      <c r="A448" s="23" t="str">
        <f t="shared" si="2"/>
        <v>МБОУ СОШ №1 С.НОВОБЕЛОКАТАЙ</v>
      </c>
      <c r="B448" s="24" t="s">
        <v>1046</v>
      </c>
      <c r="C448" s="25">
        <v>120034</v>
      </c>
      <c r="D448" s="22" t="s">
        <v>1047</v>
      </c>
      <c r="E448" s="22" t="s">
        <v>84</v>
      </c>
      <c r="F448" s="23" t="str">
        <f>HYPERLINK("https://www.spark-marketing.ru/Card/Lot/74144970", "Монтажные работы по установке видеонаблюдения в филиале МБОУ СОШ № 1 с. Новобелокатай ""Атаршинская ООШ"" по адресу: 452572, РБ, Белокатайский район, с. Атарша, ул. Школьная, 1")</f>
        <v>Монтажные работы по установке видеонаблюдения в филиале МБОУ СОШ № 1 с. Новобелокатай "Атаршинская ООШ" по адресу: 452572, РБ, Белокатайский район, с. Атарша, ул. Школьная, 1</v>
      </c>
      <c r="G448" s="22" t="s">
        <v>100</v>
      </c>
      <c r="H448" s="22" t="s">
        <v>872</v>
      </c>
      <c r="I448" s="26">
        <v>43741.526388888902</v>
      </c>
      <c r="J448" s="23" t="str">
        <f>HYPERLINK("https://www.spark-marketing.ru/Card/Person/4710247", "Яхин Марсель Маратович")</f>
        <v>Яхин Марсель Маратович</v>
      </c>
      <c r="K448" s="24" t="s">
        <v>1049</v>
      </c>
      <c r="L448" s="22" t="s">
        <v>10</v>
      </c>
      <c r="M448" s="25">
        <v>90998.3</v>
      </c>
      <c r="N448" s="27">
        <v>0.24189562957162136</v>
      </c>
    </row>
    <row r="449" spans="1:14" x14ac:dyDescent="0.15">
      <c r="A449" s="23" t="str">
        <f t="shared" si="2"/>
        <v>МБОУ СОШ №1 С.НОВОБЕЛОКАТАЙ</v>
      </c>
      <c r="B449" s="24" t="s">
        <v>1046</v>
      </c>
      <c r="C449" s="25">
        <v>123017</v>
      </c>
      <c r="D449" s="22" t="s">
        <v>1050</v>
      </c>
      <c r="E449" s="22" t="s">
        <v>84</v>
      </c>
      <c r="F449" s="23" t="str">
        <f>HYPERLINK("https://www.spark-marketing.ru/Card/Lot/74144971", "Монтажные работы по установке системы видеонаблюдения в филиале МБОУ СОШ № 1 с. Новобелокатай ""Шакарлинская ООШ"" по адресу: 452588, РБ, Белокатайский район, с. Шакарла, ул. Советская, 54")</f>
        <v>Монтажные работы по установке системы видеонаблюдения в филиале МБОУ СОШ № 1 с. Новобелокатай "Шакарлинская ООШ" по адресу: 452588, РБ, Белокатайский район, с. Шакарла, ул. Советская, 54</v>
      </c>
      <c r="G449" s="22" t="s">
        <v>100</v>
      </c>
      <c r="H449" s="22" t="s">
        <v>872</v>
      </c>
      <c r="I449" s="26">
        <v>43741.526388888902</v>
      </c>
      <c r="J449" s="28" t="s">
        <v>52</v>
      </c>
      <c r="K449" s="28" t="s">
        <v>52</v>
      </c>
      <c r="L449" s="28" t="s">
        <v>52</v>
      </c>
      <c r="M449" s="28" t="s">
        <v>52</v>
      </c>
      <c r="N449" s="28" t="s">
        <v>52</v>
      </c>
    </row>
    <row r="450" spans="1:14" hidden="1" outlineLevel="1" x14ac:dyDescent="0.2">
      <c r="A450" s="23" t="str">
        <f t="shared" si="2"/>
        <v>МБОУ СОШ №1 С.НОВОБЕЛОКАТАЙ</v>
      </c>
      <c r="B450" s="24" t="s">
        <v>1046</v>
      </c>
      <c r="C450" s="25">
        <v>123017</v>
      </c>
      <c r="D450" s="22" t="s">
        <v>1050</v>
      </c>
      <c r="E450" s="22" t="s">
        <v>84</v>
      </c>
      <c r="F450" s="23" t="str">
        <f>HYPERLINK("https://www.spark-marketing.ru/Card/Lot/74144971", "Монтажные работы по установке системы видеонаблюдения в филиале МБОУ СОШ № 1 с. Новобелокатай ""Шакарлинская ООШ"" по адресу: 452588, РБ, Белокатайский район, с. Шакарла, ул. Советская, 54")</f>
        <v>Монтажные работы по установке системы видеонаблюдения в филиале МБОУ СОШ № 1 с. Новобелокатай "Шакарлинская ООШ" по адресу: 452588, РБ, Белокатайский район, с. Шакарла, ул. Советская, 54</v>
      </c>
      <c r="G450" s="22" t="s">
        <v>100</v>
      </c>
      <c r="H450" s="22" t="s">
        <v>872</v>
      </c>
      <c r="I450" s="26">
        <v>43741.526388888902</v>
      </c>
      <c r="J450" s="23" t="str">
        <f>HYPERLINK("https://www.spark-marketing.ru/Card/Person/6717015", "ООО ""СТРОЙ-АЛЬЯНС""")</f>
        <v>ООО "СТРОЙ-АЛЬЯНС"</v>
      </c>
      <c r="K450" s="24" t="s">
        <v>1048</v>
      </c>
      <c r="L450" s="28" t="s">
        <v>52</v>
      </c>
      <c r="M450" s="25">
        <v>85996.94</v>
      </c>
      <c r="N450" s="27">
        <v>0.3009345049871156</v>
      </c>
    </row>
    <row r="451" spans="1:14" ht="12.75" hidden="1" outlineLevel="1" x14ac:dyDescent="0.2">
      <c r="A451" s="23" t="str">
        <f t="shared" si="2"/>
        <v>МБОУ СОШ №1 С.НОВОБЕЛОКАТАЙ</v>
      </c>
      <c r="B451" s="24" t="s">
        <v>1046</v>
      </c>
      <c r="C451" s="25">
        <v>123017</v>
      </c>
      <c r="D451" s="22" t="s">
        <v>1050</v>
      </c>
      <c r="E451" s="22" t="s">
        <v>84</v>
      </c>
      <c r="F451" s="23" t="str">
        <f>HYPERLINK("https://www.spark-marketing.ru/Card/Lot/74144971", "Монтажные работы по установке системы видеонаблюдения в филиале МБОУ СОШ № 1 с. Новобелокатай ""Шакарлинская ООШ"" по адресу: 452588, РБ, Белокатайский район, с. Шакарла, ул. Советская, 54")</f>
        <v>Монтажные работы по установке системы видеонаблюдения в филиале МБОУ СОШ № 1 с. Новобелокатай "Шакарлинская ООШ" по адресу: 452588, РБ, Белокатайский район, с. Шакарла, ул. Советская, 54</v>
      </c>
      <c r="G451" s="22" t="s">
        <v>100</v>
      </c>
      <c r="H451" s="22" t="s">
        <v>872</v>
      </c>
      <c r="I451" s="26">
        <v>43741.526388888902</v>
      </c>
      <c r="J451" s="23" t="str">
        <f>HYPERLINK("https://www.spark-marketing.ru/Card/Person/4710247", "Яхин Марсель Маратович")</f>
        <v>Яхин Марсель Маратович</v>
      </c>
      <c r="K451" s="24" t="s">
        <v>1049</v>
      </c>
      <c r="L451" s="22" t="s">
        <v>10</v>
      </c>
      <c r="M451" s="25">
        <v>85381.85</v>
      </c>
      <c r="N451" s="27">
        <v>0.30593454563190453</v>
      </c>
    </row>
    <row r="452" spans="1:14" x14ac:dyDescent="0.15">
      <c r="A452" s="23" t="str">
        <f>HYPERLINK("https://www.spark-marketing.ru/Card/Person/4372556", "АДМИНИСТРАЦИЯ БАХЧИСАРАЙСКОГО РАЙОНА")</f>
        <v>АДМИНИСТРАЦИЯ БАХЧИСАРАЙСКОГО РАЙОНА</v>
      </c>
      <c r="B452" s="24" t="s">
        <v>1051</v>
      </c>
      <c r="C452" s="25">
        <v>334666.67</v>
      </c>
      <c r="D452" s="22" t="s">
        <v>1052</v>
      </c>
      <c r="E452" s="22" t="s">
        <v>208</v>
      </c>
      <c r="F452" s="23" t="str">
        <f>HYPERLINK("https://www.spark-marketing.ru/Card/Lot/74146207", "Приобретение и установка системы видеоконференции для нужд единой дежурно-диспетчерской службы   Администрации Бахчисарайского района Республики Крым")</f>
        <v>Приобретение и установка системы видеоконференции для нужд единой дежурно-диспетчерской службы   Администрации Бахчисарайского района Республики Крым</v>
      </c>
      <c r="G452" s="22" t="s">
        <v>1053</v>
      </c>
      <c r="H452" s="22" t="s">
        <v>1053</v>
      </c>
      <c r="I452" s="26">
        <v>43741.497222222199</v>
      </c>
      <c r="J452" s="28" t="s">
        <v>52</v>
      </c>
      <c r="K452" s="28" t="s">
        <v>52</v>
      </c>
      <c r="L452" s="28" t="s">
        <v>52</v>
      </c>
      <c r="M452" s="28" t="s">
        <v>52</v>
      </c>
      <c r="N452" s="28" t="s">
        <v>52</v>
      </c>
    </row>
    <row r="453" spans="1:14" x14ac:dyDescent="0.15">
      <c r="A453" s="23" t="str">
        <f>HYPERLINK("https://www.spark-marketing.ru/Card/Person/1079788", "МБУ ""ЧУЛКОВСКИЙ СДК""")</f>
        <v>МБУ "ЧУЛКОВСКИЙ СДК"</v>
      </c>
      <c r="B453" s="24" t="s">
        <v>1054</v>
      </c>
      <c r="C453" s="25">
        <v>398000</v>
      </c>
      <c r="D453" s="22" t="s">
        <v>1055</v>
      </c>
      <c r="E453" s="22" t="s">
        <v>84</v>
      </c>
      <c r="F453" s="23" t="str">
        <f>HYPERLINK("https://www.spark-marketing.ru/Card/Lot/74143987", "Выполнение работ по установке видеонаблюдения в зданиях МБУ ""Чулкоский СДК""")</f>
        <v>Выполнение работ по установке видеонаблюдения в зданиях МБУ "Чулкоский СДК"</v>
      </c>
      <c r="G453" s="22" t="s">
        <v>50</v>
      </c>
      <c r="H453" s="22" t="s">
        <v>1056</v>
      </c>
      <c r="I453" s="26">
        <v>43741.470833333296</v>
      </c>
      <c r="J453" s="28" t="s">
        <v>52</v>
      </c>
      <c r="K453" s="28" t="s">
        <v>52</v>
      </c>
      <c r="L453" s="28" t="s">
        <v>52</v>
      </c>
      <c r="M453" s="28" t="s">
        <v>52</v>
      </c>
      <c r="N453" s="28" t="s">
        <v>52</v>
      </c>
    </row>
    <row r="454" spans="1:14" ht="12.75" hidden="1" outlineLevel="1" x14ac:dyDescent="0.2">
      <c r="A454" s="23" t="str">
        <f>HYPERLINK("https://www.spark-marketing.ru/Card/Person/1079788", "МБУ ""ЧУЛКОВСКИЙ СДК""")</f>
        <v>МБУ "ЧУЛКОВСКИЙ СДК"</v>
      </c>
      <c r="B454" s="24" t="s">
        <v>1054</v>
      </c>
      <c r="C454" s="25">
        <v>398000</v>
      </c>
      <c r="D454" s="22" t="s">
        <v>1055</v>
      </c>
      <c r="E454" s="22" t="s">
        <v>84</v>
      </c>
      <c r="F454" s="23" t="str">
        <f>HYPERLINK("https://www.spark-marketing.ru/Card/Lot/74143987", "Выполнение работ по установке видеонаблюдения в зданиях МБУ ""Чулкоский СДК""")</f>
        <v>Выполнение работ по установке видеонаблюдения в зданиях МБУ "Чулкоский СДК"</v>
      </c>
      <c r="G454" s="22" t="s">
        <v>50</v>
      </c>
      <c r="H454" s="22" t="s">
        <v>1056</v>
      </c>
      <c r="I454" s="26">
        <v>43741.470833333296</v>
      </c>
      <c r="J454" s="23" t="str">
        <f>HYPERLINK("https://www.spark-marketing.ru/Card/Person/1274319", "ООО ""БЕЗОПАСНОСТЬ """)</f>
        <v>ООО "БЕЗОПАСНОСТЬ "</v>
      </c>
      <c r="K454" s="24" t="s">
        <v>1057</v>
      </c>
      <c r="L454" s="22" t="s">
        <v>10</v>
      </c>
      <c r="M454" s="25">
        <v>348000</v>
      </c>
      <c r="N454" s="27">
        <v>0.12562814070351758</v>
      </c>
    </row>
    <row r="455" spans="1:14" hidden="1" outlineLevel="1" x14ac:dyDescent="0.2">
      <c r="A455" s="23" t="str">
        <f>HYPERLINK("https://www.spark-marketing.ru/Card/Person/1079788", "МБУ ""ЧУЛКОВСКИЙ СДК""")</f>
        <v>МБУ "ЧУЛКОВСКИЙ СДК"</v>
      </c>
      <c r="B455" s="24" t="s">
        <v>1054</v>
      </c>
      <c r="C455" s="25">
        <v>398000</v>
      </c>
      <c r="D455" s="22" t="s">
        <v>1055</v>
      </c>
      <c r="E455" s="22" t="s">
        <v>84</v>
      </c>
      <c r="F455" s="23" t="str">
        <f>HYPERLINK("https://www.spark-marketing.ru/Card/Lot/74143987", "Выполнение работ по установке видеонаблюдения в зданиях МБУ ""Чулкоский СДК""")</f>
        <v>Выполнение работ по установке видеонаблюдения в зданиях МБУ "Чулкоский СДК"</v>
      </c>
      <c r="G455" s="22" t="s">
        <v>50</v>
      </c>
      <c r="H455" s="22" t="s">
        <v>1056</v>
      </c>
      <c r="I455" s="26">
        <v>43741.470833333296</v>
      </c>
      <c r="J455" s="23" t="str">
        <f>HYPERLINK("https://www.spark-marketing.ru/Card/Person/6720061", "ООО ""ФЕНИКС-СБ""")</f>
        <v>ООО "ФЕНИКС-СБ"</v>
      </c>
      <c r="K455" s="24" t="s">
        <v>1058</v>
      </c>
      <c r="L455" s="28" t="s">
        <v>52</v>
      </c>
      <c r="M455" s="25">
        <v>349900</v>
      </c>
      <c r="N455" s="27">
        <v>0.12085427135678392</v>
      </c>
    </row>
    <row r="456" spans="1:14" hidden="1" outlineLevel="1" x14ac:dyDescent="0.2">
      <c r="A456" s="23" t="str">
        <f>HYPERLINK("https://www.spark-marketing.ru/Card/Person/1079788", "МБУ ""ЧУЛКОВСКИЙ СДК""")</f>
        <v>МБУ "ЧУЛКОВСКИЙ СДК"</v>
      </c>
      <c r="B456" s="24" t="s">
        <v>1054</v>
      </c>
      <c r="C456" s="25">
        <v>398000</v>
      </c>
      <c r="D456" s="22" t="s">
        <v>1055</v>
      </c>
      <c r="E456" s="22" t="s">
        <v>84</v>
      </c>
      <c r="F456" s="23" t="str">
        <f>HYPERLINK("https://www.spark-marketing.ru/Card/Lot/74143987", "Выполнение работ по установке видеонаблюдения в зданиях МБУ ""Чулкоский СДК""")</f>
        <v>Выполнение работ по установке видеонаблюдения в зданиях МБУ "Чулкоский СДК"</v>
      </c>
      <c r="G456" s="22" t="s">
        <v>50</v>
      </c>
      <c r="H456" s="22" t="s">
        <v>1056</v>
      </c>
      <c r="I456" s="26">
        <v>43741.470833333296</v>
      </c>
      <c r="J456" s="23" t="str">
        <f>HYPERLINK("https://www.spark-marketing.ru/Card/Person/6179217", "Морозова Юлия Николаевна")</f>
        <v>Морозова Юлия Николаевна</v>
      </c>
      <c r="K456" s="24" t="s">
        <v>1059</v>
      </c>
      <c r="L456" s="28" t="s">
        <v>52</v>
      </c>
      <c r="M456" s="25">
        <v>377000</v>
      </c>
      <c r="N456" s="27">
        <v>5.2763819095477386E-2</v>
      </c>
    </row>
    <row r="457" spans="1:14" x14ac:dyDescent="0.15">
      <c r="A457" s="28" t="s">
        <v>52</v>
      </c>
      <c r="B457" s="28" t="s">
        <v>52</v>
      </c>
      <c r="C457" s="28" t="s">
        <v>52</v>
      </c>
      <c r="D457" s="22" t="s">
        <v>1060</v>
      </c>
      <c r="E457" s="22" t="s">
        <v>53</v>
      </c>
      <c r="F457" s="23" t="str">
        <f>HYPERLINK("https://www.spark-marketing.ru/Card/Lot/74142812", "Комплектующие для RVI в ассортименте (637 шт)")</f>
        <v>Комплектующие для RVI в ассортименте (637 шт)</v>
      </c>
      <c r="G457" s="22" t="s">
        <v>55</v>
      </c>
      <c r="H457" s="22" t="s">
        <v>55</v>
      </c>
      <c r="I457" s="26">
        <v>43741.468321759297</v>
      </c>
      <c r="J457" s="23" t="str">
        <f>HYPERLINK("https://www.spark-marketing.ru/Card/Person/35401", "ПАО МГТС")</f>
        <v>ПАО МГТС</v>
      </c>
      <c r="K457" s="24" t="s">
        <v>56</v>
      </c>
      <c r="L457" s="28" t="s">
        <v>52</v>
      </c>
      <c r="M457" s="25">
        <v>1003532</v>
      </c>
      <c r="N457" s="28" t="s">
        <v>52</v>
      </c>
    </row>
    <row r="458" spans="1:14" x14ac:dyDescent="0.15">
      <c r="A458" s="23" t="str">
        <f>HYPERLINK("https://www.spark-marketing.ru/Card/Person/759133", "МБОУ НШ ДС ""ЛЯЙСЯН"" Д.КИРИКЕЕВО")</f>
        <v>МБОУ НШ ДС "ЛЯЙСЯН" Д.КИРИКЕЕВО</v>
      </c>
      <c r="B458" s="24" t="s">
        <v>1061</v>
      </c>
      <c r="C458" s="25">
        <v>84202</v>
      </c>
      <c r="D458" s="22" t="s">
        <v>1062</v>
      </c>
      <c r="E458" s="22" t="s">
        <v>84</v>
      </c>
      <c r="F458" s="23" t="str">
        <f>HYPERLINK("https://www.spark-marketing.ru/Card/Lot/74139390", "Монтажные работы по установке видеонаблюдения в МБОУ НШ-ДС ""Ляйсян"" д. Кирикеево по адресу: 452586, РБ, Белокатайский район, д. Кирикеево, ул. Мусы Гареева, 2")</f>
        <v>Монтажные работы по установке видеонаблюдения в МБОУ НШ-ДС "Ляйсян" д. Кирикеево по адресу: 452586, РБ, Белокатайский район, д. Кирикеево, ул. Мусы Гареева, 2</v>
      </c>
      <c r="G458" s="22" t="s">
        <v>100</v>
      </c>
      <c r="H458" s="22" t="s">
        <v>872</v>
      </c>
      <c r="I458" s="26">
        <v>43741.438194444403</v>
      </c>
      <c r="J458" s="28" t="s">
        <v>52</v>
      </c>
      <c r="K458" s="28" t="s">
        <v>52</v>
      </c>
      <c r="L458" s="28" t="s">
        <v>52</v>
      </c>
      <c r="M458" s="28" t="s">
        <v>52</v>
      </c>
      <c r="N458" s="28" t="s">
        <v>52</v>
      </c>
    </row>
    <row r="459" spans="1:14" hidden="1" outlineLevel="1" x14ac:dyDescent="0.2">
      <c r="A459" s="23" t="str">
        <f>HYPERLINK("https://www.spark-marketing.ru/Card/Person/759133", "МБОУ НШ ДС ""ЛЯЙСЯН"" Д.КИРИКЕЕВО")</f>
        <v>МБОУ НШ ДС "ЛЯЙСЯН" Д.КИРИКЕЕВО</v>
      </c>
      <c r="B459" s="24" t="s">
        <v>1061</v>
      </c>
      <c r="C459" s="25">
        <v>84202</v>
      </c>
      <c r="D459" s="22" t="s">
        <v>1062</v>
      </c>
      <c r="E459" s="22" t="s">
        <v>84</v>
      </c>
      <c r="F459" s="23" t="str">
        <f>HYPERLINK("https://www.spark-marketing.ru/Card/Lot/74139390", "Монтажные работы по установке видеонаблюдения в МБОУ НШ-ДС ""Ляйсян"" д. Кирикеево по адресу: 452586, РБ, Белокатайский район, д. Кирикеево, ул. Мусы Гареева, 2")</f>
        <v>Монтажные работы по установке видеонаблюдения в МБОУ НШ-ДС "Ляйсян" д. Кирикеево по адресу: 452586, РБ, Белокатайский район, д. Кирикеево, ул. Мусы Гареева, 2</v>
      </c>
      <c r="G459" s="22" t="s">
        <v>100</v>
      </c>
      <c r="H459" s="22" t="s">
        <v>872</v>
      </c>
      <c r="I459" s="26">
        <v>43741.438194444403</v>
      </c>
      <c r="J459" s="23" t="str">
        <f>HYPERLINK("https://www.spark-marketing.ru/Card/Person/6717015", "ООО ""СТРОЙ-АЛЬЯНС""")</f>
        <v>ООО "СТРОЙ-АЛЬЯНС"</v>
      </c>
      <c r="K459" s="24" t="s">
        <v>1048</v>
      </c>
      <c r="L459" s="28" t="s">
        <v>52</v>
      </c>
      <c r="M459" s="25">
        <v>70052.929999999993</v>
      </c>
      <c r="N459" s="27">
        <v>0.16803722001852689</v>
      </c>
    </row>
    <row r="460" spans="1:14" ht="12.75" hidden="1" outlineLevel="1" x14ac:dyDescent="0.2">
      <c r="A460" s="23" t="str">
        <f>HYPERLINK("https://www.spark-marketing.ru/Card/Person/759133", "МБОУ НШ ДС ""ЛЯЙСЯН"" Д.КИРИКЕЕВО")</f>
        <v>МБОУ НШ ДС "ЛЯЙСЯН" Д.КИРИКЕЕВО</v>
      </c>
      <c r="B460" s="24" t="s">
        <v>1061</v>
      </c>
      <c r="C460" s="25">
        <v>84202</v>
      </c>
      <c r="D460" s="22" t="s">
        <v>1062</v>
      </c>
      <c r="E460" s="22" t="s">
        <v>84</v>
      </c>
      <c r="F460" s="23" t="str">
        <f>HYPERLINK("https://www.spark-marketing.ru/Card/Lot/74139390", "Монтажные работы по установке видеонаблюдения в МБОУ НШ-ДС ""Ляйсян"" д. Кирикеево по адресу: 452586, РБ, Белокатайский район, д. Кирикеево, ул. Мусы Гареева, 2")</f>
        <v>Монтажные работы по установке видеонаблюдения в МБОУ НШ-ДС "Ляйсян" д. Кирикеево по адресу: 452586, РБ, Белокатайский район, д. Кирикеево, ул. Мусы Гареева, 2</v>
      </c>
      <c r="G460" s="22" t="s">
        <v>100</v>
      </c>
      <c r="H460" s="22" t="s">
        <v>872</v>
      </c>
      <c r="I460" s="26">
        <v>43741.438194444403</v>
      </c>
      <c r="J460" s="23" t="str">
        <f>HYPERLINK("https://www.spark-marketing.ru/Card/Person/4710247", "Яхин Марсель Маратович")</f>
        <v>Яхин Марсель Маратович</v>
      </c>
      <c r="K460" s="24" t="s">
        <v>1049</v>
      </c>
      <c r="L460" s="22" t="s">
        <v>10</v>
      </c>
      <c r="M460" s="25">
        <v>69631.92</v>
      </c>
      <c r="N460" s="27">
        <v>0.17303722001852687</v>
      </c>
    </row>
    <row r="461" spans="1:14" hidden="1" outlineLevel="1" x14ac:dyDescent="0.2">
      <c r="A461" s="23" t="str">
        <f>HYPERLINK("https://www.spark-marketing.ru/Card/Person/759133", "МБОУ НШ ДС ""ЛЯЙСЯН"" Д.КИРИКЕЕВО")</f>
        <v>МБОУ НШ ДС "ЛЯЙСЯН" Д.КИРИКЕЕВО</v>
      </c>
      <c r="B461" s="24" t="s">
        <v>1061</v>
      </c>
      <c r="C461" s="25">
        <v>84202</v>
      </c>
      <c r="D461" s="22" t="s">
        <v>1062</v>
      </c>
      <c r="E461" s="22" t="s">
        <v>84</v>
      </c>
      <c r="F461" s="23" t="str">
        <f>HYPERLINK("https://www.spark-marketing.ru/Card/Lot/74139390", "Монтажные работы по установке видеонаблюдения в МБОУ НШ-ДС ""Ляйсян"" д. Кирикеево по адресу: 452586, РБ, Белокатайский район, д. Кирикеево, ул. Мусы Гареева, 2")</f>
        <v>Монтажные работы по установке видеонаблюдения в МБОУ НШ-ДС "Ляйсян" д. Кирикеево по адресу: 452586, РБ, Белокатайский район, д. Кирикеево, ул. Мусы Гареева, 2</v>
      </c>
      <c r="G461" s="22" t="s">
        <v>100</v>
      </c>
      <c r="H461" s="22" t="s">
        <v>872</v>
      </c>
      <c r="I461" s="26">
        <v>43741.438194444403</v>
      </c>
      <c r="J461" s="23" t="str">
        <f>HYPERLINK("https://www.spark-marketing.ru/Card/Person/5853123", "Ершов Андрей Алексеевич")</f>
        <v>Ершов Андрей Алексеевич</v>
      </c>
      <c r="K461" s="24" t="s">
        <v>1063</v>
      </c>
      <c r="L461" s="28" t="s">
        <v>52</v>
      </c>
      <c r="M461" s="25">
        <v>82938.67</v>
      </c>
      <c r="N461" s="27">
        <v>1.5003562860739649E-2</v>
      </c>
    </row>
    <row r="462" spans="1:14" x14ac:dyDescent="0.15">
      <c r="A462" s="23" t="str">
        <f>HYPERLINK("https://www.spark-marketing.ru/Card/Person/24511", "ФГБУЗ ДВОМЦ ФМБА РОССИИ")</f>
        <v>ФГБУЗ ДВОМЦ ФМБА РОССИИ</v>
      </c>
      <c r="B462" s="24" t="s">
        <v>660</v>
      </c>
      <c r="C462" s="25">
        <v>319824</v>
      </c>
      <c r="D462" s="22" t="s">
        <v>1064</v>
      </c>
      <c r="E462" s="22" t="s">
        <v>68</v>
      </c>
      <c r="F462" s="23" t="str">
        <f>HYPERLINK("https://www.spark-marketing.ru/Card/Lot/74139256", "Охрана объектов и экстренный вызов (оказание услуг по комплексному обслуживанию «экстренный вызов в случае личной или имущественной безопасности, охрана объекта с техническим обслуживанием технических средств охраны"")")</f>
        <v>Охрана объектов и экстренный вызов (оказание услуг по комплексному обслуживанию «экстренный вызов в случае личной или имущественной безопасности, охрана объекта с техническим обслуживанием технических средств охраны")</v>
      </c>
      <c r="G462" s="22" t="s">
        <v>230</v>
      </c>
      <c r="H462" s="22" t="s">
        <v>1065</v>
      </c>
      <c r="I462" s="26">
        <v>43741.605555555601</v>
      </c>
      <c r="J462" s="23" t="str">
        <f>HYPERLINK("https://www.spark-marketing.ru/Card/Person/351126", "ООО ""ОФ ""РОСБЕЗОПАСНОСТЬ""")</f>
        <v>ООО "ОФ "РОСБЕЗОПАСНОСТЬ"</v>
      </c>
      <c r="K462" s="24" t="s">
        <v>1066</v>
      </c>
      <c r="L462" s="28" t="s">
        <v>52</v>
      </c>
      <c r="M462" s="28" t="s">
        <v>52</v>
      </c>
      <c r="N462" s="28" t="s">
        <v>52</v>
      </c>
    </row>
    <row r="463" spans="1:14" x14ac:dyDescent="0.15">
      <c r="A463" s="23" t="str">
        <f>HYPERLINK("https://www.spark-marketing.ru/Card/Person/4513", "ГКУ СО ""УПРАВЛЕНИЕ АВТОДОРОГ""")</f>
        <v>ГКУ СО "УПРАВЛЕНИЕ АВТОДОРОГ"</v>
      </c>
      <c r="B463" s="24" t="s">
        <v>1067</v>
      </c>
      <c r="C463" s="25">
        <v>8082800</v>
      </c>
      <c r="D463" s="22" t="s">
        <v>1068</v>
      </c>
      <c r="E463" s="22" t="s">
        <v>68</v>
      </c>
      <c r="F463" s="23" t="str">
        <f>HYPERLINK("https://www.spark-marketing.ru/Card/Lot/74102941", "Выполнение работ, предусмотренных Распоряжением Правительства РФ №1653-р от ""05"" ноября 2009 года ""Об утверждении перечня работ, связанных с обеспечением транспортной безопасности"" по разработке планов обеспечения транспортной безопасности")</f>
        <v>Выполнение работ, предусмотренных Распоряжением Правительства РФ №1653-р от "05" ноября 2009 года "Об утверждении перечня работ, связанных с обеспечением транспортной безопасности" по разработке планов обеспечения транспортной безопасности</v>
      </c>
      <c r="G463" s="22" t="s">
        <v>72</v>
      </c>
      <c r="H463" s="22" t="s">
        <v>949</v>
      </c>
      <c r="I463" s="26">
        <v>43738.862500000003</v>
      </c>
      <c r="J463" s="28" t="s">
        <v>52</v>
      </c>
      <c r="K463" s="28" t="s">
        <v>52</v>
      </c>
      <c r="L463" s="28" t="s">
        <v>52</v>
      </c>
      <c r="M463" s="28" t="s">
        <v>52</v>
      </c>
      <c r="N463" s="28" t="s">
        <v>52</v>
      </c>
    </row>
    <row r="464" spans="1:14" x14ac:dyDescent="0.15">
      <c r="A464" s="23" t="str">
        <f>HYPERLINK("https://www.spark-marketing.ru/Card/Person/1004684", "МДОУ Д/С № 8")</f>
        <v>МДОУ Д/С № 8</v>
      </c>
      <c r="B464" s="24" t="s">
        <v>1069</v>
      </c>
      <c r="C464" s="25">
        <v>84903.78</v>
      </c>
      <c r="D464" s="22" t="s">
        <v>1070</v>
      </c>
      <c r="E464" s="22" t="s">
        <v>84</v>
      </c>
      <c r="F464" s="23" t="str">
        <f>HYPERLINK("https://www.spark-marketing.ru/Card/Lot/74135019", "Установка видеодомофона")</f>
        <v>Установка видеодомофона</v>
      </c>
      <c r="G464" s="22" t="s">
        <v>50</v>
      </c>
      <c r="H464" s="22" t="s">
        <v>104</v>
      </c>
      <c r="I464" s="26">
        <v>43741.127777777801</v>
      </c>
      <c r="J464" s="28" t="s">
        <v>52</v>
      </c>
      <c r="K464" s="28" t="s">
        <v>52</v>
      </c>
      <c r="L464" s="28" t="s">
        <v>52</v>
      </c>
      <c r="M464" s="28" t="s">
        <v>52</v>
      </c>
      <c r="N464" s="28" t="s">
        <v>52</v>
      </c>
    </row>
    <row r="465" spans="1:14" x14ac:dyDescent="0.15">
      <c r="A465" s="23" t="str">
        <f>HYPERLINK("https://www.spark-marketing.ru/Card/Person/147515", "АДМИНИСТРАЦИЯ ВЫСОКОГОРНЕНСКОГО ГОРОДСКОГО ПОСЕЛЕНИЯ ВАНИНСКОГО МУНИЦИПАЛЬНОГО РАЙОНА ХАБАРОВСКОГО КРАЯ")</f>
        <v>АДМИНИСТРАЦИЯ ВЫСОКОГОРНЕНСКОГО ГОРОДСКОГО ПОСЕЛЕНИЯ ВАНИНСКОГО МУНИЦИПАЛЬНОГО РАЙОНА ХАБАРОВСКОГО КРАЯ</v>
      </c>
      <c r="B465" s="24" t="s">
        <v>1071</v>
      </c>
      <c r="C465" s="25">
        <v>160000</v>
      </c>
      <c r="D465" s="22" t="s">
        <v>1072</v>
      </c>
      <c r="E465" s="22" t="s">
        <v>84</v>
      </c>
      <c r="F465" s="23" t="str">
        <f>HYPERLINK("https://www.spark-marketing.ru/Card/Lot/74135356", "Выполнение работ по  установке камер видеонаблюдения на территории детской площадки.")</f>
        <v>Выполнение работ по  установке камер видеонаблюдения на территории детской площадки.</v>
      </c>
      <c r="G465" s="22" t="s">
        <v>138</v>
      </c>
      <c r="H465" s="22" t="s">
        <v>138</v>
      </c>
      <c r="I465" s="26">
        <v>43741.420833333301</v>
      </c>
      <c r="J465" s="23" t="str">
        <f>HYPERLINK("https://www.spark-marketing.ru/Card/Person/6311656", "Пискунов Андрей Викторович")</f>
        <v>Пискунов Андрей Викторович</v>
      </c>
      <c r="K465" s="24" t="s">
        <v>1073</v>
      </c>
      <c r="L465" s="28" t="s">
        <v>52</v>
      </c>
      <c r="M465" s="28" t="s">
        <v>52</v>
      </c>
      <c r="N465" s="28" t="s">
        <v>52</v>
      </c>
    </row>
    <row r="466" spans="1:14" x14ac:dyDescent="0.15">
      <c r="A466" s="23" t="str">
        <f>HYPERLINK("https://www.spark-marketing.ru/Card/Person/4348528", "АО ИК ""АСЭ""")</f>
        <v>АО ИК "АСЭ"</v>
      </c>
      <c r="B466" s="24" t="s">
        <v>62</v>
      </c>
      <c r="C466" s="28" t="s">
        <v>52</v>
      </c>
      <c r="D466" s="22" t="s">
        <v>1074</v>
      </c>
      <c r="E466" s="22" t="s">
        <v>53</v>
      </c>
      <c r="F466" s="23" t="str">
        <f>HYPERLINK("https://www.spark-marketing.ru/Card/Lot/74157801", "оказание услуг по охране объектов АО ИК «АСЭ» (1356552)")</f>
        <v>оказание услуг по охране объектов АО ИК «АСЭ» (1356552)</v>
      </c>
      <c r="G466" s="22" t="s">
        <v>64</v>
      </c>
      <c r="H466" s="22" t="s">
        <v>65</v>
      </c>
      <c r="I466" s="26">
        <v>43741.761030092603</v>
      </c>
      <c r="J466" s="28" t="s">
        <v>52</v>
      </c>
      <c r="K466" s="28" t="s">
        <v>52</v>
      </c>
      <c r="L466" s="28" t="s">
        <v>52</v>
      </c>
      <c r="M466" s="28" t="s">
        <v>52</v>
      </c>
      <c r="N466" s="28" t="s">
        <v>52</v>
      </c>
    </row>
    <row r="467" spans="1:14" x14ac:dyDescent="0.15">
      <c r="A467" s="23" t="str">
        <f>HYPERLINK("https://www.spark-marketing.ru/Card/Person/103728", "ИБР РАН")</f>
        <v>ИБР РАН</v>
      </c>
      <c r="B467" s="24" t="s">
        <v>1075</v>
      </c>
      <c r="C467" s="25">
        <v>213333.33</v>
      </c>
      <c r="D467" s="22" t="s">
        <v>1076</v>
      </c>
      <c r="E467" s="22" t="s">
        <v>1077</v>
      </c>
      <c r="F467" s="23" t="str">
        <f>HYPERLINK("https://www.spark-marketing.ru/Card/Lot/74127247", "услуги, связанных с правовой охраной объектов интеллектуальной собственности")</f>
        <v>услуги, связанных с правовой охраной объектов интеллектуальной собственности</v>
      </c>
      <c r="G467" s="22" t="s">
        <v>55</v>
      </c>
      <c r="H467" s="22" t="s">
        <v>55</v>
      </c>
      <c r="I467" s="26">
        <v>43740</v>
      </c>
      <c r="J467" s="28" t="s">
        <v>52</v>
      </c>
      <c r="K467" s="28" t="s">
        <v>52</v>
      </c>
      <c r="L467" s="28" t="s">
        <v>52</v>
      </c>
      <c r="M467" s="28" t="s">
        <v>52</v>
      </c>
      <c r="N467" s="28" t="s">
        <v>52</v>
      </c>
    </row>
    <row r="468" spans="1:14" x14ac:dyDescent="0.15">
      <c r="A468" s="23" t="str">
        <f>HYPERLINK("https://www.spark-marketing.ru/Card/Person/4348584", "АО ""АТОМ-ОХРАНА""")</f>
        <v>АО "АТОМ-ОХРАНА"</v>
      </c>
      <c r="B468" s="24" t="s">
        <v>1036</v>
      </c>
      <c r="C468" s="28" t="s">
        <v>52</v>
      </c>
      <c r="D468" s="22" t="s">
        <v>1078</v>
      </c>
      <c r="E468" s="22" t="s">
        <v>53</v>
      </c>
      <c r="F468" s="23" t="str">
        <f>HYPERLINK("https://www.spark-marketing.ru/Card/Lot/74156241", "Оказание услуг по обслуживанию технических средств охраны, установленных на объектах отдельного отряда №121 МУВО № 1 АО ""Атом-охрана"" (1356396)")</f>
        <v>Оказание услуг по обслуживанию технических средств охраны, установленных на объектах отдельного отряда №121 МУВО № 1 АО "Атом-охрана" (1356396)</v>
      </c>
      <c r="G468" s="22" t="s">
        <v>55</v>
      </c>
      <c r="H468" s="22" t="s">
        <v>55</v>
      </c>
      <c r="I468" s="26">
        <v>43741.659317129597</v>
      </c>
      <c r="J468" s="28" t="s">
        <v>52</v>
      </c>
      <c r="K468" s="28" t="s">
        <v>52</v>
      </c>
      <c r="L468" s="28" t="s">
        <v>52</v>
      </c>
      <c r="M468" s="28" t="s">
        <v>52</v>
      </c>
      <c r="N468" s="28" t="s">
        <v>52</v>
      </c>
    </row>
    <row r="469" spans="1:14" x14ac:dyDescent="0.15">
      <c r="A469" s="23" t="str">
        <f>HYPERLINK("https://www.spark-marketing.ru/Card/Person/4348528", "АО ИК ""АСЭ""")</f>
        <v>АО ИК "АСЭ"</v>
      </c>
      <c r="B469" s="24" t="s">
        <v>62</v>
      </c>
      <c r="C469" s="28" t="s">
        <v>52</v>
      </c>
      <c r="D469" s="22" t="s">
        <v>1079</v>
      </c>
      <c r="E469" s="22" t="s">
        <v>53</v>
      </c>
      <c r="F469" s="23" t="str">
        <f>HYPERLINK("https://www.spark-marketing.ru/Card/Lot/74157807", "оказание услуг по охране объектов АО ИК «АСЭ» (1356563)")</f>
        <v>оказание услуг по охране объектов АО ИК «АСЭ» (1356563)</v>
      </c>
      <c r="G469" s="22" t="s">
        <v>64</v>
      </c>
      <c r="H469" s="22" t="s">
        <v>65</v>
      </c>
      <c r="I469" s="26">
        <v>43741.768842592603</v>
      </c>
      <c r="J469" s="28" t="s">
        <v>52</v>
      </c>
      <c r="K469" s="28" t="s">
        <v>52</v>
      </c>
      <c r="L469" s="28" t="s">
        <v>52</v>
      </c>
      <c r="M469" s="28" t="s">
        <v>52</v>
      </c>
      <c r="N469" s="28" t="s">
        <v>52</v>
      </c>
    </row>
    <row r="470" spans="1:14" x14ac:dyDescent="0.15">
      <c r="A470" s="23" t="str">
        <f>HYPERLINK("https://www.spark-marketing.ru/Card/Person/4348356", "АО ""ТРАНСНЕФТЬ - ПРИКАМЬЕ""")</f>
        <v>АО "ТРАНСНЕФТЬ - ПРИКАМЬЕ"</v>
      </c>
      <c r="B470" s="24" t="s">
        <v>1080</v>
      </c>
      <c r="C470" s="25">
        <v>4915769.28</v>
      </c>
      <c r="D470" s="22" t="s">
        <v>1081</v>
      </c>
      <c r="E470" s="22" t="s">
        <v>370</v>
      </c>
      <c r="F470" s="23" t="str">
        <f>HYPERLINK("https://www.spark-marketing.ru/Card/Lot/74156891", "1200-B05-К-Y03-00455-2020 «Техническое обслуживание технических средств охраны Пермского РНУ»")</f>
        <v>1200-B05-К-Y03-00455-2020 «Техническое обслуживание технических средств охраны Пермского РНУ»</v>
      </c>
      <c r="G470" s="22" t="s">
        <v>204</v>
      </c>
      <c r="H470" s="22" t="s">
        <v>303</v>
      </c>
      <c r="I470" s="26">
        <v>43741</v>
      </c>
      <c r="J470" s="28" t="s">
        <v>52</v>
      </c>
      <c r="K470" s="28" t="s">
        <v>52</v>
      </c>
      <c r="L470" s="28" t="s">
        <v>52</v>
      </c>
      <c r="M470" s="28" t="s">
        <v>52</v>
      </c>
      <c r="N470" s="28" t="s">
        <v>52</v>
      </c>
    </row>
    <row r="471" spans="1:14" x14ac:dyDescent="0.15">
      <c r="A471" s="23" t="str">
        <f>HYPERLINK("https://www.spark-marketing.ru/Card/Person/4348528", "АО ИК ""АСЭ""")</f>
        <v>АО ИК "АСЭ"</v>
      </c>
      <c r="B471" s="24" t="s">
        <v>62</v>
      </c>
      <c r="C471" s="28" t="s">
        <v>52</v>
      </c>
      <c r="D471" s="22" t="s">
        <v>1082</v>
      </c>
      <c r="E471" s="22" t="s">
        <v>53</v>
      </c>
      <c r="F471" s="23" t="str">
        <f>HYPERLINK("https://www.spark-marketing.ru/Card/Lot/74157811", "оказание услуг по охране объектов АО ИК «АСЭ» (1356568)")</f>
        <v>оказание услуг по охране объектов АО ИК «АСЭ» (1356568)</v>
      </c>
      <c r="G471" s="22" t="s">
        <v>64</v>
      </c>
      <c r="H471" s="22" t="s">
        <v>65</v>
      </c>
      <c r="I471" s="26">
        <v>43741.7737037037</v>
      </c>
      <c r="J471" s="28" t="s">
        <v>52</v>
      </c>
      <c r="K471" s="28" t="s">
        <v>52</v>
      </c>
      <c r="L471" s="28" t="s">
        <v>52</v>
      </c>
      <c r="M471" s="28" t="s">
        <v>52</v>
      </c>
      <c r="N471" s="28" t="s">
        <v>52</v>
      </c>
    </row>
    <row r="472" spans="1:14" x14ac:dyDescent="0.15">
      <c r="A472" s="23" t="str">
        <f>HYPERLINK("https://www.spark-marketing.ru/Card/Person/4348528", "АО ИК ""АСЭ""")</f>
        <v>АО ИК "АСЭ"</v>
      </c>
      <c r="B472" s="24" t="s">
        <v>62</v>
      </c>
      <c r="C472" s="28" t="s">
        <v>52</v>
      </c>
      <c r="D472" s="22" t="s">
        <v>1083</v>
      </c>
      <c r="E472" s="22" t="s">
        <v>53</v>
      </c>
      <c r="F472" s="23" t="str">
        <f>HYPERLINK("https://www.spark-marketing.ru/Card/Lot/74157809", "оказание услуг по охране объектов АО ИК «АСЭ» (1356566)")</f>
        <v>оказание услуг по охране объектов АО ИК «АСЭ» (1356566)</v>
      </c>
      <c r="G472" s="22" t="s">
        <v>64</v>
      </c>
      <c r="H472" s="22" t="s">
        <v>65</v>
      </c>
      <c r="I472" s="26">
        <v>43741.771469907399</v>
      </c>
      <c r="J472" s="28" t="s">
        <v>52</v>
      </c>
      <c r="K472" s="28" t="s">
        <v>52</v>
      </c>
      <c r="L472" s="28" t="s">
        <v>52</v>
      </c>
      <c r="M472" s="28" t="s">
        <v>52</v>
      </c>
      <c r="N472" s="28" t="s">
        <v>52</v>
      </c>
    </row>
    <row r="473" spans="1:14" x14ac:dyDescent="0.15">
      <c r="A473" s="23" t="str">
        <f>HYPERLINK("https://www.spark-marketing.ru/Card/Person/4348528", "АО ИК ""АСЭ""")</f>
        <v>АО ИК "АСЭ"</v>
      </c>
      <c r="B473" s="24" t="s">
        <v>62</v>
      </c>
      <c r="C473" s="28" t="s">
        <v>52</v>
      </c>
      <c r="D473" s="22" t="s">
        <v>1084</v>
      </c>
      <c r="E473" s="22" t="s">
        <v>53</v>
      </c>
      <c r="F473" s="23" t="str">
        <f>HYPERLINK("https://www.spark-marketing.ru/Card/Lot/74157805", "оказание услуг по охране объектов АО ИК «АСЭ» (1356559)")</f>
        <v>оказание услуг по охране объектов АО ИК «АСЭ» (1356559)</v>
      </c>
      <c r="G473" s="22" t="s">
        <v>64</v>
      </c>
      <c r="H473" s="22" t="s">
        <v>65</v>
      </c>
      <c r="I473" s="26">
        <v>43741.7664351852</v>
      </c>
      <c r="J473" s="28" t="s">
        <v>52</v>
      </c>
      <c r="K473" s="28" t="s">
        <v>52</v>
      </c>
      <c r="L473" s="28" t="s">
        <v>52</v>
      </c>
      <c r="M473" s="28" t="s">
        <v>52</v>
      </c>
      <c r="N473" s="28" t="s">
        <v>52</v>
      </c>
    </row>
    <row r="474" spans="1:14" x14ac:dyDescent="0.15">
      <c r="A474" s="23" t="str">
        <f>HYPERLINK("https://www.spark-marketing.ru/Card/Person/4348356", "АО ""ТРАНСНЕФТЬ - ПРИКАМЬЕ""")</f>
        <v>АО "ТРАНСНЕФТЬ - ПРИКАМЬЕ"</v>
      </c>
      <c r="B474" s="24" t="s">
        <v>1080</v>
      </c>
      <c r="C474" s="25">
        <v>2480731.34</v>
      </c>
      <c r="D474" s="22" t="s">
        <v>1085</v>
      </c>
      <c r="E474" s="22" t="s">
        <v>370</v>
      </c>
      <c r="F474" s="23" t="str">
        <f>HYPERLINK("https://www.spark-marketing.ru/Card/Lot/74156902", "1200-B05-К-Y03-00456-2020 «Техническое обслуживание технических средств охраны Казанского РНУ»")</f>
        <v>1200-B05-К-Y03-00456-2020 «Техническое обслуживание технических средств охраны Казанского РНУ»</v>
      </c>
      <c r="G474" s="22" t="s">
        <v>204</v>
      </c>
      <c r="H474" s="22" t="s">
        <v>303</v>
      </c>
      <c r="I474" s="26">
        <v>43741</v>
      </c>
      <c r="J474" s="28" t="s">
        <v>52</v>
      </c>
      <c r="K474" s="28" t="s">
        <v>52</v>
      </c>
      <c r="L474" s="28" t="s">
        <v>52</v>
      </c>
      <c r="M474" s="28" t="s">
        <v>52</v>
      </c>
      <c r="N474" s="28" t="s">
        <v>52</v>
      </c>
    </row>
    <row r="475" spans="1:14" x14ac:dyDescent="0.15">
      <c r="A475" s="23" t="str">
        <f>HYPERLINK("https://www.spark-marketing.ru/Card/Person/4348356", "АО ""ТРАНСНЕФТЬ - ПРИКАМЬЕ""")</f>
        <v>АО "ТРАНСНЕФТЬ - ПРИКАМЬЕ"</v>
      </c>
      <c r="B475" s="24" t="s">
        <v>1080</v>
      </c>
      <c r="C475" s="25">
        <v>1786112.3</v>
      </c>
      <c r="D475" s="22" t="s">
        <v>1086</v>
      </c>
      <c r="E475" s="22" t="s">
        <v>370</v>
      </c>
      <c r="F475" s="23" t="str">
        <f>HYPERLINK("https://www.spark-marketing.ru/Card/Lot/74156842", "1200-B05-К-Y03-00454-2020 «Техническое обслуживание технических средств охраны площадных объектов и сооружений линейной части МНПП»")</f>
        <v>1200-B05-К-Y03-00454-2020 «Техническое обслуживание технических средств охраны площадных объектов и сооружений линейной части МНПП»</v>
      </c>
      <c r="G475" s="22" t="s">
        <v>204</v>
      </c>
      <c r="H475" s="22" t="s">
        <v>303</v>
      </c>
      <c r="I475" s="26">
        <v>43741</v>
      </c>
      <c r="J475" s="28" t="s">
        <v>52</v>
      </c>
      <c r="K475" s="28" t="s">
        <v>52</v>
      </c>
      <c r="L475" s="28" t="s">
        <v>52</v>
      </c>
      <c r="M475" s="28" t="s">
        <v>52</v>
      </c>
      <c r="N475" s="28" t="s">
        <v>52</v>
      </c>
    </row>
    <row r="476" spans="1:14" x14ac:dyDescent="0.15">
      <c r="A476" s="23" t="str">
        <f>HYPERLINK("https://www.spark-marketing.ru/Card/Person/4348356", "АО ""ТРАНСНЕФТЬ - ПРИКАМЬЕ""")</f>
        <v>АО "ТРАНСНЕФТЬ - ПРИКАМЬЕ"</v>
      </c>
      <c r="B476" s="24" t="s">
        <v>1080</v>
      </c>
      <c r="C476" s="25">
        <v>2600461.33</v>
      </c>
      <c r="D476" s="22" t="s">
        <v>1087</v>
      </c>
      <c r="E476" s="22" t="s">
        <v>370</v>
      </c>
      <c r="F476" s="23" t="str">
        <f>HYPERLINK("https://www.spark-marketing.ru/Card/Lot/74156901", "1200-B05-К-Y03-00457-2020 «Техническое обслуживание технических средств охраны Альметьевского РНУ»")</f>
        <v>1200-B05-К-Y03-00457-2020 «Техническое обслуживание технических средств охраны Альметьевского РНУ»</v>
      </c>
      <c r="G476" s="22" t="s">
        <v>204</v>
      </c>
      <c r="H476" s="22" t="s">
        <v>303</v>
      </c>
      <c r="I476" s="26">
        <v>43741</v>
      </c>
      <c r="J476" s="28" t="s">
        <v>52</v>
      </c>
      <c r="K476" s="28" t="s">
        <v>52</v>
      </c>
      <c r="L476" s="28" t="s">
        <v>52</v>
      </c>
      <c r="M476" s="28" t="s">
        <v>52</v>
      </c>
      <c r="N476" s="28" t="s">
        <v>52</v>
      </c>
    </row>
    <row r="477" spans="1:14" x14ac:dyDescent="0.15">
      <c r="A477" s="23" t="str">
        <f>HYPERLINK("https://www.spark-marketing.ru/Card/Person/1781189", "ПАО ""ВЫСОЧАЙШИЙ""")</f>
        <v>ПАО "ВЫСОЧАЙШИЙ"</v>
      </c>
      <c r="B477" s="24" t="s">
        <v>784</v>
      </c>
      <c r="C477" s="25">
        <v>0</v>
      </c>
      <c r="D477" s="22" t="s">
        <v>1088</v>
      </c>
      <c r="E477" s="22" t="s">
        <v>218</v>
      </c>
      <c r="F477" s="23" t="str">
        <f>HYPERLINK("https://www.spark-marketing.ru/Card/Lot/74141841", "Строго в соответствии с ТЗ")</f>
        <v>Строго в соответствии с ТЗ</v>
      </c>
      <c r="G477" s="22" t="s">
        <v>281</v>
      </c>
      <c r="H477" s="22" t="s">
        <v>915</v>
      </c>
      <c r="I477" s="26">
        <v>43741.369988425897</v>
      </c>
      <c r="J477" s="28" t="s">
        <v>52</v>
      </c>
      <c r="K477" s="28" t="s">
        <v>52</v>
      </c>
      <c r="L477" s="28" t="s">
        <v>52</v>
      </c>
      <c r="M477" s="28" t="s">
        <v>52</v>
      </c>
      <c r="N477" s="28" t="s">
        <v>52</v>
      </c>
    </row>
    <row r="478" spans="1:14" x14ac:dyDescent="0.15">
      <c r="A478" s="23" t="str">
        <f>HYPERLINK("https://www.spark-marketing.ru/Card/Person/1022647", "ГБСУСОССЗН ""СПЕЦИАЛЬНЫЙ ДОМ-ИНТЕРНАТ ДЛЯ ПРЕСТАРЕЛЫХ И ИНВАЛИДОВ""")</f>
        <v>ГБСУСОССЗН "СПЕЦИАЛЬНЫЙ ДОМ-ИНТЕРНАТ ДЛЯ ПРЕСТАРЕЛЫХ И ИНВАЛИДОВ"</v>
      </c>
      <c r="B478" s="24" t="s">
        <v>1089</v>
      </c>
      <c r="C478" s="25">
        <v>48000</v>
      </c>
      <c r="D478" s="22" t="s">
        <v>1090</v>
      </c>
      <c r="E478" s="22" t="s">
        <v>867</v>
      </c>
      <c r="F478" s="23" t="str">
        <f>HYPERLINK("https://www.spark-marketing.ru/Card/Lot/74127665", "Техническое обслуживание системы видеонаблюдения")</f>
        <v>Техническое обслуживание системы видеонаблюдения</v>
      </c>
      <c r="G478" s="22" t="s">
        <v>176</v>
      </c>
      <c r="H478" s="22" t="s">
        <v>176</v>
      </c>
      <c r="I478" s="26">
        <v>43740</v>
      </c>
      <c r="J478" s="28" t="s">
        <v>52</v>
      </c>
      <c r="K478" s="28" t="s">
        <v>52</v>
      </c>
      <c r="L478" s="28" t="s">
        <v>52</v>
      </c>
      <c r="M478" s="28" t="s">
        <v>52</v>
      </c>
      <c r="N478" s="28" t="s">
        <v>52</v>
      </c>
    </row>
    <row r="479" spans="1:14" x14ac:dyDescent="0.15">
      <c r="A479" s="23" t="str">
        <f>HYPERLINK("https://www.spark-marketing.ru/Card/Person/997451", "МУК МВК ""ВОЛОКОЛАМСКИЙ КРЕМЛЬ""")</f>
        <v>МУК МВК "ВОЛОКОЛАМСКИЙ КРЕМЛЬ"</v>
      </c>
      <c r="B479" s="24" t="s">
        <v>1091</v>
      </c>
      <c r="C479" s="25">
        <v>57333.33</v>
      </c>
      <c r="D479" s="22" t="s">
        <v>1092</v>
      </c>
      <c r="E479" s="22" t="s">
        <v>175</v>
      </c>
      <c r="F479" s="23" t="str">
        <f>HYPERLINK("https://www.spark-marketing.ru/Card/Lot/74127645", "Техническое обслуживание систем видеонаблюдения")</f>
        <v>Техническое обслуживание систем видеонаблюдения</v>
      </c>
      <c r="G479" s="22" t="s">
        <v>50</v>
      </c>
      <c r="H479" s="22" t="s">
        <v>50</v>
      </c>
      <c r="I479" s="26">
        <v>43740</v>
      </c>
      <c r="J479" s="28" t="s">
        <v>52</v>
      </c>
      <c r="K479" s="28" t="s">
        <v>52</v>
      </c>
      <c r="L479" s="28" t="s">
        <v>52</v>
      </c>
      <c r="M479" s="28" t="s">
        <v>52</v>
      </c>
      <c r="N479" s="28" t="s">
        <v>52</v>
      </c>
    </row>
    <row r="480" spans="1:14" x14ac:dyDescent="0.15">
      <c r="A480" s="23" t="str">
        <f>HYPERLINK("https://www.spark-marketing.ru/Card/Person/4348483", "ПАО ""МРСК ЦЕНТРА""")</f>
        <v>ПАО "МРСК ЦЕНТРА"</v>
      </c>
      <c r="B480" s="24" t="s">
        <v>928</v>
      </c>
      <c r="C480" s="25">
        <v>6268.8</v>
      </c>
      <c r="D480" s="22" t="s">
        <v>1093</v>
      </c>
      <c r="E480" s="22" t="s">
        <v>53</v>
      </c>
      <c r="F480" s="23" t="str">
        <f>HYPERLINK("https://www.spark-marketing.ru/Card/Lot/74158278", "Предоставление комплекса услуг по техническому обслуживанию, планово-предупредительным и ремонтно-восстановительным работам средств охранной сигнализации, охранного видеонаблюдения и контроля доступа в 2018-2021 годах.")</f>
        <v>Предоставление комплекса услуг по техническому обслуживанию, планово-предупредительным и ремонтно-восстановительным работам средств охранной сигнализации, охранного видеонаблюдения и контроля доступа в 2018-2021 годах.</v>
      </c>
      <c r="G480" s="22" t="s">
        <v>155</v>
      </c>
      <c r="H480" s="22" t="s">
        <v>155</v>
      </c>
      <c r="I480" s="26">
        <v>43741</v>
      </c>
      <c r="J480" s="28" t="s">
        <v>52</v>
      </c>
      <c r="K480" s="28" t="s">
        <v>52</v>
      </c>
      <c r="L480" s="28" t="s">
        <v>52</v>
      </c>
      <c r="M480" s="28" t="s">
        <v>52</v>
      </c>
      <c r="N480" s="28" t="s">
        <v>52</v>
      </c>
    </row>
    <row r="481" spans="1:14" x14ac:dyDescent="0.15">
      <c r="A481" s="23" t="str">
        <f>HYPERLINK("https://www.spark-marketing.ru/Card/Person/4348528", "АО ИК ""АСЭ""")</f>
        <v>АО ИК "АСЭ"</v>
      </c>
      <c r="B481" s="24" t="s">
        <v>62</v>
      </c>
      <c r="C481" s="28" t="s">
        <v>52</v>
      </c>
      <c r="D481" s="22" t="s">
        <v>1094</v>
      </c>
      <c r="E481" s="22" t="s">
        <v>53</v>
      </c>
      <c r="F481" s="23" t="str">
        <f>HYPERLINK("https://www.spark-marketing.ru/Card/Lot/74156256", "оказание услуг по охране объектов АО ИК «АСЭ» (1356409)")</f>
        <v>оказание услуг по охране объектов АО ИК «АСЭ» (1356409)</v>
      </c>
      <c r="G481" s="22" t="s">
        <v>64</v>
      </c>
      <c r="H481" s="22" t="s">
        <v>65</v>
      </c>
      <c r="I481" s="26">
        <v>43741.665671296301</v>
      </c>
      <c r="J481" s="28" t="s">
        <v>52</v>
      </c>
      <c r="K481" s="28" t="s">
        <v>52</v>
      </c>
      <c r="L481" s="28" t="s">
        <v>52</v>
      </c>
      <c r="M481" s="28" t="s">
        <v>52</v>
      </c>
      <c r="N481" s="28" t="s">
        <v>52</v>
      </c>
    </row>
    <row r="482" spans="1:14" x14ac:dyDescent="0.15">
      <c r="A482" s="23" t="str">
        <f>HYPERLINK("https://www.spark-marketing.ru/Card/Person/4348528", "АО ИК ""АСЭ""")</f>
        <v>АО ИК "АСЭ"</v>
      </c>
      <c r="B482" s="24" t="s">
        <v>62</v>
      </c>
      <c r="C482" s="28" t="s">
        <v>52</v>
      </c>
      <c r="D482" s="22" t="s">
        <v>1095</v>
      </c>
      <c r="E482" s="22" t="s">
        <v>53</v>
      </c>
      <c r="F482" s="23" t="str">
        <f>HYPERLINK("https://www.spark-marketing.ru/Card/Lot/74156300", "оказание услуг по охране объектов АО ИК «АСЭ» (1356434)")</f>
        <v>оказание услуг по охране объектов АО ИК «АСЭ» (1356434)</v>
      </c>
      <c r="G482" s="22" t="s">
        <v>64</v>
      </c>
      <c r="H482" s="22" t="s">
        <v>65</v>
      </c>
      <c r="I482" s="26">
        <v>43741.677546296298</v>
      </c>
      <c r="J482" s="28" t="s">
        <v>52</v>
      </c>
      <c r="K482" s="28" t="s">
        <v>52</v>
      </c>
      <c r="L482" s="28" t="s">
        <v>52</v>
      </c>
      <c r="M482" s="28" t="s">
        <v>52</v>
      </c>
      <c r="N482" s="28" t="s">
        <v>52</v>
      </c>
    </row>
    <row r="483" spans="1:14" x14ac:dyDescent="0.15">
      <c r="A483" s="23" t="str">
        <f>HYPERLINK("https://www.spark-marketing.ru/Card/Person/89881", "МБДОУ Д/С № 4")</f>
        <v>МБДОУ Д/С № 4</v>
      </c>
      <c r="B483" s="24" t="s">
        <v>1096</v>
      </c>
      <c r="C483" s="25">
        <v>68000</v>
      </c>
      <c r="D483" s="22" t="s">
        <v>1097</v>
      </c>
      <c r="E483" s="22" t="s">
        <v>508</v>
      </c>
      <c r="F483" s="23" t="str">
        <f>HYPERLINK("https://www.spark-marketing.ru/Card/Lot/74131179", "Покупка и установка системы РСПИ ""Стрелец-Мониторинг""")</f>
        <v>Покупка и установка системы РСПИ "Стрелец-Мониторинг"</v>
      </c>
      <c r="G483" s="22" t="s">
        <v>50</v>
      </c>
      <c r="H483" s="22" t="s">
        <v>267</v>
      </c>
      <c r="I483" s="26">
        <v>43740.825636574104</v>
      </c>
      <c r="J483" s="28" t="s">
        <v>52</v>
      </c>
      <c r="K483" s="28" t="s">
        <v>52</v>
      </c>
      <c r="L483" s="28" t="s">
        <v>52</v>
      </c>
      <c r="M483" s="28" t="s">
        <v>52</v>
      </c>
      <c r="N483" s="28" t="s">
        <v>52</v>
      </c>
    </row>
    <row r="484" spans="1:14" x14ac:dyDescent="0.15">
      <c r="A484" s="23" t="str">
        <f>HYPERLINK("https://www.spark-marketing.ru/Card/Person/12631", "ТЕРРИТОРИАЛЬНОЕ УПРАВЛЕНИЕ БАРВИХИНСКОЕ")</f>
        <v>ТЕРРИТОРИАЛЬНОЕ УПРАВЛЕНИЕ БАРВИХИНСКОЕ</v>
      </c>
      <c r="B484" s="24" t="s">
        <v>1098</v>
      </c>
      <c r="C484" s="25">
        <v>11235457.460000001</v>
      </c>
      <c r="D484" s="22" t="s">
        <v>1099</v>
      </c>
      <c r="E484" s="22" t="s">
        <v>103</v>
      </c>
      <c r="F484" s="23" t="str">
        <f>HYPERLINK("https://www.spark-marketing.ru/Card/Lot/74134472", "Закупка в 2019 году услуг по техническому обслуживанию системы видеонаблюдения и предоставлению видеоизображения и каналов связи для системы технологического обеспечения региональной общественной безопасности и оперативного управления «Безопасный рег...")</f>
        <v>Закупка в 2019 году услуг по техническому обслуживанию системы видеонаблюдения и предоставлению видеоизображения и каналов связи для системы технологического обеспечения региональной общественной безопасности и оперативного управления «Безопасный рег...</v>
      </c>
      <c r="G484" s="22" t="s">
        <v>50</v>
      </c>
      <c r="H484" s="22" t="s">
        <v>1045</v>
      </c>
      <c r="I484" s="26">
        <v>43740.717361111099</v>
      </c>
      <c r="J484" s="28" t="s">
        <v>52</v>
      </c>
      <c r="K484" s="28" t="s">
        <v>52</v>
      </c>
      <c r="L484" s="28" t="s">
        <v>52</v>
      </c>
      <c r="M484" s="28" t="s">
        <v>52</v>
      </c>
      <c r="N484" s="28" t="s">
        <v>52</v>
      </c>
    </row>
    <row r="485" spans="1:14" hidden="1" outlineLevel="1" x14ac:dyDescent="0.2">
      <c r="A485" s="23" t="str">
        <f>HYPERLINK("https://www.spark-marketing.ru/Card/Person/12631", "ТЕРРИТОРИАЛЬНОЕ УПРАВЛЕНИЕ БАРВИХИНСКОЕ")</f>
        <v>ТЕРРИТОРИАЛЬНОЕ УПРАВЛЕНИЕ БАРВИХИНСКОЕ</v>
      </c>
      <c r="B485" s="24" t="s">
        <v>1098</v>
      </c>
      <c r="C485" s="25">
        <v>11235457.460000001</v>
      </c>
      <c r="D485" s="22" t="s">
        <v>1099</v>
      </c>
      <c r="E485" s="22" t="s">
        <v>103</v>
      </c>
      <c r="F485" s="23" t="str">
        <f>HYPERLINK("https://www.spark-marketing.ru/Card/Lot/74134472", "Закупка в 2019 году услуг по техническому обслуживанию системы видеонаблюдения и предоставлению видеоизображения и каналов связи для системы технологического обеспечения региональной общественной безопасности и оперативного управления «Безопасный рег...")</f>
        <v>Закупка в 2019 году услуг по техническому обслуживанию системы видеонаблюдения и предоставлению видеоизображения и каналов связи для системы технологического обеспечения региональной общественной безопасности и оперативного управления «Безопасный рег...</v>
      </c>
      <c r="G485" s="22" t="s">
        <v>50</v>
      </c>
      <c r="H485" s="22" t="s">
        <v>1045</v>
      </c>
      <c r="I485" s="26">
        <v>43740.717361111099</v>
      </c>
      <c r="J485" s="23" t="str">
        <f>HYPERLINK("https://www.spark-marketing.ru/Card/Person/65671", "АО ""ТРК ""ОДИНЦОВО""")</f>
        <v>АО "ТРК "ОДИНЦОВО"</v>
      </c>
      <c r="K485" s="24" t="s">
        <v>1100</v>
      </c>
      <c r="L485" s="28" t="s">
        <v>52</v>
      </c>
      <c r="M485" s="25">
        <v>11179280.17</v>
      </c>
      <c r="N485" s="27">
        <v>5.0000002403106421E-3</v>
      </c>
    </row>
    <row r="486" spans="1:14" ht="12.75" hidden="1" outlineLevel="1" x14ac:dyDescent="0.2">
      <c r="A486" s="23" t="str">
        <f>HYPERLINK("https://www.spark-marketing.ru/Card/Person/12631", "ТЕРРИТОРИАЛЬНОЕ УПРАВЛЕНИЕ БАРВИХИНСКОЕ")</f>
        <v>ТЕРРИТОРИАЛЬНОЕ УПРАВЛЕНИЕ БАРВИХИНСКОЕ</v>
      </c>
      <c r="B486" s="24" t="s">
        <v>1098</v>
      </c>
      <c r="C486" s="25">
        <v>11235457.460000001</v>
      </c>
      <c r="D486" s="22" t="s">
        <v>1099</v>
      </c>
      <c r="E486" s="22" t="s">
        <v>103</v>
      </c>
      <c r="F486" s="23" t="str">
        <f>HYPERLINK("https://www.spark-marketing.ru/Card/Lot/74134472", "Закупка в 2019 году услуг по техническому обслуживанию системы видеонаблюдения и предоставлению видеоизображения и каналов связи для системы технологического обеспечения региональной общественной безопасности и оперативного управления «Безопасный рег...")</f>
        <v>Закупка в 2019 году услуг по техническому обслуживанию системы видеонаблюдения и предоставлению видеоизображения и каналов связи для системы технологического обеспечения региональной общественной безопасности и оперативного управления «Безопасный рег...</v>
      </c>
      <c r="G486" s="22" t="s">
        <v>50</v>
      </c>
      <c r="H486" s="22" t="s">
        <v>1045</v>
      </c>
      <c r="I486" s="26">
        <v>43740.717361111099</v>
      </c>
      <c r="J486" s="23" t="str">
        <f>HYPERLINK("https://www.spark-marketing.ru/Card/Person/4362821", "ООО ""КУБ-ТЕЛЕКОМ""")</f>
        <v>ООО "КУБ-ТЕЛЕКОМ"</v>
      </c>
      <c r="K486" s="24" t="s">
        <v>1101</v>
      </c>
      <c r="L486" s="22" t="s">
        <v>10</v>
      </c>
      <c r="M486" s="25">
        <v>11123102.880000001</v>
      </c>
      <c r="N486" s="27">
        <v>1.0000000480621284E-2</v>
      </c>
    </row>
    <row r="487" spans="1:14" x14ac:dyDescent="0.15">
      <c r="A487" s="23" t="str">
        <f>HYPERLINK("https://www.spark-marketing.ru/Card/Person/139775", "УПРАВЛЕНИЕ РОСКОМНАДЗОРА ПО КОСТРОМСКОЙ ОБЛАСТИ")</f>
        <v>УПРАВЛЕНИЕ РОСКОМНАДЗОРА ПО КОСТРОМСКОЙ ОБЛАСТИ</v>
      </c>
      <c r="B487" s="24" t="s">
        <v>1102</v>
      </c>
      <c r="C487" s="25">
        <v>115146.96</v>
      </c>
      <c r="D487" s="22" t="s">
        <v>1103</v>
      </c>
      <c r="E487" s="22" t="s">
        <v>53</v>
      </c>
      <c r="F487" s="23" t="str">
        <f>HYPERLINK("https://www.spark-marketing.ru/Card/Lot/74128128", "услуги по физической охране объектов")</f>
        <v>услуги по физической охране объектов</v>
      </c>
      <c r="G487" s="22" t="s">
        <v>1104</v>
      </c>
      <c r="H487" s="22" t="s">
        <v>1105</v>
      </c>
      <c r="I487" s="26">
        <v>43740.713900463001</v>
      </c>
      <c r="J487" s="28" t="s">
        <v>52</v>
      </c>
      <c r="K487" s="28" t="s">
        <v>52</v>
      </c>
      <c r="L487" s="28" t="s">
        <v>52</v>
      </c>
      <c r="M487" s="28" t="s">
        <v>52</v>
      </c>
      <c r="N487" s="28" t="s">
        <v>52</v>
      </c>
    </row>
    <row r="488" spans="1:14" x14ac:dyDescent="0.15">
      <c r="A488" s="23" t="str">
        <f>HYPERLINK("https://www.spark-marketing.ru/Card/Person/4778177", "ООО ""ТМК ""ЗАЩИТА""")</f>
        <v>ООО "ТМК "ЗАЩИТА"</v>
      </c>
      <c r="B488" s="24" t="s">
        <v>1106</v>
      </c>
      <c r="C488" s="25">
        <v>0</v>
      </c>
      <c r="D488" s="22" t="s">
        <v>1107</v>
      </c>
      <c r="E488" s="22" t="s">
        <v>53</v>
      </c>
      <c r="F488" s="23" t="str">
        <f>HYPERLINK("https://www.spark-marketing.ru/Card/Lot/74136662", "Автоматический выключатель модульный двухполюсный, 1Р+N c УЗО 30мА 220В 50Гц Iн=16А, Im.p.=16А, Iэм.р.=(5-10) хар-ка С с независимым расцепителем 220В 50Гц и контактом сигнализации положения ""вкл-окл"" 1НО")</f>
        <v>Автоматический выключатель модульный двухполюсный, 1Р+N c УЗО 30мА 220В 50Гц Iн=16А, Im.p.=16А, Iэм.р.=(5-10) хар-ка С с независимым расцепителем 220В 50Гц и контактом сигнализации положения "вкл-окл" 1НО</v>
      </c>
      <c r="G488" s="22" t="s">
        <v>204</v>
      </c>
      <c r="H488" s="22" t="s">
        <v>303</v>
      </c>
      <c r="I488" s="26">
        <v>43740.699212963002</v>
      </c>
      <c r="J488" s="28" t="s">
        <v>52</v>
      </c>
      <c r="K488" s="28" t="s">
        <v>52</v>
      </c>
      <c r="L488" s="28" t="s">
        <v>52</v>
      </c>
      <c r="M488" s="28" t="s">
        <v>52</v>
      </c>
      <c r="N488" s="28" t="s">
        <v>52</v>
      </c>
    </row>
    <row r="489" spans="1:14" x14ac:dyDescent="0.15">
      <c r="A489" s="23" t="str">
        <f t="shared" ref="A489:A496" si="3">HYPERLINK("https://www.spark-marketing.ru/Card/Person/4345940", "ПАО ""АК БАРС"" БАНК")</f>
        <v>ПАО "АК БАРС" БАНК</v>
      </c>
      <c r="B489" s="24" t="s">
        <v>1108</v>
      </c>
      <c r="C489" s="25">
        <v>0</v>
      </c>
      <c r="D489" s="22" t="s">
        <v>1109</v>
      </c>
      <c r="E489" s="22" t="s">
        <v>53</v>
      </c>
      <c r="F489" s="23" t="str">
        <f>HYPERLINK("https://www.spark-marketing.ru/Card/Lot/74136555", "Плановое Техническое обслуживание комплекса 1 (один) раз в год: - общее тестирование работоспособности отображения видео и графической информации.")</f>
        <v>Плановое Техническое обслуживание комплекса 1 (один) раз в год: - общее тестирование работоспособности отображения видео и графической информации.</v>
      </c>
      <c r="G489" s="22" t="s">
        <v>204</v>
      </c>
      <c r="H489" s="22" t="s">
        <v>303</v>
      </c>
      <c r="I489" s="26">
        <v>43740.705277777801</v>
      </c>
      <c r="J489" s="28" t="s">
        <v>52</v>
      </c>
      <c r="K489" s="28" t="s">
        <v>52</v>
      </c>
      <c r="L489" s="28" t="s">
        <v>52</v>
      </c>
      <c r="M489" s="28" t="s">
        <v>52</v>
      </c>
      <c r="N489" s="28" t="s">
        <v>52</v>
      </c>
    </row>
    <row r="490" spans="1:14" x14ac:dyDescent="0.15">
      <c r="A490" s="23" t="str">
        <f t="shared" si="3"/>
        <v>ПАО "АК БАРС" БАНК</v>
      </c>
      <c r="B490" s="24" t="s">
        <v>1108</v>
      </c>
      <c r="C490" s="25">
        <v>0</v>
      </c>
      <c r="D490" s="22" t="s">
        <v>1109</v>
      </c>
      <c r="E490" s="22" t="s">
        <v>53</v>
      </c>
      <c r="F490" s="23" t="str">
        <f>HYPERLINK("https://www.spark-marketing.ru/Card/Lot/74136517", "Плановое Техническое обслуживание комплекса 1 (один) раз в год: - выезд специалистов для диагностики состояния оборудования отображения видео и графической информации.")</f>
        <v>Плановое Техническое обслуживание комплекса 1 (один) раз в год: - выезд специалистов для диагностики состояния оборудования отображения видео и графической информации.</v>
      </c>
      <c r="G490" s="22" t="s">
        <v>204</v>
      </c>
      <c r="H490" s="22" t="s">
        <v>303</v>
      </c>
      <c r="I490" s="26">
        <v>43740.705277777801</v>
      </c>
      <c r="J490" s="28" t="s">
        <v>52</v>
      </c>
      <c r="K490" s="28" t="s">
        <v>52</v>
      </c>
      <c r="L490" s="28" t="s">
        <v>52</v>
      </c>
      <c r="M490" s="28" t="s">
        <v>52</v>
      </c>
      <c r="N490" s="28" t="s">
        <v>52</v>
      </c>
    </row>
    <row r="491" spans="1:14" x14ac:dyDescent="0.15">
      <c r="A491" s="23" t="str">
        <f t="shared" si="3"/>
        <v>ПАО "АК БАРС" БАНК</v>
      </c>
      <c r="B491" s="24" t="s">
        <v>1108</v>
      </c>
      <c r="C491" s="25">
        <v>0</v>
      </c>
      <c r="D491" s="22" t="s">
        <v>1109</v>
      </c>
      <c r="E491" s="22" t="s">
        <v>53</v>
      </c>
      <c r="F491" s="23" t="str">
        <f>HYPERLINK("https://www.spark-marketing.ru/Card/Lot/74136544", "Плановое Техническое обслуживание комплекса 1 (один) раз в год: - выезд специалистов для диагностики состояния оборудования отображения видео и графической информации.")</f>
        <v>Плановое Техническое обслуживание комплекса 1 (один) раз в год: - выезд специалистов для диагностики состояния оборудования отображения видео и графической информации.</v>
      </c>
      <c r="G491" s="22" t="s">
        <v>204</v>
      </c>
      <c r="H491" s="22" t="s">
        <v>303</v>
      </c>
      <c r="I491" s="26">
        <v>43740.705277777801</v>
      </c>
      <c r="J491" s="28" t="s">
        <v>52</v>
      </c>
      <c r="K491" s="28" t="s">
        <v>52</v>
      </c>
      <c r="L491" s="28" t="s">
        <v>52</v>
      </c>
      <c r="M491" s="28" t="s">
        <v>52</v>
      </c>
      <c r="N491" s="28" t="s">
        <v>52</v>
      </c>
    </row>
    <row r="492" spans="1:14" x14ac:dyDescent="0.15">
      <c r="A492" s="23" t="str">
        <f t="shared" si="3"/>
        <v>ПАО "АК БАРС" БАНК</v>
      </c>
      <c r="B492" s="24" t="s">
        <v>1108</v>
      </c>
      <c r="C492" s="25">
        <v>0</v>
      </c>
      <c r="D492" s="22" t="s">
        <v>1109</v>
      </c>
      <c r="E492" s="22" t="s">
        <v>53</v>
      </c>
      <c r="F492" s="23" t="str">
        <f>HYPERLINK("https://www.spark-marketing.ru/Card/Lot/74136547", "Плановое Техническое обслуживание комплекса 1 (один) раз в год: - проведение регламентных проверок, выявление факторов, влияющих на качество и надежность работы оборудования отображения видео и графической информации.")</f>
        <v>Плановое Техническое обслуживание комплекса 1 (один) раз в год: - проведение регламентных проверок, выявление факторов, влияющих на качество и надежность работы оборудования отображения видео и графической информации.</v>
      </c>
      <c r="G492" s="22" t="s">
        <v>204</v>
      </c>
      <c r="H492" s="22" t="s">
        <v>303</v>
      </c>
      <c r="I492" s="26">
        <v>43740.705277777801</v>
      </c>
      <c r="J492" s="28" t="s">
        <v>52</v>
      </c>
      <c r="K492" s="28" t="s">
        <v>52</v>
      </c>
      <c r="L492" s="28" t="s">
        <v>52</v>
      </c>
      <c r="M492" s="28" t="s">
        <v>52</v>
      </c>
      <c r="N492" s="28" t="s">
        <v>52</v>
      </c>
    </row>
    <row r="493" spans="1:14" x14ac:dyDescent="0.15">
      <c r="A493" s="23" t="str">
        <f t="shared" si="3"/>
        <v>ПАО "АК БАРС" БАНК</v>
      </c>
      <c r="B493" s="24" t="s">
        <v>1108</v>
      </c>
      <c r="C493" s="25">
        <v>0</v>
      </c>
      <c r="D493" s="22" t="s">
        <v>1109</v>
      </c>
      <c r="E493" s="22" t="s">
        <v>53</v>
      </c>
      <c r="F493" s="23" t="str">
        <f>HYPERLINK("https://www.spark-marketing.ru/Card/Lot/74136520", "Плановое Техническое обслуживание комплекса 1 (один) раз в год: - проведение регламентных проверок, выявление факторов, влияющих на качество и надежность работы оборудования отображения видео и графической информации.")</f>
        <v>Плановое Техническое обслуживание комплекса 1 (один) раз в год: - проведение регламентных проверок, выявление факторов, влияющих на качество и надежность работы оборудования отображения видео и графической информации.</v>
      </c>
      <c r="G493" s="22" t="s">
        <v>204</v>
      </c>
      <c r="H493" s="22" t="s">
        <v>303</v>
      </c>
      <c r="I493" s="26">
        <v>43740.705277777801</v>
      </c>
      <c r="J493" s="28" t="s">
        <v>52</v>
      </c>
      <c r="K493" s="28" t="s">
        <v>52</v>
      </c>
      <c r="L493" s="28" t="s">
        <v>52</v>
      </c>
      <c r="M493" s="28" t="s">
        <v>52</v>
      </c>
      <c r="N493" s="28" t="s">
        <v>52</v>
      </c>
    </row>
    <row r="494" spans="1:14" x14ac:dyDescent="0.15">
      <c r="A494" s="23" t="str">
        <f t="shared" si="3"/>
        <v>ПАО "АК БАРС" БАНК</v>
      </c>
      <c r="B494" s="24" t="s">
        <v>1108</v>
      </c>
      <c r="C494" s="25">
        <v>0</v>
      </c>
      <c r="D494" s="22" t="s">
        <v>1109</v>
      </c>
      <c r="E494" s="22" t="s">
        <v>53</v>
      </c>
      <c r="F494" s="23" t="str">
        <f>HYPERLINK("https://www.spark-marketing.ru/Card/Lot/74136550", "Плановое Техническое обслуживание комплекса 1 (один) раз в год: - очистка от пыли внутреннего объема оборудования отображения видео и графической информации.")</f>
        <v>Плановое Техническое обслуживание комплекса 1 (один) раз в год: - очистка от пыли внутреннего объема оборудования отображения видео и графической информации.</v>
      </c>
      <c r="G494" s="22" t="s">
        <v>204</v>
      </c>
      <c r="H494" s="22" t="s">
        <v>303</v>
      </c>
      <c r="I494" s="26">
        <v>43740.705277777801</v>
      </c>
      <c r="J494" s="28" t="s">
        <v>52</v>
      </c>
      <c r="K494" s="28" t="s">
        <v>52</v>
      </c>
      <c r="L494" s="28" t="s">
        <v>52</v>
      </c>
      <c r="M494" s="28" t="s">
        <v>52</v>
      </c>
      <c r="N494" s="28" t="s">
        <v>52</v>
      </c>
    </row>
    <row r="495" spans="1:14" x14ac:dyDescent="0.15">
      <c r="A495" s="23" t="str">
        <f t="shared" si="3"/>
        <v>ПАО "АК БАРС" БАНК</v>
      </c>
      <c r="B495" s="24" t="s">
        <v>1108</v>
      </c>
      <c r="C495" s="25">
        <v>0</v>
      </c>
      <c r="D495" s="22" t="s">
        <v>1109</v>
      </c>
      <c r="E495" s="22" t="s">
        <v>53</v>
      </c>
      <c r="F495" s="23" t="str">
        <f>HYPERLINK("https://www.spark-marketing.ru/Card/Lot/74136528", "Плановое Техническое обслуживание комплекса 1 (один) раз в год: - общее тестирование работоспособности отображения видео и графической информации.")</f>
        <v>Плановое Техническое обслуживание комплекса 1 (один) раз в год: - общее тестирование работоспособности отображения видео и графической информации.</v>
      </c>
      <c r="G495" s="22" t="s">
        <v>204</v>
      </c>
      <c r="H495" s="22" t="s">
        <v>303</v>
      </c>
      <c r="I495" s="26">
        <v>43740.705277777801</v>
      </c>
      <c r="J495" s="28" t="s">
        <v>52</v>
      </c>
      <c r="K495" s="28" t="s">
        <v>52</v>
      </c>
      <c r="L495" s="28" t="s">
        <v>52</v>
      </c>
      <c r="M495" s="28" t="s">
        <v>52</v>
      </c>
      <c r="N495" s="28" t="s">
        <v>52</v>
      </c>
    </row>
    <row r="496" spans="1:14" x14ac:dyDescent="0.15">
      <c r="A496" s="23" t="str">
        <f t="shared" si="3"/>
        <v>ПАО "АК БАРС" БАНК</v>
      </c>
      <c r="B496" s="24" t="s">
        <v>1108</v>
      </c>
      <c r="C496" s="25">
        <v>0</v>
      </c>
      <c r="D496" s="22" t="s">
        <v>1109</v>
      </c>
      <c r="E496" s="22" t="s">
        <v>53</v>
      </c>
      <c r="F496" s="23" t="str">
        <f>HYPERLINK("https://www.spark-marketing.ru/Card/Lot/74136523", "Плановое Техническое обслуживание комплекса 1 (один) раз в год: - очистка от пыли внутреннего объема оборудования отображения видео и графической информации.")</f>
        <v>Плановое Техническое обслуживание комплекса 1 (один) раз в год: - очистка от пыли внутреннего объема оборудования отображения видео и графической информации.</v>
      </c>
      <c r="G496" s="22" t="s">
        <v>204</v>
      </c>
      <c r="H496" s="22" t="s">
        <v>303</v>
      </c>
      <c r="I496" s="26">
        <v>43740.705277777801</v>
      </c>
      <c r="J496" s="28" t="s">
        <v>52</v>
      </c>
      <c r="K496" s="28" t="s">
        <v>52</v>
      </c>
      <c r="L496" s="28" t="s">
        <v>52</v>
      </c>
      <c r="M496" s="28" t="s">
        <v>52</v>
      </c>
      <c r="N496" s="28" t="s">
        <v>52</v>
      </c>
    </row>
    <row r="497" spans="1:14" x14ac:dyDescent="0.15">
      <c r="A497" s="23" t="str">
        <f>HYPERLINK("https://www.spark-marketing.ru/Card/Person/6435848", "ОБЩЕСТВО С ОГРАНИЧЕННОЙ ОТВЕТСВЕННОСТЬЮ РН ГРП")</f>
        <v>ОБЩЕСТВО С ОГРАНИЧЕННОЙ ОТВЕТСВЕННОСТЬЮ РН ГРП</v>
      </c>
      <c r="B497" s="28" t="s">
        <v>52</v>
      </c>
      <c r="C497" s="28" t="s">
        <v>52</v>
      </c>
      <c r="D497" s="22" t="s">
        <v>1110</v>
      </c>
      <c r="E497" s="22" t="s">
        <v>1111</v>
      </c>
      <c r="F497" s="23" t="str">
        <f>HYPERLINK("https://www.spark-marketing.ru/Card/Lot/74127155", "Установка и монтаж системы видеонаблюдения")</f>
        <v>Установка и монтаж системы видеонаблюдения</v>
      </c>
      <c r="G497" s="22" t="s">
        <v>52</v>
      </c>
      <c r="H497" s="22" t="s">
        <v>52</v>
      </c>
      <c r="I497" s="26">
        <v>43740.690972222197</v>
      </c>
      <c r="J497" s="28" t="s">
        <v>52</v>
      </c>
      <c r="K497" s="28" t="s">
        <v>52</v>
      </c>
      <c r="L497" s="28" t="s">
        <v>52</v>
      </c>
      <c r="M497" s="28" t="s">
        <v>52</v>
      </c>
      <c r="N497" s="28" t="s">
        <v>52</v>
      </c>
    </row>
    <row r="498" spans="1:14" x14ac:dyDescent="0.15">
      <c r="A498" s="23" t="str">
        <f>HYPERLINK("https://www.spark-marketing.ru/Card/Person/1006145", "ГКУ НСО ЦЗН НОВОСИБИРСКОГО РАЙОНА")</f>
        <v>ГКУ НСО ЦЗН НОВОСИБИРСКОГО РАЙОНА</v>
      </c>
      <c r="B498" s="24" t="s">
        <v>1112</v>
      </c>
      <c r="C498" s="25">
        <v>186143.04</v>
      </c>
      <c r="D498" s="22" t="s">
        <v>1113</v>
      </c>
      <c r="E498" s="22" t="s">
        <v>84</v>
      </c>
      <c r="F498" s="23" t="str">
        <f>HYPERLINK("https://www.spark-marketing.ru/Card/Lot/74125874", "Выполнение работ по установке системы охранного телевидения.")</f>
        <v>Выполнение работ по установке системы охранного телевидения.</v>
      </c>
      <c r="G498" s="22" t="s">
        <v>209</v>
      </c>
      <c r="H498" s="22" t="s">
        <v>210</v>
      </c>
      <c r="I498" s="26">
        <v>43740.638888888898</v>
      </c>
      <c r="J498" s="28" t="s">
        <v>52</v>
      </c>
      <c r="K498" s="28" t="s">
        <v>52</v>
      </c>
      <c r="L498" s="28" t="s">
        <v>52</v>
      </c>
      <c r="M498" s="28" t="s">
        <v>52</v>
      </c>
      <c r="N498" s="28" t="s">
        <v>52</v>
      </c>
    </row>
    <row r="499" spans="1:14" x14ac:dyDescent="0.15">
      <c r="A499" s="23" t="str">
        <f>HYPERLINK("https://www.spark-marketing.ru/Card/Person/134364", "фл Красноярский район водных путей и судоходства - филиал ФБУ ""Администрация Енисейского бассейна внутренних водных путей""")</f>
        <v>фл Красноярский район водных путей и судоходства - филиал ФБУ "Администрация Енисейского бассейна внутренних водных путей"</v>
      </c>
      <c r="B499" s="24" t="s">
        <v>882</v>
      </c>
      <c r="C499" s="25">
        <v>482131</v>
      </c>
      <c r="D499" s="22" t="s">
        <v>1114</v>
      </c>
      <c r="E499" s="22" t="s">
        <v>84</v>
      </c>
      <c r="F499" s="23" t="str">
        <f>HYPERLINK("https://www.spark-marketing.ru/Card/Lot/74130953", "Выполнение работ по установке системы видеонаблюдения")</f>
        <v>Выполнение работ по установке системы видеонаблюдения</v>
      </c>
      <c r="G499" s="22" t="s">
        <v>640</v>
      </c>
      <c r="H499" s="22" t="s">
        <v>640</v>
      </c>
      <c r="I499" s="26">
        <v>43740.65625</v>
      </c>
      <c r="J499" s="28" t="s">
        <v>52</v>
      </c>
      <c r="K499" s="28" t="s">
        <v>52</v>
      </c>
      <c r="L499" s="28" t="s">
        <v>52</v>
      </c>
      <c r="M499" s="28" t="s">
        <v>52</v>
      </c>
      <c r="N499" s="28" t="s">
        <v>52</v>
      </c>
    </row>
    <row r="500" spans="1:14" ht="12.75" hidden="1" outlineLevel="1" x14ac:dyDescent="0.2">
      <c r="A500" s="23" t="str">
        <f>HYPERLINK("https://www.spark-marketing.ru/Card/Person/134364", "фл Красноярский район водных путей и судоходства - филиал ФБУ ""Администрация Енисейского бассейна внутренних водных путей""")</f>
        <v>фл Красноярский район водных путей и судоходства - филиал ФБУ "Администрация Енисейского бассейна внутренних водных путей"</v>
      </c>
      <c r="B500" s="24" t="s">
        <v>882</v>
      </c>
      <c r="C500" s="25">
        <v>482131</v>
      </c>
      <c r="D500" s="22" t="s">
        <v>1114</v>
      </c>
      <c r="E500" s="22" t="s">
        <v>84</v>
      </c>
      <c r="F500" s="23" t="str">
        <f>HYPERLINK("https://www.spark-marketing.ru/Card/Lot/74130953", "Выполнение работ по установке системы видеонаблюдения")</f>
        <v>Выполнение работ по установке системы видеонаблюдения</v>
      </c>
      <c r="G500" s="22" t="s">
        <v>640</v>
      </c>
      <c r="H500" s="22" t="s">
        <v>640</v>
      </c>
      <c r="I500" s="26">
        <v>43740.65625</v>
      </c>
      <c r="J500" s="23" t="str">
        <f>HYPERLINK("https://www.spark-marketing.ru/Card/Person/4444526", "ООО ""К-СИСТЕМЫ""")</f>
        <v>ООО "К-СИСТЕМЫ"</v>
      </c>
      <c r="K500" s="24" t="s">
        <v>1115</v>
      </c>
      <c r="L500" s="22" t="s">
        <v>10</v>
      </c>
      <c r="M500" s="25">
        <v>390000</v>
      </c>
      <c r="N500" s="27">
        <v>0.19109121794698952</v>
      </c>
    </row>
    <row r="501" spans="1:14" hidden="1" outlineLevel="1" x14ac:dyDescent="0.2">
      <c r="A501" s="23" t="str">
        <f>HYPERLINK("https://www.spark-marketing.ru/Card/Person/134364", "фл Красноярский район водных путей и судоходства - филиал ФБУ ""Администрация Енисейского бассейна внутренних водных путей""")</f>
        <v>фл Красноярский район водных путей и судоходства - филиал ФБУ "Администрация Енисейского бассейна внутренних водных путей"</v>
      </c>
      <c r="B501" s="24" t="s">
        <v>882</v>
      </c>
      <c r="C501" s="25">
        <v>482131</v>
      </c>
      <c r="D501" s="22" t="s">
        <v>1114</v>
      </c>
      <c r="E501" s="22" t="s">
        <v>84</v>
      </c>
      <c r="F501" s="23" t="str">
        <f>HYPERLINK("https://www.spark-marketing.ru/Card/Lot/74130953", "Выполнение работ по установке системы видеонаблюдения")</f>
        <v>Выполнение работ по установке системы видеонаблюдения</v>
      </c>
      <c r="G501" s="22" t="s">
        <v>640</v>
      </c>
      <c r="H501" s="22" t="s">
        <v>640</v>
      </c>
      <c r="I501" s="26">
        <v>43740.65625</v>
      </c>
      <c r="J501" s="23" t="str">
        <f>HYPERLINK("https://www.spark-marketing.ru/Card/Person/58475", "ООО ""КТС""")</f>
        <v>ООО "КТС"</v>
      </c>
      <c r="K501" s="24" t="s">
        <v>1116</v>
      </c>
      <c r="L501" s="28" t="s">
        <v>52</v>
      </c>
      <c r="M501" s="25">
        <v>472488.36</v>
      </c>
      <c r="N501" s="27">
        <v>2.0000041482501642E-2</v>
      </c>
    </row>
    <row r="502" spans="1:14" hidden="1" outlineLevel="1" x14ac:dyDescent="0.2">
      <c r="A502" s="23" t="str">
        <f>HYPERLINK("https://www.spark-marketing.ru/Card/Person/134364", "фл Красноярский район водных путей и судоходства - филиал ФБУ ""Администрация Енисейского бассейна внутренних водных путей""")</f>
        <v>фл Красноярский район водных путей и судоходства - филиал ФБУ "Администрация Енисейского бассейна внутренних водных путей"</v>
      </c>
      <c r="B502" s="24" t="s">
        <v>882</v>
      </c>
      <c r="C502" s="25">
        <v>482131</v>
      </c>
      <c r="D502" s="22" t="s">
        <v>1114</v>
      </c>
      <c r="E502" s="22" t="s">
        <v>84</v>
      </c>
      <c r="F502" s="23" t="str">
        <f>HYPERLINK("https://www.spark-marketing.ru/Card/Lot/74130953", "Выполнение работ по установке системы видеонаблюдения")</f>
        <v>Выполнение работ по установке системы видеонаблюдения</v>
      </c>
      <c r="G502" s="22" t="s">
        <v>640</v>
      </c>
      <c r="H502" s="22" t="s">
        <v>640</v>
      </c>
      <c r="I502" s="26">
        <v>43740.65625</v>
      </c>
      <c r="J502" s="23" t="str">
        <f>HYPERLINK("https://www.spark-marketing.ru/Card/Person/62189", "ООО ""СИБ-СЕРВИС""")</f>
        <v>ООО "СИБ-СЕРВИС"</v>
      </c>
      <c r="K502" s="24" t="s">
        <v>1117</v>
      </c>
      <c r="L502" s="28" t="s">
        <v>52</v>
      </c>
      <c r="M502" s="25">
        <v>470000</v>
      </c>
      <c r="N502" s="27">
        <v>2.5161211372013E-2</v>
      </c>
    </row>
    <row r="503" spans="1:14" hidden="1" outlineLevel="1" x14ac:dyDescent="0.2">
      <c r="A503" s="23" t="str">
        <f>HYPERLINK("https://www.spark-marketing.ru/Card/Person/134364", "фл Красноярский район водных путей и судоходства - филиал ФБУ ""Администрация Енисейского бассейна внутренних водных путей""")</f>
        <v>фл Красноярский район водных путей и судоходства - филиал ФБУ "Администрация Енисейского бассейна внутренних водных путей"</v>
      </c>
      <c r="B503" s="24" t="s">
        <v>882</v>
      </c>
      <c r="C503" s="25">
        <v>482131</v>
      </c>
      <c r="D503" s="22" t="s">
        <v>1114</v>
      </c>
      <c r="E503" s="22" t="s">
        <v>84</v>
      </c>
      <c r="F503" s="23" t="str">
        <f>HYPERLINK("https://www.spark-marketing.ru/Card/Lot/74130953", "Выполнение работ по установке системы видеонаблюдения")</f>
        <v>Выполнение работ по установке системы видеонаблюдения</v>
      </c>
      <c r="G503" s="22" t="s">
        <v>640</v>
      </c>
      <c r="H503" s="22" t="s">
        <v>640</v>
      </c>
      <c r="I503" s="26">
        <v>43740.65625</v>
      </c>
      <c r="J503" s="23" t="str">
        <f>HYPERLINK("https://www.spark-marketing.ru/Card/Person/6719710", "Тимофеев Павел Станиславович")</f>
        <v>Тимофеев Павел Станиславович</v>
      </c>
      <c r="K503" s="24" t="s">
        <v>1118</v>
      </c>
      <c r="L503" s="28" t="s">
        <v>52</v>
      </c>
      <c r="M503" s="25">
        <v>398589.34</v>
      </c>
      <c r="N503" s="27">
        <v>0.17327585241355564</v>
      </c>
    </row>
    <row r="504" spans="1:14" x14ac:dyDescent="0.15">
      <c r="A504" s="23" t="str">
        <f>HYPERLINK("https://www.spark-marketing.ru/Card/Person/4343561", "РОСРЕЗЕРВ")</f>
        <v>РОСРЕЗЕРВ</v>
      </c>
      <c r="B504" s="24" t="s">
        <v>1119</v>
      </c>
      <c r="C504" s="25">
        <v>98830</v>
      </c>
      <c r="D504" s="22" t="s">
        <v>1120</v>
      </c>
      <c r="E504" s="22" t="s">
        <v>107</v>
      </c>
      <c r="F504" s="23" t="str">
        <f>HYPERLINK("https://www.spark-marketing.ru/Card/Lot/74124693", "Техническое обслуживание средств ОС, ОПС, ТС, видеонаблюдения и СКУД, 1 шт")</f>
        <v>Техническое обслуживание средств ОС, ОПС, ТС, видеонаблюдения и СКУД, 1 шт</v>
      </c>
      <c r="G504" s="22" t="s">
        <v>55</v>
      </c>
      <c r="H504" s="22" t="s">
        <v>55</v>
      </c>
      <c r="I504" s="26">
        <v>43740.650949074101</v>
      </c>
      <c r="J504" s="28" t="s">
        <v>52</v>
      </c>
      <c r="K504" s="28" t="s">
        <v>52</v>
      </c>
      <c r="L504" s="28" t="s">
        <v>52</v>
      </c>
      <c r="M504" s="28" t="s">
        <v>52</v>
      </c>
      <c r="N504" s="28" t="s">
        <v>52</v>
      </c>
    </row>
    <row r="505" spans="1:14" x14ac:dyDescent="0.15">
      <c r="A505" s="23" t="str">
        <f>HYPERLINK("https://www.spark-marketing.ru/Card/Person/6616961", "С ПЛОЩАДКИ ОТС")</f>
        <v>С ПЛОЩАДКИ ОТС</v>
      </c>
      <c r="B505" s="28" t="s">
        <v>52</v>
      </c>
      <c r="C505" s="28" t="s">
        <v>52</v>
      </c>
      <c r="D505" s="22" t="s">
        <v>1121</v>
      </c>
      <c r="E505" s="22" t="s">
        <v>180</v>
      </c>
      <c r="F505" s="23" t="str">
        <f>HYPERLINK("https://www.spark-marketing.ru/Card/Lot/74118642", "Обслуживанию автоматической сигнализации оповещения производственного персонала о движении транспортных средств в ЖД проемах западных торцов корпусов электролиза ДпЭП АО «РУСАЛ Красноярск» в 2020г.")</f>
        <v>Обслуживанию автоматической сигнализации оповещения производственного персонала о движении транспортных средств в ЖД проемах западных торцов корпусов электролиза ДпЭП АО «РУСАЛ Красноярск» в 2020г.</v>
      </c>
      <c r="G505" s="22" t="s">
        <v>640</v>
      </c>
      <c r="H505" s="22" t="s">
        <v>640</v>
      </c>
      <c r="I505" s="26">
        <v>43740.388171296298</v>
      </c>
      <c r="J505" s="28" t="s">
        <v>52</v>
      </c>
      <c r="K505" s="28" t="s">
        <v>52</v>
      </c>
      <c r="L505" s="28" t="s">
        <v>52</v>
      </c>
      <c r="M505" s="28" t="s">
        <v>52</v>
      </c>
      <c r="N505" s="28" t="s">
        <v>52</v>
      </c>
    </row>
    <row r="506" spans="1:14" x14ac:dyDescent="0.15">
      <c r="A506" s="23" t="str">
        <f>HYPERLINK("https://www.spark-marketing.ru/Card/Person/257511", "МОУ ""СРЕДНЯЯ ШКОЛА № 38""")</f>
        <v>МОУ "СРЕДНЯЯ ШКОЛА № 38"</v>
      </c>
      <c r="B506" s="24" t="s">
        <v>1122</v>
      </c>
      <c r="C506" s="25">
        <v>28000</v>
      </c>
      <c r="D506" s="28" t="s">
        <v>52</v>
      </c>
      <c r="E506" s="22" t="s">
        <v>194</v>
      </c>
      <c r="F506" s="23" t="str">
        <f>HYPERLINK("https://www.spark-marketing.ru/Card/Lot/74122238", "№005133201928260 Поставка и установка товара")</f>
        <v>№005133201928260 Поставка и установка товара</v>
      </c>
      <c r="G506" s="22" t="s">
        <v>435</v>
      </c>
      <c r="H506" s="22" t="s">
        <v>436</v>
      </c>
      <c r="I506" s="26">
        <v>43740.607592592598</v>
      </c>
      <c r="J506" s="28" t="s">
        <v>52</v>
      </c>
      <c r="K506" s="28" t="s">
        <v>52</v>
      </c>
      <c r="L506" s="28" t="s">
        <v>52</v>
      </c>
      <c r="M506" s="28" t="s">
        <v>52</v>
      </c>
      <c r="N506" s="28" t="s">
        <v>52</v>
      </c>
    </row>
    <row r="507" spans="1:14" x14ac:dyDescent="0.15">
      <c r="A507" s="23" t="str">
        <f>HYPERLINK("https://www.spark-marketing.ru/Card/Person/82927", "МКУ Г.СОЧИ ""ЕДДС Г.СОЧИ""")</f>
        <v>МКУ Г.СОЧИ "ЕДДС Г.СОЧИ"</v>
      </c>
      <c r="B507" s="24" t="s">
        <v>1123</v>
      </c>
      <c r="C507" s="25">
        <v>9718786.6400000006</v>
      </c>
      <c r="D507" s="22" t="s">
        <v>1124</v>
      </c>
      <c r="E507" s="22" t="s">
        <v>1125</v>
      </c>
      <c r="F507" s="23" t="str">
        <f>HYPERLINK("https://www.spark-marketing.ru/Card/Lot/74134670", "Поставка с установкой комплектующих для автоматических гидрологических комплексов из состава автоматизированной системы оперативного контроля и мониторинга паводковой ситуации на территории муниципального образования город-курорт Сочи с целью обеспеч...")</f>
        <v>Поставка с установкой комплектующих для автоматических гидрологических комплексов из состава автоматизированной системы оперативного контроля и мониторинга паводковой ситуации на территории муниципального образования город-курорт Сочи с целью обеспеч...</v>
      </c>
      <c r="G507" s="22" t="s">
        <v>132</v>
      </c>
      <c r="H507" s="22" t="s">
        <v>1126</v>
      </c>
      <c r="I507" s="26">
        <v>43740.588888888902</v>
      </c>
      <c r="J507" s="23" t="str">
        <f>HYPERLINK("https://www.spark-marketing.ru/Card/Person/132083", "ООО ""ЭМЕРСИТ""")</f>
        <v>ООО "ЭМЕРСИТ"</v>
      </c>
      <c r="K507" s="24" t="s">
        <v>1127</v>
      </c>
      <c r="L507" s="22" t="s">
        <v>10</v>
      </c>
      <c r="M507" s="28" t="s">
        <v>52</v>
      </c>
      <c r="N507" s="28" t="s">
        <v>52</v>
      </c>
    </row>
    <row r="508" spans="1:14" x14ac:dyDescent="0.15">
      <c r="A508" s="23" t="str">
        <f>HYPERLINK("https://www.spark-marketing.ru/Card/Person/143504", "АДМИНИСТРАЦИЯ КАТАВ-ИВАНОВСКОГО МУНИЦИПАЛЬНОГО РАЙОНА")</f>
        <v>АДМИНИСТРАЦИЯ КАТАВ-ИВАНОВСКОГО МУНИЦИПАЛЬНОГО РАЙОНА</v>
      </c>
      <c r="B508" s="24" t="s">
        <v>1128</v>
      </c>
      <c r="C508" s="25">
        <v>73800</v>
      </c>
      <c r="D508" s="22" t="s">
        <v>1129</v>
      </c>
      <c r="E508" s="22" t="s">
        <v>1130</v>
      </c>
      <c r="F508" s="23" t="str">
        <f>HYPERLINK("https://www.spark-marketing.ru/Card/Lot/74124292", "Оказание услуг по комплексному обслуживанию оборудования (система видеонаблюдения)")</f>
        <v>Оказание услуг по комплексному обслуживанию оборудования (система видеонаблюдения)</v>
      </c>
      <c r="G508" s="22" t="s">
        <v>60</v>
      </c>
      <c r="H508" s="22" t="s">
        <v>60</v>
      </c>
      <c r="I508" s="26">
        <v>43740.5756944444</v>
      </c>
      <c r="J508" s="23" t="str">
        <f>HYPERLINK("https://www.spark-marketing.ru/Card/Person/4444232", "ООО ""СВЯЗЬТЕЛЕКОМ""")</f>
        <v>ООО "СВЯЗЬТЕЛЕКОМ"</v>
      </c>
      <c r="K508" s="24" t="s">
        <v>1131</v>
      </c>
      <c r="L508" s="28" t="s">
        <v>52</v>
      </c>
      <c r="M508" s="28" t="s">
        <v>52</v>
      </c>
      <c r="N508" s="28" t="s">
        <v>52</v>
      </c>
    </row>
    <row r="509" spans="1:14" ht="12.75" hidden="1" outlineLevel="1" x14ac:dyDescent="0.2">
      <c r="A509" s="23" t="str">
        <f>HYPERLINK("https://www.spark-marketing.ru/Card/Person/143504", "АДМИНИСТРАЦИЯ КАТАВ-ИВАНОВСКОГО МУНИЦИПАЛЬНОГО РАЙОНА")</f>
        <v>АДМИНИСТРАЦИЯ КАТАВ-ИВАНОВСКОГО МУНИЦИПАЛЬНОГО РАЙОНА</v>
      </c>
      <c r="B509" s="24" t="s">
        <v>1128</v>
      </c>
      <c r="C509" s="25">
        <v>73800</v>
      </c>
      <c r="D509" s="22" t="s">
        <v>1129</v>
      </c>
      <c r="E509" s="22" t="s">
        <v>1130</v>
      </c>
      <c r="F509" s="23" t="str">
        <f>HYPERLINK("https://www.spark-marketing.ru/Card/Lot/74124292", "Оказание услуг по комплексному обслуживанию оборудования (система видеонаблюдения)")</f>
        <v>Оказание услуг по комплексному обслуживанию оборудования (система видеонаблюдения)</v>
      </c>
      <c r="G509" s="22" t="s">
        <v>60</v>
      </c>
      <c r="H509" s="22" t="s">
        <v>60</v>
      </c>
      <c r="I509" s="26">
        <v>43740.5756944444</v>
      </c>
      <c r="J509" s="23" t="str">
        <f>HYPERLINK("https://www.spark-marketing.ru/Card/Person/4444232", "ООО ""СВЯЗЬТЕЛЕКОМ""")</f>
        <v>ООО "СВЯЗЬТЕЛЕКОМ"</v>
      </c>
      <c r="K509" s="24" t="s">
        <v>1131</v>
      </c>
      <c r="L509" s="22" t="s">
        <v>10</v>
      </c>
      <c r="M509" s="25">
        <v>73431</v>
      </c>
      <c r="N509" s="27">
        <v>5.0000000000000001E-3</v>
      </c>
    </row>
    <row r="510" spans="1:14" x14ac:dyDescent="0.15">
      <c r="A510" s="23" t="str">
        <f>HYPERLINK("https://www.spark-marketing.ru/Card/Person/64448", "ФБУ ""АДМИНИСТРАЦИЯ ""СЕВВОДПУТЬ""")</f>
        <v>ФБУ "АДМИНИСТРАЦИЯ "СЕВВОДПУТЬ"</v>
      </c>
      <c r="B510" s="24" t="s">
        <v>1132</v>
      </c>
      <c r="C510" s="25">
        <v>302068</v>
      </c>
      <c r="D510" s="22" t="s">
        <v>1133</v>
      </c>
      <c r="E510" s="22" t="s">
        <v>79</v>
      </c>
      <c r="F510" s="23" t="str">
        <f>HYPERLINK("https://www.spark-marketing.ru/Card/Lot/74129106", "Выполнение ремонтных работ поста охраны (КПП № 2) на объекте транспортной инфраструктуры «Гидроузел № 4» ФБУ «Администрация «Севводпуть»")</f>
        <v>Выполнение ремонтных работ поста охраны (КПП № 2) на объекте транспортной инфраструктуры «Гидроузел № 4» ФБУ «Администрация «Севводпуть»</v>
      </c>
      <c r="G510" s="22" t="s">
        <v>902</v>
      </c>
      <c r="H510" s="22" t="s">
        <v>902</v>
      </c>
      <c r="I510" s="26">
        <v>43740.506249999999</v>
      </c>
      <c r="J510" s="23" t="str">
        <f>HYPERLINK("https://www.spark-marketing.ru/Card/Person/6513299", "Бураков Филипп Александрович")</f>
        <v>Бураков Филипп Александрович</v>
      </c>
      <c r="K510" s="24" t="s">
        <v>1134</v>
      </c>
      <c r="L510" s="28" t="s">
        <v>52</v>
      </c>
      <c r="M510" s="28" t="s">
        <v>52</v>
      </c>
      <c r="N510" s="28" t="s">
        <v>52</v>
      </c>
    </row>
    <row r="511" spans="1:14" x14ac:dyDescent="0.15">
      <c r="A511" s="23" t="str">
        <f>HYPERLINK("https://www.spark-marketing.ru/Card/Person/4348804", "АО ""ЧУВАШСКАЯ ЭНЕРГОСБЫТОВАЯ КОМПАНИЯ""")</f>
        <v>АО "ЧУВАШСКАЯ ЭНЕРГОСБЫТОВАЯ КОМПАНИЯ"</v>
      </c>
      <c r="B511" s="24" t="s">
        <v>1135</v>
      </c>
      <c r="C511" s="25">
        <v>419337.22</v>
      </c>
      <c r="D511" s="22" t="s">
        <v>1136</v>
      </c>
      <c r="E511" s="22" t="s">
        <v>53</v>
      </c>
      <c r="F511" s="23" t="str">
        <f>HYPERLINK("https://www.spark-marketing.ru/Card/Lot/74115527", "Услуги по внедрению систем видеонаблюдения в местах обслуживания клиентов с функцией аудиозаписи в Алатырском МРО, Батыревском МРО и Шумерлинском МРО, Лот №8-ТПиР-2019-ЧЭСК")</f>
        <v>Услуги по внедрению систем видеонаблюдения в местах обслуживания клиентов с функцией аудиозаписи в Алатырском МРО, Батыревском МРО и Шумерлинском МРО, Лот №8-ТПиР-2019-ЧЭСК</v>
      </c>
      <c r="G511" s="22" t="s">
        <v>1137</v>
      </c>
      <c r="H511" s="22" t="s">
        <v>1138</v>
      </c>
      <c r="I511" s="26">
        <v>43740.352083333302</v>
      </c>
      <c r="J511" s="28" t="s">
        <v>52</v>
      </c>
      <c r="K511" s="28" t="s">
        <v>52</v>
      </c>
      <c r="L511" s="28" t="s">
        <v>52</v>
      </c>
      <c r="M511" s="28" t="s">
        <v>52</v>
      </c>
      <c r="N511" s="28" t="s">
        <v>52</v>
      </c>
    </row>
    <row r="512" spans="1:14" x14ac:dyDescent="0.15">
      <c r="A512" s="23" t="str">
        <f>HYPERLINK("https://www.spark-marketing.ru/Card/Person/266656", "КАМЧАТСКОЕ МТУ РОСАВИАЦИИ")</f>
        <v>КАМЧАТСКОЕ МТУ РОСАВИАЦИИ</v>
      </c>
      <c r="B512" s="24" t="s">
        <v>1139</v>
      </c>
      <c r="C512" s="25">
        <v>31195</v>
      </c>
      <c r="D512" s="22" t="s">
        <v>1140</v>
      </c>
      <c r="E512" s="22" t="s">
        <v>1013</v>
      </c>
      <c r="F512" s="23" t="str">
        <f>HYPERLINK("https://www.spark-marketing.ru/Card/Lot/74107200", "Техническое обслуживание охранной сигнализации, 1 усл. ед")</f>
        <v>Техническое обслуживание охранной сигнализации, 1 усл. ед</v>
      </c>
      <c r="G512" s="22" t="s">
        <v>1141</v>
      </c>
      <c r="H512" s="22" t="s">
        <v>1142</v>
      </c>
      <c r="I512" s="26">
        <v>43740.139687499999</v>
      </c>
      <c r="J512" s="28" t="s">
        <v>52</v>
      </c>
      <c r="K512" s="28" t="s">
        <v>52</v>
      </c>
      <c r="L512" s="28" t="s">
        <v>52</v>
      </c>
      <c r="M512" s="28" t="s">
        <v>52</v>
      </c>
      <c r="N512" s="28" t="s">
        <v>52</v>
      </c>
    </row>
    <row r="513" spans="1:14" x14ac:dyDescent="0.2">
      <c r="A513" s="23" t="str">
        <f>HYPERLINK("https://www.spark-marketing.ru/Card/Person/12406", "ФКП ""РОСГОСЦИРК""")</f>
        <v>ФКП "РОСГОСЦИРК"</v>
      </c>
      <c r="B513" s="24" t="s">
        <v>1143</v>
      </c>
      <c r="C513" s="25">
        <v>723937.08</v>
      </c>
      <c r="D513" s="22" t="s">
        <v>1144</v>
      </c>
      <c r="E513" s="22" t="s">
        <v>691</v>
      </c>
      <c r="F513" s="23" t="str">
        <f>HYPERLINK("https://www.spark-marketing.ru/Card/Lot/74126323", "Выполнение работ по установке системы видеонаблюдения для нужд филиала ФКП ""Росгосцирк"" ""Цирк в Автово""")</f>
        <v>Выполнение работ по установке системы видеонаблюдения для нужд филиала ФКП "Росгосцирк" "Цирк в Автово"</v>
      </c>
      <c r="G513" s="22" t="s">
        <v>89</v>
      </c>
      <c r="H513" s="22" t="s">
        <v>89</v>
      </c>
      <c r="I513" s="26">
        <v>43740</v>
      </c>
      <c r="J513" s="28" t="s">
        <v>52</v>
      </c>
      <c r="K513" s="28" t="s">
        <v>52</v>
      </c>
      <c r="L513" s="28" t="s">
        <v>52</v>
      </c>
      <c r="M513" s="25">
        <v>723937.08</v>
      </c>
      <c r="N513" s="27">
        <v>0</v>
      </c>
    </row>
    <row r="514" spans="1:14" x14ac:dyDescent="0.15">
      <c r="A514" s="23" t="str">
        <f>HYPERLINK("https://www.spark-marketing.ru/Card/Person/1764040", "МАДОУ ДСКВ ""ЮГОРКА""")</f>
        <v>МАДОУ ДСКВ "ЮГОРКА"</v>
      </c>
      <c r="B514" s="24" t="s">
        <v>1145</v>
      </c>
      <c r="C514" s="25">
        <v>1801274</v>
      </c>
      <c r="D514" s="22" t="s">
        <v>1146</v>
      </c>
      <c r="E514" s="22" t="s">
        <v>1147</v>
      </c>
      <c r="F514" s="23" t="str">
        <f>HYPERLINK("https://www.spark-marketing.ru/Card/Lot/74125768", "Выполнение работ по установке системы автоматической охранной сигнализации")</f>
        <v>Выполнение работ по установке системы автоматической охранной сигнализации</v>
      </c>
      <c r="G514" s="22" t="s">
        <v>119</v>
      </c>
      <c r="H514" s="22" t="s">
        <v>119</v>
      </c>
      <c r="I514" s="26">
        <v>43740</v>
      </c>
      <c r="J514" s="28" t="s">
        <v>52</v>
      </c>
      <c r="K514" s="28" t="s">
        <v>52</v>
      </c>
      <c r="L514" s="28" t="s">
        <v>52</v>
      </c>
      <c r="M514" s="28" t="s">
        <v>52</v>
      </c>
      <c r="N514" s="28" t="s">
        <v>52</v>
      </c>
    </row>
    <row r="515" spans="1:14" x14ac:dyDescent="0.15">
      <c r="A515" s="23" t="str">
        <f>HYPERLINK("https://www.spark-marketing.ru/Card/Person/4343405", "ФГУП ""ГОСКОРПОРАЦИЯ ПО ОРВД""")</f>
        <v>ФГУП "ГОСКОРПОРАЦИЯ ПО ОРВД"</v>
      </c>
      <c r="B515" s="24" t="s">
        <v>801</v>
      </c>
      <c r="C515" s="25">
        <v>4996951.07</v>
      </c>
      <c r="D515" s="22" t="s">
        <v>1148</v>
      </c>
      <c r="E515" s="22" t="s">
        <v>1149</v>
      </c>
      <c r="F515" s="23" t="str">
        <f>HYPERLINK("https://www.spark-marketing.ru/Card/Lot/74092890", "Услуги по замене технических средств обеспечения транспортной безопасности, утративших заявленные производителем свойства (характеристики) по причине физического износа, на объектах транспортной инфраструктуры - радиолокационных позиций: Ряжск, Чулко...")</f>
        <v>Услуги по замене технических средств обеспечения транспортной безопасности, утративших заявленные производителем свойства (характеристики) по причине физического износа, на объектах транспортной инфраструктуры - радиолокационных позиций: Ряжск, Чулко...</v>
      </c>
      <c r="G515" s="22" t="s">
        <v>55</v>
      </c>
      <c r="H515" s="22" t="s">
        <v>55</v>
      </c>
      <c r="I515" s="26">
        <v>43739</v>
      </c>
      <c r="J515" s="28" t="s">
        <v>52</v>
      </c>
      <c r="K515" s="28" t="s">
        <v>52</v>
      </c>
      <c r="L515" s="28" t="s">
        <v>52</v>
      </c>
      <c r="M515" s="28" t="s">
        <v>52</v>
      </c>
      <c r="N515" s="28" t="s">
        <v>52</v>
      </c>
    </row>
    <row r="516" spans="1:14" ht="12.75" x14ac:dyDescent="0.2">
      <c r="A516" s="23" t="str">
        <f>HYPERLINK("https://www.spark-marketing.ru/Card/Person/5677", "ФГБУ ""ЦКБ С ПОЛИКЛИНИКОЙ""")</f>
        <v>ФГБУ "ЦКБ С ПОЛИКЛИНИКОЙ"</v>
      </c>
      <c r="B516" s="24" t="s">
        <v>1150</v>
      </c>
      <c r="C516" s="25">
        <v>155390</v>
      </c>
      <c r="D516" s="22" t="s">
        <v>1151</v>
      </c>
      <c r="E516" s="22" t="s">
        <v>1152</v>
      </c>
      <c r="F516" s="23" t="str">
        <f>HYPERLINK("https://www.spark-marketing.ru/Card/Lot/74127231", "Поставка и установка элементов системы охранной сигнализации")</f>
        <v>Поставка и установка элементов системы охранной сигнализации</v>
      </c>
      <c r="G516" s="22" t="s">
        <v>55</v>
      </c>
      <c r="H516" s="22" t="s">
        <v>55</v>
      </c>
      <c r="I516" s="26">
        <v>43740</v>
      </c>
      <c r="J516" s="23" t="str">
        <f>HYPERLINK("https://www.spark-marketing.ru/Card/Person/1354275", "ООО ""ЛЕГИС-ТЕХ""")</f>
        <v>ООО "ЛЕГИС-ТЕХ"</v>
      </c>
      <c r="K516" s="24" t="s">
        <v>1153</v>
      </c>
      <c r="L516" s="22" t="s">
        <v>10</v>
      </c>
      <c r="M516" s="25">
        <v>155390</v>
      </c>
      <c r="N516" s="27">
        <v>0</v>
      </c>
    </row>
    <row r="517" spans="1:14" x14ac:dyDescent="0.15">
      <c r="A517" s="23" t="str">
        <f>HYPERLINK("https://www.spark-marketing.ru/Card/Person/4348356", "АО ""ТРАНСНЕФТЬ - ПРИКАМЬЕ""")</f>
        <v>АО "ТРАНСНЕФТЬ - ПРИКАМЬЕ"</v>
      </c>
      <c r="B517" s="24" t="s">
        <v>1080</v>
      </c>
      <c r="C517" s="25">
        <v>5301630.1900000004</v>
      </c>
      <c r="D517" s="22" t="s">
        <v>1154</v>
      </c>
      <c r="E517" s="22" t="s">
        <v>370</v>
      </c>
      <c r="F517" s="23" t="str">
        <f>HYPERLINK("https://www.spark-marketing.ru/Card/Lot/74131851", "1200-B05-К-Y03-00464-2020 «Техническое обслуживание технических средств охраны Ромашкинского РНУ»")</f>
        <v>1200-B05-К-Y03-00464-2020 «Техническое обслуживание технических средств охраны Ромашкинского РНУ»</v>
      </c>
      <c r="G517" s="22" t="s">
        <v>204</v>
      </c>
      <c r="H517" s="22" t="s">
        <v>303</v>
      </c>
      <c r="I517" s="26">
        <v>43740</v>
      </c>
      <c r="J517" s="28" t="s">
        <v>52</v>
      </c>
      <c r="K517" s="28" t="s">
        <v>52</v>
      </c>
      <c r="L517" s="28" t="s">
        <v>52</v>
      </c>
      <c r="M517" s="28" t="s">
        <v>52</v>
      </c>
      <c r="N517" s="28" t="s">
        <v>52</v>
      </c>
    </row>
    <row r="518" spans="1:14" x14ac:dyDescent="0.15">
      <c r="A518" s="23" t="str">
        <f>HYPERLINK("https://www.spark-marketing.ru/Card/Person/4348356", "АО ""ТРАНСНЕФТЬ - ПРИКАМЬЕ""")</f>
        <v>АО "ТРАНСНЕФТЬ - ПРИКАМЬЕ"</v>
      </c>
      <c r="B518" s="24" t="s">
        <v>1080</v>
      </c>
      <c r="C518" s="25">
        <v>3304078.57</v>
      </c>
      <c r="D518" s="22" t="s">
        <v>1155</v>
      </c>
      <c r="E518" s="22" t="s">
        <v>370</v>
      </c>
      <c r="F518" s="23" t="str">
        <f>HYPERLINK("https://www.spark-marketing.ru/Card/Lot/74131859", "1200-B05-К-Y03-00458-2020 «Техническое обслуживание технических средств охраны Удмуртского РНУ»")</f>
        <v>1200-B05-К-Y03-00458-2020 «Техническое обслуживание технических средств охраны Удмуртского РНУ»</v>
      </c>
      <c r="G518" s="22" t="s">
        <v>204</v>
      </c>
      <c r="H518" s="22" t="s">
        <v>303</v>
      </c>
      <c r="I518" s="26">
        <v>43740</v>
      </c>
      <c r="J518" s="28" t="s">
        <v>52</v>
      </c>
      <c r="K518" s="28" t="s">
        <v>52</v>
      </c>
      <c r="L518" s="28" t="s">
        <v>52</v>
      </c>
      <c r="M518" s="28" t="s">
        <v>52</v>
      </c>
      <c r="N518" s="28" t="s">
        <v>52</v>
      </c>
    </row>
    <row r="519" spans="1:14" x14ac:dyDescent="0.15">
      <c r="A519" s="23" t="str">
        <f>HYPERLINK("https://www.spark-marketing.ru/Card/Person/73507", "ПАО ""НК ""РОСНЕФТЬ""-ЯМАЛНЕФТЕПРОДУКТ""")</f>
        <v>ПАО "НК "РОСНЕФТЬ"-ЯМАЛНЕФТЕПРОДУКТ"</v>
      </c>
      <c r="B519" s="24" t="s">
        <v>810</v>
      </c>
      <c r="C519" s="25">
        <v>3162240</v>
      </c>
      <c r="D519" s="22" t="s">
        <v>1156</v>
      </c>
      <c r="E519" s="22" t="s">
        <v>53</v>
      </c>
      <c r="F519" s="23" t="str">
        <f>HYPERLINK("https://www.spark-marketing.ru/Card/Lot/73957320", "Номер закупки 102-Б. «Профессиональная охрана объектов и территории нефтебазы в г. Лабытнанги»")</f>
        <v>Номер закупки 102-Б. «Профессиональная охрана объектов и территории нефтебазы в г. Лабытнанги»</v>
      </c>
      <c r="G519" s="22" t="s">
        <v>311</v>
      </c>
      <c r="H519" s="22" t="s">
        <v>312</v>
      </c>
      <c r="I519" s="26">
        <v>43735.617361111101</v>
      </c>
      <c r="J519" s="28" t="s">
        <v>52</v>
      </c>
      <c r="K519" s="28" t="s">
        <v>52</v>
      </c>
      <c r="L519" s="28" t="s">
        <v>52</v>
      </c>
      <c r="M519" s="28" t="s">
        <v>52</v>
      </c>
      <c r="N519" s="28" t="s">
        <v>52</v>
      </c>
    </row>
    <row r="520" spans="1:14" x14ac:dyDescent="0.15">
      <c r="A520" s="23" t="str">
        <f>HYPERLINK("https://www.spark-marketing.ru/Card/Person/73507", "ПАО ""НК ""РОСНЕФТЬ""-ЯМАЛНЕФТЕПРОДУКТ""")</f>
        <v>ПАО "НК "РОСНЕФТЬ"-ЯМАЛНЕФТЕПРОДУКТ"</v>
      </c>
      <c r="B520" s="24" t="s">
        <v>810</v>
      </c>
      <c r="C520" s="25">
        <v>3162240</v>
      </c>
      <c r="D520" s="22" t="s">
        <v>1157</v>
      </c>
      <c r="E520" s="22" t="s">
        <v>53</v>
      </c>
      <c r="F520" s="23" t="str">
        <f>HYPERLINK("https://www.spark-marketing.ru/Card/Lot/73957319", "Номер закупки 101-Б. «Профессиональная охрана объектов и территории нефтебазы в г. Салехард»")</f>
        <v>Номер закупки 101-Б. «Профессиональная охрана объектов и территории нефтебазы в г. Салехард»</v>
      </c>
      <c r="G520" s="22" t="s">
        <v>311</v>
      </c>
      <c r="H520" s="22" t="s">
        <v>312</v>
      </c>
      <c r="I520" s="26">
        <v>43735.613194444399</v>
      </c>
      <c r="J520" s="28" t="s">
        <v>52</v>
      </c>
      <c r="K520" s="28" t="s">
        <v>52</v>
      </c>
      <c r="L520" s="28" t="s">
        <v>52</v>
      </c>
      <c r="M520" s="28" t="s">
        <v>52</v>
      </c>
      <c r="N520" s="28" t="s">
        <v>52</v>
      </c>
    </row>
    <row r="521" spans="1:14" x14ac:dyDescent="0.15">
      <c r="A521" s="23" t="str">
        <f>HYPERLINK("https://www.spark-marketing.ru/Card/Person/73507", "ПАО ""НК ""РОСНЕФТЬ""-ЯМАЛНЕФТЕПРОДУКТ""")</f>
        <v>ПАО "НК "РОСНЕФТЬ"-ЯМАЛНЕФТЕПРОДУКТ"</v>
      </c>
      <c r="B521" s="24" t="s">
        <v>810</v>
      </c>
      <c r="C521" s="25">
        <v>1537000</v>
      </c>
      <c r="D521" s="22" t="s">
        <v>1158</v>
      </c>
      <c r="E521" s="22" t="s">
        <v>53</v>
      </c>
      <c r="F521" s="23" t="str">
        <f>HYPERLINK("https://www.spark-marketing.ru/Card/Lot/73957318", "Номер закупки 100-Б. «Профессиональная охрана объектов и территории нефтебазы в г. Надым»")</f>
        <v>Номер закупки 100-Б. «Профессиональная охрана объектов и территории нефтебазы в г. Надым»</v>
      </c>
      <c r="G521" s="22" t="s">
        <v>311</v>
      </c>
      <c r="H521" s="22" t="s">
        <v>312</v>
      </c>
      <c r="I521" s="26">
        <v>43735.609027777798</v>
      </c>
      <c r="J521" s="28" t="s">
        <v>52</v>
      </c>
      <c r="K521" s="28" t="s">
        <v>52</v>
      </c>
      <c r="L521" s="28" t="s">
        <v>52</v>
      </c>
      <c r="M521" s="28" t="s">
        <v>52</v>
      </c>
      <c r="N521" s="28" t="s">
        <v>52</v>
      </c>
    </row>
    <row r="522" spans="1:14" x14ac:dyDescent="0.15">
      <c r="A522" s="23" t="str">
        <f>HYPERLINK("https://www.spark-marketing.ru/Card/Person/233501", "МАДОУ Д/С №17")</f>
        <v>МАДОУ Д/С №17</v>
      </c>
      <c r="B522" s="24" t="s">
        <v>1159</v>
      </c>
      <c r="C522" s="25">
        <v>30000</v>
      </c>
      <c r="D522" s="22" t="s">
        <v>1160</v>
      </c>
      <c r="E522" s="22" t="s">
        <v>1161</v>
      </c>
      <c r="F522" s="23" t="str">
        <f>HYPERLINK("https://www.spark-marketing.ru/Card/Lot/74097407", "Установка камер видеонаблюдения для МАДОУ д/с №17")</f>
        <v>Установка камер видеонаблюдения для МАДОУ д/с №17</v>
      </c>
      <c r="G522" s="22" t="s">
        <v>50</v>
      </c>
      <c r="H522" s="22" t="s">
        <v>1162</v>
      </c>
      <c r="I522" s="26">
        <v>43739.680416666699</v>
      </c>
      <c r="J522" s="28" t="s">
        <v>52</v>
      </c>
      <c r="K522" s="28" t="s">
        <v>52</v>
      </c>
      <c r="L522" s="28" t="s">
        <v>52</v>
      </c>
      <c r="M522" s="28" t="s">
        <v>52</v>
      </c>
      <c r="N522" s="28" t="s">
        <v>52</v>
      </c>
    </row>
    <row r="523" spans="1:14" x14ac:dyDescent="0.15">
      <c r="A523" s="23" t="str">
        <f t="shared" ref="A523:A528" si="4">HYPERLINK("https://www.spark-marketing.ru/Card/Person/12772", "ГБУЗ ""ГП № 2 ДЗМ""")</f>
        <v>ГБУЗ "ГП № 2 ДЗМ"</v>
      </c>
      <c r="B523" s="24" t="s">
        <v>1163</v>
      </c>
      <c r="C523" s="25">
        <v>3998755.94</v>
      </c>
      <c r="D523" s="22" t="s">
        <v>1164</v>
      </c>
      <c r="E523" s="22" t="s">
        <v>349</v>
      </c>
      <c r="F523" s="23" t="str">
        <f t="shared" ref="F523:F528" si="5">HYPERLINK("https://www.spark-marketing.ru/Card/Lot/74111181", "Электронный аукцион на оказание услуг по техническому обслуживанию оборудования системы охранной сигнализации и системы видеонаблюдения, установленного на объектах Государственного бюджетного учреждения здравоохранения «Городская поликлиника № 2 Депа...")</f>
        <v>Электронный аукцион на оказание услуг по техническому обслуживанию оборудования системы охранной сигнализации и системы видеонаблюдения, установленного на объектах Государственного бюджетного учреждения здравоохранения «Городская поликлиника № 2 Депа...</v>
      </c>
      <c r="G523" s="22" t="s">
        <v>55</v>
      </c>
      <c r="H523" s="22" t="s">
        <v>55</v>
      </c>
      <c r="I523" s="26">
        <v>43739.684918981497</v>
      </c>
      <c r="J523" s="28" t="s">
        <v>52</v>
      </c>
      <c r="K523" s="28" t="s">
        <v>52</v>
      </c>
      <c r="L523" s="28" t="s">
        <v>52</v>
      </c>
      <c r="M523" s="28" t="s">
        <v>52</v>
      </c>
      <c r="N523" s="28" t="s">
        <v>52</v>
      </c>
    </row>
    <row r="524" spans="1:14" hidden="1" outlineLevel="1" x14ac:dyDescent="0.2">
      <c r="A524" s="23" t="str">
        <f t="shared" si="4"/>
        <v>ГБУЗ "ГП № 2 ДЗМ"</v>
      </c>
      <c r="B524" s="24" t="s">
        <v>1163</v>
      </c>
      <c r="C524" s="25">
        <v>3998755.94</v>
      </c>
      <c r="D524" s="22" t="s">
        <v>1164</v>
      </c>
      <c r="E524" s="22" t="s">
        <v>349</v>
      </c>
      <c r="F524" s="23" t="str">
        <f t="shared" si="5"/>
        <v>Электронный аукцион на оказание услуг по техническому обслуживанию оборудования системы охранной сигнализации и системы видеонаблюдения, установленного на объектах Государственного бюджетного учреждения здравоохранения «Городская поликлиника № 2 Депа...</v>
      </c>
      <c r="G524" s="22" t="s">
        <v>55</v>
      </c>
      <c r="H524" s="22" t="s">
        <v>55</v>
      </c>
      <c r="I524" s="26">
        <v>43739.684918981497</v>
      </c>
      <c r="J524" s="23" t="str">
        <f>HYPERLINK("https://www.spark-marketing.ru/Card/Person/6620146", "Мурадян Мгер Манвели")</f>
        <v>Мурадян Мгер Манвели</v>
      </c>
      <c r="K524" s="24" t="s">
        <v>1165</v>
      </c>
      <c r="L524" s="28" t="s">
        <v>52</v>
      </c>
      <c r="M524" s="25">
        <v>3858799.48</v>
      </c>
      <c r="N524" s="27">
        <v>3.5000000525163333E-2</v>
      </c>
    </row>
    <row r="525" spans="1:14" hidden="1" outlineLevel="1" x14ac:dyDescent="0.2">
      <c r="A525" s="23" t="str">
        <f t="shared" si="4"/>
        <v>ГБУЗ "ГП № 2 ДЗМ"</v>
      </c>
      <c r="B525" s="24" t="s">
        <v>1163</v>
      </c>
      <c r="C525" s="25">
        <v>3998755.94</v>
      </c>
      <c r="D525" s="22" t="s">
        <v>1164</v>
      </c>
      <c r="E525" s="22" t="s">
        <v>349</v>
      </c>
      <c r="F525" s="23" t="str">
        <f t="shared" si="5"/>
        <v>Электронный аукцион на оказание услуг по техническому обслуживанию оборудования системы охранной сигнализации и системы видеонаблюдения, установленного на объектах Государственного бюджетного учреждения здравоохранения «Городская поликлиника № 2 Депа...</v>
      </c>
      <c r="G525" s="22" t="s">
        <v>55</v>
      </c>
      <c r="H525" s="22" t="s">
        <v>55</v>
      </c>
      <c r="I525" s="26">
        <v>43739.684918981497</v>
      </c>
      <c r="J525" s="23" t="str">
        <f>HYPERLINK("https://www.spark-marketing.ru/Card/Person/711655", "ООО ""ЭПСИЛОН""")</f>
        <v>ООО "ЭПСИЛОН"</v>
      </c>
      <c r="K525" s="24" t="s">
        <v>1166</v>
      </c>
      <c r="L525" s="28" t="s">
        <v>52</v>
      </c>
      <c r="M525" s="25">
        <v>3898787.04</v>
      </c>
      <c r="N525" s="27">
        <v>2.5000000375116668E-2</v>
      </c>
    </row>
    <row r="526" spans="1:14" ht="12.75" hidden="1" outlineLevel="1" x14ac:dyDescent="0.2">
      <c r="A526" s="23" t="str">
        <f t="shared" si="4"/>
        <v>ГБУЗ "ГП № 2 ДЗМ"</v>
      </c>
      <c r="B526" s="24" t="s">
        <v>1163</v>
      </c>
      <c r="C526" s="25">
        <v>3998755.94</v>
      </c>
      <c r="D526" s="22" t="s">
        <v>1164</v>
      </c>
      <c r="E526" s="22" t="s">
        <v>349</v>
      </c>
      <c r="F526" s="23" t="str">
        <f t="shared" si="5"/>
        <v>Электронный аукцион на оказание услуг по техническому обслуживанию оборудования системы охранной сигнализации и системы видеонаблюдения, установленного на объектах Государственного бюджетного учреждения здравоохранения «Городская поликлиника № 2 Депа...</v>
      </c>
      <c r="G526" s="22" t="s">
        <v>55</v>
      </c>
      <c r="H526" s="22" t="s">
        <v>55</v>
      </c>
      <c r="I526" s="26">
        <v>43739.684918981497</v>
      </c>
      <c r="J526" s="23" t="str">
        <f>HYPERLINK("https://www.spark-marketing.ru/Card/Person/6682144", "Кучмин Юрий Витальевич")</f>
        <v>Кучмин Юрий Витальевич</v>
      </c>
      <c r="K526" s="24" t="s">
        <v>1167</v>
      </c>
      <c r="L526" s="22" t="s">
        <v>10</v>
      </c>
      <c r="M526" s="25">
        <v>3838805.7</v>
      </c>
      <c r="N526" s="27">
        <v>4.0000000600186665E-2</v>
      </c>
    </row>
    <row r="527" spans="1:14" hidden="1" outlineLevel="1" x14ac:dyDescent="0.2">
      <c r="A527" s="23" t="str">
        <f t="shared" si="4"/>
        <v>ГБУЗ "ГП № 2 ДЗМ"</v>
      </c>
      <c r="B527" s="24" t="s">
        <v>1163</v>
      </c>
      <c r="C527" s="25">
        <v>3998755.94</v>
      </c>
      <c r="D527" s="22" t="s">
        <v>1164</v>
      </c>
      <c r="E527" s="22" t="s">
        <v>349</v>
      </c>
      <c r="F527" s="23" t="str">
        <f t="shared" si="5"/>
        <v>Электронный аукцион на оказание услуг по техническому обслуживанию оборудования системы охранной сигнализации и системы видеонаблюдения, установленного на объектах Государственного бюджетного учреждения здравоохранения «Городская поликлиника № 2 Депа...</v>
      </c>
      <c r="G527" s="22" t="s">
        <v>55</v>
      </c>
      <c r="H527" s="22" t="s">
        <v>55</v>
      </c>
      <c r="I527" s="26">
        <v>43739.684918981497</v>
      </c>
      <c r="J527" s="23" t="str">
        <f>HYPERLINK("https://www.spark-marketing.ru/Card/Person/6383515", "Иванов Денис Александрович")</f>
        <v>Иванов Денис Александрович</v>
      </c>
      <c r="K527" s="24" t="s">
        <v>1168</v>
      </c>
      <c r="L527" s="28" t="s">
        <v>52</v>
      </c>
      <c r="M527" s="25">
        <v>3959898.6</v>
      </c>
      <c r="N527" s="27">
        <v>9.7173572438631999E-3</v>
      </c>
    </row>
    <row r="528" spans="1:14" hidden="1" outlineLevel="1" x14ac:dyDescent="0.2">
      <c r="A528" s="23" t="str">
        <f t="shared" si="4"/>
        <v>ГБУЗ "ГП № 2 ДЗМ"</v>
      </c>
      <c r="B528" s="24" t="s">
        <v>1163</v>
      </c>
      <c r="C528" s="25">
        <v>3998755.94</v>
      </c>
      <c r="D528" s="22" t="s">
        <v>1164</v>
      </c>
      <c r="E528" s="22" t="s">
        <v>349</v>
      </c>
      <c r="F528" s="23" t="str">
        <f t="shared" si="5"/>
        <v>Электронный аукцион на оказание услуг по техническому обслуживанию оборудования системы охранной сигнализации и системы видеонаблюдения, установленного на объектах Государственного бюджетного учреждения здравоохранения «Городская поликлиника № 2 Депа...</v>
      </c>
      <c r="G528" s="22" t="s">
        <v>55</v>
      </c>
      <c r="H528" s="22" t="s">
        <v>55</v>
      </c>
      <c r="I528" s="26">
        <v>43739.684918981497</v>
      </c>
      <c r="J528" s="23" t="str">
        <f>HYPERLINK("https://www.spark-marketing.ru/Card/Person/4771673", "ООО ""РК-ИНЖИНИРИНГ""")</f>
        <v>ООО "РК-ИНЖИНИРИНГ"</v>
      </c>
      <c r="K528" s="24" t="s">
        <v>1169</v>
      </c>
      <c r="L528" s="28" t="s">
        <v>52</v>
      </c>
      <c r="M528" s="25">
        <v>3918780.82</v>
      </c>
      <c r="N528" s="27">
        <v>2.0000000300093333E-2</v>
      </c>
    </row>
    <row r="529" spans="1:14" x14ac:dyDescent="0.15">
      <c r="A529" s="23" t="str">
        <f>HYPERLINK("https://www.spark-marketing.ru/Card/Person/1031602", "МБУК ""ИВАШКОВСКИЙ СДК""")</f>
        <v>МБУК "ИВАШКОВСКИЙ СДК"</v>
      </c>
      <c r="B529" s="24" t="s">
        <v>1170</v>
      </c>
      <c r="C529" s="25">
        <v>24800</v>
      </c>
      <c r="D529" s="22" t="s">
        <v>1171</v>
      </c>
      <c r="E529" s="22" t="s">
        <v>59</v>
      </c>
      <c r="F529" s="23" t="str">
        <f>HYPERLINK("https://www.spark-marketing.ru/Card/Lot/74097340", "Выполнение работ по установке тревожной кнопки")</f>
        <v>Выполнение работ по установке тревожной кнопки</v>
      </c>
      <c r="G529" s="22" t="s">
        <v>50</v>
      </c>
      <c r="H529" s="22" t="s">
        <v>1172</v>
      </c>
      <c r="I529" s="26">
        <v>43739.660555555602</v>
      </c>
      <c r="J529" s="28" t="s">
        <v>52</v>
      </c>
      <c r="K529" s="28" t="s">
        <v>52</v>
      </c>
      <c r="L529" s="28" t="s">
        <v>52</v>
      </c>
      <c r="M529" s="28" t="s">
        <v>52</v>
      </c>
      <c r="N529" s="28" t="s">
        <v>52</v>
      </c>
    </row>
    <row r="530" spans="1:14" x14ac:dyDescent="0.15">
      <c r="A530" s="23" t="str">
        <f>HYPERLINK("https://www.spark-marketing.ru/Card/Person/1126874", "ООО ""НЕКСТ ИНЖИНИРИНГ""")</f>
        <v>ООО "НЕКСТ ИНЖИНИРИНГ"</v>
      </c>
      <c r="B530" s="24" t="s">
        <v>1173</v>
      </c>
      <c r="C530" s="25">
        <v>1447111.8</v>
      </c>
      <c r="D530" s="22" t="s">
        <v>1174</v>
      </c>
      <c r="E530" s="22" t="s">
        <v>53</v>
      </c>
      <c r="F530" s="23" t="str">
        <f>HYPERLINK("https://www.spark-marketing.ru/Card/Lot/74109141", "Шкаф серверный 19"" 2000х1000х600, под установку видеосервера и АРМ, с монтажными элементами NEXT.M-Srv.1")</f>
        <v>Шкаф серверный 19" 2000х1000х600, под установку видеосервера и АРМ, с монтажными элементами NEXT.M-Srv.1</v>
      </c>
      <c r="G530" s="22" t="s">
        <v>204</v>
      </c>
      <c r="H530" s="22" t="s">
        <v>303</v>
      </c>
      <c r="I530" s="26">
        <v>43739.596793981502</v>
      </c>
      <c r="J530" s="28" t="s">
        <v>52</v>
      </c>
      <c r="K530" s="28" t="s">
        <v>52</v>
      </c>
      <c r="L530" s="28" t="s">
        <v>52</v>
      </c>
      <c r="M530" s="28" t="s">
        <v>52</v>
      </c>
      <c r="N530" s="28" t="s">
        <v>52</v>
      </c>
    </row>
    <row r="531" spans="1:14" x14ac:dyDescent="0.15">
      <c r="A531" s="23" t="str">
        <f>HYPERLINK("https://www.spark-marketing.ru/Card/Person/6275", "УПРАВЛЕНИЕ СУДЕБНОГО ДЕПАРТАМЕНТА В СВЕРДЛОВСКОЙ ОБЛАСТИ")</f>
        <v>УПРАВЛЕНИЕ СУДЕБНОГО ДЕПАРТАМЕНТА В СВЕРДЛОВСКОЙ ОБЛАСТИ</v>
      </c>
      <c r="B531" s="24" t="s">
        <v>1175</v>
      </c>
      <c r="C531" s="25">
        <v>345600</v>
      </c>
      <c r="D531" s="22" t="s">
        <v>1176</v>
      </c>
      <c r="E531" s="22" t="s">
        <v>68</v>
      </c>
      <c r="F531" s="23" t="str">
        <f>HYPERLINK("https://www.spark-marketing.ru/Card/Lot/74110341", "Оказание услуг круглосуточной физической охраны комплекса административных зданий; Оказание услуг круглосуточной физической охраны комплекса административных зданий")</f>
        <v>Оказание услуг круглосуточной физической охраны комплекса административных зданий; Оказание услуг круглосуточной физической охраны комплекса административных зданий</v>
      </c>
      <c r="G531" s="22" t="s">
        <v>72</v>
      </c>
      <c r="H531" s="22" t="s">
        <v>949</v>
      </c>
      <c r="I531" s="26">
        <v>43739.5493055556</v>
      </c>
      <c r="J531" s="28" t="s">
        <v>52</v>
      </c>
      <c r="K531" s="28" t="s">
        <v>52</v>
      </c>
      <c r="L531" s="28" t="s">
        <v>52</v>
      </c>
      <c r="M531" s="28" t="s">
        <v>52</v>
      </c>
      <c r="N531" s="28" t="s">
        <v>52</v>
      </c>
    </row>
    <row r="532" spans="1:14" hidden="1" outlineLevel="1" x14ac:dyDescent="0.2">
      <c r="A532" s="23" t="str">
        <f>HYPERLINK("https://www.spark-marketing.ru/Card/Person/6275", "УПРАВЛЕНИЕ СУДЕБНОГО ДЕПАРТАМЕНТА В СВЕРДЛОВСКОЙ ОБЛАСТИ")</f>
        <v>УПРАВЛЕНИЕ СУДЕБНОГО ДЕПАРТАМЕНТА В СВЕРДЛОВСКОЙ ОБЛАСТИ</v>
      </c>
      <c r="B532" s="24" t="s">
        <v>1175</v>
      </c>
      <c r="C532" s="25">
        <v>345600</v>
      </c>
      <c r="D532" s="22" t="s">
        <v>1176</v>
      </c>
      <c r="E532" s="22" t="s">
        <v>68</v>
      </c>
      <c r="F532" s="23" t="str">
        <f>HYPERLINK("https://www.spark-marketing.ru/Card/Lot/74110341", "Оказание услуг круглосуточной физической охраны комплекса административных зданий; Оказание услуг круглосуточной физической охраны комплекса административных зданий")</f>
        <v>Оказание услуг круглосуточной физической охраны комплекса административных зданий; Оказание услуг круглосуточной физической охраны комплекса административных зданий</v>
      </c>
      <c r="G532" s="22" t="s">
        <v>72</v>
      </c>
      <c r="H532" s="22" t="s">
        <v>949</v>
      </c>
      <c r="I532" s="26">
        <v>43739.5493055556</v>
      </c>
      <c r="J532" s="23" t="str">
        <f>HYPERLINK("https://www.spark-marketing.ru/Card/Person/58845", "ООО ЧОП ""АГЕНТСТВО БИЗНЕС-БЕЗОПАСНОСТЬ""")</f>
        <v>ООО ЧОП "АГЕНТСТВО БИЗНЕС-БЕЗОПАСНОСТЬ"</v>
      </c>
      <c r="K532" s="24" t="s">
        <v>1177</v>
      </c>
      <c r="L532" s="28" t="s">
        <v>52</v>
      </c>
      <c r="M532" s="25">
        <v>257472</v>
      </c>
      <c r="N532" s="27">
        <v>0.255</v>
      </c>
    </row>
    <row r="533" spans="1:14" ht="12.75" hidden="1" outlineLevel="1" x14ac:dyDescent="0.2">
      <c r="A533" s="23" t="str">
        <f>HYPERLINK("https://www.spark-marketing.ru/Card/Person/6275", "УПРАВЛЕНИЕ СУДЕБНОГО ДЕПАРТАМЕНТА В СВЕРДЛОВСКОЙ ОБЛАСТИ")</f>
        <v>УПРАВЛЕНИЕ СУДЕБНОГО ДЕПАРТАМЕНТА В СВЕРДЛОВСКОЙ ОБЛАСТИ</v>
      </c>
      <c r="B533" s="24" t="s">
        <v>1175</v>
      </c>
      <c r="C533" s="25">
        <v>345600</v>
      </c>
      <c r="D533" s="22" t="s">
        <v>1176</v>
      </c>
      <c r="E533" s="22" t="s">
        <v>68</v>
      </c>
      <c r="F533" s="23" t="str">
        <f>HYPERLINK("https://www.spark-marketing.ru/Card/Lot/74110341", "Оказание услуг круглосуточной физической охраны комплекса административных зданий; Оказание услуг круглосуточной физической охраны комплекса административных зданий")</f>
        <v>Оказание услуг круглосуточной физической охраны комплекса административных зданий; Оказание услуг круглосуточной физической охраны комплекса административных зданий</v>
      </c>
      <c r="G533" s="22" t="s">
        <v>72</v>
      </c>
      <c r="H533" s="22" t="s">
        <v>949</v>
      </c>
      <c r="I533" s="26">
        <v>43739.5493055556</v>
      </c>
      <c r="J533" s="23" t="str">
        <f>HYPERLINK("https://www.spark-marketing.ru/Card/Person/65306", "ООО ЧОО ""МИЛИЦИЯ""")</f>
        <v>ООО ЧОО "МИЛИЦИЯ"</v>
      </c>
      <c r="K533" s="24" t="s">
        <v>1178</v>
      </c>
      <c r="L533" s="22" t="s">
        <v>10</v>
      </c>
      <c r="M533" s="25">
        <v>255744</v>
      </c>
      <c r="N533" s="27">
        <v>0.26</v>
      </c>
    </row>
    <row r="534" spans="1:14" x14ac:dyDescent="0.15">
      <c r="A534" s="23" t="str">
        <f>HYPERLINK("https://www.spark-marketing.ru/Card/Person/2097942", "АО ""КОНЦЕРН РОСЭНЕРГОАТОМ""")</f>
        <v>АО "КОНЦЕРН РОСЭНЕРГОАТОМ"</v>
      </c>
      <c r="B534" s="24" t="s">
        <v>211</v>
      </c>
      <c r="C534" s="28" t="s">
        <v>52</v>
      </c>
      <c r="D534" s="22" t="s">
        <v>1179</v>
      </c>
      <c r="E534" s="22" t="s">
        <v>68</v>
      </c>
      <c r="F534" s="23" t="str">
        <f>HYPERLINK("https://www.spark-marketing.ru/Card/Lot/74097142", "Оказание услуг по охране объектов строящейся Балтийской АЭС, обеспечению пропускного и внутриобъектового режимов")</f>
        <v>Оказание услуг по охране объектов строящейся Балтийской АЭС, обеспечению пропускного и внутриобъектового режимов</v>
      </c>
      <c r="G534" s="22" t="s">
        <v>55</v>
      </c>
      <c r="H534" s="22" t="s">
        <v>55</v>
      </c>
      <c r="I534" s="26">
        <v>43739.533460648097</v>
      </c>
      <c r="J534" s="28" t="s">
        <v>52</v>
      </c>
      <c r="K534" s="28" t="s">
        <v>52</v>
      </c>
      <c r="L534" s="28" t="s">
        <v>52</v>
      </c>
      <c r="M534" s="28" t="s">
        <v>52</v>
      </c>
      <c r="N534" s="28" t="s">
        <v>52</v>
      </c>
    </row>
    <row r="535" spans="1:14" x14ac:dyDescent="0.15">
      <c r="A535" s="23" t="str">
        <f>HYPERLINK("https://www.spark-marketing.ru/Card/Person/6488571", "ФЛ АО КОНЦЕРН РОСЭНЕРГОАТОМ ДИРЕКЦИЯ СТРОЯЩЕЙСЯ БАЛТИЙСКОЙ АТОМНОЙ СТАНЦИИ")</f>
        <v>ФЛ АО КОНЦЕРН РОСЭНЕРГОАТОМ ДИРЕКЦИЯ СТРОЯЩЕЙСЯ БАЛТИЙСКОЙ АТОМНОЙ СТАНЦИИ</v>
      </c>
      <c r="B535" s="28" t="s">
        <v>52</v>
      </c>
      <c r="C535" s="25">
        <v>0</v>
      </c>
      <c r="D535" s="22" t="s">
        <v>1180</v>
      </c>
      <c r="E535" s="22" t="s">
        <v>53</v>
      </c>
      <c r="F535" s="23" t="str">
        <f>HYPERLINK("https://www.spark-marketing.ru/Card/Lot/74093996", "мониторинг цен в электронной форме на Оказание услуг по охране объектов строящейся Балтийской АЭС, обеспечению пропускного и внутриобъектового режимов")</f>
        <v>мониторинг цен в электронной форме на Оказание услуг по охране объектов строящейся Балтийской АЭС, обеспечению пропускного и внутриобъектового режимов</v>
      </c>
      <c r="G535" s="22" t="s">
        <v>52</v>
      </c>
      <c r="H535" s="22" t="s">
        <v>52</v>
      </c>
      <c r="I535" s="26">
        <v>43739.533425925903</v>
      </c>
      <c r="J535" s="28" t="s">
        <v>52</v>
      </c>
      <c r="K535" s="28" t="s">
        <v>52</v>
      </c>
      <c r="L535" s="28" t="s">
        <v>52</v>
      </c>
      <c r="M535" s="28" t="s">
        <v>52</v>
      </c>
      <c r="N535" s="28" t="s">
        <v>52</v>
      </c>
    </row>
    <row r="536" spans="1:14" x14ac:dyDescent="0.15">
      <c r="A536" s="23" t="str">
        <f>HYPERLINK("https://www.spark-marketing.ru/Card/Person/61399", "УМВД РОССИИ ПО НЕНЕЦКОМУ АВТОНОМНОМУ ОКРУГУ")</f>
        <v>УМВД РОССИИ ПО НЕНЕЦКОМУ АВТОНОМНОМУ ОКРУГУ</v>
      </c>
      <c r="B536" s="24" t="s">
        <v>1011</v>
      </c>
      <c r="C536" s="25">
        <v>45000</v>
      </c>
      <c r="D536" s="22" t="s">
        <v>1181</v>
      </c>
      <c r="E536" s="22" t="s">
        <v>1013</v>
      </c>
      <c r="F536" s="23" t="str">
        <f>HYPERLINK("https://www.spark-marketing.ru/Card/Lot/74091054", "Техническое обслуживание системы видеонаблюдения, 1 усл. ед")</f>
        <v>Техническое обслуживание системы видеонаблюдения, 1 усл. ед</v>
      </c>
      <c r="G536" s="22" t="s">
        <v>1014</v>
      </c>
      <c r="H536" s="22" t="s">
        <v>1015</v>
      </c>
      <c r="I536" s="26">
        <v>43739.528657407398</v>
      </c>
      <c r="J536" s="28" t="s">
        <v>52</v>
      </c>
      <c r="K536" s="28" t="s">
        <v>52</v>
      </c>
      <c r="L536" s="28" t="s">
        <v>52</v>
      </c>
      <c r="M536" s="28" t="s">
        <v>52</v>
      </c>
      <c r="N536" s="28" t="s">
        <v>52</v>
      </c>
    </row>
    <row r="537" spans="1:14" x14ac:dyDescent="0.15">
      <c r="A537" s="23" t="str">
        <f>HYPERLINK("https://www.spark-marketing.ru/Card/Person/4431", "ФКУЗ ""ГКГ МВД РОССИИ""")</f>
        <v>ФКУЗ "ГКГ МВД РОССИИ"</v>
      </c>
      <c r="B537" s="24" t="s">
        <v>1182</v>
      </c>
      <c r="C537" s="25">
        <v>198800.94</v>
      </c>
      <c r="D537" s="22" t="s">
        <v>1183</v>
      </c>
      <c r="E537" s="22" t="s">
        <v>53</v>
      </c>
      <c r="F537" s="23" t="str">
        <f>HYPERLINK("https://www.spark-marketing.ru/Card/Lot/74088946", "ТО комплекса технических средств охраны")</f>
        <v>ТО комплекса технических средств охраны</v>
      </c>
      <c r="G537" s="22" t="s">
        <v>55</v>
      </c>
      <c r="H537" s="22" t="s">
        <v>55</v>
      </c>
      <c r="I537" s="26">
        <v>43739.4629166667</v>
      </c>
      <c r="J537" s="28" t="s">
        <v>52</v>
      </c>
      <c r="K537" s="28" t="s">
        <v>52</v>
      </c>
      <c r="L537" s="28" t="s">
        <v>52</v>
      </c>
      <c r="M537" s="28" t="s">
        <v>52</v>
      </c>
      <c r="N537" s="28" t="s">
        <v>52</v>
      </c>
    </row>
    <row r="538" spans="1:14" x14ac:dyDescent="0.15">
      <c r="A538" s="23" t="str">
        <f>HYPERLINK("https://www.spark-marketing.ru/Card/Person/53707", "ЯКУТНЕДРА")</f>
        <v>ЯКУТНЕДРА</v>
      </c>
      <c r="B538" s="24" t="s">
        <v>1184</v>
      </c>
      <c r="C538" s="25">
        <v>26082.9</v>
      </c>
      <c r="D538" s="22" t="s">
        <v>1185</v>
      </c>
      <c r="E538" s="22" t="s">
        <v>53</v>
      </c>
      <c r="F538" s="23" t="str">
        <f>HYPERLINK("https://www.spark-marketing.ru/Card/Lot/74090372", "Услуги по охране объектов с помощью пульта централизованного управления")</f>
        <v>Услуги по охране объектов с помощью пульта централизованного управления</v>
      </c>
      <c r="G538" s="22" t="s">
        <v>424</v>
      </c>
      <c r="H538" s="22" t="s">
        <v>1186</v>
      </c>
      <c r="I538" s="26">
        <v>43739.481226851902</v>
      </c>
      <c r="J538" s="28" t="s">
        <v>52</v>
      </c>
      <c r="K538" s="28" t="s">
        <v>52</v>
      </c>
      <c r="L538" s="28" t="s">
        <v>52</v>
      </c>
      <c r="M538" s="28" t="s">
        <v>52</v>
      </c>
      <c r="N538" s="28" t="s">
        <v>52</v>
      </c>
    </row>
    <row r="539" spans="1:14" x14ac:dyDescent="0.15">
      <c r="A539" s="23" t="str">
        <f>HYPERLINK("https://www.spark-marketing.ru/Card/Person/1004389", "МБУК ДК ""СОБОЛЕВСКИЙ""")</f>
        <v>МБУК ДК "СОБОЛЕВСКИЙ"</v>
      </c>
      <c r="B539" s="24" t="s">
        <v>1187</v>
      </c>
      <c r="C539" s="25">
        <v>166683.32999999999</v>
      </c>
      <c r="D539" s="22" t="s">
        <v>1188</v>
      </c>
      <c r="E539" s="22" t="s">
        <v>84</v>
      </c>
      <c r="F539" s="23" t="str">
        <f>HYPERLINK("https://www.spark-marketing.ru/Card/Lot/74107037", "Установка системы IP - видеонаблюдения для МБУК ДК ""Соболевский""")</f>
        <v>Установка системы IP - видеонаблюдения для МБУК ДК "Соболевский"</v>
      </c>
      <c r="G539" s="22" t="s">
        <v>50</v>
      </c>
      <c r="H539" s="22" t="s">
        <v>50</v>
      </c>
      <c r="I539" s="26">
        <v>43739.470138888901</v>
      </c>
      <c r="J539" s="28" t="s">
        <v>52</v>
      </c>
      <c r="K539" s="28" t="s">
        <v>52</v>
      </c>
      <c r="L539" s="28" t="s">
        <v>52</v>
      </c>
      <c r="M539" s="28" t="s">
        <v>52</v>
      </c>
      <c r="N539" s="28" t="s">
        <v>52</v>
      </c>
    </row>
    <row r="540" spans="1:14" x14ac:dyDescent="0.15">
      <c r="A540" s="23" t="str">
        <f>HYPERLINK("https://www.spark-marketing.ru/Card/Person/9243", "ГКУ ""ДАГЕСТАНАВТОДОР""")</f>
        <v>ГКУ "ДАГЕСТАНАВТОДОР"</v>
      </c>
      <c r="B540" s="24" t="s">
        <v>1189</v>
      </c>
      <c r="C540" s="25">
        <v>109000000</v>
      </c>
      <c r="D540" s="22" t="s">
        <v>1190</v>
      </c>
      <c r="E540" s="22" t="s">
        <v>508</v>
      </c>
      <c r="F540" s="23" t="str">
        <f>HYPERLINK("https://www.spark-marketing.ru/Card/Lot/74106313", "Установка систем видеоконтроля (камер фото-видеофиксации нарушений правил дорожного движения) в Республике Дагестан")</f>
        <v>Установка систем видеоконтроля (камер фото-видеофиксации нарушений правил дорожного движения) в Республике Дагестан</v>
      </c>
      <c r="G540" s="22" t="s">
        <v>595</v>
      </c>
      <c r="H540" s="22" t="s">
        <v>595</v>
      </c>
      <c r="I540" s="26">
        <v>43739.487534722197</v>
      </c>
      <c r="J540" s="23" t="str">
        <f>HYPERLINK("https://www.spark-marketing.ru/Card/Person/1354238", "ООО ""ЛАБОРАТОРИЯ ЦИФРОВОГО ЗРЕНИЯ""")</f>
        <v>ООО "ЛАБОРАТОРИЯ ЦИФРОВОГО ЗРЕНИЯ"</v>
      </c>
      <c r="K540" s="24" t="s">
        <v>1191</v>
      </c>
      <c r="L540" s="28" t="s">
        <v>52</v>
      </c>
      <c r="M540" s="28" t="s">
        <v>52</v>
      </c>
      <c r="N540" s="28" t="s">
        <v>52</v>
      </c>
    </row>
    <row r="541" spans="1:14" ht="12.75" hidden="1" outlineLevel="1" x14ac:dyDescent="0.2">
      <c r="A541" s="23" t="str">
        <f>HYPERLINK("https://www.spark-marketing.ru/Card/Person/9243", "ГКУ ""ДАГЕСТАНАВТОДОР""")</f>
        <v>ГКУ "ДАГЕСТАНАВТОДОР"</v>
      </c>
      <c r="B541" s="24" t="s">
        <v>1189</v>
      </c>
      <c r="C541" s="25">
        <v>109000000</v>
      </c>
      <c r="D541" s="22" t="s">
        <v>1190</v>
      </c>
      <c r="E541" s="22" t="s">
        <v>508</v>
      </c>
      <c r="F541" s="23" t="str">
        <f>HYPERLINK("https://www.spark-marketing.ru/Card/Lot/74106313", "Установка систем видеоконтроля (камер фото-видеофиксации нарушений правил дорожного движения) в Республике Дагестан")</f>
        <v>Установка систем видеоконтроля (камер фото-видеофиксации нарушений правил дорожного движения) в Республике Дагестан</v>
      </c>
      <c r="G541" s="22" t="s">
        <v>595</v>
      </c>
      <c r="H541" s="22" t="s">
        <v>595</v>
      </c>
      <c r="I541" s="26">
        <v>43739.487534722197</v>
      </c>
      <c r="J541" s="23" t="str">
        <f>HYPERLINK("https://www.spark-marketing.ru/Card/Person/1354238", "ООО ""ЛАБОРАТОРИЯ ЦИФРОВОГО ЗРЕНИЯ""")</f>
        <v>ООО "ЛАБОРАТОРИЯ ЦИФРОВОГО ЗРЕНИЯ"</v>
      </c>
      <c r="K541" s="24" t="s">
        <v>1191</v>
      </c>
      <c r="L541" s="22" t="s">
        <v>10</v>
      </c>
      <c r="M541" s="25">
        <v>108455000</v>
      </c>
      <c r="N541" s="27">
        <v>5.0000000000000001E-3</v>
      </c>
    </row>
    <row r="542" spans="1:14" x14ac:dyDescent="0.15">
      <c r="A542" s="23" t="str">
        <f>HYPERLINK("https://www.spark-marketing.ru/Card/Person/1031248", "МДОУ № 1 Г. МОЖАЙСКА")</f>
        <v>МДОУ № 1 Г. МОЖАЙСКА</v>
      </c>
      <c r="B542" s="24" t="s">
        <v>1192</v>
      </c>
      <c r="C542" s="25">
        <v>40530</v>
      </c>
      <c r="D542" s="22" t="s">
        <v>1193</v>
      </c>
      <c r="E542" s="22" t="s">
        <v>1194</v>
      </c>
      <c r="F542" s="23" t="str">
        <f>HYPERLINK("https://www.spark-marketing.ru/Card/Lot/74089554", "Приобретение и установка камер видеонаблюдения и жесткого диска")</f>
        <v>Приобретение и установка камер видеонаблюдения и жесткого диска</v>
      </c>
      <c r="G542" s="22" t="s">
        <v>50</v>
      </c>
      <c r="H542" s="22" t="s">
        <v>946</v>
      </c>
      <c r="I542" s="26">
        <v>43739.419594907398</v>
      </c>
      <c r="J542" s="28" t="s">
        <v>52</v>
      </c>
      <c r="K542" s="28" t="s">
        <v>52</v>
      </c>
      <c r="L542" s="28" t="s">
        <v>52</v>
      </c>
      <c r="M542" s="28" t="s">
        <v>52</v>
      </c>
      <c r="N542" s="28" t="s">
        <v>52</v>
      </c>
    </row>
    <row r="543" spans="1:14" x14ac:dyDescent="0.15">
      <c r="A543" s="23" t="str">
        <f>HYPERLINK("https://www.spark-marketing.ru/Card/Person/1024498", "СЕМЕНОВСКАЯ СРЕДНЯЯ ШКОЛА")</f>
        <v>СЕМЕНОВСКАЯ СРЕДНЯЯ ШКОЛА</v>
      </c>
      <c r="B543" s="24" t="s">
        <v>1195</v>
      </c>
      <c r="C543" s="25">
        <v>221000</v>
      </c>
      <c r="D543" s="22" t="s">
        <v>1196</v>
      </c>
      <c r="E543" s="22" t="s">
        <v>208</v>
      </c>
      <c r="F543" s="23" t="str">
        <f>HYPERLINK("https://www.spark-marketing.ru/Card/Lot/74107413", "Поставка и установка системы контроля и управления доступом, стационарной рамки металлодетектора, видеодомофона")</f>
        <v>Поставка и установка системы контроля и управления доступом, стационарной рамки металлодетектора, видеодомофона</v>
      </c>
      <c r="G543" s="22" t="s">
        <v>50</v>
      </c>
      <c r="H543" s="22" t="s">
        <v>399</v>
      </c>
      <c r="I543" s="26">
        <v>43739.444444444402</v>
      </c>
      <c r="J543" s="28" t="s">
        <v>52</v>
      </c>
      <c r="K543" s="28" t="s">
        <v>52</v>
      </c>
      <c r="L543" s="28" t="s">
        <v>52</v>
      </c>
      <c r="M543" s="28" t="s">
        <v>52</v>
      </c>
      <c r="N543" s="28" t="s">
        <v>52</v>
      </c>
    </row>
    <row r="544" spans="1:14" hidden="1" outlineLevel="1" x14ac:dyDescent="0.2">
      <c r="A544" s="23" t="str">
        <f>HYPERLINK("https://www.spark-marketing.ru/Card/Person/1024498", "СЕМЕНОВСКАЯ СРЕДНЯЯ ШКОЛА")</f>
        <v>СЕМЕНОВСКАЯ СРЕДНЯЯ ШКОЛА</v>
      </c>
      <c r="B544" s="24" t="s">
        <v>1195</v>
      </c>
      <c r="C544" s="25">
        <v>221000</v>
      </c>
      <c r="D544" s="22" t="s">
        <v>1196</v>
      </c>
      <c r="E544" s="22" t="s">
        <v>208</v>
      </c>
      <c r="F544" s="23" t="str">
        <f>HYPERLINK("https://www.spark-marketing.ru/Card/Lot/74107413", "Поставка и установка системы контроля и управления доступом, стационарной рамки металлодетектора, видеодомофона")</f>
        <v>Поставка и установка системы контроля и управления доступом, стационарной рамки металлодетектора, видеодомофона</v>
      </c>
      <c r="G544" s="22" t="s">
        <v>50</v>
      </c>
      <c r="H544" s="22" t="s">
        <v>399</v>
      </c>
      <c r="I544" s="26">
        <v>43739.444444444402</v>
      </c>
      <c r="J544" s="23" t="str">
        <f>HYPERLINK("https://www.spark-marketing.ru/Card/Person/6676612", "ООО ""МЕСН-ЖК""")</f>
        <v>ООО "МЕСН-ЖК"</v>
      </c>
      <c r="K544" s="24" t="s">
        <v>1197</v>
      </c>
      <c r="L544" s="28" t="s">
        <v>52</v>
      </c>
      <c r="M544" s="25">
        <v>189000.76</v>
      </c>
      <c r="N544" s="27">
        <v>0.1447929411764706</v>
      </c>
    </row>
    <row r="545" spans="1:14" ht="12.75" hidden="1" outlineLevel="1" x14ac:dyDescent="0.2">
      <c r="A545" s="23" t="str">
        <f>HYPERLINK("https://www.spark-marketing.ru/Card/Person/1024498", "СЕМЕНОВСКАЯ СРЕДНЯЯ ШКОЛА")</f>
        <v>СЕМЕНОВСКАЯ СРЕДНЯЯ ШКОЛА</v>
      </c>
      <c r="B545" s="24" t="s">
        <v>1195</v>
      </c>
      <c r="C545" s="25">
        <v>221000</v>
      </c>
      <c r="D545" s="22" t="s">
        <v>1196</v>
      </c>
      <c r="E545" s="22" t="s">
        <v>208</v>
      </c>
      <c r="F545" s="23" t="str">
        <f>HYPERLINK("https://www.spark-marketing.ru/Card/Lot/74107413", "Поставка и установка системы контроля и управления доступом, стационарной рамки металлодетектора, видеодомофона")</f>
        <v>Поставка и установка системы контроля и управления доступом, стационарной рамки металлодетектора, видеодомофона</v>
      </c>
      <c r="G545" s="22" t="s">
        <v>50</v>
      </c>
      <c r="H545" s="22" t="s">
        <v>399</v>
      </c>
      <c r="I545" s="26">
        <v>43739.444444444402</v>
      </c>
      <c r="J545" s="23" t="str">
        <f>HYPERLINK("https://www.spark-marketing.ru/Card/Person/4439350", "ООО ""ЧОО ""ТРИГЛАВ""")</f>
        <v>ООО "ЧОО "ТРИГЛАВ"</v>
      </c>
      <c r="K545" s="24" t="s">
        <v>1198</v>
      </c>
      <c r="L545" s="22" t="s">
        <v>10</v>
      </c>
      <c r="M545" s="25">
        <v>187895.76</v>
      </c>
      <c r="N545" s="27">
        <v>0.1497929411764706</v>
      </c>
    </row>
    <row r="546" spans="1:14" x14ac:dyDescent="0.15">
      <c r="A546" s="23" t="str">
        <f>HYPERLINK("https://www.spark-marketing.ru/Card/Person/259897", "АО ""КАЛУГАНЕФТЕПРОДУКТ""")</f>
        <v>АО "КАЛУГАНЕФТЕПРОДУКТ"</v>
      </c>
      <c r="B546" s="24" t="s">
        <v>1199</v>
      </c>
      <c r="C546" s="25">
        <v>4515502.8</v>
      </c>
      <c r="D546" s="22" t="s">
        <v>1200</v>
      </c>
      <c r="E546" s="22" t="s">
        <v>930</v>
      </c>
      <c r="F546" s="23" t="str">
        <f>HYPERLINK("https://www.spark-marketing.ru/Card/Lot/74089306", "Услуги по эксплуатационному обслуживанию техническихсредств охраны на объектах АО «Калуганефтепродукт»")</f>
        <v>Услуги по эксплуатационному обслуживанию техническихсредств охраны на объектах АО «Калуганефтепродукт»</v>
      </c>
      <c r="G546" s="22" t="s">
        <v>658</v>
      </c>
      <c r="H546" s="22" t="s">
        <v>741</v>
      </c>
      <c r="I546" s="26">
        <v>43739.421527777798</v>
      </c>
      <c r="J546" s="28" t="s">
        <v>52</v>
      </c>
      <c r="K546" s="28" t="s">
        <v>52</v>
      </c>
      <c r="L546" s="28" t="s">
        <v>52</v>
      </c>
      <c r="M546" s="28" t="s">
        <v>52</v>
      </c>
      <c r="N546" s="28" t="s">
        <v>52</v>
      </c>
    </row>
    <row r="547" spans="1:14" x14ac:dyDescent="0.15">
      <c r="A547" s="23" t="str">
        <f>HYPERLINK("https://www.spark-marketing.ru/Card/Person/61364", "ГБУЗ РХ ""АБАЗИНСКАЯ ГОРОДСКАЯ БОЛЬНИЦА""")</f>
        <v>ГБУЗ РХ "АБАЗИНСКАЯ ГОРОДСКАЯ БОЛЬНИЦА"</v>
      </c>
      <c r="B547" s="24" t="s">
        <v>1201</v>
      </c>
      <c r="C547" s="25">
        <v>80400</v>
      </c>
      <c r="D547" s="22" t="s">
        <v>1202</v>
      </c>
      <c r="E547" s="22" t="s">
        <v>68</v>
      </c>
      <c r="F547" s="23" t="str">
        <f>HYPERLINK("https://www.spark-marketing.ru/Card/Lot/74105339", "Оказание услуг по охране объектов с помощью технических средств охраны")</f>
        <v>Оказание услуг по охране объектов с помощью технических средств охраны</v>
      </c>
      <c r="G547" s="22" t="s">
        <v>1041</v>
      </c>
      <c r="H547" s="22" t="s">
        <v>1203</v>
      </c>
      <c r="I547" s="26">
        <v>43739.426388888904</v>
      </c>
      <c r="J547" s="23" t="str">
        <f>HYPERLINK("https://www.spark-marketing.ru/Card/Person/1649993", "ООО ЧОП ""ФОРТ-ЗАПАД""")</f>
        <v>ООО ЧОП "ФОРТ-ЗАПАД"</v>
      </c>
      <c r="K547" s="24" t="s">
        <v>1204</v>
      </c>
      <c r="L547" s="22" t="s">
        <v>10</v>
      </c>
      <c r="M547" s="28" t="s">
        <v>52</v>
      </c>
      <c r="N547" s="28" t="s">
        <v>52</v>
      </c>
    </row>
    <row r="548" spans="1:14" x14ac:dyDescent="0.15">
      <c r="A548" s="23" t="str">
        <f>HYPERLINK("https://www.spark-marketing.ru/Card/Person/61291", "МБОУ ""Тучковская СОШ №3""")</f>
        <v>МБОУ "Тучковская СОШ №3"</v>
      </c>
      <c r="B548" s="24" t="s">
        <v>1205</v>
      </c>
      <c r="C548" s="25">
        <v>120000</v>
      </c>
      <c r="D548" s="22" t="s">
        <v>1206</v>
      </c>
      <c r="E548" s="22" t="s">
        <v>194</v>
      </c>
      <c r="F548" s="23" t="str">
        <f>HYPERLINK("https://www.spark-marketing.ru/Card/Lot/74089565", "Оказание услуг по поставке и установке системы наружного видеонаблюдения с подключением к системе технологического обеспечения региональной общественной безопасности и оперативного управления ""Безопасный регион""")</f>
        <v>Оказание услуг по поставке и установке системы наружного видеонаблюдения с подключением к системе технологического обеспечения региональной общественной безопасности и оперативного управления "Безопасный регион"</v>
      </c>
      <c r="G548" s="22" t="s">
        <v>50</v>
      </c>
      <c r="H548" s="22" t="s">
        <v>1207</v>
      </c>
      <c r="I548" s="26">
        <v>43739.4203009259</v>
      </c>
      <c r="J548" s="28" t="s">
        <v>52</v>
      </c>
      <c r="K548" s="28" t="s">
        <v>52</v>
      </c>
      <c r="L548" s="28" t="s">
        <v>52</v>
      </c>
      <c r="M548" s="28" t="s">
        <v>52</v>
      </c>
      <c r="N548" s="28" t="s">
        <v>52</v>
      </c>
    </row>
    <row r="549" spans="1:14" x14ac:dyDescent="0.15">
      <c r="A549" s="23" t="str">
        <f>HYPERLINK("https://www.spark-marketing.ru/Card/Person/4347247", "ГБУЗ ""ОКВД № 3""")</f>
        <v>ГБУЗ "ОКВД № 3"</v>
      </c>
      <c r="B549" s="24" t="s">
        <v>1208</v>
      </c>
      <c r="C549" s="25">
        <v>214070.23</v>
      </c>
      <c r="D549" s="22" t="s">
        <v>1209</v>
      </c>
      <c r="E549" s="22" t="s">
        <v>59</v>
      </c>
      <c r="F549" s="23" t="str">
        <f>HYPERLINK("https://www.spark-marketing.ru/Card/Lot/74106224", "Обеспечение комплексной безопасности организаций Челябинской области. Установка системы видеонаблюдения в поликлиническом отделении №4 по адресу: г. Челябинск, ул.Белостоцкого,7а.")</f>
        <v>Обеспечение комплексной безопасности организаций Челябинской области. Установка системы видеонаблюдения в поликлиническом отделении №4 по адресу: г. Челябинск, ул.Белостоцкого,7а.</v>
      </c>
      <c r="G549" s="22" t="s">
        <v>60</v>
      </c>
      <c r="H549" s="22" t="s">
        <v>60</v>
      </c>
      <c r="I549" s="26">
        <v>43739.367812500001</v>
      </c>
      <c r="J549" s="23" t="str">
        <f>HYPERLINK("https://www.spark-marketing.ru/Card/Person/4408755", "ООО ""ВЕРТИКАЛЬ""")</f>
        <v>ООО "ВЕРТИКАЛЬ"</v>
      </c>
      <c r="K549" s="24" t="s">
        <v>1210</v>
      </c>
      <c r="L549" s="28" t="s">
        <v>52</v>
      </c>
      <c r="M549" s="28" t="s">
        <v>52</v>
      </c>
      <c r="N549" s="28" t="s">
        <v>52</v>
      </c>
    </row>
    <row r="550" spans="1:14" hidden="1" outlineLevel="1" x14ac:dyDescent="0.15">
      <c r="A550" s="23" t="str">
        <f>HYPERLINK("https://www.spark-marketing.ru/Card/Person/4347247", "ГБУЗ ""ОКВД № 3""")</f>
        <v>ГБУЗ "ОКВД № 3"</v>
      </c>
      <c r="B550" s="24" t="s">
        <v>1208</v>
      </c>
      <c r="C550" s="25">
        <v>214070.23</v>
      </c>
      <c r="D550" s="22" t="s">
        <v>1209</v>
      </c>
      <c r="E550" s="22" t="s">
        <v>59</v>
      </c>
      <c r="F550" s="23" t="str">
        <f>HYPERLINK("https://www.spark-marketing.ru/Card/Lot/74106224", "Обеспечение комплексной безопасности организаций Челябинской области. Установка системы видеонаблюдения в поликлиническом отделении №4 по адресу: г. Челябинск, ул.Белостоцкого,7а.")</f>
        <v>Обеспечение комплексной безопасности организаций Челябинской области. Установка системы видеонаблюдения в поликлиническом отделении №4 по адресу: г. Челябинск, ул.Белостоцкого,7а.</v>
      </c>
      <c r="G550" s="22" t="s">
        <v>60</v>
      </c>
      <c r="H550" s="22" t="s">
        <v>60</v>
      </c>
      <c r="I550" s="26">
        <v>43739.367812500001</v>
      </c>
      <c r="J550" s="23" t="str">
        <f>HYPERLINK("https://www.spark-marketing.ru/Card/Person/4408755", "ООО ""ВЕРТИКАЛЬ""")</f>
        <v>ООО "ВЕРТИКАЛЬ"</v>
      </c>
      <c r="K550" s="24" t="s">
        <v>1210</v>
      </c>
      <c r="L550" s="22" t="s">
        <v>10</v>
      </c>
      <c r="M550" s="28" t="s">
        <v>52</v>
      </c>
      <c r="N550" s="28" t="s">
        <v>52</v>
      </c>
    </row>
    <row r="551" spans="1:14" x14ac:dyDescent="0.15">
      <c r="A551" s="23" t="str">
        <f>HYPERLINK("https://www.spark-marketing.ru/Card/Person/37988", "ОТДЕЛ МВД РОССИИ ПО АНЖЕРО-СУДЖЕНСКОМУ ГОРОДСКОМУ ОКРУГУ")</f>
        <v>ОТДЕЛ МВД РОССИИ ПО АНЖЕРО-СУДЖЕНСКОМУ ГОРОДСКОМУ ОКРУГУ</v>
      </c>
      <c r="B551" s="24" t="s">
        <v>1211</v>
      </c>
      <c r="C551" s="25">
        <v>900</v>
      </c>
      <c r="D551" s="22" t="s">
        <v>1212</v>
      </c>
      <c r="E551" s="22" t="s">
        <v>103</v>
      </c>
      <c r="F551" s="23" t="str">
        <f>HYPERLINK("https://www.spark-marketing.ru/Card/Lot/74086312", "Техническое обслуживание видеонаблюдения, 1 усл. ед")</f>
        <v>Техническое обслуживание видеонаблюдения, 1 усл. ед</v>
      </c>
      <c r="G551" s="22" t="s">
        <v>367</v>
      </c>
      <c r="H551" s="22" t="s">
        <v>1213</v>
      </c>
      <c r="I551" s="26">
        <v>43739.344375000001</v>
      </c>
      <c r="J551" s="28" t="s">
        <v>52</v>
      </c>
      <c r="K551" s="28" t="s">
        <v>52</v>
      </c>
      <c r="L551" s="28" t="s">
        <v>52</v>
      </c>
      <c r="M551" s="28" t="s">
        <v>52</v>
      </c>
      <c r="N551" s="28" t="s">
        <v>52</v>
      </c>
    </row>
    <row r="552" spans="1:14" x14ac:dyDescent="0.15">
      <c r="A552" s="23" t="str">
        <f t="shared" ref="A552:A559" si="6">HYPERLINK("https://www.spark-marketing.ru/Card/Person/17308", "ГБУЗ ""ГП № 12 ДЗМ""")</f>
        <v>ГБУЗ "ГП № 12 ДЗМ"</v>
      </c>
      <c r="B552" s="24" t="s">
        <v>1214</v>
      </c>
      <c r="C552" s="25">
        <v>271059.18</v>
      </c>
      <c r="D552" s="22" t="s">
        <v>1215</v>
      </c>
      <c r="E552" s="22" t="s">
        <v>84</v>
      </c>
      <c r="F552" s="23" t="str">
        <f t="shared" ref="F552:F559" si="7">HYPERLINK("https://www.spark-marketing.ru/Card/Lot/74108389", "Аукцион в электронной форме на выполнение работ по монтажу видеонаблюдения для нужд ГБУЗ ""ГП № 12 ДЗМ"" в 2019 году")</f>
        <v>Аукцион в электронной форме на выполнение работ по монтажу видеонаблюдения для нужд ГБУЗ "ГП № 12 ДЗМ" в 2019 году</v>
      </c>
      <c r="G552" s="22" t="s">
        <v>55</v>
      </c>
      <c r="H552" s="22" t="s">
        <v>55</v>
      </c>
      <c r="I552" s="26">
        <v>43739.326388888898</v>
      </c>
      <c r="J552" s="28" t="s">
        <v>52</v>
      </c>
      <c r="K552" s="28" t="s">
        <v>52</v>
      </c>
      <c r="L552" s="28" t="s">
        <v>52</v>
      </c>
      <c r="M552" s="28" t="s">
        <v>52</v>
      </c>
      <c r="N552" s="28" t="s">
        <v>52</v>
      </c>
    </row>
    <row r="553" spans="1:14" hidden="1" outlineLevel="1" x14ac:dyDescent="0.2">
      <c r="A553" s="23" t="str">
        <f t="shared" si="6"/>
        <v>ГБУЗ "ГП № 12 ДЗМ"</v>
      </c>
      <c r="B553" s="24" t="s">
        <v>1214</v>
      </c>
      <c r="C553" s="25">
        <v>271059.18</v>
      </c>
      <c r="D553" s="22" t="s">
        <v>1215</v>
      </c>
      <c r="E553" s="22" t="s">
        <v>84</v>
      </c>
      <c r="F553" s="23" t="str">
        <f t="shared" si="7"/>
        <v>Аукцион в электронной форме на выполнение работ по монтажу видеонаблюдения для нужд ГБУЗ "ГП № 12 ДЗМ" в 2019 году</v>
      </c>
      <c r="G553" s="22" t="s">
        <v>55</v>
      </c>
      <c r="H553" s="22" t="s">
        <v>55</v>
      </c>
      <c r="I553" s="26">
        <v>43739.326388888898</v>
      </c>
      <c r="J553" s="23" t="str">
        <f>HYPERLINK("https://www.spark-marketing.ru/Card/Person/14846", "ООО ""ФЭЗЕРА""")</f>
        <v>ООО "ФЭЗЕРА"</v>
      </c>
      <c r="K553" s="24" t="s">
        <v>1216</v>
      </c>
      <c r="L553" s="28" t="s">
        <v>52</v>
      </c>
      <c r="M553" s="25">
        <v>178736.4</v>
      </c>
      <c r="N553" s="27">
        <v>0.34060008592957447</v>
      </c>
    </row>
    <row r="554" spans="1:14" hidden="1" outlineLevel="1" x14ac:dyDescent="0.2">
      <c r="A554" s="23" t="str">
        <f t="shared" si="6"/>
        <v>ГБУЗ "ГП № 12 ДЗМ"</v>
      </c>
      <c r="B554" s="24" t="s">
        <v>1214</v>
      </c>
      <c r="C554" s="25">
        <v>271059.18</v>
      </c>
      <c r="D554" s="22" t="s">
        <v>1215</v>
      </c>
      <c r="E554" s="22" t="s">
        <v>84</v>
      </c>
      <c r="F554" s="23" t="str">
        <f t="shared" si="7"/>
        <v>Аукцион в электронной форме на выполнение работ по монтажу видеонаблюдения для нужд ГБУЗ "ГП № 12 ДЗМ" в 2019 году</v>
      </c>
      <c r="G554" s="22" t="s">
        <v>55</v>
      </c>
      <c r="H554" s="22" t="s">
        <v>55</v>
      </c>
      <c r="I554" s="26">
        <v>43739.326388888898</v>
      </c>
      <c r="J554" s="23" t="str">
        <f>HYPERLINK("https://www.spark-marketing.ru/Card/Person/6726600", "Лембуров Анатолий Андреевич")</f>
        <v>Лембуров Анатолий Андреевич</v>
      </c>
      <c r="K554" s="24" t="s">
        <v>1217</v>
      </c>
      <c r="L554" s="28" t="s">
        <v>52</v>
      </c>
      <c r="M554" s="25">
        <v>230400.18</v>
      </c>
      <c r="N554" s="27">
        <v>0.15000045377544491</v>
      </c>
    </row>
    <row r="555" spans="1:14" hidden="1" outlineLevel="1" x14ac:dyDescent="0.2">
      <c r="A555" s="23" t="str">
        <f t="shared" si="6"/>
        <v>ГБУЗ "ГП № 12 ДЗМ"</v>
      </c>
      <c r="B555" s="24" t="s">
        <v>1214</v>
      </c>
      <c r="C555" s="25">
        <v>271059.18</v>
      </c>
      <c r="D555" s="22" t="s">
        <v>1215</v>
      </c>
      <c r="E555" s="22" t="s">
        <v>84</v>
      </c>
      <c r="F555" s="23" t="str">
        <f t="shared" si="7"/>
        <v>Аукцион в электронной форме на выполнение работ по монтажу видеонаблюдения для нужд ГБУЗ "ГП № 12 ДЗМ" в 2019 году</v>
      </c>
      <c r="G555" s="22" t="s">
        <v>55</v>
      </c>
      <c r="H555" s="22" t="s">
        <v>55</v>
      </c>
      <c r="I555" s="26">
        <v>43739.326388888898</v>
      </c>
      <c r="J555" s="23" t="str">
        <f>HYPERLINK("https://www.spark-marketing.ru/Card/Person/6528994", "ООО ""АВРОРА С""")</f>
        <v>ООО "АВРОРА С"</v>
      </c>
      <c r="K555" s="24" t="s">
        <v>1218</v>
      </c>
      <c r="L555" s="28" t="s">
        <v>52</v>
      </c>
      <c r="M555" s="25">
        <v>254795.58</v>
      </c>
      <c r="N555" s="27">
        <v>6.0000181510177962E-2</v>
      </c>
    </row>
    <row r="556" spans="1:14" hidden="1" outlineLevel="1" x14ac:dyDescent="0.2">
      <c r="A556" s="23" t="str">
        <f t="shared" si="6"/>
        <v>ГБУЗ "ГП № 12 ДЗМ"</v>
      </c>
      <c r="B556" s="24" t="s">
        <v>1214</v>
      </c>
      <c r="C556" s="25">
        <v>271059.18</v>
      </c>
      <c r="D556" s="22" t="s">
        <v>1215</v>
      </c>
      <c r="E556" s="22" t="s">
        <v>84</v>
      </c>
      <c r="F556" s="23" t="str">
        <f t="shared" si="7"/>
        <v>Аукцион в электронной форме на выполнение работ по монтажу видеонаблюдения для нужд ГБУЗ "ГП № 12 ДЗМ" в 2019 году</v>
      </c>
      <c r="G556" s="22" t="s">
        <v>55</v>
      </c>
      <c r="H556" s="22" t="s">
        <v>55</v>
      </c>
      <c r="I556" s="26">
        <v>43739.326388888898</v>
      </c>
      <c r="J556" s="23" t="str">
        <f>HYPERLINK("https://www.spark-marketing.ru/Card/Person/6445825", "Судариков Михаил Геннадьевич")</f>
        <v>Судариков Михаил Геннадьевич</v>
      </c>
      <c r="K556" s="24" t="s">
        <v>1219</v>
      </c>
      <c r="L556" s="28" t="s">
        <v>52</v>
      </c>
      <c r="M556" s="25">
        <v>201938.88</v>
      </c>
      <c r="N556" s="27">
        <v>0.25500077141825633</v>
      </c>
    </row>
    <row r="557" spans="1:14" hidden="1" outlineLevel="1" x14ac:dyDescent="0.2">
      <c r="A557" s="23" t="str">
        <f t="shared" si="6"/>
        <v>ГБУЗ "ГП № 12 ДЗМ"</v>
      </c>
      <c r="B557" s="24" t="s">
        <v>1214</v>
      </c>
      <c r="C557" s="25">
        <v>271059.18</v>
      </c>
      <c r="D557" s="22" t="s">
        <v>1215</v>
      </c>
      <c r="E557" s="22" t="s">
        <v>84</v>
      </c>
      <c r="F557" s="23" t="str">
        <f t="shared" si="7"/>
        <v>Аукцион в электронной форме на выполнение работ по монтажу видеонаблюдения для нужд ГБУЗ "ГП № 12 ДЗМ" в 2019 году</v>
      </c>
      <c r="G557" s="22" t="s">
        <v>55</v>
      </c>
      <c r="H557" s="22" t="s">
        <v>55</v>
      </c>
      <c r="I557" s="26">
        <v>43739.326388888898</v>
      </c>
      <c r="J557" s="23" t="str">
        <f>HYPERLINK("https://www.spark-marketing.ru/Card/Person/6207043", "ООО ""СФЕРА СИСТЕМ БЕЗОПАСНОСТИ""")</f>
        <v>ООО "СФЕРА СИСТЕМ БЕЗОПАСНОСТИ"</v>
      </c>
      <c r="K557" s="24" t="s">
        <v>1220</v>
      </c>
      <c r="L557" s="28" t="s">
        <v>52</v>
      </c>
      <c r="M557" s="25">
        <v>195000</v>
      </c>
      <c r="N557" s="27">
        <v>0.28059990441939653</v>
      </c>
    </row>
    <row r="558" spans="1:14" hidden="1" outlineLevel="1" x14ac:dyDescent="0.2">
      <c r="A558" s="23" t="str">
        <f t="shared" si="6"/>
        <v>ГБУЗ "ГП № 12 ДЗМ"</v>
      </c>
      <c r="B558" s="24" t="s">
        <v>1214</v>
      </c>
      <c r="C558" s="25">
        <v>271059.18</v>
      </c>
      <c r="D558" s="22" t="s">
        <v>1215</v>
      </c>
      <c r="E558" s="22" t="s">
        <v>84</v>
      </c>
      <c r="F558" s="23" t="str">
        <f t="shared" si="7"/>
        <v>Аукцион в электронной форме на выполнение работ по монтажу видеонаблюдения для нужд ГБУЗ "ГП № 12 ДЗМ" в 2019 году</v>
      </c>
      <c r="G558" s="22" t="s">
        <v>55</v>
      </c>
      <c r="H558" s="22" t="s">
        <v>55</v>
      </c>
      <c r="I558" s="26">
        <v>43739.326388888898</v>
      </c>
      <c r="J558" s="23" t="str">
        <f>HYPERLINK("https://www.spark-marketing.ru/Card/Person/914499", "ООО ""МАРШАЛ""")</f>
        <v>ООО "МАРШАЛ"</v>
      </c>
      <c r="K558" s="24" t="s">
        <v>1221</v>
      </c>
      <c r="L558" s="28" t="s">
        <v>52</v>
      </c>
      <c r="M558" s="25">
        <v>174670.5</v>
      </c>
      <c r="N558" s="27">
        <v>0.35560013130711898</v>
      </c>
    </row>
    <row r="559" spans="1:14" ht="12.75" hidden="1" outlineLevel="1" x14ac:dyDescent="0.2">
      <c r="A559" s="23" t="str">
        <f t="shared" si="6"/>
        <v>ГБУЗ "ГП № 12 ДЗМ"</v>
      </c>
      <c r="B559" s="24" t="s">
        <v>1214</v>
      </c>
      <c r="C559" s="25">
        <v>271059.18</v>
      </c>
      <c r="D559" s="22" t="s">
        <v>1215</v>
      </c>
      <c r="E559" s="22" t="s">
        <v>84</v>
      </c>
      <c r="F559" s="23" t="str">
        <f t="shared" si="7"/>
        <v>Аукцион в электронной форме на выполнение работ по монтажу видеонаблюдения для нужд ГБУЗ "ГП № 12 ДЗМ" в 2019 году</v>
      </c>
      <c r="G559" s="22" t="s">
        <v>55</v>
      </c>
      <c r="H559" s="22" t="s">
        <v>55</v>
      </c>
      <c r="I559" s="26">
        <v>43739.326388888898</v>
      </c>
      <c r="J559" s="23" t="str">
        <f>HYPERLINK("https://www.spark-marketing.ru/Card/Person/6461373", "ООО ""СЕКЬЮРИТИ ПЛЮС""")</f>
        <v>ООО "СЕКЬЮРИТИ ПЛЮС"</v>
      </c>
      <c r="K559" s="24" t="s">
        <v>1222</v>
      </c>
      <c r="L559" s="22" t="s">
        <v>10</v>
      </c>
      <c r="M559" s="25">
        <v>173315.20000000001</v>
      </c>
      <c r="N559" s="27">
        <v>0.36060014643296717</v>
      </c>
    </row>
    <row r="560" spans="1:14" x14ac:dyDescent="0.15">
      <c r="A560" s="23" t="str">
        <f>HYPERLINK("https://www.spark-marketing.ru/Card/Person/679", "ФКУ УПРДОР ""ВИЛЮЙ""")</f>
        <v>ФКУ УПРДОР "ВИЛЮЙ"</v>
      </c>
      <c r="B560" s="24" t="s">
        <v>1223</v>
      </c>
      <c r="C560" s="25">
        <v>271800</v>
      </c>
      <c r="D560" s="22" t="s">
        <v>1224</v>
      </c>
      <c r="E560" s="22" t="s">
        <v>107</v>
      </c>
      <c r="F560" s="23" t="str">
        <f>HYPERLINK("https://www.spark-marketing.ru/Card/Lot/74085710", "Техническое обслуживание камер видеонаблюдения, 1 шт")</f>
        <v>Техническое обслуживание камер видеонаблюдения, 1 шт</v>
      </c>
      <c r="G560" s="22" t="s">
        <v>424</v>
      </c>
      <c r="H560" s="22" t="s">
        <v>1186</v>
      </c>
      <c r="I560" s="26">
        <v>43739.281192129602</v>
      </c>
      <c r="J560" s="28" t="s">
        <v>52</v>
      </c>
      <c r="K560" s="28" t="s">
        <v>52</v>
      </c>
      <c r="L560" s="28" t="s">
        <v>52</v>
      </c>
      <c r="M560" s="28" t="s">
        <v>52</v>
      </c>
      <c r="N560" s="28" t="s">
        <v>52</v>
      </c>
    </row>
    <row r="561" spans="1:14" x14ac:dyDescent="0.15">
      <c r="A561" s="23" t="str">
        <f>HYPERLINK("https://www.spark-marketing.ru/Card/Person/4348451", "ПАО ""Т ПЛЮС""")</f>
        <v>ПАО "Т ПЛЮС"</v>
      </c>
      <c r="B561" s="24" t="s">
        <v>47</v>
      </c>
      <c r="C561" s="25">
        <v>5867989.2000000002</v>
      </c>
      <c r="D561" s="22" t="s">
        <v>1225</v>
      </c>
      <c r="E561" s="22" t="s">
        <v>1226</v>
      </c>
      <c r="F561" s="23" t="str">
        <f>HYPERLINK("https://www.spark-marketing.ru/Card/Lot/74113807", "Техническое перевооружение южной стороны периметра. ПК: Оснащение системой видеонаблюдения, Монтаж кабельных лотков 3270пм, прокладка кабеля, установка ШУ» (от западного угла по южной стороне забора до отметки 11 «А»+00 генплана ТоТЭЦ")</f>
        <v>Техническое перевооружение южной стороны периметра. ПК: Оснащение системой видеонаблюдения, Монтаж кабельных лотков 3270пм, прокладка кабеля, установка ШУ» (от западного угла по южной стороне забора до отметки 11 «А»+00 генплана ТоТЭЦ</v>
      </c>
      <c r="G561" s="22" t="s">
        <v>50</v>
      </c>
      <c r="H561" s="22" t="s">
        <v>51</v>
      </c>
      <c r="I561" s="26">
        <v>43740</v>
      </c>
      <c r="J561" s="28" t="s">
        <v>52</v>
      </c>
      <c r="K561" s="28" t="s">
        <v>52</v>
      </c>
      <c r="L561" s="28" t="s">
        <v>52</v>
      </c>
      <c r="M561" s="28" t="s">
        <v>52</v>
      </c>
      <c r="N561" s="28" t="s">
        <v>52</v>
      </c>
    </row>
    <row r="562" spans="1:14" x14ac:dyDescent="0.15">
      <c r="A562" s="23" t="str">
        <f>HYPERLINK("https://www.spark-marketing.ru/Card/Person/38393", "АО ""АВТОДОР""")</f>
        <v>АО "АВТОДОР"</v>
      </c>
      <c r="B562" s="24" t="s">
        <v>1227</v>
      </c>
      <c r="C562" s="25">
        <v>474240</v>
      </c>
      <c r="D562" s="22" t="s">
        <v>1228</v>
      </c>
      <c r="E562" s="22" t="s">
        <v>1229</v>
      </c>
      <c r="F562" s="23" t="str">
        <f>HYPERLINK("https://www.spark-marketing.ru/Card/Lot/74099603", "обслуживание оборудования котельной по адресу: г. Санкт-Петербург, г. Пушкин, ул. Новодеревенская, д. 19а, лит. Б с двумя водогрейными котлами ТТ50 (по 560 кВт каждый) фирмы «Энтророс», с горелками C.75 GX507/8 T3 и C.75 B517/8 T3 фирмы «Cuenod», рег...")</f>
        <v>обслуживание оборудования котельной по адресу: г. Санкт-Петербург, г. Пушкин, ул. Новодеревенская, д. 19а, лит. Б с двумя водогрейными котлами ТТ50 (по 560 кВт каждый) фирмы «Энтророс», с горелками C.75 GX507/8 T3 и C.75 B517/8 T3 фирмы «Cuenod», рег...</v>
      </c>
      <c r="G562" s="22" t="s">
        <v>89</v>
      </c>
      <c r="H562" s="22" t="s">
        <v>89</v>
      </c>
      <c r="I562" s="26">
        <v>43739</v>
      </c>
      <c r="J562" s="28" t="s">
        <v>52</v>
      </c>
      <c r="K562" s="28" t="s">
        <v>52</v>
      </c>
      <c r="L562" s="28" t="s">
        <v>52</v>
      </c>
      <c r="M562" s="28" t="s">
        <v>52</v>
      </c>
      <c r="N562" s="28" t="s">
        <v>52</v>
      </c>
    </row>
    <row r="563" spans="1:14" x14ac:dyDescent="0.15">
      <c r="A563" s="23" t="str">
        <f>HYPERLINK("https://www.spark-marketing.ru/Card/Person/77706", "АО ""ПОЧТА РОССИИ""")</f>
        <v>АО "ПОЧТА РОССИИ"</v>
      </c>
      <c r="B563" s="24" t="s">
        <v>1230</v>
      </c>
      <c r="C563" s="25">
        <v>1100000</v>
      </c>
      <c r="D563" s="22" t="s">
        <v>1231</v>
      </c>
      <c r="E563" s="22" t="s">
        <v>49</v>
      </c>
      <c r="F563" s="23" t="str">
        <f>HYPERLINK("https://www.spark-marketing.ru/Card/Lot/74049581", "Выполнение работ по монтажу и пусконаладке комплексов технических средств охраны на объектах УФПС Челябинской области - филиала ФГУП ""Почта России""")</f>
        <v>Выполнение работ по монтажу и пусконаладке комплексов технических средств охраны на объектах УФПС Челябинской области - филиала ФГУП "Почта России"</v>
      </c>
      <c r="G563" s="22" t="s">
        <v>55</v>
      </c>
      <c r="H563" s="22" t="s">
        <v>55</v>
      </c>
      <c r="I563" s="26">
        <v>43738</v>
      </c>
      <c r="J563" s="28" t="s">
        <v>52</v>
      </c>
      <c r="K563" s="28" t="s">
        <v>52</v>
      </c>
      <c r="L563" s="28" t="s">
        <v>52</v>
      </c>
      <c r="M563" s="28" t="s">
        <v>52</v>
      </c>
      <c r="N563" s="28" t="s">
        <v>52</v>
      </c>
    </row>
    <row r="564" spans="1:14" x14ac:dyDescent="0.15">
      <c r="A564" s="23" t="str">
        <f>HYPERLINK("https://www.spark-marketing.ru/Card/Person/4345851", "БАНК ВТБ (ПАО)")</f>
        <v>БАНК ВТБ (ПАО)</v>
      </c>
      <c r="B564" s="24" t="s">
        <v>1232</v>
      </c>
      <c r="C564" s="25">
        <v>3489480</v>
      </c>
      <c r="D564" s="22" t="s">
        <v>1233</v>
      </c>
      <c r="E564" s="22" t="s">
        <v>1234</v>
      </c>
      <c r="F564" s="23" t="str">
        <f>HYPERLINK("https://www.spark-marketing.ru/Card/Lot/74092713", "Оказание услуг по технико-эксплуатационному обслуживанию системы видеонаблюдения на устройствах самообслуживания розничной сети Банка, расположенных в Калининградской области")</f>
        <v>Оказание услуг по технико-эксплуатационному обслуживанию системы видеонаблюдения на устройствах самообслуживания розничной сети Банка, расположенных в Калининградской области</v>
      </c>
      <c r="G564" s="22" t="s">
        <v>247</v>
      </c>
      <c r="H564" s="22" t="s">
        <v>247</v>
      </c>
      <c r="I564" s="26">
        <v>43739</v>
      </c>
      <c r="J564" s="28" t="s">
        <v>52</v>
      </c>
      <c r="K564" s="28" t="s">
        <v>52</v>
      </c>
      <c r="L564" s="28" t="s">
        <v>52</v>
      </c>
      <c r="M564" s="28" t="s">
        <v>52</v>
      </c>
      <c r="N564" s="28" t="s">
        <v>52</v>
      </c>
    </row>
    <row r="565" spans="1:14" x14ac:dyDescent="0.15">
      <c r="A565" s="23" t="str">
        <f>HYPERLINK("https://www.spark-marketing.ru/Card/Person/2117288", "МАДОУ № 18")</f>
        <v>МАДОУ № 18</v>
      </c>
      <c r="B565" s="24" t="s">
        <v>1235</v>
      </c>
      <c r="C565" s="25">
        <v>1774556.69</v>
      </c>
      <c r="D565" s="22" t="s">
        <v>1236</v>
      </c>
      <c r="E565" s="22" t="s">
        <v>1237</v>
      </c>
      <c r="F565" s="23" t="str">
        <f>HYPERLINK("https://www.spark-marketing.ru/Card/Lot/74057030", "Поставка, установка видеоконференцсвязи")</f>
        <v>Поставка, установка видеоконференцсвязи</v>
      </c>
      <c r="G565" s="22" t="s">
        <v>132</v>
      </c>
      <c r="H565" s="22" t="s">
        <v>132</v>
      </c>
      <c r="I565" s="26">
        <v>43738</v>
      </c>
      <c r="J565" s="28" t="s">
        <v>52</v>
      </c>
      <c r="K565" s="28" t="s">
        <v>52</v>
      </c>
      <c r="L565" s="28" t="s">
        <v>52</v>
      </c>
      <c r="M565" s="28" t="s">
        <v>52</v>
      </c>
      <c r="N565" s="28" t="s">
        <v>52</v>
      </c>
    </row>
    <row r="566" spans="1:14" x14ac:dyDescent="0.15">
      <c r="A566" s="23" t="str">
        <f>HYPERLINK("https://www.spark-marketing.ru/Card/Person/4365569", "ФГУП ""РОСМОРПОРТ""")</f>
        <v>ФГУП "РОСМОРПОРТ"</v>
      </c>
      <c r="B566" s="24" t="s">
        <v>273</v>
      </c>
      <c r="C566" s="25">
        <v>600000</v>
      </c>
      <c r="D566" s="22" t="s">
        <v>1238</v>
      </c>
      <c r="E566" s="22" t="s">
        <v>867</v>
      </c>
      <c r="F566" s="23" t="str">
        <f>HYPERLINK("https://www.spark-marketing.ru/Card/Lot/74097716", "Техническое обслуживание и проведение ремонтных работ систем контроля и управления доступом и систем охранно-тревожной сигнализации на объектах Крымского филиала ФГУП «Росморпорт»")</f>
        <v>Техническое обслуживание и проведение ремонтных работ систем контроля и управления доступом и систем охранно-тревожной сигнализации на объектах Крымского филиала ФГУП «Росморпорт»</v>
      </c>
      <c r="G566" s="22" t="s">
        <v>714</v>
      </c>
      <c r="H566" s="22" t="s">
        <v>714</v>
      </c>
      <c r="I566" s="26">
        <v>43739</v>
      </c>
      <c r="J566" s="28" t="s">
        <v>52</v>
      </c>
      <c r="K566" s="28" t="s">
        <v>52</v>
      </c>
      <c r="L566" s="28" t="s">
        <v>52</v>
      </c>
      <c r="M566" s="28" t="s">
        <v>52</v>
      </c>
      <c r="N566" s="28" t="s">
        <v>52</v>
      </c>
    </row>
    <row r="567" spans="1:14" x14ac:dyDescent="0.15">
      <c r="A567" s="23" t="str">
        <f>HYPERLINK("https://www.spark-marketing.ru/Card/Person/77706", "АО ""ПОЧТА РОССИИ""")</f>
        <v>АО "ПОЧТА РОССИИ"</v>
      </c>
      <c r="B567" s="24" t="s">
        <v>1230</v>
      </c>
      <c r="C567" s="25">
        <v>2141832</v>
      </c>
      <c r="D567" s="22" t="s">
        <v>1239</v>
      </c>
      <c r="E567" s="22" t="s">
        <v>144</v>
      </c>
      <c r="F567" s="23" t="str">
        <f>HYPERLINK("https://www.spark-marketing.ru/Card/Lot/74066942", "Оказание услуг по централизованной охране объектов, при помощи технических средств охраны для нужд УФПС Республики Башкортостан - филиала ФГУП «Почта России»")</f>
        <v>Оказание услуг по централизованной охране объектов, при помощи технических средств охраны для нужд УФПС Республики Башкортостан - филиала ФГУП «Почта России»</v>
      </c>
      <c r="G567" s="22" t="s">
        <v>55</v>
      </c>
      <c r="H567" s="22" t="s">
        <v>55</v>
      </c>
      <c r="I567" s="26">
        <v>43738</v>
      </c>
      <c r="J567" s="28" t="s">
        <v>52</v>
      </c>
      <c r="K567" s="28" t="s">
        <v>52</v>
      </c>
      <c r="L567" s="28" t="s">
        <v>52</v>
      </c>
      <c r="M567" s="28" t="s">
        <v>52</v>
      </c>
      <c r="N567" s="28" t="s">
        <v>52</v>
      </c>
    </row>
    <row r="568" spans="1:14" x14ac:dyDescent="0.15">
      <c r="A568" s="23" t="str">
        <f>HYPERLINK("https://www.spark-marketing.ru/Card/Person/1359589", "ОГАУЗ ""ТОКБ""")</f>
        <v>ОГАУЗ "ТОКБ"</v>
      </c>
      <c r="B568" s="24" t="s">
        <v>1240</v>
      </c>
      <c r="C568" s="25">
        <v>2902380</v>
      </c>
      <c r="D568" s="22" t="s">
        <v>1241</v>
      </c>
      <c r="E568" s="22" t="s">
        <v>1242</v>
      </c>
      <c r="F568" s="23" t="str">
        <f>HYPERLINK("https://www.spark-marketing.ru/Card/Lot/74054577", "Оказание услуг по охране объектов ОГАУЗ «ТОКБ« и прилегающей к ним территории")</f>
        <v>Оказание услуг по охране объектов ОГАУЗ «ТОКБ« и прилегающей к ним территории</v>
      </c>
      <c r="G568" s="22" t="s">
        <v>150</v>
      </c>
      <c r="H568" s="22" t="s">
        <v>150</v>
      </c>
      <c r="I568" s="26">
        <v>43738</v>
      </c>
      <c r="J568" s="28" t="s">
        <v>52</v>
      </c>
      <c r="K568" s="28" t="s">
        <v>52</v>
      </c>
      <c r="L568" s="28" t="s">
        <v>52</v>
      </c>
      <c r="M568" s="28" t="s">
        <v>52</v>
      </c>
      <c r="N568" s="28" t="s">
        <v>52</v>
      </c>
    </row>
    <row r="569" spans="1:14" x14ac:dyDescent="0.15">
      <c r="A569" s="23" t="str">
        <f>HYPERLINK("https://www.spark-marketing.ru/Card/Person/4348435", "ООО ""ТД ПОЛИМЕТАЛЛ""")</f>
        <v>ООО "ТД ПОЛИМЕТАЛЛ"</v>
      </c>
      <c r="B569" s="24" t="s">
        <v>374</v>
      </c>
      <c r="C569" s="25">
        <v>0</v>
      </c>
      <c r="D569" s="22" t="s">
        <v>1243</v>
      </c>
      <c r="E569" s="22" t="s">
        <v>1244</v>
      </c>
      <c r="F569" s="23" t="str">
        <f>HYPERLINK("https://www.spark-marketing.ru/Card/Lot/74086984", "Оказание охранных услуг на объектах ООО «АГМК» в г. Амурск")</f>
        <v>Оказание охранных услуг на объектах ООО «АГМК» в г. Амурск</v>
      </c>
      <c r="G569" s="22" t="s">
        <v>138</v>
      </c>
      <c r="H569" s="22" t="s">
        <v>1245</v>
      </c>
      <c r="I569" s="26">
        <v>43739.247511574104</v>
      </c>
      <c r="J569" s="28" t="s">
        <v>52</v>
      </c>
      <c r="K569" s="28" t="s">
        <v>52</v>
      </c>
      <c r="L569" s="28" t="s">
        <v>52</v>
      </c>
      <c r="M569" s="28" t="s">
        <v>52</v>
      </c>
      <c r="N569" s="28" t="s">
        <v>52</v>
      </c>
    </row>
    <row r="570" spans="1:14" x14ac:dyDescent="0.15">
      <c r="A570" s="23" t="str">
        <f>HYPERLINK("https://www.spark-marketing.ru/Card/Person/953220", "ОАО ""ЭЛТЕЗА""")</f>
        <v>ОАО "ЭЛТЕЗА"</v>
      </c>
      <c r="B570" s="24" t="s">
        <v>1246</v>
      </c>
      <c r="C570" s="25">
        <v>308099.95</v>
      </c>
      <c r="D570" s="22" t="s">
        <v>1247</v>
      </c>
      <c r="E570" s="22" t="s">
        <v>867</v>
      </c>
      <c r="F570" s="23" t="str">
        <f>HYPERLINK("https://www.spark-marketing.ru/Card/Lot/74093453", "Оказание услуг по сервисному обслуживанию систем: видеонаблюдения и контроля управления доступа (2-х объектов)")</f>
        <v>Оказание услуг по сервисному обслуживанию систем: видеонаблюдения и контроля управления доступа (2-х объектов)</v>
      </c>
      <c r="G570" s="22" t="s">
        <v>55</v>
      </c>
      <c r="H570" s="22" t="s">
        <v>55</v>
      </c>
      <c r="I570" s="26">
        <v>43739</v>
      </c>
      <c r="J570" s="28" t="s">
        <v>52</v>
      </c>
      <c r="K570" s="28" t="s">
        <v>52</v>
      </c>
      <c r="L570" s="28" t="s">
        <v>52</v>
      </c>
      <c r="M570" s="28" t="s">
        <v>52</v>
      </c>
      <c r="N570" s="28" t="s">
        <v>52</v>
      </c>
    </row>
    <row r="571" spans="1:14" x14ac:dyDescent="0.15">
      <c r="A571" s="23" t="str">
        <f>HYPERLINK("https://www.spark-marketing.ru/Card/Person/330012", "ФЛ АО ""Концерн Росэнергоатом""")</f>
        <v>ФЛ АО "Концерн Росэнергоатом"</v>
      </c>
      <c r="B571" s="24" t="s">
        <v>211</v>
      </c>
      <c r="C571" s="28" t="s">
        <v>52</v>
      </c>
      <c r="D571" s="22" t="s">
        <v>1248</v>
      </c>
      <c r="E571" s="22" t="s">
        <v>53</v>
      </c>
      <c r="F571" s="23" t="str">
        <f>HYPERLINK("https://www.spark-marketing.ru/Card/Lot/74095581", "Оказание услуг по охране объектов строящейся Балтийской АЭС, обеспечению пропускного и внутриобъектового режимов (1354097)")</f>
        <v>Оказание услуг по охране объектов строящейся Балтийской АЭС, обеспечению пропускного и внутриобъектового режимов (1354097)</v>
      </c>
      <c r="G571" s="22" t="s">
        <v>55</v>
      </c>
      <c r="H571" s="22" t="s">
        <v>55</v>
      </c>
      <c r="I571" s="26">
        <v>43739.5332291667</v>
      </c>
      <c r="J571" s="28" t="s">
        <v>52</v>
      </c>
      <c r="K571" s="28" t="s">
        <v>52</v>
      </c>
      <c r="L571" s="28" t="s">
        <v>52</v>
      </c>
      <c r="M571" s="28" t="s">
        <v>52</v>
      </c>
      <c r="N571" s="28" t="s">
        <v>52</v>
      </c>
    </row>
    <row r="572" spans="1:14" ht="12.75" x14ac:dyDescent="0.2">
      <c r="A572" s="23" t="str">
        <f>HYPERLINK("https://www.spark-marketing.ru/Card/Person/538739", "МАУЗ ""ЦГБ № 3"" Г. ЕКАТЕРИНБУРГА")</f>
        <v>МАУЗ "ЦГБ № 3" Г. ЕКАТЕРИНБУРГА</v>
      </c>
      <c r="B572" s="24" t="s">
        <v>1249</v>
      </c>
      <c r="C572" s="25">
        <v>463838.98</v>
      </c>
      <c r="D572" s="22" t="s">
        <v>1250</v>
      </c>
      <c r="E572" s="22" t="s">
        <v>144</v>
      </c>
      <c r="F572" s="23" t="str">
        <f>HYPERLINK("https://www.spark-marketing.ru/Card/Lot/74089940", "Оказание услуг физической охраны объектов военизированными подразделениями")</f>
        <v>Оказание услуг физической охраны объектов военизированными подразделениями</v>
      </c>
      <c r="G572" s="22" t="s">
        <v>72</v>
      </c>
      <c r="H572" s="22" t="s">
        <v>949</v>
      </c>
      <c r="I572" s="26">
        <v>43739</v>
      </c>
      <c r="J572" s="23" t="str">
        <f>HYPERLINK("https://www.spark-marketing.ru/Card/Person/10487", "ФГУП ""ОХРАНА"" РОСГВАРДИИ")</f>
        <v>ФГУП "ОХРАНА" РОСГВАРДИИ</v>
      </c>
      <c r="K572" s="24" t="s">
        <v>779</v>
      </c>
      <c r="L572" s="22" t="s">
        <v>10</v>
      </c>
      <c r="M572" s="25">
        <v>463838.98</v>
      </c>
      <c r="N572" s="27">
        <v>0</v>
      </c>
    </row>
    <row r="573" spans="1:14" x14ac:dyDescent="0.15">
      <c r="A573" s="23" t="str">
        <f>HYPERLINK("https://www.spark-marketing.ru/Card/Person/131661", "БСУ СО ОО ""ДОБРИНСКИЙ ПСИХОНЕВРОЛОГИЧЕСКИЙ ИНТЕРНАТ""")</f>
        <v>БСУ СО ОО "ДОБРИНСКИЙ ПСИХОНЕВРОЛОГИЧЕСКИЙ ИНТЕРНАТ"</v>
      </c>
      <c r="B573" s="24" t="s">
        <v>1251</v>
      </c>
      <c r="C573" s="25">
        <v>215880</v>
      </c>
      <c r="D573" s="22" t="s">
        <v>1252</v>
      </c>
      <c r="E573" s="22" t="s">
        <v>144</v>
      </c>
      <c r="F573" s="23" t="str">
        <f>HYPERLINK("https://www.spark-marketing.ru/Card/Lot/74101866", "Услуги по охране объектов бюджетного стационарного учреждения социального обслуживания Орловской области «Добринский психоневрологический интернат»")</f>
        <v>Услуги по охране объектов бюджетного стационарного учреждения социального обслуживания Орловской области «Добринский психоневрологический интернат»</v>
      </c>
      <c r="G573" s="22" t="s">
        <v>492</v>
      </c>
      <c r="H573" s="22" t="s">
        <v>492</v>
      </c>
      <c r="I573" s="26">
        <v>43739</v>
      </c>
      <c r="J573" s="28" t="s">
        <v>52</v>
      </c>
      <c r="K573" s="28" t="s">
        <v>52</v>
      </c>
      <c r="L573" s="28" t="s">
        <v>52</v>
      </c>
      <c r="M573" s="28" t="s">
        <v>52</v>
      </c>
      <c r="N573" s="28" t="s">
        <v>52</v>
      </c>
    </row>
    <row r="574" spans="1:14" x14ac:dyDescent="0.15">
      <c r="A574" s="23" t="str">
        <f>HYPERLINK("https://www.spark-marketing.ru/Card/Person/1051556", "МБУ ""ЦЕНТР СПОРТА ""ЮНОСТЬ""")</f>
        <v>МБУ "ЦЕНТР СПОРТА "ЮНОСТЬ"</v>
      </c>
      <c r="B574" s="24" t="s">
        <v>1253</v>
      </c>
      <c r="C574" s="25">
        <v>298333.33</v>
      </c>
      <c r="D574" s="22" t="s">
        <v>1254</v>
      </c>
      <c r="E574" s="22" t="s">
        <v>103</v>
      </c>
      <c r="F574" s="23" t="str">
        <f>HYPERLINK("https://www.spark-marketing.ru/Card/Lot/74079252", "Установка видеонаблюдения")</f>
        <v>Установка видеонаблюдения</v>
      </c>
      <c r="G574" s="22" t="s">
        <v>50</v>
      </c>
      <c r="H574" s="22" t="s">
        <v>244</v>
      </c>
      <c r="I574" s="26">
        <v>43738.840277777803</v>
      </c>
      <c r="J574" s="28" t="s">
        <v>52</v>
      </c>
      <c r="K574" s="28" t="s">
        <v>52</v>
      </c>
      <c r="L574" s="28" t="s">
        <v>52</v>
      </c>
      <c r="M574" s="28" t="s">
        <v>52</v>
      </c>
      <c r="N574" s="28" t="s">
        <v>52</v>
      </c>
    </row>
    <row r="575" spans="1:14" ht="12.75" hidden="1" outlineLevel="1" x14ac:dyDescent="0.2">
      <c r="A575" s="23" t="str">
        <f>HYPERLINK("https://www.spark-marketing.ru/Card/Person/1051556", "МБУ ""ЦЕНТР СПОРТА ""ЮНОСТЬ""")</f>
        <v>МБУ "ЦЕНТР СПОРТА "ЮНОСТЬ"</v>
      </c>
      <c r="B575" s="24" t="s">
        <v>1253</v>
      </c>
      <c r="C575" s="25">
        <v>298333.33</v>
      </c>
      <c r="D575" s="22" t="s">
        <v>1254</v>
      </c>
      <c r="E575" s="22" t="s">
        <v>103</v>
      </c>
      <c r="F575" s="23" t="str">
        <f>HYPERLINK("https://www.spark-marketing.ru/Card/Lot/74079252", "Установка видеонаблюдения")</f>
        <v>Установка видеонаблюдения</v>
      </c>
      <c r="G575" s="22" t="s">
        <v>50</v>
      </c>
      <c r="H575" s="22" t="s">
        <v>244</v>
      </c>
      <c r="I575" s="26">
        <v>43738.840277777803</v>
      </c>
      <c r="J575" s="23" t="str">
        <f>HYPERLINK("https://www.spark-marketing.ru/Card/Person/1345626", "ООО ""ЧОО ""ГАРДА""")</f>
        <v>ООО "ЧОО "ГАРДА"</v>
      </c>
      <c r="K575" s="24" t="s">
        <v>1255</v>
      </c>
      <c r="L575" s="22" t="s">
        <v>10</v>
      </c>
      <c r="M575" s="25">
        <v>150500</v>
      </c>
      <c r="N575" s="27">
        <v>0.495530720620455</v>
      </c>
    </row>
    <row r="576" spans="1:14" hidden="1" outlineLevel="1" x14ac:dyDescent="0.2">
      <c r="A576" s="23" t="str">
        <f>HYPERLINK("https://www.spark-marketing.ru/Card/Person/1051556", "МБУ ""ЦЕНТР СПОРТА ""ЮНОСТЬ""")</f>
        <v>МБУ "ЦЕНТР СПОРТА "ЮНОСТЬ"</v>
      </c>
      <c r="B576" s="24" t="s">
        <v>1253</v>
      </c>
      <c r="C576" s="25">
        <v>298333.33</v>
      </c>
      <c r="D576" s="22" t="s">
        <v>1254</v>
      </c>
      <c r="E576" s="22" t="s">
        <v>103</v>
      </c>
      <c r="F576" s="23" t="str">
        <f>HYPERLINK("https://www.spark-marketing.ru/Card/Lot/74079252", "Установка видеонаблюдения")</f>
        <v>Установка видеонаблюдения</v>
      </c>
      <c r="G576" s="22" t="s">
        <v>50</v>
      </c>
      <c r="H576" s="22" t="s">
        <v>244</v>
      </c>
      <c r="I576" s="26">
        <v>43738.840277777803</v>
      </c>
      <c r="J576" s="23" t="str">
        <f>HYPERLINK("https://www.spark-marketing.ru/Card/Person/6704588", "ООО ""НПО ""РЕКОН""")</f>
        <v>ООО "НПО "РЕКОН"</v>
      </c>
      <c r="K576" s="24" t="s">
        <v>1256</v>
      </c>
      <c r="L576" s="28" t="s">
        <v>52</v>
      </c>
      <c r="M576" s="25">
        <v>225225.63</v>
      </c>
      <c r="N576" s="27">
        <v>0.24505374575479044</v>
      </c>
    </row>
    <row r="577" spans="1:14" hidden="1" outlineLevel="1" x14ac:dyDescent="0.2">
      <c r="A577" s="23" t="str">
        <f>HYPERLINK("https://www.spark-marketing.ru/Card/Person/1051556", "МБУ ""ЦЕНТР СПОРТА ""ЮНОСТЬ""")</f>
        <v>МБУ "ЦЕНТР СПОРТА "ЮНОСТЬ"</v>
      </c>
      <c r="B577" s="24" t="s">
        <v>1253</v>
      </c>
      <c r="C577" s="25">
        <v>298333.33</v>
      </c>
      <c r="D577" s="22" t="s">
        <v>1254</v>
      </c>
      <c r="E577" s="22" t="s">
        <v>103</v>
      </c>
      <c r="F577" s="23" t="str">
        <f>HYPERLINK("https://www.spark-marketing.ru/Card/Lot/74079252", "Установка видеонаблюдения")</f>
        <v>Установка видеонаблюдения</v>
      </c>
      <c r="G577" s="22" t="s">
        <v>50</v>
      </c>
      <c r="H577" s="22" t="s">
        <v>244</v>
      </c>
      <c r="I577" s="26">
        <v>43738.840277777803</v>
      </c>
      <c r="J577" s="23" t="str">
        <f>HYPERLINK("https://www.spark-marketing.ru/Card/Person/6223065", "Корчакова Наталия Федоровна")</f>
        <v>Корчакова Наталия Федоровна</v>
      </c>
      <c r="K577" s="24" t="s">
        <v>1257</v>
      </c>
      <c r="L577" s="28" t="s">
        <v>52</v>
      </c>
      <c r="M577" s="25">
        <v>152083.34</v>
      </c>
      <c r="N577" s="27">
        <v>0.49022343564495457</v>
      </c>
    </row>
    <row r="578" spans="1:14" hidden="1" outlineLevel="1" x14ac:dyDescent="0.2">
      <c r="A578" s="23" t="str">
        <f>HYPERLINK("https://www.spark-marketing.ru/Card/Person/1051556", "МБУ ""ЦЕНТР СПОРТА ""ЮНОСТЬ""")</f>
        <v>МБУ "ЦЕНТР СПОРТА "ЮНОСТЬ"</v>
      </c>
      <c r="B578" s="24" t="s">
        <v>1253</v>
      </c>
      <c r="C578" s="25">
        <v>298333.33</v>
      </c>
      <c r="D578" s="22" t="s">
        <v>1254</v>
      </c>
      <c r="E578" s="22" t="s">
        <v>103</v>
      </c>
      <c r="F578" s="23" t="str">
        <f>HYPERLINK("https://www.spark-marketing.ru/Card/Lot/74079252", "Установка видеонаблюдения")</f>
        <v>Установка видеонаблюдения</v>
      </c>
      <c r="G578" s="22" t="s">
        <v>50</v>
      </c>
      <c r="H578" s="22" t="s">
        <v>244</v>
      </c>
      <c r="I578" s="26">
        <v>43738.840277777803</v>
      </c>
      <c r="J578" s="23" t="str">
        <f>HYPERLINK("https://www.spark-marketing.ru/Card/Person/2567666", "ООО ""ИНТРОНЕКС СЕТЕВЫЕ РЕШЕНИЯ""")</f>
        <v>ООО "ИНТРОНЕКС СЕТЕВЫЕ РЕШЕНИЯ"</v>
      </c>
      <c r="K578" s="24" t="s">
        <v>1258</v>
      </c>
      <c r="L578" s="28" t="s">
        <v>52</v>
      </c>
      <c r="M578" s="25">
        <v>295349.99</v>
      </c>
      <c r="N578" s="27">
        <v>1.000002245810081E-2</v>
      </c>
    </row>
    <row r="579" spans="1:14" x14ac:dyDescent="0.15">
      <c r="A579" s="23" t="str">
        <f>HYPERLINK("https://www.spark-marketing.ru/Card/Person/8276", "ГБУЗ ""КБСМП""")</f>
        <v>ГБУЗ "КБСМП"</v>
      </c>
      <c r="B579" s="24" t="s">
        <v>1259</v>
      </c>
      <c r="C579" s="25">
        <v>342214.49</v>
      </c>
      <c r="D579" s="22" t="s">
        <v>1260</v>
      </c>
      <c r="E579" s="22" t="s">
        <v>1261</v>
      </c>
      <c r="F579" s="23" t="str">
        <f>HYPERLINK("https://www.spark-marketing.ru/Card/Lot/74079631", "Выполнение работ по установке видеонаблюдения")</f>
        <v>Выполнение работ по установке видеонаблюдения</v>
      </c>
      <c r="G579" s="22" t="s">
        <v>251</v>
      </c>
      <c r="H579" s="22" t="s">
        <v>252</v>
      </c>
      <c r="I579" s="26">
        <v>43738.809722222199</v>
      </c>
      <c r="J579" s="28" t="s">
        <v>52</v>
      </c>
      <c r="K579" s="28" t="s">
        <v>52</v>
      </c>
      <c r="L579" s="28" t="s">
        <v>52</v>
      </c>
      <c r="M579" s="28" t="s">
        <v>52</v>
      </c>
      <c r="N579" s="28" t="s">
        <v>52</v>
      </c>
    </row>
    <row r="580" spans="1:14" x14ac:dyDescent="0.15">
      <c r="A580" s="23" t="str">
        <f>HYPERLINK("https://www.spark-marketing.ru/Card/Person/1028044", "ДЕТСКИЙ САД № 35, МБ ДОУ ""ДЕТСКИЙ САД № 35"" АГО")</f>
        <v>ДЕТСКИЙ САД № 35, МБ ДОУ "ДЕТСКИЙ САД № 35" АГО</v>
      </c>
      <c r="B580" s="24" t="s">
        <v>1262</v>
      </c>
      <c r="C580" s="25">
        <v>200000</v>
      </c>
      <c r="D580" s="22" t="s">
        <v>1263</v>
      </c>
      <c r="E580" s="22" t="s">
        <v>59</v>
      </c>
      <c r="F580" s="23" t="str">
        <f>HYPERLINK("https://www.spark-marketing.ru/Card/Lot/74075466", "Установка комплекса охранной сигнализации")</f>
        <v>Установка комплекса охранной сигнализации</v>
      </c>
      <c r="G580" s="22" t="s">
        <v>72</v>
      </c>
      <c r="H580" s="22" t="s">
        <v>692</v>
      </c>
      <c r="I580" s="26">
        <v>43738.780555555597</v>
      </c>
      <c r="J580" s="28" t="s">
        <v>52</v>
      </c>
      <c r="K580" s="28" t="s">
        <v>52</v>
      </c>
      <c r="L580" s="28" t="s">
        <v>52</v>
      </c>
      <c r="M580" s="28" t="s">
        <v>52</v>
      </c>
      <c r="N580" s="28" t="s">
        <v>52</v>
      </c>
    </row>
    <row r="581" spans="1:14" hidden="1" outlineLevel="1" x14ac:dyDescent="0.2">
      <c r="A581" s="23" t="str">
        <f>HYPERLINK("https://www.spark-marketing.ru/Card/Person/1028044", "ДЕТСКИЙ САД № 35, МБ ДОУ ""ДЕТСКИЙ САД № 35"" АГО")</f>
        <v>ДЕТСКИЙ САД № 35, МБ ДОУ "ДЕТСКИЙ САД № 35" АГО</v>
      </c>
      <c r="B581" s="24" t="s">
        <v>1262</v>
      </c>
      <c r="C581" s="25">
        <v>200000</v>
      </c>
      <c r="D581" s="22" t="s">
        <v>1263</v>
      </c>
      <c r="E581" s="22" t="s">
        <v>59</v>
      </c>
      <c r="F581" s="23" t="str">
        <f>HYPERLINK("https://www.spark-marketing.ru/Card/Lot/74075466", "Установка комплекса охранной сигнализации")</f>
        <v>Установка комплекса охранной сигнализации</v>
      </c>
      <c r="G581" s="22" t="s">
        <v>72</v>
      </c>
      <c r="H581" s="22" t="s">
        <v>692</v>
      </c>
      <c r="I581" s="26">
        <v>43738.780555555597</v>
      </c>
      <c r="J581" s="23" t="str">
        <f>HYPERLINK("https://www.spark-marketing.ru/Card/Person/6321814", "Юдин Сергей Петрович")</f>
        <v>Юдин Сергей Петрович</v>
      </c>
      <c r="K581" s="24" t="s">
        <v>1264</v>
      </c>
      <c r="L581" s="28" t="s">
        <v>52</v>
      </c>
      <c r="M581" s="25">
        <v>144000</v>
      </c>
      <c r="N581" s="27">
        <v>0.28000000000000003</v>
      </c>
    </row>
    <row r="582" spans="1:14" ht="12.75" hidden="1" outlineLevel="1" x14ac:dyDescent="0.2">
      <c r="A582" s="23" t="str">
        <f>HYPERLINK("https://www.spark-marketing.ru/Card/Person/1028044", "ДЕТСКИЙ САД № 35, МБ ДОУ ""ДЕТСКИЙ САД № 35"" АГО")</f>
        <v>ДЕТСКИЙ САД № 35, МБ ДОУ "ДЕТСКИЙ САД № 35" АГО</v>
      </c>
      <c r="B582" s="24" t="s">
        <v>1262</v>
      </c>
      <c r="C582" s="25">
        <v>200000</v>
      </c>
      <c r="D582" s="22" t="s">
        <v>1263</v>
      </c>
      <c r="E582" s="22" t="s">
        <v>59</v>
      </c>
      <c r="F582" s="23" t="str">
        <f>HYPERLINK("https://www.spark-marketing.ru/Card/Lot/74075466", "Установка комплекса охранной сигнализации")</f>
        <v>Установка комплекса охранной сигнализации</v>
      </c>
      <c r="G582" s="22" t="s">
        <v>72</v>
      </c>
      <c r="H582" s="22" t="s">
        <v>692</v>
      </c>
      <c r="I582" s="26">
        <v>43738.780555555597</v>
      </c>
      <c r="J582" s="23" t="str">
        <f>HYPERLINK("https://www.spark-marketing.ru/Card/Person/4938735", "ООО ""ГАРАНТ-СБ""")</f>
        <v>ООО "ГАРАНТ-СБ"</v>
      </c>
      <c r="K582" s="24" t="s">
        <v>1265</v>
      </c>
      <c r="L582" s="22" t="s">
        <v>10</v>
      </c>
      <c r="M582" s="25">
        <v>140000</v>
      </c>
      <c r="N582" s="27">
        <v>0.3</v>
      </c>
    </row>
    <row r="583" spans="1:14" hidden="1" outlineLevel="1" x14ac:dyDescent="0.2">
      <c r="A583" s="23" t="str">
        <f>HYPERLINK("https://www.spark-marketing.ru/Card/Person/1028044", "ДЕТСКИЙ САД № 35, МБ ДОУ ""ДЕТСКИЙ САД № 35"" АГО")</f>
        <v>ДЕТСКИЙ САД № 35, МБ ДОУ "ДЕТСКИЙ САД № 35" АГО</v>
      </c>
      <c r="B583" s="24" t="s">
        <v>1262</v>
      </c>
      <c r="C583" s="25">
        <v>200000</v>
      </c>
      <c r="D583" s="22" t="s">
        <v>1263</v>
      </c>
      <c r="E583" s="22" t="s">
        <v>59</v>
      </c>
      <c r="F583" s="23" t="str">
        <f>HYPERLINK("https://www.spark-marketing.ru/Card/Lot/74075466", "Установка комплекса охранной сигнализации")</f>
        <v>Установка комплекса охранной сигнализации</v>
      </c>
      <c r="G583" s="22" t="s">
        <v>72</v>
      </c>
      <c r="H583" s="22" t="s">
        <v>692</v>
      </c>
      <c r="I583" s="26">
        <v>43738.780555555597</v>
      </c>
      <c r="J583" s="23" t="str">
        <f>HYPERLINK("https://www.spark-marketing.ru/Card/Person/850561", "ООО ""АСКОН""")</f>
        <v>ООО "АСКОН"</v>
      </c>
      <c r="K583" s="24" t="s">
        <v>1266</v>
      </c>
      <c r="L583" s="28" t="s">
        <v>52</v>
      </c>
      <c r="M583" s="25">
        <v>181000</v>
      </c>
      <c r="N583" s="27">
        <v>9.5000000000000001E-2</v>
      </c>
    </row>
    <row r="584" spans="1:14" x14ac:dyDescent="0.15">
      <c r="A584" s="23" t="str">
        <f>HYPERLINK("https://www.spark-marketing.ru/Card/Person/107276", "БЕЛГОРОДСКИЙ ОБЛАСТНОЙ СУД")</f>
        <v>БЕЛГОРОДСКИЙ ОБЛАСТНОЙ СУД</v>
      </c>
      <c r="B584" s="24" t="s">
        <v>1267</v>
      </c>
      <c r="C584" s="25">
        <v>198691.84</v>
      </c>
      <c r="D584" s="22" t="s">
        <v>1268</v>
      </c>
      <c r="E584" s="22" t="s">
        <v>68</v>
      </c>
      <c r="F584" s="23" t="str">
        <f>HYPERLINK("https://www.spark-marketing.ru/Card/Lot/74075545", "Военизированная охрана объектов суда")</f>
        <v>Военизированная охрана объектов суда</v>
      </c>
      <c r="G584" s="22" t="s">
        <v>176</v>
      </c>
      <c r="H584" s="22" t="s">
        <v>318</v>
      </c>
      <c r="I584" s="26">
        <v>43738.7590277778</v>
      </c>
      <c r="J584" s="23" t="str">
        <f>HYPERLINK("https://www.spark-marketing.ru/Card/Person/2164289", "ОТРЯД ВЕДОМСТВЕННОЙ ОХРАНЫ НА ЖЕЛЕЗНОЙ ДОРОГЕ")</f>
        <v>ОТРЯД ВЕДОМСТВЕННОЙ ОХРАНЫ НА ЖЕЛЕЗНОЙ ДОРОГЕ</v>
      </c>
      <c r="K584" s="24" t="s">
        <v>1269</v>
      </c>
      <c r="L584" s="28" t="s">
        <v>52</v>
      </c>
      <c r="M584" s="28" t="s">
        <v>52</v>
      </c>
      <c r="N584" s="28" t="s">
        <v>52</v>
      </c>
    </row>
    <row r="585" spans="1:14" ht="12.75" hidden="1" outlineLevel="1" x14ac:dyDescent="0.2">
      <c r="A585" s="23" t="str">
        <f>HYPERLINK("https://www.spark-marketing.ru/Card/Person/107276", "БЕЛГОРОДСКИЙ ОБЛАСТНОЙ СУД")</f>
        <v>БЕЛГОРОДСКИЙ ОБЛАСТНОЙ СУД</v>
      </c>
      <c r="B585" s="24" t="s">
        <v>1267</v>
      </c>
      <c r="C585" s="25">
        <v>198691.84</v>
      </c>
      <c r="D585" s="22" t="s">
        <v>1268</v>
      </c>
      <c r="E585" s="22" t="s">
        <v>68</v>
      </c>
      <c r="F585" s="23" t="str">
        <f>HYPERLINK("https://www.spark-marketing.ru/Card/Lot/74075545", "Военизированная охрана объектов суда")</f>
        <v>Военизированная охрана объектов суда</v>
      </c>
      <c r="G585" s="22" t="s">
        <v>176</v>
      </c>
      <c r="H585" s="22" t="s">
        <v>318</v>
      </c>
      <c r="I585" s="26">
        <v>43738.7590277778</v>
      </c>
      <c r="J585" s="23" t="str">
        <f>HYPERLINK("https://www.spark-marketing.ru/Card/Person/2164289", "ОТРЯД ВЕДОМСТВЕННОЙ ОХРАНЫ НА ЖЕЛЕЗНОЙ ДОРОГЕ")</f>
        <v>ОТРЯД ВЕДОМСТВЕННОЙ ОХРАНЫ НА ЖЕЛЕЗНОЙ ДОРОГЕ</v>
      </c>
      <c r="K585" s="24" t="s">
        <v>1269</v>
      </c>
      <c r="L585" s="22" t="s">
        <v>10</v>
      </c>
      <c r="M585" s="25">
        <v>197698.38</v>
      </c>
      <c r="N585" s="27">
        <v>5.0000040263354553E-3</v>
      </c>
    </row>
    <row r="586" spans="1:14" x14ac:dyDescent="0.15">
      <c r="A586" s="23" t="str">
        <f>HYPERLINK("https://www.spark-marketing.ru/Card/Person/4346728", "СЧЕТНАЯ ПАЛАТА РОССИЙСКОЙ ФЕДЕРАЦИИ")</f>
        <v>СЧЕТНАЯ ПАЛАТА РОССИЙСКОЙ ФЕДЕРАЦИИ</v>
      </c>
      <c r="B586" s="24" t="s">
        <v>1270</v>
      </c>
      <c r="C586" s="25">
        <v>15229873.859999999</v>
      </c>
      <c r="D586" s="22" t="s">
        <v>1271</v>
      </c>
      <c r="E586" s="22" t="s">
        <v>1272</v>
      </c>
      <c r="F586" s="23" t="str">
        <f>HYPERLINK("https://www.spark-marketing.ru/Card/Lot/74084430", "Выполнение работ по созданию Системы видеонаблюдения в здании, в котором размещается Счетная палата Российской Федерации, субъектами малого предпринимательства, социально ориентированными некоммерческими организациями")</f>
        <v>Выполнение работ по созданию Системы видеонаблюдения в здании, в котором размещается Счетная палата Российской Федерации, субъектами малого предпринимательства, социально ориентированными некоммерческими организациями</v>
      </c>
      <c r="G586" s="22" t="s">
        <v>55</v>
      </c>
      <c r="H586" s="22" t="s">
        <v>55</v>
      </c>
      <c r="I586" s="26">
        <v>43738.773125</v>
      </c>
      <c r="J586" s="23" t="str">
        <f>HYPERLINK("https://www.spark-marketing.ru/Card/Person/61771", "ООО ""АЛЬФАКОМ""")</f>
        <v>ООО "АЛЬФАКОМ"</v>
      </c>
      <c r="K586" s="24" t="s">
        <v>1273</v>
      </c>
      <c r="L586" s="22" t="s">
        <v>10</v>
      </c>
      <c r="M586" s="28" t="s">
        <v>52</v>
      </c>
      <c r="N586" s="28" t="s">
        <v>52</v>
      </c>
    </row>
    <row r="587" spans="1:14" x14ac:dyDescent="0.15">
      <c r="A587" s="23" t="str">
        <f>HYPERLINK("https://www.spark-marketing.ru/Card/Person/10907", "АДМИНИСТРАЦИЯ БОГОРОДСКОГО ГОРОДСКОГО ОКРУГА")</f>
        <v>АДМИНИСТРАЦИЯ БОГОРОДСКОГО ГОРОДСКОГО ОКРУГА</v>
      </c>
      <c r="B587" s="24" t="s">
        <v>1274</v>
      </c>
      <c r="C587" s="25">
        <v>11700</v>
      </c>
      <c r="D587" s="22" t="s">
        <v>1275</v>
      </c>
      <c r="E587" s="22" t="s">
        <v>107</v>
      </c>
      <c r="F587" s="23" t="str">
        <f>HYPERLINK("https://www.spark-marketing.ru/Card/Lot/74067585", "Выполнение работ по установке оборудования видеодомофонной системы")</f>
        <v>Выполнение работ по установке оборудования видеодомофонной системы</v>
      </c>
      <c r="G587" s="22" t="s">
        <v>50</v>
      </c>
      <c r="H587" s="22" t="s">
        <v>1276</v>
      </c>
      <c r="I587" s="26">
        <v>43738.753715277802</v>
      </c>
      <c r="J587" s="28" t="s">
        <v>52</v>
      </c>
      <c r="K587" s="28" t="s">
        <v>52</v>
      </c>
      <c r="L587" s="28" t="s">
        <v>52</v>
      </c>
      <c r="M587" s="28" t="s">
        <v>52</v>
      </c>
      <c r="N587" s="28" t="s">
        <v>52</v>
      </c>
    </row>
    <row r="588" spans="1:14" x14ac:dyDescent="0.15">
      <c r="A588" s="23" t="str">
        <f>HYPERLINK("https://www.spark-marketing.ru/Card/Person/3504", "ФКУ УПРДОР ""КАСПИЙ""")</f>
        <v>ФКУ УПРДОР "КАСПИЙ"</v>
      </c>
      <c r="B588" s="24" t="s">
        <v>1277</v>
      </c>
      <c r="C588" s="25">
        <v>7199620</v>
      </c>
      <c r="D588" s="22" t="s">
        <v>1278</v>
      </c>
      <c r="E588" s="22" t="s">
        <v>218</v>
      </c>
      <c r="F588" s="23" t="str">
        <f>HYPERLINK("https://www.spark-marketing.ru/Card/Lot/74076934", "Проведение строительного контроля при выполнении работ по оснащению объектов дорожного хозяйства инженерно-техническими средствами (системами) обеспечения транспортной безопасности")</f>
        <v>Проведение строительного контроля при выполнении работ по оснащению объектов дорожного хозяйства инженерно-техническими средствами (системами) обеспечения транспортной безопасности</v>
      </c>
      <c r="G588" s="22" t="s">
        <v>724</v>
      </c>
      <c r="H588" s="22" t="s">
        <v>724</v>
      </c>
      <c r="I588" s="26">
        <v>43738.771388888897</v>
      </c>
      <c r="J588" s="28" t="s">
        <v>52</v>
      </c>
      <c r="K588" s="28" t="s">
        <v>52</v>
      </c>
      <c r="L588" s="28" t="s">
        <v>52</v>
      </c>
      <c r="M588" s="28" t="s">
        <v>52</v>
      </c>
      <c r="N588" s="28" t="s">
        <v>52</v>
      </c>
    </row>
    <row r="589" spans="1:14" x14ac:dyDescent="0.15">
      <c r="A589" s="23" t="str">
        <f>HYPERLINK("https://www.spark-marketing.ru/Card/Person/1730815", "ООО ""АРМЗ СЕРВИС""")</f>
        <v>ООО "АРМЗ СЕРВИС"</v>
      </c>
      <c r="B589" s="24" t="s">
        <v>1279</v>
      </c>
      <c r="C589" s="25">
        <v>2038320</v>
      </c>
      <c r="D589" s="22" t="s">
        <v>1280</v>
      </c>
      <c r="E589" s="22" t="s">
        <v>53</v>
      </c>
      <c r="F589" s="23" t="str">
        <f>HYPERLINK("https://www.spark-marketing.ru/Card/Lot/74069494", "оказание охранных услуг офисного помещения")</f>
        <v>оказание охранных услуг офисного помещения</v>
      </c>
      <c r="G589" s="22" t="s">
        <v>55</v>
      </c>
      <c r="H589" s="22" t="s">
        <v>55</v>
      </c>
      <c r="I589" s="26">
        <v>43738.715405092596</v>
      </c>
      <c r="J589" s="28" t="s">
        <v>52</v>
      </c>
      <c r="K589" s="28" t="s">
        <v>52</v>
      </c>
      <c r="L589" s="28" t="s">
        <v>52</v>
      </c>
      <c r="M589" s="28" t="s">
        <v>52</v>
      </c>
      <c r="N589" s="28" t="s">
        <v>52</v>
      </c>
    </row>
    <row r="590" spans="1:14" x14ac:dyDescent="0.15">
      <c r="A590" s="23" t="str">
        <f>HYPERLINK("https://www.spark-marketing.ru/Card/Person/12772", "ГБУЗ ""ГП № 2 ДЗМ""")</f>
        <v>ГБУЗ "ГП № 2 ДЗМ"</v>
      </c>
      <c r="B590" s="24" t="s">
        <v>1163</v>
      </c>
      <c r="C590" s="25">
        <v>394583.47</v>
      </c>
      <c r="D590" s="22" t="s">
        <v>1281</v>
      </c>
      <c r="E590" s="22" t="s">
        <v>103</v>
      </c>
      <c r="F590" s="23" t="str">
        <f>HYPERLINK("https://www.spark-marketing.ru/Card/Lot/74082026", "Электронный аукцион на оказание услуг по техническому обслуживанию технических средств охраны и оборудования передачи сигнала на пульт централизованной охраны")</f>
        <v>Электронный аукцион на оказание услуг по техническому обслуживанию технических средств охраны и оборудования передачи сигнала на пульт централизованной охраны</v>
      </c>
      <c r="G590" s="22" t="s">
        <v>55</v>
      </c>
      <c r="H590" s="22" t="s">
        <v>55</v>
      </c>
      <c r="I590" s="26">
        <v>43738.732638888898</v>
      </c>
      <c r="J590" s="28" t="s">
        <v>52</v>
      </c>
      <c r="K590" s="28" t="s">
        <v>52</v>
      </c>
      <c r="L590" s="28" t="s">
        <v>52</v>
      </c>
      <c r="M590" s="28" t="s">
        <v>52</v>
      </c>
      <c r="N590" s="28" t="s">
        <v>52</v>
      </c>
    </row>
    <row r="591" spans="1:14" hidden="1" outlineLevel="1" x14ac:dyDescent="0.2">
      <c r="A591" s="23" t="str">
        <f>HYPERLINK("https://www.spark-marketing.ru/Card/Person/12772", "ГБУЗ ""ГП № 2 ДЗМ""")</f>
        <v>ГБУЗ "ГП № 2 ДЗМ"</v>
      </c>
      <c r="B591" s="24" t="s">
        <v>1163</v>
      </c>
      <c r="C591" s="25">
        <v>394583.47</v>
      </c>
      <c r="D591" s="22" t="s">
        <v>1281</v>
      </c>
      <c r="E591" s="22" t="s">
        <v>103</v>
      </c>
      <c r="F591" s="23" t="str">
        <f>HYPERLINK("https://www.spark-marketing.ru/Card/Lot/74082026", "Электронный аукцион на оказание услуг по техническому обслуживанию технических средств охраны и оборудования передачи сигнала на пульт централизованной охраны")</f>
        <v>Электронный аукцион на оказание услуг по техническому обслуживанию технических средств охраны и оборудования передачи сигнала на пульт централизованной охраны</v>
      </c>
      <c r="G591" s="22" t="s">
        <v>55</v>
      </c>
      <c r="H591" s="22" t="s">
        <v>55</v>
      </c>
      <c r="I591" s="26">
        <v>43738.732638888898</v>
      </c>
      <c r="J591" s="23" t="str">
        <f>HYPERLINK("https://www.spark-marketing.ru/Card/Person/711655", "ООО ""ЭПСИЛОН""")</f>
        <v>ООО "ЭПСИЛОН"</v>
      </c>
      <c r="K591" s="24" t="s">
        <v>1166</v>
      </c>
      <c r="L591" s="28" t="s">
        <v>52</v>
      </c>
      <c r="M591" s="25">
        <v>376827.19</v>
      </c>
      <c r="N591" s="27">
        <v>4.5000060443484875E-2</v>
      </c>
    </row>
    <row r="592" spans="1:14" ht="12.75" hidden="1" outlineLevel="1" x14ac:dyDescent="0.2">
      <c r="A592" s="23" t="str">
        <f>HYPERLINK("https://www.spark-marketing.ru/Card/Person/12772", "ГБУЗ ""ГП № 2 ДЗМ""")</f>
        <v>ГБУЗ "ГП № 2 ДЗМ"</v>
      </c>
      <c r="B592" s="24" t="s">
        <v>1163</v>
      </c>
      <c r="C592" s="25">
        <v>394583.47</v>
      </c>
      <c r="D592" s="22" t="s">
        <v>1281</v>
      </c>
      <c r="E592" s="22" t="s">
        <v>103</v>
      </c>
      <c r="F592" s="23" t="str">
        <f>HYPERLINK("https://www.spark-marketing.ru/Card/Lot/74082026", "Электронный аукцион на оказание услуг по техническому обслуживанию технических средств охраны и оборудования передачи сигнала на пульт централизованной охраны")</f>
        <v>Электронный аукцион на оказание услуг по техническому обслуживанию технических средств охраны и оборудования передачи сигнала на пульт централизованной охраны</v>
      </c>
      <c r="G592" s="22" t="s">
        <v>55</v>
      </c>
      <c r="H592" s="22" t="s">
        <v>55</v>
      </c>
      <c r="I592" s="26">
        <v>43738.732638888898</v>
      </c>
      <c r="J592" s="23" t="str">
        <f>HYPERLINK("https://www.spark-marketing.ru/Card/Person/6682144", "Кучмин Юрий Витальевич")</f>
        <v>Кучмин Юрий Витальевич</v>
      </c>
      <c r="K592" s="24" t="s">
        <v>1167</v>
      </c>
      <c r="L592" s="22" t="s">
        <v>10</v>
      </c>
      <c r="M592" s="25">
        <v>374854.27</v>
      </c>
      <c r="N592" s="27">
        <v>5.0000067159427633E-2</v>
      </c>
    </row>
    <row r="593" spans="1:14" hidden="1" outlineLevel="1" x14ac:dyDescent="0.2">
      <c r="A593" s="23" t="str">
        <f>HYPERLINK("https://www.spark-marketing.ru/Card/Person/12772", "ГБУЗ ""ГП № 2 ДЗМ""")</f>
        <v>ГБУЗ "ГП № 2 ДЗМ"</v>
      </c>
      <c r="B593" s="24" t="s">
        <v>1163</v>
      </c>
      <c r="C593" s="25">
        <v>394583.47</v>
      </c>
      <c r="D593" s="22" t="s">
        <v>1281</v>
      </c>
      <c r="E593" s="22" t="s">
        <v>103</v>
      </c>
      <c r="F593" s="23" t="str">
        <f>HYPERLINK("https://www.spark-marketing.ru/Card/Lot/74082026", "Электронный аукцион на оказание услуг по техническому обслуживанию технических средств охраны и оборудования передачи сигнала на пульт централизованной охраны")</f>
        <v>Электронный аукцион на оказание услуг по техническому обслуживанию технических средств охраны и оборудования передачи сигнала на пульт централизованной охраны</v>
      </c>
      <c r="G593" s="22" t="s">
        <v>55</v>
      </c>
      <c r="H593" s="22" t="s">
        <v>55</v>
      </c>
      <c r="I593" s="26">
        <v>43738.732638888898</v>
      </c>
      <c r="J593" s="23" t="str">
        <f>HYPERLINK("https://www.spark-marketing.ru/Card/Person/4771673", "ООО ""РК-ИНЖИНИРИНГ""")</f>
        <v>ООО "РК-ИНЖИНИРИНГ"</v>
      </c>
      <c r="K593" s="24" t="s">
        <v>1169</v>
      </c>
      <c r="L593" s="28" t="s">
        <v>52</v>
      </c>
      <c r="M593" s="25">
        <v>384718.87</v>
      </c>
      <c r="N593" s="27">
        <v>2.5000033579713817E-2</v>
      </c>
    </row>
    <row r="594" spans="1:14" x14ac:dyDescent="0.15">
      <c r="A594" s="23" t="str">
        <f>HYPERLINK("https://www.spark-marketing.ru/Card/Person/62343", "ПУЛКОВСКАЯ ТАМОЖНЯ")</f>
        <v>ПУЛКОВСКАЯ ТАМОЖНЯ</v>
      </c>
      <c r="B594" s="24" t="s">
        <v>1282</v>
      </c>
      <c r="C594" s="25">
        <v>1029414.3</v>
      </c>
      <c r="D594" s="22" t="s">
        <v>1283</v>
      </c>
      <c r="E594" s="22" t="s">
        <v>208</v>
      </c>
      <c r="F594" s="23" t="str">
        <f>HYPERLINK("https://www.spark-marketing.ru/Card/Lot/74093618", "Поставка и выполнение работ по установке оборудования охранной сигнализации на имеющееся ограждение периметра служебно-производственного комплекса Пулковской таможни")</f>
        <v>Поставка и выполнение работ по установке оборудования охранной сигнализации на имеющееся ограждение периметра служебно-производственного комплекса Пулковской таможни</v>
      </c>
      <c r="G594" s="22" t="s">
        <v>89</v>
      </c>
      <c r="H594" s="22" t="s">
        <v>89</v>
      </c>
      <c r="I594" s="26">
        <v>43738.720138888901</v>
      </c>
      <c r="J594" s="28" t="s">
        <v>52</v>
      </c>
      <c r="K594" s="28" t="s">
        <v>52</v>
      </c>
      <c r="L594" s="28" t="s">
        <v>52</v>
      </c>
      <c r="M594" s="28" t="s">
        <v>52</v>
      </c>
      <c r="N594" s="28" t="s">
        <v>52</v>
      </c>
    </row>
    <row r="595" spans="1:14" hidden="1" outlineLevel="1" x14ac:dyDescent="0.2">
      <c r="A595" s="23" t="str">
        <f>HYPERLINK("https://www.spark-marketing.ru/Card/Person/62343", "ПУЛКОВСКАЯ ТАМОЖНЯ")</f>
        <v>ПУЛКОВСКАЯ ТАМОЖНЯ</v>
      </c>
      <c r="B595" s="24" t="s">
        <v>1282</v>
      </c>
      <c r="C595" s="25">
        <v>1029414.3</v>
      </c>
      <c r="D595" s="22" t="s">
        <v>1283</v>
      </c>
      <c r="E595" s="22" t="s">
        <v>208</v>
      </c>
      <c r="F595" s="23" t="str">
        <f>HYPERLINK("https://www.spark-marketing.ru/Card/Lot/74093618", "Поставка и выполнение работ по установке оборудования охранной сигнализации на имеющееся ограждение периметра служебно-производственного комплекса Пулковской таможни")</f>
        <v>Поставка и выполнение работ по установке оборудования охранной сигнализации на имеющееся ограждение периметра служебно-производственного комплекса Пулковской таможни</v>
      </c>
      <c r="G595" s="22" t="s">
        <v>89</v>
      </c>
      <c r="H595" s="22" t="s">
        <v>89</v>
      </c>
      <c r="I595" s="26">
        <v>43738.720138888901</v>
      </c>
      <c r="J595" s="23" t="str">
        <f>HYPERLINK("https://www.spark-marketing.ru/Card/Person/84383", "ООО ""КОМПЛЕКС""")</f>
        <v>ООО "КОМПЛЕКС"</v>
      </c>
      <c r="K595" s="24" t="s">
        <v>1284</v>
      </c>
      <c r="L595" s="28" t="s">
        <v>52</v>
      </c>
      <c r="M595" s="25">
        <v>1029414.3</v>
      </c>
      <c r="N595" s="27">
        <v>0</v>
      </c>
    </row>
    <row r="596" spans="1:14" ht="12.75" hidden="1" outlineLevel="1" x14ac:dyDescent="0.2">
      <c r="A596" s="23" t="str">
        <f>HYPERLINK("https://www.spark-marketing.ru/Card/Person/62343", "ПУЛКОВСКАЯ ТАМОЖНЯ")</f>
        <v>ПУЛКОВСКАЯ ТАМОЖНЯ</v>
      </c>
      <c r="B596" s="24" t="s">
        <v>1282</v>
      </c>
      <c r="C596" s="25">
        <v>1029414.3</v>
      </c>
      <c r="D596" s="22" t="s">
        <v>1283</v>
      </c>
      <c r="E596" s="22" t="s">
        <v>208</v>
      </c>
      <c r="F596" s="23" t="str">
        <f>HYPERLINK("https://www.spark-marketing.ru/Card/Lot/74093618", "Поставка и выполнение работ по установке оборудования охранной сигнализации на имеющееся ограждение периметра служебно-производственного комплекса Пулковской таможни")</f>
        <v>Поставка и выполнение работ по установке оборудования охранной сигнализации на имеющееся ограждение периметра служебно-производственного комплекса Пулковской таможни</v>
      </c>
      <c r="G596" s="22" t="s">
        <v>89</v>
      </c>
      <c r="H596" s="22" t="s">
        <v>89</v>
      </c>
      <c r="I596" s="26">
        <v>43738.720138888901</v>
      </c>
      <c r="J596" s="23" t="str">
        <f>HYPERLINK("https://www.spark-marketing.ru/Card/Person/94345", "ООО ""СТРОЙСЕРВИСПРОЕКТ""")</f>
        <v>ООО "СТРОЙСЕРВИСПРОЕКТ"</v>
      </c>
      <c r="K596" s="24" t="s">
        <v>1285</v>
      </c>
      <c r="L596" s="22" t="s">
        <v>10</v>
      </c>
      <c r="M596" s="25">
        <v>1029414.3</v>
      </c>
      <c r="N596" s="27">
        <v>0</v>
      </c>
    </row>
    <row r="597" spans="1:14" x14ac:dyDescent="0.15">
      <c r="A597" s="23" t="str">
        <f>HYPERLINK("https://www.spark-marketing.ru/Card/Person/1029730", "МДОУ №5 Г. МОЖАЙСКА")</f>
        <v>МДОУ №5 Г. МОЖАЙСКА</v>
      </c>
      <c r="B597" s="24" t="s">
        <v>1286</v>
      </c>
      <c r="C597" s="25">
        <v>55000</v>
      </c>
      <c r="D597" s="22" t="s">
        <v>1287</v>
      </c>
      <c r="E597" s="22" t="s">
        <v>208</v>
      </c>
      <c r="F597" s="23" t="str">
        <f>HYPERLINK("https://www.spark-marketing.ru/Card/Lot/74070905", "Поставка и установка видеодомофона на калитку")</f>
        <v>Поставка и установка видеодомофона на калитку</v>
      </c>
      <c r="G597" s="22" t="s">
        <v>50</v>
      </c>
      <c r="H597" s="22" t="s">
        <v>399</v>
      </c>
      <c r="I597" s="26">
        <v>43738.711805555598</v>
      </c>
      <c r="J597" s="28" t="s">
        <v>52</v>
      </c>
      <c r="K597" s="28" t="s">
        <v>52</v>
      </c>
      <c r="L597" s="28" t="s">
        <v>52</v>
      </c>
      <c r="M597" s="28" t="s">
        <v>52</v>
      </c>
      <c r="N597" s="28" t="s">
        <v>52</v>
      </c>
    </row>
    <row r="598" spans="1:14" ht="12.75" hidden="1" outlineLevel="1" x14ac:dyDescent="0.2">
      <c r="A598" s="23" t="str">
        <f>HYPERLINK("https://www.spark-marketing.ru/Card/Person/1029730", "МДОУ №5 Г. МОЖАЙСКА")</f>
        <v>МДОУ №5 Г. МОЖАЙСКА</v>
      </c>
      <c r="B598" s="24" t="s">
        <v>1286</v>
      </c>
      <c r="C598" s="25">
        <v>55000</v>
      </c>
      <c r="D598" s="22" t="s">
        <v>1287</v>
      </c>
      <c r="E598" s="22" t="s">
        <v>208</v>
      </c>
      <c r="F598" s="23" t="str">
        <f>HYPERLINK("https://www.spark-marketing.ru/Card/Lot/74070905", "Поставка и установка видеодомофона на калитку")</f>
        <v>Поставка и установка видеодомофона на калитку</v>
      </c>
      <c r="G598" s="22" t="s">
        <v>50</v>
      </c>
      <c r="H598" s="22" t="s">
        <v>399</v>
      </c>
      <c r="I598" s="26">
        <v>43738.711805555598</v>
      </c>
      <c r="J598" s="23" t="str">
        <f>HYPERLINK("https://www.spark-marketing.ru/Card/Person/4439350", "ООО ""ЧОО ""ТРИГЛАВ""")</f>
        <v>ООО "ЧОО "ТРИГЛАВ"</v>
      </c>
      <c r="K598" s="24" t="s">
        <v>1198</v>
      </c>
      <c r="L598" s="22" t="s">
        <v>10</v>
      </c>
      <c r="M598" s="25">
        <v>52000</v>
      </c>
      <c r="N598" s="27">
        <v>5.4545454545454543E-2</v>
      </c>
    </row>
    <row r="599" spans="1:14" hidden="1" outlineLevel="1" x14ac:dyDescent="0.2">
      <c r="A599" s="23" t="str">
        <f>HYPERLINK("https://www.spark-marketing.ru/Card/Person/1029730", "МДОУ №5 Г. МОЖАЙСКА")</f>
        <v>МДОУ №5 Г. МОЖАЙСКА</v>
      </c>
      <c r="B599" s="24" t="s">
        <v>1286</v>
      </c>
      <c r="C599" s="25">
        <v>55000</v>
      </c>
      <c r="D599" s="22" t="s">
        <v>1287</v>
      </c>
      <c r="E599" s="22" t="s">
        <v>208</v>
      </c>
      <c r="F599" s="23" t="str">
        <f>HYPERLINK("https://www.spark-marketing.ru/Card/Lot/74070905", "Поставка и установка видеодомофона на калитку")</f>
        <v>Поставка и установка видеодомофона на калитку</v>
      </c>
      <c r="G599" s="22" t="s">
        <v>50</v>
      </c>
      <c r="H599" s="22" t="s">
        <v>399</v>
      </c>
      <c r="I599" s="26">
        <v>43738.711805555598</v>
      </c>
      <c r="J599" s="23" t="str">
        <f>HYPERLINK("https://www.spark-marketing.ru/Card/Person/6454317", "Прудникова Светлана Станиславовна")</f>
        <v>Прудникова Светлана Станиславовна</v>
      </c>
      <c r="K599" s="24" t="s">
        <v>1288</v>
      </c>
      <c r="L599" s="28" t="s">
        <v>52</v>
      </c>
      <c r="M599" s="25">
        <v>55000</v>
      </c>
      <c r="N599" s="27">
        <v>0</v>
      </c>
    </row>
    <row r="600" spans="1:14" hidden="1" outlineLevel="1" x14ac:dyDescent="0.2">
      <c r="A600" s="23" t="str">
        <f>HYPERLINK("https://www.spark-marketing.ru/Card/Person/1029730", "МДОУ №5 Г. МОЖАЙСКА")</f>
        <v>МДОУ №5 Г. МОЖАЙСКА</v>
      </c>
      <c r="B600" s="24" t="s">
        <v>1286</v>
      </c>
      <c r="C600" s="25">
        <v>55000</v>
      </c>
      <c r="D600" s="22" t="s">
        <v>1287</v>
      </c>
      <c r="E600" s="22" t="s">
        <v>208</v>
      </c>
      <c r="F600" s="23" t="str">
        <f>HYPERLINK("https://www.spark-marketing.ru/Card/Lot/74070905", "Поставка и установка видеодомофона на калитку")</f>
        <v>Поставка и установка видеодомофона на калитку</v>
      </c>
      <c r="G600" s="22" t="s">
        <v>50</v>
      </c>
      <c r="H600" s="22" t="s">
        <v>399</v>
      </c>
      <c r="I600" s="26">
        <v>43738.711805555598</v>
      </c>
      <c r="J600" s="23" t="str">
        <f>HYPERLINK("https://www.spark-marketing.ru/Card/Person/704206", "Комаровский Александр Владимирович")</f>
        <v>Комаровский Александр Владимирович</v>
      </c>
      <c r="K600" s="24" t="s">
        <v>1289</v>
      </c>
      <c r="L600" s="28" t="s">
        <v>52</v>
      </c>
      <c r="M600" s="25">
        <v>55000</v>
      </c>
      <c r="N600" s="27">
        <v>0</v>
      </c>
    </row>
    <row r="601" spans="1:14" hidden="1" outlineLevel="1" x14ac:dyDescent="0.2">
      <c r="A601" s="23" t="str">
        <f>HYPERLINK("https://www.spark-marketing.ru/Card/Person/1029730", "МДОУ №5 Г. МОЖАЙСКА")</f>
        <v>МДОУ №5 Г. МОЖАЙСКА</v>
      </c>
      <c r="B601" s="24" t="s">
        <v>1286</v>
      </c>
      <c r="C601" s="25">
        <v>55000</v>
      </c>
      <c r="D601" s="22" t="s">
        <v>1287</v>
      </c>
      <c r="E601" s="22" t="s">
        <v>208</v>
      </c>
      <c r="F601" s="23" t="str">
        <f>HYPERLINK("https://www.spark-marketing.ru/Card/Lot/74070905", "Поставка и установка видеодомофона на калитку")</f>
        <v>Поставка и установка видеодомофона на калитку</v>
      </c>
      <c r="G601" s="22" t="s">
        <v>50</v>
      </c>
      <c r="H601" s="22" t="s">
        <v>399</v>
      </c>
      <c r="I601" s="26">
        <v>43738.711805555598</v>
      </c>
      <c r="J601" s="23" t="str">
        <f>HYPERLINK("https://www.spark-marketing.ru/Card/Person/358549", "Капральнов Юрий Борисович")</f>
        <v>Капральнов Юрий Борисович</v>
      </c>
      <c r="K601" s="24" t="s">
        <v>1290</v>
      </c>
      <c r="L601" s="28" t="s">
        <v>52</v>
      </c>
      <c r="M601" s="25">
        <v>55000</v>
      </c>
      <c r="N601" s="27">
        <v>0</v>
      </c>
    </row>
    <row r="602" spans="1:14" x14ac:dyDescent="0.15">
      <c r="A602" s="23" t="str">
        <f>HYPERLINK("https://www.spark-marketing.ru/Card/Person/5549", "ФГКУ РОСГРАНСТРОЙ")</f>
        <v>ФГКУ РОСГРАНСТРОЙ</v>
      </c>
      <c r="B602" s="24" t="s">
        <v>1291</v>
      </c>
      <c r="C602" s="25">
        <v>164626.67000000001</v>
      </c>
      <c r="D602" s="22" t="s">
        <v>1292</v>
      </c>
      <c r="E602" s="22" t="s">
        <v>1293</v>
      </c>
      <c r="F602" s="23" t="str">
        <f>HYPERLINK("https://www.spark-marketing.ru/Card/Lot/74074944", "Поставка с установкой жестких дисков (6 шт) для увеличения объема памяти систем видеонаблюдения для МАПП Ново-Филя для нужд Северо-Кавказского филиала ФГКУ Росгранстрой")</f>
        <v>Поставка с установкой жестких дисков (6 шт) для увеличения объема памяти систем видеонаблюдения для МАПП Ново-Филя для нужд Северо-Кавказского филиала ФГКУ Росгранстрой</v>
      </c>
      <c r="G602" s="22" t="s">
        <v>595</v>
      </c>
      <c r="H602" s="22" t="s">
        <v>595</v>
      </c>
      <c r="I602" s="26">
        <v>43738.707638888904</v>
      </c>
      <c r="J602" s="23" t="str">
        <f>HYPERLINK("https://www.spark-marketing.ru/Card/Person/4402886", "ООО ""СК ЭРА""")</f>
        <v>ООО "СК ЭРА"</v>
      </c>
      <c r="K602" s="24" t="s">
        <v>1294</v>
      </c>
      <c r="L602" s="22" t="s">
        <v>10</v>
      </c>
      <c r="M602" s="28" t="s">
        <v>52</v>
      </c>
      <c r="N602" s="28" t="s">
        <v>52</v>
      </c>
    </row>
    <row r="603" spans="1:14" x14ac:dyDescent="0.15">
      <c r="A603" s="23" t="str">
        <f>HYPERLINK("https://www.spark-marketing.ru/Card/Person/11742", "ЦЕНТРАЛЬНАЯ ТАМОЖНЯ (КИНОЛОГИЧЕСКИЙ ЦЕНТР ФТС РОССИИ)")</f>
        <v>ЦЕНТРАЛЬНАЯ ТАМОЖНЯ (КИНОЛОГИЧЕСКИЙ ЦЕНТР ФТС РОССИИ)</v>
      </c>
      <c r="B603" s="24" t="s">
        <v>1295</v>
      </c>
      <c r="C603" s="25">
        <v>265000</v>
      </c>
      <c r="D603" s="22" t="s">
        <v>1296</v>
      </c>
      <c r="E603" s="22" t="s">
        <v>1297</v>
      </c>
      <c r="F603" s="23" t="str">
        <f>HYPERLINK("https://www.spark-marketing.ru/Card/Lot/74078222", "Приобретение видео и  фотооборудования, оборудования записи и вспомогательных аксессуаров для установки и переноса видео и фотооборудования")</f>
        <v>Приобретение видео и  фотооборудования, оборудования записи и вспомогательных аксессуаров для установки и переноса видео и фотооборудования</v>
      </c>
      <c r="G603" s="22" t="s">
        <v>50</v>
      </c>
      <c r="H603" s="22" t="s">
        <v>458</v>
      </c>
      <c r="I603" s="26">
        <v>43738.670833333301</v>
      </c>
      <c r="J603" s="28" t="s">
        <v>52</v>
      </c>
      <c r="K603" s="28" t="s">
        <v>52</v>
      </c>
      <c r="L603" s="28" t="s">
        <v>52</v>
      </c>
      <c r="M603" s="28" t="s">
        <v>52</v>
      </c>
      <c r="N603" s="28" t="s">
        <v>52</v>
      </c>
    </row>
    <row r="604" spans="1:14" ht="12.75" hidden="1" outlineLevel="1" x14ac:dyDescent="0.2">
      <c r="A604" s="23" t="str">
        <f>HYPERLINK("https://www.spark-marketing.ru/Card/Person/11742", "ЦЕНТРАЛЬНАЯ ТАМОЖНЯ (КИНОЛОГИЧЕСКИЙ ЦЕНТР ФТС РОССИИ)")</f>
        <v>ЦЕНТРАЛЬНАЯ ТАМОЖНЯ (КИНОЛОГИЧЕСКИЙ ЦЕНТР ФТС РОССИИ)</v>
      </c>
      <c r="B604" s="24" t="s">
        <v>1295</v>
      </c>
      <c r="C604" s="25">
        <v>265000</v>
      </c>
      <c r="D604" s="22" t="s">
        <v>1296</v>
      </c>
      <c r="E604" s="22" t="s">
        <v>1297</v>
      </c>
      <c r="F604" s="23" t="str">
        <f>HYPERLINK("https://www.spark-marketing.ru/Card/Lot/74078222", "Приобретение видео и  фотооборудования, оборудования записи и вспомогательных аксессуаров для установки и переноса видео и фотооборудования")</f>
        <v>Приобретение видео и  фотооборудования, оборудования записи и вспомогательных аксессуаров для установки и переноса видео и фотооборудования</v>
      </c>
      <c r="G604" s="22" t="s">
        <v>50</v>
      </c>
      <c r="H604" s="22" t="s">
        <v>458</v>
      </c>
      <c r="I604" s="26">
        <v>43738.670833333301</v>
      </c>
      <c r="J604" s="23" t="str">
        <f>HYPERLINK("https://www.spark-marketing.ru/Card/Person/6518151", "ООО ""КСК-РЕНОВАЦИЯ""")</f>
        <v>ООО "КСК-РЕНОВАЦИЯ"</v>
      </c>
      <c r="K604" s="24" t="s">
        <v>1298</v>
      </c>
      <c r="L604" s="22" t="s">
        <v>10</v>
      </c>
      <c r="M604" s="25">
        <v>254800</v>
      </c>
      <c r="N604" s="27">
        <v>3.8490566037735846E-2</v>
      </c>
    </row>
    <row r="605" spans="1:14" hidden="1" outlineLevel="1" x14ac:dyDescent="0.2">
      <c r="A605" s="23" t="str">
        <f>HYPERLINK("https://www.spark-marketing.ru/Card/Person/11742", "ЦЕНТРАЛЬНАЯ ТАМОЖНЯ (КИНОЛОГИЧЕСКИЙ ЦЕНТР ФТС РОССИИ)")</f>
        <v>ЦЕНТРАЛЬНАЯ ТАМОЖНЯ (КИНОЛОГИЧЕСКИЙ ЦЕНТР ФТС РОССИИ)</v>
      </c>
      <c r="B605" s="24" t="s">
        <v>1295</v>
      </c>
      <c r="C605" s="25">
        <v>265000</v>
      </c>
      <c r="D605" s="22" t="s">
        <v>1296</v>
      </c>
      <c r="E605" s="22" t="s">
        <v>1297</v>
      </c>
      <c r="F605" s="23" t="str">
        <f>HYPERLINK("https://www.spark-marketing.ru/Card/Lot/74078222", "Приобретение видео и  фотооборудования, оборудования записи и вспомогательных аксессуаров для установки и переноса видео и фотооборудования")</f>
        <v>Приобретение видео и  фотооборудования, оборудования записи и вспомогательных аксессуаров для установки и переноса видео и фотооборудования</v>
      </c>
      <c r="G605" s="22" t="s">
        <v>50</v>
      </c>
      <c r="H605" s="22" t="s">
        <v>458</v>
      </c>
      <c r="I605" s="26">
        <v>43738.670833333301</v>
      </c>
      <c r="J605" s="23" t="str">
        <f>HYPERLINK("https://www.spark-marketing.ru/Card/Person/1280506", "Артемов Александр Александрович")</f>
        <v>Артемов Александр Александрович</v>
      </c>
      <c r="K605" s="24" t="s">
        <v>1299</v>
      </c>
      <c r="L605" s="28" t="s">
        <v>52</v>
      </c>
      <c r="M605" s="25">
        <v>264900</v>
      </c>
      <c r="N605" s="27">
        <v>3.7735849056603772E-4</v>
      </c>
    </row>
    <row r="606" spans="1:14" x14ac:dyDescent="0.15">
      <c r="A606" s="23" t="str">
        <f>HYPERLINK("https://www.spark-marketing.ru/Card/Person/33992", "ГБУЗ РБ ГДКБ № 17 Г.УФА")</f>
        <v>ГБУЗ РБ ГДКБ № 17 Г.УФА</v>
      </c>
      <c r="B606" s="24" t="s">
        <v>1300</v>
      </c>
      <c r="C606" s="25">
        <v>145000</v>
      </c>
      <c r="D606" s="22" t="s">
        <v>1301</v>
      </c>
      <c r="E606" s="22" t="s">
        <v>103</v>
      </c>
      <c r="F606" s="23" t="str">
        <f>HYPERLINK("https://www.spark-marketing.ru/Card/Lot/74074396", "Оказание услуг по техническому обслуживанию систем охранного видеонаблюдения")</f>
        <v>Оказание услуг по техническому обслуживанию систем охранного видеонаблюдения</v>
      </c>
      <c r="G606" s="22" t="s">
        <v>100</v>
      </c>
      <c r="H606" s="22" t="s">
        <v>373</v>
      </c>
      <c r="I606" s="26">
        <v>43738.699305555601</v>
      </c>
      <c r="J606" s="28" t="s">
        <v>52</v>
      </c>
      <c r="K606" s="28" t="s">
        <v>52</v>
      </c>
      <c r="L606" s="28" t="s">
        <v>52</v>
      </c>
      <c r="M606" s="28" t="s">
        <v>52</v>
      </c>
      <c r="N606" s="28" t="s">
        <v>52</v>
      </c>
    </row>
    <row r="607" spans="1:14" ht="12.75" hidden="1" outlineLevel="1" x14ac:dyDescent="0.2">
      <c r="A607" s="23" t="str">
        <f>HYPERLINK("https://www.spark-marketing.ru/Card/Person/33992", "ГБУЗ РБ ГДКБ № 17 Г.УФА")</f>
        <v>ГБУЗ РБ ГДКБ № 17 Г.УФА</v>
      </c>
      <c r="B607" s="24" t="s">
        <v>1300</v>
      </c>
      <c r="C607" s="25">
        <v>145000</v>
      </c>
      <c r="D607" s="22" t="s">
        <v>1301</v>
      </c>
      <c r="E607" s="22" t="s">
        <v>103</v>
      </c>
      <c r="F607" s="23" t="str">
        <f>HYPERLINK("https://www.spark-marketing.ru/Card/Lot/74074396", "Оказание услуг по техническому обслуживанию систем охранного видеонаблюдения")</f>
        <v>Оказание услуг по техническому обслуживанию систем охранного видеонаблюдения</v>
      </c>
      <c r="G607" s="22" t="s">
        <v>100</v>
      </c>
      <c r="H607" s="22" t="s">
        <v>373</v>
      </c>
      <c r="I607" s="26">
        <v>43738.699305555601</v>
      </c>
      <c r="J607" s="23" t="str">
        <f>HYPERLINK("https://www.spark-marketing.ru/Card/Person/157968", "ООО ""ТЕЛЕКОМ""")</f>
        <v>ООО "ТЕЛЕКОМ"</v>
      </c>
      <c r="K607" s="24" t="s">
        <v>1302</v>
      </c>
      <c r="L607" s="22" t="s">
        <v>10</v>
      </c>
      <c r="M607" s="25">
        <v>119500</v>
      </c>
      <c r="N607" s="27">
        <v>0.17586206896551723</v>
      </c>
    </row>
    <row r="608" spans="1:14" hidden="1" outlineLevel="1" x14ac:dyDescent="0.2">
      <c r="A608" s="23" t="str">
        <f>HYPERLINK("https://www.spark-marketing.ru/Card/Person/33992", "ГБУЗ РБ ГДКБ № 17 Г.УФА")</f>
        <v>ГБУЗ РБ ГДКБ № 17 Г.УФА</v>
      </c>
      <c r="B608" s="24" t="s">
        <v>1300</v>
      </c>
      <c r="C608" s="25">
        <v>145000</v>
      </c>
      <c r="D608" s="22" t="s">
        <v>1301</v>
      </c>
      <c r="E608" s="22" t="s">
        <v>103</v>
      </c>
      <c r="F608" s="23" t="str">
        <f>HYPERLINK("https://www.spark-marketing.ru/Card/Lot/74074396", "Оказание услуг по техническому обслуживанию систем охранного видеонаблюдения")</f>
        <v>Оказание услуг по техническому обслуживанию систем охранного видеонаблюдения</v>
      </c>
      <c r="G608" s="22" t="s">
        <v>100</v>
      </c>
      <c r="H608" s="22" t="s">
        <v>373</v>
      </c>
      <c r="I608" s="26">
        <v>43738.699305555601</v>
      </c>
      <c r="J608" s="23" t="str">
        <f>HYPERLINK("https://www.spark-marketing.ru/Card/Person/243091", "Гуров Дмитрий Владимирович")</f>
        <v>Гуров Дмитрий Владимирович</v>
      </c>
      <c r="K608" s="24" t="s">
        <v>1303</v>
      </c>
      <c r="L608" s="28" t="s">
        <v>52</v>
      </c>
      <c r="M608" s="25">
        <v>120225</v>
      </c>
      <c r="N608" s="27">
        <v>0.17086206896551723</v>
      </c>
    </row>
    <row r="609" spans="1:14" hidden="1" outlineLevel="1" x14ac:dyDescent="0.2">
      <c r="A609" s="23" t="str">
        <f>HYPERLINK("https://www.spark-marketing.ru/Card/Person/33992", "ГБУЗ РБ ГДКБ № 17 Г.УФА")</f>
        <v>ГБУЗ РБ ГДКБ № 17 Г.УФА</v>
      </c>
      <c r="B609" s="24" t="s">
        <v>1300</v>
      </c>
      <c r="C609" s="25">
        <v>145000</v>
      </c>
      <c r="D609" s="22" t="s">
        <v>1301</v>
      </c>
      <c r="E609" s="22" t="s">
        <v>103</v>
      </c>
      <c r="F609" s="23" t="str">
        <f>HYPERLINK("https://www.spark-marketing.ru/Card/Lot/74074396", "Оказание услуг по техническому обслуживанию систем охранного видеонаблюдения")</f>
        <v>Оказание услуг по техническому обслуживанию систем охранного видеонаблюдения</v>
      </c>
      <c r="G609" s="22" t="s">
        <v>100</v>
      </c>
      <c r="H609" s="22" t="s">
        <v>373</v>
      </c>
      <c r="I609" s="26">
        <v>43738.699305555601</v>
      </c>
      <c r="J609" s="23" t="str">
        <f>HYPERLINK("https://www.spark-marketing.ru/Card/Person/6580011", "Нуриманов Вадим Фагимович")</f>
        <v>Нуриманов Вадим Фагимович</v>
      </c>
      <c r="K609" s="24" t="s">
        <v>1304</v>
      </c>
      <c r="L609" s="28" t="s">
        <v>52</v>
      </c>
      <c r="M609" s="25">
        <v>134000</v>
      </c>
      <c r="N609" s="27">
        <v>7.586206896551724E-2</v>
      </c>
    </row>
    <row r="610" spans="1:14" x14ac:dyDescent="0.15">
      <c r="A610" s="23" t="str">
        <f t="shared" ref="A610:A615" si="8">HYPERLINK("https://www.spark-marketing.ru/Card/Person/143507", "АДМИНИСТРАЦИЯ РАБОЧЕГО ПОСЕЛКА КОЛЫВАНЬ КОЛЫВАНСКОГО РАЙОНА НОВОСИБИРСКОЙ ОБЛАСТИ")</f>
        <v>АДМИНИСТРАЦИЯ РАБОЧЕГО ПОСЕЛКА КОЛЫВАНЬ КОЛЫВАНСКОГО РАЙОНА НОВОСИБИРСКОЙ ОБЛАСТИ</v>
      </c>
      <c r="B610" s="24" t="s">
        <v>1305</v>
      </c>
      <c r="C610" s="25">
        <v>999614.4</v>
      </c>
      <c r="D610" s="22" t="s">
        <v>1306</v>
      </c>
      <c r="E610" s="22" t="s">
        <v>59</v>
      </c>
      <c r="F610" s="23" t="str">
        <f t="shared" ref="F610:F615" si="9">HYPERLINK("https://www.spark-marketing.ru/Card/Lot/74085213", "Обслуживание сетей уличного освещения в р.п. Колывань Колыванского района Новосибирской области")</f>
        <v>Обслуживание сетей уличного освещения в р.п. Колывань Колыванского района Новосибирской области</v>
      </c>
      <c r="G610" s="22" t="s">
        <v>209</v>
      </c>
      <c r="H610" s="22" t="s">
        <v>1307</v>
      </c>
      <c r="I610" s="26">
        <v>43738.704849537004</v>
      </c>
      <c r="J610" s="28" t="s">
        <v>52</v>
      </c>
      <c r="K610" s="28" t="s">
        <v>52</v>
      </c>
      <c r="L610" s="28" t="s">
        <v>52</v>
      </c>
      <c r="M610" s="28" t="s">
        <v>52</v>
      </c>
      <c r="N610" s="28" t="s">
        <v>52</v>
      </c>
    </row>
    <row r="611" spans="1:14" hidden="1" outlineLevel="1" x14ac:dyDescent="0.2">
      <c r="A611" s="23" t="str">
        <f t="shared" si="8"/>
        <v>АДМИНИСТРАЦИЯ РАБОЧЕГО ПОСЕЛКА КОЛЫВАНЬ КОЛЫВАНСКОГО РАЙОНА НОВОСИБИРСКОЙ ОБЛАСТИ</v>
      </c>
      <c r="B611" s="24" t="s">
        <v>1305</v>
      </c>
      <c r="C611" s="25">
        <v>999614.4</v>
      </c>
      <c r="D611" s="22" t="s">
        <v>1306</v>
      </c>
      <c r="E611" s="22" t="s">
        <v>59</v>
      </c>
      <c r="F611" s="23" t="str">
        <f t="shared" si="9"/>
        <v>Обслуживание сетей уличного освещения в р.п. Колывань Колыванского района Новосибирской области</v>
      </c>
      <c r="G611" s="22" t="s">
        <v>209</v>
      </c>
      <c r="H611" s="22" t="s">
        <v>1307</v>
      </c>
      <c r="I611" s="26">
        <v>43738.704849537004</v>
      </c>
      <c r="J611" s="23" t="str">
        <f>HYPERLINK("https://www.spark-marketing.ru/Card/Person/6483784", "ООО ""ЭМИС""")</f>
        <v>ООО "ЭМИС"</v>
      </c>
      <c r="K611" s="24" t="s">
        <v>1308</v>
      </c>
      <c r="L611" s="28" t="s">
        <v>52</v>
      </c>
      <c r="M611" s="25">
        <v>809687.68</v>
      </c>
      <c r="N611" s="27">
        <v>0.18999998399382803</v>
      </c>
    </row>
    <row r="612" spans="1:14" hidden="1" outlineLevel="1" x14ac:dyDescent="0.2">
      <c r="A612" s="23" t="str">
        <f t="shared" si="8"/>
        <v>АДМИНИСТРАЦИЯ РАБОЧЕГО ПОСЕЛКА КОЛЫВАНЬ КОЛЫВАНСКОГО РАЙОНА НОВОСИБИРСКОЙ ОБЛАСТИ</v>
      </c>
      <c r="B612" s="24" t="s">
        <v>1305</v>
      </c>
      <c r="C612" s="25">
        <v>999614.4</v>
      </c>
      <c r="D612" s="22" t="s">
        <v>1306</v>
      </c>
      <c r="E612" s="22" t="s">
        <v>59</v>
      </c>
      <c r="F612" s="23" t="str">
        <f t="shared" si="9"/>
        <v>Обслуживание сетей уличного освещения в р.п. Колывань Колыванского района Новосибирской области</v>
      </c>
      <c r="G612" s="22" t="s">
        <v>209</v>
      </c>
      <c r="H612" s="22" t="s">
        <v>1307</v>
      </c>
      <c r="I612" s="26">
        <v>43738.704849537004</v>
      </c>
      <c r="J612" s="23" t="str">
        <f>HYPERLINK("https://www.spark-marketing.ru/Card/Person/719457", "Дорофеев Геннадий Викторович")</f>
        <v>Дорофеев Геннадий Викторович</v>
      </c>
      <c r="K612" s="24" t="s">
        <v>1309</v>
      </c>
      <c r="L612" s="28" t="s">
        <v>52</v>
      </c>
      <c r="M612" s="25">
        <v>724720.47</v>
      </c>
      <c r="N612" s="27">
        <v>0.27499996998842752</v>
      </c>
    </row>
    <row r="613" spans="1:14" hidden="1" outlineLevel="1" x14ac:dyDescent="0.2">
      <c r="A613" s="23" t="str">
        <f t="shared" si="8"/>
        <v>АДМИНИСТРАЦИЯ РАБОЧЕГО ПОСЕЛКА КОЛЫВАНЬ КОЛЫВАНСКОГО РАЙОНА НОВОСИБИРСКОЙ ОБЛАСТИ</v>
      </c>
      <c r="B613" s="24" t="s">
        <v>1305</v>
      </c>
      <c r="C613" s="25">
        <v>999614.4</v>
      </c>
      <c r="D613" s="22" t="s">
        <v>1306</v>
      </c>
      <c r="E613" s="22" t="s">
        <v>59</v>
      </c>
      <c r="F613" s="23" t="str">
        <f t="shared" si="9"/>
        <v>Обслуживание сетей уличного освещения в р.п. Колывань Колыванского района Новосибирской области</v>
      </c>
      <c r="G613" s="22" t="s">
        <v>209</v>
      </c>
      <c r="H613" s="22" t="s">
        <v>1307</v>
      </c>
      <c r="I613" s="26">
        <v>43738.704849537004</v>
      </c>
      <c r="J613" s="23" t="str">
        <f>HYPERLINK("https://www.spark-marketing.ru/Card/Person/6517468", "Зиганшина Татьяна Олеговна")</f>
        <v>Зиганшина Татьяна Олеговна</v>
      </c>
      <c r="K613" s="24" t="s">
        <v>1310</v>
      </c>
      <c r="L613" s="28" t="s">
        <v>52</v>
      </c>
      <c r="M613" s="25">
        <v>859668.4</v>
      </c>
      <c r="N613" s="27">
        <v>0.13999998399382801</v>
      </c>
    </row>
    <row r="614" spans="1:14" ht="12.75" hidden="1" outlineLevel="1" x14ac:dyDescent="0.2">
      <c r="A614" s="23" t="str">
        <f t="shared" si="8"/>
        <v>АДМИНИСТРАЦИЯ РАБОЧЕГО ПОСЕЛКА КОЛЫВАНЬ КОЛЫВАНСКОГО РАЙОНА НОВОСИБИРСКОЙ ОБЛАСТИ</v>
      </c>
      <c r="B614" s="24" t="s">
        <v>1305</v>
      </c>
      <c r="C614" s="25">
        <v>999614.4</v>
      </c>
      <c r="D614" s="22" t="s">
        <v>1306</v>
      </c>
      <c r="E614" s="22" t="s">
        <v>59</v>
      </c>
      <c r="F614" s="23" t="str">
        <f t="shared" si="9"/>
        <v>Обслуживание сетей уличного освещения в р.п. Колывань Колыванского района Новосибирской области</v>
      </c>
      <c r="G614" s="22" t="s">
        <v>209</v>
      </c>
      <c r="H614" s="22" t="s">
        <v>1307</v>
      </c>
      <c r="I614" s="26">
        <v>43738.704849537004</v>
      </c>
      <c r="J614" s="23" t="str">
        <f>HYPERLINK("https://www.spark-marketing.ru/Card/Person/242593", "ООО ""ТРАНСПРОЕКТ""")</f>
        <v>ООО "ТРАНСПРОЕКТ"</v>
      </c>
      <c r="K614" s="24" t="s">
        <v>1311</v>
      </c>
      <c r="L614" s="22" t="s">
        <v>10</v>
      </c>
      <c r="M614" s="25">
        <v>629757.14</v>
      </c>
      <c r="N614" s="27">
        <v>0.36999993197376907</v>
      </c>
    </row>
    <row r="615" spans="1:14" hidden="1" outlineLevel="1" x14ac:dyDescent="0.2">
      <c r="A615" s="23" t="str">
        <f t="shared" si="8"/>
        <v>АДМИНИСТРАЦИЯ РАБОЧЕГО ПОСЕЛКА КОЛЫВАНЬ КОЛЫВАНСКОГО РАЙОНА НОВОСИБИРСКОЙ ОБЛАСТИ</v>
      </c>
      <c r="B615" s="24" t="s">
        <v>1305</v>
      </c>
      <c r="C615" s="25">
        <v>999614.4</v>
      </c>
      <c r="D615" s="22" t="s">
        <v>1306</v>
      </c>
      <c r="E615" s="22" t="s">
        <v>59</v>
      </c>
      <c r="F615" s="23" t="str">
        <f t="shared" si="9"/>
        <v>Обслуживание сетей уличного освещения в р.п. Колывань Колыванского района Новосибирской области</v>
      </c>
      <c r="G615" s="22" t="s">
        <v>209</v>
      </c>
      <c r="H615" s="22" t="s">
        <v>1307</v>
      </c>
      <c r="I615" s="26">
        <v>43738.704849537004</v>
      </c>
      <c r="J615" s="23" t="str">
        <f>HYPERLINK("https://www.spark-marketing.ru/Card/Person/279451", "Большева Наталья Александровна")</f>
        <v>Большева Наталья Александровна</v>
      </c>
      <c r="K615" s="24" t="s">
        <v>1312</v>
      </c>
      <c r="L615" s="28" t="s">
        <v>52</v>
      </c>
      <c r="M615" s="25">
        <v>634755.21</v>
      </c>
      <c r="N615" s="27">
        <v>0.36499993397454056</v>
      </c>
    </row>
    <row r="616" spans="1:14" x14ac:dyDescent="0.15">
      <c r="A616" s="23" t="str">
        <f>HYPERLINK("https://www.spark-marketing.ru/Card/Person/4389657", "ФГУП «КЖД»")</f>
        <v>ФГУП «КЖД»</v>
      </c>
      <c r="B616" s="24" t="s">
        <v>1313</v>
      </c>
      <c r="C616" s="25">
        <v>6888466.71</v>
      </c>
      <c r="D616" s="22" t="s">
        <v>1314</v>
      </c>
      <c r="E616" s="22" t="s">
        <v>1315</v>
      </c>
      <c r="F616" s="23" t="str">
        <f>HYPERLINK("https://www.spark-marketing.ru/Card/Lot/74083936", "Поставка и монтаж блочно - модульных досмотровых павильонов для оборудования контрольно-пропускных пунктов и постов транспортной безопасности на объектах транспортной инфраструктуры Федерального государственного унитарного предприятия «Крымская желез...")</f>
        <v>Поставка и монтаж блочно - модульных досмотровых павильонов для оборудования контрольно-пропускных пунктов и постов транспортной безопасности на объектах транспортной инфраструктуры Федерального государственного унитарного предприятия «Крымская желез...</v>
      </c>
      <c r="G616" s="22" t="s">
        <v>1053</v>
      </c>
      <c r="H616" s="22" t="s">
        <v>1053</v>
      </c>
      <c r="I616" s="26">
        <v>43738.689814814803</v>
      </c>
      <c r="J616" s="23" t="str">
        <f>HYPERLINK("https://www.spark-marketing.ru/Card/Person/4893064", "ООО ""КРЫМ-МОДУЛЬ""")</f>
        <v>ООО "КРЫМ-МОДУЛЬ"</v>
      </c>
      <c r="K616" s="24" t="s">
        <v>1316</v>
      </c>
      <c r="L616" s="22" t="s">
        <v>10</v>
      </c>
      <c r="M616" s="28" t="s">
        <v>52</v>
      </c>
      <c r="N616" s="28" t="s">
        <v>52</v>
      </c>
    </row>
    <row r="617" spans="1:14" x14ac:dyDescent="0.15">
      <c r="A617" s="23" t="str">
        <f>HYPERLINK("https://www.spark-marketing.ru/Card/Person/35284", "ТОГКУ ""ТАМБОВАВТОДОР""")</f>
        <v>ТОГКУ "ТАМБОВАВТОДОР"</v>
      </c>
      <c r="B617" s="24" t="s">
        <v>1317</v>
      </c>
      <c r="C617" s="25">
        <v>2000000</v>
      </c>
      <c r="D617" s="22" t="s">
        <v>1318</v>
      </c>
      <c r="E617" s="22" t="s">
        <v>491</v>
      </c>
      <c r="F617" s="23" t="str">
        <f>HYPERLINK("https://www.spark-marketing.ru/Card/Lot/74099501", "оказание консультационных услуг по разработке планов обеспечения транспортной безопасности объектов транспортной инфраструктуры")</f>
        <v>оказание консультационных услуг по разработке планов обеспечения транспортной безопасности объектов транспортной инфраструктуры</v>
      </c>
      <c r="G617" s="22" t="s">
        <v>1319</v>
      </c>
      <c r="H617" s="22" t="s">
        <v>1320</v>
      </c>
      <c r="I617" s="26">
        <v>43738.703472222202</v>
      </c>
      <c r="J617" s="28" t="s">
        <v>52</v>
      </c>
      <c r="K617" s="28" t="s">
        <v>52</v>
      </c>
      <c r="L617" s="28" t="s">
        <v>52</v>
      </c>
      <c r="M617" s="28" t="s">
        <v>52</v>
      </c>
      <c r="N617" s="28" t="s">
        <v>52</v>
      </c>
    </row>
    <row r="618" spans="1:14" x14ac:dyDescent="0.15">
      <c r="A618" s="23" t="str">
        <f>HYPERLINK("https://www.spark-marketing.ru/Card/Person/275685", "УПРАВЛЕНИЕ ГО И ЧС ГОРОДА СВОБОДНОГО")</f>
        <v>УПРАВЛЕНИЕ ГО И ЧС ГОРОДА СВОБОДНОГО</v>
      </c>
      <c r="B618" s="24" t="s">
        <v>1321</v>
      </c>
      <c r="C618" s="25">
        <v>477526</v>
      </c>
      <c r="D618" s="22" t="s">
        <v>1322</v>
      </c>
      <c r="E618" s="22" t="s">
        <v>234</v>
      </c>
      <c r="F618" s="23" t="str">
        <f>HYPERLINK("https://www.spark-marketing.ru/Card/Lot/74074850", "услуги по техническому обслуживанию камер видеонаблюдения и сопутствующего серверного оборудования с прикладными средствами видеонаблюдения")</f>
        <v>услуги по техническому обслуживанию камер видеонаблюдения и сопутствующего серверного оборудования с прикладными средствами видеонаблюдения</v>
      </c>
      <c r="G618" s="22" t="s">
        <v>230</v>
      </c>
      <c r="H618" s="22" t="s">
        <v>1065</v>
      </c>
      <c r="I618" s="26">
        <v>43738.715902777803</v>
      </c>
      <c r="J618" s="23" t="str">
        <f>HYPERLINK("https://www.spark-marketing.ru/Card/Person/10991", "ПАО ""РОСТЕЛЕКОМ""")</f>
        <v>ПАО "РОСТЕЛЕКОМ"</v>
      </c>
      <c r="K618" s="24" t="s">
        <v>607</v>
      </c>
      <c r="L618" s="28" t="s">
        <v>52</v>
      </c>
      <c r="M618" s="28" t="s">
        <v>52</v>
      </c>
      <c r="N618" s="28" t="s">
        <v>52</v>
      </c>
    </row>
    <row r="619" spans="1:14" ht="12.75" hidden="1" outlineLevel="1" x14ac:dyDescent="0.2">
      <c r="A619" s="23" t="str">
        <f>HYPERLINK("https://www.spark-marketing.ru/Card/Person/275685", "УПРАВЛЕНИЕ ГО И ЧС ГОРОДА СВОБОДНОГО")</f>
        <v>УПРАВЛЕНИЕ ГО И ЧС ГОРОДА СВОБОДНОГО</v>
      </c>
      <c r="B619" s="24" t="s">
        <v>1321</v>
      </c>
      <c r="C619" s="25">
        <v>477526</v>
      </c>
      <c r="D619" s="22" t="s">
        <v>1322</v>
      </c>
      <c r="E619" s="22" t="s">
        <v>234</v>
      </c>
      <c r="F619" s="23" t="str">
        <f>HYPERLINK("https://www.spark-marketing.ru/Card/Lot/74074850", "услуги по техническому обслуживанию камер видеонаблюдения и сопутствующего серверного оборудования с прикладными средствами видеонаблюдения")</f>
        <v>услуги по техническому обслуживанию камер видеонаблюдения и сопутствующего серверного оборудования с прикладными средствами видеонаблюдения</v>
      </c>
      <c r="G619" s="22" t="s">
        <v>230</v>
      </c>
      <c r="H619" s="22" t="s">
        <v>1065</v>
      </c>
      <c r="I619" s="26">
        <v>43738.715902777803</v>
      </c>
      <c r="J619" s="23" t="str">
        <f>HYPERLINK("https://www.spark-marketing.ru/Card/Person/10991", "ПАО ""РОСТЕЛЕКОМ""")</f>
        <v>ПАО "РОСТЕЛЕКОМ"</v>
      </c>
      <c r="K619" s="24" t="s">
        <v>607</v>
      </c>
      <c r="L619" s="22" t="s">
        <v>10</v>
      </c>
      <c r="M619" s="25">
        <v>475138.37</v>
      </c>
      <c r="N619" s="27">
        <v>5.0000000000000001E-3</v>
      </c>
    </row>
    <row r="620" spans="1:14" x14ac:dyDescent="0.15">
      <c r="A620" s="23" t="str">
        <f>HYPERLINK("https://www.spark-marketing.ru/Card/Person/53996", "СУ СК РОССИИ ПО РЕСПУБЛИКЕ КАЛМЫКИЯ")</f>
        <v>СУ СК РОССИИ ПО РЕСПУБЛИКЕ КАЛМЫКИЯ</v>
      </c>
      <c r="B620" s="24" t="s">
        <v>1323</v>
      </c>
      <c r="C620" s="25">
        <v>142955.82</v>
      </c>
      <c r="D620" s="22" t="s">
        <v>1324</v>
      </c>
      <c r="E620" s="22" t="s">
        <v>68</v>
      </c>
      <c r="F620" s="23" t="str">
        <f>HYPERLINK("https://www.spark-marketing.ru/Card/Lot/74074387", "услуги по охране объектов следственного управления Следственного комитета Российской Федерации по Республике Калмыкия с помощью технических средств охранно-тревожной сигнализации")</f>
        <v>услуги по охране объектов следственного управления Следственного комитета Российской Федерации по Республике Калмыкия с помощью технических средств охранно-тревожной сигнализации</v>
      </c>
      <c r="G620" s="22" t="s">
        <v>1325</v>
      </c>
      <c r="H620" s="22" t="s">
        <v>1325</v>
      </c>
      <c r="I620" s="26">
        <v>43738.659722222197</v>
      </c>
      <c r="J620" s="23" t="str">
        <f>HYPERLINK("https://www.spark-marketing.ru/Card/Person/10487", "ФГУП ""ОХРАНА"" РОСГВАРДИИ")</f>
        <v>ФГУП "ОХРАНА" РОСГВАРДИИ</v>
      </c>
      <c r="K620" s="24" t="s">
        <v>779</v>
      </c>
      <c r="L620" s="22" t="s">
        <v>10</v>
      </c>
      <c r="M620" s="28" t="s">
        <v>52</v>
      </c>
      <c r="N620" s="28" t="s">
        <v>52</v>
      </c>
    </row>
    <row r="621" spans="1:14" x14ac:dyDescent="0.15">
      <c r="A621" s="23" t="str">
        <f>HYPERLINK("https://www.spark-marketing.ru/Card/Person/118372", "МТУ РОСИМУЩЕСТВА В ТУЛЬСКОЙ, РЯЗАНСКОЙ И ОРЛОВСКОЙ ОБЛАСТЯХ")</f>
        <v>МТУ РОСИМУЩЕСТВА В ТУЛЬСКОЙ, РЯЗАНСКОЙ И ОРЛОВСКОЙ ОБЛАСТЯХ</v>
      </c>
      <c r="B621" s="24" t="s">
        <v>1326</v>
      </c>
      <c r="C621" s="25">
        <v>100000</v>
      </c>
      <c r="D621" s="22" t="s">
        <v>1327</v>
      </c>
      <c r="E621" s="22" t="s">
        <v>59</v>
      </c>
      <c r="F621" s="23" t="str">
        <f>HYPERLINK("https://www.spark-marketing.ru/Card/Lot/74073150", "Установка системы видеонаблюдения")</f>
        <v>Установка системы видеонаблюдения</v>
      </c>
      <c r="G621" s="22" t="s">
        <v>818</v>
      </c>
      <c r="H621" s="22" t="s">
        <v>818</v>
      </c>
      <c r="I621" s="26">
        <v>43738.665972222203</v>
      </c>
      <c r="J621" s="23" t="str">
        <f>HYPERLINK("https://www.spark-marketing.ru/Card/Person/88216", "ООО ЧОО ""ПРАЙД""")</f>
        <v>ООО ЧОО "ПРАЙД"</v>
      </c>
      <c r="K621" s="24" t="s">
        <v>1328</v>
      </c>
      <c r="L621" s="22" t="s">
        <v>10</v>
      </c>
      <c r="M621" s="28" t="s">
        <v>52</v>
      </c>
      <c r="N621" s="28" t="s">
        <v>52</v>
      </c>
    </row>
    <row r="622" spans="1:14" x14ac:dyDescent="0.15">
      <c r="A622" s="23" t="str">
        <f>HYPERLINK("https://www.spark-marketing.ru/Card/Person/104242", "МБДОУ ЦРР - Д / С ""СОЛОВУШКА""")</f>
        <v>МБДОУ ЦРР - Д / С "СОЛОВУШКА"</v>
      </c>
      <c r="B622" s="24" t="s">
        <v>1329</v>
      </c>
      <c r="C622" s="25">
        <v>446997.12</v>
      </c>
      <c r="D622" s="22" t="s">
        <v>1330</v>
      </c>
      <c r="E622" s="22" t="s">
        <v>59</v>
      </c>
      <c r="F622" s="23" t="str">
        <f>HYPERLINK("https://www.spark-marketing.ru/Card/Lot/74078847", "Оказание услуг по установке охранной сигнализации")</f>
        <v>Оказание услуг по установке охранной сигнализации</v>
      </c>
      <c r="G622" s="22" t="s">
        <v>119</v>
      </c>
      <c r="H622" s="22" t="s">
        <v>416</v>
      </c>
      <c r="I622" s="26">
        <v>43738.651990740698</v>
      </c>
      <c r="J622" s="28" t="s">
        <v>52</v>
      </c>
      <c r="K622" s="28" t="s">
        <v>52</v>
      </c>
      <c r="L622" s="28" t="s">
        <v>52</v>
      </c>
      <c r="M622" s="28" t="s">
        <v>52</v>
      </c>
      <c r="N622" s="28" t="s">
        <v>52</v>
      </c>
    </row>
    <row r="623" spans="1:14" hidden="1" outlineLevel="1" x14ac:dyDescent="0.2">
      <c r="A623" s="23" t="str">
        <f>HYPERLINK("https://www.spark-marketing.ru/Card/Person/104242", "МБДОУ ЦРР - Д / С ""СОЛОВУШКА""")</f>
        <v>МБДОУ ЦРР - Д / С "СОЛОВУШКА"</v>
      </c>
      <c r="B623" s="24" t="s">
        <v>1329</v>
      </c>
      <c r="C623" s="28" t="s">
        <v>52</v>
      </c>
      <c r="D623" s="22" t="s">
        <v>1330</v>
      </c>
      <c r="E623" s="22" t="s">
        <v>59</v>
      </c>
      <c r="F623" s="23" t="str">
        <f>HYPERLINK("https://www.spark-marketing.ru/Card/Lot/74078847", "Оказание услуг по установке охранной сигнализации")</f>
        <v>Оказание услуг по установке охранной сигнализации</v>
      </c>
      <c r="G623" s="22" t="s">
        <v>119</v>
      </c>
      <c r="H623" s="22" t="s">
        <v>416</v>
      </c>
      <c r="I623" s="26">
        <v>43738.651990740698</v>
      </c>
      <c r="J623" s="23" t="str">
        <f>HYPERLINK("https://www.spark-marketing.ru/Card/Person/932332", "ООО ""ВСС""")</f>
        <v>ООО "ВСС"</v>
      </c>
      <c r="K623" s="24" t="s">
        <v>1331</v>
      </c>
      <c r="L623" s="28" t="s">
        <v>52</v>
      </c>
      <c r="M623" s="25">
        <v>348657.56</v>
      </c>
      <c r="N623" s="27">
        <v>0.22000043311241022</v>
      </c>
    </row>
    <row r="624" spans="1:14" hidden="1" outlineLevel="1" x14ac:dyDescent="0.2">
      <c r="A624" s="23" t="str">
        <f>HYPERLINK("https://www.spark-marketing.ru/Card/Person/104242", "МБДОУ ЦРР - Д / С ""СОЛОВУШКА""")</f>
        <v>МБДОУ ЦРР - Д / С "СОЛОВУШКА"</v>
      </c>
      <c r="B624" s="24" t="s">
        <v>1329</v>
      </c>
      <c r="C624" s="28" t="s">
        <v>52</v>
      </c>
      <c r="D624" s="22" t="s">
        <v>1330</v>
      </c>
      <c r="E624" s="22" t="s">
        <v>59</v>
      </c>
      <c r="F624" s="23" t="str">
        <f>HYPERLINK("https://www.spark-marketing.ru/Card/Lot/74078847", "Оказание услуг по установке охранной сигнализации")</f>
        <v>Оказание услуг по установке охранной сигнализации</v>
      </c>
      <c r="G624" s="22" t="s">
        <v>119</v>
      </c>
      <c r="H624" s="22" t="s">
        <v>416</v>
      </c>
      <c r="I624" s="26">
        <v>43738.651990740698</v>
      </c>
      <c r="J624" s="23" t="str">
        <f>HYPERLINK("https://www.spark-marketing.ru/Card/Person/139110", "ООО ""СППБ""")</f>
        <v>ООО "СППБ"</v>
      </c>
      <c r="K624" s="24" t="s">
        <v>1332</v>
      </c>
      <c r="L624" s="22" t="s">
        <v>10</v>
      </c>
      <c r="M624" s="25">
        <v>346422.57</v>
      </c>
      <c r="N624" s="27">
        <v>0.22500044295587407</v>
      </c>
    </row>
    <row r="625" spans="1:14" hidden="1" outlineLevel="1" x14ac:dyDescent="0.2">
      <c r="A625" s="23" t="str">
        <f>HYPERLINK("https://www.spark-marketing.ru/Card/Person/104242", "МБДОУ ЦРР - Д / С ""СОЛОВУШКА""")</f>
        <v>МБДОУ ЦРР - Д / С "СОЛОВУШКА"</v>
      </c>
      <c r="B625" s="24" t="s">
        <v>1329</v>
      </c>
      <c r="C625" s="28" t="s">
        <v>52</v>
      </c>
      <c r="D625" s="22" t="s">
        <v>1330</v>
      </c>
      <c r="E625" s="22" t="s">
        <v>59</v>
      </c>
      <c r="F625" s="23" t="str">
        <f>HYPERLINK("https://www.spark-marketing.ru/Card/Lot/74078847", "Оказание услуг по установке охранной сигнализации")</f>
        <v>Оказание услуг по установке охранной сигнализации</v>
      </c>
      <c r="G625" s="22" t="s">
        <v>119</v>
      </c>
      <c r="H625" s="22" t="s">
        <v>416</v>
      </c>
      <c r="I625" s="26">
        <v>43738.651990740698</v>
      </c>
      <c r="J625" s="23" t="str">
        <f>HYPERLINK("https://www.spark-marketing.ru/Card/Person/650015", "Гаджихалилов Абдукерим Яхьяевич")</f>
        <v>Гаджихалилов Абдукерим Яхьяевич</v>
      </c>
      <c r="K625" s="24" t="s">
        <v>1333</v>
      </c>
      <c r="L625" s="28" t="s">
        <v>52</v>
      </c>
      <c r="M625" s="25">
        <v>446997.11</v>
      </c>
      <c r="N625" s="27">
        <v>2.2371508791823984E-8</v>
      </c>
    </row>
    <row r="626" spans="1:14" x14ac:dyDescent="0.15">
      <c r="A626" s="23" t="str">
        <f>HYPERLINK("https://www.spark-marketing.ru/Card/Person/4852464", "ФГУП ""РФЯЦ - ВНИИЭФ""")</f>
        <v>ФГУП "РФЯЦ - ВНИИЭФ"</v>
      </c>
      <c r="B626" s="24" t="s">
        <v>767</v>
      </c>
      <c r="C626" s="25">
        <v>0</v>
      </c>
      <c r="D626" s="22" t="s">
        <v>1334</v>
      </c>
      <c r="E626" s="22" t="s">
        <v>53</v>
      </c>
      <c r="F626" s="23" t="str">
        <f>HYPERLINK("https://www.spark-marketing.ru/Card/Lot/74067426", "мониторинг цен в электронной форме на Оказание услуг охраны объектов посредством выставления постов охраны и КПП")</f>
        <v>мониторинг цен в электронной форме на Оказание услуг охраны объектов посредством выставления постов охраны и КПП</v>
      </c>
      <c r="G626" s="22" t="s">
        <v>64</v>
      </c>
      <c r="H626" s="22" t="s">
        <v>769</v>
      </c>
      <c r="I626" s="26">
        <v>43738.631886574098</v>
      </c>
      <c r="J626" s="28" t="s">
        <v>52</v>
      </c>
      <c r="K626" s="28" t="s">
        <v>52</v>
      </c>
      <c r="L626" s="28" t="s">
        <v>52</v>
      </c>
      <c r="M626" s="28" t="s">
        <v>52</v>
      </c>
      <c r="N626" s="28" t="s">
        <v>52</v>
      </c>
    </row>
    <row r="627" spans="1:14" x14ac:dyDescent="0.15">
      <c r="A627" s="23" t="str">
        <f>HYPERLINK("https://www.spark-marketing.ru/Card/Person/118372", "МТУ РОСИМУЩЕСТВА В ТУЛЬСКОЙ, РЯЗАНСКОЙ И ОРЛОВСКОЙ ОБЛАСТЯХ")</f>
        <v>МТУ РОСИМУЩЕСТВА В ТУЛЬСКОЙ, РЯЗАНСКОЙ И ОРЛОВСКОЙ ОБЛАСТЯХ</v>
      </c>
      <c r="B627" s="24" t="s">
        <v>1326</v>
      </c>
      <c r="C627" s="25">
        <v>100000</v>
      </c>
      <c r="D627" s="22" t="s">
        <v>1335</v>
      </c>
      <c r="E627" s="22" t="s">
        <v>59</v>
      </c>
      <c r="F627" s="23" t="str">
        <f>HYPERLINK("https://www.spark-marketing.ru/Card/Lot/74073151", "Установка системы видеонаблюдения")</f>
        <v>Установка системы видеонаблюдения</v>
      </c>
      <c r="G627" s="22" t="s">
        <v>186</v>
      </c>
      <c r="H627" s="22" t="s">
        <v>186</v>
      </c>
      <c r="I627" s="26">
        <v>43738.6652777778</v>
      </c>
      <c r="J627" s="28" t="s">
        <v>52</v>
      </c>
      <c r="K627" s="28" t="s">
        <v>52</v>
      </c>
      <c r="L627" s="28" t="s">
        <v>52</v>
      </c>
      <c r="M627" s="28" t="s">
        <v>52</v>
      </c>
      <c r="N627" s="28" t="s">
        <v>52</v>
      </c>
    </row>
    <row r="628" spans="1:14" ht="12.75" hidden="1" outlineLevel="1" x14ac:dyDescent="0.2">
      <c r="A628" s="23" t="str">
        <f>HYPERLINK("https://www.spark-marketing.ru/Card/Person/118372", "МТУ РОСИМУЩЕСТВА В ТУЛЬСКОЙ, РЯЗАНСКОЙ И ОРЛОВСКОЙ ОБЛАСТЯХ")</f>
        <v>МТУ РОСИМУЩЕСТВА В ТУЛЬСКОЙ, РЯЗАНСКОЙ И ОРЛОВСКОЙ ОБЛАСТЯХ</v>
      </c>
      <c r="B628" s="24" t="s">
        <v>1326</v>
      </c>
      <c r="C628" s="25">
        <v>100000</v>
      </c>
      <c r="D628" s="22" t="s">
        <v>1335</v>
      </c>
      <c r="E628" s="22" t="s">
        <v>59</v>
      </c>
      <c r="F628" s="23" t="str">
        <f>HYPERLINK("https://www.spark-marketing.ru/Card/Lot/74073151", "Установка системы видеонаблюдения")</f>
        <v>Установка системы видеонаблюдения</v>
      </c>
      <c r="G628" s="22" t="s">
        <v>186</v>
      </c>
      <c r="H628" s="22" t="s">
        <v>186</v>
      </c>
      <c r="I628" s="26">
        <v>43738.6652777778</v>
      </c>
      <c r="J628" s="23" t="str">
        <f>HYPERLINK("https://www.spark-marketing.ru/Card/Person/6492241", "ООО ""НИРА""")</f>
        <v>ООО "НИРА"</v>
      </c>
      <c r="K628" s="24" t="s">
        <v>1336</v>
      </c>
      <c r="L628" s="22" t="s">
        <v>10</v>
      </c>
      <c r="M628" s="25">
        <v>84000</v>
      </c>
      <c r="N628" s="27">
        <v>0.16</v>
      </c>
    </row>
    <row r="629" spans="1:14" hidden="1" outlineLevel="1" x14ac:dyDescent="0.2">
      <c r="A629" s="23" t="str">
        <f>HYPERLINK("https://www.spark-marketing.ru/Card/Person/118372", "МТУ РОСИМУЩЕСТВА В ТУЛЬСКОЙ, РЯЗАНСКОЙ И ОРЛОВСКОЙ ОБЛАСТЯХ")</f>
        <v>МТУ РОСИМУЩЕСТВА В ТУЛЬСКОЙ, РЯЗАНСКОЙ И ОРЛОВСКОЙ ОБЛАСТЯХ</v>
      </c>
      <c r="B629" s="24" t="s">
        <v>1326</v>
      </c>
      <c r="C629" s="25">
        <v>100000</v>
      </c>
      <c r="D629" s="22" t="s">
        <v>1335</v>
      </c>
      <c r="E629" s="22" t="s">
        <v>59</v>
      </c>
      <c r="F629" s="23" t="str">
        <f>HYPERLINK("https://www.spark-marketing.ru/Card/Lot/74073151", "Установка системы видеонаблюдения")</f>
        <v>Установка системы видеонаблюдения</v>
      </c>
      <c r="G629" s="22" t="s">
        <v>186</v>
      </c>
      <c r="H629" s="22" t="s">
        <v>186</v>
      </c>
      <c r="I629" s="26">
        <v>43738.6652777778</v>
      </c>
      <c r="J629" s="23" t="str">
        <f>HYPERLINK("https://www.spark-marketing.ru/Card/Person/4905275", "ООО СЦ ""ОРИОН""")</f>
        <v>ООО СЦ "ОРИОН"</v>
      </c>
      <c r="K629" s="24" t="s">
        <v>1337</v>
      </c>
      <c r="L629" s="28" t="s">
        <v>52</v>
      </c>
      <c r="M629" s="25">
        <v>89000</v>
      </c>
      <c r="N629" s="27">
        <v>0.11</v>
      </c>
    </row>
    <row r="630" spans="1:14" x14ac:dyDescent="0.15">
      <c r="A630" s="23" t="str">
        <f>HYPERLINK("https://www.spark-marketing.ru/Card/Person/32510", "ГКУ МО ""МОСОБЛЛЕС""")</f>
        <v>ГКУ МО "МОСОБЛЛЕС"</v>
      </c>
      <c r="B630" s="24" t="s">
        <v>333</v>
      </c>
      <c r="C630" s="25">
        <v>3600198</v>
      </c>
      <c r="D630" s="22" t="s">
        <v>1338</v>
      </c>
      <c r="E630" s="22" t="s">
        <v>208</v>
      </c>
      <c r="F630" s="23" t="str">
        <f>HYPERLINK("https://www.spark-marketing.ru/Card/Lot/74084903", "Приобретение оборудования для создания систем тревожной сигнализации и выполнение монтажных и пуско-наладочных работ")</f>
        <v>Приобретение оборудования для создания систем тревожной сигнализации и выполнение монтажных и пуско-наладочных работ</v>
      </c>
      <c r="G630" s="22" t="s">
        <v>50</v>
      </c>
      <c r="H630" s="22" t="s">
        <v>51</v>
      </c>
      <c r="I630" s="26">
        <v>43738.5906944444</v>
      </c>
      <c r="J630" s="23" t="str">
        <f>HYPERLINK("https://www.spark-marketing.ru/Card/Person/6435515", "ООО ""ТИТАН-СИСТЕМЫ ОХРАНЫ""")</f>
        <v>ООО "ТИТАН-СИСТЕМЫ ОХРАНЫ"</v>
      </c>
      <c r="K630" s="24" t="s">
        <v>1339</v>
      </c>
      <c r="L630" s="28" t="s">
        <v>52</v>
      </c>
      <c r="M630" s="28" t="s">
        <v>52</v>
      </c>
      <c r="N630" s="28" t="s">
        <v>52</v>
      </c>
    </row>
    <row r="631" spans="1:14" hidden="1" outlineLevel="1" x14ac:dyDescent="0.15">
      <c r="A631" s="23" t="str">
        <f>HYPERLINK("https://www.spark-marketing.ru/Card/Person/32510", "ГКУ МО ""МОСОБЛЛЕС""")</f>
        <v>ГКУ МО "МОСОБЛЛЕС"</v>
      </c>
      <c r="B631" s="24" t="s">
        <v>333</v>
      </c>
      <c r="C631" s="25">
        <v>3600198</v>
      </c>
      <c r="D631" s="22" t="s">
        <v>1338</v>
      </c>
      <c r="E631" s="22" t="s">
        <v>208</v>
      </c>
      <c r="F631" s="23" t="str">
        <f>HYPERLINK("https://www.spark-marketing.ru/Card/Lot/74084903", "Приобретение оборудования для создания систем тревожной сигнализации и выполнение монтажных и пуско-наладочных работ")</f>
        <v>Приобретение оборудования для создания систем тревожной сигнализации и выполнение монтажных и пуско-наладочных работ</v>
      </c>
      <c r="G631" s="22" t="s">
        <v>50</v>
      </c>
      <c r="H631" s="22" t="s">
        <v>51</v>
      </c>
      <c r="I631" s="26">
        <v>43738.5906944444</v>
      </c>
      <c r="J631" s="23" t="str">
        <f>HYPERLINK("https://www.spark-marketing.ru/Card/Person/6435515", "ООО ""ТИТАН-СИСТЕМЫ ОХРАНЫ""")</f>
        <v>ООО "ТИТАН-СИСТЕМЫ ОХРАНЫ"</v>
      </c>
      <c r="K631" s="24" t="s">
        <v>1339</v>
      </c>
      <c r="L631" s="22" t="s">
        <v>10</v>
      </c>
      <c r="M631" s="28" t="s">
        <v>52</v>
      </c>
      <c r="N631" s="28" t="s">
        <v>52</v>
      </c>
    </row>
    <row r="632" spans="1:14" x14ac:dyDescent="0.15">
      <c r="A632" s="23" t="str">
        <f>HYPERLINK("https://www.spark-marketing.ru/Card/Person/3142", "ФКУЗ ""МСЧ МВД РОССИИ ПО УДМУРТСКОЙ РЕСПУБЛИКЕ""")</f>
        <v>ФКУЗ "МСЧ МВД РОССИИ ПО УДМУРТСКОЙ РЕСПУБЛИКЕ"</v>
      </c>
      <c r="B632" s="24" t="s">
        <v>1340</v>
      </c>
      <c r="C632" s="25">
        <v>29000</v>
      </c>
      <c r="D632" s="22" t="s">
        <v>1341</v>
      </c>
      <c r="E632" s="22" t="s">
        <v>107</v>
      </c>
      <c r="F632" s="23" t="str">
        <f>HYPERLINK("https://www.spark-marketing.ru/Card/Lot/74070356", "Оказание услуг по техническому обслуживанию охранной сигнализации и системы видеонаблюдения для нужд ФКУЗ  «МСЧ  МВД России по Удмуртской Республике» в 2019 году.")</f>
        <v>Оказание услуг по техническому обслуживанию охранной сигнализации и системы видеонаблюдения для нужд ФКУЗ  «МСЧ  МВД России по Удмуртской Республике» в 2019 году.</v>
      </c>
      <c r="G632" s="22" t="s">
        <v>96</v>
      </c>
      <c r="H632" s="22" t="s">
        <v>1342</v>
      </c>
      <c r="I632" s="26">
        <v>43738.614583333299</v>
      </c>
      <c r="J632" s="28" t="s">
        <v>52</v>
      </c>
      <c r="K632" s="28" t="s">
        <v>52</v>
      </c>
      <c r="L632" s="28" t="s">
        <v>52</v>
      </c>
      <c r="M632" s="28" t="s">
        <v>52</v>
      </c>
      <c r="N632" s="28" t="s">
        <v>52</v>
      </c>
    </row>
    <row r="633" spans="1:14" x14ac:dyDescent="0.15">
      <c r="A633" s="23" t="str">
        <f>HYPERLINK("https://www.spark-marketing.ru/Card/Person/1030056", "МДОУ №34 П. УВАРОВКА")</f>
        <v>МДОУ №34 П. УВАРОВКА</v>
      </c>
      <c r="B633" s="24" t="s">
        <v>1343</v>
      </c>
      <c r="C633" s="25">
        <v>55000</v>
      </c>
      <c r="D633" s="22" t="s">
        <v>1344</v>
      </c>
      <c r="E633" s="22" t="s">
        <v>208</v>
      </c>
      <c r="F633" s="23" t="str">
        <f>HYPERLINK("https://www.spark-marketing.ru/Card/Lot/74059361", "Приобретение и установка видеодомофона")</f>
        <v>Приобретение и установка видеодомофона</v>
      </c>
      <c r="G633" s="22" t="s">
        <v>50</v>
      </c>
      <c r="H633" s="22" t="s">
        <v>399</v>
      </c>
      <c r="I633" s="26">
        <v>43738.5870138889</v>
      </c>
      <c r="J633" s="28" t="s">
        <v>52</v>
      </c>
      <c r="K633" s="28" t="s">
        <v>52</v>
      </c>
      <c r="L633" s="28" t="s">
        <v>52</v>
      </c>
      <c r="M633" s="28" t="s">
        <v>52</v>
      </c>
      <c r="N633" s="28" t="s">
        <v>52</v>
      </c>
    </row>
    <row r="634" spans="1:14" x14ac:dyDescent="0.15">
      <c r="A634" s="23" t="str">
        <f>HYPERLINK("https://www.spark-marketing.ru/Card/Person/4471", "САМАРСКАЯ ТАМОЖНЯ")</f>
        <v>САМАРСКАЯ ТАМОЖНЯ</v>
      </c>
      <c r="B634" s="24" t="s">
        <v>1345</v>
      </c>
      <c r="C634" s="25">
        <v>726139.33</v>
      </c>
      <c r="D634" s="22" t="s">
        <v>1346</v>
      </c>
      <c r="E634" s="22" t="s">
        <v>59</v>
      </c>
      <c r="F634" s="23" t="str">
        <f>HYPERLINK("https://www.spark-marketing.ru/Card/Lot/74091187", "Выполнение работ по установке систем видеонаблюдения на объектах Самарской таможни")</f>
        <v>Выполнение работ по установке систем видеонаблюдения на объектах Самарской таможни</v>
      </c>
      <c r="G634" s="22" t="s">
        <v>760</v>
      </c>
      <c r="H634" s="22" t="s">
        <v>760</v>
      </c>
      <c r="I634" s="26">
        <v>43738.609027777798</v>
      </c>
      <c r="J634" s="28" t="s">
        <v>52</v>
      </c>
      <c r="K634" s="28" t="s">
        <v>52</v>
      </c>
      <c r="L634" s="28" t="s">
        <v>52</v>
      </c>
      <c r="M634" s="28" t="s">
        <v>52</v>
      </c>
      <c r="N634" s="28" t="s">
        <v>52</v>
      </c>
    </row>
    <row r="635" spans="1:14" x14ac:dyDescent="0.15">
      <c r="A635" s="23" t="str">
        <f>HYPERLINK("https://www.spark-marketing.ru/Card/Person/65467", "АДМИНИСТРАЦИЯ ОСИНСКОГО ГОРОДСКОГО ПОСЕЛЕНИЯ")</f>
        <v>АДМИНИСТРАЦИЯ ОСИНСКОГО ГОРОДСКОГО ПОСЕЛЕНИЯ</v>
      </c>
      <c r="B635" s="24" t="s">
        <v>1347</v>
      </c>
      <c r="C635" s="25">
        <v>575717.79</v>
      </c>
      <c r="D635" s="22" t="s">
        <v>1348</v>
      </c>
      <c r="E635" s="22" t="s">
        <v>59</v>
      </c>
      <c r="F635" s="23" t="str">
        <f>HYPERLINK("https://www.spark-marketing.ru/Card/Lot/74088497", "Выполнение работ по содержанию автомобильных дорог общего пользования и искусственных сооружений на них в границах Осинского городского поселения (установка светофорных объектов)")</f>
        <v>Выполнение работ по содержанию автомобильных дорог общего пользования и искусственных сооружений на них в границах Осинского городского поселения (установка светофорных объектов)</v>
      </c>
      <c r="G635" s="22" t="s">
        <v>391</v>
      </c>
      <c r="H635" s="22" t="s">
        <v>391</v>
      </c>
      <c r="I635" s="26">
        <v>43738.595833333296</v>
      </c>
      <c r="J635" s="23" t="str">
        <f>HYPERLINK("https://www.spark-marketing.ru/Card/Person/112662", "Астахов Алексей Сергеевич")</f>
        <v>Астахов Алексей Сергеевич</v>
      </c>
      <c r="K635" s="24" t="s">
        <v>1349</v>
      </c>
      <c r="L635" s="28" t="s">
        <v>52</v>
      </c>
      <c r="M635" s="28" t="s">
        <v>52</v>
      </c>
      <c r="N635" s="28" t="s">
        <v>52</v>
      </c>
    </row>
    <row r="636" spans="1:14" ht="12.75" hidden="1" outlineLevel="1" x14ac:dyDescent="0.2">
      <c r="A636" s="23" t="str">
        <f>HYPERLINK("https://www.spark-marketing.ru/Card/Person/65467", "АДМИНИСТРАЦИЯ ОСИНСКОГО ГОРОДСКОГО ПОСЕЛЕНИЯ")</f>
        <v>АДМИНИСТРАЦИЯ ОСИНСКОГО ГОРОДСКОГО ПОСЕЛЕНИЯ</v>
      </c>
      <c r="B636" s="24" t="s">
        <v>1347</v>
      </c>
      <c r="C636" s="25">
        <v>575717.79</v>
      </c>
      <c r="D636" s="22" t="s">
        <v>1348</v>
      </c>
      <c r="E636" s="22" t="s">
        <v>59</v>
      </c>
      <c r="F636" s="23" t="str">
        <f>HYPERLINK("https://www.spark-marketing.ru/Card/Lot/74088497", "Выполнение работ по содержанию автомобильных дорог общего пользования и искусственных сооружений на них в границах Осинского городского поселения (установка светофорных объектов)")</f>
        <v>Выполнение работ по содержанию автомобильных дорог общего пользования и искусственных сооружений на них в границах Осинского городского поселения (установка светофорных объектов)</v>
      </c>
      <c r="G636" s="22" t="s">
        <v>391</v>
      </c>
      <c r="H636" s="22" t="s">
        <v>391</v>
      </c>
      <c r="I636" s="26">
        <v>43738.595833333296</v>
      </c>
      <c r="J636" s="23" t="str">
        <f>HYPERLINK("https://www.spark-marketing.ru/Card/Person/112662", "Астахов Алексей Сергеевич")</f>
        <v>Астахов Алексей Сергеевич</v>
      </c>
      <c r="K636" s="24" t="s">
        <v>1349</v>
      </c>
      <c r="L636" s="22" t="s">
        <v>10</v>
      </c>
      <c r="M636" s="25">
        <v>572839.19999999995</v>
      </c>
      <c r="N636" s="27">
        <v>5.0000018238102384E-3</v>
      </c>
    </row>
    <row r="637" spans="1:14" x14ac:dyDescent="0.15">
      <c r="A637" s="23" t="str">
        <f>HYPERLINK("https://www.spark-marketing.ru/Card/Person/4772542", "АО ""ЭЦМ""")</f>
        <v>АО "ЭЦМ"</v>
      </c>
      <c r="B637" s="24" t="s">
        <v>748</v>
      </c>
      <c r="C637" s="25">
        <v>0</v>
      </c>
      <c r="D637" s="22" t="s">
        <v>749</v>
      </c>
      <c r="E637" s="22" t="s">
        <v>53</v>
      </c>
      <c r="F637" s="23" t="str">
        <f>HYPERLINK("https://www.spark-marketing.ru/Card/Lot/74080293", "FZ-VIR42LA AHD Видеокамера уличная с ИК подсветкой Матрица: 1/4"" CMOS OV9712 Разрешение: 1мп (1280x720) объектив вариофокальный 2.8-12мм")</f>
        <v>FZ-VIR42LA AHD Видеокамера уличная с ИК подсветкой Матрица: 1/4" CMOS OV9712 Разрешение: 1мп (1280x720) объектив вариофокальный 2.8-12мм</v>
      </c>
      <c r="G637" s="22" t="s">
        <v>204</v>
      </c>
      <c r="H637" s="22" t="s">
        <v>750</v>
      </c>
      <c r="I637" s="26">
        <v>43738.559560185196</v>
      </c>
      <c r="J637" s="28" t="s">
        <v>52</v>
      </c>
      <c r="K637" s="28" t="s">
        <v>52</v>
      </c>
      <c r="L637" s="28" t="s">
        <v>52</v>
      </c>
      <c r="M637" s="28" t="s">
        <v>52</v>
      </c>
      <c r="N637" s="28" t="s">
        <v>52</v>
      </c>
    </row>
    <row r="638" spans="1:14" x14ac:dyDescent="0.15">
      <c r="A638" s="23" t="str">
        <f>HYPERLINK("https://www.spark-marketing.ru/Card/Person/4772542", "АО ""ЭЦМ""")</f>
        <v>АО "ЭЦМ"</v>
      </c>
      <c r="B638" s="24" t="s">
        <v>748</v>
      </c>
      <c r="C638" s="25">
        <v>0</v>
      </c>
      <c r="D638" s="22" t="s">
        <v>749</v>
      </c>
      <c r="E638" s="22" t="s">
        <v>53</v>
      </c>
      <c r="F638" s="23" t="str">
        <f>HYPERLINK("https://www.spark-marketing.ru/Card/Lot/74080292", "AX-3216AHD-RL 32-ух канальный AHD/ IP / Аналоговый регистратор АхуСат - 720р/960Н. 32 канала видео (AHD/BNC), 16 аудио (RCA).")</f>
        <v>AX-3216AHD-RL 32-ух канальный AHD/ IP / Аналоговый регистратор АхуСат - 720р/960Н. 32 канала видео (AHD/BNC), 16 аудио (RCA).</v>
      </c>
      <c r="G638" s="22" t="s">
        <v>204</v>
      </c>
      <c r="H638" s="22" t="s">
        <v>750</v>
      </c>
      <c r="I638" s="26">
        <v>43738.559560185196</v>
      </c>
      <c r="J638" s="28" t="s">
        <v>52</v>
      </c>
      <c r="K638" s="28" t="s">
        <v>52</v>
      </c>
      <c r="L638" s="28" t="s">
        <v>52</v>
      </c>
      <c r="M638" s="28" t="s">
        <v>52</v>
      </c>
      <c r="N638" s="28" t="s">
        <v>52</v>
      </c>
    </row>
    <row r="639" spans="1:14" x14ac:dyDescent="0.15">
      <c r="A639" s="23" t="str">
        <f>HYPERLINK("https://www.spark-marketing.ru/Card/Person/4772542", "АО ""ЭЦМ""")</f>
        <v>АО "ЭЦМ"</v>
      </c>
      <c r="B639" s="24" t="s">
        <v>748</v>
      </c>
      <c r="C639" s="25">
        <v>0</v>
      </c>
      <c r="D639" s="22" t="s">
        <v>749</v>
      </c>
      <c r="E639" s="22" t="s">
        <v>53</v>
      </c>
      <c r="F639" s="23" t="str">
        <f>HYPERLINK("https://www.spark-marketing.ru/Card/Lot/74080294", "Замок ML-450 ""Метаком""")</f>
        <v>Замок ML-450 "Метаком"</v>
      </c>
      <c r="G639" s="22" t="s">
        <v>204</v>
      </c>
      <c r="H639" s="22" t="s">
        <v>750</v>
      </c>
      <c r="I639" s="26">
        <v>43738.559560185196</v>
      </c>
      <c r="J639" s="28" t="s">
        <v>52</v>
      </c>
      <c r="K639" s="28" t="s">
        <v>52</v>
      </c>
      <c r="L639" s="28" t="s">
        <v>52</v>
      </c>
      <c r="M639" s="28" t="s">
        <v>52</v>
      </c>
      <c r="N639" s="28" t="s">
        <v>52</v>
      </c>
    </row>
    <row r="640" spans="1:14" x14ac:dyDescent="0.15">
      <c r="A640" s="23" t="str">
        <f>HYPERLINK("https://www.spark-marketing.ru/Card/Person/139540", "ГБОУ СРЕДНЯЯ ШКОЛА № 229 АДМИРАЛТЕЙСКОГО РАЙОНА САНКТ-ПЕТЕРБУРГА")</f>
        <v>ГБОУ СРЕДНЯЯ ШКОЛА № 229 АДМИРАЛТЕЙСКОГО РАЙОНА САНКТ-ПЕТЕРБУРГА</v>
      </c>
      <c r="B640" s="24" t="s">
        <v>1350</v>
      </c>
      <c r="C640" s="25">
        <v>857056.33</v>
      </c>
      <c r="D640" s="22" t="s">
        <v>1351</v>
      </c>
      <c r="E640" s="22" t="s">
        <v>84</v>
      </c>
      <c r="F640" s="23" t="str">
        <f>HYPERLINK("https://www.spark-marketing.ru/Card/Lot/74092053", "Выполнение работ по установке системы видеонаблюдения в здании ГБОУ средняя школа № 229 Адмиралтейского района Санкт-Петербурга по адресу: Санкт-Петербург, ул. Садовая, д. 52, лит. А")</f>
        <v>Выполнение работ по установке системы видеонаблюдения в здании ГБОУ средняя школа № 229 Адмиралтейского района Санкт-Петербурга по адресу: Санкт-Петербург, ул. Садовая, д. 52, лит. А</v>
      </c>
      <c r="G640" s="22" t="s">
        <v>89</v>
      </c>
      <c r="H640" s="22" t="s">
        <v>89</v>
      </c>
      <c r="I640" s="26">
        <v>43738.568749999999</v>
      </c>
      <c r="J640" s="23" t="str">
        <f>HYPERLINK("https://www.spark-marketing.ru/Card/Person/1548969", "ООО ""ОМЕГА""")</f>
        <v>ООО "ОМЕГА"</v>
      </c>
      <c r="K640" s="24" t="s">
        <v>1352</v>
      </c>
      <c r="L640" s="28" t="s">
        <v>52</v>
      </c>
      <c r="M640" s="28" t="s">
        <v>52</v>
      </c>
      <c r="N640" s="28" t="s">
        <v>52</v>
      </c>
    </row>
    <row r="641" spans="1:14" ht="12.75" hidden="1" outlineLevel="1" x14ac:dyDescent="0.2">
      <c r="A641" s="23" t="str">
        <f>HYPERLINK("https://www.spark-marketing.ru/Card/Person/139540", "ГБОУ СРЕДНЯЯ ШКОЛА № 229 АДМИРАЛТЕЙСКОГО РАЙОНА САНКТ-ПЕТЕРБУРГА")</f>
        <v>ГБОУ СРЕДНЯЯ ШКОЛА № 229 АДМИРАЛТЕЙСКОГО РАЙОНА САНКТ-ПЕТЕРБУРГА</v>
      </c>
      <c r="B641" s="24" t="s">
        <v>1350</v>
      </c>
      <c r="C641" s="25">
        <v>857056.33</v>
      </c>
      <c r="D641" s="22" t="s">
        <v>1351</v>
      </c>
      <c r="E641" s="22" t="s">
        <v>84</v>
      </c>
      <c r="F641" s="23" t="str">
        <f>HYPERLINK("https://www.spark-marketing.ru/Card/Lot/74092053", "Выполнение работ по установке системы видеонаблюдения в здании ГБОУ средняя школа № 229 Адмиралтейского района Санкт-Петербурга по адресу: Санкт-Петербург, ул. Садовая, д. 52, лит. А")</f>
        <v>Выполнение работ по установке системы видеонаблюдения в здании ГБОУ средняя школа № 229 Адмиралтейского района Санкт-Петербурга по адресу: Санкт-Петербург, ул. Садовая, д. 52, лит. А</v>
      </c>
      <c r="G641" s="22" t="s">
        <v>89</v>
      </c>
      <c r="H641" s="22" t="s">
        <v>89</v>
      </c>
      <c r="I641" s="26">
        <v>43738.568749999999</v>
      </c>
      <c r="J641" s="23" t="str">
        <f>HYPERLINK("https://www.spark-marketing.ru/Card/Person/1548969", "ООО ""ОМЕГА""")</f>
        <v>ООО "ОМЕГА"</v>
      </c>
      <c r="K641" s="24" t="s">
        <v>1352</v>
      </c>
      <c r="L641" s="22" t="s">
        <v>10</v>
      </c>
      <c r="M641" s="25">
        <v>852771.05</v>
      </c>
      <c r="N641" s="27">
        <v>4.999998074805655E-3</v>
      </c>
    </row>
    <row r="642" spans="1:14" x14ac:dyDescent="0.15">
      <c r="A642" s="23" t="str">
        <f>HYPERLINK("https://www.spark-marketing.ru/Card/Person/4772542", "АО ""ЭЦМ""")</f>
        <v>АО "ЭЦМ"</v>
      </c>
      <c r="B642" s="24" t="s">
        <v>748</v>
      </c>
      <c r="C642" s="25">
        <v>0</v>
      </c>
      <c r="D642" s="22" t="s">
        <v>749</v>
      </c>
      <c r="E642" s="22" t="s">
        <v>53</v>
      </c>
      <c r="F642" s="23" t="str">
        <f>HYPERLINK("https://www.spark-marketing.ru/Card/Lot/74080291", "AD-P31B3.6I-AHD Купольная пластиковая AHD камера 1/3"" IMP CMOS, объектив 3.6 мм, 0.01 Lux в цвете, до 0,0Lux ч/б с ИК, 720р (до ЗОк/с)")</f>
        <v>AD-P31B3.6I-AHD Купольная пластиковая AHD камера 1/3" IMP CMOS, объектив 3.6 мм, 0.01 Lux в цвете, до 0,0Lux ч/б с ИК, 720р (до ЗОк/с)</v>
      </c>
      <c r="G642" s="22" t="s">
        <v>204</v>
      </c>
      <c r="H642" s="22" t="s">
        <v>750</v>
      </c>
      <c r="I642" s="26">
        <v>43738.559560185196</v>
      </c>
      <c r="J642" s="28" t="s">
        <v>52</v>
      </c>
      <c r="K642" s="28" t="s">
        <v>52</v>
      </c>
      <c r="L642" s="28" t="s">
        <v>52</v>
      </c>
      <c r="M642" s="28" t="s">
        <v>52</v>
      </c>
      <c r="N642" s="28" t="s">
        <v>52</v>
      </c>
    </row>
    <row r="643" spans="1:14" x14ac:dyDescent="0.15">
      <c r="A643" s="23" t="str">
        <f>HYPERLINK("https://www.spark-marketing.ru/Card/Person/4772542", "АО ""ЭЦМ""")</f>
        <v>АО "ЭЦМ"</v>
      </c>
      <c r="B643" s="24" t="s">
        <v>748</v>
      </c>
      <c r="C643" s="25">
        <v>0</v>
      </c>
      <c r="D643" s="22" t="s">
        <v>749</v>
      </c>
      <c r="E643" s="22" t="s">
        <v>53</v>
      </c>
      <c r="F643" s="23" t="str">
        <f>HYPERLINK("https://www.spark-marketing.ru/Card/Lot/74080295", "Matrix-11-KСчитыватель* контроллер proximity-карт EM-Marin")</f>
        <v>Matrix-11-KСчитыватель* контроллер proximity-карт EM-Marin</v>
      </c>
      <c r="G643" s="22" t="s">
        <v>204</v>
      </c>
      <c r="H643" s="22" t="s">
        <v>750</v>
      </c>
      <c r="I643" s="26">
        <v>43738.559560185196</v>
      </c>
      <c r="J643" s="28" t="s">
        <v>52</v>
      </c>
      <c r="K643" s="28" t="s">
        <v>52</v>
      </c>
      <c r="L643" s="28" t="s">
        <v>52</v>
      </c>
      <c r="M643" s="28" t="s">
        <v>52</v>
      </c>
      <c r="N643" s="28" t="s">
        <v>52</v>
      </c>
    </row>
    <row r="644" spans="1:14" x14ac:dyDescent="0.15">
      <c r="A644" s="23" t="str">
        <f t="shared" ref="A644:A651" si="10">HYPERLINK("https://www.spark-marketing.ru/Card/Person/80237", "МКУ ""ХЭУ АСР""")</f>
        <v>МКУ "ХЭУ АСР"</v>
      </c>
      <c r="B644" s="24" t="s">
        <v>1353</v>
      </c>
      <c r="C644" s="25">
        <v>591534</v>
      </c>
      <c r="D644" s="22" t="s">
        <v>1354</v>
      </c>
      <c r="E644" s="22" t="s">
        <v>103</v>
      </c>
      <c r="F644" s="23" t="str">
        <f t="shared" ref="F644:F651" si="11">HYPERLINK("https://www.spark-marketing.ru/Card/Lot/74078778", "Оказание услуг по техническому обслуживанию систем охранного видеонаблюдения для муниципальных нужд на 2020-2021 годы")</f>
        <v>Оказание услуг по техническому обслуживанию систем охранного видеонаблюдения для муниципальных нужд на 2020-2021 годы</v>
      </c>
      <c r="G644" s="22" t="s">
        <v>119</v>
      </c>
      <c r="H644" s="22" t="s">
        <v>416</v>
      </c>
      <c r="I644" s="26">
        <v>43738.505358796298</v>
      </c>
      <c r="J644" s="28" t="s">
        <v>52</v>
      </c>
      <c r="K644" s="28" t="s">
        <v>52</v>
      </c>
      <c r="L644" s="28" t="s">
        <v>52</v>
      </c>
      <c r="M644" s="28" t="s">
        <v>52</v>
      </c>
      <c r="N644" s="28" t="s">
        <v>52</v>
      </c>
    </row>
    <row r="645" spans="1:14" hidden="1" outlineLevel="1" x14ac:dyDescent="0.2">
      <c r="A645" s="23" t="str">
        <f t="shared" si="10"/>
        <v>МКУ "ХЭУ АСР"</v>
      </c>
      <c r="B645" s="24" t="s">
        <v>1353</v>
      </c>
      <c r="C645" s="28" t="s">
        <v>52</v>
      </c>
      <c r="D645" s="22" t="s">
        <v>1354</v>
      </c>
      <c r="E645" s="22" t="s">
        <v>103</v>
      </c>
      <c r="F645" s="23" t="str">
        <f t="shared" si="11"/>
        <v>Оказание услуг по техническому обслуживанию систем охранного видеонаблюдения для муниципальных нужд на 2020-2021 годы</v>
      </c>
      <c r="G645" s="22" t="s">
        <v>119</v>
      </c>
      <c r="H645" s="22" t="s">
        <v>416</v>
      </c>
      <c r="I645" s="26">
        <v>43738.505358796298</v>
      </c>
      <c r="J645" s="23" t="str">
        <f>HYPERLINK("https://www.spark-marketing.ru/Card/Person/940407", "ООО ""КАСКАД""")</f>
        <v>ООО "КАСКАД"</v>
      </c>
      <c r="K645" s="24" t="s">
        <v>1355</v>
      </c>
      <c r="L645" s="28" t="s">
        <v>52</v>
      </c>
      <c r="M645" s="25">
        <v>590000</v>
      </c>
      <c r="N645" s="27">
        <v>2.5932575304209058E-3</v>
      </c>
    </row>
    <row r="646" spans="1:14" hidden="1" outlineLevel="1" x14ac:dyDescent="0.2">
      <c r="A646" s="23" t="str">
        <f t="shared" si="10"/>
        <v>МКУ "ХЭУ АСР"</v>
      </c>
      <c r="B646" s="24" t="s">
        <v>1353</v>
      </c>
      <c r="C646" s="28" t="s">
        <v>52</v>
      </c>
      <c r="D646" s="22" t="s">
        <v>1354</v>
      </c>
      <c r="E646" s="22" t="s">
        <v>103</v>
      </c>
      <c r="F646" s="23" t="str">
        <f t="shared" si="11"/>
        <v>Оказание услуг по техническому обслуживанию систем охранного видеонаблюдения для муниципальных нужд на 2020-2021 годы</v>
      </c>
      <c r="G646" s="22" t="s">
        <v>119</v>
      </c>
      <c r="H646" s="22" t="s">
        <v>416</v>
      </c>
      <c r="I646" s="26">
        <v>43738.505358796298</v>
      </c>
      <c r="J646" s="23" t="str">
        <f>HYPERLINK("https://www.spark-marketing.ru/Card/Person/89839", "ООО ""ТИТАН""")</f>
        <v>ООО "ТИТАН"</v>
      </c>
      <c r="K646" s="24" t="s">
        <v>1356</v>
      </c>
      <c r="L646" s="28" t="s">
        <v>52</v>
      </c>
      <c r="M646" s="25">
        <v>414084.66</v>
      </c>
      <c r="N646" s="27">
        <v>0.29998164095385893</v>
      </c>
    </row>
    <row r="647" spans="1:14" hidden="1" outlineLevel="1" x14ac:dyDescent="0.2">
      <c r="A647" s="23" t="str">
        <f t="shared" si="10"/>
        <v>МКУ "ХЭУ АСР"</v>
      </c>
      <c r="B647" s="24" t="s">
        <v>1353</v>
      </c>
      <c r="C647" s="28" t="s">
        <v>52</v>
      </c>
      <c r="D647" s="22" t="s">
        <v>1354</v>
      </c>
      <c r="E647" s="22" t="s">
        <v>103</v>
      </c>
      <c r="F647" s="23" t="str">
        <f t="shared" si="11"/>
        <v>Оказание услуг по техническому обслуживанию систем охранного видеонаблюдения для муниципальных нужд на 2020-2021 годы</v>
      </c>
      <c r="G647" s="22" t="s">
        <v>119</v>
      </c>
      <c r="H647" s="22" t="s">
        <v>416</v>
      </c>
      <c r="I647" s="26">
        <v>43738.505358796298</v>
      </c>
      <c r="J647" s="23" t="str">
        <f>HYPERLINK("https://www.spark-marketing.ru/Card/Person/84508", "ООО ""ТЕХНОЛАЙН""")</f>
        <v>ООО "ТЕХНОЛАЙН"</v>
      </c>
      <c r="K647" s="24" t="s">
        <v>1357</v>
      </c>
      <c r="L647" s="28" t="s">
        <v>52</v>
      </c>
      <c r="M647" s="25">
        <v>591533.99</v>
      </c>
      <c r="N647" s="27">
        <v>1.6905199024908121E-8</v>
      </c>
    </row>
    <row r="648" spans="1:14" hidden="1" outlineLevel="1" x14ac:dyDescent="0.2">
      <c r="A648" s="23" t="str">
        <f t="shared" si="10"/>
        <v>МКУ "ХЭУ АСР"</v>
      </c>
      <c r="B648" s="24" t="s">
        <v>1353</v>
      </c>
      <c r="C648" s="28" t="s">
        <v>52</v>
      </c>
      <c r="D648" s="22" t="s">
        <v>1354</v>
      </c>
      <c r="E648" s="22" t="s">
        <v>103</v>
      </c>
      <c r="F648" s="23" t="str">
        <f t="shared" si="11"/>
        <v>Оказание услуг по техническому обслуживанию систем охранного видеонаблюдения для муниципальных нужд на 2020-2021 годы</v>
      </c>
      <c r="G648" s="22" t="s">
        <v>119</v>
      </c>
      <c r="H648" s="22" t="s">
        <v>416</v>
      </c>
      <c r="I648" s="26">
        <v>43738.505358796298</v>
      </c>
      <c r="J648" s="23" t="str">
        <f>HYPERLINK("https://www.spark-marketing.ru/Card/Person/6452955", "ООО ""ЛИДЕР""")</f>
        <v>ООО "ЛИДЕР"</v>
      </c>
      <c r="K648" s="24" t="s">
        <v>1358</v>
      </c>
      <c r="L648" s="28" t="s">
        <v>52</v>
      </c>
      <c r="M648" s="25">
        <v>502800</v>
      </c>
      <c r="N648" s="27">
        <v>0.15000659302761971</v>
      </c>
    </row>
    <row r="649" spans="1:14" hidden="1" outlineLevel="1" x14ac:dyDescent="0.2">
      <c r="A649" s="23" t="str">
        <f t="shared" si="10"/>
        <v>МКУ "ХЭУ АСР"</v>
      </c>
      <c r="B649" s="24" t="s">
        <v>1353</v>
      </c>
      <c r="C649" s="28" t="s">
        <v>52</v>
      </c>
      <c r="D649" s="22" t="s">
        <v>1354</v>
      </c>
      <c r="E649" s="22" t="s">
        <v>103</v>
      </c>
      <c r="F649" s="23" t="str">
        <f t="shared" si="11"/>
        <v>Оказание услуг по техническому обслуживанию систем охранного видеонаблюдения для муниципальных нужд на 2020-2021 годы</v>
      </c>
      <c r="G649" s="22" t="s">
        <v>119</v>
      </c>
      <c r="H649" s="22" t="s">
        <v>416</v>
      </c>
      <c r="I649" s="26">
        <v>43738.505358796298</v>
      </c>
      <c r="J649" s="23" t="str">
        <f>HYPERLINK("https://www.spark-marketing.ru/Card/Person/56598", "ООО ""ЮМС""")</f>
        <v>ООО "ЮМС"</v>
      </c>
      <c r="K649" s="24" t="s">
        <v>1359</v>
      </c>
      <c r="L649" s="28" t="s">
        <v>52</v>
      </c>
      <c r="M649" s="25">
        <v>122042.33</v>
      </c>
      <c r="N649" s="27">
        <v>0.79368501218864851</v>
      </c>
    </row>
    <row r="650" spans="1:14" hidden="1" outlineLevel="1" x14ac:dyDescent="0.2">
      <c r="A650" s="23" t="str">
        <f t="shared" si="10"/>
        <v>МКУ "ХЭУ АСР"</v>
      </c>
      <c r="B650" s="24" t="s">
        <v>1353</v>
      </c>
      <c r="C650" s="28" t="s">
        <v>52</v>
      </c>
      <c r="D650" s="22" t="s">
        <v>1354</v>
      </c>
      <c r="E650" s="22" t="s">
        <v>103</v>
      </c>
      <c r="F650" s="23" t="str">
        <f t="shared" si="11"/>
        <v>Оказание услуг по техническому обслуживанию систем охранного видеонаблюдения для муниципальных нужд на 2020-2021 годы</v>
      </c>
      <c r="G650" s="22" t="s">
        <v>119</v>
      </c>
      <c r="H650" s="22" t="s">
        <v>416</v>
      </c>
      <c r="I650" s="26">
        <v>43738.505358796298</v>
      </c>
      <c r="J650" s="23" t="str">
        <f>HYPERLINK("https://www.spark-marketing.ru/Card/Person/932332", "ООО ""ВСС""")</f>
        <v>ООО "ВСС"</v>
      </c>
      <c r="K650" s="24" t="s">
        <v>1331</v>
      </c>
      <c r="L650" s="22" t="s">
        <v>10</v>
      </c>
      <c r="M650" s="25">
        <v>119000</v>
      </c>
      <c r="N650" s="27">
        <v>0.79882813160359334</v>
      </c>
    </row>
    <row r="651" spans="1:14" hidden="1" outlineLevel="1" x14ac:dyDescent="0.2">
      <c r="A651" s="23" t="str">
        <f t="shared" si="10"/>
        <v>МКУ "ХЭУ АСР"</v>
      </c>
      <c r="B651" s="24" t="s">
        <v>1353</v>
      </c>
      <c r="C651" s="28" t="s">
        <v>52</v>
      </c>
      <c r="D651" s="22" t="s">
        <v>1354</v>
      </c>
      <c r="E651" s="22" t="s">
        <v>103</v>
      </c>
      <c r="F651" s="23" t="str">
        <f t="shared" si="11"/>
        <v>Оказание услуг по техническому обслуживанию систем охранного видеонаблюдения для муниципальных нужд на 2020-2021 годы</v>
      </c>
      <c r="G651" s="22" t="s">
        <v>119</v>
      </c>
      <c r="H651" s="22" t="s">
        <v>416</v>
      </c>
      <c r="I651" s="26">
        <v>43738.505358796298</v>
      </c>
      <c r="J651" s="23" t="str">
        <f>HYPERLINK("https://www.spark-marketing.ru/Card/Person/934118", "ООО ""ЦЕНТР ЗАЩИТЫ""")</f>
        <v>ООО "ЦЕНТР ЗАЩИТЫ"</v>
      </c>
      <c r="K651" s="24" t="s">
        <v>1360</v>
      </c>
      <c r="L651" s="28" t="s">
        <v>52</v>
      </c>
      <c r="M651" s="25">
        <v>585618.66</v>
      </c>
      <c r="N651" s="27">
        <v>0.01</v>
      </c>
    </row>
    <row r="652" spans="1:14" x14ac:dyDescent="0.15">
      <c r="A652" s="23" t="str">
        <f>HYPERLINK("https://www.spark-marketing.ru/Card/Person/135276", "ОТДЕЛ МВД РОССИИ ПО Г.БОР")</f>
        <v>ОТДЕЛ МВД РОССИИ ПО Г.БОР</v>
      </c>
      <c r="B652" s="24" t="s">
        <v>1361</v>
      </c>
      <c r="C652" s="25">
        <v>36669.54</v>
      </c>
      <c r="D652" s="22" t="s">
        <v>1362</v>
      </c>
      <c r="E652" s="22" t="s">
        <v>107</v>
      </c>
      <c r="F652" s="23" t="str">
        <f>HYPERLINK("https://www.spark-marketing.ru/Card/Lot/74052763", "Техническое обслуживание и ППР технических средств охраны, 1 шт")</f>
        <v>Техническое обслуживание и ППР технических средств охраны, 1 шт</v>
      </c>
      <c r="G652" s="22" t="s">
        <v>64</v>
      </c>
      <c r="H652" s="22" t="s">
        <v>1363</v>
      </c>
      <c r="I652" s="26">
        <v>43738.506481481498</v>
      </c>
      <c r="J652" s="28" t="s">
        <v>52</v>
      </c>
      <c r="K652" s="28" t="s">
        <v>52</v>
      </c>
      <c r="L652" s="28" t="s">
        <v>52</v>
      </c>
      <c r="M652" s="28" t="s">
        <v>52</v>
      </c>
      <c r="N652" s="28" t="s">
        <v>52</v>
      </c>
    </row>
    <row r="653" spans="1:14" x14ac:dyDescent="0.15">
      <c r="A653" s="23" t="str">
        <f>HYPERLINK("https://www.spark-marketing.ru/Card/Person/560849", "ТЕРРИТОРИАЛЬНЫЙ ОРГАН РОСЗДРАВНАДЗОРА ПО Г. САНКТ-ПЕТЕРБУРГУ И ЛЕНИНГРАДСКОЙ ОБЛАСТИ")</f>
        <v>ТЕРРИТОРИАЛЬНЫЙ ОРГАН РОСЗДРАВНАДЗОРА ПО Г. САНКТ-ПЕТЕРБУРГУ И ЛЕНИНГРАДСКОЙ ОБЛАСТИ</v>
      </c>
      <c r="B653" s="24" t="s">
        <v>1364</v>
      </c>
      <c r="C653" s="25">
        <v>146422</v>
      </c>
      <c r="D653" s="22" t="s">
        <v>1365</v>
      </c>
      <c r="E653" s="22" t="s">
        <v>1366</v>
      </c>
      <c r="F653" s="23" t="str">
        <f>HYPERLINK("https://www.spark-marketing.ru/Card/Lot/74074292", "Оказание услуг по монтажу и установке камер видеонаблюдения и электронного замка в помещениях Территориального органа Росздравнадзора по г. Санкт-Петербургу и Ленинградской области")</f>
        <v>Оказание услуг по монтажу и установке камер видеонаблюдения и электронного замка в помещениях Территориального органа Росздравнадзора по г. Санкт-Петербургу и Ленинградской области</v>
      </c>
      <c r="G653" s="22" t="s">
        <v>89</v>
      </c>
      <c r="H653" s="22" t="s">
        <v>89</v>
      </c>
      <c r="I653" s="26">
        <v>43738.525000000001</v>
      </c>
      <c r="J653" s="28" t="s">
        <v>52</v>
      </c>
      <c r="K653" s="28" t="s">
        <v>52</v>
      </c>
      <c r="L653" s="28" t="s">
        <v>52</v>
      </c>
      <c r="M653" s="28" t="s">
        <v>52</v>
      </c>
      <c r="N653" s="28" t="s">
        <v>52</v>
      </c>
    </row>
    <row r="654" spans="1:14" ht="12.75" hidden="1" outlineLevel="1" x14ac:dyDescent="0.2">
      <c r="A654" s="23" t="str">
        <f>HYPERLINK("https://www.spark-marketing.ru/Card/Person/560849", "ТЕРРИТОРИАЛЬНЫЙ ОРГАН РОСЗДРАВНАДЗОРА ПО Г. САНКТ-ПЕТЕРБУРГУ И ЛЕНИНГРАДСКОЙ ОБЛАСТИ")</f>
        <v>ТЕРРИТОРИАЛЬНЫЙ ОРГАН РОСЗДРАВНАДЗОРА ПО Г. САНКТ-ПЕТЕРБУРГУ И ЛЕНИНГРАДСКОЙ ОБЛАСТИ</v>
      </c>
      <c r="B654" s="24" t="s">
        <v>1364</v>
      </c>
      <c r="C654" s="25">
        <v>146422</v>
      </c>
      <c r="D654" s="22" t="s">
        <v>1365</v>
      </c>
      <c r="E654" s="22" t="s">
        <v>1366</v>
      </c>
      <c r="F654" s="23" t="str">
        <f>HYPERLINK("https://www.spark-marketing.ru/Card/Lot/74074292", "Оказание услуг по монтажу и установке камер видеонаблюдения и электронного замка в помещениях Территориального органа Росздравнадзора по г. Санкт-Петербургу и Ленинградской области")</f>
        <v>Оказание услуг по монтажу и установке камер видеонаблюдения и электронного замка в помещениях Территориального органа Росздравнадзора по г. Санкт-Петербургу и Ленинградской области</v>
      </c>
      <c r="G654" s="22" t="s">
        <v>89</v>
      </c>
      <c r="H654" s="22" t="s">
        <v>89</v>
      </c>
      <c r="I654" s="26">
        <v>43738.525000000001</v>
      </c>
      <c r="J654" s="23" t="str">
        <f>HYPERLINK("https://www.spark-marketing.ru/Card/Person/6716506", "Рудаков Владимир Юрьевич")</f>
        <v>Рудаков Владимир Юрьевич</v>
      </c>
      <c r="K654" s="24" t="s">
        <v>1367</v>
      </c>
      <c r="L654" s="22" t="s">
        <v>10</v>
      </c>
      <c r="M654" s="25">
        <v>99800</v>
      </c>
      <c r="N654" s="27">
        <v>0.31840843589078144</v>
      </c>
    </row>
    <row r="655" spans="1:14" hidden="1" outlineLevel="1" x14ac:dyDescent="0.2">
      <c r="A655" s="23" t="str">
        <f>HYPERLINK("https://www.spark-marketing.ru/Card/Person/560849", "ТЕРРИТОРИАЛЬНЫЙ ОРГАН РОСЗДРАВНАДЗОРА ПО Г. САНКТ-ПЕТЕРБУРГУ И ЛЕНИНГРАДСКОЙ ОБЛАСТИ")</f>
        <v>ТЕРРИТОРИАЛЬНЫЙ ОРГАН РОСЗДРАВНАДЗОРА ПО Г. САНКТ-ПЕТЕРБУРГУ И ЛЕНИНГРАДСКОЙ ОБЛАСТИ</v>
      </c>
      <c r="B655" s="24" t="s">
        <v>1364</v>
      </c>
      <c r="C655" s="25">
        <v>146422</v>
      </c>
      <c r="D655" s="22" t="s">
        <v>1365</v>
      </c>
      <c r="E655" s="22" t="s">
        <v>1366</v>
      </c>
      <c r="F655" s="23" t="str">
        <f>HYPERLINK("https://www.spark-marketing.ru/Card/Lot/74074292", "Оказание услуг по монтажу и установке камер видеонаблюдения и электронного замка в помещениях Территориального органа Росздравнадзора по г. Санкт-Петербургу и Ленинградской области")</f>
        <v>Оказание услуг по монтажу и установке камер видеонаблюдения и электронного замка в помещениях Территориального органа Росздравнадзора по г. Санкт-Петербургу и Ленинградской области</v>
      </c>
      <c r="G655" s="22" t="s">
        <v>89</v>
      </c>
      <c r="H655" s="22" t="s">
        <v>89</v>
      </c>
      <c r="I655" s="26">
        <v>43738.525000000001</v>
      </c>
      <c r="J655" s="23" t="str">
        <f>HYPERLINK("https://www.spark-marketing.ru/Card/Person/5893952", "ООО ""ВОКРУГ БЕЗОПАСНОСТИ""")</f>
        <v>ООО "ВОКРУГ БЕЗОПАСНОСТИ"</v>
      </c>
      <c r="K655" s="24" t="s">
        <v>1368</v>
      </c>
      <c r="L655" s="28" t="s">
        <v>52</v>
      </c>
      <c r="M655" s="25">
        <v>131900</v>
      </c>
      <c r="N655" s="27">
        <v>9.9179085110161047E-2</v>
      </c>
    </row>
    <row r="656" spans="1:14" hidden="1" outlineLevel="1" x14ac:dyDescent="0.2">
      <c r="A656" s="23" t="str">
        <f>HYPERLINK("https://www.spark-marketing.ru/Card/Person/560849", "ТЕРРИТОРИАЛЬНЫЙ ОРГАН РОСЗДРАВНАДЗОРА ПО Г. САНКТ-ПЕТЕРБУРГУ И ЛЕНИНГРАДСКОЙ ОБЛАСТИ")</f>
        <v>ТЕРРИТОРИАЛЬНЫЙ ОРГАН РОСЗДРАВНАДЗОРА ПО Г. САНКТ-ПЕТЕРБУРГУ И ЛЕНИНГРАДСКОЙ ОБЛАСТИ</v>
      </c>
      <c r="B656" s="24" t="s">
        <v>1364</v>
      </c>
      <c r="C656" s="25">
        <v>146422</v>
      </c>
      <c r="D656" s="22" t="s">
        <v>1365</v>
      </c>
      <c r="E656" s="22" t="s">
        <v>1366</v>
      </c>
      <c r="F656" s="23" t="str">
        <f>HYPERLINK("https://www.spark-marketing.ru/Card/Lot/74074292", "Оказание услуг по монтажу и установке камер видеонаблюдения и электронного замка в помещениях Территориального органа Росздравнадзора по г. Санкт-Петербургу и Ленинградской области")</f>
        <v>Оказание услуг по монтажу и установке камер видеонаблюдения и электронного замка в помещениях Территориального органа Росздравнадзора по г. Санкт-Петербургу и Ленинградской области</v>
      </c>
      <c r="G656" s="22" t="s">
        <v>89</v>
      </c>
      <c r="H656" s="22" t="s">
        <v>89</v>
      </c>
      <c r="I656" s="26">
        <v>43738.525000000001</v>
      </c>
      <c r="J656" s="23" t="str">
        <f>HYPERLINK("https://www.spark-marketing.ru/Card/Person/1975954", "ООО ""БЛОК-СПБ""")</f>
        <v>ООО "БЛОК-СПБ"</v>
      </c>
      <c r="K656" s="24" t="s">
        <v>1369</v>
      </c>
      <c r="L656" s="28" t="s">
        <v>52</v>
      </c>
      <c r="M656" s="25">
        <v>139000</v>
      </c>
      <c r="N656" s="27">
        <v>5.0689104096378959E-2</v>
      </c>
    </row>
    <row r="657" spans="1:14" x14ac:dyDescent="0.15">
      <c r="A657" s="23" t="str">
        <f>HYPERLINK("https://www.spark-marketing.ru/Card/Person/4431", "ФКУЗ ""ГКГ МВД РОССИИ""")</f>
        <v>ФКУЗ "ГКГ МВД РОССИИ"</v>
      </c>
      <c r="B657" s="24" t="s">
        <v>1182</v>
      </c>
      <c r="C657" s="25">
        <v>198800.94</v>
      </c>
      <c r="D657" s="22" t="s">
        <v>1370</v>
      </c>
      <c r="E657" s="22" t="s">
        <v>53</v>
      </c>
      <c r="F657" s="23" t="str">
        <f>HYPERLINK("https://www.spark-marketing.ru/Card/Lot/74054171", "ТО комплекса технических средств охраны")</f>
        <v>ТО комплекса технических средств охраны</v>
      </c>
      <c r="G657" s="22" t="s">
        <v>55</v>
      </c>
      <c r="H657" s="22" t="s">
        <v>55</v>
      </c>
      <c r="I657" s="26">
        <v>43738.519722222198</v>
      </c>
      <c r="J657" s="28" t="s">
        <v>52</v>
      </c>
      <c r="K657" s="28" t="s">
        <v>52</v>
      </c>
      <c r="L657" s="28" t="s">
        <v>52</v>
      </c>
      <c r="M657" s="28" t="s">
        <v>52</v>
      </c>
      <c r="N657" s="28" t="s">
        <v>52</v>
      </c>
    </row>
    <row r="658" spans="1:14" x14ac:dyDescent="0.15">
      <c r="A658" s="23" t="str">
        <f>HYPERLINK("https://www.spark-marketing.ru/Card/Person/4348584", "АО ""АТОМ-ОХРАНА""")</f>
        <v>АО "АТОМ-ОХРАНА"</v>
      </c>
      <c r="B658" s="24" t="s">
        <v>1036</v>
      </c>
      <c r="C658" s="25">
        <v>0</v>
      </c>
      <c r="D658" s="22" t="s">
        <v>1371</v>
      </c>
      <c r="E658" s="22" t="s">
        <v>53</v>
      </c>
      <c r="F658" s="23" t="str">
        <f>HYPERLINK("https://www.spark-marketing.ru/Card/Lot/74062159", "мониторинг цен в электронной форме на Оказание услуг по сервисному обслуживанию (комплексная автомойка) служебных автомобилей отдельного отряда № 210 МУВО № 2 АО ""Атом-охрана"".")</f>
        <v>мониторинг цен в электронной форме на Оказание услуг по сервисному обслуживанию (комплексная автомойка) служебных автомобилей отдельного отряда № 210 МУВО № 2 АО "Атом-охрана".</v>
      </c>
      <c r="G658" s="22" t="s">
        <v>55</v>
      </c>
      <c r="H658" s="22" t="s">
        <v>55</v>
      </c>
      <c r="I658" s="26">
        <v>43738.502222222203</v>
      </c>
      <c r="J658" s="28" t="s">
        <v>52</v>
      </c>
      <c r="K658" s="28" t="s">
        <v>52</v>
      </c>
      <c r="L658" s="28" t="s">
        <v>52</v>
      </c>
      <c r="M658" s="28" t="s">
        <v>52</v>
      </c>
      <c r="N658" s="28" t="s">
        <v>52</v>
      </c>
    </row>
    <row r="659" spans="1:14" x14ac:dyDescent="0.15">
      <c r="A659" s="23" t="str">
        <f>HYPERLINK("https://www.spark-marketing.ru/Card/Person/85858", "ОГБУЗ ""ИВНЯНСКАЯ ЦРБ""")</f>
        <v>ОГБУЗ "ИВНЯНСКАЯ ЦРБ"</v>
      </c>
      <c r="B659" s="24" t="s">
        <v>1372</v>
      </c>
      <c r="C659" s="25">
        <v>56240.160000000003</v>
      </c>
      <c r="D659" s="22" t="s">
        <v>1373</v>
      </c>
      <c r="E659" s="22" t="s">
        <v>349</v>
      </c>
      <c r="F659" s="23" t="str">
        <f>HYPERLINK("https://www.spark-marketing.ru/Card/Lot/74071655", "оказание услуг по техническому обслуживанию системы видеонаблюдения")</f>
        <v>оказание услуг по техническому обслуживанию системы видеонаблюдения</v>
      </c>
      <c r="G659" s="22" t="s">
        <v>176</v>
      </c>
      <c r="H659" s="22" t="s">
        <v>1374</v>
      </c>
      <c r="I659" s="26">
        <v>43738.514583333301</v>
      </c>
      <c r="J659" s="28" t="s">
        <v>52</v>
      </c>
      <c r="K659" s="28" t="s">
        <v>52</v>
      </c>
      <c r="L659" s="28" t="s">
        <v>52</v>
      </c>
      <c r="M659" s="28" t="s">
        <v>52</v>
      </c>
      <c r="N659" s="28" t="s">
        <v>52</v>
      </c>
    </row>
    <row r="660" spans="1:14" x14ac:dyDescent="0.15">
      <c r="A660" s="23" t="str">
        <f>HYPERLINK("https://www.spark-marketing.ru/Card/Person/11781", "ГБУЗ ""ДГП № 104 ДЗМ""")</f>
        <v>ГБУЗ "ДГП № 104 ДЗМ"</v>
      </c>
      <c r="B660" s="24" t="s">
        <v>1375</v>
      </c>
      <c r="C660" s="25">
        <v>204400</v>
      </c>
      <c r="D660" s="22" t="s">
        <v>1376</v>
      </c>
      <c r="E660" s="22" t="s">
        <v>107</v>
      </c>
      <c r="F660" s="23" t="str">
        <f>HYPERLINK("https://www.spark-marketing.ru/Card/Lot/74075751", "Аукцион в электронной форме на оказание услуг по охранному мониторингу с реагированием мобильными нарядами полиции на тревожные сообщения в помещениях ГБУЗ «ДГП № 104 ДЗМ» и филиалах 1,2 и 3 в 2020 году")</f>
        <v>Аукцион в электронной форме на оказание услуг по охранному мониторингу с реагированием мобильными нарядами полиции на тревожные сообщения в помещениях ГБУЗ «ДГП № 104 ДЗМ» и филиалах 1,2 и 3 в 2020 году</v>
      </c>
      <c r="G660" s="22" t="s">
        <v>55</v>
      </c>
      <c r="H660" s="22" t="s">
        <v>55</v>
      </c>
      <c r="I660" s="26">
        <v>43738.512499999997</v>
      </c>
      <c r="J660" s="28" t="s">
        <v>52</v>
      </c>
      <c r="K660" s="28" t="s">
        <v>52</v>
      </c>
      <c r="L660" s="28" t="s">
        <v>52</v>
      </c>
      <c r="M660" s="28" t="s">
        <v>52</v>
      </c>
      <c r="N660" s="28" t="s">
        <v>52</v>
      </c>
    </row>
    <row r="661" spans="1:14" ht="12.75" hidden="1" outlineLevel="1" x14ac:dyDescent="0.2">
      <c r="A661" s="23" t="str">
        <f>HYPERLINK("https://www.spark-marketing.ru/Card/Person/11781", "ГБУЗ ""ДГП № 104 ДЗМ""")</f>
        <v>ГБУЗ "ДГП № 104 ДЗМ"</v>
      </c>
      <c r="B661" s="24" t="s">
        <v>1375</v>
      </c>
      <c r="C661" s="25">
        <v>204400</v>
      </c>
      <c r="D661" s="22" t="s">
        <v>1376</v>
      </c>
      <c r="E661" s="22" t="s">
        <v>107</v>
      </c>
      <c r="F661" s="23" t="str">
        <f>HYPERLINK("https://www.spark-marketing.ru/Card/Lot/74075751", "Аукцион в электронной форме на оказание услуг по охранному мониторингу с реагированием мобильными нарядами полиции на тревожные сообщения в помещениях ГБУЗ «ДГП № 104 ДЗМ» и филиалах 1,2 и 3 в 2020 году")</f>
        <v>Аукцион в электронной форме на оказание услуг по охранному мониторингу с реагированием мобильными нарядами полиции на тревожные сообщения в помещениях ГБУЗ «ДГП № 104 ДЗМ» и филиалах 1,2 и 3 в 2020 году</v>
      </c>
      <c r="G661" s="22" t="s">
        <v>55</v>
      </c>
      <c r="H661" s="22" t="s">
        <v>55</v>
      </c>
      <c r="I661" s="26">
        <v>43738.512499999997</v>
      </c>
      <c r="J661" s="23" t="str">
        <f>HYPERLINK("https://www.spark-marketing.ru/Card/Person/1592828", "ООО ЧОП ""АГЕНТСТВО БЕЗОПАСНОСТИ ""ЭСТОК""")</f>
        <v>ООО ЧОП "АГЕНТСТВО БЕЗОПАСНОСТИ "ЭСТОК"</v>
      </c>
      <c r="K661" s="24" t="s">
        <v>1377</v>
      </c>
      <c r="L661" s="22" t="s">
        <v>10</v>
      </c>
      <c r="M661" s="25">
        <v>203378</v>
      </c>
      <c r="N661" s="27">
        <v>5.0000000000000001E-3</v>
      </c>
    </row>
    <row r="662" spans="1:14" hidden="1" outlineLevel="1" x14ac:dyDescent="0.2">
      <c r="A662" s="23" t="str">
        <f>HYPERLINK("https://www.spark-marketing.ru/Card/Person/11781", "ГБУЗ ""ДГП № 104 ДЗМ""")</f>
        <v>ГБУЗ "ДГП № 104 ДЗМ"</v>
      </c>
      <c r="B662" s="24" t="s">
        <v>1375</v>
      </c>
      <c r="C662" s="25">
        <v>204400</v>
      </c>
      <c r="D662" s="22" t="s">
        <v>1376</v>
      </c>
      <c r="E662" s="22" t="s">
        <v>107</v>
      </c>
      <c r="F662" s="23" t="str">
        <f>HYPERLINK("https://www.spark-marketing.ru/Card/Lot/74075751", "Аукцион в электронной форме на оказание услуг по охранному мониторингу с реагированием мобильными нарядами полиции на тревожные сообщения в помещениях ГБУЗ «ДГП № 104 ДЗМ» и филиалах 1,2 и 3 в 2020 году")</f>
        <v>Аукцион в электронной форме на оказание услуг по охранному мониторингу с реагированием мобильными нарядами полиции на тревожные сообщения в помещениях ГБУЗ «ДГП № 104 ДЗМ» и филиалах 1,2 и 3 в 2020 году</v>
      </c>
      <c r="G662" s="22" t="s">
        <v>55</v>
      </c>
      <c r="H662" s="22" t="s">
        <v>55</v>
      </c>
      <c r="I662" s="26">
        <v>43738.512499999997</v>
      </c>
      <c r="J662" s="23" t="str">
        <f>HYPERLINK("https://www.spark-marketing.ru/Card/Person/60875", "ООО ЧОП ""ГОЛДЕКС""")</f>
        <v>ООО ЧОП "ГОЛДЕКС"</v>
      </c>
      <c r="K662" s="24" t="s">
        <v>1378</v>
      </c>
      <c r="L662" s="28" t="s">
        <v>52</v>
      </c>
      <c r="M662" s="25">
        <v>203378</v>
      </c>
      <c r="N662" s="27">
        <v>5.0000000000000001E-3</v>
      </c>
    </row>
    <row r="663" spans="1:14" x14ac:dyDescent="0.15">
      <c r="A663" s="23" t="str">
        <f>HYPERLINK("https://www.spark-marketing.ru/Card/Person/4431", "ФКУЗ ""ГКГ МВД РОССИИ""")</f>
        <v>ФКУЗ "ГКГ МВД РОССИИ"</v>
      </c>
      <c r="B663" s="24" t="s">
        <v>1182</v>
      </c>
      <c r="C663" s="25">
        <v>198800.94</v>
      </c>
      <c r="D663" s="22" t="s">
        <v>1379</v>
      </c>
      <c r="E663" s="22" t="s">
        <v>53</v>
      </c>
      <c r="F663" s="23" t="str">
        <f>HYPERLINK("https://www.spark-marketing.ru/Card/Lot/74054114", "ТО комплекса технических средств охраны")</f>
        <v>ТО комплекса технических средств охраны</v>
      </c>
      <c r="G663" s="22" t="s">
        <v>55</v>
      </c>
      <c r="H663" s="22" t="s">
        <v>55</v>
      </c>
      <c r="I663" s="26">
        <v>43738.515370370398</v>
      </c>
      <c r="J663" s="28" t="s">
        <v>52</v>
      </c>
      <c r="K663" s="28" t="s">
        <v>52</v>
      </c>
      <c r="L663" s="28" t="s">
        <v>52</v>
      </c>
      <c r="M663" s="28" t="s">
        <v>52</v>
      </c>
      <c r="N663" s="28" t="s">
        <v>52</v>
      </c>
    </row>
    <row r="664" spans="1:14" x14ac:dyDescent="0.15">
      <c r="A664" s="23" t="str">
        <f>HYPERLINK("https://www.spark-marketing.ru/Card/Person/4431", "ФКУЗ ""ГКГ МВД РОССИИ""")</f>
        <v>ФКУЗ "ГКГ МВД РОССИИ"</v>
      </c>
      <c r="B664" s="24" t="s">
        <v>1182</v>
      </c>
      <c r="C664" s="25">
        <v>198800.94</v>
      </c>
      <c r="D664" s="22" t="s">
        <v>1380</v>
      </c>
      <c r="E664" s="22" t="s">
        <v>53</v>
      </c>
      <c r="F664" s="23" t="str">
        <f>HYPERLINK("https://www.spark-marketing.ru/Card/Lot/74054327", "ТО комплекса технических средств охраны")</f>
        <v>ТО комплекса технических средств охраны</v>
      </c>
      <c r="G664" s="22" t="s">
        <v>55</v>
      </c>
      <c r="H664" s="22" t="s">
        <v>55</v>
      </c>
      <c r="I664" s="26">
        <v>43738.538321759297</v>
      </c>
      <c r="J664" s="28" t="s">
        <v>52</v>
      </c>
      <c r="K664" s="28" t="s">
        <v>52</v>
      </c>
      <c r="L664" s="28" t="s">
        <v>52</v>
      </c>
      <c r="M664" s="28" t="s">
        <v>52</v>
      </c>
      <c r="N664" s="28" t="s">
        <v>52</v>
      </c>
    </row>
    <row r="665" spans="1:14" x14ac:dyDescent="0.15">
      <c r="A665" s="23" t="str">
        <f>HYPERLINK("https://www.spark-marketing.ru/Card/Person/4362291", "АО ""РОСНЕФТЕФЛОТ""")</f>
        <v>АО "РОСНЕФТЕФЛОТ"</v>
      </c>
      <c r="B665" s="24" t="s">
        <v>1381</v>
      </c>
      <c r="C665" s="28" t="s">
        <v>52</v>
      </c>
      <c r="D665" s="22" t="s">
        <v>1382</v>
      </c>
      <c r="E665" s="22" t="s">
        <v>1383</v>
      </c>
      <c r="F665" s="23" t="str">
        <f>HYPERLINK("https://www.spark-marketing.ru/Card/Lot/74053147", "Оказание услуг по привлечению подразделений транспортной безопасности для защиты транспортных средств")</f>
        <v>Оказание услуг по привлечению подразделений транспортной безопасности для защиты транспортных средств</v>
      </c>
      <c r="G665" s="22" t="s">
        <v>55</v>
      </c>
      <c r="H665" s="22" t="s">
        <v>55</v>
      </c>
      <c r="I665" s="26">
        <v>43738.488194444399</v>
      </c>
      <c r="J665" s="28" t="s">
        <v>52</v>
      </c>
      <c r="K665" s="28" t="s">
        <v>52</v>
      </c>
      <c r="L665" s="28" t="s">
        <v>52</v>
      </c>
      <c r="M665" s="28" t="s">
        <v>52</v>
      </c>
      <c r="N665" s="28" t="s">
        <v>52</v>
      </c>
    </row>
    <row r="666" spans="1:14" x14ac:dyDescent="0.15">
      <c r="A666" s="23" t="str">
        <f>HYPERLINK("https://www.spark-marketing.ru/Card/Person/4362291", "АО ""РОСНЕФТЕФЛОТ""")</f>
        <v>АО "РОСНЕФТЕФЛОТ"</v>
      </c>
      <c r="B666" s="24" t="s">
        <v>1381</v>
      </c>
      <c r="C666" s="28" t="s">
        <v>52</v>
      </c>
      <c r="D666" s="22" t="s">
        <v>1382</v>
      </c>
      <c r="E666" s="22" t="s">
        <v>1383</v>
      </c>
      <c r="F666" s="23" t="str">
        <f>HYPERLINK("https://www.spark-marketing.ru/Card/Lot/74053149", "Оказание услуг по привлечению подразделений транспортной безопасности для защиты транспортных средств")</f>
        <v>Оказание услуг по привлечению подразделений транспортной безопасности для защиты транспортных средств</v>
      </c>
      <c r="G666" s="22" t="s">
        <v>55</v>
      </c>
      <c r="H666" s="22" t="s">
        <v>55</v>
      </c>
      <c r="I666" s="26">
        <v>43738.488194444399</v>
      </c>
      <c r="J666" s="28" t="s">
        <v>52</v>
      </c>
      <c r="K666" s="28" t="s">
        <v>52</v>
      </c>
      <c r="L666" s="28" t="s">
        <v>52</v>
      </c>
      <c r="M666" s="28" t="s">
        <v>52</v>
      </c>
      <c r="N666" s="28" t="s">
        <v>52</v>
      </c>
    </row>
    <row r="667" spans="1:14" x14ac:dyDescent="0.15">
      <c r="A667" s="23" t="str">
        <f>HYPERLINK("https://www.spark-marketing.ru/Card/Person/4362291", "АО ""РОСНЕФТЕФЛОТ""")</f>
        <v>АО "РОСНЕФТЕФЛОТ"</v>
      </c>
      <c r="B667" s="24" t="s">
        <v>1381</v>
      </c>
      <c r="C667" s="28" t="s">
        <v>52</v>
      </c>
      <c r="D667" s="22" t="s">
        <v>1382</v>
      </c>
      <c r="E667" s="22" t="s">
        <v>1383</v>
      </c>
      <c r="F667" s="23" t="str">
        <f>HYPERLINK("https://www.spark-marketing.ru/Card/Lot/74053148", "Оказание услуг по привлечению подразделений транспортной безопасности для защиты транспортных средств")</f>
        <v>Оказание услуг по привлечению подразделений транспортной безопасности для защиты транспортных средств</v>
      </c>
      <c r="G667" s="22" t="s">
        <v>55</v>
      </c>
      <c r="H667" s="22" t="s">
        <v>55</v>
      </c>
      <c r="I667" s="26">
        <v>43738.488194444399</v>
      </c>
      <c r="J667" s="28" t="s">
        <v>52</v>
      </c>
      <c r="K667" s="28" t="s">
        <v>52</v>
      </c>
      <c r="L667" s="28" t="s">
        <v>52</v>
      </c>
      <c r="M667" s="28" t="s">
        <v>52</v>
      </c>
      <c r="N667" s="28" t="s">
        <v>52</v>
      </c>
    </row>
    <row r="668" spans="1:14" x14ac:dyDescent="0.15">
      <c r="A668" s="23" t="str">
        <f>HYPERLINK("https://www.spark-marketing.ru/Card/Person/1000003", "МБДОУ ""ДЕТСКИЙ САД № 3 ""НЕЗАБУДКА""")</f>
        <v>МБДОУ "ДЕТСКИЙ САД № 3 "НЕЗАБУДКА"</v>
      </c>
      <c r="B668" s="24" t="s">
        <v>1384</v>
      </c>
      <c r="C668" s="25">
        <v>43246</v>
      </c>
      <c r="D668" s="22" t="s">
        <v>1385</v>
      </c>
      <c r="E668" s="22" t="s">
        <v>84</v>
      </c>
      <c r="F668" s="23" t="str">
        <f>HYPERLINK("https://www.spark-marketing.ru/Card/Lot/74051593", "Оборудование подведомственных муниципальных учреждений в целях усиления их АТЗ , техническими средствами защиты (приобретение и установка дополнительных камер видеонаблюдения)")</f>
        <v>Оборудование подведомственных муниципальных учреждений в целях усиления их АТЗ , техническими средствами защиты (приобретение и установка дополнительных камер видеонаблюдения)</v>
      </c>
      <c r="G668" s="22" t="s">
        <v>50</v>
      </c>
      <c r="H668" s="22" t="s">
        <v>1386</v>
      </c>
      <c r="I668" s="26">
        <v>43738.4519097222</v>
      </c>
      <c r="J668" s="28" t="s">
        <v>52</v>
      </c>
      <c r="K668" s="28" t="s">
        <v>52</v>
      </c>
      <c r="L668" s="28" t="s">
        <v>52</v>
      </c>
      <c r="M668" s="28" t="s">
        <v>52</v>
      </c>
      <c r="N668" s="28" t="s">
        <v>52</v>
      </c>
    </row>
    <row r="669" spans="1:14" x14ac:dyDescent="0.15">
      <c r="A669" s="23" t="str">
        <f>HYPERLINK("https://www.spark-marketing.ru/Card/Person/136975", "СУ СК РОССИИ ПО МАГАДАНСКОЙ ОБЛАСТИ")</f>
        <v>СУ СК РОССИИ ПО МАГАДАНСКОЙ ОБЛАСТИ</v>
      </c>
      <c r="B669" s="24" t="s">
        <v>1387</v>
      </c>
      <c r="C669" s="25">
        <v>5080402.08</v>
      </c>
      <c r="D669" s="22" t="s">
        <v>1388</v>
      </c>
      <c r="E669" s="22" t="s">
        <v>68</v>
      </c>
      <c r="F669" s="23" t="str">
        <f>HYPERLINK("https://www.spark-marketing.ru/Card/Lot/74042982", "Приобретение услуг физической охраны административного здания (г. Магадан, ул. Транспортная, 21) следственного управления следственного комитета Российской Федерации по Магаданской области на 2020 год")</f>
        <v>Приобретение услуг физической охраны административного здания (г. Магадан, ул. Транспортная, 21) следственного управления следственного комитета Российской Федерации по Магаданской области на 2020 год</v>
      </c>
      <c r="G669" s="22" t="s">
        <v>808</v>
      </c>
      <c r="H669" s="22" t="s">
        <v>808</v>
      </c>
      <c r="I669" s="26">
        <v>43738.452083333301</v>
      </c>
      <c r="J669" s="28" t="s">
        <v>52</v>
      </c>
      <c r="K669" s="28" t="s">
        <v>52</v>
      </c>
      <c r="L669" s="28" t="s">
        <v>52</v>
      </c>
      <c r="M669" s="28" t="s">
        <v>52</v>
      </c>
      <c r="N669" s="28" t="s">
        <v>52</v>
      </c>
    </row>
    <row r="670" spans="1:14" hidden="1" outlineLevel="1" x14ac:dyDescent="0.15">
      <c r="A670" s="23" t="str">
        <f>HYPERLINK("https://www.spark-marketing.ru/Card/Person/136975", "СУ СК РОССИИ ПО МАГАДАНСКОЙ ОБЛАСТИ")</f>
        <v>СУ СК РОССИИ ПО МАГАДАНСКОЙ ОБЛАСТИ</v>
      </c>
      <c r="B670" s="24" t="s">
        <v>1387</v>
      </c>
      <c r="C670" s="25">
        <v>5080402.08</v>
      </c>
      <c r="D670" s="22" t="s">
        <v>1388</v>
      </c>
      <c r="E670" s="22" t="s">
        <v>68</v>
      </c>
      <c r="F670" s="23" t="str">
        <f>HYPERLINK("https://www.spark-marketing.ru/Card/Lot/74042982", "Приобретение услуг физической охраны административного здания (г. Магадан, ул. Транспортная, 21) следственного управления следственного комитета Российской Федерации по Магаданской области на 2020 год")</f>
        <v>Приобретение услуг физической охраны административного здания (г. Магадан, ул. Транспортная, 21) следственного управления следственного комитета Российской Федерации по Магаданской области на 2020 год</v>
      </c>
      <c r="G670" s="22" t="s">
        <v>808</v>
      </c>
      <c r="H670" s="22" t="s">
        <v>808</v>
      </c>
      <c r="I670" s="26">
        <v>43738.452083333301</v>
      </c>
      <c r="J670" s="23" t="str">
        <f>HYPERLINK("https://www.spark-marketing.ru/Card/Person/4343858", "ООО ЧОО ""СПРУТ""")</f>
        <v>ООО ЧОО "СПРУТ"</v>
      </c>
      <c r="K670" s="24" t="s">
        <v>1389</v>
      </c>
      <c r="L670" s="28" t="s">
        <v>52</v>
      </c>
      <c r="M670" s="28" t="s">
        <v>52</v>
      </c>
      <c r="N670" s="28" t="s">
        <v>52</v>
      </c>
    </row>
    <row r="671" spans="1:14" ht="12.75" hidden="1" outlineLevel="1" x14ac:dyDescent="0.2">
      <c r="A671" s="23" t="str">
        <f>HYPERLINK("https://www.spark-marketing.ru/Card/Person/136975", "СУ СК РОССИИ ПО МАГАДАНСКОЙ ОБЛАСТИ")</f>
        <v>СУ СК РОССИИ ПО МАГАДАНСКОЙ ОБЛАСТИ</v>
      </c>
      <c r="B671" s="24" t="s">
        <v>1387</v>
      </c>
      <c r="C671" s="25">
        <v>5080402.08</v>
      </c>
      <c r="D671" s="22" t="s">
        <v>1388</v>
      </c>
      <c r="E671" s="22" t="s">
        <v>68</v>
      </c>
      <c r="F671" s="23" t="str">
        <f>HYPERLINK("https://www.spark-marketing.ru/Card/Lot/74042982", "Приобретение услуг физической охраны административного здания (г. Магадан, ул. Транспортная, 21) следственного управления следственного комитета Российской Федерации по Магаданской области на 2020 год")</f>
        <v>Приобретение услуг физической охраны административного здания (г. Магадан, ул. Транспортная, 21) следственного управления следственного комитета Российской Федерации по Магаданской области на 2020 год</v>
      </c>
      <c r="G671" s="22" t="s">
        <v>808</v>
      </c>
      <c r="H671" s="22" t="s">
        <v>808</v>
      </c>
      <c r="I671" s="26">
        <v>43738.452083333301</v>
      </c>
      <c r="J671" s="23" t="str">
        <f>HYPERLINK("https://www.spark-marketing.ru/Card/Person/1274508", "ФГКУ ""ОВО ВНГ РОССИИ ПО МАГАДАНСКОЙ ОБЛАСТИ""")</f>
        <v>ФГКУ "ОВО ВНГ РОССИИ ПО МАГАДАНСКОЙ ОБЛАСТИ"</v>
      </c>
      <c r="K671" s="24" t="s">
        <v>1390</v>
      </c>
      <c r="L671" s="22" t="s">
        <v>10</v>
      </c>
      <c r="M671" s="25">
        <v>5080402.08</v>
      </c>
      <c r="N671" s="27">
        <v>0</v>
      </c>
    </row>
    <row r="672" spans="1:14" hidden="1" outlineLevel="1" x14ac:dyDescent="0.2">
      <c r="A672" s="23" t="str">
        <f>HYPERLINK("https://www.spark-marketing.ru/Card/Person/136975", "СУ СК РОССИИ ПО МАГАДАНСКОЙ ОБЛАСТИ")</f>
        <v>СУ СК РОССИИ ПО МАГАДАНСКОЙ ОБЛАСТИ</v>
      </c>
      <c r="B672" s="24" t="s">
        <v>1387</v>
      </c>
      <c r="C672" s="25">
        <v>5080402.08</v>
      </c>
      <c r="D672" s="22" t="s">
        <v>1388</v>
      </c>
      <c r="E672" s="22" t="s">
        <v>68</v>
      </c>
      <c r="F672" s="23" t="str">
        <f>HYPERLINK("https://www.spark-marketing.ru/Card/Lot/74042982", "Приобретение услуг физической охраны административного здания (г. Магадан, ул. Транспортная, 21) следственного управления следственного комитета Российской Федерации по Магаданской области на 2020 год")</f>
        <v>Приобретение услуг физической охраны административного здания (г. Магадан, ул. Транспортная, 21) следственного управления следственного комитета Российской Федерации по Магаданской области на 2020 год</v>
      </c>
      <c r="G672" s="22" t="s">
        <v>808</v>
      </c>
      <c r="H672" s="22" t="s">
        <v>808</v>
      </c>
      <c r="I672" s="26">
        <v>43738.452083333301</v>
      </c>
      <c r="J672" s="23" t="str">
        <f>HYPERLINK("https://www.spark-marketing.ru/Card/Person/4950820", "ФЛ ФГУП ОХРАНА ФЕДЕРАЛЬНОЙ СЛУЖБЫ ВОЙСК НАЦИОНАЛЬНОЙ ГВАРДИИ РФ ПО РП САХА")</f>
        <v>ФЛ ФГУП ОХРАНА ФЕДЕРАЛЬНОЙ СЛУЖБЫ ВОЙСК НАЦИОНАЛЬНОЙ ГВАРДИИ РФ ПО РП САХА</v>
      </c>
      <c r="K672" s="24" t="s">
        <v>779</v>
      </c>
      <c r="L672" s="28" t="s">
        <v>52</v>
      </c>
      <c r="M672" s="25">
        <v>5080402.08</v>
      </c>
      <c r="N672" s="27">
        <v>0</v>
      </c>
    </row>
    <row r="673" spans="1:14" hidden="1" outlineLevel="1" x14ac:dyDescent="0.15">
      <c r="A673" s="23" t="str">
        <f>HYPERLINK("https://www.spark-marketing.ru/Card/Person/136975", "СУ СК РОССИИ ПО МАГАДАНСКОЙ ОБЛАСТИ")</f>
        <v>СУ СК РОССИИ ПО МАГАДАНСКОЙ ОБЛАСТИ</v>
      </c>
      <c r="B673" s="24" t="s">
        <v>1387</v>
      </c>
      <c r="C673" s="25">
        <v>5080402.08</v>
      </c>
      <c r="D673" s="22" t="s">
        <v>1388</v>
      </c>
      <c r="E673" s="22" t="s">
        <v>68</v>
      </c>
      <c r="F673" s="23" t="str">
        <f>HYPERLINK("https://www.spark-marketing.ru/Card/Lot/74042982", "Приобретение услуг физической охраны административного здания (г. Магадан, ул. Транспортная, 21) следственного управления следственного комитета Российской Федерации по Магаданской области на 2020 год")</f>
        <v>Приобретение услуг физической охраны административного здания (г. Магадан, ул. Транспортная, 21) следственного управления следственного комитета Российской Федерации по Магаданской области на 2020 год</v>
      </c>
      <c r="G673" s="22" t="s">
        <v>808</v>
      </c>
      <c r="H673" s="22" t="s">
        <v>808</v>
      </c>
      <c r="I673" s="26">
        <v>43738.452083333301</v>
      </c>
      <c r="J673" s="23" t="str">
        <f>HYPERLINK("https://www.spark-marketing.ru/Card/Person/936140", "ООО ""ОЛЬВО""")</f>
        <v>ООО "ОЛЬВО"</v>
      </c>
      <c r="K673" s="24" t="s">
        <v>1391</v>
      </c>
      <c r="L673" s="28" t="s">
        <v>52</v>
      </c>
      <c r="M673" s="28" t="s">
        <v>52</v>
      </c>
      <c r="N673" s="28" t="s">
        <v>52</v>
      </c>
    </row>
    <row r="674" spans="1:14" x14ac:dyDescent="0.15">
      <c r="A674" s="23" t="str">
        <f>HYPERLINK("https://www.spark-marketing.ru/Card/Person/769", "ФКУ ""ЦОКР""")</f>
        <v>ФКУ "ЦОКР"</v>
      </c>
      <c r="B674" s="24" t="s">
        <v>962</v>
      </c>
      <c r="C674" s="25">
        <v>23652</v>
      </c>
      <c r="D674" s="22" t="s">
        <v>1392</v>
      </c>
      <c r="E674" s="22" t="s">
        <v>68</v>
      </c>
      <c r="F674" s="23" t="str">
        <f>HYPERLINK("https://www.spark-marketing.ru/Card/Lot/74047452", "Оказание услуг пультовой охраны административного здания территориального Отдела № 57 Управления Федерального казначейства по Алтайскому краю")</f>
        <v>Оказание услуг пультовой охраны административного здания территориального Отдела № 57 Управления Федерального казначейства по Алтайскому краю</v>
      </c>
      <c r="G674" s="22" t="s">
        <v>428</v>
      </c>
      <c r="H674" s="22" t="s">
        <v>428</v>
      </c>
      <c r="I674" s="26">
        <v>43738.453472222202</v>
      </c>
      <c r="J674" s="23" t="str">
        <f>HYPERLINK("https://www.spark-marketing.ru/Card/Person/168309", "ФГКУ ""УВО ВНГ РОССИИ ПО АЛТАЙСКОМУ КРАЮ""")</f>
        <v>ФГКУ "УВО ВНГ РОССИИ ПО АЛТАЙСКОМУ КРАЮ"</v>
      </c>
      <c r="K674" s="24" t="s">
        <v>1393</v>
      </c>
      <c r="L674" s="22" t="s">
        <v>10</v>
      </c>
      <c r="M674" s="28" t="s">
        <v>52</v>
      </c>
      <c r="N674" s="28" t="s">
        <v>52</v>
      </c>
    </row>
    <row r="675" spans="1:14" x14ac:dyDescent="0.15">
      <c r="A675" s="23" t="str">
        <f>HYPERLINK("https://www.spark-marketing.ru/Card/Person/12761", "АДМИНИСТРАЦИЯ РГО МО")</f>
        <v>АДМИНИСТРАЦИЯ РГО МО</v>
      </c>
      <c r="B675" s="24" t="s">
        <v>1394</v>
      </c>
      <c r="C675" s="25">
        <v>1000000</v>
      </c>
      <c r="D675" s="22" t="s">
        <v>1395</v>
      </c>
      <c r="E675" s="22" t="s">
        <v>84</v>
      </c>
      <c r="F675" s="23" t="str">
        <f>HYPERLINK("https://www.spark-marketing.ru/Card/Lot/74083865", "Выполнение работ по установке системы видеонаблюдения на строящейся газовой котельной по адресу: п. Тучково")</f>
        <v>Выполнение работ по установке системы видеонаблюдения на строящейся газовой котельной по адресу: п. Тучково</v>
      </c>
      <c r="G675" s="22" t="s">
        <v>50</v>
      </c>
      <c r="H675" s="22" t="s">
        <v>1207</v>
      </c>
      <c r="I675" s="26">
        <v>43738.412291666697</v>
      </c>
      <c r="J675" s="28" t="s">
        <v>52</v>
      </c>
      <c r="K675" s="28" t="s">
        <v>52</v>
      </c>
      <c r="L675" s="28" t="s">
        <v>52</v>
      </c>
      <c r="M675" s="28" t="s">
        <v>52</v>
      </c>
      <c r="N675" s="28" t="s">
        <v>52</v>
      </c>
    </row>
    <row r="676" spans="1:14" hidden="1" outlineLevel="1" x14ac:dyDescent="0.2">
      <c r="A676" s="23" t="str">
        <f>HYPERLINK("https://www.spark-marketing.ru/Card/Person/12761", "АДМИНИСТРАЦИЯ РГО МО")</f>
        <v>АДМИНИСТРАЦИЯ РГО МО</v>
      </c>
      <c r="B676" s="24" t="s">
        <v>1394</v>
      </c>
      <c r="C676" s="25">
        <v>1000000</v>
      </c>
      <c r="D676" s="22" t="s">
        <v>1395</v>
      </c>
      <c r="E676" s="22" t="s">
        <v>84</v>
      </c>
      <c r="F676" s="23" t="str">
        <f>HYPERLINK("https://www.spark-marketing.ru/Card/Lot/74083865", "Выполнение работ по установке системы видеонаблюдения на строящейся газовой котельной по адресу: п. Тучково")</f>
        <v>Выполнение работ по установке системы видеонаблюдения на строящейся газовой котельной по адресу: п. Тучково</v>
      </c>
      <c r="G676" s="22" t="s">
        <v>50</v>
      </c>
      <c r="H676" s="22" t="s">
        <v>1207</v>
      </c>
      <c r="I676" s="26">
        <v>43738.412291666697</v>
      </c>
      <c r="J676" s="23" t="str">
        <f>HYPERLINK("https://www.spark-marketing.ru/Card/Person/1354015", "ООО ""ЭДЕЛЬВЕЙС""")</f>
        <v>ООО "ЭДЕЛЬВЕЙС"</v>
      </c>
      <c r="K676" s="24" t="s">
        <v>1396</v>
      </c>
      <c r="L676" s="28" t="s">
        <v>52</v>
      </c>
      <c r="M676" s="25">
        <v>805000</v>
      </c>
      <c r="N676" s="27">
        <v>0.19500000000000001</v>
      </c>
    </row>
    <row r="677" spans="1:14" ht="12.75" hidden="1" outlineLevel="1" x14ac:dyDescent="0.2">
      <c r="A677" s="23" t="str">
        <f>HYPERLINK("https://www.spark-marketing.ru/Card/Person/12761", "АДМИНИСТРАЦИЯ РГО МО")</f>
        <v>АДМИНИСТРАЦИЯ РГО МО</v>
      </c>
      <c r="B677" s="24" t="s">
        <v>1394</v>
      </c>
      <c r="C677" s="25">
        <v>1000000</v>
      </c>
      <c r="D677" s="22" t="s">
        <v>1395</v>
      </c>
      <c r="E677" s="22" t="s">
        <v>84</v>
      </c>
      <c r="F677" s="23" t="str">
        <f>HYPERLINK("https://www.spark-marketing.ru/Card/Lot/74083865", "Выполнение работ по установке системы видеонаблюдения на строящейся газовой котельной по адресу: п. Тучково")</f>
        <v>Выполнение работ по установке системы видеонаблюдения на строящейся газовой котельной по адресу: п. Тучково</v>
      </c>
      <c r="G677" s="22" t="s">
        <v>50</v>
      </c>
      <c r="H677" s="22" t="s">
        <v>1207</v>
      </c>
      <c r="I677" s="26">
        <v>43738.412291666697</v>
      </c>
      <c r="J677" s="23" t="str">
        <f>HYPERLINK("https://www.spark-marketing.ru/Card/Person/398851", "ООО ""Телеконика""")</f>
        <v>ООО "Телеконика"</v>
      </c>
      <c r="K677" s="24" t="s">
        <v>1397</v>
      </c>
      <c r="L677" s="22" t="s">
        <v>10</v>
      </c>
      <c r="M677" s="25">
        <v>800000</v>
      </c>
      <c r="N677" s="27">
        <v>0.2</v>
      </c>
    </row>
    <row r="678" spans="1:14" hidden="1" outlineLevel="1" x14ac:dyDescent="0.2">
      <c r="A678" s="23" t="str">
        <f>HYPERLINK("https://www.spark-marketing.ru/Card/Person/12761", "АДМИНИСТРАЦИЯ РГО МО")</f>
        <v>АДМИНИСТРАЦИЯ РГО МО</v>
      </c>
      <c r="B678" s="24" t="s">
        <v>1394</v>
      </c>
      <c r="C678" s="25">
        <v>1000000</v>
      </c>
      <c r="D678" s="22" t="s">
        <v>1395</v>
      </c>
      <c r="E678" s="22" t="s">
        <v>84</v>
      </c>
      <c r="F678" s="23" t="str">
        <f>HYPERLINK("https://www.spark-marketing.ru/Card/Lot/74083865", "Выполнение работ по установке системы видеонаблюдения на строящейся газовой котельной по адресу: п. Тучково")</f>
        <v>Выполнение работ по установке системы видеонаблюдения на строящейся газовой котельной по адресу: п. Тучково</v>
      </c>
      <c r="G678" s="22" t="s">
        <v>50</v>
      </c>
      <c r="H678" s="22" t="s">
        <v>1207</v>
      </c>
      <c r="I678" s="26">
        <v>43738.412291666697</v>
      </c>
      <c r="J678" s="23" t="str">
        <f>HYPERLINK("https://www.spark-marketing.ru/Card/Person/88710", "ООО ""СИГНАЛИЗАЦИЯ""")</f>
        <v>ООО "СИГНАЛИЗАЦИЯ"</v>
      </c>
      <c r="K678" s="24" t="s">
        <v>1398</v>
      </c>
      <c r="L678" s="28" t="s">
        <v>52</v>
      </c>
      <c r="M678" s="25">
        <v>900000</v>
      </c>
      <c r="N678" s="27">
        <v>0.1</v>
      </c>
    </row>
    <row r="679" spans="1:14" x14ac:dyDescent="0.15">
      <c r="A679" s="23" t="str">
        <f>HYPERLINK("https://www.spark-marketing.ru/Card/Person/56849", "КГБУЗ ""АЛЕЙСКАЯ ЦРБ""")</f>
        <v>КГБУЗ "АЛЕЙСКАЯ ЦРБ"</v>
      </c>
      <c r="B679" s="24" t="s">
        <v>1399</v>
      </c>
      <c r="C679" s="25">
        <v>65680</v>
      </c>
      <c r="D679" s="22" t="s">
        <v>1400</v>
      </c>
      <c r="E679" s="22" t="s">
        <v>59</v>
      </c>
      <c r="F679" s="23" t="str">
        <f>HYPERLINK("https://www.spark-marketing.ru/Card/Lot/74045645", "Оказание услуг по установке и переносу систем видеонаблюдения")</f>
        <v>Оказание услуг по установке и переносу систем видеонаблюдения</v>
      </c>
      <c r="G679" s="22" t="s">
        <v>428</v>
      </c>
      <c r="H679" s="22" t="s">
        <v>1401</v>
      </c>
      <c r="I679" s="26">
        <v>43738.357638888898</v>
      </c>
      <c r="J679" s="28" t="s">
        <v>52</v>
      </c>
      <c r="K679" s="28" t="s">
        <v>52</v>
      </c>
      <c r="L679" s="28" t="s">
        <v>52</v>
      </c>
      <c r="M679" s="28" t="s">
        <v>52</v>
      </c>
      <c r="N679" s="28" t="s">
        <v>52</v>
      </c>
    </row>
    <row r="680" spans="1:14" x14ac:dyDescent="0.15">
      <c r="A680" s="23" t="str">
        <f>HYPERLINK("https://www.spark-marketing.ru/Card/Person/564692", "ГБПОУ ""СОМК""")</f>
        <v>ГБПОУ "СОМК"</v>
      </c>
      <c r="B680" s="24" t="s">
        <v>1402</v>
      </c>
      <c r="C680" s="25">
        <v>573375.6</v>
      </c>
      <c r="D680" s="22" t="s">
        <v>1403</v>
      </c>
      <c r="E680" s="22" t="s">
        <v>52</v>
      </c>
      <c r="F680" s="23" t="str">
        <f>HYPERLINK("https://www.spark-marketing.ru/Card/Lot/74047131", "Услуги охраны здания учебного корпуса ГБПОУ ""СОМК"" (Красноуфимский филиал)")</f>
        <v>Услуги охраны здания учебного корпуса ГБПОУ "СОМК" (Красноуфимский филиал)</v>
      </c>
      <c r="G680" s="22" t="s">
        <v>72</v>
      </c>
      <c r="H680" s="22" t="s">
        <v>270</v>
      </c>
      <c r="I680" s="26">
        <v>43738.368055555598</v>
      </c>
      <c r="J680" s="28" t="s">
        <v>52</v>
      </c>
      <c r="K680" s="28" t="s">
        <v>52</v>
      </c>
      <c r="L680" s="28" t="s">
        <v>52</v>
      </c>
      <c r="M680" s="28" t="s">
        <v>52</v>
      </c>
      <c r="N680" s="28" t="s">
        <v>52</v>
      </c>
    </row>
    <row r="681" spans="1:14" hidden="1" outlineLevel="1" x14ac:dyDescent="0.2">
      <c r="A681" s="23" t="str">
        <f>HYPERLINK("https://www.spark-marketing.ru/Card/Person/564692", "ГБПОУ ""СОМК""")</f>
        <v>ГБПОУ "СОМК"</v>
      </c>
      <c r="B681" s="24" t="s">
        <v>1402</v>
      </c>
      <c r="C681" s="25">
        <v>573375.6</v>
      </c>
      <c r="D681" s="22" t="s">
        <v>1403</v>
      </c>
      <c r="E681" s="22" t="s">
        <v>52</v>
      </c>
      <c r="F681" s="23" t="str">
        <f>HYPERLINK("https://www.spark-marketing.ru/Card/Lot/74047131", "Услуги охраны здания учебного корпуса ГБПОУ ""СОМК"" (Красноуфимский филиал)")</f>
        <v>Услуги охраны здания учебного корпуса ГБПОУ "СОМК" (Красноуфимский филиал)</v>
      </c>
      <c r="G681" s="22" t="s">
        <v>72</v>
      </c>
      <c r="H681" s="22" t="s">
        <v>270</v>
      </c>
      <c r="I681" s="26">
        <v>43738.368055555598</v>
      </c>
      <c r="J681" s="23" t="str">
        <f>HYPERLINK("https://www.spark-marketing.ru/Card/Person/566338", "ООО ЧОП ""ГРАНИТ-ВТ""")</f>
        <v>ООО ЧОП "ГРАНИТ-ВТ"</v>
      </c>
      <c r="K681" s="24" t="s">
        <v>1404</v>
      </c>
      <c r="L681" s="28" t="s">
        <v>52</v>
      </c>
      <c r="M681" s="25">
        <v>438326.89</v>
      </c>
      <c r="N681" s="27">
        <v>0.23553271189077457</v>
      </c>
    </row>
    <row r="682" spans="1:14" hidden="1" outlineLevel="1" x14ac:dyDescent="0.2">
      <c r="A682" s="23" t="str">
        <f>HYPERLINK("https://www.spark-marketing.ru/Card/Person/564692", "ГБПОУ ""СОМК""")</f>
        <v>ГБПОУ "СОМК"</v>
      </c>
      <c r="B682" s="24" t="s">
        <v>1402</v>
      </c>
      <c r="C682" s="25">
        <v>573375.6</v>
      </c>
      <c r="D682" s="22" t="s">
        <v>1403</v>
      </c>
      <c r="E682" s="22" t="s">
        <v>52</v>
      </c>
      <c r="F682" s="23" t="str">
        <f>HYPERLINK("https://www.spark-marketing.ru/Card/Lot/74047131", "Услуги охраны здания учебного корпуса ГБПОУ ""СОМК"" (Красноуфимский филиал)")</f>
        <v>Услуги охраны здания учебного корпуса ГБПОУ "СОМК" (Красноуфимский филиал)</v>
      </c>
      <c r="G682" s="22" t="s">
        <v>72</v>
      </c>
      <c r="H682" s="22" t="s">
        <v>270</v>
      </c>
      <c r="I682" s="26">
        <v>43738.368055555598</v>
      </c>
      <c r="J682" s="23" t="str">
        <f>HYPERLINK("https://www.spark-marketing.ru/Card/Person/139233", "ООО ЧОП ""СООПР РЫСЬ""")</f>
        <v>ООО ЧОП "СООПР РЫСЬ"</v>
      </c>
      <c r="K682" s="24" t="s">
        <v>1405</v>
      </c>
      <c r="L682" s="28" t="s">
        <v>52</v>
      </c>
      <c r="M682" s="25">
        <v>549000</v>
      </c>
      <c r="N682" s="27">
        <v>4.25124473381846E-2</v>
      </c>
    </row>
    <row r="683" spans="1:14" ht="12.75" hidden="1" outlineLevel="1" x14ac:dyDescent="0.2">
      <c r="A683" s="23" t="str">
        <f>HYPERLINK("https://www.spark-marketing.ru/Card/Person/564692", "ГБПОУ ""СОМК""")</f>
        <v>ГБПОУ "СОМК"</v>
      </c>
      <c r="B683" s="24" t="s">
        <v>1402</v>
      </c>
      <c r="C683" s="25">
        <v>573375.6</v>
      </c>
      <c r="D683" s="22" t="s">
        <v>1403</v>
      </c>
      <c r="E683" s="22" t="s">
        <v>52</v>
      </c>
      <c r="F683" s="23" t="str">
        <f>HYPERLINK("https://www.spark-marketing.ru/Card/Lot/74047131", "Услуги охраны здания учебного корпуса ГБПОУ ""СОМК"" (Красноуфимский филиал)")</f>
        <v>Услуги охраны здания учебного корпуса ГБПОУ "СОМК" (Красноуфимский филиал)</v>
      </c>
      <c r="G683" s="22" t="s">
        <v>72</v>
      </c>
      <c r="H683" s="22" t="s">
        <v>270</v>
      </c>
      <c r="I683" s="26">
        <v>43738.368055555598</v>
      </c>
      <c r="J683" s="23" t="str">
        <f>HYPERLINK("https://www.spark-marketing.ru/Card/Person/100254", "ООО ЧОО ""ВИКТОРИЯ""")</f>
        <v>ООО ЧОО "ВИКТОРИЯ"</v>
      </c>
      <c r="K683" s="24" t="s">
        <v>1406</v>
      </c>
      <c r="L683" s="22" t="s">
        <v>10</v>
      </c>
      <c r="M683" s="25">
        <v>435460.01</v>
      </c>
      <c r="N683" s="27">
        <v>0.24053271537888951</v>
      </c>
    </row>
    <row r="684" spans="1:14" x14ac:dyDescent="0.15">
      <c r="A684" s="23" t="str">
        <f>HYPERLINK("https://www.spark-marketing.ru/Card/Person/112630", "МЕЖРАЙОННАЯ ИФНС РОССИИ № 6 ПО КУРГАНСКОЙ ОБЛАСТИ")</f>
        <v>МЕЖРАЙОННАЯ ИФНС РОССИИ № 6 ПО КУРГАНСКОЙ ОБЛАСТИ</v>
      </c>
      <c r="B684" s="24" t="s">
        <v>1407</v>
      </c>
      <c r="C684" s="25">
        <v>78103.59</v>
      </c>
      <c r="D684" s="22" t="s">
        <v>1408</v>
      </c>
      <c r="E684" s="22" t="s">
        <v>53</v>
      </c>
      <c r="F684" s="23" t="str">
        <f>HYPERLINK("https://www.spark-marketing.ru/Card/Lot/74047345", "Техническое обслуживание инженерно-технических средств охраны, 326 усл. ед")</f>
        <v>Техническое обслуживание инженерно-технических средств охраны, 326 усл. ед</v>
      </c>
      <c r="G684" s="22" t="s">
        <v>626</v>
      </c>
      <c r="H684" s="22" t="s">
        <v>626</v>
      </c>
      <c r="I684" s="26">
        <v>43738.309780092597</v>
      </c>
      <c r="J684" s="28" t="s">
        <v>52</v>
      </c>
      <c r="K684" s="28" t="s">
        <v>52</v>
      </c>
      <c r="L684" s="28" t="s">
        <v>52</v>
      </c>
      <c r="M684" s="28" t="s">
        <v>52</v>
      </c>
      <c r="N684" s="28" t="s">
        <v>52</v>
      </c>
    </row>
    <row r="685" spans="1:14" x14ac:dyDescent="0.15">
      <c r="A685" s="23" t="str">
        <f>HYPERLINK("https://www.spark-marketing.ru/Card/Person/163582", "МИ ФНС РОССИИ ПО ДАЛЬНЕВОСТОЧНОМУ ФЕДЕРАЛЬНОМУ ОКРУГУ")</f>
        <v>МИ ФНС РОССИИ ПО ДАЛЬНЕВОСТОЧНОМУ ФЕДЕРАЛЬНОМУ ОКРУГУ</v>
      </c>
      <c r="B685" s="24" t="s">
        <v>1409</v>
      </c>
      <c r="C685" s="25">
        <v>36807.360000000001</v>
      </c>
      <c r="D685" s="22" t="s">
        <v>1410</v>
      </c>
      <c r="E685" s="22" t="s">
        <v>53</v>
      </c>
      <c r="F685" s="23" t="str">
        <f>HYPERLINK("https://www.spark-marketing.ru/Card/Lot/74041578", "Оказание услуг по экстренному выезду группы задержания (тревожная кнопка)")</f>
        <v>Оказание услуг по экстренному выезду группы задержания (тревожная кнопка)</v>
      </c>
      <c r="G685" s="22" t="s">
        <v>138</v>
      </c>
      <c r="H685" s="22" t="s">
        <v>255</v>
      </c>
      <c r="I685" s="26">
        <v>43738.122685185197</v>
      </c>
      <c r="J685" s="28" t="s">
        <v>52</v>
      </c>
      <c r="K685" s="28" t="s">
        <v>52</v>
      </c>
      <c r="L685" s="28" t="s">
        <v>52</v>
      </c>
      <c r="M685" s="28" t="s">
        <v>52</v>
      </c>
      <c r="N685" s="28" t="s">
        <v>52</v>
      </c>
    </row>
    <row r="686" spans="1:14" x14ac:dyDescent="0.15">
      <c r="A686" s="23" t="str">
        <f>HYPERLINK("https://www.spark-marketing.ru/Card/Person/4852464", "ФГУП ""РФЯЦ - ВНИИЭФ""")</f>
        <v>ФГУП "РФЯЦ - ВНИИЭФ"</v>
      </c>
      <c r="B686" s="24" t="s">
        <v>767</v>
      </c>
      <c r="C686" s="28" t="s">
        <v>52</v>
      </c>
      <c r="D686" s="22" t="s">
        <v>1411</v>
      </c>
      <c r="E686" s="22" t="s">
        <v>53</v>
      </c>
      <c r="F686" s="23" t="str">
        <f>HYPERLINK("https://www.spark-marketing.ru/Card/Lot/74067825", "Оказание услуг охраны объектов посредством выставления постов охраны и КПП (1353207)")</f>
        <v>Оказание услуг охраны объектов посредством выставления постов охраны и КПП (1353207)</v>
      </c>
      <c r="G686" s="22" t="s">
        <v>64</v>
      </c>
      <c r="H686" s="22" t="s">
        <v>769</v>
      </c>
      <c r="I686" s="26">
        <v>43738.6319097222</v>
      </c>
      <c r="J686" s="28" t="s">
        <v>52</v>
      </c>
      <c r="K686" s="28" t="s">
        <v>52</v>
      </c>
      <c r="L686" s="28" t="s">
        <v>52</v>
      </c>
      <c r="M686" s="28" t="s">
        <v>52</v>
      </c>
      <c r="N686" s="28" t="s">
        <v>52</v>
      </c>
    </row>
    <row r="687" spans="1:14" x14ac:dyDescent="0.15">
      <c r="A687" s="23" t="str">
        <f>HYPERLINK("https://www.spark-marketing.ru/Card/Person/4379003", "МАДОУ ДС КВ № 27, ДЕТСКИЙ САД № 27")</f>
        <v>МАДОУ ДС КВ № 27, ДЕТСКИЙ САД № 27</v>
      </c>
      <c r="B687" s="24" t="s">
        <v>1412</v>
      </c>
      <c r="C687" s="25">
        <v>483700.8</v>
      </c>
      <c r="D687" s="22" t="s">
        <v>1413</v>
      </c>
      <c r="E687" s="22" t="s">
        <v>691</v>
      </c>
      <c r="F687" s="23" t="str">
        <f>HYPERLINK("https://www.spark-marketing.ru/Card/Lot/74053137", "Установка (модернизация имеющегося) внутреннего и наружного видеонаблюдения")</f>
        <v>Установка (модернизация имеющегося) внутреннего и наружного видеонаблюдения</v>
      </c>
      <c r="G687" s="22" t="s">
        <v>72</v>
      </c>
      <c r="H687" s="22" t="s">
        <v>72</v>
      </c>
      <c r="I687" s="26">
        <v>43738</v>
      </c>
      <c r="J687" s="28" t="s">
        <v>52</v>
      </c>
      <c r="K687" s="28" t="s">
        <v>52</v>
      </c>
      <c r="L687" s="28" t="s">
        <v>52</v>
      </c>
      <c r="M687" s="28" t="s">
        <v>52</v>
      </c>
      <c r="N687" s="28" t="s">
        <v>52</v>
      </c>
    </row>
    <row r="688" spans="1:14" x14ac:dyDescent="0.15">
      <c r="A688" s="23" t="str">
        <f>HYPERLINK("https://www.spark-marketing.ru/Card/Person/4343563", "РТРС")</f>
        <v>РТРС</v>
      </c>
      <c r="B688" s="24" t="s">
        <v>1414</v>
      </c>
      <c r="C688" s="25">
        <v>8464255.2699999996</v>
      </c>
      <c r="D688" s="22" t="s">
        <v>1415</v>
      </c>
      <c r="E688" s="22" t="s">
        <v>370</v>
      </c>
      <c r="F688" s="23" t="str">
        <f>HYPERLINK("https://www.spark-marketing.ru/Card/Lot/74069267", "Техническое обслуживание комплексов технических средств охраны на объектах Филиала РТРС ""Московский региональный центр""")</f>
        <v>Техническое обслуживание комплексов технических средств охраны на объектах Филиала РТРС "Московский региональный центр"</v>
      </c>
      <c r="G688" s="22" t="s">
        <v>50</v>
      </c>
      <c r="H688" s="22" t="s">
        <v>50</v>
      </c>
      <c r="I688" s="26">
        <v>43738</v>
      </c>
      <c r="J688" s="28" t="s">
        <v>52</v>
      </c>
      <c r="K688" s="28" t="s">
        <v>52</v>
      </c>
      <c r="L688" s="28" t="s">
        <v>52</v>
      </c>
      <c r="M688" s="28" t="s">
        <v>52</v>
      </c>
      <c r="N688" s="28" t="s">
        <v>52</v>
      </c>
    </row>
    <row r="689" spans="1:14" x14ac:dyDescent="0.15">
      <c r="A689" s="23" t="str">
        <f>HYPERLINK("https://www.spark-marketing.ru/Card/Person/4375841", "МАДОУ № 16 ""ТОПОЛЕК""")</f>
        <v>МАДОУ № 16 "ТОПОЛЕК"</v>
      </c>
      <c r="B689" s="24" t="s">
        <v>1416</v>
      </c>
      <c r="C689" s="25">
        <v>477221.1</v>
      </c>
      <c r="D689" s="22" t="s">
        <v>1417</v>
      </c>
      <c r="E689" s="22" t="s">
        <v>49</v>
      </c>
      <c r="F689" s="23" t="str">
        <f>HYPERLINK("https://www.spark-marketing.ru/Card/Lot/74058046", "Выполнение работ по установке системы видеодомофон на входные калитки")</f>
        <v>Выполнение работ по установке системы видеодомофон на входные калитки</v>
      </c>
      <c r="G689" s="22" t="s">
        <v>72</v>
      </c>
      <c r="H689" s="22" t="s">
        <v>72</v>
      </c>
      <c r="I689" s="26">
        <v>43738</v>
      </c>
      <c r="J689" s="28" t="s">
        <v>52</v>
      </c>
      <c r="K689" s="28" t="s">
        <v>52</v>
      </c>
      <c r="L689" s="28" t="s">
        <v>52</v>
      </c>
      <c r="M689" s="28" t="s">
        <v>52</v>
      </c>
      <c r="N689" s="28" t="s">
        <v>52</v>
      </c>
    </row>
    <row r="690" spans="1:14" x14ac:dyDescent="0.15">
      <c r="A690" s="23" t="str">
        <f>HYPERLINK("https://www.spark-marketing.ru/Card/Person/666553", "ФГП ВО ЖДТ РОССИИ")</f>
        <v>ФГП ВО ЖДТ РОССИИ</v>
      </c>
      <c r="B690" s="24" t="s">
        <v>1269</v>
      </c>
      <c r="C690" s="25">
        <v>70050</v>
      </c>
      <c r="D690" s="22" t="s">
        <v>1418</v>
      </c>
      <c r="E690" s="22" t="s">
        <v>1419</v>
      </c>
      <c r="F690" s="23" t="str">
        <f>HYPERLINK("https://www.spark-marketing.ru/Card/Lot/74051956", "Оказание услуг по разработке макета, изготовлению доставке и монтажу 9-ти (девяти) стендов настенных по тематике «Транспортная безопасность» для Учебного центра филиала ФГП ВО ЖДТ России на Забайкальской железной дороге")</f>
        <v>Оказание услуг по разработке макета, изготовлению доставке и монтажу 9-ти (девяти) стендов настенных по тематике «Транспортная безопасность» для Учебного центра филиала ФГП ВО ЖДТ России на Забайкальской железной дороге</v>
      </c>
      <c r="G690" s="22" t="s">
        <v>473</v>
      </c>
      <c r="H690" s="22" t="s">
        <v>473</v>
      </c>
      <c r="I690" s="26">
        <v>43738</v>
      </c>
      <c r="J690" s="28" t="s">
        <v>52</v>
      </c>
      <c r="K690" s="28" t="s">
        <v>52</v>
      </c>
      <c r="L690" s="28" t="s">
        <v>52</v>
      </c>
      <c r="M690" s="28" t="s">
        <v>52</v>
      </c>
      <c r="N690" s="28" t="s">
        <v>52</v>
      </c>
    </row>
    <row r="691" spans="1:14" x14ac:dyDescent="0.15">
      <c r="A691" s="23" t="str">
        <f>HYPERLINK("https://www.spark-marketing.ru/Card/Person/37215", "АО ""УПКБ ""ДЕТАЛЬ""")</f>
        <v>АО "УПКБ "ДЕТАЛЬ"</v>
      </c>
      <c r="B691" s="24" t="s">
        <v>1420</v>
      </c>
      <c r="C691" s="25">
        <v>202207.7</v>
      </c>
      <c r="D691" s="22" t="s">
        <v>1421</v>
      </c>
      <c r="E691" s="22" t="s">
        <v>1422</v>
      </c>
      <c r="F691" s="23" t="str">
        <f>HYPERLINK("https://www.spark-marketing.ru/Card/Lot/74052193", "Реконструкция инженерно-технических средств охраны (ИТСО) на объектах АО «УПКБ «Деталь»")</f>
        <v>Реконструкция инженерно-технических средств охраны (ИТСО) на объектах АО «УПКБ «Деталь»</v>
      </c>
      <c r="G691" s="22" t="s">
        <v>72</v>
      </c>
      <c r="H691" s="22" t="s">
        <v>1423</v>
      </c>
      <c r="I691" s="26">
        <v>43738</v>
      </c>
      <c r="J691" s="28" t="s">
        <v>52</v>
      </c>
      <c r="K691" s="28" t="s">
        <v>52</v>
      </c>
      <c r="L691" s="28" t="s">
        <v>52</v>
      </c>
      <c r="M691" s="28" t="s">
        <v>52</v>
      </c>
      <c r="N691" s="28" t="s">
        <v>52</v>
      </c>
    </row>
    <row r="692" spans="1:14" x14ac:dyDescent="0.15">
      <c r="A692" s="23" t="str">
        <f>HYPERLINK("https://www.spark-marketing.ru/Card/Person/1934069", "УФПС ТЮМЕНСКОЙ ОБЛ ФЛ ФГУП ПОЧТА РОССИИ")</f>
        <v>УФПС ТЮМЕНСКОЙ ОБЛ ФЛ ФГУП ПОЧТА РОССИИ</v>
      </c>
      <c r="B692" s="24" t="s">
        <v>1424</v>
      </c>
      <c r="C692" s="25">
        <v>81000</v>
      </c>
      <c r="D692" s="22" t="s">
        <v>1425</v>
      </c>
      <c r="E692" s="22" t="s">
        <v>53</v>
      </c>
      <c r="F692" s="23" t="str">
        <f>HYPERLINK("https://www.spark-marketing.ru/Card/Lot/73939242", "Выполенние работ по монтажу и пусконаладочным работам комплексов технических средств охраны на объектах УФПС Тюменской области - филиала ФГУП «Почта России».")</f>
        <v>Выполенние работ по монтажу и пусконаладочным работам комплексов технических средств охраны на объектах УФПС Тюменской области - филиала ФГУП «Почта России».</v>
      </c>
      <c r="G692" s="22" t="s">
        <v>893</v>
      </c>
      <c r="H692" s="22" t="s">
        <v>893</v>
      </c>
      <c r="I692" s="26">
        <v>43735.302777777797</v>
      </c>
      <c r="J692" s="28" t="s">
        <v>52</v>
      </c>
      <c r="K692" s="28" t="s">
        <v>52</v>
      </c>
      <c r="L692" s="28" t="s">
        <v>52</v>
      </c>
      <c r="M692" s="28" t="s">
        <v>52</v>
      </c>
      <c r="N692" s="28" t="s">
        <v>52</v>
      </c>
    </row>
    <row r="693" spans="1:14" x14ac:dyDescent="0.15">
      <c r="A693" s="23" t="str">
        <f>HYPERLINK("https://www.spark-marketing.ru/Card/Person/1761832", "ОАО ""РЫНОЧНЫЙ КОМПЛЕКС ""ЦАРИЦЫНСКИЙ""")</f>
        <v>ОАО "РЫНОЧНЫЙ КОМПЛЕКС "ЦАРИЦЫНСКИЙ"</v>
      </c>
      <c r="B693" s="24" t="s">
        <v>613</v>
      </c>
      <c r="C693" s="25">
        <v>293832</v>
      </c>
      <c r="D693" s="22" t="s">
        <v>1426</v>
      </c>
      <c r="E693" s="22" t="s">
        <v>615</v>
      </c>
      <c r="F693" s="23" t="str">
        <f>HYPERLINK("https://www.spark-marketing.ru/Card/Lot/74068435", "оказание услуг по охране объекта")</f>
        <v>оказание услуг по охране объекта</v>
      </c>
      <c r="G693" s="22" t="s">
        <v>55</v>
      </c>
      <c r="H693" s="22" t="s">
        <v>55</v>
      </c>
      <c r="I693" s="26">
        <v>43738</v>
      </c>
      <c r="J693" s="28" t="s">
        <v>52</v>
      </c>
      <c r="K693" s="28" t="s">
        <v>52</v>
      </c>
      <c r="L693" s="28" t="s">
        <v>52</v>
      </c>
      <c r="M693" s="28" t="s">
        <v>52</v>
      </c>
      <c r="N693" s="28" t="s">
        <v>52</v>
      </c>
    </row>
    <row r="694" spans="1:14" x14ac:dyDescent="0.15">
      <c r="A694" s="23" t="str">
        <f>HYPERLINK("https://www.spark-marketing.ru/Card/Person/4348584", "АО ""АТОМ-ОХРАНА""")</f>
        <v>АО "АТОМ-ОХРАНА"</v>
      </c>
      <c r="B694" s="24" t="s">
        <v>1036</v>
      </c>
      <c r="C694" s="28" t="s">
        <v>52</v>
      </c>
      <c r="D694" s="22" t="s">
        <v>1427</v>
      </c>
      <c r="E694" s="22" t="s">
        <v>53</v>
      </c>
      <c r="F694" s="23" t="str">
        <f>HYPERLINK("https://www.spark-marketing.ru/Card/Lot/74059991", "Оказание услуг по сервисному обслуживанию (комплексная автомойка) служебных автомобилей отдельного отряда № 210 МУВО № 2 АО ""Атом-охрана"". (1352891)")</f>
        <v>Оказание услуг по сервисному обслуживанию (комплексная автомойка) служебных автомобилей отдельного отряда № 210 МУВО № 2 АО "Атом-охрана". (1352891)</v>
      </c>
      <c r="G694" s="22" t="s">
        <v>55</v>
      </c>
      <c r="H694" s="22" t="s">
        <v>55</v>
      </c>
      <c r="I694" s="26">
        <v>43738.502488425896</v>
      </c>
      <c r="J694" s="28" t="s">
        <v>52</v>
      </c>
      <c r="K694" s="28" t="s">
        <v>52</v>
      </c>
      <c r="L694" s="28" t="s">
        <v>52</v>
      </c>
      <c r="M694" s="28" t="s">
        <v>52</v>
      </c>
      <c r="N694" s="28" t="s">
        <v>52</v>
      </c>
    </row>
    <row r="695" spans="1:14" x14ac:dyDescent="0.15">
      <c r="A695" s="23" t="str">
        <f>HYPERLINK("https://www.spark-marketing.ru/Card/Person/4343928", "ФГБОУ ВО КУБАНСКИЙ ГАУ")</f>
        <v>ФГБОУ ВО КУБАНСКИЙ ГАУ</v>
      </c>
      <c r="B695" s="24" t="s">
        <v>1428</v>
      </c>
      <c r="C695" s="25">
        <v>744755</v>
      </c>
      <c r="D695" s="22" t="s">
        <v>1429</v>
      </c>
      <c r="E695" s="22" t="s">
        <v>144</v>
      </c>
      <c r="F695" s="23" t="str">
        <f>HYPERLINK("https://www.spark-marketing.ru/Card/Lot/74224516", "Услуги охранные учебных корпусов")</f>
        <v>Услуги охранные учебных корпусов</v>
      </c>
      <c r="G695" s="22" t="s">
        <v>132</v>
      </c>
      <c r="H695" s="22" t="s">
        <v>132</v>
      </c>
      <c r="I695" s="26">
        <v>43746.6719675926</v>
      </c>
      <c r="J695" s="28" t="s">
        <v>52</v>
      </c>
      <c r="K695" s="28" t="s">
        <v>52</v>
      </c>
      <c r="L695" s="28" t="s">
        <v>52</v>
      </c>
      <c r="M695" s="28" t="s">
        <v>52</v>
      </c>
      <c r="N695" s="28" t="s">
        <v>52</v>
      </c>
    </row>
    <row r="696" spans="1:14" x14ac:dyDescent="0.15">
      <c r="A696" s="23" t="str">
        <f>HYPERLINK("https://www.spark-marketing.ru/Card/Person/4347174", "ГУП ""ВОДОКАНАЛ САНКТ-ПЕТЕРБУРГА""")</f>
        <v>ГУП "ВОДОКАНАЛ САНКТ-ПЕТЕРБУРГА"</v>
      </c>
      <c r="B696" s="24" t="s">
        <v>1430</v>
      </c>
      <c r="C696" s="25">
        <v>4069752</v>
      </c>
      <c r="D696" s="22" t="s">
        <v>1431</v>
      </c>
      <c r="E696" s="22" t="s">
        <v>137</v>
      </c>
      <c r="F696" s="23" t="str">
        <f>HYPERLINK("https://www.spark-marketing.ru/Card/Lot/74065736", "Оказание услуг по периодическому техническому обслуживанию установок измерения объема сыпучих материалов, оборудования систем учёта и видеонаблюдения")</f>
        <v>Оказание услуг по периодическому техническому обслуживанию установок измерения объема сыпучих материалов, оборудования систем учёта и видеонаблюдения</v>
      </c>
      <c r="G696" s="22" t="s">
        <v>89</v>
      </c>
      <c r="H696" s="22" t="s">
        <v>89</v>
      </c>
      <c r="I696" s="26">
        <v>43738</v>
      </c>
      <c r="J696" s="28" t="s">
        <v>52</v>
      </c>
      <c r="K696" s="28" t="s">
        <v>52</v>
      </c>
      <c r="L696" s="28" t="s">
        <v>52</v>
      </c>
      <c r="M696" s="28" t="s">
        <v>52</v>
      </c>
      <c r="N696" s="28" t="s">
        <v>52</v>
      </c>
    </row>
    <row r="697" spans="1:14" x14ac:dyDescent="0.2">
      <c r="A697" s="23" t="str">
        <f>HYPERLINK("https://www.spark-marketing.ru/Card/Person/1758163", "ГАПОУ ""ЧЕБОКСАРСКИЙ ТЕХНИКУМ ТРАНССТРОЙТЕХ"" МИНОБРАЗОВАНИЯ ЧУВАШИИ")</f>
        <v>ГАПОУ "ЧЕБОКСАРСКИЙ ТЕХНИКУМ ТРАНССТРОЙТЕХ" МИНОБРАЗОВАНИЯ ЧУВАШИИ</v>
      </c>
      <c r="B697" s="24" t="s">
        <v>1432</v>
      </c>
      <c r="C697" s="25">
        <v>379440</v>
      </c>
      <c r="D697" s="22" t="s">
        <v>1433</v>
      </c>
      <c r="E697" s="22" t="s">
        <v>144</v>
      </c>
      <c r="F697" s="23" t="str">
        <f>HYPERLINK("https://www.spark-marketing.ru/Card/Lot/74049346", "Услуги по охране объекта")</f>
        <v>Услуги по охране объекта</v>
      </c>
      <c r="G697" s="22" t="s">
        <v>1137</v>
      </c>
      <c r="H697" s="22" t="s">
        <v>1137</v>
      </c>
      <c r="I697" s="26">
        <v>43738</v>
      </c>
      <c r="J697" s="23" t="str">
        <f>HYPERLINK("https://www.spark-marketing.ru/Card/Person/63539", "ООО ""ЧОО ""ЦЕРБЕР""")</f>
        <v>ООО "ЧОО "ЦЕРБЕР"</v>
      </c>
      <c r="K697" s="24" t="s">
        <v>1434</v>
      </c>
      <c r="L697" s="28" t="s">
        <v>52</v>
      </c>
      <c r="M697" s="25">
        <v>379440</v>
      </c>
      <c r="N697" s="27">
        <v>0</v>
      </c>
    </row>
    <row r="698" spans="1:14" x14ac:dyDescent="0.15">
      <c r="A698" s="23" t="str">
        <f>HYPERLINK("https://www.spark-marketing.ru/Card/Person/123407", "ГБУК Г. МОСКВЫ ""МОСКОНЦЕРТ""")</f>
        <v>ГБУК Г. МОСКВЫ "МОСКОНЦЕРТ"</v>
      </c>
      <c r="B698" s="24" t="s">
        <v>1435</v>
      </c>
      <c r="C698" s="25">
        <v>180000</v>
      </c>
      <c r="D698" s="22" t="s">
        <v>1436</v>
      </c>
      <c r="E698" s="22" t="s">
        <v>1437</v>
      </c>
      <c r="F698" s="23" t="str">
        <f>HYPERLINK("https://www.spark-marketing.ru/Card/Lot/74068655", "Оказание услуг по техническому обеспечению проведения мероприятия и установке звуковой световой и видео проекционной аппаратуры, для проведения концертной программы «С ДНЁМ УЧИТЕЛЯ!» (46.1.28)")</f>
        <v>Оказание услуг по техническому обеспечению проведения мероприятия и установке звуковой световой и видео проекционной аппаратуры, для проведения концертной программы «С ДНЁМ УЧИТЕЛЯ!» (46.1.28)</v>
      </c>
      <c r="G698" s="22" t="s">
        <v>55</v>
      </c>
      <c r="H698" s="22" t="s">
        <v>55</v>
      </c>
      <c r="I698" s="26">
        <v>43738</v>
      </c>
      <c r="J698" s="28" t="s">
        <v>52</v>
      </c>
      <c r="K698" s="28" t="s">
        <v>52</v>
      </c>
      <c r="L698" s="28" t="s">
        <v>52</v>
      </c>
      <c r="M698" s="28" t="s">
        <v>52</v>
      </c>
      <c r="N698" s="28" t="s">
        <v>52</v>
      </c>
    </row>
    <row r="699" spans="1:14" x14ac:dyDescent="0.15">
      <c r="A699" s="23" t="str">
        <f>HYPERLINK("https://www.spark-marketing.ru/Card/Person/4343928", "ФГБОУ ВО КУБАНСКИЙ ГАУ")</f>
        <v>ФГБОУ ВО КУБАНСКИЙ ГАУ</v>
      </c>
      <c r="B699" s="24" t="s">
        <v>1428</v>
      </c>
      <c r="C699" s="25">
        <v>484484</v>
      </c>
      <c r="D699" s="22" t="s">
        <v>1438</v>
      </c>
      <c r="E699" s="22" t="s">
        <v>144</v>
      </c>
      <c r="F699" s="23" t="str">
        <f>HYPERLINK("https://www.spark-marketing.ru/Card/Lot/74224563", "Услуги охранные студенческого городка")</f>
        <v>Услуги охранные студенческого городка</v>
      </c>
      <c r="G699" s="22" t="s">
        <v>132</v>
      </c>
      <c r="H699" s="22" t="s">
        <v>132</v>
      </c>
      <c r="I699" s="26">
        <v>43746.677037037</v>
      </c>
      <c r="J699" s="28" t="s">
        <v>52</v>
      </c>
      <c r="K699" s="28" t="s">
        <v>52</v>
      </c>
      <c r="L699" s="28" t="s">
        <v>52</v>
      </c>
      <c r="M699" s="28" t="s">
        <v>52</v>
      </c>
      <c r="N699" s="28" t="s">
        <v>52</v>
      </c>
    </row>
    <row r="700" spans="1:14" x14ac:dyDescent="0.15">
      <c r="A700" s="23" t="str">
        <f>HYPERLINK("https://www.spark-marketing.ru/Card/Person/811720", "ФАУ ДПО ИПКЛХ")</f>
        <v>ФАУ ДПО ИПКЛХ</v>
      </c>
      <c r="B700" s="24" t="s">
        <v>1439</v>
      </c>
      <c r="C700" s="25">
        <v>680990</v>
      </c>
      <c r="D700" s="22" t="s">
        <v>1440</v>
      </c>
      <c r="E700" s="22" t="s">
        <v>1441</v>
      </c>
      <c r="F700" s="23" t="str">
        <f>HYPERLINK("https://www.spark-marketing.ru/Card/Lot/74047863", "Поставка видеостены 2x2 110' 4K")</f>
        <v>Поставка видеостены 2x2 110' 4K</v>
      </c>
      <c r="G700" s="22" t="s">
        <v>640</v>
      </c>
      <c r="H700" s="22" t="s">
        <v>640</v>
      </c>
      <c r="I700" s="26">
        <v>43738</v>
      </c>
      <c r="J700" s="28" t="s">
        <v>52</v>
      </c>
      <c r="K700" s="28" t="s">
        <v>52</v>
      </c>
      <c r="L700" s="28" t="s">
        <v>52</v>
      </c>
      <c r="M700" s="28" t="s">
        <v>52</v>
      </c>
      <c r="N700" s="28" t="s">
        <v>52</v>
      </c>
    </row>
    <row r="701" spans="1:14" x14ac:dyDescent="0.15">
      <c r="A701" s="23" t="str">
        <f>HYPERLINK("https://www.spark-marketing.ru/Card/Person/125602", "ОТДЕЛ ГФС РОССИИ В Г. БАРНАУЛЕ")</f>
        <v>ОТДЕЛ ГФС РОССИИ В Г. БАРНАУЛЕ</v>
      </c>
      <c r="B701" s="24" t="s">
        <v>1442</v>
      </c>
      <c r="C701" s="25">
        <v>24000</v>
      </c>
      <c r="D701" s="22" t="s">
        <v>1443</v>
      </c>
      <c r="E701" s="22" t="s">
        <v>53</v>
      </c>
      <c r="F701" s="23" t="str">
        <f>HYPERLINK("https://www.spark-marketing.ru/Card/Lot/74018075", "услуги по обеспечению пропускного и внутриобъектового режима для персонала и транспортных средств в контролируемую зону аэропорта")</f>
        <v>услуги по обеспечению пропускного и внутриобъектового режима для персонала и транспортных средств в контролируемую зону аэропорта</v>
      </c>
      <c r="G701" s="22" t="s">
        <v>428</v>
      </c>
      <c r="H701" s="22" t="s">
        <v>429</v>
      </c>
      <c r="I701" s="26">
        <v>43736.643333333297</v>
      </c>
      <c r="J701" s="28" t="s">
        <v>52</v>
      </c>
      <c r="K701" s="28" t="s">
        <v>52</v>
      </c>
      <c r="L701" s="28" t="s">
        <v>52</v>
      </c>
      <c r="M701" s="28" t="s">
        <v>52</v>
      </c>
      <c r="N701" s="28" t="s">
        <v>52</v>
      </c>
    </row>
    <row r="702" spans="1:14" x14ac:dyDescent="0.2">
      <c r="A702" s="23" t="str">
        <f>HYPERLINK("https://www.spark-marketing.ru/Card/Person/1746970", "ТМУП ""ТТС""")</f>
        <v>ТМУП "ТТС"</v>
      </c>
      <c r="B702" s="24" t="s">
        <v>1444</v>
      </c>
      <c r="C702" s="25">
        <v>24619.200000000001</v>
      </c>
      <c r="D702" s="22" t="s">
        <v>1445</v>
      </c>
      <c r="E702" s="22" t="s">
        <v>1446</v>
      </c>
      <c r="F702" s="23" t="str">
        <f>HYPERLINK("https://www.spark-marketing.ru/Card/Lot/73958367", "Выполнение работ по установке систем охранной сигнализации на котельных №9 (г. Тюмень, ул. Казаровская, 35, строение 1) и № 10 (г. Тюмень, Февральский проезд, 2)")</f>
        <v>Выполнение работ по установке систем охранной сигнализации на котельных №9 (г. Тюмень, ул. Казаровская, 35, строение 1) и № 10 (г. Тюмень, Февральский проезд, 2)</v>
      </c>
      <c r="G702" s="22" t="s">
        <v>893</v>
      </c>
      <c r="H702" s="22" t="s">
        <v>894</v>
      </c>
      <c r="I702" s="26">
        <v>43735</v>
      </c>
      <c r="J702" s="28" t="s">
        <v>52</v>
      </c>
      <c r="K702" s="28" t="s">
        <v>52</v>
      </c>
      <c r="L702" s="28" t="s">
        <v>52</v>
      </c>
      <c r="M702" s="25">
        <v>24000</v>
      </c>
      <c r="N702" s="27">
        <v>2.5151101579255215E-2</v>
      </c>
    </row>
    <row r="703" spans="1:14" x14ac:dyDescent="0.15">
      <c r="A703" s="23" t="str">
        <f>HYPERLINK("https://www.spark-marketing.ru/Card/Person/59376", "ФГБУ ""ЦЕНТР РАЗВИТИЯ ВХК""")</f>
        <v>ФГБУ "ЦЕНТР РАЗВИТИЯ ВХК"</v>
      </c>
      <c r="B703" s="24" t="s">
        <v>1447</v>
      </c>
      <c r="C703" s="25">
        <v>14000000</v>
      </c>
      <c r="D703" s="22" t="s">
        <v>1448</v>
      </c>
      <c r="E703" s="22" t="s">
        <v>315</v>
      </c>
      <c r="F703" s="23" t="str">
        <f>HYPERLINK("https://www.spark-marketing.ru/Card/Lot/73972929", "Услуги по организации съемки, производству и показу просветительских видеоматериалов формата 360-градусов по вопросам использования и охраны водных объектов")</f>
        <v>Услуги по организации съемки, производству и показу просветительских видеоматериалов формата 360-градусов по вопросам использования и охраны водных объектов</v>
      </c>
      <c r="G703" s="22" t="s">
        <v>55</v>
      </c>
      <c r="H703" s="22" t="s">
        <v>55</v>
      </c>
      <c r="I703" s="26">
        <v>43735.744270833296</v>
      </c>
      <c r="J703" s="28" t="s">
        <v>52</v>
      </c>
      <c r="K703" s="28" t="s">
        <v>52</v>
      </c>
      <c r="L703" s="28" t="s">
        <v>52</v>
      </c>
      <c r="M703" s="28" t="s">
        <v>52</v>
      </c>
      <c r="N703" s="28" t="s">
        <v>52</v>
      </c>
    </row>
    <row r="704" spans="1:14" x14ac:dyDescent="0.15">
      <c r="A704" s="23" t="str">
        <f>HYPERLINK("https://www.spark-marketing.ru/Card/Person/4345935", "ДЕПАРТАМЕНТ СМОЛЕНСКОЙ ОБЛАСТИ ПО ЗДРАВООХРАНЕНИЮ")</f>
        <v>ДЕПАРТАМЕНТ СМОЛЕНСКОЙ ОБЛАСТИ ПО ЗДРАВООХРАНЕНИЮ</v>
      </c>
      <c r="B704" s="24" t="s">
        <v>1449</v>
      </c>
      <c r="C704" s="25">
        <v>151273.5</v>
      </c>
      <c r="D704" s="22" t="s">
        <v>1450</v>
      </c>
      <c r="E704" s="22" t="s">
        <v>53</v>
      </c>
      <c r="F704" s="23" t="str">
        <f>HYPERLINK("https://www.spark-marketing.ru/Card/Lot/73968911", "№4418 - аэф/т Поставка лекарственных препаратов (Леналидомид)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f>
        <v>№4418 - аэф/т Поставка лекарственных препаратов (Леналидомид)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v>
      </c>
      <c r="G704" s="22" t="s">
        <v>956</v>
      </c>
      <c r="H704" s="22" t="s">
        <v>1451</v>
      </c>
      <c r="I704" s="26">
        <v>43735.720798611103</v>
      </c>
      <c r="J704" s="28" t="s">
        <v>52</v>
      </c>
      <c r="K704" s="28" t="s">
        <v>52</v>
      </c>
      <c r="L704" s="28" t="s">
        <v>52</v>
      </c>
      <c r="M704" s="28" t="s">
        <v>52</v>
      </c>
      <c r="N704" s="28" t="s">
        <v>52</v>
      </c>
    </row>
    <row r="705" spans="1:14" x14ac:dyDescent="0.15">
      <c r="A705" s="23" t="str">
        <f>HYPERLINK("https://www.spark-marketing.ru/Card/Person/4345935", "ДЕПАРТАМЕНТ СМОЛЕНСКОЙ ОБЛАСТИ ПО ЗДРАВООХРАНЕНИЮ")</f>
        <v>ДЕПАРТАМЕНТ СМОЛЕНСКОЙ ОБЛАСТИ ПО ЗДРАВООХРАНЕНИЮ</v>
      </c>
      <c r="B705" s="24" t="s">
        <v>1449</v>
      </c>
      <c r="C705" s="25">
        <v>70440</v>
      </c>
      <c r="D705" s="22" t="s">
        <v>1452</v>
      </c>
      <c r="E705" s="22" t="s">
        <v>53</v>
      </c>
      <c r="F705" s="23" t="str">
        <f>HYPERLINK("https://www.spark-marketing.ru/Card/Lot/73962611", "№4476 - аэф/т Поставка лекарственных препаратов (Месалазин)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рецепт...")</f>
        <v>№4476 - аэф/т Поставка лекарственных препаратов (Месалазин)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рецепт...</v>
      </c>
      <c r="G705" s="22" t="s">
        <v>956</v>
      </c>
      <c r="H705" s="22" t="s">
        <v>1451</v>
      </c>
      <c r="I705" s="26">
        <v>43735.736111111102</v>
      </c>
      <c r="J705" s="28" t="s">
        <v>52</v>
      </c>
      <c r="K705" s="28" t="s">
        <v>52</v>
      </c>
      <c r="L705" s="28" t="s">
        <v>52</v>
      </c>
      <c r="M705" s="28" t="s">
        <v>52</v>
      </c>
      <c r="N705" s="28" t="s">
        <v>52</v>
      </c>
    </row>
    <row r="706" spans="1:14" x14ac:dyDescent="0.15">
      <c r="A706" s="23" t="str">
        <f>HYPERLINK("https://www.spark-marketing.ru/Card/Person/4345935", "ДЕПАРТАМЕНТ СМОЛЕНСКОЙ ОБЛАСТИ ПО ЗДРАВООХРАНЕНИЮ")</f>
        <v>ДЕПАРТАМЕНТ СМОЛЕНСКОЙ ОБЛАСТИ ПО ЗДРАВООХРАНЕНИЮ</v>
      </c>
      <c r="B706" s="24" t="s">
        <v>1449</v>
      </c>
      <c r="C706" s="25">
        <v>453820.5</v>
      </c>
      <c r="D706" s="22" t="s">
        <v>1453</v>
      </c>
      <c r="E706" s="22" t="s">
        <v>53</v>
      </c>
      <c r="F706" s="23" t="str">
        <f>HYPERLINK("https://www.spark-marketing.ru/Card/Lot/73968910", "№4475 - аэф/т Поставка лекарственных препаратов (Леналидомид)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f>
        <v>№4475 - аэф/т Поставка лекарственных препаратов (Леналидомид)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v>
      </c>
      <c r="G706" s="22" t="s">
        <v>956</v>
      </c>
      <c r="H706" s="22" t="s">
        <v>1451</v>
      </c>
      <c r="I706" s="26">
        <v>43735.720706018503</v>
      </c>
      <c r="J706" s="28" t="s">
        <v>52</v>
      </c>
      <c r="K706" s="28" t="s">
        <v>52</v>
      </c>
      <c r="L706" s="28" t="s">
        <v>52</v>
      </c>
      <c r="M706" s="28" t="s">
        <v>52</v>
      </c>
      <c r="N706" s="28" t="s">
        <v>52</v>
      </c>
    </row>
    <row r="707" spans="1:14" x14ac:dyDescent="0.15">
      <c r="A707" s="23" t="str">
        <f>HYPERLINK("https://www.spark-marketing.ru/Card/Person/4355948", "ВЕРХОВНЫЙ СУД РИ")</f>
        <v>ВЕРХОВНЫЙ СУД РИ</v>
      </c>
      <c r="B707" s="24" t="s">
        <v>1454</v>
      </c>
      <c r="C707" s="25">
        <v>3826000</v>
      </c>
      <c r="D707" s="22" t="s">
        <v>1455</v>
      </c>
      <c r="E707" s="22" t="s">
        <v>59</v>
      </c>
      <c r="F707" s="23" t="str">
        <f>HYPERLINK("https://www.spark-marketing.ru/Card/Lot/73965032", "Выполнение работ по модернизации системы видеонаблюдения")</f>
        <v>Выполнение работ по модернизации системы видеонаблюдения</v>
      </c>
      <c r="G707" s="22" t="s">
        <v>648</v>
      </c>
      <c r="H707" s="22" t="s">
        <v>1456</v>
      </c>
      <c r="I707" s="26">
        <v>43735.626759259299</v>
      </c>
      <c r="J707" s="28" t="s">
        <v>52</v>
      </c>
      <c r="K707" s="28" t="s">
        <v>52</v>
      </c>
      <c r="L707" s="28" t="s">
        <v>52</v>
      </c>
      <c r="M707" s="28" t="s">
        <v>52</v>
      </c>
      <c r="N707" s="28" t="s">
        <v>52</v>
      </c>
    </row>
    <row r="708" spans="1:14" hidden="1" outlineLevel="1" x14ac:dyDescent="0.2">
      <c r="A708" s="23" t="str">
        <f>HYPERLINK("https://www.spark-marketing.ru/Card/Person/4355948", "ВЕРХОВНЫЙ СУД РИ")</f>
        <v>ВЕРХОВНЫЙ СУД РИ</v>
      </c>
      <c r="B708" s="24" t="s">
        <v>1454</v>
      </c>
      <c r="C708" s="25">
        <v>3826000</v>
      </c>
      <c r="D708" s="22" t="s">
        <v>1455</v>
      </c>
      <c r="E708" s="22" t="s">
        <v>59</v>
      </c>
      <c r="F708" s="23" t="str">
        <f>HYPERLINK("https://www.spark-marketing.ru/Card/Lot/73965032", "Выполнение работ по модернизации системы видеонаблюдения")</f>
        <v>Выполнение работ по модернизации системы видеонаблюдения</v>
      </c>
      <c r="G708" s="22" t="s">
        <v>648</v>
      </c>
      <c r="H708" s="22" t="s">
        <v>1456</v>
      </c>
      <c r="I708" s="26">
        <v>43735.626759259299</v>
      </c>
      <c r="J708" s="23" t="str">
        <f>HYPERLINK("https://www.spark-marketing.ru/Card/Person/198339", "ООО ""ПАТРИОТ""")</f>
        <v>ООО "ПАТРИОТ"</v>
      </c>
      <c r="K708" s="24" t="s">
        <v>1457</v>
      </c>
      <c r="L708" s="28" t="s">
        <v>52</v>
      </c>
      <c r="M708" s="25">
        <v>3255000</v>
      </c>
      <c r="N708" s="27">
        <v>0.14924202822791427</v>
      </c>
    </row>
    <row r="709" spans="1:14" hidden="1" outlineLevel="1" x14ac:dyDescent="0.2">
      <c r="A709" s="23" t="str">
        <f>HYPERLINK("https://www.spark-marketing.ru/Card/Person/4355948", "ВЕРХОВНЫЙ СУД РИ")</f>
        <v>ВЕРХОВНЫЙ СУД РИ</v>
      </c>
      <c r="B709" s="24" t="s">
        <v>1454</v>
      </c>
      <c r="C709" s="25">
        <v>3826000</v>
      </c>
      <c r="D709" s="22" t="s">
        <v>1455</v>
      </c>
      <c r="E709" s="22" t="s">
        <v>59</v>
      </c>
      <c r="F709" s="23" t="str">
        <f>HYPERLINK("https://www.spark-marketing.ru/Card/Lot/73965032", "Выполнение работ по модернизации системы видеонаблюдения")</f>
        <v>Выполнение работ по модернизации системы видеонаблюдения</v>
      </c>
      <c r="G709" s="22" t="s">
        <v>648</v>
      </c>
      <c r="H709" s="22" t="s">
        <v>1456</v>
      </c>
      <c r="I709" s="26">
        <v>43735.626759259299</v>
      </c>
      <c r="J709" s="23" t="str">
        <f>HYPERLINK("https://www.spark-marketing.ru/Card/Person/4762621", "Стоян Мария Николаевна")</f>
        <v>Стоян Мария Николаевна</v>
      </c>
      <c r="K709" s="24" t="s">
        <v>1458</v>
      </c>
      <c r="L709" s="28" t="s">
        <v>52</v>
      </c>
      <c r="M709" s="25">
        <v>3235870</v>
      </c>
      <c r="N709" s="27">
        <v>0.15424202822791427</v>
      </c>
    </row>
    <row r="710" spans="1:14" ht="12.75" hidden="1" outlineLevel="1" x14ac:dyDescent="0.2">
      <c r="A710" s="23" t="str">
        <f>HYPERLINK("https://www.spark-marketing.ru/Card/Person/4355948", "ВЕРХОВНЫЙ СУД РИ")</f>
        <v>ВЕРХОВНЫЙ СУД РИ</v>
      </c>
      <c r="B710" s="24" t="s">
        <v>1454</v>
      </c>
      <c r="C710" s="25">
        <v>3826000</v>
      </c>
      <c r="D710" s="22" t="s">
        <v>1455</v>
      </c>
      <c r="E710" s="22" t="s">
        <v>59</v>
      </c>
      <c r="F710" s="23" t="str">
        <f>HYPERLINK("https://www.spark-marketing.ru/Card/Lot/73965032", "Выполнение работ по модернизации системы видеонаблюдения")</f>
        <v>Выполнение работ по модернизации системы видеонаблюдения</v>
      </c>
      <c r="G710" s="22" t="s">
        <v>648</v>
      </c>
      <c r="H710" s="22" t="s">
        <v>1456</v>
      </c>
      <c r="I710" s="26">
        <v>43735.626759259299</v>
      </c>
      <c r="J710" s="23" t="str">
        <f>HYPERLINK("https://www.spark-marketing.ru/Card/Person/6462959", "ООО ""САТУРН""")</f>
        <v>ООО "САТУРН"</v>
      </c>
      <c r="K710" s="24" t="s">
        <v>1459</v>
      </c>
      <c r="L710" s="22" t="s">
        <v>10</v>
      </c>
      <c r="M710" s="25">
        <v>3806870</v>
      </c>
      <c r="N710" s="27">
        <v>5.0000000000000001E-3</v>
      </c>
    </row>
    <row r="711" spans="1:14" x14ac:dyDescent="0.15">
      <c r="A711" s="23" t="str">
        <f>HYPERLINK("https://www.spark-marketing.ru/Card/Person/4681199", "СПБ ЛО МВД РОССИИ НА ВОДНОМ ТРАНСПОРТЕ")</f>
        <v>СПБ ЛО МВД РОССИИ НА ВОДНОМ ТРАНСПОРТЕ</v>
      </c>
      <c r="B711" s="24" t="s">
        <v>1460</v>
      </c>
      <c r="C711" s="25">
        <v>28264.560000000001</v>
      </c>
      <c r="D711" s="22" t="s">
        <v>1461</v>
      </c>
      <c r="E711" s="22" t="s">
        <v>53</v>
      </c>
      <c r="F711" s="23" t="str">
        <f>HYPERLINK("https://www.spark-marketing.ru/Card/Lot/73954168", "услуги по техническому обслуживанию комплекса технических средств охраны")</f>
        <v>услуги по техническому обслуживанию комплекса технических средств охраны</v>
      </c>
      <c r="G711" s="22" t="s">
        <v>89</v>
      </c>
      <c r="H711" s="22" t="s">
        <v>89</v>
      </c>
      <c r="I711" s="26">
        <v>43735.654062499998</v>
      </c>
      <c r="J711" s="28" t="s">
        <v>52</v>
      </c>
      <c r="K711" s="28" t="s">
        <v>52</v>
      </c>
      <c r="L711" s="28" t="s">
        <v>52</v>
      </c>
      <c r="M711" s="28" t="s">
        <v>52</v>
      </c>
      <c r="N711" s="28" t="s">
        <v>52</v>
      </c>
    </row>
    <row r="712" spans="1:14" x14ac:dyDescent="0.15">
      <c r="A712" s="23" t="str">
        <f>HYPERLINK("https://www.spark-marketing.ru/Card/Person/4681199", "СПБ ЛО МВД РОССИИ НА ВОДНОМ ТРАНСПОРТЕ")</f>
        <v>СПБ ЛО МВД РОССИИ НА ВОДНОМ ТРАНСПОРТЕ</v>
      </c>
      <c r="B712" s="24" t="s">
        <v>1460</v>
      </c>
      <c r="C712" s="25">
        <v>28264.560000000001</v>
      </c>
      <c r="D712" s="22" t="s">
        <v>1462</v>
      </c>
      <c r="E712" s="22" t="s">
        <v>53</v>
      </c>
      <c r="F712" s="23" t="str">
        <f>HYPERLINK("https://www.spark-marketing.ru/Card/Lot/73954184", "услуги по техническому обслуживанию комплекса технических средств охраны")</f>
        <v>услуги по техническому обслуживанию комплекса технических средств охраны</v>
      </c>
      <c r="G712" s="22" t="s">
        <v>89</v>
      </c>
      <c r="H712" s="22" t="s">
        <v>89</v>
      </c>
      <c r="I712" s="26">
        <v>43735.659189814804</v>
      </c>
      <c r="J712" s="28" t="s">
        <v>52</v>
      </c>
      <c r="K712" s="28" t="s">
        <v>52</v>
      </c>
      <c r="L712" s="28" t="s">
        <v>52</v>
      </c>
      <c r="M712" s="28" t="s">
        <v>52</v>
      </c>
      <c r="N712" s="28" t="s">
        <v>52</v>
      </c>
    </row>
    <row r="713" spans="1:14" x14ac:dyDescent="0.15">
      <c r="A713" s="23" t="str">
        <f>HYPERLINK("https://www.spark-marketing.ru/Card/Person/131474", "МКУ ""УМТО""")</f>
        <v>МКУ "УМТО"</v>
      </c>
      <c r="B713" s="24" t="s">
        <v>1463</v>
      </c>
      <c r="C713" s="25">
        <v>53445.33</v>
      </c>
      <c r="D713" s="22" t="s">
        <v>1464</v>
      </c>
      <c r="E713" s="22" t="s">
        <v>1465</v>
      </c>
      <c r="F713" s="23" t="str">
        <f>HYPERLINK("https://www.spark-marketing.ru/Card/Lot/73961363", "На поставку и установку системы видеонаблюдения в здании администрации Нижневартовского района")</f>
        <v>На поставку и установку системы видеонаблюдения в здании администрации Нижневартовского района</v>
      </c>
      <c r="G713" s="22" t="s">
        <v>119</v>
      </c>
      <c r="H713" s="22" t="s">
        <v>119</v>
      </c>
      <c r="I713" s="26">
        <v>43735.636805555601</v>
      </c>
      <c r="J713" s="28" t="s">
        <v>52</v>
      </c>
      <c r="K713" s="28" t="s">
        <v>52</v>
      </c>
      <c r="L713" s="28" t="s">
        <v>52</v>
      </c>
      <c r="M713" s="28" t="s">
        <v>52</v>
      </c>
      <c r="N713" s="28" t="s">
        <v>52</v>
      </c>
    </row>
    <row r="714" spans="1:14" hidden="1" outlineLevel="1" x14ac:dyDescent="0.2">
      <c r="A714" s="23" t="str">
        <f>HYPERLINK("https://www.spark-marketing.ru/Card/Person/131474", "МКУ ""УМТО""")</f>
        <v>МКУ "УМТО"</v>
      </c>
      <c r="B714" s="24" t="s">
        <v>1463</v>
      </c>
      <c r="C714" s="25">
        <v>53445.33</v>
      </c>
      <c r="D714" s="22" t="s">
        <v>1464</v>
      </c>
      <c r="E714" s="22" t="s">
        <v>1465</v>
      </c>
      <c r="F714" s="23" t="str">
        <f>HYPERLINK("https://www.spark-marketing.ru/Card/Lot/73961363", "На поставку и установку системы видеонаблюдения в здании администрации Нижневартовского района")</f>
        <v>На поставку и установку системы видеонаблюдения в здании администрации Нижневартовского района</v>
      </c>
      <c r="G714" s="22" t="s">
        <v>119</v>
      </c>
      <c r="H714" s="22" t="s">
        <v>119</v>
      </c>
      <c r="I714" s="26">
        <v>43735.636805555601</v>
      </c>
      <c r="J714" s="23" t="str">
        <f>HYPERLINK("https://www.spark-marketing.ru/Card/Person/932066", "ООО ""ЭКСПРЕСС ТЕЛЕКОМ""")</f>
        <v>ООО "ЭКСПРЕСС ТЕЛЕКОМ"</v>
      </c>
      <c r="K714" s="24" t="s">
        <v>1466</v>
      </c>
      <c r="L714" s="28" t="s">
        <v>52</v>
      </c>
      <c r="M714" s="25">
        <v>36609.879999999997</v>
      </c>
      <c r="N714" s="27">
        <v>0.31500320046671992</v>
      </c>
    </row>
    <row r="715" spans="1:14" ht="12.75" hidden="1" outlineLevel="1" x14ac:dyDescent="0.2">
      <c r="A715" s="23" t="str">
        <f>HYPERLINK("https://www.spark-marketing.ru/Card/Person/131474", "МКУ ""УМТО""")</f>
        <v>МКУ "УМТО"</v>
      </c>
      <c r="B715" s="24" t="s">
        <v>1463</v>
      </c>
      <c r="C715" s="25">
        <v>53445.33</v>
      </c>
      <c r="D715" s="22" t="s">
        <v>1464</v>
      </c>
      <c r="E715" s="22" t="s">
        <v>1465</v>
      </c>
      <c r="F715" s="23" t="str">
        <f>HYPERLINK("https://www.spark-marketing.ru/Card/Lot/73961363", "На поставку и установку системы видеонаблюдения в здании администрации Нижневартовского района")</f>
        <v>На поставку и установку системы видеонаблюдения в здании администрации Нижневартовского района</v>
      </c>
      <c r="G715" s="22" t="s">
        <v>119</v>
      </c>
      <c r="H715" s="22" t="s">
        <v>119</v>
      </c>
      <c r="I715" s="26">
        <v>43735.636805555601</v>
      </c>
      <c r="J715" s="23" t="str">
        <f>HYPERLINK("https://www.spark-marketing.ru/Card/Person/5853123", "Ершов Андрей Алексеевич")</f>
        <v>Ершов Андрей Алексеевич</v>
      </c>
      <c r="K715" s="24" t="s">
        <v>1063</v>
      </c>
      <c r="L715" s="22" t="s">
        <v>10</v>
      </c>
      <c r="M715" s="25">
        <v>36342.65</v>
      </c>
      <c r="N715" s="27">
        <v>0.32000326314759397</v>
      </c>
    </row>
    <row r="716" spans="1:14" x14ac:dyDescent="0.15">
      <c r="A716" s="23" t="str">
        <f>HYPERLINK("https://www.spark-marketing.ru/Card/Person/57429", "МЕЖРАЙОННАЯ ИФНС РОССИИ № 15 ПО АЛТАЙСКОМУ КРАЮ")</f>
        <v>МЕЖРАЙОННАЯ ИФНС РОССИИ № 15 ПО АЛТАЙСКОМУ КРАЮ</v>
      </c>
      <c r="B716" s="24" t="s">
        <v>1467</v>
      </c>
      <c r="C716" s="25">
        <v>163697.60000000001</v>
      </c>
      <c r="D716" s="22" t="s">
        <v>1468</v>
      </c>
      <c r="E716" s="22" t="s">
        <v>194</v>
      </c>
      <c r="F716" s="23" t="str">
        <f>HYPERLINK("https://www.spark-marketing.ru/Card/Lot/73965438", "Приобретение видеокамер с установкой")</f>
        <v>Приобретение видеокамер с установкой</v>
      </c>
      <c r="G716" s="22" t="s">
        <v>428</v>
      </c>
      <c r="H716" s="22" t="s">
        <v>429</v>
      </c>
      <c r="I716" s="26">
        <v>43735.592187499999</v>
      </c>
      <c r="J716" s="28" t="s">
        <v>52</v>
      </c>
      <c r="K716" s="28" t="s">
        <v>52</v>
      </c>
      <c r="L716" s="28" t="s">
        <v>52</v>
      </c>
      <c r="M716" s="28" t="s">
        <v>52</v>
      </c>
      <c r="N716" s="28" t="s">
        <v>52</v>
      </c>
    </row>
    <row r="717" spans="1:14" ht="12.75" hidden="1" outlineLevel="1" x14ac:dyDescent="0.2">
      <c r="A717" s="23" t="str">
        <f>HYPERLINK("https://www.spark-marketing.ru/Card/Person/57429", "МЕЖРАЙОННАЯ ИФНС РОССИИ № 15 ПО АЛТАЙСКОМУ КРАЮ")</f>
        <v>МЕЖРАЙОННАЯ ИФНС РОССИИ № 15 ПО АЛТАЙСКОМУ КРАЮ</v>
      </c>
      <c r="B717" s="24" t="s">
        <v>1467</v>
      </c>
      <c r="C717" s="25">
        <v>163697.60000000001</v>
      </c>
      <c r="D717" s="22" t="s">
        <v>1468</v>
      </c>
      <c r="E717" s="22" t="s">
        <v>194</v>
      </c>
      <c r="F717" s="23" t="str">
        <f>HYPERLINK("https://www.spark-marketing.ru/Card/Lot/73965438", "Приобретение видеокамер с установкой")</f>
        <v>Приобретение видеокамер с установкой</v>
      </c>
      <c r="G717" s="22" t="s">
        <v>428</v>
      </c>
      <c r="H717" s="22" t="s">
        <v>429</v>
      </c>
      <c r="I717" s="26">
        <v>43735.592187499999</v>
      </c>
      <c r="J717" s="23" t="str">
        <f>HYPERLINK("https://www.spark-marketing.ru/Card/Person/4751259", "ООО ""БСП""")</f>
        <v>ООО "БСП"</v>
      </c>
      <c r="K717" s="24" t="s">
        <v>1469</v>
      </c>
      <c r="L717" s="22" t="s">
        <v>10</v>
      </c>
      <c r="M717" s="25">
        <v>139961</v>
      </c>
      <c r="N717" s="27">
        <v>0.14500273675362377</v>
      </c>
    </row>
    <row r="718" spans="1:14" hidden="1" outlineLevel="1" x14ac:dyDescent="0.2">
      <c r="A718" s="23" t="str">
        <f>HYPERLINK("https://www.spark-marketing.ru/Card/Person/57429", "МЕЖРАЙОННАЯ ИФНС РОССИИ № 15 ПО АЛТАЙСКОМУ КРАЮ")</f>
        <v>МЕЖРАЙОННАЯ ИФНС РОССИИ № 15 ПО АЛТАЙСКОМУ КРАЮ</v>
      </c>
      <c r="B718" s="24" t="s">
        <v>1467</v>
      </c>
      <c r="C718" s="25">
        <v>163697.60000000001</v>
      </c>
      <c r="D718" s="22" t="s">
        <v>1468</v>
      </c>
      <c r="E718" s="22" t="s">
        <v>194</v>
      </c>
      <c r="F718" s="23" t="str">
        <f>HYPERLINK("https://www.spark-marketing.ru/Card/Lot/73965438", "Приобретение видеокамер с установкой")</f>
        <v>Приобретение видеокамер с установкой</v>
      </c>
      <c r="G718" s="22" t="s">
        <v>428</v>
      </c>
      <c r="H718" s="22" t="s">
        <v>429</v>
      </c>
      <c r="I718" s="26">
        <v>43735.592187499999</v>
      </c>
      <c r="J718" s="23" t="str">
        <f>HYPERLINK("https://www.spark-marketing.ru/Card/Person/6487873", "Горец Дмитрий Александрович")</f>
        <v>Горец Дмитрий Александрович</v>
      </c>
      <c r="K718" s="24" t="s">
        <v>1470</v>
      </c>
      <c r="L718" s="28" t="s">
        <v>52</v>
      </c>
      <c r="M718" s="25">
        <v>140779.51</v>
      </c>
      <c r="N718" s="27">
        <v>0.14000260235947259</v>
      </c>
    </row>
    <row r="719" spans="1:14" x14ac:dyDescent="0.15">
      <c r="A719" s="23" t="str">
        <f>HYPERLINK("https://www.spark-marketing.ru/Card/Person/244760", "ГКУ СО ""ДИРЕКЦИЯ ТРАНСПОРТА И ДОРОЖНОГО ХОЗЯЙСТВА""")</f>
        <v>ГКУ СО "ДИРЕКЦИЯ ТРАНСПОРТА И ДОРОЖНОГО ХОЗЯЙСТВА"</v>
      </c>
      <c r="B719" s="24" t="s">
        <v>77</v>
      </c>
      <c r="C719" s="25">
        <v>144177138.72</v>
      </c>
      <c r="D719" s="22" t="s">
        <v>1471</v>
      </c>
      <c r="E719" s="22" t="s">
        <v>79</v>
      </c>
      <c r="F719" s="23" t="str">
        <f>HYPERLINK("https://www.spark-marketing.ru/Card/Lot/73964355", "Выполнение работ по оснащению категорированного объекта мостовой переход «Саратов-Энгельс» (автодорожный мост через р. Волга) средствами обеспечения транспортной безопасности, предусмотренных планами обеспечения транспортной безопасности на объектах ...")</f>
        <v>Выполнение работ по оснащению категорированного объекта мостовой переход «Саратов-Энгельс» (автодорожный мост через р. Волга) средствами обеспечения транспортной безопасности, предусмотренных планами обеспечения транспортной безопасности на объектах ...</v>
      </c>
      <c r="G719" s="22" t="s">
        <v>80</v>
      </c>
      <c r="H719" s="22" t="s">
        <v>80</v>
      </c>
      <c r="I719" s="26">
        <v>43735.617037037002</v>
      </c>
      <c r="J719" s="23" t="str">
        <f>HYPERLINK("https://www.spark-marketing.ru/Card/Person/6527682", "СРЕДНЕВОЛЖСКИЙ ФЛ ФГУП УПРАВЛЕНИЕ ВЕДОМСТВЕННОЙ ОХРАНЫ МИНИСТЕРСТВА ТРАНСПОРТА РФ")</f>
        <v>СРЕДНЕВОЛЖСКИЙ ФЛ ФГУП УПРАВЛЕНИЕ ВЕДОМСТВЕННОЙ ОХРАНЫ МИНИСТЕРСТВА ТРАНСПОРТА РФ</v>
      </c>
      <c r="K719" s="24" t="s">
        <v>1472</v>
      </c>
      <c r="L719" s="28" t="s">
        <v>52</v>
      </c>
      <c r="M719" s="28" t="s">
        <v>52</v>
      </c>
      <c r="N719" s="28" t="s">
        <v>52</v>
      </c>
    </row>
    <row r="720" spans="1:14" x14ac:dyDescent="0.15">
      <c r="A720" s="23" t="str">
        <f t="shared" ref="A720:A727" si="12">HYPERLINK("https://www.spark-marketing.ru/Card/Person/608496", "ГБПОУ ИО ""БРПК""")</f>
        <v>ГБПОУ ИО "БРПК"</v>
      </c>
      <c r="B720" s="24" t="s">
        <v>1473</v>
      </c>
      <c r="C720" s="25">
        <v>1171134</v>
      </c>
      <c r="D720" s="22" t="s">
        <v>1474</v>
      </c>
      <c r="E720" s="22" t="s">
        <v>59</v>
      </c>
      <c r="F720" s="23" t="str">
        <f t="shared" ref="F720:F727" si="13">HYPERLINK("https://www.spark-marketing.ru/Card/Lot/73968154", "Выполнение работ по установке системы видеонаблюдения по внутреннему и внешнему периметру здания расположенного по адресу г. Братск ,ж.р. Центральный, проспект Ленина д. 48")</f>
        <v>Выполнение работ по установке системы видеонаблюдения по внутреннему и внешнему периметру здания расположенного по адресу г. Братск ,ж.р. Центральный, проспект Ленина д. 48</v>
      </c>
      <c r="G720" s="22" t="s">
        <v>281</v>
      </c>
      <c r="H720" s="22" t="s">
        <v>282</v>
      </c>
      <c r="I720" s="26">
        <v>43735.598240740699</v>
      </c>
      <c r="J720" s="28" t="s">
        <v>52</v>
      </c>
      <c r="K720" s="28" t="s">
        <v>52</v>
      </c>
      <c r="L720" s="28" t="s">
        <v>52</v>
      </c>
      <c r="M720" s="28" t="s">
        <v>52</v>
      </c>
      <c r="N720" s="28" t="s">
        <v>52</v>
      </c>
    </row>
    <row r="721" spans="1:14" hidden="1" outlineLevel="1" x14ac:dyDescent="0.2">
      <c r="A721" s="23" t="str">
        <f t="shared" si="12"/>
        <v>ГБПОУ ИО "БРПК"</v>
      </c>
      <c r="B721" s="24" t="s">
        <v>1473</v>
      </c>
      <c r="C721" s="25">
        <v>1171134</v>
      </c>
      <c r="D721" s="22" t="s">
        <v>1474</v>
      </c>
      <c r="E721" s="22" t="s">
        <v>59</v>
      </c>
      <c r="F721" s="23" t="str">
        <f t="shared" si="13"/>
        <v>Выполнение работ по установке системы видеонаблюдения по внутреннему и внешнему периметру здания расположенного по адресу г. Братск ,ж.р. Центральный, проспект Ленина д. 48</v>
      </c>
      <c r="G721" s="22" t="s">
        <v>281</v>
      </c>
      <c r="H721" s="22" t="s">
        <v>282</v>
      </c>
      <c r="I721" s="26">
        <v>43735.598240740699</v>
      </c>
      <c r="J721" s="23" t="str">
        <f>HYPERLINK("https://www.spark-marketing.ru/Card/Person/263655", "ООО ""ФАВОРИТ-Х""")</f>
        <v>ООО "ФАВОРИТ-Х"</v>
      </c>
      <c r="K721" s="24" t="s">
        <v>1475</v>
      </c>
      <c r="L721" s="28" t="s">
        <v>52</v>
      </c>
      <c r="M721" s="25">
        <v>1112577.3</v>
      </c>
      <c r="N721" s="27">
        <v>0.05</v>
      </c>
    </row>
    <row r="722" spans="1:14" hidden="1" outlineLevel="1" x14ac:dyDescent="0.2">
      <c r="A722" s="23" t="str">
        <f t="shared" si="12"/>
        <v>ГБПОУ ИО "БРПК"</v>
      </c>
      <c r="B722" s="24" t="s">
        <v>1473</v>
      </c>
      <c r="C722" s="25">
        <v>1171134</v>
      </c>
      <c r="D722" s="22" t="s">
        <v>1474</v>
      </c>
      <c r="E722" s="22" t="s">
        <v>59</v>
      </c>
      <c r="F722" s="23" t="str">
        <f t="shared" si="13"/>
        <v>Выполнение работ по установке системы видеонаблюдения по внутреннему и внешнему периметру здания расположенного по адресу г. Братск ,ж.р. Центральный, проспект Ленина д. 48</v>
      </c>
      <c r="G722" s="22" t="s">
        <v>281</v>
      </c>
      <c r="H722" s="22" t="s">
        <v>282</v>
      </c>
      <c r="I722" s="26">
        <v>43735.598240740699</v>
      </c>
      <c r="J722" s="23" t="str">
        <f>HYPERLINK("https://www.spark-marketing.ru/Card/Person/288257", "ООО ""ГВАРД""")</f>
        <v>ООО "ГВАРД"</v>
      </c>
      <c r="K722" s="24" t="s">
        <v>1476</v>
      </c>
      <c r="L722" s="28" t="s">
        <v>52</v>
      </c>
      <c r="M722" s="25">
        <v>456742.23</v>
      </c>
      <c r="N722" s="27">
        <v>0.61000002561619759</v>
      </c>
    </row>
    <row r="723" spans="1:14" hidden="1" outlineLevel="1" x14ac:dyDescent="0.2">
      <c r="A723" s="23" t="str">
        <f t="shared" si="12"/>
        <v>ГБПОУ ИО "БРПК"</v>
      </c>
      <c r="B723" s="24" t="s">
        <v>1473</v>
      </c>
      <c r="C723" s="25">
        <v>1171134</v>
      </c>
      <c r="D723" s="22" t="s">
        <v>1474</v>
      </c>
      <c r="E723" s="22" t="s">
        <v>59</v>
      </c>
      <c r="F723" s="23" t="str">
        <f t="shared" si="13"/>
        <v>Выполнение работ по установке системы видеонаблюдения по внутреннему и внешнему периметру здания расположенного по адресу г. Братск ,ж.р. Центральный, проспект Ленина д. 48</v>
      </c>
      <c r="G723" s="22" t="s">
        <v>281</v>
      </c>
      <c r="H723" s="22" t="s">
        <v>282</v>
      </c>
      <c r="I723" s="26">
        <v>43735.598240740699</v>
      </c>
      <c r="J723" s="23" t="str">
        <f>HYPERLINK("https://www.spark-marketing.ru/Card/Person/6382719", "ООО ""М4""")</f>
        <v>ООО "М4"</v>
      </c>
      <c r="K723" s="24" t="s">
        <v>1477</v>
      </c>
      <c r="L723" s="28" t="s">
        <v>52</v>
      </c>
      <c r="M723" s="25">
        <v>445030.89</v>
      </c>
      <c r="N723" s="27">
        <v>0.6200000256161976</v>
      </c>
    </row>
    <row r="724" spans="1:14" hidden="1" outlineLevel="1" x14ac:dyDescent="0.2">
      <c r="A724" s="23" t="str">
        <f t="shared" si="12"/>
        <v>ГБПОУ ИО "БРПК"</v>
      </c>
      <c r="B724" s="24" t="s">
        <v>1473</v>
      </c>
      <c r="C724" s="25">
        <v>1171134</v>
      </c>
      <c r="D724" s="22" t="s">
        <v>1474</v>
      </c>
      <c r="E724" s="22" t="s">
        <v>59</v>
      </c>
      <c r="F724" s="23" t="str">
        <f t="shared" si="13"/>
        <v>Выполнение работ по установке системы видеонаблюдения по внутреннему и внешнему периметру здания расположенного по адресу г. Братск ,ж.р. Центральный, проспект Ленина д. 48</v>
      </c>
      <c r="G724" s="22" t="s">
        <v>281</v>
      </c>
      <c r="H724" s="22" t="s">
        <v>282</v>
      </c>
      <c r="I724" s="26">
        <v>43735.598240740699</v>
      </c>
      <c r="J724" s="23" t="str">
        <f>HYPERLINK("https://www.spark-marketing.ru/Card/Person/6578982", "Родичев Максим Юрьевич")</f>
        <v>Родичев Максим Юрьевич</v>
      </c>
      <c r="K724" s="24" t="s">
        <v>1478</v>
      </c>
      <c r="L724" s="28" t="s">
        <v>52</v>
      </c>
      <c r="M724" s="25">
        <v>730000</v>
      </c>
      <c r="N724" s="27">
        <v>0.37667252423719233</v>
      </c>
    </row>
    <row r="725" spans="1:14" ht="12.75" hidden="1" outlineLevel="1" x14ac:dyDescent="0.2">
      <c r="A725" s="23" t="str">
        <f t="shared" si="12"/>
        <v>ГБПОУ ИО "БРПК"</v>
      </c>
      <c r="B725" s="24" t="s">
        <v>1473</v>
      </c>
      <c r="C725" s="25">
        <v>1171134</v>
      </c>
      <c r="D725" s="22" t="s">
        <v>1474</v>
      </c>
      <c r="E725" s="22" t="s">
        <v>59</v>
      </c>
      <c r="F725" s="23" t="str">
        <f t="shared" si="13"/>
        <v>Выполнение работ по установке системы видеонаблюдения по внутреннему и внешнему периметру здания расположенного по адресу г. Братск ,ж.р. Центральный, проспект Ленина д. 48</v>
      </c>
      <c r="G725" s="22" t="s">
        <v>281</v>
      </c>
      <c r="H725" s="22" t="s">
        <v>282</v>
      </c>
      <c r="I725" s="26">
        <v>43735.598240740699</v>
      </c>
      <c r="J725" s="23" t="str">
        <f>HYPERLINK("https://www.spark-marketing.ru/Card/Person/580950", "ООО ""СПЕКТР""")</f>
        <v>ООО "СПЕКТР"</v>
      </c>
      <c r="K725" s="24" t="s">
        <v>1479</v>
      </c>
      <c r="L725" s="22" t="s">
        <v>10</v>
      </c>
      <c r="M725" s="25">
        <v>427463.88</v>
      </c>
      <c r="N725" s="27">
        <v>0.63500002561619762</v>
      </c>
    </row>
    <row r="726" spans="1:14" hidden="1" outlineLevel="1" x14ac:dyDescent="0.2">
      <c r="A726" s="23" t="str">
        <f t="shared" si="12"/>
        <v>ГБПОУ ИО "БРПК"</v>
      </c>
      <c r="B726" s="24" t="s">
        <v>1473</v>
      </c>
      <c r="C726" s="25">
        <v>1171134</v>
      </c>
      <c r="D726" s="22" t="s">
        <v>1474</v>
      </c>
      <c r="E726" s="22" t="s">
        <v>59</v>
      </c>
      <c r="F726" s="23" t="str">
        <f t="shared" si="13"/>
        <v>Выполнение работ по установке системы видеонаблюдения по внутреннему и внешнему периметру здания расположенного по адресу г. Братск ,ж.р. Центральный, проспект Ленина д. 48</v>
      </c>
      <c r="G726" s="22" t="s">
        <v>281</v>
      </c>
      <c r="H726" s="22" t="s">
        <v>282</v>
      </c>
      <c r="I726" s="26">
        <v>43735.598240740699</v>
      </c>
      <c r="J726" s="23" t="str">
        <f>HYPERLINK("https://www.spark-marketing.ru/Card/Person/2005520", "ООО ""СИБТЕХ""")</f>
        <v>ООО "СИБТЕХ"</v>
      </c>
      <c r="K726" s="24" t="s">
        <v>1480</v>
      </c>
      <c r="L726" s="28" t="s">
        <v>52</v>
      </c>
      <c r="M726" s="25">
        <v>567999.96</v>
      </c>
      <c r="N726" s="27">
        <v>0.51500002561619762</v>
      </c>
    </row>
    <row r="727" spans="1:14" hidden="1" outlineLevel="1" x14ac:dyDescent="0.2">
      <c r="A727" s="23" t="str">
        <f t="shared" si="12"/>
        <v>ГБПОУ ИО "БРПК"</v>
      </c>
      <c r="B727" s="24" t="s">
        <v>1473</v>
      </c>
      <c r="C727" s="25">
        <v>1171134</v>
      </c>
      <c r="D727" s="22" t="s">
        <v>1474</v>
      </c>
      <c r="E727" s="22" t="s">
        <v>59</v>
      </c>
      <c r="F727" s="23" t="str">
        <f t="shared" si="13"/>
        <v>Выполнение работ по установке системы видеонаблюдения по внутреннему и внешнему периметру здания расположенного по адресу г. Братск ,ж.р. Центральный, проспект Ленина д. 48</v>
      </c>
      <c r="G727" s="22" t="s">
        <v>281</v>
      </c>
      <c r="H727" s="22" t="s">
        <v>282</v>
      </c>
      <c r="I727" s="26">
        <v>43735.598240740699</v>
      </c>
      <c r="J727" s="23" t="str">
        <f>HYPERLINK("https://www.spark-marketing.ru/Card/Person/6717674", "Шехтель Анна Андреевна")</f>
        <v>Шехтель Анна Андреевна</v>
      </c>
      <c r="K727" s="24" t="s">
        <v>1481</v>
      </c>
      <c r="L727" s="28" t="s">
        <v>52</v>
      </c>
      <c r="M727" s="25">
        <v>433319.55</v>
      </c>
      <c r="N727" s="27">
        <v>0.63000002561619761</v>
      </c>
    </row>
    <row r="728" spans="1:14" x14ac:dyDescent="0.15">
      <c r="A728" s="23" t="str">
        <f>HYPERLINK("https://www.spark-marketing.ru/Card/Person/16910", "УСД В НОВГОРОДСКОЙ ОБЛАСТИ")</f>
        <v>УСД В НОВГОРОДСКОЙ ОБЛАСТИ</v>
      </c>
      <c r="B728" s="24" t="s">
        <v>1482</v>
      </c>
      <c r="C728" s="25">
        <v>1164565.43</v>
      </c>
      <c r="D728" s="22" t="s">
        <v>1483</v>
      </c>
      <c r="E728" s="22" t="s">
        <v>194</v>
      </c>
      <c r="F728" s="23" t="str">
        <f>HYPERLINK("https://www.spark-marketing.ru/Card/Lot/73968317", "Поставка с установкой систем видеонаблюдения для районных судов Новгородской области")</f>
        <v>Поставка с установкой систем видеонаблюдения для районных судов Новгородской области</v>
      </c>
      <c r="G728" s="22" t="s">
        <v>959</v>
      </c>
      <c r="H728" s="22" t="s">
        <v>959</v>
      </c>
      <c r="I728" s="26">
        <v>43735.587349537003</v>
      </c>
      <c r="J728" s="28" t="s">
        <v>52</v>
      </c>
      <c r="K728" s="28" t="s">
        <v>52</v>
      </c>
      <c r="L728" s="28" t="s">
        <v>52</v>
      </c>
      <c r="M728" s="28" t="s">
        <v>52</v>
      </c>
      <c r="N728" s="28" t="s">
        <v>52</v>
      </c>
    </row>
    <row r="729" spans="1:14" hidden="1" outlineLevel="1" x14ac:dyDescent="0.2">
      <c r="A729" s="23" t="str">
        <f>HYPERLINK("https://www.spark-marketing.ru/Card/Person/16910", "УСД В НОВГОРОДСКОЙ ОБЛАСТИ")</f>
        <v>УСД В НОВГОРОДСКОЙ ОБЛАСТИ</v>
      </c>
      <c r="B729" s="24" t="s">
        <v>1482</v>
      </c>
      <c r="C729" s="25">
        <v>1164565.43</v>
      </c>
      <c r="D729" s="22" t="s">
        <v>1483</v>
      </c>
      <c r="E729" s="22" t="s">
        <v>194</v>
      </c>
      <c r="F729" s="23" t="str">
        <f>HYPERLINK("https://www.spark-marketing.ru/Card/Lot/73968317", "Поставка с установкой систем видеонаблюдения для районных судов Новгородской области")</f>
        <v>Поставка с установкой систем видеонаблюдения для районных судов Новгородской области</v>
      </c>
      <c r="G729" s="22" t="s">
        <v>959</v>
      </c>
      <c r="H729" s="22" t="s">
        <v>959</v>
      </c>
      <c r="I729" s="26">
        <v>43735.587349537003</v>
      </c>
      <c r="J729" s="23" t="str">
        <f>HYPERLINK("https://www.spark-marketing.ru/Card/Person/55651", "ООО ""ЭЛЕКТРА-Н""")</f>
        <v>ООО "ЭЛЕКТРА-Н"</v>
      </c>
      <c r="K729" s="24" t="s">
        <v>1484</v>
      </c>
      <c r="L729" s="28" t="s">
        <v>52</v>
      </c>
      <c r="M729" s="25">
        <v>821018.58</v>
      </c>
      <c r="N729" s="27">
        <v>0.29500004134589503</v>
      </c>
    </row>
    <row r="730" spans="1:14" ht="12.75" hidden="1" outlineLevel="1" x14ac:dyDescent="0.2">
      <c r="A730" s="23" t="str">
        <f>HYPERLINK("https://www.spark-marketing.ru/Card/Person/16910", "УСД В НОВГОРОДСКОЙ ОБЛАСТИ")</f>
        <v>УСД В НОВГОРОДСКОЙ ОБЛАСТИ</v>
      </c>
      <c r="B730" s="24" t="s">
        <v>1482</v>
      </c>
      <c r="C730" s="25">
        <v>1164565.43</v>
      </c>
      <c r="D730" s="22" t="s">
        <v>1483</v>
      </c>
      <c r="E730" s="22" t="s">
        <v>194</v>
      </c>
      <c r="F730" s="23" t="str">
        <f>HYPERLINK("https://www.spark-marketing.ru/Card/Lot/73968317", "Поставка с установкой систем видеонаблюдения для районных судов Новгородской области")</f>
        <v>Поставка с установкой систем видеонаблюдения для районных судов Новгородской области</v>
      </c>
      <c r="G730" s="22" t="s">
        <v>959</v>
      </c>
      <c r="H730" s="22" t="s">
        <v>959</v>
      </c>
      <c r="I730" s="26">
        <v>43735.587349537003</v>
      </c>
      <c r="J730" s="23" t="str">
        <f>HYPERLINK("https://www.spark-marketing.ru/Card/Person/52455", "Семыкин Дмитрий Алексеевич")</f>
        <v>Семыкин Дмитрий Алексеевич</v>
      </c>
      <c r="K730" s="24" t="s">
        <v>1485</v>
      </c>
      <c r="L730" s="22" t="s">
        <v>10</v>
      </c>
      <c r="M730" s="25">
        <v>815195.75</v>
      </c>
      <c r="N730" s="27">
        <v>0.30000004379315981</v>
      </c>
    </row>
    <row r="731" spans="1:14" x14ac:dyDescent="0.15">
      <c r="A731" s="23" t="str">
        <f>HYPERLINK("https://www.spark-marketing.ru/Card/Person/53754", "МБУЗ РОД-НЕСВЕТАЙСКОГО РАЙОНА ""ЦРБ""")</f>
        <v>МБУЗ РОД-НЕСВЕТАЙСКОГО РАЙОНА "ЦРБ"</v>
      </c>
      <c r="B731" s="24" t="s">
        <v>1486</v>
      </c>
      <c r="C731" s="25">
        <v>268943</v>
      </c>
      <c r="D731" s="22" t="s">
        <v>1487</v>
      </c>
      <c r="E731" s="22" t="s">
        <v>59</v>
      </c>
      <c r="F731" s="23" t="str">
        <f>HYPERLINK("https://www.spark-marketing.ru/Card/Lot/73973627", "Оснащение уличным видеонаблюдением МБУЗ Род-Несветайского района «ЦРБ» по адресу:  346580, Ростовская область, Родионово-Несветаевский район, сл. Родионово-Несветайская, ул. Южная, дом 20")</f>
        <v>Оснащение уличным видеонаблюдением МБУЗ Род-Несветайского района «ЦРБ» по адресу:  346580, Ростовская область, Родионово-Несветаевский район, сл. Родионово-Несветайская, ул. Южная, дом 20</v>
      </c>
      <c r="G731" s="22" t="s">
        <v>402</v>
      </c>
      <c r="H731" s="22" t="s">
        <v>402</v>
      </c>
      <c r="I731" s="26">
        <v>43735.621666666702</v>
      </c>
      <c r="J731" s="28" t="s">
        <v>52</v>
      </c>
      <c r="K731" s="28" t="s">
        <v>52</v>
      </c>
      <c r="L731" s="28" t="s">
        <v>52</v>
      </c>
      <c r="M731" s="28" t="s">
        <v>52</v>
      </c>
      <c r="N731" s="28" t="s">
        <v>52</v>
      </c>
    </row>
    <row r="732" spans="1:14" hidden="1" outlineLevel="1" x14ac:dyDescent="0.2">
      <c r="A732" s="23" t="str">
        <f>HYPERLINK("https://www.spark-marketing.ru/Card/Person/53754", "МБУЗ РОД-НЕСВЕТАЙСКОГО РАЙОНА ""ЦРБ""")</f>
        <v>МБУЗ РОД-НЕСВЕТАЙСКОГО РАЙОНА "ЦРБ"</v>
      </c>
      <c r="B732" s="24" t="s">
        <v>1486</v>
      </c>
      <c r="C732" s="25">
        <v>268943</v>
      </c>
      <c r="D732" s="22" t="s">
        <v>1487</v>
      </c>
      <c r="E732" s="22" t="s">
        <v>59</v>
      </c>
      <c r="F732" s="23" t="str">
        <f>HYPERLINK("https://www.spark-marketing.ru/Card/Lot/73973627", "Оснащение уличным видеонаблюдением МБУЗ Род-Несветайского района «ЦРБ» по адресу:  346580, Ростовская область, Родионово-Несветаевский район, сл. Родионово-Несветайская, ул. Южная, дом 20")</f>
        <v>Оснащение уличным видеонаблюдением МБУЗ Род-Несветайского района «ЦРБ» по адресу:  346580, Ростовская область, Родионово-Несветаевский район, сл. Родионово-Несветайская, ул. Южная, дом 20</v>
      </c>
      <c r="G732" s="22" t="s">
        <v>402</v>
      </c>
      <c r="H732" s="22" t="s">
        <v>402</v>
      </c>
      <c r="I732" s="26">
        <v>43735.621666666702</v>
      </c>
      <c r="J732" s="23" t="str">
        <f>HYPERLINK("https://www.spark-marketing.ru/Card/Person/6349963", "Тирацуян Евгений Ованесович")</f>
        <v>Тирацуян Евгений Ованесович</v>
      </c>
      <c r="K732" s="24" t="s">
        <v>1488</v>
      </c>
      <c r="L732" s="28" t="s">
        <v>52</v>
      </c>
      <c r="M732" s="25">
        <v>145154.29</v>
      </c>
      <c r="N732" s="27">
        <v>0.46027860922202846</v>
      </c>
    </row>
    <row r="733" spans="1:14" ht="12.75" hidden="1" outlineLevel="1" x14ac:dyDescent="0.2">
      <c r="A733" s="23" t="str">
        <f>HYPERLINK("https://www.spark-marketing.ru/Card/Person/53754", "МБУЗ РОД-НЕСВЕТАЙСКОГО РАЙОНА ""ЦРБ""")</f>
        <v>МБУЗ РОД-НЕСВЕТАЙСКОГО РАЙОНА "ЦРБ"</v>
      </c>
      <c r="B733" s="24" t="s">
        <v>1486</v>
      </c>
      <c r="C733" s="25">
        <v>268943</v>
      </c>
      <c r="D733" s="22" t="s">
        <v>1487</v>
      </c>
      <c r="E733" s="22" t="s">
        <v>59</v>
      </c>
      <c r="F733" s="23" t="str">
        <f>HYPERLINK("https://www.spark-marketing.ru/Card/Lot/73973627", "Оснащение уличным видеонаблюдением МБУЗ Род-Несветайского района «ЦРБ» по адресу:  346580, Ростовская область, Родионово-Несветаевский район, сл. Родионово-Несветайская, ул. Южная, дом 20")</f>
        <v>Оснащение уличным видеонаблюдением МБУЗ Род-Несветайского района «ЦРБ» по адресу:  346580, Ростовская область, Родионово-Несветаевский район, сл. Родионово-Несветайская, ул. Южная, дом 20</v>
      </c>
      <c r="G733" s="22" t="s">
        <v>402</v>
      </c>
      <c r="H733" s="22" t="s">
        <v>402</v>
      </c>
      <c r="I733" s="26">
        <v>43735.621666666702</v>
      </c>
      <c r="J733" s="23" t="str">
        <f>HYPERLINK("https://www.spark-marketing.ru/Card/Person/384360", "Губарева Маргарита Николаевна")</f>
        <v>Губарева Маргарита Николаевна</v>
      </c>
      <c r="K733" s="24" t="s">
        <v>1489</v>
      </c>
      <c r="L733" s="22" t="s">
        <v>10</v>
      </c>
      <c r="M733" s="25">
        <v>143809.57</v>
      </c>
      <c r="N733" s="27">
        <v>0.46527862781332846</v>
      </c>
    </row>
    <row r="734" spans="1:14" x14ac:dyDescent="0.15">
      <c r="A734" s="23" t="str">
        <f>HYPERLINK("https://www.spark-marketing.ru/Card/Person/1029648", "МБУК ДК ""СОВРЕМЕННИК""")</f>
        <v>МБУК ДК "СОВРЕМЕННИК"</v>
      </c>
      <c r="B734" s="24" t="s">
        <v>1490</v>
      </c>
      <c r="C734" s="25">
        <v>28000</v>
      </c>
      <c r="D734" s="22" t="s">
        <v>1491</v>
      </c>
      <c r="E734" s="22" t="s">
        <v>59</v>
      </c>
      <c r="F734" s="23" t="str">
        <f>HYPERLINK("https://www.spark-marketing.ru/Card/Lot/73959594", "Установка тревожной сигнализации")</f>
        <v>Установка тревожной сигнализации</v>
      </c>
      <c r="G734" s="22" t="s">
        <v>50</v>
      </c>
      <c r="H734" s="22" t="s">
        <v>50</v>
      </c>
      <c r="I734" s="26">
        <v>43735.5847222222</v>
      </c>
      <c r="J734" s="28" t="s">
        <v>52</v>
      </c>
      <c r="K734" s="28" t="s">
        <v>52</v>
      </c>
      <c r="L734" s="28" t="s">
        <v>52</v>
      </c>
      <c r="M734" s="28" t="s">
        <v>52</v>
      </c>
      <c r="N734" s="28" t="s">
        <v>52</v>
      </c>
    </row>
    <row r="735" spans="1:14" ht="12.75" hidden="1" outlineLevel="1" x14ac:dyDescent="0.2">
      <c r="A735" s="23" t="str">
        <f>HYPERLINK("https://www.spark-marketing.ru/Card/Person/1029648", "МБУК ДК ""СОВРЕМЕННИК""")</f>
        <v>МБУК ДК "СОВРЕМЕННИК"</v>
      </c>
      <c r="B735" s="24" t="s">
        <v>1490</v>
      </c>
      <c r="C735" s="25">
        <v>28000</v>
      </c>
      <c r="D735" s="22" t="s">
        <v>1491</v>
      </c>
      <c r="E735" s="22" t="s">
        <v>59</v>
      </c>
      <c r="F735" s="23" t="str">
        <f>HYPERLINK("https://www.spark-marketing.ru/Card/Lot/73959594", "Установка тревожной сигнализации")</f>
        <v>Установка тревожной сигнализации</v>
      </c>
      <c r="G735" s="22" t="s">
        <v>50</v>
      </c>
      <c r="H735" s="22" t="s">
        <v>50</v>
      </c>
      <c r="I735" s="26">
        <v>43735.5847222222</v>
      </c>
      <c r="J735" s="23" t="str">
        <f>HYPERLINK("https://www.spark-marketing.ru/Card/Person/712330", "ООО ""БЕЗОПАСНЫЙ РЕГИОН""")</f>
        <v>ООО "БЕЗОПАСНЫЙ РЕГИОН"</v>
      </c>
      <c r="K735" s="24" t="s">
        <v>1492</v>
      </c>
      <c r="L735" s="22" t="s">
        <v>10</v>
      </c>
      <c r="M735" s="25">
        <v>18000</v>
      </c>
      <c r="N735" s="27">
        <v>0.35714285714285715</v>
      </c>
    </row>
    <row r="736" spans="1:14" hidden="1" outlineLevel="1" x14ac:dyDescent="0.2">
      <c r="A736" s="23" t="str">
        <f>HYPERLINK("https://www.spark-marketing.ru/Card/Person/1029648", "МБУК ДК ""СОВРЕМЕННИК""")</f>
        <v>МБУК ДК "СОВРЕМЕННИК"</v>
      </c>
      <c r="B736" s="24" t="s">
        <v>1490</v>
      </c>
      <c r="C736" s="25">
        <v>28000</v>
      </c>
      <c r="D736" s="22" t="s">
        <v>1491</v>
      </c>
      <c r="E736" s="22" t="s">
        <v>59</v>
      </c>
      <c r="F736" s="23" t="str">
        <f>HYPERLINK("https://www.spark-marketing.ru/Card/Lot/73959594", "Установка тревожной сигнализации")</f>
        <v>Установка тревожной сигнализации</v>
      </c>
      <c r="G736" s="22" t="s">
        <v>50</v>
      </c>
      <c r="H736" s="22" t="s">
        <v>50</v>
      </c>
      <c r="I736" s="26">
        <v>43735.5847222222</v>
      </c>
      <c r="J736" s="23" t="str">
        <f>HYPERLINK("https://www.spark-marketing.ru/Card/Person/417341", "ООО ""ЧОО ""МОСКОВСКИЙ ДОМ: ОХРАНА-СЕРВИС""")</f>
        <v>ООО "ЧОО "МОСКОВСКИЙ ДОМ: ОХРАНА-СЕРВИС"</v>
      </c>
      <c r="K736" s="24" t="s">
        <v>1493</v>
      </c>
      <c r="L736" s="28" t="s">
        <v>52</v>
      </c>
      <c r="M736" s="25">
        <v>26900</v>
      </c>
      <c r="N736" s="27">
        <v>3.9285714285714285E-2</v>
      </c>
    </row>
    <row r="737" spans="1:14" x14ac:dyDescent="0.15">
      <c r="A737" s="23" t="str">
        <f>HYPERLINK("https://www.spark-marketing.ru/Card/Person/608496", "ГБПОУ ИО ""БРПК""")</f>
        <v>ГБПОУ ИО "БРПК"</v>
      </c>
      <c r="B737" s="24" t="s">
        <v>1473</v>
      </c>
      <c r="C737" s="25">
        <v>513839</v>
      </c>
      <c r="D737" s="22" t="s">
        <v>1494</v>
      </c>
      <c r="E737" s="22" t="s">
        <v>59</v>
      </c>
      <c r="F737" s="23" t="str">
        <f>HYPERLINK("https://www.spark-marketing.ru/Card/Lot/73968153", "Выполнение работ по установке системы видеонаблюдения по внутреннему и внешнему периметру здания расположенного по адресу г. Братск, ж.р.Центральный, ул. Обручева д. 43")</f>
        <v>Выполнение работ по установке системы видеонаблюдения по внутреннему и внешнему периметру здания расположенного по адресу г. Братск, ж.р.Центральный, ул. Обручева д. 43</v>
      </c>
      <c r="G737" s="22" t="s">
        <v>281</v>
      </c>
      <c r="H737" s="22" t="s">
        <v>282</v>
      </c>
      <c r="I737" s="26">
        <v>43735.595763888901</v>
      </c>
      <c r="J737" s="28" t="s">
        <v>52</v>
      </c>
      <c r="K737" s="28" t="s">
        <v>52</v>
      </c>
      <c r="L737" s="28" t="s">
        <v>52</v>
      </c>
      <c r="M737" s="28" t="s">
        <v>52</v>
      </c>
      <c r="N737" s="28" t="s">
        <v>52</v>
      </c>
    </row>
    <row r="738" spans="1:14" hidden="1" outlineLevel="1" x14ac:dyDescent="0.2">
      <c r="A738" s="23" t="str">
        <f>HYPERLINK("https://www.spark-marketing.ru/Card/Person/608496", "ГБПОУ ИО ""БРПК""")</f>
        <v>ГБПОУ ИО "БРПК"</v>
      </c>
      <c r="B738" s="24" t="s">
        <v>1473</v>
      </c>
      <c r="C738" s="28" t="s">
        <v>52</v>
      </c>
      <c r="D738" s="22" t="s">
        <v>1494</v>
      </c>
      <c r="E738" s="22" t="s">
        <v>59</v>
      </c>
      <c r="F738" s="23" t="str">
        <f>HYPERLINK("https://www.spark-marketing.ru/Card/Lot/73968153", "Выполнение работ по установке системы видеонаблюдения по внутреннему и внешнему периметру здания расположенного по адресу г. Братск, ж.р.Центральный, ул. Обручева д. 43")</f>
        <v>Выполнение работ по установке системы видеонаблюдения по внутреннему и внешнему периметру здания расположенного по адресу г. Братск, ж.р.Центральный, ул. Обручева д. 43</v>
      </c>
      <c r="G738" s="22" t="s">
        <v>281</v>
      </c>
      <c r="H738" s="22" t="s">
        <v>282</v>
      </c>
      <c r="I738" s="26">
        <v>43735.595763888901</v>
      </c>
      <c r="J738" s="23" t="str">
        <f>HYPERLINK("https://www.spark-marketing.ru/Card/Person/288257", "ООО ""ГВАРД""")</f>
        <v>ООО "ГВАРД"</v>
      </c>
      <c r="K738" s="24" t="s">
        <v>1476</v>
      </c>
      <c r="L738" s="28" t="s">
        <v>52</v>
      </c>
      <c r="M738" s="25">
        <v>223519.4</v>
      </c>
      <c r="N738" s="27">
        <v>0.56500109956620659</v>
      </c>
    </row>
    <row r="739" spans="1:14" hidden="1" outlineLevel="1" x14ac:dyDescent="0.2">
      <c r="A739" s="23" t="str">
        <f>HYPERLINK("https://www.spark-marketing.ru/Card/Person/608496", "ГБПОУ ИО ""БРПК""")</f>
        <v>ГБПОУ ИО "БРПК"</v>
      </c>
      <c r="B739" s="24" t="s">
        <v>1473</v>
      </c>
      <c r="C739" s="28" t="s">
        <v>52</v>
      </c>
      <c r="D739" s="22" t="s">
        <v>1494</v>
      </c>
      <c r="E739" s="22" t="s">
        <v>59</v>
      </c>
      <c r="F739" s="23" t="str">
        <f>HYPERLINK("https://www.spark-marketing.ru/Card/Lot/73968153", "Выполнение работ по установке системы видеонаблюдения по внутреннему и внешнему периметру здания расположенного по адресу г. Братск, ж.р.Центральный, ул. Обручева д. 43")</f>
        <v>Выполнение работ по установке системы видеонаблюдения по внутреннему и внешнему периметру здания расположенного по адресу г. Братск, ж.р.Центральный, ул. Обручева д. 43</v>
      </c>
      <c r="G739" s="22" t="s">
        <v>281</v>
      </c>
      <c r="H739" s="22" t="s">
        <v>282</v>
      </c>
      <c r="I739" s="26">
        <v>43735.595763888901</v>
      </c>
      <c r="J739" s="23" t="str">
        <f>HYPERLINK("https://www.spark-marketing.ru/Card/Person/263655", "ООО ""ФАВОРИТ-Х""")</f>
        <v>ООО "ФАВОРИТ-Х"</v>
      </c>
      <c r="K739" s="24" t="s">
        <v>1475</v>
      </c>
      <c r="L739" s="28" t="s">
        <v>52</v>
      </c>
      <c r="M739" s="25">
        <v>418778.6</v>
      </c>
      <c r="N739" s="27">
        <v>0.18500036003495257</v>
      </c>
    </row>
    <row r="740" spans="1:14" hidden="1" outlineLevel="1" x14ac:dyDescent="0.2">
      <c r="A740" s="23" t="str">
        <f>HYPERLINK("https://www.spark-marketing.ru/Card/Person/608496", "ГБПОУ ИО ""БРПК""")</f>
        <v>ГБПОУ ИО "БРПК"</v>
      </c>
      <c r="B740" s="24" t="s">
        <v>1473</v>
      </c>
      <c r="C740" s="28" t="s">
        <v>52</v>
      </c>
      <c r="D740" s="22" t="s">
        <v>1494</v>
      </c>
      <c r="E740" s="22" t="s">
        <v>59</v>
      </c>
      <c r="F740" s="23" t="str">
        <f>HYPERLINK("https://www.spark-marketing.ru/Card/Lot/73968153", "Выполнение работ по установке системы видеонаблюдения по внутреннему и внешнему периметру здания расположенного по адресу г. Братск, ж.р.Центральный, ул. Обручева д. 43")</f>
        <v>Выполнение работ по установке системы видеонаблюдения по внутреннему и внешнему периметру здания расположенного по адресу г. Братск, ж.р.Центральный, ул. Обручева д. 43</v>
      </c>
      <c r="G740" s="22" t="s">
        <v>281</v>
      </c>
      <c r="H740" s="22" t="s">
        <v>282</v>
      </c>
      <c r="I740" s="26">
        <v>43735.595763888901</v>
      </c>
      <c r="J740" s="23" t="str">
        <f>HYPERLINK("https://www.spark-marketing.ru/Card/Person/580950", "ООО ""СПЕКТР""")</f>
        <v>ООО "СПЕКТР"</v>
      </c>
      <c r="K740" s="24" t="s">
        <v>1479</v>
      </c>
      <c r="L740" s="22" t="s">
        <v>10</v>
      </c>
      <c r="M740" s="25">
        <v>220950.2</v>
      </c>
      <c r="N740" s="27">
        <v>0.57000110929688097</v>
      </c>
    </row>
    <row r="741" spans="1:14" hidden="1" outlineLevel="1" x14ac:dyDescent="0.2">
      <c r="A741" s="23" t="str">
        <f>HYPERLINK("https://www.spark-marketing.ru/Card/Person/608496", "ГБПОУ ИО ""БРПК""")</f>
        <v>ГБПОУ ИО "БРПК"</v>
      </c>
      <c r="B741" s="24" t="s">
        <v>1473</v>
      </c>
      <c r="C741" s="28" t="s">
        <v>52</v>
      </c>
      <c r="D741" s="22" t="s">
        <v>1494</v>
      </c>
      <c r="E741" s="22" t="s">
        <v>59</v>
      </c>
      <c r="F741" s="23" t="str">
        <f>HYPERLINK("https://www.spark-marketing.ru/Card/Lot/73968153", "Выполнение работ по установке системы видеонаблюдения по внутреннему и внешнему периметру здания расположенного по адресу г. Братск, ж.р.Центральный, ул. Обручева д. 43")</f>
        <v>Выполнение работ по установке системы видеонаблюдения по внутреннему и внешнему периметру здания расположенного по адресу г. Братск, ж.р.Центральный, ул. Обручева д. 43</v>
      </c>
      <c r="G741" s="22" t="s">
        <v>281</v>
      </c>
      <c r="H741" s="22" t="s">
        <v>282</v>
      </c>
      <c r="I741" s="26">
        <v>43735.595763888901</v>
      </c>
      <c r="J741" s="23" t="str">
        <f>HYPERLINK("https://www.spark-marketing.ru/Card/Person/2005520", "ООО ""СИБТЕХ""")</f>
        <v>ООО "СИБТЕХ"</v>
      </c>
      <c r="K741" s="24" t="s">
        <v>1480</v>
      </c>
      <c r="L741" s="28" t="s">
        <v>52</v>
      </c>
      <c r="M741" s="25">
        <v>303164.59999999998</v>
      </c>
      <c r="N741" s="27">
        <v>0.41000079791530031</v>
      </c>
    </row>
    <row r="742" spans="1:14" x14ac:dyDescent="0.15">
      <c r="A742" s="23" t="str">
        <f>HYPERLINK("https://www.spark-marketing.ru/Card/Person/3570", "УПРАВЛЕНИЕ ПО ОБЕСПЕЧЕНИЮ ДЕЯТЕЛЬНОСТИ МИРОВЫХ СУДЕЙ В ТЮМЕНСКОЙ ОБЛАСТИ")</f>
        <v>УПРАВЛЕНИЕ ПО ОБЕСПЕЧЕНИЮ ДЕЯТЕЛЬНОСТИ МИРОВЫХ СУДЕЙ В ТЮМЕНСКОЙ ОБЛАСТИ</v>
      </c>
      <c r="B742" s="24" t="s">
        <v>1495</v>
      </c>
      <c r="C742" s="25">
        <v>3284086.4</v>
      </c>
      <c r="D742" s="22" t="s">
        <v>1496</v>
      </c>
      <c r="E742" s="22" t="s">
        <v>68</v>
      </c>
      <c r="F742" s="23" t="str">
        <f>HYPERLINK("https://www.spark-marketing.ru/Card/Lot/73970726", "Оказание услуг по охране имущества с помощью пульта централизованного наблюдения")</f>
        <v>Оказание услуг по охране имущества с помощью пульта централизованного наблюдения</v>
      </c>
      <c r="G742" s="22" t="s">
        <v>893</v>
      </c>
      <c r="H742" s="22" t="s">
        <v>894</v>
      </c>
      <c r="I742" s="26">
        <v>43735.607407407399</v>
      </c>
      <c r="J742" s="28" t="s">
        <v>52</v>
      </c>
      <c r="K742" s="28" t="s">
        <v>52</v>
      </c>
      <c r="L742" s="28" t="s">
        <v>52</v>
      </c>
      <c r="M742" s="28" t="s">
        <v>52</v>
      </c>
      <c r="N742" s="28" t="s">
        <v>52</v>
      </c>
    </row>
    <row r="743" spans="1:14" ht="12.75" hidden="1" outlineLevel="1" x14ac:dyDescent="0.2">
      <c r="A743" s="23" t="str">
        <f>HYPERLINK("https://www.spark-marketing.ru/Card/Person/3570", "УПРАВЛЕНИЕ ПО ОБЕСПЕЧЕНИЮ ДЕЯТЕЛЬНОСТИ МИРОВЫХ СУДЕЙ В ТЮМЕНСКОЙ ОБЛАСТИ")</f>
        <v>УПРАВЛЕНИЕ ПО ОБЕСПЕЧЕНИЮ ДЕЯТЕЛЬНОСТИ МИРОВЫХ СУДЕЙ В ТЮМЕНСКОЙ ОБЛАСТИ</v>
      </c>
      <c r="B743" s="24" t="s">
        <v>1495</v>
      </c>
      <c r="C743" s="25">
        <v>3284086.4</v>
      </c>
      <c r="D743" s="22" t="s">
        <v>1496</v>
      </c>
      <c r="E743" s="22" t="s">
        <v>68</v>
      </c>
      <c r="F743" s="23" t="str">
        <f>HYPERLINK("https://www.spark-marketing.ru/Card/Lot/73970726", "Оказание услуг по охране имущества с помощью пульта централизованного наблюдения")</f>
        <v>Оказание услуг по охране имущества с помощью пульта централизованного наблюдения</v>
      </c>
      <c r="G743" s="22" t="s">
        <v>893</v>
      </c>
      <c r="H743" s="22" t="s">
        <v>894</v>
      </c>
      <c r="I743" s="26">
        <v>43735.607407407399</v>
      </c>
      <c r="J743" s="23" t="str">
        <f>HYPERLINK("https://www.spark-marketing.ru/Card/Person/4885117", "ФЛ ФГУП ОХРАНА ФЕДЕРАЛЬНОЙ СЛУЖБЫ ВОЙСК НАЦИОНАЛЬНОЙ ГВАРДИИ РФ ПО ТЮМЕНСКОЙ ОБЛ")</f>
        <v>ФЛ ФГУП ОХРАНА ФЕДЕРАЛЬНОЙ СЛУЖБЫ ВОЙСК НАЦИОНАЛЬНОЙ ГВАРДИИ РФ ПО ТЮМЕНСКОЙ ОБЛ</v>
      </c>
      <c r="K743" s="24" t="s">
        <v>779</v>
      </c>
      <c r="L743" s="22" t="s">
        <v>10</v>
      </c>
      <c r="M743" s="25">
        <v>3201984.25</v>
      </c>
      <c r="N743" s="27">
        <v>2.4999996955013121E-2</v>
      </c>
    </row>
    <row r="744" spans="1:14" hidden="1" outlineLevel="1" x14ac:dyDescent="0.2">
      <c r="A744" s="23" t="str">
        <f>HYPERLINK("https://www.spark-marketing.ru/Card/Person/3570", "УПРАВЛЕНИЕ ПО ОБЕСПЕЧЕНИЮ ДЕЯТЕЛЬНОСТИ МИРОВЫХ СУДЕЙ В ТЮМЕНСКОЙ ОБЛАСТИ")</f>
        <v>УПРАВЛЕНИЕ ПО ОБЕСПЕЧЕНИЮ ДЕЯТЕЛЬНОСТИ МИРОВЫХ СУДЕЙ В ТЮМЕНСКОЙ ОБЛАСТИ</v>
      </c>
      <c r="B744" s="24" t="s">
        <v>1495</v>
      </c>
      <c r="C744" s="25">
        <v>3284086.4</v>
      </c>
      <c r="D744" s="22" t="s">
        <v>1496</v>
      </c>
      <c r="E744" s="22" t="s">
        <v>68</v>
      </c>
      <c r="F744" s="23" t="str">
        <f>HYPERLINK("https://www.spark-marketing.ru/Card/Lot/73970726", "Оказание услуг по охране имущества с помощью пульта централизованного наблюдения")</f>
        <v>Оказание услуг по охране имущества с помощью пульта централизованного наблюдения</v>
      </c>
      <c r="G744" s="22" t="s">
        <v>893</v>
      </c>
      <c r="H744" s="22" t="s">
        <v>894</v>
      </c>
      <c r="I744" s="26">
        <v>43735.607407407399</v>
      </c>
      <c r="J744" s="23" t="str">
        <f>HYPERLINK("https://www.spark-marketing.ru/Card/Person/535334", "ФГКУ ""УВО ВНГ РОССИИ ПО ТЮМЕНСКОЙ ОБЛАСТИ""")</f>
        <v>ФГКУ "УВО ВНГ РОССИИ ПО ТЮМЕНСКОЙ ОБЛАСТИ"</v>
      </c>
      <c r="K744" s="24" t="s">
        <v>1497</v>
      </c>
      <c r="L744" s="28" t="s">
        <v>52</v>
      </c>
      <c r="M744" s="25">
        <v>3218404.68</v>
      </c>
      <c r="N744" s="27">
        <v>1.9999997564010497E-2</v>
      </c>
    </row>
    <row r="745" spans="1:14" x14ac:dyDescent="0.15">
      <c r="A745" s="23" t="str">
        <f>HYPERLINK("https://www.spark-marketing.ru/Card/Person/58147", "АДМИНИСТРАЦИЯ БИСЕРТСКОГО ГОРОДСКОГО ОКРУГА")</f>
        <v>АДМИНИСТРАЦИЯ БИСЕРТСКОГО ГОРОДСКОГО ОКРУГА</v>
      </c>
      <c r="B745" s="24" t="s">
        <v>82</v>
      </c>
      <c r="C745" s="25">
        <v>629347.06999999995</v>
      </c>
      <c r="D745" s="22" t="s">
        <v>1498</v>
      </c>
      <c r="E745" s="22" t="s">
        <v>84</v>
      </c>
      <c r="F745" s="23" t="str">
        <f>HYPERLINK("https://www.spark-marketing.ru/Card/Lot/73965255", "Выполнение работ по приобретению и установке системы видеонаблюдения на ГТС и набережную плотины Бисертского водохранилища")</f>
        <v>Выполнение работ по приобретению и установке системы видеонаблюдения на ГТС и набережную плотины Бисертского водохранилища</v>
      </c>
      <c r="G745" s="22" t="s">
        <v>72</v>
      </c>
      <c r="H745" s="22" t="s">
        <v>85</v>
      </c>
      <c r="I745" s="26">
        <v>43735.582083333298</v>
      </c>
      <c r="J745" s="28" t="s">
        <v>52</v>
      </c>
      <c r="K745" s="28" t="s">
        <v>52</v>
      </c>
      <c r="L745" s="28" t="s">
        <v>52</v>
      </c>
      <c r="M745" s="28" t="s">
        <v>52</v>
      </c>
      <c r="N745" s="28" t="s">
        <v>52</v>
      </c>
    </row>
    <row r="746" spans="1:14" x14ac:dyDescent="0.15">
      <c r="A746" s="23" t="str">
        <f>HYPERLINK("https://www.spark-marketing.ru/Card/Person/10834", "ГКУ КО ""ДИРЕКЦИЯ АВТОДОРОГ КУЗБАССА""")</f>
        <v>ГКУ КО "ДИРЕКЦИЯ АВТОДОРОГ КУЗБАССА"</v>
      </c>
      <c r="B746" s="24" t="s">
        <v>1499</v>
      </c>
      <c r="C746" s="25">
        <v>1364179.54</v>
      </c>
      <c r="D746" s="22" t="s">
        <v>1500</v>
      </c>
      <c r="E746" s="22" t="s">
        <v>723</v>
      </c>
      <c r="F746" s="23" t="str">
        <f>HYPERLINK("https://www.spark-marketing.ru/Card/Lot/73969817", "Выполнение работ по содержанию автомобильных дорог: установка стационарных мест для работы передвижных технических средств, работающих в автоматическом режиме и имеющих функции фотосъемки и видеозаписи для фиксации нарушений в области дорожного движе...")</f>
        <v>Выполнение работ по содержанию автомобильных дорог: установка стационарных мест для работы передвижных технических средств, работающих в автоматическом режиме и имеющих функции фотосъемки и видеозаписи для фиксации нарушений в области дорожного движе...</v>
      </c>
      <c r="G746" s="22" t="s">
        <v>367</v>
      </c>
      <c r="H746" s="22" t="s">
        <v>881</v>
      </c>
      <c r="I746" s="26">
        <v>43735.5687384259</v>
      </c>
      <c r="J746" s="23" t="str">
        <f>HYPERLINK("https://www.spark-marketing.ru/Card/Person/616043", "ООО ""ЛДТ ""МАКАДАМ""")</f>
        <v>ООО "ЛДТ "МАКАДАМ"</v>
      </c>
      <c r="K746" s="24" t="s">
        <v>1501</v>
      </c>
      <c r="L746" s="22" t="s">
        <v>10</v>
      </c>
      <c r="M746" s="28" t="s">
        <v>52</v>
      </c>
      <c r="N746" s="28" t="s">
        <v>52</v>
      </c>
    </row>
    <row r="747" spans="1:14" x14ac:dyDescent="0.15">
      <c r="A747" s="23" t="str">
        <f>HYPERLINK("https://www.spark-marketing.ru/Card/Person/10834", "ГКУ КО ""ДИРЕКЦИЯ АВТОДОРОГ КУЗБАССА""")</f>
        <v>ГКУ КО "ДИРЕКЦИЯ АВТОДОРОГ КУЗБАССА"</v>
      </c>
      <c r="B747" s="24" t="s">
        <v>1499</v>
      </c>
      <c r="C747" s="25">
        <v>1148000</v>
      </c>
      <c r="D747" s="22" t="s">
        <v>1502</v>
      </c>
      <c r="E747" s="22" t="s">
        <v>723</v>
      </c>
      <c r="F747" s="23" t="str">
        <f>HYPERLINK("https://www.spark-marketing.ru/Card/Lot/73969787",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автомобильных дорогах об...")</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автомобильных дорогах об...</v>
      </c>
      <c r="G747" s="22" t="s">
        <v>367</v>
      </c>
      <c r="H747" s="22" t="s">
        <v>881</v>
      </c>
      <c r="I747" s="26">
        <v>43735.564062500001</v>
      </c>
      <c r="J747" s="23" t="str">
        <f>HYPERLINK("https://www.spark-marketing.ru/Card/Person/127397", "ООО ""ИНФОСЕРВИС""")</f>
        <v>ООО "ИНФОСЕРВИС"</v>
      </c>
      <c r="K747" s="24" t="s">
        <v>1503</v>
      </c>
      <c r="L747" s="22" t="s">
        <v>10</v>
      </c>
      <c r="M747" s="28" t="s">
        <v>52</v>
      </c>
      <c r="N747" s="28" t="s">
        <v>52</v>
      </c>
    </row>
    <row r="748" spans="1:14" x14ac:dyDescent="0.15">
      <c r="A748" s="23" t="str">
        <f>HYPERLINK("https://www.spark-marketing.ru/Card/Person/19872", "ГБУЗ МО ""ЛУХОВИЦКАЯ ЦРБ""")</f>
        <v>ГБУЗ МО "ЛУХОВИЦКАЯ ЦРБ"</v>
      </c>
      <c r="B748" s="24" t="s">
        <v>506</v>
      </c>
      <c r="C748" s="25">
        <v>60000</v>
      </c>
      <c r="D748" s="22" t="s">
        <v>1504</v>
      </c>
      <c r="E748" s="22" t="s">
        <v>508</v>
      </c>
      <c r="F748" s="23" t="str">
        <f>HYPERLINK("https://www.spark-marketing.ru/Card/Lot/73946895", "Поставка кнопок тревожной сигнализации (монтаж и вывод сигнала на пульт ЧОО) для нужд ГБУЗ МО ""Луховицкая ЦРБ""")</f>
        <v>Поставка кнопок тревожной сигнализации (монтаж и вывод сигнала на пульт ЧОО) для нужд ГБУЗ МО "Луховицкая ЦРБ"</v>
      </c>
      <c r="G748" s="22" t="s">
        <v>50</v>
      </c>
      <c r="H748" s="22" t="s">
        <v>1505</v>
      </c>
      <c r="I748" s="26">
        <v>43735.514247685198</v>
      </c>
      <c r="J748" s="28" t="s">
        <v>52</v>
      </c>
      <c r="K748" s="28" t="s">
        <v>52</v>
      </c>
      <c r="L748" s="28" t="s">
        <v>52</v>
      </c>
      <c r="M748" s="28" t="s">
        <v>52</v>
      </c>
      <c r="N748" s="28" t="s">
        <v>52</v>
      </c>
    </row>
    <row r="749" spans="1:14" x14ac:dyDescent="0.15">
      <c r="A749" s="23" t="str">
        <f>HYPERLINK("https://www.spark-marketing.ru/Card/Person/561", "УФССП РОССИИ ПО КУРГАНСКОЙ ОБЛАСТИ")</f>
        <v>УФССП РОССИИ ПО КУРГАНСКОЙ ОБЛАСТИ</v>
      </c>
      <c r="B749" s="24" t="s">
        <v>1506</v>
      </c>
      <c r="C749" s="25">
        <v>5960</v>
      </c>
      <c r="D749" s="22" t="s">
        <v>1507</v>
      </c>
      <c r="E749" s="22" t="s">
        <v>84</v>
      </c>
      <c r="F749" s="23" t="str">
        <f>HYPERLINK("https://www.spark-marketing.ru/Card/Lot/73944896", "Техническое обслуживание систем видеонаблюдения, 1 шт")</f>
        <v>Техническое обслуживание систем видеонаблюдения, 1 шт</v>
      </c>
      <c r="G749" s="22" t="s">
        <v>626</v>
      </c>
      <c r="H749" s="22" t="s">
        <v>1508</v>
      </c>
      <c r="I749" s="26">
        <v>43735.496099536998</v>
      </c>
      <c r="J749" s="28" t="s">
        <v>52</v>
      </c>
      <c r="K749" s="28" t="s">
        <v>52</v>
      </c>
      <c r="L749" s="28" t="s">
        <v>52</v>
      </c>
      <c r="M749" s="28" t="s">
        <v>52</v>
      </c>
      <c r="N749" s="28" t="s">
        <v>52</v>
      </c>
    </row>
    <row r="750" spans="1:14" x14ac:dyDescent="0.15">
      <c r="A750" s="23" t="str">
        <f>HYPERLINK("https://www.spark-marketing.ru/Card/Person/1753398", "ПАО ""ПОЧТА БАНК""")</f>
        <v>ПАО "ПОЧТА БАНК"</v>
      </c>
      <c r="B750" s="24" t="s">
        <v>868</v>
      </c>
      <c r="C750" s="25">
        <v>4718304</v>
      </c>
      <c r="D750" s="22" t="s">
        <v>1509</v>
      </c>
      <c r="E750" s="22" t="s">
        <v>52</v>
      </c>
      <c r="F750" s="23" t="str">
        <f>HYPERLINK("https://www.spark-marketing.ru/Card/Lot/73946160", "Оказание услуг по физической охране на объекте ПАО «Почта Банк» в г. Оренбург")</f>
        <v>Оказание услуг по физической охране на объекте ПАО «Почта Банк» в г. Оренбург</v>
      </c>
      <c r="G750" s="22" t="s">
        <v>55</v>
      </c>
      <c r="H750" s="22" t="s">
        <v>55</v>
      </c>
      <c r="I750" s="26">
        <v>43735.464386574102</v>
      </c>
      <c r="J750" s="28" t="s">
        <v>52</v>
      </c>
      <c r="K750" s="28" t="s">
        <v>52</v>
      </c>
      <c r="L750" s="28" t="s">
        <v>52</v>
      </c>
      <c r="M750" s="28" t="s">
        <v>52</v>
      </c>
      <c r="N750" s="28" t="s">
        <v>52</v>
      </c>
    </row>
    <row r="751" spans="1:14" x14ac:dyDescent="0.15">
      <c r="A751" s="23" t="str">
        <f>HYPERLINK("https://www.spark-marketing.ru/Card/Person/1753398", "ПАО ""ПОЧТА БАНК""")</f>
        <v>ПАО "ПОЧТА БАНК"</v>
      </c>
      <c r="B751" s="24" t="s">
        <v>868</v>
      </c>
      <c r="C751" s="28" t="s">
        <v>52</v>
      </c>
      <c r="D751" s="22" t="s">
        <v>1510</v>
      </c>
      <c r="E751" s="22" t="s">
        <v>52</v>
      </c>
      <c r="F751" s="23" t="str">
        <f>HYPERLINK("https://www.spark-marketing.ru/Card/Lot/73946213", "оказание услуг физической охраны на объектах ПАО «Почта Банк» в г. Новосибирск")</f>
        <v>оказание услуг физической охраны на объектах ПАО «Почта Банк» в г. Новосибирск</v>
      </c>
      <c r="G751" s="22" t="s">
        <v>55</v>
      </c>
      <c r="H751" s="22" t="s">
        <v>55</v>
      </c>
      <c r="I751" s="26">
        <v>43735.4944328704</v>
      </c>
      <c r="J751" s="28" t="s">
        <v>52</v>
      </c>
      <c r="K751" s="28" t="s">
        <v>52</v>
      </c>
      <c r="L751" s="28" t="s">
        <v>52</v>
      </c>
      <c r="M751" s="28" t="s">
        <v>52</v>
      </c>
      <c r="N751" s="28" t="s">
        <v>52</v>
      </c>
    </row>
    <row r="752" spans="1:14" x14ac:dyDescent="0.15">
      <c r="A752" s="23" t="str">
        <f>HYPERLINK("https://www.spark-marketing.ru/Card/Person/59056", "АО ""ГСПИ""")</f>
        <v>АО "ГСПИ"</v>
      </c>
      <c r="B752" s="24" t="s">
        <v>1511</v>
      </c>
      <c r="C752" s="28" t="s">
        <v>52</v>
      </c>
      <c r="D752" s="22" t="s">
        <v>1512</v>
      </c>
      <c r="E752" s="22" t="s">
        <v>208</v>
      </c>
      <c r="F752" s="23" t="str">
        <f>HYPERLINK("https://www.spark-marketing.ru/Card/Lot/73946018", "Техническое обслуживание охранной сигнализации в помещении Томского филиала АО ""ГСПИ""")</f>
        <v>Техническое обслуживание охранной сигнализации в помещении Томского филиала АО "ГСПИ"</v>
      </c>
      <c r="G752" s="22" t="s">
        <v>55</v>
      </c>
      <c r="H752" s="22" t="s">
        <v>55</v>
      </c>
      <c r="I752" s="26">
        <v>43735.455613425896</v>
      </c>
      <c r="J752" s="28" t="s">
        <v>52</v>
      </c>
      <c r="K752" s="28" t="s">
        <v>52</v>
      </c>
      <c r="L752" s="28" t="s">
        <v>52</v>
      </c>
      <c r="M752" s="28" t="s">
        <v>52</v>
      </c>
      <c r="N752" s="28" t="s">
        <v>52</v>
      </c>
    </row>
    <row r="753" spans="1:14" x14ac:dyDescent="0.15">
      <c r="A753" s="23" t="str">
        <f>HYPERLINK("https://www.spark-marketing.ru/Card/Person/59056", "АО ""ГСПИ""")</f>
        <v>АО "ГСПИ"</v>
      </c>
      <c r="B753" s="24" t="s">
        <v>1511</v>
      </c>
      <c r="C753" s="25">
        <v>0</v>
      </c>
      <c r="D753" s="22" t="s">
        <v>1513</v>
      </c>
      <c r="E753" s="22" t="s">
        <v>53</v>
      </c>
      <c r="F753" s="23" t="str">
        <f>HYPERLINK("https://www.spark-marketing.ru/Card/Lot/73946715", "мониторинг цен в электронной форме на Техническое обслуживание охранной сигнализации в помещении Томского филиала АО ""ГСПИ""")</f>
        <v>мониторинг цен в электронной форме на Техническое обслуживание охранной сигнализации в помещении Томского филиала АО "ГСПИ"</v>
      </c>
      <c r="G753" s="22" t="s">
        <v>55</v>
      </c>
      <c r="H753" s="22" t="s">
        <v>55</v>
      </c>
      <c r="I753" s="26">
        <v>43735.455578703702</v>
      </c>
      <c r="J753" s="28" t="s">
        <v>52</v>
      </c>
      <c r="K753" s="28" t="s">
        <v>52</v>
      </c>
      <c r="L753" s="28" t="s">
        <v>52</v>
      </c>
      <c r="M753" s="28" t="s">
        <v>52</v>
      </c>
      <c r="N753" s="28" t="s">
        <v>52</v>
      </c>
    </row>
    <row r="754" spans="1:14" x14ac:dyDescent="0.15">
      <c r="A754" s="23" t="str">
        <f>HYPERLINK("https://www.spark-marketing.ru/Card/Person/6450322", "ЗАКАЗЧИК РП БЕЛАРУСЬ")</f>
        <v>ЗАКАЗЧИК РП БЕЛАРУСЬ</v>
      </c>
      <c r="B754" s="28" t="s">
        <v>52</v>
      </c>
      <c r="C754" s="25">
        <v>402715.3</v>
      </c>
      <c r="D754" s="22" t="s">
        <v>1514</v>
      </c>
      <c r="E754" s="22" t="s">
        <v>53</v>
      </c>
      <c r="F754" s="23" t="str">
        <f>HYPERLINK("https://www.spark-marketing.ru/Card/Lot/73941559", "Закупка саженцев, на озеленение, воспроизводство объектов растительного мира, проведение мероприятий, направленных на охрану и защиту объектов растительного мира.")</f>
        <v>Закупка саженцев, на озеленение, воспроизводство объектов растительного мира, проведение мероприятий, направленных на охрану и защиту объектов растительного мира.</v>
      </c>
      <c r="G754" s="22" t="s">
        <v>52</v>
      </c>
      <c r="H754" s="22" t="s">
        <v>52</v>
      </c>
      <c r="I754" s="26">
        <v>43735</v>
      </c>
      <c r="J754" s="28" t="s">
        <v>52</v>
      </c>
      <c r="K754" s="28" t="s">
        <v>52</v>
      </c>
      <c r="L754" s="28" t="s">
        <v>52</v>
      </c>
      <c r="M754" s="28" t="s">
        <v>52</v>
      </c>
      <c r="N754" s="28" t="s">
        <v>52</v>
      </c>
    </row>
    <row r="755" spans="1:14" x14ac:dyDescent="0.15">
      <c r="A755" s="23" t="str">
        <f>HYPERLINK("https://www.spark-marketing.ru/Card/Person/49791", "УПРАВЛЕНИЕ РОСРЕЕСТРА ПО АРХАНГЕЛЬСКОЙ ОБЛАСТИ И НЕНЕЦКОМУ АВТОНОМНОМУ ОКРУГУ")</f>
        <v>УПРАВЛЕНИЕ РОСРЕЕСТРА ПО АРХАНГЕЛЬСКОЙ ОБЛАСТИ И НЕНЕЦКОМУ АВТОНОМНОМУ ОКРУГУ</v>
      </c>
      <c r="B755" s="24" t="s">
        <v>1515</v>
      </c>
      <c r="C755" s="25">
        <v>81325</v>
      </c>
      <c r="D755" s="22" t="s">
        <v>1516</v>
      </c>
      <c r="E755" s="22" t="s">
        <v>59</v>
      </c>
      <c r="F755" s="23" t="str">
        <f>HYPERLINK("https://www.spark-marketing.ru/Card/Lot/73961912", "Выполнение работ по установке кнопки тревожной сигнализации")</f>
        <v>Выполнение работ по установке кнопки тревожной сигнализации</v>
      </c>
      <c r="G755" s="22" t="s">
        <v>1014</v>
      </c>
      <c r="H755" s="22" t="s">
        <v>1015</v>
      </c>
      <c r="I755" s="26">
        <v>43735.403472222199</v>
      </c>
      <c r="J755" s="28" t="s">
        <v>52</v>
      </c>
      <c r="K755" s="28" t="s">
        <v>52</v>
      </c>
      <c r="L755" s="28" t="s">
        <v>52</v>
      </c>
      <c r="M755" s="28" t="s">
        <v>52</v>
      </c>
      <c r="N755" s="28" t="s">
        <v>52</v>
      </c>
    </row>
    <row r="756" spans="1:14" ht="12.75" hidden="1" outlineLevel="1" x14ac:dyDescent="0.2">
      <c r="A756" s="23" t="str">
        <f>HYPERLINK("https://www.spark-marketing.ru/Card/Person/49791", "УПРАВЛЕНИЕ РОСРЕЕСТРА ПО АРХАНГЕЛЬСКОЙ ОБЛАСТИ И НЕНЕЦКОМУ АВТОНОМНОМУ ОКРУГУ")</f>
        <v>УПРАВЛЕНИЕ РОСРЕЕСТРА ПО АРХАНГЕЛЬСКОЙ ОБЛАСТИ И НЕНЕЦКОМУ АВТОНОМНОМУ ОКРУГУ</v>
      </c>
      <c r="B756" s="24" t="s">
        <v>1515</v>
      </c>
      <c r="C756" s="25">
        <v>81325</v>
      </c>
      <c r="D756" s="22" t="s">
        <v>1516</v>
      </c>
      <c r="E756" s="22" t="s">
        <v>59</v>
      </c>
      <c r="F756" s="23" t="str">
        <f>HYPERLINK("https://www.spark-marketing.ru/Card/Lot/73961912", "Выполнение работ по установке кнопки тревожной сигнализации")</f>
        <v>Выполнение работ по установке кнопки тревожной сигнализации</v>
      </c>
      <c r="G756" s="22" t="s">
        <v>1014</v>
      </c>
      <c r="H756" s="22" t="s">
        <v>1015</v>
      </c>
      <c r="I756" s="26">
        <v>43735.403472222199</v>
      </c>
      <c r="J756" s="23" t="str">
        <f>HYPERLINK("https://www.spark-marketing.ru/Card/Person/273868", "ООО ""БЕЗОПАСНОСТЬ КОМПЛЕКС""")</f>
        <v>ООО "БЕЗОПАСНОСТЬ КОМПЛЕКС"</v>
      </c>
      <c r="K756" s="24" t="s">
        <v>1517</v>
      </c>
      <c r="L756" s="22" t="s">
        <v>10</v>
      </c>
      <c r="M756" s="25">
        <v>75000</v>
      </c>
      <c r="N756" s="27">
        <v>7.7774362127267141E-2</v>
      </c>
    </row>
    <row r="757" spans="1:14" hidden="1" outlineLevel="1" x14ac:dyDescent="0.2">
      <c r="A757" s="23" t="str">
        <f>HYPERLINK("https://www.spark-marketing.ru/Card/Person/49791", "УПРАВЛЕНИЕ РОСРЕЕСТРА ПО АРХАНГЕЛЬСКОЙ ОБЛАСТИ И НЕНЕЦКОМУ АВТОНОМНОМУ ОКРУГУ")</f>
        <v>УПРАВЛЕНИЕ РОСРЕЕСТРА ПО АРХАНГЕЛЬСКОЙ ОБЛАСТИ И НЕНЕЦКОМУ АВТОНОМНОМУ ОКРУГУ</v>
      </c>
      <c r="B757" s="24" t="s">
        <v>1515</v>
      </c>
      <c r="C757" s="25">
        <v>81325</v>
      </c>
      <c r="D757" s="22" t="s">
        <v>1516</v>
      </c>
      <c r="E757" s="22" t="s">
        <v>59</v>
      </c>
      <c r="F757" s="23" t="str">
        <f>HYPERLINK("https://www.spark-marketing.ru/Card/Lot/73961912", "Выполнение работ по установке кнопки тревожной сигнализации")</f>
        <v>Выполнение работ по установке кнопки тревожной сигнализации</v>
      </c>
      <c r="G757" s="22" t="s">
        <v>1014</v>
      </c>
      <c r="H757" s="22" t="s">
        <v>1015</v>
      </c>
      <c r="I757" s="26">
        <v>43735.403472222199</v>
      </c>
      <c r="J757" s="23" t="str">
        <f>HYPERLINK("https://www.spark-marketing.ru/Card/Person/4898493", "ФЛ ФГУП ОХРАНА ФЕДЕРАЛЬНОЙ СЛУЖБЫ ВОЙСК НАЦИОНАЛЬНОЙ ГВАРДИИ РФ ПО АРХАНГЕЛЬСКОЙ ОБЛ")</f>
        <v>ФЛ ФГУП ОХРАНА ФЕДЕРАЛЬНОЙ СЛУЖБЫ ВОЙСК НАЦИОНАЛЬНОЙ ГВАРДИИ РФ ПО АРХАНГЕЛЬСКОЙ ОБЛ</v>
      </c>
      <c r="K757" s="24" t="s">
        <v>779</v>
      </c>
      <c r="L757" s="28" t="s">
        <v>52</v>
      </c>
      <c r="M757" s="25">
        <v>78160.800000000003</v>
      </c>
      <c r="N757" s="27">
        <v>3.8908084844758682E-2</v>
      </c>
    </row>
    <row r="758" spans="1:14" x14ac:dyDescent="0.15">
      <c r="A758" s="23" t="str">
        <f>HYPERLINK("https://www.spark-marketing.ru/Card/Person/1006699", "МКУ ""АДМИНИСТРАТИВНЫЙ ЦЕНТР""")</f>
        <v>МКУ "АДМИНИСТРАТИВНЫЙ ЦЕНТР"</v>
      </c>
      <c r="B758" s="24" t="s">
        <v>1518</v>
      </c>
      <c r="C758" s="25">
        <v>19037.810000000001</v>
      </c>
      <c r="D758" s="22" t="s">
        <v>1519</v>
      </c>
      <c r="E758" s="22" t="s">
        <v>59</v>
      </c>
      <c r="F758" s="23" t="str">
        <f>HYPERLINK("https://www.spark-marketing.ru/Card/Lot/73948881", "Выполнение работ по установке и обслуживанию тревожной кнопки в здании администрации Гороховецкого района")</f>
        <v>Выполнение работ по установке и обслуживанию тревожной кнопки в здании администрации Гороховецкого района</v>
      </c>
      <c r="G758" s="22" t="s">
        <v>145</v>
      </c>
      <c r="H758" s="22" t="s">
        <v>145</v>
      </c>
      <c r="I758" s="26">
        <v>43735.381944444402</v>
      </c>
      <c r="J758" s="23" t="str">
        <f>HYPERLINK("https://www.spark-marketing.ru/Card/Person/313870", "ООО ""ОРИОН""")</f>
        <v>ООО "ОРИОН"</v>
      </c>
      <c r="K758" s="24" t="s">
        <v>1520</v>
      </c>
      <c r="L758" s="28" t="s">
        <v>52</v>
      </c>
      <c r="M758" s="28" t="s">
        <v>52</v>
      </c>
      <c r="N758" s="28" t="s">
        <v>52</v>
      </c>
    </row>
    <row r="759" spans="1:14" hidden="1" outlineLevel="1" x14ac:dyDescent="0.15">
      <c r="A759" s="23" t="str">
        <f>HYPERLINK("https://www.spark-marketing.ru/Card/Person/1006699", "МКУ ""АДМИНИСТРАТИВНЫЙ ЦЕНТР""")</f>
        <v>МКУ "АДМИНИСТРАТИВНЫЙ ЦЕНТР"</v>
      </c>
      <c r="B759" s="24" t="s">
        <v>1518</v>
      </c>
      <c r="C759" s="25">
        <v>19037.810000000001</v>
      </c>
      <c r="D759" s="22" t="s">
        <v>1519</v>
      </c>
      <c r="E759" s="22" t="s">
        <v>59</v>
      </c>
      <c r="F759" s="23" t="str">
        <f>HYPERLINK("https://www.spark-marketing.ru/Card/Lot/73948881", "Выполнение работ по установке и обслуживанию тревожной кнопки в здании администрации Гороховецкого района")</f>
        <v>Выполнение работ по установке и обслуживанию тревожной кнопки в здании администрации Гороховецкого района</v>
      </c>
      <c r="G759" s="22" t="s">
        <v>145</v>
      </c>
      <c r="H759" s="22" t="s">
        <v>145</v>
      </c>
      <c r="I759" s="26">
        <v>43735.381944444402</v>
      </c>
      <c r="J759" s="23" t="str">
        <f>HYPERLINK("https://www.spark-marketing.ru/Card/Person/313870", "ООО ""ОРИОН""")</f>
        <v>ООО "ОРИОН"</v>
      </c>
      <c r="K759" s="24" t="s">
        <v>1520</v>
      </c>
      <c r="L759" s="22" t="s">
        <v>10</v>
      </c>
      <c r="M759" s="28" t="s">
        <v>52</v>
      </c>
      <c r="N759" s="28" t="s">
        <v>52</v>
      </c>
    </row>
    <row r="760" spans="1:14" x14ac:dyDescent="0.15">
      <c r="A760" s="23" t="str">
        <f>HYPERLINK("https://www.spark-marketing.ru/Card/Person/10834", "ГКУ КО ""ДИРЕКЦИЯ АВТОДОРОГ КУЗБАССА""")</f>
        <v>ГКУ КО "ДИРЕКЦИЯ АВТОДОРОГ КУЗБАССА"</v>
      </c>
      <c r="B760" s="24" t="s">
        <v>1499</v>
      </c>
      <c r="C760" s="25">
        <v>12325742.300000001</v>
      </c>
      <c r="D760" s="22" t="s">
        <v>1521</v>
      </c>
      <c r="E760" s="22" t="s">
        <v>723</v>
      </c>
      <c r="F760" s="23" t="str">
        <f>HYPERLINK("https://www.spark-marketing.ru/Card/Lot/73964877",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перекрестке проспект Ки...")</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перекрестке проспект Ки...</v>
      </c>
      <c r="G760" s="22" t="s">
        <v>367</v>
      </c>
      <c r="H760" s="22" t="s">
        <v>881</v>
      </c>
      <c r="I760" s="26">
        <v>43735.370277777802</v>
      </c>
      <c r="J760" s="23" t="str">
        <f>HYPERLINK("https://www.spark-marketing.ru/Card/Person/127397", "ООО ""ИНФОСЕРВИС""")</f>
        <v>ООО "ИНФОСЕРВИС"</v>
      </c>
      <c r="K760" s="24" t="s">
        <v>1503</v>
      </c>
      <c r="L760" s="22" t="s">
        <v>10</v>
      </c>
      <c r="M760" s="28" t="s">
        <v>52</v>
      </c>
      <c r="N760" s="28" t="s">
        <v>52</v>
      </c>
    </row>
    <row r="761" spans="1:14" x14ac:dyDescent="0.15">
      <c r="A761" s="23" t="str">
        <f>HYPERLINK("https://www.spark-marketing.ru/Card/Person/12134", "ФКУ ""ЦХИСО ГУ МВД РОССИИ ПО КРАСНОЯРСКОМУ КРАЮ""")</f>
        <v>ФКУ "ЦХИСО ГУ МВД РОССИИ ПО КРАСНОЯРСКОМУ КРАЮ"</v>
      </c>
      <c r="B761" s="24" t="s">
        <v>1522</v>
      </c>
      <c r="C761" s="25">
        <v>99946.08</v>
      </c>
      <c r="D761" s="22" t="s">
        <v>1523</v>
      </c>
      <c r="E761" s="22" t="s">
        <v>53</v>
      </c>
      <c r="F761" s="23" t="str">
        <f>HYPERLINK("https://www.spark-marketing.ru/Card/Lot/73939731", "Оказание услуг по техническому обслуживанию автоматических систем противопожарной защиты и охранной сигнализации")</f>
        <v>Оказание услуг по техническому обслуживанию автоматических систем противопожарной защиты и охранной сигнализации</v>
      </c>
      <c r="G761" s="22" t="s">
        <v>640</v>
      </c>
      <c r="H761" s="22" t="s">
        <v>1524</v>
      </c>
      <c r="I761" s="26">
        <v>43735.340914351902</v>
      </c>
      <c r="J761" s="28" t="s">
        <v>52</v>
      </c>
      <c r="K761" s="28" t="s">
        <v>52</v>
      </c>
      <c r="L761" s="28" t="s">
        <v>52</v>
      </c>
      <c r="M761" s="28" t="s">
        <v>52</v>
      </c>
      <c r="N761" s="28" t="s">
        <v>52</v>
      </c>
    </row>
    <row r="762" spans="1:14" x14ac:dyDescent="0.15">
      <c r="A762" s="23" t="str">
        <f>HYPERLINK("https://www.spark-marketing.ru/Card/Person/66024", "СУ СК РОССИИ ПО НОВГОРОДСКОЙ ОБЛАСТИ")</f>
        <v>СУ СК РОССИИ ПО НОВГОРОДСКОЙ ОБЛАСТИ</v>
      </c>
      <c r="B762" s="24" t="s">
        <v>1525</v>
      </c>
      <c r="C762" s="25">
        <v>291750.59999999998</v>
      </c>
      <c r="D762" s="22" t="s">
        <v>1526</v>
      </c>
      <c r="E762" s="22" t="s">
        <v>68</v>
      </c>
      <c r="F762" s="23" t="str">
        <f>HYPERLINK("https://www.spark-marketing.ru/Card/Lot/73968351", "Охрана объекта")</f>
        <v>Охрана объекта</v>
      </c>
      <c r="G762" s="22" t="s">
        <v>959</v>
      </c>
      <c r="H762" s="22" t="s">
        <v>960</v>
      </c>
      <c r="I762" s="26">
        <v>43735.358854166698</v>
      </c>
      <c r="J762" s="23" t="str">
        <f>HYPERLINK("https://www.spark-marketing.ru/Card/Person/510681", "ФЛ ФГУП ""Охрана"" Росгвардии по Новгородской области")</f>
        <v>ФЛ ФГУП "Охрана" Росгвардии по Новгородской области</v>
      </c>
      <c r="K762" s="24" t="s">
        <v>779</v>
      </c>
      <c r="L762" s="22" t="s">
        <v>10</v>
      </c>
      <c r="M762" s="28" t="s">
        <v>52</v>
      </c>
      <c r="N762" s="28" t="s">
        <v>52</v>
      </c>
    </row>
    <row r="763" spans="1:14" x14ac:dyDescent="0.15">
      <c r="A763" s="23" t="str">
        <f>HYPERLINK("https://www.spark-marketing.ru/Card/Person/10834", "ГКУ КО ""ДИРЕКЦИЯ АВТОДОРОГ КУЗБАССА""")</f>
        <v>ГКУ КО "ДИРЕКЦИЯ АВТОДОРОГ КУЗБАССА"</v>
      </c>
      <c r="B763" s="24" t="s">
        <v>1499</v>
      </c>
      <c r="C763" s="25">
        <v>4736950.2699999996</v>
      </c>
      <c r="D763" s="22" t="s">
        <v>1527</v>
      </c>
      <c r="E763" s="22" t="s">
        <v>723</v>
      </c>
      <c r="F763" s="23" t="str">
        <f>HYPERLINK("https://www.spark-marketing.ru/Card/Lot/73964864",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автомобильных дорогах об...")</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автомобильных дорогах об...</v>
      </c>
      <c r="G763" s="22" t="s">
        <v>367</v>
      </c>
      <c r="H763" s="22" t="s">
        <v>881</v>
      </c>
      <c r="I763" s="26">
        <v>43735.3694791667</v>
      </c>
      <c r="J763" s="23" t="str">
        <f>HYPERLINK("https://www.spark-marketing.ru/Card/Person/264779", "ООО ""ПРОСИСТЕМ""")</f>
        <v>ООО "ПРОСИСТЕМ"</v>
      </c>
      <c r="K763" s="24" t="s">
        <v>1528</v>
      </c>
      <c r="L763" s="22" t="s">
        <v>10</v>
      </c>
      <c r="M763" s="28" t="s">
        <v>52</v>
      </c>
      <c r="N763" s="28" t="s">
        <v>52</v>
      </c>
    </row>
    <row r="764" spans="1:14" x14ac:dyDescent="0.15">
      <c r="A764" s="23" t="str">
        <f>HYPERLINK("https://www.spark-marketing.ru/Card/Person/37988", "ОТДЕЛ МВД РОССИИ ПО АНЖЕРО-СУДЖЕНСКОМУ ГОРОДСКОМУ ОКРУГУ")</f>
        <v>ОТДЕЛ МВД РОССИИ ПО АНЖЕРО-СУДЖЕНСКОМУ ГОРОДСКОМУ ОКРУГУ</v>
      </c>
      <c r="B764" s="24" t="s">
        <v>1211</v>
      </c>
      <c r="C764" s="25">
        <v>5334.36</v>
      </c>
      <c r="D764" s="22" t="s">
        <v>1529</v>
      </c>
      <c r="E764" s="22" t="s">
        <v>1530</v>
      </c>
      <c r="F764" s="23" t="str">
        <f>HYPERLINK("https://www.spark-marketing.ru/Card/Lot/73938176", "Услуги")</f>
        <v>Услуги</v>
      </c>
      <c r="G764" s="22" t="s">
        <v>367</v>
      </c>
      <c r="H764" s="22" t="s">
        <v>1213</v>
      </c>
      <c r="I764" s="26">
        <v>43735.302581018499</v>
      </c>
      <c r="J764" s="28" t="s">
        <v>52</v>
      </c>
      <c r="K764" s="28" t="s">
        <v>52</v>
      </c>
      <c r="L764" s="28" t="s">
        <v>52</v>
      </c>
      <c r="M764" s="28" t="s">
        <v>52</v>
      </c>
      <c r="N764" s="28" t="s">
        <v>52</v>
      </c>
    </row>
    <row r="765" spans="1:14" x14ac:dyDescent="0.15">
      <c r="A765" s="23" t="str">
        <f>HYPERLINK("https://www.spark-marketing.ru/Card/Person/135868", "ОТДЕЛ МВД РОССИИ ПО КАТАВ-ИВАНОВСКОМУ РАЙОНУ ЧЕЛЯБИНСКОЙ ОБЛАСТИ")</f>
        <v>ОТДЕЛ МВД РОССИИ ПО КАТАВ-ИВАНОВСКОМУ РАЙОНУ ЧЕЛЯБИНСКОЙ ОБЛАСТИ</v>
      </c>
      <c r="B765" s="24" t="s">
        <v>1531</v>
      </c>
      <c r="C765" s="25">
        <v>66000</v>
      </c>
      <c r="D765" s="22" t="s">
        <v>1532</v>
      </c>
      <c r="E765" s="22" t="s">
        <v>1013</v>
      </c>
      <c r="F765" s="23" t="str">
        <f>HYPERLINK("https://www.spark-marketing.ru/Card/Lot/73938162", "Техническое обслуживание системы видеонаблюдения, 1 усл. ед")</f>
        <v>Техническое обслуживание системы видеонаблюдения, 1 усл. ед</v>
      </c>
      <c r="G765" s="22" t="s">
        <v>60</v>
      </c>
      <c r="H765" s="22" t="s">
        <v>1533</v>
      </c>
      <c r="I765" s="26">
        <v>43735.267650463</v>
      </c>
      <c r="J765" s="28" t="s">
        <v>52</v>
      </c>
      <c r="K765" s="28" t="s">
        <v>52</v>
      </c>
      <c r="L765" s="28" t="s">
        <v>52</v>
      </c>
      <c r="M765" s="28" t="s">
        <v>52</v>
      </c>
      <c r="N765" s="28" t="s">
        <v>52</v>
      </c>
    </row>
    <row r="766" spans="1:14" x14ac:dyDescent="0.15">
      <c r="A766" s="23" t="str">
        <f>HYPERLINK("https://www.spark-marketing.ru/Card/Person/146902", "ФГКУ ""1 ОТРЯД ФПС ПО НОВОСИБИРСКОЙ ОБЛАСТИ""")</f>
        <v>ФГКУ "1 ОТРЯД ФПС ПО НОВОСИБИРСКОЙ ОБЛАСТИ"</v>
      </c>
      <c r="B766" s="24" t="s">
        <v>1534</v>
      </c>
      <c r="C766" s="25">
        <v>5410</v>
      </c>
      <c r="D766" s="22" t="s">
        <v>1535</v>
      </c>
      <c r="E766" s="22" t="s">
        <v>53</v>
      </c>
      <c r="F766" s="23" t="str">
        <f>HYPERLINK("https://www.spark-marketing.ru/Card/Lot/73937054", "установка охранной сигнализации")</f>
        <v>установка охранной сигнализации</v>
      </c>
      <c r="G766" s="22" t="s">
        <v>209</v>
      </c>
      <c r="H766" s="22" t="s">
        <v>210</v>
      </c>
      <c r="I766" s="26">
        <v>43735.253368055601</v>
      </c>
      <c r="J766" s="28" t="s">
        <v>52</v>
      </c>
      <c r="K766" s="28" t="s">
        <v>52</v>
      </c>
      <c r="L766" s="28" t="s">
        <v>52</v>
      </c>
      <c r="M766" s="28" t="s">
        <v>52</v>
      </c>
      <c r="N766" s="28" t="s">
        <v>52</v>
      </c>
    </row>
    <row r="767" spans="1:14" x14ac:dyDescent="0.15">
      <c r="A767" s="23" t="str">
        <f>HYPERLINK("https://www.spark-marketing.ru/Card/Person/1838774", "ООО ЧОП ""РН-ОХРАНА-САХАЛИН""")</f>
        <v>ООО ЧОП "РН-ОХРАНА-САХАЛИН"</v>
      </c>
      <c r="B767" s="24" t="s">
        <v>1536</v>
      </c>
      <c r="C767" s="28" t="s">
        <v>52</v>
      </c>
      <c r="D767" s="22" t="s">
        <v>1537</v>
      </c>
      <c r="E767" s="22" t="s">
        <v>1538</v>
      </c>
      <c r="F767" s="23" t="str">
        <f>HYPERLINK("https://www.spark-marketing.ru/Card/Lot/73982346", "Поставка видеорегистраторов")</f>
        <v>Поставка видеорегистраторов</v>
      </c>
      <c r="G767" s="22" t="s">
        <v>69</v>
      </c>
      <c r="H767" s="22" t="s">
        <v>973</v>
      </c>
      <c r="I767" s="26">
        <v>43735.188888888901</v>
      </c>
      <c r="J767" s="28" t="s">
        <v>52</v>
      </c>
      <c r="K767" s="28" t="s">
        <v>52</v>
      </c>
      <c r="L767" s="28" t="s">
        <v>52</v>
      </c>
      <c r="M767" s="28" t="s">
        <v>52</v>
      </c>
      <c r="N767" s="28" t="s">
        <v>52</v>
      </c>
    </row>
    <row r="768" spans="1:14" x14ac:dyDescent="0.15">
      <c r="A768" s="23" t="str">
        <f>HYPERLINK("https://www.spark-marketing.ru/Card/Person/59056", "АО ""ГСПИ""")</f>
        <v>АО "ГСПИ"</v>
      </c>
      <c r="B768" s="24" t="s">
        <v>1511</v>
      </c>
      <c r="C768" s="28" t="s">
        <v>52</v>
      </c>
      <c r="D768" s="22" t="s">
        <v>1539</v>
      </c>
      <c r="E768" s="22" t="s">
        <v>53</v>
      </c>
      <c r="F768" s="23" t="str">
        <f>HYPERLINK("https://www.spark-marketing.ru/Card/Lot/73952478", "Техническое обслуживание охранной сигнализации в помещении Томского филиала АО ""ГСПИ"" (1351755)")</f>
        <v>Техническое обслуживание охранной сигнализации в помещении Томского филиала АО "ГСПИ" (1351755)</v>
      </c>
      <c r="G768" s="22" t="s">
        <v>55</v>
      </c>
      <c r="H768" s="22" t="s">
        <v>55</v>
      </c>
      <c r="I768" s="26">
        <v>43735.455601851798</v>
      </c>
      <c r="J768" s="28" t="s">
        <v>52</v>
      </c>
      <c r="K768" s="28" t="s">
        <v>52</v>
      </c>
      <c r="L768" s="28" t="s">
        <v>52</v>
      </c>
      <c r="M768" s="28" t="s">
        <v>52</v>
      </c>
      <c r="N768" s="28" t="s">
        <v>52</v>
      </c>
    </row>
    <row r="769" spans="1:14" x14ac:dyDescent="0.15">
      <c r="A769" s="23" t="str">
        <f>HYPERLINK("https://www.spark-marketing.ru/Card/Person/6450322", "ЗАКАЗЧИК РП БЕЛАРУСЬ")</f>
        <v>ЗАКАЗЧИК РП БЕЛАРУСЬ</v>
      </c>
      <c r="B769" s="28" t="s">
        <v>52</v>
      </c>
      <c r="C769" s="28" t="s">
        <v>52</v>
      </c>
      <c r="D769" s="22" t="s">
        <v>1540</v>
      </c>
      <c r="E769" s="22" t="s">
        <v>53</v>
      </c>
      <c r="F769" s="23" t="str">
        <f>HYPERLINK("https://www.spark-marketing.ru/Card/Lot/73951772", "Выполнение работ по установке систем видеонаблюдения и противовзломной сигнализации в отношении лота 14.")</f>
        <v>Выполнение работ по установке систем видеонаблюдения и противовзломной сигнализации в отношении лота 14.</v>
      </c>
      <c r="G769" s="22" t="s">
        <v>52</v>
      </c>
      <c r="H769" s="22" t="s">
        <v>52</v>
      </c>
      <c r="I769" s="26">
        <v>43735</v>
      </c>
      <c r="J769" s="28" t="s">
        <v>52</v>
      </c>
      <c r="K769" s="28" t="s">
        <v>52</v>
      </c>
      <c r="L769" s="28" t="s">
        <v>52</v>
      </c>
      <c r="M769" s="28" t="s">
        <v>52</v>
      </c>
      <c r="N769" s="28" t="s">
        <v>52</v>
      </c>
    </row>
    <row r="770" spans="1:14" x14ac:dyDescent="0.15">
      <c r="A770" s="23" t="str">
        <f>HYPERLINK("https://www.spark-marketing.ru/Card/Person/660513", "ГАУ ЧАО ""АВИАБАЗА""")</f>
        <v>ГАУ ЧАО "АВИАБАЗА"</v>
      </c>
      <c r="B770" s="24" t="s">
        <v>1541</v>
      </c>
      <c r="C770" s="25">
        <v>4232000</v>
      </c>
      <c r="D770" s="22" t="s">
        <v>1542</v>
      </c>
      <c r="E770" s="22" t="s">
        <v>1543</v>
      </c>
      <c r="F770" s="23" t="str">
        <f>HYPERLINK("https://www.spark-marketing.ru/Card/Lot/73896715", "Вездеход лесопожарный - транспортное средство повышенной проходимости для нужд ГАУ ЧАО «База авиационной охраны лесов»")</f>
        <v>Вездеход лесопожарный - транспортное средство повышенной проходимости для нужд ГАУ ЧАО «База авиационной охраны лесов»</v>
      </c>
      <c r="G770" s="22" t="s">
        <v>1544</v>
      </c>
      <c r="H770" s="22" t="s">
        <v>1544</v>
      </c>
      <c r="I770" s="26">
        <v>43734</v>
      </c>
      <c r="J770" s="28" t="s">
        <v>52</v>
      </c>
      <c r="K770" s="28" t="s">
        <v>52</v>
      </c>
      <c r="L770" s="28" t="s">
        <v>52</v>
      </c>
      <c r="M770" s="28" t="s">
        <v>52</v>
      </c>
      <c r="N770" s="28" t="s">
        <v>52</v>
      </c>
    </row>
    <row r="771" spans="1:14" x14ac:dyDescent="0.15">
      <c r="A771" s="23" t="str">
        <f>HYPERLINK("https://www.spark-marketing.ru/Card/Person/6450322", "ЗАКАЗЧИК РП БЕЛАРУСЬ")</f>
        <v>ЗАКАЗЧИК РП БЕЛАРУСЬ</v>
      </c>
      <c r="B771" s="28" t="s">
        <v>52</v>
      </c>
      <c r="C771" s="28" t="s">
        <v>52</v>
      </c>
      <c r="D771" s="22" t="s">
        <v>1540</v>
      </c>
      <c r="E771" s="22" t="s">
        <v>53</v>
      </c>
      <c r="F771" s="23" t="str">
        <f>HYPERLINK("https://www.spark-marketing.ru/Card/Lot/73951777", "Выполнение работ по установке систем видеонаблюдения и противовзломной сигнализации в отношении лота 19.")</f>
        <v>Выполнение работ по установке систем видеонаблюдения и противовзломной сигнализации в отношении лота 19.</v>
      </c>
      <c r="G771" s="22" t="s">
        <v>52</v>
      </c>
      <c r="H771" s="22" t="s">
        <v>52</v>
      </c>
      <c r="I771" s="26">
        <v>43735</v>
      </c>
      <c r="J771" s="28" t="s">
        <v>52</v>
      </c>
      <c r="K771" s="28" t="s">
        <v>52</v>
      </c>
      <c r="L771" s="28" t="s">
        <v>52</v>
      </c>
      <c r="M771" s="28" t="s">
        <v>52</v>
      </c>
      <c r="N771" s="28" t="s">
        <v>52</v>
      </c>
    </row>
    <row r="772" spans="1:14" x14ac:dyDescent="0.15">
      <c r="A772" s="23" t="str">
        <f>HYPERLINK("https://www.spark-marketing.ru/Card/Person/6450322", "ЗАКАЗЧИК РП БЕЛАРУСЬ")</f>
        <v>ЗАКАЗЧИК РП БЕЛАРУСЬ</v>
      </c>
      <c r="B772" s="28" t="s">
        <v>52</v>
      </c>
      <c r="C772" s="28" t="s">
        <v>52</v>
      </c>
      <c r="D772" s="22" t="s">
        <v>1540</v>
      </c>
      <c r="E772" s="22" t="s">
        <v>53</v>
      </c>
      <c r="F772" s="23" t="str">
        <f>HYPERLINK("https://www.spark-marketing.ru/Card/Lot/73951768", "Выполнение работ по установке систем видеонаблюдения и противовзломной сигнализации в отношении лота 10.")</f>
        <v>Выполнение работ по установке систем видеонаблюдения и противовзломной сигнализации в отношении лота 10.</v>
      </c>
      <c r="G772" s="22" t="s">
        <v>52</v>
      </c>
      <c r="H772" s="22" t="s">
        <v>52</v>
      </c>
      <c r="I772" s="26">
        <v>43735</v>
      </c>
      <c r="J772" s="28" t="s">
        <v>52</v>
      </c>
      <c r="K772" s="28" t="s">
        <v>52</v>
      </c>
      <c r="L772" s="28" t="s">
        <v>52</v>
      </c>
      <c r="M772" s="28" t="s">
        <v>52</v>
      </c>
      <c r="N772" s="28" t="s">
        <v>52</v>
      </c>
    </row>
    <row r="773" spans="1:14" x14ac:dyDescent="0.15">
      <c r="A773" s="23" t="str">
        <f>HYPERLINK("https://www.spark-marketing.ru/Card/Person/6450322", "ЗАКАЗЧИК РП БЕЛАРУСЬ")</f>
        <v>ЗАКАЗЧИК РП БЕЛАРУСЬ</v>
      </c>
      <c r="B773" s="28" t="s">
        <v>52</v>
      </c>
      <c r="C773" s="28" t="s">
        <v>52</v>
      </c>
      <c r="D773" s="22" t="s">
        <v>1540</v>
      </c>
      <c r="E773" s="22" t="s">
        <v>53</v>
      </c>
      <c r="F773" s="23" t="str">
        <f>HYPERLINK("https://www.spark-marketing.ru/Card/Lot/73951775", "Выполнение работ по установке систем видеонаблюдения и противовзломной сигнализации в отношении лота 17.")</f>
        <v>Выполнение работ по установке систем видеонаблюдения и противовзломной сигнализации в отношении лота 17.</v>
      </c>
      <c r="G773" s="22" t="s">
        <v>52</v>
      </c>
      <c r="H773" s="22" t="s">
        <v>52</v>
      </c>
      <c r="I773" s="26">
        <v>43735</v>
      </c>
      <c r="J773" s="28" t="s">
        <v>52</v>
      </c>
      <c r="K773" s="28" t="s">
        <v>52</v>
      </c>
      <c r="L773" s="28" t="s">
        <v>52</v>
      </c>
      <c r="M773" s="28" t="s">
        <v>52</v>
      </c>
      <c r="N773" s="28" t="s">
        <v>52</v>
      </c>
    </row>
    <row r="774" spans="1:14" x14ac:dyDescent="0.2">
      <c r="A774" s="23" t="str">
        <f>HYPERLINK("https://www.spark-marketing.ru/Card/Person/16317", "ФГБОУ ВО ""МГТУ"", МГТУ, МАЙКОПСКИЙ ГОСУДАРСТВЕННЫЙ ТЕХНОЛОГИЧЕСКИЙ УНИВЕРСИТЕТ")</f>
        <v>ФГБОУ ВО "МГТУ", МГТУ, МАЙКОПСКИЙ ГОСУДАРСТВЕННЫЙ ТЕХНОЛОГИЧЕСКИЙ УНИВЕРСИТЕТ</v>
      </c>
      <c r="B774" s="24" t="s">
        <v>1545</v>
      </c>
      <c r="C774" s="25">
        <v>235768.7</v>
      </c>
      <c r="D774" s="22" t="s">
        <v>1546</v>
      </c>
      <c r="E774" s="22" t="s">
        <v>49</v>
      </c>
      <c r="F774" s="23" t="str">
        <f>HYPERLINK("https://www.spark-marketing.ru/Card/Lot/73952169", "Выполнение работ по установке системы видеонаблюдения на объекте ФГБОУ ВО «МГТУ»")</f>
        <v>Выполнение работ по установке системы видеонаблюдения на объекте ФГБОУ ВО «МГТУ»</v>
      </c>
      <c r="G774" s="22" t="s">
        <v>1547</v>
      </c>
      <c r="H774" s="22" t="s">
        <v>1547</v>
      </c>
      <c r="I774" s="26">
        <v>43735</v>
      </c>
      <c r="J774" s="28" t="s">
        <v>52</v>
      </c>
      <c r="K774" s="28" t="s">
        <v>52</v>
      </c>
      <c r="L774" s="28" t="s">
        <v>52</v>
      </c>
      <c r="M774" s="25">
        <v>235768.7</v>
      </c>
      <c r="N774" s="27">
        <v>0</v>
      </c>
    </row>
    <row r="775" spans="1:14" x14ac:dyDescent="0.15">
      <c r="A775" s="23" t="str">
        <f>HYPERLINK("https://www.spark-marketing.ru/Card/Person/6450322", "ЗАКАЗЧИК РП БЕЛАРУСЬ")</f>
        <v>ЗАКАЗЧИК РП БЕЛАРУСЬ</v>
      </c>
      <c r="B775" s="28" t="s">
        <v>52</v>
      </c>
      <c r="C775" s="28" t="s">
        <v>52</v>
      </c>
      <c r="D775" s="22" t="s">
        <v>1540</v>
      </c>
      <c r="E775" s="22" t="s">
        <v>53</v>
      </c>
      <c r="F775" s="23" t="str">
        <f>HYPERLINK("https://www.spark-marketing.ru/Card/Lot/73951762", "Выполнение работ по установке систем видеонаблюдения и противовзломной сигнализации в отношении лота 4.")</f>
        <v>Выполнение работ по установке систем видеонаблюдения и противовзломной сигнализации в отношении лота 4.</v>
      </c>
      <c r="G775" s="22" t="s">
        <v>52</v>
      </c>
      <c r="H775" s="22" t="s">
        <v>52</v>
      </c>
      <c r="I775" s="26">
        <v>43735</v>
      </c>
      <c r="J775" s="28" t="s">
        <v>52</v>
      </c>
      <c r="K775" s="28" t="s">
        <v>52</v>
      </c>
      <c r="L775" s="28" t="s">
        <v>52</v>
      </c>
      <c r="M775" s="28" t="s">
        <v>52</v>
      </c>
      <c r="N775" s="28" t="s">
        <v>52</v>
      </c>
    </row>
    <row r="776" spans="1:14" x14ac:dyDescent="0.15">
      <c r="A776" s="23" t="str">
        <f>HYPERLINK("https://www.spark-marketing.ru/Card/Person/4346563", "ПАО ""ГАЗПРОМ""")</f>
        <v>ПАО "ГАЗПРОМ"</v>
      </c>
      <c r="B776" s="24" t="s">
        <v>1548</v>
      </c>
      <c r="C776" s="25">
        <v>250440336</v>
      </c>
      <c r="D776" s="22" t="s">
        <v>1549</v>
      </c>
      <c r="E776" s="22" t="s">
        <v>1550</v>
      </c>
      <c r="F776" s="23" t="str">
        <f>HYPERLINK("https://www.spark-marketing.ru/Card/Lot/73961428", "Оказание автотранспортных услуг Кавказскому, Дагестанскому и Астраханскому отрядам охраны филиала ПАО «Газпром» «Южное межрегиональное управление охраны ПАО «Газпром» в г. Краснодаре для нужд ПАО «Газпром» в 2020-2022 годах (для субъектов малого и ср...")</f>
        <v>Оказание автотранспортных услуг Кавказскому, Дагестанскому и Астраханскому отрядам охраны филиала ПАО «Газпром» «Южное межрегиональное управление охраны ПАО «Газпром» в г. Краснодаре для нужд ПАО «Газпром» в 2020-2022 годах (для субъектов малого и ср...</v>
      </c>
      <c r="G776" s="22" t="s">
        <v>55</v>
      </c>
      <c r="H776" s="22" t="s">
        <v>55</v>
      </c>
      <c r="I776" s="26">
        <v>43735</v>
      </c>
      <c r="J776" s="28" t="s">
        <v>52</v>
      </c>
      <c r="K776" s="28" t="s">
        <v>52</v>
      </c>
      <c r="L776" s="28" t="s">
        <v>52</v>
      </c>
      <c r="M776" s="28" t="s">
        <v>52</v>
      </c>
      <c r="N776" s="28" t="s">
        <v>52</v>
      </c>
    </row>
    <row r="777" spans="1:14" x14ac:dyDescent="0.15">
      <c r="A777" s="23" t="str">
        <f>HYPERLINK("https://www.spark-marketing.ru/Card/Person/6450322", "ЗАКАЗЧИК РП БЕЛАРУСЬ")</f>
        <v>ЗАКАЗЧИК РП БЕЛАРУСЬ</v>
      </c>
      <c r="B777" s="28" t="s">
        <v>52</v>
      </c>
      <c r="C777" s="25">
        <v>554724.83669999999</v>
      </c>
      <c r="D777" s="22" t="s">
        <v>1540</v>
      </c>
      <c r="E777" s="22" t="s">
        <v>53</v>
      </c>
      <c r="F777" s="23" t="str">
        <f>HYPERLINK("https://www.spark-marketing.ru/Card/Lot/73951766", "Выполнение работ по установке систем видеонаблюдения и противовзломной сигнализации в отношении лота 8.")</f>
        <v>Выполнение работ по установке систем видеонаблюдения и противовзломной сигнализации в отношении лота 8.</v>
      </c>
      <c r="G777" s="22" t="s">
        <v>52</v>
      </c>
      <c r="H777" s="22" t="s">
        <v>52</v>
      </c>
      <c r="I777" s="26">
        <v>43735</v>
      </c>
      <c r="J777" s="28" t="s">
        <v>52</v>
      </c>
      <c r="K777" s="28" t="s">
        <v>52</v>
      </c>
      <c r="L777" s="28" t="s">
        <v>52</v>
      </c>
      <c r="M777" s="28" t="s">
        <v>52</v>
      </c>
      <c r="N777" s="28" t="s">
        <v>52</v>
      </c>
    </row>
    <row r="778" spans="1:14" x14ac:dyDescent="0.15">
      <c r="A778" s="23" t="str">
        <f>HYPERLINK("https://www.spark-marketing.ru/Card/Person/4346563", "ПАО ""ГАЗПРОМ""")</f>
        <v>ПАО "ГАЗПРОМ"</v>
      </c>
      <c r="B778" s="24" t="s">
        <v>1548</v>
      </c>
      <c r="C778" s="25">
        <v>247326360</v>
      </c>
      <c r="D778" s="22" t="s">
        <v>1551</v>
      </c>
      <c r="E778" s="22" t="s">
        <v>1550</v>
      </c>
      <c r="F778" s="23" t="str">
        <f>HYPERLINK("https://www.spark-marketing.ru/Card/Lot/73961213", "Оказание автотранспортных услуг Краснодарскому и Ростовскому отрядам охраны и АУП филиала ПАО «Газпром» «Южное межрегиональное управление охраны ПАО «Газпром» в г. Краснодаре для нужд ПАО «Газпром» в 2020-2022 годах (для субъектов малого и среднего п...")</f>
        <v>Оказание автотранспортных услуг Краснодарскому и Ростовскому отрядам охраны и АУП филиала ПАО «Газпром» «Южное межрегиональное управление охраны ПАО «Газпром» в г. Краснодаре для нужд ПАО «Газпром» в 2020-2022 годах (для субъектов малого и среднего п...</v>
      </c>
      <c r="G778" s="22" t="s">
        <v>55</v>
      </c>
      <c r="H778" s="22" t="s">
        <v>55</v>
      </c>
      <c r="I778" s="26">
        <v>43735</v>
      </c>
      <c r="J778" s="28" t="s">
        <v>52</v>
      </c>
      <c r="K778" s="28" t="s">
        <v>52</v>
      </c>
      <c r="L778" s="28" t="s">
        <v>52</v>
      </c>
      <c r="M778" s="28" t="s">
        <v>52</v>
      </c>
      <c r="N778" s="28" t="s">
        <v>52</v>
      </c>
    </row>
    <row r="779" spans="1:14" x14ac:dyDescent="0.15">
      <c r="A779" s="23" t="str">
        <f t="shared" ref="A779:A784" si="14">HYPERLINK("https://www.spark-marketing.ru/Card/Person/6450322", "ЗАКАЗЧИК РП БЕЛАРУСЬ")</f>
        <v>ЗАКАЗЧИК РП БЕЛАРУСЬ</v>
      </c>
      <c r="B779" s="28" t="s">
        <v>52</v>
      </c>
      <c r="C779" s="28" t="s">
        <v>52</v>
      </c>
      <c r="D779" s="22" t="s">
        <v>1540</v>
      </c>
      <c r="E779" s="22" t="s">
        <v>53</v>
      </c>
      <c r="F779" s="23" t="str">
        <f>HYPERLINK("https://www.spark-marketing.ru/Card/Lot/73951770", "Выполнение работ по установке систем видеонаблюдения и противовзломной сигнализации в отношении лота 12.")</f>
        <v>Выполнение работ по установке систем видеонаблюдения и противовзломной сигнализации в отношении лота 12.</v>
      </c>
      <c r="G779" s="22" t="s">
        <v>52</v>
      </c>
      <c r="H779" s="22" t="s">
        <v>52</v>
      </c>
      <c r="I779" s="26">
        <v>43735</v>
      </c>
      <c r="J779" s="28" t="s">
        <v>52</v>
      </c>
      <c r="K779" s="28" t="s">
        <v>52</v>
      </c>
      <c r="L779" s="28" t="s">
        <v>52</v>
      </c>
      <c r="M779" s="28" t="s">
        <v>52</v>
      </c>
      <c r="N779" s="28" t="s">
        <v>52</v>
      </c>
    </row>
    <row r="780" spans="1:14" x14ac:dyDescent="0.15">
      <c r="A780" s="23" t="str">
        <f t="shared" si="14"/>
        <v>ЗАКАЗЧИК РП БЕЛАРУСЬ</v>
      </c>
      <c r="B780" s="28" t="s">
        <v>52</v>
      </c>
      <c r="C780" s="28" t="s">
        <v>52</v>
      </c>
      <c r="D780" s="22" t="s">
        <v>1540</v>
      </c>
      <c r="E780" s="22" t="s">
        <v>53</v>
      </c>
      <c r="F780" s="23" t="str">
        <f>HYPERLINK("https://www.spark-marketing.ru/Card/Lot/73951767", "Выполнение работ по установке систем видеонаблюдения и противовзломной сигнализации в отношении лота 9.")</f>
        <v>Выполнение работ по установке систем видеонаблюдения и противовзломной сигнализации в отношении лота 9.</v>
      </c>
      <c r="G780" s="22" t="s">
        <v>52</v>
      </c>
      <c r="H780" s="22" t="s">
        <v>52</v>
      </c>
      <c r="I780" s="26">
        <v>43735</v>
      </c>
      <c r="J780" s="28" t="s">
        <v>52</v>
      </c>
      <c r="K780" s="28" t="s">
        <v>52</v>
      </c>
      <c r="L780" s="28" t="s">
        <v>52</v>
      </c>
      <c r="M780" s="28" t="s">
        <v>52</v>
      </c>
      <c r="N780" s="28" t="s">
        <v>52</v>
      </c>
    </row>
    <row r="781" spans="1:14" x14ac:dyDescent="0.15">
      <c r="A781" s="23" t="str">
        <f t="shared" si="14"/>
        <v>ЗАКАЗЧИК РП БЕЛАРУСЬ</v>
      </c>
      <c r="B781" s="28" t="s">
        <v>52</v>
      </c>
      <c r="C781" s="28" t="s">
        <v>52</v>
      </c>
      <c r="D781" s="22" t="s">
        <v>1540</v>
      </c>
      <c r="E781" s="22" t="s">
        <v>53</v>
      </c>
      <c r="F781" s="23" t="str">
        <f>HYPERLINK("https://www.spark-marketing.ru/Card/Lot/73951774", "Выполнение работ по установке систем видеонаблюдения и противовзломной сигнализации в отношении лота 16.")</f>
        <v>Выполнение работ по установке систем видеонаблюдения и противовзломной сигнализации в отношении лота 16.</v>
      </c>
      <c r="G781" s="22" t="s">
        <v>52</v>
      </c>
      <c r="H781" s="22" t="s">
        <v>52</v>
      </c>
      <c r="I781" s="26">
        <v>43735</v>
      </c>
      <c r="J781" s="28" t="s">
        <v>52</v>
      </c>
      <c r="K781" s="28" t="s">
        <v>52</v>
      </c>
      <c r="L781" s="28" t="s">
        <v>52</v>
      </c>
      <c r="M781" s="28" t="s">
        <v>52</v>
      </c>
      <c r="N781" s="28" t="s">
        <v>52</v>
      </c>
    </row>
    <row r="782" spans="1:14" x14ac:dyDescent="0.15">
      <c r="A782" s="23" t="str">
        <f t="shared" si="14"/>
        <v>ЗАКАЗЧИК РП БЕЛАРУСЬ</v>
      </c>
      <c r="B782" s="28" t="s">
        <v>52</v>
      </c>
      <c r="C782" s="28" t="s">
        <v>52</v>
      </c>
      <c r="D782" s="22" t="s">
        <v>1540</v>
      </c>
      <c r="E782" s="22" t="s">
        <v>53</v>
      </c>
      <c r="F782" s="23" t="str">
        <f>HYPERLINK("https://www.spark-marketing.ru/Card/Lot/73951761", "Выполнение работ по установке систем видеонаблюдения и противовзломной сигнализации в отношении лота 3.")</f>
        <v>Выполнение работ по установке систем видеонаблюдения и противовзломной сигнализации в отношении лота 3.</v>
      </c>
      <c r="G782" s="22" t="s">
        <v>52</v>
      </c>
      <c r="H782" s="22" t="s">
        <v>52</v>
      </c>
      <c r="I782" s="26">
        <v>43735</v>
      </c>
      <c r="J782" s="28" t="s">
        <v>52</v>
      </c>
      <c r="K782" s="28" t="s">
        <v>52</v>
      </c>
      <c r="L782" s="28" t="s">
        <v>52</v>
      </c>
      <c r="M782" s="28" t="s">
        <v>52</v>
      </c>
      <c r="N782" s="28" t="s">
        <v>52</v>
      </c>
    </row>
    <row r="783" spans="1:14" x14ac:dyDescent="0.15">
      <c r="A783" s="23" t="str">
        <f t="shared" si="14"/>
        <v>ЗАКАЗЧИК РП БЕЛАРУСЬ</v>
      </c>
      <c r="B783" s="28" t="s">
        <v>52</v>
      </c>
      <c r="C783" s="28" t="s">
        <v>52</v>
      </c>
      <c r="D783" s="22" t="s">
        <v>1540</v>
      </c>
      <c r="E783" s="22" t="s">
        <v>53</v>
      </c>
      <c r="F783" s="23" t="str">
        <f>HYPERLINK("https://www.spark-marketing.ru/Card/Lot/73951765", "Выполнение работ по установке систем видеонаблюдения и противовзломной сигнализации в отношении лота 7.")</f>
        <v>Выполнение работ по установке систем видеонаблюдения и противовзломной сигнализации в отношении лота 7.</v>
      </c>
      <c r="G783" s="22" t="s">
        <v>52</v>
      </c>
      <c r="H783" s="22" t="s">
        <v>52</v>
      </c>
      <c r="I783" s="26">
        <v>43735</v>
      </c>
      <c r="J783" s="28" t="s">
        <v>52</v>
      </c>
      <c r="K783" s="28" t="s">
        <v>52</v>
      </c>
      <c r="L783" s="28" t="s">
        <v>52</v>
      </c>
      <c r="M783" s="28" t="s">
        <v>52</v>
      </c>
      <c r="N783" s="28" t="s">
        <v>52</v>
      </c>
    </row>
    <row r="784" spans="1:14" x14ac:dyDescent="0.15">
      <c r="A784" s="23" t="str">
        <f t="shared" si="14"/>
        <v>ЗАКАЗЧИК РП БЕЛАРУСЬ</v>
      </c>
      <c r="B784" s="28" t="s">
        <v>52</v>
      </c>
      <c r="C784" s="28" t="s">
        <v>52</v>
      </c>
      <c r="D784" s="22" t="s">
        <v>1540</v>
      </c>
      <c r="E784" s="22" t="s">
        <v>53</v>
      </c>
      <c r="F784" s="23" t="str">
        <f>HYPERLINK("https://www.spark-marketing.ru/Card/Lot/73951773", "Выполнение работ по установке систем видеонаблюдения и противовзломной сигнализации в отношении лота 15.")</f>
        <v>Выполнение работ по установке систем видеонаблюдения и противовзломной сигнализации в отношении лота 15.</v>
      </c>
      <c r="G784" s="22" t="s">
        <v>52</v>
      </c>
      <c r="H784" s="22" t="s">
        <v>52</v>
      </c>
      <c r="I784" s="26">
        <v>43735</v>
      </c>
      <c r="J784" s="28" t="s">
        <v>52</v>
      </c>
      <c r="K784" s="28" t="s">
        <v>52</v>
      </c>
      <c r="L784" s="28" t="s">
        <v>52</v>
      </c>
      <c r="M784" s="28" t="s">
        <v>52</v>
      </c>
      <c r="N784" s="28" t="s">
        <v>52</v>
      </c>
    </row>
    <row r="785" spans="1:14" x14ac:dyDescent="0.2">
      <c r="A785" s="23" t="str">
        <f>HYPERLINK("https://www.spark-marketing.ru/Card/Person/91705", "АО ""УППО""")</f>
        <v>АО "УППО"</v>
      </c>
      <c r="B785" s="24" t="s">
        <v>1552</v>
      </c>
      <c r="C785" s="25">
        <v>19313065.260000002</v>
      </c>
      <c r="D785" s="22" t="s">
        <v>1553</v>
      </c>
      <c r="E785" s="22" t="s">
        <v>798</v>
      </c>
      <c r="F785" s="23" t="str">
        <f>HYPERLINK("https://www.spark-marketing.ru/Card/Lot/73945141", "1434-2019-00251. Оказание услуг, связанных с решением задач по защите объектов Заказчика от противоправных посягательств, обеспечению внутриобъектового и пропускного режимов, предупреждению и пересечению преступлений и административных правонарушений...")</f>
        <v>1434-2019-00251. Оказание услуг, связанных с решением задач по защите объектов Заказчика от противоправных посягательств, обеспечению внутриобъектового и пропускного режимов, предупреждению и пересечению преступлений и административных правонарушений...</v>
      </c>
      <c r="G785" s="22" t="s">
        <v>100</v>
      </c>
      <c r="H785" s="22" t="s">
        <v>373</v>
      </c>
      <c r="I785" s="26">
        <v>43735</v>
      </c>
      <c r="J785" s="28" t="s">
        <v>52</v>
      </c>
      <c r="K785" s="28" t="s">
        <v>52</v>
      </c>
      <c r="L785" s="28" t="s">
        <v>52</v>
      </c>
      <c r="M785" s="25">
        <v>19313065.260000002</v>
      </c>
      <c r="N785" s="27">
        <v>0</v>
      </c>
    </row>
    <row r="786" spans="1:14" x14ac:dyDescent="0.15">
      <c r="A786" s="23" t="str">
        <f>HYPERLINK("https://www.spark-marketing.ru/Card/Person/843884", "МАУ ДО ДЮСШ ""ПОБЕДА""")</f>
        <v>МАУ ДО ДЮСШ "ПОБЕДА"</v>
      </c>
      <c r="B786" s="24" t="s">
        <v>1554</v>
      </c>
      <c r="C786" s="25">
        <v>198096</v>
      </c>
      <c r="D786" s="22" t="s">
        <v>1555</v>
      </c>
      <c r="E786" s="22" t="s">
        <v>49</v>
      </c>
      <c r="F786" s="23" t="str">
        <f>HYPERLINK("https://www.spark-marketing.ru/Card/Lot/73957853", "Электромонтажные работы по установке системы видеонаблюдения")</f>
        <v>Электромонтажные работы по установке системы видеонаблюдения</v>
      </c>
      <c r="G786" s="22" t="s">
        <v>150</v>
      </c>
      <c r="H786" s="22" t="s">
        <v>150</v>
      </c>
      <c r="I786" s="26">
        <v>43735</v>
      </c>
      <c r="J786" s="28" t="s">
        <v>52</v>
      </c>
      <c r="K786" s="28" t="s">
        <v>52</v>
      </c>
      <c r="L786" s="28" t="s">
        <v>52</v>
      </c>
      <c r="M786" s="28" t="s">
        <v>52</v>
      </c>
      <c r="N786" s="28" t="s">
        <v>52</v>
      </c>
    </row>
    <row r="787" spans="1:14" x14ac:dyDescent="0.15">
      <c r="A787" s="23" t="str">
        <f>HYPERLINK("https://www.spark-marketing.ru/Card/Person/6450322", "ЗАКАЗЧИК РП БЕЛАРУСЬ")</f>
        <v>ЗАКАЗЧИК РП БЕЛАРУСЬ</v>
      </c>
      <c r="B787" s="28" t="s">
        <v>52</v>
      </c>
      <c r="C787" s="28" t="s">
        <v>52</v>
      </c>
      <c r="D787" s="22" t="s">
        <v>1540</v>
      </c>
      <c r="E787" s="22" t="s">
        <v>53</v>
      </c>
      <c r="F787" s="23" t="str">
        <f>HYPERLINK("https://www.spark-marketing.ru/Card/Lot/73951760", "Выполнение работ по установке систем видеонаблюдения и противовзломной сигнализации в отношении лота 2.")</f>
        <v>Выполнение работ по установке систем видеонаблюдения и противовзломной сигнализации в отношении лота 2.</v>
      </c>
      <c r="G787" s="22" t="s">
        <v>52</v>
      </c>
      <c r="H787" s="22" t="s">
        <v>52</v>
      </c>
      <c r="I787" s="26">
        <v>43735</v>
      </c>
      <c r="J787" s="28" t="s">
        <v>52</v>
      </c>
      <c r="K787" s="28" t="s">
        <v>52</v>
      </c>
      <c r="L787" s="28" t="s">
        <v>52</v>
      </c>
      <c r="M787" s="28" t="s">
        <v>52</v>
      </c>
      <c r="N787" s="28" t="s">
        <v>52</v>
      </c>
    </row>
    <row r="788" spans="1:14" x14ac:dyDescent="0.15">
      <c r="A788" s="23" t="str">
        <f>HYPERLINK("https://www.spark-marketing.ru/Card/Person/6450322", "ЗАКАЗЧИК РП БЕЛАРУСЬ")</f>
        <v>ЗАКАЗЧИК РП БЕЛАРУСЬ</v>
      </c>
      <c r="B788" s="28" t="s">
        <v>52</v>
      </c>
      <c r="C788" s="28" t="s">
        <v>52</v>
      </c>
      <c r="D788" s="22" t="s">
        <v>1540</v>
      </c>
      <c r="E788" s="22" t="s">
        <v>53</v>
      </c>
      <c r="F788" s="23" t="str">
        <f>HYPERLINK("https://www.spark-marketing.ru/Card/Lot/73951771", "Выполнение работ по установке систем видеонаблюдения и противовзломной сигнализации в отношении лота 13.")</f>
        <v>Выполнение работ по установке систем видеонаблюдения и противовзломной сигнализации в отношении лота 13.</v>
      </c>
      <c r="G788" s="22" t="s">
        <v>52</v>
      </c>
      <c r="H788" s="22" t="s">
        <v>52</v>
      </c>
      <c r="I788" s="26">
        <v>43735</v>
      </c>
      <c r="J788" s="28" t="s">
        <v>52</v>
      </c>
      <c r="K788" s="28" t="s">
        <v>52</v>
      </c>
      <c r="L788" s="28" t="s">
        <v>52</v>
      </c>
      <c r="M788" s="28" t="s">
        <v>52</v>
      </c>
      <c r="N788" s="28" t="s">
        <v>52</v>
      </c>
    </row>
    <row r="789" spans="1:14" x14ac:dyDescent="0.15">
      <c r="A789" s="23" t="str">
        <f>HYPERLINK("https://www.spark-marketing.ru/Card/Person/6450322", "ЗАКАЗЧИК РП БЕЛАРУСЬ")</f>
        <v>ЗАКАЗЧИК РП БЕЛАРУСЬ</v>
      </c>
      <c r="B789" s="28" t="s">
        <v>52</v>
      </c>
      <c r="C789" s="28" t="s">
        <v>52</v>
      </c>
      <c r="D789" s="22" t="s">
        <v>1540</v>
      </c>
      <c r="E789" s="22" t="s">
        <v>53</v>
      </c>
      <c r="F789" s="23" t="str">
        <f>HYPERLINK("https://www.spark-marketing.ru/Card/Lot/73951778", "Выполнение работ по установке систем видеонаблюдения и противовзломной сигнализации в отношении лота 20.")</f>
        <v>Выполнение работ по установке систем видеонаблюдения и противовзломной сигнализации в отношении лота 20.</v>
      </c>
      <c r="G789" s="22" t="s">
        <v>52</v>
      </c>
      <c r="H789" s="22" t="s">
        <v>52</v>
      </c>
      <c r="I789" s="26">
        <v>43735</v>
      </c>
      <c r="J789" s="28" t="s">
        <v>52</v>
      </c>
      <c r="K789" s="28" t="s">
        <v>52</v>
      </c>
      <c r="L789" s="28" t="s">
        <v>52</v>
      </c>
      <c r="M789" s="28" t="s">
        <v>52</v>
      </c>
      <c r="N789" s="28" t="s">
        <v>52</v>
      </c>
    </row>
    <row r="790" spans="1:14" x14ac:dyDescent="0.15">
      <c r="A790" s="23" t="str">
        <f>HYPERLINK("https://www.spark-marketing.ru/Card/Person/4863251", "МАУ ""СДК""")</f>
        <v>МАУ "СДК"</v>
      </c>
      <c r="B790" s="24" t="s">
        <v>1556</v>
      </c>
      <c r="C790" s="25">
        <v>223250</v>
      </c>
      <c r="D790" s="22" t="s">
        <v>1557</v>
      </c>
      <c r="E790" s="22" t="s">
        <v>49</v>
      </c>
      <c r="F790" s="23" t="str">
        <f>HYPERLINK("https://www.spark-marketing.ru/Card/Lot/73943668", "Монтажные работы по установке IP видеонаблюдения, со своими материалами в здании МКУ СДК")</f>
        <v>Монтажные работы по установке IP видеонаблюдения, со своими материалами в здании МКУ СДК</v>
      </c>
      <c r="G790" s="22" t="s">
        <v>119</v>
      </c>
      <c r="H790" s="22" t="s">
        <v>119</v>
      </c>
      <c r="I790" s="26">
        <v>43735</v>
      </c>
      <c r="J790" s="28" t="s">
        <v>52</v>
      </c>
      <c r="K790" s="28" t="s">
        <v>52</v>
      </c>
      <c r="L790" s="28" t="s">
        <v>52</v>
      </c>
      <c r="M790" s="28" t="s">
        <v>52</v>
      </c>
      <c r="N790" s="28" t="s">
        <v>52</v>
      </c>
    </row>
    <row r="791" spans="1:14" x14ac:dyDescent="0.2">
      <c r="A791" s="23" t="str">
        <f>HYPERLINK("https://www.spark-marketing.ru/Card/Person/1752511", "АО ""РТ-ОХРАНА""")</f>
        <v>АО "РТ-ОХРАНА"</v>
      </c>
      <c r="B791" s="24" t="s">
        <v>1558</v>
      </c>
      <c r="C791" s="25">
        <v>708127</v>
      </c>
      <c r="D791" s="22" t="s">
        <v>1559</v>
      </c>
      <c r="E791" s="22" t="s">
        <v>1560</v>
      </c>
      <c r="F791" s="23" t="str">
        <f>HYPERLINK("https://www.spark-marketing.ru/Card/Lot/73930199", "1501-2019-00254. Оказание услуг по обслуживанию технических средств охраны для нужд Сергиво-Посадского филиала АО «РТ-Охрана»")</f>
        <v>1501-2019-00254. Оказание услуг по обслуживанию технических средств охраны для нужд Сергиво-Посадского филиала АО «РТ-Охрана»</v>
      </c>
      <c r="G791" s="22" t="s">
        <v>55</v>
      </c>
      <c r="H791" s="22" t="s">
        <v>55</v>
      </c>
      <c r="I791" s="26">
        <v>43735</v>
      </c>
      <c r="J791" s="28" t="s">
        <v>52</v>
      </c>
      <c r="K791" s="28" t="s">
        <v>52</v>
      </c>
      <c r="L791" s="22" t="s">
        <v>10</v>
      </c>
      <c r="M791" s="25">
        <v>474000</v>
      </c>
      <c r="N791" s="27">
        <v>0.33062854544453185</v>
      </c>
    </row>
    <row r="792" spans="1:14" x14ac:dyDescent="0.2">
      <c r="A792" s="23" t="str">
        <f>HYPERLINK("https://www.spark-marketing.ru/Card/Person/140855", "ГАУ ""ОБЛАСТНОЙ ЦЕНТР РЕАБИЛИТАЦИИ ИНВАЛИДОВ""")</f>
        <v>ГАУ "ОБЛАСТНОЙ ЦЕНТР РЕАБИЛИТАЦИИ ИНВАЛИДОВ"</v>
      </c>
      <c r="B792" s="24" t="s">
        <v>1561</v>
      </c>
      <c r="C792" s="25">
        <v>163680</v>
      </c>
      <c r="D792" s="22" t="s">
        <v>1562</v>
      </c>
      <c r="E792" s="22" t="s">
        <v>144</v>
      </c>
      <c r="F792" s="23" t="str">
        <f>HYPERLINK("https://www.spark-marketing.ru/Card/Lot/73948498", "Оказание услуг по охране объекта социального обслуживания населения с постоянным (круглосуточным) пребыванием людей")</f>
        <v>Оказание услуг по охране объекта социального обслуживания населения с постоянным (круглосуточным) пребыванием людей</v>
      </c>
      <c r="G792" s="22" t="s">
        <v>72</v>
      </c>
      <c r="H792" s="22" t="s">
        <v>72</v>
      </c>
      <c r="I792" s="26">
        <v>43735</v>
      </c>
      <c r="J792" s="28" t="s">
        <v>52</v>
      </c>
      <c r="K792" s="28" t="s">
        <v>52</v>
      </c>
      <c r="L792" s="28" t="s">
        <v>52</v>
      </c>
      <c r="M792" s="25">
        <v>178560</v>
      </c>
      <c r="N792" s="27">
        <v>-9.0909090909090912E-2</v>
      </c>
    </row>
    <row r="793" spans="1:14" x14ac:dyDescent="0.15">
      <c r="A793" s="23" t="str">
        <f>HYPERLINK("https://www.spark-marketing.ru/Card/Person/6450322", "ЗАКАЗЧИК РП БЕЛАРУСЬ")</f>
        <v>ЗАКАЗЧИК РП БЕЛАРУСЬ</v>
      </c>
      <c r="B793" s="28" t="s">
        <v>52</v>
      </c>
      <c r="C793" s="28" t="s">
        <v>52</v>
      </c>
      <c r="D793" s="22" t="s">
        <v>1540</v>
      </c>
      <c r="E793" s="22" t="s">
        <v>53</v>
      </c>
      <c r="F793" s="23" t="str">
        <f>HYPERLINK("https://www.spark-marketing.ru/Card/Lot/73951759", "Выполнение работ по установке систем видеонаблюдения и противовзломной сигнализации в отношении лота 1.")</f>
        <v>Выполнение работ по установке систем видеонаблюдения и противовзломной сигнализации в отношении лота 1.</v>
      </c>
      <c r="G793" s="22" t="s">
        <v>52</v>
      </c>
      <c r="H793" s="22" t="s">
        <v>52</v>
      </c>
      <c r="I793" s="26">
        <v>43735</v>
      </c>
      <c r="J793" s="28" t="s">
        <v>52</v>
      </c>
      <c r="K793" s="28" t="s">
        <v>52</v>
      </c>
      <c r="L793" s="28" t="s">
        <v>52</v>
      </c>
      <c r="M793" s="28" t="s">
        <v>52</v>
      </c>
      <c r="N793" s="28" t="s">
        <v>52</v>
      </c>
    </row>
    <row r="794" spans="1:14" x14ac:dyDescent="0.15">
      <c r="A794" s="23" t="str">
        <f>HYPERLINK("https://www.spark-marketing.ru/Card/Person/4392876", "ГУП РК ""КРЫМАВТОДОР""")</f>
        <v>ГУП РК "КРЫМАВТОДОР"</v>
      </c>
      <c r="B794" s="24" t="s">
        <v>1563</v>
      </c>
      <c r="C794" s="25">
        <v>16119594.1</v>
      </c>
      <c r="D794" s="22" t="s">
        <v>1564</v>
      </c>
      <c r="E794" s="22" t="s">
        <v>1565</v>
      </c>
      <c r="F794" s="23" t="str">
        <f>HYPERLINK("https://www.spark-marketing.ru/Card/Lot/73947818", "Выполнение работ по установке светофоров, камер видеонаблюдения и датчиков движения на автомобильных дорогах общего пользования Республики Крым")</f>
        <v>Выполнение работ по установке светофоров, камер видеонаблюдения и датчиков движения на автомобильных дорогах общего пользования Республики Крым</v>
      </c>
      <c r="G794" s="22" t="s">
        <v>1053</v>
      </c>
      <c r="H794" s="22" t="s">
        <v>1053</v>
      </c>
      <c r="I794" s="26">
        <v>43735</v>
      </c>
      <c r="J794" s="28" t="s">
        <v>52</v>
      </c>
      <c r="K794" s="28" t="s">
        <v>52</v>
      </c>
      <c r="L794" s="28" t="s">
        <v>52</v>
      </c>
      <c r="M794" s="28" t="s">
        <v>52</v>
      </c>
      <c r="N794" s="28" t="s">
        <v>52</v>
      </c>
    </row>
    <row r="795" spans="1:14" x14ac:dyDescent="0.15">
      <c r="A795" s="23" t="str">
        <f>HYPERLINK("https://www.spark-marketing.ru/Card/Person/6450322", "ЗАКАЗЧИК РП БЕЛАРУСЬ")</f>
        <v>ЗАКАЗЧИК РП БЕЛАРУСЬ</v>
      </c>
      <c r="B795" s="28" t="s">
        <v>52</v>
      </c>
      <c r="C795" s="28" t="s">
        <v>52</v>
      </c>
      <c r="D795" s="22" t="s">
        <v>1540</v>
      </c>
      <c r="E795" s="22" t="s">
        <v>53</v>
      </c>
      <c r="F795" s="23" t="str">
        <f>HYPERLINK("https://www.spark-marketing.ru/Card/Lot/73951763", "Выполнение работ по установке систем видеонаблюдения и противовзломной сигнализации в отношении лота 5.")</f>
        <v>Выполнение работ по установке систем видеонаблюдения и противовзломной сигнализации в отношении лота 5.</v>
      </c>
      <c r="G795" s="22" t="s">
        <v>52</v>
      </c>
      <c r="H795" s="22" t="s">
        <v>52</v>
      </c>
      <c r="I795" s="26">
        <v>43735</v>
      </c>
      <c r="J795" s="28" t="s">
        <v>52</v>
      </c>
      <c r="K795" s="28" t="s">
        <v>52</v>
      </c>
      <c r="L795" s="28" t="s">
        <v>52</v>
      </c>
      <c r="M795" s="28" t="s">
        <v>52</v>
      </c>
      <c r="N795" s="28" t="s">
        <v>52</v>
      </c>
    </row>
    <row r="796" spans="1:14" x14ac:dyDescent="0.15">
      <c r="A796" s="23" t="str">
        <f>HYPERLINK("https://www.spark-marketing.ru/Card/Person/6450322", "ЗАКАЗЧИК РП БЕЛАРУСЬ")</f>
        <v>ЗАКАЗЧИК РП БЕЛАРУСЬ</v>
      </c>
      <c r="B796" s="28" t="s">
        <v>52</v>
      </c>
      <c r="C796" s="28" t="s">
        <v>52</v>
      </c>
      <c r="D796" s="22" t="s">
        <v>1540</v>
      </c>
      <c r="E796" s="22" t="s">
        <v>53</v>
      </c>
      <c r="F796" s="23" t="str">
        <f>HYPERLINK("https://www.spark-marketing.ru/Card/Lot/73951764", "Выполнение работ по установке систем видеонаблюдения и противовзломной сигнализации в отношении лота 6.")</f>
        <v>Выполнение работ по установке систем видеонаблюдения и противовзломной сигнализации в отношении лота 6.</v>
      </c>
      <c r="G796" s="22" t="s">
        <v>52</v>
      </c>
      <c r="H796" s="22" t="s">
        <v>52</v>
      </c>
      <c r="I796" s="26">
        <v>43735</v>
      </c>
      <c r="J796" s="28" t="s">
        <v>52</v>
      </c>
      <c r="K796" s="28" t="s">
        <v>52</v>
      </c>
      <c r="L796" s="28" t="s">
        <v>52</v>
      </c>
      <c r="M796" s="28" t="s">
        <v>52</v>
      </c>
      <c r="N796" s="28" t="s">
        <v>52</v>
      </c>
    </row>
    <row r="797" spans="1:14" x14ac:dyDescent="0.15">
      <c r="A797" s="23" t="str">
        <f>HYPERLINK("https://www.spark-marketing.ru/Card/Person/263580", "АОУ ДО ВО ""ДООЦ ""ЛЕСНАЯ СКАЗКА""")</f>
        <v>АОУ ДО ВО "ДООЦ "ЛЕСНАЯ СКАЗКА"</v>
      </c>
      <c r="B797" s="24" t="s">
        <v>1566</v>
      </c>
      <c r="C797" s="25">
        <v>9566553.5999999996</v>
      </c>
      <c r="D797" s="22" t="s">
        <v>1567</v>
      </c>
      <c r="E797" s="22" t="s">
        <v>691</v>
      </c>
      <c r="F797" s="23" t="str">
        <f>HYPERLINK("https://www.spark-marketing.ru/Card/Lot/73947326", "Установка системы внутреннего видеонаблюдения в АОУ ДО ВО «ДООЦ «Лесная сказка», расположенного по адресу: 162710, Вологодская область, Череповецкий район, д. Харламовская»")</f>
        <v>Установка системы внутреннего видеонаблюдения в АОУ ДО ВО «ДООЦ «Лесная сказка», расположенного по адресу: 162710, Вологодская область, Череповецкий район, д. Харламовская»</v>
      </c>
      <c r="G797" s="22" t="s">
        <v>902</v>
      </c>
      <c r="H797" s="22" t="s">
        <v>902</v>
      </c>
      <c r="I797" s="26">
        <v>43735</v>
      </c>
      <c r="J797" s="28" t="s">
        <v>52</v>
      </c>
      <c r="K797" s="28" t="s">
        <v>52</v>
      </c>
      <c r="L797" s="28" t="s">
        <v>52</v>
      </c>
      <c r="M797" s="28" t="s">
        <v>52</v>
      </c>
      <c r="N797" s="28" t="s">
        <v>52</v>
      </c>
    </row>
    <row r="798" spans="1:14" x14ac:dyDescent="0.15">
      <c r="A798" s="23" t="str">
        <f>HYPERLINK("https://www.spark-marketing.ru/Card/Person/6450322", "ЗАКАЗЧИК РП БЕЛАРУСЬ")</f>
        <v>ЗАКАЗЧИК РП БЕЛАРУСЬ</v>
      </c>
      <c r="B798" s="28" t="s">
        <v>52</v>
      </c>
      <c r="C798" s="28" t="s">
        <v>52</v>
      </c>
      <c r="D798" s="22" t="s">
        <v>1540</v>
      </c>
      <c r="E798" s="22" t="s">
        <v>53</v>
      </c>
      <c r="F798" s="23" t="str">
        <f>HYPERLINK("https://www.spark-marketing.ru/Card/Lot/73951769", "Выполнение работ по установке систем видеонаблюдения и противовзломной сигнализации в отношении лота 11.")</f>
        <v>Выполнение работ по установке систем видеонаблюдения и противовзломной сигнализации в отношении лота 11.</v>
      </c>
      <c r="G798" s="22" t="s">
        <v>52</v>
      </c>
      <c r="H798" s="22" t="s">
        <v>52</v>
      </c>
      <c r="I798" s="26">
        <v>43735</v>
      </c>
      <c r="J798" s="28" t="s">
        <v>52</v>
      </c>
      <c r="K798" s="28" t="s">
        <v>52</v>
      </c>
      <c r="L798" s="28" t="s">
        <v>52</v>
      </c>
      <c r="M798" s="28" t="s">
        <v>52</v>
      </c>
      <c r="N798" s="28" t="s">
        <v>52</v>
      </c>
    </row>
    <row r="799" spans="1:14" x14ac:dyDescent="0.15">
      <c r="A799" s="23" t="str">
        <f>HYPERLINK("https://www.spark-marketing.ru/Card/Person/1697371", "ООО ""МОСКВА КАРГО""")</f>
        <v>ООО "МОСКВА КАРГО"</v>
      </c>
      <c r="B799" s="24" t="s">
        <v>1568</v>
      </c>
      <c r="C799" s="25">
        <v>1143048.77</v>
      </c>
      <c r="D799" s="22" t="s">
        <v>1569</v>
      </c>
      <c r="E799" s="22" t="s">
        <v>53</v>
      </c>
      <c r="F799" s="23" t="str">
        <f>HYPERLINK("https://www.spark-marketing.ru/Card/Lot/73962710", "Проведение работ по дооборудованию лучевых досмотровых установок склада временного хранения ООО ""Москва Карго"" системами видеонаблюдения и средствами визуализации")</f>
        <v>Проведение работ по дооборудованию лучевых досмотровых установок склада временного хранения ООО "Москва Карго" системами видеонаблюдения и средствами визуализации</v>
      </c>
      <c r="G799" s="22" t="s">
        <v>50</v>
      </c>
      <c r="H799" s="22" t="s">
        <v>938</v>
      </c>
      <c r="I799" s="26">
        <v>43735</v>
      </c>
      <c r="J799" s="28" t="s">
        <v>52</v>
      </c>
      <c r="K799" s="28" t="s">
        <v>52</v>
      </c>
      <c r="L799" s="28" t="s">
        <v>52</v>
      </c>
      <c r="M799" s="28" t="s">
        <v>52</v>
      </c>
      <c r="N799" s="28" t="s">
        <v>52</v>
      </c>
    </row>
    <row r="800" spans="1:14" x14ac:dyDescent="0.15">
      <c r="A800" s="23" t="str">
        <f>HYPERLINK("https://www.spark-marketing.ru/Card/Person/6450322", "ЗАКАЗЧИК РП БЕЛАРУСЬ")</f>
        <v>ЗАКАЗЧИК РП БЕЛАРУСЬ</v>
      </c>
      <c r="B800" s="28" t="s">
        <v>52</v>
      </c>
      <c r="C800" s="28" t="s">
        <v>52</v>
      </c>
      <c r="D800" s="22" t="s">
        <v>1540</v>
      </c>
      <c r="E800" s="22" t="s">
        <v>53</v>
      </c>
      <c r="F800" s="23" t="str">
        <f>HYPERLINK("https://www.spark-marketing.ru/Card/Lot/73951776", "Выполнение работ по установке систем видеонаблюдения и противовзломной сигнализации в отношении лота 18.")</f>
        <v>Выполнение работ по установке систем видеонаблюдения и противовзломной сигнализации в отношении лота 18.</v>
      </c>
      <c r="G800" s="22" t="s">
        <v>52</v>
      </c>
      <c r="H800" s="22" t="s">
        <v>52</v>
      </c>
      <c r="I800" s="26">
        <v>43735</v>
      </c>
      <c r="J800" s="28" t="s">
        <v>52</v>
      </c>
      <c r="K800" s="28" t="s">
        <v>52</v>
      </c>
      <c r="L800" s="28" t="s">
        <v>52</v>
      </c>
      <c r="M800" s="28" t="s">
        <v>52</v>
      </c>
      <c r="N800" s="28" t="s">
        <v>52</v>
      </c>
    </row>
    <row r="801" spans="1:14" x14ac:dyDescent="0.15">
      <c r="A801" s="23" t="str">
        <f>HYPERLINK("https://www.spark-marketing.ru/Card/Person/4368013", "АСУСОН ТО ""КУНЧУРСКИЙ ПСИХОНЕВРОЛОГИЧЕСКИЙ ИНТЕРНАТ""")</f>
        <v>АСУСОН ТО "КУНЧУРСКИЙ ПСИХОНЕВРОЛОГИЧЕСКИЙ ИНТЕРНАТ"</v>
      </c>
      <c r="B801" s="24" t="s">
        <v>1570</v>
      </c>
      <c r="C801" s="25">
        <v>375360</v>
      </c>
      <c r="D801" s="22" t="s">
        <v>1571</v>
      </c>
      <c r="E801" s="22" t="s">
        <v>144</v>
      </c>
      <c r="F801" s="23" t="str">
        <f>HYPERLINK("https://www.spark-marketing.ru/Card/Lot/73940433", "услуги охраны объекта")</f>
        <v>услуги охраны объекта</v>
      </c>
      <c r="G801" s="22" t="s">
        <v>893</v>
      </c>
      <c r="H801" s="22" t="s">
        <v>893</v>
      </c>
      <c r="I801" s="26">
        <v>43735</v>
      </c>
      <c r="J801" s="28" t="s">
        <v>52</v>
      </c>
      <c r="K801" s="28" t="s">
        <v>52</v>
      </c>
      <c r="L801" s="28" t="s">
        <v>52</v>
      </c>
      <c r="M801" s="28" t="s">
        <v>52</v>
      </c>
      <c r="N801" s="28" t="s">
        <v>52</v>
      </c>
    </row>
    <row r="802" spans="1:14" hidden="1" outlineLevel="1" x14ac:dyDescent="0.2">
      <c r="A802" s="23" t="str">
        <f>HYPERLINK("https://www.spark-marketing.ru/Card/Person/4368013", "АСУСОН ТО ""КУНЧУРСКИЙ ПСИХОНЕВРОЛОГИЧЕСКИЙ ИНТЕРНАТ""")</f>
        <v>АСУСОН ТО "КУНЧУРСКИЙ ПСИХОНЕВРОЛОГИЧЕСКИЙ ИНТЕРНАТ"</v>
      </c>
      <c r="B802" s="24" t="s">
        <v>1570</v>
      </c>
      <c r="C802" s="28" t="s">
        <v>52</v>
      </c>
      <c r="D802" s="22" t="s">
        <v>1571</v>
      </c>
      <c r="E802" s="22" t="s">
        <v>144</v>
      </c>
      <c r="F802" s="23" t="str">
        <f>HYPERLINK("https://www.spark-marketing.ru/Card/Lot/73940433", "услуги охраны объекта")</f>
        <v>услуги охраны объекта</v>
      </c>
      <c r="G802" s="22" t="s">
        <v>893</v>
      </c>
      <c r="H802" s="22" t="s">
        <v>893</v>
      </c>
      <c r="I802" s="26">
        <v>43735</v>
      </c>
      <c r="J802" s="23" t="str">
        <f>HYPERLINK("https://www.spark-marketing.ru/Card/Person/4499861", "ООО ""НЧОП ""ИМПЕРИЯ - Т""")</f>
        <v>ООО "НЧОП "ИМПЕРИЯ - Т"</v>
      </c>
      <c r="K802" s="24" t="s">
        <v>1572</v>
      </c>
      <c r="L802" s="28" t="s">
        <v>52</v>
      </c>
      <c r="M802" s="25">
        <v>397440</v>
      </c>
      <c r="N802" s="27">
        <v>-5.8823529411764705E-2</v>
      </c>
    </row>
    <row r="803" spans="1:14" hidden="1" outlineLevel="1" x14ac:dyDescent="0.2">
      <c r="A803" s="23" t="str">
        <f>HYPERLINK("https://www.spark-marketing.ru/Card/Person/4368013", "АСУСОН ТО ""КУНЧУРСКИЙ ПСИХОНЕВРОЛОГИЧЕСКИЙ ИНТЕРНАТ""")</f>
        <v>АСУСОН ТО "КУНЧУРСКИЙ ПСИХОНЕВРОЛОГИЧЕСКИЙ ИНТЕРНАТ"</v>
      </c>
      <c r="B803" s="24" t="s">
        <v>1570</v>
      </c>
      <c r="C803" s="28" t="s">
        <v>52</v>
      </c>
      <c r="D803" s="22" t="s">
        <v>1571</v>
      </c>
      <c r="E803" s="22" t="s">
        <v>144</v>
      </c>
      <c r="F803" s="23" t="str">
        <f>HYPERLINK("https://www.spark-marketing.ru/Card/Lot/73940433", "услуги охраны объекта")</f>
        <v>услуги охраны объекта</v>
      </c>
      <c r="G803" s="22" t="s">
        <v>893</v>
      </c>
      <c r="H803" s="22" t="s">
        <v>893</v>
      </c>
      <c r="I803" s="26">
        <v>43735</v>
      </c>
      <c r="J803" s="23" t="str">
        <f>HYPERLINK("https://www.spark-marketing.ru/Card/Person/6715681", "ООО БАГРАТИОН")</f>
        <v>ООО БАГРАТИОН</v>
      </c>
      <c r="K803" s="24" t="s">
        <v>1573</v>
      </c>
      <c r="L803" s="28" t="s">
        <v>52</v>
      </c>
      <c r="M803" s="25">
        <v>529920</v>
      </c>
      <c r="N803" s="27">
        <v>-0.41176470588235292</v>
      </c>
    </row>
    <row r="804" spans="1:14" hidden="1" outlineLevel="1" x14ac:dyDescent="0.2">
      <c r="A804" s="23" t="str">
        <f>HYPERLINK("https://www.spark-marketing.ru/Card/Person/4368013", "АСУСОН ТО ""КУНЧУРСКИЙ ПСИХОНЕВРОЛОГИЧЕСКИЙ ИНТЕРНАТ""")</f>
        <v>АСУСОН ТО "КУНЧУРСКИЙ ПСИХОНЕВРОЛОГИЧЕСКИЙ ИНТЕРНАТ"</v>
      </c>
      <c r="B804" s="24" t="s">
        <v>1570</v>
      </c>
      <c r="C804" s="28" t="s">
        <v>52</v>
      </c>
      <c r="D804" s="22" t="s">
        <v>1571</v>
      </c>
      <c r="E804" s="22" t="s">
        <v>144</v>
      </c>
      <c r="F804" s="23" t="str">
        <f>HYPERLINK("https://www.spark-marketing.ru/Card/Lot/73940433", "услуги охраны объекта")</f>
        <v>услуги охраны объекта</v>
      </c>
      <c r="G804" s="22" t="s">
        <v>893</v>
      </c>
      <c r="H804" s="22" t="s">
        <v>893</v>
      </c>
      <c r="I804" s="26">
        <v>43735</v>
      </c>
      <c r="J804" s="23" t="str">
        <f>HYPERLINK("https://www.spark-marketing.ru/Card/Person/41364", "ФИЛИАЛ N 7215 ВТБ 24 (ЗАО)")</f>
        <v>ФИЛИАЛ N 7215 ВТБ 24 (ЗАО)</v>
      </c>
      <c r="K804" s="24" t="s">
        <v>1574</v>
      </c>
      <c r="L804" s="22" t="s">
        <v>10</v>
      </c>
      <c r="M804" s="25">
        <v>375360</v>
      </c>
      <c r="N804" s="27">
        <v>0</v>
      </c>
    </row>
    <row r="805" spans="1:14" x14ac:dyDescent="0.15">
      <c r="A805" s="23" t="str">
        <f>HYPERLINK("https://www.spark-marketing.ru/Card/Person/52462", "ГУП КК ""КУБАНЬФАРМАЦИЯ""")</f>
        <v>ГУП КК "КУБАНЬФАРМАЦИЯ"</v>
      </c>
      <c r="B805" s="24" t="s">
        <v>1575</v>
      </c>
      <c r="C805" s="25">
        <v>654821</v>
      </c>
      <c r="D805" s="22" t="s">
        <v>1576</v>
      </c>
      <c r="E805" s="22" t="s">
        <v>49</v>
      </c>
      <c r="F805" s="23" t="str">
        <f>HYPERLINK("https://www.spark-marketing.ru/Card/Lot/73914629", "Осуществление монтажных работ по установке системы охранно-тревожной сигнализации")</f>
        <v>Осуществление монтажных работ по установке системы охранно-тревожной сигнализации</v>
      </c>
      <c r="G805" s="22" t="s">
        <v>132</v>
      </c>
      <c r="H805" s="22" t="s">
        <v>132</v>
      </c>
      <c r="I805" s="26">
        <v>43734</v>
      </c>
      <c r="J805" s="28" t="s">
        <v>52</v>
      </c>
      <c r="K805" s="28" t="s">
        <v>52</v>
      </c>
      <c r="L805" s="28" t="s">
        <v>52</v>
      </c>
      <c r="M805" s="28" t="s">
        <v>52</v>
      </c>
      <c r="N805" s="28" t="s">
        <v>52</v>
      </c>
    </row>
    <row r="806" spans="1:14" x14ac:dyDescent="0.15">
      <c r="A806" s="23" t="str">
        <f>HYPERLINK("https://www.spark-marketing.ru/Card/Person/547179", "ФИЛИАЛ АО ""ТЮМЕНЬЭНЕРГО"" КОГАЛЫМСКИЕ ЭЛЕКТРИЧЕСКИЕ СЕТИ")</f>
        <v>ФИЛИАЛ АО "ТЮМЕНЬЭНЕРГО" КОГАЛЫМСКИЕ ЭЛЕКТРИЧЕСКИЕ СЕТИ</v>
      </c>
      <c r="B806" s="24" t="s">
        <v>1577</v>
      </c>
      <c r="C806" s="25">
        <v>471173.76</v>
      </c>
      <c r="D806" s="22" t="s">
        <v>1578</v>
      </c>
      <c r="E806" s="22" t="s">
        <v>53</v>
      </c>
      <c r="F806" s="23" t="str">
        <f>HYPERLINK("https://www.spark-marketing.ru/Card/Lot/73943563", "Оказание услуг по охране посредством КТС объектов СРЭС филиала АО ""Тюменьэнерго"" Урайские электрические сети")</f>
        <v>Оказание услуг по охране посредством КТС объектов СРЭС филиала АО "Тюменьэнерго" Урайские электрические сети</v>
      </c>
      <c r="G806" s="22" t="s">
        <v>119</v>
      </c>
      <c r="H806" s="22" t="s">
        <v>463</v>
      </c>
      <c r="I806" s="26">
        <v>43734.916666666701</v>
      </c>
      <c r="J806" s="28" t="s">
        <v>52</v>
      </c>
      <c r="K806" s="28" t="s">
        <v>52</v>
      </c>
      <c r="L806" s="28" t="s">
        <v>52</v>
      </c>
      <c r="M806" s="28" t="s">
        <v>52</v>
      </c>
      <c r="N806" s="28" t="s">
        <v>52</v>
      </c>
    </row>
    <row r="807" spans="1:14" x14ac:dyDescent="0.15">
      <c r="A807" s="23" t="str">
        <f>HYPERLINK("https://www.spark-marketing.ru/Card/Person/547179", "ФИЛИАЛ АО ""ТЮМЕНЬЭНЕРГО"" КОГАЛЫМСКИЕ ЭЛЕКТРИЧЕСКИЕ СЕТИ")</f>
        <v>ФИЛИАЛ АО "ТЮМЕНЬЭНЕРГО" КОГАЛЫМСКИЕ ЭЛЕКТРИЧЕСКИЕ СЕТИ</v>
      </c>
      <c r="B807" s="24" t="s">
        <v>1577</v>
      </c>
      <c r="C807" s="25">
        <v>450935.42</v>
      </c>
      <c r="D807" s="22" t="s">
        <v>1579</v>
      </c>
      <c r="E807" s="22" t="s">
        <v>53</v>
      </c>
      <c r="F807" s="23" t="str">
        <f>HYPERLINK("https://www.spark-marketing.ru/Card/Lot/73943564", "Оказание услуг по охране посредством КТС объектов филиала АО «Тюменьэнерго» Урайские электрические сети")</f>
        <v>Оказание услуг по охране посредством КТС объектов филиала АО «Тюменьэнерго» Урайские электрические сети</v>
      </c>
      <c r="G807" s="22" t="s">
        <v>119</v>
      </c>
      <c r="H807" s="22" t="s">
        <v>463</v>
      </c>
      <c r="I807" s="26">
        <v>43734.916666666701</v>
      </c>
      <c r="J807" s="28" t="s">
        <v>52</v>
      </c>
      <c r="K807" s="28" t="s">
        <v>52</v>
      </c>
      <c r="L807" s="28" t="s">
        <v>52</v>
      </c>
      <c r="M807" s="28" t="s">
        <v>52</v>
      </c>
      <c r="N807" s="28" t="s">
        <v>52</v>
      </c>
    </row>
    <row r="808" spans="1:14" x14ac:dyDescent="0.15">
      <c r="A808" s="23" t="str">
        <f>HYPERLINK("https://www.spark-marketing.ru/Card/Person/68926", "АКАДЕМИЯ АКВАРЕЛИ И ИЗЯЩНЫХ ИСКУССТВ")</f>
        <v>АКАДЕМИЯ АКВАРЕЛИ И ИЗЯЩНЫХ ИСКУССТВ</v>
      </c>
      <c r="B808" s="24" t="s">
        <v>1580</v>
      </c>
      <c r="C808" s="25">
        <v>407282.8</v>
      </c>
      <c r="D808" s="22" t="s">
        <v>1581</v>
      </c>
      <c r="E808" s="22" t="s">
        <v>1161</v>
      </c>
      <c r="F808" s="23" t="str">
        <f>HYPERLINK("https://www.spark-marketing.ru/Card/Lot/73932344", "Модернизация системы видеонаблюдения Академии на базе ПО ТРАССИР и создание место оператора (поставка, установка и внедрение 12-ти IP видеокамер и сопутствующего оборудования)")</f>
        <v>Модернизация системы видеонаблюдения Академии на базе ПО ТРАССИР и создание место оператора (поставка, установка и внедрение 12-ти IP видеокамер и сопутствующего оборудования)</v>
      </c>
      <c r="G808" s="22" t="s">
        <v>55</v>
      </c>
      <c r="H808" s="22" t="s">
        <v>55</v>
      </c>
      <c r="I808" s="26">
        <v>43734.8256944444</v>
      </c>
      <c r="J808" s="28" t="s">
        <v>52</v>
      </c>
      <c r="K808" s="28" t="s">
        <v>52</v>
      </c>
      <c r="L808" s="28" t="s">
        <v>52</v>
      </c>
      <c r="M808" s="28" t="s">
        <v>52</v>
      </c>
      <c r="N808" s="28" t="s">
        <v>52</v>
      </c>
    </row>
    <row r="809" spans="1:14" ht="12.75" hidden="1" outlineLevel="1" x14ac:dyDescent="0.2">
      <c r="A809" s="23" t="str">
        <f>HYPERLINK("https://www.spark-marketing.ru/Card/Person/68926", "АКАДЕМИЯ АКВАРЕЛИ И ИЗЯЩНЫХ ИСКУССТВ")</f>
        <v>АКАДЕМИЯ АКВАРЕЛИ И ИЗЯЩНЫХ ИСКУССТВ</v>
      </c>
      <c r="B809" s="24" t="s">
        <v>1580</v>
      </c>
      <c r="C809" s="25">
        <v>407282.8</v>
      </c>
      <c r="D809" s="22" t="s">
        <v>1581</v>
      </c>
      <c r="E809" s="22" t="s">
        <v>1161</v>
      </c>
      <c r="F809" s="23" t="str">
        <f>HYPERLINK("https://www.spark-marketing.ru/Card/Lot/73932344", "Модернизация системы видеонаблюдения Академии на базе ПО ТРАССИР и создание место оператора (поставка, установка и внедрение 12-ти IP видеокамер и сопутствующего оборудования)")</f>
        <v>Модернизация системы видеонаблюдения Академии на базе ПО ТРАССИР и создание место оператора (поставка, установка и внедрение 12-ти IP видеокамер и сопутствующего оборудования)</v>
      </c>
      <c r="G809" s="22" t="s">
        <v>55</v>
      </c>
      <c r="H809" s="22" t="s">
        <v>55</v>
      </c>
      <c r="I809" s="26">
        <v>43734.8256944444</v>
      </c>
      <c r="J809" s="23" t="str">
        <f>HYPERLINK("https://www.spark-marketing.ru/Card/Person/6634445", "ООО ""АКТ.РУ""")</f>
        <v>ООО "АКТ.РУ"</v>
      </c>
      <c r="K809" s="24" t="s">
        <v>1582</v>
      </c>
      <c r="L809" s="22" t="s">
        <v>10</v>
      </c>
      <c r="M809" s="25">
        <v>348000</v>
      </c>
      <c r="N809" s="27">
        <v>0.14555684649585005</v>
      </c>
    </row>
    <row r="810" spans="1:14" hidden="1" outlineLevel="1" x14ac:dyDescent="0.2">
      <c r="A810" s="23" t="str">
        <f>HYPERLINK("https://www.spark-marketing.ru/Card/Person/68926", "АКАДЕМИЯ АКВАРЕЛИ И ИЗЯЩНЫХ ИСКУССТВ")</f>
        <v>АКАДЕМИЯ АКВАРЕЛИ И ИЗЯЩНЫХ ИСКУССТВ</v>
      </c>
      <c r="B810" s="24" t="s">
        <v>1580</v>
      </c>
      <c r="C810" s="25">
        <v>407282.8</v>
      </c>
      <c r="D810" s="22" t="s">
        <v>1581</v>
      </c>
      <c r="E810" s="22" t="s">
        <v>1161</v>
      </c>
      <c r="F810" s="23" t="str">
        <f>HYPERLINK("https://www.spark-marketing.ru/Card/Lot/73932344", "Модернизация системы видеонаблюдения Академии на базе ПО ТРАССИР и создание место оператора (поставка, установка и внедрение 12-ти IP видеокамер и сопутствующего оборудования)")</f>
        <v>Модернизация системы видеонаблюдения Академии на базе ПО ТРАССИР и создание место оператора (поставка, установка и внедрение 12-ти IP видеокамер и сопутствующего оборудования)</v>
      </c>
      <c r="G810" s="22" t="s">
        <v>55</v>
      </c>
      <c r="H810" s="22" t="s">
        <v>55</v>
      </c>
      <c r="I810" s="26">
        <v>43734.8256944444</v>
      </c>
      <c r="J810" s="23" t="str">
        <f>HYPERLINK("https://www.spark-marketing.ru/Card/Person/671716", "ООО""РУСЧК""")</f>
        <v>ООО"РУСЧК"</v>
      </c>
      <c r="K810" s="24" t="s">
        <v>1583</v>
      </c>
      <c r="L810" s="28" t="s">
        <v>52</v>
      </c>
      <c r="M810" s="25">
        <v>350000</v>
      </c>
      <c r="N810" s="27">
        <v>0.1406462536596193</v>
      </c>
    </row>
    <row r="811" spans="1:14" hidden="1" outlineLevel="1" x14ac:dyDescent="0.2">
      <c r="A811" s="23" t="str">
        <f>HYPERLINK("https://www.spark-marketing.ru/Card/Person/68926", "АКАДЕМИЯ АКВАРЕЛИ И ИЗЯЩНЫХ ИСКУССТВ")</f>
        <v>АКАДЕМИЯ АКВАРЕЛИ И ИЗЯЩНЫХ ИСКУССТВ</v>
      </c>
      <c r="B811" s="24" t="s">
        <v>1580</v>
      </c>
      <c r="C811" s="25">
        <v>407282.8</v>
      </c>
      <c r="D811" s="22" t="s">
        <v>1581</v>
      </c>
      <c r="E811" s="22" t="s">
        <v>1161</v>
      </c>
      <c r="F811" s="23" t="str">
        <f>HYPERLINK("https://www.spark-marketing.ru/Card/Lot/73932344", "Модернизация системы видеонаблюдения Академии на базе ПО ТРАССИР и создание место оператора (поставка, установка и внедрение 12-ти IP видеокамер и сопутствующего оборудования)")</f>
        <v>Модернизация системы видеонаблюдения Академии на базе ПО ТРАССИР и создание место оператора (поставка, установка и внедрение 12-ти IP видеокамер и сопутствующего оборудования)</v>
      </c>
      <c r="G811" s="22" t="s">
        <v>55</v>
      </c>
      <c r="H811" s="22" t="s">
        <v>55</v>
      </c>
      <c r="I811" s="26">
        <v>43734.8256944444</v>
      </c>
      <c r="J811" s="23" t="str">
        <f>HYPERLINK("https://www.spark-marketing.ru/Card/Person/6231494", "ООО ""ИСБ ПЛЮС""")</f>
        <v>ООО "ИСБ ПЛЮС"</v>
      </c>
      <c r="K811" s="24" t="s">
        <v>1584</v>
      </c>
      <c r="L811" s="28" t="s">
        <v>52</v>
      </c>
      <c r="M811" s="25">
        <v>377777</v>
      </c>
      <c r="N811" s="27">
        <v>7.2445485053628578E-2</v>
      </c>
    </row>
    <row r="812" spans="1:14" hidden="1" outlineLevel="1" x14ac:dyDescent="0.2">
      <c r="A812" s="23" t="str">
        <f>HYPERLINK("https://www.spark-marketing.ru/Card/Person/68926", "АКАДЕМИЯ АКВАРЕЛИ И ИЗЯЩНЫХ ИСКУССТВ")</f>
        <v>АКАДЕМИЯ АКВАРЕЛИ И ИЗЯЩНЫХ ИСКУССТВ</v>
      </c>
      <c r="B812" s="24" t="s">
        <v>1580</v>
      </c>
      <c r="C812" s="25">
        <v>407282.8</v>
      </c>
      <c r="D812" s="22" t="s">
        <v>1581</v>
      </c>
      <c r="E812" s="22" t="s">
        <v>1161</v>
      </c>
      <c r="F812" s="23" t="str">
        <f>HYPERLINK("https://www.spark-marketing.ru/Card/Lot/73932344", "Модернизация системы видеонаблюдения Академии на базе ПО ТРАССИР и создание место оператора (поставка, установка и внедрение 12-ти IP видеокамер и сопутствующего оборудования)")</f>
        <v>Модернизация системы видеонаблюдения Академии на базе ПО ТРАССИР и создание место оператора (поставка, установка и внедрение 12-ти IP видеокамер и сопутствующего оборудования)</v>
      </c>
      <c r="G812" s="22" t="s">
        <v>55</v>
      </c>
      <c r="H812" s="22" t="s">
        <v>55</v>
      </c>
      <c r="I812" s="26">
        <v>43734.8256944444</v>
      </c>
      <c r="J812" s="23" t="str">
        <f>HYPERLINK("https://www.spark-marketing.ru/Card/Person/444206", "ООО ""ЭМЛАБ""")</f>
        <v>ООО "ЭМЛАБ"</v>
      </c>
      <c r="K812" s="24" t="s">
        <v>1585</v>
      </c>
      <c r="L812" s="28" t="s">
        <v>52</v>
      </c>
      <c r="M812" s="25">
        <v>386917</v>
      </c>
      <c r="N812" s="27">
        <v>5.000407579205407E-2</v>
      </c>
    </row>
    <row r="813" spans="1:14" x14ac:dyDescent="0.15">
      <c r="A813" s="23" t="str">
        <f>HYPERLINK("https://www.spark-marketing.ru/Card/Person/4863125", "МЕЖРЕГИОНАЛЬНЫЙ ФЛ ФКУ ""ЦОКР"" В Г. ЕКАТЕРИНБУРГЕ")</f>
        <v>МЕЖРЕГИОНАЛЬНЫЙ ФЛ ФКУ "ЦОКР" В Г. ЕКАТЕРИНБУРГЕ</v>
      </c>
      <c r="B813" s="24" t="s">
        <v>962</v>
      </c>
      <c r="C813" s="25">
        <v>35000</v>
      </c>
      <c r="D813" s="22" t="s">
        <v>1586</v>
      </c>
      <c r="E813" s="22" t="s">
        <v>103</v>
      </c>
      <c r="F813" s="23" t="str">
        <f>HYPERLINK("https://www.spark-marketing.ru/Card/Lot/73914990", "Техническое обслуживание системы видеонаблюдения для нужд УФК по Ханты-Мансийскому автономному округу - Югре (пгт Березово)")</f>
        <v>Техническое обслуживание системы видеонаблюдения для нужд УФК по Ханты-Мансийскому автономному округу - Югре (пгт Березово)</v>
      </c>
      <c r="G813" s="22" t="s">
        <v>119</v>
      </c>
      <c r="H813" s="22" t="s">
        <v>119</v>
      </c>
      <c r="I813" s="26">
        <v>43734.714583333298</v>
      </c>
      <c r="J813" s="28" t="s">
        <v>52</v>
      </c>
      <c r="K813" s="28" t="s">
        <v>52</v>
      </c>
      <c r="L813" s="28" t="s">
        <v>52</v>
      </c>
      <c r="M813" s="28" t="s">
        <v>52</v>
      </c>
      <c r="N813" s="28" t="s">
        <v>52</v>
      </c>
    </row>
    <row r="814" spans="1:14" hidden="1" outlineLevel="1" x14ac:dyDescent="0.2">
      <c r="A814" s="23" t="str">
        <f>HYPERLINK("https://www.spark-marketing.ru/Card/Person/4863125", "МЕЖРЕГИОНАЛЬНЫЙ ФЛ ФКУ ""ЦОКР"" В Г. ЕКАТЕРИНБУРГЕ")</f>
        <v>МЕЖРЕГИОНАЛЬНЫЙ ФЛ ФКУ "ЦОКР" В Г. ЕКАТЕРИНБУРГЕ</v>
      </c>
      <c r="B814" s="24" t="s">
        <v>962</v>
      </c>
      <c r="C814" s="25">
        <v>35000</v>
      </c>
      <c r="D814" s="22" t="s">
        <v>1586</v>
      </c>
      <c r="E814" s="22" t="s">
        <v>103</v>
      </c>
      <c r="F814" s="23" t="str">
        <f>HYPERLINK("https://www.spark-marketing.ru/Card/Lot/73914990", "Техническое обслуживание системы видеонаблюдения для нужд УФК по Ханты-Мансийскому автономному округу - Югре (пгт Березово)")</f>
        <v>Техническое обслуживание системы видеонаблюдения для нужд УФК по Ханты-Мансийскому автономному округу - Югре (пгт Березово)</v>
      </c>
      <c r="G814" s="22" t="s">
        <v>119</v>
      </c>
      <c r="H814" s="22" t="s">
        <v>119</v>
      </c>
      <c r="I814" s="26">
        <v>43734.714583333298</v>
      </c>
      <c r="J814" s="23" t="str">
        <f>HYPERLINK("https://www.spark-marketing.ru/Card/Person/139110", "ООО ""СППБ""")</f>
        <v>ООО "СППБ"</v>
      </c>
      <c r="K814" s="24" t="s">
        <v>1332</v>
      </c>
      <c r="L814" s="28" t="s">
        <v>52</v>
      </c>
      <c r="M814" s="25">
        <v>34825</v>
      </c>
      <c r="N814" s="27">
        <v>5.0000000000000001E-3</v>
      </c>
    </row>
    <row r="815" spans="1:14" ht="12.75" hidden="1" outlineLevel="1" x14ac:dyDescent="0.2">
      <c r="A815" s="23" t="str">
        <f>HYPERLINK("https://www.spark-marketing.ru/Card/Person/4863125", "МЕЖРЕГИОНАЛЬНЫЙ ФЛ ФКУ ""ЦОКР"" В Г. ЕКАТЕРИНБУРГЕ")</f>
        <v>МЕЖРЕГИОНАЛЬНЫЙ ФЛ ФКУ "ЦОКР" В Г. ЕКАТЕРИНБУРГЕ</v>
      </c>
      <c r="B815" s="24" t="s">
        <v>962</v>
      </c>
      <c r="C815" s="25">
        <v>35000</v>
      </c>
      <c r="D815" s="22" t="s">
        <v>1586</v>
      </c>
      <c r="E815" s="22" t="s">
        <v>103</v>
      </c>
      <c r="F815" s="23" t="str">
        <f>HYPERLINK("https://www.spark-marketing.ru/Card/Lot/73914990", "Техническое обслуживание системы видеонаблюдения для нужд УФК по Ханты-Мансийскому автономному округу - Югре (пгт Березово)")</f>
        <v>Техническое обслуживание системы видеонаблюдения для нужд УФК по Ханты-Мансийскому автономному округу - Югре (пгт Березово)</v>
      </c>
      <c r="G815" s="22" t="s">
        <v>119</v>
      </c>
      <c r="H815" s="22" t="s">
        <v>119</v>
      </c>
      <c r="I815" s="26">
        <v>43734.714583333298</v>
      </c>
      <c r="J815" s="23" t="str">
        <f>HYPERLINK("https://www.spark-marketing.ru/Card/Person/940347", "ООО ""ЧОП ""РЫСЬ""")</f>
        <v>ООО "ЧОП "РЫСЬ"</v>
      </c>
      <c r="K815" s="24" t="s">
        <v>1587</v>
      </c>
      <c r="L815" s="22" t="s">
        <v>10</v>
      </c>
      <c r="M815" s="25">
        <v>34825</v>
      </c>
      <c r="N815" s="27">
        <v>5.0000000000000001E-3</v>
      </c>
    </row>
    <row r="816" spans="1:14" x14ac:dyDescent="0.15">
      <c r="A816" s="23" t="str">
        <f>HYPERLINK("https://www.spark-marketing.ru/Card/Person/68926", "АКАДЕМИЯ АКВАРЕЛИ И ИЗЯЩНЫХ ИСКУССТВ")</f>
        <v>АКАДЕМИЯ АКВАРЕЛИ И ИЗЯЩНЫХ ИСКУССТВ</v>
      </c>
      <c r="B816" s="24" t="s">
        <v>1580</v>
      </c>
      <c r="C816" s="25">
        <v>199282.6</v>
      </c>
      <c r="D816" s="22" t="s">
        <v>1588</v>
      </c>
      <c r="E816" s="22" t="s">
        <v>1589</v>
      </c>
      <c r="F816" s="23" t="str">
        <f>HYPERLINK("https://www.spark-marketing.ru/Card/Lot/73932009", "Модернизация системы видеонаблюдения Академии на базе ПО ТРАССИР и создание место оператора (поставка, установка и внедрение 6-ти IP видеокамер и сопутствующего оборудования)")</f>
        <v>Модернизация системы видеонаблюдения Академии на базе ПО ТРАССИР и создание место оператора (поставка, установка и внедрение 6-ти IP видеокамер и сопутствующего оборудования)</v>
      </c>
      <c r="G816" s="22" t="s">
        <v>55</v>
      </c>
      <c r="H816" s="22" t="s">
        <v>55</v>
      </c>
      <c r="I816" s="26">
        <v>43734.730555555601</v>
      </c>
      <c r="J816" s="28" t="s">
        <v>52</v>
      </c>
      <c r="K816" s="28" t="s">
        <v>52</v>
      </c>
      <c r="L816" s="28" t="s">
        <v>52</v>
      </c>
      <c r="M816" s="28" t="s">
        <v>52</v>
      </c>
      <c r="N816" s="28" t="s">
        <v>52</v>
      </c>
    </row>
    <row r="817" spans="1:14" ht="12.75" hidden="1" outlineLevel="1" x14ac:dyDescent="0.2">
      <c r="A817" s="23" t="str">
        <f>HYPERLINK("https://www.spark-marketing.ru/Card/Person/68926", "АКАДЕМИЯ АКВАРЕЛИ И ИЗЯЩНЫХ ИСКУССТВ")</f>
        <v>АКАДЕМИЯ АКВАРЕЛИ И ИЗЯЩНЫХ ИСКУССТВ</v>
      </c>
      <c r="B817" s="24" t="s">
        <v>1580</v>
      </c>
      <c r="C817" s="25">
        <v>199282.6</v>
      </c>
      <c r="D817" s="22" t="s">
        <v>1588</v>
      </c>
      <c r="E817" s="22" t="s">
        <v>1589</v>
      </c>
      <c r="F817" s="23" t="str">
        <f>HYPERLINK("https://www.spark-marketing.ru/Card/Lot/73932009", "Модернизация системы видеонаблюдения Академии на базе ПО ТРАССИР и создание место оператора (поставка, установка и внедрение 6-ти IP видеокамер и сопутствующего оборудования)")</f>
        <v>Модернизация системы видеонаблюдения Академии на базе ПО ТРАССИР и создание место оператора (поставка, установка и внедрение 6-ти IP видеокамер и сопутствующего оборудования)</v>
      </c>
      <c r="G817" s="22" t="s">
        <v>55</v>
      </c>
      <c r="H817" s="22" t="s">
        <v>55</v>
      </c>
      <c r="I817" s="26">
        <v>43734.730555555601</v>
      </c>
      <c r="J817" s="23" t="str">
        <f>HYPERLINK("https://www.spark-marketing.ru/Card/Person/446135", "ООО ""ОРИОН""")</f>
        <v>ООО "ОРИОН"</v>
      </c>
      <c r="K817" s="24" t="s">
        <v>1590</v>
      </c>
      <c r="L817" s="22" t="s">
        <v>10</v>
      </c>
      <c r="M817" s="25">
        <v>149000</v>
      </c>
      <c r="N817" s="27">
        <v>0.25231806489879199</v>
      </c>
    </row>
    <row r="818" spans="1:14" hidden="1" outlineLevel="1" x14ac:dyDescent="0.2">
      <c r="A818" s="23" t="str">
        <f>HYPERLINK("https://www.spark-marketing.ru/Card/Person/68926", "АКАДЕМИЯ АКВАРЕЛИ И ИЗЯЩНЫХ ИСКУССТВ")</f>
        <v>АКАДЕМИЯ АКВАРЕЛИ И ИЗЯЩНЫХ ИСКУССТВ</v>
      </c>
      <c r="B818" s="24" t="s">
        <v>1580</v>
      </c>
      <c r="C818" s="25">
        <v>199282.6</v>
      </c>
      <c r="D818" s="22" t="s">
        <v>1588</v>
      </c>
      <c r="E818" s="22" t="s">
        <v>1589</v>
      </c>
      <c r="F818" s="23" t="str">
        <f>HYPERLINK("https://www.spark-marketing.ru/Card/Lot/73932009", "Модернизация системы видеонаблюдения Академии на базе ПО ТРАССИР и создание место оператора (поставка, установка и внедрение 6-ти IP видеокамер и сопутствующего оборудования)")</f>
        <v>Модернизация системы видеонаблюдения Академии на базе ПО ТРАССИР и создание место оператора (поставка, установка и внедрение 6-ти IP видеокамер и сопутствующего оборудования)</v>
      </c>
      <c r="G818" s="22" t="s">
        <v>55</v>
      </c>
      <c r="H818" s="22" t="s">
        <v>55</v>
      </c>
      <c r="I818" s="26">
        <v>43734.730555555601</v>
      </c>
      <c r="J818" s="23" t="str">
        <f>HYPERLINK("https://www.spark-marketing.ru/Card/Person/6415433", "ООО ""С С С""")</f>
        <v>ООО "С С С"</v>
      </c>
      <c r="K818" s="24" t="s">
        <v>1591</v>
      </c>
      <c r="L818" s="28" t="s">
        <v>52</v>
      </c>
      <c r="M818" s="25">
        <v>167080</v>
      </c>
      <c r="N818" s="27">
        <v>0.16159263277375949</v>
      </c>
    </row>
    <row r="819" spans="1:14" hidden="1" outlineLevel="1" x14ac:dyDescent="0.2">
      <c r="A819" s="23" t="str">
        <f>HYPERLINK("https://www.spark-marketing.ru/Card/Person/68926", "АКАДЕМИЯ АКВАРЕЛИ И ИЗЯЩНЫХ ИСКУССТВ")</f>
        <v>АКАДЕМИЯ АКВАРЕЛИ И ИЗЯЩНЫХ ИСКУССТВ</v>
      </c>
      <c r="B819" s="24" t="s">
        <v>1580</v>
      </c>
      <c r="C819" s="25">
        <v>199282.6</v>
      </c>
      <c r="D819" s="22" t="s">
        <v>1588</v>
      </c>
      <c r="E819" s="22" t="s">
        <v>1589</v>
      </c>
      <c r="F819" s="23" t="str">
        <f>HYPERLINK("https://www.spark-marketing.ru/Card/Lot/73932009", "Модернизация системы видеонаблюдения Академии на базе ПО ТРАССИР и создание место оператора (поставка, установка и внедрение 6-ти IP видеокамер и сопутствующего оборудования)")</f>
        <v>Модернизация системы видеонаблюдения Академии на базе ПО ТРАССИР и создание место оператора (поставка, установка и внедрение 6-ти IP видеокамер и сопутствующего оборудования)</v>
      </c>
      <c r="G819" s="22" t="s">
        <v>55</v>
      </c>
      <c r="H819" s="22" t="s">
        <v>55</v>
      </c>
      <c r="I819" s="26">
        <v>43734.730555555601</v>
      </c>
      <c r="J819" s="23" t="str">
        <f>HYPERLINK("https://www.spark-marketing.ru/Card/Person/444206", "ООО ""ЭМЛАБ""")</f>
        <v>ООО "ЭМЛАБ"</v>
      </c>
      <c r="K819" s="24" t="s">
        <v>1585</v>
      </c>
      <c r="L819" s="28" t="s">
        <v>52</v>
      </c>
      <c r="M819" s="25">
        <v>189317</v>
      </c>
      <c r="N819" s="27">
        <v>5.0007376459359723E-2</v>
      </c>
    </row>
    <row r="820" spans="1:14" x14ac:dyDescent="0.15">
      <c r="A820" s="23" t="str">
        <f>HYPERLINK("https://www.spark-marketing.ru/Card/Person/4713080", "УПРАВЛЕНИЕ ПО ФИЗИЧЕСКОЙ КУЛЬТУРЕ, СПОРТУ И РАБОТЕ С МОЛОДЕЖЬЮ АДМИНИСТРАЦИИ ГОРОДСКОГО ОКРУГА БАЛАШИХА")</f>
        <v>УПРАВЛЕНИЕ ПО ФИЗИЧЕСКОЙ КУЛЬТУРЕ, СПОРТУ И РАБОТЕ С МОЛОДЕЖЬЮ АДМИНИСТРАЦИИ ГОРОДСКОГО ОКРУГА БАЛАШИХА</v>
      </c>
      <c r="B820" s="24" t="s">
        <v>1592</v>
      </c>
      <c r="C820" s="25">
        <v>1500</v>
      </c>
      <c r="D820" s="22" t="s">
        <v>1593</v>
      </c>
      <c r="E820" s="22" t="s">
        <v>107</v>
      </c>
      <c r="F820" s="23" t="str">
        <f>HYPERLINK("https://www.spark-marketing.ru/Card/Lot/73920985", "Техническое обслуживание видеосистемы контроля доступа")</f>
        <v>Техническое обслуживание видеосистемы контроля доступа</v>
      </c>
      <c r="G820" s="22" t="s">
        <v>50</v>
      </c>
      <c r="H820" s="22" t="s">
        <v>432</v>
      </c>
      <c r="I820" s="26">
        <v>43734.7321296296</v>
      </c>
      <c r="J820" s="28" t="s">
        <v>52</v>
      </c>
      <c r="K820" s="28" t="s">
        <v>52</v>
      </c>
      <c r="L820" s="28" t="s">
        <v>52</v>
      </c>
      <c r="M820" s="28" t="s">
        <v>52</v>
      </c>
      <c r="N820" s="28" t="s">
        <v>52</v>
      </c>
    </row>
    <row r="821" spans="1:14" x14ac:dyDescent="0.15">
      <c r="A821" s="23" t="str">
        <f>HYPERLINK("https://www.spark-marketing.ru/Card/Person/4863125", "МЕЖРЕГИОНАЛЬНЫЙ ФЛ ФКУ ""ЦОКР"" В Г. ЕКАТЕРИНБУРГЕ")</f>
        <v>МЕЖРЕГИОНАЛЬНЫЙ ФЛ ФКУ "ЦОКР" В Г. ЕКАТЕРИНБУРГЕ</v>
      </c>
      <c r="B821" s="24" t="s">
        <v>962</v>
      </c>
      <c r="C821" s="25">
        <v>130000</v>
      </c>
      <c r="D821" s="22" t="s">
        <v>1594</v>
      </c>
      <c r="E821" s="22" t="s">
        <v>103</v>
      </c>
      <c r="F821" s="23" t="str">
        <f>HYPERLINK("https://www.spark-marketing.ru/Card/Lot/73928309", "Техническое обслуживание системы видеонаблюдения для нужд УФК по Ханты-Мансийскому автономному округу - Югре")</f>
        <v>Техническое обслуживание системы видеонаблюдения для нужд УФК по Ханты-Мансийскому автономному округу - Югре</v>
      </c>
      <c r="G821" s="22" t="s">
        <v>119</v>
      </c>
      <c r="H821" s="22" t="s">
        <v>119</v>
      </c>
      <c r="I821" s="26">
        <v>43734.726388888899</v>
      </c>
      <c r="J821" s="28" t="s">
        <v>52</v>
      </c>
      <c r="K821" s="28" t="s">
        <v>52</v>
      </c>
      <c r="L821" s="28" t="s">
        <v>52</v>
      </c>
      <c r="M821" s="28" t="s">
        <v>52</v>
      </c>
      <c r="N821" s="28" t="s">
        <v>52</v>
      </c>
    </row>
    <row r="822" spans="1:14" hidden="1" outlineLevel="1" x14ac:dyDescent="0.2">
      <c r="A822" s="23" t="str">
        <f>HYPERLINK("https://www.spark-marketing.ru/Card/Person/4863125", "МЕЖРЕГИОНАЛЬНЫЙ ФЛ ФКУ ""ЦОКР"" В Г. ЕКАТЕРИНБУРГЕ")</f>
        <v>МЕЖРЕГИОНАЛЬНЫЙ ФЛ ФКУ "ЦОКР" В Г. ЕКАТЕРИНБУРГЕ</v>
      </c>
      <c r="B822" s="24" t="s">
        <v>962</v>
      </c>
      <c r="C822" s="25">
        <v>130000</v>
      </c>
      <c r="D822" s="22" t="s">
        <v>1594</v>
      </c>
      <c r="E822" s="22" t="s">
        <v>103</v>
      </c>
      <c r="F822" s="23" t="str">
        <f>HYPERLINK("https://www.spark-marketing.ru/Card/Lot/73928309", "Техническое обслуживание системы видеонаблюдения для нужд УФК по Ханты-Мансийскому автономному округу - Югре")</f>
        <v>Техническое обслуживание системы видеонаблюдения для нужд УФК по Ханты-Мансийскому автономному округу - Югре</v>
      </c>
      <c r="G822" s="22" t="s">
        <v>119</v>
      </c>
      <c r="H822" s="22" t="s">
        <v>119</v>
      </c>
      <c r="I822" s="26">
        <v>43734.726388888899</v>
      </c>
      <c r="J822" s="23" t="str">
        <f>HYPERLINK("https://www.spark-marketing.ru/Card/Person/643092", "ООО ""СИБИРЬ-ПЛЮС""")</f>
        <v>ООО "СИБИРЬ-ПЛЮС"</v>
      </c>
      <c r="K822" s="24" t="s">
        <v>1595</v>
      </c>
      <c r="L822" s="28" t="s">
        <v>52</v>
      </c>
      <c r="M822" s="25">
        <v>34000</v>
      </c>
      <c r="N822" s="27">
        <v>0.7384615384615385</v>
      </c>
    </row>
    <row r="823" spans="1:14" hidden="1" outlineLevel="1" x14ac:dyDescent="0.2">
      <c r="A823" s="23" t="str">
        <f>HYPERLINK("https://www.spark-marketing.ru/Card/Person/4863125", "МЕЖРЕГИОНАЛЬНЫЙ ФЛ ФКУ ""ЦОКР"" В Г. ЕКАТЕРИНБУРГЕ")</f>
        <v>МЕЖРЕГИОНАЛЬНЫЙ ФЛ ФКУ "ЦОКР" В Г. ЕКАТЕРИНБУРГЕ</v>
      </c>
      <c r="B823" s="24" t="s">
        <v>962</v>
      </c>
      <c r="C823" s="25">
        <v>130000</v>
      </c>
      <c r="D823" s="22" t="s">
        <v>1594</v>
      </c>
      <c r="E823" s="22" t="s">
        <v>103</v>
      </c>
      <c r="F823" s="23" t="str">
        <f>HYPERLINK("https://www.spark-marketing.ru/Card/Lot/73928309", "Техническое обслуживание системы видеонаблюдения для нужд УФК по Ханты-Мансийскому автономному округу - Югре")</f>
        <v>Техническое обслуживание системы видеонаблюдения для нужд УФК по Ханты-Мансийскому автономному округу - Югре</v>
      </c>
      <c r="G823" s="22" t="s">
        <v>119</v>
      </c>
      <c r="H823" s="22" t="s">
        <v>119</v>
      </c>
      <c r="I823" s="26">
        <v>43734.726388888899</v>
      </c>
      <c r="J823" s="23" t="str">
        <f>HYPERLINK("https://www.spark-marketing.ru/Card/Person/139110", "ООО ""СППБ""")</f>
        <v>ООО "СППБ"</v>
      </c>
      <c r="K823" s="24" t="s">
        <v>1332</v>
      </c>
      <c r="L823" s="28" t="s">
        <v>52</v>
      </c>
      <c r="M823" s="25">
        <v>33350</v>
      </c>
      <c r="N823" s="27">
        <v>0.74346153846153851</v>
      </c>
    </row>
    <row r="824" spans="1:14" hidden="1" outlineLevel="1" x14ac:dyDescent="0.2">
      <c r="A824" s="23" t="str">
        <f>HYPERLINK("https://www.spark-marketing.ru/Card/Person/4863125", "МЕЖРЕГИОНАЛЬНЫЙ ФЛ ФКУ ""ЦОКР"" В Г. ЕКАТЕРИНБУРГЕ")</f>
        <v>МЕЖРЕГИОНАЛЬНЫЙ ФЛ ФКУ "ЦОКР" В Г. ЕКАТЕРИНБУРГЕ</v>
      </c>
      <c r="B824" s="24" t="s">
        <v>962</v>
      </c>
      <c r="C824" s="25">
        <v>130000</v>
      </c>
      <c r="D824" s="22" t="s">
        <v>1594</v>
      </c>
      <c r="E824" s="22" t="s">
        <v>103</v>
      </c>
      <c r="F824" s="23" t="str">
        <f>HYPERLINK("https://www.spark-marketing.ru/Card/Lot/73928309", "Техническое обслуживание системы видеонаблюдения для нужд УФК по Ханты-Мансийскому автономному округу - Югре")</f>
        <v>Техническое обслуживание системы видеонаблюдения для нужд УФК по Ханты-Мансийскому автономному округу - Югре</v>
      </c>
      <c r="G824" s="22" t="s">
        <v>119</v>
      </c>
      <c r="H824" s="22" t="s">
        <v>119</v>
      </c>
      <c r="I824" s="26">
        <v>43734.726388888899</v>
      </c>
      <c r="J824" s="23" t="str">
        <f>HYPERLINK("https://www.spark-marketing.ru/Card/Person/152651", "ООО ""СБЭП""")</f>
        <v>ООО "СБЭП"</v>
      </c>
      <c r="K824" s="24" t="s">
        <v>1596</v>
      </c>
      <c r="L824" s="28" t="s">
        <v>52</v>
      </c>
      <c r="M824" s="25">
        <v>124700</v>
      </c>
      <c r="N824" s="27">
        <v>4.0769230769230766E-2</v>
      </c>
    </row>
    <row r="825" spans="1:14" ht="12.75" hidden="1" outlineLevel="1" x14ac:dyDescent="0.2">
      <c r="A825" s="23" t="str">
        <f>HYPERLINK("https://www.spark-marketing.ru/Card/Person/4863125", "МЕЖРЕГИОНАЛЬНЫЙ ФЛ ФКУ ""ЦОКР"" В Г. ЕКАТЕРИНБУРГЕ")</f>
        <v>МЕЖРЕГИОНАЛЬНЫЙ ФЛ ФКУ "ЦОКР" В Г. ЕКАТЕРИНБУРГЕ</v>
      </c>
      <c r="B825" s="24" t="s">
        <v>962</v>
      </c>
      <c r="C825" s="25">
        <v>130000</v>
      </c>
      <c r="D825" s="22" t="s">
        <v>1594</v>
      </c>
      <c r="E825" s="22" t="s">
        <v>103</v>
      </c>
      <c r="F825" s="23" t="str">
        <f>HYPERLINK("https://www.spark-marketing.ru/Card/Lot/73928309", "Техническое обслуживание системы видеонаблюдения для нужд УФК по Ханты-Мансийскому автономному округу - Югре")</f>
        <v>Техническое обслуживание системы видеонаблюдения для нужд УФК по Ханты-Мансийскому автономному округу - Югре</v>
      </c>
      <c r="G825" s="22" t="s">
        <v>119</v>
      </c>
      <c r="H825" s="22" t="s">
        <v>119</v>
      </c>
      <c r="I825" s="26">
        <v>43734.726388888899</v>
      </c>
      <c r="J825" s="23" t="str">
        <f>HYPERLINK("https://www.spark-marketing.ru/Card/Person/92759", "ООО ""МЕГА""")</f>
        <v>ООО "МЕГА"</v>
      </c>
      <c r="K825" s="24" t="s">
        <v>1597</v>
      </c>
      <c r="L825" s="22" t="s">
        <v>10</v>
      </c>
      <c r="M825" s="25">
        <v>32700</v>
      </c>
      <c r="N825" s="27">
        <v>0.74846153846153851</v>
      </c>
    </row>
    <row r="826" spans="1:14" x14ac:dyDescent="0.15">
      <c r="A826" s="23" t="str">
        <f>HYPERLINK("https://www.spark-marketing.ru/Card/Person/4858917", "МЕЖРЕГИОНАЛЬНЫЙ ФЛ ФКУ ""ЦОКР"" В Г. СТАВРОПОЛЕ")</f>
        <v>МЕЖРЕГИОНАЛЬНЫЙ ФЛ ФКУ "ЦОКР" В Г. СТАВРОПОЛЕ</v>
      </c>
      <c r="B826" s="24" t="s">
        <v>962</v>
      </c>
      <c r="C826" s="25">
        <v>280274.09999999998</v>
      </c>
      <c r="D826" s="22" t="s">
        <v>1598</v>
      </c>
      <c r="E826" s="22" t="s">
        <v>1599</v>
      </c>
      <c r="F826" s="23" t="str">
        <f>HYPERLINK("https://www.spark-marketing.ru/Card/Lot/73930613", "Поставка и установка систем видеонаблюдения для нужд Управления Федерального казначейства по Кабардино-Балкарской Республике.")</f>
        <v>Поставка и установка систем видеонаблюдения для нужд Управления Федерального казначейства по Кабардино-Балкарской Республике.</v>
      </c>
      <c r="G826" s="22" t="s">
        <v>110</v>
      </c>
      <c r="H826" s="22" t="s">
        <v>110</v>
      </c>
      <c r="I826" s="26">
        <v>43734.6784722222</v>
      </c>
      <c r="J826" s="23" t="str">
        <f>HYPERLINK("https://www.spark-marketing.ru/Card/Person/780600", "ООО ""КОНТИНЕНТ""")</f>
        <v>ООО "КОНТИНЕНТ"</v>
      </c>
      <c r="K826" s="24" t="s">
        <v>1600</v>
      </c>
      <c r="L826" s="22" t="s">
        <v>10</v>
      </c>
      <c r="M826" s="28" t="s">
        <v>52</v>
      </c>
      <c r="N826" s="28" t="s">
        <v>52</v>
      </c>
    </row>
    <row r="827" spans="1:14" x14ac:dyDescent="0.15">
      <c r="A827" s="23" t="str">
        <f>HYPERLINK("https://www.spark-marketing.ru/Card/Person/8340", "ГУЗ ""ЛООД""")</f>
        <v>ГУЗ "ЛООД"</v>
      </c>
      <c r="B827" s="24" t="s">
        <v>1601</v>
      </c>
      <c r="C827" s="25">
        <v>1469300</v>
      </c>
      <c r="D827" s="22" t="s">
        <v>1602</v>
      </c>
      <c r="E827" s="22" t="s">
        <v>68</v>
      </c>
      <c r="F827" s="23" t="str">
        <f>HYPERLINK("https://www.spark-marketing.ru/Card/Lot/73956097", "4-ЭА-Охрана-20: Оказание услуг охраны объектов ГУЗ ""ЛООД"".")</f>
        <v>4-ЭА-Охрана-20: Оказание услуг охраны объектов ГУЗ "ЛООД".</v>
      </c>
      <c r="G827" s="22" t="s">
        <v>629</v>
      </c>
      <c r="H827" s="22" t="s">
        <v>1603</v>
      </c>
      <c r="I827" s="26">
        <v>43734.703680555598</v>
      </c>
      <c r="J827" s="28" t="s">
        <v>52</v>
      </c>
      <c r="K827" s="28" t="s">
        <v>52</v>
      </c>
      <c r="L827" s="28" t="s">
        <v>52</v>
      </c>
      <c r="M827" s="28" t="s">
        <v>52</v>
      </c>
      <c r="N827" s="28" t="s">
        <v>52</v>
      </c>
    </row>
    <row r="828" spans="1:14" hidden="1" outlineLevel="1" x14ac:dyDescent="0.2">
      <c r="A828" s="23" t="str">
        <f>HYPERLINK("https://www.spark-marketing.ru/Card/Person/8340", "ГУЗ ""ЛООД""")</f>
        <v>ГУЗ "ЛООД"</v>
      </c>
      <c r="B828" s="24" t="s">
        <v>1601</v>
      </c>
      <c r="C828" s="25">
        <v>1469300</v>
      </c>
      <c r="D828" s="22" t="s">
        <v>1602</v>
      </c>
      <c r="E828" s="22" t="s">
        <v>68</v>
      </c>
      <c r="F828" s="23" t="str">
        <f>HYPERLINK("https://www.spark-marketing.ru/Card/Lot/73956097", "4-ЭА-Охрана-20: Оказание услуг охраны объектов ГУЗ ""ЛООД"".")</f>
        <v>4-ЭА-Охрана-20: Оказание услуг охраны объектов ГУЗ "ЛООД".</v>
      </c>
      <c r="G828" s="22" t="s">
        <v>629</v>
      </c>
      <c r="H828" s="22" t="s">
        <v>1603</v>
      </c>
      <c r="I828" s="26">
        <v>43734.703680555598</v>
      </c>
      <c r="J828" s="23" t="str">
        <f>HYPERLINK("https://www.spark-marketing.ru/Card/Person/2584872", "ООО ""ЧОО ""БУЛАТ 48""")</f>
        <v>ООО "ЧОО "БУЛАТ 48"</v>
      </c>
      <c r="K828" s="24" t="s">
        <v>1604</v>
      </c>
      <c r="L828" s="28" t="s">
        <v>52</v>
      </c>
      <c r="M828" s="25">
        <v>1461953.5</v>
      </c>
      <c r="N828" s="27">
        <v>5.0000000000000001E-3</v>
      </c>
    </row>
    <row r="829" spans="1:14" ht="12.75" hidden="1" outlineLevel="1" x14ac:dyDescent="0.2">
      <c r="A829" s="23" t="str">
        <f>HYPERLINK("https://www.spark-marketing.ru/Card/Person/8340", "ГУЗ ""ЛООД""")</f>
        <v>ГУЗ "ЛООД"</v>
      </c>
      <c r="B829" s="24" t="s">
        <v>1601</v>
      </c>
      <c r="C829" s="25">
        <v>1469300</v>
      </c>
      <c r="D829" s="22" t="s">
        <v>1602</v>
      </c>
      <c r="E829" s="22" t="s">
        <v>68</v>
      </c>
      <c r="F829" s="23" t="str">
        <f>HYPERLINK("https://www.spark-marketing.ru/Card/Lot/73956097", "4-ЭА-Охрана-20: Оказание услуг охраны объектов ГУЗ ""ЛООД"".")</f>
        <v>4-ЭА-Охрана-20: Оказание услуг охраны объектов ГУЗ "ЛООД".</v>
      </c>
      <c r="G829" s="22" t="s">
        <v>629</v>
      </c>
      <c r="H829" s="22" t="s">
        <v>1603</v>
      </c>
      <c r="I829" s="26">
        <v>43734.703680555598</v>
      </c>
      <c r="J829" s="23" t="str">
        <f>HYPERLINK("https://www.spark-marketing.ru/Card/Person/518620", "ООО ЧОО ""ЮПИТЕР-48""")</f>
        <v>ООО ЧОО "ЮПИТЕР-48"</v>
      </c>
      <c r="K829" s="24" t="s">
        <v>1605</v>
      </c>
      <c r="L829" s="22" t="s">
        <v>10</v>
      </c>
      <c r="M829" s="25">
        <v>1454607</v>
      </c>
      <c r="N829" s="27">
        <v>0.01</v>
      </c>
    </row>
    <row r="830" spans="1:14" hidden="1" outlineLevel="1" x14ac:dyDescent="0.2">
      <c r="A830" s="23" t="str">
        <f>HYPERLINK("https://www.spark-marketing.ru/Card/Person/8340", "ГУЗ ""ЛООД""")</f>
        <v>ГУЗ "ЛООД"</v>
      </c>
      <c r="B830" s="24" t="s">
        <v>1601</v>
      </c>
      <c r="C830" s="25">
        <v>1469300</v>
      </c>
      <c r="D830" s="22" t="s">
        <v>1602</v>
      </c>
      <c r="E830" s="22" t="s">
        <v>68</v>
      </c>
      <c r="F830" s="23" t="str">
        <f>HYPERLINK("https://www.spark-marketing.ru/Card/Lot/73956097", "4-ЭА-Охрана-20: Оказание услуг охраны объектов ГУЗ ""ЛООД"".")</f>
        <v>4-ЭА-Охрана-20: Оказание услуг охраны объектов ГУЗ "ЛООД".</v>
      </c>
      <c r="G830" s="22" t="s">
        <v>629</v>
      </c>
      <c r="H830" s="22" t="s">
        <v>1603</v>
      </c>
      <c r="I830" s="26">
        <v>43734.703680555598</v>
      </c>
      <c r="J830" s="23" t="str">
        <f>HYPERLINK("https://www.spark-marketing.ru/Card/Person/704243", "ООО ЧОП ""БЕРКУТ""")</f>
        <v>ООО ЧОП "БЕРКУТ"</v>
      </c>
      <c r="K830" s="24" t="s">
        <v>1606</v>
      </c>
      <c r="L830" s="28" t="s">
        <v>52</v>
      </c>
      <c r="M830" s="25">
        <v>1454607</v>
      </c>
      <c r="N830" s="27">
        <v>0.01</v>
      </c>
    </row>
    <row r="831" spans="1:14" hidden="1" outlineLevel="1" x14ac:dyDescent="0.2">
      <c r="A831" s="23" t="str">
        <f>HYPERLINK("https://www.spark-marketing.ru/Card/Person/8340", "ГУЗ ""ЛООД""")</f>
        <v>ГУЗ "ЛООД"</v>
      </c>
      <c r="B831" s="24" t="s">
        <v>1601</v>
      </c>
      <c r="C831" s="25">
        <v>1469300</v>
      </c>
      <c r="D831" s="22" t="s">
        <v>1602</v>
      </c>
      <c r="E831" s="22" t="s">
        <v>68</v>
      </c>
      <c r="F831" s="23" t="str">
        <f>HYPERLINK("https://www.spark-marketing.ru/Card/Lot/73956097", "4-ЭА-Охрана-20: Оказание услуг охраны объектов ГУЗ ""ЛООД"".")</f>
        <v>4-ЭА-Охрана-20: Оказание услуг охраны объектов ГУЗ "ЛООД".</v>
      </c>
      <c r="G831" s="22" t="s">
        <v>629</v>
      </c>
      <c r="H831" s="22" t="s">
        <v>1603</v>
      </c>
      <c r="I831" s="26">
        <v>43734.703680555598</v>
      </c>
      <c r="J831" s="23" t="str">
        <f>HYPERLINK("https://www.spark-marketing.ru/Card/Person/124217", "ООО ""ЧОП""РУСИЧ""")</f>
        <v>ООО "ЧОП"РУСИЧ"</v>
      </c>
      <c r="K831" s="24" t="s">
        <v>1607</v>
      </c>
      <c r="L831" s="28" t="s">
        <v>52</v>
      </c>
      <c r="M831" s="25">
        <v>1454607</v>
      </c>
      <c r="N831" s="27">
        <v>0.01</v>
      </c>
    </row>
    <row r="832" spans="1:14" x14ac:dyDescent="0.15">
      <c r="A832" s="23" t="str">
        <f t="shared" ref="A832:A837" si="15">HYPERLINK("https://www.spark-marketing.ru/Card/Person/1025169", "МБУ ДО ДШИ Г. НЫТВА")</f>
        <v>МБУ ДО ДШИ Г. НЫТВА</v>
      </c>
      <c r="B832" s="24" t="s">
        <v>1608</v>
      </c>
      <c r="C832" s="25">
        <v>287678.32</v>
      </c>
      <c r="D832" s="22" t="s">
        <v>1609</v>
      </c>
      <c r="E832" s="22" t="s">
        <v>84</v>
      </c>
      <c r="F832" s="23" t="str">
        <f t="shared" ref="F832:F837" si="16">HYPERLINK("https://www.spark-marketing.ru/Card/Lot/73930756", "УСТАНОВКА, МОНТАЖ ВИДЕОНАБЛЮДЕНИЯ С ИСПОЛЬЗОВАНИЕМ МАТЕРИАЛА")</f>
        <v>УСТАНОВКА, МОНТАЖ ВИДЕОНАБЛЮДЕНИЯ С ИСПОЛЬЗОВАНИЕМ МАТЕРИАЛА</v>
      </c>
      <c r="G832" s="22" t="s">
        <v>391</v>
      </c>
      <c r="H832" s="22" t="s">
        <v>391</v>
      </c>
      <c r="I832" s="26">
        <v>43734.677083333299</v>
      </c>
      <c r="J832" s="28" t="s">
        <v>52</v>
      </c>
      <c r="K832" s="28" t="s">
        <v>52</v>
      </c>
      <c r="L832" s="28" t="s">
        <v>52</v>
      </c>
      <c r="M832" s="28" t="s">
        <v>52</v>
      </c>
      <c r="N832" s="28" t="s">
        <v>52</v>
      </c>
    </row>
    <row r="833" spans="1:14" ht="12.75" hidden="1" outlineLevel="1" x14ac:dyDescent="0.2">
      <c r="A833" s="23" t="str">
        <f t="shared" si="15"/>
        <v>МБУ ДО ДШИ Г. НЫТВА</v>
      </c>
      <c r="B833" s="24" t="s">
        <v>1608</v>
      </c>
      <c r="C833" s="25">
        <v>287678.32</v>
      </c>
      <c r="D833" s="22" t="s">
        <v>1609</v>
      </c>
      <c r="E833" s="22" t="s">
        <v>84</v>
      </c>
      <c r="F833" s="23" t="str">
        <f t="shared" si="16"/>
        <v>УСТАНОВКА, МОНТАЖ ВИДЕОНАБЛЮДЕНИЯ С ИСПОЛЬЗОВАНИЕМ МАТЕРИАЛА</v>
      </c>
      <c r="G833" s="22" t="s">
        <v>391</v>
      </c>
      <c r="H833" s="22" t="s">
        <v>391</v>
      </c>
      <c r="I833" s="26">
        <v>43734.677083333299</v>
      </c>
      <c r="J833" s="23" t="str">
        <f>HYPERLINK("https://www.spark-marketing.ru/Card/Person/6000609", "ООО ""ВИДЕОДОМ""")</f>
        <v>ООО "ВИДЕОДОМ"</v>
      </c>
      <c r="K833" s="24" t="s">
        <v>1610</v>
      </c>
      <c r="L833" s="22" t="s">
        <v>10</v>
      </c>
      <c r="M833" s="25">
        <v>208424.13</v>
      </c>
      <c r="N833" s="27">
        <v>0.27549587330738029</v>
      </c>
    </row>
    <row r="834" spans="1:14" hidden="1" outlineLevel="1" x14ac:dyDescent="0.2">
      <c r="A834" s="23" t="str">
        <f t="shared" si="15"/>
        <v>МБУ ДО ДШИ Г. НЫТВА</v>
      </c>
      <c r="B834" s="24" t="s">
        <v>1608</v>
      </c>
      <c r="C834" s="25">
        <v>287678.32</v>
      </c>
      <c r="D834" s="22" t="s">
        <v>1609</v>
      </c>
      <c r="E834" s="22" t="s">
        <v>84</v>
      </c>
      <c r="F834" s="23" t="str">
        <f t="shared" si="16"/>
        <v>УСТАНОВКА, МОНТАЖ ВИДЕОНАБЛЮДЕНИЯ С ИСПОЛЬЗОВАНИЕМ МАТЕРИАЛА</v>
      </c>
      <c r="G834" s="22" t="s">
        <v>391</v>
      </c>
      <c r="H834" s="22" t="s">
        <v>391</v>
      </c>
      <c r="I834" s="26">
        <v>43734.677083333299</v>
      </c>
      <c r="J834" s="23" t="str">
        <f>HYPERLINK("https://www.spark-marketing.ru/Card/Person/1436194", "ООО ""КАМАПРОЕКТСЕРВИС""")</f>
        <v>ООО "КАМАПРОЕКТСЕРВИС"</v>
      </c>
      <c r="K834" s="24" t="s">
        <v>1611</v>
      </c>
      <c r="L834" s="28" t="s">
        <v>52</v>
      </c>
      <c r="M834" s="25">
        <v>209862.52</v>
      </c>
      <c r="N834" s="27">
        <v>0.270495878869148</v>
      </c>
    </row>
    <row r="835" spans="1:14" hidden="1" outlineLevel="1" x14ac:dyDescent="0.2">
      <c r="A835" s="23" t="str">
        <f t="shared" si="15"/>
        <v>МБУ ДО ДШИ Г. НЫТВА</v>
      </c>
      <c r="B835" s="24" t="s">
        <v>1608</v>
      </c>
      <c r="C835" s="25">
        <v>287678.32</v>
      </c>
      <c r="D835" s="22" t="s">
        <v>1609</v>
      </c>
      <c r="E835" s="22" t="s">
        <v>84</v>
      </c>
      <c r="F835" s="23" t="str">
        <f t="shared" si="16"/>
        <v>УСТАНОВКА, МОНТАЖ ВИДЕОНАБЛЮДЕНИЯ С ИСПОЛЬЗОВАНИЕМ МАТЕРИАЛА</v>
      </c>
      <c r="G835" s="22" t="s">
        <v>391</v>
      </c>
      <c r="H835" s="22" t="s">
        <v>391</v>
      </c>
      <c r="I835" s="26">
        <v>43734.677083333299</v>
      </c>
      <c r="J835" s="23" t="str">
        <f>HYPERLINK("https://www.spark-marketing.ru/Card/Person/753747", "ООО ""СКУД""")</f>
        <v>ООО "СКУД"</v>
      </c>
      <c r="K835" s="24" t="s">
        <v>1612</v>
      </c>
      <c r="L835" s="28" t="s">
        <v>52</v>
      </c>
      <c r="M835" s="25">
        <v>279047.98</v>
      </c>
      <c r="N835" s="27">
        <v>2.9999966629393554E-2</v>
      </c>
    </row>
    <row r="836" spans="1:14" hidden="1" outlineLevel="1" x14ac:dyDescent="0.2">
      <c r="A836" s="23" t="str">
        <f t="shared" si="15"/>
        <v>МБУ ДО ДШИ Г. НЫТВА</v>
      </c>
      <c r="B836" s="24" t="s">
        <v>1608</v>
      </c>
      <c r="C836" s="25">
        <v>287678.32</v>
      </c>
      <c r="D836" s="22" t="s">
        <v>1609</v>
      </c>
      <c r="E836" s="22" t="s">
        <v>84</v>
      </c>
      <c r="F836" s="23" t="str">
        <f t="shared" si="16"/>
        <v>УСТАНОВКА, МОНТАЖ ВИДЕОНАБЛЮДЕНИЯ С ИСПОЛЬЗОВАНИЕМ МАТЕРИАЛА</v>
      </c>
      <c r="G836" s="22" t="s">
        <v>391</v>
      </c>
      <c r="H836" s="22" t="s">
        <v>391</v>
      </c>
      <c r="I836" s="26">
        <v>43734.677083333299</v>
      </c>
      <c r="J836" s="23" t="str">
        <f>HYPERLINK("https://www.spark-marketing.ru/Card/Person/433808", "ООО ""ВЕКТОР""")</f>
        <v>ООО "ВЕКТОР"</v>
      </c>
      <c r="K836" s="24" t="s">
        <v>1613</v>
      </c>
      <c r="L836" s="28" t="s">
        <v>52</v>
      </c>
      <c r="M836" s="25">
        <v>281924.76</v>
      </c>
      <c r="N836" s="27">
        <v>1.9999977752929034E-2</v>
      </c>
    </row>
    <row r="837" spans="1:14" hidden="1" outlineLevel="1" x14ac:dyDescent="0.2">
      <c r="A837" s="23" t="str">
        <f t="shared" si="15"/>
        <v>МБУ ДО ДШИ Г. НЫТВА</v>
      </c>
      <c r="B837" s="24" t="s">
        <v>1608</v>
      </c>
      <c r="C837" s="25">
        <v>287678.32</v>
      </c>
      <c r="D837" s="22" t="s">
        <v>1609</v>
      </c>
      <c r="E837" s="22" t="s">
        <v>84</v>
      </c>
      <c r="F837" s="23" t="str">
        <f t="shared" si="16"/>
        <v>УСТАНОВКА, МОНТАЖ ВИДЕОНАБЛЮДЕНИЯ С ИСПОЛЬЗОВАНИЕМ МАТЕРИАЛА</v>
      </c>
      <c r="G837" s="22" t="s">
        <v>391</v>
      </c>
      <c r="H837" s="22" t="s">
        <v>391</v>
      </c>
      <c r="I837" s="26">
        <v>43734.677083333299</v>
      </c>
      <c r="J837" s="23" t="str">
        <f>HYPERLINK("https://www.spark-marketing.ru/Card/Person/1427557", "ООО ""ОХРАННОЕ БЮРО КМК-ПЕРМЬ""")</f>
        <v>ООО "ОХРАННОЕ БЮРО КМК-ПЕРМЬ"</v>
      </c>
      <c r="K837" s="24" t="s">
        <v>1614</v>
      </c>
      <c r="L837" s="28" t="s">
        <v>52</v>
      </c>
      <c r="M837" s="25">
        <v>260348.89</v>
      </c>
      <c r="N837" s="27">
        <v>9.4999963848509686E-2</v>
      </c>
    </row>
    <row r="838" spans="1:14" x14ac:dyDescent="0.15">
      <c r="A838" s="23" t="str">
        <f>HYPERLINK("https://www.spark-marketing.ru/Card/Person/18481", "ФГУП ""РОСРАО""")</f>
        <v>ФГУП "РОСРАО"</v>
      </c>
      <c r="B838" s="24" t="s">
        <v>1615</v>
      </c>
      <c r="C838" s="25">
        <v>3190800</v>
      </c>
      <c r="D838" s="22" t="s">
        <v>1616</v>
      </c>
      <c r="E838" s="22" t="s">
        <v>1013</v>
      </c>
      <c r="F838" s="23" t="str">
        <f>HYPERLINK("https://www.spark-marketing.ru/Card/Lot/73941714", "Оказание услуг по охране объектов Грозненского отделения филиала «Южный территориальный округ» ФГУП «РосРАО»")</f>
        <v>Оказание услуг по охране объектов Грозненского отделения филиала «Южный территориальный округ» ФГУП «РосРАО»</v>
      </c>
      <c r="G838" s="22" t="s">
        <v>402</v>
      </c>
      <c r="H838" s="22" t="s">
        <v>402</v>
      </c>
      <c r="I838" s="26">
        <v>43734.702083333301</v>
      </c>
      <c r="J838" s="23" t="str">
        <f>HYPERLINK("https://www.spark-marketing.ru/Card/Person/1784074", "ФГКУ ""УВО ВНГ РОССИИ ПО ЧЕЧЕНСКОЙ РЕСПУБЛИКЕ""")</f>
        <v>ФГКУ "УВО ВНГ РОССИИ ПО ЧЕЧЕНСКОЙ РЕСПУБЛИКЕ"</v>
      </c>
      <c r="K838" s="24" t="s">
        <v>1617</v>
      </c>
      <c r="L838" s="22" t="s">
        <v>10</v>
      </c>
      <c r="M838" s="28" t="s">
        <v>52</v>
      </c>
      <c r="N838" s="28" t="s">
        <v>52</v>
      </c>
    </row>
    <row r="839" spans="1:14" x14ac:dyDescent="0.15">
      <c r="A839" s="23" t="str">
        <f>HYPERLINK("https://www.spark-marketing.ru/Card/Person/15033", "Владивостокский филиал Российской таможенной академии")</f>
        <v>Владивостокский филиал Российской таможенной академии</v>
      </c>
      <c r="B839" s="24" t="s">
        <v>1618</v>
      </c>
      <c r="C839" s="25">
        <v>122475.81</v>
      </c>
      <c r="D839" s="22" t="s">
        <v>1619</v>
      </c>
      <c r="E839" s="22" t="s">
        <v>59</v>
      </c>
      <c r="F839" s="23" t="str">
        <f>HYPERLINK("https://www.spark-marketing.ru/Card/Lot/73928150", "Поставка с установкой видеодомофонов на входные двери")</f>
        <v>Поставка с установкой видеодомофонов на входные двери</v>
      </c>
      <c r="G839" s="22" t="s">
        <v>409</v>
      </c>
      <c r="H839" s="22" t="s">
        <v>878</v>
      </c>
      <c r="I839" s="26">
        <v>43734.6965277778</v>
      </c>
      <c r="J839" s="28" t="s">
        <v>52</v>
      </c>
      <c r="K839" s="28" t="s">
        <v>52</v>
      </c>
      <c r="L839" s="28" t="s">
        <v>52</v>
      </c>
      <c r="M839" s="28" t="s">
        <v>52</v>
      </c>
      <c r="N839" s="28" t="s">
        <v>52</v>
      </c>
    </row>
    <row r="840" spans="1:14" ht="12.75" hidden="1" outlineLevel="1" x14ac:dyDescent="0.2">
      <c r="A840" s="23" t="str">
        <f>HYPERLINK("https://www.spark-marketing.ru/Card/Person/15033", "Владивостокский филиал Российской таможенной академии")</f>
        <v>Владивостокский филиал Российской таможенной академии</v>
      </c>
      <c r="B840" s="24" t="s">
        <v>1618</v>
      </c>
      <c r="C840" s="25">
        <v>122475.81</v>
      </c>
      <c r="D840" s="22" t="s">
        <v>1619</v>
      </c>
      <c r="E840" s="22" t="s">
        <v>59</v>
      </c>
      <c r="F840" s="23" t="str">
        <f>HYPERLINK("https://www.spark-marketing.ru/Card/Lot/73928150", "Поставка с установкой видеодомофонов на входные двери")</f>
        <v>Поставка с установкой видеодомофонов на входные двери</v>
      </c>
      <c r="G840" s="22" t="s">
        <v>409</v>
      </c>
      <c r="H840" s="22" t="s">
        <v>878</v>
      </c>
      <c r="I840" s="26">
        <v>43734.6965277778</v>
      </c>
      <c r="J840" s="23" t="str">
        <f>HYPERLINK("https://www.spark-marketing.ru/Card/Person/5872272", "Солончук Роман Владимирович")</f>
        <v>Солончук Роман Владимирович</v>
      </c>
      <c r="K840" s="24" t="s">
        <v>1620</v>
      </c>
      <c r="L840" s="22" t="s">
        <v>10</v>
      </c>
      <c r="M840" s="25">
        <v>118377.58</v>
      </c>
      <c r="N840" s="27">
        <v>3.3461546406592456E-2</v>
      </c>
    </row>
    <row r="841" spans="1:14" hidden="1" outlineLevel="1" x14ac:dyDescent="0.2">
      <c r="A841" s="23" t="str">
        <f>HYPERLINK("https://www.spark-marketing.ru/Card/Person/15033", "Владивостокский филиал Российской таможенной академии")</f>
        <v>Владивостокский филиал Российской таможенной академии</v>
      </c>
      <c r="B841" s="24" t="s">
        <v>1618</v>
      </c>
      <c r="C841" s="25">
        <v>122475.81</v>
      </c>
      <c r="D841" s="22" t="s">
        <v>1619</v>
      </c>
      <c r="E841" s="22" t="s">
        <v>59</v>
      </c>
      <c r="F841" s="23" t="str">
        <f>HYPERLINK("https://www.spark-marketing.ru/Card/Lot/73928150", "Поставка с установкой видеодомофонов на входные двери")</f>
        <v>Поставка с установкой видеодомофонов на входные двери</v>
      </c>
      <c r="G841" s="22" t="s">
        <v>409</v>
      </c>
      <c r="H841" s="22" t="s">
        <v>878</v>
      </c>
      <c r="I841" s="26">
        <v>43734.6965277778</v>
      </c>
      <c r="J841" s="23" t="str">
        <f>HYPERLINK("https://www.spark-marketing.ru/Card/Person/61255", "ООО ЧОП ""АМУЛЕТ""")</f>
        <v>ООО ЧОП "АМУЛЕТ"</v>
      </c>
      <c r="K841" s="24" t="s">
        <v>1621</v>
      </c>
      <c r="L841" s="28" t="s">
        <v>52</v>
      </c>
      <c r="M841" s="25">
        <v>119381.3</v>
      </c>
      <c r="N841" s="27">
        <v>2.5266295442340818E-2</v>
      </c>
    </row>
    <row r="842" spans="1:14" x14ac:dyDescent="0.15">
      <c r="A842" s="23" t="str">
        <f>HYPERLINK("https://www.spark-marketing.ru/Card/Person/6635536", "ЮЖНО–УРАЛЬСКАЯ ДИРЕКЦИЯ ИНФРАСТРУКТУРЫ – СТРУКТУРНОЕ ПОДРАЗДЕЛЕНИЕ ЦЕНТРАЛЬНОЙ ДИРЕКЦИИ ИНФРАСТРУКТУРЫ – ФЛ ОАО  РЖД")</f>
        <v>ЮЖНО–УРАЛЬСКАЯ ДИРЕКЦИЯ ИНФРАСТРУКТУРЫ – СТРУКТУРНОЕ ПОДРАЗДЕЛЕНИЕ ЦЕНТРАЛЬНОЙ ДИРЕКЦИИ ИНФРАСТРУКТУРЫ – ФЛ ОАО  РЖД</v>
      </c>
      <c r="B842" s="24" t="s">
        <v>163</v>
      </c>
      <c r="C842" s="25">
        <v>154110.25</v>
      </c>
      <c r="D842" s="28" t="s">
        <v>52</v>
      </c>
      <c r="E842" s="22" t="s">
        <v>1622</v>
      </c>
      <c r="F842" s="23" t="str">
        <f>HYPERLINK("https://www.spark-marketing.ru/Card/Lot/73912622", "№27982 Изготовление и установка ворот для Челябинской дистанции сигнализации, централизации и блокировки")</f>
        <v>№27982 Изготовление и установка ворот для Челябинской дистанции сигнализации, централизации и блокировки</v>
      </c>
      <c r="G842" s="22" t="s">
        <v>52</v>
      </c>
      <c r="H842" s="22" t="s">
        <v>52</v>
      </c>
      <c r="I842" s="26">
        <v>43734.665011574099</v>
      </c>
      <c r="J842" s="28" t="s">
        <v>52</v>
      </c>
      <c r="K842" s="28" t="s">
        <v>52</v>
      </c>
      <c r="L842" s="28" t="s">
        <v>52</v>
      </c>
      <c r="M842" s="28" t="s">
        <v>52</v>
      </c>
      <c r="N842" s="28" t="s">
        <v>52</v>
      </c>
    </row>
    <row r="843" spans="1:14" x14ac:dyDescent="0.15">
      <c r="A843" s="23" t="str">
        <f>HYPERLINK("https://www.spark-marketing.ru/Card/Person/16979", "СУ СК РОССИИ ПО СТАВРОПОЛЬСКОМУ КРАЮ")</f>
        <v>СУ СК РОССИИ ПО СТАВРОПОЛЬСКОМУ КРАЮ</v>
      </c>
      <c r="B843" s="24" t="s">
        <v>1623</v>
      </c>
      <c r="C843" s="25">
        <v>2397556.7999999998</v>
      </c>
      <c r="D843" s="22" t="s">
        <v>1624</v>
      </c>
      <c r="E843" s="22" t="s">
        <v>68</v>
      </c>
      <c r="F843" s="23" t="str">
        <f>HYPERLINK("https://www.spark-marketing.ru/Card/Lot/73939973", "Услуги охраны служебных зданий (помещений) Следственного управления Следственного комитета РФ по Ставропольскому краю (ноябрь 2019)")</f>
        <v>Услуги охраны служебных зданий (помещений) Следственного управления Следственного комитета РФ по Ставропольскому краю (ноябрь 2019)</v>
      </c>
      <c r="G843" s="22" t="s">
        <v>258</v>
      </c>
      <c r="H843" s="22" t="s">
        <v>258</v>
      </c>
      <c r="I843" s="26">
        <v>43734.657638888901</v>
      </c>
      <c r="J843" s="23" t="str">
        <f>HYPERLINK("https://www.spark-marketing.ru/Card/Person/30288", "ФГКУ ""УВО ВНГ РОССИИ ПО СТАВРОПОЛЬСКОМУ КРАЮ""")</f>
        <v>ФГКУ "УВО ВНГ РОССИИ ПО СТАВРОПОЛЬСКОМУ КРАЮ"</v>
      </c>
      <c r="K843" s="24" t="s">
        <v>1625</v>
      </c>
      <c r="L843" s="22" t="s">
        <v>10</v>
      </c>
      <c r="M843" s="28" t="s">
        <v>52</v>
      </c>
      <c r="N843" s="28" t="s">
        <v>52</v>
      </c>
    </row>
    <row r="844" spans="1:14" x14ac:dyDescent="0.15">
      <c r="A844" s="23" t="str">
        <f>HYPERLINK("https://www.spark-marketing.ru/Card/Person/51493", "ГКОУ МО КШИ С ПЛП")</f>
        <v>ГКОУ МО КШИ С ПЛП</v>
      </c>
      <c r="B844" s="24" t="s">
        <v>1626</v>
      </c>
      <c r="C844" s="25">
        <v>432000</v>
      </c>
      <c r="D844" s="22" t="s">
        <v>1627</v>
      </c>
      <c r="E844" s="22" t="s">
        <v>194</v>
      </c>
      <c r="F844" s="23" t="str">
        <f>HYPERLINK("https://www.spark-marketing.ru/Card/Lot/73932842", "Установка видеокамер и получение видеоизображения в системе ""Безопасный регион"", хранение данных")</f>
        <v>Установка видеокамер и получение видеоизображения в системе "Безопасный регион", хранение данных</v>
      </c>
      <c r="G844" s="22" t="s">
        <v>50</v>
      </c>
      <c r="H844" s="22" t="s">
        <v>458</v>
      </c>
      <c r="I844" s="26">
        <v>43734.618750000001</v>
      </c>
      <c r="J844" s="23" t="str">
        <f>HYPERLINK("https://www.spark-marketing.ru/Card/Person/5920342", "ООО ""ИНФФИН""")</f>
        <v>ООО "ИНФФИН"</v>
      </c>
      <c r="K844" s="24" t="s">
        <v>1628</v>
      </c>
      <c r="L844" s="22" t="s">
        <v>10</v>
      </c>
      <c r="M844" s="28" t="s">
        <v>52</v>
      </c>
      <c r="N844" s="28" t="s">
        <v>52</v>
      </c>
    </row>
    <row r="845" spans="1:14" x14ac:dyDescent="0.15">
      <c r="A845" s="23" t="str">
        <f>HYPERLINK("https://www.spark-marketing.ru/Card/Person/55306", "МЕЖМУНИЦИПАЛЬНЫЙ ОТДЕЛ МВД РОССИИ ""КАРТАЛИНСКИЙ"" ЧЕЛЯБИНСКОЙ ОБЛАСТИ")</f>
        <v>МЕЖМУНИЦИПАЛЬНЫЙ ОТДЕЛ МВД РОССИИ "КАРТАЛИНСКИЙ" ЧЕЛЯБИНСКОЙ ОБЛАСТИ</v>
      </c>
      <c r="B845" s="24" t="s">
        <v>1629</v>
      </c>
      <c r="C845" s="25">
        <v>20900</v>
      </c>
      <c r="D845" s="22" t="s">
        <v>1630</v>
      </c>
      <c r="E845" s="22" t="s">
        <v>103</v>
      </c>
      <c r="F845" s="23" t="str">
        <f>HYPERLINK("https://www.spark-marketing.ru/Card/Lot/73909985", "Оказание услуг по техническому обслуживанию системы видеонаблюденя, 1 усл. ед")</f>
        <v>Оказание услуг по техническому обслуживанию системы видеонаблюденя, 1 усл. ед</v>
      </c>
      <c r="G845" s="22" t="s">
        <v>60</v>
      </c>
      <c r="H845" s="22" t="s">
        <v>1631</v>
      </c>
      <c r="I845" s="26">
        <v>43734.599525463003</v>
      </c>
      <c r="J845" s="28" t="s">
        <v>52</v>
      </c>
      <c r="K845" s="28" t="s">
        <v>52</v>
      </c>
      <c r="L845" s="28" t="s">
        <v>52</v>
      </c>
      <c r="M845" s="28" t="s">
        <v>52</v>
      </c>
      <c r="N845" s="28" t="s">
        <v>52</v>
      </c>
    </row>
    <row r="846" spans="1:14" x14ac:dyDescent="0.15">
      <c r="A846" s="23" t="str">
        <f>HYPERLINK("https://www.spark-marketing.ru/Card/Person/104489", "ГУСО ""ЭКСПЛУАТАЦИЯ И ОБСЛУЖИВАНИЕ ЗДАНИЙ""")</f>
        <v>ГУСО "ЭКСПЛУАТАЦИЯ И ОБСЛУЖИВАНИЕ ЗДАНИЙ"</v>
      </c>
      <c r="B846" s="24" t="s">
        <v>1632</v>
      </c>
      <c r="C846" s="25">
        <v>197933.33</v>
      </c>
      <c r="D846" s="22" t="s">
        <v>1633</v>
      </c>
      <c r="E846" s="22" t="s">
        <v>1634</v>
      </c>
      <c r="F846" s="23" t="str">
        <f>HYPERLINK("https://www.spark-marketing.ru/Card/Lot/73929436", "Оказание услуг по техническому обеспечению и техническому обслуживанию торжественного мероприятия")</f>
        <v>Оказание услуг по техническому обеспечению и техническому обслуживанию торжественного мероприятия</v>
      </c>
      <c r="G846" s="22" t="s">
        <v>80</v>
      </c>
      <c r="H846" s="22" t="s">
        <v>81</v>
      </c>
      <c r="I846" s="26">
        <v>43734.588888888902</v>
      </c>
      <c r="J846" s="23" t="str">
        <f>HYPERLINK("https://www.spark-marketing.ru/Card/Person/545770", "Обычев Олег Владимирович")</f>
        <v>Обычев Олег Владимирович</v>
      </c>
      <c r="K846" s="24" t="s">
        <v>1635</v>
      </c>
      <c r="L846" s="22" t="s">
        <v>10</v>
      </c>
      <c r="M846" s="28" t="s">
        <v>52</v>
      </c>
      <c r="N846" s="28" t="s">
        <v>52</v>
      </c>
    </row>
    <row r="847" spans="1:14" x14ac:dyDescent="0.15">
      <c r="A847" s="23" t="str">
        <f>HYPERLINK("https://www.spark-marketing.ru/Card/Person/107276", "БЕЛГОРОДСКИЙ ОБЛАСТНОЙ СУД")</f>
        <v>БЕЛГОРОДСКИЙ ОБЛАСТНОЙ СУД</v>
      </c>
      <c r="B847" s="24" t="s">
        <v>1267</v>
      </c>
      <c r="C847" s="25">
        <v>198691.84</v>
      </c>
      <c r="D847" s="22" t="s">
        <v>1636</v>
      </c>
      <c r="E847" s="22" t="s">
        <v>68</v>
      </c>
      <c r="F847" s="23" t="str">
        <f>HYPERLINK("https://www.spark-marketing.ru/Card/Lot/73932013", "Военизированная охрана объектов суда")</f>
        <v>Военизированная охрана объектов суда</v>
      </c>
      <c r="G847" s="22" t="s">
        <v>176</v>
      </c>
      <c r="H847" s="22" t="s">
        <v>318</v>
      </c>
      <c r="I847" s="26">
        <v>43734.596527777801</v>
      </c>
      <c r="J847" s="28" t="s">
        <v>52</v>
      </c>
      <c r="K847" s="28" t="s">
        <v>52</v>
      </c>
      <c r="L847" s="28" t="s">
        <v>52</v>
      </c>
      <c r="M847" s="28" t="s">
        <v>52</v>
      </c>
      <c r="N847" s="28" t="s">
        <v>52</v>
      </c>
    </row>
    <row r="848" spans="1:14" x14ac:dyDescent="0.15">
      <c r="A848" s="23" t="str">
        <f>HYPERLINK("https://www.spark-marketing.ru/Card/Person/22686", "ФГКУ КОМБИНАТ ""СОКОЛ"" РОСРЕЗЕРВА")</f>
        <v>ФГКУ КОМБИНАТ "СОКОЛ" РОСРЕЗЕРВА</v>
      </c>
      <c r="B848" s="24" t="s">
        <v>1637</v>
      </c>
      <c r="C848" s="25">
        <v>234.28</v>
      </c>
      <c r="D848" s="22" t="s">
        <v>1638</v>
      </c>
      <c r="E848" s="22" t="s">
        <v>107</v>
      </c>
      <c r="F848" s="23" t="str">
        <f>HYPERLINK("https://www.spark-marketing.ru/Card/Lot/73910109", "Оказание услуг по техническому обслуживанию комплекса технических средств тревожной сигнализации на объектах")</f>
        <v>Оказание услуг по техническому обслуживанию комплекса технических средств тревожной сигнализации на объектах</v>
      </c>
      <c r="G848" s="22" t="s">
        <v>556</v>
      </c>
      <c r="H848" s="22" t="s">
        <v>1639</v>
      </c>
      <c r="I848" s="26">
        <v>43734.608587962997</v>
      </c>
      <c r="J848" s="28" t="s">
        <v>52</v>
      </c>
      <c r="K848" s="28" t="s">
        <v>52</v>
      </c>
      <c r="L848" s="28" t="s">
        <v>52</v>
      </c>
      <c r="M848" s="28" t="s">
        <v>52</v>
      </c>
      <c r="N848" s="28" t="s">
        <v>52</v>
      </c>
    </row>
    <row r="849" spans="1:14" x14ac:dyDescent="0.15">
      <c r="A849" s="23" t="str">
        <f>HYPERLINK("https://www.spark-marketing.ru/Card/Person/1758813", "ООО ЧОП ""РН-ОХРАНА-УСИНСК""")</f>
        <v>ООО ЧОП "РН-ОХРАНА-УСИНСК"</v>
      </c>
      <c r="B849" s="24" t="s">
        <v>1640</v>
      </c>
      <c r="C849" s="28" t="s">
        <v>52</v>
      </c>
      <c r="D849" s="22" t="s">
        <v>1641</v>
      </c>
      <c r="E849" s="22" t="s">
        <v>1543</v>
      </c>
      <c r="F849" s="23" t="str">
        <f>HYPERLINK("https://www.spark-marketing.ru/Card/Lot/74000669", "Приобретение автомобиля Шевроле Нива GLC на 2020г. для нужд ООО ЧОП ""РН-Охрана-Усинск""")</f>
        <v>Приобретение автомобиля Шевроле Нива GLC на 2020г. для нужд ООО ЧОП "РН-Охрана-Усинск"</v>
      </c>
      <c r="G849" s="22" t="s">
        <v>538</v>
      </c>
      <c r="H849" s="22" t="s">
        <v>1642</v>
      </c>
      <c r="I849" s="26">
        <v>43734.594444444403</v>
      </c>
      <c r="J849" s="28" t="s">
        <v>52</v>
      </c>
      <c r="K849" s="28" t="s">
        <v>52</v>
      </c>
      <c r="L849" s="28" t="s">
        <v>52</v>
      </c>
      <c r="M849" s="28" t="s">
        <v>52</v>
      </c>
      <c r="N849" s="28" t="s">
        <v>52</v>
      </c>
    </row>
    <row r="850" spans="1:14" x14ac:dyDescent="0.15">
      <c r="A850" s="23" t="str">
        <f>HYPERLINK("https://www.spark-marketing.ru/Card/Person/55306", "МЕЖМУНИЦИПАЛЬНЫЙ ОТДЕЛ МВД РОССИИ ""КАРТАЛИНСКИЙ"" ЧЕЛЯБИНСКОЙ ОБЛАСТИ")</f>
        <v>МЕЖМУНИЦИПАЛЬНЫЙ ОТДЕЛ МВД РОССИИ "КАРТАЛИНСКИЙ" ЧЕЛЯБИНСКОЙ ОБЛАСТИ</v>
      </c>
      <c r="B850" s="24" t="s">
        <v>1629</v>
      </c>
      <c r="C850" s="25">
        <v>20900</v>
      </c>
      <c r="D850" s="22" t="s">
        <v>1643</v>
      </c>
      <c r="E850" s="22" t="s">
        <v>103</v>
      </c>
      <c r="F850" s="23" t="str">
        <f>HYPERLINK("https://www.spark-marketing.ru/Card/Lot/73909940", "Оказание услуг по техническому обслуживанию системы видеонаблюденя, 1 усл. ед")</f>
        <v>Оказание услуг по техническому обслуживанию системы видеонаблюденя, 1 усл. ед</v>
      </c>
      <c r="G850" s="22" t="s">
        <v>60</v>
      </c>
      <c r="H850" s="22" t="s">
        <v>1631</v>
      </c>
      <c r="I850" s="26">
        <v>43734.597418981502</v>
      </c>
      <c r="J850" s="28" t="s">
        <v>52</v>
      </c>
      <c r="K850" s="28" t="s">
        <v>52</v>
      </c>
      <c r="L850" s="28" t="s">
        <v>52</v>
      </c>
      <c r="M850" s="28" t="s">
        <v>52</v>
      </c>
      <c r="N850" s="28" t="s">
        <v>52</v>
      </c>
    </row>
    <row r="851" spans="1:14" x14ac:dyDescent="0.15">
      <c r="A851" s="23" t="str">
        <f>HYPERLINK("https://www.spark-marketing.ru/Card/Person/38596", "УСД В РЕСПУБЛИКЕ БУРЯТИЯ")</f>
        <v>УСД В РЕСПУБЛИКЕ БУРЯТИЯ</v>
      </c>
      <c r="B851" s="24" t="s">
        <v>1644</v>
      </c>
      <c r="C851" s="25">
        <v>9500</v>
      </c>
      <c r="D851" s="22" t="s">
        <v>1645</v>
      </c>
      <c r="E851" s="22" t="s">
        <v>208</v>
      </c>
      <c r="F851" s="23" t="str">
        <f>HYPERLINK("https://www.spark-marketing.ru/Card/Lot/73909058", "Поставка и установка кнопок тревожной сигнализации для нужд Улан-Удэнского гарнизонного военного суда")</f>
        <v>Поставка и установка кнопок тревожной сигнализации для нужд Улан-Удэнского гарнизонного военного суда</v>
      </c>
      <c r="G851" s="22" t="s">
        <v>354</v>
      </c>
      <c r="H851" s="22" t="s">
        <v>354</v>
      </c>
      <c r="I851" s="26">
        <v>43734.615277777797</v>
      </c>
      <c r="J851" s="28" t="s">
        <v>52</v>
      </c>
      <c r="K851" s="28" t="s">
        <v>52</v>
      </c>
      <c r="L851" s="28" t="s">
        <v>52</v>
      </c>
      <c r="M851" s="28" t="s">
        <v>52</v>
      </c>
      <c r="N851" s="28" t="s">
        <v>52</v>
      </c>
    </row>
    <row r="852" spans="1:14" x14ac:dyDescent="0.15">
      <c r="A852" s="23" t="str">
        <f>HYPERLINK("https://www.spark-marketing.ru/Card/Person/6616961", "С ПЛОЩАДКИ ОТС")</f>
        <v>С ПЛОЩАДКИ ОТС</v>
      </c>
      <c r="B852" s="28" t="s">
        <v>52</v>
      </c>
      <c r="C852" s="28" t="s">
        <v>52</v>
      </c>
      <c r="D852" s="22" t="s">
        <v>1646</v>
      </c>
      <c r="E852" s="22" t="s">
        <v>1647</v>
      </c>
      <c r="F852" s="23" t="str">
        <f>HYPERLINK("https://www.spark-marketing.ru/Card/Lot/73912384", "Поставка комплектующих для установки видеонаблюдения")</f>
        <v>Поставка комплектующих для установки видеонаблюдения</v>
      </c>
      <c r="G852" s="22" t="s">
        <v>52</v>
      </c>
      <c r="H852" s="22" t="s">
        <v>52</v>
      </c>
      <c r="I852" s="26">
        <v>43734.5335416667</v>
      </c>
      <c r="J852" s="28" t="s">
        <v>52</v>
      </c>
      <c r="K852" s="28" t="s">
        <v>52</v>
      </c>
      <c r="L852" s="28" t="s">
        <v>52</v>
      </c>
      <c r="M852" s="28" t="s">
        <v>52</v>
      </c>
      <c r="N852" s="28" t="s">
        <v>52</v>
      </c>
    </row>
    <row r="853" spans="1:14" x14ac:dyDescent="0.15">
      <c r="A853" s="23" t="str">
        <f>HYPERLINK("https://www.spark-marketing.ru/Card/Person/48214", "КГБУЗ ""РОДИЛЬНЫЙ ДОМ № 3""")</f>
        <v>КГБУЗ "РОДИЛЬНЫЙ ДОМ № 3"</v>
      </c>
      <c r="B853" s="24" t="s">
        <v>1648</v>
      </c>
      <c r="C853" s="25">
        <v>26400</v>
      </c>
      <c r="D853" s="22" t="s">
        <v>1649</v>
      </c>
      <c r="E853" s="22" t="s">
        <v>103</v>
      </c>
      <c r="F853" s="23" t="str">
        <f>HYPERLINK("https://www.spark-marketing.ru/Card/Lot/73911399", "Оказание услуг по техническому обслуживанию системы видеонаблюдения")</f>
        <v>Оказание услуг по техническому обслуживанию системы видеонаблюдения</v>
      </c>
      <c r="G853" s="22" t="s">
        <v>138</v>
      </c>
      <c r="H853" s="22" t="s">
        <v>139</v>
      </c>
      <c r="I853" s="26">
        <v>43734.624305555597</v>
      </c>
      <c r="J853" s="28" t="s">
        <v>52</v>
      </c>
      <c r="K853" s="28" t="s">
        <v>52</v>
      </c>
      <c r="L853" s="28" t="s">
        <v>52</v>
      </c>
      <c r="M853" s="28" t="s">
        <v>52</v>
      </c>
      <c r="N853" s="28" t="s">
        <v>52</v>
      </c>
    </row>
    <row r="854" spans="1:14" hidden="1" outlineLevel="1" x14ac:dyDescent="0.2">
      <c r="A854" s="23" t="str">
        <f>HYPERLINK("https://www.spark-marketing.ru/Card/Person/48214", "КГБУЗ ""РОДИЛЬНЫЙ ДОМ № 3""")</f>
        <v>КГБУЗ "РОДИЛЬНЫЙ ДОМ № 3"</v>
      </c>
      <c r="B854" s="24" t="s">
        <v>1648</v>
      </c>
      <c r="C854" s="25">
        <v>26400</v>
      </c>
      <c r="D854" s="22" t="s">
        <v>1649</v>
      </c>
      <c r="E854" s="22" t="s">
        <v>103</v>
      </c>
      <c r="F854" s="23" t="str">
        <f>HYPERLINK("https://www.spark-marketing.ru/Card/Lot/73911399", "Оказание услуг по техническому обслуживанию системы видеонаблюдения")</f>
        <v>Оказание услуг по техническому обслуживанию системы видеонаблюдения</v>
      </c>
      <c r="G854" s="22" t="s">
        <v>138</v>
      </c>
      <c r="H854" s="22" t="s">
        <v>139</v>
      </c>
      <c r="I854" s="26">
        <v>43734.624305555597</v>
      </c>
      <c r="J854" s="23" t="str">
        <f>HYPERLINK("https://www.spark-marketing.ru/Card/Person/198499", "ООО ""ДВСБ""")</f>
        <v>ООО "ДВСБ"</v>
      </c>
      <c r="K854" s="24" t="s">
        <v>1650</v>
      </c>
      <c r="L854" s="28" t="s">
        <v>52</v>
      </c>
      <c r="M854" s="25">
        <v>26268</v>
      </c>
      <c r="N854" s="27">
        <v>5.0000000000000001E-3</v>
      </c>
    </row>
    <row r="855" spans="1:14" hidden="1" outlineLevel="1" x14ac:dyDescent="0.2">
      <c r="A855" s="23" t="str">
        <f>HYPERLINK("https://www.spark-marketing.ru/Card/Person/48214", "КГБУЗ ""РОДИЛЬНЫЙ ДОМ № 3""")</f>
        <v>КГБУЗ "РОДИЛЬНЫЙ ДОМ № 3"</v>
      </c>
      <c r="B855" s="24" t="s">
        <v>1648</v>
      </c>
      <c r="C855" s="25">
        <v>26400</v>
      </c>
      <c r="D855" s="22" t="s">
        <v>1649</v>
      </c>
      <c r="E855" s="22" t="s">
        <v>103</v>
      </c>
      <c r="F855" s="23" t="str">
        <f>HYPERLINK("https://www.spark-marketing.ru/Card/Lot/73911399", "Оказание услуг по техническому обслуживанию системы видеонаблюдения")</f>
        <v>Оказание услуг по техническому обслуживанию системы видеонаблюдения</v>
      </c>
      <c r="G855" s="22" t="s">
        <v>138</v>
      </c>
      <c r="H855" s="22" t="s">
        <v>139</v>
      </c>
      <c r="I855" s="26">
        <v>43734.624305555597</v>
      </c>
      <c r="J855" s="23" t="str">
        <f>HYPERLINK("https://www.spark-marketing.ru/Card/Person/153332", "ООО ""СПЕЦ ПЛЮС""")</f>
        <v>ООО "СПЕЦ ПЛЮС"</v>
      </c>
      <c r="K855" s="24" t="s">
        <v>1651</v>
      </c>
      <c r="L855" s="28" t="s">
        <v>52</v>
      </c>
      <c r="M855" s="25">
        <v>21780</v>
      </c>
      <c r="N855" s="27">
        <v>0.17499999999999999</v>
      </c>
    </row>
    <row r="856" spans="1:14" ht="12.75" hidden="1" outlineLevel="1" x14ac:dyDescent="0.2">
      <c r="A856" s="23" t="str">
        <f>HYPERLINK("https://www.spark-marketing.ru/Card/Person/48214", "КГБУЗ ""РОДИЛЬНЫЙ ДОМ № 3""")</f>
        <v>КГБУЗ "РОДИЛЬНЫЙ ДОМ № 3"</v>
      </c>
      <c r="B856" s="24" t="s">
        <v>1648</v>
      </c>
      <c r="C856" s="25">
        <v>26400</v>
      </c>
      <c r="D856" s="22" t="s">
        <v>1649</v>
      </c>
      <c r="E856" s="22" t="s">
        <v>103</v>
      </c>
      <c r="F856" s="23" t="str">
        <f>HYPERLINK("https://www.spark-marketing.ru/Card/Lot/73911399", "Оказание услуг по техническому обслуживанию системы видеонаблюдения")</f>
        <v>Оказание услуг по техническому обслуживанию системы видеонаблюдения</v>
      </c>
      <c r="G856" s="22" t="s">
        <v>138</v>
      </c>
      <c r="H856" s="22" t="s">
        <v>139</v>
      </c>
      <c r="I856" s="26">
        <v>43734.624305555597</v>
      </c>
      <c r="J856" s="23" t="str">
        <f>HYPERLINK("https://www.spark-marketing.ru/Card/Person/107582", "Башлаев Владимир Юрьевич")</f>
        <v>Башлаев Владимир Юрьевич</v>
      </c>
      <c r="K856" s="24" t="s">
        <v>1652</v>
      </c>
      <c r="L856" s="22" t="s">
        <v>10</v>
      </c>
      <c r="M856" s="25">
        <v>21648</v>
      </c>
      <c r="N856" s="27">
        <v>0.18</v>
      </c>
    </row>
    <row r="857" spans="1:14" hidden="1" outlineLevel="1" x14ac:dyDescent="0.2">
      <c r="A857" s="23" t="str">
        <f>HYPERLINK("https://www.spark-marketing.ru/Card/Person/48214", "КГБУЗ ""РОДИЛЬНЫЙ ДОМ № 3""")</f>
        <v>КГБУЗ "РОДИЛЬНЫЙ ДОМ № 3"</v>
      </c>
      <c r="B857" s="24" t="s">
        <v>1648</v>
      </c>
      <c r="C857" s="25">
        <v>26400</v>
      </c>
      <c r="D857" s="22" t="s">
        <v>1649</v>
      </c>
      <c r="E857" s="22" t="s">
        <v>103</v>
      </c>
      <c r="F857" s="23" t="str">
        <f>HYPERLINK("https://www.spark-marketing.ru/Card/Lot/73911399", "Оказание услуг по техническому обслуживанию системы видеонаблюдения")</f>
        <v>Оказание услуг по техническому обслуживанию системы видеонаблюдения</v>
      </c>
      <c r="G857" s="22" t="s">
        <v>138</v>
      </c>
      <c r="H857" s="22" t="s">
        <v>139</v>
      </c>
      <c r="I857" s="26">
        <v>43734.624305555597</v>
      </c>
      <c r="J857" s="23" t="str">
        <f>HYPERLINK("https://www.spark-marketing.ru/Card/Person/221246", "ООО ""КЭМП+""")</f>
        <v>ООО "КЭМП+"</v>
      </c>
      <c r="K857" s="24" t="s">
        <v>1653</v>
      </c>
      <c r="L857" s="28" t="s">
        <v>52</v>
      </c>
      <c r="M857" s="25">
        <v>25344</v>
      </c>
      <c r="N857" s="27">
        <v>0.04</v>
      </c>
    </row>
    <row r="858" spans="1:14" x14ac:dyDescent="0.15">
      <c r="A858" s="23" t="str">
        <f>HYPERLINK("https://www.spark-marketing.ru/Card/Person/18506", "СУ СК РОССИИ ПО ТОМСКОЙ ОБЛАСТИ")</f>
        <v>СУ СК РОССИИ ПО ТОМСКОЙ ОБЛАСТИ</v>
      </c>
      <c r="B858" s="24" t="s">
        <v>1654</v>
      </c>
      <c r="C858" s="25">
        <v>121770.48</v>
      </c>
      <c r="D858" s="22" t="s">
        <v>1655</v>
      </c>
      <c r="E858" s="22" t="s">
        <v>68</v>
      </c>
      <c r="F858" s="23" t="str">
        <f>HYPERLINK("https://www.spark-marketing.ru/Card/Lot/73928145", "Военизированная охрана объекта следственного управления Следственного комитета Российской Федерации по Томской области")</f>
        <v>Военизированная охрана объекта следственного управления Следственного комитета Российской Федерации по Томской области</v>
      </c>
      <c r="G858" s="22" t="s">
        <v>150</v>
      </c>
      <c r="H858" s="22" t="s">
        <v>1656</v>
      </c>
      <c r="I858" s="26">
        <v>43734.564583333296</v>
      </c>
      <c r="J858" s="23" t="str">
        <f>HYPERLINK("https://www.spark-marketing.ru/Card/Person/4344524", "ФГКУ ""УВО ВНГ РОССИИ ПО ТОМСКОЙ ОБЛАСТИ""")</f>
        <v>ФГКУ "УВО ВНГ РОССИИ ПО ТОМСКОЙ ОБЛАСТИ"</v>
      </c>
      <c r="K858" s="24" t="s">
        <v>1657</v>
      </c>
      <c r="L858" s="22" t="s">
        <v>10</v>
      </c>
      <c r="M858" s="28" t="s">
        <v>52</v>
      </c>
      <c r="N858" s="28" t="s">
        <v>52</v>
      </c>
    </row>
    <row r="859" spans="1:14" x14ac:dyDescent="0.15">
      <c r="A859" s="23" t="str">
        <f>HYPERLINK("https://www.spark-marketing.ru/Card/Person/37118", "Межрегиональный филиал ФКУ ""ЦОКР"" в г.Владимире")</f>
        <v>Межрегиональный филиал ФКУ "ЦОКР" в г.Владимире</v>
      </c>
      <c r="B859" s="24" t="s">
        <v>962</v>
      </c>
      <c r="C859" s="25">
        <v>83727.509999999995</v>
      </c>
      <c r="D859" s="22" t="s">
        <v>1658</v>
      </c>
      <c r="E859" s="22" t="s">
        <v>59</v>
      </c>
      <c r="F859" s="23" t="str">
        <f>HYPERLINK("https://www.spark-marketing.ru/Card/Lot/73928685", "Выполнение работ по монтажу в зданиях Управления Федерального казначейства по Тверской области кнопок тревожной сигнализации для оперативной передачи сообщений на пульт централизованной охраны ФГУП «Охрана» Росгвардии по Тверской области")</f>
        <v>Выполнение работ по монтажу в зданиях Управления Федерального казначейства по Тверской области кнопок тревожной сигнализации для оперативной передачи сообщений на пульт централизованной охраны ФГУП «Охрана» Росгвардии по Тверской области</v>
      </c>
      <c r="G859" s="22" t="s">
        <v>251</v>
      </c>
      <c r="H859" s="22" t="s">
        <v>251</v>
      </c>
      <c r="I859" s="26">
        <v>43734.555555555598</v>
      </c>
      <c r="J859" s="23" t="str">
        <f>HYPERLINK("https://www.spark-marketing.ru/Card/Person/1853650", "ФЛ ФГУП ""Охрана"" Росгвардии по Тверской области")</f>
        <v>ФЛ ФГУП "Охрана" Росгвардии по Тверской области</v>
      </c>
      <c r="K859" s="24" t="s">
        <v>779</v>
      </c>
      <c r="L859" s="28" t="s">
        <v>52</v>
      </c>
      <c r="M859" s="28" t="s">
        <v>52</v>
      </c>
      <c r="N859" s="28" t="s">
        <v>52</v>
      </c>
    </row>
    <row r="860" spans="1:14" x14ac:dyDescent="0.15">
      <c r="A860" s="23" t="str">
        <f>HYPERLINK("https://www.spark-marketing.ru/Card/Person/15519", "ФКУ ""ЦХИСО УМВД РОССИИ ПО ЯРОСЛАВСКОЙ ОБЛАСТИ""")</f>
        <v>ФКУ "ЦХИСО УМВД РОССИИ ПО ЯРОСЛАВСКОЙ ОБЛАСТИ"</v>
      </c>
      <c r="B860" s="24" t="s">
        <v>1659</v>
      </c>
      <c r="C860" s="25">
        <v>43388.22</v>
      </c>
      <c r="D860" s="22" t="s">
        <v>1660</v>
      </c>
      <c r="E860" s="22" t="s">
        <v>59</v>
      </c>
      <c r="F860" s="23" t="str">
        <f>HYPERLINK("https://www.spark-marketing.ru/Card/Lot/73904459", "Работы по установке комплекса охранной сигнализации, 1 шт")</f>
        <v>Работы по установке комплекса охранной сигнализации, 1 шт</v>
      </c>
      <c r="G860" s="22" t="s">
        <v>155</v>
      </c>
      <c r="H860" s="22" t="s">
        <v>1661</v>
      </c>
      <c r="I860" s="26">
        <v>43734.507233796299</v>
      </c>
      <c r="J860" s="28" t="s">
        <v>52</v>
      </c>
      <c r="K860" s="28" t="s">
        <v>52</v>
      </c>
      <c r="L860" s="28" t="s">
        <v>52</v>
      </c>
      <c r="M860" s="28" t="s">
        <v>52</v>
      </c>
      <c r="N860" s="28" t="s">
        <v>52</v>
      </c>
    </row>
    <row r="861" spans="1:14" x14ac:dyDescent="0.15">
      <c r="A861" s="23" t="str">
        <f>HYPERLINK("https://www.spark-marketing.ru/Card/Person/110347", "МБДОУ Д/С №48")</f>
        <v>МБДОУ Д/С №48</v>
      </c>
      <c r="B861" s="24" t="s">
        <v>1662</v>
      </c>
      <c r="C861" s="25">
        <v>43746</v>
      </c>
      <c r="D861" s="22" t="s">
        <v>1663</v>
      </c>
      <c r="E861" s="22" t="s">
        <v>84</v>
      </c>
      <c r="F861" s="23" t="str">
        <f>HYPERLINK("https://www.spark-marketing.ru/Card/Lot/73905228", "Оказание услуги по монтажу (установке) видеодомофона")</f>
        <v>Оказание услуги по монтажу (установке) видеодомофона</v>
      </c>
      <c r="G861" s="22" t="s">
        <v>50</v>
      </c>
      <c r="H861" s="22" t="s">
        <v>679</v>
      </c>
      <c r="I861" s="26">
        <v>43734.483576388899</v>
      </c>
      <c r="J861" s="28" t="s">
        <v>52</v>
      </c>
      <c r="K861" s="28" t="s">
        <v>52</v>
      </c>
      <c r="L861" s="28" t="s">
        <v>52</v>
      </c>
      <c r="M861" s="28" t="s">
        <v>52</v>
      </c>
      <c r="N861" s="28" t="s">
        <v>52</v>
      </c>
    </row>
    <row r="862" spans="1:14" x14ac:dyDescent="0.15">
      <c r="A862" s="23" t="str">
        <f>HYPERLINK("https://www.spark-marketing.ru/Card/Person/117748", "МЕЖРАЙОННАЯ ИФНС РОССИИ № 12 ПО ВОРОНЕЖСКОЙ ОБЛАСТИ")</f>
        <v>МЕЖРАЙОННАЯ ИФНС РОССИИ № 12 ПО ВОРОНЕЖСКОЙ ОБЛАСТИ</v>
      </c>
      <c r="B862" s="24" t="s">
        <v>1664</v>
      </c>
      <c r="C862" s="25">
        <v>99003</v>
      </c>
      <c r="D862" s="22" t="s">
        <v>1665</v>
      </c>
      <c r="E862" s="22" t="s">
        <v>84</v>
      </c>
      <c r="F862" s="23" t="str">
        <f>HYPERLINK("https://www.spark-marketing.ru/Card/Lot/73901994", "Монтаж, установка, модернизация систем видеонаблюдения, 1 шт")</f>
        <v>Монтаж, установка, модернизация систем видеонаблюдения, 1 шт</v>
      </c>
      <c r="G862" s="22" t="s">
        <v>552</v>
      </c>
      <c r="H862" s="22" t="s">
        <v>886</v>
      </c>
      <c r="I862" s="26">
        <v>43734.463807870401</v>
      </c>
      <c r="J862" s="28" t="s">
        <v>52</v>
      </c>
      <c r="K862" s="28" t="s">
        <v>52</v>
      </c>
      <c r="L862" s="28" t="s">
        <v>52</v>
      </c>
      <c r="M862" s="28" t="s">
        <v>52</v>
      </c>
      <c r="N862" s="28" t="s">
        <v>52</v>
      </c>
    </row>
    <row r="863" spans="1:14" x14ac:dyDescent="0.15">
      <c r="A863" s="23" t="str">
        <f>HYPERLINK("https://www.spark-marketing.ru/Card/Person/4343740", "МИНЗДРАВ РОССИИ")</f>
        <v>МИНЗДРАВ РОССИИ</v>
      </c>
      <c r="B863" s="24" t="s">
        <v>1666</v>
      </c>
      <c r="C863" s="25">
        <v>325005925.19999999</v>
      </c>
      <c r="D863" s="22" t="s">
        <v>1667</v>
      </c>
      <c r="E863" s="22" t="s">
        <v>53</v>
      </c>
      <c r="F863" s="23" t="str">
        <f>HYPERLINK("https://www.spark-marketing.ru/Card/Lot/73956104", "Леналидомид, капсулы, 25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муковисцидозом, гипофизарным нанизмом, боле...")</f>
        <v>Леналидомид, капсулы, 25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муковисцидозом, гипофизарным нанизмом, боле...</v>
      </c>
      <c r="G863" s="22" t="s">
        <v>658</v>
      </c>
      <c r="H863" s="22" t="s">
        <v>741</v>
      </c>
      <c r="I863" s="26">
        <v>43734.469895833303</v>
      </c>
      <c r="J863" s="23" t="str">
        <f>HYPERLINK("https://www.spark-marketing.ru/Card/Person/42069", "АО ""ФАРМСТАНДАРТ""")</f>
        <v>АО "ФАРМСТАНДАРТ"</v>
      </c>
      <c r="K863" s="24" t="s">
        <v>1668</v>
      </c>
      <c r="L863" s="22" t="s">
        <v>10</v>
      </c>
      <c r="M863" s="28" t="s">
        <v>52</v>
      </c>
      <c r="N863" s="28" t="s">
        <v>52</v>
      </c>
    </row>
    <row r="864" spans="1:14" x14ac:dyDescent="0.15">
      <c r="A864" s="23" t="str">
        <f t="shared" ref="A864:A871" si="17">HYPERLINK("https://www.spark-marketing.ru/Card/Person/54889", "ГБУЗ СК ""ПМПТД""")</f>
        <v>ГБУЗ СК "ПМПТД"</v>
      </c>
      <c r="B864" s="24" t="s">
        <v>1669</v>
      </c>
      <c r="C864" s="25">
        <v>191919.96</v>
      </c>
      <c r="D864" s="22" t="s">
        <v>1670</v>
      </c>
      <c r="E864" s="22" t="s">
        <v>103</v>
      </c>
      <c r="F864" s="23" t="str">
        <f t="shared" ref="F864:F871" si="18">HYPERLINK("https://www.spark-marketing.ru/Card/Lot/73932081", "НА ОКАЗАНИЕ УСЛУГ ПО ТЕХНИЧЕСКОМУ ОБСЛУЖИВАНИЮ СИСТЕМ ВИДЕОНАБЛЮДЕНИЯ")</f>
        <v>НА ОКАЗАНИЕ УСЛУГ ПО ТЕХНИЧЕСКОМУ ОБСЛУЖИВАНИЮ СИСТЕМ ВИДЕОНАБЛЮДЕНИЯ</v>
      </c>
      <c r="G864" s="22" t="s">
        <v>258</v>
      </c>
      <c r="H864" s="22" t="s">
        <v>1671</v>
      </c>
      <c r="I864" s="26">
        <v>43734.479166666701</v>
      </c>
      <c r="J864" s="28" t="s">
        <v>52</v>
      </c>
      <c r="K864" s="28" t="s">
        <v>52</v>
      </c>
      <c r="L864" s="28" t="s">
        <v>52</v>
      </c>
      <c r="M864" s="28" t="s">
        <v>52</v>
      </c>
      <c r="N864" s="28" t="s">
        <v>52</v>
      </c>
    </row>
    <row r="865" spans="1:14" hidden="1" outlineLevel="1" x14ac:dyDescent="0.2">
      <c r="A865" s="23" t="str">
        <f t="shared" si="17"/>
        <v>ГБУЗ СК "ПМПТД"</v>
      </c>
      <c r="B865" s="24" t="s">
        <v>1669</v>
      </c>
      <c r="C865" s="25">
        <v>191919.96</v>
      </c>
      <c r="D865" s="22" t="s">
        <v>1670</v>
      </c>
      <c r="E865" s="22" t="s">
        <v>103</v>
      </c>
      <c r="F865" s="23" t="str">
        <f t="shared" si="18"/>
        <v>НА ОКАЗАНИЕ УСЛУГ ПО ТЕХНИЧЕСКОМУ ОБСЛУЖИВАНИЮ СИСТЕМ ВИДЕОНАБЛЮДЕНИЯ</v>
      </c>
      <c r="G865" s="22" t="s">
        <v>258</v>
      </c>
      <c r="H865" s="22" t="s">
        <v>1671</v>
      </c>
      <c r="I865" s="26">
        <v>43734.479166666701</v>
      </c>
      <c r="J865" s="23" t="str">
        <f>HYPERLINK("https://www.spark-marketing.ru/Card/Person/1211049", "ООО ""РСК""")</f>
        <v>ООО "РСК"</v>
      </c>
      <c r="K865" s="24" t="s">
        <v>1672</v>
      </c>
      <c r="L865" s="28" t="s">
        <v>52</v>
      </c>
      <c r="M865" s="25">
        <v>132210</v>
      </c>
      <c r="N865" s="27">
        <v>0.31111907276345829</v>
      </c>
    </row>
    <row r="866" spans="1:14" ht="12.75" hidden="1" outlineLevel="1" x14ac:dyDescent="0.2">
      <c r="A866" s="23" t="str">
        <f t="shared" si="17"/>
        <v>ГБУЗ СК "ПМПТД"</v>
      </c>
      <c r="B866" s="24" t="s">
        <v>1669</v>
      </c>
      <c r="C866" s="25">
        <v>191919.96</v>
      </c>
      <c r="D866" s="22" t="s">
        <v>1670</v>
      </c>
      <c r="E866" s="22" t="s">
        <v>103</v>
      </c>
      <c r="F866" s="23" t="str">
        <f t="shared" si="18"/>
        <v>НА ОКАЗАНИЕ УСЛУГ ПО ТЕХНИЧЕСКОМУ ОБСЛУЖИВАНИЮ СИСТЕМ ВИДЕОНАБЛЮДЕНИЯ</v>
      </c>
      <c r="G866" s="22" t="s">
        <v>258</v>
      </c>
      <c r="H866" s="22" t="s">
        <v>1671</v>
      </c>
      <c r="I866" s="26">
        <v>43734.479166666701</v>
      </c>
      <c r="J866" s="23" t="str">
        <f>HYPERLINK("https://www.spark-marketing.ru/Card/Person/165131", "Кочубей Олег Михайлович")</f>
        <v>Кочубей Олег Михайлович</v>
      </c>
      <c r="K866" s="24" t="s">
        <v>1673</v>
      </c>
      <c r="L866" s="22" t="s">
        <v>10</v>
      </c>
      <c r="M866" s="25">
        <v>115896.8</v>
      </c>
      <c r="N866" s="27">
        <v>0.39611909047917682</v>
      </c>
    </row>
    <row r="867" spans="1:14" hidden="1" outlineLevel="1" x14ac:dyDescent="0.2">
      <c r="A867" s="23" t="str">
        <f t="shared" si="17"/>
        <v>ГБУЗ СК "ПМПТД"</v>
      </c>
      <c r="B867" s="24" t="s">
        <v>1669</v>
      </c>
      <c r="C867" s="25">
        <v>191919.96</v>
      </c>
      <c r="D867" s="22" t="s">
        <v>1670</v>
      </c>
      <c r="E867" s="22" t="s">
        <v>103</v>
      </c>
      <c r="F867" s="23" t="str">
        <f t="shared" si="18"/>
        <v>НА ОКАЗАНИЕ УСЛУГ ПО ТЕХНИЧЕСКОМУ ОБСЛУЖИВАНИЮ СИСТЕМ ВИДЕОНАБЛЮДЕНИЯ</v>
      </c>
      <c r="G867" s="22" t="s">
        <v>258</v>
      </c>
      <c r="H867" s="22" t="s">
        <v>1671</v>
      </c>
      <c r="I867" s="26">
        <v>43734.479166666701</v>
      </c>
      <c r="J867" s="23" t="str">
        <f>HYPERLINK("https://www.spark-marketing.ru/Card/Person/780600", "ООО ""КОНТИНЕНТ""")</f>
        <v>ООО "КОНТИНЕНТ"</v>
      </c>
      <c r="K867" s="24" t="s">
        <v>1600</v>
      </c>
      <c r="L867" s="28" t="s">
        <v>52</v>
      </c>
      <c r="M867" s="25">
        <v>144035.89000000001</v>
      </c>
      <c r="N867" s="27">
        <v>0.24950020831600841</v>
      </c>
    </row>
    <row r="868" spans="1:14" hidden="1" outlineLevel="1" x14ac:dyDescent="0.2">
      <c r="A868" s="23" t="str">
        <f t="shared" si="17"/>
        <v>ГБУЗ СК "ПМПТД"</v>
      </c>
      <c r="B868" s="24" t="s">
        <v>1669</v>
      </c>
      <c r="C868" s="25">
        <v>191919.96</v>
      </c>
      <c r="D868" s="22" t="s">
        <v>1670</v>
      </c>
      <c r="E868" s="22" t="s">
        <v>103</v>
      </c>
      <c r="F868" s="23" t="str">
        <f t="shared" si="18"/>
        <v>НА ОКАЗАНИЕ УСЛУГ ПО ТЕХНИЧЕСКОМУ ОБСЛУЖИВАНИЮ СИСТЕМ ВИДЕОНАБЛЮДЕНИЯ</v>
      </c>
      <c r="G868" s="22" t="s">
        <v>258</v>
      </c>
      <c r="H868" s="22" t="s">
        <v>1671</v>
      </c>
      <c r="I868" s="26">
        <v>43734.479166666701</v>
      </c>
      <c r="J868" s="23" t="str">
        <f>HYPERLINK("https://www.spark-marketing.ru/Card/Person/6458260", "ООО ""АККОРД""")</f>
        <v>ООО "АККОРД"</v>
      </c>
      <c r="K868" s="24" t="s">
        <v>1674</v>
      </c>
      <c r="L868" s="28" t="s">
        <v>52</v>
      </c>
      <c r="M868" s="25">
        <v>188081</v>
      </c>
      <c r="N868" s="27">
        <v>2.0002922051463538E-2</v>
      </c>
    </row>
    <row r="869" spans="1:14" hidden="1" outlineLevel="1" x14ac:dyDescent="0.2">
      <c r="A869" s="23" t="str">
        <f t="shared" si="17"/>
        <v>ГБУЗ СК "ПМПТД"</v>
      </c>
      <c r="B869" s="24" t="s">
        <v>1669</v>
      </c>
      <c r="C869" s="25">
        <v>191919.96</v>
      </c>
      <c r="D869" s="22" t="s">
        <v>1670</v>
      </c>
      <c r="E869" s="22" t="s">
        <v>103</v>
      </c>
      <c r="F869" s="23" t="str">
        <f t="shared" si="18"/>
        <v>НА ОКАЗАНИЕ УСЛУГ ПО ТЕХНИЧЕСКОМУ ОБСЛУЖИВАНИЮ СИСТЕМ ВИДЕОНАБЛЮДЕНИЯ</v>
      </c>
      <c r="G869" s="22" t="s">
        <v>258</v>
      </c>
      <c r="H869" s="22" t="s">
        <v>1671</v>
      </c>
      <c r="I869" s="26">
        <v>43734.479166666701</v>
      </c>
      <c r="J869" s="23" t="str">
        <f>HYPERLINK("https://www.spark-marketing.ru/Card/Person/1224255", "ООО ""КАВКАЗЭЛЕКТРОСЕРВИС ПЛЮС""")</f>
        <v>ООО "КАВКАЗЭЛЕКТРОСЕРВИС ПЛЮС"</v>
      </c>
      <c r="K869" s="24" t="s">
        <v>1675</v>
      </c>
      <c r="L869" s="28" t="s">
        <v>52</v>
      </c>
      <c r="M869" s="25">
        <v>116856.4</v>
      </c>
      <c r="N869" s="27">
        <v>0.39111908943707574</v>
      </c>
    </row>
    <row r="870" spans="1:14" hidden="1" outlineLevel="1" x14ac:dyDescent="0.2">
      <c r="A870" s="23" t="str">
        <f t="shared" si="17"/>
        <v>ГБУЗ СК "ПМПТД"</v>
      </c>
      <c r="B870" s="24" t="s">
        <v>1669</v>
      </c>
      <c r="C870" s="25">
        <v>191919.96</v>
      </c>
      <c r="D870" s="22" t="s">
        <v>1670</v>
      </c>
      <c r="E870" s="22" t="s">
        <v>103</v>
      </c>
      <c r="F870" s="23" t="str">
        <f t="shared" si="18"/>
        <v>НА ОКАЗАНИЕ УСЛУГ ПО ТЕХНИЧЕСКОМУ ОБСЛУЖИВАНИЮ СИСТЕМ ВИДЕОНАБЛЮДЕНИЯ</v>
      </c>
      <c r="G870" s="22" t="s">
        <v>258</v>
      </c>
      <c r="H870" s="22" t="s">
        <v>1671</v>
      </c>
      <c r="I870" s="26">
        <v>43734.479166666701</v>
      </c>
      <c r="J870" s="23" t="str">
        <f>HYPERLINK("https://www.spark-marketing.ru/Card/Person/106268", "ООО ЧОП ""АЛЬФА-ГАРАНТ""")</f>
        <v>ООО ЧОП "АЛЬФА-ГАРАНТ"</v>
      </c>
      <c r="K870" s="24" t="s">
        <v>1676</v>
      </c>
      <c r="L870" s="28" t="s">
        <v>52</v>
      </c>
      <c r="M870" s="25">
        <v>152627.46</v>
      </c>
      <c r="N870" s="27">
        <v>0.20473378589699581</v>
      </c>
    </row>
    <row r="871" spans="1:14" hidden="1" outlineLevel="1" x14ac:dyDescent="0.2">
      <c r="A871" s="23" t="str">
        <f t="shared" si="17"/>
        <v>ГБУЗ СК "ПМПТД"</v>
      </c>
      <c r="B871" s="24" t="s">
        <v>1669</v>
      </c>
      <c r="C871" s="25">
        <v>191919.96</v>
      </c>
      <c r="D871" s="22" t="s">
        <v>1670</v>
      </c>
      <c r="E871" s="22" t="s">
        <v>103</v>
      </c>
      <c r="F871" s="23" t="str">
        <f t="shared" si="18"/>
        <v>НА ОКАЗАНИЕ УСЛУГ ПО ТЕХНИЧЕСКОМУ ОБСЛУЖИВАНИЮ СИСТЕМ ВИДЕОНАБЛЮДЕНИЯ</v>
      </c>
      <c r="G871" s="22" t="s">
        <v>258</v>
      </c>
      <c r="H871" s="22" t="s">
        <v>1671</v>
      </c>
      <c r="I871" s="26">
        <v>43734.479166666701</v>
      </c>
      <c r="J871" s="23" t="str">
        <f>HYPERLINK("https://www.spark-marketing.ru/Card/Person/6675479", "ФЛ ФГУП ОХРАНА ФЕДЕРАЛЬНОЙ СЛУЖБЫ ВОЙСК НАЦИОНАЛЬНОЙ ГВАРДИИ РФ ПО СТАВРОПОЛЬСКОМУ КРАЮ")</f>
        <v>ФЛ ФГУП ОХРАНА ФЕДЕРАЛЬНОЙ СЛУЖБЫ ВОЙСК НАЦИОНАЛЬНОЙ ГВАРДИИ РФ ПО СТАВРОПОЛЬСКОМУ КРАЮ</v>
      </c>
      <c r="K871" s="24" t="s">
        <v>779</v>
      </c>
      <c r="L871" s="28" t="s">
        <v>52</v>
      </c>
      <c r="M871" s="25">
        <v>150000</v>
      </c>
      <c r="N871" s="27">
        <v>0.2184241805802794</v>
      </c>
    </row>
    <row r="872" spans="1:14" x14ac:dyDescent="0.15">
      <c r="A872" s="23" t="str">
        <f>HYPERLINK("https://www.spark-marketing.ru/Card/Person/110545", "МБДОУ № 33 ""ЗВЕЗДОЧКА""")</f>
        <v>МБДОУ № 33 "ЗВЕЗДОЧКА"</v>
      </c>
      <c r="B872" s="24" t="s">
        <v>1677</v>
      </c>
      <c r="C872" s="25">
        <v>127064</v>
      </c>
      <c r="D872" s="22" t="s">
        <v>1678</v>
      </c>
      <c r="E872" s="22" t="s">
        <v>84</v>
      </c>
      <c r="F872" s="23" t="str">
        <f>HYPERLINK("https://www.spark-marketing.ru/Card/Lot/73905205", "Установка видеокамеры в помещении ДОО, установка магнитного замка на входной двери")</f>
        <v>Установка видеокамеры в помещении ДОО, установка магнитного замка на входной двери</v>
      </c>
      <c r="G872" s="22" t="s">
        <v>50</v>
      </c>
      <c r="H872" s="22" t="s">
        <v>323</v>
      </c>
      <c r="I872" s="26">
        <v>43734.482210648202</v>
      </c>
      <c r="J872" s="28" t="s">
        <v>52</v>
      </c>
      <c r="K872" s="28" t="s">
        <v>52</v>
      </c>
      <c r="L872" s="28" t="s">
        <v>52</v>
      </c>
      <c r="M872" s="28" t="s">
        <v>52</v>
      </c>
      <c r="N872" s="28" t="s">
        <v>52</v>
      </c>
    </row>
    <row r="873" spans="1:14" x14ac:dyDescent="0.15">
      <c r="A873" s="23" t="str">
        <f>HYPERLINK("https://www.spark-marketing.ru/Card/Person/55306", "МЕЖМУНИЦИПАЛЬНЫЙ ОТДЕЛ МВД РОССИИ ""КАРТАЛИНСКИЙ"" ЧЕЛЯБИНСКОЙ ОБЛАСТИ")</f>
        <v>МЕЖМУНИЦИПАЛЬНЫЙ ОТДЕЛ МВД РОССИИ "КАРТАЛИНСКИЙ" ЧЕЛЯБИНСКОЙ ОБЛАСТИ</v>
      </c>
      <c r="B873" s="24" t="s">
        <v>1629</v>
      </c>
      <c r="C873" s="25">
        <v>20900</v>
      </c>
      <c r="D873" s="22" t="s">
        <v>1679</v>
      </c>
      <c r="E873" s="22" t="s">
        <v>103</v>
      </c>
      <c r="F873" s="23" t="str">
        <f>HYPERLINK("https://www.spark-marketing.ru/Card/Lot/73902286", "Оказание услуг по техническому обслуживанию системы видеонаблюденя, 1 усл. ед")</f>
        <v>Оказание услуг по техническому обслуживанию системы видеонаблюденя, 1 усл. ед</v>
      </c>
      <c r="G873" s="22" t="s">
        <v>60</v>
      </c>
      <c r="H873" s="22" t="s">
        <v>1631</v>
      </c>
      <c r="I873" s="26">
        <v>43734.419525463003</v>
      </c>
      <c r="J873" s="28" t="s">
        <v>52</v>
      </c>
      <c r="K873" s="28" t="s">
        <v>52</v>
      </c>
      <c r="L873" s="28" t="s">
        <v>52</v>
      </c>
      <c r="M873" s="28" t="s">
        <v>52</v>
      </c>
      <c r="N873" s="28" t="s">
        <v>52</v>
      </c>
    </row>
    <row r="874" spans="1:14" x14ac:dyDescent="0.15">
      <c r="A874" s="23" t="str">
        <f>HYPERLINK("https://www.spark-marketing.ru/Card/Person/55306", "МЕЖМУНИЦИПАЛЬНЫЙ ОТДЕЛ МВД РОССИИ ""КАРТАЛИНСКИЙ"" ЧЕЛЯБИНСКОЙ ОБЛАСТИ")</f>
        <v>МЕЖМУНИЦИПАЛЬНЫЙ ОТДЕЛ МВД РОССИИ "КАРТАЛИНСКИЙ" ЧЕЛЯБИНСКОЙ ОБЛАСТИ</v>
      </c>
      <c r="B874" s="24" t="s">
        <v>1629</v>
      </c>
      <c r="C874" s="25">
        <v>20900</v>
      </c>
      <c r="D874" s="22" t="s">
        <v>1680</v>
      </c>
      <c r="E874" s="22" t="s">
        <v>103</v>
      </c>
      <c r="F874" s="23" t="str">
        <f>HYPERLINK("https://www.spark-marketing.ru/Card/Lot/73902279", "Оказание услуг по техническому обслуживанию системы видеонаблюденя, 1 усл. ед")</f>
        <v>Оказание услуг по техническому обслуживанию системы видеонаблюденя, 1 усл. ед</v>
      </c>
      <c r="G874" s="22" t="s">
        <v>60</v>
      </c>
      <c r="H874" s="22" t="s">
        <v>1631</v>
      </c>
      <c r="I874" s="26">
        <v>43734.417673611097</v>
      </c>
      <c r="J874" s="28" t="s">
        <v>52</v>
      </c>
      <c r="K874" s="28" t="s">
        <v>52</v>
      </c>
      <c r="L874" s="28" t="s">
        <v>52</v>
      </c>
      <c r="M874" s="28" t="s">
        <v>52</v>
      </c>
      <c r="N874" s="28" t="s">
        <v>52</v>
      </c>
    </row>
    <row r="875" spans="1:14" x14ac:dyDescent="0.15">
      <c r="A875" s="23" t="str">
        <f>HYPERLINK("https://www.spark-marketing.ru/Card/Person/26057", "ГУ ""ПСС ЧО""")</f>
        <v>ГУ "ПСС ЧО"</v>
      </c>
      <c r="B875" s="24" t="s">
        <v>1681</v>
      </c>
      <c r="C875" s="25">
        <v>102800</v>
      </c>
      <c r="D875" s="22" t="s">
        <v>1682</v>
      </c>
      <c r="E875" s="22" t="s">
        <v>376</v>
      </c>
      <c r="F875" s="23" t="str">
        <f>HYPERLINK("https://www.spark-marketing.ru/Card/Lot/73926591", "Поставка  сигнальной громкоговорящей установки")</f>
        <v>Поставка  сигнальной громкоговорящей установки</v>
      </c>
      <c r="G875" s="22" t="s">
        <v>60</v>
      </c>
      <c r="H875" s="22" t="s">
        <v>1683</v>
      </c>
      <c r="I875" s="26">
        <v>43734.372222222199</v>
      </c>
      <c r="J875" s="28" t="s">
        <v>52</v>
      </c>
      <c r="K875" s="28" t="s">
        <v>52</v>
      </c>
      <c r="L875" s="28" t="s">
        <v>52</v>
      </c>
      <c r="M875" s="28" t="s">
        <v>52</v>
      </c>
      <c r="N875" s="28" t="s">
        <v>52</v>
      </c>
    </row>
    <row r="876" spans="1:14" hidden="1" outlineLevel="1" x14ac:dyDescent="0.2">
      <c r="A876" s="23" t="str">
        <f>HYPERLINK("https://www.spark-marketing.ru/Card/Person/26057", "ГУ ""ПСС ЧО""")</f>
        <v>ГУ "ПСС ЧО"</v>
      </c>
      <c r="B876" s="24" t="s">
        <v>1681</v>
      </c>
      <c r="C876" s="25">
        <v>102800</v>
      </c>
      <c r="D876" s="22" t="s">
        <v>1682</v>
      </c>
      <c r="E876" s="22" t="s">
        <v>376</v>
      </c>
      <c r="F876" s="23" t="str">
        <f>HYPERLINK("https://www.spark-marketing.ru/Card/Lot/73926591", "Поставка  сигнальной громкоговорящей установки")</f>
        <v>Поставка  сигнальной громкоговорящей установки</v>
      </c>
      <c r="G876" s="22" t="s">
        <v>60</v>
      </c>
      <c r="H876" s="22" t="s">
        <v>1683</v>
      </c>
      <c r="I876" s="26">
        <v>43734.372222222199</v>
      </c>
      <c r="J876" s="23" t="str">
        <f>HYPERLINK("https://www.spark-marketing.ru/Card/Person/9930", "ООО НПКО ""ЭЛЕКТ""")</f>
        <v>ООО НПКО "ЭЛЕКТ"</v>
      </c>
      <c r="K876" s="24" t="s">
        <v>1684</v>
      </c>
      <c r="L876" s="28" t="s">
        <v>52</v>
      </c>
      <c r="M876" s="25">
        <v>52000</v>
      </c>
      <c r="N876" s="27">
        <v>0.49416342412451364</v>
      </c>
    </row>
    <row r="877" spans="1:14" ht="12.75" hidden="1" outlineLevel="1" x14ac:dyDescent="0.2">
      <c r="A877" s="23" t="str">
        <f>HYPERLINK("https://www.spark-marketing.ru/Card/Person/26057", "ГУ ""ПСС ЧО""")</f>
        <v>ГУ "ПСС ЧО"</v>
      </c>
      <c r="B877" s="24" t="s">
        <v>1681</v>
      </c>
      <c r="C877" s="25">
        <v>102800</v>
      </c>
      <c r="D877" s="22" t="s">
        <v>1682</v>
      </c>
      <c r="E877" s="22" t="s">
        <v>376</v>
      </c>
      <c r="F877" s="23" t="str">
        <f>HYPERLINK("https://www.spark-marketing.ru/Card/Lot/73926591", "Поставка  сигнальной громкоговорящей установки")</f>
        <v>Поставка  сигнальной громкоговорящей установки</v>
      </c>
      <c r="G877" s="22" t="s">
        <v>60</v>
      </c>
      <c r="H877" s="22" t="s">
        <v>1683</v>
      </c>
      <c r="I877" s="26">
        <v>43734.372222222199</v>
      </c>
      <c r="J877" s="23" t="str">
        <f>HYPERLINK("https://www.spark-marketing.ru/Card/Person/47693", "АО ""ПК ЭЛИНА""")</f>
        <v>АО "ПК ЭЛИНА"</v>
      </c>
      <c r="K877" s="24" t="s">
        <v>1685</v>
      </c>
      <c r="L877" s="22" t="s">
        <v>10</v>
      </c>
      <c r="M877" s="25">
        <v>51486</v>
      </c>
      <c r="N877" s="27">
        <v>0.49916342412451364</v>
      </c>
    </row>
    <row r="878" spans="1:14" x14ac:dyDescent="0.15">
      <c r="A878" s="23" t="str">
        <f>HYPERLINK("https://www.spark-marketing.ru/Card/Person/1711531", "ООО ""ТАГРАС-ТРАНССЕРВИС""")</f>
        <v>ООО "ТАГРАС-ТРАНССЕРВИС"</v>
      </c>
      <c r="B878" s="24" t="s">
        <v>1686</v>
      </c>
      <c r="C878" s="28" t="s">
        <v>52</v>
      </c>
      <c r="D878" s="22" t="s">
        <v>1687</v>
      </c>
      <c r="E878" s="22" t="s">
        <v>53</v>
      </c>
      <c r="F878" s="23" t="str">
        <f>HYPERLINK("https://www.spark-marketing.ru/Card/Lot/73904975", "Поставка автобуса ПАЗ-32053 (05/497-ЭТП)")</f>
        <v>Поставка автобуса ПАЗ-32053 (05/497-ЭТП)</v>
      </c>
      <c r="G878" s="22" t="s">
        <v>204</v>
      </c>
      <c r="H878" s="22" t="s">
        <v>308</v>
      </c>
      <c r="I878" s="26">
        <v>43734.335416666698</v>
      </c>
      <c r="J878" s="28" t="s">
        <v>52</v>
      </c>
      <c r="K878" s="28" t="s">
        <v>52</v>
      </c>
      <c r="L878" s="28" t="s">
        <v>52</v>
      </c>
      <c r="M878" s="28" t="s">
        <v>52</v>
      </c>
      <c r="N878" s="28" t="s">
        <v>52</v>
      </c>
    </row>
    <row r="879" spans="1:14" x14ac:dyDescent="0.15">
      <c r="A879" s="23" t="str">
        <f>HYPERLINK("https://www.spark-marketing.ru/Card/Person/1711531", "ООО ""ТАГРАС-ТРАНССЕРВИС""")</f>
        <v>ООО "ТАГРАС-ТРАНССЕРВИС"</v>
      </c>
      <c r="B879" s="24" t="s">
        <v>1686</v>
      </c>
      <c r="C879" s="28" t="s">
        <v>52</v>
      </c>
      <c r="D879" s="22" t="s">
        <v>1688</v>
      </c>
      <c r="E879" s="22" t="s">
        <v>53</v>
      </c>
      <c r="F879" s="23" t="str">
        <f>HYPERLINK("https://www.spark-marketing.ru/Card/Lot/74214298", "Поставка автобуса ПАЗ-32053 (05/497-ЭТП)")</f>
        <v>Поставка автобуса ПАЗ-32053 (05/497-ЭТП)</v>
      </c>
      <c r="G879" s="22" t="s">
        <v>204</v>
      </c>
      <c r="H879" s="22" t="s">
        <v>308</v>
      </c>
      <c r="I879" s="26">
        <v>43734.335416666698</v>
      </c>
      <c r="J879" s="28" t="s">
        <v>52</v>
      </c>
      <c r="K879" s="28" t="s">
        <v>52</v>
      </c>
      <c r="L879" s="28" t="s">
        <v>52</v>
      </c>
      <c r="M879" s="28" t="s">
        <v>52</v>
      </c>
      <c r="N879" s="28" t="s">
        <v>52</v>
      </c>
    </row>
    <row r="880" spans="1:14" x14ac:dyDescent="0.15">
      <c r="A880" s="23" t="str">
        <f>HYPERLINK("https://www.spark-marketing.ru/Card/Person/293681", "ОТДЕЛ МВД РОССИИ ПО ТОПКИНСКОМУ РАЙОНУ")</f>
        <v>ОТДЕЛ МВД РОССИИ ПО ТОПКИНСКОМУ РАЙОНУ</v>
      </c>
      <c r="B880" s="24" t="s">
        <v>1689</v>
      </c>
      <c r="C880" s="25">
        <v>20867</v>
      </c>
      <c r="D880" s="22" t="s">
        <v>1690</v>
      </c>
      <c r="E880" s="22" t="s">
        <v>53</v>
      </c>
      <c r="F880" s="23" t="str">
        <f>HYPERLINK("https://www.spark-marketing.ru/Card/Lot/73897941", "Техническое обслуживание комплекса технических средств охраны")</f>
        <v>Техническое обслуживание комплекса технических средств охраны</v>
      </c>
      <c r="G880" s="22" t="s">
        <v>367</v>
      </c>
      <c r="H880" s="22" t="s">
        <v>1691</v>
      </c>
      <c r="I880" s="26">
        <v>43734.218368055597</v>
      </c>
      <c r="J880" s="28" t="s">
        <v>52</v>
      </c>
      <c r="K880" s="28" t="s">
        <v>52</v>
      </c>
      <c r="L880" s="28" t="s">
        <v>52</v>
      </c>
      <c r="M880" s="28" t="s">
        <v>52</v>
      </c>
      <c r="N880" s="28" t="s">
        <v>52</v>
      </c>
    </row>
    <row r="881" spans="1:14" x14ac:dyDescent="0.15">
      <c r="A881" s="23" t="str">
        <f>HYPERLINK("https://www.spark-marketing.ru/Card/Person/32664", "ФГБОУ ВО ""ВОРОНЕЖСКИЙ ГОСУДАРСТВЕННЫЙ ТЕХНИЧЕСКИЙ УНИВЕРСИТЕТ"", ВОРОНЕЖСКИЙ ГОСУДАРСТВЕННЫЙ ТЕХНИЧЕСКИЙ УНИВЕРСИТЕТ, ФГБОУ ВО ""ВГТУ"", ВГТУ")</f>
        <v>ФГБОУ ВО "ВОРОНЕЖСКИЙ ГОСУДАРСТВЕННЫЙ ТЕХНИЧЕСКИЙ УНИВЕРСИТЕТ", ВОРОНЕЖСКИЙ ГОСУДАРСТВЕННЫЙ ТЕХНИЧЕСКИЙ УНИВЕРСИТЕТ, ФГБОУ ВО "ВГТУ", ВГТУ</v>
      </c>
      <c r="B881" s="24" t="s">
        <v>1692</v>
      </c>
      <c r="C881" s="25">
        <v>127200</v>
      </c>
      <c r="D881" s="22" t="s">
        <v>1693</v>
      </c>
      <c r="E881" s="22" t="s">
        <v>137</v>
      </c>
      <c r="F881" s="23" t="str">
        <f>HYPERLINK("https://www.spark-marketing.ru/Card/Lot/73922074", "Оказание услуг по техническому обслуживанию системы видеонаблюдения")</f>
        <v>Оказание услуг по техническому обслуживанию системы видеонаблюдения</v>
      </c>
      <c r="G881" s="22" t="s">
        <v>552</v>
      </c>
      <c r="H881" s="22" t="s">
        <v>552</v>
      </c>
      <c r="I881" s="26">
        <v>43734</v>
      </c>
      <c r="J881" s="28" t="s">
        <v>52</v>
      </c>
      <c r="K881" s="28" t="s">
        <v>52</v>
      </c>
      <c r="L881" s="28" t="s">
        <v>52</v>
      </c>
      <c r="M881" s="28" t="s">
        <v>52</v>
      </c>
      <c r="N881" s="28" t="s">
        <v>52</v>
      </c>
    </row>
    <row r="882" spans="1:14" x14ac:dyDescent="0.15">
      <c r="A882" s="23" t="str">
        <f>HYPERLINK("https://www.spark-marketing.ru/Card/Person/6450322", "ЗАКАЗЧИК РП БЕЛАРУСЬ")</f>
        <v>ЗАКАЗЧИК РП БЕЛАРУСЬ</v>
      </c>
      <c r="B882" s="28" t="s">
        <v>52</v>
      </c>
      <c r="C882" s="25">
        <v>11059200</v>
      </c>
      <c r="D882" s="22" t="s">
        <v>1694</v>
      </c>
      <c r="E882" s="22" t="s">
        <v>53</v>
      </c>
      <c r="F882" s="23" t="str">
        <f>HYPERLINK("https://www.spark-marketing.ru/Card/Lot/73908515", "Оказание услуг по выполнению инженерно-геодезического сопровождения СМР на объектах строительства Белорусской АЭС")</f>
        <v>Оказание услуг по выполнению инженерно-геодезического сопровождения СМР на объектах строительства Белорусской АЭС</v>
      </c>
      <c r="G882" s="22" t="s">
        <v>52</v>
      </c>
      <c r="H882" s="22" t="s">
        <v>52</v>
      </c>
      <c r="I882" s="26">
        <v>43734</v>
      </c>
      <c r="J882" s="28" t="s">
        <v>52</v>
      </c>
      <c r="K882" s="28" t="s">
        <v>52</v>
      </c>
      <c r="L882" s="28" t="s">
        <v>52</v>
      </c>
      <c r="M882" s="28" t="s">
        <v>52</v>
      </c>
      <c r="N882" s="28" t="s">
        <v>52</v>
      </c>
    </row>
    <row r="883" spans="1:14" x14ac:dyDescent="0.15">
      <c r="A883" s="23" t="str">
        <f>HYPERLINK("https://www.spark-marketing.ru/Card/Person/323542", "ОАО ""ЭГТС""")</f>
        <v>ОАО "ЭГТС"</v>
      </c>
      <c r="B883" s="24" t="s">
        <v>1695</v>
      </c>
      <c r="C883" s="25">
        <v>232752</v>
      </c>
      <c r="D883" s="22" t="s">
        <v>1696</v>
      </c>
      <c r="E883" s="22" t="s">
        <v>137</v>
      </c>
      <c r="F883" s="23" t="str">
        <f>HYPERLINK("https://www.spark-marketing.ru/Card/Lot/73903176", "Оказание услуг по техническому обслуживанию систем видеонаблюдения")</f>
        <v>Оказание услуг по техническому обслуживанию систем видеонаблюдения</v>
      </c>
      <c r="G883" s="22" t="s">
        <v>80</v>
      </c>
      <c r="H883" s="22" t="s">
        <v>80</v>
      </c>
      <c r="I883" s="26">
        <v>43734</v>
      </c>
      <c r="J883" s="28" t="s">
        <v>52</v>
      </c>
      <c r="K883" s="28" t="s">
        <v>52</v>
      </c>
      <c r="L883" s="28" t="s">
        <v>52</v>
      </c>
      <c r="M883" s="28" t="s">
        <v>52</v>
      </c>
      <c r="N883" s="28" t="s">
        <v>52</v>
      </c>
    </row>
    <row r="884" spans="1:14" x14ac:dyDescent="0.2">
      <c r="A884" s="23" t="str">
        <f>HYPERLINK("https://www.spark-marketing.ru/Card/Person/1447906", "ГБУ РО ""РОСТОВСКАЯ ГОРСББЖ""")</f>
        <v>ГБУ РО "РОСТОВСКАЯ ГОРСББЖ"</v>
      </c>
      <c r="B884" s="24" t="s">
        <v>1697</v>
      </c>
      <c r="C884" s="25">
        <v>333333.33</v>
      </c>
      <c r="D884" s="22" t="s">
        <v>1698</v>
      </c>
      <c r="E884" s="22" t="s">
        <v>533</v>
      </c>
      <c r="F884" s="23" t="str">
        <f>HYPERLINK("https://www.spark-marketing.ru/Card/Lot/73913545", "Поставка,установка и подключение системы видеоконференций")</f>
        <v>Поставка,установка и подключение системы видеоконференций</v>
      </c>
      <c r="G884" s="22" t="s">
        <v>402</v>
      </c>
      <c r="H884" s="22" t="s">
        <v>402</v>
      </c>
      <c r="I884" s="26">
        <v>43734</v>
      </c>
      <c r="J884" s="28" t="s">
        <v>52</v>
      </c>
      <c r="K884" s="28" t="s">
        <v>52</v>
      </c>
      <c r="L884" s="28" t="s">
        <v>52</v>
      </c>
      <c r="M884" s="25">
        <v>216000</v>
      </c>
      <c r="N884" s="27">
        <v>0.35199999351999994</v>
      </c>
    </row>
    <row r="885" spans="1:14" x14ac:dyDescent="0.15">
      <c r="A885" s="23" t="str">
        <f>HYPERLINK("https://www.spark-marketing.ru/Card/Person/1747814", "ГАУК Г. МОСКВЫ ""ГМЗ ""КУЗЬМИНКИ-ЛЮБЛИНО""")</f>
        <v>ГАУК Г. МОСКВЫ "ГМЗ "КУЗЬМИНКИ-ЛЮБЛИНО"</v>
      </c>
      <c r="B885" s="24" t="s">
        <v>1699</v>
      </c>
      <c r="C885" s="25">
        <v>2236965.6800000002</v>
      </c>
      <c r="D885" s="22" t="s">
        <v>1700</v>
      </c>
      <c r="E885" s="22" t="s">
        <v>175</v>
      </c>
      <c r="F885" s="23" t="str">
        <f>HYPERLINK("https://www.spark-marketing.ru/Card/Lot/73920905", "Оказание услуг по техническому обслуживанию систем видеонаблюдения для нужд ГАУК г. Москвы «ГМЗ «Кузьминки-Люблино»")</f>
        <v>Оказание услуг по техническому обслуживанию систем видеонаблюдения для нужд ГАУК г. Москвы «ГМЗ «Кузьминки-Люблино»</v>
      </c>
      <c r="G885" s="22" t="s">
        <v>55</v>
      </c>
      <c r="H885" s="22" t="s">
        <v>55</v>
      </c>
      <c r="I885" s="26">
        <v>43734</v>
      </c>
      <c r="J885" s="28" t="s">
        <v>52</v>
      </c>
      <c r="K885" s="28" t="s">
        <v>52</v>
      </c>
      <c r="L885" s="28" t="s">
        <v>52</v>
      </c>
      <c r="M885" s="28" t="s">
        <v>52</v>
      </c>
      <c r="N885" s="28" t="s">
        <v>52</v>
      </c>
    </row>
    <row r="886" spans="1:14" x14ac:dyDescent="0.15">
      <c r="A886" s="23" t="str">
        <f>HYPERLINK("https://www.spark-marketing.ru/Card/Person/113010", "АО ""НИКИМТ-АТОМСТРОЙ""")</f>
        <v>АО "НИКИМТ-АТОМСТРОЙ"</v>
      </c>
      <c r="B886" s="24" t="s">
        <v>1701</v>
      </c>
      <c r="C886" s="25">
        <v>11059200</v>
      </c>
      <c r="D886" s="22" t="s">
        <v>1702</v>
      </c>
      <c r="E886" s="22" t="s">
        <v>1703</v>
      </c>
      <c r="F886" s="23" t="str">
        <f>HYPERLINK("https://www.spark-marketing.ru/Card/Lot/73912957", "Право заключения договора на Оказание услуг по выполнению инженерно-геодезического сопровождения СМР на объектах строительства Белорусской АЭС")</f>
        <v>Право заключения договора на Оказание услуг по выполнению инженерно-геодезического сопровождения СМР на объектах строительства Белорусской АЭС</v>
      </c>
      <c r="G886" s="22" t="s">
        <v>55</v>
      </c>
      <c r="H886" s="22" t="s">
        <v>55</v>
      </c>
      <c r="I886" s="26">
        <v>43734</v>
      </c>
      <c r="J886" s="28" t="s">
        <v>52</v>
      </c>
      <c r="K886" s="28" t="s">
        <v>52</v>
      </c>
      <c r="L886" s="28" t="s">
        <v>52</v>
      </c>
      <c r="M886" s="28" t="s">
        <v>52</v>
      </c>
      <c r="N886" s="28" t="s">
        <v>52</v>
      </c>
    </row>
    <row r="887" spans="1:14" x14ac:dyDescent="0.15">
      <c r="A887" s="23" t="str">
        <f>HYPERLINK("https://www.spark-marketing.ru/Card/Person/59889", "МАУФКИС ""СОК ""КЕРАМИК""")</f>
        <v>МАУФКИС "СОК "КЕРАМИК"</v>
      </c>
      <c r="B887" s="24" t="s">
        <v>1704</v>
      </c>
      <c r="C887" s="25">
        <v>116550</v>
      </c>
      <c r="D887" s="22" t="s">
        <v>1705</v>
      </c>
      <c r="E887" s="22" t="s">
        <v>1706</v>
      </c>
      <c r="F887" s="23" t="str">
        <f>HYPERLINK("https://www.spark-marketing.ru/Card/Lot/73913292", "Выполнение работ по установке системы видеонаблюдения")</f>
        <v>Выполнение работ по установке системы видеонаблюдения</v>
      </c>
      <c r="G887" s="22" t="s">
        <v>50</v>
      </c>
      <c r="H887" s="22" t="s">
        <v>432</v>
      </c>
      <c r="I887" s="26">
        <v>43734</v>
      </c>
      <c r="J887" s="28" t="s">
        <v>52</v>
      </c>
      <c r="K887" s="28" t="s">
        <v>52</v>
      </c>
      <c r="L887" s="28" t="s">
        <v>52</v>
      </c>
      <c r="M887" s="28" t="s">
        <v>52</v>
      </c>
      <c r="N887" s="28" t="s">
        <v>52</v>
      </c>
    </row>
    <row r="888" spans="1:14" x14ac:dyDescent="0.15">
      <c r="A888" s="23" t="str">
        <f>HYPERLINK("https://www.spark-marketing.ru/Card/Person/416954", "МП Г.О. САМАРА ""ЖИЛЛИДЕР""")</f>
        <v>МП Г.О. САМАРА "ЖИЛЛИДЕР"</v>
      </c>
      <c r="B888" s="24" t="s">
        <v>1707</v>
      </c>
      <c r="C888" s="25">
        <v>734000</v>
      </c>
      <c r="D888" s="22" t="s">
        <v>1708</v>
      </c>
      <c r="E888" s="22" t="s">
        <v>53</v>
      </c>
      <c r="F888" s="23" t="str">
        <f>HYPERLINK("https://www.spark-marketing.ru/Card/Lot/73901363", "Оказание услуг по физической и пультовой охране для нужд МП г.о. Самара ""Жиллидер""")</f>
        <v>Оказание услуг по физической и пультовой охране для нужд МП г.о. Самара "Жиллидер"</v>
      </c>
      <c r="G888" s="22" t="s">
        <v>760</v>
      </c>
      <c r="H888" s="22" t="s">
        <v>1709</v>
      </c>
      <c r="I888" s="26">
        <v>43733.958333333299</v>
      </c>
      <c r="J888" s="28" t="s">
        <v>52</v>
      </c>
      <c r="K888" s="28" t="s">
        <v>52</v>
      </c>
      <c r="L888" s="28" t="s">
        <v>52</v>
      </c>
      <c r="M888" s="28" t="s">
        <v>52</v>
      </c>
      <c r="N888" s="28" t="s">
        <v>52</v>
      </c>
    </row>
    <row r="889" spans="1:14" x14ac:dyDescent="0.15">
      <c r="A889" s="23" t="str">
        <f>HYPERLINK("https://www.spark-marketing.ru/Card/Person/236052", "МДОУ №9")</f>
        <v>МДОУ №9</v>
      </c>
      <c r="B889" s="24" t="s">
        <v>1710</v>
      </c>
      <c r="C889" s="25">
        <v>42631</v>
      </c>
      <c r="D889" s="22" t="s">
        <v>1711</v>
      </c>
      <c r="E889" s="22" t="s">
        <v>84</v>
      </c>
      <c r="F889" s="23" t="str">
        <f>HYPERLINK("https://www.spark-marketing.ru/Card/Lot/73888041", "Услуги на модернизацию и установку дополнительных видеокамер в систему видеонаблюдения")</f>
        <v>Услуги на модернизацию и установку дополнительных видеокамер в систему видеонаблюдения</v>
      </c>
      <c r="G889" s="22" t="s">
        <v>50</v>
      </c>
      <c r="H889" s="22" t="s">
        <v>295</v>
      </c>
      <c r="I889" s="26">
        <v>43733.722141203703</v>
      </c>
      <c r="J889" s="28" t="s">
        <v>52</v>
      </c>
      <c r="K889" s="28" t="s">
        <v>52</v>
      </c>
      <c r="L889" s="28" t="s">
        <v>52</v>
      </c>
      <c r="M889" s="28" t="s">
        <v>52</v>
      </c>
      <c r="N889" s="28" t="s">
        <v>52</v>
      </c>
    </row>
    <row r="890" spans="1:14" x14ac:dyDescent="0.15">
      <c r="A890" s="23" t="str">
        <f>HYPERLINK("https://www.spark-marketing.ru/Card/Person/4681199", "СПБ ЛО МВД РОССИИ НА ВОДНОМ ТРАНСПОРТЕ")</f>
        <v>СПБ ЛО МВД РОССИИ НА ВОДНОМ ТРАНСПОРТЕ</v>
      </c>
      <c r="B890" s="24" t="s">
        <v>1460</v>
      </c>
      <c r="C890" s="25">
        <v>28264.560000000001</v>
      </c>
      <c r="D890" s="22" t="s">
        <v>1712</v>
      </c>
      <c r="E890" s="22" t="s">
        <v>53</v>
      </c>
      <c r="F890" s="23" t="str">
        <f>HYPERLINK("https://www.spark-marketing.ru/Card/Lot/73887802", "услуги по техническому обслуживанию комплекса технических средств охраны")</f>
        <v>услуги по техническому обслуживанию комплекса технических средств охраны</v>
      </c>
      <c r="G890" s="22" t="s">
        <v>89</v>
      </c>
      <c r="H890" s="22" t="s">
        <v>89</v>
      </c>
      <c r="I890" s="26">
        <v>43733.721574074101</v>
      </c>
      <c r="J890" s="28" t="s">
        <v>52</v>
      </c>
      <c r="K890" s="28" t="s">
        <v>52</v>
      </c>
      <c r="L890" s="28" t="s">
        <v>52</v>
      </c>
      <c r="M890" s="28" t="s">
        <v>52</v>
      </c>
      <c r="N890" s="28" t="s">
        <v>52</v>
      </c>
    </row>
    <row r="891" spans="1:14" x14ac:dyDescent="0.15">
      <c r="A891" s="23" t="str">
        <f t="shared" ref="A891:A908" si="19">HYPERLINK("https://www.spark-marketing.ru/Card/Person/4348446", "ООО ""ТАИФ-НК АЗС""")</f>
        <v>ООО "ТАИФ-НК АЗС"</v>
      </c>
      <c r="B891" s="24" t="s">
        <v>301</v>
      </c>
      <c r="C891" s="25">
        <v>23943.96</v>
      </c>
      <c r="D891" s="22" t="s">
        <v>1713</v>
      </c>
      <c r="E891" s="22" t="s">
        <v>53</v>
      </c>
      <c r="F891" s="23" t="str">
        <f>HYPERLINK("https://www.spark-marketing.ru/Card/Lot/73897906", "Пультовая охрана (КТС) на 2020 год АЗС№ 238 (1 АЗС)")</f>
        <v>Пультовая охрана (КТС) на 2020 год АЗС№ 238 (1 АЗС)</v>
      </c>
      <c r="G891" s="22" t="s">
        <v>204</v>
      </c>
      <c r="H891" s="22" t="s">
        <v>303</v>
      </c>
      <c r="I891" s="26">
        <v>43733.686076388898</v>
      </c>
      <c r="J891" s="28" t="s">
        <v>52</v>
      </c>
      <c r="K891" s="28" t="s">
        <v>52</v>
      </c>
      <c r="L891" s="28" t="s">
        <v>52</v>
      </c>
      <c r="M891" s="28" t="s">
        <v>52</v>
      </c>
      <c r="N891" s="28" t="s">
        <v>52</v>
      </c>
    </row>
    <row r="892" spans="1:14" x14ac:dyDescent="0.15">
      <c r="A892" s="23" t="str">
        <f t="shared" si="19"/>
        <v>ООО "ТАИФ-НК АЗС"</v>
      </c>
      <c r="B892" s="24" t="s">
        <v>301</v>
      </c>
      <c r="C892" s="25">
        <v>9600</v>
      </c>
      <c r="D892" s="22" t="s">
        <v>1713</v>
      </c>
      <c r="E892" s="22" t="s">
        <v>53</v>
      </c>
      <c r="F892" s="23" t="str">
        <f>HYPERLINK("https://www.spark-marketing.ru/Card/Lot/73897913", "Техническое обслуживание ТСО на 2020 год АЗС№ 260 (г.Воткинск)")</f>
        <v>Техническое обслуживание ТСО на 2020 год АЗС№ 260 (г.Воткинск)</v>
      </c>
      <c r="G892" s="22" t="s">
        <v>204</v>
      </c>
      <c r="H892" s="22" t="s">
        <v>303</v>
      </c>
      <c r="I892" s="26">
        <v>43733.686076388898</v>
      </c>
      <c r="J892" s="28" t="s">
        <v>52</v>
      </c>
      <c r="K892" s="28" t="s">
        <v>52</v>
      </c>
      <c r="L892" s="28" t="s">
        <v>52</v>
      </c>
      <c r="M892" s="28" t="s">
        <v>52</v>
      </c>
      <c r="N892" s="28" t="s">
        <v>52</v>
      </c>
    </row>
    <row r="893" spans="1:14" x14ac:dyDescent="0.15">
      <c r="A893" s="23" t="str">
        <f t="shared" si="19"/>
        <v>ООО "ТАИФ-НК АЗС"</v>
      </c>
      <c r="B893" s="24" t="s">
        <v>301</v>
      </c>
      <c r="C893" s="25">
        <v>64413.36</v>
      </c>
      <c r="D893" s="22" t="s">
        <v>1713</v>
      </c>
      <c r="E893" s="22" t="s">
        <v>53</v>
      </c>
      <c r="F893" s="23" t="str">
        <f>HYPERLINK("https://www.spark-marketing.ru/Card/Lot/73897867", "Техническое обслуживание ТСО на 2020 г. АЗС№211,214,215,219,220,228,234,236, 239,240,241,242,243,245,246,248,256, АГЗС №044 (17 АЗС, 1 АГЗС)")</f>
        <v>Техническое обслуживание ТСО на 2020 г. АЗС№211,214,215,219,220,228,234,236, 239,240,241,242,243,245,246,248,256, АГЗС №044 (17 АЗС, 1 АГЗС)</v>
      </c>
      <c r="G893" s="22" t="s">
        <v>204</v>
      </c>
      <c r="H893" s="22" t="s">
        <v>303</v>
      </c>
      <c r="I893" s="26">
        <v>43733.686076388898</v>
      </c>
      <c r="J893" s="28" t="s">
        <v>52</v>
      </c>
      <c r="K893" s="28" t="s">
        <v>52</v>
      </c>
      <c r="L893" s="28" t="s">
        <v>52</v>
      </c>
      <c r="M893" s="28" t="s">
        <v>52</v>
      </c>
      <c r="N893" s="28" t="s">
        <v>52</v>
      </c>
    </row>
    <row r="894" spans="1:14" x14ac:dyDescent="0.15">
      <c r="A894" s="23" t="str">
        <f t="shared" si="19"/>
        <v>ООО "ТАИФ-НК АЗС"</v>
      </c>
      <c r="B894" s="24" t="s">
        <v>301</v>
      </c>
      <c r="C894" s="25">
        <v>9068.76</v>
      </c>
      <c r="D894" s="22" t="s">
        <v>1713</v>
      </c>
      <c r="E894" s="22" t="s">
        <v>53</v>
      </c>
      <c r="F894" s="23" t="str">
        <f>HYPERLINK("https://www.spark-marketing.ru/Card/Lot/73897911", "Техническое обслуживание ТСО на 2020 год АЗС№ 259 (Малая Пурга)")</f>
        <v>Техническое обслуживание ТСО на 2020 год АЗС№ 259 (Малая Пурга)</v>
      </c>
      <c r="G894" s="22" t="s">
        <v>204</v>
      </c>
      <c r="H894" s="22" t="s">
        <v>303</v>
      </c>
      <c r="I894" s="26">
        <v>43733.686076388898</v>
      </c>
      <c r="J894" s="28" t="s">
        <v>52</v>
      </c>
      <c r="K894" s="28" t="s">
        <v>52</v>
      </c>
      <c r="L894" s="28" t="s">
        <v>52</v>
      </c>
      <c r="M894" s="28" t="s">
        <v>52</v>
      </c>
      <c r="N894" s="28" t="s">
        <v>52</v>
      </c>
    </row>
    <row r="895" spans="1:14" x14ac:dyDescent="0.15">
      <c r="A895" s="23" t="str">
        <f t="shared" si="19"/>
        <v>ООО "ТАИФ-НК АЗС"</v>
      </c>
      <c r="B895" s="24" t="s">
        <v>301</v>
      </c>
      <c r="C895" s="25">
        <v>367200</v>
      </c>
      <c r="D895" s="22" t="s">
        <v>1713</v>
      </c>
      <c r="E895" s="22" t="s">
        <v>53</v>
      </c>
      <c r="F895" s="23" t="str">
        <f>HYPERLINK("https://www.spark-marketing.ru/Card/Lot/73897866", "Пультовая охрана (КТС) на 2020 год АЗС №211,214,215,219,220,228,234,236,239, 240,241,242,243,245,246,248,256,АГЗС №044 (17 АЗС, 1 АГЗС)")</f>
        <v>Пультовая охрана (КТС) на 2020 год АЗС №211,214,215,219,220,228,234,236,239, 240,241,242,243,245,246,248,256,АГЗС №044 (17 АЗС, 1 АГЗС)</v>
      </c>
      <c r="G895" s="22" t="s">
        <v>204</v>
      </c>
      <c r="H895" s="22" t="s">
        <v>303</v>
      </c>
      <c r="I895" s="26">
        <v>43733.686076388898</v>
      </c>
      <c r="J895" s="28" t="s">
        <v>52</v>
      </c>
      <c r="K895" s="28" t="s">
        <v>52</v>
      </c>
      <c r="L895" s="28" t="s">
        <v>52</v>
      </c>
      <c r="M895" s="28" t="s">
        <v>52</v>
      </c>
      <c r="N895" s="28" t="s">
        <v>52</v>
      </c>
    </row>
    <row r="896" spans="1:14" x14ac:dyDescent="0.15">
      <c r="A896" s="23" t="str">
        <f t="shared" si="19"/>
        <v>ООО "ТАИФ-НК АЗС"</v>
      </c>
      <c r="B896" s="24" t="s">
        <v>301</v>
      </c>
      <c r="C896" s="25">
        <v>14400</v>
      </c>
      <c r="D896" s="22" t="s">
        <v>1713</v>
      </c>
      <c r="E896" s="22" t="s">
        <v>53</v>
      </c>
      <c r="F896" s="23" t="str">
        <f>HYPERLINK("https://www.spark-marketing.ru/Card/Lot/73897895", "Техническое обслуживание ТСО на 2020 год АЗС №213,222,244,251 (4 АЗС)")</f>
        <v>Техническое обслуживание ТСО на 2020 год АЗС №213,222,244,251 (4 АЗС)</v>
      </c>
      <c r="G896" s="22" t="s">
        <v>204</v>
      </c>
      <c r="H896" s="22" t="s">
        <v>303</v>
      </c>
      <c r="I896" s="26">
        <v>43733.686076388898</v>
      </c>
      <c r="J896" s="28" t="s">
        <v>52</v>
      </c>
      <c r="K896" s="28" t="s">
        <v>52</v>
      </c>
      <c r="L896" s="28" t="s">
        <v>52</v>
      </c>
      <c r="M896" s="28" t="s">
        <v>52</v>
      </c>
      <c r="N896" s="28" t="s">
        <v>52</v>
      </c>
    </row>
    <row r="897" spans="1:14" x14ac:dyDescent="0.15">
      <c r="A897" s="23" t="str">
        <f t="shared" si="19"/>
        <v>ООО "ТАИФ-НК АЗС"</v>
      </c>
      <c r="B897" s="24" t="s">
        <v>301</v>
      </c>
      <c r="C897" s="25">
        <v>4800</v>
      </c>
      <c r="D897" s="22" t="s">
        <v>1713</v>
      </c>
      <c r="E897" s="22" t="s">
        <v>53</v>
      </c>
      <c r="F897" s="23" t="str">
        <f>HYPERLINK("https://www.spark-marketing.ru/Card/Lot/73897905", "Техническое обслуживание ТСО на 2020 год АЗС№ 230 (1 АЗС)")</f>
        <v>Техническое обслуживание ТСО на 2020 год АЗС№ 230 (1 АЗС)</v>
      </c>
      <c r="G897" s="22" t="s">
        <v>204</v>
      </c>
      <c r="H897" s="22" t="s">
        <v>303</v>
      </c>
      <c r="I897" s="26">
        <v>43733.686076388898</v>
      </c>
      <c r="J897" s="28" t="s">
        <v>52</v>
      </c>
      <c r="K897" s="28" t="s">
        <v>52</v>
      </c>
      <c r="L897" s="28" t="s">
        <v>52</v>
      </c>
      <c r="M897" s="28" t="s">
        <v>52</v>
      </c>
      <c r="N897" s="28" t="s">
        <v>52</v>
      </c>
    </row>
    <row r="898" spans="1:14" x14ac:dyDescent="0.15">
      <c r="A898" s="23" t="str">
        <f t="shared" si="19"/>
        <v>ООО "ТАИФ-НК АЗС"</v>
      </c>
      <c r="B898" s="24" t="s">
        <v>301</v>
      </c>
      <c r="C898" s="25">
        <v>18600</v>
      </c>
      <c r="D898" s="22" t="s">
        <v>1713</v>
      </c>
      <c r="E898" s="22" t="s">
        <v>53</v>
      </c>
      <c r="F898" s="23" t="str">
        <f>HYPERLINK("https://www.spark-marketing.ru/Card/Lot/73897918", "Пультовая охрана (КТС) на 2020 год Нефтебаза")</f>
        <v>Пультовая охрана (КТС) на 2020 год Нефтебаза</v>
      </c>
      <c r="G898" s="22" t="s">
        <v>204</v>
      </c>
      <c r="H898" s="22" t="s">
        <v>303</v>
      </c>
      <c r="I898" s="26">
        <v>43733.686076388898</v>
      </c>
      <c r="J898" s="28" t="s">
        <v>52</v>
      </c>
      <c r="K898" s="28" t="s">
        <v>52</v>
      </c>
      <c r="L898" s="28" t="s">
        <v>52</v>
      </c>
      <c r="M898" s="28" t="s">
        <v>52</v>
      </c>
      <c r="N898" s="28" t="s">
        <v>52</v>
      </c>
    </row>
    <row r="899" spans="1:14" x14ac:dyDescent="0.15">
      <c r="A899" s="23" t="str">
        <f t="shared" si="19"/>
        <v>ООО "ТАИФ-НК АЗС"</v>
      </c>
      <c r="B899" s="24" t="s">
        <v>301</v>
      </c>
      <c r="C899" s="25">
        <v>28196.639999999999</v>
      </c>
      <c r="D899" s="22" t="s">
        <v>1713</v>
      </c>
      <c r="E899" s="22" t="s">
        <v>53</v>
      </c>
      <c r="F899" s="23" t="str">
        <f>HYPERLINK("https://www.spark-marketing.ru/Card/Lot/73897916", "Пультовая охрана (КТС) на 2020 год АЗС№ 262 (Старая Юмья)")</f>
        <v>Пультовая охрана (КТС) на 2020 год АЗС№ 262 (Старая Юмья)</v>
      </c>
      <c r="G899" s="22" t="s">
        <v>204</v>
      </c>
      <c r="H899" s="22" t="s">
        <v>303</v>
      </c>
      <c r="I899" s="26">
        <v>43733.686076388898</v>
      </c>
      <c r="J899" s="28" t="s">
        <v>52</v>
      </c>
      <c r="K899" s="28" t="s">
        <v>52</v>
      </c>
      <c r="L899" s="28" t="s">
        <v>52</v>
      </c>
      <c r="M899" s="28" t="s">
        <v>52</v>
      </c>
      <c r="N899" s="28" t="s">
        <v>52</v>
      </c>
    </row>
    <row r="900" spans="1:14" x14ac:dyDescent="0.15">
      <c r="A900" s="23" t="str">
        <f t="shared" si="19"/>
        <v>ООО "ТАИФ-НК АЗС"</v>
      </c>
      <c r="B900" s="24" t="s">
        <v>301</v>
      </c>
      <c r="C900" s="25">
        <v>48000</v>
      </c>
      <c r="D900" s="22" t="s">
        <v>1713</v>
      </c>
      <c r="E900" s="22" t="s">
        <v>53</v>
      </c>
      <c r="F900" s="23" t="str">
        <f>HYPERLINK("https://www.spark-marketing.ru/Card/Lot/73897898", "Пультовая охрана (КТС) на 2020 год АЗС№ 216,223 (2 АЗС)")</f>
        <v>Пультовая охрана (КТС) на 2020 год АЗС№ 216,223 (2 АЗС)</v>
      </c>
      <c r="G900" s="22" t="s">
        <v>204</v>
      </c>
      <c r="H900" s="22" t="s">
        <v>303</v>
      </c>
      <c r="I900" s="26">
        <v>43733.686076388898</v>
      </c>
      <c r="J900" s="28" t="s">
        <v>52</v>
      </c>
      <c r="K900" s="28" t="s">
        <v>52</v>
      </c>
      <c r="L900" s="28" t="s">
        <v>52</v>
      </c>
      <c r="M900" s="28" t="s">
        <v>52</v>
      </c>
      <c r="N900" s="28" t="s">
        <v>52</v>
      </c>
    </row>
    <row r="901" spans="1:14" x14ac:dyDescent="0.15">
      <c r="A901" s="23" t="str">
        <f t="shared" si="19"/>
        <v>ООО "ТАИФ-НК АЗС"</v>
      </c>
      <c r="B901" s="24" t="s">
        <v>301</v>
      </c>
      <c r="C901" s="25">
        <v>43071.839999999997</v>
      </c>
      <c r="D901" s="22" t="s">
        <v>1713</v>
      </c>
      <c r="E901" s="22" t="s">
        <v>53</v>
      </c>
      <c r="F901" s="23" t="str">
        <f>HYPERLINK("https://www.spark-marketing.ru/Card/Lot/73897900", "Пультовая охрана (КТС) на 2020 год АЗС№ 224,229 (2 АЗС)")</f>
        <v>Пультовая охрана (КТС) на 2020 год АЗС№ 224,229 (2 АЗС)</v>
      </c>
      <c r="G901" s="22" t="s">
        <v>204</v>
      </c>
      <c r="H901" s="22" t="s">
        <v>303</v>
      </c>
      <c r="I901" s="26">
        <v>43733.686076388898</v>
      </c>
      <c r="J901" s="28" t="s">
        <v>52</v>
      </c>
      <c r="K901" s="28" t="s">
        <v>52</v>
      </c>
      <c r="L901" s="28" t="s">
        <v>52</v>
      </c>
      <c r="M901" s="28" t="s">
        <v>52</v>
      </c>
      <c r="N901" s="28" t="s">
        <v>52</v>
      </c>
    </row>
    <row r="902" spans="1:14" x14ac:dyDescent="0.15">
      <c r="A902" s="23" t="str">
        <f t="shared" si="19"/>
        <v>ООО "ТАИФ-НК АЗС"</v>
      </c>
      <c r="B902" s="24" t="s">
        <v>301</v>
      </c>
      <c r="C902" s="25">
        <v>7200</v>
      </c>
      <c r="D902" s="22" t="s">
        <v>1713</v>
      </c>
      <c r="E902" s="22" t="s">
        <v>53</v>
      </c>
      <c r="F902" s="23" t="str">
        <f>HYPERLINK("https://www.spark-marketing.ru/Card/Lot/73897901", "Техническое обслуживание ТСО на 2020 год АЗС№ 224,229 (2 АЗС)")</f>
        <v>Техническое обслуживание ТСО на 2020 год АЗС№ 224,229 (2 АЗС)</v>
      </c>
      <c r="G902" s="22" t="s">
        <v>204</v>
      </c>
      <c r="H902" s="22" t="s">
        <v>303</v>
      </c>
      <c r="I902" s="26">
        <v>43733.686076388898</v>
      </c>
      <c r="J902" s="28" t="s">
        <v>52</v>
      </c>
      <c r="K902" s="28" t="s">
        <v>52</v>
      </c>
      <c r="L902" s="28" t="s">
        <v>52</v>
      </c>
      <c r="M902" s="28" t="s">
        <v>52</v>
      </c>
      <c r="N902" s="28" t="s">
        <v>52</v>
      </c>
    </row>
    <row r="903" spans="1:14" x14ac:dyDescent="0.15">
      <c r="A903" s="23" t="str">
        <f t="shared" si="19"/>
        <v>ООО "ТАИФ-НК АЗС"</v>
      </c>
      <c r="B903" s="24" t="s">
        <v>301</v>
      </c>
      <c r="C903" s="25">
        <v>14400</v>
      </c>
      <c r="D903" s="22" t="s">
        <v>1713</v>
      </c>
      <c r="E903" s="22" t="s">
        <v>53</v>
      </c>
      <c r="F903" s="23" t="str">
        <f>HYPERLINK("https://www.spark-marketing.ru/Card/Lot/73897903", "Техническое обслуживание ТСО на 2020 год АЗС№ 202,212,218,247 (4 АЗС)")</f>
        <v>Техническое обслуживание ТСО на 2020 год АЗС№ 202,212,218,247 (4 АЗС)</v>
      </c>
      <c r="G903" s="22" t="s">
        <v>204</v>
      </c>
      <c r="H903" s="22" t="s">
        <v>303</v>
      </c>
      <c r="I903" s="26">
        <v>43733.686076388898</v>
      </c>
      <c r="J903" s="28" t="s">
        <v>52</v>
      </c>
      <c r="K903" s="28" t="s">
        <v>52</v>
      </c>
      <c r="L903" s="28" t="s">
        <v>52</v>
      </c>
      <c r="M903" s="28" t="s">
        <v>52</v>
      </c>
      <c r="N903" s="28" t="s">
        <v>52</v>
      </c>
    </row>
    <row r="904" spans="1:14" x14ac:dyDescent="0.15">
      <c r="A904" s="23" t="str">
        <f t="shared" si="19"/>
        <v>ООО "ТАИФ-НК АЗС"</v>
      </c>
      <c r="B904" s="24" t="s">
        <v>301</v>
      </c>
      <c r="C904" s="25">
        <v>23943.96</v>
      </c>
      <c r="D904" s="22" t="s">
        <v>1713</v>
      </c>
      <c r="E904" s="22" t="s">
        <v>53</v>
      </c>
      <c r="F904" s="23" t="str">
        <f>HYPERLINK("https://www.spark-marketing.ru/Card/Lot/73897908", "Пультовая охрана (КТС) на 2020 год АЗС№ 258 (1АЗС)")</f>
        <v>Пультовая охрана (КТС) на 2020 год АЗС№ 258 (1АЗС)</v>
      </c>
      <c r="G904" s="22" t="s">
        <v>204</v>
      </c>
      <c r="H904" s="22" t="s">
        <v>303</v>
      </c>
      <c r="I904" s="26">
        <v>43733.686076388898</v>
      </c>
      <c r="J904" s="28" t="s">
        <v>52</v>
      </c>
      <c r="K904" s="28" t="s">
        <v>52</v>
      </c>
      <c r="L904" s="28" t="s">
        <v>52</v>
      </c>
      <c r="M904" s="28" t="s">
        <v>52</v>
      </c>
      <c r="N904" s="28" t="s">
        <v>52</v>
      </c>
    </row>
    <row r="905" spans="1:14" x14ac:dyDescent="0.15">
      <c r="A905" s="23" t="str">
        <f t="shared" si="19"/>
        <v>ООО "ТАИФ-НК АЗС"</v>
      </c>
      <c r="B905" s="24" t="s">
        <v>301</v>
      </c>
      <c r="C905" s="25">
        <v>9600</v>
      </c>
      <c r="D905" s="22" t="s">
        <v>1713</v>
      </c>
      <c r="E905" s="22" t="s">
        <v>53</v>
      </c>
      <c r="F905" s="23" t="str">
        <f>HYPERLINK("https://www.spark-marketing.ru/Card/Lot/73897915", "Техническое обслуживание ТСО на 2020 год АЗС№ 261 (Малопургинский район, с.Орлово)")</f>
        <v>Техническое обслуживание ТСО на 2020 год АЗС№ 261 (Малопургинский район, с.Орлово)</v>
      </c>
      <c r="G905" s="22" t="s">
        <v>204</v>
      </c>
      <c r="H905" s="22" t="s">
        <v>303</v>
      </c>
      <c r="I905" s="26">
        <v>43733.686076388898</v>
      </c>
      <c r="J905" s="28" t="s">
        <v>52</v>
      </c>
      <c r="K905" s="28" t="s">
        <v>52</v>
      </c>
      <c r="L905" s="28" t="s">
        <v>52</v>
      </c>
      <c r="M905" s="28" t="s">
        <v>52</v>
      </c>
      <c r="N905" s="28" t="s">
        <v>52</v>
      </c>
    </row>
    <row r="906" spans="1:14" x14ac:dyDescent="0.15">
      <c r="A906" s="23" t="str">
        <f t="shared" si="19"/>
        <v>ООО "ТАИФ-НК АЗС"</v>
      </c>
      <c r="B906" s="24" t="s">
        <v>301</v>
      </c>
      <c r="C906" s="25">
        <v>10800</v>
      </c>
      <c r="D906" s="22" t="s">
        <v>1713</v>
      </c>
      <c r="E906" s="22" t="s">
        <v>53</v>
      </c>
      <c r="F906" s="23" t="str">
        <f>HYPERLINK("https://www.spark-marketing.ru/Card/Lot/73897897", "Техническое обслуживание ТСО на 2020 год АЗС№ 201,253,254 (3АЗС)")</f>
        <v>Техническое обслуживание ТСО на 2020 год АЗС№ 201,253,254 (3АЗС)</v>
      </c>
      <c r="G906" s="22" t="s">
        <v>204</v>
      </c>
      <c r="H906" s="22" t="s">
        <v>303</v>
      </c>
      <c r="I906" s="26">
        <v>43733.686076388898</v>
      </c>
      <c r="J906" s="28" t="s">
        <v>52</v>
      </c>
      <c r="K906" s="28" t="s">
        <v>52</v>
      </c>
      <c r="L906" s="28" t="s">
        <v>52</v>
      </c>
      <c r="M906" s="28" t="s">
        <v>52</v>
      </c>
      <c r="N906" s="28" t="s">
        <v>52</v>
      </c>
    </row>
    <row r="907" spans="1:14" x14ac:dyDescent="0.15">
      <c r="A907" s="23" t="str">
        <f t="shared" si="19"/>
        <v>ООО "ТАИФ-НК АЗС"</v>
      </c>
      <c r="B907" s="24" t="s">
        <v>301</v>
      </c>
      <c r="C907" s="25">
        <v>28196.639999999999</v>
      </c>
      <c r="D907" s="22" t="s">
        <v>1713</v>
      </c>
      <c r="E907" s="22" t="s">
        <v>53</v>
      </c>
      <c r="F907" s="23" t="str">
        <f>HYPERLINK("https://www.spark-marketing.ru/Card/Lot/73897914", "Пультовая охрана (КТС) на 2020 год АЗС№ 261 (Малопургинский район, с.Орлово)")</f>
        <v>Пультовая охрана (КТС) на 2020 год АЗС№ 261 (Малопургинский район, с.Орлово)</v>
      </c>
      <c r="G907" s="22" t="s">
        <v>204</v>
      </c>
      <c r="H907" s="22" t="s">
        <v>303</v>
      </c>
      <c r="I907" s="26">
        <v>43733.686076388898</v>
      </c>
      <c r="J907" s="28" t="s">
        <v>52</v>
      </c>
      <c r="K907" s="28" t="s">
        <v>52</v>
      </c>
      <c r="L907" s="28" t="s">
        <v>52</v>
      </c>
      <c r="M907" s="28" t="s">
        <v>52</v>
      </c>
      <c r="N907" s="28" t="s">
        <v>52</v>
      </c>
    </row>
    <row r="908" spans="1:14" x14ac:dyDescent="0.15">
      <c r="A908" s="23" t="str">
        <f t="shared" si="19"/>
        <v>ООО "ТАИФ-НК АЗС"</v>
      </c>
      <c r="B908" s="24" t="s">
        <v>301</v>
      </c>
      <c r="C908" s="25">
        <v>9600</v>
      </c>
      <c r="D908" s="22" t="s">
        <v>1713</v>
      </c>
      <c r="E908" s="22" t="s">
        <v>53</v>
      </c>
      <c r="F908" s="23" t="str">
        <f>HYPERLINK("https://www.spark-marketing.ru/Card/Lot/73897899", "Техническое обслуживание ТСО на 2020 год АЗС№ 216,223 (2 АЗС)")</f>
        <v>Техническое обслуживание ТСО на 2020 год АЗС№ 216,223 (2 АЗС)</v>
      </c>
      <c r="G908" s="22" t="s">
        <v>204</v>
      </c>
      <c r="H908" s="22" t="s">
        <v>303</v>
      </c>
      <c r="I908" s="26">
        <v>43733.686076388898</v>
      </c>
      <c r="J908" s="28" t="s">
        <v>52</v>
      </c>
      <c r="K908" s="28" t="s">
        <v>52</v>
      </c>
      <c r="L908" s="28" t="s">
        <v>52</v>
      </c>
      <c r="M908" s="28" t="s">
        <v>52</v>
      </c>
      <c r="N908" s="28" t="s">
        <v>52</v>
      </c>
    </row>
    <row r="909" spans="1:14" x14ac:dyDescent="0.15">
      <c r="A909" s="23" t="str">
        <f t="shared" ref="A909:A915" si="20">HYPERLINK("https://www.spark-marketing.ru/Card/Person/1025818", "ИМЦ АДМИРАЛТЕЙСКОГО РАЙОНА САНКТ-ПЕТЕРБУРГА")</f>
        <v>ИМЦ АДМИРАЛТЕЙСКОГО РАЙОНА САНКТ-ПЕТЕРБУРГА</v>
      </c>
      <c r="B909" s="24" t="s">
        <v>1714</v>
      </c>
      <c r="C909" s="25">
        <v>1616960.8</v>
      </c>
      <c r="D909" s="22" t="s">
        <v>1715</v>
      </c>
      <c r="E909" s="22" t="s">
        <v>59</v>
      </c>
      <c r="F909" s="23" t="str">
        <f t="shared" ref="F909:F915" si="21">HYPERLINK("https://www.spark-marketing.ru/Card/Lot/73937909", "Выполнение работ по установке охранной сигнализации в ИМЦ Адмиралтейского района Санкт-Петербурга по адресу: Санкт-Петербург, наб. реки Фонтанки, д. 134б, лит. А")</f>
        <v>Выполнение работ по установке охранной сигнализации в ИМЦ Адмиралтейского района Санкт-Петербурга по адресу: Санкт-Петербург, наб. реки Фонтанки, д. 134б, лит. А</v>
      </c>
      <c r="G909" s="22" t="s">
        <v>89</v>
      </c>
      <c r="H909" s="22" t="s">
        <v>89</v>
      </c>
      <c r="I909" s="26">
        <v>43733.698946759301</v>
      </c>
      <c r="J909" s="28" t="s">
        <v>52</v>
      </c>
      <c r="K909" s="28" t="s">
        <v>52</v>
      </c>
      <c r="L909" s="28" t="s">
        <v>52</v>
      </c>
      <c r="M909" s="28" t="s">
        <v>52</v>
      </c>
      <c r="N909" s="28" t="s">
        <v>52</v>
      </c>
    </row>
    <row r="910" spans="1:14" hidden="1" outlineLevel="1" x14ac:dyDescent="0.2">
      <c r="A910" s="23" t="str">
        <f t="shared" si="20"/>
        <v>ИМЦ АДМИРАЛТЕЙСКОГО РАЙОНА САНКТ-ПЕТЕРБУРГА</v>
      </c>
      <c r="B910" s="24" t="s">
        <v>1714</v>
      </c>
      <c r="C910" s="25">
        <v>1616960.8</v>
      </c>
      <c r="D910" s="22" t="s">
        <v>1715</v>
      </c>
      <c r="E910" s="22" t="s">
        <v>59</v>
      </c>
      <c r="F910" s="23" t="str">
        <f t="shared" si="21"/>
        <v>Выполнение работ по установке охранной сигнализации в ИМЦ Адмиралтейского района Санкт-Петербурга по адресу: Санкт-Петербург, наб. реки Фонтанки, д. 134б, лит. А</v>
      </c>
      <c r="G910" s="22" t="s">
        <v>89</v>
      </c>
      <c r="H910" s="22" t="s">
        <v>89</v>
      </c>
      <c r="I910" s="26">
        <v>43733.698946759301</v>
      </c>
      <c r="J910" s="23" t="str">
        <f>HYPERLINK("https://www.spark-marketing.ru/Card/Person/4412534", "ООО ""ПМФ ""АКЦЕНТ""")</f>
        <v>ООО "ПМФ "АКЦЕНТ"</v>
      </c>
      <c r="K910" s="24" t="s">
        <v>1716</v>
      </c>
      <c r="L910" s="28" t="s">
        <v>52</v>
      </c>
      <c r="M910" s="25">
        <v>900915.19999999995</v>
      </c>
      <c r="N910" s="27">
        <v>0.44283423568462515</v>
      </c>
    </row>
    <row r="911" spans="1:14" hidden="1" outlineLevel="1" x14ac:dyDescent="0.2">
      <c r="A911" s="23" t="str">
        <f t="shared" si="20"/>
        <v>ИМЦ АДМИРАЛТЕЙСКОГО РАЙОНА САНКТ-ПЕТЕРБУРГА</v>
      </c>
      <c r="B911" s="24" t="s">
        <v>1714</v>
      </c>
      <c r="C911" s="25">
        <v>1616960.8</v>
      </c>
      <c r="D911" s="22" t="s">
        <v>1715</v>
      </c>
      <c r="E911" s="22" t="s">
        <v>59</v>
      </c>
      <c r="F911" s="23" t="str">
        <f t="shared" si="21"/>
        <v>Выполнение работ по установке охранной сигнализации в ИМЦ Адмиралтейского района Санкт-Петербурга по адресу: Санкт-Петербург, наб. реки Фонтанки, д. 134б, лит. А</v>
      </c>
      <c r="G911" s="22" t="s">
        <v>89</v>
      </c>
      <c r="H911" s="22" t="s">
        <v>89</v>
      </c>
      <c r="I911" s="26">
        <v>43733.698946759301</v>
      </c>
      <c r="J911" s="23" t="str">
        <f>HYPERLINK("https://www.spark-marketing.ru/Card/Person/99764", "ООО ""ОП ""СИСТЕМА""")</f>
        <v>ООО "ОП "СИСТЕМА"</v>
      </c>
      <c r="K911" s="24" t="s">
        <v>1717</v>
      </c>
      <c r="L911" s="28" t="s">
        <v>52</v>
      </c>
      <c r="M911" s="25">
        <v>1525011.28</v>
      </c>
      <c r="N911" s="27">
        <v>5.686564572251844E-2</v>
      </c>
    </row>
    <row r="912" spans="1:14" ht="12.75" hidden="1" outlineLevel="1" x14ac:dyDescent="0.2">
      <c r="A912" s="23" t="str">
        <f t="shared" si="20"/>
        <v>ИМЦ АДМИРАЛТЕЙСКОГО РАЙОНА САНКТ-ПЕТЕРБУРГА</v>
      </c>
      <c r="B912" s="24" t="s">
        <v>1714</v>
      </c>
      <c r="C912" s="25">
        <v>1616960.8</v>
      </c>
      <c r="D912" s="22" t="s">
        <v>1715</v>
      </c>
      <c r="E912" s="22" t="s">
        <v>59</v>
      </c>
      <c r="F912" s="23" t="str">
        <f t="shared" si="21"/>
        <v>Выполнение работ по установке охранной сигнализации в ИМЦ Адмиралтейского района Санкт-Петербурга по адресу: Санкт-Петербург, наб. реки Фонтанки, д. 134б, лит. А</v>
      </c>
      <c r="G912" s="22" t="s">
        <v>89</v>
      </c>
      <c r="H912" s="22" t="s">
        <v>89</v>
      </c>
      <c r="I912" s="26">
        <v>43733.698946759301</v>
      </c>
      <c r="J912" s="23" t="str">
        <f>HYPERLINK("https://www.spark-marketing.ru/Card/Person/2576628", "ООО ""АЛЬТЕРА""")</f>
        <v>ООО "АЛЬТЕРА"</v>
      </c>
      <c r="K912" s="24" t="s">
        <v>1718</v>
      </c>
      <c r="L912" s="22" t="s">
        <v>10</v>
      </c>
      <c r="M912" s="25">
        <v>778347.91</v>
      </c>
      <c r="N912" s="27">
        <v>0.51863526314305208</v>
      </c>
    </row>
    <row r="913" spans="1:14" hidden="1" outlineLevel="1" x14ac:dyDescent="0.2">
      <c r="A913" s="23" t="str">
        <f t="shared" si="20"/>
        <v>ИМЦ АДМИРАЛТЕЙСКОГО РАЙОНА САНКТ-ПЕТЕРБУРГА</v>
      </c>
      <c r="B913" s="24" t="s">
        <v>1714</v>
      </c>
      <c r="C913" s="25">
        <v>1616960.8</v>
      </c>
      <c r="D913" s="22" t="s">
        <v>1715</v>
      </c>
      <c r="E913" s="22" t="s">
        <v>59</v>
      </c>
      <c r="F913" s="23" t="str">
        <f t="shared" si="21"/>
        <v>Выполнение работ по установке охранной сигнализации в ИМЦ Адмиралтейского района Санкт-Петербурга по адресу: Санкт-Петербург, наб. реки Фонтанки, д. 134б, лит. А</v>
      </c>
      <c r="G913" s="22" t="s">
        <v>89</v>
      </c>
      <c r="H913" s="22" t="s">
        <v>89</v>
      </c>
      <c r="I913" s="26">
        <v>43733.698946759301</v>
      </c>
      <c r="J913" s="23" t="str">
        <f>HYPERLINK("https://www.spark-marketing.ru/Card/Person/672409", "ООО ""КРОНА""")</f>
        <v>ООО "КРОНА"</v>
      </c>
      <c r="K913" s="24" t="s">
        <v>1719</v>
      </c>
      <c r="L913" s="28" t="s">
        <v>52</v>
      </c>
      <c r="M913" s="25">
        <v>851111.11</v>
      </c>
      <c r="N913" s="27">
        <v>0.47363528540704264</v>
      </c>
    </row>
    <row r="914" spans="1:14" hidden="1" outlineLevel="1" x14ac:dyDescent="0.2">
      <c r="A914" s="23" t="str">
        <f t="shared" si="20"/>
        <v>ИМЦ АДМИРАЛТЕЙСКОГО РАЙОНА САНКТ-ПЕТЕРБУРГА</v>
      </c>
      <c r="B914" s="24" t="s">
        <v>1714</v>
      </c>
      <c r="C914" s="25">
        <v>1616960.8</v>
      </c>
      <c r="D914" s="22" t="s">
        <v>1715</v>
      </c>
      <c r="E914" s="22" t="s">
        <v>59</v>
      </c>
      <c r="F914" s="23" t="str">
        <f t="shared" si="21"/>
        <v>Выполнение работ по установке охранной сигнализации в ИМЦ Адмиралтейского района Санкт-Петербурга по адресу: Санкт-Петербург, наб. реки Фонтанки, д. 134б, лит. А</v>
      </c>
      <c r="G914" s="22" t="s">
        <v>89</v>
      </c>
      <c r="H914" s="22" t="s">
        <v>89</v>
      </c>
      <c r="I914" s="26">
        <v>43733.698946759301</v>
      </c>
      <c r="J914" s="23" t="str">
        <f>HYPERLINK("https://www.spark-marketing.ru/Card/Person/350266", "ООО ""БСК-СТРОЙ""")</f>
        <v>ООО "БСК-СТРОЙ"</v>
      </c>
      <c r="K914" s="24" t="s">
        <v>1720</v>
      </c>
      <c r="L914" s="28" t="s">
        <v>52</v>
      </c>
      <c r="M914" s="25">
        <v>983830.39</v>
      </c>
      <c r="N914" s="27">
        <v>0.39155581879288603</v>
      </c>
    </row>
    <row r="915" spans="1:14" hidden="1" outlineLevel="1" x14ac:dyDescent="0.2">
      <c r="A915" s="23" t="str">
        <f t="shared" si="20"/>
        <v>ИМЦ АДМИРАЛТЕЙСКОГО РАЙОНА САНКТ-ПЕТЕРБУРГА</v>
      </c>
      <c r="B915" s="24" t="s">
        <v>1714</v>
      </c>
      <c r="C915" s="25">
        <v>1616960.8</v>
      </c>
      <c r="D915" s="22" t="s">
        <v>1715</v>
      </c>
      <c r="E915" s="22" t="s">
        <v>59</v>
      </c>
      <c r="F915" s="23" t="str">
        <f t="shared" si="21"/>
        <v>Выполнение работ по установке охранной сигнализации в ИМЦ Адмиралтейского района Санкт-Петербурга по адресу: Санкт-Петербург, наб. реки Фонтанки, д. 134б, лит. А</v>
      </c>
      <c r="G915" s="22" t="s">
        <v>89</v>
      </c>
      <c r="H915" s="22" t="s">
        <v>89</v>
      </c>
      <c r="I915" s="26">
        <v>43733.698946759301</v>
      </c>
      <c r="J915" s="23" t="str">
        <f>HYPERLINK("https://www.spark-marketing.ru/Card/Person/94345", "ООО ""СТРОЙСЕРВИСПРОЕКТ""")</f>
        <v>ООО "СТРОЙСЕРВИСПРОЕКТ"</v>
      </c>
      <c r="K915" s="24" t="s">
        <v>1285</v>
      </c>
      <c r="L915" s="28" t="s">
        <v>52</v>
      </c>
      <c r="M915" s="25">
        <v>786432.71</v>
      </c>
      <c r="N915" s="27">
        <v>0.51363526561682882</v>
      </c>
    </row>
    <row r="916" spans="1:14" x14ac:dyDescent="0.15">
      <c r="A916" s="23" t="str">
        <f t="shared" ref="A916:A929" si="22">HYPERLINK("https://www.spark-marketing.ru/Card/Person/4348446", "ООО ""ТАИФ-НК АЗС""")</f>
        <v>ООО "ТАИФ-НК АЗС"</v>
      </c>
      <c r="B916" s="24" t="s">
        <v>301</v>
      </c>
      <c r="C916" s="25">
        <v>67200</v>
      </c>
      <c r="D916" s="22" t="s">
        <v>1713</v>
      </c>
      <c r="E916" s="22" t="s">
        <v>53</v>
      </c>
      <c r="F916" s="23" t="str">
        <f>HYPERLINK("https://www.spark-marketing.ru/Card/Lot/73897894", "Пультовая охрана (КТС) на 2020 год АЗС№ 213,222,244,251 (4 АЗС)")</f>
        <v>Пультовая охрана (КТС) на 2020 год АЗС№ 213,222,244,251 (4 АЗС)</v>
      </c>
      <c r="G916" s="22" t="s">
        <v>204</v>
      </c>
      <c r="H916" s="22" t="s">
        <v>303</v>
      </c>
      <c r="I916" s="26">
        <v>43733.686076388898</v>
      </c>
      <c r="J916" s="28" t="s">
        <v>52</v>
      </c>
      <c r="K916" s="28" t="s">
        <v>52</v>
      </c>
      <c r="L916" s="28" t="s">
        <v>52</v>
      </c>
      <c r="M916" s="28" t="s">
        <v>52</v>
      </c>
      <c r="N916" s="28" t="s">
        <v>52</v>
      </c>
    </row>
    <row r="917" spans="1:14" x14ac:dyDescent="0.15">
      <c r="A917" s="23" t="str">
        <f t="shared" si="22"/>
        <v>ООО "ТАИФ-НК АЗС"</v>
      </c>
      <c r="B917" s="24" t="s">
        <v>301</v>
      </c>
      <c r="C917" s="25">
        <v>64800</v>
      </c>
      <c r="D917" s="22" t="s">
        <v>1713</v>
      </c>
      <c r="E917" s="22" t="s">
        <v>53</v>
      </c>
      <c r="F917" s="23" t="str">
        <f>HYPERLINK("https://www.spark-marketing.ru/Card/Lot/73897891", "Техническое обслуживание ТСО на 2020 год АЗС№204,205,206,207,208,209,210,217, 221,225,226,227,231,233,235,249,255, Офис НЧФ (17 АЗС, офис НЧФ)")</f>
        <v>Техническое обслуживание ТСО на 2020 год АЗС№204,205,206,207,208,209,210,217, 221,225,226,227,231,233,235,249,255, Офис НЧФ (17 АЗС, офис НЧФ)</v>
      </c>
      <c r="G917" s="22" t="s">
        <v>204</v>
      </c>
      <c r="H917" s="22" t="s">
        <v>303</v>
      </c>
      <c r="I917" s="26">
        <v>43733.686076388898</v>
      </c>
      <c r="J917" s="28" t="s">
        <v>52</v>
      </c>
      <c r="K917" s="28" t="s">
        <v>52</v>
      </c>
      <c r="L917" s="28" t="s">
        <v>52</v>
      </c>
      <c r="M917" s="28" t="s">
        <v>52</v>
      </c>
      <c r="N917" s="28" t="s">
        <v>52</v>
      </c>
    </row>
    <row r="918" spans="1:14" x14ac:dyDescent="0.15">
      <c r="A918" s="23" t="str">
        <f t="shared" si="22"/>
        <v>ООО "ТАИФ-НК АЗС"</v>
      </c>
      <c r="B918" s="24" t="s">
        <v>301</v>
      </c>
      <c r="C918" s="25">
        <v>4800</v>
      </c>
      <c r="D918" s="22" t="s">
        <v>1713</v>
      </c>
      <c r="E918" s="22" t="s">
        <v>53</v>
      </c>
      <c r="F918" s="23" t="str">
        <f>HYPERLINK("https://www.spark-marketing.ru/Card/Lot/73897909", "Техническое обслуживание ТСО на 2020 год АЗС№ 258 (1 АЗС)")</f>
        <v>Техническое обслуживание ТСО на 2020 год АЗС№ 258 (1 АЗС)</v>
      </c>
      <c r="G918" s="22" t="s">
        <v>204</v>
      </c>
      <c r="H918" s="22" t="s">
        <v>303</v>
      </c>
      <c r="I918" s="26">
        <v>43733.686076388898</v>
      </c>
      <c r="J918" s="28" t="s">
        <v>52</v>
      </c>
      <c r="K918" s="28" t="s">
        <v>52</v>
      </c>
      <c r="L918" s="28" t="s">
        <v>52</v>
      </c>
      <c r="M918" s="28" t="s">
        <v>52</v>
      </c>
      <c r="N918" s="28" t="s">
        <v>52</v>
      </c>
    </row>
    <row r="919" spans="1:14" x14ac:dyDescent="0.15">
      <c r="A919" s="23" t="str">
        <f t="shared" si="22"/>
        <v>ООО "ТАИФ-НК АЗС"</v>
      </c>
      <c r="B919" s="24" t="s">
        <v>301</v>
      </c>
      <c r="C919" s="25">
        <v>55800</v>
      </c>
      <c r="D919" s="22" t="s">
        <v>1713</v>
      </c>
      <c r="E919" s="22" t="s">
        <v>53</v>
      </c>
      <c r="F919" s="23" t="str">
        <f>HYPERLINK("https://www.spark-marketing.ru/Card/Lot/73897896", "Пультовая охрана (КТС) на 2020 год АЗС№ 201,253,254 (3 АЗС)")</f>
        <v>Пультовая охрана (КТС) на 2020 год АЗС№ 201,253,254 (3 АЗС)</v>
      </c>
      <c r="G919" s="22" t="s">
        <v>204</v>
      </c>
      <c r="H919" s="22" t="s">
        <v>303</v>
      </c>
      <c r="I919" s="26">
        <v>43733.686076388898</v>
      </c>
      <c r="J919" s="28" t="s">
        <v>52</v>
      </c>
      <c r="K919" s="28" t="s">
        <v>52</v>
      </c>
      <c r="L919" s="28" t="s">
        <v>52</v>
      </c>
      <c r="M919" s="28" t="s">
        <v>52</v>
      </c>
      <c r="N919" s="28" t="s">
        <v>52</v>
      </c>
    </row>
    <row r="920" spans="1:14" x14ac:dyDescent="0.15">
      <c r="A920" s="23" t="str">
        <f t="shared" si="22"/>
        <v>ООО "ТАИФ-НК АЗС"</v>
      </c>
      <c r="B920" s="24" t="s">
        <v>301</v>
      </c>
      <c r="C920" s="25">
        <v>3600</v>
      </c>
      <c r="D920" s="22" t="s">
        <v>1713</v>
      </c>
      <c r="E920" s="22" t="s">
        <v>53</v>
      </c>
      <c r="F920" s="23" t="str">
        <f>HYPERLINK("https://www.spark-marketing.ru/Card/Lot/73897919", "Техническое обслуживание ТСО на 2020 год Нефтебаза")</f>
        <v>Техническое обслуживание ТСО на 2020 год Нефтебаза</v>
      </c>
      <c r="G920" s="22" t="s">
        <v>204</v>
      </c>
      <c r="H920" s="22" t="s">
        <v>303</v>
      </c>
      <c r="I920" s="26">
        <v>43733.686076388898</v>
      </c>
      <c r="J920" s="28" t="s">
        <v>52</v>
      </c>
      <c r="K920" s="28" t="s">
        <v>52</v>
      </c>
      <c r="L920" s="28" t="s">
        <v>52</v>
      </c>
      <c r="M920" s="28" t="s">
        <v>52</v>
      </c>
      <c r="N920" s="28" t="s">
        <v>52</v>
      </c>
    </row>
    <row r="921" spans="1:14" x14ac:dyDescent="0.15">
      <c r="A921" s="23" t="str">
        <f t="shared" si="22"/>
        <v>ООО "ТАИФ-НК АЗС"</v>
      </c>
      <c r="B921" s="24" t="s">
        <v>301</v>
      </c>
      <c r="C921" s="25">
        <v>324000</v>
      </c>
      <c r="D921" s="22" t="s">
        <v>1713</v>
      </c>
      <c r="E921" s="22" t="s">
        <v>53</v>
      </c>
      <c r="F921" s="23" t="str">
        <f>HYPERLINK("https://www.spark-marketing.ru/Card/Lot/73897868", "Пультовая охрана (КТС) на 2020 год АЗС№204,205,206,207,208,209,210,217, 221,225,226,227,231,233,235,249,255, Офис НЧФ (17 АЗС, офис НЧФ)")</f>
        <v>Пультовая охрана (КТС) на 2020 год АЗС№204,205,206,207,208,209,210,217, 221,225,226,227,231,233,235,249,255, Офис НЧФ (17 АЗС, офис НЧФ)</v>
      </c>
      <c r="G921" s="22" t="s">
        <v>204</v>
      </c>
      <c r="H921" s="22" t="s">
        <v>303</v>
      </c>
      <c r="I921" s="26">
        <v>43733.686076388898</v>
      </c>
      <c r="J921" s="28" t="s">
        <v>52</v>
      </c>
      <c r="K921" s="28" t="s">
        <v>52</v>
      </c>
      <c r="L921" s="28" t="s">
        <v>52</v>
      </c>
      <c r="M921" s="28" t="s">
        <v>52</v>
      </c>
      <c r="N921" s="28" t="s">
        <v>52</v>
      </c>
    </row>
    <row r="922" spans="1:14" x14ac:dyDescent="0.15">
      <c r="A922" s="23" t="str">
        <f t="shared" si="22"/>
        <v>ООО "ТАИФ-НК АЗС"</v>
      </c>
      <c r="B922" s="24" t="s">
        <v>301</v>
      </c>
      <c r="C922" s="25">
        <v>100800</v>
      </c>
      <c r="D922" s="22" t="s">
        <v>1713</v>
      </c>
      <c r="E922" s="22" t="s">
        <v>53</v>
      </c>
      <c r="F922" s="23" t="str">
        <f>HYPERLINK("https://www.spark-marketing.ru/Card/Lot/73897892", "Пультовая охрана (КТС) на 2020 год АЗС№ 203,232,237,250,252,257 (6 АЗС)")</f>
        <v>Пультовая охрана (КТС) на 2020 год АЗС№ 203,232,237,250,252,257 (6 АЗС)</v>
      </c>
      <c r="G922" s="22" t="s">
        <v>204</v>
      </c>
      <c r="H922" s="22" t="s">
        <v>303</v>
      </c>
      <c r="I922" s="26">
        <v>43733.686076388898</v>
      </c>
      <c r="J922" s="28" t="s">
        <v>52</v>
      </c>
      <c r="K922" s="28" t="s">
        <v>52</v>
      </c>
      <c r="L922" s="28" t="s">
        <v>52</v>
      </c>
      <c r="M922" s="28" t="s">
        <v>52</v>
      </c>
      <c r="N922" s="28" t="s">
        <v>52</v>
      </c>
    </row>
    <row r="923" spans="1:14" x14ac:dyDescent="0.15">
      <c r="A923" s="23" t="str">
        <f t="shared" si="22"/>
        <v>ООО "ТАИФ-НК АЗС"</v>
      </c>
      <c r="B923" s="24" t="s">
        <v>301</v>
      </c>
      <c r="C923" s="25">
        <v>20658.96</v>
      </c>
      <c r="D923" s="22" t="s">
        <v>1713</v>
      </c>
      <c r="E923" s="22" t="s">
        <v>53</v>
      </c>
      <c r="F923" s="23" t="str">
        <f>HYPERLINK("https://www.spark-marketing.ru/Card/Lot/73897904", "Пультовая охрана (КТС) на 2020 год АЗС№ 230 (1 АЗС)")</f>
        <v>Пультовая охрана (КТС) на 2020 год АЗС№ 230 (1 АЗС)</v>
      </c>
      <c r="G923" s="22" t="s">
        <v>204</v>
      </c>
      <c r="H923" s="22" t="s">
        <v>303</v>
      </c>
      <c r="I923" s="26">
        <v>43733.686076388898</v>
      </c>
      <c r="J923" s="28" t="s">
        <v>52</v>
      </c>
      <c r="K923" s="28" t="s">
        <v>52</v>
      </c>
      <c r="L923" s="28" t="s">
        <v>52</v>
      </c>
      <c r="M923" s="28" t="s">
        <v>52</v>
      </c>
      <c r="N923" s="28" t="s">
        <v>52</v>
      </c>
    </row>
    <row r="924" spans="1:14" x14ac:dyDescent="0.15">
      <c r="A924" s="23" t="str">
        <f t="shared" si="22"/>
        <v>ООО "ТАИФ-НК АЗС"</v>
      </c>
      <c r="B924" s="24" t="s">
        <v>301</v>
      </c>
      <c r="C924" s="25">
        <v>28196.639999999999</v>
      </c>
      <c r="D924" s="22" t="s">
        <v>1713</v>
      </c>
      <c r="E924" s="22" t="s">
        <v>53</v>
      </c>
      <c r="F924" s="23" t="str">
        <f>HYPERLINK("https://www.spark-marketing.ru/Card/Lot/73897910", "Пультовая охрана (КТС) на 2020 год АЗС№ 259 (Малая Пурга)")</f>
        <v>Пультовая охрана (КТС) на 2020 год АЗС№ 259 (Малая Пурга)</v>
      </c>
      <c r="G924" s="22" t="s">
        <v>204</v>
      </c>
      <c r="H924" s="22" t="s">
        <v>303</v>
      </c>
      <c r="I924" s="26">
        <v>43733.686076388898</v>
      </c>
      <c r="J924" s="28" t="s">
        <v>52</v>
      </c>
      <c r="K924" s="28" t="s">
        <v>52</v>
      </c>
      <c r="L924" s="28" t="s">
        <v>52</v>
      </c>
      <c r="M924" s="28" t="s">
        <v>52</v>
      </c>
      <c r="N924" s="28" t="s">
        <v>52</v>
      </c>
    </row>
    <row r="925" spans="1:14" x14ac:dyDescent="0.15">
      <c r="A925" s="23" t="str">
        <f t="shared" si="22"/>
        <v>ООО "ТАИФ-НК АЗС"</v>
      </c>
      <c r="B925" s="24" t="s">
        <v>301</v>
      </c>
      <c r="C925" s="25">
        <v>6196.08</v>
      </c>
      <c r="D925" s="22" t="s">
        <v>1713</v>
      </c>
      <c r="E925" s="22" t="s">
        <v>53</v>
      </c>
      <c r="F925" s="23" t="str">
        <f>HYPERLINK("https://www.spark-marketing.ru/Card/Lot/73897917", "Техническое обслуживание ТСО на 2020 год АЗС№ 262 (Старая Юмья)")</f>
        <v>Техническое обслуживание ТСО на 2020 год АЗС№ 262 (Старая Юмья)</v>
      </c>
      <c r="G925" s="22" t="s">
        <v>204</v>
      </c>
      <c r="H925" s="22" t="s">
        <v>303</v>
      </c>
      <c r="I925" s="26">
        <v>43733.686076388898</v>
      </c>
      <c r="J925" s="28" t="s">
        <v>52</v>
      </c>
      <c r="K925" s="28" t="s">
        <v>52</v>
      </c>
      <c r="L925" s="28" t="s">
        <v>52</v>
      </c>
      <c r="M925" s="28" t="s">
        <v>52</v>
      </c>
      <c r="N925" s="28" t="s">
        <v>52</v>
      </c>
    </row>
    <row r="926" spans="1:14" x14ac:dyDescent="0.15">
      <c r="A926" s="23" t="str">
        <f t="shared" si="22"/>
        <v>ООО "ТАИФ-НК АЗС"</v>
      </c>
      <c r="B926" s="24" t="s">
        <v>301</v>
      </c>
      <c r="C926" s="25">
        <v>21600</v>
      </c>
      <c r="D926" s="22" t="s">
        <v>1713</v>
      </c>
      <c r="E926" s="22" t="s">
        <v>53</v>
      </c>
      <c r="F926" s="23" t="str">
        <f>HYPERLINK("https://www.spark-marketing.ru/Card/Lot/73897893", "Техническое обслуживание ТСО на 2020 год АЗС №203,232,237,250,252,257 (6 АЗС)")</f>
        <v>Техническое обслуживание ТСО на 2020 год АЗС №203,232,237,250,252,257 (6 АЗС)</v>
      </c>
      <c r="G926" s="22" t="s">
        <v>204</v>
      </c>
      <c r="H926" s="22" t="s">
        <v>303</v>
      </c>
      <c r="I926" s="26">
        <v>43733.686076388898</v>
      </c>
      <c r="J926" s="28" t="s">
        <v>52</v>
      </c>
      <c r="K926" s="28" t="s">
        <v>52</v>
      </c>
      <c r="L926" s="28" t="s">
        <v>52</v>
      </c>
      <c r="M926" s="28" t="s">
        <v>52</v>
      </c>
      <c r="N926" s="28" t="s">
        <v>52</v>
      </c>
    </row>
    <row r="927" spans="1:14" x14ac:dyDescent="0.15">
      <c r="A927" s="23" t="str">
        <f t="shared" si="22"/>
        <v>ООО "ТАИФ-НК АЗС"</v>
      </c>
      <c r="B927" s="24" t="s">
        <v>301</v>
      </c>
      <c r="C927" s="25">
        <v>82635.839999999997</v>
      </c>
      <c r="D927" s="22" t="s">
        <v>1713</v>
      </c>
      <c r="E927" s="22" t="s">
        <v>53</v>
      </c>
      <c r="F927" s="23" t="str">
        <f>HYPERLINK("https://www.spark-marketing.ru/Card/Lot/73897902", "Пультовая охрана (КТС) на 2020 год АЗС№ 202,212,218,247 (4 АЗС)")</f>
        <v>Пультовая охрана (КТС) на 2020 год АЗС№ 202,212,218,247 (4 АЗС)</v>
      </c>
      <c r="G927" s="22" t="s">
        <v>204</v>
      </c>
      <c r="H927" s="22" t="s">
        <v>303</v>
      </c>
      <c r="I927" s="26">
        <v>43733.686076388898</v>
      </c>
      <c r="J927" s="28" t="s">
        <v>52</v>
      </c>
      <c r="K927" s="28" t="s">
        <v>52</v>
      </c>
      <c r="L927" s="28" t="s">
        <v>52</v>
      </c>
      <c r="M927" s="28" t="s">
        <v>52</v>
      </c>
      <c r="N927" s="28" t="s">
        <v>52</v>
      </c>
    </row>
    <row r="928" spans="1:14" x14ac:dyDescent="0.15">
      <c r="A928" s="23" t="str">
        <f t="shared" si="22"/>
        <v>ООО "ТАИФ-НК АЗС"</v>
      </c>
      <c r="B928" s="24" t="s">
        <v>301</v>
      </c>
      <c r="C928" s="25">
        <v>4800</v>
      </c>
      <c r="D928" s="22" t="s">
        <v>1713</v>
      </c>
      <c r="E928" s="22" t="s">
        <v>53</v>
      </c>
      <c r="F928" s="23" t="str">
        <f>HYPERLINK("https://www.spark-marketing.ru/Card/Lot/73897907", "Техническое обслуживание ТСО на 2020 год АЗС№ 238 (1 АЗС)")</f>
        <v>Техническое обслуживание ТСО на 2020 год АЗС№ 238 (1 АЗС)</v>
      </c>
      <c r="G928" s="22" t="s">
        <v>204</v>
      </c>
      <c r="H928" s="22" t="s">
        <v>303</v>
      </c>
      <c r="I928" s="26">
        <v>43733.686076388898</v>
      </c>
      <c r="J928" s="28" t="s">
        <v>52</v>
      </c>
      <c r="K928" s="28" t="s">
        <v>52</v>
      </c>
      <c r="L928" s="28" t="s">
        <v>52</v>
      </c>
      <c r="M928" s="28" t="s">
        <v>52</v>
      </c>
      <c r="N928" s="28" t="s">
        <v>52</v>
      </c>
    </row>
    <row r="929" spans="1:14" x14ac:dyDescent="0.15">
      <c r="A929" s="23" t="str">
        <f t="shared" si="22"/>
        <v>ООО "ТАИФ-НК АЗС"</v>
      </c>
      <c r="B929" s="24" t="s">
        <v>301</v>
      </c>
      <c r="C929" s="25">
        <v>28196.639999999999</v>
      </c>
      <c r="D929" s="22" t="s">
        <v>1713</v>
      </c>
      <c r="E929" s="22" t="s">
        <v>53</v>
      </c>
      <c r="F929" s="23" t="str">
        <f>HYPERLINK("https://www.spark-marketing.ru/Card/Lot/73897912", "Пультовая охрана (КТС) на 2020 год АЗС№ 260 (г.Воткинск)")</f>
        <v>Пультовая охрана (КТС) на 2020 год АЗС№ 260 (г.Воткинск)</v>
      </c>
      <c r="G929" s="22" t="s">
        <v>204</v>
      </c>
      <c r="H929" s="22" t="s">
        <v>303</v>
      </c>
      <c r="I929" s="26">
        <v>43733.686076388898</v>
      </c>
      <c r="J929" s="28" t="s">
        <v>52</v>
      </c>
      <c r="K929" s="28" t="s">
        <v>52</v>
      </c>
      <c r="L929" s="28" t="s">
        <v>52</v>
      </c>
      <c r="M929" s="28" t="s">
        <v>52</v>
      </c>
      <c r="N929" s="28" t="s">
        <v>52</v>
      </c>
    </row>
    <row r="930" spans="1:14" x14ac:dyDescent="0.15">
      <c r="A930" s="23" t="str">
        <f t="shared" ref="A930:A935" si="23">HYPERLINK("https://www.spark-marketing.ru/Card/Person/38596", "УСД В РЕСПУБЛИКЕ БУРЯТИЯ")</f>
        <v>УСД В РЕСПУБЛИКЕ БУРЯТИЯ</v>
      </c>
      <c r="B930" s="24" t="s">
        <v>1644</v>
      </c>
      <c r="C930" s="25">
        <v>180000</v>
      </c>
      <c r="D930" s="22" t="s">
        <v>1721</v>
      </c>
      <c r="E930" s="22" t="s">
        <v>208</v>
      </c>
      <c r="F930" s="23" t="str">
        <f t="shared" ref="F930:F935" si="24">HYPERLINK("https://www.spark-marketing.ru/Card/Lot/73892440", "Поставка и установка системы видеонаблюдения для нужд Джидинского районного суда Республики Бурятия")</f>
        <v>Поставка и установка системы видеонаблюдения для нужд Джидинского районного суда Республики Бурятия</v>
      </c>
      <c r="G930" s="22" t="s">
        <v>354</v>
      </c>
      <c r="H930" s="22" t="s">
        <v>354</v>
      </c>
      <c r="I930" s="26">
        <v>43733.650694444397</v>
      </c>
      <c r="J930" s="28" t="s">
        <v>52</v>
      </c>
      <c r="K930" s="28" t="s">
        <v>52</v>
      </c>
      <c r="L930" s="28" t="s">
        <v>52</v>
      </c>
      <c r="M930" s="28" t="s">
        <v>52</v>
      </c>
      <c r="N930" s="28" t="s">
        <v>52</v>
      </c>
    </row>
    <row r="931" spans="1:14" ht="12.75" hidden="1" outlineLevel="1" x14ac:dyDescent="0.2">
      <c r="A931" s="23" t="str">
        <f t="shared" si="23"/>
        <v>УСД В РЕСПУБЛИКЕ БУРЯТИЯ</v>
      </c>
      <c r="B931" s="24" t="s">
        <v>1644</v>
      </c>
      <c r="C931" s="25">
        <v>180000</v>
      </c>
      <c r="D931" s="22" t="s">
        <v>1721</v>
      </c>
      <c r="E931" s="22" t="s">
        <v>208</v>
      </c>
      <c r="F931" s="23" t="str">
        <f t="shared" si="24"/>
        <v>Поставка и установка системы видеонаблюдения для нужд Джидинского районного суда Республики Бурятия</v>
      </c>
      <c r="G931" s="22" t="s">
        <v>354</v>
      </c>
      <c r="H931" s="22" t="s">
        <v>354</v>
      </c>
      <c r="I931" s="26">
        <v>43733.650694444397</v>
      </c>
      <c r="J931" s="23" t="str">
        <f>HYPERLINK("https://www.spark-marketing.ru/Card/Person/734843", "ООО ""АМЕТА""")</f>
        <v>ООО "АМЕТА"</v>
      </c>
      <c r="K931" s="24" t="s">
        <v>1722</v>
      </c>
      <c r="L931" s="22" t="s">
        <v>10</v>
      </c>
      <c r="M931" s="25">
        <v>119321</v>
      </c>
      <c r="N931" s="27">
        <v>0.33710555555555555</v>
      </c>
    </row>
    <row r="932" spans="1:14" hidden="1" outlineLevel="1" x14ac:dyDescent="0.2">
      <c r="A932" s="23" t="str">
        <f t="shared" si="23"/>
        <v>УСД В РЕСПУБЛИКЕ БУРЯТИЯ</v>
      </c>
      <c r="B932" s="24" t="s">
        <v>1644</v>
      </c>
      <c r="C932" s="25">
        <v>180000</v>
      </c>
      <c r="D932" s="22" t="s">
        <v>1721</v>
      </c>
      <c r="E932" s="22" t="s">
        <v>208</v>
      </c>
      <c r="F932" s="23" t="str">
        <f t="shared" si="24"/>
        <v>Поставка и установка системы видеонаблюдения для нужд Джидинского районного суда Республики Бурятия</v>
      </c>
      <c r="G932" s="22" t="s">
        <v>354</v>
      </c>
      <c r="H932" s="22" t="s">
        <v>354</v>
      </c>
      <c r="I932" s="26">
        <v>43733.650694444397</v>
      </c>
      <c r="J932" s="23" t="str">
        <f>HYPERLINK("https://www.spark-marketing.ru/Card/Person/63450", "ООО ""АВТОМАТИКА""")</f>
        <v>ООО "АВТОМАТИКА"</v>
      </c>
      <c r="K932" s="24" t="s">
        <v>1723</v>
      </c>
      <c r="L932" s="28" t="s">
        <v>52</v>
      </c>
      <c r="M932" s="25">
        <v>120221</v>
      </c>
      <c r="N932" s="27">
        <v>0.33210555555555554</v>
      </c>
    </row>
    <row r="933" spans="1:14" hidden="1" outlineLevel="1" x14ac:dyDescent="0.2">
      <c r="A933" s="23" t="str">
        <f t="shared" si="23"/>
        <v>УСД В РЕСПУБЛИКЕ БУРЯТИЯ</v>
      </c>
      <c r="B933" s="24" t="s">
        <v>1644</v>
      </c>
      <c r="C933" s="25">
        <v>180000</v>
      </c>
      <c r="D933" s="22" t="s">
        <v>1721</v>
      </c>
      <c r="E933" s="22" t="s">
        <v>208</v>
      </c>
      <c r="F933" s="23" t="str">
        <f t="shared" si="24"/>
        <v>Поставка и установка системы видеонаблюдения для нужд Джидинского районного суда Республики Бурятия</v>
      </c>
      <c r="G933" s="22" t="s">
        <v>354</v>
      </c>
      <c r="H933" s="22" t="s">
        <v>354</v>
      </c>
      <c r="I933" s="26">
        <v>43733.650694444397</v>
      </c>
      <c r="J933" s="23" t="str">
        <f>HYPERLINK("https://www.spark-marketing.ru/Card/Person/163049", "ООО ""КОРТО-А""")</f>
        <v>ООО "КОРТО-А"</v>
      </c>
      <c r="K933" s="24" t="s">
        <v>1724</v>
      </c>
      <c r="L933" s="28" t="s">
        <v>52</v>
      </c>
      <c r="M933" s="25">
        <v>165000</v>
      </c>
      <c r="N933" s="27">
        <v>8.3333333333333329E-2</v>
      </c>
    </row>
    <row r="934" spans="1:14" hidden="1" outlineLevel="1" x14ac:dyDescent="0.2">
      <c r="A934" s="23" t="str">
        <f t="shared" si="23"/>
        <v>УСД В РЕСПУБЛИКЕ БУРЯТИЯ</v>
      </c>
      <c r="B934" s="24" t="s">
        <v>1644</v>
      </c>
      <c r="C934" s="25">
        <v>180000</v>
      </c>
      <c r="D934" s="22" t="s">
        <v>1721</v>
      </c>
      <c r="E934" s="22" t="s">
        <v>208</v>
      </c>
      <c r="F934" s="23" t="str">
        <f t="shared" si="24"/>
        <v>Поставка и установка системы видеонаблюдения для нужд Джидинского районного суда Республики Бурятия</v>
      </c>
      <c r="G934" s="22" t="s">
        <v>354</v>
      </c>
      <c r="H934" s="22" t="s">
        <v>354</v>
      </c>
      <c r="I934" s="26">
        <v>43733.650694444397</v>
      </c>
      <c r="J934" s="23" t="str">
        <f>HYPERLINK("https://www.spark-marketing.ru/Card/Person/6218217", "ООО ""УНИВЕРСАЛ""")</f>
        <v>ООО "УНИВЕРСАЛ"</v>
      </c>
      <c r="K934" s="24" t="s">
        <v>1725</v>
      </c>
      <c r="L934" s="28" t="s">
        <v>52</v>
      </c>
      <c r="M934" s="25">
        <v>140900</v>
      </c>
      <c r="N934" s="27">
        <v>0.21722222222222223</v>
      </c>
    </row>
    <row r="935" spans="1:14" hidden="1" outlineLevel="1" x14ac:dyDescent="0.2">
      <c r="A935" s="23" t="str">
        <f t="shared" si="23"/>
        <v>УСД В РЕСПУБЛИКЕ БУРЯТИЯ</v>
      </c>
      <c r="B935" s="24" t="s">
        <v>1644</v>
      </c>
      <c r="C935" s="25">
        <v>180000</v>
      </c>
      <c r="D935" s="22" t="s">
        <v>1721</v>
      </c>
      <c r="E935" s="22" t="s">
        <v>208</v>
      </c>
      <c r="F935" s="23" t="str">
        <f t="shared" si="24"/>
        <v>Поставка и установка системы видеонаблюдения для нужд Джидинского районного суда Республики Бурятия</v>
      </c>
      <c r="G935" s="22" t="s">
        <v>354</v>
      </c>
      <c r="H935" s="22" t="s">
        <v>354</v>
      </c>
      <c r="I935" s="26">
        <v>43733.650694444397</v>
      </c>
      <c r="J935" s="23" t="str">
        <f>HYPERLINK("https://www.spark-marketing.ru/Card/Person/6578960", "ООО ""ДАРИ""")</f>
        <v>ООО "ДАРИ"</v>
      </c>
      <c r="K935" s="24" t="s">
        <v>1726</v>
      </c>
      <c r="L935" s="28" t="s">
        <v>52</v>
      </c>
      <c r="M935" s="25">
        <v>165600</v>
      </c>
      <c r="N935" s="27">
        <v>0.08</v>
      </c>
    </row>
    <row r="936" spans="1:14" x14ac:dyDescent="0.15">
      <c r="A936" s="23" t="str">
        <f>HYPERLINK("https://www.spark-marketing.ru/Card/Person/3504", "ФКУ УПРДОР ""КАСПИЙ""")</f>
        <v>ФКУ УПРДОР "КАСПИЙ"</v>
      </c>
      <c r="B936" s="24" t="s">
        <v>1277</v>
      </c>
      <c r="C936" s="25">
        <v>247818624</v>
      </c>
      <c r="D936" s="22" t="s">
        <v>1727</v>
      </c>
      <c r="E936" s="22" t="s">
        <v>59</v>
      </c>
      <c r="F936" s="23" t="str">
        <f>HYPERLINK("https://www.spark-marketing.ru/Card/Lot/73894715", "Расходы на оснащение объектов дорожного хозяйства инженерно-техническими средствами (системами) обеспечения транспортной безопасности")</f>
        <v>Расходы на оснащение объектов дорожного хозяйства инженерно-техническими средствами (системами) обеспечения транспортной безопасности</v>
      </c>
      <c r="G936" s="22" t="s">
        <v>724</v>
      </c>
      <c r="H936" s="22" t="s">
        <v>724</v>
      </c>
      <c r="I936" s="26">
        <v>43733.702511574098</v>
      </c>
      <c r="J936" s="28" t="s">
        <v>52</v>
      </c>
      <c r="K936" s="28" t="s">
        <v>52</v>
      </c>
      <c r="L936" s="28" t="s">
        <v>52</v>
      </c>
      <c r="M936" s="28" t="s">
        <v>52</v>
      </c>
      <c r="N936" s="28" t="s">
        <v>52</v>
      </c>
    </row>
    <row r="937" spans="1:14" x14ac:dyDescent="0.15">
      <c r="A937" s="23" t="str">
        <f>HYPERLINK("https://www.spark-marketing.ru/Card/Person/34337", "ГБУЗ НО ""ДПТД""")</f>
        <v>ГБУЗ НО "ДПТД"</v>
      </c>
      <c r="B937" s="24" t="s">
        <v>1728</v>
      </c>
      <c r="C937" s="25">
        <v>71675.070000000007</v>
      </c>
      <c r="D937" s="22" t="s">
        <v>1729</v>
      </c>
      <c r="E937" s="22" t="s">
        <v>53</v>
      </c>
      <c r="F937" s="23" t="str">
        <f>HYPERLINK("https://www.spark-marketing.ru/Card/Lot/73881765", "Электромонтажные работы и пуско-наладочные работы по подключению бензогенератора и авр для нужд филиала гбуз но ""дптд""-""павловский противотуберкулезный диспансер""")</f>
        <v>Электромонтажные работы и пуско-наладочные работы по подключению бензогенератора и авр для нужд филиала гбуз но "дптд"-"павловский противотуберкулезный диспансер"</v>
      </c>
      <c r="G937" s="22" t="s">
        <v>64</v>
      </c>
      <c r="H937" s="22" t="s">
        <v>1730</v>
      </c>
      <c r="I937" s="26">
        <v>43733.598611111098</v>
      </c>
      <c r="J937" s="28" t="s">
        <v>52</v>
      </c>
      <c r="K937" s="28" t="s">
        <v>52</v>
      </c>
      <c r="L937" s="28" t="s">
        <v>52</v>
      </c>
      <c r="M937" s="28" t="s">
        <v>52</v>
      </c>
      <c r="N937" s="28" t="s">
        <v>52</v>
      </c>
    </row>
    <row r="938" spans="1:14" x14ac:dyDescent="0.15">
      <c r="A938" s="23" t="str">
        <f>HYPERLINK("https://www.spark-marketing.ru/Card/Person/1015991", "ОМВД РОССИИ ПО ГОРОДУ ОБНИНСКУ")</f>
        <v>ОМВД РОССИИ ПО ГОРОДУ ОБНИНСКУ</v>
      </c>
      <c r="B938" s="24" t="s">
        <v>1731</v>
      </c>
      <c r="C938" s="25">
        <v>70319.19</v>
      </c>
      <c r="D938" s="22" t="s">
        <v>1732</v>
      </c>
      <c r="E938" s="22" t="s">
        <v>53</v>
      </c>
      <c r="F938" s="23" t="str">
        <f>HYPERLINK("https://www.spark-marketing.ru/Card/Lot/73881466", "Установка охранной сигнализации")</f>
        <v>Установка охранной сигнализации</v>
      </c>
      <c r="G938" s="22" t="s">
        <v>658</v>
      </c>
      <c r="H938" s="22" t="s">
        <v>659</v>
      </c>
      <c r="I938" s="26">
        <v>43733.622071759302</v>
      </c>
      <c r="J938" s="28" t="s">
        <v>52</v>
      </c>
      <c r="K938" s="28" t="s">
        <v>52</v>
      </c>
      <c r="L938" s="28" t="s">
        <v>52</v>
      </c>
      <c r="M938" s="28" t="s">
        <v>52</v>
      </c>
      <c r="N938" s="28" t="s">
        <v>52</v>
      </c>
    </row>
    <row r="939" spans="1:14" x14ac:dyDescent="0.15">
      <c r="A939" s="23" t="str">
        <f>HYPERLINK("https://www.spark-marketing.ru/Card/Person/813014", "ФКУ ""ГБ МСЭ ПО ЧУВАШСКОЙ РЕСПУБЛИКЕ - ЧУВАШИИ"" МИНТРУДА РОССИИ")</f>
        <v>ФКУ "ГБ МСЭ ПО ЧУВАШСКОЙ РЕСПУБЛИКЕ - ЧУВАШИИ" МИНТРУДА РОССИИ</v>
      </c>
      <c r="B939" s="24" t="s">
        <v>1733</v>
      </c>
      <c r="C939" s="25">
        <v>94282.64</v>
      </c>
      <c r="D939" s="22" t="s">
        <v>1734</v>
      </c>
      <c r="E939" s="22" t="s">
        <v>84</v>
      </c>
      <c r="F939" s="23" t="str">
        <f>HYPERLINK("https://www.spark-marketing.ru/Card/Lot/73881383", "Монтаж, установка, модернизация систем видеонаблюдения, 1 шт")</f>
        <v>Монтаж, установка, модернизация систем видеонаблюдения, 1 шт</v>
      </c>
      <c r="G939" s="22" t="s">
        <v>1137</v>
      </c>
      <c r="H939" s="22" t="s">
        <v>1138</v>
      </c>
      <c r="I939" s="26">
        <v>43733.601909722202</v>
      </c>
      <c r="J939" s="28" t="s">
        <v>52</v>
      </c>
      <c r="K939" s="28" t="s">
        <v>52</v>
      </c>
      <c r="L939" s="28" t="s">
        <v>52</v>
      </c>
      <c r="M939" s="28" t="s">
        <v>52</v>
      </c>
      <c r="N939" s="28" t="s">
        <v>52</v>
      </c>
    </row>
    <row r="940" spans="1:14" x14ac:dyDescent="0.15">
      <c r="A940" s="23" t="str">
        <f t="shared" ref="A940:A956" si="25">HYPERLINK("https://www.spark-marketing.ru/Card/Person/26003", "ГБУЗ ""ГВВ № 1 ДЗМ""")</f>
        <v>ГБУЗ "ГВВ № 1 ДЗМ"</v>
      </c>
      <c r="B940" s="24" t="s">
        <v>1735</v>
      </c>
      <c r="C940" s="25">
        <v>572409.68000000005</v>
      </c>
      <c r="D940" s="22" t="s">
        <v>1736</v>
      </c>
      <c r="E940" s="22" t="s">
        <v>103</v>
      </c>
      <c r="F940" s="23" t="str">
        <f t="shared" ref="F940:F956" si="26">HYPERLINK("https://www.spark-marketing.ru/Card/Lot/73895898", "Оказание услуг по техническому обслуживанию систем видеонаблюдения и охранной сигнализации ГБУЗ ""ГВВ № 1 ДЗМ в 2020 г.")</f>
        <v>Оказание услуг по техническому обслуживанию систем видеонаблюдения и охранной сигнализации ГБУЗ "ГВВ № 1 ДЗМ в 2020 г.</v>
      </c>
      <c r="G940" s="22" t="s">
        <v>55</v>
      </c>
      <c r="H940" s="22" t="s">
        <v>55</v>
      </c>
      <c r="I940" s="26">
        <v>43733.604166666701</v>
      </c>
      <c r="J940" s="28" t="s">
        <v>52</v>
      </c>
      <c r="K940" s="28" t="s">
        <v>52</v>
      </c>
      <c r="L940" s="28" t="s">
        <v>52</v>
      </c>
      <c r="M940" s="28" t="s">
        <v>52</v>
      </c>
      <c r="N940" s="28" t="s">
        <v>52</v>
      </c>
    </row>
    <row r="941" spans="1:14" hidden="1" outlineLevel="1" x14ac:dyDescent="0.2">
      <c r="A941" s="23" t="str">
        <f t="shared" si="25"/>
        <v>ГБУЗ "ГВВ № 1 ДЗМ"</v>
      </c>
      <c r="B941" s="24" t="s">
        <v>1735</v>
      </c>
      <c r="C941" s="25">
        <v>572409.68000000005</v>
      </c>
      <c r="D941" s="22" t="s">
        <v>1736</v>
      </c>
      <c r="E941" s="22" t="s">
        <v>103</v>
      </c>
      <c r="F941" s="23" t="str">
        <f t="shared" si="26"/>
        <v>Оказание услуг по техническому обслуживанию систем видеонаблюдения и охранной сигнализации ГБУЗ "ГВВ № 1 ДЗМ в 2020 г.</v>
      </c>
      <c r="G941" s="22" t="s">
        <v>55</v>
      </c>
      <c r="H941" s="22" t="s">
        <v>55</v>
      </c>
      <c r="I941" s="26">
        <v>43733.604166666701</v>
      </c>
      <c r="J941" s="23" t="str">
        <f>HYPERLINK("https://www.spark-marketing.ru/Card/Person/638519", "ООО ""СТРАЖ""")</f>
        <v>ООО "СТРАЖ"</v>
      </c>
      <c r="K941" s="24" t="s">
        <v>1737</v>
      </c>
      <c r="L941" s="28" t="s">
        <v>52</v>
      </c>
      <c r="M941" s="25">
        <v>57240.26</v>
      </c>
      <c r="N941" s="27">
        <v>0.90000123687635747</v>
      </c>
    </row>
    <row r="942" spans="1:14" hidden="1" outlineLevel="1" x14ac:dyDescent="0.2">
      <c r="A942" s="23" t="str">
        <f t="shared" si="25"/>
        <v>ГБУЗ "ГВВ № 1 ДЗМ"</v>
      </c>
      <c r="B942" s="24" t="s">
        <v>1735</v>
      </c>
      <c r="C942" s="25">
        <v>572409.68000000005</v>
      </c>
      <c r="D942" s="22" t="s">
        <v>1736</v>
      </c>
      <c r="E942" s="22" t="s">
        <v>103</v>
      </c>
      <c r="F942" s="23" t="str">
        <f t="shared" si="26"/>
        <v>Оказание услуг по техническому обслуживанию систем видеонаблюдения и охранной сигнализации ГБУЗ "ГВВ № 1 ДЗМ в 2020 г.</v>
      </c>
      <c r="G942" s="22" t="s">
        <v>55</v>
      </c>
      <c r="H942" s="22" t="s">
        <v>55</v>
      </c>
      <c r="I942" s="26">
        <v>43733.604166666701</v>
      </c>
      <c r="J942" s="23" t="str">
        <f>HYPERLINK("https://www.spark-marketing.ru/Card/Person/6445825", "Судариков Михаил Геннадьевич")</f>
        <v>Судариков Михаил Геннадьевич</v>
      </c>
      <c r="K942" s="24" t="s">
        <v>1219</v>
      </c>
      <c r="L942" s="28" t="s">
        <v>52</v>
      </c>
      <c r="M942" s="25">
        <v>62964.36</v>
      </c>
      <c r="N942" s="27">
        <v>0.89000123128595587</v>
      </c>
    </row>
    <row r="943" spans="1:14" ht="12.75" hidden="1" outlineLevel="1" x14ac:dyDescent="0.2">
      <c r="A943" s="23" t="str">
        <f t="shared" si="25"/>
        <v>ГБУЗ "ГВВ № 1 ДЗМ"</v>
      </c>
      <c r="B943" s="24" t="s">
        <v>1735</v>
      </c>
      <c r="C943" s="25">
        <v>572409.68000000005</v>
      </c>
      <c r="D943" s="22" t="s">
        <v>1736</v>
      </c>
      <c r="E943" s="22" t="s">
        <v>103</v>
      </c>
      <c r="F943" s="23" t="str">
        <f t="shared" si="26"/>
        <v>Оказание услуг по техническому обслуживанию систем видеонаблюдения и охранной сигнализации ГБУЗ "ГВВ № 1 ДЗМ в 2020 г.</v>
      </c>
      <c r="G943" s="22" t="s">
        <v>55</v>
      </c>
      <c r="H943" s="22" t="s">
        <v>55</v>
      </c>
      <c r="I943" s="26">
        <v>43733.604166666701</v>
      </c>
      <c r="J943" s="23" t="str">
        <f>HYPERLINK("https://www.spark-marketing.ru/Card/Person/1368296", "ООО ""КАЙРОС""")</f>
        <v>ООО "КАЙРОС"</v>
      </c>
      <c r="K943" s="24" t="s">
        <v>1738</v>
      </c>
      <c r="L943" s="22" t="s">
        <v>10</v>
      </c>
      <c r="M943" s="25">
        <v>37205.910000000003</v>
      </c>
      <c r="N943" s="27">
        <v>0.93500125644276311</v>
      </c>
    </row>
    <row r="944" spans="1:14" hidden="1" outlineLevel="1" x14ac:dyDescent="0.2">
      <c r="A944" s="23" t="str">
        <f t="shared" si="25"/>
        <v>ГБУЗ "ГВВ № 1 ДЗМ"</v>
      </c>
      <c r="B944" s="24" t="s">
        <v>1735</v>
      </c>
      <c r="C944" s="25">
        <v>572409.68000000005</v>
      </c>
      <c r="D944" s="22" t="s">
        <v>1736</v>
      </c>
      <c r="E944" s="22" t="s">
        <v>103</v>
      </c>
      <c r="F944" s="23" t="str">
        <f t="shared" si="26"/>
        <v>Оказание услуг по техническому обслуживанию систем видеонаблюдения и охранной сигнализации ГБУЗ "ГВВ № 1 ДЗМ в 2020 г.</v>
      </c>
      <c r="G944" s="22" t="s">
        <v>55</v>
      </c>
      <c r="H944" s="22" t="s">
        <v>55</v>
      </c>
      <c r="I944" s="26">
        <v>43733.604166666701</v>
      </c>
      <c r="J944" s="23" t="str">
        <f>HYPERLINK("https://www.spark-marketing.ru/Card/Person/5921742", "ООО ""КСБ""")</f>
        <v>ООО "КСБ"</v>
      </c>
      <c r="K944" s="24" t="s">
        <v>1739</v>
      </c>
      <c r="L944" s="28" t="s">
        <v>52</v>
      </c>
      <c r="M944" s="25">
        <v>452203.42</v>
      </c>
      <c r="N944" s="27">
        <v>0.21000039691851471</v>
      </c>
    </row>
    <row r="945" spans="1:14" hidden="1" outlineLevel="1" x14ac:dyDescent="0.2">
      <c r="A945" s="23" t="str">
        <f t="shared" si="25"/>
        <v>ГБУЗ "ГВВ № 1 ДЗМ"</v>
      </c>
      <c r="B945" s="24" t="s">
        <v>1735</v>
      </c>
      <c r="C945" s="25">
        <v>572409.68000000005</v>
      </c>
      <c r="D945" s="22" t="s">
        <v>1736</v>
      </c>
      <c r="E945" s="22" t="s">
        <v>103</v>
      </c>
      <c r="F945" s="23" t="str">
        <f t="shared" si="26"/>
        <v>Оказание услуг по техническому обслуживанию систем видеонаблюдения и охранной сигнализации ГБУЗ "ГВВ № 1 ДЗМ в 2020 г.</v>
      </c>
      <c r="G945" s="22" t="s">
        <v>55</v>
      </c>
      <c r="H945" s="22" t="s">
        <v>55</v>
      </c>
      <c r="I945" s="26">
        <v>43733.604166666701</v>
      </c>
      <c r="J945" s="23" t="str">
        <f>HYPERLINK("https://www.spark-marketing.ru/Card/Person/61590", "ООО ""ВЕНТПОЖСЕРВИС""")</f>
        <v>ООО "ВЕНТПОЖСЕРВИС"</v>
      </c>
      <c r="K945" s="24" t="s">
        <v>1740</v>
      </c>
      <c r="L945" s="28" t="s">
        <v>52</v>
      </c>
      <c r="M945" s="25">
        <v>40067.96</v>
      </c>
      <c r="N945" s="27">
        <v>0.93000125364756236</v>
      </c>
    </row>
    <row r="946" spans="1:14" hidden="1" outlineLevel="1" x14ac:dyDescent="0.2">
      <c r="A946" s="23" t="str">
        <f t="shared" si="25"/>
        <v>ГБУЗ "ГВВ № 1 ДЗМ"</v>
      </c>
      <c r="B946" s="24" t="s">
        <v>1735</v>
      </c>
      <c r="C946" s="25">
        <v>572409.68000000005</v>
      </c>
      <c r="D946" s="22" t="s">
        <v>1736</v>
      </c>
      <c r="E946" s="22" t="s">
        <v>103</v>
      </c>
      <c r="F946" s="23" t="str">
        <f t="shared" si="26"/>
        <v>Оказание услуг по техническому обслуживанию систем видеонаблюдения и охранной сигнализации ГБУЗ "ГВВ № 1 ДЗМ в 2020 г.</v>
      </c>
      <c r="G946" s="22" t="s">
        <v>55</v>
      </c>
      <c r="H946" s="22" t="s">
        <v>55</v>
      </c>
      <c r="I946" s="26">
        <v>43733.604166666701</v>
      </c>
      <c r="J946" s="23" t="str">
        <f>HYPERLINK("https://www.spark-marketing.ru/Card/Person/711271", "ООО ""СИБ""")</f>
        <v>ООО "СИБ"</v>
      </c>
      <c r="K946" s="24" t="s">
        <v>1741</v>
      </c>
      <c r="L946" s="28" t="s">
        <v>52</v>
      </c>
      <c r="M946" s="25">
        <v>394962.46</v>
      </c>
      <c r="N946" s="27">
        <v>0.3100003829425107</v>
      </c>
    </row>
    <row r="947" spans="1:14" hidden="1" outlineLevel="1" x14ac:dyDescent="0.2">
      <c r="A947" s="23" t="str">
        <f t="shared" si="25"/>
        <v>ГБУЗ "ГВВ № 1 ДЗМ"</v>
      </c>
      <c r="B947" s="24" t="s">
        <v>1735</v>
      </c>
      <c r="C947" s="25">
        <v>572409.68000000005</v>
      </c>
      <c r="D947" s="22" t="s">
        <v>1736</v>
      </c>
      <c r="E947" s="22" t="s">
        <v>103</v>
      </c>
      <c r="F947" s="23" t="str">
        <f t="shared" si="26"/>
        <v>Оказание услуг по техническому обслуживанию систем видеонаблюдения и охранной сигнализации ГБУЗ "ГВВ № 1 ДЗМ в 2020 г.</v>
      </c>
      <c r="G947" s="22" t="s">
        <v>55</v>
      </c>
      <c r="H947" s="22" t="s">
        <v>55</v>
      </c>
      <c r="I947" s="26">
        <v>43733.604166666701</v>
      </c>
      <c r="J947" s="23" t="str">
        <f>HYPERLINK("https://www.spark-marketing.ru/Card/Person/6616157", "Володин Алексей Львович")</f>
        <v>Володин Алексей Львович</v>
      </c>
      <c r="K947" s="24" t="s">
        <v>1742</v>
      </c>
      <c r="L947" s="28" t="s">
        <v>52</v>
      </c>
      <c r="M947" s="25">
        <v>114481.26</v>
      </c>
      <c r="N947" s="27">
        <v>0.8000011809723413</v>
      </c>
    </row>
    <row r="948" spans="1:14" hidden="1" outlineLevel="1" x14ac:dyDescent="0.2">
      <c r="A948" s="23" t="str">
        <f t="shared" si="25"/>
        <v>ГБУЗ "ГВВ № 1 ДЗМ"</v>
      </c>
      <c r="B948" s="24" t="s">
        <v>1735</v>
      </c>
      <c r="C948" s="25">
        <v>572409.68000000005</v>
      </c>
      <c r="D948" s="22" t="s">
        <v>1736</v>
      </c>
      <c r="E948" s="22" t="s">
        <v>103</v>
      </c>
      <c r="F948" s="23" t="str">
        <f t="shared" si="26"/>
        <v>Оказание услуг по техническому обслуживанию систем видеонаблюдения и охранной сигнализации ГБУЗ "ГВВ № 1 ДЗМ в 2020 г.</v>
      </c>
      <c r="G948" s="22" t="s">
        <v>55</v>
      </c>
      <c r="H948" s="22" t="s">
        <v>55</v>
      </c>
      <c r="I948" s="26">
        <v>43733.604166666701</v>
      </c>
      <c r="J948" s="23" t="str">
        <f>HYPERLINK("https://www.spark-marketing.ru/Card/Person/6226724", "ООО ""ИАС24""")</f>
        <v>ООО "ИАС24"</v>
      </c>
      <c r="K948" s="24" t="s">
        <v>1743</v>
      </c>
      <c r="L948" s="28" t="s">
        <v>52</v>
      </c>
      <c r="M948" s="25">
        <v>552375.32999999996</v>
      </c>
      <c r="N948" s="27">
        <v>3.5000019566405659E-2</v>
      </c>
    </row>
    <row r="949" spans="1:14" hidden="1" outlineLevel="1" x14ac:dyDescent="0.2">
      <c r="A949" s="23" t="str">
        <f t="shared" si="25"/>
        <v>ГБУЗ "ГВВ № 1 ДЗМ"</v>
      </c>
      <c r="B949" s="24" t="s">
        <v>1735</v>
      </c>
      <c r="C949" s="25">
        <v>572409.68000000005</v>
      </c>
      <c r="D949" s="22" t="s">
        <v>1736</v>
      </c>
      <c r="E949" s="22" t="s">
        <v>103</v>
      </c>
      <c r="F949" s="23" t="str">
        <f t="shared" si="26"/>
        <v>Оказание услуг по техническому обслуживанию систем видеонаблюдения и охранной сигнализации ГБУЗ "ГВВ № 1 ДЗМ в 2020 г.</v>
      </c>
      <c r="G949" s="22" t="s">
        <v>55</v>
      </c>
      <c r="H949" s="22" t="s">
        <v>55</v>
      </c>
      <c r="I949" s="26">
        <v>43733.604166666701</v>
      </c>
      <c r="J949" s="23" t="str">
        <f>HYPERLINK("https://www.spark-marketing.ru/Card/Person/6458260", "ООО ""АККОРД""")</f>
        <v>ООО "АККОРД"</v>
      </c>
      <c r="K949" s="24" t="s">
        <v>1674</v>
      </c>
      <c r="L949" s="28" t="s">
        <v>52</v>
      </c>
      <c r="M949" s="25">
        <v>320548.74</v>
      </c>
      <c r="N949" s="27">
        <v>0.44000118935794374</v>
      </c>
    </row>
    <row r="950" spans="1:14" hidden="1" outlineLevel="1" x14ac:dyDescent="0.2">
      <c r="A950" s="23" t="str">
        <f t="shared" si="25"/>
        <v>ГБУЗ "ГВВ № 1 ДЗМ"</v>
      </c>
      <c r="B950" s="24" t="s">
        <v>1735</v>
      </c>
      <c r="C950" s="25">
        <v>572409.68000000005</v>
      </c>
      <c r="D950" s="22" t="s">
        <v>1736</v>
      </c>
      <c r="E950" s="22" t="s">
        <v>103</v>
      </c>
      <c r="F950" s="23" t="str">
        <f t="shared" si="26"/>
        <v>Оказание услуг по техническому обслуживанию систем видеонаблюдения и охранной сигнализации ГБУЗ "ГВВ № 1 ДЗМ в 2020 г.</v>
      </c>
      <c r="G950" s="22" t="s">
        <v>55</v>
      </c>
      <c r="H950" s="22" t="s">
        <v>55</v>
      </c>
      <c r="I950" s="26">
        <v>43733.604166666701</v>
      </c>
      <c r="J950" s="23" t="str">
        <f>HYPERLINK("https://www.spark-marketing.ru/Card/Person/5869453", "ООО ""СТРОЙСИТИСЕРВИС""")</f>
        <v>ООО "СТРОЙСИТИСЕРВИС"</v>
      </c>
      <c r="K950" s="24" t="s">
        <v>1744</v>
      </c>
      <c r="L950" s="28" t="s">
        <v>52</v>
      </c>
      <c r="M950" s="25">
        <v>555237.38</v>
      </c>
      <c r="N950" s="27">
        <v>3.0000016771204847E-2</v>
      </c>
    </row>
    <row r="951" spans="1:14" hidden="1" outlineLevel="1" x14ac:dyDescent="0.2">
      <c r="A951" s="23" t="str">
        <f t="shared" si="25"/>
        <v>ГБУЗ "ГВВ № 1 ДЗМ"</v>
      </c>
      <c r="B951" s="24" t="s">
        <v>1735</v>
      </c>
      <c r="C951" s="25">
        <v>572409.68000000005</v>
      </c>
      <c r="D951" s="22" t="s">
        <v>1736</v>
      </c>
      <c r="E951" s="22" t="s">
        <v>103</v>
      </c>
      <c r="F951" s="23" t="str">
        <f t="shared" si="26"/>
        <v>Оказание услуг по техническому обслуживанию систем видеонаблюдения и охранной сигнализации ГБУЗ "ГВВ № 1 ДЗМ в 2020 г.</v>
      </c>
      <c r="G951" s="22" t="s">
        <v>55</v>
      </c>
      <c r="H951" s="22" t="s">
        <v>55</v>
      </c>
      <c r="I951" s="26">
        <v>43733.604166666701</v>
      </c>
      <c r="J951" s="23" t="str">
        <f>HYPERLINK("https://www.spark-marketing.ru/Card/Person/2580989", "ООО ""РОДНИКИ""")</f>
        <v>ООО "РОДНИКИ"</v>
      </c>
      <c r="K951" s="24" t="s">
        <v>1745</v>
      </c>
      <c r="L951" s="28" t="s">
        <v>52</v>
      </c>
      <c r="M951" s="25">
        <v>157411.99</v>
      </c>
      <c r="N951" s="27">
        <v>0.72500117398433928</v>
      </c>
    </row>
    <row r="952" spans="1:14" hidden="1" outlineLevel="1" x14ac:dyDescent="0.2">
      <c r="A952" s="23" t="str">
        <f t="shared" si="25"/>
        <v>ГБУЗ "ГВВ № 1 ДЗМ"</v>
      </c>
      <c r="B952" s="24" t="s">
        <v>1735</v>
      </c>
      <c r="C952" s="25">
        <v>572409.68000000005</v>
      </c>
      <c r="D952" s="22" t="s">
        <v>1736</v>
      </c>
      <c r="E952" s="22" t="s">
        <v>103</v>
      </c>
      <c r="F952" s="23" t="str">
        <f t="shared" si="26"/>
        <v>Оказание услуг по техническому обслуживанию систем видеонаблюдения и охранной сигнализации ГБУЗ "ГВВ № 1 ДЗМ в 2020 г.</v>
      </c>
      <c r="G952" s="22" t="s">
        <v>55</v>
      </c>
      <c r="H952" s="22" t="s">
        <v>55</v>
      </c>
      <c r="I952" s="26">
        <v>43733.604166666701</v>
      </c>
      <c r="J952" s="23" t="str">
        <f>HYPERLINK("https://www.spark-marketing.ru/Card/Person/1844754", "ООО ""ТСБ""")</f>
        <v>ООО "ТСБ"</v>
      </c>
      <c r="K952" s="24" t="s">
        <v>1746</v>
      </c>
      <c r="L952" s="28" t="s">
        <v>52</v>
      </c>
      <c r="M952" s="25">
        <v>200342.72</v>
      </c>
      <c r="N952" s="27">
        <v>0.65000116699633725</v>
      </c>
    </row>
    <row r="953" spans="1:14" hidden="1" outlineLevel="1" x14ac:dyDescent="0.2">
      <c r="A953" s="23" t="str">
        <f t="shared" si="25"/>
        <v>ГБУЗ "ГВВ № 1 ДЗМ"</v>
      </c>
      <c r="B953" s="24" t="s">
        <v>1735</v>
      </c>
      <c r="C953" s="25">
        <v>572409.68000000005</v>
      </c>
      <c r="D953" s="22" t="s">
        <v>1736</v>
      </c>
      <c r="E953" s="22" t="s">
        <v>103</v>
      </c>
      <c r="F953" s="23" t="str">
        <f t="shared" si="26"/>
        <v>Оказание услуг по техническому обслуживанию систем видеонаблюдения и охранной сигнализации ГБУЗ "ГВВ № 1 ДЗМ в 2020 г.</v>
      </c>
      <c r="G953" s="22" t="s">
        <v>55</v>
      </c>
      <c r="H953" s="22" t="s">
        <v>55</v>
      </c>
      <c r="I953" s="26">
        <v>43733.604166666701</v>
      </c>
      <c r="J953" s="23" t="str">
        <f>HYPERLINK("https://www.spark-marketing.ru/Card/Person/6687654", "ООО ""АРТИК СБ""")</f>
        <v>ООО "АРТИК СБ"</v>
      </c>
      <c r="K953" s="24" t="s">
        <v>1747</v>
      </c>
      <c r="L953" s="28" t="s">
        <v>52</v>
      </c>
      <c r="M953" s="25">
        <v>91584.86</v>
      </c>
      <c r="N953" s="27">
        <v>0.84000120333394779</v>
      </c>
    </row>
    <row r="954" spans="1:14" hidden="1" outlineLevel="1" x14ac:dyDescent="0.2">
      <c r="A954" s="23" t="str">
        <f t="shared" si="25"/>
        <v>ГБУЗ "ГВВ № 1 ДЗМ"</v>
      </c>
      <c r="B954" s="24" t="s">
        <v>1735</v>
      </c>
      <c r="C954" s="25">
        <v>572409.68000000005</v>
      </c>
      <c r="D954" s="22" t="s">
        <v>1736</v>
      </c>
      <c r="E954" s="22" t="s">
        <v>103</v>
      </c>
      <c r="F954" s="23" t="str">
        <f t="shared" si="26"/>
        <v>Оказание услуг по техническому обслуживанию систем видеонаблюдения и охранной сигнализации ГБУЗ "ГВВ № 1 ДЗМ в 2020 г.</v>
      </c>
      <c r="G954" s="22" t="s">
        <v>55</v>
      </c>
      <c r="H954" s="22" t="s">
        <v>55</v>
      </c>
      <c r="I954" s="26">
        <v>43733.604166666701</v>
      </c>
      <c r="J954" s="23" t="str">
        <f>HYPERLINK("https://www.spark-marketing.ru/Card/Person/363629", "ООО ""ПРИОРИТЕТ""")</f>
        <v>ООО "ПРИОРИТЕТ"</v>
      </c>
      <c r="K954" s="24" t="s">
        <v>1748</v>
      </c>
      <c r="L954" s="28" t="s">
        <v>52</v>
      </c>
      <c r="M954" s="25">
        <v>226101.15</v>
      </c>
      <c r="N954" s="27">
        <v>0.60500117677954013</v>
      </c>
    </row>
    <row r="955" spans="1:14" hidden="1" outlineLevel="1" x14ac:dyDescent="0.2">
      <c r="A955" s="23" t="str">
        <f t="shared" si="25"/>
        <v>ГБУЗ "ГВВ № 1 ДЗМ"</v>
      </c>
      <c r="B955" s="24" t="s">
        <v>1735</v>
      </c>
      <c r="C955" s="25">
        <v>572409.68000000005</v>
      </c>
      <c r="D955" s="22" t="s">
        <v>1736</v>
      </c>
      <c r="E955" s="22" t="s">
        <v>103</v>
      </c>
      <c r="F955" s="23" t="str">
        <f t="shared" si="26"/>
        <v>Оказание услуг по техническому обслуживанию систем видеонаблюдения и охранной сигнализации ГБУЗ "ГВВ № 1 ДЗМ в 2020 г.</v>
      </c>
      <c r="G955" s="22" t="s">
        <v>55</v>
      </c>
      <c r="H955" s="22" t="s">
        <v>55</v>
      </c>
      <c r="I955" s="26">
        <v>43733.604166666701</v>
      </c>
      <c r="J955" s="23" t="str">
        <f>HYPERLINK("https://www.spark-marketing.ru/Card/Person/6262263", "ООО ""АЛЫЙ ПАРУС ТЕХНО ПРО""")</f>
        <v>ООО "АЛЫЙ ПАРУС ТЕХНО ПРО"</v>
      </c>
      <c r="K955" s="24" t="s">
        <v>1749</v>
      </c>
      <c r="L955" s="28" t="s">
        <v>52</v>
      </c>
      <c r="M955" s="25">
        <v>100171.01</v>
      </c>
      <c r="N955" s="27">
        <v>0.82500119494834534</v>
      </c>
    </row>
    <row r="956" spans="1:14" hidden="1" outlineLevel="1" x14ac:dyDescent="0.2">
      <c r="A956" s="23" t="str">
        <f t="shared" si="25"/>
        <v>ГБУЗ "ГВВ № 1 ДЗМ"</v>
      </c>
      <c r="B956" s="24" t="s">
        <v>1735</v>
      </c>
      <c r="C956" s="25">
        <v>572409.68000000005</v>
      </c>
      <c r="D956" s="22" t="s">
        <v>1736</v>
      </c>
      <c r="E956" s="22" t="s">
        <v>103</v>
      </c>
      <c r="F956" s="23" t="str">
        <f t="shared" si="26"/>
        <v>Оказание услуг по техническому обслуживанию систем видеонаблюдения и охранной сигнализации ГБУЗ "ГВВ № 1 ДЗМ в 2020 г.</v>
      </c>
      <c r="G956" s="22" t="s">
        <v>55</v>
      </c>
      <c r="H956" s="22" t="s">
        <v>55</v>
      </c>
      <c r="I956" s="26">
        <v>43733.604166666701</v>
      </c>
      <c r="J956" s="23" t="str">
        <f>HYPERLINK("https://www.spark-marketing.ru/Card/Person/5970672", "ООО ""ИНЖЕНЕРНЫЕ ТЕХНОЛОГИИ ЗАЩИТЫ""")</f>
        <v>ООО "ИНЖЕНЕРНЫЕ ТЕХНОЛОГИИ ЗАЩИТЫ"</v>
      </c>
      <c r="K956" s="24" t="s">
        <v>1750</v>
      </c>
      <c r="L956" s="28" t="s">
        <v>52</v>
      </c>
      <c r="M956" s="25">
        <v>354893.32</v>
      </c>
      <c r="N956" s="27">
        <v>0.38000119075554417</v>
      </c>
    </row>
    <row r="957" spans="1:14" x14ac:dyDescent="0.15">
      <c r="A957" s="23" t="str">
        <f>HYPERLINK("https://www.spark-marketing.ru/Card/Person/34337", "ГБУЗ НО ""ДПТД""")</f>
        <v>ГБУЗ НО "ДПТД"</v>
      </c>
      <c r="B957" s="24" t="s">
        <v>1728</v>
      </c>
      <c r="C957" s="25">
        <v>71675.070000000007</v>
      </c>
      <c r="D957" s="22" t="s">
        <v>1751</v>
      </c>
      <c r="E957" s="22" t="s">
        <v>53</v>
      </c>
      <c r="F957" s="23" t="str">
        <f>HYPERLINK("https://www.spark-marketing.ru/Card/Lot/73880482", "Электромонтажные работы и пуско-наладочные работы по подключению генератора и авр для нужд филиала гбуз но ""дптд""-""павловский противотуберкулезный диспансер""")</f>
        <v>Электромонтажные работы и пуско-наладочные работы по подключению генератора и авр для нужд филиала гбуз но "дптд"-"павловский противотуберкулезный диспансер"</v>
      </c>
      <c r="G957" s="22" t="s">
        <v>64</v>
      </c>
      <c r="H957" s="22" t="s">
        <v>1730</v>
      </c>
      <c r="I957" s="26">
        <v>43733.584027777797</v>
      </c>
      <c r="J957" s="28" t="s">
        <v>52</v>
      </c>
      <c r="K957" s="28" t="s">
        <v>52</v>
      </c>
      <c r="L957" s="28" t="s">
        <v>52</v>
      </c>
      <c r="M957" s="28" t="s">
        <v>52</v>
      </c>
      <c r="N957" s="28" t="s">
        <v>52</v>
      </c>
    </row>
    <row r="958" spans="1:14" x14ac:dyDescent="0.15">
      <c r="A958" s="23" t="str">
        <f>HYPERLINK("https://www.spark-marketing.ru/Card/Person/4924840", "ЮГО ЗАПАДНЫЙ БАНК ПАО СБЕРБАНК")</f>
        <v>ЮГО ЗАПАДНЫЙ БАНК ПАО СБЕРБАНК</v>
      </c>
      <c r="B958" s="28" t="s">
        <v>52</v>
      </c>
      <c r="C958" s="25">
        <v>6968030.4000000004</v>
      </c>
      <c r="D958" s="22" t="s">
        <v>1752</v>
      </c>
      <c r="E958" s="22" t="s">
        <v>53</v>
      </c>
      <c r="F958" s="23" t="str">
        <f>HYPERLINK("https://www.spark-marketing.ru/Card/Lot/73884000", "Оказание услуг охраны имущества на объектах залогового имущества, принадлежащего ООО «РМНТК-Термические системы» обремененных залогом Юго-Западного банка ПАО Сбербанк, расположенных на территории Республики Коми (1 пост)")</f>
        <v>Оказание услуг охраны имущества на объектах залогового имущества, принадлежащего ООО «РМНТК-Термические системы» обремененных залогом Юго-Западного банка ПАО Сбербанк, расположенных на территории Республики Коми (1 пост)</v>
      </c>
      <c r="G958" s="22" t="s">
        <v>52</v>
      </c>
      <c r="H958" s="22" t="s">
        <v>52</v>
      </c>
      <c r="I958" s="26">
        <v>43733.6069444444</v>
      </c>
      <c r="J958" s="28" t="s">
        <v>52</v>
      </c>
      <c r="K958" s="28" t="s">
        <v>52</v>
      </c>
      <c r="L958" s="28" t="s">
        <v>52</v>
      </c>
      <c r="M958" s="28" t="s">
        <v>52</v>
      </c>
      <c r="N958" s="28" t="s">
        <v>52</v>
      </c>
    </row>
    <row r="959" spans="1:14" x14ac:dyDescent="0.15">
      <c r="A959" s="23" t="str">
        <f>HYPERLINK("https://www.spark-marketing.ru/Card/Person/4924840", "ЮГО ЗАПАДНЫЙ БАНК ПАО СБЕРБАНК")</f>
        <v>ЮГО ЗАПАДНЫЙ БАНК ПАО СБЕРБАНК</v>
      </c>
      <c r="B959" s="28" t="s">
        <v>52</v>
      </c>
      <c r="C959" s="25">
        <v>11430288</v>
      </c>
      <c r="D959" s="22" t="s">
        <v>1753</v>
      </c>
      <c r="E959" s="22" t="s">
        <v>53</v>
      </c>
      <c r="F959" s="23" t="str">
        <f>HYPERLINK("https://www.spark-marketing.ru/Card/Lot/73883999", "Оказание услуг охраны имущества на объектах залогового имущества, принадлежащего ООО «РМНТК-Термические системы» обремененных залогом Юго-Западного банка ПАО Сбербанк")</f>
        <v>Оказание услуг охраны имущества на объектах залогового имущества, принадлежащего ООО «РМНТК-Термические системы» обремененных залогом Юго-Западного банка ПАО Сбербанк</v>
      </c>
      <c r="G959" s="22" t="s">
        <v>52</v>
      </c>
      <c r="H959" s="22" t="s">
        <v>52</v>
      </c>
      <c r="I959" s="26">
        <v>43733.602083333302</v>
      </c>
      <c r="J959" s="28" t="s">
        <v>52</v>
      </c>
      <c r="K959" s="28" t="s">
        <v>52</v>
      </c>
      <c r="L959" s="28" t="s">
        <v>52</v>
      </c>
      <c r="M959" s="28" t="s">
        <v>52</v>
      </c>
      <c r="N959" s="28" t="s">
        <v>52</v>
      </c>
    </row>
    <row r="960" spans="1:14" x14ac:dyDescent="0.15">
      <c r="A960" s="23" t="str">
        <f>HYPERLINK("https://www.spark-marketing.ru/Card/Person/1752950", "ВОЕННОЕ СЛЕДСТВЕННОЕ УПРАВЛЕНИЕ СЛЕДСТВЕННОГО КОМИТЕТА РОССИЙСКОЙ ФЕДЕРАЦИИ ПО БАЛТИЙСКОМУ ФЛОТУ")</f>
        <v>ВОЕННОЕ СЛЕДСТВЕННОЕ УПРАВЛЕНИЕ СЛЕДСТВЕННОГО КОМИТЕТА РОССИЙСКОЙ ФЕДЕРАЦИИ ПО БАЛТИЙСКОМУ ФЛОТУ</v>
      </c>
      <c r="B960" s="24" t="s">
        <v>573</v>
      </c>
      <c r="C960" s="25">
        <v>1049700</v>
      </c>
      <c r="D960" s="22" t="s">
        <v>1754</v>
      </c>
      <c r="E960" s="22" t="s">
        <v>575</v>
      </c>
      <c r="F960" s="23" t="str">
        <f>HYPERLINK("https://www.spark-marketing.ru/Card/Lot/73902500", "Приобретение и установка систем безопасности (видеонаблюдения и СКУД);")</f>
        <v>Приобретение и установка систем безопасности (видеонаблюдения и СКУД);</v>
      </c>
      <c r="G960" s="22" t="s">
        <v>247</v>
      </c>
      <c r="H960" s="22" t="s">
        <v>576</v>
      </c>
      <c r="I960" s="26">
        <v>43733.5936111111</v>
      </c>
      <c r="J960" s="23" t="str">
        <f>HYPERLINK("https://www.spark-marketing.ru/Card/Person/141167", "ООО ""ИНТЕГРАТОР""")</f>
        <v>ООО "ИНТЕГРАТОР"</v>
      </c>
      <c r="K960" s="24" t="s">
        <v>1755</v>
      </c>
      <c r="L960" s="28" t="s">
        <v>52</v>
      </c>
      <c r="M960" s="28" t="s">
        <v>52</v>
      </c>
      <c r="N960" s="28" t="s">
        <v>52</v>
      </c>
    </row>
    <row r="961" spans="1:14" x14ac:dyDescent="0.15">
      <c r="A961" s="23" t="str">
        <f>HYPERLINK("https://www.spark-marketing.ru/Card/Person/57348", "СЕВЕРО-УРАЛЬСКОЕ МУГАДН")</f>
        <v>СЕВЕРО-УРАЛЬСКОЕ МУГАДН</v>
      </c>
      <c r="B961" s="24" t="s">
        <v>1756</v>
      </c>
      <c r="C961" s="25">
        <v>2400</v>
      </c>
      <c r="D961" s="22" t="s">
        <v>1757</v>
      </c>
      <c r="E961" s="22" t="s">
        <v>415</v>
      </c>
      <c r="F961" s="23" t="str">
        <f>HYPERLINK("https://www.spark-marketing.ru/Card/Lot/73880034", "Услуга по сервисному обслуживанию видеорегистратора SEELOCK Inspector A1, 5 шт")</f>
        <v>Услуга по сервисному обслуживанию видеорегистратора SEELOCK Inspector A1, 5 шт</v>
      </c>
      <c r="G961" s="22" t="s">
        <v>893</v>
      </c>
      <c r="H961" s="22" t="s">
        <v>894</v>
      </c>
      <c r="I961" s="26">
        <v>43733.570231481499</v>
      </c>
      <c r="J961" s="28" t="s">
        <v>52</v>
      </c>
      <c r="K961" s="28" t="s">
        <v>52</v>
      </c>
      <c r="L961" s="28" t="s">
        <v>52</v>
      </c>
      <c r="M961" s="28" t="s">
        <v>52</v>
      </c>
      <c r="N961" s="28" t="s">
        <v>52</v>
      </c>
    </row>
    <row r="962" spans="1:14" x14ac:dyDescent="0.15">
      <c r="A962" s="23" t="str">
        <f>HYPERLINK("https://www.spark-marketing.ru/Card/Person/5737", "КЕМЕРОВСКИЙ ОБЛАСТНОЙ СУД")</f>
        <v>КЕМЕРОВСКИЙ ОБЛАСТНОЙ СУД</v>
      </c>
      <c r="B962" s="24" t="s">
        <v>1758</v>
      </c>
      <c r="C962" s="25">
        <v>855503.04</v>
      </c>
      <c r="D962" s="22" t="s">
        <v>1759</v>
      </c>
      <c r="E962" s="22" t="s">
        <v>68</v>
      </c>
      <c r="F962" s="23" t="str">
        <f>HYPERLINK("https://www.spark-marketing.ru/Card/Lot/73900026", "Оказание услуг по охране объектов суда военизированными подразделениями")</f>
        <v>Оказание услуг по охране объектов суда военизированными подразделениями</v>
      </c>
      <c r="G962" s="22" t="s">
        <v>367</v>
      </c>
      <c r="H962" s="22" t="s">
        <v>881</v>
      </c>
      <c r="I962" s="26">
        <v>43733.547222222202</v>
      </c>
      <c r="J962" s="28" t="s">
        <v>52</v>
      </c>
      <c r="K962" s="28" t="s">
        <v>52</v>
      </c>
      <c r="L962" s="28" t="s">
        <v>52</v>
      </c>
      <c r="M962" s="28" t="s">
        <v>52</v>
      </c>
      <c r="N962" s="28" t="s">
        <v>52</v>
      </c>
    </row>
    <row r="963" spans="1:14" ht="12.75" hidden="1" outlineLevel="1" x14ac:dyDescent="0.2">
      <c r="A963" s="23" t="str">
        <f>HYPERLINK("https://www.spark-marketing.ru/Card/Person/5737", "КЕМЕРОВСКИЙ ОБЛАСТНОЙ СУД")</f>
        <v>КЕМЕРОВСКИЙ ОБЛАСТНОЙ СУД</v>
      </c>
      <c r="B963" s="24" t="s">
        <v>1758</v>
      </c>
      <c r="C963" s="25">
        <v>855503.04</v>
      </c>
      <c r="D963" s="22" t="s">
        <v>1759</v>
      </c>
      <c r="E963" s="22" t="s">
        <v>68</v>
      </c>
      <c r="F963" s="23" t="str">
        <f>HYPERLINK("https://www.spark-marketing.ru/Card/Lot/73900026", "Оказание услуг по охране объектов суда военизированными подразделениями")</f>
        <v>Оказание услуг по охране объектов суда военизированными подразделениями</v>
      </c>
      <c r="G963" s="22" t="s">
        <v>367</v>
      </c>
      <c r="H963" s="22" t="s">
        <v>881</v>
      </c>
      <c r="I963" s="26">
        <v>43733.547222222202</v>
      </c>
      <c r="J963" s="23" t="str">
        <f>HYPERLINK("https://www.spark-marketing.ru/Card/Person/289542", "ФГКУ ""УВО ВНГ РОССИИ ПО КЕМЕРОВСКОЙ ОБЛАСТИ""")</f>
        <v>ФГКУ "УВО ВНГ РОССИИ ПО КЕМЕРОВСКОЙ ОБЛАСТИ"</v>
      </c>
      <c r="K963" s="24" t="s">
        <v>1760</v>
      </c>
      <c r="L963" s="22" t="s">
        <v>10</v>
      </c>
      <c r="M963" s="25">
        <v>598851.83999999997</v>
      </c>
      <c r="N963" s="27">
        <v>0.30000033664404047</v>
      </c>
    </row>
    <row r="964" spans="1:14" hidden="1" outlineLevel="1" x14ac:dyDescent="0.2">
      <c r="A964" s="23" t="str">
        <f>HYPERLINK("https://www.spark-marketing.ru/Card/Person/5737", "КЕМЕРОВСКИЙ ОБЛАСТНОЙ СУД")</f>
        <v>КЕМЕРОВСКИЙ ОБЛАСТНОЙ СУД</v>
      </c>
      <c r="B964" s="24" t="s">
        <v>1758</v>
      </c>
      <c r="C964" s="25">
        <v>855503.04</v>
      </c>
      <c r="D964" s="22" t="s">
        <v>1759</v>
      </c>
      <c r="E964" s="22" t="s">
        <v>68</v>
      </c>
      <c r="F964" s="23" t="str">
        <f>HYPERLINK("https://www.spark-marketing.ru/Card/Lot/73900026", "Оказание услуг по охране объектов суда военизированными подразделениями")</f>
        <v>Оказание услуг по охране объектов суда военизированными подразделениями</v>
      </c>
      <c r="G964" s="22" t="s">
        <v>367</v>
      </c>
      <c r="H964" s="22" t="s">
        <v>881</v>
      </c>
      <c r="I964" s="26">
        <v>43733.547222222202</v>
      </c>
      <c r="J964" s="23" t="str">
        <f>HYPERLINK("https://www.spark-marketing.ru/Card/Person/4623558", "Филиал ФГП ""Ведомственная охрана железнодорожного транспорта Российской Федерации"" на Зап-Сиб ж д")</f>
        <v>Филиал ФГП "Ведомственная охрана железнодорожного транспорта Российской Федерации" на Зап-Сиб ж д</v>
      </c>
      <c r="K964" s="24" t="s">
        <v>1269</v>
      </c>
      <c r="L964" s="28" t="s">
        <v>52</v>
      </c>
      <c r="M964" s="25">
        <v>603129.36</v>
      </c>
      <c r="N964" s="27">
        <v>0.29500033103330642</v>
      </c>
    </row>
    <row r="965" spans="1:14" x14ac:dyDescent="0.15">
      <c r="A965" s="23" t="str">
        <f>HYPERLINK("https://www.spark-marketing.ru/Card/Person/4347064", "ЗАКОНОДАТЕЛЬНОЕ СОБРАНИЕ САНКТ-ПЕТЕРБУРГА")</f>
        <v>ЗАКОНОДАТЕЛЬНОЕ СОБРАНИЕ САНКТ-ПЕТЕРБУРГА</v>
      </c>
      <c r="B965" s="24" t="s">
        <v>1761</v>
      </c>
      <c r="C965" s="25">
        <v>35276720.130000003</v>
      </c>
      <c r="D965" s="22" t="s">
        <v>1762</v>
      </c>
      <c r="E965" s="22" t="s">
        <v>68</v>
      </c>
      <c r="F965" s="23" t="str">
        <f>HYPERLINK("https://www.spark-marketing.ru/Card/Lot/73937920", "Оказание услуг по охране Законодательного Собрания Санкт-Петербурга")</f>
        <v>Оказание услуг по охране Законодательного Собрания Санкт-Петербурга</v>
      </c>
      <c r="G965" s="22" t="s">
        <v>89</v>
      </c>
      <c r="H965" s="22" t="s">
        <v>89</v>
      </c>
      <c r="I965" s="26">
        <v>43733.5758333333</v>
      </c>
      <c r="J965" s="28" t="s">
        <v>52</v>
      </c>
      <c r="K965" s="28" t="s">
        <v>52</v>
      </c>
      <c r="L965" s="28" t="s">
        <v>52</v>
      </c>
      <c r="M965" s="28" t="s">
        <v>52</v>
      </c>
      <c r="N965" s="28" t="s">
        <v>52</v>
      </c>
    </row>
    <row r="966" spans="1:14" x14ac:dyDescent="0.15">
      <c r="A966" s="23" t="str">
        <f>HYPERLINK("https://www.spark-marketing.ru/Card/Person/110866", "АО ""НЗХК-ИНЖИНИРИНГ""")</f>
        <v>АО "НЗХК-ИНЖИНИРИНГ"</v>
      </c>
      <c r="B966" s="24" t="s">
        <v>1763</v>
      </c>
      <c r="C966" s="28" t="s">
        <v>52</v>
      </c>
      <c r="D966" s="22" t="s">
        <v>1764</v>
      </c>
      <c r="E966" s="22" t="s">
        <v>59</v>
      </c>
      <c r="F966" s="23" t="str">
        <f>HYPERLINK("https://www.spark-marketing.ru/Card/Lot/73884651", "Запрос ТКП на оказание услуг по установке интегрированной охранной сигнализации")</f>
        <v>Запрос ТКП на оказание услуг по установке интегрированной охранной сигнализации</v>
      </c>
      <c r="G966" s="22" t="s">
        <v>209</v>
      </c>
      <c r="H966" s="22" t="s">
        <v>210</v>
      </c>
      <c r="I966" s="26">
        <v>43733.511863425898</v>
      </c>
      <c r="J966" s="28" t="s">
        <v>52</v>
      </c>
      <c r="K966" s="28" t="s">
        <v>52</v>
      </c>
      <c r="L966" s="28" t="s">
        <v>52</v>
      </c>
      <c r="M966" s="28" t="s">
        <v>52</v>
      </c>
      <c r="N966" s="28" t="s">
        <v>52</v>
      </c>
    </row>
    <row r="967" spans="1:14" x14ac:dyDescent="0.15">
      <c r="A967" s="23" t="str">
        <f>HYPERLINK("https://www.spark-marketing.ru/Card/Person/1016254", "МОМВД РОССИИ ""СУХИНИЧСКИЙ""")</f>
        <v>МОМВД РОССИИ "СУХИНИЧСКИЙ"</v>
      </c>
      <c r="B967" s="24" t="s">
        <v>1017</v>
      </c>
      <c r="C967" s="25">
        <v>36381.83</v>
      </c>
      <c r="D967" s="22" t="s">
        <v>1765</v>
      </c>
      <c r="E967" s="22" t="s">
        <v>68</v>
      </c>
      <c r="F967" s="23" t="str">
        <f>HYPERLINK("https://www.spark-marketing.ru/Card/Lot/73876371", "Услуги, связанные с обеспечением общественного порядка и безопасности прочие, 1 усл. ед")</f>
        <v>Услуги, связанные с обеспечением общественного порядка и безопасности прочие, 1 усл. ед</v>
      </c>
      <c r="G967" s="22" t="s">
        <v>658</v>
      </c>
      <c r="H967" s="22" t="s">
        <v>1019</v>
      </c>
      <c r="I967" s="26">
        <v>43733.512766203698</v>
      </c>
      <c r="J967" s="28" t="s">
        <v>52</v>
      </c>
      <c r="K967" s="28" t="s">
        <v>52</v>
      </c>
      <c r="L967" s="28" t="s">
        <v>52</v>
      </c>
      <c r="M967" s="28" t="s">
        <v>52</v>
      </c>
      <c r="N967" s="28" t="s">
        <v>52</v>
      </c>
    </row>
    <row r="968" spans="1:14" x14ac:dyDescent="0.15">
      <c r="A968" s="23" t="str">
        <f>HYPERLINK("https://www.spark-marketing.ru/Card/Person/110866", "АО ""НЗХК-ИНЖИНИРИНГ""")</f>
        <v>АО "НЗХК-ИНЖИНИРИНГ"</v>
      </c>
      <c r="B968" s="24" t="s">
        <v>1763</v>
      </c>
      <c r="C968" s="25">
        <v>0</v>
      </c>
      <c r="D968" s="22" t="s">
        <v>1766</v>
      </c>
      <c r="E968" s="22" t="s">
        <v>53</v>
      </c>
      <c r="F968" s="23" t="str">
        <f>HYPERLINK("https://www.spark-marketing.ru/Card/Lot/73881851", "мониторинг цен в электронной форме на Запрос ТКП на оказание услуг по установке интегрированной охранной сигнализации")</f>
        <v>мониторинг цен в электронной форме на Запрос ТКП на оказание услуг по установке интегрированной охранной сигнализации</v>
      </c>
      <c r="G968" s="22" t="s">
        <v>209</v>
      </c>
      <c r="H968" s="22" t="s">
        <v>210</v>
      </c>
      <c r="I968" s="26">
        <v>43733.511759259301</v>
      </c>
      <c r="J968" s="28" t="s">
        <v>52</v>
      </c>
      <c r="K968" s="28" t="s">
        <v>52</v>
      </c>
      <c r="L968" s="28" t="s">
        <v>52</v>
      </c>
      <c r="M968" s="28" t="s">
        <v>52</v>
      </c>
      <c r="N968" s="28" t="s">
        <v>52</v>
      </c>
    </row>
    <row r="969" spans="1:14" x14ac:dyDescent="0.15">
      <c r="A969" s="23" t="str">
        <f>HYPERLINK("https://www.spark-marketing.ru/Card/Person/131474", "МКУ ""УМТО""")</f>
        <v>МКУ "УМТО"</v>
      </c>
      <c r="B969" s="24" t="s">
        <v>1463</v>
      </c>
      <c r="C969" s="25">
        <v>53445.33</v>
      </c>
      <c r="D969" s="22" t="s">
        <v>1767</v>
      </c>
      <c r="E969" s="22" t="s">
        <v>1768</v>
      </c>
      <c r="F969" s="23" t="str">
        <f>HYPERLINK("https://www.spark-marketing.ru/Card/Lot/73881016", "На поставку и установку системы видеонаблюдения в здании администрации Нижневартовского района")</f>
        <v>На поставку и установку системы видеонаблюдения в здании администрации Нижневартовского района</v>
      </c>
      <c r="G969" s="22" t="s">
        <v>119</v>
      </c>
      <c r="H969" s="22" t="s">
        <v>119</v>
      </c>
      <c r="I969" s="26">
        <v>43733.506944444402</v>
      </c>
      <c r="J969" s="28" t="s">
        <v>52</v>
      </c>
      <c r="K969" s="28" t="s">
        <v>52</v>
      </c>
      <c r="L969" s="28" t="s">
        <v>52</v>
      </c>
      <c r="M969" s="28" t="s">
        <v>52</v>
      </c>
      <c r="N969" s="28" t="s">
        <v>52</v>
      </c>
    </row>
    <row r="970" spans="1:14" x14ac:dyDescent="0.15">
      <c r="A970" s="23" t="str">
        <f>HYPERLINK("https://www.spark-marketing.ru/Card/Person/29330", "МКУ ""УКХ""")</f>
        <v>МКУ "УКХ"</v>
      </c>
      <c r="B970" s="24" t="s">
        <v>1769</v>
      </c>
      <c r="C970" s="25">
        <v>39893.17</v>
      </c>
      <c r="D970" s="22" t="s">
        <v>1770</v>
      </c>
      <c r="E970" s="22" t="s">
        <v>59</v>
      </c>
      <c r="F970" s="23" t="str">
        <f>HYPERLINK("https://www.spark-marketing.ru/Card/Lot/73880868", "Выполнение работ по установке шкафа учёта уличного освещения ТП-1846 ул. Чайковского в г.Карпинске")</f>
        <v>Выполнение работ по установке шкафа учёта уличного освещения ТП-1846 ул. Чайковского в г.Карпинске</v>
      </c>
      <c r="G970" s="22" t="s">
        <v>72</v>
      </c>
      <c r="H970" s="22" t="s">
        <v>1771</v>
      </c>
      <c r="I970" s="26">
        <v>43733.540972222203</v>
      </c>
      <c r="J970" s="23" t="str">
        <f>HYPERLINK("https://www.spark-marketing.ru/Card/Person/1490149", "Кожухов Анатолий Александрович")</f>
        <v>Кожухов Анатолий Александрович</v>
      </c>
      <c r="K970" s="24" t="s">
        <v>1772</v>
      </c>
      <c r="L970" s="22" t="s">
        <v>10</v>
      </c>
      <c r="M970" s="28" t="s">
        <v>52</v>
      </c>
      <c r="N970" s="28" t="s">
        <v>52</v>
      </c>
    </row>
    <row r="971" spans="1:14" x14ac:dyDescent="0.15">
      <c r="A971" s="23" t="str">
        <f>HYPERLINK("https://www.spark-marketing.ru/Card/Person/167058", "УПРАВЛЕНИЕ МИНЮСТА РОССИИ ПО РЕСПУБЛИКЕ МОРДОВИЯ")</f>
        <v>УПРАВЛЕНИЕ МИНЮСТА РОССИИ ПО РЕСПУБЛИКЕ МОРДОВИЯ</v>
      </c>
      <c r="B971" s="24" t="s">
        <v>863</v>
      </c>
      <c r="C971" s="25">
        <v>275211.2</v>
      </c>
      <c r="D971" s="22" t="s">
        <v>1773</v>
      </c>
      <c r="E971" s="22" t="s">
        <v>68</v>
      </c>
      <c r="F971" s="23" t="str">
        <f>HYPERLINK("https://www.spark-marketing.ru/Card/Lot/73875598", "Услуги, связанные с обеспечением общественного порядка и безопасности прочие, 1672 усл. ед")</f>
        <v>Услуги, связанные с обеспечением общественного порядка и безопасности прочие, 1672 усл. ед</v>
      </c>
      <c r="G971" s="22" t="s">
        <v>331</v>
      </c>
      <c r="H971" s="22" t="s">
        <v>332</v>
      </c>
      <c r="I971" s="26">
        <v>43733.500821759299</v>
      </c>
      <c r="J971" s="28" t="s">
        <v>52</v>
      </c>
      <c r="K971" s="28" t="s">
        <v>52</v>
      </c>
      <c r="L971" s="28" t="s">
        <v>52</v>
      </c>
      <c r="M971" s="28" t="s">
        <v>52</v>
      </c>
      <c r="N971" s="28" t="s">
        <v>52</v>
      </c>
    </row>
    <row r="972" spans="1:14" x14ac:dyDescent="0.15">
      <c r="A972" s="23" t="str">
        <f>HYPERLINK("https://www.spark-marketing.ru/Card/Person/319744", "ОМВД РОССИИ ПО НОВООСКОЛЬСКОМУ ГОРОДСКОМУ ОКРУГУ")</f>
        <v>ОМВД РОССИИ ПО НОВООСКОЛЬСКОМУ ГОРОДСКОМУ ОКРУГУ</v>
      </c>
      <c r="B972" s="24" t="s">
        <v>1774</v>
      </c>
      <c r="C972" s="25">
        <v>14500</v>
      </c>
      <c r="D972" s="22" t="s">
        <v>1775</v>
      </c>
      <c r="E972" s="22" t="s">
        <v>53</v>
      </c>
      <c r="F972" s="23" t="str">
        <f>HYPERLINK("https://www.spark-marketing.ru/Card/Lot/73877398", "поставка и установка магнитного замка для нужд ОМВД России по Новооскольскому городскому округу")</f>
        <v>поставка и установка магнитного замка для нужд ОМВД России по Новооскольскому городскому округу</v>
      </c>
      <c r="G972" s="22" t="s">
        <v>176</v>
      </c>
      <c r="H972" s="22" t="s">
        <v>1776</v>
      </c>
      <c r="I972" s="26">
        <v>43733.519305555601</v>
      </c>
      <c r="J972" s="28" t="s">
        <v>52</v>
      </c>
      <c r="K972" s="28" t="s">
        <v>52</v>
      </c>
      <c r="L972" s="28" t="s">
        <v>52</v>
      </c>
      <c r="M972" s="28" t="s">
        <v>52</v>
      </c>
      <c r="N972" s="28" t="s">
        <v>52</v>
      </c>
    </row>
    <row r="973" spans="1:14" x14ac:dyDescent="0.15">
      <c r="A973" s="23" t="str">
        <f>HYPERLINK("https://www.spark-marketing.ru/Card/Person/20081", "ЕЛАБУЖСКОЕ СУВОРОВСКОЕ ВОЕННОЕ УЧИЛИЩЕ МВД РОССИИ, ФГКОУ ЕСВУ МВД РОССИИ, ЕЛАБУЖСКОЕ СВУ МВД РОССИИ")</f>
        <v>ЕЛАБУЖСКОЕ СУВОРОВСКОЕ ВОЕННОЕ УЧИЛИЩЕ МВД РОССИИ, ФГКОУ ЕСВУ МВД РОССИИ, ЕЛАБУЖСКОЕ СВУ МВД РОССИИ</v>
      </c>
      <c r="B973" s="24" t="s">
        <v>1777</v>
      </c>
      <c r="C973" s="25">
        <v>14302.56</v>
      </c>
      <c r="D973" s="22" t="s">
        <v>1778</v>
      </c>
      <c r="E973" s="22" t="s">
        <v>53</v>
      </c>
      <c r="F973" s="23" t="str">
        <f>HYPERLINK("https://www.spark-marketing.ru/Card/Lot/73875930", "обслуживание средств охраны")</f>
        <v>обслуживание средств охраны</v>
      </c>
      <c r="G973" s="22" t="s">
        <v>204</v>
      </c>
      <c r="H973" s="22" t="s">
        <v>1779</v>
      </c>
      <c r="I973" s="26">
        <v>43733.490601851903</v>
      </c>
      <c r="J973" s="28" t="s">
        <v>52</v>
      </c>
      <c r="K973" s="28" t="s">
        <v>52</v>
      </c>
      <c r="L973" s="28" t="s">
        <v>52</v>
      </c>
      <c r="M973" s="28" t="s">
        <v>52</v>
      </c>
      <c r="N973" s="28" t="s">
        <v>52</v>
      </c>
    </row>
    <row r="974" spans="1:14" x14ac:dyDescent="0.15">
      <c r="A974" s="23" t="str">
        <f>HYPERLINK("https://www.spark-marketing.ru/Card/Person/66022", "АРБИТРАЖНЫЙ СУД НОВГОРОДСКОЙ ОБЛАСТИ")</f>
        <v>АРБИТРАЖНЫЙ СУД НОВГОРОДСКОЙ ОБЛАСТИ</v>
      </c>
      <c r="B974" s="24" t="s">
        <v>1780</v>
      </c>
      <c r="C974" s="25">
        <v>260715.3</v>
      </c>
      <c r="D974" s="22" t="s">
        <v>1781</v>
      </c>
      <c r="E974" s="22" t="s">
        <v>68</v>
      </c>
      <c r="F974" s="23" t="str">
        <f>HYPERLINK("https://www.spark-marketing.ru/Card/Lot/73893111", "Услуги по охране здания")</f>
        <v>Услуги по охране здания</v>
      </c>
      <c r="G974" s="22" t="s">
        <v>959</v>
      </c>
      <c r="H974" s="22" t="s">
        <v>960</v>
      </c>
      <c r="I974" s="26">
        <v>43733.442361111098</v>
      </c>
      <c r="J974" s="23" t="str">
        <f>HYPERLINK("https://www.spark-marketing.ru/Card/Person/510681", "ФЛ ФГУП ""Охрана"" Росгвардии по Новгородской области")</f>
        <v>ФЛ ФГУП "Охрана" Росгвардии по Новгородской области</v>
      </c>
      <c r="K974" s="24" t="s">
        <v>779</v>
      </c>
      <c r="L974" s="22" t="s">
        <v>10</v>
      </c>
      <c r="M974" s="28" t="s">
        <v>52</v>
      </c>
      <c r="N974" s="28" t="s">
        <v>52</v>
      </c>
    </row>
    <row r="975" spans="1:14" x14ac:dyDescent="0.15">
      <c r="A975" s="23" t="str">
        <f t="shared" ref="A975:A983" si="27">HYPERLINK("https://www.spark-marketing.ru/Card/Person/36794", "МБУЗ ""ДЕТСКАЯ ГОРОДСКАЯ ПОЛИКЛИНИКА №17 Г. РОСТОВА-НА-ДОНУ""")</f>
        <v>МБУЗ "ДЕТСКАЯ ГОРОДСКАЯ ПОЛИКЛИНИКА №17 Г. РОСТОВА-НА-ДОНУ"</v>
      </c>
      <c r="B975" s="24" t="s">
        <v>1782</v>
      </c>
      <c r="C975" s="25">
        <v>120507.96</v>
      </c>
      <c r="D975" s="22" t="s">
        <v>1783</v>
      </c>
      <c r="E975" s="22" t="s">
        <v>103</v>
      </c>
      <c r="F975" s="23" t="str">
        <f t="shared" ref="F975:F983" si="28">HYPERLINK("https://www.spark-marketing.ru/Card/Lot/73888687", "Оказание услуг по техническому обслуживанию системы видеонаблюдения на объектах МБУЗ «Детская городская поликлиника №17 г. Ростова-на-Дону» в 2020 году.")</f>
        <v>Оказание услуг по техническому обслуживанию системы видеонаблюдения на объектах МБУЗ «Детская городская поликлиника №17 г. Ростова-на-Дону» в 2020 году.</v>
      </c>
      <c r="G975" s="22" t="s">
        <v>402</v>
      </c>
      <c r="H975" s="22" t="s">
        <v>403</v>
      </c>
      <c r="I975" s="26">
        <v>43733.422916666699</v>
      </c>
      <c r="J975" s="28" t="s">
        <v>52</v>
      </c>
      <c r="K975" s="28" t="s">
        <v>52</v>
      </c>
      <c r="L975" s="28" t="s">
        <v>52</v>
      </c>
      <c r="M975" s="28" t="s">
        <v>52</v>
      </c>
      <c r="N975" s="28" t="s">
        <v>52</v>
      </c>
    </row>
    <row r="976" spans="1:14" hidden="1" outlineLevel="1" x14ac:dyDescent="0.2">
      <c r="A976" s="23" t="str">
        <f t="shared" si="27"/>
        <v>МБУЗ "ДЕТСКАЯ ГОРОДСКАЯ ПОЛИКЛИНИКА №17 Г. РОСТОВА-НА-ДОНУ"</v>
      </c>
      <c r="B976" s="24" t="s">
        <v>1782</v>
      </c>
      <c r="C976" s="25">
        <v>120507.96</v>
      </c>
      <c r="D976" s="22" t="s">
        <v>1783</v>
      </c>
      <c r="E976" s="22" t="s">
        <v>103</v>
      </c>
      <c r="F976" s="23" t="str">
        <f t="shared" si="28"/>
        <v>Оказание услуг по техническому обслуживанию системы видеонаблюдения на объектах МБУЗ «Детская городская поликлиника №17 г. Ростова-на-Дону» в 2020 году.</v>
      </c>
      <c r="G976" s="22" t="s">
        <v>402</v>
      </c>
      <c r="H976" s="22" t="s">
        <v>403</v>
      </c>
      <c r="I976" s="26">
        <v>43733.422916666699</v>
      </c>
      <c r="J976" s="23" t="str">
        <f>HYPERLINK("https://www.spark-marketing.ru/Card/Person/6483631", "Латоненко Сергей Викторович")</f>
        <v>Латоненко Сергей Викторович</v>
      </c>
      <c r="K976" s="24" t="s">
        <v>1784</v>
      </c>
      <c r="L976" s="28" t="s">
        <v>52</v>
      </c>
      <c r="M976" s="25">
        <v>59702.22</v>
      </c>
      <c r="N976" s="27">
        <v>0.50457861870701326</v>
      </c>
    </row>
    <row r="977" spans="1:14" hidden="1" outlineLevel="1" x14ac:dyDescent="0.2">
      <c r="A977" s="23" t="str">
        <f t="shared" si="27"/>
        <v>МБУЗ "ДЕТСКАЯ ГОРОДСКАЯ ПОЛИКЛИНИКА №17 Г. РОСТОВА-НА-ДОНУ"</v>
      </c>
      <c r="B977" s="24" t="s">
        <v>1782</v>
      </c>
      <c r="C977" s="25">
        <v>120507.96</v>
      </c>
      <c r="D977" s="22" t="s">
        <v>1783</v>
      </c>
      <c r="E977" s="22" t="s">
        <v>103</v>
      </c>
      <c r="F977" s="23" t="str">
        <f t="shared" si="28"/>
        <v>Оказание услуг по техническому обслуживанию системы видеонаблюдения на объектах МБУЗ «Детская городская поликлиника №17 г. Ростова-на-Дону» в 2020 году.</v>
      </c>
      <c r="G977" s="22" t="s">
        <v>402</v>
      </c>
      <c r="H977" s="22" t="s">
        <v>403</v>
      </c>
      <c r="I977" s="26">
        <v>43733.422916666699</v>
      </c>
      <c r="J977" s="23" t="str">
        <f>HYPERLINK("https://www.spark-marketing.ru/Card/Person/423209", "ООО ""ПРОФЕССИОНАЛ СБ""")</f>
        <v>ООО "ПРОФЕССИОНАЛ СБ"</v>
      </c>
      <c r="K977" s="24" t="s">
        <v>1785</v>
      </c>
      <c r="L977" s="28" t="s">
        <v>52</v>
      </c>
      <c r="M977" s="25">
        <v>109059.7</v>
      </c>
      <c r="N977" s="27">
        <v>9.5000031533186688E-2</v>
      </c>
    </row>
    <row r="978" spans="1:14" hidden="1" outlineLevel="1" x14ac:dyDescent="0.2">
      <c r="A978" s="23" t="str">
        <f t="shared" si="27"/>
        <v>МБУЗ "ДЕТСКАЯ ГОРОДСКАЯ ПОЛИКЛИНИКА №17 Г. РОСТОВА-НА-ДОНУ"</v>
      </c>
      <c r="B978" s="24" t="s">
        <v>1782</v>
      </c>
      <c r="C978" s="25">
        <v>120507.96</v>
      </c>
      <c r="D978" s="22" t="s">
        <v>1783</v>
      </c>
      <c r="E978" s="22" t="s">
        <v>103</v>
      </c>
      <c r="F978" s="23" t="str">
        <f t="shared" si="28"/>
        <v>Оказание услуг по техническому обслуживанию системы видеонаблюдения на объектах МБУЗ «Детская городская поликлиника №17 г. Ростова-на-Дону» в 2020 году.</v>
      </c>
      <c r="G978" s="22" t="s">
        <v>402</v>
      </c>
      <c r="H978" s="22" t="s">
        <v>403</v>
      </c>
      <c r="I978" s="26">
        <v>43733.422916666699</v>
      </c>
      <c r="J978" s="23" t="str">
        <f>HYPERLINK("https://www.spark-marketing.ru/Card/Person/6508039", "ООО ""РОСТБЕЗОПАСНОСТЬ""")</f>
        <v>ООО "РОСТБЕЗОПАСНОСТЬ"</v>
      </c>
      <c r="K978" s="24" t="s">
        <v>1786</v>
      </c>
      <c r="L978" s="28" t="s">
        <v>52</v>
      </c>
      <c r="M978" s="25">
        <v>36831.1</v>
      </c>
      <c r="N978" s="27">
        <v>0.69436790731500231</v>
      </c>
    </row>
    <row r="979" spans="1:14" hidden="1" outlineLevel="1" x14ac:dyDescent="0.2">
      <c r="A979" s="23" t="str">
        <f t="shared" si="27"/>
        <v>МБУЗ "ДЕТСКАЯ ГОРОДСКАЯ ПОЛИКЛИНИКА №17 Г. РОСТОВА-НА-ДОНУ"</v>
      </c>
      <c r="B979" s="24" t="s">
        <v>1782</v>
      </c>
      <c r="C979" s="25">
        <v>120507.96</v>
      </c>
      <c r="D979" s="22" t="s">
        <v>1783</v>
      </c>
      <c r="E979" s="22" t="s">
        <v>103</v>
      </c>
      <c r="F979" s="23" t="str">
        <f t="shared" si="28"/>
        <v>Оказание услуг по техническому обслуживанию системы видеонаблюдения на объектах МБУЗ «Детская городская поликлиника №17 г. Ростова-на-Дону» в 2020 году.</v>
      </c>
      <c r="G979" s="22" t="s">
        <v>402</v>
      </c>
      <c r="H979" s="22" t="s">
        <v>403</v>
      </c>
      <c r="I979" s="26">
        <v>43733.422916666699</v>
      </c>
      <c r="J979" s="23" t="str">
        <f>HYPERLINK("https://www.spark-marketing.ru/Card/Person/6400733", "Калашников Дмитрий Владимирович")</f>
        <v>Калашников Дмитрий Владимирович</v>
      </c>
      <c r="K979" s="24" t="s">
        <v>1787</v>
      </c>
      <c r="L979" s="28" t="s">
        <v>52</v>
      </c>
      <c r="M979" s="25">
        <v>23000</v>
      </c>
      <c r="N979" s="27">
        <v>0.80914123847088604</v>
      </c>
    </row>
    <row r="980" spans="1:14" hidden="1" outlineLevel="1" x14ac:dyDescent="0.2">
      <c r="A980" s="23" t="str">
        <f t="shared" si="27"/>
        <v>МБУЗ "ДЕТСКАЯ ГОРОДСКАЯ ПОЛИКЛИНИКА №17 Г. РОСТОВА-НА-ДОНУ"</v>
      </c>
      <c r="B980" s="24" t="s">
        <v>1782</v>
      </c>
      <c r="C980" s="25">
        <v>120507.96</v>
      </c>
      <c r="D980" s="22" t="s">
        <v>1783</v>
      </c>
      <c r="E980" s="22" t="s">
        <v>103</v>
      </c>
      <c r="F980" s="23" t="str">
        <f t="shared" si="28"/>
        <v>Оказание услуг по техническому обслуживанию системы видеонаблюдения на объектах МБУЗ «Детская городская поликлиника №17 г. Ростова-на-Дону» в 2020 году.</v>
      </c>
      <c r="G980" s="22" t="s">
        <v>402</v>
      </c>
      <c r="H980" s="22" t="s">
        <v>403</v>
      </c>
      <c r="I980" s="26">
        <v>43733.422916666699</v>
      </c>
      <c r="J980" s="23" t="str">
        <f>HYPERLINK("https://www.spark-marketing.ru/Card/Person/6717109", "ФЛ ФГУП ОХРАНА ФЕДЕРАЛЬНОЙ СЛУЖБЫ ВОЙСК НАЦИОНАЛЬНОЙ ГВАРДИИ РФ ПО РОСТОВСКОЙ ОБЛ")</f>
        <v>ФЛ ФГУП ОХРАНА ФЕДЕРАЛЬНОЙ СЛУЖБЫ ВОЙСК НАЦИОНАЛЬНОЙ ГВАРДИИ РФ ПО РОСТОВСКОЙ ОБЛ</v>
      </c>
      <c r="K980" s="24" t="s">
        <v>779</v>
      </c>
      <c r="L980" s="28" t="s">
        <v>52</v>
      </c>
      <c r="M980" s="25">
        <v>90000</v>
      </c>
      <c r="N980" s="27">
        <v>0.25316136792955418</v>
      </c>
    </row>
    <row r="981" spans="1:14" hidden="1" outlineLevel="1" x14ac:dyDescent="0.2">
      <c r="A981" s="23" t="str">
        <f t="shared" si="27"/>
        <v>МБУЗ "ДЕТСКАЯ ГОРОДСКАЯ ПОЛИКЛИНИКА №17 Г. РОСТОВА-НА-ДОНУ"</v>
      </c>
      <c r="B981" s="24" t="s">
        <v>1782</v>
      </c>
      <c r="C981" s="25">
        <v>120507.96</v>
      </c>
      <c r="D981" s="22" t="s">
        <v>1783</v>
      </c>
      <c r="E981" s="22" t="s">
        <v>103</v>
      </c>
      <c r="F981" s="23" t="str">
        <f t="shared" si="28"/>
        <v>Оказание услуг по техническому обслуживанию системы видеонаблюдения на объектах МБУЗ «Детская городская поликлиника №17 г. Ростова-на-Дону» в 2020 году.</v>
      </c>
      <c r="G981" s="22" t="s">
        <v>402</v>
      </c>
      <c r="H981" s="22" t="s">
        <v>403</v>
      </c>
      <c r="I981" s="26">
        <v>43733.422916666699</v>
      </c>
      <c r="J981" s="23" t="str">
        <f>HYPERLINK("https://www.spark-marketing.ru/Card/Person/6676356", "Коваленко Александр Сергеевич")</f>
        <v>Коваленко Александр Сергеевич</v>
      </c>
      <c r="K981" s="24" t="s">
        <v>1788</v>
      </c>
      <c r="L981" s="28" t="s">
        <v>52</v>
      </c>
      <c r="M981" s="25">
        <v>87419.06</v>
      </c>
      <c r="N981" s="27">
        <v>0.27457854236350859</v>
      </c>
    </row>
    <row r="982" spans="1:14" hidden="1" outlineLevel="1" x14ac:dyDescent="0.2">
      <c r="A982" s="23" t="str">
        <f t="shared" si="27"/>
        <v>МБУЗ "ДЕТСКАЯ ГОРОДСКАЯ ПОЛИКЛИНИКА №17 Г. РОСТОВА-НА-ДОНУ"</v>
      </c>
      <c r="B982" s="24" t="s">
        <v>1782</v>
      </c>
      <c r="C982" s="25">
        <v>120507.96</v>
      </c>
      <c r="D982" s="22" t="s">
        <v>1783</v>
      </c>
      <c r="E982" s="22" t="s">
        <v>103</v>
      </c>
      <c r="F982" s="23" t="str">
        <f t="shared" si="28"/>
        <v>Оказание услуг по техническому обслуживанию системы видеонаблюдения на объектах МБУЗ «Детская городская поликлиника №17 г. Ростова-на-Дону» в 2020 году.</v>
      </c>
      <c r="G982" s="22" t="s">
        <v>402</v>
      </c>
      <c r="H982" s="22" t="s">
        <v>403</v>
      </c>
      <c r="I982" s="26">
        <v>43733.422916666699</v>
      </c>
      <c r="J982" s="23" t="str">
        <f>HYPERLINK("https://www.spark-marketing.ru/Card/Person/381805", "Путинцев Артем Михайлович")</f>
        <v>Путинцев Артем Михайлович</v>
      </c>
      <c r="K982" s="24" t="s">
        <v>1789</v>
      </c>
      <c r="L982" s="28" t="s">
        <v>52</v>
      </c>
      <c r="M982" s="25">
        <v>27190.46</v>
      </c>
      <c r="N982" s="27">
        <v>0.77436793386926472</v>
      </c>
    </row>
    <row r="983" spans="1:14" ht="12.75" hidden="1" outlineLevel="1" x14ac:dyDescent="0.2">
      <c r="A983" s="23" t="str">
        <f t="shared" si="27"/>
        <v>МБУЗ "ДЕТСКАЯ ГОРОДСКАЯ ПОЛИКЛИНИКА №17 Г. РОСТОВА-НА-ДОНУ"</v>
      </c>
      <c r="B983" s="24" t="s">
        <v>1782</v>
      </c>
      <c r="C983" s="25">
        <v>120507.96</v>
      </c>
      <c r="D983" s="22" t="s">
        <v>1783</v>
      </c>
      <c r="E983" s="22" t="s">
        <v>103</v>
      </c>
      <c r="F983" s="23" t="str">
        <f t="shared" si="28"/>
        <v>Оказание услуг по техническому обслуживанию системы видеонаблюдения на объектах МБУЗ «Детская городская поликлиника №17 г. Ростова-на-Дону» в 2020 году.</v>
      </c>
      <c r="G983" s="22" t="s">
        <v>402</v>
      </c>
      <c r="H983" s="22" t="s">
        <v>403</v>
      </c>
      <c r="I983" s="26">
        <v>43733.422916666699</v>
      </c>
      <c r="J983" s="23" t="str">
        <f>HYPERLINK("https://www.spark-marketing.ru/Card/Person/384360", "Губарева Маргарита Николаевна")</f>
        <v>Губарева Маргарита Николаевна</v>
      </c>
      <c r="K983" s="24" t="s">
        <v>1489</v>
      </c>
      <c r="L983" s="22" t="s">
        <v>10</v>
      </c>
      <c r="M983" s="25">
        <v>22397.46</v>
      </c>
      <c r="N983" s="27">
        <v>0.81414124013052747</v>
      </c>
    </row>
    <row r="984" spans="1:14" x14ac:dyDescent="0.15">
      <c r="A984" s="23" t="str">
        <f>HYPERLINK("https://www.spark-marketing.ru/Card/Person/1023081", "МДОУ Д/С № 21")</f>
        <v>МДОУ Д/С № 21</v>
      </c>
      <c r="B984" s="24" t="s">
        <v>1790</v>
      </c>
      <c r="C984" s="25">
        <v>46344.74</v>
      </c>
      <c r="D984" s="22" t="s">
        <v>1791</v>
      </c>
      <c r="E984" s="22" t="s">
        <v>84</v>
      </c>
      <c r="F984" s="23" t="str">
        <f>HYPERLINK("https://www.spark-marketing.ru/Card/Lot/73880859", "Выполнение работ по установке системы видеонаблюдения")</f>
        <v>Выполнение работ по установке системы видеонаблюдения</v>
      </c>
      <c r="G984" s="22" t="s">
        <v>50</v>
      </c>
      <c r="H984" s="22" t="s">
        <v>104</v>
      </c>
      <c r="I984" s="26">
        <v>43733.454861111102</v>
      </c>
      <c r="J984" s="28" t="s">
        <v>52</v>
      </c>
      <c r="K984" s="28" t="s">
        <v>52</v>
      </c>
      <c r="L984" s="28" t="s">
        <v>52</v>
      </c>
      <c r="M984" s="28" t="s">
        <v>52</v>
      </c>
      <c r="N984" s="28" t="s">
        <v>52</v>
      </c>
    </row>
    <row r="985" spans="1:14" hidden="1" outlineLevel="1" x14ac:dyDescent="0.2">
      <c r="A985" s="23" t="str">
        <f>HYPERLINK("https://www.spark-marketing.ru/Card/Person/1023081", "МДОУ Д/С № 21")</f>
        <v>МДОУ Д/С № 21</v>
      </c>
      <c r="B985" s="24" t="s">
        <v>1790</v>
      </c>
      <c r="C985" s="25">
        <v>46344.74</v>
      </c>
      <c r="D985" s="22" t="s">
        <v>1791</v>
      </c>
      <c r="E985" s="22" t="s">
        <v>84</v>
      </c>
      <c r="F985" s="23" t="str">
        <f>HYPERLINK("https://www.spark-marketing.ru/Card/Lot/73880859", "Выполнение работ по установке системы видеонаблюдения")</f>
        <v>Выполнение работ по установке системы видеонаблюдения</v>
      </c>
      <c r="G985" s="22" t="s">
        <v>50</v>
      </c>
      <c r="H985" s="22" t="s">
        <v>104</v>
      </c>
      <c r="I985" s="26">
        <v>43733.454861111102</v>
      </c>
      <c r="J985" s="23" t="str">
        <f>HYPERLINK("https://www.spark-marketing.ru/Card/Person/4891573", "ООО ""ДОСТУПНЫЕ ИНЖЕНЕРНЫЕ СИСТЕМЫ""")</f>
        <v>ООО "ДОСТУПНЫЕ ИНЖЕНЕРНЫЕ СИСТЕМЫ"</v>
      </c>
      <c r="K985" s="24" t="s">
        <v>1792</v>
      </c>
      <c r="L985" s="28" t="s">
        <v>52</v>
      </c>
      <c r="M985" s="25">
        <v>38000</v>
      </c>
      <c r="N985" s="27">
        <v>0.18005797421670722</v>
      </c>
    </row>
    <row r="986" spans="1:14" hidden="1" outlineLevel="1" x14ac:dyDescent="0.2">
      <c r="A986" s="23" t="str">
        <f>HYPERLINK("https://www.spark-marketing.ru/Card/Person/1023081", "МДОУ Д/С № 21")</f>
        <v>МДОУ Д/С № 21</v>
      </c>
      <c r="B986" s="24" t="s">
        <v>1790</v>
      </c>
      <c r="C986" s="25">
        <v>46344.74</v>
      </c>
      <c r="D986" s="22" t="s">
        <v>1791</v>
      </c>
      <c r="E986" s="22" t="s">
        <v>84</v>
      </c>
      <c r="F986" s="23" t="str">
        <f>HYPERLINK("https://www.spark-marketing.ru/Card/Lot/73880859", "Выполнение работ по установке системы видеонаблюдения")</f>
        <v>Выполнение работ по установке системы видеонаблюдения</v>
      </c>
      <c r="G986" s="22" t="s">
        <v>50</v>
      </c>
      <c r="H986" s="22" t="s">
        <v>104</v>
      </c>
      <c r="I986" s="26">
        <v>43733.454861111102</v>
      </c>
      <c r="J986" s="23" t="str">
        <f>HYPERLINK("https://www.spark-marketing.ru/Card/Person/6461373", "ООО ""СЕКЬЮРИТИ ПЛЮС""")</f>
        <v>ООО "СЕКЬЮРИТИ ПЛЮС"</v>
      </c>
      <c r="K986" s="24" t="s">
        <v>1222</v>
      </c>
      <c r="L986" s="28" t="s">
        <v>52</v>
      </c>
      <c r="M986" s="25">
        <v>31210</v>
      </c>
      <c r="N986" s="27">
        <v>0.32656866777114296</v>
      </c>
    </row>
    <row r="987" spans="1:14" hidden="1" outlineLevel="1" x14ac:dyDescent="0.2">
      <c r="A987" s="23" t="str">
        <f>HYPERLINK("https://www.spark-marketing.ru/Card/Person/1023081", "МДОУ Д/С № 21")</f>
        <v>МДОУ Д/С № 21</v>
      </c>
      <c r="B987" s="24" t="s">
        <v>1790</v>
      </c>
      <c r="C987" s="25">
        <v>46344.74</v>
      </c>
      <c r="D987" s="22" t="s">
        <v>1791</v>
      </c>
      <c r="E987" s="22" t="s">
        <v>84</v>
      </c>
      <c r="F987" s="23" t="str">
        <f>HYPERLINK("https://www.spark-marketing.ru/Card/Lot/73880859", "Выполнение работ по установке системы видеонаблюдения")</f>
        <v>Выполнение работ по установке системы видеонаблюдения</v>
      </c>
      <c r="G987" s="22" t="s">
        <v>50</v>
      </c>
      <c r="H987" s="22" t="s">
        <v>104</v>
      </c>
      <c r="I987" s="26">
        <v>43733.454861111102</v>
      </c>
      <c r="J987" s="23" t="str">
        <f>HYPERLINK("https://www.spark-marketing.ru/Card/Person/1277469", "ООО ""СЕРВИСБ""")</f>
        <v>ООО "СЕРВИСБ"</v>
      </c>
      <c r="K987" s="24" t="s">
        <v>1793</v>
      </c>
      <c r="L987" s="28" t="s">
        <v>52</v>
      </c>
      <c r="M987" s="25">
        <v>39500</v>
      </c>
      <c r="N987" s="27">
        <v>0.14769184161999829</v>
      </c>
    </row>
    <row r="988" spans="1:14" ht="12.75" hidden="1" outlineLevel="1" x14ac:dyDescent="0.2">
      <c r="A988" s="23" t="str">
        <f>HYPERLINK("https://www.spark-marketing.ru/Card/Person/1023081", "МДОУ Д/С № 21")</f>
        <v>МДОУ Д/С № 21</v>
      </c>
      <c r="B988" s="24" t="s">
        <v>1790</v>
      </c>
      <c r="C988" s="25">
        <v>46344.74</v>
      </c>
      <c r="D988" s="22" t="s">
        <v>1791</v>
      </c>
      <c r="E988" s="22" t="s">
        <v>84</v>
      </c>
      <c r="F988" s="23" t="str">
        <f>HYPERLINK("https://www.spark-marketing.ru/Card/Lot/73880859", "Выполнение работ по установке системы видеонаблюдения")</f>
        <v>Выполнение работ по установке системы видеонаблюдения</v>
      </c>
      <c r="G988" s="22" t="s">
        <v>50</v>
      </c>
      <c r="H988" s="22" t="s">
        <v>104</v>
      </c>
      <c r="I988" s="26">
        <v>43733.454861111102</v>
      </c>
      <c r="J988" s="23" t="str">
        <f>HYPERLINK("https://www.spark-marketing.ru/Card/Person/102343", "ООО ""ЧОП ""МЕГАПОЛИС-ОПТИМА""")</f>
        <v>ООО "ЧОП "МЕГАПОЛИС-ОПТИМА"</v>
      </c>
      <c r="K988" s="24" t="s">
        <v>1794</v>
      </c>
      <c r="L988" s="22" t="s">
        <v>10</v>
      </c>
      <c r="M988" s="25">
        <v>25250</v>
      </c>
      <c r="N988" s="27">
        <v>0.45517010128873309</v>
      </c>
    </row>
    <row r="989" spans="1:14" x14ac:dyDescent="0.15">
      <c r="A989" s="23" t="str">
        <f>HYPERLINK("https://www.spark-marketing.ru/Card/Person/535960", "ФКУ ИК-1 УФСИН РОССИИ ПО ТАМБОВСКОЙ ОБЛАСТИ")</f>
        <v>ФКУ ИК-1 УФСИН РОССИИ ПО ТАМБОВСКОЙ ОБЛАСТИ</v>
      </c>
      <c r="B989" s="24" t="s">
        <v>1795</v>
      </c>
      <c r="C989" s="25">
        <v>109395</v>
      </c>
      <c r="D989" s="22" t="s">
        <v>1796</v>
      </c>
      <c r="E989" s="22" t="s">
        <v>1797</v>
      </c>
      <c r="F989" s="23" t="str">
        <f>HYPERLINK("https://www.spark-marketing.ru/Card/Lot/73889278", "Радиоканальная система тревожной сигнализации")</f>
        <v>Радиоканальная система тревожной сигнализации</v>
      </c>
      <c r="G989" s="22" t="s">
        <v>1319</v>
      </c>
      <c r="H989" s="22" t="s">
        <v>1320</v>
      </c>
      <c r="I989" s="26">
        <v>43733.456944444399</v>
      </c>
      <c r="J989" s="28" t="s">
        <v>52</v>
      </c>
      <c r="K989" s="28" t="s">
        <v>52</v>
      </c>
      <c r="L989" s="28" t="s">
        <v>52</v>
      </c>
      <c r="M989" s="28" t="s">
        <v>52</v>
      </c>
      <c r="N989" s="28" t="s">
        <v>52</v>
      </c>
    </row>
    <row r="990" spans="1:14" ht="12.75" hidden="1" outlineLevel="1" x14ac:dyDescent="0.2">
      <c r="A990" s="23" t="str">
        <f>HYPERLINK("https://www.spark-marketing.ru/Card/Person/535960", "ФКУ ИК-1 УФСИН РОССИИ ПО ТАМБОВСКОЙ ОБЛАСТИ")</f>
        <v>ФКУ ИК-1 УФСИН РОССИИ ПО ТАМБОВСКОЙ ОБЛАСТИ</v>
      </c>
      <c r="B990" s="24" t="s">
        <v>1795</v>
      </c>
      <c r="C990" s="25">
        <v>109395</v>
      </c>
      <c r="D990" s="22" t="s">
        <v>1796</v>
      </c>
      <c r="E990" s="22" t="s">
        <v>1797</v>
      </c>
      <c r="F990" s="23" t="str">
        <f>HYPERLINK("https://www.spark-marketing.ru/Card/Lot/73889278", "Радиоканальная система тревожной сигнализации")</f>
        <v>Радиоканальная система тревожной сигнализации</v>
      </c>
      <c r="G990" s="22" t="s">
        <v>1319</v>
      </c>
      <c r="H990" s="22" t="s">
        <v>1320</v>
      </c>
      <c r="I990" s="26">
        <v>43733.456944444399</v>
      </c>
      <c r="J990" s="23" t="str">
        <f>HYPERLINK("https://www.spark-marketing.ru/Card/Person/343131", "ООО ""ЩИТ""")</f>
        <v>ООО "ЩИТ"</v>
      </c>
      <c r="K990" s="24" t="s">
        <v>1798</v>
      </c>
      <c r="L990" s="22" t="s">
        <v>10</v>
      </c>
      <c r="M990" s="25">
        <v>101335</v>
      </c>
      <c r="N990" s="27">
        <v>7.3677956030897204E-2</v>
      </c>
    </row>
    <row r="991" spans="1:14" hidden="1" outlineLevel="1" x14ac:dyDescent="0.2">
      <c r="A991" s="23" t="str">
        <f>HYPERLINK("https://www.spark-marketing.ru/Card/Person/535960", "ФКУ ИК-1 УФСИН РОССИИ ПО ТАМБОВСКОЙ ОБЛАСТИ")</f>
        <v>ФКУ ИК-1 УФСИН РОССИИ ПО ТАМБОВСКОЙ ОБЛАСТИ</v>
      </c>
      <c r="B991" s="24" t="s">
        <v>1795</v>
      </c>
      <c r="C991" s="25">
        <v>109395</v>
      </c>
      <c r="D991" s="22" t="s">
        <v>1796</v>
      </c>
      <c r="E991" s="22" t="s">
        <v>1797</v>
      </c>
      <c r="F991" s="23" t="str">
        <f>HYPERLINK("https://www.spark-marketing.ru/Card/Lot/73889278", "Радиоканальная система тревожной сигнализации")</f>
        <v>Радиоканальная система тревожной сигнализации</v>
      </c>
      <c r="G991" s="22" t="s">
        <v>1319</v>
      </c>
      <c r="H991" s="22" t="s">
        <v>1320</v>
      </c>
      <c r="I991" s="26">
        <v>43733.456944444399</v>
      </c>
      <c r="J991" s="23" t="str">
        <f>HYPERLINK("https://www.spark-marketing.ru/Card/Person/6180885", "ООО ""КОНТРОЛЬ ДОСТУПА""")</f>
        <v>ООО "КОНТРОЛЬ ДОСТУПА"</v>
      </c>
      <c r="K991" s="24" t="s">
        <v>1799</v>
      </c>
      <c r="L991" s="28" t="s">
        <v>52</v>
      </c>
      <c r="M991" s="25">
        <v>103850</v>
      </c>
      <c r="N991" s="27">
        <v>5.0687874217285982E-2</v>
      </c>
    </row>
    <row r="992" spans="1:14" hidden="1" outlineLevel="1" x14ac:dyDescent="0.2">
      <c r="A992" s="23" t="str">
        <f>HYPERLINK("https://www.spark-marketing.ru/Card/Person/535960", "ФКУ ИК-1 УФСИН РОССИИ ПО ТАМБОВСКОЙ ОБЛАСТИ")</f>
        <v>ФКУ ИК-1 УФСИН РОССИИ ПО ТАМБОВСКОЙ ОБЛАСТИ</v>
      </c>
      <c r="B992" s="24" t="s">
        <v>1795</v>
      </c>
      <c r="C992" s="25">
        <v>109395</v>
      </c>
      <c r="D992" s="22" t="s">
        <v>1796</v>
      </c>
      <c r="E992" s="22" t="s">
        <v>1797</v>
      </c>
      <c r="F992" s="23" t="str">
        <f>HYPERLINK("https://www.spark-marketing.ru/Card/Lot/73889278", "Радиоканальная система тревожной сигнализации")</f>
        <v>Радиоканальная система тревожной сигнализации</v>
      </c>
      <c r="G992" s="22" t="s">
        <v>1319</v>
      </c>
      <c r="H992" s="22" t="s">
        <v>1320</v>
      </c>
      <c r="I992" s="26">
        <v>43733.456944444399</v>
      </c>
      <c r="J992" s="23" t="str">
        <f>HYPERLINK("https://www.spark-marketing.ru/Card/Person/6457149", "ООО ""НИКА-СБ""")</f>
        <v>ООО "НИКА-СБ"</v>
      </c>
      <c r="K992" s="24" t="s">
        <v>1800</v>
      </c>
      <c r="L992" s="28" t="s">
        <v>52</v>
      </c>
      <c r="M992" s="25">
        <v>104275.31</v>
      </c>
      <c r="N992" s="27">
        <v>4.680003656474245E-2</v>
      </c>
    </row>
    <row r="993" spans="1:14" x14ac:dyDescent="0.15">
      <c r="A993" s="23" t="str">
        <f>HYPERLINK("https://www.spark-marketing.ru/Card/Person/135868", "ОТДЕЛ МВД РОССИИ ПО КАТАВ-ИВАНОВСКОМУ РАЙОНУ ЧЕЛЯБИНСКОЙ ОБЛАСТИ")</f>
        <v>ОТДЕЛ МВД РОССИИ ПО КАТАВ-ИВАНОВСКОМУ РАЙОНУ ЧЕЛЯБИНСКОЙ ОБЛАСТИ</v>
      </c>
      <c r="B993" s="24" t="s">
        <v>1531</v>
      </c>
      <c r="C993" s="25">
        <v>66000</v>
      </c>
      <c r="D993" s="22" t="s">
        <v>1801</v>
      </c>
      <c r="E993" s="22" t="s">
        <v>1013</v>
      </c>
      <c r="F993" s="23" t="str">
        <f>HYPERLINK("https://www.spark-marketing.ru/Card/Lot/73870632", "Техническое обслуживание системы видеонаблюдения, 1 усл. ед")</f>
        <v>Техническое обслуживание системы видеонаблюдения, 1 усл. ед</v>
      </c>
      <c r="G993" s="22" t="s">
        <v>60</v>
      </c>
      <c r="H993" s="22" t="s">
        <v>1533</v>
      </c>
      <c r="I993" s="26">
        <v>43733.375682870399</v>
      </c>
      <c r="J993" s="28" t="s">
        <v>52</v>
      </c>
      <c r="K993" s="28" t="s">
        <v>52</v>
      </c>
      <c r="L993" s="28" t="s">
        <v>52</v>
      </c>
      <c r="M993" s="28" t="s">
        <v>52</v>
      </c>
      <c r="N993" s="28" t="s">
        <v>52</v>
      </c>
    </row>
    <row r="994" spans="1:14" x14ac:dyDescent="0.15">
      <c r="A994" s="23" t="str">
        <f>HYPERLINK("https://www.spark-marketing.ru/Card/Person/15519", "ФКУ ""ЦХИСО УМВД РОССИИ ПО ЯРОСЛАВСКОЙ ОБЛАСТИ""")</f>
        <v>ФКУ "ЦХИСО УМВД РОССИИ ПО ЯРОСЛАВСКОЙ ОБЛАСТИ"</v>
      </c>
      <c r="B994" s="24" t="s">
        <v>1659</v>
      </c>
      <c r="C994" s="25">
        <v>43388.22</v>
      </c>
      <c r="D994" s="22" t="s">
        <v>1802</v>
      </c>
      <c r="E994" s="22" t="s">
        <v>59</v>
      </c>
      <c r="F994" s="23" t="str">
        <f>HYPERLINK("https://www.spark-marketing.ru/Card/Lot/73871527", "Работы по установке комплекса охранной сигнализации, 1 шт")</f>
        <v>Работы по установке комплекса охранной сигнализации, 1 шт</v>
      </c>
      <c r="G994" s="22" t="s">
        <v>155</v>
      </c>
      <c r="H994" s="22" t="s">
        <v>1661</v>
      </c>
      <c r="I994" s="26">
        <v>43733.398518518501</v>
      </c>
      <c r="J994" s="28" t="s">
        <v>52</v>
      </c>
      <c r="K994" s="28" t="s">
        <v>52</v>
      </c>
      <c r="L994" s="28" t="s">
        <v>52</v>
      </c>
      <c r="M994" s="28" t="s">
        <v>52</v>
      </c>
      <c r="N994" s="28" t="s">
        <v>52</v>
      </c>
    </row>
    <row r="995" spans="1:14" x14ac:dyDescent="0.15">
      <c r="A995" s="23" t="str">
        <f>HYPERLINK("https://www.spark-marketing.ru/Card/Person/677716", "МП ТПАТП №3")</f>
        <v>МП ТПАТП №3</v>
      </c>
      <c r="B995" s="24" t="s">
        <v>1803</v>
      </c>
      <c r="C995" s="25">
        <v>290720</v>
      </c>
      <c r="D995" s="22" t="s">
        <v>1804</v>
      </c>
      <c r="E995" s="22" t="s">
        <v>107</v>
      </c>
      <c r="F995" s="23" t="str">
        <f>HYPERLINK("https://www.spark-marketing.ru/Card/Lot/73893205", "Оказание услуг по техническому обслуживанию блоков навигационных и видеорегистраторов (с комплектом видеокамер)")</f>
        <v>Оказание услуг по техническому обслуживанию блоков навигационных и видеорегистраторов (с комплектом видеокамер)</v>
      </c>
      <c r="G995" s="22" t="s">
        <v>760</v>
      </c>
      <c r="H995" s="22" t="s">
        <v>1805</v>
      </c>
      <c r="I995" s="26">
        <v>43733.375</v>
      </c>
      <c r="J995" s="23" t="str">
        <f>HYPERLINK("https://www.spark-marketing.ru/Card/Person/1936744", "ООО ""ТЕХНАРЬ""")</f>
        <v>ООО "ТЕХНАРЬ"</v>
      </c>
      <c r="K995" s="24" t="s">
        <v>1806</v>
      </c>
      <c r="L995" s="22" t="s">
        <v>10</v>
      </c>
      <c r="M995" s="28" t="s">
        <v>52</v>
      </c>
      <c r="N995" s="28" t="s">
        <v>52</v>
      </c>
    </row>
    <row r="996" spans="1:14" x14ac:dyDescent="0.15">
      <c r="A996" s="23" t="str">
        <f>HYPERLINK("https://www.spark-marketing.ru/Card/Person/80539", "МКУ ОД ОМС")</f>
        <v>МКУ ОД ОМС</v>
      </c>
      <c r="B996" s="24" t="s">
        <v>1807</v>
      </c>
      <c r="C996" s="25">
        <v>60300</v>
      </c>
      <c r="D996" s="22" t="s">
        <v>1808</v>
      </c>
      <c r="E996" s="22" t="s">
        <v>59</v>
      </c>
      <c r="F996" s="23" t="str">
        <f>HYPERLINK("https://www.spark-marketing.ru/Card/Lot/73885188", "Выполнение работ по установке системы видеонаблюдения")</f>
        <v>Выполнение работ по установке системы видеонаблюдения</v>
      </c>
      <c r="G996" s="22" t="s">
        <v>132</v>
      </c>
      <c r="H996" s="22" t="s">
        <v>1809</v>
      </c>
      <c r="I996" s="26">
        <v>43733.395833333299</v>
      </c>
      <c r="J996" s="28" t="s">
        <v>52</v>
      </c>
      <c r="K996" s="28" t="s">
        <v>52</v>
      </c>
      <c r="L996" s="28" t="s">
        <v>52</v>
      </c>
      <c r="M996" s="28" t="s">
        <v>52</v>
      </c>
      <c r="N996" s="28" t="s">
        <v>52</v>
      </c>
    </row>
    <row r="997" spans="1:14" hidden="1" outlineLevel="1" x14ac:dyDescent="0.2">
      <c r="A997" s="23" t="str">
        <f>HYPERLINK("https://www.spark-marketing.ru/Card/Person/80539", "МКУ ОД ОМС")</f>
        <v>МКУ ОД ОМС</v>
      </c>
      <c r="B997" s="24" t="s">
        <v>1807</v>
      </c>
      <c r="C997" s="25">
        <v>60300</v>
      </c>
      <c r="D997" s="22" t="s">
        <v>1808</v>
      </c>
      <c r="E997" s="22" t="s">
        <v>59</v>
      </c>
      <c r="F997" s="23" t="str">
        <f>HYPERLINK("https://www.spark-marketing.ru/Card/Lot/73885188", "Выполнение работ по установке системы видеонаблюдения")</f>
        <v>Выполнение работ по установке системы видеонаблюдения</v>
      </c>
      <c r="G997" s="22" t="s">
        <v>132</v>
      </c>
      <c r="H997" s="22" t="s">
        <v>1809</v>
      </c>
      <c r="I997" s="26">
        <v>43733.395833333299</v>
      </c>
      <c r="J997" s="23" t="str">
        <f>HYPERLINK("https://www.spark-marketing.ru/Card/Person/232119", "ООО ""ЗАЩИТА +""")</f>
        <v>ООО "ЗАЩИТА +"</v>
      </c>
      <c r="K997" s="24" t="s">
        <v>1810</v>
      </c>
      <c r="L997" s="28" t="s">
        <v>52</v>
      </c>
      <c r="M997" s="25">
        <v>45000</v>
      </c>
      <c r="N997" s="27">
        <v>0.2537313432835821</v>
      </c>
    </row>
    <row r="998" spans="1:14" ht="12.75" hidden="1" outlineLevel="1" x14ac:dyDescent="0.2">
      <c r="A998" s="23" t="str">
        <f>HYPERLINK("https://www.spark-marketing.ru/Card/Person/80539", "МКУ ОД ОМС")</f>
        <v>МКУ ОД ОМС</v>
      </c>
      <c r="B998" s="24" t="s">
        <v>1807</v>
      </c>
      <c r="C998" s="25">
        <v>60300</v>
      </c>
      <c r="D998" s="22" t="s">
        <v>1808</v>
      </c>
      <c r="E998" s="22" t="s">
        <v>59</v>
      </c>
      <c r="F998" s="23" t="str">
        <f>HYPERLINK("https://www.spark-marketing.ru/Card/Lot/73885188", "Выполнение работ по установке системы видеонаблюдения")</f>
        <v>Выполнение работ по установке системы видеонаблюдения</v>
      </c>
      <c r="G998" s="22" t="s">
        <v>132</v>
      </c>
      <c r="H998" s="22" t="s">
        <v>1809</v>
      </c>
      <c r="I998" s="26">
        <v>43733.395833333299</v>
      </c>
      <c r="J998" s="23" t="str">
        <f>HYPERLINK("https://www.spark-marketing.ru/Card/Person/6483070", "Донец Роман Анатольевич")</f>
        <v>Донец Роман Анатольевич</v>
      </c>
      <c r="K998" s="24" t="s">
        <v>1811</v>
      </c>
      <c r="L998" s="22" t="s">
        <v>10</v>
      </c>
      <c r="M998" s="25">
        <v>44000</v>
      </c>
      <c r="N998" s="27">
        <v>0.27031509121061359</v>
      </c>
    </row>
    <row r="999" spans="1:14" x14ac:dyDescent="0.15">
      <c r="A999" s="23" t="str">
        <f>HYPERLINK("https://www.spark-marketing.ru/Card/Person/947375", "ОТДЕЛ МВД РОССИИ ПО БЛАГОДАРНЕНСКОМУ ГОРОДСКОМУ ОКРУГУ")</f>
        <v>ОТДЕЛ МВД РОССИИ ПО БЛАГОДАРНЕНСКОМУ ГОРОДСКОМУ ОКРУГУ</v>
      </c>
      <c r="B999" s="24" t="s">
        <v>1812</v>
      </c>
      <c r="C999" s="25">
        <v>34506.480000000003</v>
      </c>
      <c r="D999" s="22" t="s">
        <v>1813</v>
      </c>
      <c r="E999" s="22" t="s">
        <v>53</v>
      </c>
      <c r="F999" s="23" t="str">
        <f>HYPERLINK("https://www.spark-marketing.ru/Card/Lot/73870551", "Услуги по техническому обслуживанию комплекса технических средств охраны на объектах")</f>
        <v>Услуги по техническому обслуживанию комплекса технических средств охраны на объектах</v>
      </c>
      <c r="G999" s="22" t="s">
        <v>258</v>
      </c>
      <c r="H999" s="22" t="s">
        <v>1814</v>
      </c>
      <c r="I999" s="26">
        <v>43733.3563194444</v>
      </c>
      <c r="J999" s="28" t="s">
        <v>52</v>
      </c>
      <c r="K999" s="28" t="s">
        <v>52</v>
      </c>
      <c r="L999" s="28" t="s">
        <v>52</v>
      </c>
      <c r="M999" s="28" t="s">
        <v>52</v>
      </c>
      <c r="N999" s="28" t="s">
        <v>52</v>
      </c>
    </row>
    <row r="1000" spans="1:14" x14ac:dyDescent="0.15">
      <c r="A1000" s="23" t="str">
        <f>HYPERLINK("https://www.spark-marketing.ru/Card/Person/1711531", "ООО ""ТАГРАС-ТРАНССЕРВИС""")</f>
        <v>ООО "ТАГРАС-ТРАНССЕРВИС"</v>
      </c>
      <c r="B1000" s="24" t="s">
        <v>1686</v>
      </c>
      <c r="C1000" s="28" t="s">
        <v>52</v>
      </c>
      <c r="D1000" s="22" t="s">
        <v>1815</v>
      </c>
      <c r="E1000" s="22" t="s">
        <v>53</v>
      </c>
      <c r="F1000" s="23" t="str">
        <f>HYPERLINK("https://www.spark-marketing.ru/Card/Lot/74214297", "Поставка автобуса ЛИАЗ-525665 (05/496-ЭТП)")</f>
        <v>Поставка автобуса ЛИАЗ-525665 (05/496-ЭТП)</v>
      </c>
      <c r="G1000" s="22" t="s">
        <v>204</v>
      </c>
      <c r="H1000" s="22" t="s">
        <v>308</v>
      </c>
      <c r="I1000" s="26">
        <v>43733.358333333301</v>
      </c>
      <c r="J1000" s="28" t="s">
        <v>52</v>
      </c>
      <c r="K1000" s="28" t="s">
        <v>52</v>
      </c>
      <c r="L1000" s="28" t="s">
        <v>52</v>
      </c>
      <c r="M1000" s="28" t="s">
        <v>52</v>
      </c>
      <c r="N1000" s="28" t="s">
        <v>52</v>
      </c>
    </row>
    <row r="1001" spans="1:14" x14ac:dyDescent="0.15">
      <c r="A1001" s="23" t="str">
        <f>HYPERLINK("https://www.spark-marketing.ru/Card/Person/1711531", "ООО ""ТАГРАС-ТРАНССЕРВИС""")</f>
        <v>ООО "ТАГРАС-ТРАНССЕРВИС"</v>
      </c>
      <c r="B1001" s="24" t="s">
        <v>1686</v>
      </c>
      <c r="C1001" s="28" t="s">
        <v>52</v>
      </c>
      <c r="D1001" s="22" t="s">
        <v>1816</v>
      </c>
      <c r="E1001" s="22" t="s">
        <v>53</v>
      </c>
      <c r="F1001" s="23" t="str">
        <f>HYPERLINK("https://www.spark-marketing.ru/Card/Lot/73875909", "Поставка автобуса ЛИАЗ-525665 (05/496-ЭТП)")</f>
        <v>Поставка автобуса ЛИАЗ-525665 (05/496-ЭТП)</v>
      </c>
      <c r="G1001" s="22" t="s">
        <v>204</v>
      </c>
      <c r="H1001" s="22" t="s">
        <v>308</v>
      </c>
      <c r="I1001" s="26">
        <v>43733.358333333301</v>
      </c>
      <c r="J1001" s="28" t="s">
        <v>52</v>
      </c>
      <c r="K1001" s="28" t="s">
        <v>52</v>
      </c>
      <c r="L1001" s="28" t="s">
        <v>52</v>
      </c>
      <c r="M1001" s="28" t="s">
        <v>52</v>
      </c>
      <c r="N1001" s="28" t="s">
        <v>52</v>
      </c>
    </row>
    <row r="1002" spans="1:14" x14ac:dyDescent="0.15">
      <c r="A1002" s="23" t="str">
        <f>HYPERLINK("https://www.spark-marketing.ru/Card/Person/1890", "МТУ РОСИМУЩЕСТВА В КЕМЕРОВСКОЙ И ТОМСКОЙ ОБЛАСТЯХ")</f>
        <v>МТУ РОСИМУЩЕСТВА В КЕМЕРОВСКОЙ И ТОМСКОЙ ОБЛАСТЯХ</v>
      </c>
      <c r="B1002" s="24" t="s">
        <v>1817</v>
      </c>
      <c r="C1002" s="25">
        <v>92137</v>
      </c>
      <c r="D1002" s="22" t="s">
        <v>1818</v>
      </c>
      <c r="E1002" s="22" t="s">
        <v>68</v>
      </c>
      <c r="F1002" s="23" t="str">
        <f>HYPERLINK("https://www.spark-marketing.ru/Card/Lot/73869088", "Услуги, связанные с обеспечением общественного порядка и безопасности прочие, 1 усл. ед")</f>
        <v>Услуги, связанные с обеспечением общественного порядка и безопасности прочие, 1 усл. ед</v>
      </c>
      <c r="G1002" s="22" t="s">
        <v>367</v>
      </c>
      <c r="H1002" s="22" t="s">
        <v>881</v>
      </c>
      <c r="I1002" s="26">
        <v>43733.3059027778</v>
      </c>
      <c r="J1002" s="28" t="s">
        <v>52</v>
      </c>
      <c r="K1002" s="28" t="s">
        <v>52</v>
      </c>
      <c r="L1002" s="28" t="s">
        <v>52</v>
      </c>
      <c r="M1002" s="28" t="s">
        <v>52</v>
      </c>
      <c r="N1002" s="28" t="s">
        <v>52</v>
      </c>
    </row>
    <row r="1003" spans="1:14" x14ac:dyDescent="0.15">
      <c r="A1003" s="23" t="str">
        <f>HYPERLINK("https://www.spark-marketing.ru/Card/Person/153838", "МЕЖРАЙОННАЯ ИФНС РОССИИ № 8 ПО ЗАБАЙКАЛЬСКОМУ КРАЮ")</f>
        <v>МЕЖРАЙОННАЯ ИФНС РОССИИ № 8 ПО ЗАБАЙКАЛЬСКОМУ КРАЮ</v>
      </c>
      <c r="B1003" s="24" t="s">
        <v>1819</v>
      </c>
      <c r="C1003" s="25">
        <v>15450</v>
      </c>
      <c r="D1003" s="22" t="s">
        <v>1820</v>
      </c>
      <c r="E1003" s="22" t="s">
        <v>84</v>
      </c>
      <c r="F1003" s="23" t="str">
        <f>HYPERLINK("https://www.spark-marketing.ru/Card/Lot/73869187", "Монтаж, установка, сборка систем охранного видеонаблюдения, 3 шт")</f>
        <v>Монтаж, установка, сборка систем охранного видеонаблюдения, 3 шт</v>
      </c>
      <c r="G1003" s="22" t="s">
        <v>473</v>
      </c>
      <c r="H1003" s="22" t="s">
        <v>473</v>
      </c>
      <c r="I1003" s="26">
        <v>43733.326041666704</v>
      </c>
      <c r="J1003" s="28" t="s">
        <v>52</v>
      </c>
      <c r="K1003" s="28" t="s">
        <v>52</v>
      </c>
      <c r="L1003" s="28" t="s">
        <v>52</v>
      </c>
      <c r="M1003" s="28" t="s">
        <v>52</v>
      </c>
      <c r="N1003" s="28" t="s">
        <v>52</v>
      </c>
    </row>
    <row r="1004" spans="1:14" x14ac:dyDescent="0.15">
      <c r="A1004" s="23" t="str">
        <f>HYPERLINK("https://www.spark-marketing.ru/Card/Person/153838", "МЕЖРАЙОННАЯ ИФНС РОССИИ № 8 ПО ЗАБАЙКАЛЬСКОМУ КРАЮ")</f>
        <v>МЕЖРАЙОННАЯ ИФНС РОССИИ № 8 ПО ЗАБАЙКАЛЬСКОМУ КРАЮ</v>
      </c>
      <c r="B1004" s="24" t="s">
        <v>1819</v>
      </c>
      <c r="C1004" s="25">
        <v>22500</v>
      </c>
      <c r="D1004" s="22" t="s">
        <v>1821</v>
      </c>
      <c r="E1004" s="22" t="s">
        <v>84</v>
      </c>
      <c r="F1004" s="23" t="str">
        <f>HYPERLINK("https://www.spark-marketing.ru/Card/Lot/73864500", "Монтаж, установка, сборка систем охранного видеонаблюдения, 3 шт")</f>
        <v>Монтаж, установка, сборка систем охранного видеонаблюдения, 3 шт</v>
      </c>
      <c r="G1004" s="22" t="s">
        <v>473</v>
      </c>
      <c r="H1004" s="22" t="s">
        <v>1822</v>
      </c>
      <c r="I1004" s="26">
        <v>43733.131967592599</v>
      </c>
      <c r="J1004" s="28" t="s">
        <v>52</v>
      </c>
      <c r="K1004" s="28" t="s">
        <v>52</v>
      </c>
      <c r="L1004" s="28" t="s">
        <v>52</v>
      </c>
      <c r="M1004" s="28" t="s">
        <v>52</v>
      </c>
      <c r="N1004" s="28" t="s">
        <v>52</v>
      </c>
    </row>
    <row r="1005" spans="1:14" x14ac:dyDescent="0.15">
      <c r="A1005" s="23" t="str">
        <f>HYPERLINK("https://www.spark-marketing.ru/Card/Person/6219290", "ГБУ СО ""СЦ ГКО""")</f>
        <v>ГБУ СО "СЦ ГКО"</v>
      </c>
      <c r="B1005" s="24" t="s">
        <v>1823</v>
      </c>
      <c r="C1005" s="25">
        <v>79000</v>
      </c>
      <c r="D1005" s="22" t="s">
        <v>1824</v>
      </c>
      <c r="E1005" s="22" t="s">
        <v>59</v>
      </c>
      <c r="F1005" s="23" t="str">
        <f>HYPERLINK("https://www.spark-marketing.ru/Card/Lot/73881510", "Монтаж системы контроля доступа, тревожной сигнализации и кнопки вызова")</f>
        <v>Монтаж системы контроля доступа, тревожной сигнализации и кнопки вызова</v>
      </c>
      <c r="G1005" s="22" t="s">
        <v>69</v>
      </c>
      <c r="H1005" s="22" t="s">
        <v>973</v>
      </c>
      <c r="I1005" s="26">
        <v>43733.415972222203</v>
      </c>
      <c r="J1005" s="28" t="s">
        <v>52</v>
      </c>
      <c r="K1005" s="28" t="s">
        <v>52</v>
      </c>
      <c r="L1005" s="28" t="s">
        <v>52</v>
      </c>
      <c r="M1005" s="28" t="s">
        <v>52</v>
      </c>
      <c r="N1005" s="28" t="s">
        <v>52</v>
      </c>
    </row>
    <row r="1006" spans="1:14" ht="12.75" hidden="1" outlineLevel="1" x14ac:dyDescent="0.2">
      <c r="A1006" s="23" t="str">
        <f>HYPERLINK("https://www.spark-marketing.ru/Card/Person/6219290", "ГБУ СО ""СЦ ГКО""")</f>
        <v>ГБУ СО "СЦ ГКО"</v>
      </c>
      <c r="B1006" s="24" t="s">
        <v>1823</v>
      </c>
      <c r="C1006" s="25">
        <v>79000</v>
      </c>
      <c r="D1006" s="22" t="s">
        <v>1824</v>
      </c>
      <c r="E1006" s="22" t="s">
        <v>59</v>
      </c>
      <c r="F1006" s="23" t="str">
        <f>HYPERLINK("https://www.spark-marketing.ru/Card/Lot/73881510", "Монтаж системы контроля доступа, тревожной сигнализации и кнопки вызова")</f>
        <v>Монтаж системы контроля доступа, тревожной сигнализации и кнопки вызова</v>
      </c>
      <c r="G1006" s="22" t="s">
        <v>69</v>
      </c>
      <c r="H1006" s="22" t="s">
        <v>973</v>
      </c>
      <c r="I1006" s="26">
        <v>43733.415972222203</v>
      </c>
      <c r="J1006" s="23" t="str">
        <f>HYPERLINK("https://www.spark-marketing.ru/Card/Person/797128", "ООО ""ТЕХНОМОНТАЖ""")</f>
        <v>ООО "ТЕХНОМОНТАЖ"</v>
      </c>
      <c r="K1006" s="24" t="s">
        <v>1825</v>
      </c>
      <c r="L1006" s="22" t="s">
        <v>10</v>
      </c>
      <c r="M1006" s="25">
        <v>77000</v>
      </c>
      <c r="N1006" s="27">
        <v>2.5316455696202531E-2</v>
      </c>
    </row>
    <row r="1007" spans="1:14" hidden="1" outlineLevel="1" x14ac:dyDescent="0.2">
      <c r="A1007" s="23" t="str">
        <f>HYPERLINK("https://www.spark-marketing.ru/Card/Person/6219290", "ГБУ СО ""СЦ ГКО""")</f>
        <v>ГБУ СО "СЦ ГКО"</v>
      </c>
      <c r="B1007" s="24" t="s">
        <v>1823</v>
      </c>
      <c r="C1007" s="25">
        <v>79000</v>
      </c>
      <c r="D1007" s="22" t="s">
        <v>1824</v>
      </c>
      <c r="E1007" s="22" t="s">
        <v>59</v>
      </c>
      <c r="F1007" s="23" t="str">
        <f>HYPERLINK("https://www.spark-marketing.ru/Card/Lot/73881510", "Монтаж системы контроля доступа, тревожной сигнализации и кнопки вызова")</f>
        <v>Монтаж системы контроля доступа, тревожной сигнализации и кнопки вызова</v>
      </c>
      <c r="G1007" s="22" t="s">
        <v>69</v>
      </c>
      <c r="H1007" s="22" t="s">
        <v>973</v>
      </c>
      <c r="I1007" s="26">
        <v>43733.415972222203</v>
      </c>
      <c r="J1007" s="23" t="str">
        <f>HYPERLINK("https://www.spark-marketing.ru/Card/Person/4716110", "Сидлецкая Екатерина Александровна")</f>
        <v>Сидлецкая Екатерина Александровна</v>
      </c>
      <c r="K1007" s="24" t="s">
        <v>1826</v>
      </c>
      <c r="L1007" s="28" t="s">
        <v>52</v>
      </c>
      <c r="M1007" s="25">
        <v>77000</v>
      </c>
      <c r="N1007" s="27">
        <v>2.5316455696202531E-2</v>
      </c>
    </row>
    <row r="1008" spans="1:14" x14ac:dyDescent="0.2">
      <c r="A1008" s="23" t="str">
        <f>HYPERLINK("https://www.spark-marketing.ru/Card/Person/10487", "ФГУП ""ОХРАНА"" РОСГВАРДИИ")</f>
        <v>ФГУП "ОХРАНА" РОСГВАРДИИ</v>
      </c>
      <c r="B1008" s="24" t="s">
        <v>779</v>
      </c>
      <c r="C1008" s="25">
        <v>2974481.5</v>
      </c>
      <c r="D1008" s="22" t="s">
        <v>1827</v>
      </c>
      <c r="E1008" s="22" t="s">
        <v>1828</v>
      </c>
      <c r="F1008" s="23" t="str">
        <f>HYPERLINK("https://www.spark-marketing.ru/Card/Lot/73856712", "Оказание услуг по бронированию и приобретению проездных документов на железнодорожный транспорт для нужд Управления по Сибирскому Федеральному округу Центра охраны объектов промышленности на период до 31 декабря 2020 года")</f>
        <v>Оказание услуг по бронированию и приобретению проездных документов на железнодорожный транспорт для нужд Управления по Сибирскому Федеральному округу Центра охраны объектов промышленности на период до 31 декабря 2020 года</v>
      </c>
      <c r="G1008" s="22" t="s">
        <v>640</v>
      </c>
      <c r="H1008" s="22" t="s">
        <v>640</v>
      </c>
      <c r="I1008" s="26">
        <v>43732</v>
      </c>
      <c r="J1008" s="28" t="s">
        <v>52</v>
      </c>
      <c r="K1008" s="28" t="s">
        <v>52</v>
      </c>
      <c r="L1008" s="28" t="s">
        <v>52</v>
      </c>
      <c r="M1008" s="25">
        <v>2964000</v>
      </c>
      <c r="N1008" s="27">
        <v>3.5238074266052757E-3</v>
      </c>
    </row>
    <row r="1009" spans="1:14" x14ac:dyDescent="0.15">
      <c r="A1009" s="23" t="str">
        <f>HYPERLINK("https://www.spark-marketing.ru/Card/Person/111893", "ФГБОУ ВО ""БГПУ ИМ. М. АКМУЛЛЫ""")</f>
        <v>ФГБОУ ВО "БГПУ ИМ. М. АКМУЛЛЫ"</v>
      </c>
      <c r="B1009" s="24" t="s">
        <v>1829</v>
      </c>
      <c r="C1009" s="25">
        <v>18273.71</v>
      </c>
      <c r="D1009" s="22" t="s">
        <v>1830</v>
      </c>
      <c r="E1009" s="22" t="s">
        <v>49</v>
      </c>
      <c r="F1009" s="23" t="str">
        <f>HYPERLINK("https://www.spark-marketing.ru/Card/Lot/73879391", "Оказание услуг по монтажу тревожной сигнализации (КТС) Общежития № 7 ФГБОУ ВО «БГПУ им.М.АКМУЛЛЫ»")</f>
        <v>Оказание услуг по монтажу тревожной сигнализации (КТС) Общежития № 7 ФГБОУ ВО «БГПУ им.М.АКМУЛЛЫ»</v>
      </c>
      <c r="G1009" s="22" t="s">
        <v>100</v>
      </c>
      <c r="H1009" s="22" t="s">
        <v>100</v>
      </c>
      <c r="I1009" s="26">
        <v>43733</v>
      </c>
      <c r="J1009" s="28" t="s">
        <v>52</v>
      </c>
      <c r="K1009" s="28" t="s">
        <v>52</v>
      </c>
      <c r="L1009" s="28" t="s">
        <v>52</v>
      </c>
      <c r="M1009" s="28" t="s">
        <v>52</v>
      </c>
      <c r="N1009" s="28" t="s">
        <v>52</v>
      </c>
    </row>
    <row r="1010" spans="1:14" x14ac:dyDescent="0.15">
      <c r="A1010" s="23" t="str">
        <f>HYPERLINK("https://www.spark-marketing.ru/Card/Person/740006", "ООО ""ВОРКУТИНСКИЕ ТЭЦ""")</f>
        <v>ООО "ВОРКУТИНСКИЕ ТЭЦ"</v>
      </c>
      <c r="B1010" s="24" t="s">
        <v>1831</v>
      </c>
      <c r="C1010" s="25">
        <v>69538723.200000003</v>
      </c>
      <c r="D1010" s="22" t="s">
        <v>1832</v>
      </c>
      <c r="E1010" s="22" t="s">
        <v>390</v>
      </c>
      <c r="F1010" s="23" t="str">
        <f>HYPERLINK("https://www.spark-marketing.ru/Card/Lot/73888695", "право заключения договора на оказание услуг по государственной охране объектов для нужд ООО «Воркутинские ТЭЦ» (ГКПЗ 9082903, № 015-20-ВТЭЦ)")</f>
        <v>право заключения договора на оказание услуг по государственной охране объектов для нужд ООО «Воркутинские ТЭЦ» (ГКПЗ 9082903, № 015-20-ВТЭЦ)</v>
      </c>
      <c r="G1010" s="22" t="s">
        <v>538</v>
      </c>
      <c r="H1010" s="22" t="s">
        <v>1833</v>
      </c>
      <c r="I1010" s="26">
        <v>43733</v>
      </c>
      <c r="J1010" s="28" t="s">
        <v>52</v>
      </c>
      <c r="K1010" s="28" t="s">
        <v>52</v>
      </c>
      <c r="L1010" s="28" t="s">
        <v>52</v>
      </c>
      <c r="M1010" s="28" t="s">
        <v>52</v>
      </c>
      <c r="N1010" s="28" t="s">
        <v>52</v>
      </c>
    </row>
    <row r="1011" spans="1:14" x14ac:dyDescent="0.15">
      <c r="A1011" s="23" t="str">
        <f>HYPERLINK("https://www.spark-marketing.ru/Card/Person/30759", "ПАО ""МТС""")</f>
        <v>ПАО "МТС"</v>
      </c>
      <c r="B1011" s="24" t="s">
        <v>1834</v>
      </c>
      <c r="C1011" s="28" t="s">
        <v>52</v>
      </c>
      <c r="D1011" s="28" t="s">
        <v>52</v>
      </c>
      <c r="E1011" s="22" t="s">
        <v>53</v>
      </c>
      <c r="F1011" s="23" t="str">
        <f>HYPERLINK("https://www.spark-marketing.ru/Card/Lot/73876654", "Уведомление о результатах открытого запроса предложений на право заключения договора на оказание услуг невооруженной физической охраны объекта филиала ПАО МТС в г. Чебоксары. (Торги № 101908-2)")</f>
        <v>Уведомление о результатах открытого запроса предложений на право заключения договора на оказание услуг невооруженной физической охраны объекта филиала ПАО МТС в г. Чебоксары. (Торги № 101908-2)</v>
      </c>
      <c r="G1011" s="22" t="s">
        <v>55</v>
      </c>
      <c r="H1011" s="22" t="s">
        <v>55</v>
      </c>
      <c r="I1011" s="26">
        <v>43733</v>
      </c>
      <c r="J1011" s="28" t="s">
        <v>52</v>
      </c>
      <c r="K1011" s="28" t="s">
        <v>52</v>
      </c>
      <c r="L1011" s="28" t="s">
        <v>52</v>
      </c>
      <c r="M1011" s="28" t="s">
        <v>52</v>
      </c>
      <c r="N1011" s="28" t="s">
        <v>52</v>
      </c>
    </row>
    <row r="1012" spans="1:14" x14ac:dyDescent="0.2">
      <c r="A1012" s="23" t="str">
        <f>HYPERLINK("https://www.spark-marketing.ru/Card/Person/150698", "ФГУП ""МБА""")</f>
        <v>ФГУП "МБА"</v>
      </c>
      <c r="B1012" s="24" t="s">
        <v>1835</v>
      </c>
      <c r="C1012" s="25">
        <v>330874</v>
      </c>
      <c r="D1012" s="22" t="s">
        <v>1836</v>
      </c>
      <c r="E1012" s="22" t="s">
        <v>1837</v>
      </c>
      <c r="F1012" s="23" t="str">
        <f>HYPERLINK("https://www.spark-marketing.ru/Card/Lot/73881137", "Работы по выполнению строительно-монтажных пусконаладочных работ по установке 3-х камер системы охраны телевидения на объекте ФГУП ""МБА"".")</f>
        <v>Работы по выполнению строительно-монтажных пусконаладочных работ по установке 3-х камер системы охраны телевидения на объекте ФГУП "МБА".</v>
      </c>
      <c r="G1012" s="22" t="s">
        <v>55</v>
      </c>
      <c r="H1012" s="22" t="s">
        <v>55</v>
      </c>
      <c r="I1012" s="26">
        <v>43733</v>
      </c>
      <c r="J1012" s="28" t="s">
        <v>52</v>
      </c>
      <c r="K1012" s="28" t="s">
        <v>52</v>
      </c>
      <c r="L1012" s="22" t="s">
        <v>10</v>
      </c>
      <c r="M1012" s="25">
        <v>330874</v>
      </c>
      <c r="N1012" s="27">
        <v>0</v>
      </c>
    </row>
    <row r="1013" spans="1:14" x14ac:dyDescent="0.15">
      <c r="A1013" s="23" t="str">
        <f>HYPERLINK("https://www.spark-marketing.ru/Card/Person/154173", "АО ""ГАЗПРОМ ГАЗОРАСПРЕДЕЛЕНИЕ ДАЛЬНИЙ ВОСТОК""")</f>
        <v>АО "ГАЗПРОМ ГАЗОРАСПРЕДЕЛЕНИЕ ДАЛЬНИЙ ВОСТОК"</v>
      </c>
      <c r="B1013" s="24" t="s">
        <v>1838</v>
      </c>
      <c r="C1013" s="25">
        <v>1930176</v>
      </c>
      <c r="D1013" s="22" t="s">
        <v>1839</v>
      </c>
      <c r="E1013" s="22" t="s">
        <v>1840</v>
      </c>
      <c r="F1013" s="23" t="str">
        <f>HYPERLINK("https://www.spark-marketing.ru/Card/Lot/73872654", "Выполнение работ по техническому обслуживанию системы охраны")</f>
        <v>Выполнение работ по техническому обслуживанию системы охраны</v>
      </c>
      <c r="G1013" s="22" t="s">
        <v>138</v>
      </c>
      <c r="H1013" s="22" t="s">
        <v>138</v>
      </c>
      <c r="I1013" s="26">
        <v>43733</v>
      </c>
      <c r="J1013" s="28" t="s">
        <v>52</v>
      </c>
      <c r="K1013" s="28" t="s">
        <v>52</v>
      </c>
      <c r="L1013" s="28" t="s">
        <v>52</v>
      </c>
      <c r="M1013" s="28" t="s">
        <v>52</v>
      </c>
      <c r="N1013" s="28" t="s">
        <v>52</v>
      </c>
    </row>
    <row r="1014" spans="1:14" x14ac:dyDescent="0.15">
      <c r="A1014" s="23" t="str">
        <f>HYPERLINK("https://www.spark-marketing.ru/Card/Person/2013920", "УФПС СВЕРДЛОВСКОЙ ОБЛ – ФЛ ФГУП ПОЧТА РОССИИ")</f>
        <v>УФПС СВЕРДЛОВСКОЙ ОБЛ – ФЛ ФГУП ПОЧТА РОССИИ</v>
      </c>
      <c r="B1014" s="24" t="s">
        <v>1424</v>
      </c>
      <c r="C1014" s="25">
        <v>76560</v>
      </c>
      <c r="D1014" s="22" t="s">
        <v>1841</v>
      </c>
      <c r="E1014" s="22" t="s">
        <v>53</v>
      </c>
      <c r="F1014" s="23" t="str">
        <f>HYPERLINK("https://www.spark-marketing.ru/Card/Lot/73838626", "ЛОТ № 3. Оказание услуг по техническому обслуживанию комплексов технических средств охраны на объектах почтовой связи Алапаевского почтамта УФПС Свердловской области - филиала ФГУП ""Почта России"".")</f>
        <v>ЛОТ № 3. Оказание услуг по техническому обслуживанию комплексов технических средств охраны на объектах почтовой связи Алапаевского почтамта УФПС Свердловской области - филиала ФГУП "Почта России".</v>
      </c>
      <c r="G1014" s="22" t="s">
        <v>72</v>
      </c>
      <c r="H1014" s="22" t="s">
        <v>72</v>
      </c>
      <c r="I1014" s="26">
        <v>43732.351388888899</v>
      </c>
      <c r="J1014" s="28" t="s">
        <v>52</v>
      </c>
      <c r="K1014" s="28" t="s">
        <v>52</v>
      </c>
      <c r="L1014" s="28" t="s">
        <v>52</v>
      </c>
      <c r="M1014" s="28" t="s">
        <v>52</v>
      </c>
      <c r="N1014" s="28" t="s">
        <v>52</v>
      </c>
    </row>
    <row r="1015" spans="1:14" x14ac:dyDescent="0.15">
      <c r="A1015" s="23" t="str">
        <f>HYPERLINK("https://www.spark-marketing.ru/Card/Person/4348451", "ПАО ""Т ПЛЮС""")</f>
        <v>ПАО "Т ПЛЮС"</v>
      </c>
      <c r="B1015" s="24" t="s">
        <v>47</v>
      </c>
      <c r="C1015" s="25">
        <v>74613196.799999997</v>
      </c>
      <c r="D1015" s="22" t="s">
        <v>1842</v>
      </c>
      <c r="E1015" s="22" t="s">
        <v>390</v>
      </c>
      <c r="F1015" s="23" t="str">
        <f>HYPERLINK("https://www.spark-marketing.ru/Card/Lot/73886692", "право заключения договора на оказание услуг по государственной охране объектов для нужд Филиала «Коми» ПАО «Т Плюс» (ГКПЗ 9082902, № 014-20)")</f>
        <v>право заключения договора на оказание услуг по государственной охране объектов для нужд Филиала «Коми» ПАО «Т Плюс» (ГКПЗ 9082902, № 014-20)</v>
      </c>
      <c r="G1015" s="22" t="s">
        <v>50</v>
      </c>
      <c r="H1015" s="22" t="s">
        <v>51</v>
      </c>
      <c r="I1015" s="26">
        <v>43733</v>
      </c>
      <c r="J1015" s="28" t="s">
        <v>52</v>
      </c>
      <c r="K1015" s="28" t="s">
        <v>52</v>
      </c>
      <c r="L1015" s="28" t="s">
        <v>52</v>
      </c>
      <c r="M1015" s="28" t="s">
        <v>52</v>
      </c>
      <c r="N1015" s="28" t="s">
        <v>52</v>
      </c>
    </row>
    <row r="1016" spans="1:14" x14ac:dyDescent="0.15">
      <c r="A1016" s="23" t="str">
        <f>HYPERLINK("https://www.spark-marketing.ru/Card/Person/6474612", "МАУ ""ДКМ""")</f>
        <v>МАУ "ДКМ"</v>
      </c>
      <c r="B1016" s="24" t="s">
        <v>1843</v>
      </c>
      <c r="C1016" s="25">
        <v>413337.59999999998</v>
      </c>
      <c r="D1016" s="22" t="s">
        <v>1844</v>
      </c>
      <c r="E1016" s="22" t="s">
        <v>789</v>
      </c>
      <c r="F1016" s="23" t="str">
        <f>HYPERLINK("https://www.spark-marketing.ru/Card/Lot/73875122", "Оказание охранных услуг")</f>
        <v>Оказание охранных услуг</v>
      </c>
      <c r="G1016" s="22" t="s">
        <v>72</v>
      </c>
      <c r="H1016" s="22" t="s">
        <v>72</v>
      </c>
      <c r="I1016" s="26">
        <v>43733</v>
      </c>
      <c r="J1016" s="28" t="s">
        <v>52</v>
      </c>
      <c r="K1016" s="28" t="s">
        <v>52</v>
      </c>
      <c r="L1016" s="28" t="s">
        <v>52</v>
      </c>
      <c r="M1016" s="28" t="s">
        <v>52</v>
      </c>
      <c r="N1016" s="28" t="s">
        <v>52</v>
      </c>
    </row>
    <row r="1017" spans="1:14" x14ac:dyDescent="0.15">
      <c r="A1017" s="23" t="str">
        <f>HYPERLINK("https://www.spark-marketing.ru/Card/Person/2013920", "УФПС СВЕРДЛОВСКОЙ ОБЛ – ФЛ ФГУП ПОЧТА РОССИИ")</f>
        <v>УФПС СВЕРДЛОВСКОЙ ОБЛ – ФЛ ФГУП ПОЧТА РОССИИ</v>
      </c>
      <c r="B1017" s="24" t="s">
        <v>1424</v>
      </c>
      <c r="C1017" s="25">
        <v>274920</v>
      </c>
      <c r="D1017" s="22" t="s">
        <v>1841</v>
      </c>
      <c r="E1017" s="22" t="s">
        <v>53</v>
      </c>
      <c r="F1017" s="23" t="str">
        <f>HYPERLINK("https://www.spark-marketing.ru/Card/Lot/73838624", "ЛОТ № 1. Оказание услуг по техническому обслуживанию комплексов технических средств охраны на объектах почтовой связи УФПС Свердловской области - филиала ФГУП ""Почта России"" (г. Талица, г. Камышлов, г. Сухой Лог, п. Троицкий, с. Байкалово, п. Тугул...")</f>
        <v>ЛОТ № 1. Оказание услуг по техническому обслуживанию комплексов технических средств охраны на объектах почтовой связи УФПС Свердловской области - филиала ФГУП "Почта России" (г. Талица, г. Камышлов, г. Сухой Лог, п. Троицкий, с. Байкалово, п. Тугул...</v>
      </c>
      <c r="G1017" s="22" t="s">
        <v>72</v>
      </c>
      <c r="H1017" s="22" t="s">
        <v>72</v>
      </c>
      <c r="I1017" s="26">
        <v>43732.351388888899</v>
      </c>
      <c r="J1017" s="28" t="s">
        <v>52</v>
      </c>
      <c r="K1017" s="28" t="s">
        <v>52</v>
      </c>
      <c r="L1017" s="28" t="s">
        <v>52</v>
      </c>
      <c r="M1017" s="28" t="s">
        <v>52</v>
      </c>
      <c r="N1017" s="28" t="s">
        <v>52</v>
      </c>
    </row>
    <row r="1018" spans="1:14" x14ac:dyDescent="0.2">
      <c r="A1018" s="23" t="str">
        <f>HYPERLINK("https://www.spark-marketing.ru/Card/Person/1777495", "АО ""КРОНШТАДТСКИЙ МОРСКОЙ ЗАВОД""")</f>
        <v>АО "КРОНШТАДТСКИЙ МОРСКОЙ ЗАВОД"</v>
      </c>
      <c r="B1018" s="24" t="s">
        <v>1845</v>
      </c>
      <c r="C1018" s="25">
        <v>200000</v>
      </c>
      <c r="D1018" s="22" t="s">
        <v>1846</v>
      </c>
      <c r="E1018" s="22" t="s">
        <v>49</v>
      </c>
      <c r="F1018" s="23" t="str">
        <f>HYPERLINK("https://www.spark-marketing.ru/Card/Lot/73885971", "Установка охранной сигнализации периметра")</f>
        <v>Установка охранной сигнализации периметра</v>
      </c>
      <c r="G1018" s="22" t="s">
        <v>89</v>
      </c>
      <c r="H1018" s="22" t="s">
        <v>89</v>
      </c>
      <c r="I1018" s="26">
        <v>43733</v>
      </c>
      <c r="J1018" s="28" t="s">
        <v>52</v>
      </c>
      <c r="K1018" s="28" t="s">
        <v>52</v>
      </c>
      <c r="L1018" s="22" t="s">
        <v>10</v>
      </c>
      <c r="M1018" s="25">
        <v>200000</v>
      </c>
      <c r="N1018" s="27">
        <v>0</v>
      </c>
    </row>
    <row r="1019" spans="1:14" x14ac:dyDescent="0.15">
      <c r="A1019" s="23" t="str">
        <f>HYPERLINK("https://www.spark-marketing.ru/Card/Person/4365986", "АО ""РОСТОВВОДОКАНАЛ""")</f>
        <v>АО "РОСТОВВОДОКАНАЛ"</v>
      </c>
      <c r="B1019" s="24" t="s">
        <v>1847</v>
      </c>
      <c r="C1019" s="25">
        <v>115632</v>
      </c>
      <c r="D1019" s="22" t="s">
        <v>1848</v>
      </c>
      <c r="E1019" s="22" t="s">
        <v>1849</v>
      </c>
      <c r="F1019" s="23" t="str">
        <f>HYPERLINK("https://www.spark-marketing.ru/Card/Lot/73875177", "Выполнение работ по техническому обслуживанию средств автоматизации, блокировок и сигнализации газоиспользующего оборудования - водогрейных котлов «ДКВР-6,5/13» №№ 1,3 котельной ПП «РСА» ул. 1-я Луговая, 32 АО «Ростовводоканал».")</f>
        <v>Выполнение работ по техническому обслуживанию средств автоматизации, блокировок и сигнализации газоиспользующего оборудования - водогрейных котлов «ДКВР-6,5/13» №№ 1,3 котельной ПП «РСА» ул. 1-я Луговая, 32 АО «Ростовводоканал».</v>
      </c>
      <c r="G1019" s="22" t="s">
        <v>402</v>
      </c>
      <c r="H1019" s="22" t="s">
        <v>402</v>
      </c>
      <c r="I1019" s="26">
        <v>43733</v>
      </c>
      <c r="J1019" s="28" t="s">
        <v>52</v>
      </c>
      <c r="K1019" s="28" t="s">
        <v>52</v>
      </c>
      <c r="L1019" s="28" t="s">
        <v>52</v>
      </c>
      <c r="M1019" s="28" t="s">
        <v>52</v>
      </c>
      <c r="N1019" s="28" t="s">
        <v>52</v>
      </c>
    </row>
    <row r="1020" spans="1:14" x14ac:dyDescent="0.15">
      <c r="A1020" s="23" t="str">
        <f>HYPERLINK("https://www.spark-marketing.ru/Card/Person/1081784", "МАДОУ №8 ""ОГОНЁК""")</f>
        <v>МАДОУ №8 "ОГОНЁК"</v>
      </c>
      <c r="B1020" s="24" t="s">
        <v>1850</v>
      </c>
      <c r="C1020" s="25">
        <v>1504036</v>
      </c>
      <c r="D1020" s="22" t="s">
        <v>1851</v>
      </c>
      <c r="E1020" s="22" t="s">
        <v>609</v>
      </c>
      <c r="F1020" s="23" t="str">
        <f>HYPERLINK("https://www.spark-marketing.ru/Card/Lot/73886874", "Поставка и монтаж охранноцифрового видеонаблюдения")</f>
        <v>Поставка и монтаж охранноцифрового видеонаблюдения</v>
      </c>
      <c r="G1020" s="22" t="s">
        <v>119</v>
      </c>
      <c r="H1020" s="22" t="s">
        <v>463</v>
      </c>
      <c r="I1020" s="26">
        <v>43733</v>
      </c>
      <c r="J1020" s="28" t="s">
        <v>52</v>
      </c>
      <c r="K1020" s="28" t="s">
        <v>52</v>
      </c>
      <c r="L1020" s="28" t="s">
        <v>52</v>
      </c>
      <c r="M1020" s="28" t="s">
        <v>52</v>
      </c>
      <c r="N1020" s="28" t="s">
        <v>52</v>
      </c>
    </row>
    <row r="1021" spans="1:14" x14ac:dyDescent="0.15">
      <c r="A1021" s="23" t="str">
        <f>HYPERLINK("https://www.spark-marketing.ru/Card/Person/2013920", "УФПС СВЕРДЛОВСКОЙ ОБЛ – ФЛ ФГУП ПОЧТА РОССИИ")</f>
        <v>УФПС СВЕРДЛОВСКОЙ ОБЛ – ФЛ ФГУП ПОЧТА РОССИИ</v>
      </c>
      <c r="B1021" s="24" t="s">
        <v>1424</v>
      </c>
      <c r="C1021" s="25">
        <v>93960</v>
      </c>
      <c r="D1021" s="22" t="s">
        <v>1841</v>
      </c>
      <c r="E1021" s="22" t="s">
        <v>53</v>
      </c>
      <c r="F1021" s="23" t="str">
        <f>HYPERLINK("https://www.spark-marketing.ru/Card/Lot/73838625", "ЛОТ № 2. Оказание услуг по техническому обслуживанию комплексов технических средств охраны на объектах почтовой связи Асбестовского почтамта УФПС Свердловской области - филиала ФГУП ""Почта России"", в г. Каменск-Уральский и прилигающих населенныъ пу...")</f>
        <v>ЛОТ № 2. Оказание услуг по техническому обслуживанию комплексов технических средств охраны на объектах почтовой связи Асбестовского почтамта УФПС Свердловской области - филиала ФГУП "Почта России", в г. Каменск-Уральский и прилигающих населенныъ пу...</v>
      </c>
      <c r="G1021" s="22" t="s">
        <v>72</v>
      </c>
      <c r="H1021" s="22" t="s">
        <v>72</v>
      </c>
      <c r="I1021" s="26">
        <v>43732.351388888899</v>
      </c>
      <c r="J1021" s="28" t="s">
        <v>52</v>
      </c>
      <c r="K1021" s="28" t="s">
        <v>52</v>
      </c>
      <c r="L1021" s="28" t="s">
        <v>52</v>
      </c>
      <c r="M1021" s="28" t="s">
        <v>52</v>
      </c>
      <c r="N1021" s="28" t="s">
        <v>52</v>
      </c>
    </row>
    <row r="1022" spans="1:14" x14ac:dyDescent="0.15">
      <c r="A1022" s="23" t="str">
        <f>HYPERLINK("https://www.spark-marketing.ru/Card/Person/126307", "ГАУ ""МОСКОВСКИЙ ЗООПАРК""")</f>
        <v>ГАУ "МОСКОВСКИЙ ЗООПАРК"</v>
      </c>
      <c r="B1022" s="24" t="s">
        <v>1852</v>
      </c>
      <c r="C1022" s="25">
        <v>395556</v>
      </c>
      <c r="D1022" s="22" t="s">
        <v>1853</v>
      </c>
      <c r="E1022" s="22" t="s">
        <v>175</v>
      </c>
      <c r="F1022" s="23" t="str">
        <f>HYPERLINK("https://www.spark-marketing.ru/Card/Lot/73892349", "Выполнение работ по модернизации системы промышленного видеонаблюдения с установкой дополнительных видеокамер павильона ""Теплолюбивые хищные"" ГАУ ""Московский зоопарк"" по адресу: 123242, г. Москва, ул. Большая Грузинская, д. 1, стр.106")</f>
        <v>Выполнение работ по модернизации системы промышленного видеонаблюдения с установкой дополнительных видеокамер павильона "Теплолюбивые хищные" ГАУ "Московский зоопарк" по адресу: 123242, г. Москва, ул. Большая Грузинская, д. 1, стр.106</v>
      </c>
      <c r="G1022" s="22" t="s">
        <v>55</v>
      </c>
      <c r="H1022" s="22" t="s">
        <v>55</v>
      </c>
      <c r="I1022" s="26">
        <v>43733</v>
      </c>
      <c r="J1022" s="28" t="s">
        <v>52</v>
      </c>
      <c r="K1022" s="28" t="s">
        <v>52</v>
      </c>
      <c r="L1022" s="28" t="s">
        <v>52</v>
      </c>
      <c r="M1022" s="28" t="s">
        <v>52</v>
      </c>
      <c r="N1022" s="28" t="s">
        <v>52</v>
      </c>
    </row>
    <row r="1023" spans="1:14" x14ac:dyDescent="0.15">
      <c r="A1023" s="23" t="str">
        <f>HYPERLINK("https://www.spark-marketing.ru/Card/Person/110866", "АО ""НЗХК-ИНЖИНИРИНГ""")</f>
        <v>АО "НЗХК-ИНЖИНИРИНГ"</v>
      </c>
      <c r="B1023" s="24" t="s">
        <v>1763</v>
      </c>
      <c r="C1023" s="28" t="s">
        <v>52</v>
      </c>
      <c r="D1023" s="22" t="s">
        <v>1854</v>
      </c>
      <c r="E1023" s="22" t="s">
        <v>53</v>
      </c>
      <c r="F1023" s="23" t="str">
        <f>HYPERLINK("https://www.spark-marketing.ru/Card/Lot/73882872", "Запрос ТКП на оказание услуг по установке интегрированной охранной сигнализации (1349933)")</f>
        <v>Запрос ТКП на оказание услуг по установке интегрированной охранной сигнализации (1349933)</v>
      </c>
      <c r="G1023" s="22" t="s">
        <v>209</v>
      </c>
      <c r="H1023" s="22" t="s">
        <v>210</v>
      </c>
      <c r="I1023" s="26">
        <v>43733.511666666702</v>
      </c>
      <c r="J1023" s="28" t="s">
        <v>52</v>
      </c>
      <c r="K1023" s="28" t="s">
        <v>52</v>
      </c>
      <c r="L1023" s="28" t="s">
        <v>52</v>
      </c>
      <c r="M1023" s="28" t="s">
        <v>52</v>
      </c>
      <c r="N1023" s="28" t="s">
        <v>52</v>
      </c>
    </row>
    <row r="1024" spans="1:14" x14ac:dyDescent="0.15">
      <c r="A1024" s="23" t="str">
        <f>HYPERLINK("https://www.spark-marketing.ru/Card/Person/1848827", "ЛОГКУ ""ЛЕНОБЛЛЕС""")</f>
        <v>ЛОГКУ "ЛЕНОБЛЛЕС"</v>
      </c>
      <c r="B1024" s="24" t="s">
        <v>1855</v>
      </c>
      <c r="C1024" s="25">
        <v>196141.94</v>
      </c>
      <c r="D1024" s="22" t="s">
        <v>1856</v>
      </c>
      <c r="E1024" s="22" t="s">
        <v>84</v>
      </c>
      <c r="F1024" s="23" t="str">
        <f>HYPERLINK("https://www.spark-marketing.ru/Card/Lot/73859496", "Выполнение работ по установке системы видеонаблюдения на объектах Всеволожского лесничества - филиала ЛОГКУ ""Ленобллес""")</f>
        <v>Выполнение работ по установке системы видеонаблюдения на объектах Всеволожского лесничества - филиала ЛОГКУ "Ленобллес"</v>
      </c>
      <c r="G1024" s="22" t="s">
        <v>861</v>
      </c>
      <c r="H1024" s="22" t="s">
        <v>934</v>
      </c>
      <c r="I1024" s="26">
        <v>43732.795138888898</v>
      </c>
      <c r="J1024" s="23" t="str">
        <f>HYPERLINK("https://www.spark-marketing.ru/Card/Person/6705643", "ООО ""АПЛ""")</f>
        <v>ООО "АПЛ"</v>
      </c>
      <c r="K1024" s="24" t="s">
        <v>1857</v>
      </c>
      <c r="L1024" s="22" t="s">
        <v>10</v>
      </c>
      <c r="M1024" s="28" t="s">
        <v>52</v>
      </c>
      <c r="N1024" s="28" t="s">
        <v>52</v>
      </c>
    </row>
    <row r="1025" spans="1:14" x14ac:dyDescent="0.15">
      <c r="A1025" s="23" t="str">
        <f>HYPERLINK("https://www.spark-marketing.ru/Card/Person/164719", "УСК ""НЕФТЕХИМИК"" ПАО ""НКНХ""")</f>
        <v>УСК "НЕФТЕХИМИК" ПАО "НКНХ"</v>
      </c>
      <c r="B1025" s="24" t="s">
        <v>1858</v>
      </c>
      <c r="C1025" s="25">
        <v>120</v>
      </c>
      <c r="D1025" s="22" t="s">
        <v>1859</v>
      </c>
      <c r="E1025" s="22" t="s">
        <v>53</v>
      </c>
      <c r="F1025" s="23" t="str">
        <f>HYPERLINK("https://www.spark-marketing.ru/Card/Lot/73865904", "Физическая охрана объектов УСК ""Нефтехимик"" ПАО ""НКНХ""")</f>
        <v>Физическая охрана объектов УСК "Нефтехимик" ПАО "НКНХ"</v>
      </c>
      <c r="G1025" s="22" t="s">
        <v>204</v>
      </c>
      <c r="H1025" s="22" t="s">
        <v>824</v>
      </c>
      <c r="I1025" s="26">
        <v>43732.721145833297</v>
      </c>
      <c r="J1025" s="28" t="s">
        <v>52</v>
      </c>
      <c r="K1025" s="28" t="s">
        <v>52</v>
      </c>
      <c r="L1025" s="28" t="s">
        <v>52</v>
      </c>
      <c r="M1025" s="28" t="s">
        <v>52</v>
      </c>
      <c r="N1025" s="28" t="s">
        <v>52</v>
      </c>
    </row>
    <row r="1026" spans="1:14" x14ac:dyDescent="0.15">
      <c r="A1026" s="23" t="str">
        <f>HYPERLINK("https://www.spark-marketing.ru/Card/Person/203905", "ООО ""ТАИФ-СТ""")</f>
        <v>ООО "ТАИФ-СТ"</v>
      </c>
      <c r="B1026" s="24" t="s">
        <v>1860</v>
      </c>
      <c r="C1026" s="25">
        <v>750</v>
      </c>
      <c r="D1026" s="22" t="s">
        <v>1861</v>
      </c>
      <c r="E1026" s="22" t="s">
        <v>53</v>
      </c>
      <c r="F1026" s="23" t="str">
        <f>HYPERLINK("https://www.spark-marketing.ru/Card/Lot/73865874", "Ботинки летние")</f>
        <v>Ботинки летние</v>
      </c>
      <c r="G1026" s="22" t="s">
        <v>204</v>
      </c>
      <c r="H1026" s="22" t="s">
        <v>303</v>
      </c>
      <c r="I1026" s="26">
        <v>43732.700162036999</v>
      </c>
      <c r="J1026" s="28" t="s">
        <v>52</v>
      </c>
      <c r="K1026" s="28" t="s">
        <v>52</v>
      </c>
      <c r="L1026" s="28" t="s">
        <v>52</v>
      </c>
      <c r="M1026" s="28" t="s">
        <v>52</v>
      </c>
      <c r="N1026" s="28" t="s">
        <v>52</v>
      </c>
    </row>
    <row r="1027" spans="1:14" x14ac:dyDescent="0.15">
      <c r="A1027" s="23" t="str">
        <f>HYPERLINK("https://www.spark-marketing.ru/Card/Person/48248", "ГУП ""МОСГОРТРАНС""")</f>
        <v>ГУП "МОСГОРТРАНС"</v>
      </c>
      <c r="B1027" s="24" t="s">
        <v>1862</v>
      </c>
      <c r="C1027" s="25">
        <v>3587232</v>
      </c>
      <c r="D1027" s="22" t="s">
        <v>1863</v>
      </c>
      <c r="E1027" s="22" t="s">
        <v>180</v>
      </c>
      <c r="F1027" s="23" t="str">
        <f>HYPERLINK("https://www.spark-marketing.ru/Card/Lot/73862886", "Поставка автоматизированных комплексов радиационного контроля для нужд филиала Служба транспортной безопасности ГУП «Мосгортранс»")</f>
        <v>Поставка автоматизированных комплексов радиационного контроля для нужд филиала Служба транспортной безопасности ГУП «Мосгортранс»</v>
      </c>
      <c r="G1027" s="22" t="s">
        <v>55</v>
      </c>
      <c r="H1027" s="22" t="s">
        <v>55</v>
      </c>
      <c r="I1027" s="26">
        <v>43732.692129629599</v>
      </c>
      <c r="J1027" s="23" t="str">
        <f>HYPERLINK("https://www.spark-marketing.ru/Card/Person/164429", "ООО ""АС-ЮГ""")</f>
        <v>ООО "АС-ЮГ"</v>
      </c>
      <c r="K1027" s="24" t="s">
        <v>1864</v>
      </c>
      <c r="L1027" s="22" t="s">
        <v>10</v>
      </c>
      <c r="M1027" s="28" t="s">
        <v>52</v>
      </c>
      <c r="N1027" s="28" t="s">
        <v>52</v>
      </c>
    </row>
    <row r="1028" spans="1:14" x14ac:dyDescent="0.15">
      <c r="A1028" s="23" t="str">
        <f>HYPERLINK("https://www.spark-marketing.ru/Card/Person/203905", "ООО ""ТАИФ-СТ""")</f>
        <v>ООО "ТАИФ-СТ"</v>
      </c>
      <c r="B1028" s="24" t="s">
        <v>1860</v>
      </c>
      <c r="C1028" s="25">
        <v>2150</v>
      </c>
      <c r="D1028" s="22" t="s">
        <v>1861</v>
      </c>
      <c r="E1028" s="22" t="s">
        <v>53</v>
      </c>
      <c r="F1028" s="23" t="str">
        <f>HYPERLINK("https://www.spark-marketing.ru/Card/Lot/73865872", "Костюм зимний для охранника")</f>
        <v>Костюм зимний для охранника</v>
      </c>
      <c r="G1028" s="22" t="s">
        <v>204</v>
      </c>
      <c r="H1028" s="22" t="s">
        <v>303</v>
      </c>
      <c r="I1028" s="26">
        <v>43732.700162036999</v>
      </c>
      <c r="J1028" s="28" t="s">
        <v>52</v>
      </c>
      <c r="K1028" s="28" t="s">
        <v>52</v>
      </c>
      <c r="L1028" s="28" t="s">
        <v>52</v>
      </c>
      <c r="M1028" s="28" t="s">
        <v>52</v>
      </c>
      <c r="N1028" s="28" t="s">
        <v>52</v>
      </c>
    </row>
    <row r="1029" spans="1:14" x14ac:dyDescent="0.15">
      <c r="A1029" s="23" t="str">
        <f>HYPERLINK("https://www.spark-marketing.ru/Card/Person/203905", "ООО ""ТАИФ-СТ""")</f>
        <v>ООО "ТАИФ-СТ"</v>
      </c>
      <c r="B1029" s="24" t="s">
        <v>1860</v>
      </c>
      <c r="C1029" s="25">
        <v>2100</v>
      </c>
      <c r="D1029" s="22" t="s">
        <v>1861</v>
      </c>
      <c r="E1029" s="22" t="s">
        <v>53</v>
      </c>
      <c r="F1029" s="23" t="str">
        <f>HYPERLINK("https://www.spark-marketing.ru/Card/Lot/73865873", "Ботинки зимние")</f>
        <v>Ботинки зимние</v>
      </c>
      <c r="G1029" s="22" t="s">
        <v>204</v>
      </c>
      <c r="H1029" s="22" t="s">
        <v>303</v>
      </c>
      <c r="I1029" s="26">
        <v>43732.700162036999</v>
      </c>
      <c r="J1029" s="28" t="s">
        <v>52</v>
      </c>
      <c r="K1029" s="28" t="s">
        <v>52</v>
      </c>
      <c r="L1029" s="28" t="s">
        <v>52</v>
      </c>
      <c r="M1029" s="28" t="s">
        <v>52</v>
      </c>
      <c r="N1029" s="28" t="s">
        <v>52</v>
      </c>
    </row>
    <row r="1030" spans="1:14" x14ac:dyDescent="0.15">
      <c r="A1030" s="23" t="str">
        <f>HYPERLINK("https://www.spark-marketing.ru/Card/Person/1013", "БУЗ ВО ""ВОЛОГОДСКАЯ ОБЛАСТНАЯ ПСИХИАТРИЧЕСКАЯ БОЛЬНИЦА"", БУЗ ВО ""ВОПБ""")</f>
        <v>БУЗ ВО "ВОЛОГОДСКАЯ ОБЛАСТНАЯ ПСИХИАТРИЧЕСКАЯ БОЛЬНИЦА", БУЗ ВО "ВОПБ"</v>
      </c>
      <c r="B1030" s="24" t="s">
        <v>1865</v>
      </c>
      <c r="C1030" s="25">
        <v>536000</v>
      </c>
      <c r="D1030" s="22" t="s">
        <v>1866</v>
      </c>
      <c r="E1030" s="22" t="s">
        <v>79</v>
      </c>
      <c r="F1030" s="23" t="str">
        <f>HYPERLINK("https://www.spark-marketing.ru/Card/Lot/73860299", "Выполнение работ по установке сварного забора и монтажу системы видеонаблюдения по адресу: г. Вологда, ул. Залинейная д.22-Е")</f>
        <v>Выполнение работ по установке сварного забора и монтажу системы видеонаблюдения по адресу: г. Вологда, ул. Залинейная д.22-Е</v>
      </c>
      <c r="G1030" s="22" t="s">
        <v>902</v>
      </c>
      <c r="H1030" s="22" t="s">
        <v>1867</v>
      </c>
      <c r="I1030" s="26">
        <v>43732.640277777798</v>
      </c>
      <c r="J1030" s="28" t="s">
        <v>52</v>
      </c>
      <c r="K1030" s="28" t="s">
        <v>52</v>
      </c>
      <c r="L1030" s="28" t="s">
        <v>52</v>
      </c>
      <c r="M1030" s="28" t="s">
        <v>52</v>
      </c>
      <c r="N1030" s="28" t="s">
        <v>52</v>
      </c>
    </row>
    <row r="1031" spans="1:14" hidden="1" outlineLevel="1" x14ac:dyDescent="0.2">
      <c r="A1031" s="23" t="str">
        <f>HYPERLINK("https://www.spark-marketing.ru/Card/Person/1013", "БУЗ ВО ""ВОЛОГОДСКАЯ ОБЛАСТНАЯ ПСИХИАТРИЧЕСКАЯ БОЛЬНИЦА"", БУЗ ВО ""ВОПБ""")</f>
        <v>БУЗ ВО "ВОЛОГОДСКАЯ ОБЛАСТНАЯ ПСИХИАТРИЧЕСКАЯ БОЛЬНИЦА", БУЗ ВО "ВОПБ"</v>
      </c>
      <c r="B1031" s="24" t="s">
        <v>1865</v>
      </c>
      <c r="C1031" s="25">
        <v>536000</v>
      </c>
      <c r="D1031" s="22" t="s">
        <v>1866</v>
      </c>
      <c r="E1031" s="22" t="s">
        <v>79</v>
      </c>
      <c r="F1031" s="23" t="str">
        <f>HYPERLINK("https://www.spark-marketing.ru/Card/Lot/73860299", "Выполнение работ по установке сварного забора и монтажу системы видеонаблюдения по адресу: г. Вологда, ул. Залинейная д.22-Е")</f>
        <v>Выполнение работ по установке сварного забора и монтажу системы видеонаблюдения по адресу: г. Вологда, ул. Залинейная д.22-Е</v>
      </c>
      <c r="G1031" s="22" t="s">
        <v>902</v>
      </c>
      <c r="H1031" s="22" t="s">
        <v>1867</v>
      </c>
      <c r="I1031" s="26">
        <v>43732.640277777798</v>
      </c>
      <c r="J1031" s="23" t="str">
        <f>HYPERLINK("https://www.spark-marketing.ru/Card/Person/6446375", "Шведко Даниил Игоревич")</f>
        <v>Шведко Даниил Игоревич</v>
      </c>
      <c r="K1031" s="24" t="s">
        <v>1868</v>
      </c>
      <c r="L1031" s="28" t="s">
        <v>52</v>
      </c>
      <c r="M1031" s="25">
        <v>481960</v>
      </c>
      <c r="N1031" s="27">
        <v>0.10082089552238806</v>
      </c>
    </row>
    <row r="1032" spans="1:14" ht="12.75" hidden="1" outlineLevel="1" x14ac:dyDescent="0.2">
      <c r="A1032" s="23" t="str">
        <f>HYPERLINK("https://www.spark-marketing.ru/Card/Person/1013", "БУЗ ВО ""ВОЛОГОДСКАЯ ОБЛАСТНАЯ ПСИХИАТРИЧЕСКАЯ БОЛЬНИЦА"", БУЗ ВО ""ВОПБ""")</f>
        <v>БУЗ ВО "ВОЛОГОДСКАЯ ОБЛАСТНАЯ ПСИХИАТРИЧЕСКАЯ БОЛЬНИЦА", БУЗ ВО "ВОПБ"</v>
      </c>
      <c r="B1032" s="24" t="s">
        <v>1865</v>
      </c>
      <c r="C1032" s="25">
        <v>536000</v>
      </c>
      <c r="D1032" s="22" t="s">
        <v>1866</v>
      </c>
      <c r="E1032" s="22" t="s">
        <v>79</v>
      </c>
      <c r="F1032" s="23" t="str">
        <f>HYPERLINK("https://www.spark-marketing.ru/Card/Lot/73860299", "Выполнение работ по установке сварного забора и монтажу системы видеонаблюдения по адресу: г. Вологда, ул. Залинейная д.22-Е")</f>
        <v>Выполнение работ по установке сварного забора и монтажу системы видеонаблюдения по адресу: г. Вологда, ул. Залинейная д.22-Е</v>
      </c>
      <c r="G1032" s="22" t="s">
        <v>902</v>
      </c>
      <c r="H1032" s="22" t="s">
        <v>1867</v>
      </c>
      <c r="I1032" s="26">
        <v>43732.640277777798</v>
      </c>
      <c r="J1032" s="23" t="str">
        <f>HYPERLINK("https://www.spark-marketing.ru/Card/Person/6313320", "ООО ""ПСК СЕАН""")</f>
        <v>ООО "ПСК СЕАН"</v>
      </c>
      <c r="K1032" s="24" t="s">
        <v>1869</v>
      </c>
      <c r="L1032" s="22" t="s">
        <v>10</v>
      </c>
      <c r="M1032" s="25">
        <v>398880</v>
      </c>
      <c r="N1032" s="27">
        <v>0.25582089552238807</v>
      </c>
    </row>
    <row r="1033" spans="1:14" hidden="1" outlineLevel="1" x14ac:dyDescent="0.2">
      <c r="A1033" s="23" t="str">
        <f>HYPERLINK("https://www.spark-marketing.ru/Card/Person/1013", "БУЗ ВО ""ВОЛОГОДСКАЯ ОБЛАСТНАЯ ПСИХИАТРИЧЕСКАЯ БОЛЬНИЦА"", БУЗ ВО ""ВОПБ""")</f>
        <v>БУЗ ВО "ВОЛОГОДСКАЯ ОБЛАСТНАЯ ПСИХИАТРИЧЕСКАЯ БОЛЬНИЦА", БУЗ ВО "ВОПБ"</v>
      </c>
      <c r="B1033" s="24" t="s">
        <v>1865</v>
      </c>
      <c r="C1033" s="25">
        <v>536000</v>
      </c>
      <c r="D1033" s="22" t="s">
        <v>1866</v>
      </c>
      <c r="E1033" s="22" t="s">
        <v>79</v>
      </c>
      <c r="F1033" s="23" t="str">
        <f>HYPERLINK("https://www.spark-marketing.ru/Card/Lot/73860299", "Выполнение работ по установке сварного забора и монтажу системы видеонаблюдения по адресу: г. Вологда, ул. Залинейная д.22-Е")</f>
        <v>Выполнение работ по установке сварного забора и монтажу системы видеонаблюдения по адресу: г. Вологда, ул. Залинейная д.22-Е</v>
      </c>
      <c r="G1033" s="22" t="s">
        <v>902</v>
      </c>
      <c r="H1033" s="22" t="s">
        <v>1867</v>
      </c>
      <c r="I1033" s="26">
        <v>43732.640277777798</v>
      </c>
      <c r="J1033" s="23" t="str">
        <f>HYPERLINK("https://www.spark-marketing.ru/Card/Person/6502772", "ООО ""МЕТА СЕРВИС""")</f>
        <v>ООО "МЕТА СЕРВИС"</v>
      </c>
      <c r="K1033" s="24" t="s">
        <v>1870</v>
      </c>
      <c r="L1033" s="28" t="s">
        <v>52</v>
      </c>
      <c r="M1033" s="25">
        <v>401560</v>
      </c>
      <c r="N1033" s="27">
        <v>0.25082089552238807</v>
      </c>
    </row>
    <row r="1034" spans="1:14" x14ac:dyDescent="0.15">
      <c r="A1034" s="23" t="str">
        <f>HYPERLINK("https://www.spark-marketing.ru/Card/Person/4343561", "РОСРЕЗЕРВ")</f>
        <v>РОСРЕЗЕРВ</v>
      </c>
      <c r="B1034" s="24" t="s">
        <v>1119</v>
      </c>
      <c r="C1034" s="25">
        <v>98830</v>
      </c>
      <c r="D1034" s="22" t="s">
        <v>1871</v>
      </c>
      <c r="E1034" s="22" t="s">
        <v>107</v>
      </c>
      <c r="F1034" s="23" t="str">
        <f>HYPERLINK("https://www.spark-marketing.ru/Card/Lot/73851104", "Техническое обслуживание средств ОС, ОПС, ТС, видеонаблюдения и СКУД, 1 шт")</f>
        <v>Техническое обслуживание средств ОС, ОПС, ТС, видеонаблюдения и СКУД, 1 шт</v>
      </c>
      <c r="G1034" s="22" t="s">
        <v>55</v>
      </c>
      <c r="H1034" s="22" t="s">
        <v>55</v>
      </c>
      <c r="I1034" s="26">
        <v>43732.659062500003</v>
      </c>
      <c r="J1034" s="28" t="s">
        <v>52</v>
      </c>
      <c r="K1034" s="28" t="s">
        <v>52</v>
      </c>
      <c r="L1034" s="28" t="s">
        <v>52</v>
      </c>
      <c r="M1034" s="28" t="s">
        <v>52</v>
      </c>
      <c r="N1034" s="28" t="s">
        <v>52</v>
      </c>
    </row>
    <row r="1035" spans="1:14" x14ac:dyDescent="0.15">
      <c r="A1035" s="23" t="str">
        <f>HYPERLINK("https://www.spark-marketing.ru/Card/Person/236284", "ГБУЗ ПНД № 4")</f>
        <v>ГБУЗ ПНД № 4</v>
      </c>
      <c r="B1035" s="24" t="s">
        <v>1872</v>
      </c>
      <c r="C1035" s="25">
        <v>5980763</v>
      </c>
      <c r="D1035" s="22" t="s">
        <v>1873</v>
      </c>
      <c r="E1035" s="22" t="s">
        <v>84</v>
      </c>
      <c r="F1035" s="23" t="str">
        <f>HYPERLINK("https://www.spark-marketing.ru/Card/Lot/73851302", "Выполнение работ по установке систем видеонаблюдения, 1 шт")</f>
        <v>Выполнение работ по установке систем видеонаблюдения, 1 шт</v>
      </c>
      <c r="G1035" s="22" t="s">
        <v>132</v>
      </c>
      <c r="H1035" s="22" t="s">
        <v>1874</v>
      </c>
      <c r="I1035" s="26">
        <v>43732.646157407398</v>
      </c>
      <c r="J1035" s="28" t="s">
        <v>52</v>
      </c>
      <c r="K1035" s="28" t="s">
        <v>52</v>
      </c>
      <c r="L1035" s="28" t="s">
        <v>52</v>
      </c>
      <c r="M1035" s="28" t="s">
        <v>52</v>
      </c>
      <c r="N1035" s="28" t="s">
        <v>52</v>
      </c>
    </row>
    <row r="1036" spans="1:14" x14ac:dyDescent="0.15">
      <c r="A1036" s="23" t="str">
        <f>HYPERLINK("https://www.spark-marketing.ru/Card/Person/4365531", "ООО ""УК ""ТАТБУРНЕФТЬ""")</f>
        <v>ООО "УК "ТАТБУРНЕФТЬ"</v>
      </c>
      <c r="B1036" s="24" t="s">
        <v>1875</v>
      </c>
      <c r="C1036" s="25">
        <v>10000</v>
      </c>
      <c r="D1036" s="22" t="s">
        <v>1876</v>
      </c>
      <c r="E1036" s="22" t="s">
        <v>53</v>
      </c>
      <c r="F1036" s="23" t="str">
        <f>HYPERLINK("https://www.spark-marketing.ru/Card/Lot/73811936", "Оказание услуг по охране стационарных и полевых объектов (37/19)-8")</f>
        <v>Оказание услуг по охране стационарных и полевых объектов (37/19)-8</v>
      </c>
      <c r="G1036" s="22" t="s">
        <v>204</v>
      </c>
      <c r="H1036" s="22" t="s">
        <v>308</v>
      </c>
      <c r="I1036" s="26">
        <v>43731.354166666701</v>
      </c>
      <c r="J1036" s="28" t="s">
        <v>52</v>
      </c>
      <c r="K1036" s="28" t="s">
        <v>52</v>
      </c>
      <c r="L1036" s="28" t="s">
        <v>52</v>
      </c>
      <c r="M1036" s="28" t="s">
        <v>52</v>
      </c>
      <c r="N1036" s="28" t="s">
        <v>52</v>
      </c>
    </row>
    <row r="1037" spans="1:14" x14ac:dyDescent="0.15">
      <c r="A1037" s="23" t="str">
        <f>HYPERLINK("https://www.spark-marketing.ru/Card/Person/4365531", "ООО ""УК ""ТАТБУРНЕФТЬ""")</f>
        <v>ООО "УК "ТАТБУРНЕФТЬ"</v>
      </c>
      <c r="B1037" s="24" t="s">
        <v>1875</v>
      </c>
      <c r="C1037" s="25">
        <v>194929</v>
      </c>
      <c r="D1037" s="22" t="s">
        <v>1877</v>
      </c>
      <c r="E1037" s="22" t="s">
        <v>53</v>
      </c>
      <c r="F1037" s="23" t="str">
        <f>HYPERLINK("https://www.spark-marketing.ru/Card/Lot/73811937", "Оказание услуг по охране стационарных и полевых объектов (37/19)-9")</f>
        <v>Оказание услуг по охране стационарных и полевых объектов (37/19)-9</v>
      </c>
      <c r="G1037" s="22" t="s">
        <v>204</v>
      </c>
      <c r="H1037" s="22" t="s">
        <v>308</v>
      </c>
      <c r="I1037" s="26">
        <v>43731.354166666701</v>
      </c>
      <c r="J1037" s="28" t="s">
        <v>52</v>
      </c>
      <c r="K1037" s="28" t="s">
        <v>52</v>
      </c>
      <c r="L1037" s="28" t="s">
        <v>52</v>
      </c>
      <c r="M1037" s="28" t="s">
        <v>52</v>
      </c>
      <c r="N1037" s="28" t="s">
        <v>52</v>
      </c>
    </row>
    <row r="1038" spans="1:14" x14ac:dyDescent="0.15">
      <c r="A1038" s="23" t="str">
        <f t="shared" ref="A1038:A1044" si="29">HYPERLINK("https://www.spark-marketing.ru/Card/Person/119137", "МКОУ ""ШКОЛА-ИНТЕРНАТ""")</f>
        <v>МКОУ "ШКОЛА-ИНТЕРНАТ"</v>
      </c>
      <c r="B1038" s="24" t="s">
        <v>1878</v>
      </c>
      <c r="C1038" s="25">
        <v>78900</v>
      </c>
      <c r="D1038" s="22" t="s">
        <v>1879</v>
      </c>
      <c r="E1038" s="22" t="s">
        <v>84</v>
      </c>
      <c r="F1038" s="23" t="str">
        <f t="shared" ref="F1038:F1044" si="30">HYPERLINK("https://www.spark-marketing.ru/Card/Lot/73854184", "Оказание услуг по установке системы видеонаблюдения")</f>
        <v>Оказание услуг по установке системы видеонаблюдения</v>
      </c>
      <c r="G1038" s="22" t="s">
        <v>50</v>
      </c>
      <c r="H1038" s="22" t="s">
        <v>1880</v>
      </c>
      <c r="I1038" s="26">
        <v>43732.603472222203</v>
      </c>
      <c r="J1038" s="28" t="s">
        <v>52</v>
      </c>
      <c r="K1038" s="28" t="s">
        <v>52</v>
      </c>
      <c r="L1038" s="28" t="s">
        <v>52</v>
      </c>
      <c r="M1038" s="28" t="s">
        <v>52</v>
      </c>
      <c r="N1038" s="28" t="s">
        <v>52</v>
      </c>
    </row>
    <row r="1039" spans="1:14" hidden="1" outlineLevel="1" x14ac:dyDescent="0.2">
      <c r="A1039" s="23" t="str">
        <f t="shared" si="29"/>
        <v>МКОУ "ШКОЛА-ИНТЕРНАТ"</v>
      </c>
      <c r="B1039" s="24" t="s">
        <v>1878</v>
      </c>
      <c r="C1039" s="25">
        <v>78900</v>
      </c>
      <c r="D1039" s="22" t="s">
        <v>1879</v>
      </c>
      <c r="E1039" s="22" t="s">
        <v>84</v>
      </c>
      <c r="F1039" s="23" t="str">
        <f t="shared" si="30"/>
        <v>Оказание услуг по установке системы видеонаблюдения</v>
      </c>
      <c r="G1039" s="22" t="s">
        <v>50</v>
      </c>
      <c r="H1039" s="22" t="s">
        <v>1880</v>
      </c>
      <c r="I1039" s="26">
        <v>43732.603472222203</v>
      </c>
      <c r="J1039" s="23" t="str">
        <f>HYPERLINK("https://www.spark-marketing.ru/Card/Person/6445825", "Судариков Михаил Геннадьевич")</f>
        <v>Судариков Михаил Геннадьевич</v>
      </c>
      <c r="K1039" s="24" t="s">
        <v>1219</v>
      </c>
      <c r="L1039" s="28" t="s">
        <v>52</v>
      </c>
      <c r="M1039" s="25">
        <v>70000</v>
      </c>
      <c r="N1039" s="27">
        <v>0.11280101394169835</v>
      </c>
    </row>
    <row r="1040" spans="1:14" hidden="1" outlineLevel="1" x14ac:dyDescent="0.2">
      <c r="A1040" s="23" t="str">
        <f t="shared" si="29"/>
        <v>МКОУ "ШКОЛА-ИНТЕРНАТ"</v>
      </c>
      <c r="B1040" s="24" t="s">
        <v>1878</v>
      </c>
      <c r="C1040" s="25">
        <v>78900</v>
      </c>
      <c r="D1040" s="22" t="s">
        <v>1879</v>
      </c>
      <c r="E1040" s="22" t="s">
        <v>84</v>
      </c>
      <c r="F1040" s="23" t="str">
        <f t="shared" si="30"/>
        <v>Оказание услуг по установке системы видеонаблюдения</v>
      </c>
      <c r="G1040" s="22" t="s">
        <v>50</v>
      </c>
      <c r="H1040" s="22" t="s">
        <v>1880</v>
      </c>
      <c r="I1040" s="26">
        <v>43732.603472222203</v>
      </c>
      <c r="J1040" s="23" t="str">
        <f>HYPERLINK("https://www.spark-marketing.ru/Card/Person/6179217", "Морозова Юлия Николаевна")</f>
        <v>Морозова Юлия Николаевна</v>
      </c>
      <c r="K1040" s="24" t="s">
        <v>1059</v>
      </c>
      <c r="L1040" s="28" t="s">
        <v>52</v>
      </c>
      <c r="M1040" s="25">
        <v>73900</v>
      </c>
      <c r="N1040" s="27">
        <v>6.3371356147021551E-2</v>
      </c>
    </row>
    <row r="1041" spans="1:14" ht="12.75" hidden="1" outlineLevel="1" x14ac:dyDescent="0.2">
      <c r="A1041" s="23" t="str">
        <f t="shared" si="29"/>
        <v>МКОУ "ШКОЛА-ИНТЕРНАТ"</v>
      </c>
      <c r="B1041" s="24" t="s">
        <v>1878</v>
      </c>
      <c r="C1041" s="25">
        <v>78900</v>
      </c>
      <c r="D1041" s="22" t="s">
        <v>1879</v>
      </c>
      <c r="E1041" s="22" t="s">
        <v>84</v>
      </c>
      <c r="F1041" s="23" t="str">
        <f t="shared" si="30"/>
        <v>Оказание услуг по установке системы видеонаблюдения</v>
      </c>
      <c r="G1041" s="22" t="s">
        <v>50</v>
      </c>
      <c r="H1041" s="22" t="s">
        <v>1880</v>
      </c>
      <c r="I1041" s="26">
        <v>43732.603472222203</v>
      </c>
      <c r="J1041" s="23" t="str">
        <f>HYPERLINK("https://www.spark-marketing.ru/Card/Person/6461373", "ООО ""СЕКЬЮРИТИ ПЛЮС""")</f>
        <v>ООО "СЕКЬЮРИТИ ПЛЮС"</v>
      </c>
      <c r="K1041" s="24" t="s">
        <v>1222</v>
      </c>
      <c r="L1041" s="22" t="s">
        <v>10</v>
      </c>
      <c r="M1041" s="25">
        <v>58700</v>
      </c>
      <c r="N1041" s="27">
        <v>0.25602027883396705</v>
      </c>
    </row>
    <row r="1042" spans="1:14" hidden="1" outlineLevel="1" x14ac:dyDescent="0.2">
      <c r="A1042" s="23" t="str">
        <f t="shared" si="29"/>
        <v>МКОУ "ШКОЛА-ИНТЕРНАТ"</v>
      </c>
      <c r="B1042" s="24" t="s">
        <v>1878</v>
      </c>
      <c r="C1042" s="25">
        <v>78900</v>
      </c>
      <c r="D1042" s="22" t="s">
        <v>1879</v>
      </c>
      <c r="E1042" s="22" t="s">
        <v>84</v>
      </c>
      <c r="F1042" s="23" t="str">
        <f t="shared" si="30"/>
        <v>Оказание услуг по установке системы видеонаблюдения</v>
      </c>
      <c r="G1042" s="22" t="s">
        <v>50</v>
      </c>
      <c r="H1042" s="22" t="s">
        <v>1880</v>
      </c>
      <c r="I1042" s="26">
        <v>43732.603472222203</v>
      </c>
      <c r="J1042" s="23" t="str">
        <f>HYPERLINK("https://www.spark-marketing.ru/Card/Person/6328809", "ООО ""КОСБИ""")</f>
        <v>ООО "КОСБИ"</v>
      </c>
      <c r="K1042" s="24" t="s">
        <v>1881</v>
      </c>
      <c r="L1042" s="28" t="s">
        <v>52</v>
      </c>
      <c r="M1042" s="25">
        <v>69999</v>
      </c>
      <c r="N1042" s="27">
        <v>0.11281368821292775</v>
      </c>
    </row>
    <row r="1043" spans="1:14" hidden="1" outlineLevel="1" x14ac:dyDescent="0.2">
      <c r="A1043" s="23" t="str">
        <f t="shared" si="29"/>
        <v>МКОУ "ШКОЛА-ИНТЕРНАТ"</v>
      </c>
      <c r="B1043" s="24" t="s">
        <v>1878</v>
      </c>
      <c r="C1043" s="25">
        <v>78900</v>
      </c>
      <c r="D1043" s="22" t="s">
        <v>1879</v>
      </c>
      <c r="E1043" s="22" t="s">
        <v>84</v>
      </c>
      <c r="F1043" s="23" t="str">
        <f t="shared" si="30"/>
        <v>Оказание услуг по установке системы видеонаблюдения</v>
      </c>
      <c r="G1043" s="22" t="s">
        <v>50</v>
      </c>
      <c r="H1043" s="22" t="s">
        <v>1880</v>
      </c>
      <c r="I1043" s="26">
        <v>43732.603472222203</v>
      </c>
      <c r="J1043" s="23" t="str">
        <f>HYPERLINK("https://www.spark-marketing.ru/Card/Person/6433050", "ООО ""МЕТАП""")</f>
        <v>ООО "МЕТАП"</v>
      </c>
      <c r="K1043" s="24" t="s">
        <v>1882</v>
      </c>
      <c r="L1043" s="28" t="s">
        <v>52</v>
      </c>
      <c r="M1043" s="25">
        <v>78850</v>
      </c>
      <c r="N1043" s="27">
        <v>6.3371356147021542E-4</v>
      </c>
    </row>
    <row r="1044" spans="1:14" hidden="1" outlineLevel="1" x14ac:dyDescent="0.2">
      <c r="A1044" s="23" t="str">
        <f t="shared" si="29"/>
        <v>МКОУ "ШКОЛА-ИНТЕРНАТ"</v>
      </c>
      <c r="B1044" s="24" t="s">
        <v>1878</v>
      </c>
      <c r="C1044" s="25">
        <v>78900</v>
      </c>
      <c r="D1044" s="22" t="s">
        <v>1879</v>
      </c>
      <c r="E1044" s="22" t="s">
        <v>84</v>
      </c>
      <c r="F1044" s="23" t="str">
        <f t="shared" si="30"/>
        <v>Оказание услуг по установке системы видеонаблюдения</v>
      </c>
      <c r="G1044" s="22" t="s">
        <v>50</v>
      </c>
      <c r="H1044" s="22" t="s">
        <v>1880</v>
      </c>
      <c r="I1044" s="26">
        <v>43732.603472222203</v>
      </c>
      <c r="J1044" s="23" t="str">
        <f>HYPERLINK("https://www.spark-marketing.ru/Card/Person/4961559", "Милый Александр Валерьевич")</f>
        <v>Милый Александр Валерьевич</v>
      </c>
      <c r="K1044" s="24" t="s">
        <v>1883</v>
      </c>
      <c r="L1044" s="28" t="s">
        <v>52</v>
      </c>
      <c r="M1044" s="25">
        <v>63000</v>
      </c>
      <c r="N1044" s="27">
        <v>0.20152091254752852</v>
      </c>
    </row>
    <row r="1045" spans="1:14" x14ac:dyDescent="0.15">
      <c r="A1045" s="23" t="str">
        <f>HYPERLINK("https://www.spark-marketing.ru/Card/Person/4365531", "ООО ""УК ""ТАТБУРНЕФТЬ""")</f>
        <v>ООО "УК "ТАТБУРНЕФТЬ"</v>
      </c>
      <c r="B1045" s="24" t="s">
        <v>1875</v>
      </c>
      <c r="C1045" s="25">
        <v>221102</v>
      </c>
      <c r="D1045" s="22" t="s">
        <v>1884</v>
      </c>
      <c r="E1045" s="22" t="s">
        <v>53</v>
      </c>
      <c r="F1045" s="23" t="str">
        <f>HYPERLINK("https://www.spark-marketing.ru/Card/Lot/73811940", "Оказание услуг по охране стационарных и полевых объектов (37/19)-5")</f>
        <v>Оказание услуг по охране стационарных и полевых объектов (37/19)-5</v>
      </c>
      <c r="G1045" s="22" t="s">
        <v>204</v>
      </c>
      <c r="H1045" s="22" t="s">
        <v>308</v>
      </c>
      <c r="I1045" s="26">
        <v>43731.354166666701</v>
      </c>
      <c r="J1045" s="28" t="s">
        <v>52</v>
      </c>
      <c r="K1045" s="28" t="s">
        <v>52</v>
      </c>
      <c r="L1045" s="28" t="s">
        <v>52</v>
      </c>
      <c r="M1045" s="28" t="s">
        <v>52</v>
      </c>
      <c r="N1045" s="28" t="s">
        <v>52</v>
      </c>
    </row>
    <row r="1046" spans="1:14" x14ac:dyDescent="0.15">
      <c r="A1046" s="23" t="str">
        <f>HYPERLINK("https://www.spark-marketing.ru/Card/Person/4365531", "ООО ""УК ""ТАТБУРНЕФТЬ""")</f>
        <v>ООО "УК "ТАТБУРНЕФТЬ"</v>
      </c>
      <c r="B1046" s="24" t="s">
        <v>1875</v>
      </c>
      <c r="C1046" s="25">
        <v>437198</v>
      </c>
      <c r="D1046" s="22" t="s">
        <v>1885</v>
      </c>
      <c r="E1046" s="22" t="s">
        <v>53</v>
      </c>
      <c r="F1046" s="23" t="str">
        <f>HYPERLINK("https://www.spark-marketing.ru/Card/Lot/73811938", "Оказание услуг по охране стационарных и полевых объектов (37/19)-7")</f>
        <v>Оказание услуг по охране стационарных и полевых объектов (37/19)-7</v>
      </c>
      <c r="G1046" s="22" t="s">
        <v>204</v>
      </c>
      <c r="H1046" s="22" t="s">
        <v>308</v>
      </c>
      <c r="I1046" s="26">
        <v>43731.354166666701</v>
      </c>
      <c r="J1046" s="28" t="s">
        <v>52</v>
      </c>
      <c r="K1046" s="28" t="s">
        <v>52</v>
      </c>
      <c r="L1046" s="28" t="s">
        <v>52</v>
      </c>
      <c r="M1046" s="28" t="s">
        <v>52</v>
      </c>
      <c r="N1046" s="28" t="s">
        <v>52</v>
      </c>
    </row>
    <row r="1047" spans="1:14" x14ac:dyDescent="0.15">
      <c r="A1047" s="23" t="str">
        <f>HYPERLINK("https://www.spark-marketing.ru/Card/Person/4365531", "ООО ""УК ""ТАТБУРНЕФТЬ""")</f>
        <v>ООО "УК "ТАТБУРНЕФТЬ"</v>
      </c>
      <c r="B1047" s="24" t="s">
        <v>1875</v>
      </c>
      <c r="C1047" s="25">
        <v>9000</v>
      </c>
      <c r="D1047" s="22" t="s">
        <v>1886</v>
      </c>
      <c r="E1047" s="22" t="s">
        <v>53</v>
      </c>
      <c r="F1047" s="23" t="str">
        <f>HYPERLINK("https://www.spark-marketing.ru/Card/Lot/73811939", "Оказание услуг по охране стационарных и полевых объектов (37/19)-6")</f>
        <v>Оказание услуг по охране стационарных и полевых объектов (37/19)-6</v>
      </c>
      <c r="G1047" s="22" t="s">
        <v>204</v>
      </c>
      <c r="H1047" s="22" t="s">
        <v>308</v>
      </c>
      <c r="I1047" s="26">
        <v>43731.354166666701</v>
      </c>
      <c r="J1047" s="28" t="s">
        <v>52</v>
      </c>
      <c r="K1047" s="28" t="s">
        <v>52</v>
      </c>
      <c r="L1047" s="28" t="s">
        <v>52</v>
      </c>
      <c r="M1047" s="28" t="s">
        <v>52</v>
      </c>
      <c r="N1047" s="28" t="s">
        <v>52</v>
      </c>
    </row>
    <row r="1048" spans="1:14" x14ac:dyDescent="0.15">
      <c r="A1048" s="23" t="str">
        <f>HYPERLINK("https://www.spark-marketing.ru/Card/Person/3514", "ФГКУ ВОЙСКОВАЯ ЧАСТЬ 44710")</f>
        <v>ФГКУ ВОЙСКОВАЯ ЧАСТЬ 44710</v>
      </c>
      <c r="B1048" s="24" t="s">
        <v>1887</v>
      </c>
      <c r="C1048" s="25">
        <v>505368.66</v>
      </c>
      <c r="D1048" s="22" t="s">
        <v>1888</v>
      </c>
      <c r="E1048" s="22" t="s">
        <v>491</v>
      </c>
      <c r="F1048" s="23" t="str">
        <f>HYPERLINK("https://www.spark-marketing.ru/Card/Lot/73860398", "Выполнение работ по обслуживанию подземных сооружений и инженерных систем (с локальной видео диагностикой)")</f>
        <v>Выполнение работ по обслуживанию подземных сооружений и инженерных систем (с локальной видео диагностикой)</v>
      </c>
      <c r="G1048" s="22" t="s">
        <v>55</v>
      </c>
      <c r="H1048" s="22" t="s">
        <v>55</v>
      </c>
      <c r="I1048" s="26">
        <v>43732.507638888899</v>
      </c>
      <c r="J1048" s="28" t="s">
        <v>52</v>
      </c>
      <c r="K1048" s="28" t="s">
        <v>52</v>
      </c>
      <c r="L1048" s="28" t="s">
        <v>52</v>
      </c>
      <c r="M1048" s="28" t="s">
        <v>52</v>
      </c>
      <c r="N1048" s="28" t="s">
        <v>52</v>
      </c>
    </row>
    <row r="1049" spans="1:14" x14ac:dyDescent="0.15">
      <c r="A1049" s="23" t="str">
        <f>HYPERLINK("https://www.spark-marketing.ru/Card/Person/57348", "СЕВЕРО-УРАЛЬСКОЕ МУГАДН")</f>
        <v>СЕВЕРО-УРАЛЬСКОЕ МУГАДН</v>
      </c>
      <c r="B1049" s="24" t="s">
        <v>1756</v>
      </c>
      <c r="C1049" s="25">
        <v>2580</v>
      </c>
      <c r="D1049" s="22" t="s">
        <v>1889</v>
      </c>
      <c r="E1049" s="22" t="s">
        <v>415</v>
      </c>
      <c r="F1049" s="23" t="str">
        <f>HYPERLINK("https://www.spark-marketing.ru/Card/Lot/73841351", "Услуга по сервисному обслуживанию видеорегистратора SEELOCK Inspector A1, 5 шт")</f>
        <v>Услуга по сервисному обслуживанию видеорегистратора SEELOCK Inspector A1, 5 шт</v>
      </c>
      <c r="G1049" s="22" t="s">
        <v>893</v>
      </c>
      <c r="H1049" s="22" t="s">
        <v>894</v>
      </c>
      <c r="I1049" s="26">
        <v>43732.4620601852</v>
      </c>
      <c r="J1049" s="28" t="s">
        <v>52</v>
      </c>
      <c r="K1049" s="28" t="s">
        <v>52</v>
      </c>
      <c r="L1049" s="28" t="s">
        <v>52</v>
      </c>
      <c r="M1049" s="28" t="s">
        <v>52</v>
      </c>
      <c r="N1049" s="28" t="s">
        <v>52</v>
      </c>
    </row>
    <row r="1050" spans="1:14" x14ac:dyDescent="0.15">
      <c r="A1050" s="23" t="str">
        <f>HYPERLINK("https://www.spark-marketing.ru/Card/Person/105649", "ГОСУДАРСТВЕННЫЙ МУЗЕЙ-ЗАПОВЕДНИК ""ЗАРАЙСКИЙ КРЕМЛЬ""")</f>
        <v>ГОСУДАРСТВЕННЫЙ МУЗЕЙ-ЗАПОВЕДНИК "ЗАРАЙСКИЙ КРЕМЛЬ"</v>
      </c>
      <c r="B1050" s="24" t="s">
        <v>1890</v>
      </c>
      <c r="C1050" s="25">
        <v>550000</v>
      </c>
      <c r="D1050" s="22" t="s">
        <v>1891</v>
      </c>
      <c r="E1050" s="22" t="s">
        <v>84</v>
      </c>
      <c r="F1050" s="23" t="str">
        <f>HYPERLINK("https://www.spark-marketing.ru/Card/Lot/73860328", "Монтажные работы инженерно-технических средств охраны и контроля объекта")</f>
        <v>Монтажные работы инженерно-технических средств охраны и контроля объекта</v>
      </c>
      <c r="G1050" s="22" t="s">
        <v>50</v>
      </c>
      <c r="H1050" s="22" t="s">
        <v>1056</v>
      </c>
      <c r="I1050" s="26">
        <v>43732.485416666699</v>
      </c>
      <c r="J1050" s="28" t="s">
        <v>52</v>
      </c>
      <c r="K1050" s="28" t="s">
        <v>52</v>
      </c>
      <c r="L1050" s="28" t="s">
        <v>52</v>
      </c>
      <c r="M1050" s="28" t="s">
        <v>52</v>
      </c>
      <c r="N1050" s="28" t="s">
        <v>52</v>
      </c>
    </row>
    <row r="1051" spans="1:14" hidden="1" outlineLevel="1" x14ac:dyDescent="0.2">
      <c r="A1051" s="23" t="str">
        <f>HYPERLINK("https://www.spark-marketing.ru/Card/Person/105649", "ГОСУДАРСТВЕННЫЙ МУЗЕЙ-ЗАПОВЕДНИК ""ЗАРАЙСКИЙ КРЕМЛЬ""")</f>
        <v>ГОСУДАРСТВЕННЫЙ МУЗЕЙ-ЗАПОВЕДНИК "ЗАРАЙСКИЙ КРЕМЛЬ"</v>
      </c>
      <c r="B1051" s="24" t="s">
        <v>1890</v>
      </c>
      <c r="C1051" s="25">
        <v>550000</v>
      </c>
      <c r="D1051" s="22" t="s">
        <v>1891</v>
      </c>
      <c r="E1051" s="22" t="s">
        <v>84</v>
      </c>
      <c r="F1051" s="23" t="str">
        <f>HYPERLINK("https://www.spark-marketing.ru/Card/Lot/73860328", "Монтажные работы инженерно-технических средств охраны и контроля объекта")</f>
        <v>Монтажные работы инженерно-технических средств охраны и контроля объекта</v>
      </c>
      <c r="G1051" s="22" t="s">
        <v>50</v>
      </c>
      <c r="H1051" s="22" t="s">
        <v>1056</v>
      </c>
      <c r="I1051" s="26">
        <v>43732.485416666699</v>
      </c>
      <c r="J1051" s="23" t="str">
        <f>HYPERLINK("https://www.spark-marketing.ru/Card/Person/126096", "ООО ЧОО ""ПУЛЬСАР""")</f>
        <v>ООО ЧОО "ПУЛЬСАР"</v>
      </c>
      <c r="K1051" s="24" t="s">
        <v>1892</v>
      </c>
      <c r="L1051" s="28" t="s">
        <v>52</v>
      </c>
      <c r="M1051" s="25">
        <v>544500</v>
      </c>
      <c r="N1051" s="27">
        <v>0.01</v>
      </c>
    </row>
    <row r="1052" spans="1:14" ht="12.75" hidden="1" outlineLevel="1" x14ac:dyDescent="0.2">
      <c r="A1052" s="23" t="str">
        <f>HYPERLINK("https://www.spark-marketing.ru/Card/Person/105649", "ГОСУДАРСТВЕННЫЙ МУЗЕЙ-ЗАПОВЕДНИК ""ЗАРАЙСКИЙ КРЕМЛЬ""")</f>
        <v>ГОСУДАРСТВЕННЫЙ МУЗЕЙ-ЗАПОВЕДНИК "ЗАРАЙСКИЙ КРЕМЛЬ"</v>
      </c>
      <c r="B1052" s="24" t="s">
        <v>1890</v>
      </c>
      <c r="C1052" s="25">
        <v>550000</v>
      </c>
      <c r="D1052" s="22" t="s">
        <v>1891</v>
      </c>
      <c r="E1052" s="22" t="s">
        <v>84</v>
      </c>
      <c r="F1052" s="23" t="str">
        <f>HYPERLINK("https://www.spark-marketing.ru/Card/Lot/73860328", "Монтажные работы инженерно-технических средств охраны и контроля объекта")</f>
        <v>Монтажные работы инженерно-технических средств охраны и контроля объекта</v>
      </c>
      <c r="G1052" s="22" t="s">
        <v>50</v>
      </c>
      <c r="H1052" s="22" t="s">
        <v>1056</v>
      </c>
      <c r="I1052" s="26">
        <v>43732.485416666699</v>
      </c>
      <c r="J1052" s="23" t="str">
        <f>HYPERLINK("https://www.spark-marketing.ru/Card/Person/700836", "ООО НПО ""ИНВЕСТ""")</f>
        <v>ООО НПО "ИНВЕСТ"</v>
      </c>
      <c r="K1052" s="24" t="s">
        <v>1893</v>
      </c>
      <c r="L1052" s="22" t="s">
        <v>10</v>
      </c>
      <c r="M1052" s="25">
        <v>541750</v>
      </c>
      <c r="N1052" s="27">
        <v>1.4999999999999999E-2</v>
      </c>
    </row>
    <row r="1053" spans="1:14" hidden="1" outlineLevel="1" x14ac:dyDescent="0.2">
      <c r="A1053" s="23" t="str">
        <f>HYPERLINK("https://www.spark-marketing.ru/Card/Person/105649", "ГОСУДАРСТВЕННЫЙ МУЗЕЙ-ЗАПОВЕДНИК ""ЗАРАЙСКИЙ КРЕМЛЬ""")</f>
        <v>ГОСУДАРСТВЕННЫЙ МУЗЕЙ-ЗАПОВЕДНИК "ЗАРАЙСКИЙ КРЕМЛЬ"</v>
      </c>
      <c r="B1053" s="24" t="s">
        <v>1890</v>
      </c>
      <c r="C1053" s="25">
        <v>550000</v>
      </c>
      <c r="D1053" s="22" t="s">
        <v>1891</v>
      </c>
      <c r="E1053" s="22" t="s">
        <v>84</v>
      </c>
      <c r="F1053" s="23" t="str">
        <f>HYPERLINK("https://www.spark-marketing.ru/Card/Lot/73860328", "Монтажные работы инженерно-технических средств охраны и контроля объекта")</f>
        <v>Монтажные работы инженерно-технических средств охраны и контроля объекта</v>
      </c>
      <c r="G1053" s="22" t="s">
        <v>50</v>
      </c>
      <c r="H1053" s="22" t="s">
        <v>1056</v>
      </c>
      <c r="I1053" s="26">
        <v>43732.485416666699</v>
      </c>
      <c r="J1053" s="23" t="str">
        <f>HYPERLINK("https://www.spark-marketing.ru/Card/Person/104943", "ООО ЧОО ""СМАРТ-ОХРАНА""")</f>
        <v>ООО ЧОО "СМАРТ-ОХРАНА"</v>
      </c>
      <c r="K1053" s="24" t="s">
        <v>1894</v>
      </c>
      <c r="L1053" s="28" t="s">
        <v>52</v>
      </c>
      <c r="M1053" s="25">
        <v>547250</v>
      </c>
      <c r="N1053" s="27">
        <v>5.0000000000000001E-3</v>
      </c>
    </row>
    <row r="1054" spans="1:14" x14ac:dyDescent="0.15">
      <c r="A1054" s="23" t="str">
        <f>HYPERLINK("https://www.spark-marketing.ru/Card/Person/4365531", "ООО ""УК ""ТАТБУРНЕФТЬ""")</f>
        <v>ООО "УК "ТАТБУРНЕФТЬ"</v>
      </c>
      <c r="B1054" s="24" t="s">
        <v>1875</v>
      </c>
      <c r="C1054" s="25">
        <v>180177</v>
      </c>
      <c r="D1054" s="22" t="s">
        <v>1895</v>
      </c>
      <c r="E1054" s="22" t="s">
        <v>53</v>
      </c>
      <c r="F1054" s="23" t="str">
        <f>HYPERLINK("https://www.spark-marketing.ru/Card/Lot/73811942", "Оказание услуг по охране стационарных и полевых объектов (37/19)-3")</f>
        <v>Оказание услуг по охране стационарных и полевых объектов (37/19)-3</v>
      </c>
      <c r="G1054" s="22" t="s">
        <v>204</v>
      </c>
      <c r="H1054" s="22" t="s">
        <v>308</v>
      </c>
      <c r="I1054" s="26">
        <v>43731.354166666701</v>
      </c>
      <c r="J1054" s="28" t="s">
        <v>52</v>
      </c>
      <c r="K1054" s="28" t="s">
        <v>52</v>
      </c>
      <c r="L1054" s="28" t="s">
        <v>52</v>
      </c>
      <c r="M1054" s="28" t="s">
        <v>52</v>
      </c>
      <c r="N1054" s="28" t="s">
        <v>52</v>
      </c>
    </row>
    <row r="1055" spans="1:14" x14ac:dyDescent="0.15">
      <c r="A1055" s="23" t="str">
        <f>HYPERLINK("https://www.spark-marketing.ru/Card/Person/57348", "СЕВЕРО-УРАЛЬСКОЕ МУГАДН")</f>
        <v>СЕВЕРО-УРАЛЬСКОЕ МУГАДН</v>
      </c>
      <c r="B1055" s="24" t="s">
        <v>1756</v>
      </c>
      <c r="C1055" s="25">
        <v>2580</v>
      </c>
      <c r="D1055" s="22" t="s">
        <v>1896</v>
      </c>
      <c r="E1055" s="22" t="s">
        <v>415</v>
      </c>
      <c r="F1055" s="23" t="str">
        <f>HYPERLINK("https://www.spark-marketing.ru/Card/Lot/73841275", "Услуга по сервисному обслуживанию видеорегистратора SEELOCK Inspector A1, 5 шт")</f>
        <v>Услуга по сервисному обслуживанию видеорегистратора SEELOCK Inspector A1, 5 шт</v>
      </c>
      <c r="G1055" s="22" t="s">
        <v>893</v>
      </c>
      <c r="H1055" s="22" t="s">
        <v>894</v>
      </c>
      <c r="I1055" s="26">
        <v>43732.466331018499</v>
      </c>
      <c r="J1055" s="28" t="s">
        <v>52</v>
      </c>
      <c r="K1055" s="28" t="s">
        <v>52</v>
      </c>
      <c r="L1055" s="28" t="s">
        <v>52</v>
      </c>
      <c r="M1055" s="28" t="s">
        <v>52</v>
      </c>
      <c r="N1055" s="28" t="s">
        <v>52</v>
      </c>
    </row>
    <row r="1056" spans="1:14" x14ac:dyDescent="0.15">
      <c r="A1056" s="23" t="str">
        <f>HYPERLINK("https://www.spark-marketing.ru/Card/Person/4365531", "ООО ""УК ""ТАТБУРНЕФТЬ""")</f>
        <v>ООО "УК "ТАТБУРНЕФТЬ"</v>
      </c>
      <c r="B1056" s="24" t="s">
        <v>1875</v>
      </c>
      <c r="C1056" s="25">
        <v>137770</v>
      </c>
      <c r="D1056" s="22" t="s">
        <v>1897</v>
      </c>
      <c r="E1056" s="22" t="s">
        <v>53</v>
      </c>
      <c r="F1056" s="23" t="str">
        <f>HYPERLINK("https://www.spark-marketing.ru/Card/Lot/73811941", "Оказание услуг по охране стационарных и полевых объектов (37/19)-4")</f>
        <v>Оказание услуг по охране стационарных и полевых объектов (37/19)-4</v>
      </c>
      <c r="G1056" s="22" t="s">
        <v>204</v>
      </c>
      <c r="H1056" s="22" t="s">
        <v>308</v>
      </c>
      <c r="I1056" s="26">
        <v>43731.354166666701</v>
      </c>
      <c r="J1056" s="28" t="s">
        <v>52</v>
      </c>
      <c r="K1056" s="28" t="s">
        <v>52</v>
      </c>
      <c r="L1056" s="28" t="s">
        <v>52</v>
      </c>
      <c r="M1056" s="28" t="s">
        <v>52</v>
      </c>
      <c r="N1056" s="28" t="s">
        <v>52</v>
      </c>
    </row>
    <row r="1057" spans="1:14" x14ac:dyDescent="0.15">
      <c r="A1057" s="23" t="str">
        <f>HYPERLINK("https://www.spark-marketing.ru/Card/Person/4344644", "УПРАВЛЕНИЕ ДЕЛАМИ ГУБЕРНАТОРА АСТРАХАНСКОЙ ОБЛАСТИ")</f>
        <v>УПРАВЛЕНИЕ ДЕЛАМИ ГУБЕРНАТОРА АСТРАХАНСКОЙ ОБЛАСТИ</v>
      </c>
      <c r="B1057" s="24" t="s">
        <v>1898</v>
      </c>
      <c r="C1057" s="25">
        <v>40000</v>
      </c>
      <c r="D1057" s="22" t="s">
        <v>1899</v>
      </c>
      <c r="E1057" s="22" t="s">
        <v>1293</v>
      </c>
      <c r="F1057" s="23" t="str">
        <f>HYPERLINK("https://www.spark-marketing.ru/Card/Lot/73847905", "Поставка внешних накопителей информации по мероприятию 1.3.7. ""Разработка и изготовление сувенирно-подарочной продукции с целью поощрения волонтеров, организаций, проводящих антинаркотическую работу"" государственной программы ""Обеспечение обществе...")</f>
        <v>Поставка внешних накопителей информации по мероприятию 1.3.7. "Разработка и изготовление сувенирно-подарочной продукции с целью поощрения волонтеров, организаций, проводящих антинаркотическую работу" государственной программы "Обеспечение обществе...</v>
      </c>
      <c r="G1057" s="22" t="s">
        <v>565</v>
      </c>
      <c r="H1057" s="22" t="s">
        <v>566</v>
      </c>
      <c r="I1057" s="26">
        <v>43732.491666666698</v>
      </c>
      <c r="J1057" s="28" t="s">
        <v>52</v>
      </c>
      <c r="K1057" s="28" t="s">
        <v>52</v>
      </c>
      <c r="L1057" s="28" t="s">
        <v>52</v>
      </c>
      <c r="M1057" s="28" t="s">
        <v>52</v>
      </c>
      <c r="N1057" s="28" t="s">
        <v>52</v>
      </c>
    </row>
    <row r="1058" spans="1:14" ht="12.75" hidden="1" outlineLevel="1" x14ac:dyDescent="0.2">
      <c r="A1058" s="23" t="str">
        <f>HYPERLINK("https://www.spark-marketing.ru/Card/Person/4344644", "УПРАВЛЕНИЕ ДЕЛАМИ ГУБЕРНАТОРА АСТРАХАНСКОЙ ОБЛАСТИ")</f>
        <v>УПРАВЛЕНИЕ ДЕЛАМИ ГУБЕРНАТОРА АСТРАХАНСКОЙ ОБЛАСТИ</v>
      </c>
      <c r="B1058" s="24" t="s">
        <v>1898</v>
      </c>
      <c r="C1058" s="25">
        <v>40000</v>
      </c>
      <c r="D1058" s="22" t="s">
        <v>1899</v>
      </c>
      <c r="E1058" s="22" t="s">
        <v>1293</v>
      </c>
      <c r="F1058" s="23" t="str">
        <f>HYPERLINK("https://www.spark-marketing.ru/Card/Lot/73847905", "Поставка внешних накопителей информации по мероприятию 1.3.7. ""Разработка и изготовление сувенирно-подарочной продукции с целью поощрения волонтеров, организаций, проводящих антинаркотическую работу"" государственной программы ""Обеспечение обществе...")</f>
        <v>Поставка внешних накопителей информации по мероприятию 1.3.7. "Разработка и изготовление сувенирно-подарочной продукции с целью поощрения волонтеров, организаций, проводящих антинаркотическую работу" государственной программы "Обеспечение обществе...</v>
      </c>
      <c r="G1058" s="22" t="s">
        <v>565</v>
      </c>
      <c r="H1058" s="22" t="s">
        <v>566</v>
      </c>
      <c r="I1058" s="26">
        <v>43732.491666666698</v>
      </c>
      <c r="J1058" s="23" t="str">
        <f>HYPERLINK("https://www.spark-marketing.ru/Card/Person/5873179", "ООО ""ГРАНДОФИС""")</f>
        <v>ООО "ГРАНДОФИС"</v>
      </c>
      <c r="K1058" s="24" t="s">
        <v>1900</v>
      </c>
      <c r="L1058" s="22" t="s">
        <v>10</v>
      </c>
      <c r="M1058" s="25">
        <v>32500</v>
      </c>
      <c r="N1058" s="27">
        <v>0.1875</v>
      </c>
    </row>
    <row r="1059" spans="1:14" hidden="1" outlineLevel="1" x14ac:dyDescent="0.2">
      <c r="A1059" s="23" t="str">
        <f>HYPERLINK("https://www.spark-marketing.ru/Card/Person/4344644", "УПРАВЛЕНИЕ ДЕЛАМИ ГУБЕРНАТОРА АСТРАХАНСКОЙ ОБЛАСТИ")</f>
        <v>УПРАВЛЕНИЕ ДЕЛАМИ ГУБЕРНАТОРА АСТРАХАНСКОЙ ОБЛАСТИ</v>
      </c>
      <c r="B1059" s="24" t="s">
        <v>1898</v>
      </c>
      <c r="C1059" s="25">
        <v>40000</v>
      </c>
      <c r="D1059" s="22" t="s">
        <v>1899</v>
      </c>
      <c r="E1059" s="22" t="s">
        <v>1293</v>
      </c>
      <c r="F1059" s="23" t="str">
        <f>HYPERLINK("https://www.spark-marketing.ru/Card/Lot/73847905", "Поставка внешних накопителей информации по мероприятию 1.3.7. ""Разработка и изготовление сувенирно-подарочной продукции с целью поощрения волонтеров, организаций, проводящих антинаркотическую работу"" государственной программы ""Обеспечение обществе...")</f>
        <v>Поставка внешних накопителей информации по мероприятию 1.3.7. "Разработка и изготовление сувенирно-подарочной продукции с целью поощрения волонтеров, организаций, проводящих антинаркотическую работу" государственной программы "Обеспечение обществе...</v>
      </c>
      <c r="G1059" s="22" t="s">
        <v>565</v>
      </c>
      <c r="H1059" s="22" t="s">
        <v>566</v>
      </c>
      <c r="I1059" s="26">
        <v>43732.491666666698</v>
      </c>
      <c r="J1059" s="23" t="str">
        <f>HYPERLINK("https://www.spark-marketing.ru/Card/Person/284198", "ООО ""ТИПОГРАФИЯ ""НОВАЯ ЛИНИЯ""")</f>
        <v>ООО "ТИПОГРАФИЯ "НОВАЯ ЛИНИЯ"</v>
      </c>
      <c r="K1059" s="24" t="s">
        <v>1901</v>
      </c>
      <c r="L1059" s="28" t="s">
        <v>52</v>
      </c>
      <c r="M1059" s="25">
        <v>39900</v>
      </c>
      <c r="N1059" s="27">
        <v>2.5000000000000001E-3</v>
      </c>
    </row>
    <row r="1060" spans="1:14" x14ac:dyDescent="0.15">
      <c r="A1060" s="23" t="str">
        <f>HYPERLINK("https://www.spark-marketing.ru/Card/Person/4365531", "ООО ""УК ""ТАТБУРНЕФТЬ""")</f>
        <v>ООО "УК "ТАТБУРНЕФТЬ"</v>
      </c>
      <c r="B1060" s="24" t="s">
        <v>1875</v>
      </c>
      <c r="C1060" s="25">
        <v>259965</v>
      </c>
      <c r="D1060" s="22" t="s">
        <v>1902</v>
      </c>
      <c r="E1060" s="22" t="s">
        <v>53</v>
      </c>
      <c r="F1060" s="23" t="str">
        <f>HYPERLINK("https://www.spark-marketing.ru/Card/Lot/73811943", "Оказание услуг по охране стационарных и полевых объектов (37/19)-2")</f>
        <v>Оказание услуг по охране стационарных и полевых объектов (37/19)-2</v>
      </c>
      <c r="G1060" s="22" t="s">
        <v>204</v>
      </c>
      <c r="H1060" s="22" t="s">
        <v>308</v>
      </c>
      <c r="I1060" s="26">
        <v>43731.354166666701</v>
      </c>
      <c r="J1060" s="28" t="s">
        <v>52</v>
      </c>
      <c r="K1060" s="28" t="s">
        <v>52</v>
      </c>
      <c r="L1060" s="28" t="s">
        <v>52</v>
      </c>
      <c r="M1060" s="28" t="s">
        <v>52</v>
      </c>
      <c r="N1060" s="28" t="s">
        <v>52</v>
      </c>
    </row>
    <row r="1061" spans="1:14" x14ac:dyDescent="0.15">
      <c r="A1061" s="23" t="str">
        <f>HYPERLINK("https://www.spark-marketing.ru/Card/Person/74323", "АГЕНТСТВО МИРОВЫХ СУДЕЙ АО")</f>
        <v>АГЕНТСТВО МИРОВЫХ СУДЕЙ АО</v>
      </c>
      <c r="B1061" s="24" t="s">
        <v>1903</v>
      </c>
      <c r="C1061" s="25">
        <v>499000</v>
      </c>
      <c r="D1061" s="22" t="s">
        <v>1904</v>
      </c>
      <c r="E1061" s="22" t="s">
        <v>59</v>
      </c>
      <c r="F1061" s="23" t="str">
        <f>HYPERLINK("https://www.spark-marketing.ru/Card/Lot/73855437", "Выполнение работ по монтажу охранной сигнализации с кнопкой тревожной сигнализации в помещениях судебных участков, расположенных по адресу: г. Архангельск, ул. Свободы, д. 29")</f>
        <v>Выполнение работ по монтажу охранной сигнализации с кнопкой тревожной сигнализации в помещениях судебных участков, расположенных по адресу: г. Архангельск, ул. Свободы, д. 29</v>
      </c>
      <c r="G1061" s="22" t="s">
        <v>674</v>
      </c>
      <c r="H1061" s="22" t="s">
        <v>1905</v>
      </c>
      <c r="I1061" s="26">
        <v>43732.443749999999</v>
      </c>
      <c r="J1061" s="28" t="s">
        <v>52</v>
      </c>
      <c r="K1061" s="28" t="s">
        <v>52</v>
      </c>
      <c r="L1061" s="28" t="s">
        <v>52</v>
      </c>
      <c r="M1061" s="28" t="s">
        <v>52</v>
      </c>
      <c r="N1061" s="28" t="s">
        <v>52</v>
      </c>
    </row>
    <row r="1062" spans="1:14" ht="12.75" hidden="1" outlineLevel="1" x14ac:dyDescent="0.2">
      <c r="A1062" s="23" t="str">
        <f>HYPERLINK("https://www.spark-marketing.ru/Card/Person/74323", "АГЕНТСТВО МИРОВЫХ СУДЕЙ АО")</f>
        <v>АГЕНТСТВО МИРОВЫХ СУДЕЙ АО</v>
      </c>
      <c r="B1062" s="24" t="s">
        <v>1903</v>
      </c>
      <c r="C1062" s="25">
        <v>499000</v>
      </c>
      <c r="D1062" s="22" t="s">
        <v>1904</v>
      </c>
      <c r="E1062" s="22" t="s">
        <v>59</v>
      </c>
      <c r="F1062" s="23" t="str">
        <f>HYPERLINK("https://www.spark-marketing.ru/Card/Lot/73855437", "Выполнение работ по монтажу охранной сигнализации с кнопкой тревожной сигнализации в помещениях судебных участков, расположенных по адресу: г. Архангельск, ул. Свободы, д. 29")</f>
        <v>Выполнение работ по монтажу охранной сигнализации с кнопкой тревожной сигнализации в помещениях судебных участков, расположенных по адресу: г. Архангельск, ул. Свободы, д. 29</v>
      </c>
      <c r="G1062" s="22" t="s">
        <v>674</v>
      </c>
      <c r="H1062" s="22" t="s">
        <v>1905</v>
      </c>
      <c r="I1062" s="26">
        <v>43732.443749999999</v>
      </c>
      <c r="J1062" s="23" t="str">
        <f>HYPERLINK("https://www.spark-marketing.ru/Card/Person/288939", "ООО ""СФЕРА БЕЗОПАСНОСТИ""")</f>
        <v>ООО "СФЕРА БЕЗОПАСНОСТИ"</v>
      </c>
      <c r="K1062" s="24" t="s">
        <v>1906</v>
      </c>
      <c r="L1062" s="22" t="s">
        <v>10</v>
      </c>
      <c r="M1062" s="25">
        <v>395000</v>
      </c>
      <c r="N1062" s="27">
        <v>0.20841683366733466</v>
      </c>
    </row>
    <row r="1063" spans="1:14" hidden="1" outlineLevel="1" x14ac:dyDescent="0.2">
      <c r="A1063" s="23" t="str">
        <f>HYPERLINK("https://www.spark-marketing.ru/Card/Person/74323", "АГЕНТСТВО МИРОВЫХ СУДЕЙ АО")</f>
        <v>АГЕНТСТВО МИРОВЫХ СУДЕЙ АО</v>
      </c>
      <c r="B1063" s="24" t="s">
        <v>1903</v>
      </c>
      <c r="C1063" s="25">
        <v>499000</v>
      </c>
      <c r="D1063" s="22" t="s">
        <v>1904</v>
      </c>
      <c r="E1063" s="22" t="s">
        <v>59</v>
      </c>
      <c r="F1063" s="23" t="str">
        <f>HYPERLINK("https://www.spark-marketing.ru/Card/Lot/73855437", "Выполнение работ по монтажу охранной сигнализации с кнопкой тревожной сигнализации в помещениях судебных участков, расположенных по адресу: г. Архангельск, ул. Свободы, д. 29")</f>
        <v>Выполнение работ по монтажу охранной сигнализации с кнопкой тревожной сигнализации в помещениях судебных участков, расположенных по адресу: г. Архангельск, ул. Свободы, д. 29</v>
      </c>
      <c r="G1063" s="22" t="s">
        <v>674</v>
      </c>
      <c r="H1063" s="22" t="s">
        <v>1905</v>
      </c>
      <c r="I1063" s="26">
        <v>43732.443749999999</v>
      </c>
      <c r="J1063" s="23" t="str">
        <f>HYPERLINK("https://www.spark-marketing.ru/Card/Person/275692", "ООО ""ТЭЛМА""")</f>
        <v>ООО "ТЭЛМА"</v>
      </c>
      <c r="K1063" s="24" t="s">
        <v>1907</v>
      </c>
      <c r="L1063" s="28" t="s">
        <v>52</v>
      </c>
      <c r="M1063" s="25">
        <v>450000</v>
      </c>
      <c r="N1063" s="27">
        <v>9.8196392785571143E-2</v>
      </c>
    </row>
    <row r="1064" spans="1:14" hidden="1" outlineLevel="1" x14ac:dyDescent="0.2">
      <c r="A1064" s="23" t="str">
        <f>HYPERLINK("https://www.spark-marketing.ru/Card/Person/74323", "АГЕНТСТВО МИРОВЫХ СУДЕЙ АО")</f>
        <v>АГЕНТСТВО МИРОВЫХ СУДЕЙ АО</v>
      </c>
      <c r="B1064" s="24" t="s">
        <v>1903</v>
      </c>
      <c r="C1064" s="25">
        <v>499000</v>
      </c>
      <c r="D1064" s="22" t="s">
        <v>1904</v>
      </c>
      <c r="E1064" s="22" t="s">
        <v>59</v>
      </c>
      <c r="F1064" s="23" t="str">
        <f>HYPERLINK("https://www.spark-marketing.ru/Card/Lot/73855437", "Выполнение работ по монтажу охранной сигнализации с кнопкой тревожной сигнализации в помещениях судебных участков, расположенных по адресу: г. Архангельск, ул. Свободы, д. 29")</f>
        <v>Выполнение работ по монтажу охранной сигнализации с кнопкой тревожной сигнализации в помещениях судебных участков, расположенных по адресу: г. Архангельск, ул. Свободы, д. 29</v>
      </c>
      <c r="G1064" s="22" t="s">
        <v>674</v>
      </c>
      <c r="H1064" s="22" t="s">
        <v>1905</v>
      </c>
      <c r="I1064" s="26">
        <v>43732.443749999999</v>
      </c>
      <c r="J1064" s="23" t="str">
        <f>HYPERLINK("https://www.spark-marketing.ru/Card/Person/135931", "ООО СК ""ВОЛСПЕЦСТРОЙ""")</f>
        <v>ООО СК "ВОЛСПЕЦСТРОЙ"</v>
      </c>
      <c r="K1064" s="24" t="s">
        <v>1908</v>
      </c>
      <c r="L1064" s="28" t="s">
        <v>52</v>
      </c>
      <c r="M1064" s="25">
        <v>469000</v>
      </c>
      <c r="N1064" s="27">
        <v>6.0120240480961921E-2</v>
      </c>
    </row>
    <row r="1065" spans="1:14" x14ac:dyDescent="0.15">
      <c r="A1065" s="23" t="str">
        <f>HYPERLINK("https://www.spark-marketing.ru/Card/Person/4365531", "ООО ""УК ""ТАТБУРНЕФТЬ""")</f>
        <v>ООО "УК "ТАТБУРНЕФТЬ"</v>
      </c>
      <c r="B1065" s="24" t="s">
        <v>1875</v>
      </c>
      <c r="C1065" s="25">
        <v>326472</v>
      </c>
      <c r="D1065" s="22" t="s">
        <v>1909</v>
      </c>
      <c r="E1065" s="22" t="s">
        <v>53</v>
      </c>
      <c r="F1065" s="23" t="str">
        <f>HYPERLINK("https://www.spark-marketing.ru/Card/Lot/73811944", "Оказание услуг по охране стационарных и полевых объектов (37/19)-1")</f>
        <v>Оказание услуг по охране стационарных и полевых объектов (37/19)-1</v>
      </c>
      <c r="G1065" s="22" t="s">
        <v>204</v>
      </c>
      <c r="H1065" s="22" t="s">
        <v>308</v>
      </c>
      <c r="I1065" s="26">
        <v>43731.354166666701</v>
      </c>
      <c r="J1065" s="28" t="s">
        <v>52</v>
      </c>
      <c r="K1065" s="28" t="s">
        <v>52</v>
      </c>
      <c r="L1065" s="28" t="s">
        <v>52</v>
      </c>
      <c r="M1065" s="28" t="s">
        <v>52</v>
      </c>
      <c r="N1065" s="28" t="s">
        <v>52</v>
      </c>
    </row>
    <row r="1066" spans="1:14" x14ac:dyDescent="0.15">
      <c r="A1066" s="23" t="str">
        <f>HYPERLINK("https://www.spark-marketing.ru/Card/Person/23004", "МИНЛЕСХОЗ САМАРСКОЙ ОБЛАСТИ")</f>
        <v>МИНЛЕСХОЗ САМАРСКОЙ ОБЛАСТИ</v>
      </c>
      <c r="B1066" s="24" t="s">
        <v>1910</v>
      </c>
      <c r="C1066" s="25">
        <v>5273261.71</v>
      </c>
      <c r="D1066" s="22" t="s">
        <v>1911</v>
      </c>
      <c r="E1066" s="22" t="s">
        <v>585</v>
      </c>
      <c r="F1066" s="23" t="str">
        <f>HYPERLINK("https://www.spark-marketing.ru/Card/Lot/73861768", "Выполнение работ по мероприятию ""Разработка пакета документов по декларированию безопасности бесхозяйных гидротехнических сооружений, расположенных на территории Самарской области"" в части разработки расчета размера вероятного вреда, который может ...")</f>
        <v>Выполнение работ по мероприятию "Разработка пакета документов по декларированию безопасности бесхозяйных гидротехнических сооружений, расположенных на территории Самарской области" в части разработки расчета размера вероятного вреда, который может ...</v>
      </c>
      <c r="G1066" s="22" t="s">
        <v>760</v>
      </c>
      <c r="H1066" s="22" t="s">
        <v>1709</v>
      </c>
      <c r="I1066" s="26">
        <v>43732.431875000002</v>
      </c>
      <c r="J1066" s="28" t="s">
        <v>52</v>
      </c>
      <c r="K1066" s="28" t="s">
        <v>52</v>
      </c>
      <c r="L1066" s="28" t="s">
        <v>52</v>
      </c>
      <c r="M1066" s="28" t="s">
        <v>52</v>
      </c>
      <c r="N1066" s="28" t="s">
        <v>52</v>
      </c>
    </row>
    <row r="1067" spans="1:14" x14ac:dyDescent="0.15">
      <c r="A1067" s="23" t="str">
        <f>HYPERLINK("https://www.spark-marketing.ru/Card/Person/10924", "ГБУ ""ЖИЛИЩНИК РАЙОНА НОВОКОСИНО""")</f>
        <v>ГБУ "ЖИЛИЩНИК РАЙОНА НОВОКОСИНО"</v>
      </c>
      <c r="B1067" s="24" t="s">
        <v>1912</v>
      </c>
      <c r="C1067" s="25">
        <v>649706.80000000005</v>
      </c>
      <c r="D1067" s="22" t="s">
        <v>1913</v>
      </c>
      <c r="E1067" s="22" t="s">
        <v>1647</v>
      </c>
      <c r="F1067" s="23" t="str">
        <f>HYPERLINK("https://www.spark-marketing.ru/Card/Lot/73860502", "На оказание услуг видеонаблюдения с передачей видеопотока в ЕЦХД г. Москвы и хранением данных")</f>
        <v>На оказание услуг видеонаблюдения с передачей видеопотока в ЕЦХД г. Москвы и хранением данных</v>
      </c>
      <c r="G1067" s="22" t="s">
        <v>55</v>
      </c>
      <c r="H1067" s="22" t="s">
        <v>55</v>
      </c>
      <c r="I1067" s="26">
        <v>43732.400694444397</v>
      </c>
      <c r="J1067" s="23" t="str">
        <f>HYPERLINK("https://www.spark-marketing.ru/Card/Person/35401", "ПАО МГТС")</f>
        <v>ПАО МГТС</v>
      </c>
      <c r="K1067" s="24" t="s">
        <v>56</v>
      </c>
      <c r="L1067" s="22" t="s">
        <v>10</v>
      </c>
      <c r="M1067" s="28" t="s">
        <v>52</v>
      </c>
      <c r="N1067" s="28" t="s">
        <v>52</v>
      </c>
    </row>
    <row r="1068" spans="1:14" x14ac:dyDescent="0.15">
      <c r="A1068" s="23" t="str">
        <f>HYPERLINK("https://www.spark-marketing.ru/Card/Person/1833772", "УФПС БЕЛГОРОДСКОЙ ОБЛ ФЛ ФГУП ПОЧТА РОССИИ")</f>
        <v>УФПС БЕЛГОРОДСКОЙ ОБЛ ФЛ ФГУП ПОЧТА РОССИИ</v>
      </c>
      <c r="B1068" s="24" t="s">
        <v>1424</v>
      </c>
      <c r="C1068" s="25">
        <v>190266.68</v>
      </c>
      <c r="D1068" s="22" t="s">
        <v>1914</v>
      </c>
      <c r="E1068" s="22" t="s">
        <v>53</v>
      </c>
      <c r="F1068" s="23" t="str">
        <f>HYPERLINK("https://www.spark-marketing.ru/Card/Lot/73746292", "Оказание услуг с применением технических средств охраны объектов Губкинского почтамта для нужд УФПС Белгородской области - филиала ФГУП ""Почта России""")</f>
        <v>Оказание услуг с применением технических средств охраны объектов Губкинского почтамта для нужд УФПС Белгородской области - филиала ФГУП "Почта России"</v>
      </c>
      <c r="G1068" s="22" t="s">
        <v>176</v>
      </c>
      <c r="H1068" s="22" t="s">
        <v>176</v>
      </c>
      <c r="I1068" s="26">
        <v>43728.676388888904</v>
      </c>
      <c r="J1068" s="28" t="s">
        <v>52</v>
      </c>
      <c r="K1068" s="28" t="s">
        <v>52</v>
      </c>
      <c r="L1068" s="28" t="s">
        <v>52</v>
      </c>
      <c r="M1068" s="28" t="s">
        <v>52</v>
      </c>
      <c r="N1068" s="28" t="s">
        <v>52</v>
      </c>
    </row>
    <row r="1069" spans="1:14" x14ac:dyDescent="0.15">
      <c r="A1069" s="23" t="str">
        <f>HYPERLINK("https://www.spark-marketing.ru/Card/Person/4346563", "ПАО ""ГАЗПРОМ""")</f>
        <v>ПАО "ГАЗПРОМ"</v>
      </c>
      <c r="B1069" s="24" t="s">
        <v>1548</v>
      </c>
      <c r="C1069" s="25">
        <v>68409064.810000002</v>
      </c>
      <c r="D1069" s="22" t="s">
        <v>1915</v>
      </c>
      <c r="E1069" s="22" t="s">
        <v>1550</v>
      </c>
      <c r="F1069" s="23" t="str">
        <f>HYPERLINK("https://www.spark-marketing.ru/Card/Lot/73858336", "Оказание автотранспортных услуг в пос. Ямбург и пос. Новозаполярный филиалу ПАО «Газпром» «Северо-Уральское межрегиональное управление охраны ПАО «Газпром» в г. Новом Уренгое для нужд ПАО «Газпром» в 2020-2021 годах (для субъектов малого и среднего п...")</f>
        <v>Оказание автотранспортных услуг в пос. Ямбург и пос. Новозаполярный филиалу ПАО «Газпром» «Северо-Уральское межрегиональное управление охраны ПАО «Газпром» в г. Новом Уренгое для нужд ПАО «Газпром» в 2020-2021 годах (для субъектов малого и среднего п...</v>
      </c>
      <c r="G1069" s="22" t="s">
        <v>55</v>
      </c>
      <c r="H1069" s="22" t="s">
        <v>55</v>
      </c>
      <c r="I1069" s="26">
        <v>43732</v>
      </c>
      <c r="J1069" s="28" t="s">
        <v>52</v>
      </c>
      <c r="K1069" s="28" t="s">
        <v>52</v>
      </c>
      <c r="L1069" s="28" t="s">
        <v>52</v>
      </c>
      <c r="M1069" s="28" t="s">
        <v>52</v>
      </c>
      <c r="N1069" s="28" t="s">
        <v>52</v>
      </c>
    </row>
    <row r="1070" spans="1:14" x14ac:dyDescent="0.15">
      <c r="A1070" s="23" t="str">
        <f>HYPERLINK("https://www.spark-marketing.ru/Card/Person/1833772", "УФПС БЕЛГОРОДСКОЙ ОБЛ ФЛ ФГУП ПОЧТА РОССИИ")</f>
        <v>УФПС БЕЛГОРОДСКОЙ ОБЛ ФЛ ФГУП ПОЧТА РОССИИ</v>
      </c>
      <c r="B1070" s="24" t="s">
        <v>1424</v>
      </c>
      <c r="C1070" s="25">
        <v>207450.68</v>
      </c>
      <c r="D1070" s="22" t="s">
        <v>1916</v>
      </c>
      <c r="E1070" s="22" t="s">
        <v>53</v>
      </c>
      <c r="F1070" s="23" t="str">
        <f>HYPERLINK("https://www.spark-marketing.ru/Card/Lot/73743092", "Оказание охранных услуг с применением технических средств охраны на 18 объектах почтовой связи: Корочанского, Яковлевского, Ракитянского, Шебекинского, Старооскольского, Новооскольского, Белгородского, Валуйского почтамтов для нужд УФПС Белгородской ...")</f>
        <v>Оказание охранных услуг с применением технических средств охраны на 18 объектах почтовой связи: Корочанского, Яковлевского, Ракитянского, Шебекинского, Старооскольского, Новооскольского, Белгородского, Валуйского почтамтов для нужд УФПС Белгородской ...</v>
      </c>
      <c r="G1070" s="22" t="s">
        <v>176</v>
      </c>
      <c r="H1070" s="22" t="s">
        <v>176</v>
      </c>
      <c r="I1070" s="26">
        <v>43728.661111111098</v>
      </c>
      <c r="J1070" s="28" t="s">
        <v>52</v>
      </c>
      <c r="K1070" s="28" t="s">
        <v>52</v>
      </c>
      <c r="L1070" s="28" t="s">
        <v>52</v>
      </c>
      <c r="M1070" s="28" t="s">
        <v>52</v>
      </c>
      <c r="N1070" s="28" t="s">
        <v>52</v>
      </c>
    </row>
    <row r="1071" spans="1:14" x14ac:dyDescent="0.15">
      <c r="A1071" s="23" t="str">
        <f>HYPERLINK("https://www.spark-marketing.ru/Card/Person/4343718", "ФГУП ""НИТИ ИМ. А. П. АЛЕКСАНДРОВА""")</f>
        <v>ФГУП "НИТИ ИМ. А. П. АЛЕКСАНДРОВА"</v>
      </c>
      <c r="B1071" s="24" t="s">
        <v>1917</v>
      </c>
      <c r="C1071" s="25">
        <v>2000000</v>
      </c>
      <c r="D1071" s="22" t="s">
        <v>1918</v>
      </c>
      <c r="E1071" s="22" t="s">
        <v>1919</v>
      </c>
      <c r="F1071" s="23" t="str">
        <f>HYPERLINK("https://www.spark-marketing.ru/Card/Lot/73821553", "Право заключения договора на научно-техническое сопровождение строительства объекта «Техническое перевооружение и реконструкция стендовой базы.")</f>
        <v>Право заключения договора на научно-техническое сопровождение строительства объекта «Техническое перевооружение и реконструкция стендовой базы.</v>
      </c>
      <c r="G1071" s="22" t="s">
        <v>861</v>
      </c>
      <c r="H1071" s="22" t="s">
        <v>1920</v>
      </c>
      <c r="I1071" s="26">
        <v>43731</v>
      </c>
      <c r="J1071" s="28" t="s">
        <v>52</v>
      </c>
      <c r="K1071" s="28" t="s">
        <v>52</v>
      </c>
      <c r="L1071" s="28" t="s">
        <v>52</v>
      </c>
      <c r="M1071" s="28" t="s">
        <v>52</v>
      </c>
      <c r="N1071" s="28" t="s">
        <v>52</v>
      </c>
    </row>
    <row r="1072" spans="1:14" x14ac:dyDescent="0.15">
      <c r="A1072" s="23" t="str">
        <f>HYPERLINK("https://www.spark-marketing.ru/Card/Person/111098", "АО ""ПКМТП""")</f>
        <v>АО "ПКМТП"</v>
      </c>
      <c r="B1072" s="24" t="s">
        <v>1921</v>
      </c>
      <c r="C1072" s="25">
        <v>950000</v>
      </c>
      <c r="D1072" s="22" t="s">
        <v>1922</v>
      </c>
      <c r="E1072" s="22" t="s">
        <v>1923</v>
      </c>
      <c r="F1072" s="23" t="str">
        <f>HYPERLINK("https://www.spark-marketing.ru/Card/Lot/73836170", "Выполнения работ по подготовке к сертификации технических средств обеспечения транспортной безопасности (ТС ОТБ)")</f>
        <v>Выполнения работ по подготовке к сертификации технических средств обеспечения транспортной безопасности (ТС ОТБ)</v>
      </c>
      <c r="G1072" s="22" t="s">
        <v>1141</v>
      </c>
      <c r="H1072" s="22" t="s">
        <v>1141</v>
      </c>
      <c r="I1072" s="26">
        <v>43732</v>
      </c>
      <c r="J1072" s="28" t="s">
        <v>52</v>
      </c>
      <c r="K1072" s="28" t="s">
        <v>52</v>
      </c>
      <c r="L1072" s="28" t="s">
        <v>52</v>
      </c>
      <c r="M1072" s="28" t="s">
        <v>52</v>
      </c>
      <c r="N1072" s="28" t="s">
        <v>52</v>
      </c>
    </row>
    <row r="1073" spans="1:14" x14ac:dyDescent="0.15">
      <c r="A1073" s="23" t="str">
        <f>HYPERLINK("https://www.spark-marketing.ru/Card/Person/10991", "ПАО ""РОСТЕЛЕКОМ""")</f>
        <v>ПАО "РОСТЕЛЕКОМ"</v>
      </c>
      <c r="B1073" s="24" t="s">
        <v>607</v>
      </c>
      <c r="C1073" s="25">
        <v>1012800</v>
      </c>
      <c r="D1073" s="22" t="s">
        <v>1924</v>
      </c>
      <c r="E1073" s="22" t="s">
        <v>49</v>
      </c>
      <c r="F1073" s="23" t="str">
        <f>HYPERLINK("https://www.spark-marketing.ru/Card/Lot/73856286", "Усиление технической защищённости и систем безопасности на объектах связи МР СЗ")</f>
        <v>Усиление технической защищённости и систем безопасности на объектах связи МР СЗ</v>
      </c>
      <c r="G1073" s="22" t="s">
        <v>190</v>
      </c>
      <c r="H1073" s="22" t="s">
        <v>190</v>
      </c>
      <c r="I1073" s="26">
        <v>43732</v>
      </c>
      <c r="J1073" s="28" t="s">
        <v>52</v>
      </c>
      <c r="K1073" s="28" t="s">
        <v>52</v>
      </c>
      <c r="L1073" s="28" t="s">
        <v>52</v>
      </c>
      <c r="M1073" s="28" t="s">
        <v>52</v>
      </c>
      <c r="N1073" s="28" t="s">
        <v>52</v>
      </c>
    </row>
    <row r="1074" spans="1:14" x14ac:dyDescent="0.15">
      <c r="A1074" s="23" t="str">
        <f>HYPERLINK("https://www.spark-marketing.ru/Card/Person/4366208", "ООО ""НОВАТЭК- ЧЕЛЯБИНСК""")</f>
        <v>ООО "НОВАТЭК- ЧЕЛЯБИНСК"</v>
      </c>
      <c r="B1074" s="24" t="s">
        <v>1925</v>
      </c>
      <c r="C1074" s="28" t="s">
        <v>52</v>
      </c>
      <c r="D1074" s="28" t="s">
        <v>52</v>
      </c>
      <c r="E1074" s="22" t="s">
        <v>53</v>
      </c>
      <c r="F1074" s="23" t="str">
        <f>HYPERLINK("https://www.spark-marketing.ru/Card/Lot/73843277", "ООО «НОВАТЭК-Челябинск» объявляет о проведении Открытых Конкурсных Торгов на право заключения договора предметом, которого является: выполнения строительно-монтажных работ Комплекса инженерно-технических средств охраны (КИТСО) по объекту «Комплекс сж...")</f>
        <v>ООО «НОВАТЭК-Челябинск» объявляет о проведении Открытых Конкурсных Торгов на право заключения договора предметом, которого является: выполнения строительно-монтажных работ Комплекса инженерно-технических средств охраны (КИТСО) по объекту «Комплекс сж...</v>
      </c>
      <c r="G1074" s="22" t="s">
        <v>60</v>
      </c>
      <c r="H1074" s="22" t="s">
        <v>1683</v>
      </c>
      <c r="I1074" s="26">
        <v>43732</v>
      </c>
      <c r="J1074" s="28" t="s">
        <v>52</v>
      </c>
      <c r="K1074" s="28" t="s">
        <v>52</v>
      </c>
      <c r="L1074" s="28" t="s">
        <v>52</v>
      </c>
      <c r="M1074" s="28" t="s">
        <v>52</v>
      </c>
      <c r="N1074" s="28" t="s">
        <v>52</v>
      </c>
    </row>
    <row r="1075" spans="1:14" x14ac:dyDescent="0.15">
      <c r="A1075" s="23" t="str">
        <f>HYPERLINK("https://www.spark-marketing.ru/Card/Person/132660", "МАОУ ""СОШ № 59"" Г. ЧЕБОКСАРЫ")</f>
        <v>МАОУ "СОШ № 59" Г. ЧЕБОКСАРЫ</v>
      </c>
      <c r="B1075" s="24" t="s">
        <v>1926</v>
      </c>
      <c r="C1075" s="25">
        <v>310686.69</v>
      </c>
      <c r="D1075" s="22" t="s">
        <v>1927</v>
      </c>
      <c r="E1075" s="22" t="s">
        <v>1928</v>
      </c>
      <c r="F1075" s="23" t="str">
        <f>HYPERLINK("https://www.spark-marketing.ru/Card/Lot/74244993", "Выполнение монтажных работ по установке системы видеонаблюдения")</f>
        <v>Выполнение монтажных работ по установке системы видеонаблюдения</v>
      </c>
      <c r="G1075" s="22" t="s">
        <v>1137</v>
      </c>
      <c r="H1075" s="22" t="s">
        <v>1137</v>
      </c>
      <c r="I1075" s="26">
        <v>43747</v>
      </c>
      <c r="J1075" s="28" t="s">
        <v>52</v>
      </c>
      <c r="K1075" s="28" t="s">
        <v>52</v>
      </c>
      <c r="L1075" s="28" t="s">
        <v>52</v>
      </c>
      <c r="M1075" s="28" t="s">
        <v>52</v>
      </c>
      <c r="N1075" s="28" t="s">
        <v>52</v>
      </c>
    </row>
    <row r="1076" spans="1:14" x14ac:dyDescent="0.15">
      <c r="A1076" s="23" t="str">
        <f>HYPERLINK("https://www.spark-marketing.ru/Card/Person/4346563", "ПАО ""ГАЗПРОМ""")</f>
        <v>ПАО "ГАЗПРОМ"</v>
      </c>
      <c r="B1076" s="24" t="s">
        <v>1548</v>
      </c>
      <c r="C1076" s="25">
        <v>71474519.159999996</v>
      </c>
      <c r="D1076" s="22" t="s">
        <v>1929</v>
      </c>
      <c r="E1076" s="22" t="s">
        <v>1550</v>
      </c>
      <c r="F1076" s="23" t="str">
        <f>HYPERLINK("https://www.spark-marketing.ru/Card/Lot/73858337", "Оказание автотранспортных услуг в г. Ноябрьск филиалу ПАО «Газпром» «Северо-Уральское межрегиональное управление охраны ПАО «Газпром» в г. Новом Уренгое для нужд ПАО «Газпром» в 2020-2021 годах")</f>
        <v>Оказание автотранспортных услуг в г. Ноябрьск филиалу ПАО «Газпром» «Северо-Уральское межрегиональное управление охраны ПАО «Газпром» в г. Новом Уренгое для нужд ПАО «Газпром» в 2020-2021 годах</v>
      </c>
      <c r="G1076" s="22" t="s">
        <v>55</v>
      </c>
      <c r="H1076" s="22" t="s">
        <v>55</v>
      </c>
      <c r="I1076" s="26">
        <v>43732</v>
      </c>
      <c r="J1076" s="28" t="s">
        <v>52</v>
      </c>
      <c r="K1076" s="28" t="s">
        <v>52</v>
      </c>
      <c r="L1076" s="28" t="s">
        <v>52</v>
      </c>
      <c r="M1076" s="28" t="s">
        <v>52</v>
      </c>
      <c r="N1076" s="28" t="s">
        <v>52</v>
      </c>
    </row>
    <row r="1077" spans="1:14" x14ac:dyDescent="0.15">
      <c r="A1077" s="23" t="str">
        <f>HYPERLINK("https://www.spark-marketing.ru/Card/Person/4413943", "ООО""ГАЗПРОМ ЦЕНТРРЕМОНТ""")</f>
        <v>ООО"ГАЗПРОМ ЦЕНТРРЕМОНТ"</v>
      </c>
      <c r="B1077" s="24" t="s">
        <v>604</v>
      </c>
      <c r="C1077" s="25">
        <v>12430790</v>
      </c>
      <c r="D1077" s="22" t="s">
        <v>1930</v>
      </c>
      <c r="E1077" s="22" t="s">
        <v>606</v>
      </c>
      <c r="F1077" s="23" t="str">
        <f>HYPERLINK("https://www.spark-marketing.ru/Card/Lot/73855175", "Выполнение работ по оснащению инженерно-техническими средствами охраны объектов КЦ №4 КС-25 «Петровск» в составе стройки «Реконструкция газопровода «Уренгой - Новопсков» на участке «Петровск - Писаревка» к началу поставок газа по газопроводу «Южный п...")</f>
        <v>Выполнение работ по оснащению инженерно-техническими средствами охраны объектов КЦ №4 КС-25 «Петровск» в составе стройки «Реконструкция газопровода «Уренгой - Новопсков» на участке «Петровск - Писаревка» к началу поставок газа по газопроводу «Южный п...</v>
      </c>
      <c r="G1077" s="22" t="s">
        <v>50</v>
      </c>
      <c r="H1077" s="22" t="s">
        <v>458</v>
      </c>
      <c r="I1077" s="26">
        <v>43732</v>
      </c>
      <c r="J1077" s="28" t="s">
        <v>52</v>
      </c>
      <c r="K1077" s="28" t="s">
        <v>52</v>
      </c>
      <c r="L1077" s="22" t="s">
        <v>10</v>
      </c>
      <c r="M1077" s="28" t="s">
        <v>52</v>
      </c>
      <c r="N1077" s="28" t="s">
        <v>52</v>
      </c>
    </row>
    <row r="1078" spans="1:14" x14ac:dyDescent="0.15">
      <c r="A1078" s="23" t="str">
        <f>HYPERLINK("https://www.spark-marketing.ru/Card/Person/15983", "ФКУ ""ЦЕНТРДОРРАЗВИТИЯ""")</f>
        <v>ФКУ "ЦЕНТРДОРРАЗВИТИЯ"</v>
      </c>
      <c r="B1078" s="24" t="s">
        <v>1931</v>
      </c>
      <c r="C1078" s="25">
        <v>160485.12</v>
      </c>
      <c r="D1078" s="22" t="s">
        <v>1932</v>
      </c>
      <c r="E1078" s="22" t="s">
        <v>84</v>
      </c>
      <c r="F1078" s="23" t="str">
        <f>HYPERLINK("https://www.spark-marketing.ru/Card/Lot/73830087", "Оказание услуг по установке системы видеонаблюдения")</f>
        <v>Оказание услуг по установке системы видеонаблюдения</v>
      </c>
      <c r="G1078" s="22" t="s">
        <v>55</v>
      </c>
      <c r="H1078" s="22" t="s">
        <v>55</v>
      </c>
      <c r="I1078" s="26">
        <v>43731.983333333301</v>
      </c>
      <c r="J1078" s="28" t="s">
        <v>52</v>
      </c>
      <c r="K1078" s="28" t="s">
        <v>52</v>
      </c>
      <c r="L1078" s="28" t="s">
        <v>52</v>
      </c>
      <c r="M1078" s="28" t="s">
        <v>52</v>
      </c>
      <c r="N1078" s="28" t="s">
        <v>52</v>
      </c>
    </row>
    <row r="1079" spans="1:14" hidden="1" outlineLevel="1" x14ac:dyDescent="0.2">
      <c r="A1079" s="23" t="str">
        <f>HYPERLINK("https://www.spark-marketing.ru/Card/Person/15983", "ФКУ ""ЦЕНТРДОРРАЗВИТИЯ""")</f>
        <v>ФКУ "ЦЕНТРДОРРАЗВИТИЯ"</v>
      </c>
      <c r="B1079" s="24" t="s">
        <v>1931</v>
      </c>
      <c r="C1079" s="25">
        <v>160485.12</v>
      </c>
      <c r="D1079" s="22" t="s">
        <v>1932</v>
      </c>
      <c r="E1079" s="22" t="s">
        <v>84</v>
      </c>
      <c r="F1079" s="23" t="str">
        <f>HYPERLINK("https://www.spark-marketing.ru/Card/Lot/73830087", "Оказание услуг по установке системы видеонаблюдения")</f>
        <v>Оказание услуг по установке системы видеонаблюдения</v>
      </c>
      <c r="G1079" s="22" t="s">
        <v>55</v>
      </c>
      <c r="H1079" s="22" t="s">
        <v>55</v>
      </c>
      <c r="I1079" s="26">
        <v>43731.983333333301</v>
      </c>
      <c r="J1079" s="23" t="str">
        <f>HYPERLINK("https://www.spark-marketing.ru/Card/Person/88710", "ООО ""СИГНАЛИЗАЦИЯ""")</f>
        <v>ООО "СИГНАЛИЗАЦИЯ"</v>
      </c>
      <c r="K1079" s="24" t="s">
        <v>1398</v>
      </c>
      <c r="L1079" s="28" t="s">
        <v>52</v>
      </c>
      <c r="M1079" s="25">
        <v>160485.12</v>
      </c>
      <c r="N1079" s="27">
        <v>0</v>
      </c>
    </row>
    <row r="1080" spans="1:14" ht="12.75" hidden="1" outlineLevel="1" x14ac:dyDescent="0.2">
      <c r="A1080" s="23" t="str">
        <f>HYPERLINK("https://www.spark-marketing.ru/Card/Person/15983", "ФКУ ""ЦЕНТРДОРРАЗВИТИЯ""")</f>
        <v>ФКУ "ЦЕНТРДОРРАЗВИТИЯ"</v>
      </c>
      <c r="B1080" s="24" t="s">
        <v>1931</v>
      </c>
      <c r="C1080" s="25">
        <v>160485.12</v>
      </c>
      <c r="D1080" s="22" t="s">
        <v>1932</v>
      </c>
      <c r="E1080" s="22" t="s">
        <v>84</v>
      </c>
      <c r="F1080" s="23" t="str">
        <f>HYPERLINK("https://www.spark-marketing.ru/Card/Lot/73830087", "Оказание услуг по установке системы видеонаблюдения")</f>
        <v>Оказание услуг по установке системы видеонаблюдения</v>
      </c>
      <c r="G1080" s="22" t="s">
        <v>55</v>
      </c>
      <c r="H1080" s="22" t="s">
        <v>55</v>
      </c>
      <c r="I1080" s="26">
        <v>43731.983333333301</v>
      </c>
      <c r="J1080" s="23" t="str">
        <f>HYPERLINK("https://www.spark-marketing.ru/Card/Person/6495412", "Анисимов Дмитрий Андреевич")</f>
        <v>Анисимов Дмитрий Андреевич</v>
      </c>
      <c r="K1080" s="24" t="s">
        <v>1933</v>
      </c>
      <c r="L1080" s="22" t="s">
        <v>10</v>
      </c>
      <c r="M1080" s="25">
        <v>160485.12</v>
      </c>
      <c r="N1080" s="27">
        <v>0</v>
      </c>
    </row>
    <row r="1081" spans="1:14" x14ac:dyDescent="0.15">
      <c r="A1081" s="23" t="str">
        <f>HYPERLINK("https://www.spark-marketing.ru/Card/Person/56035", "ГКУСО МО ""РОШАЛЬСКИЙ СРЦН""")</f>
        <v>ГКУСО МО "РОШАЛЬСКИЙ СРЦН"</v>
      </c>
      <c r="B1081" s="24" t="s">
        <v>1934</v>
      </c>
      <c r="C1081" s="25">
        <v>13000</v>
      </c>
      <c r="D1081" s="22" t="s">
        <v>1935</v>
      </c>
      <c r="E1081" s="22" t="s">
        <v>294</v>
      </c>
      <c r="F1081" s="23" t="str">
        <f>HYPERLINK("https://www.spark-marketing.ru/Card/Lot/73828387", "Услуги по техническому обслуживанию системы видеонаблюдения")</f>
        <v>Услуги по техническому обслуживанию системы видеонаблюдения</v>
      </c>
      <c r="G1081" s="22" t="s">
        <v>50</v>
      </c>
      <c r="H1081" s="22" t="s">
        <v>1936</v>
      </c>
      <c r="I1081" s="26">
        <v>43731.857199074097</v>
      </c>
      <c r="J1081" s="28" t="s">
        <v>52</v>
      </c>
      <c r="K1081" s="28" t="s">
        <v>52</v>
      </c>
      <c r="L1081" s="28" t="s">
        <v>52</v>
      </c>
      <c r="M1081" s="28" t="s">
        <v>52</v>
      </c>
      <c r="N1081" s="28" t="s">
        <v>52</v>
      </c>
    </row>
    <row r="1082" spans="1:14" x14ac:dyDescent="0.15">
      <c r="A1082" s="23" t="str">
        <f>HYPERLINK("https://www.spark-marketing.ru/Card/Person/139238", "ГБОУ СОШ № 256 АДМИРАЛТЕЙСКОГО РАЙОНА САНКТ-ПЕТЕРБУРГА")</f>
        <v>ГБОУ СОШ № 256 АДМИРАЛТЕЙСКОГО РАЙОНА САНКТ-ПЕТЕРБУРГА</v>
      </c>
      <c r="B1082" s="24" t="s">
        <v>1937</v>
      </c>
      <c r="C1082" s="25">
        <v>2122070.2799999998</v>
      </c>
      <c r="D1082" s="22" t="s">
        <v>1938</v>
      </c>
      <c r="E1082" s="22" t="s">
        <v>59</v>
      </c>
      <c r="F1082" s="23" t="str">
        <f>HYPERLINK("https://www.spark-marketing.ru/Card/Lot/73832527", "Выполнение работ по монтажу системы видеонаблюдения в здании ГБОУ СОШ № 256 Адмиралтейского района Санкт-Петербурга по адресу: Санкт-Петербург, наб. канала Грибоедова, д. 76, лит. П")</f>
        <v>Выполнение работ по монтажу системы видеонаблюдения в здании ГБОУ СОШ № 256 Адмиралтейского района Санкт-Петербурга по адресу: Санкт-Петербург, наб. канала Грибоедова, д. 76, лит. П</v>
      </c>
      <c r="G1082" s="22" t="s">
        <v>89</v>
      </c>
      <c r="H1082" s="22" t="s">
        <v>89</v>
      </c>
      <c r="I1082" s="26">
        <v>43731.715335648201</v>
      </c>
      <c r="J1082" s="28" t="s">
        <v>52</v>
      </c>
      <c r="K1082" s="28" t="s">
        <v>52</v>
      </c>
      <c r="L1082" s="28" t="s">
        <v>52</v>
      </c>
      <c r="M1082" s="28" t="s">
        <v>52</v>
      </c>
      <c r="N1082" s="28" t="s">
        <v>52</v>
      </c>
    </row>
    <row r="1083" spans="1:14" ht="12.75" hidden="1" outlineLevel="1" x14ac:dyDescent="0.2">
      <c r="A1083" s="23" t="str">
        <f>HYPERLINK("https://www.spark-marketing.ru/Card/Person/139238", "ГБОУ СОШ № 256 АДМИРАЛТЕЙСКОГО РАЙОНА САНКТ-ПЕТЕРБУРГА")</f>
        <v>ГБОУ СОШ № 256 АДМИРАЛТЕЙСКОГО РАЙОНА САНКТ-ПЕТЕРБУРГА</v>
      </c>
      <c r="B1083" s="24" t="s">
        <v>1937</v>
      </c>
      <c r="C1083" s="25">
        <v>2122070.2799999998</v>
      </c>
      <c r="D1083" s="22" t="s">
        <v>1938</v>
      </c>
      <c r="E1083" s="22" t="s">
        <v>59</v>
      </c>
      <c r="F1083" s="23" t="str">
        <f>HYPERLINK("https://www.spark-marketing.ru/Card/Lot/73832527", "Выполнение работ по монтажу системы видеонаблюдения в здании ГБОУ СОШ № 256 Адмиралтейского района Санкт-Петербурга по адресу: Санкт-Петербург, наб. канала Грибоедова, д. 76, лит. П")</f>
        <v>Выполнение работ по монтажу системы видеонаблюдения в здании ГБОУ СОШ № 256 Адмиралтейского района Санкт-Петербурга по адресу: Санкт-Петербург, наб. канала Грибоедова, д. 76, лит. П</v>
      </c>
      <c r="G1083" s="22" t="s">
        <v>89</v>
      </c>
      <c r="H1083" s="22" t="s">
        <v>89</v>
      </c>
      <c r="I1083" s="26">
        <v>43731.715335648201</v>
      </c>
      <c r="J1083" s="23" t="str">
        <f>HYPERLINK("https://www.spark-marketing.ru/Card/Person/5944408", "ООО ""СИС""")</f>
        <v>ООО "СИС"</v>
      </c>
      <c r="K1083" s="24" t="s">
        <v>1939</v>
      </c>
      <c r="L1083" s="22" t="s">
        <v>10</v>
      </c>
      <c r="M1083" s="25">
        <v>2100849.58</v>
      </c>
      <c r="N1083" s="27">
        <v>9.9999986805338042E-3</v>
      </c>
    </row>
    <row r="1084" spans="1:14" hidden="1" outlineLevel="1" x14ac:dyDescent="0.2">
      <c r="A1084" s="23" t="str">
        <f>HYPERLINK("https://www.spark-marketing.ru/Card/Person/139238", "ГБОУ СОШ № 256 АДМИРАЛТЕЙСКОГО РАЙОНА САНКТ-ПЕТЕРБУРГА")</f>
        <v>ГБОУ СОШ № 256 АДМИРАЛТЕЙСКОГО РАЙОНА САНКТ-ПЕТЕРБУРГА</v>
      </c>
      <c r="B1084" s="24" t="s">
        <v>1937</v>
      </c>
      <c r="C1084" s="25">
        <v>2122070.2799999998</v>
      </c>
      <c r="D1084" s="22" t="s">
        <v>1938</v>
      </c>
      <c r="E1084" s="22" t="s">
        <v>59</v>
      </c>
      <c r="F1084" s="23" t="str">
        <f>HYPERLINK("https://www.spark-marketing.ru/Card/Lot/73832527", "Выполнение работ по монтажу системы видеонаблюдения в здании ГБОУ СОШ № 256 Адмиралтейского района Санкт-Петербурга по адресу: Санкт-Петербург, наб. канала Грибоедова, д. 76, лит. П")</f>
        <v>Выполнение работ по монтажу системы видеонаблюдения в здании ГБОУ СОШ № 256 Адмиралтейского района Санкт-Петербурга по адресу: Санкт-Петербург, наб. канала Грибоедова, д. 76, лит. П</v>
      </c>
      <c r="G1084" s="22" t="s">
        <v>89</v>
      </c>
      <c r="H1084" s="22" t="s">
        <v>89</v>
      </c>
      <c r="I1084" s="26">
        <v>43731.715335648201</v>
      </c>
      <c r="J1084" s="23" t="str">
        <f>HYPERLINK("https://www.spark-marketing.ru/Card/Person/871681", "ООО ""БАСТИОН ТЕХНО""")</f>
        <v>ООО "БАСТИОН ТЕХНО"</v>
      </c>
      <c r="K1084" s="24" t="s">
        <v>1940</v>
      </c>
      <c r="L1084" s="28" t="s">
        <v>52</v>
      </c>
      <c r="M1084" s="25">
        <v>2111459.9300000002</v>
      </c>
      <c r="N1084" s="27">
        <v>4.9999993402669021E-3</v>
      </c>
    </row>
    <row r="1085" spans="1:14" x14ac:dyDescent="0.2">
      <c r="A1085" s="23" t="str">
        <f>HYPERLINK("https://www.spark-marketing.ru/Card/Person/5888558", "ГБХР ФКУ ""ЦОУМТС МВД России""")</f>
        <v>ГБХР ФКУ "ЦОУМТС МВД России"</v>
      </c>
      <c r="B1085" s="24" t="s">
        <v>954</v>
      </c>
      <c r="C1085" s="25">
        <v>1810000</v>
      </c>
      <c r="D1085" s="22" t="s">
        <v>1941</v>
      </c>
      <c r="E1085" s="22" t="s">
        <v>68</v>
      </c>
      <c r="F1085" s="23" t="str">
        <f>HYPERLINK("https://www.spark-marketing.ru/Card/Lot/73832146", "Военизированная охрана объектов")</f>
        <v>Военизированная охрана объектов</v>
      </c>
      <c r="G1085" s="22" t="s">
        <v>956</v>
      </c>
      <c r="H1085" s="22" t="s">
        <v>956</v>
      </c>
      <c r="I1085" s="26">
        <v>43731.677881944401</v>
      </c>
      <c r="J1085" s="23" t="str">
        <f>HYPERLINK("https://www.spark-marketing.ru/Card/Person/594031", "Фл ФГУП ""Охрана"" Росгвардии по Смоленской области")</f>
        <v>Фл ФГУП "Охрана" Росгвардии по Смоленской области</v>
      </c>
      <c r="K1085" s="24" t="s">
        <v>779</v>
      </c>
      <c r="L1085" s="28" t="s">
        <v>52</v>
      </c>
      <c r="M1085" s="25">
        <v>1810000</v>
      </c>
      <c r="N1085" s="27">
        <v>0</v>
      </c>
    </row>
    <row r="1086" spans="1:14" x14ac:dyDescent="0.15">
      <c r="A1086" s="23" t="str">
        <f>HYPERLINK("https://www.spark-marketing.ru/Card/Person/4343718", "ФГУП ""НИТИ ИМ. А. П. АЛЕКСАНДРОВА""")</f>
        <v>ФГУП "НИТИ ИМ. А. П. АЛЕКСАНДРОВА"</v>
      </c>
      <c r="B1086" s="24" t="s">
        <v>1917</v>
      </c>
      <c r="C1086" s="25">
        <v>2000000</v>
      </c>
      <c r="D1086" s="22" t="s">
        <v>1942</v>
      </c>
      <c r="E1086" s="22" t="s">
        <v>53</v>
      </c>
      <c r="F1086" s="23" t="str">
        <f>HYPERLINK("https://www.spark-marketing.ru/Card/Lot/73828293", "ЕИС №31908328018 Право заключения договора на научно-техническое сопровождение строительства объекта «Техническое перевооружение и реконструкция стендовой базы.")</f>
        <v>ЕИС №31908328018 Право заключения договора на научно-техническое сопровождение строительства объекта «Техническое перевооружение и реконструкция стендовой базы.</v>
      </c>
      <c r="G1086" s="22" t="s">
        <v>861</v>
      </c>
      <c r="H1086" s="22" t="s">
        <v>1920</v>
      </c>
      <c r="I1086" s="26">
        <v>43731.684710648202</v>
      </c>
      <c r="J1086" s="28" t="s">
        <v>52</v>
      </c>
      <c r="K1086" s="28" t="s">
        <v>52</v>
      </c>
      <c r="L1086" s="28" t="s">
        <v>52</v>
      </c>
      <c r="M1086" s="28" t="s">
        <v>52</v>
      </c>
      <c r="N1086" s="28" t="s">
        <v>52</v>
      </c>
    </row>
    <row r="1087" spans="1:14" x14ac:dyDescent="0.15">
      <c r="A1087" s="23" t="str">
        <f>HYPERLINK("https://www.spark-marketing.ru/Card/Person/6576045", "ООО ""ПРАЙМЮСТ""")</f>
        <v>ООО "ПРАЙМЮСТ"</v>
      </c>
      <c r="B1087" s="24" t="s">
        <v>1943</v>
      </c>
      <c r="C1087" s="25">
        <v>366.63</v>
      </c>
      <c r="D1087" s="22" t="s">
        <v>1944</v>
      </c>
      <c r="E1087" s="22" t="s">
        <v>53</v>
      </c>
      <c r="F1087" s="23" t="str">
        <f>HYPERLINK("https://www.spark-marketing.ru/Card/Lot/73834915", "Коробка распределительная для установке на улице 100х100х50")</f>
        <v>Коробка распределительная для установке на улице 100х100х50</v>
      </c>
      <c r="G1087" s="22" t="s">
        <v>204</v>
      </c>
      <c r="H1087" s="22" t="s">
        <v>1945</v>
      </c>
      <c r="I1087" s="26">
        <v>43731.703090277799</v>
      </c>
      <c r="J1087" s="28" t="s">
        <v>52</v>
      </c>
      <c r="K1087" s="28" t="s">
        <v>52</v>
      </c>
      <c r="L1087" s="28" t="s">
        <v>52</v>
      </c>
      <c r="M1087" s="28" t="s">
        <v>52</v>
      </c>
      <c r="N1087" s="28" t="s">
        <v>52</v>
      </c>
    </row>
    <row r="1088" spans="1:14" x14ac:dyDescent="0.15">
      <c r="A1088" s="23" t="str">
        <f>HYPERLINK("https://www.spark-marketing.ru/Card/Person/58147", "АДМИНИСТРАЦИЯ БИСЕРТСКОГО ГОРОДСКОГО ОКРУГА")</f>
        <v>АДМИНИСТРАЦИЯ БИСЕРТСКОГО ГОРОДСКОГО ОКРУГА</v>
      </c>
      <c r="B1088" s="24" t="s">
        <v>82</v>
      </c>
      <c r="C1088" s="25">
        <v>629347.06999999995</v>
      </c>
      <c r="D1088" s="22" t="s">
        <v>1946</v>
      </c>
      <c r="E1088" s="22" t="s">
        <v>84</v>
      </c>
      <c r="F1088" s="23" t="str">
        <f>HYPERLINK("https://www.spark-marketing.ru/Card/Lot/73830707", "Выполнение работ по приобретению и установке системы видеонаблюдения на ГТС и набережную плотины Бисертского водохранилища")</f>
        <v>Выполнение работ по приобретению и установке системы видеонаблюдения на ГТС и набережную плотины Бисертского водохранилища</v>
      </c>
      <c r="G1088" s="22" t="s">
        <v>72</v>
      </c>
      <c r="H1088" s="22" t="s">
        <v>85</v>
      </c>
      <c r="I1088" s="26">
        <v>43731.698611111096</v>
      </c>
      <c r="J1088" s="28" t="s">
        <v>52</v>
      </c>
      <c r="K1088" s="28" t="s">
        <v>52</v>
      </c>
      <c r="L1088" s="28" t="s">
        <v>52</v>
      </c>
      <c r="M1088" s="28" t="s">
        <v>52</v>
      </c>
      <c r="N1088" s="28" t="s">
        <v>52</v>
      </c>
    </row>
    <row r="1089" spans="1:14" x14ac:dyDescent="0.15">
      <c r="A1089" s="23" t="str">
        <f>HYPERLINK("https://www.spark-marketing.ru/Card/Person/13598", "ГБУЗ МО ""МООД""")</f>
        <v>ГБУЗ МО "МООД"</v>
      </c>
      <c r="B1089" s="24" t="s">
        <v>1947</v>
      </c>
      <c r="C1089" s="25">
        <v>41634.58</v>
      </c>
      <c r="D1089" s="22" t="s">
        <v>1948</v>
      </c>
      <c r="E1089" s="22" t="s">
        <v>1293</v>
      </c>
      <c r="F1089" s="23" t="str">
        <f>HYPERLINK("https://www.spark-marketing.ru/Card/Lot/73823527", "Комплектующие для установки системы видеонаблюдения в ПАО")</f>
        <v>Комплектующие для установки системы видеонаблюдения в ПАО</v>
      </c>
      <c r="G1089" s="22" t="s">
        <v>50</v>
      </c>
      <c r="H1089" s="22" t="s">
        <v>432</v>
      </c>
      <c r="I1089" s="26">
        <v>43731.701342592598</v>
      </c>
      <c r="J1089" s="28" t="s">
        <v>52</v>
      </c>
      <c r="K1089" s="28" t="s">
        <v>52</v>
      </c>
      <c r="L1089" s="28" t="s">
        <v>52</v>
      </c>
      <c r="M1089" s="28" t="s">
        <v>52</v>
      </c>
      <c r="N1089" s="28" t="s">
        <v>52</v>
      </c>
    </row>
    <row r="1090" spans="1:14" x14ac:dyDescent="0.15">
      <c r="A1090" s="23" t="str">
        <f>HYPERLINK("https://www.spark-marketing.ru/Card/Person/1683079", "ООО ""ЧОП ""КЕННАРД""")</f>
        <v>ООО "ЧОП "КЕННАРД"</v>
      </c>
      <c r="B1090" s="24" t="s">
        <v>1949</v>
      </c>
      <c r="C1090" s="25">
        <v>2818.06</v>
      </c>
      <c r="D1090" s="22" t="s">
        <v>1950</v>
      </c>
      <c r="E1090" s="22" t="s">
        <v>53</v>
      </c>
      <c r="F1090" s="23" t="str">
        <f>HYPERLINK("https://www.spark-marketing.ru/Card/Lot/73834460", "Кнопка тревожной сигнализации радиоканальная RR-701T Альтоника")</f>
        <v>Кнопка тревожной сигнализации радиоканальная RR-701T Альтоника</v>
      </c>
      <c r="G1090" s="22" t="s">
        <v>204</v>
      </c>
      <c r="H1090" s="22" t="s">
        <v>303</v>
      </c>
      <c r="I1090" s="26">
        <v>43731.635821759301</v>
      </c>
      <c r="J1090" s="28" t="s">
        <v>52</v>
      </c>
      <c r="K1090" s="28" t="s">
        <v>52</v>
      </c>
      <c r="L1090" s="28" t="s">
        <v>52</v>
      </c>
      <c r="M1090" s="28" t="s">
        <v>52</v>
      </c>
      <c r="N1090" s="28" t="s">
        <v>52</v>
      </c>
    </row>
    <row r="1091" spans="1:14" x14ac:dyDescent="0.15">
      <c r="A1091" s="23" t="str">
        <f t="shared" ref="A1091:A1096" si="31">HYPERLINK("https://www.spark-marketing.ru/Card/Person/19508", "ГБУЗ ВО ""ГБ №2 Г.ВЛАДИМИРА""")</f>
        <v>ГБУЗ ВО "ГБ №2 Г.ВЛАДИМИРА"</v>
      </c>
      <c r="B1091" s="24" t="s">
        <v>1951</v>
      </c>
      <c r="C1091" s="25">
        <v>1800000</v>
      </c>
      <c r="D1091" s="22" t="s">
        <v>1952</v>
      </c>
      <c r="E1091" s="22" t="s">
        <v>79</v>
      </c>
      <c r="F1091" s="23" t="str">
        <f t="shared" ref="F1091:F1096" si="32">HYPERLINK("https://www.spark-marketing.ru/Card/Lot/73831727", "Установка системы видеонаблюдения")</f>
        <v>Установка системы видеонаблюдения</v>
      </c>
      <c r="G1091" s="22" t="s">
        <v>145</v>
      </c>
      <c r="H1091" s="22" t="s">
        <v>146</v>
      </c>
      <c r="I1091" s="26">
        <v>43731.660590277803</v>
      </c>
      <c r="J1091" s="28" t="s">
        <v>52</v>
      </c>
      <c r="K1091" s="28" t="s">
        <v>52</v>
      </c>
      <c r="L1091" s="28" t="s">
        <v>52</v>
      </c>
      <c r="M1091" s="28" t="s">
        <v>52</v>
      </c>
      <c r="N1091" s="28" t="s">
        <v>52</v>
      </c>
    </row>
    <row r="1092" spans="1:14" hidden="1" outlineLevel="1" x14ac:dyDescent="0.2">
      <c r="A1092" s="23" t="str">
        <f t="shared" si="31"/>
        <v>ГБУЗ ВО "ГБ №2 Г.ВЛАДИМИРА"</v>
      </c>
      <c r="B1092" s="24" t="s">
        <v>1951</v>
      </c>
      <c r="C1092" s="25">
        <v>1800000</v>
      </c>
      <c r="D1092" s="22" t="s">
        <v>1952</v>
      </c>
      <c r="E1092" s="22" t="s">
        <v>79</v>
      </c>
      <c r="F1092" s="23" t="str">
        <f t="shared" si="32"/>
        <v>Установка системы видеонаблюдения</v>
      </c>
      <c r="G1092" s="22" t="s">
        <v>145</v>
      </c>
      <c r="H1092" s="22" t="s">
        <v>146</v>
      </c>
      <c r="I1092" s="26">
        <v>43731.660590277803</v>
      </c>
      <c r="J1092" s="23" t="str">
        <f>HYPERLINK("https://www.spark-marketing.ru/Card/Person/521032", "ООО ""КОМБИ""")</f>
        <v>ООО "КОМБИ"</v>
      </c>
      <c r="K1092" s="24" t="s">
        <v>1953</v>
      </c>
      <c r="L1092" s="28" t="s">
        <v>52</v>
      </c>
      <c r="M1092" s="25">
        <v>1355000</v>
      </c>
      <c r="N1092" s="27">
        <v>0.24722222222222223</v>
      </c>
    </row>
    <row r="1093" spans="1:14" hidden="1" outlineLevel="1" x14ac:dyDescent="0.2">
      <c r="A1093" s="23" t="str">
        <f t="shared" si="31"/>
        <v>ГБУЗ ВО "ГБ №2 Г.ВЛАДИМИРА"</v>
      </c>
      <c r="B1093" s="24" t="s">
        <v>1951</v>
      </c>
      <c r="C1093" s="25">
        <v>1800000</v>
      </c>
      <c r="D1093" s="22" t="s">
        <v>1952</v>
      </c>
      <c r="E1093" s="22" t="s">
        <v>79</v>
      </c>
      <c r="F1093" s="23" t="str">
        <f t="shared" si="32"/>
        <v>Установка системы видеонаблюдения</v>
      </c>
      <c r="G1093" s="22" t="s">
        <v>145</v>
      </c>
      <c r="H1093" s="22" t="s">
        <v>146</v>
      </c>
      <c r="I1093" s="26">
        <v>43731.660590277803</v>
      </c>
      <c r="J1093" s="23" t="str">
        <f>HYPERLINK("https://www.spark-marketing.ru/Card/Person/803924", "Третьяков Илья Владимирович")</f>
        <v>Третьяков Илья Владимирович</v>
      </c>
      <c r="K1093" s="24" t="s">
        <v>1954</v>
      </c>
      <c r="L1093" s="28" t="s">
        <v>52</v>
      </c>
      <c r="M1093" s="25">
        <v>1386000</v>
      </c>
      <c r="N1093" s="27">
        <v>0.23</v>
      </c>
    </row>
    <row r="1094" spans="1:14" hidden="1" outlineLevel="1" x14ac:dyDescent="0.2">
      <c r="A1094" s="23" t="str">
        <f t="shared" si="31"/>
        <v>ГБУЗ ВО "ГБ №2 Г.ВЛАДИМИРА"</v>
      </c>
      <c r="B1094" s="24" t="s">
        <v>1951</v>
      </c>
      <c r="C1094" s="25">
        <v>1800000</v>
      </c>
      <c r="D1094" s="22" t="s">
        <v>1952</v>
      </c>
      <c r="E1094" s="22" t="s">
        <v>79</v>
      </c>
      <c r="F1094" s="23" t="str">
        <f t="shared" si="32"/>
        <v>Установка системы видеонаблюдения</v>
      </c>
      <c r="G1094" s="22" t="s">
        <v>145</v>
      </c>
      <c r="H1094" s="22" t="s">
        <v>146</v>
      </c>
      <c r="I1094" s="26">
        <v>43731.660590277803</v>
      </c>
      <c r="J1094" s="23" t="str">
        <f>HYPERLINK("https://www.spark-marketing.ru/Card/Person/308793", "ООО ""ВАРИАНТ-СЕРВИС""")</f>
        <v>ООО "ВАРИАНТ-СЕРВИС"</v>
      </c>
      <c r="K1094" s="24" t="s">
        <v>1955</v>
      </c>
      <c r="L1094" s="28" t="s">
        <v>52</v>
      </c>
      <c r="M1094" s="25">
        <v>1346000</v>
      </c>
      <c r="N1094" s="27">
        <v>0.25222222222222224</v>
      </c>
    </row>
    <row r="1095" spans="1:14" hidden="1" outlineLevel="1" x14ac:dyDescent="0.2">
      <c r="A1095" s="23" t="str">
        <f t="shared" si="31"/>
        <v>ГБУЗ ВО "ГБ №2 Г.ВЛАДИМИРА"</v>
      </c>
      <c r="B1095" s="24" t="s">
        <v>1951</v>
      </c>
      <c r="C1095" s="25">
        <v>1800000</v>
      </c>
      <c r="D1095" s="22" t="s">
        <v>1952</v>
      </c>
      <c r="E1095" s="22" t="s">
        <v>79</v>
      </c>
      <c r="F1095" s="23" t="str">
        <f t="shared" si="32"/>
        <v>Установка системы видеонаблюдения</v>
      </c>
      <c r="G1095" s="22" t="s">
        <v>145</v>
      </c>
      <c r="H1095" s="22" t="s">
        <v>146</v>
      </c>
      <c r="I1095" s="26">
        <v>43731.660590277803</v>
      </c>
      <c r="J1095" s="23" t="str">
        <f>HYPERLINK("https://www.spark-marketing.ru/Card/Person/236646", "ООО ""ВАЙТЕН""")</f>
        <v>ООО "ВАЙТЕН"</v>
      </c>
      <c r="K1095" s="24" t="s">
        <v>1956</v>
      </c>
      <c r="L1095" s="28" t="s">
        <v>52</v>
      </c>
      <c r="M1095" s="25">
        <v>1800000</v>
      </c>
      <c r="N1095" s="27">
        <v>0</v>
      </c>
    </row>
    <row r="1096" spans="1:14" ht="12.75" hidden="1" outlineLevel="1" x14ac:dyDescent="0.2">
      <c r="A1096" s="23" t="str">
        <f t="shared" si="31"/>
        <v>ГБУЗ ВО "ГБ №2 Г.ВЛАДИМИРА"</v>
      </c>
      <c r="B1096" s="24" t="s">
        <v>1951</v>
      </c>
      <c r="C1096" s="25">
        <v>1800000</v>
      </c>
      <c r="D1096" s="22" t="s">
        <v>1952</v>
      </c>
      <c r="E1096" s="22" t="s">
        <v>79</v>
      </c>
      <c r="F1096" s="23" t="str">
        <f t="shared" si="32"/>
        <v>Установка системы видеонаблюдения</v>
      </c>
      <c r="G1096" s="22" t="s">
        <v>145</v>
      </c>
      <c r="H1096" s="22" t="s">
        <v>146</v>
      </c>
      <c r="I1096" s="26">
        <v>43731.660590277803</v>
      </c>
      <c r="J1096" s="23" t="str">
        <f>HYPERLINK("https://www.spark-marketing.ru/Card/Person/35271", "ООО ""ЛОЦМАН БИЗНЕС-ТЕХНОЛОГИЙ""")</f>
        <v>ООО "ЛОЦМАН БИЗНЕС-ТЕХНОЛОГИЙ"</v>
      </c>
      <c r="K1096" s="24" t="s">
        <v>1957</v>
      </c>
      <c r="L1096" s="22" t="s">
        <v>10</v>
      </c>
      <c r="M1096" s="25">
        <v>1346000</v>
      </c>
      <c r="N1096" s="27">
        <v>0.25222222222222224</v>
      </c>
    </row>
    <row r="1097" spans="1:14" x14ac:dyDescent="0.15">
      <c r="A1097" s="23" t="str">
        <f>HYPERLINK("https://www.spark-marketing.ru/Card/Person/34195", "ГКУСО МО ""ИВАНТЕЕВСКИЙ СРЦН ""ТЕРЕМОК""")</f>
        <v>ГКУСО МО "ИВАНТЕЕВСКИЙ СРЦН "ТЕРЕМОК"</v>
      </c>
      <c r="B1097" s="24" t="s">
        <v>1958</v>
      </c>
      <c r="C1097" s="25">
        <v>43238.400000000001</v>
      </c>
      <c r="D1097" s="22" t="s">
        <v>1959</v>
      </c>
      <c r="E1097" s="22" t="s">
        <v>294</v>
      </c>
      <c r="F1097" s="23" t="str">
        <f>HYPERLINK("https://www.spark-marketing.ru/Card/Lot/73820875", "Техническое обслуживание видеонаблюдения")</f>
        <v>Техническое обслуживание видеонаблюдения</v>
      </c>
      <c r="G1097" s="22" t="s">
        <v>50</v>
      </c>
      <c r="H1097" s="22" t="s">
        <v>1960</v>
      </c>
      <c r="I1097" s="26">
        <v>43731.628807870402</v>
      </c>
      <c r="J1097" s="28" t="s">
        <v>52</v>
      </c>
      <c r="K1097" s="28" t="s">
        <v>52</v>
      </c>
      <c r="L1097" s="28" t="s">
        <v>52</v>
      </c>
      <c r="M1097" s="28" t="s">
        <v>52</v>
      </c>
      <c r="N1097" s="28" t="s">
        <v>52</v>
      </c>
    </row>
    <row r="1098" spans="1:14" x14ac:dyDescent="0.15">
      <c r="A1098" s="23" t="str">
        <f>HYPERLINK("https://www.spark-marketing.ru/Card/Person/7653", "БУ ""ФЕДОРОВСКАЯ ГОРОДСКАЯ БОЛЬНИЦА""")</f>
        <v>БУ "ФЕДОРОВСКАЯ ГОРОДСКАЯ БОЛЬНИЦА"</v>
      </c>
      <c r="B1098" s="24" t="s">
        <v>413</v>
      </c>
      <c r="C1098" s="25">
        <v>400877.08</v>
      </c>
      <c r="D1098" s="22" t="s">
        <v>1961</v>
      </c>
      <c r="E1098" s="22" t="s">
        <v>68</v>
      </c>
      <c r="F1098" s="23" t="str">
        <f>HYPERLINK("https://www.spark-marketing.ru/Card/Lot/73830324", "Оказание услуг по обеспечению общественного порядка и безопасности")</f>
        <v>Оказание услуг по обеспечению общественного порядка и безопасности</v>
      </c>
      <c r="G1098" s="22" t="s">
        <v>119</v>
      </c>
      <c r="H1098" s="22" t="s">
        <v>416</v>
      </c>
      <c r="I1098" s="26">
        <v>43731.652083333298</v>
      </c>
      <c r="J1098" s="28" t="s">
        <v>52</v>
      </c>
      <c r="K1098" s="28" t="s">
        <v>52</v>
      </c>
      <c r="L1098" s="28" t="s">
        <v>52</v>
      </c>
      <c r="M1098" s="28" t="s">
        <v>52</v>
      </c>
      <c r="N1098" s="28" t="s">
        <v>52</v>
      </c>
    </row>
    <row r="1099" spans="1:14" hidden="1" outlineLevel="1" x14ac:dyDescent="0.2">
      <c r="A1099" s="23" t="str">
        <f>HYPERLINK("https://www.spark-marketing.ru/Card/Person/7653", "БУ ""ФЕДОРОВСКАЯ ГОРОДСКАЯ БОЛЬНИЦА""")</f>
        <v>БУ "ФЕДОРОВСКАЯ ГОРОДСКАЯ БОЛЬНИЦА"</v>
      </c>
      <c r="B1099" s="24" t="s">
        <v>413</v>
      </c>
      <c r="C1099" s="25">
        <v>400877.08</v>
      </c>
      <c r="D1099" s="22" t="s">
        <v>1961</v>
      </c>
      <c r="E1099" s="22" t="s">
        <v>68</v>
      </c>
      <c r="F1099" s="23" t="str">
        <f>HYPERLINK("https://www.spark-marketing.ru/Card/Lot/73830324", "Оказание услуг по обеспечению общественного порядка и безопасности")</f>
        <v>Оказание услуг по обеспечению общественного порядка и безопасности</v>
      </c>
      <c r="G1099" s="22" t="s">
        <v>119</v>
      </c>
      <c r="H1099" s="22" t="s">
        <v>416</v>
      </c>
      <c r="I1099" s="26">
        <v>43731.652083333298</v>
      </c>
      <c r="J1099" s="23" t="str">
        <f>HYPERLINK("https://www.spark-marketing.ru/Card/Person/676303", "ООО ЧОП ""СТЕЛЛС")</f>
        <v>ООО ЧОП "СТЕЛЛС</v>
      </c>
      <c r="K1099" s="24" t="s">
        <v>1962</v>
      </c>
      <c r="L1099" s="28" t="s">
        <v>52</v>
      </c>
      <c r="M1099" s="25">
        <v>398872.69</v>
      </c>
      <c r="N1099" s="27">
        <v>5.0000114748391207E-3</v>
      </c>
    </row>
    <row r="1100" spans="1:14" ht="12.75" hidden="1" outlineLevel="1" x14ac:dyDescent="0.2">
      <c r="A1100" s="23" t="str">
        <f>HYPERLINK("https://www.spark-marketing.ru/Card/Person/7653", "БУ ""ФЕДОРОВСКАЯ ГОРОДСКАЯ БОЛЬНИЦА""")</f>
        <v>БУ "ФЕДОРОВСКАЯ ГОРОДСКАЯ БОЛЬНИЦА"</v>
      </c>
      <c r="B1100" s="24" t="s">
        <v>413</v>
      </c>
      <c r="C1100" s="25">
        <v>400877.08</v>
      </c>
      <c r="D1100" s="22" t="s">
        <v>1961</v>
      </c>
      <c r="E1100" s="22" t="s">
        <v>68</v>
      </c>
      <c r="F1100" s="23" t="str">
        <f>HYPERLINK("https://www.spark-marketing.ru/Card/Lot/73830324", "Оказание услуг по обеспечению общественного порядка и безопасности")</f>
        <v>Оказание услуг по обеспечению общественного порядка и безопасности</v>
      </c>
      <c r="G1100" s="22" t="s">
        <v>119</v>
      </c>
      <c r="H1100" s="22" t="s">
        <v>416</v>
      </c>
      <c r="I1100" s="26">
        <v>43731.652083333298</v>
      </c>
      <c r="J1100" s="23" t="str">
        <f>HYPERLINK("https://www.spark-marketing.ru/Card/Person/4887694", "СУРГУТСКИЙ МЕЖМУНИЦИПАЛЬНЫЙ ОВО ФЛ ФГКУ УВО ВОЙСК НАЦИОНАЛЬНОЙ ГВАРДИИ РФ ПО ХАНТЫ МАНСИЙСКОМУ АВТОНОМНОМУ ОКРУГУ ЮГРЕ")</f>
        <v>СУРГУТСКИЙ МЕЖМУНИЦИПАЛЬНЫЙ ОВО ФЛ ФГКУ УВО ВОЙСК НАЦИОНАЛЬНОЙ ГВАРДИИ РФ ПО ХАНТЫ МАНСИЙСКОМУ АВТОНОМНОМУ ОКРУГУ ЮГРЕ</v>
      </c>
      <c r="K1100" s="24" t="s">
        <v>1963</v>
      </c>
      <c r="L1100" s="22" t="s">
        <v>10</v>
      </c>
      <c r="M1100" s="25">
        <v>160350.28</v>
      </c>
      <c r="N1100" s="27">
        <v>0.60000137698069445</v>
      </c>
    </row>
    <row r="1101" spans="1:14" hidden="1" outlineLevel="1" x14ac:dyDescent="0.2">
      <c r="A1101" s="23" t="str">
        <f>HYPERLINK("https://www.spark-marketing.ru/Card/Person/7653", "БУ ""ФЕДОРОВСКАЯ ГОРОДСКАЯ БОЛЬНИЦА""")</f>
        <v>БУ "ФЕДОРОВСКАЯ ГОРОДСКАЯ БОЛЬНИЦА"</v>
      </c>
      <c r="B1101" s="24" t="s">
        <v>413</v>
      </c>
      <c r="C1101" s="25">
        <v>400877.08</v>
      </c>
      <c r="D1101" s="22" t="s">
        <v>1961</v>
      </c>
      <c r="E1101" s="22" t="s">
        <v>68</v>
      </c>
      <c r="F1101" s="23" t="str">
        <f>HYPERLINK("https://www.spark-marketing.ru/Card/Lot/73830324", "Оказание услуг по обеспечению общественного порядка и безопасности")</f>
        <v>Оказание услуг по обеспечению общественного порядка и безопасности</v>
      </c>
      <c r="G1101" s="22" t="s">
        <v>119</v>
      </c>
      <c r="H1101" s="22" t="s">
        <v>416</v>
      </c>
      <c r="I1101" s="26">
        <v>43731.652083333298</v>
      </c>
      <c r="J1101" s="23" t="str">
        <f>HYPERLINK("https://www.spark-marketing.ru/Card/Person/92083", "ООО ЧОО ""СЕВЕР-С""")</f>
        <v>ООО ЧОО "СЕВЕР-С"</v>
      </c>
      <c r="K1101" s="24" t="s">
        <v>1964</v>
      </c>
      <c r="L1101" s="28" t="s">
        <v>52</v>
      </c>
      <c r="M1101" s="25">
        <v>162354.67000000001</v>
      </c>
      <c r="N1101" s="27">
        <v>0.59500136550585536</v>
      </c>
    </row>
    <row r="1102" spans="1:14" x14ac:dyDescent="0.15">
      <c r="A1102" s="23" t="str">
        <f>HYPERLINK("https://www.spark-marketing.ru/Card/Person/1683079", "ООО ""ЧОП ""КЕННАРД""")</f>
        <v>ООО "ЧОП "КЕННАРД"</v>
      </c>
      <c r="B1102" s="24" t="s">
        <v>1949</v>
      </c>
      <c r="C1102" s="25">
        <v>27066.720000000001</v>
      </c>
      <c r="D1102" s="22" t="s">
        <v>1965</v>
      </c>
      <c r="E1102" s="22" t="s">
        <v>53</v>
      </c>
      <c r="F1102" s="23" t="str">
        <f>HYPERLINK("https://www.spark-marketing.ru/Card/Lot/73834482", "Кнопка тревожной сигнализации радиоканальная RR-701T Альтоника")</f>
        <v>Кнопка тревожной сигнализации радиоканальная RR-701T Альтоника</v>
      </c>
      <c r="G1102" s="22" t="s">
        <v>204</v>
      </c>
      <c r="H1102" s="22" t="s">
        <v>303</v>
      </c>
      <c r="I1102" s="26">
        <v>43731.639108796298</v>
      </c>
      <c r="J1102" s="28" t="s">
        <v>52</v>
      </c>
      <c r="K1102" s="28" t="s">
        <v>52</v>
      </c>
      <c r="L1102" s="28" t="s">
        <v>52</v>
      </c>
      <c r="M1102" s="28" t="s">
        <v>52</v>
      </c>
      <c r="N1102" s="28" t="s">
        <v>52</v>
      </c>
    </row>
    <row r="1103" spans="1:14" x14ac:dyDescent="0.15">
      <c r="A1103" s="23" t="str">
        <f>HYPERLINK("https://www.spark-marketing.ru/Card/Person/151055", "МБОУ СОШ №3 Г.О. ПУЩИНО")</f>
        <v>МБОУ СОШ №3 Г.О. ПУЩИНО</v>
      </c>
      <c r="B1103" s="24" t="s">
        <v>1966</v>
      </c>
      <c r="C1103" s="25">
        <v>33000</v>
      </c>
      <c r="D1103" s="22" t="s">
        <v>1967</v>
      </c>
      <c r="E1103" s="22" t="s">
        <v>103</v>
      </c>
      <c r="F1103" s="23" t="str">
        <f>HYPERLINK("https://www.spark-marketing.ru/Card/Lot/73820937", "Оказание услуг по техническому обслуживанию системы видеонаблюдения")</f>
        <v>Оказание услуг по техническому обслуживанию системы видеонаблюдения</v>
      </c>
      <c r="G1103" s="22" t="s">
        <v>50</v>
      </c>
      <c r="H1103" s="22" t="s">
        <v>1968</v>
      </c>
      <c r="I1103" s="26">
        <v>43731.6501041667</v>
      </c>
      <c r="J1103" s="28" t="s">
        <v>52</v>
      </c>
      <c r="K1103" s="28" t="s">
        <v>52</v>
      </c>
      <c r="L1103" s="28" t="s">
        <v>52</v>
      </c>
      <c r="M1103" s="28" t="s">
        <v>52</v>
      </c>
      <c r="N1103" s="28" t="s">
        <v>52</v>
      </c>
    </row>
    <row r="1104" spans="1:14" x14ac:dyDescent="0.15">
      <c r="A1104" s="23" t="str">
        <f>HYPERLINK("https://www.spark-marketing.ru/Card/Person/4348528", "АО ИК ""АСЭ""")</f>
        <v>АО ИК "АСЭ"</v>
      </c>
      <c r="B1104" s="24" t="s">
        <v>62</v>
      </c>
      <c r="C1104" s="25">
        <v>0</v>
      </c>
      <c r="D1104" s="22" t="s">
        <v>1969</v>
      </c>
      <c r="E1104" s="22" t="s">
        <v>53</v>
      </c>
      <c r="F1104" s="23" t="str">
        <f>HYPERLINK("https://www.spark-marketing.ru/Card/Lot/73823224", "мониторинг цен в электронной форме на Мониторинг цен согласно ТЗ на оказание услуг по охране объектов БПИФ АО ""Атомэнергопроект""")</f>
        <v>мониторинг цен в электронной форме на Мониторинг цен согласно ТЗ на оказание услуг по охране объектов БПИФ АО "Атомэнергопроект"</v>
      </c>
      <c r="G1104" s="22" t="s">
        <v>64</v>
      </c>
      <c r="H1104" s="22" t="s">
        <v>65</v>
      </c>
      <c r="I1104" s="26">
        <v>43731.608981481499</v>
      </c>
      <c r="J1104" s="28" t="s">
        <v>52</v>
      </c>
      <c r="K1104" s="28" t="s">
        <v>52</v>
      </c>
      <c r="L1104" s="28" t="s">
        <v>52</v>
      </c>
      <c r="M1104" s="28" t="s">
        <v>52</v>
      </c>
      <c r="N1104" s="28" t="s">
        <v>52</v>
      </c>
    </row>
    <row r="1105" spans="1:14" x14ac:dyDescent="0.15">
      <c r="A1105" s="23" t="str">
        <f>HYPERLINK("https://www.spark-marketing.ru/Card/Person/58608", "ОБУЗ ""КАРДИОЛОГИЧЕСКИЙ ДИСПАНСЕР""")</f>
        <v>ОБУЗ "КАРДИОЛОГИЧЕСКИЙ ДИСПАНСЕР"</v>
      </c>
      <c r="B1105" s="24" t="s">
        <v>1970</v>
      </c>
      <c r="C1105" s="25">
        <v>156666.67000000001</v>
      </c>
      <c r="D1105" s="22" t="s">
        <v>1971</v>
      </c>
      <c r="E1105" s="22" t="s">
        <v>68</v>
      </c>
      <c r="F1105" s="23" t="str">
        <f>HYPERLINK("https://www.spark-marketing.ru/Card/Lot/73827953", "Оказание охранных услуг объектов, оборудованных средствами сигнализации для нужд ОБУЗ ""Кардиологический диспансер""")</f>
        <v>Оказание охранных услуг объектов, оборудованных средствами сигнализации для нужд ОБУЗ "Кардиологический диспансер"</v>
      </c>
      <c r="G1105" s="22" t="s">
        <v>340</v>
      </c>
      <c r="H1105" s="22" t="s">
        <v>1030</v>
      </c>
      <c r="I1105" s="26">
        <v>43731.547916666699</v>
      </c>
      <c r="J1105" s="23" t="str">
        <f>HYPERLINK("https://www.spark-marketing.ru/Card/Person/346803", "ООО ""СБ КРАНЭКС""")</f>
        <v>ООО "СБ КРАНЭКС"</v>
      </c>
      <c r="K1105" s="24" t="s">
        <v>1972</v>
      </c>
      <c r="L1105" s="28" t="s">
        <v>52</v>
      </c>
      <c r="M1105" s="28" t="s">
        <v>52</v>
      </c>
      <c r="N1105" s="28" t="s">
        <v>52</v>
      </c>
    </row>
    <row r="1106" spans="1:14" ht="12.75" hidden="1" outlineLevel="1" x14ac:dyDescent="0.2">
      <c r="A1106" s="23" t="str">
        <f>HYPERLINK("https://www.spark-marketing.ru/Card/Person/58608", "ОБУЗ ""КАРДИОЛОГИЧЕСКИЙ ДИСПАНСЕР""")</f>
        <v>ОБУЗ "КАРДИОЛОГИЧЕСКИЙ ДИСПАНСЕР"</v>
      </c>
      <c r="B1106" s="24" t="s">
        <v>1970</v>
      </c>
      <c r="C1106" s="25">
        <v>156666.67000000001</v>
      </c>
      <c r="D1106" s="22" t="s">
        <v>1971</v>
      </c>
      <c r="E1106" s="22" t="s">
        <v>68</v>
      </c>
      <c r="F1106" s="23" t="str">
        <f>HYPERLINK("https://www.spark-marketing.ru/Card/Lot/73827953", "Оказание охранных услуг объектов, оборудованных средствами сигнализации для нужд ОБУЗ ""Кардиологический диспансер""")</f>
        <v>Оказание охранных услуг объектов, оборудованных средствами сигнализации для нужд ОБУЗ "Кардиологический диспансер"</v>
      </c>
      <c r="G1106" s="22" t="s">
        <v>340</v>
      </c>
      <c r="H1106" s="22" t="s">
        <v>1030</v>
      </c>
      <c r="I1106" s="26">
        <v>43731.547916666699</v>
      </c>
      <c r="J1106" s="23" t="str">
        <f>HYPERLINK("https://www.spark-marketing.ru/Card/Person/346803", "ООО ""СБ КРАНЭКС""")</f>
        <v>ООО "СБ КРАНЭКС"</v>
      </c>
      <c r="K1106" s="24" t="s">
        <v>1972</v>
      </c>
      <c r="L1106" s="22" t="s">
        <v>10</v>
      </c>
      <c r="M1106" s="25">
        <v>148833.34</v>
      </c>
      <c r="N1106" s="27">
        <v>4.9999977659574944E-2</v>
      </c>
    </row>
    <row r="1107" spans="1:14" x14ac:dyDescent="0.15">
      <c r="A1107" s="23" t="str">
        <f>HYPERLINK("https://www.spark-marketing.ru/Card/Person/1083960", "МКОУ ""ОТРАДНЕНСКАЯ СОШ""")</f>
        <v>МКОУ "ОТРАДНЕНСКАЯ СОШ"</v>
      </c>
      <c r="B1107" s="24" t="s">
        <v>1973</v>
      </c>
      <c r="C1107" s="25">
        <v>81000</v>
      </c>
      <c r="D1107" s="22" t="s">
        <v>1974</v>
      </c>
      <c r="E1107" s="22" t="s">
        <v>53</v>
      </c>
      <c r="F1107" s="23" t="str">
        <f>HYPERLINK("https://www.spark-marketing.ru/Card/Lot/73816436", "Оказание охранных услуг")</f>
        <v>Оказание охранных услуг</v>
      </c>
      <c r="G1107" s="22" t="s">
        <v>552</v>
      </c>
      <c r="H1107" s="22" t="s">
        <v>1975</v>
      </c>
      <c r="I1107" s="26">
        <v>43731.573819444398</v>
      </c>
      <c r="J1107" s="28" t="s">
        <v>52</v>
      </c>
      <c r="K1107" s="28" t="s">
        <v>52</v>
      </c>
      <c r="L1107" s="28" t="s">
        <v>52</v>
      </c>
      <c r="M1107" s="28" t="s">
        <v>52</v>
      </c>
      <c r="N1107" s="28" t="s">
        <v>52</v>
      </c>
    </row>
    <row r="1108" spans="1:14" x14ac:dyDescent="0.15">
      <c r="A1108" s="23" t="str">
        <f>HYPERLINK("https://www.spark-marketing.ru/Card/Person/61598", "ГБДОУ ДЕТСКИЙ САД №8 ФРУНЗЕНСКОГО РАЙОНА СПБ")</f>
        <v>ГБДОУ ДЕТСКИЙ САД №8 ФРУНЗЕНСКОГО РАЙОНА СПБ</v>
      </c>
      <c r="B1108" s="24" t="s">
        <v>1976</v>
      </c>
      <c r="C1108" s="25">
        <v>1598633</v>
      </c>
      <c r="D1108" s="22" t="s">
        <v>1977</v>
      </c>
      <c r="E1108" s="22" t="s">
        <v>59</v>
      </c>
      <c r="F1108" s="23" t="str">
        <f>HYPERLINK("https://www.spark-marketing.ru/Card/Lot/73831353", "Выполнение работ по монтажу системы видеонаблюдения в ГБДОУ детский сад №8 Фрунзенского района СПб по адресам: Санкт-Петербург, Волковский проспект,дом 20, корпус 2, литер А и улица Расстанная, дом 23, литер А, пом. 4Н, 5Н в 2019 году")</f>
        <v>Выполнение работ по монтажу системы видеонаблюдения в ГБДОУ детский сад №8 Фрунзенского района СПб по адресам: Санкт-Петербург, Волковский проспект,дом 20, корпус 2, литер А и улица Расстанная, дом 23, литер А, пом. 4Н, 5Н в 2019 году</v>
      </c>
      <c r="G1108" s="22" t="s">
        <v>89</v>
      </c>
      <c r="H1108" s="22" t="s">
        <v>89</v>
      </c>
      <c r="I1108" s="26">
        <v>43731.582106481503</v>
      </c>
      <c r="J1108" s="28" t="s">
        <v>52</v>
      </c>
      <c r="K1108" s="28" t="s">
        <v>52</v>
      </c>
      <c r="L1108" s="28" t="s">
        <v>52</v>
      </c>
      <c r="M1108" s="28" t="s">
        <v>52</v>
      </c>
      <c r="N1108" s="28" t="s">
        <v>52</v>
      </c>
    </row>
    <row r="1109" spans="1:14" hidden="1" outlineLevel="1" x14ac:dyDescent="0.2">
      <c r="A1109" s="23" t="str">
        <f>HYPERLINK("https://www.spark-marketing.ru/Card/Person/61598", "ГБДОУ ДЕТСКИЙ САД №8 ФРУНЗЕНСКОГО РАЙОНА СПБ")</f>
        <v>ГБДОУ ДЕТСКИЙ САД №8 ФРУНЗЕНСКОГО РАЙОНА СПБ</v>
      </c>
      <c r="B1109" s="24" t="s">
        <v>1976</v>
      </c>
      <c r="C1109" s="25">
        <v>1598633</v>
      </c>
      <c r="D1109" s="22" t="s">
        <v>1977</v>
      </c>
      <c r="E1109" s="22" t="s">
        <v>59</v>
      </c>
      <c r="F1109" s="23" t="str">
        <f>HYPERLINK("https://www.spark-marketing.ru/Card/Lot/73831353", "Выполнение работ по монтажу системы видеонаблюдения в ГБДОУ детский сад №8 Фрунзенского района СПб по адресам: Санкт-Петербург, Волковский проспект,дом 20, корпус 2, литер А и улица Расстанная, дом 23, литер А, пом. 4Н, 5Н в 2019 году")</f>
        <v>Выполнение работ по монтажу системы видеонаблюдения в ГБДОУ детский сад №8 Фрунзенского района СПб по адресам: Санкт-Петербург, Волковский проспект,дом 20, корпус 2, литер А и улица Расстанная, дом 23, литер А, пом. 4Н, 5Н в 2019 году</v>
      </c>
      <c r="G1109" s="22" t="s">
        <v>89</v>
      </c>
      <c r="H1109" s="22" t="s">
        <v>89</v>
      </c>
      <c r="I1109" s="26">
        <v>43731.582106481503</v>
      </c>
      <c r="J1109" s="23" t="str">
        <f>HYPERLINK("https://www.spark-marketing.ru/Card/Person/6048845", "ООО ""АВАНГАРД""")</f>
        <v>ООО "АВАНГАРД"</v>
      </c>
      <c r="K1109" s="24" t="s">
        <v>1978</v>
      </c>
      <c r="L1109" s="28" t="s">
        <v>52</v>
      </c>
      <c r="M1109" s="25">
        <v>1590639.83</v>
      </c>
      <c r="N1109" s="27">
        <v>5.0000031276722047E-3</v>
      </c>
    </row>
    <row r="1110" spans="1:14" ht="12.75" hidden="1" outlineLevel="1" x14ac:dyDescent="0.2">
      <c r="A1110" s="23" t="str">
        <f>HYPERLINK("https://www.spark-marketing.ru/Card/Person/61598", "ГБДОУ ДЕТСКИЙ САД №8 ФРУНЗЕНСКОГО РАЙОНА СПБ")</f>
        <v>ГБДОУ ДЕТСКИЙ САД №8 ФРУНЗЕНСКОГО РАЙОНА СПБ</v>
      </c>
      <c r="B1110" s="24" t="s">
        <v>1976</v>
      </c>
      <c r="C1110" s="25">
        <v>1598633</v>
      </c>
      <c r="D1110" s="22" t="s">
        <v>1977</v>
      </c>
      <c r="E1110" s="22" t="s">
        <v>59</v>
      </c>
      <c r="F1110" s="23" t="str">
        <f>HYPERLINK("https://www.spark-marketing.ru/Card/Lot/73831353", "Выполнение работ по монтажу системы видеонаблюдения в ГБДОУ детский сад №8 Фрунзенского района СПб по адресам: Санкт-Петербург, Волковский проспект,дом 20, корпус 2, литер А и улица Расстанная, дом 23, литер А, пом. 4Н, 5Н в 2019 году")</f>
        <v>Выполнение работ по монтажу системы видеонаблюдения в ГБДОУ детский сад №8 Фрунзенского района СПб по адресам: Санкт-Петербург, Волковский проспект,дом 20, корпус 2, литер А и улица Расстанная, дом 23, литер А, пом. 4Н, 5Н в 2019 году</v>
      </c>
      <c r="G1110" s="22" t="s">
        <v>89</v>
      </c>
      <c r="H1110" s="22" t="s">
        <v>89</v>
      </c>
      <c r="I1110" s="26">
        <v>43731.582106481503</v>
      </c>
      <c r="J1110" s="23" t="str">
        <f>HYPERLINK("https://www.spark-marketing.ru/Card/Person/6457183", "ООО ""Т-СЕРВИС""")</f>
        <v>ООО "Т-СЕРВИС"</v>
      </c>
      <c r="K1110" s="24" t="s">
        <v>1979</v>
      </c>
      <c r="L1110" s="22" t="s">
        <v>10</v>
      </c>
      <c r="M1110" s="25">
        <v>1582646.66</v>
      </c>
      <c r="N1110" s="27">
        <v>1.0000006255344409E-2</v>
      </c>
    </row>
    <row r="1111" spans="1:14" x14ac:dyDescent="0.15">
      <c r="A1111" s="23" t="str">
        <f>HYPERLINK("https://www.spark-marketing.ru/Card/Person/1083960", "МКОУ ""ОТРАДНЕНСКАЯ СОШ""")</f>
        <v>МКОУ "ОТРАДНЕНСКАЯ СОШ"</v>
      </c>
      <c r="B1111" s="24" t="s">
        <v>1973</v>
      </c>
      <c r="C1111" s="25">
        <v>60000</v>
      </c>
      <c r="D1111" s="22" t="s">
        <v>1980</v>
      </c>
      <c r="E1111" s="22" t="s">
        <v>53</v>
      </c>
      <c r="F1111" s="23" t="str">
        <f>HYPERLINK("https://www.spark-marketing.ru/Card/Lot/73816418", "Оказание охранных услуг")</f>
        <v>Оказание охранных услуг</v>
      </c>
      <c r="G1111" s="22" t="s">
        <v>552</v>
      </c>
      <c r="H1111" s="22" t="s">
        <v>1975</v>
      </c>
      <c r="I1111" s="26">
        <v>43731.5690046296</v>
      </c>
      <c r="J1111" s="28" t="s">
        <v>52</v>
      </c>
      <c r="K1111" s="28" t="s">
        <v>52</v>
      </c>
      <c r="L1111" s="28" t="s">
        <v>52</v>
      </c>
      <c r="M1111" s="28" t="s">
        <v>52</v>
      </c>
      <c r="N1111" s="28" t="s">
        <v>52</v>
      </c>
    </row>
    <row r="1112" spans="1:14" x14ac:dyDescent="0.15">
      <c r="A1112" s="23" t="str">
        <f>HYPERLINK("https://www.spark-marketing.ru/Card/Person/81616", "ГБУЗРА ""АРККВД""")</f>
        <v>ГБУЗРА "АРККВД"</v>
      </c>
      <c r="B1112" s="24" t="s">
        <v>1981</v>
      </c>
      <c r="C1112" s="25">
        <v>150026</v>
      </c>
      <c r="D1112" s="22" t="s">
        <v>1982</v>
      </c>
      <c r="E1112" s="22" t="s">
        <v>84</v>
      </c>
      <c r="F1112" s="23" t="str">
        <f>HYPERLINK("https://www.spark-marketing.ru/Card/Lot/73828721", "Выполнение работ по установке системы видеонаблюдения в поликлиническом отделении ГБУЗ РА ""Адыгейский республиканский клинический кожно-венерологический диспансер """)</f>
        <v>Выполнение работ по установке системы видеонаблюдения в поликлиническом отделении ГБУЗ РА "Адыгейский республиканский клинический кожно-венерологический диспансер "</v>
      </c>
      <c r="G1112" s="22" t="s">
        <v>1547</v>
      </c>
      <c r="H1112" s="22" t="s">
        <v>1983</v>
      </c>
      <c r="I1112" s="26">
        <v>43731.53125</v>
      </c>
      <c r="J1112" s="28" t="s">
        <v>52</v>
      </c>
      <c r="K1112" s="28" t="s">
        <v>52</v>
      </c>
      <c r="L1112" s="28" t="s">
        <v>52</v>
      </c>
      <c r="M1112" s="28" t="s">
        <v>52</v>
      </c>
      <c r="N1112" s="28" t="s">
        <v>52</v>
      </c>
    </row>
    <row r="1113" spans="1:14" hidden="1" outlineLevel="1" x14ac:dyDescent="0.2">
      <c r="A1113" s="23" t="str">
        <f>HYPERLINK("https://www.spark-marketing.ru/Card/Person/81616", "ГБУЗРА ""АРККВД""")</f>
        <v>ГБУЗРА "АРККВД"</v>
      </c>
      <c r="B1113" s="24" t="s">
        <v>1981</v>
      </c>
      <c r="C1113" s="25">
        <v>150026</v>
      </c>
      <c r="D1113" s="22" t="s">
        <v>1982</v>
      </c>
      <c r="E1113" s="22" t="s">
        <v>84</v>
      </c>
      <c r="F1113" s="23" t="str">
        <f>HYPERLINK("https://www.spark-marketing.ru/Card/Lot/73828721", "Выполнение работ по установке системы видеонаблюдения в поликлиническом отделении ГБУЗ РА ""Адыгейский республиканский клинический кожно-венерологический диспансер """)</f>
        <v>Выполнение работ по установке системы видеонаблюдения в поликлиническом отделении ГБУЗ РА "Адыгейский республиканский клинический кожно-венерологический диспансер "</v>
      </c>
      <c r="G1113" s="22" t="s">
        <v>1547</v>
      </c>
      <c r="H1113" s="22" t="s">
        <v>1983</v>
      </c>
      <c r="I1113" s="26">
        <v>43731.53125</v>
      </c>
      <c r="J1113" s="23" t="str">
        <f>HYPERLINK("https://www.spark-marketing.ru/Card/Person/2587361", "ООО ""СИЛКНЕТ""")</f>
        <v>ООО "СИЛКНЕТ"</v>
      </c>
      <c r="K1113" s="24" t="s">
        <v>1984</v>
      </c>
      <c r="L1113" s="28" t="s">
        <v>52</v>
      </c>
      <c r="M1113" s="25">
        <v>118520.54</v>
      </c>
      <c r="N1113" s="27">
        <v>0.21</v>
      </c>
    </row>
    <row r="1114" spans="1:14" hidden="1" outlineLevel="1" x14ac:dyDescent="0.2">
      <c r="A1114" s="23" t="str">
        <f>HYPERLINK("https://www.spark-marketing.ru/Card/Person/81616", "ГБУЗРА ""АРККВД""")</f>
        <v>ГБУЗРА "АРККВД"</v>
      </c>
      <c r="B1114" s="24" t="s">
        <v>1981</v>
      </c>
      <c r="C1114" s="25">
        <v>150026</v>
      </c>
      <c r="D1114" s="22" t="s">
        <v>1982</v>
      </c>
      <c r="E1114" s="22" t="s">
        <v>84</v>
      </c>
      <c r="F1114" s="23" t="str">
        <f>HYPERLINK("https://www.spark-marketing.ru/Card/Lot/73828721", "Выполнение работ по установке системы видеонаблюдения в поликлиническом отделении ГБУЗ РА ""Адыгейский республиканский клинический кожно-венерологический диспансер """)</f>
        <v>Выполнение работ по установке системы видеонаблюдения в поликлиническом отделении ГБУЗ РА "Адыгейский республиканский клинический кожно-венерологический диспансер "</v>
      </c>
      <c r="G1114" s="22" t="s">
        <v>1547</v>
      </c>
      <c r="H1114" s="22" t="s">
        <v>1983</v>
      </c>
      <c r="I1114" s="26">
        <v>43731.53125</v>
      </c>
      <c r="J1114" s="23" t="str">
        <f>HYPERLINK("https://www.spark-marketing.ru/Card/Person/54834", "ООО ""СЕТИ БЕЗОПАСНОСТИ""")</f>
        <v>ООО "СЕТИ БЕЗОПАСНОСТИ"</v>
      </c>
      <c r="K1114" s="24" t="s">
        <v>1985</v>
      </c>
      <c r="L1114" s="28" t="s">
        <v>52</v>
      </c>
      <c r="M1114" s="25">
        <v>148525.74</v>
      </c>
      <c r="N1114" s="27">
        <v>0.01</v>
      </c>
    </row>
    <row r="1115" spans="1:14" hidden="1" outlineLevel="1" x14ac:dyDescent="0.2">
      <c r="A1115" s="23" t="str">
        <f>HYPERLINK("https://www.spark-marketing.ru/Card/Person/81616", "ГБУЗРА ""АРККВД""")</f>
        <v>ГБУЗРА "АРККВД"</v>
      </c>
      <c r="B1115" s="24" t="s">
        <v>1981</v>
      </c>
      <c r="C1115" s="25">
        <v>150026</v>
      </c>
      <c r="D1115" s="22" t="s">
        <v>1982</v>
      </c>
      <c r="E1115" s="22" t="s">
        <v>84</v>
      </c>
      <c r="F1115" s="23" t="str">
        <f>HYPERLINK("https://www.spark-marketing.ru/Card/Lot/73828721", "Выполнение работ по установке системы видеонаблюдения в поликлиническом отделении ГБУЗ РА ""Адыгейский республиканский клинический кожно-венерологический диспансер """)</f>
        <v>Выполнение работ по установке системы видеонаблюдения в поликлиническом отделении ГБУЗ РА "Адыгейский республиканский клинический кожно-венерологический диспансер "</v>
      </c>
      <c r="G1115" s="22" t="s">
        <v>1547</v>
      </c>
      <c r="H1115" s="22" t="s">
        <v>1983</v>
      </c>
      <c r="I1115" s="26">
        <v>43731.53125</v>
      </c>
      <c r="J1115" s="23" t="str">
        <f>HYPERLINK("https://www.spark-marketing.ru/Card/Person/665974", "ООО ""АЛЬФА-БЕЗОПАСНОСТЬ""")</f>
        <v>ООО "АЛЬФА-БЕЗОПАСНОСТЬ"</v>
      </c>
      <c r="K1115" s="24" t="s">
        <v>1986</v>
      </c>
      <c r="L1115" s="28" t="s">
        <v>52</v>
      </c>
      <c r="M1115" s="25">
        <v>119270.67</v>
      </c>
      <c r="N1115" s="27">
        <v>0.20499999999999999</v>
      </c>
    </row>
    <row r="1116" spans="1:14" ht="12.75" hidden="1" outlineLevel="1" x14ac:dyDescent="0.2">
      <c r="A1116" s="23" t="str">
        <f>HYPERLINK("https://www.spark-marketing.ru/Card/Person/81616", "ГБУЗРА ""АРККВД""")</f>
        <v>ГБУЗРА "АРККВД"</v>
      </c>
      <c r="B1116" s="24" t="s">
        <v>1981</v>
      </c>
      <c r="C1116" s="25">
        <v>150026</v>
      </c>
      <c r="D1116" s="22" t="s">
        <v>1982</v>
      </c>
      <c r="E1116" s="22" t="s">
        <v>84</v>
      </c>
      <c r="F1116" s="23" t="str">
        <f>HYPERLINK("https://www.spark-marketing.ru/Card/Lot/73828721", "Выполнение работ по установке системы видеонаблюдения в поликлиническом отделении ГБУЗ РА ""Адыгейский республиканский клинический кожно-венерологический диспансер """)</f>
        <v>Выполнение работ по установке системы видеонаблюдения в поликлиническом отделении ГБУЗ РА "Адыгейский республиканский клинический кожно-венерологический диспансер "</v>
      </c>
      <c r="G1116" s="22" t="s">
        <v>1547</v>
      </c>
      <c r="H1116" s="22" t="s">
        <v>1983</v>
      </c>
      <c r="I1116" s="26">
        <v>43731.53125</v>
      </c>
      <c r="J1116" s="23" t="str">
        <f>HYPERLINK("https://www.spark-marketing.ru/Card/Person/6633169", "Андриянов Антон Владимирович")</f>
        <v>Андриянов Антон Владимирович</v>
      </c>
      <c r="K1116" s="24" t="s">
        <v>1987</v>
      </c>
      <c r="L1116" s="22" t="s">
        <v>10</v>
      </c>
      <c r="M1116" s="25">
        <v>117770.41</v>
      </c>
      <c r="N1116" s="27">
        <v>0.215</v>
      </c>
    </row>
    <row r="1117" spans="1:14" x14ac:dyDescent="0.15">
      <c r="A1117" s="23" t="str">
        <f>HYPERLINK("https://www.spark-marketing.ru/Card/Person/7521", "ЦЕНТРНЕДРА")</f>
        <v>ЦЕНТРНЕДРА</v>
      </c>
      <c r="B1117" s="24" t="s">
        <v>1988</v>
      </c>
      <c r="C1117" s="25">
        <v>83104.44</v>
      </c>
      <c r="D1117" s="22" t="s">
        <v>1989</v>
      </c>
      <c r="E1117" s="22" t="s">
        <v>107</v>
      </c>
      <c r="F1117" s="23" t="str">
        <f>HYPERLINK("https://www.spark-marketing.ru/Card/Lot/73811190", "Техническое обслуживание системы видеонаблюдения и системы СКУД, 1 шт")</f>
        <v>Техническое обслуживание системы видеонаблюдения и системы СКУД, 1 шт</v>
      </c>
      <c r="G1117" s="22" t="s">
        <v>55</v>
      </c>
      <c r="H1117" s="22" t="s">
        <v>55</v>
      </c>
      <c r="I1117" s="26">
        <v>43731.481423611098</v>
      </c>
      <c r="J1117" s="28" t="s">
        <v>52</v>
      </c>
      <c r="K1117" s="28" t="s">
        <v>52</v>
      </c>
      <c r="L1117" s="28" t="s">
        <v>52</v>
      </c>
      <c r="M1117" s="28" t="s">
        <v>52</v>
      </c>
      <c r="N1117" s="28" t="s">
        <v>52</v>
      </c>
    </row>
    <row r="1118" spans="1:14" x14ac:dyDescent="0.15">
      <c r="A1118" s="23" t="str">
        <f>HYPERLINK("https://www.spark-marketing.ru/Card/Person/532", "ФБУ ""АДМИНИСТРАЦИЯ ЛЕНСКОГО БАССЕЙНА""")</f>
        <v>ФБУ "АДМИНИСТРАЦИЯ ЛЕНСКОГО БАССЕЙНА"</v>
      </c>
      <c r="B1118" s="24" t="s">
        <v>1990</v>
      </c>
      <c r="C1118" s="25">
        <v>363000</v>
      </c>
      <c r="D1118" s="22" t="s">
        <v>1991</v>
      </c>
      <c r="E1118" s="22" t="s">
        <v>1992</v>
      </c>
      <c r="F1118" s="23" t="str">
        <f>HYPERLINK("https://www.spark-marketing.ru/Card/Lot/73804686", "Поставка блок-модуля (помещение КПП) для обеспечения транспортной безопасности объектов ФБУ ""Администрация Ленского Бассейна""")</f>
        <v>Поставка блок-модуля (помещение КПП) для обеспечения транспортной безопасности объектов ФБУ "Администрация Ленского Бассейна"</v>
      </c>
      <c r="G1118" s="22" t="s">
        <v>424</v>
      </c>
      <c r="H1118" s="22" t="s">
        <v>1186</v>
      </c>
      <c r="I1118" s="26">
        <v>43731.478472222203</v>
      </c>
      <c r="J1118" s="23" t="str">
        <f>HYPERLINK("https://www.spark-marketing.ru/Card/Person/464362", "ООО ""ВСК""")</f>
        <v>ООО "ВСК"</v>
      </c>
      <c r="K1118" s="24" t="s">
        <v>1993</v>
      </c>
      <c r="L1118" s="22" t="s">
        <v>10</v>
      </c>
      <c r="M1118" s="28" t="s">
        <v>52</v>
      </c>
      <c r="N1118" s="28" t="s">
        <v>52</v>
      </c>
    </row>
    <row r="1119" spans="1:14" x14ac:dyDescent="0.15">
      <c r="A1119" s="23" t="str">
        <f>HYPERLINK("https://www.spark-marketing.ru/Card/Person/61982", "МИНИНФОРМПОЛИТИКИ ЧУВАШИИ")</f>
        <v>МИНИНФОРМПОЛИТИКИ ЧУВАШИИ</v>
      </c>
      <c r="B1119" s="24" t="s">
        <v>1994</v>
      </c>
      <c r="C1119" s="25">
        <v>1487000</v>
      </c>
      <c r="D1119" s="22" t="s">
        <v>1995</v>
      </c>
      <c r="E1119" s="22" t="s">
        <v>194</v>
      </c>
      <c r="F1119" s="23" t="str">
        <f>HYPERLINK("https://www.spark-marketing.ru/Card/Lot/73832465", "Оказание услуг по поставке и установке видеопанелей для визуализации приветственной информации")</f>
        <v>Оказание услуг по поставке и установке видеопанелей для визуализации приветственной информации</v>
      </c>
      <c r="G1119" s="22" t="s">
        <v>1137</v>
      </c>
      <c r="H1119" s="22" t="s">
        <v>1137</v>
      </c>
      <c r="I1119" s="26">
        <v>43731.496053240699</v>
      </c>
      <c r="J1119" s="28" t="s">
        <v>52</v>
      </c>
      <c r="K1119" s="28" t="s">
        <v>52</v>
      </c>
      <c r="L1119" s="28" t="s">
        <v>52</v>
      </c>
      <c r="M1119" s="28" t="s">
        <v>52</v>
      </c>
      <c r="N1119" s="28" t="s">
        <v>52</v>
      </c>
    </row>
    <row r="1120" spans="1:14" hidden="1" outlineLevel="1" x14ac:dyDescent="0.2">
      <c r="A1120" s="23" t="str">
        <f>HYPERLINK("https://www.spark-marketing.ru/Card/Person/61982", "МИНИНФОРМПОЛИТИКИ ЧУВАШИИ")</f>
        <v>МИНИНФОРМПОЛИТИКИ ЧУВАШИИ</v>
      </c>
      <c r="B1120" s="24" t="s">
        <v>1994</v>
      </c>
      <c r="C1120" s="25">
        <v>1487000</v>
      </c>
      <c r="D1120" s="22" t="s">
        <v>1995</v>
      </c>
      <c r="E1120" s="22" t="s">
        <v>194</v>
      </c>
      <c r="F1120" s="23" t="str">
        <f>HYPERLINK("https://www.spark-marketing.ru/Card/Lot/73832465", "Оказание услуг по поставке и установке видеопанелей для визуализации приветственной информации")</f>
        <v>Оказание услуг по поставке и установке видеопанелей для визуализации приветственной информации</v>
      </c>
      <c r="G1120" s="22" t="s">
        <v>1137</v>
      </c>
      <c r="H1120" s="22" t="s">
        <v>1137</v>
      </c>
      <c r="I1120" s="26">
        <v>43731.496053240699</v>
      </c>
      <c r="J1120" s="23" t="str">
        <f>HYPERLINK("https://www.spark-marketing.ru/Card/Person/6503617", "ООО ""ЦЕНТР СЕТЕВОЙ БЕЗОПАСНОСТИ""")</f>
        <v>ООО "ЦЕНТР СЕТЕВОЙ БЕЗОПАСНОСТИ"</v>
      </c>
      <c r="K1120" s="24" t="s">
        <v>1996</v>
      </c>
      <c r="L1120" s="28" t="s">
        <v>52</v>
      </c>
      <c r="M1120" s="25">
        <v>1100380</v>
      </c>
      <c r="N1120" s="27">
        <v>0.26</v>
      </c>
    </row>
    <row r="1121" spans="1:14" ht="12.75" hidden="1" outlineLevel="1" x14ac:dyDescent="0.2">
      <c r="A1121" s="23" t="str">
        <f>HYPERLINK("https://www.spark-marketing.ru/Card/Person/61982", "МИНИНФОРМПОЛИТИКИ ЧУВАШИИ")</f>
        <v>МИНИНФОРМПОЛИТИКИ ЧУВАШИИ</v>
      </c>
      <c r="B1121" s="24" t="s">
        <v>1994</v>
      </c>
      <c r="C1121" s="25">
        <v>1487000</v>
      </c>
      <c r="D1121" s="22" t="s">
        <v>1995</v>
      </c>
      <c r="E1121" s="22" t="s">
        <v>194</v>
      </c>
      <c r="F1121" s="23" t="str">
        <f>HYPERLINK("https://www.spark-marketing.ru/Card/Lot/73832465", "Оказание услуг по поставке и установке видеопанелей для визуализации приветственной информации")</f>
        <v>Оказание услуг по поставке и установке видеопанелей для визуализации приветственной информации</v>
      </c>
      <c r="G1121" s="22" t="s">
        <v>1137</v>
      </c>
      <c r="H1121" s="22" t="s">
        <v>1137</v>
      </c>
      <c r="I1121" s="26">
        <v>43731.496053240699</v>
      </c>
      <c r="J1121" s="23" t="str">
        <f>HYPERLINK("https://www.spark-marketing.ru/Card/Person/84281", "ООО ""МЕДИАСНАБ""")</f>
        <v>ООО "МЕДИАСНАБ"</v>
      </c>
      <c r="K1121" s="24" t="s">
        <v>1997</v>
      </c>
      <c r="L1121" s="22" t="s">
        <v>10</v>
      </c>
      <c r="M1121" s="25">
        <v>1092945</v>
      </c>
      <c r="N1121" s="27">
        <v>0.26500000000000001</v>
      </c>
    </row>
    <row r="1122" spans="1:14" x14ac:dyDescent="0.15">
      <c r="A1122" s="23" t="str">
        <f>HYPERLINK("https://www.spark-marketing.ru/Card/Person/210536", "ОТД МВД РОССИИ ПО ВОЛЧИХИНСКОМУ РАЙОНУ")</f>
        <v>ОТД МВД РОССИИ ПО ВОЛЧИХИНСКОМУ РАЙОНУ</v>
      </c>
      <c r="B1122" s="24" t="s">
        <v>1998</v>
      </c>
      <c r="C1122" s="25">
        <v>6000</v>
      </c>
      <c r="D1122" s="22" t="s">
        <v>1999</v>
      </c>
      <c r="E1122" s="22" t="s">
        <v>84</v>
      </c>
      <c r="F1122" s="23" t="str">
        <f>HYPERLINK("https://www.spark-marketing.ru/Card/Lot/73807627", "монтаж и обслуживание видеонаблюдения, 6 шт")</f>
        <v>монтаж и обслуживание видеонаблюдения, 6 шт</v>
      </c>
      <c r="G1122" s="22" t="s">
        <v>428</v>
      </c>
      <c r="H1122" s="22" t="s">
        <v>2000</v>
      </c>
      <c r="I1122" s="26">
        <v>43731.427245370403</v>
      </c>
      <c r="J1122" s="28" t="s">
        <v>52</v>
      </c>
      <c r="K1122" s="28" t="s">
        <v>52</v>
      </c>
      <c r="L1122" s="28" t="s">
        <v>52</v>
      </c>
      <c r="M1122" s="28" t="s">
        <v>52</v>
      </c>
      <c r="N1122" s="28" t="s">
        <v>52</v>
      </c>
    </row>
    <row r="1123" spans="1:14" x14ac:dyDescent="0.15">
      <c r="A1123" s="23" t="str">
        <f>HYPERLINK("https://www.spark-marketing.ru/Card/Person/59377", "ГАУЗ ""АДГБ С ПЦ""")</f>
        <v>ГАУЗ "АДГБ С ПЦ"</v>
      </c>
      <c r="B1123" s="24" t="s">
        <v>2001</v>
      </c>
      <c r="C1123" s="25">
        <v>41147.24</v>
      </c>
      <c r="D1123" s="22" t="s">
        <v>2002</v>
      </c>
      <c r="E1123" s="22" t="s">
        <v>59</v>
      </c>
      <c r="F1123" s="23" t="str">
        <f>HYPERLINK("https://www.spark-marketing.ru/Card/Lot/73813026", "Установка кнопки тревожной сигнализации")</f>
        <v>Установка кнопки тревожной сигнализации</v>
      </c>
      <c r="G1123" s="22" t="s">
        <v>204</v>
      </c>
      <c r="H1123" s="22" t="s">
        <v>308</v>
      </c>
      <c r="I1123" s="26">
        <v>43731.449305555601</v>
      </c>
      <c r="J1123" s="28" t="s">
        <v>52</v>
      </c>
      <c r="K1123" s="28" t="s">
        <v>52</v>
      </c>
      <c r="L1123" s="28" t="s">
        <v>52</v>
      </c>
      <c r="M1123" s="28" t="s">
        <v>52</v>
      </c>
      <c r="N1123" s="28" t="s">
        <v>52</v>
      </c>
    </row>
    <row r="1124" spans="1:14" hidden="1" outlineLevel="1" x14ac:dyDescent="0.2">
      <c r="A1124" s="23" t="str">
        <f>HYPERLINK("https://www.spark-marketing.ru/Card/Person/59377", "ГАУЗ ""АДГБ С ПЦ""")</f>
        <v>ГАУЗ "АДГБ С ПЦ"</v>
      </c>
      <c r="B1124" s="24" t="s">
        <v>2001</v>
      </c>
      <c r="C1124" s="25">
        <v>41147.24</v>
      </c>
      <c r="D1124" s="22" t="s">
        <v>2002</v>
      </c>
      <c r="E1124" s="22" t="s">
        <v>59</v>
      </c>
      <c r="F1124" s="23" t="str">
        <f>HYPERLINK("https://www.spark-marketing.ru/Card/Lot/73813026", "Установка кнопки тревожной сигнализации")</f>
        <v>Установка кнопки тревожной сигнализации</v>
      </c>
      <c r="G1124" s="22" t="s">
        <v>204</v>
      </c>
      <c r="H1124" s="22" t="s">
        <v>308</v>
      </c>
      <c r="I1124" s="26">
        <v>43731.449305555601</v>
      </c>
      <c r="J1124" s="23" t="str">
        <f>HYPERLINK("https://www.spark-marketing.ru/Card/Person/2553563", "ООО ""ПРОМЗАЩИТА""")</f>
        <v>ООО "ПРОМЗАЩИТА"</v>
      </c>
      <c r="K1124" s="24" t="s">
        <v>2003</v>
      </c>
      <c r="L1124" s="28" t="s">
        <v>52</v>
      </c>
      <c r="M1124" s="25">
        <v>40941.5</v>
      </c>
      <c r="N1124" s="27">
        <v>5.000092351273135E-3</v>
      </c>
    </row>
    <row r="1125" spans="1:14" ht="12.75" hidden="1" outlineLevel="1" x14ac:dyDescent="0.2">
      <c r="A1125" s="23" t="str">
        <f>HYPERLINK("https://www.spark-marketing.ru/Card/Person/59377", "ГАУЗ ""АДГБ С ПЦ""")</f>
        <v>ГАУЗ "АДГБ С ПЦ"</v>
      </c>
      <c r="B1125" s="24" t="s">
        <v>2001</v>
      </c>
      <c r="C1125" s="25">
        <v>41147.24</v>
      </c>
      <c r="D1125" s="22" t="s">
        <v>2002</v>
      </c>
      <c r="E1125" s="22" t="s">
        <v>59</v>
      </c>
      <c r="F1125" s="23" t="str">
        <f>HYPERLINK("https://www.spark-marketing.ru/Card/Lot/73813026", "Установка кнопки тревожной сигнализации")</f>
        <v>Установка кнопки тревожной сигнализации</v>
      </c>
      <c r="G1125" s="22" t="s">
        <v>204</v>
      </c>
      <c r="H1125" s="22" t="s">
        <v>308</v>
      </c>
      <c r="I1125" s="26">
        <v>43731.449305555601</v>
      </c>
      <c r="J1125" s="23" t="str">
        <f>HYPERLINK("https://www.spark-marketing.ru/Card/Person/10487", "ФГУП ""ОХРАНА"" РОСГВАРДИИ")</f>
        <v>ФГУП "ОХРАНА" РОСГВАРДИИ</v>
      </c>
      <c r="K1125" s="24" t="s">
        <v>779</v>
      </c>
      <c r="L1125" s="22" t="s">
        <v>10</v>
      </c>
      <c r="M1125" s="25">
        <v>40941.5</v>
      </c>
      <c r="N1125" s="27">
        <v>5.000092351273135E-3</v>
      </c>
    </row>
    <row r="1126" spans="1:14" x14ac:dyDescent="0.15">
      <c r="A1126" s="23" t="str">
        <f>HYPERLINK("https://www.spark-marketing.ru/Card/Person/72373", "ФКУ ЦБИТ МЧС РОССИИ")</f>
        <v>ФКУ ЦБИТ МЧС РОССИИ</v>
      </c>
      <c r="B1126" s="24" t="s">
        <v>2004</v>
      </c>
      <c r="C1126" s="25">
        <v>111184630</v>
      </c>
      <c r="D1126" s="22" t="s">
        <v>2005</v>
      </c>
      <c r="E1126" s="22" t="s">
        <v>1293</v>
      </c>
      <c r="F1126" s="23" t="str">
        <f>HYPERLINK("https://www.spark-marketing.ru/Card/Lot/73812409", "Внедрение типовых программно-технических решений многоуровневой навигационно-информационной системы мониторинга транспортных средств МЧС России и выполнения требований законодательства Российской Федерации в области защиты информации.")</f>
        <v>Внедрение типовых программно-технических решений многоуровневой навигационно-информационной системы мониторинга транспортных средств МЧС России и выполнения требований законодательства Российской Федерации в области защиты информации.</v>
      </c>
      <c r="G1126" s="22" t="s">
        <v>50</v>
      </c>
      <c r="H1126" s="22" t="s">
        <v>938</v>
      </c>
      <c r="I1126" s="26">
        <v>43731.379166666702</v>
      </c>
      <c r="J1126" s="28" t="s">
        <v>52</v>
      </c>
      <c r="K1126" s="28" t="s">
        <v>52</v>
      </c>
      <c r="L1126" s="28" t="s">
        <v>52</v>
      </c>
      <c r="M1126" s="28" t="s">
        <v>52</v>
      </c>
      <c r="N1126" s="28" t="s">
        <v>52</v>
      </c>
    </row>
    <row r="1127" spans="1:14" x14ac:dyDescent="0.15">
      <c r="A1127" s="23" t="str">
        <f>HYPERLINK("https://www.spark-marketing.ru/Card/Person/1176815", "АО ""ИРКУТСКНЕФТЕПРОДУКТ""")</f>
        <v>АО "ИРКУТСКНЕФТЕПРОДУКТ"</v>
      </c>
      <c r="B1127" s="24" t="s">
        <v>2006</v>
      </c>
      <c r="C1127" s="28" t="s">
        <v>52</v>
      </c>
      <c r="D1127" s="22" t="s">
        <v>2007</v>
      </c>
      <c r="E1127" s="22" t="s">
        <v>107</v>
      </c>
      <c r="F1127" s="23" t="str">
        <f>HYPERLINK("https://www.spark-marketing.ru/Card/Lot/73985038", "Оказание услуг по техническому обслуживанию средств тревожной сигнализации АЗС-76 Братский район Иркутская обл.")</f>
        <v>Оказание услуг по техническому обслуживанию средств тревожной сигнализации АЗС-76 Братский район Иркутская обл.</v>
      </c>
      <c r="G1127" s="22" t="s">
        <v>281</v>
      </c>
      <c r="H1127" s="22" t="s">
        <v>2008</v>
      </c>
      <c r="I1127" s="26">
        <v>43731.409722222197</v>
      </c>
      <c r="J1127" s="28" t="s">
        <v>52</v>
      </c>
      <c r="K1127" s="28" t="s">
        <v>52</v>
      </c>
      <c r="L1127" s="28" t="s">
        <v>52</v>
      </c>
      <c r="M1127" s="28" t="s">
        <v>52</v>
      </c>
      <c r="N1127" s="28" t="s">
        <v>52</v>
      </c>
    </row>
    <row r="1128" spans="1:14" x14ac:dyDescent="0.15">
      <c r="A1128" s="23" t="str">
        <f>HYPERLINK("https://www.spark-marketing.ru/Card/Person/1176815", "АО ""ИРКУТСКНЕФТЕПРОДУКТ""")</f>
        <v>АО "ИРКУТСКНЕФТЕПРОДУКТ"</v>
      </c>
      <c r="B1128" s="24" t="s">
        <v>2006</v>
      </c>
      <c r="C1128" s="28" t="s">
        <v>52</v>
      </c>
      <c r="D1128" s="22" t="s">
        <v>2009</v>
      </c>
      <c r="E1128" s="22" t="s">
        <v>107</v>
      </c>
      <c r="F1128" s="23" t="str">
        <f>HYPERLINK("https://www.spark-marketing.ru/Card/Lot/73985190", "Оказание услуг по техническому обслуживанию средств тревожной сигнализации - Админ. здание, АЗС №89, АЗК №№ 42, 65, 88, 301, 302, 308, 309, 310, 311, Оперцентр г. Братск Иркутская обл.")</f>
        <v>Оказание услуг по техническому обслуживанию средств тревожной сигнализации - Админ. здание, АЗС №89, АЗК №№ 42, 65, 88, 301, 302, 308, 309, 310, 311, Оперцентр г. Братск Иркутская обл.</v>
      </c>
      <c r="G1128" s="22" t="s">
        <v>281</v>
      </c>
      <c r="H1128" s="22" t="s">
        <v>2008</v>
      </c>
      <c r="I1128" s="26">
        <v>43731.402083333298</v>
      </c>
      <c r="J1128" s="28" t="s">
        <v>52</v>
      </c>
      <c r="K1128" s="28" t="s">
        <v>52</v>
      </c>
      <c r="L1128" s="28" t="s">
        <v>52</v>
      </c>
      <c r="M1128" s="28" t="s">
        <v>52</v>
      </c>
      <c r="N1128" s="28" t="s">
        <v>52</v>
      </c>
    </row>
    <row r="1129" spans="1:14" x14ac:dyDescent="0.15">
      <c r="A1129" s="23" t="str">
        <f>HYPERLINK("https://www.spark-marketing.ru/Card/Person/10203", "ГОСУДАРСТВЕННЫЙ УНИВЕРСИТЕТ ""ДУБНА""")</f>
        <v>ГОСУДАРСТВЕННЫЙ УНИВЕРСИТЕТ "ДУБНА"</v>
      </c>
      <c r="B1129" s="24" t="s">
        <v>2010</v>
      </c>
      <c r="C1129" s="25">
        <v>24000</v>
      </c>
      <c r="D1129" s="22" t="s">
        <v>2011</v>
      </c>
      <c r="E1129" s="22" t="s">
        <v>59</v>
      </c>
      <c r="F1129" s="23" t="str">
        <f>HYPERLINK("https://www.spark-marketing.ru/Card/Lot/73807842", "Монтаж КТС для филиала ""Протвино""")</f>
        <v>Монтаж КТС для филиала "Протвино"</v>
      </c>
      <c r="G1129" s="22" t="s">
        <v>50</v>
      </c>
      <c r="H1129" s="22" t="s">
        <v>2012</v>
      </c>
      <c r="I1129" s="26">
        <v>43731.388460648202</v>
      </c>
      <c r="J1129" s="28" t="s">
        <v>52</v>
      </c>
      <c r="K1129" s="28" t="s">
        <v>52</v>
      </c>
      <c r="L1129" s="28" t="s">
        <v>52</v>
      </c>
      <c r="M1129" s="28" t="s">
        <v>52</v>
      </c>
      <c r="N1129" s="28" t="s">
        <v>52</v>
      </c>
    </row>
    <row r="1130" spans="1:14" x14ac:dyDescent="0.15">
      <c r="A1130" s="23" t="str">
        <f>HYPERLINK("https://www.spark-marketing.ru/Card/Person/5749", "БУЗ ВО ""ВГКБСМП № 10""")</f>
        <v>БУЗ ВО "ВГКБСМП № 10"</v>
      </c>
      <c r="B1130" s="24" t="s">
        <v>2013</v>
      </c>
      <c r="C1130" s="25">
        <v>109358.34</v>
      </c>
      <c r="D1130" s="22" t="s">
        <v>2014</v>
      </c>
      <c r="E1130" s="22" t="s">
        <v>84</v>
      </c>
      <c r="F1130" s="23" t="str">
        <f>HYPERLINK("https://www.spark-marketing.ru/Card/Lot/73808591", "Оказание услуг на установку системы палатной сигнализации")</f>
        <v>Оказание услуг на установку системы палатной сигнализации</v>
      </c>
      <c r="G1130" s="22" t="s">
        <v>552</v>
      </c>
      <c r="H1130" s="22" t="s">
        <v>886</v>
      </c>
      <c r="I1130" s="26">
        <v>43731.372222222199</v>
      </c>
      <c r="J1130" s="28" t="s">
        <v>52</v>
      </c>
      <c r="K1130" s="28" t="s">
        <v>52</v>
      </c>
      <c r="L1130" s="28" t="s">
        <v>52</v>
      </c>
      <c r="M1130" s="28" t="s">
        <v>52</v>
      </c>
      <c r="N1130" s="28" t="s">
        <v>52</v>
      </c>
    </row>
    <row r="1131" spans="1:14" hidden="1" outlineLevel="1" x14ac:dyDescent="0.2">
      <c r="A1131" s="23" t="str">
        <f>HYPERLINK("https://www.spark-marketing.ru/Card/Person/5749", "БУЗ ВО ""ВГКБСМП № 10""")</f>
        <v>БУЗ ВО "ВГКБСМП № 10"</v>
      </c>
      <c r="B1131" s="24" t="s">
        <v>2013</v>
      </c>
      <c r="C1131" s="25">
        <v>109358.34</v>
      </c>
      <c r="D1131" s="22" t="s">
        <v>2014</v>
      </c>
      <c r="E1131" s="22" t="s">
        <v>84</v>
      </c>
      <c r="F1131" s="23" t="str">
        <f>HYPERLINK("https://www.spark-marketing.ru/Card/Lot/73808591", "Оказание услуг на установку системы палатной сигнализации")</f>
        <v>Оказание услуг на установку системы палатной сигнализации</v>
      </c>
      <c r="G1131" s="22" t="s">
        <v>552</v>
      </c>
      <c r="H1131" s="22" t="s">
        <v>886</v>
      </c>
      <c r="I1131" s="26">
        <v>43731.372222222199</v>
      </c>
      <c r="J1131" s="23" t="str">
        <f>HYPERLINK("https://www.spark-marketing.ru/Card/Person/838694", "ООО ""ОРТИКОН-С""")</f>
        <v>ООО "ОРТИКОН-С"</v>
      </c>
      <c r="K1131" s="24" t="s">
        <v>2015</v>
      </c>
      <c r="L1131" s="28" t="s">
        <v>52</v>
      </c>
      <c r="M1131" s="25">
        <v>98000</v>
      </c>
      <c r="N1131" s="27">
        <v>0.10386350048839439</v>
      </c>
    </row>
    <row r="1132" spans="1:14" ht="12.75" hidden="1" outlineLevel="1" x14ac:dyDescent="0.2">
      <c r="A1132" s="23" t="str">
        <f>HYPERLINK("https://www.spark-marketing.ru/Card/Person/5749", "БУЗ ВО ""ВГКБСМП № 10""")</f>
        <v>БУЗ ВО "ВГКБСМП № 10"</v>
      </c>
      <c r="B1132" s="24" t="s">
        <v>2013</v>
      </c>
      <c r="C1132" s="25">
        <v>109358.34</v>
      </c>
      <c r="D1132" s="22" t="s">
        <v>2014</v>
      </c>
      <c r="E1132" s="22" t="s">
        <v>84</v>
      </c>
      <c r="F1132" s="23" t="str">
        <f>HYPERLINK("https://www.spark-marketing.ru/Card/Lot/73808591", "Оказание услуг на установку системы палатной сигнализации")</f>
        <v>Оказание услуг на установку системы палатной сигнализации</v>
      </c>
      <c r="G1132" s="22" t="s">
        <v>552</v>
      </c>
      <c r="H1132" s="22" t="s">
        <v>886</v>
      </c>
      <c r="I1132" s="26">
        <v>43731.372222222199</v>
      </c>
      <c r="J1132" s="23" t="str">
        <f>HYPERLINK("https://www.spark-marketing.ru/Card/Person/755149", "ООО ""АЙРЕСТО""")</f>
        <v>ООО "АЙРЕСТО"</v>
      </c>
      <c r="K1132" s="24" t="s">
        <v>2016</v>
      </c>
      <c r="L1132" s="22" t="s">
        <v>10</v>
      </c>
      <c r="M1132" s="25">
        <v>95420</v>
      </c>
      <c r="N1132" s="27">
        <v>0.12745566547553666</v>
      </c>
    </row>
    <row r="1133" spans="1:14" x14ac:dyDescent="0.15">
      <c r="A1133" s="23" t="str">
        <f>HYPERLINK("https://www.spark-marketing.ru/Card/Person/17207", "СЕДЬМОЙ АРБИТРАЖНЫЙ АПЕЛЛЯЦИОННЫЙ СУД")</f>
        <v>СЕДЬМОЙ АРБИТРАЖНЫЙ АПЕЛЛЯЦИОННЫЙ СУД</v>
      </c>
      <c r="B1133" s="24" t="s">
        <v>2017</v>
      </c>
      <c r="C1133" s="25">
        <v>447472</v>
      </c>
      <c r="D1133" s="22" t="s">
        <v>2018</v>
      </c>
      <c r="E1133" s="22" t="s">
        <v>194</v>
      </c>
      <c r="F1133" s="23" t="str">
        <f>HYPERLINK("https://www.spark-marketing.ru/Card/Lot/73804492", "Поставка и установка системы видеонаблюдения")</f>
        <v>Поставка и установка системы видеонаблюдения</v>
      </c>
      <c r="G1133" s="22" t="s">
        <v>150</v>
      </c>
      <c r="H1133" s="22" t="s">
        <v>1656</v>
      </c>
      <c r="I1133" s="26">
        <v>43731.380555555603</v>
      </c>
      <c r="J1133" s="28" t="s">
        <v>52</v>
      </c>
      <c r="K1133" s="28" t="s">
        <v>52</v>
      </c>
      <c r="L1133" s="28" t="s">
        <v>52</v>
      </c>
      <c r="M1133" s="28" t="s">
        <v>52</v>
      </c>
      <c r="N1133" s="28" t="s">
        <v>52</v>
      </c>
    </row>
    <row r="1134" spans="1:14" ht="12.75" hidden="1" outlineLevel="1" x14ac:dyDescent="0.2">
      <c r="A1134" s="23" t="str">
        <f>HYPERLINK("https://www.spark-marketing.ru/Card/Person/17207", "СЕДЬМОЙ АРБИТРАЖНЫЙ АПЕЛЛЯЦИОННЫЙ СУД")</f>
        <v>СЕДЬМОЙ АРБИТРАЖНЫЙ АПЕЛЛЯЦИОННЫЙ СУД</v>
      </c>
      <c r="B1134" s="24" t="s">
        <v>2017</v>
      </c>
      <c r="C1134" s="25">
        <v>447472</v>
      </c>
      <c r="D1134" s="22" t="s">
        <v>2018</v>
      </c>
      <c r="E1134" s="22" t="s">
        <v>194</v>
      </c>
      <c r="F1134" s="23" t="str">
        <f>HYPERLINK("https://www.spark-marketing.ru/Card/Lot/73804492", "Поставка и установка системы видеонаблюдения")</f>
        <v>Поставка и установка системы видеонаблюдения</v>
      </c>
      <c r="G1134" s="22" t="s">
        <v>150</v>
      </c>
      <c r="H1134" s="22" t="s">
        <v>1656</v>
      </c>
      <c r="I1134" s="26">
        <v>43731.380555555603</v>
      </c>
      <c r="J1134" s="23" t="str">
        <f>HYPERLINK("https://www.spark-marketing.ru/Card/Person/6715637", "ООО ""АРМА""")</f>
        <v>ООО "АРМА"</v>
      </c>
      <c r="K1134" s="24" t="s">
        <v>2019</v>
      </c>
      <c r="L1134" s="22" t="s">
        <v>10</v>
      </c>
      <c r="M1134" s="25">
        <v>436285.2</v>
      </c>
      <c r="N1134" s="27">
        <v>2.5000000000000001E-2</v>
      </c>
    </row>
    <row r="1135" spans="1:14" hidden="1" outlineLevel="1" x14ac:dyDescent="0.2">
      <c r="A1135" s="23" t="str">
        <f>HYPERLINK("https://www.spark-marketing.ru/Card/Person/17207", "СЕДЬМОЙ АРБИТРАЖНЫЙ АПЕЛЛЯЦИОННЫЙ СУД")</f>
        <v>СЕДЬМОЙ АРБИТРАЖНЫЙ АПЕЛЛЯЦИОННЫЙ СУД</v>
      </c>
      <c r="B1135" s="24" t="s">
        <v>2017</v>
      </c>
      <c r="C1135" s="25">
        <v>447472</v>
      </c>
      <c r="D1135" s="22" t="s">
        <v>2018</v>
      </c>
      <c r="E1135" s="22" t="s">
        <v>194</v>
      </c>
      <c r="F1135" s="23" t="str">
        <f>HYPERLINK("https://www.spark-marketing.ru/Card/Lot/73804492", "Поставка и установка системы видеонаблюдения")</f>
        <v>Поставка и установка системы видеонаблюдения</v>
      </c>
      <c r="G1135" s="22" t="s">
        <v>150</v>
      </c>
      <c r="H1135" s="22" t="s">
        <v>1656</v>
      </c>
      <c r="I1135" s="26">
        <v>43731.380555555603</v>
      </c>
      <c r="J1135" s="23" t="str">
        <f>HYPERLINK("https://www.spark-marketing.ru/Card/Person/91303", "ООО ""ЭЙЭСПИ""")</f>
        <v>ООО "ЭЙЭСПИ"</v>
      </c>
      <c r="K1135" s="24" t="s">
        <v>2020</v>
      </c>
      <c r="L1135" s="28" t="s">
        <v>52</v>
      </c>
      <c r="M1135" s="25">
        <v>438000</v>
      </c>
      <c r="N1135" s="27">
        <v>2.1167804912933099E-2</v>
      </c>
    </row>
    <row r="1136" spans="1:14" hidden="1" outlineLevel="1" x14ac:dyDescent="0.2">
      <c r="A1136" s="23" t="str">
        <f>HYPERLINK("https://www.spark-marketing.ru/Card/Person/17207", "СЕДЬМОЙ АРБИТРАЖНЫЙ АПЕЛЛЯЦИОННЫЙ СУД")</f>
        <v>СЕДЬМОЙ АРБИТРАЖНЫЙ АПЕЛЛЯЦИОННЫЙ СУД</v>
      </c>
      <c r="B1136" s="24" t="s">
        <v>2017</v>
      </c>
      <c r="C1136" s="25">
        <v>447472</v>
      </c>
      <c r="D1136" s="22" t="s">
        <v>2018</v>
      </c>
      <c r="E1136" s="22" t="s">
        <v>194</v>
      </c>
      <c r="F1136" s="23" t="str">
        <f>HYPERLINK("https://www.spark-marketing.ru/Card/Lot/73804492", "Поставка и установка системы видеонаблюдения")</f>
        <v>Поставка и установка системы видеонаблюдения</v>
      </c>
      <c r="G1136" s="22" t="s">
        <v>150</v>
      </c>
      <c r="H1136" s="22" t="s">
        <v>1656</v>
      </c>
      <c r="I1136" s="26">
        <v>43731.380555555603</v>
      </c>
      <c r="J1136" s="23" t="str">
        <f>HYPERLINK("https://www.spark-marketing.ru/Card/Person/210759", "ООО ""ДЕМАР-ЦЕНТР""")</f>
        <v>ООО "ДЕМАР-ЦЕНТР"</v>
      </c>
      <c r="K1136" s="24" t="s">
        <v>2021</v>
      </c>
      <c r="L1136" s="28" t="s">
        <v>52</v>
      </c>
      <c r="M1136" s="25">
        <v>438522.56</v>
      </c>
      <c r="N1136" s="27">
        <v>0.02</v>
      </c>
    </row>
    <row r="1137" spans="1:14" x14ac:dyDescent="0.15">
      <c r="A1137" s="23" t="str">
        <f>HYPERLINK("https://www.spark-marketing.ru/Card/Person/1833772", "УФПС БЕЛГОРОДСКОЙ ОБЛ ФЛ ФГУП ПОЧТА РОССИИ")</f>
        <v>УФПС БЕЛГОРОДСКОЙ ОБЛ ФЛ ФГУП ПОЧТА РОССИИ</v>
      </c>
      <c r="B1137" s="24" t="s">
        <v>1424</v>
      </c>
      <c r="C1137" s="25">
        <v>498120</v>
      </c>
      <c r="D1137" s="22" t="s">
        <v>2022</v>
      </c>
      <c r="E1137" s="22" t="s">
        <v>53</v>
      </c>
      <c r="F1137" s="23" t="str">
        <f>HYPERLINK("https://www.spark-marketing.ru/Card/Lot/73692370", "Оказание охранных услуг по охране объектов Старооскольского почтамта при помощи средств тревожной и охранной сигнализации для нужд УФПС Белгородской области - филиала ФГУП ""Почта России""")</f>
        <v>Оказание охранных услуг по охране объектов Старооскольского почтамта при помощи средств тревожной и охранной сигнализации для нужд УФПС Белгородской области - филиала ФГУП "Почта России"</v>
      </c>
      <c r="G1137" s="22" t="s">
        <v>176</v>
      </c>
      <c r="H1137" s="22" t="s">
        <v>176</v>
      </c>
      <c r="I1137" s="26">
        <v>43728.510416666701</v>
      </c>
      <c r="J1137" s="28" t="s">
        <v>52</v>
      </c>
      <c r="K1137" s="28" t="s">
        <v>52</v>
      </c>
      <c r="L1137" s="28" t="s">
        <v>52</v>
      </c>
      <c r="M1137" s="28" t="s">
        <v>52</v>
      </c>
      <c r="N1137" s="28" t="s">
        <v>52</v>
      </c>
    </row>
    <row r="1138" spans="1:14" x14ac:dyDescent="0.15">
      <c r="A1138" s="23" t="str">
        <f>HYPERLINK("https://www.spark-marketing.ru/Card/Person/1597485", "АО ""АТОМСПЕЦТРАНС""")</f>
        <v>АО "АТОМСПЕЦТРАНС"</v>
      </c>
      <c r="B1138" s="24" t="s">
        <v>157</v>
      </c>
      <c r="C1138" s="28" t="s">
        <v>52</v>
      </c>
      <c r="D1138" s="22" t="s">
        <v>2023</v>
      </c>
      <c r="E1138" s="22" t="s">
        <v>53</v>
      </c>
      <c r="F1138" s="23" t="str">
        <f>HYPERLINK("https://www.spark-marketing.ru/Card/Lot/73815841", "Оказание услуг по охране объектов (1347775)")</f>
        <v>Оказание услуг по охране объектов (1347775)</v>
      </c>
      <c r="G1138" s="22" t="s">
        <v>55</v>
      </c>
      <c r="H1138" s="22" t="s">
        <v>55</v>
      </c>
      <c r="I1138" s="26">
        <v>43731.445659722202</v>
      </c>
      <c r="J1138" s="28" t="s">
        <v>52</v>
      </c>
      <c r="K1138" s="28" t="s">
        <v>52</v>
      </c>
      <c r="L1138" s="28" t="s">
        <v>52</v>
      </c>
      <c r="M1138" s="28" t="s">
        <v>52</v>
      </c>
      <c r="N1138" s="28" t="s">
        <v>52</v>
      </c>
    </row>
    <row r="1139" spans="1:14" x14ac:dyDescent="0.15">
      <c r="A1139" s="23" t="str">
        <f>HYPERLINK("https://www.spark-marketing.ru/Card/Person/130109", "ПАО БАНК ""ФК ОТКРЫТИЕ""")</f>
        <v>ПАО БАНК "ФК ОТКРЫТИЕ"</v>
      </c>
      <c r="B1139" s="24" t="s">
        <v>693</v>
      </c>
      <c r="C1139" s="25">
        <v>0</v>
      </c>
      <c r="D1139" s="22" t="s">
        <v>2024</v>
      </c>
      <c r="E1139" s="22" t="s">
        <v>53</v>
      </c>
      <c r="F1139" s="23" t="str">
        <f>HYPERLINK("https://www.spark-marketing.ru/Card/Lot/73822695", "Оказание услуг технической охраны объектов ПАО Банк ""Финансовая корпорация Открытие"" (реагирование на тревожные сигналы УВО ВНГ РФ по Ульяновской области) в Ульяновской области")</f>
        <v>Оказание услуг технической охраны объектов ПАО Банк "Финансовая корпорация Открытие" (реагирование на тревожные сигналы УВО ВНГ РФ по Ульяновской области) в Ульяновской области</v>
      </c>
      <c r="G1139" s="22" t="s">
        <v>55</v>
      </c>
      <c r="H1139" s="22" t="s">
        <v>55</v>
      </c>
      <c r="I1139" s="26">
        <v>43731</v>
      </c>
      <c r="J1139" s="28" t="s">
        <v>52</v>
      </c>
      <c r="K1139" s="28" t="s">
        <v>52</v>
      </c>
      <c r="L1139" s="28" t="s">
        <v>52</v>
      </c>
      <c r="M1139" s="28" t="s">
        <v>52</v>
      </c>
      <c r="N1139" s="28" t="s">
        <v>52</v>
      </c>
    </row>
    <row r="1140" spans="1:14" x14ac:dyDescent="0.15">
      <c r="A1140" s="23" t="str">
        <f>HYPERLINK("https://www.spark-marketing.ru/Card/Person/4343405", "ФГУП ""ГОСКОРПОРАЦИЯ ПО ОРВД""")</f>
        <v>ФГУП "ГОСКОРПОРАЦИЯ ПО ОРВД"</v>
      </c>
      <c r="B1140" s="24" t="s">
        <v>801</v>
      </c>
      <c r="C1140" s="25">
        <v>1960666.67</v>
      </c>
      <c r="D1140" s="22" t="s">
        <v>2025</v>
      </c>
      <c r="E1140" s="22" t="s">
        <v>2026</v>
      </c>
      <c r="F1140" s="23" t="str">
        <f>HYPERLINK("https://www.spark-marketing.ru/Card/Lot/73821549", "Поставка стационарной рентгеновской установки и многозонного стационарного арочного металлодетектора, в целях обеспечения транспортной безопасности для нужд Котласского отделения Архангельского центра ОВД Филиала «Аэронавигация Северо-Запада» ФГУП «Г...")</f>
        <v>Поставка стационарной рентгеновской установки и многозонного стационарного арочного металлодетектора, в целях обеспечения транспортной безопасности для нужд Котласского отделения Архангельского центра ОВД Филиала «Аэронавигация Северо-Запада» ФГУП «Г...</v>
      </c>
      <c r="G1140" s="22" t="s">
        <v>674</v>
      </c>
      <c r="H1140" s="22" t="s">
        <v>674</v>
      </c>
      <c r="I1140" s="26">
        <v>43731</v>
      </c>
      <c r="J1140" s="28" t="s">
        <v>52</v>
      </c>
      <c r="K1140" s="28" t="s">
        <v>52</v>
      </c>
      <c r="L1140" s="28" t="s">
        <v>52</v>
      </c>
      <c r="M1140" s="28" t="s">
        <v>52</v>
      </c>
      <c r="N1140" s="28" t="s">
        <v>52</v>
      </c>
    </row>
    <row r="1141" spans="1:14" x14ac:dyDescent="0.15">
      <c r="A1141" s="23" t="str">
        <f>HYPERLINK("https://www.spark-marketing.ru/Card/Person/1833772", "УФПС БЕЛГОРОДСКОЙ ОБЛ ФЛ ФГУП ПОЧТА РОССИИ")</f>
        <v>УФПС БЕЛГОРОДСКОЙ ОБЛ ФЛ ФГУП ПОЧТА РОССИИ</v>
      </c>
      <c r="B1141" s="24" t="s">
        <v>1424</v>
      </c>
      <c r="C1141" s="25">
        <v>324968</v>
      </c>
      <c r="D1141" s="22" t="s">
        <v>2027</v>
      </c>
      <c r="E1141" s="22" t="s">
        <v>53</v>
      </c>
      <c r="F1141" s="23" t="str">
        <f>HYPERLINK("https://www.spark-marketing.ru/Card/Lot/73692371", "Оказание охранных услуг с применением технических средств охраны на объектах почтовой связи: Автобаза (308023, г. Белгород, ул. Промышленная - 13); 308099, Главная касса, Почтамт; ОПС 308001; 308002; 308004; 308007; 308009; 308010; 308011; 308012; 30...")</f>
        <v>Оказание охранных услуг с применением технических средств охраны на объектах почтовой связи: Автобаза (308023, г. Белгород, ул. Промышленная - 13); 308099, Главная касса, Почтамт; ОПС 308001; 308002; 308004; 308007; 308009; 308010; 308011; 308012; 30...</v>
      </c>
      <c r="G1141" s="22" t="s">
        <v>176</v>
      </c>
      <c r="H1141" s="22" t="s">
        <v>176</v>
      </c>
      <c r="I1141" s="26">
        <v>43728.511111111096</v>
      </c>
      <c r="J1141" s="28" t="s">
        <v>52</v>
      </c>
      <c r="K1141" s="28" t="s">
        <v>52</v>
      </c>
      <c r="L1141" s="28" t="s">
        <v>52</v>
      </c>
      <c r="M1141" s="28" t="s">
        <v>52</v>
      </c>
      <c r="N1141" s="28" t="s">
        <v>52</v>
      </c>
    </row>
    <row r="1142" spans="1:14" x14ac:dyDescent="0.15">
      <c r="A1142" s="23" t="str">
        <f>HYPERLINK("https://www.spark-marketing.ru/Card/Person/255000", "МБДОУ ""ДЕТСКИЙ САД ОБЩЕРАЗВИВАЮЩЕГО ВИДА № 3"" НМР РТ")</f>
        <v>МБДОУ "ДЕТСКИЙ САД ОБЩЕРАЗВИВАЮЩЕГО ВИДА № 3" НМР РТ</v>
      </c>
      <c r="B1142" s="24" t="s">
        <v>2028</v>
      </c>
      <c r="C1142" s="25">
        <v>17600</v>
      </c>
      <c r="D1142" s="22" t="s">
        <v>2029</v>
      </c>
      <c r="E1142" s="22" t="s">
        <v>53</v>
      </c>
      <c r="F1142" s="23" t="str">
        <f>HYPERLINK("https://www.spark-marketing.ru/Card/Lot/73808304", "Техническое обслуживание системы видеонаблюдения")</f>
        <v>Техническое обслуживание системы видеонаблюдения</v>
      </c>
      <c r="G1142" s="22" t="s">
        <v>204</v>
      </c>
      <c r="H1142" s="22" t="s">
        <v>824</v>
      </c>
      <c r="I1142" s="26">
        <v>43731.418749999997</v>
      </c>
      <c r="J1142" s="28" t="s">
        <v>52</v>
      </c>
      <c r="K1142" s="28" t="s">
        <v>52</v>
      </c>
      <c r="L1142" s="28" t="s">
        <v>52</v>
      </c>
      <c r="M1142" s="28" t="s">
        <v>52</v>
      </c>
      <c r="N1142" s="28" t="s">
        <v>52</v>
      </c>
    </row>
    <row r="1143" spans="1:14" x14ac:dyDescent="0.15">
      <c r="A1143" s="23" t="str">
        <f>HYPERLINK("https://www.spark-marketing.ru/Card/Person/4348528", "АО ИК ""АСЭ""")</f>
        <v>АО ИК "АСЭ"</v>
      </c>
      <c r="B1143" s="24" t="s">
        <v>62</v>
      </c>
      <c r="C1143" s="28" t="s">
        <v>52</v>
      </c>
      <c r="D1143" s="22" t="s">
        <v>2030</v>
      </c>
      <c r="E1143" s="22" t="s">
        <v>53</v>
      </c>
      <c r="F1143" s="23" t="str">
        <f>HYPERLINK("https://www.spark-marketing.ru/Card/Lot/73823796", "Мониторинг цен согласно ТЗ на оказание услуг по охране объектов БПИФ АО ""Атомэнергопроект"" (1348143)")</f>
        <v>Мониторинг цен согласно ТЗ на оказание услуг по охране объектов БПИФ АО "Атомэнергопроект" (1348143)</v>
      </c>
      <c r="G1143" s="22" t="s">
        <v>64</v>
      </c>
      <c r="H1143" s="22" t="s">
        <v>65</v>
      </c>
      <c r="I1143" s="26">
        <v>43731.608888888899</v>
      </c>
      <c r="J1143" s="28" t="s">
        <v>52</v>
      </c>
      <c r="K1143" s="28" t="s">
        <v>52</v>
      </c>
      <c r="L1143" s="28" t="s">
        <v>52</v>
      </c>
      <c r="M1143" s="28" t="s">
        <v>52</v>
      </c>
      <c r="N1143" s="28" t="s">
        <v>52</v>
      </c>
    </row>
    <row r="1144" spans="1:14" x14ac:dyDescent="0.15">
      <c r="A1144" s="23" t="str">
        <f>HYPERLINK("https://www.spark-marketing.ru/Card/Person/456138", "КГАУ ""ЦСП""")</f>
        <v>КГАУ "ЦСП"</v>
      </c>
      <c r="B1144" s="24" t="s">
        <v>2031</v>
      </c>
      <c r="C1144" s="25">
        <v>8564400</v>
      </c>
      <c r="D1144" s="22" t="s">
        <v>2032</v>
      </c>
      <c r="E1144" s="22" t="s">
        <v>363</v>
      </c>
      <c r="F1144" s="23" t="str">
        <f>HYPERLINK("https://www.spark-marketing.ru/Card/Lot/73806351", "Оказание охранных услуг")</f>
        <v>Оказание охранных услуг</v>
      </c>
      <c r="G1144" s="22" t="s">
        <v>640</v>
      </c>
      <c r="H1144" s="22" t="s">
        <v>640</v>
      </c>
      <c r="I1144" s="26">
        <v>43731</v>
      </c>
      <c r="J1144" s="28" t="s">
        <v>52</v>
      </c>
      <c r="K1144" s="28" t="s">
        <v>52</v>
      </c>
      <c r="L1144" s="28" t="s">
        <v>52</v>
      </c>
      <c r="M1144" s="28" t="s">
        <v>52</v>
      </c>
      <c r="N1144" s="28" t="s">
        <v>52</v>
      </c>
    </row>
    <row r="1145" spans="1:14" x14ac:dyDescent="0.15">
      <c r="A1145" s="23" t="str">
        <f>HYPERLINK("https://www.spark-marketing.ru/Card/Person/1828890", "ПАО ""ПОДЗЕМБУРГАЗ""")</f>
        <v>ПАО "ПОДЗЕМБУРГАЗ"</v>
      </c>
      <c r="B1145" s="24" t="s">
        <v>2033</v>
      </c>
      <c r="C1145" s="28" t="s">
        <v>52</v>
      </c>
      <c r="D1145" s="22" t="s">
        <v>2034</v>
      </c>
      <c r="E1145" s="22" t="s">
        <v>53</v>
      </c>
      <c r="F1145" s="23" t="str">
        <f>HYPERLINK("https://www.spark-marketing.ru/Card/Lot/73986919", "178/2019-Оказание услуг охраны на объектах ПАО ""Подзембургаз""")</f>
        <v>178/2019-Оказание услуг охраны на объектах ПАО "Подзембургаз"</v>
      </c>
      <c r="G1145" s="22" t="s">
        <v>50</v>
      </c>
      <c r="H1145" s="22" t="s">
        <v>458</v>
      </c>
      <c r="I1145" s="26">
        <v>43731</v>
      </c>
      <c r="J1145" s="28" t="s">
        <v>52</v>
      </c>
      <c r="K1145" s="28" t="s">
        <v>52</v>
      </c>
      <c r="L1145" s="28" t="s">
        <v>52</v>
      </c>
      <c r="M1145" s="28" t="s">
        <v>52</v>
      </c>
      <c r="N1145" s="28" t="s">
        <v>52</v>
      </c>
    </row>
    <row r="1146" spans="1:14" x14ac:dyDescent="0.2">
      <c r="A1146" s="23" t="str">
        <f>HYPERLINK("https://www.spark-marketing.ru/Card/Person/19005", "СПБ ГБУК ""МИХАЙЛОВСКИЙ ТЕАТР""")</f>
        <v>СПБ ГБУК "МИХАЙЛОВСКИЙ ТЕАТР"</v>
      </c>
      <c r="B1146" s="24" t="s">
        <v>2035</v>
      </c>
      <c r="C1146" s="25">
        <v>499999.99</v>
      </c>
      <c r="D1146" s="22" t="s">
        <v>2036</v>
      </c>
      <c r="E1146" s="22" t="s">
        <v>370</v>
      </c>
      <c r="F1146" s="23" t="str">
        <f>HYPERLINK("https://www.spark-marketing.ru/Card/Lot/73809309", "Оказание услуг по техническому обслуживанию системы охранной сигнализации (ОС), системы видеонаблюдения (СВН), системы контроля и управления доступом /на базе интегрированной системы Parsec Net / и откатных ворот (СКУД) СПб ГБУК «Михайловский театр»")</f>
        <v>Оказание услуг по техническому обслуживанию системы охранной сигнализации (ОС), системы видеонаблюдения (СВН), системы контроля и управления доступом /на базе интегрированной системы Parsec Net / и откатных ворот (СКУД) СПб ГБУК «Михайловский театр»</v>
      </c>
      <c r="G1146" s="22" t="s">
        <v>89</v>
      </c>
      <c r="H1146" s="22" t="s">
        <v>89</v>
      </c>
      <c r="I1146" s="26">
        <v>43731</v>
      </c>
      <c r="J1146" s="28" t="s">
        <v>52</v>
      </c>
      <c r="K1146" s="28" t="s">
        <v>52</v>
      </c>
      <c r="L1146" s="28" t="s">
        <v>52</v>
      </c>
      <c r="M1146" s="25">
        <v>499999.99</v>
      </c>
      <c r="N1146" s="27">
        <v>0</v>
      </c>
    </row>
    <row r="1147" spans="1:14" x14ac:dyDescent="0.15">
      <c r="A1147" s="23" t="str">
        <f>HYPERLINK("https://www.spark-marketing.ru/Card/Person/130109", "ПАО БАНК ""ФК ОТКРЫТИЕ""")</f>
        <v>ПАО БАНК "ФК ОТКРЫТИЕ"</v>
      </c>
      <c r="B1147" s="24" t="s">
        <v>693</v>
      </c>
      <c r="C1147" s="25">
        <v>0</v>
      </c>
      <c r="D1147" s="22" t="s">
        <v>2037</v>
      </c>
      <c r="E1147" s="22" t="s">
        <v>53</v>
      </c>
      <c r="F1147" s="23" t="str">
        <f>HYPERLINK("https://www.spark-marketing.ru/Card/Lot/73822693", "Оказание услуг физической охраны объекта ПАО Банк ""Финансовая корпорация Открытие"" в г. Ульяновск, ул. А. Матросова, д.33")</f>
        <v>Оказание услуг физической охраны объекта ПАО Банк "Финансовая корпорация Открытие" в г. Ульяновск, ул. А. Матросова, д.33</v>
      </c>
      <c r="G1147" s="22" t="s">
        <v>55</v>
      </c>
      <c r="H1147" s="22" t="s">
        <v>55</v>
      </c>
      <c r="I1147" s="26">
        <v>43731</v>
      </c>
      <c r="J1147" s="28" t="s">
        <v>52</v>
      </c>
      <c r="K1147" s="28" t="s">
        <v>52</v>
      </c>
      <c r="L1147" s="28" t="s">
        <v>52</v>
      </c>
      <c r="M1147" s="28" t="s">
        <v>52</v>
      </c>
      <c r="N1147" s="28" t="s">
        <v>52</v>
      </c>
    </row>
    <row r="1148" spans="1:14" x14ac:dyDescent="0.15">
      <c r="A1148" s="23" t="str">
        <f>HYPERLINK("https://www.spark-marketing.ru/Card/Person/4355738", "ФГБУ ""РЭА"" МИНЭНЕРГО РОССИИ")</f>
        <v>ФГБУ "РЭА" МИНЭНЕРГО РОССИИ</v>
      </c>
      <c r="B1148" s="24" t="s">
        <v>2038</v>
      </c>
      <c r="C1148" s="25">
        <v>299600</v>
      </c>
      <c r="D1148" s="22" t="s">
        <v>2039</v>
      </c>
      <c r="E1148" s="22" t="s">
        <v>691</v>
      </c>
      <c r="F1148" s="23" t="str">
        <f>HYPERLINK("https://www.spark-marketing.ru/Card/Lot/73809222", "Установка и настройка камер видеонаблюдения на объекте по адресу: г. Москва, ул. Б. Пироговская, д. 23, д. 23 строение 2")</f>
        <v>Установка и настройка камер видеонаблюдения на объекте по адресу: г. Москва, ул. Б. Пироговская, д. 23, д. 23 строение 2</v>
      </c>
      <c r="G1148" s="22" t="s">
        <v>55</v>
      </c>
      <c r="H1148" s="22" t="s">
        <v>55</v>
      </c>
      <c r="I1148" s="26">
        <v>43731</v>
      </c>
      <c r="J1148" s="28" t="s">
        <v>52</v>
      </c>
      <c r="K1148" s="28" t="s">
        <v>52</v>
      </c>
      <c r="L1148" s="28" t="s">
        <v>52</v>
      </c>
      <c r="M1148" s="28" t="s">
        <v>52</v>
      </c>
      <c r="N1148" s="28" t="s">
        <v>52</v>
      </c>
    </row>
    <row r="1149" spans="1:14" x14ac:dyDescent="0.15">
      <c r="A1149" s="23" t="str">
        <f>HYPERLINK("https://www.spark-marketing.ru/Card/Person/1781189", "ПАО ""ВЫСОЧАЙШИЙ""")</f>
        <v>ПАО "ВЫСОЧАЙШИЙ"</v>
      </c>
      <c r="B1149" s="24" t="s">
        <v>784</v>
      </c>
      <c r="C1149" s="25">
        <v>0</v>
      </c>
      <c r="D1149" s="22" t="s">
        <v>2040</v>
      </c>
      <c r="E1149" s="22" t="s">
        <v>786</v>
      </c>
      <c r="F1149" s="23" t="str">
        <f>HYPERLINK("https://www.spark-marketing.ru/Card/Lot/73805157", "Строго в соответствии с ТЗ")</f>
        <v>Строго в соответствии с ТЗ</v>
      </c>
      <c r="G1149" s="22" t="s">
        <v>354</v>
      </c>
      <c r="H1149" s="22" t="s">
        <v>787</v>
      </c>
      <c r="I1149" s="26">
        <v>43731.173009259299</v>
      </c>
      <c r="J1149" s="28" t="s">
        <v>52</v>
      </c>
      <c r="K1149" s="28" t="s">
        <v>52</v>
      </c>
      <c r="L1149" s="28" t="s">
        <v>52</v>
      </c>
      <c r="M1149" s="28" t="s">
        <v>52</v>
      </c>
      <c r="N1149" s="28" t="s">
        <v>52</v>
      </c>
    </row>
    <row r="1150" spans="1:14" x14ac:dyDescent="0.15">
      <c r="A1150" s="23" t="str">
        <f>HYPERLINK("https://www.spark-marketing.ru/Card/Person/1070569", "ОТДЕЛЕНИЕ МВД РОССИИ ПО ГУРЬЕВСКОМУ РАЙОНУ")</f>
        <v>ОТДЕЛЕНИЕ МВД РОССИИ ПО ГУРЬЕВСКОМУ РАЙОНУ</v>
      </c>
      <c r="B1150" s="24" t="s">
        <v>2041</v>
      </c>
      <c r="C1150" s="25">
        <v>100000</v>
      </c>
      <c r="D1150" s="22" t="s">
        <v>2042</v>
      </c>
      <c r="E1150" s="22" t="s">
        <v>294</v>
      </c>
      <c r="F1150" s="23" t="str">
        <f>HYPERLINK("https://www.spark-marketing.ru/Card/Lot/73798937", "Техническое обслуживание любых систем видеонаблюдения, 1 шт")</f>
        <v>Техническое обслуживание любых систем видеонаблюдения, 1 шт</v>
      </c>
      <c r="G1150" s="22" t="s">
        <v>367</v>
      </c>
      <c r="H1150" s="22" t="s">
        <v>2043</v>
      </c>
      <c r="I1150" s="26">
        <v>43729.886979166702</v>
      </c>
      <c r="J1150" s="28" t="s">
        <v>52</v>
      </c>
      <c r="K1150" s="28" t="s">
        <v>52</v>
      </c>
      <c r="L1150" s="28" t="s">
        <v>52</v>
      </c>
      <c r="M1150" s="28" t="s">
        <v>52</v>
      </c>
      <c r="N1150" s="28" t="s">
        <v>52</v>
      </c>
    </row>
    <row r="1151" spans="1:14" x14ac:dyDescent="0.15">
      <c r="A1151" s="23" t="str">
        <f t="shared" ref="A1151:A1164" si="33">HYPERLINK("https://www.spark-marketing.ru/Card/Person/4345935", "ДЕПАРТАМЕНТ СМОЛЕНСКОЙ ОБЛАСТИ ПО ЗДРАВООХРАНЕНИЮ")</f>
        <v>ДЕПАРТАМЕНТ СМОЛЕНСКОЙ ОБЛАСТИ ПО ЗДРАВООХРАНЕНИЮ</v>
      </c>
      <c r="B1151" s="24" t="s">
        <v>1449</v>
      </c>
      <c r="C1151" s="25">
        <v>1039540.32</v>
      </c>
      <c r="D1151" s="22" t="s">
        <v>2044</v>
      </c>
      <c r="E1151" s="22" t="s">
        <v>53</v>
      </c>
      <c r="F1151" s="23" t="str">
        <f>HYPERLINK("https://www.spark-marketing.ru/Card/Lot/73763725", "№4363 - аэф/т Поставка лекарственных препаратов (Элтромбопаг)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f>
        <v>№4363 - аэф/т Поставка лекарственных препаратов (Элтромбопаг)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v>
      </c>
      <c r="G1151" s="22" t="s">
        <v>956</v>
      </c>
      <c r="H1151" s="22" t="s">
        <v>1451</v>
      </c>
      <c r="I1151" s="26">
        <v>43728.752083333296</v>
      </c>
      <c r="J1151" s="28" t="s">
        <v>52</v>
      </c>
      <c r="K1151" s="28" t="s">
        <v>52</v>
      </c>
      <c r="L1151" s="28" t="s">
        <v>52</v>
      </c>
      <c r="M1151" s="28" t="s">
        <v>52</v>
      </c>
      <c r="N1151" s="28" t="s">
        <v>52</v>
      </c>
    </row>
    <row r="1152" spans="1:14" hidden="1" outlineLevel="1" x14ac:dyDescent="0.2">
      <c r="A1152" s="23" t="str">
        <f t="shared" si="33"/>
        <v>ДЕПАРТАМЕНТ СМОЛЕНСКОЙ ОБЛАСТИ ПО ЗДРАВООХРАНЕНИЮ</v>
      </c>
      <c r="B1152" s="24" t="s">
        <v>1449</v>
      </c>
      <c r="C1152" s="25">
        <v>1039540.32</v>
      </c>
      <c r="D1152" s="22" t="s">
        <v>2044</v>
      </c>
      <c r="E1152" s="22" t="s">
        <v>53</v>
      </c>
      <c r="F1152" s="23" t="str">
        <f>HYPERLINK("https://www.spark-marketing.ru/Card/Lot/73763725", "№4363 - аэф/т Поставка лекарственных препаратов (Элтромбопаг)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f>
        <v>№4363 - аэф/т Поставка лекарственных препаратов (Элтромбопаг)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v>
      </c>
      <c r="G1152" s="22" t="s">
        <v>956</v>
      </c>
      <c r="H1152" s="22" t="s">
        <v>1451</v>
      </c>
      <c r="I1152" s="26">
        <v>43728.752083333296</v>
      </c>
      <c r="J1152" s="23" t="str">
        <f>HYPERLINK("https://www.spark-marketing.ru/Card/Person/106500", "ООО ""САЛЮС""")</f>
        <v>ООО "САЛЮС"</v>
      </c>
      <c r="K1152" s="24" t="s">
        <v>2045</v>
      </c>
      <c r="L1152" s="28" t="s">
        <v>52</v>
      </c>
      <c r="M1152" s="25">
        <v>945031.23</v>
      </c>
      <c r="N1152" s="27">
        <v>9.0914309124633094E-2</v>
      </c>
    </row>
    <row r="1153" spans="1:14" ht="12.75" hidden="1" outlineLevel="1" x14ac:dyDescent="0.2">
      <c r="A1153" s="23" t="str">
        <f t="shared" si="33"/>
        <v>ДЕПАРТАМЕНТ СМОЛЕНСКОЙ ОБЛАСТИ ПО ЗДРАВООХРАНЕНИЮ</v>
      </c>
      <c r="B1153" s="24" t="s">
        <v>1449</v>
      </c>
      <c r="C1153" s="25">
        <v>1039540.32</v>
      </c>
      <c r="D1153" s="22" t="s">
        <v>2044</v>
      </c>
      <c r="E1153" s="22" t="s">
        <v>53</v>
      </c>
      <c r="F1153" s="23" t="str">
        <f>HYPERLINK("https://www.spark-marketing.ru/Card/Lot/73763725", "№4363 - аэф/т Поставка лекарственных препаратов (Элтромбопаг)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f>
        <v>№4363 - аэф/т Поставка лекарственных препаратов (Элтромбопаг)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v>
      </c>
      <c r="G1153" s="22" t="s">
        <v>956</v>
      </c>
      <c r="H1153" s="22" t="s">
        <v>1451</v>
      </c>
      <c r="I1153" s="26">
        <v>43728.752083333296</v>
      </c>
      <c r="J1153" s="23" t="str">
        <f>HYPERLINK("https://www.spark-marketing.ru/Card/Person/370621", "ООО ""ГАРМОНИЯ""")</f>
        <v>ООО "ГАРМОНИЯ"</v>
      </c>
      <c r="K1153" s="24" t="s">
        <v>2046</v>
      </c>
      <c r="L1153" s="22" t="s">
        <v>10</v>
      </c>
      <c r="M1153" s="25">
        <v>939833.53</v>
      </c>
      <c r="N1153" s="27">
        <v>9.5914307585491243E-2</v>
      </c>
    </row>
    <row r="1154" spans="1:14" x14ac:dyDescent="0.15">
      <c r="A1154" s="23" t="str">
        <f t="shared" si="33"/>
        <v>ДЕПАРТАМЕНТ СМОЛЕНСКОЙ ОБЛАСТИ ПО ЗДРАВООХРАНЕНИЮ</v>
      </c>
      <c r="B1154" s="24" t="s">
        <v>1449</v>
      </c>
      <c r="C1154" s="25">
        <v>205793.28</v>
      </c>
      <c r="D1154" s="22" t="s">
        <v>2047</v>
      </c>
      <c r="E1154" s="22" t="s">
        <v>53</v>
      </c>
      <c r="F1154" s="23" t="str">
        <f>HYPERLINK("https://www.spark-marketing.ru/Card/Lot/73751285", "№4368 - аэф/т Поставка лекарственных препаратов (Вемурафениб)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f>
        <v>№4368 - аэф/т Поставка лекарственных препаратов (Вемурафениб)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v>
      </c>
      <c r="G1154" s="22" t="s">
        <v>956</v>
      </c>
      <c r="H1154" s="22" t="s">
        <v>1451</v>
      </c>
      <c r="I1154" s="26">
        <v>43728.752083333296</v>
      </c>
      <c r="J1154" s="23" t="str">
        <f>HYPERLINK("https://www.spark-marketing.ru/Card/Person/4907096", "ООО ""ПРИБОРФАРМ""")</f>
        <v>ООО "ПРИБОРФАРМ"</v>
      </c>
      <c r="K1154" s="24" t="s">
        <v>2048</v>
      </c>
      <c r="L1154" s="22" t="s">
        <v>10</v>
      </c>
      <c r="M1154" s="28" t="s">
        <v>52</v>
      </c>
      <c r="N1154" s="28" t="s">
        <v>52</v>
      </c>
    </row>
    <row r="1155" spans="1:14" x14ac:dyDescent="0.15">
      <c r="A1155" s="23" t="str">
        <f t="shared" si="33"/>
        <v>ДЕПАРТАМЕНТ СМОЛЕНСКОЙ ОБЛАСТИ ПО ЗДРАВООХРАНЕНИЮ</v>
      </c>
      <c r="B1155" s="24" t="s">
        <v>1449</v>
      </c>
      <c r="C1155" s="25">
        <v>1469998.8</v>
      </c>
      <c r="D1155" s="22" t="s">
        <v>2049</v>
      </c>
      <c r="E1155" s="22" t="s">
        <v>53</v>
      </c>
      <c r="F1155" s="23" t="str">
        <f>HYPERLINK("https://www.spark-marketing.ru/Card/Lot/73757061", "№4367 - аэф/т Поставка лекарственных препаратов (Кризотиниб)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отпуска...")</f>
        <v>№4367 - аэф/т Поставка лекарственных препаратов (Кризотиниб)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отпуска...</v>
      </c>
      <c r="G1155" s="22" t="s">
        <v>956</v>
      </c>
      <c r="H1155" s="22" t="s">
        <v>1451</v>
      </c>
      <c r="I1155" s="26">
        <v>43728.751388888901</v>
      </c>
      <c r="J1155" s="28" t="s">
        <v>52</v>
      </c>
      <c r="K1155" s="28" t="s">
        <v>52</v>
      </c>
      <c r="L1155" s="28" t="s">
        <v>52</v>
      </c>
      <c r="M1155" s="28" t="s">
        <v>52</v>
      </c>
      <c r="N1155" s="28" t="s">
        <v>52</v>
      </c>
    </row>
    <row r="1156" spans="1:14" hidden="1" outlineLevel="1" x14ac:dyDescent="0.2">
      <c r="A1156" s="23" t="str">
        <f t="shared" si="33"/>
        <v>ДЕПАРТАМЕНТ СМОЛЕНСКОЙ ОБЛАСТИ ПО ЗДРАВООХРАНЕНИЮ</v>
      </c>
      <c r="B1156" s="24" t="s">
        <v>1449</v>
      </c>
      <c r="C1156" s="25">
        <v>1469998.8</v>
      </c>
      <c r="D1156" s="22" t="s">
        <v>2049</v>
      </c>
      <c r="E1156" s="22" t="s">
        <v>53</v>
      </c>
      <c r="F1156" s="23" t="str">
        <f>HYPERLINK("https://www.spark-marketing.ru/Card/Lot/73757061", "№4367 - аэф/т Поставка лекарственных препаратов (Кризотиниб)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отпуска...")</f>
        <v>№4367 - аэф/т Поставка лекарственных препаратов (Кризотиниб)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отпуска...</v>
      </c>
      <c r="G1156" s="22" t="s">
        <v>956</v>
      </c>
      <c r="H1156" s="22" t="s">
        <v>1451</v>
      </c>
      <c r="I1156" s="26">
        <v>43728.751388888901</v>
      </c>
      <c r="J1156" s="23" t="str">
        <f>HYPERLINK("https://www.spark-marketing.ru/Card/Person/6500707", "ООО ""ТК ""ОСНОВА""")</f>
        <v>ООО "ТК "ОСНОВА"</v>
      </c>
      <c r="K1156" s="24" t="s">
        <v>2050</v>
      </c>
      <c r="L1156" s="28" t="s">
        <v>52</v>
      </c>
      <c r="M1156" s="25">
        <v>1462648.81</v>
      </c>
      <c r="N1156" s="27">
        <v>4.9999972789093435E-3</v>
      </c>
    </row>
    <row r="1157" spans="1:14" ht="12.75" hidden="1" outlineLevel="1" x14ac:dyDescent="0.2">
      <c r="A1157" s="23" t="str">
        <f t="shared" si="33"/>
        <v>ДЕПАРТАМЕНТ СМОЛЕНСКОЙ ОБЛАСТИ ПО ЗДРАВООХРАНЕНИЮ</v>
      </c>
      <c r="B1157" s="24" t="s">
        <v>1449</v>
      </c>
      <c r="C1157" s="25">
        <v>1469998.8</v>
      </c>
      <c r="D1157" s="22" t="s">
        <v>2049</v>
      </c>
      <c r="E1157" s="22" t="s">
        <v>53</v>
      </c>
      <c r="F1157" s="23" t="str">
        <f>HYPERLINK("https://www.spark-marketing.ru/Card/Lot/73757061", "№4367 - аэф/т Поставка лекарственных препаратов (Кризотиниб)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отпуска...")</f>
        <v>№4367 - аэф/т Поставка лекарственных препаратов (Кризотиниб)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отпуска...</v>
      </c>
      <c r="G1157" s="22" t="s">
        <v>956</v>
      </c>
      <c r="H1157" s="22" t="s">
        <v>1451</v>
      </c>
      <c r="I1157" s="26">
        <v>43728.751388888901</v>
      </c>
      <c r="J1157" s="23" t="str">
        <f>HYPERLINK("https://www.spark-marketing.ru/Card/Person/4907096", "ООО ""ПРИБОРФАРМ""")</f>
        <v>ООО "ПРИБОРФАРМ"</v>
      </c>
      <c r="K1157" s="24" t="s">
        <v>2048</v>
      </c>
      <c r="L1157" s="22" t="s">
        <v>10</v>
      </c>
      <c r="M1157" s="25">
        <v>1462648.81</v>
      </c>
      <c r="N1157" s="27">
        <v>4.9999972789093435E-3</v>
      </c>
    </row>
    <row r="1158" spans="1:14" x14ac:dyDescent="0.15">
      <c r="A1158" s="23" t="str">
        <f t="shared" si="33"/>
        <v>ДЕПАРТАМЕНТ СМОЛЕНСКОЙ ОБЛАСТИ ПО ЗДРАВООХРАНЕНИЮ</v>
      </c>
      <c r="B1158" s="24" t="s">
        <v>1449</v>
      </c>
      <c r="C1158" s="25">
        <v>198176.4</v>
      </c>
      <c r="D1158" s="22" t="s">
        <v>2051</v>
      </c>
      <c r="E1158" s="22" t="s">
        <v>53</v>
      </c>
      <c r="F1158" s="23" t="str">
        <f>HYPERLINK("https://www.spark-marketing.ru/Card/Lot/73751278", "№4362 - аэф/т Поставка лекарственных препаратов (Гозерелин)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рецепт...")</f>
        <v>№4362 - аэф/т Поставка лекарственных препаратов (Гозерелин)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рецепт...</v>
      </c>
      <c r="G1158" s="22" t="s">
        <v>956</v>
      </c>
      <c r="H1158" s="22" t="s">
        <v>1451</v>
      </c>
      <c r="I1158" s="26">
        <v>43728.751388888901</v>
      </c>
      <c r="J1158" s="28" t="s">
        <v>52</v>
      </c>
      <c r="K1158" s="28" t="s">
        <v>52</v>
      </c>
      <c r="L1158" s="28" t="s">
        <v>52</v>
      </c>
      <c r="M1158" s="28" t="s">
        <v>52</v>
      </c>
      <c r="N1158" s="28" t="s">
        <v>52</v>
      </c>
    </row>
    <row r="1159" spans="1:14" ht="12.75" hidden="1" outlineLevel="1" x14ac:dyDescent="0.2">
      <c r="A1159" s="23" t="str">
        <f t="shared" si="33"/>
        <v>ДЕПАРТАМЕНТ СМОЛЕНСКОЙ ОБЛАСТИ ПО ЗДРАВООХРАНЕНИЮ</v>
      </c>
      <c r="B1159" s="24" t="s">
        <v>1449</v>
      </c>
      <c r="C1159" s="25">
        <v>198176.4</v>
      </c>
      <c r="D1159" s="22" t="s">
        <v>2051</v>
      </c>
      <c r="E1159" s="22" t="s">
        <v>53</v>
      </c>
      <c r="F1159" s="23" t="str">
        <f>HYPERLINK("https://www.spark-marketing.ru/Card/Lot/73751278", "№4362 - аэф/т Поставка лекарственных препаратов (Гозерелин)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рецепт...")</f>
        <v>№4362 - аэф/т Поставка лекарственных препаратов (Гозерелин)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рецепт...</v>
      </c>
      <c r="G1159" s="22" t="s">
        <v>956</v>
      </c>
      <c r="H1159" s="22" t="s">
        <v>1451</v>
      </c>
      <c r="I1159" s="26">
        <v>43728.751388888901</v>
      </c>
      <c r="J1159" s="23" t="str">
        <f>HYPERLINK("https://www.spark-marketing.ru/Card/Person/5949914", "ООО ""ФАРМПРО""")</f>
        <v>ООО "ФАРМПРО"</v>
      </c>
      <c r="K1159" s="24" t="s">
        <v>2052</v>
      </c>
      <c r="L1159" s="22" t="s">
        <v>10</v>
      </c>
      <c r="M1159" s="25">
        <v>196194.64</v>
      </c>
      <c r="N1159" s="27">
        <v>9.9999798159619412E-3</v>
      </c>
    </row>
    <row r="1160" spans="1:14" hidden="1" outlineLevel="1" x14ac:dyDescent="0.2">
      <c r="A1160" s="23" t="str">
        <f t="shared" si="33"/>
        <v>ДЕПАРТАМЕНТ СМОЛЕНСКОЙ ОБЛАСТИ ПО ЗДРАВООХРАНЕНИЮ</v>
      </c>
      <c r="B1160" s="24" t="s">
        <v>1449</v>
      </c>
      <c r="C1160" s="25">
        <v>198176.4</v>
      </c>
      <c r="D1160" s="22" t="s">
        <v>2051</v>
      </c>
      <c r="E1160" s="22" t="s">
        <v>53</v>
      </c>
      <c r="F1160" s="23" t="str">
        <f>HYPERLINK("https://www.spark-marketing.ru/Card/Lot/73751278", "№4362 - аэф/т Поставка лекарственных препаратов (Гозерелин)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рецепт...")</f>
        <v>№4362 - аэф/т Поставка лекарственных препаратов (Гозерелин)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рецепт...</v>
      </c>
      <c r="G1160" s="22" t="s">
        <v>956</v>
      </c>
      <c r="H1160" s="22" t="s">
        <v>1451</v>
      </c>
      <c r="I1160" s="26">
        <v>43728.751388888901</v>
      </c>
      <c r="J1160" s="23" t="str">
        <f>HYPERLINK("https://www.spark-marketing.ru/Card/Person/4907096", "ООО ""ПРИБОРФАРМ""")</f>
        <v>ООО "ПРИБОРФАРМ"</v>
      </c>
      <c r="K1160" s="24" t="s">
        <v>2048</v>
      </c>
      <c r="L1160" s="28" t="s">
        <v>52</v>
      </c>
      <c r="M1160" s="25">
        <v>197185.52</v>
      </c>
      <c r="N1160" s="27">
        <v>4.9999899079809706E-3</v>
      </c>
    </row>
    <row r="1161" spans="1:14" x14ac:dyDescent="0.15">
      <c r="A1161" s="23" t="str">
        <f t="shared" si="33"/>
        <v>ДЕПАРТАМЕНТ СМОЛЕНСКОЙ ОБЛАСТИ ПО ЗДРАВООХРАНЕНИЮ</v>
      </c>
      <c r="B1161" s="24" t="s">
        <v>1449</v>
      </c>
      <c r="C1161" s="25">
        <v>320969.59999999998</v>
      </c>
      <c r="D1161" s="22" t="s">
        <v>2053</v>
      </c>
      <c r="E1161" s="22" t="s">
        <v>53</v>
      </c>
      <c r="F1161" s="23" t="str">
        <f>HYPERLINK("https://www.spark-marketing.ru/Card/Lot/73752302", "№4364 - аэф/т Поставка лекарственных препаратов (Тикагрелор)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f>
        <v>№4364 - аэф/т Поставка лекарственных препаратов (Тикагрелор)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v>
      </c>
      <c r="G1161" s="22" t="s">
        <v>956</v>
      </c>
      <c r="H1161" s="22" t="s">
        <v>1451</v>
      </c>
      <c r="I1161" s="26">
        <v>43728.745833333298</v>
      </c>
      <c r="J1161" s="28" t="s">
        <v>52</v>
      </c>
      <c r="K1161" s="28" t="s">
        <v>52</v>
      </c>
      <c r="L1161" s="28" t="s">
        <v>52</v>
      </c>
      <c r="M1161" s="28" t="s">
        <v>52</v>
      </c>
      <c r="N1161" s="28" t="s">
        <v>52</v>
      </c>
    </row>
    <row r="1162" spans="1:14" hidden="1" outlineLevel="1" x14ac:dyDescent="0.2">
      <c r="A1162" s="23" t="str">
        <f t="shared" si="33"/>
        <v>ДЕПАРТАМЕНТ СМОЛЕНСКОЙ ОБЛАСТИ ПО ЗДРАВООХРАНЕНИЮ</v>
      </c>
      <c r="B1162" s="24" t="s">
        <v>1449</v>
      </c>
      <c r="C1162" s="25">
        <v>320969.59999999998</v>
      </c>
      <c r="D1162" s="22" t="s">
        <v>2053</v>
      </c>
      <c r="E1162" s="22" t="s">
        <v>53</v>
      </c>
      <c r="F1162" s="23" t="str">
        <f>HYPERLINK("https://www.spark-marketing.ru/Card/Lot/73752302", "№4364 - аэф/т Поставка лекарственных препаратов (Тикагрелор)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f>
        <v>№4364 - аэф/т Поставка лекарственных препаратов (Тикагрелор)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v>
      </c>
      <c r="G1162" s="22" t="s">
        <v>956</v>
      </c>
      <c r="H1162" s="22" t="s">
        <v>1451</v>
      </c>
      <c r="I1162" s="26">
        <v>43728.745833333298</v>
      </c>
      <c r="J1162" s="23" t="str">
        <f>HYPERLINK("https://www.spark-marketing.ru/Card/Person/503084", "ООО ""ФАРМ-ИННОВАЦИИ""")</f>
        <v>ООО "ФАРМ-ИННОВАЦИИ"</v>
      </c>
      <c r="K1162" s="24" t="s">
        <v>2054</v>
      </c>
      <c r="L1162" s="28" t="s">
        <v>52</v>
      </c>
      <c r="M1162" s="25">
        <v>316155.05</v>
      </c>
      <c r="N1162" s="27">
        <v>1.5000018693359122E-2</v>
      </c>
    </row>
    <row r="1163" spans="1:14" hidden="1" outlineLevel="1" x14ac:dyDescent="0.2">
      <c r="A1163" s="23" t="str">
        <f t="shared" si="33"/>
        <v>ДЕПАРТАМЕНТ СМОЛЕНСКОЙ ОБЛАСТИ ПО ЗДРАВООХРАНЕНИЮ</v>
      </c>
      <c r="B1163" s="24" t="s">
        <v>1449</v>
      </c>
      <c r="C1163" s="25">
        <v>320969.59999999998</v>
      </c>
      <c r="D1163" s="22" t="s">
        <v>2053</v>
      </c>
      <c r="E1163" s="22" t="s">
        <v>53</v>
      </c>
      <c r="F1163" s="23" t="str">
        <f>HYPERLINK("https://www.spark-marketing.ru/Card/Lot/73752302", "№4364 - аэф/т Поставка лекарственных препаратов (Тикагрелор)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f>
        <v>№4364 - аэф/т Поставка лекарственных препаратов (Тикагрелор)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v>
      </c>
      <c r="G1163" s="22" t="s">
        <v>956</v>
      </c>
      <c r="H1163" s="22" t="s">
        <v>1451</v>
      </c>
      <c r="I1163" s="26">
        <v>43728.745833333298</v>
      </c>
      <c r="J1163" s="23" t="str">
        <f>HYPERLINK("https://www.spark-marketing.ru/Card/Person/4907096", "ООО ""ПРИБОРФАРМ""")</f>
        <v>ООО "ПРИБОРФАРМ"</v>
      </c>
      <c r="K1163" s="24" t="s">
        <v>2048</v>
      </c>
      <c r="L1163" s="28" t="s">
        <v>52</v>
      </c>
      <c r="M1163" s="25">
        <v>319364.75</v>
      </c>
      <c r="N1163" s="27">
        <v>5.0000062311197071E-3</v>
      </c>
    </row>
    <row r="1164" spans="1:14" ht="12.75" hidden="1" outlineLevel="1" x14ac:dyDescent="0.2">
      <c r="A1164" s="23" t="str">
        <f t="shared" si="33"/>
        <v>ДЕПАРТАМЕНТ СМОЛЕНСКОЙ ОБЛАСТИ ПО ЗДРАВООХРАНЕНИЮ</v>
      </c>
      <c r="B1164" s="24" t="s">
        <v>1449</v>
      </c>
      <c r="C1164" s="25">
        <v>320969.59999999998</v>
      </c>
      <c r="D1164" s="22" t="s">
        <v>2053</v>
      </c>
      <c r="E1164" s="22" t="s">
        <v>53</v>
      </c>
      <c r="F1164" s="23" t="str">
        <f>HYPERLINK("https://www.spark-marketing.ru/Card/Lot/73752302", "№4364 - аэф/т Поставка лекарственных препаратов (Тикагрелор)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f>
        <v>№4364 - аэф/т Поставка лекарственных препаратов (Тикагрелор)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v>
      </c>
      <c r="G1164" s="22" t="s">
        <v>956</v>
      </c>
      <c r="H1164" s="22" t="s">
        <v>1451</v>
      </c>
      <c r="I1164" s="26">
        <v>43728.745833333298</v>
      </c>
      <c r="J1164" s="23" t="str">
        <f>HYPERLINK("https://www.spark-marketing.ru/Card/Person/6500707", "ООО ""ТК ""ОСНОВА""")</f>
        <v>ООО "ТК "ОСНОВА"</v>
      </c>
      <c r="K1164" s="24" t="s">
        <v>2050</v>
      </c>
      <c r="L1164" s="22" t="s">
        <v>10</v>
      </c>
      <c r="M1164" s="25">
        <v>314550.2</v>
      </c>
      <c r="N1164" s="27">
        <v>2.0000024924478828E-2</v>
      </c>
    </row>
    <row r="1165" spans="1:14" x14ac:dyDescent="0.15">
      <c r="A1165" s="23" t="str">
        <f>HYPERLINK("https://www.spark-marketing.ru/Card/Person/104489", "ГУСО ""ЭКСПЛУАТАЦИЯ И ОБСЛУЖИВАНИЕ ЗДАНИЙ""")</f>
        <v>ГУСО "ЭКСПЛУАТАЦИЯ И ОБСЛУЖИВАНИЕ ЗДАНИЙ"</v>
      </c>
      <c r="B1165" s="24" t="s">
        <v>1632</v>
      </c>
      <c r="C1165" s="25">
        <v>197933.33</v>
      </c>
      <c r="D1165" s="22" t="s">
        <v>2055</v>
      </c>
      <c r="E1165" s="22" t="s">
        <v>1634</v>
      </c>
      <c r="F1165" s="23" t="str">
        <f>HYPERLINK("https://www.spark-marketing.ru/Card/Lot/73749323", "Оказание услуг по техническому обеспечению и техническому обслуживанию торжественного мероприятия")</f>
        <v>Оказание услуг по техническому обеспечению и техническому обслуживанию торжественного мероприятия</v>
      </c>
      <c r="G1165" s="22" t="s">
        <v>80</v>
      </c>
      <c r="H1165" s="22" t="s">
        <v>81</v>
      </c>
      <c r="I1165" s="26">
        <v>43728.679861111101</v>
      </c>
      <c r="J1165" s="23" t="str">
        <f>HYPERLINK("https://www.spark-marketing.ru/Card/Person/545770", "Обычев Олег Владимирович")</f>
        <v>Обычев Олег Владимирович</v>
      </c>
      <c r="K1165" s="24" t="s">
        <v>1635</v>
      </c>
      <c r="L1165" s="22" t="s">
        <v>10</v>
      </c>
      <c r="M1165" s="28" t="s">
        <v>52</v>
      </c>
      <c r="N1165" s="28" t="s">
        <v>52</v>
      </c>
    </row>
    <row r="1166" spans="1:14" x14ac:dyDescent="0.15">
      <c r="A1166" s="23" t="str">
        <f>HYPERLINK("https://www.spark-marketing.ru/Card/Person/68177", "ГКУ ""МАЦ""")</f>
        <v>ГКУ "МАЦ"</v>
      </c>
      <c r="B1166" s="24" t="s">
        <v>2056</v>
      </c>
      <c r="C1166" s="25">
        <v>749541.45</v>
      </c>
      <c r="D1166" s="22" t="s">
        <v>2057</v>
      </c>
      <c r="E1166" s="22" t="s">
        <v>107</v>
      </c>
      <c r="F1166" s="23" t="str">
        <f>HYPERLINK("https://www.spark-marketing.ru/Card/Lot/73754918", "Оказания услуг по демонтажу, монтажу, пуско-наладочным работам системы охранной сигнализации на вертолетных площадках по адресу: г. Москва, ул. Вешняковская, д. 23, стр. 23; г. Москва, Коломенский проезд, д. 4, стр. 23; г. Москва, ул. Ленская, д. 15,...")</f>
        <v>Оказания услуг по демонтажу, монтажу, пуско-наладочным работам системы охранной сигнализации на вертолетных площадках по адресу: г. Москва, ул. Вешняковская, д. 23, стр. 23; г. Москва, Коломенский проезд, д. 4, стр. 23; г. Москва, ул. Ленская, д. 15,...</v>
      </c>
      <c r="G1166" s="22" t="s">
        <v>55</v>
      </c>
      <c r="H1166" s="22" t="s">
        <v>55</v>
      </c>
      <c r="I1166" s="26">
        <v>43728.681944444397</v>
      </c>
      <c r="J1166" s="28" t="s">
        <v>52</v>
      </c>
      <c r="K1166" s="28" t="s">
        <v>52</v>
      </c>
      <c r="L1166" s="28" t="s">
        <v>52</v>
      </c>
      <c r="M1166" s="28" t="s">
        <v>52</v>
      </c>
      <c r="N1166" s="28" t="s">
        <v>52</v>
      </c>
    </row>
    <row r="1167" spans="1:14" ht="12.75" hidden="1" outlineLevel="1" x14ac:dyDescent="0.2">
      <c r="A1167" s="23" t="str">
        <f>HYPERLINK("https://www.spark-marketing.ru/Card/Person/68177", "ГКУ ""МАЦ""")</f>
        <v>ГКУ "МАЦ"</v>
      </c>
      <c r="B1167" s="24" t="s">
        <v>2056</v>
      </c>
      <c r="C1167" s="25">
        <v>749541.45</v>
      </c>
      <c r="D1167" s="22" t="s">
        <v>2057</v>
      </c>
      <c r="E1167" s="22" t="s">
        <v>107</v>
      </c>
      <c r="F1167" s="23" t="str">
        <f>HYPERLINK("https://www.spark-marketing.ru/Card/Lot/73754918", "Оказания услуг по демонтажу, монтажу, пуско-наладочным работам системы охранной сигнализации на вертолетных площадках по адресу: г. Москва, ул. Вешняковская, д. 23, стр. 23; г. Москва, Коломенский проезд, д. 4, стр. 23; г. Москва, ул. Ленская, д. 15,...")</f>
        <v>Оказания услуг по демонтажу, монтажу, пуско-наладочным работам системы охранной сигнализации на вертолетных площадках по адресу: г. Москва, ул. Вешняковская, д. 23, стр. 23; г. Москва, Коломенский проезд, д. 4, стр. 23; г. Москва, ул. Ленская, д. 15,...</v>
      </c>
      <c r="G1167" s="22" t="s">
        <v>55</v>
      </c>
      <c r="H1167" s="22" t="s">
        <v>55</v>
      </c>
      <c r="I1167" s="26">
        <v>43728.681944444397</v>
      </c>
      <c r="J1167" s="23" t="str">
        <f>HYPERLINK("https://www.spark-marketing.ru/Card/Person/6462474", "ООО ""ФАВОР""")</f>
        <v>ООО "ФАВОР"</v>
      </c>
      <c r="K1167" s="24" t="s">
        <v>2058</v>
      </c>
      <c r="L1167" s="22" t="s">
        <v>10</v>
      </c>
      <c r="M1167" s="25">
        <v>509454.13</v>
      </c>
      <c r="N1167" s="27">
        <v>0.32031226558584586</v>
      </c>
    </row>
    <row r="1168" spans="1:14" hidden="1" outlineLevel="1" x14ac:dyDescent="0.2">
      <c r="A1168" s="23" t="str">
        <f>HYPERLINK("https://www.spark-marketing.ru/Card/Person/68177", "ГКУ ""МАЦ""")</f>
        <v>ГКУ "МАЦ"</v>
      </c>
      <c r="B1168" s="24" t="s">
        <v>2056</v>
      </c>
      <c r="C1168" s="25">
        <v>749541.45</v>
      </c>
      <c r="D1168" s="22" t="s">
        <v>2057</v>
      </c>
      <c r="E1168" s="22" t="s">
        <v>107</v>
      </c>
      <c r="F1168" s="23" t="str">
        <f>HYPERLINK("https://www.spark-marketing.ru/Card/Lot/73754918", "Оказания услуг по демонтажу, монтажу, пуско-наладочным работам системы охранной сигнализации на вертолетных площадках по адресу: г. Москва, ул. Вешняковская, д. 23, стр. 23; г. Москва, Коломенский проезд, д. 4, стр. 23; г. Москва, ул. Ленская, д. 15,...")</f>
        <v>Оказания услуг по демонтажу, монтажу, пуско-наладочным работам системы охранной сигнализации на вертолетных площадках по адресу: г. Москва, ул. Вешняковская, д. 23, стр. 23; г. Москва, Коломенский проезд, д. 4, стр. 23; г. Москва, ул. Ленская, д. 15,...</v>
      </c>
      <c r="G1168" s="22" t="s">
        <v>55</v>
      </c>
      <c r="H1168" s="22" t="s">
        <v>55</v>
      </c>
      <c r="I1168" s="26">
        <v>43728.681944444397</v>
      </c>
      <c r="J1168" s="23" t="str">
        <f>HYPERLINK("https://www.spark-marketing.ru/Card/Person/6316283", "Варзанова Екатерина Олеговна")</f>
        <v>Варзанова Екатерина Олеговна</v>
      </c>
      <c r="K1168" s="24" t="s">
        <v>2059</v>
      </c>
      <c r="L1168" s="28" t="s">
        <v>52</v>
      </c>
      <c r="M1168" s="25">
        <v>513201.84</v>
      </c>
      <c r="N1168" s="27">
        <v>0.31531226191693601</v>
      </c>
    </row>
    <row r="1169" spans="1:14" hidden="1" outlineLevel="1" x14ac:dyDescent="0.2">
      <c r="A1169" s="23" t="str">
        <f>HYPERLINK("https://www.spark-marketing.ru/Card/Person/68177", "ГКУ ""МАЦ""")</f>
        <v>ГКУ "МАЦ"</v>
      </c>
      <c r="B1169" s="24" t="s">
        <v>2056</v>
      </c>
      <c r="C1169" s="25">
        <v>749541.45</v>
      </c>
      <c r="D1169" s="22" t="s">
        <v>2057</v>
      </c>
      <c r="E1169" s="22" t="s">
        <v>107</v>
      </c>
      <c r="F1169" s="23" t="str">
        <f>HYPERLINK("https://www.spark-marketing.ru/Card/Lot/73754918", "Оказания услуг по демонтажу, монтажу, пуско-наладочным работам системы охранной сигнализации на вертолетных площадках по адресу: г. Москва, ул. Вешняковская, д. 23, стр. 23; г. Москва, Коломенский проезд, д. 4, стр. 23; г. Москва, ул. Ленская, д. 15,...")</f>
        <v>Оказания услуг по демонтажу, монтажу, пуско-наладочным работам системы охранной сигнализации на вертолетных площадках по адресу: г. Москва, ул. Вешняковская, д. 23, стр. 23; г. Москва, Коломенский проезд, д. 4, стр. 23; г. Москва, ул. Ленская, д. 15,...</v>
      </c>
      <c r="G1169" s="22" t="s">
        <v>55</v>
      </c>
      <c r="H1169" s="22" t="s">
        <v>55</v>
      </c>
      <c r="I1169" s="26">
        <v>43728.681944444397</v>
      </c>
      <c r="J1169" s="23" t="str">
        <f>HYPERLINK("https://www.spark-marketing.ru/Card/Person/100948", "ООО ""СК ""СКАТ""")</f>
        <v>ООО "СК "СКАТ"</v>
      </c>
      <c r="K1169" s="24" t="s">
        <v>2060</v>
      </c>
      <c r="L1169" s="28" t="s">
        <v>52</v>
      </c>
      <c r="M1169" s="25">
        <v>543183.52</v>
      </c>
      <c r="N1169" s="27">
        <v>0.27531223256565729</v>
      </c>
    </row>
    <row r="1170" spans="1:14" hidden="1" outlineLevel="1" x14ac:dyDescent="0.2">
      <c r="A1170" s="23" t="str">
        <f>HYPERLINK("https://www.spark-marketing.ru/Card/Person/68177", "ГКУ ""МАЦ""")</f>
        <v>ГКУ "МАЦ"</v>
      </c>
      <c r="B1170" s="24" t="s">
        <v>2056</v>
      </c>
      <c r="C1170" s="25">
        <v>749541.45</v>
      </c>
      <c r="D1170" s="22" t="s">
        <v>2057</v>
      </c>
      <c r="E1170" s="22" t="s">
        <v>107</v>
      </c>
      <c r="F1170" s="23" t="str">
        <f>HYPERLINK("https://www.spark-marketing.ru/Card/Lot/73754918", "Оказания услуг по демонтажу, монтажу, пуско-наладочным работам системы охранной сигнализации на вертолетных площадках по адресу: г. Москва, ул. Вешняковская, д. 23, стр. 23; г. Москва, Коломенский проезд, д. 4, стр. 23; г. Москва, ул. Ленская, д. 15,...")</f>
        <v>Оказания услуг по демонтажу, монтажу, пуско-наладочным работам системы охранной сигнализации на вертолетных площадках по адресу: г. Москва, ул. Вешняковская, д. 23, стр. 23; г. Москва, Коломенский проезд, д. 4, стр. 23; г. Москва, ул. Ленская, д. 15,...</v>
      </c>
      <c r="G1170" s="22" t="s">
        <v>55</v>
      </c>
      <c r="H1170" s="22" t="s">
        <v>55</v>
      </c>
      <c r="I1170" s="26">
        <v>43728.681944444397</v>
      </c>
      <c r="J1170" s="23" t="str">
        <f>HYPERLINK("https://www.spark-marketing.ru/Card/Person/6573297", "Смышников Дмитрий Олегович")</f>
        <v>Смышников Дмитрий Олегович</v>
      </c>
      <c r="K1170" s="24" t="s">
        <v>2061</v>
      </c>
      <c r="L1170" s="28" t="s">
        <v>52</v>
      </c>
      <c r="M1170" s="25">
        <v>535688.1</v>
      </c>
      <c r="N1170" s="27">
        <v>0.28531223990347698</v>
      </c>
    </row>
    <row r="1171" spans="1:14" x14ac:dyDescent="0.15">
      <c r="A1171" s="23" t="str">
        <f>HYPERLINK("https://www.spark-marketing.ru/Card/Person/19110", "ОКУ ""УПРАВЛЕНИЕ АДМИНИСТРАТИВНЫМИ ЗДАНИЯМИ""")</f>
        <v>ОКУ "УПРАВЛЕНИЕ АДМИНИСТРАТИВНЫМИ ЗДАНИЯМИ"</v>
      </c>
      <c r="B1171" s="24" t="s">
        <v>2062</v>
      </c>
      <c r="C1171" s="25">
        <v>1621836.75</v>
      </c>
      <c r="D1171" s="22" t="s">
        <v>2063</v>
      </c>
      <c r="E1171" s="22" t="s">
        <v>68</v>
      </c>
      <c r="F1171" s="23" t="str">
        <f>HYPERLINK("https://www.spark-marketing.ru/Card/Lot/73763580", "Оказание комплексных услуг по вооруженной охране административных зданий")</f>
        <v>Оказание комплексных услуг по вооруженной охране административных зданий</v>
      </c>
      <c r="G1171" s="22" t="s">
        <v>340</v>
      </c>
      <c r="H1171" s="22" t="s">
        <v>1030</v>
      </c>
      <c r="I1171" s="26">
        <v>43728.675694444399</v>
      </c>
      <c r="J1171" s="28" t="s">
        <v>52</v>
      </c>
      <c r="K1171" s="28" t="s">
        <v>52</v>
      </c>
      <c r="L1171" s="28" t="s">
        <v>52</v>
      </c>
      <c r="M1171" s="28" t="s">
        <v>52</v>
      </c>
      <c r="N1171" s="28" t="s">
        <v>52</v>
      </c>
    </row>
    <row r="1172" spans="1:14" ht="12.75" hidden="1" outlineLevel="1" x14ac:dyDescent="0.2">
      <c r="A1172" s="23" t="str">
        <f>HYPERLINK("https://www.spark-marketing.ru/Card/Person/19110", "ОКУ ""УПРАВЛЕНИЕ АДМИНИСТРАТИВНЫМИ ЗДАНИЯМИ""")</f>
        <v>ОКУ "УПРАВЛЕНИЕ АДМИНИСТРАТИВНЫМИ ЗДАНИЯМИ"</v>
      </c>
      <c r="B1172" s="24" t="s">
        <v>2062</v>
      </c>
      <c r="C1172" s="25">
        <v>1621836.75</v>
      </c>
      <c r="D1172" s="22" t="s">
        <v>2063</v>
      </c>
      <c r="E1172" s="22" t="s">
        <v>68</v>
      </c>
      <c r="F1172" s="23" t="str">
        <f>HYPERLINK("https://www.spark-marketing.ru/Card/Lot/73763580", "Оказание комплексных услуг по вооруженной охране административных зданий")</f>
        <v>Оказание комплексных услуг по вооруженной охране административных зданий</v>
      </c>
      <c r="G1172" s="22" t="s">
        <v>340</v>
      </c>
      <c r="H1172" s="22" t="s">
        <v>1030</v>
      </c>
      <c r="I1172" s="26">
        <v>43728.675694444399</v>
      </c>
      <c r="J1172" s="23" t="str">
        <f>HYPERLINK("https://www.spark-marketing.ru/Card/Person/580757", "ООО ОП ""ТАУЭР-Н""")</f>
        <v>ООО ОП "ТАУЭР-Н"</v>
      </c>
      <c r="K1172" s="24" t="s">
        <v>2064</v>
      </c>
      <c r="L1172" s="22" t="s">
        <v>10</v>
      </c>
      <c r="M1172" s="25">
        <v>1597509.21</v>
      </c>
      <c r="N1172" s="27">
        <v>1.4999993063420224E-2</v>
      </c>
    </row>
    <row r="1173" spans="1:14" hidden="1" outlineLevel="1" x14ac:dyDescent="0.2">
      <c r="A1173" s="23" t="str">
        <f>HYPERLINK("https://www.spark-marketing.ru/Card/Person/19110", "ОКУ ""УПРАВЛЕНИЕ АДМИНИСТРАТИВНЫМИ ЗДАНИЯМИ""")</f>
        <v>ОКУ "УПРАВЛЕНИЕ АДМИНИСТРАТИВНЫМИ ЗДАНИЯМИ"</v>
      </c>
      <c r="B1173" s="24" t="s">
        <v>2062</v>
      </c>
      <c r="C1173" s="25">
        <v>1621836.75</v>
      </c>
      <c r="D1173" s="22" t="s">
        <v>2063</v>
      </c>
      <c r="E1173" s="22" t="s">
        <v>68</v>
      </c>
      <c r="F1173" s="23" t="str">
        <f>HYPERLINK("https://www.spark-marketing.ru/Card/Lot/73763580", "Оказание комплексных услуг по вооруженной охране административных зданий")</f>
        <v>Оказание комплексных услуг по вооруженной охране административных зданий</v>
      </c>
      <c r="G1173" s="22" t="s">
        <v>340</v>
      </c>
      <c r="H1173" s="22" t="s">
        <v>1030</v>
      </c>
      <c r="I1173" s="26">
        <v>43728.675694444399</v>
      </c>
      <c r="J1173" s="23" t="str">
        <f>HYPERLINK("https://www.spark-marketing.ru/Card/Person/307045", "ФЛ ФГУП ""Охрана"" Росгвардии по Ивановской области")</f>
        <v>ФЛ ФГУП "Охрана" Росгвардии по Ивановской области</v>
      </c>
      <c r="K1173" s="24" t="s">
        <v>779</v>
      </c>
      <c r="L1173" s="28" t="s">
        <v>52</v>
      </c>
      <c r="M1173" s="25">
        <v>1605618.39</v>
      </c>
      <c r="N1173" s="27">
        <v>9.9999953756134824E-3</v>
      </c>
    </row>
    <row r="1174" spans="1:14" x14ac:dyDescent="0.15">
      <c r="A1174" s="23" t="str">
        <f>HYPERLINK("https://www.spark-marketing.ru/Card/Person/106779", "МБОУ СОШ № 5 ГОРОДА ЮЖНО-САХАЛИНСКА")</f>
        <v>МБОУ СОШ № 5 ГОРОДА ЮЖНО-САХАЛИНСКА</v>
      </c>
      <c r="B1174" s="24" t="s">
        <v>2065</v>
      </c>
      <c r="C1174" s="25">
        <v>4770910</v>
      </c>
      <c r="D1174" s="22" t="s">
        <v>2066</v>
      </c>
      <c r="E1174" s="22" t="s">
        <v>59</v>
      </c>
      <c r="F1174" s="23" t="str">
        <f>HYPERLINK("https://www.spark-marketing.ru/Card/Lot/73705016", "Установка системы видеонаблюдения в МБОУ СОШ № 5 города Южно-Сахалинска")</f>
        <v>Установка системы видеонаблюдения в МБОУ СОШ № 5 города Южно-Сахалинска</v>
      </c>
      <c r="G1174" s="22" t="s">
        <v>69</v>
      </c>
      <c r="H1174" s="22" t="s">
        <v>973</v>
      </c>
      <c r="I1174" s="26">
        <v>43728.668055555601</v>
      </c>
      <c r="J1174" s="28" t="s">
        <v>52</v>
      </c>
      <c r="K1174" s="28" t="s">
        <v>52</v>
      </c>
      <c r="L1174" s="28" t="s">
        <v>52</v>
      </c>
      <c r="M1174" s="28" t="s">
        <v>52</v>
      </c>
      <c r="N1174" s="28" t="s">
        <v>52</v>
      </c>
    </row>
    <row r="1175" spans="1:14" hidden="1" outlineLevel="1" x14ac:dyDescent="0.2">
      <c r="A1175" s="23" t="str">
        <f>HYPERLINK("https://www.spark-marketing.ru/Card/Person/106779", "МБОУ СОШ № 5 ГОРОДА ЮЖНО-САХАЛИНСКА")</f>
        <v>МБОУ СОШ № 5 ГОРОДА ЮЖНО-САХАЛИНСКА</v>
      </c>
      <c r="B1175" s="24" t="s">
        <v>2065</v>
      </c>
      <c r="C1175" s="25">
        <v>4770910</v>
      </c>
      <c r="D1175" s="22" t="s">
        <v>2066</v>
      </c>
      <c r="E1175" s="22" t="s">
        <v>59</v>
      </c>
      <c r="F1175" s="23" t="str">
        <f>HYPERLINK("https://www.spark-marketing.ru/Card/Lot/73705016", "Установка системы видеонаблюдения в МБОУ СОШ № 5 города Южно-Сахалинска")</f>
        <v>Установка системы видеонаблюдения в МБОУ СОШ № 5 города Южно-Сахалинска</v>
      </c>
      <c r="G1175" s="22" t="s">
        <v>69</v>
      </c>
      <c r="H1175" s="22" t="s">
        <v>973</v>
      </c>
      <c r="I1175" s="26">
        <v>43728.668055555601</v>
      </c>
      <c r="J1175" s="23" t="str">
        <f>HYPERLINK("https://www.spark-marketing.ru/Card/Person/568212", "ООО ""УМНЫЙ ДОМ САХАЛИНА""")</f>
        <v>ООО "УМНЫЙ ДОМ САХАЛИНА"</v>
      </c>
      <c r="K1175" s="24" t="s">
        <v>2067</v>
      </c>
      <c r="L1175" s="28" t="s">
        <v>52</v>
      </c>
      <c r="M1175" s="25">
        <v>4675491.8</v>
      </c>
      <c r="N1175" s="27">
        <v>0.02</v>
      </c>
    </row>
    <row r="1176" spans="1:14" hidden="1" outlineLevel="1" x14ac:dyDescent="0.2">
      <c r="A1176" s="23" t="str">
        <f>HYPERLINK("https://www.spark-marketing.ru/Card/Person/106779", "МБОУ СОШ № 5 ГОРОДА ЮЖНО-САХАЛИНСКА")</f>
        <v>МБОУ СОШ № 5 ГОРОДА ЮЖНО-САХАЛИНСКА</v>
      </c>
      <c r="B1176" s="24" t="s">
        <v>2065</v>
      </c>
      <c r="C1176" s="25">
        <v>4770910</v>
      </c>
      <c r="D1176" s="22" t="s">
        <v>2066</v>
      </c>
      <c r="E1176" s="22" t="s">
        <v>59</v>
      </c>
      <c r="F1176" s="23" t="str">
        <f>HYPERLINK("https://www.spark-marketing.ru/Card/Lot/73705016", "Установка системы видеонаблюдения в МБОУ СОШ № 5 города Южно-Сахалинска")</f>
        <v>Установка системы видеонаблюдения в МБОУ СОШ № 5 города Южно-Сахалинска</v>
      </c>
      <c r="G1176" s="22" t="s">
        <v>69</v>
      </c>
      <c r="H1176" s="22" t="s">
        <v>973</v>
      </c>
      <c r="I1176" s="26">
        <v>43728.668055555601</v>
      </c>
      <c r="J1176" s="23" t="str">
        <f>HYPERLINK("https://www.spark-marketing.ru/Card/Person/147646", "ООО ""АКЦЕНТ""")</f>
        <v>ООО "АКЦЕНТ"</v>
      </c>
      <c r="K1176" s="24" t="s">
        <v>2068</v>
      </c>
      <c r="L1176" s="28" t="s">
        <v>52</v>
      </c>
      <c r="M1176" s="25">
        <v>4460800.8499999996</v>
      </c>
      <c r="N1176" s="27">
        <v>6.5000000000000002E-2</v>
      </c>
    </row>
    <row r="1177" spans="1:14" hidden="1" outlineLevel="1" x14ac:dyDescent="0.2">
      <c r="A1177" s="23" t="str">
        <f>HYPERLINK("https://www.spark-marketing.ru/Card/Person/106779", "МБОУ СОШ № 5 ГОРОДА ЮЖНО-САХАЛИНСКА")</f>
        <v>МБОУ СОШ № 5 ГОРОДА ЮЖНО-САХАЛИНСКА</v>
      </c>
      <c r="B1177" s="24" t="s">
        <v>2065</v>
      </c>
      <c r="C1177" s="25">
        <v>4770910</v>
      </c>
      <c r="D1177" s="22" t="s">
        <v>2066</v>
      </c>
      <c r="E1177" s="22" t="s">
        <v>59</v>
      </c>
      <c r="F1177" s="23" t="str">
        <f>HYPERLINK("https://www.spark-marketing.ru/Card/Lot/73705016", "Установка системы видеонаблюдения в МБОУ СОШ № 5 города Южно-Сахалинска")</f>
        <v>Установка системы видеонаблюдения в МБОУ СОШ № 5 города Южно-Сахалинска</v>
      </c>
      <c r="G1177" s="22" t="s">
        <v>69</v>
      </c>
      <c r="H1177" s="22" t="s">
        <v>973</v>
      </c>
      <c r="I1177" s="26">
        <v>43728.668055555601</v>
      </c>
      <c r="J1177" s="23" t="str">
        <f>HYPERLINK("https://www.spark-marketing.ru/Card/Person/801443", "ООО ""ЗОЛОТОЙ ВЕК""")</f>
        <v>ООО "ЗОЛОТОЙ ВЕК"</v>
      </c>
      <c r="K1177" s="24" t="s">
        <v>2069</v>
      </c>
      <c r="L1177" s="28" t="s">
        <v>52</v>
      </c>
      <c r="M1177" s="25">
        <v>4484655.4000000004</v>
      </c>
      <c r="N1177" s="27">
        <v>0.06</v>
      </c>
    </row>
    <row r="1178" spans="1:14" ht="12.75" hidden="1" outlineLevel="1" x14ac:dyDescent="0.2">
      <c r="A1178" s="23" t="str">
        <f>HYPERLINK("https://www.spark-marketing.ru/Card/Person/106779", "МБОУ СОШ № 5 ГОРОДА ЮЖНО-САХАЛИНСКА")</f>
        <v>МБОУ СОШ № 5 ГОРОДА ЮЖНО-САХАЛИНСКА</v>
      </c>
      <c r="B1178" s="24" t="s">
        <v>2065</v>
      </c>
      <c r="C1178" s="25">
        <v>4770910</v>
      </c>
      <c r="D1178" s="22" t="s">
        <v>2066</v>
      </c>
      <c r="E1178" s="22" t="s">
        <v>59</v>
      </c>
      <c r="F1178" s="23" t="str">
        <f>HYPERLINK("https://www.spark-marketing.ru/Card/Lot/73705016", "Установка системы видеонаблюдения в МБОУ СОШ № 5 города Южно-Сахалинска")</f>
        <v>Установка системы видеонаблюдения в МБОУ СОШ № 5 города Южно-Сахалинска</v>
      </c>
      <c r="G1178" s="22" t="s">
        <v>69</v>
      </c>
      <c r="H1178" s="22" t="s">
        <v>973</v>
      </c>
      <c r="I1178" s="26">
        <v>43728.668055555601</v>
      </c>
      <c r="J1178" s="23" t="str">
        <f>HYPERLINK("https://www.spark-marketing.ru/Card/Person/796225", "ООО ""САЙТ СЕРВИС""")</f>
        <v>ООО "САЙТ СЕРВИС"</v>
      </c>
      <c r="K1178" s="24" t="s">
        <v>2070</v>
      </c>
      <c r="L1178" s="22" t="s">
        <v>10</v>
      </c>
      <c r="M1178" s="25">
        <v>4436946.3</v>
      </c>
      <c r="N1178" s="27">
        <v>7.0000000000000007E-2</v>
      </c>
    </row>
    <row r="1179" spans="1:14" x14ac:dyDescent="0.15">
      <c r="A1179" s="23" t="str">
        <f t="shared" ref="A1179:A1189" si="34">HYPERLINK("https://www.spark-marketing.ru/Card/Person/66272", "МУНИЦИПАЛЬНОЕ БЮДЖЕТНОЕ ОБЩЕОБРАЗОВАТЕЛЬНОЕ УЧРЕЖДЕНИЕ СРЕДНЯЯ ОБЩЕОБРАЗОВАТЕЛЬНАЯ ШКОЛА № 5 Г. ХИМКИ")</f>
        <v>МУНИЦИПАЛЬНОЕ БЮДЖЕТНОЕ ОБЩЕОБРАЗОВАТЕЛЬНОЕ УЧРЕЖДЕНИЕ СРЕДНЯЯ ОБЩЕОБРАЗОВАТЕЛЬНАЯ ШКОЛА № 5 Г. ХИМКИ</v>
      </c>
      <c r="B1179" s="24" t="s">
        <v>2071</v>
      </c>
      <c r="C1179" s="25">
        <v>100000</v>
      </c>
      <c r="D1179" s="22" t="s">
        <v>2072</v>
      </c>
      <c r="E1179" s="22" t="s">
        <v>84</v>
      </c>
      <c r="F1179" s="23" t="str">
        <f t="shared" ref="F1179:F1189" si="35">HYPERLINK("https://www.spark-marketing.ru/Card/Lot/73750881", "Оказание услуг в 2019 г. по техническому обслуживанию систем видеонаблюдения для нужд МБОУ СОШ №5 г. Химки")</f>
        <v>Оказание услуг в 2019 г. по техническому обслуживанию систем видеонаблюдения для нужд МБОУ СОШ №5 г. Химки</v>
      </c>
      <c r="G1179" s="22" t="s">
        <v>50</v>
      </c>
      <c r="H1179" s="22" t="s">
        <v>938</v>
      </c>
      <c r="I1179" s="26">
        <v>43728.625</v>
      </c>
      <c r="J1179" s="28" t="s">
        <v>52</v>
      </c>
      <c r="K1179" s="28" t="s">
        <v>52</v>
      </c>
      <c r="L1179" s="28" t="s">
        <v>52</v>
      </c>
      <c r="M1179" s="28" t="s">
        <v>52</v>
      </c>
      <c r="N1179" s="28" t="s">
        <v>52</v>
      </c>
    </row>
    <row r="1180" spans="1:14" hidden="1" outlineLevel="1" x14ac:dyDescent="0.2">
      <c r="A1180" s="23" t="str">
        <f t="shared" si="34"/>
        <v>МУНИЦИПАЛЬНОЕ БЮДЖЕТНОЕ ОБЩЕОБРАЗОВАТЕЛЬНОЕ УЧРЕЖДЕНИЕ СРЕДНЯЯ ОБЩЕОБРАЗОВАТЕЛЬНАЯ ШКОЛА № 5 Г. ХИМКИ</v>
      </c>
      <c r="B1180" s="24" t="s">
        <v>2071</v>
      </c>
      <c r="C1180" s="25">
        <v>100000</v>
      </c>
      <c r="D1180" s="22" t="s">
        <v>2072</v>
      </c>
      <c r="E1180" s="22" t="s">
        <v>84</v>
      </c>
      <c r="F1180" s="23" t="str">
        <f t="shared" si="35"/>
        <v>Оказание услуг в 2019 г. по техническому обслуживанию систем видеонаблюдения для нужд МБОУ СОШ №5 г. Химки</v>
      </c>
      <c r="G1180" s="22" t="s">
        <v>50</v>
      </c>
      <c r="H1180" s="22" t="s">
        <v>938</v>
      </c>
      <c r="I1180" s="26">
        <v>43728.625</v>
      </c>
      <c r="J1180" s="23" t="str">
        <f>HYPERLINK("https://www.spark-marketing.ru/Card/Person/1368296", "ООО ""КАЙРОС""")</f>
        <v>ООО "КАЙРОС"</v>
      </c>
      <c r="K1180" s="24" t="s">
        <v>1738</v>
      </c>
      <c r="L1180" s="28" t="s">
        <v>52</v>
      </c>
      <c r="M1180" s="25">
        <v>48000</v>
      </c>
      <c r="N1180" s="27">
        <v>0.52</v>
      </c>
    </row>
    <row r="1181" spans="1:14" ht="12.75" hidden="1" outlineLevel="1" x14ac:dyDescent="0.2">
      <c r="A1181" s="23" t="str">
        <f t="shared" si="34"/>
        <v>МУНИЦИПАЛЬНОЕ БЮДЖЕТНОЕ ОБЩЕОБРАЗОВАТЕЛЬНОЕ УЧРЕЖДЕНИЕ СРЕДНЯЯ ОБЩЕОБРАЗОВАТЕЛЬНАЯ ШКОЛА № 5 Г. ХИМКИ</v>
      </c>
      <c r="B1181" s="24" t="s">
        <v>2071</v>
      </c>
      <c r="C1181" s="25">
        <v>100000</v>
      </c>
      <c r="D1181" s="22" t="s">
        <v>2072</v>
      </c>
      <c r="E1181" s="22" t="s">
        <v>84</v>
      </c>
      <c r="F1181" s="23" t="str">
        <f t="shared" si="35"/>
        <v>Оказание услуг в 2019 г. по техническому обслуживанию систем видеонаблюдения для нужд МБОУ СОШ №5 г. Химки</v>
      </c>
      <c r="G1181" s="22" t="s">
        <v>50</v>
      </c>
      <c r="H1181" s="22" t="s">
        <v>938</v>
      </c>
      <c r="I1181" s="26">
        <v>43728.625</v>
      </c>
      <c r="J1181" s="23" t="str">
        <f>HYPERLINK("https://www.spark-marketing.ru/Card/Person/6687654", "ООО ""АРТИК СБ""")</f>
        <v>ООО "АРТИК СБ"</v>
      </c>
      <c r="K1181" s="24" t="s">
        <v>1747</v>
      </c>
      <c r="L1181" s="22" t="s">
        <v>10</v>
      </c>
      <c r="M1181" s="25">
        <v>18000</v>
      </c>
      <c r="N1181" s="27">
        <v>0.82</v>
      </c>
    </row>
    <row r="1182" spans="1:14" hidden="1" outlineLevel="1" x14ac:dyDescent="0.2">
      <c r="A1182" s="23" t="str">
        <f t="shared" si="34"/>
        <v>МУНИЦИПАЛЬНОЕ БЮДЖЕТНОЕ ОБЩЕОБРАЗОВАТЕЛЬНОЕ УЧРЕЖДЕНИЕ СРЕДНЯЯ ОБЩЕОБРАЗОВАТЕЛЬНАЯ ШКОЛА № 5 Г. ХИМКИ</v>
      </c>
      <c r="B1182" s="24" t="s">
        <v>2071</v>
      </c>
      <c r="C1182" s="25">
        <v>100000</v>
      </c>
      <c r="D1182" s="22" t="s">
        <v>2072</v>
      </c>
      <c r="E1182" s="22" t="s">
        <v>84</v>
      </c>
      <c r="F1182" s="23" t="str">
        <f t="shared" si="35"/>
        <v>Оказание услуг в 2019 г. по техническому обслуживанию систем видеонаблюдения для нужд МБОУ СОШ №5 г. Химки</v>
      </c>
      <c r="G1182" s="22" t="s">
        <v>50</v>
      </c>
      <c r="H1182" s="22" t="s">
        <v>938</v>
      </c>
      <c r="I1182" s="26">
        <v>43728.625</v>
      </c>
      <c r="J1182" s="23" t="str">
        <f>HYPERLINK("https://www.spark-marketing.ru/Card/Person/6715445", "ООО ""ПРЕСТИЖ АВТОМАТИК ПЛЮС""")</f>
        <v>ООО "ПРЕСТИЖ АВТОМАТИК ПЛЮС"</v>
      </c>
      <c r="K1182" s="24" t="s">
        <v>2073</v>
      </c>
      <c r="L1182" s="28" t="s">
        <v>52</v>
      </c>
      <c r="M1182" s="25">
        <v>19500</v>
      </c>
      <c r="N1182" s="27">
        <v>0.80500000000000005</v>
      </c>
    </row>
    <row r="1183" spans="1:14" hidden="1" outlineLevel="1" x14ac:dyDescent="0.2">
      <c r="A1183" s="23" t="str">
        <f t="shared" si="34"/>
        <v>МУНИЦИПАЛЬНОЕ БЮДЖЕТНОЕ ОБЩЕОБРАЗОВАТЕЛЬНОЕ УЧРЕЖДЕНИЕ СРЕДНЯЯ ОБЩЕОБРАЗОВАТЕЛЬНАЯ ШКОЛА № 5 Г. ХИМКИ</v>
      </c>
      <c r="B1183" s="24" t="s">
        <v>2071</v>
      </c>
      <c r="C1183" s="25">
        <v>100000</v>
      </c>
      <c r="D1183" s="22" t="s">
        <v>2072</v>
      </c>
      <c r="E1183" s="22" t="s">
        <v>84</v>
      </c>
      <c r="F1183" s="23" t="str">
        <f t="shared" si="35"/>
        <v>Оказание услуг в 2019 г. по техническому обслуживанию систем видеонаблюдения для нужд МБОУ СОШ №5 г. Химки</v>
      </c>
      <c r="G1183" s="22" t="s">
        <v>50</v>
      </c>
      <c r="H1183" s="22" t="s">
        <v>938</v>
      </c>
      <c r="I1183" s="26">
        <v>43728.625</v>
      </c>
      <c r="J1183" s="23" t="str">
        <f>HYPERLINK("https://www.spark-marketing.ru/Card/Person/6528215", "ООО ""СВАРОГ""")</f>
        <v>ООО "СВАРОГ"</v>
      </c>
      <c r="K1183" s="24" t="s">
        <v>2074</v>
      </c>
      <c r="L1183" s="28" t="s">
        <v>52</v>
      </c>
      <c r="M1183" s="25">
        <v>51000</v>
      </c>
      <c r="N1183" s="27">
        <v>0.49</v>
      </c>
    </row>
    <row r="1184" spans="1:14" hidden="1" outlineLevel="1" x14ac:dyDescent="0.2">
      <c r="A1184" s="23" t="str">
        <f t="shared" si="34"/>
        <v>МУНИЦИПАЛЬНОЕ БЮДЖЕТНОЕ ОБЩЕОБРАЗОВАТЕЛЬНОЕ УЧРЕЖДЕНИЕ СРЕДНЯЯ ОБЩЕОБРАЗОВАТЕЛЬНАЯ ШКОЛА № 5 Г. ХИМКИ</v>
      </c>
      <c r="B1184" s="24" t="s">
        <v>2071</v>
      </c>
      <c r="C1184" s="25">
        <v>100000</v>
      </c>
      <c r="D1184" s="22" t="s">
        <v>2072</v>
      </c>
      <c r="E1184" s="22" t="s">
        <v>84</v>
      </c>
      <c r="F1184" s="23" t="str">
        <f t="shared" si="35"/>
        <v>Оказание услуг в 2019 г. по техническому обслуживанию систем видеонаблюдения для нужд МБОУ СОШ №5 г. Химки</v>
      </c>
      <c r="G1184" s="22" t="s">
        <v>50</v>
      </c>
      <c r="H1184" s="22" t="s">
        <v>938</v>
      </c>
      <c r="I1184" s="26">
        <v>43728.625</v>
      </c>
      <c r="J1184" s="23" t="str">
        <f>HYPERLINK("https://www.spark-marketing.ru/Card/Person/6507537", "Безруков Артем Николаевич")</f>
        <v>Безруков Артем Николаевич</v>
      </c>
      <c r="K1184" s="24" t="s">
        <v>2075</v>
      </c>
      <c r="L1184" s="28" t="s">
        <v>52</v>
      </c>
      <c r="M1184" s="25">
        <v>87000</v>
      </c>
      <c r="N1184" s="27">
        <v>0.13</v>
      </c>
    </row>
    <row r="1185" spans="1:14" hidden="1" outlineLevel="1" x14ac:dyDescent="0.2">
      <c r="A1185" s="23" t="str">
        <f t="shared" si="34"/>
        <v>МУНИЦИПАЛЬНОЕ БЮДЖЕТНОЕ ОБЩЕОБРАЗОВАТЕЛЬНОЕ УЧРЕЖДЕНИЕ СРЕДНЯЯ ОБЩЕОБРАЗОВАТЕЛЬНАЯ ШКОЛА № 5 Г. ХИМКИ</v>
      </c>
      <c r="B1185" s="24" t="s">
        <v>2071</v>
      </c>
      <c r="C1185" s="25">
        <v>100000</v>
      </c>
      <c r="D1185" s="22" t="s">
        <v>2072</v>
      </c>
      <c r="E1185" s="22" t="s">
        <v>84</v>
      </c>
      <c r="F1185" s="23" t="str">
        <f t="shared" si="35"/>
        <v>Оказание услуг в 2019 г. по техническому обслуживанию систем видеонаблюдения для нужд МБОУ СОШ №5 г. Химки</v>
      </c>
      <c r="G1185" s="22" t="s">
        <v>50</v>
      </c>
      <c r="H1185" s="22" t="s">
        <v>938</v>
      </c>
      <c r="I1185" s="26">
        <v>43728.625</v>
      </c>
      <c r="J1185" s="23" t="str">
        <f>HYPERLINK("https://www.spark-marketing.ru/Card/Person/6584280", "ООО ""ВСВ""")</f>
        <v>ООО "ВСВ"</v>
      </c>
      <c r="K1185" s="24" t="s">
        <v>2076</v>
      </c>
      <c r="L1185" s="28" t="s">
        <v>52</v>
      </c>
      <c r="M1185" s="25">
        <v>18500</v>
      </c>
      <c r="N1185" s="27">
        <v>0.81499999999999995</v>
      </c>
    </row>
    <row r="1186" spans="1:14" hidden="1" outlineLevel="1" x14ac:dyDescent="0.2">
      <c r="A1186" s="23" t="str">
        <f t="shared" si="34"/>
        <v>МУНИЦИПАЛЬНОЕ БЮДЖЕТНОЕ ОБЩЕОБРАЗОВАТЕЛЬНОЕ УЧРЕЖДЕНИЕ СРЕДНЯЯ ОБЩЕОБРАЗОВАТЕЛЬНАЯ ШКОЛА № 5 Г. ХИМКИ</v>
      </c>
      <c r="B1186" s="24" t="s">
        <v>2071</v>
      </c>
      <c r="C1186" s="25">
        <v>100000</v>
      </c>
      <c r="D1186" s="22" t="s">
        <v>2072</v>
      </c>
      <c r="E1186" s="22" t="s">
        <v>84</v>
      </c>
      <c r="F1186" s="23" t="str">
        <f t="shared" si="35"/>
        <v>Оказание услуг в 2019 г. по техническому обслуживанию систем видеонаблюдения для нужд МБОУ СОШ №5 г. Химки</v>
      </c>
      <c r="G1186" s="22" t="s">
        <v>50</v>
      </c>
      <c r="H1186" s="22" t="s">
        <v>938</v>
      </c>
      <c r="I1186" s="26">
        <v>43728.625</v>
      </c>
      <c r="J1186" s="23" t="str">
        <f>HYPERLINK("https://www.spark-marketing.ru/Card/Person/6471441", "ООО ГРУППА КОМПАНИЙ ""ВЕКТОР""")</f>
        <v>ООО ГРУППА КОМПАНИЙ "ВЕКТОР"</v>
      </c>
      <c r="K1186" s="24" t="s">
        <v>2077</v>
      </c>
      <c r="L1186" s="28" t="s">
        <v>52</v>
      </c>
      <c r="M1186" s="25">
        <v>65000</v>
      </c>
      <c r="N1186" s="27">
        <v>0.35</v>
      </c>
    </row>
    <row r="1187" spans="1:14" hidden="1" outlineLevel="1" x14ac:dyDescent="0.2">
      <c r="A1187" s="23" t="str">
        <f t="shared" si="34"/>
        <v>МУНИЦИПАЛЬНОЕ БЮДЖЕТНОЕ ОБЩЕОБРАЗОВАТЕЛЬНОЕ УЧРЕЖДЕНИЕ СРЕДНЯЯ ОБЩЕОБРАЗОВАТЕЛЬНАЯ ШКОЛА № 5 Г. ХИМКИ</v>
      </c>
      <c r="B1187" s="24" t="s">
        <v>2071</v>
      </c>
      <c r="C1187" s="25">
        <v>100000</v>
      </c>
      <c r="D1187" s="22" t="s">
        <v>2072</v>
      </c>
      <c r="E1187" s="22" t="s">
        <v>84</v>
      </c>
      <c r="F1187" s="23" t="str">
        <f t="shared" si="35"/>
        <v>Оказание услуг в 2019 г. по техническому обслуживанию систем видеонаблюдения для нужд МБОУ СОШ №5 г. Химки</v>
      </c>
      <c r="G1187" s="22" t="s">
        <v>50</v>
      </c>
      <c r="H1187" s="22" t="s">
        <v>938</v>
      </c>
      <c r="I1187" s="26">
        <v>43728.625</v>
      </c>
      <c r="J1187" s="23" t="str">
        <f>HYPERLINK("https://www.spark-marketing.ru/Card/Person/6445825", "Судариков Михаил Геннадьевич")</f>
        <v>Судариков Михаил Геннадьевич</v>
      </c>
      <c r="K1187" s="24" t="s">
        <v>1219</v>
      </c>
      <c r="L1187" s="28" t="s">
        <v>52</v>
      </c>
      <c r="M1187" s="25">
        <v>37500</v>
      </c>
      <c r="N1187" s="27">
        <v>0.625</v>
      </c>
    </row>
    <row r="1188" spans="1:14" hidden="1" outlineLevel="1" x14ac:dyDescent="0.2">
      <c r="A1188" s="23" t="str">
        <f t="shared" si="34"/>
        <v>МУНИЦИПАЛЬНОЕ БЮДЖЕТНОЕ ОБЩЕОБРАЗОВАТЕЛЬНОЕ УЧРЕЖДЕНИЕ СРЕДНЯЯ ОБЩЕОБРАЗОВАТЕЛЬНАЯ ШКОЛА № 5 Г. ХИМКИ</v>
      </c>
      <c r="B1188" s="24" t="s">
        <v>2071</v>
      </c>
      <c r="C1188" s="25">
        <v>100000</v>
      </c>
      <c r="D1188" s="22" t="s">
        <v>2072</v>
      </c>
      <c r="E1188" s="22" t="s">
        <v>84</v>
      </c>
      <c r="F1188" s="23" t="str">
        <f t="shared" si="35"/>
        <v>Оказание услуг в 2019 г. по техническому обслуживанию систем видеонаблюдения для нужд МБОУ СОШ №5 г. Химки</v>
      </c>
      <c r="G1188" s="22" t="s">
        <v>50</v>
      </c>
      <c r="H1188" s="22" t="s">
        <v>938</v>
      </c>
      <c r="I1188" s="26">
        <v>43728.625</v>
      </c>
      <c r="J1188" s="23" t="str">
        <f>HYPERLINK("https://www.spark-marketing.ru/Card/Person/61590", "ООО ""ВЕНТПОЖСЕРВИС""")</f>
        <v>ООО "ВЕНТПОЖСЕРВИС"</v>
      </c>
      <c r="K1188" s="24" t="s">
        <v>1740</v>
      </c>
      <c r="L1188" s="28" t="s">
        <v>52</v>
      </c>
      <c r="M1188" s="25">
        <v>24000</v>
      </c>
      <c r="N1188" s="27">
        <v>0.76</v>
      </c>
    </row>
    <row r="1189" spans="1:14" hidden="1" outlineLevel="1" x14ac:dyDescent="0.2">
      <c r="A1189" s="23" t="str">
        <f t="shared" si="34"/>
        <v>МУНИЦИПАЛЬНОЕ БЮДЖЕТНОЕ ОБЩЕОБРАЗОВАТЕЛЬНОЕ УЧРЕЖДЕНИЕ СРЕДНЯЯ ОБЩЕОБРАЗОВАТЕЛЬНАЯ ШКОЛА № 5 Г. ХИМКИ</v>
      </c>
      <c r="B1189" s="24" t="s">
        <v>2071</v>
      </c>
      <c r="C1189" s="25">
        <v>100000</v>
      </c>
      <c r="D1189" s="22" t="s">
        <v>2072</v>
      </c>
      <c r="E1189" s="22" t="s">
        <v>84</v>
      </c>
      <c r="F1189" s="23" t="str">
        <f t="shared" si="35"/>
        <v>Оказание услуг в 2019 г. по техническому обслуживанию систем видеонаблюдения для нужд МБОУ СОШ №5 г. Химки</v>
      </c>
      <c r="G1189" s="22" t="s">
        <v>50</v>
      </c>
      <c r="H1189" s="22" t="s">
        <v>938</v>
      </c>
      <c r="I1189" s="26">
        <v>43728.625</v>
      </c>
      <c r="J1189" s="23" t="str">
        <f>HYPERLINK("https://www.spark-marketing.ru/Card/Person/6219938", "ООО ""ПРИНТ СИСТЕМС ГРУПП""")</f>
        <v>ООО "ПРИНТ СИСТЕМС ГРУПП"</v>
      </c>
      <c r="K1189" s="24" t="s">
        <v>2078</v>
      </c>
      <c r="L1189" s="28" t="s">
        <v>52</v>
      </c>
      <c r="M1189" s="25">
        <v>50500</v>
      </c>
      <c r="N1189" s="27">
        <v>0.495</v>
      </c>
    </row>
    <row r="1190" spans="1:14" x14ac:dyDescent="0.15">
      <c r="A1190" s="23" t="str">
        <f t="shared" ref="A1190:A1195" si="36">HYPERLINK("https://www.spark-marketing.ru/Card/Person/4350490", "МБУ ""ВОИС""")</f>
        <v>МБУ "ВОИС"</v>
      </c>
      <c r="B1190" s="24" t="s">
        <v>2079</v>
      </c>
      <c r="C1190" s="25">
        <v>12787200</v>
      </c>
      <c r="D1190" s="22" t="s">
        <v>2080</v>
      </c>
      <c r="E1190" s="22" t="s">
        <v>68</v>
      </c>
      <c r="F1190" s="23" t="str">
        <f t="shared" ref="F1190:F1195" si="37">HYPERLINK("https://www.spark-marketing.ru/Card/Lot/73765041", "Защита объектов транспортной инфраструктуры от актов незаконного вмешательства. Реагирование на подготовку совершения или совершение актов незаконного вмешательства в зонах транспортной безопасности объектов транспортной инфраструктуры. Реагирование ...")</f>
        <v>Защита объектов транспортной инфраструктуры от актов незаконного вмешательства. Реагирование на подготовку совершения или совершение актов незаконного вмешательства в зонах транспортной безопасности объектов транспортной инфраструктуры. Реагирование ...</v>
      </c>
      <c r="G1190" s="22" t="s">
        <v>72</v>
      </c>
      <c r="H1190" s="22" t="s">
        <v>949</v>
      </c>
      <c r="I1190" s="26">
        <v>43728.663888888899</v>
      </c>
      <c r="J1190" s="28" t="s">
        <v>52</v>
      </c>
      <c r="K1190" s="28" t="s">
        <v>52</v>
      </c>
      <c r="L1190" s="28" t="s">
        <v>52</v>
      </c>
      <c r="M1190" s="28" t="s">
        <v>52</v>
      </c>
      <c r="N1190" s="28" t="s">
        <v>52</v>
      </c>
    </row>
    <row r="1191" spans="1:14" hidden="1" outlineLevel="1" x14ac:dyDescent="0.2">
      <c r="A1191" s="23" t="str">
        <f t="shared" si="36"/>
        <v>МБУ "ВОИС"</v>
      </c>
      <c r="B1191" s="24" t="s">
        <v>2079</v>
      </c>
      <c r="C1191" s="25">
        <v>12787200</v>
      </c>
      <c r="D1191" s="22" t="s">
        <v>2080</v>
      </c>
      <c r="E1191" s="22" t="s">
        <v>68</v>
      </c>
      <c r="F1191" s="23" t="str">
        <f t="shared" si="37"/>
        <v>Защита объектов транспортной инфраструктуры от актов незаконного вмешательства. Реагирование на подготовку совершения или совершение актов незаконного вмешательства в зонах транспортной безопасности объектов транспортной инфраструктуры. Реагирование ...</v>
      </c>
      <c r="G1191" s="22" t="s">
        <v>72</v>
      </c>
      <c r="H1191" s="22" t="s">
        <v>949</v>
      </c>
      <c r="I1191" s="26">
        <v>43728.663888888899</v>
      </c>
      <c r="J1191" s="23" t="str">
        <f>HYPERLINK("https://www.spark-marketing.ru/Card/Person/6273757", "ООО ""ПТБ ""ФОРТ ТРАНС""")</f>
        <v>ООО "ПТБ "ФОРТ ТРАНС"</v>
      </c>
      <c r="K1191" s="24" t="s">
        <v>2081</v>
      </c>
      <c r="L1191" s="28" t="s">
        <v>52</v>
      </c>
      <c r="M1191" s="25">
        <v>8567424</v>
      </c>
      <c r="N1191" s="27">
        <v>0.33</v>
      </c>
    </row>
    <row r="1192" spans="1:14" hidden="1" outlineLevel="1" x14ac:dyDescent="0.2">
      <c r="A1192" s="23" t="str">
        <f t="shared" si="36"/>
        <v>МБУ "ВОИС"</v>
      </c>
      <c r="B1192" s="24" t="s">
        <v>2079</v>
      </c>
      <c r="C1192" s="25">
        <v>12787200</v>
      </c>
      <c r="D1192" s="22" t="s">
        <v>2080</v>
      </c>
      <c r="E1192" s="22" t="s">
        <v>68</v>
      </c>
      <c r="F1192" s="23" t="str">
        <f t="shared" si="37"/>
        <v>Защита объектов транспортной инфраструктуры от актов незаконного вмешательства. Реагирование на подготовку совершения или совершение актов незаконного вмешательства в зонах транспортной безопасности объектов транспортной инфраструктуры. Реагирование ...</v>
      </c>
      <c r="G1192" s="22" t="s">
        <v>72</v>
      </c>
      <c r="H1192" s="22" t="s">
        <v>949</v>
      </c>
      <c r="I1192" s="26">
        <v>43728.663888888899</v>
      </c>
      <c r="J1192" s="23" t="str">
        <f>HYPERLINK("https://www.spark-marketing.ru/Card/Person/2504192", "ООО ЧОП ""ДАНТЛЕС-ГРУПП""")</f>
        <v>ООО ЧОП "ДАНТЛЕС-ГРУПП"</v>
      </c>
      <c r="K1192" s="24" t="s">
        <v>2082</v>
      </c>
      <c r="L1192" s="28" t="s">
        <v>52</v>
      </c>
      <c r="M1192" s="25">
        <v>4667328</v>
      </c>
      <c r="N1192" s="27">
        <v>0.63500000000000001</v>
      </c>
    </row>
    <row r="1193" spans="1:14" ht="12.75" hidden="1" outlineLevel="1" x14ac:dyDescent="0.2">
      <c r="A1193" s="23" t="str">
        <f t="shared" si="36"/>
        <v>МБУ "ВОИС"</v>
      </c>
      <c r="B1193" s="24" t="s">
        <v>2079</v>
      </c>
      <c r="C1193" s="25">
        <v>12787200</v>
      </c>
      <c r="D1193" s="22" t="s">
        <v>2080</v>
      </c>
      <c r="E1193" s="22" t="s">
        <v>68</v>
      </c>
      <c r="F1193" s="23" t="str">
        <f t="shared" si="37"/>
        <v>Защита объектов транспортной инфраструктуры от актов незаконного вмешательства. Реагирование на подготовку совершения или совершение актов незаконного вмешательства в зонах транспортной безопасности объектов транспортной инфраструктуры. Реагирование ...</v>
      </c>
      <c r="G1193" s="22" t="s">
        <v>72</v>
      </c>
      <c r="H1193" s="22" t="s">
        <v>949</v>
      </c>
      <c r="I1193" s="26">
        <v>43728.663888888899</v>
      </c>
      <c r="J1193" s="23" t="str">
        <f>HYPERLINK("https://www.spark-marketing.ru/Card/Person/6439463", "ООО ""ПТБ ""НАБАТ""")</f>
        <v>ООО "ПТБ "НАБАТ"</v>
      </c>
      <c r="K1193" s="24" t="s">
        <v>2083</v>
      </c>
      <c r="L1193" s="22" t="s">
        <v>10</v>
      </c>
      <c r="M1193" s="25">
        <v>4603392</v>
      </c>
      <c r="N1193" s="27">
        <v>0.64</v>
      </c>
    </row>
    <row r="1194" spans="1:14" hidden="1" outlineLevel="1" x14ac:dyDescent="0.2">
      <c r="A1194" s="23" t="str">
        <f t="shared" si="36"/>
        <v>МБУ "ВОИС"</v>
      </c>
      <c r="B1194" s="24" t="s">
        <v>2079</v>
      </c>
      <c r="C1194" s="25">
        <v>12787200</v>
      </c>
      <c r="D1194" s="22" t="s">
        <v>2080</v>
      </c>
      <c r="E1194" s="22" t="s">
        <v>68</v>
      </c>
      <c r="F1194" s="23" t="str">
        <f t="shared" si="37"/>
        <v>Защита объектов транспортной инфраструктуры от актов незаконного вмешательства. Реагирование на подготовку совершения или совершение актов незаконного вмешательства в зонах транспортной безопасности объектов транспортной инфраструктуры. Реагирование ...</v>
      </c>
      <c r="G1194" s="22" t="s">
        <v>72</v>
      </c>
      <c r="H1194" s="22" t="s">
        <v>949</v>
      </c>
      <c r="I1194" s="26">
        <v>43728.663888888899</v>
      </c>
      <c r="J1194" s="23" t="str">
        <f>HYPERLINK("https://www.spark-marketing.ru/Card/Person/6223513", "ООО ""ПТБ ""РУБЕЖ""")</f>
        <v>ООО "ПТБ "РУБЕЖ"</v>
      </c>
      <c r="K1194" s="24" t="s">
        <v>2084</v>
      </c>
      <c r="L1194" s="28" t="s">
        <v>52</v>
      </c>
      <c r="M1194" s="25">
        <v>11444544</v>
      </c>
      <c r="N1194" s="27">
        <v>0.105</v>
      </c>
    </row>
    <row r="1195" spans="1:14" hidden="1" outlineLevel="1" x14ac:dyDescent="0.2">
      <c r="A1195" s="23" t="str">
        <f t="shared" si="36"/>
        <v>МБУ "ВОИС"</v>
      </c>
      <c r="B1195" s="24" t="s">
        <v>2079</v>
      </c>
      <c r="C1195" s="25">
        <v>12787200</v>
      </c>
      <c r="D1195" s="22" t="s">
        <v>2080</v>
      </c>
      <c r="E1195" s="22" t="s">
        <v>68</v>
      </c>
      <c r="F1195" s="23" t="str">
        <f t="shared" si="37"/>
        <v>Защита объектов транспортной инфраструктуры от актов незаконного вмешательства. Реагирование на подготовку совершения или совершение актов незаконного вмешательства в зонах транспортной безопасности объектов транспортной инфраструктуры. Реагирование ...</v>
      </c>
      <c r="G1195" s="22" t="s">
        <v>72</v>
      </c>
      <c r="H1195" s="22" t="s">
        <v>949</v>
      </c>
      <c r="I1195" s="26">
        <v>43728.663888888899</v>
      </c>
      <c r="J1195" s="23" t="str">
        <f>HYPERLINK("https://www.spark-marketing.ru/Card/Person/1874647", "УРАЛЬСКИЙ ФЛ ФГУП ""УВО МИНТРАНСА РОССИИ""")</f>
        <v>УРАЛЬСКИЙ ФЛ ФГУП "УВО МИНТРАНСА РОССИИ"</v>
      </c>
      <c r="K1195" s="24" t="s">
        <v>1472</v>
      </c>
      <c r="L1195" s="28" t="s">
        <v>52</v>
      </c>
      <c r="M1195" s="25">
        <v>4731264</v>
      </c>
      <c r="N1195" s="27">
        <v>0.63</v>
      </c>
    </row>
    <row r="1196" spans="1:14" x14ac:dyDescent="0.15">
      <c r="A1196" s="23" t="str">
        <f>HYPERLINK("https://www.spark-marketing.ru/Card/Person/4431", "ФКУЗ ""ГКГ МВД РОССИИ""")</f>
        <v>ФКУЗ "ГКГ МВД РОССИИ"</v>
      </c>
      <c r="B1196" s="24" t="s">
        <v>1182</v>
      </c>
      <c r="C1196" s="25">
        <v>12107.64</v>
      </c>
      <c r="D1196" s="22" t="s">
        <v>2085</v>
      </c>
      <c r="E1196" s="22" t="s">
        <v>53</v>
      </c>
      <c r="F1196" s="23" t="str">
        <f>HYPERLINK("https://www.spark-marketing.ru/Card/Lot/73740080", "ТО комплекса технических средств охраны")</f>
        <v>ТО комплекса технических средств охраны</v>
      </c>
      <c r="G1196" s="22" t="s">
        <v>55</v>
      </c>
      <c r="H1196" s="22" t="s">
        <v>55</v>
      </c>
      <c r="I1196" s="26">
        <v>43728.634710648097</v>
      </c>
      <c r="J1196" s="28" t="s">
        <v>52</v>
      </c>
      <c r="K1196" s="28" t="s">
        <v>52</v>
      </c>
      <c r="L1196" s="28" t="s">
        <v>52</v>
      </c>
      <c r="M1196" s="28" t="s">
        <v>52</v>
      </c>
      <c r="N1196" s="28" t="s">
        <v>52</v>
      </c>
    </row>
    <row r="1197" spans="1:14" x14ac:dyDescent="0.15">
      <c r="A1197" s="23" t="str">
        <f>HYPERLINK("https://www.spark-marketing.ru/Card/Person/1027863", "ГБУК МО ""МУЗЕЙ НАРОДНЫХ ХУДОЖЕСТВЕННЫХ ПРОМЫСЛОВ""")</f>
        <v>ГБУК МО "МУЗЕЙ НАРОДНЫХ ХУДОЖЕСТВЕННЫХ ПРОМЫСЛОВ"</v>
      </c>
      <c r="B1197" s="24" t="s">
        <v>2086</v>
      </c>
      <c r="C1197" s="25">
        <v>500000</v>
      </c>
      <c r="D1197" s="22" t="s">
        <v>2087</v>
      </c>
      <c r="E1197" s="22" t="s">
        <v>103</v>
      </c>
      <c r="F1197" s="23" t="str">
        <f>HYPERLINK("https://www.spark-marketing.ru/Card/Lot/73753263", "Установка и поддержание в исправном состоянии охранной сигнализации, в том числе систем внутреннего видеонаблюдения")</f>
        <v>Установка и поддержание в исправном состоянии охранной сигнализации, в том числе систем внутреннего видеонаблюдения</v>
      </c>
      <c r="G1197" s="22" t="s">
        <v>50</v>
      </c>
      <c r="H1197" s="22" t="s">
        <v>2088</v>
      </c>
      <c r="I1197" s="26">
        <v>43728.647916666698</v>
      </c>
      <c r="J1197" s="28" t="s">
        <v>52</v>
      </c>
      <c r="K1197" s="28" t="s">
        <v>52</v>
      </c>
      <c r="L1197" s="28" t="s">
        <v>52</v>
      </c>
      <c r="M1197" s="28" t="s">
        <v>52</v>
      </c>
      <c r="N1197" s="28" t="s">
        <v>52</v>
      </c>
    </row>
    <row r="1198" spans="1:14" hidden="1" outlineLevel="1" x14ac:dyDescent="0.15">
      <c r="A1198" s="23" t="str">
        <f>HYPERLINK("https://www.spark-marketing.ru/Card/Person/1027863", "ГБУК МО ""МУЗЕЙ НАРОДНЫХ ХУДОЖЕСТВЕННЫХ ПРОМЫСЛОВ""")</f>
        <v>ГБУК МО "МУЗЕЙ НАРОДНЫХ ХУДОЖЕСТВЕННЫХ ПРОМЫСЛОВ"</v>
      </c>
      <c r="B1198" s="24" t="s">
        <v>2086</v>
      </c>
      <c r="C1198" s="25">
        <v>500000</v>
      </c>
      <c r="D1198" s="22" t="s">
        <v>2087</v>
      </c>
      <c r="E1198" s="22" t="s">
        <v>103</v>
      </c>
      <c r="F1198" s="23" t="str">
        <f>HYPERLINK("https://www.spark-marketing.ru/Card/Lot/73753263", "Установка и поддержание в исправном состоянии охранной сигнализации, в том числе систем внутреннего видеонаблюдения")</f>
        <v>Установка и поддержание в исправном состоянии охранной сигнализации, в том числе систем внутреннего видеонаблюдения</v>
      </c>
      <c r="G1198" s="22" t="s">
        <v>50</v>
      </c>
      <c r="H1198" s="22" t="s">
        <v>2088</v>
      </c>
      <c r="I1198" s="26">
        <v>43728.647916666698</v>
      </c>
      <c r="J1198" s="23" t="str">
        <f>HYPERLINK("https://www.spark-marketing.ru/Card/Person/126096", "ООО ЧОО ""ПУЛЬСАР""")</f>
        <v>ООО ЧОО "ПУЛЬСАР"</v>
      </c>
      <c r="K1198" s="24" t="s">
        <v>1892</v>
      </c>
      <c r="L1198" s="28" t="s">
        <v>52</v>
      </c>
      <c r="M1198" s="28" t="s">
        <v>52</v>
      </c>
      <c r="N1198" s="28" t="s">
        <v>52</v>
      </c>
    </row>
    <row r="1199" spans="1:14" hidden="1" outlineLevel="1" x14ac:dyDescent="0.15">
      <c r="A1199" s="23" t="str">
        <f>HYPERLINK("https://www.spark-marketing.ru/Card/Person/1027863", "ГБУК МО ""МУЗЕЙ НАРОДНЫХ ХУДОЖЕСТВЕННЫХ ПРОМЫСЛОВ""")</f>
        <v>ГБУК МО "МУЗЕЙ НАРОДНЫХ ХУДОЖЕСТВЕННЫХ ПРОМЫСЛОВ"</v>
      </c>
      <c r="B1199" s="24" t="s">
        <v>2086</v>
      </c>
      <c r="C1199" s="25">
        <v>500000</v>
      </c>
      <c r="D1199" s="22" t="s">
        <v>2087</v>
      </c>
      <c r="E1199" s="22" t="s">
        <v>103</v>
      </c>
      <c r="F1199" s="23" t="str">
        <f>HYPERLINK("https://www.spark-marketing.ru/Card/Lot/73753263", "Установка и поддержание в исправном состоянии охранной сигнализации, в том числе систем внутреннего видеонаблюдения")</f>
        <v>Установка и поддержание в исправном состоянии охранной сигнализации, в том числе систем внутреннего видеонаблюдения</v>
      </c>
      <c r="G1199" s="22" t="s">
        <v>50</v>
      </c>
      <c r="H1199" s="22" t="s">
        <v>2088</v>
      </c>
      <c r="I1199" s="26">
        <v>43728.647916666698</v>
      </c>
      <c r="J1199" s="23" t="str">
        <f>HYPERLINK("https://www.spark-marketing.ru/Card/Person/700836", "ООО НПО ""ИНВЕСТ""")</f>
        <v>ООО НПО "ИНВЕСТ"</v>
      </c>
      <c r="K1199" s="24" t="s">
        <v>1893</v>
      </c>
      <c r="L1199" s="28" t="s">
        <v>52</v>
      </c>
      <c r="M1199" s="28" t="s">
        <v>52</v>
      </c>
      <c r="N1199" s="28" t="s">
        <v>52</v>
      </c>
    </row>
    <row r="1200" spans="1:14" hidden="1" outlineLevel="1" x14ac:dyDescent="0.15">
      <c r="A1200" s="23" t="str">
        <f>HYPERLINK("https://www.spark-marketing.ru/Card/Person/1027863", "ГБУК МО ""МУЗЕЙ НАРОДНЫХ ХУДОЖЕСТВЕННЫХ ПРОМЫСЛОВ""")</f>
        <v>ГБУК МО "МУЗЕЙ НАРОДНЫХ ХУДОЖЕСТВЕННЫХ ПРОМЫСЛОВ"</v>
      </c>
      <c r="B1200" s="24" t="s">
        <v>2086</v>
      </c>
      <c r="C1200" s="25">
        <v>500000</v>
      </c>
      <c r="D1200" s="22" t="s">
        <v>2087</v>
      </c>
      <c r="E1200" s="22" t="s">
        <v>103</v>
      </c>
      <c r="F1200" s="23" t="str">
        <f>HYPERLINK("https://www.spark-marketing.ru/Card/Lot/73753263", "Установка и поддержание в исправном состоянии охранной сигнализации, в том числе систем внутреннего видеонаблюдения")</f>
        <v>Установка и поддержание в исправном состоянии охранной сигнализации, в том числе систем внутреннего видеонаблюдения</v>
      </c>
      <c r="G1200" s="22" t="s">
        <v>50</v>
      </c>
      <c r="H1200" s="22" t="s">
        <v>2088</v>
      </c>
      <c r="I1200" s="26">
        <v>43728.647916666698</v>
      </c>
      <c r="J1200" s="23" t="str">
        <f>HYPERLINK("https://www.spark-marketing.ru/Card/Person/104943", "ООО ЧОО ""СМАРТ-ОХРАНА""")</f>
        <v>ООО ЧОО "СМАРТ-ОХРАНА"</v>
      </c>
      <c r="K1200" s="24" t="s">
        <v>1894</v>
      </c>
      <c r="L1200" s="28" t="s">
        <v>52</v>
      </c>
      <c r="M1200" s="28" t="s">
        <v>52</v>
      </c>
      <c r="N1200" s="28" t="s">
        <v>52</v>
      </c>
    </row>
    <row r="1201" spans="1:14" x14ac:dyDescent="0.15">
      <c r="A1201" s="23" t="str">
        <f>HYPERLINK("https://www.spark-marketing.ru/Card/Person/4347036", "ГПОУ ТО ""ЩПК""")</f>
        <v>ГПОУ ТО "ЩПК"</v>
      </c>
      <c r="B1201" s="24" t="s">
        <v>2089</v>
      </c>
      <c r="C1201" s="25">
        <v>514095.93</v>
      </c>
      <c r="D1201" s="22" t="s">
        <v>2090</v>
      </c>
      <c r="E1201" s="22" t="s">
        <v>59</v>
      </c>
      <c r="F1201" s="23" t="str">
        <f>HYPERLINK("https://www.spark-marketing.ru/Card/Lot/73753066", "Выполнение работ по монтажу системы внешнего видеонаблюдения в учебных корпусах ГПОУ ТО ""ЩПК"" по адресам: Тульская область, г.Щекино,ул.Ленина,д.34 и Тульская область,г.Щекино,ул.Ленина,д.36")</f>
        <v>Выполнение работ по монтажу системы внешнего видеонаблюдения в учебных корпусах ГПОУ ТО "ЩПК" по адресам: Тульская область, г.Щекино,ул.Ленина,д.34 и Тульская область,г.Щекино,ул.Ленина,д.36</v>
      </c>
      <c r="G1201" s="22" t="s">
        <v>818</v>
      </c>
      <c r="H1201" s="22" t="s">
        <v>875</v>
      </c>
      <c r="I1201" s="26">
        <v>43728.652777777803</v>
      </c>
      <c r="J1201" s="23" t="str">
        <f>HYPERLINK("https://www.spark-marketing.ru/Card/Person/246831", "ООО ""ГЛОБАЛТЕК""")</f>
        <v>ООО "ГЛОБАЛТЕК"</v>
      </c>
      <c r="K1201" s="24" t="s">
        <v>1027</v>
      </c>
      <c r="L1201" s="22" t="s">
        <v>10</v>
      </c>
      <c r="M1201" s="28" t="s">
        <v>52</v>
      </c>
      <c r="N1201" s="28" t="s">
        <v>52</v>
      </c>
    </row>
    <row r="1202" spans="1:14" x14ac:dyDescent="0.15">
      <c r="A1202" s="23" t="str">
        <f>HYPERLINK("https://www.spark-marketing.ru/Card/Person/621", "ОТДЕЛ МВД РОССИИ ПО ГОРОДУ САЛАВАТУ")</f>
        <v>ОТДЕЛ МВД РОССИИ ПО ГОРОДУ САЛАВАТУ</v>
      </c>
      <c r="B1202" s="24" t="s">
        <v>2091</v>
      </c>
      <c r="C1202" s="25">
        <v>49500</v>
      </c>
      <c r="D1202" s="22" t="s">
        <v>2092</v>
      </c>
      <c r="E1202" s="22" t="s">
        <v>53</v>
      </c>
      <c r="F1202" s="23" t="str">
        <f>HYPERLINK("https://www.spark-marketing.ru/Card/Lot/73740168", "оказание услуг по техническому обслуживанию систем охранной сигнализации, на объектах Отдела МВД России по городу Салавату на 2021 год")</f>
        <v>оказание услуг по техническому обслуживанию систем охранной сигнализации, на объектах Отдела МВД России по городу Салавату на 2021 год</v>
      </c>
      <c r="G1202" s="22" t="s">
        <v>100</v>
      </c>
      <c r="H1202" s="22" t="s">
        <v>2093</v>
      </c>
      <c r="I1202" s="26">
        <v>43728.646747685198</v>
      </c>
      <c r="J1202" s="28" t="s">
        <v>52</v>
      </c>
      <c r="K1202" s="28" t="s">
        <v>52</v>
      </c>
      <c r="L1202" s="28" t="s">
        <v>52</v>
      </c>
      <c r="M1202" s="28" t="s">
        <v>52</v>
      </c>
      <c r="N1202" s="28" t="s">
        <v>52</v>
      </c>
    </row>
    <row r="1203" spans="1:14" x14ac:dyDescent="0.15">
      <c r="A1203" s="23" t="str">
        <f>HYPERLINK("https://www.spark-marketing.ru/Card/Person/5888558", "ГБХР ФКУ ""ЦОУМТС МВД России""")</f>
        <v>ГБХР ФКУ "ЦОУМТС МВД России"</v>
      </c>
      <c r="B1203" s="24" t="s">
        <v>954</v>
      </c>
      <c r="C1203" s="25">
        <v>2943.6</v>
      </c>
      <c r="D1203" s="22" t="s">
        <v>2094</v>
      </c>
      <c r="E1203" s="22" t="s">
        <v>84</v>
      </c>
      <c r="F1203" s="23" t="str">
        <f>HYPERLINK("https://www.spark-marketing.ru/Card/Lot/73715365", "монтаж и обслуживание видеонаблюдения, 3 шт")</f>
        <v>монтаж и обслуживание видеонаблюдения, 3 шт</v>
      </c>
      <c r="G1203" s="22" t="s">
        <v>956</v>
      </c>
      <c r="H1203" s="22" t="s">
        <v>2095</v>
      </c>
      <c r="I1203" s="26">
        <v>43728.615104166704</v>
      </c>
      <c r="J1203" s="28" t="s">
        <v>52</v>
      </c>
      <c r="K1203" s="28" t="s">
        <v>52</v>
      </c>
      <c r="L1203" s="28" t="s">
        <v>52</v>
      </c>
      <c r="M1203" s="28" t="s">
        <v>52</v>
      </c>
      <c r="N1203" s="28" t="s">
        <v>52</v>
      </c>
    </row>
    <row r="1204" spans="1:14" x14ac:dyDescent="0.15">
      <c r="A1204" s="23" t="str">
        <f>HYPERLINK("https://www.spark-marketing.ru/Card/Person/6450322", "ЗАКАЗЧИК РП БЕЛАРУСЬ")</f>
        <v>ЗАКАЗЧИК РП БЕЛАРУСЬ</v>
      </c>
      <c r="B1204" s="28" t="s">
        <v>52</v>
      </c>
      <c r="C1204" s="28" t="s">
        <v>52</v>
      </c>
      <c r="D1204" s="22" t="s">
        <v>2096</v>
      </c>
      <c r="E1204" s="22" t="s">
        <v>53</v>
      </c>
      <c r="F1204" s="23" t="str">
        <f>HYPERLINK("https://www.spark-marketing.ru/Card/Lot/73743562", "Строительно-монтажные работы по объекту: «СтПЦ-1. Модернизация агрегата бортовой бронзированной проволоки №2. 2-я очередь. 1-й пусковой комплекс»")</f>
        <v>Строительно-монтажные работы по объекту: «СтПЦ-1. Модернизация агрегата бортовой бронзированной проволоки №2. 2-я очередь. 1-й пусковой комплекс»</v>
      </c>
      <c r="G1204" s="22" t="s">
        <v>52</v>
      </c>
      <c r="H1204" s="22" t="s">
        <v>52</v>
      </c>
      <c r="I1204" s="26">
        <v>43728</v>
      </c>
      <c r="J1204" s="28" t="s">
        <v>52</v>
      </c>
      <c r="K1204" s="28" t="s">
        <v>52</v>
      </c>
      <c r="L1204" s="28" t="s">
        <v>52</v>
      </c>
      <c r="M1204" s="28" t="s">
        <v>52</v>
      </c>
      <c r="N1204" s="28" t="s">
        <v>52</v>
      </c>
    </row>
    <row r="1205" spans="1:14" x14ac:dyDescent="0.15">
      <c r="A1205" s="23" t="str">
        <f>HYPERLINK("https://www.spark-marketing.ru/Card/Person/6450322", "ЗАКАЗЧИК РП БЕЛАРУСЬ")</f>
        <v>ЗАКАЗЧИК РП БЕЛАРУСЬ</v>
      </c>
      <c r="B1205" s="28" t="s">
        <v>52</v>
      </c>
      <c r="C1205" s="28" t="s">
        <v>52</v>
      </c>
      <c r="D1205" s="22" t="s">
        <v>2096</v>
      </c>
      <c r="E1205" s="22" t="s">
        <v>53</v>
      </c>
      <c r="F1205" s="23" t="str">
        <f>HYPERLINK("https://www.spark-marketing.ru/Card/Lot/73743561", "Строительно-монтажные работы по объекту: ""ЭСПЦ-2. Установка дополнительной видеокамеры шлакового проема ДСП-3""")</f>
        <v>Строительно-монтажные работы по объекту: "ЭСПЦ-2. Установка дополнительной видеокамеры шлакового проема ДСП-3"</v>
      </c>
      <c r="G1205" s="22" t="s">
        <v>52</v>
      </c>
      <c r="H1205" s="22" t="s">
        <v>52</v>
      </c>
      <c r="I1205" s="26">
        <v>43728</v>
      </c>
      <c r="J1205" s="28" t="s">
        <v>52</v>
      </c>
      <c r="K1205" s="28" t="s">
        <v>52</v>
      </c>
      <c r="L1205" s="28" t="s">
        <v>52</v>
      </c>
      <c r="M1205" s="28" t="s">
        <v>52</v>
      </c>
      <c r="N1205" s="28" t="s">
        <v>52</v>
      </c>
    </row>
    <row r="1206" spans="1:14" x14ac:dyDescent="0.15">
      <c r="A1206" s="23" t="str">
        <f>HYPERLINK("https://www.spark-marketing.ru/Card/Person/93879", "МУ ДС ""ЕГОРЬЕВСК""")</f>
        <v>МУ ДС "ЕГОРЬЕВСК"</v>
      </c>
      <c r="B1206" s="24" t="s">
        <v>2097</v>
      </c>
      <c r="C1206" s="25">
        <v>49000</v>
      </c>
      <c r="D1206" s="22" t="s">
        <v>2098</v>
      </c>
      <c r="E1206" s="22" t="s">
        <v>2099</v>
      </c>
      <c r="F1206" s="23" t="str">
        <f>HYPERLINK("https://www.spark-marketing.ru/Card/Lot/73725727", "Оказание услуг по оснащению объектов транспортной инфраструктуры техническими средствами обеспечения транспортной безопасности транспортной инфраструктуры (Согласно ТЗ и договора)")</f>
        <v>Оказание услуг по оснащению объектов транспортной инфраструктуры техническими средствами обеспечения транспортной безопасности транспортной инфраструктуры (Согласно ТЗ и договора)</v>
      </c>
      <c r="G1206" s="22" t="s">
        <v>50</v>
      </c>
      <c r="H1206" s="22" t="s">
        <v>239</v>
      </c>
      <c r="I1206" s="26">
        <v>43728.6069444444</v>
      </c>
      <c r="J1206" s="28" t="s">
        <v>52</v>
      </c>
      <c r="K1206" s="28" t="s">
        <v>52</v>
      </c>
      <c r="L1206" s="28" t="s">
        <v>52</v>
      </c>
      <c r="M1206" s="28" t="s">
        <v>52</v>
      </c>
      <c r="N1206" s="28" t="s">
        <v>52</v>
      </c>
    </row>
    <row r="1207" spans="1:14" x14ac:dyDescent="0.15">
      <c r="A1207" s="23" t="str">
        <f>HYPERLINK("https://www.spark-marketing.ru/Card/Person/4453826", "ПАО ""САРАТОВСКИЙ НПЗ""")</f>
        <v>ПАО "САРАТОВСКИЙ НПЗ"</v>
      </c>
      <c r="B1207" s="24" t="s">
        <v>2100</v>
      </c>
      <c r="C1207" s="28" t="s">
        <v>52</v>
      </c>
      <c r="D1207" s="22" t="s">
        <v>2101</v>
      </c>
      <c r="E1207" s="22" t="s">
        <v>2102</v>
      </c>
      <c r="F1207" s="23" t="str">
        <f>HYPERLINK("https://www.spark-marketing.ru/Card/Lot/73994122", "«Оказание услуг по техническому обслуживанию схемы электроснабжения систем охранной сигнализации, видеонаблюдения и инженерно-технического оборудования ИСБ периметра ПАО «Саратовский НПЗ» в 2020-2022 годах»")</f>
        <v>«Оказание услуг по техническому обслуживанию схемы электроснабжения систем охранной сигнализации, видеонаблюдения и инженерно-технического оборудования ИСБ периметра ПАО «Саратовский НПЗ» в 2020-2022 годах»</v>
      </c>
      <c r="G1207" s="22" t="s">
        <v>80</v>
      </c>
      <c r="H1207" s="22" t="s">
        <v>81</v>
      </c>
      <c r="I1207" s="26">
        <v>43728.6069444444</v>
      </c>
      <c r="J1207" s="28" t="s">
        <v>52</v>
      </c>
      <c r="K1207" s="28" t="s">
        <v>52</v>
      </c>
      <c r="L1207" s="28" t="s">
        <v>52</v>
      </c>
      <c r="M1207" s="28" t="s">
        <v>52</v>
      </c>
      <c r="N1207" s="28" t="s">
        <v>52</v>
      </c>
    </row>
    <row r="1208" spans="1:14" x14ac:dyDescent="0.15">
      <c r="A1208" s="23" t="str">
        <f>HYPERLINK("https://www.spark-marketing.ru/Card/Person/153224", "МДОУ - ДЕТСКИЙ САД № 47 ""РАДУГА""")</f>
        <v>МДОУ - ДЕТСКИЙ САД № 47 "РАДУГА"</v>
      </c>
      <c r="B1208" s="24" t="s">
        <v>2103</v>
      </c>
      <c r="C1208" s="25">
        <v>47758.04</v>
      </c>
      <c r="D1208" s="22" t="s">
        <v>2104</v>
      </c>
      <c r="E1208" s="22" t="s">
        <v>107</v>
      </c>
      <c r="F1208" s="23" t="str">
        <f>HYPERLINK("https://www.spark-marketing.ru/Card/Lot/73708473", "Услуги по установке системы видеодомофонной связи")</f>
        <v>Услуги по установке системы видеодомофонной связи</v>
      </c>
      <c r="G1208" s="22" t="s">
        <v>50</v>
      </c>
      <c r="H1208" s="22" t="s">
        <v>299</v>
      </c>
      <c r="I1208" s="26">
        <v>43728.575914351903</v>
      </c>
      <c r="J1208" s="28" t="s">
        <v>52</v>
      </c>
      <c r="K1208" s="28" t="s">
        <v>52</v>
      </c>
      <c r="L1208" s="28" t="s">
        <v>52</v>
      </c>
      <c r="M1208" s="28" t="s">
        <v>52</v>
      </c>
      <c r="N1208" s="28" t="s">
        <v>52</v>
      </c>
    </row>
    <row r="1209" spans="1:14" x14ac:dyDescent="0.15">
      <c r="A1209" s="23" t="str">
        <f>HYPERLINK("https://www.spark-marketing.ru/Card/Person/4431", "ФКУЗ ""ГКГ МВД РОССИИ""")</f>
        <v>ФКУЗ "ГКГ МВД РОССИИ"</v>
      </c>
      <c r="B1209" s="24" t="s">
        <v>1182</v>
      </c>
      <c r="C1209" s="25">
        <v>12107.64</v>
      </c>
      <c r="D1209" s="22" t="s">
        <v>2105</v>
      </c>
      <c r="E1209" s="22" t="s">
        <v>53</v>
      </c>
      <c r="F1209" s="23" t="str">
        <f>HYPERLINK("https://www.spark-marketing.ru/Card/Lot/73705313", "ТО комплекса технических средств охраны")</f>
        <v>ТО комплекса технических средств охраны</v>
      </c>
      <c r="G1209" s="22" t="s">
        <v>55</v>
      </c>
      <c r="H1209" s="22" t="s">
        <v>55</v>
      </c>
      <c r="I1209" s="26">
        <v>43728.582129629598</v>
      </c>
      <c r="J1209" s="28" t="s">
        <v>52</v>
      </c>
      <c r="K1209" s="28" t="s">
        <v>52</v>
      </c>
      <c r="L1209" s="28" t="s">
        <v>52</v>
      </c>
      <c r="M1209" s="28" t="s">
        <v>52</v>
      </c>
      <c r="N1209" s="28" t="s">
        <v>52</v>
      </c>
    </row>
    <row r="1210" spans="1:14" x14ac:dyDescent="0.15">
      <c r="A1210" s="23" t="str">
        <f>HYPERLINK("https://www.spark-marketing.ru/Card/Person/4857912", "МЕЖРЕГИОНАЛЬНЫЙ ФИЛИАЛ ФКУ ""ЦЕНТР ПО ОБЕСПЕЧЕНИЮ ДЕЯТЕЛЬНОСТИ КАЗНАЧЕЙСТВА РОССИИ"" В Г. ХАБАРОВСКЕ")</f>
        <v>МЕЖРЕГИОНАЛЬНЫЙ ФИЛИАЛ ФКУ "ЦЕНТР ПО ОБЕСПЕЧЕНИЮ ДЕЯТЕЛЬНОСТИ КАЗНАЧЕЙСТВА РОССИИ" В Г. ХАБАРОВСКЕ</v>
      </c>
      <c r="B1210" s="24" t="s">
        <v>962</v>
      </c>
      <c r="C1210" s="25">
        <v>232257.6</v>
      </c>
      <c r="D1210" s="22" t="s">
        <v>2106</v>
      </c>
      <c r="E1210" s="22" t="s">
        <v>68</v>
      </c>
      <c r="F1210" s="23" t="str">
        <f>HYPERLINK("https://www.spark-marketing.ru/Card/Lot/73655136", "Оказание услуг пультовой охраны административных помещений отделов Управления Федерального казначейства по Республике Саха (Якутия)")</f>
        <v>Оказание услуг пультовой охраны административных помещений отделов Управления Федерального казначейства по Республике Саха (Якутия)</v>
      </c>
      <c r="G1210" s="22" t="s">
        <v>424</v>
      </c>
      <c r="H1210" s="22" t="s">
        <v>2107</v>
      </c>
      <c r="I1210" s="26">
        <v>43728.527777777803</v>
      </c>
      <c r="J1210" s="23" t="str">
        <f>HYPERLINK("https://www.spark-marketing.ru/Card/Person/4950820", "ФЛ ФГУП ОХРАНА ФЕДЕРАЛЬНОЙ СЛУЖБЫ ВОЙСК НАЦИОНАЛЬНОЙ ГВАРДИИ РФ ПО РП САХА")</f>
        <v>ФЛ ФГУП ОХРАНА ФЕДЕРАЛЬНОЙ СЛУЖБЫ ВОЙСК НАЦИОНАЛЬНОЙ ГВАРДИИ РФ ПО РП САХА</v>
      </c>
      <c r="K1210" s="24" t="s">
        <v>779</v>
      </c>
      <c r="L1210" s="28" t="s">
        <v>52</v>
      </c>
      <c r="M1210" s="28" t="s">
        <v>52</v>
      </c>
      <c r="N1210" s="28" t="s">
        <v>52</v>
      </c>
    </row>
    <row r="1211" spans="1:14" x14ac:dyDescent="0.15">
      <c r="A1211" s="23" t="str">
        <f t="shared" ref="A1211:A1216" si="38">HYPERLINK("https://www.spark-marketing.ru/Card/Person/1683079", "ООО ""ЧОП ""КЕННАРД""")</f>
        <v>ООО "ЧОП "КЕННАРД"</v>
      </c>
      <c r="B1211" s="24" t="s">
        <v>1949</v>
      </c>
      <c r="C1211" s="25">
        <v>1779</v>
      </c>
      <c r="D1211" s="22" t="s">
        <v>2108</v>
      </c>
      <c r="E1211" s="22" t="s">
        <v>53</v>
      </c>
      <c r="F1211" s="23" t="str">
        <f>HYPERLINK("https://www.spark-marketing.ru/Card/Lot/73773762", "Блок питания для системного блока 500w")</f>
        <v>Блок питания для системного блока 500w</v>
      </c>
      <c r="G1211" s="22" t="s">
        <v>204</v>
      </c>
      <c r="H1211" s="22" t="s">
        <v>303</v>
      </c>
      <c r="I1211" s="26">
        <v>43728.46125</v>
      </c>
      <c r="J1211" s="28" t="s">
        <v>52</v>
      </c>
      <c r="K1211" s="28" t="s">
        <v>52</v>
      </c>
      <c r="L1211" s="28" t="s">
        <v>52</v>
      </c>
      <c r="M1211" s="28" t="s">
        <v>52</v>
      </c>
      <c r="N1211" s="28" t="s">
        <v>52</v>
      </c>
    </row>
    <row r="1212" spans="1:14" x14ac:dyDescent="0.15">
      <c r="A1212" s="23" t="str">
        <f t="shared" si="38"/>
        <v>ООО "ЧОП "КЕННАРД"</v>
      </c>
      <c r="B1212" s="24" t="s">
        <v>1949</v>
      </c>
      <c r="C1212" s="25">
        <v>10322</v>
      </c>
      <c r="D1212" s="22" t="s">
        <v>2108</v>
      </c>
      <c r="E1212" s="22" t="s">
        <v>53</v>
      </c>
      <c r="F1212" s="23" t="str">
        <f>HYPERLINK("https://www.spark-marketing.ru/Card/Lot/73773764", "Извещатель охранный оптико-электронный линейный AX-200PLUS")</f>
        <v>Извещатель охранный оптико-электронный линейный AX-200PLUS</v>
      </c>
      <c r="G1212" s="22" t="s">
        <v>204</v>
      </c>
      <c r="H1212" s="22" t="s">
        <v>303</v>
      </c>
      <c r="I1212" s="26">
        <v>43728.46125</v>
      </c>
      <c r="J1212" s="28" t="s">
        <v>52</v>
      </c>
      <c r="K1212" s="28" t="s">
        <v>52</v>
      </c>
      <c r="L1212" s="28" t="s">
        <v>52</v>
      </c>
      <c r="M1212" s="28" t="s">
        <v>52</v>
      </c>
      <c r="N1212" s="28" t="s">
        <v>52</v>
      </c>
    </row>
    <row r="1213" spans="1:14" x14ac:dyDescent="0.15">
      <c r="A1213" s="23" t="str">
        <f t="shared" si="38"/>
        <v>ООО "ЧОП "КЕННАРД"</v>
      </c>
      <c r="B1213" s="24" t="s">
        <v>1949</v>
      </c>
      <c r="C1213" s="25">
        <v>34567</v>
      </c>
      <c r="D1213" s="22" t="s">
        <v>2108</v>
      </c>
      <c r="E1213" s="22" t="s">
        <v>53</v>
      </c>
      <c r="F1213" s="23" t="str">
        <f>HYPERLINK("https://www.spark-marketing.ru/Card/Lot/73773760", "Видеокамера HIKVISION DS-2DE4225W-DE")</f>
        <v>Видеокамера HIKVISION DS-2DE4225W-DE</v>
      </c>
      <c r="G1213" s="22" t="s">
        <v>204</v>
      </c>
      <c r="H1213" s="22" t="s">
        <v>303</v>
      </c>
      <c r="I1213" s="26">
        <v>43728.46125</v>
      </c>
      <c r="J1213" s="28" t="s">
        <v>52</v>
      </c>
      <c r="K1213" s="28" t="s">
        <v>52</v>
      </c>
      <c r="L1213" s="28" t="s">
        <v>52</v>
      </c>
      <c r="M1213" s="28" t="s">
        <v>52</v>
      </c>
      <c r="N1213" s="28" t="s">
        <v>52</v>
      </c>
    </row>
    <row r="1214" spans="1:14" x14ac:dyDescent="0.15">
      <c r="A1214" s="23" t="str">
        <f t="shared" si="38"/>
        <v>ООО "ЧОП "КЕННАРД"</v>
      </c>
      <c r="B1214" s="24" t="s">
        <v>1949</v>
      </c>
      <c r="C1214" s="25">
        <v>6008</v>
      </c>
      <c r="D1214" s="22" t="s">
        <v>2108</v>
      </c>
      <c r="E1214" s="22" t="s">
        <v>53</v>
      </c>
      <c r="F1214" s="23" t="str">
        <f>HYPERLINK("https://www.spark-marketing.ru/Card/Lot/73773763", "Крепление на балку с монтажной коробкой DS-1604ZJ-BOX-POLE")</f>
        <v>Крепление на балку с монтажной коробкой DS-1604ZJ-BOX-POLE</v>
      </c>
      <c r="G1214" s="22" t="s">
        <v>204</v>
      </c>
      <c r="H1214" s="22" t="s">
        <v>303</v>
      </c>
      <c r="I1214" s="26">
        <v>43728.46125</v>
      </c>
      <c r="J1214" s="28" t="s">
        <v>52</v>
      </c>
      <c r="K1214" s="28" t="s">
        <v>52</v>
      </c>
      <c r="L1214" s="28" t="s">
        <v>52</v>
      </c>
      <c r="M1214" s="28" t="s">
        <v>52</v>
      </c>
      <c r="N1214" s="28" t="s">
        <v>52</v>
      </c>
    </row>
    <row r="1215" spans="1:14" x14ac:dyDescent="0.15">
      <c r="A1215" s="23" t="str">
        <f t="shared" si="38"/>
        <v>ООО "ЧОП "КЕННАРД"</v>
      </c>
      <c r="B1215" s="24" t="s">
        <v>1949</v>
      </c>
      <c r="C1215" s="25">
        <v>6101</v>
      </c>
      <c r="D1215" s="22" t="s">
        <v>2108</v>
      </c>
      <c r="E1215" s="22" t="s">
        <v>53</v>
      </c>
      <c r="F1215" s="23" t="str">
        <f>HYPERLINK("https://www.spark-marketing.ru/Card/Lot/73773758", "PoE- инжектор 30Вт, предназначен для питания постоянным напряжением 57В сетевых устройств с повышенным потреблением тока, до 1,25А, по кабелю «витая пара».")</f>
        <v>PoE- инжектор 30Вт, предназначен для питания постоянным напряжением 57В сетевых устройств с повышенным потреблением тока, до 1,25А, по кабелю «витая пара».</v>
      </c>
      <c r="G1215" s="22" t="s">
        <v>204</v>
      </c>
      <c r="H1215" s="22" t="s">
        <v>303</v>
      </c>
      <c r="I1215" s="26">
        <v>43728.46125</v>
      </c>
      <c r="J1215" s="28" t="s">
        <v>52</v>
      </c>
      <c r="K1215" s="28" t="s">
        <v>52</v>
      </c>
      <c r="L1215" s="28" t="s">
        <v>52</v>
      </c>
      <c r="M1215" s="28" t="s">
        <v>52</v>
      </c>
      <c r="N1215" s="28" t="s">
        <v>52</v>
      </c>
    </row>
    <row r="1216" spans="1:14" x14ac:dyDescent="0.15">
      <c r="A1216" s="23" t="str">
        <f t="shared" si="38"/>
        <v>ООО "ЧОП "КЕННАРД"</v>
      </c>
      <c r="B1216" s="24" t="s">
        <v>1949</v>
      </c>
      <c r="C1216" s="25">
        <v>3220</v>
      </c>
      <c r="D1216" s="22" t="s">
        <v>2108</v>
      </c>
      <c r="E1216" s="22" t="s">
        <v>53</v>
      </c>
      <c r="F1216" s="23" t="str">
        <f>HYPERLINK("https://www.spark-marketing.ru/Card/Lot/73773761", "Вентилятор охлаждения Ebmpapst DV 4650-470 230V-50HZ 19w")</f>
        <v>Вентилятор охлаждения Ebmpapst DV 4650-470 230V-50HZ 19w</v>
      </c>
      <c r="G1216" s="22" t="s">
        <v>204</v>
      </c>
      <c r="H1216" s="22" t="s">
        <v>303</v>
      </c>
      <c r="I1216" s="26">
        <v>43728.46125</v>
      </c>
      <c r="J1216" s="28" t="s">
        <v>52</v>
      </c>
      <c r="K1216" s="28" t="s">
        <v>52</v>
      </c>
      <c r="L1216" s="28" t="s">
        <v>52</v>
      </c>
      <c r="M1216" s="28" t="s">
        <v>52</v>
      </c>
      <c r="N1216" s="28" t="s">
        <v>52</v>
      </c>
    </row>
    <row r="1217" spans="1:14" x14ac:dyDescent="0.15">
      <c r="A1217" s="23" t="str">
        <f>HYPERLINK("https://www.spark-marketing.ru/Card/Person/9427", "ГКОУ МО ХОТЬКОВСКАЯ ШКОЛА-ИНТЕРНАТ")</f>
        <v>ГКОУ МО ХОТЬКОВСКАЯ ШКОЛА-ИНТЕРНАТ</v>
      </c>
      <c r="B1217" s="24" t="s">
        <v>2109</v>
      </c>
      <c r="C1217" s="25">
        <v>500000</v>
      </c>
      <c r="D1217" s="22" t="s">
        <v>2110</v>
      </c>
      <c r="E1217" s="22" t="s">
        <v>208</v>
      </c>
      <c r="F1217" s="23" t="str">
        <f>HYPERLINK("https://www.spark-marketing.ru/Card/Lot/73744091", "Закупка и установка системы контроля управления доступом")</f>
        <v>Закупка и установка системы контроля управления доступом</v>
      </c>
      <c r="G1217" s="22" t="s">
        <v>50</v>
      </c>
      <c r="H1217" s="22" t="s">
        <v>326</v>
      </c>
      <c r="I1217" s="26">
        <v>43728.480555555601</v>
      </c>
      <c r="J1217" s="28" t="s">
        <v>52</v>
      </c>
      <c r="K1217" s="28" t="s">
        <v>52</v>
      </c>
      <c r="L1217" s="28" t="s">
        <v>52</v>
      </c>
      <c r="M1217" s="28" t="s">
        <v>52</v>
      </c>
      <c r="N1217" s="28" t="s">
        <v>52</v>
      </c>
    </row>
    <row r="1218" spans="1:14" hidden="1" outlineLevel="1" x14ac:dyDescent="0.2">
      <c r="A1218" s="23" t="str">
        <f>HYPERLINK("https://www.spark-marketing.ru/Card/Person/9427", "ГКОУ МО ХОТЬКОВСКАЯ ШКОЛА-ИНТЕРНАТ")</f>
        <v>ГКОУ МО ХОТЬКОВСКАЯ ШКОЛА-ИНТЕРНАТ</v>
      </c>
      <c r="B1218" s="24" t="s">
        <v>2109</v>
      </c>
      <c r="C1218" s="25">
        <v>500000</v>
      </c>
      <c r="D1218" s="22" t="s">
        <v>2110</v>
      </c>
      <c r="E1218" s="22" t="s">
        <v>208</v>
      </c>
      <c r="F1218" s="23" t="str">
        <f>HYPERLINK("https://www.spark-marketing.ru/Card/Lot/73744091", "Закупка и установка системы контроля управления доступом")</f>
        <v>Закупка и установка системы контроля управления доступом</v>
      </c>
      <c r="G1218" s="22" t="s">
        <v>50</v>
      </c>
      <c r="H1218" s="22" t="s">
        <v>326</v>
      </c>
      <c r="I1218" s="26">
        <v>43728.480555555601</v>
      </c>
      <c r="J1218" s="23" t="str">
        <f>HYPERLINK("https://www.spark-marketing.ru/Card/Person/412116", "Русляков Дмитрий Николаевич")</f>
        <v>Русляков Дмитрий Николаевич</v>
      </c>
      <c r="K1218" s="24" t="s">
        <v>2111</v>
      </c>
      <c r="L1218" s="28" t="s">
        <v>52</v>
      </c>
      <c r="M1218" s="25">
        <v>447500</v>
      </c>
      <c r="N1218" s="27">
        <v>0.105</v>
      </c>
    </row>
    <row r="1219" spans="1:14" ht="12.75" hidden="1" outlineLevel="1" x14ac:dyDescent="0.2">
      <c r="A1219" s="23" t="str">
        <f>HYPERLINK("https://www.spark-marketing.ru/Card/Person/9427", "ГКОУ МО ХОТЬКОВСКАЯ ШКОЛА-ИНТЕРНАТ")</f>
        <v>ГКОУ МО ХОТЬКОВСКАЯ ШКОЛА-ИНТЕРНАТ</v>
      </c>
      <c r="B1219" s="24" t="s">
        <v>2109</v>
      </c>
      <c r="C1219" s="25">
        <v>500000</v>
      </c>
      <c r="D1219" s="22" t="s">
        <v>2110</v>
      </c>
      <c r="E1219" s="22" t="s">
        <v>208</v>
      </c>
      <c r="F1219" s="23" t="str">
        <f>HYPERLINK("https://www.spark-marketing.ru/Card/Lot/73744091", "Закупка и установка системы контроля управления доступом")</f>
        <v>Закупка и установка системы контроля управления доступом</v>
      </c>
      <c r="G1219" s="22" t="s">
        <v>50</v>
      </c>
      <c r="H1219" s="22" t="s">
        <v>326</v>
      </c>
      <c r="I1219" s="26">
        <v>43728.480555555601</v>
      </c>
      <c r="J1219" s="23" t="str">
        <f>HYPERLINK("https://www.spark-marketing.ru/Card/Person/1307264", "ООО ""СУРСИС""")</f>
        <v>ООО "СУРСИС"</v>
      </c>
      <c r="K1219" s="24" t="s">
        <v>2112</v>
      </c>
      <c r="L1219" s="22" t="s">
        <v>10</v>
      </c>
      <c r="M1219" s="25">
        <v>445000</v>
      </c>
      <c r="N1219" s="27">
        <v>0.11</v>
      </c>
    </row>
    <row r="1220" spans="1:14" x14ac:dyDescent="0.15">
      <c r="A1220" s="23" t="str">
        <f>HYPERLINK("https://www.spark-marketing.ru/Card/Person/1683079", "ООО ""ЧОП ""КЕННАРД""")</f>
        <v>ООО "ЧОП "КЕННАРД"</v>
      </c>
      <c r="B1220" s="24" t="s">
        <v>1949</v>
      </c>
      <c r="C1220" s="25">
        <v>22626</v>
      </c>
      <c r="D1220" s="22" t="s">
        <v>2108</v>
      </c>
      <c r="E1220" s="22" t="s">
        <v>53</v>
      </c>
      <c r="F1220" s="23" t="str">
        <f>HYPERLINK("https://www.spark-marketing.ru/Card/Lot/73773759", "Угловой кронштейн с монтажной коробкой DS-1604ZJ-BOX-CORNER")</f>
        <v>Угловой кронштейн с монтажной коробкой DS-1604ZJ-BOX-CORNER</v>
      </c>
      <c r="G1220" s="22" t="s">
        <v>204</v>
      </c>
      <c r="H1220" s="22" t="s">
        <v>303</v>
      </c>
      <c r="I1220" s="26">
        <v>43728.46125</v>
      </c>
      <c r="J1220" s="28" t="s">
        <v>52</v>
      </c>
      <c r="K1220" s="28" t="s">
        <v>52</v>
      </c>
      <c r="L1220" s="28" t="s">
        <v>52</v>
      </c>
      <c r="M1220" s="28" t="s">
        <v>52</v>
      </c>
      <c r="N1220" s="28" t="s">
        <v>52</v>
      </c>
    </row>
    <row r="1221" spans="1:14" x14ac:dyDescent="0.15">
      <c r="A1221" s="23" t="str">
        <f>HYPERLINK("https://www.spark-marketing.ru/Card/Person/1683079", "ООО ""ЧОП ""КЕННАРД""")</f>
        <v>ООО "ЧОП "КЕННАРД"</v>
      </c>
      <c r="B1221" s="24" t="s">
        <v>1949</v>
      </c>
      <c r="C1221" s="25">
        <v>31000</v>
      </c>
      <c r="D1221" s="22" t="s">
        <v>2108</v>
      </c>
      <c r="E1221" s="22" t="s">
        <v>53</v>
      </c>
      <c r="F1221" s="23" t="str">
        <f>HYPERLINK("https://www.spark-marketing.ru/Card/Lot/73773756", "Видеокамера HIKVISION DS-2CE19U8T-AIT3Z")</f>
        <v>Видеокамера HIKVISION DS-2CE19U8T-AIT3Z</v>
      </c>
      <c r="G1221" s="22" t="s">
        <v>204</v>
      </c>
      <c r="H1221" s="22" t="s">
        <v>303</v>
      </c>
      <c r="I1221" s="26">
        <v>43728.46125</v>
      </c>
      <c r="J1221" s="28" t="s">
        <v>52</v>
      </c>
      <c r="K1221" s="28" t="s">
        <v>52</v>
      </c>
      <c r="L1221" s="28" t="s">
        <v>52</v>
      </c>
      <c r="M1221" s="28" t="s">
        <v>52</v>
      </c>
      <c r="N1221" s="28" t="s">
        <v>52</v>
      </c>
    </row>
    <row r="1222" spans="1:14" x14ac:dyDescent="0.15">
      <c r="A1222" s="23" t="str">
        <f t="shared" ref="A1222:A1227" si="39">HYPERLINK("https://www.spark-marketing.ru/Card/Person/2524", "МКУ ""УЭАЗ""")</f>
        <v>МКУ "УЭАЗ"</v>
      </c>
      <c r="B1222" s="24" t="s">
        <v>2113</v>
      </c>
      <c r="C1222" s="25">
        <v>288666.53999999998</v>
      </c>
      <c r="D1222" s="22" t="s">
        <v>2114</v>
      </c>
      <c r="E1222" s="22" t="s">
        <v>103</v>
      </c>
      <c r="F1222" s="23" t="str">
        <f t="shared" ref="F1222:F1227" si="40">HYPERLINK("https://www.spark-marketing.ru/Card/Lot/73701850", "ОКАЗАНИЕ УСЛУГ ПО СОДЕРЖАНИЮ, ЭКСПЛУАТАЦИИ, ТЕХНИЧЕСКОМУ ОБСЛУЖИВАНИЮ СИСТЕМ ОХРАННОЙ СИГНАЛИЗАЦИИ (ОС), ТРЕВОЖНОЙ СИГНАЛИЗАЦИИ (ТС), СИСТЕМ ВИДЕОНАБЛЮДЕНИЯ (СВН) И СИСТЕМЫ КОНТРОЛЯ И УПРАВЛЕНИЯ ДОСТУПОМ (СКУД) В АДМИНИСТРАТИВНЫХ ЗДАНИЯХ ГОРОДА ПЕРМИ...")</f>
        <v>ОКАЗАНИЕ УСЛУГ ПО СОДЕРЖАНИЮ, ЭКСПЛУАТАЦИИ, ТЕХНИЧЕСКОМУ ОБСЛУЖИВАНИЮ СИСТЕМ ОХРАННОЙ СИГНАЛИЗАЦИИ (ОС), ТРЕВОЖНОЙ СИГНАЛИЗАЦИИ (ТС), СИСТЕМ ВИДЕОНАБЛЮДЕНИЯ (СВН) И СИСТЕМЫ КОНТРОЛЯ И УПРАВЛЕНИЯ ДОСТУПОМ (СКУД) В АДМИНИСТРАТИВНЫХ ЗДАНИЯХ ГОРОДА ПЕРМИ...</v>
      </c>
      <c r="G1222" s="22" t="s">
        <v>391</v>
      </c>
      <c r="H1222" s="22" t="s">
        <v>391</v>
      </c>
      <c r="I1222" s="26">
        <v>43728.474305555603</v>
      </c>
      <c r="J1222" s="28" t="s">
        <v>52</v>
      </c>
      <c r="K1222" s="28" t="s">
        <v>52</v>
      </c>
      <c r="L1222" s="28" t="s">
        <v>52</v>
      </c>
      <c r="M1222" s="28" t="s">
        <v>52</v>
      </c>
      <c r="N1222" s="28" t="s">
        <v>52</v>
      </c>
    </row>
    <row r="1223" spans="1:14" hidden="1" outlineLevel="1" x14ac:dyDescent="0.2">
      <c r="A1223" s="23" t="str">
        <f t="shared" si="39"/>
        <v>МКУ "УЭАЗ"</v>
      </c>
      <c r="B1223" s="24" t="s">
        <v>2113</v>
      </c>
      <c r="C1223" s="25">
        <v>288666.53999999998</v>
      </c>
      <c r="D1223" s="22" t="s">
        <v>2114</v>
      </c>
      <c r="E1223" s="22" t="s">
        <v>103</v>
      </c>
      <c r="F1223" s="23" t="str">
        <f t="shared" si="40"/>
        <v>ОКАЗАНИЕ УСЛУГ ПО СОДЕРЖАНИЮ, ЭКСПЛУАТАЦИИ, ТЕХНИЧЕСКОМУ ОБСЛУЖИВАНИЮ СИСТЕМ ОХРАННОЙ СИГНАЛИЗАЦИИ (ОС), ТРЕВОЖНОЙ СИГНАЛИЗАЦИИ (ТС), СИСТЕМ ВИДЕОНАБЛЮДЕНИЯ (СВН) И СИСТЕМЫ КОНТРОЛЯ И УПРАВЛЕНИЯ ДОСТУПОМ (СКУД) В АДМИНИСТРАТИВНЫХ ЗДАНИЯХ ГОРОДА ПЕРМИ...</v>
      </c>
      <c r="G1223" s="22" t="s">
        <v>391</v>
      </c>
      <c r="H1223" s="22" t="s">
        <v>391</v>
      </c>
      <c r="I1223" s="26">
        <v>43728.474305555603</v>
      </c>
      <c r="J1223" s="23" t="str">
        <f>HYPERLINK("https://www.spark-marketing.ru/Card/Person/369727", "Абашев Андрей Сергеевич")</f>
        <v>Абашев Андрей Сергеевич</v>
      </c>
      <c r="K1223" s="24" t="s">
        <v>2115</v>
      </c>
      <c r="L1223" s="28" t="s">
        <v>52</v>
      </c>
      <c r="M1223" s="25">
        <v>207839.91</v>
      </c>
      <c r="N1223" s="27">
        <v>0.27999999584295432</v>
      </c>
    </row>
    <row r="1224" spans="1:14" ht="12.75" hidden="1" outlineLevel="1" x14ac:dyDescent="0.2">
      <c r="A1224" s="23" t="str">
        <f t="shared" si="39"/>
        <v>МКУ "УЭАЗ"</v>
      </c>
      <c r="B1224" s="24" t="s">
        <v>2113</v>
      </c>
      <c r="C1224" s="25">
        <v>288666.53999999998</v>
      </c>
      <c r="D1224" s="22" t="s">
        <v>2114</v>
      </c>
      <c r="E1224" s="22" t="s">
        <v>103</v>
      </c>
      <c r="F1224" s="23" t="str">
        <f t="shared" si="40"/>
        <v>ОКАЗАНИЕ УСЛУГ ПО СОДЕРЖАНИЮ, ЭКСПЛУАТАЦИИ, ТЕХНИЧЕСКОМУ ОБСЛУЖИВАНИЮ СИСТЕМ ОХРАННОЙ СИГНАЛИЗАЦИИ (ОС), ТРЕВОЖНОЙ СИГНАЛИЗАЦИИ (ТС), СИСТЕМ ВИДЕОНАБЛЮДЕНИЯ (СВН) И СИСТЕМЫ КОНТРОЛЯ И УПРАВЛЕНИЯ ДОСТУПОМ (СКУД) В АДМИНИСТРАТИВНЫХ ЗДАНИЯХ ГОРОДА ПЕРМИ...</v>
      </c>
      <c r="G1224" s="22" t="s">
        <v>391</v>
      </c>
      <c r="H1224" s="22" t="s">
        <v>391</v>
      </c>
      <c r="I1224" s="26">
        <v>43728.474305555603</v>
      </c>
      <c r="J1224" s="23" t="str">
        <f>HYPERLINK("https://www.spark-marketing.ru/Card/Person/358451", "ООО ""ЦЭТ""")</f>
        <v>ООО "ЦЭТ"</v>
      </c>
      <c r="K1224" s="24" t="s">
        <v>2116</v>
      </c>
      <c r="L1224" s="22" t="s">
        <v>10</v>
      </c>
      <c r="M1224" s="25">
        <v>193406.58</v>
      </c>
      <c r="N1224" s="27">
        <v>0.33000000623556858</v>
      </c>
    </row>
    <row r="1225" spans="1:14" hidden="1" outlineLevel="1" x14ac:dyDescent="0.2">
      <c r="A1225" s="23" t="str">
        <f t="shared" si="39"/>
        <v>МКУ "УЭАЗ"</v>
      </c>
      <c r="B1225" s="24" t="s">
        <v>2113</v>
      </c>
      <c r="C1225" s="25">
        <v>288666.53999999998</v>
      </c>
      <c r="D1225" s="22" t="s">
        <v>2114</v>
      </c>
      <c r="E1225" s="22" t="s">
        <v>103</v>
      </c>
      <c r="F1225" s="23" t="str">
        <f t="shared" si="40"/>
        <v>ОКАЗАНИЕ УСЛУГ ПО СОДЕРЖАНИЮ, ЭКСПЛУАТАЦИИ, ТЕХНИЧЕСКОМУ ОБСЛУЖИВАНИЮ СИСТЕМ ОХРАННОЙ СИГНАЛИЗАЦИИ (ОС), ТРЕВОЖНОЙ СИГНАЛИЗАЦИИ (ТС), СИСТЕМ ВИДЕОНАБЛЮДЕНИЯ (СВН) И СИСТЕМЫ КОНТРОЛЯ И УПРАВЛЕНИЯ ДОСТУПОМ (СКУД) В АДМИНИСТРАТИВНЫХ ЗДАНИЯХ ГОРОДА ПЕРМИ...</v>
      </c>
      <c r="G1225" s="22" t="s">
        <v>391</v>
      </c>
      <c r="H1225" s="22" t="s">
        <v>391</v>
      </c>
      <c r="I1225" s="26">
        <v>43728.474305555603</v>
      </c>
      <c r="J1225" s="23" t="str">
        <f>HYPERLINK("https://www.spark-marketing.ru/Card/Person/1400970", "ООО ""АТИС""")</f>
        <v>ООО "АТИС"</v>
      </c>
      <c r="K1225" s="24" t="s">
        <v>2117</v>
      </c>
      <c r="L1225" s="28" t="s">
        <v>52</v>
      </c>
      <c r="M1225" s="25">
        <v>239593.23</v>
      </c>
      <c r="N1225" s="27">
        <v>0.16999999376443145</v>
      </c>
    </row>
    <row r="1226" spans="1:14" hidden="1" outlineLevel="1" x14ac:dyDescent="0.2">
      <c r="A1226" s="23" t="str">
        <f t="shared" si="39"/>
        <v>МКУ "УЭАЗ"</v>
      </c>
      <c r="B1226" s="24" t="s">
        <v>2113</v>
      </c>
      <c r="C1226" s="25">
        <v>288666.53999999998</v>
      </c>
      <c r="D1226" s="22" t="s">
        <v>2114</v>
      </c>
      <c r="E1226" s="22" t="s">
        <v>103</v>
      </c>
      <c r="F1226" s="23" t="str">
        <f t="shared" si="40"/>
        <v>ОКАЗАНИЕ УСЛУГ ПО СОДЕРЖАНИЮ, ЭКСПЛУАТАЦИИ, ТЕХНИЧЕСКОМУ ОБСЛУЖИВАНИЮ СИСТЕМ ОХРАННОЙ СИГНАЛИЗАЦИИ (ОС), ТРЕВОЖНОЙ СИГНАЛИЗАЦИИ (ТС), СИСТЕМ ВИДЕОНАБЛЮДЕНИЯ (СВН) И СИСТЕМЫ КОНТРОЛЯ И УПРАВЛЕНИЯ ДОСТУПОМ (СКУД) В АДМИНИСТРАТИВНЫХ ЗДАНИЯХ ГОРОДА ПЕРМИ...</v>
      </c>
      <c r="G1226" s="22" t="s">
        <v>391</v>
      </c>
      <c r="H1226" s="22" t="s">
        <v>391</v>
      </c>
      <c r="I1226" s="26">
        <v>43728.474305555603</v>
      </c>
      <c r="J1226" s="23" t="str">
        <f>HYPERLINK("https://www.spark-marketing.ru/Card/Person/6071267", "ООО ""ГОРДЕН-БЕЗОПАСНОСТЬ""")</f>
        <v>ООО "ГОРДЕН-БЕЗОПАСНОСТЬ"</v>
      </c>
      <c r="K1226" s="24" t="s">
        <v>2118</v>
      </c>
      <c r="L1226" s="28" t="s">
        <v>52</v>
      </c>
      <c r="M1226" s="25">
        <v>240000</v>
      </c>
      <c r="N1226" s="27">
        <v>0.1685908591969128</v>
      </c>
    </row>
    <row r="1227" spans="1:14" hidden="1" outlineLevel="1" x14ac:dyDescent="0.2">
      <c r="A1227" s="23" t="str">
        <f t="shared" si="39"/>
        <v>МКУ "УЭАЗ"</v>
      </c>
      <c r="B1227" s="24" t="s">
        <v>2113</v>
      </c>
      <c r="C1227" s="25">
        <v>288666.53999999998</v>
      </c>
      <c r="D1227" s="22" t="s">
        <v>2114</v>
      </c>
      <c r="E1227" s="22" t="s">
        <v>103</v>
      </c>
      <c r="F1227" s="23" t="str">
        <f t="shared" si="40"/>
        <v>ОКАЗАНИЕ УСЛУГ ПО СОДЕРЖАНИЮ, ЭКСПЛУАТАЦИИ, ТЕХНИЧЕСКОМУ ОБСЛУЖИВАНИЮ СИСТЕМ ОХРАННОЙ СИГНАЛИЗАЦИИ (ОС), ТРЕВОЖНОЙ СИГНАЛИЗАЦИИ (ТС), СИСТЕМ ВИДЕОНАБЛЮДЕНИЯ (СВН) И СИСТЕМЫ КОНТРОЛЯ И УПРАВЛЕНИЯ ДОСТУПОМ (СКУД) В АДМИНИСТРАТИВНЫХ ЗДАНИЯХ ГОРОДА ПЕРМИ...</v>
      </c>
      <c r="G1227" s="22" t="s">
        <v>391</v>
      </c>
      <c r="H1227" s="22" t="s">
        <v>391</v>
      </c>
      <c r="I1227" s="26">
        <v>43728.474305555603</v>
      </c>
      <c r="J1227" s="23" t="str">
        <f>HYPERLINK("https://www.spark-marketing.ru/Card/Person/6719140", "Горбунова Ксения Михайловна")</f>
        <v>Горбунова Ксения Михайловна</v>
      </c>
      <c r="K1227" s="24" t="s">
        <v>2119</v>
      </c>
      <c r="L1227" s="28" t="s">
        <v>52</v>
      </c>
      <c r="M1227" s="25">
        <v>223716.57</v>
      </c>
      <c r="N1227" s="27">
        <v>0.22499999480369287</v>
      </c>
    </row>
    <row r="1228" spans="1:14" x14ac:dyDescent="0.15">
      <c r="A1228" s="23" t="str">
        <f>HYPERLINK("https://www.spark-marketing.ru/Card/Person/1683079", "ООО ""ЧОП ""КЕННАРД""")</f>
        <v>ООО "ЧОП "КЕННАРД"</v>
      </c>
      <c r="B1228" s="24" t="s">
        <v>1949</v>
      </c>
      <c r="C1228" s="25">
        <v>76300</v>
      </c>
      <c r="D1228" s="22" t="s">
        <v>2108</v>
      </c>
      <c r="E1228" s="22" t="s">
        <v>53</v>
      </c>
      <c r="F1228" s="23" t="str">
        <f>HYPERLINK("https://www.spark-marketing.ru/Card/Lot/73773757", "Видеокамера HIKVISION DS-2DE4425W-DE")</f>
        <v>Видеокамера HIKVISION DS-2DE4425W-DE</v>
      </c>
      <c r="G1228" s="22" t="s">
        <v>204</v>
      </c>
      <c r="H1228" s="22" t="s">
        <v>303</v>
      </c>
      <c r="I1228" s="26">
        <v>43728.46125</v>
      </c>
      <c r="J1228" s="28" t="s">
        <v>52</v>
      </c>
      <c r="K1228" s="28" t="s">
        <v>52</v>
      </c>
      <c r="L1228" s="28" t="s">
        <v>52</v>
      </c>
      <c r="M1228" s="28" t="s">
        <v>52</v>
      </c>
      <c r="N1228" s="28" t="s">
        <v>52</v>
      </c>
    </row>
    <row r="1229" spans="1:14" x14ac:dyDescent="0.15">
      <c r="A1229" s="23" t="str">
        <f>HYPERLINK("https://www.spark-marketing.ru/Card/Person/149202", "МО МВД РОССИИ ""ВЫШНЕВОЛОЦКИЙ""")</f>
        <v>МО МВД РОССИИ "ВЫШНЕВОЛОЦКИЙ"</v>
      </c>
      <c r="B1229" s="24" t="s">
        <v>2120</v>
      </c>
      <c r="C1229" s="25">
        <v>30000</v>
      </c>
      <c r="D1229" s="22" t="s">
        <v>2121</v>
      </c>
      <c r="E1229" s="22" t="s">
        <v>59</v>
      </c>
      <c r="F1229" s="23" t="str">
        <f>HYPERLINK("https://www.spark-marketing.ru/Card/Lot/73659003", "Установка охранной сигнализации, 1 шт")</f>
        <v>Установка охранной сигнализации, 1 шт</v>
      </c>
      <c r="G1229" s="22" t="s">
        <v>251</v>
      </c>
      <c r="H1229" s="22" t="s">
        <v>2122</v>
      </c>
      <c r="I1229" s="26">
        <v>43728.455671296302</v>
      </c>
      <c r="J1229" s="28" t="s">
        <v>52</v>
      </c>
      <c r="K1229" s="28" t="s">
        <v>52</v>
      </c>
      <c r="L1229" s="28" t="s">
        <v>52</v>
      </c>
      <c r="M1229" s="28" t="s">
        <v>52</v>
      </c>
      <c r="N1229" s="28" t="s">
        <v>52</v>
      </c>
    </row>
    <row r="1230" spans="1:14" x14ac:dyDescent="0.15">
      <c r="A1230" s="23" t="str">
        <f>HYPERLINK("https://www.spark-marketing.ru/Card/Person/69779", "ВЕРХОВНЫЙ СУД РЕСПУБЛИКИ МОРДОВИЯ")</f>
        <v>ВЕРХОВНЫЙ СУД РЕСПУБЛИКИ МОРДОВИЯ</v>
      </c>
      <c r="B1230" s="24" t="s">
        <v>2123</v>
      </c>
      <c r="C1230" s="25">
        <v>577350</v>
      </c>
      <c r="D1230" s="22" t="s">
        <v>2124</v>
      </c>
      <c r="E1230" s="22" t="s">
        <v>84</v>
      </c>
      <c r="F1230" s="23" t="str">
        <f>HYPERLINK("https://www.spark-marketing.ru/Card/Lot/73754840", "Установка видеонаблюдения в подвале, на четвёртом и пятом этажах здания Верховного Суда Республики Мордовия по адресу: г. Саранск, ул. Л. Толстого, д. 21")</f>
        <v>Установка видеонаблюдения в подвале, на четвёртом и пятом этажах здания Верховного Суда Республики Мордовия по адресу: г. Саранск, ул. Л. Толстого, д. 21</v>
      </c>
      <c r="G1230" s="22" t="s">
        <v>331</v>
      </c>
      <c r="H1230" s="22" t="s">
        <v>332</v>
      </c>
      <c r="I1230" s="26">
        <v>43728.3972222222</v>
      </c>
      <c r="J1230" s="28" t="s">
        <v>52</v>
      </c>
      <c r="K1230" s="28" t="s">
        <v>52</v>
      </c>
      <c r="L1230" s="28" t="s">
        <v>52</v>
      </c>
      <c r="M1230" s="28" t="s">
        <v>52</v>
      </c>
      <c r="N1230" s="28" t="s">
        <v>52</v>
      </c>
    </row>
    <row r="1231" spans="1:14" hidden="1" outlineLevel="1" x14ac:dyDescent="0.2">
      <c r="A1231" s="23" t="str">
        <f>HYPERLINK("https://www.spark-marketing.ru/Card/Person/69779", "ВЕРХОВНЫЙ СУД РЕСПУБЛИКИ МОРДОВИЯ")</f>
        <v>ВЕРХОВНЫЙ СУД РЕСПУБЛИКИ МОРДОВИЯ</v>
      </c>
      <c r="B1231" s="24" t="s">
        <v>2123</v>
      </c>
      <c r="C1231" s="25">
        <v>577350</v>
      </c>
      <c r="D1231" s="22" t="s">
        <v>2124</v>
      </c>
      <c r="E1231" s="22" t="s">
        <v>84</v>
      </c>
      <c r="F1231" s="23" t="str">
        <f>HYPERLINK("https://www.spark-marketing.ru/Card/Lot/73754840", "Установка видеонаблюдения в подвале, на четвёртом и пятом этажах здания Верховного Суда Республики Мордовия по адресу: г. Саранск, ул. Л. Толстого, д. 21")</f>
        <v>Установка видеонаблюдения в подвале, на четвёртом и пятом этажах здания Верховного Суда Республики Мордовия по адресу: г. Саранск, ул. Л. Толстого, д. 21</v>
      </c>
      <c r="G1231" s="22" t="s">
        <v>331</v>
      </c>
      <c r="H1231" s="22" t="s">
        <v>332</v>
      </c>
      <c r="I1231" s="26">
        <v>43728.3972222222</v>
      </c>
      <c r="J1231" s="23" t="str">
        <f>HYPERLINK("https://www.spark-marketing.ru/Card/Person/6583213", "ООО ""АЛЬФА ЦЕНТАВРА""")</f>
        <v>ООО "АЛЬФА ЦЕНТАВРА"</v>
      </c>
      <c r="K1231" s="24" t="s">
        <v>2125</v>
      </c>
      <c r="L1231" s="28" t="s">
        <v>52</v>
      </c>
      <c r="M1231" s="25">
        <v>569000</v>
      </c>
      <c r="N1231" s="27">
        <v>1.4462630986403395E-2</v>
      </c>
    </row>
    <row r="1232" spans="1:14" hidden="1" outlineLevel="1" x14ac:dyDescent="0.2">
      <c r="A1232" s="23" t="str">
        <f>HYPERLINK("https://www.spark-marketing.ru/Card/Person/69779", "ВЕРХОВНЫЙ СУД РЕСПУБЛИКИ МОРДОВИЯ")</f>
        <v>ВЕРХОВНЫЙ СУД РЕСПУБЛИКИ МОРДОВИЯ</v>
      </c>
      <c r="B1232" s="24" t="s">
        <v>2123</v>
      </c>
      <c r="C1232" s="25">
        <v>577350</v>
      </c>
      <c r="D1232" s="22" t="s">
        <v>2124</v>
      </c>
      <c r="E1232" s="22" t="s">
        <v>84</v>
      </c>
      <c r="F1232" s="23" t="str">
        <f>HYPERLINK("https://www.spark-marketing.ru/Card/Lot/73754840", "Установка видеонаблюдения в подвале, на четвёртом и пятом этажах здания Верховного Суда Республики Мордовия по адресу: г. Саранск, ул. Л. Толстого, д. 21")</f>
        <v>Установка видеонаблюдения в подвале, на четвёртом и пятом этажах здания Верховного Суда Республики Мордовия по адресу: г. Саранск, ул. Л. Толстого, д. 21</v>
      </c>
      <c r="G1232" s="22" t="s">
        <v>331</v>
      </c>
      <c r="H1232" s="22" t="s">
        <v>332</v>
      </c>
      <c r="I1232" s="26">
        <v>43728.3972222222</v>
      </c>
      <c r="J1232" s="23" t="str">
        <f>HYPERLINK("https://www.spark-marketing.ru/Card/Person/6718236", "ООО ""СКЛАД СБ""")</f>
        <v>ООО "СКЛАД СБ"</v>
      </c>
      <c r="K1232" s="24" t="s">
        <v>2126</v>
      </c>
      <c r="L1232" s="28" t="s">
        <v>52</v>
      </c>
      <c r="M1232" s="25">
        <v>496521</v>
      </c>
      <c r="N1232" s="27">
        <v>0.14000000000000001</v>
      </c>
    </row>
    <row r="1233" spans="1:14" ht="12.75" hidden="1" outlineLevel="1" x14ac:dyDescent="0.2">
      <c r="A1233" s="23" t="str">
        <f>HYPERLINK("https://www.spark-marketing.ru/Card/Person/69779", "ВЕРХОВНЫЙ СУД РЕСПУБЛИКИ МОРДОВИЯ")</f>
        <v>ВЕРХОВНЫЙ СУД РЕСПУБЛИКИ МОРДОВИЯ</v>
      </c>
      <c r="B1233" s="24" t="s">
        <v>2123</v>
      </c>
      <c r="C1233" s="25">
        <v>577350</v>
      </c>
      <c r="D1233" s="22" t="s">
        <v>2124</v>
      </c>
      <c r="E1233" s="22" t="s">
        <v>84</v>
      </c>
      <c r="F1233" s="23" t="str">
        <f>HYPERLINK("https://www.spark-marketing.ru/Card/Lot/73754840", "Установка видеонаблюдения в подвале, на четвёртом и пятом этажах здания Верховного Суда Республики Мордовия по адресу: г. Саранск, ул. Л. Толстого, д. 21")</f>
        <v>Установка видеонаблюдения в подвале, на четвёртом и пятом этажах здания Верховного Суда Республики Мордовия по адресу: г. Саранск, ул. Л. Толстого, д. 21</v>
      </c>
      <c r="G1233" s="22" t="s">
        <v>331</v>
      </c>
      <c r="H1233" s="22" t="s">
        <v>332</v>
      </c>
      <c r="I1233" s="26">
        <v>43728.3972222222</v>
      </c>
      <c r="J1233" s="23" t="str">
        <f>HYPERLINK("https://www.spark-marketing.ru/Card/Person/149051", "Лопаткин Андрей Николаевич")</f>
        <v>Лопаткин Андрей Николаевич</v>
      </c>
      <c r="K1233" s="24" t="s">
        <v>2127</v>
      </c>
      <c r="L1233" s="22" t="s">
        <v>10</v>
      </c>
      <c r="M1233" s="25">
        <v>476313.75</v>
      </c>
      <c r="N1233" s="27">
        <v>0.17499999999999999</v>
      </c>
    </row>
    <row r="1234" spans="1:14" hidden="1" outlineLevel="1" x14ac:dyDescent="0.2">
      <c r="A1234" s="23" t="str">
        <f>HYPERLINK("https://www.spark-marketing.ru/Card/Person/69779", "ВЕРХОВНЫЙ СУД РЕСПУБЛИКИ МОРДОВИЯ")</f>
        <v>ВЕРХОВНЫЙ СУД РЕСПУБЛИКИ МОРДОВИЯ</v>
      </c>
      <c r="B1234" s="24" t="s">
        <v>2123</v>
      </c>
      <c r="C1234" s="25">
        <v>577350</v>
      </c>
      <c r="D1234" s="22" t="s">
        <v>2124</v>
      </c>
      <c r="E1234" s="22" t="s">
        <v>84</v>
      </c>
      <c r="F1234" s="23" t="str">
        <f>HYPERLINK("https://www.spark-marketing.ru/Card/Lot/73754840", "Установка видеонаблюдения в подвале, на четвёртом и пятом этажах здания Верховного Суда Республики Мордовия по адресу: г. Саранск, ул. Л. Толстого, д. 21")</f>
        <v>Установка видеонаблюдения в подвале, на четвёртом и пятом этажах здания Верховного Суда Республики Мордовия по адресу: г. Саранск, ул. Л. Толстого, д. 21</v>
      </c>
      <c r="G1234" s="22" t="s">
        <v>331</v>
      </c>
      <c r="H1234" s="22" t="s">
        <v>332</v>
      </c>
      <c r="I1234" s="26">
        <v>43728.3972222222</v>
      </c>
      <c r="J1234" s="23" t="str">
        <f>HYPERLINK("https://www.spark-marketing.ru/Card/Person/195514", "ООО ""ФИРМА БАЙТ""")</f>
        <v>ООО "ФИРМА БАЙТ"</v>
      </c>
      <c r="K1234" s="24" t="s">
        <v>2128</v>
      </c>
      <c r="L1234" s="28" t="s">
        <v>52</v>
      </c>
      <c r="M1234" s="25">
        <v>479200.5</v>
      </c>
      <c r="N1234" s="27">
        <v>0.17</v>
      </c>
    </row>
    <row r="1235" spans="1:14" x14ac:dyDescent="0.15">
      <c r="A1235" s="23" t="str">
        <f>HYPERLINK("https://www.spark-marketing.ru/Card/Person/118043", "МКУ Г. ИРКУТСКА ""БЕЗОПАСНЫЙ ГОРОД""")</f>
        <v>МКУ Г. ИРКУТСКА "БЕЗОПАСНЫЙ ГОРОД"</v>
      </c>
      <c r="B1235" s="24" t="s">
        <v>2129</v>
      </c>
      <c r="C1235" s="25">
        <v>190696.32000000001</v>
      </c>
      <c r="D1235" s="22" t="s">
        <v>2130</v>
      </c>
      <c r="E1235" s="22" t="s">
        <v>59</v>
      </c>
      <c r="F1235" s="23" t="str">
        <f>HYPERLINK("https://www.spark-marketing.ru/Card/Lot/73654244", "Выполнение работ по установке системы IP-видеонаблюдения (далее - Работы) в соответствии с Техническим заданием, Локальным ресурсным сметным расчетом на монтаж системы видеонаблюдения по адресу: г. Иркутск, ул. Карла Маркса, 26Б.")</f>
        <v>Выполнение работ по установке системы IP-видеонаблюдения (далее - Работы) в соответствии с Техническим заданием, Локальным ресурсным сметным расчетом на монтаж системы видеонаблюдения по адресу: г. Иркутск, ул. Карла Маркса, 26Б.</v>
      </c>
      <c r="G1235" s="22" t="s">
        <v>281</v>
      </c>
      <c r="H1235" s="22" t="s">
        <v>281</v>
      </c>
      <c r="I1235" s="26">
        <v>43728.377777777801</v>
      </c>
      <c r="J1235" s="28" t="s">
        <v>52</v>
      </c>
      <c r="K1235" s="28" t="s">
        <v>52</v>
      </c>
      <c r="L1235" s="28" t="s">
        <v>52</v>
      </c>
      <c r="M1235" s="28" t="s">
        <v>52</v>
      </c>
      <c r="N1235" s="28" t="s">
        <v>52</v>
      </c>
    </row>
    <row r="1236" spans="1:14" hidden="1" outlineLevel="1" x14ac:dyDescent="0.2">
      <c r="A1236" s="23" t="str">
        <f>HYPERLINK("https://www.spark-marketing.ru/Card/Person/118043", "МКУ Г. ИРКУТСКА ""БЕЗОПАСНЫЙ ГОРОД""")</f>
        <v>МКУ Г. ИРКУТСКА "БЕЗОПАСНЫЙ ГОРОД"</v>
      </c>
      <c r="B1236" s="24" t="s">
        <v>2129</v>
      </c>
      <c r="C1236" s="25">
        <v>190696.32000000001</v>
      </c>
      <c r="D1236" s="22" t="s">
        <v>2130</v>
      </c>
      <c r="E1236" s="22" t="s">
        <v>59</v>
      </c>
      <c r="F1236" s="23" t="str">
        <f>HYPERLINK("https://www.spark-marketing.ru/Card/Lot/73654244", "Выполнение работ по установке системы IP-видеонаблюдения (далее - Работы) в соответствии с Техническим заданием, Локальным ресурсным сметным расчетом на монтаж системы видеонаблюдения по адресу: г. Иркутск, ул. Карла Маркса, 26Б.")</f>
        <v>Выполнение работ по установке системы IP-видеонаблюдения (далее - Работы) в соответствии с Техническим заданием, Локальным ресурсным сметным расчетом на монтаж системы видеонаблюдения по адресу: г. Иркутск, ул. Карла Маркса, 26Б.</v>
      </c>
      <c r="G1236" s="22" t="s">
        <v>281</v>
      </c>
      <c r="H1236" s="22" t="s">
        <v>281</v>
      </c>
      <c r="I1236" s="26">
        <v>43728.377777777801</v>
      </c>
      <c r="J1236" s="23" t="str">
        <f>HYPERLINK("https://www.spark-marketing.ru/Card/Person/4884231", "Рыжкович Дмитрий Андреевич")</f>
        <v>Рыжкович Дмитрий Андреевич</v>
      </c>
      <c r="K1236" s="24" t="s">
        <v>2131</v>
      </c>
      <c r="L1236" s="28" t="s">
        <v>52</v>
      </c>
      <c r="M1236" s="25">
        <v>110000</v>
      </c>
      <c r="N1236" s="27">
        <v>0.42316663478351341</v>
      </c>
    </row>
    <row r="1237" spans="1:14" hidden="1" outlineLevel="1" x14ac:dyDescent="0.2">
      <c r="A1237" s="23" t="str">
        <f>HYPERLINK("https://www.spark-marketing.ru/Card/Person/118043", "МКУ Г. ИРКУТСКА ""БЕЗОПАСНЫЙ ГОРОД""")</f>
        <v>МКУ Г. ИРКУТСКА "БЕЗОПАСНЫЙ ГОРОД"</v>
      </c>
      <c r="B1237" s="24" t="s">
        <v>2129</v>
      </c>
      <c r="C1237" s="25">
        <v>190696.32000000001</v>
      </c>
      <c r="D1237" s="22" t="s">
        <v>2130</v>
      </c>
      <c r="E1237" s="22" t="s">
        <v>59</v>
      </c>
      <c r="F1237" s="23" t="str">
        <f>HYPERLINK("https://www.spark-marketing.ru/Card/Lot/73654244", "Выполнение работ по установке системы IP-видеонаблюдения (далее - Работы) в соответствии с Техническим заданием, Локальным ресурсным сметным расчетом на монтаж системы видеонаблюдения по адресу: г. Иркутск, ул. Карла Маркса, 26Б.")</f>
        <v>Выполнение работ по установке системы IP-видеонаблюдения (далее - Работы) в соответствии с Техническим заданием, Локальным ресурсным сметным расчетом на монтаж системы видеонаблюдения по адресу: г. Иркутск, ул. Карла Маркса, 26Б.</v>
      </c>
      <c r="G1237" s="22" t="s">
        <v>281</v>
      </c>
      <c r="H1237" s="22" t="s">
        <v>281</v>
      </c>
      <c r="I1237" s="26">
        <v>43728.377777777801</v>
      </c>
      <c r="J1237" s="23" t="str">
        <f>HYPERLINK("https://www.spark-marketing.ru/Card/Person/6714344", "ООО ""ФАСТ КОНСАЛТИНГ""")</f>
        <v>ООО "ФАСТ КОНСАЛТИНГ"</v>
      </c>
      <c r="K1237" s="24" t="s">
        <v>2132</v>
      </c>
      <c r="L1237" s="28" t="s">
        <v>52</v>
      </c>
      <c r="M1237" s="25">
        <v>73331.8</v>
      </c>
      <c r="N1237" s="27">
        <v>0.61545246389652408</v>
      </c>
    </row>
    <row r="1238" spans="1:14" ht="12.75" hidden="1" outlineLevel="1" x14ac:dyDescent="0.2">
      <c r="A1238" s="23" t="str">
        <f>HYPERLINK("https://www.spark-marketing.ru/Card/Person/118043", "МКУ Г. ИРКУТСКА ""БЕЗОПАСНЫЙ ГОРОД""")</f>
        <v>МКУ Г. ИРКУТСКА "БЕЗОПАСНЫЙ ГОРОД"</v>
      </c>
      <c r="B1238" s="24" t="s">
        <v>2129</v>
      </c>
      <c r="C1238" s="25">
        <v>190696.32000000001</v>
      </c>
      <c r="D1238" s="22" t="s">
        <v>2130</v>
      </c>
      <c r="E1238" s="22" t="s">
        <v>59</v>
      </c>
      <c r="F1238" s="23" t="str">
        <f>HYPERLINK("https://www.spark-marketing.ru/Card/Lot/73654244", "Выполнение работ по установке системы IP-видеонаблюдения (далее - Работы) в соответствии с Техническим заданием, Локальным ресурсным сметным расчетом на монтаж системы видеонаблюдения по адресу: г. Иркутск, ул. Карла Маркса, 26Б.")</f>
        <v>Выполнение работ по установке системы IP-видеонаблюдения (далее - Работы) в соответствии с Техническим заданием, Локальным ресурсным сметным расчетом на монтаж системы видеонаблюдения по адресу: г. Иркутск, ул. Карла Маркса, 26Б.</v>
      </c>
      <c r="G1238" s="22" t="s">
        <v>281</v>
      </c>
      <c r="H1238" s="22" t="s">
        <v>281</v>
      </c>
      <c r="I1238" s="26">
        <v>43728.377777777801</v>
      </c>
      <c r="J1238" s="23" t="str">
        <f>HYPERLINK("https://www.spark-marketing.ru/Card/Person/6402542", "ООО ""ЦЕНТР СБ""")</f>
        <v>ООО "ЦЕНТР СБ"</v>
      </c>
      <c r="K1238" s="24" t="s">
        <v>2133</v>
      </c>
      <c r="L1238" s="22" t="s">
        <v>10</v>
      </c>
      <c r="M1238" s="25">
        <v>57108.88</v>
      </c>
      <c r="N1238" s="27">
        <v>0.70052447787141359</v>
      </c>
    </row>
    <row r="1239" spans="1:14" hidden="1" outlineLevel="1" x14ac:dyDescent="0.2">
      <c r="A1239" s="23" t="str">
        <f>HYPERLINK("https://www.spark-marketing.ru/Card/Person/118043", "МКУ Г. ИРКУТСКА ""БЕЗОПАСНЫЙ ГОРОД""")</f>
        <v>МКУ Г. ИРКУТСКА "БЕЗОПАСНЫЙ ГОРОД"</v>
      </c>
      <c r="B1239" s="24" t="s">
        <v>2129</v>
      </c>
      <c r="C1239" s="25">
        <v>190696.32000000001</v>
      </c>
      <c r="D1239" s="22" t="s">
        <v>2130</v>
      </c>
      <c r="E1239" s="22" t="s">
        <v>59</v>
      </c>
      <c r="F1239" s="23" t="str">
        <f>HYPERLINK("https://www.spark-marketing.ru/Card/Lot/73654244", "Выполнение работ по установке системы IP-видеонаблюдения (далее - Работы) в соответствии с Техническим заданием, Локальным ресурсным сметным расчетом на монтаж системы видеонаблюдения по адресу: г. Иркутск, ул. Карла Маркса, 26Б.")</f>
        <v>Выполнение работ по установке системы IP-видеонаблюдения (далее - Работы) в соответствии с Техническим заданием, Локальным ресурсным сметным расчетом на монтаж системы видеонаблюдения по адресу: г. Иркутск, ул. Карла Маркса, 26Б.</v>
      </c>
      <c r="G1239" s="22" t="s">
        <v>281</v>
      </c>
      <c r="H1239" s="22" t="s">
        <v>281</v>
      </c>
      <c r="I1239" s="26">
        <v>43728.377777777801</v>
      </c>
      <c r="J1239" s="23" t="str">
        <f>HYPERLINK("https://www.spark-marketing.ru/Card/Person/146904", "ООО ""ИНФОРСЕР-СИБИРЬ""")</f>
        <v>ООО "ИНФОРСЕР-СИБИРЬ"</v>
      </c>
      <c r="K1239" s="24" t="s">
        <v>2134</v>
      </c>
      <c r="L1239" s="28" t="s">
        <v>52</v>
      </c>
      <c r="M1239" s="25">
        <v>58063.88</v>
      </c>
      <c r="N1239" s="27">
        <v>0.69551651547339766</v>
      </c>
    </row>
    <row r="1240" spans="1:14" x14ac:dyDescent="0.15">
      <c r="A1240" s="23" t="str">
        <f>HYPERLINK("https://www.spark-marketing.ru/Card/Person/16285", "МВД ПО РЕСПУБЛИКЕ БАШКОРТОСТАН")</f>
        <v>МВД ПО РЕСПУБЛИКЕ БАШКОРТОСТАН</v>
      </c>
      <c r="B1240" s="24" t="s">
        <v>2135</v>
      </c>
      <c r="C1240" s="25">
        <v>49840.17</v>
      </c>
      <c r="D1240" s="22" t="s">
        <v>2136</v>
      </c>
      <c r="E1240" s="22" t="s">
        <v>84</v>
      </c>
      <c r="F1240" s="23" t="str">
        <f>HYPERLINK("https://www.spark-marketing.ru/Card/Lot/74395921", "Монтаж, установка, сборка систем охранного видеонаблюдения, 1 шт")</f>
        <v>Монтаж, установка, сборка систем охранного видеонаблюдения, 1 шт</v>
      </c>
      <c r="G1240" s="22" t="s">
        <v>100</v>
      </c>
      <c r="H1240" s="22" t="s">
        <v>373</v>
      </c>
      <c r="I1240" s="26">
        <v>43728.407164351898</v>
      </c>
      <c r="J1240" s="28" t="s">
        <v>52</v>
      </c>
      <c r="K1240" s="28" t="s">
        <v>52</v>
      </c>
      <c r="L1240" s="28" t="s">
        <v>52</v>
      </c>
      <c r="M1240" s="28" t="s">
        <v>52</v>
      </c>
      <c r="N1240" s="28" t="s">
        <v>52</v>
      </c>
    </row>
    <row r="1241" spans="1:14" x14ac:dyDescent="0.15">
      <c r="A1241" s="23" t="str">
        <f>HYPERLINK("https://www.spark-marketing.ru/Card/Person/4346563", "ПАО ""ГАЗПРОМ""")</f>
        <v>ПАО "ГАЗПРОМ"</v>
      </c>
      <c r="B1241" s="24" t="s">
        <v>1548</v>
      </c>
      <c r="C1241" s="25">
        <v>285204264</v>
      </c>
      <c r="D1241" s="22" t="s">
        <v>2137</v>
      </c>
      <c r="E1241" s="22" t="s">
        <v>1550</v>
      </c>
      <c r="F1241" s="23" t="str">
        <f>HYPERLINK("https://www.spark-marketing.ru/Card/Lot/73742693", "Оказание автотранспортных услуг Краснодарскому и Волгоградскому отрядам охраны филиала ПАО «Газпром» «Южное межрегиональное управление охраны ПАО «Газпром» в г. Краснодаре для нужд ПАО «Газпром» в 2020-2022 годах (для субъектов малого и среднего пред...")</f>
        <v>Оказание автотранспортных услуг Краснодарскому и Волгоградскому отрядам охраны филиала ПАО «Газпром» «Южное межрегиональное управление охраны ПАО «Газпром» в г. Краснодаре для нужд ПАО «Газпром» в 2020-2022 годах (для субъектов малого и среднего пред...</v>
      </c>
      <c r="G1241" s="22" t="s">
        <v>55</v>
      </c>
      <c r="H1241" s="22" t="s">
        <v>55</v>
      </c>
      <c r="I1241" s="26">
        <v>43728</v>
      </c>
      <c r="J1241" s="28" t="s">
        <v>52</v>
      </c>
      <c r="K1241" s="28" t="s">
        <v>52</v>
      </c>
      <c r="L1241" s="28" t="s">
        <v>52</v>
      </c>
      <c r="M1241" s="28" t="s">
        <v>52</v>
      </c>
      <c r="N1241" s="28" t="s">
        <v>52</v>
      </c>
    </row>
    <row r="1242" spans="1:14" x14ac:dyDescent="0.2">
      <c r="A1242" s="23" t="str">
        <f>HYPERLINK("https://www.spark-marketing.ru/Card/Person/65671", "АО ""ТРК ""ОДИНЦОВО""")</f>
        <v>АО "ТРК "ОДИНЦОВО"</v>
      </c>
      <c r="B1242" s="24" t="s">
        <v>1100</v>
      </c>
      <c r="C1242" s="25">
        <v>379102</v>
      </c>
      <c r="D1242" s="22" t="s">
        <v>2138</v>
      </c>
      <c r="E1242" s="22" t="s">
        <v>370</v>
      </c>
      <c r="F1242" s="23" t="str">
        <f>HYPERLINK("https://www.spark-marketing.ru/Card/Lot/73686944", "Оказание в 2019 году услуги по обслуживанию оборудования и линейно-кабельных сооружений (Сеть), используемых для предоставления видеоизображения на территории городского поселения Голицыно в рамках исполнения Муниципального контракта № 08483000454190...")</f>
        <v>Оказание в 2019 году услуги по обслуживанию оборудования и линейно-кабельных сооружений (Сеть), используемых для предоставления видеоизображения на территории городского поселения Голицыно в рамках исполнения Муниципального контракта № 08483000454190...</v>
      </c>
      <c r="G1242" s="22" t="s">
        <v>50</v>
      </c>
      <c r="H1242" s="22" t="s">
        <v>1045</v>
      </c>
      <c r="I1242" s="26">
        <v>43728</v>
      </c>
      <c r="J1242" s="28" t="s">
        <v>52</v>
      </c>
      <c r="K1242" s="28" t="s">
        <v>52</v>
      </c>
      <c r="L1242" s="28" t="s">
        <v>52</v>
      </c>
      <c r="M1242" s="25">
        <v>1</v>
      </c>
      <c r="N1242" s="27">
        <v>0.99999736218748514</v>
      </c>
    </row>
    <row r="1243" spans="1:14" x14ac:dyDescent="0.15">
      <c r="A1243" s="23" t="str">
        <f>HYPERLINK("https://www.spark-marketing.ru/Card/Person/1761832", "ОАО ""РЫНОЧНЫЙ КОМПЛЕКС ""ЦАРИЦЫНСКИЙ""")</f>
        <v>ОАО "РЫНОЧНЫЙ КОМПЛЕКС "ЦАРИЦЫНСКИЙ"</v>
      </c>
      <c r="B1243" s="24" t="s">
        <v>613</v>
      </c>
      <c r="C1243" s="25">
        <v>293832</v>
      </c>
      <c r="D1243" s="22" t="s">
        <v>2139</v>
      </c>
      <c r="E1243" s="22" t="s">
        <v>615</v>
      </c>
      <c r="F1243" s="23" t="str">
        <f>HYPERLINK("https://www.spark-marketing.ru/Card/Lot/73678072", "оказание услуг по охране объекта")</f>
        <v>оказание услуг по охране объекта</v>
      </c>
      <c r="G1243" s="22" t="s">
        <v>55</v>
      </c>
      <c r="H1243" s="22" t="s">
        <v>55</v>
      </c>
      <c r="I1243" s="26">
        <v>43728</v>
      </c>
      <c r="J1243" s="28" t="s">
        <v>52</v>
      </c>
      <c r="K1243" s="28" t="s">
        <v>52</v>
      </c>
      <c r="L1243" s="28" t="s">
        <v>52</v>
      </c>
      <c r="M1243" s="28" t="s">
        <v>52</v>
      </c>
      <c r="N1243" s="28" t="s">
        <v>52</v>
      </c>
    </row>
    <row r="1244" spans="1:14" x14ac:dyDescent="0.15">
      <c r="A1244" s="23" t="str">
        <f>HYPERLINK("https://www.spark-marketing.ru/Card/Person/5225", "ФБУЗ ""ЦГИЭ В РО""")</f>
        <v>ФБУЗ "ЦГИЭ В РО"</v>
      </c>
      <c r="B1244" s="24" t="s">
        <v>2140</v>
      </c>
      <c r="C1244" s="25">
        <v>391225</v>
      </c>
      <c r="D1244" s="22" t="s">
        <v>2141</v>
      </c>
      <c r="E1244" s="22" t="s">
        <v>2142</v>
      </c>
      <c r="F1244" s="23" t="str">
        <f>HYPERLINK("https://www.spark-marketing.ru/Card/Lot/73756850", "Оказание услуг по охране имущества, услуг оператора, техника, уборщика территории для филиала ФБУЗ ""ЦГиЭ в РО"" в г. Ростове-на-Дону")</f>
        <v>Оказание услуг по охране имущества, услуг оператора, техника, уборщика территории для филиала ФБУЗ "ЦГиЭ в РО" в г. Ростове-на-Дону</v>
      </c>
      <c r="G1244" s="22" t="s">
        <v>402</v>
      </c>
      <c r="H1244" s="22" t="s">
        <v>402</v>
      </c>
      <c r="I1244" s="26">
        <v>43728</v>
      </c>
      <c r="J1244" s="28" t="s">
        <v>52</v>
      </c>
      <c r="K1244" s="28" t="s">
        <v>52</v>
      </c>
      <c r="L1244" s="28" t="s">
        <v>52</v>
      </c>
      <c r="M1244" s="28" t="s">
        <v>52</v>
      </c>
      <c r="N1244" s="28" t="s">
        <v>52</v>
      </c>
    </row>
    <row r="1245" spans="1:14" x14ac:dyDescent="0.2">
      <c r="A1245" s="23" t="str">
        <f>HYPERLINK("https://www.spark-marketing.ru/Card/Person/65671", "АО ""ТРК ""ОДИНЦОВО""")</f>
        <v>АО "ТРК "ОДИНЦОВО"</v>
      </c>
      <c r="B1245" s="24" t="s">
        <v>1100</v>
      </c>
      <c r="C1245" s="25">
        <v>453013</v>
      </c>
      <c r="D1245" s="22" t="s">
        <v>2143</v>
      </c>
      <c r="E1245" s="22" t="s">
        <v>370</v>
      </c>
      <c r="F1245" s="23" t="str">
        <f>HYPERLINK("https://www.spark-marketing.ru/Card/Lot/73671623", "Оказание в 2019 году услуги по обслуживанию оборудования и линейно-кабельных сооружений (Сеть), используемых для предоставления видеоизображения на территории сельского поселения Успенское в рамках исполнения Муниципального контракта № 143/19 от «12»...")</f>
        <v>Оказание в 2019 году услуги по обслуживанию оборудования и линейно-кабельных сооружений (Сеть), используемых для предоставления видеоизображения на территории сельского поселения Успенское в рамках исполнения Муниципального контракта № 143/19 от «12»...</v>
      </c>
      <c r="G1245" s="22" t="s">
        <v>50</v>
      </c>
      <c r="H1245" s="22" t="s">
        <v>1045</v>
      </c>
      <c r="I1245" s="26">
        <v>43728</v>
      </c>
      <c r="J1245" s="28" t="s">
        <v>52</v>
      </c>
      <c r="K1245" s="28" t="s">
        <v>52</v>
      </c>
      <c r="L1245" s="28" t="s">
        <v>52</v>
      </c>
      <c r="M1245" s="25">
        <v>453013</v>
      </c>
      <c r="N1245" s="27">
        <v>0</v>
      </c>
    </row>
    <row r="1246" spans="1:14" x14ac:dyDescent="0.15">
      <c r="A1246" s="23" t="str">
        <f>HYPERLINK("https://www.spark-marketing.ru/Card/Person/4346563", "ПАО ""ГАЗПРОМ""")</f>
        <v>ПАО "ГАЗПРОМ"</v>
      </c>
      <c r="B1246" s="24" t="s">
        <v>1548</v>
      </c>
      <c r="C1246" s="25">
        <v>69569280</v>
      </c>
      <c r="D1246" s="22" t="s">
        <v>2144</v>
      </c>
      <c r="E1246" s="22" t="s">
        <v>1550</v>
      </c>
      <c r="F1246" s="23" t="str">
        <f>HYPERLINK("https://www.spark-marketing.ru/Card/Lot/73742626", "Оказание автотранспортных услуг филиалу ПАО «Газпром» «Приволжское межрегиональное управление охраны ПАО «Газпром» в г. Самаре для нужд ПАО «Газпром» (для субъектов малого и среднего предпринимательства)")</f>
        <v>Оказание автотранспортных услуг филиалу ПАО «Газпром» «Приволжское межрегиональное управление охраны ПАО «Газпром» в г. Самаре для нужд ПАО «Газпром» (для субъектов малого и среднего предпринимательства)</v>
      </c>
      <c r="G1246" s="22" t="s">
        <v>55</v>
      </c>
      <c r="H1246" s="22" t="s">
        <v>55</v>
      </c>
      <c r="I1246" s="26">
        <v>43728</v>
      </c>
      <c r="J1246" s="28" t="s">
        <v>52</v>
      </c>
      <c r="K1246" s="28" t="s">
        <v>52</v>
      </c>
      <c r="L1246" s="28" t="s">
        <v>52</v>
      </c>
      <c r="M1246" s="28" t="s">
        <v>52</v>
      </c>
      <c r="N1246" s="28" t="s">
        <v>52</v>
      </c>
    </row>
    <row r="1247" spans="1:14" x14ac:dyDescent="0.15">
      <c r="A1247" s="23" t="str">
        <f>HYPERLINK("https://www.spark-marketing.ru/Card/Person/4346563", "ПАО ""ГАЗПРОМ""")</f>
        <v>ПАО "ГАЗПРОМ"</v>
      </c>
      <c r="B1247" s="24" t="s">
        <v>1548</v>
      </c>
      <c r="C1247" s="25">
        <v>28469149.079999998</v>
      </c>
      <c r="D1247" s="22" t="s">
        <v>2145</v>
      </c>
      <c r="E1247" s="22" t="s">
        <v>1550</v>
      </c>
      <c r="F1247" s="23" t="str">
        <f>HYPERLINK("https://www.spark-marketing.ru/Card/Lot/73742619", "Оказание автотранспортных услуг в г. Надым и пос. Пангоды филиалу ПАО «Газпром» «Северо-Уральское межрегиональное управление охраны ПАО «Газпром» в г. Новом Уренгое для нужд ПАО «Газпром» в 2020-2021 годах (для субъектов малого и среднего предпринима...")</f>
        <v>Оказание автотранспортных услуг в г. Надым и пос. Пангоды филиалу ПАО «Газпром» «Северо-Уральское межрегиональное управление охраны ПАО «Газпром» в г. Новом Уренгое для нужд ПАО «Газпром» в 2020-2021 годах (для субъектов малого и среднего предпринима...</v>
      </c>
      <c r="G1247" s="22" t="s">
        <v>55</v>
      </c>
      <c r="H1247" s="22" t="s">
        <v>55</v>
      </c>
      <c r="I1247" s="26">
        <v>43728</v>
      </c>
      <c r="J1247" s="28" t="s">
        <v>52</v>
      </c>
      <c r="K1247" s="28" t="s">
        <v>52</v>
      </c>
      <c r="L1247" s="28" t="s">
        <v>52</v>
      </c>
      <c r="M1247" s="28" t="s">
        <v>52</v>
      </c>
      <c r="N1247" s="28" t="s">
        <v>52</v>
      </c>
    </row>
    <row r="1248" spans="1:14" x14ac:dyDescent="0.15">
      <c r="A1248" s="23" t="str">
        <f>HYPERLINK("https://www.spark-marketing.ru/Card/Person/72218", "ПФИЦ УРО РАН")</f>
        <v>ПФИЦ УРО РАН</v>
      </c>
      <c r="B1248" s="24" t="s">
        <v>2146</v>
      </c>
      <c r="C1248" s="25">
        <v>240000</v>
      </c>
      <c r="D1248" s="22" t="s">
        <v>2147</v>
      </c>
      <c r="E1248" s="22" t="s">
        <v>1919</v>
      </c>
      <c r="F1248" s="23" t="str">
        <f>HYPERLINK("https://www.spark-marketing.ru/Card/Lot/73655315", "«Разработка разделов «Безопасная эксплуатация шахтных водоотливных установок», «Откачка рассолов насосами, оставление гидроизолирующих целиков, установка гидроизолирующих перемычек» Регламента технологического производственного процесса (РТПП) «Защит...")</f>
        <v>«Разработка разделов «Безопасная эксплуатация шахтных водоотливных установок», «Откачка рассолов насосами, оставление гидроизолирующих целиков, установка гидроизолирующих перемычек» Регламента технологического производственного процесса (РТПП) «Защит...</v>
      </c>
      <c r="G1248" s="22" t="s">
        <v>391</v>
      </c>
      <c r="H1248" s="22" t="s">
        <v>391</v>
      </c>
      <c r="I1248" s="26">
        <v>43728</v>
      </c>
      <c r="J1248" s="28" t="s">
        <v>52</v>
      </c>
      <c r="K1248" s="28" t="s">
        <v>52</v>
      </c>
      <c r="L1248" s="28" t="s">
        <v>52</v>
      </c>
      <c r="M1248" s="28" t="s">
        <v>52</v>
      </c>
      <c r="N1248" s="28" t="s">
        <v>52</v>
      </c>
    </row>
    <row r="1249" spans="1:14" x14ac:dyDescent="0.15">
      <c r="A1249" s="23" t="str">
        <f>HYPERLINK("https://www.spark-marketing.ru/Card/Person/10991", "ПАО ""РОСТЕЛЕКОМ""")</f>
        <v>ПАО "РОСТЕЛЕКОМ"</v>
      </c>
      <c r="B1249" s="24" t="s">
        <v>607</v>
      </c>
      <c r="C1249" s="25">
        <v>14726577.6</v>
      </c>
      <c r="D1249" s="22" t="s">
        <v>2148</v>
      </c>
      <c r="E1249" s="22" t="s">
        <v>2149</v>
      </c>
      <c r="F1249" s="23" t="str">
        <f>HYPERLINK("https://www.spark-marketing.ru/Card/Lot/73756477", "Охрана объектов Смоленского филиала ПАО ""Ростелеком"", путём централизованного наблюдения за техническими средствами охранной сигнализации")</f>
        <v>Охрана объектов Смоленского филиала ПАО "Ростелеком", путём централизованного наблюдения за техническими средствами охранной сигнализации</v>
      </c>
      <c r="G1249" s="22" t="s">
        <v>89</v>
      </c>
      <c r="H1249" s="22" t="s">
        <v>89</v>
      </c>
      <c r="I1249" s="26">
        <v>43728</v>
      </c>
      <c r="J1249" s="28" t="s">
        <v>52</v>
      </c>
      <c r="K1249" s="28" t="s">
        <v>52</v>
      </c>
      <c r="L1249" s="28" t="s">
        <v>52</v>
      </c>
      <c r="M1249" s="28" t="s">
        <v>52</v>
      </c>
      <c r="N1249" s="28" t="s">
        <v>52</v>
      </c>
    </row>
    <row r="1250" spans="1:14" x14ac:dyDescent="0.15">
      <c r="A1250" s="23" t="str">
        <f>HYPERLINK("https://www.spark-marketing.ru/Card/Person/4346563", "ПАО ""ГАЗПРОМ""")</f>
        <v>ПАО "ГАЗПРОМ"</v>
      </c>
      <c r="B1250" s="24" t="s">
        <v>1548</v>
      </c>
      <c r="C1250" s="25">
        <v>88648814.459999993</v>
      </c>
      <c r="D1250" s="22" t="s">
        <v>2150</v>
      </c>
      <c r="E1250" s="22" t="s">
        <v>1550</v>
      </c>
      <c r="F1250" s="23" t="str">
        <f>HYPERLINK("https://www.spark-marketing.ru/Card/Lot/73742691", "Оказание автотранспортных услуг Филиалу ПАО «Газпром» «Главное управление охраны ПАО «Газпром» в г. Санкт-Петербурге для нужд ПАО «Газпром» в 2020-2021 годах (для субъектов малого и среднего предпринимательства)")</f>
        <v>Оказание автотранспортных услуг Филиалу ПАО «Газпром» «Главное управление охраны ПАО «Газпром» в г. Санкт-Петербурге для нужд ПАО «Газпром» в 2020-2021 годах (для субъектов малого и среднего предпринимательства)</v>
      </c>
      <c r="G1250" s="22" t="s">
        <v>55</v>
      </c>
      <c r="H1250" s="22" t="s">
        <v>55</v>
      </c>
      <c r="I1250" s="26">
        <v>43728</v>
      </c>
      <c r="J1250" s="28" t="s">
        <v>52</v>
      </c>
      <c r="K1250" s="28" t="s">
        <v>52</v>
      </c>
      <c r="L1250" s="28" t="s">
        <v>52</v>
      </c>
      <c r="M1250" s="28" t="s">
        <v>52</v>
      </c>
      <c r="N1250" s="28" t="s">
        <v>52</v>
      </c>
    </row>
    <row r="1251" spans="1:14" x14ac:dyDescent="0.15">
      <c r="A1251" s="23" t="str">
        <f>HYPERLINK("https://www.spark-marketing.ru/Card/Person/4346563", "ПАО ""ГАЗПРОМ""")</f>
        <v>ПАО "ГАЗПРОМ"</v>
      </c>
      <c r="B1251" s="24" t="s">
        <v>1548</v>
      </c>
      <c r="C1251" s="25">
        <v>37485262.200000003</v>
      </c>
      <c r="D1251" s="22" t="s">
        <v>2151</v>
      </c>
      <c r="E1251" s="22" t="s">
        <v>1550</v>
      </c>
      <c r="F1251" s="23" t="str">
        <f>HYPERLINK("https://www.spark-marketing.ru/Card/Lot/73742622", "Оказание автотранспортных услуг в г. Новом Уренгое филиалу ПАО «Газпром» «Северо-Уральское межрегиональное управление охраны ПАО «Газпром» в г. Новом Уренгое для нужд ПАО «Газпром» в 2020-2021 годах (для субъектов малого и среднего предпринимательств...")</f>
        <v>Оказание автотранспортных услуг в г. Новом Уренгое филиалу ПАО «Газпром» «Северо-Уральское межрегиональное управление охраны ПАО «Газпром» в г. Новом Уренгое для нужд ПАО «Газпром» в 2020-2021 годах (для субъектов малого и среднего предпринимательств...</v>
      </c>
      <c r="G1251" s="22" t="s">
        <v>55</v>
      </c>
      <c r="H1251" s="22" t="s">
        <v>55</v>
      </c>
      <c r="I1251" s="26">
        <v>43728</v>
      </c>
      <c r="J1251" s="28" t="s">
        <v>52</v>
      </c>
      <c r="K1251" s="28" t="s">
        <v>52</v>
      </c>
      <c r="L1251" s="28" t="s">
        <v>52</v>
      </c>
      <c r="M1251" s="28" t="s">
        <v>52</v>
      </c>
      <c r="N1251" s="28" t="s">
        <v>52</v>
      </c>
    </row>
    <row r="1252" spans="1:14" x14ac:dyDescent="0.15">
      <c r="A1252" s="23" t="str">
        <f>HYPERLINK("https://www.spark-marketing.ru/Card/Person/4346563", "ПАО ""ГАЗПРОМ""")</f>
        <v>ПАО "ГАЗПРОМ"</v>
      </c>
      <c r="B1252" s="24" t="s">
        <v>1548</v>
      </c>
      <c r="C1252" s="25">
        <v>45748800</v>
      </c>
      <c r="D1252" s="22" t="s">
        <v>2152</v>
      </c>
      <c r="E1252" s="22" t="s">
        <v>1550</v>
      </c>
      <c r="F1252" s="23" t="str">
        <f>HYPERLINK("https://www.spark-marketing.ru/Card/Lot/73743726", "Оказание автотранспортных услуг Восточно-Сибирскому отряду филиала ПАО «Газпром» «Сибирское межрегиональное управление охраны ПАО «Газпром» в г. Томске для нужд ПАО «Газпром» в 2020-2022 годах (для субъектов малого и среднего предпринимательства)")</f>
        <v>Оказание автотранспортных услуг Восточно-Сибирскому отряду филиала ПАО «Газпром» «Сибирское межрегиональное управление охраны ПАО «Газпром» в г. Томске для нужд ПАО «Газпром» в 2020-2022 годах (для субъектов малого и среднего предпринимательства)</v>
      </c>
      <c r="G1252" s="22" t="s">
        <v>55</v>
      </c>
      <c r="H1252" s="22" t="s">
        <v>55</v>
      </c>
      <c r="I1252" s="26">
        <v>43728</v>
      </c>
      <c r="J1252" s="28" t="s">
        <v>52</v>
      </c>
      <c r="K1252" s="28" t="s">
        <v>52</v>
      </c>
      <c r="L1252" s="28" t="s">
        <v>52</v>
      </c>
      <c r="M1252" s="28" t="s">
        <v>52</v>
      </c>
      <c r="N1252" s="28" t="s">
        <v>52</v>
      </c>
    </row>
    <row r="1253" spans="1:14" x14ac:dyDescent="0.15">
      <c r="A1253" s="23" t="str">
        <f>HYPERLINK("https://www.spark-marketing.ru/Card/Person/130109", "ПАО БАНК ""ФК ОТКРЫТИЕ""")</f>
        <v>ПАО БАНК "ФК ОТКРЫТИЕ"</v>
      </c>
      <c r="B1253" s="24" t="s">
        <v>693</v>
      </c>
      <c r="C1253" s="25">
        <v>0</v>
      </c>
      <c r="D1253" s="22" t="s">
        <v>2153</v>
      </c>
      <c r="E1253" s="22" t="s">
        <v>53</v>
      </c>
      <c r="F1253" s="23" t="str">
        <f>HYPERLINK("https://www.spark-marketing.ru/Card/Lot/73764175", "Охранные услуги для объектов заказчика в г. Ростов-на-Дону, Ростовская область")</f>
        <v>Охранные услуги для объектов заказчика в г. Ростов-на-Дону, Ростовская область</v>
      </c>
      <c r="G1253" s="22" t="s">
        <v>55</v>
      </c>
      <c r="H1253" s="22" t="s">
        <v>55</v>
      </c>
      <c r="I1253" s="26">
        <v>43728</v>
      </c>
      <c r="J1253" s="28" t="s">
        <v>52</v>
      </c>
      <c r="K1253" s="28" t="s">
        <v>52</v>
      </c>
      <c r="L1253" s="28" t="s">
        <v>52</v>
      </c>
      <c r="M1253" s="28" t="s">
        <v>52</v>
      </c>
      <c r="N1253" s="28" t="s">
        <v>52</v>
      </c>
    </row>
    <row r="1254" spans="1:14" x14ac:dyDescent="0.15">
      <c r="A1254" s="23" t="str">
        <f>HYPERLINK("https://www.spark-marketing.ru/Card/Person/1011444", "ФКУ ""ЦУКС ГУ МЧС РОССИИ ПО САМАРСКОЙ ОБЛАСТИ""")</f>
        <v>ФКУ "ЦУКС ГУ МЧС РОССИИ ПО САМАРСКОЙ ОБЛАСТИ"</v>
      </c>
      <c r="B1254" s="24" t="s">
        <v>2154</v>
      </c>
      <c r="C1254" s="25">
        <v>2000</v>
      </c>
      <c r="D1254" s="22" t="s">
        <v>2155</v>
      </c>
      <c r="E1254" s="22" t="s">
        <v>107</v>
      </c>
      <c r="F1254" s="23" t="str">
        <f>HYPERLINK("https://www.spark-marketing.ru/Card/Lot/73644320", "Техническое обслуживание и ППР технических средств охраны, 1 шт")</f>
        <v>Техническое обслуживание и ППР технических средств охраны, 1 шт</v>
      </c>
      <c r="G1254" s="22" t="s">
        <v>760</v>
      </c>
      <c r="H1254" s="22" t="s">
        <v>1709</v>
      </c>
      <c r="I1254" s="26">
        <v>43727.746319444399</v>
      </c>
      <c r="J1254" s="28" t="s">
        <v>52</v>
      </c>
      <c r="K1254" s="28" t="s">
        <v>52</v>
      </c>
      <c r="L1254" s="28" t="s">
        <v>52</v>
      </c>
      <c r="M1254" s="28" t="s">
        <v>52</v>
      </c>
      <c r="N1254" s="28" t="s">
        <v>52</v>
      </c>
    </row>
    <row r="1255" spans="1:14" x14ac:dyDescent="0.15">
      <c r="A1255" s="23" t="str">
        <f>HYPERLINK("https://www.spark-marketing.ru/Card/Person/4346215", "ФКУ УПРДОР МОСКВА - НИЖНИЙ НОВГОРОД")</f>
        <v>ФКУ УПРДОР МОСКВА - НИЖНИЙ НОВГОРОД</v>
      </c>
      <c r="B1255" s="24" t="s">
        <v>2156</v>
      </c>
      <c r="C1255" s="25">
        <v>45918486</v>
      </c>
      <c r="D1255" s="22" t="s">
        <v>2157</v>
      </c>
      <c r="E1255" s="22" t="s">
        <v>59</v>
      </c>
      <c r="F1255" s="23" t="str">
        <f>HYPERLINK("https://www.spark-marketing.ru/Card/Lot/73651770", "Оснащение объектов дорожного хозяйства инженерно-техническим средствами (системами) обеспечения транспортной безопасности")</f>
        <v>Оснащение объектов дорожного хозяйства инженерно-техническим средствами (системами) обеспечения транспортной безопасности</v>
      </c>
      <c r="G1255" s="22" t="s">
        <v>145</v>
      </c>
      <c r="H1255" s="22" t="s">
        <v>145</v>
      </c>
      <c r="I1255" s="26">
        <v>43727.637187499997</v>
      </c>
      <c r="J1255" s="28" t="s">
        <v>52</v>
      </c>
      <c r="K1255" s="28" t="s">
        <v>52</v>
      </c>
      <c r="L1255" s="28" t="s">
        <v>52</v>
      </c>
      <c r="M1255" s="28" t="s">
        <v>52</v>
      </c>
      <c r="N1255" s="28" t="s">
        <v>52</v>
      </c>
    </row>
    <row r="1256" spans="1:14" x14ac:dyDescent="0.15">
      <c r="A1256" s="23" t="str">
        <f>HYPERLINK("https://www.spark-marketing.ru/Card/Person/4346215", "ФКУ УПРДОР МОСКВА - НИЖНИЙ НОВГОРОД")</f>
        <v>ФКУ УПРДОР МОСКВА - НИЖНИЙ НОВГОРОД</v>
      </c>
      <c r="B1256" s="24" t="s">
        <v>2156</v>
      </c>
      <c r="C1256" s="25">
        <v>29050961</v>
      </c>
      <c r="D1256" s="22" t="s">
        <v>2158</v>
      </c>
      <c r="E1256" s="22" t="s">
        <v>59</v>
      </c>
      <c r="F1256" s="23" t="str">
        <f>HYPERLINK("https://www.spark-marketing.ru/Card/Lot/73651734", "Оснащение объектов дорожного хозяйства инженерно-техническими средствами (системами) обеспечения транспортной безопасности")</f>
        <v>Оснащение объектов дорожного хозяйства инженерно-техническими средствами (системами) обеспечения транспортной безопасности</v>
      </c>
      <c r="G1256" s="22" t="s">
        <v>145</v>
      </c>
      <c r="H1256" s="22" t="s">
        <v>145</v>
      </c>
      <c r="I1256" s="26">
        <v>43727.639039351903</v>
      </c>
      <c r="J1256" s="28" t="s">
        <v>52</v>
      </c>
      <c r="K1256" s="28" t="s">
        <v>52</v>
      </c>
      <c r="L1256" s="28" t="s">
        <v>52</v>
      </c>
      <c r="M1256" s="28" t="s">
        <v>52</v>
      </c>
      <c r="N1256" s="28" t="s">
        <v>52</v>
      </c>
    </row>
    <row r="1257" spans="1:14" x14ac:dyDescent="0.15">
      <c r="A1257" s="23" t="str">
        <f>HYPERLINK("https://www.spark-marketing.ru/Card/Person/2040026", "ФКУ ""СЗОУМТС МВД РОССИИ""")</f>
        <v>ФКУ "СЗОУМТС МВД РОССИИ"</v>
      </c>
      <c r="B1257" s="24" t="s">
        <v>2159</v>
      </c>
      <c r="C1257" s="25">
        <v>324073.62</v>
      </c>
      <c r="D1257" s="22" t="s">
        <v>2160</v>
      </c>
      <c r="E1257" s="22" t="s">
        <v>208</v>
      </c>
      <c r="F1257" s="23" t="str">
        <f>HYPERLINK("https://www.spark-marketing.ru/Card/Lot/73647463", "Система охранной сигнализации")</f>
        <v>Система охранной сигнализации</v>
      </c>
      <c r="G1257" s="22" t="s">
        <v>89</v>
      </c>
      <c r="H1257" s="22" t="s">
        <v>89</v>
      </c>
      <c r="I1257" s="26">
        <v>43727.659722222197</v>
      </c>
      <c r="J1257" s="23" t="str">
        <f>HYPERLINK("https://www.spark-marketing.ru/Card/Person/1366639", "ООО ""МОНТАЖНЫЙ ЦЕНТР""")</f>
        <v>ООО "МОНТАЖНЫЙ ЦЕНТР"</v>
      </c>
      <c r="K1257" s="24" t="s">
        <v>2161</v>
      </c>
      <c r="L1257" s="22" t="s">
        <v>10</v>
      </c>
      <c r="M1257" s="28" t="s">
        <v>52</v>
      </c>
      <c r="N1257" s="28" t="s">
        <v>52</v>
      </c>
    </row>
    <row r="1258" spans="1:14" x14ac:dyDescent="0.15">
      <c r="A1258" s="23" t="str">
        <f>HYPERLINK("https://www.spark-marketing.ru/Card/Person/813014", "ФКУ ""ГБ МСЭ ПО ЧУВАШСКОЙ РЕСПУБЛИКЕ - ЧУВАШИИ"" МИНТРУДА РОССИИ")</f>
        <v>ФКУ "ГБ МСЭ ПО ЧУВАШСКОЙ РЕСПУБЛИКЕ - ЧУВАШИИ" МИНТРУДА РОССИИ</v>
      </c>
      <c r="B1258" s="24" t="s">
        <v>1733</v>
      </c>
      <c r="C1258" s="25">
        <v>94283</v>
      </c>
      <c r="D1258" s="22" t="s">
        <v>2162</v>
      </c>
      <c r="E1258" s="22" t="s">
        <v>84</v>
      </c>
      <c r="F1258" s="23" t="str">
        <f>HYPERLINK("https://www.spark-marketing.ru/Card/Lot/73635559", "Монтаж, установка, модернизация систем видеонаблюдения, 1 шт")</f>
        <v>Монтаж, установка, модернизация систем видеонаблюдения, 1 шт</v>
      </c>
      <c r="G1258" s="22" t="s">
        <v>1137</v>
      </c>
      <c r="H1258" s="22" t="s">
        <v>1138</v>
      </c>
      <c r="I1258" s="26">
        <v>43727.601574074099</v>
      </c>
      <c r="J1258" s="28" t="s">
        <v>52</v>
      </c>
      <c r="K1258" s="28" t="s">
        <v>52</v>
      </c>
      <c r="L1258" s="28" t="s">
        <v>52</v>
      </c>
      <c r="M1258" s="28" t="s">
        <v>52</v>
      </c>
      <c r="N1258" s="28" t="s">
        <v>52</v>
      </c>
    </row>
    <row r="1259" spans="1:14" x14ac:dyDescent="0.15">
      <c r="A1259" s="23" t="str">
        <f>HYPERLINK("https://www.spark-marketing.ru/Card/Person/4358496", "ООО ""ЛЕНИНГРАДСКАЯ АЭС-АВТО""")</f>
        <v>ООО "ЛЕНИНГРАДСКАЯ АЭС-АВТО"</v>
      </c>
      <c r="B1259" s="24" t="s">
        <v>2163</v>
      </c>
      <c r="C1259" s="25">
        <v>5904867.6500000004</v>
      </c>
      <c r="D1259" s="22" t="s">
        <v>2164</v>
      </c>
      <c r="E1259" s="22" t="s">
        <v>53</v>
      </c>
      <c r="F1259" s="23" t="str">
        <f>HYPERLINK("https://www.spark-marketing.ru/Card/Lot/73641740", "ЕИС №31908317510 Право заключения договора на Оказание услуг по оснащению транспортных средств ООО ""Ленинградская АЭС-Авто"" техническими средствами обеспечения транспортной безопасности и диспетчеризации")</f>
        <v>ЕИС №31908317510 Право заключения договора на Оказание услуг по оснащению транспортных средств ООО "Ленинградская АЭС-Авто" техническими средствами обеспечения транспортной безопасности и диспетчеризации</v>
      </c>
      <c r="G1259" s="22" t="s">
        <v>861</v>
      </c>
      <c r="H1259" s="22" t="s">
        <v>1920</v>
      </c>
      <c r="I1259" s="26">
        <v>43727.566817129598</v>
      </c>
      <c r="J1259" s="28" t="s">
        <v>52</v>
      </c>
      <c r="K1259" s="28" t="s">
        <v>52</v>
      </c>
      <c r="L1259" s="28" t="s">
        <v>52</v>
      </c>
      <c r="M1259" s="28" t="s">
        <v>52</v>
      </c>
      <c r="N1259" s="28" t="s">
        <v>52</v>
      </c>
    </row>
    <row r="1260" spans="1:14" x14ac:dyDescent="0.15">
      <c r="A1260" s="23" t="str">
        <f>HYPERLINK("https://www.spark-marketing.ru/Card/Person/38131", "ФГКУ КОМБИНАТ ""УТЕС"" РОСРЕЗЕРВА")</f>
        <v>ФГКУ КОМБИНАТ "УТЕС" РОСРЕЗЕРВА</v>
      </c>
      <c r="B1260" s="24" t="s">
        <v>2165</v>
      </c>
      <c r="C1260" s="25">
        <v>33521.599999999999</v>
      </c>
      <c r="D1260" s="22" t="s">
        <v>2166</v>
      </c>
      <c r="E1260" s="22" t="s">
        <v>53</v>
      </c>
      <c r="F1260" s="23" t="str">
        <f>HYPERLINK("https://www.spark-marketing.ru/Card/Lot/73633315", "Охранные услуги")</f>
        <v>Охранные услуги</v>
      </c>
      <c r="G1260" s="22" t="s">
        <v>514</v>
      </c>
      <c r="H1260" s="22" t="s">
        <v>2167</v>
      </c>
      <c r="I1260" s="26">
        <v>43727.503842592603</v>
      </c>
      <c r="J1260" s="28" t="s">
        <v>52</v>
      </c>
      <c r="K1260" s="28" t="s">
        <v>52</v>
      </c>
      <c r="L1260" s="28" t="s">
        <v>52</v>
      </c>
      <c r="M1260" s="28" t="s">
        <v>52</v>
      </c>
      <c r="N1260" s="28" t="s">
        <v>52</v>
      </c>
    </row>
    <row r="1261" spans="1:14" x14ac:dyDescent="0.15">
      <c r="A1261" s="23" t="str">
        <f>HYPERLINK("https://www.spark-marketing.ru/Card/Person/552309", "МОМВД РОССИИ ""ШИЛОВСКИЙ""")</f>
        <v>МОМВД РОССИИ "ШИЛОВСКИЙ"</v>
      </c>
      <c r="B1261" s="24" t="s">
        <v>2168</v>
      </c>
      <c r="C1261" s="25">
        <v>7440</v>
      </c>
      <c r="D1261" s="22" t="s">
        <v>2169</v>
      </c>
      <c r="E1261" s="22" t="s">
        <v>53</v>
      </c>
      <c r="F1261" s="23" t="str">
        <f>HYPERLINK("https://www.spark-marketing.ru/Card/Lot/73633294", "обслуживание средств тревожной сигнализации")</f>
        <v>обслуживание средств тревожной сигнализации</v>
      </c>
      <c r="G1261" s="22" t="s">
        <v>186</v>
      </c>
      <c r="H1261" s="22" t="s">
        <v>186</v>
      </c>
      <c r="I1261" s="26">
        <v>43727.518715277802</v>
      </c>
      <c r="J1261" s="28" t="s">
        <v>52</v>
      </c>
      <c r="K1261" s="28" t="s">
        <v>52</v>
      </c>
      <c r="L1261" s="28" t="s">
        <v>52</v>
      </c>
      <c r="M1261" s="28" t="s">
        <v>52</v>
      </c>
      <c r="N1261" s="28" t="s">
        <v>52</v>
      </c>
    </row>
    <row r="1262" spans="1:14" x14ac:dyDescent="0.15">
      <c r="A1262" s="23" t="str">
        <f>HYPERLINK("https://www.spark-marketing.ru/Card/Person/6504457", "МБДОУ ""ДЕТСКИЙ САД № 9""")</f>
        <v>МБДОУ "ДЕТСКИЙ САД № 9"</v>
      </c>
      <c r="B1262" s="24" t="s">
        <v>2170</v>
      </c>
      <c r="C1262" s="25">
        <v>4772</v>
      </c>
      <c r="D1262" s="22" t="s">
        <v>2171</v>
      </c>
      <c r="E1262" s="22" t="s">
        <v>732</v>
      </c>
      <c r="F1262" s="23" t="str">
        <f>HYPERLINK("https://www.spark-marketing.ru/Card/Lot/73633898", "Поставка, установка и отладка двух вызывных видеопанелей AVC-305 (PAL) для МБДОУ «Детский сад общеразвивающего вида № 9»")</f>
        <v>Поставка, установка и отладка двух вызывных видеопанелей AVC-305 (PAL) для МБДОУ «Детский сад общеразвивающего вида № 9»</v>
      </c>
      <c r="G1262" s="22" t="s">
        <v>50</v>
      </c>
      <c r="H1262" s="22" t="s">
        <v>326</v>
      </c>
      <c r="I1262" s="26">
        <v>43727.523923611101</v>
      </c>
      <c r="J1262" s="28" t="s">
        <v>52</v>
      </c>
      <c r="K1262" s="28" t="s">
        <v>52</v>
      </c>
      <c r="L1262" s="28" t="s">
        <v>52</v>
      </c>
      <c r="M1262" s="28" t="s">
        <v>52</v>
      </c>
      <c r="N1262" s="28" t="s">
        <v>52</v>
      </c>
    </row>
    <row r="1263" spans="1:14" x14ac:dyDescent="0.15">
      <c r="A1263" s="23" t="str">
        <f>HYPERLINK("https://www.spark-marketing.ru/Card/Person/6504457", "МБДОУ ""ДЕТСКИЙ САД № 9""")</f>
        <v>МБДОУ "ДЕТСКИЙ САД № 9"</v>
      </c>
      <c r="B1263" s="24" t="s">
        <v>2170</v>
      </c>
      <c r="C1263" s="25">
        <v>15000</v>
      </c>
      <c r="D1263" s="22" t="s">
        <v>2172</v>
      </c>
      <c r="E1263" s="22" t="s">
        <v>107</v>
      </c>
      <c r="F1263" s="23" t="str">
        <f>HYPERLINK("https://www.spark-marketing.ru/Card/Lot/73633900", "Осуществление комплекса организационно-технических мероприятий по техническому обслуживанию оборудования видеосистемы контроля управления доступом (домофоны, видеодомофоны) здания МБДОУ ""Детский сад общеразвивающего вида № 9""")</f>
        <v>Осуществление комплекса организационно-технических мероприятий по техническому обслуживанию оборудования видеосистемы контроля управления доступом (домофоны, видеодомофоны) здания МБДОУ "Детский сад общеразвивающего вида № 9"</v>
      </c>
      <c r="G1263" s="22" t="s">
        <v>50</v>
      </c>
      <c r="H1263" s="22" t="s">
        <v>326</v>
      </c>
      <c r="I1263" s="26">
        <v>43727.523946759298</v>
      </c>
      <c r="J1263" s="28" t="s">
        <v>52</v>
      </c>
      <c r="K1263" s="28" t="s">
        <v>52</v>
      </c>
      <c r="L1263" s="28" t="s">
        <v>52</v>
      </c>
      <c r="M1263" s="28" t="s">
        <v>52</v>
      </c>
      <c r="N1263" s="28" t="s">
        <v>52</v>
      </c>
    </row>
    <row r="1264" spans="1:14" x14ac:dyDescent="0.15">
      <c r="A1264" s="23" t="str">
        <f t="shared" ref="A1264:A1269" si="41">HYPERLINK("https://www.spark-marketing.ru/Card/Person/631077", "МБУ ""УЖК И ДК КГО""")</f>
        <v>МБУ "УЖК И ДК КГО"</v>
      </c>
      <c r="B1264" s="24" t="s">
        <v>2173</v>
      </c>
      <c r="C1264" s="25">
        <v>148418.66</v>
      </c>
      <c r="D1264" s="22" t="s">
        <v>2174</v>
      </c>
      <c r="E1264" s="22" t="s">
        <v>194</v>
      </c>
      <c r="F1264" s="23" t="str">
        <f t="shared" ref="F1264:F1269" si="42">HYPERLINK("https://www.spark-marketing.ru/Card/Lot/73635719", "Поставка и установка системы видеонаблюдения")</f>
        <v>Поставка и установка системы видеонаблюдения</v>
      </c>
      <c r="G1264" s="22" t="s">
        <v>367</v>
      </c>
      <c r="H1264" s="22" t="s">
        <v>2175</v>
      </c>
      <c r="I1264" s="26">
        <v>43727.661111111098</v>
      </c>
      <c r="J1264" s="28" t="s">
        <v>52</v>
      </c>
      <c r="K1264" s="28" t="s">
        <v>52</v>
      </c>
      <c r="L1264" s="28" t="s">
        <v>52</v>
      </c>
      <c r="M1264" s="28" t="s">
        <v>52</v>
      </c>
      <c r="N1264" s="28" t="s">
        <v>52</v>
      </c>
    </row>
    <row r="1265" spans="1:14" ht="12.75" hidden="1" outlineLevel="1" x14ac:dyDescent="0.2">
      <c r="A1265" s="23" t="str">
        <f t="shared" si="41"/>
        <v>МБУ "УЖК И ДК КГО"</v>
      </c>
      <c r="B1265" s="24" t="s">
        <v>2173</v>
      </c>
      <c r="C1265" s="25">
        <v>148418.66</v>
      </c>
      <c r="D1265" s="22" t="s">
        <v>2174</v>
      </c>
      <c r="E1265" s="22" t="s">
        <v>194</v>
      </c>
      <c r="F1265" s="23" t="str">
        <f t="shared" si="42"/>
        <v>Поставка и установка системы видеонаблюдения</v>
      </c>
      <c r="G1265" s="22" t="s">
        <v>367</v>
      </c>
      <c r="H1265" s="22" t="s">
        <v>2175</v>
      </c>
      <c r="I1265" s="26">
        <v>43727.661111111098</v>
      </c>
      <c r="J1265" s="23" t="str">
        <f>HYPERLINK("https://www.spark-marketing.ru/Card/Person/5951106", "ООО ""СБ-24""")</f>
        <v>ООО "СБ-24"</v>
      </c>
      <c r="K1265" s="24" t="s">
        <v>2176</v>
      </c>
      <c r="L1265" s="22" t="s">
        <v>10</v>
      </c>
      <c r="M1265" s="25">
        <v>97000</v>
      </c>
      <c r="N1265" s="27">
        <v>0.34644336500545148</v>
      </c>
    </row>
    <row r="1266" spans="1:14" hidden="1" outlineLevel="1" x14ac:dyDescent="0.2">
      <c r="A1266" s="23" t="str">
        <f t="shared" si="41"/>
        <v>МБУ "УЖК И ДК КГО"</v>
      </c>
      <c r="B1266" s="24" t="s">
        <v>2173</v>
      </c>
      <c r="C1266" s="25">
        <v>148418.66</v>
      </c>
      <c r="D1266" s="22" t="s">
        <v>2174</v>
      </c>
      <c r="E1266" s="22" t="s">
        <v>194</v>
      </c>
      <c r="F1266" s="23" t="str">
        <f t="shared" si="42"/>
        <v>Поставка и установка системы видеонаблюдения</v>
      </c>
      <c r="G1266" s="22" t="s">
        <v>367</v>
      </c>
      <c r="H1266" s="22" t="s">
        <v>2175</v>
      </c>
      <c r="I1266" s="26">
        <v>43727.661111111098</v>
      </c>
      <c r="J1266" s="23" t="str">
        <f>HYPERLINK("https://www.spark-marketing.ru/Card/Person/5951577", "ООО ""ЧИП""")</f>
        <v>ООО "ЧИП"</v>
      </c>
      <c r="K1266" s="24" t="s">
        <v>2177</v>
      </c>
      <c r="L1266" s="28" t="s">
        <v>52</v>
      </c>
      <c r="M1266" s="25">
        <v>106985</v>
      </c>
      <c r="N1266" s="27">
        <v>0.27916745778462088</v>
      </c>
    </row>
    <row r="1267" spans="1:14" hidden="1" outlineLevel="1" x14ac:dyDescent="0.2">
      <c r="A1267" s="23" t="str">
        <f t="shared" si="41"/>
        <v>МБУ "УЖК И ДК КГО"</v>
      </c>
      <c r="B1267" s="24" t="s">
        <v>2173</v>
      </c>
      <c r="C1267" s="25">
        <v>148418.66</v>
      </c>
      <c r="D1267" s="22" t="s">
        <v>2174</v>
      </c>
      <c r="E1267" s="22" t="s">
        <v>194</v>
      </c>
      <c r="F1267" s="23" t="str">
        <f t="shared" si="42"/>
        <v>Поставка и установка системы видеонаблюдения</v>
      </c>
      <c r="G1267" s="22" t="s">
        <v>367</v>
      </c>
      <c r="H1267" s="22" t="s">
        <v>2175</v>
      </c>
      <c r="I1267" s="26">
        <v>43727.661111111098</v>
      </c>
      <c r="J1267" s="23" t="str">
        <f>HYPERLINK("https://www.spark-marketing.ru/Card/Person/6402542", "ООО ""ЦЕНТР СБ""")</f>
        <v>ООО "ЦЕНТР СБ"</v>
      </c>
      <c r="K1267" s="24" t="s">
        <v>2133</v>
      </c>
      <c r="L1267" s="28" t="s">
        <v>52</v>
      </c>
      <c r="M1267" s="25">
        <v>138000</v>
      </c>
      <c r="N1267" s="27">
        <v>7.0197777018064983E-2</v>
      </c>
    </row>
    <row r="1268" spans="1:14" hidden="1" outlineLevel="1" x14ac:dyDescent="0.2">
      <c r="A1268" s="23" t="str">
        <f t="shared" si="41"/>
        <v>МБУ "УЖК И ДК КГО"</v>
      </c>
      <c r="B1268" s="24" t="s">
        <v>2173</v>
      </c>
      <c r="C1268" s="25">
        <v>148418.66</v>
      </c>
      <c r="D1268" s="22" t="s">
        <v>2174</v>
      </c>
      <c r="E1268" s="22" t="s">
        <v>194</v>
      </c>
      <c r="F1268" s="23" t="str">
        <f t="shared" si="42"/>
        <v>Поставка и установка системы видеонаблюдения</v>
      </c>
      <c r="G1268" s="22" t="s">
        <v>367</v>
      </c>
      <c r="H1268" s="22" t="s">
        <v>2175</v>
      </c>
      <c r="I1268" s="26">
        <v>43727.661111111098</v>
      </c>
      <c r="J1268" s="23" t="str">
        <f>HYPERLINK("https://www.spark-marketing.ru/Card/Person/57861", "ООО ""КОМТЕЛ""")</f>
        <v>ООО "КОМТЕЛ"</v>
      </c>
      <c r="K1268" s="24" t="s">
        <v>2178</v>
      </c>
      <c r="L1268" s="28" t="s">
        <v>52</v>
      </c>
      <c r="M1268" s="25">
        <v>138996</v>
      </c>
      <c r="N1268" s="27">
        <v>6.348703053915189E-2</v>
      </c>
    </row>
    <row r="1269" spans="1:14" hidden="1" outlineLevel="1" x14ac:dyDescent="0.2">
      <c r="A1269" s="23" t="str">
        <f t="shared" si="41"/>
        <v>МБУ "УЖК И ДК КГО"</v>
      </c>
      <c r="B1269" s="24" t="s">
        <v>2173</v>
      </c>
      <c r="C1269" s="25">
        <v>148418.66</v>
      </c>
      <c r="D1269" s="22" t="s">
        <v>2174</v>
      </c>
      <c r="E1269" s="22" t="s">
        <v>194</v>
      </c>
      <c r="F1269" s="23" t="str">
        <f t="shared" si="42"/>
        <v>Поставка и установка системы видеонаблюдения</v>
      </c>
      <c r="G1269" s="22" t="s">
        <v>367</v>
      </c>
      <c r="H1269" s="22" t="s">
        <v>2175</v>
      </c>
      <c r="I1269" s="26">
        <v>43727.661111111098</v>
      </c>
      <c r="J1269" s="23" t="str">
        <f>HYPERLINK("https://www.spark-marketing.ru/Card/Person/619503", "ООО ""АГАТ""")</f>
        <v>ООО "АГАТ"</v>
      </c>
      <c r="K1269" s="24" t="s">
        <v>2179</v>
      </c>
      <c r="L1269" s="28" t="s">
        <v>52</v>
      </c>
      <c r="M1269" s="25">
        <v>148100</v>
      </c>
      <c r="N1269" s="27">
        <v>2.1470346114161117E-3</v>
      </c>
    </row>
    <row r="1270" spans="1:14" x14ac:dyDescent="0.15">
      <c r="A1270" s="23" t="str">
        <f>HYPERLINK("https://www.spark-marketing.ru/Card/Person/9918", "БУЗОО ""ТЦМК""")</f>
        <v>БУЗОО "ТЦМК"</v>
      </c>
      <c r="B1270" s="24" t="s">
        <v>2180</v>
      </c>
      <c r="C1270" s="25">
        <v>127953.97</v>
      </c>
      <c r="D1270" s="22" t="s">
        <v>2181</v>
      </c>
      <c r="E1270" s="22" t="s">
        <v>52</v>
      </c>
      <c r="F1270" s="23" t="str">
        <f>HYPERLINK("https://www.spark-marketing.ru/Card/Lot/73630205", "Услуги частных охранных служб")</f>
        <v>Услуги частных охранных служб</v>
      </c>
      <c r="G1270" s="22" t="s">
        <v>521</v>
      </c>
      <c r="H1270" s="22" t="s">
        <v>522</v>
      </c>
      <c r="I1270" s="26">
        <v>43727.482638888898</v>
      </c>
      <c r="J1270" s="23" t="str">
        <f>HYPERLINK("https://www.spark-marketing.ru/Card/Person/1710392", "ООО ""ЧОП ""УСО""")</f>
        <v>ООО "ЧОП "УСО"</v>
      </c>
      <c r="K1270" s="24" t="s">
        <v>2182</v>
      </c>
      <c r="L1270" s="22" t="s">
        <v>10</v>
      </c>
      <c r="M1270" s="28" t="s">
        <v>52</v>
      </c>
      <c r="N1270" s="28" t="s">
        <v>52</v>
      </c>
    </row>
    <row r="1271" spans="1:14" x14ac:dyDescent="0.15">
      <c r="A1271" s="23" t="str">
        <f>HYPERLINK("https://www.spark-marketing.ru/Card/Person/4724538", "АО РОССИЙСКИЙ КОНЦЕРН ПО ПРОИЗВОДСТВУ ЭЛЕКТРИЧЕСКОЙ И ТЕПЛОВОЙ ЭНЕРГИИ НА АТОМНЫХ СТАНЦИЯХ ФЛ НОВОВОРОНЕЖСКАЯ АТОМНАЯ СТАНЦИЯ")</f>
        <v>АО РОССИЙСКИЙ КОНЦЕРН ПО ПРОИЗВОДСТВУ ЭЛЕКТРИЧЕСКОЙ И ТЕПЛОВОЙ ЭНЕРГИИ НА АТОМНЫХ СТАНЦИЯХ ФЛ НОВОВОРОНЕЖСКАЯ АТОМНАЯ СТАНЦИЯ</v>
      </c>
      <c r="B1271" s="28" t="s">
        <v>52</v>
      </c>
      <c r="C1271" s="25">
        <v>0</v>
      </c>
      <c r="D1271" s="22" t="s">
        <v>2183</v>
      </c>
      <c r="E1271" s="22" t="s">
        <v>53</v>
      </c>
      <c r="F1271" s="23" t="str">
        <f>HYPERLINK("https://www.spark-marketing.ru/Card/Lot/73633706", "мониторинг цен в электронной форме на «Оказание услуг по охране объектов НВ АЭС»")</f>
        <v>мониторинг цен в электронной форме на «Оказание услуг по охране объектов НВ АЭС»</v>
      </c>
      <c r="G1271" s="22" t="s">
        <v>52</v>
      </c>
      <c r="H1271" s="22" t="s">
        <v>52</v>
      </c>
      <c r="I1271" s="26">
        <v>43727.446412037003</v>
      </c>
      <c r="J1271" s="28" t="s">
        <v>52</v>
      </c>
      <c r="K1271" s="28" t="s">
        <v>52</v>
      </c>
      <c r="L1271" s="28" t="s">
        <v>52</v>
      </c>
      <c r="M1271" s="28" t="s">
        <v>52</v>
      </c>
      <c r="N1271" s="28" t="s">
        <v>52</v>
      </c>
    </row>
    <row r="1272" spans="1:14" x14ac:dyDescent="0.15">
      <c r="A1272" s="23" t="str">
        <f t="shared" ref="A1272:A1277" si="43">HYPERLINK("https://www.spark-marketing.ru/Card/Person/10834", "ГКУ КО ""ДИРЕКЦИЯ АВТОДОРОГ КУЗБАССА""")</f>
        <v>ГКУ КО "ДИРЕКЦИЯ АВТОДОРОГ КУЗБАССА"</v>
      </c>
      <c r="B1272" s="24" t="s">
        <v>1499</v>
      </c>
      <c r="C1272" s="25">
        <v>5528152.4299999997</v>
      </c>
      <c r="D1272" s="22" t="s">
        <v>2184</v>
      </c>
      <c r="E1272" s="22" t="s">
        <v>723</v>
      </c>
      <c r="F1272" s="23" t="str">
        <f>HYPERLINK("https://www.spark-marketing.ru/Card/Lot/73626619",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v>
      </c>
      <c r="G1272" s="22" t="s">
        <v>367</v>
      </c>
      <c r="H1272" s="22" t="s">
        <v>881</v>
      </c>
      <c r="I1272" s="26">
        <v>43727.367361111101</v>
      </c>
      <c r="J1272" s="23" t="str">
        <f t="shared" ref="J1272:J1277" si="44">HYPERLINK("https://www.spark-marketing.ru/Card/Person/127397", "ООО ""ИНФОСЕРВИС""")</f>
        <v>ООО "ИНФОСЕРВИС"</v>
      </c>
      <c r="K1272" s="24" t="s">
        <v>1503</v>
      </c>
      <c r="L1272" s="28" t="s">
        <v>52</v>
      </c>
      <c r="M1272" s="28" t="s">
        <v>52</v>
      </c>
      <c r="N1272" s="28" t="s">
        <v>52</v>
      </c>
    </row>
    <row r="1273" spans="1:14" ht="12.75" hidden="1" outlineLevel="1" x14ac:dyDescent="0.2">
      <c r="A1273" s="23" t="str">
        <f t="shared" si="43"/>
        <v>ГКУ КО "ДИРЕКЦИЯ АВТОДОРОГ КУЗБАССА"</v>
      </c>
      <c r="B1273" s="24" t="s">
        <v>1499</v>
      </c>
      <c r="C1273" s="25">
        <v>5528152.4299999997</v>
      </c>
      <c r="D1273" s="22" t="s">
        <v>2184</v>
      </c>
      <c r="E1273" s="22" t="s">
        <v>723</v>
      </c>
      <c r="F1273" s="23" t="str">
        <f>HYPERLINK("https://www.spark-marketing.ru/Card/Lot/73626619",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v>
      </c>
      <c r="G1273" s="22" t="s">
        <v>367</v>
      </c>
      <c r="H1273" s="22" t="s">
        <v>881</v>
      </c>
      <c r="I1273" s="26">
        <v>43727.367361111101</v>
      </c>
      <c r="J1273" s="23" t="str">
        <f t="shared" si="44"/>
        <v>ООО "ИНФОСЕРВИС"</v>
      </c>
      <c r="K1273" s="24" t="s">
        <v>1503</v>
      </c>
      <c r="L1273" s="22" t="s">
        <v>10</v>
      </c>
      <c r="M1273" s="25">
        <v>5500511.6600000001</v>
      </c>
      <c r="N1273" s="27">
        <v>5.0000014200042601E-3</v>
      </c>
    </row>
    <row r="1274" spans="1:14" x14ac:dyDescent="0.15">
      <c r="A1274" s="23" t="str">
        <f t="shared" si="43"/>
        <v>ГКУ КО "ДИРЕКЦИЯ АВТОДОРОГ КУЗБАССА"</v>
      </c>
      <c r="B1274" s="24" t="s">
        <v>1499</v>
      </c>
      <c r="C1274" s="25">
        <v>5153840.5599999996</v>
      </c>
      <c r="D1274" s="22" t="s">
        <v>2185</v>
      </c>
      <c r="E1274" s="22" t="s">
        <v>723</v>
      </c>
      <c r="F1274" s="23" t="str">
        <f>HYPERLINK("https://www.spark-marketing.ru/Card/Lot/73626086",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v>
      </c>
      <c r="G1274" s="22" t="s">
        <v>367</v>
      </c>
      <c r="H1274" s="22" t="s">
        <v>881</v>
      </c>
      <c r="I1274" s="26">
        <v>43727.370138888902</v>
      </c>
      <c r="J1274" s="23" t="str">
        <f t="shared" si="44"/>
        <v>ООО "ИНФОСЕРВИС"</v>
      </c>
      <c r="K1274" s="24" t="s">
        <v>1503</v>
      </c>
      <c r="L1274" s="28" t="s">
        <v>52</v>
      </c>
      <c r="M1274" s="28" t="s">
        <v>52</v>
      </c>
      <c r="N1274" s="28" t="s">
        <v>52</v>
      </c>
    </row>
    <row r="1275" spans="1:14" ht="12.75" hidden="1" outlineLevel="1" x14ac:dyDescent="0.2">
      <c r="A1275" s="23" t="str">
        <f t="shared" si="43"/>
        <v>ГКУ КО "ДИРЕКЦИЯ АВТОДОРОГ КУЗБАССА"</v>
      </c>
      <c r="B1275" s="24" t="s">
        <v>1499</v>
      </c>
      <c r="C1275" s="25">
        <v>5153840.5599999996</v>
      </c>
      <c r="D1275" s="22" t="s">
        <v>2185</v>
      </c>
      <c r="E1275" s="22" t="s">
        <v>723</v>
      </c>
      <c r="F1275" s="23" t="str">
        <f>HYPERLINK("https://www.spark-marketing.ru/Card/Lot/73626086",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v>
      </c>
      <c r="G1275" s="22" t="s">
        <v>367</v>
      </c>
      <c r="H1275" s="22" t="s">
        <v>881</v>
      </c>
      <c r="I1275" s="26">
        <v>43727.370138888902</v>
      </c>
      <c r="J1275" s="23" t="str">
        <f t="shared" si="44"/>
        <v>ООО "ИНФОСЕРВИС"</v>
      </c>
      <c r="K1275" s="24" t="s">
        <v>1503</v>
      </c>
      <c r="L1275" s="22" t="s">
        <v>10</v>
      </c>
      <c r="M1275" s="25">
        <v>5128071.3499999996</v>
      </c>
      <c r="N1275" s="27">
        <v>5.0000013970164419E-3</v>
      </c>
    </row>
    <row r="1276" spans="1:14" x14ac:dyDescent="0.15">
      <c r="A1276" s="23" t="str">
        <f t="shared" si="43"/>
        <v>ГКУ КО "ДИРЕКЦИЯ АВТОДОРОГ КУЗБАССА"</v>
      </c>
      <c r="B1276" s="24" t="s">
        <v>1499</v>
      </c>
      <c r="C1276" s="25">
        <v>6560025.0599999996</v>
      </c>
      <c r="D1276" s="22" t="s">
        <v>2186</v>
      </c>
      <c r="E1276" s="22" t="s">
        <v>723</v>
      </c>
      <c r="F1276" s="23" t="str">
        <f>HYPERLINK("https://www.spark-marketing.ru/Card/Lot/73625306",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v>
      </c>
      <c r="G1276" s="22" t="s">
        <v>367</v>
      </c>
      <c r="H1276" s="22" t="s">
        <v>881</v>
      </c>
      <c r="I1276" s="26">
        <v>43727.369444444397</v>
      </c>
      <c r="J1276" s="23" t="str">
        <f t="shared" si="44"/>
        <v>ООО "ИНФОСЕРВИС"</v>
      </c>
      <c r="K1276" s="24" t="s">
        <v>1503</v>
      </c>
      <c r="L1276" s="28" t="s">
        <v>52</v>
      </c>
      <c r="M1276" s="28" t="s">
        <v>52</v>
      </c>
      <c r="N1276" s="28" t="s">
        <v>52</v>
      </c>
    </row>
    <row r="1277" spans="1:14" ht="12.75" hidden="1" outlineLevel="1" x14ac:dyDescent="0.2">
      <c r="A1277" s="23" t="str">
        <f t="shared" si="43"/>
        <v>ГКУ КО "ДИРЕКЦИЯ АВТОДОРОГ КУЗБАССА"</v>
      </c>
      <c r="B1277" s="24" t="s">
        <v>1499</v>
      </c>
      <c r="C1277" s="25">
        <v>6560025.0599999996</v>
      </c>
      <c r="D1277" s="22" t="s">
        <v>2186</v>
      </c>
      <c r="E1277" s="22" t="s">
        <v>723</v>
      </c>
      <c r="F1277" s="23" t="str">
        <f>HYPERLINK("https://www.spark-marketing.ru/Card/Lot/73625306",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v>
      </c>
      <c r="G1277" s="22" t="s">
        <v>367</v>
      </c>
      <c r="H1277" s="22" t="s">
        <v>881</v>
      </c>
      <c r="I1277" s="26">
        <v>43727.369444444397</v>
      </c>
      <c r="J1277" s="23" t="str">
        <f t="shared" si="44"/>
        <v>ООО "ИНФОСЕРВИС"</v>
      </c>
      <c r="K1277" s="24" t="s">
        <v>1503</v>
      </c>
      <c r="L1277" s="22" t="s">
        <v>10</v>
      </c>
      <c r="M1277" s="25">
        <v>6527224.9299999997</v>
      </c>
      <c r="N1277" s="27">
        <v>5.0000007164606773E-3</v>
      </c>
    </row>
    <row r="1278" spans="1:14" x14ac:dyDescent="0.15">
      <c r="A1278" s="23" t="str">
        <f>HYPERLINK("https://www.spark-marketing.ru/Card/Person/1013044", "ГОСТРУДИНСПЕКЦИЯ В ОМСКОЙ ОБЛАСТИ")</f>
        <v>ГОСТРУДИНСПЕКЦИЯ В ОМСКОЙ ОБЛАСТИ</v>
      </c>
      <c r="B1278" s="24" t="s">
        <v>2187</v>
      </c>
      <c r="C1278" s="25">
        <v>167530</v>
      </c>
      <c r="D1278" s="22" t="s">
        <v>2188</v>
      </c>
      <c r="E1278" s="22" t="s">
        <v>53</v>
      </c>
      <c r="F1278" s="23" t="str">
        <f>HYPERLINK("https://www.spark-marketing.ru/Card/Lot/73626187", "Услуги, Автомобильные товары и запчасти")</f>
        <v>Услуги, Автомобильные товары и запчасти</v>
      </c>
      <c r="G1278" s="22" t="s">
        <v>521</v>
      </c>
      <c r="H1278" s="22" t="s">
        <v>522</v>
      </c>
      <c r="I1278" s="26">
        <v>43727.370914351799</v>
      </c>
      <c r="J1278" s="28" t="s">
        <v>52</v>
      </c>
      <c r="K1278" s="28" t="s">
        <v>52</v>
      </c>
      <c r="L1278" s="28" t="s">
        <v>52</v>
      </c>
      <c r="M1278" s="28" t="s">
        <v>52</v>
      </c>
      <c r="N1278" s="28" t="s">
        <v>52</v>
      </c>
    </row>
    <row r="1279" spans="1:14" x14ac:dyDescent="0.15">
      <c r="A1279" s="23" t="str">
        <f>HYPERLINK("https://www.spark-marketing.ru/Card/Person/10834", "ГКУ КО ""ДИРЕКЦИЯ АВТОДОРОГ КУЗБАССА""")</f>
        <v>ГКУ КО "ДИРЕКЦИЯ АВТОДОРОГ КУЗБАССА"</v>
      </c>
      <c r="B1279" s="24" t="s">
        <v>1499</v>
      </c>
      <c r="C1279" s="25">
        <v>5270657.25</v>
      </c>
      <c r="D1279" s="22" t="s">
        <v>2189</v>
      </c>
      <c r="E1279" s="22" t="s">
        <v>723</v>
      </c>
      <c r="F1279" s="23" t="str">
        <f>HYPERLINK("https://www.spark-marketing.ru/Card/Lot/73626191",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v>
      </c>
      <c r="G1279" s="22" t="s">
        <v>367</v>
      </c>
      <c r="H1279" s="22" t="s">
        <v>881</v>
      </c>
      <c r="I1279" s="26">
        <v>43727.368750000001</v>
      </c>
      <c r="J1279" s="28" t="s">
        <v>52</v>
      </c>
      <c r="K1279" s="28" t="s">
        <v>52</v>
      </c>
      <c r="L1279" s="28" t="s">
        <v>52</v>
      </c>
      <c r="M1279" s="28" t="s">
        <v>52</v>
      </c>
      <c r="N1279" s="28" t="s">
        <v>52</v>
      </c>
    </row>
    <row r="1280" spans="1:14" hidden="1" outlineLevel="1" x14ac:dyDescent="0.2">
      <c r="A1280" s="23" t="str">
        <f>HYPERLINK("https://www.spark-marketing.ru/Card/Person/10834", "ГКУ КО ""ДИРЕКЦИЯ АВТОДОРОГ КУЗБАССА""")</f>
        <v>ГКУ КО "ДИРЕКЦИЯ АВТОДОРОГ КУЗБАССА"</v>
      </c>
      <c r="B1280" s="24" t="s">
        <v>1499</v>
      </c>
      <c r="C1280" s="25">
        <v>5270657.25</v>
      </c>
      <c r="D1280" s="22" t="s">
        <v>2189</v>
      </c>
      <c r="E1280" s="22" t="s">
        <v>723</v>
      </c>
      <c r="F1280" s="23" t="str">
        <f>HYPERLINK("https://www.spark-marketing.ru/Card/Lot/73626191",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v>
      </c>
      <c r="G1280" s="22" t="s">
        <v>367</v>
      </c>
      <c r="H1280" s="22" t="s">
        <v>881</v>
      </c>
      <c r="I1280" s="26">
        <v>43727.368750000001</v>
      </c>
      <c r="J1280" s="23" t="str">
        <f>HYPERLINK("https://www.spark-marketing.ru/Card/Person/127397", "ООО ""ИНФОСЕРВИС""")</f>
        <v>ООО "ИНФОСЕРВИС"</v>
      </c>
      <c r="K1280" s="24" t="s">
        <v>1503</v>
      </c>
      <c r="L1280" s="28" t="s">
        <v>52</v>
      </c>
      <c r="M1280" s="25">
        <v>4532765.21</v>
      </c>
      <c r="N1280" s="27">
        <v>0.14000000474324145</v>
      </c>
    </row>
    <row r="1281" spans="1:14" ht="12.75" hidden="1" outlineLevel="1" x14ac:dyDescent="0.2">
      <c r="A1281" s="23" t="str">
        <f>HYPERLINK("https://www.spark-marketing.ru/Card/Person/10834", "ГКУ КО ""ДИРЕКЦИЯ АВТОДОРОГ КУЗБАССА""")</f>
        <v>ГКУ КО "ДИРЕКЦИЯ АВТОДОРОГ КУЗБАССА"</v>
      </c>
      <c r="B1281" s="24" t="s">
        <v>1499</v>
      </c>
      <c r="C1281" s="25">
        <v>5270657.25</v>
      </c>
      <c r="D1281" s="22" t="s">
        <v>2189</v>
      </c>
      <c r="E1281" s="22" t="s">
        <v>723</v>
      </c>
      <c r="F1281" s="23" t="str">
        <f>HYPERLINK("https://www.spark-marketing.ru/Card/Lot/73626191",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v>
      </c>
      <c r="G1281" s="22" t="s">
        <v>367</v>
      </c>
      <c r="H1281" s="22" t="s">
        <v>881</v>
      </c>
      <c r="I1281" s="26">
        <v>43727.368750000001</v>
      </c>
      <c r="J1281" s="23" t="str">
        <f>HYPERLINK("https://www.spark-marketing.ru/Card/Person/1354238", "ООО ""ЛАБОРАТОРИЯ ЦИФРОВОГО ЗРЕНИЯ""")</f>
        <v>ООО "ЛАБОРАТОРИЯ ЦИФРОВОГО ЗРЕНИЯ"</v>
      </c>
      <c r="K1281" s="24" t="s">
        <v>1191</v>
      </c>
      <c r="L1281" s="22" t="s">
        <v>10</v>
      </c>
      <c r="M1281" s="25">
        <v>4269232.3499999996</v>
      </c>
      <c r="N1281" s="27">
        <v>0.19000000426891731</v>
      </c>
    </row>
    <row r="1282" spans="1:14" x14ac:dyDescent="0.15">
      <c r="A1282" s="23" t="str">
        <f>HYPERLINK("https://www.spark-marketing.ru/Card/Person/10834", "ГКУ КО ""ДИРЕКЦИЯ АВТОДОРОГ КУЗБАССА""")</f>
        <v>ГКУ КО "ДИРЕКЦИЯ АВТОДОРОГ КУЗБАССА"</v>
      </c>
      <c r="B1282" s="24" t="s">
        <v>1499</v>
      </c>
      <c r="C1282" s="25">
        <v>5475454.54</v>
      </c>
      <c r="D1282" s="22" t="s">
        <v>2190</v>
      </c>
      <c r="E1282" s="22" t="s">
        <v>723</v>
      </c>
      <c r="F1282" s="23" t="str">
        <f>HYPERLINK("https://www.spark-marketing.ru/Card/Lot/73626640",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v>
      </c>
      <c r="G1282" s="22" t="s">
        <v>367</v>
      </c>
      <c r="H1282" s="22" t="s">
        <v>881</v>
      </c>
      <c r="I1282" s="26">
        <v>43727.370138888902</v>
      </c>
      <c r="J1282" s="23" t="str">
        <f>HYPERLINK("https://www.spark-marketing.ru/Card/Person/127397", "ООО ""ИНФОСЕРВИС""")</f>
        <v>ООО "ИНФОСЕРВИС"</v>
      </c>
      <c r="K1282" s="24" t="s">
        <v>1503</v>
      </c>
      <c r="L1282" s="28" t="s">
        <v>52</v>
      </c>
      <c r="M1282" s="28" t="s">
        <v>52</v>
      </c>
      <c r="N1282" s="28" t="s">
        <v>52</v>
      </c>
    </row>
    <row r="1283" spans="1:14" ht="12.75" hidden="1" outlineLevel="1" x14ac:dyDescent="0.2">
      <c r="A1283" s="23" t="str">
        <f>HYPERLINK("https://www.spark-marketing.ru/Card/Person/10834", "ГКУ КО ""ДИРЕКЦИЯ АВТОДОРОГ КУЗБАССА""")</f>
        <v>ГКУ КО "ДИРЕКЦИЯ АВТОДОРОГ КУЗБАССА"</v>
      </c>
      <c r="B1283" s="24" t="s">
        <v>1499</v>
      </c>
      <c r="C1283" s="25">
        <v>5475454.54</v>
      </c>
      <c r="D1283" s="22" t="s">
        <v>2190</v>
      </c>
      <c r="E1283" s="22" t="s">
        <v>723</v>
      </c>
      <c r="F1283" s="23" t="str">
        <f>HYPERLINK("https://www.spark-marketing.ru/Card/Lot/73626640",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v>
      </c>
      <c r="G1283" s="22" t="s">
        <v>367</v>
      </c>
      <c r="H1283" s="22" t="s">
        <v>881</v>
      </c>
      <c r="I1283" s="26">
        <v>43727.370138888902</v>
      </c>
      <c r="J1283" s="23" t="str">
        <f>HYPERLINK("https://www.spark-marketing.ru/Card/Person/127397", "ООО ""ИНФОСЕРВИС""")</f>
        <v>ООО "ИНФОСЕРВИС"</v>
      </c>
      <c r="K1283" s="24" t="s">
        <v>1503</v>
      </c>
      <c r="L1283" s="22" t="s">
        <v>10</v>
      </c>
      <c r="M1283" s="25">
        <v>5448077.2599999998</v>
      </c>
      <c r="N1283" s="27">
        <v>5.0000013332226478E-3</v>
      </c>
    </row>
    <row r="1284" spans="1:14" x14ac:dyDescent="0.15">
      <c r="A1284" s="23" t="str">
        <f>HYPERLINK("https://www.spark-marketing.ru/Card/Person/4821", "ТЫВИНСКОЕ УФАС РОССИИ")</f>
        <v>ТЫВИНСКОЕ УФАС РОССИИ</v>
      </c>
      <c r="B1284" s="24" t="s">
        <v>2191</v>
      </c>
      <c r="C1284" s="25">
        <v>47000</v>
      </c>
      <c r="D1284" s="22" t="s">
        <v>2192</v>
      </c>
      <c r="E1284" s="22" t="s">
        <v>84</v>
      </c>
      <c r="F1284" s="23" t="str">
        <f>HYPERLINK("https://www.spark-marketing.ru/Card/Lot/73624765", "Монтаж, установка видеонаблюдения, 4 шт")</f>
        <v>Монтаж, установка видеонаблюдения, 4 шт</v>
      </c>
      <c r="G1284" s="22" t="s">
        <v>2193</v>
      </c>
      <c r="H1284" s="22" t="s">
        <v>2194</v>
      </c>
      <c r="I1284" s="26">
        <v>43727.225069444401</v>
      </c>
      <c r="J1284" s="28" t="s">
        <v>52</v>
      </c>
      <c r="K1284" s="28" t="s">
        <v>52</v>
      </c>
      <c r="L1284" s="28" t="s">
        <v>52</v>
      </c>
      <c r="M1284" s="28" t="s">
        <v>52</v>
      </c>
      <c r="N1284" s="28" t="s">
        <v>52</v>
      </c>
    </row>
    <row r="1285" spans="1:14" x14ac:dyDescent="0.15">
      <c r="A1285" s="23" t="str">
        <f>HYPERLINK("https://www.spark-marketing.ru/Card/Person/11488", "Макрорегиональный филиал ""Северо-Запад"" ПАО ""Ростелеком""")</f>
        <v>Макрорегиональный филиал "Северо-Запад" ПАО "Ростелеком"</v>
      </c>
      <c r="B1285" s="24" t="s">
        <v>607</v>
      </c>
      <c r="C1285" s="25">
        <v>0</v>
      </c>
      <c r="D1285" s="22" t="s">
        <v>2195</v>
      </c>
      <c r="E1285" s="22" t="s">
        <v>53</v>
      </c>
      <c r="F1285" s="23" t="str">
        <f>HYPERLINK("https://www.spark-marketing.ru/Card/Lot/73651340", "оказание услуг по физической охране объектов Макрорегиона «Северо-Запад» ПАО «Ростелеком»")</f>
        <v>оказание услуг по физической охране объектов Макрорегиона «Северо-Запад» ПАО «Ростелеком»</v>
      </c>
      <c r="G1285" s="22" t="s">
        <v>89</v>
      </c>
      <c r="H1285" s="22" t="s">
        <v>89</v>
      </c>
      <c r="I1285" s="26">
        <v>43727</v>
      </c>
      <c r="J1285" s="28" t="s">
        <v>52</v>
      </c>
      <c r="K1285" s="28" t="s">
        <v>52</v>
      </c>
      <c r="L1285" s="28" t="s">
        <v>52</v>
      </c>
      <c r="M1285" s="28" t="s">
        <v>52</v>
      </c>
      <c r="N1285" s="28" t="s">
        <v>52</v>
      </c>
    </row>
    <row r="1286" spans="1:14" x14ac:dyDescent="0.15">
      <c r="A1286" s="23" t="str">
        <f>HYPERLINK("https://www.spark-marketing.ru/Card/Person/4358496", "ООО ""ЛЕНИНГРАДСКАЯ АЭС-АВТО""")</f>
        <v>ООО "ЛЕНИНГРАДСКАЯ АЭС-АВТО"</v>
      </c>
      <c r="B1286" s="24" t="s">
        <v>2163</v>
      </c>
      <c r="C1286" s="25">
        <v>5904867.6500000004</v>
      </c>
      <c r="D1286" s="22" t="s">
        <v>2196</v>
      </c>
      <c r="E1286" s="22" t="s">
        <v>2197</v>
      </c>
      <c r="F1286" s="23" t="str">
        <f>HYPERLINK("https://www.spark-marketing.ru/Card/Lot/73635953", "Право заключения договора на Оказание услуг по оснащению транспортных средств ООО ""Ленинградская АЭС-Авто"" техническими средствами обеспечения транспортной безопасности и диспетчеризации")</f>
        <v>Право заключения договора на Оказание услуг по оснащению транспортных средств ООО "Ленинградская АЭС-Авто" техническими средствами обеспечения транспортной безопасности и диспетчеризации</v>
      </c>
      <c r="G1286" s="22" t="s">
        <v>861</v>
      </c>
      <c r="H1286" s="22" t="s">
        <v>1920</v>
      </c>
      <c r="I1286" s="26">
        <v>43727</v>
      </c>
      <c r="J1286" s="28" t="s">
        <v>52</v>
      </c>
      <c r="K1286" s="28" t="s">
        <v>52</v>
      </c>
      <c r="L1286" s="28" t="s">
        <v>52</v>
      </c>
      <c r="M1286" s="28" t="s">
        <v>52</v>
      </c>
      <c r="N1286" s="28" t="s">
        <v>52</v>
      </c>
    </row>
    <row r="1287" spans="1:14" x14ac:dyDescent="0.15">
      <c r="A1287" s="23" t="str">
        <f>HYPERLINK("https://www.spark-marketing.ru/Card/Person/126307", "ГАУ ""МОСКОВСКИЙ ЗООПАРК""")</f>
        <v>ГАУ "МОСКОВСКИЙ ЗООПАРК"</v>
      </c>
      <c r="B1287" s="24" t="s">
        <v>1852</v>
      </c>
      <c r="C1287" s="25">
        <v>349020</v>
      </c>
      <c r="D1287" s="22" t="s">
        <v>2198</v>
      </c>
      <c r="E1287" s="22" t="s">
        <v>175</v>
      </c>
      <c r="F1287" s="23" t="str">
        <f>HYPERLINK("https://www.spark-marketing.ru/Card/Lot/73639890", "Выполнение работ по модернизации системы охранного видеонаблюдения с установкой дополнительных видеокамер павильона ""Теплолюбивые хищные"" ГАУ ""Московский зоопарк"" по адресу: 123242, г. Москва, ул. Большая Грузинская, д. 1, стр. 106")</f>
        <v>Выполнение работ по модернизации системы охранного видеонаблюдения с установкой дополнительных видеокамер павильона "Теплолюбивые хищные" ГАУ "Московский зоопарк" по адресу: 123242, г. Москва, ул. Большая Грузинская, д. 1, стр. 106</v>
      </c>
      <c r="G1287" s="22" t="s">
        <v>55</v>
      </c>
      <c r="H1287" s="22" t="s">
        <v>55</v>
      </c>
      <c r="I1287" s="26">
        <v>43727</v>
      </c>
      <c r="J1287" s="28" t="s">
        <v>52</v>
      </c>
      <c r="K1287" s="28" t="s">
        <v>52</v>
      </c>
      <c r="L1287" s="28" t="s">
        <v>52</v>
      </c>
      <c r="M1287" s="28" t="s">
        <v>52</v>
      </c>
      <c r="N1287" s="28" t="s">
        <v>52</v>
      </c>
    </row>
    <row r="1288" spans="1:14" x14ac:dyDescent="0.15">
      <c r="A1288" s="23" t="str">
        <f>HYPERLINK("https://www.spark-marketing.ru/Card/Person/4904101", "МКП ""ЦЕНТРАЛЬНАЯ ТЭЦ""")</f>
        <v>МКП "ЦЕНТРАЛЬНАЯ ТЭЦ"</v>
      </c>
      <c r="B1288" s="24" t="s">
        <v>368</v>
      </c>
      <c r="C1288" s="25">
        <v>2118232.04</v>
      </c>
      <c r="D1288" s="22" t="s">
        <v>2199</v>
      </c>
      <c r="E1288" s="22" t="s">
        <v>370</v>
      </c>
      <c r="F1288" s="23" t="str">
        <f>HYPERLINK("https://www.spark-marketing.ru/Card/Lot/73630744", "выполнение работ по установке приборов контроля и сигнализации состояния воздушной среды в помещениях склада химических реагентов химического цеха МКП «Центральная ТЭЦ»")</f>
        <v>выполнение работ по установке приборов контроля и сигнализации состояния воздушной среды в помещениях склада химических реагентов химического цеха МКП «Центральная ТЭЦ»</v>
      </c>
      <c r="G1288" s="22" t="s">
        <v>367</v>
      </c>
      <c r="H1288" s="22" t="s">
        <v>367</v>
      </c>
      <c r="I1288" s="26">
        <v>43727</v>
      </c>
      <c r="J1288" s="28" t="s">
        <v>52</v>
      </c>
      <c r="K1288" s="28" t="s">
        <v>52</v>
      </c>
      <c r="L1288" s="28" t="s">
        <v>52</v>
      </c>
      <c r="M1288" s="28" t="s">
        <v>52</v>
      </c>
      <c r="N1288" s="28" t="s">
        <v>52</v>
      </c>
    </row>
    <row r="1289" spans="1:14" x14ac:dyDescent="0.15">
      <c r="A1289" s="23" t="str">
        <f>HYPERLINK("https://www.spark-marketing.ru/Card/Person/4352638", "ФНЦ ""ВНИТИП"" РАН")</f>
        <v>ФНЦ "ВНИТИП" РАН</v>
      </c>
      <c r="B1289" s="24" t="s">
        <v>2200</v>
      </c>
      <c r="C1289" s="25">
        <v>600000</v>
      </c>
      <c r="D1289" s="22" t="s">
        <v>2201</v>
      </c>
      <c r="E1289" s="22" t="s">
        <v>789</v>
      </c>
      <c r="F1289" s="23" t="str">
        <f>HYPERLINK("https://www.spark-marketing.ru/Card/Lot/73639915", "на оказание услуг по обеспечению безопасности частных лиц и имущества для нужд «Всероссийский научно-исследовательский институт птицеперерабатывающей промышленности» (ВНИИПП) - филиала Федерального государственного бюджетного научного учреждения Феде...")</f>
        <v>на оказание услуг по обеспечению безопасности частных лиц и имущества для нужд «Всероссийский научно-исследовательский институт птицеперерабатывающей промышленности» (ВНИИПП) - филиала Федерального государственного бюджетного научного учреждения Феде...</v>
      </c>
      <c r="G1289" s="22" t="s">
        <v>50</v>
      </c>
      <c r="H1289" s="22" t="s">
        <v>265</v>
      </c>
      <c r="I1289" s="26">
        <v>43727</v>
      </c>
      <c r="J1289" s="28" t="s">
        <v>52</v>
      </c>
      <c r="K1289" s="28" t="s">
        <v>52</v>
      </c>
      <c r="L1289" s="28" t="s">
        <v>52</v>
      </c>
      <c r="M1289" s="28" t="s">
        <v>52</v>
      </c>
      <c r="N1289" s="28" t="s">
        <v>52</v>
      </c>
    </row>
    <row r="1290" spans="1:14" x14ac:dyDescent="0.15">
      <c r="A1290" s="23" t="str">
        <f>HYPERLINK("https://www.spark-marketing.ru/Card/Person/62402", "МАУ ""ЦГКБ № 23""")</f>
        <v>МАУ "ЦГКБ № 23"</v>
      </c>
      <c r="B1290" s="24" t="s">
        <v>2202</v>
      </c>
      <c r="C1290" s="25">
        <v>42058.66</v>
      </c>
      <c r="D1290" s="22" t="s">
        <v>2203</v>
      </c>
      <c r="E1290" s="22" t="s">
        <v>2204</v>
      </c>
      <c r="F1290" s="23" t="str">
        <f>HYPERLINK("https://www.spark-marketing.ru/Card/Lot/73594509", "Приобретение, установка и настройка системы видеонаблюдения в травмпункте МАУ «ЦГКБ № 23»")</f>
        <v>Приобретение, установка и настройка системы видеонаблюдения в травмпункте МАУ «ЦГКБ № 23»</v>
      </c>
      <c r="G1290" s="22" t="s">
        <v>72</v>
      </c>
      <c r="H1290" s="22" t="s">
        <v>949</v>
      </c>
      <c r="I1290" s="26">
        <v>43726</v>
      </c>
      <c r="J1290" s="28" t="s">
        <v>52</v>
      </c>
      <c r="K1290" s="28" t="s">
        <v>52</v>
      </c>
      <c r="L1290" s="28" t="s">
        <v>52</v>
      </c>
      <c r="M1290" s="28" t="s">
        <v>52</v>
      </c>
      <c r="N1290" s="28" t="s">
        <v>52</v>
      </c>
    </row>
    <row r="1291" spans="1:14" x14ac:dyDescent="0.15">
      <c r="A1291" s="23" t="str">
        <f>HYPERLINK("https://www.spark-marketing.ru/Card/Person/646966", "АО ""ИМКХ""")</f>
        <v>АО "ИМКХ"</v>
      </c>
      <c r="B1291" s="24" t="s">
        <v>2205</v>
      </c>
      <c r="C1291" s="25">
        <v>370944</v>
      </c>
      <c r="D1291" s="22" t="s">
        <v>2206</v>
      </c>
      <c r="E1291" s="22" t="s">
        <v>144</v>
      </c>
      <c r="F1291" s="23" t="str">
        <f>HYPERLINK("https://www.spark-marketing.ru/Card/Lot/73627398", "Оказание охранных услуг на участке водоотведения на четвертый квартал 2019 года")</f>
        <v>Оказание охранных услуг на участке водоотведения на четвертый квартал 2019 года</v>
      </c>
      <c r="G1291" s="22" t="s">
        <v>119</v>
      </c>
      <c r="H1291" s="22" t="s">
        <v>119</v>
      </c>
      <c r="I1291" s="26">
        <v>43727</v>
      </c>
      <c r="J1291" s="28" t="s">
        <v>52</v>
      </c>
      <c r="K1291" s="28" t="s">
        <v>52</v>
      </c>
      <c r="L1291" s="28" t="s">
        <v>52</v>
      </c>
      <c r="M1291" s="28" t="s">
        <v>52</v>
      </c>
      <c r="N1291" s="28" t="s">
        <v>52</v>
      </c>
    </row>
    <row r="1292" spans="1:14" x14ac:dyDescent="0.2">
      <c r="A1292" s="23" t="str">
        <f>HYPERLINK("https://www.spark-marketing.ru/Card/Person/1048799", "МАОУ ""ГИМНАЗИЯ №3""")</f>
        <v>МАОУ "ГИМНАЗИЯ №3"</v>
      </c>
      <c r="B1292" s="24" t="s">
        <v>2207</v>
      </c>
      <c r="C1292" s="25">
        <v>335330</v>
      </c>
      <c r="D1292" s="22" t="s">
        <v>2208</v>
      </c>
      <c r="E1292" s="22" t="s">
        <v>396</v>
      </c>
      <c r="F1292" s="23" t="str">
        <f>HYPERLINK("https://www.spark-marketing.ru/Card/Lot/73603181", "Выполнение работ по установке видеонаблюдения")</f>
        <v>Выполнение работ по установке видеонаблюдения</v>
      </c>
      <c r="G1292" s="22" t="s">
        <v>50</v>
      </c>
      <c r="H1292" s="22" t="s">
        <v>50</v>
      </c>
      <c r="I1292" s="26">
        <v>43726</v>
      </c>
      <c r="J1292" s="28" t="s">
        <v>52</v>
      </c>
      <c r="K1292" s="28" t="s">
        <v>52</v>
      </c>
      <c r="L1292" s="28" t="s">
        <v>52</v>
      </c>
      <c r="M1292" s="25">
        <v>315210</v>
      </c>
      <c r="N1292" s="27">
        <v>6.0000596427399876E-2</v>
      </c>
    </row>
    <row r="1293" spans="1:14" x14ac:dyDescent="0.15">
      <c r="A1293" s="23" t="str">
        <f>HYPERLINK("https://www.spark-marketing.ru/Card/Person/164719", "УСК ""НЕФТЕХИМИК"" ПАО ""НКНХ""")</f>
        <v>УСК "НЕФТЕХИМИК" ПАО "НКНХ"</v>
      </c>
      <c r="B1293" s="24" t="s">
        <v>1858</v>
      </c>
      <c r="C1293" s="25">
        <v>120</v>
      </c>
      <c r="D1293" s="22" t="s">
        <v>2209</v>
      </c>
      <c r="E1293" s="22" t="s">
        <v>53</v>
      </c>
      <c r="F1293" s="23" t="str">
        <f>HYPERLINK("https://www.spark-marketing.ru/Card/Lot/73624735", "Физическая охрана объектов УСК ""Нефтехимик"" ПАО ""НКНХ""")</f>
        <v>Физическая охрана объектов УСК "Нефтехимик" ПАО "НКНХ"</v>
      </c>
      <c r="G1293" s="22" t="s">
        <v>204</v>
      </c>
      <c r="H1293" s="22" t="s">
        <v>824</v>
      </c>
      <c r="I1293" s="26">
        <v>43726.738611111097</v>
      </c>
      <c r="J1293" s="28" t="s">
        <v>52</v>
      </c>
      <c r="K1293" s="28" t="s">
        <v>52</v>
      </c>
      <c r="L1293" s="28" t="s">
        <v>52</v>
      </c>
      <c r="M1293" s="28" t="s">
        <v>52</v>
      </c>
      <c r="N1293" s="28" t="s">
        <v>52</v>
      </c>
    </row>
    <row r="1294" spans="1:14" x14ac:dyDescent="0.15">
      <c r="A1294" s="23" t="str">
        <f>HYPERLINK("https://www.spark-marketing.ru/Card/Person/4346879", "ОПФР ПО РЕСПУБЛИКЕ САХА (ЯКУТИЯ)")</f>
        <v>ОПФР ПО РЕСПУБЛИКЕ САХА (ЯКУТИЯ)</v>
      </c>
      <c r="B1294" s="24" t="s">
        <v>2210</v>
      </c>
      <c r="C1294" s="25">
        <v>658570</v>
      </c>
      <c r="D1294" s="22" t="s">
        <v>2211</v>
      </c>
      <c r="E1294" s="22" t="s">
        <v>59</v>
      </c>
      <c r="F1294" s="23" t="str">
        <f>HYPERLINK("https://www.spark-marketing.ru/Card/Lot/73623099", "Создание системы видеонаблюдения на объекте строительства административного  здания УПФР в Таттинском улусе, РС(Я).")</f>
        <v>Создание системы видеонаблюдения на объекте строительства административного  здания УПФР в Таттинском улусе, РС(Я).</v>
      </c>
      <c r="G1294" s="22" t="s">
        <v>424</v>
      </c>
      <c r="H1294" s="22" t="s">
        <v>424</v>
      </c>
      <c r="I1294" s="26">
        <v>43726.729780092603</v>
      </c>
      <c r="J1294" s="28" t="s">
        <v>52</v>
      </c>
      <c r="K1294" s="28" t="s">
        <v>52</v>
      </c>
      <c r="L1294" s="28" t="s">
        <v>52</v>
      </c>
      <c r="M1294" s="28" t="s">
        <v>52</v>
      </c>
      <c r="N1294" s="28" t="s">
        <v>52</v>
      </c>
    </row>
    <row r="1295" spans="1:14" ht="12.75" hidden="1" outlineLevel="1" x14ac:dyDescent="0.2">
      <c r="A1295" s="23" t="str">
        <f>HYPERLINK("https://www.spark-marketing.ru/Card/Person/4346879", "ОПФР ПО РЕСПУБЛИКЕ САХА (ЯКУТИЯ)")</f>
        <v>ОПФР ПО РЕСПУБЛИКЕ САХА (ЯКУТИЯ)</v>
      </c>
      <c r="B1295" s="24" t="s">
        <v>2210</v>
      </c>
      <c r="C1295" s="25">
        <v>658570</v>
      </c>
      <c r="D1295" s="22" t="s">
        <v>2211</v>
      </c>
      <c r="E1295" s="22" t="s">
        <v>59</v>
      </c>
      <c r="F1295" s="23" t="str">
        <f>HYPERLINK("https://www.spark-marketing.ru/Card/Lot/73623099", "Создание системы видеонаблюдения на объекте строительства административного  здания УПФР в Таттинском улусе, РС(Я).")</f>
        <v>Создание системы видеонаблюдения на объекте строительства административного  здания УПФР в Таттинском улусе, РС(Я).</v>
      </c>
      <c r="G1295" s="22" t="s">
        <v>424</v>
      </c>
      <c r="H1295" s="22" t="s">
        <v>424</v>
      </c>
      <c r="I1295" s="26">
        <v>43726.729780092603</v>
      </c>
      <c r="J1295" s="23" t="str">
        <f>HYPERLINK("https://www.spark-marketing.ru/Card/Person/6677597", "Негнюров Виталий Васильевич")</f>
        <v>Негнюров Виталий Васильевич</v>
      </c>
      <c r="K1295" s="24" t="s">
        <v>2212</v>
      </c>
      <c r="L1295" s="22" t="s">
        <v>10</v>
      </c>
      <c r="M1295" s="25">
        <v>437949.05</v>
      </c>
      <c r="N1295" s="27">
        <v>0.33500000000000002</v>
      </c>
    </row>
    <row r="1296" spans="1:14" hidden="1" outlineLevel="1" x14ac:dyDescent="0.2">
      <c r="A1296" s="23" t="str">
        <f>HYPERLINK("https://www.spark-marketing.ru/Card/Person/4346879", "ОПФР ПО РЕСПУБЛИКЕ САХА (ЯКУТИЯ)")</f>
        <v>ОПФР ПО РЕСПУБЛИКЕ САХА (ЯКУТИЯ)</v>
      </c>
      <c r="B1296" s="24" t="s">
        <v>2210</v>
      </c>
      <c r="C1296" s="25">
        <v>658570</v>
      </c>
      <c r="D1296" s="22" t="s">
        <v>2211</v>
      </c>
      <c r="E1296" s="22" t="s">
        <v>59</v>
      </c>
      <c r="F1296" s="23" t="str">
        <f>HYPERLINK("https://www.spark-marketing.ru/Card/Lot/73623099", "Создание системы видеонаблюдения на объекте строительства административного  здания УПФР в Таттинском улусе, РС(Я).")</f>
        <v>Создание системы видеонаблюдения на объекте строительства административного  здания УПФР в Таттинском улусе, РС(Я).</v>
      </c>
      <c r="G1296" s="22" t="s">
        <v>424</v>
      </c>
      <c r="H1296" s="22" t="s">
        <v>424</v>
      </c>
      <c r="I1296" s="26">
        <v>43726.729780092603</v>
      </c>
      <c r="J1296" s="23" t="str">
        <f>HYPERLINK("https://www.spark-marketing.ru/Card/Person/183988", "Слепцов Семен Иванович")</f>
        <v>Слепцов Семен Иванович</v>
      </c>
      <c r="K1296" s="24" t="s">
        <v>2213</v>
      </c>
      <c r="L1296" s="28" t="s">
        <v>52</v>
      </c>
      <c r="M1296" s="25">
        <v>441241.9</v>
      </c>
      <c r="N1296" s="27">
        <v>0.33</v>
      </c>
    </row>
    <row r="1297" spans="1:14" x14ac:dyDescent="0.15">
      <c r="A1297" s="23" t="str">
        <f>HYPERLINK("https://www.spark-marketing.ru/Card/Person/815274", "МКУ ""УПРАВЛЕНИЕ ОБРАЗОВАНИЯ МО ""НАМСКИЙ УЛУС"" РС (Я)""")</f>
        <v>МКУ "УПРАВЛЕНИЕ ОБРАЗОВАНИЯ МО "НАМСКИЙ УЛУС" РС (Я)"</v>
      </c>
      <c r="B1297" s="24" t="s">
        <v>2214</v>
      </c>
      <c r="C1297" s="25">
        <v>300000</v>
      </c>
      <c r="D1297" s="22" t="s">
        <v>2215</v>
      </c>
      <c r="E1297" s="22" t="s">
        <v>208</v>
      </c>
      <c r="F1297" s="23" t="str">
        <f>HYPERLINK("https://www.spark-marketing.ru/Card/Lot/73619079", "Техническое обслуживание приборов АУПС, СОУЭ, тревожных кнопок и систем видео наблюдения")</f>
        <v>Техническое обслуживание приборов АУПС, СОУЭ, тревожных кнопок и систем видео наблюдения</v>
      </c>
      <c r="G1297" s="22" t="s">
        <v>424</v>
      </c>
      <c r="H1297" s="22" t="s">
        <v>2216</v>
      </c>
      <c r="I1297" s="26">
        <v>43726.689583333296</v>
      </c>
      <c r="J1297" s="28" t="s">
        <v>52</v>
      </c>
      <c r="K1297" s="28" t="s">
        <v>52</v>
      </c>
      <c r="L1297" s="28" t="s">
        <v>52</v>
      </c>
      <c r="M1297" s="28" t="s">
        <v>52</v>
      </c>
      <c r="N1297" s="28" t="s">
        <v>52</v>
      </c>
    </row>
    <row r="1298" spans="1:14" ht="12.75" hidden="1" outlineLevel="1" x14ac:dyDescent="0.2">
      <c r="A1298" s="23" t="str">
        <f>HYPERLINK("https://www.spark-marketing.ru/Card/Person/815274", "МКУ ""УПРАВЛЕНИЕ ОБРАЗОВАНИЯ МО ""НАМСКИЙ УЛУС"" РС (Я)""")</f>
        <v>МКУ "УПРАВЛЕНИЕ ОБРАЗОВАНИЯ МО "НАМСКИЙ УЛУС" РС (Я)"</v>
      </c>
      <c r="B1298" s="24" t="s">
        <v>2214</v>
      </c>
      <c r="C1298" s="25">
        <v>300000</v>
      </c>
      <c r="D1298" s="22" t="s">
        <v>2215</v>
      </c>
      <c r="E1298" s="22" t="s">
        <v>208</v>
      </c>
      <c r="F1298" s="23" t="str">
        <f>HYPERLINK("https://www.spark-marketing.ru/Card/Lot/73619079", "Техническое обслуживание приборов АУПС, СОУЭ, тревожных кнопок и систем видео наблюдения")</f>
        <v>Техническое обслуживание приборов АУПС, СОУЭ, тревожных кнопок и систем видео наблюдения</v>
      </c>
      <c r="G1298" s="22" t="s">
        <v>424</v>
      </c>
      <c r="H1298" s="22" t="s">
        <v>2216</v>
      </c>
      <c r="I1298" s="26">
        <v>43726.689583333296</v>
      </c>
      <c r="J1298" s="23" t="str">
        <f>HYPERLINK("https://www.spark-marketing.ru/Card/Person/446778", "ООО ""ТЕХКОМПЛЕКТАЦИЯ""")</f>
        <v>ООО "ТЕХКОМПЛЕКТАЦИЯ"</v>
      </c>
      <c r="K1298" s="24" t="s">
        <v>2217</v>
      </c>
      <c r="L1298" s="22" t="s">
        <v>10</v>
      </c>
      <c r="M1298" s="25">
        <v>165000</v>
      </c>
      <c r="N1298" s="27">
        <v>0.45</v>
      </c>
    </row>
    <row r="1299" spans="1:14" hidden="1" outlineLevel="1" x14ac:dyDescent="0.2">
      <c r="A1299" s="23" t="str">
        <f>HYPERLINK("https://www.spark-marketing.ru/Card/Person/815274", "МКУ ""УПРАВЛЕНИЕ ОБРАЗОВАНИЯ МО ""НАМСКИЙ УЛУС"" РС (Я)""")</f>
        <v>МКУ "УПРАВЛЕНИЕ ОБРАЗОВАНИЯ МО "НАМСКИЙ УЛУС" РС (Я)"</v>
      </c>
      <c r="B1299" s="24" t="s">
        <v>2214</v>
      </c>
      <c r="C1299" s="25">
        <v>300000</v>
      </c>
      <c r="D1299" s="22" t="s">
        <v>2215</v>
      </c>
      <c r="E1299" s="22" t="s">
        <v>208</v>
      </c>
      <c r="F1299" s="23" t="str">
        <f>HYPERLINK("https://www.spark-marketing.ru/Card/Lot/73619079", "Техническое обслуживание приборов АУПС, СОУЭ, тревожных кнопок и систем видео наблюдения")</f>
        <v>Техническое обслуживание приборов АУПС, СОУЭ, тревожных кнопок и систем видео наблюдения</v>
      </c>
      <c r="G1299" s="22" t="s">
        <v>424</v>
      </c>
      <c r="H1299" s="22" t="s">
        <v>2216</v>
      </c>
      <c r="I1299" s="26">
        <v>43726.689583333296</v>
      </c>
      <c r="J1299" s="23" t="str">
        <f>HYPERLINK("https://www.spark-marketing.ru/Card/Person/5862498", "ООО ""РСМК""")</f>
        <v>ООО "РСМК"</v>
      </c>
      <c r="K1299" s="24" t="s">
        <v>2218</v>
      </c>
      <c r="L1299" s="28" t="s">
        <v>52</v>
      </c>
      <c r="M1299" s="25">
        <v>166500</v>
      </c>
      <c r="N1299" s="27">
        <v>0.44500000000000001</v>
      </c>
    </row>
    <row r="1300" spans="1:14" x14ac:dyDescent="0.15">
      <c r="A1300" s="23" t="str">
        <f>HYPERLINK("https://www.spark-marketing.ru/Card/Person/5861430", "УПФР В Г. ИШИМЕ ТЮМЕНСКОЙ ОБЛАСТИ (МЕЖРАЙОННОЕ)")</f>
        <v>УПФР В Г. ИШИМЕ ТЮМЕНСКОЙ ОБЛАСТИ (МЕЖРАЙОННОЕ)</v>
      </c>
      <c r="B1300" s="24" t="s">
        <v>2219</v>
      </c>
      <c r="C1300" s="25">
        <v>8888</v>
      </c>
      <c r="D1300" s="22" t="s">
        <v>2220</v>
      </c>
      <c r="E1300" s="22" t="s">
        <v>2221</v>
      </c>
      <c r="F1300" s="23" t="str">
        <f>HYPERLINK("https://www.spark-marketing.ru/Card/Lot/73613361", "Монтаж системы видеонаблюдения для нужд УПФР в г. Ишиме Тюменской области (межрайонное)")</f>
        <v>Монтаж системы видеонаблюдения для нужд УПФР в г. Ишиме Тюменской области (межрайонное)</v>
      </c>
      <c r="G1300" s="22" t="s">
        <v>893</v>
      </c>
      <c r="H1300" s="22" t="s">
        <v>2222</v>
      </c>
      <c r="I1300" s="26">
        <v>43726.706944444399</v>
      </c>
      <c r="J1300" s="28" t="s">
        <v>52</v>
      </c>
      <c r="K1300" s="28" t="s">
        <v>52</v>
      </c>
      <c r="L1300" s="28" t="s">
        <v>52</v>
      </c>
      <c r="M1300" s="28" t="s">
        <v>52</v>
      </c>
      <c r="N1300" s="28" t="s">
        <v>52</v>
      </c>
    </row>
    <row r="1301" spans="1:14" ht="12.75" hidden="1" outlineLevel="1" x14ac:dyDescent="0.2">
      <c r="A1301" s="23" t="str">
        <f>HYPERLINK("https://www.spark-marketing.ru/Card/Person/5861430", "УПФР В Г. ИШИМЕ ТЮМЕНСКОЙ ОБЛАСТИ (МЕЖРАЙОННОЕ)")</f>
        <v>УПФР В Г. ИШИМЕ ТЮМЕНСКОЙ ОБЛАСТИ (МЕЖРАЙОННОЕ)</v>
      </c>
      <c r="B1301" s="24" t="s">
        <v>2219</v>
      </c>
      <c r="C1301" s="25">
        <v>8888</v>
      </c>
      <c r="D1301" s="22" t="s">
        <v>2220</v>
      </c>
      <c r="E1301" s="22" t="s">
        <v>2221</v>
      </c>
      <c r="F1301" s="23" t="str">
        <f>HYPERLINK("https://www.spark-marketing.ru/Card/Lot/73613361", "Монтаж системы видеонаблюдения для нужд УПФР в г. Ишиме Тюменской области (межрайонное)")</f>
        <v>Монтаж системы видеонаблюдения для нужд УПФР в г. Ишиме Тюменской области (межрайонное)</v>
      </c>
      <c r="G1301" s="22" t="s">
        <v>893</v>
      </c>
      <c r="H1301" s="22" t="s">
        <v>2222</v>
      </c>
      <c r="I1301" s="26">
        <v>43726.706944444399</v>
      </c>
      <c r="J1301" s="23" t="str">
        <f>HYPERLINK("https://www.spark-marketing.ru/Card/Person/546686", "ООО ЧОО ""ЗАЩИТНИК""")</f>
        <v>ООО ЧОО "ЗАЩИТНИК"</v>
      </c>
      <c r="K1301" s="24" t="s">
        <v>2223</v>
      </c>
      <c r="L1301" s="22" t="s">
        <v>10</v>
      </c>
      <c r="M1301" s="25">
        <v>8888</v>
      </c>
      <c r="N1301" s="27">
        <v>0</v>
      </c>
    </row>
    <row r="1302" spans="1:14" hidden="1" outlineLevel="1" x14ac:dyDescent="0.2">
      <c r="A1302" s="23" t="str">
        <f>HYPERLINK("https://www.spark-marketing.ru/Card/Person/5861430", "УПФР В Г. ИШИМЕ ТЮМЕНСКОЙ ОБЛАСТИ (МЕЖРАЙОННОЕ)")</f>
        <v>УПФР В Г. ИШИМЕ ТЮМЕНСКОЙ ОБЛАСТИ (МЕЖРАЙОННОЕ)</v>
      </c>
      <c r="B1302" s="24" t="s">
        <v>2219</v>
      </c>
      <c r="C1302" s="25">
        <v>8888</v>
      </c>
      <c r="D1302" s="22" t="s">
        <v>2220</v>
      </c>
      <c r="E1302" s="22" t="s">
        <v>2221</v>
      </c>
      <c r="F1302" s="23" t="str">
        <f>HYPERLINK("https://www.spark-marketing.ru/Card/Lot/73613361", "Монтаж системы видеонаблюдения для нужд УПФР в г. Ишиме Тюменской области (межрайонное)")</f>
        <v>Монтаж системы видеонаблюдения для нужд УПФР в г. Ишиме Тюменской области (межрайонное)</v>
      </c>
      <c r="G1302" s="22" t="s">
        <v>893</v>
      </c>
      <c r="H1302" s="22" t="s">
        <v>2222</v>
      </c>
      <c r="I1302" s="26">
        <v>43726.706944444399</v>
      </c>
      <c r="J1302" s="23" t="str">
        <f>HYPERLINK("https://www.spark-marketing.ru/Card/Person/7006", "ООО ""ИНФОДОМ""")</f>
        <v>ООО "ИНФОДОМ"</v>
      </c>
      <c r="K1302" s="24" t="s">
        <v>2224</v>
      </c>
      <c r="L1302" s="28" t="s">
        <v>52</v>
      </c>
      <c r="M1302" s="25">
        <v>8888</v>
      </c>
      <c r="N1302" s="27">
        <v>0</v>
      </c>
    </row>
    <row r="1303" spans="1:14" x14ac:dyDescent="0.15">
      <c r="A1303" s="23" t="str">
        <f>HYPERLINK("https://www.spark-marketing.ru/Card/Person/61489", "ГУЗ ""ДЕТСКАЯ ПОЛИКЛИНИКА № 3""")</f>
        <v>ГУЗ "ДЕТСКАЯ ПОЛИКЛИНИКА № 3"</v>
      </c>
      <c r="B1303" s="24" t="s">
        <v>2225</v>
      </c>
      <c r="C1303" s="25">
        <v>59184</v>
      </c>
      <c r="D1303" s="22" t="s">
        <v>2226</v>
      </c>
      <c r="E1303" s="22" t="s">
        <v>52</v>
      </c>
      <c r="F1303" s="23" t="str">
        <f>HYPERLINK("https://www.spark-marketing.ru/Card/Lot/73616477", "Оказание услуг по централизованной охране объектов, экстренному вызову группы быстрого реагирования и охраны с помощью средств охранной сигнализации")</f>
        <v>Оказание услуг по централизованной охране объектов, экстренному вызову группы быстрого реагирования и охраны с помощью средств охранной сигнализации</v>
      </c>
      <c r="G1303" s="22" t="s">
        <v>343</v>
      </c>
      <c r="H1303" s="22" t="s">
        <v>344</v>
      </c>
      <c r="I1303" s="26">
        <v>43726.690972222197</v>
      </c>
      <c r="J1303" s="28" t="s">
        <v>52</v>
      </c>
      <c r="K1303" s="28" t="s">
        <v>52</v>
      </c>
      <c r="L1303" s="28" t="s">
        <v>52</v>
      </c>
      <c r="M1303" s="28" t="s">
        <v>52</v>
      </c>
      <c r="N1303" s="28" t="s">
        <v>52</v>
      </c>
    </row>
    <row r="1304" spans="1:14" hidden="1" outlineLevel="1" x14ac:dyDescent="0.2">
      <c r="A1304" s="23" t="str">
        <f>HYPERLINK("https://www.spark-marketing.ru/Card/Person/61489", "ГУЗ ""ДЕТСКАЯ ПОЛИКЛИНИКА № 3""")</f>
        <v>ГУЗ "ДЕТСКАЯ ПОЛИКЛИНИКА № 3"</v>
      </c>
      <c r="B1304" s="24" t="s">
        <v>2225</v>
      </c>
      <c r="C1304" s="25">
        <v>59184</v>
      </c>
      <c r="D1304" s="22" t="s">
        <v>2226</v>
      </c>
      <c r="E1304" s="22" t="s">
        <v>52</v>
      </c>
      <c r="F1304" s="23" t="str">
        <f>HYPERLINK("https://www.spark-marketing.ru/Card/Lot/73616477", "Оказание услуг по централизованной охране объектов, экстренному вызову группы быстрого реагирования и охраны с помощью средств охранной сигнализации")</f>
        <v>Оказание услуг по централизованной охране объектов, экстренному вызову группы быстрого реагирования и охраны с помощью средств охранной сигнализации</v>
      </c>
      <c r="G1304" s="22" t="s">
        <v>343</v>
      </c>
      <c r="H1304" s="22" t="s">
        <v>344</v>
      </c>
      <c r="I1304" s="26">
        <v>43726.690972222197</v>
      </c>
      <c r="J1304" s="23" t="str">
        <f>HYPERLINK("https://www.spark-marketing.ru/Card/Person/502130", "ООО ""ЧОП"" ПАТРИОТ""")</f>
        <v>ООО "ЧОП" ПАТРИОТ"</v>
      </c>
      <c r="K1304" s="24" t="s">
        <v>2227</v>
      </c>
      <c r="L1304" s="28" t="s">
        <v>52</v>
      </c>
      <c r="M1304" s="25">
        <v>43858.16</v>
      </c>
      <c r="N1304" s="27">
        <v>0.25895241957285753</v>
      </c>
    </row>
    <row r="1305" spans="1:14" ht="12.75" hidden="1" outlineLevel="1" x14ac:dyDescent="0.2">
      <c r="A1305" s="23" t="str">
        <f>HYPERLINK("https://www.spark-marketing.ru/Card/Person/61489", "ГУЗ ""ДЕТСКАЯ ПОЛИКЛИНИКА № 3""")</f>
        <v>ГУЗ "ДЕТСКАЯ ПОЛИКЛИНИКА № 3"</v>
      </c>
      <c r="B1305" s="24" t="s">
        <v>2225</v>
      </c>
      <c r="C1305" s="25">
        <v>59184</v>
      </c>
      <c r="D1305" s="22" t="s">
        <v>2226</v>
      </c>
      <c r="E1305" s="22" t="s">
        <v>52</v>
      </c>
      <c r="F1305" s="23" t="str">
        <f>HYPERLINK("https://www.spark-marketing.ru/Card/Lot/73616477", "Оказание услуг по централизованной охране объектов, экстренному вызову группы быстрого реагирования и охраны с помощью средств охранной сигнализации")</f>
        <v>Оказание услуг по централизованной охране объектов, экстренному вызову группы быстрого реагирования и охраны с помощью средств охранной сигнализации</v>
      </c>
      <c r="G1305" s="22" t="s">
        <v>343</v>
      </c>
      <c r="H1305" s="22" t="s">
        <v>344</v>
      </c>
      <c r="I1305" s="26">
        <v>43726.690972222197</v>
      </c>
      <c r="J1305" s="23" t="str">
        <f>HYPERLINK("https://www.spark-marketing.ru/Card/Person/6002437", "ООО ЧОП ""АНТЕЙ-5""")</f>
        <v>ООО ЧОП "АНТЕЙ-5"</v>
      </c>
      <c r="K1305" s="24" t="s">
        <v>2228</v>
      </c>
      <c r="L1305" s="22" t="s">
        <v>10</v>
      </c>
      <c r="M1305" s="25">
        <v>43562.239999999998</v>
      </c>
      <c r="N1305" s="27">
        <v>0.26395241957285753</v>
      </c>
    </row>
    <row r="1306" spans="1:14" x14ac:dyDescent="0.15">
      <c r="A1306" s="23" t="str">
        <f>HYPERLINK("https://www.spark-marketing.ru/Card/Person/4345935", "ДЕПАРТАМЕНТ СМОЛЕНСКОЙ ОБЛАСТИ ПО ЗДРАВООХРАНЕНИЮ")</f>
        <v>ДЕПАРТАМЕНТ СМОЛЕНСКОЙ ОБЛАСТИ ПО ЗДРАВООХРАНЕНИЮ</v>
      </c>
      <c r="B1306" s="24" t="s">
        <v>1449</v>
      </c>
      <c r="C1306" s="25">
        <v>5765677.2000000002</v>
      </c>
      <c r="D1306" s="22" t="s">
        <v>2229</v>
      </c>
      <c r="E1306" s="22" t="s">
        <v>53</v>
      </c>
      <c r="F1306" s="23" t="str">
        <f>HYPERLINK("https://www.spark-marketing.ru/Card/Lot/73623046", "№4294 - аэф/т Поставка лекарственных препаратов (Абиратерон)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отпуска...")</f>
        <v>№4294 - аэф/т Поставка лекарственных препаратов (Абиратерон)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отпуска...</v>
      </c>
      <c r="G1306" s="22" t="s">
        <v>956</v>
      </c>
      <c r="H1306" s="22" t="s">
        <v>1451</v>
      </c>
      <c r="I1306" s="26">
        <v>43726.674143518503</v>
      </c>
      <c r="J1306" s="23" t="str">
        <f>HYPERLINK("https://www.spark-marketing.ru/Card/Person/259919", "ООО ""БИОФАРМ""")</f>
        <v>ООО "БИОФАРМ"</v>
      </c>
      <c r="K1306" s="24" t="s">
        <v>2230</v>
      </c>
      <c r="L1306" s="28" t="s">
        <v>52</v>
      </c>
      <c r="M1306" s="28" t="s">
        <v>52</v>
      </c>
      <c r="N1306" s="28" t="s">
        <v>52</v>
      </c>
    </row>
    <row r="1307" spans="1:14" ht="12.75" hidden="1" outlineLevel="1" x14ac:dyDescent="0.2">
      <c r="A1307" s="23" t="str">
        <f>HYPERLINK("https://www.spark-marketing.ru/Card/Person/4345935", "ДЕПАРТАМЕНТ СМОЛЕНСКОЙ ОБЛАСТИ ПО ЗДРАВООХРАНЕНИЮ")</f>
        <v>ДЕПАРТАМЕНТ СМОЛЕНСКОЙ ОБЛАСТИ ПО ЗДРАВООХРАНЕНИЮ</v>
      </c>
      <c r="B1307" s="24" t="s">
        <v>1449</v>
      </c>
      <c r="C1307" s="25">
        <v>5765677.2000000002</v>
      </c>
      <c r="D1307" s="22" t="s">
        <v>2229</v>
      </c>
      <c r="E1307" s="22" t="s">
        <v>53</v>
      </c>
      <c r="F1307" s="23" t="str">
        <f>HYPERLINK("https://www.spark-marketing.ru/Card/Lot/73623046", "№4294 - аэф/т Поставка лекарственных препаратов (Абиратерон)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отпуска...")</f>
        <v>№4294 - аэф/т Поставка лекарственных препаратов (Абиратерон)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отпуска...</v>
      </c>
      <c r="G1307" s="22" t="s">
        <v>956</v>
      </c>
      <c r="H1307" s="22" t="s">
        <v>1451</v>
      </c>
      <c r="I1307" s="26">
        <v>43726.674143518503</v>
      </c>
      <c r="J1307" s="23" t="str">
        <f>HYPERLINK("https://www.spark-marketing.ru/Card/Person/259919", "ООО ""БИОФАРМ""")</f>
        <v>ООО "БИОФАРМ"</v>
      </c>
      <c r="K1307" s="24" t="s">
        <v>2230</v>
      </c>
      <c r="L1307" s="22" t="s">
        <v>10</v>
      </c>
      <c r="M1307" s="25">
        <v>5736848.8099999996</v>
      </c>
      <c r="N1307" s="27">
        <v>5.0000006937606567E-3</v>
      </c>
    </row>
    <row r="1308" spans="1:14" x14ac:dyDescent="0.15">
      <c r="A1308" s="23" t="str">
        <f>HYPERLINK("https://www.spark-marketing.ru/Card/Person/116089", "ГБОУ АРХАНГЕЛЬСКОЙ ОБЛАСТИ ""НЯНДОМСКОЕ СПЕЦИАЛЬНОЕ УЧЕБНО-ВОСПИТАТЕЛЬНОЕ УЧРЕЖДЕНИЕ""")</f>
        <v>ГБОУ АРХАНГЕЛЬСКОЙ ОБЛАСТИ "НЯНДОМСКОЕ СПЕЦИАЛЬНОЕ УЧЕБНО-ВОСПИТАТЕЛЬНОЕ УЧРЕЖДЕНИЕ"</v>
      </c>
      <c r="B1308" s="24" t="s">
        <v>2231</v>
      </c>
      <c r="C1308" s="25">
        <v>1396812</v>
      </c>
      <c r="D1308" s="22" t="s">
        <v>2232</v>
      </c>
      <c r="E1308" s="22" t="s">
        <v>59</v>
      </c>
      <c r="F1308" s="23" t="str">
        <f>HYPERLINK("https://www.spark-marketing.ru/Card/Lot/73621087", "Выполнение работ по установке системы видеонаблюдения на объектах")</f>
        <v>Выполнение работ по установке системы видеонаблюдения на объектах</v>
      </c>
      <c r="G1308" s="22" t="s">
        <v>674</v>
      </c>
      <c r="H1308" s="22" t="s">
        <v>674</v>
      </c>
      <c r="I1308" s="26">
        <v>43726.629907407398</v>
      </c>
      <c r="J1308" s="28" t="s">
        <v>52</v>
      </c>
      <c r="K1308" s="28" t="s">
        <v>52</v>
      </c>
      <c r="L1308" s="28" t="s">
        <v>52</v>
      </c>
      <c r="M1308" s="28" t="s">
        <v>52</v>
      </c>
      <c r="N1308" s="28" t="s">
        <v>52</v>
      </c>
    </row>
    <row r="1309" spans="1:14" hidden="1" outlineLevel="1" x14ac:dyDescent="0.2">
      <c r="A1309" s="23" t="str">
        <f>HYPERLINK("https://www.spark-marketing.ru/Card/Person/116089", "ГБОУ АРХАНГЕЛЬСКОЙ ОБЛАСТИ ""НЯНДОМСКОЕ СПЕЦИАЛЬНОЕ УЧЕБНО-ВОСПИТАТЕЛЬНОЕ УЧРЕЖДЕНИЕ""")</f>
        <v>ГБОУ АРХАНГЕЛЬСКОЙ ОБЛАСТИ "НЯНДОМСКОЕ СПЕЦИАЛЬНОЕ УЧЕБНО-ВОСПИТАТЕЛЬНОЕ УЧРЕЖДЕНИЕ"</v>
      </c>
      <c r="B1309" s="24" t="s">
        <v>2231</v>
      </c>
      <c r="C1309" s="25">
        <v>1396812</v>
      </c>
      <c r="D1309" s="22" t="s">
        <v>2232</v>
      </c>
      <c r="E1309" s="22" t="s">
        <v>59</v>
      </c>
      <c r="F1309" s="23" t="str">
        <f>HYPERLINK("https://www.spark-marketing.ru/Card/Lot/73621087", "Выполнение работ по установке системы видеонаблюдения на объектах")</f>
        <v>Выполнение работ по установке системы видеонаблюдения на объектах</v>
      </c>
      <c r="G1309" s="22" t="s">
        <v>674</v>
      </c>
      <c r="H1309" s="22" t="s">
        <v>674</v>
      </c>
      <c r="I1309" s="26">
        <v>43726.629907407398</v>
      </c>
      <c r="J1309" s="23" t="str">
        <f>HYPERLINK("https://www.spark-marketing.ru/Card/Person/46129", "ООО ""СК ""АВРОРА""")</f>
        <v>ООО "СК "АВРОРА"</v>
      </c>
      <c r="K1309" s="24" t="s">
        <v>2233</v>
      </c>
      <c r="L1309" s="28" t="s">
        <v>52</v>
      </c>
      <c r="M1309" s="25">
        <v>1193325.94</v>
      </c>
      <c r="N1309" s="27">
        <v>0.14567891742052616</v>
      </c>
    </row>
    <row r="1310" spans="1:14" hidden="1" outlineLevel="1" x14ac:dyDescent="0.2">
      <c r="A1310" s="23" t="str">
        <f>HYPERLINK("https://www.spark-marketing.ru/Card/Person/116089", "ГБОУ АРХАНГЕЛЬСКОЙ ОБЛАСТИ ""НЯНДОМСКОЕ СПЕЦИАЛЬНОЕ УЧЕБНО-ВОСПИТАТЕЛЬНОЕ УЧРЕЖДЕНИЕ""")</f>
        <v>ГБОУ АРХАНГЕЛЬСКОЙ ОБЛАСТИ "НЯНДОМСКОЕ СПЕЦИАЛЬНОЕ УЧЕБНО-ВОСПИТАТЕЛЬНОЕ УЧРЕЖДЕНИЕ"</v>
      </c>
      <c r="B1310" s="24" t="s">
        <v>2231</v>
      </c>
      <c r="C1310" s="25">
        <v>1396812</v>
      </c>
      <c r="D1310" s="22" t="s">
        <v>2232</v>
      </c>
      <c r="E1310" s="22" t="s">
        <v>59</v>
      </c>
      <c r="F1310" s="23" t="str">
        <f>HYPERLINK("https://www.spark-marketing.ru/Card/Lot/73621087", "Выполнение работ по установке системы видеонаблюдения на объектах")</f>
        <v>Выполнение работ по установке системы видеонаблюдения на объектах</v>
      </c>
      <c r="G1310" s="22" t="s">
        <v>674</v>
      </c>
      <c r="H1310" s="22" t="s">
        <v>674</v>
      </c>
      <c r="I1310" s="26">
        <v>43726.629907407398</v>
      </c>
      <c r="J1310" s="23" t="str">
        <f>HYPERLINK("https://www.spark-marketing.ru/Card/Person/1114856", "ООО ""ДОМОФОН СЕРВИС""")</f>
        <v>ООО "ДОМОФОН СЕРВИС"</v>
      </c>
      <c r="K1310" s="24" t="s">
        <v>2234</v>
      </c>
      <c r="L1310" s="28" t="s">
        <v>52</v>
      </c>
      <c r="M1310" s="25">
        <v>1081573.94</v>
      </c>
      <c r="N1310" s="27">
        <v>0.22568395746886483</v>
      </c>
    </row>
    <row r="1311" spans="1:14" ht="12.75" hidden="1" outlineLevel="1" x14ac:dyDescent="0.2">
      <c r="A1311" s="23" t="str">
        <f>HYPERLINK("https://www.spark-marketing.ru/Card/Person/116089", "ГБОУ АРХАНГЕЛЬСКОЙ ОБЛАСТИ ""НЯНДОМСКОЕ СПЕЦИАЛЬНОЕ УЧЕБНО-ВОСПИТАТЕЛЬНОЕ УЧРЕЖДЕНИЕ""")</f>
        <v>ГБОУ АРХАНГЕЛЬСКОЙ ОБЛАСТИ "НЯНДОМСКОЕ СПЕЦИАЛЬНОЕ УЧЕБНО-ВОСПИТАТЕЛЬНОЕ УЧРЕЖДЕНИЕ"</v>
      </c>
      <c r="B1311" s="24" t="s">
        <v>2231</v>
      </c>
      <c r="C1311" s="25">
        <v>1396812</v>
      </c>
      <c r="D1311" s="22" t="s">
        <v>2232</v>
      </c>
      <c r="E1311" s="22" t="s">
        <v>59</v>
      </c>
      <c r="F1311" s="23" t="str">
        <f>HYPERLINK("https://www.spark-marketing.ru/Card/Lot/73621087", "Выполнение работ по установке системы видеонаблюдения на объектах")</f>
        <v>Выполнение работ по установке системы видеонаблюдения на объектах</v>
      </c>
      <c r="G1311" s="22" t="s">
        <v>674</v>
      </c>
      <c r="H1311" s="22" t="s">
        <v>674</v>
      </c>
      <c r="I1311" s="26">
        <v>43726.629907407398</v>
      </c>
      <c r="J1311" s="23" t="str">
        <f>HYPERLINK("https://www.spark-marketing.ru/Card/Person/6716299", "ООО ""ЭЛСИ""")</f>
        <v>ООО "ЭЛСИ"</v>
      </c>
      <c r="K1311" s="24" t="s">
        <v>2235</v>
      </c>
      <c r="L1311" s="22" t="s">
        <v>10</v>
      </c>
      <c r="M1311" s="25">
        <v>1074589</v>
      </c>
      <c r="N1311" s="27">
        <v>0.23068458747490714</v>
      </c>
    </row>
    <row r="1312" spans="1:14" x14ac:dyDescent="0.15">
      <c r="A1312" s="23" t="str">
        <f>HYPERLINK("https://www.spark-marketing.ru/Card/Person/620", "ФКУ УПРДОР ""ПРИУРАЛЬЕ""")</f>
        <v>ФКУ УПРДОР "ПРИУРАЛЬЕ"</v>
      </c>
      <c r="B1312" s="24" t="s">
        <v>2236</v>
      </c>
      <c r="C1312" s="25">
        <v>13200</v>
      </c>
      <c r="D1312" s="22" t="s">
        <v>2237</v>
      </c>
      <c r="E1312" s="22" t="s">
        <v>53</v>
      </c>
      <c r="F1312" s="23" t="str">
        <f>HYPERLINK("https://www.spark-marketing.ru/Card/Lot/73609086", "Услуги охраны объекта")</f>
        <v>Услуги охраны объекта</v>
      </c>
      <c r="G1312" s="22" t="s">
        <v>100</v>
      </c>
      <c r="H1312" s="22" t="s">
        <v>373</v>
      </c>
      <c r="I1312" s="26">
        <v>43726.5996759259</v>
      </c>
      <c r="J1312" s="28" t="s">
        <v>52</v>
      </c>
      <c r="K1312" s="28" t="s">
        <v>52</v>
      </c>
      <c r="L1312" s="28" t="s">
        <v>52</v>
      </c>
      <c r="M1312" s="28" t="s">
        <v>52</v>
      </c>
      <c r="N1312" s="28" t="s">
        <v>52</v>
      </c>
    </row>
    <row r="1313" spans="1:14" x14ac:dyDescent="0.15">
      <c r="A1313" s="23" t="str">
        <f t="shared" ref="A1313:A1319" si="45">HYPERLINK("https://www.spark-marketing.ru/Card/Person/8996", "ГКУ ""ГЛАВТАТДОРТРАНС""")</f>
        <v>ГКУ "ГЛАВТАТДОРТРАНС"</v>
      </c>
      <c r="B1313" s="24" t="s">
        <v>2238</v>
      </c>
      <c r="C1313" s="25">
        <v>2000000</v>
      </c>
      <c r="D1313" s="22" t="s">
        <v>2239</v>
      </c>
      <c r="E1313" s="22" t="s">
        <v>491</v>
      </c>
      <c r="F1313" s="23" t="str">
        <f t="shared" ref="F1313:F1319" si="46">HYPERLINK("https://www.spark-marketing.ru/Card/Lot/73621169", "На проведение мероприятий по транспортной безопасности на дорогах общего пользования Республики Татарстан")</f>
        <v>На проведение мероприятий по транспортной безопасности на дорогах общего пользования Республики Татарстан</v>
      </c>
      <c r="G1313" s="22" t="s">
        <v>204</v>
      </c>
      <c r="H1313" s="22" t="s">
        <v>303</v>
      </c>
      <c r="I1313" s="26">
        <v>43726.566331018497</v>
      </c>
      <c r="J1313" s="28" t="s">
        <v>52</v>
      </c>
      <c r="K1313" s="28" t="s">
        <v>52</v>
      </c>
      <c r="L1313" s="28" t="s">
        <v>52</v>
      </c>
      <c r="M1313" s="28" t="s">
        <v>52</v>
      </c>
      <c r="N1313" s="28" t="s">
        <v>52</v>
      </c>
    </row>
    <row r="1314" spans="1:14" hidden="1" outlineLevel="1" x14ac:dyDescent="0.2">
      <c r="A1314" s="23" t="str">
        <f t="shared" si="45"/>
        <v>ГКУ "ГЛАВТАТДОРТРАНС"</v>
      </c>
      <c r="B1314" s="24" t="s">
        <v>2238</v>
      </c>
      <c r="C1314" s="25">
        <v>2000000</v>
      </c>
      <c r="D1314" s="22" t="s">
        <v>2239</v>
      </c>
      <c r="E1314" s="22" t="s">
        <v>491</v>
      </c>
      <c r="F1314" s="23" t="str">
        <f t="shared" si="46"/>
        <v>На проведение мероприятий по транспортной безопасности на дорогах общего пользования Республики Татарстан</v>
      </c>
      <c r="G1314" s="22" t="s">
        <v>204</v>
      </c>
      <c r="H1314" s="22" t="s">
        <v>303</v>
      </c>
      <c r="I1314" s="26">
        <v>43726.566331018497</v>
      </c>
      <c r="J1314" s="23" t="str">
        <f>HYPERLINK("https://www.spark-marketing.ru/Card/Person/6110146", "ООО ""ИЦ ТЕХНОБЕЗОПАСНОСТЬ""")</f>
        <v>ООО "ИЦ ТЕХНОБЕЗОПАСНОСТЬ"</v>
      </c>
      <c r="K1314" s="24" t="s">
        <v>2240</v>
      </c>
      <c r="L1314" s="28" t="s">
        <v>52</v>
      </c>
      <c r="M1314" s="25">
        <v>1270000</v>
      </c>
      <c r="N1314" s="27">
        <v>0.36499999999999999</v>
      </c>
    </row>
    <row r="1315" spans="1:14" hidden="1" outlineLevel="1" x14ac:dyDescent="0.2">
      <c r="A1315" s="23" t="str">
        <f t="shared" si="45"/>
        <v>ГКУ "ГЛАВТАТДОРТРАНС"</v>
      </c>
      <c r="B1315" s="24" t="s">
        <v>2238</v>
      </c>
      <c r="C1315" s="25">
        <v>2000000</v>
      </c>
      <c r="D1315" s="22" t="s">
        <v>2239</v>
      </c>
      <c r="E1315" s="22" t="s">
        <v>491</v>
      </c>
      <c r="F1315" s="23" t="str">
        <f t="shared" si="46"/>
        <v>На проведение мероприятий по транспортной безопасности на дорогах общего пользования Республики Татарстан</v>
      </c>
      <c r="G1315" s="22" t="s">
        <v>204</v>
      </c>
      <c r="H1315" s="22" t="s">
        <v>303</v>
      </c>
      <c r="I1315" s="26">
        <v>43726.566331018497</v>
      </c>
      <c r="J1315" s="23" t="str">
        <f>HYPERLINK("https://www.spark-marketing.ru/Card/Person/25906", "АО ""ПСТМ""")</f>
        <v>АО "ПСТМ"</v>
      </c>
      <c r="K1315" s="24" t="s">
        <v>2241</v>
      </c>
      <c r="L1315" s="28" t="s">
        <v>52</v>
      </c>
      <c r="M1315" s="25">
        <v>1290000</v>
      </c>
      <c r="N1315" s="27">
        <v>0.35499999999999998</v>
      </c>
    </row>
    <row r="1316" spans="1:14" hidden="1" outlineLevel="1" x14ac:dyDescent="0.2">
      <c r="A1316" s="23" t="str">
        <f t="shared" si="45"/>
        <v>ГКУ "ГЛАВТАТДОРТРАНС"</v>
      </c>
      <c r="B1316" s="24" t="s">
        <v>2238</v>
      </c>
      <c r="C1316" s="25">
        <v>2000000</v>
      </c>
      <c r="D1316" s="22" t="s">
        <v>2239</v>
      </c>
      <c r="E1316" s="22" t="s">
        <v>491</v>
      </c>
      <c r="F1316" s="23" t="str">
        <f t="shared" si="46"/>
        <v>На проведение мероприятий по транспортной безопасности на дорогах общего пользования Республики Татарстан</v>
      </c>
      <c r="G1316" s="22" t="s">
        <v>204</v>
      </c>
      <c r="H1316" s="22" t="s">
        <v>303</v>
      </c>
      <c r="I1316" s="26">
        <v>43726.566331018497</v>
      </c>
      <c r="J1316" s="23" t="str">
        <f>HYPERLINK("https://www.spark-marketing.ru/Card/Person/6527682", "СРЕДНЕВОЛЖСКИЙ ФЛ ФГУП УПРАВЛЕНИЕ ВЕДОМСТВЕННОЙ ОХРАНЫ МИНИСТЕРСТВА ТРАНСПОРТА РФ")</f>
        <v>СРЕДНЕВОЛЖСКИЙ ФЛ ФГУП УПРАВЛЕНИЕ ВЕДОМСТВЕННОЙ ОХРАНЫ МИНИСТЕРСТВА ТРАНСПОРТА РФ</v>
      </c>
      <c r="K1316" s="24" t="s">
        <v>1472</v>
      </c>
      <c r="L1316" s="28" t="s">
        <v>52</v>
      </c>
      <c r="M1316" s="25">
        <v>1300000</v>
      </c>
      <c r="N1316" s="27">
        <v>0.35</v>
      </c>
    </row>
    <row r="1317" spans="1:14" ht="12.75" hidden="1" outlineLevel="1" x14ac:dyDescent="0.2">
      <c r="A1317" s="23" t="str">
        <f t="shared" si="45"/>
        <v>ГКУ "ГЛАВТАТДОРТРАНС"</v>
      </c>
      <c r="B1317" s="24" t="s">
        <v>2238</v>
      </c>
      <c r="C1317" s="25">
        <v>2000000</v>
      </c>
      <c r="D1317" s="22" t="s">
        <v>2239</v>
      </c>
      <c r="E1317" s="22" t="s">
        <v>491</v>
      </c>
      <c r="F1317" s="23" t="str">
        <f t="shared" si="46"/>
        <v>На проведение мероприятий по транспортной безопасности на дорогах общего пользования Республики Татарстан</v>
      </c>
      <c r="G1317" s="22" t="s">
        <v>204</v>
      </c>
      <c r="H1317" s="22" t="s">
        <v>303</v>
      </c>
      <c r="I1317" s="26">
        <v>43726.566331018497</v>
      </c>
      <c r="J1317" s="23" t="str">
        <f>HYPERLINK("https://www.spark-marketing.ru/Card/Person/5795108", "ООО ""ПРОФИТБ""")</f>
        <v>ООО "ПРОФИТБ"</v>
      </c>
      <c r="K1317" s="24" t="s">
        <v>2242</v>
      </c>
      <c r="L1317" s="22" t="s">
        <v>10</v>
      </c>
      <c r="M1317" s="25">
        <v>1260000</v>
      </c>
      <c r="N1317" s="27">
        <v>0.37</v>
      </c>
    </row>
    <row r="1318" spans="1:14" hidden="1" outlineLevel="1" x14ac:dyDescent="0.2">
      <c r="A1318" s="23" t="str">
        <f t="shared" si="45"/>
        <v>ГКУ "ГЛАВТАТДОРТРАНС"</v>
      </c>
      <c r="B1318" s="24" t="s">
        <v>2238</v>
      </c>
      <c r="C1318" s="25">
        <v>2000000</v>
      </c>
      <c r="D1318" s="22" t="s">
        <v>2239</v>
      </c>
      <c r="E1318" s="22" t="s">
        <v>491</v>
      </c>
      <c r="F1318" s="23" t="str">
        <f t="shared" si="46"/>
        <v>На проведение мероприятий по транспортной безопасности на дорогах общего пользования Республики Татарстан</v>
      </c>
      <c r="G1318" s="22" t="s">
        <v>204</v>
      </c>
      <c r="H1318" s="22" t="s">
        <v>303</v>
      </c>
      <c r="I1318" s="26">
        <v>43726.566331018497</v>
      </c>
      <c r="J1318" s="23" t="str">
        <f>HYPERLINK("https://www.spark-marketing.ru/Card/Person/5900709", "ООО ""БЕЗОПАСНОСТЬ""")</f>
        <v>ООО "БЕЗОПАСНОСТЬ"</v>
      </c>
      <c r="K1318" s="24" t="s">
        <v>2243</v>
      </c>
      <c r="L1318" s="28" t="s">
        <v>52</v>
      </c>
      <c r="M1318" s="25">
        <v>1880000</v>
      </c>
      <c r="N1318" s="27">
        <v>0.06</v>
      </c>
    </row>
    <row r="1319" spans="1:14" hidden="1" outlineLevel="1" x14ac:dyDescent="0.2">
      <c r="A1319" s="23" t="str">
        <f t="shared" si="45"/>
        <v>ГКУ "ГЛАВТАТДОРТРАНС"</v>
      </c>
      <c r="B1319" s="24" t="s">
        <v>2238</v>
      </c>
      <c r="C1319" s="25">
        <v>2000000</v>
      </c>
      <c r="D1319" s="22" t="s">
        <v>2239</v>
      </c>
      <c r="E1319" s="22" t="s">
        <v>491</v>
      </c>
      <c r="F1319" s="23" t="str">
        <f t="shared" si="46"/>
        <v>На проведение мероприятий по транспортной безопасности на дорогах общего пользования Республики Татарстан</v>
      </c>
      <c r="G1319" s="22" t="s">
        <v>204</v>
      </c>
      <c r="H1319" s="22" t="s">
        <v>303</v>
      </c>
      <c r="I1319" s="26">
        <v>43726.566331018497</v>
      </c>
      <c r="J1319" s="23" t="str">
        <f>HYPERLINK("https://www.spark-marketing.ru/Card/Person/2038990", "ООО ""СТБ""")</f>
        <v>ООО "СТБ"</v>
      </c>
      <c r="K1319" s="24" t="s">
        <v>2244</v>
      </c>
      <c r="L1319" s="28" t="s">
        <v>52</v>
      </c>
      <c r="M1319" s="25">
        <v>1990000</v>
      </c>
      <c r="N1319" s="27">
        <v>5.0000000000000001E-3</v>
      </c>
    </row>
    <row r="1320" spans="1:14" x14ac:dyDescent="0.15">
      <c r="A1320" s="23" t="str">
        <f>HYPERLINK("https://www.spark-marketing.ru/Card/Person/4344644", "УПРАВЛЕНИЕ ДЕЛАМИ ГУБЕРНАТОРА АСТРАХАНСКОЙ ОБЛАСТИ")</f>
        <v>УПРАВЛЕНИЕ ДЕЛАМИ ГУБЕРНАТОРА АСТРАХАНСКОЙ ОБЛАСТИ</v>
      </c>
      <c r="B1320" s="24" t="s">
        <v>1898</v>
      </c>
      <c r="C1320" s="25">
        <v>66300</v>
      </c>
      <c r="D1320" s="22" t="s">
        <v>2245</v>
      </c>
      <c r="E1320" s="22" t="s">
        <v>2246</v>
      </c>
      <c r="F1320" s="23" t="str">
        <f>HYPERLINK("https://www.spark-marketing.ru/Card/Lot/73609126", "Услуги по изготовлению сувенирной продукции по мероприятию 1.3.7. ""Разработка и изготовление сувенирно-подарочной продукции с целью поощрения волонтеров, организаций, проводящих антинаркотическую работу"" государственной программы ""Обеспечение обще...")</f>
        <v>Услуги по изготовлению сувенирной продукции по мероприятию 1.3.7. "Разработка и изготовление сувенирно-подарочной продукции с целью поощрения волонтеров, организаций, проводящих антинаркотическую работу" государственной программы "Обеспечение обще...</v>
      </c>
      <c r="G1320" s="22" t="s">
        <v>565</v>
      </c>
      <c r="H1320" s="22" t="s">
        <v>566</v>
      </c>
      <c r="I1320" s="26">
        <v>43726.556250000001</v>
      </c>
      <c r="J1320" s="28" t="s">
        <v>52</v>
      </c>
      <c r="K1320" s="28" t="s">
        <v>52</v>
      </c>
      <c r="L1320" s="28" t="s">
        <v>52</v>
      </c>
      <c r="M1320" s="28" t="s">
        <v>52</v>
      </c>
      <c r="N1320" s="28" t="s">
        <v>52</v>
      </c>
    </row>
    <row r="1321" spans="1:14" ht="12.75" hidden="1" outlineLevel="1" x14ac:dyDescent="0.2">
      <c r="A1321" s="23" t="str">
        <f>HYPERLINK("https://www.spark-marketing.ru/Card/Person/4344644", "УПРАВЛЕНИЕ ДЕЛАМИ ГУБЕРНАТОРА АСТРАХАНСКОЙ ОБЛАСТИ")</f>
        <v>УПРАВЛЕНИЕ ДЕЛАМИ ГУБЕРНАТОРА АСТРАХАНСКОЙ ОБЛАСТИ</v>
      </c>
      <c r="B1321" s="24" t="s">
        <v>1898</v>
      </c>
      <c r="C1321" s="25">
        <v>66300</v>
      </c>
      <c r="D1321" s="22" t="s">
        <v>2245</v>
      </c>
      <c r="E1321" s="22" t="s">
        <v>2246</v>
      </c>
      <c r="F1321" s="23" t="str">
        <f>HYPERLINK("https://www.spark-marketing.ru/Card/Lot/73609126", "Услуги по изготовлению сувенирной продукции по мероприятию 1.3.7. ""Разработка и изготовление сувенирно-подарочной продукции с целью поощрения волонтеров, организаций, проводящих антинаркотическую работу"" государственной программы ""Обеспечение обще...")</f>
        <v>Услуги по изготовлению сувенирной продукции по мероприятию 1.3.7. "Разработка и изготовление сувенирно-подарочной продукции с целью поощрения волонтеров, организаций, проводящих антинаркотическую работу" государственной программы "Обеспечение обще...</v>
      </c>
      <c r="G1321" s="22" t="s">
        <v>565</v>
      </c>
      <c r="H1321" s="22" t="s">
        <v>566</v>
      </c>
      <c r="I1321" s="26">
        <v>43726.556250000001</v>
      </c>
      <c r="J1321" s="23" t="str">
        <f>HYPERLINK("https://www.spark-marketing.ru/Card/Person/277257", "ООО ""ТИПОГРАФИЯ ""НОВА""")</f>
        <v>ООО "ТИПОГРАФИЯ "НОВА"</v>
      </c>
      <c r="K1321" s="24" t="s">
        <v>2247</v>
      </c>
      <c r="L1321" s="22" t="s">
        <v>10</v>
      </c>
      <c r="M1321" s="25">
        <v>59007</v>
      </c>
      <c r="N1321" s="27">
        <v>0.11</v>
      </c>
    </row>
    <row r="1322" spans="1:14" hidden="1" outlineLevel="1" x14ac:dyDescent="0.2">
      <c r="A1322" s="23" t="str">
        <f>HYPERLINK("https://www.spark-marketing.ru/Card/Person/4344644", "УПРАВЛЕНИЕ ДЕЛАМИ ГУБЕРНАТОРА АСТРАХАНСКОЙ ОБЛАСТИ")</f>
        <v>УПРАВЛЕНИЕ ДЕЛАМИ ГУБЕРНАТОРА АСТРАХАНСКОЙ ОБЛАСТИ</v>
      </c>
      <c r="B1322" s="24" t="s">
        <v>1898</v>
      </c>
      <c r="C1322" s="25">
        <v>66300</v>
      </c>
      <c r="D1322" s="22" t="s">
        <v>2245</v>
      </c>
      <c r="E1322" s="22" t="s">
        <v>2246</v>
      </c>
      <c r="F1322" s="23" t="str">
        <f>HYPERLINK("https://www.spark-marketing.ru/Card/Lot/73609126", "Услуги по изготовлению сувенирной продукции по мероприятию 1.3.7. ""Разработка и изготовление сувенирно-подарочной продукции с целью поощрения волонтеров, организаций, проводящих антинаркотическую работу"" государственной программы ""Обеспечение обще...")</f>
        <v>Услуги по изготовлению сувенирной продукции по мероприятию 1.3.7. "Разработка и изготовление сувенирно-подарочной продукции с целью поощрения волонтеров, организаций, проводящих антинаркотическую работу" государственной программы "Обеспечение обще...</v>
      </c>
      <c r="G1322" s="22" t="s">
        <v>565</v>
      </c>
      <c r="H1322" s="22" t="s">
        <v>566</v>
      </c>
      <c r="I1322" s="26">
        <v>43726.556250000001</v>
      </c>
      <c r="J1322" s="23" t="str">
        <f>HYPERLINK("https://www.spark-marketing.ru/Card/Person/267493", "Мощук Лев Майорович")</f>
        <v>Мощук Лев Майорович</v>
      </c>
      <c r="K1322" s="24" t="s">
        <v>2248</v>
      </c>
      <c r="L1322" s="28" t="s">
        <v>52</v>
      </c>
      <c r="M1322" s="25">
        <v>62653.5</v>
      </c>
      <c r="N1322" s="27">
        <v>5.5E-2</v>
      </c>
    </row>
    <row r="1323" spans="1:14" hidden="1" outlineLevel="1" x14ac:dyDescent="0.2">
      <c r="A1323" s="23" t="str">
        <f>HYPERLINK("https://www.spark-marketing.ru/Card/Person/4344644", "УПРАВЛЕНИЕ ДЕЛАМИ ГУБЕРНАТОРА АСТРАХАНСКОЙ ОБЛАСТИ")</f>
        <v>УПРАВЛЕНИЕ ДЕЛАМИ ГУБЕРНАТОРА АСТРАХАНСКОЙ ОБЛАСТИ</v>
      </c>
      <c r="B1323" s="24" t="s">
        <v>1898</v>
      </c>
      <c r="C1323" s="25">
        <v>66300</v>
      </c>
      <c r="D1323" s="22" t="s">
        <v>2245</v>
      </c>
      <c r="E1323" s="22" t="s">
        <v>2246</v>
      </c>
      <c r="F1323" s="23" t="str">
        <f>HYPERLINK("https://www.spark-marketing.ru/Card/Lot/73609126", "Услуги по изготовлению сувенирной продукции по мероприятию 1.3.7. ""Разработка и изготовление сувенирно-подарочной продукции с целью поощрения волонтеров, организаций, проводящих антинаркотическую работу"" государственной программы ""Обеспечение обще...")</f>
        <v>Услуги по изготовлению сувенирной продукции по мероприятию 1.3.7. "Разработка и изготовление сувенирно-подарочной продукции с целью поощрения волонтеров, организаций, проводящих антинаркотическую работу" государственной программы "Обеспечение обще...</v>
      </c>
      <c r="G1323" s="22" t="s">
        <v>565</v>
      </c>
      <c r="H1323" s="22" t="s">
        <v>566</v>
      </c>
      <c r="I1323" s="26">
        <v>43726.556250000001</v>
      </c>
      <c r="J1323" s="23" t="str">
        <f>HYPERLINK("https://www.spark-marketing.ru/Card/Person/284198", "ООО ""ТИПОГРАФИЯ ""НОВАЯ ЛИНИЯ""")</f>
        <v>ООО "ТИПОГРАФИЯ "НОВАЯ ЛИНИЯ"</v>
      </c>
      <c r="K1323" s="24" t="s">
        <v>1901</v>
      </c>
      <c r="L1323" s="28" t="s">
        <v>52</v>
      </c>
      <c r="M1323" s="25">
        <v>59338.5</v>
      </c>
      <c r="N1323" s="27">
        <v>0.105</v>
      </c>
    </row>
    <row r="1324" spans="1:14" x14ac:dyDescent="0.15">
      <c r="A1324" s="23" t="str">
        <f>HYPERLINK("https://www.spark-marketing.ru/Card/Person/4772542", "АО ""ЭЦМ""")</f>
        <v>АО "ЭЦМ"</v>
      </c>
      <c r="B1324" s="24" t="s">
        <v>748</v>
      </c>
      <c r="C1324" s="25">
        <v>1250</v>
      </c>
      <c r="D1324" s="22" t="s">
        <v>2249</v>
      </c>
      <c r="E1324" s="22" t="s">
        <v>53</v>
      </c>
      <c r="F1324" s="23" t="str">
        <f>HYPERLINK("https://www.spark-marketing.ru/Card/Lot/73624320", "SW-5000KIT - комплект приводов для распашных вopoт (DOORHAN). Блок управления PCB-SW для распашных приводов (DOORHAN) Лампа сигнальная LAMP с антенной 220В (DOORHAN) Фотоэлементы PHOTOCELL-N дальность до 20м (DOORHAN)")</f>
        <v>SW-5000KIT - комплект приводов для распашных вopoт (DOORHAN). Блок управления PCB-SW для распашных приводов (DOORHAN) Лампа сигнальная LAMP с антенной 220В (DOORHAN) Фотоэлементы PHOTOCELL-N дальность до 20м (DOORHAN)</v>
      </c>
      <c r="G1324" s="22" t="s">
        <v>204</v>
      </c>
      <c r="H1324" s="22" t="s">
        <v>750</v>
      </c>
      <c r="I1324" s="26">
        <v>43726.539212962998</v>
      </c>
      <c r="J1324" s="28" t="s">
        <v>52</v>
      </c>
      <c r="K1324" s="28" t="s">
        <v>52</v>
      </c>
      <c r="L1324" s="28" t="s">
        <v>52</v>
      </c>
      <c r="M1324" s="28" t="s">
        <v>52</v>
      </c>
      <c r="N1324" s="28" t="s">
        <v>52</v>
      </c>
    </row>
    <row r="1325" spans="1:14" x14ac:dyDescent="0.15">
      <c r="A1325" s="23" t="str">
        <f>HYPERLINK("https://www.spark-marketing.ru/Card/Person/4772542", "АО ""ЭЦМ""")</f>
        <v>АО "ЭЦМ"</v>
      </c>
      <c r="B1325" s="24" t="s">
        <v>748</v>
      </c>
      <c r="C1325" s="25">
        <v>3749.94</v>
      </c>
      <c r="D1325" s="22" t="s">
        <v>2249</v>
      </c>
      <c r="E1325" s="22" t="s">
        <v>53</v>
      </c>
      <c r="F1325" s="23" t="str">
        <f>HYPERLINK("https://www.spark-marketing.ru/Card/Lot/73624316", "AD-P31B3.6I-AHD Купольная пластиковая AHD камера 1/3"" IMP CMOS, объектив 3.6 мм, 0.01 Lux в цвете, до 0,0Lux ч/б с ИК, 720р (до ЗОк/с)")</f>
        <v>AD-P31B3.6I-AHD Купольная пластиковая AHD камера 1/3" IMP CMOS, объектив 3.6 мм, 0.01 Lux в цвете, до 0,0Lux ч/б с ИК, 720р (до ЗОк/с)</v>
      </c>
      <c r="G1325" s="22" t="s">
        <v>204</v>
      </c>
      <c r="H1325" s="22" t="s">
        <v>750</v>
      </c>
      <c r="I1325" s="26">
        <v>43726.539212962998</v>
      </c>
      <c r="J1325" s="28" t="s">
        <v>52</v>
      </c>
      <c r="K1325" s="28" t="s">
        <v>52</v>
      </c>
      <c r="L1325" s="28" t="s">
        <v>52</v>
      </c>
      <c r="M1325" s="28" t="s">
        <v>52</v>
      </c>
      <c r="N1325" s="28" t="s">
        <v>52</v>
      </c>
    </row>
    <row r="1326" spans="1:14" x14ac:dyDescent="0.15">
      <c r="A1326" s="23" t="str">
        <f>HYPERLINK("https://www.spark-marketing.ru/Card/Person/4772542", "АО ""ЭЦМ""")</f>
        <v>АО "ЭЦМ"</v>
      </c>
      <c r="B1326" s="24" t="s">
        <v>748</v>
      </c>
      <c r="C1326" s="25">
        <v>833.33</v>
      </c>
      <c r="D1326" s="22" t="s">
        <v>2249</v>
      </c>
      <c r="E1326" s="22" t="s">
        <v>53</v>
      </c>
      <c r="F1326" s="23" t="str">
        <f>HYPERLINK("https://www.spark-marketing.ru/Card/Lot/73624317", "AX-3216AHD-RL 32-ух канальный AHD/ IP / Аналоговый регистратор АхуСат - 720р/960Н. 32 канала видео (AHD/BNC), 16 аудио (RCA).")</f>
        <v>AX-3216AHD-RL 32-ух канальный AHD/ IP / Аналоговый регистратор АхуСат - 720р/960Н. 32 канала видео (AHD/BNC), 16 аудио (RCA).</v>
      </c>
      <c r="G1326" s="22" t="s">
        <v>204</v>
      </c>
      <c r="H1326" s="22" t="s">
        <v>750</v>
      </c>
      <c r="I1326" s="26">
        <v>43726.539212962998</v>
      </c>
      <c r="J1326" s="28" t="s">
        <v>52</v>
      </c>
      <c r="K1326" s="28" t="s">
        <v>52</v>
      </c>
      <c r="L1326" s="28" t="s">
        <v>52</v>
      </c>
      <c r="M1326" s="28" t="s">
        <v>52</v>
      </c>
      <c r="N1326" s="28" t="s">
        <v>52</v>
      </c>
    </row>
    <row r="1327" spans="1:14" x14ac:dyDescent="0.15">
      <c r="A1327" s="23" t="str">
        <f>HYPERLINK("https://www.spark-marketing.ru/Card/Person/4772542", "АО ""ЭЦМ""")</f>
        <v>АО "ЭЦМ"</v>
      </c>
      <c r="B1327" s="24" t="s">
        <v>748</v>
      </c>
      <c r="C1327" s="25">
        <v>1458.31</v>
      </c>
      <c r="D1327" s="22" t="s">
        <v>2249</v>
      </c>
      <c r="E1327" s="22" t="s">
        <v>53</v>
      </c>
      <c r="F1327" s="23" t="str">
        <f>HYPERLINK("https://www.spark-marketing.ru/Card/Lot/73624318", "FZ-VIR42LA AHD Видеокамера уличная с ИК подсветкой Матрица: 1/4"" CMOS OV9712 Разрешение: 1мп (1280x720) объектив вариофокальный 2.8-12мм")</f>
        <v>FZ-VIR42LA AHD Видеокамера уличная с ИК подсветкой Матрица: 1/4" CMOS OV9712 Разрешение: 1мп (1280x720) объектив вариофокальный 2.8-12мм</v>
      </c>
      <c r="G1327" s="22" t="s">
        <v>204</v>
      </c>
      <c r="H1327" s="22" t="s">
        <v>750</v>
      </c>
      <c r="I1327" s="26">
        <v>43726.539212962998</v>
      </c>
      <c r="J1327" s="28" t="s">
        <v>52</v>
      </c>
      <c r="K1327" s="28" t="s">
        <v>52</v>
      </c>
      <c r="L1327" s="28" t="s">
        <v>52</v>
      </c>
      <c r="M1327" s="28" t="s">
        <v>52</v>
      </c>
      <c r="N1327" s="28" t="s">
        <v>52</v>
      </c>
    </row>
    <row r="1328" spans="1:14" x14ac:dyDescent="0.15">
      <c r="A1328" s="23" t="str">
        <f>HYPERLINK("https://www.spark-marketing.ru/Card/Person/1058661", "МКУ ""ЕДДС""")</f>
        <v>МКУ "ЕДДС"</v>
      </c>
      <c r="B1328" s="24" t="s">
        <v>2250</v>
      </c>
      <c r="C1328" s="25">
        <v>10000</v>
      </c>
      <c r="D1328" s="22" t="s">
        <v>2251</v>
      </c>
      <c r="E1328" s="22" t="s">
        <v>84</v>
      </c>
      <c r="F1328" s="23" t="str">
        <f>HYPERLINK("https://www.spark-marketing.ru/Card/Lot/73599894", "Оказание услуг по установке камеры видеонаблюдения")</f>
        <v>Оказание услуг по установке камеры видеонаблюдения</v>
      </c>
      <c r="G1328" s="22" t="s">
        <v>50</v>
      </c>
      <c r="H1328" s="22" t="s">
        <v>2252</v>
      </c>
      <c r="I1328" s="26">
        <v>43726.492488425902</v>
      </c>
      <c r="J1328" s="28" t="s">
        <v>52</v>
      </c>
      <c r="K1328" s="28" t="s">
        <v>52</v>
      </c>
      <c r="L1328" s="28" t="s">
        <v>52</v>
      </c>
      <c r="M1328" s="28" t="s">
        <v>52</v>
      </c>
      <c r="N1328" s="28" t="s">
        <v>52</v>
      </c>
    </row>
    <row r="1329" spans="1:14" x14ac:dyDescent="0.15">
      <c r="A1329" s="23" t="str">
        <f t="shared" ref="A1329:A1335" si="47">HYPERLINK("https://www.spark-marketing.ru/Card/Person/30744", "АДМИНИСТРАЦИЯ СЕЛА САМБУРГ")</f>
        <v>АДМИНИСТРАЦИЯ СЕЛА САМБУРГ</v>
      </c>
      <c r="B1329" s="24" t="s">
        <v>2253</v>
      </c>
      <c r="C1329" s="25">
        <v>1603193.42</v>
      </c>
      <c r="D1329" s="22" t="s">
        <v>2254</v>
      </c>
      <c r="E1329" s="22" t="s">
        <v>59</v>
      </c>
      <c r="F1329" s="23" t="str">
        <f>HYPERLINK("https://www.spark-marketing.ru/Card/Lot/73620368", "Приобретение и установка системы видеонаблюдения на детских игровых площадках в районе ул. Шафеева д.6, ул. Совхозная д.4, ул. Набережная д.1")</f>
        <v>Приобретение и установка системы видеонаблюдения на детских игровых площадках в районе ул. Шафеева д.6, ул. Совхозная д.4, ул. Набережная д.1</v>
      </c>
      <c r="G1329" s="22" t="s">
        <v>311</v>
      </c>
      <c r="H1329" s="22" t="s">
        <v>311</v>
      </c>
      <c r="I1329" s="26">
        <v>43726.488460648201</v>
      </c>
      <c r="J1329" s="28" t="s">
        <v>52</v>
      </c>
      <c r="K1329" s="28" t="s">
        <v>52</v>
      </c>
      <c r="L1329" s="28" t="s">
        <v>52</v>
      </c>
      <c r="M1329" s="28" t="s">
        <v>52</v>
      </c>
      <c r="N1329" s="28" t="s">
        <v>52</v>
      </c>
    </row>
    <row r="1330" spans="1:14" hidden="1" outlineLevel="1" x14ac:dyDescent="0.2">
      <c r="A1330" s="23" t="str">
        <f t="shared" si="47"/>
        <v>АДМИНИСТРАЦИЯ СЕЛА САМБУРГ</v>
      </c>
      <c r="B1330" s="24" t="s">
        <v>2253</v>
      </c>
      <c r="C1330" s="25">
        <v>1603193.42</v>
      </c>
      <c r="D1330" s="22" t="s">
        <v>2254</v>
      </c>
      <c r="E1330" s="22" t="s">
        <v>59</v>
      </c>
      <c r="F1330" s="23" t="str">
        <f>HYPERLINK("https://www.spark-marketing.ru/Card/Lot/73620368", "Приобретение и установка системы видеонаблюдения на детских игровых площадках в районе ул. Шафеева д.6, ул. Совхозная д.4, ул. Набережная д.1")</f>
        <v>Приобретение и установка системы видеонаблюдения на детских игровых площадках в районе ул. Шафеева д.6, ул. Совхозная д.4, ул. Набережная д.1</v>
      </c>
      <c r="G1330" s="22" t="s">
        <v>311</v>
      </c>
      <c r="H1330" s="22" t="s">
        <v>311</v>
      </c>
      <c r="I1330" s="26">
        <v>43726.488460648201</v>
      </c>
      <c r="J1330" s="23" t="str">
        <f>HYPERLINK("https://www.spark-marketing.ru/Card/Person/5852063", "ООО ""ЗЕБРА""")</f>
        <v>ООО "ЗЕБРА"</v>
      </c>
      <c r="K1330" s="24" t="s">
        <v>2255</v>
      </c>
      <c r="L1330" s="28" t="s">
        <v>52</v>
      </c>
      <c r="M1330" s="25">
        <v>1571129.54</v>
      </c>
      <c r="N1330" s="27">
        <v>2.0000007235558639E-2</v>
      </c>
    </row>
    <row r="1331" spans="1:14" ht="12.75" hidden="1" outlineLevel="1" x14ac:dyDescent="0.2">
      <c r="A1331" s="23" t="str">
        <f t="shared" si="47"/>
        <v>АДМИНИСТРАЦИЯ СЕЛА САМБУРГ</v>
      </c>
      <c r="B1331" s="24" t="s">
        <v>2253</v>
      </c>
      <c r="C1331" s="25">
        <v>1603193.42</v>
      </c>
      <c r="D1331" s="22" t="s">
        <v>2254</v>
      </c>
      <c r="E1331" s="22" t="s">
        <v>59</v>
      </c>
      <c r="F1331" s="23" t="str">
        <f>HYPERLINK("https://www.spark-marketing.ru/Card/Lot/73620368", "Приобретение и установка системы видеонаблюдения на детских игровых площадках в районе ул. Шафеева д.6, ул. Совхозная д.4, ул. Набережная д.1")</f>
        <v>Приобретение и установка системы видеонаблюдения на детских игровых площадках в районе ул. Шафеева д.6, ул. Совхозная д.4, ул. Набережная д.1</v>
      </c>
      <c r="G1331" s="22" t="s">
        <v>311</v>
      </c>
      <c r="H1331" s="22" t="s">
        <v>311</v>
      </c>
      <c r="I1331" s="26">
        <v>43726.488460648201</v>
      </c>
      <c r="J1331" s="23" t="str">
        <f>HYPERLINK("https://www.spark-marketing.ru/Card/Person/2572179", "ООО ""НЬЮ ЛАЙН ТЕЛЕКОМ""")</f>
        <v>ООО "НЬЮ ЛАЙН ТЕЛЕКОМ"</v>
      </c>
      <c r="K1331" s="24" t="s">
        <v>2256</v>
      </c>
      <c r="L1331" s="22" t="s">
        <v>10</v>
      </c>
      <c r="M1331" s="25">
        <v>1563113.57</v>
      </c>
      <c r="N1331" s="27">
        <v>2.5000009044448299E-2</v>
      </c>
    </row>
    <row r="1332" spans="1:14" hidden="1" outlineLevel="1" x14ac:dyDescent="0.2">
      <c r="A1332" s="23" t="str">
        <f t="shared" si="47"/>
        <v>АДМИНИСТРАЦИЯ СЕЛА САМБУРГ</v>
      </c>
      <c r="B1332" s="24" t="s">
        <v>2253</v>
      </c>
      <c r="C1332" s="25">
        <v>1603193.42</v>
      </c>
      <c r="D1332" s="22" t="s">
        <v>2254</v>
      </c>
      <c r="E1332" s="22" t="s">
        <v>59</v>
      </c>
      <c r="F1332" s="23" t="str">
        <f>HYPERLINK("https://www.spark-marketing.ru/Card/Lot/73620368", "Приобретение и установка системы видеонаблюдения на детских игровых площадках в районе ул. Шафеева д.6, ул. Совхозная д.4, ул. Набережная д.1")</f>
        <v>Приобретение и установка системы видеонаблюдения на детских игровых площадках в районе ул. Шафеева д.6, ул. Совхозная д.4, ул. Набережная д.1</v>
      </c>
      <c r="G1332" s="22" t="s">
        <v>311</v>
      </c>
      <c r="H1332" s="22" t="s">
        <v>311</v>
      </c>
      <c r="I1332" s="26">
        <v>43726.488460648201</v>
      </c>
      <c r="J1332" s="23" t="str">
        <f>HYPERLINK("https://www.spark-marketing.ru/Card/Person/10991", "ПАО ""РОСТЕЛЕКОМ""")</f>
        <v>ПАО "РОСТЕЛЕКОМ"</v>
      </c>
      <c r="K1332" s="24" t="s">
        <v>607</v>
      </c>
      <c r="L1332" s="28" t="s">
        <v>52</v>
      </c>
      <c r="M1332" s="25">
        <v>1587161.48</v>
      </c>
      <c r="N1332" s="27">
        <v>1.0000003617779319E-2</v>
      </c>
    </row>
    <row r="1333" spans="1:14" x14ac:dyDescent="0.15">
      <c r="A1333" s="23" t="str">
        <f t="shared" si="47"/>
        <v>АДМИНИСТРАЦИЯ СЕЛА САМБУРГ</v>
      </c>
      <c r="B1333" s="24" t="s">
        <v>2253</v>
      </c>
      <c r="C1333" s="25">
        <v>756537.36</v>
      </c>
      <c r="D1333" s="22" t="s">
        <v>2257</v>
      </c>
      <c r="E1333" s="22" t="s">
        <v>59</v>
      </c>
      <c r="F1333" s="23" t="str">
        <f>HYPERLINK("https://www.spark-marketing.ru/Card/Lot/73620202", "Приобретение и установка системы видеонаблюдения общественной территории ""Сквер Молодоженов""")</f>
        <v>Приобретение и установка системы видеонаблюдения общественной территории "Сквер Молодоженов"</v>
      </c>
      <c r="G1333" s="22" t="s">
        <v>311</v>
      </c>
      <c r="H1333" s="22" t="s">
        <v>311</v>
      </c>
      <c r="I1333" s="26">
        <v>43726.470138888901</v>
      </c>
      <c r="J1333" s="28" t="s">
        <v>52</v>
      </c>
      <c r="K1333" s="28" t="s">
        <v>52</v>
      </c>
      <c r="L1333" s="28" t="s">
        <v>52</v>
      </c>
      <c r="M1333" s="28" t="s">
        <v>52</v>
      </c>
      <c r="N1333" s="28" t="s">
        <v>52</v>
      </c>
    </row>
    <row r="1334" spans="1:14" hidden="1" outlineLevel="1" x14ac:dyDescent="0.2">
      <c r="A1334" s="23" t="str">
        <f t="shared" si="47"/>
        <v>АДМИНИСТРАЦИЯ СЕЛА САМБУРГ</v>
      </c>
      <c r="B1334" s="24" t="s">
        <v>2253</v>
      </c>
      <c r="C1334" s="25">
        <v>756537.36</v>
      </c>
      <c r="D1334" s="22" t="s">
        <v>2257</v>
      </c>
      <c r="E1334" s="22" t="s">
        <v>59</v>
      </c>
      <c r="F1334" s="23" t="str">
        <f>HYPERLINK("https://www.spark-marketing.ru/Card/Lot/73620202", "Приобретение и установка системы видеонаблюдения общественной территории ""Сквер Молодоженов""")</f>
        <v>Приобретение и установка системы видеонаблюдения общественной территории "Сквер Молодоженов"</v>
      </c>
      <c r="G1334" s="22" t="s">
        <v>311</v>
      </c>
      <c r="H1334" s="22" t="s">
        <v>311</v>
      </c>
      <c r="I1334" s="26">
        <v>43726.470138888901</v>
      </c>
      <c r="J1334" s="23" t="str">
        <f>HYPERLINK("https://www.spark-marketing.ru/Card/Person/10991", "ПАО ""РОСТЕЛЕКОМ""")</f>
        <v>ПАО "РОСТЕЛЕКОМ"</v>
      </c>
      <c r="K1334" s="24" t="s">
        <v>607</v>
      </c>
      <c r="L1334" s="28" t="s">
        <v>52</v>
      </c>
      <c r="M1334" s="25">
        <v>752754.67</v>
      </c>
      <c r="N1334" s="27">
        <v>5.0000042297977196E-3</v>
      </c>
    </row>
    <row r="1335" spans="1:14" ht="12.75" hidden="1" outlineLevel="1" x14ac:dyDescent="0.2">
      <c r="A1335" s="23" t="str">
        <f t="shared" si="47"/>
        <v>АДМИНИСТРАЦИЯ СЕЛА САМБУРГ</v>
      </c>
      <c r="B1335" s="24" t="s">
        <v>2253</v>
      </c>
      <c r="C1335" s="25">
        <v>756537.36</v>
      </c>
      <c r="D1335" s="22" t="s">
        <v>2257</v>
      </c>
      <c r="E1335" s="22" t="s">
        <v>59</v>
      </c>
      <c r="F1335" s="23" t="str">
        <f>HYPERLINK("https://www.spark-marketing.ru/Card/Lot/73620202", "Приобретение и установка системы видеонаблюдения общественной территории ""Сквер Молодоженов""")</f>
        <v>Приобретение и установка системы видеонаблюдения общественной территории "Сквер Молодоженов"</v>
      </c>
      <c r="G1335" s="22" t="s">
        <v>311</v>
      </c>
      <c r="H1335" s="22" t="s">
        <v>311</v>
      </c>
      <c r="I1335" s="26">
        <v>43726.470138888901</v>
      </c>
      <c r="J1335" s="23" t="str">
        <f>HYPERLINK("https://www.spark-marketing.ru/Card/Person/2572179", "ООО ""НЬЮ ЛАЙН ТЕЛЕКОМ""")</f>
        <v>ООО "НЬЮ ЛАЙН ТЕЛЕКОМ"</v>
      </c>
      <c r="K1335" s="24" t="s">
        <v>2256</v>
      </c>
      <c r="L1335" s="22" t="s">
        <v>10</v>
      </c>
      <c r="M1335" s="25">
        <v>714927.8</v>
      </c>
      <c r="N1335" s="27">
        <v>5.5000006873421291E-2</v>
      </c>
    </row>
    <row r="1336" spans="1:14" x14ac:dyDescent="0.15">
      <c r="A1336" s="23" t="str">
        <f>HYPERLINK("https://www.spark-marketing.ru/Card/Person/1058661", "МКУ ""ЕДДС""")</f>
        <v>МКУ "ЕДДС"</v>
      </c>
      <c r="B1336" s="24" t="s">
        <v>2250</v>
      </c>
      <c r="C1336" s="25">
        <v>70000</v>
      </c>
      <c r="D1336" s="22" t="s">
        <v>2258</v>
      </c>
      <c r="E1336" s="22" t="s">
        <v>84</v>
      </c>
      <c r="F1336" s="23" t="str">
        <f>HYPERLINK("https://www.spark-marketing.ru/Card/Lot/73599891", "Оказание услуг по установке камер видеонаблюдения")</f>
        <v>Оказание услуг по установке камер видеонаблюдения</v>
      </c>
      <c r="G1336" s="22" t="s">
        <v>50</v>
      </c>
      <c r="H1336" s="22" t="s">
        <v>2252</v>
      </c>
      <c r="I1336" s="26">
        <v>43726.482581018499</v>
      </c>
      <c r="J1336" s="28" t="s">
        <v>52</v>
      </c>
      <c r="K1336" s="28" t="s">
        <v>52</v>
      </c>
      <c r="L1336" s="28" t="s">
        <v>52</v>
      </c>
      <c r="M1336" s="28" t="s">
        <v>52</v>
      </c>
      <c r="N1336" s="28" t="s">
        <v>52</v>
      </c>
    </row>
    <row r="1337" spans="1:14" x14ac:dyDescent="0.15">
      <c r="A1337" s="23" t="str">
        <f>HYPERLINK("https://www.spark-marketing.ru/Card/Person/161901", "ОТДЕЛ ГФС РОССИИ В Г. СЫКТЫВКАРЕ")</f>
        <v>ОТДЕЛ ГФС РОССИИ В Г. СЫКТЫВКАРЕ</v>
      </c>
      <c r="B1337" s="24" t="s">
        <v>2259</v>
      </c>
      <c r="C1337" s="25">
        <v>4000</v>
      </c>
      <c r="D1337" s="22" t="s">
        <v>2260</v>
      </c>
      <c r="E1337" s="22" t="s">
        <v>53</v>
      </c>
      <c r="F1337" s="23" t="str">
        <f>HYPERLINK("https://www.spark-marketing.ru/Card/Lot/73599487", "Монтаж системы видеонаблюдения, 2 шт")</f>
        <v>Монтаж системы видеонаблюдения, 2 шт</v>
      </c>
      <c r="G1337" s="22" t="s">
        <v>538</v>
      </c>
      <c r="H1337" s="22" t="s">
        <v>707</v>
      </c>
      <c r="I1337" s="26">
        <v>43726.487870370402</v>
      </c>
      <c r="J1337" s="28" t="s">
        <v>52</v>
      </c>
      <c r="K1337" s="28" t="s">
        <v>52</v>
      </c>
      <c r="L1337" s="28" t="s">
        <v>52</v>
      </c>
      <c r="M1337" s="28" t="s">
        <v>52</v>
      </c>
      <c r="N1337" s="28" t="s">
        <v>52</v>
      </c>
    </row>
    <row r="1338" spans="1:14" x14ac:dyDescent="0.15">
      <c r="A1338" s="23" t="str">
        <f>HYPERLINK("https://www.spark-marketing.ru/Card/Person/67222", "ГКУСО ПК ЦПД Г. КУНГУРА")</f>
        <v>ГКУСО ПК ЦПД Г. КУНГУРА</v>
      </c>
      <c r="B1338" s="24" t="s">
        <v>2261</v>
      </c>
      <c r="C1338" s="25">
        <v>39600</v>
      </c>
      <c r="D1338" s="22" t="s">
        <v>2262</v>
      </c>
      <c r="E1338" s="22" t="s">
        <v>208</v>
      </c>
      <c r="F1338" s="23" t="str">
        <f>HYPERLINK("https://www.spark-marketing.ru/Card/Lot/73611226", "Оказание услуг по охране объекта с использованием тревожной кнопки")</f>
        <v>Оказание услуг по охране объекта с использованием тревожной кнопки</v>
      </c>
      <c r="G1338" s="22" t="s">
        <v>391</v>
      </c>
      <c r="H1338" s="22" t="s">
        <v>391</v>
      </c>
      <c r="I1338" s="26">
        <v>43726.465277777803</v>
      </c>
      <c r="J1338" s="28" t="s">
        <v>52</v>
      </c>
      <c r="K1338" s="28" t="s">
        <v>52</v>
      </c>
      <c r="L1338" s="28" t="s">
        <v>52</v>
      </c>
      <c r="M1338" s="28" t="s">
        <v>52</v>
      </c>
      <c r="N1338" s="28" t="s">
        <v>52</v>
      </c>
    </row>
    <row r="1339" spans="1:14" ht="12.75" hidden="1" outlineLevel="1" x14ac:dyDescent="0.2">
      <c r="A1339" s="23" t="str">
        <f>HYPERLINK("https://www.spark-marketing.ru/Card/Person/67222", "ГКУСО ПК ЦПД Г. КУНГУРА")</f>
        <v>ГКУСО ПК ЦПД Г. КУНГУРА</v>
      </c>
      <c r="B1339" s="24" t="s">
        <v>2261</v>
      </c>
      <c r="C1339" s="25">
        <v>39600</v>
      </c>
      <c r="D1339" s="22" t="s">
        <v>2262</v>
      </c>
      <c r="E1339" s="22" t="s">
        <v>208</v>
      </c>
      <c r="F1339" s="23" t="str">
        <f>HYPERLINK("https://www.spark-marketing.ru/Card/Lot/73611226", "Оказание услуг по охране объекта с использованием тревожной кнопки")</f>
        <v>Оказание услуг по охране объекта с использованием тревожной кнопки</v>
      </c>
      <c r="G1339" s="22" t="s">
        <v>391</v>
      </c>
      <c r="H1339" s="22" t="s">
        <v>391</v>
      </c>
      <c r="I1339" s="26">
        <v>43726.465277777803</v>
      </c>
      <c r="J1339" s="23" t="str">
        <f>HYPERLINK("https://www.spark-marketing.ru/Card/Person/420034", "ООО ""ОП ""СФЕРА МИК-КУНГУР""")</f>
        <v>ООО "ОП "СФЕРА МИК-КУНГУР"</v>
      </c>
      <c r="K1339" s="24" t="s">
        <v>2263</v>
      </c>
      <c r="L1339" s="22" t="s">
        <v>10</v>
      </c>
      <c r="M1339" s="25">
        <v>23934</v>
      </c>
      <c r="N1339" s="27">
        <v>0.39560606060606063</v>
      </c>
    </row>
    <row r="1340" spans="1:14" hidden="1" outlineLevel="1" x14ac:dyDescent="0.2">
      <c r="A1340" s="23" t="str">
        <f>HYPERLINK("https://www.spark-marketing.ru/Card/Person/67222", "ГКУСО ПК ЦПД Г. КУНГУРА")</f>
        <v>ГКУСО ПК ЦПД Г. КУНГУРА</v>
      </c>
      <c r="B1340" s="24" t="s">
        <v>2261</v>
      </c>
      <c r="C1340" s="25">
        <v>39600</v>
      </c>
      <c r="D1340" s="22" t="s">
        <v>2262</v>
      </c>
      <c r="E1340" s="22" t="s">
        <v>208</v>
      </c>
      <c r="F1340" s="23" t="str">
        <f>HYPERLINK("https://www.spark-marketing.ru/Card/Lot/73611226", "Оказание услуг по охране объекта с использованием тревожной кнопки")</f>
        <v>Оказание услуг по охране объекта с использованием тревожной кнопки</v>
      </c>
      <c r="G1340" s="22" t="s">
        <v>391</v>
      </c>
      <c r="H1340" s="22" t="s">
        <v>391</v>
      </c>
      <c r="I1340" s="26">
        <v>43726.465277777803</v>
      </c>
      <c r="J1340" s="23" t="str">
        <f>HYPERLINK("https://www.spark-marketing.ru/Card/Person/1427557", "ООО ""ОХРАННОЕ БЮРО КМК-ПЕРМЬ""")</f>
        <v>ООО "ОХРАННОЕ БЮРО КМК-ПЕРМЬ"</v>
      </c>
      <c r="K1340" s="24" t="s">
        <v>1614</v>
      </c>
      <c r="L1340" s="28" t="s">
        <v>52</v>
      </c>
      <c r="M1340" s="25">
        <v>24132</v>
      </c>
      <c r="N1340" s="27">
        <v>0.39060606060606062</v>
      </c>
    </row>
    <row r="1341" spans="1:14" x14ac:dyDescent="0.15">
      <c r="A1341" s="23" t="str">
        <f>HYPERLINK("https://www.spark-marketing.ru/Card/Person/104362", "ГБУ РС (Я) ""ЭВЕНО-БЫТАНТАЙСКАЯ ЦРБ ИМ.К.А.СЕРЕБРЯКОВОЙ""")</f>
        <v>ГБУ РС (Я) "ЭВЕНО-БЫТАНТАЙСКАЯ ЦРБ ИМ.К.А.СЕРЕБРЯКОВОЙ"</v>
      </c>
      <c r="B1341" s="24" t="s">
        <v>2264</v>
      </c>
      <c r="C1341" s="25">
        <v>45000</v>
      </c>
      <c r="D1341" s="22" t="s">
        <v>2265</v>
      </c>
      <c r="E1341" s="22" t="s">
        <v>84</v>
      </c>
      <c r="F1341" s="23" t="str">
        <f>HYPERLINK("https://www.spark-marketing.ru/Card/Lot/73616334", "услуги по антитеррористической безопасности")</f>
        <v>услуги по антитеррористической безопасности</v>
      </c>
      <c r="G1341" s="22" t="s">
        <v>424</v>
      </c>
      <c r="H1341" s="22" t="s">
        <v>2266</v>
      </c>
      <c r="I1341" s="26">
        <v>43726.724999999999</v>
      </c>
      <c r="J1341" s="23" t="str">
        <f>HYPERLINK("https://www.spark-marketing.ru/Card/Person/6354251", "ООО ""БЕЗОПАСНОСТЬ С""")</f>
        <v>ООО "БЕЗОПАСНОСТЬ С"</v>
      </c>
      <c r="K1341" s="24" t="s">
        <v>2267</v>
      </c>
      <c r="L1341" s="28" t="s">
        <v>52</v>
      </c>
      <c r="M1341" s="28" t="s">
        <v>52</v>
      </c>
      <c r="N1341" s="28" t="s">
        <v>52</v>
      </c>
    </row>
    <row r="1342" spans="1:14" x14ac:dyDescent="0.15">
      <c r="A1342" s="23" t="str">
        <f>HYPERLINK("https://www.spark-marketing.ru/Card/Person/1890", "МТУ РОСИМУЩЕСТВА В КЕМЕРОВСКОЙ И ТОМСКОЙ ОБЛАСТЯХ")</f>
        <v>МТУ РОСИМУЩЕСТВА В КЕМЕРОВСКОЙ И ТОМСКОЙ ОБЛАСТЯХ</v>
      </c>
      <c r="B1342" s="24" t="s">
        <v>1817</v>
      </c>
      <c r="C1342" s="25">
        <v>92137.5</v>
      </c>
      <c r="D1342" s="22" t="s">
        <v>2268</v>
      </c>
      <c r="E1342" s="22" t="s">
        <v>68</v>
      </c>
      <c r="F1342" s="23" t="str">
        <f>HYPERLINK("https://www.spark-marketing.ru/Card/Lot/73589218", "Услуги, связанные с обеспечением общественного порядка и безопасности прочие, 1 усл. ед")</f>
        <v>Услуги, связанные с обеспечением общественного порядка и безопасности прочие, 1 усл. ед</v>
      </c>
      <c r="G1342" s="22" t="s">
        <v>367</v>
      </c>
      <c r="H1342" s="22" t="s">
        <v>881</v>
      </c>
      <c r="I1342" s="26">
        <v>43726.388078703698</v>
      </c>
      <c r="J1342" s="28" t="s">
        <v>52</v>
      </c>
      <c r="K1342" s="28" t="s">
        <v>52</v>
      </c>
      <c r="L1342" s="28" t="s">
        <v>52</v>
      </c>
      <c r="M1342" s="28" t="s">
        <v>52</v>
      </c>
      <c r="N1342" s="28" t="s">
        <v>52</v>
      </c>
    </row>
    <row r="1343" spans="1:14" x14ac:dyDescent="0.15">
      <c r="A1343" s="23" t="str">
        <f>HYPERLINK("https://www.spark-marketing.ru/Card/Person/10834", "ГКУ КО ""ДИРЕКЦИЯ АВТОДОРОГ КУЗБАССА""")</f>
        <v>ГКУ КО "ДИРЕКЦИЯ АВТОДОРОГ КУЗБАССА"</v>
      </c>
      <c r="B1343" s="24" t="s">
        <v>1499</v>
      </c>
      <c r="C1343" s="25">
        <v>2356415.9300000002</v>
      </c>
      <c r="D1343" s="22" t="s">
        <v>2269</v>
      </c>
      <c r="E1343" s="22" t="s">
        <v>723</v>
      </c>
      <c r="F1343" s="23" t="str">
        <f>HYPERLINK("https://www.spark-marketing.ru/Card/Lot/73585634",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v>
      </c>
      <c r="G1343" s="22" t="s">
        <v>367</v>
      </c>
      <c r="H1343" s="22" t="s">
        <v>881</v>
      </c>
      <c r="I1343" s="26">
        <v>43726.402777777803</v>
      </c>
      <c r="J1343" s="23" t="str">
        <f>HYPERLINK("https://www.spark-marketing.ru/Card/Person/127397", "ООО ""ИНФОСЕРВИС""")</f>
        <v>ООО "ИНФОСЕРВИС"</v>
      </c>
      <c r="K1343" s="24" t="s">
        <v>1503</v>
      </c>
      <c r="L1343" s="28" t="s">
        <v>52</v>
      </c>
      <c r="M1343" s="28" t="s">
        <v>52</v>
      </c>
      <c r="N1343" s="28" t="s">
        <v>52</v>
      </c>
    </row>
    <row r="1344" spans="1:14" hidden="1" outlineLevel="1" x14ac:dyDescent="0.15">
      <c r="A1344" s="23" t="str">
        <f>HYPERLINK("https://www.spark-marketing.ru/Card/Person/10834", "ГКУ КО ""ДИРЕКЦИЯ АВТОДОРОГ КУЗБАССА""")</f>
        <v>ГКУ КО "ДИРЕКЦИЯ АВТОДОРОГ КУЗБАССА"</v>
      </c>
      <c r="B1344" s="24" t="s">
        <v>1499</v>
      </c>
      <c r="C1344" s="25">
        <v>2356415.9300000002</v>
      </c>
      <c r="D1344" s="22" t="s">
        <v>2269</v>
      </c>
      <c r="E1344" s="22" t="s">
        <v>723</v>
      </c>
      <c r="F1344" s="23" t="str">
        <f>HYPERLINK("https://www.spark-marketing.ru/Card/Lot/73585634",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v>
      </c>
      <c r="G1344" s="22" t="s">
        <v>367</v>
      </c>
      <c r="H1344" s="22" t="s">
        <v>881</v>
      </c>
      <c r="I1344" s="26">
        <v>43726.402777777803</v>
      </c>
      <c r="J1344" s="23" t="str">
        <f>HYPERLINK("https://www.spark-marketing.ru/Card/Person/127397", "ООО ""ИНФОСЕРВИС""")</f>
        <v>ООО "ИНФОСЕРВИС"</v>
      </c>
      <c r="K1344" s="24" t="s">
        <v>1503</v>
      </c>
      <c r="L1344" s="22" t="s">
        <v>10</v>
      </c>
      <c r="M1344" s="28" t="s">
        <v>52</v>
      </c>
      <c r="N1344" s="28" t="s">
        <v>52</v>
      </c>
    </row>
    <row r="1345" spans="1:14" x14ac:dyDescent="0.15">
      <c r="A1345" s="23" t="str">
        <f>HYPERLINK("https://www.spark-marketing.ru/Card/Person/105188", "АДМИНИСТРАЦИЯ ЗАТО ГОРОДСКОЙ ОКРУГ ВОСХОД")</f>
        <v>АДМИНИСТРАЦИЯ ЗАТО ГОРОДСКОЙ ОКРУГ ВОСХОД</v>
      </c>
      <c r="B1345" s="24" t="s">
        <v>895</v>
      </c>
      <c r="C1345" s="25">
        <v>15000</v>
      </c>
      <c r="D1345" s="22" t="s">
        <v>2270</v>
      </c>
      <c r="E1345" s="22" t="s">
        <v>2271</v>
      </c>
      <c r="F1345" s="23" t="str">
        <f>HYPERLINK("https://www.spark-marketing.ru/Card/Lot/73592369", "Приобретение и установка сигнализации с обратной связью")</f>
        <v>Приобретение и установка сигнализации с обратной связью</v>
      </c>
      <c r="G1345" s="22" t="s">
        <v>50</v>
      </c>
      <c r="H1345" s="22" t="s">
        <v>50</v>
      </c>
      <c r="I1345" s="26">
        <v>43726.388622685197</v>
      </c>
      <c r="J1345" s="28" t="s">
        <v>52</v>
      </c>
      <c r="K1345" s="28" t="s">
        <v>52</v>
      </c>
      <c r="L1345" s="28" t="s">
        <v>52</v>
      </c>
      <c r="M1345" s="28" t="s">
        <v>52</v>
      </c>
      <c r="N1345" s="28" t="s">
        <v>52</v>
      </c>
    </row>
    <row r="1346" spans="1:14" x14ac:dyDescent="0.15">
      <c r="A1346" s="23" t="str">
        <f>HYPERLINK("https://www.spark-marketing.ru/Card/Person/68844", "УПРАВЛЕНИЕ МВД РОССИИ ПО НИЖНЕКАМСКОМУ РАЙОНУ")</f>
        <v>УПРАВЛЕНИЕ МВД РОССИИ ПО НИЖНЕКАМСКОМУ РАЙОНУ</v>
      </c>
      <c r="B1346" s="24" t="s">
        <v>2272</v>
      </c>
      <c r="C1346" s="25">
        <v>120000</v>
      </c>
      <c r="D1346" s="22" t="s">
        <v>2273</v>
      </c>
      <c r="E1346" s="22" t="s">
        <v>415</v>
      </c>
      <c r="F1346" s="23" t="str">
        <f>HYPERLINK("https://www.spark-marketing.ru/Card/Lot/73588675", "Техническое обслуживание системы охранной сигнализации на 1 календарный месяц, 12 шт")</f>
        <v>Техническое обслуживание системы охранной сигнализации на 1 календарный месяц, 12 шт</v>
      </c>
      <c r="G1346" s="22" t="s">
        <v>204</v>
      </c>
      <c r="H1346" s="22" t="s">
        <v>824</v>
      </c>
      <c r="I1346" s="26">
        <v>43726.3742361111</v>
      </c>
      <c r="J1346" s="28" t="s">
        <v>52</v>
      </c>
      <c r="K1346" s="28" t="s">
        <v>52</v>
      </c>
      <c r="L1346" s="28" t="s">
        <v>52</v>
      </c>
      <c r="M1346" s="28" t="s">
        <v>52</v>
      </c>
      <c r="N1346" s="28" t="s">
        <v>52</v>
      </c>
    </row>
    <row r="1347" spans="1:14" x14ac:dyDescent="0.15">
      <c r="A1347" s="23" t="str">
        <f>HYPERLINK("https://www.spark-marketing.ru/Card/Person/68844", "УПРАВЛЕНИЕ МВД РОССИИ ПО НИЖНЕКАМСКОМУ РАЙОНУ")</f>
        <v>УПРАВЛЕНИЕ МВД РОССИИ ПО НИЖНЕКАМСКОМУ РАЙОНУ</v>
      </c>
      <c r="B1347" s="24" t="s">
        <v>2272</v>
      </c>
      <c r="C1347" s="25">
        <v>120000</v>
      </c>
      <c r="D1347" s="22" t="s">
        <v>2274</v>
      </c>
      <c r="E1347" s="22" t="s">
        <v>415</v>
      </c>
      <c r="F1347" s="23" t="str">
        <f>HYPERLINK("https://www.spark-marketing.ru/Card/Lot/73589028", "Техническое обслуживание системы охранной сигнализации на 1 календарный месяц, 12 шт")</f>
        <v>Техническое обслуживание системы охранной сигнализации на 1 календарный месяц, 12 шт</v>
      </c>
      <c r="G1347" s="22" t="s">
        <v>204</v>
      </c>
      <c r="H1347" s="22" t="s">
        <v>824</v>
      </c>
      <c r="I1347" s="26">
        <v>43726.370231481502</v>
      </c>
      <c r="J1347" s="28" t="s">
        <v>52</v>
      </c>
      <c r="K1347" s="28" t="s">
        <v>52</v>
      </c>
      <c r="L1347" s="28" t="s">
        <v>52</v>
      </c>
      <c r="M1347" s="28" t="s">
        <v>52</v>
      </c>
      <c r="N1347" s="28" t="s">
        <v>52</v>
      </c>
    </row>
    <row r="1348" spans="1:14" x14ac:dyDescent="0.15">
      <c r="A1348" s="23" t="str">
        <f>HYPERLINK("https://www.spark-marketing.ru/Card/Person/133098", "МБУ КДЦ ""ЗАРЕЧЬЕ""")</f>
        <v>МБУ КДЦ "ЗАРЕЧЬЕ"</v>
      </c>
      <c r="B1348" s="24" t="s">
        <v>2275</v>
      </c>
      <c r="C1348" s="25">
        <v>361706.67</v>
      </c>
      <c r="D1348" s="22" t="s">
        <v>2276</v>
      </c>
      <c r="E1348" s="22" t="s">
        <v>84</v>
      </c>
      <c r="F1348" s="23" t="str">
        <f>HYPERLINK("https://www.spark-marketing.ru/Card/Lot/73589173", "Закупка в 2019 году работ по поставке установке и настройке системы видеоконтроля для нужд МБУ КДЦ ""Заречье""")</f>
        <v>Закупка в 2019 году работ по поставке установке и настройке системы видеоконтроля для нужд МБУ КДЦ "Заречье"</v>
      </c>
      <c r="G1348" s="22" t="s">
        <v>50</v>
      </c>
      <c r="H1348" s="22" t="s">
        <v>1045</v>
      </c>
      <c r="I1348" s="26">
        <v>43726.346608796302</v>
      </c>
      <c r="J1348" s="28" t="s">
        <v>52</v>
      </c>
      <c r="K1348" s="28" t="s">
        <v>52</v>
      </c>
      <c r="L1348" s="28" t="s">
        <v>52</v>
      </c>
      <c r="M1348" s="28" t="s">
        <v>52</v>
      </c>
      <c r="N1348" s="28" t="s">
        <v>52</v>
      </c>
    </row>
    <row r="1349" spans="1:14" x14ac:dyDescent="0.15">
      <c r="A1349" s="23" t="str">
        <f>HYPERLINK("https://www.spark-marketing.ru/Card/Person/22686", "ФГКУ КОМБИНАТ ""СОКОЛ"" РОСРЕЗЕРВА")</f>
        <v>ФГКУ КОМБИНАТ "СОКОЛ" РОСРЕЗЕРВА</v>
      </c>
      <c r="B1349" s="24" t="s">
        <v>1637</v>
      </c>
      <c r="C1349" s="25">
        <v>234.28</v>
      </c>
      <c r="D1349" s="22" t="s">
        <v>2277</v>
      </c>
      <c r="E1349" s="22" t="s">
        <v>107</v>
      </c>
      <c r="F1349" s="23" t="str">
        <f>HYPERLINK("https://www.spark-marketing.ru/Card/Lot/73587670", "Техническое обслуживание сигнализации, 1 шт")</f>
        <v>Техническое обслуживание сигнализации, 1 шт</v>
      </c>
      <c r="G1349" s="22" t="s">
        <v>556</v>
      </c>
      <c r="H1349" s="22" t="s">
        <v>1639</v>
      </c>
      <c r="I1349" s="26">
        <v>43726.3512962963</v>
      </c>
      <c r="J1349" s="28" t="s">
        <v>52</v>
      </c>
      <c r="K1349" s="28" t="s">
        <v>52</v>
      </c>
      <c r="L1349" s="28" t="s">
        <v>52</v>
      </c>
      <c r="M1349" s="28" t="s">
        <v>52</v>
      </c>
      <c r="N1349" s="28" t="s">
        <v>52</v>
      </c>
    </row>
    <row r="1350" spans="1:14" x14ac:dyDescent="0.15">
      <c r="A1350" s="23" t="str">
        <f>HYPERLINK("https://www.spark-marketing.ru/Card/Person/266656", "КАМЧАТСКОЕ МТУ РОСАВИАЦИИ")</f>
        <v>КАМЧАТСКОЕ МТУ РОСАВИАЦИИ</v>
      </c>
      <c r="B1350" s="24" t="s">
        <v>1139</v>
      </c>
      <c r="C1350" s="25">
        <v>31194.99</v>
      </c>
      <c r="D1350" s="22" t="s">
        <v>2278</v>
      </c>
      <c r="E1350" s="22" t="s">
        <v>1013</v>
      </c>
      <c r="F1350" s="23" t="str">
        <f>HYPERLINK("https://www.spark-marketing.ru/Card/Lot/73585406", "Техническое обслуживание охранной сигнализации, 1 усл. ед")</f>
        <v>Техническое обслуживание охранной сигнализации, 1 усл. ед</v>
      </c>
      <c r="G1350" s="22" t="s">
        <v>1141</v>
      </c>
      <c r="H1350" s="22" t="s">
        <v>1142</v>
      </c>
      <c r="I1350" s="26">
        <v>43726.311469907399</v>
      </c>
      <c r="J1350" s="28" t="s">
        <v>52</v>
      </c>
      <c r="K1350" s="28" t="s">
        <v>52</v>
      </c>
      <c r="L1350" s="28" t="s">
        <v>52</v>
      </c>
      <c r="M1350" s="28" t="s">
        <v>52</v>
      </c>
      <c r="N1350" s="28" t="s">
        <v>52</v>
      </c>
    </row>
    <row r="1351" spans="1:14" x14ac:dyDescent="0.15">
      <c r="A1351" s="23" t="str">
        <f>HYPERLINK("https://www.spark-marketing.ru/Card/Person/6338642", "ООО ""АГ - УК""")</f>
        <v>ООО "АГ - УК"</v>
      </c>
      <c r="B1351" s="24" t="s">
        <v>2279</v>
      </c>
      <c r="C1351" s="25">
        <v>0</v>
      </c>
      <c r="D1351" s="22" t="s">
        <v>2280</v>
      </c>
      <c r="E1351" s="22" t="s">
        <v>53</v>
      </c>
      <c r="F1351" s="23" t="str">
        <f>HYPERLINK("https://www.spark-marketing.ru/Card/Lot/73600639", "Тендер на право заключения договора на оказание охранных услуг на объектах ООО ""СПК ""Чистогорский""")</f>
        <v>Тендер на право заключения договора на оказание охранных услуг на объектах ООО "СПК "Чистогорский"</v>
      </c>
      <c r="G1351" s="22" t="s">
        <v>150</v>
      </c>
      <c r="H1351" s="22" t="s">
        <v>1656</v>
      </c>
      <c r="I1351" s="26">
        <v>43726</v>
      </c>
      <c r="J1351" s="28" t="s">
        <v>52</v>
      </c>
      <c r="K1351" s="28" t="s">
        <v>52</v>
      </c>
      <c r="L1351" s="28" t="s">
        <v>52</v>
      </c>
      <c r="M1351" s="28" t="s">
        <v>52</v>
      </c>
      <c r="N1351" s="28" t="s">
        <v>52</v>
      </c>
    </row>
    <row r="1352" spans="1:14" x14ac:dyDescent="0.15">
      <c r="A1352" s="23" t="str">
        <f>HYPERLINK("https://www.spark-marketing.ru/Card/Person/4284211", "ПАО ""ГРУППА ЧЕРКИЗОВО""")</f>
        <v>ПАО "ГРУППА ЧЕРКИЗОВО"</v>
      </c>
      <c r="B1352" s="24" t="s">
        <v>2281</v>
      </c>
      <c r="C1352" s="28" t="s">
        <v>52</v>
      </c>
      <c r="D1352" s="22" t="s">
        <v>2282</v>
      </c>
      <c r="E1352" s="22" t="s">
        <v>53</v>
      </c>
      <c r="F1352" s="23" t="str">
        <f>HYPERLINK("https://www.spark-marketing.ru/Card/Lot/73614420", "Запрос цен на услуги по физической охране объектов/АО «Черкизово-Кашира» (id399546)")</f>
        <v>Запрос цен на услуги по физической охране объектов/АО «Черкизово-Кашира» (id399546)</v>
      </c>
      <c r="G1352" s="22" t="s">
        <v>50</v>
      </c>
      <c r="H1352" s="22" t="s">
        <v>2283</v>
      </c>
      <c r="I1352" s="26">
        <v>43726</v>
      </c>
      <c r="J1352" s="28" t="s">
        <v>52</v>
      </c>
      <c r="K1352" s="28" t="s">
        <v>52</v>
      </c>
      <c r="L1352" s="28" t="s">
        <v>52</v>
      </c>
      <c r="M1352" s="28" t="s">
        <v>52</v>
      </c>
      <c r="N1352" s="28" t="s">
        <v>52</v>
      </c>
    </row>
    <row r="1353" spans="1:14" x14ac:dyDescent="0.15">
      <c r="A1353" s="23" t="str">
        <f>HYPERLINK("https://www.spark-marketing.ru/Card/Person/4284211", "ПАО ""ГРУППА ЧЕРКИЗОВО""")</f>
        <v>ПАО "ГРУППА ЧЕРКИЗОВО"</v>
      </c>
      <c r="B1353" s="24" t="s">
        <v>2281</v>
      </c>
      <c r="C1353" s="28" t="s">
        <v>52</v>
      </c>
      <c r="D1353" s="22" t="s">
        <v>2284</v>
      </c>
      <c r="E1353" s="22" t="s">
        <v>53</v>
      </c>
      <c r="F1353" s="23" t="str">
        <f>HYPERLINK("https://www.spark-marketing.ru/Card/Lot/73614421", "Запрос цен на услуги по физической охране объектов/ОАО «БИКОМ» (id399531)")</f>
        <v>Запрос цен на услуги по физической охране объектов/ОАО «БИКОМ» (id399531)</v>
      </c>
      <c r="G1353" s="22" t="s">
        <v>50</v>
      </c>
      <c r="H1353" s="22" t="s">
        <v>2283</v>
      </c>
      <c r="I1353" s="26">
        <v>43726</v>
      </c>
      <c r="J1353" s="28" t="s">
        <v>52</v>
      </c>
      <c r="K1353" s="28" t="s">
        <v>52</v>
      </c>
      <c r="L1353" s="28" t="s">
        <v>52</v>
      </c>
      <c r="M1353" s="28" t="s">
        <v>52</v>
      </c>
      <c r="N1353" s="28" t="s">
        <v>52</v>
      </c>
    </row>
    <row r="1354" spans="1:14" x14ac:dyDescent="0.15">
      <c r="A1354" s="23" t="str">
        <f>HYPERLINK("https://www.spark-marketing.ru/Card/Person/538989", "АО ""ТЕПЛОСЕТЬ САНКТ-ПЕТЕРБУРГА""")</f>
        <v>АО "ТЕПЛОСЕТЬ САНКТ-ПЕТЕРБУРГА"</v>
      </c>
      <c r="B1354" s="24" t="s">
        <v>2285</v>
      </c>
      <c r="C1354" s="25">
        <v>3902880</v>
      </c>
      <c r="D1354" s="22" t="s">
        <v>2286</v>
      </c>
      <c r="E1354" s="22" t="s">
        <v>49</v>
      </c>
      <c r="F1354" s="23" t="str">
        <f>HYPERLINK("https://www.spark-marketing.ru/Card/Lot/73613692", "Модернизация комплекса инженерно-технических средств охраны на объектах АО ""Теплосеть Санкт-Петербурга"" (4444/4.6.16-612)")</f>
        <v>Модернизация комплекса инженерно-технических средств охраны на объектах АО "Теплосеть Санкт-Петербурга" (4444/4.6.16-612)</v>
      </c>
      <c r="G1354" s="22" t="s">
        <v>89</v>
      </c>
      <c r="H1354" s="22" t="s">
        <v>89</v>
      </c>
      <c r="I1354" s="26">
        <v>43726</v>
      </c>
      <c r="J1354" s="28" t="s">
        <v>52</v>
      </c>
      <c r="K1354" s="28" t="s">
        <v>52</v>
      </c>
      <c r="L1354" s="28" t="s">
        <v>52</v>
      </c>
      <c r="M1354" s="28" t="s">
        <v>52</v>
      </c>
      <c r="N1354" s="28" t="s">
        <v>52</v>
      </c>
    </row>
    <row r="1355" spans="1:14" x14ac:dyDescent="0.15">
      <c r="A1355" s="23" t="str">
        <f>HYPERLINK("https://www.spark-marketing.ru/Card/Person/4284211", "ПАО ""ГРУППА ЧЕРКИЗОВО""")</f>
        <v>ПАО "ГРУППА ЧЕРКИЗОВО"</v>
      </c>
      <c r="B1355" s="24" t="s">
        <v>2281</v>
      </c>
      <c r="C1355" s="28" t="s">
        <v>52</v>
      </c>
      <c r="D1355" s="22" t="s">
        <v>2287</v>
      </c>
      <c r="E1355" s="22" t="s">
        <v>53</v>
      </c>
      <c r="F1355" s="23" t="str">
        <f>HYPERLINK("https://www.spark-marketing.ru/Card/Lot/73612018", "Запрос цен на услуги по физической охране объектов/ООО «Кузнецовский комбинат» (id399529)")</f>
        <v>Запрос цен на услуги по физической охране объектов/ООО «Кузнецовский комбинат» (id399529)</v>
      </c>
      <c r="G1355" s="22" t="s">
        <v>50</v>
      </c>
      <c r="H1355" s="22" t="s">
        <v>2283</v>
      </c>
      <c r="I1355" s="26">
        <v>43726</v>
      </c>
      <c r="J1355" s="28" t="s">
        <v>52</v>
      </c>
      <c r="K1355" s="28" t="s">
        <v>52</v>
      </c>
      <c r="L1355" s="28" t="s">
        <v>52</v>
      </c>
      <c r="M1355" s="28" t="s">
        <v>52</v>
      </c>
      <c r="N1355" s="28" t="s">
        <v>52</v>
      </c>
    </row>
    <row r="1356" spans="1:14" x14ac:dyDescent="0.15">
      <c r="A1356" s="23" t="str">
        <f>HYPERLINK("https://www.spark-marketing.ru/Card/Person/4284211", "ПАО ""ГРУППА ЧЕРКИЗОВО""")</f>
        <v>ПАО "ГРУППА ЧЕРКИЗОВО"</v>
      </c>
      <c r="B1356" s="24" t="s">
        <v>2281</v>
      </c>
      <c r="C1356" s="28" t="s">
        <v>52</v>
      </c>
      <c r="D1356" s="22" t="s">
        <v>2288</v>
      </c>
      <c r="E1356" s="22" t="s">
        <v>53</v>
      </c>
      <c r="F1356" s="23" t="str">
        <f>HYPERLINK("https://www.spark-marketing.ru/Card/Lot/73609702", "Запрос цен на услуги по физической охране объектов АО «Куриное царство» (филиал «Моссельпром») (id399518)")</f>
        <v>Запрос цен на услуги по физической охране объектов АО «Куриное царство» (филиал «Моссельпром») (id399518)</v>
      </c>
      <c r="G1356" s="22" t="s">
        <v>50</v>
      </c>
      <c r="H1356" s="22" t="s">
        <v>2283</v>
      </c>
      <c r="I1356" s="26">
        <v>43726</v>
      </c>
      <c r="J1356" s="28" t="s">
        <v>52</v>
      </c>
      <c r="K1356" s="28" t="s">
        <v>52</v>
      </c>
      <c r="L1356" s="28" t="s">
        <v>52</v>
      </c>
      <c r="M1356" s="28" t="s">
        <v>52</v>
      </c>
      <c r="N1356" s="28" t="s">
        <v>52</v>
      </c>
    </row>
    <row r="1357" spans="1:14" x14ac:dyDescent="0.15">
      <c r="A1357" s="23" t="str">
        <f>HYPERLINK("https://www.spark-marketing.ru/Card/Person/2144372", "ЗАО "" БОАЗ """)</f>
        <v>ЗАО " БОАЗ "</v>
      </c>
      <c r="B1357" s="24" t="s">
        <v>2289</v>
      </c>
      <c r="C1357" s="25">
        <v>0</v>
      </c>
      <c r="D1357" s="22" t="s">
        <v>2290</v>
      </c>
      <c r="E1357" s="22" t="s">
        <v>103</v>
      </c>
      <c r="F1357" s="23" t="str">
        <f>HYPERLINK("https://www.spark-marketing.ru/Card/Lot/73612482", "1. Обслуживание системы контроля и управления доступом 2. Обслуживание системы видеонаблюдения 3. Обслуживание оборудования локальной вычислительной сети 4. обслуживание структурированной кабельной сети 5. Аварийно восстановительные работы")</f>
        <v>1. Обслуживание системы контроля и управления доступом 2. Обслуживание системы видеонаблюдения 3. Обслуживание оборудования локальной вычислительной сети 4. обслуживание структурированной кабельной сети 5. Аварийно восстановительные работы</v>
      </c>
      <c r="G1357" s="22" t="s">
        <v>640</v>
      </c>
      <c r="H1357" s="22" t="s">
        <v>2291</v>
      </c>
      <c r="I1357" s="26">
        <v>43726.604699074102</v>
      </c>
      <c r="J1357" s="28" t="s">
        <v>52</v>
      </c>
      <c r="K1357" s="28" t="s">
        <v>52</v>
      </c>
      <c r="L1357" s="28" t="s">
        <v>52</v>
      </c>
      <c r="M1357" s="28" t="s">
        <v>52</v>
      </c>
      <c r="N1357" s="28" t="s">
        <v>52</v>
      </c>
    </row>
    <row r="1358" spans="1:14" x14ac:dyDescent="0.15">
      <c r="A1358" s="23" t="str">
        <f>HYPERLINK("https://www.spark-marketing.ru/Card/Person/4284211", "ПАО ""ГРУППА ЧЕРКИЗОВО""")</f>
        <v>ПАО "ГРУППА ЧЕРКИЗОВО"</v>
      </c>
      <c r="B1358" s="24" t="s">
        <v>2281</v>
      </c>
      <c r="C1358" s="28" t="s">
        <v>52</v>
      </c>
      <c r="D1358" s="22" t="s">
        <v>2292</v>
      </c>
      <c r="E1358" s="22" t="s">
        <v>53</v>
      </c>
      <c r="F1358" s="23" t="str">
        <f>HYPERLINK("https://www.spark-marketing.ru/Card/Lot/73614417", "Запрос цен на услуги по физической охране объектов/ПАО ""Группа Черкизово, НИЦ Чкркизово, Черкизово-ОЦО (id399549)")</f>
        <v>Запрос цен на услуги по физической охране объектов/ПАО "Группа Черкизово, НИЦ Чкркизово, Черкизово-ОЦО (id399549)</v>
      </c>
      <c r="G1358" s="22" t="s">
        <v>50</v>
      </c>
      <c r="H1358" s="22" t="s">
        <v>2283</v>
      </c>
      <c r="I1358" s="26">
        <v>43726</v>
      </c>
      <c r="J1358" s="28" t="s">
        <v>52</v>
      </c>
      <c r="K1358" s="28" t="s">
        <v>52</v>
      </c>
      <c r="L1358" s="28" t="s">
        <v>52</v>
      </c>
      <c r="M1358" s="28" t="s">
        <v>52</v>
      </c>
      <c r="N1358" s="28" t="s">
        <v>52</v>
      </c>
    </row>
    <row r="1359" spans="1:14" x14ac:dyDescent="0.15">
      <c r="A1359" s="23" t="str">
        <f>HYPERLINK("https://www.spark-marketing.ru/Card/Person/4284211", "ПАО ""ГРУППА ЧЕРКИЗОВО""")</f>
        <v>ПАО "ГРУППА ЧЕРКИЗОВО"</v>
      </c>
      <c r="B1359" s="24" t="s">
        <v>2281</v>
      </c>
      <c r="C1359" s="28" t="s">
        <v>52</v>
      </c>
      <c r="D1359" s="22" t="s">
        <v>2293</v>
      </c>
      <c r="E1359" s="22" t="s">
        <v>53</v>
      </c>
      <c r="F1359" s="23" t="str">
        <f>HYPERLINK("https://www.spark-marketing.ru/Card/Lot/73614418", "Запрос цен на услуги по физической охране объектов/АО ""ЧМПЗ"" (id399547)")</f>
        <v>Запрос цен на услуги по физической охране объектов/АО "ЧМПЗ" (id399547)</v>
      </c>
      <c r="G1359" s="22" t="s">
        <v>50</v>
      </c>
      <c r="H1359" s="22" t="s">
        <v>2283</v>
      </c>
      <c r="I1359" s="26">
        <v>43726</v>
      </c>
      <c r="J1359" s="28" t="s">
        <v>52</v>
      </c>
      <c r="K1359" s="28" t="s">
        <v>52</v>
      </c>
      <c r="L1359" s="28" t="s">
        <v>52</v>
      </c>
      <c r="M1359" s="28" t="s">
        <v>52</v>
      </c>
      <c r="N1359" s="28" t="s">
        <v>52</v>
      </c>
    </row>
    <row r="1360" spans="1:14" x14ac:dyDescent="0.15">
      <c r="A1360" s="23" t="str">
        <f>HYPERLINK("https://www.spark-marketing.ru/Card/Person/4284211", "ПАО ""ГРУППА ЧЕРКИЗОВО""")</f>
        <v>ПАО "ГРУППА ЧЕРКИЗОВО"</v>
      </c>
      <c r="B1360" s="24" t="s">
        <v>2281</v>
      </c>
      <c r="C1360" s="28" t="s">
        <v>52</v>
      </c>
      <c r="D1360" s="22" t="s">
        <v>2294</v>
      </c>
      <c r="E1360" s="22" t="s">
        <v>53</v>
      </c>
      <c r="F1360" s="23" t="str">
        <f>HYPERLINK("https://www.spark-marketing.ru/Card/Lot/73609701", "Запрос цен на услуги по физической охране объектов/АО КЦ (Узловая) (id399523)")</f>
        <v>Запрос цен на услуги по физической охране объектов/АО КЦ (Узловая) (id399523)</v>
      </c>
      <c r="G1360" s="22" t="s">
        <v>50</v>
      </c>
      <c r="H1360" s="22" t="s">
        <v>2283</v>
      </c>
      <c r="I1360" s="26">
        <v>43726</v>
      </c>
      <c r="J1360" s="28" t="s">
        <v>52</v>
      </c>
      <c r="K1360" s="28" t="s">
        <v>52</v>
      </c>
      <c r="L1360" s="28" t="s">
        <v>52</v>
      </c>
      <c r="M1360" s="28" t="s">
        <v>52</v>
      </c>
      <c r="N1360" s="28" t="s">
        <v>52</v>
      </c>
    </row>
    <row r="1361" spans="1:14" x14ac:dyDescent="0.15">
      <c r="A1361" s="23" t="str">
        <f>HYPERLINK("https://www.spark-marketing.ru/Card/Person/6450322", "ЗАКАЗЧИК РП БЕЛАРУСЬ")</f>
        <v>ЗАКАЗЧИК РП БЕЛАРУСЬ</v>
      </c>
      <c r="B1361" s="28" t="s">
        <v>52</v>
      </c>
      <c r="C1361" s="25">
        <v>1110067.25</v>
      </c>
      <c r="D1361" s="22" t="s">
        <v>2295</v>
      </c>
      <c r="E1361" s="22" t="s">
        <v>53</v>
      </c>
      <c r="F1361" s="23" t="str">
        <f>HYPERLINK("https://www.spark-marketing.ru/Card/Lot/73594494", "услуги по техническому обслуживанию технических средств и систем охраны, в т.ч. видеонаблюдение (далее - СОС)")</f>
        <v>услуги по техническому обслуживанию технических средств и систем охраны, в т.ч. видеонаблюдение (далее - СОС)</v>
      </c>
      <c r="G1361" s="22" t="s">
        <v>52</v>
      </c>
      <c r="H1361" s="22" t="s">
        <v>52</v>
      </c>
      <c r="I1361" s="26">
        <v>43726</v>
      </c>
      <c r="J1361" s="28" t="s">
        <v>52</v>
      </c>
      <c r="K1361" s="28" t="s">
        <v>52</v>
      </c>
      <c r="L1361" s="28" t="s">
        <v>52</v>
      </c>
      <c r="M1361" s="28" t="s">
        <v>52</v>
      </c>
      <c r="N1361" s="28" t="s">
        <v>52</v>
      </c>
    </row>
    <row r="1362" spans="1:14" x14ac:dyDescent="0.15">
      <c r="A1362" s="23" t="str">
        <f>HYPERLINK("https://www.spark-marketing.ru/Card/Person/4284211", "ПАО ""ГРУППА ЧЕРКИЗОВО""")</f>
        <v>ПАО "ГРУППА ЧЕРКИЗОВО"</v>
      </c>
      <c r="B1362" s="24" t="s">
        <v>2281</v>
      </c>
      <c r="C1362" s="28" t="s">
        <v>52</v>
      </c>
      <c r="D1362" s="22" t="s">
        <v>2296</v>
      </c>
      <c r="E1362" s="22" t="s">
        <v>53</v>
      </c>
      <c r="F1362" s="23" t="str">
        <f>HYPERLINK("https://www.spark-marketing.ru/Card/Lot/73609707", "Запрос цен на услуги по физической охране объектов/АО ""Петелинская птицефабрика"" (id399461)")</f>
        <v>Запрос цен на услуги по физической охране объектов/АО "Петелинская птицефабрика" (id399461)</v>
      </c>
      <c r="G1362" s="22" t="s">
        <v>50</v>
      </c>
      <c r="H1362" s="22" t="s">
        <v>2283</v>
      </c>
      <c r="I1362" s="26">
        <v>43726</v>
      </c>
      <c r="J1362" s="28" t="s">
        <v>52</v>
      </c>
      <c r="K1362" s="28" t="s">
        <v>52</v>
      </c>
      <c r="L1362" s="28" t="s">
        <v>52</v>
      </c>
      <c r="M1362" s="28" t="s">
        <v>52</v>
      </c>
      <c r="N1362" s="28" t="s">
        <v>52</v>
      </c>
    </row>
    <row r="1363" spans="1:14" x14ac:dyDescent="0.2">
      <c r="A1363" s="23" t="str">
        <f>HYPERLINK("https://www.spark-marketing.ru/Card/Person/666553", "ФГП ВО ЖДТ РОССИИ")</f>
        <v>ФГП ВО ЖДТ РОССИИ</v>
      </c>
      <c r="B1363" s="24" t="s">
        <v>1269</v>
      </c>
      <c r="C1363" s="25">
        <v>46338</v>
      </c>
      <c r="D1363" s="22" t="s">
        <v>2297</v>
      </c>
      <c r="E1363" s="22" t="s">
        <v>1419</v>
      </c>
      <c r="F1363" s="23" t="str">
        <f>HYPERLINK("https://www.spark-marketing.ru/Card/Lot/73611436", "Оказание услуг по изготовлению стендов по охране труда для нужд Мичуринского отряда ведомственной охраны филиала ФГП ВО ЖДТ России на Юго-Восточной железной дороге г. Мичуринск")</f>
        <v>Оказание услуг по изготовлению стендов по охране труда для нужд Мичуринского отряда ведомственной охраны филиала ФГП ВО ЖДТ России на Юго-Восточной железной дороге г. Мичуринск</v>
      </c>
      <c r="G1363" s="22" t="s">
        <v>1319</v>
      </c>
      <c r="H1363" s="22" t="s">
        <v>1319</v>
      </c>
      <c r="I1363" s="26">
        <v>43726</v>
      </c>
      <c r="J1363" s="28" t="s">
        <v>52</v>
      </c>
      <c r="K1363" s="28" t="s">
        <v>52</v>
      </c>
      <c r="L1363" s="28" t="s">
        <v>52</v>
      </c>
      <c r="M1363" s="25">
        <v>34764</v>
      </c>
      <c r="N1363" s="27">
        <v>0.2497734041175709</v>
      </c>
    </row>
    <row r="1364" spans="1:14" x14ac:dyDescent="0.15">
      <c r="A1364" s="23" t="str">
        <f>HYPERLINK("https://www.spark-marketing.ru/Card/Person/4284211", "ПАО ""ГРУППА ЧЕРКИЗОВО""")</f>
        <v>ПАО "ГРУППА ЧЕРКИЗОВО"</v>
      </c>
      <c r="B1364" s="24" t="s">
        <v>2281</v>
      </c>
      <c r="C1364" s="28" t="s">
        <v>52</v>
      </c>
      <c r="D1364" s="22" t="s">
        <v>2298</v>
      </c>
      <c r="E1364" s="22" t="s">
        <v>53</v>
      </c>
      <c r="F1364" s="23" t="str">
        <f>HYPERLINK("https://www.spark-marketing.ru/Card/Lot/73609699", "Запрос цен на услуги по физической охране объектов/ООО ""Черкизово-Растениеводство"" ПО ""Московское"" (id399524)")</f>
        <v>Запрос цен на услуги по физической охране объектов/ООО "Черкизово-Растениеводство" ПО "Московское" (id399524)</v>
      </c>
      <c r="G1364" s="22" t="s">
        <v>50</v>
      </c>
      <c r="H1364" s="22" t="s">
        <v>2283</v>
      </c>
      <c r="I1364" s="26">
        <v>43726</v>
      </c>
      <c r="J1364" s="28" t="s">
        <v>52</v>
      </c>
      <c r="K1364" s="28" t="s">
        <v>52</v>
      </c>
      <c r="L1364" s="28" t="s">
        <v>52</v>
      </c>
      <c r="M1364" s="28" t="s">
        <v>52</v>
      </c>
      <c r="N1364" s="28" t="s">
        <v>52</v>
      </c>
    </row>
    <row r="1365" spans="1:14" x14ac:dyDescent="0.15">
      <c r="A1365" s="23" t="str">
        <f>HYPERLINK("https://www.spark-marketing.ru/Card/Person/29503", "АО ""КОНЦЕРН ""СОЗВЕЗДИЕ""")</f>
        <v>АО "КОНЦЕРН "СОЗВЕЗДИЕ"</v>
      </c>
      <c r="B1365" s="24" t="s">
        <v>2299</v>
      </c>
      <c r="C1365" s="25">
        <v>9690000</v>
      </c>
      <c r="D1365" s="22" t="s">
        <v>2300</v>
      </c>
      <c r="E1365" s="22" t="s">
        <v>789</v>
      </c>
      <c r="F1365" s="23" t="str">
        <f>HYPERLINK("https://www.spark-marketing.ru/Card/Lot/73619496", "Охрана объекта, находящегося по адресу: Воронежская обл., Рамонский р-н, с Лопатки (ул. Садовая, 79А, Площадка №1: пост №1, пост №2; ул. Садовая, 79Б, Площадка №2: пост №1, пост №2; подвижной пост №3), дополнительные посты охраны по адресу Воронежска...")</f>
        <v>Охрана объекта, находящегося по адресу: Воронежская обл., Рамонский р-н, с Лопатки (ул. Садовая, 79А, Площадка №1: пост №1, пост №2; ул. Садовая, 79Б, Площадка №2: пост №1, пост №2; подвижной пост №3), дополнительные посты охраны по адресу Воронежска...</v>
      </c>
      <c r="G1365" s="22" t="s">
        <v>552</v>
      </c>
      <c r="H1365" s="22" t="s">
        <v>886</v>
      </c>
      <c r="I1365" s="26">
        <v>43726</v>
      </c>
      <c r="J1365" s="28" t="s">
        <v>52</v>
      </c>
      <c r="K1365" s="28" t="s">
        <v>52</v>
      </c>
      <c r="L1365" s="28" t="s">
        <v>52</v>
      </c>
      <c r="M1365" s="28" t="s">
        <v>52</v>
      </c>
      <c r="N1365" s="28" t="s">
        <v>52</v>
      </c>
    </row>
    <row r="1366" spans="1:14" x14ac:dyDescent="0.15">
      <c r="A1366" s="23" t="str">
        <f>HYPERLINK("https://www.spark-marketing.ru/Card/Person/4284211", "ПАО ""ГРУППА ЧЕРКИЗОВО""")</f>
        <v>ПАО "ГРУППА ЧЕРКИЗОВО"</v>
      </c>
      <c r="B1366" s="24" t="s">
        <v>2281</v>
      </c>
      <c r="C1366" s="28" t="s">
        <v>52</v>
      </c>
      <c r="D1366" s="22" t="s">
        <v>2301</v>
      </c>
      <c r="E1366" s="22" t="s">
        <v>53</v>
      </c>
      <c r="F1366" s="23" t="str">
        <f>HYPERLINK("https://www.spark-marketing.ru/Card/Lot/73612019", "Запрос цен на услуги по физической охране объектов/АО «Ожерельевский комбикормовый завод» (id399527)")</f>
        <v>Запрос цен на услуги по физической охране объектов/АО «Ожерельевский комбикормовый завод» (id399527)</v>
      </c>
      <c r="G1366" s="22" t="s">
        <v>50</v>
      </c>
      <c r="H1366" s="22" t="s">
        <v>2283</v>
      </c>
      <c r="I1366" s="26">
        <v>43726</v>
      </c>
      <c r="J1366" s="28" t="s">
        <v>52</v>
      </c>
      <c r="K1366" s="28" t="s">
        <v>52</v>
      </c>
      <c r="L1366" s="28" t="s">
        <v>52</v>
      </c>
      <c r="M1366" s="28" t="s">
        <v>52</v>
      </c>
      <c r="N1366" s="28" t="s">
        <v>52</v>
      </c>
    </row>
    <row r="1367" spans="1:14" x14ac:dyDescent="0.2">
      <c r="A1367" s="23" t="str">
        <f>HYPERLINK("https://www.spark-marketing.ru/Card/Person/4354951", "АО ""ЭЛЕКТРОСЕТЬСЕРВИС ЕНЭС""")</f>
        <v>АО "ЭЛЕКТРОСЕТЬСЕРВИС ЕНЭС"</v>
      </c>
      <c r="B1367" s="24" t="s">
        <v>2302</v>
      </c>
      <c r="C1367" s="25">
        <v>3009216</v>
      </c>
      <c r="D1367" s="22" t="s">
        <v>2303</v>
      </c>
      <c r="E1367" s="22" t="s">
        <v>363</v>
      </c>
      <c r="F1367" s="23" t="str">
        <f>HYPERLINK("https://www.spark-marketing.ru/Card/Lot/73613750", "Оказание услуг по охране объектов филиала АО ""Электросетьсервис ЕНЭС"" Новгородская СПБ")</f>
        <v>Оказание услуг по охране объектов филиала АО "Электросетьсервис ЕНЭС" Новгородская СПБ</v>
      </c>
      <c r="G1367" s="22" t="s">
        <v>50</v>
      </c>
      <c r="H1367" s="22" t="s">
        <v>50</v>
      </c>
      <c r="I1367" s="26">
        <v>43726</v>
      </c>
      <c r="J1367" s="28" t="s">
        <v>52</v>
      </c>
      <c r="K1367" s="28" t="s">
        <v>52</v>
      </c>
      <c r="L1367" s="28" t="s">
        <v>52</v>
      </c>
      <c r="M1367" s="25">
        <v>2256000</v>
      </c>
      <c r="N1367" s="27">
        <v>0.25030306897211768</v>
      </c>
    </row>
    <row r="1368" spans="1:14" x14ac:dyDescent="0.2">
      <c r="A1368" s="23" t="str">
        <f>HYPERLINK("https://www.spark-marketing.ru/Card/Person/4345875", "АО ""ТЕЛЕКАНАЛ 360""")</f>
        <v>АО "ТЕЛЕКАНАЛ 360"</v>
      </c>
      <c r="B1368" s="24" t="s">
        <v>865</v>
      </c>
      <c r="C1368" s="25">
        <v>327173.90999999997</v>
      </c>
      <c r="D1368" s="22" t="s">
        <v>2304</v>
      </c>
      <c r="E1368" s="22" t="s">
        <v>370</v>
      </c>
      <c r="F1368" s="23" t="str">
        <f>HYPERLINK("https://www.spark-marketing.ru/Card/Lot/73617194", "Оказание услуг по профилактическому обслуживанию аппаратной АСБ3; загрузке и настройке графического оформления в видеопульт RossVideo в студийном комплексе Заказчика")</f>
        <v>Оказание услуг по профилактическому обслуживанию аппаратной АСБ3; загрузке и настройке графического оформления в видеопульт RossVideo в студийном комплексе Заказчика</v>
      </c>
      <c r="G1368" s="22" t="s">
        <v>50</v>
      </c>
      <c r="H1368" s="22" t="s">
        <v>51</v>
      </c>
      <c r="I1368" s="26">
        <v>43726</v>
      </c>
      <c r="J1368" s="28" t="s">
        <v>52</v>
      </c>
      <c r="K1368" s="28" t="s">
        <v>52</v>
      </c>
      <c r="L1368" s="28" t="s">
        <v>52</v>
      </c>
      <c r="M1368" s="25">
        <v>327173.90999999997</v>
      </c>
      <c r="N1368" s="27">
        <v>0</v>
      </c>
    </row>
    <row r="1369" spans="1:14" x14ac:dyDescent="0.15">
      <c r="A1369" s="23" t="str">
        <f>HYPERLINK("https://www.spark-marketing.ru/Card/Person/27034", "АДМИНИСТРАЦИЯ ГОРОДСКОГО ОКРУГА ЛОБНЯ")</f>
        <v>АДМИНИСТРАЦИЯ ГОРОДСКОГО ОКРУГА ЛОБНЯ</v>
      </c>
      <c r="B1369" s="24" t="s">
        <v>2305</v>
      </c>
      <c r="C1369" s="25">
        <v>272369</v>
      </c>
      <c r="D1369" s="22" t="s">
        <v>2306</v>
      </c>
      <c r="E1369" s="22" t="s">
        <v>234</v>
      </c>
      <c r="F1369" s="23" t="str">
        <f>HYPERLINK("https://www.spark-marketing.ru/Card/Lot/73564198", "Оказание услуг по техническому обслуживанию, содержанию и передаче видеоизображений с мест нахождения видеокамер территориально-распределенной системы видеонаблюдения городского округа Лобня, обслуживание серверов существующей системы технологическог...")</f>
        <v>Оказание услуг по техническому обслуживанию, содержанию и передаче видеоизображений с мест нахождения видеокамер территориально-распределенной системы видеонаблюдения городского округа Лобня, обслуживание серверов существующей системы технологическог...</v>
      </c>
      <c r="G1369" s="22" t="s">
        <v>50</v>
      </c>
      <c r="H1369" s="22" t="s">
        <v>2307</v>
      </c>
      <c r="I1369" s="26">
        <v>43725.713888888902</v>
      </c>
      <c r="J1369" s="28" t="s">
        <v>52</v>
      </c>
      <c r="K1369" s="28" t="s">
        <v>52</v>
      </c>
      <c r="L1369" s="28" t="s">
        <v>52</v>
      </c>
      <c r="M1369" s="28" t="s">
        <v>52</v>
      </c>
      <c r="N1369" s="28" t="s">
        <v>52</v>
      </c>
    </row>
    <row r="1370" spans="1:14" hidden="1" outlineLevel="1" x14ac:dyDescent="0.2">
      <c r="A1370" s="23" t="str">
        <f>HYPERLINK("https://www.spark-marketing.ru/Card/Person/27034", "АДМИНИСТРАЦИЯ ГОРОДСКОГО ОКРУГА ЛОБНЯ")</f>
        <v>АДМИНИСТРАЦИЯ ГОРОДСКОГО ОКРУГА ЛОБНЯ</v>
      </c>
      <c r="B1370" s="24" t="s">
        <v>2305</v>
      </c>
      <c r="C1370" s="25">
        <v>272369</v>
      </c>
      <c r="D1370" s="22" t="s">
        <v>2306</v>
      </c>
      <c r="E1370" s="22" t="s">
        <v>234</v>
      </c>
      <c r="F1370" s="23" t="str">
        <f>HYPERLINK("https://www.spark-marketing.ru/Card/Lot/73564198", "Оказание услуг по техническому обслуживанию, содержанию и передаче видеоизображений с мест нахождения видеокамер территориально-распределенной системы видеонаблюдения городского округа Лобня, обслуживание серверов существующей системы технологическог...")</f>
        <v>Оказание услуг по техническому обслуживанию, содержанию и передаче видеоизображений с мест нахождения видеокамер территориально-распределенной системы видеонаблюдения городского округа Лобня, обслуживание серверов существующей системы технологическог...</v>
      </c>
      <c r="G1370" s="22" t="s">
        <v>50</v>
      </c>
      <c r="H1370" s="22" t="s">
        <v>2307</v>
      </c>
      <c r="I1370" s="26">
        <v>43725.713888888902</v>
      </c>
      <c r="J1370" s="23" t="str">
        <f>HYPERLINK("https://www.spark-marketing.ru/Card/Person/6336503", "Гандилян Веспасион Ардавазтович")</f>
        <v>Гандилян Веспасион Ардавазтович</v>
      </c>
      <c r="K1370" s="24" t="s">
        <v>2308</v>
      </c>
      <c r="L1370" s="28" t="s">
        <v>52</v>
      </c>
      <c r="M1370" s="25">
        <v>271007.15000000002</v>
      </c>
      <c r="N1370" s="27">
        <v>5.0000183574489022E-3</v>
      </c>
    </row>
    <row r="1371" spans="1:14" ht="12.75" hidden="1" outlineLevel="1" x14ac:dyDescent="0.2">
      <c r="A1371" s="23" t="str">
        <f>HYPERLINK("https://www.spark-marketing.ru/Card/Person/27034", "АДМИНИСТРАЦИЯ ГОРОДСКОГО ОКРУГА ЛОБНЯ")</f>
        <v>АДМИНИСТРАЦИЯ ГОРОДСКОГО ОКРУГА ЛОБНЯ</v>
      </c>
      <c r="B1371" s="24" t="s">
        <v>2305</v>
      </c>
      <c r="C1371" s="25">
        <v>272369</v>
      </c>
      <c r="D1371" s="22" t="s">
        <v>2306</v>
      </c>
      <c r="E1371" s="22" t="s">
        <v>234</v>
      </c>
      <c r="F1371" s="23" t="str">
        <f>HYPERLINK("https://www.spark-marketing.ru/Card/Lot/73564198", "Оказание услуг по техническому обслуживанию, содержанию и передаче видеоизображений с мест нахождения видеокамер территориально-распределенной системы видеонаблюдения городского округа Лобня, обслуживание серверов существующей системы технологическог...")</f>
        <v>Оказание услуг по техническому обслуживанию, содержанию и передаче видеоизображений с мест нахождения видеокамер территориально-распределенной системы видеонаблюдения городского округа Лобня, обслуживание серверов существующей системы технологическог...</v>
      </c>
      <c r="G1371" s="22" t="s">
        <v>50</v>
      </c>
      <c r="H1371" s="22" t="s">
        <v>2307</v>
      </c>
      <c r="I1371" s="26">
        <v>43725.713888888902</v>
      </c>
      <c r="J1371" s="23" t="str">
        <f>HYPERLINK("https://www.spark-marketing.ru/Card/Person/70278", "ООО ""ГОРОДСКИЕ СЕТИ""")</f>
        <v>ООО "ГОРОДСКИЕ СЕТИ"</v>
      </c>
      <c r="K1371" s="24" t="s">
        <v>2309</v>
      </c>
      <c r="L1371" s="22" t="s">
        <v>10</v>
      </c>
      <c r="M1371" s="25">
        <v>269645.3</v>
      </c>
      <c r="N1371" s="27">
        <v>1.0000036714897804E-2</v>
      </c>
    </row>
    <row r="1372" spans="1:14" x14ac:dyDescent="0.15">
      <c r="A1372" s="23" t="str">
        <f>HYPERLINK("https://www.spark-marketing.ru/Card/Person/35198", "ФКУ ""ДЕЗ СКИТР""")</f>
        <v>ФКУ "ДЕЗ СКИТР"</v>
      </c>
      <c r="B1372" s="24" t="s">
        <v>2310</v>
      </c>
      <c r="C1372" s="25">
        <v>299997</v>
      </c>
      <c r="D1372" s="22" t="s">
        <v>2311</v>
      </c>
      <c r="E1372" s="22" t="s">
        <v>53</v>
      </c>
      <c r="F1372" s="23" t="str">
        <f>HYPERLINK("https://www.spark-marketing.ru/Card/Lot/73544949", "Оказание охранных услуг")</f>
        <v>Оказание охранных услуг</v>
      </c>
      <c r="G1372" s="22" t="s">
        <v>55</v>
      </c>
      <c r="H1372" s="22" t="s">
        <v>55</v>
      </c>
      <c r="I1372" s="26">
        <v>43725.6940509259</v>
      </c>
      <c r="J1372" s="28" t="s">
        <v>52</v>
      </c>
      <c r="K1372" s="28" t="s">
        <v>52</v>
      </c>
      <c r="L1372" s="28" t="s">
        <v>52</v>
      </c>
      <c r="M1372" s="28" t="s">
        <v>52</v>
      </c>
      <c r="N1372" s="28" t="s">
        <v>52</v>
      </c>
    </row>
    <row r="1373" spans="1:14" x14ac:dyDescent="0.15">
      <c r="A1373" s="23" t="str">
        <f>HYPERLINK("https://www.spark-marketing.ru/Card/Person/35198", "ФКУ ""ДЕЗ СКИТР""")</f>
        <v>ФКУ "ДЕЗ СКИТР"</v>
      </c>
      <c r="B1373" s="24" t="s">
        <v>2310</v>
      </c>
      <c r="C1373" s="25">
        <v>99999</v>
      </c>
      <c r="D1373" s="22" t="s">
        <v>2312</v>
      </c>
      <c r="E1373" s="22" t="s">
        <v>53</v>
      </c>
      <c r="F1373" s="23" t="str">
        <f>HYPERLINK("https://www.spark-marketing.ru/Card/Lot/73544942", "Оказание охранных услуг")</f>
        <v>Оказание охранных услуг</v>
      </c>
      <c r="G1373" s="22" t="s">
        <v>55</v>
      </c>
      <c r="H1373" s="22" t="s">
        <v>55</v>
      </c>
      <c r="I1373" s="26">
        <v>43725.691608796304</v>
      </c>
      <c r="J1373" s="28" t="s">
        <v>52</v>
      </c>
      <c r="K1373" s="28" t="s">
        <v>52</v>
      </c>
      <c r="L1373" s="28" t="s">
        <v>52</v>
      </c>
      <c r="M1373" s="28" t="s">
        <v>52</v>
      </c>
      <c r="N1373" s="28" t="s">
        <v>52</v>
      </c>
    </row>
    <row r="1374" spans="1:14" x14ac:dyDescent="0.15">
      <c r="A1374" s="23" t="str">
        <f>HYPERLINK("https://www.spark-marketing.ru/Card/Person/18932", "ФКУ УПРДОР ""ЕНИСЕЙ""")</f>
        <v>ФКУ УПРДОР "ЕНИСЕЙ"</v>
      </c>
      <c r="B1374" s="24" t="s">
        <v>2313</v>
      </c>
      <c r="C1374" s="25">
        <v>583609</v>
      </c>
      <c r="D1374" s="22" t="s">
        <v>2314</v>
      </c>
      <c r="E1374" s="22" t="s">
        <v>2315</v>
      </c>
      <c r="F1374" s="23" t="str">
        <f>HYPERLINK("https://www.spark-marketing.ru/Card/Lot/73567866", "Выполнение работ по содержанию искусственных  дорожных сооружений на  сети  автомобильных дорог общего пользования федерального значения.  Планово-предупредительные работы.  Мост через реку Енисей на км 30+710    автомобильной дороги Р-255 «Сибирь»  ...")</f>
        <v>Выполнение работ по содержанию искусственных  дорожных сооружений на  сети  автомобильных дорог общего пользования федерального значения.  Планово-предупредительные работы.  Мост через реку Енисей на км 30+710    автомобильной дороги Р-255 «Сибирь»  ...</v>
      </c>
      <c r="G1374" s="22" t="s">
        <v>640</v>
      </c>
      <c r="H1374" s="22" t="s">
        <v>640</v>
      </c>
      <c r="I1374" s="26">
        <v>43725.704166666699</v>
      </c>
      <c r="J1374" s="23" t="str">
        <f>HYPERLINK("https://www.spark-marketing.ru/Card/Person/6448463", "ООО ""СК МАГИСТРАЛЬ""")</f>
        <v>ООО "СК МАГИСТРАЛЬ"</v>
      </c>
      <c r="K1374" s="24" t="s">
        <v>2316</v>
      </c>
      <c r="L1374" s="22" t="s">
        <v>10</v>
      </c>
      <c r="M1374" s="28" t="s">
        <v>52</v>
      </c>
      <c r="N1374" s="28" t="s">
        <v>52</v>
      </c>
    </row>
    <row r="1375" spans="1:14" x14ac:dyDescent="0.15">
      <c r="A1375" s="23" t="str">
        <f>HYPERLINK("https://www.spark-marketing.ru/Card/Person/4348446", "ООО ""ТАИФ-НК АЗС""")</f>
        <v>ООО "ТАИФ-НК АЗС"</v>
      </c>
      <c r="B1375" s="24" t="s">
        <v>301</v>
      </c>
      <c r="C1375" s="25">
        <v>261048</v>
      </c>
      <c r="D1375" s="22" t="s">
        <v>2317</v>
      </c>
      <c r="E1375" s="22" t="s">
        <v>53</v>
      </c>
      <c r="F1375" s="23" t="str">
        <f>HYPERLINK("https://www.spark-marketing.ru/Card/Lot/73579768", "Пультовая охрана АЗС 405,406 Аксубаевский р-он, АЗС 407,408 г.Чистополь, АЗС 409,410 Спасский р-он, АЗС 411 Алькеевский р-он, АЗС 414 Алексеевский р-он, АЗС 412 Новошешминский р-он, АЗС 413 Черемшанский р-он")</f>
        <v>Пультовая охрана АЗС 405,406 Аксубаевский р-он, АЗС 407,408 г.Чистополь, АЗС 409,410 Спасский р-он, АЗС 411 Алькеевский р-он, АЗС 414 Алексеевский р-он, АЗС 412 Новошешминский р-он, АЗС 413 Черемшанский р-он</v>
      </c>
      <c r="G1375" s="22" t="s">
        <v>204</v>
      </c>
      <c r="H1375" s="22" t="s">
        <v>303</v>
      </c>
      <c r="I1375" s="26">
        <v>43725.706944444399</v>
      </c>
      <c r="J1375" s="28" t="s">
        <v>52</v>
      </c>
      <c r="K1375" s="28" t="s">
        <v>52</v>
      </c>
      <c r="L1375" s="28" t="s">
        <v>52</v>
      </c>
      <c r="M1375" s="28" t="s">
        <v>52</v>
      </c>
      <c r="N1375" s="28" t="s">
        <v>52</v>
      </c>
    </row>
    <row r="1376" spans="1:14" x14ac:dyDescent="0.15">
      <c r="A1376" s="23" t="str">
        <f>HYPERLINK("https://www.spark-marketing.ru/Card/Person/7963", "ФКУ ""ГБ МСЭ ПО ПСКОВСКОЙ ОБЛАСТИ"" МИНТРУДА РОССИИ")</f>
        <v>ФКУ "ГБ МСЭ ПО ПСКОВСКОЙ ОБЛАСТИ" МИНТРУДА РОССИИ</v>
      </c>
      <c r="B1376" s="24" t="s">
        <v>2318</v>
      </c>
      <c r="C1376" s="25">
        <v>2100</v>
      </c>
      <c r="D1376" s="22" t="s">
        <v>2319</v>
      </c>
      <c r="E1376" s="22" t="s">
        <v>53</v>
      </c>
      <c r="F1376" s="23" t="str">
        <f>HYPERLINK("https://www.spark-marketing.ru/Card/Lot/73544963", "Оказание услуг по охране помещений средствами пультовой охраны объектов по адресу: Псковская область, г. Великие Луки, пр. Гагарина, 4а")</f>
        <v>Оказание услуг по охране помещений средствами пультовой охраны объектов по адресу: Псковская область, г. Великие Луки, пр. Гагарина, 4а</v>
      </c>
      <c r="G1376" s="22" t="s">
        <v>142</v>
      </c>
      <c r="H1376" s="22" t="s">
        <v>2320</v>
      </c>
      <c r="I1376" s="26">
        <v>43725.6968402778</v>
      </c>
      <c r="J1376" s="28" t="s">
        <v>52</v>
      </c>
      <c r="K1376" s="28" t="s">
        <v>52</v>
      </c>
      <c r="L1376" s="28" t="s">
        <v>52</v>
      </c>
      <c r="M1376" s="28" t="s">
        <v>52</v>
      </c>
      <c r="N1376" s="28" t="s">
        <v>52</v>
      </c>
    </row>
    <row r="1377" spans="1:14" x14ac:dyDescent="0.15">
      <c r="A1377" s="23" t="str">
        <f>HYPERLINK("https://www.spark-marketing.ru/Card/Person/35198", "ФКУ ""ДЕЗ СКИТР""")</f>
        <v>ФКУ "ДЕЗ СКИТР"</v>
      </c>
      <c r="B1377" s="24" t="s">
        <v>2310</v>
      </c>
      <c r="C1377" s="25">
        <v>299997</v>
      </c>
      <c r="D1377" s="22" t="s">
        <v>2321</v>
      </c>
      <c r="E1377" s="22" t="s">
        <v>53</v>
      </c>
      <c r="F1377" s="23" t="str">
        <f>HYPERLINK("https://www.spark-marketing.ru/Card/Lot/73544933", "Оказание охранных услуг")</f>
        <v>Оказание охранных услуг</v>
      </c>
      <c r="G1377" s="22" t="s">
        <v>55</v>
      </c>
      <c r="H1377" s="22" t="s">
        <v>55</v>
      </c>
      <c r="I1377" s="26">
        <v>43725.686851851897</v>
      </c>
      <c r="J1377" s="28" t="s">
        <v>52</v>
      </c>
      <c r="K1377" s="28" t="s">
        <v>52</v>
      </c>
      <c r="L1377" s="28" t="s">
        <v>52</v>
      </c>
      <c r="M1377" s="28" t="s">
        <v>52</v>
      </c>
      <c r="N1377" s="28" t="s">
        <v>52</v>
      </c>
    </row>
    <row r="1378" spans="1:14" x14ac:dyDescent="0.15">
      <c r="A1378" s="23" t="str">
        <f>HYPERLINK("https://www.spark-marketing.ru/Card/Person/4348446", "ООО ""ТАИФ-НК АЗС""")</f>
        <v>ООО "ТАИФ-НК АЗС"</v>
      </c>
      <c r="B1378" s="24" t="s">
        <v>301</v>
      </c>
      <c r="C1378" s="25">
        <v>63630</v>
      </c>
      <c r="D1378" s="22" t="s">
        <v>2317</v>
      </c>
      <c r="E1378" s="22" t="s">
        <v>53</v>
      </c>
      <c r="F1378" s="23" t="str">
        <f>HYPERLINK("https://www.spark-marketing.ru/Card/Lot/73579770", "ТО КТС АЗС 405,406 Аксубаевский р-он, АЗС 407, 408 г.Чистополь, АЗС 409,410 Спасский р-он, АЗС 411 Алькеевский р-он, АЗС 414 Алексеевский р-он, АЗС 412 Новошешминский р-он, АЗС 413 Черемшанский р-он")</f>
        <v>ТО КТС АЗС 405,406 Аксубаевский р-он, АЗС 407, 408 г.Чистополь, АЗС 409,410 Спасский р-он, АЗС 411 Алькеевский р-он, АЗС 414 Алексеевский р-он, АЗС 412 Новошешминский р-он, АЗС 413 Черемшанский р-он</v>
      </c>
      <c r="G1378" s="22" t="s">
        <v>204</v>
      </c>
      <c r="H1378" s="22" t="s">
        <v>303</v>
      </c>
      <c r="I1378" s="26">
        <v>43725.706944444399</v>
      </c>
      <c r="J1378" s="28" t="s">
        <v>52</v>
      </c>
      <c r="K1378" s="28" t="s">
        <v>52</v>
      </c>
      <c r="L1378" s="28" t="s">
        <v>52</v>
      </c>
      <c r="M1378" s="28" t="s">
        <v>52</v>
      </c>
      <c r="N1378" s="28" t="s">
        <v>52</v>
      </c>
    </row>
    <row r="1379" spans="1:14" x14ac:dyDescent="0.15">
      <c r="A1379" s="23" t="str">
        <f>HYPERLINK("https://www.spark-marketing.ru/Card/Person/4348446", "ООО ""ТАИФ-НК АЗС""")</f>
        <v>ООО "ТАИФ-НК АЗС"</v>
      </c>
      <c r="B1379" s="24" t="s">
        <v>301</v>
      </c>
      <c r="C1379" s="25">
        <v>104419.2</v>
      </c>
      <c r="D1379" s="22" t="s">
        <v>2317</v>
      </c>
      <c r="E1379" s="22" t="s">
        <v>53</v>
      </c>
      <c r="F1379" s="23" t="str">
        <f>HYPERLINK("https://www.spark-marketing.ru/Card/Lot/73579767", "Пультовая охрана АЗС 401,402,403,404 г. Нурлат")</f>
        <v>Пультовая охрана АЗС 401,402,403,404 г. Нурлат</v>
      </c>
      <c r="G1379" s="22" t="s">
        <v>204</v>
      </c>
      <c r="H1379" s="22" t="s">
        <v>303</v>
      </c>
      <c r="I1379" s="26">
        <v>43725.706944444399</v>
      </c>
      <c r="J1379" s="28" t="s">
        <v>52</v>
      </c>
      <c r="K1379" s="28" t="s">
        <v>52</v>
      </c>
      <c r="L1379" s="28" t="s">
        <v>52</v>
      </c>
      <c r="M1379" s="28" t="s">
        <v>52</v>
      </c>
      <c r="N1379" s="28" t="s">
        <v>52</v>
      </c>
    </row>
    <row r="1380" spans="1:14" x14ac:dyDescent="0.15">
      <c r="A1380" s="23" t="str">
        <f>HYPERLINK("https://www.spark-marketing.ru/Card/Person/4348446", "ООО ""ТАИФ-НК АЗС""")</f>
        <v>ООО "ТАИФ-НК АЗС"</v>
      </c>
      <c r="B1380" s="24" t="s">
        <v>301</v>
      </c>
      <c r="C1380" s="25">
        <v>25452</v>
      </c>
      <c r="D1380" s="22" t="s">
        <v>2317</v>
      </c>
      <c r="E1380" s="22" t="s">
        <v>53</v>
      </c>
      <c r="F1380" s="23" t="str">
        <f>HYPERLINK("https://www.spark-marketing.ru/Card/Lot/73579769", "ТО КТС АЗС 401,402,403,404 г.Нурлат")</f>
        <v>ТО КТС АЗС 401,402,403,404 г.Нурлат</v>
      </c>
      <c r="G1380" s="22" t="s">
        <v>204</v>
      </c>
      <c r="H1380" s="22" t="s">
        <v>303</v>
      </c>
      <c r="I1380" s="26">
        <v>43725.706944444399</v>
      </c>
      <c r="J1380" s="28" t="s">
        <v>52</v>
      </c>
      <c r="K1380" s="28" t="s">
        <v>52</v>
      </c>
      <c r="L1380" s="28" t="s">
        <v>52</v>
      </c>
      <c r="M1380" s="28" t="s">
        <v>52</v>
      </c>
      <c r="N1380" s="28" t="s">
        <v>52</v>
      </c>
    </row>
    <row r="1381" spans="1:14" x14ac:dyDescent="0.15">
      <c r="A1381" s="23" t="str">
        <f>HYPERLINK("https://www.spark-marketing.ru/Card/Person/1577243", "ОМВД РОССИИ ПО НЕКРАСОВСКОМУ РАЙОНУ")</f>
        <v>ОМВД РОССИИ ПО НЕКРАСОВСКОМУ РАЙОНУ</v>
      </c>
      <c r="B1381" s="24" t="s">
        <v>2322</v>
      </c>
      <c r="C1381" s="25">
        <v>7500</v>
      </c>
      <c r="D1381" s="22" t="s">
        <v>2323</v>
      </c>
      <c r="E1381" s="22" t="s">
        <v>1013</v>
      </c>
      <c r="F1381" s="23" t="str">
        <f>HYPERLINK("https://www.spark-marketing.ru/Card/Lot/73539707", "Техническое обслуживание охранной сигнализации, 1 усл. ед")</f>
        <v>Техническое обслуживание охранной сигнализации, 1 усл. ед</v>
      </c>
      <c r="G1381" s="22" t="s">
        <v>155</v>
      </c>
      <c r="H1381" s="22" t="s">
        <v>155</v>
      </c>
      <c r="I1381" s="26">
        <v>43725.616435185198</v>
      </c>
      <c r="J1381" s="28" t="s">
        <v>52</v>
      </c>
      <c r="K1381" s="28" t="s">
        <v>52</v>
      </c>
      <c r="L1381" s="28" t="s">
        <v>52</v>
      </c>
      <c r="M1381" s="28" t="s">
        <v>52</v>
      </c>
      <c r="N1381" s="28" t="s">
        <v>52</v>
      </c>
    </row>
    <row r="1382" spans="1:14" x14ac:dyDescent="0.15">
      <c r="A1382" s="23" t="str">
        <f>HYPERLINK("https://www.spark-marketing.ru/Card/Person/595", "УФССП РОССИИ ПО РЕСПУБЛИКЕ БАШКОРТОСТАН")</f>
        <v>УФССП РОССИИ ПО РЕСПУБЛИКЕ БАШКОРТОСТАН</v>
      </c>
      <c r="B1382" s="24" t="s">
        <v>2324</v>
      </c>
      <c r="C1382" s="25">
        <v>9000</v>
      </c>
      <c r="D1382" s="22" t="s">
        <v>2325</v>
      </c>
      <c r="E1382" s="22" t="s">
        <v>294</v>
      </c>
      <c r="F1382" s="23" t="str">
        <f>HYPERLINK("https://www.spark-marketing.ru/Card/Lot/73535888", "Техническое обслуживание любых систем видеонаблюдения, 1 шт")</f>
        <v>Техническое обслуживание любых систем видеонаблюдения, 1 шт</v>
      </c>
      <c r="G1382" s="22" t="s">
        <v>100</v>
      </c>
      <c r="H1382" s="22" t="s">
        <v>373</v>
      </c>
      <c r="I1382" s="26">
        <v>43725.559722222199</v>
      </c>
      <c r="J1382" s="28" t="s">
        <v>52</v>
      </c>
      <c r="K1382" s="28" t="s">
        <v>52</v>
      </c>
      <c r="L1382" s="28" t="s">
        <v>52</v>
      </c>
      <c r="M1382" s="28" t="s">
        <v>52</v>
      </c>
      <c r="N1382" s="28" t="s">
        <v>52</v>
      </c>
    </row>
    <row r="1383" spans="1:14" x14ac:dyDescent="0.15">
      <c r="A1383" s="23" t="str">
        <f>HYPERLINK("https://www.spark-marketing.ru/Card/Person/161572", "МЕЖРАЙОННАЯ ИФНС РОССИИ № 6 ПО АЛТАЙСКОМУ КРАЮ")</f>
        <v>МЕЖРАЙОННАЯ ИФНС РОССИИ № 6 ПО АЛТАЙСКОМУ КРАЮ</v>
      </c>
      <c r="B1383" s="24" t="s">
        <v>2326</v>
      </c>
      <c r="C1383" s="25">
        <v>45120</v>
      </c>
      <c r="D1383" s="22" t="s">
        <v>2327</v>
      </c>
      <c r="E1383" s="22" t="s">
        <v>84</v>
      </c>
      <c r="F1383" s="23" t="str">
        <f>HYPERLINK("https://www.spark-marketing.ru/Card/Lot/73534089", "Выполнение работ по установке систем видеонаблюдения, 1 шт")</f>
        <v>Выполнение работ по установке систем видеонаблюдения, 1 шт</v>
      </c>
      <c r="G1383" s="22" t="s">
        <v>428</v>
      </c>
      <c r="H1383" s="22" t="s">
        <v>2328</v>
      </c>
      <c r="I1383" s="26">
        <v>43725.508993055599</v>
      </c>
      <c r="J1383" s="28" t="s">
        <v>52</v>
      </c>
      <c r="K1383" s="28" t="s">
        <v>52</v>
      </c>
      <c r="L1383" s="28" t="s">
        <v>52</v>
      </c>
      <c r="M1383" s="28" t="s">
        <v>52</v>
      </c>
      <c r="N1383" s="28" t="s">
        <v>52</v>
      </c>
    </row>
    <row r="1384" spans="1:14" x14ac:dyDescent="0.15">
      <c r="A1384" s="23" t="str">
        <f>HYPERLINK("https://www.spark-marketing.ru/Card/Person/293681", "ОТДЕЛ МВД РОССИИ ПО ТОПКИНСКОМУ РАЙОНУ")</f>
        <v>ОТДЕЛ МВД РОССИИ ПО ТОПКИНСКОМУ РАЙОНУ</v>
      </c>
      <c r="B1384" s="24" t="s">
        <v>1689</v>
      </c>
      <c r="C1384" s="25">
        <v>43769.64</v>
      </c>
      <c r="D1384" s="22" t="s">
        <v>2329</v>
      </c>
      <c r="E1384" s="22" t="s">
        <v>53</v>
      </c>
      <c r="F1384" s="23" t="str">
        <f>HYPERLINK("https://www.spark-marketing.ru/Card/Lot/73534011", "Техническое обслуживание комплекса технических средств охраны")</f>
        <v>Техническое обслуживание комплекса технических средств охраны</v>
      </c>
      <c r="G1384" s="22" t="s">
        <v>367</v>
      </c>
      <c r="H1384" s="22" t="s">
        <v>1691</v>
      </c>
      <c r="I1384" s="26">
        <v>43725.486134259299</v>
      </c>
      <c r="J1384" s="28" t="s">
        <v>52</v>
      </c>
      <c r="K1384" s="28" t="s">
        <v>52</v>
      </c>
      <c r="L1384" s="28" t="s">
        <v>52</v>
      </c>
      <c r="M1384" s="28" t="s">
        <v>52</v>
      </c>
      <c r="N1384" s="28" t="s">
        <v>52</v>
      </c>
    </row>
    <row r="1385" spans="1:14" x14ac:dyDescent="0.15">
      <c r="A1385" s="23" t="str">
        <f>HYPERLINK("https://www.spark-marketing.ru/Card/Person/146107", "МБУК ""ДОМ КУЛЬТУРЫ ВЕСЕЛЕВО""")</f>
        <v>МБУК "ДОМ КУЛЬТУРЫ ВЕСЕЛЕВО"</v>
      </c>
      <c r="B1385" s="24" t="s">
        <v>2330</v>
      </c>
      <c r="C1385" s="25">
        <v>249836.1</v>
      </c>
      <c r="D1385" s="22" t="s">
        <v>2331</v>
      </c>
      <c r="E1385" s="22" t="s">
        <v>59</v>
      </c>
      <c r="F1385" s="23" t="str">
        <f>HYPERLINK("https://www.spark-marketing.ru/Card/Lot/73534551", "Приобретение и установка противопожарной сигнализации")</f>
        <v>Приобретение и установка противопожарной сигнализации</v>
      </c>
      <c r="G1385" s="22" t="s">
        <v>50</v>
      </c>
      <c r="H1385" s="22" t="s">
        <v>2332</v>
      </c>
      <c r="I1385" s="26">
        <v>43725.461192129602</v>
      </c>
      <c r="J1385" s="28" t="s">
        <v>52</v>
      </c>
      <c r="K1385" s="28" t="s">
        <v>52</v>
      </c>
      <c r="L1385" s="28" t="s">
        <v>52</v>
      </c>
      <c r="M1385" s="28" t="s">
        <v>52</v>
      </c>
      <c r="N1385" s="28" t="s">
        <v>52</v>
      </c>
    </row>
    <row r="1386" spans="1:14" x14ac:dyDescent="0.15">
      <c r="A1386" s="23" t="str">
        <f>HYPERLINK("https://www.spark-marketing.ru/Card/Person/4371489", "ОВО по Гиагинскому району - филиал ФГКУ ""ОВО ВНГ России по Республике Адыгея""")</f>
        <v>ОВО по Гиагинскому району - филиал ФГКУ "ОВО ВНГ России по Республике Адыгея"</v>
      </c>
      <c r="B1386" s="24" t="s">
        <v>2333</v>
      </c>
      <c r="C1386" s="25">
        <v>3500</v>
      </c>
      <c r="D1386" s="22" t="s">
        <v>2334</v>
      </c>
      <c r="E1386" s="22" t="s">
        <v>53</v>
      </c>
      <c r="F1386" s="23" t="str">
        <f>HYPERLINK("https://www.spark-marketing.ru/Card/Lot/73533987", "техническое обслуживание системы сигнализации автоматического контроля загазованности")</f>
        <v>техническое обслуживание системы сигнализации автоматического контроля загазованности</v>
      </c>
      <c r="G1386" s="22" t="s">
        <v>1547</v>
      </c>
      <c r="H1386" s="22" t="s">
        <v>1547</v>
      </c>
      <c r="I1386" s="26">
        <v>43725.479548611103</v>
      </c>
      <c r="J1386" s="28" t="s">
        <v>52</v>
      </c>
      <c r="K1386" s="28" t="s">
        <v>52</v>
      </c>
      <c r="L1386" s="28" t="s">
        <v>52</v>
      </c>
      <c r="M1386" s="28" t="s">
        <v>52</v>
      </c>
      <c r="N1386" s="28" t="s">
        <v>52</v>
      </c>
    </row>
    <row r="1387" spans="1:14" x14ac:dyDescent="0.15">
      <c r="A1387" s="23" t="str">
        <f>HYPERLINK("https://www.spark-marketing.ru/Card/Person/293681", "ОТДЕЛ МВД РОССИИ ПО ТОПКИНСКОМУ РАЙОНУ")</f>
        <v>ОТДЕЛ МВД РОССИИ ПО ТОПКИНСКОМУ РАЙОНУ</v>
      </c>
      <c r="B1387" s="24" t="s">
        <v>1689</v>
      </c>
      <c r="C1387" s="25">
        <v>43769.64</v>
      </c>
      <c r="D1387" s="22" t="s">
        <v>2335</v>
      </c>
      <c r="E1387" s="22" t="s">
        <v>53</v>
      </c>
      <c r="F1387" s="23" t="str">
        <f>HYPERLINK("https://www.spark-marketing.ru/Card/Lot/73533887", "Техническое обслуживание комплекса технических средств охраны")</f>
        <v>Техническое обслуживание комплекса технических средств охраны</v>
      </c>
      <c r="G1387" s="22" t="s">
        <v>367</v>
      </c>
      <c r="H1387" s="22" t="s">
        <v>1691</v>
      </c>
      <c r="I1387" s="26">
        <v>43725.488946759302</v>
      </c>
      <c r="J1387" s="28" t="s">
        <v>52</v>
      </c>
      <c r="K1387" s="28" t="s">
        <v>52</v>
      </c>
      <c r="L1387" s="28" t="s">
        <v>52</v>
      </c>
      <c r="M1387" s="28" t="s">
        <v>52</v>
      </c>
      <c r="N1387" s="28" t="s">
        <v>52</v>
      </c>
    </row>
    <row r="1388" spans="1:14" x14ac:dyDescent="0.15">
      <c r="A1388" s="23" t="str">
        <f>HYPERLINK("https://www.spark-marketing.ru/Card/Person/61648", "МБУ ""ЦГКБ № 6""")</f>
        <v>МБУ "ЦГКБ № 6"</v>
      </c>
      <c r="B1388" s="24" t="s">
        <v>2336</v>
      </c>
      <c r="C1388" s="25">
        <v>493999.2</v>
      </c>
      <c r="D1388" s="22" t="s">
        <v>2337</v>
      </c>
      <c r="E1388" s="22" t="s">
        <v>107</v>
      </c>
      <c r="F1388" s="23" t="str">
        <f>HYPERLINK("https://www.spark-marketing.ru/Card/Lot/73527375", "Техническое обслуживание систем тревожной сигнализации и круглосуточный мониторинг систем тревожной сигнализации (а также выезд группы быстрого реагирования) МБУ «ЦГКБ № 6»")</f>
        <v>Техническое обслуживание систем тревожной сигнализации и круглосуточный мониторинг систем тревожной сигнализации (а также выезд группы быстрого реагирования) МБУ «ЦГКБ № 6»</v>
      </c>
      <c r="G1388" s="22" t="s">
        <v>72</v>
      </c>
      <c r="H1388" s="22" t="s">
        <v>949</v>
      </c>
      <c r="I1388" s="26">
        <v>43725.386805555601</v>
      </c>
      <c r="J1388" s="23" t="str">
        <f>HYPERLINK("https://www.spark-marketing.ru/Card/Person/808361", "ООО ЧОО ""ЛАНЦЕЛОТ""")</f>
        <v>ООО ЧОО "ЛАНЦЕЛОТ"</v>
      </c>
      <c r="K1388" s="24" t="s">
        <v>2338</v>
      </c>
      <c r="L1388" s="22" t="s">
        <v>10</v>
      </c>
      <c r="M1388" s="28" t="s">
        <v>52</v>
      </c>
      <c r="N1388" s="28" t="s">
        <v>52</v>
      </c>
    </row>
    <row r="1389" spans="1:14" x14ac:dyDescent="0.15">
      <c r="A1389" s="23" t="str">
        <f t="shared" ref="A1389:A1395" si="48">HYPERLINK("https://www.spark-marketing.ru/Card/Person/245469", "ГУЗ ЯО НЕКОУЗСКАЯ ЦРБ")</f>
        <v>ГУЗ ЯО НЕКОУЗСКАЯ ЦРБ</v>
      </c>
      <c r="B1389" s="24" t="s">
        <v>2339</v>
      </c>
      <c r="C1389" s="25">
        <v>187827</v>
      </c>
      <c r="D1389" s="22" t="s">
        <v>2340</v>
      </c>
      <c r="E1389" s="22" t="s">
        <v>59</v>
      </c>
      <c r="F1389" s="23" t="str">
        <f t="shared" ref="F1389:F1395" si="49">HYPERLINK("https://www.spark-marketing.ru/Card/Lot/73556876", "Монтаж системы видеонаблюдения главного корпуса стационара ГУЗ ЯО Некоузская ЦРБ")</f>
        <v>Монтаж системы видеонаблюдения главного корпуса стационара ГУЗ ЯО Некоузская ЦРБ</v>
      </c>
      <c r="G1389" s="22" t="s">
        <v>155</v>
      </c>
      <c r="H1389" s="22" t="s">
        <v>2341</v>
      </c>
      <c r="I1389" s="26">
        <v>43725.404861111099</v>
      </c>
      <c r="J1389" s="28" t="s">
        <v>52</v>
      </c>
      <c r="K1389" s="28" t="s">
        <v>52</v>
      </c>
      <c r="L1389" s="28" t="s">
        <v>52</v>
      </c>
      <c r="M1389" s="28" t="s">
        <v>52</v>
      </c>
      <c r="N1389" s="28" t="s">
        <v>52</v>
      </c>
    </row>
    <row r="1390" spans="1:14" hidden="1" outlineLevel="1" x14ac:dyDescent="0.2">
      <c r="A1390" s="23" t="str">
        <f t="shared" si="48"/>
        <v>ГУЗ ЯО НЕКОУЗСКАЯ ЦРБ</v>
      </c>
      <c r="B1390" s="24" t="s">
        <v>2339</v>
      </c>
      <c r="C1390" s="25">
        <v>187827</v>
      </c>
      <c r="D1390" s="22" t="s">
        <v>2340</v>
      </c>
      <c r="E1390" s="22" t="s">
        <v>59</v>
      </c>
      <c r="F1390" s="23" t="str">
        <f t="shared" si="49"/>
        <v>Монтаж системы видеонаблюдения главного корпуса стационара ГУЗ ЯО Некоузская ЦРБ</v>
      </c>
      <c r="G1390" s="22" t="s">
        <v>155</v>
      </c>
      <c r="H1390" s="22" t="s">
        <v>2341</v>
      </c>
      <c r="I1390" s="26">
        <v>43725.404861111099</v>
      </c>
      <c r="J1390" s="23" t="str">
        <f>HYPERLINK("https://www.spark-marketing.ru/Card/Person/6380861", "ООО ""ИМПУЛЬС""")</f>
        <v>ООО "ИМПУЛЬС"</v>
      </c>
      <c r="K1390" s="24" t="s">
        <v>2342</v>
      </c>
      <c r="L1390" s="28" t="s">
        <v>52</v>
      </c>
      <c r="M1390" s="25">
        <v>116190.96</v>
      </c>
      <c r="N1390" s="27">
        <v>0.38139372933603793</v>
      </c>
    </row>
    <row r="1391" spans="1:14" hidden="1" outlineLevel="1" x14ac:dyDescent="0.2">
      <c r="A1391" s="23" t="str">
        <f t="shared" si="48"/>
        <v>ГУЗ ЯО НЕКОУЗСКАЯ ЦРБ</v>
      </c>
      <c r="B1391" s="24" t="s">
        <v>2339</v>
      </c>
      <c r="C1391" s="25">
        <v>187827</v>
      </c>
      <c r="D1391" s="22" t="s">
        <v>2340</v>
      </c>
      <c r="E1391" s="22" t="s">
        <v>59</v>
      </c>
      <c r="F1391" s="23" t="str">
        <f t="shared" si="49"/>
        <v>Монтаж системы видеонаблюдения главного корпуса стационара ГУЗ ЯО Некоузская ЦРБ</v>
      </c>
      <c r="G1391" s="22" t="s">
        <v>155</v>
      </c>
      <c r="H1391" s="22" t="s">
        <v>2341</v>
      </c>
      <c r="I1391" s="26">
        <v>43725.404861111099</v>
      </c>
      <c r="J1391" s="23" t="str">
        <f>HYPERLINK("https://www.spark-marketing.ru/Card/Person/6469292", "ООО ""ЭНЕРГОПРОМ""")</f>
        <v>ООО "ЭНЕРГОПРОМ"</v>
      </c>
      <c r="K1391" s="24" t="s">
        <v>2343</v>
      </c>
      <c r="L1391" s="28" t="s">
        <v>52</v>
      </c>
      <c r="M1391" s="25">
        <v>143000</v>
      </c>
      <c r="N1391" s="27">
        <v>0.23866110836035287</v>
      </c>
    </row>
    <row r="1392" spans="1:14" ht="12.75" hidden="1" outlineLevel="1" x14ac:dyDescent="0.2">
      <c r="A1392" s="23" t="str">
        <f t="shared" si="48"/>
        <v>ГУЗ ЯО НЕКОУЗСКАЯ ЦРБ</v>
      </c>
      <c r="B1392" s="24" t="s">
        <v>2339</v>
      </c>
      <c r="C1392" s="25">
        <v>187827</v>
      </c>
      <c r="D1392" s="22" t="s">
        <v>2340</v>
      </c>
      <c r="E1392" s="22" t="s">
        <v>59</v>
      </c>
      <c r="F1392" s="23" t="str">
        <f t="shared" si="49"/>
        <v>Монтаж системы видеонаблюдения главного корпуса стационара ГУЗ ЯО Некоузская ЦРБ</v>
      </c>
      <c r="G1392" s="22" t="s">
        <v>155</v>
      </c>
      <c r="H1392" s="22" t="s">
        <v>2341</v>
      </c>
      <c r="I1392" s="26">
        <v>43725.404861111099</v>
      </c>
      <c r="J1392" s="23" t="str">
        <f>HYPERLINK("https://www.spark-marketing.ru/Card/Person/873216", "ООО ""ФАЙБЕРСТРОЙ""")</f>
        <v>ООО "ФАЙБЕРСТРОЙ"</v>
      </c>
      <c r="K1392" s="24" t="s">
        <v>2344</v>
      </c>
      <c r="L1392" s="22" t="s">
        <v>10</v>
      </c>
      <c r="M1392" s="25">
        <v>115251.82</v>
      </c>
      <c r="N1392" s="27">
        <v>0.38639375595627889</v>
      </c>
    </row>
    <row r="1393" spans="1:14" hidden="1" outlineLevel="1" x14ac:dyDescent="0.2">
      <c r="A1393" s="23" t="str">
        <f t="shared" si="48"/>
        <v>ГУЗ ЯО НЕКОУЗСКАЯ ЦРБ</v>
      </c>
      <c r="B1393" s="24" t="s">
        <v>2339</v>
      </c>
      <c r="C1393" s="25">
        <v>187827</v>
      </c>
      <c r="D1393" s="22" t="s">
        <v>2340</v>
      </c>
      <c r="E1393" s="22" t="s">
        <v>59</v>
      </c>
      <c r="F1393" s="23" t="str">
        <f t="shared" si="49"/>
        <v>Монтаж системы видеонаблюдения главного корпуса стационара ГУЗ ЯО Некоузская ЦРБ</v>
      </c>
      <c r="G1393" s="22" t="s">
        <v>155</v>
      </c>
      <c r="H1393" s="22" t="s">
        <v>2341</v>
      </c>
      <c r="I1393" s="26">
        <v>43725.404861111099</v>
      </c>
      <c r="J1393" s="23" t="str">
        <f>HYPERLINK("https://www.spark-marketing.ru/Card/Person/6581335", "ООО «СПЕЦИАЛ-М»")</f>
        <v>ООО «СПЕЦИАЛ-М»</v>
      </c>
      <c r="K1393" s="24" t="s">
        <v>2345</v>
      </c>
      <c r="L1393" s="28" t="s">
        <v>52</v>
      </c>
      <c r="M1393" s="25">
        <v>150000</v>
      </c>
      <c r="N1393" s="27">
        <v>0.20139277100736316</v>
      </c>
    </row>
    <row r="1394" spans="1:14" hidden="1" outlineLevel="1" x14ac:dyDescent="0.2">
      <c r="A1394" s="23" t="str">
        <f t="shared" si="48"/>
        <v>ГУЗ ЯО НЕКОУЗСКАЯ ЦРБ</v>
      </c>
      <c r="B1394" s="24" t="s">
        <v>2339</v>
      </c>
      <c r="C1394" s="25">
        <v>187827</v>
      </c>
      <c r="D1394" s="22" t="s">
        <v>2340</v>
      </c>
      <c r="E1394" s="22" t="s">
        <v>59</v>
      </c>
      <c r="F1394" s="23" t="str">
        <f t="shared" si="49"/>
        <v>Монтаж системы видеонаблюдения главного корпуса стационара ГУЗ ЯО Некоузская ЦРБ</v>
      </c>
      <c r="G1394" s="22" t="s">
        <v>155</v>
      </c>
      <c r="H1394" s="22" t="s">
        <v>2341</v>
      </c>
      <c r="I1394" s="26">
        <v>43725.404861111099</v>
      </c>
      <c r="J1394" s="23" t="str">
        <f>HYPERLINK("https://www.spark-marketing.ru/Card/Person/599818", "Коршунов Владимир Михайлович")</f>
        <v>Коршунов Владимир Михайлович</v>
      </c>
      <c r="K1394" s="24" t="s">
        <v>2346</v>
      </c>
      <c r="L1394" s="28" t="s">
        <v>52</v>
      </c>
      <c r="M1394" s="25">
        <v>117130.1</v>
      </c>
      <c r="N1394" s="27">
        <v>0.37639370271579697</v>
      </c>
    </row>
    <row r="1395" spans="1:14" hidden="1" outlineLevel="1" x14ac:dyDescent="0.2">
      <c r="A1395" s="23" t="str">
        <f t="shared" si="48"/>
        <v>ГУЗ ЯО НЕКОУЗСКАЯ ЦРБ</v>
      </c>
      <c r="B1395" s="24" t="s">
        <v>2339</v>
      </c>
      <c r="C1395" s="25">
        <v>187827</v>
      </c>
      <c r="D1395" s="22" t="s">
        <v>2340</v>
      </c>
      <c r="E1395" s="22" t="s">
        <v>59</v>
      </c>
      <c r="F1395" s="23" t="str">
        <f t="shared" si="49"/>
        <v>Монтаж системы видеонаблюдения главного корпуса стационара ГУЗ ЯО Некоузская ЦРБ</v>
      </c>
      <c r="G1395" s="22" t="s">
        <v>155</v>
      </c>
      <c r="H1395" s="22" t="s">
        <v>2341</v>
      </c>
      <c r="I1395" s="26">
        <v>43725.404861111099</v>
      </c>
      <c r="J1395" s="23" t="str">
        <f>HYPERLINK("https://www.spark-marketing.ru/Card/Person/6317719", "Фомичев Павел Викторович")</f>
        <v>Фомичев Павел Викторович</v>
      </c>
      <c r="K1395" s="24" t="s">
        <v>2347</v>
      </c>
      <c r="L1395" s="28" t="s">
        <v>52</v>
      </c>
      <c r="M1395" s="25">
        <v>158713.66</v>
      </c>
      <c r="N1395" s="27">
        <v>0.15500082522746997</v>
      </c>
    </row>
    <row r="1396" spans="1:14" x14ac:dyDescent="0.15">
      <c r="A1396" s="23" t="str">
        <f t="shared" ref="A1396:A1406" si="50">HYPERLINK("https://www.spark-marketing.ru/Card/Person/4354001", "ГКУ ЦЗН ПЕРМСКОГО КРАЯ")</f>
        <v>ГКУ ЦЗН ПЕРМСКОГО КРАЯ</v>
      </c>
      <c r="B1396" s="24" t="s">
        <v>2348</v>
      </c>
      <c r="C1396" s="25">
        <v>776962.41</v>
      </c>
      <c r="D1396" s="22" t="s">
        <v>2349</v>
      </c>
      <c r="E1396" s="22" t="s">
        <v>84</v>
      </c>
      <c r="F1396" s="23" t="str">
        <f t="shared" ref="F1396:F1406" si="51">HYPERLINK("https://www.spark-marketing.ru/Card/Lot/73523111", "Монтаж и подключение системы видеонаблюдения в ТО по г. Березники ГКУ ЦЗН Пермского края")</f>
        <v>Монтаж и подключение системы видеонаблюдения в ТО по г. Березники ГКУ ЦЗН Пермского края</v>
      </c>
      <c r="G1396" s="22" t="s">
        <v>391</v>
      </c>
      <c r="H1396" s="22" t="s">
        <v>391</v>
      </c>
      <c r="I1396" s="26">
        <v>43725.337500000001</v>
      </c>
      <c r="J1396" s="28" t="s">
        <v>52</v>
      </c>
      <c r="K1396" s="28" t="s">
        <v>52</v>
      </c>
      <c r="L1396" s="28" t="s">
        <v>52</v>
      </c>
      <c r="M1396" s="28" t="s">
        <v>52</v>
      </c>
      <c r="N1396" s="28" t="s">
        <v>52</v>
      </c>
    </row>
    <row r="1397" spans="1:14" hidden="1" outlineLevel="1" x14ac:dyDescent="0.2">
      <c r="A1397" s="23" t="str">
        <f t="shared" si="50"/>
        <v>ГКУ ЦЗН ПЕРМСКОГО КРАЯ</v>
      </c>
      <c r="B1397" s="24" t="s">
        <v>2348</v>
      </c>
      <c r="C1397" s="25">
        <v>776962.41</v>
      </c>
      <c r="D1397" s="22" t="s">
        <v>2349</v>
      </c>
      <c r="E1397" s="22" t="s">
        <v>84</v>
      </c>
      <c r="F1397" s="23" t="str">
        <f t="shared" si="51"/>
        <v>Монтаж и подключение системы видеонаблюдения в ТО по г. Березники ГКУ ЦЗН Пермского края</v>
      </c>
      <c r="G1397" s="22" t="s">
        <v>391</v>
      </c>
      <c r="H1397" s="22" t="s">
        <v>391</v>
      </c>
      <c r="I1397" s="26">
        <v>43725.337500000001</v>
      </c>
      <c r="J1397" s="23" t="str">
        <f>HYPERLINK("https://www.spark-marketing.ru/Card/Person/5853123", "Ершов Андрей Алексеевич")</f>
        <v>Ершов Андрей Алексеевич</v>
      </c>
      <c r="K1397" s="24" t="s">
        <v>1063</v>
      </c>
      <c r="L1397" s="28" t="s">
        <v>52</v>
      </c>
      <c r="M1397" s="25">
        <v>438994.94</v>
      </c>
      <c r="N1397" s="27">
        <v>0.4349856127531318</v>
      </c>
    </row>
    <row r="1398" spans="1:14" hidden="1" outlineLevel="1" x14ac:dyDescent="0.2">
      <c r="A1398" s="23" t="str">
        <f t="shared" si="50"/>
        <v>ГКУ ЦЗН ПЕРМСКОГО КРАЯ</v>
      </c>
      <c r="B1398" s="24" t="s">
        <v>2348</v>
      </c>
      <c r="C1398" s="25">
        <v>776962.41</v>
      </c>
      <c r="D1398" s="22" t="s">
        <v>2349</v>
      </c>
      <c r="E1398" s="22" t="s">
        <v>84</v>
      </c>
      <c r="F1398" s="23" t="str">
        <f t="shared" si="51"/>
        <v>Монтаж и подключение системы видеонаблюдения в ТО по г. Березники ГКУ ЦЗН Пермского края</v>
      </c>
      <c r="G1398" s="22" t="s">
        <v>391</v>
      </c>
      <c r="H1398" s="22" t="s">
        <v>391</v>
      </c>
      <c r="I1398" s="26">
        <v>43725.337500000001</v>
      </c>
      <c r="J1398" s="23" t="str">
        <f>HYPERLINK("https://www.spark-marketing.ru/Card/Person/5865499", "Давыдов Георгий Николаевич")</f>
        <v>Давыдов Георгий Николаевич</v>
      </c>
      <c r="K1398" s="24" t="s">
        <v>2350</v>
      </c>
      <c r="L1398" s="28" t="s">
        <v>52</v>
      </c>
      <c r="M1398" s="25">
        <v>540000</v>
      </c>
      <c r="N1398" s="27">
        <v>0.30498568135361914</v>
      </c>
    </row>
    <row r="1399" spans="1:14" ht="12.75" hidden="1" outlineLevel="1" x14ac:dyDescent="0.2">
      <c r="A1399" s="23" t="str">
        <f t="shared" si="50"/>
        <v>ГКУ ЦЗН ПЕРМСКОГО КРАЯ</v>
      </c>
      <c r="B1399" s="24" t="s">
        <v>2348</v>
      </c>
      <c r="C1399" s="25">
        <v>776962.41</v>
      </c>
      <c r="D1399" s="22" t="s">
        <v>2349</v>
      </c>
      <c r="E1399" s="22" t="s">
        <v>84</v>
      </c>
      <c r="F1399" s="23" t="str">
        <f t="shared" si="51"/>
        <v>Монтаж и подключение системы видеонаблюдения в ТО по г. Березники ГКУ ЦЗН Пермского края</v>
      </c>
      <c r="G1399" s="22" t="s">
        <v>391</v>
      </c>
      <c r="H1399" s="22" t="s">
        <v>391</v>
      </c>
      <c r="I1399" s="26">
        <v>43725.337500000001</v>
      </c>
      <c r="J1399" s="23" t="str">
        <f>HYPERLINK("https://www.spark-marketing.ru/Card/Person/4492249", "ООО ""СПЕКТРОН""")</f>
        <v>ООО "СПЕКТРОН"</v>
      </c>
      <c r="K1399" s="24" t="s">
        <v>2351</v>
      </c>
      <c r="L1399" s="22" t="s">
        <v>10</v>
      </c>
      <c r="M1399" s="25">
        <v>380056.16</v>
      </c>
      <c r="N1399" s="27">
        <v>0.5108435683522965</v>
      </c>
    </row>
    <row r="1400" spans="1:14" hidden="1" outlineLevel="1" x14ac:dyDescent="0.2">
      <c r="A1400" s="23" t="str">
        <f t="shared" si="50"/>
        <v>ГКУ ЦЗН ПЕРМСКОГО КРАЯ</v>
      </c>
      <c r="B1400" s="24" t="s">
        <v>2348</v>
      </c>
      <c r="C1400" s="25">
        <v>776962.41</v>
      </c>
      <c r="D1400" s="22" t="s">
        <v>2349</v>
      </c>
      <c r="E1400" s="22" t="s">
        <v>84</v>
      </c>
      <c r="F1400" s="23" t="str">
        <f t="shared" si="51"/>
        <v>Монтаж и подключение системы видеонаблюдения в ТО по г. Березники ГКУ ЦЗН Пермского края</v>
      </c>
      <c r="G1400" s="22" t="s">
        <v>391</v>
      </c>
      <c r="H1400" s="22" t="s">
        <v>391</v>
      </c>
      <c r="I1400" s="26">
        <v>43725.337500000001</v>
      </c>
      <c r="J1400" s="23" t="str">
        <f>HYPERLINK("https://www.spark-marketing.ru/Card/Person/803924", "Третьяков Илья Владимирович")</f>
        <v>Третьяков Илья Владимирович</v>
      </c>
      <c r="K1400" s="24" t="s">
        <v>1954</v>
      </c>
      <c r="L1400" s="28" t="s">
        <v>52</v>
      </c>
      <c r="M1400" s="25">
        <v>637109.18999999994</v>
      </c>
      <c r="N1400" s="27">
        <v>0.17999998223852295</v>
      </c>
    </row>
    <row r="1401" spans="1:14" hidden="1" outlineLevel="1" x14ac:dyDescent="0.2">
      <c r="A1401" s="23" t="str">
        <f t="shared" si="50"/>
        <v>ГКУ ЦЗН ПЕРМСКОГО КРАЯ</v>
      </c>
      <c r="B1401" s="24" t="s">
        <v>2348</v>
      </c>
      <c r="C1401" s="25">
        <v>776962.41</v>
      </c>
      <c r="D1401" s="22" t="s">
        <v>2349</v>
      </c>
      <c r="E1401" s="22" t="s">
        <v>84</v>
      </c>
      <c r="F1401" s="23" t="str">
        <f t="shared" si="51"/>
        <v>Монтаж и подключение системы видеонаблюдения в ТО по г. Березники ГКУ ЦЗН Пермского края</v>
      </c>
      <c r="G1401" s="22" t="s">
        <v>391</v>
      </c>
      <c r="H1401" s="22" t="s">
        <v>391</v>
      </c>
      <c r="I1401" s="26">
        <v>43725.337500000001</v>
      </c>
      <c r="J1401" s="23" t="str">
        <f>HYPERLINK("https://www.spark-marketing.ru/Card/Person/782959", "Валеев Айрат Махмутович")</f>
        <v>Валеев Айрат Махмутович</v>
      </c>
      <c r="K1401" s="24" t="s">
        <v>2352</v>
      </c>
      <c r="L1401" s="28" t="s">
        <v>52</v>
      </c>
      <c r="M1401" s="25">
        <v>415019.45</v>
      </c>
      <c r="N1401" s="27">
        <v>0.46584359209861903</v>
      </c>
    </row>
    <row r="1402" spans="1:14" hidden="1" outlineLevel="1" x14ac:dyDescent="0.2">
      <c r="A1402" s="23" t="str">
        <f t="shared" si="50"/>
        <v>ГКУ ЦЗН ПЕРМСКОГО КРАЯ</v>
      </c>
      <c r="B1402" s="24" t="s">
        <v>2348</v>
      </c>
      <c r="C1402" s="25">
        <v>776962.41</v>
      </c>
      <c r="D1402" s="22" t="s">
        <v>2349</v>
      </c>
      <c r="E1402" s="22" t="s">
        <v>84</v>
      </c>
      <c r="F1402" s="23" t="str">
        <f t="shared" si="51"/>
        <v>Монтаж и подключение системы видеонаблюдения в ТО по г. Березники ГКУ ЦЗН Пермского края</v>
      </c>
      <c r="G1402" s="22" t="s">
        <v>391</v>
      </c>
      <c r="H1402" s="22" t="s">
        <v>391</v>
      </c>
      <c r="I1402" s="26">
        <v>43725.337500000001</v>
      </c>
      <c r="J1402" s="23" t="str">
        <f>HYPERLINK("https://www.spark-marketing.ru/Card/Person/62968", "Мурадян Багдасар Александрович")</f>
        <v>Мурадян Багдасар Александрович</v>
      </c>
      <c r="K1402" s="24" t="s">
        <v>2353</v>
      </c>
      <c r="L1402" s="28" t="s">
        <v>52</v>
      </c>
      <c r="M1402" s="25">
        <v>555000</v>
      </c>
      <c r="N1402" s="27">
        <v>0.28567972805788633</v>
      </c>
    </row>
    <row r="1403" spans="1:14" hidden="1" outlineLevel="1" x14ac:dyDescent="0.2">
      <c r="A1403" s="23" t="str">
        <f t="shared" si="50"/>
        <v>ГКУ ЦЗН ПЕРМСКОГО КРАЯ</v>
      </c>
      <c r="B1403" s="24" t="s">
        <v>2348</v>
      </c>
      <c r="C1403" s="25">
        <v>776962.41</v>
      </c>
      <c r="D1403" s="22" t="s">
        <v>2349</v>
      </c>
      <c r="E1403" s="22" t="s">
        <v>84</v>
      </c>
      <c r="F1403" s="23" t="str">
        <f t="shared" si="51"/>
        <v>Монтаж и подключение системы видеонаблюдения в ТО по г. Березники ГКУ ЦЗН Пермского края</v>
      </c>
      <c r="G1403" s="22" t="s">
        <v>391</v>
      </c>
      <c r="H1403" s="22" t="s">
        <v>391</v>
      </c>
      <c r="I1403" s="26">
        <v>43725.337500000001</v>
      </c>
      <c r="J1403" s="23" t="str">
        <f>HYPERLINK("https://www.spark-marketing.ru/Card/Person/6468483", "ООО ""ГРУППА РАДУГА""")</f>
        <v>ООО "ГРУППА РАДУГА"</v>
      </c>
      <c r="K1403" s="24" t="s">
        <v>2354</v>
      </c>
      <c r="L1403" s="28" t="s">
        <v>52</v>
      </c>
      <c r="M1403" s="25">
        <v>489497.47</v>
      </c>
      <c r="N1403" s="27">
        <v>0.36998564705337544</v>
      </c>
    </row>
    <row r="1404" spans="1:14" hidden="1" outlineLevel="1" x14ac:dyDescent="0.2">
      <c r="A1404" s="23" t="str">
        <f t="shared" si="50"/>
        <v>ГКУ ЦЗН ПЕРМСКОГО КРАЯ</v>
      </c>
      <c r="B1404" s="24" t="s">
        <v>2348</v>
      </c>
      <c r="C1404" s="25">
        <v>776962.41</v>
      </c>
      <c r="D1404" s="22" t="s">
        <v>2349</v>
      </c>
      <c r="E1404" s="22" t="s">
        <v>84</v>
      </c>
      <c r="F1404" s="23" t="str">
        <f t="shared" si="51"/>
        <v>Монтаж и подключение системы видеонаблюдения в ТО по г. Березники ГКУ ЦЗН Пермского края</v>
      </c>
      <c r="G1404" s="22" t="s">
        <v>391</v>
      </c>
      <c r="H1404" s="22" t="s">
        <v>391</v>
      </c>
      <c r="I1404" s="26">
        <v>43725.337500000001</v>
      </c>
      <c r="J1404" s="23" t="str">
        <f>HYPERLINK("https://www.spark-marketing.ru/Card/Person/2562779", "ООО ""ЭНТЕР""")</f>
        <v>ООО "ЭНТЕР"</v>
      </c>
      <c r="K1404" s="24" t="s">
        <v>2355</v>
      </c>
      <c r="L1404" s="28" t="s">
        <v>52</v>
      </c>
      <c r="M1404" s="25">
        <v>500000</v>
      </c>
      <c r="N1404" s="27">
        <v>0.35646822347557328</v>
      </c>
    </row>
    <row r="1405" spans="1:14" hidden="1" outlineLevel="1" x14ac:dyDescent="0.2">
      <c r="A1405" s="23" t="str">
        <f t="shared" si="50"/>
        <v>ГКУ ЦЗН ПЕРМСКОГО КРАЯ</v>
      </c>
      <c r="B1405" s="24" t="s">
        <v>2348</v>
      </c>
      <c r="C1405" s="25">
        <v>776962.41</v>
      </c>
      <c r="D1405" s="22" t="s">
        <v>2349</v>
      </c>
      <c r="E1405" s="22" t="s">
        <v>84</v>
      </c>
      <c r="F1405" s="23" t="str">
        <f t="shared" si="51"/>
        <v>Монтаж и подключение системы видеонаблюдения в ТО по г. Березники ГКУ ЦЗН Пермского края</v>
      </c>
      <c r="G1405" s="22" t="s">
        <v>391</v>
      </c>
      <c r="H1405" s="22" t="s">
        <v>391</v>
      </c>
      <c r="I1405" s="26">
        <v>43725.337500000001</v>
      </c>
      <c r="J1405" s="23" t="str">
        <f>HYPERLINK("https://www.spark-marketing.ru/Card/Person/755533", "ООО ""ЭНЕРГОГРАД""")</f>
        <v>ООО "ЭНЕРГОГРАД"</v>
      </c>
      <c r="K1405" s="24" t="s">
        <v>2356</v>
      </c>
      <c r="L1405" s="28" t="s">
        <v>52</v>
      </c>
      <c r="M1405" s="25">
        <v>383940.97</v>
      </c>
      <c r="N1405" s="27">
        <v>0.50584357099077681</v>
      </c>
    </row>
    <row r="1406" spans="1:14" hidden="1" outlineLevel="1" x14ac:dyDescent="0.2">
      <c r="A1406" s="23" t="str">
        <f t="shared" si="50"/>
        <v>ГКУ ЦЗН ПЕРМСКОГО КРАЯ</v>
      </c>
      <c r="B1406" s="24" t="s">
        <v>2348</v>
      </c>
      <c r="C1406" s="25">
        <v>776962.41</v>
      </c>
      <c r="D1406" s="22" t="s">
        <v>2349</v>
      </c>
      <c r="E1406" s="22" t="s">
        <v>84</v>
      </c>
      <c r="F1406" s="23" t="str">
        <f t="shared" si="51"/>
        <v>Монтаж и подключение системы видеонаблюдения в ТО по г. Березники ГКУ ЦЗН Пермского края</v>
      </c>
      <c r="G1406" s="22" t="s">
        <v>391</v>
      </c>
      <c r="H1406" s="22" t="s">
        <v>391</v>
      </c>
      <c r="I1406" s="26">
        <v>43725.337500000001</v>
      </c>
      <c r="J1406" s="23" t="str">
        <f>HYPERLINK("https://www.spark-marketing.ru/Card/Person/4965157", "ООО ""СТРОЙСФЕРА""")</f>
        <v>ООО "СТРОЙСФЕРА"</v>
      </c>
      <c r="K1406" s="24" t="s">
        <v>2357</v>
      </c>
      <c r="L1406" s="28" t="s">
        <v>52</v>
      </c>
      <c r="M1406" s="25">
        <v>548345.56999999995</v>
      </c>
      <c r="N1406" s="27">
        <v>0.29424440237720123</v>
      </c>
    </row>
    <row r="1407" spans="1:14" x14ac:dyDescent="0.15">
      <c r="A1407" s="23" t="str">
        <f t="shared" ref="A1407:A1413" si="52">HYPERLINK("https://www.spark-marketing.ru/Card/Person/4860", "КГБУЗ ""ГОРБОЛЬНИЦА № 12, Г. БАРНАУЛ""")</f>
        <v>КГБУЗ "ГОРБОЛЬНИЦА № 12, Г. БАРНАУЛ"</v>
      </c>
      <c r="B1407" s="24" t="s">
        <v>2358</v>
      </c>
      <c r="C1407" s="25">
        <v>74400</v>
      </c>
      <c r="D1407" s="22" t="s">
        <v>2359</v>
      </c>
      <c r="E1407" s="22" t="s">
        <v>103</v>
      </c>
      <c r="F1407" s="23" t="str">
        <f t="shared" ref="F1407:F1413" si="53">HYPERLINK("https://www.spark-marketing.ru/Card/Lot/73520951", "Оказание услуг по техническому обслуживанию систем видеонаблюдения в 2020 году")</f>
        <v>Оказание услуг по техническому обслуживанию систем видеонаблюдения в 2020 году</v>
      </c>
      <c r="G1407" s="22" t="s">
        <v>428</v>
      </c>
      <c r="H1407" s="22" t="s">
        <v>429</v>
      </c>
      <c r="I1407" s="26">
        <v>43725.319444444402</v>
      </c>
      <c r="J1407" s="28" t="s">
        <v>52</v>
      </c>
      <c r="K1407" s="28" t="s">
        <v>52</v>
      </c>
      <c r="L1407" s="28" t="s">
        <v>52</v>
      </c>
      <c r="M1407" s="28" t="s">
        <v>52</v>
      </c>
      <c r="N1407" s="28" t="s">
        <v>52</v>
      </c>
    </row>
    <row r="1408" spans="1:14" hidden="1" outlineLevel="1" x14ac:dyDescent="0.2">
      <c r="A1408" s="23" t="str">
        <f t="shared" si="52"/>
        <v>КГБУЗ "ГОРБОЛЬНИЦА № 12, Г. БАРНАУЛ"</v>
      </c>
      <c r="B1408" s="24" t="s">
        <v>2358</v>
      </c>
      <c r="C1408" s="25">
        <v>74400</v>
      </c>
      <c r="D1408" s="22" t="s">
        <v>2359</v>
      </c>
      <c r="E1408" s="22" t="s">
        <v>103</v>
      </c>
      <c r="F1408" s="23" t="str">
        <f t="shared" si="53"/>
        <v>Оказание услуг по техническому обслуживанию систем видеонаблюдения в 2020 году</v>
      </c>
      <c r="G1408" s="22" t="s">
        <v>428</v>
      </c>
      <c r="H1408" s="22" t="s">
        <v>429</v>
      </c>
      <c r="I1408" s="26">
        <v>43725.319444444402</v>
      </c>
      <c r="J1408" s="23" t="str">
        <f>HYPERLINK("https://www.spark-marketing.ru/Card/Person/529892", "ЗАО ""ТЕХНО""")</f>
        <v>ЗАО "ТЕХНО"</v>
      </c>
      <c r="K1408" s="24" t="s">
        <v>2360</v>
      </c>
      <c r="L1408" s="28" t="s">
        <v>52</v>
      </c>
      <c r="M1408" s="25">
        <v>24628</v>
      </c>
      <c r="N1408" s="27">
        <v>0.66897849462365588</v>
      </c>
    </row>
    <row r="1409" spans="1:14" ht="12.75" hidden="1" outlineLevel="1" x14ac:dyDescent="0.2">
      <c r="A1409" s="23" t="str">
        <f t="shared" si="52"/>
        <v>КГБУЗ "ГОРБОЛЬНИЦА № 12, Г. БАРНАУЛ"</v>
      </c>
      <c r="B1409" s="24" t="s">
        <v>2358</v>
      </c>
      <c r="C1409" s="25">
        <v>74400</v>
      </c>
      <c r="D1409" s="22" t="s">
        <v>2359</v>
      </c>
      <c r="E1409" s="22" t="s">
        <v>103</v>
      </c>
      <c r="F1409" s="23" t="str">
        <f t="shared" si="53"/>
        <v>Оказание услуг по техническому обслуживанию систем видеонаблюдения в 2020 году</v>
      </c>
      <c r="G1409" s="22" t="s">
        <v>428</v>
      </c>
      <c r="H1409" s="22" t="s">
        <v>429</v>
      </c>
      <c r="I1409" s="26">
        <v>43725.319444444402</v>
      </c>
      <c r="J1409" s="23" t="str">
        <f>HYPERLINK("https://www.spark-marketing.ru/Card/Person/449079", "ООО ""ЦЕНТР СПЕЦИАЛЬНЫХ ТЕХНОЛОГИЙ""")</f>
        <v>ООО "ЦЕНТР СПЕЦИАЛЬНЫХ ТЕХНОЛОГИЙ"</v>
      </c>
      <c r="K1409" s="24" t="s">
        <v>2361</v>
      </c>
      <c r="L1409" s="22" t="s">
        <v>10</v>
      </c>
      <c r="M1409" s="25">
        <v>9628</v>
      </c>
      <c r="N1409" s="27">
        <v>0.87059139784946238</v>
      </c>
    </row>
    <row r="1410" spans="1:14" hidden="1" outlineLevel="1" x14ac:dyDescent="0.2">
      <c r="A1410" s="23" t="str">
        <f t="shared" si="52"/>
        <v>КГБУЗ "ГОРБОЛЬНИЦА № 12, Г. БАРНАУЛ"</v>
      </c>
      <c r="B1410" s="24" t="s">
        <v>2358</v>
      </c>
      <c r="C1410" s="25">
        <v>74400</v>
      </c>
      <c r="D1410" s="22" t="s">
        <v>2359</v>
      </c>
      <c r="E1410" s="22" t="s">
        <v>103</v>
      </c>
      <c r="F1410" s="23" t="str">
        <f t="shared" si="53"/>
        <v>Оказание услуг по техническому обслуживанию систем видеонаблюдения в 2020 году</v>
      </c>
      <c r="G1410" s="22" t="s">
        <v>428</v>
      </c>
      <c r="H1410" s="22" t="s">
        <v>429</v>
      </c>
      <c r="I1410" s="26">
        <v>43725.319444444402</v>
      </c>
      <c r="J1410" s="23" t="str">
        <f>HYPERLINK("https://www.spark-marketing.ru/Card/Person/6685048", "ООО ""АЛТАЛЕКС""")</f>
        <v>ООО "АЛТАЛЕКС"</v>
      </c>
      <c r="K1410" s="24" t="s">
        <v>2362</v>
      </c>
      <c r="L1410" s="28" t="s">
        <v>52</v>
      </c>
      <c r="M1410" s="25">
        <v>10000</v>
      </c>
      <c r="N1410" s="27">
        <v>0.86559139784946237</v>
      </c>
    </row>
    <row r="1411" spans="1:14" hidden="1" outlineLevel="1" x14ac:dyDescent="0.2">
      <c r="A1411" s="23" t="str">
        <f t="shared" si="52"/>
        <v>КГБУЗ "ГОРБОЛЬНИЦА № 12, Г. БАРНАУЛ"</v>
      </c>
      <c r="B1411" s="24" t="s">
        <v>2358</v>
      </c>
      <c r="C1411" s="25">
        <v>74400</v>
      </c>
      <c r="D1411" s="22" t="s">
        <v>2359</v>
      </c>
      <c r="E1411" s="22" t="s">
        <v>103</v>
      </c>
      <c r="F1411" s="23" t="str">
        <f t="shared" si="53"/>
        <v>Оказание услуг по техническому обслуживанию систем видеонаблюдения в 2020 году</v>
      </c>
      <c r="G1411" s="22" t="s">
        <v>428</v>
      </c>
      <c r="H1411" s="22" t="s">
        <v>429</v>
      </c>
      <c r="I1411" s="26">
        <v>43725.319444444402</v>
      </c>
      <c r="J1411" s="23" t="str">
        <f>HYPERLINK("https://www.spark-marketing.ru/Card/Person/6574586", "ООО ""НОВЫЕ ТЕХНОЛОГИИ""")</f>
        <v>ООО "НОВЫЕ ТЕХНОЛОГИИ"</v>
      </c>
      <c r="K1411" s="24" t="s">
        <v>2363</v>
      </c>
      <c r="L1411" s="28" t="s">
        <v>52</v>
      </c>
      <c r="M1411" s="25">
        <v>67000</v>
      </c>
      <c r="N1411" s="27">
        <v>9.9462365591397844E-2</v>
      </c>
    </row>
    <row r="1412" spans="1:14" hidden="1" outlineLevel="1" x14ac:dyDescent="0.2">
      <c r="A1412" s="23" t="str">
        <f t="shared" si="52"/>
        <v>КГБУЗ "ГОРБОЛЬНИЦА № 12, Г. БАРНАУЛ"</v>
      </c>
      <c r="B1412" s="24" t="s">
        <v>2358</v>
      </c>
      <c r="C1412" s="25">
        <v>74400</v>
      </c>
      <c r="D1412" s="22" t="s">
        <v>2359</v>
      </c>
      <c r="E1412" s="22" t="s">
        <v>103</v>
      </c>
      <c r="F1412" s="23" t="str">
        <f t="shared" si="53"/>
        <v>Оказание услуг по техническому обслуживанию систем видеонаблюдения в 2020 году</v>
      </c>
      <c r="G1412" s="22" t="s">
        <v>428</v>
      </c>
      <c r="H1412" s="22" t="s">
        <v>429</v>
      </c>
      <c r="I1412" s="26">
        <v>43725.319444444402</v>
      </c>
      <c r="J1412" s="23" t="str">
        <f>HYPERLINK("https://www.spark-marketing.ru/Card/Person/185869", "ООО ""ПАРУС ПЛЮС""")</f>
        <v>ООО "ПАРУС ПЛЮС"</v>
      </c>
      <c r="K1412" s="24" t="s">
        <v>2364</v>
      </c>
      <c r="L1412" s="28" t="s">
        <v>52</v>
      </c>
      <c r="M1412" s="25">
        <v>37628</v>
      </c>
      <c r="N1412" s="27">
        <v>0.494247311827957</v>
      </c>
    </row>
    <row r="1413" spans="1:14" hidden="1" outlineLevel="1" x14ac:dyDescent="0.2">
      <c r="A1413" s="23" t="str">
        <f t="shared" si="52"/>
        <v>КГБУЗ "ГОРБОЛЬНИЦА № 12, Г. БАРНАУЛ"</v>
      </c>
      <c r="B1413" s="24" t="s">
        <v>2358</v>
      </c>
      <c r="C1413" s="25">
        <v>74400</v>
      </c>
      <c r="D1413" s="22" t="s">
        <v>2359</v>
      </c>
      <c r="E1413" s="22" t="s">
        <v>103</v>
      </c>
      <c r="F1413" s="23" t="str">
        <f t="shared" si="53"/>
        <v>Оказание услуг по техническому обслуживанию систем видеонаблюдения в 2020 году</v>
      </c>
      <c r="G1413" s="22" t="s">
        <v>428</v>
      </c>
      <c r="H1413" s="22" t="s">
        <v>429</v>
      </c>
      <c r="I1413" s="26">
        <v>43725.319444444402</v>
      </c>
      <c r="J1413" s="23" t="str">
        <f>HYPERLINK("https://www.spark-marketing.ru/Card/Person/126199", "ООО "" СВС""")</f>
        <v>ООО " СВС"</v>
      </c>
      <c r="K1413" s="24" t="s">
        <v>2365</v>
      </c>
      <c r="L1413" s="28" t="s">
        <v>52</v>
      </c>
      <c r="M1413" s="25">
        <v>60628</v>
      </c>
      <c r="N1413" s="27">
        <v>0.18510752688172044</v>
      </c>
    </row>
    <row r="1414" spans="1:14" x14ac:dyDescent="0.15">
      <c r="A1414" s="23" t="str">
        <f>HYPERLINK("https://www.spark-marketing.ru/Card/Person/1678692", "ФГУП ""НО РАО""")</f>
        <v>ФГУП "НО РАО"</v>
      </c>
      <c r="B1414" s="24" t="s">
        <v>2366</v>
      </c>
      <c r="C1414" s="25">
        <v>0</v>
      </c>
      <c r="D1414" s="22" t="s">
        <v>2367</v>
      </c>
      <c r="E1414" s="22" t="s">
        <v>53</v>
      </c>
      <c r="F1414" s="23" t="str">
        <f>HYPERLINK("https://www.spark-marketing.ru/Card/Lot/73520705", "мониторинг цен в электронной форме на Оборудование для осуществления строительного контроля и технического сопровождения объектов строительства")</f>
        <v>мониторинг цен в электронной форме на Оборудование для осуществления строительного контроля и технического сопровождения объектов строительства</v>
      </c>
      <c r="G1414" s="22" t="s">
        <v>55</v>
      </c>
      <c r="H1414" s="22" t="s">
        <v>55</v>
      </c>
      <c r="I1414" s="26">
        <v>43725.241724537002</v>
      </c>
      <c r="J1414" s="28" t="s">
        <v>52</v>
      </c>
      <c r="K1414" s="28" t="s">
        <v>52</v>
      </c>
      <c r="L1414" s="28" t="s">
        <v>52</v>
      </c>
      <c r="M1414" s="28" t="s">
        <v>52</v>
      </c>
      <c r="N1414" s="28" t="s">
        <v>52</v>
      </c>
    </row>
    <row r="1415" spans="1:14" x14ac:dyDescent="0.15">
      <c r="A1415" s="23" t="str">
        <f>HYPERLINK("https://www.spark-marketing.ru/Card/Person/1678692", "ФГУП ""НО РАО""")</f>
        <v>ФГУП "НО РАО"</v>
      </c>
      <c r="B1415" s="24" t="s">
        <v>2366</v>
      </c>
      <c r="C1415" s="28" t="s">
        <v>52</v>
      </c>
      <c r="D1415" s="22" t="s">
        <v>2368</v>
      </c>
      <c r="E1415" s="22" t="s">
        <v>508</v>
      </c>
      <c r="F1415" s="23" t="str">
        <f>HYPERLINK("https://www.spark-marketing.ru/Card/Lot/73523184", "Оборудование для осуществления строительного контроля и технического сопровождения объектов строительства")</f>
        <v>Оборудование для осуществления строительного контроля и технического сопровождения объектов строительства</v>
      </c>
      <c r="G1415" s="22" t="s">
        <v>55</v>
      </c>
      <c r="H1415" s="22" t="s">
        <v>55</v>
      </c>
      <c r="I1415" s="26">
        <v>43725.241979166698</v>
      </c>
      <c r="J1415" s="28" t="s">
        <v>52</v>
      </c>
      <c r="K1415" s="28" t="s">
        <v>52</v>
      </c>
      <c r="L1415" s="28" t="s">
        <v>52</v>
      </c>
      <c r="M1415" s="28" t="s">
        <v>52</v>
      </c>
      <c r="N1415" s="28" t="s">
        <v>52</v>
      </c>
    </row>
    <row r="1416" spans="1:14" x14ac:dyDescent="0.15">
      <c r="A1416" s="23" t="str">
        <f>HYPERLINK("https://www.spark-marketing.ru/Card/Person/1796261", "ООО ""МЕГИОН ГЕОЛОГИЯ""")</f>
        <v>ООО "МЕГИОН ГЕОЛОГИЯ"</v>
      </c>
      <c r="B1416" s="24" t="s">
        <v>2369</v>
      </c>
      <c r="C1416" s="28" t="s">
        <v>52</v>
      </c>
      <c r="D1416" s="22" t="s">
        <v>2370</v>
      </c>
      <c r="E1416" s="22" t="s">
        <v>53</v>
      </c>
      <c r="F1416" s="23" t="str">
        <f>HYPERLINK("https://www.spark-marketing.ru/Card/Lot/73535702", "Оказание сервисных услуг по приготовлению и сопровождению буровых растворов на объектах ОАО ""СН-МНГ""")</f>
        <v>Оказание сервисных услуг по приготовлению и сопровождению буровых растворов на объектах ОАО "СН-МНГ"</v>
      </c>
      <c r="G1416" s="22" t="s">
        <v>119</v>
      </c>
      <c r="H1416" s="22" t="s">
        <v>2371</v>
      </c>
      <c r="I1416" s="26">
        <v>43725</v>
      </c>
      <c r="J1416" s="28" t="s">
        <v>52</v>
      </c>
      <c r="K1416" s="28" t="s">
        <v>52</v>
      </c>
      <c r="L1416" s="28" t="s">
        <v>52</v>
      </c>
      <c r="M1416" s="28" t="s">
        <v>52</v>
      </c>
      <c r="N1416" s="28" t="s">
        <v>52</v>
      </c>
    </row>
    <row r="1417" spans="1:14" x14ac:dyDescent="0.15">
      <c r="A1417" s="23" t="str">
        <f t="shared" ref="A1417:A1424" si="54">HYPERLINK("https://www.spark-marketing.ru/Card/Person/4345935", "ДЕПАРТАМЕНТ СМОЛЕНСКОЙ ОБЛАСТИ ПО ЗДРАВООХРАНЕНИЮ")</f>
        <v>ДЕПАРТАМЕНТ СМОЛЕНСКОЙ ОБЛАСТИ ПО ЗДРАВООХРАНЕНИЮ</v>
      </c>
      <c r="B1417" s="24" t="s">
        <v>1449</v>
      </c>
      <c r="C1417" s="25">
        <v>1923280.8</v>
      </c>
      <c r="D1417" s="22" t="s">
        <v>2372</v>
      </c>
      <c r="E1417" s="22" t="s">
        <v>53</v>
      </c>
      <c r="F1417" s="23" t="str">
        <f>HYPERLINK("https://www.spark-marketing.ru/Card/Lot/73503367", "№4293 - аэф/т Поставка лекарственных препаратов (Дабрафениб)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отпуска...")</f>
        <v>№4293 - аэф/т Поставка лекарственных препаратов (Дабрафениб)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отпуска...</v>
      </c>
      <c r="G1417" s="22" t="s">
        <v>956</v>
      </c>
      <c r="H1417" s="22" t="s">
        <v>1451</v>
      </c>
      <c r="I1417" s="26">
        <v>43724.730555555601</v>
      </c>
      <c r="J1417" s="28" t="s">
        <v>52</v>
      </c>
      <c r="K1417" s="28" t="s">
        <v>52</v>
      </c>
      <c r="L1417" s="28" t="s">
        <v>52</v>
      </c>
      <c r="M1417" s="28" t="s">
        <v>52</v>
      </c>
      <c r="N1417" s="28" t="s">
        <v>52</v>
      </c>
    </row>
    <row r="1418" spans="1:14" x14ac:dyDescent="0.15">
      <c r="A1418" s="23" t="str">
        <f t="shared" si="54"/>
        <v>ДЕПАРТАМЕНТ СМОЛЕНСКОЙ ОБЛАСТИ ПО ЗДРАВООХРАНЕНИЮ</v>
      </c>
      <c r="B1418" s="24" t="s">
        <v>1449</v>
      </c>
      <c r="C1418" s="25">
        <v>1967889.84</v>
      </c>
      <c r="D1418" s="22" t="s">
        <v>2373</v>
      </c>
      <c r="E1418" s="22" t="s">
        <v>53</v>
      </c>
      <c r="F1418" s="23" t="str">
        <f>HYPERLINK("https://www.spark-marketing.ru/Card/Lot/73504466", "№4292 - аэф/т Поставка лекарственных препаратов (Палбоциклиб)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f>
        <v>№4292 - аэф/т Поставка лекарственных препаратов (Палбоциклиб)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v>
      </c>
      <c r="G1418" s="22" t="s">
        <v>956</v>
      </c>
      <c r="H1418" s="22" t="s">
        <v>1451</v>
      </c>
      <c r="I1418" s="26">
        <v>43724.730555555601</v>
      </c>
      <c r="J1418" s="28" t="s">
        <v>52</v>
      </c>
      <c r="K1418" s="28" t="s">
        <v>52</v>
      </c>
      <c r="L1418" s="28" t="s">
        <v>52</v>
      </c>
      <c r="M1418" s="28" t="s">
        <v>52</v>
      </c>
      <c r="N1418" s="28" t="s">
        <v>52</v>
      </c>
    </row>
    <row r="1419" spans="1:14" ht="12.75" hidden="1" outlineLevel="1" x14ac:dyDescent="0.2">
      <c r="A1419" s="23" t="str">
        <f t="shared" si="54"/>
        <v>ДЕПАРТАМЕНТ СМОЛЕНСКОЙ ОБЛАСТИ ПО ЗДРАВООХРАНЕНИЮ</v>
      </c>
      <c r="B1419" s="24" t="s">
        <v>1449</v>
      </c>
      <c r="C1419" s="25">
        <v>1967889.84</v>
      </c>
      <c r="D1419" s="22" t="s">
        <v>2373</v>
      </c>
      <c r="E1419" s="22" t="s">
        <v>53</v>
      </c>
      <c r="F1419" s="23" t="str">
        <f>HYPERLINK("https://www.spark-marketing.ru/Card/Lot/73504466", "№4292 - аэф/т Поставка лекарственных препаратов (Палбоциклиб)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f>
        <v>№4292 - аэф/т Поставка лекарственных препаратов (Палбоциклиб)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v>
      </c>
      <c r="G1419" s="22" t="s">
        <v>956</v>
      </c>
      <c r="H1419" s="22" t="s">
        <v>1451</v>
      </c>
      <c r="I1419" s="26">
        <v>43724.730555555601</v>
      </c>
      <c r="J1419" s="23" t="str">
        <f>HYPERLINK("https://www.spark-marketing.ru/Card/Person/6500707", "ООО ""ТК ""ОСНОВА""")</f>
        <v>ООО "ТК "ОСНОВА"</v>
      </c>
      <c r="K1419" s="24" t="s">
        <v>2050</v>
      </c>
      <c r="L1419" s="22" t="s">
        <v>10</v>
      </c>
      <c r="M1419" s="25">
        <v>1928532.04</v>
      </c>
      <c r="N1419" s="27">
        <v>2.0000001626107284E-2</v>
      </c>
    </row>
    <row r="1420" spans="1:14" hidden="1" outlineLevel="1" x14ac:dyDescent="0.2">
      <c r="A1420" s="23" t="str">
        <f t="shared" si="54"/>
        <v>ДЕПАРТАМЕНТ СМОЛЕНСКОЙ ОБЛАСТИ ПО ЗДРАВООХРАНЕНИЮ</v>
      </c>
      <c r="B1420" s="24" t="s">
        <v>1449</v>
      </c>
      <c r="C1420" s="25">
        <v>1967889.84</v>
      </c>
      <c r="D1420" s="22" t="s">
        <v>2373</v>
      </c>
      <c r="E1420" s="22" t="s">
        <v>53</v>
      </c>
      <c r="F1420" s="23" t="str">
        <f>HYPERLINK("https://www.spark-marketing.ru/Card/Lot/73504466", "№4292 - аэф/т Поставка лекарственных препаратов (Палбоциклиб)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f>
        <v>№4292 - аэф/т Поставка лекарственных препаратов (Палбоциклиб)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v>
      </c>
      <c r="G1420" s="22" t="s">
        <v>956</v>
      </c>
      <c r="H1420" s="22" t="s">
        <v>1451</v>
      </c>
      <c r="I1420" s="26">
        <v>43724.730555555601</v>
      </c>
      <c r="J1420" s="23" t="str">
        <f>HYPERLINK("https://www.spark-marketing.ru/Card/Person/61762", "ООО ""РЕФАРМ""")</f>
        <v>ООО "РЕФАРМ"</v>
      </c>
      <c r="K1420" s="24" t="s">
        <v>2374</v>
      </c>
      <c r="L1420" s="28" t="s">
        <v>52</v>
      </c>
      <c r="M1420" s="25">
        <v>1938371.49</v>
      </c>
      <c r="N1420" s="27">
        <v>1.5000001219580462E-2</v>
      </c>
    </row>
    <row r="1421" spans="1:14" x14ac:dyDescent="0.15">
      <c r="A1421" s="23" t="str">
        <f t="shared" si="54"/>
        <v>ДЕПАРТАМЕНТ СМОЛЕНСКОЙ ОБЛАСТИ ПО ЗДРАВООХРАНЕНИЮ</v>
      </c>
      <c r="B1421" s="24" t="s">
        <v>1449</v>
      </c>
      <c r="C1421" s="25">
        <v>983944.92</v>
      </c>
      <c r="D1421" s="22" t="s">
        <v>2375</v>
      </c>
      <c r="E1421" s="22" t="s">
        <v>53</v>
      </c>
      <c r="F1421" s="23" t="str">
        <f>HYPERLINK("https://www.spark-marketing.ru/Card/Lot/73501202", "№4291 - аэф/т Поставка лекарственных препаратов (Палбоциклиб)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f>
        <v>№4291 - аэф/т Поставка лекарственных препаратов (Палбоциклиб)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v>
      </c>
      <c r="G1421" s="22" t="s">
        <v>956</v>
      </c>
      <c r="H1421" s="22" t="s">
        <v>1451</v>
      </c>
      <c r="I1421" s="26">
        <v>43724.6965277778</v>
      </c>
      <c r="J1421" s="28" t="s">
        <v>52</v>
      </c>
      <c r="K1421" s="28" t="s">
        <v>52</v>
      </c>
      <c r="L1421" s="28" t="s">
        <v>52</v>
      </c>
      <c r="M1421" s="28" t="s">
        <v>52</v>
      </c>
      <c r="N1421" s="28" t="s">
        <v>52</v>
      </c>
    </row>
    <row r="1422" spans="1:14" hidden="1" outlineLevel="1" x14ac:dyDescent="0.2">
      <c r="A1422" s="23" t="str">
        <f t="shared" si="54"/>
        <v>ДЕПАРТАМЕНТ СМОЛЕНСКОЙ ОБЛАСТИ ПО ЗДРАВООХРАНЕНИЮ</v>
      </c>
      <c r="B1422" s="24" t="s">
        <v>1449</v>
      </c>
      <c r="C1422" s="25">
        <v>983944.92</v>
      </c>
      <c r="D1422" s="22" t="s">
        <v>2375</v>
      </c>
      <c r="E1422" s="22" t="s">
        <v>53</v>
      </c>
      <c r="F1422" s="23" t="str">
        <f>HYPERLINK("https://www.spark-marketing.ru/Card/Lot/73501202", "№4291 - аэф/т Поставка лекарственных препаратов (Палбоциклиб)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f>
        <v>№4291 - аэф/т Поставка лекарственных препаратов (Палбоциклиб)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v>
      </c>
      <c r="G1422" s="22" t="s">
        <v>956</v>
      </c>
      <c r="H1422" s="22" t="s">
        <v>1451</v>
      </c>
      <c r="I1422" s="26">
        <v>43724.6965277778</v>
      </c>
      <c r="J1422" s="23" t="str">
        <f>HYPERLINK("https://www.spark-marketing.ru/Card/Person/61762", "ООО ""РЕФАРМ""")</f>
        <v>ООО "РЕФАРМ"</v>
      </c>
      <c r="K1422" s="24" t="s">
        <v>2374</v>
      </c>
      <c r="L1422" s="28" t="s">
        <v>52</v>
      </c>
      <c r="M1422" s="25">
        <v>969185.76</v>
      </c>
      <c r="N1422" s="27">
        <v>1.4999985974824688E-2</v>
      </c>
    </row>
    <row r="1423" spans="1:14" ht="12.75" hidden="1" outlineLevel="1" x14ac:dyDescent="0.2">
      <c r="A1423" s="23" t="str">
        <f t="shared" si="54"/>
        <v>ДЕПАРТАМЕНТ СМОЛЕНСКОЙ ОБЛАСТИ ПО ЗДРАВООХРАНЕНИЮ</v>
      </c>
      <c r="B1423" s="24" t="s">
        <v>1449</v>
      </c>
      <c r="C1423" s="25">
        <v>983944.92</v>
      </c>
      <c r="D1423" s="22" t="s">
        <v>2375</v>
      </c>
      <c r="E1423" s="22" t="s">
        <v>53</v>
      </c>
      <c r="F1423" s="23" t="str">
        <f>HYPERLINK("https://www.spark-marketing.ru/Card/Lot/73501202", "№4291 - аэф/т Поставка лекарственных препаратов (Палбоциклиб)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f>
        <v>№4291 - аэф/т Поставка лекарственных препаратов (Палбоциклиб)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v>
      </c>
      <c r="G1423" s="22" t="s">
        <v>956</v>
      </c>
      <c r="H1423" s="22" t="s">
        <v>1451</v>
      </c>
      <c r="I1423" s="26">
        <v>43724.6965277778</v>
      </c>
      <c r="J1423" s="23" t="str">
        <f>HYPERLINK("https://www.spark-marketing.ru/Card/Person/6500707", "ООО ""ТК ""ОСНОВА""")</f>
        <v>ООО "ТК "ОСНОВА"</v>
      </c>
      <c r="K1423" s="24" t="s">
        <v>2050</v>
      </c>
      <c r="L1423" s="22" t="s">
        <v>10</v>
      </c>
      <c r="M1423" s="25">
        <v>964266.04</v>
      </c>
      <c r="N1423" s="27">
        <v>1.999998129976625E-2</v>
      </c>
    </row>
    <row r="1424" spans="1:14" x14ac:dyDescent="0.15">
      <c r="A1424" s="23" t="str">
        <f t="shared" si="54"/>
        <v>ДЕПАРТАМЕНТ СМОЛЕНСКОЙ ОБЛАСТИ ПО ЗДРАВООХРАНЕНИЮ</v>
      </c>
      <c r="B1424" s="24" t="s">
        <v>1449</v>
      </c>
      <c r="C1424" s="25">
        <v>681450</v>
      </c>
      <c r="D1424" s="22" t="s">
        <v>2376</v>
      </c>
      <c r="E1424" s="22" t="s">
        <v>53</v>
      </c>
      <c r="F1424" s="23" t="str">
        <f>HYPERLINK("https://www.spark-marketing.ru/Card/Lot/73497049", "№4290 - аэф/т Поставка лекарственных препаратов (Тофацитиниб)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f>
        <v>№4290 - аэф/т Поставка лекарственных препаратов (Тофацитиниб)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v>
      </c>
      <c r="G1424" s="22" t="s">
        <v>956</v>
      </c>
      <c r="H1424" s="22" t="s">
        <v>1451</v>
      </c>
      <c r="I1424" s="26">
        <v>43724.6965277778</v>
      </c>
      <c r="J1424" s="23" t="str">
        <f>HYPERLINK("https://www.spark-marketing.ru/Card/Person/5903867", "ООО ""СПЕКТРФАРМ""")</f>
        <v>ООО "СПЕКТРФАРМ"</v>
      </c>
      <c r="K1424" s="24" t="s">
        <v>2377</v>
      </c>
      <c r="L1424" s="22" t="s">
        <v>10</v>
      </c>
      <c r="M1424" s="28" t="s">
        <v>52</v>
      </c>
      <c r="N1424" s="28" t="s">
        <v>52</v>
      </c>
    </row>
    <row r="1425" spans="1:14" x14ac:dyDescent="0.15">
      <c r="A1425" s="23" t="str">
        <f>HYPERLINK("https://www.spark-marketing.ru/Card/Person/330022", "ФЛ Балаковская АЭС АО ""Концерн Росэнергоатом""")</f>
        <v>ФЛ Балаковская АЭС АО "Концерн Росэнергоатом"</v>
      </c>
      <c r="B1425" s="24" t="s">
        <v>211</v>
      </c>
      <c r="C1425" s="25">
        <v>0</v>
      </c>
      <c r="D1425" s="22" t="s">
        <v>2378</v>
      </c>
      <c r="E1425" s="22" t="s">
        <v>53</v>
      </c>
      <c r="F1425" s="23" t="str">
        <f>HYPERLINK("https://www.spark-marketing.ru/Card/Lot/73490967", "мониторинг цен в электронной форме на Оказание услуг по государственной круглосуточной охране объектов филиала АО ""Концерн Росэнергоатом"" ""Балаковская атомная станция"" путем патрулироания и оперативного реагирования на сигналы ""Тревога""")</f>
        <v>мониторинг цен в электронной форме на Оказание услуг по государственной круглосуточной охране объектов филиала АО "Концерн Росэнергоатом" "Балаковская атомная станция" путем патрулироания и оперативного реагирования на сигналы "Тревога"</v>
      </c>
      <c r="G1425" s="22" t="s">
        <v>55</v>
      </c>
      <c r="H1425" s="22" t="s">
        <v>55</v>
      </c>
      <c r="I1425" s="26">
        <v>43724.672175925902</v>
      </c>
      <c r="J1425" s="28" t="s">
        <v>52</v>
      </c>
      <c r="K1425" s="28" t="s">
        <v>52</v>
      </c>
      <c r="L1425" s="28" t="s">
        <v>52</v>
      </c>
      <c r="M1425" s="28" t="s">
        <v>52</v>
      </c>
      <c r="N1425" s="28" t="s">
        <v>52</v>
      </c>
    </row>
    <row r="1426" spans="1:14" x14ac:dyDescent="0.15">
      <c r="A1426" s="23" t="str">
        <f>HYPERLINK("https://www.spark-marketing.ru/Card/Person/4345935", "ДЕПАРТАМЕНТ СМОЛЕНСКОЙ ОБЛАСТИ ПО ЗДРАВООХРАНЕНИЮ")</f>
        <v>ДЕПАРТАМЕНТ СМОЛЕНСКОЙ ОБЛАСТИ ПО ЗДРАВООХРАНЕНИЮ</v>
      </c>
      <c r="B1426" s="24" t="s">
        <v>1449</v>
      </c>
      <c r="C1426" s="25">
        <v>1766400</v>
      </c>
      <c r="D1426" s="22" t="s">
        <v>2379</v>
      </c>
      <c r="E1426" s="22" t="s">
        <v>53</v>
      </c>
      <c r="F1426" s="23" t="str">
        <f>HYPERLINK("https://www.spark-marketing.ru/Card/Lot/73503151", "№4289 - аэф/т Поставка лекарственных препаратов (Метформин)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рецепт...")</f>
        <v>№4289 - аэф/т Поставка лекарственных препаратов (Метформин)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рецепт...</v>
      </c>
      <c r="G1426" s="22" t="s">
        <v>956</v>
      </c>
      <c r="H1426" s="22" t="s">
        <v>1451</v>
      </c>
      <c r="I1426" s="26">
        <v>43724.6965277778</v>
      </c>
      <c r="J1426" s="23" t="str">
        <f>HYPERLINK("https://www.spark-marketing.ru/Card/Person/503084", "ООО ""ФАРМ-ИННОВАЦИИ""")</f>
        <v>ООО "ФАРМ-ИННОВАЦИИ"</v>
      </c>
      <c r="K1426" s="24" t="s">
        <v>2054</v>
      </c>
      <c r="L1426" s="28" t="s">
        <v>52</v>
      </c>
      <c r="M1426" s="28" t="s">
        <v>52</v>
      </c>
      <c r="N1426" s="28" t="s">
        <v>52</v>
      </c>
    </row>
    <row r="1427" spans="1:14" ht="12.75" hidden="1" outlineLevel="1" x14ac:dyDescent="0.2">
      <c r="A1427" s="23" t="str">
        <f>HYPERLINK("https://www.spark-marketing.ru/Card/Person/4345935", "ДЕПАРТАМЕНТ СМОЛЕНСКОЙ ОБЛАСТИ ПО ЗДРАВООХРАНЕНИЮ")</f>
        <v>ДЕПАРТАМЕНТ СМОЛЕНСКОЙ ОБЛАСТИ ПО ЗДРАВООХРАНЕНИЮ</v>
      </c>
      <c r="B1427" s="24" t="s">
        <v>1449</v>
      </c>
      <c r="C1427" s="25">
        <v>1766400</v>
      </c>
      <c r="D1427" s="22" t="s">
        <v>2379</v>
      </c>
      <c r="E1427" s="22" t="s">
        <v>53</v>
      </c>
      <c r="F1427" s="23" t="str">
        <f>HYPERLINK("https://www.spark-marketing.ru/Card/Lot/73503151", "№4289 - аэф/т Поставка лекарственных препаратов (Метформин)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рецепт...")</f>
        <v>№4289 - аэф/т Поставка лекарственных препаратов (Метформин)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рецепт...</v>
      </c>
      <c r="G1427" s="22" t="s">
        <v>956</v>
      </c>
      <c r="H1427" s="22" t="s">
        <v>1451</v>
      </c>
      <c r="I1427" s="26">
        <v>43724.6965277778</v>
      </c>
      <c r="J1427" s="23" t="str">
        <f>HYPERLINK("https://www.spark-marketing.ru/Card/Person/503084", "ООО ""ФАРМ-ИННОВАЦИИ""")</f>
        <v>ООО "ФАРМ-ИННОВАЦИИ"</v>
      </c>
      <c r="K1427" s="24" t="s">
        <v>2054</v>
      </c>
      <c r="L1427" s="22" t="s">
        <v>10</v>
      </c>
      <c r="M1427" s="25">
        <v>1757568</v>
      </c>
      <c r="N1427" s="27">
        <v>5.0000000000000001E-3</v>
      </c>
    </row>
    <row r="1428" spans="1:14" x14ac:dyDescent="0.15">
      <c r="A1428" s="23" t="str">
        <f>HYPERLINK("https://www.spark-marketing.ru/Card/Person/1045281", "ГКУ МО ВОЛОКОЛАМСКИЙ ЦЗН")</f>
        <v>ГКУ МО ВОЛОКОЛАМСКИЙ ЦЗН</v>
      </c>
      <c r="B1428" s="24" t="s">
        <v>2380</v>
      </c>
      <c r="C1428" s="25">
        <v>44984.92</v>
      </c>
      <c r="D1428" s="22" t="s">
        <v>2381</v>
      </c>
      <c r="E1428" s="22" t="s">
        <v>107</v>
      </c>
      <c r="F1428" s="23" t="str">
        <f>HYPERLINK("https://www.spark-marketing.ru/Card/Lot/73485118", "Услуги по техническому обслуживанию (содержанию) систем охранной (противовзломной) сигнализации")</f>
        <v>Услуги по техническому обслуживанию (содержанию) систем охранной (противовзломной) сигнализации</v>
      </c>
      <c r="G1428" s="22" t="s">
        <v>50</v>
      </c>
      <c r="H1428" s="22" t="s">
        <v>2382</v>
      </c>
      <c r="I1428" s="26">
        <v>43724.669548611098</v>
      </c>
      <c r="J1428" s="28" t="s">
        <v>52</v>
      </c>
      <c r="K1428" s="28" t="s">
        <v>52</v>
      </c>
      <c r="L1428" s="28" t="s">
        <v>52</v>
      </c>
      <c r="M1428" s="28" t="s">
        <v>52</v>
      </c>
      <c r="N1428" s="28" t="s">
        <v>52</v>
      </c>
    </row>
    <row r="1429" spans="1:14" x14ac:dyDescent="0.15">
      <c r="A1429" s="23" t="str">
        <f>HYPERLINK("https://www.spark-marketing.ru/Card/Person/1302511", "МБУК ""ДК ""ЮБИЛЕЙНЫЙ""")</f>
        <v>МБУК "ДК "ЮБИЛЕЙНЫЙ"</v>
      </c>
      <c r="B1429" s="24" t="s">
        <v>2383</v>
      </c>
      <c r="C1429" s="25">
        <v>240000</v>
      </c>
      <c r="D1429" s="22" t="s">
        <v>2384</v>
      </c>
      <c r="E1429" s="22" t="s">
        <v>52</v>
      </c>
      <c r="F1429" s="23" t="str">
        <f>HYPERLINK("https://www.spark-marketing.ru/Card/Lot/73498628", "Услуги частных охранных служб")</f>
        <v>Услуги частных охранных служб</v>
      </c>
      <c r="G1429" s="22" t="s">
        <v>55</v>
      </c>
      <c r="H1429" s="22" t="s">
        <v>55</v>
      </c>
      <c r="I1429" s="26">
        <v>43724.703472222202</v>
      </c>
      <c r="J1429" s="28" t="s">
        <v>52</v>
      </c>
      <c r="K1429" s="28" t="s">
        <v>52</v>
      </c>
      <c r="L1429" s="28" t="s">
        <v>52</v>
      </c>
      <c r="M1429" s="28" t="s">
        <v>52</v>
      </c>
      <c r="N1429" s="28" t="s">
        <v>52</v>
      </c>
    </row>
    <row r="1430" spans="1:14" ht="12.75" hidden="1" outlineLevel="1" x14ac:dyDescent="0.2">
      <c r="A1430" s="23" t="str">
        <f>HYPERLINK("https://www.spark-marketing.ru/Card/Person/1302511", "МБУК ""ДК ""ЮБИЛЕЙНЫЙ""")</f>
        <v>МБУК "ДК "ЮБИЛЕЙНЫЙ"</v>
      </c>
      <c r="B1430" s="24" t="s">
        <v>2383</v>
      </c>
      <c r="C1430" s="25">
        <v>240000</v>
      </c>
      <c r="D1430" s="22" t="s">
        <v>2384</v>
      </c>
      <c r="E1430" s="22" t="s">
        <v>52</v>
      </c>
      <c r="F1430" s="23" t="str">
        <f>HYPERLINK("https://www.spark-marketing.ru/Card/Lot/73498628", "Услуги частных охранных служб")</f>
        <v>Услуги частных охранных служб</v>
      </c>
      <c r="G1430" s="22" t="s">
        <v>55</v>
      </c>
      <c r="H1430" s="22" t="s">
        <v>55</v>
      </c>
      <c r="I1430" s="26">
        <v>43724.703472222202</v>
      </c>
      <c r="J1430" s="23" t="str">
        <f>HYPERLINK("https://www.spark-marketing.ru/Card/Person/152900", "ООО ""ЧОП ""ФАВОРИТ-АГЕНТСТВО БЕЗОПАСНОСТИ""")</f>
        <v>ООО "ЧОП "ФАВОРИТ-АГЕНТСТВО БЕЗОПАСНОСТИ"</v>
      </c>
      <c r="K1430" s="24" t="s">
        <v>2385</v>
      </c>
      <c r="L1430" s="22" t="s">
        <v>10</v>
      </c>
      <c r="M1430" s="25">
        <v>237000</v>
      </c>
      <c r="N1430" s="27">
        <v>1.2500000000000001E-2</v>
      </c>
    </row>
    <row r="1431" spans="1:14" hidden="1" outlineLevel="1" x14ac:dyDescent="0.2">
      <c r="A1431" s="23" t="str">
        <f>HYPERLINK("https://www.spark-marketing.ru/Card/Person/1302511", "МБУК ""ДК ""ЮБИЛЕЙНЫЙ""")</f>
        <v>МБУК "ДК "ЮБИЛЕЙНЫЙ"</v>
      </c>
      <c r="B1431" s="24" t="s">
        <v>2383</v>
      </c>
      <c r="C1431" s="25">
        <v>240000</v>
      </c>
      <c r="D1431" s="22" t="s">
        <v>2384</v>
      </c>
      <c r="E1431" s="22" t="s">
        <v>52</v>
      </c>
      <c r="F1431" s="23" t="str">
        <f>HYPERLINK("https://www.spark-marketing.ru/Card/Lot/73498628", "Услуги частных охранных служб")</f>
        <v>Услуги частных охранных служб</v>
      </c>
      <c r="G1431" s="22" t="s">
        <v>55</v>
      </c>
      <c r="H1431" s="22" t="s">
        <v>55</v>
      </c>
      <c r="I1431" s="26">
        <v>43724.703472222202</v>
      </c>
      <c r="J1431" s="23" t="str">
        <f>HYPERLINK("https://www.spark-marketing.ru/Card/Person/51437", "ООО ЧОО ""ФОРТ-Л""")</f>
        <v>ООО ЧОО "ФОРТ-Л"</v>
      </c>
      <c r="K1431" s="24" t="s">
        <v>2386</v>
      </c>
      <c r="L1431" s="28" t="s">
        <v>52</v>
      </c>
      <c r="M1431" s="25">
        <v>239000</v>
      </c>
      <c r="N1431" s="27">
        <v>4.1666666666666666E-3</v>
      </c>
    </row>
    <row r="1432" spans="1:14" x14ac:dyDescent="0.15">
      <c r="A1432" s="23" t="str">
        <f>HYPERLINK("https://www.spark-marketing.ru/Card/Person/4353214", "МБОУДО ""ДШИ ИМ.А.Н.ВЕРСТОВСКОГО""")</f>
        <v>МБОУДО "ДШИ ИМ.А.Н.ВЕРСТОВСКОГО"</v>
      </c>
      <c r="B1432" s="24" t="s">
        <v>2387</v>
      </c>
      <c r="C1432" s="25">
        <v>34000</v>
      </c>
      <c r="D1432" s="22" t="s">
        <v>2388</v>
      </c>
      <c r="E1432" s="22" t="s">
        <v>103</v>
      </c>
      <c r="F1432" s="23" t="str">
        <f>HYPERLINK("https://www.spark-marketing.ru/Card/Lot/73481268", "Оказание услуг на техническое обслуживание системы видеонаблюдения в здании по адресу: Московская обл., г.о. Химки, ул. Нахимова, д.2.")</f>
        <v>Оказание услуг на техническое обслуживание системы видеонаблюдения в здании по адресу: Московская обл., г.о. Химки, ул. Нахимова, д.2.</v>
      </c>
      <c r="G1432" s="22" t="s">
        <v>50</v>
      </c>
      <c r="H1432" s="22" t="s">
        <v>938</v>
      </c>
      <c r="I1432" s="26">
        <v>43724.638344907398</v>
      </c>
      <c r="J1432" s="28" t="s">
        <v>52</v>
      </c>
      <c r="K1432" s="28" t="s">
        <v>52</v>
      </c>
      <c r="L1432" s="28" t="s">
        <v>52</v>
      </c>
      <c r="M1432" s="28" t="s">
        <v>52</v>
      </c>
      <c r="N1432" s="28" t="s">
        <v>52</v>
      </c>
    </row>
    <row r="1433" spans="1:14" x14ac:dyDescent="0.15">
      <c r="A1433" s="23" t="str">
        <f>HYPERLINK("https://www.spark-marketing.ru/Card/Person/54641", "ГКОУ МО НШДС № 737")</f>
        <v>ГКОУ МО НШДС № 737</v>
      </c>
      <c r="B1433" s="24" t="s">
        <v>2389</v>
      </c>
      <c r="C1433" s="25">
        <v>432000</v>
      </c>
      <c r="D1433" s="22" t="s">
        <v>2390</v>
      </c>
      <c r="E1433" s="22" t="s">
        <v>194</v>
      </c>
      <c r="F1433" s="23" t="str">
        <f>HYPERLINK("https://www.spark-marketing.ru/Card/Lot/73481391", "Установка 6 видеокамер и получение видеоизображения в системе ""Безопасный регион"", хранение данных")</f>
        <v>Установка 6 видеокамер и получение видеоизображения в системе "Безопасный регион", хранение данных</v>
      </c>
      <c r="G1433" s="22" t="s">
        <v>50</v>
      </c>
      <c r="H1433" s="22" t="s">
        <v>2391</v>
      </c>
      <c r="I1433" s="26">
        <v>43724.648923611101</v>
      </c>
      <c r="J1433" s="28" t="s">
        <v>52</v>
      </c>
      <c r="K1433" s="28" t="s">
        <v>52</v>
      </c>
      <c r="L1433" s="28" t="s">
        <v>52</v>
      </c>
      <c r="M1433" s="28" t="s">
        <v>52</v>
      </c>
      <c r="N1433" s="28" t="s">
        <v>52</v>
      </c>
    </row>
    <row r="1434" spans="1:14" x14ac:dyDescent="0.15">
      <c r="A1434" s="23" t="str">
        <f>HYPERLINK("https://www.spark-marketing.ru/Card/Person/91413", "УПРАВЛЕНИЕ ЭКОНОМИЧЕСКОГО РАЗВИТИЯ И ИМУЩЕСТВЕННЫХ ОТНОШЕНИЙ")</f>
        <v>УПРАВЛЕНИЕ ЭКОНОМИЧЕСКОГО РАЗВИТИЯ И ИМУЩЕСТВЕННЫХ ОТНОШЕНИЙ</v>
      </c>
      <c r="B1434" s="24" t="s">
        <v>2392</v>
      </c>
      <c r="C1434" s="25">
        <v>566844.48</v>
      </c>
      <c r="D1434" s="22" t="s">
        <v>2393</v>
      </c>
      <c r="E1434" s="22" t="s">
        <v>52</v>
      </c>
      <c r="F1434" s="23" t="str">
        <f>HYPERLINK("https://www.spark-marketing.ru/Card/Lot/73455772", "Услуги по охране объекта недвижимого имущества, находящегося в собственности Петропавловск-Камчатского городского округа")</f>
        <v>Услуги по охране объекта недвижимого имущества, находящегося в собственности Петропавловск-Камчатского городского округа</v>
      </c>
      <c r="G1434" s="22" t="s">
        <v>1141</v>
      </c>
      <c r="H1434" s="22" t="s">
        <v>1142</v>
      </c>
      <c r="I1434" s="26">
        <v>43724.615277777797</v>
      </c>
      <c r="J1434" s="23" t="str">
        <f>HYPERLINK("https://www.spark-marketing.ru/Card/Person/125817", "ООО ""ДАЛЬНЕВОСТОЧНОЕ АГЕНТСТВО ОХРАНЫ""")</f>
        <v>ООО "ДАЛЬНЕВОСТОЧНОЕ АГЕНТСТВО ОХРАНЫ"</v>
      </c>
      <c r="K1434" s="24" t="s">
        <v>2394</v>
      </c>
      <c r="L1434" s="22" t="s">
        <v>10</v>
      </c>
      <c r="M1434" s="28" t="s">
        <v>52</v>
      </c>
      <c r="N1434" s="28" t="s">
        <v>52</v>
      </c>
    </row>
    <row r="1435" spans="1:14" x14ac:dyDescent="0.15">
      <c r="A1435" s="23" t="str">
        <f>HYPERLINK("https://www.spark-marketing.ru/Card/Person/31865", "АО ""ОКБМ АФРИКАНТОВ""")</f>
        <v>АО "ОКБМ АФРИКАНТОВ"</v>
      </c>
      <c r="B1435" s="24" t="s">
        <v>752</v>
      </c>
      <c r="C1435" s="25">
        <v>0</v>
      </c>
      <c r="D1435" s="22" t="s">
        <v>2395</v>
      </c>
      <c r="E1435" s="22" t="s">
        <v>53</v>
      </c>
      <c r="F1435" s="23" t="str">
        <f>HYPERLINK("https://www.spark-marketing.ru/Card/Lot/73485075", "мониторинг цен в электронной форме на Оказание услуг по охране общественного порядка, имущества и здания Общежития АО «ОКБМ Африкантов», г. Нижний Новгород, ул. Шаляпина, 17")</f>
        <v>мониторинг цен в электронной форме на Оказание услуг по охране общественного порядка, имущества и здания Общежития АО «ОКБМ Африкантов», г. Нижний Новгород, ул. Шаляпина, 17</v>
      </c>
      <c r="G1435" s="22" t="s">
        <v>64</v>
      </c>
      <c r="H1435" s="22" t="s">
        <v>65</v>
      </c>
      <c r="I1435" s="26">
        <v>43724.606435185196</v>
      </c>
      <c r="J1435" s="28" t="s">
        <v>52</v>
      </c>
      <c r="K1435" s="28" t="s">
        <v>52</v>
      </c>
      <c r="L1435" s="28" t="s">
        <v>52</v>
      </c>
      <c r="M1435" s="28" t="s">
        <v>52</v>
      </c>
      <c r="N1435" s="28" t="s">
        <v>52</v>
      </c>
    </row>
    <row r="1436" spans="1:14" x14ac:dyDescent="0.15">
      <c r="A1436" s="23" t="str">
        <f>HYPERLINK("https://www.spark-marketing.ru/Card/Person/1050278", "ОТДЕЛЕНИЕ МВД РОССИИ ПО ЧЕБУЛИНСКОМУ РАЙОНУ")</f>
        <v>ОТДЕЛЕНИЕ МВД РОССИИ ПО ЧЕБУЛИНСКОМУ РАЙОНУ</v>
      </c>
      <c r="B1436" s="24" t="s">
        <v>2396</v>
      </c>
      <c r="C1436" s="25">
        <v>9500</v>
      </c>
      <c r="D1436" s="22" t="s">
        <v>2397</v>
      </c>
      <c r="E1436" s="22" t="s">
        <v>107</v>
      </c>
      <c r="F1436" s="23" t="str">
        <f>HYPERLINK("https://www.spark-marketing.ru/Card/Lot/73470924", "Техническое обслуживание видеонаблюдения")</f>
        <v>Техническое обслуживание видеонаблюдения</v>
      </c>
      <c r="G1436" s="22" t="s">
        <v>367</v>
      </c>
      <c r="H1436" s="22" t="s">
        <v>367</v>
      </c>
      <c r="I1436" s="26">
        <v>43724.533263888901</v>
      </c>
      <c r="J1436" s="28" t="s">
        <v>52</v>
      </c>
      <c r="K1436" s="28" t="s">
        <v>52</v>
      </c>
      <c r="L1436" s="28" t="s">
        <v>52</v>
      </c>
      <c r="M1436" s="28" t="s">
        <v>52</v>
      </c>
      <c r="N1436" s="28" t="s">
        <v>52</v>
      </c>
    </row>
    <row r="1437" spans="1:14" x14ac:dyDescent="0.15">
      <c r="A1437" s="23" t="str">
        <f>HYPERLINK("https://www.spark-marketing.ru/Card/Person/32101", "СПБ ГБУЗ ""ДГП №73""")</f>
        <v>СПБ ГБУЗ "ДГП №73"</v>
      </c>
      <c r="B1437" s="24" t="s">
        <v>2398</v>
      </c>
      <c r="C1437" s="25">
        <v>50000</v>
      </c>
      <c r="D1437" s="22" t="s">
        <v>2399</v>
      </c>
      <c r="E1437" s="22" t="s">
        <v>194</v>
      </c>
      <c r="F1437" s="23" t="str">
        <f>HYPERLINK("https://www.spark-marketing.ru/Card/Lot/73480886", "Поставка, установка, пуско-наладка веб-камеры в регистратуру для СПб ГБУЗ «ДГП №73» в 2019 году")</f>
        <v>Поставка, установка, пуско-наладка веб-камеры в регистратуру для СПб ГБУЗ «ДГП №73» в 2019 году</v>
      </c>
      <c r="G1437" s="22" t="s">
        <v>89</v>
      </c>
      <c r="H1437" s="22" t="s">
        <v>89</v>
      </c>
      <c r="I1437" s="26">
        <v>43724.528472222199</v>
      </c>
      <c r="J1437" s="23" t="str">
        <f>HYPERLINK("https://www.spark-marketing.ru/Card/Person/6423029", "Солдатов Андрей Викторович")</f>
        <v>Солдатов Андрей Викторович</v>
      </c>
      <c r="K1437" s="24" t="s">
        <v>2400</v>
      </c>
      <c r="L1437" s="22" t="s">
        <v>10</v>
      </c>
      <c r="M1437" s="28" t="s">
        <v>52</v>
      </c>
      <c r="N1437" s="28" t="s">
        <v>52</v>
      </c>
    </row>
    <row r="1438" spans="1:14" x14ac:dyDescent="0.15">
      <c r="A1438" s="23" t="str">
        <f>HYPERLINK("https://www.spark-marketing.ru/Card/Person/1692809", "МО МВД РОССИИ ""УНЕЧСКИЙ""")</f>
        <v>МО МВД РОССИИ "УНЕЧСКИЙ"</v>
      </c>
      <c r="B1438" s="24" t="s">
        <v>213</v>
      </c>
      <c r="C1438" s="25">
        <v>42720</v>
      </c>
      <c r="D1438" s="22" t="s">
        <v>2401</v>
      </c>
      <c r="E1438" s="22" t="s">
        <v>107</v>
      </c>
      <c r="F1438" s="23" t="str">
        <f>HYPERLINK("https://www.spark-marketing.ru/Card/Lot/73465579", "Техническое обслуживание системы видеонаблюдения, 1 шт")</f>
        <v>Техническое обслуживание системы видеонаблюдения, 1 шт</v>
      </c>
      <c r="G1438" s="22" t="s">
        <v>215</v>
      </c>
      <c r="H1438" s="22" t="s">
        <v>216</v>
      </c>
      <c r="I1438" s="26">
        <v>43724.485405092601</v>
      </c>
      <c r="J1438" s="28" t="s">
        <v>52</v>
      </c>
      <c r="K1438" s="28" t="s">
        <v>52</v>
      </c>
      <c r="L1438" s="28" t="s">
        <v>52</v>
      </c>
      <c r="M1438" s="28" t="s">
        <v>52</v>
      </c>
      <c r="N1438" s="28" t="s">
        <v>52</v>
      </c>
    </row>
    <row r="1439" spans="1:14" x14ac:dyDescent="0.15">
      <c r="A1439" s="23" t="str">
        <f>HYPERLINK("https://www.spark-marketing.ru/Card/Person/1692809", "МО МВД РОССИИ ""УНЕЧСКИЙ""")</f>
        <v>МО МВД РОССИИ "УНЕЧСКИЙ"</v>
      </c>
      <c r="B1439" s="24" t="s">
        <v>213</v>
      </c>
      <c r="C1439" s="25">
        <v>42720</v>
      </c>
      <c r="D1439" s="22" t="s">
        <v>2402</v>
      </c>
      <c r="E1439" s="22" t="s">
        <v>107</v>
      </c>
      <c r="F1439" s="23" t="str">
        <f>HYPERLINK("https://www.spark-marketing.ru/Card/Lot/73465638", "Техническое обслуживание системы видеонаблюдения, 1 шт")</f>
        <v>Техническое обслуживание системы видеонаблюдения, 1 шт</v>
      </c>
      <c r="G1439" s="22" t="s">
        <v>215</v>
      </c>
      <c r="H1439" s="22" t="s">
        <v>216</v>
      </c>
      <c r="I1439" s="26">
        <v>43724.491458333301</v>
      </c>
      <c r="J1439" s="28" t="s">
        <v>52</v>
      </c>
      <c r="K1439" s="28" t="s">
        <v>52</v>
      </c>
      <c r="L1439" s="28" t="s">
        <v>52</v>
      </c>
      <c r="M1439" s="28" t="s">
        <v>52</v>
      </c>
      <c r="N1439" s="28" t="s">
        <v>52</v>
      </c>
    </row>
    <row r="1440" spans="1:14" x14ac:dyDescent="0.15">
      <c r="A1440" s="23" t="str">
        <f>HYPERLINK("https://www.spark-marketing.ru/Card/Person/1006699", "МКУ ""АДМИНИСТРАТИВНЫЙ ЦЕНТР""")</f>
        <v>МКУ "АДМИНИСТРАТИВНЫЙ ЦЕНТР"</v>
      </c>
      <c r="B1440" s="24" t="s">
        <v>1518</v>
      </c>
      <c r="C1440" s="25">
        <v>19037.810000000001</v>
      </c>
      <c r="D1440" s="22" t="s">
        <v>2403</v>
      </c>
      <c r="E1440" s="22" t="s">
        <v>59</v>
      </c>
      <c r="F1440" s="23" t="str">
        <f>HYPERLINK("https://www.spark-marketing.ru/Card/Lot/73471855", "Выполнение работ по установке и обслуживанию тревожной кнопки в здании администрации Гороховецкого района")</f>
        <v>Выполнение работ по установке и обслуживанию тревожной кнопки в здании администрации Гороховецкого района</v>
      </c>
      <c r="G1440" s="22" t="s">
        <v>145</v>
      </c>
      <c r="H1440" s="22" t="s">
        <v>145</v>
      </c>
      <c r="I1440" s="26">
        <v>43724.484027777798</v>
      </c>
      <c r="J1440" s="23" t="str">
        <f>HYPERLINK("https://www.spark-marketing.ru/Card/Person/315518", "Филиал ФГУП ""Охрана"" Росгвардии по Владимирской области")</f>
        <v>Филиал ФГУП "Охрана" Росгвардии по Владимирской области</v>
      </c>
      <c r="K1440" s="24" t="s">
        <v>779</v>
      </c>
      <c r="L1440" s="28" t="s">
        <v>52</v>
      </c>
      <c r="M1440" s="28" t="s">
        <v>52</v>
      </c>
      <c r="N1440" s="28" t="s">
        <v>52</v>
      </c>
    </row>
    <row r="1441" spans="1:14" x14ac:dyDescent="0.15">
      <c r="A1441" s="23" t="str">
        <f>HYPERLINK("https://www.spark-marketing.ru/Card/Person/6576045", "ООО ""ПРАЙМЮСТ""")</f>
        <v>ООО "ПРАЙМЮСТ"</v>
      </c>
      <c r="B1441" s="24" t="s">
        <v>1943</v>
      </c>
      <c r="C1441" s="25">
        <v>61600</v>
      </c>
      <c r="D1441" s="22" t="s">
        <v>2404</v>
      </c>
      <c r="E1441" s="22" t="s">
        <v>53</v>
      </c>
      <c r="F1441" s="23" t="str">
        <f>HYPERLINK("https://www.spark-marketing.ru/Card/Lot/73516761", "Охранные услуги (Новосибирск)")</f>
        <v>Охранные услуги (Новосибирск)</v>
      </c>
      <c r="G1441" s="22" t="s">
        <v>204</v>
      </c>
      <c r="H1441" s="22" t="s">
        <v>1945</v>
      </c>
      <c r="I1441" s="26">
        <v>43724.428055555603</v>
      </c>
      <c r="J1441" s="28" t="s">
        <v>52</v>
      </c>
      <c r="K1441" s="28" t="s">
        <v>52</v>
      </c>
      <c r="L1441" s="28" t="s">
        <v>52</v>
      </c>
      <c r="M1441" s="28" t="s">
        <v>52</v>
      </c>
      <c r="N1441" s="28" t="s">
        <v>52</v>
      </c>
    </row>
    <row r="1442" spans="1:14" x14ac:dyDescent="0.15">
      <c r="A1442" s="23" t="str">
        <f>HYPERLINK("https://www.spark-marketing.ru/Card/Person/6762", "МКУ ""ХОЗУ АДМИНИСТРАЦИИ Г. ВЛАДИВОСТОКА""")</f>
        <v>МКУ "ХОЗУ АДМИНИСТРАЦИИ Г. ВЛАДИВОСТОКА"</v>
      </c>
      <c r="B1442" s="24" t="s">
        <v>2405</v>
      </c>
      <c r="C1442" s="25">
        <v>39000</v>
      </c>
      <c r="D1442" s="22" t="s">
        <v>2406</v>
      </c>
      <c r="E1442" s="22" t="s">
        <v>208</v>
      </c>
      <c r="F1442" s="23" t="str">
        <f>HYPERLINK("https://www.spark-marketing.ru/Card/Lot/73469734", "оборудование тревожной сигнализации")</f>
        <v>оборудование тревожной сигнализации</v>
      </c>
      <c r="G1442" s="22" t="s">
        <v>409</v>
      </c>
      <c r="H1442" s="22" t="s">
        <v>878</v>
      </c>
      <c r="I1442" s="26">
        <v>43724.681250000001</v>
      </c>
      <c r="J1442" s="28" t="s">
        <v>52</v>
      </c>
      <c r="K1442" s="28" t="s">
        <v>52</v>
      </c>
      <c r="L1442" s="28" t="s">
        <v>52</v>
      </c>
      <c r="M1442" s="28" t="s">
        <v>52</v>
      </c>
      <c r="N1442" s="28" t="s">
        <v>52</v>
      </c>
    </row>
    <row r="1443" spans="1:14" ht="12.75" hidden="1" outlineLevel="1" x14ac:dyDescent="0.2">
      <c r="A1443" s="23" t="str">
        <f>HYPERLINK("https://www.spark-marketing.ru/Card/Person/6762", "МКУ ""ХОЗУ АДМИНИСТРАЦИИ Г. ВЛАДИВОСТОКА""")</f>
        <v>МКУ "ХОЗУ АДМИНИСТРАЦИИ Г. ВЛАДИВОСТОКА"</v>
      </c>
      <c r="B1443" s="24" t="s">
        <v>2405</v>
      </c>
      <c r="C1443" s="25">
        <v>39000</v>
      </c>
      <c r="D1443" s="22" t="s">
        <v>2406</v>
      </c>
      <c r="E1443" s="22" t="s">
        <v>208</v>
      </c>
      <c r="F1443" s="23" t="str">
        <f>HYPERLINK("https://www.spark-marketing.ru/Card/Lot/73469734", "оборудование тревожной сигнализации")</f>
        <v>оборудование тревожной сигнализации</v>
      </c>
      <c r="G1443" s="22" t="s">
        <v>409</v>
      </c>
      <c r="H1443" s="22" t="s">
        <v>878</v>
      </c>
      <c r="I1443" s="26">
        <v>43724.681250000001</v>
      </c>
      <c r="J1443" s="23" t="str">
        <f>HYPERLINK("https://www.spark-marketing.ru/Card/Person/210543", "ООО ""ХРАНИТЕЛЬ""")</f>
        <v>ООО "ХРАНИТЕЛЬ"</v>
      </c>
      <c r="K1443" s="24" t="s">
        <v>2407</v>
      </c>
      <c r="L1443" s="22" t="s">
        <v>10</v>
      </c>
      <c r="M1443" s="25">
        <v>34920</v>
      </c>
      <c r="N1443" s="27">
        <v>0.10461538461538461</v>
      </c>
    </row>
    <row r="1444" spans="1:14" hidden="1" outlineLevel="1" x14ac:dyDescent="0.2">
      <c r="A1444" s="23" t="str">
        <f>HYPERLINK("https://www.spark-marketing.ru/Card/Person/6762", "МКУ ""ХОЗУ АДМИНИСТРАЦИИ Г. ВЛАДИВОСТОКА""")</f>
        <v>МКУ "ХОЗУ АДМИНИСТРАЦИИ Г. ВЛАДИВОСТОКА"</v>
      </c>
      <c r="B1444" s="24" t="s">
        <v>2405</v>
      </c>
      <c r="C1444" s="25">
        <v>39000</v>
      </c>
      <c r="D1444" s="22" t="s">
        <v>2406</v>
      </c>
      <c r="E1444" s="22" t="s">
        <v>208</v>
      </c>
      <c r="F1444" s="23" t="str">
        <f>HYPERLINK("https://www.spark-marketing.ru/Card/Lot/73469734", "оборудование тревожной сигнализации")</f>
        <v>оборудование тревожной сигнализации</v>
      </c>
      <c r="G1444" s="22" t="s">
        <v>409</v>
      </c>
      <c r="H1444" s="22" t="s">
        <v>878</v>
      </c>
      <c r="I1444" s="26">
        <v>43724.681250000001</v>
      </c>
      <c r="J1444" s="23" t="str">
        <f>HYPERLINK("https://www.spark-marketing.ru/Card/Person/6457149", "ООО ""НИКА-СБ""")</f>
        <v>ООО "НИКА-СБ"</v>
      </c>
      <c r="K1444" s="24" t="s">
        <v>1800</v>
      </c>
      <c r="L1444" s="28" t="s">
        <v>52</v>
      </c>
      <c r="M1444" s="25">
        <v>36597</v>
      </c>
      <c r="N1444" s="27">
        <v>6.1615384615384614E-2</v>
      </c>
    </row>
    <row r="1445" spans="1:14" hidden="1" outlineLevel="1" x14ac:dyDescent="0.2">
      <c r="A1445" s="23" t="str">
        <f>HYPERLINK("https://www.spark-marketing.ru/Card/Person/6762", "МКУ ""ХОЗУ АДМИНИСТРАЦИИ Г. ВЛАДИВОСТОКА""")</f>
        <v>МКУ "ХОЗУ АДМИНИСТРАЦИИ Г. ВЛАДИВОСТОКА"</v>
      </c>
      <c r="B1445" s="24" t="s">
        <v>2405</v>
      </c>
      <c r="C1445" s="25">
        <v>39000</v>
      </c>
      <c r="D1445" s="22" t="s">
        <v>2406</v>
      </c>
      <c r="E1445" s="22" t="s">
        <v>208</v>
      </c>
      <c r="F1445" s="23" t="str">
        <f>HYPERLINK("https://www.spark-marketing.ru/Card/Lot/73469734", "оборудование тревожной сигнализации")</f>
        <v>оборудование тревожной сигнализации</v>
      </c>
      <c r="G1445" s="22" t="s">
        <v>409</v>
      </c>
      <c r="H1445" s="22" t="s">
        <v>878</v>
      </c>
      <c r="I1445" s="26">
        <v>43724.681250000001</v>
      </c>
      <c r="J1445" s="23" t="str">
        <f>HYPERLINK("https://www.spark-marketing.ru/Card/Person/343131", "ООО ""ЩИТ""")</f>
        <v>ООО "ЩИТ"</v>
      </c>
      <c r="K1445" s="24" t="s">
        <v>1798</v>
      </c>
      <c r="L1445" s="28" t="s">
        <v>52</v>
      </c>
      <c r="M1445" s="25">
        <v>38890</v>
      </c>
      <c r="N1445" s="27">
        <v>2.8205128205128207E-3</v>
      </c>
    </row>
    <row r="1446" spans="1:14" x14ac:dyDescent="0.15">
      <c r="A1446" s="23" t="str">
        <f>HYPERLINK("https://www.spark-marketing.ru/Card/Person/4778177", "ООО ""ТМК ""ЗАЩИТА""")</f>
        <v>ООО "ТМК "ЗАЩИТА"</v>
      </c>
      <c r="B1446" s="24" t="s">
        <v>1106</v>
      </c>
      <c r="C1446" s="25">
        <v>0</v>
      </c>
      <c r="D1446" s="22" t="s">
        <v>2408</v>
      </c>
      <c r="E1446" s="22" t="s">
        <v>53</v>
      </c>
      <c r="F1446" s="23" t="str">
        <f>HYPERLINK("https://www.spark-marketing.ru/Card/Lot/73516572", "Пост сигнализации взрывозащищенный ПСВ-3, 1ExdIIBT6, IP65, УХЛ5")</f>
        <v>Пост сигнализации взрывозащищенный ПСВ-3, 1ExdIIBT6, IP65, УХЛ5</v>
      </c>
      <c r="G1446" s="22" t="s">
        <v>204</v>
      </c>
      <c r="H1446" s="22" t="s">
        <v>303</v>
      </c>
      <c r="I1446" s="26">
        <v>43724.375601851898</v>
      </c>
      <c r="J1446" s="28" t="s">
        <v>52</v>
      </c>
      <c r="K1446" s="28" t="s">
        <v>52</v>
      </c>
      <c r="L1446" s="28" t="s">
        <v>52</v>
      </c>
      <c r="M1446" s="28" t="s">
        <v>52</v>
      </c>
      <c r="N1446" s="28" t="s">
        <v>52</v>
      </c>
    </row>
    <row r="1447" spans="1:14" x14ac:dyDescent="0.15">
      <c r="A1447" s="23" t="str">
        <f>HYPERLINK("https://www.spark-marketing.ru/Card/Person/4778177", "ООО ""ТМК ""ЗАЩИТА""")</f>
        <v>ООО "ТМК "ЗАЩИТА"</v>
      </c>
      <c r="B1447" s="24" t="s">
        <v>1106</v>
      </c>
      <c r="C1447" s="25">
        <v>0</v>
      </c>
      <c r="D1447" s="22" t="s">
        <v>2409</v>
      </c>
      <c r="E1447" s="22" t="s">
        <v>53</v>
      </c>
      <c r="F1447" s="23" t="str">
        <f>HYPERLINK("https://www.spark-marketing.ru/Card/Lot/73516458", "Независимый расцепитель с контактом сигнализации положения ""включено-отключено"", iМХ+ОF, 220 В, 50 Гц, 1Н0/НЗ, А9А26946")</f>
        <v>Независимый расцепитель с контактом сигнализации положения "включено-отключено", iМХ+ОF, 220 В, 50 Гц, 1Н0/НЗ, А9А26946</v>
      </c>
      <c r="G1447" s="22" t="s">
        <v>204</v>
      </c>
      <c r="H1447" s="22" t="s">
        <v>303</v>
      </c>
      <c r="I1447" s="26">
        <v>43724.374074074098</v>
      </c>
      <c r="J1447" s="28" t="s">
        <v>52</v>
      </c>
      <c r="K1447" s="28" t="s">
        <v>52</v>
      </c>
      <c r="L1447" s="28" t="s">
        <v>52</v>
      </c>
      <c r="M1447" s="28" t="s">
        <v>52</v>
      </c>
      <c r="N1447" s="28" t="s">
        <v>52</v>
      </c>
    </row>
    <row r="1448" spans="1:14" x14ac:dyDescent="0.15">
      <c r="A1448" s="23" t="str">
        <f>HYPERLINK("https://www.spark-marketing.ru/Card/Person/1031775", "КГКОУ ШИ 10")</f>
        <v>КГКОУ ШИ 10</v>
      </c>
      <c r="B1448" s="24" t="s">
        <v>2410</v>
      </c>
      <c r="C1448" s="25">
        <v>3870</v>
      </c>
      <c r="D1448" s="22" t="s">
        <v>2411</v>
      </c>
      <c r="E1448" s="22" t="s">
        <v>107</v>
      </c>
      <c r="F1448" s="23" t="str">
        <f>HYPERLINK("https://www.spark-marketing.ru/Card/Lot/73456111", "Техническое обслуживание системы видеонаблюдения, 1 шт")</f>
        <v>Техническое обслуживание системы видеонаблюдения, 1 шт</v>
      </c>
      <c r="G1448" s="22" t="s">
        <v>138</v>
      </c>
      <c r="H1448" s="22" t="s">
        <v>2412</v>
      </c>
      <c r="I1448" s="26">
        <v>43724.3148842593</v>
      </c>
      <c r="J1448" s="28" t="s">
        <v>52</v>
      </c>
      <c r="K1448" s="28" t="s">
        <v>52</v>
      </c>
      <c r="L1448" s="28" t="s">
        <v>52</v>
      </c>
      <c r="M1448" s="28" t="s">
        <v>52</v>
      </c>
      <c r="N1448" s="28" t="s">
        <v>52</v>
      </c>
    </row>
    <row r="1449" spans="1:14" x14ac:dyDescent="0.15">
      <c r="A1449" s="23" t="str">
        <f>HYPERLINK("https://www.spark-marketing.ru/Card/Person/4365531", "ООО ""УК ""ТАТБУРНЕФТЬ""")</f>
        <v>ООО "УК "ТАТБУРНЕФТЬ"</v>
      </c>
      <c r="B1449" s="24" t="s">
        <v>1875</v>
      </c>
      <c r="C1449" s="25">
        <v>0</v>
      </c>
      <c r="D1449" s="22" t="s">
        <v>2413</v>
      </c>
      <c r="E1449" s="22" t="s">
        <v>1244</v>
      </c>
      <c r="F1449" s="23" t="str">
        <f>HYPERLINK("https://www.spark-marketing.ru/Card/Lot/73486543", "Услуга охраны стационарного поста Проходная ЦЭО, ПВР, ПБР г. Нурлат (согласно приложения 1)")</f>
        <v>Услуга охраны стационарного поста Проходная ЦЭО, ПВР, ПБР г. Нурлат (согласно приложения 1)</v>
      </c>
      <c r="G1449" s="22" t="s">
        <v>204</v>
      </c>
      <c r="H1449" s="22" t="s">
        <v>308</v>
      </c>
      <c r="I1449" s="26">
        <v>43724.565625000003</v>
      </c>
      <c r="J1449" s="28" t="s">
        <v>52</v>
      </c>
      <c r="K1449" s="28" t="s">
        <v>52</v>
      </c>
      <c r="L1449" s="28" t="s">
        <v>52</v>
      </c>
      <c r="M1449" s="28" t="s">
        <v>52</v>
      </c>
      <c r="N1449" s="28" t="s">
        <v>52</v>
      </c>
    </row>
    <row r="1450" spans="1:14" x14ac:dyDescent="0.15">
      <c r="A1450" s="23" t="str">
        <f>HYPERLINK("https://www.spark-marketing.ru/Card/Person/4365531", "ООО ""УК ""ТАТБУРНЕФТЬ""")</f>
        <v>ООО "УК "ТАТБУРНЕФТЬ"</v>
      </c>
      <c r="B1450" s="24" t="s">
        <v>1875</v>
      </c>
      <c r="C1450" s="25">
        <v>0</v>
      </c>
      <c r="D1450" s="22" t="s">
        <v>2413</v>
      </c>
      <c r="E1450" s="22" t="s">
        <v>1244</v>
      </c>
      <c r="F1450" s="23" t="str">
        <f>HYPERLINK("https://www.spark-marketing.ru/Card/Lot/73486583", "Услуга охраны стационарного поста Административное здание, база г. Бугульма (согласно приложения 1)")</f>
        <v>Услуга охраны стационарного поста Административное здание, база г. Бугульма (согласно приложения 1)</v>
      </c>
      <c r="G1450" s="22" t="s">
        <v>204</v>
      </c>
      <c r="H1450" s="22" t="s">
        <v>308</v>
      </c>
      <c r="I1450" s="26">
        <v>43724.565625000003</v>
      </c>
      <c r="J1450" s="28" t="s">
        <v>52</v>
      </c>
      <c r="K1450" s="28" t="s">
        <v>52</v>
      </c>
      <c r="L1450" s="28" t="s">
        <v>52</v>
      </c>
      <c r="M1450" s="28" t="s">
        <v>52</v>
      </c>
      <c r="N1450" s="28" t="s">
        <v>52</v>
      </c>
    </row>
    <row r="1451" spans="1:14" x14ac:dyDescent="0.15">
      <c r="A1451" s="23" t="str">
        <f>HYPERLINK("https://www.spark-marketing.ru/Card/Person/615426", "ГАУ КО СШОР ""ОРЛЕНОК""")</f>
        <v>ГАУ КО СШОР "ОРЛЕНОК"</v>
      </c>
      <c r="B1451" s="24" t="s">
        <v>2414</v>
      </c>
      <c r="C1451" s="25">
        <v>1479138</v>
      </c>
      <c r="D1451" s="22" t="s">
        <v>2415</v>
      </c>
      <c r="E1451" s="22" t="s">
        <v>2204</v>
      </c>
      <c r="F1451" s="23" t="str">
        <f>HYPERLINK("https://www.spark-marketing.ru/Card/Lot/73414833", "Приобретение и установка системы видеонаблюдения")</f>
        <v>Приобретение и установка системы видеонаблюдения</v>
      </c>
      <c r="G1451" s="22" t="s">
        <v>658</v>
      </c>
      <c r="H1451" s="22" t="s">
        <v>741</v>
      </c>
      <c r="I1451" s="26">
        <v>43721.396712962996</v>
      </c>
      <c r="J1451" s="28" t="s">
        <v>52</v>
      </c>
      <c r="K1451" s="28" t="s">
        <v>52</v>
      </c>
      <c r="L1451" s="28" t="s">
        <v>52</v>
      </c>
      <c r="M1451" s="28" t="s">
        <v>52</v>
      </c>
      <c r="N1451" s="28" t="s">
        <v>52</v>
      </c>
    </row>
    <row r="1452" spans="1:14" x14ac:dyDescent="0.15">
      <c r="A1452" s="23" t="str">
        <f>HYPERLINK("https://www.spark-marketing.ru/Card/Person/4365531", "ООО ""УК ""ТАТБУРНЕФТЬ""")</f>
        <v>ООО "УК "ТАТБУРНЕФТЬ"</v>
      </c>
      <c r="B1452" s="24" t="s">
        <v>1875</v>
      </c>
      <c r="C1452" s="25">
        <v>0</v>
      </c>
      <c r="D1452" s="22" t="s">
        <v>2413</v>
      </c>
      <c r="E1452" s="22" t="s">
        <v>1244</v>
      </c>
      <c r="F1452" s="23" t="str">
        <f>HYPERLINK("https://www.spark-marketing.ru/Card/Lot/73486588", "Услуга охраны полевого объекта Российская Федерация, Удмуртская Республика (согласно приложения 1)")</f>
        <v>Услуга охраны полевого объекта Российская Федерация, Удмуртская Республика (согласно приложения 1)</v>
      </c>
      <c r="G1452" s="22" t="s">
        <v>204</v>
      </c>
      <c r="H1452" s="22" t="s">
        <v>308</v>
      </c>
      <c r="I1452" s="26">
        <v>43724.565625000003</v>
      </c>
      <c r="J1452" s="28" t="s">
        <v>52</v>
      </c>
      <c r="K1452" s="28" t="s">
        <v>52</v>
      </c>
      <c r="L1452" s="28" t="s">
        <v>52</v>
      </c>
      <c r="M1452" s="28" t="s">
        <v>52</v>
      </c>
      <c r="N1452" s="28" t="s">
        <v>52</v>
      </c>
    </row>
    <row r="1453" spans="1:14" x14ac:dyDescent="0.15">
      <c r="A1453" s="23" t="str">
        <f>HYPERLINK("https://www.spark-marketing.ru/Card/Person/1453795", "ООО ""ЛОТ""")</f>
        <v>ООО "ЛОТ"</v>
      </c>
      <c r="B1453" s="24" t="s">
        <v>2416</v>
      </c>
      <c r="C1453" s="25">
        <v>2469972.96</v>
      </c>
      <c r="D1453" s="22" t="s">
        <v>2417</v>
      </c>
      <c r="E1453" s="22" t="s">
        <v>363</v>
      </c>
      <c r="F1453" s="23" t="str">
        <f>HYPERLINK("https://www.spark-marketing.ru/Card/Lot/73409563", "Оказание услуг по охране объектов и имущества «Заказчика», находящихся в собственности, во владении, в пользовании, хозяйственном управлении или доверительном управлении, и обеспечению внутриобъектового и пропускного режимов на них")</f>
        <v>Оказание услуг по охране объектов и имущества «Заказчика», находящихся в собственности, во владении, в пользовании, хозяйственном управлении или доверительном управлении, и обеспечению внутриобъектового и пропускного режимов на них</v>
      </c>
      <c r="G1453" s="22" t="s">
        <v>402</v>
      </c>
      <c r="H1453" s="22" t="s">
        <v>402</v>
      </c>
      <c r="I1453" s="26">
        <v>43721</v>
      </c>
      <c r="J1453" s="28" t="s">
        <v>52</v>
      </c>
      <c r="K1453" s="28" t="s">
        <v>52</v>
      </c>
      <c r="L1453" s="28" t="s">
        <v>52</v>
      </c>
      <c r="M1453" s="28" t="s">
        <v>52</v>
      </c>
      <c r="N1453" s="28" t="s">
        <v>52</v>
      </c>
    </row>
    <row r="1454" spans="1:14" x14ac:dyDescent="0.15">
      <c r="A1454" s="23" t="str">
        <f>HYPERLINK("https://www.spark-marketing.ru/Card/Person/4365531", "ООО ""УК ""ТАТБУРНЕФТЬ""")</f>
        <v>ООО "УК "ТАТБУРНЕФТЬ"</v>
      </c>
      <c r="B1454" s="24" t="s">
        <v>1875</v>
      </c>
      <c r="C1454" s="25">
        <v>0</v>
      </c>
      <c r="D1454" s="22" t="s">
        <v>2413</v>
      </c>
      <c r="E1454" s="22" t="s">
        <v>1244</v>
      </c>
      <c r="F1454" s="23" t="str">
        <f>HYPERLINK("https://www.spark-marketing.ru/Card/Lot/73486534", "Услуга охраны стационарного поста Производственная территория базы г. Альметьевск (согласно приложения 1)")</f>
        <v>Услуга охраны стационарного поста Производственная территория базы г. Альметьевск (согласно приложения 1)</v>
      </c>
      <c r="G1454" s="22" t="s">
        <v>204</v>
      </c>
      <c r="H1454" s="22" t="s">
        <v>308</v>
      </c>
      <c r="I1454" s="26">
        <v>43724.565625000003</v>
      </c>
      <c r="J1454" s="28" t="s">
        <v>52</v>
      </c>
      <c r="K1454" s="28" t="s">
        <v>52</v>
      </c>
      <c r="L1454" s="28" t="s">
        <v>52</v>
      </c>
      <c r="M1454" s="28" t="s">
        <v>52</v>
      </c>
      <c r="N1454" s="28" t="s">
        <v>52</v>
      </c>
    </row>
    <row r="1455" spans="1:14" x14ac:dyDescent="0.15">
      <c r="A1455" s="23" t="str">
        <f>HYPERLINK("https://www.spark-marketing.ru/Card/Person/4365531", "ООО ""УК ""ТАТБУРНЕФТЬ""")</f>
        <v>ООО "УК "ТАТБУРНЕФТЬ"</v>
      </c>
      <c r="B1455" s="24" t="s">
        <v>1875</v>
      </c>
      <c r="C1455" s="25">
        <v>0</v>
      </c>
      <c r="D1455" s="22" t="s">
        <v>2413</v>
      </c>
      <c r="E1455" s="22" t="s">
        <v>1244</v>
      </c>
      <c r="F1455" s="23" t="str">
        <f>HYPERLINK("https://www.spark-marketing.ru/Card/Lot/73486542", "Услуга охраны стационарного поста Административное здание ПБР г. Нурлат (согласно приложения 1)")</f>
        <v>Услуга охраны стационарного поста Административное здание ПБР г. Нурлат (согласно приложения 1)</v>
      </c>
      <c r="G1455" s="22" t="s">
        <v>204</v>
      </c>
      <c r="H1455" s="22" t="s">
        <v>308</v>
      </c>
      <c r="I1455" s="26">
        <v>43724.565625000003</v>
      </c>
      <c r="J1455" s="28" t="s">
        <v>52</v>
      </c>
      <c r="K1455" s="28" t="s">
        <v>52</v>
      </c>
      <c r="L1455" s="28" t="s">
        <v>52</v>
      </c>
      <c r="M1455" s="28" t="s">
        <v>52</v>
      </c>
      <c r="N1455" s="28" t="s">
        <v>52</v>
      </c>
    </row>
    <row r="1456" spans="1:14" x14ac:dyDescent="0.15">
      <c r="A1456" s="23" t="str">
        <f>HYPERLINK("https://www.spark-marketing.ru/Card/Person/741795", "МАОУ ГИМНАЗИЯ № 17 Г.БЕЛОРЕЦК")</f>
        <v>МАОУ ГИМНАЗИЯ № 17 Г.БЕЛОРЕЦК</v>
      </c>
      <c r="B1456" s="24" t="s">
        <v>849</v>
      </c>
      <c r="C1456" s="25">
        <v>144000</v>
      </c>
      <c r="D1456" s="22" t="s">
        <v>2418</v>
      </c>
      <c r="E1456" s="22" t="s">
        <v>144</v>
      </c>
      <c r="F1456" s="23" t="str">
        <f>HYPERLINK("https://www.spark-marketing.ru/Card/Lot/73475585", "Услуги по физической охране объектов Заказчика.")</f>
        <v>Услуги по физической охране объектов Заказчика.</v>
      </c>
      <c r="G1456" s="22" t="s">
        <v>100</v>
      </c>
      <c r="H1456" s="22" t="s">
        <v>100</v>
      </c>
      <c r="I1456" s="26">
        <v>43724</v>
      </c>
      <c r="J1456" s="28" t="s">
        <v>52</v>
      </c>
      <c r="K1456" s="28" t="s">
        <v>52</v>
      </c>
      <c r="L1456" s="28" t="s">
        <v>52</v>
      </c>
      <c r="M1456" s="28" t="s">
        <v>52</v>
      </c>
      <c r="N1456" s="28" t="s">
        <v>52</v>
      </c>
    </row>
    <row r="1457" spans="1:14" x14ac:dyDescent="0.15">
      <c r="A1457" s="23" t="str">
        <f>HYPERLINK("https://www.spark-marketing.ru/Card/Person/4365531", "ООО ""УК ""ТАТБУРНЕФТЬ""")</f>
        <v>ООО "УК "ТАТБУРНЕФТЬ"</v>
      </c>
      <c r="B1457" s="24" t="s">
        <v>1875</v>
      </c>
      <c r="C1457" s="25">
        <v>0</v>
      </c>
      <c r="D1457" s="22" t="s">
        <v>2413</v>
      </c>
      <c r="E1457" s="22" t="s">
        <v>1244</v>
      </c>
      <c r="F1457" s="23" t="str">
        <f>HYPERLINK("https://www.spark-marketing.ru/Card/Lot/73486589", "Услуга охраны полевого объекта Российская Федерация, Республика Башкортостан (согласно приложения 1)")</f>
        <v>Услуга охраны полевого объекта Российская Федерация, Республика Башкортостан (согласно приложения 1)</v>
      </c>
      <c r="G1457" s="22" t="s">
        <v>204</v>
      </c>
      <c r="H1457" s="22" t="s">
        <v>308</v>
      </c>
      <c r="I1457" s="26">
        <v>43724.565625000003</v>
      </c>
      <c r="J1457" s="28" t="s">
        <v>52</v>
      </c>
      <c r="K1457" s="28" t="s">
        <v>52</v>
      </c>
      <c r="L1457" s="28" t="s">
        <v>52</v>
      </c>
      <c r="M1457" s="28" t="s">
        <v>52</v>
      </c>
      <c r="N1457" s="28" t="s">
        <v>52</v>
      </c>
    </row>
    <row r="1458" spans="1:14" x14ac:dyDescent="0.15">
      <c r="A1458" s="23" t="str">
        <f>HYPERLINK("https://www.spark-marketing.ru/Card/Person/4365531", "ООО ""УК ""ТАТБУРНЕФТЬ""")</f>
        <v>ООО "УК "ТАТБУРНЕФТЬ"</v>
      </c>
      <c r="B1458" s="24" t="s">
        <v>1875</v>
      </c>
      <c r="C1458" s="25">
        <v>0</v>
      </c>
      <c r="D1458" s="22" t="s">
        <v>2419</v>
      </c>
      <c r="E1458" s="22" t="s">
        <v>2420</v>
      </c>
      <c r="F1458" s="23" t="str">
        <f>HYPERLINK("https://www.spark-marketing.ru/Card/Lot/73479172", "Обслуживание и поддержание работоспособности одной системы видеонаблюдения во время бурения за месяц (с учетом транспортных затрат в Оренбургской области)")</f>
        <v>Обслуживание и поддержание работоспособности одной системы видеонаблюдения во время бурения за месяц (с учетом транспортных затрат в Оренбургской области)</v>
      </c>
      <c r="G1458" s="22" t="s">
        <v>204</v>
      </c>
      <c r="H1458" s="22" t="s">
        <v>308</v>
      </c>
      <c r="I1458" s="26">
        <v>43724.489583333299</v>
      </c>
      <c r="J1458" s="28" t="s">
        <v>52</v>
      </c>
      <c r="K1458" s="28" t="s">
        <v>52</v>
      </c>
      <c r="L1458" s="28" t="s">
        <v>52</v>
      </c>
      <c r="M1458" s="28" t="s">
        <v>52</v>
      </c>
      <c r="N1458" s="28" t="s">
        <v>52</v>
      </c>
    </row>
    <row r="1459" spans="1:14" x14ac:dyDescent="0.15">
      <c r="A1459" s="23" t="str">
        <f>HYPERLINK("https://www.spark-marketing.ru/Card/Person/4365531", "ООО ""УК ""ТАТБУРНЕФТЬ""")</f>
        <v>ООО "УК "ТАТБУРНЕФТЬ"</v>
      </c>
      <c r="B1459" s="24" t="s">
        <v>1875</v>
      </c>
      <c r="C1459" s="25">
        <v>0</v>
      </c>
      <c r="D1459" s="22" t="s">
        <v>2413</v>
      </c>
      <c r="E1459" s="22" t="s">
        <v>1244</v>
      </c>
      <c r="F1459" s="23" t="str">
        <f>HYPERLINK("https://www.spark-marketing.ru/Card/Lot/73486578", "Услуга охраны стационарного поста БПО, адм. здание, производственные цеха, склады г. Лениногорск. Режим охраны 24 часа (с функцией патрулирования) (согласно приложения 1)")</f>
        <v>Услуга охраны стационарного поста БПО, адм. здание, производственные цеха, склады г. Лениногорск. Режим охраны 24 часа (с функцией патрулирования) (согласно приложения 1)</v>
      </c>
      <c r="G1459" s="22" t="s">
        <v>204</v>
      </c>
      <c r="H1459" s="22" t="s">
        <v>308</v>
      </c>
      <c r="I1459" s="26">
        <v>43724.565625000003</v>
      </c>
      <c r="J1459" s="28" t="s">
        <v>52</v>
      </c>
      <c r="K1459" s="28" t="s">
        <v>52</v>
      </c>
      <c r="L1459" s="28" t="s">
        <v>52</v>
      </c>
      <c r="M1459" s="28" t="s">
        <v>52</v>
      </c>
      <c r="N1459" s="28" t="s">
        <v>52</v>
      </c>
    </row>
    <row r="1460" spans="1:14" x14ac:dyDescent="0.15">
      <c r="A1460" s="23" t="str">
        <f>HYPERLINK("https://www.spark-marketing.ru/Card/Person/31865", "АО ""ОКБМ АФРИКАНТОВ""")</f>
        <v>АО "ОКБМ АФРИКАНТОВ"</v>
      </c>
      <c r="B1460" s="24" t="s">
        <v>752</v>
      </c>
      <c r="C1460" s="28" t="s">
        <v>52</v>
      </c>
      <c r="D1460" s="22" t="s">
        <v>2421</v>
      </c>
      <c r="E1460" s="22" t="s">
        <v>53</v>
      </c>
      <c r="F1460" s="23" t="str">
        <f>HYPERLINK("https://www.spark-marketing.ru/Card/Lot/73486563", "Оказание услуг по охране общественного порядка, имущества и здания Общежития АО «ОКБМ Африкантов», г. Нижний Новгород, ул. Шаляпина, 17 (1343223)")</f>
        <v>Оказание услуг по охране общественного порядка, имущества и здания Общежития АО «ОКБМ Африкантов», г. Нижний Новгород, ул. Шаляпина, 17 (1343223)</v>
      </c>
      <c r="G1460" s="22" t="s">
        <v>64</v>
      </c>
      <c r="H1460" s="22" t="s">
        <v>65</v>
      </c>
      <c r="I1460" s="26">
        <v>43724.606423611098</v>
      </c>
      <c r="J1460" s="28" t="s">
        <v>52</v>
      </c>
      <c r="K1460" s="28" t="s">
        <v>52</v>
      </c>
      <c r="L1460" s="28" t="s">
        <v>52</v>
      </c>
      <c r="M1460" s="28" t="s">
        <v>52</v>
      </c>
      <c r="N1460" s="28" t="s">
        <v>52</v>
      </c>
    </row>
    <row r="1461" spans="1:14" x14ac:dyDescent="0.15">
      <c r="A1461" s="23" t="str">
        <f t="shared" ref="A1461:A1486" si="55">HYPERLINK("https://www.spark-marketing.ru/Card/Person/4365531", "ООО ""УК ""ТАТБУРНЕФТЬ""")</f>
        <v>ООО "УК "ТАТБУРНЕФТЬ"</v>
      </c>
      <c r="B1461" s="24" t="s">
        <v>1875</v>
      </c>
      <c r="C1461" s="25">
        <v>0</v>
      </c>
      <c r="D1461" s="22" t="s">
        <v>2419</v>
      </c>
      <c r="E1461" s="22" t="s">
        <v>2420</v>
      </c>
      <c r="F1461" s="23" t="str">
        <f>HYPERLINK("https://www.spark-marketing.ru/Card/Lot/73479168", "Обслуживание и поддержание работоспособности одной системы видеонаблюдения во время бурения за месяц (с учетом транспортных затрат в республике Татарстан)")</f>
        <v>Обслуживание и поддержание работоспособности одной системы видеонаблюдения во время бурения за месяц (с учетом транспортных затрат в республике Татарстан)</v>
      </c>
      <c r="G1461" s="22" t="s">
        <v>204</v>
      </c>
      <c r="H1461" s="22" t="s">
        <v>308</v>
      </c>
      <c r="I1461" s="26">
        <v>43724.489583333299</v>
      </c>
      <c r="J1461" s="28" t="s">
        <v>52</v>
      </c>
      <c r="K1461" s="28" t="s">
        <v>52</v>
      </c>
      <c r="L1461" s="28" t="s">
        <v>52</v>
      </c>
      <c r="M1461" s="28" t="s">
        <v>52</v>
      </c>
      <c r="N1461" s="28" t="s">
        <v>52</v>
      </c>
    </row>
    <row r="1462" spans="1:14" x14ac:dyDescent="0.15">
      <c r="A1462" s="23" t="str">
        <f t="shared" si="55"/>
        <v>ООО "УК "ТАТБУРНЕФТЬ"</v>
      </c>
      <c r="B1462" s="24" t="s">
        <v>1875</v>
      </c>
      <c r="C1462" s="25">
        <v>0</v>
      </c>
      <c r="D1462" s="22" t="s">
        <v>2419</v>
      </c>
      <c r="E1462" s="22" t="s">
        <v>2420</v>
      </c>
      <c r="F1462" s="23" t="str">
        <f>HYPERLINK("https://www.spark-marketing.ru/Card/Lot/73479209", "ЗИП (стоимость указать в приложении № 2 к спецификации)")</f>
        <v>ЗИП (стоимость указать в приложении № 2 к спецификации)</v>
      </c>
      <c r="G1462" s="22" t="s">
        <v>204</v>
      </c>
      <c r="H1462" s="22" t="s">
        <v>308</v>
      </c>
      <c r="I1462" s="26">
        <v>43724.489583333299</v>
      </c>
      <c r="J1462" s="28" t="s">
        <v>52</v>
      </c>
      <c r="K1462" s="28" t="s">
        <v>52</v>
      </c>
      <c r="L1462" s="28" t="s">
        <v>52</v>
      </c>
      <c r="M1462" s="28" t="s">
        <v>52</v>
      </c>
      <c r="N1462" s="28" t="s">
        <v>52</v>
      </c>
    </row>
    <row r="1463" spans="1:14" x14ac:dyDescent="0.15">
      <c r="A1463" s="23" t="str">
        <f t="shared" si="55"/>
        <v>ООО "УК "ТАТБУРНЕФТЬ"</v>
      </c>
      <c r="B1463" s="24" t="s">
        <v>1875</v>
      </c>
      <c r="C1463" s="25">
        <v>0</v>
      </c>
      <c r="D1463" s="22" t="s">
        <v>2413</v>
      </c>
      <c r="E1463" s="22" t="s">
        <v>1244</v>
      </c>
      <c r="F1463" s="23" t="str">
        <f>HYPERLINK("https://www.spark-marketing.ru/Card/Lot/73486539", "Услуга охраны стационарного поста Альметьевский филиал ООО «Татбурнефть-ЛУТР» г. Альметьевск, Нижняя Мактама (согласно приложения 1)")</f>
        <v>Услуга охраны стационарного поста Альметьевский филиал ООО «Татбурнефть-ЛУТР» г. Альметьевск, Нижняя Мактама (согласно приложения 1)</v>
      </c>
      <c r="G1463" s="22" t="s">
        <v>204</v>
      </c>
      <c r="H1463" s="22" t="s">
        <v>308</v>
      </c>
      <c r="I1463" s="26">
        <v>43724.565625000003</v>
      </c>
      <c r="J1463" s="28" t="s">
        <v>52</v>
      </c>
      <c r="K1463" s="28" t="s">
        <v>52</v>
      </c>
      <c r="L1463" s="28" t="s">
        <v>52</v>
      </c>
      <c r="M1463" s="28" t="s">
        <v>52</v>
      </c>
      <c r="N1463" s="28" t="s">
        <v>52</v>
      </c>
    </row>
    <row r="1464" spans="1:14" x14ac:dyDescent="0.15">
      <c r="A1464" s="23" t="str">
        <f t="shared" si="55"/>
        <v>ООО "УК "ТАТБУРНЕФТЬ"</v>
      </c>
      <c r="B1464" s="24" t="s">
        <v>1875</v>
      </c>
      <c r="C1464" s="25">
        <v>0</v>
      </c>
      <c r="D1464" s="22" t="s">
        <v>2413</v>
      </c>
      <c r="E1464" s="22" t="s">
        <v>1244</v>
      </c>
      <c r="F1464" s="23" t="str">
        <f>HYPERLINK("https://www.spark-marketing.ru/Card/Lot/73486580", "Услуга охраны стационарного поста Лениногорский цех, база г. Лениногорск (согласно приложения 1)")</f>
        <v>Услуга охраны стационарного поста Лениногорский цех, база г. Лениногорск (согласно приложения 1)</v>
      </c>
      <c r="G1464" s="22" t="s">
        <v>204</v>
      </c>
      <c r="H1464" s="22" t="s">
        <v>308</v>
      </c>
      <c r="I1464" s="26">
        <v>43724.565625000003</v>
      </c>
      <c r="J1464" s="28" t="s">
        <v>52</v>
      </c>
      <c r="K1464" s="28" t="s">
        <v>52</v>
      </c>
      <c r="L1464" s="28" t="s">
        <v>52</v>
      </c>
      <c r="M1464" s="28" t="s">
        <v>52</v>
      </c>
      <c r="N1464" s="28" t="s">
        <v>52</v>
      </c>
    </row>
    <row r="1465" spans="1:14" x14ac:dyDescent="0.15">
      <c r="A1465" s="23" t="str">
        <f t="shared" si="55"/>
        <v>ООО "УК "ТАТБУРНЕФТЬ"</v>
      </c>
      <c r="B1465" s="24" t="s">
        <v>1875</v>
      </c>
      <c r="C1465" s="25">
        <v>0</v>
      </c>
      <c r="D1465" s="22" t="s">
        <v>2419</v>
      </c>
      <c r="E1465" s="22" t="s">
        <v>2420</v>
      </c>
      <c r="F1465" s="23" t="str">
        <f>HYPERLINK("https://www.spark-marketing.ru/Card/Lot/73479206", "Обслуживание и поддержание работоспособности одной системы видеонаблюдения во время бурения за месяц (с учетом транспортных затрат в Удмуртской республике)")</f>
        <v>Обслуживание и поддержание работоспособности одной системы видеонаблюдения во время бурения за месяц (с учетом транспортных затрат в Удмуртской республике)</v>
      </c>
      <c r="G1465" s="22" t="s">
        <v>204</v>
      </c>
      <c r="H1465" s="22" t="s">
        <v>308</v>
      </c>
      <c r="I1465" s="26">
        <v>43724.489583333299</v>
      </c>
      <c r="J1465" s="28" t="s">
        <v>52</v>
      </c>
      <c r="K1465" s="28" t="s">
        <v>52</v>
      </c>
      <c r="L1465" s="28" t="s">
        <v>52</v>
      </c>
      <c r="M1465" s="28" t="s">
        <v>52</v>
      </c>
      <c r="N1465" s="28" t="s">
        <v>52</v>
      </c>
    </row>
    <row r="1466" spans="1:14" x14ac:dyDescent="0.15">
      <c r="A1466" s="23" t="str">
        <f t="shared" si="55"/>
        <v>ООО "УК "ТАТБУРНЕФТЬ"</v>
      </c>
      <c r="B1466" s="24" t="s">
        <v>1875</v>
      </c>
      <c r="C1466" s="25">
        <v>0</v>
      </c>
      <c r="D1466" s="22" t="s">
        <v>2413</v>
      </c>
      <c r="E1466" s="22" t="s">
        <v>1244</v>
      </c>
      <c r="F1466" s="23" t="str">
        <f>HYPERLINK("https://www.spark-marketing.ru/Card/Lot/73486533", "Услуга охраны стационарного поста Транспортные ворота №1, территория производственной базы г. Альметьевск (согласно приложения 1)")</f>
        <v>Услуга охраны стационарного поста Транспортные ворота №1, территория производственной базы г. Альметьевск (согласно приложения 1)</v>
      </c>
      <c r="G1466" s="22" t="s">
        <v>204</v>
      </c>
      <c r="H1466" s="22" t="s">
        <v>308</v>
      </c>
      <c r="I1466" s="26">
        <v>43724.565625000003</v>
      </c>
      <c r="J1466" s="28" t="s">
        <v>52</v>
      </c>
      <c r="K1466" s="28" t="s">
        <v>52</v>
      </c>
      <c r="L1466" s="28" t="s">
        <v>52</v>
      </c>
      <c r="M1466" s="28" t="s">
        <v>52</v>
      </c>
      <c r="N1466" s="28" t="s">
        <v>52</v>
      </c>
    </row>
    <row r="1467" spans="1:14" x14ac:dyDescent="0.15">
      <c r="A1467" s="23" t="str">
        <f t="shared" si="55"/>
        <v>ООО "УК "ТАТБУРНЕФТЬ"</v>
      </c>
      <c r="B1467" s="24" t="s">
        <v>1875</v>
      </c>
      <c r="C1467" s="25">
        <v>0</v>
      </c>
      <c r="D1467" s="22" t="s">
        <v>2413</v>
      </c>
      <c r="E1467" s="22" t="s">
        <v>1244</v>
      </c>
      <c r="F1467" s="23" t="str">
        <f>HYPERLINK("https://www.spark-marketing.ru/Card/Lot/73486544", "Услуга охраны стационарного поста Транспортные ворота г. Нурлат (согласно приложения 1)")</f>
        <v>Услуга охраны стационарного поста Транспортные ворота г. Нурлат (согласно приложения 1)</v>
      </c>
      <c r="G1467" s="22" t="s">
        <v>204</v>
      </c>
      <c r="H1467" s="22" t="s">
        <v>308</v>
      </c>
      <c r="I1467" s="26">
        <v>43724.565625000003</v>
      </c>
      <c r="J1467" s="28" t="s">
        <v>52</v>
      </c>
      <c r="K1467" s="28" t="s">
        <v>52</v>
      </c>
      <c r="L1467" s="28" t="s">
        <v>52</v>
      </c>
      <c r="M1467" s="28" t="s">
        <v>52</v>
      </c>
      <c r="N1467" s="28" t="s">
        <v>52</v>
      </c>
    </row>
    <row r="1468" spans="1:14" x14ac:dyDescent="0.15">
      <c r="A1468" s="23" t="str">
        <f t="shared" si="55"/>
        <v>ООО "УК "ТАТБУРНЕФТЬ"</v>
      </c>
      <c r="B1468" s="24" t="s">
        <v>1875</v>
      </c>
      <c r="C1468" s="25">
        <v>0</v>
      </c>
      <c r="D1468" s="22" t="s">
        <v>2413</v>
      </c>
      <c r="E1468" s="22" t="s">
        <v>1244</v>
      </c>
      <c r="F1468" s="23" t="str">
        <f>HYPERLINK("https://www.spark-marketing.ru/Card/Lot/73486531", "Услуга охраны стационарного поста Производственной базы г. Азнакаево (согласно приложения 1)")</f>
        <v>Услуга охраны стационарного поста Производственной базы г. Азнакаево (согласно приложения 1)</v>
      </c>
      <c r="G1468" s="22" t="s">
        <v>204</v>
      </c>
      <c r="H1468" s="22" t="s">
        <v>308</v>
      </c>
      <c r="I1468" s="26">
        <v>43724.565625000003</v>
      </c>
      <c r="J1468" s="28" t="s">
        <v>52</v>
      </c>
      <c r="K1468" s="28" t="s">
        <v>52</v>
      </c>
      <c r="L1468" s="28" t="s">
        <v>52</v>
      </c>
      <c r="M1468" s="28" t="s">
        <v>52</v>
      </c>
      <c r="N1468" s="28" t="s">
        <v>52</v>
      </c>
    </row>
    <row r="1469" spans="1:14" x14ac:dyDescent="0.15">
      <c r="A1469" s="23" t="str">
        <f t="shared" si="55"/>
        <v>ООО "УК "ТАТБУРНЕФТЬ"</v>
      </c>
      <c r="B1469" s="24" t="s">
        <v>1875</v>
      </c>
      <c r="C1469" s="25">
        <v>0</v>
      </c>
      <c r="D1469" s="22" t="s">
        <v>2413</v>
      </c>
      <c r="E1469" s="22" t="s">
        <v>1244</v>
      </c>
      <c r="F1469" s="23" t="str">
        <f>HYPERLINK("https://www.spark-marketing.ru/Card/Lot/73486532", "Услуга охраны стационарного поста Азнакаевского растворного узла Азнакаевский район (согласно приложения 1)")</f>
        <v>Услуга охраны стационарного поста Азнакаевского растворного узла Азнакаевский район (согласно приложения 1)</v>
      </c>
      <c r="G1469" s="22" t="s">
        <v>204</v>
      </c>
      <c r="H1469" s="22" t="s">
        <v>308</v>
      </c>
      <c r="I1469" s="26">
        <v>43724.565625000003</v>
      </c>
      <c r="J1469" s="28" t="s">
        <v>52</v>
      </c>
      <c r="K1469" s="28" t="s">
        <v>52</v>
      </c>
      <c r="L1469" s="28" t="s">
        <v>52</v>
      </c>
      <c r="M1469" s="28" t="s">
        <v>52</v>
      </c>
      <c r="N1469" s="28" t="s">
        <v>52</v>
      </c>
    </row>
    <row r="1470" spans="1:14" x14ac:dyDescent="0.15">
      <c r="A1470" s="23" t="str">
        <f t="shared" si="55"/>
        <v>ООО "УК "ТАТБУРНЕФТЬ"</v>
      </c>
      <c r="B1470" s="24" t="s">
        <v>1875</v>
      </c>
      <c r="C1470" s="25">
        <v>0</v>
      </c>
      <c r="D1470" s="22" t="s">
        <v>2413</v>
      </c>
      <c r="E1470" s="22" t="s">
        <v>1244</v>
      </c>
      <c r="F1470" s="23" t="str">
        <f>HYPERLINK("https://www.spark-marketing.ru/Card/Lot/73486587", "Услуга охраны полевого объекта Российская Федерация, Оренбургская область (согласно приложения 1)")</f>
        <v>Услуга охраны полевого объекта Российская Федерация, Оренбургская область (согласно приложения 1)</v>
      </c>
      <c r="G1470" s="22" t="s">
        <v>204</v>
      </c>
      <c r="H1470" s="22" t="s">
        <v>308</v>
      </c>
      <c r="I1470" s="26">
        <v>43724.565625000003</v>
      </c>
      <c r="J1470" s="28" t="s">
        <v>52</v>
      </c>
      <c r="K1470" s="28" t="s">
        <v>52</v>
      </c>
      <c r="L1470" s="28" t="s">
        <v>52</v>
      </c>
      <c r="M1470" s="28" t="s">
        <v>52</v>
      </c>
      <c r="N1470" s="28" t="s">
        <v>52</v>
      </c>
    </row>
    <row r="1471" spans="1:14" x14ac:dyDescent="0.15">
      <c r="A1471" s="23" t="str">
        <f t="shared" si="55"/>
        <v>ООО "УК "ТАТБУРНЕФТЬ"</v>
      </c>
      <c r="B1471" s="24" t="s">
        <v>1875</v>
      </c>
      <c r="C1471" s="25">
        <v>0</v>
      </c>
      <c r="D1471" s="22" t="s">
        <v>2413</v>
      </c>
      <c r="E1471" s="22" t="s">
        <v>1244</v>
      </c>
      <c r="F1471" s="23" t="str">
        <f>HYPERLINK("https://www.spark-marketing.ru/Card/Lot/73486582", "Услуга охраны стационарного поста Лениногорский растворный узел г. Лениногорск (согласно приложения 1)")</f>
        <v>Услуга охраны стационарного поста Лениногорский растворный узел г. Лениногорск (согласно приложения 1)</v>
      </c>
      <c r="G1471" s="22" t="s">
        <v>204</v>
      </c>
      <c r="H1471" s="22" t="s">
        <v>308</v>
      </c>
      <c r="I1471" s="26">
        <v>43724.565625000003</v>
      </c>
      <c r="J1471" s="28" t="s">
        <v>52</v>
      </c>
      <c r="K1471" s="28" t="s">
        <v>52</v>
      </c>
      <c r="L1471" s="28" t="s">
        <v>52</v>
      </c>
      <c r="M1471" s="28" t="s">
        <v>52</v>
      </c>
      <c r="N1471" s="28" t="s">
        <v>52</v>
      </c>
    </row>
    <row r="1472" spans="1:14" x14ac:dyDescent="0.15">
      <c r="A1472" s="23" t="str">
        <f t="shared" si="55"/>
        <v>ООО "УК "ТАТБУРНЕФТЬ"</v>
      </c>
      <c r="B1472" s="24" t="s">
        <v>1875</v>
      </c>
      <c r="C1472" s="25">
        <v>0</v>
      </c>
      <c r="D1472" s="22" t="s">
        <v>2419</v>
      </c>
      <c r="E1472" s="22" t="s">
        <v>2420</v>
      </c>
      <c r="F1472" s="23" t="str">
        <f>HYPERLINK("https://www.spark-marketing.ru/Card/Lot/73479171", "Обслуживание и поддержание работоспособности одной системы видеонаблюдения во время бурения за месяц (с учетом транспортных затрат в Самарской области)")</f>
        <v>Обслуживание и поддержание работоспособности одной системы видеонаблюдения во время бурения за месяц (с учетом транспортных затрат в Самарской области)</v>
      </c>
      <c r="G1472" s="22" t="s">
        <v>204</v>
      </c>
      <c r="H1472" s="22" t="s">
        <v>308</v>
      </c>
      <c r="I1472" s="26">
        <v>43724.489583333299</v>
      </c>
      <c r="J1472" s="28" t="s">
        <v>52</v>
      </c>
      <c r="K1472" s="28" t="s">
        <v>52</v>
      </c>
      <c r="L1472" s="28" t="s">
        <v>52</v>
      </c>
      <c r="M1472" s="28" t="s">
        <v>52</v>
      </c>
      <c r="N1472" s="28" t="s">
        <v>52</v>
      </c>
    </row>
    <row r="1473" spans="1:14" x14ac:dyDescent="0.15">
      <c r="A1473" s="23" t="str">
        <f t="shared" si="55"/>
        <v>ООО "УК "ТАТБУРНЕФТЬ"</v>
      </c>
      <c r="B1473" s="24" t="s">
        <v>1875</v>
      </c>
      <c r="C1473" s="25">
        <v>0</v>
      </c>
      <c r="D1473" s="22" t="s">
        <v>2413</v>
      </c>
      <c r="E1473" s="22" t="s">
        <v>1244</v>
      </c>
      <c r="F1473" s="23" t="str">
        <f>HYPERLINK("https://www.spark-marketing.ru/Card/Lot/73486538", "Услуга охраны стационарного поста Административное здание ООО ""УК ""Татбурнефть"" г. Альметьевск Режим охраны 9 ч. в рабочие дни (с 8.00 до 17.00) (согласно приложения 1)")</f>
        <v>Услуга охраны стационарного поста Административное здание ООО "УК "Татбурнефть" г. Альметьевск Режим охраны 9 ч. в рабочие дни (с 8.00 до 17.00) (согласно приложения 1)</v>
      </c>
      <c r="G1473" s="22" t="s">
        <v>204</v>
      </c>
      <c r="H1473" s="22" t="s">
        <v>308</v>
      </c>
      <c r="I1473" s="26">
        <v>43724.565625000003</v>
      </c>
      <c r="J1473" s="28" t="s">
        <v>52</v>
      </c>
      <c r="K1473" s="28" t="s">
        <v>52</v>
      </c>
      <c r="L1473" s="28" t="s">
        <v>52</v>
      </c>
      <c r="M1473" s="28" t="s">
        <v>52</v>
      </c>
      <c r="N1473" s="28" t="s">
        <v>52</v>
      </c>
    </row>
    <row r="1474" spans="1:14" x14ac:dyDescent="0.15">
      <c r="A1474" s="23" t="str">
        <f t="shared" si="55"/>
        <v>ООО "УК "ТАТБУРНЕФТЬ"</v>
      </c>
      <c r="B1474" s="24" t="s">
        <v>1875</v>
      </c>
      <c r="C1474" s="25">
        <v>0</v>
      </c>
      <c r="D1474" s="22" t="s">
        <v>2413</v>
      </c>
      <c r="E1474" s="22" t="s">
        <v>1244</v>
      </c>
      <c r="F1474" s="23" t="str">
        <f>HYPERLINK("https://www.spark-marketing.ru/Card/Lot/73486540", "Услуга охраны стационарного поста Транспортные ворота г. Елабуга (согласно приложения 1)")</f>
        <v>Услуга охраны стационарного поста Транспортные ворота г. Елабуга (согласно приложения 1)</v>
      </c>
      <c r="G1474" s="22" t="s">
        <v>204</v>
      </c>
      <c r="H1474" s="22" t="s">
        <v>308</v>
      </c>
      <c r="I1474" s="26">
        <v>43724.565625000003</v>
      </c>
      <c r="J1474" s="28" t="s">
        <v>52</v>
      </c>
      <c r="K1474" s="28" t="s">
        <v>52</v>
      </c>
      <c r="L1474" s="28" t="s">
        <v>52</v>
      </c>
      <c r="M1474" s="28" t="s">
        <v>52</v>
      </c>
      <c r="N1474" s="28" t="s">
        <v>52</v>
      </c>
    </row>
    <row r="1475" spans="1:14" x14ac:dyDescent="0.15">
      <c r="A1475" s="23" t="str">
        <f t="shared" si="55"/>
        <v>ООО "УК "ТАТБУРНЕФТЬ"</v>
      </c>
      <c r="B1475" s="24" t="s">
        <v>1875</v>
      </c>
      <c r="C1475" s="25">
        <v>0</v>
      </c>
      <c r="D1475" s="22" t="s">
        <v>2419</v>
      </c>
      <c r="E1475" s="22" t="s">
        <v>2420</v>
      </c>
      <c r="F1475" s="23" t="str">
        <f>HYPERLINK("https://www.spark-marketing.ru/Card/Lot/73479170", "Обслуживание и поддержание работоспособности одной системы видеонаблюдения во время бурения за месяц (с учетом транспортных затрат в республике Башкортостан)")</f>
        <v>Обслуживание и поддержание работоспособности одной системы видеонаблюдения во время бурения за месяц (с учетом транспортных затрат в республике Башкортостан)</v>
      </c>
      <c r="G1475" s="22" t="s">
        <v>204</v>
      </c>
      <c r="H1475" s="22" t="s">
        <v>308</v>
      </c>
      <c r="I1475" s="26">
        <v>43724.489583333299</v>
      </c>
      <c r="J1475" s="28" t="s">
        <v>52</v>
      </c>
      <c r="K1475" s="28" t="s">
        <v>52</v>
      </c>
      <c r="L1475" s="28" t="s">
        <v>52</v>
      </c>
      <c r="M1475" s="28" t="s">
        <v>52</v>
      </c>
      <c r="N1475" s="28" t="s">
        <v>52</v>
      </c>
    </row>
    <row r="1476" spans="1:14" x14ac:dyDescent="0.15">
      <c r="A1476" s="23" t="str">
        <f t="shared" si="55"/>
        <v>ООО "УК "ТАТБУРНЕФТЬ"</v>
      </c>
      <c r="B1476" s="24" t="s">
        <v>1875</v>
      </c>
      <c r="C1476" s="25">
        <v>0</v>
      </c>
      <c r="D1476" s="22" t="s">
        <v>2413</v>
      </c>
      <c r="E1476" s="22" t="s">
        <v>1244</v>
      </c>
      <c r="F1476" s="23" t="str">
        <f>HYPERLINK("https://www.spark-marketing.ru/Card/Lot/73486586", "Услуга охраны полевого объекта Российская Федерация, Самарская область (согласно приложения 1)")</f>
        <v>Услуга охраны полевого объекта Российская Федерация, Самарская область (согласно приложения 1)</v>
      </c>
      <c r="G1476" s="22" t="s">
        <v>204</v>
      </c>
      <c r="H1476" s="22" t="s">
        <v>308</v>
      </c>
      <c r="I1476" s="26">
        <v>43724.565625000003</v>
      </c>
      <c r="J1476" s="28" t="s">
        <v>52</v>
      </c>
      <c r="K1476" s="28" t="s">
        <v>52</v>
      </c>
      <c r="L1476" s="28" t="s">
        <v>52</v>
      </c>
      <c r="M1476" s="28" t="s">
        <v>52</v>
      </c>
      <c r="N1476" s="28" t="s">
        <v>52</v>
      </c>
    </row>
    <row r="1477" spans="1:14" x14ac:dyDescent="0.15">
      <c r="A1477" s="23" t="str">
        <f t="shared" si="55"/>
        <v>ООО "УК "ТАТБУРНЕФТЬ"</v>
      </c>
      <c r="B1477" s="24" t="s">
        <v>1875</v>
      </c>
      <c r="C1477" s="25">
        <v>0</v>
      </c>
      <c r="D1477" s="22" t="s">
        <v>2413</v>
      </c>
      <c r="E1477" s="22" t="s">
        <v>1244</v>
      </c>
      <c r="F1477" s="23" t="str">
        <f>HYPERLINK("https://www.spark-marketing.ru/Card/Lot/73486581", "Услуга охраны стационарного поста Административное здание ООО ""Татбурнефть-ЛУТР"" г. Лениногорск (согласно приложения 1)")</f>
        <v>Услуга охраны стационарного поста Административное здание ООО "Татбурнефть-ЛУТР" г. Лениногорск (согласно приложения 1)</v>
      </c>
      <c r="G1477" s="22" t="s">
        <v>204</v>
      </c>
      <c r="H1477" s="22" t="s">
        <v>308</v>
      </c>
      <c r="I1477" s="26">
        <v>43724.565625000003</v>
      </c>
      <c r="J1477" s="28" t="s">
        <v>52</v>
      </c>
      <c r="K1477" s="28" t="s">
        <v>52</v>
      </c>
      <c r="L1477" s="28" t="s">
        <v>52</v>
      </c>
      <c r="M1477" s="28" t="s">
        <v>52</v>
      </c>
      <c r="N1477" s="28" t="s">
        <v>52</v>
      </c>
    </row>
    <row r="1478" spans="1:14" x14ac:dyDescent="0.15">
      <c r="A1478" s="23" t="str">
        <f t="shared" si="55"/>
        <v>ООО "УК "ТАТБУРНЕФТЬ"</v>
      </c>
      <c r="B1478" s="24" t="s">
        <v>1875</v>
      </c>
      <c r="C1478" s="25">
        <v>0</v>
      </c>
      <c r="D1478" s="22" t="s">
        <v>2419</v>
      </c>
      <c r="E1478" s="22" t="s">
        <v>2420</v>
      </c>
      <c r="F1478" s="23" t="str">
        <f>HYPERLINK("https://www.spark-marketing.ru/Card/Lot/73479207", "Обслуживание и поддержание работоспособности одной системы видеонаблюдения во время бурения за месяц (с учетом транспортных затрат в Пермском крае)")</f>
        <v>Обслуживание и поддержание работоспособности одной системы видеонаблюдения во время бурения за месяц (с учетом транспортных затрат в Пермском крае)</v>
      </c>
      <c r="G1478" s="22" t="s">
        <v>204</v>
      </c>
      <c r="H1478" s="22" t="s">
        <v>308</v>
      </c>
      <c r="I1478" s="26">
        <v>43724.489583333299</v>
      </c>
      <c r="J1478" s="28" t="s">
        <v>52</v>
      </c>
      <c r="K1478" s="28" t="s">
        <v>52</v>
      </c>
      <c r="L1478" s="28" t="s">
        <v>52</v>
      </c>
      <c r="M1478" s="28" t="s">
        <v>52</v>
      </c>
      <c r="N1478" s="28" t="s">
        <v>52</v>
      </c>
    </row>
    <row r="1479" spans="1:14" x14ac:dyDescent="0.15">
      <c r="A1479" s="23" t="str">
        <f t="shared" si="55"/>
        <v>ООО "УК "ТАТБУРНЕФТЬ"</v>
      </c>
      <c r="B1479" s="24" t="s">
        <v>1875</v>
      </c>
      <c r="C1479" s="25">
        <v>0</v>
      </c>
      <c r="D1479" s="22" t="s">
        <v>2413</v>
      </c>
      <c r="E1479" s="22" t="s">
        <v>1244</v>
      </c>
      <c r="F1479" s="23" t="str">
        <f>HYPERLINK("https://www.spark-marketing.ru/Card/Lot/73486537", "Услуга охраны стационарного поста Административное здание ООО ""УК ""Татбурнефть"" г. Альметьевск. Режим охраны 24 часа. (согласно приложения 1)")</f>
        <v>Услуга охраны стационарного поста Административное здание ООО "УК "Татбурнефть" г. Альметьевск. Режим охраны 24 часа. (согласно приложения 1)</v>
      </c>
      <c r="G1479" s="22" t="s">
        <v>204</v>
      </c>
      <c r="H1479" s="22" t="s">
        <v>308</v>
      </c>
      <c r="I1479" s="26">
        <v>43724.565625000003</v>
      </c>
      <c r="J1479" s="28" t="s">
        <v>52</v>
      </c>
      <c r="K1479" s="28" t="s">
        <v>52</v>
      </c>
      <c r="L1479" s="28" t="s">
        <v>52</v>
      </c>
      <c r="M1479" s="28" t="s">
        <v>52</v>
      </c>
      <c r="N1479" s="28" t="s">
        <v>52</v>
      </c>
    </row>
    <row r="1480" spans="1:14" x14ac:dyDescent="0.15">
      <c r="A1480" s="23" t="str">
        <f t="shared" si="55"/>
        <v>ООО "УК "ТАТБУРНЕФТЬ"</v>
      </c>
      <c r="B1480" s="24" t="s">
        <v>1875</v>
      </c>
      <c r="C1480" s="25">
        <v>0</v>
      </c>
      <c r="D1480" s="22" t="s">
        <v>2413</v>
      </c>
      <c r="E1480" s="22" t="s">
        <v>1244</v>
      </c>
      <c r="F1480" s="23" t="str">
        <f>HYPERLINK("https://www.spark-marketing.ru/Card/Lot/73486577", "Услуга охраны стационарного поста БПО, адм. здание, производственные цеха, склады г. Лениногорск. Режим охраны 12/10 (с 06.00 до 20.00 в рабочие дни и с 06.00 до 16.00 в выходные и праздничные дни) (согласно приложения 1)")</f>
        <v>Услуга охраны стационарного поста БПО, адм. здание, производственные цеха, склады г. Лениногорск. Режим охраны 12/10 (с 06.00 до 20.00 в рабочие дни и с 06.00 до 16.00 в выходные и праздничные дни) (согласно приложения 1)</v>
      </c>
      <c r="G1480" s="22" t="s">
        <v>204</v>
      </c>
      <c r="H1480" s="22" t="s">
        <v>308</v>
      </c>
      <c r="I1480" s="26">
        <v>43724.565625000003</v>
      </c>
      <c r="J1480" s="28" t="s">
        <v>52</v>
      </c>
      <c r="K1480" s="28" t="s">
        <v>52</v>
      </c>
      <c r="L1480" s="28" t="s">
        <v>52</v>
      </c>
      <c r="M1480" s="28" t="s">
        <v>52</v>
      </c>
      <c r="N1480" s="28" t="s">
        <v>52</v>
      </c>
    </row>
    <row r="1481" spans="1:14" x14ac:dyDescent="0.15">
      <c r="A1481" s="23" t="str">
        <f t="shared" si="55"/>
        <v>ООО "УК "ТАТБУРНЕФТЬ"</v>
      </c>
      <c r="B1481" s="24" t="s">
        <v>1875</v>
      </c>
      <c r="C1481" s="25">
        <v>0</v>
      </c>
      <c r="D1481" s="22" t="s">
        <v>2413</v>
      </c>
      <c r="E1481" s="22" t="s">
        <v>1244</v>
      </c>
      <c r="F1481" s="23" t="str">
        <f>HYPERLINK("https://www.spark-marketing.ru/Card/Lot/73486530", "Услуга охраны стационарного поста Административное здание ПБР, г. Азнакаево (согласно приложения 1)")</f>
        <v>Услуга охраны стационарного поста Административное здание ПБР, г. Азнакаево (согласно приложения 1)</v>
      </c>
      <c r="G1481" s="22" t="s">
        <v>204</v>
      </c>
      <c r="H1481" s="22" t="s">
        <v>308</v>
      </c>
      <c r="I1481" s="26">
        <v>43724.565625000003</v>
      </c>
      <c r="J1481" s="28" t="s">
        <v>52</v>
      </c>
      <c r="K1481" s="28" t="s">
        <v>52</v>
      </c>
      <c r="L1481" s="28" t="s">
        <v>52</v>
      </c>
      <c r="M1481" s="28" t="s">
        <v>52</v>
      </c>
      <c r="N1481" s="28" t="s">
        <v>52</v>
      </c>
    </row>
    <row r="1482" spans="1:14" x14ac:dyDescent="0.15">
      <c r="A1482" s="23" t="str">
        <f t="shared" si="55"/>
        <v>ООО "УК "ТАТБУРНЕФТЬ"</v>
      </c>
      <c r="B1482" s="24" t="s">
        <v>1875</v>
      </c>
      <c r="C1482" s="25">
        <v>0</v>
      </c>
      <c r="D1482" s="22" t="s">
        <v>2413</v>
      </c>
      <c r="E1482" s="22" t="s">
        <v>1244</v>
      </c>
      <c r="F1482" s="23" t="str">
        <f>HYPERLINK("https://www.spark-marketing.ru/Card/Lot/73486541", "Услуга охраны стационарного поста Территория производственной базы ЦЭО, ПБР, ПВР г. Елабуга (согласно приложения 1)")</f>
        <v>Услуга охраны стационарного поста Территория производственной базы ЦЭО, ПБР, ПВР г. Елабуга (согласно приложения 1)</v>
      </c>
      <c r="G1482" s="22" t="s">
        <v>204</v>
      </c>
      <c r="H1482" s="22" t="s">
        <v>308</v>
      </c>
      <c r="I1482" s="26">
        <v>43724.565625000003</v>
      </c>
      <c r="J1482" s="28" t="s">
        <v>52</v>
      </c>
      <c r="K1482" s="28" t="s">
        <v>52</v>
      </c>
      <c r="L1482" s="28" t="s">
        <v>52</v>
      </c>
      <c r="M1482" s="28" t="s">
        <v>52</v>
      </c>
      <c r="N1482" s="28" t="s">
        <v>52</v>
      </c>
    </row>
    <row r="1483" spans="1:14" x14ac:dyDescent="0.15">
      <c r="A1483" s="23" t="str">
        <f t="shared" si="55"/>
        <v>ООО "УК "ТАТБУРНЕФТЬ"</v>
      </c>
      <c r="B1483" s="24" t="s">
        <v>1875</v>
      </c>
      <c r="C1483" s="25">
        <v>0</v>
      </c>
      <c r="D1483" s="22" t="s">
        <v>2413</v>
      </c>
      <c r="E1483" s="22" t="s">
        <v>1244</v>
      </c>
      <c r="F1483" s="23" t="str">
        <f>HYPERLINK("https://www.spark-marketing.ru/Card/Lot/73486545", "Услуга охраны стационарного поста Здание гаража г. Нурлат (согласно приложения 1)")</f>
        <v>Услуга охраны стационарного поста Здание гаража г. Нурлат (согласно приложения 1)</v>
      </c>
      <c r="G1483" s="22" t="s">
        <v>204</v>
      </c>
      <c r="H1483" s="22" t="s">
        <v>308</v>
      </c>
      <c r="I1483" s="26">
        <v>43724.565625000003</v>
      </c>
      <c r="J1483" s="28" t="s">
        <v>52</v>
      </c>
      <c r="K1483" s="28" t="s">
        <v>52</v>
      </c>
      <c r="L1483" s="28" t="s">
        <v>52</v>
      </c>
      <c r="M1483" s="28" t="s">
        <v>52</v>
      </c>
      <c r="N1483" s="28" t="s">
        <v>52</v>
      </c>
    </row>
    <row r="1484" spans="1:14" x14ac:dyDescent="0.15">
      <c r="A1484" s="23" t="str">
        <f t="shared" si="55"/>
        <v>ООО "УК "ТАТБУРНЕФТЬ"</v>
      </c>
      <c r="B1484" s="24" t="s">
        <v>1875</v>
      </c>
      <c r="C1484" s="25">
        <v>0</v>
      </c>
      <c r="D1484" s="22" t="s">
        <v>2413</v>
      </c>
      <c r="E1484" s="22" t="s">
        <v>1244</v>
      </c>
      <c r="F1484" s="23" t="str">
        <f>HYPERLINK("https://www.spark-marketing.ru/Card/Lot/73486585", "Услуга охраны полевого объекта Республика Татарстан, территория иных нефтедобывающих компаний (не ПАО «Татнефть») (согласно приложения 1)")</f>
        <v>Услуга охраны полевого объекта Республика Татарстан, территория иных нефтедобывающих компаний (не ПАО «Татнефть») (согласно приложения 1)</v>
      </c>
      <c r="G1484" s="22" t="s">
        <v>204</v>
      </c>
      <c r="H1484" s="22" t="s">
        <v>308</v>
      </c>
      <c r="I1484" s="26">
        <v>43724.565625000003</v>
      </c>
      <c r="J1484" s="28" t="s">
        <v>52</v>
      </c>
      <c r="K1484" s="28" t="s">
        <v>52</v>
      </c>
      <c r="L1484" s="28" t="s">
        <v>52</v>
      </c>
      <c r="M1484" s="28" t="s">
        <v>52</v>
      </c>
      <c r="N1484" s="28" t="s">
        <v>52</v>
      </c>
    </row>
    <row r="1485" spans="1:14" x14ac:dyDescent="0.15">
      <c r="A1485" s="23" t="str">
        <f t="shared" si="55"/>
        <v>ООО "УК "ТАТБУРНЕФТЬ"</v>
      </c>
      <c r="B1485" s="24" t="s">
        <v>1875</v>
      </c>
      <c r="C1485" s="25">
        <v>0</v>
      </c>
      <c r="D1485" s="22" t="s">
        <v>2413</v>
      </c>
      <c r="E1485" s="22" t="s">
        <v>1244</v>
      </c>
      <c r="F1485" s="23" t="str">
        <f>HYPERLINK("https://www.spark-marketing.ru/Card/Lot/73486584", "Услуга охраны полевого объекта Республика Татарстан, территория нефтедобывающих предприятий ПАО «Татнефть» (согласно приложения 1)")</f>
        <v>Услуга охраны полевого объекта Республика Татарстан, территория нефтедобывающих предприятий ПАО «Татнефть» (согласно приложения 1)</v>
      </c>
      <c r="G1485" s="22" t="s">
        <v>204</v>
      </c>
      <c r="H1485" s="22" t="s">
        <v>308</v>
      </c>
      <c r="I1485" s="26">
        <v>43724.565625000003</v>
      </c>
      <c r="J1485" s="28" t="s">
        <v>52</v>
      </c>
      <c r="K1485" s="28" t="s">
        <v>52</v>
      </c>
      <c r="L1485" s="28" t="s">
        <v>52</v>
      </c>
      <c r="M1485" s="28" t="s">
        <v>52</v>
      </c>
      <c r="N1485" s="28" t="s">
        <v>52</v>
      </c>
    </row>
    <row r="1486" spans="1:14" x14ac:dyDescent="0.15">
      <c r="A1486" s="23" t="str">
        <f t="shared" si="55"/>
        <v>ООО "УК "ТАТБУРНЕФТЬ"</v>
      </c>
      <c r="B1486" s="24" t="s">
        <v>1875</v>
      </c>
      <c r="C1486" s="25">
        <v>0</v>
      </c>
      <c r="D1486" s="22" t="s">
        <v>2419</v>
      </c>
      <c r="E1486" s="22" t="s">
        <v>2420</v>
      </c>
      <c r="F1486" s="23" t="str">
        <f>HYPERLINK("https://www.spark-marketing.ru/Card/Lot/73479169", "Увеличение зоны обслуживания на 1 видеокамеру")</f>
        <v>Увеличение зоны обслуживания на 1 видеокамеру</v>
      </c>
      <c r="G1486" s="22" t="s">
        <v>204</v>
      </c>
      <c r="H1486" s="22" t="s">
        <v>308</v>
      </c>
      <c r="I1486" s="26">
        <v>43724.489583333299</v>
      </c>
      <c r="J1486" s="28" t="s">
        <v>52</v>
      </c>
      <c r="K1486" s="28" t="s">
        <v>52</v>
      </c>
      <c r="L1486" s="28" t="s">
        <v>52</v>
      </c>
      <c r="M1486" s="28" t="s">
        <v>52</v>
      </c>
      <c r="N1486" s="28" t="s">
        <v>52</v>
      </c>
    </row>
    <row r="1487" spans="1:14" x14ac:dyDescent="0.15">
      <c r="A1487" s="23" t="str">
        <f>HYPERLINK("https://www.spark-marketing.ru/Card/Person/6219290", "ГБУ СО ""СЦ ГКО""")</f>
        <v>ГБУ СО "СЦ ГКО"</v>
      </c>
      <c r="B1487" s="24" t="s">
        <v>1823</v>
      </c>
      <c r="C1487" s="25">
        <v>61333.33</v>
      </c>
      <c r="D1487" s="22" t="s">
        <v>2422</v>
      </c>
      <c r="E1487" s="22" t="s">
        <v>59</v>
      </c>
      <c r="F1487" s="23" t="str">
        <f>HYPERLINK("https://www.spark-marketing.ru/Card/Lot/73444415", "Монтаж системы контроля доступа, тревожной сигнализации и кнопки вызова")</f>
        <v>Монтаж системы контроля доступа, тревожной сигнализации и кнопки вызова</v>
      </c>
      <c r="G1487" s="22" t="s">
        <v>69</v>
      </c>
      <c r="H1487" s="22" t="s">
        <v>973</v>
      </c>
      <c r="I1487" s="26">
        <v>43724.364583333299</v>
      </c>
      <c r="J1487" s="28" t="s">
        <v>52</v>
      </c>
      <c r="K1487" s="28" t="s">
        <v>52</v>
      </c>
      <c r="L1487" s="28" t="s">
        <v>52</v>
      </c>
      <c r="M1487" s="28" t="s">
        <v>52</v>
      </c>
      <c r="N1487" s="28" t="s">
        <v>52</v>
      </c>
    </row>
    <row r="1488" spans="1:14" x14ac:dyDescent="0.15">
      <c r="A1488" s="23" t="str">
        <f>HYPERLINK("https://www.spark-marketing.ru/Card/Person/4365531", "ООО ""УК ""ТАТБУРНЕФТЬ""")</f>
        <v>ООО "УК "ТАТБУРНЕФТЬ"</v>
      </c>
      <c r="B1488" s="24" t="s">
        <v>1875</v>
      </c>
      <c r="C1488" s="25">
        <v>0</v>
      </c>
      <c r="D1488" s="22" t="s">
        <v>2419</v>
      </c>
      <c r="E1488" s="22" t="s">
        <v>2420</v>
      </c>
      <c r="F1488" s="23" t="str">
        <f>HYPERLINK("https://www.spark-marketing.ru/Card/Lot/73479208", "Обслуживание и поддержание работоспособности одной системы видеонаблюдения во время бурения за месяц (с учетом транспортных затрат в Саратовской области)")</f>
        <v>Обслуживание и поддержание работоспособности одной системы видеонаблюдения во время бурения за месяц (с учетом транспортных затрат в Саратовской области)</v>
      </c>
      <c r="G1488" s="22" t="s">
        <v>204</v>
      </c>
      <c r="H1488" s="22" t="s">
        <v>308</v>
      </c>
      <c r="I1488" s="26">
        <v>43724.489583333299</v>
      </c>
      <c r="J1488" s="28" t="s">
        <v>52</v>
      </c>
      <c r="K1488" s="28" t="s">
        <v>52</v>
      </c>
      <c r="L1488" s="28" t="s">
        <v>52</v>
      </c>
      <c r="M1488" s="28" t="s">
        <v>52</v>
      </c>
      <c r="N1488" s="28" t="s">
        <v>52</v>
      </c>
    </row>
    <row r="1489" spans="1:14" x14ac:dyDescent="0.15">
      <c r="A1489" s="23" t="str">
        <f>HYPERLINK("https://www.spark-marketing.ru/Card/Person/4365531", "ООО ""УК ""ТАТБУРНЕФТЬ""")</f>
        <v>ООО "УК "ТАТБУРНЕФТЬ"</v>
      </c>
      <c r="B1489" s="24" t="s">
        <v>1875</v>
      </c>
      <c r="C1489" s="25">
        <v>0</v>
      </c>
      <c r="D1489" s="22" t="s">
        <v>2413</v>
      </c>
      <c r="E1489" s="22" t="s">
        <v>1244</v>
      </c>
      <c r="F1489" s="23" t="str">
        <f>HYPERLINK("https://www.spark-marketing.ru/Card/Lot/73486535", "Услуга охраны стационарного поста Транспортные ворота №2 г. Альметьевск (с проверкой автотранспорта при въезде и выезде, проверка на наличие постоянных пропусков и оформление разовых пропусков) согласно приложения 1")</f>
        <v>Услуга охраны стационарного поста Транспортные ворота №2 г. Альметьевск (с проверкой автотранспорта при въезде и выезде, проверка на наличие постоянных пропусков и оформление разовых пропусков) согласно приложения 1</v>
      </c>
      <c r="G1489" s="22" t="s">
        <v>204</v>
      </c>
      <c r="H1489" s="22" t="s">
        <v>308</v>
      </c>
      <c r="I1489" s="26">
        <v>43724.565625000003</v>
      </c>
      <c r="J1489" s="28" t="s">
        <v>52</v>
      </c>
      <c r="K1489" s="28" t="s">
        <v>52</v>
      </c>
      <c r="L1489" s="28" t="s">
        <v>52</v>
      </c>
      <c r="M1489" s="28" t="s">
        <v>52</v>
      </c>
      <c r="N1489" s="28" t="s">
        <v>52</v>
      </c>
    </row>
    <row r="1490" spans="1:14" x14ac:dyDescent="0.15">
      <c r="A1490" s="23" t="str">
        <f>HYPERLINK("https://www.spark-marketing.ru/Card/Person/4365531", "ООО ""УК ""ТАТБУРНЕФТЬ""")</f>
        <v>ООО "УК "ТАТБУРНЕФТЬ"</v>
      </c>
      <c r="B1490" s="24" t="s">
        <v>1875</v>
      </c>
      <c r="C1490" s="25">
        <v>0</v>
      </c>
      <c r="D1490" s="22" t="s">
        <v>2413</v>
      </c>
      <c r="E1490" s="22" t="s">
        <v>1244</v>
      </c>
      <c r="F1490" s="23" t="str">
        <f>HYPERLINK("https://www.spark-marketing.ru/Card/Lot/73486546", "Услуга охраны стационарного поста Административное здание, производственные цеха, склады г. Лениногорск (согласно приложения 1)")</f>
        <v>Услуга охраны стационарного поста Административное здание, производственные цеха, склады г. Лениногорск (согласно приложения 1)</v>
      </c>
      <c r="G1490" s="22" t="s">
        <v>204</v>
      </c>
      <c r="H1490" s="22" t="s">
        <v>308</v>
      </c>
      <c r="I1490" s="26">
        <v>43724.565625000003</v>
      </c>
      <c r="J1490" s="28" t="s">
        <v>52</v>
      </c>
      <c r="K1490" s="28" t="s">
        <v>52</v>
      </c>
      <c r="L1490" s="28" t="s">
        <v>52</v>
      </c>
      <c r="M1490" s="28" t="s">
        <v>52</v>
      </c>
      <c r="N1490" s="28" t="s">
        <v>52</v>
      </c>
    </row>
    <row r="1491" spans="1:14" x14ac:dyDescent="0.2">
      <c r="A1491" s="23" t="str">
        <f>HYPERLINK("https://www.spark-marketing.ru/Card/Person/4350012", "ООО ""УКС""")</f>
        <v>ООО "УКС"</v>
      </c>
      <c r="B1491" s="24" t="s">
        <v>2423</v>
      </c>
      <c r="C1491" s="25">
        <v>450701.02</v>
      </c>
      <c r="D1491" s="22" t="s">
        <v>2424</v>
      </c>
      <c r="E1491" s="22" t="s">
        <v>49</v>
      </c>
      <c r="F1491" s="23" t="str">
        <f>HYPERLINK("https://www.spark-marketing.ru/Card/Lot/73482287", "Открытый запрос предложений на право заключения договора на оказание услуг «Техническое обслуживание инженерно-технических средств охраны и защиты» для нужд ООО «УКС»")</f>
        <v>Открытый запрос предложений на право заключения договора на оказание услуг «Техническое обслуживание инженерно-технических средств охраны и защиты» для нужд ООО «УКС»</v>
      </c>
      <c r="G1491" s="22" t="s">
        <v>96</v>
      </c>
      <c r="H1491" s="22" t="s">
        <v>1342</v>
      </c>
      <c r="I1491" s="26">
        <v>43724</v>
      </c>
      <c r="J1491" s="28" t="s">
        <v>52</v>
      </c>
      <c r="K1491" s="28" t="s">
        <v>52</v>
      </c>
      <c r="L1491" s="28" t="s">
        <v>52</v>
      </c>
      <c r="M1491" s="25">
        <v>375584.18</v>
      </c>
      <c r="N1491" s="27">
        <v>0.16666667406255259</v>
      </c>
    </row>
    <row r="1492" spans="1:14" x14ac:dyDescent="0.2">
      <c r="A1492" s="23" t="str">
        <f>HYPERLINK("https://www.spark-marketing.ru/Card/Person/1027643", "МУ ДО ""ДМШ №2""")</f>
        <v>МУ ДО "ДМШ №2"</v>
      </c>
      <c r="B1492" s="24" t="s">
        <v>2425</v>
      </c>
      <c r="C1492" s="25">
        <v>106275.1</v>
      </c>
      <c r="D1492" s="22" t="s">
        <v>2426</v>
      </c>
      <c r="E1492" s="22" t="s">
        <v>691</v>
      </c>
      <c r="F1492" s="23" t="str">
        <f>HYPERLINK("https://www.spark-marketing.ru/Card/Lot/73486956", "Выполнение работ по установке системы видеонаблюдения в здании МУ ДО ""ДМШ № 2"" по адресу: Московская обл., Г.о. Подольск, г. Подольск, Красногвардейский бульвар, дом 35")</f>
        <v>Выполнение работ по установке системы видеонаблюдения в здании МУ ДО "ДМШ № 2" по адресу: Московская обл., Г.о. Подольск, г. Подольск, Красногвардейский бульвар, дом 35</v>
      </c>
      <c r="G1492" s="22" t="s">
        <v>50</v>
      </c>
      <c r="H1492" s="22" t="s">
        <v>50</v>
      </c>
      <c r="I1492" s="26">
        <v>43724</v>
      </c>
      <c r="J1492" s="28" t="s">
        <v>52</v>
      </c>
      <c r="K1492" s="28" t="s">
        <v>52</v>
      </c>
      <c r="L1492" s="28" t="s">
        <v>52</v>
      </c>
      <c r="M1492" s="25">
        <v>96000</v>
      </c>
      <c r="N1492" s="27">
        <v>9.6683983360166204E-2</v>
      </c>
    </row>
    <row r="1493" spans="1:14" x14ac:dyDescent="0.15">
      <c r="A1493" s="23" t="str">
        <f>HYPERLINK("https://www.spark-marketing.ru/Card/Person/4353214", "МБОУДО ""ДШИ ИМ.А.Н.ВЕРСТОВСКОГО""")</f>
        <v>МБОУДО "ДШИ ИМ.А.Н.ВЕРСТОВСКОГО"</v>
      </c>
      <c r="B1493" s="24" t="s">
        <v>2387</v>
      </c>
      <c r="C1493" s="25">
        <v>34000</v>
      </c>
      <c r="D1493" s="22" t="s">
        <v>2427</v>
      </c>
      <c r="E1493" s="22" t="s">
        <v>103</v>
      </c>
      <c r="F1493" s="23" t="str">
        <f>HYPERLINK("https://www.spark-marketing.ru/Card/Lot/73429099", "оказание услуг на техническое обслуживание системы видеонаблюдения в здании по адресу: Московская обл., г.о. Химки, ул. Нахимова, д.2.")</f>
        <v>оказание услуг на техническое обслуживание системы видеонаблюдения в здании по адресу: Московская обл., г.о. Химки, ул. Нахимова, д.2.</v>
      </c>
      <c r="G1493" s="22" t="s">
        <v>50</v>
      </c>
      <c r="H1493" s="22" t="s">
        <v>938</v>
      </c>
      <c r="I1493" s="26">
        <v>43723.732002314799</v>
      </c>
      <c r="J1493" s="28" t="s">
        <v>52</v>
      </c>
      <c r="K1493" s="28" t="s">
        <v>52</v>
      </c>
      <c r="L1493" s="28" t="s">
        <v>52</v>
      </c>
      <c r="M1493" s="28" t="s">
        <v>52</v>
      </c>
      <c r="N1493" s="28" t="s">
        <v>52</v>
      </c>
    </row>
    <row r="1494" spans="1:14" x14ac:dyDescent="0.15">
      <c r="A1494" s="23" t="str">
        <f>HYPERLINK("https://www.spark-marketing.ru/Card/Person/1066929", "МБУК ""ВЕРЕЙСКАЯ БИБЛИОТЕКА""")</f>
        <v>МБУК "ВЕРЕЙСКАЯ БИБЛИОТЕКА"</v>
      </c>
      <c r="B1494" s="24" t="s">
        <v>2428</v>
      </c>
      <c r="C1494" s="25">
        <v>26000</v>
      </c>
      <c r="D1494" s="22" t="s">
        <v>2429</v>
      </c>
      <c r="E1494" s="22" t="s">
        <v>208</v>
      </c>
      <c r="F1494" s="23" t="str">
        <f>HYPERLINK("https://www.spark-marketing.ru/Card/Lot/73412681", "Установка комплекса ТСО (тревожная кнопка)")</f>
        <v>Установка комплекса ТСО (тревожная кнопка)</v>
      </c>
      <c r="G1494" s="22" t="s">
        <v>50</v>
      </c>
      <c r="H1494" s="22" t="s">
        <v>2430</v>
      </c>
      <c r="I1494" s="26">
        <v>43721.805104166699</v>
      </c>
      <c r="J1494" s="28" t="s">
        <v>52</v>
      </c>
      <c r="K1494" s="28" t="s">
        <v>52</v>
      </c>
      <c r="L1494" s="28" t="s">
        <v>52</v>
      </c>
      <c r="M1494" s="28" t="s">
        <v>52</v>
      </c>
      <c r="N1494" s="28" t="s">
        <v>52</v>
      </c>
    </row>
    <row r="1495" spans="1:14" x14ac:dyDescent="0.15">
      <c r="A1495" s="23" t="str">
        <f>HYPERLINK("https://www.spark-marketing.ru/Card/Person/4348251", "РОСПАТЕНТ")</f>
        <v>РОСПАТЕНТ</v>
      </c>
      <c r="B1495" s="24" t="s">
        <v>2431</v>
      </c>
      <c r="C1495" s="25">
        <v>154004400</v>
      </c>
      <c r="D1495" s="22" t="s">
        <v>2432</v>
      </c>
      <c r="E1495" s="22" t="s">
        <v>937</v>
      </c>
      <c r="F1495" s="23" t="str">
        <f>HYPERLINK("https://www.spark-marketing.ru/Card/Lot/73413930", "Выполнение работ по созданию государственной информационной системы «ОМНИКАНАЛЬНОЕ ВЗАИМОДЕЙСТВИЕ РОСПАТЕНТА С ЗАИНТЕРЕСОВАННЫМИ ЛИЦАМИ В ХОДЕ ПРЕДОСТАВЛЕНИЯ ГОСУДАРСТВЕННЫХ УСЛУГ, УСЛУГ В РАМКАХ МЕЖДУНАРОДНЫХ СОГЛАШЕНИЙ И ДОГОВОРОВ, ПУБЛИКАЦИИ ОБЩЕД...")</f>
        <v>Выполнение работ по созданию государственной информационной системы «ОМНИКАНАЛЬНОЕ ВЗАИМОДЕЙСТВИЕ РОСПАТЕНТА С ЗАИНТЕРЕСОВАННЫМИ ЛИЦАМИ В ХОДЕ ПРЕДОСТАВЛЕНИЯ ГОСУДАРСТВЕННЫХ УСЛУГ, УСЛУГ В РАМКАХ МЕЖДУНАРОДНЫХ СОГЛАШЕНИЙ И ДОГОВОРОВ, ПУБЛИКАЦИИ ОБЩЕД...</v>
      </c>
      <c r="G1495" s="22" t="s">
        <v>55</v>
      </c>
      <c r="H1495" s="22" t="s">
        <v>55</v>
      </c>
      <c r="I1495" s="26">
        <v>43721.752777777801</v>
      </c>
      <c r="J1495" s="28" t="s">
        <v>52</v>
      </c>
      <c r="K1495" s="28" t="s">
        <v>52</v>
      </c>
      <c r="L1495" s="28" t="s">
        <v>52</v>
      </c>
      <c r="M1495" s="28" t="s">
        <v>52</v>
      </c>
      <c r="N1495" s="28" t="s">
        <v>52</v>
      </c>
    </row>
    <row r="1496" spans="1:14" x14ac:dyDescent="0.15">
      <c r="A1496" s="23" t="str">
        <f>HYPERLINK("https://www.spark-marketing.ru/Card/Person/6219382", "АИГО СК")</f>
        <v>АИГО СК</v>
      </c>
      <c r="B1496" s="24" t="s">
        <v>2433</v>
      </c>
      <c r="C1496" s="25">
        <v>400000</v>
      </c>
      <c r="D1496" s="22" t="s">
        <v>2434</v>
      </c>
      <c r="E1496" s="22" t="s">
        <v>59</v>
      </c>
      <c r="F1496" s="23" t="str">
        <f>HYPERLINK("https://www.spark-marketing.ru/Card/Lot/73412018", "Работы по установке и наладке системы видеонаблюдения на автомобильных дорогах: выезд на пос. Рыздвяный, на с. Донское, на с. Птичье, на ст. Новотроицкую (путепровод Западный) г. Изобильного")</f>
        <v>Работы по установке и наладке системы видеонаблюдения на автомобильных дорогах: выезд на пос. Рыздвяный, на с. Донское, на с. Птичье, на ст. Новотроицкую (путепровод Западный) г. Изобильного</v>
      </c>
      <c r="G1496" s="22" t="s">
        <v>258</v>
      </c>
      <c r="H1496" s="22" t="s">
        <v>2435</v>
      </c>
      <c r="I1496" s="26">
        <v>43721.666666666701</v>
      </c>
      <c r="J1496" s="23" t="str">
        <f>HYPERLINK("https://www.spark-marketing.ru/Card/Person/248341", "ООО ЧОП ""ПАТРИОТ ПЛЮС""")</f>
        <v>ООО ЧОП "ПАТРИОТ ПЛЮС"</v>
      </c>
      <c r="K1496" s="24" t="s">
        <v>2436</v>
      </c>
      <c r="L1496" s="22" t="s">
        <v>10</v>
      </c>
      <c r="M1496" s="28" t="s">
        <v>52</v>
      </c>
      <c r="N1496" s="28" t="s">
        <v>52</v>
      </c>
    </row>
    <row r="1497" spans="1:14" x14ac:dyDescent="0.15">
      <c r="A1497" s="23" t="str">
        <f>HYPERLINK("https://www.spark-marketing.ru/Card/Person/4343365", "ФКУ ""УРАЛУПРАВТОДОР""")</f>
        <v>ФКУ "УРАЛУПРАВТОДОР"</v>
      </c>
      <c r="B1497" s="24" t="s">
        <v>2437</v>
      </c>
      <c r="C1497" s="25">
        <v>15082590</v>
      </c>
      <c r="D1497" s="22" t="s">
        <v>2438</v>
      </c>
      <c r="E1497" s="22" t="s">
        <v>2439</v>
      </c>
      <c r="F1497" s="23" t="str">
        <f>HYPERLINK("https://www.spark-marketing.ru/Card/Lot/73413829", "Оснащение объектов дорожного хозяйства инженерно-техническими средствами (системами) обеспечения транспортной безопасности в Ханты-Мансийском автономном округе - Югре. Мост через реку Б. Салым км 580+616 на  автомобильной дороге Тюмень-Ханты-Мансийск...")</f>
        <v>Оснащение объектов дорожного хозяйства инженерно-техническими средствами (системами) обеспечения транспортной безопасности в Ханты-Мансийском автономном округе - Югре. Мост через реку Б. Салым км 580+616 на  автомобильной дороге Тюмень-Ханты-Мансийск...</v>
      </c>
      <c r="G1497" s="22" t="s">
        <v>119</v>
      </c>
      <c r="H1497" s="22" t="s">
        <v>119</v>
      </c>
      <c r="I1497" s="26">
        <v>43721.641666666699</v>
      </c>
      <c r="J1497" s="23" t="str">
        <f>HYPERLINK("https://www.spark-marketing.ru/Card/Person/4352241", "ООО ""АРМИС РУС""")</f>
        <v>ООО "АРМИС РУС"</v>
      </c>
      <c r="K1497" s="24" t="s">
        <v>2440</v>
      </c>
      <c r="L1497" s="22" t="s">
        <v>10</v>
      </c>
      <c r="M1497" s="28" t="s">
        <v>52</v>
      </c>
      <c r="N1497" s="28" t="s">
        <v>52</v>
      </c>
    </row>
    <row r="1498" spans="1:14" x14ac:dyDescent="0.15">
      <c r="A1498" s="23" t="str">
        <f>HYPERLINK("https://www.spark-marketing.ru/Card/Person/7094", "ГБУЗ ВО ""ГКБ №5 Г.ВЛАДИМИРА""")</f>
        <v>ГБУЗ ВО "ГКБ №5 Г.ВЛАДИМИРА"</v>
      </c>
      <c r="B1498" s="24" t="s">
        <v>2441</v>
      </c>
      <c r="C1498" s="25">
        <v>55657.35</v>
      </c>
      <c r="D1498" s="22" t="s">
        <v>2442</v>
      </c>
      <c r="E1498" s="22" t="s">
        <v>349</v>
      </c>
      <c r="F1498" s="23" t="str">
        <f>HYPERLINK("https://www.spark-marketing.ru/Card/Lot/73411415", "Техническое обслуживание системы видеонаблюдения")</f>
        <v>Техническое обслуживание системы видеонаблюдения</v>
      </c>
      <c r="G1498" s="22" t="s">
        <v>145</v>
      </c>
      <c r="H1498" s="22" t="s">
        <v>145</v>
      </c>
      <c r="I1498" s="26">
        <v>43721.585416666698</v>
      </c>
      <c r="J1498" s="28" t="s">
        <v>52</v>
      </c>
      <c r="K1498" s="28" t="s">
        <v>52</v>
      </c>
      <c r="L1498" s="28" t="s">
        <v>52</v>
      </c>
      <c r="M1498" s="28" t="s">
        <v>52</v>
      </c>
      <c r="N1498" s="28" t="s">
        <v>52</v>
      </c>
    </row>
    <row r="1499" spans="1:14" ht="12.75" hidden="1" outlineLevel="1" x14ac:dyDescent="0.2">
      <c r="A1499" s="23" t="str">
        <f>HYPERLINK("https://www.spark-marketing.ru/Card/Person/7094", "ГБУЗ ВО ""ГКБ №5 Г.ВЛАДИМИРА""")</f>
        <v>ГБУЗ ВО "ГКБ №5 Г.ВЛАДИМИРА"</v>
      </c>
      <c r="B1499" s="24" t="s">
        <v>2441</v>
      </c>
      <c r="C1499" s="25">
        <v>55657.35</v>
      </c>
      <c r="D1499" s="22" t="s">
        <v>2442</v>
      </c>
      <c r="E1499" s="22" t="s">
        <v>349</v>
      </c>
      <c r="F1499" s="23" t="str">
        <f>HYPERLINK("https://www.spark-marketing.ru/Card/Lot/73411415", "Техническое обслуживание системы видеонаблюдения")</f>
        <v>Техническое обслуживание системы видеонаблюдения</v>
      </c>
      <c r="G1499" s="22" t="s">
        <v>145</v>
      </c>
      <c r="H1499" s="22" t="s">
        <v>145</v>
      </c>
      <c r="I1499" s="26">
        <v>43721.585416666698</v>
      </c>
      <c r="J1499" s="23" t="str">
        <f>HYPERLINK("https://www.spark-marketing.ru/Card/Person/4857461", "ООО ""ЛОГОСТРЕЙД""")</f>
        <v>ООО "ЛОГОСТРЕЙД"</v>
      </c>
      <c r="K1499" s="24" t="s">
        <v>2443</v>
      </c>
      <c r="L1499" s="22" t="s">
        <v>10</v>
      </c>
      <c r="M1499" s="25">
        <v>28941.63</v>
      </c>
      <c r="N1499" s="27">
        <v>0.48000344967915287</v>
      </c>
    </row>
    <row r="1500" spans="1:14" hidden="1" outlineLevel="1" x14ac:dyDescent="0.2">
      <c r="A1500" s="23" t="str">
        <f>HYPERLINK("https://www.spark-marketing.ru/Card/Person/7094", "ГБУЗ ВО ""ГКБ №5 Г.ВЛАДИМИРА""")</f>
        <v>ГБУЗ ВО "ГКБ №5 Г.ВЛАДИМИРА"</v>
      </c>
      <c r="B1500" s="24" t="s">
        <v>2441</v>
      </c>
      <c r="C1500" s="25">
        <v>55657.35</v>
      </c>
      <c r="D1500" s="22" t="s">
        <v>2442</v>
      </c>
      <c r="E1500" s="22" t="s">
        <v>349</v>
      </c>
      <c r="F1500" s="23" t="str">
        <f>HYPERLINK("https://www.spark-marketing.ru/Card/Lot/73411415", "Техническое обслуживание системы видеонаблюдения")</f>
        <v>Техническое обслуживание системы видеонаблюдения</v>
      </c>
      <c r="G1500" s="22" t="s">
        <v>145</v>
      </c>
      <c r="H1500" s="22" t="s">
        <v>145</v>
      </c>
      <c r="I1500" s="26">
        <v>43721.585416666698</v>
      </c>
      <c r="J1500" s="23" t="str">
        <f>HYPERLINK("https://www.spark-marketing.ru/Card/Person/1849202", "ООО ЧОО ""ВЕКТОР ГРУПП""")</f>
        <v>ООО ЧОО "ВЕКТОР ГРУПП"</v>
      </c>
      <c r="K1500" s="24" t="s">
        <v>2444</v>
      </c>
      <c r="L1500" s="28" t="s">
        <v>52</v>
      </c>
      <c r="M1500" s="25">
        <v>31724.5</v>
      </c>
      <c r="N1500" s="27">
        <v>0.4300034047614556</v>
      </c>
    </row>
    <row r="1501" spans="1:14" hidden="1" outlineLevel="1" x14ac:dyDescent="0.2">
      <c r="A1501" s="23" t="str">
        <f>HYPERLINK("https://www.spark-marketing.ru/Card/Person/7094", "ГБУЗ ВО ""ГКБ №5 Г.ВЛАДИМИРА""")</f>
        <v>ГБУЗ ВО "ГКБ №5 Г.ВЛАДИМИРА"</v>
      </c>
      <c r="B1501" s="24" t="s">
        <v>2441</v>
      </c>
      <c r="C1501" s="25">
        <v>55657.35</v>
      </c>
      <c r="D1501" s="22" t="s">
        <v>2442</v>
      </c>
      <c r="E1501" s="22" t="s">
        <v>349</v>
      </c>
      <c r="F1501" s="23" t="str">
        <f>HYPERLINK("https://www.spark-marketing.ru/Card/Lot/73411415", "Техническое обслуживание системы видеонаблюдения")</f>
        <v>Техническое обслуживание системы видеонаблюдения</v>
      </c>
      <c r="G1501" s="22" t="s">
        <v>145</v>
      </c>
      <c r="H1501" s="22" t="s">
        <v>145</v>
      </c>
      <c r="I1501" s="26">
        <v>43721.585416666698</v>
      </c>
      <c r="J1501" s="23" t="str">
        <f>HYPERLINK("https://www.spark-marketing.ru/Card/Person/501511", "ООО ""ПАРИТЕТ""")</f>
        <v>ООО "ПАРИТЕТ"</v>
      </c>
      <c r="K1501" s="24" t="s">
        <v>2445</v>
      </c>
      <c r="L1501" s="28" t="s">
        <v>52</v>
      </c>
      <c r="M1501" s="25">
        <v>49813.29</v>
      </c>
      <c r="N1501" s="27">
        <v>0.10500068724076873</v>
      </c>
    </row>
    <row r="1502" spans="1:14" x14ac:dyDescent="0.15">
      <c r="A1502" s="23" t="str">
        <f>HYPERLINK("https://www.spark-marketing.ru/Card/Person/4348008", "ТЮМЕНСКАЯ ТАМОЖНЯ")</f>
        <v>ТЮМЕНСКАЯ ТАМОЖНЯ</v>
      </c>
      <c r="B1502" s="24" t="s">
        <v>2446</v>
      </c>
      <c r="C1502" s="25">
        <v>1044568.56</v>
      </c>
      <c r="D1502" s="22" t="s">
        <v>2447</v>
      </c>
      <c r="E1502" s="22" t="s">
        <v>68</v>
      </c>
      <c r="F1502" s="23" t="str">
        <f>HYPERLINK("https://www.spark-marketing.ru/Card/Lot/73410725", "Оказание услуг по государственной охране объекта Тюменской таможни и находящегося в нем имущества (физическая охрана) и обеспечением пропускного и внутриобъектового режимов «Служебный гараж Тюменской таможни»")</f>
        <v>Оказание услуг по государственной охране объекта Тюменской таможни и находящегося в нем имущества (физическая охрана) и обеспечением пропускного и внутриобъектового режимов «Служебный гараж Тюменской таможни»</v>
      </c>
      <c r="G1502" s="22" t="s">
        <v>893</v>
      </c>
      <c r="H1502" s="22" t="s">
        <v>893</v>
      </c>
      <c r="I1502" s="26">
        <v>43721.592361111099</v>
      </c>
      <c r="J1502" s="28" t="s">
        <v>52</v>
      </c>
      <c r="K1502" s="28" t="s">
        <v>52</v>
      </c>
      <c r="L1502" s="28" t="s">
        <v>52</v>
      </c>
      <c r="M1502" s="28" t="s">
        <v>52</v>
      </c>
      <c r="N1502" s="28" t="s">
        <v>52</v>
      </c>
    </row>
    <row r="1503" spans="1:14" ht="12.75" hidden="1" outlineLevel="1" x14ac:dyDescent="0.2">
      <c r="A1503" s="23" t="str">
        <f>HYPERLINK("https://www.spark-marketing.ru/Card/Person/4348008", "ТЮМЕНСКАЯ ТАМОЖНЯ")</f>
        <v>ТЮМЕНСКАЯ ТАМОЖНЯ</v>
      </c>
      <c r="B1503" s="24" t="s">
        <v>2446</v>
      </c>
      <c r="C1503" s="25">
        <v>1044568.56</v>
      </c>
      <c r="D1503" s="22" t="s">
        <v>2447</v>
      </c>
      <c r="E1503" s="22" t="s">
        <v>68</v>
      </c>
      <c r="F1503" s="23" t="str">
        <f>HYPERLINK("https://www.spark-marketing.ru/Card/Lot/73410725", "Оказание услуг по государственной охране объекта Тюменской таможни и находящегося в нем имущества (физическая охрана) и обеспечением пропускного и внутриобъектового режимов «Служебный гараж Тюменской таможни»")</f>
        <v>Оказание услуг по государственной охране объекта Тюменской таможни и находящегося в нем имущества (физическая охрана) и обеспечением пропускного и внутриобъектового режимов «Служебный гараж Тюменской таможни»</v>
      </c>
      <c r="G1503" s="22" t="s">
        <v>893</v>
      </c>
      <c r="H1503" s="22" t="s">
        <v>893</v>
      </c>
      <c r="I1503" s="26">
        <v>43721.592361111099</v>
      </c>
      <c r="J1503" s="23" t="str">
        <f>HYPERLINK("https://www.spark-marketing.ru/Card/Person/4885117", "ФЛ ФГУП ОХРАНА ФЕДЕРАЛЬНОЙ СЛУЖБЫ ВОЙСК НАЦИОНАЛЬНОЙ ГВАРДИИ РФ ПО ТЮМЕНСКОЙ ОБЛ")</f>
        <v>ФЛ ФГУП ОХРАНА ФЕДЕРАЛЬНОЙ СЛУЖБЫ ВОЙСК НАЦИОНАЛЬНОЙ ГВАРДИИ РФ ПО ТЮМЕНСКОЙ ОБЛ</v>
      </c>
      <c r="K1503" s="24" t="s">
        <v>779</v>
      </c>
      <c r="L1503" s="22" t="s">
        <v>10</v>
      </c>
      <c r="M1503" s="25">
        <v>997563</v>
      </c>
      <c r="N1503" s="27">
        <v>4.4999975875207272E-2</v>
      </c>
    </row>
    <row r="1504" spans="1:14" hidden="1" outlineLevel="1" x14ac:dyDescent="0.2">
      <c r="A1504" s="23" t="str">
        <f>HYPERLINK("https://www.spark-marketing.ru/Card/Person/4348008", "ТЮМЕНСКАЯ ТАМОЖНЯ")</f>
        <v>ТЮМЕНСКАЯ ТАМОЖНЯ</v>
      </c>
      <c r="B1504" s="24" t="s">
        <v>2446</v>
      </c>
      <c r="C1504" s="25">
        <v>1044568.56</v>
      </c>
      <c r="D1504" s="22" t="s">
        <v>2447</v>
      </c>
      <c r="E1504" s="22" t="s">
        <v>68</v>
      </c>
      <c r="F1504" s="23" t="str">
        <f>HYPERLINK("https://www.spark-marketing.ru/Card/Lot/73410725", "Оказание услуг по государственной охране объекта Тюменской таможни и находящегося в нем имущества (физическая охрана) и обеспечением пропускного и внутриобъектового режимов «Служебный гараж Тюменской таможни»")</f>
        <v>Оказание услуг по государственной охране объекта Тюменской таможни и находящегося в нем имущества (физическая охрана) и обеспечением пропускного и внутриобъектового режимов «Служебный гараж Тюменской таможни»</v>
      </c>
      <c r="G1504" s="22" t="s">
        <v>893</v>
      </c>
      <c r="H1504" s="22" t="s">
        <v>893</v>
      </c>
      <c r="I1504" s="26">
        <v>43721.592361111099</v>
      </c>
      <c r="J1504" s="23" t="str">
        <f>HYPERLINK("https://www.spark-marketing.ru/Card/Person/4536862", "ФЛ ФГП ВО ЖДТ РОССИИ НА СВЖД")</f>
        <v>ФЛ ФГП ВО ЖДТ РОССИИ НА СВЖД</v>
      </c>
      <c r="K1504" s="24" t="s">
        <v>1269</v>
      </c>
      <c r="L1504" s="28" t="s">
        <v>52</v>
      </c>
      <c r="M1504" s="25">
        <v>1002785.84</v>
      </c>
      <c r="N1504" s="27">
        <v>3.99999785557398E-2</v>
      </c>
    </row>
    <row r="1505" spans="1:14" x14ac:dyDescent="0.15">
      <c r="A1505" s="23" t="str">
        <f>HYPERLINK("https://www.spark-marketing.ru/Card/Person/49064", "ГБУЗ КО ОКОД")</f>
        <v>ГБУЗ КО ОКОД</v>
      </c>
      <c r="B1505" s="24" t="s">
        <v>2448</v>
      </c>
      <c r="C1505" s="25">
        <v>529000</v>
      </c>
      <c r="D1505" s="22" t="s">
        <v>2449</v>
      </c>
      <c r="E1505" s="22" t="s">
        <v>376</v>
      </c>
      <c r="F1505" s="23" t="str">
        <f>HYPERLINK("https://www.spark-marketing.ru/Card/Lot/73394983", "Поставка генераторов технеция")</f>
        <v>Поставка генераторов технеция</v>
      </c>
      <c r="G1505" s="22" t="s">
        <v>367</v>
      </c>
      <c r="H1505" s="22" t="s">
        <v>881</v>
      </c>
      <c r="I1505" s="26">
        <v>43721.543055555601</v>
      </c>
      <c r="J1505" s="23" t="str">
        <f>HYPERLINK("https://www.spark-marketing.ru/Card/Person/139456", "ООО ""СИБНУКЛОН""")</f>
        <v>ООО "СИБНУКЛОН"</v>
      </c>
      <c r="K1505" s="24" t="s">
        <v>2450</v>
      </c>
      <c r="L1505" s="22" t="s">
        <v>10</v>
      </c>
      <c r="M1505" s="28" t="s">
        <v>52</v>
      </c>
      <c r="N1505" s="28" t="s">
        <v>52</v>
      </c>
    </row>
    <row r="1506" spans="1:14" x14ac:dyDescent="0.15">
      <c r="A1506" s="23" t="str">
        <f>HYPERLINK("https://www.spark-marketing.ru/Card/Person/1078167", "МБУ ""ДК ПОСЕЛКА ""ЗАРАЙСКИЙ""")</f>
        <v>МБУ "ДК ПОСЕЛКА "ЗАРАЙСКИЙ"</v>
      </c>
      <c r="B1506" s="24" t="s">
        <v>2451</v>
      </c>
      <c r="C1506" s="25">
        <v>102465</v>
      </c>
      <c r="D1506" s="22" t="s">
        <v>2452</v>
      </c>
      <c r="E1506" s="22" t="s">
        <v>84</v>
      </c>
      <c r="F1506" s="23" t="str">
        <f>HYPERLINK("https://www.spark-marketing.ru/Card/Lot/73401085", "Установка системы видеонаблюдения в Макеевском СДК - филиале МБУ ""ДК поселка Зарайский""")</f>
        <v>Установка системы видеонаблюдения в Макеевском СДК - филиале МБУ "ДК поселка Зарайский"</v>
      </c>
      <c r="G1506" s="22" t="s">
        <v>50</v>
      </c>
      <c r="H1506" s="22" t="s">
        <v>1056</v>
      </c>
      <c r="I1506" s="26">
        <v>43721.555011574099</v>
      </c>
      <c r="J1506" s="28" t="s">
        <v>52</v>
      </c>
      <c r="K1506" s="28" t="s">
        <v>52</v>
      </c>
      <c r="L1506" s="28" t="s">
        <v>52</v>
      </c>
      <c r="M1506" s="28" t="s">
        <v>52</v>
      </c>
      <c r="N1506" s="28" t="s">
        <v>52</v>
      </c>
    </row>
    <row r="1507" spans="1:14" x14ac:dyDescent="0.15">
      <c r="A1507" s="23" t="str">
        <f>HYPERLINK("https://www.spark-marketing.ru/Card/Person/1078167", "МБУ ""ДК ПОСЕЛКА ""ЗАРАЙСКИЙ""")</f>
        <v>МБУ "ДК ПОСЕЛКА "ЗАРАЙСКИЙ"</v>
      </c>
      <c r="B1507" s="24" t="s">
        <v>2451</v>
      </c>
      <c r="C1507" s="25">
        <v>72831</v>
      </c>
      <c r="D1507" s="22" t="s">
        <v>2453</v>
      </c>
      <c r="E1507" s="22" t="s">
        <v>84</v>
      </c>
      <c r="F1507" s="23" t="str">
        <f>HYPERLINK("https://www.spark-marketing.ru/Card/Lot/73401077", "Установка (монтаж и пусконаладочные работы) системы видеонаблюдения в МБУ ""ДК поелка Зарайский"" (ЦО)")</f>
        <v>Установка (монтаж и пусконаладочные работы) системы видеонаблюдения в МБУ "ДК поелка Зарайский" (ЦО)</v>
      </c>
      <c r="G1507" s="22" t="s">
        <v>50</v>
      </c>
      <c r="H1507" s="22" t="s">
        <v>1056</v>
      </c>
      <c r="I1507" s="26">
        <v>43721.544733796298</v>
      </c>
      <c r="J1507" s="28" t="s">
        <v>52</v>
      </c>
      <c r="K1507" s="28" t="s">
        <v>52</v>
      </c>
      <c r="L1507" s="28" t="s">
        <v>52</v>
      </c>
      <c r="M1507" s="28" t="s">
        <v>52</v>
      </c>
      <c r="N1507" s="28" t="s">
        <v>52</v>
      </c>
    </row>
    <row r="1508" spans="1:14" x14ac:dyDescent="0.15">
      <c r="A1508" s="23" t="str">
        <f>HYPERLINK("https://www.spark-marketing.ru/Card/Person/18481", "ФГУП ""РОСРАО""")</f>
        <v>ФГУП "РОСРАО"</v>
      </c>
      <c r="B1508" s="24" t="s">
        <v>1615</v>
      </c>
      <c r="C1508" s="25">
        <v>48161772.229999997</v>
      </c>
      <c r="D1508" s="22" t="s">
        <v>2454</v>
      </c>
      <c r="E1508" s="22" t="s">
        <v>1013</v>
      </c>
      <c r="F1508" s="23" t="str">
        <f>HYPERLINK("https://www.spark-marketing.ru/Card/Lot/73413895", "Оказание услуг по охране объектов Самарского отделения филиала «Приволжский территориальный округ» ФГУП «РосРАО»")</f>
        <v>Оказание услуг по охране объектов Самарского отделения филиала «Приволжский территориальный округ» ФГУП «РосРАО»</v>
      </c>
      <c r="G1508" s="22" t="s">
        <v>760</v>
      </c>
      <c r="H1508" s="22" t="s">
        <v>1709</v>
      </c>
      <c r="I1508" s="26">
        <v>43721.497222222199</v>
      </c>
      <c r="J1508" s="23" t="str">
        <f>HYPERLINK("https://www.spark-marketing.ru/Card/Person/6616557", "ФЛ ФГУП ОХРАНА ФЕДЕРАЛЬНОЙ СЛУЖБЫ ВОЙСК НАЦИОНАЛЬНОЙ ГВАРДИИ РФ ПО САМАРСКОЙ ОБЛ")</f>
        <v>ФЛ ФГУП ОХРАНА ФЕДЕРАЛЬНОЙ СЛУЖБЫ ВОЙСК НАЦИОНАЛЬНОЙ ГВАРДИИ РФ ПО САМАРСКОЙ ОБЛ</v>
      </c>
      <c r="K1508" s="24" t="s">
        <v>779</v>
      </c>
      <c r="L1508" s="22" t="s">
        <v>10</v>
      </c>
      <c r="M1508" s="28" t="s">
        <v>52</v>
      </c>
      <c r="N1508" s="28" t="s">
        <v>52</v>
      </c>
    </row>
    <row r="1509" spans="1:14" x14ac:dyDescent="0.15">
      <c r="A1509" s="23" t="str">
        <f>HYPERLINK("https://www.spark-marketing.ru/Card/Person/4348008", "ТЮМЕНСКАЯ ТАМОЖНЯ")</f>
        <v>ТЮМЕНСКАЯ ТАМОЖНЯ</v>
      </c>
      <c r="B1509" s="24" t="s">
        <v>2446</v>
      </c>
      <c r="C1509" s="25">
        <v>1636652.95</v>
      </c>
      <c r="D1509" s="22" t="s">
        <v>2455</v>
      </c>
      <c r="E1509" s="22" t="s">
        <v>68</v>
      </c>
      <c r="F1509" s="23" t="str">
        <f>HYPERLINK("https://www.spark-marketing.ru/Card/Lot/73397142", "Оказание услуг по государственной охране объекта Тюменской таможни и находящегося в нем имущества (физическая охрана) и обеспечением пропускного и внутриобъектового режимов «Административное здание ОТО и ТК №2 (г. Петухово) Курганского таможенного по...")</f>
        <v>Оказание услуг по государственной охране объекта Тюменской таможни и находящегося в нем имущества (физическая охрана) и обеспечением пропускного и внутриобъектового режимов «Административное здание ОТО и ТК №2 (г. Петухово) Курганского таможенного по...</v>
      </c>
      <c r="G1509" s="22" t="s">
        <v>626</v>
      </c>
      <c r="H1509" s="22" t="s">
        <v>626</v>
      </c>
      <c r="I1509" s="26">
        <v>43721.479166666701</v>
      </c>
      <c r="J1509" s="23" t="str">
        <f>HYPERLINK("https://www.spark-marketing.ru/Card/Person/6632740", "ФЛ ФГУП ОХРАНА ФЕДЕРАЛЬНОЙ СЛУЖБЫ ВОЙСК НАЦИОНАЛЬНОЙ ГВАРДИИ РФ ПО КУРГАНСКОЙ ОБЛ")</f>
        <v>ФЛ ФГУП ОХРАНА ФЕДЕРАЛЬНОЙ СЛУЖБЫ ВОЙСК НАЦИОНАЛЬНОЙ ГВАРДИИ РФ ПО КУРГАНСКОЙ ОБЛ</v>
      </c>
      <c r="K1509" s="24" t="s">
        <v>779</v>
      </c>
      <c r="L1509" s="22" t="s">
        <v>10</v>
      </c>
      <c r="M1509" s="28" t="s">
        <v>52</v>
      </c>
      <c r="N1509" s="28" t="s">
        <v>52</v>
      </c>
    </row>
    <row r="1510" spans="1:14" x14ac:dyDescent="0.15">
      <c r="A1510" s="23" t="str">
        <f>HYPERLINK("https://www.spark-marketing.ru/Card/Person/1033402", "ГБУ ""КАББАЛКЛЕСХОЗ И ЛЕСНАЯ ОХРАНА""")</f>
        <v>ГБУ "КАББАЛКЛЕСХОЗ И ЛЕСНАЯ ОХРАНА"</v>
      </c>
      <c r="B1510" s="24" t="s">
        <v>2456</v>
      </c>
      <c r="C1510" s="25">
        <v>2240000</v>
      </c>
      <c r="D1510" s="22" t="s">
        <v>2457</v>
      </c>
      <c r="E1510" s="22" t="s">
        <v>2458</v>
      </c>
      <c r="F1510" s="23" t="str">
        <f>HYPERLINK("https://www.spark-marketing.ru/Card/Lot/73400891", "Приобретение специализированной лесопожарной техники для нужд ГБУ ""Каббалклесхоз и лесная охрана"" в 2019 году")</f>
        <v>Приобретение специализированной лесопожарной техники для нужд ГБУ "Каббалклесхоз и лесная охрана" в 2019 году</v>
      </c>
      <c r="G1510" s="22" t="s">
        <v>110</v>
      </c>
      <c r="H1510" s="22" t="s">
        <v>111</v>
      </c>
      <c r="I1510" s="26">
        <v>43721.456250000003</v>
      </c>
      <c r="J1510" s="23" t="str">
        <f>HYPERLINK("https://www.spark-marketing.ru/Card/Person/162460", "ООО ""ТСС КАВКАЗ""")</f>
        <v>ООО "ТСС КАВКАЗ"</v>
      </c>
      <c r="K1510" s="24" t="s">
        <v>2459</v>
      </c>
      <c r="L1510" s="28" t="s">
        <v>52</v>
      </c>
      <c r="M1510" s="28" t="s">
        <v>52</v>
      </c>
      <c r="N1510" s="28" t="s">
        <v>52</v>
      </c>
    </row>
    <row r="1511" spans="1:14" ht="12.75" hidden="1" outlineLevel="1" x14ac:dyDescent="0.2">
      <c r="A1511" s="23" t="str">
        <f>HYPERLINK("https://www.spark-marketing.ru/Card/Person/1033402", "ГБУ ""КАББАЛКЛЕСХОЗ И ЛЕСНАЯ ОХРАНА""")</f>
        <v>ГБУ "КАББАЛКЛЕСХОЗ И ЛЕСНАЯ ОХРАНА"</v>
      </c>
      <c r="B1511" s="24" t="s">
        <v>2456</v>
      </c>
      <c r="C1511" s="25">
        <v>2240000</v>
      </c>
      <c r="D1511" s="22" t="s">
        <v>2457</v>
      </c>
      <c r="E1511" s="22" t="s">
        <v>2458</v>
      </c>
      <c r="F1511" s="23" t="str">
        <f>HYPERLINK("https://www.spark-marketing.ru/Card/Lot/73400891", "Приобретение специализированной лесопожарной техники для нужд ГБУ ""Каббалклесхоз и лесная охрана"" в 2019 году")</f>
        <v>Приобретение специализированной лесопожарной техники для нужд ГБУ "Каббалклесхоз и лесная охрана" в 2019 году</v>
      </c>
      <c r="G1511" s="22" t="s">
        <v>110</v>
      </c>
      <c r="H1511" s="22" t="s">
        <v>111</v>
      </c>
      <c r="I1511" s="26">
        <v>43721.456250000003</v>
      </c>
      <c r="J1511" s="23" t="str">
        <f>HYPERLINK("https://www.spark-marketing.ru/Card/Person/162460", "ООО ""ТСС КАВКАЗ""")</f>
        <v>ООО "ТСС КАВКАЗ"</v>
      </c>
      <c r="K1511" s="24" t="s">
        <v>2459</v>
      </c>
      <c r="L1511" s="22" t="s">
        <v>10</v>
      </c>
      <c r="M1511" s="25">
        <v>2228000</v>
      </c>
      <c r="N1511" s="27">
        <v>5.3571428571428572E-3</v>
      </c>
    </row>
    <row r="1512" spans="1:14" x14ac:dyDescent="0.15">
      <c r="A1512" s="23" t="str">
        <f>HYPERLINK("https://www.spark-marketing.ru/Card/Person/117748", "МЕЖРАЙОННАЯ ИФНС РОССИИ № 12 ПО ВОРОНЕЖСКОЙ ОБЛАСТИ")</f>
        <v>МЕЖРАЙОННАЯ ИФНС РОССИИ № 12 ПО ВОРОНЕЖСКОЙ ОБЛАСТИ</v>
      </c>
      <c r="B1512" s="24" t="s">
        <v>1664</v>
      </c>
      <c r="C1512" s="25">
        <v>100000</v>
      </c>
      <c r="D1512" s="22" t="s">
        <v>2460</v>
      </c>
      <c r="E1512" s="22" t="s">
        <v>84</v>
      </c>
      <c r="F1512" s="23" t="str">
        <f>HYPERLINK("https://www.spark-marketing.ru/Card/Lot/73395045", "Монтаж, установка, модернизация систем видеонаблюдения, 1 шт")</f>
        <v>Монтаж, установка, модернизация систем видеонаблюдения, 1 шт</v>
      </c>
      <c r="G1512" s="22" t="s">
        <v>552</v>
      </c>
      <c r="H1512" s="22" t="s">
        <v>886</v>
      </c>
      <c r="I1512" s="26">
        <v>43721.448784722197</v>
      </c>
      <c r="J1512" s="28" t="s">
        <v>52</v>
      </c>
      <c r="K1512" s="28" t="s">
        <v>52</v>
      </c>
      <c r="L1512" s="28" t="s">
        <v>52</v>
      </c>
      <c r="M1512" s="28" t="s">
        <v>52</v>
      </c>
      <c r="N1512" s="28" t="s">
        <v>52</v>
      </c>
    </row>
    <row r="1513" spans="1:14" x14ac:dyDescent="0.15">
      <c r="A1513" s="23" t="str">
        <f>HYPERLINK("https://www.spark-marketing.ru/Card/Person/1041561", "МБУ ""СШ БОЕВЫХ ИСКУССТВ""")</f>
        <v>МБУ "СШ БОЕВЫХ ИСКУССТВ"</v>
      </c>
      <c r="B1513" s="24" t="s">
        <v>2461</v>
      </c>
      <c r="C1513" s="25">
        <v>4500</v>
      </c>
      <c r="D1513" s="22" t="s">
        <v>2462</v>
      </c>
      <c r="E1513" s="22" t="s">
        <v>107</v>
      </c>
      <c r="F1513" s="23" t="str">
        <f>HYPERLINK("https://www.spark-marketing.ru/Card/Lot/73394517", "Услуги по техническому обслуживанию систем видеонаблюдения (""Безопасный регион"")")</f>
        <v>Услуги по техническому обслуживанию систем видеонаблюдения ("Безопасный регион")</v>
      </c>
      <c r="G1513" s="22" t="s">
        <v>50</v>
      </c>
      <c r="H1513" s="22" t="s">
        <v>2463</v>
      </c>
      <c r="I1513" s="26">
        <v>43721.409432870401</v>
      </c>
      <c r="J1513" s="28" t="s">
        <v>52</v>
      </c>
      <c r="K1513" s="28" t="s">
        <v>52</v>
      </c>
      <c r="L1513" s="28" t="s">
        <v>52</v>
      </c>
      <c r="M1513" s="28" t="s">
        <v>52</v>
      </c>
      <c r="N1513" s="28" t="s">
        <v>52</v>
      </c>
    </row>
    <row r="1514" spans="1:14" x14ac:dyDescent="0.15">
      <c r="A1514" s="23" t="str">
        <f>HYPERLINK("https://www.spark-marketing.ru/Card/Person/63798", "ГКУ ЦЗН ГОРОДА НИЖНЕГО НОВГОРОДА")</f>
        <v>ГКУ ЦЗН ГОРОДА НИЖНЕГО НОВГОРОДА</v>
      </c>
      <c r="B1514" s="24" t="s">
        <v>2464</v>
      </c>
      <c r="C1514" s="25">
        <v>7206559.2000000002</v>
      </c>
      <c r="D1514" s="22" t="s">
        <v>2465</v>
      </c>
      <c r="E1514" s="22" t="s">
        <v>59</v>
      </c>
      <c r="F1514" s="23" t="str">
        <f>HYPERLINK("https://www.spark-marketing.ru/Card/Lot/73397017", "Поставка и установка: цифровой АТС, информационной системы ""Электронная очередь"", системы видеонаблюдения, пусконаладочные работы в рамках реализации национального проекта «Производительность труда и поддержка занятости» ГКУ ЦЗН г. Нижнего Новгород...")</f>
        <v>Поставка и установка: цифровой АТС, информационной системы "Электронная очередь", системы видеонаблюдения, пусконаладочные работы в рамках реализации национального проекта «Производительность труда и поддержка занятости» ГКУ ЦЗН г. Нижнего Новгород...</v>
      </c>
      <c r="G1514" s="22" t="s">
        <v>64</v>
      </c>
      <c r="H1514" s="22" t="s">
        <v>64</v>
      </c>
      <c r="I1514" s="26">
        <v>43721.345138888901</v>
      </c>
      <c r="J1514" s="23" t="str">
        <f>HYPERLINK("https://www.spark-marketing.ru/Card/Person/1266272", "ООО ""ИА""ЗОГИН""")</f>
        <v>ООО "ИА"ЗОГИН"</v>
      </c>
      <c r="K1514" s="24" t="s">
        <v>2466</v>
      </c>
      <c r="L1514" s="28" t="s">
        <v>52</v>
      </c>
      <c r="M1514" s="28" t="s">
        <v>52</v>
      </c>
      <c r="N1514" s="28" t="s">
        <v>52</v>
      </c>
    </row>
    <row r="1515" spans="1:14" hidden="1" outlineLevel="1" x14ac:dyDescent="0.15">
      <c r="A1515" s="23" t="str">
        <f>HYPERLINK("https://www.spark-marketing.ru/Card/Person/63798", "ГКУ ЦЗН ГОРОДА НИЖНЕГО НОВГОРОДА")</f>
        <v>ГКУ ЦЗН ГОРОДА НИЖНЕГО НОВГОРОДА</v>
      </c>
      <c r="B1515" s="24" t="s">
        <v>2464</v>
      </c>
      <c r="C1515" s="25">
        <v>7206559.2000000002</v>
      </c>
      <c r="D1515" s="22" t="s">
        <v>2465</v>
      </c>
      <c r="E1515" s="22" t="s">
        <v>59</v>
      </c>
      <c r="F1515" s="23" t="str">
        <f>HYPERLINK("https://www.spark-marketing.ru/Card/Lot/73397017", "Поставка и установка: цифровой АТС, информационной системы ""Электронная очередь"", системы видеонаблюдения, пусконаладочные работы в рамках реализации национального проекта «Производительность труда и поддержка занятости» ГКУ ЦЗН г. Нижнего Новгород...")</f>
        <v>Поставка и установка: цифровой АТС, информационной системы "Электронная очередь", системы видеонаблюдения, пусконаладочные работы в рамках реализации национального проекта «Производительность труда и поддержка занятости» ГКУ ЦЗН г. Нижнего Новгород...</v>
      </c>
      <c r="G1515" s="22" t="s">
        <v>64</v>
      </c>
      <c r="H1515" s="22" t="s">
        <v>64</v>
      </c>
      <c r="I1515" s="26">
        <v>43721.345138888901</v>
      </c>
      <c r="J1515" s="23" t="str">
        <f>HYPERLINK("https://www.spark-marketing.ru/Card/Person/1266272", "ООО ""ИА""ЗОГИН""")</f>
        <v>ООО "ИА"ЗОГИН"</v>
      </c>
      <c r="K1515" s="24" t="s">
        <v>2466</v>
      </c>
      <c r="L1515" s="22" t="s">
        <v>10</v>
      </c>
      <c r="M1515" s="28" t="s">
        <v>52</v>
      </c>
      <c r="N1515" s="28" t="s">
        <v>52</v>
      </c>
    </row>
    <row r="1516" spans="1:14" x14ac:dyDescent="0.15">
      <c r="A1516" s="23" t="str">
        <f>HYPERLINK("https://www.spark-marketing.ru/Card/Person/1031775", "КГКОУ ШИ 10")</f>
        <v>КГКОУ ШИ 10</v>
      </c>
      <c r="B1516" s="24" t="s">
        <v>2410</v>
      </c>
      <c r="C1516" s="25">
        <v>3870</v>
      </c>
      <c r="D1516" s="22" t="s">
        <v>2467</v>
      </c>
      <c r="E1516" s="22" t="s">
        <v>107</v>
      </c>
      <c r="F1516" s="23" t="str">
        <f>HYPERLINK("https://www.spark-marketing.ru/Card/Lot/73392364", "Техническое обслуживание системы видеонаблюдения, 1 шт")</f>
        <v>Техническое обслуживание системы видеонаблюдения, 1 шт</v>
      </c>
      <c r="G1516" s="22" t="s">
        <v>138</v>
      </c>
      <c r="H1516" s="22" t="s">
        <v>2412</v>
      </c>
      <c r="I1516" s="26">
        <v>43721.319803240702</v>
      </c>
      <c r="J1516" s="28" t="s">
        <v>52</v>
      </c>
      <c r="K1516" s="28" t="s">
        <v>52</v>
      </c>
      <c r="L1516" s="28" t="s">
        <v>52</v>
      </c>
      <c r="M1516" s="28" t="s">
        <v>52</v>
      </c>
      <c r="N1516" s="28" t="s">
        <v>52</v>
      </c>
    </row>
    <row r="1517" spans="1:14" x14ac:dyDescent="0.15">
      <c r="A1517" s="23" t="str">
        <f>HYPERLINK("https://www.spark-marketing.ru/Card/Person/27769", "АО ""ДВЗ ""ЗВЕЗДА""")</f>
        <v>АО "ДВЗ "ЗВЕЗДА"</v>
      </c>
      <c r="B1517" s="24" t="s">
        <v>2468</v>
      </c>
      <c r="C1517" s="25">
        <v>11478675</v>
      </c>
      <c r="D1517" s="22" t="s">
        <v>2469</v>
      </c>
      <c r="E1517" s="22" t="s">
        <v>53</v>
      </c>
      <c r="F1517" s="23" t="str">
        <f>HYPERLINK("https://www.spark-marketing.ru/Card/Lot/73392616", "Номер закупки 230/19-ЗП. Оказание услуг по физической охране объектов")</f>
        <v>Номер закупки 230/19-ЗП. Оказание услуг по физической охране объектов</v>
      </c>
      <c r="G1517" s="22" t="s">
        <v>409</v>
      </c>
      <c r="H1517" s="22" t="s">
        <v>2470</v>
      </c>
      <c r="I1517" s="26">
        <v>43721.329861111102</v>
      </c>
      <c r="J1517" s="28" t="s">
        <v>52</v>
      </c>
      <c r="K1517" s="28" t="s">
        <v>52</v>
      </c>
      <c r="L1517" s="28" t="s">
        <v>52</v>
      </c>
      <c r="M1517" s="28" t="s">
        <v>52</v>
      </c>
      <c r="N1517" s="28" t="s">
        <v>52</v>
      </c>
    </row>
    <row r="1518" spans="1:14" x14ac:dyDescent="0.15">
      <c r="A1518" s="23" t="str">
        <f>HYPERLINK("https://www.spark-marketing.ru/Card/Person/5897375", "ГК ЮГ РУСИ")</f>
        <v>ГК ЮГ РУСИ</v>
      </c>
      <c r="B1518" s="28" t="s">
        <v>52</v>
      </c>
      <c r="C1518" s="28" t="s">
        <v>52</v>
      </c>
      <c r="D1518" s="22" t="s">
        <v>2471</v>
      </c>
      <c r="E1518" s="22" t="s">
        <v>53</v>
      </c>
      <c r="F1518" s="23" t="str">
        <f>HYPERLINK("https://www.spark-marketing.ru/Card/Lot/73380815", "«Оказание услуг по поставке, монтажу и пуско-наладке системы видеонаблюдения для обеспечения транспортной безопасности» для нужд ЗАО «Юг Руси»")</f>
        <v>«Оказание услуг по поставке, монтажу и пуско-наладке системы видеонаблюдения для обеспечения транспортной безопасности» для нужд ЗАО «Юг Руси»</v>
      </c>
      <c r="G1518" s="22" t="s">
        <v>52</v>
      </c>
      <c r="H1518" s="22" t="s">
        <v>52</v>
      </c>
      <c r="I1518" s="26">
        <v>43721</v>
      </c>
      <c r="J1518" s="28" t="s">
        <v>52</v>
      </c>
      <c r="K1518" s="28" t="s">
        <v>52</v>
      </c>
      <c r="L1518" s="28" t="s">
        <v>52</v>
      </c>
      <c r="M1518" s="28" t="s">
        <v>52</v>
      </c>
      <c r="N1518" s="28" t="s">
        <v>52</v>
      </c>
    </row>
    <row r="1519" spans="1:14" x14ac:dyDescent="0.2">
      <c r="A1519" s="23" t="str">
        <f>HYPERLINK("https://www.spark-marketing.ru/Card/Person/923710", "ООО ""СЗРЦ КОНЦЕРНА ВКО ""АЛМАЗ - АНТЕЙ""")</f>
        <v>ООО "СЗРЦ КОНЦЕРНА ВКО "АЛМАЗ - АНТЕЙ"</v>
      </c>
      <c r="B1519" s="24" t="s">
        <v>2472</v>
      </c>
      <c r="C1519" s="25">
        <v>487933.56</v>
      </c>
      <c r="D1519" s="22" t="s">
        <v>2473</v>
      </c>
      <c r="E1519" s="22" t="s">
        <v>370</v>
      </c>
      <c r="F1519" s="23" t="str">
        <f>HYPERLINK("https://www.spark-marketing.ru/Card/Lot/73412198", "Заказчик поручает, а Исполнитель принимает на себя на выполнение работ по комплексному эксплуатационно-техническому обслуживанию системы контроля доступа и системы охранного видеонаблюдения в соответствии с Техническим заданием на объекте ООО « СЗРЦ ...")</f>
        <v>Заказчик поручает, а Исполнитель принимает на себя на выполнение работ по комплексному эксплуатационно-техническому обслуживанию системы контроля доступа и системы охранного видеонаблюдения в соответствии с Техническим заданием на объекте ООО « СЗРЦ ...</v>
      </c>
      <c r="G1519" s="22" t="s">
        <v>89</v>
      </c>
      <c r="H1519" s="22" t="s">
        <v>89</v>
      </c>
      <c r="I1519" s="26">
        <v>43721</v>
      </c>
      <c r="J1519" s="28" t="s">
        <v>52</v>
      </c>
      <c r="K1519" s="28" t="s">
        <v>52</v>
      </c>
      <c r="L1519" s="28" t="s">
        <v>52</v>
      </c>
      <c r="M1519" s="25">
        <v>487933.56</v>
      </c>
      <c r="N1519" s="27">
        <v>0</v>
      </c>
    </row>
    <row r="1520" spans="1:14" x14ac:dyDescent="0.15">
      <c r="A1520" s="23" t="str">
        <f>HYPERLINK("https://www.spark-marketing.ru/Card/Person/1761357", "АО ""ТРАНСНЕФТЬ - ЦЕНТРАЛЬНАЯ СИБИРЬ""")</f>
        <v>АО "ТРАНСНЕФТЬ - ЦЕНТРАЛЬНАЯ СИБИРЬ"</v>
      </c>
      <c r="B1520" s="24" t="s">
        <v>2474</v>
      </c>
      <c r="C1520" s="25">
        <v>3277836</v>
      </c>
      <c r="D1520" s="22" t="s">
        <v>2475</v>
      </c>
      <c r="E1520" s="22" t="s">
        <v>137</v>
      </c>
      <c r="F1520" s="23" t="str">
        <f>HYPERLINK("https://www.spark-marketing.ru/Card/Lot/73274472", "1500-E05-К-Y12-00031-2020 «Предоставление услуг по техническому обслуживанию комплексов инженерно-технических средств охраны на объектах Томского РНУ АО ""Транснефть - Центральная Сибирь"".»")</f>
        <v>1500-E05-К-Y12-00031-2020 «Предоставление услуг по техническому обслуживанию комплексов инженерно-технических средств охраны на объектах Томского РНУ АО "Транснефть - Центральная Сибирь".»</v>
      </c>
      <c r="G1520" s="22" t="s">
        <v>150</v>
      </c>
      <c r="H1520" s="22" t="s">
        <v>1656</v>
      </c>
      <c r="I1520" s="26">
        <v>43714</v>
      </c>
      <c r="J1520" s="28" t="s">
        <v>52</v>
      </c>
      <c r="K1520" s="28" t="s">
        <v>52</v>
      </c>
      <c r="L1520" s="28" t="s">
        <v>52</v>
      </c>
      <c r="M1520" s="28" t="s">
        <v>52</v>
      </c>
      <c r="N1520" s="28" t="s">
        <v>52</v>
      </c>
    </row>
    <row r="1521" spans="1:14" x14ac:dyDescent="0.15">
      <c r="A1521" s="23" t="str">
        <f>HYPERLINK("https://www.spark-marketing.ru/Card/Person/1761357", "АО ""ТРАНСНЕФТЬ - ЦЕНТРАЛЬНАЯ СИБИРЬ""")</f>
        <v>АО "ТРАНСНЕФТЬ - ЦЕНТРАЛЬНАЯ СИБИРЬ"</v>
      </c>
      <c r="B1521" s="24" t="s">
        <v>2474</v>
      </c>
      <c r="C1521" s="25">
        <v>1602636</v>
      </c>
      <c r="D1521" s="22" t="s">
        <v>2476</v>
      </c>
      <c r="E1521" s="22" t="s">
        <v>137</v>
      </c>
      <c r="F1521" s="23" t="str">
        <f>HYPERLINK("https://www.spark-marketing.ru/Card/Lot/73274128", "1500-E05-К-Y12-00041-2020 «Предоставление услуг по техническому обслуживанию комплексов инженерно-технических средств охраны на объектах РНУ «Парабель».»")</f>
        <v>1500-E05-К-Y12-00041-2020 «Предоставление услуг по техническому обслуживанию комплексов инженерно-технических средств охраны на объектах РНУ «Парабель».»</v>
      </c>
      <c r="G1521" s="22" t="s">
        <v>150</v>
      </c>
      <c r="H1521" s="22" t="s">
        <v>1656</v>
      </c>
      <c r="I1521" s="26">
        <v>43714</v>
      </c>
      <c r="J1521" s="28" t="s">
        <v>52</v>
      </c>
      <c r="K1521" s="28" t="s">
        <v>52</v>
      </c>
      <c r="L1521" s="28" t="s">
        <v>52</v>
      </c>
      <c r="M1521" s="28" t="s">
        <v>52</v>
      </c>
      <c r="N1521" s="28" t="s">
        <v>52</v>
      </c>
    </row>
    <row r="1522" spans="1:14" x14ac:dyDescent="0.15">
      <c r="A1522" s="23" t="str">
        <f>HYPERLINK("https://www.spark-marketing.ru/Card/Person/4449416", "МАОУ БУНЬКОВСКАЯ СОШ")</f>
        <v>МАОУ БУНЬКОВСКАЯ СОШ</v>
      </c>
      <c r="B1522" s="24" t="s">
        <v>2477</v>
      </c>
      <c r="C1522" s="25">
        <v>169520</v>
      </c>
      <c r="D1522" s="22" t="s">
        <v>2478</v>
      </c>
      <c r="E1522" s="22" t="s">
        <v>144</v>
      </c>
      <c r="F1522" s="23" t="str">
        <f>HYPERLINK("https://www.spark-marketing.ru/Card/Lot/73400445", "услуги по охране имущества, обеспечению общественного порядка и соблюдения пропускного режима")</f>
        <v>услуги по охране имущества, обеспечению общественного порядка и соблюдения пропускного режима</v>
      </c>
      <c r="G1522" s="22" t="s">
        <v>893</v>
      </c>
      <c r="H1522" s="22" t="s">
        <v>893</v>
      </c>
      <c r="I1522" s="26">
        <v>43721</v>
      </c>
      <c r="J1522" s="28" t="s">
        <v>52</v>
      </c>
      <c r="K1522" s="28" t="s">
        <v>52</v>
      </c>
      <c r="L1522" s="28" t="s">
        <v>52</v>
      </c>
      <c r="M1522" s="28" t="s">
        <v>52</v>
      </c>
      <c r="N1522" s="28" t="s">
        <v>52</v>
      </c>
    </row>
    <row r="1523" spans="1:14" x14ac:dyDescent="0.15">
      <c r="A1523" s="23" t="str">
        <f>HYPERLINK("https://www.spark-marketing.ru/Card/Person/1479226", "ГАУ ""ТАЛИЦКИЙ ПАНСИОНАТ""")</f>
        <v>ГАУ "ТАЛИЦКИЙ ПАНСИОНАТ"</v>
      </c>
      <c r="B1523" s="24" t="s">
        <v>2479</v>
      </c>
      <c r="C1523" s="25">
        <v>615633.36</v>
      </c>
      <c r="D1523" s="22" t="s">
        <v>2480</v>
      </c>
      <c r="E1523" s="22" t="s">
        <v>144</v>
      </c>
      <c r="F1523" s="23" t="str">
        <f>HYPERLINK("https://www.spark-marketing.ru/Card/Lot/73389849", "Оказание услуг физической охраны объектов ГАУ ""Талицкий пансионат"" в 4 квартале 2019 г.")</f>
        <v>Оказание услуг физической охраны объектов ГАУ "Талицкий пансионат" в 4 квартале 2019 г.</v>
      </c>
      <c r="G1523" s="22" t="s">
        <v>72</v>
      </c>
      <c r="H1523" s="22" t="s">
        <v>2481</v>
      </c>
      <c r="I1523" s="26">
        <v>43720.478576388901</v>
      </c>
      <c r="J1523" s="28" t="s">
        <v>52</v>
      </c>
      <c r="K1523" s="28" t="s">
        <v>52</v>
      </c>
      <c r="L1523" s="28" t="s">
        <v>52</v>
      </c>
      <c r="M1523" s="28" t="s">
        <v>52</v>
      </c>
      <c r="N1523" s="28" t="s">
        <v>52</v>
      </c>
    </row>
    <row r="1524" spans="1:14" x14ac:dyDescent="0.15">
      <c r="A1524" s="23" t="str">
        <f>HYPERLINK("https://www.spark-marketing.ru/Card/Person/601568", "ЯРОСЛАВСКИЙ МУЗЕЙ-ЗАПОВЕДНИК")</f>
        <v>ЯРОСЛАВСКИЙ МУЗЕЙ-ЗАПОВЕДНИК</v>
      </c>
      <c r="B1524" s="24" t="s">
        <v>2482</v>
      </c>
      <c r="C1524" s="25">
        <v>1311968.72</v>
      </c>
      <c r="D1524" s="22" t="s">
        <v>2483</v>
      </c>
      <c r="E1524" s="22" t="s">
        <v>144</v>
      </c>
      <c r="F1524" s="23" t="str">
        <f>HYPERLINK("https://www.spark-marketing.ru/Card/Lot/73412160", "услуги по охране объектов музея-заповедника, музея «Космос")</f>
        <v>услуги по охране объектов музея-заповедника, музея «Космос</v>
      </c>
      <c r="G1524" s="22" t="s">
        <v>155</v>
      </c>
      <c r="H1524" s="22" t="s">
        <v>155</v>
      </c>
      <c r="I1524" s="26">
        <v>43721</v>
      </c>
      <c r="J1524" s="28" t="s">
        <v>52</v>
      </c>
      <c r="K1524" s="28" t="s">
        <v>52</v>
      </c>
      <c r="L1524" s="28" t="s">
        <v>52</v>
      </c>
      <c r="M1524" s="28" t="s">
        <v>52</v>
      </c>
      <c r="N1524" s="28" t="s">
        <v>52</v>
      </c>
    </row>
    <row r="1525" spans="1:14" x14ac:dyDescent="0.15">
      <c r="A1525" s="23" t="str">
        <f>HYPERLINK("https://www.spark-marketing.ru/Card/Person/4365531", "ООО ""УК ""ТАТБУРНЕФТЬ""")</f>
        <v>ООО "УК "ТАТБУРНЕФТЬ"</v>
      </c>
      <c r="B1525" s="24" t="s">
        <v>1875</v>
      </c>
      <c r="C1525" s="28" t="s">
        <v>52</v>
      </c>
      <c r="D1525" s="22" t="s">
        <v>2484</v>
      </c>
      <c r="E1525" s="22" t="s">
        <v>53</v>
      </c>
      <c r="F1525" s="23" t="str">
        <f>HYPERLINK("https://www.spark-marketing.ru/Card/Lot/73811847", "Оказание услуг по охране стационарных и полевых объектов (37/19)")</f>
        <v>Оказание услуг по охране стационарных и полевых объектов (37/19)</v>
      </c>
      <c r="G1525" s="22" t="s">
        <v>204</v>
      </c>
      <c r="H1525" s="22" t="s">
        <v>308</v>
      </c>
      <c r="I1525" s="26">
        <v>43721</v>
      </c>
      <c r="J1525" s="28" t="s">
        <v>52</v>
      </c>
      <c r="K1525" s="28" t="s">
        <v>52</v>
      </c>
      <c r="L1525" s="28" t="s">
        <v>52</v>
      </c>
      <c r="M1525" s="28" t="s">
        <v>52</v>
      </c>
      <c r="N1525" s="28" t="s">
        <v>52</v>
      </c>
    </row>
    <row r="1526" spans="1:14" x14ac:dyDescent="0.15">
      <c r="A1526" s="23" t="str">
        <f>HYPERLINK("https://www.spark-marketing.ru/Card/Person/601568", "ЯРОСЛАВСКИЙ МУЗЕЙ-ЗАПОВЕДНИК")</f>
        <v>ЯРОСЛАВСКИЙ МУЗЕЙ-ЗАПОВЕДНИК</v>
      </c>
      <c r="B1526" s="24" t="s">
        <v>2482</v>
      </c>
      <c r="C1526" s="25">
        <v>899497.28</v>
      </c>
      <c r="D1526" s="22" t="s">
        <v>2485</v>
      </c>
      <c r="E1526" s="22" t="s">
        <v>144</v>
      </c>
      <c r="F1526" s="23" t="str">
        <f>HYPERLINK("https://www.spark-marketing.ru/Card/Lot/73409144", "услуги по охране объектов музея-заповедника (Собинов, МБС)")</f>
        <v>услуги по охране объектов музея-заповедника (Собинов, МБС)</v>
      </c>
      <c r="G1526" s="22" t="s">
        <v>155</v>
      </c>
      <c r="H1526" s="22" t="s">
        <v>155</v>
      </c>
      <c r="I1526" s="26">
        <v>43721</v>
      </c>
      <c r="J1526" s="28" t="s">
        <v>52</v>
      </c>
      <c r="K1526" s="28" t="s">
        <v>52</v>
      </c>
      <c r="L1526" s="28" t="s">
        <v>52</v>
      </c>
      <c r="M1526" s="28" t="s">
        <v>52</v>
      </c>
      <c r="N1526" s="28" t="s">
        <v>52</v>
      </c>
    </row>
    <row r="1527" spans="1:14" x14ac:dyDescent="0.2">
      <c r="A1527" s="23" t="str">
        <f>HYPERLINK("https://www.spark-marketing.ru/Card/Person/573574", "ООО ""ЖКС №2 ФРУНЗЕНСКОГО РАЙОНА""")</f>
        <v>ООО "ЖКС №2 ФРУНЗЕНСКОГО РАЙОНА"</v>
      </c>
      <c r="B1527" s="24" t="s">
        <v>1003</v>
      </c>
      <c r="C1527" s="25">
        <v>153772</v>
      </c>
      <c r="D1527" s="22" t="s">
        <v>2486</v>
      </c>
      <c r="E1527" s="22" t="s">
        <v>49</v>
      </c>
      <c r="F1527" s="23" t="str">
        <f>HYPERLINK("https://www.spark-marketing.ru/Card/Lot/73403312", "Выполнение работ по установке оборудования системы сигнализации по адресу: Олеко Дундича, д.35,к3.")</f>
        <v>Выполнение работ по установке оборудования системы сигнализации по адресу: Олеко Дундича, д.35,к3.</v>
      </c>
      <c r="G1527" s="22" t="s">
        <v>89</v>
      </c>
      <c r="H1527" s="22" t="s">
        <v>89</v>
      </c>
      <c r="I1527" s="26">
        <v>43721</v>
      </c>
      <c r="J1527" s="28" t="s">
        <v>52</v>
      </c>
      <c r="K1527" s="28" t="s">
        <v>52</v>
      </c>
      <c r="L1527" s="28" t="s">
        <v>52</v>
      </c>
      <c r="M1527" s="25">
        <v>1300000</v>
      </c>
      <c r="N1527" s="27">
        <v>-7.4540748640844887</v>
      </c>
    </row>
    <row r="1528" spans="1:14" x14ac:dyDescent="0.15">
      <c r="A1528" s="23" t="str">
        <f>HYPERLINK("https://www.spark-marketing.ru/Card/Person/4365531", "ООО ""УК ""ТАТБУРНЕФТЬ""")</f>
        <v>ООО "УК "ТАТБУРНЕФТЬ"</v>
      </c>
      <c r="B1528" s="24" t="s">
        <v>1875</v>
      </c>
      <c r="C1528" s="28" t="s">
        <v>52</v>
      </c>
      <c r="D1528" s="22" t="s">
        <v>2487</v>
      </c>
      <c r="E1528" s="22" t="s">
        <v>53</v>
      </c>
      <c r="F1528" s="23" t="str">
        <f>HYPERLINK("https://www.spark-marketing.ru/Card/Lot/73410094", "Оказание услуг по охране стационарных и полевых объектов (37/19)")</f>
        <v>Оказание услуг по охране стационарных и полевых объектов (37/19)</v>
      </c>
      <c r="G1528" s="22" t="s">
        <v>204</v>
      </c>
      <c r="H1528" s="22" t="s">
        <v>308</v>
      </c>
      <c r="I1528" s="26">
        <v>43721</v>
      </c>
      <c r="J1528" s="28" t="s">
        <v>52</v>
      </c>
      <c r="K1528" s="28" t="s">
        <v>52</v>
      </c>
      <c r="L1528" s="28" t="s">
        <v>52</v>
      </c>
      <c r="M1528" s="28" t="s">
        <v>52</v>
      </c>
      <c r="N1528" s="28" t="s">
        <v>52</v>
      </c>
    </row>
    <row r="1529" spans="1:14" x14ac:dyDescent="0.15">
      <c r="A1529" s="23" t="str">
        <f>HYPERLINK("https://www.spark-marketing.ru/Card/Person/535263", "АО ""ЕЭСК""")</f>
        <v>АО "ЕЭСК"</v>
      </c>
      <c r="B1529" s="24" t="s">
        <v>560</v>
      </c>
      <c r="C1529" s="25">
        <v>259200</v>
      </c>
      <c r="D1529" s="22" t="s">
        <v>2488</v>
      </c>
      <c r="E1529" s="22" t="s">
        <v>562</v>
      </c>
      <c r="F1529" s="23" t="str">
        <f>HYPERLINK("https://www.spark-marketing.ru/Card/Lot/73406259", "Выполнение работ по техническому обслуживанию видеостены диспетчерского пункта АО ЕЭСК")</f>
        <v>Выполнение работ по техническому обслуживанию видеостены диспетчерского пункта АО ЕЭСК</v>
      </c>
      <c r="G1529" s="22" t="s">
        <v>72</v>
      </c>
      <c r="H1529" s="22" t="s">
        <v>72</v>
      </c>
      <c r="I1529" s="26">
        <v>43721</v>
      </c>
      <c r="J1529" s="28" t="s">
        <v>52</v>
      </c>
      <c r="K1529" s="28" t="s">
        <v>52</v>
      </c>
      <c r="L1529" s="28" t="s">
        <v>52</v>
      </c>
      <c r="M1529" s="28" t="s">
        <v>52</v>
      </c>
      <c r="N1529" s="28" t="s">
        <v>52</v>
      </c>
    </row>
    <row r="1530" spans="1:14" x14ac:dyDescent="0.15">
      <c r="A1530" s="23" t="str">
        <f t="shared" ref="A1530:A1539" si="56">HYPERLINK("https://www.spark-marketing.ru/Card/Person/57210", "МИНИСТЕРСТВО ТРАНСПОРТА КРАЯ")</f>
        <v>МИНИСТЕРСТВО ТРАНСПОРТА КРАЯ</v>
      </c>
      <c r="B1530" s="24" t="s">
        <v>2489</v>
      </c>
      <c r="C1530" s="25">
        <v>56888551</v>
      </c>
      <c r="D1530" s="22" t="s">
        <v>2490</v>
      </c>
      <c r="E1530" s="22" t="s">
        <v>218</v>
      </c>
      <c r="F1530" s="23" t="str">
        <f t="shared" ref="F1530:F1539" si="57">HYPERLINK("https://www.spark-marketing.ru/Card/Lot/73389326", "Разработка рабочей документации по оснащению инженерно-техническими средствами обеспечения транспортной безопасности объектов транспортной инфраструктуры дорожного хозяйства Краснодарского края")</f>
        <v>Разработка рабочей документации по оснащению инженерно-техническими средствами обеспечения транспортной безопасности объектов транспортной инфраструктуры дорожного хозяйства Краснодарского края</v>
      </c>
      <c r="G1530" s="22" t="s">
        <v>132</v>
      </c>
      <c r="H1530" s="22" t="s">
        <v>652</v>
      </c>
      <c r="I1530" s="26">
        <v>43720.903229166703</v>
      </c>
      <c r="J1530" s="28" t="s">
        <v>52</v>
      </c>
      <c r="K1530" s="28" t="s">
        <v>52</v>
      </c>
      <c r="L1530" s="28" t="s">
        <v>52</v>
      </c>
      <c r="M1530" s="28" t="s">
        <v>52</v>
      </c>
      <c r="N1530" s="28" t="s">
        <v>52</v>
      </c>
    </row>
    <row r="1531" spans="1:14" hidden="1" outlineLevel="1" x14ac:dyDescent="0.15">
      <c r="A1531" s="23" t="str">
        <f t="shared" si="56"/>
        <v>МИНИСТЕРСТВО ТРАНСПОРТА КРАЯ</v>
      </c>
      <c r="B1531" s="24" t="s">
        <v>2489</v>
      </c>
      <c r="C1531" s="25">
        <v>56888551</v>
      </c>
      <c r="D1531" s="22" t="s">
        <v>2490</v>
      </c>
      <c r="E1531" s="22" t="s">
        <v>218</v>
      </c>
      <c r="F1531" s="23" t="str">
        <f t="shared" si="57"/>
        <v>Разработка рабочей документации по оснащению инженерно-техническими средствами обеспечения транспортной безопасности объектов транспортной инфраструктуры дорожного хозяйства Краснодарского края</v>
      </c>
      <c r="G1531" s="22" t="s">
        <v>132</v>
      </c>
      <c r="H1531" s="22" t="s">
        <v>652</v>
      </c>
      <c r="I1531" s="26">
        <v>43720.903229166703</v>
      </c>
      <c r="J1531" s="23" t="str">
        <f>HYPERLINK("https://www.spark-marketing.ru/Card/Person/52410", "ООО ""ЭЛИКОМ""")</f>
        <v>ООО "ЭЛИКОМ"</v>
      </c>
      <c r="K1531" s="24" t="s">
        <v>2491</v>
      </c>
      <c r="L1531" s="28" t="s">
        <v>52</v>
      </c>
      <c r="M1531" s="28" t="s">
        <v>52</v>
      </c>
      <c r="N1531" s="28" t="s">
        <v>52</v>
      </c>
    </row>
    <row r="1532" spans="1:14" hidden="1" outlineLevel="1" x14ac:dyDescent="0.15">
      <c r="A1532" s="23" t="str">
        <f t="shared" si="56"/>
        <v>МИНИСТЕРСТВО ТРАНСПОРТА КРАЯ</v>
      </c>
      <c r="B1532" s="24" t="s">
        <v>2489</v>
      </c>
      <c r="C1532" s="25">
        <v>56888551</v>
      </c>
      <c r="D1532" s="22" t="s">
        <v>2490</v>
      </c>
      <c r="E1532" s="22" t="s">
        <v>218</v>
      </c>
      <c r="F1532" s="23" t="str">
        <f t="shared" si="57"/>
        <v>Разработка рабочей документации по оснащению инженерно-техническими средствами обеспечения транспортной безопасности объектов транспортной инфраструктуры дорожного хозяйства Краснодарского края</v>
      </c>
      <c r="G1532" s="22" t="s">
        <v>132</v>
      </c>
      <c r="H1532" s="22" t="s">
        <v>652</v>
      </c>
      <c r="I1532" s="26">
        <v>43720.903229166703</v>
      </c>
      <c r="J1532" s="23" t="str">
        <f>HYPERLINK("https://www.spark-marketing.ru/Card/Person/65561", "ООО ""ВЕСТ""")</f>
        <v>ООО "ВЕСТ"</v>
      </c>
      <c r="K1532" s="24" t="s">
        <v>2492</v>
      </c>
      <c r="L1532" s="28" t="s">
        <v>52</v>
      </c>
      <c r="M1532" s="28" t="s">
        <v>52</v>
      </c>
      <c r="N1532" s="28" t="s">
        <v>52</v>
      </c>
    </row>
    <row r="1533" spans="1:14" hidden="1" outlineLevel="1" x14ac:dyDescent="0.2">
      <c r="A1533" s="23" t="str">
        <f t="shared" si="56"/>
        <v>МИНИСТЕРСТВО ТРАНСПОРТА КРАЯ</v>
      </c>
      <c r="B1533" s="24" t="s">
        <v>2489</v>
      </c>
      <c r="C1533" s="25">
        <v>56888551</v>
      </c>
      <c r="D1533" s="22" t="s">
        <v>2490</v>
      </c>
      <c r="E1533" s="22" t="s">
        <v>218</v>
      </c>
      <c r="F1533" s="23" t="str">
        <f t="shared" si="57"/>
        <v>Разработка рабочей документации по оснащению инженерно-техническими средствами обеспечения транспортной безопасности объектов транспортной инфраструктуры дорожного хозяйства Краснодарского края</v>
      </c>
      <c r="G1533" s="22" t="s">
        <v>132</v>
      </c>
      <c r="H1533" s="22" t="s">
        <v>652</v>
      </c>
      <c r="I1533" s="26">
        <v>43720.903229166703</v>
      </c>
      <c r="J1533" s="23" t="str">
        <f>HYPERLINK("https://www.spark-marketing.ru/Card/Person/63572", "ЗАО ""ИНТЕХ""")</f>
        <v>ЗАО "ИНТЕХ"</v>
      </c>
      <c r="K1533" s="24" t="s">
        <v>2493</v>
      </c>
      <c r="L1533" s="28" t="s">
        <v>52</v>
      </c>
      <c r="M1533" s="25">
        <v>35000000</v>
      </c>
      <c r="N1533" s="27">
        <v>0.38476197082256497</v>
      </c>
    </row>
    <row r="1534" spans="1:14" hidden="1" outlineLevel="1" x14ac:dyDescent="0.2">
      <c r="A1534" s="23" t="str">
        <f t="shared" si="56"/>
        <v>МИНИСТЕРСТВО ТРАНСПОРТА КРАЯ</v>
      </c>
      <c r="B1534" s="24" t="s">
        <v>2489</v>
      </c>
      <c r="C1534" s="25">
        <v>56888551</v>
      </c>
      <c r="D1534" s="22" t="s">
        <v>2490</v>
      </c>
      <c r="E1534" s="22" t="s">
        <v>218</v>
      </c>
      <c r="F1534" s="23" t="str">
        <f t="shared" si="57"/>
        <v>Разработка рабочей документации по оснащению инженерно-техническими средствами обеспечения транспортной безопасности объектов транспортной инфраструктуры дорожного хозяйства Краснодарского края</v>
      </c>
      <c r="G1534" s="22" t="s">
        <v>132</v>
      </c>
      <c r="H1534" s="22" t="s">
        <v>652</v>
      </c>
      <c r="I1534" s="26">
        <v>43720.903229166703</v>
      </c>
      <c r="J1534" s="23" t="str">
        <f>HYPERLINK("https://www.spark-marketing.ru/Card/Person/53733", "ООО ""ЦБИ ""МАСКОМ""")</f>
        <v>ООО "ЦБИ "МАСКОМ"</v>
      </c>
      <c r="K1534" s="24" t="s">
        <v>2494</v>
      </c>
      <c r="L1534" s="28" t="s">
        <v>52</v>
      </c>
      <c r="M1534" s="25">
        <v>53330000</v>
      </c>
      <c r="N1534" s="27">
        <v>6.2553025827639733E-2</v>
      </c>
    </row>
    <row r="1535" spans="1:14" hidden="1" outlineLevel="1" x14ac:dyDescent="0.2">
      <c r="A1535" s="23" t="str">
        <f t="shared" si="56"/>
        <v>МИНИСТЕРСТВО ТРАНСПОРТА КРАЯ</v>
      </c>
      <c r="B1535" s="24" t="s">
        <v>2489</v>
      </c>
      <c r="C1535" s="25">
        <v>56888551</v>
      </c>
      <c r="D1535" s="22" t="s">
        <v>2490</v>
      </c>
      <c r="E1535" s="22" t="s">
        <v>218</v>
      </c>
      <c r="F1535" s="23" t="str">
        <f t="shared" si="57"/>
        <v>Разработка рабочей документации по оснащению инженерно-техническими средствами обеспечения транспортной безопасности объектов транспортной инфраструктуры дорожного хозяйства Краснодарского края</v>
      </c>
      <c r="G1535" s="22" t="s">
        <v>132</v>
      </c>
      <c r="H1535" s="22" t="s">
        <v>652</v>
      </c>
      <c r="I1535" s="26">
        <v>43720.903229166703</v>
      </c>
      <c r="J1535" s="23" t="str">
        <f>HYPERLINK("https://www.spark-marketing.ru/Card/Person/109035", "ЗАО ""ПМЦ ""АВАНГАРД""")</f>
        <v>ЗАО "ПМЦ "АВАНГАРД"</v>
      </c>
      <c r="K1535" s="24" t="s">
        <v>2495</v>
      </c>
      <c r="L1535" s="28" t="s">
        <v>52</v>
      </c>
      <c r="M1535" s="25">
        <v>49800000</v>
      </c>
      <c r="N1535" s="27">
        <v>0.12460417562753531</v>
      </c>
    </row>
    <row r="1536" spans="1:14" hidden="1" outlineLevel="1" x14ac:dyDescent="0.2">
      <c r="A1536" s="23" t="str">
        <f t="shared" si="56"/>
        <v>МИНИСТЕРСТВО ТРАНСПОРТА КРАЯ</v>
      </c>
      <c r="B1536" s="24" t="s">
        <v>2489</v>
      </c>
      <c r="C1536" s="25">
        <v>56888551</v>
      </c>
      <c r="D1536" s="22" t="s">
        <v>2490</v>
      </c>
      <c r="E1536" s="22" t="s">
        <v>218</v>
      </c>
      <c r="F1536" s="23" t="str">
        <f t="shared" si="57"/>
        <v>Разработка рабочей документации по оснащению инженерно-техническими средствами обеспечения транспортной безопасности объектов транспортной инфраструктуры дорожного хозяйства Краснодарского края</v>
      </c>
      <c r="G1536" s="22" t="s">
        <v>132</v>
      </c>
      <c r="H1536" s="22" t="s">
        <v>652</v>
      </c>
      <c r="I1536" s="26">
        <v>43720.903229166703</v>
      </c>
      <c r="J1536" s="23" t="str">
        <f>HYPERLINK("https://www.spark-marketing.ru/Card/Person/66696", "ООО ""ПАРАЛЛАКС""")</f>
        <v>ООО "ПАРАЛЛАКС"</v>
      </c>
      <c r="K1536" s="24" t="s">
        <v>2496</v>
      </c>
      <c r="L1536" s="28" t="s">
        <v>52</v>
      </c>
      <c r="M1536" s="25">
        <v>48999777</v>
      </c>
      <c r="N1536" s="27">
        <v>0.13867067909674829</v>
      </c>
    </row>
    <row r="1537" spans="1:14" hidden="1" outlineLevel="1" x14ac:dyDescent="0.2">
      <c r="A1537" s="23" t="str">
        <f t="shared" si="56"/>
        <v>МИНИСТЕРСТВО ТРАНСПОРТА КРАЯ</v>
      </c>
      <c r="B1537" s="24" t="s">
        <v>2489</v>
      </c>
      <c r="C1537" s="25">
        <v>56888551</v>
      </c>
      <c r="D1537" s="22" t="s">
        <v>2490</v>
      </c>
      <c r="E1537" s="22" t="s">
        <v>218</v>
      </c>
      <c r="F1537" s="23" t="str">
        <f t="shared" si="57"/>
        <v>Разработка рабочей документации по оснащению инженерно-техническими средствами обеспечения транспортной безопасности объектов транспортной инфраструктуры дорожного хозяйства Краснодарского края</v>
      </c>
      <c r="G1537" s="22" t="s">
        <v>132</v>
      </c>
      <c r="H1537" s="22" t="s">
        <v>652</v>
      </c>
      <c r="I1537" s="26">
        <v>43720.903229166703</v>
      </c>
      <c r="J1537" s="23" t="str">
        <f>HYPERLINK("https://www.spark-marketing.ru/Card/Person/366074", "ЗАО ""ИНТЕГРА -С""")</f>
        <v>ЗАО "ИНТЕГРА -С"</v>
      </c>
      <c r="K1537" s="24" t="s">
        <v>2497</v>
      </c>
      <c r="L1537" s="28" t="s">
        <v>52</v>
      </c>
      <c r="M1537" s="25">
        <v>31000000</v>
      </c>
      <c r="N1537" s="27">
        <v>0.45507488844284327</v>
      </c>
    </row>
    <row r="1538" spans="1:14" ht="12.75" hidden="1" outlineLevel="1" x14ac:dyDescent="0.2">
      <c r="A1538" s="23" t="str">
        <f t="shared" si="56"/>
        <v>МИНИСТЕРСТВО ТРАНСПОРТА КРАЯ</v>
      </c>
      <c r="B1538" s="24" t="s">
        <v>2489</v>
      </c>
      <c r="C1538" s="25">
        <v>56888551</v>
      </c>
      <c r="D1538" s="22" t="s">
        <v>2490</v>
      </c>
      <c r="E1538" s="22" t="s">
        <v>218</v>
      </c>
      <c r="F1538" s="23" t="str">
        <f t="shared" si="57"/>
        <v>Разработка рабочей документации по оснащению инженерно-техническими средствами обеспечения транспортной безопасности объектов транспортной инфраструктуры дорожного хозяйства Краснодарского края</v>
      </c>
      <c r="G1538" s="22" t="s">
        <v>132</v>
      </c>
      <c r="H1538" s="22" t="s">
        <v>652</v>
      </c>
      <c r="I1538" s="26">
        <v>43720.903229166703</v>
      </c>
      <c r="J1538" s="23" t="str">
        <f>HYPERLINK("https://www.spark-marketing.ru/Card/Person/90111", "ООО ""АЙ ДИ КОНСАЛТИНГ""")</f>
        <v>ООО "АЙ ДИ КОНСАЛТИНГ"</v>
      </c>
      <c r="K1538" s="24" t="s">
        <v>2498</v>
      </c>
      <c r="L1538" s="22" t="s">
        <v>10</v>
      </c>
      <c r="M1538" s="25">
        <v>25000000</v>
      </c>
      <c r="N1538" s="27">
        <v>0.5605442648732607</v>
      </c>
    </row>
    <row r="1539" spans="1:14" hidden="1" outlineLevel="1" x14ac:dyDescent="0.2">
      <c r="A1539" s="23" t="str">
        <f t="shared" si="56"/>
        <v>МИНИСТЕРСТВО ТРАНСПОРТА КРАЯ</v>
      </c>
      <c r="B1539" s="24" t="s">
        <v>2489</v>
      </c>
      <c r="C1539" s="25">
        <v>56888551</v>
      </c>
      <c r="D1539" s="22" t="s">
        <v>2490</v>
      </c>
      <c r="E1539" s="22" t="s">
        <v>218</v>
      </c>
      <c r="F1539" s="23" t="str">
        <f t="shared" si="57"/>
        <v>Разработка рабочей документации по оснащению инженерно-техническими средствами обеспечения транспортной безопасности объектов транспортной инфраструктуры дорожного хозяйства Краснодарского края</v>
      </c>
      <c r="G1539" s="22" t="s">
        <v>132</v>
      </c>
      <c r="H1539" s="22" t="s">
        <v>652</v>
      </c>
      <c r="I1539" s="26">
        <v>43720.903229166703</v>
      </c>
      <c r="J1539" s="23" t="str">
        <f>HYPERLINK("https://www.spark-marketing.ru/Card/Person/77204", "ООО ""ИНФОРМ-АЛЬЯНС""")</f>
        <v>ООО "ИНФОРМ-АЛЬЯНС"</v>
      </c>
      <c r="K1539" s="24" t="s">
        <v>2499</v>
      </c>
      <c r="L1539" s="28" t="s">
        <v>52</v>
      </c>
      <c r="M1539" s="25">
        <v>24900000</v>
      </c>
      <c r="N1539" s="27">
        <v>0.56230208781376767</v>
      </c>
    </row>
    <row r="1540" spans="1:14" x14ac:dyDescent="0.15">
      <c r="A1540" s="23" t="str">
        <f>HYPERLINK("https://www.spark-marketing.ru/Card/Person/4346536", "СКБХР ФКУ ""СКОУМТС МВД России""")</f>
        <v>СКБХР ФКУ "СКОУМТС МВД России"</v>
      </c>
      <c r="B1540" s="24" t="s">
        <v>2500</v>
      </c>
      <c r="C1540" s="25">
        <v>90000</v>
      </c>
      <c r="D1540" s="22" t="s">
        <v>2501</v>
      </c>
      <c r="E1540" s="22" t="s">
        <v>107</v>
      </c>
      <c r="F1540" s="23" t="str">
        <f>HYPERLINK("https://www.spark-marketing.ru/Card/Lot/73383719", "Техническое обслуживание сигнализации газовой безопасности и газоиспользующего оборудования на 2021г, 3 усл. ед")</f>
        <v>Техническое обслуживание сигнализации газовой безопасности и газоиспользующего оборудования на 2021г, 3 усл. ед</v>
      </c>
      <c r="G1540" s="22" t="s">
        <v>402</v>
      </c>
      <c r="H1540" s="22" t="s">
        <v>403</v>
      </c>
      <c r="I1540" s="26">
        <v>43720.786168981504</v>
      </c>
      <c r="J1540" s="28" t="s">
        <v>52</v>
      </c>
      <c r="K1540" s="28" t="s">
        <v>52</v>
      </c>
      <c r="L1540" s="28" t="s">
        <v>52</v>
      </c>
      <c r="M1540" s="28" t="s">
        <v>52</v>
      </c>
      <c r="N1540" s="28" t="s">
        <v>52</v>
      </c>
    </row>
    <row r="1541" spans="1:14" x14ac:dyDescent="0.15">
      <c r="A1541" s="23" t="str">
        <f t="shared" ref="A1541:A1549" si="58">HYPERLINK("https://www.spark-marketing.ru/Card/Person/22300", "ГБУЗ ОКПНД")</f>
        <v>ГБУЗ ОКПНД</v>
      </c>
      <c r="B1541" s="24" t="s">
        <v>2502</v>
      </c>
      <c r="C1541" s="25">
        <v>3149528</v>
      </c>
      <c r="D1541" s="22" t="s">
        <v>2503</v>
      </c>
      <c r="E1541" s="22" t="s">
        <v>79</v>
      </c>
      <c r="F1541" s="23" t="str">
        <f t="shared" ref="F1541:F1549" si="59">HYPERLINK("https://www.spark-marketing.ru/Card/Lot/73389488", "Выполнение работ по установке системы видеонаблюдения")</f>
        <v>Выполнение работ по установке системы видеонаблюдения</v>
      </c>
      <c r="G1541" s="22" t="s">
        <v>251</v>
      </c>
      <c r="H1541" s="22" t="s">
        <v>252</v>
      </c>
      <c r="I1541" s="26">
        <v>43720.734027777798</v>
      </c>
      <c r="J1541" s="28" t="s">
        <v>52</v>
      </c>
      <c r="K1541" s="28" t="s">
        <v>52</v>
      </c>
      <c r="L1541" s="28" t="s">
        <v>52</v>
      </c>
      <c r="M1541" s="28" t="s">
        <v>52</v>
      </c>
      <c r="N1541" s="28" t="s">
        <v>52</v>
      </c>
    </row>
    <row r="1542" spans="1:14" hidden="1" outlineLevel="1" x14ac:dyDescent="0.2">
      <c r="A1542" s="23" t="str">
        <f t="shared" si="58"/>
        <v>ГБУЗ ОКПНД</v>
      </c>
      <c r="B1542" s="24" t="s">
        <v>2502</v>
      </c>
      <c r="C1542" s="25">
        <v>3149528</v>
      </c>
      <c r="D1542" s="22" t="s">
        <v>2503</v>
      </c>
      <c r="E1542" s="22" t="s">
        <v>79</v>
      </c>
      <c r="F1542" s="23" t="str">
        <f t="shared" si="59"/>
        <v>Выполнение работ по установке системы видеонаблюдения</v>
      </c>
      <c r="G1542" s="22" t="s">
        <v>251</v>
      </c>
      <c r="H1542" s="22" t="s">
        <v>252</v>
      </c>
      <c r="I1542" s="26">
        <v>43720.734027777798</v>
      </c>
      <c r="J1542" s="23" t="str">
        <f>HYPERLINK("https://www.spark-marketing.ru/Card/Person/2591659", "ООО ""СТ ТВЕРЬ""")</f>
        <v>ООО "СТ ТВЕРЬ"</v>
      </c>
      <c r="K1542" s="24" t="s">
        <v>2504</v>
      </c>
      <c r="L1542" s="28" t="s">
        <v>52</v>
      </c>
      <c r="M1542" s="25">
        <v>2866070.48</v>
      </c>
      <c r="N1542" s="27">
        <v>0.09</v>
      </c>
    </row>
    <row r="1543" spans="1:14" hidden="1" outlineLevel="1" x14ac:dyDescent="0.2">
      <c r="A1543" s="23" t="str">
        <f t="shared" si="58"/>
        <v>ГБУЗ ОКПНД</v>
      </c>
      <c r="B1543" s="24" t="s">
        <v>2502</v>
      </c>
      <c r="C1543" s="25">
        <v>3149528</v>
      </c>
      <c r="D1543" s="22" t="s">
        <v>2503</v>
      </c>
      <c r="E1543" s="22" t="s">
        <v>79</v>
      </c>
      <c r="F1543" s="23" t="str">
        <f t="shared" si="59"/>
        <v>Выполнение работ по установке системы видеонаблюдения</v>
      </c>
      <c r="G1543" s="22" t="s">
        <v>251</v>
      </c>
      <c r="H1543" s="22" t="s">
        <v>252</v>
      </c>
      <c r="I1543" s="26">
        <v>43720.734027777798</v>
      </c>
      <c r="J1543" s="23" t="str">
        <f>HYPERLINK("https://www.spark-marketing.ru/Card/Person/6593051", "ООО ""АТЕМО""")</f>
        <v>ООО "АТЕМО"</v>
      </c>
      <c r="K1543" s="24" t="s">
        <v>2505</v>
      </c>
      <c r="L1543" s="28" t="s">
        <v>52</v>
      </c>
      <c r="M1543" s="25">
        <v>2708594.08</v>
      </c>
      <c r="N1543" s="27">
        <v>0.14000000000000001</v>
      </c>
    </row>
    <row r="1544" spans="1:14" hidden="1" outlineLevel="1" x14ac:dyDescent="0.2">
      <c r="A1544" s="23" t="str">
        <f t="shared" si="58"/>
        <v>ГБУЗ ОКПНД</v>
      </c>
      <c r="B1544" s="24" t="s">
        <v>2502</v>
      </c>
      <c r="C1544" s="25">
        <v>3149528</v>
      </c>
      <c r="D1544" s="22" t="s">
        <v>2503</v>
      </c>
      <c r="E1544" s="22" t="s">
        <v>79</v>
      </c>
      <c r="F1544" s="23" t="str">
        <f t="shared" si="59"/>
        <v>Выполнение работ по установке системы видеонаблюдения</v>
      </c>
      <c r="G1544" s="22" t="s">
        <v>251</v>
      </c>
      <c r="H1544" s="22" t="s">
        <v>252</v>
      </c>
      <c r="I1544" s="26">
        <v>43720.734027777798</v>
      </c>
      <c r="J1544" s="23" t="str">
        <f>HYPERLINK("https://www.spark-marketing.ru/Card/Person/803106", "Лунегов Алексей Евгеньевич")</f>
        <v>Лунегов Алексей Евгеньевич</v>
      </c>
      <c r="K1544" s="24" t="s">
        <v>2506</v>
      </c>
      <c r="L1544" s="28" t="s">
        <v>52</v>
      </c>
      <c r="M1544" s="25">
        <v>2328252.36</v>
      </c>
      <c r="N1544" s="27">
        <v>0.26076149823084604</v>
      </c>
    </row>
    <row r="1545" spans="1:14" hidden="1" outlineLevel="1" x14ac:dyDescent="0.2">
      <c r="A1545" s="23" t="str">
        <f t="shared" si="58"/>
        <v>ГБУЗ ОКПНД</v>
      </c>
      <c r="B1545" s="24" t="s">
        <v>2502</v>
      </c>
      <c r="C1545" s="25">
        <v>3149528</v>
      </c>
      <c r="D1545" s="22" t="s">
        <v>2503</v>
      </c>
      <c r="E1545" s="22" t="s">
        <v>79</v>
      </c>
      <c r="F1545" s="23" t="str">
        <f t="shared" si="59"/>
        <v>Выполнение работ по установке системы видеонаблюдения</v>
      </c>
      <c r="G1545" s="22" t="s">
        <v>251</v>
      </c>
      <c r="H1545" s="22" t="s">
        <v>252</v>
      </c>
      <c r="I1545" s="26">
        <v>43720.734027777798</v>
      </c>
      <c r="J1545" s="23" t="str">
        <f>HYPERLINK("https://www.spark-marketing.ru/Card/Person/616617", "ООО ""АЙТИГРУПП""")</f>
        <v>ООО "АЙТИГРУПП"</v>
      </c>
      <c r="K1545" s="24" t="s">
        <v>2507</v>
      </c>
      <c r="L1545" s="28" t="s">
        <v>52</v>
      </c>
      <c r="M1545" s="25">
        <v>2296252.36</v>
      </c>
      <c r="N1545" s="27">
        <v>0.27092175081472525</v>
      </c>
    </row>
    <row r="1546" spans="1:14" hidden="1" outlineLevel="1" x14ac:dyDescent="0.2">
      <c r="A1546" s="23" t="str">
        <f t="shared" si="58"/>
        <v>ГБУЗ ОКПНД</v>
      </c>
      <c r="B1546" s="24" t="s">
        <v>2502</v>
      </c>
      <c r="C1546" s="25">
        <v>3149528</v>
      </c>
      <c r="D1546" s="22" t="s">
        <v>2503</v>
      </c>
      <c r="E1546" s="22" t="s">
        <v>79</v>
      </c>
      <c r="F1546" s="23" t="str">
        <f t="shared" si="59"/>
        <v>Выполнение работ по установке системы видеонаблюдения</v>
      </c>
      <c r="G1546" s="22" t="s">
        <v>251</v>
      </c>
      <c r="H1546" s="22" t="s">
        <v>252</v>
      </c>
      <c r="I1546" s="26">
        <v>43720.734027777798</v>
      </c>
      <c r="J1546" s="23" t="str">
        <f>HYPERLINK("https://www.spark-marketing.ru/Card/Person/56517", "ООО ""АНТИПОЖ""")</f>
        <v>ООО "АНТИПОЖ"</v>
      </c>
      <c r="K1546" s="24" t="s">
        <v>2508</v>
      </c>
      <c r="L1546" s="28" t="s">
        <v>52</v>
      </c>
      <c r="M1546" s="25">
        <v>2818827.56</v>
      </c>
      <c r="N1546" s="27">
        <v>0.105</v>
      </c>
    </row>
    <row r="1547" spans="1:14" hidden="1" outlineLevel="1" x14ac:dyDescent="0.2">
      <c r="A1547" s="23" t="str">
        <f t="shared" si="58"/>
        <v>ГБУЗ ОКПНД</v>
      </c>
      <c r="B1547" s="24" t="s">
        <v>2502</v>
      </c>
      <c r="C1547" s="25">
        <v>3149528</v>
      </c>
      <c r="D1547" s="22" t="s">
        <v>2503</v>
      </c>
      <c r="E1547" s="22" t="s">
        <v>79</v>
      </c>
      <c r="F1547" s="23" t="str">
        <f t="shared" si="59"/>
        <v>Выполнение работ по установке системы видеонаблюдения</v>
      </c>
      <c r="G1547" s="22" t="s">
        <v>251</v>
      </c>
      <c r="H1547" s="22" t="s">
        <v>252</v>
      </c>
      <c r="I1547" s="26">
        <v>43720.734027777798</v>
      </c>
      <c r="J1547" s="23" t="str">
        <f>HYPERLINK("https://www.spark-marketing.ru/Card/Person/621761", "ООО ""СНБ МЕДИА ГРУППА""")</f>
        <v>ООО "СНБ МЕДИА ГРУППА"</v>
      </c>
      <c r="K1547" s="24" t="s">
        <v>2509</v>
      </c>
      <c r="L1547" s="28" t="s">
        <v>52</v>
      </c>
      <c r="M1547" s="25">
        <v>2024252.36</v>
      </c>
      <c r="N1547" s="27">
        <v>0.35728389777769876</v>
      </c>
    </row>
    <row r="1548" spans="1:14" ht="12.75" hidden="1" outlineLevel="1" x14ac:dyDescent="0.2">
      <c r="A1548" s="23" t="str">
        <f t="shared" si="58"/>
        <v>ГБУЗ ОКПНД</v>
      </c>
      <c r="B1548" s="24" t="s">
        <v>2502</v>
      </c>
      <c r="C1548" s="25">
        <v>3149528</v>
      </c>
      <c r="D1548" s="22" t="s">
        <v>2503</v>
      </c>
      <c r="E1548" s="22" t="s">
        <v>79</v>
      </c>
      <c r="F1548" s="23" t="str">
        <f t="shared" si="59"/>
        <v>Выполнение работ по установке системы видеонаблюдения</v>
      </c>
      <c r="G1548" s="22" t="s">
        <v>251</v>
      </c>
      <c r="H1548" s="22" t="s">
        <v>252</v>
      </c>
      <c r="I1548" s="26">
        <v>43720.734027777798</v>
      </c>
      <c r="J1548" s="23" t="str">
        <f>HYPERLINK("https://www.spark-marketing.ru/Card/Person/5960251", "ООО ""ЭНЕРГОРЕСУРС""")</f>
        <v>ООО "ЭНЕРГОРЕСУРС"</v>
      </c>
      <c r="K1548" s="24" t="s">
        <v>2510</v>
      </c>
      <c r="L1548" s="22" t="s">
        <v>10</v>
      </c>
      <c r="M1548" s="25">
        <v>2008000</v>
      </c>
      <c r="N1548" s="27">
        <v>0.36244415036157801</v>
      </c>
    </row>
    <row r="1549" spans="1:14" hidden="1" outlineLevel="1" x14ac:dyDescent="0.2">
      <c r="A1549" s="23" t="str">
        <f t="shared" si="58"/>
        <v>ГБУЗ ОКПНД</v>
      </c>
      <c r="B1549" s="24" t="s">
        <v>2502</v>
      </c>
      <c r="C1549" s="25">
        <v>3149528</v>
      </c>
      <c r="D1549" s="22" t="s">
        <v>2503</v>
      </c>
      <c r="E1549" s="22" t="s">
        <v>79</v>
      </c>
      <c r="F1549" s="23" t="str">
        <f t="shared" si="59"/>
        <v>Выполнение работ по установке системы видеонаблюдения</v>
      </c>
      <c r="G1549" s="22" t="s">
        <v>251</v>
      </c>
      <c r="H1549" s="22" t="s">
        <v>252</v>
      </c>
      <c r="I1549" s="26">
        <v>43720.734027777798</v>
      </c>
      <c r="J1549" s="23" t="str">
        <f>HYPERLINK("https://www.spark-marketing.ru/Card/Person/6710644", "ООО ""СПИРИТС""")</f>
        <v>ООО "СПИРИТС"</v>
      </c>
      <c r="K1549" s="24" t="s">
        <v>2511</v>
      </c>
      <c r="L1549" s="28" t="s">
        <v>52</v>
      </c>
      <c r="M1549" s="25">
        <v>2803079.92</v>
      </c>
      <c r="N1549" s="27">
        <v>0.11</v>
      </c>
    </row>
    <row r="1550" spans="1:14" x14ac:dyDescent="0.15">
      <c r="A1550" s="23" t="str">
        <f>HYPERLINK("https://www.spark-marketing.ru/Card/Person/141881", "СОВЕТСКАЯ ГОРОДСКАЯ АДМИНИСТРАЦИЯ")</f>
        <v>СОВЕТСКАЯ ГОРОДСКАЯ АДМИНИСТРАЦИЯ</v>
      </c>
      <c r="B1550" s="24" t="s">
        <v>2512</v>
      </c>
      <c r="C1550" s="25">
        <v>752619.6</v>
      </c>
      <c r="D1550" s="22" t="s">
        <v>2513</v>
      </c>
      <c r="E1550" s="22" t="s">
        <v>84</v>
      </c>
      <c r="F1550" s="23" t="str">
        <f>HYPERLINK("https://www.spark-marketing.ru/Card/Lot/73387981", "выполнение работ по установке  уличных видеокамер в пгт. Советский Советского района Республики Марий Эл")</f>
        <v>выполнение работ по установке  уличных видеокамер в пгт. Советский Советского района Республики Марий Эл</v>
      </c>
      <c r="G1550" s="22" t="s">
        <v>2514</v>
      </c>
      <c r="H1550" s="22" t="s">
        <v>2515</v>
      </c>
      <c r="I1550" s="26">
        <v>43720.697222222203</v>
      </c>
      <c r="J1550" s="28" t="s">
        <v>52</v>
      </c>
      <c r="K1550" s="28" t="s">
        <v>52</v>
      </c>
      <c r="L1550" s="28" t="s">
        <v>52</v>
      </c>
      <c r="M1550" s="28" t="s">
        <v>52</v>
      </c>
      <c r="N1550" s="28" t="s">
        <v>52</v>
      </c>
    </row>
    <row r="1551" spans="1:14" hidden="1" outlineLevel="1" x14ac:dyDescent="0.2">
      <c r="A1551" s="23" t="str">
        <f>HYPERLINK("https://www.spark-marketing.ru/Card/Person/141881", "СОВЕТСКАЯ ГОРОДСКАЯ АДМИНИСТРАЦИЯ")</f>
        <v>СОВЕТСКАЯ ГОРОДСКАЯ АДМИНИСТРАЦИЯ</v>
      </c>
      <c r="B1551" s="24" t="s">
        <v>2512</v>
      </c>
      <c r="C1551" s="25">
        <v>752619.6</v>
      </c>
      <c r="D1551" s="22" t="s">
        <v>2513</v>
      </c>
      <c r="E1551" s="22" t="s">
        <v>84</v>
      </c>
      <c r="F1551" s="23" t="str">
        <f>HYPERLINK("https://www.spark-marketing.ru/Card/Lot/73387981", "выполнение работ по установке  уличных видеокамер в пгт. Советский Советского района Республики Марий Эл")</f>
        <v>выполнение работ по установке  уличных видеокамер в пгт. Советский Советского района Республики Марий Эл</v>
      </c>
      <c r="G1551" s="22" t="s">
        <v>2514</v>
      </c>
      <c r="H1551" s="22" t="s">
        <v>2515</v>
      </c>
      <c r="I1551" s="26">
        <v>43720.697222222203</v>
      </c>
      <c r="J1551" s="23" t="str">
        <f>HYPERLINK("https://www.spark-marketing.ru/Card/Person/373243", "Васильев Александр Геннадьевич")</f>
        <v>Васильев Александр Геннадьевич</v>
      </c>
      <c r="K1551" s="24" t="s">
        <v>2516</v>
      </c>
      <c r="L1551" s="28" t="s">
        <v>52</v>
      </c>
      <c r="M1551" s="25">
        <v>720000</v>
      </c>
      <c r="N1551" s="27">
        <v>4.3341417098358849E-2</v>
      </c>
    </row>
    <row r="1552" spans="1:14" ht="12.75" hidden="1" outlineLevel="1" x14ac:dyDescent="0.2">
      <c r="A1552" s="23" t="str">
        <f>HYPERLINK("https://www.spark-marketing.ru/Card/Person/141881", "СОВЕТСКАЯ ГОРОДСКАЯ АДМИНИСТРАЦИЯ")</f>
        <v>СОВЕТСКАЯ ГОРОДСКАЯ АДМИНИСТРАЦИЯ</v>
      </c>
      <c r="B1552" s="24" t="s">
        <v>2512</v>
      </c>
      <c r="C1552" s="25">
        <v>752619.6</v>
      </c>
      <c r="D1552" s="22" t="s">
        <v>2513</v>
      </c>
      <c r="E1552" s="22" t="s">
        <v>84</v>
      </c>
      <c r="F1552" s="23" t="str">
        <f>HYPERLINK("https://www.spark-marketing.ru/Card/Lot/73387981", "выполнение работ по установке  уличных видеокамер в пгт. Советский Советского района Республики Марий Эл")</f>
        <v>выполнение работ по установке  уличных видеокамер в пгт. Советский Советского района Республики Марий Эл</v>
      </c>
      <c r="G1552" s="22" t="s">
        <v>2514</v>
      </c>
      <c r="H1552" s="22" t="s">
        <v>2515</v>
      </c>
      <c r="I1552" s="26">
        <v>43720.697222222203</v>
      </c>
      <c r="J1552" s="23" t="str">
        <f>HYPERLINK("https://www.spark-marketing.ru/Card/Person/6578982", "Родичев Максим Юрьевич")</f>
        <v>Родичев Максим Юрьевич</v>
      </c>
      <c r="K1552" s="24" t="s">
        <v>1478</v>
      </c>
      <c r="L1552" s="22" t="s">
        <v>10</v>
      </c>
      <c r="M1552" s="25">
        <v>577002.19999999995</v>
      </c>
      <c r="N1552" s="27">
        <v>0.23334151807898704</v>
      </c>
    </row>
    <row r="1553" spans="1:14" hidden="1" outlineLevel="1" x14ac:dyDescent="0.2">
      <c r="A1553" s="23" t="str">
        <f>HYPERLINK("https://www.spark-marketing.ru/Card/Person/141881", "СОВЕТСКАЯ ГОРОДСКАЯ АДМИНИСТРАЦИЯ")</f>
        <v>СОВЕТСКАЯ ГОРОДСКАЯ АДМИНИСТРАЦИЯ</v>
      </c>
      <c r="B1553" s="24" t="s">
        <v>2512</v>
      </c>
      <c r="C1553" s="25">
        <v>752619.6</v>
      </c>
      <c r="D1553" s="22" t="s">
        <v>2513</v>
      </c>
      <c r="E1553" s="22" t="s">
        <v>84</v>
      </c>
      <c r="F1553" s="23" t="str">
        <f>HYPERLINK("https://www.spark-marketing.ru/Card/Lot/73387981", "выполнение работ по установке  уличных видеокамер в пгт. Советский Советского района Республики Марий Эл")</f>
        <v>выполнение работ по установке  уличных видеокамер в пгт. Советский Советского района Республики Марий Эл</v>
      </c>
      <c r="G1553" s="22" t="s">
        <v>2514</v>
      </c>
      <c r="H1553" s="22" t="s">
        <v>2515</v>
      </c>
      <c r="I1553" s="26">
        <v>43720.697222222203</v>
      </c>
      <c r="J1553" s="23" t="str">
        <f>HYPERLINK("https://www.spark-marketing.ru/Card/Person/10991", "ПАО ""РОСТЕЛЕКОМ""")</f>
        <v>ПАО "РОСТЕЛЕКОМ"</v>
      </c>
      <c r="K1553" s="24" t="s">
        <v>607</v>
      </c>
      <c r="L1553" s="28" t="s">
        <v>52</v>
      </c>
      <c r="M1553" s="25">
        <v>580765.30000000005</v>
      </c>
      <c r="N1553" s="27">
        <v>0.22834151542160208</v>
      </c>
    </row>
    <row r="1554" spans="1:14" x14ac:dyDescent="0.15">
      <c r="A1554" s="23" t="str">
        <f>HYPERLINK("https://www.spark-marketing.ru/Card/Person/4415454", "ПАО ""СТЗ""")</f>
        <v>ПАО "СТЗ"</v>
      </c>
      <c r="B1554" s="24" t="s">
        <v>2517</v>
      </c>
      <c r="C1554" s="28" t="s">
        <v>52</v>
      </c>
      <c r="D1554" s="22" t="s">
        <v>2518</v>
      </c>
      <c r="E1554" s="22" t="s">
        <v>53</v>
      </c>
      <c r="F1554" s="23" t="str">
        <f>HYPERLINK("https://www.spark-marketing.ru/Card/Lot/73392014", "Приобретение видеоборудования Arecont Vision (ТО№3)")</f>
        <v>Приобретение видеоборудования Arecont Vision (ТО№3)</v>
      </c>
      <c r="G1554" s="22" t="s">
        <v>72</v>
      </c>
      <c r="H1554" s="22" t="s">
        <v>2519</v>
      </c>
      <c r="I1554" s="26">
        <v>43720.639293981498</v>
      </c>
      <c r="J1554" s="28" t="s">
        <v>52</v>
      </c>
      <c r="K1554" s="28" t="s">
        <v>52</v>
      </c>
      <c r="L1554" s="28" t="s">
        <v>52</v>
      </c>
      <c r="M1554" s="28" t="s">
        <v>52</v>
      </c>
      <c r="N1554" s="28" t="s">
        <v>52</v>
      </c>
    </row>
    <row r="1555" spans="1:14" x14ac:dyDescent="0.15">
      <c r="A1555" s="23" t="str">
        <f>HYPERLINK("https://www.spark-marketing.ru/Card/Person/9243", "ГКУ ""ДАГЕСТАНАВТОДОР""")</f>
        <v>ГКУ "ДАГЕСТАНАВТОДОР"</v>
      </c>
      <c r="B1555" s="24" t="s">
        <v>1189</v>
      </c>
      <c r="C1555" s="25">
        <v>16137838.029999999</v>
      </c>
      <c r="D1555" s="22" t="s">
        <v>2520</v>
      </c>
      <c r="E1555" s="22" t="s">
        <v>84</v>
      </c>
      <c r="F1555" s="23" t="str">
        <f>HYPERLINK("https://www.spark-marketing.ru/Card/Lot/73388582", "Установка систем видеоконтроля (камер фото-видеофиксации нарушений правил дорожного движения) в Республике Дагестан")</f>
        <v>Установка систем видеоконтроля (камер фото-видеофиксации нарушений правил дорожного движения) в Республике Дагестан</v>
      </c>
      <c r="G1555" s="22" t="s">
        <v>595</v>
      </c>
      <c r="H1555" s="22" t="s">
        <v>595</v>
      </c>
      <c r="I1555" s="26">
        <v>43720.636956018498</v>
      </c>
      <c r="J1555" s="28" t="s">
        <v>52</v>
      </c>
      <c r="K1555" s="28" t="s">
        <v>52</v>
      </c>
      <c r="L1555" s="28" t="s">
        <v>52</v>
      </c>
      <c r="M1555" s="28" t="s">
        <v>52</v>
      </c>
      <c r="N1555" s="28" t="s">
        <v>52</v>
      </c>
    </row>
    <row r="1556" spans="1:14" x14ac:dyDescent="0.15">
      <c r="A1556" s="23" t="str">
        <f>HYPERLINK("https://www.spark-marketing.ru/Card/Person/4343365", "ФКУ ""УРАЛУПРАВТОДОР""")</f>
        <v>ФКУ "УРАЛУПРАВТОДОР"</v>
      </c>
      <c r="B1556" s="24" t="s">
        <v>2437</v>
      </c>
      <c r="C1556" s="25">
        <v>28991600</v>
      </c>
      <c r="D1556" s="22" t="s">
        <v>2521</v>
      </c>
      <c r="E1556" s="22" t="s">
        <v>2439</v>
      </c>
      <c r="F1556" s="23" t="str">
        <f>HYPERLINK("https://www.spark-marketing.ru/Card/Lot/73389500", "Оснащение объектов дорожного хозяйства инженерно-техническими средствами (системами) обеспечения транспортной безопасности в Тюменской области. Мост через реку Туртас км 348+909 на автомобильной дороге Тюмень - Ханты-Мансийск через Тобольск, Сургут, ...")</f>
        <v>Оснащение объектов дорожного хозяйства инженерно-техническими средствами (системами) обеспечения транспортной безопасности в Тюменской области. Мост через реку Туртас км 348+909 на автомобильной дороге Тюмень - Ханты-Мансийск через Тобольск, Сургут, ...</v>
      </c>
      <c r="G1556" s="22" t="s">
        <v>893</v>
      </c>
      <c r="H1556" s="22" t="s">
        <v>893</v>
      </c>
      <c r="I1556" s="26">
        <v>43720.657638888901</v>
      </c>
      <c r="J1556" s="23" t="str">
        <f>HYPERLINK("https://www.spark-marketing.ru/Card/Person/65561", "ООО ""ВЕСТ""")</f>
        <v>ООО "ВЕСТ"</v>
      </c>
      <c r="K1556" s="24" t="s">
        <v>2492</v>
      </c>
      <c r="L1556" s="22" t="s">
        <v>10</v>
      </c>
      <c r="M1556" s="28" t="s">
        <v>52</v>
      </c>
      <c r="N1556" s="28" t="s">
        <v>52</v>
      </c>
    </row>
    <row r="1557" spans="1:14" x14ac:dyDescent="0.15">
      <c r="A1557" s="23" t="str">
        <f>HYPERLINK("https://www.spark-marketing.ru/Card/Person/4343365", "ФКУ ""УРАЛУПРАВТОДОР""")</f>
        <v>ФКУ "УРАЛУПРАВТОДОР"</v>
      </c>
      <c r="B1557" s="24" t="s">
        <v>2437</v>
      </c>
      <c r="C1557" s="25">
        <v>22949774</v>
      </c>
      <c r="D1557" s="22" t="s">
        <v>2522</v>
      </c>
      <c r="E1557" s="22" t="s">
        <v>2523</v>
      </c>
      <c r="F1557" s="23" t="str">
        <f>HYPERLINK("https://www.spark-marketing.ru/Card/Lot/73389954", "Оснащение объектов дорожного хозяйства инженерно-техническими средствами (системами) обеспечения транспортной безопасности в Тюменской области. Мост через реку Пышма км 176+050 на автомобильной дороге М-51 ""Байкал"" - от Челябинска через Курган, Омс...")</f>
        <v>Оснащение объектов дорожного хозяйства инженерно-техническими средствами (системами) обеспечения транспортной безопасности в Тюменской области. Мост через реку Пышма км 176+050 на автомобильной дороге М-51 "Байкал" - от Челябинска через Курган, Омс...</v>
      </c>
      <c r="G1557" s="22" t="s">
        <v>893</v>
      </c>
      <c r="H1557" s="22" t="s">
        <v>893</v>
      </c>
      <c r="I1557" s="26">
        <v>43720.665914351899</v>
      </c>
      <c r="J1557" s="23" t="str">
        <f>HYPERLINK("https://www.spark-marketing.ru/Card/Person/5848968", "ООО ""МФ ИНЖИНИРИНГ""")</f>
        <v>ООО "МФ ИНЖИНИРИНГ"</v>
      </c>
      <c r="K1557" s="24" t="s">
        <v>2524</v>
      </c>
      <c r="L1557" s="22" t="s">
        <v>10</v>
      </c>
      <c r="M1557" s="28" t="s">
        <v>52</v>
      </c>
      <c r="N1557" s="28" t="s">
        <v>52</v>
      </c>
    </row>
    <row r="1558" spans="1:14" x14ac:dyDescent="0.15">
      <c r="A1558" s="23" t="str">
        <f>HYPERLINK("https://www.spark-marketing.ru/Card/Person/555246", "АО ""УЭХК""")</f>
        <v>АО "УЭХК"</v>
      </c>
      <c r="B1558" s="24" t="s">
        <v>2525</v>
      </c>
      <c r="C1558" s="25">
        <v>0</v>
      </c>
      <c r="D1558" s="22" t="s">
        <v>2526</v>
      </c>
      <c r="E1558" s="22" t="s">
        <v>53</v>
      </c>
      <c r="F1558" s="23" t="str">
        <f>HYPERLINK("https://www.spark-marketing.ru/Card/Lot/73383925", "мониторинг цен в электронной форме на Оказание услуг по физической охране объектов АО «УЭХК».")</f>
        <v>мониторинг цен в электронной форме на Оказание услуг по физической охране объектов АО «УЭХК».</v>
      </c>
      <c r="G1558" s="22" t="s">
        <v>72</v>
      </c>
      <c r="H1558" s="22" t="s">
        <v>2527</v>
      </c>
      <c r="I1558" s="26">
        <v>43720.642835648097</v>
      </c>
      <c r="J1558" s="28" t="s">
        <v>52</v>
      </c>
      <c r="K1558" s="28" t="s">
        <v>52</v>
      </c>
      <c r="L1558" s="28" t="s">
        <v>52</v>
      </c>
      <c r="M1558" s="28" t="s">
        <v>52</v>
      </c>
      <c r="N1558" s="28" t="s">
        <v>52</v>
      </c>
    </row>
    <row r="1559" spans="1:14" x14ac:dyDescent="0.15">
      <c r="A1559" s="23" t="str">
        <f>HYPERLINK("https://www.spark-marketing.ru/Card/Person/75900", "ПРОКУРАТУРА РЕСПУБЛИКИ ХАКАСИЯ")</f>
        <v>ПРОКУРАТУРА РЕСПУБЛИКИ ХАКАСИЯ</v>
      </c>
      <c r="B1559" s="24" t="s">
        <v>2528</v>
      </c>
      <c r="C1559" s="25">
        <v>90104.7</v>
      </c>
      <c r="D1559" s="22" t="s">
        <v>2529</v>
      </c>
      <c r="E1559" s="22" t="s">
        <v>68</v>
      </c>
      <c r="F1559" s="23" t="str">
        <f>HYPERLINK("https://www.spark-marketing.ru/Card/Lot/73375648", "Оказание услуг охраны с помощью технических средств охраны")</f>
        <v>Оказание услуг охраны с помощью технических средств охраны</v>
      </c>
      <c r="G1559" s="22" t="s">
        <v>1041</v>
      </c>
      <c r="H1559" s="22" t="s">
        <v>1041</v>
      </c>
      <c r="I1559" s="26">
        <v>43720.598611111098</v>
      </c>
      <c r="J1559" s="23" t="str">
        <f>HYPERLINK("https://www.spark-marketing.ru/Card/Person/4418186", "ФЛ ФГУП ""ОХРАНА"" Росгвардии по РХ")</f>
        <v>ФЛ ФГУП "ОХРАНА" Росгвардии по РХ</v>
      </c>
      <c r="K1559" s="24" t="s">
        <v>779</v>
      </c>
      <c r="L1559" s="22" t="s">
        <v>10</v>
      </c>
      <c r="M1559" s="28" t="s">
        <v>52</v>
      </c>
      <c r="N1559" s="28" t="s">
        <v>52</v>
      </c>
    </row>
    <row r="1560" spans="1:14" x14ac:dyDescent="0.15">
      <c r="A1560" s="23" t="str">
        <f>HYPERLINK("https://www.spark-marketing.ru/Card/Person/4821", "ТЫВИНСКОЕ УФАС РОССИИ")</f>
        <v>ТЫВИНСКОЕ УФАС РОССИИ</v>
      </c>
      <c r="B1560" s="24" t="s">
        <v>2191</v>
      </c>
      <c r="C1560" s="25">
        <v>47000</v>
      </c>
      <c r="D1560" s="22" t="s">
        <v>2530</v>
      </c>
      <c r="E1560" s="22" t="s">
        <v>84</v>
      </c>
      <c r="F1560" s="23" t="str">
        <f>HYPERLINK("https://www.spark-marketing.ru/Card/Lot/73375847", "Монтаж, установка видеонаблюдения, 4 шт")</f>
        <v>Монтаж, установка видеонаблюдения, 4 шт</v>
      </c>
      <c r="G1560" s="22" t="s">
        <v>2193</v>
      </c>
      <c r="H1560" s="22" t="s">
        <v>2194</v>
      </c>
      <c r="I1560" s="26">
        <v>43720.5843634259</v>
      </c>
      <c r="J1560" s="28" t="s">
        <v>52</v>
      </c>
      <c r="K1560" s="28" t="s">
        <v>52</v>
      </c>
      <c r="L1560" s="28" t="s">
        <v>52</v>
      </c>
      <c r="M1560" s="28" t="s">
        <v>52</v>
      </c>
      <c r="N1560" s="28" t="s">
        <v>52</v>
      </c>
    </row>
    <row r="1561" spans="1:14" x14ac:dyDescent="0.15">
      <c r="A1561" s="23" t="str">
        <f>HYPERLINK("https://www.spark-marketing.ru/Card/Person/62862", "СУ СК РОССИИ ПО РЕСПУБЛИКЕ КОМИ")</f>
        <v>СУ СК РОССИИ ПО РЕСПУБЛИКЕ КОМИ</v>
      </c>
      <c r="B1561" s="24" t="s">
        <v>2531</v>
      </c>
      <c r="C1561" s="25">
        <v>1387366.32</v>
      </c>
      <c r="D1561" s="22" t="s">
        <v>2532</v>
      </c>
      <c r="E1561" s="22" t="s">
        <v>68</v>
      </c>
      <c r="F1561" s="23" t="str">
        <f>HYPERLINK("https://www.spark-marketing.ru/Card/Lot/73388260", "Оказание услуг по физической (постовой) охране объектов Следственного управления Следственного комитета Российской Федерации по Республике Коми")</f>
        <v>Оказание услуг по физической (постовой) охране объектов Следственного управления Следственного комитета Российской Федерации по Республике Коми</v>
      </c>
      <c r="G1561" s="22" t="s">
        <v>538</v>
      </c>
      <c r="H1561" s="22" t="s">
        <v>707</v>
      </c>
      <c r="I1561" s="26">
        <v>43720.604166666701</v>
      </c>
      <c r="J1561" s="23" t="str">
        <f>HYPERLINK("https://www.spark-marketing.ru/Card/Person/62864", "ФГКУ ""УВО ВНГ РОССИИ ПО РЕСПУБЛИКЕ КОМИ""")</f>
        <v>ФГКУ "УВО ВНГ РОССИИ ПО РЕСПУБЛИКЕ КОМИ"</v>
      </c>
      <c r="K1561" s="24" t="s">
        <v>2533</v>
      </c>
      <c r="L1561" s="22" t="s">
        <v>10</v>
      </c>
      <c r="M1561" s="28" t="s">
        <v>52</v>
      </c>
      <c r="N1561" s="28" t="s">
        <v>52</v>
      </c>
    </row>
    <row r="1562" spans="1:14" x14ac:dyDescent="0.15">
      <c r="A1562" s="23" t="str">
        <f>HYPERLINK("https://www.spark-marketing.ru/Card/Person/68844", "УПРАВЛЕНИЕ МВД РОССИИ ПО НИЖНЕКАМСКОМУ РАЙОНУ")</f>
        <v>УПРАВЛЕНИЕ МВД РОССИИ ПО НИЖНЕКАМСКОМУ РАЙОНУ</v>
      </c>
      <c r="B1562" s="24" t="s">
        <v>2272</v>
      </c>
      <c r="C1562" s="25">
        <v>120000</v>
      </c>
      <c r="D1562" s="22" t="s">
        <v>2534</v>
      </c>
      <c r="E1562" s="22" t="s">
        <v>415</v>
      </c>
      <c r="F1562" s="23" t="str">
        <f>HYPERLINK("https://www.spark-marketing.ru/Card/Lot/73375852", "Техническое обслуживание системы охранной сигнализации на 1 календарный месяц, 12 шт")</f>
        <v>Техническое обслуживание системы охранной сигнализации на 1 календарный месяц, 12 шт</v>
      </c>
      <c r="G1562" s="22" t="s">
        <v>204</v>
      </c>
      <c r="H1562" s="22" t="s">
        <v>824</v>
      </c>
      <c r="I1562" s="26">
        <v>43720.585312499999</v>
      </c>
      <c r="J1562" s="28" t="s">
        <v>52</v>
      </c>
      <c r="K1562" s="28" t="s">
        <v>52</v>
      </c>
      <c r="L1562" s="28" t="s">
        <v>52</v>
      </c>
      <c r="M1562" s="28" t="s">
        <v>52</v>
      </c>
      <c r="N1562" s="28" t="s">
        <v>52</v>
      </c>
    </row>
    <row r="1563" spans="1:14" x14ac:dyDescent="0.15">
      <c r="A1563" s="23" t="str">
        <f>HYPERLINK("https://www.spark-marketing.ru/Card/Person/6836", "УПРАВЛЕНИЕ РОСПОТРЕБНАДЗОРА ПО РЕСПУБЛИКЕ БАШКОРТОСТАН")</f>
        <v>УПРАВЛЕНИЕ РОСПОТРЕБНАДЗОРА ПО РЕСПУБЛИКЕ БАШКОРТОСТАН</v>
      </c>
      <c r="B1563" s="24" t="s">
        <v>907</v>
      </c>
      <c r="C1563" s="25">
        <v>4154480.6400000001</v>
      </c>
      <c r="D1563" s="22" t="s">
        <v>2535</v>
      </c>
      <c r="E1563" s="22" t="s">
        <v>68</v>
      </c>
      <c r="F1563" s="23" t="str">
        <f>HYPERLINK("https://www.spark-marketing.ru/Card/Lot/73388531", "Услуги охраны имущества, обеспечения внутриобъектного режима и общественного порядка на охраняемых объектах Управления Роспотребнадзора по Республике Башкортостан, в объеме, по техническим характеристикам согласно Части II. ""Описание объекта закупки...")</f>
        <v>Услуги охраны имущества, обеспечения внутриобъектного режима и общественного порядка на охраняемых объектах Управления Роспотребнадзора по Республике Башкортостан, в объеме, по техническим характеристикам согласно Части II. "Описание объекта закупки...</v>
      </c>
      <c r="G1563" s="22" t="s">
        <v>100</v>
      </c>
      <c r="H1563" s="22" t="s">
        <v>373</v>
      </c>
      <c r="I1563" s="26">
        <v>43720.622916666704</v>
      </c>
      <c r="J1563" s="28" t="s">
        <v>52</v>
      </c>
      <c r="K1563" s="28" t="s">
        <v>52</v>
      </c>
      <c r="L1563" s="28" t="s">
        <v>52</v>
      </c>
      <c r="M1563" s="28" t="s">
        <v>52</v>
      </c>
      <c r="N1563" s="28" t="s">
        <v>52</v>
      </c>
    </row>
    <row r="1564" spans="1:14" hidden="1" outlineLevel="1" x14ac:dyDescent="0.2">
      <c r="A1564" s="23" t="str">
        <f>HYPERLINK("https://www.spark-marketing.ru/Card/Person/6836", "УПРАВЛЕНИЕ РОСПОТРЕБНАДЗОРА ПО РЕСПУБЛИКЕ БАШКОРТОСТАН")</f>
        <v>УПРАВЛЕНИЕ РОСПОТРЕБНАДЗОРА ПО РЕСПУБЛИКЕ БАШКОРТОСТАН</v>
      </c>
      <c r="B1564" s="24" t="s">
        <v>907</v>
      </c>
      <c r="C1564" s="25">
        <v>4154480.6400000001</v>
      </c>
      <c r="D1564" s="22" t="s">
        <v>2535</v>
      </c>
      <c r="E1564" s="22" t="s">
        <v>68</v>
      </c>
      <c r="F1564" s="23" t="str">
        <f>HYPERLINK("https://www.spark-marketing.ru/Card/Lot/73388531", "Услуги охраны имущества, обеспечения внутриобъектного режима и общественного порядка на охраняемых объектах Управления Роспотребнадзора по Республике Башкортостан, в объеме, по техническим характеристикам согласно Части II. ""Описание объекта закупки...")</f>
        <v>Услуги охраны имущества, обеспечения внутриобъектного режима и общественного порядка на охраняемых объектах Управления Роспотребнадзора по Республике Башкортостан, в объеме, по техническим характеристикам согласно Части II. "Описание объекта закупки...</v>
      </c>
      <c r="G1564" s="22" t="s">
        <v>100</v>
      </c>
      <c r="H1564" s="22" t="s">
        <v>373</v>
      </c>
      <c r="I1564" s="26">
        <v>43720.622916666704</v>
      </c>
      <c r="J1564" s="23" t="str">
        <f>HYPERLINK("https://www.spark-marketing.ru/Card/Person/6592377", "ООО ЧОП ""БЕЛУГА""")</f>
        <v>ООО ЧОП "БЕЛУГА"</v>
      </c>
      <c r="K1564" s="24" t="s">
        <v>2536</v>
      </c>
      <c r="L1564" s="28" t="s">
        <v>52</v>
      </c>
      <c r="M1564" s="25">
        <v>1412523.51</v>
      </c>
      <c r="N1564" s="27">
        <v>0.6599999777589528</v>
      </c>
    </row>
    <row r="1565" spans="1:14" hidden="1" outlineLevel="1" x14ac:dyDescent="0.2">
      <c r="A1565" s="23" t="str">
        <f>HYPERLINK("https://www.spark-marketing.ru/Card/Person/6836", "УПРАВЛЕНИЕ РОСПОТРЕБНАДЗОРА ПО РЕСПУБЛИКЕ БАШКОРТОСТАН")</f>
        <v>УПРАВЛЕНИЕ РОСПОТРЕБНАДЗОРА ПО РЕСПУБЛИКЕ БАШКОРТОСТАН</v>
      </c>
      <c r="B1565" s="24" t="s">
        <v>907</v>
      </c>
      <c r="C1565" s="25">
        <v>4154480.6400000001</v>
      </c>
      <c r="D1565" s="22" t="s">
        <v>2535</v>
      </c>
      <c r="E1565" s="22" t="s">
        <v>68</v>
      </c>
      <c r="F1565" s="23" t="str">
        <f>HYPERLINK("https://www.spark-marketing.ru/Card/Lot/73388531", "Услуги охраны имущества, обеспечения внутриобъектного режима и общественного порядка на охраняемых объектах Управления Роспотребнадзора по Республике Башкортостан, в объеме, по техническим характеристикам согласно Части II. ""Описание объекта закупки...")</f>
        <v>Услуги охраны имущества, обеспечения внутриобъектного режима и общественного порядка на охраняемых объектах Управления Роспотребнадзора по Республике Башкортостан, в объеме, по техническим характеристикам согласно Части II. "Описание объекта закупки...</v>
      </c>
      <c r="G1565" s="22" t="s">
        <v>100</v>
      </c>
      <c r="H1565" s="22" t="s">
        <v>373</v>
      </c>
      <c r="I1565" s="26">
        <v>43720.622916666704</v>
      </c>
      <c r="J1565" s="23" t="str">
        <f>HYPERLINK("https://www.spark-marketing.ru/Card/Person/2499874", "ООО ЧОП ""АРСЛАН""")</f>
        <v>ООО ЧОП "АРСЛАН"</v>
      </c>
      <c r="K1565" s="24" t="s">
        <v>2537</v>
      </c>
      <c r="L1565" s="28" t="s">
        <v>52</v>
      </c>
      <c r="M1565" s="25">
        <v>1391751.11</v>
      </c>
      <c r="N1565" s="27">
        <v>0.66499997698870006</v>
      </c>
    </row>
    <row r="1566" spans="1:14" x14ac:dyDescent="0.15">
      <c r="A1566" s="23" t="str">
        <f>HYPERLINK("https://www.spark-marketing.ru/Card/Person/68844", "УПРАВЛЕНИЕ МВД РОССИИ ПО НИЖНЕКАМСКОМУ РАЙОНУ")</f>
        <v>УПРАВЛЕНИЕ МВД РОССИИ ПО НИЖНЕКАМСКОМУ РАЙОНУ</v>
      </c>
      <c r="B1566" s="24" t="s">
        <v>2272</v>
      </c>
      <c r="C1566" s="25">
        <v>120000</v>
      </c>
      <c r="D1566" s="22" t="s">
        <v>2538</v>
      </c>
      <c r="E1566" s="22" t="s">
        <v>415</v>
      </c>
      <c r="F1566" s="23" t="str">
        <f>HYPERLINK("https://www.spark-marketing.ru/Card/Lot/73375973", "Техническое обслуживание системы охранной сигнализации на 1 календарный месяц, 12 шт")</f>
        <v>Техническое обслуживание системы охранной сигнализации на 1 календарный месяц, 12 шт</v>
      </c>
      <c r="G1566" s="22" t="s">
        <v>204</v>
      </c>
      <c r="H1566" s="22" t="s">
        <v>824</v>
      </c>
      <c r="I1566" s="26">
        <v>43720.589062500003</v>
      </c>
      <c r="J1566" s="28" t="s">
        <v>52</v>
      </c>
      <c r="K1566" s="28" t="s">
        <v>52</v>
      </c>
      <c r="L1566" s="28" t="s">
        <v>52</v>
      </c>
      <c r="M1566" s="28" t="s">
        <v>52</v>
      </c>
      <c r="N1566" s="28" t="s">
        <v>52</v>
      </c>
    </row>
    <row r="1567" spans="1:14" x14ac:dyDescent="0.15">
      <c r="A1567" s="23" t="str">
        <f>HYPERLINK("https://www.spark-marketing.ru/Card/Person/59658", "БУ ""СУРГУТСКИЙ ЦЕНТР СОЦИАЛЬНОГО ОБСЛУЖИВАНИЯ НАСЕЛЕНИЯ""")</f>
        <v>БУ "СУРГУТСКИЙ ЦЕНТР СОЦИАЛЬНОГО ОБСЛУЖИВАНИЯ НАСЕЛЕНИЯ"</v>
      </c>
      <c r="B1567" s="24" t="s">
        <v>2539</v>
      </c>
      <c r="C1567" s="25">
        <v>540216</v>
      </c>
      <c r="D1567" s="22" t="s">
        <v>2540</v>
      </c>
      <c r="E1567" s="22" t="s">
        <v>52</v>
      </c>
      <c r="F1567" s="23" t="str">
        <f>HYPERLINK("https://www.spark-marketing.ru/Card/Lot/73380116", "Оказание услуг по охране объектов и территории")</f>
        <v>Оказание услуг по охране объектов и территории</v>
      </c>
      <c r="G1567" s="22" t="s">
        <v>119</v>
      </c>
      <c r="H1567" s="22" t="s">
        <v>463</v>
      </c>
      <c r="I1567" s="26">
        <v>43720.645833333299</v>
      </c>
      <c r="J1567" s="28" t="s">
        <v>52</v>
      </c>
      <c r="K1567" s="28" t="s">
        <v>52</v>
      </c>
      <c r="L1567" s="28" t="s">
        <v>52</v>
      </c>
      <c r="M1567" s="28" t="s">
        <v>52</v>
      </c>
      <c r="N1567" s="28" t="s">
        <v>52</v>
      </c>
    </row>
    <row r="1568" spans="1:14" ht="12.75" hidden="1" outlineLevel="1" x14ac:dyDescent="0.2">
      <c r="A1568" s="23" t="str">
        <f>HYPERLINK("https://www.spark-marketing.ru/Card/Person/59658", "БУ ""СУРГУТСКИЙ ЦЕНТР СОЦИАЛЬНОГО ОБСЛУЖИВАНИЯ НАСЕЛЕНИЯ""")</f>
        <v>БУ "СУРГУТСКИЙ ЦЕНТР СОЦИАЛЬНОГО ОБСЛУЖИВАНИЯ НАСЕЛЕНИЯ"</v>
      </c>
      <c r="B1568" s="24" t="s">
        <v>2539</v>
      </c>
      <c r="C1568" s="25">
        <v>540216</v>
      </c>
      <c r="D1568" s="22" t="s">
        <v>2540</v>
      </c>
      <c r="E1568" s="22" t="s">
        <v>52</v>
      </c>
      <c r="F1568" s="23" t="str">
        <f>HYPERLINK("https://www.spark-marketing.ru/Card/Lot/73380116", "Оказание услуг по охране объектов и территории")</f>
        <v>Оказание услуг по охране объектов и территории</v>
      </c>
      <c r="G1568" s="22" t="s">
        <v>119</v>
      </c>
      <c r="H1568" s="22" t="s">
        <v>463</v>
      </c>
      <c r="I1568" s="26">
        <v>43720.645833333299</v>
      </c>
      <c r="J1568" s="23" t="str">
        <f>HYPERLINK("https://www.spark-marketing.ru/Card/Person/17083", "ООО ""ЧОП ""ИНВЕСТ""")</f>
        <v>ООО "ЧОП "ИНВЕСТ"</v>
      </c>
      <c r="K1568" s="24" t="s">
        <v>2541</v>
      </c>
      <c r="L1568" s="22" t="s">
        <v>10</v>
      </c>
      <c r="M1568" s="25">
        <v>540216</v>
      </c>
      <c r="N1568" s="27">
        <v>0</v>
      </c>
    </row>
    <row r="1569" spans="1:14" hidden="1" outlineLevel="1" x14ac:dyDescent="0.2">
      <c r="A1569" s="23" t="str">
        <f>HYPERLINK("https://www.spark-marketing.ru/Card/Person/59658", "БУ ""СУРГУТСКИЙ ЦЕНТР СОЦИАЛЬНОГО ОБСЛУЖИВАНИЯ НАСЕЛЕНИЯ""")</f>
        <v>БУ "СУРГУТСКИЙ ЦЕНТР СОЦИАЛЬНОГО ОБСЛУЖИВАНИЯ НАСЕЛЕНИЯ"</v>
      </c>
      <c r="B1569" s="24" t="s">
        <v>2539</v>
      </c>
      <c r="C1569" s="25">
        <v>540216</v>
      </c>
      <c r="D1569" s="22" t="s">
        <v>2540</v>
      </c>
      <c r="E1569" s="22" t="s">
        <v>52</v>
      </c>
      <c r="F1569" s="23" t="str">
        <f>HYPERLINK("https://www.spark-marketing.ru/Card/Lot/73380116", "Оказание услуг по охране объектов и территории")</f>
        <v>Оказание услуг по охране объектов и территории</v>
      </c>
      <c r="G1569" s="22" t="s">
        <v>119</v>
      </c>
      <c r="H1569" s="22" t="s">
        <v>463</v>
      </c>
      <c r="I1569" s="26">
        <v>43720.645833333299</v>
      </c>
      <c r="J1569" s="23" t="str">
        <f>HYPERLINK("https://www.spark-marketing.ru/Card/Person/12513", "ООО ""ЧОП ""СКБ-ЮГРА""")</f>
        <v>ООО "ЧОП "СКБ-ЮГРА"</v>
      </c>
      <c r="K1569" s="24" t="s">
        <v>2542</v>
      </c>
      <c r="L1569" s="28" t="s">
        <v>52</v>
      </c>
      <c r="M1569" s="25">
        <v>540216</v>
      </c>
      <c r="N1569" s="27">
        <v>0</v>
      </c>
    </row>
    <row r="1570" spans="1:14" x14ac:dyDescent="0.15">
      <c r="A1570" s="23" t="str">
        <f>HYPERLINK("https://www.spark-marketing.ru/Card/Person/34158", "ГБУСО МО ""ЧЕРНОГОЛОВСКИЙ КЦСОН""")</f>
        <v>ГБУСО МО "ЧЕРНОГОЛОВСКИЙ КЦСОН"</v>
      </c>
      <c r="B1570" s="24" t="s">
        <v>2543</v>
      </c>
      <c r="C1570" s="25">
        <v>6000</v>
      </c>
      <c r="D1570" s="22" t="s">
        <v>2544</v>
      </c>
      <c r="E1570" s="22" t="s">
        <v>107</v>
      </c>
      <c r="F1570" s="23" t="str">
        <f>HYPERLINK("https://www.spark-marketing.ru/Card/Lot/73374166", "на комплексное обслуживание системы охранной сигнализации")</f>
        <v>на комплексное обслуживание системы охранной сигнализации</v>
      </c>
      <c r="G1570" s="22" t="s">
        <v>50</v>
      </c>
      <c r="H1570" s="22" t="s">
        <v>2545</v>
      </c>
      <c r="I1570" s="26">
        <v>43720.503842592603</v>
      </c>
      <c r="J1570" s="28" t="s">
        <v>52</v>
      </c>
      <c r="K1570" s="28" t="s">
        <v>52</v>
      </c>
      <c r="L1570" s="28" t="s">
        <v>52</v>
      </c>
      <c r="M1570" s="28" t="s">
        <v>52</v>
      </c>
      <c r="N1570" s="28" t="s">
        <v>52</v>
      </c>
    </row>
    <row r="1571" spans="1:14" x14ac:dyDescent="0.15">
      <c r="A1571" s="23" t="str">
        <f>HYPERLINK("https://www.spark-marketing.ru/Card/Person/34158", "ГБУСО МО ""ЧЕРНОГОЛОВСКИЙ КЦСОН""")</f>
        <v>ГБУСО МО "ЧЕРНОГОЛОВСКИЙ КЦСОН"</v>
      </c>
      <c r="B1571" s="24" t="s">
        <v>2543</v>
      </c>
      <c r="C1571" s="25">
        <v>6561.96</v>
      </c>
      <c r="D1571" s="22" t="s">
        <v>2546</v>
      </c>
      <c r="E1571" s="22" t="s">
        <v>107</v>
      </c>
      <c r="F1571" s="23" t="str">
        <f>HYPERLINK("https://www.spark-marketing.ru/Card/Lot/73374149", "комплексное обслуживание системы безопасности")</f>
        <v>комплексное обслуживание системы безопасности</v>
      </c>
      <c r="G1571" s="22" t="s">
        <v>50</v>
      </c>
      <c r="H1571" s="22" t="s">
        <v>2545</v>
      </c>
      <c r="I1571" s="26">
        <v>43720.503229166701</v>
      </c>
      <c r="J1571" s="28" t="s">
        <v>52</v>
      </c>
      <c r="K1571" s="28" t="s">
        <v>52</v>
      </c>
      <c r="L1571" s="28" t="s">
        <v>52</v>
      </c>
      <c r="M1571" s="28" t="s">
        <v>52</v>
      </c>
      <c r="N1571" s="28" t="s">
        <v>52</v>
      </c>
    </row>
    <row r="1572" spans="1:14" x14ac:dyDescent="0.15">
      <c r="A1572" s="23" t="str">
        <f>HYPERLINK("https://www.spark-marketing.ru/Card/Person/330022", "ФЛ Балаковская АЭС АО ""Концерн Росэнергоатом""")</f>
        <v>ФЛ Балаковская АЭС АО "Концерн Росэнергоатом"</v>
      </c>
      <c r="B1572" s="24" t="s">
        <v>211</v>
      </c>
      <c r="C1572" s="25">
        <v>0</v>
      </c>
      <c r="D1572" s="22" t="s">
        <v>2547</v>
      </c>
      <c r="E1572" s="22" t="s">
        <v>53</v>
      </c>
      <c r="F1572" s="23" t="str">
        <f>HYPERLINK("https://www.spark-marketing.ru/Card/Lot/73377593", "мониторинг цен в электронной форме на Оказание услуг по государственной круглосуточной охране объектов филиала АО «Концерн Росэнергоатом» «Балаковская атомная станция» путем оперативного реагирования на тревожные сообщения.")</f>
        <v>мониторинг цен в электронной форме на Оказание услуг по государственной круглосуточной охране объектов филиала АО «Концерн Росэнергоатом» «Балаковская атомная станция» путем оперативного реагирования на тревожные сообщения.</v>
      </c>
      <c r="G1572" s="22" t="s">
        <v>55</v>
      </c>
      <c r="H1572" s="22" t="s">
        <v>55</v>
      </c>
      <c r="I1572" s="26">
        <v>43720.5324189815</v>
      </c>
      <c r="J1572" s="28" t="s">
        <v>52</v>
      </c>
      <c r="K1572" s="28" t="s">
        <v>52</v>
      </c>
      <c r="L1572" s="28" t="s">
        <v>52</v>
      </c>
      <c r="M1572" s="28" t="s">
        <v>52</v>
      </c>
      <c r="N1572" s="28" t="s">
        <v>52</v>
      </c>
    </row>
    <row r="1573" spans="1:14" x14ac:dyDescent="0.15">
      <c r="A1573" s="23" t="str">
        <f>HYPERLINK("https://www.spark-marketing.ru/Card/Person/258883", "ГБОУ БЕЛЕБЕЕВСКАЯ КОРРЕКЦИОННАЯ ШКОЛА ДЛЯ ОБУЧАЮЩИХСЯ С ОВЗ")</f>
        <v>ГБОУ БЕЛЕБЕЕВСКАЯ КОРРЕКЦИОННАЯ ШКОЛА ДЛЯ ОБУЧАЮЩИХСЯ С ОВЗ</v>
      </c>
      <c r="B1573" s="24" t="s">
        <v>2548</v>
      </c>
      <c r="C1573" s="25">
        <v>258359.97</v>
      </c>
      <c r="D1573" s="22" t="s">
        <v>2549</v>
      </c>
      <c r="E1573" s="22" t="s">
        <v>183</v>
      </c>
      <c r="F1573" s="23" t="str">
        <f>HYPERLINK("https://www.spark-marketing.ru/Card/Lot/73371895", "услуги по комплексному обслуживанию школы и прилегающей территории ГБОУ Белебеевская коррекционная школа для обучающихся с ОВЗ")</f>
        <v>услуги по комплексному обслуживанию школы и прилегающей территории ГБОУ Белебеевская коррекционная школа для обучающихся с ОВЗ</v>
      </c>
      <c r="G1573" s="22" t="s">
        <v>100</v>
      </c>
      <c r="H1573" s="22" t="s">
        <v>2550</v>
      </c>
      <c r="I1573" s="26">
        <v>43720.494444444397</v>
      </c>
      <c r="J1573" s="23" t="str">
        <f>HYPERLINK("https://www.spark-marketing.ru/Card/Person/6465478", "ООО ""ИНТЕР-РАФ""")</f>
        <v>ООО "ИНТЕР-РАФ"</v>
      </c>
      <c r="K1573" s="24" t="s">
        <v>2551</v>
      </c>
      <c r="L1573" s="28" t="s">
        <v>52</v>
      </c>
      <c r="M1573" s="28" t="s">
        <v>52</v>
      </c>
      <c r="N1573" s="28" t="s">
        <v>52</v>
      </c>
    </row>
    <row r="1574" spans="1:14" ht="12.75" hidden="1" outlineLevel="1" x14ac:dyDescent="0.2">
      <c r="A1574" s="23" t="str">
        <f>HYPERLINK("https://www.spark-marketing.ru/Card/Person/258883", "ГБОУ БЕЛЕБЕЕВСКАЯ КОРРЕКЦИОННАЯ ШКОЛА ДЛЯ ОБУЧАЮЩИХСЯ С ОВЗ")</f>
        <v>ГБОУ БЕЛЕБЕЕВСКАЯ КОРРЕКЦИОННАЯ ШКОЛА ДЛЯ ОБУЧАЮЩИХСЯ С ОВЗ</v>
      </c>
      <c r="B1574" s="24" t="s">
        <v>2548</v>
      </c>
      <c r="C1574" s="25">
        <v>258359.97</v>
      </c>
      <c r="D1574" s="22" t="s">
        <v>2549</v>
      </c>
      <c r="E1574" s="22" t="s">
        <v>183</v>
      </c>
      <c r="F1574" s="23" t="str">
        <f>HYPERLINK("https://www.spark-marketing.ru/Card/Lot/73371895", "услуги по комплексному обслуживанию школы и прилегающей территории ГБОУ Белебеевская коррекционная школа для обучающихся с ОВЗ")</f>
        <v>услуги по комплексному обслуживанию школы и прилегающей территории ГБОУ Белебеевская коррекционная школа для обучающихся с ОВЗ</v>
      </c>
      <c r="G1574" s="22" t="s">
        <v>100</v>
      </c>
      <c r="H1574" s="22" t="s">
        <v>2550</v>
      </c>
      <c r="I1574" s="26">
        <v>43720.494444444397</v>
      </c>
      <c r="J1574" s="23" t="str">
        <f>HYPERLINK("https://www.spark-marketing.ru/Card/Person/6465478", "ООО ""ИНТЕР-РАФ""")</f>
        <v>ООО "ИНТЕР-РАФ"</v>
      </c>
      <c r="K1574" s="24" t="s">
        <v>2551</v>
      </c>
      <c r="L1574" s="22" t="s">
        <v>10</v>
      </c>
      <c r="M1574" s="25">
        <v>257068.17</v>
      </c>
      <c r="N1574" s="27">
        <v>5.000000580585297E-3</v>
      </c>
    </row>
    <row r="1575" spans="1:14" x14ac:dyDescent="0.15">
      <c r="A1575" s="23" t="str">
        <f>HYPERLINK("https://www.spark-marketing.ru/Card/Person/330022", "ФЛ Балаковская АЭС АО ""Концерн Росэнергоатом""")</f>
        <v>ФЛ Балаковская АЭС АО "Концерн Росэнергоатом"</v>
      </c>
      <c r="B1575" s="24" t="s">
        <v>211</v>
      </c>
      <c r="C1575" s="25">
        <v>0</v>
      </c>
      <c r="D1575" s="22" t="s">
        <v>2552</v>
      </c>
      <c r="E1575" s="22" t="s">
        <v>53</v>
      </c>
      <c r="F1575" s="23" t="str">
        <f>HYPERLINK("https://www.spark-marketing.ru/Card/Lot/73377563", "мониторинг цен в электронной форме на Оказание услуг по государственной охране объектов защищенного пункта управления противоаварийными действиями в районе эвакуации Балаковской АЭС в городе Пугачев (ЗПУПД РЭ) филиала АО «Концерн Росэнергоатом» «Бала...")</f>
        <v>мониторинг цен в электронной форме на Оказание услуг по государственной охране объектов защищенного пункта управления противоаварийными действиями в районе эвакуации Балаковской АЭС в городе Пугачев (ЗПУПД РЭ) филиала АО «Концерн Росэнергоатом» «Бала...</v>
      </c>
      <c r="G1575" s="22" t="s">
        <v>55</v>
      </c>
      <c r="H1575" s="22" t="s">
        <v>55</v>
      </c>
      <c r="I1575" s="26">
        <v>43720.479224536997</v>
      </c>
      <c r="J1575" s="28" t="s">
        <v>52</v>
      </c>
      <c r="K1575" s="28" t="s">
        <v>52</v>
      </c>
      <c r="L1575" s="28" t="s">
        <v>52</v>
      </c>
      <c r="M1575" s="28" t="s">
        <v>52</v>
      </c>
      <c r="N1575" s="28" t="s">
        <v>52</v>
      </c>
    </row>
    <row r="1576" spans="1:14" x14ac:dyDescent="0.15">
      <c r="A1576" s="23" t="str">
        <f>HYPERLINK("https://www.spark-marketing.ru/Card/Person/8072", "САРАТОВСКИЙ ОБЛАСТНОЙ СУД")</f>
        <v>САРАТОВСКИЙ ОБЛАСТНОЙ СУД</v>
      </c>
      <c r="B1576" s="24" t="s">
        <v>2553</v>
      </c>
      <c r="C1576" s="25">
        <v>116110.5</v>
      </c>
      <c r="D1576" s="22" t="s">
        <v>2554</v>
      </c>
      <c r="E1576" s="22" t="s">
        <v>84</v>
      </c>
      <c r="F1576" s="23" t="str">
        <f>HYPERLINK("https://www.spark-marketing.ru/Card/Lot/73371082", "Поставка, доставка, установка и пуско-наладка системы видеонаблюдения для нужд Саратовского областного суда")</f>
        <v>Поставка, доставка, установка и пуско-наладка системы видеонаблюдения для нужд Саратовского областного суда</v>
      </c>
      <c r="G1576" s="22" t="s">
        <v>80</v>
      </c>
      <c r="H1576" s="22" t="s">
        <v>80</v>
      </c>
      <c r="I1576" s="26">
        <v>43720.436805555597</v>
      </c>
      <c r="J1576" s="28" t="s">
        <v>52</v>
      </c>
      <c r="K1576" s="28" t="s">
        <v>52</v>
      </c>
      <c r="L1576" s="28" t="s">
        <v>52</v>
      </c>
      <c r="M1576" s="28" t="s">
        <v>52</v>
      </c>
      <c r="N1576" s="28" t="s">
        <v>52</v>
      </c>
    </row>
    <row r="1577" spans="1:14" ht="12.75" hidden="1" outlineLevel="1" x14ac:dyDescent="0.2">
      <c r="A1577" s="23" t="str">
        <f>HYPERLINK("https://www.spark-marketing.ru/Card/Person/8072", "САРАТОВСКИЙ ОБЛАСТНОЙ СУД")</f>
        <v>САРАТОВСКИЙ ОБЛАСТНОЙ СУД</v>
      </c>
      <c r="B1577" s="24" t="s">
        <v>2553</v>
      </c>
      <c r="C1577" s="25">
        <v>116110.5</v>
      </c>
      <c r="D1577" s="22" t="s">
        <v>2554</v>
      </c>
      <c r="E1577" s="22" t="s">
        <v>84</v>
      </c>
      <c r="F1577" s="23" t="str">
        <f>HYPERLINK("https://www.spark-marketing.ru/Card/Lot/73371082", "Поставка, доставка, установка и пуско-наладка системы видеонаблюдения для нужд Саратовского областного суда")</f>
        <v>Поставка, доставка, установка и пуско-наладка системы видеонаблюдения для нужд Саратовского областного суда</v>
      </c>
      <c r="G1577" s="22" t="s">
        <v>80</v>
      </c>
      <c r="H1577" s="22" t="s">
        <v>80</v>
      </c>
      <c r="I1577" s="26">
        <v>43720.436805555597</v>
      </c>
      <c r="J1577" s="23" t="str">
        <f>HYPERLINK("https://www.spark-marketing.ru/Card/Person/74710", "ООО ""АВЕРС-ВИДЕО""")</f>
        <v>ООО "АВЕРС-ВИДЕО"</v>
      </c>
      <c r="K1577" s="24" t="s">
        <v>2555</v>
      </c>
      <c r="L1577" s="22" t="s">
        <v>10</v>
      </c>
      <c r="M1577" s="25">
        <v>54419.45</v>
      </c>
      <c r="N1577" s="27">
        <v>0.53131327485455671</v>
      </c>
    </row>
    <row r="1578" spans="1:14" hidden="1" outlineLevel="1" x14ac:dyDescent="0.2">
      <c r="A1578" s="23" t="str">
        <f>HYPERLINK("https://www.spark-marketing.ru/Card/Person/8072", "САРАТОВСКИЙ ОБЛАСТНОЙ СУД")</f>
        <v>САРАТОВСКИЙ ОБЛАСТНОЙ СУД</v>
      </c>
      <c r="B1578" s="24" t="s">
        <v>2553</v>
      </c>
      <c r="C1578" s="25">
        <v>116110.5</v>
      </c>
      <c r="D1578" s="22" t="s">
        <v>2554</v>
      </c>
      <c r="E1578" s="22" t="s">
        <v>84</v>
      </c>
      <c r="F1578" s="23" t="str">
        <f>HYPERLINK("https://www.spark-marketing.ru/Card/Lot/73371082", "Поставка, доставка, установка и пуско-наладка системы видеонаблюдения для нужд Саратовского областного суда")</f>
        <v>Поставка, доставка, установка и пуско-наладка системы видеонаблюдения для нужд Саратовского областного суда</v>
      </c>
      <c r="G1578" s="22" t="s">
        <v>80</v>
      </c>
      <c r="H1578" s="22" t="s">
        <v>80</v>
      </c>
      <c r="I1578" s="26">
        <v>43720.436805555597</v>
      </c>
      <c r="J1578" s="23" t="str">
        <f>HYPERLINK("https://www.spark-marketing.ru/Card/Person/4855672", "Соннова Екатерина Александровна")</f>
        <v>Соннова Екатерина Александровна</v>
      </c>
      <c r="K1578" s="24" t="s">
        <v>2556</v>
      </c>
      <c r="L1578" s="28" t="s">
        <v>52</v>
      </c>
      <c r="M1578" s="25">
        <v>55000</v>
      </c>
      <c r="N1578" s="27">
        <v>0.5263132963857704</v>
      </c>
    </row>
    <row r="1579" spans="1:14" hidden="1" outlineLevel="1" x14ac:dyDescent="0.2">
      <c r="A1579" s="23" t="str">
        <f>HYPERLINK("https://www.spark-marketing.ru/Card/Person/8072", "САРАТОВСКИЙ ОБЛАСТНОЙ СУД")</f>
        <v>САРАТОВСКИЙ ОБЛАСТНОЙ СУД</v>
      </c>
      <c r="B1579" s="24" t="s">
        <v>2553</v>
      </c>
      <c r="C1579" s="25">
        <v>116110.5</v>
      </c>
      <c r="D1579" s="22" t="s">
        <v>2554</v>
      </c>
      <c r="E1579" s="22" t="s">
        <v>84</v>
      </c>
      <c r="F1579" s="23" t="str">
        <f>HYPERLINK("https://www.spark-marketing.ru/Card/Lot/73371082", "Поставка, доставка, установка и пуско-наладка системы видеонаблюдения для нужд Саратовского областного суда")</f>
        <v>Поставка, доставка, установка и пуско-наладка системы видеонаблюдения для нужд Саратовского областного суда</v>
      </c>
      <c r="G1579" s="22" t="s">
        <v>80</v>
      </c>
      <c r="H1579" s="22" t="s">
        <v>80</v>
      </c>
      <c r="I1579" s="26">
        <v>43720.436805555597</v>
      </c>
      <c r="J1579" s="23" t="str">
        <f>HYPERLINK("https://www.spark-marketing.ru/Card/Person/233377", "ООО ""СИЛЬВЕР-ЛАЙН""")</f>
        <v>ООО "СИЛЬВЕР-ЛАЙН"</v>
      </c>
      <c r="K1579" s="24" t="s">
        <v>2557</v>
      </c>
      <c r="L1579" s="28" t="s">
        <v>52</v>
      </c>
      <c r="M1579" s="25">
        <v>78374.69</v>
      </c>
      <c r="N1579" s="27">
        <v>0.32499911722023417</v>
      </c>
    </row>
    <row r="1580" spans="1:14" x14ac:dyDescent="0.15">
      <c r="A1580" s="23" t="str">
        <f>HYPERLINK("https://www.spark-marketing.ru/Card/Person/155557", "ИФНС РОССИИ ПО СЕВЕРСКОМУ РАЙОНУ КРАСНОДАРСКОГО КРАЯ")</f>
        <v>ИФНС РОССИИ ПО СЕВЕРСКОМУ РАЙОНУ КРАСНОДАРСКОГО КРАЯ</v>
      </c>
      <c r="B1580" s="24" t="s">
        <v>2558</v>
      </c>
      <c r="C1580" s="25">
        <v>299138.68</v>
      </c>
      <c r="D1580" s="22" t="s">
        <v>2559</v>
      </c>
      <c r="E1580" s="22" t="s">
        <v>84</v>
      </c>
      <c r="F1580" s="23" t="str">
        <f>HYPERLINK("https://www.spark-marketing.ru/Card/Lot/73369197", "Монтаж, установка, сборка видеонаблюдения, 1 шт")</f>
        <v>Монтаж, установка, сборка видеонаблюдения, 1 шт</v>
      </c>
      <c r="G1580" s="22" t="s">
        <v>132</v>
      </c>
      <c r="H1580" s="22" t="s">
        <v>2560</v>
      </c>
      <c r="I1580" s="26">
        <v>43720.396967592598</v>
      </c>
      <c r="J1580" s="28" t="s">
        <v>52</v>
      </c>
      <c r="K1580" s="28" t="s">
        <v>52</v>
      </c>
      <c r="L1580" s="28" t="s">
        <v>52</v>
      </c>
      <c r="M1580" s="28" t="s">
        <v>52</v>
      </c>
      <c r="N1580" s="28" t="s">
        <v>52</v>
      </c>
    </row>
    <row r="1581" spans="1:14" x14ac:dyDescent="0.15">
      <c r="A1581" s="23" t="str">
        <f>HYPERLINK("https://www.spark-marketing.ru/Card/Person/48822", "МКУ ""СЛУЖБА МУНИЦИПАЛЬНОГО ЗАКАЗА В ЖКХ""")</f>
        <v>МКУ "СЛУЖБА МУНИЦИПАЛЬНОГО ЗАКАЗА В ЖКХ"</v>
      </c>
      <c r="B1581" s="24" t="s">
        <v>2561</v>
      </c>
      <c r="C1581" s="25">
        <v>494088</v>
      </c>
      <c r="D1581" s="22" t="s">
        <v>2562</v>
      </c>
      <c r="E1581" s="22" t="s">
        <v>52</v>
      </c>
      <c r="F1581" s="23" t="str">
        <f>HYPERLINK("https://www.spark-marketing.ru/Card/Lot/73369743", "Оказание услуг по охране новогодней искусственной ели, украшений фонтана «Ротонда» и ледового городка на Центральной площади")</f>
        <v>Оказание услуг по охране новогодней искусственной ели, украшений фонтана «Ротонда» и ледового городка на Центральной площади</v>
      </c>
      <c r="G1581" s="22" t="s">
        <v>119</v>
      </c>
      <c r="H1581" s="22" t="s">
        <v>2563</v>
      </c>
      <c r="I1581" s="26">
        <v>43720.416666666701</v>
      </c>
      <c r="J1581" s="28" t="s">
        <v>52</v>
      </c>
      <c r="K1581" s="28" t="s">
        <v>52</v>
      </c>
      <c r="L1581" s="28" t="s">
        <v>52</v>
      </c>
      <c r="M1581" s="28" t="s">
        <v>52</v>
      </c>
      <c r="N1581" s="28" t="s">
        <v>52</v>
      </c>
    </row>
    <row r="1582" spans="1:14" ht="12.75" hidden="1" outlineLevel="1" x14ac:dyDescent="0.2">
      <c r="A1582" s="23" t="str">
        <f>HYPERLINK("https://www.spark-marketing.ru/Card/Person/48822", "МКУ ""СЛУЖБА МУНИЦИПАЛЬНОГО ЗАКАЗА В ЖКХ""")</f>
        <v>МКУ "СЛУЖБА МУНИЦИПАЛЬНОГО ЗАКАЗА В ЖКХ"</v>
      </c>
      <c r="B1582" s="24" t="s">
        <v>2561</v>
      </c>
      <c r="C1582" s="25">
        <v>494088</v>
      </c>
      <c r="D1582" s="22" t="s">
        <v>2562</v>
      </c>
      <c r="E1582" s="22" t="s">
        <v>52</v>
      </c>
      <c r="F1582" s="23" t="str">
        <f>HYPERLINK("https://www.spark-marketing.ru/Card/Lot/73369743", "Оказание услуг по охране новогодней искусственной ели, украшений фонтана «Ротонда» и ледового городка на Центральной площади")</f>
        <v>Оказание услуг по охране новогодней искусственной ели, украшений фонтана «Ротонда» и ледового городка на Центральной площади</v>
      </c>
      <c r="G1582" s="22" t="s">
        <v>119</v>
      </c>
      <c r="H1582" s="22" t="s">
        <v>2563</v>
      </c>
      <c r="I1582" s="26">
        <v>43720.416666666701</v>
      </c>
      <c r="J1582" s="23" t="str">
        <f>HYPERLINK("https://www.spark-marketing.ru/Card/Person/109173", "ООО ЧОО АГЕНТСТВО БЕЗОПАСНОСТИ ""АРГУС""")</f>
        <v>ООО ЧОО АГЕНТСТВО БЕЗОПАСНОСТИ "АРГУС"</v>
      </c>
      <c r="K1582" s="24" t="s">
        <v>2564</v>
      </c>
      <c r="L1582" s="22" t="s">
        <v>10</v>
      </c>
      <c r="M1582" s="25">
        <v>477480</v>
      </c>
      <c r="N1582" s="27">
        <v>3.3613445378151259E-2</v>
      </c>
    </row>
    <row r="1583" spans="1:14" hidden="1" outlineLevel="1" x14ac:dyDescent="0.2">
      <c r="A1583" s="23" t="str">
        <f>HYPERLINK("https://www.spark-marketing.ru/Card/Person/48822", "МКУ ""СЛУЖБА МУНИЦИПАЛЬНОГО ЗАКАЗА В ЖКХ""")</f>
        <v>МКУ "СЛУЖБА МУНИЦИПАЛЬНОГО ЗАКАЗА В ЖКХ"</v>
      </c>
      <c r="B1583" s="24" t="s">
        <v>2561</v>
      </c>
      <c r="C1583" s="25">
        <v>494088</v>
      </c>
      <c r="D1583" s="22" t="s">
        <v>2562</v>
      </c>
      <c r="E1583" s="22" t="s">
        <v>52</v>
      </c>
      <c r="F1583" s="23" t="str">
        <f>HYPERLINK("https://www.spark-marketing.ru/Card/Lot/73369743", "Оказание услуг по охране новогодней искусственной ели, украшений фонтана «Ротонда» и ледового городка на Центральной площади")</f>
        <v>Оказание услуг по охране новогодней искусственной ели, украшений фонтана «Ротонда» и ледового городка на Центральной площади</v>
      </c>
      <c r="G1583" s="22" t="s">
        <v>119</v>
      </c>
      <c r="H1583" s="22" t="s">
        <v>2563</v>
      </c>
      <c r="I1583" s="26">
        <v>43720.416666666701</v>
      </c>
      <c r="J1583" s="23" t="str">
        <f>HYPERLINK("https://www.spark-marketing.ru/Card/Person/127983", "ООО ЧОО ""ОХРАНА СЕРВИС ЭЛИТ""")</f>
        <v>ООО ЧОО "ОХРАНА СЕРВИС ЭЛИТ"</v>
      </c>
      <c r="K1583" s="24" t="s">
        <v>2565</v>
      </c>
      <c r="L1583" s="28" t="s">
        <v>52</v>
      </c>
      <c r="M1583" s="25">
        <v>477480</v>
      </c>
      <c r="N1583" s="27">
        <v>3.3613445378151259E-2</v>
      </c>
    </row>
    <row r="1584" spans="1:14" x14ac:dyDescent="0.15">
      <c r="A1584" s="23" t="str">
        <f>HYPERLINK("https://www.spark-marketing.ru/Card/Person/13630", "ФКУ ""ЦХИСО ГУ МВД РОССИИ ПО НИЖЕГОРОДСКОЙ ОБЛАСТИ""")</f>
        <v>ФКУ "ЦХИСО ГУ МВД РОССИИ ПО НИЖЕГОРОДСКОЙ ОБЛАСТИ"</v>
      </c>
      <c r="B1584" s="24" t="s">
        <v>2566</v>
      </c>
      <c r="C1584" s="25">
        <v>1475000</v>
      </c>
      <c r="D1584" s="22" t="s">
        <v>2567</v>
      </c>
      <c r="E1584" s="22" t="s">
        <v>2568</v>
      </c>
      <c r="F1584" s="23" t="str">
        <f>HYPERLINK("https://www.spark-marketing.ru/Card/Lot/73373568", "Оказание услуг по организации питания несовершеннолетних правонарушителей, содержащихся в ЦВСНП ГУ МВД России по Нижегородской области")</f>
        <v>Оказание услуг по организации питания несовершеннолетних правонарушителей, содержащихся в ЦВСНП ГУ МВД России по Нижегородской области</v>
      </c>
      <c r="G1584" s="22" t="s">
        <v>64</v>
      </c>
      <c r="H1584" s="22" t="s">
        <v>64</v>
      </c>
      <c r="I1584" s="26">
        <v>43720.359722222202</v>
      </c>
      <c r="J1584" s="23" t="str">
        <f>HYPERLINK("https://www.spark-marketing.ru/Card/Person/1177901", "Лебедева Анастасия Ананьевна")</f>
        <v>Лебедева Анастасия Ананьевна</v>
      </c>
      <c r="K1584" s="24" t="s">
        <v>2569</v>
      </c>
      <c r="L1584" s="22" t="s">
        <v>10</v>
      </c>
      <c r="M1584" s="28" t="s">
        <v>52</v>
      </c>
      <c r="N1584" s="28" t="s">
        <v>52</v>
      </c>
    </row>
    <row r="1585" spans="1:14" x14ac:dyDescent="0.15">
      <c r="A1585" s="23" t="str">
        <f>HYPERLINK("https://www.spark-marketing.ru/Card/Person/1050278", "ОТДЕЛЕНИЕ МВД РОССИИ ПО ЧЕБУЛИНСКОМУ РАЙОНУ")</f>
        <v>ОТДЕЛЕНИЕ МВД РОССИИ ПО ЧЕБУЛИНСКОМУ РАЙОНУ</v>
      </c>
      <c r="B1585" s="24" t="s">
        <v>2396</v>
      </c>
      <c r="C1585" s="25">
        <v>9500</v>
      </c>
      <c r="D1585" s="22" t="s">
        <v>2570</v>
      </c>
      <c r="E1585" s="22" t="s">
        <v>107</v>
      </c>
      <c r="F1585" s="23" t="str">
        <f>HYPERLINK("https://www.spark-marketing.ru/Card/Lot/73368462", "Техническое обслуживание видеонаблюдения, 19 шт")</f>
        <v>Техническое обслуживание видеонаблюдения, 19 шт</v>
      </c>
      <c r="G1585" s="22" t="s">
        <v>367</v>
      </c>
      <c r="H1585" s="22" t="s">
        <v>2571</v>
      </c>
      <c r="I1585" s="26">
        <v>43720.370567129597</v>
      </c>
      <c r="J1585" s="28" t="s">
        <v>52</v>
      </c>
      <c r="K1585" s="28" t="s">
        <v>52</v>
      </c>
      <c r="L1585" s="28" t="s">
        <v>52</v>
      </c>
      <c r="M1585" s="28" t="s">
        <v>52</v>
      </c>
      <c r="N1585" s="28" t="s">
        <v>52</v>
      </c>
    </row>
    <row r="1586" spans="1:14" x14ac:dyDescent="0.15">
      <c r="A1586" s="23" t="str">
        <f>HYPERLINK("https://www.spark-marketing.ru/Card/Person/103729", "КГКУ ""АВТОБАЗА ПРАВИТЕЛЬСТВА ХАБАРОВСКОГО КРАЯ""")</f>
        <v>КГКУ "АВТОБАЗА ПРАВИТЕЛЬСТВА ХАБАРОВСКОГО КРАЯ"</v>
      </c>
      <c r="B1586" s="24" t="s">
        <v>2572</v>
      </c>
      <c r="C1586" s="25">
        <v>20905</v>
      </c>
      <c r="D1586" s="22" t="s">
        <v>2573</v>
      </c>
      <c r="E1586" s="22" t="s">
        <v>59</v>
      </c>
      <c r="F1586" s="23" t="str">
        <f>HYPERLINK("https://www.spark-marketing.ru/Card/Lot/73367766", "Установка охранной сигнализации, 1 шт")</f>
        <v>Установка охранной сигнализации, 1 шт</v>
      </c>
      <c r="G1586" s="22" t="s">
        <v>138</v>
      </c>
      <c r="H1586" s="22" t="s">
        <v>255</v>
      </c>
      <c r="I1586" s="26">
        <v>43720.318576388898</v>
      </c>
      <c r="J1586" s="28" t="s">
        <v>52</v>
      </c>
      <c r="K1586" s="28" t="s">
        <v>52</v>
      </c>
      <c r="L1586" s="28" t="s">
        <v>52</v>
      </c>
      <c r="M1586" s="28" t="s">
        <v>52</v>
      </c>
      <c r="N1586" s="28" t="s">
        <v>52</v>
      </c>
    </row>
    <row r="1587" spans="1:14" x14ac:dyDescent="0.15">
      <c r="A1587" s="23" t="str">
        <f>HYPERLINK("https://www.spark-marketing.ru/Card/Person/48822", "МКУ ""СЛУЖБА МУНИЦИПАЛЬНОГО ЗАКАЗА В ЖКХ""")</f>
        <v>МКУ "СЛУЖБА МУНИЦИПАЛЬНОГО ЗАКАЗА В ЖКХ"</v>
      </c>
      <c r="B1587" s="24" t="s">
        <v>2561</v>
      </c>
      <c r="C1587" s="25">
        <v>496944</v>
      </c>
      <c r="D1587" s="22" t="s">
        <v>2574</v>
      </c>
      <c r="E1587" s="22" t="s">
        <v>52</v>
      </c>
      <c r="F1587" s="23" t="str">
        <f>HYPERLINK("https://www.spark-marketing.ru/Card/Lot/73369742", "Оказание услуг по охране новогодней елки и ледового городка на площади «Свободы»")</f>
        <v>Оказание услуг по охране новогодней елки и ледового городка на площади «Свободы»</v>
      </c>
      <c r="G1587" s="22" t="s">
        <v>119</v>
      </c>
      <c r="H1587" s="22" t="s">
        <v>2563</v>
      </c>
      <c r="I1587" s="26">
        <v>43720.413194444402</v>
      </c>
      <c r="J1587" s="28" t="s">
        <v>52</v>
      </c>
      <c r="K1587" s="28" t="s">
        <v>52</v>
      </c>
      <c r="L1587" s="28" t="s">
        <v>52</v>
      </c>
      <c r="M1587" s="28" t="s">
        <v>52</v>
      </c>
      <c r="N1587" s="28" t="s">
        <v>52</v>
      </c>
    </row>
    <row r="1588" spans="1:14" ht="12.75" hidden="1" outlineLevel="1" x14ac:dyDescent="0.2">
      <c r="A1588" s="23" t="str">
        <f>HYPERLINK("https://www.spark-marketing.ru/Card/Person/48822", "МКУ ""СЛУЖБА МУНИЦИПАЛЬНОГО ЗАКАЗА В ЖКХ""")</f>
        <v>МКУ "СЛУЖБА МУНИЦИПАЛЬНОГО ЗАКАЗА В ЖКХ"</v>
      </c>
      <c r="B1588" s="24" t="s">
        <v>2561</v>
      </c>
      <c r="C1588" s="25">
        <v>496944</v>
      </c>
      <c r="D1588" s="22" t="s">
        <v>2574</v>
      </c>
      <c r="E1588" s="22" t="s">
        <v>52</v>
      </c>
      <c r="F1588" s="23" t="str">
        <f>HYPERLINK("https://www.spark-marketing.ru/Card/Lot/73369742", "Оказание услуг по охране новогодней елки и ледового городка на площади «Свободы»")</f>
        <v>Оказание услуг по охране новогодней елки и ледового городка на площади «Свободы»</v>
      </c>
      <c r="G1588" s="22" t="s">
        <v>119</v>
      </c>
      <c r="H1588" s="22" t="s">
        <v>2563</v>
      </c>
      <c r="I1588" s="26">
        <v>43720.413194444402</v>
      </c>
      <c r="J1588" s="23" t="str">
        <f>HYPERLINK("https://www.spark-marketing.ru/Card/Person/109173", "ООО ЧОО АГЕНТСТВО БЕЗОПАСНОСТИ ""АРГУС""")</f>
        <v>ООО ЧОО АГЕНТСТВО БЕЗОПАСНОСТИ "АРГУС"</v>
      </c>
      <c r="K1588" s="24" t="s">
        <v>2564</v>
      </c>
      <c r="L1588" s="22" t="s">
        <v>10</v>
      </c>
      <c r="M1588" s="25">
        <v>490680</v>
      </c>
      <c r="N1588" s="27">
        <v>1.2605042016806723E-2</v>
      </c>
    </row>
    <row r="1589" spans="1:14" hidden="1" outlineLevel="1" x14ac:dyDescent="0.2">
      <c r="A1589" s="23" t="str">
        <f>HYPERLINK("https://www.spark-marketing.ru/Card/Person/48822", "МКУ ""СЛУЖБА МУНИЦИПАЛЬНОГО ЗАКАЗА В ЖКХ""")</f>
        <v>МКУ "СЛУЖБА МУНИЦИПАЛЬНОГО ЗАКАЗА В ЖКХ"</v>
      </c>
      <c r="B1589" s="24" t="s">
        <v>2561</v>
      </c>
      <c r="C1589" s="25">
        <v>496944</v>
      </c>
      <c r="D1589" s="22" t="s">
        <v>2574</v>
      </c>
      <c r="E1589" s="22" t="s">
        <v>52</v>
      </c>
      <c r="F1589" s="23" t="str">
        <f>HYPERLINK("https://www.spark-marketing.ru/Card/Lot/73369742", "Оказание услуг по охране новогодней елки и ледового городка на площади «Свободы»")</f>
        <v>Оказание услуг по охране новогодней елки и ледового городка на площади «Свободы»</v>
      </c>
      <c r="G1589" s="22" t="s">
        <v>119</v>
      </c>
      <c r="H1589" s="22" t="s">
        <v>2563</v>
      </c>
      <c r="I1589" s="26">
        <v>43720.413194444402</v>
      </c>
      <c r="J1589" s="23" t="str">
        <f>HYPERLINK("https://www.spark-marketing.ru/Card/Person/127983", "ООО ЧОО ""ОХРАНА СЕРВИС ЭЛИТ""")</f>
        <v>ООО ЧОО "ОХРАНА СЕРВИС ЭЛИТ"</v>
      </c>
      <c r="K1589" s="24" t="s">
        <v>2565</v>
      </c>
      <c r="L1589" s="28" t="s">
        <v>52</v>
      </c>
      <c r="M1589" s="25">
        <v>490680</v>
      </c>
      <c r="N1589" s="27">
        <v>1.2605042016806723E-2</v>
      </c>
    </row>
    <row r="1590" spans="1:14" x14ac:dyDescent="0.15">
      <c r="A1590" s="23" t="str">
        <f>HYPERLINK("https://www.spark-marketing.ru/Card/Person/322792", "МП ""НИЖЕГОРОДЭЛЕКТРОТРАНС""")</f>
        <v>МП "НИЖЕГОРОДЭЛЕКТРОТРАНС"</v>
      </c>
      <c r="B1590" s="24" t="s">
        <v>2575</v>
      </c>
      <c r="C1590" s="25">
        <v>880000</v>
      </c>
      <c r="D1590" s="22" t="s">
        <v>2576</v>
      </c>
      <c r="E1590" s="22" t="s">
        <v>2577</v>
      </c>
      <c r="F1590" s="23" t="str">
        <f>HYPERLINK("https://www.spark-marketing.ru/Card/Lot/73370073", "Оказание услуг по разработке и утверждению планов обеспечения транспортной безопасности транспортных средств")</f>
        <v>Оказание услуг по разработке и утверждению планов обеспечения транспортной безопасности транспортных средств</v>
      </c>
      <c r="G1590" s="22" t="s">
        <v>64</v>
      </c>
      <c r="H1590" s="22" t="s">
        <v>64</v>
      </c>
      <c r="I1590" s="26">
        <v>43720</v>
      </c>
      <c r="J1590" s="28" t="s">
        <v>52</v>
      </c>
      <c r="K1590" s="28" t="s">
        <v>52</v>
      </c>
      <c r="L1590" s="28" t="s">
        <v>52</v>
      </c>
      <c r="M1590" s="28" t="s">
        <v>52</v>
      </c>
      <c r="N1590" s="28" t="s">
        <v>52</v>
      </c>
    </row>
    <row r="1591" spans="1:14" x14ac:dyDescent="0.15">
      <c r="A1591" s="23" t="str">
        <f>HYPERLINK("https://www.spark-marketing.ru/Card/Person/555246", "АО ""УЭХК""")</f>
        <v>АО "УЭХК"</v>
      </c>
      <c r="B1591" s="24" t="s">
        <v>2525</v>
      </c>
      <c r="C1591" s="28" t="s">
        <v>52</v>
      </c>
      <c r="D1591" s="22" t="s">
        <v>2578</v>
      </c>
      <c r="E1591" s="22" t="s">
        <v>53</v>
      </c>
      <c r="F1591" s="23" t="str">
        <f>HYPERLINK("https://www.spark-marketing.ru/Card/Lot/73384149", "Оказание услуг по физической охране объектов АО «УЭХК». (1341332)")</f>
        <v>Оказание услуг по физической охране объектов АО «УЭХК». (1341332)</v>
      </c>
      <c r="G1591" s="22" t="s">
        <v>72</v>
      </c>
      <c r="H1591" s="22" t="s">
        <v>2527</v>
      </c>
      <c r="I1591" s="26">
        <v>43720.643043981501</v>
      </c>
      <c r="J1591" s="28" t="s">
        <v>52</v>
      </c>
      <c r="K1591" s="28" t="s">
        <v>52</v>
      </c>
      <c r="L1591" s="28" t="s">
        <v>52</v>
      </c>
      <c r="M1591" s="28" t="s">
        <v>52</v>
      </c>
      <c r="N1591" s="28" t="s">
        <v>52</v>
      </c>
    </row>
    <row r="1592" spans="1:14" x14ac:dyDescent="0.15">
      <c r="A1592" s="23" t="str">
        <f>HYPERLINK("https://www.spark-marketing.ru/Card/Person/123422", "ПАО ""МОСКОВСКАЯ ОБЪЕДИНЕННАЯ ЭЛЕКТРОСЕТЕВАЯ КОМПАНИЯ"" ПАО ""МОЭСК""")</f>
        <v>ПАО "МОСКОВСКАЯ ОБЪЕДИНЕННАЯ ЭЛЕКТРОСЕТЕВАЯ КОМПАНИЯ" ПАО "МОЭСК"</v>
      </c>
      <c r="B1592" s="24" t="s">
        <v>2579</v>
      </c>
      <c r="C1592" s="25">
        <v>2485553</v>
      </c>
      <c r="D1592" s="22" t="s">
        <v>2580</v>
      </c>
      <c r="E1592" s="22" t="s">
        <v>2581</v>
      </c>
      <c r="F1592" s="23" t="str">
        <f>HYPERLINK("https://www.spark-marketing.ru/Card/Lot/73387094", "Определение подрядчика на выполнение работ по техническому обслуживанию комплекса на базе видеостены на ДП ВЭС - филиала ПАО «МОЭСК» по адресу: МО,г.Ногинск, ул.Радченко, д.13 в 2019-2020 гг.")</f>
        <v>Определение подрядчика на выполнение работ по техническому обслуживанию комплекса на базе видеостены на ДП ВЭС - филиала ПАО «МОЭСК» по адресу: МО,г.Ногинск, ул.Радченко, д.13 в 2019-2020 гг.</v>
      </c>
      <c r="G1592" s="22" t="s">
        <v>55</v>
      </c>
      <c r="H1592" s="22" t="s">
        <v>55</v>
      </c>
      <c r="I1592" s="26">
        <v>43720</v>
      </c>
      <c r="J1592" s="28" t="s">
        <v>52</v>
      </c>
      <c r="K1592" s="28" t="s">
        <v>52</v>
      </c>
      <c r="L1592" s="28" t="s">
        <v>52</v>
      </c>
      <c r="M1592" s="28" t="s">
        <v>52</v>
      </c>
      <c r="N1592" s="28" t="s">
        <v>52</v>
      </c>
    </row>
    <row r="1593" spans="1:14" x14ac:dyDescent="0.15">
      <c r="A1593" s="23" t="str">
        <f>HYPERLINK("https://www.spark-marketing.ru/Card/Person/59889", "МАУФКИС ""СОК ""КЕРАМИК""")</f>
        <v>МАУФКИС "СОК "КЕРАМИК"</v>
      </c>
      <c r="B1593" s="24" t="s">
        <v>1704</v>
      </c>
      <c r="C1593" s="25">
        <v>52430</v>
      </c>
      <c r="D1593" s="22" t="s">
        <v>2582</v>
      </c>
      <c r="E1593" s="22" t="s">
        <v>1706</v>
      </c>
      <c r="F1593" s="23" t="str">
        <f>HYPERLINK("https://www.spark-marketing.ru/Card/Lot/73385935", "Выполнение работ по установке системы видеонаблюдения")</f>
        <v>Выполнение работ по установке системы видеонаблюдения</v>
      </c>
      <c r="G1593" s="22" t="s">
        <v>50</v>
      </c>
      <c r="H1593" s="22" t="s">
        <v>432</v>
      </c>
      <c r="I1593" s="26">
        <v>43720</v>
      </c>
      <c r="J1593" s="28" t="s">
        <v>52</v>
      </c>
      <c r="K1593" s="28" t="s">
        <v>52</v>
      </c>
      <c r="L1593" s="28" t="s">
        <v>52</v>
      </c>
      <c r="M1593" s="28" t="s">
        <v>52</v>
      </c>
      <c r="N1593" s="28" t="s">
        <v>52</v>
      </c>
    </row>
    <row r="1594" spans="1:14" x14ac:dyDescent="0.15">
      <c r="A1594" s="23" t="str">
        <f>HYPERLINK("https://www.spark-marketing.ru/Card/Person/4348451", "ПАО ""Т ПЛЮС""")</f>
        <v>ПАО "Т ПЛЮС"</v>
      </c>
      <c r="B1594" s="24" t="s">
        <v>47</v>
      </c>
      <c r="C1594" s="25">
        <v>1381359.24</v>
      </c>
      <c r="D1594" s="22" t="s">
        <v>2583</v>
      </c>
      <c r="E1594" s="22" t="s">
        <v>49</v>
      </c>
      <c r="F1594" s="23" t="str">
        <f>HYPERLINK("https://www.spark-marketing.ru/Card/Lot/73386580", "9088171 «Обслуживание инженерно-технических средств охраны ТЭЦ-3, ТЭЦ-4, ТЭЦ-5 и ИА» для нужд филиала «Кировский» ПАО «Т Плюс» в 2020 году")</f>
        <v>9088171 «Обслуживание инженерно-технических средств охраны ТЭЦ-3, ТЭЦ-4, ТЭЦ-5 и ИА» для нужд филиала «Кировский» ПАО «Т Плюс» в 2020 году</v>
      </c>
      <c r="G1594" s="22" t="s">
        <v>50</v>
      </c>
      <c r="H1594" s="22" t="s">
        <v>51</v>
      </c>
      <c r="I1594" s="26">
        <v>43720</v>
      </c>
      <c r="J1594" s="28" t="s">
        <v>52</v>
      </c>
      <c r="K1594" s="28" t="s">
        <v>52</v>
      </c>
      <c r="L1594" s="28" t="s">
        <v>52</v>
      </c>
      <c r="M1594" s="28" t="s">
        <v>52</v>
      </c>
      <c r="N1594" s="28" t="s">
        <v>52</v>
      </c>
    </row>
    <row r="1595" spans="1:14" x14ac:dyDescent="0.15">
      <c r="A1595" s="23" t="str">
        <f>HYPERLINK("https://www.spark-marketing.ru/Card/Person/153224", "МДОУ - ДЕТСКИЙ САД № 47 ""РАДУГА""")</f>
        <v>МДОУ - ДЕТСКИЙ САД № 47 "РАДУГА"</v>
      </c>
      <c r="B1595" s="24" t="s">
        <v>2103</v>
      </c>
      <c r="C1595" s="25">
        <v>47758.04</v>
      </c>
      <c r="D1595" s="22" t="s">
        <v>2584</v>
      </c>
      <c r="E1595" s="22" t="s">
        <v>107</v>
      </c>
      <c r="F1595" s="23" t="str">
        <f>HYPERLINK("https://www.spark-marketing.ru/Card/Lot/73362366", "оказание услуг по установке системы видеодомофонной связи")</f>
        <v>оказание услуг по установке системы видеодомофонной связи</v>
      </c>
      <c r="G1595" s="22" t="s">
        <v>50</v>
      </c>
      <c r="H1595" s="22" t="s">
        <v>299</v>
      </c>
      <c r="I1595" s="26">
        <v>43719.867719907401</v>
      </c>
      <c r="J1595" s="28" t="s">
        <v>52</v>
      </c>
      <c r="K1595" s="28" t="s">
        <v>52</v>
      </c>
      <c r="L1595" s="28" t="s">
        <v>52</v>
      </c>
      <c r="M1595" s="28" t="s">
        <v>52</v>
      </c>
      <c r="N1595" s="28" t="s">
        <v>52</v>
      </c>
    </row>
    <row r="1596" spans="1:14" x14ac:dyDescent="0.15">
      <c r="A1596" s="23" t="str">
        <f>HYPERLINK("https://www.spark-marketing.ru/Card/Person/6273", "ГОСУДАРСТВЕННЫЙ ЛИТЕРАТУРНЫЙ МУЗЕЙ")</f>
        <v>ГОСУДАРСТВЕННЫЙ ЛИТЕРАТУРНЫЙ МУЗЕЙ</v>
      </c>
      <c r="B1596" s="24" t="s">
        <v>2585</v>
      </c>
      <c r="C1596" s="25">
        <v>2160000</v>
      </c>
      <c r="D1596" s="22" t="s">
        <v>2586</v>
      </c>
      <c r="E1596" s="22" t="s">
        <v>68</v>
      </c>
      <c r="F1596" s="23" t="str">
        <f>HYPERLINK("https://www.spark-marketing.ru/Card/Lot/73362193", "Оказание услуг по обеспечению комплекса мер, направленных на защиту материального имущества объектов, обеспечение внутриобъектового и пропускного режимов по адресам: г. Москва, ЦАО, Садовая-Кудринская улица, дом 6, строение 2, Шелапутинский пер., д. ...")</f>
        <v>Оказание услуг по обеспечению комплекса мер, направленных на защиту материального имущества объектов, обеспечение внутриобъектового и пропускного режимов по адресам: г. Москва, ЦАО, Садовая-Кудринская улица, дом 6, строение 2, Шелапутинский пер., д. ...</v>
      </c>
      <c r="G1596" s="22" t="s">
        <v>55</v>
      </c>
      <c r="H1596" s="22" t="s">
        <v>55</v>
      </c>
      <c r="I1596" s="26">
        <v>43719.806944444397</v>
      </c>
      <c r="J1596" s="28" t="s">
        <v>52</v>
      </c>
      <c r="K1596" s="28" t="s">
        <v>52</v>
      </c>
      <c r="L1596" s="28" t="s">
        <v>52</v>
      </c>
      <c r="M1596" s="28" t="s">
        <v>52</v>
      </c>
      <c r="N1596" s="28" t="s">
        <v>52</v>
      </c>
    </row>
    <row r="1597" spans="1:14" ht="12.75" hidden="1" outlineLevel="1" x14ac:dyDescent="0.2">
      <c r="A1597" s="23" t="str">
        <f>HYPERLINK("https://www.spark-marketing.ru/Card/Person/6273", "ГОСУДАРСТВЕННЫЙ ЛИТЕРАТУРНЫЙ МУЗЕЙ")</f>
        <v>ГОСУДАРСТВЕННЫЙ ЛИТЕРАТУРНЫЙ МУЗЕЙ</v>
      </c>
      <c r="B1597" s="24" t="s">
        <v>2585</v>
      </c>
      <c r="C1597" s="25">
        <v>2160000</v>
      </c>
      <c r="D1597" s="22" t="s">
        <v>2586</v>
      </c>
      <c r="E1597" s="22" t="s">
        <v>68</v>
      </c>
      <c r="F1597" s="23" t="str">
        <f>HYPERLINK("https://www.spark-marketing.ru/Card/Lot/73362193", "Оказание услуг по обеспечению комплекса мер, направленных на защиту материального имущества объектов, обеспечение внутриобъектового и пропускного режимов по адресам: г. Москва, ЦАО, Садовая-Кудринская улица, дом 6, строение 2, Шелапутинский пер., д. ...")</f>
        <v>Оказание услуг по обеспечению комплекса мер, направленных на защиту материального имущества объектов, обеспечение внутриобъектового и пропускного режимов по адресам: г. Москва, ЦАО, Садовая-Кудринская улица, дом 6, строение 2, Шелапутинский пер., д. ...</v>
      </c>
      <c r="G1597" s="22" t="s">
        <v>55</v>
      </c>
      <c r="H1597" s="22" t="s">
        <v>55</v>
      </c>
      <c r="I1597" s="26">
        <v>43719.806944444397</v>
      </c>
      <c r="J1597" s="23" t="str">
        <f>HYPERLINK("https://www.spark-marketing.ru/Card/Person/91445", "ООО ЧОП ""А/Б ""ОРБИТА-ТРИУМФ""")</f>
        <v>ООО ЧОП "А/Б "ОРБИТА-ТРИУМФ"</v>
      </c>
      <c r="K1597" s="24" t="s">
        <v>2587</v>
      </c>
      <c r="L1597" s="22" t="s">
        <v>10</v>
      </c>
      <c r="M1597" s="25">
        <v>2028000</v>
      </c>
      <c r="N1597" s="27">
        <v>6.1111111111111109E-2</v>
      </c>
    </row>
    <row r="1598" spans="1:14" hidden="1" outlineLevel="1" x14ac:dyDescent="0.2">
      <c r="A1598" s="23" t="str">
        <f>HYPERLINK("https://www.spark-marketing.ru/Card/Person/6273", "ГОСУДАРСТВЕННЫЙ ЛИТЕРАТУРНЫЙ МУЗЕЙ")</f>
        <v>ГОСУДАРСТВЕННЫЙ ЛИТЕРАТУРНЫЙ МУЗЕЙ</v>
      </c>
      <c r="B1598" s="24" t="s">
        <v>2585</v>
      </c>
      <c r="C1598" s="25">
        <v>2160000</v>
      </c>
      <c r="D1598" s="22" t="s">
        <v>2586</v>
      </c>
      <c r="E1598" s="22" t="s">
        <v>68</v>
      </c>
      <c r="F1598" s="23" t="str">
        <f>HYPERLINK("https://www.spark-marketing.ru/Card/Lot/73362193", "Оказание услуг по обеспечению комплекса мер, направленных на защиту материального имущества объектов, обеспечение внутриобъектового и пропускного режимов по адресам: г. Москва, ЦАО, Садовая-Кудринская улица, дом 6, строение 2, Шелапутинский пер., д. ...")</f>
        <v>Оказание услуг по обеспечению комплекса мер, направленных на защиту материального имущества объектов, обеспечение внутриобъектового и пропускного режимов по адресам: г. Москва, ЦАО, Садовая-Кудринская улица, дом 6, строение 2, Шелапутинский пер., д. ...</v>
      </c>
      <c r="G1598" s="22" t="s">
        <v>55</v>
      </c>
      <c r="H1598" s="22" t="s">
        <v>55</v>
      </c>
      <c r="I1598" s="26">
        <v>43719.806944444397</v>
      </c>
      <c r="J1598" s="23" t="str">
        <f>HYPERLINK("https://www.spark-marketing.ru/Card/Person/616326", "ООО ЧОО ""ДИФЕНС""")</f>
        <v>ООО ЧОО "ДИФЕНС"</v>
      </c>
      <c r="K1598" s="24" t="s">
        <v>2588</v>
      </c>
      <c r="L1598" s="28" t="s">
        <v>52</v>
      </c>
      <c r="M1598" s="25">
        <v>1875000</v>
      </c>
      <c r="N1598" s="27">
        <v>0.13194444444444445</v>
      </c>
    </row>
    <row r="1599" spans="1:14" x14ac:dyDescent="0.15">
      <c r="A1599" s="23" t="str">
        <f>HYPERLINK("https://www.spark-marketing.ru/Card/Person/4924815", "БАЙКАЛЬСКИЙ БАНК ПАО СБЕРБАНК")</f>
        <v>БАЙКАЛЬСКИЙ БАНК ПАО СБЕРБАНК</v>
      </c>
      <c r="B1599" s="28" t="s">
        <v>52</v>
      </c>
      <c r="C1599" s="25">
        <v>1784183.52</v>
      </c>
      <c r="D1599" s="22" t="s">
        <v>2589</v>
      </c>
      <c r="E1599" s="22" t="s">
        <v>53</v>
      </c>
      <c r="F1599" s="23" t="str">
        <f>HYPERLINK("https://www.spark-marketing.ru/Card/Lot/73356339", "Оказание услуг по физической охране имущества объекта, расположенного на территории г. Железногорск-Илимский, Иркутская область")</f>
        <v>Оказание услуг по физической охране имущества объекта, расположенного на территории г. Железногорск-Илимский, Иркутская область</v>
      </c>
      <c r="G1599" s="22" t="s">
        <v>52</v>
      </c>
      <c r="H1599" s="22" t="s">
        <v>52</v>
      </c>
      <c r="I1599" s="26">
        <v>43719.697916666701</v>
      </c>
      <c r="J1599" s="28" t="s">
        <v>52</v>
      </c>
      <c r="K1599" s="28" t="s">
        <v>52</v>
      </c>
      <c r="L1599" s="28" t="s">
        <v>52</v>
      </c>
      <c r="M1599" s="28" t="s">
        <v>52</v>
      </c>
      <c r="N1599" s="28" t="s">
        <v>52</v>
      </c>
    </row>
    <row r="1600" spans="1:14" x14ac:dyDescent="0.15">
      <c r="A1600" s="23" t="str">
        <f>HYPERLINK("https://www.spark-marketing.ru/Card/Person/1781442", "АО ""ХИАГДА""")</f>
        <v>АО "ХИАГДА"</v>
      </c>
      <c r="B1600" s="24" t="s">
        <v>2590</v>
      </c>
      <c r="C1600" s="25">
        <v>10499997.949999999</v>
      </c>
      <c r="D1600" s="22" t="s">
        <v>2591</v>
      </c>
      <c r="E1600" s="22" t="s">
        <v>53</v>
      </c>
      <c r="F1600" s="23" t="str">
        <f>HYPERLINK("https://www.spark-marketing.ru/Card/Lot/73361082", "Приобретение и установка системы видеонаблюдения Цеха ПВ")</f>
        <v>Приобретение и установка системы видеонаблюдения Цеха ПВ</v>
      </c>
      <c r="G1600" s="22" t="s">
        <v>354</v>
      </c>
      <c r="H1600" s="22" t="s">
        <v>2592</v>
      </c>
      <c r="I1600" s="26">
        <v>43719.706620370402</v>
      </c>
      <c r="J1600" s="28" t="s">
        <v>52</v>
      </c>
      <c r="K1600" s="28" t="s">
        <v>52</v>
      </c>
      <c r="L1600" s="28" t="s">
        <v>52</v>
      </c>
      <c r="M1600" s="28" t="s">
        <v>52</v>
      </c>
      <c r="N1600" s="28" t="s">
        <v>52</v>
      </c>
    </row>
    <row r="1601" spans="1:14" x14ac:dyDescent="0.15">
      <c r="A1601" s="23" t="str">
        <f>HYPERLINK("https://www.spark-marketing.ru/Card/Person/163922", "ФГКУ ""ОВО ВНГ РОССИИ ПО РЕСПУБЛИКЕ КАЛМЫКИЯ""")</f>
        <v>ФГКУ "ОВО ВНГ РОССИИ ПО РЕСПУБЛИКЕ КАЛМЫКИЯ"</v>
      </c>
      <c r="B1601" s="24" t="s">
        <v>2593</v>
      </c>
      <c r="C1601" s="25">
        <v>169533.33</v>
      </c>
      <c r="D1601" s="22" t="s">
        <v>2594</v>
      </c>
      <c r="E1601" s="22" t="s">
        <v>376</v>
      </c>
      <c r="F1601" s="23" t="str">
        <f>HYPERLINK("https://www.spark-marketing.ru/Card/Lot/73358546", "Поставка (приобретение)  специальных световых и звуковых сигналов предназначенных для установки на автотранспортные средства ФГКУ ""ОВО ВНГ России по Республике Калмыкия""")</f>
        <v>Поставка (приобретение)  специальных световых и звуковых сигналов предназначенных для установки на автотранспортные средства ФГКУ "ОВО ВНГ России по Республике Калмыкия"</v>
      </c>
      <c r="G1601" s="22" t="s">
        <v>1325</v>
      </c>
      <c r="H1601" s="22" t="s">
        <v>2595</v>
      </c>
      <c r="I1601" s="26">
        <v>43719.631944444402</v>
      </c>
      <c r="J1601" s="23" t="str">
        <f>HYPERLINK("https://www.spark-marketing.ru/Card/Person/103208", "ООО ""БРИЗ""")</f>
        <v>ООО "БРИЗ"</v>
      </c>
      <c r="K1601" s="24" t="s">
        <v>2596</v>
      </c>
      <c r="L1601" s="28" t="s">
        <v>52</v>
      </c>
      <c r="M1601" s="28" t="s">
        <v>52</v>
      </c>
      <c r="N1601" s="28" t="s">
        <v>52</v>
      </c>
    </row>
    <row r="1602" spans="1:14" hidden="1" outlineLevel="1" x14ac:dyDescent="0.15">
      <c r="A1602" s="23" t="str">
        <f>HYPERLINK("https://www.spark-marketing.ru/Card/Person/163922", "ФГКУ ""ОВО ВНГ РОССИИ ПО РЕСПУБЛИКЕ КАЛМЫКИЯ""")</f>
        <v>ФГКУ "ОВО ВНГ РОССИИ ПО РЕСПУБЛИКЕ КАЛМЫКИЯ"</v>
      </c>
      <c r="B1602" s="24" t="s">
        <v>2593</v>
      </c>
      <c r="C1602" s="25">
        <v>169533.33</v>
      </c>
      <c r="D1602" s="22" t="s">
        <v>2594</v>
      </c>
      <c r="E1602" s="22" t="s">
        <v>376</v>
      </c>
      <c r="F1602" s="23" t="str">
        <f>HYPERLINK("https://www.spark-marketing.ru/Card/Lot/73358546", "Поставка (приобретение)  специальных световых и звуковых сигналов предназначенных для установки на автотранспортные средства ФГКУ ""ОВО ВНГ России по Республике Калмыкия""")</f>
        <v>Поставка (приобретение)  специальных световых и звуковых сигналов предназначенных для установки на автотранспортные средства ФГКУ "ОВО ВНГ России по Республике Калмыкия"</v>
      </c>
      <c r="G1602" s="22" t="s">
        <v>1325</v>
      </c>
      <c r="H1602" s="22" t="s">
        <v>2595</v>
      </c>
      <c r="I1602" s="26">
        <v>43719.631944444402</v>
      </c>
      <c r="J1602" s="23" t="str">
        <f>HYPERLINK("https://www.spark-marketing.ru/Card/Person/103208", "ООО ""БРИЗ""")</f>
        <v>ООО "БРИЗ"</v>
      </c>
      <c r="K1602" s="24" t="s">
        <v>2596</v>
      </c>
      <c r="L1602" s="22" t="s">
        <v>10</v>
      </c>
      <c r="M1602" s="28" t="s">
        <v>52</v>
      </c>
      <c r="N1602" s="28" t="s">
        <v>52</v>
      </c>
    </row>
    <row r="1603" spans="1:14" x14ac:dyDescent="0.15">
      <c r="A1603" s="23" t="str">
        <f>HYPERLINK("https://www.spark-marketing.ru/Card/Person/4415898", "АО ""ВТЗ""")</f>
        <v>АО "ВТЗ"</v>
      </c>
      <c r="B1603" s="24" t="s">
        <v>2597</v>
      </c>
      <c r="C1603" s="25">
        <v>7374619</v>
      </c>
      <c r="D1603" s="22" t="s">
        <v>2598</v>
      </c>
      <c r="E1603" s="22" t="s">
        <v>53</v>
      </c>
      <c r="F1603" s="23" t="str">
        <f>HYPERLINK("https://www.spark-marketing.ru/Card/Lot/73351189", "Установка видеокамер в основных цехах АО ""ВТЗ"" для подключения к системе видеомониторинга производственных процессов.")</f>
        <v>Установка видеокамер в основных цехах АО "ВТЗ" для подключения к системе видеомониторинга производственных процессов.</v>
      </c>
      <c r="G1603" s="22" t="s">
        <v>343</v>
      </c>
      <c r="H1603" s="22" t="s">
        <v>2599</v>
      </c>
      <c r="I1603" s="26">
        <v>43719.521666666697</v>
      </c>
      <c r="J1603" s="28" t="s">
        <v>52</v>
      </c>
      <c r="K1603" s="28" t="s">
        <v>52</v>
      </c>
      <c r="L1603" s="28" t="s">
        <v>52</v>
      </c>
      <c r="M1603" s="28" t="s">
        <v>52</v>
      </c>
      <c r="N1603" s="28" t="s">
        <v>52</v>
      </c>
    </row>
    <row r="1604" spans="1:14" x14ac:dyDescent="0.15">
      <c r="A1604" s="23" t="str">
        <f>HYPERLINK("https://www.spark-marketing.ru/Card/Person/4343567", "МИНКАВКАЗ РОССИИ")</f>
        <v>МИНКАВКАЗ РОССИИ</v>
      </c>
      <c r="B1604" s="24" t="s">
        <v>2600</v>
      </c>
      <c r="C1604" s="25">
        <v>50000</v>
      </c>
      <c r="D1604" s="22" t="s">
        <v>2601</v>
      </c>
      <c r="E1604" s="22" t="s">
        <v>107</v>
      </c>
      <c r="F1604" s="23" t="str">
        <f>HYPERLINK("https://www.spark-marketing.ru/Card/Lot/73348872", "Техническое обслуживание системы видеонаблюдения и системы СКУД, 4 шт")</f>
        <v>Техническое обслуживание системы видеонаблюдения и системы СКУД, 4 шт</v>
      </c>
      <c r="G1604" s="22" t="s">
        <v>258</v>
      </c>
      <c r="H1604" s="22" t="s">
        <v>2602</v>
      </c>
      <c r="I1604" s="26">
        <v>43719.522210648101</v>
      </c>
      <c r="J1604" s="28" t="s">
        <v>52</v>
      </c>
      <c r="K1604" s="28" t="s">
        <v>52</v>
      </c>
      <c r="L1604" s="28" t="s">
        <v>52</v>
      </c>
      <c r="M1604" s="28" t="s">
        <v>52</v>
      </c>
      <c r="N1604" s="28" t="s">
        <v>52</v>
      </c>
    </row>
    <row r="1605" spans="1:14" x14ac:dyDescent="0.15">
      <c r="A1605" s="23" t="str">
        <f>HYPERLINK("https://www.spark-marketing.ru/Card/Person/236284", "ГБУЗ ПНД № 4")</f>
        <v>ГБУЗ ПНД № 4</v>
      </c>
      <c r="B1605" s="24" t="s">
        <v>1872</v>
      </c>
      <c r="C1605" s="25">
        <v>59807.63</v>
      </c>
      <c r="D1605" s="22" t="s">
        <v>2603</v>
      </c>
      <c r="E1605" s="22" t="s">
        <v>84</v>
      </c>
      <c r="F1605" s="23" t="str">
        <f>HYPERLINK("https://www.spark-marketing.ru/Card/Lot/73345733", "Выполнение работ по установке систем видеонаблюдения, 1 шт")</f>
        <v>Выполнение работ по установке систем видеонаблюдения, 1 шт</v>
      </c>
      <c r="G1605" s="22" t="s">
        <v>132</v>
      </c>
      <c r="H1605" s="22" t="s">
        <v>1874</v>
      </c>
      <c r="I1605" s="26">
        <v>43719.433414351799</v>
      </c>
      <c r="J1605" s="28" t="s">
        <v>52</v>
      </c>
      <c r="K1605" s="28" t="s">
        <v>52</v>
      </c>
      <c r="L1605" s="28" t="s">
        <v>52</v>
      </c>
      <c r="M1605" s="28" t="s">
        <v>52</v>
      </c>
      <c r="N1605" s="28" t="s">
        <v>52</v>
      </c>
    </row>
    <row r="1606" spans="1:14" ht="12.75" x14ac:dyDescent="0.2">
      <c r="A1606" s="23" t="str">
        <f>HYPERLINK("https://www.spark-marketing.ru/Card/Person/1031313", "МБУ ТМР СК ""ЦЕНТР ПО ОРГАНИЗАЦИИ ДЕЯТЕЛЬНОСТИ И ОБСЛУЖИВАНИЮ УЧРЕЖДЕНИЙ КУЛЬТУРЫ""")</f>
        <v>МБУ ТМР СК "ЦЕНТР ПО ОРГАНИЗАЦИИ ДЕЯТЕЛЬНОСТИ И ОБСЛУЖИВАНИЮ УЧРЕЖДЕНИЙ КУЛЬТУРЫ"</v>
      </c>
      <c r="B1606" s="24" t="s">
        <v>2604</v>
      </c>
      <c r="C1606" s="25">
        <v>360260.2</v>
      </c>
      <c r="D1606" s="22" t="s">
        <v>2605</v>
      </c>
      <c r="E1606" s="22" t="s">
        <v>208</v>
      </c>
      <c r="F1606" s="23" t="str">
        <f>HYPERLINK("https://www.spark-marketing.ru/Card/Lot/73348753", "поставка арочных металлодетекторов для нужд МБУ ТМР СК «Центр по организации деятельности и обслуживанию учреждений культуры»")</f>
        <v>поставка арочных металлодетекторов для нужд МБУ ТМР СК «Центр по организации деятельности и обслуживанию учреждений культуры»</v>
      </c>
      <c r="G1606" s="22" t="s">
        <v>258</v>
      </c>
      <c r="H1606" s="22" t="s">
        <v>2606</v>
      </c>
      <c r="I1606" s="26">
        <v>43719.416666666701</v>
      </c>
      <c r="J1606" s="23" t="str">
        <f>HYPERLINK("https://www.spark-marketing.ru/Card/Person/480399", "ООО НПО ""СИНЕРГИЯ""")</f>
        <v>ООО НПО "СИНЕРГИЯ"</v>
      </c>
      <c r="K1606" s="24" t="s">
        <v>2607</v>
      </c>
      <c r="L1606" s="22" t="s">
        <v>10</v>
      </c>
      <c r="M1606" s="25">
        <v>350000</v>
      </c>
      <c r="N1606" s="27">
        <v>2.8479970865502212E-2</v>
      </c>
    </row>
    <row r="1607" spans="1:14" x14ac:dyDescent="0.15">
      <c r="A1607" s="23" t="str">
        <f t="shared" ref="A1607:A1614" si="60">HYPERLINK("https://www.spark-marketing.ru/Card/Person/145557", "МБДОУ ДЕТСКИЙ САД №37 ""РАДУГА"" ОБЩЕРАЗВИВАЮЩЕГО ВИДА ГОЩ")</f>
        <v>МБДОУ ДЕТСКИЙ САД №37 "РАДУГА" ОБЩЕРАЗВИВАЮЩЕГО ВИДА ГОЩ</v>
      </c>
      <c r="B1607" s="24" t="s">
        <v>2608</v>
      </c>
      <c r="C1607" s="25">
        <v>245000</v>
      </c>
      <c r="D1607" s="22" t="s">
        <v>2609</v>
      </c>
      <c r="E1607" s="22" t="s">
        <v>84</v>
      </c>
      <c r="F1607" s="23" t="str">
        <f t="shared" ref="F1607:F1614" si="61">HYPERLINK("https://www.spark-marketing.ru/Card/Lot/73348772", "Выполнение работ по установке системы видеонаблюдения")</f>
        <v>Выполнение работ по установке системы видеонаблюдения</v>
      </c>
      <c r="G1607" s="22" t="s">
        <v>50</v>
      </c>
      <c r="H1607" s="22" t="s">
        <v>458</v>
      </c>
      <c r="I1607" s="26">
        <v>43719.4506944444</v>
      </c>
      <c r="J1607" s="28" t="s">
        <v>52</v>
      </c>
      <c r="K1607" s="28" t="s">
        <v>52</v>
      </c>
      <c r="L1607" s="28" t="s">
        <v>52</v>
      </c>
      <c r="M1607" s="28" t="s">
        <v>52</v>
      </c>
      <c r="N1607" s="28" t="s">
        <v>52</v>
      </c>
    </row>
    <row r="1608" spans="1:14" hidden="1" outlineLevel="1" x14ac:dyDescent="0.2">
      <c r="A1608" s="23" t="str">
        <f t="shared" si="60"/>
        <v>МБДОУ ДЕТСКИЙ САД №37 "РАДУГА" ОБЩЕРАЗВИВАЮЩЕГО ВИДА ГОЩ</v>
      </c>
      <c r="B1608" s="24" t="s">
        <v>2608</v>
      </c>
      <c r="C1608" s="25">
        <v>245000</v>
      </c>
      <c r="D1608" s="22" t="s">
        <v>2609</v>
      </c>
      <c r="E1608" s="22" t="s">
        <v>84</v>
      </c>
      <c r="F1608" s="23" t="str">
        <f t="shared" si="61"/>
        <v>Выполнение работ по установке системы видеонаблюдения</v>
      </c>
      <c r="G1608" s="22" t="s">
        <v>50</v>
      </c>
      <c r="H1608" s="22" t="s">
        <v>458</v>
      </c>
      <c r="I1608" s="26">
        <v>43719.4506944444</v>
      </c>
      <c r="J1608" s="23" t="str">
        <f>HYPERLINK("https://www.spark-marketing.ru/Card/Person/244300", "ООО ""СК СЕРВИС""")</f>
        <v>ООО "СК СЕРВИС"</v>
      </c>
      <c r="K1608" s="24" t="s">
        <v>2610</v>
      </c>
      <c r="L1608" s="28" t="s">
        <v>52</v>
      </c>
      <c r="M1608" s="25">
        <v>189000</v>
      </c>
      <c r="N1608" s="27">
        <v>0.22857142857142856</v>
      </c>
    </row>
    <row r="1609" spans="1:14" hidden="1" outlineLevel="1" x14ac:dyDescent="0.2">
      <c r="A1609" s="23" t="str">
        <f t="shared" si="60"/>
        <v>МБДОУ ДЕТСКИЙ САД №37 "РАДУГА" ОБЩЕРАЗВИВАЮЩЕГО ВИДА ГОЩ</v>
      </c>
      <c r="B1609" s="24" t="s">
        <v>2608</v>
      </c>
      <c r="C1609" s="25">
        <v>245000</v>
      </c>
      <c r="D1609" s="22" t="s">
        <v>2609</v>
      </c>
      <c r="E1609" s="22" t="s">
        <v>84</v>
      </c>
      <c r="F1609" s="23" t="str">
        <f t="shared" si="61"/>
        <v>Выполнение работ по установке системы видеонаблюдения</v>
      </c>
      <c r="G1609" s="22" t="s">
        <v>50</v>
      </c>
      <c r="H1609" s="22" t="s">
        <v>458</v>
      </c>
      <c r="I1609" s="26">
        <v>43719.4506944444</v>
      </c>
      <c r="J1609" s="23" t="str">
        <f>HYPERLINK("https://www.spark-marketing.ru/Card/Person/6461373", "ООО ""СЕКЬЮРИТИ ПЛЮС""")</f>
        <v>ООО "СЕКЬЮРИТИ ПЛЮС"</v>
      </c>
      <c r="K1609" s="24" t="s">
        <v>1222</v>
      </c>
      <c r="L1609" s="28" t="s">
        <v>52</v>
      </c>
      <c r="M1609" s="25">
        <v>173000</v>
      </c>
      <c r="N1609" s="27">
        <v>0.29387755102040819</v>
      </c>
    </row>
    <row r="1610" spans="1:14" hidden="1" outlineLevel="1" x14ac:dyDescent="0.2">
      <c r="A1610" s="23" t="str">
        <f t="shared" si="60"/>
        <v>МБДОУ ДЕТСКИЙ САД №37 "РАДУГА" ОБЩЕРАЗВИВАЮЩЕГО ВИДА ГОЩ</v>
      </c>
      <c r="B1610" s="24" t="s">
        <v>2608</v>
      </c>
      <c r="C1610" s="25">
        <v>245000</v>
      </c>
      <c r="D1610" s="22" t="s">
        <v>2609</v>
      </c>
      <c r="E1610" s="22" t="s">
        <v>84</v>
      </c>
      <c r="F1610" s="23" t="str">
        <f t="shared" si="61"/>
        <v>Выполнение работ по установке системы видеонаблюдения</v>
      </c>
      <c r="G1610" s="22" t="s">
        <v>50</v>
      </c>
      <c r="H1610" s="22" t="s">
        <v>458</v>
      </c>
      <c r="I1610" s="26">
        <v>43719.4506944444</v>
      </c>
      <c r="J1610" s="23" t="str">
        <f>HYPERLINK("https://www.spark-marketing.ru/Card/Person/375155", "ООО ""ПОИГ-ЩЕЛКОВО""")</f>
        <v>ООО "ПОИГ-ЩЕЛКОВО"</v>
      </c>
      <c r="K1610" s="24" t="s">
        <v>2611</v>
      </c>
      <c r="L1610" s="28" t="s">
        <v>52</v>
      </c>
      <c r="M1610" s="25">
        <v>229000</v>
      </c>
      <c r="N1610" s="27">
        <v>6.5306122448979598E-2</v>
      </c>
    </row>
    <row r="1611" spans="1:14" hidden="1" outlineLevel="1" x14ac:dyDescent="0.2">
      <c r="A1611" s="23" t="str">
        <f t="shared" si="60"/>
        <v>МБДОУ ДЕТСКИЙ САД №37 "РАДУГА" ОБЩЕРАЗВИВАЮЩЕГО ВИДА ГОЩ</v>
      </c>
      <c r="B1611" s="24" t="s">
        <v>2608</v>
      </c>
      <c r="C1611" s="25">
        <v>245000</v>
      </c>
      <c r="D1611" s="22" t="s">
        <v>2609</v>
      </c>
      <c r="E1611" s="22" t="s">
        <v>84</v>
      </c>
      <c r="F1611" s="23" t="str">
        <f t="shared" si="61"/>
        <v>Выполнение работ по установке системы видеонаблюдения</v>
      </c>
      <c r="G1611" s="22" t="s">
        <v>50</v>
      </c>
      <c r="H1611" s="22" t="s">
        <v>458</v>
      </c>
      <c r="I1611" s="26">
        <v>43719.4506944444</v>
      </c>
      <c r="J1611" s="23" t="str">
        <f>HYPERLINK("https://www.spark-marketing.ru/Card/Person/6179217", "Морозова Юлия Николаевна")</f>
        <v>Морозова Юлия Николаевна</v>
      </c>
      <c r="K1611" s="24" t="s">
        <v>1059</v>
      </c>
      <c r="L1611" s="28" t="s">
        <v>52</v>
      </c>
      <c r="M1611" s="25">
        <v>198000</v>
      </c>
      <c r="N1611" s="27">
        <v>0.19183673469387755</v>
      </c>
    </row>
    <row r="1612" spans="1:14" hidden="1" outlineLevel="1" x14ac:dyDescent="0.2">
      <c r="A1612" s="23" t="str">
        <f t="shared" si="60"/>
        <v>МБДОУ ДЕТСКИЙ САД №37 "РАДУГА" ОБЩЕРАЗВИВАЮЩЕГО ВИДА ГОЩ</v>
      </c>
      <c r="B1612" s="24" t="s">
        <v>2608</v>
      </c>
      <c r="C1612" s="25">
        <v>245000</v>
      </c>
      <c r="D1612" s="22" t="s">
        <v>2609</v>
      </c>
      <c r="E1612" s="22" t="s">
        <v>84</v>
      </c>
      <c r="F1612" s="23" t="str">
        <f t="shared" si="61"/>
        <v>Выполнение работ по установке системы видеонаблюдения</v>
      </c>
      <c r="G1612" s="22" t="s">
        <v>50</v>
      </c>
      <c r="H1612" s="22" t="s">
        <v>458</v>
      </c>
      <c r="I1612" s="26">
        <v>43719.4506944444</v>
      </c>
      <c r="J1612" s="23" t="str">
        <f>HYPERLINK("https://www.spark-marketing.ru/Card/Person/78214", "ООО ""ЦСТС""")</f>
        <v>ООО "ЦСТС"</v>
      </c>
      <c r="K1612" s="24" t="s">
        <v>2612</v>
      </c>
      <c r="L1612" s="28" t="s">
        <v>52</v>
      </c>
      <c r="M1612" s="25">
        <v>220000</v>
      </c>
      <c r="N1612" s="27">
        <v>0.10204081632653061</v>
      </c>
    </row>
    <row r="1613" spans="1:14" ht="12.75" hidden="1" outlineLevel="1" x14ac:dyDescent="0.2">
      <c r="A1613" s="23" t="str">
        <f t="shared" si="60"/>
        <v>МБДОУ ДЕТСКИЙ САД №37 "РАДУГА" ОБЩЕРАЗВИВАЮЩЕГО ВИДА ГОЩ</v>
      </c>
      <c r="B1613" s="24" t="s">
        <v>2608</v>
      </c>
      <c r="C1613" s="25">
        <v>245000</v>
      </c>
      <c r="D1613" s="22" t="s">
        <v>2609</v>
      </c>
      <c r="E1613" s="22" t="s">
        <v>84</v>
      </c>
      <c r="F1613" s="23" t="str">
        <f t="shared" si="61"/>
        <v>Выполнение работ по установке системы видеонаблюдения</v>
      </c>
      <c r="G1613" s="22" t="s">
        <v>50</v>
      </c>
      <c r="H1613" s="22" t="s">
        <v>458</v>
      </c>
      <c r="I1613" s="26">
        <v>43719.4506944444</v>
      </c>
      <c r="J1613" s="23" t="str">
        <f>HYPERLINK("https://www.spark-marketing.ru/Card/Person/5926738", "ООО ""МПА-СБ""")</f>
        <v>ООО "МПА-СБ"</v>
      </c>
      <c r="K1613" s="24" t="s">
        <v>2613</v>
      </c>
      <c r="L1613" s="22" t="s">
        <v>10</v>
      </c>
      <c r="M1613" s="25">
        <v>172400</v>
      </c>
      <c r="N1613" s="27">
        <v>0.2963265306122449</v>
      </c>
    </row>
    <row r="1614" spans="1:14" hidden="1" outlineLevel="1" x14ac:dyDescent="0.2">
      <c r="A1614" s="23" t="str">
        <f t="shared" si="60"/>
        <v>МБДОУ ДЕТСКИЙ САД №37 "РАДУГА" ОБЩЕРАЗВИВАЮЩЕГО ВИДА ГОЩ</v>
      </c>
      <c r="B1614" s="24" t="s">
        <v>2608</v>
      </c>
      <c r="C1614" s="25">
        <v>245000</v>
      </c>
      <c r="D1614" s="22" t="s">
        <v>2609</v>
      </c>
      <c r="E1614" s="22" t="s">
        <v>84</v>
      </c>
      <c r="F1614" s="23" t="str">
        <f t="shared" si="61"/>
        <v>Выполнение работ по установке системы видеонаблюдения</v>
      </c>
      <c r="G1614" s="22" t="s">
        <v>50</v>
      </c>
      <c r="H1614" s="22" t="s">
        <v>458</v>
      </c>
      <c r="I1614" s="26">
        <v>43719.4506944444</v>
      </c>
      <c r="J1614" s="23" t="str">
        <f>HYPERLINK("https://www.spark-marketing.ru/Card/Person/6359426", "Хохин Денис Владимирович")</f>
        <v>Хохин Денис Владимирович</v>
      </c>
      <c r="K1614" s="24" t="s">
        <v>2614</v>
      </c>
      <c r="L1614" s="28" t="s">
        <v>52</v>
      </c>
      <c r="M1614" s="25">
        <v>179000</v>
      </c>
      <c r="N1614" s="27">
        <v>0.26938775510204083</v>
      </c>
    </row>
    <row r="1615" spans="1:14" x14ac:dyDescent="0.15">
      <c r="A1615" s="23" t="str">
        <f>HYPERLINK("https://www.spark-marketing.ru/Card/Person/31279", "МДОУ №17 П. КОЛЫЧЕВО")</f>
        <v>МДОУ №17 П. КОЛЫЧЕВО</v>
      </c>
      <c r="B1615" s="24" t="s">
        <v>2615</v>
      </c>
      <c r="C1615" s="25">
        <v>15000</v>
      </c>
      <c r="D1615" s="22" t="s">
        <v>2616</v>
      </c>
      <c r="E1615" s="22" t="s">
        <v>103</v>
      </c>
      <c r="F1615" s="23" t="str">
        <f>HYPERLINK("https://www.spark-marketing.ru/Card/Lot/73345098", "Оказание услуг по техническому обслуживанию систем видеонаблюдения")</f>
        <v>Оказание услуг по техническому обслуживанию систем видеонаблюдения</v>
      </c>
      <c r="G1615" s="22" t="s">
        <v>50</v>
      </c>
      <c r="H1615" s="22" t="s">
        <v>399</v>
      </c>
      <c r="I1615" s="26">
        <v>43719.388263888897</v>
      </c>
      <c r="J1615" s="28" t="s">
        <v>52</v>
      </c>
      <c r="K1615" s="28" t="s">
        <v>52</v>
      </c>
      <c r="L1615" s="28" t="s">
        <v>52</v>
      </c>
      <c r="M1615" s="28" t="s">
        <v>52</v>
      </c>
      <c r="N1615" s="28" t="s">
        <v>52</v>
      </c>
    </row>
    <row r="1616" spans="1:14" x14ac:dyDescent="0.15">
      <c r="A1616" s="23" t="str">
        <f>HYPERLINK("https://www.spark-marketing.ru/Card/Person/5737", "КЕМЕРОВСКИЙ ОБЛАСТНОЙ СУД")</f>
        <v>КЕМЕРОВСКИЙ ОБЛАСТНОЙ СУД</v>
      </c>
      <c r="B1616" s="24" t="s">
        <v>1758</v>
      </c>
      <c r="C1616" s="25">
        <v>427751.52</v>
      </c>
      <c r="D1616" s="22" t="s">
        <v>2617</v>
      </c>
      <c r="E1616" s="22" t="s">
        <v>68</v>
      </c>
      <c r="F1616" s="23" t="str">
        <f>HYPERLINK("https://www.spark-marketing.ru/Card/Lot/73342946", "Оказание услуг по охране объектов суда военизированными подразделениями")</f>
        <v>Оказание услуг по охране объектов суда военизированными подразделениями</v>
      </c>
      <c r="G1616" s="22" t="s">
        <v>367</v>
      </c>
      <c r="H1616" s="22" t="s">
        <v>881</v>
      </c>
      <c r="I1616" s="26">
        <v>43719.412499999999</v>
      </c>
      <c r="J1616" s="28" t="s">
        <v>52</v>
      </c>
      <c r="K1616" s="28" t="s">
        <v>52</v>
      </c>
      <c r="L1616" s="28" t="s">
        <v>52</v>
      </c>
      <c r="M1616" s="28" t="s">
        <v>52</v>
      </c>
      <c r="N1616" s="28" t="s">
        <v>52</v>
      </c>
    </row>
    <row r="1617" spans="1:14" x14ac:dyDescent="0.15">
      <c r="A1617" s="23" t="str">
        <f>HYPERLINK("https://www.spark-marketing.ru/Card/Person/58377", "ГБУЗ СО ""СОБ № 2""")</f>
        <v>ГБУЗ СО "СОБ № 2"</v>
      </c>
      <c r="B1617" s="24" t="s">
        <v>2618</v>
      </c>
      <c r="C1617" s="25">
        <v>216140</v>
      </c>
      <c r="D1617" s="22" t="s">
        <v>2619</v>
      </c>
      <c r="E1617" s="22" t="s">
        <v>103</v>
      </c>
      <c r="F1617" s="23" t="str">
        <f>HYPERLINK("https://www.spark-marketing.ru/Card/Lot/73343636", "Оказание услуг по техническому обслуживанию эндоскопического оборудования производства фирмы «Olympus»")</f>
        <v>Оказание услуг по техническому обслуживанию эндоскопического оборудования производства фирмы «Olympus»</v>
      </c>
      <c r="G1617" s="22" t="s">
        <v>72</v>
      </c>
      <c r="H1617" s="22" t="s">
        <v>949</v>
      </c>
      <c r="I1617" s="26">
        <v>43719.404861111099</v>
      </c>
      <c r="J1617" s="23" t="str">
        <f>HYPERLINK("https://www.spark-marketing.ru/Card/Person/120252", "ООО ""УРАЛЭНДОМЕД ЕКАТЕРИНБУРГ""")</f>
        <v>ООО "УРАЛЭНДОМЕД ЕКАТЕРИНБУРГ"</v>
      </c>
      <c r="K1617" s="24" t="s">
        <v>2620</v>
      </c>
      <c r="L1617" s="22" t="s">
        <v>10</v>
      </c>
      <c r="M1617" s="28" t="s">
        <v>52</v>
      </c>
      <c r="N1617" s="28" t="s">
        <v>52</v>
      </c>
    </row>
    <row r="1618" spans="1:14" x14ac:dyDescent="0.15">
      <c r="A1618" s="23" t="str">
        <f>HYPERLINK("https://www.spark-marketing.ru/Card/Person/4358361", "ООО ""БАЛАКОВСКАЯ АЭС - АВТО""")</f>
        <v>ООО "БАЛАКОВСКАЯ АЭС - АВТО"</v>
      </c>
      <c r="B1618" s="24" t="s">
        <v>983</v>
      </c>
      <c r="C1618" s="25">
        <v>0</v>
      </c>
      <c r="D1618" s="22" t="s">
        <v>2621</v>
      </c>
      <c r="E1618" s="22" t="s">
        <v>53</v>
      </c>
      <c r="F1618" s="23" t="str">
        <f>HYPERLINK("https://www.spark-marketing.ru/Card/Lot/73346853", "мониторинг цен в электронной форме на Услуги по оснащению транспортных средств ООО «Балаковская АЭС-Авто» техническими средствами обеспечения транспортной безопасности")</f>
        <v>мониторинг цен в электронной форме на Услуги по оснащению транспортных средств ООО «Балаковская АЭС-Авто» техническими средствами обеспечения транспортной безопасности</v>
      </c>
      <c r="G1618" s="22" t="s">
        <v>80</v>
      </c>
      <c r="H1618" s="22" t="s">
        <v>986</v>
      </c>
      <c r="I1618" s="26">
        <v>43719.334583333301</v>
      </c>
      <c r="J1618" s="28" t="s">
        <v>52</v>
      </c>
      <c r="K1618" s="28" t="s">
        <v>52</v>
      </c>
      <c r="L1618" s="28" t="s">
        <v>52</v>
      </c>
      <c r="M1618" s="28" t="s">
        <v>52</v>
      </c>
      <c r="N1618" s="28" t="s">
        <v>52</v>
      </c>
    </row>
    <row r="1619" spans="1:14" x14ac:dyDescent="0.15">
      <c r="A1619" s="23" t="str">
        <f>HYPERLINK("https://www.spark-marketing.ru/Card/Person/4358361", "ООО ""БАЛАКОВСКАЯ АЭС - АВТО""")</f>
        <v>ООО "БАЛАКОВСКАЯ АЭС - АВТО"</v>
      </c>
      <c r="B1619" s="24" t="s">
        <v>983</v>
      </c>
      <c r="C1619" s="28" t="s">
        <v>52</v>
      </c>
      <c r="D1619" s="22" t="s">
        <v>2622</v>
      </c>
      <c r="E1619" s="22" t="s">
        <v>2623</v>
      </c>
      <c r="F1619" s="23" t="str">
        <f>HYPERLINK("https://www.spark-marketing.ru/Card/Lot/73348801", "Услуги по оснащению транспортных средств ООО «Балаковская АЭС-Авто» техническими средствами обеспечения транспортной безопасности")</f>
        <v>Услуги по оснащению транспортных средств ООО «Балаковская АЭС-Авто» техническими средствами обеспечения транспортной безопасности</v>
      </c>
      <c r="G1619" s="22" t="s">
        <v>80</v>
      </c>
      <c r="H1619" s="22" t="s">
        <v>986</v>
      </c>
      <c r="I1619" s="26">
        <v>43719.334618055596</v>
      </c>
      <c r="J1619" s="28" t="s">
        <v>52</v>
      </c>
      <c r="K1619" s="28" t="s">
        <v>52</v>
      </c>
      <c r="L1619" s="28" t="s">
        <v>52</v>
      </c>
      <c r="M1619" s="28" t="s">
        <v>52</v>
      </c>
      <c r="N1619" s="28" t="s">
        <v>52</v>
      </c>
    </row>
    <row r="1620" spans="1:14" x14ac:dyDescent="0.15">
      <c r="A1620" s="23" t="str">
        <f>HYPERLINK("https://www.spark-marketing.ru/Card/Person/996826", "КГКОУ ШИ 4")</f>
        <v>КГКОУ ШИ 4</v>
      </c>
      <c r="B1620" s="24" t="s">
        <v>2624</v>
      </c>
      <c r="C1620" s="25">
        <v>49860</v>
      </c>
      <c r="D1620" s="22" t="s">
        <v>2625</v>
      </c>
      <c r="E1620" s="22" t="s">
        <v>107</v>
      </c>
      <c r="F1620" s="23" t="str">
        <f>HYPERLINK("https://www.spark-marketing.ru/Card/Lot/73338860", "Техническое обслуживание системы видеонаблюдения, 1 шт")</f>
        <v>Техническое обслуживание системы видеонаблюдения, 1 шт</v>
      </c>
      <c r="G1620" s="22" t="s">
        <v>138</v>
      </c>
      <c r="H1620" s="22" t="s">
        <v>255</v>
      </c>
      <c r="I1620" s="26">
        <v>43719.096689814804</v>
      </c>
      <c r="J1620" s="28" t="s">
        <v>52</v>
      </c>
      <c r="K1620" s="28" t="s">
        <v>52</v>
      </c>
      <c r="L1620" s="28" t="s">
        <v>52</v>
      </c>
      <c r="M1620" s="28" t="s">
        <v>52</v>
      </c>
      <c r="N1620" s="28" t="s">
        <v>52</v>
      </c>
    </row>
    <row r="1621" spans="1:14" x14ac:dyDescent="0.15">
      <c r="A1621" s="23" t="str">
        <f>HYPERLINK("https://www.spark-marketing.ru/Card/Person/6514068", "ФОНД «СПЕЦИАЛЬНЫЕ ПРОЕКТЫ ФОНДА ЗАЩИТЫ ПРАВ ДОЛЬЩИКОВ»")</f>
        <v>ФОНД «СПЕЦИАЛЬНЫЕ ПРОЕКТЫ ФОНДА ЗАЩИТЫ ПРАВ ДОЛЬЩИКОВ»</v>
      </c>
      <c r="B1621" s="24" t="s">
        <v>2626</v>
      </c>
      <c r="C1621" s="25">
        <v>2975084.97</v>
      </c>
      <c r="D1621" s="22" t="s">
        <v>2627</v>
      </c>
      <c r="E1621" s="22" t="s">
        <v>1840</v>
      </c>
      <c r="F1621" s="23" t="str">
        <f>HYPERLINK("https://www.spark-marketing.ru/Card/Lot/73364230", "Оказание услуг по поставке и установке охранных систем видеонаблюдения на территории жилого комплекса «Солнечная система» (лот 3)")</f>
        <v>Оказание услуг по поставке и установке охранных систем видеонаблюдения на территории жилого комплекса «Солнечная система» (лот 3)</v>
      </c>
      <c r="G1621" s="22" t="s">
        <v>55</v>
      </c>
      <c r="H1621" s="22" t="s">
        <v>55</v>
      </c>
      <c r="I1621" s="26">
        <v>43719</v>
      </c>
      <c r="J1621" s="28" t="s">
        <v>52</v>
      </c>
      <c r="K1621" s="28" t="s">
        <v>52</v>
      </c>
      <c r="L1621" s="28" t="s">
        <v>52</v>
      </c>
      <c r="M1621" s="28" t="s">
        <v>52</v>
      </c>
      <c r="N1621" s="28" t="s">
        <v>52</v>
      </c>
    </row>
    <row r="1622" spans="1:14" x14ac:dyDescent="0.15">
      <c r="A1622" s="23" t="str">
        <f>HYPERLINK("https://www.spark-marketing.ru/Card/Person/6496792", "МТФ ПАО ГМК НОРИЛЬСКИЙ НИКЕЛЬ")</f>
        <v>МТФ ПАО ГМК НОРИЛЬСКИЙ НИКЕЛЬ</v>
      </c>
      <c r="B1622" s="28" t="s">
        <v>52</v>
      </c>
      <c r="C1622" s="28" t="s">
        <v>52</v>
      </c>
      <c r="D1622" s="28" t="s">
        <v>52</v>
      </c>
      <c r="E1622" s="22" t="s">
        <v>53</v>
      </c>
      <c r="F1622" s="23" t="str">
        <f>HYPERLINK("https://www.spark-marketing.ru/Card/Lot/73359482", "Модернизация системы охранного телевидения на судах, принадлежащих ПАО «ГМК «Норильский никель», до уровня, требуемого действующими нормативными документами Российской Федерации в области обеспечения транспортной безопасности")</f>
        <v>Модернизация системы охранного телевидения на судах, принадлежащих ПАО «ГМК «Норильский никель», до уровня, требуемого действующими нормативными документами Российской Федерации в области обеспечения транспортной безопасности</v>
      </c>
      <c r="G1622" s="22" t="s">
        <v>52</v>
      </c>
      <c r="H1622" s="22" t="s">
        <v>52</v>
      </c>
      <c r="I1622" s="26">
        <v>43719</v>
      </c>
      <c r="J1622" s="28" t="s">
        <v>52</v>
      </c>
      <c r="K1622" s="28" t="s">
        <v>52</v>
      </c>
      <c r="L1622" s="28" t="s">
        <v>52</v>
      </c>
      <c r="M1622" s="28" t="s">
        <v>52</v>
      </c>
      <c r="N1622" s="28" t="s">
        <v>52</v>
      </c>
    </row>
    <row r="1623" spans="1:14" x14ac:dyDescent="0.15">
      <c r="A1623" s="23" t="str">
        <f>HYPERLINK("https://www.spark-marketing.ru/Card/Person/6514068", "ФОНД «СПЕЦИАЛЬНЫЕ ПРОЕКТЫ ФОНДА ЗАЩИТЫ ПРАВ ДОЛЬЩИКОВ»")</f>
        <v>ФОНД «СПЕЦИАЛЬНЫЕ ПРОЕКТЫ ФОНДА ЗАЩИТЫ ПРАВ ДОЛЬЩИКОВ»</v>
      </c>
      <c r="B1623" s="24" t="s">
        <v>2626</v>
      </c>
      <c r="C1623" s="25">
        <v>11514483.640000001</v>
      </c>
      <c r="D1623" s="22" t="s">
        <v>2627</v>
      </c>
      <c r="E1623" s="22" t="s">
        <v>1840</v>
      </c>
      <c r="F1623" s="23" t="str">
        <f>HYPERLINK("https://www.spark-marketing.ru/Card/Lot/73364231", "Оказание услуг по поставке и установке охранных систем видеонаблюдения на территории жилого комплекса «Видный город» (лот 4)")</f>
        <v>Оказание услуг по поставке и установке охранных систем видеонаблюдения на территории жилого комплекса «Видный город» (лот 4)</v>
      </c>
      <c r="G1623" s="22" t="s">
        <v>55</v>
      </c>
      <c r="H1623" s="22" t="s">
        <v>55</v>
      </c>
      <c r="I1623" s="26">
        <v>43719</v>
      </c>
      <c r="J1623" s="28" t="s">
        <v>52</v>
      </c>
      <c r="K1623" s="28" t="s">
        <v>52</v>
      </c>
      <c r="L1623" s="28" t="s">
        <v>52</v>
      </c>
      <c r="M1623" s="28" t="s">
        <v>52</v>
      </c>
      <c r="N1623" s="28" t="s">
        <v>52</v>
      </c>
    </row>
    <row r="1624" spans="1:14" x14ac:dyDescent="0.15">
      <c r="A1624" s="23" t="str">
        <f>HYPERLINK("https://www.spark-marketing.ru/Card/Person/4361568", "ООО ""ГАЗПРОМ ПХГ""")</f>
        <v>ООО "ГАЗПРОМ ПХГ"</v>
      </c>
      <c r="B1624" s="24" t="s">
        <v>2628</v>
      </c>
      <c r="C1624" s="25">
        <v>180000</v>
      </c>
      <c r="D1624" s="22" t="s">
        <v>2629</v>
      </c>
      <c r="E1624" s="22" t="s">
        <v>2630</v>
      </c>
      <c r="F1624" s="23" t="str">
        <f>HYPERLINK("https://www.spark-marketing.ru/Card/Lot/73347628", "Сервисное обслуживание видеостены")</f>
        <v>Сервисное обслуживание видеостены</v>
      </c>
      <c r="G1624" s="22" t="s">
        <v>55</v>
      </c>
      <c r="H1624" s="22" t="s">
        <v>55</v>
      </c>
      <c r="I1624" s="26">
        <v>43719</v>
      </c>
      <c r="J1624" s="28" t="s">
        <v>52</v>
      </c>
      <c r="K1624" s="28" t="s">
        <v>52</v>
      </c>
      <c r="L1624" s="28" t="s">
        <v>52</v>
      </c>
      <c r="M1624" s="28" t="s">
        <v>52</v>
      </c>
      <c r="N1624" s="28" t="s">
        <v>52</v>
      </c>
    </row>
    <row r="1625" spans="1:14" x14ac:dyDescent="0.15">
      <c r="A1625" s="23" t="str">
        <f>HYPERLINK("https://www.spark-marketing.ru/Card/Person/4376353", "МАДОУ № 42 ""ОГОНЕК""")</f>
        <v>МАДОУ № 42 "ОГОНЕК"</v>
      </c>
      <c r="B1625" s="24" t="s">
        <v>2631</v>
      </c>
      <c r="C1625" s="25">
        <v>132220.26</v>
      </c>
      <c r="D1625" s="22" t="s">
        <v>2632</v>
      </c>
      <c r="E1625" s="22" t="s">
        <v>49</v>
      </c>
      <c r="F1625" s="23" t="str">
        <f>HYPERLINK("https://www.spark-marketing.ru/Card/Lot/73345694", "Выполнение работ по установке системы охранной сигнализации")</f>
        <v>Выполнение работ по установке системы охранной сигнализации</v>
      </c>
      <c r="G1625" s="22" t="s">
        <v>72</v>
      </c>
      <c r="H1625" s="22" t="s">
        <v>72</v>
      </c>
      <c r="I1625" s="26">
        <v>43719</v>
      </c>
      <c r="J1625" s="28" t="s">
        <v>52</v>
      </c>
      <c r="K1625" s="28" t="s">
        <v>52</v>
      </c>
      <c r="L1625" s="28" t="s">
        <v>52</v>
      </c>
      <c r="M1625" s="28" t="s">
        <v>52</v>
      </c>
      <c r="N1625" s="28" t="s">
        <v>52</v>
      </c>
    </row>
    <row r="1626" spans="1:14" x14ac:dyDescent="0.15">
      <c r="A1626" s="23" t="str">
        <f>HYPERLINK("https://www.spark-marketing.ru/Card/Person/4413841", "ООО ""ГАЗПРОМ ТРАНСГАЗ САМАРА""")</f>
        <v>ООО "ГАЗПРОМ ТРАНСГАЗ САМАРА"</v>
      </c>
      <c r="B1626" s="24" t="s">
        <v>2633</v>
      </c>
      <c r="C1626" s="25">
        <v>4673088</v>
      </c>
      <c r="D1626" s="22" t="s">
        <v>2634</v>
      </c>
      <c r="E1626" s="22" t="s">
        <v>993</v>
      </c>
      <c r="F1626" s="23" t="str">
        <f>HYPERLINK("https://www.spark-marketing.ru/Card/Lot/73364407", "Оказание охранных услуг на объектах, принадлежащих заказчику на правах собственности: Ульяновская промплощадка Ульяновского ЛПУМГ расположенная по адресу: г. Ульяновск, Московское шоссе, 66 и Линейно-эксплуатационный участок Ульяновского ЛПУМГ распол...")</f>
        <v>Оказание охранных услуг на объектах, принадлежащих заказчику на правах собственности: Ульяновская промплощадка Ульяновского ЛПУМГ расположенная по адресу: г. Ульяновск, Московское шоссе, 66 и Линейно-эксплуатационный участок Ульяновского ЛПУМГ распол...</v>
      </c>
      <c r="G1626" s="22" t="s">
        <v>760</v>
      </c>
      <c r="H1626" s="22" t="s">
        <v>1709</v>
      </c>
      <c r="I1626" s="26">
        <v>43719</v>
      </c>
      <c r="J1626" s="28" t="s">
        <v>52</v>
      </c>
      <c r="K1626" s="28" t="s">
        <v>52</v>
      </c>
      <c r="L1626" s="28" t="s">
        <v>52</v>
      </c>
      <c r="M1626" s="28" t="s">
        <v>52</v>
      </c>
      <c r="N1626" s="28" t="s">
        <v>52</v>
      </c>
    </row>
    <row r="1627" spans="1:14" hidden="1" outlineLevel="1" x14ac:dyDescent="0.15">
      <c r="A1627" s="23" t="str">
        <f>HYPERLINK("https://www.spark-marketing.ru/Card/Person/4413841", "ООО ""ГАЗПРОМ ТРАНСГАЗ САМАРА""")</f>
        <v>ООО "ГАЗПРОМ ТРАНСГАЗ САМАРА"</v>
      </c>
      <c r="B1627" s="24" t="s">
        <v>2633</v>
      </c>
      <c r="C1627" s="28" t="s">
        <v>52</v>
      </c>
      <c r="D1627" s="22" t="s">
        <v>2634</v>
      </c>
      <c r="E1627" s="22" t="s">
        <v>993</v>
      </c>
      <c r="F1627" s="23" t="str">
        <f>HYPERLINK("https://www.spark-marketing.ru/Card/Lot/73364407", "Оказание охранных услуг на объектах, принадлежащих заказчику на правах собственности: Ульяновская промплощадка Ульяновского ЛПУМГ расположенная по адресу: г. Ульяновск, Московское шоссе, 66 и Линейно-эксплуатационный участок Ульяновского ЛПУМГ распол...")</f>
        <v>Оказание охранных услуг на объектах, принадлежащих заказчику на правах собственности: Ульяновская промплощадка Ульяновского ЛПУМГ расположенная по адресу: г. Ульяновск, Московское шоссе, 66 и Линейно-эксплуатационный участок Ульяновского ЛПУМГ распол...</v>
      </c>
      <c r="G1627" s="22" t="s">
        <v>760</v>
      </c>
      <c r="H1627" s="22" t="s">
        <v>1709</v>
      </c>
      <c r="I1627" s="26">
        <v>43719</v>
      </c>
      <c r="J1627" s="23" t="str">
        <f>HYPERLINK("https://www.spark-marketing.ru/Card/Person/-1", "неизвестно")</f>
        <v>неизвестно</v>
      </c>
      <c r="K1627" s="28" t="s">
        <v>52</v>
      </c>
      <c r="L1627" s="28" t="s">
        <v>52</v>
      </c>
      <c r="M1627" s="28" t="s">
        <v>52</v>
      </c>
      <c r="N1627" s="28" t="s">
        <v>52</v>
      </c>
    </row>
    <row r="1628" spans="1:14" hidden="1" outlineLevel="1" x14ac:dyDescent="0.2">
      <c r="A1628" s="23" t="str">
        <f>HYPERLINK("https://www.spark-marketing.ru/Card/Person/4413841", "ООО ""ГАЗПРОМ ТРАНСГАЗ САМАРА""")</f>
        <v>ООО "ГАЗПРОМ ТРАНСГАЗ САМАРА"</v>
      </c>
      <c r="B1628" s="24" t="s">
        <v>2633</v>
      </c>
      <c r="C1628" s="28" t="s">
        <v>52</v>
      </c>
      <c r="D1628" s="22" t="s">
        <v>2634</v>
      </c>
      <c r="E1628" s="22" t="s">
        <v>993</v>
      </c>
      <c r="F1628" s="23" t="str">
        <f>HYPERLINK("https://www.spark-marketing.ru/Card/Lot/73364407", "Оказание охранных услуг на объектах, принадлежащих заказчику на правах собственности: Ульяновская промплощадка Ульяновского ЛПУМГ расположенная по адресу: г. Ульяновск, Московское шоссе, 66 и Линейно-эксплуатационный участок Ульяновского ЛПУМГ распол...")</f>
        <v>Оказание охранных услуг на объектах, принадлежащих заказчику на правах собственности: Ульяновская промплощадка Ульяновского ЛПУМГ расположенная по адресу: г. Ульяновск, Московское шоссе, 66 и Линейно-эксплуатационный участок Ульяновского ЛПУМГ распол...</v>
      </c>
      <c r="G1628" s="22" t="s">
        <v>760</v>
      </c>
      <c r="H1628" s="22" t="s">
        <v>1709</v>
      </c>
      <c r="I1628" s="26">
        <v>43719</v>
      </c>
      <c r="J1628" s="23" t="str">
        <f>HYPERLINK("https://www.spark-marketing.ru/Card/Person/-1", "неизвестно")</f>
        <v>неизвестно</v>
      </c>
      <c r="K1628" s="28" t="s">
        <v>52</v>
      </c>
      <c r="L1628" s="22" t="s">
        <v>10</v>
      </c>
      <c r="M1628" s="25">
        <v>3873744</v>
      </c>
      <c r="N1628" s="27">
        <v>0.17105263157894737</v>
      </c>
    </row>
    <row r="1629" spans="1:14" x14ac:dyDescent="0.15">
      <c r="A1629" s="23" t="str">
        <f>HYPERLINK("https://www.spark-marketing.ru/Card/Person/4358361", "ООО ""БАЛАКОВСКАЯ АЭС - АВТО""")</f>
        <v>ООО "БАЛАКОВСКАЯ АЭС - АВТО"</v>
      </c>
      <c r="B1629" s="24" t="s">
        <v>983</v>
      </c>
      <c r="C1629" s="28" t="s">
        <v>52</v>
      </c>
      <c r="D1629" s="22" t="s">
        <v>2635</v>
      </c>
      <c r="E1629" s="22" t="s">
        <v>53</v>
      </c>
      <c r="F1629" s="23" t="str">
        <f>HYPERLINK("https://www.spark-marketing.ru/Card/Lot/73347079", "Услуги по оснащению транспортных средств ООО «Балаковская АЭС-Авто» техническими средствами обеспечения транспортной безопасности (1339675)")</f>
        <v>Услуги по оснащению транспортных средств ООО «Балаковская АЭС-Авто» техническими средствами обеспечения транспортной безопасности (1339675)</v>
      </c>
      <c r="G1629" s="22" t="s">
        <v>80</v>
      </c>
      <c r="H1629" s="22" t="s">
        <v>986</v>
      </c>
      <c r="I1629" s="26">
        <v>43719.334421296298</v>
      </c>
      <c r="J1629" s="28" t="s">
        <v>52</v>
      </c>
      <c r="K1629" s="28" t="s">
        <v>52</v>
      </c>
      <c r="L1629" s="28" t="s">
        <v>52</v>
      </c>
      <c r="M1629" s="28" t="s">
        <v>52</v>
      </c>
      <c r="N1629" s="28" t="s">
        <v>52</v>
      </c>
    </row>
    <row r="1630" spans="1:14" x14ac:dyDescent="0.15">
      <c r="A1630" s="23" t="str">
        <f>HYPERLINK("https://www.spark-marketing.ru/Card/Person/4376700", "МАОУ СОШ № 27")</f>
        <v>МАОУ СОШ № 27</v>
      </c>
      <c r="B1630" s="24" t="s">
        <v>2636</v>
      </c>
      <c r="C1630" s="25">
        <v>149722.6</v>
      </c>
      <c r="D1630" s="22" t="s">
        <v>2637</v>
      </c>
      <c r="E1630" s="22" t="s">
        <v>49</v>
      </c>
      <c r="F1630" s="23" t="str">
        <f>HYPERLINK("https://www.spark-marketing.ru/Card/Lot/73354904", "Выполнение работ по монтажу системы охранной телевизионной")</f>
        <v>Выполнение работ по монтажу системы охранной телевизионной</v>
      </c>
      <c r="G1630" s="22" t="s">
        <v>72</v>
      </c>
      <c r="H1630" s="22" t="s">
        <v>72</v>
      </c>
      <c r="I1630" s="26">
        <v>43719</v>
      </c>
      <c r="J1630" s="28" t="s">
        <v>52</v>
      </c>
      <c r="K1630" s="28" t="s">
        <v>52</v>
      </c>
      <c r="L1630" s="28" t="s">
        <v>52</v>
      </c>
      <c r="M1630" s="28" t="s">
        <v>52</v>
      </c>
      <c r="N1630" s="28" t="s">
        <v>52</v>
      </c>
    </row>
    <row r="1631" spans="1:14" x14ac:dyDescent="0.15">
      <c r="A1631" s="23" t="str">
        <f>HYPERLINK("https://www.spark-marketing.ru/Card/Person/4589924", "ООО ""СИБЭНЕРГОУГОЛЬ""")</f>
        <v>ООО "СИБЭНЕРГОУГОЛЬ"</v>
      </c>
      <c r="B1631" s="24" t="s">
        <v>2638</v>
      </c>
      <c r="C1631" s="25">
        <v>0</v>
      </c>
      <c r="D1631" s="22" t="s">
        <v>2639</v>
      </c>
      <c r="E1631" s="22" t="s">
        <v>218</v>
      </c>
      <c r="F1631" s="23" t="str">
        <f>HYPERLINK("https://www.spark-marketing.ru/Card/Lot/73350309", "Охрана объекта ТЭК, обеспечение внутриобъектового и пропускного режимов, охрана объектов и имущества.")</f>
        <v>Охрана объекта ТЭК, обеспечение внутриобъектового и пропускного режимов, охрана объектов и имущества.</v>
      </c>
      <c r="G1631" s="22" t="s">
        <v>367</v>
      </c>
      <c r="H1631" s="22" t="s">
        <v>2640</v>
      </c>
      <c r="I1631" s="26">
        <v>43719.448125000003</v>
      </c>
      <c r="J1631" s="28" t="s">
        <v>52</v>
      </c>
      <c r="K1631" s="28" t="s">
        <v>52</v>
      </c>
      <c r="L1631" s="28" t="s">
        <v>52</v>
      </c>
      <c r="M1631" s="28" t="s">
        <v>52</v>
      </c>
      <c r="N1631" s="28" t="s">
        <v>52</v>
      </c>
    </row>
    <row r="1632" spans="1:14" x14ac:dyDescent="0.15">
      <c r="A1632" s="23" t="str">
        <f>HYPERLINK("https://www.spark-marketing.ru/Card/Person/6514068", "ФОНД «СПЕЦИАЛЬНЫЕ ПРОЕКТЫ ФОНДА ЗАЩИТЫ ПРАВ ДОЛЬЩИКОВ»")</f>
        <v>ФОНД «СПЕЦИАЛЬНЫЕ ПРОЕКТЫ ФОНДА ЗАЩИТЫ ПРАВ ДОЛЬЩИКОВ»</v>
      </c>
      <c r="B1632" s="24" t="s">
        <v>2626</v>
      </c>
      <c r="C1632" s="25">
        <v>1330735.6000000001</v>
      </c>
      <c r="D1632" s="22" t="s">
        <v>2627</v>
      </c>
      <c r="E1632" s="22" t="s">
        <v>1840</v>
      </c>
      <c r="F1632" s="23" t="str">
        <f>HYPERLINK("https://www.spark-marketing.ru/Card/Lot/73364229", "Оказание услуг по поставке и установке охранных систем видеонаблюдения на территории жилого комплекса «Опалиха ОЗ» (лот 2)")</f>
        <v>Оказание услуг по поставке и установке охранных систем видеонаблюдения на территории жилого комплекса «Опалиха ОЗ» (лот 2)</v>
      </c>
      <c r="G1632" s="22" t="s">
        <v>55</v>
      </c>
      <c r="H1632" s="22" t="s">
        <v>55</v>
      </c>
      <c r="I1632" s="26">
        <v>43719</v>
      </c>
      <c r="J1632" s="28" t="s">
        <v>52</v>
      </c>
      <c r="K1632" s="28" t="s">
        <v>52</v>
      </c>
      <c r="L1632" s="28" t="s">
        <v>52</v>
      </c>
      <c r="M1632" s="28" t="s">
        <v>52</v>
      </c>
      <c r="N1632" s="28" t="s">
        <v>52</v>
      </c>
    </row>
    <row r="1633" spans="1:14" x14ac:dyDescent="0.15">
      <c r="A1633" s="23" t="str">
        <f>HYPERLINK("https://www.spark-marketing.ru/Card/Person/6514068", "ФОНД «СПЕЦИАЛЬНЫЕ ПРОЕКТЫ ФОНДА ЗАЩИТЫ ПРАВ ДОЛЬЩИКОВ»")</f>
        <v>ФОНД «СПЕЦИАЛЬНЫЕ ПРОЕКТЫ ФОНДА ЗАЩИТЫ ПРАВ ДОЛЬЩИКОВ»</v>
      </c>
      <c r="B1633" s="24" t="s">
        <v>2626</v>
      </c>
      <c r="C1633" s="25">
        <v>10681692.960000001</v>
      </c>
      <c r="D1633" s="22" t="s">
        <v>2627</v>
      </c>
      <c r="E1633" s="22" t="s">
        <v>1840</v>
      </c>
      <c r="F1633" s="23" t="str">
        <f>HYPERLINK("https://www.spark-marketing.ru/Card/Lot/73364228", "Оказание услуг по поставке и установке охранных систем видеонаблюдения на территории жилого комплекса «Митино-О2» (лот 1)")</f>
        <v>Оказание услуг по поставке и установке охранных систем видеонаблюдения на территории жилого комплекса «Митино-О2» (лот 1)</v>
      </c>
      <c r="G1633" s="22" t="s">
        <v>55</v>
      </c>
      <c r="H1633" s="22" t="s">
        <v>55</v>
      </c>
      <c r="I1633" s="26">
        <v>43719</v>
      </c>
      <c r="J1633" s="28" t="s">
        <v>52</v>
      </c>
      <c r="K1633" s="28" t="s">
        <v>52</v>
      </c>
      <c r="L1633" s="28" t="s">
        <v>52</v>
      </c>
      <c r="M1633" s="28" t="s">
        <v>52</v>
      </c>
      <c r="N1633" s="28" t="s">
        <v>52</v>
      </c>
    </row>
    <row r="1634" spans="1:14" x14ac:dyDescent="0.15">
      <c r="A1634" s="23" t="str">
        <f>HYPERLINK("https://www.spark-marketing.ru/Card/Person/72373", "ФКУ ЦБИТ МЧС РОССИИ")</f>
        <v>ФКУ ЦБИТ МЧС РОССИИ</v>
      </c>
      <c r="B1634" s="24" t="s">
        <v>2004</v>
      </c>
      <c r="C1634" s="25">
        <v>111184630</v>
      </c>
      <c r="D1634" s="22" t="s">
        <v>2641</v>
      </c>
      <c r="E1634" s="22" t="s">
        <v>1293</v>
      </c>
      <c r="F1634" s="23" t="str">
        <f>HYPERLINK("https://www.spark-marketing.ru/Card/Lot/73337159", "Внедрение типовых программно-технических решений многоуровневой навигационно - информационной системы мониторинга транспортных средств МЧС России и выполнения требований законодательства Российской Федерации в области защиты информации.")</f>
        <v>Внедрение типовых программно-технических решений многоуровневой навигационно - информационной системы мониторинга транспортных средств МЧС России и выполнения требований законодательства Российской Федерации в области защиты информации.</v>
      </c>
      <c r="G1634" s="22" t="s">
        <v>50</v>
      </c>
      <c r="H1634" s="22" t="s">
        <v>938</v>
      </c>
      <c r="I1634" s="26">
        <v>43718.862500000003</v>
      </c>
      <c r="J1634" s="28" t="s">
        <v>52</v>
      </c>
      <c r="K1634" s="28" t="s">
        <v>52</v>
      </c>
      <c r="L1634" s="28" t="s">
        <v>52</v>
      </c>
      <c r="M1634" s="28" t="s">
        <v>52</v>
      </c>
      <c r="N1634" s="28" t="s">
        <v>52</v>
      </c>
    </row>
    <row r="1635" spans="1:14" x14ac:dyDescent="0.15">
      <c r="A1635" s="23" t="str">
        <f>HYPERLINK("https://www.spark-marketing.ru/Card/Person/1070569", "ОТДЕЛЕНИЕ МВД РОССИИ ПО ГУРЬЕВСКОМУ РАЙОНУ")</f>
        <v>ОТДЕЛЕНИЕ МВД РОССИИ ПО ГУРЬЕВСКОМУ РАЙОНУ</v>
      </c>
      <c r="B1635" s="24" t="s">
        <v>2041</v>
      </c>
      <c r="C1635" s="25">
        <v>100000</v>
      </c>
      <c r="D1635" s="22" t="s">
        <v>2642</v>
      </c>
      <c r="E1635" s="22" t="s">
        <v>294</v>
      </c>
      <c r="F1635" s="23" t="str">
        <f>HYPERLINK("https://www.spark-marketing.ru/Card/Lot/73331765", "Техническое обслуживание любых систем видеонаблюдения, 1 шт")</f>
        <v>Техническое обслуживание любых систем видеонаблюдения, 1 шт</v>
      </c>
      <c r="G1635" s="22" t="s">
        <v>367</v>
      </c>
      <c r="H1635" s="22" t="s">
        <v>2043</v>
      </c>
      <c r="I1635" s="26">
        <v>43718.738946759302</v>
      </c>
      <c r="J1635" s="28" t="s">
        <v>52</v>
      </c>
      <c r="K1635" s="28" t="s">
        <v>52</v>
      </c>
      <c r="L1635" s="28" t="s">
        <v>52</v>
      </c>
      <c r="M1635" s="28" t="s">
        <v>52</v>
      </c>
      <c r="N1635" s="28" t="s">
        <v>52</v>
      </c>
    </row>
    <row r="1636" spans="1:14" x14ac:dyDescent="0.15">
      <c r="A1636" s="23" t="str">
        <f>HYPERLINK("https://www.spark-marketing.ru/Card/Person/4345971", "ФЕДЕРАЛЬНАЯ СЛУЖБА ПО НАДЗОРУ В СФЕРЕ ТРАНСПОРТА")</f>
        <v>ФЕДЕРАЛЬНАЯ СЛУЖБА ПО НАДЗОРУ В СФЕРЕ ТРАНСПОРТА</v>
      </c>
      <c r="B1636" s="24" t="s">
        <v>2643</v>
      </c>
      <c r="C1636" s="25">
        <v>12107500</v>
      </c>
      <c r="D1636" s="22" t="s">
        <v>2644</v>
      </c>
      <c r="E1636" s="22" t="s">
        <v>2623</v>
      </c>
      <c r="F1636" s="23" t="str">
        <f>HYPERLINK("https://www.spark-marketing.ru/Card/Lot/73335957", "Сопровождение Комплексной информационной системы управления контрольнонадзорной деятельностью за обеспечением транспортной безопасности (КИСУ КНД ТБ)")</f>
        <v>Сопровождение Комплексной информационной системы управления контрольнонадзорной деятельностью за обеспечением транспортной безопасности (КИСУ КНД ТБ)</v>
      </c>
      <c r="G1636" s="22" t="s">
        <v>55</v>
      </c>
      <c r="H1636" s="22" t="s">
        <v>55</v>
      </c>
      <c r="I1636" s="26">
        <v>43718.749305555597</v>
      </c>
      <c r="J1636" s="28" t="s">
        <v>52</v>
      </c>
      <c r="K1636" s="28" t="s">
        <v>52</v>
      </c>
      <c r="L1636" s="28" t="s">
        <v>52</v>
      </c>
      <c r="M1636" s="28" t="s">
        <v>52</v>
      </c>
      <c r="N1636" s="28" t="s">
        <v>52</v>
      </c>
    </row>
    <row r="1637" spans="1:14" x14ac:dyDescent="0.15">
      <c r="A1637" s="23" t="str">
        <f>HYPERLINK("https://www.spark-marketing.ru/Card/Person/535978", "ГОСТРУДИНСПЕКЦИЯ В СМОЛЕНСКОЙ ОБЛАСТИ")</f>
        <v>ГОСТРУДИНСПЕКЦИЯ В СМОЛЕНСКОЙ ОБЛАСТИ</v>
      </c>
      <c r="B1637" s="24" t="s">
        <v>2645</v>
      </c>
      <c r="C1637" s="25">
        <v>49532.36</v>
      </c>
      <c r="D1637" s="22" t="s">
        <v>2646</v>
      </c>
      <c r="E1637" s="22" t="s">
        <v>59</v>
      </c>
      <c r="F1637" s="23" t="str">
        <f>HYPERLINK("https://www.spark-marketing.ru/Card/Lot/73332007", "Установка охранной сигнализации, 2 шт")</f>
        <v>Установка охранной сигнализации, 2 шт</v>
      </c>
      <c r="G1637" s="22" t="s">
        <v>956</v>
      </c>
      <c r="H1637" s="22" t="s">
        <v>1451</v>
      </c>
      <c r="I1637" s="26">
        <v>43718.738900463002</v>
      </c>
      <c r="J1637" s="28" t="s">
        <v>52</v>
      </c>
      <c r="K1637" s="28" t="s">
        <v>52</v>
      </c>
      <c r="L1637" s="28" t="s">
        <v>52</v>
      </c>
      <c r="M1637" s="28" t="s">
        <v>52</v>
      </c>
      <c r="N1637" s="28" t="s">
        <v>52</v>
      </c>
    </row>
    <row r="1638" spans="1:14" x14ac:dyDescent="0.15">
      <c r="A1638" s="23" t="str">
        <f>HYPERLINK("https://www.spark-marketing.ru/Card/Person/1073445", "ФКУ КП-8 УФСИН РОССИИ ПО Г. САНКТ-ПЕТЕРБУРГУ И ЛЕНИНГРАДСКОЙ ОБЛАСТИ")</f>
        <v>ФКУ КП-8 УФСИН РОССИИ ПО Г. САНКТ-ПЕТЕРБУРГУ И ЛЕНИНГРАДСКОЙ ОБЛАСТИ</v>
      </c>
      <c r="B1638" s="24" t="s">
        <v>2647</v>
      </c>
      <c r="C1638" s="25">
        <v>131657</v>
      </c>
      <c r="D1638" s="22" t="s">
        <v>2648</v>
      </c>
      <c r="E1638" s="22" t="s">
        <v>208</v>
      </c>
      <c r="F1638" s="23" t="str">
        <f>HYPERLINK("https://www.spark-marketing.ru/Card/Lot/73333185", "Приобретение оборудования для установки системы беспроводной тревожной сигнализации")</f>
        <v>Приобретение оборудования для установки системы беспроводной тревожной сигнализации</v>
      </c>
      <c r="G1638" s="22" t="s">
        <v>89</v>
      </c>
      <c r="H1638" s="22" t="s">
        <v>89</v>
      </c>
      <c r="I1638" s="26">
        <v>43718.7277777778</v>
      </c>
      <c r="J1638" s="23" t="str">
        <f>HYPERLINK("https://www.spark-marketing.ru/Card/Person/343131", "ООО ""ЩИТ""")</f>
        <v>ООО "ЩИТ"</v>
      </c>
      <c r="K1638" s="24" t="s">
        <v>1798</v>
      </c>
      <c r="L1638" s="22" t="s">
        <v>10</v>
      </c>
      <c r="M1638" s="28" t="s">
        <v>52</v>
      </c>
      <c r="N1638" s="28" t="s">
        <v>52</v>
      </c>
    </row>
    <row r="1639" spans="1:14" x14ac:dyDescent="0.15">
      <c r="A1639" s="23" t="str">
        <f>HYPERLINK("https://www.spark-marketing.ru/Card/Person/1728789", "АО ""ТАИФ-НК""")</f>
        <v>АО "ТАИФ-НК"</v>
      </c>
      <c r="B1639" s="24" t="s">
        <v>2649</v>
      </c>
      <c r="C1639" s="25">
        <v>200000</v>
      </c>
      <c r="D1639" s="22" t="s">
        <v>2650</v>
      </c>
      <c r="E1639" s="22" t="s">
        <v>53</v>
      </c>
      <c r="F1639" s="23" t="str">
        <f>HYPERLINK("https://www.spark-marketing.ru/Card/Lot/73340290", "Пост звуковой сигнализации ~220В, 10А, взрывозащищенный, для установки в зоне «2» с категорией и группой взрывоопасной смеси IIСT3, степень защиты IP66, климатическое исполнение ХЛ1, в металлическом корпусе. 1V-EUVM-1-НА.")</f>
        <v>Пост звуковой сигнализации ~220В, 10А, взрывозащищенный, для установки в зоне «2» с категорией и группой взрывоопасной смеси IIСT3, степень защиты IP66, климатическое исполнение ХЛ1, в металлическом корпусе. 1V-EUVM-1-НА.</v>
      </c>
      <c r="G1639" s="22" t="s">
        <v>204</v>
      </c>
      <c r="H1639" s="22" t="s">
        <v>824</v>
      </c>
      <c r="I1639" s="26">
        <v>43718.680266203701</v>
      </c>
      <c r="J1639" s="28" t="s">
        <v>52</v>
      </c>
      <c r="K1639" s="28" t="s">
        <v>52</v>
      </c>
      <c r="L1639" s="28" t="s">
        <v>52</v>
      </c>
      <c r="M1639" s="28" t="s">
        <v>52</v>
      </c>
      <c r="N1639" s="28" t="s">
        <v>52</v>
      </c>
    </row>
    <row r="1640" spans="1:14" x14ac:dyDescent="0.15">
      <c r="A1640" s="23" t="str">
        <f>HYPERLINK("https://www.spark-marketing.ru/Card/Person/1068408", "КГБУ ""УЧРЕЖДЕНИЕ ПО СОДЕРЖАНИЮ АДМИНИСТРАТИВНЫХ ЗДАНИЙ""")</f>
        <v>КГБУ "УЧРЕЖДЕНИЕ ПО СОДЕРЖАНИЮ АДМИНИСТРАТИВНЫХ ЗДАНИЙ"</v>
      </c>
      <c r="B1640" s="24" t="s">
        <v>2651</v>
      </c>
      <c r="C1640" s="25">
        <v>1046350</v>
      </c>
      <c r="D1640" s="22" t="s">
        <v>2652</v>
      </c>
      <c r="E1640" s="22" t="s">
        <v>59</v>
      </c>
      <c r="F1640" s="23" t="str">
        <f>HYPERLINK("https://www.spark-marketing.ru/Card/Lot/73325905", "Установка системы контроля и управления доступом и видеонаблюдения в административном здании по адресу: г. Барнаул, ул. Чкалова, 230")</f>
        <v>Установка системы контроля и управления доступом и видеонаблюдения в административном здании по адресу: г. Барнаул, ул. Чкалова, 230</v>
      </c>
      <c r="G1640" s="22" t="s">
        <v>428</v>
      </c>
      <c r="H1640" s="22" t="s">
        <v>429</v>
      </c>
      <c r="I1640" s="26">
        <v>43718.7</v>
      </c>
      <c r="J1640" s="28" t="s">
        <v>52</v>
      </c>
      <c r="K1640" s="28" t="s">
        <v>52</v>
      </c>
      <c r="L1640" s="28" t="s">
        <v>52</v>
      </c>
      <c r="M1640" s="28" t="s">
        <v>52</v>
      </c>
      <c r="N1640" s="28" t="s">
        <v>52</v>
      </c>
    </row>
    <row r="1641" spans="1:14" hidden="1" outlineLevel="1" x14ac:dyDescent="0.2">
      <c r="A1641" s="23" t="str">
        <f>HYPERLINK("https://www.spark-marketing.ru/Card/Person/1068408", "КГБУ ""УЧРЕЖДЕНИЕ ПО СОДЕРЖАНИЮ АДМИНИСТРАТИВНЫХ ЗДАНИЙ""")</f>
        <v>КГБУ "УЧРЕЖДЕНИЕ ПО СОДЕРЖАНИЮ АДМИНИСТРАТИВНЫХ ЗДАНИЙ"</v>
      </c>
      <c r="B1641" s="24" t="s">
        <v>2651</v>
      </c>
      <c r="C1641" s="25">
        <v>1046350</v>
      </c>
      <c r="D1641" s="22" t="s">
        <v>2652</v>
      </c>
      <c r="E1641" s="22" t="s">
        <v>59</v>
      </c>
      <c r="F1641" s="23" t="str">
        <f>HYPERLINK("https://www.spark-marketing.ru/Card/Lot/73325905", "Установка системы контроля и управления доступом и видеонаблюдения в административном здании по адресу: г. Барнаул, ул. Чкалова, 230")</f>
        <v>Установка системы контроля и управления доступом и видеонаблюдения в административном здании по адресу: г. Барнаул, ул. Чкалова, 230</v>
      </c>
      <c r="G1641" s="22" t="s">
        <v>428</v>
      </c>
      <c r="H1641" s="22" t="s">
        <v>429</v>
      </c>
      <c r="I1641" s="26">
        <v>43718.7</v>
      </c>
      <c r="J1641" s="23" t="str">
        <f>HYPERLINK("https://www.spark-marketing.ru/Card/Person/142619", "ООО ""КИРОЛАН - ИТ""")</f>
        <v>ООО "КИРОЛАН - ИТ"</v>
      </c>
      <c r="K1641" s="24" t="s">
        <v>2653</v>
      </c>
      <c r="L1641" s="28" t="s">
        <v>52</v>
      </c>
      <c r="M1641" s="25">
        <v>931248.25</v>
      </c>
      <c r="N1641" s="27">
        <v>0.11000310603526545</v>
      </c>
    </row>
    <row r="1642" spans="1:14" ht="12.75" hidden="1" outlineLevel="1" x14ac:dyDescent="0.2">
      <c r="A1642" s="23" t="str">
        <f>HYPERLINK("https://www.spark-marketing.ru/Card/Person/1068408", "КГБУ ""УЧРЕЖДЕНИЕ ПО СОДЕРЖАНИЮ АДМИНИСТРАТИВНЫХ ЗДАНИЙ""")</f>
        <v>КГБУ "УЧРЕЖДЕНИЕ ПО СОДЕРЖАНИЮ АДМИНИСТРАТИВНЫХ ЗДАНИЙ"</v>
      </c>
      <c r="B1642" s="24" t="s">
        <v>2651</v>
      </c>
      <c r="C1642" s="25">
        <v>1046350</v>
      </c>
      <c r="D1642" s="22" t="s">
        <v>2652</v>
      </c>
      <c r="E1642" s="22" t="s">
        <v>59</v>
      </c>
      <c r="F1642" s="23" t="str">
        <f>HYPERLINK("https://www.spark-marketing.ru/Card/Lot/73325905", "Установка системы контроля и управления доступом и видеонаблюдения в административном здании по адресу: г. Барнаул, ул. Чкалова, 230")</f>
        <v>Установка системы контроля и управления доступом и видеонаблюдения в административном здании по адресу: г. Барнаул, ул. Чкалова, 230</v>
      </c>
      <c r="G1642" s="22" t="s">
        <v>428</v>
      </c>
      <c r="H1642" s="22" t="s">
        <v>429</v>
      </c>
      <c r="I1642" s="26">
        <v>43718.7</v>
      </c>
      <c r="J1642" s="23" t="str">
        <f>HYPERLINK("https://www.spark-marketing.ru/Card/Person/447752", "ООО ""АЛТАЙ СБ""")</f>
        <v>ООО "АЛТАЙ СБ"</v>
      </c>
      <c r="K1642" s="24" t="s">
        <v>2654</v>
      </c>
      <c r="L1642" s="22" t="s">
        <v>10</v>
      </c>
      <c r="M1642" s="25">
        <v>910320</v>
      </c>
      <c r="N1642" s="27">
        <v>0.1300043006642137</v>
      </c>
    </row>
    <row r="1643" spans="1:14" hidden="1" outlineLevel="1" x14ac:dyDescent="0.2">
      <c r="A1643" s="23" t="str">
        <f>HYPERLINK("https://www.spark-marketing.ru/Card/Person/1068408", "КГБУ ""УЧРЕЖДЕНИЕ ПО СОДЕРЖАНИЮ АДМИНИСТРАТИВНЫХ ЗДАНИЙ""")</f>
        <v>КГБУ "УЧРЕЖДЕНИЕ ПО СОДЕРЖАНИЮ АДМИНИСТРАТИВНЫХ ЗДАНИЙ"</v>
      </c>
      <c r="B1643" s="24" t="s">
        <v>2651</v>
      </c>
      <c r="C1643" s="25">
        <v>1046350</v>
      </c>
      <c r="D1643" s="22" t="s">
        <v>2652</v>
      </c>
      <c r="E1643" s="22" t="s">
        <v>59</v>
      </c>
      <c r="F1643" s="23" t="str">
        <f>HYPERLINK("https://www.spark-marketing.ru/Card/Lot/73325905", "Установка системы контроля и управления доступом и видеонаблюдения в административном здании по адресу: г. Барнаул, ул. Чкалова, 230")</f>
        <v>Установка системы контроля и управления доступом и видеонаблюдения в административном здании по адресу: г. Барнаул, ул. Чкалова, 230</v>
      </c>
      <c r="G1643" s="22" t="s">
        <v>428</v>
      </c>
      <c r="H1643" s="22" t="s">
        <v>429</v>
      </c>
      <c r="I1643" s="26">
        <v>43718.7</v>
      </c>
      <c r="J1643" s="23" t="str">
        <f>HYPERLINK("https://www.spark-marketing.ru/Card/Person/106748", "ООО ""РЕЗУЛЬТАТ""")</f>
        <v>ООО "РЕЗУЛЬТАТ"</v>
      </c>
      <c r="K1643" s="24" t="s">
        <v>2655</v>
      </c>
      <c r="L1643" s="28" t="s">
        <v>52</v>
      </c>
      <c r="M1643" s="25">
        <v>915552</v>
      </c>
      <c r="N1643" s="27">
        <v>0.12500406173842404</v>
      </c>
    </row>
    <row r="1644" spans="1:14" x14ac:dyDescent="0.15">
      <c r="A1644" s="23" t="str">
        <f>HYPERLINK("https://www.spark-marketing.ru/Card/Person/87162", "ФГБОУ ВО ""ИГХТУ"", ИГХТУ")</f>
        <v>ФГБОУ ВО "ИГХТУ", ИГХТУ</v>
      </c>
      <c r="B1644" s="24" t="s">
        <v>2656</v>
      </c>
      <c r="C1644" s="25">
        <v>4482200</v>
      </c>
      <c r="D1644" s="22" t="s">
        <v>2657</v>
      </c>
      <c r="E1644" s="22" t="s">
        <v>68</v>
      </c>
      <c r="F1644" s="23" t="str">
        <f>HYPERLINK("https://www.spark-marketing.ru/Card/Lot/73336664", "Оказание охранных услуг на объектах  ФГБОУ ВО «ИГХТУ»")</f>
        <v>Оказание охранных услуг на объектах  ФГБОУ ВО «ИГХТУ»</v>
      </c>
      <c r="G1644" s="22" t="s">
        <v>340</v>
      </c>
      <c r="H1644" s="22" t="s">
        <v>1030</v>
      </c>
      <c r="I1644" s="26">
        <v>43718.688888888901</v>
      </c>
      <c r="J1644" s="28" t="s">
        <v>52</v>
      </c>
      <c r="K1644" s="28" t="s">
        <v>52</v>
      </c>
      <c r="L1644" s="28" t="s">
        <v>52</v>
      </c>
      <c r="M1644" s="28" t="s">
        <v>52</v>
      </c>
      <c r="N1644" s="28" t="s">
        <v>52</v>
      </c>
    </row>
    <row r="1645" spans="1:14" ht="12.75" hidden="1" outlineLevel="1" x14ac:dyDescent="0.2">
      <c r="A1645" s="23" t="str">
        <f>HYPERLINK("https://www.spark-marketing.ru/Card/Person/87162", "ФГБОУ ВО ""ИГХТУ"", ИГХТУ")</f>
        <v>ФГБОУ ВО "ИГХТУ", ИГХТУ</v>
      </c>
      <c r="B1645" s="24" t="s">
        <v>2656</v>
      </c>
      <c r="C1645" s="25">
        <v>4482200</v>
      </c>
      <c r="D1645" s="22" t="s">
        <v>2657</v>
      </c>
      <c r="E1645" s="22" t="s">
        <v>68</v>
      </c>
      <c r="F1645" s="23" t="str">
        <f>HYPERLINK("https://www.spark-marketing.ru/Card/Lot/73336664", "Оказание охранных услуг на объектах  ФГБОУ ВО «ИГХТУ»")</f>
        <v>Оказание охранных услуг на объектах  ФГБОУ ВО «ИГХТУ»</v>
      </c>
      <c r="G1645" s="22" t="s">
        <v>340</v>
      </c>
      <c r="H1645" s="22" t="s">
        <v>1030</v>
      </c>
      <c r="I1645" s="26">
        <v>43718.688888888901</v>
      </c>
      <c r="J1645" s="23" t="str">
        <f>HYPERLINK("https://www.spark-marketing.ru/Card/Person/588835", "ООО ОП ""СБ-93""")</f>
        <v>ООО ОП "СБ-93"</v>
      </c>
      <c r="K1645" s="24" t="s">
        <v>2658</v>
      </c>
      <c r="L1645" s="22" t="s">
        <v>10</v>
      </c>
      <c r="M1645" s="25">
        <v>4280501</v>
      </c>
      <c r="N1645" s="27">
        <v>4.4999999999999998E-2</v>
      </c>
    </row>
    <row r="1646" spans="1:14" hidden="1" outlineLevel="1" x14ac:dyDescent="0.2">
      <c r="A1646" s="23" t="str">
        <f>HYPERLINK("https://www.spark-marketing.ru/Card/Person/87162", "ФГБОУ ВО ""ИГХТУ"", ИГХТУ")</f>
        <v>ФГБОУ ВО "ИГХТУ", ИГХТУ</v>
      </c>
      <c r="B1646" s="24" t="s">
        <v>2656</v>
      </c>
      <c r="C1646" s="25">
        <v>4482200</v>
      </c>
      <c r="D1646" s="22" t="s">
        <v>2657</v>
      </c>
      <c r="E1646" s="22" t="s">
        <v>68</v>
      </c>
      <c r="F1646" s="23" t="str">
        <f>HYPERLINK("https://www.spark-marketing.ru/Card/Lot/73336664", "Оказание охранных услуг на объектах  ФГБОУ ВО «ИГХТУ»")</f>
        <v>Оказание охранных услуг на объектах  ФГБОУ ВО «ИГХТУ»</v>
      </c>
      <c r="G1646" s="22" t="s">
        <v>340</v>
      </c>
      <c r="H1646" s="22" t="s">
        <v>1030</v>
      </c>
      <c r="I1646" s="26">
        <v>43718.688888888901</v>
      </c>
      <c r="J1646" s="23" t="str">
        <f>HYPERLINK("https://www.spark-marketing.ru/Card/Person/4465649", "ООО ""ОХРАННОЕ АГЕНТСТВО ""РОСКО""")</f>
        <v>ООО "ОХРАННОЕ АГЕНТСТВО "РОСКО"</v>
      </c>
      <c r="K1646" s="24" t="s">
        <v>2659</v>
      </c>
      <c r="L1646" s="28" t="s">
        <v>52</v>
      </c>
      <c r="M1646" s="25">
        <v>4302911.99</v>
      </c>
      <c r="N1646" s="27">
        <v>4.0000002231047251E-2</v>
      </c>
    </row>
    <row r="1647" spans="1:14" x14ac:dyDescent="0.15">
      <c r="A1647" s="23" t="str">
        <f>HYPERLINK("https://www.spark-marketing.ru/Card/Person/4343365", "ФКУ ""УРАЛУПРАВТОДОР""")</f>
        <v>ФКУ "УРАЛУПРАВТОДОР"</v>
      </c>
      <c r="B1647" s="24" t="s">
        <v>2437</v>
      </c>
      <c r="C1647" s="25">
        <v>39538588</v>
      </c>
      <c r="D1647" s="22" t="s">
        <v>2660</v>
      </c>
      <c r="E1647" s="22" t="s">
        <v>2523</v>
      </c>
      <c r="F1647" s="23" t="str">
        <f>HYPERLINK("https://www.spark-marketing.ru/Card/Lot/73330152", "Оснащение объектов дорожного хозяйства инженерно-техническими средствами (системами) обеспечения транспортной безопасности в Тюменской области. Мост через реку Демьянка км 429+849 на автомобильной дороге Р-404 Тюмень - Тобольск - Ханты-Мансийск")</f>
        <v>Оснащение объектов дорожного хозяйства инженерно-техническими средствами (системами) обеспечения транспортной безопасности в Тюменской области. Мост через реку Демьянка км 429+849 на автомобильной дороге Р-404 Тюмень - Тобольск - Ханты-Мансийск</v>
      </c>
      <c r="G1647" s="22" t="s">
        <v>893</v>
      </c>
      <c r="H1647" s="22" t="s">
        <v>893</v>
      </c>
      <c r="I1647" s="26">
        <v>43718.671527777798</v>
      </c>
      <c r="J1647" s="23" t="str">
        <f>HYPERLINK("https://www.spark-marketing.ru/Card/Person/5848968", "ООО ""МФ ИНЖИНИРИНГ""")</f>
        <v>ООО "МФ ИНЖИНИРИНГ"</v>
      </c>
      <c r="K1647" s="24" t="s">
        <v>2524</v>
      </c>
      <c r="L1647" s="22" t="s">
        <v>10</v>
      </c>
      <c r="M1647" s="28" t="s">
        <v>52</v>
      </c>
      <c r="N1647" s="28" t="s">
        <v>52</v>
      </c>
    </row>
    <row r="1648" spans="1:14" x14ac:dyDescent="0.15">
      <c r="A1648" s="23" t="str">
        <f>HYPERLINK("https://www.spark-marketing.ru/Card/Person/8901", "НОВОЧЕРКАССКОЕ СУВОРОВСКОЕ ВОЕННОЕ УЧИЛИЩЕ МВД РОССИИ, ФГКОУ НСВУ МВД РОССИИ, НОВОЧЕРКАССКОЕ СВУ МВД РОССИИ")</f>
        <v>НОВОЧЕРКАССКОЕ СУВОРОВСКОЕ ВОЕННОЕ УЧИЛИЩЕ МВД РОССИИ, ФГКОУ НСВУ МВД РОССИИ, НОВОЧЕРКАССКОЕ СВУ МВД РОССИИ</v>
      </c>
      <c r="B1648" s="24" t="s">
        <v>2661</v>
      </c>
      <c r="C1648" s="25">
        <v>132000</v>
      </c>
      <c r="D1648" s="22" t="s">
        <v>2662</v>
      </c>
      <c r="E1648" s="22" t="s">
        <v>1013</v>
      </c>
      <c r="F1648" s="23" t="str">
        <f>HYPERLINK("https://www.spark-marketing.ru/Card/Lot/73325798", "Техническое обслуживание охранной сигнализации, 1 усл. ед")</f>
        <v>Техническое обслуживание охранной сигнализации, 1 усл. ед</v>
      </c>
      <c r="G1648" s="22" t="s">
        <v>402</v>
      </c>
      <c r="H1648" s="22" t="s">
        <v>2663</v>
      </c>
      <c r="I1648" s="26">
        <v>43718.601493055598</v>
      </c>
      <c r="J1648" s="28" t="s">
        <v>52</v>
      </c>
      <c r="K1648" s="28" t="s">
        <v>52</v>
      </c>
      <c r="L1648" s="28" t="s">
        <v>52</v>
      </c>
      <c r="M1648" s="28" t="s">
        <v>52</v>
      </c>
      <c r="N1648" s="28" t="s">
        <v>52</v>
      </c>
    </row>
    <row r="1649" spans="1:14" x14ac:dyDescent="0.15">
      <c r="A1649" s="23" t="str">
        <f>HYPERLINK("https://www.spark-marketing.ru/Card/Person/4431", "ФКУЗ ""ГКГ МВД РОССИИ""")</f>
        <v>ФКУЗ "ГКГ МВД РОССИИ"</v>
      </c>
      <c r="B1649" s="24" t="s">
        <v>1182</v>
      </c>
      <c r="C1649" s="25">
        <v>259248</v>
      </c>
      <c r="D1649" s="22" t="s">
        <v>2664</v>
      </c>
      <c r="E1649" s="22" t="s">
        <v>53</v>
      </c>
      <c r="F1649" s="23" t="str">
        <f>HYPERLINK("https://www.spark-marketing.ru/Card/Lot/73326254", "ТО оборудования видеонаблюдения")</f>
        <v>ТО оборудования видеонаблюдения</v>
      </c>
      <c r="G1649" s="22" t="s">
        <v>55</v>
      </c>
      <c r="H1649" s="22" t="s">
        <v>55</v>
      </c>
      <c r="I1649" s="26">
        <v>43718.588738425897</v>
      </c>
      <c r="J1649" s="28" t="s">
        <v>52</v>
      </c>
      <c r="K1649" s="28" t="s">
        <v>52</v>
      </c>
      <c r="L1649" s="28" t="s">
        <v>52</v>
      </c>
      <c r="M1649" s="28" t="s">
        <v>52</v>
      </c>
      <c r="N1649" s="28" t="s">
        <v>52</v>
      </c>
    </row>
    <row r="1650" spans="1:14" x14ac:dyDescent="0.15">
      <c r="A1650" s="23" t="str">
        <f>HYPERLINK("https://www.spark-marketing.ru/Card/Person/535388", "МЕЖРАЙОННАЯ ИФНС РОССИИ № 4 ПО УЛЬЯНОВСКОЙ ОБЛАСТИ")</f>
        <v>МЕЖРАЙОННАЯ ИФНС РОССИИ № 4 ПО УЛЬЯНОВСКОЙ ОБЛАСТИ</v>
      </c>
      <c r="B1650" s="24" t="s">
        <v>2665</v>
      </c>
      <c r="C1650" s="25">
        <v>23217</v>
      </c>
      <c r="D1650" s="22" t="s">
        <v>2666</v>
      </c>
      <c r="E1650" s="22" t="s">
        <v>53</v>
      </c>
      <c r="F1650" s="23" t="str">
        <f>HYPERLINK("https://www.spark-marketing.ru/Card/Lot/73325190", "Охрана объектов с помощью системы централизованного наблюдения")</f>
        <v>Охрана объектов с помощью системы централизованного наблюдения</v>
      </c>
      <c r="G1650" s="22" t="s">
        <v>446</v>
      </c>
      <c r="H1650" s="22" t="s">
        <v>2667</v>
      </c>
      <c r="I1650" s="26">
        <v>43718.5539699074</v>
      </c>
      <c r="J1650" s="28" t="s">
        <v>52</v>
      </c>
      <c r="K1650" s="28" t="s">
        <v>52</v>
      </c>
      <c r="L1650" s="28" t="s">
        <v>52</v>
      </c>
      <c r="M1650" s="28" t="s">
        <v>52</v>
      </c>
      <c r="N1650" s="28" t="s">
        <v>52</v>
      </c>
    </row>
    <row r="1651" spans="1:14" x14ac:dyDescent="0.15">
      <c r="A1651" s="23" t="str">
        <f>HYPERLINK("https://www.spark-marketing.ru/Card/Person/29982", "ФГКУ КОМБИНАТ ""ЛАДОГА"" РОСРЕЗЕРВА")</f>
        <v>ФГКУ КОМБИНАТ "ЛАДОГА" РОСРЕЗЕРВА</v>
      </c>
      <c r="B1651" s="24" t="s">
        <v>2668</v>
      </c>
      <c r="C1651" s="25">
        <v>2000000</v>
      </c>
      <c r="D1651" s="22" t="s">
        <v>2669</v>
      </c>
      <c r="E1651" s="22" t="s">
        <v>84</v>
      </c>
      <c r="F1651" s="23" t="str">
        <f>HYPERLINK("https://www.spark-marketing.ru/Card/Lot/73327146", "Установка системы видеонаблюдения на строительной площадке в Калининградской области")</f>
        <v>Установка системы видеонаблюдения на строительной площадке в Калининградской области</v>
      </c>
      <c r="G1651" s="22" t="s">
        <v>247</v>
      </c>
      <c r="H1651" s="22" t="s">
        <v>2670</v>
      </c>
      <c r="I1651" s="26">
        <v>43718.516666666699</v>
      </c>
      <c r="J1651" s="28" t="s">
        <v>52</v>
      </c>
      <c r="K1651" s="28" t="s">
        <v>52</v>
      </c>
      <c r="L1651" s="28" t="s">
        <v>52</v>
      </c>
      <c r="M1651" s="28" t="s">
        <v>52</v>
      </c>
      <c r="N1651" s="28" t="s">
        <v>52</v>
      </c>
    </row>
    <row r="1652" spans="1:14" hidden="1" outlineLevel="1" x14ac:dyDescent="0.2">
      <c r="A1652" s="23" t="str">
        <f>HYPERLINK("https://www.spark-marketing.ru/Card/Person/29982", "ФГКУ КОМБИНАТ ""ЛАДОГА"" РОСРЕЗЕРВА")</f>
        <v>ФГКУ КОМБИНАТ "ЛАДОГА" РОСРЕЗЕРВА</v>
      </c>
      <c r="B1652" s="24" t="s">
        <v>2668</v>
      </c>
      <c r="C1652" s="25">
        <v>2000000</v>
      </c>
      <c r="D1652" s="22" t="s">
        <v>2669</v>
      </c>
      <c r="E1652" s="22" t="s">
        <v>84</v>
      </c>
      <c r="F1652" s="23" t="str">
        <f>HYPERLINK("https://www.spark-marketing.ru/Card/Lot/73327146", "Установка системы видеонаблюдения на строительной площадке в Калининградской области")</f>
        <v>Установка системы видеонаблюдения на строительной площадке в Калининградской области</v>
      </c>
      <c r="G1652" s="22" t="s">
        <v>247</v>
      </c>
      <c r="H1652" s="22" t="s">
        <v>2670</v>
      </c>
      <c r="I1652" s="26">
        <v>43718.516666666699</v>
      </c>
      <c r="J1652" s="23" t="str">
        <f>HYPERLINK("https://www.spark-marketing.ru/Card/Person/6507468", "ООО ""ЗАПАД-СВЯЗЬ-БЕЗОПАСНОСТЬ""")</f>
        <v>ООО "ЗАПАД-СВЯЗЬ-БЕЗОПАСНОСТЬ"</v>
      </c>
      <c r="K1652" s="24" t="s">
        <v>2671</v>
      </c>
      <c r="L1652" s="28" t="s">
        <v>52</v>
      </c>
      <c r="M1652" s="25">
        <v>1635730</v>
      </c>
      <c r="N1652" s="27">
        <v>0.18213499999999999</v>
      </c>
    </row>
    <row r="1653" spans="1:14" hidden="1" outlineLevel="1" x14ac:dyDescent="0.2">
      <c r="A1653" s="23" t="str">
        <f>HYPERLINK("https://www.spark-marketing.ru/Card/Person/29982", "ФГКУ КОМБИНАТ ""ЛАДОГА"" РОСРЕЗЕРВА")</f>
        <v>ФГКУ КОМБИНАТ "ЛАДОГА" РОСРЕЗЕРВА</v>
      </c>
      <c r="B1653" s="24" t="s">
        <v>2668</v>
      </c>
      <c r="C1653" s="25">
        <v>2000000</v>
      </c>
      <c r="D1653" s="22" t="s">
        <v>2669</v>
      </c>
      <c r="E1653" s="22" t="s">
        <v>84</v>
      </c>
      <c r="F1653" s="23" t="str">
        <f>HYPERLINK("https://www.spark-marketing.ru/Card/Lot/73327146", "Установка системы видеонаблюдения на строительной площадке в Калининградской области")</f>
        <v>Установка системы видеонаблюдения на строительной площадке в Калининградской области</v>
      </c>
      <c r="G1653" s="22" t="s">
        <v>247</v>
      </c>
      <c r="H1653" s="22" t="s">
        <v>2670</v>
      </c>
      <c r="I1653" s="26">
        <v>43718.516666666699</v>
      </c>
      <c r="J1653" s="23" t="str">
        <f>HYPERLINK("https://www.spark-marketing.ru/Card/Person/596613", "ООО ""ТД ""РУСИЧИ""")</f>
        <v>ООО "ТД "РУСИЧИ"</v>
      </c>
      <c r="K1653" s="24" t="s">
        <v>2672</v>
      </c>
      <c r="L1653" s="28" t="s">
        <v>52</v>
      </c>
      <c r="M1653" s="25">
        <v>1895729.99</v>
      </c>
      <c r="N1653" s="27">
        <v>5.2135004999999998E-2</v>
      </c>
    </row>
    <row r="1654" spans="1:14" ht="12.75" hidden="1" outlineLevel="1" x14ac:dyDescent="0.2">
      <c r="A1654" s="23" t="str">
        <f>HYPERLINK("https://www.spark-marketing.ru/Card/Person/29982", "ФГКУ КОМБИНАТ ""ЛАДОГА"" РОСРЕЗЕРВА")</f>
        <v>ФГКУ КОМБИНАТ "ЛАДОГА" РОСРЕЗЕРВА</v>
      </c>
      <c r="B1654" s="24" t="s">
        <v>2668</v>
      </c>
      <c r="C1654" s="25">
        <v>2000000</v>
      </c>
      <c r="D1654" s="22" t="s">
        <v>2669</v>
      </c>
      <c r="E1654" s="22" t="s">
        <v>84</v>
      </c>
      <c r="F1654" s="23" t="str">
        <f>HYPERLINK("https://www.spark-marketing.ru/Card/Lot/73327146", "Установка системы видеонаблюдения на строительной площадке в Калининградской области")</f>
        <v>Установка системы видеонаблюдения на строительной площадке в Калининградской области</v>
      </c>
      <c r="G1654" s="22" t="s">
        <v>247</v>
      </c>
      <c r="H1654" s="22" t="s">
        <v>2670</v>
      </c>
      <c r="I1654" s="26">
        <v>43718.516666666699</v>
      </c>
      <c r="J1654" s="23" t="str">
        <f>HYPERLINK("https://www.spark-marketing.ru/Card/Person/63516", "ООО ""ПЕЛЕН""")</f>
        <v>ООО "ПЕЛЕН"</v>
      </c>
      <c r="K1654" s="24" t="s">
        <v>2673</v>
      </c>
      <c r="L1654" s="22" t="s">
        <v>10</v>
      </c>
      <c r="M1654" s="25">
        <v>1625730</v>
      </c>
      <c r="N1654" s="27">
        <v>0.187135</v>
      </c>
    </row>
    <row r="1655" spans="1:14" x14ac:dyDescent="0.15">
      <c r="A1655" s="23" t="str">
        <f>HYPERLINK("https://www.spark-marketing.ru/Card/Person/371121", "УПРАВЛЕНИЕ МИНЮСТА РОССИИ ПО ПЕНЗЕНСКОЙ ОБЛАСТИ")</f>
        <v>УПРАВЛЕНИЕ МИНЮСТА РОССИИ ПО ПЕНЗЕНСКОЙ ОБЛАСТИ</v>
      </c>
      <c r="B1655" s="24" t="s">
        <v>2674</v>
      </c>
      <c r="C1655" s="25">
        <v>42230.400000000001</v>
      </c>
      <c r="D1655" s="22" t="s">
        <v>2675</v>
      </c>
      <c r="E1655" s="22" t="s">
        <v>53</v>
      </c>
      <c r="F1655" s="23" t="str">
        <f>HYPERLINK("https://www.spark-marketing.ru/Card/Lot/73321889", "Оказание услуг по техническому обслуживанию комплекса технических средств охраны (ОПС)")</f>
        <v>Оказание услуг по техническому обслуживанию комплекса технических средств охраны (ОПС)</v>
      </c>
      <c r="G1655" s="22" t="s">
        <v>514</v>
      </c>
      <c r="H1655" s="22" t="s">
        <v>2167</v>
      </c>
      <c r="I1655" s="26">
        <v>43718.482511574097</v>
      </c>
      <c r="J1655" s="28" t="s">
        <v>52</v>
      </c>
      <c r="K1655" s="28" t="s">
        <v>52</v>
      </c>
      <c r="L1655" s="28" t="s">
        <v>52</v>
      </c>
      <c r="M1655" s="28" t="s">
        <v>52</v>
      </c>
      <c r="N1655" s="28" t="s">
        <v>52</v>
      </c>
    </row>
    <row r="1656" spans="1:14" x14ac:dyDescent="0.15">
      <c r="A1656" s="23" t="str">
        <f>HYPERLINK("https://www.spark-marketing.ru/Card/Person/61440", "МБДОУ ""Детский сад №1""")</f>
        <v>МБДОУ "Детский сад №1"</v>
      </c>
      <c r="B1656" s="24" t="s">
        <v>2676</v>
      </c>
      <c r="C1656" s="25">
        <v>46450</v>
      </c>
      <c r="D1656" s="22" t="s">
        <v>2677</v>
      </c>
      <c r="E1656" s="22" t="s">
        <v>107</v>
      </c>
      <c r="F1656" s="23" t="str">
        <f>HYPERLINK("https://www.spark-marketing.ru/Card/Lot/73322497", "Оказание услуг по приобретению и установке видеодомофонов для входных дверей и калиток")</f>
        <v>Оказание услуг по приобретению и установке видеодомофонов для входных дверей и калиток</v>
      </c>
      <c r="G1656" s="22" t="s">
        <v>50</v>
      </c>
      <c r="H1656" s="22" t="s">
        <v>1207</v>
      </c>
      <c r="I1656" s="26">
        <v>43718.471932870401</v>
      </c>
      <c r="J1656" s="28" t="s">
        <v>52</v>
      </c>
      <c r="K1656" s="28" t="s">
        <v>52</v>
      </c>
      <c r="L1656" s="28" t="s">
        <v>52</v>
      </c>
      <c r="M1656" s="28" t="s">
        <v>52</v>
      </c>
      <c r="N1656" s="28" t="s">
        <v>52</v>
      </c>
    </row>
    <row r="1657" spans="1:14" x14ac:dyDescent="0.15">
      <c r="A1657" s="23" t="str">
        <f>HYPERLINK("https://www.spark-marketing.ru/Card/Person/117781", "ФКУ ""ГБ МСЭ ПО ИРКУТСКОЙ ОБЛАСТИ"" МИНТРУДА РОССИИ")</f>
        <v>ФКУ "ГБ МСЭ ПО ИРКУТСКОЙ ОБЛАСТИ" МИНТРУДА РОССИИ</v>
      </c>
      <c r="B1657" s="24" t="s">
        <v>2678</v>
      </c>
      <c r="C1657" s="25">
        <v>18810</v>
      </c>
      <c r="D1657" s="22" t="s">
        <v>2679</v>
      </c>
      <c r="E1657" s="22" t="s">
        <v>53</v>
      </c>
      <c r="F1657" s="23" t="str">
        <f>HYPERLINK("https://www.spark-marketing.ru/Card/Lot/73320028", "оказание услуг по физической охране объектов")</f>
        <v>оказание услуг по физической охране объектов</v>
      </c>
      <c r="G1657" s="22" t="s">
        <v>281</v>
      </c>
      <c r="H1657" s="22" t="s">
        <v>2008</v>
      </c>
      <c r="I1657" s="26">
        <v>43718.430833333303</v>
      </c>
      <c r="J1657" s="28" t="s">
        <v>52</v>
      </c>
      <c r="K1657" s="28" t="s">
        <v>52</v>
      </c>
      <c r="L1657" s="28" t="s">
        <v>52</v>
      </c>
      <c r="M1657" s="28" t="s">
        <v>52</v>
      </c>
      <c r="N1657" s="28" t="s">
        <v>52</v>
      </c>
    </row>
    <row r="1658" spans="1:14" x14ac:dyDescent="0.15">
      <c r="A1658" s="23" t="str">
        <f>HYPERLINK("https://www.spark-marketing.ru/Card/Person/1041854", "ОТДЕЛЕНИЕ МВД РОССИИ ПО КИШЕРТСКОМУ РАЙОНУ")</f>
        <v>ОТДЕЛЕНИЕ МВД РОССИИ ПО КИШЕРТСКОМУ РАЙОНУ</v>
      </c>
      <c r="B1658" s="24" t="s">
        <v>2680</v>
      </c>
      <c r="C1658" s="25">
        <v>10000</v>
      </c>
      <c r="D1658" s="22" t="s">
        <v>2681</v>
      </c>
      <c r="E1658" s="22" t="s">
        <v>53</v>
      </c>
      <c r="F1658" s="23" t="str">
        <f>HYPERLINK("https://www.spark-marketing.ru/Card/Lot/73319958", "техническое обслуживание комплекса технических средств охранной и тревожной сигнализации")</f>
        <v>техническое обслуживание комплекса технических средств охранной и тревожной сигнализации</v>
      </c>
      <c r="G1658" s="22" t="s">
        <v>391</v>
      </c>
      <c r="H1658" s="22" t="s">
        <v>2682</v>
      </c>
      <c r="I1658" s="26">
        <v>43718.443518518499</v>
      </c>
      <c r="J1658" s="28" t="s">
        <v>52</v>
      </c>
      <c r="K1658" s="28" t="s">
        <v>52</v>
      </c>
      <c r="L1658" s="28" t="s">
        <v>52</v>
      </c>
      <c r="M1658" s="28" t="s">
        <v>52</v>
      </c>
      <c r="N1658" s="28" t="s">
        <v>52</v>
      </c>
    </row>
    <row r="1659" spans="1:14" x14ac:dyDescent="0.15">
      <c r="A1659" s="23" t="str">
        <f>HYPERLINK("https://www.spark-marketing.ru/Card/Person/25535", "МЕЖМУНИЦИПАЛЬНЫЙ ОТДЕЛ МВД РОССИИ ""БОГОТОЛЬСКИЙ""")</f>
        <v>МЕЖМУНИЦИПАЛЬНЫЙ ОТДЕЛ МВД РОССИИ "БОГОТОЛЬСКИЙ"</v>
      </c>
      <c r="B1659" s="24" t="s">
        <v>2683</v>
      </c>
      <c r="C1659" s="25">
        <v>64953.599999999999</v>
      </c>
      <c r="D1659" s="22" t="s">
        <v>2684</v>
      </c>
      <c r="E1659" s="22" t="s">
        <v>107</v>
      </c>
      <c r="F1659" s="23" t="str">
        <f>HYPERLINK("https://www.spark-marketing.ru/Card/Lot/73318724", "Техническое обслуживание комплекса технических средств охраны, 7 шт")</f>
        <v>Техническое обслуживание комплекса технических средств охраны, 7 шт</v>
      </c>
      <c r="G1659" s="22" t="s">
        <v>640</v>
      </c>
      <c r="H1659" s="22" t="s">
        <v>2685</v>
      </c>
      <c r="I1659" s="26">
        <v>43718.395509259302</v>
      </c>
      <c r="J1659" s="28" t="s">
        <v>52</v>
      </c>
      <c r="K1659" s="28" t="s">
        <v>52</v>
      </c>
      <c r="L1659" s="28" t="s">
        <v>52</v>
      </c>
      <c r="M1659" s="28" t="s">
        <v>52</v>
      </c>
      <c r="N1659" s="28" t="s">
        <v>52</v>
      </c>
    </row>
    <row r="1660" spans="1:14" x14ac:dyDescent="0.15">
      <c r="A1660" s="23" t="str">
        <f>HYPERLINK("https://www.spark-marketing.ru/Card/Person/4331001", "ЧАО ""ЛИНИК""")</f>
        <v>ЧАО "ЛИНИК"</v>
      </c>
      <c r="B1660" s="28" t="s">
        <v>52</v>
      </c>
      <c r="C1660" s="25">
        <v>287179.75</v>
      </c>
      <c r="D1660" s="22" t="s">
        <v>2686</v>
      </c>
      <c r="E1660" s="22" t="s">
        <v>53</v>
      </c>
      <c r="F1660" s="23" t="str">
        <f>HYPERLINK("https://www.spark-marketing.ru/Card/Lot/73322627", "Номер закупки 2073. Техническое обслуживание (сопровождение) оборудования системы охранно-тревожной сигнализации (инв. №17546), автоматической установки охранной сигнализации (инв. №18960) и сопровождению ПК ПЦН")</f>
        <v>Номер закупки 2073. Техническое обслуживание (сопровождение) оборудования системы охранно-тревожной сигнализации (инв. №17546), автоматической установки охранной сигнализации (инв. №18960) и сопровождению ПК ПЦН</v>
      </c>
      <c r="G1660" s="22" t="s">
        <v>52</v>
      </c>
      <c r="H1660" s="22" t="s">
        <v>52</v>
      </c>
      <c r="I1660" s="26">
        <v>43718.390972222202</v>
      </c>
      <c r="J1660" s="28" t="s">
        <v>52</v>
      </c>
      <c r="K1660" s="28" t="s">
        <v>52</v>
      </c>
      <c r="L1660" s="28" t="s">
        <v>52</v>
      </c>
      <c r="M1660" s="28" t="s">
        <v>52</v>
      </c>
      <c r="N1660" s="28" t="s">
        <v>52</v>
      </c>
    </row>
    <row r="1661" spans="1:14" x14ac:dyDescent="0.15">
      <c r="A1661" s="23" t="str">
        <f>HYPERLINK("https://www.spark-marketing.ru/Card/Person/1577243", "ОМВД РОССИИ ПО НЕКРАСОВСКОМУ РАЙОНУ")</f>
        <v>ОМВД РОССИИ ПО НЕКРАСОВСКОМУ РАЙОНУ</v>
      </c>
      <c r="B1661" s="24" t="s">
        <v>2322</v>
      </c>
      <c r="C1661" s="25">
        <v>7500</v>
      </c>
      <c r="D1661" s="22" t="s">
        <v>2687</v>
      </c>
      <c r="E1661" s="22" t="s">
        <v>1013</v>
      </c>
      <c r="F1661" s="23" t="str">
        <f>HYPERLINK("https://www.spark-marketing.ru/Card/Lot/73318382", "Техническое обслуживание охранной сигнализации, 1 усл. ед")</f>
        <v>Техническое обслуживание охранной сигнализации, 1 усл. ед</v>
      </c>
      <c r="G1661" s="22" t="s">
        <v>155</v>
      </c>
      <c r="H1661" s="22" t="s">
        <v>2688</v>
      </c>
      <c r="I1661" s="26">
        <v>43718.383043981499</v>
      </c>
      <c r="J1661" s="28" t="s">
        <v>52</v>
      </c>
      <c r="K1661" s="28" t="s">
        <v>52</v>
      </c>
      <c r="L1661" s="28" t="s">
        <v>52</v>
      </c>
      <c r="M1661" s="28" t="s">
        <v>52</v>
      </c>
      <c r="N1661" s="28" t="s">
        <v>52</v>
      </c>
    </row>
    <row r="1662" spans="1:14" x14ac:dyDescent="0.15">
      <c r="A1662" s="23" t="s">
        <v>121</v>
      </c>
      <c r="B1662" s="28" t="s">
        <v>52</v>
      </c>
      <c r="C1662" s="25">
        <v>409999.92</v>
      </c>
      <c r="D1662" s="22" t="s">
        <v>2689</v>
      </c>
      <c r="E1662" s="22" t="s">
        <v>84</v>
      </c>
      <c r="F1662" s="23" t="str">
        <f t="shared" ref="F1662:F1667" si="62">HYPERLINK("https://www.spark-marketing.ru/Card/Lot/73319670", "Работы по установке системы видеонаблюдения")</f>
        <v>Работы по установке системы видеонаблюдения</v>
      </c>
      <c r="G1662" s="22" t="s">
        <v>52</v>
      </c>
      <c r="H1662" s="22" t="s">
        <v>52</v>
      </c>
      <c r="I1662" s="26">
        <v>43718.363888888904</v>
      </c>
      <c r="J1662" s="28" t="s">
        <v>52</v>
      </c>
      <c r="K1662" s="28" t="s">
        <v>52</v>
      </c>
      <c r="L1662" s="28" t="s">
        <v>52</v>
      </c>
      <c r="M1662" s="28" t="s">
        <v>52</v>
      </c>
      <c r="N1662" s="28" t="s">
        <v>52</v>
      </c>
    </row>
    <row r="1663" spans="1:14" hidden="1" outlineLevel="1" x14ac:dyDescent="0.15">
      <c r="A1663" s="23" t="str">
        <f>HYPERLINK("https://www.spark-marketing.ru/Card/Person/111492", "МОУ СОШ №9")</f>
        <v>МОУ СОШ №9</v>
      </c>
      <c r="B1663" s="24" t="s">
        <v>2690</v>
      </c>
      <c r="C1663" s="25">
        <v>249999.98</v>
      </c>
      <c r="D1663" s="22" t="s">
        <v>2689</v>
      </c>
      <c r="E1663" s="22" t="s">
        <v>84</v>
      </c>
      <c r="F1663" s="23" t="str">
        <f t="shared" si="62"/>
        <v>Работы по установке системы видеонаблюдения</v>
      </c>
      <c r="G1663" s="22" t="s">
        <v>50</v>
      </c>
      <c r="H1663" s="22" t="s">
        <v>2691</v>
      </c>
      <c r="I1663" s="26">
        <v>43718.363888888904</v>
      </c>
      <c r="J1663" s="28" t="s">
        <v>52</v>
      </c>
      <c r="K1663" s="28" t="s">
        <v>52</v>
      </c>
      <c r="L1663" s="28" t="s">
        <v>52</v>
      </c>
      <c r="M1663" s="28" t="s">
        <v>52</v>
      </c>
      <c r="N1663" s="28" t="s">
        <v>52</v>
      </c>
    </row>
    <row r="1664" spans="1:14" hidden="1" outlineLevel="1" x14ac:dyDescent="0.15">
      <c r="A1664" s="23" t="str">
        <f>HYPERLINK("https://www.spark-marketing.ru/Card/Person/111648", "МОУ СОШ № 6")</f>
        <v>МОУ СОШ № 6</v>
      </c>
      <c r="B1664" s="24" t="s">
        <v>2692</v>
      </c>
      <c r="C1664" s="25">
        <v>159999.94</v>
      </c>
      <c r="D1664" s="22" t="s">
        <v>2689</v>
      </c>
      <c r="E1664" s="22" t="s">
        <v>84</v>
      </c>
      <c r="F1664" s="23" t="str">
        <f t="shared" si="62"/>
        <v>Работы по установке системы видеонаблюдения</v>
      </c>
      <c r="G1664" s="22" t="s">
        <v>50</v>
      </c>
      <c r="H1664" s="22" t="s">
        <v>2691</v>
      </c>
      <c r="I1664" s="26">
        <v>43718.363888888904</v>
      </c>
      <c r="J1664" s="28" t="s">
        <v>52</v>
      </c>
      <c r="K1664" s="28" t="s">
        <v>52</v>
      </c>
      <c r="L1664" s="28" t="s">
        <v>52</v>
      </c>
      <c r="M1664" s="28" t="s">
        <v>52</v>
      </c>
      <c r="N1664" s="28" t="s">
        <v>52</v>
      </c>
    </row>
    <row r="1665" spans="1:14" hidden="1" outlineLevel="1" x14ac:dyDescent="0.2">
      <c r="A1665" s="28" t="s">
        <v>52</v>
      </c>
      <c r="B1665" s="28" t="s">
        <v>52</v>
      </c>
      <c r="C1665" s="28" t="s">
        <v>52</v>
      </c>
      <c r="D1665" s="22" t="s">
        <v>2689</v>
      </c>
      <c r="E1665" s="22" t="s">
        <v>84</v>
      </c>
      <c r="F1665" s="23" t="str">
        <f t="shared" si="62"/>
        <v>Работы по установке системы видеонаблюдения</v>
      </c>
      <c r="G1665" s="22" t="s">
        <v>52</v>
      </c>
      <c r="H1665" s="22" t="s">
        <v>52</v>
      </c>
      <c r="I1665" s="26">
        <v>43718.363888888904</v>
      </c>
      <c r="J1665" s="23" t="str">
        <f>HYPERLINK("https://www.spark-marketing.ru/Card/Person/6461373", "ООО ""СЕКЬЮРИТИ ПЛЮС""")</f>
        <v>ООО "СЕКЬЮРИТИ ПЛЮС"</v>
      </c>
      <c r="K1665" s="24" t="s">
        <v>1222</v>
      </c>
      <c r="L1665" s="22" t="s">
        <v>10</v>
      </c>
      <c r="M1665" s="25">
        <v>245650</v>
      </c>
      <c r="N1665" s="27">
        <v>0.40085354162995934</v>
      </c>
    </row>
    <row r="1666" spans="1:14" hidden="1" outlineLevel="1" x14ac:dyDescent="0.2">
      <c r="A1666" s="28" t="s">
        <v>52</v>
      </c>
      <c r="B1666" s="28" t="s">
        <v>52</v>
      </c>
      <c r="C1666" s="28" t="s">
        <v>52</v>
      </c>
      <c r="D1666" s="22" t="s">
        <v>2689</v>
      </c>
      <c r="E1666" s="22" t="s">
        <v>84</v>
      </c>
      <c r="F1666" s="23" t="str">
        <f t="shared" si="62"/>
        <v>Работы по установке системы видеонаблюдения</v>
      </c>
      <c r="G1666" s="22" t="s">
        <v>52</v>
      </c>
      <c r="H1666" s="22" t="s">
        <v>52</v>
      </c>
      <c r="I1666" s="26">
        <v>43718.363888888904</v>
      </c>
      <c r="J1666" s="23" t="str">
        <f>HYPERLINK("https://www.spark-marketing.ru/Card/Person/388655", "ООО ""АКТИВ СБ""")</f>
        <v>ООО "АКТИВ СБ"</v>
      </c>
      <c r="K1666" s="24" t="s">
        <v>2693</v>
      </c>
      <c r="L1666" s="28" t="s">
        <v>52</v>
      </c>
      <c r="M1666" s="25">
        <v>316100</v>
      </c>
      <c r="N1666" s="27">
        <v>0.22902423980960776</v>
      </c>
    </row>
    <row r="1667" spans="1:14" hidden="1" outlineLevel="1" x14ac:dyDescent="0.2">
      <c r="A1667" s="28" t="s">
        <v>52</v>
      </c>
      <c r="B1667" s="28" t="s">
        <v>52</v>
      </c>
      <c r="C1667" s="28" t="s">
        <v>52</v>
      </c>
      <c r="D1667" s="22" t="s">
        <v>2689</v>
      </c>
      <c r="E1667" s="22" t="s">
        <v>84</v>
      </c>
      <c r="F1667" s="23" t="str">
        <f t="shared" si="62"/>
        <v>Работы по установке системы видеонаблюдения</v>
      </c>
      <c r="G1667" s="22" t="s">
        <v>52</v>
      </c>
      <c r="H1667" s="22" t="s">
        <v>52</v>
      </c>
      <c r="I1667" s="26">
        <v>43718.363888888904</v>
      </c>
      <c r="J1667" s="23" t="str">
        <f>HYPERLINK("https://www.spark-marketing.ru/Card/Person/6407297", "Бодрова Вера Юрьевна")</f>
        <v>Бодрова Вера Юрьевна</v>
      </c>
      <c r="K1667" s="24" t="s">
        <v>2694</v>
      </c>
      <c r="L1667" s="28" t="s">
        <v>52</v>
      </c>
      <c r="M1667" s="25">
        <v>247700</v>
      </c>
      <c r="N1667" s="27">
        <v>0.39585354065434941</v>
      </c>
    </row>
    <row r="1668" spans="1:14" x14ac:dyDescent="0.15">
      <c r="A1668" s="23" t="str">
        <f>HYPERLINK("https://www.spark-marketing.ru/Card/Person/4686", "ГУ - ХАБАРОВСКОЕ РО ФОНДА СОЦИАЛЬНОГО СТРАХОВАНИЯ РОССИЙСКОЙ ФЕДЕРАЦИИ")</f>
        <v>ГУ - ХАБАРОВСКОЕ РО ФОНДА СОЦИАЛЬНОГО СТРАХОВАНИЯ РОССИЙСКОЙ ФЕДЕРАЦИИ</v>
      </c>
      <c r="B1668" s="24" t="s">
        <v>2695</v>
      </c>
      <c r="C1668" s="25">
        <v>65499.6</v>
      </c>
      <c r="D1668" s="22" t="s">
        <v>2696</v>
      </c>
      <c r="E1668" s="22" t="s">
        <v>103</v>
      </c>
      <c r="F1668" s="23" t="str">
        <f>HYPERLINK("https://www.spark-marketing.ru/Card/Lot/73319015", "Оказание услуг по техническому обслуживанию систем аудио и видеонаблюдения РО и филиала № 7 ГУ-ХРО ФСС РФ в 2019 году")</f>
        <v>Оказание услуг по техническому обслуживанию систем аудио и видеонаблюдения РО и филиала № 7 ГУ-ХРО ФСС РФ в 2019 году</v>
      </c>
      <c r="G1668" s="22" t="s">
        <v>138</v>
      </c>
      <c r="H1668" s="22" t="s">
        <v>255</v>
      </c>
      <c r="I1668" s="26">
        <v>43718.633333333302</v>
      </c>
      <c r="J1668" s="28" t="s">
        <v>52</v>
      </c>
      <c r="K1668" s="28" t="s">
        <v>52</v>
      </c>
      <c r="L1668" s="28" t="s">
        <v>52</v>
      </c>
      <c r="M1668" s="28" t="s">
        <v>52</v>
      </c>
      <c r="N1668" s="28" t="s">
        <v>52</v>
      </c>
    </row>
    <row r="1669" spans="1:14" ht="12.75" hidden="1" outlineLevel="1" x14ac:dyDescent="0.2">
      <c r="A1669" s="23" t="str">
        <f>HYPERLINK("https://www.spark-marketing.ru/Card/Person/4686", "ГУ - ХАБАРОВСКОЕ РО ФОНДА СОЦИАЛЬНОГО СТРАХОВАНИЯ РОССИЙСКОЙ ФЕДЕРАЦИИ")</f>
        <v>ГУ - ХАБАРОВСКОЕ РО ФОНДА СОЦИАЛЬНОГО СТРАХОВАНИЯ РОССИЙСКОЙ ФЕДЕРАЦИИ</v>
      </c>
      <c r="B1669" s="24" t="s">
        <v>2695</v>
      </c>
      <c r="C1669" s="25">
        <v>65499.6</v>
      </c>
      <c r="D1669" s="22" t="s">
        <v>2696</v>
      </c>
      <c r="E1669" s="22" t="s">
        <v>103</v>
      </c>
      <c r="F1669" s="23" t="str">
        <f>HYPERLINK("https://www.spark-marketing.ru/Card/Lot/73319015", "Оказание услуг по техническому обслуживанию систем аудио и видеонаблюдения РО и филиала № 7 ГУ-ХРО ФСС РФ в 2019 году")</f>
        <v>Оказание услуг по техническому обслуживанию систем аудио и видеонаблюдения РО и филиала № 7 ГУ-ХРО ФСС РФ в 2019 году</v>
      </c>
      <c r="G1669" s="22" t="s">
        <v>138</v>
      </c>
      <c r="H1669" s="22" t="s">
        <v>255</v>
      </c>
      <c r="I1669" s="26">
        <v>43718.633333333302</v>
      </c>
      <c r="J1669" s="23" t="str">
        <f>HYPERLINK("https://www.spark-marketing.ru/Card/Person/190384", "ООО ""ТСК "" АЗИМУТ""")</f>
        <v>ООО "ТСК " АЗИМУТ"</v>
      </c>
      <c r="K1669" s="24" t="s">
        <v>2697</v>
      </c>
      <c r="L1669" s="22" t="s">
        <v>10</v>
      </c>
      <c r="M1669" s="25">
        <v>6300</v>
      </c>
      <c r="N1669" s="27">
        <v>0.90381620651118477</v>
      </c>
    </row>
    <row r="1670" spans="1:14" hidden="1" outlineLevel="1" x14ac:dyDescent="0.2">
      <c r="A1670" s="23" t="str">
        <f>HYPERLINK("https://www.spark-marketing.ru/Card/Person/4686", "ГУ - ХАБАРОВСКОЕ РО ФОНДА СОЦИАЛЬНОГО СТРАХОВАНИЯ РОССИЙСКОЙ ФЕДЕРАЦИИ")</f>
        <v>ГУ - ХАБАРОВСКОЕ РО ФОНДА СОЦИАЛЬНОГО СТРАХОВАНИЯ РОССИЙСКОЙ ФЕДЕРАЦИИ</v>
      </c>
      <c r="B1670" s="24" t="s">
        <v>2695</v>
      </c>
      <c r="C1670" s="25">
        <v>65499.6</v>
      </c>
      <c r="D1670" s="22" t="s">
        <v>2696</v>
      </c>
      <c r="E1670" s="22" t="s">
        <v>103</v>
      </c>
      <c r="F1670" s="23" t="str">
        <f>HYPERLINK("https://www.spark-marketing.ru/Card/Lot/73319015", "Оказание услуг по техническому обслуживанию систем аудио и видеонаблюдения РО и филиала № 7 ГУ-ХРО ФСС РФ в 2019 году")</f>
        <v>Оказание услуг по техническому обслуживанию систем аудио и видеонаблюдения РО и филиала № 7 ГУ-ХРО ФСС РФ в 2019 году</v>
      </c>
      <c r="G1670" s="22" t="s">
        <v>138</v>
      </c>
      <c r="H1670" s="22" t="s">
        <v>255</v>
      </c>
      <c r="I1670" s="26">
        <v>43718.633333333302</v>
      </c>
      <c r="J1670" s="23" t="str">
        <f>HYPERLINK("https://www.spark-marketing.ru/Card/Person/210916", "ООО ""ДВ-РЕГИОН""")</f>
        <v>ООО "ДВ-РЕГИОН"</v>
      </c>
      <c r="K1670" s="24" t="s">
        <v>2698</v>
      </c>
      <c r="L1670" s="28" t="s">
        <v>52</v>
      </c>
      <c r="M1670" s="25">
        <v>10000</v>
      </c>
      <c r="N1670" s="27">
        <v>0.84732731192251554</v>
      </c>
    </row>
    <row r="1671" spans="1:14" x14ac:dyDescent="0.15">
      <c r="A1671" s="23" t="str">
        <f>HYPERLINK("https://www.spark-marketing.ru/Card/Person/1015584", "КГКУ ДЕТСКИЙ ДОМ 14")</f>
        <v>КГКУ ДЕТСКИЙ ДОМ 14</v>
      </c>
      <c r="B1671" s="24" t="s">
        <v>2699</v>
      </c>
      <c r="C1671" s="25">
        <v>24404.880000000001</v>
      </c>
      <c r="D1671" s="22" t="s">
        <v>2700</v>
      </c>
      <c r="E1671" s="22" t="s">
        <v>68</v>
      </c>
      <c r="F1671" s="23" t="str">
        <f>HYPERLINK("https://www.spark-marketing.ru/Card/Lot/73316418", "охрана, путем реагирования группы задержания на срабатывание кнопки тревожной сигнализации, 1123 усл. ед")</f>
        <v>охрана, путем реагирования группы задержания на срабатывание кнопки тревожной сигнализации, 1123 усл. ед</v>
      </c>
      <c r="G1671" s="22" t="s">
        <v>138</v>
      </c>
      <c r="H1671" s="22" t="s">
        <v>2412</v>
      </c>
      <c r="I1671" s="26">
        <v>43718.231296296297</v>
      </c>
      <c r="J1671" s="28" t="s">
        <v>52</v>
      </c>
      <c r="K1671" s="28" t="s">
        <v>52</v>
      </c>
      <c r="L1671" s="28" t="s">
        <v>52</v>
      </c>
      <c r="M1671" s="28" t="s">
        <v>52</v>
      </c>
      <c r="N1671" s="28" t="s">
        <v>52</v>
      </c>
    </row>
    <row r="1672" spans="1:14" x14ac:dyDescent="0.15">
      <c r="A1672" s="23" t="str">
        <f>HYPERLINK("https://www.spark-marketing.ru/Card/Person/361793", "МЕЖРАЙОННАЯ ИФНС РОССИИ № 14 ПО НОВОСИБИРСКОЙ ОБЛАСТИ")</f>
        <v>МЕЖРАЙОННАЯ ИФНС РОССИИ № 14 ПО НОВОСИБИРСКОЙ ОБЛАСТИ</v>
      </c>
      <c r="B1672" s="24" t="s">
        <v>2701</v>
      </c>
      <c r="C1672" s="25">
        <v>16000</v>
      </c>
      <c r="D1672" s="22" t="s">
        <v>2702</v>
      </c>
      <c r="E1672" s="22" t="s">
        <v>103</v>
      </c>
      <c r="F1672" s="23" t="str">
        <f>HYPERLINK("https://www.spark-marketing.ru/Card/Lot/73315095", "Оказание услуг по техническому обслуживанию системы видеонаблюдения, 1 усл. ед")</f>
        <v>Оказание услуг по техническому обслуживанию системы видеонаблюдения, 1 усл. ед</v>
      </c>
      <c r="G1672" s="22" t="s">
        <v>209</v>
      </c>
      <c r="H1672" s="22" t="s">
        <v>2703</v>
      </c>
      <c r="I1672" s="26">
        <v>43718.192430555602</v>
      </c>
      <c r="J1672" s="28" t="s">
        <v>52</v>
      </c>
      <c r="K1672" s="28" t="s">
        <v>52</v>
      </c>
      <c r="L1672" s="28" t="s">
        <v>52</v>
      </c>
      <c r="M1672" s="28" t="s">
        <v>52</v>
      </c>
      <c r="N1672" s="28" t="s">
        <v>52</v>
      </c>
    </row>
    <row r="1673" spans="1:14" x14ac:dyDescent="0.15">
      <c r="A1673" s="23" t="str">
        <f>HYPERLINK("https://www.spark-marketing.ru/Card/Person/30759", "ПАО ""МТС""")</f>
        <v>ПАО "МТС"</v>
      </c>
      <c r="B1673" s="24" t="s">
        <v>1834</v>
      </c>
      <c r="C1673" s="28" t="s">
        <v>52</v>
      </c>
      <c r="D1673" s="28" t="s">
        <v>52</v>
      </c>
      <c r="E1673" s="22" t="s">
        <v>53</v>
      </c>
      <c r="F1673" s="23" t="str">
        <f>HYPERLINK("https://www.spark-marketing.ru/Card/Lot/73318623", "Уведомление о проведении открытого запроса предложений на право заключения договора на оказание услуг невооруженной физической охраны объекта филиала ПАО МТС в г. Чебоксары. (Торги № 101908-2)")</f>
        <v>Уведомление о проведении открытого запроса предложений на право заключения договора на оказание услуг невооруженной физической охраны объекта филиала ПАО МТС в г. Чебоксары. (Торги № 101908-2)</v>
      </c>
      <c r="G1673" s="22" t="s">
        <v>55</v>
      </c>
      <c r="H1673" s="22" t="s">
        <v>55</v>
      </c>
      <c r="I1673" s="26">
        <v>43718</v>
      </c>
      <c r="J1673" s="28" t="s">
        <v>52</v>
      </c>
      <c r="K1673" s="28" t="s">
        <v>52</v>
      </c>
      <c r="L1673" s="28" t="s">
        <v>52</v>
      </c>
      <c r="M1673" s="28" t="s">
        <v>52</v>
      </c>
      <c r="N1673" s="28" t="s">
        <v>52</v>
      </c>
    </row>
    <row r="1674" spans="1:14" x14ac:dyDescent="0.2">
      <c r="A1674" s="23" t="str">
        <f>HYPERLINK("https://www.spark-marketing.ru/Card/Person/665792", "АО ""ОМСКОБЛАВТОТРАНС""")</f>
        <v>АО "ОМСКОБЛАВТОТРАНС"</v>
      </c>
      <c r="B1674" s="24" t="s">
        <v>2704</v>
      </c>
      <c r="C1674" s="25">
        <v>1560000</v>
      </c>
      <c r="D1674" s="22" t="s">
        <v>2705</v>
      </c>
      <c r="E1674" s="22" t="s">
        <v>363</v>
      </c>
      <c r="F1674" s="23" t="str">
        <f>HYPERLINK("https://www.spark-marketing.ru/Card/Lot/73308043", "Оказание услуг по охране производственной базы АО ""Омскоблавтотранс"", расположенной по адресу: г. Омск, ул. 20 лет РККА,302")</f>
        <v>Оказание услуг по охране производственной базы АО "Омскоблавтотранс", расположенной по адресу: г. Омск, ул. 20 лет РККА,302</v>
      </c>
      <c r="G1674" s="22" t="s">
        <v>521</v>
      </c>
      <c r="H1674" s="22" t="s">
        <v>521</v>
      </c>
      <c r="I1674" s="26">
        <v>43717</v>
      </c>
      <c r="J1674" s="28" t="s">
        <v>52</v>
      </c>
      <c r="K1674" s="28" t="s">
        <v>52</v>
      </c>
      <c r="L1674" s="22" t="s">
        <v>10</v>
      </c>
      <c r="M1674" s="25">
        <v>1560000</v>
      </c>
      <c r="N1674" s="27">
        <v>0</v>
      </c>
    </row>
    <row r="1675" spans="1:14" x14ac:dyDescent="0.2">
      <c r="A1675" s="23" t="str">
        <f>HYPERLINK("https://www.spark-marketing.ru/Card/Person/244905", "ГПОУ ""КРАПТ""")</f>
        <v>ГПОУ "КРАПТ"</v>
      </c>
      <c r="B1675" s="24" t="s">
        <v>2706</v>
      </c>
      <c r="C1675" s="25">
        <v>299203</v>
      </c>
      <c r="D1675" s="22" t="s">
        <v>2707</v>
      </c>
      <c r="E1675" s="22" t="s">
        <v>49</v>
      </c>
      <c r="F1675" s="23" t="str">
        <f>HYPERLINK("https://www.spark-marketing.ru/Card/Lot/73314668", "Установка и модернизация системы видеонаблюдения в общежитии ГПОУ ""КРАПТ"" по адресу: Республика Коми, Сысольский район, с.Визинга, ул.Советская, д.15")</f>
        <v>Установка и модернизация системы видеонаблюдения в общежитии ГПОУ "КРАПТ" по адресу: Республика Коми, Сысольский район, с.Визинга, ул.Советская, д.15</v>
      </c>
      <c r="G1675" s="22" t="s">
        <v>538</v>
      </c>
      <c r="H1675" s="22" t="s">
        <v>2708</v>
      </c>
      <c r="I1675" s="26">
        <v>43717.653587963003</v>
      </c>
      <c r="J1675" s="28" t="s">
        <v>52</v>
      </c>
      <c r="K1675" s="28" t="s">
        <v>52</v>
      </c>
      <c r="L1675" s="22" t="s">
        <v>10</v>
      </c>
      <c r="M1675" s="25">
        <v>285000</v>
      </c>
      <c r="N1675" s="27">
        <v>4.7469443822421568E-2</v>
      </c>
    </row>
    <row r="1676" spans="1:14" x14ac:dyDescent="0.15">
      <c r="A1676" s="23" t="str">
        <f>HYPERLINK("https://www.spark-marketing.ru/Card/Person/1761832", "ОАО ""РЫНОЧНЫЙ КОМПЛЕКС ""ЦАРИЦЫНСКИЙ""")</f>
        <v>ОАО "РЫНОЧНЫЙ КОМПЛЕКС "ЦАРИЦЫНСКИЙ"</v>
      </c>
      <c r="B1676" s="24" t="s">
        <v>613</v>
      </c>
      <c r="C1676" s="25">
        <v>293832</v>
      </c>
      <c r="D1676" s="22" t="s">
        <v>2709</v>
      </c>
      <c r="E1676" s="22" t="s">
        <v>615</v>
      </c>
      <c r="F1676" s="23" t="str">
        <f>HYPERLINK("https://www.spark-marketing.ru/Card/Lot/73335711", "оказание услуг по охране объекта")</f>
        <v>оказание услуг по охране объекта</v>
      </c>
      <c r="G1676" s="22" t="s">
        <v>55</v>
      </c>
      <c r="H1676" s="22" t="s">
        <v>55</v>
      </c>
      <c r="I1676" s="26">
        <v>43718</v>
      </c>
      <c r="J1676" s="28" t="s">
        <v>52</v>
      </c>
      <c r="K1676" s="28" t="s">
        <v>52</v>
      </c>
      <c r="L1676" s="28" t="s">
        <v>52</v>
      </c>
      <c r="M1676" s="28" t="s">
        <v>52</v>
      </c>
      <c r="N1676" s="28" t="s">
        <v>52</v>
      </c>
    </row>
    <row r="1677" spans="1:14" x14ac:dyDescent="0.15">
      <c r="A1677" s="23" t="str">
        <f>HYPERLINK("https://www.spark-marketing.ru/Card/Person/2577242", "МАДОУ ""ДЕТСКИЙ САД ""ТЕРЕМОК"", ДЕТСКИЙ САД ""ТЕРЕМОК""")</f>
        <v>МАДОУ "ДЕТСКИЙ САД "ТЕРЕМОК", ДЕТСКИЙ САД "ТЕРЕМОК"</v>
      </c>
      <c r="B1677" s="24" t="s">
        <v>689</v>
      </c>
      <c r="C1677" s="25">
        <v>68293.33</v>
      </c>
      <c r="D1677" s="22" t="s">
        <v>2710</v>
      </c>
      <c r="E1677" s="22" t="s">
        <v>691</v>
      </c>
      <c r="F1677" s="23" t="str">
        <f>HYPERLINK("https://www.spark-marketing.ru/Card/Lot/73335558", "Установка (модернизация имеющегося) внутреннего и наружного видеонаблюдения")</f>
        <v>Установка (модернизация имеющегося) внутреннего и наружного видеонаблюдения</v>
      </c>
      <c r="G1677" s="22" t="s">
        <v>72</v>
      </c>
      <c r="H1677" s="22" t="s">
        <v>692</v>
      </c>
      <c r="I1677" s="26">
        <v>43718</v>
      </c>
      <c r="J1677" s="28" t="s">
        <v>52</v>
      </c>
      <c r="K1677" s="28" t="s">
        <v>52</v>
      </c>
      <c r="L1677" s="28" t="s">
        <v>52</v>
      </c>
      <c r="M1677" s="28" t="s">
        <v>52</v>
      </c>
      <c r="N1677" s="28" t="s">
        <v>52</v>
      </c>
    </row>
    <row r="1678" spans="1:14" x14ac:dyDescent="0.2">
      <c r="A1678" s="23" t="str">
        <f>HYPERLINK("https://www.spark-marketing.ru/Card/Person/1752941", "МАДОУ Д-С № 7 ""СЕМИЦВЕТИК""")</f>
        <v>МАДОУ Д-С № 7 "СЕМИЦВЕТИК"</v>
      </c>
      <c r="B1678" s="24" t="s">
        <v>2711</v>
      </c>
      <c r="C1678" s="25">
        <v>163154.35999999999</v>
      </c>
      <c r="D1678" s="22" t="s">
        <v>2712</v>
      </c>
      <c r="E1678" s="22" t="s">
        <v>1002</v>
      </c>
      <c r="F1678" s="23" t="str">
        <f>HYPERLINK("https://www.spark-marketing.ru/Card/Lot/73338091", "Выполнение работ по монтажу и техническому обслуживанию системы видеонаблюдения")</f>
        <v>Выполнение работ по монтажу и техническому обслуживанию системы видеонаблюдения</v>
      </c>
      <c r="G1678" s="22" t="s">
        <v>50</v>
      </c>
      <c r="H1678" s="22" t="s">
        <v>50</v>
      </c>
      <c r="I1678" s="26">
        <v>43718</v>
      </c>
      <c r="J1678" s="28" t="s">
        <v>52</v>
      </c>
      <c r="K1678" s="28" t="s">
        <v>52</v>
      </c>
      <c r="L1678" s="22" t="s">
        <v>10</v>
      </c>
      <c r="M1678" s="25">
        <v>150000</v>
      </c>
      <c r="N1678" s="27">
        <v>8.0625243481081355E-2</v>
      </c>
    </row>
    <row r="1679" spans="1:14" x14ac:dyDescent="0.15">
      <c r="A1679" s="23" t="str">
        <f>HYPERLINK("https://www.spark-marketing.ru/Card/Person/80330", "ГБПОУ МО ""ЛУХОВИЦКИЙ АГРАРНО-ПРОМЫШЛЕННЫЙ ТЕХНИКУМ""")</f>
        <v>ГБПОУ МО "ЛУХОВИЦКИЙ АГРАРНО-ПРОМЫШЛЕННЫЙ ТЕХНИКУМ"</v>
      </c>
      <c r="B1679" s="24" t="s">
        <v>2713</v>
      </c>
      <c r="C1679" s="25">
        <v>700000</v>
      </c>
      <c r="D1679" s="22" t="s">
        <v>2714</v>
      </c>
      <c r="E1679" s="22" t="s">
        <v>208</v>
      </c>
      <c r="F1679" s="23" t="str">
        <f>HYPERLINK("https://www.spark-marketing.ru/Card/Lot/73311852", "Установка систем контроля управления доступом")</f>
        <v>Установка систем контроля управления доступом</v>
      </c>
      <c r="G1679" s="22" t="s">
        <v>50</v>
      </c>
      <c r="H1679" s="22" t="s">
        <v>195</v>
      </c>
      <c r="I1679" s="26">
        <v>43717.722222222197</v>
      </c>
      <c r="J1679" s="28" t="s">
        <v>52</v>
      </c>
      <c r="K1679" s="28" t="s">
        <v>52</v>
      </c>
      <c r="L1679" s="28" t="s">
        <v>52</v>
      </c>
      <c r="M1679" s="28" t="s">
        <v>52</v>
      </c>
      <c r="N1679" s="28" t="s">
        <v>52</v>
      </c>
    </row>
    <row r="1680" spans="1:14" hidden="1" outlineLevel="1" x14ac:dyDescent="0.2">
      <c r="A1680" s="23" t="str">
        <f>HYPERLINK("https://www.spark-marketing.ru/Card/Person/80330", "ГБПОУ МО ""ЛУХОВИЦКИЙ АГРАРНО-ПРОМЫШЛЕННЫЙ ТЕХНИКУМ""")</f>
        <v>ГБПОУ МО "ЛУХОВИЦКИЙ АГРАРНО-ПРОМЫШЛЕННЫЙ ТЕХНИКУМ"</v>
      </c>
      <c r="B1680" s="24" t="s">
        <v>2713</v>
      </c>
      <c r="C1680" s="25">
        <v>700000</v>
      </c>
      <c r="D1680" s="22" t="s">
        <v>2714</v>
      </c>
      <c r="E1680" s="22" t="s">
        <v>208</v>
      </c>
      <c r="F1680" s="23" t="str">
        <f>HYPERLINK("https://www.spark-marketing.ru/Card/Lot/73311852", "Установка систем контроля управления доступом")</f>
        <v>Установка систем контроля управления доступом</v>
      </c>
      <c r="G1680" s="22" t="s">
        <v>50</v>
      </c>
      <c r="H1680" s="22" t="s">
        <v>195</v>
      </c>
      <c r="I1680" s="26">
        <v>43717.722222222197</v>
      </c>
      <c r="J1680" s="23" t="str">
        <f>HYPERLINK("https://www.spark-marketing.ru/Card/Person/6528960", "ООО ""СК КВАДРАТ""")</f>
        <v>ООО "СК КВАДРАТ"</v>
      </c>
      <c r="K1680" s="24" t="s">
        <v>2715</v>
      </c>
      <c r="L1680" s="28" t="s">
        <v>52</v>
      </c>
      <c r="M1680" s="25">
        <v>636500</v>
      </c>
      <c r="N1680" s="27">
        <v>9.071428571428572E-2</v>
      </c>
    </row>
    <row r="1681" spans="1:14" ht="12.75" hidden="1" outlineLevel="1" x14ac:dyDescent="0.2">
      <c r="A1681" s="23" t="str">
        <f>HYPERLINK("https://www.spark-marketing.ru/Card/Person/80330", "ГБПОУ МО ""ЛУХОВИЦКИЙ АГРАРНО-ПРОМЫШЛЕННЫЙ ТЕХНИКУМ""")</f>
        <v>ГБПОУ МО "ЛУХОВИЦКИЙ АГРАРНО-ПРОМЫШЛЕННЫЙ ТЕХНИКУМ"</v>
      </c>
      <c r="B1681" s="24" t="s">
        <v>2713</v>
      </c>
      <c r="C1681" s="25">
        <v>700000</v>
      </c>
      <c r="D1681" s="22" t="s">
        <v>2714</v>
      </c>
      <c r="E1681" s="22" t="s">
        <v>208</v>
      </c>
      <c r="F1681" s="23" t="str">
        <f>HYPERLINK("https://www.spark-marketing.ru/Card/Lot/73311852", "Установка систем контроля управления доступом")</f>
        <v>Установка систем контроля управления доступом</v>
      </c>
      <c r="G1681" s="22" t="s">
        <v>50</v>
      </c>
      <c r="H1681" s="22" t="s">
        <v>195</v>
      </c>
      <c r="I1681" s="26">
        <v>43717.722222222197</v>
      </c>
      <c r="J1681" s="23" t="str">
        <f>HYPERLINK("https://www.spark-marketing.ru/Card/Person/4855697", "Перебейносов Алексей Игоревич")</f>
        <v>Перебейносов Алексей Игоревич</v>
      </c>
      <c r="K1681" s="24" t="s">
        <v>2716</v>
      </c>
      <c r="L1681" s="22" t="s">
        <v>10</v>
      </c>
      <c r="M1681" s="25">
        <v>625000</v>
      </c>
      <c r="N1681" s="27">
        <v>0.10714285714285714</v>
      </c>
    </row>
    <row r="1682" spans="1:14" x14ac:dyDescent="0.15">
      <c r="A1682" s="23" t="str">
        <f>HYPERLINK("https://www.spark-marketing.ru/Card/Person/4346781", "ПАО ""МСЗ""")</f>
        <v>ПАО "МСЗ"</v>
      </c>
      <c r="B1682" s="24" t="s">
        <v>744</v>
      </c>
      <c r="C1682" s="25">
        <v>0</v>
      </c>
      <c r="D1682" s="22" t="s">
        <v>2717</v>
      </c>
      <c r="E1682" s="22" t="s">
        <v>53</v>
      </c>
      <c r="F1682" s="23" t="str">
        <f>HYPERLINK("https://www.spark-marketing.ru/Card/Lot/73312406", "мониторинг цен в электронной форме на Услуги по охране имущества, принадлежащего ПАО «МСЗ», находящегося по адресу: г. Электросталь Московской области ул.Лесная, д.4")</f>
        <v>мониторинг цен в электронной форме на Услуги по охране имущества, принадлежащего ПАО «МСЗ», находящегося по адресу: г. Электросталь Московской области ул.Лесная, д.4</v>
      </c>
      <c r="G1682" s="22" t="s">
        <v>50</v>
      </c>
      <c r="H1682" s="22" t="s">
        <v>747</v>
      </c>
      <c r="I1682" s="26">
        <v>43717.695474537002</v>
      </c>
      <c r="J1682" s="28" t="s">
        <v>52</v>
      </c>
      <c r="K1682" s="28" t="s">
        <v>52</v>
      </c>
      <c r="L1682" s="28" t="s">
        <v>52</v>
      </c>
      <c r="M1682" s="28" t="s">
        <v>52</v>
      </c>
      <c r="N1682" s="28" t="s">
        <v>52</v>
      </c>
    </row>
    <row r="1683" spans="1:14" x14ac:dyDescent="0.15">
      <c r="A1683" s="23" t="str">
        <f>HYPERLINK("https://www.spark-marketing.ru/Card/Person/4355859", "ООО ""ОМЗ-СПЕЦСТАЛЬ""")</f>
        <v>ООО "ОМЗ-СПЕЦСТАЛЬ"</v>
      </c>
      <c r="B1683" s="24" t="s">
        <v>2718</v>
      </c>
      <c r="C1683" s="28" t="s">
        <v>52</v>
      </c>
      <c r="D1683" s="22" t="s">
        <v>2719</v>
      </c>
      <c r="E1683" s="22" t="s">
        <v>2720</v>
      </c>
      <c r="F1683" s="23" t="str">
        <f>HYPERLINK("https://www.spark-marketing.ru/Card/Lot/73306133", "Камера без объектива FK-CF-3713-2-78-IQ, Объектив FRO-3830-38-78 - HG-HT-A, Плата KSW-RSXXX-BUS 85299097 Pieper, Кабель NMK-13-30-USB 85444290 Pieper")</f>
        <v>Камера без объектива FK-CF-3713-2-78-IQ, Объектив FRO-3830-38-78 - HG-HT-A, Плата KSW-RSXXX-BUS 85299097 Pieper, Кабель NMK-13-30-USB 85444290 Pieper</v>
      </c>
      <c r="G1683" s="22" t="s">
        <v>89</v>
      </c>
      <c r="H1683" s="22" t="s">
        <v>89</v>
      </c>
      <c r="I1683" s="26">
        <v>43717.675000000003</v>
      </c>
      <c r="J1683" s="28" t="s">
        <v>52</v>
      </c>
      <c r="K1683" s="28" t="s">
        <v>52</v>
      </c>
      <c r="L1683" s="28" t="s">
        <v>52</v>
      </c>
      <c r="M1683" s="28" t="s">
        <v>52</v>
      </c>
      <c r="N1683" s="28" t="s">
        <v>52</v>
      </c>
    </row>
    <row r="1684" spans="1:14" x14ac:dyDescent="0.15">
      <c r="A1684" s="23" t="str">
        <f t="shared" ref="A1684:A1691" si="63">HYPERLINK("https://www.spark-marketing.ru/Card/Person/1023368", "МОУ СОШ №26")</f>
        <v>МОУ СОШ №26</v>
      </c>
      <c r="B1684" s="24" t="s">
        <v>2721</v>
      </c>
      <c r="C1684" s="25">
        <v>1233178</v>
      </c>
      <c r="D1684" s="22" t="s">
        <v>2722</v>
      </c>
      <c r="E1684" s="22" t="s">
        <v>84</v>
      </c>
      <c r="F1684" s="23" t="str">
        <f t="shared" ref="F1684:F1691" si="64">HYPERLINK("https://www.spark-marketing.ru/Card/Lot/73312243", "Установка систем видеонаблюдения")</f>
        <v>Установка систем видеонаблюдения</v>
      </c>
      <c r="G1684" s="22" t="s">
        <v>50</v>
      </c>
      <c r="H1684" s="22" t="s">
        <v>104</v>
      </c>
      <c r="I1684" s="26">
        <v>43717.684027777803</v>
      </c>
      <c r="J1684" s="28" t="s">
        <v>52</v>
      </c>
      <c r="K1684" s="28" t="s">
        <v>52</v>
      </c>
      <c r="L1684" s="28" t="s">
        <v>52</v>
      </c>
      <c r="M1684" s="28" t="s">
        <v>52</v>
      </c>
      <c r="N1684" s="28" t="s">
        <v>52</v>
      </c>
    </row>
    <row r="1685" spans="1:14" hidden="1" outlineLevel="1" x14ac:dyDescent="0.2">
      <c r="A1685" s="23" t="str">
        <f t="shared" si="63"/>
        <v>МОУ СОШ №26</v>
      </c>
      <c r="B1685" s="24" t="s">
        <v>2721</v>
      </c>
      <c r="C1685" s="25">
        <v>1233178</v>
      </c>
      <c r="D1685" s="22" t="s">
        <v>2722</v>
      </c>
      <c r="E1685" s="22" t="s">
        <v>84</v>
      </c>
      <c r="F1685" s="23" t="str">
        <f t="shared" si="64"/>
        <v>Установка систем видеонаблюдения</v>
      </c>
      <c r="G1685" s="22" t="s">
        <v>50</v>
      </c>
      <c r="H1685" s="22" t="s">
        <v>104</v>
      </c>
      <c r="I1685" s="26">
        <v>43717.684027777803</v>
      </c>
      <c r="J1685" s="23" t="str">
        <f>HYPERLINK("https://www.spark-marketing.ru/Card/Person/803106", "Лунегов Алексей Евгеньевич")</f>
        <v>Лунегов Алексей Евгеньевич</v>
      </c>
      <c r="K1685" s="24" t="s">
        <v>2506</v>
      </c>
      <c r="L1685" s="28" t="s">
        <v>52</v>
      </c>
      <c r="M1685" s="25">
        <v>844249.39</v>
      </c>
      <c r="N1685" s="27">
        <v>0.31538724336632667</v>
      </c>
    </row>
    <row r="1686" spans="1:14" ht="12.75" hidden="1" outlineLevel="1" x14ac:dyDescent="0.2">
      <c r="A1686" s="23" t="str">
        <f t="shared" si="63"/>
        <v>МОУ СОШ №26</v>
      </c>
      <c r="B1686" s="24" t="s">
        <v>2721</v>
      </c>
      <c r="C1686" s="25">
        <v>1233178</v>
      </c>
      <c r="D1686" s="22" t="s">
        <v>2722</v>
      </c>
      <c r="E1686" s="22" t="s">
        <v>84</v>
      </c>
      <c r="F1686" s="23" t="str">
        <f t="shared" si="64"/>
        <v>Установка систем видеонаблюдения</v>
      </c>
      <c r="G1686" s="22" t="s">
        <v>50</v>
      </c>
      <c r="H1686" s="22" t="s">
        <v>104</v>
      </c>
      <c r="I1686" s="26">
        <v>43717.684027777803</v>
      </c>
      <c r="J1686" s="23" t="str">
        <f>HYPERLINK("https://www.spark-marketing.ru/Card/Person/6616867", "ООО ""РАНПРОФПРОЕКТ""")</f>
        <v>ООО "РАНПРОФПРОЕКТ"</v>
      </c>
      <c r="K1686" s="24" t="s">
        <v>2723</v>
      </c>
      <c r="L1686" s="22" t="s">
        <v>10</v>
      </c>
      <c r="M1686" s="25">
        <v>813419.94</v>
      </c>
      <c r="N1686" s="27">
        <v>0.3403872433663267</v>
      </c>
    </row>
    <row r="1687" spans="1:14" hidden="1" outlineLevel="1" x14ac:dyDescent="0.2">
      <c r="A1687" s="23" t="str">
        <f t="shared" si="63"/>
        <v>МОУ СОШ №26</v>
      </c>
      <c r="B1687" s="24" t="s">
        <v>2721</v>
      </c>
      <c r="C1687" s="25">
        <v>1233178</v>
      </c>
      <c r="D1687" s="22" t="s">
        <v>2722</v>
      </c>
      <c r="E1687" s="22" t="s">
        <v>84</v>
      </c>
      <c r="F1687" s="23" t="str">
        <f t="shared" si="64"/>
        <v>Установка систем видеонаблюдения</v>
      </c>
      <c r="G1687" s="22" t="s">
        <v>50</v>
      </c>
      <c r="H1687" s="22" t="s">
        <v>104</v>
      </c>
      <c r="I1687" s="26">
        <v>43717.684027777803</v>
      </c>
      <c r="J1687" s="23" t="str">
        <f>HYPERLINK("https://www.spark-marketing.ru/Card/Person/448027", "Порфирьев Сергей Михайлович")</f>
        <v>Порфирьев Сергей Михайлович</v>
      </c>
      <c r="K1687" s="24" t="s">
        <v>2724</v>
      </c>
      <c r="L1687" s="28" t="s">
        <v>52</v>
      </c>
      <c r="M1687" s="25">
        <v>905908.29</v>
      </c>
      <c r="N1687" s="27">
        <v>0.26538724336632669</v>
      </c>
    </row>
    <row r="1688" spans="1:14" hidden="1" outlineLevel="1" x14ac:dyDescent="0.2">
      <c r="A1688" s="23" t="str">
        <f t="shared" si="63"/>
        <v>МОУ СОШ №26</v>
      </c>
      <c r="B1688" s="24" t="s">
        <v>2721</v>
      </c>
      <c r="C1688" s="25">
        <v>1233178</v>
      </c>
      <c r="D1688" s="22" t="s">
        <v>2722</v>
      </c>
      <c r="E1688" s="22" t="s">
        <v>84</v>
      </c>
      <c r="F1688" s="23" t="str">
        <f t="shared" si="64"/>
        <v>Установка систем видеонаблюдения</v>
      </c>
      <c r="G1688" s="22" t="s">
        <v>50</v>
      </c>
      <c r="H1688" s="22" t="s">
        <v>104</v>
      </c>
      <c r="I1688" s="26">
        <v>43717.684027777803</v>
      </c>
      <c r="J1688" s="23" t="str">
        <f>HYPERLINK("https://www.spark-marketing.ru/Card/Person/4591307", "Гончарова Евгения Геннадьевна")</f>
        <v>Гончарова Евгения Геннадьевна</v>
      </c>
      <c r="K1688" s="24" t="s">
        <v>2725</v>
      </c>
      <c r="L1688" s="28" t="s">
        <v>52</v>
      </c>
      <c r="M1688" s="25">
        <v>1133178</v>
      </c>
      <c r="N1688" s="27">
        <v>8.1091294200837188E-2</v>
      </c>
    </row>
    <row r="1689" spans="1:14" hidden="1" outlineLevel="1" x14ac:dyDescent="0.2">
      <c r="A1689" s="23" t="str">
        <f t="shared" si="63"/>
        <v>МОУ СОШ №26</v>
      </c>
      <c r="B1689" s="24" t="s">
        <v>2721</v>
      </c>
      <c r="C1689" s="25">
        <v>1233178</v>
      </c>
      <c r="D1689" s="22" t="s">
        <v>2722</v>
      </c>
      <c r="E1689" s="22" t="s">
        <v>84</v>
      </c>
      <c r="F1689" s="23" t="str">
        <f t="shared" si="64"/>
        <v>Установка систем видеонаблюдения</v>
      </c>
      <c r="G1689" s="22" t="s">
        <v>50</v>
      </c>
      <c r="H1689" s="22" t="s">
        <v>104</v>
      </c>
      <c r="I1689" s="26">
        <v>43717.684027777803</v>
      </c>
      <c r="J1689" s="23" t="str">
        <f>HYPERLINK("https://www.spark-marketing.ru/Card/Person/5902404", "Мишкин Сергей Николаевич")</f>
        <v>Мишкин Сергей Николаевич</v>
      </c>
      <c r="K1689" s="24" t="s">
        <v>2726</v>
      </c>
      <c r="L1689" s="28" t="s">
        <v>52</v>
      </c>
      <c r="M1689" s="25">
        <v>1133000</v>
      </c>
      <c r="N1689" s="27">
        <v>8.1235636704514683E-2</v>
      </c>
    </row>
    <row r="1690" spans="1:14" hidden="1" outlineLevel="1" x14ac:dyDescent="0.2">
      <c r="A1690" s="23" t="str">
        <f t="shared" si="63"/>
        <v>МОУ СОШ №26</v>
      </c>
      <c r="B1690" s="24" t="s">
        <v>2721</v>
      </c>
      <c r="C1690" s="25">
        <v>1233178</v>
      </c>
      <c r="D1690" s="22" t="s">
        <v>2722</v>
      </c>
      <c r="E1690" s="22" t="s">
        <v>84</v>
      </c>
      <c r="F1690" s="23" t="str">
        <f t="shared" si="64"/>
        <v>Установка систем видеонаблюдения</v>
      </c>
      <c r="G1690" s="22" t="s">
        <v>50</v>
      </c>
      <c r="H1690" s="22" t="s">
        <v>104</v>
      </c>
      <c r="I1690" s="26">
        <v>43717.684027777803</v>
      </c>
      <c r="J1690" s="23" t="str">
        <f>HYPERLINK("https://www.spark-marketing.ru/Card/Person/705225", "ООО ""СПЕЦМОНТАЖ""")</f>
        <v>ООО "СПЕЦМОНТАЖ"</v>
      </c>
      <c r="K1690" s="24" t="s">
        <v>2727</v>
      </c>
      <c r="L1690" s="28" t="s">
        <v>52</v>
      </c>
      <c r="M1690" s="25">
        <v>1004562.53</v>
      </c>
      <c r="N1690" s="27">
        <v>0.18538724336632667</v>
      </c>
    </row>
    <row r="1691" spans="1:14" hidden="1" outlineLevel="1" x14ac:dyDescent="0.2">
      <c r="A1691" s="23" t="str">
        <f t="shared" si="63"/>
        <v>МОУ СОШ №26</v>
      </c>
      <c r="B1691" s="24" t="s">
        <v>2721</v>
      </c>
      <c r="C1691" s="25">
        <v>1233178</v>
      </c>
      <c r="D1691" s="22" t="s">
        <v>2722</v>
      </c>
      <c r="E1691" s="22" t="s">
        <v>84</v>
      </c>
      <c r="F1691" s="23" t="str">
        <f t="shared" si="64"/>
        <v>Установка систем видеонаблюдения</v>
      </c>
      <c r="G1691" s="22" t="s">
        <v>50</v>
      </c>
      <c r="H1691" s="22" t="s">
        <v>104</v>
      </c>
      <c r="I1691" s="26">
        <v>43717.684027777803</v>
      </c>
      <c r="J1691" s="23" t="str">
        <f>HYPERLINK("https://www.spark-marketing.ru/Card/Person/6576832", "ООО ""САРС-СБ""")</f>
        <v>ООО "САРС-СБ"</v>
      </c>
      <c r="K1691" s="24" t="s">
        <v>2728</v>
      </c>
      <c r="L1691" s="28" t="s">
        <v>52</v>
      </c>
      <c r="M1691" s="25">
        <v>819585.83</v>
      </c>
      <c r="N1691" s="27">
        <v>0.33538724336632669</v>
      </c>
    </row>
    <row r="1692" spans="1:14" x14ac:dyDescent="0.15">
      <c r="A1692" s="23" t="str">
        <f>HYPERLINK("https://www.spark-marketing.ru/Card/Person/137244", "УПРАВЛЕНИЕ РОСРЕЕСТРА ПО СМОЛЕНСКОЙ ОБЛАСТИ")</f>
        <v>УПРАВЛЕНИЕ РОСРЕЕСТРА ПО СМОЛЕНСКОЙ ОБЛАСТИ</v>
      </c>
      <c r="B1692" s="24" t="s">
        <v>2729</v>
      </c>
      <c r="C1692" s="25">
        <v>183684.93</v>
      </c>
      <c r="D1692" s="22" t="s">
        <v>2730</v>
      </c>
      <c r="E1692" s="22" t="s">
        <v>68</v>
      </c>
      <c r="F1692" s="23" t="str">
        <f>HYPERLINK("https://www.spark-marketing.ru/Card/Lot/73309388", "оказание услуг по охране имущества при помощи пульта централизованного наблюдения на объектах Управления Росреестра по Смоленской области")</f>
        <v>оказание услуг по охране имущества при помощи пульта централизованного наблюдения на объектах Управления Росреестра по Смоленской области</v>
      </c>
      <c r="G1692" s="22" t="s">
        <v>956</v>
      </c>
      <c r="H1692" s="22" t="s">
        <v>956</v>
      </c>
      <c r="I1692" s="26">
        <v>43717.644444444399</v>
      </c>
      <c r="J1692" s="23" t="str">
        <f>HYPERLINK("https://www.spark-marketing.ru/Card/Person/542642", "ФГКУ ""УВО ВНГ РОССИИ ПО СМОЛЕНСКОЙ ОБЛАСТИ""")</f>
        <v>ФГКУ "УВО ВНГ РОССИИ ПО СМОЛЕНСКОЙ ОБЛАСТИ"</v>
      </c>
      <c r="K1692" s="24" t="s">
        <v>2731</v>
      </c>
      <c r="L1692" s="22" t="s">
        <v>10</v>
      </c>
      <c r="M1692" s="28" t="s">
        <v>52</v>
      </c>
      <c r="N1692" s="28" t="s">
        <v>52</v>
      </c>
    </row>
    <row r="1693" spans="1:14" x14ac:dyDescent="0.15">
      <c r="A1693" s="23" t="str">
        <f>HYPERLINK("https://www.spark-marketing.ru/Card/Person/104693", "МКУ ""МФЦ В Г. СТАВРОПОЛЕ""")</f>
        <v>МКУ "МФЦ В Г. СТАВРОПОЛЕ"</v>
      </c>
      <c r="B1693" s="24" t="s">
        <v>2732</v>
      </c>
      <c r="C1693" s="25">
        <v>983960.67</v>
      </c>
      <c r="D1693" s="22" t="s">
        <v>2733</v>
      </c>
      <c r="E1693" s="22" t="s">
        <v>84</v>
      </c>
      <c r="F1693" s="23" t="str">
        <f>HYPERLINK("https://www.spark-marketing.ru/Card/Lot/73312026", "Работы по установке систем видеонаблюдения")</f>
        <v>Работы по установке систем видеонаблюдения</v>
      </c>
      <c r="G1693" s="22" t="s">
        <v>258</v>
      </c>
      <c r="H1693" s="22" t="s">
        <v>258</v>
      </c>
      <c r="I1693" s="26">
        <v>43717.652777777803</v>
      </c>
      <c r="J1693" s="28" t="s">
        <v>52</v>
      </c>
      <c r="K1693" s="28" t="s">
        <v>52</v>
      </c>
      <c r="L1693" s="28" t="s">
        <v>52</v>
      </c>
      <c r="M1693" s="28" t="s">
        <v>52</v>
      </c>
      <c r="N1693" s="28" t="s">
        <v>52</v>
      </c>
    </row>
    <row r="1694" spans="1:14" hidden="1" outlineLevel="1" x14ac:dyDescent="0.2">
      <c r="A1694" s="23" t="str">
        <f>HYPERLINK("https://www.spark-marketing.ru/Card/Person/104693", "МКУ ""МФЦ В Г. СТАВРОПОЛЕ""")</f>
        <v>МКУ "МФЦ В Г. СТАВРОПОЛЕ"</v>
      </c>
      <c r="B1694" s="24" t="s">
        <v>2732</v>
      </c>
      <c r="C1694" s="25">
        <v>983960.67</v>
      </c>
      <c r="D1694" s="22" t="s">
        <v>2733</v>
      </c>
      <c r="E1694" s="22" t="s">
        <v>84</v>
      </c>
      <c r="F1694" s="23" t="str">
        <f>HYPERLINK("https://www.spark-marketing.ru/Card/Lot/73312026", "Работы по установке систем видеонаблюдения")</f>
        <v>Работы по установке систем видеонаблюдения</v>
      </c>
      <c r="G1694" s="22" t="s">
        <v>258</v>
      </c>
      <c r="H1694" s="22" t="s">
        <v>258</v>
      </c>
      <c r="I1694" s="26">
        <v>43717.652777777803</v>
      </c>
      <c r="J1694" s="23" t="str">
        <f>HYPERLINK("https://www.spark-marketing.ru/Card/Person/4393479", "Соколов Александр Игоревич")</f>
        <v>Соколов Александр Игоревич</v>
      </c>
      <c r="K1694" s="24" t="s">
        <v>2734</v>
      </c>
      <c r="L1694" s="28" t="s">
        <v>52</v>
      </c>
      <c r="M1694" s="25">
        <v>880644.87</v>
      </c>
      <c r="N1694" s="27">
        <v>0.10499992850323987</v>
      </c>
    </row>
    <row r="1695" spans="1:14" ht="12.75" hidden="1" outlineLevel="1" x14ac:dyDescent="0.2">
      <c r="A1695" s="23" t="str">
        <f>HYPERLINK("https://www.spark-marketing.ru/Card/Person/104693", "МКУ ""МФЦ В Г. СТАВРОПОЛЕ""")</f>
        <v>МКУ "МФЦ В Г. СТАВРОПОЛЕ"</v>
      </c>
      <c r="B1695" s="24" t="s">
        <v>2732</v>
      </c>
      <c r="C1695" s="25">
        <v>983960.67</v>
      </c>
      <c r="D1695" s="22" t="s">
        <v>2733</v>
      </c>
      <c r="E1695" s="22" t="s">
        <v>84</v>
      </c>
      <c r="F1695" s="23" t="str">
        <f>HYPERLINK("https://www.spark-marketing.ru/Card/Lot/73312026", "Работы по установке систем видеонаблюдения")</f>
        <v>Работы по установке систем видеонаблюдения</v>
      </c>
      <c r="G1695" s="22" t="s">
        <v>258</v>
      </c>
      <c r="H1695" s="22" t="s">
        <v>258</v>
      </c>
      <c r="I1695" s="26">
        <v>43717.652777777803</v>
      </c>
      <c r="J1695" s="23" t="str">
        <f>HYPERLINK("https://www.spark-marketing.ru/Card/Person/470476", "Пятенко Андрей Анатольевич")</f>
        <v>Пятенко Андрей Анатольевич</v>
      </c>
      <c r="K1695" s="24" t="s">
        <v>2735</v>
      </c>
      <c r="L1695" s="22" t="s">
        <v>10</v>
      </c>
      <c r="M1695" s="25">
        <v>846206.27</v>
      </c>
      <c r="N1695" s="27">
        <v>0.1399999046709865</v>
      </c>
    </row>
    <row r="1696" spans="1:14" hidden="1" outlineLevel="1" x14ac:dyDescent="0.2">
      <c r="A1696" s="23" t="str">
        <f>HYPERLINK("https://www.spark-marketing.ru/Card/Person/104693", "МКУ ""МФЦ В Г. СТАВРОПОЛЕ""")</f>
        <v>МКУ "МФЦ В Г. СТАВРОПОЛЕ"</v>
      </c>
      <c r="B1696" s="24" t="s">
        <v>2732</v>
      </c>
      <c r="C1696" s="25">
        <v>983960.67</v>
      </c>
      <c r="D1696" s="22" t="s">
        <v>2733</v>
      </c>
      <c r="E1696" s="22" t="s">
        <v>84</v>
      </c>
      <c r="F1696" s="23" t="str">
        <f>HYPERLINK("https://www.spark-marketing.ru/Card/Lot/73312026", "Работы по установке систем видеонаблюдения")</f>
        <v>Работы по установке систем видеонаблюдения</v>
      </c>
      <c r="G1696" s="22" t="s">
        <v>258</v>
      </c>
      <c r="H1696" s="22" t="s">
        <v>258</v>
      </c>
      <c r="I1696" s="26">
        <v>43717.652777777803</v>
      </c>
      <c r="J1696" s="23" t="str">
        <f>HYPERLINK("https://www.spark-marketing.ru/Card/Person/165131", "Кочубей Олег Михайлович")</f>
        <v>Кочубей Олег Михайлович</v>
      </c>
      <c r="K1696" s="24" t="s">
        <v>1673</v>
      </c>
      <c r="L1696" s="28" t="s">
        <v>52</v>
      </c>
      <c r="M1696" s="25">
        <v>851126.07</v>
      </c>
      <c r="N1696" s="27">
        <v>0.13499990807559412</v>
      </c>
    </row>
    <row r="1697" spans="1:14" x14ac:dyDescent="0.15">
      <c r="A1697" s="23" t="str">
        <f>HYPERLINK("https://www.spark-marketing.ru/Card/Person/57896", "ГБПОУ СО ""УРГЗК""")</f>
        <v>ГБПОУ СО "УРГЗК"</v>
      </c>
      <c r="B1697" s="24" t="s">
        <v>410</v>
      </c>
      <c r="C1697" s="25">
        <v>1343870.45</v>
      </c>
      <c r="D1697" s="22" t="s">
        <v>2736</v>
      </c>
      <c r="E1697" s="22" t="s">
        <v>84</v>
      </c>
      <c r="F1697" s="23" t="str">
        <f>HYPERLINK("https://www.spark-marketing.ru/Card/Lot/73305954", "Выполнение работ по установке системы видеонаблюдения, турникетов и оборудования системы электронных пропусков с использованием материалов и оборудования подрядчика")</f>
        <v>Выполнение работ по установке системы видеонаблюдения, турникетов и оборудования системы электронных пропусков с использованием материалов и оборудования подрядчика</v>
      </c>
      <c r="G1697" s="22" t="s">
        <v>72</v>
      </c>
      <c r="H1697" s="22" t="s">
        <v>412</v>
      </c>
      <c r="I1697" s="26">
        <v>43717.602083333302</v>
      </c>
      <c r="J1697" s="28" t="s">
        <v>52</v>
      </c>
      <c r="K1697" s="28" t="s">
        <v>52</v>
      </c>
      <c r="L1697" s="28" t="s">
        <v>52</v>
      </c>
      <c r="M1697" s="28" t="s">
        <v>52</v>
      </c>
      <c r="N1697" s="28" t="s">
        <v>52</v>
      </c>
    </row>
    <row r="1698" spans="1:14" x14ac:dyDescent="0.15">
      <c r="A1698" s="23" t="str">
        <f>HYPERLINK("https://www.spark-marketing.ru/Card/Person/372109", "ОТДЕЛ МВД РОССИИ ПО МОШКОВСКОМУ РАЙОНУ")</f>
        <v>ОТДЕЛ МВД РОССИИ ПО МОШКОВСКОМУ РАЙОНУ</v>
      </c>
      <c r="B1698" s="24" t="s">
        <v>2737</v>
      </c>
      <c r="C1698" s="25">
        <v>65304.68</v>
      </c>
      <c r="D1698" s="22" t="s">
        <v>2738</v>
      </c>
      <c r="E1698" s="22" t="s">
        <v>59</v>
      </c>
      <c r="F1698" s="23" t="str">
        <f>HYPERLINK("https://www.spark-marketing.ru/Card/Lot/73302101", "Работ по установке комплекса охранной сигнализации, 1 шт")</f>
        <v>Работ по установке комплекса охранной сигнализации, 1 шт</v>
      </c>
      <c r="G1698" s="22" t="s">
        <v>209</v>
      </c>
      <c r="H1698" s="22" t="s">
        <v>2739</v>
      </c>
      <c r="I1698" s="26">
        <v>43717.608958333301</v>
      </c>
      <c r="J1698" s="28" t="s">
        <v>52</v>
      </c>
      <c r="K1698" s="28" t="s">
        <v>52</v>
      </c>
      <c r="L1698" s="28" t="s">
        <v>52</v>
      </c>
      <c r="M1698" s="28" t="s">
        <v>52</v>
      </c>
      <c r="N1698" s="28" t="s">
        <v>52</v>
      </c>
    </row>
    <row r="1699" spans="1:14" x14ac:dyDescent="0.15">
      <c r="A1699" s="23" t="str">
        <f>HYPERLINK("https://www.spark-marketing.ru/Card/Person/535388", "МЕЖРАЙОННАЯ ИФНС РОССИИ № 4 ПО УЛЬЯНОВСКОЙ ОБЛАСТИ")</f>
        <v>МЕЖРАЙОННАЯ ИФНС РОССИИ № 4 ПО УЛЬЯНОВСКОЙ ОБЛАСТИ</v>
      </c>
      <c r="B1699" s="24" t="s">
        <v>2665</v>
      </c>
      <c r="C1699" s="25">
        <v>48478.6</v>
      </c>
      <c r="D1699" s="22" t="s">
        <v>2740</v>
      </c>
      <c r="E1699" s="22" t="s">
        <v>53</v>
      </c>
      <c r="F1699" s="23" t="str">
        <f>HYPERLINK("https://www.spark-marketing.ru/Card/Lot/73300895", "Охрана объектов с помощью системы централизованного наблюдения")</f>
        <v>Охрана объектов с помощью системы централизованного наблюдения</v>
      </c>
      <c r="G1699" s="22" t="s">
        <v>446</v>
      </c>
      <c r="H1699" s="22" t="s">
        <v>2667</v>
      </c>
      <c r="I1699" s="26">
        <v>43717.5838194444</v>
      </c>
      <c r="J1699" s="28" t="s">
        <v>52</v>
      </c>
      <c r="K1699" s="28" t="s">
        <v>52</v>
      </c>
      <c r="L1699" s="28" t="s">
        <v>52</v>
      </c>
      <c r="M1699" s="28" t="s">
        <v>52</v>
      </c>
      <c r="N1699" s="28" t="s">
        <v>52</v>
      </c>
    </row>
    <row r="1700" spans="1:14" x14ac:dyDescent="0.15">
      <c r="A1700" s="23" t="str">
        <f>HYPERLINK("https://www.spark-marketing.ru/Card/Person/742909", "АДМИНИСТРАЦИЯ ХОРИНСКОГО РАЙОНА")</f>
        <v>АДМИНИСТРАЦИЯ ХОРИНСКОГО РАЙОНА</v>
      </c>
      <c r="B1700" s="24" t="s">
        <v>2741</v>
      </c>
      <c r="C1700" s="25">
        <v>250000</v>
      </c>
      <c r="D1700" s="22" t="s">
        <v>2742</v>
      </c>
      <c r="E1700" s="22" t="s">
        <v>1161</v>
      </c>
      <c r="F1700" s="23" t="str">
        <f>HYPERLINK("https://www.spark-marketing.ru/Card/Lot/73292587", "Приобретение камер видеонаблюдения с проведением монтажных работ по установке")</f>
        <v>Приобретение камер видеонаблюдения с проведением монтажных работ по установке</v>
      </c>
      <c r="G1700" s="22" t="s">
        <v>354</v>
      </c>
      <c r="H1700" s="22" t="s">
        <v>2743</v>
      </c>
      <c r="I1700" s="26">
        <v>43717.506944444402</v>
      </c>
      <c r="J1700" s="23" t="str">
        <f>HYPERLINK("https://www.spark-marketing.ru/Card/Person/5863403", "Логинов Андрей Васильевич")</f>
        <v>Логинов Андрей Васильевич</v>
      </c>
      <c r="K1700" s="24" t="s">
        <v>2744</v>
      </c>
      <c r="L1700" s="22" t="s">
        <v>10</v>
      </c>
      <c r="M1700" s="28" t="s">
        <v>52</v>
      </c>
      <c r="N1700" s="28" t="s">
        <v>52</v>
      </c>
    </row>
    <row r="1701" spans="1:14" x14ac:dyDescent="0.15">
      <c r="A1701" s="23" t="str">
        <f>HYPERLINK("https://www.spark-marketing.ru/Card/Person/153158", "МДОУ - ЦРР ДЕТСКИЙ САД № 45 ""МЕЧТА""")</f>
        <v>МДОУ - ЦРР ДЕТСКИЙ САД № 45 "МЕЧТА"</v>
      </c>
      <c r="B1701" s="24" t="s">
        <v>2745</v>
      </c>
      <c r="C1701" s="25">
        <v>118702.34</v>
      </c>
      <c r="D1701" s="22" t="s">
        <v>2746</v>
      </c>
      <c r="E1701" s="22" t="s">
        <v>84</v>
      </c>
      <c r="F1701" s="23" t="str">
        <f>HYPERLINK("https://www.spark-marketing.ru/Card/Lot/73299402", "Выполнение монтажных работ по установке системы контроля управления доступом (установка видеодомофонов на входные группы) МДОУ ЦРР - детский сад № 45 «Мечта»")</f>
        <v>Выполнение монтажных работ по установке системы контроля управления доступом (установка видеодомофонов на входные группы) МДОУ ЦРР - детский сад № 45 «Мечта»</v>
      </c>
      <c r="G1701" s="22" t="s">
        <v>50</v>
      </c>
      <c r="H1701" s="22" t="s">
        <v>299</v>
      </c>
      <c r="I1701" s="26">
        <v>43717.513622685197</v>
      </c>
      <c r="J1701" s="28" t="s">
        <v>52</v>
      </c>
      <c r="K1701" s="28" t="s">
        <v>52</v>
      </c>
      <c r="L1701" s="28" t="s">
        <v>52</v>
      </c>
      <c r="M1701" s="28" t="s">
        <v>52</v>
      </c>
      <c r="N1701" s="28" t="s">
        <v>52</v>
      </c>
    </row>
    <row r="1702" spans="1:14" x14ac:dyDescent="0.15">
      <c r="A1702" s="23" t="str">
        <f>HYPERLINK("https://www.spark-marketing.ru/Card/Person/4936", "УСД В КАЛУЖСКОЙ ОБЛАСТИ")</f>
        <v>УСД В КАЛУЖСКОЙ ОБЛАСТИ</v>
      </c>
      <c r="B1702" s="24" t="s">
        <v>2747</v>
      </c>
      <c r="C1702" s="25">
        <v>420101.48</v>
      </c>
      <c r="D1702" s="22" t="s">
        <v>2748</v>
      </c>
      <c r="E1702" s="22" t="s">
        <v>208</v>
      </c>
      <c r="F1702" s="23" t="str">
        <f>HYPERLINK("https://www.spark-marketing.ru/Card/Lot/73298551", "Поставка арочных металлодетекторов для районных судов Калужской области (с установкой, включая ввод в эксплуатацию)")</f>
        <v>Поставка арочных металлодетекторов для районных судов Калужской области (с установкой, включая ввод в эксплуатацию)</v>
      </c>
      <c r="G1702" s="22" t="s">
        <v>658</v>
      </c>
      <c r="H1702" s="22" t="s">
        <v>658</v>
      </c>
      <c r="I1702" s="26">
        <v>43717.439583333296</v>
      </c>
      <c r="J1702" s="28" t="s">
        <v>52</v>
      </c>
      <c r="K1702" s="28" t="s">
        <v>52</v>
      </c>
      <c r="L1702" s="28" t="s">
        <v>52</v>
      </c>
      <c r="M1702" s="28" t="s">
        <v>52</v>
      </c>
      <c r="N1702" s="28" t="s">
        <v>52</v>
      </c>
    </row>
    <row r="1703" spans="1:14" hidden="1" outlineLevel="1" x14ac:dyDescent="0.2">
      <c r="A1703" s="23" t="str">
        <f>HYPERLINK("https://www.spark-marketing.ru/Card/Person/4936", "УСД В КАЛУЖСКОЙ ОБЛАСТИ")</f>
        <v>УСД В КАЛУЖСКОЙ ОБЛАСТИ</v>
      </c>
      <c r="B1703" s="24" t="s">
        <v>2747</v>
      </c>
      <c r="C1703" s="25">
        <v>420101.48</v>
      </c>
      <c r="D1703" s="22" t="s">
        <v>2748</v>
      </c>
      <c r="E1703" s="22" t="s">
        <v>208</v>
      </c>
      <c r="F1703" s="23" t="str">
        <f>HYPERLINK("https://www.spark-marketing.ru/Card/Lot/73298551", "Поставка арочных металлодетекторов для районных судов Калужской области (с установкой, включая ввод в эксплуатацию)")</f>
        <v>Поставка арочных металлодетекторов для районных судов Калужской области (с установкой, включая ввод в эксплуатацию)</v>
      </c>
      <c r="G1703" s="22" t="s">
        <v>658</v>
      </c>
      <c r="H1703" s="22" t="s">
        <v>658</v>
      </c>
      <c r="I1703" s="26">
        <v>43717.439583333296</v>
      </c>
      <c r="J1703" s="23" t="str">
        <f>HYPERLINK("https://www.spark-marketing.ru/Card/Person/445597", "ООО ""АУРИКС""")</f>
        <v>ООО "АУРИКС"</v>
      </c>
      <c r="K1703" s="24" t="s">
        <v>2749</v>
      </c>
      <c r="L1703" s="28" t="s">
        <v>52</v>
      </c>
      <c r="M1703" s="25">
        <v>361287.2</v>
      </c>
      <c r="N1703" s="27">
        <v>0.1400001732914628</v>
      </c>
    </row>
    <row r="1704" spans="1:14" ht="12.75" hidden="1" outlineLevel="1" x14ac:dyDescent="0.2">
      <c r="A1704" s="23" t="str">
        <f>HYPERLINK("https://www.spark-marketing.ru/Card/Person/4936", "УСД В КАЛУЖСКОЙ ОБЛАСТИ")</f>
        <v>УСД В КАЛУЖСКОЙ ОБЛАСТИ</v>
      </c>
      <c r="B1704" s="24" t="s">
        <v>2747</v>
      </c>
      <c r="C1704" s="25">
        <v>420101.48</v>
      </c>
      <c r="D1704" s="22" t="s">
        <v>2748</v>
      </c>
      <c r="E1704" s="22" t="s">
        <v>208</v>
      </c>
      <c r="F1704" s="23" t="str">
        <f>HYPERLINK("https://www.spark-marketing.ru/Card/Lot/73298551", "Поставка арочных металлодетекторов для районных судов Калужской области (с установкой, включая ввод в эксплуатацию)")</f>
        <v>Поставка арочных металлодетекторов для районных судов Калужской области (с установкой, включая ввод в эксплуатацию)</v>
      </c>
      <c r="G1704" s="22" t="s">
        <v>658</v>
      </c>
      <c r="H1704" s="22" t="s">
        <v>658</v>
      </c>
      <c r="I1704" s="26">
        <v>43717.439583333296</v>
      </c>
      <c r="J1704" s="23" t="str">
        <f>HYPERLINK("https://www.spark-marketing.ru/Card/Person/6441250", "ООО ""ИМПУЛЬС""")</f>
        <v>ООО "ИМПУЛЬС"</v>
      </c>
      <c r="K1704" s="24" t="s">
        <v>2750</v>
      </c>
      <c r="L1704" s="22" t="s">
        <v>10</v>
      </c>
      <c r="M1704" s="25">
        <v>359186.69</v>
      </c>
      <c r="N1704" s="27">
        <v>0.14500017948044364</v>
      </c>
    </row>
    <row r="1705" spans="1:14" x14ac:dyDescent="0.15">
      <c r="A1705" s="23" t="str">
        <f>HYPERLINK("https://www.spark-marketing.ru/Card/Person/38622", "АО ""СХК""")</f>
        <v>АО "СХК"</v>
      </c>
      <c r="B1705" s="24" t="s">
        <v>159</v>
      </c>
      <c r="C1705" s="25">
        <v>0</v>
      </c>
      <c r="D1705" s="22" t="s">
        <v>2751</v>
      </c>
      <c r="E1705" s="22" t="s">
        <v>53</v>
      </c>
      <c r="F1705" s="23" t="str">
        <f>HYPERLINK("https://www.spark-marketing.ru/Card/Lot/73299599", "мониторинг цен в электронной форме на оказание услуг пультовой охраны на объектах АО «СХК»")</f>
        <v>мониторинг цен в электронной форме на оказание услуг пультовой охраны на объектах АО «СХК»</v>
      </c>
      <c r="G1705" s="22" t="s">
        <v>150</v>
      </c>
      <c r="H1705" s="22" t="s">
        <v>161</v>
      </c>
      <c r="I1705" s="26">
        <v>43717.437962962998</v>
      </c>
      <c r="J1705" s="28" t="s">
        <v>52</v>
      </c>
      <c r="K1705" s="28" t="s">
        <v>52</v>
      </c>
      <c r="L1705" s="28" t="s">
        <v>52</v>
      </c>
      <c r="M1705" s="28" t="s">
        <v>52</v>
      </c>
      <c r="N1705" s="28" t="s">
        <v>52</v>
      </c>
    </row>
    <row r="1706" spans="1:14" x14ac:dyDescent="0.15">
      <c r="A1706" s="23" t="str">
        <f>HYPERLINK("https://www.spark-marketing.ru/Card/Person/4694", "МУ УГХ")</f>
        <v>МУ УГХ</v>
      </c>
      <c r="B1706" s="24" t="s">
        <v>2752</v>
      </c>
      <c r="C1706" s="25">
        <v>250480</v>
      </c>
      <c r="D1706" s="22" t="s">
        <v>2753</v>
      </c>
      <c r="E1706" s="22" t="s">
        <v>2754</v>
      </c>
      <c r="F1706" s="23" t="str">
        <f>HYPERLINK("https://www.spark-marketing.ru/Card/Lot/73296882", "Оказание услуг по установке и настройке навигационного оборудования для обустройства судовой сигнализации")</f>
        <v>Оказание услуг по установке и настройке навигационного оборудования для обустройства судовой сигнализации</v>
      </c>
      <c r="G1706" s="22" t="s">
        <v>340</v>
      </c>
      <c r="H1706" s="22" t="s">
        <v>2755</v>
      </c>
      <c r="I1706" s="26">
        <v>43717.414583333302</v>
      </c>
      <c r="J1706" s="23" t="str">
        <f>HYPERLINK("https://www.spark-marketing.ru/Card/Person/1812694", "ООО ""СПЕКТР""")</f>
        <v>ООО "СПЕКТР"</v>
      </c>
      <c r="K1706" s="24" t="s">
        <v>2756</v>
      </c>
      <c r="L1706" s="22" t="s">
        <v>10</v>
      </c>
      <c r="M1706" s="28" t="s">
        <v>52</v>
      </c>
      <c r="N1706" s="28" t="s">
        <v>52</v>
      </c>
    </row>
    <row r="1707" spans="1:14" x14ac:dyDescent="0.15">
      <c r="A1707" s="23" t="str">
        <f>HYPERLINK("https://www.spark-marketing.ru/Card/Person/114990", "ГБУЗ РЕСПУБЛИКИ МОРДОВИЯ ""ДЕТСКАЯ ПОЛИКЛИНИКА №2""")</f>
        <v>ГБУЗ РЕСПУБЛИКИ МОРДОВИЯ "ДЕТСКАЯ ПОЛИКЛИНИКА №2"</v>
      </c>
      <c r="B1707" s="24" t="s">
        <v>2757</v>
      </c>
      <c r="C1707" s="25">
        <v>606000</v>
      </c>
      <c r="D1707" s="22" t="s">
        <v>2758</v>
      </c>
      <c r="E1707" s="22" t="s">
        <v>52</v>
      </c>
      <c r="F1707" s="23" t="str">
        <f>HYPERLINK("https://www.spark-marketing.ru/Card/Lot/73297295", "оказание услуг по охране имущества и общественного порядка на территории ГБУЗ Республики Мордовия ""Детская поликлиника №2"" по адресам: г. Саранск, ул. Серадзская, д.28 и Г. Саранск, ул. Попова, д.73")</f>
        <v>оказание услуг по охране имущества и общественного порядка на территории ГБУЗ Республики Мордовия "Детская поликлиника №2" по адресам: г. Саранск, ул. Серадзская, д.28 и Г. Саранск, ул. Попова, д.73</v>
      </c>
      <c r="G1707" s="22" t="s">
        <v>331</v>
      </c>
      <c r="H1707" s="22" t="s">
        <v>332</v>
      </c>
      <c r="I1707" s="26">
        <v>43717.405555555597</v>
      </c>
      <c r="J1707" s="28" t="s">
        <v>52</v>
      </c>
      <c r="K1707" s="28" t="s">
        <v>52</v>
      </c>
      <c r="L1707" s="28" t="s">
        <v>52</v>
      </c>
      <c r="M1707" s="28" t="s">
        <v>52</v>
      </c>
      <c r="N1707" s="28" t="s">
        <v>52</v>
      </c>
    </row>
    <row r="1708" spans="1:14" ht="12.75" hidden="1" outlineLevel="1" x14ac:dyDescent="0.2">
      <c r="A1708" s="23" t="str">
        <f>HYPERLINK("https://www.spark-marketing.ru/Card/Person/114990", "ГБУЗ РЕСПУБЛИКИ МОРДОВИЯ ""ДЕТСКАЯ ПОЛИКЛИНИКА №2""")</f>
        <v>ГБУЗ РЕСПУБЛИКИ МОРДОВИЯ "ДЕТСКАЯ ПОЛИКЛИНИКА №2"</v>
      </c>
      <c r="B1708" s="24" t="s">
        <v>2757</v>
      </c>
      <c r="C1708" s="25">
        <v>606000</v>
      </c>
      <c r="D1708" s="22" t="s">
        <v>2758</v>
      </c>
      <c r="E1708" s="22" t="s">
        <v>52</v>
      </c>
      <c r="F1708" s="23" t="str">
        <f>HYPERLINK("https://www.spark-marketing.ru/Card/Lot/73297295", "оказание услуг по охране имущества и общественного порядка на территории ГБУЗ Республики Мордовия ""Детская поликлиника №2"" по адресам: г. Саранск, ул. Серадзская, д.28 и Г. Саранск, ул. Попова, д.73")</f>
        <v>оказание услуг по охране имущества и общественного порядка на территории ГБУЗ Республики Мордовия "Детская поликлиника №2" по адресам: г. Саранск, ул. Серадзская, д.28 и Г. Саранск, ул. Попова, д.73</v>
      </c>
      <c r="G1708" s="22" t="s">
        <v>331</v>
      </c>
      <c r="H1708" s="22" t="s">
        <v>332</v>
      </c>
      <c r="I1708" s="26">
        <v>43717.405555555597</v>
      </c>
      <c r="J1708" s="23" t="str">
        <f>HYPERLINK("https://www.spark-marketing.ru/Card/Person/298294", "ООО ЧОО ""КЕДР-ОС""")</f>
        <v>ООО ЧОО "КЕДР-ОС"</v>
      </c>
      <c r="K1708" s="24" t="s">
        <v>2759</v>
      </c>
      <c r="L1708" s="22" t="s">
        <v>10</v>
      </c>
      <c r="M1708" s="25">
        <v>393900</v>
      </c>
      <c r="N1708" s="27">
        <v>0.35</v>
      </c>
    </row>
    <row r="1709" spans="1:14" hidden="1" outlineLevel="1" x14ac:dyDescent="0.2">
      <c r="A1709" s="23" t="str">
        <f>HYPERLINK("https://www.spark-marketing.ru/Card/Person/114990", "ГБУЗ РЕСПУБЛИКИ МОРДОВИЯ ""ДЕТСКАЯ ПОЛИКЛИНИКА №2""")</f>
        <v>ГБУЗ РЕСПУБЛИКИ МОРДОВИЯ "ДЕТСКАЯ ПОЛИКЛИНИКА №2"</v>
      </c>
      <c r="B1709" s="24" t="s">
        <v>2757</v>
      </c>
      <c r="C1709" s="25">
        <v>606000</v>
      </c>
      <c r="D1709" s="22" t="s">
        <v>2758</v>
      </c>
      <c r="E1709" s="22" t="s">
        <v>52</v>
      </c>
      <c r="F1709" s="23" t="str">
        <f>HYPERLINK("https://www.spark-marketing.ru/Card/Lot/73297295", "оказание услуг по охране имущества и общественного порядка на территории ГБУЗ Республики Мордовия ""Детская поликлиника №2"" по адресам: г. Саранск, ул. Серадзская, д.28 и Г. Саранск, ул. Попова, д.73")</f>
        <v>оказание услуг по охране имущества и общественного порядка на территории ГБУЗ Республики Мордовия "Детская поликлиника №2" по адресам: г. Саранск, ул. Серадзская, д.28 и Г. Саранск, ул. Попова, д.73</v>
      </c>
      <c r="G1709" s="22" t="s">
        <v>331</v>
      </c>
      <c r="H1709" s="22" t="s">
        <v>332</v>
      </c>
      <c r="I1709" s="26">
        <v>43717.405555555597</v>
      </c>
      <c r="J1709" s="23" t="str">
        <f>HYPERLINK("https://www.spark-marketing.ru/Card/Person/78131", "ООО ЧОО ""ГРОМ""")</f>
        <v>ООО ЧОО "ГРОМ"</v>
      </c>
      <c r="K1709" s="24" t="s">
        <v>2760</v>
      </c>
      <c r="L1709" s="28" t="s">
        <v>52</v>
      </c>
      <c r="M1709" s="25">
        <v>572670</v>
      </c>
      <c r="N1709" s="27">
        <v>5.5E-2</v>
      </c>
    </row>
    <row r="1710" spans="1:14" hidden="1" outlineLevel="1" x14ac:dyDescent="0.2">
      <c r="A1710" s="23" t="str">
        <f>HYPERLINK("https://www.spark-marketing.ru/Card/Person/114990", "ГБУЗ РЕСПУБЛИКИ МОРДОВИЯ ""ДЕТСКАЯ ПОЛИКЛИНИКА №2""")</f>
        <v>ГБУЗ РЕСПУБЛИКИ МОРДОВИЯ "ДЕТСКАЯ ПОЛИКЛИНИКА №2"</v>
      </c>
      <c r="B1710" s="24" t="s">
        <v>2757</v>
      </c>
      <c r="C1710" s="25">
        <v>606000</v>
      </c>
      <c r="D1710" s="22" t="s">
        <v>2758</v>
      </c>
      <c r="E1710" s="22" t="s">
        <v>52</v>
      </c>
      <c r="F1710" s="23" t="str">
        <f>HYPERLINK("https://www.spark-marketing.ru/Card/Lot/73297295", "оказание услуг по охране имущества и общественного порядка на территории ГБУЗ Республики Мордовия ""Детская поликлиника №2"" по адресам: г. Саранск, ул. Серадзская, д.28 и Г. Саранск, ул. Попова, д.73")</f>
        <v>оказание услуг по охране имущества и общественного порядка на территории ГБУЗ Республики Мордовия "Детская поликлиника №2" по адресам: г. Саранск, ул. Серадзская, д.28 и Г. Саранск, ул. Попова, д.73</v>
      </c>
      <c r="G1710" s="22" t="s">
        <v>331</v>
      </c>
      <c r="H1710" s="22" t="s">
        <v>332</v>
      </c>
      <c r="I1710" s="26">
        <v>43717.405555555597</v>
      </c>
      <c r="J1710" s="23" t="str">
        <f>HYPERLINK("https://www.spark-marketing.ru/Card/Person/4362883", "ООО ЧОО ""ЭЛИТРЕЗЕРВ""")</f>
        <v>ООО ЧОО "ЭЛИТРЕЗЕРВ"</v>
      </c>
      <c r="K1710" s="24" t="s">
        <v>2761</v>
      </c>
      <c r="L1710" s="28" t="s">
        <v>52</v>
      </c>
      <c r="M1710" s="25">
        <v>578730</v>
      </c>
      <c r="N1710" s="27">
        <v>4.4999999999999998E-2</v>
      </c>
    </row>
    <row r="1711" spans="1:14" hidden="1" outlineLevel="1" x14ac:dyDescent="0.2">
      <c r="A1711" s="23" t="str">
        <f>HYPERLINK("https://www.spark-marketing.ru/Card/Person/114990", "ГБУЗ РЕСПУБЛИКИ МОРДОВИЯ ""ДЕТСКАЯ ПОЛИКЛИНИКА №2""")</f>
        <v>ГБУЗ РЕСПУБЛИКИ МОРДОВИЯ "ДЕТСКАЯ ПОЛИКЛИНИКА №2"</v>
      </c>
      <c r="B1711" s="24" t="s">
        <v>2757</v>
      </c>
      <c r="C1711" s="25">
        <v>606000</v>
      </c>
      <c r="D1711" s="22" t="s">
        <v>2758</v>
      </c>
      <c r="E1711" s="22" t="s">
        <v>52</v>
      </c>
      <c r="F1711" s="23" t="str">
        <f>HYPERLINK("https://www.spark-marketing.ru/Card/Lot/73297295", "оказание услуг по охране имущества и общественного порядка на территории ГБУЗ Республики Мордовия ""Детская поликлиника №2"" по адресам: г. Саранск, ул. Серадзская, д.28 и Г. Саранск, ул. Попова, д.73")</f>
        <v>оказание услуг по охране имущества и общественного порядка на территории ГБУЗ Республики Мордовия "Детская поликлиника №2" по адресам: г. Саранск, ул. Серадзская, д.28 и Г. Саранск, ул. Попова, д.73</v>
      </c>
      <c r="G1711" s="22" t="s">
        <v>331</v>
      </c>
      <c r="H1711" s="22" t="s">
        <v>332</v>
      </c>
      <c r="I1711" s="26">
        <v>43717.405555555597</v>
      </c>
      <c r="J1711" s="23" t="str">
        <f>HYPERLINK("https://www.spark-marketing.ru/Card/Person/4516284", "ООО ЧОО ""ЧЕСТЬ""")</f>
        <v>ООО ЧОО "ЧЕСТЬ"</v>
      </c>
      <c r="K1711" s="24" t="s">
        <v>2762</v>
      </c>
      <c r="L1711" s="28" t="s">
        <v>52</v>
      </c>
      <c r="M1711" s="25">
        <v>396930</v>
      </c>
      <c r="N1711" s="27">
        <v>0.34499999999999997</v>
      </c>
    </row>
    <row r="1712" spans="1:14" x14ac:dyDescent="0.15">
      <c r="A1712" s="23" t="str">
        <f>HYPERLINK("https://www.spark-marketing.ru/Card/Person/8901", "НОВОЧЕРКАССКОЕ СУВОРОВСКОЕ ВОЕННОЕ УЧИЛИЩЕ МВД РОССИИ, ФГКОУ НСВУ МВД РОССИИ, НОВОЧЕРКАССКОЕ СВУ МВД РОССИИ")</f>
        <v>НОВОЧЕРКАССКОЕ СУВОРОВСКОЕ ВОЕННОЕ УЧИЛИЩЕ МВД РОССИИ, ФГКОУ НСВУ МВД РОССИИ, НОВОЧЕРКАССКОЕ СВУ МВД РОССИИ</v>
      </c>
      <c r="B1712" s="24" t="s">
        <v>2661</v>
      </c>
      <c r="C1712" s="25">
        <v>240000</v>
      </c>
      <c r="D1712" s="22" t="s">
        <v>2763</v>
      </c>
      <c r="E1712" s="22" t="s">
        <v>103</v>
      </c>
      <c r="F1712" s="23" t="str">
        <f>HYPERLINK("https://www.spark-marketing.ru/Card/Lot/73293425", "Техническое обслуживание видеонаблюдения, 1 усл. ед")</f>
        <v>Техническое обслуживание видеонаблюдения, 1 усл. ед</v>
      </c>
      <c r="G1712" s="22" t="s">
        <v>402</v>
      </c>
      <c r="H1712" s="22" t="s">
        <v>2663</v>
      </c>
      <c r="I1712" s="26">
        <v>43717.389606481498</v>
      </c>
      <c r="J1712" s="28" t="s">
        <v>52</v>
      </c>
      <c r="K1712" s="28" t="s">
        <v>52</v>
      </c>
      <c r="L1712" s="28" t="s">
        <v>52</v>
      </c>
      <c r="M1712" s="28" t="s">
        <v>52</v>
      </c>
      <c r="N1712" s="28" t="s">
        <v>52</v>
      </c>
    </row>
    <row r="1713" spans="1:14" x14ac:dyDescent="0.15">
      <c r="A1713" s="23" t="str">
        <f>HYPERLINK("https://www.spark-marketing.ru/Card/Person/22984", "ФКУЗ ""МСЧ МВД РОССИИ ПО НОВГОРОДСКОЙ ОБЛАСТИ""")</f>
        <v>ФКУЗ "МСЧ МВД РОССИИ ПО НОВГОРОДСКОЙ ОБЛАСТИ"</v>
      </c>
      <c r="B1713" s="24" t="s">
        <v>2764</v>
      </c>
      <c r="C1713" s="25">
        <v>24000</v>
      </c>
      <c r="D1713" s="22" t="s">
        <v>2765</v>
      </c>
      <c r="E1713" s="22" t="s">
        <v>208</v>
      </c>
      <c r="F1713" s="23" t="str">
        <f>HYPERLINK("https://www.spark-marketing.ru/Card/Lot/73294950", "Техническое обслуживание тревожной и охранной сигнализации")</f>
        <v>Техническое обслуживание тревожной и охранной сигнализации</v>
      </c>
      <c r="G1713" s="22" t="s">
        <v>959</v>
      </c>
      <c r="H1713" s="22" t="s">
        <v>960</v>
      </c>
      <c r="I1713" s="26">
        <v>43717.363888888904</v>
      </c>
      <c r="J1713" s="28" t="s">
        <v>52</v>
      </c>
      <c r="K1713" s="28" t="s">
        <v>52</v>
      </c>
      <c r="L1713" s="28" t="s">
        <v>52</v>
      </c>
      <c r="M1713" s="28" t="s">
        <v>52</v>
      </c>
      <c r="N1713" s="28" t="s">
        <v>52</v>
      </c>
    </row>
    <row r="1714" spans="1:14" hidden="1" outlineLevel="1" x14ac:dyDescent="0.2">
      <c r="A1714" s="23" t="str">
        <f>HYPERLINK("https://www.spark-marketing.ru/Card/Person/22984", "ФКУЗ ""МСЧ МВД РОССИИ ПО НОВГОРОДСКОЙ ОБЛАСТИ""")</f>
        <v>ФКУЗ "МСЧ МВД РОССИИ ПО НОВГОРОДСКОЙ ОБЛАСТИ"</v>
      </c>
      <c r="B1714" s="24" t="s">
        <v>2764</v>
      </c>
      <c r="C1714" s="25">
        <v>24000</v>
      </c>
      <c r="D1714" s="22" t="s">
        <v>2765</v>
      </c>
      <c r="E1714" s="22" t="s">
        <v>208</v>
      </c>
      <c r="F1714" s="23" t="str">
        <f>HYPERLINK("https://www.spark-marketing.ru/Card/Lot/73294950", "Техническое обслуживание тревожной и охранной сигнализации")</f>
        <v>Техническое обслуживание тревожной и охранной сигнализации</v>
      </c>
      <c r="G1714" s="22" t="s">
        <v>959</v>
      </c>
      <c r="H1714" s="22" t="s">
        <v>960</v>
      </c>
      <c r="I1714" s="26">
        <v>43717.363888888904</v>
      </c>
      <c r="J1714" s="23" t="str">
        <f>HYPERLINK("https://www.spark-marketing.ru/Card/Person/55651", "ООО ""ЭЛЕКТРА-Н""")</f>
        <v>ООО "ЭЛЕКТРА-Н"</v>
      </c>
      <c r="K1714" s="24" t="s">
        <v>1484</v>
      </c>
      <c r="L1714" s="28" t="s">
        <v>52</v>
      </c>
      <c r="M1714" s="25">
        <v>23160</v>
      </c>
      <c r="N1714" s="27">
        <v>3.5000000000000003E-2</v>
      </c>
    </row>
    <row r="1715" spans="1:14" ht="12.75" hidden="1" outlineLevel="1" x14ac:dyDescent="0.2">
      <c r="A1715" s="23" t="str">
        <f>HYPERLINK("https://www.spark-marketing.ru/Card/Person/22984", "ФКУЗ ""МСЧ МВД РОССИИ ПО НОВГОРОДСКОЙ ОБЛАСТИ""")</f>
        <v>ФКУЗ "МСЧ МВД РОССИИ ПО НОВГОРОДСКОЙ ОБЛАСТИ"</v>
      </c>
      <c r="B1715" s="24" t="s">
        <v>2764</v>
      </c>
      <c r="C1715" s="25">
        <v>24000</v>
      </c>
      <c r="D1715" s="22" t="s">
        <v>2765</v>
      </c>
      <c r="E1715" s="22" t="s">
        <v>208</v>
      </c>
      <c r="F1715" s="23" t="str">
        <f>HYPERLINK("https://www.spark-marketing.ru/Card/Lot/73294950", "Техническое обслуживание тревожной и охранной сигнализации")</f>
        <v>Техническое обслуживание тревожной и охранной сигнализации</v>
      </c>
      <c r="G1715" s="22" t="s">
        <v>959</v>
      </c>
      <c r="H1715" s="22" t="s">
        <v>960</v>
      </c>
      <c r="I1715" s="26">
        <v>43717.363888888904</v>
      </c>
      <c r="J1715" s="23" t="str">
        <f>HYPERLINK("https://www.spark-marketing.ru/Card/Person/442012", "ООО ""ЛУЧ""")</f>
        <v>ООО "ЛУЧ"</v>
      </c>
      <c r="K1715" s="24" t="s">
        <v>2766</v>
      </c>
      <c r="L1715" s="22" t="s">
        <v>10</v>
      </c>
      <c r="M1715" s="25">
        <v>18240</v>
      </c>
      <c r="N1715" s="27">
        <v>0.24</v>
      </c>
    </row>
    <row r="1716" spans="1:14" hidden="1" outlineLevel="1" x14ac:dyDescent="0.2">
      <c r="A1716" s="23" t="str">
        <f>HYPERLINK("https://www.spark-marketing.ru/Card/Person/22984", "ФКУЗ ""МСЧ МВД РОССИИ ПО НОВГОРОДСКОЙ ОБЛАСТИ""")</f>
        <v>ФКУЗ "МСЧ МВД РОССИИ ПО НОВГОРОДСКОЙ ОБЛАСТИ"</v>
      </c>
      <c r="B1716" s="24" t="s">
        <v>2764</v>
      </c>
      <c r="C1716" s="25">
        <v>24000</v>
      </c>
      <c r="D1716" s="22" t="s">
        <v>2765</v>
      </c>
      <c r="E1716" s="22" t="s">
        <v>208</v>
      </c>
      <c r="F1716" s="23" t="str">
        <f>HYPERLINK("https://www.spark-marketing.ru/Card/Lot/73294950", "Техническое обслуживание тревожной и охранной сигнализации")</f>
        <v>Техническое обслуживание тревожной и охранной сигнализации</v>
      </c>
      <c r="G1716" s="22" t="s">
        <v>959</v>
      </c>
      <c r="H1716" s="22" t="s">
        <v>960</v>
      </c>
      <c r="I1716" s="26">
        <v>43717.363888888904</v>
      </c>
      <c r="J1716" s="23" t="str">
        <f>HYPERLINK("https://www.spark-marketing.ru/Card/Person/397860", "ООО ""РАТИБОР СПЕЦСИСТЕМЫ""")</f>
        <v>ООО "РАТИБОР СПЕЦСИСТЕМЫ"</v>
      </c>
      <c r="K1716" s="24" t="s">
        <v>2767</v>
      </c>
      <c r="L1716" s="28" t="s">
        <v>52</v>
      </c>
      <c r="M1716" s="25">
        <v>18360</v>
      </c>
      <c r="N1716" s="27">
        <v>0.23499999999999999</v>
      </c>
    </row>
    <row r="1717" spans="1:14" x14ac:dyDescent="0.15">
      <c r="A1717" s="23" t="str">
        <f>HYPERLINK("https://www.spark-marketing.ru/Card/Person/2475", "ВРГСиС-фл ФБУ ""Администрация Волго-Балтийского бассейна внутренних водных путей""")</f>
        <v>ВРГСиС-фл ФБУ "Администрация Волго-Балтийского бассейна внутренних водных путей"</v>
      </c>
      <c r="B1717" s="24" t="s">
        <v>2768</v>
      </c>
      <c r="C1717" s="25">
        <v>189979</v>
      </c>
      <c r="D1717" s="22" t="s">
        <v>2769</v>
      </c>
      <c r="E1717" s="22" t="s">
        <v>487</v>
      </c>
      <c r="F1717" s="23" t="str">
        <f>HYPERLINK("https://www.spark-marketing.ru/Card/Lot/73292606", "Приобретение блок - контейнера для организации зимнего поста охраны")</f>
        <v>Приобретение блок - контейнера для организации зимнего поста охраны</v>
      </c>
      <c r="G1717" s="22" t="s">
        <v>902</v>
      </c>
      <c r="H1717" s="22" t="s">
        <v>902</v>
      </c>
      <c r="I1717" s="26">
        <v>43717.328472222202</v>
      </c>
      <c r="J1717" s="28" t="s">
        <v>52</v>
      </c>
      <c r="K1717" s="28" t="s">
        <v>52</v>
      </c>
      <c r="L1717" s="28" t="s">
        <v>52</v>
      </c>
      <c r="M1717" s="28" t="s">
        <v>52</v>
      </c>
      <c r="N1717" s="28" t="s">
        <v>52</v>
      </c>
    </row>
    <row r="1718" spans="1:14" hidden="1" outlineLevel="1" x14ac:dyDescent="0.2">
      <c r="A1718" s="23" t="str">
        <f>HYPERLINK("https://www.spark-marketing.ru/Card/Person/2475", "ВРГСиС-фл ФБУ ""Администрация Волго-Балтийского бассейна внутренних водных путей""")</f>
        <v>ВРГСиС-фл ФБУ "Администрация Волго-Балтийского бассейна внутренних водных путей"</v>
      </c>
      <c r="B1718" s="24" t="s">
        <v>2768</v>
      </c>
      <c r="C1718" s="25">
        <v>189979</v>
      </c>
      <c r="D1718" s="22" t="s">
        <v>2769</v>
      </c>
      <c r="E1718" s="22" t="s">
        <v>487</v>
      </c>
      <c r="F1718" s="23" t="str">
        <f>HYPERLINK("https://www.spark-marketing.ru/Card/Lot/73292606", "Приобретение блок - контейнера для организации зимнего поста охраны")</f>
        <v>Приобретение блок - контейнера для организации зимнего поста охраны</v>
      </c>
      <c r="G1718" s="22" t="s">
        <v>902</v>
      </c>
      <c r="H1718" s="22" t="s">
        <v>902</v>
      </c>
      <c r="I1718" s="26">
        <v>43717.328472222202</v>
      </c>
      <c r="J1718" s="23" t="str">
        <f>HYPERLINK("https://www.spark-marketing.ru/Card/Person/411796", "ООО ""СПЕЦСТАЛЬКОНСТРУКЦИЯ""")</f>
        <v>ООО "СПЕЦСТАЛЬКОНСТРУКЦИЯ"</v>
      </c>
      <c r="K1718" s="24" t="s">
        <v>2770</v>
      </c>
      <c r="L1718" s="28" t="s">
        <v>52</v>
      </c>
      <c r="M1718" s="25">
        <v>177630.3</v>
      </c>
      <c r="N1718" s="27">
        <v>6.5000342143078968E-2</v>
      </c>
    </row>
    <row r="1719" spans="1:14" ht="12.75" hidden="1" outlineLevel="1" x14ac:dyDescent="0.2">
      <c r="A1719" s="23" t="str">
        <f>HYPERLINK("https://www.spark-marketing.ru/Card/Person/2475", "ВРГСиС-фл ФБУ ""Администрация Волго-Балтийского бассейна внутренних водных путей""")</f>
        <v>ВРГСиС-фл ФБУ "Администрация Волго-Балтийского бассейна внутренних водных путей"</v>
      </c>
      <c r="B1719" s="24" t="s">
        <v>2768</v>
      </c>
      <c r="C1719" s="25">
        <v>189979</v>
      </c>
      <c r="D1719" s="22" t="s">
        <v>2769</v>
      </c>
      <c r="E1719" s="22" t="s">
        <v>487</v>
      </c>
      <c r="F1719" s="23" t="str">
        <f>HYPERLINK("https://www.spark-marketing.ru/Card/Lot/73292606", "Приобретение блок - контейнера для организации зимнего поста охраны")</f>
        <v>Приобретение блок - контейнера для организации зимнего поста охраны</v>
      </c>
      <c r="G1719" s="22" t="s">
        <v>902</v>
      </c>
      <c r="H1719" s="22" t="s">
        <v>902</v>
      </c>
      <c r="I1719" s="26">
        <v>43717.328472222202</v>
      </c>
      <c r="J1719" s="23" t="str">
        <f>HYPERLINK("https://www.spark-marketing.ru/Card/Person/5967266", "Ковнер Сергей Валерьевич")</f>
        <v>Ковнер Сергей Валерьевич</v>
      </c>
      <c r="K1719" s="24" t="s">
        <v>2771</v>
      </c>
      <c r="L1719" s="22" t="s">
        <v>10</v>
      </c>
      <c r="M1719" s="25">
        <v>176680.4</v>
      </c>
      <c r="N1719" s="27">
        <v>7.000036846177736E-2</v>
      </c>
    </row>
    <row r="1720" spans="1:14" x14ac:dyDescent="0.15">
      <c r="A1720" s="23" t="str">
        <f>HYPERLINK("https://www.spark-marketing.ru/Card/Person/1015584", "КГКУ ДЕТСКИЙ ДОМ 14")</f>
        <v>КГКУ ДЕТСКИЙ ДОМ 14</v>
      </c>
      <c r="B1720" s="24" t="s">
        <v>2699</v>
      </c>
      <c r="C1720" s="25">
        <v>24420</v>
      </c>
      <c r="D1720" s="22" t="s">
        <v>2772</v>
      </c>
      <c r="E1720" s="22" t="s">
        <v>68</v>
      </c>
      <c r="F1720" s="23" t="str">
        <f>HYPERLINK("https://www.spark-marketing.ru/Card/Lot/73290848", "охрана, путем реагирования группы задержания на срабатывание кнопки тревожной сигнализации, 1123 усл. ед")</f>
        <v>охрана, путем реагирования группы задержания на срабатывание кнопки тревожной сигнализации, 1123 усл. ед</v>
      </c>
      <c r="G1720" s="22" t="s">
        <v>138</v>
      </c>
      <c r="H1720" s="22" t="s">
        <v>2412</v>
      </c>
      <c r="I1720" s="26">
        <v>43717.138819444401</v>
      </c>
      <c r="J1720" s="28" t="s">
        <v>52</v>
      </c>
      <c r="K1720" s="28" t="s">
        <v>52</v>
      </c>
      <c r="L1720" s="28" t="s">
        <v>52</v>
      </c>
      <c r="M1720" s="28" t="s">
        <v>52</v>
      </c>
      <c r="N1720" s="28" t="s">
        <v>52</v>
      </c>
    </row>
    <row r="1721" spans="1:14" x14ac:dyDescent="0.15">
      <c r="A1721" s="23" t="str">
        <f>HYPERLINK("https://www.spark-marketing.ru/Card/Person/38622", "АО ""СХК""")</f>
        <v>АО "СХК"</v>
      </c>
      <c r="B1721" s="24" t="s">
        <v>159</v>
      </c>
      <c r="C1721" s="28" t="s">
        <v>52</v>
      </c>
      <c r="D1721" s="22" t="s">
        <v>2773</v>
      </c>
      <c r="E1721" s="22" t="s">
        <v>53</v>
      </c>
      <c r="F1721" s="23" t="str">
        <f>HYPERLINK("https://www.spark-marketing.ru/Card/Lot/73300133", "оказание услуг пультовой охраны на объектах АО «СХК» (1337899)")</f>
        <v>оказание услуг пультовой охраны на объектах АО «СХК» (1337899)</v>
      </c>
      <c r="G1721" s="22" t="s">
        <v>150</v>
      </c>
      <c r="H1721" s="22" t="s">
        <v>161</v>
      </c>
      <c r="I1721" s="26">
        <v>43717.4382175926</v>
      </c>
      <c r="J1721" s="28" t="s">
        <v>52</v>
      </c>
      <c r="K1721" s="28" t="s">
        <v>52</v>
      </c>
      <c r="L1721" s="28" t="s">
        <v>52</v>
      </c>
      <c r="M1721" s="28" t="s">
        <v>52</v>
      </c>
      <c r="N1721" s="28" t="s">
        <v>52</v>
      </c>
    </row>
    <row r="1722" spans="1:14" x14ac:dyDescent="0.15">
      <c r="A1722" s="23" t="str">
        <f>HYPERLINK("https://www.spark-marketing.ru/Card/Person/4346781", "ПАО ""МСЗ""")</f>
        <v>ПАО "МСЗ"</v>
      </c>
      <c r="B1722" s="24" t="s">
        <v>744</v>
      </c>
      <c r="C1722" s="28" t="s">
        <v>52</v>
      </c>
      <c r="D1722" s="22" t="s">
        <v>2774</v>
      </c>
      <c r="E1722" s="22" t="s">
        <v>53</v>
      </c>
      <c r="F1722" s="23" t="str">
        <f>HYPERLINK("https://www.spark-marketing.ru/Card/Lot/73310189", "Услуги по охране имущества, принадлежащего ПАО «МСЗ», находящегося по адресу: г. Электросталь Московской области ул.Лесная, д.4 (1338548)")</f>
        <v>Услуги по охране имущества, принадлежащего ПАО «МСЗ», находящегося по адресу: г. Электросталь Московской области ул.Лесная, д.4 (1338548)</v>
      </c>
      <c r="G1722" s="22" t="s">
        <v>50</v>
      </c>
      <c r="H1722" s="22" t="s">
        <v>747</v>
      </c>
      <c r="I1722" s="26">
        <v>43717.695509259298</v>
      </c>
      <c r="J1722" s="28" t="s">
        <v>52</v>
      </c>
      <c r="K1722" s="28" t="s">
        <v>52</v>
      </c>
      <c r="L1722" s="28" t="s">
        <v>52</v>
      </c>
      <c r="M1722" s="28" t="s">
        <v>52</v>
      </c>
      <c r="N1722" s="28" t="s">
        <v>52</v>
      </c>
    </row>
    <row r="1723" spans="1:14" x14ac:dyDescent="0.15">
      <c r="A1723" s="23" t="str">
        <f>HYPERLINK("https://www.spark-marketing.ru/Card/Person/4349976", "ООО ""БГК""")</f>
        <v>ООО "БГК"</v>
      </c>
      <c r="B1723" s="24" t="s">
        <v>2775</v>
      </c>
      <c r="C1723" s="25">
        <v>2602747.96</v>
      </c>
      <c r="D1723" s="22" t="s">
        <v>2776</v>
      </c>
      <c r="E1723" s="22" t="s">
        <v>2777</v>
      </c>
      <c r="F1723" s="23" t="str">
        <f>HYPERLINK("https://www.spark-marketing.ru/Card/Lot/73310573", "Техническое обслуживание оборудования систем видеонаблюдения филиалов ООО ""БГК""")</f>
        <v>Техническое обслуживание оборудования систем видеонаблюдения филиалов ООО "БГК"</v>
      </c>
      <c r="G1723" s="22" t="s">
        <v>100</v>
      </c>
      <c r="H1723" s="22" t="s">
        <v>373</v>
      </c>
      <c r="I1723" s="26">
        <v>43717</v>
      </c>
      <c r="J1723" s="28" t="s">
        <v>52</v>
      </c>
      <c r="K1723" s="28" t="s">
        <v>52</v>
      </c>
      <c r="L1723" s="28" t="s">
        <v>52</v>
      </c>
      <c r="M1723" s="28" t="s">
        <v>52</v>
      </c>
      <c r="N1723" s="28" t="s">
        <v>52</v>
      </c>
    </row>
    <row r="1724" spans="1:14" x14ac:dyDescent="0.15">
      <c r="A1724" s="23" t="str">
        <f>HYPERLINK("https://www.spark-marketing.ru/Card/Person/105275", "ФГУП ""ГВСУ № 9""")</f>
        <v>ФГУП "ГВСУ № 9"</v>
      </c>
      <c r="B1724" s="24" t="s">
        <v>2778</v>
      </c>
      <c r="C1724" s="25">
        <v>148864463.38</v>
      </c>
      <c r="D1724" s="22" t="s">
        <v>2779</v>
      </c>
      <c r="E1724" s="22" t="s">
        <v>691</v>
      </c>
      <c r="F1724" s="23" t="str">
        <f>HYPERLINK("https://www.spark-marketing.ru/Card/Lot/73307826", "выполнение комплекса работ по поставке, монтажу и ПНР автоматизированной системы управления инженерным оборудованием и мониторинга параметров «чистых помещений» корпуса № 1Г площадки 61/2А на объекте «Реконструкция и техническое перевооружение участк...")</f>
        <v>выполнение комплекса работ по поставке, монтажу и ПНР автоматизированной системы управления инженерным оборудованием и мониторинга параметров «чистых помещений» корпуса № 1Г площадки 61/2А на объекте «Реконструкция и техническое перевооружение участк...</v>
      </c>
      <c r="G1724" s="22" t="s">
        <v>640</v>
      </c>
      <c r="H1724" s="22" t="s">
        <v>640</v>
      </c>
      <c r="I1724" s="26">
        <v>43717</v>
      </c>
      <c r="J1724" s="28" t="s">
        <v>52</v>
      </c>
      <c r="K1724" s="28" t="s">
        <v>52</v>
      </c>
      <c r="L1724" s="28" t="s">
        <v>52</v>
      </c>
      <c r="M1724" s="28" t="s">
        <v>52</v>
      </c>
      <c r="N1724" s="28" t="s">
        <v>52</v>
      </c>
    </row>
    <row r="1725" spans="1:14" x14ac:dyDescent="0.15">
      <c r="A1725" s="23" t="str">
        <f>HYPERLINK("https://www.spark-marketing.ru/Card/Person/6219431", "МАУ Г. НИЖНЕВАРТОВСКА ""СШ""")</f>
        <v>МАУ Г. НИЖНЕВАРТОВСКА "СШ"</v>
      </c>
      <c r="B1725" s="24" t="s">
        <v>2780</v>
      </c>
      <c r="C1725" s="25">
        <v>121747.26</v>
      </c>
      <c r="D1725" s="22" t="s">
        <v>2781</v>
      </c>
      <c r="E1725" s="22" t="s">
        <v>49</v>
      </c>
      <c r="F1725" s="23" t="str">
        <f>HYPERLINK("https://www.spark-marketing.ru/Card/Lot/73293296", "Выполнение работ по техническому обслуживанию систем видеонаблюдения")</f>
        <v>Выполнение работ по техническому обслуживанию систем видеонаблюдения</v>
      </c>
      <c r="G1725" s="22" t="s">
        <v>119</v>
      </c>
      <c r="H1725" s="22" t="s">
        <v>119</v>
      </c>
      <c r="I1725" s="26">
        <v>43717</v>
      </c>
      <c r="J1725" s="28" t="s">
        <v>52</v>
      </c>
      <c r="K1725" s="28" t="s">
        <v>52</v>
      </c>
      <c r="L1725" s="28" t="s">
        <v>52</v>
      </c>
      <c r="M1725" s="28" t="s">
        <v>52</v>
      </c>
      <c r="N1725" s="28" t="s">
        <v>52</v>
      </c>
    </row>
    <row r="1726" spans="1:14" x14ac:dyDescent="0.15">
      <c r="A1726" s="23" t="str">
        <f>HYPERLINK("https://www.spark-marketing.ru/Card/Person/4710787", "ООО ВОСТОКГЕОЛОГИЯ")</f>
        <v>ООО ВОСТОКГЕОЛОГИЯ</v>
      </c>
      <c r="B1726" s="28" t="s">
        <v>52</v>
      </c>
      <c r="C1726" s="28" t="s">
        <v>52</v>
      </c>
      <c r="D1726" s="28" t="s">
        <v>52</v>
      </c>
      <c r="E1726" s="22" t="s">
        <v>53</v>
      </c>
      <c r="F1726" s="23" t="str">
        <f>HYPERLINK("https://www.spark-marketing.ru/Card/Lot/73294342", "Лот №279-19 - Поставка листа полимерного ПНД толщиной 2 мм. для общежития охраны на объекте строительства ""Вахтовый поселок""")</f>
        <v>Лот №279-19 - Поставка листа полимерного ПНД толщиной 2 мм. для общежития охраны на объекте строительства "Вахтовый поселок"</v>
      </c>
      <c r="G1726" s="22" t="s">
        <v>52</v>
      </c>
      <c r="H1726" s="22" t="s">
        <v>52</v>
      </c>
      <c r="I1726" s="26">
        <v>43717</v>
      </c>
      <c r="J1726" s="28" t="s">
        <v>52</v>
      </c>
      <c r="K1726" s="28" t="s">
        <v>52</v>
      </c>
      <c r="L1726" s="28" t="s">
        <v>52</v>
      </c>
      <c r="M1726" s="28" t="s">
        <v>52</v>
      </c>
      <c r="N1726" s="28" t="s">
        <v>52</v>
      </c>
    </row>
    <row r="1727" spans="1:14" x14ac:dyDescent="0.15">
      <c r="A1727" s="23" t="str">
        <f>HYPERLINK("https://www.spark-marketing.ru/Card/Person/4365569", "ФГУП ""РОСМОРПОРТ""")</f>
        <v>ФГУП "РОСМОРПОРТ"</v>
      </c>
      <c r="B1727" s="24" t="s">
        <v>273</v>
      </c>
      <c r="C1727" s="25">
        <v>600000</v>
      </c>
      <c r="D1727" s="22" t="s">
        <v>2782</v>
      </c>
      <c r="E1727" s="22" t="s">
        <v>867</v>
      </c>
      <c r="F1727" s="23" t="str">
        <f>HYPERLINK("https://www.spark-marketing.ru/Card/Lot/73310697", "выполнение работ по техническому обслуживанию и проведению ремонтных работ (далее - Услуги) систем контроля и управления доступом и систем охранно-тревожной сигнализации на объектах Крымского филиала ФГУП «Росморпорт»")</f>
        <v>выполнение работ по техническому обслуживанию и проведению ремонтных работ (далее - Услуги) систем контроля и управления доступом и систем охранно-тревожной сигнализации на объектах Крымского филиала ФГУП «Росморпорт»</v>
      </c>
      <c r="G1727" s="22" t="s">
        <v>55</v>
      </c>
      <c r="H1727" s="22" t="s">
        <v>55</v>
      </c>
      <c r="I1727" s="26">
        <v>43717</v>
      </c>
      <c r="J1727" s="28" t="s">
        <v>52</v>
      </c>
      <c r="K1727" s="28" t="s">
        <v>52</v>
      </c>
      <c r="L1727" s="28" t="s">
        <v>52</v>
      </c>
      <c r="M1727" s="28" t="s">
        <v>52</v>
      </c>
      <c r="N1727" s="28" t="s">
        <v>52</v>
      </c>
    </row>
    <row r="1728" spans="1:14" x14ac:dyDescent="0.15">
      <c r="A1728" s="23" t="str">
        <f>HYPERLINK("https://www.spark-marketing.ru/Card/Person/21761", "Северо-Западный филиал ПАО ""Мегафон""")</f>
        <v>Северо-Западный филиал ПАО "Мегафон"</v>
      </c>
      <c r="B1728" s="24" t="s">
        <v>2783</v>
      </c>
      <c r="C1728" s="25">
        <v>0</v>
      </c>
      <c r="D1728" s="22" t="s">
        <v>2784</v>
      </c>
      <c r="E1728" s="22" t="s">
        <v>114</v>
      </c>
      <c r="F1728" s="23" t="str">
        <f>HYPERLINK("https://www.spark-marketing.ru/Card/Lot/73300151", "Организации эксплуатации ТСО основных объектов СЗФ ПАО «МегаФон»")</f>
        <v>Организации эксплуатации ТСО основных объектов СЗФ ПАО «МегаФон»</v>
      </c>
      <c r="G1728" s="22" t="s">
        <v>89</v>
      </c>
      <c r="H1728" s="22" t="s">
        <v>89</v>
      </c>
      <c r="I1728" s="26">
        <v>43717.441354166702</v>
      </c>
      <c r="J1728" s="28" t="s">
        <v>52</v>
      </c>
      <c r="K1728" s="28" t="s">
        <v>52</v>
      </c>
      <c r="L1728" s="28" t="s">
        <v>52</v>
      </c>
      <c r="M1728" s="28" t="s">
        <v>52</v>
      </c>
      <c r="N1728" s="28" t="s">
        <v>52</v>
      </c>
    </row>
    <row r="1729" spans="1:14" x14ac:dyDescent="0.15">
      <c r="A1729" s="23" t="str">
        <f>HYPERLINK("https://www.spark-marketing.ru/Card/Person/102061", "МДОУ - ДЕТСКИЙ САД № 34 ""ЗВЁЗДОЧКА""")</f>
        <v>МДОУ - ДЕТСКИЙ САД № 34 "ЗВЁЗДОЧКА"</v>
      </c>
      <c r="B1729" s="24" t="s">
        <v>2785</v>
      </c>
      <c r="C1729" s="25">
        <v>217870.79</v>
      </c>
      <c r="D1729" s="22" t="s">
        <v>2786</v>
      </c>
      <c r="E1729" s="22" t="s">
        <v>107</v>
      </c>
      <c r="F1729" s="23" t="str">
        <f>HYPERLINK("https://www.spark-marketing.ru/Card/Lot/73288929", "Оказание услуг по установке системы видеодомофонной связи")</f>
        <v>Оказание услуг по установке системы видеодомофонной связи</v>
      </c>
      <c r="G1729" s="22" t="s">
        <v>50</v>
      </c>
      <c r="H1729" s="22" t="s">
        <v>299</v>
      </c>
      <c r="I1729" s="26">
        <v>43715.669745370396</v>
      </c>
      <c r="J1729" s="28" t="s">
        <v>52</v>
      </c>
      <c r="K1729" s="28" t="s">
        <v>52</v>
      </c>
      <c r="L1729" s="28" t="s">
        <v>52</v>
      </c>
      <c r="M1729" s="28" t="s">
        <v>52</v>
      </c>
      <c r="N1729" s="28" t="s">
        <v>52</v>
      </c>
    </row>
    <row r="1730" spans="1:14" x14ac:dyDescent="0.15">
      <c r="A1730" s="23" t="str">
        <f>HYPERLINK("https://www.spark-marketing.ru/Card/Person/330022", "ФЛ Балаковская АЭС АО ""Концерн Росэнергоатом""")</f>
        <v>ФЛ Балаковская АЭС АО "Концерн Росэнергоатом"</v>
      </c>
      <c r="B1730" s="24" t="s">
        <v>211</v>
      </c>
      <c r="C1730" s="28" t="s">
        <v>52</v>
      </c>
      <c r="D1730" s="22" t="s">
        <v>2787</v>
      </c>
      <c r="E1730" s="22" t="s">
        <v>2788</v>
      </c>
      <c r="F1730" s="23" t="str">
        <f>HYPERLINK("https://www.spark-marketing.ru/Card/Lot/73288653", "Вторичные приборы или аналог/эквивалент")</f>
        <v>Вторичные приборы или аналог/эквивалент</v>
      </c>
      <c r="G1730" s="22" t="s">
        <v>55</v>
      </c>
      <c r="H1730" s="22" t="s">
        <v>55</v>
      </c>
      <c r="I1730" s="26">
        <v>43715.464386574102</v>
      </c>
      <c r="J1730" s="28" t="s">
        <v>52</v>
      </c>
      <c r="K1730" s="28" t="s">
        <v>52</v>
      </c>
      <c r="L1730" s="28" t="s">
        <v>52</v>
      </c>
      <c r="M1730" s="28" t="s">
        <v>52</v>
      </c>
      <c r="N1730" s="28" t="s">
        <v>52</v>
      </c>
    </row>
    <row r="1731" spans="1:14" x14ac:dyDescent="0.15">
      <c r="A1731" s="23" t="str">
        <f>HYPERLINK("https://www.spark-marketing.ru/Card/Person/59315", "ФБУЗ ""ЦЕНТР ГИГИЕНЫ И ЭПИДЕМИОЛОГИИ В ЯМАЛО-НЕНЕЦКОМ АВТОНОМНОМ ОКРУГЕ""")</f>
        <v>ФБУЗ "ЦЕНТР ГИГИЕНЫ И ЭПИДЕМИОЛОГИИ В ЯМАЛО-НЕНЕЦКОМ АВТОНОМНОМ ОКРУГЕ"</v>
      </c>
      <c r="B1731" s="24" t="s">
        <v>385</v>
      </c>
      <c r="C1731" s="25">
        <v>296000.03999999998</v>
      </c>
      <c r="D1731" s="22" t="s">
        <v>2789</v>
      </c>
      <c r="E1731" s="22" t="s">
        <v>49</v>
      </c>
      <c r="F1731" s="23" t="str">
        <f>HYPERLINK("https://www.spark-marketing.ru/Card/Lot/73278126", "оказание услуг по централизованной охране объекта для нужд филиала Федерального бюджетного учреждения здравоохранения ""Центр гигиены и эпидемиологии в Ямало-Ненецком автономном округе в городе Новый Уренгой, Тазовском районе""")</f>
        <v>оказание услуг по централизованной охране объекта для нужд филиала Федерального бюджетного учреждения здравоохранения "Центр гигиены и эпидемиологии в Ямало-Ненецком автономном округе в городе Новый Уренгой, Тазовском районе"</v>
      </c>
      <c r="G1731" s="22" t="s">
        <v>311</v>
      </c>
      <c r="H1731" s="22" t="s">
        <v>311</v>
      </c>
      <c r="I1731" s="26">
        <v>43714</v>
      </c>
      <c r="J1731" s="28" t="s">
        <v>52</v>
      </c>
      <c r="K1731" s="28" t="s">
        <v>52</v>
      </c>
      <c r="L1731" s="28" t="s">
        <v>52</v>
      </c>
      <c r="M1731" s="28" t="s">
        <v>52</v>
      </c>
      <c r="N1731" s="28" t="s">
        <v>52</v>
      </c>
    </row>
    <row r="1732" spans="1:14" x14ac:dyDescent="0.15">
      <c r="A1732" s="23" t="str">
        <f>HYPERLINK("https://www.spark-marketing.ru/Card/Person/9367", "АДМИНИСТРАЦИЯ МО ""РОЩИНСКОЕ ГОРОДСКОЕ ПОСЕЛЕНИЕ""")</f>
        <v>АДМИНИСТРАЦИЯ МО "РОЩИНСКОЕ ГОРОДСКОЕ ПОСЕЛЕНИЕ"</v>
      </c>
      <c r="B1732" s="24" t="s">
        <v>2790</v>
      </c>
      <c r="C1732" s="25">
        <v>1192679.8</v>
      </c>
      <c r="D1732" s="22" t="s">
        <v>2791</v>
      </c>
      <c r="E1732" s="22" t="s">
        <v>2623</v>
      </c>
      <c r="F1732" s="23" t="str">
        <f>HYPERLINK("https://www.spark-marketing.ru/Card/Lot/73286835", "Установка обзорных камер видеонаблюдения в парковой зоне в пос. Рощино, ул. Советская")</f>
        <v>Установка обзорных камер видеонаблюдения в парковой зоне в пос. Рощино, ул. Советская</v>
      </c>
      <c r="G1732" s="22" t="s">
        <v>861</v>
      </c>
      <c r="H1732" s="22" t="s">
        <v>2792</v>
      </c>
      <c r="I1732" s="26">
        <v>43714.694571759297</v>
      </c>
      <c r="J1732" s="23" t="str">
        <f>HYPERLINK("https://www.spark-marketing.ru/Card/Person/4883453", "Гергишан Ольга Викторовна")</f>
        <v>Гергишан Ольга Викторовна</v>
      </c>
      <c r="K1732" s="24" t="s">
        <v>2793</v>
      </c>
      <c r="L1732" s="28" t="s">
        <v>52</v>
      </c>
      <c r="M1732" s="28" t="s">
        <v>52</v>
      </c>
      <c r="N1732" s="28" t="s">
        <v>52</v>
      </c>
    </row>
    <row r="1733" spans="1:14" hidden="1" outlineLevel="1" x14ac:dyDescent="0.15">
      <c r="A1733" s="23" t="str">
        <f>HYPERLINK("https://www.spark-marketing.ru/Card/Person/9367", "АДМИНИСТРАЦИЯ МО ""РОЩИНСКОЕ ГОРОДСКОЕ ПОСЕЛЕНИЕ""")</f>
        <v>АДМИНИСТРАЦИЯ МО "РОЩИНСКОЕ ГОРОДСКОЕ ПОСЕЛЕНИЕ"</v>
      </c>
      <c r="B1733" s="24" t="s">
        <v>2790</v>
      </c>
      <c r="C1733" s="25">
        <v>1192679.8</v>
      </c>
      <c r="D1733" s="22" t="s">
        <v>2791</v>
      </c>
      <c r="E1733" s="22" t="s">
        <v>2623</v>
      </c>
      <c r="F1733" s="23" t="str">
        <f>HYPERLINK("https://www.spark-marketing.ru/Card/Lot/73286835", "Установка обзорных камер видеонаблюдения в парковой зоне в пос. Рощино, ул. Советская")</f>
        <v>Установка обзорных камер видеонаблюдения в парковой зоне в пос. Рощино, ул. Советская</v>
      </c>
      <c r="G1733" s="22" t="s">
        <v>861</v>
      </c>
      <c r="H1733" s="22" t="s">
        <v>2792</v>
      </c>
      <c r="I1733" s="26">
        <v>43714.694571759297</v>
      </c>
      <c r="J1733" s="23" t="str">
        <f>HYPERLINK("https://www.spark-marketing.ru/Card/Person/4883453", "Гергишан Ольга Викторовна")</f>
        <v>Гергишан Ольга Викторовна</v>
      </c>
      <c r="K1733" s="24" t="s">
        <v>2793</v>
      </c>
      <c r="L1733" s="22" t="s">
        <v>10</v>
      </c>
      <c r="M1733" s="28" t="s">
        <v>52</v>
      </c>
      <c r="N1733" s="28" t="s">
        <v>52</v>
      </c>
    </row>
    <row r="1734" spans="1:14" x14ac:dyDescent="0.15">
      <c r="A1734" s="23" t="str">
        <f>HYPERLINK("https://www.spark-marketing.ru/Card/Person/136405", "МО МВД РОССИИ ""КЛИНЦОВСКИЙ""")</f>
        <v>МО МВД РОССИИ "КЛИНЦОВСКИЙ"</v>
      </c>
      <c r="B1734" s="24" t="s">
        <v>2794</v>
      </c>
      <c r="C1734" s="25">
        <v>8001</v>
      </c>
      <c r="D1734" s="22" t="s">
        <v>2795</v>
      </c>
      <c r="E1734" s="22" t="s">
        <v>107</v>
      </c>
      <c r="F1734" s="23" t="str">
        <f>HYPERLINK("https://www.spark-marketing.ru/Card/Lot/73278175", "Техническое обслуживание системы видеонаблюдения, 1 шт")</f>
        <v>Техническое обслуживание системы видеонаблюдения, 1 шт</v>
      </c>
      <c r="G1734" s="22" t="s">
        <v>215</v>
      </c>
      <c r="H1734" s="22" t="s">
        <v>2796</v>
      </c>
      <c r="I1734" s="26">
        <v>43714.645520833299</v>
      </c>
      <c r="J1734" s="28" t="s">
        <v>52</v>
      </c>
      <c r="K1734" s="28" t="s">
        <v>52</v>
      </c>
      <c r="L1734" s="28" t="s">
        <v>52</v>
      </c>
      <c r="M1734" s="28" t="s">
        <v>52</v>
      </c>
      <c r="N1734" s="28" t="s">
        <v>52</v>
      </c>
    </row>
    <row r="1735" spans="1:14" x14ac:dyDescent="0.15">
      <c r="A1735" s="23" t="str">
        <f>HYPERLINK("https://www.spark-marketing.ru/Card/Person/47411", "ГБУЗ РБ ГОРОДСКАЯ ИНФЕКЦИОННАЯ БОЛЬНИЦА Г. СТЕРЛИТАМАК")</f>
        <v>ГБУЗ РБ ГОРОДСКАЯ ИНФЕКЦИОННАЯ БОЛЬНИЦА Г. СТЕРЛИТАМАК</v>
      </c>
      <c r="B1735" s="24" t="s">
        <v>2797</v>
      </c>
      <c r="C1735" s="25">
        <v>191160</v>
      </c>
      <c r="D1735" s="22" t="s">
        <v>2798</v>
      </c>
      <c r="E1735" s="22" t="s">
        <v>68</v>
      </c>
      <c r="F1735" s="23" t="str">
        <f>HYPERLINK("https://www.spark-marketing.ru/Card/Lot/73283777", "услуги, связанные с обеспечением общественного порядка и безопасности (услуги по охране территории объекта, помещений и имущества)")</f>
        <v>услуги, связанные с обеспечением общественного порядка и безопасности (услуги по охране территории объекта, помещений и имущества)</v>
      </c>
      <c r="G1735" s="22" t="s">
        <v>100</v>
      </c>
      <c r="H1735" s="22" t="s">
        <v>2799</v>
      </c>
      <c r="I1735" s="26">
        <v>43714.664583333302</v>
      </c>
      <c r="J1735" s="28" t="s">
        <v>52</v>
      </c>
      <c r="K1735" s="28" t="s">
        <v>52</v>
      </c>
      <c r="L1735" s="28" t="s">
        <v>52</v>
      </c>
      <c r="M1735" s="28" t="s">
        <v>52</v>
      </c>
      <c r="N1735" s="28" t="s">
        <v>52</v>
      </c>
    </row>
    <row r="1736" spans="1:14" hidden="1" outlineLevel="1" x14ac:dyDescent="0.2">
      <c r="A1736" s="23" t="str">
        <f>HYPERLINK("https://www.spark-marketing.ru/Card/Person/47411", "ГБУЗ РБ ГОРОДСКАЯ ИНФЕКЦИОННАЯ БОЛЬНИЦА Г. СТЕРЛИТАМАК")</f>
        <v>ГБУЗ РБ ГОРОДСКАЯ ИНФЕКЦИОННАЯ БОЛЬНИЦА Г. СТЕРЛИТАМАК</v>
      </c>
      <c r="B1736" s="24" t="s">
        <v>2797</v>
      </c>
      <c r="C1736" s="25">
        <v>191160</v>
      </c>
      <c r="D1736" s="22" t="s">
        <v>2798</v>
      </c>
      <c r="E1736" s="22" t="s">
        <v>68</v>
      </c>
      <c r="F1736" s="23" t="str">
        <f>HYPERLINK("https://www.spark-marketing.ru/Card/Lot/73283777", "услуги, связанные с обеспечением общественного порядка и безопасности (услуги по охране территории объекта, помещений и имущества)")</f>
        <v>услуги, связанные с обеспечением общественного порядка и безопасности (услуги по охране территории объекта, помещений и имущества)</v>
      </c>
      <c r="G1736" s="22" t="s">
        <v>100</v>
      </c>
      <c r="H1736" s="22" t="s">
        <v>2799</v>
      </c>
      <c r="I1736" s="26">
        <v>43714.664583333302</v>
      </c>
      <c r="J1736" s="23" t="str">
        <f>HYPERLINK("https://www.spark-marketing.ru/Card/Person/1892674", "ООО ""ЧОО ""ТРИТОН""")</f>
        <v>ООО "ЧОО "ТРИТОН"</v>
      </c>
      <c r="K1736" s="24" t="s">
        <v>2800</v>
      </c>
      <c r="L1736" s="28" t="s">
        <v>52</v>
      </c>
      <c r="M1736" s="25">
        <v>153883.79999999999</v>
      </c>
      <c r="N1736" s="27">
        <v>0.19500000000000001</v>
      </c>
    </row>
    <row r="1737" spans="1:14" ht="12.75" hidden="1" outlineLevel="1" x14ac:dyDescent="0.2">
      <c r="A1737" s="23" t="str">
        <f>HYPERLINK("https://www.spark-marketing.ru/Card/Person/47411", "ГБУЗ РБ ГОРОДСКАЯ ИНФЕКЦИОННАЯ БОЛЬНИЦА Г. СТЕРЛИТАМАК")</f>
        <v>ГБУЗ РБ ГОРОДСКАЯ ИНФЕКЦИОННАЯ БОЛЬНИЦА Г. СТЕРЛИТАМАК</v>
      </c>
      <c r="B1737" s="24" t="s">
        <v>2797</v>
      </c>
      <c r="C1737" s="25">
        <v>191160</v>
      </c>
      <c r="D1737" s="22" t="s">
        <v>2798</v>
      </c>
      <c r="E1737" s="22" t="s">
        <v>68</v>
      </c>
      <c r="F1737" s="23" t="str">
        <f>HYPERLINK("https://www.spark-marketing.ru/Card/Lot/73283777", "услуги, связанные с обеспечением общественного порядка и безопасности (услуги по охране территории объекта, помещений и имущества)")</f>
        <v>услуги, связанные с обеспечением общественного порядка и безопасности (услуги по охране территории объекта, помещений и имущества)</v>
      </c>
      <c r="G1737" s="22" t="s">
        <v>100</v>
      </c>
      <c r="H1737" s="22" t="s">
        <v>2799</v>
      </c>
      <c r="I1737" s="26">
        <v>43714.664583333302</v>
      </c>
      <c r="J1737" s="23" t="str">
        <f>HYPERLINK("https://www.spark-marketing.ru/Card/Person/2276981", "ООО ""ЧОП ""БАСТИОН""")</f>
        <v>ООО "ЧОП "БАСТИОН"</v>
      </c>
      <c r="K1737" s="24" t="s">
        <v>2801</v>
      </c>
      <c r="L1737" s="22" t="s">
        <v>10</v>
      </c>
      <c r="M1737" s="25">
        <v>152928</v>
      </c>
      <c r="N1737" s="27">
        <v>0.2</v>
      </c>
    </row>
    <row r="1738" spans="1:14" x14ac:dyDescent="0.15">
      <c r="A1738" s="23" t="str">
        <f>HYPERLINK("https://www.spark-marketing.ru/Card/Person/21239", "ГБОУ СРЕДНЯЯ ШКОЛА № 288 АДМИРАЛТЕЙСКОГО РАЙОНА САНКТ-ПЕТЕРБУРГА")</f>
        <v>ГБОУ СРЕДНЯЯ ШКОЛА № 288 АДМИРАЛТЕЙСКОГО РАЙОНА САНКТ-ПЕТЕРБУРГА</v>
      </c>
      <c r="B1738" s="24" t="s">
        <v>2802</v>
      </c>
      <c r="C1738" s="25">
        <v>1111907.5900000001</v>
      </c>
      <c r="D1738" s="22" t="s">
        <v>2803</v>
      </c>
      <c r="E1738" s="22" t="s">
        <v>59</v>
      </c>
      <c r="F1738" s="23" t="str">
        <f>HYPERLINK("https://www.spark-marketing.ru/Card/Lot/73285521", "Выполнение работ по установке системы охранно-тревожной сигнализации (ОС, КТС) в здании")</f>
        <v>Выполнение работ по установке системы охранно-тревожной сигнализации (ОС, КТС) в здании</v>
      </c>
      <c r="G1738" s="22" t="s">
        <v>89</v>
      </c>
      <c r="H1738" s="22" t="s">
        <v>89</v>
      </c>
      <c r="I1738" s="26">
        <v>43714.644444444399</v>
      </c>
      <c r="J1738" s="23" t="str">
        <f>HYPERLINK("https://www.spark-marketing.ru/Card/Person/4867026", "ООО ""НЕОН""")</f>
        <v>ООО "НЕОН"</v>
      </c>
      <c r="K1738" s="24" t="s">
        <v>2804</v>
      </c>
      <c r="L1738" s="28" t="s">
        <v>52</v>
      </c>
      <c r="M1738" s="28" t="s">
        <v>52</v>
      </c>
      <c r="N1738" s="28" t="s">
        <v>52</v>
      </c>
    </row>
    <row r="1739" spans="1:14" ht="12.75" hidden="1" outlineLevel="1" x14ac:dyDescent="0.2">
      <c r="A1739" s="23" t="str">
        <f>HYPERLINK("https://www.spark-marketing.ru/Card/Person/21239", "ГБОУ СРЕДНЯЯ ШКОЛА № 288 АДМИРАЛТЕЙСКОГО РАЙОНА САНКТ-ПЕТЕРБУРГА")</f>
        <v>ГБОУ СРЕДНЯЯ ШКОЛА № 288 АДМИРАЛТЕЙСКОГО РАЙОНА САНКТ-ПЕТЕРБУРГА</v>
      </c>
      <c r="B1739" s="24" t="s">
        <v>2802</v>
      </c>
      <c r="C1739" s="25">
        <v>1111907.5900000001</v>
      </c>
      <c r="D1739" s="22" t="s">
        <v>2803</v>
      </c>
      <c r="E1739" s="22" t="s">
        <v>59</v>
      </c>
      <c r="F1739" s="23" t="str">
        <f>HYPERLINK("https://www.spark-marketing.ru/Card/Lot/73285521", "Выполнение работ по установке системы охранно-тревожной сигнализации (ОС, КТС) в здании")</f>
        <v>Выполнение работ по установке системы охранно-тревожной сигнализации (ОС, КТС) в здании</v>
      </c>
      <c r="G1739" s="22" t="s">
        <v>89</v>
      </c>
      <c r="H1739" s="22" t="s">
        <v>89</v>
      </c>
      <c r="I1739" s="26">
        <v>43714.644444444399</v>
      </c>
      <c r="J1739" s="23" t="str">
        <f>HYPERLINK("https://www.spark-marketing.ru/Card/Person/4867026", "ООО ""НЕОН""")</f>
        <v>ООО "НЕОН"</v>
      </c>
      <c r="K1739" s="24" t="s">
        <v>2804</v>
      </c>
      <c r="L1739" s="22" t="s">
        <v>10</v>
      </c>
      <c r="M1739" s="25">
        <v>1106348.05</v>
      </c>
      <c r="N1739" s="27">
        <v>5.0000018436783941E-3</v>
      </c>
    </row>
    <row r="1740" spans="1:14" x14ac:dyDescent="0.15">
      <c r="A1740" s="23" t="str">
        <f>HYPERLINK("https://www.spark-marketing.ru/Card/Person/22984", "ФКУЗ ""МСЧ МВД РОССИИ ПО НОВГОРОДСКОЙ ОБЛАСТИ""")</f>
        <v>ФКУЗ "МСЧ МВД РОССИИ ПО НОВГОРОДСКОЙ ОБЛАСТИ"</v>
      </c>
      <c r="B1740" s="24" t="s">
        <v>2764</v>
      </c>
      <c r="C1740" s="25">
        <v>21600</v>
      </c>
      <c r="D1740" s="22" t="s">
        <v>2805</v>
      </c>
      <c r="E1740" s="22" t="s">
        <v>208</v>
      </c>
      <c r="F1740" s="23" t="str">
        <f>HYPERLINK("https://www.spark-marketing.ru/Card/Lot/73283991", "Техническое обслуживание тревожной и охранной сигнализации")</f>
        <v>Техническое обслуживание тревожной и охранной сигнализации</v>
      </c>
      <c r="G1740" s="22" t="s">
        <v>959</v>
      </c>
      <c r="H1740" s="22" t="s">
        <v>960</v>
      </c>
      <c r="I1740" s="26">
        <v>43714.6875</v>
      </c>
      <c r="J1740" s="28" t="s">
        <v>52</v>
      </c>
      <c r="K1740" s="28" t="s">
        <v>52</v>
      </c>
      <c r="L1740" s="28" t="s">
        <v>52</v>
      </c>
      <c r="M1740" s="28" t="s">
        <v>52</v>
      </c>
      <c r="N1740" s="28" t="s">
        <v>52</v>
      </c>
    </row>
    <row r="1741" spans="1:14" hidden="1" outlineLevel="1" x14ac:dyDescent="0.2">
      <c r="A1741" s="23" t="str">
        <f>HYPERLINK("https://www.spark-marketing.ru/Card/Person/22984", "ФКУЗ ""МСЧ МВД РОССИИ ПО НОВГОРОДСКОЙ ОБЛАСТИ""")</f>
        <v>ФКУЗ "МСЧ МВД РОССИИ ПО НОВГОРОДСКОЙ ОБЛАСТИ"</v>
      </c>
      <c r="B1741" s="24" t="s">
        <v>2764</v>
      </c>
      <c r="C1741" s="25">
        <v>21600</v>
      </c>
      <c r="D1741" s="22" t="s">
        <v>2805</v>
      </c>
      <c r="E1741" s="22" t="s">
        <v>208</v>
      </c>
      <c r="F1741" s="23" t="str">
        <f>HYPERLINK("https://www.spark-marketing.ru/Card/Lot/73283991", "Техническое обслуживание тревожной и охранной сигнализации")</f>
        <v>Техническое обслуживание тревожной и охранной сигнализации</v>
      </c>
      <c r="G1741" s="22" t="s">
        <v>959</v>
      </c>
      <c r="H1741" s="22" t="s">
        <v>960</v>
      </c>
      <c r="I1741" s="26">
        <v>43714.6875</v>
      </c>
      <c r="J1741" s="23" t="str">
        <f>HYPERLINK("https://www.spark-marketing.ru/Card/Person/397860", "ООО ""РАТИБОР СПЕЦСИСТЕМЫ""")</f>
        <v>ООО "РАТИБОР СПЕЦСИСТЕМЫ"</v>
      </c>
      <c r="K1741" s="24" t="s">
        <v>2767</v>
      </c>
      <c r="L1741" s="28" t="s">
        <v>52</v>
      </c>
      <c r="M1741" s="25">
        <v>16848</v>
      </c>
      <c r="N1741" s="27">
        <v>0.22</v>
      </c>
    </row>
    <row r="1742" spans="1:14" ht="12.75" hidden="1" outlineLevel="1" x14ac:dyDescent="0.2">
      <c r="A1742" s="23" t="str">
        <f>HYPERLINK("https://www.spark-marketing.ru/Card/Person/22984", "ФКУЗ ""МСЧ МВД РОССИИ ПО НОВГОРОДСКОЙ ОБЛАСТИ""")</f>
        <v>ФКУЗ "МСЧ МВД РОССИИ ПО НОВГОРОДСКОЙ ОБЛАСТИ"</v>
      </c>
      <c r="B1742" s="24" t="s">
        <v>2764</v>
      </c>
      <c r="C1742" s="25">
        <v>21600</v>
      </c>
      <c r="D1742" s="22" t="s">
        <v>2805</v>
      </c>
      <c r="E1742" s="22" t="s">
        <v>208</v>
      </c>
      <c r="F1742" s="23" t="str">
        <f>HYPERLINK("https://www.spark-marketing.ru/Card/Lot/73283991", "Техническое обслуживание тревожной и охранной сигнализации")</f>
        <v>Техническое обслуживание тревожной и охранной сигнализации</v>
      </c>
      <c r="G1742" s="22" t="s">
        <v>959</v>
      </c>
      <c r="H1742" s="22" t="s">
        <v>960</v>
      </c>
      <c r="I1742" s="26">
        <v>43714.6875</v>
      </c>
      <c r="J1742" s="23" t="str">
        <f>HYPERLINK("https://www.spark-marketing.ru/Card/Person/365030", "ООО ""БЕЗОПАСНОСТЬ""")</f>
        <v>ООО "БЕЗОПАСНОСТЬ"</v>
      </c>
      <c r="K1742" s="24" t="s">
        <v>2806</v>
      </c>
      <c r="L1742" s="22" t="s">
        <v>10</v>
      </c>
      <c r="M1742" s="25">
        <v>16740</v>
      </c>
      <c r="N1742" s="27">
        <v>0.22500000000000001</v>
      </c>
    </row>
    <row r="1743" spans="1:14" hidden="1" outlineLevel="1" x14ac:dyDescent="0.2">
      <c r="A1743" s="23" t="str">
        <f>HYPERLINK("https://www.spark-marketing.ru/Card/Person/22984", "ФКУЗ ""МСЧ МВД РОССИИ ПО НОВГОРОДСКОЙ ОБЛАСТИ""")</f>
        <v>ФКУЗ "МСЧ МВД РОССИИ ПО НОВГОРОДСКОЙ ОБЛАСТИ"</v>
      </c>
      <c r="B1743" s="24" t="s">
        <v>2764</v>
      </c>
      <c r="C1743" s="25">
        <v>21600</v>
      </c>
      <c r="D1743" s="22" t="s">
        <v>2805</v>
      </c>
      <c r="E1743" s="22" t="s">
        <v>208</v>
      </c>
      <c r="F1743" s="23" t="str">
        <f>HYPERLINK("https://www.spark-marketing.ru/Card/Lot/73283991", "Техническое обслуживание тревожной и охранной сигнализации")</f>
        <v>Техническое обслуживание тревожной и охранной сигнализации</v>
      </c>
      <c r="G1743" s="22" t="s">
        <v>959</v>
      </c>
      <c r="H1743" s="22" t="s">
        <v>960</v>
      </c>
      <c r="I1743" s="26">
        <v>43714.6875</v>
      </c>
      <c r="J1743" s="23" t="str">
        <f>HYPERLINK("https://www.spark-marketing.ru/Card/Person/442012", "ООО ""ЛУЧ""")</f>
        <v>ООО "ЛУЧ"</v>
      </c>
      <c r="K1743" s="24" t="s">
        <v>2766</v>
      </c>
      <c r="L1743" s="28" t="s">
        <v>52</v>
      </c>
      <c r="M1743" s="25">
        <v>16740</v>
      </c>
      <c r="N1743" s="27">
        <v>0.22500000000000001</v>
      </c>
    </row>
    <row r="1744" spans="1:14" x14ac:dyDescent="0.15">
      <c r="A1744" s="23" t="str">
        <f>HYPERLINK("https://www.spark-marketing.ru/Card/Person/8126", "ТФОМС ИРКУТСКОЙ ОБЛАСТИ")</f>
        <v>ТФОМС ИРКУТСКОЙ ОБЛАСТИ</v>
      </c>
      <c r="B1744" s="24" t="s">
        <v>2807</v>
      </c>
      <c r="C1744" s="25">
        <v>18480</v>
      </c>
      <c r="D1744" s="22" t="s">
        <v>2808</v>
      </c>
      <c r="E1744" s="22" t="s">
        <v>52</v>
      </c>
      <c r="F1744" s="23" t="str">
        <f>HYPERLINK("https://www.spark-marketing.ru/Card/Lot/73272741", "Услуги охраны с помощью сигнализации офиса Усть-Кутского филиала с 01.10.2019 г. по 31.08.2020 г.")</f>
        <v>Услуги охраны с помощью сигнализации офиса Усть-Кутского филиала с 01.10.2019 г. по 31.08.2020 г.</v>
      </c>
      <c r="G1744" s="22" t="s">
        <v>281</v>
      </c>
      <c r="H1744" s="22" t="s">
        <v>281</v>
      </c>
      <c r="I1744" s="26">
        <v>43714.627083333296</v>
      </c>
      <c r="J1744" s="28" t="s">
        <v>52</v>
      </c>
      <c r="K1744" s="28" t="s">
        <v>52</v>
      </c>
      <c r="L1744" s="28" t="s">
        <v>52</v>
      </c>
      <c r="M1744" s="28" t="s">
        <v>52</v>
      </c>
      <c r="N1744" s="28" t="s">
        <v>52</v>
      </c>
    </row>
    <row r="1745" spans="1:14" ht="12.75" hidden="1" outlineLevel="1" x14ac:dyDescent="0.2">
      <c r="A1745" s="23" t="str">
        <f>HYPERLINK("https://www.spark-marketing.ru/Card/Person/8126", "ТФОМС ИРКУТСКОЙ ОБЛАСТИ")</f>
        <v>ТФОМС ИРКУТСКОЙ ОБЛАСТИ</v>
      </c>
      <c r="B1745" s="24" t="s">
        <v>2807</v>
      </c>
      <c r="C1745" s="25">
        <v>18480</v>
      </c>
      <c r="D1745" s="22" t="s">
        <v>2808</v>
      </c>
      <c r="E1745" s="22" t="s">
        <v>52</v>
      </c>
      <c r="F1745" s="23" t="str">
        <f>HYPERLINK("https://www.spark-marketing.ru/Card/Lot/73272741", "Услуги охраны с помощью сигнализации офиса Усть-Кутского филиала с 01.10.2019 г. по 31.08.2020 г.")</f>
        <v>Услуги охраны с помощью сигнализации офиса Усть-Кутского филиала с 01.10.2019 г. по 31.08.2020 г.</v>
      </c>
      <c r="G1745" s="22" t="s">
        <v>281</v>
      </c>
      <c r="H1745" s="22" t="s">
        <v>281</v>
      </c>
      <c r="I1745" s="26">
        <v>43714.627083333296</v>
      </c>
      <c r="J1745" s="23" t="str">
        <f>HYPERLINK("https://www.spark-marketing.ru/Card/Person/289414", "ООО ""ОПП ""СТАРКОМ-БРИЗ""")</f>
        <v>ООО "ОПП "СТАРКОМ-БРИЗ"</v>
      </c>
      <c r="K1745" s="24" t="s">
        <v>2809</v>
      </c>
      <c r="L1745" s="22" t="s">
        <v>10</v>
      </c>
      <c r="M1745" s="25">
        <v>13952.4</v>
      </c>
      <c r="N1745" s="27">
        <v>0.245</v>
      </c>
    </row>
    <row r="1746" spans="1:14" hidden="1" outlineLevel="1" x14ac:dyDescent="0.2">
      <c r="A1746" s="23" t="str">
        <f>HYPERLINK("https://www.spark-marketing.ru/Card/Person/8126", "ТФОМС ИРКУТСКОЙ ОБЛАСТИ")</f>
        <v>ТФОМС ИРКУТСКОЙ ОБЛАСТИ</v>
      </c>
      <c r="B1746" s="24" t="s">
        <v>2807</v>
      </c>
      <c r="C1746" s="25">
        <v>18480</v>
      </c>
      <c r="D1746" s="22" t="s">
        <v>2808</v>
      </c>
      <c r="E1746" s="22" t="s">
        <v>52</v>
      </c>
      <c r="F1746" s="23" t="str">
        <f>HYPERLINK("https://www.spark-marketing.ru/Card/Lot/73272741", "Услуги охраны с помощью сигнализации офиса Усть-Кутского филиала с 01.10.2019 г. по 31.08.2020 г.")</f>
        <v>Услуги охраны с помощью сигнализации офиса Усть-Кутского филиала с 01.10.2019 г. по 31.08.2020 г.</v>
      </c>
      <c r="G1746" s="22" t="s">
        <v>281</v>
      </c>
      <c r="H1746" s="22" t="s">
        <v>281</v>
      </c>
      <c r="I1746" s="26">
        <v>43714.627083333296</v>
      </c>
      <c r="J1746" s="23" t="str">
        <f>HYPERLINK("https://www.spark-marketing.ru/Card/Person/263032", "ООО ""БАРЬЕР""")</f>
        <v>ООО "БАРЬЕР"</v>
      </c>
      <c r="K1746" s="24" t="s">
        <v>2810</v>
      </c>
      <c r="L1746" s="28" t="s">
        <v>52</v>
      </c>
      <c r="M1746" s="25">
        <v>13952.4</v>
      </c>
      <c r="N1746" s="27">
        <v>0.245</v>
      </c>
    </row>
    <row r="1747" spans="1:14" x14ac:dyDescent="0.15">
      <c r="A1747" s="23" t="str">
        <f>HYPERLINK("https://www.spark-marketing.ru/Card/Person/6450322", "ЗАКАЗЧИК РП БЕЛАРУСЬ")</f>
        <v>ЗАКАЗЧИК РП БЕЛАРУСЬ</v>
      </c>
      <c r="B1747" s="28" t="s">
        <v>52</v>
      </c>
      <c r="C1747" s="28" t="s">
        <v>52</v>
      </c>
      <c r="D1747" s="22" t="s">
        <v>2811</v>
      </c>
      <c r="E1747" s="22" t="s">
        <v>53</v>
      </c>
      <c r="F1747" s="23" t="str">
        <f>HYPERLINK("https://www.spark-marketing.ru/Card/Lot/73276868", "Строительно-монтажные работы по объекту: ""ЭСПЦ-2. Установка дополнительной видеокамеры шлакового проема ДСП-3""")</f>
        <v>Строительно-монтажные работы по объекту: "ЭСПЦ-2. Установка дополнительной видеокамеры шлакового проема ДСП-3"</v>
      </c>
      <c r="G1747" s="22" t="s">
        <v>52</v>
      </c>
      <c r="H1747" s="22" t="s">
        <v>52</v>
      </c>
      <c r="I1747" s="26">
        <v>43714</v>
      </c>
      <c r="J1747" s="28" t="s">
        <v>52</v>
      </c>
      <c r="K1747" s="28" t="s">
        <v>52</v>
      </c>
      <c r="L1747" s="28" t="s">
        <v>52</v>
      </c>
      <c r="M1747" s="28" t="s">
        <v>52</v>
      </c>
      <c r="N1747" s="28" t="s">
        <v>52</v>
      </c>
    </row>
    <row r="1748" spans="1:14" x14ac:dyDescent="0.15">
      <c r="A1748" s="23" t="str">
        <f>HYPERLINK("https://www.spark-marketing.ru/Card/Person/6450322", "ЗАКАЗЧИК РП БЕЛАРУСЬ")</f>
        <v>ЗАКАЗЧИК РП БЕЛАРУСЬ</v>
      </c>
      <c r="B1748" s="28" t="s">
        <v>52</v>
      </c>
      <c r="C1748" s="28" t="s">
        <v>52</v>
      </c>
      <c r="D1748" s="22" t="s">
        <v>2811</v>
      </c>
      <c r="E1748" s="22" t="s">
        <v>53</v>
      </c>
      <c r="F1748" s="23" t="str">
        <f>HYPERLINK("https://www.spark-marketing.ru/Card/Lot/73276869", "Строительно-монтажные работы по объекту: «СтПЦ-1. Модернизация агрегата бортовой бронзированной проволоки №2. 2-я очередь. 1-й пусковой комплекс»")</f>
        <v>Строительно-монтажные работы по объекту: «СтПЦ-1. Модернизация агрегата бортовой бронзированной проволоки №2. 2-я очередь. 1-й пусковой комплекс»</v>
      </c>
      <c r="G1748" s="22" t="s">
        <v>52</v>
      </c>
      <c r="H1748" s="22" t="s">
        <v>52</v>
      </c>
      <c r="I1748" s="26">
        <v>43714</v>
      </c>
      <c r="J1748" s="28" t="s">
        <v>52</v>
      </c>
      <c r="K1748" s="28" t="s">
        <v>52</v>
      </c>
      <c r="L1748" s="28" t="s">
        <v>52</v>
      </c>
      <c r="M1748" s="28" t="s">
        <v>52</v>
      </c>
      <c r="N1748" s="28" t="s">
        <v>52</v>
      </c>
    </row>
    <row r="1749" spans="1:14" x14ac:dyDescent="0.15">
      <c r="A1749" s="23" t="str">
        <f>HYPERLINK("https://www.spark-marketing.ru/Card/Person/4852464", "ФГУП ""РФЯЦ - ВНИИЭФ""")</f>
        <v>ФГУП "РФЯЦ - ВНИИЭФ"</v>
      </c>
      <c r="B1749" s="24" t="s">
        <v>767</v>
      </c>
      <c r="C1749" s="25">
        <v>0</v>
      </c>
      <c r="D1749" s="22" t="s">
        <v>2812</v>
      </c>
      <c r="E1749" s="22" t="s">
        <v>53</v>
      </c>
      <c r="F1749" s="23" t="str">
        <f>HYPERLINK("https://www.spark-marketing.ru/Card/Lot/73280621", "мониторинг цен в электронной форме на Оказание услуг охраны имущества и обеспечение установленного порядка в зданиях и на торговых площадках")</f>
        <v>мониторинг цен в электронной форме на Оказание услуг охраны имущества и обеспечение установленного порядка в зданиях и на торговых площадках</v>
      </c>
      <c r="G1749" s="22" t="s">
        <v>64</v>
      </c>
      <c r="H1749" s="22" t="s">
        <v>769</v>
      </c>
      <c r="I1749" s="26">
        <v>43714.564282407402</v>
      </c>
      <c r="J1749" s="28" t="s">
        <v>52</v>
      </c>
      <c r="K1749" s="28" t="s">
        <v>52</v>
      </c>
      <c r="L1749" s="28" t="s">
        <v>52</v>
      </c>
      <c r="M1749" s="28" t="s">
        <v>52</v>
      </c>
      <c r="N1749" s="28" t="s">
        <v>52</v>
      </c>
    </row>
    <row r="1750" spans="1:14" x14ac:dyDescent="0.15">
      <c r="A1750" s="23" t="str">
        <f>HYPERLINK("https://www.spark-marketing.ru/Card/Person/813014", "ФКУ ""ГБ МСЭ ПО ЧУВАШСКОЙ РЕСПУБЛИКЕ - ЧУВАШИИ"" МИНТРУДА РОССИИ")</f>
        <v>ФКУ "ГБ МСЭ ПО ЧУВАШСКОЙ РЕСПУБЛИКЕ - ЧУВАШИИ" МИНТРУДА РОССИИ</v>
      </c>
      <c r="B1750" s="24" t="s">
        <v>1733</v>
      </c>
      <c r="C1750" s="25">
        <v>79669</v>
      </c>
      <c r="D1750" s="22" t="s">
        <v>2813</v>
      </c>
      <c r="E1750" s="22" t="s">
        <v>84</v>
      </c>
      <c r="F1750" s="23" t="str">
        <f>HYPERLINK("https://www.spark-marketing.ru/Card/Lot/73273402", "Монтаж, установка, модернизация систем видеонаблюдения, 1 шт")</f>
        <v>Монтаж, установка, модернизация систем видеонаблюдения, 1 шт</v>
      </c>
      <c r="G1750" s="22" t="s">
        <v>1137</v>
      </c>
      <c r="H1750" s="22" t="s">
        <v>1138</v>
      </c>
      <c r="I1750" s="26">
        <v>43714.535370370402</v>
      </c>
      <c r="J1750" s="28" t="s">
        <v>52</v>
      </c>
      <c r="K1750" s="28" t="s">
        <v>52</v>
      </c>
      <c r="L1750" s="28" t="s">
        <v>52</v>
      </c>
      <c r="M1750" s="28" t="s">
        <v>52</v>
      </c>
      <c r="N1750" s="28" t="s">
        <v>52</v>
      </c>
    </row>
    <row r="1751" spans="1:14" x14ac:dyDescent="0.15">
      <c r="A1751" s="23" t="str">
        <f t="shared" ref="A1751:A1758" si="65">HYPERLINK("https://www.spark-marketing.ru/Card/Person/55328", "УМВД РОССИИ ПО Г. КАЛУГЕ")</f>
        <v>УМВД РОССИИ ПО Г. КАЛУГЕ</v>
      </c>
      <c r="B1751" s="24" t="s">
        <v>2814</v>
      </c>
      <c r="C1751" s="25">
        <v>159600</v>
      </c>
      <c r="D1751" s="22" t="s">
        <v>2815</v>
      </c>
      <c r="E1751" s="22" t="s">
        <v>208</v>
      </c>
      <c r="F1751" s="23" t="str">
        <f>HYPERLINK("https://www.spark-marketing.ru/Card/Lot/73276280", "Услуги по техническому обслуживанию комплекса технических средств охранной сигнализации")</f>
        <v>Услуги по техническому обслуживанию комплекса технических средств охранной сигнализации</v>
      </c>
      <c r="G1751" s="22" t="s">
        <v>658</v>
      </c>
      <c r="H1751" s="22" t="s">
        <v>741</v>
      </c>
      <c r="I1751" s="26">
        <v>43714.509722222203</v>
      </c>
      <c r="J1751" s="28" t="s">
        <v>52</v>
      </c>
      <c r="K1751" s="28" t="s">
        <v>52</v>
      </c>
      <c r="L1751" s="28" t="s">
        <v>52</v>
      </c>
      <c r="M1751" s="28" t="s">
        <v>52</v>
      </c>
      <c r="N1751" s="28" t="s">
        <v>52</v>
      </c>
    </row>
    <row r="1752" spans="1:14" hidden="1" outlineLevel="1" x14ac:dyDescent="0.2">
      <c r="A1752" s="23" t="str">
        <f t="shared" si="65"/>
        <v>УМВД РОССИИ ПО Г. КАЛУГЕ</v>
      </c>
      <c r="B1752" s="24" t="s">
        <v>2814</v>
      </c>
      <c r="C1752" s="25">
        <v>159600</v>
      </c>
      <c r="D1752" s="22" t="s">
        <v>2815</v>
      </c>
      <c r="E1752" s="22" t="s">
        <v>208</v>
      </c>
      <c r="F1752" s="23" t="str">
        <f>HYPERLINK("https://www.spark-marketing.ru/Card/Lot/73276280", "Услуги по техническому обслуживанию комплекса технических средств охранной сигнализации")</f>
        <v>Услуги по техническому обслуживанию комплекса технических средств охранной сигнализации</v>
      </c>
      <c r="G1752" s="22" t="s">
        <v>658</v>
      </c>
      <c r="H1752" s="22" t="s">
        <v>741</v>
      </c>
      <c r="I1752" s="26">
        <v>43714.509722222203</v>
      </c>
      <c r="J1752" s="23" t="str">
        <f>HYPERLINK("https://www.spark-marketing.ru/Card/Person/240552", "ООО ""ЯНЖ-СТРОЙ""")</f>
        <v>ООО "ЯНЖ-СТРОЙ"</v>
      </c>
      <c r="K1752" s="24" t="s">
        <v>2816</v>
      </c>
      <c r="L1752" s="28" t="s">
        <v>52</v>
      </c>
      <c r="M1752" s="25">
        <v>107730</v>
      </c>
      <c r="N1752" s="27">
        <v>0.32500000000000001</v>
      </c>
    </row>
    <row r="1753" spans="1:14" hidden="1" outlineLevel="1" x14ac:dyDescent="0.2">
      <c r="A1753" s="23" t="str">
        <f t="shared" si="65"/>
        <v>УМВД РОССИИ ПО Г. КАЛУГЕ</v>
      </c>
      <c r="B1753" s="24" t="s">
        <v>2814</v>
      </c>
      <c r="C1753" s="25">
        <v>159600</v>
      </c>
      <c r="D1753" s="22" t="s">
        <v>2815</v>
      </c>
      <c r="E1753" s="22" t="s">
        <v>208</v>
      </c>
      <c r="F1753" s="23" t="str">
        <f>HYPERLINK("https://www.spark-marketing.ru/Card/Lot/73276280", "Услуги по техническому обслуживанию комплекса технических средств охранной сигнализации")</f>
        <v>Услуги по техническому обслуживанию комплекса технических средств охранной сигнализации</v>
      </c>
      <c r="G1753" s="22" t="s">
        <v>658</v>
      </c>
      <c r="H1753" s="22" t="s">
        <v>741</v>
      </c>
      <c r="I1753" s="26">
        <v>43714.509722222203</v>
      </c>
      <c r="J1753" s="23" t="str">
        <f>HYPERLINK("https://www.spark-marketing.ru/Card/Person/618374", "ООО ""СТРЕЛЕЦ-МОНТАЖ""")</f>
        <v>ООО "СТРЕЛЕЦ-МОНТАЖ"</v>
      </c>
      <c r="K1753" s="24" t="s">
        <v>2817</v>
      </c>
      <c r="L1753" s="28" t="s">
        <v>52</v>
      </c>
      <c r="M1753" s="25">
        <v>129276</v>
      </c>
      <c r="N1753" s="27">
        <v>0.19</v>
      </c>
    </row>
    <row r="1754" spans="1:14" ht="12.75" hidden="1" outlineLevel="1" x14ac:dyDescent="0.2">
      <c r="A1754" s="23" t="str">
        <f t="shared" si="65"/>
        <v>УМВД РОССИИ ПО Г. КАЛУГЕ</v>
      </c>
      <c r="B1754" s="24" t="s">
        <v>2814</v>
      </c>
      <c r="C1754" s="25">
        <v>159600</v>
      </c>
      <c r="D1754" s="22" t="s">
        <v>2815</v>
      </c>
      <c r="E1754" s="22" t="s">
        <v>208</v>
      </c>
      <c r="F1754" s="23" t="str">
        <f>HYPERLINK("https://www.spark-marketing.ru/Card/Lot/73276280", "Услуги по техническому обслуживанию комплекса технических средств охранной сигнализации")</f>
        <v>Услуги по техническому обслуживанию комплекса технических средств охранной сигнализации</v>
      </c>
      <c r="G1754" s="22" t="s">
        <v>658</v>
      </c>
      <c r="H1754" s="22" t="s">
        <v>741</v>
      </c>
      <c r="I1754" s="26">
        <v>43714.509722222203</v>
      </c>
      <c r="J1754" s="23" t="str">
        <f>HYPERLINK("https://www.spark-marketing.ru/Card/Person/10487", "ФГУП ""ОХРАНА"" РОСГВАРДИИ")</f>
        <v>ФГУП "ОХРАНА" РОСГВАРДИИ</v>
      </c>
      <c r="K1754" s="24" t="s">
        <v>779</v>
      </c>
      <c r="L1754" s="22" t="s">
        <v>10</v>
      </c>
      <c r="M1754" s="25">
        <v>106932</v>
      </c>
      <c r="N1754" s="27">
        <v>0.33</v>
      </c>
    </row>
    <row r="1755" spans="1:14" x14ac:dyDescent="0.15">
      <c r="A1755" s="23" t="str">
        <f t="shared" si="65"/>
        <v>УМВД РОССИИ ПО Г. КАЛУГЕ</v>
      </c>
      <c r="B1755" s="24" t="s">
        <v>2814</v>
      </c>
      <c r="C1755" s="25">
        <v>159600</v>
      </c>
      <c r="D1755" s="22" t="s">
        <v>2818</v>
      </c>
      <c r="E1755" s="22" t="s">
        <v>208</v>
      </c>
      <c r="F1755" s="23" t="str">
        <f>HYPERLINK("https://www.spark-marketing.ru/Card/Lot/73276281", "Услуги по техническому обслуживанию комплекса технических средств охранной сигнализации")</f>
        <v>Услуги по техническому обслуживанию комплекса технических средств охранной сигнализации</v>
      </c>
      <c r="G1755" s="22" t="s">
        <v>658</v>
      </c>
      <c r="H1755" s="22" t="s">
        <v>741</v>
      </c>
      <c r="I1755" s="26">
        <v>43714.5090277778</v>
      </c>
      <c r="J1755" s="28" t="s">
        <v>52</v>
      </c>
      <c r="K1755" s="28" t="s">
        <v>52</v>
      </c>
      <c r="L1755" s="28" t="s">
        <v>52</v>
      </c>
      <c r="M1755" s="28" t="s">
        <v>52</v>
      </c>
      <c r="N1755" s="28" t="s">
        <v>52</v>
      </c>
    </row>
    <row r="1756" spans="1:14" hidden="1" outlineLevel="1" x14ac:dyDescent="0.2">
      <c r="A1756" s="23" t="str">
        <f t="shared" si="65"/>
        <v>УМВД РОССИИ ПО Г. КАЛУГЕ</v>
      </c>
      <c r="B1756" s="24" t="s">
        <v>2814</v>
      </c>
      <c r="C1756" s="25">
        <v>159600</v>
      </c>
      <c r="D1756" s="22" t="s">
        <v>2818</v>
      </c>
      <c r="E1756" s="22" t="s">
        <v>208</v>
      </c>
      <c r="F1756" s="23" t="str">
        <f>HYPERLINK("https://www.spark-marketing.ru/Card/Lot/73276281", "Услуги по техническому обслуживанию комплекса технических средств охранной сигнализации")</f>
        <v>Услуги по техническому обслуживанию комплекса технических средств охранной сигнализации</v>
      </c>
      <c r="G1756" s="22" t="s">
        <v>658</v>
      </c>
      <c r="H1756" s="22" t="s">
        <v>741</v>
      </c>
      <c r="I1756" s="26">
        <v>43714.5090277778</v>
      </c>
      <c r="J1756" s="23" t="str">
        <f>HYPERLINK("https://www.spark-marketing.ru/Card/Person/240552", "ООО ""ЯНЖ-СТРОЙ""")</f>
        <v>ООО "ЯНЖ-СТРОЙ"</v>
      </c>
      <c r="K1756" s="24" t="s">
        <v>2816</v>
      </c>
      <c r="L1756" s="28" t="s">
        <v>52</v>
      </c>
      <c r="M1756" s="25">
        <v>112329.12</v>
      </c>
      <c r="N1756" s="27">
        <v>0.29618345864661655</v>
      </c>
    </row>
    <row r="1757" spans="1:14" ht="12.75" hidden="1" outlineLevel="1" x14ac:dyDescent="0.2">
      <c r="A1757" s="23" t="str">
        <f t="shared" si="65"/>
        <v>УМВД РОССИИ ПО Г. КАЛУГЕ</v>
      </c>
      <c r="B1757" s="24" t="s">
        <v>2814</v>
      </c>
      <c r="C1757" s="25">
        <v>159600</v>
      </c>
      <c r="D1757" s="22" t="s">
        <v>2818</v>
      </c>
      <c r="E1757" s="22" t="s">
        <v>208</v>
      </c>
      <c r="F1757" s="23" t="str">
        <f>HYPERLINK("https://www.spark-marketing.ru/Card/Lot/73276281", "Услуги по техническому обслуживанию комплекса технических средств охранной сигнализации")</f>
        <v>Услуги по техническому обслуживанию комплекса технических средств охранной сигнализации</v>
      </c>
      <c r="G1757" s="22" t="s">
        <v>658</v>
      </c>
      <c r="H1757" s="22" t="s">
        <v>741</v>
      </c>
      <c r="I1757" s="26">
        <v>43714.5090277778</v>
      </c>
      <c r="J1757" s="23" t="str">
        <f>HYPERLINK("https://www.spark-marketing.ru/Card/Person/10487", "ФГУП ""ОХРАНА"" РОСГВАРДИИ")</f>
        <v>ФГУП "ОХРАНА" РОСГВАРДИИ</v>
      </c>
      <c r="K1757" s="24" t="s">
        <v>779</v>
      </c>
      <c r="L1757" s="22" t="s">
        <v>10</v>
      </c>
      <c r="M1757" s="25">
        <v>86580.63</v>
      </c>
      <c r="N1757" s="27">
        <v>0.45751484962406014</v>
      </c>
    </row>
    <row r="1758" spans="1:14" hidden="1" outlineLevel="1" x14ac:dyDescent="0.2">
      <c r="A1758" s="23" t="str">
        <f t="shared" si="65"/>
        <v>УМВД РОССИИ ПО Г. КАЛУГЕ</v>
      </c>
      <c r="B1758" s="24" t="s">
        <v>2814</v>
      </c>
      <c r="C1758" s="25">
        <v>159600</v>
      </c>
      <c r="D1758" s="22" t="s">
        <v>2818</v>
      </c>
      <c r="E1758" s="22" t="s">
        <v>208</v>
      </c>
      <c r="F1758" s="23" t="str">
        <f>HYPERLINK("https://www.spark-marketing.ru/Card/Lot/73276281", "Услуги по техническому обслуживанию комплекса технических средств охранной сигнализации")</f>
        <v>Услуги по техническому обслуживанию комплекса технических средств охранной сигнализации</v>
      </c>
      <c r="G1758" s="22" t="s">
        <v>658</v>
      </c>
      <c r="H1758" s="22" t="s">
        <v>741</v>
      </c>
      <c r="I1758" s="26">
        <v>43714.5090277778</v>
      </c>
      <c r="J1758" s="23" t="str">
        <f>HYPERLINK("https://www.spark-marketing.ru/Card/Person/618374", "ООО ""СТРЕЛЕЦ-МОНТАЖ""")</f>
        <v>ООО "СТРЕЛЕЦ-МОНТАЖ"</v>
      </c>
      <c r="K1758" s="24" t="s">
        <v>2817</v>
      </c>
      <c r="L1758" s="28" t="s">
        <v>52</v>
      </c>
      <c r="M1758" s="25">
        <v>87378.63</v>
      </c>
      <c r="N1758" s="27">
        <v>0.45251484962406013</v>
      </c>
    </row>
    <row r="1759" spans="1:14" x14ac:dyDescent="0.15">
      <c r="A1759" s="23" t="str">
        <f>HYPERLINK("https://www.spark-marketing.ru/Card/Person/10039", "АРБИТРАЖНЫЙ СУД КРАСНОДАРСКОГО КРАЯ")</f>
        <v>АРБИТРАЖНЫЙ СУД КРАСНОДАРСКОГО КРАЯ</v>
      </c>
      <c r="B1759" s="24" t="s">
        <v>2819</v>
      </c>
      <c r="C1759" s="25">
        <v>269622.19</v>
      </c>
      <c r="D1759" s="22" t="s">
        <v>2820</v>
      </c>
      <c r="E1759" s="22" t="s">
        <v>68</v>
      </c>
      <c r="F1759" s="23" t="str">
        <f>HYPERLINK("https://www.spark-marketing.ru/Card/Lot/73276615", "Охрана здания (физическая охрана)")</f>
        <v>Охрана здания (физическая охрана)</v>
      </c>
      <c r="G1759" s="22" t="s">
        <v>132</v>
      </c>
      <c r="H1759" s="22" t="s">
        <v>652</v>
      </c>
      <c r="I1759" s="26">
        <v>43714.493055555598</v>
      </c>
      <c r="J1759" s="23" t="str">
        <f>HYPERLINK("https://www.spark-marketing.ru/Card/Person/175626", "Фл ФГУП ""Охрана"" ВНГ России по Краснодарскому краю")</f>
        <v>Фл ФГУП "Охрана" ВНГ России по Краснодарскому краю</v>
      </c>
      <c r="K1759" s="24" t="s">
        <v>779</v>
      </c>
      <c r="L1759" s="22" t="s">
        <v>10</v>
      </c>
      <c r="M1759" s="28" t="s">
        <v>52</v>
      </c>
      <c r="N1759" s="28" t="s">
        <v>52</v>
      </c>
    </row>
    <row r="1760" spans="1:14" ht="12.75" x14ac:dyDescent="0.2">
      <c r="A1760" s="23" t="str">
        <f>HYPERLINK("https://www.spark-marketing.ru/Card/Person/32561", "АДМИНИСТРАЦИЯ МУНИЦИПАЛЬНОГО ОБРАЗОВАНИЯ ПОСЕЛОК ЧАГОДА")</f>
        <v>АДМИНИСТРАЦИЯ МУНИЦИПАЛЬНОГО ОБРАЗОВАНИЯ ПОСЕЛОК ЧАГОДА</v>
      </c>
      <c r="B1760" s="24" t="s">
        <v>2821</v>
      </c>
      <c r="C1760" s="25">
        <v>366496.67</v>
      </c>
      <c r="D1760" s="22" t="s">
        <v>2822</v>
      </c>
      <c r="E1760" s="22" t="s">
        <v>59</v>
      </c>
      <c r="F1760" s="23" t="str">
        <f>HYPERLINK("https://www.spark-marketing.ru/Card/Lot/73273515", "Выполнение работ по техническому обслуживанию системы уличного освещения МО п. Чагода Чагодощенского района Вологодской области")</f>
        <v>Выполнение работ по техническому обслуживанию системы уличного освещения МО п. Чагода Чагодощенского района Вологодской области</v>
      </c>
      <c r="G1760" s="22" t="s">
        <v>902</v>
      </c>
      <c r="H1760" s="22" t="s">
        <v>2823</v>
      </c>
      <c r="I1760" s="26">
        <v>43714.435416666704</v>
      </c>
      <c r="J1760" s="23" t="str">
        <f>HYPERLINK("https://www.spark-marketing.ru/Card/Person/4365694", "АО ""ВОЛОГДАОБЛЭНЕРГО""")</f>
        <v>АО "ВОЛОГДАОБЛЭНЕРГО"</v>
      </c>
      <c r="K1760" s="24" t="s">
        <v>2824</v>
      </c>
      <c r="L1760" s="22" t="s">
        <v>10</v>
      </c>
      <c r="M1760" s="25">
        <v>366496.67</v>
      </c>
      <c r="N1760" s="27">
        <v>0</v>
      </c>
    </row>
    <row r="1761" spans="1:14" x14ac:dyDescent="0.15">
      <c r="A1761" s="23" t="str">
        <f>HYPERLINK("https://www.spark-marketing.ru/Card/Person/261033", "МО МВД РОССИИ ""ПУЧЕЖСКИЙ""")</f>
        <v>МО МВД РОССИИ "ПУЧЕЖСКИЙ"</v>
      </c>
      <c r="B1761" s="24" t="s">
        <v>2825</v>
      </c>
      <c r="C1761" s="25">
        <v>67624.08</v>
      </c>
      <c r="D1761" s="22" t="s">
        <v>2826</v>
      </c>
      <c r="E1761" s="22" t="s">
        <v>53</v>
      </c>
      <c r="F1761" s="23" t="str">
        <f>HYPERLINK("https://www.spark-marketing.ru/Card/Lot/73269843", "Услуга по техническому обслуживанию комплекса технических средств охраны")</f>
        <v>Услуга по техническому обслуживанию комплекса технических средств охраны</v>
      </c>
      <c r="G1761" s="22" t="s">
        <v>340</v>
      </c>
      <c r="H1761" s="22" t="s">
        <v>2827</v>
      </c>
      <c r="I1761" s="26">
        <v>43714.455439814803</v>
      </c>
      <c r="J1761" s="28" t="s">
        <v>52</v>
      </c>
      <c r="K1761" s="28" t="s">
        <v>52</v>
      </c>
      <c r="L1761" s="28" t="s">
        <v>52</v>
      </c>
      <c r="M1761" s="28" t="s">
        <v>52</v>
      </c>
      <c r="N1761" s="28" t="s">
        <v>52</v>
      </c>
    </row>
    <row r="1762" spans="1:14" x14ac:dyDescent="0.15">
      <c r="A1762" s="23" t="str">
        <f>HYPERLINK("https://www.spark-marketing.ru/Card/Person/17932", "ТЕРРИТОРИАЛЬНОЕ УПРАВЛЕНИЕ НАЗАРЬЕВСКОЕ")</f>
        <v>ТЕРРИТОРИАЛЬНОЕ УПРАВЛЕНИЕ НАЗАРЬЕВСКОЕ</v>
      </c>
      <c r="B1762" s="24" t="s">
        <v>2828</v>
      </c>
      <c r="C1762" s="25">
        <v>200000</v>
      </c>
      <c r="D1762" s="22" t="s">
        <v>2829</v>
      </c>
      <c r="E1762" s="22" t="s">
        <v>107</v>
      </c>
      <c r="F1762" s="23" t="str">
        <f>HYPERLINK("https://www.spark-marketing.ru/Card/Lot/73270414", "Закупка в 2019 году услуг по техническому обслуживанию системы видеонаблюдения «Безопасный поселок» в пос. Назарьево, пос. Матвейково, д. Дарьино (пансионат Химик) Одинцовского городского округа Московской Области")</f>
        <v>Закупка в 2019 году услуг по техническому обслуживанию системы видеонаблюдения «Безопасный поселок» в пос. Назарьево, пос. Матвейково, д. Дарьино (пансионат Химик) Одинцовского городского округа Московской Области</v>
      </c>
      <c r="G1762" s="22" t="s">
        <v>50</v>
      </c>
      <c r="H1762" s="22" t="s">
        <v>1045</v>
      </c>
      <c r="I1762" s="26">
        <v>43714.450844907398</v>
      </c>
      <c r="J1762" s="28" t="s">
        <v>52</v>
      </c>
      <c r="K1762" s="28" t="s">
        <v>52</v>
      </c>
      <c r="L1762" s="28" t="s">
        <v>52</v>
      </c>
      <c r="M1762" s="28" t="s">
        <v>52</v>
      </c>
      <c r="N1762" s="28" t="s">
        <v>52</v>
      </c>
    </row>
    <row r="1763" spans="1:14" x14ac:dyDescent="0.15">
      <c r="A1763" s="23" t="str">
        <f>HYPERLINK("https://www.spark-marketing.ru/Card/Person/238612", "УВЖ ПОЛЫСАЕВСКОГО ГОРОДСКОГО ОКРУГА")</f>
        <v>УВЖ ПОЛЫСАЕВСКОГО ГОРОДСКОГО ОКРУГА</v>
      </c>
      <c r="B1763" s="24" t="s">
        <v>2830</v>
      </c>
      <c r="C1763" s="25">
        <v>1794917</v>
      </c>
      <c r="D1763" s="22" t="s">
        <v>2831</v>
      </c>
      <c r="E1763" s="22" t="s">
        <v>59</v>
      </c>
      <c r="F1763" s="23" t="str">
        <f>HYPERLINK("https://www.spark-marketing.ru/Card/Lot/73266395", "Выполнение работ по установке светофорных объектов типа Т 7 и светофорных стоек на существующих светофорных объектах")</f>
        <v>Выполнение работ по установке светофорных объектов типа Т 7 и светофорных стоек на существующих светофорных объектах</v>
      </c>
      <c r="G1763" s="22" t="s">
        <v>367</v>
      </c>
      <c r="H1763" s="22" t="s">
        <v>2832</v>
      </c>
      <c r="I1763" s="26">
        <v>43714.406944444403</v>
      </c>
      <c r="J1763" s="23" t="str">
        <f>HYPERLINK("https://www.spark-marketing.ru/Card/Person/303768", "ООО ""СТРОЙДОРСЕРВИС""")</f>
        <v>ООО "СТРОЙДОРСЕРВИС"</v>
      </c>
      <c r="K1763" s="24" t="s">
        <v>2833</v>
      </c>
      <c r="L1763" s="22" t="s">
        <v>10</v>
      </c>
      <c r="M1763" s="28" t="s">
        <v>52</v>
      </c>
      <c r="N1763" s="28" t="s">
        <v>52</v>
      </c>
    </row>
    <row r="1764" spans="1:14" x14ac:dyDescent="0.15">
      <c r="A1764" s="23" t="str">
        <f t="shared" ref="A1764:A1769" si="66">HYPERLINK("https://www.spark-marketing.ru/Card/Person/19134", "АДМИНИСТРАЦИЯ МЯСНИКОВСКОГО РАЙОНА")</f>
        <v>АДМИНИСТРАЦИЯ МЯСНИКОВСКОГО РАЙОНА</v>
      </c>
      <c r="B1764" s="24" t="s">
        <v>2834</v>
      </c>
      <c r="C1764" s="25">
        <v>124800</v>
      </c>
      <c r="D1764" s="22" t="s">
        <v>2835</v>
      </c>
      <c r="E1764" s="22" t="s">
        <v>194</v>
      </c>
      <c r="F1764" s="23" t="str">
        <f t="shared" ref="F1764:F1769" si="67">HYPERLINK("https://www.spark-marketing.ru/Card/Lot/73270912", "Приобретение камер видеонаблюдения с последующей установкой на территории стадиона, расположенного по адресу: Ростовская область, Мясниковский район, с. Чалтырь, ул. Шаумяна 143-а")</f>
        <v>Приобретение камер видеонаблюдения с последующей установкой на территории стадиона, расположенного по адресу: Ростовская область, Мясниковский район, с. Чалтырь, ул. Шаумяна 143-а</v>
      </c>
      <c r="G1764" s="22" t="s">
        <v>402</v>
      </c>
      <c r="H1764" s="22" t="s">
        <v>2836</v>
      </c>
      <c r="I1764" s="26">
        <v>43714.402777777803</v>
      </c>
      <c r="J1764" s="28" t="s">
        <v>52</v>
      </c>
      <c r="K1764" s="28" t="s">
        <v>52</v>
      </c>
      <c r="L1764" s="28" t="s">
        <v>52</v>
      </c>
      <c r="M1764" s="28" t="s">
        <v>52</v>
      </c>
      <c r="N1764" s="28" t="s">
        <v>52</v>
      </c>
    </row>
    <row r="1765" spans="1:14" hidden="1" outlineLevel="1" x14ac:dyDescent="0.2">
      <c r="A1765" s="23" t="str">
        <f t="shared" si="66"/>
        <v>АДМИНИСТРАЦИЯ МЯСНИКОВСКОГО РАЙОНА</v>
      </c>
      <c r="B1765" s="24" t="s">
        <v>2834</v>
      </c>
      <c r="C1765" s="25">
        <v>124800</v>
      </c>
      <c r="D1765" s="22" t="s">
        <v>2835</v>
      </c>
      <c r="E1765" s="22" t="s">
        <v>194</v>
      </c>
      <c r="F1765" s="23" t="str">
        <f t="shared" si="67"/>
        <v>Приобретение камер видеонаблюдения с последующей установкой на территории стадиона, расположенного по адресу: Ростовская область, Мясниковский район, с. Чалтырь, ул. Шаумяна 143-а</v>
      </c>
      <c r="G1765" s="22" t="s">
        <v>402</v>
      </c>
      <c r="H1765" s="22" t="s">
        <v>2836</v>
      </c>
      <c r="I1765" s="26">
        <v>43714.402777777803</v>
      </c>
      <c r="J1765" s="23" t="str">
        <f>HYPERLINK("https://www.spark-marketing.ru/Card/Person/6252606", "ДВОРНЫЙ ПАВЕЛ АЛЕКСАНДРОВИЧ")</f>
        <v>ДВОРНЫЙ ПАВЕЛ АЛЕКСАНДРОВИЧ</v>
      </c>
      <c r="K1765" s="24" t="s">
        <v>2837</v>
      </c>
      <c r="L1765" s="28" t="s">
        <v>52</v>
      </c>
      <c r="M1765" s="25">
        <v>111000</v>
      </c>
      <c r="N1765" s="27">
        <v>0.11057692307692307</v>
      </c>
    </row>
    <row r="1766" spans="1:14" hidden="1" outlineLevel="1" x14ac:dyDescent="0.2">
      <c r="A1766" s="23" t="str">
        <f t="shared" si="66"/>
        <v>АДМИНИСТРАЦИЯ МЯСНИКОВСКОГО РАЙОНА</v>
      </c>
      <c r="B1766" s="24" t="s">
        <v>2834</v>
      </c>
      <c r="C1766" s="25">
        <v>124800</v>
      </c>
      <c r="D1766" s="22" t="s">
        <v>2835</v>
      </c>
      <c r="E1766" s="22" t="s">
        <v>194</v>
      </c>
      <c r="F1766" s="23" t="str">
        <f t="shared" si="67"/>
        <v>Приобретение камер видеонаблюдения с последующей установкой на территории стадиона, расположенного по адресу: Ростовская область, Мясниковский район, с. Чалтырь, ул. Шаумяна 143-а</v>
      </c>
      <c r="G1766" s="22" t="s">
        <v>402</v>
      </c>
      <c r="H1766" s="22" t="s">
        <v>2836</v>
      </c>
      <c r="I1766" s="26">
        <v>43714.402777777803</v>
      </c>
      <c r="J1766" s="23" t="str">
        <f>HYPERLINK("https://www.spark-marketing.ru/Card/Person/6318732", "ООО «ЦЕНТР Л-КС»")</f>
        <v>ООО «ЦЕНТР Л-КС»</v>
      </c>
      <c r="K1766" s="24" t="s">
        <v>2838</v>
      </c>
      <c r="L1766" s="28" t="s">
        <v>52</v>
      </c>
      <c r="M1766" s="25">
        <v>98000</v>
      </c>
      <c r="N1766" s="27">
        <v>0.21474358974358973</v>
      </c>
    </row>
    <row r="1767" spans="1:14" hidden="1" outlineLevel="1" x14ac:dyDescent="0.2">
      <c r="A1767" s="23" t="str">
        <f t="shared" si="66"/>
        <v>АДМИНИСТРАЦИЯ МЯСНИКОВСКОГО РАЙОНА</v>
      </c>
      <c r="B1767" s="24" t="s">
        <v>2834</v>
      </c>
      <c r="C1767" s="25">
        <v>124800</v>
      </c>
      <c r="D1767" s="22" t="s">
        <v>2835</v>
      </c>
      <c r="E1767" s="22" t="s">
        <v>194</v>
      </c>
      <c r="F1767" s="23" t="str">
        <f t="shared" si="67"/>
        <v>Приобретение камер видеонаблюдения с последующей установкой на территории стадиона, расположенного по адресу: Ростовская область, Мясниковский район, с. Чалтырь, ул. Шаумяна 143-а</v>
      </c>
      <c r="G1767" s="22" t="s">
        <v>402</v>
      </c>
      <c r="H1767" s="22" t="s">
        <v>2836</v>
      </c>
      <c r="I1767" s="26">
        <v>43714.402777777803</v>
      </c>
      <c r="J1767" s="23" t="str">
        <f>HYPERLINK("https://www.spark-marketing.ru/Card/Person/1444717", "Соколов Михаил Львович")</f>
        <v>Соколов Михаил Львович</v>
      </c>
      <c r="K1767" s="24" t="s">
        <v>2839</v>
      </c>
      <c r="L1767" s="28" t="s">
        <v>52</v>
      </c>
      <c r="M1767" s="25">
        <v>109000</v>
      </c>
      <c r="N1767" s="27">
        <v>0.1266025641025641</v>
      </c>
    </row>
    <row r="1768" spans="1:14" hidden="1" outlineLevel="1" x14ac:dyDescent="0.2">
      <c r="A1768" s="23" t="str">
        <f t="shared" si="66"/>
        <v>АДМИНИСТРАЦИЯ МЯСНИКОВСКОГО РАЙОНА</v>
      </c>
      <c r="B1768" s="24" t="s">
        <v>2834</v>
      </c>
      <c r="C1768" s="25">
        <v>124800</v>
      </c>
      <c r="D1768" s="22" t="s">
        <v>2835</v>
      </c>
      <c r="E1768" s="22" t="s">
        <v>194</v>
      </c>
      <c r="F1768" s="23" t="str">
        <f t="shared" si="67"/>
        <v>Приобретение камер видеонаблюдения с последующей установкой на территории стадиона, расположенного по адресу: Ростовская область, Мясниковский район, с. Чалтырь, ул. Шаумяна 143-а</v>
      </c>
      <c r="G1768" s="22" t="s">
        <v>402</v>
      </c>
      <c r="H1768" s="22" t="s">
        <v>2836</v>
      </c>
      <c r="I1768" s="26">
        <v>43714.402777777803</v>
      </c>
      <c r="J1768" s="23" t="str">
        <f>HYPERLINK("https://www.spark-marketing.ru/Card/Person/6677117", "Смыков Алексей Георгиевич")</f>
        <v>Смыков Алексей Георгиевич</v>
      </c>
      <c r="K1768" s="24" t="s">
        <v>2840</v>
      </c>
      <c r="L1768" s="28" t="s">
        <v>52</v>
      </c>
      <c r="M1768" s="25">
        <v>79648</v>
      </c>
      <c r="N1768" s="27">
        <v>0.3617948717948718</v>
      </c>
    </row>
    <row r="1769" spans="1:14" ht="12.75" hidden="1" outlineLevel="1" x14ac:dyDescent="0.2">
      <c r="A1769" s="23" t="str">
        <f t="shared" si="66"/>
        <v>АДМИНИСТРАЦИЯ МЯСНИКОВСКОГО РАЙОНА</v>
      </c>
      <c r="B1769" s="24" t="s">
        <v>2834</v>
      </c>
      <c r="C1769" s="25">
        <v>124800</v>
      </c>
      <c r="D1769" s="22" t="s">
        <v>2835</v>
      </c>
      <c r="E1769" s="22" t="s">
        <v>194</v>
      </c>
      <c r="F1769" s="23" t="str">
        <f t="shared" si="67"/>
        <v>Приобретение камер видеонаблюдения с последующей установкой на территории стадиона, расположенного по адресу: Ростовская область, Мясниковский район, с. Чалтырь, ул. Шаумяна 143-а</v>
      </c>
      <c r="G1769" s="22" t="s">
        <v>402</v>
      </c>
      <c r="H1769" s="22" t="s">
        <v>2836</v>
      </c>
      <c r="I1769" s="26">
        <v>43714.402777777803</v>
      </c>
      <c r="J1769" s="23" t="str">
        <f>HYPERLINK("https://www.spark-marketing.ru/Card/Person/6349963", "Тирацуян Евгений Ованесович")</f>
        <v>Тирацуян Евгений Ованесович</v>
      </c>
      <c r="K1769" s="24" t="s">
        <v>1488</v>
      </c>
      <c r="L1769" s="22" t="s">
        <v>10</v>
      </c>
      <c r="M1769" s="25">
        <v>79024</v>
      </c>
      <c r="N1769" s="27">
        <v>0.3667948717948718</v>
      </c>
    </row>
    <row r="1770" spans="1:14" x14ac:dyDescent="0.15">
      <c r="A1770" s="23" t="str">
        <f t="shared" ref="A1770:A1776" si="68">HYPERLINK("https://www.spark-marketing.ru/Card/Person/143522", "КЕМЕРОВСКАЯ ТАМОЖНЯ")</f>
        <v>КЕМЕРОВСКАЯ ТАМОЖНЯ</v>
      </c>
      <c r="B1770" s="24" t="s">
        <v>2841</v>
      </c>
      <c r="C1770" s="25">
        <v>512013.12</v>
      </c>
      <c r="D1770" s="22" t="s">
        <v>2842</v>
      </c>
      <c r="E1770" s="22" t="s">
        <v>68</v>
      </c>
      <c r="F1770" s="23" t="str">
        <f>HYPERLINK("https://www.spark-marketing.ru/Card/Lot/73265491", "Охрана объектов Кемеровской таможни (Питомник служебного собаководства)")</f>
        <v>Охрана объектов Кемеровской таможни (Питомник служебного собаководства)</v>
      </c>
      <c r="G1770" s="22" t="s">
        <v>367</v>
      </c>
      <c r="H1770" s="22" t="s">
        <v>367</v>
      </c>
      <c r="I1770" s="26">
        <v>43714.358333333301</v>
      </c>
      <c r="J1770" s="28" t="s">
        <v>52</v>
      </c>
      <c r="K1770" s="28" t="s">
        <v>52</v>
      </c>
      <c r="L1770" s="28" t="s">
        <v>52</v>
      </c>
      <c r="M1770" s="28" t="s">
        <v>52</v>
      </c>
      <c r="N1770" s="28" t="s">
        <v>52</v>
      </c>
    </row>
    <row r="1771" spans="1:14" ht="12.75" hidden="1" outlineLevel="1" x14ac:dyDescent="0.2">
      <c r="A1771" s="23" t="str">
        <f t="shared" si="68"/>
        <v>КЕМЕРОВСКАЯ ТАМОЖНЯ</v>
      </c>
      <c r="B1771" s="24" t="s">
        <v>2841</v>
      </c>
      <c r="C1771" s="25">
        <v>512013.12</v>
      </c>
      <c r="D1771" s="22" t="s">
        <v>2842</v>
      </c>
      <c r="E1771" s="22" t="s">
        <v>68</v>
      </c>
      <c r="F1771" s="23" t="str">
        <f>HYPERLINK("https://www.spark-marketing.ru/Card/Lot/73265491", "Охрана объектов Кемеровской таможни (Питомник служебного собаководства)")</f>
        <v>Охрана объектов Кемеровской таможни (Питомник служебного собаководства)</v>
      </c>
      <c r="G1771" s="22" t="s">
        <v>367</v>
      </c>
      <c r="H1771" s="22" t="s">
        <v>367</v>
      </c>
      <c r="I1771" s="26">
        <v>43714.358333333301</v>
      </c>
      <c r="J1771" s="23" t="str">
        <f>HYPERLINK("https://www.spark-marketing.ru/Card/Person/4536004", "ФЛ ФГУП ""ОХРАНА"" РОСГВАРДИИ ПО КЕМЕРОВСКОЙ ОБЛАСТИ")</f>
        <v>ФЛ ФГУП "ОХРАНА" РОСГВАРДИИ ПО КЕМЕРОВСКОЙ ОБЛАСТИ</v>
      </c>
      <c r="K1771" s="24" t="s">
        <v>779</v>
      </c>
      <c r="L1771" s="22" t="s">
        <v>10</v>
      </c>
      <c r="M1771" s="25">
        <v>509453.05</v>
      </c>
      <c r="N1771" s="27">
        <v>5.0000085935297907E-3</v>
      </c>
    </row>
    <row r="1772" spans="1:14" hidden="1" outlineLevel="1" x14ac:dyDescent="0.2">
      <c r="A1772" s="23" t="str">
        <f t="shared" si="68"/>
        <v>КЕМЕРОВСКАЯ ТАМОЖНЯ</v>
      </c>
      <c r="B1772" s="24" t="s">
        <v>2841</v>
      </c>
      <c r="C1772" s="25">
        <v>512013.12</v>
      </c>
      <c r="D1772" s="22" t="s">
        <v>2842</v>
      </c>
      <c r="E1772" s="22" t="s">
        <v>68</v>
      </c>
      <c r="F1772" s="23" t="str">
        <f>HYPERLINK("https://www.spark-marketing.ru/Card/Lot/73265491", "Охрана объектов Кемеровской таможни (Питомник служебного собаководства)")</f>
        <v>Охрана объектов Кемеровской таможни (Питомник служебного собаководства)</v>
      </c>
      <c r="G1772" s="22" t="s">
        <v>367</v>
      </c>
      <c r="H1772" s="22" t="s">
        <v>367</v>
      </c>
      <c r="I1772" s="26">
        <v>43714.358333333301</v>
      </c>
      <c r="J1772" s="23" t="str">
        <f>HYPERLINK("https://www.spark-marketing.ru/Card/Person/636161", "ООО ОП ""МОЗБЕРГ""")</f>
        <v>ООО ОП "МОЗБЕРГ"</v>
      </c>
      <c r="K1772" s="24" t="s">
        <v>2843</v>
      </c>
      <c r="L1772" s="28" t="s">
        <v>52</v>
      </c>
      <c r="M1772" s="25">
        <v>506892.98</v>
      </c>
      <c r="N1772" s="27">
        <v>1.0000017187059581E-2</v>
      </c>
    </row>
    <row r="1773" spans="1:14" x14ac:dyDescent="0.15">
      <c r="A1773" s="23" t="str">
        <f t="shared" si="68"/>
        <v>КЕМЕРОВСКАЯ ТАМОЖНЯ</v>
      </c>
      <c r="B1773" s="24" t="s">
        <v>2841</v>
      </c>
      <c r="C1773" s="25">
        <v>512013.12</v>
      </c>
      <c r="D1773" s="22" t="s">
        <v>2844</v>
      </c>
      <c r="E1773" s="22" t="s">
        <v>68</v>
      </c>
      <c r="F1773" s="23" t="str">
        <f>HYPERLINK("https://www.spark-marketing.ru/Card/Lot/73265492", "Охрана объектов Кемеровской таможни (Новокузнецкий таможенный пост)")</f>
        <v>Охрана объектов Кемеровской таможни (Новокузнецкий таможенный пост)</v>
      </c>
      <c r="G1773" s="22" t="s">
        <v>367</v>
      </c>
      <c r="H1773" s="22" t="s">
        <v>2640</v>
      </c>
      <c r="I1773" s="26">
        <v>43714.357638888898</v>
      </c>
      <c r="J1773" s="28" t="s">
        <v>52</v>
      </c>
      <c r="K1773" s="28" t="s">
        <v>52</v>
      </c>
      <c r="L1773" s="28" t="s">
        <v>52</v>
      </c>
      <c r="M1773" s="28" t="s">
        <v>52</v>
      </c>
      <c r="N1773" s="28" t="s">
        <v>52</v>
      </c>
    </row>
    <row r="1774" spans="1:14" ht="12.75" hidden="1" outlineLevel="1" x14ac:dyDescent="0.2">
      <c r="A1774" s="23" t="str">
        <f t="shared" si="68"/>
        <v>КЕМЕРОВСКАЯ ТАМОЖНЯ</v>
      </c>
      <c r="B1774" s="24" t="s">
        <v>2841</v>
      </c>
      <c r="C1774" s="25">
        <v>512013.12</v>
      </c>
      <c r="D1774" s="22" t="s">
        <v>2844</v>
      </c>
      <c r="E1774" s="22" t="s">
        <v>68</v>
      </c>
      <c r="F1774" s="23" t="str">
        <f>HYPERLINK("https://www.spark-marketing.ru/Card/Lot/73265492", "Охрана объектов Кемеровской таможни (Новокузнецкий таможенный пост)")</f>
        <v>Охрана объектов Кемеровской таможни (Новокузнецкий таможенный пост)</v>
      </c>
      <c r="G1774" s="22" t="s">
        <v>367</v>
      </c>
      <c r="H1774" s="22" t="s">
        <v>2640</v>
      </c>
      <c r="I1774" s="26">
        <v>43714.357638888898</v>
      </c>
      <c r="J1774" s="23" t="str">
        <f>HYPERLINK("https://www.spark-marketing.ru/Card/Person/4623558", "Филиал ФГП ""Ведомственная охрана железнодорожного транспорта Российской Федерации"" на Зап-Сиб ж д")</f>
        <v>Филиал ФГП "Ведомственная охрана железнодорожного транспорта Российской Федерации" на Зап-Сиб ж д</v>
      </c>
      <c r="K1774" s="24" t="s">
        <v>1269</v>
      </c>
      <c r="L1774" s="22" t="s">
        <v>10</v>
      </c>
      <c r="M1774" s="25">
        <v>501772.84</v>
      </c>
      <c r="N1774" s="27">
        <v>2.0000034374119163E-2</v>
      </c>
    </row>
    <row r="1775" spans="1:14" hidden="1" outlineLevel="1" x14ac:dyDescent="0.2">
      <c r="A1775" s="23" t="str">
        <f t="shared" si="68"/>
        <v>КЕМЕРОВСКАЯ ТАМОЖНЯ</v>
      </c>
      <c r="B1775" s="24" t="s">
        <v>2841</v>
      </c>
      <c r="C1775" s="25">
        <v>512013.12</v>
      </c>
      <c r="D1775" s="22" t="s">
        <v>2844</v>
      </c>
      <c r="E1775" s="22" t="s">
        <v>68</v>
      </c>
      <c r="F1775" s="23" t="str">
        <f>HYPERLINK("https://www.spark-marketing.ru/Card/Lot/73265492", "Охрана объектов Кемеровской таможни (Новокузнецкий таможенный пост)")</f>
        <v>Охрана объектов Кемеровской таможни (Новокузнецкий таможенный пост)</v>
      </c>
      <c r="G1775" s="22" t="s">
        <v>367</v>
      </c>
      <c r="H1775" s="22" t="s">
        <v>2640</v>
      </c>
      <c r="I1775" s="26">
        <v>43714.357638888898</v>
      </c>
      <c r="J1775" s="23" t="str">
        <f>HYPERLINK("https://www.spark-marketing.ru/Card/Person/4536004", "ФЛ ФГУП ""ОХРАНА"" РОСГВАРДИИ ПО КЕМЕРОВСКОЙ ОБЛАСТИ")</f>
        <v>ФЛ ФГУП "ОХРАНА" РОСГВАРДИИ ПО КЕМЕРОВСКОЙ ОБЛАСТИ</v>
      </c>
      <c r="K1775" s="24" t="s">
        <v>779</v>
      </c>
      <c r="L1775" s="28" t="s">
        <v>52</v>
      </c>
      <c r="M1775" s="25">
        <v>509453.05</v>
      </c>
      <c r="N1775" s="27">
        <v>5.0000085935297907E-3</v>
      </c>
    </row>
    <row r="1776" spans="1:14" hidden="1" outlineLevel="1" x14ac:dyDescent="0.2">
      <c r="A1776" s="23" t="str">
        <f t="shared" si="68"/>
        <v>КЕМЕРОВСКАЯ ТАМОЖНЯ</v>
      </c>
      <c r="B1776" s="24" t="s">
        <v>2841</v>
      </c>
      <c r="C1776" s="25">
        <v>512013.12</v>
      </c>
      <c r="D1776" s="22" t="s">
        <v>2844</v>
      </c>
      <c r="E1776" s="22" t="s">
        <v>68</v>
      </c>
      <c r="F1776" s="23" t="str">
        <f>HYPERLINK("https://www.spark-marketing.ru/Card/Lot/73265492", "Охрана объектов Кемеровской таможни (Новокузнецкий таможенный пост)")</f>
        <v>Охрана объектов Кемеровской таможни (Новокузнецкий таможенный пост)</v>
      </c>
      <c r="G1776" s="22" t="s">
        <v>367</v>
      </c>
      <c r="H1776" s="22" t="s">
        <v>2640</v>
      </c>
      <c r="I1776" s="26">
        <v>43714.357638888898</v>
      </c>
      <c r="J1776" s="23" t="str">
        <f>HYPERLINK("https://www.spark-marketing.ru/Card/Person/636161", "ООО ОП ""МОЗБЕРГ""")</f>
        <v>ООО ОП "МОЗБЕРГ"</v>
      </c>
      <c r="K1776" s="24" t="s">
        <v>2843</v>
      </c>
      <c r="L1776" s="28" t="s">
        <v>52</v>
      </c>
      <c r="M1776" s="25">
        <v>499212.77</v>
      </c>
      <c r="N1776" s="27">
        <v>2.5000042967648954E-2</v>
      </c>
    </row>
    <row r="1777" spans="1:14" x14ac:dyDescent="0.15">
      <c r="A1777" s="23" t="str">
        <f>HYPERLINK("https://www.spark-marketing.ru/Card/Person/574049", "ГУП ""МОССВЕТ""")</f>
        <v>ГУП "МОССВЕТ"</v>
      </c>
      <c r="B1777" s="24" t="s">
        <v>2845</v>
      </c>
      <c r="C1777" s="25">
        <v>1190000</v>
      </c>
      <c r="D1777" s="22" t="s">
        <v>2846</v>
      </c>
      <c r="E1777" s="22" t="s">
        <v>2847</v>
      </c>
      <c r="F1777" s="23" t="str">
        <f>HYPERLINK("https://www.spark-marketing.ru/Card/Lot/73274165", "Оказание услуг по пультовой охране и техническому обслуживанию тревожной кнопки на объектах ГУП «Моссвет»")</f>
        <v>Оказание услуг по пультовой охране и техническому обслуживанию тревожной кнопки на объектах ГУП «Моссвет»</v>
      </c>
      <c r="G1777" s="22" t="s">
        <v>55</v>
      </c>
      <c r="H1777" s="22" t="s">
        <v>55</v>
      </c>
      <c r="I1777" s="26">
        <v>43714</v>
      </c>
      <c r="J1777" s="28" t="s">
        <v>52</v>
      </c>
      <c r="K1777" s="28" t="s">
        <v>52</v>
      </c>
      <c r="L1777" s="28" t="s">
        <v>52</v>
      </c>
      <c r="M1777" s="28" t="s">
        <v>52</v>
      </c>
      <c r="N1777" s="28" t="s">
        <v>52</v>
      </c>
    </row>
    <row r="1778" spans="1:14" x14ac:dyDescent="0.15">
      <c r="A1778" s="23" t="str">
        <f>HYPERLINK("https://www.spark-marketing.ru/Card/Person/4852464", "ФГУП ""РФЯЦ - ВНИИЭФ""")</f>
        <v>ФГУП "РФЯЦ - ВНИИЭФ"</v>
      </c>
      <c r="B1778" s="24" t="s">
        <v>767</v>
      </c>
      <c r="C1778" s="28" t="s">
        <v>52</v>
      </c>
      <c r="D1778" s="22" t="s">
        <v>2848</v>
      </c>
      <c r="E1778" s="22" t="s">
        <v>53</v>
      </c>
      <c r="F1778" s="23" t="str">
        <f>HYPERLINK("https://www.spark-marketing.ru/Card/Lot/73281112", "Оказание услуг охраны имущества и обеспечение установленного порядка в зданиях и на торговых площадках (1337226)")</f>
        <v>Оказание услуг охраны имущества и обеспечение установленного порядка в зданиях и на торговых площадках (1337226)</v>
      </c>
      <c r="G1778" s="22" t="s">
        <v>64</v>
      </c>
      <c r="H1778" s="22" t="s">
        <v>769</v>
      </c>
      <c r="I1778" s="26">
        <v>43714.564282407402</v>
      </c>
      <c r="J1778" s="28" t="s">
        <v>52</v>
      </c>
      <c r="K1778" s="28" t="s">
        <v>52</v>
      </c>
      <c r="L1778" s="28" t="s">
        <v>52</v>
      </c>
      <c r="M1778" s="28" t="s">
        <v>52</v>
      </c>
      <c r="N1778" s="28" t="s">
        <v>52</v>
      </c>
    </row>
    <row r="1779" spans="1:14" x14ac:dyDescent="0.2">
      <c r="A1779" s="23" t="str">
        <f>HYPERLINK("https://www.spark-marketing.ru/Card/Person/1759793", "МАДОУ ДЕТСКИЙ САД № 50 ""РУЧЕЕК"" ОБЩЕРАЗВИВАЮЩЕГО ВИДА ГОЩ")</f>
        <v>МАДОУ ДЕТСКИЙ САД № 50 "РУЧЕЕК" ОБЩЕРАЗВИВАЮЩЕГО ВИДА ГОЩ</v>
      </c>
      <c r="B1779" s="24" t="s">
        <v>2849</v>
      </c>
      <c r="C1779" s="25">
        <v>129800</v>
      </c>
      <c r="D1779" s="22" t="s">
        <v>2850</v>
      </c>
      <c r="E1779" s="22" t="s">
        <v>2851</v>
      </c>
      <c r="F1779" s="23" t="str">
        <f>HYPERLINK("https://www.spark-marketing.ru/Card/Lot/73271628", "Выполнение работ по установке видеодомофона и электромагнитного замка на входную калитку")</f>
        <v>Выполнение работ по установке видеодомофона и электромагнитного замка на входную калитку</v>
      </c>
      <c r="G1779" s="22" t="s">
        <v>50</v>
      </c>
      <c r="H1779" s="22" t="s">
        <v>50</v>
      </c>
      <c r="I1779" s="26">
        <v>43714</v>
      </c>
      <c r="J1779" s="28" t="s">
        <v>52</v>
      </c>
      <c r="K1779" s="28" t="s">
        <v>52</v>
      </c>
      <c r="L1779" s="22" t="s">
        <v>10</v>
      </c>
      <c r="M1779" s="25">
        <v>128000</v>
      </c>
      <c r="N1779" s="27">
        <v>1.386748844375963E-2</v>
      </c>
    </row>
    <row r="1780" spans="1:14" x14ac:dyDescent="0.15">
      <c r="A1780" s="23" t="str">
        <f>HYPERLINK("https://www.spark-marketing.ru/Card/Person/6450322", "ЗАКАЗЧИК РП БЕЛАРУСЬ")</f>
        <v>ЗАКАЗЧИК РП БЕЛАРУСЬ</v>
      </c>
      <c r="B1780" s="28" t="s">
        <v>52</v>
      </c>
      <c r="C1780" s="25">
        <v>187756.79999999999</v>
      </c>
      <c r="D1780" s="22" t="s">
        <v>2852</v>
      </c>
      <c r="E1780" s="22" t="s">
        <v>53</v>
      </c>
      <c r="F1780" s="23" t="str">
        <f>HYPERLINK("https://www.spark-marketing.ru/Card/Lot/73271980", "Составление проекта, установка, монтаж, и настройка цифровых беспроводных IP-систем видеонаблюдения на молочно-товарный комплекс, со сроком гарантийного обслуживания не менее 3-х лет позволяющий четко видеть лицо человека, номер машины и т.д.")</f>
        <v>Составление проекта, установка, монтаж, и настройка цифровых беспроводных IP-систем видеонаблюдения на молочно-товарный комплекс, со сроком гарантийного обслуживания не менее 3-х лет позволяющий четко видеть лицо человека, номер машины и т.д.</v>
      </c>
      <c r="G1780" s="22" t="s">
        <v>52</v>
      </c>
      <c r="H1780" s="22" t="s">
        <v>52</v>
      </c>
      <c r="I1780" s="26">
        <v>43714</v>
      </c>
      <c r="J1780" s="28" t="s">
        <v>52</v>
      </c>
      <c r="K1780" s="28" t="s">
        <v>52</v>
      </c>
      <c r="L1780" s="28" t="s">
        <v>52</v>
      </c>
      <c r="M1780" s="28" t="s">
        <v>52</v>
      </c>
      <c r="N1780" s="28" t="s">
        <v>52</v>
      </c>
    </row>
    <row r="1781" spans="1:14" x14ac:dyDescent="0.15">
      <c r="A1781" s="23" t="str">
        <f>HYPERLINK("https://www.spark-marketing.ru/Card/Person/1472", "КАНИФОЛЬНЫЙ ДЕТСКИЙ ДОМ-ИНТЕРНАТ ДЛЯ УМСТВЕННО ОТСТАЛЫХ ДЕТЕЙ; КАНИФОЛЬНЫЙ ДДИ.")</f>
        <v>КАНИФОЛЬНЫЙ ДЕТСКИЙ ДОМ-ИНТЕРНАТ ДЛЯ УМСТВЕННО ОТСТАЛЫХ ДЕТЕЙ; КАНИФОЛЬНЫЙ ДДИ.</v>
      </c>
      <c r="B1781" s="24" t="s">
        <v>2853</v>
      </c>
      <c r="C1781" s="25">
        <v>299636</v>
      </c>
      <c r="D1781" s="22" t="s">
        <v>2854</v>
      </c>
      <c r="E1781" s="22" t="s">
        <v>2855</v>
      </c>
      <c r="F1781" s="23" t="str">
        <f>HYPERLINK("https://www.spark-marketing.ru/Card/Lot/73278130", "Выполнение работ по монтажу дополнительных камер видеонаблюдения для нужд автономного стационарного учреждения социального обслуживания Удмуртской Республики ""Канифольный детский дом-интернат для умственно-отсталых детей""")</f>
        <v>Выполнение работ по монтажу дополнительных камер видеонаблюдения для нужд автономного стационарного учреждения социального обслуживания Удмуртской Республики "Канифольный детский дом-интернат для умственно-отсталых детей"</v>
      </c>
      <c r="G1781" s="22" t="s">
        <v>96</v>
      </c>
      <c r="H1781" s="22" t="s">
        <v>2856</v>
      </c>
      <c r="I1781" s="26">
        <v>43714</v>
      </c>
      <c r="J1781" s="28" t="s">
        <v>52</v>
      </c>
      <c r="K1781" s="28" t="s">
        <v>52</v>
      </c>
      <c r="L1781" s="28" t="s">
        <v>52</v>
      </c>
      <c r="M1781" s="28" t="s">
        <v>52</v>
      </c>
      <c r="N1781" s="28" t="s">
        <v>52</v>
      </c>
    </row>
    <row r="1782" spans="1:14" x14ac:dyDescent="0.15">
      <c r="A1782" s="23" t="str">
        <f>HYPERLINK("https://www.spark-marketing.ru/Card/Person/4348841", "АО АСЭ")</f>
        <v>АО АСЭ</v>
      </c>
      <c r="B1782" s="24" t="s">
        <v>2857</v>
      </c>
      <c r="C1782" s="25">
        <v>5061777.53</v>
      </c>
      <c r="D1782" s="22" t="s">
        <v>2858</v>
      </c>
      <c r="E1782" s="22" t="s">
        <v>53</v>
      </c>
      <c r="F1782" s="23" t="str">
        <f>HYPERLINK("https://www.spark-marketing.ru/Card/Lot/73272871", "Право заключения договора на Лот № 19-29. Монтажное сопровождение ПНР на объектах пускового комплекса 10UBS, 10UJE при вводе в эксплуатацию энергоблока № 1 Белорусской АЭС")</f>
        <v>Право заключения договора на Лот № 19-29. Монтажное сопровождение ПНР на объектах пускового комплекса 10UBS, 10UJE при вводе в эксплуатацию энергоблока № 1 Белорусской АЭС</v>
      </c>
      <c r="G1782" s="22" t="s">
        <v>64</v>
      </c>
      <c r="H1782" s="22" t="s">
        <v>65</v>
      </c>
      <c r="I1782" s="26">
        <v>43714</v>
      </c>
      <c r="J1782" s="28" t="s">
        <v>52</v>
      </c>
      <c r="K1782" s="28" t="s">
        <v>52</v>
      </c>
      <c r="L1782" s="28" t="s">
        <v>52</v>
      </c>
      <c r="M1782" s="28" t="s">
        <v>52</v>
      </c>
      <c r="N1782" s="28" t="s">
        <v>52</v>
      </c>
    </row>
    <row r="1783" spans="1:14" x14ac:dyDescent="0.15">
      <c r="A1783" s="23" t="str">
        <f>HYPERLINK("https://www.spark-marketing.ru/Card/Person/4360151", "ООО ""ГАЗПРОМ ТЕЛЕКОМ""")</f>
        <v>ООО "ГАЗПРОМ ТЕЛЕКОМ"</v>
      </c>
      <c r="B1783" s="24" t="s">
        <v>2859</v>
      </c>
      <c r="C1783" s="25">
        <v>30000</v>
      </c>
      <c r="D1783" s="22" t="s">
        <v>2860</v>
      </c>
      <c r="E1783" s="22" t="s">
        <v>2861</v>
      </c>
      <c r="F1783" s="23" t="str">
        <f>HYPERLINK("https://www.spark-marketing.ru/Card/Lot/73280136", "Оказание услуг с помощью пульта централизованного наблюдения, обеспечение регистрации поступивших на ПЦН сообщений, формируемых техническими средствами, установленными на объекте Заказчика по адресу: г. Самара, ул. Тухачевского, 249а, этаж 1-ый, комн...")</f>
        <v>Оказание услуг с помощью пульта централизованного наблюдения, обеспечение регистрации поступивших на ПЦН сообщений, формируемых техническими средствами, установленными на объекте Заказчика по адресу: г. Самара, ул. Тухачевского, 249а, этаж 1-ый, комн...</v>
      </c>
      <c r="G1783" s="22" t="s">
        <v>55</v>
      </c>
      <c r="H1783" s="22" t="s">
        <v>55</v>
      </c>
      <c r="I1783" s="26">
        <v>43714</v>
      </c>
      <c r="J1783" s="28" t="s">
        <v>52</v>
      </c>
      <c r="K1783" s="28" t="s">
        <v>52</v>
      </c>
      <c r="L1783" s="28" t="s">
        <v>52</v>
      </c>
      <c r="M1783" s="28" t="s">
        <v>52</v>
      </c>
      <c r="N1783" s="28" t="s">
        <v>52</v>
      </c>
    </row>
    <row r="1784" spans="1:14" x14ac:dyDescent="0.15">
      <c r="A1784" s="23" t="str">
        <f>HYPERLINK("https://www.spark-marketing.ru/Card/Person/138022", "ГУ ""КПАТ""")</f>
        <v>ГУ "КПАТ"</v>
      </c>
      <c r="B1784" s="24" t="s">
        <v>2862</v>
      </c>
      <c r="C1784" s="25">
        <v>4680000</v>
      </c>
      <c r="D1784" s="22" t="s">
        <v>2863</v>
      </c>
      <c r="E1784" s="22" t="s">
        <v>144</v>
      </c>
      <c r="F1784" s="23" t="str">
        <f>HYPERLINK("https://www.spark-marketing.ru/Card/Lot/73272983", "Оказание услуг по обеспечению транспортной безопасности на автовокзалах Кемеровской области (объектах транспортной инфраструктуры)")</f>
        <v>Оказание услуг по обеспечению транспортной безопасности на автовокзалах Кемеровской области (объектах транспортной инфраструктуры)</v>
      </c>
      <c r="G1784" s="22" t="s">
        <v>367</v>
      </c>
      <c r="H1784" s="22" t="s">
        <v>367</v>
      </c>
      <c r="I1784" s="26">
        <v>43714</v>
      </c>
      <c r="J1784" s="28" t="s">
        <v>52</v>
      </c>
      <c r="K1784" s="28" t="s">
        <v>52</v>
      </c>
      <c r="L1784" s="28" t="s">
        <v>52</v>
      </c>
      <c r="M1784" s="28" t="s">
        <v>52</v>
      </c>
      <c r="N1784" s="28" t="s">
        <v>52</v>
      </c>
    </row>
    <row r="1785" spans="1:14" x14ac:dyDescent="0.15">
      <c r="A1785" s="23" t="str">
        <f>HYPERLINK("https://www.spark-marketing.ru/Card/Person/369191", "МЕЖРАЙОННАЯ ИФНС РОССИИ № 1 ПО МУРМАНСКОЙ ОБЛАСТИ")</f>
        <v>МЕЖРАЙОННАЯ ИФНС РОССИИ № 1 ПО МУРМАНСКОЙ ОБЛАСТИ</v>
      </c>
      <c r="B1785" s="24" t="s">
        <v>2864</v>
      </c>
      <c r="C1785" s="25">
        <v>87356.75</v>
      </c>
      <c r="D1785" s="22" t="s">
        <v>2865</v>
      </c>
      <c r="E1785" s="22" t="s">
        <v>53</v>
      </c>
      <c r="F1785" s="23" t="str">
        <f>HYPERLINK("https://www.spark-marketing.ru/Card/Lot/73259730", "Услуги по охране объектов при помощи технических средств охраны")</f>
        <v>Услуги по охране объектов при помощи технических средств охраны</v>
      </c>
      <c r="G1785" s="22" t="s">
        <v>190</v>
      </c>
      <c r="H1785" s="22" t="s">
        <v>2866</v>
      </c>
      <c r="I1785" s="26">
        <v>43713.762048611097</v>
      </c>
      <c r="J1785" s="28" t="s">
        <v>52</v>
      </c>
      <c r="K1785" s="28" t="s">
        <v>52</v>
      </c>
      <c r="L1785" s="28" t="s">
        <v>52</v>
      </c>
      <c r="M1785" s="28" t="s">
        <v>52</v>
      </c>
      <c r="N1785" s="28" t="s">
        <v>52</v>
      </c>
    </row>
    <row r="1786" spans="1:14" x14ac:dyDescent="0.15">
      <c r="A1786" s="23" t="str">
        <f t="shared" ref="A1786:A1791" si="69">HYPERLINK("https://www.spark-marketing.ru/Card/Person/22984", "ФКУЗ ""МСЧ МВД РОССИИ ПО НОВГОРОДСКОЙ ОБЛАСТИ""")</f>
        <v>ФКУЗ "МСЧ МВД РОССИИ ПО НОВГОРОДСКОЙ ОБЛАСТИ"</v>
      </c>
      <c r="B1786" s="24" t="s">
        <v>2764</v>
      </c>
      <c r="C1786" s="25">
        <v>21600</v>
      </c>
      <c r="D1786" s="22" t="s">
        <v>2867</v>
      </c>
      <c r="E1786" s="22" t="s">
        <v>208</v>
      </c>
      <c r="F1786" s="23" t="str">
        <f>HYPERLINK("https://www.spark-marketing.ru/Card/Lot/73257272", "Техническое обслуживание  тревожной и охранной сигнализации")</f>
        <v>Техническое обслуживание  тревожной и охранной сигнализации</v>
      </c>
      <c r="G1786" s="22" t="s">
        <v>959</v>
      </c>
      <c r="H1786" s="22" t="s">
        <v>960</v>
      </c>
      <c r="I1786" s="26">
        <v>43713.672916666699</v>
      </c>
      <c r="J1786" s="28" t="s">
        <v>52</v>
      </c>
      <c r="K1786" s="28" t="s">
        <v>52</v>
      </c>
      <c r="L1786" s="28" t="s">
        <v>52</v>
      </c>
      <c r="M1786" s="28" t="s">
        <v>52</v>
      </c>
      <c r="N1786" s="28" t="s">
        <v>52</v>
      </c>
    </row>
    <row r="1787" spans="1:14" ht="12.75" hidden="1" outlineLevel="1" x14ac:dyDescent="0.2">
      <c r="A1787" s="23" t="str">
        <f t="shared" si="69"/>
        <v>ФКУЗ "МСЧ МВД РОССИИ ПО НОВГОРОДСКОЙ ОБЛАСТИ"</v>
      </c>
      <c r="B1787" s="24" t="s">
        <v>2764</v>
      </c>
      <c r="C1787" s="25">
        <v>21600</v>
      </c>
      <c r="D1787" s="22" t="s">
        <v>2867</v>
      </c>
      <c r="E1787" s="22" t="s">
        <v>208</v>
      </c>
      <c r="F1787" s="23" t="str">
        <f>HYPERLINK("https://www.spark-marketing.ru/Card/Lot/73257272", "Техническое обслуживание  тревожной и охранной сигнализации")</f>
        <v>Техническое обслуживание  тревожной и охранной сигнализации</v>
      </c>
      <c r="G1787" s="22" t="s">
        <v>959</v>
      </c>
      <c r="H1787" s="22" t="s">
        <v>960</v>
      </c>
      <c r="I1787" s="26">
        <v>43713.672916666699</v>
      </c>
      <c r="J1787" s="23" t="str">
        <f>HYPERLINK("https://www.spark-marketing.ru/Card/Person/442012", "ООО ""ЛУЧ""")</f>
        <v>ООО "ЛУЧ"</v>
      </c>
      <c r="K1787" s="24" t="s">
        <v>2766</v>
      </c>
      <c r="L1787" s="22" t="s">
        <v>10</v>
      </c>
      <c r="M1787" s="25">
        <v>18036</v>
      </c>
      <c r="N1787" s="27">
        <v>0.16500000000000001</v>
      </c>
    </row>
    <row r="1788" spans="1:14" hidden="1" outlineLevel="1" x14ac:dyDescent="0.2">
      <c r="A1788" s="23" t="str">
        <f t="shared" si="69"/>
        <v>ФКУЗ "МСЧ МВД РОССИИ ПО НОВГОРОДСКОЙ ОБЛАСТИ"</v>
      </c>
      <c r="B1788" s="24" t="s">
        <v>2764</v>
      </c>
      <c r="C1788" s="25">
        <v>21600</v>
      </c>
      <c r="D1788" s="22" t="s">
        <v>2867</v>
      </c>
      <c r="E1788" s="22" t="s">
        <v>208</v>
      </c>
      <c r="F1788" s="23" t="str">
        <f>HYPERLINK("https://www.spark-marketing.ru/Card/Lot/73257272", "Техническое обслуживание  тревожной и охранной сигнализации")</f>
        <v>Техническое обслуживание  тревожной и охранной сигнализации</v>
      </c>
      <c r="G1788" s="22" t="s">
        <v>959</v>
      </c>
      <c r="H1788" s="22" t="s">
        <v>960</v>
      </c>
      <c r="I1788" s="26">
        <v>43713.672916666699</v>
      </c>
      <c r="J1788" s="23" t="str">
        <f>HYPERLINK("https://www.spark-marketing.ru/Card/Person/397860", "ООО ""РАТИБОР СПЕЦСИСТЕМЫ""")</f>
        <v>ООО "РАТИБОР СПЕЦСИСТЕМЫ"</v>
      </c>
      <c r="K1788" s="24" t="s">
        <v>2767</v>
      </c>
      <c r="L1788" s="28" t="s">
        <v>52</v>
      </c>
      <c r="M1788" s="25">
        <v>18144</v>
      </c>
      <c r="N1788" s="27">
        <v>0.16</v>
      </c>
    </row>
    <row r="1789" spans="1:14" x14ac:dyDescent="0.15">
      <c r="A1789" s="23" t="str">
        <f t="shared" si="69"/>
        <v>ФКУЗ "МСЧ МВД РОССИИ ПО НОВГОРОДСКОЙ ОБЛАСТИ"</v>
      </c>
      <c r="B1789" s="24" t="s">
        <v>2764</v>
      </c>
      <c r="C1789" s="25">
        <v>20400</v>
      </c>
      <c r="D1789" s="22" t="s">
        <v>2868</v>
      </c>
      <c r="E1789" s="22" t="s">
        <v>208</v>
      </c>
      <c r="F1789" s="23" t="str">
        <f>HYPERLINK("https://www.spark-marketing.ru/Card/Lot/73257271", "Техническое обслуживание тревожной и охранной сигнализации")</f>
        <v>Техническое обслуживание тревожной и охранной сигнализации</v>
      </c>
      <c r="G1789" s="22" t="s">
        <v>959</v>
      </c>
      <c r="H1789" s="22" t="s">
        <v>960</v>
      </c>
      <c r="I1789" s="26">
        <v>43713.679861111101</v>
      </c>
      <c r="J1789" s="28" t="s">
        <v>52</v>
      </c>
      <c r="K1789" s="28" t="s">
        <v>52</v>
      </c>
      <c r="L1789" s="28" t="s">
        <v>52</v>
      </c>
      <c r="M1789" s="28" t="s">
        <v>52</v>
      </c>
      <c r="N1789" s="28" t="s">
        <v>52</v>
      </c>
    </row>
    <row r="1790" spans="1:14" hidden="1" outlineLevel="1" x14ac:dyDescent="0.2">
      <c r="A1790" s="23" t="str">
        <f t="shared" si="69"/>
        <v>ФКУЗ "МСЧ МВД РОССИИ ПО НОВГОРОДСКОЙ ОБЛАСТИ"</v>
      </c>
      <c r="B1790" s="24" t="s">
        <v>2764</v>
      </c>
      <c r="C1790" s="25">
        <v>20400</v>
      </c>
      <c r="D1790" s="22" t="s">
        <v>2868</v>
      </c>
      <c r="E1790" s="22" t="s">
        <v>208</v>
      </c>
      <c r="F1790" s="23" t="str">
        <f>HYPERLINK("https://www.spark-marketing.ru/Card/Lot/73257271", "Техническое обслуживание тревожной и охранной сигнализации")</f>
        <v>Техническое обслуживание тревожной и охранной сигнализации</v>
      </c>
      <c r="G1790" s="22" t="s">
        <v>959</v>
      </c>
      <c r="H1790" s="22" t="s">
        <v>960</v>
      </c>
      <c r="I1790" s="26">
        <v>43713.679861111101</v>
      </c>
      <c r="J1790" s="23" t="str">
        <f>HYPERLINK("https://www.spark-marketing.ru/Card/Person/55651", "ООО ""ЭЛЕКТРА-Н""")</f>
        <v>ООО "ЭЛЕКТРА-Н"</v>
      </c>
      <c r="K1790" s="24" t="s">
        <v>1484</v>
      </c>
      <c r="L1790" s="28" t="s">
        <v>52</v>
      </c>
      <c r="M1790" s="25">
        <v>18564</v>
      </c>
      <c r="N1790" s="27">
        <v>0.09</v>
      </c>
    </row>
    <row r="1791" spans="1:14" ht="12.75" hidden="1" outlineLevel="1" x14ac:dyDescent="0.2">
      <c r="A1791" s="23" t="str">
        <f t="shared" si="69"/>
        <v>ФКУЗ "МСЧ МВД РОССИИ ПО НОВГОРОДСКОЙ ОБЛАСТИ"</v>
      </c>
      <c r="B1791" s="24" t="s">
        <v>2764</v>
      </c>
      <c r="C1791" s="25">
        <v>20400</v>
      </c>
      <c r="D1791" s="22" t="s">
        <v>2868</v>
      </c>
      <c r="E1791" s="22" t="s">
        <v>208</v>
      </c>
      <c r="F1791" s="23" t="str">
        <f>HYPERLINK("https://www.spark-marketing.ru/Card/Lot/73257271", "Техническое обслуживание тревожной и охранной сигнализации")</f>
        <v>Техническое обслуживание тревожной и охранной сигнализации</v>
      </c>
      <c r="G1791" s="22" t="s">
        <v>959</v>
      </c>
      <c r="H1791" s="22" t="s">
        <v>960</v>
      </c>
      <c r="I1791" s="26">
        <v>43713.679861111101</v>
      </c>
      <c r="J1791" s="23" t="str">
        <f>HYPERLINK("https://www.spark-marketing.ru/Card/Person/442012", "ООО ""ЛУЧ""")</f>
        <v>ООО "ЛУЧ"</v>
      </c>
      <c r="K1791" s="24" t="s">
        <v>2766</v>
      </c>
      <c r="L1791" s="22" t="s">
        <v>10</v>
      </c>
      <c r="M1791" s="25">
        <v>18462</v>
      </c>
      <c r="N1791" s="27">
        <v>9.5000000000000001E-2</v>
      </c>
    </row>
    <row r="1792" spans="1:14" x14ac:dyDescent="0.15">
      <c r="A1792" s="23" t="str">
        <f t="shared" ref="A1792:A1798" si="70">HYPERLINK("https://www.spark-marketing.ru/Card/Person/5816972", "ОКУ ""ЛИПЕЦКАВТОДОР""")</f>
        <v>ОКУ "ЛИПЕЦКАВТОДОР"</v>
      </c>
      <c r="B1792" s="24" t="s">
        <v>2869</v>
      </c>
      <c r="C1792" s="25">
        <v>3791666</v>
      </c>
      <c r="D1792" s="22" t="s">
        <v>2870</v>
      </c>
      <c r="E1792" s="22" t="s">
        <v>491</v>
      </c>
      <c r="F1792" s="23" t="str">
        <f t="shared" ref="F1792:F1798" si="71">HYPERLINK("https://www.spark-marketing.ru/Card/Lot/73261671", "Разработка планов обеспечения транспортной безопасности объектов транспортной инфраструктуры на автомобильных дорогах общего пользования регионального значения в Чаплыгинском, Усманском, Измалковском, Воловском, Становлянском, Елецком, Лев-Толстовско...")</f>
        <v>Разработка планов обеспечения транспортной безопасности объектов транспортной инфраструктуры на автомобильных дорогах общего пользования регионального значения в Чаплыгинском, Усманском, Измалковском, Воловском, Становлянском, Елецком, Лев-Толстовско...</v>
      </c>
      <c r="G1792" s="22" t="s">
        <v>629</v>
      </c>
      <c r="H1792" s="22" t="s">
        <v>629</v>
      </c>
      <c r="I1792" s="26">
        <v>43713.642361111102</v>
      </c>
      <c r="J1792" s="28" t="s">
        <v>52</v>
      </c>
      <c r="K1792" s="28" t="s">
        <v>52</v>
      </c>
      <c r="L1792" s="28" t="s">
        <v>52</v>
      </c>
      <c r="M1792" s="28" t="s">
        <v>52</v>
      </c>
      <c r="N1792" s="28" t="s">
        <v>52</v>
      </c>
    </row>
    <row r="1793" spans="1:14" hidden="1" outlineLevel="1" x14ac:dyDescent="0.2">
      <c r="A1793" s="23" t="str">
        <f t="shared" si="70"/>
        <v>ОКУ "ЛИПЕЦКАВТОДОР"</v>
      </c>
      <c r="B1793" s="24" t="s">
        <v>2869</v>
      </c>
      <c r="C1793" s="25">
        <v>3791666</v>
      </c>
      <c r="D1793" s="22" t="s">
        <v>2870</v>
      </c>
      <c r="E1793" s="22" t="s">
        <v>491</v>
      </c>
      <c r="F1793" s="23" t="str">
        <f t="shared" si="71"/>
        <v>Разработка планов обеспечения транспортной безопасности объектов транспортной инфраструктуры на автомобильных дорогах общего пользования регионального значения в Чаплыгинском, Усманском, Измалковском, Воловском, Становлянском, Елецком, Лев-Толстовско...</v>
      </c>
      <c r="G1793" s="22" t="s">
        <v>629</v>
      </c>
      <c r="H1793" s="22" t="s">
        <v>629</v>
      </c>
      <c r="I1793" s="26">
        <v>43713.642361111102</v>
      </c>
      <c r="J1793" s="23" t="str">
        <f>HYPERLINK("https://www.spark-marketing.ru/Card/Person/6110146", "ООО ""ИЦ ТЕХНОБЕЗОПАСНОСТЬ""")</f>
        <v>ООО "ИЦ ТЕХНОБЕЗОПАСНОСТЬ"</v>
      </c>
      <c r="K1793" s="24" t="s">
        <v>2240</v>
      </c>
      <c r="L1793" s="28" t="s">
        <v>52</v>
      </c>
      <c r="M1793" s="25">
        <v>1808958.49</v>
      </c>
      <c r="N1793" s="27">
        <v>0.52291196270979567</v>
      </c>
    </row>
    <row r="1794" spans="1:14" hidden="1" outlineLevel="1" x14ac:dyDescent="0.2">
      <c r="A1794" s="23" t="str">
        <f t="shared" si="70"/>
        <v>ОКУ "ЛИПЕЦКАВТОДОР"</v>
      </c>
      <c r="B1794" s="24" t="s">
        <v>2869</v>
      </c>
      <c r="C1794" s="25">
        <v>3791666</v>
      </c>
      <c r="D1794" s="22" t="s">
        <v>2870</v>
      </c>
      <c r="E1794" s="22" t="s">
        <v>491</v>
      </c>
      <c r="F1794" s="23" t="str">
        <f t="shared" si="71"/>
        <v>Разработка планов обеспечения транспортной безопасности объектов транспортной инфраструктуры на автомобильных дорогах общего пользования регионального значения в Чаплыгинском, Усманском, Измалковском, Воловском, Становлянском, Елецком, Лев-Толстовско...</v>
      </c>
      <c r="G1794" s="22" t="s">
        <v>629</v>
      </c>
      <c r="H1794" s="22" t="s">
        <v>629</v>
      </c>
      <c r="I1794" s="26">
        <v>43713.642361111102</v>
      </c>
      <c r="J1794" s="23" t="str">
        <f>HYPERLINK("https://www.spark-marketing.ru/Card/Person/25906", "АО ""ПСТМ""")</f>
        <v>АО "ПСТМ"</v>
      </c>
      <c r="K1794" s="24" t="s">
        <v>2241</v>
      </c>
      <c r="L1794" s="28" t="s">
        <v>52</v>
      </c>
      <c r="M1794" s="25">
        <v>1865833.48</v>
      </c>
      <c r="N1794" s="27">
        <v>0.50791196270979566</v>
      </c>
    </row>
    <row r="1795" spans="1:14" ht="12.75" hidden="1" outlineLevel="1" x14ac:dyDescent="0.2">
      <c r="A1795" s="23" t="str">
        <f t="shared" si="70"/>
        <v>ОКУ "ЛИПЕЦКАВТОДОР"</v>
      </c>
      <c r="B1795" s="24" t="s">
        <v>2869</v>
      </c>
      <c r="C1795" s="25">
        <v>3791666</v>
      </c>
      <c r="D1795" s="22" t="s">
        <v>2870</v>
      </c>
      <c r="E1795" s="22" t="s">
        <v>491</v>
      </c>
      <c r="F1795" s="23" t="str">
        <f t="shared" si="71"/>
        <v>Разработка планов обеспечения транспортной безопасности объектов транспортной инфраструктуры на автомобильных дорогах общего пользования регионального значения в Чаплыгинском, Усманском, Измалковском, Воловском, Становлянском, Елецком, Лев-Толстовско...</v>
      </c>
      <c r="G1795" s="22" t="s">
        <v>629</v>
      </c>
      <c r="H1795" s="22" t="s">
        <v>629</v>
      </c>
      <c r="I1795" s="26">
        <v>43713.642361111102</v>
      </c>
      <c r="J1795" s="23" t="str">
        <f>HYPERLINK("https://www.spark-marketing.ru/Card/Person/62070", "ООО ""РЕГИОНАЛЬНЫЙ ЦЕНТР ИНФОРМАЦИОННОЙ БЕЗОПАСНОСТИ""")</f>
        <v>ООО "РЕГИОНАЛЬНЫЙ ЦЕНТР ИНФОРМАЦИОННОЙ БЕЗОПАСНОСТИ"</v>
      </c>
      <c r="K1795" s="24" t="s">
        <v>2871</v>
      </c>
      <c r="L1795" s="22" t="s">
        <v>10</v>
      </c>
      <c r="M1795" s="25">
        <v>1790000.16</v>
      </c>
      <c r="N1795" s="27">
        <v>0.52791196270979568</v>
      </c>
    </row>
    <row r="1796" spans="1:14" hidden="1" outlineLevel="1" x14ac:dyDescent="0.2">
      <c r="A1796" s="23" t="str">
        <f t="shared" si="70"/>
        <v>ОКУ "ЛИПЕЦКАВТОДОР"</v>
      </c>
      <c r="B1796" s="24" t="s">
        <v>2869</v>
      </c>
      <c r="C1796" s="25">
        <v>3791666</v>
      </c>
      <c r="D1796" s="22" t="s">
        <v>2870</v>
      </c>
      <c r="E1796" s="22" t="s">
        <v>491</v>
      </c>
      <c r="F1796" s="23" t="str">
        <f t="shared" si="71"/>
        <v>Разработка планов обеспечения транспортной безопасности объектов транспортной инфраструктуры на автомобильных дорогах общего пользования регионального значения в Чаплыгинском, Усманском, Измалковском, Воловском, Становлянском, Елецком, Лев-Толстовско...</v>
      </c>
      <c r="G1796" s="22" t="s">
        <v>629</v>
      </c>
      <c r="H1796" s="22" t="s">
        <v>629</v>
      </c>
      <c r="I1796" s="26">
        <v>43713.642361111102</v>
      </c>
      <c r="J1796" s="23" t="str">
        <f>HYPERLINK("https://www.spark-marketing.ru/Card/Person/20706", "ООО ""ЦВБ""")</f>
        <v>ООО "ЦВБ"</v>
      </c>
      <c r="K1796" s="24" t="s">
        <v>2872</v>
      </c>
      <c r="L1796" s="28" t="s">
        <v>52</v>
      </c>
      <c r="M1796" s="25">
        <v>3715832.68</v>
      </c>
      <c r="N1796" s="27">
        <v>0.02</v>
      </c>
    </row>
    <row r="1797" spans="1:14" hidden="1" outlineLevel="1" x14ac:dyDescent="0.2">
      <c r="A1797" s="23" t="str">
        <f t="shared" si="70"/>
        <v>ОКУ "ЛИПЕЦКАВТОДОР"</v>
      </c>
      <c r="B1797" s="24" t="s">
        <v>2869</v>
      </c>
      <c r="C1797" s="25">
        <v>3791666</v>
      </c>
      <c r="D1797" s="22" t="s">
        <v>2870</v>
      </c>
      <c r="E1797" s="22" t="s">
        <v>491</v>
      </c>
      <c r="F1797" s="23" t="str">
        <f t="shared" si="71"/>
        <v>Разработка планов обеспечения транспортной безопасности объектов транспортной инфраструктуры на автомобильных дорогах общего пользования регионального значения в Чаплыгинском, Усманском, Измалковском, Воловском, Становлянском, Елецком, Лев-Толстовско...</v>
      </c>
      <c r="G1797" s="22" t="s">
        <v>629</v>
      </c>
      <c r="H1797" s="22" t="s">
        <v>629</v>
      </c>
      <c r="I1797" s="26">
        <v>43713.642361111102</v>
      </c>
      <c r="J1797" s="23" t="str">
        <f>HYPERLINK("https://www.spark-marketing.ru/Card/Person/5966443", "ООО ""НАО""")</f>
        <v>ООО "НАО"</v>
      </c>
      <c r="K1797" s="24" t="s">
        <v>2873</v>
      </c>
      <c r="L1797" s="28" t="s">
        <v>52</v>
      </c>
      <c r="M1797" s="25">
        <v>1846875.15</v>
      </c>
      <c r="N1797" s="27">
        <v>0.51291196270979567</v>
      </c>
    </row>
    <row r="1798" spans="1:14" hidden="1" outlineLevel="1" x14ac:dyDescent="0.2">
      <c r="A1798" s="23" t="str">
        <f t="shared" si="70"/>
        <v>ОКУ "ЛИПЕЦКАВТОДОР"</v>
      </c>
      <c r="B1798" s="24" t="s">
        <v>2869</v>
      </c>
      <c r="C1798" s="25">
        <v>3791666</v>
      </c>
      <c r="D1798" s="22" t="s">
        <v>2870</v>
      </c>
      <c r="E1798" s="22" t="s">
        <v>491</v>
      </c>
      <c r="F1798" s="23" t="str">
        <f t="shared" si="71"/>
        <v>Разработка планов обеспечения транспортной безопасности объектов транспортной инфраструктуры на автомобильных дорогах общего пользования регионального значения в Чаплыгинском, Усманском, Измалковском, Воловском, Становлянском, Елецком, Лев-Толстовско...</v>
      </c>
      <c r="G1798" s="22" t="s">
        <v>629</v>
      </c>
      <c r="H1798" s="22" t="s">
        <v>629</v>
      </c>
      <c r="I1798" s="26">
        <v>43713.642361111102</v>
      </c>
      <c r="J1798" s="23" t="str">
        <f>HYPERLINK("https://www.spark-marketing.ru/Card/Person/5900709", "ООО ""БЕЗОПАСНОСТЬ""")</f>
        <v>ООО "БЕЗОПАСНОСТЬ"</v>
      </c>
      <c r="K1798" s="24" t="s">
        <v>2243</v>
      </c>
      <c r="L1798" s="28" t="s">
        <v>52</v>
      </c>
      <c r="M1798" s="25">
        <v>3250000</v>
      </c>
      <c r="N1798" s="27">
        <v>0.14285699215067993</v>
      </c>
    </row>
    <row r="1799" spans="1:14" x14ac:dyDescent="0.15">
      <c r="A1799" s="23" t="str">
        <f>HYPERLINK("https://www.spark-marketing.ru/Card/Person/813014", "ФКУ ""ГБ МСЭ ПО ЧУВАШСКОЙ РЕСПУБЛИКЕ - ЧУВАШИИ"" МИНТРУДА РОССИИ")</f>
        <v>ФКУ "ГБ МСЭ ПО ЧУВАШСКОЙ РЕСПУБЛИКЕ - ЧУВАШИИ" МИНТРУДА РОССИИ</v>
      </c>
      <c r="B1799" s="24" t="s">
        <v>1733</v>
      </c>
      <c r="C1799" s="25">
        <v>79668</v>
      </c>
      <c r="D1799" s="22" t="s">
        <v>2874</v>
      </c>
      <c r="E1799" s="22" t="s">
        <v>84</v>
      </c>
      <c r="F1799" s="23" t="str">
        <f>HYPERLINK("https://www.spark-marketing.ru/Card/Lot/73251661", "Монтаж, установка, модернизация систем видеонаблюдения, 1 шт")</f>
        <v>Монтаж, установка, модернизация систем видеонаблюдения, 1 шт</v>
      </c>
      <c r="G1799" s="22" t="s">
        <v>1137</v>
      </c>
      <c r="H1799" s="22" t="s">
        <v>1138</v>
      </c>
      <c r="I1799" s="26">
        <v>43713.636574074102</v>
      </c>
      <c r="J1799" s="28" t="s">
        <v>52</v>
      </c>
      <c r="K1799" s="28" t="s">
        <v>52</v>
      </c>
      <c r="L1799" s="28" t="s">
        <v>52</v>
      </c>
      <c r="M1799" s="28" t="s">
        <v>52</v>
      </c>
      <c r="N1799" s="28" t="s">
        <v>52</v>
      </c>
    </row>
    <row r="1800" spans="1:14" x14ac:dyDescent="0.15">
      <c r="A1800" s="23" t="str">
        <f>HYPERLINK("https://www.spark-marketing.ru/Card/Person/4167", "ФКУ УПРДОР ""ЧЕРНОМОРЬЕ""")</f>
        <v>ФКУ УПРДОР "ЧЕРНОМОРЬЕ"</v>
      </c>
      <c r="B1800" s="24" t="s">
        <v>2875</v>
      </c>
      <c r="C1800" s="25">
        <v>4531446</v>
      </c>
      <c r="D1800" s="22" t="s">
        <v>2876</v>
      </c>
      <c r="E1800" s="22" t="s">
        <v>218</v>
      </c>
      <c r="F1800" s="23" t="str">
        <f>HYPERLINK("https://www.spark-marketing.ru/Card/Lot/73261938", "Осуществление строительного контроля при выполнении работ по оснащению  инженерно-техническими средствами (системами) обеспечения транспортной безопасности объектов: ""Мост через реку Ничепсуго на км 21+371 автомобильной дороги А-147 Джубга - Сочи - ...")</f>
        <v>Осуществление строительного контроля при выполнении работ по оснащению  инженерно-техническими средствами (системами) обеспечения транспортной безопасности объектов: "Мост через реку Ничепсуго на км 21+371 автомобильной дороги А-147 Джубга - Сочи - ...</v>
      </c>
      <c r="G1800" s="22" t="s">
        <v>132</v>
      </c>
      <c r="H1800" s="22" t="s">
        <v>132</v>
      </c>
      <c r="I1800" s="26">
        <v>43713.65625</v>
      </c>
      <c r="J1800" s="28" t="s">
        <v>52</v>
      </c>
      <c r="K1800" s="28" t="s">
        <v>52</v>
      </c>
      <c r="L1800" s="28" t="s">
        <v>52</v>
      </c>
      <c r="M1800" s="28" t="s">
        <v>52</v>
      </c>
      <c r="N1800" s="28" t="s">
        <v>52</v>
      </c>
    </row>
    <row r="1801" spans="1:14" hidden="1" outlineLevel="1" x14ac:dyDescent="0.2">
      <c r="A1801" s="23" t="str">
        <f>HYPERLINK("https://www.spark-marketing.ru/Card/Person/4167", "ФКУ УПРДОР ""ЧЕРНОМОРЬЕ""")</f>
        <v>ФКУ УПРДОР "ЧЕРНОМОРЬЕ"</v>
      </c>
      <c r="B1801" s="24" t="s">
        <v>2875</v>
      </c>
      <c r="C1801" s="25">
        <v>4531446</v>
      </c>
      <c r="D1801" s="22" t="s">
        <v>2876</v>
      </c>
      <c r="E1801" s="22" t="s">
        <v>218</v>
      </c>
      <c r="F1801" s="23" t="str">
        <f>HYPERLINK("https://www.spark-marketing.ru/Card/Lot/73261938", "Осуществление строительного контроля при выполнении работ по оснащению  инженерно-техническими средствами (системами) обеспечения транспортной безопасности объектов: ""Мост через реку Ничепсуго на км 21+371 автомобильной дороги А-147 Джубга - Сочи - ...")</f>
        <v>Осуществление строительного контроля при выполнении работ по оснащению  инженерно-техническими средствами (системами) обеспечения транспортной безопасности объектов: "Мост через реку Ничепсуго на км 21+371 автомобильной дороги А-147 Джубга - Сочи - ...</v>
      </c>
      <c r="G1801" s="22" t="s">
        <v>132</v>
      </c>
      <c r="H1801" s="22" t="s">
        <v>132</v>
      </c>
      <c r="I1801" s="26">
        <v>43713.65625</v>
      </c>
      <c r="J1801" s="23" t="str">
        <f>HYPERLINK("https://www.spark-marketing.ru/Card/Person/447377", "ООО ""ЦНЭК""")</f>
        <v>ООО "ЦНЭК"</v>
      </c>
      <c r="K1801" s="24" t="s">
        <v>2877</v>
      </c>
      <c r="L1801" s="28" t="s">
        <v>52</v>
      </c>
      <c r="M1801" s="25">
        <v>4500000</v>
      </c>
      <c r="N1801" s="27">
        <v>6.9395067269917817E-3</v>
      </c>
    </row>
    <row r="1802" spans="1:14" ht="12.75" hidden="1" outlineLevel="1" x14ac:dyDescent="0.2">
      <c r="A1802" s="23" t="str">
        <f>HYPERLINK("https://www.spark-marketing.ru/Card/Person/4167", "ФКУ УПРДОР ""ЧЕРНОМОРЬЕ""")</f>
        <v>ФКУ УПРДОР "ЧЕРНОМОРЬЕ"</v>
      </c>
      <c r="B1802" s="24" t="s">
        <v>2875</v>
      </c>
      <c r="C1802" s="25">
        <v>4531446</v>
      </c>
      <c r="D1802" s="22" t="s">
        <v>2876</v>
      </c>
      <c r="E1802" s="22" t="s">
        <v>218</v>
      </c>
      <c r="F1802" s="23" t="str">
        <f>HYPERLINK("https://www.spark-marketing.ru/Card/Lot/73261938", "Осуществление строительного контроля при выполнении работ по оснащению  инженерно-техническими средствами (системами) обеспечения транспортной безопасности объектов: ""Мост через реку Ничепсуго на км 21+371 автомобильной дороги А-147 Джубга - Сочи - ...")</f>
        <v>Осуществление строительного контроля при выполнении работ по оснащению  инженерно-техническими средствами (системами) обеспечения транспортной безопасности объектов: "Мост через реку Ничепсуго на км 21+371 автомобильной дороги А-147 Джубга - Сочи - ...</v>
      </c>
      <c r="G1802" s="22" t="s">
        <v>132</v>
      </c>
      <c r="H1802" s="22" t="s">
        <v>132</v>
      </c>
      <c r="I1802" s="26">
        <v>43713.65625</v>
      </c>
      <c r="J1802" s="23" t="str">
        <f>HYPERLINK("https://www.spark-marketing.ru/Card/Person/58770", "ООО ""ПРОГРЕСС СТРОЙ""")</f>
        <v>ООО "ПРОГРЕСС СТРОЙ"</v>
      </c>
      <c r="K1802" s="24" t="s">
        <v>2878</v>
      </c>
      <c r="L1802" s="22" t="s">
        <v>10</v>
      </c>
      <c r="M1802" s="25">
        <v>3900000</v>
      </c>
      <c r="N1802" s="27">
        <v>0.13934757249672622</v>
      </c>
    </row>
    <row r="1803" spans="1:14" x14ac:dyDescent="0.15">
      <c r="A1803" s="23" t="str">
        <f>HYPERLINK("https://www.spark-marketing.ru/Card/Person/61958", "ГБОУ ШКОЛА № 325 ФРУНЗЕНСКОГО РАЙОНА САНКТ-ПЕТЕРБУРГА")</f>
        <v>ГБОУ ШКОЛА № 325 ФРУНЗЕНСКОГО РАЙОНА САНКТ-ПЕТЕРБУРГА</v>
      </c>
      <c r="B1803" s="24" t="s">
        <v>2879</v>
      </c>
      <c r="C1803" s="25">
        <v>2737087</v>
      </c>
      <c r="D1803" s="22" t="s">
        <v>2880</v>
      </c>
      <c r="E1803" s="22" t="s">
        <v>59</v>
      </c>
      <c r="F1803" s="23" t="str">
        <f>HYPERLINK("https://www.spark-marketing.ru/Card/Lot/73261542", "Выполнение работ по монтажу системы видеонаблюдения в Государственном бюджетном общеобразовательном учреждении средняя общеобразовательная школа № 325 Фрунзенского района Санкт-Петербурга")</f>
        <v>Выполнение работ по монтажу системы видеонаблюдения в Государственном бюджетном общеобразовательном учреждении средняя общеобразовательная школа № 325 Фрунзенского района Санкт-Петербурга</v>
      </c>
      <c r="G1803" s="22" t="s">
        <v>89</v>
      </c>
      <c r="H1803" s="22" t="s">
        <v>89</v>
      </c>
      <c r="I1803" s="26">
        <v>43713.643750000003</v>
      </c>
      <c r="J1803" s="28" t="s">
        <v>52</v>
      </c>
      <c r="K1803" s="28" t="s">
        <v>52</v>
      </c>
      <c r="L1803" s="28" t="s">
        <v>52</v>
      </c>
      <c r="M1803" s="28" t="s">
        <v>52</v>
      </c>
      <c r="N1803" s="28" t="s">
        <v>52</v>
      </c>
    </row>
    <row r="1804" spans="1:14" ht="12.75" hidden="1" outlineLevel="1" x14ac:dyDescent="0.2">
      <c r="A1804" s="23" t="str">
        <f>HYPERLINK("https://www.spark-marketing.ru/Card/Person/61958", "ГБОУ ШКОЛА № 325 ФРУНЗЕНСКОГО РАЙОНА САНКТ-ПЕТЕРБУРГА")</f>
        <v>ГБОУ ШКОЛА № 325 ФРУНЗЕНСКОГО РАЙОНА САНКТ-ПЕТЕРБУРГА</v>
      </c>
      <c r="B1804" s="24" t="s">
        <v>2879</v>
      </c>
      <c r="C1804" s="25">
        <v>2737087</v>
      </c>
      <c r="D1804" s="22" t="s">
        <v>2880</v>
      </c>
      <c r="E1804" s="22" t="s">
        <v>59</v>
      </c>
      <c r="F1804" s="23" t="str">
        <f>HYPERLINK("https://www.spark-marketing.ru/Card/Lot/73261542", "Выполнение работ по монтажу системы видеонаблюдения в Государственном бюджетном общеобразовательном учреждении средняя общеобразовательная школа № 325 Фрунзенского района Санкт-Петербурга")</f>
        <v>Выполнение работ по монтажу системы видеонаблюдения в Государственном бюджетном общеобразовательном учреждении средняя общеобразовательная школа № 325 Фрунзенского района Санкт-Петербурга</v>
      </c>
      <c r="G1804" s="22" t="s">
        <v>89</v>
      </c>
      <c r="H1804" s="22" t="s">
        <v>89</v>
      </c>
      <c r="I1804" s="26">
        <v>43713.643750000003</v>
      </c>
      <c r="J1804" s="23" t="str">
        <f>HYPERLINK("https://www.spark-marketing.ru/Card/Person/154912", "ООО ""ПИК""")</f>
        <v>ООО "ПИК"</v>
      </c>
      <c r="K1804" s="24" t="s">
        <v>2881</v>
      </c>
      <c r="L1804" s="22" t="s">
        <v>10</v>
      </c>
      <c r="M1804" s="25">
        <v>2641288.92</v>
      </c>
      <c r="N1804" s="27">
        <v>3.5000012787317319E-2</v>
      </c>
    </row>
    <row r="1805" spans="1:14" hidden="1" outlineLevel="1" x14ac:dyDescent="0.2">
      <c r="A1805" s="23" t="str">
        <f>HYPERLINK("https://www.spark-marketing.ru/Card/Person/61958", "ГБОУ ШКОЛА № 325 ФРУНЗЕНСКОГО РАЙОНА САНКТ-ПЕТЕРБУРГА")</f>
        <v>ГБОУ ШКОЛА № 325 ФРУНЗЕНСКОГО РАЙОНА САНКТ-ПЕТЕРБУРГА</v>
      </c>
      <c r="B1805" s="24" t="s">
        <v>2879</v>
      </c>
      <c r="C1805" s="25">
        <v>2737087</v>
      </c>
      <c r="D1805" s="22" t="s">
        <v>2880</v>
      </c>
      <c r="E1805" s="22" t="s">
        <v>59</v>
      </c>
      <c r="F1805" s="23" t="str">
        <f>HYPERLINK("https://www.spark-marketing.ru/Card/Lot/73261542", "Выполнение работ по монтажу системы видеонаблюдения в Государственном бюджетном общеобразовательном учреждении средняя общеобразовательная школа № 325 Фрунзенского района Санкт-Петербурга")</f>
        <v>Выполнение работ по монтажу системы видеонаблюдения в Государственном бюджетном общеобразовательном учреждении средняя общеобразовательная школа № 325 Фрунзенского района Санкт-Петербурга</v>
      </c>
      <c r="G1805" s="22" t="s">
        <v>89</v>
      </c>
      <c r="H1805" s="22" t="s">
        <v>89</v>
      </c>
      <c r="I1805" s="26">
        <v>43713.643750000003</v>
      </c>
      <c r="J1805" s="23" t="str">
        <f>HYPERLINK("https://www.spark-marketing.ru/Card/Person/6465468", "ООО ""АЛГОРИТМ""")</f>
        <v>ООО "АЛГОРИТМ"</v>
      </c>
      <c r="K1805" s="24" t="s">
        <v>2882</v>
      </c>
      <c r="L1805" s="28" t="s">
        <v>52</v>
      </c>
      <c r="M1805" s="25">
        <v>2645976.3199999998</v>
      </c>
      <c r="N1805" s="27">
        <v>3.3287462181509027E-2</v>
      </c>
    </row>
    <row r="1806" spans="1:14" hidden="1" outlineLevel="1" x14ac:dyDescent="0.2">
      <c r="A1806" s="23" t="str">
        <f>HYPERLINK("https://www.spark-marketing.ru/Card/Person/61958", "ГБОУ ШКОЛА № 325 ФРУНЗЕНСКОГО РАЙОНА САНКТ-ПЕТЕРБУРГА")</f>
        <v>ГБОУ ШКОЛА № 325 ФРУНЗЕНСКОГО РАЙОНА САНКТ-ПЕТЕРБУРГА</v>
      </c>
      <c r="B1806" s="24" t="s">
        <v>2879</v>
      </c>
      <c r="C1806" s="25">
        <v>2737087</v>
      </c>
      <c r="D1806" s="22" t="s">
        <v>2880</v>
      </c>
      <c r="E1806" s="22" t="s">
        <v>59</v>
      </c>
      <c r="F1806" s="23" t="str">
        <f>HYPERLINK("https://www.spark-marketing.ru/Card/Lot/73261542", "Выполнение работ по монтажу системы видеонаблюдения в Государственном бюджетном общеобразовательном учреждении средняя общеобразовательная школа № 325 Фрунзенского района Санкт-Петербурга")</f>
        <v>Выполнение работ по монтажу системы видеонаблюдения в Государственном бюджетном общеобразовательном учреждении средняя общеобразовательная школа № 325 Фрунзенского района Санкт-Петербурга</v>
      </c>
      <c r="G1806" s="22" t="s">
        <v>89</v>
      </c>
      <c r="H1806" s="22" t="s">
        <v>89</v>
      </c>
      <c r="I1806" s="26">
        <v>43713.643750000003</v>
      </c>
      <c r="J1806" s="23" t="str">
        <f>HYPERLINK("https://www.spark-marketing.ru/Card/Person/6457183", "ООО ""Т-СЕРВИС""")</f>
        <v>ООО "Т-СЕРВИС"</v>
      </c>
      <c r="K1806" s="24" t="s">
        <v>1979</v>
      </c>
      <c r="L1806" s="28" t="s">
        <v>52</v>
      </c>
      <c r="M1806" s="25">
        <v>2723401.56</v>
      </c>
      <c r="N1806" s="27">
        <v>5.0000018267596169E-3</v>
      </c>
    </row>
    <row r="1807" spans="1:14" x14ac:dyDescent="0.15">
      <c r="A1807" s="23" t="str">
        <f>HYPERLINK("https://www.spark-marketing.ru/Card/Person/883823", "ОТДЕЛ МВД РОССИИ ПО МОСТОВСКОМУ РАЙОНУ")</f>
        <v>ОТДЕЛ МВД РОССИИ ПО МОСТОВСКОМУ РАЙОНУ</v>
      </c>
      <c r="B1807" s="24" t="s">
        <v>2883</v>
      </c>
      <c r="C1807" s="25">
        <v>41348.76</v>
      </c>
      <c r="D1807" s="22" t="s">
        <v>2884</v>
      </c>
      <c r="E1807" s="22" t="s">
        <v>53</v>
      </c>
      <c r="F1807" s="23" t="str">
        <f>HYPERLINK("https://www.spark-marketing.ru/Card/Lot/73247252", "техническое обслуживание комплекса технических средств охраны")</f>
        <v>техническое обслуживание комплекса технических средств охраны</v>
      </c>
      <c r="G1807" s="22" t="s">
        <v>132</v>
      </c>
      <c r="H1807" s="22" t="s">
        <v>132</v>
      </c>
      <c r="I1807" s="26">
        <v>43713.5125694444</v>
      </c>
      <c r="J1807" s="28" t="s">
        <v>52</v>
      </c>
      <c r="K1807" s="28" t="s">
        <v>52</v>
      </c>
      <c r="L1807" s="28" t="s">
        <v>52</v>
      </c>
      <c r="M1807" s="28" t="s">
        <v>52</v>
      </c>
      <c r="N1807" s="28" t="s">
        <v>52</v>
      </c>
    </row>
    <row r="1808" spans="1:14" x14ac:dyDescent="0.15">
      <c r="A1808" s="23" t="str">
        <f>HYPERLINK("https://www.spark-marketing.ru/Card/Person/14530", "ФКУЗ ""МСЧ МВД РОССИИ ПО Г. САНКТ-ПЕТЕРБУРГУ И ЛЕНИНГРАДСКОЙ ОБЛАСТИ""")</f>
        <v>ФКУЗ "МСЧ МВД РОССИИ ПО Г. САНКТ-ПЕТЕРБУРГУ И ЛЕНИНГРАДСКОЙ ОБЛАСТИ"</v>
      </c>
      <c r="B1808" s="24" t="s">
        <v>2885</v>
      </c>
      <c r="C1808" s="25">
        <v>11830.84</v>
      </c>
      <c r="D1808" s="22" t="s">
        <v>2886</v>
      </c>
      <c r="E1808" s="22" t="s">
        <v>53</v>
      </c>
      <c r="F1808" s="23" t="str">
        <f>HYPERLINK("https://www.spark-marketing.ru/Card/Lot/73244242", "Услуги по техническому обслуживанию комплекста технических средств охраны")</f>
        <v>Услуги по техническому обслуживанию комплекста технических средств охраны</v>
      </c>
      <c r="G1808" s="22" t="s">
        <v>89</v>
      </c>
      <c r="H1808" s="22" t="s">
        <v>89</v>
      </c>
      <c r="I1808" s="26">
        <v>43713.464895833298</v>
      </c>
      <c r="J1808" s="28" t="s">
        <v>52</v>
      </c>
      <c r="K1808" s="28" t="s">
        <v>52</v>
      </c>
      <c r="L1808" s="28" t="s">
        <v>52</v>
      </c>
      <c r="M1808" s="28" t="s">
        <v>52</v>
      </c>
      <c r="N1808" s="28" t="s">
        <v>52</v>
      </c>
    </row>
    <row r="1809" spans="1:14" x14ac:dyDescent="0.15">
      <c r="A1809" s="23" t="str">
        <f>HYPERLINK("https://www.spark-marketing.ru/Card/Person/1837178", "АО ""АНХП""")</f>
        <v>АО "АНХП"</v>
      </c>
      <c r="B1809" s="24" t="s">
        <v>2887</v>
      </c>
      <c r="C1809" s="25">
        <v>8983650</v>
      </c>
      <c r="D1809" s="22" t="s">
        <v>2888</v>
      </c>
      <c r="E1809" s="22" t="s">
        <v>2889</v>
      </c>
      <c r="F1809" s="23" t="str">
        <f>HYPERLINK("https://www.spark-marketing.ru/Card/Lot/73246637", "«Научно-техническое сопровождение припроектировании объекта «Комплекс сернокислотного алкилирования» на АО «АНХК»")</f>
        <v>«Научно-техническое сопровождение припроектировании объекта «Комплекс сернокислотного алкилирования» на АО «АНХК»</v>
      </c>
      <c r="G1809" s="22" t="s">
        <v>281</v>
      </c>
      <c r="H1809" s="22" t="s">
        <v>2890</v>
      </c>
      <c r="I1809" s="26">
        <v>43713.497222222199</v>
      </c>
      <c r="J1809" s="28" t="s">
        <v>52</v>
      </c>
      <c r="K1809" s="28" t="s">
        <v>52</v>
      </c>
      <c r="L1809" s="28" t="s">
        <v>52</v>
      </c>
      <c r="M1809" s="28" t="s">
        <v>52</v>
      </c>
      <c r="N1809" s="28" t="s">
        <v>52</v>
      </c>
    </row>
    <row r="1810" spans="1:14" x14ac:dyDescent="0.15">
      <c r="A1810" s="23" t="str">
        <f>HYPERLINK("https://www.spark-marketing.ru/Card/Person/883823", "ОТДЕЛ МВД РОССИИ ПО МОСТОВСКОМУ РАЙОНУ")</f>
        <v>ОТДЕЛ МВД РОССИИ ПО МОСТОВСКОМУ РАЙОНУ</v>
      </c>
      <c r="B1810" s="24" t="s">
        <v>2883</v>
      </c>
      <c r="C1810" s="25">
        <v>41348.76</v>
      </c>
      <c r="D1810" s="22" t="s">
        <v>2891</v>
      </c>
      <c r="E1810" s="22" t="s">
        <v>53</v>
      </c>
      <c r="F1810" s="23" t="str">
        <f>HYPERLINK("https://www.spark-marketing.ru/Card/Lot/73242942", "техническое обслуживание комплекса технических средств охраны")</f>
        <v>техническое обслуживание комплекса технических средств охраны</v>
      </c>
      <c r="G1810" s="22" t="s">
        <v>132</v>
      </c>
      <c r="H1810" s="22" t="s">
        <v>132</v>
      </c>
      <c r="I1810" s="26">
        <v>43713.423437500001</v>
      </c>
      <c r="J1810" s="28" t="s">
        <v>52</v>
      </c>
      <c r="K1810" s="28" t="s">
        <v>52</v>
      </c>
      <c r="L1810" s="28" t="s">
        <v>52</v>
      </c>
      <c r="M1810" s="28" t="s">
        <v>52</v>
      </c>
      <c r="N1810" s="28" t="s">
        <v>52</v>
      </c>
    </row>
    <row r="1811" spans="1:14" x14ac:dyDescent="0.15">
      <c r="A1811" s="23" t="str">
        <f>HYPERLINK("https://www.spark-marketing.ru/Card/Person/143522", "КЕМЕРОВСКАЯ ТАМОЖНЯ")</f>
        <v>КЕМЕРОВСКАЯ ТАМОЖНЯ</v>
      </c>
      <c r="B1811" s="24" t="s">
        <v>2841</v>
      </c>
      <c r="C1811" s="25">
        <v>451108.32</v>
      </c>
      <c r="D1811" s="22" t="s">
        <v>2892</v>
      </c>
      <c r="E1811" s="22" t="s">
        <v>68</v>
      </c>
      <c r="F1811" s="23" t="str">
        <f>HYPERLINK("https://www.spark-marketing.ru/Card/Lot/73240622", "Охрана объектов Кемеровской таможни")</f>
        <v>Охрана объектов Кемеровской таможни</v>
      </c>
      <c r="G1811" s="22" t="s">
        <v>367</v>
      </c>
      <c r="H1811" s="22" t="s">
        <v>881</v>
      </c>
      <c r="I1811" s="26">
        <v>43713.377777777801</v>
      </c>
      <c r="J1811" s="28" t="s">
        <v>52</v>
      </c>
      <c r="K1811" s="28" t="s">
        <v>52</v>
      </c>
      <c r="L1811" s="28" t="s">
        <v>52</v>
      </c>
      <c r="M1811" s="28" t="s">
        <v>52</v>
      </c>
      <c r="N1811" s="28" t="s">
        <v>52</v>
      </c>
    </row>
    <row r="1812" spans="1:14" ht="12.75" hidden="1" outlineLevel="1" x14ac:dyDescent="0.2">
      <c r="A1812" s="23" t="str">
        <f>HYPERLINK("https://www.spark-marketing.ru/Card/Person/143522", "КЕМЕРОВСКАЯ ТАМОЖНЯ")</f>
        <v>КЕМЕРОВСКАЯ ТАМОЖНЯ</v>
      </c>
      <c r="B1812" s="24" t="s">
        <v>2841</v>
      </c>
      <c r="C1812" s="25">
        <v>451108.32</v>
      </c>
      <c r="D1812" s="22" t="s">
        <v>2892</v>
      </c>
      <c r="E1812" s="22" t="s">
        <v>68</v>
      </c>
      <c r="F1812" s="23" t="str">
        <f>HYPERLINK("https://www.spark-marketing.ru/Card/Lot/73240622", "Охрана объектов Кемеровской таможни")</f>
        <v>Охрана объектов Кемеровской таможни</v>
      </c>
      <c r="G1812" s="22" t="s">
        <v>367</v>
      </c>
      <c r="H1812" s="22" t="s">
        <v>881</v>
      </c>
      <c r="I1812" s="26">
        <v>43713.377777777801</v>
      </c>
      <c r="J1812" s="23" t="str">
        <f>HYPERLINK("https://www.spark-marketing.ru/Card/Person/4536004", "ФЛ ФГУП ""ОХРАНА"" РОСГВАРДИИ ПО КЕМЕРОВСКОЙ ОБЛАСТИ")</f>
        <v>ФЛ ФГУП "ОХРАНА" РОСГВАРДИИ ПО КЕМЕРОВСКОЙ ОБЛАСТИ</v>
      </c>
      <c r="K1812" s="24" t="s">
        <v>779</v>
      </c>
      <c r="L1812" s="22" t="s">
        <v>10</v>
      </c>
      <c r="M1812" s="25">
        <v>448852.78</v>
      </c>
      <c r="N1812" s="27">
        <v>4.9999964531800252E-3</v>
      </c>
    </row>
    <row r="1813" spans="1:14" hidden="1" outlineLevel="1" x14ac:dyDescent="0.2">
      <c r="A1813" s="23" t="str">
        <f>HYPERLINK("https://www.spark-marketing.ru/Card/Person/143522", "КЕМЕРОВСКАЯ ТАМОЖНЯ")</f>
        <v>КЕМЕРОВСКАЯ ТАМОЖНЯ</v>
      </c>
      <c r="B1813" s="24" t="s">
        <v>2841</v>
      </c>
      <c r="C1813" s="25">
        <v>451108.32</v>
      </c>
      <c r="D1813" s="22" t="s">
        <v>2892</v>
      </c>
      <c r="E1813" s="22" t="s">
        <v>68</v>
      </c>
      <c r="F1813" s="23" t="str">
        <f>HYPERLINK("https://www.spark-marketing.ru/Card/Lot/73240622", "Охрана объектов Кемеровской таможни")</f>
        <v>Охрана объектов Кемеровской таможни</v>
      </c>
      <c r="G1813" s="22" t="s">
        <v>367</v>
      </c>
      <c r="H1813" s="22" t="s">
        <v>881</v>
      </c>
      <c r="I1813" s="26">
        <v>43713.377777777801</v>
      </c>
      <c r="J1813" s="23" t="str">
        <f>HYPERLINK("https://www.spark-marketing.ru/Card/Person/636161", "ООО ОП ""МОЗБЕРГ""")</f>
        <v>ООО ОП "МОЗБЕРГ"</v>
      </c>
      <c r="K1813" s="24" t="s">
        <v>2843</v>
      </c>
      <c r="L1813" s="28" t="s">
        <v>52</v>
      </c>
      <c r="M1813" s="25">
        <v>446597.24</v>
      </c>
      <c r="N1813" s="27">
        <v>9.9999929063600505E-3</v>
      </c>
    </row>
    <row r="1814" spans="1:14" x14ac:dyDescent="0.2">
      <c r="A1814" s="23" t="str">
        <f>HYPERLINK("https://www.spark-marketing.ru/Card/Person/398818", "ОГБПОУ ""КОСТРОМСКОЙ ОБЛАСТНОЙ МЕДИЦИНСКИЙ КОЛЛЕДЖ ИМЕНИ С.А. БОГОМОЛОВА""")</f>
        <v>ОГБПОУ "КОСТРОМСКОЙ ОБЛАСТНОЙ МЕДИЦИНСКИЙ КОЛЛЕДЖ ИМЕНИ С.А. БОГОМОЛОВА"</v>
      </c>
      <c r="B1814" s="24" t="s">
        <v>2893</v>
      </c>
      <c r="C1814" s="25">
        <v>169000</v>
      </c>
      <c r="D1814" s="22" t="s">
        <v>2894</v>
      </c>
      <c r="E1814" s="22" t="s">
        <v>49</v>
      </c>
      <c r="F1814" s="23" t="str">
        <f>HYPERLINK("https://www.spark-marketing.ru/Card/Lot/73261974", "монтаж охранной сигнализации")</f>
        <v>монтаж охранной сигнализации</v>
      </c>
      <c r="G1814" s="22" t="s">
        <v>1104</v>
      </c>
      <c r="H1814" s="22" t="s">
        <v>1104</v>
      </c>
      <c r="I1814" s="26">
        <v>43713</v>
      </c>
      <c r="J1814" s="28" t="s">
        <v>52</v>
      </c>
      <c r="K1814" s="28" t="s">
        <v>52</v>
      </c>
      <c r="L1814" s="22" t="s">
        <v>10</v>
      </c>
      <c r="M1814" s="25">
        <v>168237</v>
      </c>
      <c r="N1814" s="27">
        <v>4.5147928994082841E-3</v>
      </c>
    </row>
    <row r="1815" spans="1:14" x14ac:dyDescent="0.15">
      <c r="A1815" s="23" t="str">
        <f>HYPERLINK("https://www.spark-marketing.ru/Card/Person/4348435", "ООО ""ТД ПОЛИМЕТАЛЛ""")</f>
        <v>ООО "ТД ПОЛИМЕТАЛЛ"</v>
      </c>
      <c r="B1815" s="24" t="s">
        <v>374</v>
      </c>
      <c r="C1815" s="25">
        <v>425</v>
      </c>
      <c r="D1815" s="22" t="s">
        <v>2895</v>
      </c>
      <c r="E1815" s="22" t="s">
        <v>376</v>
      </c>
      <c r="F1815" s="23" t="str">
        <f>HYPERLINK("https://www.spark-marketing.ru/Card/Lot/73242330", "Знак P 15 ""Стоять под грузом запрещено"" ГОСТ12.04.026-2001, пластик")</f>
        <v>Знак P 15 "Стоять под грузом запрещено" ГОСТ12.04.026-2001, пластик</v>
      </c>
      <c r="G1815" s="22" t="s">
        <v>89</v>
      </c>
      <c r="H1815" s="22" t="s">
        <v>89</v>
      </c>
      <c r="I1815" s="26">
        <v>43713.272650462997</v>
      </c>
      <c r="J1815" s="28" t="s">
        <v>52</v>
      </c>
      <c r="K1815" s="28" t="s">
        <v>52</v>
      </c>
      <c r="L1815" s="28" t="s">
        <v>52</v>
      </c>
      <c r="M1815" s="28" t="s">
        <v>52</v>
      </c>
      <c r="N1815" s="28" t="s">
        <v>52</v>
      </c>
    </row>
    <row r="1816" spans="1:14" x14ac:dyDescent="0.15">
      <c r="A1816" s="23" t="str">
        <f>HYPERLINK("https://www.spark-marketing.ru/Card/Person/4348435", "ООО ""ТД ПОЛИМЕТАЛЛ""")</f>
        <v>ООО "ТД ПОЛИМЕТАЛЛ"</v>
      </c>
      <c r="B1816" s="24" t="s">
        <v>374</v>
      </c>
      <c r="C1816" s="25">
        <v>2890</v>
      </c>
      <c r="D1816" s="22" t="s">
        <v>2895</v>
      </c>
      <c r="E1816" s="22" t="s">
        <v>376</v>
      </c>
      <c r="F1816" s="23" t="str">
        <f>HYPERLINK("https://www.spark-marketing.ru/Card/Lot/73242486", "Табличка ""Место остановки вахтового автомобиля"" размером 800*800 мм, материал - металл, светоотражаю")</f>
        <v>Табличка "Место остановки вахтового автомобиля" размером 800*800 мм, материал - металл, светоотражаю</v>
      </c>
      <c r="G1816" s="22" t="s">
        <v>89</v>
      </c>
      <c r="H1816" s="22" t="s">
        <v>89</v>
      </c>
      <c r="I1816" s="26">
        <v>43713.272650462997</v>
      </c>
      <c r="J1816" s="28" t="s">
        <v>52</v>
      </c>
      <c r="K1816" s="28" t="s">
        <v>52</v>
      </c>
      <c r="L1816" s="28" t="s">
        <v>52</v>
      </c>
      <c r="M1816" s="28" t="s">
        <v>52</v>
      </c>
      <c r="N1816" s="28" t="s">
        <v>52</v>
      </c>
    </row>
    <row r="1817" spans="1:14" x14ac:dyDescent="0.15">
      <c r="A1817" s="23" t="str">
        <f>HYPERLINK("https://www.spark-marketing.ru/Card/Person/129232", "САХГУ, ФГБОУ ВО ""САХГУ"", ФГБОУ ВО ""САХАЛИНСКИЙ ГОСУДАРСТВЕННЫЙ УНИВЕРСИТЕТ"", САХАЛИНСКИЙ ГОСУДАРСТВЕННЫЙ УНИВЕСИТЕТ")</f>
        <v>САХГУ, ФГБОУ ВО "САХГУ", ФГБОУ ВО "САХАЛИНСКИЙ ГОСУДАРСТВЕННЫЙ УНИВЕРСИТЕТ", САХАЛИНСКИЙ ГОСУДАРСТВЕННЫЙ УНИВЕСИТЕТ</v>
      </c>
      <c r="B1817" s="24" t="s">
        <v>2896</v>
      </c>
      <c r="C1817" s="25">
        <v>488160</v>
      </c>
      <c r="D1817" s="22" t="s">
        <v>2897</v>
      </c>
      <c r="E1817" s="22" t="s">
        <v>144</v>
      </c>
      <c r="F1817" s="23" t="str">
        <f>HYPERLINK("https://www.spark-marketing.ru/Card/Lot/73241710", "оказание охранных услуг")</f>
        <v>оказание охранных услуг</v>
      </c>
      <c r="G1817" s="22" t="s">
        <v>69</v>
      </c>
      <c r="H1817" s="22" t="s">
        <v>69</v>
      </c>
      <c r="I1817" s="26">
        <v>43713</v>
      </c>
      <c r="J1817" s="28" t="s">
        <v>52</v>
      </c>
      <c r="K1817" s="28" t="s">
        <v>52</v>
      </c>
      <c r="L1817" s="28" t="s">
        <v>52</v>
      </c>
      <c r="M1817" s="28" t="s">
        <v>52</v>
      </c>
      <c r="N1817" s="28" t="s">
        <v>52</v>
      </c>
    </row>
    <row r="1818" spans="1:14" x14ac:dyDescent="0.15">
      <c r="A1818" s="23" t="str">
        <f>HYPERLINK("https://www.spark-marketing.ru/Card/Person/4348435", "ООО ""ТД ПОЛИМЕТАЛЛ""")</f>
        <v>ООО "ТД ПОЛИМЕТАЛЛ"</v>
      </c>
      <c r="B1818" s="24" t="s">
        <v>374</v>
      </c>
      <c r="C1818" s="25">
        <v>416.7</v>
      </c>
      <c r="D1818" s="22" t="s">
        <v>2895</v>
      </c>
      <c r="E1818" s="22" t="s">
        <v>376</v>
      </c>
      <c r="F1818" s="23" t="str">
        <f>HYPERLINK("https://www.spark-marketing.ru/Card/Lot/73242296", "Знак ""Запрещается нахождение под грузом"" (пластик 300мм)")</f>
        <v>Знак "Запрещается нахождение под грузом" (пластик 300мм)</v>
      </c>
      <c r="G1818" s="22" t="s">
        <v>89</v>
      </c>
      <c r="H1818" s="22" t="s">
        <v>89</v>
      </c>
      <c r="I1818" s="26">
        <v>43713.272650462997</v>
      </c>
      <c r="J1818" s="28" t="s">
        <v>52</v>
      </c>
      <c r="K1818" s="28" t="s">
        <v>52</v>
      </c>
      <c r="L1818" s="28" t="s">
        <v>52</v>
      </c>
      <c r="M1818" s="28" t="s">
        <v>52</v>
      </c>
      <c r="N1818" s="28" t="s">
        <v>52</v>
      </c>
    </row>
    <row r="1819" spans="1:14" x14ac:dyDescent="0.15">
      <c r="A1819" s="23" t="str">
        <f>HYPERLINK("https://www.spark-marketing.ru/Card/Person/4348435", "ООО ""ТД ПОЛИМЕТАЛЛ""")</f>
        <v>ООО "ТД ПОЛИМЕТАЛЛ"</v>
      </c>
      <c r="B1819" s="24" t="s">
        <v>374</v>
      </c>
      <c r="C1819" s="25">
        <v>598.86</v>
      </c>
      <c r="D1819" s="22" t="s">
        <v>2895</v>
      </c>
      <c r="E1819" s="22" t="s">
        <v>376</v>
      </c>
      <c r="F1819" s="23" t="str">
        <f>HYPERLINK("https://www.spark-marketing.ru/Card/Lot/73242367", "Плакат ""Схемы строповки грузов""")</f>
        <v>Плакат "Схемы строповки грузов"</v>
      </c>
      <c r="G1819" s="22" t="s">
        <v>89</v>
      </c>
      <c r="H1819" s="22" t="s">
        <v>89</v>
      </c>
      <c r="I1819" s="26">
        <v>43713.272650462997</v>
      </c>
      <c r="J1819" s="28" t="s">
        <v>52</v>
      </c>
      <c r="K1819" s="28" t="s">
        <v>52</v>
      </c>
      <c r="L1819" s="28" t="s">
        <v>52</v>
      </c>
      <c r="M1819" s="28" t="s">
        <v>52</v>
      </c>
      <c r="N1819" s="28" t="s">
        <v>52</v>
      </c>
    </row>
    <row r="1820" spans="1:14" x14ac:dyDescent="0.2">
      <c r="A1820" s="23" t="str">
        <f>HYPERLINK("https://www.spark-marketing.ru/Card/Person/107173", "ФГУП ""УВО МИНТРАНСА РОССИИ""")</f>
        <v>ФГУП "УВО МИНТРАНСА РОССИИ"</v>
      </c>
      <c r="B1820" s="24" t="s">
        <v>1472</v>
      </c>
      <c r="C1820" s="25">
        <v>940969236</v>
      </c>
      <c r="D1820" s="22" t="s">
        <v>2898</v>
      </c>
      <c r="E1820" s="22" t="s">
        <v>606</v>
      </c>
      <c r="F1820" s="23" t="str">
        <f>HYPERLINK("https://www.spark-marketing.ru/Card/Lot/73247036", "Выполнение комплекса строительно-монтажных работ на объекте: «Технические средства обеспечения транспортной безопасности при строительстве железнодорожных подходов к транспортному переходу через Керченский пролив». Этап 2: Строительство соответствующ...")</f>
        <v>Выполнение комплекса строительно-монтажных работ на объекте: «Технические средства обеспечения транспортной безопасности при строительстве железнодорожных подходов к транспортному переходу через Керченский пролив». Этап 2: Строительство соответствующ...</v>
      </c>
      <c r="G1820" s="22" t="s">
        <v>1053</v>
      </c>
      <c r="H1820" s="22" t="s">
        <v>1053</v>
      </c>
      <c r="I1820" s="26">
        <v>43713</v>
      </c>
      <c r="J1820" s="28" t="s">
        <v>52</v>
      </c>
      <c r="K1820" s="28" t="s">
        <v>52</v>
      </c>
      <c r="L1820" s="28" t="s">
        <v>52</v>
      </c>
      <c r="M1820" s="25">
        <v>940969236</v>
      </c>
      <c r="N1820" s="27">
        <v>0</v>
      </c>
    </row>
    <row r="1821" spans="1:14" x14ac:dyDescent="0.15">
      <c r="A1821" s="23" t="str">
        <f>HYPERLINK("https://www.spark-marketing.ru/Card/Person/14639", "ЗАО ФИРМА ЦВ ""ПРОТЕК""")</f>
        <v>ЗАО ФИРМА ЦВ "ПРОТЕК"</v>
      </c>
      <c r="B1821" s="24" t="s">
        <v>2899</v>
      </c>
      <c r="C1821" s="25">
        <v>0</v>
      </c>
      <c r="D1821" s="22" t="s">
        <v>2900</v>
      </c>
      <c r="E1821" s="22" t="s">
        <v>1293</v>
      </c>
      <c r="F1821" s="23" t="str">
        <f>HYPERLINK("https://www.spark-marketing.ru/Card/Lot/73260632", "Поставка и установка видеорегистраторов для узкопроходных штабелеров Jungheinrich EKX-515")</f>
        <v>Поставка и установка видеорегистраторов для узкопроходных штабелеров Jungheinrich EKX-515</v>
      </c>
      <c r="G1821" s="22" t="s">
        <v>55</v>
      </c>
      <c r="H1821" s="22" t="s">
        <v>55</v>
      </c>
      <c r="I1821" s="26">
        <v>43713.623680555596</v>
      </c>
      <c r="J1821" s="28" t="s">
        <v>52</v>
      </c>
      <c r="K1821" s="28" t="s">
        <v>52</v>
      </c>
      <c r="L1821" s="28" t="s">
        <v>52</v>
      </c>
      <c r="M1821" s="28" t="s">
        <v>52</v>
      </c>
      <c r="N1821" s="28" t="s">
        <v>52</v>
      </c>
    </row>
    <row r="1822" spans="1:14" x14ac:dyDescent="0.15">
      <c r="A1822" s="23" t="str">
        <f>HYPERLINK("https://www.spark-marketing.ru/Card/Person/1752292", "СПБ ГАУ ЦЗН")</f>
        <v>СПБ ГАУ ЦЗН</v>
      </c>
      <c r="B1822" s="24" t="s">
        <v>2901</v>
      </c>
      <c r="C1822" s="25">
        <v>189910</v>
      </c>
      <c r="D1822" s="22" t="s">
        <v>2902</v>
      </c>
      <c r="E1822" s="22" t="s">
        <v>49</v>
      </c>
      <c r="F1822" s="23" t="str">
        <f>HYPERLINK("https://www.spark-marketing.ru/Card/Lot/73256078", "Выполнение работ по временной установке комплекса оборудования системы видеонаблюдения на объекте СПб ГАУ ЦЗН по адресу: Санкт-Петербург, ул. Рузовская ,д.18")</f>
        <v>Выполнение работ по временной установке комплекса оборудования системы видеонаблюдения на объекте СПб ГАУ ЦЗН по адресу: Санкт-Петербург, ул. Рузовская ,д.18</v>
      </c>
      <c r="G1822" s="22" t="s">
        <v>89</v>
      </c>
      <c r="H1822" s="22" t="s">
        <v>89</v>
      </c>
      <c r="I1822" s="26">
        <v>43713</v>
      </c>
      <c r="J1822" s="28" t="s">
        <v>52</v>
      </c>
      <c r="K1822" s="28" t="s">
        <v>52</v>
      </c>
      <c r="L1822" s="28" t="s">
        <v>52</v>
      </c>
      <c r="M1822" s="28" t="s">
        <v>52</v>
      </c>
      <c r="N1822" s="28" t="s">
        <v>52</v>
      </c>
    </row>
    <row r="1823" spans="1:14" x14ac:dyDescent="0.15">
      <c r="A1823" s="23" t="str">
        <f>HYPERLINK("https://www.spark-marketing.ru/Card/Person/4450008", "ООО ""КАРИ""")</f>
        <v>ООО "КАРИ"</v>
      </c>
      <c r="B1823" s="24" t="s">
        <v>2903</v>
      </c>
      <c r="C1823" s="25">
        <v>0</v>
      </c>
      <c r="D1823" s="22" t="s">
        <v>2904</v>
      </c>
      <c r="E1823" s="22" t="s">
        <v>208</v>
      </c>
      <c r="F1823" s="23" t="str">
        <f>HYPERLINK("https://www.spark-marketing.ru/Card/Lot/73245263", "Услуги по охране объекта стационарным постом (12 часовую охрану, 2 чел) 720ч/мес.")</f>
        <v>Услуги по охране объекта стационарным постом (12 часовую охрану, 2 чел) 720ч/мес.</v>
      </c>
      <c r="G1823" s="22" t="s">
        <v>281</v>
      </c>
      <c r="H1823" s="22" t="s">
        <v>2905</v>
      </c>
      <c r="I1823" s="26">
        <v>43713.368738425903</v>
      </c>
      <c r="J1823" s="28" t="s">
        <v>52</v>
      </c>
      <c r="K1823" s="28" t="s">
        <v>52</v>
      </c>
      <c r="L1823" s="28" t="s">
        <v>52</v>
      </c>
      <c r="M1823" s="28" t="s">
        <v>52</v>
      </c>
      <c r="N1823" s="28" t="s">
        <v>52</v>
      </c>
    </row>
    <row r="1824" spans="1:14" x14ac:dyDescent="0.15">
      <c r="A1824" s="23" t="str">
        <f t="shared" ref="A1824:A1830" si="72">HYPERLINK("https://www.spark-marketing.ru/Card/Person/26010", "ГБУСО ""СРЦН ""АИСТЕНОК"" В Г. БУГУРУСЛАНЕ")</f>
        <v>ГБУСО "СРЦН "АИСТЕНОК" В Г. БУГУРУСЛАНЕ</v>
      </c>
      <c r="B1824" s="24" t="s">
        <v>2906</v>
      </c>
      <c r="C1824" s="25">
        <v>242324</v>
      </c>
      <c r="D1824" s="22" t="s">
        <v>2907</v>
      </c>
      <c r="E1824" s="22" t="s">
        <v>59</v>
      </c>
      <c r="F1824" s="23" t="str">
        <f t="shared" ref="F1824:F1830" si="73">HYPERLINK("https://www.spark-marketing.ru/Card/Lot/73232606", "На выполнение работ по установке системы видеонаблюдения.")</f>
        <v>На выполнение работ по установке системы видеонаблюдения.</v>
      </c>
      <c r="G1824" s="22" t="s">
        <v>384</v>
      </c>
      <c r="H1824" s="22" t="s">
        <v>2908</v>
      </c>
      <c r="I1824" s="26">
        <v>43712.731249999997</v>
      </c>
      <c r="J1824" s="28" t="s">
        <v>52</v>
      </c>
      <c r="K1824" s="28" t="s">
        <v>52</v>
      </c>
      <c r="L1824" s="28" t="s">
        <v>52</v>
      </c>
      <c r="M1824" s="28" t="s">
        <v>52</v>
      </c>
      <c r="N1824" s="28" t="s">
        <v>52</v>
      </c>
    </row>
    <row r="1825" spans="1:14" hidden="1" outlineLevel="1" x14ac:dyDescent="0.2">
      <c r="A1825" s="23" t="str">
        <f t="shared" si="72"/>
        <v>ГБУСО "СРЦН "АИСТЕНОК" В Г. БУГУРУСЛАНЕ</v>
      </c>
      <c r="B1825" s="24" t="s">
        <v>2906</v>
      </c>
      <c r="C1825" s="25">
        <v>242324</v>
      </c>
      <c r="D1825" s="22" t="s">
        <v>2907</v>
      </c>
      <c r="E1825" s="22" t="s">
        <v>59</v>
      </c>
      <c r="F1825" s="23" t="str">
        <f t="shared" si="73"/>
        <v>На выполнение работ по установке системы видеонаблюдения.</v>
      </c>
      <c r="G1825" s="22" t="s">
        <v>384</v>
      </c>
      <c r="H1825" s="22" t="s">
        <v>2908</v>
      </c>
      <c r="I1825" s="26">
        <v>43712.731249999997</v>
      </c>
      <c r="J1825" s="23" t="str">
        <f>HYPERLINK("https://www.spark-marketing.ru/Card/Person/393190", "Гончаров Сергей Николаевич")</f>
        <v>Гончаров Сергей Николаевич</v>
      </c>
      <c r="K1825" s="24" t="s">
        <v>2909</v>
      </c>
      <c r="L1825" s="28" t="s">
        <v>52</v>
      </c>
      <c r="M1825" s="25">
        <v>107988.38</v>
      </c>
      <c r="N1825" s="27">
        <v>0.55436366187418495</v>
      </c>
    </row>
    <row r="1826" spans="1:14" hidden="1" outlineLevel="1" x14ac:dyDescent="0.2">
      <c r="A1826" s="23" t="str">
        <f t="shared" si="72"/>
        <v>ГБУСО "СРЦН "АИСТЕНОК" В Г. БУГУРУСЛАНЕ</v>
      </c>
      <c r="B1826" s="24" t="s">
        <v>2906</v>
      </c>
      <c r="C1826" s="25">
        <v>242324</v>
      </c>
      <c r="D1826" s="22" t="s">
        <v>2907</v>
      </c>
      <c r="E1826" s="22" t="s">
        <v>59</v>
      </c>
      <c r="F1826" s="23" t="str">
        <f t="shared" si="73"/>
        <v>На выполнение работ по установке системы видеонаблюдения.</v>
      </c>
      <c r="G1826" s="22" t="s">
        <v>384</v>
      </c>
      <c r="H1826" s="22" t="s">
        <v>2908</v>
      </c>
      <c r="I1826" s="26">
        <v>43712.731249999997</v>
      </c>
      <c r="J1826" s="23" t="str">
        <f>HYPERLINK("https://www.spark-marketing.ru/Card/Person/6499259", "ООО ""АЙТИМ""")</f>
        <v>ООО "АЙТИМ"</v>
      </c>
      <c r="K1826" s="24" t="s">
        <v>2910</v>
      </c>
      <c r="L1826" s="28" t="s">
        <v>52</v>
      </c>
      <c r="M1826" s="25">
        <v>103500</v>
      </c>
      <c r="N1826" s="27">
        <v>0.57288588831481813</v>
      </c>
    </row>
    <row r="1827" spans="1:14" hidden="1" outlineLevel="1" x14ac:dyDescent="0.2">
      <c r="A1827" s="23" t="str">
        <f t="shared" si="72"/>
        <v>ГБУСО "СРЦН "АИСТЕНОК" В Г. БУГУРУСЛАНЕ</v>
      </c>
      <c r="B1827" s="24" t="s">
        <v>2906</v>
      </c>
      <c r="C1827" s="25">
        <v>242324</v>
      </c>
      <c r="D1827" s="22" t="s">
        <v>2907</v>
      </c>
      <c r="E1827" s="22" t="s">
        <v>59</v>
      </c>
      <c r="F1827" s="23" t="str">
        <f t="shared" si="73"/>
        <v>На выполнение работ по установке системы видеонаблюдения.</v>
      </c>
      <c r="G1827" s="22" t="s">
        <v>384</v>
      </c>
      <c r="H1827" s="22" t="s">
        <v>2908</v>
      </c>
      <c r="I1827" s="26">
        <v>43712.731249999997</v>
      </c>
      <c r="J1827" s="23" t="str">
        <f>HYPERLINK("https://www.spark-marketing.ru/Card/Person/91888", "ООО ""СОВРЕМЕННАЯ ПРОТИВОПОЖАРНАЯ ЗАЩИТА""")</f>
        <v>ООО "СОВРЕМЕННАЯ ПРОТИВОПОЖАРНАЯ ЗАЩИТА"</v>
      </c>
      <c r="K1827" s="24" t="s">
        <v>2911</v>
      </c>
      <c r="L1827" s="28" t="s">
        <v>52</v>
      </c>
      <c r="M1827" s="25">
        <v>136000</v>
      </c>
      <c r="N1827" s="27">
        <v>0.43876793053927798</v>
      </c>
    </row>
    <row r="1828" spans="1:14" hidden="1" outlineLevel="1" x14ac:dyDescent="0.2">
      <c r="A1828" s="23" t="str">
        <f t="shared" si="72"/>
        <v>ГБУСО "СРЦН "АИСТЕНОК" В Г. БУГУРУСЛАНЕ</v>
      </c>
      <c r="B1828" s="24" t="s">
        <v>2906</v>
      </c>
      <c r="C1828" s="25">
        <v>242324</v>
      </c>
      <c r="D1828" s="22" t="s">
        <v>2907</v>
      </c>
      <c r="E1828" s="22" t="s">
        <v>59</v>
      </c>
      <c r="F1828" s="23" t="str">
        <f t="shared" si="73"/>
        <v>На выполнение работ по установке системы видеонаблюдения.</v>
      </c>
      <c r="G1828" s="22" t="s">
        <v>384</v>
      </c>
      <c r="H1828" s="22" t="s">
        <v>2908</v>
      </c>
      <c r="I1828" s="26">
        <v>43712.731249999997</v>
      </c>
      <c r="J1828" s="23" t="str">
        <f>HYPERLINK("https://www.spark-marketing.ru/Card/Person/6603642", "ООО ""РУСТЕЛЕКОМ""")</f>
        <v>ООО "РУСТЕЛЕКОМ"</v>
      </c>
      <c r="K1828" s="24" t="s">
        <v>2912</v>
      </c>
      <c r="L1828" s="28" t="s">
        <v>52</v>
      </c>
      <c r="M1828" s="25">
        <v>102000</v>
      </c>
      <c r="N1828" s="27">
        <v>0.57907594790445849</v>
      </c>
    </row>
    <row r="1829" spans="1:14" ht="12.75" hidden="1" outlineLevel="1" x14ac:dyDescent="0.2">
      <c r="A1829" s="23" t="str">
        <f t="shared" si="72"/>
        <v>ГБУСО "СРЦН "АИСТЕНОК" В Г. БУГУРУСЛАНЕ</v>
      </c>
      <c r="B1829" s="24" t="s">
        <v>2906</v>
      </c>
      <c r="C1829" s="25">
        <v>242324</v>
      </c>
      <c r="D1829" s="22" t="s">
        <v>2907</v>
      </c>
      <c r="E1829" s="22" t="s">
        <v>59</v>
      </c>
      <c r="F1829" s="23" t="str">
        <f t="shared" si="73"/>
        <v>На выполнение работ по установке системы видеонаблюдения.</v>
      </c>
      <c r="G1829" s="22" t="s">
        <v>384</v>
      </c>
      <c r="H1829" s="22" t="s">
        <v>2908</v>
      </c>
      <c r="I1829" s="26">
        <v>43712.731249999997</v>
      </c>
      <c r="J1829" s="23" t="str">
        <f>HYPERLINK("https://www.spark-marketing.ru/Card/Person/6578076", "Михайлов Николай Владимирович")</f>
        <v>Михайлов Николай Владимирович</v>
      </c>
      <c r="K1829" s="24" t="s">
        <v>2913</v>
      </c>
      <c r="L1829" s="22" t="s">
        <v>10</v>
      </c>
      <c r="M1829" s="25">
        <v>100000</v>
      </c>
      <c r="N1829" s="27">
        <v>0.58732936069064556</v>
      </c>
    </row>
    <row r="1830" spans="1:14" hidden="1" outlineLevel="1" x14ac:dyDescent="0.2">
      <c r="A1830" s="23" t="str">
        <f t="shared" si="72"/>
        <v>ГБУСО "СРЦН "АИСТЕНОК" В Г. БУГУРУСЛАНЕ</v>
      </c>
      <c r="B1830" s="24" t="s">
        <v>2906</v>
      </c>
      <c r="C1830" s="25">
        <v>242324</v>
      </c>
      <c r="D1830" s="22" t="s">
        <v>2907</v>
      </c>
      <c r="E1830" s="22" t="s">
        <v>59</v>
      </c>
      <c r="F1830" s="23" t="str">
        <f t="shared" si="73"/>
        <v>На выполнение работ по установке системы видеонаблюдения.</v>
      </c>
      <c r="G1830" s="22" t="s">
        <v>384</v>
      </c>
      <c r="H1830" s="22" t="s">
        <v>2908</v>
      </c>
      <c r="I1830" s="26">
        <v>43712.731249999997</v>
      </c>
      <c r="J1830" s="23" t="str">
        <f>HYPERLINK("https://www.spark-marketing.ru/Card/Person/6434309", "ООО ""СИТ""")</f>
        <v>ООО "СИТ"</v>
      </c>
      <c r="K1830" s="24" t="s">
        <v>2914</v>
      </c>
      <c r="L1830" s="28" t="s">
        <v>52</v>
      </c>
      <c r="M1830" s="25">
        <v>183360.26</v>
      </c>
      <c r="N1830" s="27">
        <v>0.24332604281870554</v>
      </c>
    </row>
    <row r="1831" spans="1:14" x14ac:dyDescent="0.15">
      <c r="A1831" s="23" t="str">
        <f t="shared" ref="A1831:A1840" si="74">HYPERLINK("https://www.spark-marketing.ru/Card/Person/4348446", "ООО ""ТАИФ-НК АЗС""")</f>
        <v>ООО "ТАИФ-НК АЗС"</v>
      </c>
      <c r="B1831" s="24" t="s">
        <v>301</v>
      </c>
      <c r="C1831" s="25">
        <v>104419.2</v>
      </c>
      <c r="D1831" s="22" t="s">
        <v>2915</v>
      </c>
      <c r="E1831" s="22" t="s">
        <v>53</v>
      </c>
      <c r="F1831" s="23" t="str">
        <f>HYPERLINK("https://www.spark-marketing.ru/Card/Lot/73240128", "Услуги пультовой охраны (КТС) АЗС № 505,506,507,508 (г.Альметьевск)")</f>
        <v>Услуги пультовой охраны (КТС) АЗС № 505,506,507,508 (г.Альметьевск)</v>
      </c>
      <c r="G1831" s="22" t="s">
        <v>204</v>
      </c>
      <c r="H1831" s="22" t="s">
        <v>303</v>
      </c>
      <c r="I1831" s="26">
        <v>43712.722476851799</v>
      </c>
      <c r="J1831" s="28" t="s">
        <v>52</v>
      </c>
      <c r="K1831" s="28" t="s">
        <v>52</v>
      </c>
      <c r="L1831" s="28" t="s">
        <v>52</v>
      </c>
      <c r="M1831" s="28" t="s">
        <v>52</v>
      </c>
      <c r="N1831" s="28" t="s">
        <v>52</v>
      </c>
    </row>
    <row r="1832" spans="1:14" x14ac:dyDescent="0.15">
      <c r="A1832" s="23" t="str">
        <f t="shared" si="74"/>
        <v>ООО "ТАИФ-НК АЗС"</v>
      </c>
      <c r="B1832" s="24" t="s">
        <v>301</v>
      </c>
      <c r="C1832" s="25">
        <v>4800</v>
      </c>
      <c r="D1832" s="22" t="s">
        <v>2915</v>
      </c>
      <c r="E1832" s="22" t="s">
        <v>53</v>
      </c>
      <c r="F1832" s="23" t="str">
        <f>HYPERLINK("https://www.spark-marketing.ru/Card/Lot/73240125", "Техническое обслуживани средств охраны АЗС № 501, 502,503,504 (г.Бугульма)")</f>
        <v>Техническое обслуживани средств охраны АЗС № 501, 502,503,504 (г.Бугульма)</v>
      </c>
      <c r="G1832" s="22" t="s">
        <v>204</v>
      </c>
      <c r="H1832" s="22" t="s">
        <v>303</v>
      </c>
      <c r="I1832" s="26">
        <v>43712.722476851799</v>
      </c>
      <c r="J1832" s="28" t="s">
        <v>52</v>
      </c>
      <c r="K1832" s="28" t="s">
        <v>52</v>
      </c>
      <c r="L1832" s="28" t="s">
        <v>52</v>
      </c>
      <c r="M1832" s="28" t="s">
        <v>52</v>
      </c>
      <c r="N1832" s="28" t="s">
        <v>52</v>
      </c>
    </row>
    <row r="1833" spans="1:14" x14ac:dyDescent="0.15">
      <c r="A1833" s="23" t="str">
        <f t="shared" si="74"/>
        <v>ООО "ТАИФ-НК АЗС"</v>
      </c>
      <c r="B1833" s="24" t="s">
        <v>301</v>
      </c>
      <c r="C1833" s="25">
        <v>78314.399999999994</v>
      </c>
      <c r="D1833" s="22" t="s">
        <v>2915</v>
      </c>
      <c r="E1833" s="22" t="s">
        <v>53</v>
      </c>
      <c r="F1833" s="23" t="str">
        <f>HYPERLINK("https://www.spark-marketing.ru/Card/Lot/73240130", "Услуги пультовой охраны (КТС) АЗС № 509,510,511 (г. Азнакаево)")</f>
        <v>Услуги пультовой охраны (КТС) АЗС № 509,510,511 (г. Азнакаево)</v>
      </c>
      <c r="G1833" s="22" t="s">
        <v>204</v>
      </c>
      <c r="H1833" s="22" t="s">
        <v>303</v>
      </c>
      <c r="I1833" s="26">
        <v>43712.722476851799</v>
      </c>
      <c r="J1833" s="28" t="s">
        <v>52</v>
      </c>
      <c r="K1833" s="28" t="s">
        <v>52</v>
      </c>
      <c r="L1833" s="28" t="s">
        <v>52</v>
      </c>
      <c r="M1833" s="28" t="s">
        <v>52</v>
      </c>
      <c r="N1833" s="28" t="s">
        <v>52</v>
      </c>
    </row>
    <row r="1834" spans="1:14" x14ac:dyDescent="0.15">
      <c r="A1834" s="23" t="str">
        <f t="shared" si="74"/>
        <v>ООО "ТАИФ-НК АЗС"</v>
      </c>
      <c r="B1834" s="24" t="s">
        <v>301</v>
      </c>
      <c r="C1834" s="25">
        <v>8946.36</v>
      </c>
      <c r="D1834" s="22" t="s">
        <v>2915</v>
      </c>
      <c r="E1834" s="22" t="s">
        <v>53</v>
      </c>
      <c r="F1834" s="23" t="str">
        <f>HYPERLINK("https://www.spark-marketing.ru/Card/Lot/73240135", "Техническое обслуживание средств охраны АЗС № 514 (Сарманово)")</f>
        <v>Техническое обслуживание средств охраны АЗС № 514 (Сарманово)</v>
      </c>
      <c r="G1834" s="22" t="s">
        <v>204</v>
      </c>
      <c r="H1834" s="22" t="s">
        <v>303</v>
      </c>
      <c r="I1834" s="26">
        <v>43712.722476851799</v>
      </c>
      <c r="J1834" s="28" t="s">
        <v>52</v>
      </c>
      <c r="K1834" s="28" t="s">
        <v>52</v>
      </c>
      <c r="L1834" s="28" t="s">
        <v>52</v>
      </c>
      <c r="M1834" s="28" t="s">
        <v>52</v>
      </c>
      <c r="N1834" s="28" t="s">
        <v>52</v>
      </c>
    </row>
    <row r="1835" spans="1:14" x14ac:dyDescent="0.15">
      <c r="A1835" s="23" t="str">
        <f t="shared" si="74"/>
        <v>ООО "ТАИФ-НК АЗС"</v>
      </c>
      <c r="B1835" s="24" t="s">
        <v>301</v>
      </c>
      <c r="C1835" s="25">
        <v>26839.08</v>
      </c>
      <c r="D1835" s="22" t="s">
        <v>2915</v>
      </c>
      <c r="E1835" s="22" t="s">
        <v>53</v>
      </c>
      <c r="F1835" s="23" t="str">
        <f>HYPERLINK("https://www.spark-marketing.ru/Card/Lot/73240137", "Техническое обслуживание средств охраны АЗС № 515,516,517 (Ютазинский р-н)")</f>
        <v>Техническое обслуживание средств охраны АЗС № 515,516,517 (Ютазинский р-н)</v>
      </c>
      <c r="G1835" s="22" t="s">
        <v>204</v>
      </c>
      <c r="H1835" s="22" t="s">
        <v>303</v>
      </c>
      <c r="I1835" s="26">
        <v>43712.722476851799</v>
      </c>
      <c r="J1835" s="28" t="s">
        <v>52</v>
      </c>
      <c r="K1835" s="28" t="s">
        <v>52</v>
      </c>
      <c r="L1835" s="28" t="s">
        <v>52</v>
      </c>
      <c r="M1835" s="28" t="s">
        <v>52</v>
      </c>
      <c r="N1835" s="28" t="s">
        <v>52</v>
      </c>
    </row>
    <row r="1836" spans="1:14" x14ac:dyDescent="0.15">
      <c r="A1836" s="23" t="str">
        <f t="shared" si="74"/>
        <v>ООО "ТАИФ-НК АЗС"</v>
      </c>
      <c r="B1836" s="24" t="s">
        <v>301</v>
      </c>
      <c r="C1836" s="25">
        <v>26104.799999999999</v>
      </c>
      <c r="D1836" s="22" t="s">
        <v>2915</v>
      </c>
      <c r="E1836" s="22" t="s">
        <v>53</v>
      </c>
      <c r="F1836" s="23" t="str">
        <f>HYPERLINK("https://www.spark-marketing.ru/Card/Lot/73240132", "Услуги пультовой охраны (КТС) АЗС № 512 (г. Лениногорск)")</f>
        <v>Услуги пультовой охраны (КТС) АЗС № 512 (г. Лениногорск)</v>
      </c>
      <c r="G1836" s="22" t="s">
        <v>204</v>
      </c>
      <c r="H1836" s="22" t="s">
        <v>303</v>
      </c>
      <c r="I1836" s="26">
        <v>43712.722476851799</v>
      </c>
      <c r="J1836" s="28" t="s">
        <v>52</v>
      </c>
      <c r="K1836" s="28" t="s">
        <v>52</v>
      </c>
      <c r="L1836" s="28" t="s">
        <v>52</v>
      </c>
      <c r="M1836" s="28" t="s">
        <v>52</v>
      </c>
      <c r="N1836" s="28" t="s">
        <v>52</v>
      </c>
    </row>
    <row r="1837" spans="1:14" x14ac:dyDescent="0.15">
      <c r="A1837" s="23" t="str">
        <f t="shared" si="74"/>
        <v>ООО "ТАИФ-НК АЗС"</v>
      </c>
      <c r="B1837" s="24" t="s">
        <v>301</v>
      </c>
      <c r="C1837" s="25">
        <v>8946.36</v>
      </c>
      <c r="D1837" s="22" t="s">
        <v>2915</v>
      </c>
      <c r="E1837" s="22" t="s">
        <v>53</v>
      </c>
      <c r="F1837" s="23" t="str">
        <f>HYPERLINK("https://www.spark-marketing.ru/Card/Lot/73240133", "Техническое обслуживание средств охраны АЗС № 513 (пгт Джалиль)")</f>
        <v>Техническое обслуживание средств охраны АЗС № 513 (пгт Джалиль)</v>
      </c>
      <c r="G1837" s="22" t="s">
        <v>204</v>
      </c>
      <c r="H1837" s="22" t="s">
        <v>303</v>
      </c>
      <c r="I1837" s="26">
        <v>43712.722476851799</v>
      </c>
      <c r="J1837" s="28" t="s">
        <v>52</v>
      </c>
      <c r="K1837" s="28" t="s">
        <v>52</v>
      </c>
      <c r="L1837" s="28" t="s">
        <v>52</v>
      </c>
      <c r="M1837" s="28" t="s">
        <v>52</v>
      </c>
      <c r="N1837" s="28" t="s">
        <v>52</v>
      </c>
    </row>
    <row r="1838" spans="1:14" x14ac:dyDescent="0.15">
      <c r="A1838" s="23" t="str">
        <f t="shared" si="74"/>
        <v>ООО "ТАИФ-НК АЗС"</v>
      </c>
      <c r="B1838" s="24" t="s">
        <v>301</v>
      </c>
      <c r="C1838" s="25">
        <v>8946.36</v>
      </c>
      <c r="D1838" s="22" t="s">
        <v>2915</v>
      </c>
      <c r="E1838" s="22" t="s">
        <v>53</v>
      </c>
      <c r="F1838" s="23" t="str">
        <f>HYPERLINK("https://www.spark-marketing.ru/Card/Lot/73240131", "Техническое обслуживание средств охраны АЗС № 512 (г. Лениногорск)")</f>
        <v>Техническое обслуживание средств охраны АЗС № 512 (г. Лениногорск)</v>
      </c>
      <c r="G1838" s="22" t="s">
        <v>204</v>
      </c>
      <c r="H1838" s="22" t="s">
        <v>303</v>
      </c>
      <c r="I1838" s="26">
        <v>43712.722476851799</v>
      </c>
      <c r="J1838" s="28" t="s">
        <v>52</v>
      </c>
      <c r="K1838" s="28" t="s">
        <v>52</v>
      </c>
      <c r="L1838" s="28" t="s">
        <v>52</v>
      </c>
      <c r="M1838" s="28" t="s">
        <v>52</v>
      </c>
      <c r="N1838" s="28" t="s">
        <v>52</v>
      </c>
    </row>
    <row r="1839" spans="1:14" x14ac:dyDescent="0.15">
      <c r="A1839" s="23" t="str">
        <f t="shared" si="74"/>
        <v>ООО "ТАИФ-НК АЗС"</v>
      </c>
      <c r="B1839" s="24" t="s">
        <v>301</v>
      </c>
      <c r="C1839" s="25">
        <v>26104.799999999999</v>
      </c>
      <c r="D1839" s="22" t="s">
        <v>2915</v>
      </c>
      <c r="E1839" s="22" t="s">
        <v>53</v>
      </c>
      <c r="F1839" s="23" t="str">
        <f>HYPERLINK("https://www.spark-marketing.ru/Card/Lot/73240134", "Услуги пультовой охраны (КТС) АЗС № 513 (пгт Джалиль)")</f>
        <v>Услуги пультовой охраны (КТС) АЗС № 513 (пгт Джалиль)</v>
      </c>
      <c r="G1839" s="22" t="s">
        <v>204</v>
      </c>
      <c r="H1839" s="22" t="s">
        <v>303</v>
      </c>
      <c r="I1839" s="26">
        <v>43712.722476851799</v>
      </c>
      <c r="J1839" s="28" t="s">
        <v>52</v>
      </c>
      <c r="K1839" s="28" t="s">
        <v>52</v>
      </c>
      <c r="L1839" s="28" t="s">
        <v>52</v>
      </c>
      <c r="M1839" s="28" t="s">
        <v>52</v>
      </c>
      <c r="N1839" s="28" t="s">
        <v>52</v>
      </c>
    </row>
    <row r="1840" spans="1:14" x14ac:dyDescent="0.15">
      <c r="A1840" s="23" t="str">
        <f t="shared" si="74"/>
        <v>ООО "ТАИФ-НК АЗС"</v>
      </c>
      <c r="B1840" s="24" t="s">
        <v>301</v>
      </c>
      <c r="C1840" s="25">
        <v>60960</v>
      </c>
      <c r="D1840" s="22" t="s">
        <v>2915</v>
      </c>
      <c r="E1840" s="22" t="s">
        <v>53</v>
      </c>
      <c r="F1840" s="23" t="str">
        <f>HYPERLINK("https://www.spark-marketing.ru/Card/Lot/73240126", "Услуги пультовой охраны (КТС) АЗС № 501, 502,503,504 (г. Бугульма )")</f>
        <v>Услуги пультовой охраны (КТС) АЗС № 501, 502,503,504 (г. Бугульма )</v>
      </c>
      <c r="G1840" s="22" t="s">
        <v>204</v>
      </c>
      <c r="H1840" s="22" t="s">
        <v>303</v>
      </c>
      <c r="I1840" s="26">
        <v>43712.722476851799</v>
      </c>
      <c r="J1840" s="28" t="s">
        <v>52</v>
      </c>
      <c r="K1840" s="28" t="s">
        <v>52</v>
      </c>
      <c r="L1840" s="28" t="s">
        <v>52</v>
      </c>
      <c r="M1840" s="28" t="s">
        <v>52</v>
      </c>
      <c r="N1840" s="28" t="s">
        <v>52</v>
      </c>
    </row>
    <row r="1841" spans="1:14" x14ac:dyDescent="0.15">
      <c r="A1841" s="23" t="str">
        <f>HYPERLINK("https://www.spark-marketing.ru/Card/Person/32634", "ГБУЗ СО ""ГБ Г.ПЕРВОУРАЛЬСК""")</f>
        <v>ГБУЗ СО "ГБ Г.ПЕРВОУРАЛЬСК"</v>
      </c>
      <c r="B1841" s="24" t="s">
        <v>2916</v>
      </c>
      <c r="C1841" s="25">
        <v>413280</v>
      </c>
      <c r="D1841" s="22" t="s">
        <v>2917</v>
      </c>
      <c r="E1841" s="22" t="s">
        <v>68</v>
      </c>
      <c r="F1841" s="23" t="str">
        <f>HYPERLINK("https://www.spark-marketing.ru/Card/Lot/73232654", "Услуги по обеспечению общественного порядка и безопасности")</f>
        <v>Услуги по обеспечению общественного порядка и безопасности</v>
      </c>
      <c r="G1841" s="22" t="s">
        <v>72</v>
      </c>
      <c r="H1841" s="22" t="s">
        <v>2918</v>
      </c>
      <c r="I1841" s="26">
        <v>43712.729861111096</v>
      </c>
      <c r="J1841" s="28" t="s">
        <v>52</v>
      </c>
      <c r="K1841" s="28" t="s">
        <v>52</v>
      </c>
      <c r="L1841" s="28" t="s">
        <v>52</v>
      </c>
      <c r="M1841" s="28" t="s">
        <v>52</v>
      </c>
      <c r="N1841" s="28" t="s">
        <v>52</v>
      </c>
    </row>
    <row r="1842" spans="1:14" ht="12.75" hidden="1" outlineLevel="1" x14ac:dyDescent="0.2">
      <c r="A1842" s="23" t="str">
        <f>HYPERLINK("https://www.spark-marketing.ru/Card/Person/32634", "ГБУЗ СО ""ГБ Г.ПЕРВОУРАЛЬСК""")</f>
        <v>ГБУЗ СО "ГБ Г.ПЕРВОУРАЛЬСК"</v>
      </c>
      <c r="B1842" s="24" t="s">
        <v>2916</v>
      </c>
      <c r="C1842" s="25">
        <v>413280</v>
      </c>
      <c r="D1842" s="22" t="s">
        <v>2917</v>
      </c>
      <c r="E1842" s="22" t="s">
        <v>68</v>
      </c>
      <c r="F1842" s="23" t="str">
        <f>HYPERLINK("https://www.spark-marketing.ru/Card/Lot/73232654", "Услуги по обеспечению общественного порядка и безопасности")</f>
        <v>Услуги по обеспечению общественного порядка и безопасности</v>
      </c>
      <c r="G1842" s="22" t="s">
        <v>72</v>
      </c>
      <c r="H1842" s="22" t="s">
        <v>2918</v>
      </c>
      <c r="I1842" s="26">
        <v>43712.729861111096</v>
      </c>
      <c r="J1842" s="23" t="str">
        <f>HYPERLINK("https://www.spark-marketing.ru/Card/Person/843200", "ООО ЧОП ""ТАП-07""")</f>
        <v>ООО ЧОП "ТАП-07"</v>
      </c>
      <c r="K1842" s="24" t="s">
        <v>2919</v>
      </c>
      <c r="L1842" s="22" t="s">
        <v>10</v>
      </c>
      <c r="M1842" s="25">
        <v>347933.6</v>
      </c>
      <c r="N1842" s="27">
        <v>0.15811653116531166</v>
      </c>
    </row>
    <row r="1843" spans="1:14" hidden="1" outlineLevel="1" x14ac:dyDescent="0.2">
      <c r="A1843" s="23" t="str">
        <f>HYPERLINK("https://www.spark-marketing.ru/Card/Person/32634", "ГБУЗ СО ""ГБ Г.ПЕРВОУРАЛЬСК""")</f>
        <v>ГБУЗ СО "ГБ Г.ПЕРВОУРАЛЬСК"</v>
      </c>
      <c r="B1843" s="24" t="s">
        <v>2916</v>
      </c>
      <c r="C1843" s="25">
        <v>413280</v>
      </c>
      <c r="D1843" s="22" t="s">
        <v>2917</v>
      </c>
      <c r="E1843" s="22" t="s">
        <v>68</v>
      </c>
      <c r="F1843" s="23" t="str">
        <f>HYPERLINK("https://www.spark-marketing.ru/Card/Lot/73232654", "Услуги по обеспечению общественного порядка и безопасности")</f>
        <v>Услуги по обеспечению общественного порядка и безопасности</v>
      </c>
      <c r="G1843" s="22" t="s">
        <v>72</v>
      </c>
      <c r="H1843" s="22" t="s">
        <v>2918</v>
      </c>
      <c r="I1843" s="26">
        <v>43712.729861111096</v>
      </c>
      <c r="J1843" s="23" t="str">
        <f>HYPERLINK("https://www.spark-marketing.ru/Card/Person/591069", "ООО ЧОП ""ЗАПАД""")</f>
        <v>ООО ЧОП "ЗАПАД"</v>
      </c>
      <c r="K1843" s="24" t="s">
        <v>2920</v>
      </c>
      <c r="L1843" s="28" t="s">
        <v>52</v>
      </c>
      <c r="M1843" s="25">
        <v>354240</v>
      </c>
      <c r="N1843" s="27">
        <v>0.14285714285714285</v>
      </c>
    </row>
    <row r="1844" spans="1:14" hidden="1" outlineLevel="1" x14ac:dyDescent="0.2">
      <c r="A1844" s="23" t="str">
        <f>HYPERLINK("https://www.spark-marketing.ru/Card/Person/32634", "ГБУЗ СО ""ГБ Г.ПЕРВОУРАЛЬСК""")</f>
        <v>ГБУЗ СО "ГБ Г.ПЕРВОУРАЛЬСК"</v>
      </c>
      <c r="B1844" s="24" t="s">
        <v>2916</v>
      </c>
      <c r="C1844" s="25">
        <v>413280</v>
      </c>
      <c r="D1844" s="22" t="s">
        <v>2917</v>
      </c>
      <c r="E1844" s="22" t="s">
        <v>68</v>
      </c>
      <c r="F1844" s="23" t="str">
        <f>HYPERLINK("https://www.spark-marketing.ru/Card/Lot/73232654", "Услуги по обеспечению общественного порядка и безопасности")</f>
        <v>Услуги по обеспечению общественного порядка и безопасности</v>
      </c>
      <c r="G1844" s="22" t="s">
        <v>72</v>
      </c>
      <c r="H1844" s="22" t="s">
        <v>2918</v>
      </c>
      <c r="I1844" s="26">
        <v>43712.729861111096</v>
      </c>
      <c r="J1844" s="23" t="str">
        <f>HYPERLINK("https://www.spark-marketing.ru/Card/Person/1484274", "ООО ЧОП ""ФАНТОН""")</f>
        <v>ООО ЧОП "ФАНТОН"</v>
      </c>
      <c r="K1844" s="24" t="s">
        <v>2921</v>
      </c>
      <c r="L1844" s="28" t="s">
        <v>52</v>
      </c>
      <c r="M1844" s="25">
        <v>350000</v>
      </c>
      <c r="N1844" s="27">
        <v>0.15311653116531165</v>
      </c>
    </row>
    <row r="1845" spans="1:14" x14ac:dyDescent="0.15">
      <c r="A1845" s="23" t="str">
        <f>HYPERLINK("https://www.spark-marketing.ru/Card/Person/4348446", "ООО ""ТАИФ-НК АЗС""")</f>
        <v>ООО "ТАИФ-НК АЗС"</v>
      </c>
      <c r="B1845" s="24" t="s">
        <v>301</v>
      </c>
      <c r="C1845" s="25">
        <v>26104.799999999999</v>
      </c>
      <c r="D1845" s="22" t="s">
        <v>2915</v>
      </c>
      <c r="E1845" s="22" t="s">
        <v>53</v>
      </c>
      <c r="F1845" s="23" t="str">
        <f>HYPERLINK("https://www.spark-marketing.ru/Card/Lot/73240136", "Услуги пультовой охраны (КТС) АЗС № 514 (Сарманово)")</f>
        <v>Услуги пультовой охраны (КТС) АЗС № 514 (Сарманово)</v>
      </c>
      <c r="G1845" s="22" t="s">
        <v>204</v>
      </c>
      <c r="H1845" s="22" t="s">
        <v>303</v>
      </c>
      <c r="I1845" s="26">
        <v>43712.722476851799</v>
      </c>
      <c r="J1845" s="28" t="s">
        <v>52</v>
      </c>
      <c r="K1845" s="28" t="s">
        <v>52</v>
      </c>
      <c r="L1845" s="28" t="s">
        <v>52</v>
      </c>
      <c r="M1845" s="28" t="s">
        <v>52</v>
      </c>
      <c r="N1845" s="28" t="s">
        <v>52</v>
      </c>
    </row>
    <row r="1846" spans="1:14" x14ac:dyDescent="0.15">
      <c r="A1846" s="23" t="str">
        <f>HYPERLINK("https://www.spark-marketing.ru/Card/Person/4348446", "ООО ""ТАИФ-НК АЗС""")</f>
        <v>ООО "ТАИФ-НК АЗС"</v>
      </c>
      <c r="B1846" s="24" t="s">
        <v>301</v>
      </c>
      <c r="C1846" s="25">
        <v>35785.440000000002</v>
      </c>
      <c r="D1846" s="22" t="s">
        <v>2915</v>
      </c>
      <c r="E1846" s="22" t="s">
        <v>53</v>
      </c>
      <c r="F1846" s="23" t="str">
        <f>HYPERLINK("https://www.spark-marketing.ru/Card/Lot/73240127", "Техническое обслуживание средств охраны АЗС № 505,506,507,508 (г.Альметьевск)")</f>
        <v>Техническое обслуживание средств охраны АЗС № 505,506,507,508 (г.Альметьевск)</v>
      </c>
      <c r="G1846" s="22" t="s">
        <v>204</v>
      </c>
      <c r="H1846" s="22" t="s">
        <v>303</v>
      </c>
      <c r="I1846" s="26">
        <v>43712.722476851799</v>
      </c>
      <c r="J1846" s="28" t="s">
        <v>52</v>
      </c>
      <c r="K1846" s="28" t="s">
        <v>52</v>
      </c>
      <c r="L1846" s="28" t="s">
        <v>52</v>
      </c>
      <c r="M1846" s="28" t="s">
        <v>52</v>
      </c>
      <c r="N1846" s="28" t="s">
        <v>52</v>
      </c>
    </row>
    <row r="1847" spans="1:14" x14ac:dyDescent="0.15">
      <c r="A1847" s="23" t="str">
        <f>HYPERLINK("https://www.spark-marketing.ru/Card/Person/4348446", "ООО ""ТАИФ-НК АЗС""")</f>
        <v>ООО "ТАИФ-НК АЗС"</v>
      </c>
      <c r="B1847" s="24" t="s">
        <v>301</v>
      </c>
      <c r="C1847" s="25">
        <v>26839.08</v>
      </c>
      <c r="D1847" s="22" t="s">
        <v>2915</v>
      </c>
      <c r="E1847" s="22" t="s">
        <v>53</v>
      </c>
      <c r="F1847" s="23" t="str">
        <f>HYPERLINK("https://www.spark-marketing.ru/Card/Lot/73240129", "Техническое обслуживание средств охраны АЗС № 509,510,511 (г.Азнакаево)")</f>
        <v>Техническое обслуживание средств охраны АЗС № 509,510,511 (г.Азнакаево)</v>
      </c>
      <c r="G1847" s="22" t="s">
        <v>204</v>
      </c>
      <c r="H1847" s="22" t="s">
        <v>303</v>
      </c>
      <c r="I1847" s="26">
        <v>43712.722476851799</v>
      </c>
      <c r="J1847" s="28" t="s">
        <v>52</v>
      </c>
      <c r="K1847" s="28" t="s">
        <v>52</v>
      </c>
      <c r="L1847" s="28" t="s">
        <v>52</v>
      </c>
      <c r="M1847" s="28" t="s">
        <v>52</v>
      </c>
      <c r="N1847" s="28" t="s">
        <v>52</v>
      </c>
    </row>
    <row r="1848" spans="1:14" x14ac:dyDescent="0.15">
      <c r="A1848" s="23" t="str">
        <f>HYPERLINK("https://www.spark-marketing.ru/Card/Person/4348446", "ООО ""ТАИФ-НК АЗС""")</f>
        <v>ООО "ТАИФ-НК АЗС"</v>
      </c>
      <c r="B1848" s="24" t="s">
        <v>301</v>
      </c>
      <c r="C1848" s="25">
        <v>78314.399999999994</v>
      </c>
      <c r="D1848" s="22" t="s">
        <v>2915</v>
      </c>
      <c r="E1848" s="22" t="s">
        <v>53</v>
      </c>
      <c r="F1848" s="23" t="str">
        <f>HYPERLINK("https://www.spark-marketing.ru/Card/Lot/73240138", "Услуги пультовой охраны (КТС) АЗС № 515,516,517 ( Ютазинский р-н)")</f>
        <v>Услуги пультовой охраны (КТС) АЗС № 515,516,517 ( Ютазинский р-н)</v>
      </c>
      <c r="G1848" s="22" t="s">
        <v>204</v>
      </c>
      <c r="H1848" s="22" t="s">
        <v>303</v>
      </c>
      <c r="I1848" s="26">
        <v>43712.722476851799</v>
      </c>
      <c r="J1848" s="28" t="s">
        <v>52</v>
      </c>
      <c r="K1848" s="28" t="s">
        <v>52</v>
      </c>
      <c r="L1848" s="28" t="s">
        <v>52</v>
      </c>
      <c r="M1848" s="28" t="s">
        <v>52</v>
      </c>
      <c r="N1848" s="28" t="s">
        <v>52</v>
      </c>
    </row>
    <row r="1849" spans="1:14" x14ac:dyDescent="0.15">
      <c r="A1849" s="23" t="str">
        <f>HYPERLINK("https://www.spark-marketing.ru/Card/Person/1025054", "ГБПОУ МО ""АВИАЦИОННЫЙ ТЕХНИКУМ ИМЕНИ В.А. КАЗАКОВА""")</f>
        <v>ГБПОУ МО "АВИАЦИОННЫЙ ТЕХНИКУМ ИМЕНИ В.А. КАЗАКОВА"</v>
      </c>
      <c r="B1849" s="24" t="s">
        <v>2922</v>
      </c>
      <c r="C1849" s="25">
        <v>204903.13</v>
      </c>
      <c r="D1849" s="22" t="s">
        <v>2923</v>
      </c>
      <c r="E1849" s="22" t="s">
        <v>59</v>
      </c>
      <c r="F1849" s="23" t="str">
        <f>HYPERLINK("https://www.spark-marketing.ru/Card/Lot/73233904", "Установка охранной сигнализации по адресу Московская обл., г. Раменское, ул. Михалевича, д. 58")</f>
        <v>Установка охранной сигнализации по адресу Московская обл., г. Раменское, ул. Михалевича, д. 58</v>
      </c>
      <c r="G1849" s="22" t="s">
        <v>50</v>
      </c>
      <c r="H1849" s="22" t="s">
        <v>244</v>
      </c>
      <c r="I1849" s="26">
        <v>43712.732511574097</v>
      </c>
      <c r="J1849" s="28" t="s">
        <v>52</v>
      </c>
      <c r="K1849" s="28" t="s">
        <v>52</v>
      </c>
      <c r="L1849" s="28" t="s">
        <v>52</v>
      </c>
      <c r="M1849" s="28" t="s">
        <v>52</v>
      </c>
      <c r="N1849" s="28" t="s">
        <v>52</v>
      </c>
    </row>
    <row r="1850" spans="1:14" x14ac:dyDescent="0.15">
      <c r="A1850" s="23" t="str">
        <f t="shared" ref="A1850:A1855" si="75">HYPERLINK("https://www.spark-marketing.ru/Card/Person/91464", "ВСУ СК РОССИИ ПО РВСН")</f>
        <v>ВСУ СК РОССИИ ПО РВСН</v>
      </c>
      <c r="B1850" s="24" t="s">
        <v>2924</v>
      </c>
      <c r="C1850" s="25">
        <v>500000</v>
      </c>
      <c r="D1850" s="22" t="s">
        <v>2925</v>
      </c>
      <c r="E1850" s="22" t="s">
        <v>84</v>
      </c>
      <c r="F1850" s="23" t="str">
        <f t="shared" ref="F1850:F1855" si="76">HYPERLINK("https://www.spark-marketing.ru/Card/Lot/73234978", "Закупка и установка профессиональной системы видеонаблюдения")</f>
        <v>Закупка и установка профессиональной системы видеонаблюдения</v>
      </c>
      <c r="G1850" s="22" t="s">
        <v>50</v>
      </c>
      <c r="H1850" s="22" t="s">
        <v>50</v>
      </c>
      <c r="I1850" s="26">
        <v>43712.681250000001</v>
      </c>
      <c r="J1850" s="28" t="s">
        <v>52</v>
      </c>
      <c r="K1850" s="28" t="s">
        <v>52</v>
      </c>
      <c r="L1850" s="28" t="s">
        <v>52</v>
      </c>
      <c r="M1850" s="28" t="s">
        <v>52</v>
      </c>
      <c r="N1850" s="28" t="s">
        <v>52</v>
      </c>
    </row>
    <row r="1851" spans="1:14" ht="12.75" hidden="1" outlineLevel="1" x14ac:dyDescent="0.2">
      <c r="A1851" s="23" t="str">
        <f t="shared" si="75"/>
        <v>ВСУ СК РОССИИ ПО РВСН</v>
      </c>
      <c r="B1851" s="24" t="s">
        <v>2924</v>
      </c>
      <c r="C1851" s="25">
        <v>500000</v>
      </c>
      <c r="D1851" s="22" t="s">
        <v>2925</v>
      </c>
      <c r="E1851" s="22" t="s">
        <v>84</v>
      </c>
      <c r="F1851" s="23" t="str">
        <f t="shared" si="76"/>
        <v>Закупка и установка профессиональной системы видеонаблюдения</v>
      </c>
      <c r="G1851" s="22" t="s">
        <v>50</v>
      </c>
      <c r="H1851" s="22" t="s">
        <v>50</v>
      </c>
      <c r="I1851" s="26">
        <v>43712.681250000001</v>
      </c>
      <c r="J1851" s="23" t="str">
        <f>HYPERLINK("https://www.spark-marketing.ru/Card/Person/6407297", "Бодрова Вера Юрьевна")</f>
        <v>Бодрова Вера Юрьевна</v>
      </c>
      <c r="K1851" s="24" t="s">
        <v>2694</v>
      </c>
      <c r="L1851" s="22" t="s">
        <v>10</v>
      </c>
      <c r="M1851" s="25">
        <v>319000</v>
      </c>
      <c r="N1851" s="27">
        <v>0.36199999999999999</v>
      </c>
    </row>
    <row r="1852" spans="1:14" hidden="1" outlineLevel="1" x14ac:dyDescent="0.2">
      <c r="A1852" s="23" t="str">
        <f t="shared" si="75"/>
        <v>ВСУ СК РОССИИ ПО РВСН</v>
      </c>
      <c r="B1852" s="24" t="s">
        <v>2924</v>
      </c>
      <c r="C1852" s="25">
        <v>500000</v>
      </c>
      <c r="D1852" s="22" t="s">
        <v>2925</v>
      </c>
      <c r="E1852" s="22" t="s">
        <v>84</v>
      </c>
      <c r="F1852" s="23" t="str">
        <f t="shared" si="76"/>
        <v>Закупка и установка профессиональной системы видеонаблюдения</v>
      </c>
      <c r="G1852" s="22" t="s">
        <v>50</v>
      </c>
      <c r="H1852" s="22" t="s">
        <v>50</v>
      </c>
      <c r="I1852" s="26">
        <v>43712.681250000001</v>
      </c>
      <c r="J1852" s="23" t="str">
        <f>HYPERLINK("https://www.spark-marketing.ru/Card/Person/30993", "ООО ""ТЕЛЕСИН ГРУПП""")</f>
        <v>ООО "ТЕЛЕСИН ГРУПП"</v>
      </c>
      <c r="K1852" s="24" t="s">
        <v>2926</v>
      </c>
      <c r="L1852" s="28" t="s">
        <v>52</v>
      </c>
      <c r="M1852" s="25">
        <v>412500</v>
      </c>
      <c r="N1852" s="27">
        <v>0.17499999999999999</v>
      </c>
    </row>
    <row r="1853" spans="1:14" hidden="1" outlineLevel="1" x14ac:dyDescent="0.2">
      <c r="A1853" s="23" t="str">
        <f t="shared" si="75"/>
        <v>ВСУ СК РОССИИ ПО РВСН</v>
      </c>
      <c r="B1853" s="24" t="s">
        <v>2924</v>
      </c>
      <c r="C1853" s="25">
        <v>500000</v>
      </c>
      <c r="D1853" s="22" t="s">
        <v>2925</v>
      </c>
      <c r="E1853" s="22" t="s">
        <v>84</v>
      </c>
      <c r="F1853" s="23" t="str">
        <f t="shared" si="76"/>
        <v>Закупка и установка профессиональной системы видеонаблюдения</v>
      </c>
      <c r="G1853" s="22" t="s">
        <v>50</v>
      </c>
      <c r="H1853" s="22" t="s">
        <v>50</v>
      </c>
      <c r="I1853" s="26">
        <v>43712.681250000001</v>
      </c>
      <c r="J1853" s="23" t="str">
        <f>HYPERLINK("https://www.spark-marketing.ru/Card/Person/2518", "ООО ""АСИСТЕМС""")</f>
        <v>ООО "АСИСТЕМС"</v>
      </c>
      <c r="K1853" s="24" t="s">
        <v>2927</v>
      </c>
      <c r="L1853" s="28" t="s">
        <v>52</v>
      </c>
      <c r="M1853" s="25">
        <v>495000</v>
      </c>
      <c r="N1853" s="27">
        <v>0.01</v>
      </c>
    </row>
    <row r="1854" spans="1:14" hidden="1" outlineLevel="1" x14ac:dyDescent="0.2">
      <c r="A1854" s="23" t="str">
        <f t="shared" si="75"/>
        <v>ВСУ СК РОССИИ ПО РВСН</v>
      </c>
      <c r="B1854" s="24" t="s">
        <v>2924</v>
      </c>
      <c r="C1854" s="25">
        <v>500000</v>
      </c>
      <c r="D1854" s="22" t="s">
        <v>2925</v>
      </c>
      <c r="E1854" s="22" t="s">
        <v>84</v>
      </c>
      <c r="F1854" s="23" t="str">
        <f t="shared" si="76"/>
        <v>Закупка и установка профессиональной системы видеонаблюдения</v>
      </c>
      <c r="G1854" s="22" t="s">
        <v>50</v>
      </c>
      <c r="H1854" s="22" t="s">
        <v>50</v>
      </c>
      <c r="I1854" s="26">
        <v>43712.681250000001</v>
      </c>
      <c r="J1854" s="23" t="str">
        <f>HYPERLINK("https://www.spark-marketing.ru/Card/Person/38436", "АО ""СНТ""")</f>
        <v>АО "СНТ"</v>
      </c>
      <c r="K1854" s="24" t="s">
        <v>2928</v>
      </c>
      <c r="L1854" s="28" t="s">
        <v>52</v>
      </c>
      <c r="M1854" s="25">
        <v>345000</v>
      </c>
      <c r="N1854" s="27">
        <v>0.31</v>
      </c>
    </row>
    <row r="1855" spans="1:14" hidden="1" outlineLevel="1" x14ac:dyDescent="0.2">
      <c r="A1855" s="23" t="str">
        <f t="shared" si="75"/>
        <v>ВСУ СК РОССИИ ПО РВСН</v>
      </c>
      <c r="B1855" s="24" t="s">
        <v>2924</v>
      </c>
      <c r="C1855" s="25">
        <v>500000</v>
      </c>
      <c r="D1855" s="22" t="s">
        <v>2925</v>
      </c>
      <c r="E1855" s="22" t="s">
        <v>84</v>
      </c>
      <c r="F1855" s="23" t="str">
        <f t="shared" si="76"/>
        <v>Закупка и установка профессиональной системы видеонаблюдения</v>
      </c>
      <c r="G1855" s="22" t="s">
        <v>50</v>
      </c>
      <c r="H1855" s="22" t="s">
        <v>50</v>
      </c>
      <c r="I1855" s="26">
        <v>43712.681250000001</v>
      </c>
      <c r="J1855" s="23" t="str">
        <f>HYPERLINK("https://www.spark-marketing.ru/Card/Person/4481549", "ООО ФИРМА ""ИНТЕРКОМ-ИНСТРУМЕНТС""")</f>
        <v>ООО ФИРМА "ИНТЕРКОМ-ИНСТРУМЕНТС"</v>
      </c>
      <c r="K1855" s="24" t="s">
        <v>2929</v>
      </c>
      <c r="L1855" s="28" t="s">
        <v>52</v>
      </c>
      <c r="M1855" s="25">
        <v>322500</v>
      </c>
      <c r="N1855" s="27">
        <v>0.35499999999999998</v>
      </c>
    </row>
    <row r="1856" spans="1:14" x14ac:dyDescent="0.15">
      <c r="A1856" s="23" t="str">
        <f>HYPERLINK("https://www.spark-marketing.ru/Card/Person/172063", "АДМИНИСТРАЦИЯ СОЛОХАУЛЬСКОГО СЕЛЬСКОГО ОКРУГА ГОРОДА СОЧИ")</f>
        <v>АДМИНИСТРАЦИЯ СОЛОХАУЛЬСКОГО СЕЛЬСКОГО ОКРУГА ГОРОДА СОЧИ</v>
      </c>
      <c r="B1856" s="24" t="s">
        <v>2930</v>
      </c>
      <c r="C1856" s="25">
        <v>216000</v>
      </c>
      <c r="D1856" s="22" t="s">
        <v>2931</v>
      </c>
      <c r="E1856" s="22" t="s">
        <v>68</v>
      </c>
      <c r="F1856" s="23" t="str">
        <f>HYPERLINK("https://www.spark-marketing.ru/Card/Lot/73232601", "Оказание охранных услуг в 2019 году")</f>
        <v>Оказание охранных услуг в 2019 году</v>
      </c>
      <c r="G1856" s="22" t="s">
        <v>132</v>
      </c>
      <c r="H1856" s="22" t="s">
        <v>1126</v>
      </c>
      <c r="I1856" s="26">
        <v>43712.640972222202</v>
      </c>
      <c r="J1856" s="28" t="s">
        <v>52</v>
      </c>
      <c r="K1856" s="28" t="s">
        <v>52</v>
      </c>
      <c r="L1856" s="28" t="s">
        <v>52</v>
      </c>
      <c r="M1856" s="28" t="s">
        <v>52</v>
      </c>
      <c r="N1856" s="28" t="s">
        <v>52</v>
      </c>
    </row>
    <row r="1857" spans="1:14" ht="12.75" hidden="1" outlineLevel="1" x14ac:dyDescent="0.2">
      <c r="A1857" s="23" t="str">
        <f>HYPERLINK("https://www.spark-marketing.ru/Card/Person/172063", "АДМИНИСТРАЦИЯ СОЛОХАУЛЬСКОГО СЕЛЬСКОГО ОКРУГА ГОРОДА СОЧИ")</f>
        <v>АДМИНИСТРАЦИЯ СОЛОХАУЛЬСКОГО СЕЛЬСКОГО ОКРУГА ГОРОДА СОЧИ</v>
      </c>
      <c r="B1857" s="24" t="s">
        <v>2930</v>
      </c>
      <c r="C1857" s="25">
        <v>216000</v>
      </c>
      <c r="D1857" s="22" t="s">
        <v>2931</v>
      </c>
      <c r="E1857" s="22" t="s">
        <v>68</v>
      </c>
      <c r="F1857" s="23" t="str">
        <f>HYPERLINK("https://www.spark-marketing.ru/Card/Lot/73232601", "Оказание охранных услуг в 2019 году")</f>
        <v>Оказание охранных услуг в 2019 году</v>
      </c>
      <c r="G1857" s="22" t="s">
        <v>132</v>
      </c>
      <c r="H1857" s="22" t="s">
        <v>1126</v>
      </c>
      <c r="I1857" s="26">
        <v>43712.640972222202</v>
      </c>
      <c r="J1857" s="23" t="str">
        <f>HYPERLINK("https://www.spark-marketing.ru/Card/Person/4601649", "ООО ""ЧОО ""СИКУРС""")</f>
        <v>ООО "ЧОО "СИКУРС"</v>
      </c>
      <c r="K1857" s="24" t="s">
        <v>2932</v>
      </c>
      <c r="L1857" s="22" t="s">
        <v>10</v>
      </c>
      <c r="M1857" s="25">
        <v>198120</v>
      </c>
      <c r="N1857" s="27">
        <v>8.2777777777777783E-2</v>
      </c>
    </row>
    <row r="1858" spans="1:14" hidden="1" outlineLevel="1" x14ac:dyDescent="0.2">
      <c r="A1858" s="23" t="str">
        <f>HYPERLINK("https://www.spark-marketing.ru/Card/Person/172063", "АДМИНИСТРАЦИЯ СОЛОХАУЛЬСКОГО СЕЛЬСКОГО ОКРУГА ГОРОДА СОЧИ")</f>
        <v>АДМИНИСТРАЦИЯ СОЛОХАУЛЬСКОГО СЕЛЬСКОГО ОКРУГА ГОРОДА СОЧИ</v>
      </c>
      <c r="B1858" s="24" t="s">
        <v>2930</v>
      </c>
      <c r="C1858" s="25">
        <v>216000</v>
      </c>
      <c r="D1858" s="22" t="s">
        <v>2931</v>
      </c>
      <c r="E1858" s="22" t="s">
        <v>68</v>
      </c>
      <c r="F1858" s="23" t="str">
        <f>HYPERLINK("https://www.spark-marketing.ru/Card/Lot/73232601", "Оказание охранных услуг в 2019 году")</f>
        <v>Оказание охранных услуг в 2019 году</v>
      </c>
      <c r="G1858" s="22" t="s">
        <v>132</v>
      </c>
      <c r="H1858" s="22" t="s">
        <v>1126</v>
      </c>
      <c r="I1858" s="26">
        <v>43712.640972222202</v>
      </c>
      <c r="J1858" s="23" t="str">
        <f>HYPERLINK("https://www.spark-marketing.ru/Card/Person/2326354", "ООО ЧОП ""ГАРАНТН""")</f>
        <v>ООО ЧОП "ГАРАНТН"</v>
      </c>
      <c r="K1858" s="24" t="s">
        <v>2933</v>
      </c>
      <c r="L1858" s="28" t="s">
        <v>52</v>
      </c>
      <c r="M1858" s="25">
        <v>199200</v>
      </c>
      <c r="N1858" s="27">
        <v>7.7777777777777779E-2</v>
      </c>
    </row>
    <row r="1859" spans="1:14" hidden="1" outlineLevel="1" x14ac:dyDescent="0.2">
      <c r="A1859" s="23" t="str">
        <f>HYPERLINK("https://www.spark-marketing.ru/Card/Person/172063", "АДМИНИСТРАЦИЯ СОЛОХАУЛЬСКОГО СЕЛЬСКОГО ОКРУГА ГОРОДА СОЧИ")</f>
        <v>АДМИНИСТРАЦИЯ СОЛОХАУЛЬСКОГО СЕЛЬСКОГО ОКРУГА ГОРОДА СОЧИ</v>
      </c>
      <c r="B1859" s="24" t="s">
        <v>2930</v>
      </c>
      <c r="C1859" s="25">
        <v>216000</v>
      </c>
      <c r="D1859" s="22" t="s">
        <v>2931</v>
      </c>
      <c r="E1859" s="22" t="s">
        <v>68</v>
      </c>
      <c r="F1859" s="23" t="str">
        <f>HYPERLINK("https://www.spark-marketing.ru/Card/Lot/73232601", "Оказание охранных услуг в 2019 году")</f>
        <v>Оказание охранных услуг в 2019 году</v>
      </c>
      <c r="G1859" s="22" t="s">
        <v>132</v>
      </c>
      <c r="H1859" s="22" t="s">
        <v>1126</v>
      </c>
      <c r="I1859" s="26">
        <v>43712.640972222202</v>
      </c>
      <c r="J1859" s="23" t="str">
        <f>HYPERLINK("https://www.spark-marketing.ru/Card/Person/133649", "ООО ЧОО ""ОХРАННОЕ ОБЪЕДИНЕНИЕ МИР""")</f>
        <v>ООО ЧОО "ОХРАННОЕ ОБЪЕДИНЕНИЕ МИР"</v>
      </c>
      <c r="K1859" s="24" t="s">
        <v>2934</v>
      </c>
      <c r="L1859" s="28" t="s">
        <v>52</v>
      </c>
      <c r="M1859" s="25">
        <v>213840</v>
      </c>
      <c r="N1859" s="27">
        <v>0.01</v>
      </c>
    </row>
    <row r="1860" spans="1:14" x14ac:dyDescent="0.15">
      <c r="A1860" s="23" t="str">
        <f>HYPERLINK("https://www.spark-marketing.ru/Card/Person/38627", "МКУ ""АДМИНИСТРАЦИЯ ШЕГАРСКОГО РАЙОНА""")</f>
        <v>МКУ "АДМИНИСТРАЦИЯ ШЕГАРСКОГО РАЙОНА"</v>
      </c>
      <c r="B1860" s="24" t="s">
        <v>2935</v>
      </c>
      <c r="C1860" s="25">
        <v>45000</v>
      </c>
      <c r="D1860" s="22" t="s">
        <v>2936</v>
      </c>
      <c r="E1860" s="22" t="s">
        <v>84</v>
      </c>
      <c r="F1860" s="23" t="str">
        <f>HYPERLINK("https://www.spark-marketing.ru/Card/Lot/73224341", "Выполнение работ по установке уличной онлайн-видеокамеры по адресу: Томская область, Шегарский район, с. Мельниково, ул. Калинина, 43")</f>
        <v>Выполнение работ по установке уличной онлайн-видеокамеры по адресу: Томская область, Шегарский район, с. Мельниково, ул. Калинина, 43</v>
      </c>
      <c r="G1860" s="22" t="s">
        <v>150</v>
      </c>
      <c r="H1860" s="22" t="s">
        <v>2937</v>
      </c>
      <c r="I1860" s="26">
        <v>43712.639583333301</v>
      </c>
      <c r="J1860" s="23" t="str">
        <f>HYPERLINK("https://www.spark-marketing.ru/Card/Person/531532", "ООО ""СПЕЦМОНТАЖ""")</f>
        <v>ООО "СПЕЦМОНТАЖ"</v>
      </c>
      <c r="K1860" s="24" t="s">
        <v>2938</v>
      </c>
      <c r="L1860" s="22" t="s">
        <v>10</v>
      </c>
      <c r="M1860" s="28" t="s">
        <v>52</v>
      </c>
      <c r="N1860" s="28" t="s">
        <v>52</v>
      </c>
    </row>
    <row r="1861" spans="1:14" x14ac:dyDescent="0.15">
      <c r="A1861" s="23" t="str">
        <f>HYPERLINK("https://www.spark-marketing.ru/Card/Person/93389", "ИФНС РОССИИ ПО ДЗЕРЖИНСКОМУ РАЙОНУ Г. ВОЛГОГРАДА")</f>
        <v>ИФНС РОССИИ ПО ДЗЕРЖИНСКОМУ РАЙОНУ Г. ВОЛГОГРАДА</v>
      </c>
      <c r="B1861" s="24" t="s">
        <v>2939</v>
      </c>
      <c r="C1861" s="25">
        <v>50000</v>
      </c>
      <c r="D1861" s="22" t="s">
        <v>2940</v>
      </c>
      <c r="E1861" s="22" t="s">
        <v>107</v>
      </c>
      <c r="F1861" s="23" t="str">
        <f>HYPERLINK("https://www.spark-marketing.ru/Card/Lot/73226366", "Техническое обслуживание камер видеонаблюдения, 1 шт")</f>
        <v>Техническое обслуживание камер видеонаблюдения, 1 шт</v>
      </c>
      <c r="G1861" s="22" t="s">
        <v>343</v>
      </c>
      <c r="H1861" s="22" t="s">
        <v>344</v>
      </c>
      <c r="I1861" s="26">
        <v>43712.587777777801</v>
      </c>
      <c r="J1861" s="28" t="s">
        <v>52</v>
      </c>
      <c r="K1861" s="28" t="s">
        <v>52</v>
      </c>
      <c r="L1861" s="28" t="s">
        <v>52</v>
      </c>
      <c r="M1861" s="28" t="s">
        <v>52</v>
      </c>
      <c r="N1861" s="28" t="s">
        <v>52</v>
      </c>
    </row>
    <row r="1862" spans="1:14" x14ac:dyDescent="0.15">
      <c r="A1862" s="23" t="str">
        <f>HYPERLINK("https://www.spark-marketing.ru/Card/Person/29684", "РШ СРС МВД РОССИИ, РОСТОВСКАЯ ШКОЛА СЛУЖЕБНО-РОЗЫСКНОГО СОБАКОВОДСТВА МВД РОССИИ, ФГКУ ДПО ""РШ СРС МВД РОССИИ""")</f>
        <v>РШ СРС МВД РОССИИ, РОСТОВСКАЯ ШКОЛА СЛУЖЕБНО-РОЗЫСКНОГО СОБАКОВОДСТВА МВД РОССИИ, ФГКУ ДПО "РШ СРС МВД РОССИИ"</v>
      </c>
      <c r="B1862" s="24" t="s">
        <v>2941</v>
      </c>
      <c r="C1862" s="25">
        <v>225000</v>
      </c>
      <c r="D1862" s="22" t="s">
        <v>2942</v>
      </c>
      <c r="E1862" s="22" t="s">
        <v>107</v>
      </c>
      <c r="F1862" s="23" t="str">
        <f>HYPERLINK("https://www.spark-marketing.ru/Card/Lot/73223572", "Техническое обслуживание системы видеонаблюдения, 1 шт")</f>
        <v>Техническое обслуживание системы видеонаблюдения, 1 шт</v>
      </c>
      <c r="G1862" s="22" t="s">
        <v>402</v>
      </c>
      <c r="H1862" s="22" t="s">
        <v>403</v>
      </c>
      <c r="I1862" s="26">
        <v>43712.547245370399</v>
      </c>
      <c r="J1862" s="28" t="s">
        <v>52</v>
      </c>
      <c r="K1862" s="28" t="s">
        <v>52</v>
      </c>
      <c r="L1862" s="28" t="s">
        <v>52</v>
      </c>
      <c r="M1862" s="28" t="s">
        <v>52</v>
      </c>
      <c r="N1862" s="28" t="s">
        <v>52</v>
      </c>
    </row>
    <row r="1863" spans="1:14" x14ac:dyDescent="0.15">
      <c r="A1863" s="23" t="str">
        <f>HYPERLINK("https://www.spark-marketing.ru/Card/Person/143504", "АДМИНИСТРАЦИЯ КАТАВ-ИВАНОВСКОГО МУНИЦИПАЛЬНОГО РАЙОНА")</f>
        <v>АДМИНИСТРАЦИЯ КАТАВ-ИВАНОВСКОГО МУНИЦИПАЛЬНОГО РАЙОНА</v>
      </c>
      <c r="B1863" s="24" t="s">
        <v>1128</v>
      </c>
      <c r="C1863" s="25">
        <v>73800</v>
      </c>
      <c r="D1863" s="22" t="s">
        <v>2943</v>
      </c>
      <c r="E1863" s="22" t="s">
        <v>1130</v>
      </c>
      <c r="F1863" s="23" t="str">
        <f>HYPERLINK("https://www.spark-marketing.ru/Card/Lot/73224429", "Оказание услуг по комплексному обслуживанию оборудования (система видеонаблюдения)")</f>
        <v>Оказание услуг по комплексному обслуживанию оборудования (система видеонаблюдения)</v>
      </c>
      <c r="G1863" s="22" t="s">
        <v>60</v>
      </c>
      <c r="H1863" s="22" t="s">
        <v>60</v>
      </c>
      <c r="I1863" s="26">
        <v>43712.5534722222</v>
      </c>
      <c r="J1863" s="28" t="s">
        <v>52</v>
      </c>
      <c r="K1863" s="28" t="s">
        <v>52</v>
      </c>
      <c r="L1863" s="28" t="s">
        <v>52</v>
      </c>
      <c r="M1863" s="28" t="s">
        <v>52</v>
      </c>
      <c r="N1863" s="28" t="s">
        <v>52</v>
      </c>
    </row>
    <row r="1864" spans="1:14" x14ac:dyDescent="0.15">
      <c r="A1864" s="23" t="str">
        <f>HYPERLINK("https://www.spark-marketing.ru/Card/Person/29684", "РШ СРС МВД РОССИИ, РОСТОВСКАЯ ШКОЛА СЛУЖЕБНО-РОЗЫСКНОГО СОБАКОВОДСТВА МВД РОССИИ, ФГКУ ДПО ""РШ СРС МВД РОССИИ""")</f>
        <v>РШ СРС МВД РОССИИ, РОСТОВСКАЯ ШКОЛА СЛУЖЕБНО-РОЗЫСКНОГО СОБАКОВОДСТВА МВД РОССИИ, ФГКУ ДПО "РШ СРС МВД РОССИИ"</v>
      </c>
      <c r="B1864" s="24" t="s">
        <v>2941</v>
      </c>
      <c r="C1864" s="25">
        <v>234216</v>
      </c>
      <c r="D1864" s="22" t="s">
        <v>2944</v>
      </c>
      <c r="E1864" s="22" t="s">
        <v>107</v>
      </c>
      <c r="F1864" s="23" t="str">
        <f>HYPERLINK("https://www.spark-marketing.ru/Card/Lot/73224157", "Техническое обслуживание системы видеонаблюдения, 1 шт")</f>
        <v>Техническое обслуживание системы видеонаблюдения, 1 шт</v>
      </c>
      <c r="G1864" s="22" t="s">
        <v>402</v>
      </c>
      <c r="H1864" s="22" t="s">
        <v>403</v>
      </c>
      <c r="I1864" s="26">
        <v>43712.560185185197</v>
      </c>
      <c r="J1864" s="28" t="s">
        <v>52</v>
      </c>
      <c r="K1864" s="28" t="s">
        <v>52</v>
      </c>
      <c r="L1864" s="28" t="s">
        <v>52</v>
      </c>
      <c r="M1864" s="28" t="s">
        <v>52</v>
      </c>
      <c r="N1864" s="28" t="s">
        <v>52</v>
      </c>
    </row>
    <row r="1865" spans="1:14" x14ac:dyDescent="0.15">
      <c r="A1865" s="23" t="str">
        <f>HYPERLINK("https://www.spark-marketing.ru/Card/Person/6579701", "СЕВЕРО КАВКАЗСКИЙ ФЛ ФГКУ РОСГРАНСТРОЙ")</f>
        <v>СЕВЕРО КАВКАЗСКИЙ ФЛ ФГКУ РОСГРАНСТРОЙ</v>
      </c>
      <c r="B1865" s="24" t="s">
        <v>1291</v>
      </c>
      <c r="C1865" s="25">
        <v>18910</v>
      </c>
      <c r="D1865" s="22" t="s">
        <v>2945</v>
      </c>
      <c r="E1865" s="22" t="s">
        <v>59</v>
      </c>
      <c r="F1865" s="23" t="str">
        <f>HYPERLINK("https://www.spark-marketing.ru/Card/Lot/73222026", "Замена комплекта приема-передачи VGA сигнала системы охранной сигнализации ПТК ГС Мир в ВПП ""Нальчик"" для нужд Северо-Кавказского филиала ФГКУ Росгранстрой")</f>
        <v>Замена комплекта приема-передачи VGA сигнала системы охранной сигнализации ПТК ГС Мир в ВПП "Нальчик" для нужд Северо-Кавказского филиала ФГКУ Росгранстрой</v>
      </c>
      <c r="G1865" s="22" t="s">
        <v>595</v>
      </c>
      <c r="H1865" s="22" t="s">
        <v>595</v>
      </c>
      <c r="I1865" s="26">
        <v>43712.494398148097</v>
      </c>
      <c r="J1865" s="28" t="s">
        <v>52</v>
      </c>
      <c r="K1865" s="28" t="s">
        <v>52</v>
      </c>
      <c r="L1865" s="28" t="s">
        <v>52</v>
      </c>
      <c r="M1865" s="28" t="s">
        <v>52</v>
      </c>
      <c r="N1865" s="28" t="s">
        <v>52</v>
      </c>
    </row>
    <row r="1866" spans="1:14" x14ac:dyDescent="0.15">
      <c r="A1866" s="23" t="str">
        <f>HYPERLINK("https://www.spark-marketing.ru/Card/Person/4944477", "ОМВД РОССИИ ПО СОВЕТСКОМУ РАЙОНУ Г. ИВАНОВО")</f>
        <v>ОМВД РОССИИ ПО СОВЕТСКОМУ РАЙОНУ Г. ИВАНОВО</v>
      </c>
      <c r="B1866" s="24" t="s">
        <v>2946</v>
      </c>
      <c r="C1866" s="25">
        <v>35899</v>
      </c>
      <c r="D1866" s="22" t="s">
        <v>2947</v>
      </c>
      <c r="E1866" s="22" t="s">
        <v>59</v>
      </c>
      <c r="F1866" s="23" t="str">
        <f>HYPERLINK("https://www.spark-marketing.ru/Card/Lot/73219883", "Работы по переносу приборов охранной сигнализации и контроля доступа с последующей проверкой системы")</f>
        <v>Работы по переносу приборов охранной сигнализации и контроля доступа с последующей проверкой системы</v>
      </c>
      <c r="G1866" s="22" t="s">
        <v>340</v>
      </c>
      <c r="H1866" s="22" t="s">
        <v>1030</v>
      </c>
      <c r="I1866" s="26">
        <v>43712.433368055601</v>
      </c>
      <c r="J1866" s="28" t="s">
        <v>52</v>
      </c>
      <c r="K1866" s="28" t="s">
        <v>52</v>
      </c>
      <c r="L1866" s="28" t="s">
        <v>52</v>
      </c>
      <c r="M1866" s="28" t="s">
        <v>52</v>
      </c>
      <c r="N1866" s="28" t="s">
        <v>52</v>
      </c>
    </row>
    <row r="1867" spans="1:14" x14ac:dyDescent="0.15">
      <c r="A1867" s="23" t="str">
        <f>HYPERLINK("https://www.spark-marketing.ru/Card/Person/46271", "ГБУЗ ""ЭНДОКРИНОЛОГИЧЕСКИЙ ДИСПАНСЕР ДЗМ""")</f>
        <v>ГБУЗ "ЭНДОКРИНОЛОГИЧЕСКИЙ ДИСПАНСЕР ДЗМ"</v>
      </c>
      <c r="B1867" s="24" t="s">
        <v>2948</v>
      </c>
      <c r="C1867" s="25">
        <v>78459.14</v>
      </c>
      <c r="D1867" s="22" t="s">
        <v>2949</v>
      </c>
      <c r="E1867" s="22" t="s">
        <v>103</v>
      </c>
      <c r="F1867" s="23" t="str">
        <f>HYPERLINK("https://www.spark-marketing.ru/Card/Lot/73222455", "Аукцион в электронной форме на выполнение работ по техническому обслуживанию системы видеонаблюдения ГБУЗ «Эндокринологический диспансер ДЗМ» в 2020 г.")</f>
        <v>Аукцион в электронной форме на выполнение работ по техническому обслуживанию системы видеонаблюдения ГБУЗ «Эндокринологический диспансер ДЗМ» в 2020 г.</v>
      </c>
      <c r="G1867" s="22" t="s">
        <v>55</v>
      </c>
      <c r="H1867" s="22" t="s">
        <v>55</v>
      </c>
      <c r="I1867" s="26">
        <v>43712.443055555603</v>
      </c>
      <c r="J1867" s="28" t="s">
        <v>52</v>
      </c>
      <c r="K1867" s="28" t="s">
        <v>52</v>
      </c>
      <c r="L1867" s="28" t="s">
        <v>52</v>
      </c>
      <c r="M1867" s="28" t="s">
        <v>52</v>
      </c>
      <c r="N1867" s="28" t="s">
        <v>52</v>
      </c>
    </row>
    <row r="1868" spans="1:14" ht="12.75" hidden="1" outlineLevel="1" x14ac:dyDescent="0.2">
      <c r="A1868" s="23" t="str">
        <f>HYPERLINK("https://www.spark-marketing.ru/Card/Person/46271", "ГБУЗ ""ЭНДОКРИНОЛОГИЧЕСКИЙ ДИСПАНСЕР ДЗМ""")</f>
        <v>ГБУЗ "ЭНДОКРИНОЛОГИЧЕСКИЙ ДИСПАНСЕР ДЗМ"</v>
      </c>
      <c r="B1868" s="24" t="s">
        <v>2948</v>
      </c>
      <c r="C1868" s="25">
        <v>78459.14</v>
      </c>
      <c r="D1868" s="22" t="s">
        <v>2949</v>
      </c>
      <c r="E1868" s="22" t="s">
        <v>103</v>
      </c>
      <c r="F1868" s="23" t="str">
        <f>HYPERLINK("https://www.spark-marketing.ru/Card/Lot/73222455", "Аукцион в электронной форме на выполнение работ по техническому обслуживанию системы видеонаблюдения ГБУЗ «Эндокринологический диспансер ДЗМ» в 2020 г.")</f>
        <v>Аукцион в электронной форме на выполнение работ по техническому обслуживанию системы видеонаблюдения ГБУЗ «Эндокринологический диспансер ДЗМ» в 2020 г.</v>
      </c>
      <c r="G1868" s="22" t="s">
        <v>55</v>
      </c>
      <c r="H1868" s="22" t="s">
        <v>55</v>
      </c>
      <c r="I1868" s="26">
        <v>43712.443055555603</v>
      </c>
      <c r="J1868" s="23" t="str">
        <f>HYPERLINK("https://www.spark-marketing.ru/Card/Person/6687654", "ООО ""АРТИК СБ""")</f>
        <v>ООО "АРТИК СБ"</v>
      </c>
      <c r="K1868" s="24" t="s">
        <v>1747</v>
      </c>
      <c r="L1868" s="22" t="s">
        <v>10</v>
      </c>
      <c r="M1868" s="25">
        <v>36130.78</v>
      </c>
      <c r="N1868" s="27">
        <v>0.53949558967890798</v>
      </c>
    </row>
    <row r="1869" spans="1:14" hidden="1" outlineLevel="1" x14ac:dyDescent="0.2">
      <c r="A1869" s="23" t="str">
        <f>HYPERLINK("https://www.spark-marketing.ru/Card/Person/46271", "ГБУЗ ""ЭНДОКРИНОЛОГИЧЕСКИЙ ДИСПАНСЕР ДЗМ""")</f>
        <v>ГБУЗ "ЭНДОКРИНОЛОГИЧЕСКИЙ ДИСПАНСЕР ДЗМ"</v>
      </c>
      <c r="B1869" s="24" t="s">
        <v>2948</v>
      </c>
      <c r="C1869" s="25">
        <v>78459.14</v>
      </c>
      <c r="D1869" s="22" t="s">
        <v>2949</v>
      </c>
      <c r="E1869" s="22" t="s">
        <v>103</v>
      </c>
      <c r="F1869" s="23" t="str">
        <f>HYPERLINK("https://www.spark-marketing.ru/Card/Lot/73222455", "Аукцион в электронной форме на выполнение работ по техническому обслуживанию системы видеонаблюдения ГБУЗ «Эндокринологический диспансер ДЗМ» в 2020 г.")</f>
        <v>Аукцион в электронной форме на выполнение работ по техническому обслуживанию системы видеонаблюдения ГБУЗ «Эндокринологический диспансер ДЗМ» в 2020 г.</v>
      </c>
      <c r="G1869" s="22" t="s">
        <v>55</v>
      </c>
      <c r="H1869" s="22" t="s">
        <v>55</v>
      </c>
      <c r="I1869" s="26">
        <v>43712.443055555603</v>
      </c>
      <c r="J1869" s="23" t="str">
        <f>HYPERLINK("https://www.spark-marketing.ru/Card/Person/14846", "ООО ""ФЭЗЕРА""")</f>
        <v>ООО "ФЭЗЕРА"</v>
      </c>
      <c r="K1869" s="24" t="s">
        <v>1216</v>
      </c>
      <c r="L1869" s="28" t="s">
        <v>52</v>
      </c>
      <c r="M1869" s="25">
        <v>36523.08</v>
      </c>
      <c r="N1869" s="27">
        <v>0.53449553487331114</v>
      </c>
    </row>
    <row r="1870" spans="1:14" hidden="1" outlineLevel="1" x14ac:dyDescent="0.2">
      <c r="A1870" s="23" t="str">
        <f>HYPERLINK("https://www.spark-marketing.ru/Card/Person/46271", "ГБУЗ ""ЭНДОКРИНОЛОГИЧЕСКИЙ ДИСПАНСЕР ДЗМ""")</f>
        <v>ГБУЗ "ЭНДОКРИНОЛОГИЧЕСКИЙ ДИСПАНСЕР ДЗМ"</v>
      </c>
      <c r="B1870" s="24" t="s">
        <v>2948</v>
      </c>
      <c r="C1870" s="25">
        <v>78459.14</v>
      </c>
      <c r="D1870" s="22" t="s">
        <v>2949</v>
      </c>
      <c r="E1870" s="22" t="s">
        <v>103</v>
      </c>
      <c r="F1870" s="23" t="str">
        <f>HYPERLINK("https://www.spark-marketing.ru/Card/Lot/73222455", "Аукцион в электронной форме на выполнение работ по техническому обслуживанию системы видеонаблюдения ГБУЗ «Эндокринологический диспансер ДЗМ» в 2020 г.")</f>
        <v>Аукцион в электронной форме на выполнение работ по техническому обслуживанию системы видеонаблюдения ГБУЗ «Эндокринологический диспансер ДЗМ» в 2020 г.</v>
      </c>
      <c r="G1870" s="22" t="s">
        <v>55</v>
      </c>
      <c r="H1870" s="22" t="s">
        <v>55</v>
      </c>
      <c r="I1870" s="26">
        <v>43712.443055555603</v>
      </c>
      <c r="J1870" s="23" t="str">
        <f>HYPERLINK("https://www.spark-marketing.ru/Card/Person/6702181", "ООО ""ДИАЛЕКТ""")</f>
        <v>ООО "ДИАЛЕКТ"</v>
      </c>
      <c r="K1870" s="24" t="s">
        <v>2950</v>
      </c>
      <c r="L1870" s="28" t="s">
        <v>52</v>
      </c>
      <c r="M1870" s="25">
        <v>46722.879999999997</v>
      </c>
      <c r="N1870" s="27">
        <v>0.40449410992779172</v>
      </c>
    </row>
    <row r="1871" spans="1:14" hidden="1" outlineLevel="1" x14ac:dyDescent="0.2">
      <c r="A1871" s="23" t="str">
        <f>HYPERLINK("https://www.spark-marketing.ru/Card/Person/46271", "ГБУЗ ""ЭНДОКРИНОЛОГИЧЕСКИЙ ДИСПАНСЕР ДЗМ""")</f>
        <v>ГБУЗ "ЭНДОКРИНОЛОГИЧЕСКИЙ ДИСПАНСЕР ДЗМ"</v>
      </c>
      <c r="B1871" s="24" t="s">
        <v>2948</v>
      </c>
      <c r="C1871" s="25">
        <v>78459.14</v>
      </c>
      <c r="D1871" s="22" t="s">
        <v>2949</v>
      </c>
      <c r="E1871" s="22" t="s">
        <v>103</v>
      </c>
      <c r="F1871" s="23" t="str">
        <f>HYPERLINK("https://www.spark-marketing.ru/Card/Lot/73222455", "Аукцион в электронной форме на выполнение работ по техническому обслуживанию системы видеонаблюдения ГБУЗ «Эндокринологический диспансер ДЗМ» в 2020 г.")</f>
        <v>Аукцион в электронной форме на выполнение работ по техническому обслуживанию системы видеонаблюдения ГБУЗ «Эндокринологический диспансер ДЗМ» в 2020 г.</v>
      </c>
      <c r="G1871" s="22" t="s">
        <v>55</v>
      </c>
      <c r="H1871" s="22" t="s">
        <v>55</v>
      </c>
      <c r="I1871" s="26">
        <v>43712.443055555603</v>
      </c>
      <c r="J1871" s="23" t="str">
        <f>HYPERLINK("https://www.spark-marketing.ru/Card/Person/6634445", "ООО ""АКТ.РУ""")</f>
        <v>ООО "АКТ.РУ"</v>
      </c>
      <c r="K1871" s="24" t="s">
        <v>1582</v>
      </c>
      <c r="L1871" s="28" t="s">
        <v>52</v>
      </c>
      <c r="M1871" s="25">
        <v>66666.649999999994</v>
      </c>
      <c r="N1871" s="27">
        <v>0.15030103567283556</v>
      </c>
    </row>
    <row r="1872" spans="1:14" x14ac:dyDescent="0.15">
      <c r="A1872" s="23" t="str">
        <f>HYPERLINK("https://www.spark-marketing.ru/Card/Person/116214", "ЧЕЛЯБИНСКИЙ ПСИХОНЕВРОЛОГИЧЕСКИЙ ИНТЕРНАТ")</f>
        <v>ЧЕЛЯБИНСКИЙ ПСИХОНЕВРОЛОГИЧЕСКИЙ ИНТЕРНАТ</v>
      </c>
      <c r="B1872" s="24" t="s">
        <v>2951</v>
      </c>
      <c r="C1872" s="25">
        <v>306691.20000000001</v>
      </c>
      <c r="D1872" s="22" t="s">
        <v>2952</v>
      </c>
      <c r="E1872" s="22" t="s">
        <v>68</v>
      </c>
      <c r="F1872" s="23" t="str">
        <f>HYPERLINK("https://www.spark-marketing.ru/Card/Lot/73218549", "Охранные услуги")</f>
        <v>Охранные услуги</v>
      </c>
      <c r="G1872" s="22" t="s">
        <v>60</v>
      </c>
      <c r="H1872" s="22" t="s">
        <v>1683</v>
      </c>
      <c r="I1872" s="26">
        <v>43712.4152777778</v>
      </c>
      <c r="J1872" s="28" t="s">
        <v>52</v>
      </c>
      <c r="K1872" s="28" t="s">
        <v>52</v>
      </c>
      <c r="L1872" s="28" t="s">
        <v>52</v>
      </c>
      <c r="M1872" s="28" t="s">
        <v>52</v>
      </c>
      <c r="N1872" s="28" t="s">
        <v>52</v>
      </c>
    </row>
    <row r="1873" spans="1:14" hidden="1" outlineLevel="1" x14ac:dyDescent="0.2">
      <c r="A1873" s="23" t="str">
        <f>HYPERLINK("https://www.spark-marketing.ru/Card/Person/116214", "ЧЕЛЯБИНСКИЙ ПСИХОНЕВРОЛОГИЧЕСКИЙ ИНТЕРНАТ")</f>
        <v>ЧЕЛЯБИНСКИЙ ПСИХОНЕВРОЛОГИЧЕСКИЙ ИНТЕРНАТ</v>
      </c>
      <c r="B1873" s="24" t="s">
        <v>2951</v>
      </c>
      <c r="C1873" s="25">
        <v>306691.20000000001</v>
      </c>
      <c r="D1873" s="22" t="s">
        <v>2952</v>
      </c>
      <c r="E1873" s="22" t="s">
        <v>68</v>
      </c>
      <c r="F1873" s="23" t="str">
        <f>HYPERLINK("https://www.spark-marketing.ru/Card/Lot/73218549", "Охранные услуги")</f>
        <v>Охранные услуги</v>
      </c>
      <c r="G1873" s="22" t="s">
        <v>60</v>
      </c>
      <c r="H1873" s="22" t="s">
        <v>1683</v>
      </c>
      <c r="I1873" s="26">
        <v>43712.4152777778</v>
      </c>
      <c r="J1873" s="23" t="str">
        <f>HYPERLINK("https://www.spark-marketing.ru/Card/Person/857018", "ООО ЧОП ""ФАГОТ""")</f>
        <v>ООО ЧОП "ФАГОТ"</v>
      </c>
      <c r="K1873" s="24" t="s">
        <v>2953</v>
      </c>
      <c r="L1873" s="28" t="s">
        <v>52</v>
      </c>
      <c r="M1873" s="25">
        <v>177880.72</v>
      </c>
      <c r="N1873" s="27">
        <v>0.42000057386713413</v>
      </c>
    </row>
    <row r="1874" spans="1:14" ht="12.75" hidden="1" outlineLevel="1" x14ac:dyDescent="0.2">
      <c r="A1874" s="23" t="str">
        <f>HYPERLINK("https://www.spark-marketing.ru/Card/Person/116214", "ЧЕЛЯБИНСКИЙ ПСИХОНЕВРОЛОГИЧЕСКИЙ ИНТЕРНАТ")</f>
        <v>ЧЕЛЯБИНСКИЙ ПСИХОНЕВРОЛОГИЧЕСКИЙ ИНТЕРНАТ</v>
      </c>
      <c r="B1874" s="24" t="s">
        <v>2951</v>
      </c>
      <c r="C1874" s="25">
        <v>306691.20000000001</v>
      </c>
      <c r="D1874" s="22" t="s">
        <v>2952</v>
      </c>
      <c r="E1874" s="22" t="s">
        <v>68</v>
      </c>
      <c r="F1874" s="23" t="str">
        <f>HYPERLINK("https://www.spark-marketing.ru/Card/Lot/73218549", "Охранные услуги")</f>
        <v>Охранные услуги</v>
      </c>
      <c r="G1874" s="22" t="s">
        <v>60</v>
      </c>
      <c r="H1874" s="22" t="s">
        <v>1683</v>
      </c>
      <c r="I1874" s="26">
        <v>43712.4152777778</v>
      </c>
      <c r="J1874" s="23" t="str">
        <f>HYPERLINK("https://www.spark-marketing.ru/Card/Person/4426041", "ООО ЧОП ""УТЕС""")</f>
        <v>ООО ЧОП "УТЕС"</v>
      </c>
      <c r="K1874" s="24" t="s">
        <v>2954</v>
      </c>
      <c r="L1874" s="22" t="s">
        <v>10</v>
      </c>
      <c r="M1874" s="25">
        <v>176347.26</v>
      </c>
      <c r="N1874" s="27">
        <v>0.42500058690956899</v>
      </c>
    </row>
    <row r="1875" spans="1:14" x14ac:dyDescent="0.15">
      <c r="A1875" s="23" t="str">
        <f>HYPERLINK("https://www.spark-marketing.ru/Card/Person/60250", "МБДОУ Д/С № 6 ""РОДНИЧОК""")</f>
        <v>МБДОУ Д/С № 6 "РОДНИЧОК"</v>
      </c>
      <c r="B1875" s="24" t="s">
        <v>2955</v>
      </c>
      <c r="C1875" s="25">
        <v>13000</v>
      </c>
      <c r="D1875" s="22" t="s">
        <v>2956</v>
      </c>
      <c r="E1875" s="22" t="s">
        <v>732</v>
      </c>
      <c r="F1875" s="23" t="str">
        <f>HYPERLINK("https://www.spark-marketing.ru/Card/Lot/73217765", "выполнение работ по установке видеодомофона на входную дверь")</f>
        <v>выполнение работ по установке видеодомофона на входную дверь</v>
      </c>
      <c r="G1875" s="22" t="s">
        <v>50</v>
      </c>
      <c r="H1875" s="22" t="s">
        <v>2957</v>
      </c>
      <c r="I1875" s="26">
        <v>43712.367662037002</v>
      </c>
      <c r="J1875" s="28" t="s">
        <v>52</v>
      </c>
      <c r="K1875" s="28" t="s">
        <v>52</v>
      </c>
      <c r="L1875" s="28" t="s">
        <v>52</v>
      </c>
      <c r="M1875" s="28" t="s">
        <v>52</v>
      </c>
      <c r="N1875" s="28" t="s">
        <v>52</v>
      </c>
    </row>
    <row r="1876" spans="1:14" x14ac:dyDescent="0.15">
      <c r="A1876" s="23" t="str">
        <f>HYPERLINK("https://www.spark-marketing.ru/Card/Person/6221978", "ООО РН ВОСТОКНЕФТЕПРОДУКТ")</f>
        <v>ООО РН ВОСТОКНЕФТЕПРОДУКТ</v>
      </c>
      <c r="B1876" s="28" t="s">
        <v>52</v>
      </c>
      <c r="C1876" s="25">
        <v>601680</v>
      </c>
      <c r="D1876" s="22" t="s">
        <v>2958</v>
      </c>
      <c r="E1876" s="22" t="s">
        <v>370</v>
      </c>
      <c r="F1876" s="23" t="str">
        <f>HYPERLINK("https://www.spark-marketing.ru/Card/Lot/73217679", "Оказание услуг по техническому обслуживанию систем видеонаблюдения АЗС/АЗК ООО ""РН-Востокнефтепродукт"" в г. Комсомольске-на-Амуре")</f>
        <v>Оказание услуг по техническому обслуживанию систем видеонаблюдения АЗС/АЗК ООО "РН-Востокнефтепродукт" в г. Комсомольске-на-Амуре</v>
      </c>
      <c r="G1876" s="22" t="s">
        <v>52</v>
      </c>
      <c r="H1876" s="22" t="s">
        <v>52</v>
      </c>
      <c r="I1876" s="26">
        <v>43712.309027777803</v>
      </c>
      <c r="J1876" s="28" t="s">
        <v>52</v>
      </c>
      <c r="K1876" s="28" t="s">
        <v>52</v>
      </c>
      <c r="L1876" s="28" t="s">
        <v>52</v>
      </c>
      <c r="M1876" s="28" t="s">
        <v>52</v>
      </c>
      <c r="N1876" s="28" t="s">
        <v>52</v>
      </c>
    </row>
    <row r="1877" spans="1:14" x14ac:dyDescent="0.15">
      <c r="A1877" s="23" t="str">
        <f>HYPERLINK("https://www.spark-marketing.ru/Card/Person/6221978", "ООО РН ВОСТОКНЕФТЕПРОДУКТ")</f>
        <v>ООО РН ВОСТОКНЕФТЕПРОДУКТ</v>
      </c>
      <c r="B1877" s="28" t="s">
        <v>52</v>
      </c>
      <c r="C1877" s="25">
        <v>2969520</v>
      </c>
      <c r="D1877" s="22" t="s">
        <v>2958</v>
      </c>
      <c r="E1877" s="22" t="s">
        <v>370</v>
      </c>
      <c r="F1877" s="23" t="str">
        <f>HYPERLINK("https://www.spark-marketing.ru/Card/Lot/73217678", "Оказание услуг по техническому обслуживанию систем видеонаблюдения объектов ООО ""РН-Востокнефтепродукт"" в г. Хабаровске, г. Бикине, г. Вяземский")</f>
        <v>Оказание услуг по техническому обслуживанию систем видеонаблюдения объектов ООО "РН-Востокнефтепродукт" в г. Хабаровске, г. Бикине, г. Вяземский</v>
      </c>
      <c r="G1877" s="22" t="s">
        <v>52</v>
      </c>
      <c r="H1877" s="22" t="s">
        <v>52</v>
      </c>
      <c r="I1877" s="26">
        <v>43712.309027777803</v>
      </c>
      <c r="J1877" s="28" t="s">
        <v>52</v>
      </c>
      <c r="K1877" s="28" t="s">
        <v>52</v>
      </c>
      <c r="L1877" s="28" t="s">
        <v>52</v>
      </c>
      <c r="M1877" s="28" t="s">
        <v>52</v>
      </c>
      <c r="N1877" s="28" t="s">
        <v>52</v>
      </c>
    </row>
    <row r="1878" spans="1:14" x14ac:dyDescent="0.15">
      <c r="A1878" s="23" t="str">
        <f>HYPERLINK("https://www.spark-marketing.ru/Card/Person/6221978", "ООО РН ВОСТОКНЕФТЕПРОДУКТ")</f>
        <v>ООО РН ВОСТОКНЕФТЕПРОДУКТ</v>
      </c>
      <c r="B1878" s="28" t="s">
        <v>52</v>
      </c>
      <c r="C1878" s="25">
        <v>1114320</v>
      </c>
      <c r="D1878" s="22" t="s">
        <v>2958</v>
      </c>
      <c r="E1878" s="22" t="s">
        <v>370</v>
      </c>
      <c r="F1878" s="23" t="str">
        <f>HYPERLINK("https://www.spark-marketing.ru/Card/Lot/73217680", "Оказание услуг по техническому обслуживанию систем видеонаблюдения АЗС/АЗК ООО ""РН-Востокнефтепродукт"" в ЕАО")</f>
        <v>Оказание услуг по техническому обслуживанию систем видеонаблюдения АЗС/АЗК ООО "РН-Востокнефтепродукт" в ЕАО</v>
      </c>
      <c r="G1878" s="22" t="s">
        <v>52</v>
      </c>
      <c r="H1878" s="22" t="s">
        <v>52</v>
      </c>
      <c r="I1878" s="26">
        <v>43712.309027777803</v>
      </c>
      <c r="J1878" s="28" t="s">
        <v>52</v>
      </c>
      <c r="K1878" s="28" t="s">
        <v>52</v>
      </c>
      <c r="L1878" s="28" t="s">
        <v>52</v>
      </c>
      <c r="M1878" s="28" t="s">
        <v>52</v>
      </c>
      <c r="N1878" s="28" t="s">
        <v>52</v>
      </c>
    </row>
    <row r="1879" spans="1:14" x14ac:dyDescent="0.15">
      <c r="A1879" s="23" t="str">
        <f>HYPERLINK("https://www.spark-marketing.ru/Card/Person/6221978", "ООО РН ВОСТОКНЕФТЕПРОДУКТ")</f>
        <v>ООО РН ВОСТОКНЕФТЕПРОДУКТ</v>
      </c>
      <c r="B1879" s="28" t="s">
        <v>52</v>
      </c>
      <c r="C1879" s="25">
        <v>779520</v>
      </c>
      <c r="D1879" s="22" t="s">
        <v>2958</v>
      </c>
      <c r="E1879" s="22" t="s">
        <v>370</v>
      </c>
      <c r="F1879" s="23" t="str">
        <f>HYPERLINK("https://www.spark-marketing.ru/Card/Lot/73217681", "Оказание услуг по техническому обслуживанию систем видеонаблюдения АЗС/АЗК ООО ""РН-Востокнефтепродукт"" в Амурской области")</f>
        <v>Оказание услуг по техническому обслуживанию систем видеонаблюдения АЗС/АЗК ООО "РН-Востокнефтепродукт" в Амурской области</v>
      </c>
      <c r="G1879" s="22" t="s">
        <v>52</v>
      </c>
      <c r="H1879" s="22" t="s">
        <v>52</v>
      </c>
      <c r="I1879" s="26">
        <v>43712.309027777803</v>
      </c>
      <c r="J1879" s="28" t="s">
        <v>52</v>
      </c>
      <c r="K1879" s="28" t="s">
        <v>52</v>
      </c>
      <c r="L1879" s="28" t="s">
        <v>52</v>
      </c>
      <c r="M1879" s="28" t="s">
        <v>52</v>
      </c>
      <c r="N1879" s="28" t="s">
        <v>52</v>
      </c>
    </row>
    <row r="1880" spans="1:14" x14ac:dyDescent="0.15">
      <c r="A1880" s="23" t="str">
        <f>HYPERLINK("https://www.spark-marketing.ru/Card/Person/4350519", "ФГБОУ ВО ""МГТУ ИМ. Г. И. НОСОВА"", ФГБОУ ВО ""МАГНИТОГОРСКИЙ ГОСУДАРСТВЕННЫЙ ТЕХНИЧЕСКИЙ УНИВЕРСИТЕТ ИМ. Г. И. НОСОВА"", МАГНИТОГОРСКИЙ ГОСУДАРСТВЕННЫЙ ТЕХНИЧЕСКИЙ УНИВЕРСИТЕТ ИМ. Г. И. НОСОВА, МГТУ ИМ. Г. И. НОСОВА")</f>
        <v>ФГБОУ ВО "МГТУ ИМ. Г. И. НОСОВА", ФГБОУ ВО "МАГНИТОГОРСКИЙ ГОСУДАРСТВЕННЫЙ ТЕХНИЧЕСКИЙ УНИВЕРСИТЕТ ИМ. Г. И. НОСОВА", МАГНИТОГОРСКИЙ ГОСУДАРСТВЕННЫЙ ТЕХНИЧЕСКИЙ УНИВЕРСИТЕТ ИМ. Г. И. НОСОВА, МГТУ ИМ. Г. И. НОСОВА</v>
      </c>
      <c r="B1880" s="24" t="s">
        <v>2959</v>
      </c>
      <c r="C1880" s="25">
        <v>2127949.2000000002</v>
      </c>
      <c r="D1880" s="22" t="s">
        <v>2960</v>
      </c>
      <c r="E1880" s="22" t="s">
        <v>144</v>
      </c>
      <c r="F1880" s="23" t="str">
        <f>HYPERLINK("https://www.spark-marketing.ru/Card/Lot/73229921", "Оказание услуг по осуществлению физической охраны и обеспечению внутриобъектового и пропускного режима на объектах заказчика")</f>
        <v>Оказание услуг по осуществлению физической охраны и обеспечению внутриобъектового и пропускного режима на объектах заказчика</v>
      </c>
      <c r="G1880" s="22" t="s">
        <v>60</v>
      </c>
      <c r="H1880" s="22" t="s">
        <v>60</v>
      </c>
      <c r="I1880" s="26">
        <v>43712</v>
      </c>
      <c r="J1880" s="28" t="s">
        <v>52</v>
      </c>
      <c r="K1880" s="28" t="s">
        <v>52</v>
      </c>
      <c r="L1880" s="28" t="s">
        <v>52</v>
      </c>
      <c r="M1880" s="28" t="s">
        <v>52</v>
      </c>
      <c r="N1880" s="28" t="s">
        <v>52</v>
      </c>
    </row>
    <row r="1881" spans="1:14" x14ac:dyDescent="0.15">
      <c r="A1881" s="23" t="str">
        <f>HYPERLINK("https://www.spark-marketing.ru/Card/Person/4345851", "БАНК ВТБ (ПАО)")</f>
        <v>БАНК ВТБ (ПАО)</v>
      </c>
      <c r="B1881" s="24" t="s">
        <v>1232</v>
      </c>
      <c r="C1881" s="25">
        <v>0</v>
      </c>
      <c r="D1881" s="22" t="s">
        <v>2961</v>
      </c>
      <c r="E1881" s="22" t="s">
        <v>53</v>
      </c>
      <c r="F1881" s="23" t="str">
        <f>HYPERLINK("https://www.spark-marketing.ru/Card/Lot/73238435", "Выполнение работ по сопровождению объектов НПА (Непрофильные Активы) Банка ВТБ (ПАО): квартир и апартаментов, расположенных в городе Москва и Московской области")</f>
        <v>Выполнение работ по сопровождению объектов НПА (Непрофильные Активы) Банка ВТБ (ПАО): квартир и апартаментов, расположенных в городе Москва и Московской области</v>
      </c>
      <c r="G1881" s="22" t="s">
        <v>89</v>
      </c>
      <c r="H1881" s="22" t="s">
        <v>89</v>
      </c>
      <c r="I1881" s="26">
        <v>43712</v>
      </c>
      <c r="J1881" s="28" t="s">
        <v>52</v>
      </c>
      <c r="K1881" s="28" t="s">
        <v>52</v>
      </c>
      <c r="L1881" s="28" t="s">
        <v>52</v>
      </c>
      <c r="M1881" s="28" t="s">
        <v>52</v>
      </c>
      <c r="N1881" s="28" t="s">
        <v>52</v>
      </c>
    </row>
    <row r="1882" spans="1:14" x14ac:dyDescent="0.15">
      <c r="A1882" s="23" t="str">
        <f>HYPERLINK("https://www.spark-marketing.ru/Card/Person/1080056", "МАДОУ ДЕТСКИЙ САД №83 ОБЩЕРАЗВИВАЮЩЕГО ВИДА")</f>
        <v>МАДОУ ДЕТСКИЙ САД №83 ОБЩЕРАЗВИВАЮЩЕГО ВИДА</v>
      </c>
      <c r="B1882" s="24" t="s">
        <v>2962</v>
      </c>
      <c r="C1882" s="25">
        <v>24000</v>
      </c>
      <c r="D1882" s="22" t="s">
        <v>2963</v>
      </c>
      <c r="E1882" s="22" t="s">
        <v>107</v>
      </c>
      <c r="F1882" s="23" t="str">
        <f>HYPERLINK("https://www.spark-marketing.ru/Card/Lot/73209296", "Закупка в 2019 году на услуги по установке и приобретению видео-домофона для МАДОУ детского сада №83 общеразвивающего вида")</f>
        <v>Закупка в 2019 году на услуги по установке и приобретению видео-домофона для МАДОУ детского сада №83 общеразвивающего вида</v>
      </c>
      <c r="G1882" s="22" t="s">
        <v>50</v>
      </c>
      <c r="H1882" s="22" t="s">
        <v>1045</v>
      </c>
      <c r="I1882" s="26">
        <v>43711.867615740703</v>
      </c>
      <c r="J1882" s="28" t="s">
        <v>52</v>
      </c>
      <c r="K1882" s="28" t="s">
        <v>52</v>
      </c>
      <c r="L1882" s="28" t="s">
        <v>52</v>
      </c>
      <c r="M1882" s="28" t="s">
        <v>52</v>
      </c>
      <c r="N1882" s="28" t="s">
        <v>52</v>
      </c>
    </row>
    <row r="1883" spans="1:14" x14ac:dyDescent="0.15">
      <c r="A1883" s="23" t="str">
        <f>HYPERLINK("https://www.spark-marketing.ru/Card/Person/4356464", "ФИНАНСОВЫЙ УНИВЕРСИТЕТ, ФИНУНИВЕРСИТЕТ")</f>
        <v>ФИНАНСОВЫЙ УНИВЕРСИТЕТ, ФИНУНИВЕРСИТЕТ</v>
      </c>
      <c r="B1883" s="24" t="s">
        <v>2964</v>
      </c>
      <c r="C1883" s="25">
        <v>826000</v>
      </c>
      <c r="D1883" s="22" t="s">
        <v>2965</v>
      </c>
      <c r="E1883" s="22" t="s">
        <v>52</v>
      </c>
      <c r="F1883" s="23" t="str">
        <f>HYPERLINK("https://www.spark-marketing.ru/Card/Lot/73209010", "Оказание услуг по охране здания Новороссийского филиала Финуниверситета")</f>
        <v>Оказание услуг по охране здания Новороссийского филиала Финуниверситета</v>
      </c>
      <c r="G1883" s="22" t="s">
        <v>132</v>
      </c>
      <c r="H1883" s="22" t="s">
        <v>452</v>
      </c>
      <c r="I1883" s="26">
        <v>43711.798611111102</v>
      </c>
      <c r="J1883" s="23" t="str">
        <f>HYPERLINK("https://www.spark-marketing.ru/Card/Person/85799", "ООО ""ЧОО ""ВИТЯЗЬ-ПЕРЕСВЕТ""")</f>
        <v>ООО "ЧОО "ВИТЯЗЬ-ПЕРЕСВЕТ"</v>
      </c>
      <c r="K1883" s="24" t="s">
        <v>2966</v>
      </c>
      <c r="L1883" s="28" t="s">
        <v>52</v>
      </c>
      <c r="M1883" s="28" t="s">
        <v>52</v>
      </c>
      <c r="N1883" s="28" t="s">
        <v>52</v>
      </c>
    </row>
    <row r="1884" spans="1:14" ht="12.75" hidden="1" outlineLevel="1" x14ac:dyDescent="0.2">
      <c r="A1884" s="23" t="str">
        <f>HYPERLINK("https://www.spark-marketing.ru/Card/Person/4356464", "ФИНАНСОВЫЙ УНИВЕРСИТЕТ, ФИНУНИВЕРСИТЕТ")</f>
        <v>ФИНАНСОВЫЙ УНИВЕРСИТЕТ, ФИНУНИВЕРСИТЕТ</v>
      </c>
      <c r="B1884" s="24" t="s">
        <v>2964</v>
      </c>
      <c r="C1884" s="25">
        <v>826000</v>
      </c>
      <c r="D1884" s="22" t="s">
        <v>2965</v>
      </c>
      <c r="E1884" s="22" t="s">
        <v>52</v>
      </c>
      <c r="F1884" s="23" t="str">
        <f>HYPERLINK("https://www.spark-marketing.ru/Card/Lot/73209010", "Оказание услуг по охране здания Новороссийского филиала Финуниверситета")</f>
        <v>Оказание услуг по охране здания Новороссийского филиала Финуниверситета</v>
      </c>
      <c r="G1884" s="22" t="s">
        <v>132</v>
      </c>
      <c r="H1884" s="22" t="s">
        <v>452</v>
      </c>
      <c r="I1884" s="26">
        <v>43711.798611111102</v>
      </c>
      <c r="J1884" s="23" t="str">
        <f>HYPERLINK("https://www.spark-marketing.ru/Card/Person/85799", "ООО ""ЧОО ""ВИТЯЗЬ-ПЕРЕСВЕТ""")</f>
        <v>ООО "ЧОО "ВИТЯЗЬ-ПЕРЕСВЕТ"</v>
      </c>
      <c r="K1884" s="24" t="s">
        <v>2966</v>
      </c>
      <c r="L1884" s="22" t="s">
        <v>10</v>
      </c>
      <c r="M1884" s="25">
        <v>821870</v>
      </c>
      <c r="N1884" s="27">
        <v>5.0000000000000001E-3</v>
      </c>
    </row>
    <row r="1885" spans="1:14" x14ac:dyDescent="0.15">
      <c r="A1885" s="23" t="str">
        <f>HYPERLINK("https://www.spark-marketing.ru/Card/Person/18481", "ФГУП ""РОСРАО""")</f>
        <v>ФГУП "РОСРАО"</v>
      </c>
      <c r="B1885" s="24" t="s">
        <v>1615</v>
      </c>
      <c r="C1885" s="25">
        <v>29980047.18</v>
      </c>
      <c r="D1885" s="22" t="s">
        <v>2967</v>
      </c>
      <c r="E1885" s="22" t="s">
        <v>1013</v>
      </c>
      <c r="F1885" s="23" t="str">
        <f>HYPERLINK("https://www.spark-marketing.ru/Card/Lot/73208989", "Оказание услуг по охране объектов Благовещенского отделения филиала «Приволжский территориальный округ» ФГУП «РосРАО»")</f>
        <v>Оказание услуг по охране объектов Благовещенского отделения филиала «Приволжский территориальный округ» ФГУП «РосРАО»</v>
      </c>
      <c r="G1885" s="22" t="s">
        <v>100</v>
      </c>
      <c r="H1885" s="22" t="s">
        <v>231</v>
      </c>
      <c r="I1885" s="26">
        <v>43711.776388888902</v>
      </c>
      <c r="J1885" s="23" t="str">
        <f>HYPERLINK("https://www.spark-marketing.ru/Card/Person/204515", "ФЛ ФГУП ""Охрана"" Росгвардии по Республике Башкортостан")</f>
        <v>ФЛ ФГУП "Охрана" Росгвардии по Республике Башкортостан</v>
      </c>
      <c r="K1885" s="24" t="s">
        <v>779</v>
      </c>
      <c r="L1885" s="22" t="s">
        <v>10</v>
      </c>
      <c r="M1885" s="28" t="s">
        <v>52</v>
      </c>
      <c r="N1885" s="28" t="s">
        <v>52</v>
      </c>
    </row>
    <row r="1886" spans="1:14" x14ac:dyDescent="0.15">
      <c r="A1886" s="23" t="str">
        <f>HYPERLINK("https://www.spark-marketing.ru/Card/Person/8059", "ГБУ МО ""МОСАВТОДОР""")</f>
        <v>ГБУ МО "МОСАВТОДОР"</v>
      </c>
      <c r="B1886" s="24" t="s">
        <v>2968</v>
      </c>
      <c r="C1886" s="25">
        <v>28202389.199999999</v>
      </c>
      <c r="D1886" s="22" t="s">
        <v>2969</v>
      </c>
      <c r="E1886" s="22" t="s">
        <v>59</v>
      </c>
      <c r="F1886" s="23" t="str">
        <f>HYPERLINK("https://www.spark-marketing.ru/Card/Lot/73207297", "Выполнение работ по оснащению инженерно-техническими системами обеспечения транспортной безопасности объекта транспортной инфраструктуры")</f>
        <v>Выполнение работ по оснащению инженерно-техническими системами обеспечения транспортной безопасности объекта транспортной инфраструктуры</v>
      </c>
      <c r="G1886" s="22" t="s">
        <v>50</v>
      </c>
      <c r="H1886" s="22" t="s">
        <v>51</v>
      </c>
      <c r="I1886" s="26">
        <v>43711.715277777803</v>
      </c>
      <c r="J1886" s="23" t="str">
        <f>HYPERLINK("https://www.spark-marketing.ru/Card/Person/77204", "ООО ""ИНФОРМ-АЛЬЯНС""")</f>
        <v>ООО "ИНФОРМ-АЛЬЯНС"</v>
      </c>
      <c r="K1886" s="24" t="s">
        <v>2499</v>
      </c>
      <c r="L1886" s="28" t="s">
        <v>52</v>
      </c>
      <c r="M1886" s="28" t="s">
        <v>52</v>
      </c>
      <c r="N1886" s="28" t="s">
        <v>52</v>
      </c>
    </row>
    <row r="1887" spans="1:14" ht="12.75" hidden="1" outlineLevel="1" x14ac:dyDescent="0.2">
      <c r="A1887" s="23" t="str">
        <f>HYPERLINK("https://www.spark-marketing.ru/Card/Person/8059", "ГБУ МО ""МОСАВТОДОР""")</f>
        <v>ГБУ МО "МОСАВТОДОР"</v>
      </c>
      <c r="B1887" s="24" t="s">
        <v>2968</v>
      </c>
      <c r="C1887" s="25">
        <v>28202389.199999999</v>
      </c>
      <c r="D1887" s="22" t="s">
        <v>2969</v>
      </c>
      <c r="E1887" s="22" t="s">
        <v>59</v>
      </c>
      <c r="F1887" s="23" t="str">
        <f>HYPERLINK("https://www.spark-marketing.ru/Card/Lot/73207297", "Выполнение работ по оснащению инженерно-техническими системами обеспечения транспортной безопасности объекта транспортной инфраструктуры")</f>
        <v>Выполнение работ по оснащению инженерно-техническими системами обеспечения транспортной безопасности объекта транспортной инфраструктуры</v>
      </c>
      <c r="G1887" s="22" t="s">
        <v>50</v>
      </c>
      <c r="H1887" s="22" t="s">
        <v>51</v>
      </c>
      <c r="I1887" s="26">
        <v>43711.715277777803</v>
      </c>
      <c r="J1887" s="23" t="str">
        <f>HYPERLINK("https://www.spark-marketing.ru/Card/Person/77204", "ООО ""ИНФОРМ-АЛЬЯНС""")</f>
        <v>ООО "ИНФОРМ-АЛЬЯНС"</v>
      </c>
      <c r="K1887" s="24" t="s">
        <v>2499</v>
      </c>
      <c r="L1887" s="22" t="s">
        <v>10</v>
      </c>
      <c r="M1887" s="25">
        <v>28061377.25</v>
      </c>
      <c r="N1887" s="27">
        <v>5.0000001418319551E-3</v>
      </c>
    </row>
    <row r="1888" spans="1:14" x14ac:dyDescent="0.15">
      <c r="A1888" s="23" t="str">
        <f>HYPERLINK("https://www.spark-marketing.ru/Card/Person/18481", "ФГУП ""РОСРАО""")</f>
        <v>ФГУП "РОСРАО"</v>
      </c>
      <c r="B1888" s="24" t="s">
        <v>1615</v>
      </c>
      <c r="C1888" s="25">
        <v>47252585.590000004</v>
      </c>
      <c r="D1888" s="22" t="s">
        <v>2970</v>
      </c>
      <c r="E1888" s="22" t="s">
        <v>1013</v>
      </c>
      <c r="F1888" s="23" t="str">
        <f>HYPERLINK("https://www.spark-marketing.ru/Card/Lot/73207327", "Оказание услуг по охране объектов Кирово-Чепецкого отделения филиала «Приволжский территориальный округ» ФГУП «РосРАО»")</f>
        <v>Оказание услуг по охране объектов Кирово-Чепецкого отделения филиала «Приволжский территориальный округ» ФГУП «РосРАО»</v>
      </c>
      <c r="G1888" s="22" t="s">
        <v>55</v>
      </c>
      <c r="H1888" s="22" t="s">
        <v>55</v>
      </c>
      <c r="I1888" s="26">
        <v>43711.731249999997</v>
      </c>
      <c r="J1888" s="23" t="str">
        <f>HYPERLINK("https://www.spark-marketing.ru/Card/Person/6699889", "ФЛ ФГУП ОХРАНА ФЕДЕРАЛЬНОЙ СЛУЖБЫ ВОЙСК НАЦИОНАЛЬНОЙ ГВАРДИИ РФ ПО КИРОВСКОЙ ОБЛ")</f>
        <v>ФЛ ФГУП ОХРАНА ФЕДЕРАЛЬНОЙ СЛУЖБЫ ВОЙСК НАЦИОНАЛЬНОЙ ГВАРДИИ РФ ПО КИРОВСКОЙ ОБЛ</v>
      </c>
      <c r="K1888" s="24" t="s">
        <v>779</v>
      </c>
      <c r="L1888" s="22" t="s">
        <v>10</v>
      </c>
      <c r="M1888" s="28" t="s">
        <v>52</v>
      </c>
      <c r="N1888" s="28" t="s">
        <v>52</v>
      </c>
    </row>
    <row r="1889" spans="1:14" x14ac:dyDescent="0.15">
      <c r="A1889" s="23" t="str">
        <f>HYPERLINK("https://www.spark-marketing.ru/Card/Person/283255", "МЕЖРАЙОННАЯ ИФНС РОССИИ № 1 ПО НИЖЕГОРОДСКОЙ ОБЛАСТИ")</f>
        <v>МЕЖРАЙОННАЯ ИФНС РОССИИ № 1 ПО НИЖЕГОРОДСКОЙ ОБЛАСТИ</v>
      </c>
      <c r="B1889" s="24" t="s">
        <v>2971</v>
      </c>
      <c r="C1889" s="25">
        <v>7887.4</v>
      </c>
      <c r="D1889" s="22" t="s">
        <v>2972</v>
      </c>
      <c r="E1889" s="22" t="s">
        <v>53</v>
      </c>
      <c r="F1889" s="23" t="str">
        <f>HYPERLINK("https://www.spark-marketing.ru/Card/Lot/73203863", "Оказание услуг по охране с помощью кнопки экстренного вызова наряда сотрудников вневедомственной охраны ВНГ РФ из зданий, сооружений, помещений и экстренному выезду Группы задержания по сигналу ""Тревога"", поступившему из объекта на ПЦО, в кратчайше...")</f>
        <v>Оказание услуг по охране с помощью кнопки экстренного вызова наряда сотрудников вневедомственной охраны ВНГ РФ из зданий, сооружений, помещений и экстренному выезду Группы задержания по сигналу "Тревога", поступившему из объекта на ПЦО, в кратчайше...</v>
      </c>
      <c r="G1889" s="22" t="s">
        <v>64</v>
      </c>
      <c r="H1889" s="22" t="s">
        <v>2973</v>
      </c>
      <c r="I1889" s="26">
        <v>43711.709432870397</v>
      </c>
      <c r="J1889" s="28" t="s">
        <v>52</v>
      </c>
      <c r="K1889" s="28" t="s">
        <v>52</v>
      </c>
      <c r="L1889" s="28" t="s">
        <v>52</v>
      </c>
      <c r="M1889" s="28" t="s">
        <v>52</v>
      </c>
      <c r="N1889" s="28" t="s">
        <v>52</v>
      </c>
    </row>
    <row r="1890" spans="1:14" x14ac:dyDescent="0.15">
      <c r="A1890" s="23" t="str">
        <f>HYPERLINK("https://www.spark-marketing.ru/Card/Person/283255", "МЕЖРАЙОННАЯ ИФНС РОССИИ № 1 ПО НИЖЕГОРОДСКОЙ ОБЛАСТИ")</f>
        <v>МЕЖРАЙОННАЯ ИФНС РОССИИ № 1 ПО НИЖЕГОРОДСКОЙ ОБЛАСТИ</v>
      </c>
      <c r="B1890" s="24" t="s">
        <v>2971</v>
      </c>
      <c r="C1890" s="25">
        <v>34718.959999999999</v>
      </c>
      <c r="D1890" s="22" t="s">
        <v>2974</v>
      </c>
      <c r="E1890" s="22" t="s">
        <v>53</v>
      </c>
      <c r="F1890" s="23" t="str">
        <f>HYPERLINK("https://www.spark-marketing.ru/Card/Lot/73206833", "Охранные услуги в зданиях, помещениях налоговых органов, оборудованных действующим комплексом технических средств охраны, передаваемых под охрану на ПЦН.")</f>
        <v>Охранные услуги в зданиях, помещениях налоговых органов, оборудованных действующим комплексом технических средств охраны, передаваемых под охрану на ПЦН.</v>
      </c>
      <c r="G1890" s="22" t="s">
        <v>64</v>
      </c>
      <c r="H1890" s="22" t="s">
        <v>2973</v>
      </c>
      <c r="I1890" s="26">
        <v>43711.721435185202</v>
      </c>
      <c r="J1890" s="28" t="s">
        <v>52</v>
      </c>
      <c r="K1890" s="28" t="s">
        <v>52</v>
      </c>
      <c r="L1890" s="28" t="s">
        <v>52</v>
      </c>
      <c r="M1890" s="28" t="s">
        <v>52</v>
      </c>
      <c r="N1890" s="28" t="s">
        <v>52</v>
      </c>
    </row>
    <row r="1891" spans="1:14" x14ac:dyDescent="0.15">
      <c r="A1891" s="23" t="str">
        <f>HYPERLINK("https://www.spark-marketing.ru/Card/Person/18481", "ФГУП ""РОСРАО""")</f>
        <v>ФГУП "РОСРАО"</v>
      </c>
      <c r="B1891" s="24" t="s">
        <v>1615</v>
      </c>
      <c r="C1891" s="25">
        <v>48161772.229999997</v>
      </c>
      <c r="D1891" s="22" t="s">
        <v>2975</v>
      </c>
      <c r="E1891" s="22" t="s">
        <v>1013</v>
      </c>
      <c r="F1891" s="23" t="str">
        <f>HYPERLINK("https://www.spark-marketing.ru/Card/Lot/73207328", "Оказание услуг по охране объектов Самарского отделения филиала «Приволжский территориальный округ» ФГУП «РосРАО»")</f>
        <v>Оказание услуг по охране объектов Самарского отделения филиала «Приволжский территориальный округ» ФГУП «РосРАО»</v>
      </c>
      <c r="G1891" s="22" t="s">
        <v>760</v>
      </c>
      <c r="H1891" s="22" t="s">
        <v>1709</v>
      </c>
      <c r="I1891" s="26">
        <v>43711.731249999997</v>
      </c>
      <c r="J1891" s="23" t="str">
        <f>HYPERLINK("https://www.spark-marketing.ru/Card/Person/6616557", "ФЛ ФГУП ОХРАНА ФЕДЕРАЛЬНОЙ СЛУЖБЫ ВОЙСК НАЦИОНАЛЬНОЙ ГВАРДИИ РФ ПО САМАРСКОЙ ОБЛ")</f>
        <v>ФЛ ФГУП ОХРАНА ФЕДЕРАЛЬНОЙ СЛУЖБЫ ВОЙСК НАЦИОНАЛЬНОЙ ГВАРДИИ РФ ПО САМАРСКОЙ ОБЛ</v>
      </c>
      <c r="K1891" s="24" t="s">
        <v>779</v>
      </c>
      <c r="L1891" s="28" t="s">
        <v>52</v>
      </c>
      <c r="M1891" s="28" t="s">
        <v>52</v>
      </c>
      <c r="N1891" s="28" t="s">
        <v>52</v>
      </c>
    </row>
    <row r="1892" spans="1:14" x14ac:dyDescent="0.15">
      <c r="A1892" s="23" t="str">
        <f>HYPERLINK("https://www.spark-marketing.ru/Card/Person/283255", "МЕЖРАЙОННАЯ ИФНС РОССИИ № 1 ПО НИЖЕГОРОДСКОЙ ОБЛАСТИ")</f>
        <v>МЕЖРАЙОННАЯ ИФНС РОССИИ № 1 ПО НИЖЕГОРОДСКОЙ ОБЛАСТИ</v>
      </c>
      <c r="B1892" s="24" t="s">
        <v>2971</v>
      </c>
      <c r="C1892" s="25">
        <v>26040.76</v>
      </c>
      <c r="D1892" s="22" t="s">
        <v>2976</v>
      </c>
      <c r="E1892" s="22" t="s">
        <v>53</v>
      </c>
      <c r="F1892" s="23" t="str">
        <f>HYPERLINK("https://www.spark-marketing.ru/Card/Lot/73203823", "Охрана имущества при помощи средств охранной сигнализации, выдающих по каналам связи информацию на системы ЦНПО, от несанкционированного проникновения лиц в охраняемое помещение, оборудованные средствами охранной сигнализации и подключенных к ПЦО.")</f>
        <v>Охрана имущества при помощи средств охранной сигнализации, выдающих по каналам связи информацию на системы ЦНПО, от несанкционированного проникновения лиц в охраняемое помещение, оборудованные средствами охранной сигнализации и подключенных к ПЦО.</v>
      </c>
      <c r="G1892" s="22" t="s">
        <v>64</v>
      </c>
      <c r="H1892" s="22" t="s">
        <v>2973</v>
      </c>
      <c r="I1892" s="26">
        <v>43711.701967592599</v>
      </c>
      <c r="J1892" s="28" t="s">
        <v>52</v>
      </c>
      <c r="K1892" s="28" t="s">
        <v>52</v>
      </c>
      <c r="L1892" s="28" t="s">
        <v>52</v>
      </c>
      <c r="M1892" s="28" t="s">
        <v>52</v>
      </c>
      <c r="N1892" s="28" t="s">
        <v>52</v>
      </c>
    </row>
    <row r="1893" spans="1:14" x14ac:dyDescent="0.15">
      <c r="A1893" s="23" t="str">
        <f>HYPERLINK("https://www.spark-marketing.ru/Card/Person/58936", "МБДОУ Д/С № 33")</f>
        <v>МБДОУ Д/С № 33</v>
      </c>
      <c r="B1893" s="24" t="s">
        <v>2977</v>
      </c>
      <c r="C1893" s="25">
        <v>90000</v>
      </c>
      <c r="D1893" s="22" t="s">
        <v>2978</v>
      </c>
      <c r="E1893" s="22" t="s">
        <v>294</v>
      </c>
      <c r="F1893" s="23" t="str">
        <f>HYPERLINK("https://www.spark-marketing.ru/Card/Lot/73202711", "Оказание услуг в 2019 году по техническому обслуживанию системы видеонаблюдения для нужд МБДОУ Д/с № 33")</f>
        <v>Оказание услуг в 2019 году по техническому обслуживанию системы видеонаблюдения для нужд МБДОУ Д/с № 33</v>
      </c>
      <c r="G1893" s="22" t="s">
        <v>50</v>
      </c>
      <c r="H1893" s="22" t="s">
        <v>938</v>
      </c>
      <c r="I1893" s="26">
        <v>43711.638414351903</v>
      </c>
      <c r="J1893" s="28" t="s">
        <v>52</v>
      </c>
      <c r="K1893" s="28" t="s">
        <v>52</v>
      </c>
      <c r="L1893" s="28" t="s">
        <v>52</v>
      </c>
      <c r="M1893" s="28" t="s">
        <v>52</v>
      </c>
      <c r="N1893" s="28" t="s">
        <v>52</v>
      </c>
    </row>
    <row r="1894" spans="1:14" x14ac:dyDescent="0.15">
      <c r="A1894" s="23" t="str">
        <f>HYPERLINK("https://www.spark-marketing.ru/Card/Person/663912", "ООО ""ВОСТОКГЕОЛОГИЯ""")</f>
        <v>ООО "ВОСТОКГЕОЛОГИЯ"</v>
      </c>
      <c r="B1894" s="24" t="s">
        <v>2979</v>
      </c>
      <c r="C1894" s="28" t="s">
        <v>52</v>
      </c>
      <c r="D1894" s="22" t="s">
        <v>2980</v>
      </c>
      <c r="E1894" s="22" t="s">
        <v>501</v>
      </c>
      <c r="F1894" s="23" t="str">
        <f>HYPERLINK("https://www.spark-marketing.ru/Card/Lot/73405853", "Лот №264 - Поставка спортивного инвентаря для общежития охраны на объекте строительства ""Вахтовый поселок""")</f>
        <v>Лот №264 - Поставка спортивного инвентаря для общежития охраны на объекте строительства "Вахтовый поселок"</v>
      </c>
      <c r="G1894" s="22" t="s">
        <v>473</v>
      </c>
      <c r="H1894" s="22" t="s">
        <v>476</v>
      </c>
      <c r="I1894" s="26">
        <v>43711.332627314798</v>
      </c>
      <c r="J1894" s="28" t="s">
        <v>52</v>
      </c>
      <c r="K1894" s="28" t="s">
        <v>52</v>
      </c>
      <c r="L1894" s="28" t="s">
        <v>52</v>
      </c>
      <c r="M1894" s="28" t="s">
        <v>52</v>
      </c>
      <c r="N1894" s="28" t="s">
        <v>52</v>
      </c>
    </row>
    <row r="1895" spans="1:14" x14ac:dyDescent="0.15">
      <c r="A1895" s="23" t="str">
        <f t="shared" ref="A1895:A1902" si="77">HYPERLINK("https://www.spark-marketing.ru/Card/Person/30293", "КГБУЗ ""ПЕРИНАТАЛЬНЫЙ ЦЕНТР""")</f>
        <v>КГБУЗ "ПЕРИНАТАЛЬНЫЙ ЦЕНТР"</v>
      </c>
      <c r="B1895" s="24" t="s">
        <v>2981</v>
      </c>
      <c r="C1895" s="25">
        <v>288000</v>
      </c>
      <c r="D1895" s="22" t="s">
        <v>2982</v>
      </c>
      <c r="E1895" s="22" t="s">
        <v>103</v>
      </c>
      <c r="F1895" s="23" t="str">
        <f t="shared" ref="F1895:F1902" si="78">HYPERLINK("https://www.spark-marketing.ru/Card/Lot/73197571", "Оказание услуг по техническому обслуживанию системы видеонаблюдения")</f>
        <v>Оказание услуг по техническому обслуживанию системы видеонаблюдения</v>
      </c>
      <c r="G1895" s="22" t="s">
        <v>138</v>
      </c>
      <c r="H1895" s="22" t="s">
        <v>255</v>
      </c>
      <c r="I1895" s="26">
        <v>43711.625694444403</v>
      </c>
      <c r="J1895" s="28" t="s">
        <v>52</v>
      </c>
      <c r="K1895" s="28" t="s">
        <v>52</v>
      </c>
      <c r="L1895" s="28" t="s">
        <v>52</v>
      </c>
      <c r="M1895" s="28" t="s">
        <v>52</v>
      </c>
      <c r="N1895" s="28" t="s">
        <v>52</v>
      </c>
    </row>
    <row r="1896" spans="1:14" hidden="1" outlineLevel="1" x14ac:dyDescent="0.2">
      <c r="A1896" s="23" t="str">
        <f t="shared" si="77"/>
        <v>КГБУЗ "ПЕРИНАТАЛЬНЫЙ ЦЕНТР"</v>
      </c>
      <c r="B1896" s="24" t="s">
        <v>2981</v>
      </c>
      <c r="C1896" s="25">
        <v>288000</v>
      </c>
      <c r="D1896" s="22" t="s">
        <v>2982</v>
      </c>
      <c r="E1896" s="22" t="s">
        <v>103</v>
      </c>
      <c r="F1896" s="23" t="str">
        <f t="shared" si="78"/>
        <v>Оказание услуг по техническому обслуживанию системы видеонаблюдения</v>
      </c>
      <c r="G1896" s="22" t="s">
        <v>138</v>
      </c>
      <c r="H1896" s="22" t="s">
        <v>255</v>
      </c>
      <c r="I1896" s="26">
        <v>43711.625694444403</v>
      </c>
      <c r="J1896" s="23" t="str">
        <f>HYPERLINK("https://www.spark-marketing.ru/Card/Person/482313", "Менжицкий Игорь Леонидович")</f>
        <v>Менжицкий Игорь Леонидович</v>
      </c>
      <c r="K1896" s="24" t="s">
        <v>2983</v>
      </c>
      <c r="L1896" s="28" t="s">
        <v>52</v>
      </c>
      <c r="M1896" s="25">
        <v>112800</v>
      </c>
      <c r="N1896" s="27">
        <v>0.60833333333333328</v>
      </c>
    </row>
    <row r="1897" spans="1:14" ht="12.75" hidden="1" outlineLevel="1" x14ac:dyDescent="0.2">
      <c r="A1897" s="23" t="str">
        <f t="shared" si="77"/>
        <v>КГБУЗ "ПЕРИНАТАЛЬНЫЙ ЦЕНТР"</v>
      </c>
      <c r="B1897" s="24" t="s">
        <v>2981</v>
      </c>
      <c r="C1897" s="25">
        <v>288000</v>
      </c>
      <c r="D1897" s="22" t="s">
        <v>2982</v>
      </c>
      <c r="E1897" s="22" t="s">
        <v>103</v>
      </c>
      <c r="F1897" s="23" t="str">
        <f t="shared" si="78"/>
        <v>Оказание услуг по техническому обслуживанию системы видеонаблюдения</v>
      </c>
      <c r="G1897" s="22" t="s">
        <v>138</v>
      </c>
      <c r="H1897" s="22" t="s">
        <v>255</v>
      </c>
      <c r="I1897" s="26">
        <v>43711.625694444403</v>
      </c>
      <c r="J1897" s="23" t="str">
        <f>HYPERLINK("https://www.spark-marketing.ru/Card/Person/190384", "ООО ""ТСК "" АЗИМУТ""")</f>
        <v>ООО "ТСК " АЗИМУТ"</v>
      </c>
      <c r="K1897" s="24" t="s">
        <v>2697</v>
      </c>
      <c r="L1897" s="22" t="s">
        <v>10</v>
      </c>
      <c r="M1897" s="25">
        <v>95950.95</v>
      </c>
      <c r="N1897" s="27">
        <v>0.66683697916666662</v>
      </c>
    </row>
    <row r="1898" spans="1:14" hidden="1" outlineLevel="1" x14ac:dyDescent="0.2">
      <c r="A1898" s="23" t="str">
        <f t="shared" si="77"/>
        <v>КГБУЗ "ПЕРИНАТАЛЬНЫЙ ЦЕНТР"</v>
      </c>
      <c r="B1898" s="24" t="s">
        <v>2981</v>
      </c>
      <c r="C1898" s="25">
        <v>288000</v>
      </c>
      <c r="D1898" s="22" t="s">
        <v>2982</v>
      </c>
      <c r="E1898" s="22" t="s">
        <v>103</v>
      </c>
      <c r="F1898" s="23" t="str">
        <f t="shared" si="78"/>
        <v>Оказание услуг по техническому обслуживанию системы видеонаблюдения</v>
      </c>
      <c r="G1898" s="22" t="s">
        <v>138</v>
      </c>
      <c r="H1898" s="22" t="s">
        <v>255</v>
      </c>
      <c r="I1898" s="26">
        <v>43711.625694444403</v>
      </c>
      <c r="J1898" s="23" t="str">
        <f>HYPERLINK("https://www.spark-marketing.ru/Card/Person/2595628", "ООО ""ЧОО ""ГАРТ""")</f>
        <v>ООО "ЧОО "ГАРТ"</v>
      </c>
      <c r="K1898" s="24" t="s">
        <v>2984</v>
      </c>
      <c r="L1898" s="28" t="s">
        <v>52</v>
      </c>
      <c r="M1898" s="25">
        <v>273600</v>
      </c>
      <c r="N1898" s="27">
        <v>0.05</v>
      </c>
    </row>
    <row r="1899" spans="1:14" hidden="1" outlineLevel="1" x14ac:dyDescent="0.2">
      <c r="A1899" s="23" t="str">
        <f t="shared" si="77"/>
        <v>КГБУЗ "ПЕРИНАТАЛЬНЫЙ ЦЕНТР"</v>
      </c>
      <c r="B1899" s="24" t="s">
        <v>2981</v>
      </c>
      <c r="C1899" s="25">
        <v>288000</v>
      </c>
      <c r="D1899" s="22" t="s">
        <v>2982</v>
      </c>
      <c r="E1899" s="22" t="s">
        <v>103</v>
      </c>
      <c r="F1899" s="23" t="str">
        <f t="shared" si="78"/>
        <v>Оказание услуг по техническому обслуживанию системы видеонаблюдения</v>
      </c>
      <c r="G1899" s="22" t="s">
        <v>138</v>
      </c>
      <c r="H1899" s="22" t="s">
        <v>255</v>
      </c>
      <c r="I1899" s="26">
        <v>43711.625694444403</v>
      </c>
      <c r="J1899" s="23" t="str">
        <f>HYPERLINK("https://www.spark-marketing.ru/Card/Person/119276", "ООО ""ФИРМА 2К""")</f>
        <v>ООО "ФИРМА 2К"</v>
      </c>
      <c r="K1899" s="24" t="s">
        <v>2985</v>
      </c>
      <c r="L1899" s="28" t="s">
        <v>52</v>
      </c>
      <c r="M1899" s="25">
        <v>158400</v>
      </c>
      <c r="N1899" s="27">
        <v>0.45</v>
      </c>
    </row>
    <row r="1900" spans="1:14" hidden="1" outlineLevel="1" x14ac:dyDescent="0.2">
      <c r="A1900" s="23" t="str">
        <f t="shared" si="77"/>
        <v>КГБУЗ "ПЕРИНАТАЛЬНЫЙ ЦЕНТР"</v>
      </c>
      <c r="B1900" s="24" t="s">
        <v>2981</v>
      </c>
      <c r="C1900" s="25">
        <v>288000</v>
      </c>
      <c r="D1900" s="22" t="s">
        <v>2982</v>
      </c>
      <c r="E1900" s="22" t="s">
        <v>103</v>
      </c>
      <c r="F1900" s="23" t="str">
        <f t="shared" si="78"/>
        <v>Оказание услуг по техническому обслуживанию системы видеонаблюдения</v>
      </c>
      <c r="G1900" s="22" t="s">
        <v>138</v>
      </c>
      <c r="H1900" s="22" t="s">
        <v>255</v>
      </c>
      <c r="I1900" s="26">
        <v>43711.625694444403</v>
      </c>
      <c r="J1900" s="23" t="str">
        <f>HYPERLINK("https://www.spark-marketing.ru/Card/Person/6400869", "ООО ""СТРОЙБЫТ.К""")</f>
        <v>ООО "СТРОЙБЫТ.К"</v>
      </c>
      <c r="K1900" s="24" t="s">
        <v>2986</v>
      </c>
      <c r="L1900" s="28" t="s">
        <v>52</v>
      </c>
      <c r="M1900" s="25">
        <v>270720</v>
      </c>
      <c r="N1900" s="27">
        <v>0.06</v>
      </c>
    </row>
    <row r="1901" spans="1:14" hidden="1" outlineLevel="1" x14ac:dyDescent="0.2">
      <c r="A1901" s="23" t="str">
        <f t="shared" si="77"/>
        <v>КГБУЗ "ПЕРИНАТАЛЬНЫЙ ЦЕНТР"</v>
      </c>
      <c r="B1901" s="24" t="s">
        <v>2981</v>
      </c>
      <c r="C1901" s="25">
        <v>288000</v>
      </c>
      <c r="D1901" s="22" t="s">
        <v>2982</v>
      </c>
      <c r="E1901" s="22" t="s">
        <v>103</v>
      </c>
      <c r="F1901" s="23" t="str">
        <f t="shared" si="78"/>
        <v>Оказание услуг по техническому обслуживанию системы видеонаблюдения</v>
      </c>
      <c r="G1901" s="22" t="s">
        <v>138</v>
      </c>
      <c r="H1901" s="22" t="s">
        <v>255</v>
      </c>
      <c r="I1901" s="26">
        <v>43711.625694444403</v>
      </c>
      <c r="J1901" s="23" t="str">
        <f>HYPERLINK("https://www.spark-marketing.ru/Card/Person/153332", "ООО ""СПЕЦ ПЛЮС""")</f>
        <v>ООО "СПЕЦ ПЛЮС"</v>
      </c>
      <c r="K1901" s="24" t="s">
        <v>1651</v>
      </c>
      <c r="L1901" s="28" t="s">
        <v>52</v>
      </c>
      <c r="M1901" s="25">
        <v>123480</v>
      </c>
      <c r="N1901" s="27">
        <v>0.57125000000000004</v>
      </c>
    </row>
    <row r="1902" spans="1:14" hidden="1" outlineLevel="1" x14ac:dyDescent="0.2">
      <c r="A1902" s="23" t="str">
        <f t="shared" si="77"/>
        <v>КГБУЗ "ПЕРИНАТАЛЬНЫЙ ЦЕНТР"</v>
      </c>
      <c r="B1902" s="24" t="s">
        <v>2981</v>
      </c>
      <c r="C1902" s="25">
        <v>288000</v>
      </c>
      <c r="D1902" s="22" t="s">
        <v>2982</v>
      </c>
      <c r="E1902" s="22" t="s">
        <v>103</v>
      </c>
      <c r="F1902" s="23" t="str">
        <f t="shared" si="78"/>
        <v>Оказание услуг по техническому обслуживанию системы видеонаблюдения</v>
      </c>
      <c r="G1902" s="22" t="s">
        <v>138</v>
      </c>
      <c r="H1902" s="22" t="s">
        <v>255</v>
      </c>
      <c r="I1902" s="26">
        <v>43711.625694444403</v>
      </c>
      <c r="J1902" s="23" t="str">
        <f>HYPERLINK("https://www.spark-marketing.ru/Card/Person/470452", "ООО ""ЧОО ""ДОЗОР""")</f>
        <v>ООО "ЧОО "ДОЗОР"</v>
      </c>
      <c r="K1902" s="24" t="s">
        <v>2987</v>
      </c>
      <c r="L1902" s="28" t="s">
        <v>52</v>
      </c>
      <c r="M1902" s="25">
        <v>97560.99</v>
      </c>
      <c r="N1902" s="27">
        <v>0.66124656250000002</v>
      </c>
    </row>
    <row r="1903" spans="1:14" x14ac:dyDescent="0.15">
      <c r="A1903" s="23" t="str">
        <f>HYPERLINK("https://www.spark-marketing.ru/Card/Person/4860038", "Межрегиональный филиал ФКУ ""ЦОКР"" в г. Ростове-на-Дону")</f>
        <v>Межрегиональный филиал ФКУ "ЦОКР" в г. Ростове-на-Дону</v>
      </c>
      <c r="B1903" s="24" t="s">
        <v>962</v>
      </c>
      <c r="C1903" s="25">
        <v>33880</v>
      </c>
      <c r="D1903" s="22" t="s">
        <v>2988</v>
      </c>
      <c r="E1903" s="22" t="s">
        <v>103</v>
      </c>
      <c r="F1903" s="23" t="str">
        <f>HYPERLINK("https://www.spark-marketing.ru/Card/Lot/73202309", "Техническое обслуживание видеонаблюдения, 17 усл. ед")</f>
        <v>Техническое обслуживание видеонаблюдения, 17 усл. ед</v>
      </c>
      <c r="G1903" s="22" t="s">
        <v>402</v>
      </c>
      <c r="H1903" s="22" t="s">
        <v>402</v>
      </c>
      <c r="I1903" s="26">
        <v>43711.659699074102</v>
      </c>
      <c r="J1903" s="28" t="s">
        <v>52</v>
      </c>
      <c r="K1903" s="28" t="s">
        <v>52</v>
      </c>
      <c r="L1903" s="28" t="s">
        <v>52</v>
      </c>
      <c r="M1903" s="28" t="s">
        <v>52</v>
      </c>
      <c r="N1903" s="28" t="s">
        <v>52</v>
      </c>
    </row>
    <row r="1904" spans="1:14" x14ac:dyDescent="0.15">
      <c r="A1904" s="23" t="str">
        <f>HYPERLINK("https://www.spark-marketing.ru/Card/Person/92031", "ИФНС РОССИИ ПО КИРОВСКОМУ АДМИНИСТРАТИВНОМУ ОКРУГУ Г. ОМСКА")</f>
        <v>ИФНС РОССИИ ПО КИРОВСКОМУ АДМИНИСТРАТИВНОМУ ОКРУГУ Г. ОМСКА</v>
      </c>
      <c r="B1904" s="24" t="s">
        <v>2989</v>
      </c>
      <c r="C1904" s="25">
        <v>89460</v>
      </c>
      <c r="D1904" s="22" t="s">
        <v>2990</v>
      </c>
      <c r="E1904" s="22" t="s">
        <v>68</v>
      </c>
      <c r="F1904" s="23" t="str">
        <f>HYPERLINK("https://www.spark-marketing.ru/Card/Lot/73201037", "Услуги по осуществлению пропускного и внутриобъектового режимов и охраны административного здания, расположенного по адресу г. Омск, ул. Б.Катышева, д. 27 пом.1П")</f>
        <v>Услуги по осуществлению пропускного и внутриобъектового режимов и охраны административного здания, расположенного по адресу г. Омск, ул. Б.Катышева, д. 27 пом.1П</v>
      </c>
      <c r="G1904" s="22" t="s">
        <v>521</v>
      </c>
      <c r="H1904" s="22" t="s">
        <v>522</v>
      </c>
      <c r="I1904" s="26">
        <v>43711.724999999999</v>
      </c>
      <c r="J1904" s="28" t="s">
        <v>52</v>
      </c>
      <c r="K1904" s="28" t="s">
        <v>52</v>
      </c>
      <c r="L1904" s="28" t="s">
        <v>52</v>
      </c>
      <c r="M1904" s="28" t="s">
        <v>52</v>
      </c>
      <c r="N1904" s="28" t="s">
        <v>52</v>
      </c>
    </row>
    <row r="1905" spans="1:14" ht="12.75" hidden="1" outlineLevel="1" x14ac:dyDescent="0.2">
      <c r="A1905" s="23" t="str">
        <f>HYPERLINK("https://www.spark-marketing.ru/Card/Person/92031", "ИФНС РОССИИ ПО КИРОВСКОМУ АДМИНИСТРАТИВНОМУ ОКРУГУ Г. ОМСКА")</f>
        <v>ИФНС РОССИИ ПО КИРОВСКОМУ АДМИНИСТРАТИВНОМУ ОКРУГУ Г. ОМСКА</v>
      </c>
      <c r="B1905" s="24" t="s">
        <v>2989</v>
      </c>
      <c r="C1905" s="25">
        <v>89460</v>
      </c>
      <c r="D1905" s="22" t="s">
        <v>2990</v>
      </c>
      <c r="E1905" s="22" t="s">
        <v>68</v>
      </c>
      <c r="F1905" s="23" t="str">
        <f>HYPERLINK("https://www.spark-marketing.ru/Card/Lot/73201037", "Услуги по осуществлению пропускного и внутриобъектового режимов и охраны административного здания, расположенного по адресу г. Омск, ул. Б.Катышева, д. 27 пом.1П")</f>
        <v>Услуги по осуществлению пропускного и внутриобъектового режимов и охраны административного здания, расположенного по адресу г. Омск, ул. Б.Катышева, д. 27 пом.1П</v>
      </c>
      <c r="G1905" s="22" t="s">
        <v>521</v>
      </c>
      <c r="H1905" s="22" t="s">
        <v>522</v>
      </c>
      <c r="I1905" s="26">
        <v>43711.724999999999</v>
      </c>
      <c r="J1905" s="23" t="str">
        <f>HYPERLINK("https://www.spark-marketing.ru/Card/Person/4348074", "ООО ""ЧОП""ОХРАНА-2000""")</f>
        <v>ООО "ЧОП"ОХРАНА-2000"</v>
      </c>
      <c r="K1905" s="24" t="s">
        <v>2991</v>
      </c>
      <c r="L1905" s="22" t="s">
        <v>10</v>
      </c>
      <c r="M1905" s="25">
        <v>85200</v>
      </c>
      <c r="N1905" s="27">
        <v>4.7619047619047616E-2</v>
      </c>
    </row>
    <row r="1906" spans="1:14" hidden="1" outlineLevel="1" x14ac:dyDescent="0.2">
      <c r="A1906" s="23" t="str">
        <f>HYPERLINK("https://www.spark-marketing.ru/Card/Person/92031", "ИФНС РОССИИ ПО КИРОВСКОМУ АДМИНИСТРАТИВНОМУ ОКРУГУ Г. ОМСКА")</f>
        <v>ИФНС РОССИИ ПО КИРОВСКОМУ АДМИНИСТРАТИВНОМУ ОКРУГУ Г. ОМСКА</v>
      </c>
      <c r="B1906" s="24" t="s">
        <v>2989</v>
      </c>
      <c r="C1906" s="25">
        <v>89460</v>
      </c>
      <c r="D1906" s="22" t="s">
        <v>2990</v>
      </c>
      <c r="E1906" s="22" t="s">
        <v>68</v>
      </c>
      <c r="F1906" s="23" t="str">
        <f>HYPERLINK("https://www.spark-marketing.ru/Card/Lot/73201037", "Услуги по осуществлению пропускного и внутриобъектового режимов и охраны административного здания, расположенного по адресу г. Омск, ул. Б.Катышева, д. 27 пом.1П")</f>
        <v>Услуги по осуществлению пропускного и внутриобъектового режимов и охраны административного здания, расположенного по адресу г. Омск, ул. Б.Катышева, д. 27 пом.1П</v>
      </c>
      <c r="G1906" s="22" t="s">
        <v>521</v>
      </c>
      <c r="H1906" s="22" t="s">
        <v>522</v>
      </c>
      <c r="I1906" s="26">
        <v>43711.724999999999</v>
      </c>
      <c r="J1906" s="23" t="str">
        <f>HYPERLINK("https://www.spark-marketing.ru/Card/Person/87686", "ООО ОА ""ПЕРЕСВЕТ""")</f>
        <v>ООО ОА "ПЕРЕСВЕТ"</v>
      </c>
      <c r="K1906" s="24" t="s">
        <v>2992</v>
      </c>
      <c r="L1906" s="28" t="s">
        <v>52</v>
      </c>
      <c r="M1906" s="25">
        <v>89460</v>
      </c>
      <c r="N1906" s="27">
        <v>0</v>
      </c>
    </row>
    <row r="1907" spans="1:14" x14ac:dyDescent="0.15">
      <c r="A1907" s="23" t="str">
        <f>HYPERLINK("https://www.spark-marketing.ru/Card/Person/6217305", "АО ""НОВАВИНД""")</f>
        <v>АО "НОВАВИНД"</v>
      </c>
      <c r="B1907" s="24" t="s">
        <v>2993</v>
      </c>
      <c r="C1907" s="25">
        <v>0</v>
      </c>
      <c r="D1907" s="22" t="s">
        <v>2994</v>
      </c>
      <c r="E1907" s="22" t="s">
        <v>53</v>
      </c>
      <c r="F1907" s="23" t="str">
        <f>HYPERLINK("https://www.spark-marketing.ru/Card/Lot/73205267", "мониторинг цен в электронной форме на Оказание услуг по техобслуживанию технических средств охраны, систем контроля и управления доступом и видеонаблюдения")</f>
        <v>мониторинг цен в электронной форме на Оказание услуг по техобслуживанию технических средств охраны, систем контроля и управления доступом и видеонаблюдения</v>
      </c>
      <c r="G1907" s="22" t="s">
        <v>55</v>
      </c>
      <c r="H1907" s="22" t="s">
        <v>55</v>
      </c>
      <c r="I1907" s="26">
        <v>43711.578043981499</v>
      </c>
      <c r="J1907" s="28" t="s">
        <v>52</v>
      </c>
      <c r="K1907" s="28" t="s">
        <v>52</v>
      </c>
      <c r="L1907" s="28" t="s">
        <v>52</v>
      </c>
      <c r="M1907" s="28" t="s">
        <v>52</v>
      </c>
      <c r="N1907" s="28" t="s">
        <v>52</v>
      </c>
    </row>
    <row r="1908" spans="1:14" x14ac:dyDescent="0.15">
      <c r="A1908" s="23" t="str">
        <f>HYPERLINK("https://www.spark-marketing.ru/Card/Person/561", "УФССП РОССИИ ПО КУРГАНСКОЙ ОБЛАСТИ")</f>
        <v>УФССП РОССИИ ПО КУРГАНСКОЙ ОБЛАСТИ</v>
      </c>
      <c r="B1908" s="24" t="s">
        <v>1506</v>
      </c>
      <c r="C1908" s="25">
        <v>1885</v>
      </c>
      <c r="D1908" s="22" t="s">
        <v>2995</v>
      </c>
      <c r="E1908" s="22" t="s">
        <v>84</v>
      </c>
      <c r="F1908" s="23" t="str">
        <f>HYPERLINK("https://www.spark-marketing.ru/Card/Lot/73194931", "Техническое обслуживание систем видеонаблюдения, 1 шт")</f>
        <v>Техническое обслуживание систем видеонаблюдения, 1 шт</v>
      </c>
      <c r="G1908" s="22" t="s">
        <v>626</v>
      </c>
      <c r="H1908" s="22" t="s">
        <v>1508</v>
      </c>
      <c r="I1908" s="26">
        <v>43711.509421296301</v>
      </c>
      <c r="J1908" s="28" t="s">
        <v>52</v>
      </c>
      <c r="K1908" s="28" t="s">
        <v>52</v>
      </c>
      <c r="L1908" s="28" t="s">
        <v>52</v>
      </c>
      <c r="M1908" s="28" t="s">
        <v>52</v>
      </c>
      <c r="N1908" s="28" t="s">
        <v>52</v>
      </c>
    </row>
    <row r="1909" spans="1:14" x14ac:dyDescent="0.15">
      <c r="A1909" s="23" t="str">
        <f>HYPERLINK("https://www.spark-marketing.ru/Card/Person/283255", "МЕЖРАЙОННАЯ ИФНС РОССИИ № 1 ПО НИЖЕГОРОДСКОЙ ОБЛАСТИ")</f>
        <v>МЕЖРАЙОННАЯ ИФНС РОССИИ № 1 ПО НИЖЕГОРОДСКОЙ ОБЛАСТИ</v>
      </c>
      <c r="B1909" s="24" t="s">
        <v>2971</v>
      </c>
      <c r="C1909" s="25">
        <v>13952.4</v>
      </c>
      <c r="D1909" s="22" t="s">
        <v>2996</v>
      </c>
      <c r="E1909" s="22" t="s">
        <v>53</v>
      </c>
      <c r="F1909" s="23" t="str">
        <f>HYPERLINK("https://www.spark-marketing.ru/Card/Lot/73194776", "Охрана имущества при помощи средств охранной сигнализации, выдающих по каналам связи информацию на системы ЦНП охраны, от несанкционированного проникновения лиц в охраняемые помещения, оборудованные средствами охранной сигнализации.")</f>
        <v>Охрана имущества при помощи средств охранной сигнализации, выдающих по каналам связи информацию на системы ЦНП охраны, от несанкционированного проникновения лиц в охраняемые помещения, оборудованные средствами охранной сигнализации.</v>
      </c>
      <c r="G1909" s="22" t="s">
        <v>64</v>
      </c>
      <c r="H1909" s="22" t="s">
        <v>2973</v>
      </c>
      <c r="I1909" s="26">
        <v>43711.500034722201</v>
      </c>
      <c r="J1909" s="28" t="s">
        <v>52</v>
      </c>
      <c r="K1909" s="28" t="s">
        <v>52</v>
      </c>
      <c r="L1909" s="28" t="s">
        <v>52</v>
      </c>
      <c r="M1909" s="28" t="s">
        <v>52</v>
      </c>
      <c r="N1909" s="28" t="s">
        <v>52</v>
      </c>
    </row>
    <row r="1910" spans="1:14" x14ac:dyDescent="0.15">
      <c r="A1910" s="23" t="str">
        <f>HYPERLINK("https://www.spark-marketing.ru/Card/Person/48504", "МВД ПО РЕСПУБЛИКЕ АЛТАЙ")</f>
        <v>МВД ПО РЕСПУБЛИКЕ АЛТАЙ</v>
      </c>
      <c r="B1910" s="24" t="s">
        <v>2997</v>
      </c>
      <c r="C1910" s="25">
        <v>1373730</v>
      </c>
      <c r="D1910" s="22" t="s">
        <v>2998</v>
      </c>
      <c r="E1910" s="22" t="s">
        <v>2999</v>
      </c>
      <c r="F1910" s="23" t="str">
        <f>HYPERLINK("https://www.spark-marketing.ru/Card/Lot/73194052", "Техническое обслуживание комплекса  технических средств охраны")</f>
        <v>Техническое обслуживание комплекса  технических средств охраны</v>
      </c>
      <c r="G1910" s="22" t="s">
        <v>3000</v>
      </c>
      <c r="H1910" s="22" t="s">
        <v>3001</v>
      </c>
      <c r="I1910" s="26">
        <v>43711.443055555603</v>
      </c>
      <c r="J1910" s="28" t="s">
        <v>52</v>
      </c>
      <c r="K1910" s="28" t="s">
        <v>52</v>
      </c>
      <c r="L1910" s="28" t="s">
        <v>52</v>
      </c>
      <c r="M1910" s="28" t="s">
        <v>52</v>
      </c>
      <c r="N1910" s="28" t="s">
        <v>52</v>
      </c>
    </row>
    <row r="1911" spans="1:14" hidden="1" outlineLevel="1" x14ac:dyDescent="0.2">
      <c r="A1911" s="23" t="str">
        <f>HYPERLINK("https://www.spark-marketing.ru/Card/Person/48504", "МВД ПО РЕСПУБЛИКЕ АЛТАЙ")</f>
        <v>МВД ПО РЕСПУБЛИКЕ АЛТАЙ</v>
      </c>
      <c r="B1911" s="24" t="s">
        <v>2997</v>
      </c>
      <c r="C1911" s="25">
        <v>1373730</v>
      </c>
      <c r="D1911" s="22" t="s">
        <v>2998</v>
      </c>
      <c r="E1911" s="22" t="s">
        <v>2999</v>
      </c>
      <c r="F1911" s="23" t="str">
        <f>HYPERLINK("https://www.spark-marketing.ru/Card/Lot/73194052", "Техническое обслуживание комплекса  технических средств охраны")</f>
        <v>Техническое обслуживание комплекса  технических средств охраны</v>
      </c>
      <c r="G1911" s="22" t="s">
        <v>3000</v>
      </c>
      <c r="H1911" s="22" t="s">
        <v>3001</v>
      </c>
      <c r="I1911" s="26">
        <v>43711.443055555603</v>
      </c>
      <c r="J1911" s="23" t="str">
        <f>HYPERLINK("https://www.spark-marketing.ru/Card/Person/4536787", "ФИЛИАЛ ФГУП ""ОХРАНА"" РОСГВАРДИИ ПО РЕСПУБЛИКЕ АЛТАЙ")</f>
        <v>ФИЛИАЛ ФГУП "ОХРАНА" РОСГВАРДИИ ПО РЕСПУБЛИКЕ АЛТАЙ</v>
      </c>
      <c r="K1911" s="24" t="s">
        <v>779</v>
      </c>
      <c r="L1911" s="28" t="s">
        <v>52</v>
      </c>
      <c r="M1911" s="25">
        <v>810500.7</v>
      </c>
      <c r="N1911" s="27">
        <v>0.41</v>
      </c>
    </row>
    <row r="1912" spans="1:14" ht="12.75" hidden="1" outlineLevel="1" x14ac:dyDescent="0.2">
      <c r="A1912" s="23" t="str">
        <f>HYPERLINK("https://www.spark-marketing.ru/Card/Person/48504", "МВД ПО РЕСПУБЛИКЕ АЛТАЙ")</f>
        <v>МВД ПО РЕСПУБЛИКЕ АЛТАЙ</v>
      </c>
      <c r="B1912" s="24" t="s">
        <v>2997</v>
      </c>
      <c r="C1912" s="25">
        <v>1373730</v>
      </c>
      <c r="D1912" s="22" t="s">
        <v>2998</v>
      </c>
      <c r="E1912" s="22" t="s">
        <v>2999</v>
      </c>
      <c r="F1912" s="23" t="str">
        <f>HYPERLINK("https://www.spark-marketing.ru/Card/Lot/73194052", "Техническое обслуживание комплекса  технических средств охраны")</f>
        <v>Техническое обслуживание комплекса  технических средств охраны</v>
      </c>
      <c r="G1912" s="22" t="s">
        <v>3000</v>
      </c>
      <c r="H1912" s="22" t="s">
        <v>3001</v>
      </c>
      <c r="I1912" s="26">
        <v>43711.443055555603</v>
      </c>
      <c r="J1912" s="23" t="str">
        <f>HYPERLINK("https://www.spark-marketing.ru/Card/Person/199010", "ООО ""ТЕХНИК-СЕРВИС""")</f>
        <v>ООО "ТЕХНИК-СЕРВИС"</v>
      </c>
      <c r="K1912" s="24" t="s">
        <v>3002</v>
      </c>
      <c r="L1912" s="22" t="s">
        <v>10</v>
      </c>
      <c r="M1912" s="25">
        <v>803632.05</v>
      </c>
      <c r="N1912" s="27">
        <v>0.41499999999999998</v>
      </c>
    </row>
    <row r="1913" spans="1:14" x14ac:dyDescent="0.15">
      <c r="A1913" s="23" t="str">
        <f>HYPERLINK("https://www.spark-marketing.ru/Card/Person/158739", "МЕЖРАЙОННАЯ ИФНС РОССИИ № 2 ПО РЕСПУБЛИКЕ МАРИЙ ЭЛ")</f>
        <v>МЕЖРАЙОННАЯ ИФНС РОССИИ № 2 ПО РЕСПУБЛИКЕ МАРИЙ ЭЛ</v>
      </c>
      <c r="B1913" s="24" t="s">
        <v>3003</v>
      </c>
      <c r="C1913" s="25">
        <v>30990.560000000001</v>
      </c>
      <c r="D1913" s="22" t="s">
        <v>3004</v>
      </c>
      <c r="E1913" s="22" t="s">
        <v>53</v>
      </c>
      <c r="F1913" s="23" t="str">
        <f>HYPERLINK("https://www.spark-marketing.ru/Card/Lot/73192449", "Оказание услуг централизованной охраны объектов")</f>
        <v>Оказание услуг централизованной охраны объектов</v>
      </c>
      <c r="G1913" s="22" t="s">
        <v>2514</v>
      </c>
      <c r="H1913" s="22" t="s">
        <v>3005</v>
      </c>
      <c r="I1913" s="26">
        <v>43711.420648148101</v>
      </c>
      <c r="J1913" s="28" t="s">
        <v>52</v>
      </c>
      <c r="K1913" s="28" t="s">
        <v>52</v>
      </c>
      <c r="L1913" s="28" t="s">
        <v>52</v>
      </c>
      <c r="M1913" s="28" t="s">
        <v>52</v>
      </c>
      <c r="N1913" s="28" t="s">
        <v>52</v>
      </c>
    </row>
    <row r="1914" spans="1:14" x14ac:dyDescent="0.15">
      <c r="A1914" s="23" t="str">
        <f>HYPERLINK("https://www.spark-marketing.ru/Card/Person/37528", "УСД В РЕСПУБЛИКЕ КАЛМЫКИЯ")</f>
        <v>УСД В РЕСПУБЛИКЕ КАЛМЫКИЯ</v>
      </c>
      <c r="B1914" s="24" t="s">
        <v>3006</v>
      </c>
      <c r="C1914" s="25">
        <v>2659350</v>
      </c>
      <c r="D1914" s="22" t="s">
        <v>3007</v>
      </c>
      <c r="E1914" s="22" t="s">
        <v>68</v>
      </c>
      <c r="F1914" s="23" t="str">
        <f>HYPERLINK("https://www.spark-marketing.ru/Card/Lot/73195726", "Оказание услуг по обеспечению государственной охраны административных зданий районных судов Республики Калмыкия с прилегающими территориями к ним")</f>
        <v>Оказание услуг по обеспечению государственной охраны административных зданий районных судов Республики Калмыкия с прилегающими территориями к ним</v>
      </c>
      <c r="G1914" s="22" t="s">
        <v>1325</v>
      </c>
      <c r="H1914" s="22" t="s">
        <v>1325</v>
      </c>
      <c r="I1914" s="26">
        <v>43711.429861111101</v>
      </c>
      <c r="J1914" s="23" t="str">
        <f>HYPERLINK("https://www.spark-marketing.ru/Card/Person/1124438", "ФЛ ФГУП ""Охрана"" Росгвардии по Республике Калмыкия")</f>
        <v>ФЛ ФГУП "Охрана" Росгвардии по Республике Калмыкия</v>
      </c>
      <c r="K1914" s="24" t="s">
        <v>779</v>
      </c>
      <c r="L1914" s="22" t="s">
        <v>10</v>
      </c>
      <c r="M1914" s="28" t="s">
        <v>52</v>
      </c>
      <c r="N1914" s="28" t="s">
        <v>52</v>
      </c>
    </row>
    <row r="1915" spans="1:14" x14ac:dyDescent="0.15">
      <c r="A1915" s="23" t="str">
        <f>HYPERLINK("https://www.spark-marketing.ru/Card/Person/1867919", "ООО ""РН-РЕМОНТ НПО""")</f>
        <v>ООО "РН-РЕМОНТ НПО"</v>
      </c>
      <c r="B1915" s="24" t="s">
        <v>3008</v>
      </c>
      <c r="C1915" s="28" t="s">
        <v>52</v>
      </c>
      <c r="D1915" s="22" t="s">
        <v>3009</v>
      </c>
      <c r="E1915" s="22" t="s">
        <v>363</v>
      </c>
      <c r="F1915" s="23" t="str">
        <f>HYPERLINK("https://www.spark-marketing.ru/Card/Lot/73192714", "Оказание охранных услуг")</f>
        <v>Оказание охранных услуг</v>
      </c>
      <c r="G1915" s="22" t="s">
        <v>760</v>
      </c>
      <c r="H1915" s="22" t="s">
        <v>3010</v>
      </c>
      <c r="I1915" s="26">
        <v>43711.420833333301</v>
      </c>
      <c r="J1915" s="28" t="s">
        <v>52</v>
      </c>
      <c r="K1915" s="28" t="s">
        <v>52</v>
      </c>
      <c r="L1915" s="28" t="s">
        <v>52</v>
      </c>
      <c r="M1915" s="28" t="s">
        <v>52</v>
      </c>
      <c r="N1915" s="28" t="s">
        <v>52</v>
      </c>
    </row>
    <row r="1916" spans="1:14" x14ac:dyDescent="0.15">
      <c r="A1916" s="23" t="str">
        <f>HYPERLINK("https://www.spark-marketing.ru/Card/Person/1079669", "МБОУ ""ХАТУНСКАЯ СОШ""")</f>
        <v>МБОУ "ХАТУНСКАЯ СОШ"</v>
      </c>
      <c r="B1916" s="24" t="s">
        <v>3011</v>
      </c>
      <c r="C1916" s="25">
        <v>18000</v>
      </c>
      <c r="D1916" s="22" t="s">
        <v>3012</v>
      </c>
      <c r="E1916" s="22" t="s">
        <v>103</v>
      </c>
      <c r="F1916" s="23" t="str">
        <f>HYPERLINK("https://www.spark-marketing.ru/Card/Lot/73192943", "ТО систем видеонаблюдения")</f>
        <v>ТО систем видеонаблюдения</v>
      </c>
      <c r="G1916" s="22" t="s">
        <v>50</v>
      </c>
      <c r="H1916" s="22" t="s">
        <v>1880</v>
      </c>
      <c r="I1916" s="26">
        <v>43711.440983796303</v>
      </c>
      <c r="J1916" s="28" t="s">
        <v>52</v>
      </c>
      <c r="K1916" s="28" t="s">
        <v>52</v>
      </c>
      <c r="L1916" s="28" t="s">
        <v>52</v>
      </c>
      <c r="M1916" s="28" t="s">
        <v>52</v>
      </c>
      <c r="N1916" s="28" t="s">
        <v>52</v>
      </c>
    </row>
    <row r="1917" spans="1:14" x14ac:dyDescent="0.15">
      <c r="A1917" s="23" t="str">
        <f>HYPERLINK("https://www.spark-marketing.ru/Card/Person/1218", "ГСУ СК РОССИИ ПО Г. МОСКВЕ")</f>
        <v>ГСУ СК РОССИИ ПО Г. МОСКВЕ</v>
      </c>
      <c r="B1917" s="24" t="s">
        <v>3013</v>
      </c>
      <c r="C1917" s="25">
        <v>5531660.0099999998</v>
      </c>
      <c r="D1917" s="22" t="s">
        <v>3014</v>
      </c>
      <c r="E1917" s="22" t="s">
        <v>68</v>
      </c>
      <c r="F1917" s="23" t="str">
        <f>HYPERLINK("https://www.spark-marketing.ru/Card/Lot/73193760", "Оказание услуг физической военизированной охраны объектов Главного следственного управления Следственного комитета Российской Федерации по городу Москве")</f>
        <v>Оказание услуг физической военизированной охраны объектов Главного следственного управления Следственного комитета Российской Федерации по городу Москве</v>
      </c>
      <c r="G1917" s="22" t="s">
        <v>55</v>
      </c>
      <c r="H1917" s="22" t="s">
        <v>55</v>
      </c>
      <c r="I1917" s="26">
        <v>43711.391666666699</v>
      </c>
      <c r="J1917" s="23" t="str">
        <f>HYPERLINK("https://www.spark-marketing.ru/Card/Person/4887627", "ФЛ ФГУП ОХРАНА ФЕДЕРАЛЬНОЙ СЛУЖБЫ ВОЙСК НАЦИОНАЛЬНОЙ ГВАРДИИ РФ ПО Г МОСКВЕ")</f>
        <v>ФЛ ФГУП ОХРАНА ФЕДЕРАЛЬНОЙ СЛУЖБЫ ВОЙСК НАЦИОНАЛЬНОЙ ГВАРДИИ РФ ПО Г МОСКВЕ</v>
      </c>
      <c r="K1917" s="24" t="s">
        <v>779</v>
      </c>
      <c r="L1917" s="22" t="s">
        <v>10</v>
      </c>
      <c r="M1917" s="28" t="s">
        <v>52</v>
      </c>
      <c r="N1917" s="28" t="s">
        <v>52</v>
      </c>
    </row>
    <row r="1918" spans="1:14" x14ac:dyDescent="0.15">
      <c r="A1918" s="23" t="str">
        <f>HYPERLINK("https://www.spark-marketing.ru/Card/Person/31461", "ГБУЗ ""ХОЛМСКАЯ ЦРБ""")</f>
        <v>ГБУЗ "ХОЛМСКАЯ ЦРБ"</v>
      </c>
      <c r="B1918" s="24" t="s">
        <v>3015</v>
      </c>
      <c r="C1918" s="25">
        <v>334865.28000000003</v>
      </c>
      <c r="D1918" s="22" t="s">
        <v>3016</v>
      </c>
      <c r="E1918" s="22" t="s">
        <v>52</v>
      </c>
      <c r="F1918" s="23" t="str">
        <f>HYPERLINK("https://www.spark-marketing.ru/Card/Lot/73193850", "Оказание услуг по охране административного корпуса ГБУЗ «Холмская ЦРБ», расположенного по адресу: г. Холмск, ул. Победы 4.")</f>
        <v>Оказание услуг по охране административного корпуса ГБУЗ «Холмская ЦРБ», расположенного по адресу: г. Холмск, ул. Победы 4.</v>
      </c>
      <c r="G1918" s="22" t="s">
        <v>69</v>
      </c>
      <c r="H1918" s="22" t="s">
        <v>3017</v>
      </c>
      <c r="I1918" s="26">
        <v>43711.713888888902</v>
      </c>
      <c r="J1918" s="28" t="s">
        <v>52</v>
      </c>
      <c r="K1918" s="28" t="s">
        <v>52</v>
      </c>
      <c r="L1918" s="28" t="s">
        <v>52</v>
      </c>
      <c r="M1918" s="28" t="s">
        <v>52</v>
      </c>
      <c r="N1918" s="28" t="s">
        <v>52</v>
      </c>
    </row>
    <row r="1919" spans="1:14" hidden="1" outlineLevel="1" x14ac:dyDescent="0.2">
      <c r="A1919" s="23" t="str">
        <f>HYPERLINK("https://www.spark-marketing.ru/Card/Person/31461", "ГБУЗ ""ХОЛМСКАЯ ЦРБ""")</f>
        <v>ГБУЗ "ХОЛМСКАЯ ЦРБ"</v>
      </c>
      <c r="B1919" s="24" t="s">
        <v>3015</v>
      </c>
      <c r="C1919" s="25">
        <v>334865.28000000003</v>
      </c>
      <c r="D1919" s="22" t="s">
        <v>3016</v>
      </c>
      <c r="E1919" s="22" t="s">
        <v>52</v>
      </c>
      <c r="F1919" s="23" t="str">
        <f>HYPERLINK("https://www.spark-marketing.ru/Card/Lot/73193850", "Оказание услуг по охране административного корпуса ГБУЗ «Холмская ЦРБ», расположенного по адресу: г. Холмск, ул. Победы 4.")</f>
        <v>Оказание услуг по охране административного корпуса ГБУЗ «Холмская ЦРБ», расположенного по адресу: г. Холмск, ул. Победы 4.</v>
      </c>
      <c r="G1919" s="22" t="s">
        <v>69</v>
      </c>
      <c r="H1919" s="22" t="s">
        <v>3017</v>
      </c>
      <c r="I1919" s="26">
        <v>43711.713888888902</v>
      </c>
      <c r="J1919" s="23" t="str">
        <f>HYPERLINK("https://www.spark-marketing.ru/Card/Person/2008625", "ООО ""ОА ""ЦЕЗАРЬ-ЭЛИТ""")</f>
        <v>ООО "ОА "ЦЕЗАРЬ-ЭЛИТ"</v>
      </c>
      <c r="K1919" s="24" t="s">
        <v>3018</v>
      </c>
      <c r="L1919" s="28" t="s">
        <v>52</v>
      </c>
      <c r="M1919" s="25">
        <v>220800</v>
      </c>
      <c r="N1919" s="27">
        <v>0.34063035737834629</v>
      </c>
    </row>
    <row r="1920" spans="1:14" ht="12.75" hidden="1" outlineLevel="1" x14ac:dyDescent="0.2">
      <c r="A1920" s="23" t="str">
        <f>HYPERLINK("https://www.spark-marketing.ru/Card/Person/31461", "ГБУЗ ""ХОЛМСКАЯ ЦРБ""")</f>
        <v>ГБУЗ "ХОЛМСКАЯ ЦРБ"</v>
      </c>
      <c r="B1920" s="24" t="s">
        <v>3015</v>
      </c>
      <c r="C1920" s="25">
        <v>334865.28000000003</v>
      </c>
      <c r="D1920" s="22" t="s">
        <v>3016</v>
      </c>
      <c r="E1920" s="22" t="s">
        <v>52</v>
      </c>
      <c r="F1920" s="23" t="str">
        <f>HYPERLINK("https://www.spark-marketing.ru/Card/Lot/73193850", "Оказание услуг по охране административного корпуса ГБУЗ «Холмская ЦРБ», расположенного по адресу: г. Холмск, ул. Победы 4.")</f>
        <v>Оказание услуг по охране административного корпуса ГБУЗ «Холмская ЦРБ», расположенного по адресу: г. Холмск, ул. Победы 4.</v>
      </c>
      <c r="G1920" s="22" t="s">
        <v>69</v>
      </c>
      <c r="H1920" s="22" t="s">
        <v>3017</v>
      </c>
      <c r="I1920" s="26">
        <v>43711.713888888902</v>
      </c>
      <c r="J1920" s="23" t="str">
        <f>HYPERLINK("https://www.spark-marketing.ru/Card/Person/180904", "ООО ОА ""РУСИЧ-2005""")</f>
        <v>ООО ОА "РУСИЧ-2005"</v>
      </c>
      <c r="K1920" s="24" t="s">
        <v>3019</v>
      </c>
      <c r="L1920" s="22" t="s">
        <v>10</v>
      </c>
      <c r="M1920" s="25">
        <v>219000</v>
      </c>
      <c r="N1920" s="27">
        <v>0.34600565337797934</v>
      </c>
    </row>
    <row r="1921" spans="1:14" x14ac:dyDescent="0.15">
      <c r="A1921" s="23" t="str">
        <f>HYPERLINK("https://www.spark-marketing.ru/Card/Person/64392", "ПЕРВЫЙ АРБИТРАЖНЫЙ АПЕЛЛЯЦИОННЫЙ СУД")</f>
        <v>ПЕРВЫЙ АРБИТРАЖНЫЙ АПЕЛЛЯЦИОННЫЙ СУД</v>
      </c>
      <c r="B1921" s="24" t="s">
        <v>3020</v>
      </c>
      <c r="C1921" s="25">
        <v>312674.28999999998</v>
      </c>
      <c r="D1921" s="22" t="s">
        <v>3021</v>
      </c>
      <c r="E1921" s="22" t="s">
        <v>68</v>
      </c>
      <c r="F1921" s="23" t="str">
        <f>HYPERLINK("https://www.spark-marketing.ru/Card/Lot/73193280", "Услуги по физической охране военизированными подразделениями")</f>
        <v>Услуги по физической охране военизированными подразделениями</v>
      </c>
      <c r="G1921" s="22" t="s">
        <v>145</v>
      </c>
      <c r="H1921" s="22" t="s">
        <v>146</v>
      </c>
      <c r="I1921" s="26">
        <v>43711.391666666699</v>
      </c>
      <c r="J1921" s="28" t="s">
        <v>52</v>
      </c>
      <c r="K1921" s="28" t="s">
        <v>52</v>
      </c>
      <c r="L1921" s="28" t="s">
        <v>52</v>
      </c>
      <c r="M1921" s="28" t="s">
        <v>52</v>
      </c>
      <c r="N1921" s="28" t="s">
        <v>52</v>
      </c>
    </row>
    <row r="1922" spans="1:14" ht="12.75" hidden="1" outlineLevel="1" x14ac:dyDescent="0.2">
      <c r="A1922" s="23" t="str">
        <f>HYPERLINK("https://www.spark-marketing.ru/Card/Person/64392", "ПЕРВЫЙ АРБИТРАЖНЫЙ АПЕЛЛЯЦИОННЫЙ СУД")</f>
        <v>ПЕРВЫЙ АРБИТРАЖНЫЙ АПЕЛЛЯЦИОННЫЙ СУД</v>
      </c>
      <c r="B1922" s="24" t="s">
        <v>3020</v>
      </c>
      <c r="C1922" s="25">
        <v>312674.28999999998</v>
      </c>
      <c r="D1922" s="22" t="s">
        <v>3021</v>
      </c>
      <c r="E1922" s="22" t="s">
        <v>68</v>
      </c>
      <c r="F1922" s="23" t="str">
        <f>HYPERLINK("https://www.spark-marketing.ru/Card/Lot/73193280", "Услуги по физической охране военизированными подразделениями")</f>
        <v>Услуги по физической охране военизированными подразделениями</v>
      </c>
      <c r="G1922" s="22" t="s">
        <v>145</v>
      </c>
      <c r="H1922" s="22" t="s">
        <v>146</v>
      </c>
      <c r="I1922" s="26">
        <v>43711.391666666699</v>
      </c>
      <c r="J1922" s="23" t="str">
        <f>HYPERLINK("https://www.spark-marketing.ru/Card/Person/25843", "ФГКУ ""УВО ВНГ РОССИИ ПО ВЛАДИМИРСКОЙ ОБЛАСТИ""")</f>
        <v>ФГКУ "УВО ВНГ РОССИИ ПО ВЛАДИМИРСКОЙ ОБЛАСТИ"</v>
      </c>
      <c r="K1922" s="24" t="s">
        <v>3022</v>
      </c>
      <c r="L1922" s="22" t="s">
        <v>10</v>
      </c>
      <c r="M1922" s="25">
        <v>312674.28999999998</v>
      </c>
      <c r="N1922" s="27">
        <v>0</v>
      </c>
    </row>
    <row r="1923" spans="1:14" hidden="1" outlineLevel="1" x14ac:dyDescent="0.2">
      <c r="A1923" s="23" t="str">
        <f>HYPERLINK("https://www.spark-marketing.ru/Card/Person/64392", "ПЕРВЫЙ АРБИТРАЖНЫЙ АПЕЛЛЯЦИОННЫЙ СУД")</f>
        <v>ПЕРВЫЙ АРБИТРАЖНЫЙ АПЕЛЛЯЦИОННЫЙ СУД</v>
      </c>
      <c r="B1923" s="24" t="s">
        <v>3020</v>
      </c>
      <c r="C1923" s="25">
        <v>312674.28999999998</v>
      </c>
      <c r="D1923" s="22" t="s">
        <v>3021</v>
      </c>
      <c r="E1923" s="22" t="s">
        <v>68</v>
      </c>
      <c r="F1923" s="23" t="str">
        <f>HYPERLINK("https://www.spark-marketing.ru/Card/Lot/73193280", "Услуги по физической охране военизированными подразделениями")</f>
        <v>Услуги по физической охране военизированными подразделениями</v>
      </c>
      <c r="G1923" s="22" t="s">
        <v>145</v>
      </c>
      <c r="H1923" s="22" t="s">
        <v>146</v>
      </c>
      <c r="I1923" s="26">
        <v>43711.391666666699</v>
      </c>
      <c r="J1923" s="23" t="str">
        <f>HYPERLINK("https://www.spark-marketing.ru/Card/Person/315518", "Филиал ФГУП ""Охрана"" Росгвардии по Владимирской области")</f>
        <v>Филиал ФГУП "Охрана" Росгвардии по Владимирской области</v>
      </c>
      <c r="K1923" s="24" t="s">
        <v>779</v>
      </c>
      <c r="L1923" s="28" t="s">
        <v>52</v>
      </c>
      <c r="M1923" s="25">
        <v>312674.28999999998</v>
      </c>
      <c r="N1923" s="27">
        <v>0</v>
      </c>
    </row>
    <row r="1924" spans="1:14" x14ac:dyDescent="0.15">
      <c r="A1924" s="23" t="str">
        <f>HYPERLINK("https://www.spark-marketing.ru/Card/Person/1032001", "МБУДО ""ТУЧКОВСКАЯ ДШИ""")</f>
        <v>МБУДО "ТУЧКОВСКАЯ ДШИ"</v>
      </c>
      <c r="B1924" s="24" t="s">
        <v>3023</v>
      </c>
      <c r="C1924" s="25">
        <v>117600</v>
      </c>
      <c r="D1924" s="22" t="s">
        <v>3024</v>
      </c>
      <c r="E1924" s="22" t="s">
        <v>103</v>
      </c>
      <c r="F1924" s="23" t="str">
        <f>HYPERLINK("https://www.spark-marketing.ru/Card/Lot/73191444", "Оказание услуг по установке системы видеодомофона с функцией контроля и управления доступом")</f>
        <v>Оказание услуг по установке системы видеодомофона с функцией контроля и управления доступом</v>
      </c>
      <c r="G1924" s="22" t="s">
        <v>50</v>
      </c>
      <c r="H1924" s="22" t="s">
        <v>1207</v>
      </c>
      <c r="I1924" s="26">
        <v>43711.3989351852</v>
      </c>
      <c r="J1924" s="28" t="s">
        <v>52</v>
      </c>
      <c r="K1924" s="28" t="s">
        <v>52</v>
      </c>
      <c r="L1924" s="28" t="s">
        <v>52</v>
      </c>
      <c r="M1924" s="28" t="s">
        <v>52</v>
      </c>
      <c r="N1924" s="28" t="s">
        <v>52</v>
      </c>
    </row>
    <row r="1925" spans="1:14" x14ac:dyDescent="0.15">
      <c r="A1925" s="23" t="str">
        <f>HYPERLINK("https://www.spark-marketing.ru/Card/Person/153158", "МДОУ - ЦРР ДЕТСКИЙ САД № 45 ""МЕЧТА""")</f>
        <v>МДОУ - ЦРР ДЕТСКИЙ САД № 45 "МЕЧТА"</v>
      </c>
      <c r="B1925" s="24" t="s">
        <v>2745</v>
      </c>
      <c r="C1925" s="25">
        <v>118702.34</v>
      </c>
      <c r="D1925" s="22" t="s">
        <v>3025</v>
      </c>
      <c r="E1925" s="22" t="s">
        <v>84</v>
      </c>
      <c r="F1925" s="23" t="str">
        <f>HYPERLINK("https://www.spark-marketing.ru/Card/Lot/73190640", "Выполнение монтажных работ по установке системы контроля управления доступом (установка видеодомофонов на входные группы) МДОУ ЦРР - детский сад № 45 «Мечта»")</f>
        <v>Выполнение монтажных работ по установке системы контроля управления доступом (установка видеодомофонов на входные группы) МДОУ ЦРР - детский сад № 45 «Мечта»</v>
      </c>
      <c r="G1925" s="22" t="s">
        <v>50</v>
      </c>
      <c r="H1925" s="22" t="s">
        <v>299</v>
      </c>
      <c r="I1925" s="26">
        <v>43711.367789351898</v>
      </c>
      <c r="J1925" s="28" t="s">
        <v>52</v>
      </c>
      <c r="K1925" s="28" t="s">
        <v>52</v>
      </c>
      <c r="L1925" s="28" t="s">
        <v>52</v>
      </c>
      <c r="M1925" s="28" t="s">
        <v>52</v>
      </c>
      <c r="N1925" s="28" t="s">
        <v>52</v>
      </c>
    </row>
    <row r="1926" spans="1:14" x14ac:dyDescent="0.15">
      <c r="A1926" s="23" t="str">
        <f>HYPERLINK("https://www.spark-marketing.ru/Card/Person/425599", "МО МВД РОССИИ ""ТЮКАЛИНСКИЙ""")</f>
        <v>МО МВД РОССИИ "ТЮКАЛИНСКИЙ"</v>
      </c>
      <c r="B1926" s="24" t="s">
        <v>3026</v>
      </c>
      <c r="C1926" s="25">
        <v>19000</v>
      </c>
      <c r="D1926" s="22" t="s">
        <v>3027</v>
      </c>
      <c r="E1926" s="22" t="s">
        <v>59</v>
      </c>
      <c r="F1926" s="23" t="str">
        <f>HYPERLINK("https://www.spark-marketing.ru/Card/Lot/73190333", "Установка охранной сигнализации, 1 шт")</f>
        <v>Установка охранной сигнализации, 1 шт</v>
      </c>
      <c r="G1926" s="22" t="s">
        <v>521</v>
      </c>
      <c r="H1926" s="22" t="s">
        <v>3028</v>
      </c>
      <c r="I1926" s="26">
        <v>43711.361458333296</v>
      </c>
      <c r="J1926" s="28" t="s">
        <v>52</v>
      </c>
      <c r="K1926" s="28" t="s">
        <v>52</v>
      </c>
      <c r="L1926" s="28" t="s">
        <v>52</v>
      </c>
      <c r="M1926" s="28" t="s">
        <v>52</v>
      </c>
      <c r="N1926" s="28" t="s">
        <v>52</v>
      </c>
    </row>
    <row r="1927" spans="1:14" x14ac:dyDescent="0.15">
      <c r="A1927" s="23" t="str">
        <f>HYPERLINK("https://www.spark-marketing.ru/Card/Person/4348841", "АО АСЭ")</f>
        <v>АО АСЭ</v>
      </c>
      <c r="B1927" s="24" t="s">
        <v>2857</v>
      </c>
      <c r="C1927" s="25">
        <v>12889346.470000001</v>
      </c>
      <c r="D1927" s="22" t="s">
        <v>3029</v>
      </c>
      <c r="E1927" s="22" t="s">
        <v>53</v>
      </c>
      <c r="F1927" s="23" t="str">
        <f>HYPERLINK("https://www.spark-marketing.ru/Card/Lot/73206896", "Право заключения договора на Лот № 19-31. Монтажное сопровождение ПНР на объекте пускового комплекса 10UGB, 10URD при вводе в эксплуатацию энергоблока № 1 Белорусской АЭС")</f>
        <v>Право заключения договора на Лот № 19-31. Монтажное сопровождение ПНР на объекте пускового комплекса 10UGB, 10URD при вводе в эксплуатацию энергоблока № 1 Белорусской АЭС</v>
      </c>
      <c r="G1927" s="22" t="s">
        <v>64</v>
      </c>
      <c r="H1927" s="22" t="s">
        <v>65</v>
      </c>
      <c r="I1927" s="26">
        <v>43711</v>
      </c>
      <c r="J1927" s="28" t="s">
        <v>52</v>
      </c>
      <c r="K1927" s="28" t="s">
        <v>52</v>
      </c>
      <c r="L1927" s="28" t="s">
        <v>52</v>
      </c>
      <c r="M1927" s="28" t="s">
        <v>52</v>
      </c>
      <c r="N1927" s="28" t="s">
        <v>52</v>
      </c>
    </row>
    <row r="1928" spans="1:14" x14ac:dyDescent="0.15">
      <c r="A1928" s="23" t="str">
        <f>HYPERLINK("https://www.spark-marketing.ru/Card/Person/42758", "АО ""РОССЕЛЬХОЗБАНК""")</f>
        <v>АО "РОССЕЛЬХОЗБАНК"</v>
      </c>
      <c r="B1928" s="24" t="s">
        <v>3030</v>
      </c>
      <c r="C1928" s="25">
        <v>636000</v>
      </c>
      <c r="D1928" s="22" t="s">
        <v>3031</v>
      </c>
      <c r="E1928" s="22" t="s">
        <v>49</v>
      </c>
      <c r="F1928" s="23" t="str">
        <f>HYPERLINK("https://www.spark-marketing.ru/Card/Lot/73192351", "Оказание услуг по техническому обслуживанию системы охранной сигнализации, установленной в устройствах самообслуживания Красноярского РФ АО «Россельхозбанк»")</f>
        <v>Оказание услуг по техническому обслуживанию системы охранной сигнализации, установленной в устройствах самообслуживания Красноярского РФ АО «Россельхозбанк»</v>
      </c>
      <c r="G1928" s="22" t="s">
        <v>640</v>
      </c>
      <c r="H1928" s="22" t="s">
        <v>640</v>
      </c>
      <c r="I1928" s="26">
        <v>43711</v>
      </c>
      <c r="J1928" s="28" t="s">
        <v>52</v>
      </c>
      <c r="K1928" s="28" t="s">
        <v>52</v>
      </c>
      <c r="L1928" s="28" t="s">
        <v>52</v>
      </c>
      <c r="M1928" s="28" t="s">
        <v>52</v>
      </c>
      <c r="N1928" s="28" t="s">
        <v>52</v>
      </c>
    </row>
    <row r="1929" spans="1:14" x14ac:dyDescent="0.15">
      <c r="A1929" s="23" t="str">
        <f>HYPERLINK("https://www.spark-marketing.ru/Card/Person/4397861", "ООО ""ГАЗПРОМ ТРАНСГАЗ ВОЛГОГРАД""")</f>
        <v>ООО "ГАЗПРОМ ТРАНСГАЗ ВОЛГОГРАД"</v>
      </c>
      <c r="B1929" s="24" t="s">
        <v>3032</v>
      </c>
      <c r="C1929" s="25">
        <v>64000</v>
      </c>
      <c r="D1929" s="22" t="s">
        <v>3033</v>
      </c>
      <c r="E1929" s="22" t="s">
        <v>1923</v>
      </c>
      <c r="F1929" s="23" t="str">
        <f>HYPERLINK("https://www.spark-marketing.ru/Card/Lot/73203476", "Оказание услуг по по проведению технической экспертизы и проверки безопасности газобаллонных транспортных средств, с внесенными в конструкцию изменениями, с предоставлением «Заключения предварительной технической экспертизы» (ЗПТЭ), «Протокола технич...")</f>
        <v>Оказание услуг по по проведению технической экспертизы и проверки безопасности газобаллонных транспортных средств, с внесенными в конструкцию изменениями, с предоставлением «Заключения предварительной технической экспертизы» (ЗПТЭ), «Протокола технич...</v>
      </c>
      <c r="G1929" s="22" t="s">
        <v>343</v>
      </c>
      <c r="H1929" s="22" t="s">
        <v>344</v>
      </c>
      <c r="I1929" s="26">
        <v>43711</v>
      </c>
      <c r="J1929" s="28" t="s">
        <v>52</v>
      </c>
      <c r="K1929" s="28" t="s">
        <v>52</v>
      </c>
      <c r="L1929" s="28" t="s">
        <v>52</v>
      </c>
      <c r="M1929" s="28" t="s">
        <v>52</v>
      </c>
      <c r="N1929" s="28" t="s">
        <v>52</v>
      </c>
    </row>
    <row r="1930" spans="1:14" x14ac:dyDescent="0.15">
      <c r="A1930" s="23" t="str">
        <f>HYPERLINK("https://www.spark-marketing.ru/Card/Person/4415479", "ГАПОУ СО ""УРАЛЬСКИЙ ЖЕЛЕЗНОДОРОЖНЫЙ ТЕХНИКУМ"", ГАПОУ СО ""УРЖТ""")</f>
        <v>ГАПОУ СО "УРАЛЬСКИЙ ЖЕЛЕЗНОДОРОЖНЫЙ ТЕХНИКУМ", ГАПОУ СО "УРЖТ"</v>
      </c>
      <c r="B1930" s="24" t="s">
        <v>3034</v>
      </c>
      <c r="C1930" s="25">
        <v>7431354</v>
      </c>
      <c r="D1930" s="22" t="s">
        <v>3035</v>
      </c>
      <c r="E1930" s="22" t="s">
        <v>49</v>
      </c>
      <c r="F1930" s="23" t="str">
        <f>HYPERLINK("https://www.spark-marketing.ru/Card/Lot/73192222", "Выполнение работ по установке, настройке и вводе в эксплуатацию систем видеонаблюдения и охранного освещения")</f>
        <v>Выполнение работ по установке, настройке и вводе в эксплуатацию систем видеонаблюдения и охранного освещения</v>
      </c>
      <c r="G1930" s="22" t="s">
        <v>72</v>
      </c>
      <c r="H1930" s="22" t="s">
        <v>72</v>
      </c>
      <c r="I1930" s="26">
        <v>43711</v>
      </c>
      <c r="J1930" s="28" t="s">
        <v>52</v>
      </c>
      <c r="K1930" s="28" t="s">
        <v>52</v>
      </c>
      <c r="L1930" s="28" t="s">
        <v>52</v>
      </c>
      <c r="M1930" s="28" t="s">
        <v>52</v>
      </c>
      <c r="N1930" s="28" t="s">
        <v>52</v>
      </c>
    </row>
    <row r="1931" spans="1:14" x14ac:dyDescent="0.15">
      <c r="A1931" s="23" t="str">
        <f>HYPERLINK("https://www.spark-marketing.ru/Card/Person/137188", "ОАО ""КНГФ""")</f>
        <v>ОАО "КНГФ"</v>
      </c>
      <c r="B1931" s="24" t="s">
        <v>3036</v>
      </c>
      <c r="C1931" s="25">
        <v>9748800</v>
      </c>
      <c r="D1931" s="22" t="s">
        <v>3037</v>
      </c>
      <c r="E1931" s="22" t="s">
        <v>53</v>
      </c>
      <c r="F1931" s="23" t="str">
        <f>HYPERLINK("https://www.spark-marketing.ru/Card/Lot/73205132", "Оказание услуг по охране объектов и имущества ОАО «Краснодарнефтегеофизика»")</f>
        <v>Оказание услуг по охране объектов и имущества ОАО «Краснодарнефтегеофизика»</v>
      </c>
      <c r="G1931" s="22" t="s">
        <v>132</v>
      </c>
      <c r="H1931" s="22" t="s">
        <v>652</v>
      </c>
      <c r="I1931" s="26">
        <v>43711</v>
      </c>
      <c r="J1931" s="28" t="s">
        <v>52</v>
      </c>
      <c r="K1931" s="28" t="s">
        <v>52</v>
      </c>
      <c r="L1931" s="28" t="s">
        <v>52</v>
      </c>
      <c r="M1931" s="28" t="s">
        <v>52</v>
      </c>
      <c r="N1931" s="28" t="s">
        <v>52</v>
      </c>
    </row>
    <row r="1932" spans="1:14" x14ac:dyDescent="0.15">
      <c r="A1932" s="23" t="str">
        <f>HYPERLINK("https://www.spark-marketing.ru/Card/Person/68838", "ФГБУК ""ГКД""")</f>
        <v>ФГБУК "ГКД"</v>
      </c>
      <c r="B1932" s="24" t="s">
        <v>3038</v>
      </c>
      <c r="C1932" s="25">
        <v>413898.66</v>
      </c>
      <c r="D1932" s="22" t="s">
        <v>3039</v>
      </c>
      <c r="E1932" s="22" t="s">
        <v>3040</v>
      </c>
      <c r="F1932" s="23" t="str">
        <f>HYPERLINK("https://www.spark-marketing.ru/Card/Lot/73206821", "Оказание услуг по предоставлению видеооборудования с установкой, обслуживанием и демонтажем для торжественного приема, посвященного празднованию 74-летней годовщины Победы в Великой Отечественной войне, проводимого в Большом Кремлевском дворце 9 мая ...")</f>
        <v>Оказание услуг по предоставлению видеооборудования с установкой, обслуживанием и демонтажем для торжественного приема, посвященного празднованию 74-летней годовщины Победы в Великой Отечественной войне, проводимого в Большом Кремлевском дворце 9 мая ...</v>
      </c>
      <c r="G1932" s="22" t="s">
        <v>55</v>
      </c>
      <c r="H1932" s="22" t="s">
        <v>55</v>
      </c>
      <c r="I1932" s="26">
        <v>43711</v>
      </c>
      <c r="J1932" s="28" t="s">
        <v>52</v>
      </c>
      <c r="K1932" s="28" t="s">
        <v>52</v>
      </c>
      <c r="L1932" s="28" t="s">
        <v>52</v>
      </c>
      <c r="M1932" s="28" t="s">
        <v>52</v>
      </c>
      <c r="N1932" s="28" t="s">
        <v>52</v>
      </c>
    </row>
    <row r="1933" spans="1:14" x14ac:dyDescent="0.15">
      <c r="A1933" s="23" t="str">
        <f>HYPERLINK("https://www.spark-marketing.ru/Card/Person/154241", "АО ""ТЕХНОПАРК САНКТ-ПЕТЕРБУРГА""")</f>
        <v>АО "ТЕХНОПАРК САНКТ-ПЕТЕРБУРГА"</v>
      </c>
      <c r="B1933" s="24" t="s">
        <v>3041</v>
      </c>
      <c r="C1933" s="25">
        <v>112500</v>
      </c>
      <c r="D1933" s="22" t="s">
        <v>3042</v>
      </c>
      <c r="E1933" s="22" t="s">
        <v>3043</v>
      </c>
      <c r="F1933" s="23" t="str">
        <f>HYPERLINK("https://www.spark-marketing.ru/Card/Lot/73200149", "установка системы охранного видеонаблюдения")</f>
        <v>установка системы охранного видеонаблюдения</v>
      </c>
      <c r="G1933" s="22" t="s">
        <v>89</v>
      </c>
      <c r="H1933" s="22" t="s">
        <v>89</v>
      </c>
      <c r="I1933" s="26">
        <v>43711</v>
      </c>
      <c r="J1933" s="28" t="s">
        <v>52</v>
      </c>
      <c r="K1933" s="28" t="s">
        <v>52</v>
      </c>
      <c r="L1933" s="28" t="s">
        <v>52</v>
      </c>
      <c r="M1933" s="28" t="s">
        <v>52</v>
      </c>
      <c r="N1933" s="28" t="s">
        <v>52</v>
      </c>
    </row>
    <row r="1934" spans="1:14" x14ac:dyDescent="0.15">
      <c r="A1934" s="23" t="str">
        <f>HYPERLINK("https://www.spark-marketing.ru/Card/Person/4434735", "МАОУ ""СОШ №2""")</f>
        <v>МАОУ "СОШ №2"</v>
      </c>
      <c r="B1934" s="24" t="s">
        <v>3044</v>
      </c>
      <c r="C1934" s="25">
        <v>322665.59999999998</v>
      </c>
      <c r="D1934" s="22" t="s">
        <v>3045</v>
      </c>
      <c r="E1934" s="22" t="s">
        <v>144</v>
      </c>
      <c r="F1934" s="23" t="str">
        <f>HYPERLINK("https://www.spark-marketing.ru/Card/Lot/73206731", "Оказание охранных услуг")</f>
        <v>Оказание охранных услуг</v>
      </c>
      <c r="G1934" s="22" t="s">
        <v>893</v>
      </c>
      <c r="H1934" s="22" t="s">
        <v>893</v>
      </c>
      <c r="I1934" s="26">
        <v>43711</v>
      </c>
      <c r="J1934" s="28" t="s">
        <v>52</v>
      </c>
      <c r="K1934" s="28" t="s">
        <v>52</v>
      </c>
      <c r="L1934" s="28" t="s">
        <v>52</v>
      </c>
      <c r="M1934" s="28" t="s">
        <v>52</v>
      </c>
      <c r="N1934" s="28" t="s">
        <v>52</v>
      </c>
    </row>
    <row r="1935" spans="1:14" x14ac:dyDescent="0.15">
      <c r="A1935" s="23" t="str">
        <f>HYPERLINK("https://www.spark-marketing.ru/Card/Person/4710787", "ООО ВОСТОКГЕОЛОГИЯ")</f>
        <v>ООО ВОСТОКГЕОЛОГИЯ</v>
      </c>
      <c r="B1935" s="28" t="s">
        <v>52</v>
      </c>
      <c r="C1935" s="28" t="s">
        <v>52</v>
      </c>
      <c r="D1935" s="28" t="s">
        <v>52</v>
      </c>
      <c r="E1935" s="22" t="s">
        <v>53</v>
      </c>
      <c r="F1935" s="23" t="str">
        <f>HYPERLINK("https://www.spark-marketing.ru/Card/Lot/73195323", "Лот №264 - Поставка спортивного инвентаря для общежития охраны на объекте строительства ""Вахтовый поселок""")</f>
        <v>Лот №264 - Поставка спортивного инвентаря для общежития охраны на объекте строительства "Вахтовый поселок"</v>
      </c>
      <c r="G1935" s="22" t="s">
        <v>52</v>
      </c>
      <c r="H1935" s="22" t="s">
        <v>52</v>
      </c>
      <c r="I1935" s="26">
        <v>43711</v>
      </c>
      <c r="J1935" s="28" t="s">
        <v>52</v>
      </c>
      <c r="K1935" s="28" t="s">
        <v>52</v>
      </c>
      <c r="L1935" s="28" t="s">
        <v>52</v>
      </c>
      <c r="M1935" s="28" t="s">
        <v>52</v>
      </c>
      <c r="N1935" s="28" t="s">
        <v>52</v>
      </c>
    </row>
    <row r="1936" spans="1:14" x14ac:dyDescent="0.15">
      <c r="A1936" s="23" t="str">
        <f>HYPERLINK("https://www.spark-marketing.ru/Card/Person/6217305", "АО ""НОВАВИНД""")</f>
        <v>АО "НОВАВИНД"</v>
      </c>
      <c r="B1936" s="24" t="s">
        <v>2993</v>
      </c>
      <c r="C1936" s="28" t="s">
        <v>52</v>
      </c>
      <c r="D1936" s="22" t="s">
        <v>3046</v>
      </c>
      <c r="E1936" s="22" t="s">
        <v>53</v>
      </c>
      <c r="F1936" s="23" t="str">
        <f>HYPERLINK("https://www.spark-marketing.ru/Card/Lot/73205864", "Оказание услуг по техобслуживанию технических средств охраны, систем контроля и управления доступом и видеонаблюдения (1334358)")</f>
        <v>Оказание услуг по техобслуживанию технических средств охраны, систем контроля и управления доступом и видеонаблюдения (1334358)</v>
      </c>
      <c r="G1936" s="22" t="s">
        <v>55</v>
      </c>
      <c r="H1936" s="22" t="s">
        <v>55</v>
      </c>
      <c r="I1936" s="26">
        <v>43711.577847222201</v>
      </c>
      <c r="J1936" s="28" t="s">
        <v>52</v>
      </c>
      <c r="K1936" s="28" t="s">
        <v>52</v>
      </c>
      <c r="L1936" s="28" t="s">
        <v>52</v>
      </c>
      <c r="M1936" s="28" t="s">
        <v>52</v>
      </c>
      <c r="N1936" s="28" t="s">
        <v>52</v>
      </c>
    </row>
    <row r="1937" spans="1:14" x14ac:dyDescent="0.15">
      <c r="A1937" s="23" t="str">
        <f>HYPERLINK("https://www.spark-marketing.ru/Card/Person/6675825", "ООО СОВМЕСТНАЯ РУСВЬЕТПЕТРО")</f>
        <v>ООО СОВМЕСТНАЯ РУСВЬЕТПЕТРО</v>
      </c>
      <c r="B1937" s="28" t="s">
        <v>52</v>
      </c>
      <c r="C1937" s="25">
        <v>1348620</v>
      </c>
      <c r="D1937" s="22" t="s">
        <v>3047</v>
      </c>
      <c r="E1937" s="22" t="s">
        <v>2577</v>
      </c>
      <c r="F1937" s="23" t="str">
        <f>HYPERLINK("https://www.spark-marketing.ru/Card/Lot/73978737", "Техническое обслуживание системы охранного видеонаблюдения в вахтовых жилых комплексах Северо-Хоседаюского нефтяного месторождения")</f>
        <v>Техническое обслуживание системы охранного видеонаблюдения в вахтовых жилых комплексах Северо-Хоседаюского нефтяного месторождения</v>
      </c>
      <c r="G1937" s="22" t="s">
        <v>52</v>
      </c>
      <c r="H1937" s="22" t="s">
        <v>52</v>
      </c>
      <c r="I1937" s="26">
        <v>43710.774305555598</v>
      </c>
      <c r="J1937" s="28" t="s">
        <v>52</v>
      </c>
      <c r="K1937" s="28" t="s">
        <v>52</v>
      </c>
      <c r="L1937" s="28" t="s">
        <v>52</v>
      </c>
      <c r="M1937" s="28" t="s">
        <v>52</v>
      </c>
      <c r="N1937" s="28" t="s">
        <v>52</v>
      </c>
    </row>
    <row r="1938" spans="1:14" x14ac:dyDescent="0.15">
      <c r="A1938" s="23" t="str">
        <f>HYPERLINK("https://www.spark-marketing.ru/Card/Person/35198", "ФКУ ""ДЕЗ СКИТР""")</f>
        <v>ФКУ "ДЕЗ СКИТР"</v>
      </c>
      <c r="B1938" s="24" t="s">
        <v>2310</v>
      </c>
      <c r="C1938" s="25">
        <v>99999</v>
      </c>
      <c r="D1938" s="22" t="s">
        <v>3048</v>
      </c>
      <c r="E1938" s="22" t="s">
        <v>53</v>
      </c>
      <c r="F1938" s="23" t="str">
        <f>HYPERLINK("https://www.spark-marketing.ru/Card/Lot/73176709", "оказание охранных услуг")</f>
        <v>оказание охранных услуг</v>
      </c>
      <c r="G1938" s="22" t="s">
        <v>55</v>
      </c>
      <c r="H1938" s="22" t="s">
        <v>55</v>
      </c>
      <c r="I1938" s="26">
        <v>43710.714837963002</v>
      </c>
      <c r="J1938" s="28" t="s">
        <v>52</v>
      </c>
      <c r="K1938" s="28" t="s">
        <v>52</v>
      </c>
      <c r="L1938" s="28" t="s">
        <v>52</v>
      </c>
      <c r="M1938" s="28" t="s">
        <v>52</v>
      </c>
      <c r="N1938" s="28" t="s">
        <v>52</v>
      </c>
    </row>
    <row r="1939" spans="1:14" x14ac:dyDescent="0.15">
      <c r="A1939" s="23" t="str">
        <f>HYPERLINK("https://www.spark-marketing.ru/Card/Person/268105", "ОМВД РОССИИ ПО ФУРМАНОВСКОМУ РАЙОНУ")</f>
        <v>ОМВД РОССИИ ПО ФУРМАНОВСКОМУ РАЙОНУ</v>
      </c>
      <c r="B1939" s="24" t="s">
        <v>3049</v>
      </c>
      <c r="C1939" s="25">
        <v>14157.84</v>
      </c>
      <c r="D1939" s="22" t="s">
        <v>3050</v>
      </c>
      <c r="E1939" s="22" t="s">
        <v>53</v>
      </c>
      <c r="F1939" s="23" t="str">
        <f>HYPERLINK("https://www.spark-marketing.ru/Card/Lot/73176659", "Техническое обслуживание сигнализации, 1 шт")</f>
        <v>Техническое обслуживание сигнализации, 1 шт</v>
      </c>
      <c r="G1939" s="22" t="s">
        <v>340</v>
      </c>
      <c r="H1939" s="22" t="s">
        <v>3051</v>
      </c>
      <c r="I1939" s="26">
        <v>43710.6940509259</v>
      </c>
      <c r="J1939" s="28" t="s">
        <v>52</v>
      </c>
      <c r="K1939" s="28" t="s">
        <v>52</v>
      </c>
      <c r="L1939" s="28" t="s">
        <v>52</v>
      </c>
      <c r="M1939" s="28" t="s">
        <v>52</v>
      </c>
      <c r="N1939" s="28" t="s">
        <v>52</v>
      </c>
    </row>
    <row r="1940" spans="1:14" x14ac:dyDescent="0.15">
      <c r="A1940" s="23" t="str">
        <f>HYPERLINK("https://www.spark-marketing.ru/Card/Person/1013083", "УПФР В ЛЕБЕДЯНСКОМ РАЙОНЕ ЛИПЕЦКОЙ ОБЛАСТИ (МЕЖРАЙОННОЕ)")</f>
        <v>УПФР В ЛЕБЕДЯНСКОМ РАЙОНЕ ЛИПЕЦКОЙ ОБЛАСТИ (МЕЖРАЙОННОЕ)</v>
      </c>
      <c r="B1940" s="24" t="s">
        <v>3052</v>
      </c>
      <c r="C1940" s="25">
        <v>1644072</v>
      </c>
      <c r="D1940" s="22" t="s">
        <v>3053</v>
      </c>
      <c r="E1940" s="22" t="s">
        <v>59</v>
      </c>
      <c r="F1940" s="23" t="str">
        <f>HYPERLINK("https://www.spark-marketing.ru/Card/Lot/73186845", "Выполнение работ по установке комплексов технических средств системы видеонаблюдения")</f>
        <v>Выполнение работ по установке комплексов технических средств системы видеонаблюдения</v>
      </c>
      <c r="G1940" s="22" t="s">
        <v>629</v>
      </c>
      <c r="H1940" s="22" t="s">
        <v>629</v>
      </c>
      <c r="I1940" s="26">
        <v>43710.674594907403</v>
      </c>
      <c r="J1940" s="28" t="s">
        <v>52</v>
      </c>
      <c r="K1940" s="28" t="s">
        <v>52</v>
      </c>
      <c r="L1940" s="28" t="s">
        <v>52</v>
      </c>
      <c r="M1940" s="28" t="s">
        <v>52</v>
      </c>
      <c r="N1940" s="28" t="s">
        <v>52</v>
      </c>
    </row>
    <row r="1941" spans="1:14" ht="12.75" hidden="1" outlineLevel="1" x14ac:dyDescent="0.2">
      <c r="A1941" s="23" t="str">
        <f>HYPERLINK("https://www.spark-marketing.ru/Card/Person/1013083", "УПФР В ЛЕБЕДЯНСКОМ РАЙОНЕ ЛИПЕЦКОЙ ОБЛАСТИ (МЕЖРАЙОННОЕ)")</f>
        <v>УПФР В ЛЕБЕДЯНСКОМ РАЙОНЕ ЛИПЕЦКОЙ ОБЛАСТИ (МЕЖРАЙОННОЕ)</v>
      </c>
      <c r="B1941" s="24" t="s">
        <v>3052</v>
      </c>
      <c r="C1941" s="25">
        <v>1644072</v>
      </c>
      <c r="D1941" s="22" t="s">
        <v>3053</v>
      </c>
      <c r="E1941" s="22" t="s">
        <v>59</v>
      </c>
      <c r="F1941" s="23" t="str">
        <f>HYPERLINK("https://www.spark-marketing.ru/Card/Lot/73186845", "Выполнение работ по установке комплексов технических средств системы видеонаблюдения")</f>
        <v>Выполнение работ по установке комплексов технических средств системы видеонаблюдения</v>
      </c>
      <c r="G1941" s="22" t="s">
        <v>629</v>
      </c>
      <c r="H1941" s="22" t="s">
        <v>629</v>
      </c>
      <c r="I1941" s="26">
        <v>43710.674594907403</v>
      </c>
      <c r="J1941" s="23" t="str">
        <f>HYPERLINK("https://www.spark-marketing.ru/Card/Person/150793", "ООО ""ПЕЛЕН""")</f>
        <v>ООО "ПЕЛЕН"</v>
      </c>
      <c r="K1941" s="24" t="s">
        <v>3054</v>
      </c>
      <c r="L1941" s="22" t="s">
        <v>10</v>
      </c>
      <c r="M1941" s="25">
        <v>1627631.28</v>
      </c>
      <c r="N1941" s="27">
        <v>0.01</v>
      </c>
    </row>
    <row r="1942" spans="1:14" hidden="1" outlineLevel="1" x14ac:dyDescent="0.2">
      <c r="A1942" s="23" t="str">
        <f>HYPERLINK("https://www.spark-marketing.ru/Card/Person/1013083", "УПФР В ЛЕБЕДЯНСКОМ РАЙОНЕ ЛИПЕЦКОЙ ОБЛАСТИ (МЕЖРАЙОННОЕ)")</f>
        <v>УПФР В ЛЕБЕДЯНСКОМ РАЙОНЕ ЛИПЕЦКОЙ ОБЛАСТИ (МЕЖРАЙОННОЕ)</v>
      </c>
      <c r="B1942" s="24" t="s">
        <v>3052</v>
      </c>
      <c r="C1942" s="25">
        <v>1644072</v>
      </c>
      <c r="D1942" s="22" t="s">
        <v>3053</v>
      </c>
      <c r="E1942" s="22" t="s">
        <v>59</v>
      </c>
      <c r="F1942" s="23" t="str">
        <f>HYPERLINK("https://www.spark-marketing.ru/Card/Lot/73186845", "Выполнение работ по установке комплексов технических средств системы видеонаблюдения")</f>
        <v>Выполнение работ по установке комплексов технических средств системы видеонаблюдения</v>
      </c>
      <c r="G1942" s="22" t="s">
        <v>629</v>
      </c>
      <c r="H1942" s="22" t="s">
        <v>629</v>
      </c>
      <c r="I1942" s="26">
        <v>43710.674594907403</v>
      </c>
      <c r="J1942" s="23" t="str">
        <f>HYPERLINK("https://www.spark-marketing.ru/Card/Person/444839", "ООО ""ПЛАНЕТА БЕЗОПАСНОСТИ""")</f>
        <v>ООО "ПЛАНЕТА БЕЗОПАСНОСТИ"</v>
      </c>
      <c r="K1942" s="24" t="s">
        <v>3055</v>
      </c>
      <c r="L1942" s="28" t="s">
        <v>52</v>
      </c>
      <c r="M1942" s="25">
        <v>1635851.64</v>
      </c>
      <c r="N1942" s="27">
        <v>5.0000000000000001E-3</v>
      </c>
    </row>
    <row r="1943" spans="1:14" x14ac:dyDescent="0.15">
      <c r="A1943" s="23" t="str">
        <f>HYPERLINK("https://www.spark-marketing.ru/Card/Person/268105", "ОМВД РОССИИ ПО ФУРМАНОВСКОМУ РАЙОНУ")</f>
        <v>ОМВД РОССИИ ПО ФУРМАНОВСКОМУ РАЙОНУ</v>
      </c>
      <c r="B1943" s="24" t="s">
        <v>3049</v>
      </c>
      <c r="C1943" s="25">
        <v>14157.84</v>
      </c>
      <c r="D1943" s="22" t="s">
        <v>3056</v>
      </c>
      <c r="E1943" s="22" t="s">
        <v>53</v>
      </c>
      <c r="F1943" s="23" t="str">
        <f>HYPERLINK("https://www.spark-marketing.ru/Card/Lot/73176665", "Техническое обслуживание сигнализации, 1 шт")</f>
        <v>Техническое обслуживание сигнализации, 1 шт</v>
      </c>
      <c r="G1943" s="22" t="s">
        <v>340</v>
      </c>
      <c r="H1943" s="22" t="s">
        <v>3051</v>
      </c>
      <c r="I1943" s="26">
        <v>43710.6966203704</v>
      </c>
      <c r="J1943" s="28" t="s">
        <v>52</v>
      </c>
      <c r="K1943" s="28" t="s">
        <v>52</v>
      </c>
      <c r="L1943" s="28" t="s">
        <v>52</v>
      </c>
      <c r="M1943" s="28" t="s">
        <v>52</v>
      </c>
      <c r="N1943" s="28" t="s">
        <v>52</v>
      </c>
    </row>
    <row r="1944" spans="1:14" x14ac:dyDescent="0.15">
      <c r="A1944" s="23" t="str">
        <f>HYPERLINK("https://www.spark-marketing.ru/Card/Person/330016", "КУРСКАЯ АЭС - ФИЛИАЛ ОАО ""КОНЦЕРН РОСЭНЕРГОАТОМ""")</f>
        <v>КУРСКАЯ АЭС - ФИЛИАЛ ОАО "КОНЦЕРН РОСЭНЕРГОАТОМ"</v>
      </c>
      <c r="B1944" s="24" t="s">
        <v>211</v>
      </c>
      <c r="C1944" s="25">
        <v>0</v>
      </c>
      <c r="D1944" s="22" t="s">
        <v>3057</v>
      </c>
      <c r="E1944" s="22" t="s">
        <v>53</v>
      </c>
      <c r="F1944" s="23" t="str">
        <f>HYPERLINK("https://www.spark-marketing.ru/Card/Lot/73182259", "мониторинг цен в электронной форме на Научно-техническое сопровождение инженерных изысканий для объекта «Смоленская АЭС. II очередь. Комплекс систем контейнерного хранения и обращения с ОЯТ. ХОЯТ. Реконструкция. Пристрой» Этап 1")</f>
        <v>мониторинг цен в электронной форме на Научно-техническое сопровождение инженерных изысканий для объекта «Смоленская АЭС. II очередь. Комплекс систем контейнерного хранения и обращения с ОЯТ. ХОЯТ. Реконструкция. Пристрой» Этап 1</v>
      </c>
      <c r="G1944" s="22" t="s">
        <v>55</v>
      </c>
      <c r="H1944" s="22" t="s">
        <v>55</v>
      </c>
      <c r="I1944" s="26">
        <v>43710.692499999997</v>
      </c>
      <c r="J1944" s="28" t="s">
        <v>52</v>
      </c>
      <c r="K1944" s="28" t="s">
        <v>52</v>
      </c>
      <c r="L1944" s="28" t="s">
        <v>52</v>
      </c>
      <c r="M1944" s="28" t="s">
        <v>52</v>
      </c>
      <c r="N1944" s="28" t="s">
        <v>52</v>
      </c>
    </row>
    <row r="1945" spans="1:14" x14ac:dyDescent="0.15">
      <c r="A1945" s="23" t="str">
        <f>HYPERLINK("https://www.spark-marketing.ru/Card/Person/330013", "Фл АО ""Концерн Росэнергоатом"" Смоленская атомная станция")</f>
        <v>Фл АО "Концерн Росэнергоатом" Смоленская атомная станция</v>
      </c>
      <c r="B1945" s="24" t="s">
        <v>211</v>
      </c>
      <c r="C1945" s="28" t="s">
        <v>52</v>
      </c>
      <c r="D1945" s="22" t="s">
        <v>3058</v>
      </c>
      <c r="E1945" s="22" t="s">
        <v>3059</v>
      </c>
      <c r="F1945" s="23" t="str">
        <f>HYPERLINK("https://www.spark-marketing.ru/Card/Lot/73181157", "Научно-техническое сопровождение инженерных изысканий для объекта «Смоленская АЭС. II очередь. Комплекс систем контейнерного хранения и обращения с ОЯТ. ХОЯТ. Реконструкция. Пристрой» Этап 1")</f>
        <v>Научно-техническое сопровождение инженерных изысканий для объекта «Смоленская АЭС. II очередь. Комплекс систем контейнерного хранения и обращения с ОЯТ. ХОЯТ. Реконструкция. Пристрой» Этап 1</v>
      </c>
      <c r="G1945" s="22" t="s">
        <v>55</v>
      </c>
      <c r="H1945" s="22" t="s">
        <v>55</v>
      </c>
      <c r="I1945" s="26">
        <v>43710.692523148202</v>
      </c>
      <c r="J1945" s="28" t="s">
        <v>52</v>
      </c>
      <c r="K1945" s="28" t="s">
        <v>52</v>
      </c>
      <c r="L1945" s="28" t="s">
        <v>52</v>
      </c>
      <c r="M1945" s="28" t="s">
        <v>52</v>
      </c>
      <c r="N1945" s="28" t="s">
        <v>52</v>
      </c>
    </row>
    <row r="1946" spans="1:14" x14ac:dyDescent="0.15">
      <c r="A1946" s="23" t="str">
        <f>HYPERLINK("https://www.spark-marketing.ru/Card/Person/997768", "МБДОУ ""ДЕТСКИЙ САД № 5 ""СЕМИЦВЕТИК""")</f>
        <v>МБДОУ "ДЕТСКИЙ САД № 5 "СЕМИЦВЕТИК"</v>
      </c>
      <c r="B1946" s="24" t="s">
        <v>3060</v>
      </c>
      <c r="C1946" s="25">
        <v>115125</v>
      </c>
      <c r="D1946" s="22" t="s">
        <v>3061</v>
      </c>
      <c r="E1946" s="22" t="s">
        <v>59</v>
      </c>
      <c r="F1946" s="23" t="str">
        <f>HYPERLINK("https://www.spark-marketing.ru/Card/Lot/73175987", "Оборудование подведомственных муниципальных учреждений, в целях усиления их АТЗ, техническими средствами защиты (приобретение и установка дополнительных камер видеонаблюдения)")</f>
        <v>Оборудование подведомственных муниципальных учреждений, в целях усиления их АТЗ, техническими средствами защиты (приобретение и установка дополнительных камер видеонаблюдения)</v>
      </c>
      <c r="G1946" s="22" t="s">
        <v>50</v>
      </c>
      <c r="H1946" s="22" t="s">
        <v>1386</v>
      </c>
      <c r="I1946" s="26">
        <v>43710.6386921296</v>
      </c>
      <c r="J1946" s="28" t="s">
        <v>52</v>
      </c>
      <c r="K1946" s="28" t="s">
        <v>52</v>
      </c>
      <c r="L1946" s="28" t="s">
        <v>52</v>
      </c>
      <c r="M1946" s="28" t="s">
        <v>52</v>
      </c>
      <c r="N1946" s="28" t="s">
        <v>52</v>
      </c>
    </row>
    <row r="1947" spans="1:14" x14ac:dyDescent="0.15">
      <c r="A1947" s="23" t="str">
        <f>HYPERLINK("https://www.spark-marketing.ru/Card/Person/66022", "АРБИТРАЖНЫЙ СУД НОВГОРОДСКОЙ ОБЛАСТИ")</f>
        <v>АРБИТРАЖНЫЙ СУД НОВГОРОДСКОЙ ОБЛАСТИ</v>
      </c>
      <c r="B1947" s="24" t="s">
        <v>1780</v>
      </c>
      <c r="C1947" s="25">
        <v>289049.28000000003</v>
      </c>
      <c r="D1947" s="22" t="s">
        <v>3062</v>
      </c>
      <c r="E1947" s="22" t="s">
        <v>68</v>
      </c>
      <c r="F1947" s="23" t="str">
        <f>HYPERLINK("https://www.spark-marketing.ru/Card/Lot/73184391", "Услуги по охране здания")</f>
        <v>Услуги по охране здания</v>
      </c>
      <c r="G1947" s="22" t="s">
        <v>959</v>
      </c>
      <c r="H1947" s="22" t="s">
        <v>960</v>
      </c>
      <c r="I1947" s="26">
        <v>43710.665648148097</v>
      </c>
      <c r="J1947" s="28" t="s">
        <v>52</v>
      </c>
      <c r="K1947" s="28" t="s">
        <v>52</v>
      </c>
      <c r="L1947" s="28" t="s">
        <v>52</v>
      </c>
      <c r="M1947" s="28" t="s">
        <v>52</v>
      </c>
      <c r="N1947" s="28" t="s">
        <v>52</v>
      </c>
    </row>
    <row r="1948" spans="1:14" x14ac:dyDescent="0.15">
      <c r="A1948" s="23" t="str">
        <f>HYPERLINK("https://www.spark-marketing.ru/Card/Person/1008239", "МКУ ""ЕГЦДС""")</f>
        <v>МКУ "ЕГЦДС"</v>
      </c>
      <c r="B1948" s="24" t="s">
        <v>3063</v>
      </c>
      <c r="C1948" s="25">
        <v>225000</v>
      </c>
      <c r="D1948" s="22" t="s">
        <v>3064</v>
      </c>
      <c r="E1948" s="22" t="s">
        <v>415</v>
      </c>
      <c r="F1948" s="23" t="str">
        <f>HYPERLINK("https://www.spark-marketing.ru/Card/Lot/73183471", "услуги по техническому обслуживанию городской системы видеонаблюдения")</f>
        <v>услуги по техническому обслуживанию городской системы видеонаблюдения</v>
      </c>
      <c r="G1948" s="22" t="s">
        <v>1319</v>
      </c>
      <c r="H1948" s="22" t="s">
        <v>1319</v>
      </c>
      <c r="I1948" s="26">
        <v>43710.666620370401</v>
      </c>
      <c r="J1948" s="28" t="s">
        <v>52</v>
      </c>
      <c r="K1948" s="28" t="s">
        <v>52</v>
      </c>
      <c r="L1948" s="28" t="s">
        <v>52</v>
      </c>
      <c r="M1948" s="28" t="s">
        <v>52</v>
      </c>
      <c r="N1948" s="28" t="s">
        <v>52</v>
      </c>
    </row>
    <row r="1949" spans="1:14" hidden="1" outlineLevel="1" x14ac:dyDescent="0.2">
      <c r="A1949" s="23" t="str">
        <f>HYPERLINK("https://www.spark-marketing.ru/Card/Person/1008239", "МКУ ""ЕГЦДС""")</f>
        <v>МКУ "ЕГЦДС"</v>
      </c>
      <c r="B1949" s="24" t="s">
        <v>3063</v>
      </c>
      <c r="C1949" s="25">
        <v>225000</v>
      </c>
      <c r="D1949" s="22" t="s">
        <v>3064</v>
      </c>
      <c r="E1949" s="22" t="s">
        <v>415</v>
      </c>
      <c r="F1949" s="23" t="str">
        <f>HYPERLINK("https://www.spark-marketing.ru/Card/Lot/73183471", "услуги по техническому обслуживанию городской системы видеонаблюдения")</f>
        <v>услуги по техническому обслуживанию городской системы видеонаблюдения</v>
      </c>
      <c r="G1949" s="22" t="s">
        <v>1319</v>
      </c>
      <c r="H1949" s="22" t="s">
        <v>1319</v>
      </c>
      <c r="I1949" s="26">
        <v>43710.666620370401</v>
      </c>
      <c r="J1949" s="23" t="str">
        <f>HYPERLINK("https://www.spark-marketing.ru/Card/Person/4944212", "ООО ""СТУДИЯ АЙ ТИ""")</f>
        <v>ООО "СТУДИЯ АЙ ТИ"</v>
      </c>
      <c r="K1949" s="24" t="s">
        <v>3065</v>
      </c>
      <c r="L1949" s="28" t="s">
        <v>52</v>
      </c>
      <c r="M1949" s="25">
        <v>79875</v>
      </c>
      <c r="N1949" s="27">
        <v>0.64500000000000002</v>
      </c>
    </row>
    <row r="1950" spans="1:14" ht="12.75" hidden="1" outlineLevel="1" x14ac:dyDescent="0.2">
      <c r="A1950" s="23" t="str">
        <f>HYPERLINK("https://www.spark-marketing.ru/Card/Person/1008239", "МКУ ""ЕГЦДС""")</f>
        <v>МКУ "ЕГЦДС"</v>
      </c>
      <c r="B1950" s="24" t="s">
        <v>3063</v>
      </c>
      <c r="C1950" s="25">
        <v>225000</v>
      </c>
      <c r="D1950" s="22" t="s">
        <v>3064</v>
      </c>
      <c r="E1950" s="22" t="s">
        <v>415</v>
      </c>
      <c r="F1950" s="23" t="str">
        <f>HYPERLINK("https://www.spark-marketing.ru/Card/Lot/73183471", "услуги по техническому обслуживанию городской системы видеонаблюдения")</f>
        <v>услуги по техническому обслуживанию городской системы видеонаблюдения</v>
      </c>
      <c r="G1950" s="22" t="s">
        <v>1319</v>
      </c>
      <c r="H1950" s="22" t="s">
        <v>1319</v>
      </c>
      <c r="I1950" s="26">
        <v>43710.666620370401</v>
      </c>
      <c r="J1950" s="23" t="str">
        <f>HYPERLINK("https://www.spark-marketing.ru/Card/Person/6698895", "ООО ""КОННЕКТ""")</f>
        <v>ООО "КОННЕКТ"</v>
      </c>
      <c r="K1950" s="24" t="s">
        <v>3066</v>
      </c>
      <c r="L1950" s="22" t="s">
        <v>10</v>
      </c>
      <c r="M1950" s="25">
        <v>68625</v>
      </c>
      <c r="N1950" s="27">
        <v>0.69499999999999995</v>
      </c>
    </row>
    <row r="1951" spans="1:14" x14ac:dyDescent="0.15">
      <c r="A1951" s="23" t="str">
        <f>HYPERLINK("https://www.spark-marketing.ru/Card/Person/33740", "ГКУ АЗ (КС) ДЗМ")</f>
        <v>ГКУ АЗ (КС) ДЗМ</v>
      </c>
      <c r="B1951" s="24" t="s">
        <v>3067</v>
      </c>
      <c r="C1951" s="25">
        <v>14802108</v>
      </c>
      <c r="D1951" s="22" t="s">
        <v>3068</v>
      </c>
      <c r="E1951" s="22" t="s">
        <v>3069</v>
      </c>
      <c r="F1951" s="23" t="str">
        <f>HYPERLINK("https://www.spark-marketing.ru/Card/Lot/73186213", "Аукцион в электронной форме на поставку, установку и ввод в эксплуатацию видеоэндоскопов, совместимых с видеопроцессорами PENTAX, в рамках реализации Государственной программы города Москвы «Развитие здравоохранения города Москвы (Столичное здравоохр...")</f>
        <v>Аукцион в электронной форме на поставку, установку и ввод в эксплуатацию видеоэндоскопов, совместимых с видеопроцессорами PENTAX, в рамках реализации Государственной программы города Москвы «Развитие здравоохранения города Москвы (Столичное здравоохр...</v>
      </c>
      <c r="G1951" s="22" t="s">
        <v>55</v>
      </c>
      <c r="H1951" s="22" t="s">
        <v>55</v>
      </c>
      <c r="I1951" s="26">
        <v>43710.651076388902</v>
      </c>
      <c r="J1951" s="28" t="s">
        <v>52</v>
      </c>
      <c r="K1951" s="28" t="s">
        <v>52</v>
      </c>
      <c r="L1951" s="28" t="s">
        <v>52</v>
      </c>
      <c r="M1951" s="28" t="s">
        <v>52</v>
      </c>
      <c r="N1951" s="28" t="s">
        <v>52</v>
      </c>
    </row>
    <row r="1952" spans="1:14" ht="12.75" hidden="1" outlineLevel="1" x14ac:dyDescent="0.2">
      <c r="A1952" s="23" t="str">
        <f>HYPERLINK("https://www.spark-marketing.ru/Card/Person/33740", "ГКУ АЗ (КС) ДЗМ")</f>
        <v>ГКУ АЗ (КС) ДЗМ</v>
      </c>
      <c r="B1952" s="24" t="s">
        <v>3067</v>
      </c>
      <c r="C1952" s="25">
        <v>14802108</v>
      </c>
      <c r="D1952" s="22" t="s">
        <v>3068</v>
      </c>
      <c r="E1952" s="22" t="s">
        <v>3069</v>
      </c>
      <c r="F1952" s="23" t="str">
        <f>HYPERLINK("https://www.spark-marketing.ru/Card/Lot/73186213", "Аукцион в электронной форме на поставку, установку и ввод в эксплуатацию видеоэндоскопов, совместимых с видеопроцессорами PENTAX, в рамках реализации Государственной программы города Москвы «Развитие здравоохранения города Москвы (Столичное здравоохр...")</f>
        <v>Аукцион в электронной форме на поставку, установку и ввод в эксплуатацию видеоэндоскопов, совместимых с видеопроцессорами PENTAX, в рамках реализации Государственной программы города Москвы «Развитие здравоохранения города Москвы (Столичное здравоохр...</v>
      </c>
      <c r="G1952" s="22" t="s">
        <v>55</v>
      </c>
      <c r="H1952" s="22" t="s">
        <v>55</v>
      </c>
      <c r="I1952" s="26">
        <v>43710.651076388902</v>
      </c>
      <c r="J1952" s="23" t="str">
        <f>HYPERLINK("https://www.spark-marketing.ru/Card/Person/6116976", "ООО ""НЕОМЕД""")</f>
        <v>ООО "НЕОМЕД"</v>
      </c>
      <c r="K1952" s="24" t="s">
        <v>3070</v>
      </c>
      <c r="L1952" s="22" t="s">
        <v>10</v>
      </c>
      <c r="M1952" s="25">
        <v>14728095</v>
      </c>
      <c r="N1952" s="27">
        <v>5.000166192545008E-3</v>
      </c>
    </row>
    <row r="1953" spans="1:14" hidden="1" outlineLevel="1" x14ac:dyDescent="0.2">
      <c r="A1953" s="23" t="str">
        <f>HYPERLINK("https://www.spark-marketing.ru/Card/Person/33740", "ГКУ АЗ (КС) ДЗМ")</f>
        <v>ГКУ АЗ (КС) ДЗМ</v>
      </c>
      <c r="B1953" s="24" t="s">
        <v>3067</v>
      </c>
      <c r="C1953" s="25">
        <v>14802108</v>
      </c>
      <c r="D1953" s="22" t="s">
        <v>3068</v>
      </c>
      <c r="E1953" s="22" t="s">
        <v>3069</v>
      </c>
      <c r="F1953" s="23" t="str">
        <f>HYPERLINK("https://www.spark-marketing.ru/Card/Lot/73186213", "Аукцион в электронной форме на поставку, установку и ввод в эксплуатацию видеоэндоскопов, совместимых с видеопроцессорами PENTAX, в рамках реализации Государственной программы города Москвы «Развитие здравоохранения города Москвы (Столичное здравоохр...")</f>
        <v>Аукцион в электронной форме на поставку, установку и ввод в эксплуатацию видеоэндоскопов, совместимых с видеопроцессорами PENTAX, в рамках реализации Государственной программы города Москвы «Развитие здравоохранения города Москвы (Столичное здравоохр...</v>
      </c>
      <c r="G1953" s="22" t="s">
        <v>55</v>
      </c>
      <c r="H1953" s="22" t="s">
        <v>55</v>
      </c>
      <c r="I1953" s="26">
        <v>43710.651076388902</v>
      </c>
      <c r="J1953" s="23" t="str">
        <f>HYPERLINK("https://www.spark-marketing.ru/Card/Person/6437493", "ООО ""ПРАЙД МЕДИКАЛ""")</f>
        <v>ООО "ПРАЙД МЕДИКАЛ"</v>
      </c>
      <c r="K1953" s="24" t="s">
        <v>3071</v>
      </c>
      <c r="L1953" s="28" t="s">
        <v>52</v>
      </c>
      <c r="M1953" s="25">
        <v>14728095</v>
      </c>
      <c r="N1953" s="27">
        <v>5.000166192545008E-3</v>
      </c>
    </row>
    <row r="1954" spans="1:14" x14ac:dyDescent="0.15">
      <c r="A1954" s="23" t="str">
        <f>HYPERLINK("https://www.spark-marketing.ru/Card/Person/535388", "МЕЖРАЙОННАЯ ИФНС РОССИИ № 4 ПО УЛЬЯНОВСКОЙ ОБЛАСТИ")</f>
        <v>МЕЖРАЙОННАЯ ИФНС РОССИИ № 4 ПО УЛЬЯНОВСКОЙ ОБЛАСТИ</v>
      </c>
      <c r="B1954" s="24" t="s">
        <v>2665</v>
      </c>
      <c r="C1954" s="25">
        <v>77667.12</v>
      </c>
      <c r="D1954" s="22" t="s">
        <v>3072</v>
      </c>
      <c r="E1954" s="22" t="s">
        <v>53</v>
      </c>
      <c r="F1954" s="23" t="str">
        <f>HYPERLINK("https://www.spark-marketing.ru/Card/Lot/73173801", "ОХРАНА ОБЪЕКТОВ С ПОМОЩЬЮ СИСТЕМЫ ЦЕНТРАЛИЗОВАННОГО НАБЛЮДЕНИЯ")</f>
        <v>ОХРАНА ОБЪЕКТОВ С ПОМОЩЬЮ СИСТЕМЫ ЦЕНТРАЛИЗОВАННОГО НАБЛЮДЕНИЯ</v>
      </c>
      <c r="G1954" s="22" t="s">
        <v>446</v>
      </c>
      <c r="H1954" s="22" t="s">
        <v>2667</v>
      </c>
      <c r="I1954" s="26">
        <v>43710.598067129598</v>
      </c>
      <c r="J1954" s="28" t="s">
        <v>52</v>
      </c>
      <c r="K1954" s="28" t="s">
        <v>52</v>
      </c>
      <c r="L1954" s="28" t="s">
        <v>52</v>
      </c>
      <c r="M1954" s="28" t="s">
        <v>52</v>
      </c>
      <c r="N1954" s="28" t="s">
        <v>52</v>
      </c>
    </row>
    <row r="1955" spans="1:14" x14ac:dyDescent="0.15">
      <c r="A1955" s="23" t="str">
        <f>HYPERLINK("https://www.spark-marketing.ru/Card/Person/57317", "УСД В ТАМБОВСКОЙ ОБЛАСТИ")</f>
        <v>УСД В ТАМБОВСКОЙ ОБЛАСТИ</v>
      </c>
      <c r="B1955" s="24" t="s">
        <v>3073</v>
      </c>
      <c r="C1955" s="25">
        <v>407994.24</v>
      </c>
      <c r="D1955" s="22" t="s">
        <v>3074</v>
      </c>
      <c r="E1955" s="22" t="s">
        <v>68</v>
      </c>
      <c r="F1955" s="23" t="str">
        <f>HYPERLINK("https://www.spark-marketing.ru/Card/Lot/73183500", "Оказание услуг по охране объектов военизированными подразделениями, административного здания по адресу: Тамбовская область, г. Тамбов, ул. М. Горького/К. Маркса, 30/126.")</f>
        <v>Оказание услуг по охране объектов военизированными подразделениями, административного здания по адресу: Тамбовская область, г. Тамбов, ул. М. Горького/К. Маркса, 30/126.</v>
      </c>
      <c r="G1955" s="22" t="s">
        <v>1319</v>
      </c>
      <c r="H1955" s="22" t="s">
        <v>1320</v>
      </c>
      <c r="I1955" s="26">
        <v>43710.624027777798</v>
      </c>
      <c r="J1955" s="23" t="str">
        <f>HYPERLINK("https://www.spark-marketing.ru/Card/Person/4542641", "Филиал на ЮВЖД ФГП ВО ЖДТ России")</f>
        <v>Филиал на ЮВЖД ФГП ВО ЖДТ России</v>
      </c>
      <c r="K1955" s="24" t="s">
        <v>1269</v>
      </c>
      <c r="L1955" s="22" t="s">
        <v>10</v>
      </c>
      <c r="M1955" s="28" t="s">
        <v>52</v>
      </c>
      <c r="N1955" s="28" t="s">
        <v>52</v>
      </c>
    </row>
    <row r="1956" spans="1:14" x14ac:dyDescent="0.15">
      <c r="A1956" s="23" t="str">
        <f>HYPERLINK("https://www.spark-marketing.ru/Card/Person/89034", """СЕРГИЕВО-ПОСАДСКИЙ МУЗЕЙ-ЗАПОВЕДНИК""")</f>
        <v>"СЕРГИЕВО-ПОСАДСКИЙ МУЗЕЙ-ЗАПОВЕДНИК"</v>
      </c>
      <c r="B1956" s="24" t="s">
        <v>3075</v>
      </c>
      <c r="C1956" s="25">
        <v>280000</v>
      </c>
      <c r="D1956" s="22" t="s">
        <v>3076</v>
      </c>
      <c r="E1956" s="22" t="s">
        <v>59</v>
      </c>
      <c r="F1956" s="23" t="str">
        <f>HYPERLINK("https://www.spark-marketing.ru/Card/Lot/73182910", "Монтажные работы по установке системы охранно-тревожной сигнализации в помещениях Восточного корпуса музейного комплекса ""Конный двор""")</f>
        <v>Монтажные работы по установке системы охранно-тревожной сигнализации в помещениях Восточного корпуса музейного комплекса "Конный двор"</v>
      </c>
      <c r="G1956" s="22" t="s">
        <v>50</v>
      </c>
      <c r="H1956" s="22" t="s">
        <v>326</v>
      </c>
      <c r="I1956" s="26">
        <v>43710.502546296302</v>
      </c>
      <c r="J1956" s="28" t="s">
        <v>52</v>
      </c>
      <c r="K1956" s="28" t="s">
        <v>52</v>
      </c>
      <c r="L1956" s="28" t="s">
        <v>52</v>
      </c>
      <c r="M1956" s="28" t="s">
        <v>52</v>
      </c>
      <c r="N1956" s="28" t="s">
        <v>52</v>
      </c>
    </row>
    <row r="1957" spans="1:14" ht="12.75" hidden="1" outlineLevel="1" x14ac:dyDescent="0.2">
      <c r="A1957" s="23" t="str">
        <f>HYPERLINK("https://www.spark-marketing.ru/Card/Person/89034", """СЕРГИЕВО-ПОСАДСКИЙ МУЗЕЙ-ЗАПОВЕДНИК""")</f>
        <v>"СЕРГИЕВО-ПОСАДСКИЙ МУЗЕЙ-ЗАПОВЕДНИК"</v>
      </c>
      <c r="B1957" s="24" t="s">
        <v>3075</v>
      </c>
      <c r="C1957" s="25">
        <v>280000</v>
      </c>
      <c r="D1957" s="22" t="s">
        <v>3076</v>
      </c>
      <c r="E1957" s="22" t="s">
        <v>59</v>
      </c>
      <c r="F1957" s="23" t="str">
        <f>HYPERLINK("https://www.spark-marketing.ru/Card/Lot/73182910", "Монтажные работы по установке системы охранно-тревожной сигнализации в помещениях Восточного корпуса музейного комплекса ""Конный двор""")</f>
        <v>Монтажные работы по установке системы охранно-тревожной сигнализации в помещениях Восточного корпуса музейного комплекса "Конный двор"</v>
      </c>
      <c r="G1957" s="22" t="s">
        <v>50</v>
      </c>
      <c r="H1957" s="22" t="s">
        <v>326</v>
      </c>
      <c r="I1957" s="26">
        <v>43710.502546296302</v>
      </c>
      <c r="J1957" s="23" t="str">
        <f>HYPERLINK("https://www.spark-marketing.ru/Card/Person/700836", "ООО НПО ""ИНВЕСТ""")</f>
        <v>ООО НПО "ИНВЕСТ"</v>
      </c>
      <c r="K1957" s="24" t="s">
        <v>1893</v>
      </c>
      <c r="L1957" s="22" t="s">
        <v>10</v>
      </c>
      <c r="M1957" s="25">
        <v>275800</v>
      </c>
      <c r="N1957" s="27">
        <v>1.4999999999999999E-2</v>
      </c>
    </row>
    <row r="1958" spans="1:14" hidden="1" outlineLevel="1" x14ac:dyDescent="0.2">
      <c r="A1958" s="23" t="str">
        <f>HYPERLINK("https://www.spark-marketing.ru/Card/Person/89034", """СЕРГИЕВО-ПОСАДСКИЙ МУЗЕЙ-ЗАПОВЕДНИК""")</f>
        <v>"СЕРГИЕВО-ПОСАДСКИЙ МУЗЕЙ-ЗАПОВЕДНИК"</v>
      </c>
      <c r="B1958" s="24" t="s">
        <v>3075</v>
      </c>
      <c r="C1958" s="25">
        <v>280000</v>
      </c>
      <c r="D1958" s="22" t="s">
        <v>3076</v>
      </c>
      <c r="E1958" s="22" t="s">
        <v>59</v>
      </c>
      <c r="F1958" s="23" t="str">
        <f>HYPERLINK("https://www.spark-marketing.ru/Card/Lot/73182910", "Монтажные работы по установке системы охранно-тревожной сигнализации в помещениях Восточного корпуса музейного комплекса ""Конный двор""")</f>
        <v>Монтажные работы по установке системы охранно-тревожной сигнализации в помещениях Восточного корпуса музейного комплекса "Конный двор"</v>
      </c>
      <c r="G1958" s="22" t="s">
        <v>50</v>
      </c>
      <c r="H1958" s="22" t="s">
        <v>326</v>
      </c>
      <c r="I1958" s="26">
        <v>43710.502546296302</v>
      </c>
      <c r="J1958" s="23" t="str">
        <f>HYPERLINK("https://www.spark-marketing.ru/Card/Person/126096", "ООО ЧОО ""ПУЛЬСАР""")</f>
        <v>ООО ЧОО "ПУЛЬСАР"</v>
      </c>
      <c r="K1958" s="24" t="s">
        <v>1892</v>
      </c>
      <c r="L1958" s="28" t="s">
        <v>52</v>
      </c>
      <c r="M1958" s="25">
        <v>277200</v>
      </c>
      <c r="N1958" s="27">
        <v>0.01</v>
      </c>
    </row>
    <row r="1959" spans="1:14" hidden="1" outlineLevel="1" x14ac:dyDescent="0.2">
      <c r="A1959" s="23" t="str">
        <f>HYPERLINK("https://www.spark-marketing.ru/Card/Person/89034", """СЕРГИЕВО-ПОСАДСКИЙ МУЗЕЙ-ЗАПОВЕДНИК""")</f>
        <v>"СЕРГИЕВО-ПОСАДСКИЙ МУЗЕЙ-ЗАПОВЕДНИК"</v>
      </c>
      <c r="B1959" s="24" t="s">
        <v>3075</v>
      </c>
      <c r="C1959" s="25">
        <v>280000</v>
      </c>
      <c r="D1959" s="22" t="s">
        <v>3076</v>
      </c>
      <c r="E1959" s="22" t="s">
        <v>59</v>
      </c>
      <c r="F1959" s="23" t="str">
        <f>HYPERLINK("https://www.spark-marketing.ru/Card/Lot/73182910", "Монтажные работы по установке системы охранно-тревожной сигнализации в помещениях Восточного корпуса музейного комплекса ""Конный двор""")</f>
        <v>Монтажные работы по установке системы охранно-тревожной сигнализации в помещениях Восточного корпуса музейного комплекса "Конный двор"</v>
      </c>
      <c r="G1959" s="22" t="s">
        <v>50</v>
      </c>
      <c r="H1959" s="22" t="s">
        <v>326</v>
      </c>
      <c r="I1959" s="26">
        <v>43710.502546296302</v>
      </c>
      <c r="J1959" s="23" t="str">
        <f>HYPERLINK("https://www.spark-marketing.ru/Card/Person/76256", "ООО ""РПМ ""РЕСТАРХ""")</f>
        <v>ООО "РПМ "РЕСТАРХ"</v>
      </c>
      <c r="K1959" s="24" t="s">
        <v>3077</v>
      </c>
      <c r="L1959" s="28" t="s">
        <v>52</v>
      </c>
      <c r="M1959" s="25">
        <v>278600</v>
      </c>
      <c r="N1959" s="27">
        <v>5.0000000000000001E-3</v>
      </c>
    </row>
    <row r="1960" spans="1:14" x14ac:dyDescent="0.15">
      <c r="A1960" s="23" t="str">
        <f>HYPERLINK("https://www.spark-marketing.ru/Card/Person/238019", "АДМИНИСТРАЦИЯ РАБОЧЕГО ПОСЕЛКА ЧИК КОЧЕНЕВСКОГО РАЙОНА НОВОСИБИРСКОЙ ОБЛАСТИ")</f>
        <v>АДМИНИСТРАЦИЯ РАБОЧЕГО ПОСЕЛКА ЧИК КОЧЕНЕВСКОГО РАЙОНА НОВОСИБИРСКОЙ ОБЛАСТИ</v>
      </c>
      <c r="B1960" s="24" t="s">
        <v>3078</v>
      </c>
      <c r="C1960" s="25">
        <v>98000</v>
      </c>
      <c r="D1960" s="22" t="s">
        <v>3079</v>
      </c>
      <c r="E1960" s="22" t="s">
        <v>59</v>
      </c>
      <c r="F1960" s="23" t="str">
        <f>HYPERLINK("https://www.spark-marketing.ru/Card/Lot/73183339", "Покупка и монтаж системы видеонаблюдения (уличное)")</f>
        <v>Покупка и монтаж системы видеонаблюдения (уличное)</v>
      </c>
      <c r="G1960" s="22" t="s">
        <v>209</v>
      </c>
      <c r="H1960" s="22" t="s">
        <v>3080</v>
      </c>
      <c r="I1960" s="26">
        <v>43710.483078703699</v>
      </c>
      <c r="J1960" s="28" t="s">
        <v>52</v>
      </c>
      <c r="K1960" s="28" t="s">
        <v>52</v>
      </c>
      <c r="L1960" s="28" t="s">
        <v>52</v>
      </c>
      <c r="M1960" s="28" t="s">
        <v>52</v>
      </c>
      <c r="N1960" s="28" t="s">
        <v>52</v>
      </c>
    </row>
    <row r="1961" spans="1:14" x14ac:dyDescent="0.15">
      <c r="A1961" s="23" t="str">
        <f>HYPERLINK("https://www.spark-marketing.ru/Card/Person/3256847", "ООО ""ТОМСКНЕФТЕХИМ""")</f>
        <v>ООО "ТОМСКНЕФТЕХИМ"</v>
      </c>
      <c r="B1961" s="28" t="s">
        <v>52</v>
      </c>
      <c r="C1961" s="28" t="s">
        <v>52</v>
      </c>
      <c r="D1961" s="22" t="s">
        <v>3081</v>
      </c>
      <c r="E1961" s="22" t="s">
        <v>53</v>
      </c>
      <c r="F1961" s="23" t="str">
        <f>HYPERLINK("https://www.spark-marketing.ru/Card/Lot/73170331", "Лот #1. Разработка проекта по модернизации автомобильных весов «Меттлер Толедо» поосевого взвешивания савтоматизированной системой контроля, видеонаблюдением и установкой датчиков положения остановкиавтомобиля на весах.")</f>
        <v>Лот #1. Разработка проекта по модернизации автомобильных весов «Меттлер Толедо» поосевого взвешивания савтоматизированной системой контроля, видеонаблюдением и установкой датчиков положения остановкиавтомобиля на весах.</v>
      </c>
      <c r="G1961" s="22" t="s">
        <v>52</v>
      </c>
      <c r="H1961" s="22" t="s">
        <v>52</v>
      </c>
      <c r="I1961" s="26">
        <v>43710.491666666698</v>
      </c>
      <c r="J1961" s="28" t="s">
        <v>52</v>
      </c>
      <c r="K1961" s="28" t="s">
        <v>52</v>
      </c>
      <c r="L1961" s="28" t="s">
        <v>52</v>
      </c>
      <c r="M1961" s="28" t="s">
        <v>52</v>
      </c>
      <c r="N1961" s="28" t="s">
        <v>52</v>
      </c>
    </row>
    <row r="1962" spans="1:14" x14ac:dyDescent="0.15">
      <c r="A1962" s="23" t="str">
        <f>HYPERLINK("https://www.spark-marketing.ru/Card/Person/107936", "МКДОУ Д/С №38")</f>
        <v>МКДОУ Д/С №38</v>
      </c>
      <c r="B1962" s="24" t="s">
        <v>3082</v>
      </c>
      <c r="C1962" s="25">
        <v>20000</v>
      </c>
      <c r="D1962" s="22" t="s">
        <v>3083</v>
      </c>
      <c r="E1962" s="22" t="s">
        <v>84</v>
      </c>
      <c r="F1962" s="23" t="str">
        <f>HYPERLINK("https://www.spark-marketing.ru/Card/Lot/73169425", "Услуги по установки видеонаблюдения в помещениях ДОУ")</f>
        <v>Услуги по установки видеонаблюдения в помещениях ДОУ</v>
      </c>
      <c r="G1962" s="22" t="s">
        <v>50</v>
      </c>
      <c r="H1962" s="22" t="s">
        <v>1162</v>
      </c>
      <c r="I1962" s="26">
        <v>43710.430104166699</v>
      </c>
      <c r="J1962" s="28" t="s">
        <v>52</v>
      </c>
      <c r="K1962" s="28" t="s">
        <v>52</v>
      </c>
      <c r="L1962" s="28" t="s">
        <v>52</v>
      </c>
      <c r="M1962" s="28" t="s">
        <v>52</v>
      </c>
      <c r="N1962" s="28" t="s">
        <v>52</v>
      </c>
    </row>
    <row r="1963" spans="1:14" x14ac:dyDescent="0.15">
      <c r="A1963" s="23" t="str">
        <f>HYPERLINK("https://www.spark-marketing.ru/Card/Person/136135", "ФКУ СИЗО-11 УФСИН РОССИИ ПО МОСКОВСКОЙ ОБЛАСТИ")</f>
        <v>ФКУ СИЗО-11 УФСИН РОССИИ ПО МОСКОВСКОЙ ОБЛАСТИ</v>
      </c>
      <c r="B1963" s="24" t="s">
        <v>3084</v>
      </c>
      <c r="C1963" s="25">
        <v>95416.53</v>
      </c>
      <c r="D1963" s="22" t="s">
        <v>3085</v>
      </c>
      <c r="E1963" s="22" t="s">
        <v>107</v>
      </c>
      <c r="F1963" s="23" t="str">
        <f>HYPERLINK("https://www.spark-marketing.ru/Card/Lot/73167744", "техническое обслуживание системы сигнализации газовой безопасности и газоиспользующего оборудования, 3 усл. ед")</f>
        <v>техническое обслуживание системы сигнализации газовой безопасности и газоиспользующего оборудования, 3 усл. ед</v>
      </c>
      <c r="G1963" s="22" t="s">
        <v>50</v>
      </c>
      <c r="H1963" s="22" t="s">
        <v>50</v>
      </c>
      <c r="I1963" s="26">
        <v>43710.394224536998</v>
      </c>
      <c r="J1963" s="28" t="s">
        <v>52</v>
      </c>
      <c r="K1963" s="28" t="s">
        <v>52</v>
      </c>
      <c r="L1963" s="28" t="s">
        <v>52</v>
      </c>
      <c r="M1963" s="28" t="s">
        <v>52</v>
      </c>
      <c r="N1963" s="28" t="s">
        <v>52</v>
      </c>
    </row>
    <row r="1964" spans="1:14" x14ac:dyDescent="0.15">
      <c r="A1964" s="23" t="str">
        <f>HYPERLINK("https://www.spark-marketing.ru/Card/Person/3048", "ГБУЗ ""МНПЦ НАРКОЛОГИИ ДЗМ""")</f>
        <v>ГБУЗ "МНПЦ НАРКОЛОГИИ ДЗМ"</v>
      </c>
      <c r="B1964" s="24" t="s">
        <v>3086</v>
      </c>
      <c r="C1964" s="25">
        <v>2840386.32</v>
      </c>
      <c r="D1964" s="22" t="s">
        <v>3087</v>
      </c>
      <c r="E1964" s="22" t="s">
        <v>84</v>
      </c>
      <c r="F1964" s="23" t="str">
        <f>HYPERLINK("https://www.spark-marketing.ru/Card/Lot/73184862", "Аукцион в электронной форме на право заключения контракта на устройство систем видеонаблюдения и СКУД в зданиях ГБУЗ МНПЦ наркологии ДЗМ")</f>
        <v>Аукцион в электронной форме на право заключения контракта на устройство систем видеонаблюдения и СКУД в зданиях ГБУЗ МНПЦ наркологии ДЗМ</v>
      </c>
      <c r="G1964" s="22" t="s">
        <v>55</v>
      </c>
      <c r="H1964" s="22" t="s">
        <v>55</v>
      </c>
      <c r="I1964" s="26">
        <v>43710.4054398148</v>
      </c>
      <c r="J1964" s="28" t="s">
        <v>52</v>
      </c>
      <c r="K1964" s="28" t="s">
        <v>52</v>
      </c>
      <c r="L1964" s="28" t="s">
        <v>52</v>
      </c>
      <c r="M1964" s="28" t="s">
        <v>52</v>
      </c>
      <c r="N1964" s="28" t="s">
        <v>52</v>
      </c>
    </row>
    <row r="1965" spans="1:14" ht="12.75" hidden="1" outlineLevel="1" x14ac:dyDescent="0.2">
      <c r="A1965" s="23" t="str">
        <f>HYPERLINK("https://www.spark-marketing.ru/Card/Person/3048", "ГБУЗ ""МНПЦ НАРКОЛОГИИ ДЗМ""")</f>
        <v>ГБУЗ "МНПЦ НАРКОЛОГИИ ДЗМ"</v>
      </c>
      <c r="B1965" s="24" t="s">
        <v>3086</v>
      </c>
      <c r="C1965" s="25">
        <v>2840386.32</v>
      </c>
      <c r="D1965" s="22" t="s">
        <v>3087</v>
      </c>
      <c r="E1965" s="22" t="s">
        <v>84</v>
      </c>
      <c r="F1965" s="23" t="str">
        <f>HYPERLINK("https://www.spark-marketing.ru/Card/Lot/73184862", "Аукцион в электронной форме на право заключения контракта на устройство систем видеонаблюдения и СКУД в зданиях ГБУЗ МНПЦ наркологии ДЗМ")</f>
        <v>Аукцион в электронной форме на право заключения контракта на устройство систем видеонаблюдения и СКУД в зданиях ГБУЗ МНПЦ наркологии ДЗМ</v>
      </c>
      <c r="G1965" s="22" t="s">
        <v>55</v>
      </c>
      <c r="H1965" s="22" t="s">
        <v>55</v>
      </c>
      <c r="I1965" s="26">
        <v>43710.4054398148</v>
      </c>
      <c r="J1965" s="23" t="str">
        <f>HYPERLINK("https://www.spark-marketing.ru/Card/Person/413336", "ООО ""СТРОЙИНФОРМ""")</f>
        <v>ООО "СТРОЙИНФОРМ"</v>
      </c>
      <c r="K1965" s="24" t="s">
        <v>3088</v>
      </c>
      <c r="L1965" s="22" t="s">
        <v>10</v>
      </c>
      <c r="M1965" s="25">
        <v>2655761.23</v>
      </c>
      <c r="N1965" s="27">
        <v>6.4999992677052462E-2</v>
      </c>
    </row>
    <row r="1966" spans="1:14" hidden="1" outlineLevel="1" x14ac:dyDescent="0.2">
      <c r="A1966" s="23" t="str">
        <f>HYPERLINK("https://www.spark-marketing.ru/Card/Person/3048", "ГБУЗ ""МНПЦ НАРКОЛОГИИ ДЗМ""")</f>
        <v>ГБУЗ "МНПЦ НАРКОЛОГИИ ДЗМ"</v>
      </c>
      <c r="B1966" s="24" t="s">
        <v>3086</v>
      </c>
      <c r="C1966" s="25">
        <v>2840386.32</v>
      </c>
      <c r="D1966" s="22" t="s">
        <v>3087</v>
      </c>
      <c r="E1966" s="22" t="s">
        <v>84</v>
      </c>
      <c r="F1966" s="23" t="str">
        <f>HYPERLINK("https://www.spark-marketing.ru/Card/Lot/73184862", "Аукцион в электронной форме на право заключения контракта на устройство систем видеонаблюдения и СКУД в зданиях ГБУЗ МНПЦ наркологии ДЗМ")</f>
        <v>Аукцион в электронной форме на право заключения контракта на устройство систем видеонаблюдения и СКУД в зданиях ГБУЗ МНПЦ наркологии ДЗМ</v>
      </c>
      <c r="G1966" s="22" t="s">
        <v>55</v>
      </c>
      <c r="H1966" s="22" t="s">
        <v>55</v>
      </c>
      <c r="I1966" s="26">
        <v>43710.4054398148</v>
      </c>
      <c r="J1966" s="23" t="str">
        <f>HYPERLINK("https://www.spark-marketing.ru/Card/Person/62171", "ООО ""ПРОМЫШЛЕННЫЙ УЧАСТОК""")</f>
        <v>ООО "ПРОМЫШЛЕННЫЙ УЧАСТОК"</v>
      </c>
      <c r="K1966" s="24" t="s">
        <v>3089</v>
      </c>
      <c r="L1966" s="28" t="s">
        <v>52</v>
      </c>
      <c r="M1966" s="25">
        <v>2669963.16</v>
      </c>
      <c r="N1966" s="27">
        <v>5.9999993240356118E-2</v>
      </c>
    </row>
    <row r="1967" spans="1:14" hidden="1" outlineLevel="1" x14ac:dyDescent="0.2">
      <c r="A1967" s="23" t="str">
        <f>HYPERLINK("https://www.spark-marketing.ru/Card/Person/3048", "ГБУЗ ""МНПЦ НАРКОЛОГИИ ДЗМ""")</f>
        <v>ГБУЗ "МНПЦ НАРКОЛОГИИ ДЗМ"</v>
      </c>
      <c r="B1967" s="24" t="s">
        <v>3086</v>
      </c>
      <c r="C1967" s="25">
        <v>2840386.32</v>
      </c>
      <c r="D1967" s="22" t="s">
        <v>3087</v>
      </c>
      <c r="E1967" s="22" t="s">
        <v>84</v>
      </c>
      <c r="F1967" s="23" t="str">
        <f>HYPERLINK("https://www.spark-marketing.ru/Card/Lot/73184862", "Аукцион в электронной форме на право заключения контракта на устройство систем видеонаблюдения и СКУД в зданиях ГБУЗ МНПЦ наркологии ДЗМ")</f>
        <v>Аукцион в электронной форме на право заключения контракта на устройство систем видеонаблюдения и СКУД в зданиях ГБУЗ МНПЦ наркологии ДЗМ</v>
      </c>
      <c r="G1967" s="22" t="s">
        <v>55</v>
      </c>
      <c r="H1967" s="22" t="s">
        <v>55</v>
      </c>
      <c r="I1967" s="26">
        <v>43710.4054398148</v>
      </c>
      <c r="J1967" s="23" t="str">
        <f>HYPERLINK("https://www.spark-marketing.ru/Card/Person/6584283", "ООО ""БИЗНЕС СТРОЙ""")</f>
        <v>ООО "БИЗНЕС СТРОЙ"</v>
      </c>
      <c r="K1967" s="24" t="s">
        <v>3090</v>
      </c>
      <c r="L1967" s="28" t="s">
        <v>52</v>
      </c>
      <c r="M1967" s="25">
        <v>2698367.02</v>
      </c>
      <c r="N1967" s="27">
        <v>4.9999994366963438E-2</v>
      </c>
    </row>
    <row r="1968" spans="1:14" x14ac:dyDescent="0.15">
      <c r="A1968" s="23" t="str">
        <f>HYPERLINK("https://www.spark-marketing.ru/Card/Person/1033371", "БУ ОО ""ДОЛ ""МЕЧТА""")</f>
        <v>БУ ОО "ДОЛ "МЕЧТА"</v>
      </c>
      <c r="B1968" s="24" t="s">
        <v>3091</v>
      </c>
      <c r="C1968" s="25">
        <v>36800</v>
      </c>
      <c r="D1968" s="22" t="s">
        <v>3092</v>
      </c>
      <c r="E1968" s="22" t="s">
        <v>103</v>
      </c>
      <c r="F1968" s="23" t="str">
        <f>HYPERLINK("https://www.spark-marketing.ru/Card/Lot/73182566", "Услуги по техническому обслуживанию системы видеонаблюдения")</f>
        <v>Услуги по техническому обслуживанию системы видеонаблюдения</v>
      </c>
      <c r="G1968" s="22" t="s">
        <v>521</v>
      </c>
      <c r="H1968" s="22" t="s">
        <v>3093</v>
      </c>
      <c r="I1968" s="26">
        <v>43710.378784722197</v>
      </c>
      <c r="J1968" s="28" t="s">
        <v>52</v>
      </c>
      <c r="K1968" s="28" t="s">
        <v>52</v>
      </c>
      <c r="L1968" s="28" t="s">
        <v>52</v>
      </c>
      <c r="M1968" s="28" t="s">
        <v>52</v>
      </c>
      <c r="N1968" s="28" t="s">
        <v>52</v>
      </c>
    </row>
    <row r="1969" spans="1:14" hidden="1" outlineLevel="1" x14ac:dyDescent="0.2">
      <c r="A1969" s="23" t="str">
        <f>HYPERLINK("https://www.spark-marketing.ru/Card/Person/1033371", "БУ ОО ""ДОЛ ""МЕЧТА""")</f>
        <v>БУ ОО "ДОЛ "МЕЧТА"</v>
      </c>
      <c r="B1969" s="24" t="s">
        <v>3091</v>
      </c>
      <c r="C1969" s="25">
        <v>36800</v>
      </c>
      <c r="D1969" s="22" t="s">
        <v>3092</v>
      </c>
      <c r="E1969" s="22" t="s">
        <v>103</v>
      </c>
      <c r="F1969" s="23" t="str">
        <f>HYPERLINK("https://www.spark-marketing.ru/Card/Lot/73182566", "Услуги по техническому обслуживанию системы видеонаблюдения")</f>
        <v>Услуги по техническому обслуживанию системы видеонаблюдения</v>
      </c>
      <c r="G1969" s="22" t="s">
        <v>521</v>
      </c>
      <c r="H1969" s="22" t="s">
        <v>3093</v>
      </c>
      <c r="I1969" s="26">
        <v>43710.378784722197</v>
      </c>
      <c r="J1969" s="23" t="str">
        <f>HYPERLINK("https://www.spark-marketing.ru/Card/Person/105940", "ООО ""ПКФ ""ВОДОКАНАЛАВТОМАТИКА""")</f>
        <v>ООО "ПКФ "ВОДОКАНАЛАВТОМАТИКА"</v>
      </c>
      <c r="K1969" s="24" t="s">
        <v>3094</v>
      </c>
      <c r="L1969" s="28" t="s">
        <v>52</v>
      </c>
      <c r="M1969" s="25">
        <v>35144</v>
      </c>
      <c r="N1969" s="27">
        <v>4.4999999999999998E-2</v>
      </c>
    </row>
    <row r="1970" spans="1:14" ht="12.75" hidden="1" outlineLevel="1" x14ac:dyDescent="0.2">
      <c r="A1970" s="23" t="str">
        <f>HYPERLINK("https://www.spark-marketing.ru/Card/Person/1033371", "БУ ОО ""ДОЛ ""МЕЧТА""")</f>
        <v>БУ ОО "ДОЛ "МЕЧТА"</v>
      </c>
      <c r="B1970" s="24" t="s">
        <v>3091</v>
      </c>
      <c r="C1970" s="25">
        <v>36800</v>
      </c>
      <c r="D1970" s="22" t="s">
        <v>3092</v>
      </c>
      <c r="E1970" s="22" t="s">
        <v>103</v>
      </c>
      <c r="F1970" s="23" t="str">
        <f>HYPERLINK("https://www.spark-marketing.ru/Card/Lot/73182566", "Услуги по техническому обслуживанию системы видеонаблюдения")</f>
        <v>Услуги по техническому обслуживанию системы видеонаблюдения</v>
      </c>
      <c r="G1970" s="22" t="s">
        <v>521</v>
      </c>
      <c r="H1970" s="22" t="s">
        <v>3093</v>
      </c>
      <c r="I1970" s="26">
        <v>43710.378784722197</v>
      </c>
      <c r="J1970" s="23" t="str">
        <f>HYPERLINK("https://www.spark-marketing.ru/Card/Person/52162", "ООО ""ЭНЕРГОСЕРВИС""")</f>
        <v>ООО "ЭНЕРГОСЕРВИС"</v>
      </c>
      <c r="K1970" s="24" t="s">
        <v>3095</v>
      </c>
      <c r="L1970" s="22" t="s">
        <v>10</v>
      </c>
      <c r="M1970" s="25">
        <v>34960</v>
      </c>
      <c r="N1970" s="27">
        <v>0.05</v>
      </c>
    </row>
    <row r="1971" spans="1:14" x14ac:dyDescent="0.15">
      <c r="A1971" s="23" t="str">
        <f>HYPERLINK("https://www.spark-marketing.ru/Card/Person/108703", "САХАЛИНСТАТ")</f>
        <v>САХАЛИНСТАТ</v>
      </c>
      <c r="B1971" s="24" t="s">
        <v>3096</v>
      </c>
      <c r="C1971" s="25">
        <v>12500</v>
      </c>
      <c r="D1971" s="22" t="s">
        <v>3097</v>
      </c>
      <c r="E1971" s="22" t="s">
        <v>1013</v>
      </c>
      <c r="F1971" s="23" t="str">
        <f>HYPERLINK("https://www.spark-marketing.ru/Card/Lot/73167527", "Техническое обслуживание системы видеонаблюдения, 1 усл. ед")</f>
        <v>Техническое обслуживание системы видеонаблюдения, 1 усл. ед</v>
      </c>
      <c r="G1971" s="22" t="s">
        <v>69</v>
      </c>
      <c r="H1971" s="22" t="s">
        <v>973</v>
      </c>
      <c r="I1971" s="26">
        <v>43710.348958333299</v>
      </c>
      <c r="J1971" s="28" t="s">
        <v>52</v>
      </c>
      <c r="K1971" s="28" t="s">
        <v>52</v>
      </c>
      <c r="L1971" s="28" t="s">
        <v>52</v>
      </c>
      <c r="M1971" s="28" t="s">
        <v>52</v>
      </c>
      <c r="N1971" s="28" t="s">
        <v>52</v>
      </c>
    </row>
    <row r="1972" spans="1:14" x14ac:dyDescent="0.15">
      <c r="A1972" s="23" t="str">
        <f>HYPERLINK("https://www.spark-marketing.ru/Card/Person/11901", "ГБУЗ ПК ""ККД""")</f>
        <v>ГБУЗ ПК "ККД"</v>
      </c>
      <c r="B1972" s="24" t="s">
        <v>3098</v>
      </c>
      <c r="C1972" s="25">
        <v>1959953.76</v>
      </c>
      <c r="D1972" s="22" t="s">
        <v>3099</v>
      </c>
      <c r="E1972" s="22" t="s">
        <v>349</v>
      </c>
      <c r="F1972" s="23" t="str">
        <f>HYPERLINK("https://www.spark-marketing.ru/Card/Lot/73187509", "Оказание услуг по организации и техническому сопровождению системы видеонаблюдения")</f>
        <v>Оказание услуг по организации и техническому сопровождению системы видеонаблюдения</v>
      </c>
      <c r="G1972" s="22" t="s">
        <v>391</v>
      </c>
      <c r="H1972" s="22" t="s">
        <v>391</v>
      </c>
      <c r="I1972" s="26">
        <v>43710.359409722201</v>
      </c>
      <c r="J1972" s="23" t="str">
        <f>HYPERLINK("https://www.spark-marketing.ru/Card/Person/12789", "АО ""ЭР-ТЕЛЕКОМ ХОЛДИНГ""")</f>
        <v>АО "ЭР-ТЕЛЕКОМ ХОЛДИНГ"</v>
      </c>
      <c r="K1972" s="24" t="s">
        <v>3100</v>
      </c>
      <c r="L1972" s="22" t="s">
        <v>10</v>
      </c>
      <c r="M1972" s="28" t="s">
        <v>52</v>
      </c>
      <c r="N1972" s="28" t="s">
        <v>52</v>
      </c>
    </row>
    <row r="1973" spans="1:14" x14ac:dyDescent="0.15">
      <c r="A1973" s="23" t="str">
        <f>HYPERLINK("https://www.spark-marketing.ru/Card/Person/4989", "ОМВД РОССИИ ПО АЛТАЙСКОМУ РАЙОНУ")</f>
        <v>ОМВД РОССИИ ПО АЛТАЙСКОМУ РАЙОНУ</v>
      </c>
      <c r="B1973" s="24" t="s">
        <v>3101</v>
      </c>
      <c r="C1973" s="25">
        <v>62400</v>
      </c>
      <c r="D1973" s="22" t="s">
        <v>3102</v>
      </c>
      <c r="E1973" s="22" t="s">
        <v>53</v>
      </c>
      <c r="F1973" s="23" t="str">
        <f>HYPERLINK("https://www.spark-marketing.ru/Card/Lot/73167087", "Техническое обслуживание средств ОС, ОПС, ТС, видеонаблюдения и СКУД, 1 шт")</f>
        <v>Техническое обслуживание средств ОС, ОПС, ТС, видеонаблюдения и СКУД, 1 шт</v>
      </c>
      <c r="G1973" s="22" t="s">
        <v>1041</v>
      </c>
      <c r="H1973" s="22" t="s">
        <v>1041</v>
      </c>
      <c r="I1973" s="26">
        <v>43710.304942129602</v>
      </c>
      <c r="J1973" s="28" t="s">
        <v>52</v>
      </c>
      <c r="K1973" s="28" t="s">
        <v>52</v>
      </c>
      <c r="L1973" s="28" t="s">
        <v>52</v>
      </c>
      <c r="M1973" s="28" t="s">
        <v>52</v>
      </c>
      <c r="N1973" s="28" t="s">
        <v>52</v>
      </c>
    </row>
    <row r="1974" spans="1:14" x14ac:dyDescent="0.15">
      <c r="A1974" s="23" t="str">
        <f>HYPERLINK("https://www.spark-marketing.ru/Card/Person/234474", "ВОСЬМОЙ АРБИТРАЖНЫЙ АПЕЛЛЯЦИОННЫЙ СУД")</f>
        <v>ВОСЬМОЙ АРБИТРАЖНЫЙ АПЕЛЛЯЦИОННЫЙ СУД</v>
      </c>
      <c r="B1974" s="24" t="s">
        <v>3103</v>
      </c>
      <c r="C1974" s="25">
        <v>430801.52</v>
      </c>
      <c r="D1974" s="22" t="s">
        <v>3104</v>
      </c>
      <c r="E1974" s="22" t="s">
        <v>68</v>
      </c>
      <c r="F1974" s="23" t="str">
        <f>HYPERLINK("https://www.spark-marketing.ru/Card/Lot/73182747", "Услуги по осуществлению пропускного и внутриобъектового режимов, охране здания, охране помещений и прилегающей территории на объекте")</f>
        <v>Услуги по осуществлению пропускного и внутриобъектового режимов, охране здания, охране помещений и прилегающей территории на объекте</v>
      </c>
      <c r="G1974" s="22" t="s">
        <v>521</v>
      </c>
      <c r="H1974" s="22" t="s">
        <v>522</v>
      </c>
      <c r="I1974" s="26">
        <v>43710.4083217593</v>
      </c>
      <c r="J1974" s="28" t="s">
        <v>52</v>
      </c>
      <c r="K1974" s="28" t="s">
        <v>52</v>
      </c>
      <c r="L1974" s="28" t="s">
        <v>52</v>
      </c>
      <c r="M1974" s="28" t="s">
        <v>52</v>
      </c>
      <c r="N1974" s="28" t="s">
        <v>52</v>
      </c>
    </row>
    <row r="1975" spans="1:14" ht="12.75" hidden="1" outlineLevel="1" x14ac:dyDescent="0.2">
      <c r="A1975" s="23" t="str">
        <f>HYPERLINK("https://www.spark-marketing.ru/Card/Person/234474", "ВОСЬМОЙ АРБИТРАЖНЫЙ АПЕЛЛЯЦИОННЫЙ СУД")</f>
        <v>ВОСЬМОЙ АРБИТРАЖНЫЙ АПЕЛЛЯЦИОННЫЙ СУД</v>
      </c>
      <c r="B1975" s="24" t="s">
        <v>3103</v>
      </c>
      <c r="C1975" s="25">
        <v>430801.52</v>
      </c>
      <c r="D1975" s="22" t="s">
        <v>3104</v>
      </c>
      <c r="E1975" s="22" t="s">
        <v>68</v>
      </c>
      <c r="F1975" s="23" t="str">
        <f>HYPERLINK("https://www.spark-marketing.ru/Card/Lot/73182747", "Услуги по осуществлению пропускного и внутриобъектового режимов, охране здания, охране помещений и прилегающей территории на объекте")</f>
        <v>Услуги по осуществлению пропускного и внутриобъектового режимов, охране здания, охране помещений и прилегающей территории на объекте</v>
      </c>
      <c r="G1975" s="22" t="s">
        <v>521</v>
      </c>
      <c r="H1975" s="22" t="s">
        <v>522</v>
      </c>
      <c r="I1975" s="26">
        <v>43710.4083217593</v>
      </c>
      <c r="J1975" s="23" t="str">
        <f>HYPERLINK("https://www.spark-marketing.ru/Card/Person/361604", "ФГКУ ""УВО ВНГ РОССИИ ПО ОМСКОЙ ОБЛАСТИ""")</f>
        <v>ФГКУ "УВО ВНГ РОССИИ ПО ОМСКОЙ ОБЛАСТИ"</v>
      </c>
      <c r="K1975" s="24" t="s">
        <v>3105</v>
      </c>
      <c r="L1975" s="22" t="s">
        <v>10</v>
      </c>
      <c r="M1975" s="25">
        <v>226076</v>
      </c>
      <c r="N1975" s="27">
        <v>0.47522005029137315</v>
      </c>
    </row>
    <row r="1976" spans="1:14" hidden="1" outlineLevel="1" x14ac:dyDescent="0.2">
      <c r="A1976" s="23" t="str">
        <f>HYPERLINK("https://www.spark-marketing.ru/Card/Person/234474", "ВОСЬМОЙ АРБИТРАЖНЫЙ АПЕЛЛЯЦИОННЫЙ СУД")</f>
        <v>ВОСЬМОЙ АРБИТРАЖНЫЙ АПЕЛЛЯЦИОННЫЙ СУД</v>
      </c>
      <c r="B1976" s="24" t="s">
        <v>3103</v>
      </c>
      <c r="C1976" s="25">
        <v>430801.52</v>
      </c>
      <c r="D1976" s="22" t="s">
        <v>3104</v>
      </c>
      <c r="E1976" s="22" t="s">
        <v>68</v>
      </c>
      <c r="F1976" s="23" t="str">
        <f>HYPERLINK("https://www.spark-marketing.ru/Card/Lot/73182747", "Услуги по осуществлению пропускного и внутриобъектового режимов, охране здания, охране помещений и прилегающей территории на объекте")</f>
        <v>Услуги по осуществлению пропускного и внутриобъектового режимов, охране здания, охране помещений и прилегающей территории на объекте</v>
      </c>
      <c r="G1976" s="22" t="s">
        <v>521</v>
      </c>
      <c r="H1976" s="22" t="s">
        <v>522</v>
      </c>
      <c r="I1976" s="26">
        <v>43710.4083217593</v>
      </c>
      <c r="J1976" s="23" t="str">
        <f>HYPERLINK("https://www.spark-marketing.ru/Card/Person/666553", "ФГП ВО ЖДТ РОССИИ")</f>
        <v>ФГП ВО ЖДТ РОССИИ</v>
      </c>
      <c r="K1976" s="24" t="s">
        <v>1269</v>
      </c>
      <c r="L1976" s="28" t="s">
        <v>52</v>
      </c>
      <c r="M1976" s="25">
        <v>323102</v>
      </c>
      <c r="N1976" s="27">
        <v>0.24999800372106393</v>
      </c>
    </row>
    <row r="1977" spans="1:14" hidden="1" outlineLevel="1" x14ac:dyDescent="0.2">
      <c r="A1977" s="23" t="str">
        <f>HYPERLINK("https://www.spark-marketing.ru/Card/Person/234474", "ВОСЬМОЙ АРБИТРАЖНЫЙ АПЕЛЛЯЦИОННЫЙ СУД")</f>
        <v>ВОСЬМОЙ АРБИТРАЖНЫЙ АПЕЛЛЯЦИОННЫЙ СУД</v>
      </c>
      <c r="B1977" s="24" t="s">
        <v>3103</v>
      </c>
      <c r="C1977" s="25">
        <v>430801.52</v>
      </c>
      <c r="D1977" s="22" t="s">
        <v>3104</v>
      </c>
      <c r="E1977" s="22" t="s">
        <v>68</v>
      </c>
      <c r="F1977" s="23" t="str">
        <f>HYPERLINK("https://www.spark-marketing.ru/Card/Lot/73182747", "Услуги по осуществлению пропускного и внутриобъектового режимов, охране здания, охране помещений и прилегающей территории на объекте")</f>
        <v>Услуги по осуществлению пропускного и внутриобъектового режимов, охране здания, охране помещений и прилегающей территории на объекте</v>
      </c>
      <c r="G1977" s="22" t="s">
        <v>521</v>
      </c>
      <c r="H1977" s="22" t="s">
        <v>522</v>
      </c>
      <c r="I1977" s="26">
        <v>43710.4083217593</v>
      </c>
      <c r="J1977" s="23" t="str">
        <f>HYPERLINK("https://www.spark-marketing.ru/Card/Person/4493553", "ФЛ ФГУП ""ОХРАНА"" РОСГВАРДИИ ПО ОМСКОЙ ОБЛАСТИ")</f>
        <v>ФЛ ФГУП "ОХРАНА" РОСГВАРДИИ ПО ОМСКОЙ ОБЛАСТИ</v>
      </c>
      <c r="K1977" s="24" t="s">
        <v>779</v>
      </c>
      <c r="L1977" s="28" t="s">
        <v>52</v>
      </c>
      <c r="M1977" s="25">
        <v>388439.9</v>
      </c>
      <c r="N1977" s="27">
        <v>9.8332104306410067E-2</v>
      </c>
    </row>
    <row r="1978" spans="1:14" x14ac:dyDescent="0.15">
      <c r="A1978" s="23" t="str">
        <f>HYPERLINK("https://www.spark-marketing.ru/Card/Person/1781069", "ООО ""БУРГЕР РУС""")</f>
        <v>ООО "БУРГЕР РУС"</v>
      </c>
      <c r="B1978" s="24" t="s">
        <v>3106</v>
      </c>
      <c r="C1978" s="25">
        <v>0</v>
      </c>
      <c r="D1978" s="22" t="s">
        <v>3107</v>
      </c>
      <c r="E1978" s="22" t="s">
        <v>208</v>
      </c>
      <c r="F1978" s="23" t="str">
        <f>HYPERLINK("https://www.spark-marketing.ru/Card/Lot/73172109", "Сетевой регистратор с подключением до 16 IP-камер - TRASSIR MiniNVR AF 16")</f>
        <v>Сетевой регистратор с подключением до 16 IP-камер - TRASSIR MiniNVR AF 16</v>
      </c>
      <c r="G1978" s="22" t="s">
        <v>55</v>
      </c>
      <c r="H1978" s="22" t="s">
        <v>55</v>
      </c>
      <c r="I1978" s="26">
        <v>43710.4367361111</v>
      </c>
      <c r="J1978" s="28" t="s">
        <v>52</v>
      </c>
      <c r="K1978" s="28" t="s">
        <v>52</v>
      </c>
      <c r="L1978" s="28" t="s">
        <v>52</v>
      </c>
      <c r="M1978" s="28" t="s">
        <v>52</v>
      </c>
      <c r="N1978" s="28" t="s">
        <v>52</v>
      </c>
    </row>
    <row r="1979" spans="1:14" x14ac:dyDescent="0.15">
      <c r="A1979" s="23" t="str">
        <f>HYPERLINK("https://www.spark-marketing.ru/Card/Person/1781069", "ООО ""БУРГЕР РУС""")</f>
        <v>ООО "БУРГЕР РУС"</v>
      </c>
      <c r="B1979" s="24" t="s">
        <v>3106</v>
      </c>
      <c r="C1979" s="25">
        <v>0</v>
      </c>
      <c r="D1979" s="22" t="s">
        <v>3107</v>
      </c>
      <c r="E1979" s="22" t="s">
        <v>208</v>
      </c>
      <c r="F1979" s="23" t="str">
        <f>HYPERLINK("https://www.spark-marketing.ru/Card/Lot/73172105", "Камера TRASSIR TR-D3121IR1 v4 2.8 (офис)")</f>
        <v>Камера TRASSIR TR-D3121IR1 v4 2.8 (офис)</v>
      </c>
      <c r="G1979" s="22" t="s">
        <v>55</v>
      </c>
      <c r="H1979" s="22" t="s">
        <v>55</v>
      </c>
      <c r="I1979" s="26">
        <v>43710.4367361111</v>
      </c>
      <c r="J1979" s="28" t="s">
        <v>52</v>
      </c>
      <c r="K1979" s="28" t="s">
        <v>52</v>
      </c>
      <c r="L1979" s="28" t="s">
        <v>52</v>
      </c>
      <c r="M1979" s="28" t="s">
        <v>52</v>
      </c>
      <c r="N1979" s="28" t="s">
        <v>52</v>
      </c>
    </row>
    <row r="1980" spans="1:14" x14ac:dyDescent="0.15">
      <c r="A1980" s="23" t="str">
        <f>HYPERLINK("https://www.spark-marketing.ru/Card/Person/1781069", "ООО ""БУРГЕР РУС""")</f>
        <v>ООО "БУРГЕР РУС"</v>
      </c>
      <c r="B1980" s="24" t="s">
        <v>3106</v>
      </c>
      <c r="C1980" s="25">
        <v>0</v>
      </c>
      <c r="D1980" s="22" t="s">
        <v>3107</v>
      </c>
      <c r="E1980" s="22" t="s">
        <v>208</v>
      </c>
      <c r="F1980" s="23" t="str">
        <f>HYPERLINK("https://www.spark-marketing.ru/Card/Lot/73172115", "Расшивка в патч панель, подключение, маркировка и тестирование на категорию 5е\ за кабель")</f>
        <v>Расшивка в патч панель, подключение, маркировка и тестирование на категорию 5е\ за кабель</v>
      </c>
      <c r="G1980" s="22" t="s">
        <v>55</v>
      </c>
      <c r="H1980" s="22" t="s">
        <v>55</v>
      </c>
      <c r="I1980" s="26">
        <v>43710.4367361111</v>
      </c>
      <c r="J1980" s="28" t="s">
        <v>52</v>
      </c>
      <c r="K1980" s="28" t="s">
        <v>52</v>
      </c>
      <c r="L1980" s="28" t="s">
        <v>52</v>
      </c>
      <c r="M1980" s="28" t="s">
        <v>52</v>
      </c>
      <c r="N1980" s="28" t="s">
        <v>52</v>
      </c>
    </row>
    <row r="1981" spans="1:14" x14ac:dyDescent="0.15">
      <c r="A1981" s="23" t="str">
        <f>HYPERLINK("https://www.spark-marketing.ru/Card/Person/1781069", "ООО ""БУРГЕР РУС""")</f>
        <v>ООО "БУРГЕР РУС"</v>
      </c>
      <c r="B1981" s="24" t="s">
        <v>3106</v>
      </c>
      <c r="C1981" s="25">
        <v>0</v>
      </c>
      <c r="D1981" s="22" t="s">
        <v>3107</v>
      </c>
      <c r="E1981" s="22" t="s">
        <v>208</v>
      </c>
      <c r="F1981" s="23" t="str">
        <f>HYPERLINK("https://www.spark-marketing.ru/Card/Lot/73172106", "Камера TRASSIR TR-D3121IR1 v4 2.8 (зал, подсобки)")</f>
        <v>Камера TRASSIR TR-D3121IR1 v4 2.8 (зал, подсобки)</v>
      </c>
      <c r="G1981" s="22" t="s">
        <v>55</v>
      </c>
      <c r="H1981" s="22" t="s">
        <v>55</v>
      </c>
      <c r="I1981" s="26">
        <v>43710.4367361111</v>
      </c>
      <c r="J1981" s="28" t="s">
        <v>52</v>
      </c>
      <c r="K1981" s="28" t="s">
        <v>52</v>
      </c>
      <c r="L1981" s="28" t="s">
        <v>52</v>
      </c>
      <c r="M1981" s="28" t="s">
        <v>52</v>
      </c>
      <c r="N1981" s="28" t="s">
        <v>52</v>
      </c>
    </row>
    <row r="1982" spans="1:14" x14ac:dyDescent="0.15">
      <c r="A1982" s="23" t="str">
        <f>HYPERLINK("https://www.spark-marketing.ru/Card/Person/1781069", "ООО ""БУРГЕР РУС""")</f>
        <v>ООО "БУРГЕР РУС"</v>
      </c>
      <c r="B1982" s="24" t="s">
        <v>3106</v>
      </c>
      <c r="C1982" s="25">
        <v>0</v>
      </c>
      <c r="D1982" s="22" t="s">
        <v>3107</v>
      </c>
      <c r="E1982" s="22" t="s">
        <v>208</v>
      </c>
      <c r="F1982" s="23" t="str">
        <f>HYPERLINK("https://www.spark-marketing.ru/Card/Lot/73172123", "Замок электромагнитный Smartec ST-EL160S")</f>
        <v>Замок электромагнитный Smartec ST-EL160S</v>
      </c>
      <c r="G1982" s="22" t="s">
        <v>55</v>
      </c>
      <c r="H1982" s="22" t="s">
        <v>55</v>
      </c>
      <c r="I1982" s="26">
        <v>43710.4367361111</v>
      </c>
      <c r="J1982" s="28" t="s">
        <v>52</v>
      </c>
      <c r="K1982" s="28" t="s">
        <v>52</v>
      </c>
      <c r="L1982" s="28" t="s">
        <v>52</v>
      </c>
      <c r="M1982" s="28" t="s">
        <v>52</v>
      </c>
      <c r="N1982" s="28" t="s">
        <v>52</v>
      </c>
    </row>
    <row r="1983" spans="1:14" x14ac:dyDescent="0.15">
      <c r="A1983" s="23" t="str">
        <f>HYPERLINK("https://www.spark-marketing.ru/Card/Person/1910040", "АО ""ЛПК ""КИПЕЛОВО""")</f>
        <v>АО "ЛПК "КИПЕЛОВО"</v>
      </c>
      <c r="B1983" s="24" t="s">
        <v>3108</v>
      </c>
      <c r="C1983" s="28" t="s">
        <v>52</v>
      </c>
      <c r="D1983" s="28" t="s">
        <v>52</v>
      </c>
      <c r="E1983" s="22" t="s">
        <v>53</v>
      </c>
      <c r="F1983" s="23" t="str">
        <f>HYPERLINK("https://www.spark-marketing.ru/Card/Lot/73170412", "Извещение о проведении закупочной процедуры по выбору организации на оказание охранных услуг")</f>
        <v>Извещение о проведении закупочной процедуры по выбору организации на оказание охранных услуг</v>
      </c>
      <c r="G1983" s="22" t="s">
        <v>902</v>
      </c>
      <c r="H1983" s="22" t="s">
        <v>902</v>
      </c>
      <c r="I1983" s="26">
        <v>43710</v>
      </c>
      <c r="J1983" s="28" t="s">
        <v>52</v>
      </c>
      <c r="K1983" s="28" t="s">
        <v>52</v>
      </c>
      <c r="L1983" s="28" t="s">
        <v>52</v>
      </c>
      <c r="M1983" s="28" t="s">
        <v>52</v>
      </c>
      <c r="N1983" s="28" t="s">
        <v>52</v>
      </c>
    </row>
    <row r="1984" spans="1:14" x14ac:dyDescent="0.15">
      <c r="A1984" s="23" t="str">
        <f>HYPERLINK("https://www.spark-marketing.ru/Card/Person/1781069", "ООО ""БУРГЕР РУС""")</f>
        <v>ООО "БУРГЕР РУС"</v>
      </c>
      <c r="B1984" s="24" t="s">
        <v>3106</v>
      </c>
      <c r="C1984" s="25">
        <v>0</v>
      </c>
      <c r="D1984" s="22" t="s">
        <v>3107</v>
      </c>
      <c r="E1984" s="22" t="s">
        <v>208</v>
      </c>
      <c r="F1984" s="23" t="str">
        <f>HYPERLINK("https://www.spark-marketing.ru/Card/Lot/73172126", "Уголок «L» образный")</f>
        <v>Уголок «L» образный</v>
      </c>
      <c r="G1984" s="22" t="s">
        <v>55</v>
      </c>
      <c r="H1984" s="22" t="s">
        <v>55</v>
      </c>
      <c r="I1984" s="26">
        <v>43710.4367361111</v>
      </c>
      <c r="J1984" s="28" t="s">
        <v>52</v>
      </c>
      <c r="K1984" s="28" t="s">
        <v>52</v>
      </c>
      <c r="L1984" s="28" t="s">
        <v>52</v>
      </c>
      <c r="M1984" s="28" t="s">
        <v>52</v>
      </c>
      <c r="N1984" s="28" t="s">
        <v>52</v>
      </c>
    </row>
    <row r="1985" spans="1:14" x14ac:dyDescent="0.2">
      <c r="A1985" s="23" t="str">
        <f>HYPERLINK("https://www.spark-marketing.ru/Card/Person/4352901", "ФГУП ""АРХАНГЕЛЬСКОЕ"" ФСИН РОССИИ")</f>
        <v>ФГУП "АРХАНГЕЛЬСКОЕ" ФСИН РОССИИ</v>
      </c>
      <c r="B1985" s="24" t="s">
        <v>3109</v>
      </c>
      <c r="C1985" s="25">
        <v>409000</v>
      </c>
      <c r="D1985" s="22" t="s">
        <v>3110</v>
      </c>
      <c r="E1985" s="22" t="s">
        <v>1002</v>
      </c>
      <c r="F1985" s="23" t="str">
        <f>HYPERLINK("https://www.spark-marketing.ru/Card/Lot/73170801", "услуги охраны объекта")</f>
        <v>услуги охраны объекта</v>
      </c>
      <c r="G1985" s="22" t="s">
        <v>72</v>
      </c>
      <c r="H1985" s="22" t="s">
        <v>72</v>
      </c>
      <c r="I1985" s="26">
        <v>43710</v>
      </c>
      <c r="J1985" s="28" t="s">
        <v>52</v>
      </c>
      <c r="K1985" s="28" t="s">
        <v>52</v>
      </c>
      <c r="L1985" s="28" t="s">
        <v>52</v>
      </c>
      <c r="M1985" s="25">
        <v>405000</v>
      </c>
      <c r="N1985" s="27">
        <v>9.7799511002444987E-3</v>
      </c>
    </row>
    <row r="1986" spans="1:14" x14ac:dyDescent="0.15">
      <c r="A1986" s="23" t="str">
        <f>HYPERLINK("https://www.spark-marketing.ru/Card/Person/4348629", "АО ""ПО ЭХЗ""АО ""ПО ""ЭЛЕКТРОХИМИЧЕСКИЙ ЗАВОД""")</f>
        <v>АО "ПО ЭХЗ"АО "ПО "ЭЛЕКТРОХИМИЧЕСКИЙ ЗАВОД"</v>
      </c>
      <c r="B1986" s="24" t="s">
        <v>3111</v>
      </c>
      <c r="C1986" s="25">
        <v>204800</v>
      </c>
      <c r="D1986" s="22" t="s">
        <v>3112</v>
      </c>
      <c r="E1986" s="22" t="s">
        <v>53</v>
      </c>
      <c r="F1986" s="23" t="str">
        <f>HYPERLINK("https://www.spark-marketing.ru/Card/Lot/73170416", "Право заключения договора на 907-O110-19/619 охрана объектов АО «ПО ЭХЗ», расположенных по адресу: Красноярский край, г. Зеленогорск, ул. Первая Промышленная, 1 «Ж»")</f>
        <v>Право заключения договора на 907-O110-19/619 охрана объектов АО «ПО ЭХЗ», расположенных по адресу: Красноярский край, г. Зеленогорск, ул. Первая Промышленная, 1 «Ж»</v>
      </c>
      <c r="G1986" s="22" t="s">
        <v>640</v>
      </c>
      <c r="H1986" s="22" t="s">
        <v>3113</v>
      </c>
      <c r="I1986" s="26">
        <v>43710</v>
      </c>
      <c r="J1986" s="28" t="s">
        <v>52</v>
      </c>
      <c r="K1986" s="28" t="s">
        <v>52</v>
      </c>
      <c r="L1986" s="28" t="s">
        <v>52</v>
      </c>
      <c r="M1986" s="28" t="s">
        <v>52</v>
      </c>
      <c r="N1986" s="28" t="s">
        <v>52</v>
      </c>
    </row>
    <row r="1987" spans="1:14" x14ac:dyDescent="0.15">
      <c r="A1987" s="23" t="str">
        <f t="shared" ref="A1987:A1994" si="79">HYPERLINK("https://www.spark-marketing.ru/Card/Person/1781069", "ООО ""БУРГЕР РУС""")</f>
        <v>ООО "БУРГЕР РУС"</v>
      </c>
      <c r="B1987" s="24" t="s">
        <v>3106</v>
      </c>
      <c r="C1987" s="25">
        <v>0</v>
      </c>
      <c r="D1987" s="22" t="s">
        <v>3107</v>
      </c>
      <c r="E1987" s="22" t="s">
        <v>208</v>
      </c>
      <c r="F1987" s="23" t="str">
        <f>HYPERLINK("https://www.spark-marketing.ru/Card/Lot/73172107", "Камера TRASSIR TR-D2B5 2.8 (улица,драйв,летник)")</f>
        <v>Камера TRASSIR TR-D2B5 2.8 (улица,драйв,летник)</v>
      </c>
      <c r="G1987" s="22" t="s">
        <v>55</v>
      </c>
      <c r="H1987" s="22" t="s">
        <v>55</v>
      </c>
      <c r="I1987" s="26">
        <v>43710.4367361111</v>
      </c>
      <c r="J1987" s="28" t="s">
        <v>52</v>
      </c>
      <c r="K1987" s="28" t="s">
        <v>52</v>
      </c>
      <c r="L1987" s="28" t="s">
        <v>52</v>
      </c>
      <c r="M1987" s="28" t="s">
        <v>52</v>
      </c>
      <c r="N1987" s="28" t="s">
        <v>52</v>
      </c>
    </row>
    <row r="1988" spans="1:14" x14ac:dyDescent="0.15">
      <c r="A1988" s="23" t="str">
        <f t="shared" si="79"/>
        <v>ООО "БУРГЕР РУС"</v>
      </c>
      <c r="B1988" s="24" t="s">
        <v>3106</v>
      </c>
      <c r="C1988" s="25">
        <v>0</v>
      </c>
      <c r="D1988" s="22" t="s">
        <v>3107</v>
      </c>
      <c r="E1988" s="22" t="s">
        <v>208</v>
      </c>
      <c r="F1988" s="23" t="str">
        <f>HYPERLINK("https://www.spark-marketing.ru/Card/Lot/73172118", "Техническая поддержка Видеонаблюдения за 1 ресторан (выезды оплачиваются отдельно)")</f>
        <v>Техническая поддержка Видеонаблюдения за 1 ресторан (выезды оплачиваются отдельно)</v>
      </c>
      <c r="G1988" s="22" t="s">
        <v>55</v>
      </c>
      <c r="H1988" s="22" t="s">
        <v>55</v>
      </c>
      <c r="I1988" s="26">
        <v>43710.4367361111</v>
      </c>
      <c r="J1988" s="28" t="s">
        <v>52</v>
      </c>
      <c r="K1988" s="28" t="s">
        <v>52</v>
      </c>
      <c r="L1988" s="28" t="s">
        <v>52</v>
      </c>
      <c r="M1988" s="28" t="s">
        <v>52</v>
      </c>
      <c r="N1988" s="28" t="s">
        <v>52</v>
      </c>
    </row>
    <row r="1989" spans="1:14" x14ac:dyDescent="0.15">
      <c r="A1989" s="23" t="str">
        <f t="shared" si="79"/>
        <v>ООО "БУРГЕР РУС"</v>
      </c>
      <c r="B1989" s="24" t="s">
        <v>3106</v>
      </c>
      <c r="C1989" s="25">
        <v>0</v>
      </c>
      <c r="D1989" s="22" t="s">
        <v>3107</v>
      </c>
      <c r="E1989" s="22" t="s">
        <v>208</v>
      </c>
      <c r="F1989" s="23" t="str">
        <f>HYPERLINK("https://www.spark-marketing.ru/Card/Lot/73172121", "Кнопка выхода SB 1")</f>
        <v>Кнопка выхода SB 1</v>
      </c>
      <c r="G1989" s="22" t="s">
        <v>55</v>
      </c>
      <c r="H1989" s="22" t="s">
        <v>55</v>
      </c>
      <c r="I1989" s="26">
        <v>43710.4367361111</v>
      </c>
      <c r="J1989" s="28" t="s">
        <v>52</v>
      </c>
      <c r="K1989" s="28" t="s">
        <v>52</v>
      </c>
      <c r="L1989" s="28" t="s">
        <v>52</v>
      </c>
      <c r="M1989" s="28" t="s">
        <v>52</v>
      </c>
      <c r="N1989" s="28" t="s">
        <v>52</v>
      </c>
    </row>
    <row r="1990" spans="1:14" x14ac:dyDescent="0.15">
      <c r="A1990" s="23" t="str">
        <f t="shared" si="79"/>
        <v>ООО "БУРГЕР РУС"</v>
      </c>
      <c r="B1990" s="24" t="s">
        <v>3106</v>
      </c>
      <c r="C1990" s="25">
        <v>0</v>
      </c>
      <c r="D1990" s="22" t="s">
        <v>3107</v>
      </c>
      <c r="E1990" s="22" t="s">
        <v>208</v>
      </c>
      <c r="F1990" s="23" t="str">
        <f>HYPERLINK("https://www.spark-marketing.ru/Card/Lot/73172125", "Контроллер SRAZH SR-SC151K")</f>
        <v>Контроллер SRAZH SR-SC151K</v>
      </c>
      <c r="G1990" s="22" t="s">
        <v>55</v>
      </c>
      <c r="H1990" s="22" t="s">
        <v>55</v>
      </c>
      <c r="I1990" s="26">
        <v>43710.4367361111</v>
      </c>
      <c r="J1990" s="28" t="s">
        <v>52</v>
      </c>
      <c r="K1990" s="28" t="s">
        <v>52</v>
      </c>
      <c r="L1990" s="28" t="s">
        <v>52</v>
      </c>
      <c r="M1990" s="28" t="s">
        <v>52</v>
      </c>
      <c r="N1990" s="28" t="s">
        <v>52</v>
      </c>
    </row>
    <row r="1991" spans="1:14" x14ac:dyDescent="0.15">
      <c r="A1991" s="23" t="str">
        <f t="shared" si="79"/>
        <v>ООО "БУРГЕР РУС"</v>
      </c>
      <c r="B1991" s="24" t="s">
        <v>3106</v>
      </c>
      <c r="C1991" s="25">
        <v>0</v>
      </c>
      <c r="D1991" s="22" t="s">
        <v>3107</v>
      </c>
      <c r="E1991" s="22" t="s">
        <v>208</v>
      </c>
      <c r="F1991" s="23" t="str">
        <f>HYPERLINK("https://www.spark-marketing.ru/Card/Lot/73172104", "Камера TRASSIR TR-D8121IR2 v4 2.8 (кассы)")</f>
        <v>Камера TRASSIR TR-D8121IR2 v4 2.8 (кассы)</v>
      </c>
      <c r="G1991" s="22" t="s">
        <v>55</v>
      </c>
      <c r="H1991" s="22" t="s">
        <v>55</v>
      </c>
      <c r="I1991" s="26">
        <v>43710.4367361111</v>
      </c>
      <c r="J1991" s="28" t="s">
        <v>52</v>
      </c>
      <c r="K1991" s="28" t="s">
        <v>52</v>
      </c>
      <c r="L1991" s="28" t="s">
        <v>52</v>
      </c>
      <c r="M1991" s="28" t="s">
        <v>52</v>
      </c>
      <c r="N1991" s="28" t="s">
        <v>52</v>
      </c>
    </row>
    <row r="1992" spans="1:14" x14ac:dyDescent="0.15">
      <c r="A1992" s="23" t="str">
        <f t="shared" si="79"/>
        <v>ООО "БУРГЕР РУС"</v>
      </c>
      <c r="B1992" s="24" t="s">
        <v>3106</v>
      </c>
      <c r="C1992" s="25">
        <v>0</v>
      </c>
      <c r="D1992" s="22" t="s">
        <v>3107</v>
      </c>
      <c r="E1992" s="22" t="s">
        <v>208</v>
      </c>
      <c r="F1992" s="23" t="str">
        <f>HYPERLINK("https://www.spark-marketing.ru/Card/Lot/73172359", "Камера TRASSIR TR-D8121IR2 v4 2.8 (удаленный склад)")</f>
        <v>Камера TRASSIR TR-D8121IR2 v4 2.8 (удаленный склад)</v>
      </c>
      <c r="G1992" s="22" t="s">
        <v>55</v>
      </c>
      <c r="H1992" s="22" t="s">
        <v>55</v>
      </c>
      <c r="I1992" s="26">
        <v>43710.4367361111</v>
      </c>
      <c r="J1992" s="28" t="s">
        <v>52</v>
      </c>
      <c r="K1992" s="28" t="s">
        <v>52</v>
      </c>
      <c r="L1992" s="28" t="s">
        <v>52</v>
      </c>
      <c r="M1992" s="28" t="s">
        <v>52</v>
      </c>
      <c r="N1992" s="28" t="s">
        <v>52</v>
      </c>
    </row>
    <row r="1993" spans="1:14" x14ac:dyDescent="0.15">
      <c r="A1993" s="23" t="str">
        <f t="shared" si="79"/>
        <v>ООО "БУРГЕР РУС"</v>
      </c>
      <c r="B1993" s="24" t="s">
        <v>3106</v>
      </c>
      <c r="C1993" s="25">
        <v>0</v>
      </c>
      <c r="D1993" s="22" t="s">
        <v>3107</v>
      </c>
      <c r="E1993" s="22" t="s">
        <v>208</v>
      </c>
      <c r="F1993" s="23" t="str">
        <f>HYPERLINK("https://www.spark-marketing.ru/Card/Lot/73172120", "Стоимость выезда по России")</f>
        <v>Стоимость выезда по России</v>
      </c>
      <c r="G1993" s="22" t="s">
        <v>55</v>
      </c>
      <c r="H1993" s="22" t="s">
        <v>55</v>
      </c>
      <c r="I1993" s="26">
        <v>43710.4367361111</v>
      </c>
      <c r="J1993" s="28" t="s">
        <v>52</v>
      </c>
      <c r="K1993" s="28" t="s">
        <v>52</v>
      </c>
      <c r="L1993" s="28" t="s">
        <v>52</v>
      </c>
      <c r="M1993" s="28" t="s">
        <v>52</v>
      </c>
      <c r="N1993" s="28" t="s">
        <v>52</v>
      </c>
    </row>
    <row r="1994" spans="1:14" x14ac:dyDescent="0.15">
      <c r="A1994" s="23" t="str">
        <f t="shared" si="79"/>
        <v>ООО "БУРГЕР РУС"</v>
      </c>
      <c r="B1994" s="24" t="s">
        <v>3106</v>
      </c>
      <c r="C1994" s="25">
        <v>0</v>
      </c>
      <c r="D1994" s="22" t="s">
        <v>3107</v>
      </c>
      <c r="E1994" s="22" t="s">
        <v>208</v>
      </c>
      <c r="F1994" s="23" t="str">
        <f>HYPERLINK("https://www.spark-marketing.ru/Card/Lot/73172124", "ЭМЗ Шериф-1 лайт (НО-К)")</f>
        <v>ЭМЗ Шериф-1 лайт (НО-К)</v>
      </c>
      <c r="G1994" s="22" t="s">
        <v>55</v>
      </c>
      <c r="H1994" s="22" t="s">
        <v>55</v>
      </c>
      <c r="I1994" s="26">
        <v>43710.4367361111</v>
      </c>
      <c r="J1994" s="28" t="s">
        <v>52</v>
      </c>
      <c r="K1994" s="28" t="s">
        <v>52</v>
      </c>
      <c r="L1994" s="28" t="s">
        <v>52</v>
      </c>
      <c r="M1994" s="28" t="s">
        <v>52</v>
      </c>
      <c r="N1994" s="28" t="s">
        <v>52</v>
      </c>
    </row>
    <row r="1995" spans="1:14" x14ac:dyDescent="0.2">
      <c r="A1995" s="23" t="str">
        <f>HYPERLINK("https://www.spark-marketing.ru/Card/Person/1753327", "ООО ""СК ""РУСВЬЕТПЕТРО""")</f>
        <v>ООО "СК "РУСВЬЕТПЕТРО"</v>
      </c>
      <c r="B1995" s="24" t="s">
        <v>3114</v>
      </c>
      <c r="C1995" s="25">
        <v>1348620</v>
      </c>
      <c r="D1995" s="22" t="s">
        <v>3115</v>
      </c>
      <c r="E1995" s="22" t="s">
        <v>2577</v>
      </c>
      <c r="F1995" s="23" t="str">
        <f>HYPERLINK("https://www.spark-marketing.ru/Card/Lot/73179661", "Техническое обслуживание системы охранного видеонаблюдения в вахтовых жилых комплексах Северо-Хоседаюского нефтяного месторождения")</f>
        <v>Техническое обслуживание системы охранного видеонаблюдения в вахтовых жилых комплексах Северо-Хоседаюского нефтяного месторождения</v>
      </c>
      <c r="G1995" s="22" t="s">
        <v>1014</v>
      </c>
      <c r="H1995" s="22" t="s">
        <v>1014</v>
      </c>
      <c r="I1995" s="26">
        <v>43710</v>
      </c>
      <c r="J1995" s="28" t="s">
        <v>52</v>
      </c>
      <c r="K1995" s="28" t="s">
        <v>52</v>
      </c>
      <c r="L1995" s="22" t="s">
        <v>10</v>
      </c>
      <c r="M1995" s="25">
        <v>1348620</v>
      </c>
      <c r="N1995" s="27">
        <v>0</v>
      </c>
    </row>
    <row r="1996" spans="1:14" x14ac:dyDescent="0.15">
      <c r="A1996" s="23" t="str">
        <f>HYPERLINK("https://www.spark-marketing.ru/Card/Person/1781069", "ООО ""БУРГЕР РУС""")</f>
        <v>ООО "БУРГЕР РУС"</v>
      </c>
      <c r="B1996" s="24" t="s">
        <v>3106</v>
      </c>
      <c r="C1996" s="25">
        <v>0</v>
      </c>
      <c r="D1996" s="22" t="s">
        <v>3107</v>
      </c>
      <c r="E1996" s="22" t="s">
        <v>208</v>
      </c>
      <c r="F1996" s="23" t="str">
        <f>HYPERLINK("https://www.spark-marketing.ru/Card/Lot/73172110", "Жёсткий диск 8000GB 24\7")</f>
        <v>Жёсткий диск 8000GB 24\7</v>
      </c>
      <c r="G1996" s="22" t="s">
        <v>55</v>
      </c>
      <c r="H1996" s="22" t="s">
        <v>55</v>
      </c>
      <c r="I1996" s="26">
        <v>43710.4367361111</v>
      </c>
      <c r="J1996" s="28" t="s">
        <v>52</v>
      </c>
      <c r="K1996" s="28" t="s">
        <v>52</v>
      </c>
      <c r="L1996" s="28" t="s">
        <v>52</v>
      </c>
      <c r="M1996" s="28" t="s">
        <v>52</v>
      </c>
      <c r="N1996" s="28" t="s">
        <v>52</v>
      </c>
    </row>
    <row r="1997" spans="1:14" x14ac:dyDescent="0.15">
      <c r="A1997" s="23" t="str">
        <f>HYPERLINK("https://www.spark-marketing.ru/Card/Person/1781069", "ООО ""БУРГЕР РУС""")</f>
        <v>ООО "БУРГЕР РУС"</v>
      </c>
      <c r="B1997" s="24" t="s">
        <v>3106</v>
      </c>
      <c r="C1997" s="25">
        <v>0</v>
      </c>
      <c r="D1997" s="22" t="s">
        <v>3107</v>
      </c>
      <c r="E1997" s="22" t="s">
        <v>208</v>
      </c>
      <c r="F1997" s="23" t="str">
        <f>HYPERLINK("https://www.spark-marketing.ru/Card/Lot/73172111", "Жёсткий диск 12000GB 24\7")</f>
        <v>Жёсткий диск 12000GB 24\7</v>
      </c>
      <c r="G1997" s="22" t="s">
        <v>55</v>
      </c>
      <c r="H1997" s="22" t="s">
        <v>55</v>
      </c>
      <c r="I1997" s="26">
        <v>43710.4367361111</v>
      </c>
      <c r="J1997" s="28" t="s">
        <v>52</v>
      </c>
      <c r="K1997" s="28" t="s">
        <v>52</v>
      </c>
      <c r="L1997" s="28" t="s">
        <v>52</v>
      </c>
      <c r="M1997" s="28" t="s">
        <v>52</v>
      </c>
      <c r="N1997" s="28" t="s">
        <v>52</v>
      </c>
    </row>
    <row r="1998" spans="1:14" x14ac:dyDescent="0.15">
      <c r="A1998" s="23" t="str">
        <f>HYPERLINK("https://www.spark-marketing.ru/Card/Person/4360268", "ООО ""ЭСТЕЙТ МЕНЕДЖМЕНТ""")</f>
        <v>ООО "ЭСТЕЙТ МЕНЕДЖМЕНТ"</v>
      </c>
      <c r="B1998" s="24" t="s">
        <v>3116</v>
      </c>
      <c r="C1998" s="25">
        <v>680000</v>
      </c>
      <c r="D1998" s="22" t="s">
        <v>3117</v>
      </c>
      <c r="E1998" s="22" t="s">
        <v>3118</v>
      </c>
      <c r="F1998" s="23" t="str">
        <f>HYPERLINK("https://www.spark-marketing.ru/Card/Lot/73176295", "Охрана имущества АО ""Вологдаметаллооптторг""")</f>
        <v>Охрана имущества АО "Вологдаметаллооптторг"</v>
      </c>
      <c r="G1998" s="22" t="s">
        <v>902</v>
      </c>
      <c r="H1998" s="22" t="s">
        <v>902</v>
      </c>
      <c r="I1998" s="26">
        <v>43710</v>
      </c>
      <c r="J1998" s="28" t="s">
        <v>52</v>
      </c>
      <c r="K1998" s="28" t="s">
        <v>52</v>
      </c>
      <c r="L1998" s="28" t="s">
        <v>52</v>
      </c>
      <c r="M1998" s="28" t="s">
        <v>52</v>
      </c>
      <c r="N1998" s="28" t="s">
        <v>52</v>
      </c>
    </row>
    <row r="1999" spans="1:14" x14ac:dyDescent="0.15">
      <c r="A1999" s="23" t="str">
        <f>HYPERLINK("https://www.spark-marketing.ru/Card/Person/1781069", "ООО ""БУРГЕР РУС""")</f>
        <v>ООО "БУРГЕР РУС"</v>
      </c>
      <c r="B1999" s="24" t="s">
        <v>3106</v>
      </c>
      <c r="C1999" s="25">
        <v>0</v>
      </c>
      <c r="D1999" s="22" t="s">
        <v>3107</v>
      </c>
      <c r="E1999" s="22" t="s">
        <v>208</v>
      </c>
      <c r="F1999" s="23" t="str">
        <f>HYPERLINK("https://www.spark-marketing.ru/Card/Lot/73172114", "Установка и настройка камеры")</f>
        <v>Установка и настройка камеры</v>
      </c>
      <c r="G1999" s="22" t="s">
        <v>55</v>
      </c>
      <c r="H1999" s="22" t="s">
        <v>55</v>
      </c>
      <c r="I1999" s="26">
        <v>43710.4367361111</v>
      </c>
      <c r="J1999" s="28" t="s">
        <v>52</v>
      </c>
      <c r="K1999" s="28" t="s">
        <v>52</v>
      </c>
      <c r="L1999" s="28" t="s">
        <v>52</v>
      </c>
      <c r="M1999" s="28" t="s">
        <v>52</v>
      </c>
      <c r="N1999" s="28" t="s">
        <v>52</v>
      </c>
    </row>
    <row r="2000" spans="1:14" x14ac:dyDescent="0.15">
      <c r="A2000" s="23" t="str">
        <f>HYPERLINK("https://www.spark-marketing.ru/Card/Person/1781069", "ООО ""БУРГЕР РУС""")</f>
        <v>ООО "БУРГЕР РУС"</v>
      </c>
      <c r="B2000" s="24" t="s">
        <v>3106</v>
      </c>
      <c r="C2000" s="25">
        <v>0</v>
      </c>
      <c r="D2000" s="22" t="s">
        <v>3107</v>
      </c>
      <c r="E2000" s="22" t="s">
        <v>208</v>
      </c>
      <c r="F2000" s="23" t="str">
        <f>HYPERLINK("https://www.spark-marketing.ru/Card/Lot/73172113", "Монитор")</f>
        <v>Монитор</v>
      </c>
      <c r="G2000" s="22" t="s">
        <v>55</v>
      </c>
      <c r="H2000" s="22" t="s">
        <v>55</v>
      </c>
      <c r="I2000" s="26">
        <v>43710.4367361111</v>
      </c>
      <c r="J2000" s="28" t="s">
        <v>52</v>
      </c>
      <c r="K2000" s="28" t="s">
        <v>52</v>
      </c>
      <c r="L2000" s="28" t="s">
        <v>52</v>
      </c>
      <c r="M2000" s="28" t="s">
        <v>52</v>
      </c>
      <c r="N2000" s="28" t="s">
        <v>52</v>
      </c>
    </row>
    <row r="2001" spans="1:14" x14ac:dyDescent="0.15">
      <c r="A2001" s="23" t="str">
        <f>HYPERLINK("https://www.spark-marketing.ru/Card/Person/4414981", "МАОУ СОШ №1 Г. ТУРИНСКА")</f>
        <v>МАОУ СОШ №1 Г. ТУРИНСКА</v>
      </c>
      <c r="B2001" s="24" t="s">
        <v>3119</v>
      </c>
      <c r="C2001" s="25">
        <v>134400</v>
      </c>
      <c r="D2001" s="22" t="s">
        <v>3120</v>
      </c>
      <c r="E2001" s="22" t="s">
        <v>3121</v>
      </c>
      <c r="F2001" s="23" t="str">
        <f>HYPERLINK("https://www.spark-marketing.ru/Card/Lot/73174033", "оказание услуг по физической охране")</f>
        <v>оказание услуг по физической охране</v>
      </c>
      <c r="G2001" s="22" t="s">
        <v>72</v>
      </c>
      <c r="H2001" s="22" t="s">
        <v>72</v>
      </c>
      <c r="I2001" s="26">
        <v>43710</v>
      </c>
      <c r="J2001" s="28" t="s">
        <v>52</v>
      </c>
      <c r="K2001" s="28" t="s">
        <v>52</v>
      </c>
      <c r="L2001" s="28" t="s">
        <v>52</v>
      </c>
      <c r="M2001" s="28" t="s">
        <v>52</v>
      </c>
      <c r="N2001" s="28" t="s">
        <v>52</v>
      </c>
    </row>
    <row r="2002" spans="1:14" x14ac:dyDescent="0.15">
      <c r="A2002" s="23" t="str">
        <f>HYPERLINK("https://www.spark-marketing.ru/Card/Person/330013", "Фл АО ""Концерн Росэнергоатом"" Смоленская атомная станция")</f>
        <v>Фл АО "Концерн Росэнергоатом" Смоленская атомная станция</v>
      </c>
      <c r="B2002" s="24" t="s">
        <v>211</v>
      </c>
      <c r="C2002" s="28" t="s">
        <v>52</v>
      </c>
      <c r="D2002" s="22" t="s">
        <v>3122</v>
      </c>
      <c r="E2002" s="22" t="s">
        <v>53</v>
      </c>
      <c r="F2002" s="23" t="str">
        <f>HYPERLINK("https://www.spark-marketing.ru/Card/Lot/73180431", "Научно-техническое сопровождение инженерных изысканий для объекта «Смоленская АЭС. II очередь. Комплекс систем контейнерного хранения и обращения с ОЯТ. ХОЯТ. Реконструкция. Пристрой» Этап 1 (1333646)")</f>
        <v>Научно-техническое сопровождение инженерных изысканий для объекта «Смоленская АЭС. II очередь. Комплекс систем контейнерного хранения и обращения с ОЯТ. ХОЯТ. Реконструкция. Пристрой» Этап 1 (1333646)</v>
      </c>
      <c r="G2002" s="22" t="s">
        <v>55</v>
      </c>
      <c r="H2002" s="22" t="s">
        <v>55</v>
      </c>
      <c r="I2002" s="26">
        <v>43710.6922569444</v>
      </c>
      <c r="J2002" s="28" t="s">
        <v>52</v>
      </c>
      <c r="K2002" s="28" t="s">
        <v>52</v>
      </c>
      <c r="L2002" s="28" t="s">
        <v>52</v>
      </c>
      <c r="M2002" s="28" t="s">
        <v>52</v>
      </c>
      <c r="N2002" s="28" t="s">
        <v>52</v>
      </c>
    </row>
    <row r="2003" spans="1:14" x14ac:dyDescent="0.2">
      <c r="A2003" s="23" t="str">
        <f>HYPERLINK("https://www.spark-marketing.ru/Card/Person/77706", "АО ""ПОЧТА РОССИИ""")</f>
        <v>АО "ПОЧТА РОССИИ"</v>
      </c>
      <c r="B2003" s="24" t="s">
        <v>1230</v>
      </c>
      <c r="C2003" s="25">
        <v>1538483.33</v>
      </c>
      <c r="D2003" s="22" t="s">
        <v>3123</v>
      </c>
      <c r="E2003" s="22" t="s">
        <v>49</v>
      </c>
      <c r="F2003" s="23" t="str">
        <f>HYPERLINK("https://www.spark-marketing.ru/Card/Lot/73137895", "Выполнение работ по модернизации и дооборудованию инженерно - технических средств охраны на объектах УФПС Алтайского края для нужд УФПС Алтайского края - филиала ФГУП ""Почта России""")</f>
        <v>Выполнение работ по модернизации и дооборудованию инженерно - технических средств охраны на объектах УФПС Алтайского края для нужд УФПС Алтайского края - филиала ФГУП "Почта России"</v>
      </c>
      <c r="G2003" s="22" t="s">
        <v>55</v>
      </c>
      <c r="H2003" s="22" t="s">
        <v>55</v>
      </c>
      <c r="I2003" s="26">
        <v>43707</v>
      </c>
      <c r="J2003" s="28" t="s">
        <v>52</v>
      </c>
      <c r="K2003" s="28" t="s">
        <v>52</v>
      </c>
      <c r="L2003" s="22" t="s">
        <v>10</v>
      </c>
      <c r="M2003" s="25">
        <v>1499063</v>
      </c>
      <c r="N2003" s="27">
        <v>2.5622851565119006E-2</v>
      </c>
    </row>
    <row r="2004" spans="1:14" x14ac:dyDescent="0.15">
      <c r="A2004" s="23" t="str">
        <f>HYPERLINK("https://www.spark-marketing.ru/Card/Person/1781069", "ООО ""БУРГЕР РУС""")</f>
        <v>ООО "БУРГЕР РУС"</v>
      </c>
      <c r="B2004" s="24" t="s">
        <v>3106</v>
      </c>
      <c r="C2004" s="25">
        <v>0</v>
      </c>
      <c r="D2004" s="22" t="s">
        <v>3107</v>
      </c>
      <c r="E2004" s="22" t="s">
        <v>208</v>
      </c>
      <c r="F2004" s="23" t="str">
        <f>HYPERLINK("https://www.spark-marketing.ru/Card/Lot/73172122", "Блок питания АТ-12/15")</f>
        <v>Блок питания АТ-12/15</v>
      </c>
      <c r="G2004" s="22" t="s">
        <v>55</v>
      </c>
      <c r="H2004" s="22" t="s">
        <v>55</v>
      </c>
      <c r="I2004" s="26">
        <v>43710.4367361111</v>
      </c>
      <c r="J2004" s="28" t="s">
        <v>52</v>
      </c>
      <c r="K2004" s="28" t="s">
        <v>52</v>
      </c>
      <c r="L2004" s="28" t="s">
        <v>52</v>
      </c>
      <c r="M2004" s="28" t="s">
        <v>52</v>
      </c>
      <c r="N2004" s="28" t="s">
        <v>52</v>
      </c>
    </row>
    <row r="2005" spans="1:14" x14ac:dyDescent="0.15">
      <c r="A2005" s="23" t="str">
        <f>HYPERLINK("https://www.spark-marketing.ru/Card/Person/1781069", "ООО ""БУРГЕР РУС""")</f>
        <v>ООО "БУРГЕР РУС"</v>
      </c>
      <c r="B2005" s="24" t="s">
        <v>3106</v>
      </c>
      <c r="C2005" s="25">
        <v>0</v>
      </c>
      <c r="D2005" s="22" t="s">
        <v>3107</v>
      </c>
      <c r="E2005" s="22" t="s">
        <v>208</v>
      </c>
      <c r="F2005" s="23" t="str">
        <f>HYPERLINK("https://www.spark-marketing.ru/Card/Lot/73172116", "Прокидывание витой пары\за метр. Метраж расчитывается по прямой от камеры до видеорегистратора по проекту.")</f>
        <v>Прокидывание витой пары\за метр. Метраж расчитывается по прямой от камеры до видеорегистратора по проекту.</v>
      </c>
      <c r="G2005" s="22" t="s">
        <v>55</v>
      </c>
      <c r="H2005" s="22" t="s">
        <v>55</v>
      </c>
      <c r="I2005" s="26">
        <v>43710.4367361111</v>
      </c>
      <c r="J2005" s="28" t="s">
        <v>52</v>
      </c>
      <c r="K2005" s="28" t="s">
        <v>52</v>
      </c>
      <c r="L2005" s="28" t="s">
        <v>52</v>
      </c>
      <c r="M2005" s="28" t="s">
        <v>52</v>
      </c>
      <c r="N2005" s="28" t="s">
        <v>52</v>
      </c>
    </row>
    <row r="2006" spans="1:14" x14ac:dyDescent="0.15">
      <c r="A2006" s="23" t="str">
        <f>HYPERLINK("https://www.spark-marketing.ru/Card/Person/1781069", "ООО ""БУРГЕР РУС""")</f>
        <v>ООО "БУРГЕР РУС"</v>
      </c>
      <c r="B2006" s="24" t="s">
        <v>3106</v>
      </c>
      <c r="C2006" s="25">
        <v>0</v>
      </c>
      <c r="D2006" s="22" t="s">
        <v>3107</v>
      </c>
      <c r="E2006" s="22" t="s">
        <v>208</v>
      </c>
      <c r="F2006" s="23" t="str">
        <f>HYPERLINK("https://www.spark-marketing.ru/Card/Lot/73172119", "Техническая поддержка Видеонаблюдения за 1 ресторан (Безлимитные выезды)")</f>
        <v>Техническая поддержка Видеонаблюдения за 1 ресторан (Безлимитные выезды)</v>
      </c>
      <c r="G2006" s="22" t="s">
        <v>55</v>
      </c>
      <c r="H2006" s="22" t="s">
        <v>55</v>
      </c>
      <c r="I2006" s="26">
        <v>43710.4367361111</v>
      </c>
      <c r="J2006" s="28" t="s">
        <v>52</v>
      </c>
      <c r="K2006" s="28" t="s">
        <v>52</v>
      </c>
      <c r="L2006" s="28" t="s">
        <v>52</v>
      </c>
      <c r="M2006" s="28" t="s">
        <v>52</v>
      </c>
      <c r="N2006" s="28" t="s">
        <v>52</v>
      </c>
    </row>
    <row r="2007" spans="1:14" x14ac:dyDescent="0.15">
      <c r="A2007" s="23" t="str">
        <f>HYPERLINK("https://www.spark-marketing.ru/Card/Person/1781069", "ООО ""БУРГЕР РУС""")</f>
        <v>ООО "БУРГЕР РУС"</v>
      </c>
      <c r="B2007" s="24" t="s">
        <v>3106</v>
      </c>
      <c r="C2007" s="25">
        <v>0</v>
      </c>
      <c r="D2007" s="22" t="s">
        <v>3107</v>
      </c>
      <c r="E2007" s="22" t="s">
        <v>208</v>
      </c>
      <c r="F2007" s="23" t="str">
        <f>HYPERLINK("https://www.spark-marketing.ru/Card/Lot/73172127", "Установка СКУД")</f>
        <v>Установка СКУД</v>
      </c>
      <c r="G2007" s="22" t="s">
        <v>55</v>
      </c>
      <c r="H2007" s="22" t="s">
        <v>55</v>
      </c>
      <c r="I2007" s="26">
        <v>43710.4367361111</v>
      </c>
      <c r="J2007" s="28" t="s">
        <v>52</v>
      </c>
      <c r="K2007" s="28" t="s">
        <v>52</v>
      </c>
      <c r="L2007" s="28" t="s">
        <v>52</v>
      </c>
      <c r="M2007" s="28" t="s">
        <v>52</v>
      </c>
      <c r="N2007" s="28" t="s">
        <v>52</v>
      </c>
    </row>
    <row r="2008" spans="1:14" x14ac:dyDescent="0.15">
      <c r="A2008" s="23" t="str">
        <f>HYPERLINK("https://www.spark-marketing.ru/Card/Person/147515", "АДМИНИСТРАЦИЯ ВЫСОКОГОРНЕНСКОГО ГОРОДСКОГО ПОСЕЛЕНИЯ ВАНИНСКОГО МУНИЦИПАЛЬНОГО РАЙОНА ХАБАРОВСКОГО КРАЯ")</f>
        <v>АДМИНИСТРАЦИЯ ВЫСОКОГОРНЕНСКОГО ГОРОДСКОГО ПОСЕЛЕНИЯ ВАНИНСКОГО МУНИЦИПАЛЬНОГО РАЙОНА ХАБАРОВСКОГО КРАЯ</v>
      </c>
      <c r="B2008" s="24" t="s">
        <v>1071</v>
      </c>
      <c r="C2008" s="25">
        <v>160000</v>
      </c>
      <c r="D2008" s="22" t="s">
        <v>3124</v>
      </c>
      <c r="E2008" s="22" t="s">
        <v>84</v>
      </c>
      <c r="F2008" s="23" t="str">
        <f>HYPERLINK("https://www.spark-marketing.ru/Card/Lot/73164667", "Выполнение работ по  установке камер видеонаблюдения на территории детской площадки.")</f>
        <v>Выполнение работ по  установке камер видеонаблюдения на территории детской площадки.</v>
      </c>
      <c r="G2008" s="22" t="s">
        <v>138</v>
      </c>
      <c r="H2008" s="22" t="s">
        <v>138</v>
      </c>
      <c r="I2008" s="26">
        <v>43708.696898148097</v>
      </c>
      <c r="J2008" s="23" t="str">
        <f>HYPERLINK("https://www.spark-marketing.ru/Card/Person/6311656", "Пискунов Андрей Викторович")</f>
        <v>Пискунов Андрей Викторович</v>
      </c>
      <c r="K2008" s="24" t="s">
        <v>1073</v>
      </c>
      <c r="L2008" s="28" t="s">
        <v>52</v>
      </c>
      <c r="M2008" s="28" t="s">
        <v>52</v>
      </c>
      <c r="N2008" s="28" t="s">
        <v>52</v>
      </c>
    </row>
    <row r="2009" spans="1:14" x14ac:dyDescent="0.15">
      <c r="A2009" s="23" t="str">
        <f>HYPERLINK("https://www.spark-marketing.ru/Card/Person/815274", "МКУ ""УПРАВЛЕНИЕ ОБРАЗОВАНИЯ МО ""НАМСКИЙ УЛУС"" РС (Я)""")</f>
        <v>МКУ "УПРАВЛЕНИЕ ОБРАЗОВАНИЯ МО "НАМСКИЙ УЛУС" РС (Я)"</v>
      </c>
      <c r="B2009" s="24" t="s">
        <v>2214</v>
      </c>
      <c r="C2009" s="25">
        <v>500000</v>
      </c>
      <c r="D2009" s="22" t="s">
        <v>3125</v>
      </c>
      <c r="E2009" s="22" t="s">
        <v>208</v>
      </c>
      <c r="F2009" s="23" t="str">
        <f>HYPERLINK("https://www.spark-marketing.ru/Card/Lot/73150026", "Техническое обслуживание приборов АУПС, СОУЭ, тревожных кнопок и систем видео наблюдения")</f>
        <v>Техническое обслуживание приборов АУПС, СОУЭ, тревожных кнопок и систем видео наблюдения</v>
      </c>
      <c r="G2009" s="22" t="s">
        <v>424</v>
      </c>
      <c r="H2009" s="22" t="s">
        <v>2216</v>
      </c>
      <c r="I2009" s="26">
        <v>43707.734583333302</v>
      </c>
      <c r="J2009" s="28" t="s">
        <v>52</v>
      </c>
      <c r="K2009" s="28" t="s">
        <v>52</v>
      </c>
      <c r="L2009" s="28" t="s">
        <v>52</v>
      </c>
      <c r="M2009" s="28" t="s">
        <v>52</v>
      </c>
      <c r="N2009" s="28" t="s">
        <v>52</v>
      </c>
    </row>
    <row r="2010" spans="1:14" x14ac:dyDescent="0.15">
      <c r="A2010" s="23" t="str">
        <f>HYPERLINK("https://www.spark-marketing.ru/Card/Person/35252", "ОКУ "" УЭ ГТС""")</f>
        <v>ОКУ " УЭ ГТС"</v>
      </c>
      <c r="B2010" s="24" t="s">
        <v>3126</v>
      </c>
      <c r="C2010" s="25">
        <v>27715.279999999999</v>
      </c>
      <c r="D2010" s="22" t="s">
        <v>3127</v>
      </c>
      <c r="E2010" s="22" t="s">
        <v>1261</v>
      </c>
      <c r="F2010" s="23" t="str">
        <f>HYPERLINK("https://www.spark-marketing.ru/Card/Lot/73155094", "Оснащение поста охраны (вагончик) необходимым имуществом согласно спецификации")</f>
        <v>Оснащение поста охраны (вагончик) необходимым имуществом согласно спецификации</v>
      </c>
      <c r="G2010" s="22" t="s">
        <v>3128</v>
      </c>
      <c r="H2010" s="22" t="s">
        <v>3129</v>
      </c>
      <c r="I2010" s="26">
        <v>43707.604756944398</v>
      </c>
      <c r="J2010" s="23" t="str">
        <f>HYPERLINK("https://www.spark-marketing.ru/Card/Person/369978", "ООО ""ХАМЕЛЕОН""")</f>
        <v>ООО "ХАМЕЛЕОН"</v>
      </c>
      <c r="K2010" s="24" t="s">
        <v>3130</v>
      </c>
      <c r="L2010" s="22" t="s">
        <v>10</v>
      </c>
      <c r="M2010" s="28" t="s">
        <v>52</v>
      </c>
      <c r="N2010" s="28" t="s">
        <v>52</v>
      </c>
    </row>
    <row r="2011" spans="1:14" x14ac:dyDescent="0.15">
      <c r="A2011" s="23" t="str">
        <f>HYPERLINK("https://www.spark-marketing.ru/Card/Person/6450322", "ЗАКАЗЧИК РП БЕЛАРУСЬ")</f>
        <v>ЗАКАЗЧИК РП БЕЛАРУСЬ</v>
      </c>
      <c r="B2011" s="28" t="s">
        <v>52</v>
      </c>
      <c r="C2011" s="28" t="s">
        <v>52</v>
      </c>
      <c r="D2011" s="22" t="s">
        <v>3131</v>
      </c>
      <c r="E2011" s="22" t="s">
        <v>53</v>
      </c>
      <c r="F2011" s="23" t="str">
        <f>HYPERLINK("https://www.spark-marketing.ru/Card/Lot/73151837", "Выбор подрядной организации для проведения геодезического сопровождения в строительстве по объекту: «Реконструкция котельной в д.Боровляны с установкой котлов на МВТ»")</f>
        <v>Выбор подрядной организации для проведения геодезического сопровождения в строительстве по объекту: «Реконструкция котельной в д.Боровляны с установкой котлов на МВТ»</v>
      </c>
      <c r="G2011" s="22" t="s">
        <v>52</v>
      </c>
      <c r="H2011" s="22" t="s">
        <v>52</v>
      </c>
      <c r="I2011" s="26">
        <v>43707</v>
      </c>
      <c r="J2011" s="28" t="s">
        <v>52</v>
      </c>
      <c r="K2011" s="28" t="s">
        <v>52</v>
      </c>
      <c r="L2011" s="28" t="s">
        <v>52</v>
      </c>
      <c r="M2011" s="28" t="s">
        <v>52</v>
      </c>
      <c r="N2011" s="28" t="s">
        <v>52</v>
      </c>
    </row>
    <row r="2012" spans="1:14" x14ac:dyDescent="0.15">
      <c r="A2012" s="23" t="str">
        <f>HYPERLINK("https://www.spark-marketing.ru/Card/Person/106952", "МАГАДАНСКИЙ ОБЛАСТНОЙ СУД")</f>
        <v>МАГАДАНСКИЙ ОБЛАСТНОЙ СУД</v>
      </c>
      <c r="B2012" s="24" t="s">
        <v>3132</v>
      </c>
      <c r="C2012" s="25">
        <v>235872</v>
      </c>
      <c r="D2012" s="22" t="s">
        <v>3133</v>
      </c>
      <c r="E2012" s="22" t="s">
        <v>68</v>
      </c>
      <c r="F2012" s="23" t="str">
        <f>HYPERLINK("https://www.spark-marketing.ru/Card/Lot/73143640", "Оказание услуг по охране объектов Магаданского областного суда с использованием кнопки тревожной сигнализации с 01.01.2020 г. по 31.12.2020 г.")</f>
        <v>Оказание услуг по охране объектов Магаданского областного суда с использованием кнопки тревожной сигнализации с 01.01.2020 г. по 31.12.2020 г.</v>
      </c>
      <c r="G2012" s="22" t="s">
        <v>808</v>
      </c>
      <c r="H2012" s="22" t="s">
        <v>809</v>
      </c>
      <c r="I2012" s="26">
        <v>43707.676550925898</v>
      </c>
      <c r="J2012" s="23" t="str">
        <f>HYPERLINK("https://www.spark-marketing.ru/Card/Person/1274508", "ФГКУ ""ОВО ВНГ РОССИИ ПО МАГАДАНСКОЙ ОБЛАСТИ""")</f>
        <v>ФГКУ "ОВО ВНГ РОССИИ ПО МАГАДАНСКОЙ ОБЛАСТИ"</v>
      </c>
      <c r="K2012" s="24" t="s">
        <v>1390</v>
      </c>
      <c r="L2012" s="22" t="s">
        <v>10</v>
      </c>
      <c r="M2012" s="28" t="s">
        <v>52</v>
      </c>
      <c r="N2012" s="28" t="s">
        <v>52</v>
      </c>
    </row>
    <row r="2013" spans="1:14" x14ac:dyDescent="0.15">
      <c r="A2013" s="23" t="str">
        <f>HYPERLINK("https://www.spark-marketing.ru/Card/Person/71072", """НОВОРОССИЙСКИЙ ЛО МВД РОССИИ НА ТРАНСПОРТЕ""")</f>
        <v>"НОВОРОССИЙСКИЙ ЛО МВД РОССИИ НА ТРАНСПОРТЕ"</v>
      </c>
      <c r="B2013" s="24" t="s">
        <v>3134</v>
      </c>
      <c r="C2013" s="25">
        <v>90000</v>
      </c>
      <c r="D2013" s="22" t="s">
        <v>3135</v>
      </c>
      <c r="E2013" s="22" t="s">
        <v>59</v>
      </c>
      <c r="F2013" s="23" t="str">
        <f>HYPERLINK("https://www.spark-marketing.ru/Card/Lot/73150743", "Работы по установке комплекса охранной сигнализации, 1 шт")</f>
        <v>Работы по установке комплекса охранной сигнализации, 1 шт</v>
      </c>
      <c r="G2013" s="22" t="s">
        <v>132</v>
      </c>
      <c r="H2013" s="22" t="s">
        <v>452</v>
      </c>
      <c r="I2013" s="26">
        <v>43707.692048611098</v>
      </c>
      <c r="J2013" s="28" t="s">
        <v>52</v>
      </c>
      <c r="K2013" s="28" t="s">
        <v>52</v>
      </c>
      <c r="L2013" s="28" t="s">
        <v>52</v>
      </c>
      <c r="M2013" s="28" t="s">
        <v>52</v>
      </c>
      <c r="N2013" s="28" t="s">
        <v>52</v>
      </c>
    </row>
    <row r="2014" spans="1:14" x14ac:dyDescent="0.15">
      <c r="A2014" s="23" t="str">
        <f>HYPERLINK("https://www.spark-marketing.ru/Card/Person/4389657", "ФГУП «КЖД»")</f>
        <v>ФГУП «КЖД»</v>
      </c>
      <c r="B2014" s="24" t="s">
        <v>1313</v>
      </c>
      <c r="C2014" s="25">
        <v>6888466.71</v>
      </c>
      <c r="D2014" s="22" t="s">
        <v>3136</v>
      </c>
      <c r="E2014" s="22" t="s">
        <v>1315</v>
      </c>
      <c r="F2014" s="23" t="str">
        <f>HYPERLINK("https://www.spark-marketing.ru/Card/Lot/73162486", "Поставка и монтаж блочно - модульных досмотровых павильонов для оборудования контрольно-пропускных пунктов и постов транспортной безопасности на объектах транспортной инфраструктуры Федерального государственного унитарного предприятия «Крымская желез...")</f>
        <v>Поставка и монтаж блочно - модульных досмотровых павильонов для оборудования контрольно-пропускных пунктов и постов транспортной безопасности на объектах транспортной инфраструктуры Федерального государственного унитарного предприятия «Крымская желез...</v>
      </c>
      <c r="G2014" s="22" t="s">
        <v>1053</v>
      </c>
      <c r="H2014" s="22" t="s">
        <v>1053</v>
      </c>
      <c r="I2014" s="26">
        <v>43707.666979166701</v>
      </c>
      <c r="J2014" s="28" t="s">
        <v>52</v>
      </c>
      <c r="K2014" s="28" t="s">
        <v>52</v>
      </c>
      <c r="L2014" s="28" t="s">
        <v>52</v>
      </c>
      <c r="M2014" s="28" t="s">
        <v>52</v>
      </c>
      <c r="N2014" s="28" t="s">
        <v>52</v>
      </c>
    </row>
    <row r="2015" spans="1:14" x14ac:dyDescent="0.15">
      <c r="A2015" s="23" t="str">
        <f>HYPERLINK("https://www.spark-marketing.ru/Card/Person/15740", "ЕКАТЕРИНБУРГСКАЯ ТАМОЖНЯ")</f>
        <v>ЕКАТЕРИНБУРГСКАЯ ТАМОЖНЯ</v>
      </c>
      <c r="B2015" s="24" t="s">
        <v>3137</v>
      </c>
      <c r="C2015" s="25">
        <v>860000</v>
      </c>
      <c r="D2015" s="22" t="s">
        <v>3138</v>
      </c>
      <c r="E2015" s="22" t="s">
        <v>68</v>
      </c>
      <c r="F2015" s="23" t="str">
        <f>HYPERLINK("https://www.spark-marketing.ru/Card/Lot/73157988", "Оказание услуг пультовой охраны объектов Екатеринбургской таможни")</f>
        <v>Оказание услуг пультовой охраны объектов Екатеринбургской таможни</v>
      </c>
      <c r="G2015" s="22" t="s">
        <v>72</v>
      </c>
      <c r="H2015" s="22" t="s">
        <v>949</v>
      </c>
      <c r="I2015" s="26">
        <v>43707.643391203703</v>
      </c>
      <c r="J2015" s="23" t="str">
        <f>HYPERLINK("https://www.spark-marketing.ru/Card/Person/535845", "ФГКУ ""УВО ВНГ РОССИИ ПО СВЕРДЛОВСКОЙ ОБЛАСТИ""")</f>
        <v>ФГКУ "УВО ВНГ РОССИИ ПО СВЕРДЛОВСКОЙ ОБЛАСТИ"</v>
      </c>
      <c r="K2015" s="24" t="s">
        <v>3139</v>
      </c>
      <c r="L2015" s="22" t="s">
        <v>10</v>
      </c>
      <c r="M2015" s="28" t="s">
        <v>52</v>
      </c>
      <c r="N2015" s="28" t="s">
        <v>52</v>
      </c>
    </row>
    <row r="2016" spans="1:14" x14ac:dyDescent="0.15">
      <c r="A2016" s="23" t="str">
        <f>HYPERLINK("https://www.spark-marketing.ru/Card/Person/2229876", "ОАО ""СЕВЕРНЕФТЕГАЗПРОМ""")</f>
        <v>ОАО "СЕВЕРНЕФТЕГАЗПРОМ"</v>
      </c>
      <c r="B2016" s="24" t="s">
        <v>3140</v>
      </c>
      <c r="C2016" s="25">
        <v>152221080</v>
      </c>
      <c r="D2016" s="22" t="s">
        <v>3141</v>
      </c>
      <c r="E2016" s="22" t="s">
        <v>3142</v>
      </c>
      <c r="F2016" s="23" t="str">
        <f>HYPERLINK("https://www.spark-marketing.ru/Card/Lot/73152684", "Дооборудование комплексом инженерно-технических средств охраны объектов ОАО «Севернефтегазпром»")</f>
        <v>Дооборудование комплексом инженерно-технических средств охраны объектов ОАО «Севернефтегазпром»</v>
      </c>
      <c r="G2016" s="22" t="s">
        <v>311</v>
      </c>
      <c r="H2016" s="22" t="s">
        <v>3143</v>
      </c>
      <c r="I2016" s="26">
        <v>43707.675000000003</v>
      </c>
      <c r="J2016" s="28" t="s">
        <v>52</v>
      </c>
      <c r="K2016" s="28" t="s">
        <v>52</v>
      </c>
      <c r="L2016" s="28" t="s">
        <v>52</v>
      </c>
      <c r="M2016" s="28" t="s">
        <v>52</v>
      </c>
      <c r="N2016" s="28" t="s">
        <v>52</v>
      </c>
    </row>
    <row r="2017" spans="1:14" x14ac:dyDescent="0.15">
      <c r="A2017" s="23" t="str">
        <f>HYPERLINK("https://www.spark-marketing.ru/Card/Person/38034", "ГБУЗ ""ЧОЦР""")</f>
        <v>ГБУЗ "ЧОЦР"</v>
      </c>
      <c r="B2017" s="24" t="s">
        <v>3144</v>
      </c>
      <c r="C2017" s="25">
        <v>200000</v>
      </c>
      <c r="D2017" s="22" t="s">
        <v>3145</v>
      </c>
      <c r="E2017" s="22" t="s">
        <v>59</v>
      </c>
      <c r="F2017" s="23" t="str">
        <f>HYPERLINK("https://www.spark-marketing.ru/Card/Lot/73153239", "Монтаж системы видеонаблюдения на территории учреждения")</f>
        <v>Монтаж системы видеонаблюдения на территории учреждения</v>
      </c>
      <c r="G2017" s="22" t="s">
        <v>60</v>
      </c>
      <c r="H2017" s="22" t="s">
        <v>1683</v>
      </c>
      <c r="I2017" s="26">
        <v>43707.650752314803</v>
      </c>
      <c r="J2017" s="28" t="s">
        <v>52</v>
      </c>
      <c r="K2017" s="28" t="s">
        <v>52</v>
      </c>
      <c r="L2017" s="28" t="s">
        <v>52</v>
      </c>
      <c r="M2017" s="28" t="s">
        <v>52</v>
      </c>
      <c r="N2017" s="28" t="s">
        <v>52</v>
      </c>
    </row>
    <row r="2018" spans="1:14" ht="12.75" hidden="1" outlineLevel="1" x14ac:dyDescent="0.2">
      <c r="A2018" s="23" t="str">
        <f>HYPERLINK("https://www.spark-marketing.ru/Card/Person/38034", "ГБУЗ ""ЧОЦР""")</f>
        <v>ГБУЗ "ЧОЦР"</v>
      </c>
      <c r="B2018" s="24" t="s">
        <v>3144</v>
      </c>
      <c r="C2018" s="25">
        <v>200000</v>
      </c>
      <c r="D2018" s="22" t="s">
        <v>3145</v>
      </c>
      <c r="E2018" s="22" t="s">
        <v>59</v>
      </c>
      <c r="F2018" s="23" t="str">
        <f>HYPERLINK("https://www.spark-marketing.ru/Card/Lot/73153239", "Монтаж системы видеонаблюдения на территории учреждения")</f>
        <v>Монтаж системы видеонаблюдения на территории учреждения</v>
      </c>
      <c r="G2018" s="22" t="s">
        <v>60</v>
      </c>
      <c r="H2018" s="22" t="s">
        <v>1683</v>
      </c>
      <c r="I2018" s="26">
        <v>43707.650752314803</v>
      </c>
      <c r="J2018" s="23" t="str">
        <f>HYPERLINK("https://www.spark-marketing.ru/Card/Person/4408755", "ООО ""ВЕРТИКАЛЬ""")</f>
        <v>ООО "ВЕРТИКАЛЬ"</v>
      </c>
      <c r="K2018" s="24" t="s">
        <v>1210</v>
      </c>
      <c r="L2018" s="22" t="s">
        <v>10</v>
      </c>
      <c r="M2018" s="25">
        <v>167000</v>
      </c>
      <c r="N2018" s="27">
        <v>0.16500000000000001</v>
      </c>
    </row>
    <row r="2019" spans="1:14" hidden="1" outlineLevel="1" x14ac:dyDescent="0.2">
      <c r="A2019" s="23" t="str">
        <f>HYPERLINK("https://www.spark-marketing.ru/Card/Person/38034", "ГБУЗ ""ЧОЦР""")</f>
        <v>ГБУЗ "ЧОЦР"</v>
      </c>
      <c r="B2019" s="24" t="s">
        <v>3144</v>
      </c>
      <c r="C2019" s="25">
        <v>200000</v>
      </c>
      <c r="D2019" s="22" t="s">
        <v>3145</v>
      </c>
      <c r="E2019" s="22" t="s">
        <v>59</v>
      </c>
      <c r="F2019" s="23" t="str">
        <f>HYPERLINK("https://www.spark-marketing.ru/Card/Lot/73153239", "Монтаж системы видеонаблюдения на территории учреждения")</f>
        <v>Монтаж системы видеонаблюдения на территории учреждения</v>
      </c>
      <c r="G2019" s="22" t="s">
        <v>60</v>
      </c>
      <c r="H2019" s="22" t="s">
        <v>1683</v>
      </c>
      <c r="I2019" s="26">
        <v>43707.650752314803</v>
      </c>
      <c r="J2019" s="23" t="str">
        <f>HYPERLINK("https://www.spark-marketing.ru/Card/Person/6251153", "Тарасова Надежда Сергеевна")</f>
        <v>Тарасова Надежда Сергеевна</v>
      </c>
      <c r="K2019" s="24" t="s">
        <v>3146</v>
      </c>
      <c r="L2019" s="28" t="s">
        <v>52</v>
      </c>
      <c r="M2019" s="25">
        <v>168000</v>
      </c>
      <c r="N2019" s="27">
        <v>0.16</v>
      </c>
    </row>
    <row r="2020" spans="1:14" hidden="1" outlineLevel="1" x14ac:dyDescent="0.2">
      <c r="A2020" s="23" t="str">
        <f>HYPERLINK("https://www.spark-marketing.ru/Card/Person/38034", "ГБУЗ ""ЧОЦР""")</f>
        <v>ГБУЗ "ЧОЦР"</v>
      </c>
      <c r="B2020" s="24" t="s">
        <v>3144</v>
      </c>
      <c r="C2020" s="25">
        <v>200000</v>
      </c>
      <c r="D2020" s="22" t="s">
        <v>3145</v>
      </c>
      <c r="E2020" s="22" t="s">
        <v>59</v>
      </c>
      <c r="F2020" s="23" t="str">
        <f>HYPERLINK("https://www.spark-marketing.ru/Card/Lot/73153239", "Монтаж системы видеонаблюдения на территории учреждения")</f>
        <v>Монтаж системы видеонаблюдения на территории учреждения</v>
      </c>
      <c r="G2020" s="22" t="s">
        <v>60</v>
      </c>
      <c r="H2020" s="22" t="s">
        <v>1683</v>
      </c>
      <c r="I2020" s="26">
        <v>43707.650752314803</v>
      </c>
      <c r="J2020" s="23" t="str">
        <f>HYPERLINK("https://www.spark-marketing.ru/Card/Person/571695", "Мухамадиев Самигулла Шарифуллович")</f>
        <v>Мухамадиев Самигулла Шарифуллович</v>
      </c>
      <c r="K2020" s="24" t="s">
        <v>3147</v>
      </c>
      <c r="L2020" s="28" t="s">
        <v>52</v>
      </c>
      <c r="M2020" s="25">
        <v>192000</v>
      </c>
      <c r="N2020" s="27">
        <v>0.04</v>
      </c>
    </row>
    <row r="2021" spans="1:14" x14ac:dyDescent="0.15">
      <c r="A2021" s="23" t="str">
        <f>HYPERLINK("https://www.spark-marketing.ru/Card/Person/7350", "ФГКУ КОМБИНАТ ""КРИСТАЛЛ"" РОСРЕЗЕРВА")</f>
        <v>ФГКУ КОМБИНАТ "КРИСТАЛЛ" РОСРЕЗЕРВА</v>
      </c>
      <c r="B2021" s="24" t="s">
        <v>3148</v>
      </c>
      <c r="C2021" s="25">
        <v>93048</v>
      </c>
      <c r="D2021" s="22" t="s">
        <v>3149</v>
      </c>
      <c r="E2021" s="22" t="s">
        <v>68</v>
      </c>
      <c r="F2021" s="23" t="str">
        <f>HYPERLINK("https://www.spark-marketing.ru/Card/Lot/73148637", "Централизованная охрана КТС объектов финансируемых из бюджета Московской области, 1 усл. ед")</f>
        <v>Централизованная охрана КТС объектов финансируемых из бюджета Московской области, 1 усл. ед</v>
      </c>
      <c r="G2021" s="22" t="s">
        <v>80</v>
      </c>
      <c r="H2021" s="22" t="s">
        <v>3150</v>
      </c>
      <c r="I2021" s="26">
        <v>43707.6481712963</v>
      </c>
      <c r="J2021" s="28" t="s">
        <v>52</v>
      </c>
      <c r="K2021" s="28" t="s">
        <v>52</v>
      </c>
      <c r="L2021" s="28" t="s">
        <v>52</v>
      </c>
      <c r="M2021" s="28" t="s">
        <v>52</v>
      </c>
      <c r="N2021" s="28" t="s">
        <v>52</v>
      </c>
    </row>
    <row r="2022" spans="1:14" x14ac:dyDescent="0.15">
      <c r="A2022" s="23" t="str">
        <f>HYPERLINK("https://www.spark-marketing.ru/Card/Person/113010", "АО ""НИКИМТ-АТОМСТРОЙ""")</f>
        <v>АО "НИКИМТ-АТОМСТРОЙ"</v>
      </c>
      <c r="B2022" s="24" t="s">
        <v>1701</v>
      </c>
      <c r="C2022" s="25">
        <v>0</v>
      </c>
      <c r="D2022" s="22" t="s">
        <v>3151</v>
      </c>
      <c r="E2022" s="22" t="s">
        <v>53</v>
      </c>
      <c r="F2022" s="23" t="str">
        <f>HYPERLINK("https://www.spark-marketing.ru/Card/Lot/73155848", "мониторинг цен в электронной форме на Оказание услуг Государственной (ведомственной) охраной по обеспечению пропускного и внутриобъектового режимов на объектах строительной площадки комплекса по переработке радиоактивных отходов филиала АО «НИКИМТ - ...")</f>
        <v>мониторинг цен в электронной форме на Оказание услуг Государственной (ведомственной) охраной по обеспечению пропускного и внутриобъектового режимов на объектах строительной площадки комплекса по переработке радиоактивных отходов филиала АО «НИКИМТ - ...</v>
      </c>
      <c r="G2022" s="22" t="s">
        <v>55</v>
      </c>
      <c r="H2022" s="22" t="s">
        <v>55</v>
      </c>
      <c r="I2022" s="26">
        <v>43707.645810185197</v>
      </c>
      <c r="J2022" s="28" t="s">
        <v>52</v>
      </c>
      <c r="K2022" s="28" t="s">
        <v>52</v>
      </c>
      <c r="L2022" s="28" t="s">
        <v>52</v>
      </c>
      <c r="M2022" s="28" t="s">
        <v>52</v>
      </c>
      <c r="N2022" s="28" t="s">
        <v>52</v>
      </c>
    </row>
    <row r="2023" spans="1:14" x14ac:dyDescent="0.15">
      <c r="A2023" s="23" t="str">
        <f t="shared" ref="A2023:A2028" si="80">HYPERLINK("https://www.spark-marketing.ru/Card/Person/2894", "ГБУ ЦМП")</f>
        <v>ГБУ ЦМП</v>
      </c>
      <c r="B2023" s="24" t="s">
        <v>3152</v>
      </c>
      <c r="C2023" s="25">
        <v>448402.78</v>
      </c>
      <c r="D2023" s="22" t="s">
        <v>3153</v>
      </c>
      <c r="E2023" s="22" t="s">
        <v>3154</v>
      </c>
      <c r="F2023" s="23" t="str">
        <f t="shared" ref="F2023:F2028" si="81">HYPERLINK("https://www.spark-marketing.ru/Card/Lot/73158004", "Оказание услуг по техническому обслуживанию внутренней и городской телефонной связи, систем видеонаблюдения и охранной сигнализации, включая контроль доступа, бегущей строки в помещениях Государственного бюджетного учреждения города Москвы ""Центр мо...")</f>
        <v>Оказание услуг по техническому обслуживанию внутренней и городской телефонной связи, систем видеонаблюдения и охранной сигнализации, включая контроль доступа, бегущей строки в помещениях Государственного бюджетного учреждения города Москвы "Центр мо...</v>
      </c>
      <c r="G2023" s="22" t="s">
        <v>55</v>
      </c>
      <c r="H2023" s="22" t="s">
        <v>55</v>
      </c>
      <c r="I2023" s="26">
        <v>43707.651747685202</v>
      </c>
      <c r="J2023" s="28" t="s">
        <v>52</v>
      </c>
      <c r="K2023" s="28" t="s">
        <v>52</v>
      </c>
      <c r="L2023" s="28" t="s">
        <v>52</v>
      </c>
      <c r="M2023" s="28" t="s">
        <v>52</v>
      </c>
      <c r="N2023" s="28" t="s">
        <v>52</v>
      </c>
    </row>
    <row r="2024" spans="1:14" ht="12.75" hidden="1" outlineLevel="1" x14ac:dyDescent="0.2">
      <c r="A2024" s="23" t="str">
        <f t="shared" si="80"/>
        <v>ГБУ ЦМП</v>
      </c>
      <c r="B2024" s="24" t="s">
        <v>3152</v>
      </c>
      <c r="C2024" s="25">
        <v>448402.78</v>
      </c>
      <c r="D2024" s="22" t="s">
        <v>3153</v>
      </c>
      <c r="E2024" s="22" t="s">
        <v>3154</v>
      </c>
      <c r="F2024" s="23" t="str">
        <f t="shared" si="81"/>
        <v>Оказание услуг по техническому обслуживанию внутренней и городской телефонной связи, систем видеонаблюдения и охранной сигнализации, включая контроль доступа, бегущей строки в помещениях Государственного бюджетного учреждения города Москвы "Центр мо...</v>
      </c>
      <c r="G2024" s="22" t="s">
        <v>55</v>
      </c>
      <c r="H2024" s="22" t="s">
        <v>55</v>
      </c>
      <c r="I2024" s="26">
        <v>43707.651747685202</v>
      </c>
      <c r="J2024" s="23" t="str">
        <f>HYPERLINK("https://www.spark-marketing.ru/Card/Person/61593", "ООО ""ПРОЕКТ МОНТАЖ""")</f>
        <v>ООО "ПРОЕКТ МОНТАЖ"</v>
      </c>
      <c r="K2024" s="24" t="s">
        <v>3155</v>
      </c>
      <c r="L2024" s="22" t="s">
        <v>10</v>
      </c>
      <c r="M2024" s="25">
        <v>83192.600000000006</v>
      </c>
      <c r="N2024" s="27">
        <v>0.8144690360751109</v>
      </c>
    </row>
    <row r="2025" spans="1:14" hidden="1" outlineLevel="1" x14ac:dyDescent="0.2">
      <c r="A2025" s="23" t="str">
        <f t="shared" si="80"/>
        <v>ГБУ ЦМП</v>
      </c>
      <c r="B2025" s="24" t="s">
        <v>3152</v>
      </c>
      <c r="C2025" s="25">
        <v>448402.78</v>
      </c>
      <c r="D2025" s="22" t="s">
        <v>3153</v>
      </c>
      <c r="E2025" s="22" t="s">
        <v>3154</v>
      </c>
      <c r="F2025" s="23" t="str">
        <f t="shared" si="81"/>
        <v>Оказание услуг по техническому обслуживанию внутренней и городской телефонной связи, систем видеонаблюдения и охранной сигнализации, включая контроль доступа, бегущей строки в помещениях Государственного бюджетного учреждения города Москвы "Центр мо...</v>
      </c>
      <c r="G2025" s="22" t="s">
        <v>55</v>
      </c>
      <c r="H2025" s="22" t="s">
        <v>55</v>
      </c>
      <c r="I2025" s="26">
        <v>43707.651747685202</v>
      </c>
      <c r="J2025" s="23" t="str">
        <f>HYPERLINK("https://www.spark-marketing.ru/Card/Person/6514589", "ООО ""МЦОК""")</f>
        <v>ООО "МЦОК"</v>
      </c>
      <c r="K2025" s="24" t="s">
        <v>3156</v>
      </c>
      <c r="L2025" s="28" t="s">
        <v>52</v>
      </c>
      <c r="M2025" s="25">
        <v>123948.78</v>
      </c>
      <c r="N2025" s="27">
        <v>0.72357713750124386</v>
      </c>
    </row>
    <row r="2026" spans="1:14" hidden="1" outlineLevel="1" x14ac:dyDescent="0.2">
      <c r="A2026" s="23" t="str">
        <f t="shared" si="80"/>
        <v>ГБУ ЦМП</v>
      </c>
      <c r="B2026" s="24" t="s">
        <v>3152</v>
      </c>
      <c r="C2026" s="25">
        <v>448402.78</v>
      </c>
      <c r="D2026" s="22" t="s">
        <v>3153</v>
      </c>
      <c r="E2026" s="22" t="s">
        <v>3154</v>
      </c>
      <c r="F2026" s="23" t="str">
        <f t="shared" si="81"/>
        <v>Оказание услуг по техническому обслуживанию внутренней и городской телефонной связи, систем видеонаблюдения и охранной сигнализации, включая контроль доступа, бегущей строки в помещениях Государственного бюджетного учреждения города Москвы "Центр мо...</v>
      </c>
      <c r="G2026" s="22" t="s">
        <v>55</v>
      </c>
      <c r="H2026" s="22" t="s">
        <v>55</v>
      </c>
      <c r="I2026" s="26">
        <v>43707.651747685202</v>
      </c>
      <c r="J2026" s="23" t="str">
        <f>HYPERLINK("https://www.spark-marketing.ru/Card/Person/6513863", "ООО ""ПРИОРИТЕТ БЕЗОПАСНОСТИ""")</f>
        <v>ООО "ПРИОРИТЕТ БЕЗОПАСНОСТИ"</v>
      </c>
      <c r="K2026" s="24" t="s">
        <v>3157</v>
      </c>
      <c r="L2026" s="28" t="s">
        <v>52</v>
      </c>
      <c r="M2026" s="25">
        <v>85434.61</v>
      </c>
      <c r="N2026" s="27">
        <v>0.80946904477264836</v>
      </c>
    </row>
    <row r="2027" spans="1:14" hidden="1" outlineLevel="1" x14ac:dyDescent="0.2">
      <c r="A2027" s="23" t="str">
        <f t="shared" si="80"/>
        <v>ГБУ ЦМП</v>
      </c>
      <c r="B2027" s="24" t="s">
        <v>3152</v>
      </c>
      <c r="C2027" s="25">
        <v>448402.78</v>
      </c>
      <c r="D2027" s="22" t="s">
        <v>3153</v>
      </c>
      <c r="E2027" s="22" t="s">
        <v>3154</v>
      </c>
      <c r="F2027" s="23" t="str">
        <f t="shared" si="81"/>
        <v>Оказание услуг по техническому обслуживанию внутренней и городской телефонной связи, систем видеонаблюдения и охранной сигнализации, включая контроль доступа, бегущей строки в помещениях Государственного бюджетного учреждения города Москвы "Центр мо...</v>
      </c>
      <c r="G2027" s="22" t="s">
        <v>55</v>
      </c>
      <c r="H2027" s="22" t="s">
        <v>55</v>
      </c>
      <c r="I2027" s="26">
        <v>43707.651747685202</v>
      </c>
      <c r="J2027" s="23" t="str">
        <f>HYPERLINK("https://www.spark-marketing.ru/Card/Person/6453970", "ООО ""АСБ""")</f>
        <v>ООО "АСБ"</v>
      </c>
      <c r="K2027" s="24" t="s">
        <v>3158</v>
      </c>
      <c r="L2027" s="28" t="s">
        <v>52</v>
      </c>
      <c r="M2027" s="25">
        <v>336302.2</v>
      </c>
      <c r="N2027" s="27">
        <v>0.24999974353415025</v>
      </c>
    </row>
    <row r="2028" spans="1:14" hidden="1" outlineLevel="1" x14ac:dyDescent="0.2">
      <c r="A2028" s="23" t="str">
        <f t="shared" si="80"/>
        <v>ГБУ ЦМП</v>
      </c>
      <c r="B2028" s="24" t="s">
        <v>3152</v>
      </c>
      <c r="C2028" s="25">
        <v>448402.78</v>
      </c>
      <c r="D2028" s="22" t="s">
        <v>3153</v>
      </c>
      <c r="E2028" s="22" t="s">
        <v>3154</v>
      </c>
      <c r="F2028" s="23" t="str">
        <f t="shared" si="81"/>
        <v>Оказание услуг по техническому обслуживанию внутренней и городской телефонной связи, систем видеонаблюдения и охранной сигнализации, включая контроль доступа, бегущей строки в помещениях Государственного бюджетного учреждения города Москвы "Центр мо...</v>
      </c>
      <c r="G2028" s="22" t="s">
        <v>55</v>
      </c>
      <c r="H2028" s="22" t="s">
        <v>55</v>
      </c>
      <c r="I2028" s="26">
        <v>43707.651747685202</v>
      </c>
      <c r="J2028" s="23" t="str">
        <f>HYPERLINK("https://www.spark-marketing.ru/Card/Person/655851", "ЗАО ""АВТОМАТИКА""")</f>
        <v>ЗАО "АВТОМАТИКА"</v>
      </c>
      <c r="K2028" s="24" t="s">
        <v>3159</v>
      </c>
      <c r="L2028" s="28" t="s">
        <v>52</v>
      </c>
      <c r="M2028" s="25">
        <v>223095.84</v>
      </c>
      <c r="N2028" s="27">
        <v>0.50246552887116358</v>
      </c>
    </row>
    <row r="2029" spans="1:14" x14ac:dyDescent="0.15">
      <c r="A2029" s="23" t="str">
        <f t="shared" ref="A2029:A2036" si="82">HYPERLINK("https://www.spark-marketing.ru/Card/Person/814", "ГБУЗ ""ДГКБ ИМ. З.А. БАШЛЯЕВОЙ ДЗМ""")</f>
        <v>ГБУЗ "ДГКБ ИМ. З.А. БАШЛЯЕВОЙ ДЗМ"</v>
      </c>
      <c r="B2029" s="24" t="s">
        <v>3160</v>
      </c>
      <c r="C2029" s="25">
        <v>486000</v>
      </c>
      <c r="D2029" s="22" t="s">
        <v>3161</v>
      </c>
      <c r="E2029" s="22" t="s">
        <v>103</v>
      </c>
      <c r="F2029" s="23" t="str">
        <f t="shared" ref="F2029:F2036" si="83">HYPERLINK("https://www.spark-marketing.ru/Card/Lot/73151802", "Аукцион в электронной форме на право заключения гражданско-правового договора по техническому обслуживанию систем видеонаблюдения в 2019 году для нужд ГБУЗ ""ДГКБ ИМ. З.А. БАШЛЯЕВОЙ ДЗМ"" (среди СМП и СОНКО)")</f>
        <v>Аукцион в электронной форме на право заключения гражданско-правового договора по техническому обслуживанию систем видеонаблюдения в 2019 году для нужд ГБУЗ "ДГКБ ИМ. З.А. БАШЛЯЕВОЙ ДЗМ" (среди СМП и СОНКО)</v>
      </c>
      <c r="G2029" s="22" t="s">
        <v>55</v>
      </c>
      <c r="H2029" s="22" t="s">
        <v>55</v>
      </c>
      <c r="I2029" s="26">
        <v>43707.602881944404</v>
      </c>
      <c r="J2029" s="28" t="s">
        <v>52</v>
      </c>
      <c r="K2029" s="28" t="s">
        <v>52</v>
      </c>
      <c r="L2029" s="28" t="s">
        <v>52</v>
      </c>
      <c r="M2029" s="28" t="s">
        <v>52</v>
      </c>
      <c r="N2029" s="28" t="s">
        <v>52</v>
      </c>
    </row>
    <row r="2030" spans="1:14" hidden="1" outlineLevel="1" x14ac:dyDescent="0.2">
      <c r="A2030" s="23" t="str">
        <f t="shared" si="82"/>
        <v>ГБУЗ "ДГКБ ИМ. З.А. БАШЛЯЕВОЙ ДЗМ"</v>
      </c>
      <c r="B2030" s="24" t="s">
        <v>3160</v>
      </c>
      <c r="C2030" s="25">
        <v>486000</v>
      </c>
      <c r="D2030" s="22" t="s">
        <v>3161</v>
      </c>
      <c r="E2030" s="22" t="s">
        <v>103</v>
      </c>
      <c r="F2030" s="23" t="str">
        <f t="shared" si="83"/>
        <v>Аукцион в электронной форме на право заключения гражданско-правового договора по техническому обслуживанию систем видеонаблюдения в 2019 году для нужд ГБУЗ "ДГКБ ИМ. З.А. БАШЛЯЕВОЙ ДЗМ" (среди СМП и СОНКО)</v>
      </c>
      <c r="G2030" s="22" t="s">
        <v>55</v>
      </c>
      <c r="H2030" s="22" t="s">
        <v>55</v>
      </c>
      <c r="I2030" s="26">
        <v>43707.602881944404</v>
      </c>
      <c r="J2030" s="23" t="str">
        <f>HYPERLINK("https://www.spark-marketing.ru/Card/Person/1844754", "ООО ""ТСБ""")</f>
        <v>ООО "ТСБ"</v>
      </c>
      <c r="K2030" s="24" t="s">
        <v>1746</v>
      </c>
      <c r="L2030" s="28" t="s">
        <v>52</v>
      </c>
      <c r="M2030" s="25">
        <v>373270</v>
      </c>
      <c r="N2030" s="27">
        <v>0.23195473251028806</v>
      </c>
    </row>
    <row r="2031" spans="1:14" hidden="1" outlineLevel="1" x14ac:dyDescent="0.2">
      <c r="A2031" s="23" t="str">
        <f t="shared" si="82"/>
        <v>ГБУЗ "ДГКБ ИМ. З.А. БАШЛЯЕВОЙ ДЗМ"</v>
      </c>
      <c r="B2031" s="24" t="s">
        <v>3160</v>
      </c>
      <c r="C2031" s="25">
        <v>486000</v>
      </c>
      <c r="D2031" s="22" t="s">
        <v>3161</v>
      </c>
      <c r="E2031" s="22" t="s">
        <v>103</v>
      </c>
      <c r="F2031" s="23" t="str">
        <f t="shared" si="83"/>
        <v>Аукцион в электронной форме на право заключения гражданско-правового договора по техническому обслуживанию систем видеонаблюдения в 2019 году для нужд ГБУЗ "ДГКБ ИМ. З.А. БАШЛЯЕВОЙ ДЗМ" (среди СМП и СОНКО)</v>
      </c>
      <c r="G2031" s="22" t="s">
        <v>55</v>
      </c>
      <c r="H2031" s="22" t="s">
        <v>55</v>
      </c>
      <c r="I2031" s="26">
        <v>43707.602881944404</v>
      </c>
      <c r="J2031" s="23" t="str">
        <f>HYPERLINK("https://www.spark-marketing.ru/Card/Person/1750232", "ООО ""АЗБУКА СИСТЕМ БЕЗОПАСНОСТИ""")</f>
        <v>ООО "АЗБУКА СИСТЕМ БЕЗОПАСНОСТИ"</v>
      </c>
      <c r="K2031" s="24" t="s">
        <v>3162</v>
      </c>
      <c r="L2031" s="28" t="s">
        <v>52</v>
      </c>
      <c r="M2031" s="25">
        <v>370840</v>
      </c>
      <c r="N2031" s="27">
        <v>0.23695473251028806</v>
      </c>
    </row>
    <row r="2032" spans="1:14" hidden="1" outlineLevel="1" x14ac:dyDescent="0.2">
      <c r="A2032" s="23" t="str">
        <f t="shared" si="82"/>
        <v>ГБУЗ "ДГКБ ИМ. З.А. БАШЛЯЕВОЙ ДЗМ"</v>
      </c>
      <c r="B2032" s="24" t="s">
        <v>3160</v>
      </c>
      <c r="C2032" s="25">
        <v>486000</v>
      </c>
      <c r="D2032" s="22" t="s">
        <v>3161</v>
      </c>
      <c r="E2032" s="22" t="s">
        <v>103</v>
      </c>
      <c r="F2032" s="23" t="str">
        <f t="shared" si="83"/>
        <v>Аукцион в электронной форме на право заключения гражданско-правового договора по техническому обслуживанию систем видеонаблюдения в 2019 году для нужд ГБУЗ "ДГКБ ИМ. З.А. БАШЛЯЕВОЙ ДЗМ" (среди СМП и СОНКО)</v>
      </c>
      <c r="G2032" s="22" t="s">
        <v>55</v>
      </c>
      <c r="H2032" s="22" t="s">
        <v>55</v>
      </c>
      <c r="I2032" s="26">
        <v>43707.602881944404</v>
      </c>
      <c r="J2032" s="23" t="str">
        <f>HYPERLINK("https://www.spark-marketing.ru/Card/Person/6584280", "ООО ""ВСВ""")</f>
        <v>ООО "ВСВ"</v>
      </c>
      <c r="K2032" s="24" t="s">
        <v>2076</v>
      </c>
      <c r="L2032" s="28" t="s">
        <v>52</v>
      </c>
      <c r="M2032" s="25">
        <v>120280</v>
      </c>
      <c r="N2032" s="27">
        <v>0.75251028806584364</v>
      </c>
    </row>
    <row r="2033" spans="1:14" hidden="1" outlineLevel="1" x14ac:dyDescent="0.2">
      <c r="A2033" s="23" t="str">
        <f t="shared" si="82"/>
        <v>ГБУЗ "ДГКБ ИМ. З.А. БАШЛЯЕВОЙ ДЗМ"</v>
      </c>
      <c r="B2033" s="24" t="s">
        <v>3160</v>
      </c>
      <c r="C2033" s="25">
        <v>486000</v>
      </c>
      <c r="D2033" s="22" t="s">
        <v>3161</v>
      </c>
      <c r="E2033" s="22" t="s">
        <v>103</v>
      </c>
      <c r="F2033" s="23" t="str">
        <f t="shared" si="83"/>
        <v>Аукцион в электронной форме на право заключения гражданско-правового договора по техническому обслуживанию систем видеонаблюдения в 2019 году для нужд ГБУЗ "ДГКБ ИМ. З.А. БАШЛЯЕВОЙ ДЗМ" (среди СМП и СОНКО)</v>
      </c>
      <c r="G2033" s="22" t="s">
        <v>55</v>
      </c>
      <c r="H2033" s="22" t="s">
        <v>55</v>
      </c>
      <c r="I2033" s="26">
        <v>43707.602881944404</v>
      </c>
      <c r="J2033" s="23" t="str">
        <f>HYPERLINK("https://www.spark-marketing.ru/Card/Person/6514589", "ООО ""МЦОК""")</f>
        <v>ООО "МЦОК"</v>
      </c>
      <c r="K2033" s="24" t="s">
        <v>3156</v>
      </c>
      <c r="L2033" s="28" t="s">
        <v>52</v>
      </c>
      <c r="M2033" s="25">
        <v>347570</v>
      </c>
      <c r="N2033" s="27">
        <v>0.28483539094650207</v>
      </c>
    </row>
    <row r="2034" spans="1:14" hidden="1" outlineLevel="1" x14ac:dyDescent="0.2">
      <c r="A2034" s="23" t="str">
        <f t="shared" si="82"/>
        <v>ГБУЗ "ДГКБ ИМ. З.А. БАШЛЯЕВОЙ ДЗМ"</v>
      </c>
      <c r="B2034" s="24" t="s">
        <v>3160</v>
      </c>
      <c r="C2034" s="25">
        <v>486000</v>
      </c>
      <c r="D2034" s="22" t="s">
        <v>3161</v>
      </c>
      <c r="E2034" s="22" t="s">
        <v>103</v>
      </c>
      <c r="F2034" s="23" t="str">
        <f t="shared" si="83"/>
        <v>Аукцион в электронной форме на право заключения гражданско-правового договора по техническому обслуживанию систем видеонаблюдения в 2019 году для нужд ГБУЗ "ДГКБ ИМ. З.А. БАШЛЯЕВОЙ ДЗМ" (среди СМП и СОНКО)</v>
      </c>
      <c r="G2034" s="22" t="s">
        <v>55</v>
      </c>
      <c r="H2034" s="22" t="s">
        <v>55</v>
      </c>
      <c r="I2034" s="26">
        <v>43707.602881944404</v>
      </c>
      <c r="J2034" s="23" t="str">
        <f>HYPERLINK("https://www.spark-marketing.ru/Card/Person/6462474", "ООО ""ФАВОР""")</f>
        <v>ООО "ФАВОР"</v>
      </c>
      <c r="K2034" s="24" t="s">
        <v>2058</v>
      </c>
      <c r="L2034" s="28" t="s">
        <v>52</v>
      </c>
      <c r="M2034" s="25">
        <v>105700</v>
      </c>
      <c r="N2034" s="27">
        <v>0.78251028806584366</v>
      </c>
    </row>
    <row r="2035" spans="1:14" hidden="1" outlineLevel="1" x14ac:dyDescent="0.2">
      <c r="A2035" s="23" t="str">
        <f t="shared" si="82"/>
        <v>ГБУЗ "ДГКБ ИМ. З.А. БАШЛЯЕВОЙ ДЗМ"</v>
      </c>
      <c r="B2035" s="24" t="s">
        <v>3160</v>
      </c>
      <c r="C2035" s="25">
        <v>486000</v>
      </c>
      <c r="D2035" s="22" t="s">
        <v>3161</v>
      </c>
      <c r="E2035" s="22" t="s">
        <v>103</v>
      </c>
      <c r="F2035" s="23" t="str">
        <f t="shared" si="83"/>
        <v>Аукцион в электронной форме на право заключения гражданско-правового договора по техническому обслуживанию систем видеонаблюдения в 2019 году для нужд ГБУЗ "ДГКБ ИМ. З.А. БАШЛЯЕВОЙ ДЗМ" (среди СМП и СОНКО)</v>
      </c>
      <c r="G2035" s="22" t="s">
        <v>55</v>
      </c>
      <c r="H2035" s="22" t="s">
        <v>55</v>
      </c>
      <c r="I2035" s="26">
        <v>43707.602881944404</v>
      </c>
      <c r="J2035" s="23" t="str">
        <f>HYPERLINK("https://www.spark-marketing.ru/Card/Person/4392874", "ООО ""МУЛЬТИИНЖИНИРИНГ""")</f>
        <v>ООО "МУЛЬТИИНЖИНИРИНГ"</v>
      </c>
      <c r="K2035" s="24" t="s">
        <v>3163</v>
      </c>
      <c r="L2035" s="28" t="s">
        <v>52</v>
      </c>
      <c r="M2035" s="25">
        <v>317570</v>
      </c>
      <c r="N2035" s="27">
        <v>0.34656378600823046</v>
      </c>
    </row>
    <row r="2036" spans="1:14" ht="12.75" hidden="1" outlineLevel="1" x14ac:dyDescent="0.2">
      <c r="A2036" s="23" t="str">
        <f t="shared" si="82"/>
        <v>ГБУЗ "ДГКБ ИМ. З.А. БАШЛЯЕВОЙ ДЗМ"</v>
      </c>
      <c r="B2036" s="24" t="s">
        <v>3160</v>
      </c>
      <c r="C2036" s="25">
        <v>486000</v>
      </c>
      <c r="D2036" s="22" t="s">
        <v>3161</v>
      </c>
      <c r="E2036" s="22" t="s">
        <v>103</v>
      </c>
      <c r="F2036" s="23" t="str">
        <f t="shared" si="83"/>
        <v>Аукцион в электронной форме на право заключения гражданско-правового договора по техническому обслуживанию систем видеонаблюдения в 2019 году для нужд ГБУЗ "ДГКБ ИМ. З.А. БАШЛЯЕВОЙ ДЗМ" (среди СМП и СОНКО)</v>
      </c>
      <c r="G2036" s="22" t="s">
        <v>55</v>
      </c>
      <c r="H2036" s="22" t="s">
        <v>55</v>
      </c>
      <c r="I2036" s="26">
        <v>43707.602881944404</v>
      </c>
      <c r="J2036" s="23" t="str">
        <f>HYPERLINK("https://www.spark-marketing.ru/Card/Person/6365470", "ООО ""ПЕРСПЕКТИВА""")</f>
        <v>ООО "ПЕРСПЕКТИВА"</v>
      </c>
      <c r="K2036" s="24" t="s">
        <v>3164</v>
      </c>
      <c r="L2036" s="22" t="s">
        <v>10</v>
      </c>
      <c r="M2036" s="25">
        <v>103270</v>
      </c>
      <c r="N2036" s="27">
        <v>0.78751028806584367</v>
      </c>
    </row>
    <row r="2037" spans="1:14" x14ac:dyDescent="0.15">
      <c r="A2037" s="23" t="str">
        <f>HYPERLINK("https://www.spark-marketing.ru/Card/Person/4349003", "СЕВПРИРОДНАДЗОР")</f>
        <v>СЕВПРИРОДНАДЗОР</v>
      </c>
      <c r="B2037" s="24" t="s">
        <v>3165</v>
      </c>
      <c r="C2037" s="25">
        <v>5000000</v>
      </c>
      <c r="D2037" s="22" t="s">
        <v>3166</v>
      </c>
      <c r="E2037" s="22" t="s">
        <v>218</v>
      </c>
      <c r="F2037" s="23" t="str">
        <f>HYPERLINK("https://www.spark-marketing.ru/Card/Lot/73164185", "На оказание услуг по разработке проекта Схемы комплексного использования и охраны водных объектов (СКИОВО), включая нормативы допустимого воздействия на водные объекты (НДВ) бассейна реки Черная в границах города Севастополя")</f>
        <v>На оказание услуг по разработке проекта Схемы комплексного использования и охраны водных объектов (СКИОВО), включая нормативы допустимого воздействия на водные объекты (НДВ) бассейна реки Черная в границах города Севастополя</v>
      </c>
      <c r="G2037" s="22" t="s">
        <v>714</v>
      </c>
      <c r="H2037" s="22" t="s">
        <v>714</v>
      </c>
      <c r="I2037" s="26">
        <v>43707.6081134259</v>
      </c>
      <c r="J2037" s="28" t="s">
        <v>52</v>
      </c>
      <c r="K2037" s="28" t="s">
        <v>52</v>
      </c>
      <c r="L2037" s="28" t="s">
        <v>52</v>
      </c>
      <c r="M2037" s="28" t="s">
        <v>52</v>
      </c>
      <c r="N2037" s="28" t="s">
        <v>52</v>
      </c>
    </row>
    <row r="2038" spans="1:14" ht="12.75" hidden="1" outlineLevel="1" x14ac:dyDescent="0.2">
      <c r="A2038" s="23" t="str">
        <f>HYPERLINK("https://www.spark-marketing.ru/Card/Person/4349003", "СЕВПРИРОДНАДЗОР")</f>
        <v>СЕВПРИРОДНАДЗОР</v>
      </c>
      <c r="B2038" s="24" t="s">
        <v>3165</v>
      </c>
      <c r="C2038" s="25">
        <v>5000000</v>
      </c>
      <c r="D2038" s="22" t="s">
        <v>3166</v>
      </c>
      <c r="E2038" s="22" t="s">
        <v>218</v>
      </c>
      <c r="F2038" s="23" t="str">
        <f>HYPERLINK("https://www.spark-marketing.ru/Card/Lot/73164185", "На оказание услуг по разработке проекта Схемы комплексного использования и охраны водных объектов (СКИОВО), включая нормативы допустимого воздействия на водные объекты (НДВ) бассейна реки Черная в границах города Севастополя")</f>
        <v>На оказание услуг по разработке проекта Схемы комплексного использования и охраны водных объектов (СКИОВО), включая нормативы допустимого воздействия на водные объекты (НДВ) бассейна реки Черная в границах города Севастополя</v>
      </c>
      <c r="G2038" s="22" t="s">
        <v>714</v>
      </c>
      <c r="H2038" s="22" t="s">
        <v>714</v>
      </c>
      <c r="I2038" s="26">
        <v>43707.6081134259</v>
      </c>
      <c r="J2038" s="23" t="str">
        <f>HYPERLINK("https://www.spark-marketing.ru/Card/Person/288802", "ООО""ЭКОВОДПРОЕКТ""")</f>
        <v>ООО"ЭКОВОДПРОЕКТ"</v>
      </c>
      <c r="K2038" s="24" t="s">
        <v>3167</v>
      </c>
      <c r="L2038" s="22" t="s">
        <v>10</v>
      </c>
      <c r="M2038" s="25">
        <v>4480000</v>
      </c>
      <c r="N2038" s="27">
        <v>0.104</v>
      </c>
    </row>
    <row r="2039" spans="1:14" hidden="1" outlineLevel="1" x14ac:dyDescent="0.2">
      <c r="A2039" s="23" t="str">
        <f>HYPERLINK("https://www.spark-marketing.ru/Card/Person/4349003", "СЕВПРИРОДНАДЗОР")</f>
        <v>СЕВПРИРОДНАДЗОР</v>
      </c>
      <c r="B2039" s="24" t="s">
        <v>3165</v>
      </c>
      <c r="C2039" s="25">
        <v>5000000</v>
      </c>
      <c r="D2039" s="22" t="s">
        <v>3166</v>
      </c>
      <c r="E2039" s="22" t="s">
        <v>218</v>
      </c>
      <c r="F2039" s="23" t="str">
        <f>HYPERLINK("https://www.spark-marketing.ru/Card/Lot/73164185", "На оказание услуг по разработке проекта Схемы комплексного использования и охраны водных объектов (СКИОВО), включая нормативы допустимого воздействия на водные объекты (НДВ) бассейна реки Черная в границах города Севастополя")</f>
        <v>На оказание услуг по разработке проекта Схемы комплексного использования и охраны водных объектов (СКИОВО), включая нормативы допустимого воздействия на водные объекты (НДВ) бассейна реки Черная в границах города Севастополя</v>
      </c>
      <c r="G2039" s="22" t="s">
        <v>714</v>
      </c>
      <c r="H2039" s="22" t="s">
        <v>714</v>
      </c>
      <c r="I2039" s="26">
        <v>43707.6081134259</v>
      </c>
      <c r="J2039" s="23" t="str">
        <f>HYPERLINK("https://www.spark-marketing.ru/Card/Person/143243", "ООО ""ВЕД""")</f>
        <v>ООО "ВЕД"</v>
      </c>
      <c r="K2039" s="24" t="s">
        <v>3168</v>
      </c>
      <c r="L2039" s="28" t="s">
        <v>52</v>
      </c>
      <c r="M2039" s="25">
        <v>4850000</v>
      </c>
      <c r="N2039" s="27">
        <v>0.03</v>
      </c>
    </row>
    <row r="2040" spans="1:14" x14ac:dyDescent="0.15">
      <c r="A2040" s="23" t="str">
        <f>HYPERLINK("https://www.spark-marketing.ru/Card/Person/6654357", "ДИРЕКЦИЯ ПО ЭКСПЛУАТАЦИИ ЗДАНИЙ И СООРУЖЕНИЙ – СТРУКТУРНОЕ ПОДРАЗДЕЛЕНИЕ ЗАПАДНО СИБИРСКОЙ ЖЕЛЕЗНОЙ ДОРОГИ – ФЛ ОАО РЖД")</f>
        <v>ДИРЕКЦИЯ ПО ЭКСПЛУАТАЦИИ ЗДАНИЙ И СООРУЖЕНИЙ – СТРУКТУРНОЕ ПОДРАЗДЕЛЕНИЕ ЗАПАДНО СИБИРСКОЙ ЖЕЛЕЗНОЙ ДОРОГИ – ФЛ ОАО РЖД</v>
      </c>
      <c r="B2040" s="24" t="s">
        <v>163</v>
      </c>
      <c r="C2040" s="25">
        <v>176986.56</v>
      </c>
      <c r="D2040" s="28" t="s">
        <v>52</v>
      </c>
      <c r="E2040" s="22" t="s">
        <v>591</v>
      </c>
      <c r="F2040" s="23" t="str">
        <f>HYPERLINK("https://www.spark-marketing.ru/Card/Lot/73146063", "№25412 Оказание услуг по обеспечению пропускного режима на объекте ""Учебный центр УЦПК г. Новосибирск, ул. Владимировский спуск,2""")</f>
        <v>№25412 Оказание услуг по обеспечению пропускного режима на объекте "Учебный центр УЦПК г. Новосибирск, ул. Владимировский спуск,2"</v>
      </c>
      <c r="G2040" s="22" t="s">
        <v>52</v>
      </c>
      <c r="H2040" s="22" t="s">
        <v>52</v>
      </c>
      <c r="I2040" s="26">
        <v>43707.5527083333</v>
      </c>
      <c r="J2040" s="28" t="s">
        <v>52</v>
      </c>
      <c r="K2040" s="28" t="s">
        <v>52</v>
      </c>
      <c r="L2040" s="28" t="s">
        <v>52</v>
      </c>
      <c r="M2040" s="28" t="s">
        <v>52</v>
      </c>
      <c r="N2040" s="28" t="s">
        <v>52</v>
      </c>
    </row>
    <row r="2041" spans="1:14" x14ac:dyDescent="0.15">
      <c r="A2041" s="23" t="str">
        <f>HYPERLINK("https://www.spark-marketing.ru/Card/Person/50870", "КУ ""ДЕЗ ПО ГХ"" ГОРОДА РАДУЖНЫЙ")</f>
        <v>КУ "ДЕЗ ПО ГХ" ГОРОДА РАДУЖНЫЙ</v>
      </c>
      <c r="B2041" s="24" t="s">
        <v>3169</v>
      </c>
      <c r="C2041" s="25">
        <v>492200</v>
      </c>
      <c r="D2041" s="22" t="s">
        <v>3170</v>
      </c>
      <c r="E2041" s="22" t="s">
        <v>59</v>
      </c>
      <c r="F2041" s="23" t="str">
        <f>HYPERLINK("https://www.spark-marketing.ru/Card/Lot/73143910", "Установка видеокамер для системы видеонаблюдения АПК «Безопасный город» города Радужный")</f>
        <v>Установка видеокамер для системы видеонаблюдения АПК «Безопасный город» города Радужный</v>
      </c>
      <c r="G2041" s="22" t="s">
        <v>119</v>
      </c>
      <c r="H2041" s="22" t="s">
        <v>3171</v>
      </c>
      <c r="I2041" s="26">
        <v>43707.5156712963</v>
      </c>
      <c r="J2041" s="23" t="str">
        <f>HYPERLINK("https://www.spark-marketing.ru/Card/Person/5853123", "Ершов Андрей Алексеевич")</f>
        <v>Ершов Андрей Алексеевич</v>
      </c>
      <c r="K2041" s="24" t="s">
        <v>1063</v>
      </c>
      <c r="L2041" s="28" t="s">
        <v>52</v>
      </c>
      <c r="M2041" s="28" t="s">
        <v>52</v>
      </c>
      <c r="N2041" s="28" t="s">
        <v>52</v>
      </c>
    </row>
    <row r="2042" spans="1:14" hidden="1" outlineLevel="1" x14ac:dyDescent="0.15">
      <c r="A2042" s="23" t="str">
        <f>HYPERLINK("https://www.spark-marketing.ru/Card/Person/50870", "КУ ""ДЕЗ ПО ГХ"" ГОРОДА РАДУЖНЫЙ")</f>
        <v>КУ "ДЕЗ ПО ГХ" ГОРОДА РАДУЖНЫЙ</v>
      </c>
      <c r="B2042" s="24" t="s">
        <v>3169</v>
      </c>
      <c r="C2042" s="25">
        <v>492200</v>
      </c>
      <c r="D2042" s="22" t="s">
        <v>3170</v>
      </c>
      <c r="E2042" s="22" t="s">
        <v>59</v>
      </c>
      <c r="F2042" s="23" t="str">
        <f>HYPERLINK("https://www.spark-marketing.ru/Card/Lot/73143910", "Установка видеокамер для системы видеонаблюдения АПК «Безопасный город» города Радужный")</f>
        <v>Установка видеокамер для системы видеонаблюдения АПК «Безопасный город» города Радужный</v>
      </c>
      <c r="G2042" s="22" t="s">
        <v>119</v>
      </c>
      <c r="H2042" s="22" t="s">
        <v>3171</v>
      </c>
      <c r="I2042" s="26">
        <v>43707.5156712963</v>
      </c>
      <c r="J2042" s="23" t="str">
        <f>HYPERLINK("https://www.spark-marketing.ru/Card/Person/5853123", "Ершов Андрей Алексеевич")</f>
        <v>Ершов Андрей Алексеевич</v>
      </c>
      <c r="K2042" s="24" t="s">
        <v>1063</v>
      </c>
      <c r="L2042" s="22" t="s">
        <v>10</v>
      </c>
      <c r="M2042" s="28" t="s">
        <v>52</v>
      </c>
      <c r="N2042" s="28" t="s">
        <v>52</v>
      </c>
    </row>
    <row r="2043" spans="1:14" x14ac:dyDescent="0.15">
      <c r="A2043" s="23" t="str">
        <f>HYPERLINK("https://www.spark-marketing.ru/Card/Person/20683", "ФКУ УПРДОР ""ХОЛМОГОРЫ""")</f>
        <v>ФКУ УПРДОР "ХОЛМОГОРЫ"</v>
      </c>
      <c r="B2043" s="24" t="s">
        <v>3172</v>
      </c>
      <c r="C2043" s="25">
        <v>6110500</v>
      </c>
      <c r="D2043" s="22" t="s">
        <v>3173</v>
      </c>
      <c r="E2043" s="22" t="s">
        <v>723</v>
      </c>
      <c r="F2043" s="23" t="str">
        <f>HYPERLINK("https://www.spark-marketing.ru/Card/Lot/73162766", "Установка систем видеоконтроля (камер фото-видеофиксации нарушений правил дорожного движения) на автомобильной дороге общего пользования федерального значения М-8 ""Холмогоры"" Москва - Ярославль - Вологда - Архангельск с подъездом к международному а...")</f>
        <v>Установка систем видеоконтроля (камер фото-видеофиксации нарушений правил дорожного движения) на автомобильной дороге общего пользования федерального значения М-8 "Холмогоры" Москва - Ярославль - Вологда - Архангельск с подъездом к международному а...</v>
      </c>
      <c r="G2043" s="22" t="s">
        <v>674</v>
      </c>
      <c r="H2043" s="22" t="s">
        <v>674</v>
      </c>
      <c r="I2043" s="26">
        <v>43707.4553703704</v>
      </c>
      <c r="J2043" s="28" t="s">
        <v>52</v>
      </c>
      <c r="K2043" s="28" t="s">
        <v>52</v>
      </c>
      <c r="L2043" s="28" t="s">
        <v>52</v>
      </c>
      <c r="M2043" s="28" t="s">
        <v>52</v>
      </c>
      <c r="N2043" s="28" t="s">
        <v>52</v>
      </c>
    </row>
    <row r="2044" spans="1:14" hidden="1" outlineLevel="1" x14ac:dyDescent="0.2">
      <c r="A2044" s="23" t="str">
        <f>HYPERLINK("https://www.spark-marketing.ru/Card/Person/20683", "ФКУ УПРДОР ""ХОЛМОГОРЫ""")</f>
        <v>ФКУ УПРДОР "ХОЛМОГОРЫ"</v>
      </c>
      <c r="B2044" s="24" t="s">
        <v>3172</v>
      </c>
      <c r="C2044" s="25">
        <v>6110500</v>
      </c>
      <c r="D2044" s="22" t="s">
        <v>3173</v>
      </c>
      <c r="E2044" s="22" t="s">
        <v>723</v>
      </c>
      <c r="F2044" s="23" t="str">
        <f>HYPERLINK("https://www.spark-marketing.ru/Card/Lot/73162766", "Установка систем видеоконтроля (камер фото-видеофиксации нарушений правил дорожного движения) на автомобильной дороге общего пользования федерального значения М-8 ""Холмогоры"" Москва - Ярославль - Вологда - Архангельск с подъездом к международному а...")</f>
        <v>Установка систем видеоконтроля (камер фото-видеофиксации нарушений правил дорожного движения) на автомобильной дороге общего пользования федерального значения М-8 "Холмогоры" Москва - Ярославль - Вологда - Архангельск с подъездом к международному а...</v>
      </c>
      <c r="G2044" s="22" t="s">
        <v>674</v>
      </c>
      <c r="H2044" s="22" t="s">
        <v>674</v>
      </c>
      <c r="I2044" s="26">
        <v>43707.4553703704</v>
      </c>
      <c r="J2044" s="23" t="str">
        <f>HYPERLINK("https://www.spark-marketing.ru/Card/Person/136979", "ООО ""СПЕЦТЕХЦЕНТР""")</f>
        <v>ООО "СПЕЦТЕХЦЕНТР"</v>
      </c>
      <c r="K2044" s="24" t="s">
        <v>3174</v>
      </c>
      <c r="L2044" s="28" t="s">
        <v>52</v>
      </c>
      <c r="M2044" s="25">
        <v>4460665</v>
      </c>
      <c r="N2044" s="27">
        <v>0.27</v>
      </c>
    </row>
    <row r="2045" spans="1:14" ht="12.75" hidden="1" outlineLevel="1" x14ac:dyDescent="0.2">
      <c r="A2045" s="23" t="str">
        <f>HYPERLINK("https://www.spark-marketing.ru/Card/Person/20683", "ФКУ УПРДОР ""ХОЛМОГОРЫ""")</f>
        <v>ФКУ УПРДОР "ХОЛМОГОРЫ"</v>
      </c>
      <c r="B2045" s="24" t="s">
        <v>3172</v>
      </c>
      <c r="C2045" s="25">
        <v>6110500</v>
      </c>
      <c r="D2045" s="22" t="s">
        <v>3173</v>
      </c>
      <c r="E2045" s="22" t="s">
        <v>723</v>
      </c>
      <c r="F2045" s="23" t="str">
        <f>HYPERLINK("https://www.spark-marketing.ru/Card/Lot/73162766", "Установка систем видеоконтроля (камер фото-видеофиксации нарушений правил дорожного движения) на автомобильной дороге общего пользования федерального значения М-8 ""Холмогоры"" Москва - Ярославль - Вологда - Архангельск с подъездом к международному а...")</f>
        <v>Установка систем видеоконтроля (камер фото-видеофиксации нарушений правил дорожного движения) на автомобильной дороге общего пользования федерального значения М-8 "Холмогоры" Москва - Ярославль - Вологда - Архангельск с подъездом к международному а...</v>
      </c>
      <c r="G2045" s="22" t="s">
        <v>674</v>
      </c>
      <c r="H2045" s="22" t="s">
        <v>674</v>
      </c>
      <c r="I2045" s="26">
        <v>43707.4553703704</v>
      </c>
      <c r="J2045" s="23" t="str">
        <f>HYPERLINK("https://www.spark-marketing.ru/Card/Person/1354238", "ООО ""ЛАБОРАТОРИЯ ЦИФРОВОГО ЗРЕНИЯ""")</f>
        <v>ООО "ЛАБОРАТОРИЯ ЦИФРОВОГО ЗРЕНИЯ"</v>
      </c>
      <c r="K2045" s="24" t="s">
        <v>1191</v>
      </c>
      <c r="L2045" s="22" t="s">
        <v>10</v>
      </c>
      <c r="M2045" s="25">
        <v>4430112.5</v>
      </c>
      <c r="N2045" s="27">
        <v>0.27500000000000002</v>
      </c>
    </row>
    <row r="2046" spans="1:14" x14ac:dyDescent="0.15">
      <c r="A2046" s="23" t="str">
        <f>HYPERLINK("https://www.spark-marketing.ru/Card/Person/51266", "СПБ ГБПОУ ""АТТ""")</f>
        <v>СПБ ГБПОУ "АТТ"</v>
      </c>
      <c r="B2046" s="24" t="s">
        <v>3175</v>
      </c>
      <c r="C2046" s="25">
        <v>97050</v>
      </c>
      <c r="D2046" s="22" t="s">
        <v>3176</v>
      </c>
      <c r="E2046" s="22" t="s">
        <v>194</v>
      </c>
      <c r="F2046" s="23" t="str">
        <f>HYPERLINK("https://www.spark-marketing.ru/Card/Lot/73145874", "Поставка видеорегистраторов для автошколы, включая установку на транспортные средства")</f>
        <v>Поставка видеорегистраторов для автошколы, включая установку на транспортные средства</v>
      </c>
      <c r="G2046" s="22" t="s">
        <v>89</v>
      </c>
      <c r="H2046" s="22" t="s">
        <v>89</v>
      </c>
      <c r="I2046" s="26">
        <v>43707.477557870399</v>
      </c>
      <c r="J2046" s="23" t="str">
        <f>HYPERLINK("https://www.spark-marketing.ru/Card/Person/5913817", "ООО ""ГИГ""")</f>
        <v>ООО "ГИГ"</v>
      </c>
      <c r="K2046" s="24" t="s">
        <v>3177</v>
      </c>
      <c r="L2046" s="28" t="s">
        <v>52</v>
      </c>
      <c r="M2046" s="28" t="s">
        <v>52</v>
      </c>
      <c r="N2046" s="28" t="s">
        <v>52</v>
      </c>
    </row>
    <row r="2047" spans="1:14" ht="12.75" hidden="1" outlineLevel="1" x14ac:dyDescent="0.2">
      <c r="A2047" s="23" t="str">
        <f>HYPERLINK("https://www.spark-marketing.ru/Card/Person/51266", "СПБ ГБПОУ ""АТТ""")</f>
        <v>СПБ ГБПОУ "АТТ"</v>
      </c>
      <c r="B2047" s="24" t="s">
        <v>3175</v>
      </c>
      <c r="C2047" s="25">
        <v>97050</v>
      </c>
      <c r="D2047" s="22" t="s">
        <v>3176</v>
      </c>
      <c r="E2047" s="22" t="s">
        <v>194</v>
      </c>
      <c r="F2047" s="23" t="str">
        <f>HYPERLINK("https://www.spark-marketing.ru/Card/Lot/73145874", "Поставка видеорегистраторов для автошколы, включая установку на транспортные средства")</f>
        <v>Поставка видеорегистраторов для автошколы, включая установку на транспортные средства</v>
      </c>
      <c r="G2047" s="22" t="s">
        <v>89</v>
      </c>
      <c r="H2047" s="22" t="s">
        <v>89</v>
      </c>
      <c r="I2047" s="26">
        <v>43707.477557870399</v>
      </c>
      <c r="J2047" s="23" t="str">
        <f>HYPERLINK("https://www.spark-marketing.ru/Card/Person/5913817", "ООО ""ГИГ""")</f>
        <v>ООО "ГИГ"</v>
      </c>
      <c r="K2047" s="24" t="s">
        <v>3177</v>
      </c>
      <c r="L2047" s="22" t="s">
        <v>10</v>
      </c>
      <c r="M2047" s="25">
        <v>96564.75</v>
      </c>
      <c r="N2047" s="27">
        <v>5.0000000000000001E-3</v>
      </c>
    </row>
    <row r="2048" spans="1:14" x14ac:dyDescent="0.15">
      <c r="A2048" s="23" t="str">
        <f>HYPERLINK("https://www.spark-marketing.ru/Card/Person/29409", "УФССП РОССИИ ПО ТОМСКОЙ ОБЛАСТИ")</f>
        <v>УФССП РОССИИ ПО ТОМСКОЙ ОБЛАСТИ</v>
      </c>
      <c r="B2048" s="24" t="s">
        <v>3178</v>
      </c>
      <c r="C2048" s="25">
        <v>7400</v>
      </c>
      <c r="D2048" s="22" t="s">
        <v>3179</v>
      </c>
      <c r="E2048" s="22" t="s">
        <v>746</v>
      </c>
      <c r="F2048" s="23" t="str">
        <f>HYPERLINK("https://www.spark-marketing.ru/Card/Lot/73134899", "Услуги по техническому обслуживанию систем видео наблюдения для нужд УФССП России по Томской области")</f>
        <v>Услуги по техническому обслуживанию систем видео наблюдения для нужд УФССП России по Томской области</v>
      </c>
      <c r="G2048" s="22" t="s">
        <v>150</v>
      </c>
      <c r="H2048" s="22" t="s">
        <v>1656</v>
      </c>
      <c r="I2048" s="26">
        <v>43707.4446412037</v>
      </c>
      <c r="J2048" s="23" t="str">
        <f>HYPERLINK("https://www.spark-marketing.ru/Card/Person/6044425", "ООО ""АРМАДА""")</f>
        <v>ООО "АРМАДА"</v>
      </c>
      <c r="K2048" s="24" t="s">
        <v>3180</v>
      </c>
      <c r="L2048" s="22" t="s">
        <v>10</v>
      </c>
      <c r="M2048" s="28" t="s">
        <v>52</v>
      </c>
      <c r="N2048" s="28" t="s">
        <v>52</v>
      </c>
    </row>
    <row r="2049" spans="1:14" x14ac:dyDescent="0.15">
      <c r="A2049" s="23" t="str">
        <f>HYPERLINK("https://www.spark-marketing.ru/Card/Person/20683", "ФКУ УПРДОР ""ХОЛМОГОРЫ""")</f>
        <v>ФКУ УПРДОР "ХОЛМОГОРЫ"</v>
      </c>
      <c r="B2049" s="24" t="s">
        <v>3172</v>
      </c>
      <c r="C2049" s="25">
        <v>12042500</v>
      </c>
      <c r="D2049" s="22" t="s">
        <v>3181</v>
      </c>
      <c r="E2049" s="22" t="s">
        <v>723</v>
      </c>
      <c r="F2049" s="23" t="str">
        <f>HYPERLINK("https://www.spark-marketing.ru/Card/Lot/73162492", "Установка систем видеоконтроля (камер фото-видеофиксации нарушений правил дорожного движения) на автомобильной дороге общего пользования федерального значения М-8 «Холмогоры» Москва - Ярославль - Вологда - Архангельск, км 694+525 - км 1226+218 в Арха...")</f>
        <v>Установка систем видеоконтроля (камер фото-видеофиксации нарушений правил дорожного движения) на автомобильной дороге общего пользования федерального значения М-8 «Холмогоры» Москва - Ярославль - Вологда - Архангельск, км 694+525 - км 1226+218 в Арха...</v>
      </c>
      <c r="G2049" s="22" t="s">
        <v>674</v>
      </c>
      <c r="H2049" s="22" t="s">
        <v>674</v>
      </c>
      <c r="I2049" s="26">
        <v>43707.463043981501</v>
      </c>
      <c r="J2049" s="28" t="s">
        <v>52</v>
      </c>
      <c r="K2049" s="28" t="s">
        <v>52</v>
      </c>
      <c r="L2049" s="28" t="s">
        <v>52</v>
      </c>
      <c r="M2049" s="28" t="s">
        <v>52</v>
      </c>
      <c r="N2049" s="28" t="s">
        <v>52</v>
      </c>
    </row>
    <row r="2050" spans="1:14" hidden="1" outlineLevel="1" x14ac:dyDescent="0.2">
      <c r="A2050" s="23" t="str">
        <f>HYPERLINK("https://www.spark-marketing.ru/Card/Person/20683", "ФКУ УПРДОР ""ХОЛМОГОРЫ""")</f>
        <v>ФКУ УПРДОР "ХОЛМОГОРЫ"</v>
      </c>
      <c r="B2050" s="24" t="s">
        <v>3172</v>
      </c>
      <c r="C2050" s="25">
        <v>12042500</v>
      </c>
      <c r="D2050" s="22" t="s">
        <v>3181</v>
      </c>
      <c r="E2050" s="22" t="s">
        <v>723</v>
      </c>
      <c r="F2050" s="23" t="str">
        <f>HYPERLINK("https://www.spark-marketing.ru/Card/Lot/73162492", "Установка систем видеоконтроля (камер фото-видеофиксации нарушений правил дорожного движения) на автомобильной дороге общего пользования федерального значения М-8 «Холмогоры» Москва - Ярославль - Вологда - Архангельск, км 694+525 - км 1226+218 в Арха...")</f>
        <v>Установка систем видеоконтроля (камер фото-видеофиксации нарушений правил дорожного движения) на автомобильной дороге общего пользования федерального значения М-8 «Холмогоры» Москва - Ярославль - Вологда - Архангельск, км 694+525 - км 1226+218 в Арха...</v>
      </c>
      <c r="G2050" s="22" t="s">
        <v>674</v>
      </c>
      <c r="H2050" s="22" t="s">
        <v>674</v>
      </c>
      <c r="I2050" s="26">
        <v>43707.463043981501</v>
      </c>
      <c r="J2050" s="23" t="str">
        <f>HYPERLINK("https://www.spark-marketing.ru/Card/Person/136979", "ООО ""СПЕЦТЕХЦЕНТР""")</f>
        <v>ООО "СПЕЦТЕХЦЕНТР"</v>
      </c>
      <c r="K2050" s="24" t="s">
        <v>3174</v>
      </c>
      <c r="L2050" s="28" t="s">
        <v>52</v>
      </c>
      <c r="M2050" s="25">
        <v>11861862.5</v>
      </c>
      <c r="N2050" s="27">
        <v>1.4999999999999999E-2</v>
      </c>
    </row>
    <row r="2051" spans="1:14" ht="12.75" hidden="1" outlineLevel="1" x14ac:dyDescent="0.2">
      <c r="A2051" s="23" t="str">
        <f>HYPERLINK("https://www.spark-marketing.ru/Card/Person/20683", "ФКУ УПРДОР ""ХОЛМОГОРЫ""")</f>
        <v>ФКУ УПРДОР "ХОЛМОГОРЫ"</v>
      </c>
      <c r="B2051" s="24" t="s">
        <v>3172</v>
      </c>
      <c r="C2051" s="25">
        <v>12042500</v>
      </c>
      <c r="D2051" s="22" t="s">
        <v>3181</v>
      </c>
      <c r="E2051" s="22" t="s">
        <v>723</v>
      </c>
      <c r="F2051" s="23" t="str">
        <f>HYPERLINK("https://www.spark-marketing.ru/Card/Lot/73162492", "Установка систем видеоконтроля (камер фото-видеофиксации нарушений правил дорожного движения) на автомобильной дороге общего пользования федерального значения М-8 «Холмогоры» Москва - Ярославль - Вологда - Архангельск, км 694+525 - км 1226+218 в Арха...")</f>
        <v>Установка систем видеоконтроля (камер фото-видеофиксации нарушений правил дорожного движения) на автомобильной дороге общего пользования федерального значения М-8 «Холмогоры» Москва - Ярославль - Вологда - Архангельск, км 694+525 - км 1226+218 в Арха...</v>
      </c>
      <c r="G2051" s="22" t="s">
        <v>674</v>
      </c>
      <c r="H2051" s="22" t="s">
        <v>674</v>
      </c>
      <c r="I2051" s="26">
        <v>43707.463043981501</v>
      </c>
      <c r="J2051" s="23" t="str">
        <f>HYPERLINK("https://www.spark-marketing.ru/Card/Person/1354238", "ООО ""ЛАБОРАТОРИЯ ЦИФРОВОГО ЗРЕНИЯ""")</f>
        <v>ООО "ЛАБОРАТОРИЯ ЦИФРОВОГО ЗРЕНИЯ"</v>
      </c>
      <c r="K2051" s="24" t="s">
        <v>1191</v>
      </c>
      <c r="L2051" s="22" t="s">
        <v>10</v>
      </c>
      <c r="M2051" s="25">
        <v>11801650</v>
      </c>
      <c r="N2051" s="27">
        <v>0.02</v>
      </c>
    </row>
    <row r="2052" spans="1:14" x14ac:dyDescent="0.15">
      <c r="A2052" s="23" t="str">
        <f>HYPERLINK("https://www.spark-marketing.ru/Card/Person/1046457", "МБУ ""ГМЦ ""ГЕЛИОС""")</f>
        <v>МБУ "ГМЦ "ГЕЛИОС"</v>
      </c>
      <c r="B2052" s="24" t="s">
        <v>3182</v>
      </c>
      <c r="C2052" s="25">
        <v>150000</v>
      </c>
      <c r="D2052" s="22" t="s">
        <v>3183</v>
      </c>
      <c r="E2052" s="22" t="s">
        <v>84</v>
      </c>
      <c r="F2052" s="23" t="str">
        <f>HYPERLINK("https://www.spark-marketing.ru/Card/Lot/73146217", "Установка системы видеонаблюдения")</f>
        <v>Установка системы видеонаблюдения</v>
      </c>
      <c r="G2052" s="22" t="s">
        <v>3128</v>
      </c>
      <c r="H2052" s="22" t="s">
        <v>3184</v>
      </c>
      <c r="I2052" s="26">
        <v>43707.461944444403</v>
      </c>
      <c r="J2052" s="23" t="str">
        <f>HYPERLINK("https://www.spark-marketing.ru/Card/Person/668228", "КОО ВДПО")</f>
        <v>КОО ВДПО</v>
      </c>
      <c r="K2052" s="24" t="s">
        <v>3185</v>
      </c>
      <c r="L2052" s="22" t="s">
        <v>10</v>
      </c>
      <c r="M2052" s="28" t="s">
        <v>52</v>
      </c>
      <c r="N2052" s="28" t="s">
        <v>52</v>
      </c>
    </row>
    <row r="2053" spans="1:14" x14ac:dyDescent="0.15">
      <c r="A2053" s="23" t="str">
        <f>HYPERLINK("https://www.spark-marketing.ru/Card/Person/20683", "ФКУ УПРДОР ""ХОЛМОГОРЫ""")</f>
        <v>ФКУ УПРДОР "ХОЛМОГОРЫ"</v>
      </c>
      <c r="B2053" s="24" t="s">
        <v>3172</v>
      </c>
      <c r="C2053" s="25">
        <v>17432300</v>
      </c>
      <c r="D2053" s="22" t="s">
        <v>3186</v>
      </c>
      <c r="E2053" s="22" t="s">
        <v>723</v>
      </c>
      <c r="F2053" s="23" t="str">
        <f>HYPERLINK("https://www.spark-marketing.ru/Card/Lot/73162825", "Установка систем видеоконтроля (камер фото-видеофиксации нарушений правил дорожного движения) на автомобильной дороге общего пользования федерального значения М-8 ""Холмогоры"" Москва - Ярославль - Вологда - Архангельск с подъездом к г. Северодвинск,...")</f>
        <v>Установка систем видеоконтроля (камер фото-видеофиксации нарушений правил дорожного движения) на автомобильной дороге общего пользования федерального значения М-8 "Холмогоры" Москва - Ярославль - Вологда - Архангельск с подъездом к г. Северодвинск,...</v>
      </c>
      <c r="G2053" s="22" t="s">
        <v>674</v>
      </c>
      <c r="H2053" s="22" t="s">
        <v>674</v>
      </c>
      <c r="I2053" s="26">
        <v>43706.715532407397</v>
      </c>
      <c r="J2053" s="28" t="s">
        <v>52</v>
      </c>
      <c r="K2053" s="28" t="s">
        <v>52</v>
      </c>
      <c r="L2053" s="28" t="s">
        <v>52</v>
      </c>
      <c r="M2053" s="28" t="s">
        <v>52</v>
      </c>
      <c r="N2053" s="28" t="s">
        <v>52</v>
      </c>
    </row>
    <row r="2054" spans="1:14" hidden="1" outlineLevel="1" x14ac:dyDescent="0.2">
      <c r="A2054" s="23" t="str">
        <f>HYPERLINK("https://www.spark-marketing.ru/Card/Person/20683", "ФКУ УПРДОР ""ХОЛМОГОРЫ""")</f>
        <v>ФКУ УПРДОР "ХОЛМОГОРЫ"</v>
      </c>
      <c r="B2054" s="24" t="s">
        <v>3172</v>
      </c>
      <c r="C2054" s="25">
        <v>17432300</v>
      </c>
      <c r="D2054" s="22" t="s">
        <v>3186</v>
      </c>
      <c r="E2054" s="22" t="s">
        <v>723</v>
      </c>
      <c r="F2054" s="23" t="str">
        <f>HYPERLINK("https://www.spark-marketing.ru/Card/Lot/73162825", "Установка систем видеоконтроля (камер фото-видеофиксации нарушений правил дорожного движения) на автомобильной дороге общего пользования федерального значения М-8 ""Холмогоры"" Москва - Ярославль - Вологда - Архангельск с подъездом к г. Северодвинск,...")</f>
        <v>Установка систем видеоконтроля (камер фото-видеофиксации нарушений правил дорожного движения) на автомобильной дороге общего пользования федерального значения М-8 "Холмогоры" Москва - Ярославль - Вологда - Архангельск с подъездом к г. Северодвинск,...</v>
      </c>
      <c r="G2054" s="22" t="s">
        <v>674</v>
      </c>
      <c r="H2054" s="22" t="s">
        <v>674</v>
      </c>
      <c r="I2054" s="26">
        <v>43706.715532407397</v>
      </c>
      <c r="J2054" s="23" t="str">
        <f>HYPERLINK("https://www.spark-marketing.ru/Card/Person/136979", "ООО ""СПЕЦТЕХЦЕНТР""")</f>
        <v>ООО "СПЕЦТЕХЦЕНТР"</v>
      </c>
      <c r="K2054" s="24" t="s">
        <v>3174</v>
      </c>
      <c r="L2054" s="28" t="s">
        <v>52</v>
      </c>
      <c r="M2054" s="25">
        <v>17345138.5</v>
      </c>
      <c r="N2054" s="27">
        <v>5.0000000000000001E-3</v>
      </c>
    </row>
    <row r="2055" spans="1:14" hidden="1" outlineLevel="1" x14ac:dyDescent="0.2">
      <c r="A2055" s="23" t="str">
        <f>HYPERLINK("https://www.spark-marketing.ru/Card/Person/20683", "ФКУ УПРДОР ""ХОЛМОГОРЫ""")</f>
        <v>ФКУ УПРДОР "ХОЛМОГОРЫ"</v>
      </c>
      <c r="B2055" s="24" t="s">
        <v>3172</v>
      </c>
      <c r="C2055" s="25">
        <v>17432300</v>
      </c>
      <c r="D2055" s="22" t="s">
        <v>3186</v>
      </c>
      <c r="E2055" s="22" t="s">
        <v>723</v>
      </c>
      <c r="F2055" s="23" t="str">
        <f>HYPERLINK("https://www.spark-marketing.ru/Card/Lot/73162825", "Установка систем видеоконтроля (камер фото-видеофиксации нарушений правил дорожного движения) на автомобильной дороге общего пользования федерального значения М-8 ""Холмогоры"" Москва - Ярославль - Вологда - Архангельск с подъездом к г. Северодвинск,...")</f>
        <v>Установка систем видеоконтроля (камер фото-видеофиксации нарушений правил дорожного движения) на автомобильной дороге общего пользования федерального значения М-8 "Холмогоры" Москва - Ярославль - Вологда - Архангельск с подъездом к г. Северодвинск,...</v>
      </c>
      <c r="G2055" s="22" t="s">
        <v>674</v>
      </c>
      <c r="H2055" s="22" t="s">
        <v>674</v>
      </c>
      <c r="I2055" s="26">
        <v>43706.715532407397</v>
      </c>
      <c r="J2055" s="23" t="str">
        <f>HYPERLINK("https://www.spark-marketing.ru/Card/Person/6529613", "ООО ""НИЭС""")</f>
        <v>ООО "НИЭС"</v>
      </c>
      <c r="K2055" s="24" t="s">
        <v>3187</v>
      </c>
      <c r="L2055" s="28" t="s">
        <v>52</v>
      </c>
      <c r="M2055" s="25">
        <v>14468809</v>
      </c>
      <c r="N2055" s="27">
        <v>0.17</v>
      </c>
    </row>
    <row r="2056" spans="1:14" hidden="1" outlineLevel="1" x14ac:dyDescent="0.2">
      <c r="A2056" s="23" t="str">
        <f>HYPERLINK("https://www.spark-marketing.ru/Card/Person/20683", "ФКУ УПРДОР ""ХОЛМОГОРЫ""")</f>
        <v>ФКУ УПРДОР "ХОЛМОГОРЫ"</v>
      </c>
      <c r="B2056" s="24" t="s">
        <v>3172</v>
      </c>
      <c r="C2056" s="25">
        <v>17432300</v>
      </c>
      <c r="D2056" s="22" t="s">
        <v>3186</v>
      </c>
      <c r="E2056" s="22" t="s">
        <v>723</v>
      </c>
      <c r="F2056" s="23" t="str">
        <f>HYPERLINK("https://www.spark-marketing.ru/Card/Lot/73162825", "Установка систем видеоконтроля (камер фото-видеофиксации нарушений правил дорожного движения) на автомобильной дороге общего пользования федерального значения М-8 ""Холмогоры"" Москва - Ярославль - Вологда - Архангельск с подъездом к г. Северодвинск,...")</f>
        <v>Установка систем видеоконтроля (камер фото-видеофиксации нарушений правил дорожного движения) на автомобильной дороге общего пользования федерального значения М-8 "Холмогоры" Москва - Ярославль - Вологда - Архангельск с подъездом к г. Северодвинск,...</v>
      </c>
      <c r="G2056" s="22" t="s">
        <v>674</v>
      </c>
      <c r="H2056" s="22" t="s">
        <v>674</v>
      </c>
      <c r="I2056" s="26">
        <v>43706.715532407397</v>
      </c>
      <c r="J2056" s="23" t="str">
        <f>HYPERLINK("https://www.spark-marketing.ru/Card/Person/4422", "ООО ""СКАЙСОФТ ВИКТОРИ""")</f>
        <v>ООО "СКАЙСОФТ ВИКТОРИ"</v>
      </c>
      <c r="K2056" s="24" t="s">
        <v>3188</v>
      </c>
      <c r="L2056" s="28" t="s">
        <v>52</v>
      </c>
      <c r="M2056" s="25">
        <v>15514747</v>
      </c>
      <c r="N2056" s="27">
        <v>0.11</v>
      </c>
    </row>
    <row r="2057" spans="1:14" ht="12.75" hidden="1" outlineLevel="1" x14ac:dyDescent="0.2">
      <c r="A2057" s="23" t="str">
        <f>HYPERLINK("https://www.spark-marketing.ru/Card/Person/20683", "ФКУ УПРДОР ""ХОЛМОГОРЫ""")</f>
        <v>ФКУ УПРДОР "ХОЛМОГОРЫ"</v>
      </c>
      <c r="B2057" s="24" t="s">
        <v>3172</v>
      </c>
      <c r="C2057" s="25">
        <v>17432300</v>
      </c>
      <c r="D2057" s="22" t="s">
        <v>3186</v>
      </c>
      <c r="E2057" s="22" t="s">
        <v>723</v>
      </c>
      <c r="F2057" s="23" t="str">
        <f>HYPERLINK("https://www.spark-marketing.ru/Card/Lot/73162825", "Установка систем видеоконтроля (камер фото-видеофиксации нарушений правил дорожного движения) на автомобильной дороге общего пользования федерального значения М-8 ""Холмогоры"" Москва - Ярославль - Вологда - Архангельск с подъездом к г. Северодвинск,...")</f>
        <v>Установка систем видеоконтроля (камер фото-видеофиксации нарушений правил дорожного движения) на автомобильной дороге общего пользования федерального значения М-8 "Холмогоры" Москва - Ярославль - Вологда - Архангельск с подъездом к г. Северодвинск,...</v>
      </c>
      <c r="G2057" s="22" t="s">
        <v>674</v>
      </c>
      <c r="H2057" s="22" t="s">
        <v>674</v>
      </c>
      <c r="I2057" s="26">
        <v>43706.715532407397</v>
      </c>
      <c r="J2057" s="23" t="str">
        <f>HYPERLINK("https://www.spark-marketing.ru/Card/Person/1354238", "ООО ""ЛАБОРАТОРИЯ ЦИФРОВОГО ЗРЕНИЯ""")</f>
        <v>ООО "ЛАБОРАТОРИЯ ЦИФРОВОГО ЗРЕНИЯ"</v>
      </c>
      <c r="K2057" s="24" t="s">
        <v>1191</v>
      </c>
      <c r="L2057" s="22" t="s">
        <v>10</v>
      </c>
      <c r="M2057" s="25">
        <v>14468809</v>
      </c>
      <c r="N2057" s="27">
        <v>0.17</v>
      </c>
    </row>
    <row r="2058" spans="1:14" x14ac:dyDescent="0.15">
      <c r="A2058" s="23" t="str">
        <f>HYPERLINK("https://www.spark-marketing.ru/Card/Person/1752950", "ВОЕННОЕ СЛЕДСТВЕННОЕ УПРАВЛЕНИЕ СЛЕДСТВЕННОГО КОМИТЕТА РОССИЙСКОЙ ФЕДЕРАЦИИ ПО БАЛТИЙСКОМУ ФЛОТУ")</f>
        <v>ВОЕННОЕ СЛЕДСТВЕННОЕ УПРАВЛЕНИЕ СЛЕДСТВЕННОГО КОМИТЕТА РОССИЙСКОЙ ФЕДЕРАЦИИ ПО БАЛТИЙСКОМУ ФЛОТУ</v>
      </c>
      <c r="B2058" s="24" t="s">
        <v>573</v>
      </c>
      <c r="C2058" s="25">
        <v>1000000</v>
      </c>
      <c r="D2058" s="22" t="s">
        <v>3189</v>
      </c>
      <c r="E2058" s="22" t="s">
        <v>208</v>
      </c>
      <c r="F2058" s="23" t="str">
        <f>HYPERLINK("https://www.spark-marketing.ru/Card/Lot/73158223", "Приобретение и установка систем безопасности (видеонаблюдения и СКУД)")</f>
        <v>Приобретение и установка систем безопасности (видеонаблюдения и СКУД)</v>
      </c>
      <c r="G2058" s="22" t="s">
        <v>247</v>
      </c>
      <c r="H2058" s="22" t="s">
        <v>576</v>
      </c>
      <c r="I2058" s="26">
        <v>43707.3609953704</v>
      </c>
      <c r="J2058" s="28" t="s">
        <v>52</v>
      </c>
      <c r="K2058" s="28" t="s">
        <v>52</v>
      </c>
      <c r="L2058" s="28" t="s">
        <v>52</v>
      </c>
      <c r="M2058" s="28" t="s">
        <v>52</v>
      </c>
      <c r="N2058" s="28" t="s">
        <v>52</v>
      </c>
    </row>
    <row r="2059" spans="1:14" x14ac:dyDescent="0.15">
      <c r="A2059" s="23" t="str">
        <f>HYPERLINK("https://www.spark-marketing.ru/Card/Person/1022899", "СПБ ГБ ПОУ КПМ")</f>
        <v>СПБ ГБ ПОУ КПМ</v>
      </c>
      <c r="B2059" s="24" t="s">
        <v>3190</v>
      </c>
      <c r="C2059" s="25">
        <v>2943400</v>
      </c>
      <c r="D2059" s="22" t="s">
        <v>3191</v>
      </c>
      <c r="E2059" s="22" t="s">
        <v>208</v>
      </c>
      <c r="F2059" s="23" t="str">
        <f>HYPERLINK("https://www.spark-marketing.ru/Card/Lot/73143770", "Приобретение и установка комплекса видеомэппинга для входной зоны в здании по адресу: ул. Манчестерская, дом 8, корпус 1")</f>
        <v>Приобретение и установка комплекса видеомэппинга для входной зоны в здании по адресу: ул. Манчестерская, дом 8, корпус 1</v>
      </c>
      <c r="G2059" s="22" t="s">
        <v>89</v>
      </c>
      <c r="H2059" s="22" t="s">
        <v>89</v>
      </c>
      <c r="I2059" s="26">
        <v>43706.759664351899</v>
      </c>
      <c r="J2059" s="23" t="str">
        <f>HYPERLINK("https://www.spark-marketing.ru/Card/Person/6697111", "ООО ""УМНЫЕ ТЕХНОЛОГИИ""")</f>
        <v>ООО "УМНЫЕ ТЕХНОЛОГИИ"</v>
      </c>
      <c r="K2059" s="24" t="s">
        <v>3192</v>
      </c>
      <c r="L2059" s="22" t="s">
        <v>10</v>
      </c>
      <c r="M2059" s="28" t="s">
        <v>52</v>
      </c>
      <c r="N2059" s="28" t="s">
        <v>52</v>
      </c>
    </row>
    <row r="2060" spans="1:14" x14ac:dyDescent="0.15">
      <c r="A2060" s="23" t="str">
        <f>HYPERLINK("https://www.spark-marketing.ru/Card/Person/4858384", "МКДОУ ДЕТСКИЙ САД ОБЩЕРАЗВИВАЮЩЕГО ВИДА №29 ""ЛЕСНАЯ СКАЗКА""")</f>
        <v>МКДОУ ДЕТСКИЙ САД ОБЩЕРАЗВИВАЮЩЕГО ВИДА №29 "ЛЕСНАЯ СКАЗКА"</v>
      </c>
      <c r="B2060" s="24" t="s">
        <v>3193</v>
      </c>
      <c r="C2060" s="25">
        <v>295000</v>
      </c>
      <c r="D2060" s="22" t="s">
        <v>3194</v>
      </c>
      <c r="E2060" s="22" t="s">
        <v>84</v>
      </c>
      <c r="F2060" s="23" t="str">
        <f>HYPERLINK("https://www.spark-marketing.ru/Card/Lot/73136517", "Оказание услуг по согласованию паспортов и мест размещения камер видеонаблюдения, 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технологическо...")</f>
        <v>Оказание услуг по согласованию паспортов и мест размещения камер видеонаблюдения, 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технологическо...</v>
      </c>
      <c r="G2060" s="22" t="s">
        <v>50</v>
      </c>
      <c r="H2060" s="22" t="s">
        <v>682</v>
      </c>
      <c r="I2060" s="26">
        <v>43707.357094907398</v>
      </c>
      <c r="J2060" s="28" t="s">
        <v>52</v>
      </c>
      <c r="K2060" s="28" t="s">
        <v>52</v>
      </c>
      <c r="L2060" s="28" t="s">
        <v>52</v>
      </c>
      <c r="M2060" s="28" t="s">
        <v>52</v>
      </c>
      <c r="N2060" s="28" t="s">
        <v>52</v>
      </c>
    </row>
    <row r="2061" spans="1:14" x14ac:dyDescent="0.15">
      <c r="A2061" s="23" t="str">
        <f>HYPERLINK("https://www.spark-marketing.ru/Card/Person/947375", "ОТДЕЛ МВД РОССИИ ПО БЛАГОДАРНЕНСКОМУ ГОРОДСКОМУ ОКРУГУ")</f>
        <v>ОТДЕЛ МВД РОССИИ ПО БЛАГОДАРНЕНСКОМУ ГОРОДСКОМУ ОКРУГУ</v>
      </c>
      <c r="B2061" s="24" t="s">
        <v>1812</v>
      </c>
      <c r="C2061" s="25">
        <v>34506.480000000003</v>
      </c>
      <c r="D2061" s="22" t="s">
        <v>3195</v>
      </c>
      <c r="E2061" s="22" t="s">
        <v>53</v>
      </c>
      <c r="F2061" s="23" t="str">
        <f>HYPERLINK("https://www.spark-marketing.ru/Card/Lot/73135245", "Услуги по техническому обслуживанию комплекса технических средств охраны на объектах")</f>
        <v>Услуги по техническому обслуживанию комплекса технических средств охраны на объектах</v>
      </c>
      <c r="G2061" s="22" t="s">
        <v>258</v>
      </c>
      <c r="H2061" s="22" t="s">
        <v>1814</v>
      </c>
      <c r="I2061" s="26">
        <v>43707.363831018498</v>
      </c>
      <c r="J2061" s="28" t="s">
        <v>52</v>
      </c>
      <c r="K2061" s="28" t="s">
        <v>52</v>
      </c>
      <c r="L2061" s="28" t="s">
        <v>52</v>
      </c>
      <c r="M2061" s="28" t="s">
        <v>52</v>
      </c>
      <c r="N2061" s="28" t="s">
        <v>52</v>
      </c>
    </row>
    <row r="2062" spans="1:14" x14ac:dyDescent="0.15">
      <c r="A2062" s="23" t="str">
        <f>HYPERLINK("https://www.spark-marketing.ru/Card/Person/56837", "КГБУЗ ""ТОПЧИХИНСКАЯ ЦРБ""")</f>
        <v>КГБУЗ "ТОПЧИХИНСКАЯ ЦРБ"</v>
      </c>
      <c r="B2062" s="24" t="s">
        <v>3196</v>
      </c>
      <c r="C2062" s="25">
        <v>150233</v>
      </c>
      <c r="D2062" s="22" t="s">
        <v>3197</v>
      </c>
      <c r="E2062" s="22" t="s">
        <v>79</v>
      </c>
      <c r="F2062" s="23" t="str">
        <f>HYPERLINK("https://www.spark-marketing.ru/Card/Lot/73133029", "Монтаж и пусконаладочные работы по установке шлагбаума и системы видеонаблюдения в 2019 году")</f>
        <v>Монтаж и пусконаладочные работы по установке шлагбаума и системы видеонаблюдения в 2019 году</v>
      </c>
      <c r="G2062" s="22" t="s">
        <v>428</v>
      </c>
      <c r="H2062" s="22" t="s">
        <v>3198</v>
      </c>
      <c r="I2062" s="26">
        <v>43706.641307870399</v>
      </c>
      <c r="J2062" s="28" t="s">
        <v>52</v>
      </c>
      <c r="K2062" s="28" t="s">
        <v>52</v>
      </c>
      <c r="L2062" s="28" t="s">
        <v>52</v>
      </c>
      <c r="M2062" s="28" t="s">
        <v>52</v>
      </c>
      <c r="N2062" s="28" t="s">
        <v>52</v>
      </c>
    </row>
    <row r="2063" spans="1:14" hidden="1" outlineLevel="1" x14ac:dyDescent="0.2">
      <c r="A2063" s="23" t="str">
        <f>HYPERLINK("https://www.spark-marketing.ru/Card/Person/56837", "КГБУЗ ""ТОПЧИХИНСКАЯ ЦРБ""")</f>
        <v>КГБУЗ "ТОПЧИХИНСКАЯ ЦРБ"</v>
      </c>
      <c r="B2063" s="24" t="s">
        <v>3196</v>
      </c>
      <c r="C2063" s="25">
        <v>150233</v>
      </c>
      <c r="D2063" s="22" t="s">
        <v>3197</v>
      </c>
      <c r="E2063" s="22" t="s">
        <v>79</v>
      </c>
      <c r="F2063" s="23" t="str">
        <f>HYPERLINK("https://www.spark-marketing.ru/Card/Lot/73133029", "Монтаж и пусконаладочные работы по установке шлагбаума и системы видеонаблюдения в 2019 году")</f>
        <v>Монтаж и пусконаладочные работы по установке шлагбаума и системы видеонаблюдения в 2019 году</v>
      </c>
      <c r="G2063" s="22" t="s">
        <v>428</v>
      </c>
      <c r="H2063" s="22" t="s">
        <v>3198</v>
      </c>
      <c r="I2063" s="26">
        <v>43706.641307870399</v>
      </c>
      <c r="J2063" s="23" t="str">
        <f>HYPERLINK("https://www.spark-marketing.ru/Card/Person/6499927", "ООО ""ПРОФСБ""")</f>
        <v>ООО "ПРОФСБ"</v>
      </c>
      <c r="K2063" s="24" t="s">
        <v>3199</v>
      </c>
      <c r="L2063" s="28" t="s">
        <v>52</v>
      </c>
      <c r="M2063" s="25">
        <v>127954.84</v>
      </c>
      <c r="N2063" s="27">
        <v>0.14829072174555524</v>
      </c>
    </row>
    <row r="2064" spans="1:14" ht="12.75" hidden="1" outlineLevel="1" x14ac:dyDescent="0.2">
      <c r="A2064" s="23" t="str">
        <f>HYPERLINK("https://www.spark-marketing.ru/Card/Person/56837", "КГБУЗ ""ТОПЧИХИНСКАЯ ЦРБ""")</f>
        <v>КГБУЗ "ТОПЧИХИНСКАЯ ЦРБ"</v>
      </c>
      <c r="B2064" s="24" t="s">
        <v>3196</v>
      </c>
      <c r="C2064" s="25">
        <v>150233</v>
      </c>
      <c r="D2064" s="22" t="s">
        <v>3197</v>
      </c>
      <c r="E2064" s="22" t="s">
        <v>79</v>
      </c>
      <c r="F2064" s="23" t="str">
        <f>HYPERLINK("https://www.spark-marketing.ru/Card/Lot/73133029", "Монтаж и пусконаладочные работы по установке шлагбаума и системы видеонаблюдения в 2019 году")</f>
        <v>Монтаж и пусконаладочные работы по установке шлагбаума и системы видеонаблюдения в 2019 году</v>
      </c>
      <c r="G2064" s="22" t="s">
        <v>428</v>
      </c>
      <c r="H2064" s="22" t="s">
        <v>3198</v>
      </c>
      <c r="I2064" s="26">
        <v>43706.641307870399</v>
      </c>
      <c r="J2064" s="23" t="str">
        <f>HYPERLINK("https://www.spark-marketing.ru/Card/Person/6574586", "ООО ""НОВЫЕ ТЕХНОЛОГИИ""")</f>
        <v>ООО "НОВЫЕ ТЕХНОЛОГИИ"</v>
      </c>
      <c r="K2064" s="24" t="s">
        <v>2363</v>
      </c>
      <c r="L2064" s="22" t="s">
        <v>10</v>
      </c>
      <c r="M2064" s="25">
        <v>127203.64</v>
      </c>
      <c r="N2064" s="27">
        <v>0.15329095471700624</v>
      </c>
    </row>
    <row r="2065" spans="1:14" hidden="1" outlineLevel="1" x14ac:dyDescent="0.2">
      <c r="A2065" s="23" t="str">
        <f>HYPERLINK("https://www.spark-marketing.ru/Card/Person/56837", "КГБУЗ ""ТОПЧИХИНСКАЯ ЦРБ""")</f>
        <v>КГБУЗ "ТОПЧИХИНСКАЯ ЦРБ"</v>
      </c>
      <c r="B2065" s="24" t="s">
        <v>3196</v>
      </c>
      <c r="C2065" s="25">
        <v>150233</v>
      </c>
      <c r="D2065" s="22" t="s">
        <v>3197</v>
      </c>
      <c r="E2065" s="22" t="s">
        <v>79</v>
      </c>
      <c r="F2065" s="23" t="str">
        <f>HYPERLINK("https://www.spark-marketing.ru/Card/Lot/73133029", "Монтаж и пусконаладочные работы по установке шлагбаума и системы видеонаблюдения в 2019 году")</f>
        <v>Монтаж и пусконаладочные работы по установке шлагбаума и системы видеонаблюдения в 2019 году</v>
      </c>
      <c r="G2065" s="22" t="s">
        <v>428</v>
      </c>
      <c r="H2065" s="22" t="s">
        <v>3198</v>
      </c>
      <c r="I2065" s="26">
        <v>43706.641307870399</v>
      </c>
      <c r="J2065" s="23" t="str">
        <f>HYPERLINK("https://www.spark-marketing.ru/Card/Person/108712", "ЗАО ""ТСМП""")</f>
        <v>ЗАО "ТСМП"</v>
      </c>
      <c r="K2065" s="24" t="s">
        <v>3200</v>
      </c>
      <c r="L2065" s="28" t="s">
        <v>52</v>
      </c>
      <c r="M2065" s="25">
        <v>138617.82999999999</v>
      </c>
      <c r="N2065" s="27">
        <v>7.7314371675996613E-2</v>
      </c>
    </row>
    <row r="2066" spans="1:14" x14ac:dyDescent="0.15">
      <c r="A2066" s="23" t="str">
        <f>HYPERLINK("https://www.spark-marketing.ru/Card/Person/4344165", "ПРАВИТЕЛЬСТВО КРАЯ")</f>
        <v>ПРАВИТЕЛЬСТВО КРАЯ</v>
      </c>
      <c r="B2066" s="24" t="s">
        <v>271</v>
      </c>
      <c r="C2066" s="25">
        <v>3827</v>
      </c>
      <c r="D2066" s="22" t="s">
        <v>3201</v>
      </c>
      <c r="E2066" s="22" t="s">
        <v>53</v>
      </c>
      <c r="F2066" s="23" t="str">
        <f>HYPERLINK("https://www.spark-marketing.ru/Card/Lot/73135170", "Пультовая охрана, 547 ч")</f>
        <v>Пультовая охрана, 547 ч</v>
      </c>
      <c r="G2066" s="22" t="s">
        <v>138</v>
      </c>
      <c r="H2066" s="22" t="s">
        <v>255</v>
      </c>
      <c r="I2066" s="26">
        <v>43707.352916666699</v>
      </c>
      <c r="J2066" s="28" t="s">
        <v>52</v>
      </c>
      <c r="K2066" s="28" t="s">
        <v>52</v>
      </c>
      <c r="L2066" s="28" t="s">
        <v>52</v>
      </c>
      <c r="M2066" s="28" t="s">
        <v>52</v>
      </c>
      <c r="N2066" s="28" t="s">
        <v>52</v>
      </c>
    </row>
    <row r="2067" spans="1:14" x14ac:dyDescent="0.15">
      <c r="A2067" s="23" t="str">
        <f>HYPERLINK("https://www.spark-marketing.ru/Card/Person/114798", "АРБИТРАЖНЫЙ СУД КИРОВСКОЙ ОБЛАСТИ")</f>
        <v>АРБИТРАЖНЫЙ СУД КИРОВСКОЙ ОБЛАСТИ</v>
      </c>
      <c r="B2067" s="24" t="s">
        <v>3202</v>
      </c>
      <c r="C2067" s="25">
        <v>1043590.65</v>
      </c>
      <c r="D2067" s="22" t="s">
        <v>3203</v>
      </c>
      <c r="E2067" s="22" t="s">
        <v>68</v>
      </c>
      <c r="F2067" s="23" t="str">
        <f>HYPERLINK("https://www.spark-marketing.ru/Card/Lot/73137079", "Оказание услуг по охране объектов")</f>
        <v>Оказание услуг по охране объектов</v>
      </c>
      <c r="G2067" s="22" t="s">
        <v>556</v>
      </c>
      <c r="H2067" s="22" t="s">
        <v>557</v>
      </c>
      <c r="I2067" s="26">
        <v>43707.353125000001</v>
      </c>
      <c r="J2067" s="23" t="str">
        <f>HYPERLINK("https://www.spark-marketing.ru/Card/Person/10487", "ФГУП ""ОХРАНА"" РОСГВАРДИИ")</f>
        <v>ФГУП "ОХРАНА" РОСГВАРДИИ</v>
      </c>
      <c r="K2067" s="24" t="s">
        <v>779</v>
      </c>
      <c r="L2067" s="22" t="s">
        <v>10</v>
      </c>
      <c r="M2067" s="28" t="s">
        <v>52</v>
      </c>
      <c r="N2067" s="28" t="s">
        <v>52</v>
      </c>
    </row>
    <row r="2068" spans="1:14" x14ac:dyDescent="0.15">
      <c r="A2068" s="23" t="str">
        <f>HYPERLINK("https://www.spark-marketing.ru/Card/Person/570467", "ГППО ""ПСКОВАВТОТРАНС""")</f>
        <v>ГППО "ПСКОВАВТОТРАНС"</v>
      </c>
      <c r="B2068" s="24" t="s">
        <v>3204</v>
      </c>
      <c r="C2068" s="25">
        <v>122200</v>
      </c>
      <c r="D2068" s="22" t="s">
        <v>3205</v>
      </c>
      <c r="E2068" s="22" t="s">
        <v>3206</v>
      </c>
      <c r="F2068" s="23" t="str">
        <f>HYPERLINK("https://www.spark-marketing.ru/Card/Lot/73154521", "закупка услуг по системно- техническому обслуживанию, обеспечению бесперебойной работы и совершенствованию комплекса IT-технологий, обеспечивающих транспортную безопасность и производственную деятельность объектов транспортной инфраструктуры в 2019 г...")</f>
        <v>закупка услуг по системно- техническому обслуживанию, обеспечению бесперебойной работы и совершенствованию комплекса IT-технологий, обеспечивающих транспортную безопасность и производственную деятельность объектов транспортной инфраструктуры в 2019 г...</v>
      </c>
      <c r="G2068" s="22" t="s">
        <v>142</v>
      </c>
      <c r="H2068" s="22" t="s">
        <v>142</v>
      </c>
      <c r="I2068" s="26">
        <v>43707</v>
      </c>
      <c r="J2068" s="28" t="s">
        <v>52</v>
      </c>
      <c r="K2068" s="28" t="s">
        <v>52</v>
      </c>
      <c r="L2068" s="28" t="s">
        <v>52</v>
      </c>
      <c r="M2068" s="28" t="s">
        <v>52</v>
      </c>
      <c r="N2068" s="28" t="s">
        <v>52</v>
      </c>
    </row>
    <row r="2069" spans="1:14" x14ac:dyDescent="0.15">
      <c r="A2069" s="23" t="str">
        <f>HYPERLINK("https://www.spark-marketing.ru/Card/Person/113010", "АО ""НИКИМТ-АТОМСТРОЙ""")</f>
        <v>АО "НИКИМТ-АТОМСТРОЙ"</v>
      </c>
      <c r="B2069" s="24" t="s">
        <v>1701</v>
      </c>
      <c r="C2069" s="28" t="s">
        <v>52</v>
      </c>
      <c r="D2069" s="22" t="s">
        <v>3207</v>
      </c>
      <c r="E2069" s="22" t="s">
        <v>53</v>
      </c>
      <c r="F2069" s="23" t="str">
        <f>HYPERLINK("https://www.spark-marketing.ru/Card/Lot/73156702", "Оказание услуг Государственной (ведомственной) охраной по обеспечению пропускного и внутриобъектового режимов на объектах строительной площадки комплекса по переработке радиоактивных отходов филиала АО «НИКИМТ - Атомстрой» Дирекция на Курской АЭС 201...")</f>
        <v>Оказание услуг Государственной (ведомственной) охраной по обеспечению пропускного и внутриобъектового режимов на объектах строительной площадки комплекса по переработке радиоактивных отходов филиала АО «НИКИМТ - Атомстрой» Дирекция на Курской АЭС 201...</v>
      </c>
      <c r="G2069" s="22" t="s">
        <v>55</v>
      </c>
      <c r="H2069" s="22" t="s">
        <v>55</v>
      </c>
      <c r="I2069" s="26">
        <v>43707.645810185197</v>
      </c>
      <c r="J2069" s="28" t="s">
        <v>52</v>
      </c>
      <c r="K2069" s="28" t="s">
        <v>52</v>
      </c>
      <c r="L2069" s="28" t="s">
        <v>52</v>
      </c>
      <c r="M2069" s="28" t="s">
        <v>52</v>
      </c>
      <c r="N2069" s="28" t="s">
        <v>52</v>
      </c>
    </row>
    <row r="2070" spans="1:14" x14ac:dyDescent="0.15">
      <c r="A2070" s="23" t="str">
        <f>HYPERLINK("https://www.spark-marketing.ru/Card/Person/4343928", "ФГБОУ ВО КУБАНСКИЙ ГАУ")</f>
        <v>ФГБОУ ВО КУБАНСКИЙ ГАУ</v>
      </c>
      <c r="B2070" s="24" t="s">
        <v>1428</v>
      </c>
      <c r="C2070" s="25">
        <v>471900</v>
      </c>
      <c r="D2070" s="22" t="s">
        <v>3208</v>
      </c>
      <c r="E2070" s="22" t="s">
        <v>144</v>
      </c>
      <c r="F2070" s="23" t="str">
        <f>HYPERLINK("https://www.spark-marketing.ru/Card/Lot/73134244", "Услуги охранные студенческого городка")</f>
        <v>Услуги охранные студенческого городка</v>
      </c>
      <c r="G2070" s="22" t="s">
        <v>132</v>
      </c>
      <c r="H2070" s="22" t="s">
        <v>132</v>
      </c>
      <c r="I2070" s="26">
        <v>43707</v>
      </c>
      <c r="J2070" s="28" t="s">
        <v>52</v>
      </c>
      <c r="K2070" s="28" t="s">
        <v>52</v>
      </c>
      <c r="L2070" s="28" t="s">
        <v>52</v>
      </c>
      <c r="M2070" s="28" t="s">
        <v>52</v>
      </c>
      <c r="N2070" s="28" t="s">
        <v>52</v>
      </c>
    </row>
    <row r="2071" spans="1:14" x14ac:dyDescent="0.15">
      <c r="A2071" s="23" t="str">
        <f>HYPERLINK("https://www.spark-marketing.ru/Card/Person/77706", "АО ""ПОЧТА РОССИИ""")</f>
        <v>АО "ПОЧТА РОССИИ"</v>
      </c>
      <c r="B2071" s="24" t="s">
        <v>1230</v>
      </c>
      <c r="C2071" s="25">
        <v>840000</v>
      </c>
      <c r="D2071" s="22" t="s">
        <v>3209</v>
      </c>
      <c r="E2071" s="22" t="s">
        <v>49</v>
      </c>
      <c r="F2071" s="23" t="str">
        <f>HYPERLINK("https://www.spark-marketing.ru/Card/Lot/73119274", "Выполнение работ по модернизации и дооборудованию инженерно-технических средств охраны объектов Предприятия для нужд УФПС Республики Бурятия.")</f>
        <v>Выполнение работ по модернизации и дооборудованию инженерно-технических средств охраны объектов Предприятия для нужд УФПС Республики Бурятия.</v>
      </c>
      <c r="G2071" s="22" t="s">
        <v>55</v>
      </c>
      <c r="H2071" s="22" t="s">
        <v>55</v>
      </c>
      <c r="I2071" s="26">
        <v>43706</v>
      </c>
      <c r="J2071" s="28" t="s">
        <v>52</v>
      </c>
      <c r="K2071" s="28" t="s">
        <v>52</v>
      </c>
      <c r="L2071" s="28" t="s">
        <v>52</v>
      </c>
      <c r="M2071" s="28" t="s">
        <v>52</v>
      </c>
      <c r="N2071" s="28" t="s">
        <v>52</v>
      </c>
    </row>
    <row r="2072" spans="1:14" x14ac:dyDescent="0.15">
      <c r="A2072" s="23" t="str">
        <f>HYPERLINK("https://www.spark-marketing.ru/Card/Person/4343928", "ФГБОУ ВО КУБАНСКИЙ ГАУ")</f>
        <v>ФГБОУ ВО КУБАНСКИЙ ГАУ</v>
      </c>
      <c r="B2072" s="24" t="s">
        <v>1428</v>
      </c>
      <c r="C2072" s="25">
        <v>683529</v>
      </c>
      <c r="D2072" s="22" t="s">
        <v>3210</v>
      </c>
      <c r="E2072" s="22" t="s">
        <v>144</v>
      </c>
      <c r="F2072" s="23" t="str">
        <f>HYPERLINK("https://www.spark-marketing.ru/Card/Lot/73134293", "Услуги охранные учебных корпусов")</f>
        <v>Услуги охранные учебных корпусов</v>
      </c>
      <c r="G2072" s="22" t="s">
        <v>132</v>
      </c>
      <c r="H2072" s="22" t="s">
        <v>132</v>
      </c>
      <c r="I2072" s="26">
        <v>43707</v>
      </c>
      <c r="J2072" s="28" t="s">
        <v>52</v>
      </c>
      <c r="K2072" s="28" t="s">
        <v>52</v>
      </c>
      <c r="L2072" s="28" t="s">
        <v>52</v>
      </c>
      <c r="M2072" s="28" t="s">
        <v>52</v>
      </c>
      <c r="N2072" s="28" t="s">
        <v>52</v>
      </c>
    </row>
    <row r="2073" spans="1:14" x14ac:dyDescent="0.2">
      <c r="A2073" s="23" t="str">
        <f>HYPERLINK("https://www.spark-marketing.ru/Card/Person/140815", "КГАПОУ ""АВИАТЕХНИКУМ""")</f>
        <v>КГАПОУ "АВИАТЕХНИКУМ"</v>
      </c>
      <c r="B2073" s="24" t="s">
        <v>3211</v>
      </c>
      <c r="C2073" s="25">
        <v>151439</v>
      </c>
      <c r="D2073" s="22" t="s">
        <v>3212</v>
      </c>
      <c r="E2073" s="22" t="s">
        <v>533</v>
      </c>
      <c r="F2073" s="23" t="str">
        <f>HYPERLINK("https://www.spark-marketing.ru/Card/Lot/73153685", "Выполнение работ по установке системы охранной сигнализации в здании общежития по адресу: г.Пермь, ул. Макаренко, д.58/бульвар Гагарина, д.61 для нужд КГАПОУ ""Авиатехникум""")</f>
        <v>Выполнение работ по установке системы охранной сигнализации в здании общежития по адресу: г.Пермь, ул. Макаренко, д.58/бульвар Гагарина, д.61 для нужд КГАПОУ "Авиатехникум"</v>
      </c>
      <c r="G2073" s="22" t="s">
        <v>391</v>
      </c>
      <c r="H2073" s="22" t="s">
        <v>391</v>
      </c>
      <c r="I2073" s="26">
        <v>43707</v>
      </c>
      <c r="J2073" s="28" t="s">
        <v>52</v>
      </c>
      <c r="K2073" s="28" t="s">
        <v>52</v>
      </c>
      <c r="L2073" s="28" t="s">
        <v>52</v>
      </c>
      <c r="M2073" s="25">
        <v>151439</v>
      </c>
      <c r="N2073" s="27">
        <v>0</v>
      </c>
    </row>
    <row r="2074" spans="1:14" x14ac:dyDescent="0.2">
      <c r="A2074" s="23" t="str">
        <f>HYPERLINK("https://www.spark-marketing.ru/Card/Person/78666", "ГУП МО ""МОБТИ""")</f>
        <v>ГУП МО "МОБТИ"</v>
      </c>
      <c r="B2074" s="24" t="s">
        <v>3213</v>
      </c>
      <c r="C2074" s="25">
        <v>79820</v>
      </c>
      <c r="D2074" s="22" t="s">
        <v>3214</v>
      </c>
      <c r="E2074" s="22" t="s">
        <v>370</v>
      </c>
      <c r="F2074" s="23" t="str">
        <f>HYPERLINK("https://www.spark-marketing.ru/Card/Lot/73154732", "Запрос котировок в электронной форме, участниками которого могут являться только субъекты МСП, на право заключения договора на оказание услуг по техническому обслуживанию охранной сигнализации распологающейся в помещении Коломенского отдела Юго-Восто...")</f>
        <v>Запрос котировок в электронной форме, участниками которого могут являться только субъекты МСП, на право заключения договора на оказание услуг по техническому обслуживанию охранной сигнализации распологающейся в помещении Коломенского отдела Юго-Восто...</v>
      </c>
      <c r="G2074" s="22" t="s">
        <v>50</v>
      </c>
      <c r="H2074" s="22" t="s">
        <v>50</v>
      </c>
      <c r="I2074" s="26">
        <v>43707</v>
      </c>
      <c r="J2074" s="28" t="s">
        <v>52</v>
      </c>
      <c r="K2074" s="28" t="s">
        <v>52</v>
      </c>
      <c r="L2074" s="22" t="s">
        <v>10</v>
      </c>
      <c r="M2074" s="25">
        <v>60000</v>
      </c>
      <c r="N2074" s="27">
        <v>0.24830869456276622</v>
      </c>
    </row>
    <row r="2075" spans="1:14" x14ac:dyDescent="0.15">
      <c r="A2075" s="23" t="str">
        <f>HYPERLINK("https://www.spark-marketing.ru/Card/Person/4380283", "АОУ ВО ""ОЦ КАДЕТСКАЯ ШКОЛА ""КОРАБЕЛЫ ПРИОНЕЖЬЯ"" ИМЕНИ ГЕРОЯ РОССИИ Ю.Л.ВОРОБЬЕВА")</f>
        <v>АОУ ВО "ОЦ КАДЕТСКАЯ ШКОЛА "КОРАБЕЛЫ ПРИОНЕЖЬЯ" ИМЕНИ ГЕРОЯ РОССИИ Ю.Л.ВОРОБЬЕВА</v>
      </c>
      <c r="B2075" s="24" t="s">
        <v>3215</v>
      </c>
      <c r="C2075" s="25">
        <v>394480</v>
      </c>
      <c r="D2075" s="22" t="s">
        <v>3216</v>
      </c>
      <c r="E2075" s="22" t="s">
        <v>691</v>
      </c>
      <c r="F2075" s="23" t="str">
        <f>HYPERLINK("https://www.spark-marketing.ru/Card/Lot/73143335", "установка постов видеонаблюдения")</f>
        <v>установка постов видеонаблюдения</v>
      </c>
      <c r="G2075" s="22" t="s">
        <v>902</v>
      </c>
      <c r="H2075" s="22" t="s">
        <v>902</v>
      </c>
      <c r="I2075" s="26">
        <v>43707</v>
      </c>
      <c r="J2075" s="28" t="s">
        <v>52</v>
      </c>
      <c r="K2075" s="28" t="s">
        <v>52</v>
      </c>
      <c r="L2075" s="28" t="s">
        <v>52</v>
      </c>
      <c r="M2075" s="28" t="s">
        <v>52</v>
      </c>
      <c r="N2075" s="28" t="s">
        <v>52</v>
      </c>
    </row>
    <row r="2076" spans="1:14" x14ac:dyDescent="0.2">
      <c r="A2076" s="23" t="str">
        <f>HYPERLINK("https://www.spark-marketing.ru/Card/Person/107173", "ФГУП ""УВО МИНТРАНСА РОССИИ""")</f>
        <v>ФГУП "УВО МИНТРАНСА РОССИИ"</v>
      </c>
      <c r="B2076" s="24" t="s">
        <v>1472</v>
      </c>
      <c r="C2076" s="25">
        <v>138990831.09999999</v>
      </c>
      <c r="D2076" s="22" t="s">
        <v>3217</v>
      </c>
      <c r="E2076" s="22" t="s">
        <v>606</v>
      </c>
      <c r="F2076" s="23" t="str">
        <f>HYPERLINK("https://www.spark-marketing.ru/Card/Lot/73159575", "Выполнение комплекса строительно-монтажных работ на объекте: «Технические средства обеспечения транспортной безопасности при строительстве железнодорожных подходов к транспортному переходу через Керченский пролив». Этап 2: Строительство соответствующ...")</f>
        <v>Выполнение комплекса строительно-монтажных работ на объекте: «Технические средства обеспечения транспортной безопасности при строительстве железнодорожных подходов к транспортному переходу через Керченский пролив». Этап 2: Строительство соответствующ...</v>
      </c>
      <c r="G2076" s="22" t="s">
        <v>55</v>
      </c>
      <c r="H2076" s="22" t="s">
        <v>55</v>
      </c>
      <c r="I2076" s="26">
        <v>43707</v>
      </c>
      <c r="J2076" s="28" t="s">
        <v>52</v>
      </c>
      <c r="K2076" s="28" t="s">
        <v>52</v>
      </c>
      <c r="L2076" s="22" t="s">
        <v>10</v>
      </c>
      <c r="M2076" s="25">
        <v>138000000</v>
      </c>
      <c r="N2076" s="27">
        <v>7.128751531006566E-3</v>
      </c>
    </row>
    <row r="2077" spans="1:14" x14ac:dyDescent="0.15">
      <c r="A2077" s="23" t="str">
        <f t="shared" ref="A2077:A2083" si="84">HYPERLINK("https://www.spark-marketing.ru/Card/Person/4343740", "МИНЗДРАВ РОССИИ")</f>
        <v>МИНЗДРАВ РОССИИ</v>
      </c>
      <c r="B2077" s="24" t="s">
        <v>1666</v>
      </c>
      <c r="C2077" s="25">
        <v>507377.98</v>
      </c>
      <c r="D2077" s="22" t="s">
        <v>3218</v>
      </c>
      <c r="E2077" s="22" t="s">
        <v>59</v>
      </c>
      <c r="F2077" s="23" t="str">
        <f t="shared" ref="F2077:F2083" si="85">HYPERLINK("https://www.spark-marketing.ru/Card/Lot/73123931", "Выполнение работ по монтажу и вводу в эксплуатацию системы видеонаблюдения  в помещениях Министерства здравоохранения Российской Федерации по адресу: г. Москва, Славянская пл., д. 4, стр. 3.")</f>
        <v>Выполнение работ по монтажу и вводу в эксплуатацию системы видеонаблюдения  в помещениях Министерства здравоохранения Российской Федерации по адресу: г. Москва, Славянская пл., д. 4, стр. 3.</v>
      </c>
      <c r="G2077" s="22" t="s">
        <v>55</v>
      </c>
      <c r="H2077" s="22" t="s">
        <v>55</v>
      </c>
      <c r="I2077" s="26">
        <v>43706.707499999997</v>
      </c>
      <c r="J2077" s="28" t="s">
        <v>52</v>
      </c>
      <c r="K2077" s="28" t="s">
        <v>52</v>
      </c>
      <c r="L2077" s="28" t="s">
        <v>52</v>
      </c>
      <c r="M2077" s="28" t="s">
        <v>52</v>
      </c>
      <c r="N2077" s="28" t="s">
        <v>52</v>
      </c>
    </row>
    <row r="2078" spans="1:14" hidden="1" outlineLevel="1" x14ac:dyDescent="0.2">
      <c r="A2078" s="23" t="str">
        <f t="shared" si="84"/>
        <v>МИНЗДРАВ РОССИИ</v>
      </c>
      <c r="B2078" s="24" t="s">
        <v>1666</v>
      </c>
      <c r="C2078" s="25">
        <v>507377.98</v>
      </c>
      <c r="D2078" s="22" t="s">
        <v>3218</v>
      </c>
      <c r="E2078" s="22" t="s">
        <v>59</v>
      </c>
      <c r="F2078" s="23" t="str">
        <f t="shared" si="85"/>
        <v>Выполнение работ по монтажу и вводу в эксплуатацию системы видеонаблюдения  в помещениях Министерства здравоохранения Российской Федерации по адресу: г. Москва, Славянская пл., д. 4, стр. 3.</v>
      </c>
      <c r="G2078" s="22" t="s">
        <v>55</v>
      </c>
      <c r="H2078" s="22" t="s">
        <v>55</v>
      </c>
      <c r="I2078" s="26">
        <v>43706.707499999997</v>
      </c>
      <c r="J2078" s="23" t="str">
        <f>HYPERLINK("https://www.spark-marketing.ru/Card/Person/126821", "ООО ""СКАЙ-ВИДЕО""")</f>
        <v>ООО "СКАЙ-ВИДЕО"</v>
      </c>
      <c r="K2078" s="24" t="s">
        <v>3219</v>
      </c>
      <c r="L2078" s="28" t="s">
        <v>52</v>
      </c>
      <c r="M2078" s="25">
        <v>219428.29</v>
      </c>
      <c r="N2078" s="27">
        <v>0.56752500374572823</v>
      </c>
    </row>
    <row r="2079" spans="1:14" ht="12.75" hidden="1" outlineLevel="1" x14ac:dyDescent="0.2">
      <c r="A2079" s="23" t="str">
        <f t="shared" si="84"/>
        <v>МИНЗДРАВ РОССИИ</v>
      </c>
      <c r="B2079" s="24" t="s">
        <v>1666</v>
      </c>
      <c r="C2079" s="25">
        <v>507377.98</v>
      </c>
      <c r="D2079" s="22" t="s">
        <v>3218</v>
      </c>
      <c r="E2079" s="22" t="s">
        <v>59</v>
      </c>
      <c r="F2079" s="23" t="str">
        <f t="shared" si="85"/>
        <v>Выполнение работ по монтажу и вводу в эксплуатацию системы видеонаблюдения  в помещениях Министерства здравоохранения Российской Федерации по адресу: г. Москва, Славянская пл., д. 4, стр. 3.</v>
      </c>
      <c r="G2079" s="22" t="s">
        <v>55</v>
      </c>
      <c r="H2079" s="22" t="s">
        <v>55</v>
      </c>
      <c r="I2079" s="26">
        <v>43706.707499999997</v>
      </c>
      <c r="J2079" s="23" t="str">
        <f>HYPERLINK("https://www.spark-marketing.ru/Card/Person/4660357", "ООО ""ДИАЙ ТЕК""")</f>
        <v>ООО "ДИАЙ ТЕК"</v>
      </c>
      <c r="K2079" s="24" t="s">
        <v>3220</v>
      </c>
      <c r="L2079" s="22" t="s">
        <v>10</v>
      </c>
      <c r="M2079" s="25">
        <v>219428.29</v>
      </c>
      <c r="N2079" s="27">
        <v>0.56752500374572823</v>
      </c>
    </row>
    <row r="2080" spans="1:14" hidden="1" outlineLevel="1" x14ac:dyDescent="0.2">
      <c r="A2080" s="23" t="str">
        <f t="shared" si="84"/>
        <v>МИНЗДРАВ РОССИИ</v>
      </c>
      <c r="B2080" s="24" t="s">
        <v>1666</v>
      </c>
      <c r="C2080" s="25">
        <v>507377.98</v>
      </c>
      <c r="D2080" s="22" t="s">
        <v>3218</v>
      </c>
      <c r="E2080" s="22" t="s">
        <v>59</v>
      </c>
      <c r="F2080" s="23" t="str">
        <f t="shared" si="85"/>
        <v>Выполнение работ по монтажу и вводу в эксплуатацию системы видеонаблюдения  в помещениях Министерства здравоохранения Российской Федерации по адресу: г. Москва, Славянская пл., д. 4, стр. 3.</v>
      </c>
      <c r="G2080" s="22" t="s">
        <v>55</v>
      </c>
      <c r="H2080" s="22" t="s">
        <v>55</v>
      </c>
      <c r="I2080" s="26">
        <v>43706.707499999997</v>
      </c>
      <c r="J2080" s="23" t="str">
        <f>HYPERLINK("https://www.spark-marketing.ru/Card/Person/3992253", "ООО ""ГРИН КИДС""")</f>
        <v>ООО "ГРИН КИДС"</v>
      </c>
      <c r="K2080" s="24" t="s">
        <v>3221</v>
      </c>
      <c r="L2080" s="28" t="s">
        <v>52</v>
      </c>
      <c r="M2080" s="25">
        <v>219428.29</v>
      </c>
      <c r="N2080" s="27">
        <v>0.56752500374572823</v>
      </c>
    </row>
    <row r="2081" spans="1:14" hidden="1" outlineLevel="1" x14ac:dyDescent="0.2">
      <c r="A2081" s="23" t="str">
        <f t="shared" si="84"/>
        <v>МИНЗДРАВ РОССИИ</v>
      </c>
      <c r="B2081" s="24" t="s">
        <v>1666</v>
      </c>
      <c r="C2081" s="25">
        <v>507377.98</v>
      </c>
      <c r="D2081" s="22" t="s">
        <v>3218</v>
      </c>
      <c r="E2081" s="22" t="s">
        <v>59</v>
      </c>
      <c r="F2081" s="23" t="str">
        <f t="shared" si="85"/>
        <v>Выполнение работ по монтажу и вводу в эксплуатацию системы видеонаблюдения  в помещениях Министерства здравоохранения Российской Федерации по адресу: г. Москва, Славянская пл., д. 4, стр. 3.</v>
      </c>
      <c r="G2081" s="22" t="s">
        <v>55</v>
      </c>
      <c r="H2081" s="22" t="s">
        <v>55</v>
      </c>
      <c r="I2081" s="26">
        <v>43706.707499999997</v>
      </c>
      <c r="J2081" s="23" t="str">
        <f>HYPERLINK("https://www.spark-marketing.ru/Card/Person/6701002", "Романов Николай Анатольевич")</f>
        <v>Романов Николай Анатольевич</v>
      </c>
      <c r="K2081" s="24" t="s">
        <v>3222</v>
      </c>
      <c r="L2081" s="28" t="s">
        <v>52</v>
      </c>
      <c r="M2081" s="25">
        <v>244797.19</v>
      </c>
      <c r="N2081" s="27">
        <v>0.51752500177481098</v>
      </c>
    </row>
    <row r="2082" spans="1:14" hidden="1" outlineLevel="1" x14ac:dyDescent="0.2">
      <c r="A2082" s="23" t="str">
        <f t="shared" si="84"/>
        <v>МИНЗДРАВ РОССИИ</v>
      </c>
      <c r="B2082" s="24" t="s">
        <v>1666</v>
      </c>
      <c r="C2082" s="25">
        <v>507377.98</v>
      </c>
      <c r="D2082" s="22" t="s">
        <v>3218</v>
      </c>
      <c r="E2082" s="22" t="s">
        <v>59</v>
      </c>
      <c r="F2082" s="23" t="str">
        <f t="shared" si="85"/>
        <v>Выполнение работ по монтажу и вводу в эксплуатацию системы видеонаблюдения  в помещениях Министерства здравоохранения Российской Федерации по адресу: г. Москва, Славянская пл., д. 4, стр. 3.</v>
      </c>
      <c r="G2082" s="22" t="s">
        <v>55</v>
      </c>
      <c r="H2082" s="22" t="s">
        <v>55</v>
      </c>
      <c r="I2082" s="26">
        <v>43706.707499999997</v>
      </c>
      <c r="J2082" s="23" t="str">
        <f>HYPERLINK("https://www.spark-marketing.ru/Card/Person/19703", "ООО ""АЗК СТРОЙ ГРУПП""")</f>
        <v>ООО "АЗК СТРОЙ ГРУПП"</v>
      </c>
      <c r="K2082" s="24" t="s">
        <v>3223</v>
      </c>
      <c r="L2082" s="28" t="s">
        <v>52</v>
      </c>
      <c r="M2082" s="25">
        <v>398291.71</v>
      </c>
      <c r="N2082" s="27">
        <v>0.21500000847494408</v>
      </c>
    </row>
    <row r="2083" spans="1:14" hidden="1" outlineLevel="1" x14ac:dyDescent="0.2">
      <c r="A2083" s="23" t="str">
        <f t="shared" si="84"/>
        <v>МИНЗДРАВ РОССИИ</v>
      </c>
      <c r="B2083" s="24" t="s">
        <v>1666</v>
      </c>
      <c r="C2083" s="25">
        <v>507377.98</v>
      </c>
      <c r="D2083" s="22" t="s">
        <v>3218</v>
      </c>
      <c r="E2083" s="22" t="s">
        <v>59</v>
      </c>
      <c r="F2083" s="23" t="str">
        <f t="shared" si="85"/>
        <v>Выполнение работ по монтажу и вводу в эксплуатацию системы видеонаблюдения  в помещениях Министерства здравоохранения Российской Федерации по адресу: г. Москва, Славянская пл., д. 4, стр. 3.</v>
      </c>
      <c r="G2083" s="22" t="s">
        <v>55</v>
      </c>
      <c r="H2083" s="22" t="s">
        <v>55</v>
      </c>
      <c r="I2083" s="26">
        <v>43706.707499999997</v>
      </c>
      <c r="J2083" s="23" t="str">
        <f>HYPERLINK("https://www.spark-marketing.ru/Card/Person/6680382", "ООО """"ВЕБСТРОЙМОНТАЖ""""")</f>
        <v>ООО ""ВЕБСТРОЙМОНТАЖ""</v>
      </c>
      <c r="K2083" s="24" t="s">
        <v>3224</v>
      </c>
      <c r="L2083" s="28" t="s">
        <v>52</v>
      </c>
      <c r="M2083" s="25">
        <v>397288</v>
      </c>
      <c r="N2083" s="27">
        <v>0.21697823780212142</v>
      </c>
    </row>
    <row r="2084" spans="1:14" x14ac:dyDescent="0.15">
      <c r="A2084" s="23" t="str">
        <f t="shared" ref="A2084:A2093" si="86">HYPERLINK("https://www.spark-marketing.ru/Card/Person/60939", "МБУ ""ЦГКБ № 1 ОКТЯБРЬСКОГО РАЙОНА""")</f>
        <v>МБУ "ЦГКБ № 1 ОКТЯБРЬСКОГО РАЙОНА"</v>
      </c>
      <c r="B2084" s="24" t="s">
        <v>3225</v>
      </c>
      <c r="C2084" s="25">
        <v>4104000</v>
      </c>
      <c r="D2084" s="22" t="s">
        <v>3226</v>
      </c>
      <c r="E2084" s="22" t="s">
        <v>68</v>
      </c>
      <c r="F2084" s="23" t="str">
        <f>HYPERLINK("https://www.spark-marketing.ru/Card/Lot/73128469", "охрана объектов в 2020 г.")</f>
        <v>охрана объектов в 2020 г.</v>
      </c>
      <c r="G2084" s="22" t="s">
        <v>72</v>
      </c>
      <c r="H2084" s="22" t="s">
        <v>949</v>
      </c>
      <c r="I2084" s="26">
        <v>43706.6731828704</v>
      </c>
      <c r="J2084" s="28" t="s">
        <v>52</v>
      </c>
      <c r="K2084" s="28" t="s">
        <v>52</v>
      </c>
      <c r="L2084" s="28" t="s">
        <v>52</v>
      </c>
      <c r="M2084" s="28" t="s">
        <v>52</v>
      </c>
      <c r="N2084" s="28" t="s">
        <v>52</v>
      </c>
    </row>
    <row r="2085" spans="1:14" hidden="1" outlineLevel="1" x14ac:dyDescent="0.2">
      <c r="A2085" s="23" t="str">
        <f t="shared" si="86"/>
        <v>МБУ "ЦГКБ № 1 ОКТЯБРЬСКОГО РАЙОНА"</v>
      </c>
      <c r="B2085" s="24" t="s">
        <v>3225</v>
      </c>
      <c r="C2085" s="25">
        <v>4104000</v>
      </c>
      <c r="D2085" s="22" t="s">
        <v>3226</v>
      </c>
      <c r="E2085" s="22" t="s">
        <v>68</v>
      </c>
      <c r="F2085" s="23" t="str">
        <f>HYPERLINK("https://www.spark-marketing.ru/Card/Lot/73128469", "охрана объектов в 2020 г.")</f>
        <v>охрана объектов в 2020 г.</v>
      </c>
      <c r="G2085" s="22" t="s">
        <v>72</v>
      </c>
      <c r="H2085" s="22" t="s">
        <v>949</v>
      </c>
      <c r="I2085" s="26">
        <v>43706.6731828704</v>
      </c>
      <c r="J2085" s="23" t="str">
        <f>HYPERLINK("https://www.spark-marketing.ru/Card/Person/58845", "ООО ЧОП ""АГЕНТСТВО БИЗНЕС-БЕЗОПАСНОСТЬ""")</f>
        <v>ООО ЧОП "АГЕНТСТВО БИЗНЕС-БЕЗОПАСНОСТЬ"</v>
      </c>
      <c r="K2085" s="24" t="s">
        <v>1177</v>
      </c>
      <c r="L2085" s="28" t="s">
        <v>52</v>
      </c>
      <c r="M2085" s="25">
        <v>3960360</v>
      </c>
      <c r="N2085" s="27">
        <v>3.5000000000000003E-2</v>
      </c>
    </row>
    <row r="2086" spans="1:14" hidden="1" outlineLevel="1" x14ac:dyDescent="0.2">
      <c r="A2086" s="23" t="str">
        <f t="shared" si="86"/>
        <v>МБУ "ЦГКБ № 1 ОКТЯБРЬСКОГО РАЙОНА"</v>
      </c>
      <c r="B2086" s="24" t="s">
        <v>3225</v>
      </c>
      <c r="C2086" s="25">
        <v>4104000</v>
      </c>
      <c r="D2086" s="22" t="s">
        <v>3226</v>
      </c>
      <c r="E2086" s="22" t="s">
        <v>68</v>
      </c>
      <c r="F2086" s="23" t="str">
        <f>HYPERLINK("https://www.spark-marketing.ru/Card/Lot/73128469", "охрана объектов в 2020 г.")</f>
        <v>охрана объектов в 2020 г.</v>
      </c>
      <c r="G2086" s="22" t="s">
        <v>72</v>
      </c>
      <c r="H2086" s="22" t="s">
        <v>949</v>
      </c>
      <c r="I2086" s="26">
        <v>43706.6731828704</v>
      </c>
      <c r="J2086" s="23" t="str">
        <f>HYPERLINK("https://www.spark-marketing.ru/Card/Person/1645297", "ООО ЧОП ""ЗАЩИТА""")</f>
        <v>ООО ЧОП "ЗАЩИТА"</v>
      </c>
      <c r="K2086" s="24" t="s">
        <v>3227</v>
      </c>
      <c r="L2086" s="28" t="s">
        <v>52</v>
      </c>
      <c r="M2086" s="25">
        <v>3714120</v>
      </c>
      <c r="N2086" s="27">
        <v>9.5000000000000001E-2</v>
      </c>
    </row>
    <row r="2087" spans="1:14" hidden="1" outlineLevel="1" x14ac:dyDescent="0.2">
      <c r="A2087" s="23" t="str">
        <f t="shared" si="86"/>
        <v>МБУ "ЦГКБ № 1 ОКТЯБРЬСКОГО РАЙОНА"</v>
      </c>
      <c r="B2087" s="24" t="s">
        <v>3225</v>
      </c>
      <c r="C2087" s="25">
        <v>4104000</v>
      </c>
      <c r="D2087" s="22" t="s">
        <v>3226</v>
      </c>
      <c r="E2087" s="22" t="s">
        <v>68</v>
      </c>
      <c r="F2087" s="23" t="str">
        <f>HYPERLINK("https://www.spark-marketing.ru/Card/Lot/73128469", "охрана объектов в 2020 г.")</f>
        <v>охрана объектов в 2020 г.</v>
      </c>
      <c r="G2087" s="22" t="s">
        <v>72</v>
      </c>
      <c r="H2087" s="22" t="s">
        <v>949</v>
      </c>
      <c r="I2087" s="26">
        <v>43706.6731828704</v>
      </c>
      <c r="J2087" s="23" t="str">
        <f>HYPERLINK("https://www.spark-marketing.ru/Card/Person/2582632", "ООО ЧОП ""ТАЛИОН""")</f>
        <v>ООО ЧОП "ТАЛИОН"</v>
      </c>
      <c r="K2087" s="24" t="s">
        <v>3228</v>
      </c>
      <c r="L2087" s="28" t="s">
        <v>52</v>
      </c>
      <c r="M2087" s="25">
        <v>4083480</v>
      </c>
      <c r="N2087" s="27">
        <v>5.0000000000000001E-3</v>
      </c>
    </row>
    <row r="2088" spans="1:14" ht="12.75" hidden="1" outlineLevel="1" x14ac:dyDescent="0.2">
      <c r="A2088" s="23" t="str">
        <f t="shared" si="86"/>
        <v>МБУ "ЦГКБ № 1 ОКТЯБРЬСКОГО РАЙОНА"</v>
      </c>
      <c r="B2088" s="24" t="s">
        <v>3225</v>
      </c>
      <c r="C2088" s="25">
        <v>4104000</v>
      </c>
      <c r="D2088" s="22" t="s">
        <v>3226</v>
      </c>
      <c r="E2088" s="22" t="s">
        <v>68</v>
      </c>
      <c r="F2088" s="23" t="str">
        <f>HYPERLINK("https://www.spark-marketing.ru/Card/Lot/73128469", "охрана объектов в 2020 г.")</f>
        <v>охрана объектов в 2020 г.</v>
      </c>
      <c r="G2088" s="22" t="s">
        <v>72</v>
      </c>
      <c r="H2088" s="22" t="s">
        <v>949</v>
      </c>
      <c r="I2088" s="26">
        <v>43706.6731828704</v>
      </c>
      <c r="J2088" s="23" t="str">
        <f>HYPERLINK("https://www.spark-marketing.ru/Card/Person/2572341", "ООО ЧОО ""ЛЕОН""")</f>
        <v>ООО ЧОО "ЛЕОН"</v>
      </c>
      <c r="K2088" s="24" t="s">
        <v>3229</v>
      </c>
      <c r="L2088" s="22" t="s">
        <v>10</v>
      </c>
      <c r="M2088" s="25">
        <v>3693600</v>
      </c>
      <c r="N2088" s="27">
        <v>0.1</v>
      </c>
    </row>
    <row r="2089" spans="1:14" x14ac:dyDescent="0.15">
      <c r="A2089" s="23" t="str">
        <f t="shared" si="86"/>
        <v>МБУ "ЦГКБ № 1 ОКТЯБРЬСКОГО РАЙОНА"</v>
      </c>
      <c r="B2089" s="24" t="s">
        <v>3225</v>
      </c>
      <c r="C2089" s="25">
        <v>282000</v>
      </c>
      <c r="D2089" s="22" t="s">
        <v>3230</v>
      </c>
      <c r="E2089" s="22" t="s">
        <v>68</v>
      </c>
      <c r="F2089" s="23" t="str">
        <f>HYPERLINK("https://www.spark-marketing.ru/Card/Lot/73123514", "пультовая охрана в 2020 г.")</f>
        <v>пультовая охрана в 2020 г.</v>
      </c>
      <c r="G2089" s="22" t="s">
        <v>72</v>
      </c>
      <c r="H2089" s="22" t="s">
        <v>949</v>
      </c>
      <c r="I2089" s="26">
        <v>43706.673865740697</v>
      </c>
      <c r="J2089" s="28" t="s">
        <v>52</v>
      </c>
      <c r="K2089" s="28" t="s">
        <v>52</v>
      </c>
      <c r="L2089" s="28" t="s">
        <v>52</v>
      </c>
      <c r="M2089" s="28" t="s">
        <v>52</v>
      </c>
      <c r="N2089" s="28" t="s">
        <v>52</v>
      </c>
    </row>
    <row r="2090" spans="1:14" ht="12.75" hidden="1" outlineLevel="1" x14ac:dyDescent="0.2">
      <c r="A2090" s="23" t="str">
        <f t="shared" si="86"/>
        <v>МБУ "ЦГКБ № 1 ОКТЯБРЬСКОГО РАЙОНА"</v>
      </c>
      <c r="B2090" s="24" t="s">
        <v>3225</v>
      </c>
      <c r="C2090" s="25">
        <v>282000</v>
      </c>
      <c r="D2090" s="22" t="s">
        <v>3230</v>
      </c>
      <c r="E2090" s="22" t="s">
        <v>68</v>
      </c>
      <c r="F2090" s="23" t="str">
        <f>HYPERLINK("https://www.spark-marketing.ru/Card/Lot/73123514", "пультовая охрана в 2020 г.")</f>
        <v>пультовая охрана в 2020 г.</v>
      </c>
      <c r="G2090" s="22" t="s">
        <v>72</v>
      </c>
      <c r="H2090" s="22" t="s">
        <v>949</v>
      </c>
      <c r="I2090" s="26">
        <v>43706.673865740697</v>
      </c>
      <c r="J2090" s="23" t="str">
        <f>HYPERLINK("https://www.spark-marketing.ru/Card/Person/808361", "ООО ЧОО ""ЛАНЦЕЛОТ""")</f>
        <v>ООО ЧОО "ЛАНЦЕЛОТ"</v>
      </c>
      <c r="K2090" s="24" t="s">
        <v>2338</v>
      </c>
      <c r="L2090" s="22" t="s">
        <v>10</v>
      </c>
      <c r="M2090" s="25">
        <v>145000</v>
      </c>
      <c r="N2090" s="27">
        <v>0.48581560283687941</v>
      </c>
    </row>
    <row r="2091" spans="1:14" hidden="1" outlineLevel="1" x14ac:dyDescent="0.2">
      <c r="A2091" s="23" t="str">
        <f t="shared" si="86"/>
        <v>МБУ "ЦГКБ № 1 ОКТЯБРЬСКОГО РАЙОНА"</v>
      </c>
      <c r="B2091" s="24" t="s">
        <v>3225</v>
      </c>
      <c r="C2091" s="25">
        <v>282000</v>
      </c>
      <c r="D2091" s="22" t="s">
        <v>3230</v>
      </c>
      <c r="E2091" s="22" t="s">
        <v>68</v>
      </c>
      <c r="F2091" s="23" t="str">
        <f>HYPERLINK("https://www.spark-marketing.ru/Card/Lot/73123514", "пультовая охрана в 2020 г.")</f>
        <v>пультовая охрана в 2020 г.</v>
      </c>
      <c r="G2091" s="22" t="s">
        <v>72</v>
      </c>
      <c r="H2091" s="22" t="s">
        <v>949</v>
      </c>
      <c r="I2091" s="26">
        <v>43706.673865740697</v>
      </c>
      <c r="J2091" s="23" t="str">
        <f>HYPERLINK("https://www.spark-marketing.ru/Card/Person/534247", "ООО ЧОО ""ВАРЯГ-1""")</f>
        <v>ООО ЧОО "ВАРЯГ-1"</v>
      </c>
      <c r="K2091" s="24" t="s">
        <v>3231</v>
      </c>
      <c r="L2091" s="28" t="s">
        <v>52</v>
      </c>
      <c r="M2091" s="25">
        <v>249600</v>
      </c>
      <c r="N2091" s="27">
        <v>0.1148936170212766</v>
      </c>
    </row>
    <row r="2092" spans="1:14" hidden="1" outlineLevel="1" x14ac:dyDescent="0.2">
      <c r="A2092" s="23" t="str">
        <f t="shared" si="86"/>
        <v>МБУ "ЦГКБ № 1 ОКТЯБРЬСКОГО РАЙОНА"</v>
      </c>
      <c r="B2092" s="24" t="s">
        <v>3225</v>
      </c>
      <c r="C2092" s="25">
        <v>282000</v>
      </c>
      <c r="D2092" s="22" t="s">
        <v>3230</v>
      </c>
      <c r="E2092" s="22" t="s">
        <v>68</v>
      </c>
      <c r="F2092" s="23" t="str">
        <f>HYPERLINK("https://www.spark-marketing.ru/Card/Lot/73123514", "пультовая охрана в 2020 г.")</f>
        <v>пультовая охрана в 2020 г.</v>
      </c>
      <c r="G2092" s="22" t="s">
        <v>72</v>
      </c>
      <c r="H2092" s="22" t="s">
        <v>949</v>
      </c>
      <c r="I2092" s="26">
        <v>43706.673865740697</v>
      </c>
      <c r="J2092" s="23" t="str">
        <f>HYPERLINK("https://www.spark-marketing.ru/Card/Person/803129", "ООО ЧОП ""УРАО""")</f>
        <v>ООО ЧОП "УРАО"</v>
      </c>
      <c r="K2092" s="24" t="s">
        <v>3232</v>
      </c>
      <c r="L2092" s="28" t="s">
        <v>52</v>
      </c>
      <c r="M2092" s="25">
        <v>150900</v>
      </c>
      <c r="N2092" s="27">
        <v>0.46489361702127657</v>
      </c>
    </row>
    <row r="2093" spans="1:14" hidden="1" outlineLevel="1" x14ac:dyDescent="0.2">
      <c r="A2093" s="23" t="str">
        <f t="shared" si="86"/>
        <v>МБУ "ЦГКБ № 1 ОКТЯБРЬСКОГО РАЙОНА"</v>
      </c>
      <c r="B2093" s="24" t="s">
        <v>3225</v>
      </c>
      <c r="C2093" s="25">
        <v>282000</v>
      </c>
      <c r="D2093" s="22" t="s">
        <v>3230</v>
      </c>
      <c r="E2093" s="22" t="s">
        <v>68</v>
      </c>
      <c r="F2093" s="23" t="str">
        <f>HYPERLINK("https://www.spark-marketing.ru/Card/Lot/73123514", "пультовая охрана в 2020 г.")</f>
        <v>пультовая охрана в 2020 г.</v>
      </c>
      <c r="G2093" s="22" t="s">
        <v>72</v>
      </c>
      <c r="H2093" s="22" t="s">
        <v>949</v>
      </c>
      <c r="I2093" s="26">
        <v>43706.673865740697</v>
      </c>
      <c r="J2093" s="23" t="str">
        <f>HYPERLINK("https://www.spark-marketing.ru/Card/Person/58845", "ООО ЧОП ""АГЕНТСТВО БИЗНЕС-БЕЗОПАСНОСТЬ""")</f>
        <v>ООО ЧОП "АГЕНТСТВО БИЗНЕС-БЕЗОПАСНОСТЬ"</v>
      </c>
      <c r="K2093" s="24" t="s">
        <v>1177</v>
      </c>
      <c r="L2093" s="28" t="s">
        <v>52</v>
      </c>
      <c r="M2093" s="25">
        <v>270000</v>
      </c>
      <c r="N2093" s="27">
        <v>4.2553191489361701E-2</v>
      </c>
    </row>
    <row r="2094" spans="1:14" x14ac:dyDescent="0.15">
      <c r="A2094" s="23" t="str">
        <f>HYPERLINK("https://www.spark-marketing.ru/Card/Person/8769", "АДМИНИСТРАЦИЯ ГО ЗАТО СВОБОДНЫЙ")</f>
        <v>АДМИНИСТРАЦИЯ ГО ЗАТО СВОБОДНЫЙ</v>
      </c>
      <c r="B2094" s="24" t="s">
        <v>3233</v>
      </c>
      <c r="C2094" s="25">
        <v>450916.94</v>
      </c>
      <c r="D2094" s="22" t="s">
        <v>3234</v>
      </c>
      <c r="E2094" s="22" t="s">
        <v>84</v>
      </c>
      <c r="F2094" s="23" t="str">
        <f>HYPERLINK("https://www.spark-marketing.ru/Card/Lot/73119373", "Приобретение и установка системы видеонаблюдения")</f>
        <v>Приобретение и установка системы видеонаблюдения</v>
      </c>
      <c r="G2094" s="22" t="s">
        <v>72</v>
      </c>
      <c r="H2094" s="22" t="s">
        <v>72</v>
      </c>
      <c r="I2094" s="26">
        <v>43706.637337963002</v>
      </c>
      <c r="J2094" s="28" t="s">
        <v>52</v>
      </c>
      <c r="K2094" s="28" t="s">
        <v>52</v>
      </c>
      <c r="L2094" s="28" t="s">
        <v>52</v>
      </c>
      <c r="M2094" s="28" t="s">
        <v>52</v>
      </c>
      <c r="N2094" s="28" t="s">
        <v>52</v>
      </c>
    </row>
    <row r="2095" spans="1:14" hidden="1" outlineLevel="1" x14ac:dyDescent="0.2">
      <c r="A2095" s="23" t="str">
        <f>HYPERLINK("https://www.spark-marketing.ru/Card/Person/8769", "АДМИНИСТРАЦИЯ ГО ЗАТО СВОБОДНЫЙ")</f>
        <v>АДМИНИСТРАЦИЯ ГО ЗАТО СВОБОДНЫЙ</v>
      </c>
      <c r="B2095" s="24" t="s">
        <v>3233</v>
      </c>
      <c r="C2095" s="25">
        <v>450916.94</v>
      </c>
      <c r="D2095" s="22" t="s">
        <v>3234</v>
      </c>
      <c r="E2095" s="22" t="s">
        <v>84</v>
      </c>
      <c r="F2095" s="23" t="str">
        <f>HYPERLINK("https://www.spark-marketing.ru/Card/Lot/73119373", "Приобретение и установка системы видеонаблюдения")</f>
        <v>Приобретение и установка системы видеонаблюдения</v>
      </c>
      <c r="G2095" s="22" t="s">
        <v>72</v>
      </c>
      <c r="H2095" s="22" t="s">
        <v>72</v>
      </c>
      <c r="I2095" s="26">
        <v>43706.637337963002</v>
      </c>
      <c r="J2095" s="23" t="str">
        <f>HYPERLINK("https://www.spark-marketing.ru/Card/Person/6251153", "Тарасова Надежда Сергеевна")</f>
        <v>Тарасова Надежда Сергеевна</v>
      </c>
      <c r="K2095" s="24" t="s">
        <v>3146</v>
      </c>
      <c r="L2095" s="28" t="s">
        <v>52</v>
      </c>
      <c r="M2095" s="25">
        <v>327853.44</v>
      </c>
      <c r="N2095" s="27">
        <v>0.27291833391755033</v>
      </c>
    </row>
    <row r="2096" spans="1:14" hidden="1" outlineLevel="1" x14ac:dyDescent="0.2">
      <c r="A2096" s="23" t="str">
        <f>HYPERLINK("https://www.spark-marketing.ru/Card/Person/8769", "АДМИНИСТРАЦИЯ ГО ЗАТО СВОБОДНЫЙ")</f>
        <v>АДМИНИСТРАЦИЯ ГО ЗАТО СВОБОДНЫЙ</v>
      </c>
      <c r="B2096" s="24" t="s">
        <v>3233</v>
      </c>
      <c r="C2096" s="25">
        <v>450916.94</v>
      </c>
      <c r="D2096" s="22" t="s">
        <v>3234</v>
      </c>
      <c r="E2096" s="22" t="s">
        <v>84</v>
      </c>
      <c r="F2096" s="23" t="str">
        <f>HYPERLINK("https://www.spark-marketing.ru/Card/Lot/73119373", "Приобретение и установка системы видеонаблюдения")</f>
        <v>Приобретение и установка системы видеонаблюдения</v>
      </c>
      <c r="G2096" s="22" t="s">
        <v>72</v>
      </c>
      <c r="H2096" s="22" t="s">
        <v>72</v>
      </c>
      <c r="I2096" s="26">
        <v>43706.637337963002</v>
      </c>
      <c r="J2096" s="23" t="str">
        <f>HYPERLINK("https://www.spark-marketing.ru/Card/Person/2577817", "ООО ""АПЕЛЬСИН""")</f>
        <v>ООО "АПЕЛЬСИН"</v>
      </c>
      <c r="K2096" s="24" t="s">
        <v>3235</v>
      </c>
      <c r="L2096" s="28" t="s">
        <v>52</v>
      </c>
      <c r="M2096" s="25">
        <v>400000</v>
      </c>
      <c r="N2096" s="27">
        <v>0.11291866746013135</v>
      </c>
    </row>
    <row r="2097" spans="1:14" ht="12.75" hidden="1" outlineLevel="1" x14ac:dyDescent="0.2">
      <c r="A2097" s="23" t="str">
        <f>HYPERLINK("https://www.spark-marketing.ru/Card/Person/8769", "АДМИНИСТРАЦИЯ ГО ЗАТО СВОБОДНЫЙ")</f>
        <v>АДМИНИСТРАЦИЯ ГО ЗАТО СВОБОДНЫЙ</v>
      </c>
      <c r="B2097" s="24" t="s">
        <v>3233</v>
      </c>
      <c r="C2097" s="25">
        <v>450916.94</v>
      </c>
      <c r="D2097" s="22" t="s">
        <v>3234</v>
      </c>
      <c r="E2097" s="22" t="s">
        <v>84</v>
      </c>
      <c r="F2097" s="23" t="str">
        <f>HYPERLINK("https://www.spark-marketing.ru/Card/Lot/73119373", "Приобретение и установка системы видеонаблюдения")</f>
        <v>Приобретение и установка системы видеонаблюдения</v>
      </c>
      <c r="G2097" s="22" t="s">
        <v>72</v>
      </c>
      <c r="H2097" s="22" t="s">
        <v>72</v>
      </c>
      <c r="I2097" s="26">
        <v>43706.637337963002</v>
      </c>
      <c r="J2097" s="23" t="str">
        <f>HYPERLINK("https://www.spark-marketing.ru/Card/Person/5853123", "Ершов Андрей Алексеевич")</f>
        <v>Ершов Андрей Алексеевич</v>
      </c>
      <c r="K2097" s="24" t="s">
        <v>1063</v>
      </c>
      <c r="L2097" s="22" t="s">
        <v>10</v>
      </c>
      <c r="M2097" s="25">
        <v>325598.86</v>
      </c>
      <c r="N2097" s="27">
        <v>0.27791832349434464</v>
      </c>
    </row>
    <row r="2098" spans="1:14" x14ac:dyDescent="0.15">
      <c r="A2098" s="23" t="str">
        <f>HYPERLINK("https://www.spark-marketing.ru/Card/Person/6450322", "ЗАКАЗЧИК РП БЕЛАРУСЬ")</f>
        <v>ЗАКАЗЧИК РП БЕЛАРУСЬ</v>
      </c>
      <c r="B2098" s="28" t="s">
        <v>52</v>
      </c>
      <c r="C2098" s="25">
        <v>74431.281600000002</v>
      </c>
      <c r="D2098" s="22" t="s">
        <v>3236</v>
      </c>
      <c r="E2098" s="22" t="s">
        <v>53</v>
      </c>
      <c r="F2098" s="23" t="str">
        <f>HYPERLINK("https://www.spark-marketing.ru/Card/Lot/73117484", "Лот № 4 «Пульт для нот, дирижерский пульт»")</f>
        <v>Лот № 4 «Пульт для нот, дирижерский пульт»</v>
      </c>
      <c r="G2098" s="22" t="s">
        <v>52</v>
      </c>
      <c r="H2098" s="22" t="s">
        <v>52</v>
      </c>
      <c r="I2098" s="26">
        <v>43706</v>
      </c>
      <c r="J2098" s="28" t="s">
        <v>52</v>
      </c>
      <c r="K2098" s="28" t="s">
        <v>52</v>
      </c>
      <c r="L2098" s="28" t="s">
        <v>52</v>
      </c>
      <c r="M2098" s="28" t="s">
        <v>52</v>
      </c>
      <c r="N2098" s="28" t="s">
        <v>52</v>
      </c>
    </row>
    <row r="2099" spans="1:14" x14ac:dyDescent="0.15">
      <c r="A2099" s="23" t="str">
        <f>HYPERLINK("https://www.spark-marketing.ru/Card/Person/4389657", "ФГУП «КЖД»")</f>
        <v>ФГУП «КЖД»</v>
      </c>
      <c r="B2099" s="24" t="s">
        <v>1313</v>
      </c>
      <c r="C2099" s="25">
        <v>90703695.709999993</v>
      </c>
      <c r="D2099" s="22" t="s">
        <v>3237</v>
      </c>
      <c r="E2099" s="22" t="s">
        <v>3238</v>
      </c>
      <c r="F2099" s="23" t="str">
        <f>HYPERLINK("https://www.spark-marketing.ru/Card/Lot/73129119", "Приобретение  оборудования для оснащения инженерно-техническими системами и средствами обеспечения транспортной безопасности (1-я очередь строительно-монтажных работ) пассажирских вокзалов Севастополь и Евпатория-Курорт")</f>
        <v>Приобретение  оборудования для оснащения инженерно-техническими системами и средствами обеспечения транспортной безопасности (1-я очередь строительно-монтажных работ) пассажирских вокзалов Севастополь и Евпатория-Курорт</v>
      </c>
      <c r="G2099" s="22" t="s">
        <v>1053</v>
      </c>
      <c r="H2099" s="22" t="s">
        <v>3239</v>
      </c>
      <c r="I2099" s="26">
        <v>43706.705902777801</v>
      </c>
      <c r="J2099" s="28" t="s">
        <v>52</v>
      </c>
      <c r="K2099" s="28" t="s">
        <v>52</v>
      </c>
      <c r="L2099" s="28" t="s">
        <v>52</v>
      </c>
      <c r="M2099" s="28" t="s">
        <v>52</v>
      </c>
      <c r="N2099" s="28" t="s">
        <v>52</v>
      </c>
    </row>
    <row r="2100" spans="1:14" x14ac:dyDescent="0.15">
      <c r="A2100" s="23" t="str">
        <f>HYPERLINK("https://www.spark-marketing.ru/Card/Person/6450322", "ЗАКАЗЧИК РП БЕЛАРУСЬ")</f>
        <v>ЗАКАЗЧИК РП БЕЛАРУСЬ</v>
      </c>
      <c r="B2100" s="28" t="s">
        <v>52</v>
      </c>
      <c r="C2100" s="28" t="s">
        <v>52</v>
      </c>
      <c r="D2100" s="22" t="s">
        <v>3236</v>
      </c>
      <c r="E2100" s="22" t="s">
        <v>53</v>
      </c>
      <c r="F2100" s="23" t="str">
        <f>HYPERLINK("https://www.spark-marketing.ru/Card/Lot/73117481", "Лот № 1 «Ударная установка с комплектом тарелок»")</f>
        <v>Лот № 1 «Ударная установка с комплектом тарелок»</v>
      </c>
      <c r="G2100" s="22" t="s">
        <v>52</v>
      </c>
      <c r="H2100" s="22" t="s">
        <v>52</v>
      </c>
      <c r="I2100" s="26">
        <v>43706</v>
      </c>
      <c r="J2100" s="28" t="s">
        <v>52</v>
      </c>
      <c r="K2100" s="28" t="s">
        <v>52</v>
      </c>
      <c r="L2100" s="28" t="s">
        <v>52</v>
      </c>
      <c r="M2100" s="28" t="s">
        <v>52</v>
      </c>
      <c r="N2100" s="28" t="s">
        <v>52</v>
      </c>
    </row>
    <row r="2101" spans="1:14" x14ac:dyDescent="0.15">
      <c r="A2101" s="23" t="str">
        <f>HYPERLINK("https://www.spark-marketing.ru/Card/Person/6450322", "ЗАКАЗЧИК РП БЕЛАРУСЬ")</f>
        <v>ЗАКАЗЧИК РП БЕЛАРУСЬ</v>
      </c>
      <c r="B2101" s="28" t="s">
        <v>52</v>
      </c>
      <c r="C2101" s="25">
        <v>7673.3280000000004</v>
      </c>
      <c r="D2101" s="22" t="s">
        <v>3236</v>
      </c>
      <c r="E2101" s="22" t="s">
        <v>53</v>
      </c>
      <c r="F2101" s="23" t="str">
        <f>HYPERLINK("https://www.spark-marketing.ru/Card/Lot/73117486", "Лот № 6 «Телефонный аппарат»")</f>
        <v>Лот № 6 «Телефонный аппарат»</v>
      </c>
      <c r="G2101" s="22" t="s">
        <v>52</v>
      </c>
      <c r="H2101" s="22" t="s">
        <v>52</v>
      </c>
      <c r="I2101" s="26">
        <v>43706</v>
      </c>
      <c r="J2101" s="28" t="s">
        <v>52</v>
      </c>
      <c r="K2101" s="28" t="s">
        <v>52</v>
      </c>
      <c r="L2101" s="28" t="s">
        <v>52</v>
      </c>
      <c r="M2101" s="28" t="s">
        <v>52</v>
      </c>
      <c r="N2101" s="28" t="s">
        <v>52</v>
      </c>
    </row>
    <row r="2102" spans="1:14" x14ac:dyDescent="0.15">
      <c r="A2102" s="23" t="str">
        <f>HYPERLINK("https://www.spark-marketing.ru/Card/Person/73118", "МБОУ ГИМНАЗИЯ № 5")</f>
        <v>МБОУ ГИМНАЗИЯ № 5</v>
      </c>
      <c r="B2102" s="24" t="s">
        <v>3240</v>
      </c>
      <c r="C2102" s="25">
        <v>150000</v>
      </c>
      <c r="D2102" s="22" t="s">
        <v>3241</v>
      </c>
      <c r="E2102" s="22" t="s">
        <v>107</v>
      </c>
      <c r="F2102" s="23" t="str">
        <f>HYPERLINK("https://www.spark-marketing.ru/Card/Lot/73120689", "Работы по установке видеодомофона на въездных воротах в МБОУ гимназия №5")</f>
        <v>Работы по установке видеодомофона на въездных воротах в МБОУ гимназия №5</v>
      </c>
      <c r="G2102" s="22" t="s">
        <v>50</v>
      </c>
      <c r="H2102" s="22" t="s">
        <v>267</v>
      </c>
      <c r="I2102" s="26">
        <v>43706.6804976852</v>
      </c>
      <c r="J2102" s="28" t="s">
        <v>52</v>
      </c>
      <c r="K2102" s="28" t="s">
        <v>52</v>
      </c>
      <c r="L2102" s="28" t="s">
        <v>52</v>
      </c>
      <c r="M2102" s="28" t="s">
        <v>52</v>
      </c>
      <c r="N2102" s="28" t="s">
        <v>52</v>
      </c>
    </row>
    <row r="2103" spans="1:14" x14ac:dyDescent="0.15">
      <c r="A2103" s="23" t="str">
        <f>HYPERLINK("https://www.spark-marketing.ru/Card/Person/6450322", "ЗАКАЗЧИК РП БЕЛАРУСЬ")</f>
        <v>ЗАКАЗЧИК РП БЕЛАРУСЬ</v>
      </c>
      <c r="B2103" s="28" t="s">
        <v>52</v>
      </c>
      <c r="C2103" s="28" t="s">
        <v>52</v>
      </c>
      <c r="D2103" s="22" t="s">
        <v>3236</v>
      </c>
      <c r="E2103" s="22" t="s">
        <v>53</v>
      </c>
      <c r="F2103" s="23" t="str">
        <f>HYPERLINK("https://www.spark-marketing.ru/Card/Lot/73117483", "Лот № 3 «Звукоусилительная аппаратура»")</f>
        <v>Лот № 3 «Звукоусилительная аппаратура»</v>
      </c>
      <c r="G2103" s="22" t="s">
        <v>52</v>
      </c>
      <c r="H2103" s="22" t="s">
        <v>52</v>
      </c>
      <c r="I2103" s="26">
        <v>43706</v>
      </c>
      <c r="J2103" s="28" t="s">
        <v>52</v>
      </c>
      <c r="K2103" s="28" t="s">
        <v>52</v>
      </c>
      <c r="L2103" s="28" t="s">
        <v>52</v>
      </c>
      <c r="M2103" s="28" t="s">
        <v>52</v>
      </c>
      <c r="N2103" s="28" t="s">
        <v>52</v>
      </c>
    </row>
    <row r="2104" spans="1:14" x14ac:dyDescent="0.15">
      <c r="A2104" s="23" t="str">
        <f>HYPERLINK("https://www.spark-marketing.ru/Card/Person/6450322", "ЗАКАЗЧИК РП БЕЛАРУСЬ")</f>
        <v>ЗАКАЗЧИК РП БЕЛАРУСЬ</v>
      </c>
      <c r="B2104" s="28" t="s">
        <v>52</v>
      </c>
      <c r="C2104" s="28" t="s">
        <v>52</v>
      </c>
      <c r="D2104" s="22" t="s">
        <v>3236</v>
      </c>
      <c r="E2104" s="22" t="s">
        <v>53</v>
      </c>
      <c r="F2104" s="23" t="str">
        <f>HYPERLINK("https://www.spark-marketing.ru/Card/Lot/73117482", "Лот № 2 «Электрогитара бас с басовым комбоусилителем»")</f>
        <v>Лот № 2 «Электрогитара бас с басовым комбоусилителем»</v>
      </c>
      <c r="G2104" s="22" t="s">
        <v>52</v>
      </c>
      <c r="H2104" s="22" t="s">
        <v>52</v>
      </c>
      <c r="I2104" s="26">
        <v>43706</v>
      </c>
      <c r="J2104" s="28" t="s">
        <v>52</v>
      </c>
      <c r="K2104" s="28" t="s">
        <v>52</v>
      </c>
      <c r="L2104" s="28" t="s">
        <v>52</v>
      </c>
      <c r="M2104" s="28" t="s">
        <v>52</v>
      </c>
      <c r="N2104" s="28" t="s">
        <v>52</v>
      </c>
    </row>
    <row r="2105" spans="1:14" x14ac:dyDescent="0.15">
      <c r="A2105" s="23" t="str">
        <f>HYPERLINK("https://www.spark-marketing.ru/Card/Person/6450322", "ЗАКАЗЧИК РП БЕЛАРУСЬ")</f>
        <v>ЗАКАЗЧИК РП БЕЛАРУСЬ</v>
      </c>
      <c r="B2105" s="28" t="s">
        <v>52</v>
      </c>
      <c r="C2105" s="25">
        <v>17264.988000000001</v>
      </c>
      <c r="D2105" s="22" t="s">
        <v>3236</v>
      </c>
      <c r="E2105" s="22" t="s">
        <v>53</v>
      </c>
      <c r="F2105" s="23" t="str">
        <f>HYPERLINK("https://www.spark-marketing.ru/Card/Lot/73117487", "Лот № 7 «Факс»")</f>
        <v>Лот № 7 «Факс»</v>
      </c>
      <c r="G2105" s="22" t="s">
        <v>52</v>
      </c>
      <c r="H2105" s="22" t="s">
        <v>52</v>
      </c>
      <c r="I2105" s="26">
        <v>43706</v>
      </c>
      <c r="J2105" s="28" t="s">
        <v>52</v>
      </c>
      <c r="K2105" s="28" t="s">
        <v>52</v>
      </c>
      <c r="L2105" s="28" t="s">
        <v>52</v>
      </c>
      <c r="M2105" s="28" t="s">
        <v>52</v>
      </c>
      <c r="N2105" s="28" t="s">
        <v>52</v>
      </c>
    </row>
    <row r="2106" spans="1:14" x14ac:dyDescent="0.15">
      <c r="A2106" s="23" t="str">
        <f>HYPERLINK("https://www.spark-marketing.ru/Card/Person/169844", "ОТДЕЛ МВД РОССИИ ПО СОВЕТСКОМУ ГОРОДСКОМУ ОКРУГУ")</f>
        <v>ОТДЕЛ МВД РОССИИ ПО СОВЕТСКОМУ ГОРОДСКОМУ ОКРУГУ</v>
      </c>
      <c r="B2106" s="24" t="s">
        <v>3242</v>
      </c>
      <c r="C2106" s="25">
        <v>20000</v>
      </c>
      <c r="D2106" s="22" t="s">
        <v>3243</v>
      </c>
      <c r="E2106" s="22" t="s">
        <v>53</v>
      </c>
      <c r="F2106" s="23" t="str">
        <f>HYPERLINK("https://www.spark-marketing.ru/Card/Lot/73119538", "контракт №34")</f>
        <v>контракт №34</v>
      </c>
      <c r="G2106" s="22" t="s">
        <v>258</v>
      </c>
      <c r="H2106" s="22" t="s">
        <v>2515</v>
      </c>
      <c r="I2106" s="26">
        <v>43706.676736111098</v>
      </c>
      <c r="J2106" s="28" t="s">
        <v>52</v>
      </c>
      <c r="K2106" s="28" t="s">
        <v>52</v>
      </c>
      <c r="L2106" s="28" t="s">
        <v>52</v>
      </c>
      <c r="M2106" s="28" t="s">
        <v>52</v>
      </c>
      <c r="N2106" s="28" t="s">
        <v>52</v>
      </c>
    </row>
    <row r="2107" spans="1:14" x14ac:dyDescent="0.15">
      <c r="A2107" s="23" t="str">
        <f>HYPERLINK("https://www.spark-marketing.ru/Card/Person/6450322", "ЗАКАЗЧИК РП БЕЛАРУСЬ")</f>
        <v>ЗАКАЗЧИК РП БЕЛАРУСЬ</v>
      </c>
      <c r="B2107" s="28" t="s">
        <v>52</v>
      </c>
      <c r="C2107" s="25">
        <v>122773.24800000001</v>
      </c>
      <c r="D2107" s="22" t="s">
        <v>3236</v>
      </c>
      <c r="E2107" s="22" t="s">
        <v>53</v>
      </c>
      <c r="F2107" s="23" t="str">
        <f>HYPERLINK("https://www.spark-marketing.ru/Card/Lot/73117485", "Лот № 5 «Видеопроектор с экраном»")</f>
        <v>Лот № 5 «Видеопроектор с экраном»</v>
      </c>
      <c r="G2107" s="22" t="s">
        <v>52</v>
      </c>
      <c r="H2107" s="22" t="s">
        <v>52</v>
      </c>
      <c r="I2107" s="26">
        <v>43706</v>
      </c>
      <c r="J2107" s="28" t="s">
        <v>52</v>
      </c>
      <c r="K2107" s="28" t="s">
        <v>52</v>
      </c>
      <c r="L2107" s="28" t="s">
        <v>52</v>
      </c>
      <c r="M2107" s="28" t="s">
        <v>52</v>
      </c>
      <c r="N2107" s="28" t="s">
        <v>52</v>
      </c>
    </row>
    <row r="2108" spans="1:14" x14ac:dyDescent="0.15">
      <c r="A2108" s="23" t="str">
        <f>HYPERLINK("https://www.spark-marketing.ru/Card/Person/16285", "МВД ПО РЕСПУБЛИКЕ БАШКОРТОСТАН")</f>
        <v>МВД ПО РЕСПУБЛИКЕ БАШКОРТОСТАН</v>
      </c>
      <c r="B2108" s="24" t="s">
        <v>2135</v>
      </c>
      <c r="C2108" s="25">
        <v>49840.17</v>
      </c>
      <c r="D2108" s="22" t="s">
        <v>3244</v>
      </c>
      <c r="E2108" s="22" t="s">
        <v>84</v>
      </c>
      <c r="F2108" s="23" t="str">
        <f>HYPERLINK("https://www.spark-marketing.ru/Card/Lot/73117358", "Монтаж, установка, сборка систем охранного видеонаблюдения, 1 шт")</f>
        <v>Монтаж, установка, сборка систем охранного видеонаблюдения, 1 шт</v>
      </c>
      <c r="G2108" s="22" t="s">
        <v>100</v>
      </c>
      <c r="H2108" s="22" t="s">
        <v>373</v>
      </c>
      <c r="I2108" s="26">
        <v>43706.675069444398</v>
      </c>
      <c r="J2108" s="28" t="s">
        <v>52</v>
      </c>
      <c r="K2108" s="28" t="s">
        <v>52</v>
      </c>
      <c r="L2108" s="28" t="s">
        <v>52</v>
      </c>
      <c r="M2108" s="28" t="s">
        <v>52</v>
      </c>
      <c r="N2108" s="28" t="s">
        <v>52</v>
      </c>
    </row>
    <row r="2109" spans="1:14" x14ac:dyDescent="0.15">
      <c r="A2109" s="23" t="str">
        <f>HYPERLINK("https://www.spark-marketing.ru/Card/Person/4350695", "УФНС РОССИИ ПО РЕСПУБЛИКЕ КРЫМ")</f>
        <v>УФНС РОССИИ ПО РЕСПУБЛИКЕ КРЫМ</v>
      </c>
      <c r="B2109" s="24" t="s">
        <v>3245</v>
      </c>
      <c r="C2109" s="25">
        <v>33300</v>
      </c>
      <c r="D2109" s="22" t="s">
        <v>3246</v>
      </c>
      <c r="E2109" s="22" t="s">
        <v>59</v>
      </c>
      <c r="F2109" s="23" t="str">
        <f>HYPERLINK("https://www.spark-marketing.ru/Card/Lot/73117025", "Поставка и установка элементов системы охранной сигнализации для нужд УФНС России по Республике Крым")</f>
        <v>Поставка и установка элементов системы охранной сигнализации для нужд УФНС России по Республике Крым</v>
      </c>
      <c r="G2109" s="22" t="s">
        <v>1053</v>
      </c>
      <c r="H2109" s="22" t="s">
        <v>3247</v>
      </c>
      <c r="I2109" s="26">
        <v>43706.649826388901</v>
      </c>
      <c r="J2109" s="28" t="s">
        <v>52</v>
      </c>
      <c r="K2109" s="28" t="s">
        <v>52</v>
      </c>
      <c r="L2109" s="28" t="s">
        <v>52</v>
      </c>
      <c r="M2109" s="28" t="s">
        <v>52</v>
      </c>
      <c r="N2109" s="28" t="s">
        <v>52</v>
      </c>
    </row>
    <row r="2110" spans="1:14" x14ac:dyDescent="0.15">
      <c r="A2110" s="23" t="str">
        <f>HYPERLINK("https://www.spark-marketing.ru/Card/Person/49064", "ГБУЗ КО ОКОД")</f>
        <v>ГБУЗ КО ОКОД</v>
      </c>
      <c r="B2110" s="24" t="s">
        <v>2448</v>
      </c>
      <c r="C2110" s="25">
        <v>529000</v>
      </c>
      <c r="D2110" s="22" t="s">
        <v>3248</v>
      </c>
      <c r="E2110" s="22" t="s">
        <v>376</v>
      </c>
      <c r="F2110" s="23" t="str">
        <f>HYPERLINK("https://www.spark-marketing.ru/Card/Lot/73111338", "Поставка генераторов технеция")</f>
        <v>Поставка генераторов технеция</v>
      </c>
      <c r="G2110" s="22" t="s">
        <v>367</v>
      </c>
      <c r="H2110" s="22" t="s">
        <v>881</v>
      </c>
      <c r="I2110" s="26">
        <v>43706.540740740696</v>
      </c>
      <c r="J2110" s="23" t="str">
        <f>HYPERLINK("https://www.spark-marketing.ru/Card/Person/139456", "ООО ""СИБНУКЛОН""")</f>
        <v>ООО "СИБНУКЛОН"</v>
      </c>
      <c r="K2110" s="24" t="s">
        <v>2450</v>
      </c>
      <c r="L2110" s="22" t="s">
        <v>10</v>
      </c>
      <c r="M2110" s="28" t="s">
        <v>52</v>
      </c>
      <c r="N2110" s="28" t="s">
        <v>52</v>
      </c>
    </row>
    <row r="2111" spans="1:14" x14ac:dyDescent="0.15">
      <c r="A2111" s="23" t="str">
        <f>HYPERLINK("https://www.spark-marketing.ru/Card/Person/265847", "ОТДЕЛ МВД РОССИИ ПО СВЕТЛОЯРСКОМУ РАЙОНУ")</f>
        <v>ОТДЕЛ МВД РОССИИ ПО СВЕТЛОЯРСКОМУ РАЙОНУ</v>
      </c>
      <c r="B2111" s="24" t="s">
        <v>3249</v>
      </c>
      <c r="C2111" s="25">
        <v>10000</v>
      </c>
      <c r="D2111" s="22" t="s">
        <v>3250</v>
      </c>
      <c r="E2111" s="22" t="s">
        <v>59</v>
      </c>
      <c r="F2111" s="23" t="str">
        <f>HYPERLINK("https://www.spark-marketing.ru/Card/Lot/73114150", "монтаж, техническое обслуживание систем видеонаблюдения, 9000 шт")</f>
        <v>монтаж, техническое обслуживание систем видеонаблюдения, 9000 шт</v>
      </c>
      <c r="G2111" s="22" t="s">
        <v>343</v>
      </c>
      <c r="H2111" s="22" t="s">
        <v>3251</v>
      </c>
      <c r="I2111" s="26">
        <v>43706.6319560185</v>
      </c>
      <c r="J2111" s="28" t="s">
        <v>52</v>
      </c>
      <c r="K2111" s="28" t="s">
        <v>52</v>
      </c>
      <c r="L2111" s="28" t="s">
        <v>52</v>
      </c>
      <c r="M2111" s="28" t="s">
        <v>52</v>
      </c>
      <c r="N2111" s="28" t="s">
        <v>52</v>
      </c>
    </row>
    <row r="2112" spans="1:14" x14ac:dyDescent="0.15">
      <c r="A2112" s="23" t="str">
        <f>HYPERLINK("https://www.spark-marketing.ru/Card/Person/6634", "УПФР В ОКТЯБРЬСКОМ РАЙОНЕ ГОРОДА ЕКАТЕРИНБУРГА СВЕРДЛОВСКОЙ ОБЛАСТИ")</f>
        <v>УПФР В ОКТЯБРЬСКОМ РАЙОНЕ ГОРОДА ЕКАТЕРИНБУРГА СВЕРДЛОВСКОЙ ОБЛАСТИ</v>
      </c>
      <c r="B2112" s="24" t="s">
        <v>3252</v>
      </c>
      <c r="C2112" s="25">
        <v>73383.7</v>
      </c>
      <c r="D2112" s="22" t="s">
        <v>3253</v>
      </c>
      <c r="E2112" s="22" t="s">
        <v>218</v>
      </c>
      <c r="F2112" s="23" t="str">
        <f>HYPERLINK("https://www.spark-marketing.ru/Card/Lot/73113253", "Разработка рабочей документации на установку системы охранной сигнилизации, системы видеонаблюдения")</f>
        <v>Разработка рабочей документации на установку системы охранной сигнилизации, системы видеонаблюдения</v>
      </c>
      <c r="G2112" s="22" t="s">
        <v>72</v>
      </c>
      <c r="H2112" s="22" t="s">
        <v>949</v>
      </c>
      <c r="I2112" s="26">
        <v>43706.5860300926</v>
      </c>
      <c r="J2112" s="28" t="s">
        <v>52</v>
      </c>
      <c r="K2112" s="28" t="s">
        <v>52</v>
      </c>
      <c r="L2112" s="28" t="s">
        <v>52</v>
      </c>
      <c r="M2112" s="28" t="s">
        <v>52</v>
      </c>
      <c r="N2112" s="28" t="s">
        <v>52</v>
      </c>
    </row>
    <row r="2113" spans="1:14" ht="12.75" hidden="1" outlineLevel="1" x14ac:dyDescent="0.2">
      <c r="A2113" s="23" t="str">
        <f>HYPERLINK("https://www.spark-marketing.ru/Card/Person/6634", "УПФР В ОКТЯБРЬСКОМ РАЙОНЕ ГОРОДА ЕКАТЕРИНБУРГА СВЕРДЛОВСКОЙ ОБЛАСТИ")</f>
        <v>УПФР В ОКТЯБРЬСКОМ РАЙОНЕ ГОРОДА ЕКАТЕРИНБУРГА СВЕРДЛОВСКОЙ ОБЛАСТИ</v>
      </c>
      <c r="B2113" s="24" t="s">
        <v>3252</v>
      </c>
      <c r="C2113" s="25">
        <v>73383.7</v>
      </c>
      <c r="D2113" s="22" t="s">
        <v>3253</v>
      </c>
      <c r="E2113" s="22" t="s">
        <v>218</v>
      </c>
      <c r="F2113" s="23" t="str">
        <f>HYPERLINK("https://www.spark-marketing.ru/Card/Lot/73113253", "Разработка рабочей документации на установку системы охранной сигнилизации, системы видеонаблюдения")</f>
        <v>Разработка рабочей документации на установку системы охранной сигнилизации, системы видеонаблюдения</v>
      </c>
      <c r="G2113" s="22" t="s">
        <v>72</v>
      </c>
      <c r="H2113" s="22" t="s">
        <v>949</v>
      </c>
      <c r="I2113" s="26">
        <v>43706.5860300926</v>
      </c>
      <c r="J2113" s="23" t="str">
        <f>HYPERLINK("https://www.spark-marketing.ru/Card/Person/5862073", "Саяпина Анна Сергеевна")</f>
        <v>Саяпина Анна Сергеевна</v>
      </c>
      <c r="K2113" s="24" t="s">
        <v>3254</v>
      </c>
      <c r="L2113" s="22" t="s">
        <v>10</v>
      </c>
      <c r="M2113" s="25">
        <v>60596.97</v>
      </c>
      <c r="N2113" s="27">
        <v>0.17424482548576864</v>
      </c>
    </row>
    <row r="2114" spans="1:14" hidden="1" outlineLevel="1" x14ac:dyDescent="0.2">
      <c r="A2114" s="23" t="str">
        <f>HYPERLINK("https://www.spark-marketing.ru/Card/Person/6634", "УПФР В ОКТЯБРЬСКОМ РАЙОНЕ ГОРОДА ЕКАТЕРИНБУРГА СВЕРДЛОВСКОЙ ОБЛАСТИ")</f>
        <v>УПФР В ОКТЯБРЬСКОМ РАЙОНЕ ГОРОДА ЕКАТЕРИНБУРГА СВЕРДЛОВСКОЙ ОБЛАСТИ</v>
      </c>
      <c r="B2114" s="24" t="s">
        <v>3252</v>
      </c>
      <c r="C2114" s="25">
        <v>73383.7</v>
      </c>
      <c r="D2114" s="22" t="s">
        <v>3253</v>
      </c>
      <c r="E2114" s="22" t="s">
        <v>218</v>
      </c>
      <c r="F2114" s="23" t="str">
        <f>HYPERLINK("https://www.spark-marketing.ru/Card/Lot/73113253", "Разработка рабочей документации на установку системы охранной сигнилизации, системы видеонаблюдения")</f>
        <v>Разработка рабочей документации на установку системы охранной сигнилизации, системы видеонаблюдения</v>
      </c>
      <c r="G2114" s="22" t="s">
        <v>72</v>
      </c>
      <c r="H2114" s="22" t="s">
        <v>949</v>
      </c>
      <c r="I2114" s="26">
        <v>43706.5860300926</v>
      </c>
      <c r="J2114" s="23" t="str">
        <f>HYPERLINK("https://www.spark-marketing.ru/Card/Person/6402542", "ООО ""ЦЕНТР СБ""")</f>
        <v>ООО "ЦЕНТР СБ"</v>
      </c>
      <c r="K2114" s="24" t="s">
        <v>2133</v>
      </c>
      <c r="L2114" s="28" t="s">
        <v>52</v>
      </c>
      <c r="M2114" s="25">
        <v>60963.89</v>
      </c>
      <c r="N2114" s="27">
        <v>0.1692448050452621</v>
      </c>
    </row>
    <row r="2115" spans="1:14" x14ac:dyDescent="0.15">
      <c r="A2115" s="23" t="str">
        <f>HYPERLINK("https://www.spark-marketing.ru/Card/Person/104693", "МКУ ""МФЦ В Г. СТАВРОПОЛЕ""")</f>
        <v>МКУ "МФЦ В Г. СТАВРОПОЛЕ"</v>
      </c>
      <c r="B2115" s="24" t="s">
        <v>2732</v>
      </c>
      <c r="C2115" s="25">
        <v>266987.33</v>
      </c>
      <c r="D2115" s="22" t="s">
        <v>3255</v>
      </c>
      <c r="E2115" s="22" t="s">
        <v>84</v>
      </c>
      <c r="F2115" s="23" t="str">
        <f>HYPERLINK("https://www.spark-marketing.ru/Card/Lot/73126473", "Работы по установке систем видеонаблюдения")</f>
        <v>Работы по установке систем видеонаблюдения</v>
      </c>
      <c r="G2115" s="22" t="s">
        <v>258</v>
      </c>
      <c r="H2115" s="22" t="s">
        <v>258</v>
      </c>
      <c r="I2115" s="26">
        <v>43706.607037037</v>
      </c>
      <c r="J2115" s="28" t="s">
        <v>52</v>
      </c>
      <c r="K2115" s="28" t="s">
        <v>52</v>
      </c>
      <c r="L2115" s="28" t="s">
        <v>52</v>
      </c>
      <c r="M2115" s="28" t="s">
        <v>52</v>
      </c>
      <c r="N2115" s="28" t="s">
        <v>52</v>
      </c>
    </row>
    <row r="2116" spans="1:14" hidden="1" outlineLevel="1" x14ac:dyDescent="0.2">
      <c r="A2116" s="23" t="str">
        <f>HYPERLINK("https://www.spark-marketing.ru/Card/Person/104693", "МКУ ""МФЦ В Г. СТАВРОПОЛЕ""")</f>
        <v>МКУ "МФЦ В Г. СТАВРОПОЛЕ"</v>
      </c>
      <c r="B2116" s="24" t="s">
        <v>2732</v>
      </c>
      <c r="C2116" s="25">
        <v>266987.33</v>
      </c>
      <c r="D2116" s="22" t="s">
        <v>3255</v>
      </c>
      <c r="E2116" s="22" t="s">
        <v>84</v>
      </c>
      <c r="F2116" s="23" t="str">
        <f>HYPERLINK("https://www.spark-marketing.ru/Card/Lot/73126473", "Работы по установке систем видеонаблюдения")</f>
        <v>Работы по установке систем видеонаблюдения</v>
      </c>
      <c r="G2116" s="22" t="s">
        <v>258</v>
      </c>
      <c r="H2116" s="22" t="s">
        <v>258</v>
      </c>
      <c r="I2116" s="26">
        <v>43706.607037037</v>
      </c>
      <c r="J2116" s="23" t="str">
        <f>HYPERLINK("https://www.spark-marketing.ru/Card/Person/470476", "Пятенко Андрей Анатольевич")</f>
        <v>Пятенко Андрей Анатольевич</v>
      </c>
      <c r="K2116" s="24" t="s">
        <v>2735</v>
      </c>
      <c r="L2116" s="28" t="s">
        <v>52</v>
      </c>
      <c r="M2116" s="25">
        <v>258977.06</v>
      </c>
      <c r="N2116" s="27">
        <v>3.0002434947006662E-2</v>
      </c>
    </row>
    <row r="2117" spans="1:14" hidden="1" outlineLevel="1" x14ac:dyDescent="0.2">
      <c r="A2117" s="23" t="str">
        <f>HYPERLINK("https://www.spark-marketing.ru/Card/Person/104693", "МКУ ""МФЦ В Г. СТАВРОПОЛЕ""")</f>
        <v>МКУ "МФЦ В Г. СТАВРОПОЛЕ"</v>
      </c>
      <c r="B2117" s="24" t="s">
        <v>2732</v>
      </c>
      <c r="C2117" s="25">
        <v>266987.33</v>
      </c>
      <c r="D2117" s="22" t="s">
        <v>3255</v>
      </c>
      <c r="E2117" s="22" t="s">
        <v>84</v>
      </c>
      <c r="F2117" s="23" t="str">
        <f>HYPERLINK("https://www.spark-marketing.ru/Card/Lot/73126473", "Работы по установке систем видеонаблюдения")</f>
        <v>Работы по установке систем видеонаблюдения</v>
      </c>
      <c r="G2117" s="22" t="s">
        <v>258</v>
      </c>
      <c r="H2117" s="22" t="s">
        <v>258</v>
      </c>
      <c r="I2117" s="26">
        <v>43706.607037037</v>
      </c>
      <c r="J2117" s="23" t="str">
        <f>HYPERLINK("https://www.spark-marketing.ru/Card/Person/6481878", "Саракаев Роланд Рамазанович")</f>
        <v>Саракаев Роланд Рамазанович</v>
      </c>
      <c r="K2117" s="24" t="s">
        <v>3256</v>
      </c>
      <c r="L2117" s="28" t="s">
        <v>52</v>
      </c>
      <c r="M2117" s="25">
        <v>215290.06</v>
      </c>
      <c r="N2117" s="27">
        <v>0.19363192253355244</v>
      </c>
    </row>
    <row r="2118" spans="1:14" ht="12.75" hidden="1" outlineLevel="1" x14ac:dyDescent="0.2">
      <c r="A2118" s="23" t="str">
        <f>HYPERLINK("https://www.spark-marketing.ru/Card/Person/104693", "МКУ ""МФЦ В Г. СТАВРОПОЛЕ""")</f>
        <v>МКУ "МФЦ В Г. СТАВРОПОЛЕ"</v>
      </c>
      <c r="B2118" s="24" t="s">
        <v>2732</v>
      </c>
      <c r="C2118" s="25">
        <v>266987.33</v>
      </c>
      <c r="D2118" s="22" t="s">
        <v>3255</v>
      </c>
      <c r="E2118" s="22" t="s">
        <v>84</v>
      </c>
      <c r="F2118" s="23" t="str">
        <f>HYPERLINK("https://www.spark-marketing.ru/Card/Lot/73126473", "Работы по установке систем видеонаблюдения")</f>
        <v>Работы по установке систем видеонаблюдения</v>
      </c>
      <c r="G2118" s="22" t="s">
        <v>258</v>
      </c>
      <c r="H2118" s="22" t="s">
        <v>258</v>
      </c>
      <c r="I2118" s="26">
        <v>43706.607037037</v>
      </c>
      <c r="J2118" s="23" t="str">
        <f>HYPERLINK("https://www.spark-marketing.ru/Card/Person/6236853", "Бармашов Иван Александрович")</f>
        <v>Бармашов Иван Александрович</v>
      </c>
      <c r="K2118" s="24" t="s">
        <v>3257</v>
      </c>
      <c r="L2118" s="22" t="s">
        <v>10</v>
      </c>
      <c r="M2118" s="25">
        <v>213955</v>
      </c>
      <c r="N2118" s="27">
        <v>0.19863238454049487</v>
      </c>
    </row>
    <row r="2119" spans="1:14" x14ac:dyDescent="0.15">
      <c r="A2119" s="23" t="str">
        <f>HYPERLINK("https://www.spark-marketing.ru/Card/Person/11813", "ГКУ ""ЛЕНАВТОДОР""")</f>
        <v>ГКУ "ЛЕНАВТОДОР"</v>
      </c>
      <c r="B2119" s="24" t="s">
        <v>3258</v>
      </c>
      <c r="C2119" s="25">
        <v>9226065.5800000001</v>
      </c>
      <c r="D2119" s="22" t="s">
        <v>3259</v>
      </c>
      <c r="E2119" s="22" t="s">
        <v>218</v>
      </c>
      <c r="F2119" s="23" t="str">
        <f>HYPERLINK("https://www.spark-marketing.ru/Card/Lot/73130700", "Осуществление инженерного сопровождения по объекту: «Выполнение работ по устройству элементов обустройства автомобильных дорог в Гатчинском, Выборгском, Ломоносовском, Приозерском, Всеволожском, Тосненском, Кингисеппском районах Ленинградской области...")</f>
        <v>Осуществление инженерного сопровождения по объекту: «Выполнение работ по устройству элементов обустройства автомобильных дорог в Гатчинском, Выборгском, Ломоносовском, Приозерском, Всеволожском, Тосненском, Кингисеппском районах Ленинградской области...</v>
      </c>
      <c r="G2119" s="22" t="s">
        <v>861</v>
      </c>
      <c r="H2119" s="22" t="s">
        <v>861</v>
      </c>
      <c r="I2119" s="26">
        <v>43706.655682870398</v>
      </c>
      <c r="J2119" s="28" t="s">
        <v>52</v>
      </c>
      <c r="K2119" s="28" t="s">
        <v>52</v>
      </c>
      <c r="L2119" s="28" t="s">
        <v>52</v>
      </c>
      <c r="M2119" s="28" t="s">
        <v>52</v>
      </c>
      <c r="N2119" s="28" t="s">
        <v>52</v>
      </c>
    </row>
    <row r="2120" spans="1:14" hidden="1" outlineLevel="1" x14ac:dyDescent="0.2">
      <c r="A2120" s="23" t="str">
        <f>HYPERLINK("https://www.spark-marketing.ru/Card/Person/11813", "ГКУ ""ЛЕНАВТОДОР""")</f>
        <v>ГКУ "ЛЕНАВТОДОР"</v>
      </c>
      <c r="B2120" s="24" t="s">
        <v>3258</v>
      </c>
      <c r="C2120" s="25">
        <v>9226065.5800000001</v>
      </c>
      <c r="D2120" s="22" t="s">
        <v>3259</v>
      </c>
      <c r="E2120" s="22" t="s">
        <v>218</v>
      </c>
      <c r="F2120" s="23" t="str">
        <f>HYPERLINK("https://www.spark-marketing.ru/Card/Lot/73130700", "Осуществление инженерного сопровождения по объекту: «Выполнение работ по устройству элементов обустройства автомобильных дорог в Гатчинском, Выборгском, Ломоносовском, Приозерском, Всеволожском, Тосненском, Кингисеппском районах Ленинградской области...")</f>
        <v>Осуществление инженерного сопровождения по объекту: «Выполнение работ по устройству элементов обустройства автомобильных дорог в Гатчинском, Выборгском, Ломоносовском, Приозерском, Всеволожском, Тосненском, Кингисеппском районах Ленинградской области...</v>
      </c>
      <c r="G2120" s="22" t="s">
        <v>861</v>
      </c>
      <c r="H2120" s="22" t="s">
        <v>861</v>
      </c>
      <c r="I2120" s="26">
        <v>43706.655682870398</v>
      </c>
      <c r="J2120" s="23" t="str">
        <f>HYPERLINK("https://www.spark-marketing.ru/Card/Person/68245", "АО ""СЛУЖБА ЗАКАЗЧИКА""")</f>
        <v>АО "СЛУЖБА ЗАКАЗЧИКА"</v>
      </c>
      <c r="K2120" s="24" t="s">
        <v>3260</v>
      </c>
      <c r="L2120" s="28" t="s">
        <v>52</v>
      </c>
      <c r="M2120" s="25">
        <v>7600000</v>
      </c>
      <c r="N2120" s="27">
        <v>0.17624691325898856</v>
      </c>
    </row>
    <row r="2121" spans="1:14" ht="12.75" hidden="1" outlineLevel="1" x14ac:dyDescent="0.2">
      <c r="A2121" s="23" t="str">
        <f>HYPERLINK("https://www.spark-marketing.ru/Card/Person/11813", "ГКУ ""ЛЕНАВТОДОР""")</f>
        <v>ГКУ "ЛЕНАВТОДОР"</v>
      </c>
      <c r="B2121" s="24" t="s">
        <v>3258</v>
      </c>
      <c r="C2121" s="25">
        <v>9226065.5800000001</v>
      </c>
      <c r="D2121" s="22" t="s">
        <v>3259</v>
      </c>
      <c r="E2121" s="22" t="s">
        <v>218</v>
      </c>
      <c r="F2121" s="23" t="str">
        <f>HYPERLINK("https://www.spark-marketing.ru/Card/Lot/73130700", "Осуществление инженерного сопровождения по объекту: «Выполнение работ по устройству элементов обустройства автомобильных дорог в Гатчинском, Выборгском, Ломоносовском, Приозерском, Всеволожском, Тосненском, Кингисеппском районах Ленинградской области...")</f>
        <v>Осуществление инженерного сопровождения по объекту: «Выполнение работ по устройству элементов обустройства автомобильных дорог в Гатчинском, Выборгском, Ломоносовском, Приозерском, Всеволожском, Тосненском, Кингисеппском районах Ленинградской области...</v>
      </c>
      <c r="G2121" s="22" t="s">
        <v>861</v>
      </c>
      <c r="H2121" s="22" t="s">
        <v>861</v>
      </c>
      <c r="I2121" s="26">
        <v>43706.655682870398</v>
      </c>
      <c r="J2121" s="23" t="str">
        <f>HYPERLINK("https://www.spark-marketing.ru/Card/Person/4937396", "ООО ""ОНИКС""")</f>
        <v>ООО "ОНИКС"</v>
      </c>
      <c r="K2121" s="24" t="s">
        <v>3261</v>
      </c>
      <c r="L2121" s="22" t="s">
        <v>10</v>
      </c>
      <c r="M2121" s="25">
        <v>7770000</v>
      </c>
      <c r="N2121" s="27">
        <v>0.15782085737136067</v>
      </c>
    </row>
    <row r="2122" spans="1:14" x14ac:dyDescent="0.15">
      <c r="A2122" s="23" t="str">
        <f>HYPERLINK("https://www.spark-marketing.ru/Card/Person/645208", "УПФР В Г. ОБНИНСКЕ КАЛУЖСКОЙ ОБЛАСТИ (МЕЖРАЙОННОЕ)")</f>
        <v>УПФР В Г. ОБНИНСКЕ КАЛУЖСКОЙ ОБЛАСТИ (МЕЖРАЙОННОЕ)</v>
      </c>
      <c r="B2122" s="24" t="s">
        <v>3262</v>
      </c>
      <c r="C2122" s="25">
        <v>8165</v>
      </c>
      <c r="D2122" s="22" t="s">
        <v>3263</v>
      </c>
      <c r="E2122" s="22" t="s">
        <v>294</v>
      </c>
      <c r="F2122" s="23" t="str">
        <f>HYPERLINK("https://www.spark-marketing.ru/Card/Lot/73121873", "Техническое обслуживание  системы видеонаблюдения")</f>
        <v>Техническое обслуживание  системы видеонаблюдения</v>
      </c>
      <c r="G2122" s="22" t="s">
        <v>658</v>
      </c>
      <c r="H2122" s="22" t="s">
        <v>659</v>
      </c>
      <c r="I2122" s="26">
        <v>43706.6413888889</v>
      </c>
      <c r="J2122" s="28" t="s">
        <v>52</v>
      </c>
      <c r="K2122" s="28" t="s">
        <v>52</v>
      </c>
      <c r="L2122" s="28" t="s">
        <v>52</v>
      </c>
      <c r="M2122" s="28" t="s">
        <v>52</v>
      </c>
      <c r="N2122" s="28" t="s">
        <v>52</v>
      </c>
    </row>
    <row r="2123" spans="1:14" ht="12.75" hidden="1" outlineLevel="1" x14ac:dyDescent="0.2">
      <c r="A2123" s="23" t="str">
        <f>HYPERLINK("https://www.spark-marketing.ru/Card/Person/645208", "УПФР В Г. ОБНИНСКЕ КАЛУЖСКОЙ ОБЛАСТИ (МЕЖРАЙОННОЕ)")</f>
        <v>УПФР В Г. ОБНИНСКЕ КАЛУЖСКОЙ ОБЛАСТИ (МЕЖРАЙОННОЕ)</v>
      </c>
      <c r="B2123" s="24" t="s">
        <v>3262</v>
      </c>
      <c r="C2123" s="25">
        <v>8165</v>
      </c>
      <c r="D2123" s="22" t="s">
        <v>3263</v>
      </c>
      <c r="E2123" s="22" t="s">
        <v>294</v>
      </c>
      <c r="F2123" s="23" t="str">
        <f>HYPERLINK("https://www.spark-marketing.ru/Card/Lot/73121873", "Техническое обслуживание  системы видеонаблюдения")</f>
        <v>Техническое обслуживание  системы видеонаблюдения</v>
      </c>
      <c r="G2123" s="22" t="s">
        <v>658</v>
      </c>
      <c r="H2123" s="22" t="s">
        <v>659</v>
      </c>
      <c r="I2123" s="26">
        <v>43706.6413888889</v>
      </c>
      <c r="J2123" s="23" t="str">
        <f>HYPERLINK("https://www.spark-marketing.ru/Card/Person/27340", "ВДПО КАЛУЖСКОЙ ОБЛАСТИ")</f>
        <v>ВДПО КАЛУЖСКОЙ ОБЛАСТИ</v>
      </c>
      <c r="K2123" s="24" t="s">
        <v>3264</v>
      </c>
      <c r="L2123" s="22" t="s">
        <v>10</v>
      </c>
      <c r="M2123" s="25">
        <v>4900</v>
      </c>
      <c r="N2123" s="27">
        <v>0.39987752602571952</v>
      </c>
    </row>
    <row r="2124" spans="1:14" hidden="1" outlineLevel="1" x14ac:dyDescent="0.2">
      <c r="A2124" s="23" t="str">
        <f>HYPERLINK("https://www.spark-marketing.ru/Card/Person/645208", "УПФР В Г. ОБНИНСКЕ КАЛУЖСКОЙ ОБЛАСТИ (МЕЖРАЙОННОЕ)")</f>
        <v>УПФР В Г. ОБНИНСКЕ КАЛУЖСКОЙ ОБЛАСТИ (МЕЖРАЙОННОЕ)</v>
      </c>
      <c r="B2124" s="24" t="s">
        <v>3262</v>
      </c>
      <c r="C2124" s="25">
        <v>8165</v>
      </c>
      <c r="D2124" s="22" t="s">
        <v>3263</v>
      </c>
      <c r="E2124" s="22" t="s">
        <v>294</v>
      </c>
      <c r="F2124" s="23" t="str">
        <f>HYPERLINK("https://www.spark-marketing.ru/Card/Lot/73121873", "Техническое обслуживание  системы видеонаблюдения")</f>
        <v>Техническое обслуживание  системы видеонаблюдения</v>
      </c>
      <c r="G2124" s="22" t="s">
        <v>658</v>
      </c>
      <c r="H2124" s="22" t="s">
        <v>659</v>
      </c>
      <c r="I2124" s="26">
        <v>43706.6413888889</v>
      </c>
      <c r="J2124" s="23" t="str">
        <f>HYPERLINK("https://www.spark-marketing.ru/Card/Person/304414", "ООО ""ВЗГЛЯД""")</f>
        <v>ООО "ВЗГЛЯД"</v>
      </c>
      <c r="K2124" s="24" t="s">
        <v>3265</v>
      </c>
      <c r="L2124" s="28" t="s">
        <v>52</v>
      </c>
      <c r="M2124" s="25">
        <v>6500</v>
      </c>
      <c r="N2124" s="27">
        <v>0.20391916717697489</v>
      </c>
    </row>
    <row r="2125" spans="1:14" hidden="1" outlineLevel="1" x14ac:dyDescent="0.2">
      <c r="A2125" s="23" t="str">
        <f>HYPERLINK("https://www.spark-marketing.ru/Card/Person/645208", "УПФР В Г. ОБНИНСКЕ КАЛУЖСКОЙ ОБЛАСТИ (МЕЖРАЙОННОЕ)")</f>
        <v>УПФР В Г. ОБНИНСКЕ КАЛУЖСКОЙ ОБЛАСТИ (МЕЖРАЙОННОЕ)</v>
      </c>
      <c r="B2125" s="24" t="s">
        <v>3262</v>
      </c>
      <c r="C2125" s="25">
        <v>8165</v>
      </c>
      <c r="D2125" s="22" t="s">
        <v>3263</v>
      </c>
      <c r="E2125" s="22" t="s">
        <v>294</v>
      </c>
      <c r="F2125" s="23" t="str">
        <f>HYPERLINK("https://www.spark-marketing.ru/Card/Lot/73121873", "Техническое обслуживание  системы видеонаблюдения")</f>
        <v>Техническое обслуживание  системы видеонаблюдения</v>
      </c>
      <c r="G2125" s="22" t="s">
        <v>658</v>
      </c>
      <c r="H2125" s="22" t="s">
        <v>659</v>
      </c>
      <c r="I2125" s="26">
        <v>43706.6413888889</v>
      </c>
      <c r="J2125" s="23" t="str">
        <f>HYPERLINK("https://www.spark-marketing.ru/Card/Person/1380936", "ООО ""СТРОЙСНАБ""")</f>
        <v>ООО "СТРОЙСНАБ"</v>
      </c>
      <c r="K2125" s="24" t="s">
        <v>3266</v>
      </c>
      <c r="L2125" s="28" t="s">
        <v>52</v>
      </c>
      <c r="M2125" s="25">
        <v>7500</v>
      </c>
      <c r="N2125" s="27">
        <v>8.1445192896509491E-2</v>
      </c>
    </row>
    <row r="2126" spans="1:14" hidden="1" outlineLevel="1" x14ac:dyDescent="0.2">
      <c r="A2126" s="23" t="str">
        <f>HYPERLINK("https://www.spark-marketing.ru/Card/Person/645208", "УПФР В Г. ОБНИНСКЕ КАЛУЖСКОЙ ОБЛАСТИ (МЕЖРАЙОННОЕ)")</f>
        <v>УПФР В Г. ОБНИНСКЕ КАЛУЖСКОЙ ОБЛАСТИ (МЕЖРАЙОННОЕ)</v>
      </c>
      <c r="B2126" s="24" t="s">
        <v>3262</v>
      </c>
      <c r="C2126" s="25">
        <v>8165</v>
      </c>
      <c r="D2126" s="22" t="s">
        <v>3263</v>
      </c>
      <c r="E2126" s="22" t="s">
        <v>294</v>
      </c>
      <c r="F2126" s="23" t="str">
        <f>HYPERLINK("https://www.spark-marketing.ru/Card/Lot/73121873", "Техническое обслуживание  системы видеонаблюдения")</f>
        <v>Техническое обслуживание  системы видеонаблюдения</v>
      </c>
      <c r="G2126" s="22" t="s">
        <v>658</v>
      </c>
      <c r="H2126" s="22" t="s">
        <v>659</v>
      </c>
      <c r="I2126" s="26">
        <v>43706.6413888889</v>
      </c>
      <c r="J2126" s="23" t="str">
        <f>HYPERLINK("https://www.spark-marketing.ru/Card/Person/280254", "ООО ""РИОН""")</f>
        <v>ООО "РИОН"</v>
      </c>
      <c r="K2126" s="24" t="s">
        <v>3267</v>
      </c>
      <c r="L2126" s="28" t="s">
        <v>52</v>
      </c>
      <c r="M2126" s="25">
        <v>8165</v>
      </c>
      <c r="N2126" s="27">
        <v>0</v>
      </c>
    </row>
    <row r="2127" spans="1:14" x14ac:dyDescent="0.15">
      <c r="A2127" s="23" t="str">
        <f>HYPERLINK("https://www.spark-marketing.ru/Card/Person/1895", "ФКУ УПРДОР ""РОССИЯ""")</f>
        <v>ФКУ УПРДОР "РОССИЯ"</v>
      </c>
      <c r="B2127" s="24" t="s">
        <v>3268</v>
      </c>
      <c r="C2127" s="25">
        <v>91939.199999999997</v>
      </c>
      <c r="D2127" s="22" t="s">
        <v>3269</v>
      </c>
      <c r="E2127" s="22" t="s">
        <v>53</v>
      </c>
      <c r="F2127" s="23" t="str">
        <f>HYPERLINK("https://www.spark-marketing.ru/Card/Lot/73114176", "Оказание услуг по охране объектов пультом централизованного наблюдения (GSM канал)")</f>
        <v>Оказание услуг по охране объектов пультом централизованного наблюдения (GSM канал)</v>
      </c>
      <c r="G2127" s="22" t="s">
        <v>959</v>
      </c>
      <c r="H2127" s="22" t="s">
        <v>960</v>
      </c>
      <c r="I2127" s="26">
        <v>43706.625254629602</v>
      </c>
      <c r="J2127" s="28" t="s">
        <v>52</v>
      </c>
      <c r="K2127" s="28" t="s">
        <v>52</v>
      </c>
      <c r="L2127" s="28" t="s">
        <v>52</v>
      </c>
      <c r="M2127" s="28" t="s">
        <v>52</v>
      </c>
      <c r="N2127" s="28" t="s">
        <v>52</v>
      </c>
    </row>
    <row r="2128" spans="1:14" x14ac:dyDescent="0.15">
      <c r="A2128" s="23" t="str">
        <f>HYPERLINK("https://www.spark-marketing.ru/Card/Person/45065", "КОМАВТОДОР АЛАНИЯ")</f>
        <v>КОМАВТОДОР АЛАНИЯ</v>
      </c>
      <c r="B2128" s="24" t="s">
        <v>3270</v>
      </c>
      <c r="C2128" s="25">
        <v>3000000</v>
      </c>
      <c r="D2128" s="22" t="s">
        <v>3271</v>
      </c>
      <c r="E2128" s="22" t="s">
        <v>59</v>
      </c>
      <c r="F2128" s="23" t="str">
        <f>HYPERLINK("https://www.spark-marketing.ru/Card/Lot/73127646", "Установка камер видеофиксации нарушения правил дорожного движения на км 42,0 автодороги Владикавказ - Ардон - Чикола - Лескен 2")</f>
        <v>Установка камер видеофиксации нарушения правил дорожного движения на км 42,0 автодороги Владикавказ - Ардон - Чикола - Лескен 2</v>
      </c>
      <c r="G2128" s="22" t="s">
        <v>833</v>
      </c>
      <c r="H2128" s="22" t="s">
        <v>833</v>
      </c>
      <c r="I2128" s="26">
        <v>43706.571157407401</v>
      </c>
      <c r="J2128" s="23" t="str">
        <f>HYPERLINK("https://www.spark-marketing.ru/Card/Person/46949", "ООО ""АВТОДОРИЯ""")</f>
        <v>ООО "АВТОДОРИЯ"</v>
      </c>
      <c r="K2128" s="24" t="s">
        <v>3272</v>
      </c>
      <c r="L2128" s="22" t="s">
        <v>10</v>
      </c>
      <c r="M2128" s="28" t="s">
        <v>52</v>
      </c>
      <c r="N2128" s="28" t="s">
        <v>52</v>
      </c>
    </row>
    <row r="2129" spans="1:14" x14ac:dyDescent="0.15">
      <c r="A2129" s="23" t="str">
        <f>HYPERLINK("https://www.spark-marketing.ru/Card/Person/82673", "АДМИНИСТРАЦИЯ ПОДОСИНОВСКОГО ГОРОДСКОГО ПОСЕЛЕНИЯ")</f>
        <v>АДМИНИСТРАЦИЯ ПОДОСИНОВСКОГО ГОРОДСКОГО ПОСЕЛЕНИЯ</v>
      </c>
      <c r="B2129" s="24" t="s">
        <v>3273</v>
      </c>
      <c r="C2129" s="25">
        <v>176454</v>
      </c>
      <c r="D2129" s="22" t="s">
        <v>3274</v>
      </c>
      <c r="E2129" s="22" t="s">
        <v>59</v>
      </c>
      <c r="F2129" s="23" t="str">
        <f>HYPERLINK("https://www.spark-marketing.ru/Card/Lot/73117508", "Выполнение работ по установке видеонаблюдения в парке пгт Подосиновец")</f>
        <v>Выполнение работ по установке видеонаблюдения в парке пгт Подосиновец</v>
      </c>
      <c r="G2129" s="22" t="s">
        <v>556</v>
      </c>
      <c r="H2129" s="22" t="s">
        <v>3275</v>
      </c>
      <c r="I2129" s="26">
        <v>43706.448541666701</v>
      </c>
      <c r="J2129" s="23" t="str">
        <f>HYPERLINK("https://www.spark-marketing.ru/Card/Person/86439", "ООО ""ФОРПОСТСПЕЦМОНТАЖ""")</f>
        <v>ООО "ФОРПОСТСПЕЦМОНТАЖ"</v>
      </c>
      <c r="K2129" s="24" t="s">
        <v>3276</v>
      </c>
      <c r="L2129" s="22" t="s">
        <v>10</v>
      </c>
      <c r="M2129" s="28" t="s">
        <v>52</v>
      </c>
      <c r="N2129" s="28" t="s">
        <v>52</v>
      </c>
    </row>
    <row r="2130" spans="1:14" x14ac:dyDescent="0.15">
      <c r="A2130" s="23" t="str">
        <f>HYPERLINK("https://www.spark-marketing.ru/Card/Person/54976", "АРБИТРАЖНЫЙ СУД ИВАНОВСКОЙ ОБЛАСТИ")</f>
        <v>АРБИТРАЖНЫЙ СУД ИВАНОВСКОЙ ОБЛАСТИ</v>
      </c>
      <c r="B2130" s="24" t="s">
        <v>3277</v>
      </c>
      <c r="C2130" s="25">
        <v>617983.1</v>
      </c>
      <c r="D2130" s="22" t="s">
        <v>3278</v>
      </c>
      <c r="E2130" s="22" t="s">
        <v>68</v>
      </c>
      <c r="F2130" s="23" t="str">
        <f>HYPERLINK("https://www.spark-marketing.ru/Card/Lot/73118818", "Оказание услуг государственной охраны объектов")</f>
        <v>Оказание услуг государственной охраны объектов</v>
      </c>
      <c r="G2130" s="22" t="s">
        <v>340</v>
      </c>
      <c r="H2130" s="22" t="s">
        <v>1030</v>
      </c>
      <c r="I2130" s="26">
        <v>43706.401006944398</v>
      </c>
      <c r="J2130" s="23" t="str">
        <f>HYPERLINK("https://www.spark-marketing.ru/Card/Person/307045", "ФЛ ФГУП ""Охрана"" Росгвардии по Ивановской области")</f>
        <v>ФЛ ФГУП "Охрана" Росгвардии по Ивановской области</v>
      </c>
      <c r="K2130" s="24" t="s">
        <v>779</v>
      </c>
      <c r="L2130" s="22" t="s">
        <v>10</v>
      </c>
      <c r="M2130" s="28" t="s">
        <v>52</v>
      </c>
      <c r="N2130" s="28" t="s">
        <v>52</v>
      </c>
    </row>
    <row r="2131" spans="1:14" x14ac:dyDescent="0.15">
      <c r="A2131" s="23" t="str">
        <f>HYPERLINK("https://www.spark-marketing.ru/Card/Person/78998", "ФГКУ КОМБИНАТ ""ПАТРИОТ"" РОСРЕЗЕРВА")</f>
        <v>ФГКУ КОМБИНАТ "ПАТРИОТ" РОСРЕЗЕРВА</v>
      </c>
      <c r="B2131" s="24" t="s">
        <v>3279</v>
      </c>
      <c r="C2131" s="25">
        <v>50996.26</v>
      </c>
      <c r="D2131" s="22" t="s">
        <v>3280</v>
      </c>
      <c r="E2131" s="22" t="s">
        <v>3281</v>
      </c>
      <c r="F2131" s="23" t="str">
        <f>HYPERLINK("https://www.spark-marketing.ru/Card/Lot/73116593", "Поставка обуви для сотрудников ведомственной охраны")</f>
        <v>Поставка обуви для сотрудников ведомственной охраны</v>
      </c>
      <c r="G2131" s="22" t="s">
        <v>956</v>
      </c>
      <c r="H2131" s="22" t="s">
        <v>1451</v>
      </c>
      <c r="I2131" s="26">
        <v>43706.586886574099</v>
      </c>
      <c r="J2131" s="28" t="s">
        <v>52</v>
      </c>
      <c r="K2131" s="28" t="s">
        <v>52</v>
      </c>
      <c r="L2131" s="28" t="s">
        <v>52</v>
      </c>
      <c r="M2131" s="28" t="s">
        <v>52</v>
      </c>
      <c r="N2131" s="28" t="s">
        <v>52</v>
      </c>
    </row>
    <row r="2132" spans="1:14" hidden="1" outlineLevel="1" x14ac:dyDescent="0.2">
      <c r="A2132" s="23" t="str">
        <f>HYPERLINK("https://www.spark-marketing.ru/Card/Person/78998", "ФГКУ КОМБИНАТ ""ПАТРИОТ"" РОСРЕЗЕРВА")</f>
        <v>ФГКУ КОМБИНАТ "ПАТРИОТ" РОСРЕЗЕРВА</v>
      </c>
      <c r="B2132" s="24" t="s">
        <v>3279</v>
      </c>
      <c r="C2132" s="25">
        <v>50996.26</v>
      </c>
      <c r="D2132" s="22" t="s">
        <v>3280</v>
      </c>
      <c r="E2132" s="22" t="s">
        <v>3281</v>
      </c>
      <c r="F2132" s="23" t="str">
        <f>HYPERLINK("https://www.spark-marketing.ru/Card/Lot/73116593", "Поставка обуви для сотрудников ведомственной охраны")</f>
        <v>Поставка обуви для сотрудников ведомственной охраны</v>
      </c>
      <c r="G2132" s="22" t="s">
        <v>956</v>
      </c>
      <c r="H2132" s="22" t="s">
        <v>1451</v>
      </c>
      <c r="I2132" s="26">
        <v>43706.586886574099</v>
      </c>
      <c r="J2132" s="23" t="str">
        <f>HYPERLINK("https://www.spark-marketing.ru/Card/Person/6443766", "ООО ""АВАНГАРД""")</f>
        <v>ООО "АВАНГАРД"</v>
      </c>
      <c r="K2132" s="24" t="s">
        <v>3282</v>
      </c>
      <c r="L2132" s="28" t="s">
        <v>52</v>
      </c>
      <c r="M2132" s="25">
        <v>20063.13</v>
      </c>
      <c r="N2132" s="27">
        <v>0.60657644305680458</v>
      </c>
    </row>
    <row r="2133" spans="1:14" hidden="1" outlineLevel="1" x14ac:dyDescent="0.2">
      <c r="A2133" s="23" t="str">
        <f>HYPERLINK("https://www.spark-marketing.ru/Card/Person/78998", "ФГКУ КОМБИНАТ ""ПАТРИОТ"" РОСРЕЗЕРВА")</f>
        <v>ФГКУ КОМБИНАТ "ПАТРИОТ" РОСРЕЗЕРВА</v>
      </c>
      <c r="B2133" s="24" t="s">
        <v>3279</v>
      </c>
      <c r="C2133" s="25">
        <v>50996.26</v>
      </c>
      <c r="D2133" s="22" t="s">
        <v>3280</v>
      </c>
      <c r="E2133" s="22" t="s">
        <v>3281</v>
      </c>
      <c r="F2133" s="23" t="str">
        <f>HYPERLINK("https://www.spark-marketing.ru/Card/Lot/73116593", "Поставка обуви для сотрудников ведомственной охраны")</f>
        <v>Поставка обуви для сотрудников ведомственной охраны</v>
      </c>
      <c r="G2133" s="22" t="s">
        <v>956</v>
      </c>
      <c r="H2133" s="22" t="s">
        <v>1451</v>
      </c>
      <c r="I2133" s="26">
        <v>43706.586886574099</v>
      </c>
      <c r="J2133" s="23" t="str">
        <f>HYPERLINK("https://www.spark-marketing.ru/Card/Person/5424", "ООО ""ЮНИКС""")</f>
        <v>ООО "ЮНИКС"</v>
      </c>
      <c r="K2133" s="24" t="s">
        <v>3283</v>
      </c>
      <c r="L2133" s="28" t="s">
        <v>52</v>
      </c>
      <c r="M2133" s="25">
        <v>30007.35</v>
      </c>
      <c r="N2133" s="27">
        <v>0.4115774372473589</v>
      </c>
    </row>
    <row r="2134" spans="1:14" ht="12.75" hidden="1" outlineLevel="1" x14ac:dyDescent="0.2">
      <c r="A2134" s="23" t="str">
        <f>HYPERLINK("https://www.spark-marketing.ru/Card/Person/78998", "ФГКУ КОМБИНАТ ""ПАТРИОТ"" РОСРЕЗЕРВА")</f>
        <v>ФГКУ КОМБИНАТ "ПАТРИОТ" РОСРЕЗЕРВА</v>
      </c>
      <c r="B2134" s="24" t="s">
        <v>3279</v>
      </c>
      <c r="C2134" s="25">
        <v>50996.26</v>
      </c>
      <c r="D2134" s="22" t="s">
        <v>3280</v>
      </c>
      <c r="E2134" s="22" t="s">
        <v>3281</v>
      </c>
      <c r="F2134" s="23" t="str">
        <f>HYPERLINK("https://www.spark-marketing.ru/Card/Lot/73116593", "Поставка обуви для сотрудников ведомственной охраны")</f>
        <v>Поставка обуви для сотрудников ведомственной охраны</v>
      </c>
      <c r="G2134" s="22" t="s">
        <v>956</v>
      </c>
      <c r="H2134" s="22" t="s">
        <v>1451</v>
      </c>
      <c r="I2134" s="26">
        <v>43706.586886574099</v>
      </c>
      <c r="J2134" s="23" t="str">
        <f>HYPERLINK("https://www.spark-marketing.ru/Card/Person/4863702", "ООО ""СНАБСЕРВИС""")</f>
        <v>ООО "СНАБСЕРВИС"</v>
      </c>
      <c r="K2134" s="24" t="s">
        <v>3284</v>
      </c>
      <c r="L2134" s="22" t="s">
        <v>10</v>
      </c>
      <c r="M2134" s="25">
        <v>19808.150000000001</v>
      </c>
      <c r="N2134" s="27">
        <v>0.61157641756473902</v>
      </c>
    </row>
    <row r="2135" spans="1:14" x14ac:dyDescent="0.15">
      <c r="A2135" s="23" t="str">
        <f>HYPERLINK("https://www.spark-marketing.ru/Card/Person/1001036", "ОТДЕЛ МВД РОССИИ ПО Г. ВЫКСА")</f>
        <v>ОТДЕЛ МВД РОССИИ ПО Г. ВЫКСА</v>
      </c>
      <c r="B2135" s="24" t="s">
        <v>3285</v>
      </c>
      <c r="C2135" s="25">
        <v>59000</v>
      </c>
      <c r="D2135" s="22" t="s">
        <v>3286</v>
      </c>
      <c r="E2135" s="22" t="s">
        <v>107</v>
      </c>
      <c r="F2135" s="23" t="str">
        <f>HYPERLINK("https://www.spark-marketing.ru/Card/Lot/73113938", "Техническое обслуживание инженерно-технических средств охраны, 59 шт")</f>
        <v>Техническое обслуживание инженерно-технических средств охраны, 59 шт</v>
      </c>
      <c r="G2135" s="22" t="s">
        <v>64</v>
      </c>
      <c r="H2135" s="22" t="s">
        <v>3287</v>
      </c>
      <c r="I2135" s="26">
        <v>43706.622384259303</v>
      </c>
      <c r="J2135" s="28" t="s">
        <v>52</v>
      </c>
      <c r="K2135" s="28" t="s">
        <v>52</v>
      </c>
      <c r="L2135" s="28" t="s">
        <v>52</v>
      </c>
      <c r="M2135" s="28" t="s">
        <v>52</v>
      </c>
      <c r="N2135" s="28" t="s">
        <v>52</v>
      </c>
    </row>
    <row r="2136" spans="1:14" x14ac:dyDescent="0.15">
      <c r="A2136" s="23" t="str">
        <f>HYPERLINK("https://www.spark-marketing.ru/Card/Person/12563", "КУ ""СУРГУТСКИЙ КЛИНИЧЕСКИЙ ПРОТИВОТУБЕРКУЛЕЗНЫЙ ДИСПАНСЕР""")</f>
        <v>КУ "СУРГУТСКИЙ КЛИНИЧЕСКИЙ ПРОТИВОТУБЕРКУЛЕЗНЫЙ ДИСПАНСЕР"</v>
      </c>
      <c r="B2136" s="24" t="s">
        <v>3288</v>
      </c>
      <c r="C2136" s="25">
        <v>757400</v>
      </c>
      <c r="D2136" s="22" t="s">
        <v>3289</v>
      </c>
      <c r="E2136" s="22" t="s">
        <v>84</v>
      </c>
      <c r="F2136" s="23" t="str">
        <f>HYPERLINK("https://www.spark-marketing.ru/Card/Lot/73111493", "Выполнение монтажных работ по установке (расширению) системы видеонаблюдения и системы контроля доступа с целью выполнения требований по антитеррористической защищенности")</f>
        <v>Выполнение монтажных работ по установке (расширению) системы видеонаблюдения и системы контроля доступа с целью выполнения требований по антитеррористической защищенности</v>
      </c>
      <c r="G2136" s="22" t="s">
        <v>119</v>
      </c>
      <c r="H2136" s="22" t="s">
        <v>463</v>
      </c>
      <c r="I2136" s="26">
        <v>43706.560324074097</v>
      </c>
      <c r="J2136" s="28" t="s">
        <v>52</v>
      </c>
      <c r="K2136" s="28" t="s">
        <v>52</v>
      </c>
      <c r="L2136" s="28" t="s">
        <v>52</v>
      </c>
      <c r="M2136" s="28" t="s">
        <v>52</v>
      </c>
      <c r="N2136" s="28" t="s">
        <v>52</v>
      </c>
    </row>
    <row r="2137" spans="1:14" hidden="1" outlineLevel="1" x14ac:dyDescent="0.2">
      <c r="A2137" s="23" t="str">
        <f>HYPERLINK("https://www.spark-marketing.ru/Card/Person/12563", "КУ ""СУРГУТСКИЙ КЛИНИЧЕСКИЙ ПРОТИВОТУБЕРКУЛЕЗНЫЙ ДИСПАНСЕР""")</f>
        <v>КУ "СУРГУТСКИЙ КЛИНИЧЕСКИЙ ПРОТИВОТУБЕРКУЛЕЗНЫЙ ДИСПАНСЕР"</v>
      </c>
      <c r="B2137" s="24" t="s">
        <v>3288</v>
      </c>
      <c r="C2137" s="25">
        <v>757400</v>
      </c>
      <c r="D2137" s="22" t="s">
        <v>3289</v>
      </c>
      <c r="E2137" s="22" t="s">
        <v>84</v>
      </c>
      <c r="F2137" s="23" t="str">
        <f>HYPERLINK("https://www.spark-marketing.ru/Card/Lot/73111493", "Выполнение монтажных работ по установке (расширению) системы видеонаблюдения и системы контроля доступа с целью выполнения требований по антитеррористической защищенности")</f>
        <v>Выполнение монтажных работ по установке (расширению) системы видеонаблюдения и системы контроля доступа с целью выполнения требований по антитеррористической защищенности</v>
      </c>
      <c r="G2137" s="22" t="s">
        <v>119</v>
      </c>
      <c r="H2137" s="22" t="s">
        <v>463</v>
      </c>
      <c r="I2137" s="26">
        <v>43706.560324074097</v>
      </c>
      <c r="J2137" s="23" t="str">
        <f>HYPERLINK("https://www.spark-marketing.ru/Card/Person/4878358", "ООО ""ИНТЕГРАЛЭНЕРГО""")</f>
        <v>ООО "ИНТЕГРАЛЭНЕРГО"</v>
      </c>
      <c r="K2137" s="24" t="s">
        <v>3290</v>
      </c>
      <c r="L2137" s="28" t="s">
        <v>52</v>
      </c>
      <c r="M2137" s="25">
        <v>677873</v>
      </c>
      <c r="N2137" s="27">
        <v>0.105</v>
      </c>
    </row>
    <row r="2138" spans="1:14" hidden="1" outlineLevel="1" x14ac:dyDescent="0.2">
      <c r="A2138" s="23" t="str">
        <f>HYPERLINK("https://www.spark-marketing.ru/Card/Person/12563", "КУ ""СУРГУТСКИЙ КЛИНИЧЕСКИЙ ПРОТИВОТУБЕРКУЛЕЗНЫЙ ДИСПАНСЕР""")</f>
        <v>КУ "СУРГУТСКИЙ КЛИНИЧЕСКИЙ ПРОТИВОТУБЕРКУЛЕЗНЫЙ ДИСПАНСЕР"</v>
      </c>
      <c r="B2138" s="24" t="s">
        <v>3288</v>
      </c>
      <c r="C2138" s="25">
        <v>757400</v>
      </c>
      <c r="D2138" s="22" t="s">
        <v>3289</v>
      </c>
      <c r="E2138" s="22" t="s">
        <v>84</v>
      </c>
      <c r="F2138" s="23" t="str">
        <f>HYPERLINK("https://www.spark-marketing.ru/Card/Lot/73111493", "Выполнение монтажных работ по установке (расширению) системы видеонаблюдения и системы контроля доступа с целью выполнения требований по антитеррористической защищенности")</f>
        <v>Выполнение монтажных работ по установке (расширению) системы видеонаблюдения и системы контроля доступа с целью выполнения требований по антитеррористической защищенности</v>
      </c>
      <c r="G2138" s="22" t="s">
        <v>119</v>
      </c>
      <c r="H2138" s="22" t="s">
        <v>463</v>
      </c>
      <c r="I2138" s="26">
        <v>43706.560324074097</v>
      </c>
      <c r="J2138" s="23" t="str">
        <f>HYPERLINK("https://www.spark-marketing.ru/Card/Person/6575791", "Перцев Иван Петрович")</f>
        <v>Перцев Иван Петрович</v>
      </c>
      <c r="K2138" s="24" t="s">
        <v>3291</v>
      </c>
      <c r="L2138" s="28" t="s">
        <v>52</v>
      </c>
      <c r="M2138" s="25">
        <v>704382</v>
      </c>
      <c r="N2138" s="27">
        <v>7.0000000000000007E-2</v>
      </c>
    </row>
    <row r="2139" spans="1:14" ht="12.75" hidden="1" outlineLevel="1" x14ac:dyDescent="0.2">
      <c r="A2139" s="23" t="str">
        <f>HYPERLINK("https://www.spark-marketing.ru/Card/Person/12563", "КУ ""СУРГУТСКИЙ КЛИНИЧЕСКИЙ ПРОТИВОТУБЕРКУЛЕЗНЫЙ ДИСПАНСЕР""")</f>
        <v>КУ "СУРГУТСКИЙ КЛИНИЧЕСКИЙ ПРОТИВОТУБЕРКУЛЕЗНЫЙ ДИСПАНСЕР"</v>
      </c>
      <c r="B2139" s="24" t="s">
        <v>3288</v>
      </c>
      <c r="C2139" s="25">
        <v>757400</v>
      </c>
      <c r="D2139" s="22" t="s">
        <v>3289</v>
      </c>
      <c r="E2139" s="22" t="s">
        <v>84</v>
      </c>
      <c r="F2139" s="23" t="str">
        <f>HYPERLINK("https://www.spark-marketing.ru/Card/Lot/73111493", "Выполнение монтажных работ по установке (расширению) системы видеонаблюдения и системы контроля доступа с целью выполнения требований по антитеррористической защищенности")</f>
        <v>Выполнение монтажных работ по установке (расширению) системы видеонаблюдения и системы контроля доступа с целью выполнения требований по антитеррористической защищенности</v>
      </c>
      <c r="G2139" s="22" t="s">
        <v>119</v>
      </c>
      <c r="H2139" s="22" t="s">
        <v>463</v>
      </c>
      <c r="I2139" s="26">
        <v>43706.560324074097</v>
      </c>
      <c r="J2139" s="23" t="str">
        <f>HYPERLINK("https://www.spark-marketing.ru/Card/Person/104500", "Остапенко Виктор Иванович")</f>
        <v>Остапенко Виктор Иванович</v>
      </c>
      <c r="K2139" s="24" t="s">
        <v>3292</v>
      </c>
      <c r="L2139" s="22" t="s">
        <v>10</v>
      </c>
      <c r="M2139" s="25">
        <v>674086</v>
      </c>
      <c r="N2139" s="27">
        <v>0.11</v>
      </c>
    </row>
    <row r="2140" spans="1:14" hidden="1" outlineLevel="1" x14ac:dyDescent="0.2">
      <c r="A2140" s="23" t="str">
        <f>HYPERLINK("https://www.spark-marketing.ru/Card/Person/12563", "КУ ""СУРГУТСКИЙ КЛИНИЧЕСКИЙ ПРОТИВОТУБЕРКУЛЕЗНЫЙ ДИСПАНСЕР""")</f>
        <v>КУ "СУРГУТСКИЙ КЛИНИЧЕСКИЙ ПРОТИВОТУБЕРКУЛЕЗНЫЙ ДИСПАНСЕР"</v>
      </c>
      <c r="B2140" s="24" t="s">
        <v>3288</v>
      </c>
      <c r="C2140" s="25">
        <v>757400</v>
      </c>
      <c r="D2140" s="22" t="s">
        <v>3289</v>
      </c>
      <c r="E2140" s="22" t="s">
        <v>84</v>
      </c>
      <c r="F2140" s="23" t="str">
        <f>HYPERLINK("https://www.spark-marketing.ru/Card/Lot/73111493", "Выполнение монтажных работ по установке (расширению) системы видеонаблюдения и системы контроля доступа с целью выполнения требований по антитеррористической защищенности")</f>
        <v>Выполнение монтажных работ по установке (расширению) системы видеонаблюдения и системы контроля доступа с целью выполнения требований по антитеррористической защищенности</v>
      </c>
      <c r="G2140" s="22" t="s">
        <v>119</v>
      </c>
      <c r="H2140" s="22" t="s">
        <v>463</v>
      </c>
      <c r="I2140" s="26">
        <v>43706.560324074097</v>
      </c>
      <c r="J2140" s="23" t="str">
        <f>HYPERLINK("https://www.spark-marketing.ru/Card/Person/5853123", "Ершов Андрей Алексеевич")</f>
        <v>Ершов Андрей Алексеевич</v>
      </c>
      <c r="K2140" s="24" t="s">
        <v>1063</v>
      </c>
      <c r="L2140" s="28" t="s">
        <v>52</v>
      </c>
      <c r="M2140" s="25">
        <v>757399.99</v>
      </c>
      <c r="N2140" s="27">
        <v>1.3203063110641668E-8</v>
      </c>
    </row>
    <row r="2141" spans="1:14" x14ac:dyDescent="0.15">
      <c r="A2141" s="23" t="str">
        <f>HYPERLINK("https://www.spark-marketing.ru/Card/Person/134521", "ГБОУ РО ""БККК""")</f>
        <v>ГБОУ РО "БККК"</v>
      </c>
      <c r="B2141" s="24" t="s">
        <v>3293</v>
      </c>
      <c r="C2141" s="25">
        <v>1668375</v>
      </c>
      <c r="D2141" s="22" t="s">
        <v>3294</v>
      </c>
      <c r="E2141" s="22" t="s">
        <v>84</v>
      </c>
      <c r="F2141" s="23" t="str">
        <f>HYPERLINK("https://www.spark-marketing.ru/Card/Lot/73126736", "Услуги по установка системы видеонаблюдения в здании ГБОУ РО ""БККК""")</f>
        <v>Услуги по установка системы видеонаблюдения в здании ГБОУ РО "БККК"</v>
      </c>
      <c r="G2141" s="22" t="s">
        <v>402</v>
      </c>
      <c r="H2141" s="22" t="s">
        <v>402</v>
      </c>
      <c r="I2141" s="26">
        <v>43706.541168981501</v>
      </c>
      <c r="J2141" s="28" t="s">
        <v>52</v>
      </c>
      <c r="K2141" s="28" t="s">
        <v>52</v>
      </c>
      <c r="L2141" s="28" t="s">
        <v>52</v>
      </c>
      <c r="M2141" s="28" t="s">
        <v>52</v>
      </c>
      <c r="N2141" s="28" t="s">
        <v>52</v>
      </c>
    </row>
    <row r="2142" spans="1:14" hidden="1" outlineLevel="1" x14ac:dyDescent="0.2">
      <c r="A2142" s="23" t="str">
        <f>HYPERLINK("https://www.spark-marketing.ru/Card/Person/134521", "ГБОУ РО ""БККК""")</f>
        <v>ГБОУ РО "БККК"</v>
      </c>
      <c r="B2142" s="24" t="s">
        <v>3293</v>
      </c>
      <c r="C2142" s="25">
        <v>1668375</v>
      </c>
      <c r="D2142" s="22" t="s">
        <v>3294</v>
      </c>
      <c r="E2142" s="22" t="s">
        <v>84</v>
      </c>
      <c r="F2142" s="23" t="str">
        <f>HYPERLINK("https://www.spark-marketing.ru/Card/Lot/73126736", "Услуги по установка системы видеонаблюдения в здании ГБОУ РО ""БККК""")</f>
        <v>Услуги по установка системы видеонаблюдения в здании ГБОУ РО "БККК"</v>
      </c>
      <c r="G2142" s="22" t="s">
        <v>402</v>
      </c>
      <c r="H2142" s="22" t="s">
        <v>402</v>
      </c>
      <c r="I2142" s="26">
        <v>43706.541168981501</v>
      </c>
      <c r="J2142" s="23" t="str">
        <f>HYPERLINK("https://www.spark-marketing.ru/Card/Person/6349963", "Тирацуян Евгений Ованесович")</f>
        <v>Тирацуян Евгений Ованесович</v>
      </c>
      <c r="K2142" s="24" t="s">
        <v>1488</v>
      </c>
      <c r="L2142" s="28" t="s">
        <v>52</v>
      </c>
      <c r="M2142" s="25">
        <v>1349948.72</v>
      </c>
      <c r="N2142" s="27">
        <v>0.19086013636023078</v>
      </c>
    </row>
    <row r="2143" spans="1:14" hidden="1" outlineLevel="1" x14ac:dyDescent="0.2">
      <c r="A2143" s="23" t="str">
        <f>HYPERLINK("https://www.spark-marketing.ru/Card/Person/134521", "ГБОУ РО ""БККК""")</f>
        <v>ГБОУ РО "БККК"</v>
      </c>
      <c r="B2143" s="24" t="s">
        <v>3293</v>
      </c>
      <c r="C2143" s="25">
        <v>1668375</v>
      </c>
      <c r="D2143" s="22" t="s">
        <v>3294</v>
      </c>
      <c r="E2143" s="22" t="s">
        <v>84</v>
      </c>
      <c r="F2143" s="23" t="str">
        <f>HYPERLINK("https://www.spark-marketing.ru/Card/Lot/73126736", "Услуги по установка системы видеонаблюдения в здании ГБОУ РО ""БККК""")</f>
        <v>Услуги по установка системы видеонаблюдения в здании ГБОУ РО "БККК"</v>
      </c>
      <c r="G2143" s="22" t="s">
        <v>402</v>
      </c>
      <c r="H2143" s="22" t="s">
        <v>402</v>
      </c>
      <c r="I2143" s="26">
        <v>43706.541168981501</v>
      </c>
      <c r="J2143" s="23" t="str">
        <f>HYPERLINK("https://www.spark-marketing.ru/Card/Person/394288", "ООО ""РЫСЬ""")</f>
        <v>ООО "РЫСЬ"</v>
      </c>
      <c r="K2143" s="24" t="s">
        <v>3295</v>
      </c>
      <c r="L2143" s="28" t="s">
        <v>52</v>
      </c>
      <c r="M2143" s="25">
        <v>1601639.96</v>
      </c>
      <c r="N2143" s="27">
        <v>4.0000023975425188E-2</v>
      </c>
    </row>
    <row r="2144" spans="1:14" hidden="1" outlineLevel="1" x14ac:dyDescent="0.2">
      <c r="A2144" s="23" t="str">
        <f>HYPERLINK("https://www.spark-marketing.ru/Card/Person/134521", "ГБОУ РО ""БККК""")</f>
        <v>ГБОУ РО "БККК"</v>
      </c>
      <c r="B2144" s="24" t="s">
        <v>3293</v>
      </c>
      <c r="C2144" s="25">
        <v>1668375</v>
      </c>
      <c r="D2144" s="22" t="s">
        <v>3294</v>
      </c>
      <c r="E2144" s="22" t="s">
        <v>84</v>
      </c>
      <c r="F2144" s="23" t="str">
        <f>HYPERLINK("https://www.spark-marketing.ru/Card/Lot/73126736", "Услуги по установка системы видеонаблюдения в здании ГБОУ РО ""БККК""")</f>
        <v>Услуги по установка системы видеонаблюдения в здании ГБОУ РО "БККК"</v>
      </c>
      <c r="G2144" s="22" t="s">
        <v>402</v>
      </c>
      <c r="H2144" s="22" t="s">
        <v>402</v>
      </c>
      <c r="I2144" s="26">
        <v>43706.541168981501</v>
      </c>
      <c r="J2144" s="23" t="str">
        <f>HYPERLINK("https://www.spark-marketing.ru/Card/Person/6051342", "Бокарев Александр Романович")</f>
        <v>Бокарев Александр Романович</v>
      </c>
      <c r="K2144" s="24" t="s">
        <v>3296</v>
      </c>
      <c r="L2144" s="28" t="s">
        <v>52</v>
      </c>
      <c r="M2144" s="25">
        <v>1040656.24</v>
      </c>
      <c r="N2144" s="27">
        <v>0.37624560425563797</v>
      </c>
    </row>
    <row r="2145" spans="1:14" ht="12.75" hidden="1" outlineLevel="1" x14ac:dyDescent="0.2">
      <c r="A2145" s="23" t="str">
        <f>HYPERLINK("https://www.spark-marketing.ru/Card/Person/134521", "ГБОУ РО ""БККК""")</f>
        <v>ГБОУ РО "БККК"</v>
      </c>
      <c r="B2145" s="24" t="s">
        <v>3293</v>
      </c>
      <c r="C2145" s="25">
        <v>1668375</v>
      </c>
      <c r="D2145" s="22" t="s">
        <v>3294</v>
      </c>
      <c r="E2145" s="22" t="s">
        <v>84</v>
      </c>
      <c r="F2145" s="23" t="str">
        <f>HYPERLINK("https://www.spark-marketing.ru/Card/Lot/73126736", "Услуги по установка системы видеонаблюдения в здании ГБОУ РО ""БККК""")</f>
        <v>Услуги по установка системы видеонаблюдения в здании ГБОУ РО "БККК"</v>
      </c>
      <c r="G2145" s="22" t="s">
        <v>402</v>
      </c>
      <c r="H2145" s="22" t="s">
        <v>402</v>
      </c>
      <c r="I2145" s="26">
        <v>43706.541168981501</v>
      </c>
      <c r="J2145" s="23" t="str">
        <f>HYPERLINK("https://www.spark-marketing.ru/Card/Person/1215309", "ООО ""МУЛЬТИСИСТЕМЫ""")</f>
        <v>ООО "МУЛЬТИСИСТЕМЫ"</v>
      </c>
      <c r="K2145" s="24" t="s">
        <v>3297</v>
      </c>
      <c r="L2145" s="22" t="s">
        <v>10</v>
      </c>
      <c r="M2145" s="25">
        <v>1032314.36</v>
      </c>
      <c r="N2145" s="27">
        <v>0.38124560725256612</v>
      </c>
    </row>
    <row r="2146" spans="1:14" x14ac:dyDescent="0.15">
      <c r="A2146" s="23" t="str">
        <f>HYPERLINK("https://www.spark-marketing.ru/Card/Person/1661477", "ПАО ""ДЕТСКИЙ МИР""")</f>
        <v>ПАО "ДЕТСКИЙ МИР"</v>
      </c>
      <c r="B2146" s="24" t="s">
        <v>667</v>
      </c>
      <c r="C2146" s="28" t="s">
        <v>52</v>
      </c>
      <c r="D2146" s="22" t="s">
        <v>3298</v>
      </c>
      <c r="E2146" s="22" t="s">
        <v>53</v>
      </c>
      <c r="F2146" s="23" t="str">
        <f>HYPERLINK("https://www.spark-marketing.ru/Card/Lot/73109760", "Оказание услуг по охране объектов ПАО «Детский мир» в г. Санкт-Петербург.")</f>
        <v>Оказание услуг по охране объектов ПАО «Детский мир» в г. Санкт-Петербург.</v>
      </c>
      <c r="G2146" s="22" t="s">
        <v>89</v>
      </c>
      <c r="H2146" s="22" t="s">
        <v>89</v>
      </c>
      <c r="I2146" s="26">
        <v>43706.528472222199</v>
      </c>
      <c r="J2146" s="28" t="s">
        <v>52</v>
      </c>
      <c r="K2146" s="28" t="s">
        <v>52</v>
      </c>
      <c r="L2146" s="28" t="s">
        <v>52</v>
      </c>
      <c r="M2146" s="28" t="s">
        <v>52</v>
      </c>
      <c r="N2146" s="28" t="s">
        <v>52</v>
      </c>
    </row>
    <row r="2147" spans="1:14" x14ac:dyDescent="0.15">
      <c r="A2147" s="23" t="str">
        <f>HYPERLINK("https://www.spark-marketing.ru/Card/Person/164719", "УСК ""НЕФТЕХИМИК"" ПАО ""НКНХ""")</f>
        <v>УСК "НЕФТЕХИМИК" ПАО "НКНХ"</v>
      </c>
      <c r="B2147" s="24" t="s">
        <v>1858</v>
      </c>
      <c r="C2147" s="25">
        <v>50000</v>
      </c>
      <c r="D2147" s="22" t="s">
        <v>3299</v>
      </c>
      <c r="E2147" s="22" t="s">
        <v>53</v>
      </c>
      <c r="F2147" s="23" t="str">
        <f>HYPERLINK("https://www.spark-marketing.ru/Card/Lot/73132129", "Техническое обслуживание телевизионной системы охранного наблюдения, системы контроля доступа (шлагбаум), спутникого телевидения на объекте УСК ""Нефтехимик"": Оздоровительный лагерь ""Юность"", расположенного по адресу г.Нижнекамск (р-он Корабельной...")</f>
        <v>Техническое обслуживание телевизионной системы охранного наблюдения, системы контроля доступа (шлагбаум), спутникого телевидения на объекте УСК "Нефтехимик": Оздоровительный лагерь "Юность", расположенного по адресу г.Нижнекамск (р-он Корабельной...</v>
      </c>
      <c r="G2147" s="22" t="s">
        <v>204</v>
      </c>
      <c r="H2147" s="22" t="s">
        <v>824</v>
      </c>
      <c r="I2147" s="26">
        <v>43706.5167013889</v>
      </c>
      <c r="J2147" s="28" t="s">
        <v>52</v>
      </c>
      <c r="K2147" s="28" t="s">
        <v>52</v>
      </c>
      <c r="L2147" s="28" t="s">
        <v>52</v>
      </c>
      <c r="M2147" s="28" t="s">
        <v>52</v>
      </c>
      <c r="N2147" s="28" t="s">
        <v>52</v>
      </c>
    </row>
    <row r="2148" spans="1:14" x14ac:dyDescent="0.15">
      <c r="A2148" s="23" t="str">
        <f>HYPERLINK("https://www.spark-marketing.ru/Card/Person/164719", "УСК ""НЕФТЕХИМИК"" ПАО ""НКНХ""")</f>
        <v>УСК "НЕФТЕХИМИК" ПАО "НКНХ"</v>
      </c>
      <c r="B2148" s="24" t="s">
        <v>1858</v>
      </c>
      <c r="C2148" s="25">
        <v>200000</v>
      </c>
      <c r="D2148" s="22" t="s">
        <v>3299</v>
      </c>
      <c r="E2148" s="22" t="s">
        <v>53</v>
      </c>
      <c r="F2148" s="23" t="str">
        <f>HYPERLINK("https://www.spark-marketing.ru/Card/Lot/73132130", "Техническое обслуживание систем видеонаблюдения на объектах УСК ""Нефтехимик"" г. Нижнекамск: Спорткомплекс ""Нефтехимик""(административное здание) (ул.30 лет Победы, д.8А) , СОК ""Дружба (ул.30 лет Победы, д.5 Б), Учебно-тренировочная база ""Алмаш""...")</f>
        <v>Техническое обслуживание систем видеонаблюдения на объектах УСК "Нефтехимик" г. Нижнекамск: Спорткомплекс "Нефтехимик"(административное здание) (ул.30 лет Победы, д.8А) , СОК "Дружба (ул.30 лет Победы, д.5 Б), Учебно-тренировочная база "Алмаш"...</v>
      </c>
      <c r="G2148" s="22" t="s">
        <v>204</v>
      </c>
      <c r="H2148" s="22" t="s">
        <v>824</v>
      </c>
      <c r="I2148" s="26">
        <v>43706.5167013889</v>
      </c>
      <c r="J2148" s="28" t="s">
        <v>52</v>
      </c>
      <c r="K2148" s="28" t="s">
        <v>52</v>
      </c>
      <c r="L2148" s="28" t="s">
        <v>52</v>
      </c>
      <c r="M2148" s="28" t="s">
        <v>52</v>
      </c>
      <c r="N2148" s="28" t="s">
        <v>52</v>
      </c>
    </row>
    <row r="2149" spans="1:14" x14ac:dyDescent="0.15">
      <c r="A2149" s="23" t="str">
        <f>HYPERLINK("https://www.spark-marketing.ru/Card/Person/164719", "УСК ""НЕФТЕХИМИК"" ПАО ""НКНХ""")</f>
        <v>УСК "НЕФТЕХИМИК" ПАО "НКНХ"</v>
      </c>
      <c r="B2149" s="24" t="s">
        <v>1858</v>
      </c>
      <c r="C2149" s="25">
        <v>105000</v>
      </c>
      <c r="D2149" s="22" t="s">
        <v>3299</v>
      </c>
      <c r="E2149" s="22" t="s">
        <v>53</v>
      </c>
      <c r="F2149" s="23" t="str">
        <f>HYPERLINK("https://www.spark-marketing.ru/Card/Lot/73132128", "Техническое обслуживание систем видеонаблюдения и регистрации, системы контроля доступа (шлагбаумы), системы Форвард-Рефери на объектах УСК ""Нефтехимик"": Ледовый дворец ""Нефтехим Арена"", Малая ледовая арена, расположенных по адресу г.Нижнекамск, ...")</f>
        <v>Техническое обслуживание систем видеонаблюдения и регистрации, системы контроля доступа (шлагбаумы), системы Форвард-Рефери на объектах УСК "Нефтехимик": Ледовый дворец "Нефтехим Арена", Малая ледовая арена, расположенных по адресу г.Нижнекамск, ...</v>
      </c>
      <c r="G2149" s="22" t="s">
        <v>204</v>
      </c>
      <c r="H2149" s="22" t="s">
        <v>824</v>
      </c>
      <c r="I2149" s="26">
        <v>43706.5167013889</v>
      </c>
      <c r="J2149" s="28" t="s">
        <v>52</v>
      </c>
      <c r="K2149" s="28" t="s">
        <v>52</v>
      </c>
      <c r="L2149" s="28" t="s">
        <v>52</v>
      </c>
      <c r="M2149" s="28" t="s">
        <v>52</v>
      </c>
      <c r="N2149" s="28" t="s">
        <v>52</v>
      </c>
    </row>
    <row r="2150" spans="1:14" x14ac:dyDescent="0.15">
      <c r="A2150" s="23" t="str">
        <f>HYPERLINK("https://www.spark-marketing.ru/Card/Person/1001036", "ОТДЕЛ МВД РОССИИ ПО Г. ВЫКСА")</f>
        <v>ОТДЕЛ МВД РОССИИ ПО Г. ВЫКСА</v>
      </c>
      <c r="B2150" s="24" t="s">
        <v>3285</v>
      </c>
      <c r="C2150" s="25">
        <v>44000</v>
      </c>
      <c r="D2150" s="22" t="s">
        <v>3300</v>
      </c>
      <c r="E2150" s="22" t="s">
        <v>107</v>
      </c>
      <c r="F2150" s="23" t="str">
        <f>HYPERLINK("https://www.spark-marketing.ru/Card/Lot/73107100", "Техническое обслуживание инженерно-технических средств охраны, 44 шт")</f>
        <v>Техническое обслуживание инженерно-технических средств охраны, 44 шт</v>
      </c>
      <c r="G2150" s="22" t="s">
        <v>64</v>
      </c>
      <c r="H2150" s="22" t="s">
        <v>3287</v>
      </c>
      <c r="I2150" s="26">
        <v>43706.516331018502</v>
      </c>
      <c r="J2150" s="28" t="s">
        <v>52</v>
      </c>
      <c r="K2150" s="28" t="s">
        <v>52</v>
      </c>
      <c r="L2150" s="28" t="s">
        <v>52</v>
      </c>
      <c r="M2150" s="28" t="s">
        <v>52</v>
      </c>
      <c r="N2150" s="28" t="s">
        <v>52</v>
      </c>
    </row>
    <row r="2151" spans="1:14" x14ac:dyDescent="0.15">
      <c r="A2151" s="23" t="str">
        <f>HYPERLINK("https://www.spark-marketing.ru/Card/Person/1001036", "ОТДЕЛ МВД РОССИИ ПО Г. ВЫКСА")</f>
        <v>ОТДЕЛ МВД РОССИИ ПО Г. ВЫКСА</v>
      </c>
      <c r="B2151" s="24" t="s">
        <v>3285</v>
      </c>
      <c r="C2151" s="25">
        <v>59000</v>
      </c>
      <c r="D2151" s="22" t="s">
        <v>3301</v>
      </c>
      <c r="E2151" s="22" t="s">
        <v>107</v>
      </c>
      <c r="F2151" s="23" t="str">
        <f>HYPERLINK("https://www.spark-marketing.ru/Card/Lot/73105228", "Техническое обслуживание инженерно-технических средств охраны, 59 шт")</f>
        <v>Техническое обслуживание инженерно-технических средств охраны, 59 шт</v>
      </c>
      <c r="G2151" s="22" t="s">
        <v>64</v>
      </c>
      <c r="H2151" s="22" t="s">
        <v>3287</v>
      </c>
      <c r="I2151" s="26">
        <v>43706.488414351901</v>
      </c>
      <c r="J2151" s="28" t="s">
        <v>52</v>
      </c>
      <c r="K2151" s="28" t="s">
        <v>52</v>
      </c>
      <c r="L2151" s="28" t="s">
        <v>52</v>
      </c>
      <c r="M2151" s="28" t="s">
        <v>52</v>
      </c>
      <c r="N2151" s="28" t="s">
        <v>52</v>
      </c>
    </row>
    <row r="2152" spans="1:14" x14ac:dyDescent="0.15">
      <c r="A2152" s="23" t="str">
        <f>HYPERLINK("https://www.spark-marketing.ru/Card/Person/1001036", "ОТДЕЛ МВД РОССИИ ПО Г. ВЫКСА")</f>
        <v>ОТДЕЛ МВД РОССИИ ПО Г. ВЫКСА</v>
      </c>
      <c r="B2152" s="24" t="s">
        <v>3285</v>
      </c>
      <c r="C2152" s="25">
        <v>44000</v>
      </c>
      <c r="D2152" s="22" t="s">
        <v>3302</v>
      </c>
      <c r="E2152" s="22" t="s">
        <v>107</v>
      </c>
      <c r="F2152" s="23" t="str">
        <f>HYPERLINK("https://www.spark-marketing.ru/Card/Lot/73110920", "Техническое обслуживание инженерно-технических средств охраны, 44 шт")</f>
        <v>Техническое обслуживание инженерно-технических средств охраны, 44 шт</v>
      </c>
      <c r="G2152" s="22" t="s">
        <v>64</v>
      </c>
      <c r="H2152" s="22" t="s">
        <v>3287</v>
      </c>
      <c r="I2152" s="26">
        <v>43706.490868055596</v>
      </c>
      <c r="J2152" s="28" t="s">
        <v>52</v>
      </c>
      <c r="K2152" s="28" t="s">
        <v>52</v>
      </c>
      <c r="L2152" s="28" t="s">
        <v>52</v>
      </c>
      <c r="M2152" s="28" t="s">
        <v>52</v>
      </c>
      <c r="N2152" s="28" t="s">
        <v>52</v>
      </c>
    </row>
    <row r="2153" spans="1:14" x14ac:dyDescent="0.15">
      <c r="A2153" s="23" t="str">
        <f>HYPERLINK("https://www.spark-marketing.ru/Card/Person/4167", "ФКУ УПРДОР ""ЧЕРНОМОРЬЕ""")</f>
        <v>ФКУ УПРДОР "ЧЕРНОМОРЬЕ"</v>
      </c>
      <c r="B2153" s="24" t="s">
        <v>2875</v>
      </c>
      <c r="C2153" s="25">
        <v>89032750</v>
      </c>
      <c r="D2153" s="22" t="s">
        <v>3303</v>
      </c>
      <c r="E2153" s="22" t="s">
        <v>59</v>
      </c>
      <c r="F2153" s="23" t="str">
        <f>HYPERLINK("https://www.spark-marketing.ru/Card/Lot/73112530", "Выполнение работ по оснащению  инженерно-техническими средствами (системами) обеспечения транспортной безопасности объектов: ""Мост через реку Ничепсуго на км 21+371 автомобильной дороги А-147 Джубга - Сочи - граница с Республикой Абхазия, Краснодарс...")</f>
        <v>Выполнение работ по оснащению  инженерно-техническими средствами (системами) обеспечения транспортной безопасности объектов: "Мост через реку Ничепсуго на км 21+371 автомобильной дороги А-147 Джубга - Сочи - граница с Республикой Абхазия, Краснодарс...</v>
      </c>
      <c r="G2153" s="22" t="s">
        <v>132</v>
      </c>
      <c r="H2153" s="22" t="s">
        <v>132</v>
      </c>
      <c r="I2153" s="26">
        <v>43706.344861111102</v>
      </c>
      <c r="J2153" s="28" t="s">
        <v>52</v>
      </c>
      <c r="K2153" s="28" t="s">
        <v>52</v>
      </c>
      <c r="L2153" s="28" t="s">
        <v>52</v>
      </c>
      <c r="M2153" s="28" t="s">
        <v>52</v>
      </c>
      <c r="N2153" s="28" t="s">
        <v>52</v>
      </c>
    </row>
    <row r="2154" spans="1:14" ht="12.75" hidden="1" outlineLevel="1" x14ac:dyDescent="0.2">
      <c r="A2154" s="23" t="str">
        <f>HYPERLINK("https://www.spark-marketing.ru/Card/Person/4167", "ФКУ УПРДОР ""ЧЕРНОМОРЬЕ""")</f>
        <v>ФКУ УПРДОР "ЧЕРНОМОРЬЕ"</v>
      </c>
      <c r="B2154" s="24" t="s">
        <v>2875</v>
      </c>
      <c r="C2154" s="25">
        <v>89032750</v>
      </c>
      <c r="D2154" s="22" t="s">
        <v>3303</v>
      </c>
      <c r="E2154" s="22" t="s">
        <v>59</v>
      </c>
      <c r="F2154" s="23" t="str">
        <f>HYPERLINK("https://www.spark-marketing.ru/Card/Lot/73112530", "Выполнение работ по оснащению  инженерно-техническими средствами (системами) обеспечения транспортной безопасности объектов: ""Мост через реку Ничепсуго на км 21+371 автомобильной дороги А-147 Джубга - Сочи - граница с Республикой Абхазия, Краснодарс...")</f>
        <v>Выполнение работ по оснащению  инженерно-техническими средствами (системами) обеспечения транспортной безопасности объектов: "Мост через реку Ничепсуго на км 21+371 автомобильной дороги А-147 Джубга - Сочи - граница с Республикой Абхазия, Краснодарс...</v>
      </c>
      <c r="G2154" s="22" t="s">
        <v>132</v>
      </c>
      <c r="H2154" s="22" t="s">
        <v>132</v>
      </c>
      <c r="I2154" s="26">
        <v>43706.344861111102</v>
      </c>
      <c r="J2154" s="23" t="str">
        <f>HYPERLINK("https://www.spark-marketing.ru/Card/Person/90111", "ООО ""АЙ ДИ КОНСАЛТИНГ""")</f>
        <v>ООО "АЙ ДИ КОНСАЛТИНГ"</v>
      </c>
      <c r="K2154" s="24" t="s">
        <v>2498</v>
      </c>
      <c r="L2154" s="22" t="s">
        <v>10</v>
      </c>
      <c r="M2154" s="25">
        <v>74554836.25</v>
      </c>
      <c r="N2154" s="27">
        <v>0.16261335014362693</v>
      </c>
    </row>
    <row r="2155" spans="1:14" hidden="1" outlineLevel="1" x14ac:dyDescent="0.2">
      <c r="A2155" s="23" t="str">
        <f>HYPERLINK("https://www.spark-marketing.ru/Card/Person/4167", "ФКУ УПРДОР ""ЧЕРНОМОРЬЕ""")</f>
        <v>ФКУ УПРДОР "ЧЕРНОМОРЬЕ"</v>
      </c>
      <c r="B2155" s="24" t="s">
        <v>2875</v>
      </c>
      <c r="C2155" s="25">
        <v>89032750</v>
      </c>
      <c r="D2155" s="22" t="s">
        <v>3303</v>
      </c>
      <c r="E2155" s="22" t="s">
        <v>59</v>
      </c>
      <c r="F2155" s="23" t="str">
        <f>HYPERLINK("https://www.spark-marketing.ru/Card/Lot/73112530", "Выполнение работ по оснащению  инженерно-техническими средствами (системами) обеспечения транспортной безопасности объектов: ""Мост через реку Ничепсуго на км 21+371 автомобильной дороги А-147 Джубга - Сочи - граница с Республикой Абхазия, Краснодарс...")</f>
        <v>Выполнение работ по оснащению  инженерно-техническими средствами (системами) обеспечения транспортной безопасности объектов: "Мост через реку Ничепсуго на км 21+371 автомобильной дороги А-147 Джубга - Сочи - граница с Республикой Абхазия, Краснодарс...</v>
      </c>
      <c r="G2155" s="22" t="s">
        <v>132</v>
      </c>
      <c r="H2155" s="22" t="s">
        <v>132</v>
      </c>
      <c r="I2155" s="26">
        <v>43706.344861111102</v>
      </c>
      <c r="J2155" s="23" t="str">
        <f>HYPERLINK("https://www.spark-marketing.ru/Card/Person/76244", "ООО ""ГЛОБАЛЬНЫЕ СИСТЕМЫ АВТОМАТИЗАЦИИ"", ООО ""ГЛОСАВ""")</f>
        <v>ООО "ГЛОБАЛЬНЫЕ СИСТЕМЫ АВТОМАТИЗАЦИИ", ООО "ГЛОСАВ"</v>
      </c>
      <c r="K2155" s="24" t="s">
        <v>3304</v>
      </c>
      <c r="L2155" s="28" t="s">
        <v>52</v>
      </c>
      <c r="M2155" s="25">
        <v>75000000</v>
      </c>
      <c r="N2155" s="27">
        <v>0.15761335014362693</v>
      </c>
    </row>
    <row r="2156" spans="1:14" x14ac:dyDescent="0.15">
      <c r="A2156" s="23" t="str">
        <f>HYPERLINK("https://www.spark-marketing.ru/Card/Person/1752716", "ООО ""СК ЭКОСТРОЙ""")</f>
        <v>ООО "СК ЭКОСТРОЙ"</v>
      </c>
      <c r="B2156" s="24" t="s">
        <v>3305</v>
      </c>
      <c r="C2156" s="25">
        <v>0</v>
      </c>
      <c r="D2156" s="22" t="s">
        <v>3306</v>
      </c>
      <c r="E2156" s="22" t="s">
        <v>53</v>
      </c>
      <c r="F2156" s="23" t="str">
        <f>HYPERLINK("https://www.spark-marketing.ru/Card/Lot/73131862", "Гофротруба гибкая двустенная для каб.канализации")</f>
        <v>Гофротруба гибкая двустенная для каб.канализации</v>
      </c>
      <c r="G2156" s="22" t="s">
        <v>204</v>
      </c>
      <c r="H2156" s="22" t="s">
        <v>303</v>
      </c>
      <c r="I2156" s="26">
        <v>43706.4675347222</v>
      </c>
      <c r="J2156" s="28" t="s">
        <v>52</v>
      </c>
      <c r="K2156" s="28" t="s">
        <v>52</v>
      </c>
      <c r="L2156" s="28" t="s">
        <v>52</v>
      </c>
      <c r="M2156" s="28" t="s">
        <v>52</v>
      </c>
      <c r="N2156" s="28" t="s">
        <v>52</v>
      </c>
    </row>
    <row r="2157" spans="1:14" x14ac:dyDescent="0.15">
      <c r="A2157" s="23" t="str">
        <f>HYPERLINK("https://www.spark-marketing.ru/Card/Person/20256", "АДМИНИСТРАЦИЯ ГОРОДА-КУРОРТА ЖЕЛЕЗНОВОДСКА СТАВРОПОЛЬСКОГО КРАЯ")</f>
        <v>АДМИНИСТРАЦИЯ ГОРОДА-КУРОРТА ЖЕЛЕЗНОВОДСКА СТАВРОПОЛЬСКОГО КРАЯ</v>
      </c>
      <c r="B2157" s="24" t="s">
        <v>3307</v>
      </c>
      <c r="C2157" s="25">
        <v>805220.16</v>
      </c>
      <c r="D2157" s="22" t="s">
        <v>3308</v>
      </c>
      <c r="E2157" s="22" t="s">
        <v>1297</v>
      </c>
      <c r="F2157" s="23" t="str">
        <f>HYPERLINK("https://www.spark-marketing.ru/Card/Lot/73108340", "Поставка камер видеонаблюдения по созданию условий для обеспечения безопасности граждан в местах массового пребывания людей на территории города-курорта Железноводска Ставропольского края")</f>
        <v>Поставка камер видеонаблюдения по созданию условий для обеспечения безопасности граждан в местах массового пребывания людей на территории города-курорта Железноводска Ставропольского края</v>
      </c>
      <c r="G2157" s="22" t="s">
        <v>258</v>
      </c>
      <c r="H2157" s="22" t="s">
        <v>3309</v>
      </c>
      <c r="I2157" s="26">
        <v>43706.377523148098</v>
      </c>
      <c r="J2157" s="23" t="str">
        <f>HYPERLINK("https://www.spark-marketing.ru/Card/Person/169172", "ООО ""СВЯЗЬПОСТАВКА""")</f>
        <v>ООО "СВЯЗЬПОСТАВКА"</v>
      </c>
      <c r="K2157" s="24" t="s">
        <v>3310</v>
      </c>
      <c r="L2157" s="22" t="s">
        <v>10</v>
      </c>
      <c r="M2157" s="28" t="s">
        <v>52</v>
      </c>
      <c r="N2157" s="28" t="s">
        <v>52</v>
      </c>
    </row>
    <row r="2158" spans="1:14" x14ac:dyDescent="0.15">
      <c r="A2158" s="23" t="str">
        <f>HYPERLINK("https://www.spark-marketing.ru/Card/Person/119602", "ОМВД РОССИИ ПО ТУГУЛЫМСКОМУ РАЙОНУ")</f>
        <v>ОМВД РОССИИ ПО ТУГУЛЫМСКОМУ РАЙОНУ</v>
      </c>
      <c r="B2158" s="24" t="s">
        <v>3311</v>
      </c>
      <c r="C2158" s="25">
        <v>6000</v>
      </c>
      <c r="D2158" s="22" t="s">
        <v>3312</v>
      </c>
      <c r="E2158" s="22" t="s">
        <v>53</v>
      </c>
      <c r="F2158" s="23" t="str">
        <f>HYPERLINK("https://www.spark-marketing.ru/Card/Lot/73103635", "оказание услуг по техническому обслуживанию системы охранной сигнализации")</f>
        <v>оказание услуг по техническому обслуживанию системы охранной сигнализации</v>
      </c>
      <c r="G2158" s="22" t="s">
        <v>72</v>
      </c>
      <c r="H2158" s="22" t="s">
        <v>72</v>
      </c>
      <c r="I2158" s="26">
        <v>43706.441458333298</v>
      </c>
      <c r="J2158" s="28" t="s">
        <v>52</v>
      </c>
      <c r="K2158" s="28" t="s">
        <v>52</v>
      </c>
      <c r="L2158" s="28" t="s">
        <v>52</v>
      </c>
      <c r="M2158" s="28" t="s">
        <v>52</v>
      </c>
      <c r="N2158" s="28" t="s">
        <v>52</v>
      </c>
    </row>
    <row r="2159" spans="1:14" x14ac:dyDescent="0.15">
      <c r="A2159" s="23" t="str">
        <f>HYPERLINK("https://www.spark-marketing.ru/Card/Person/10834", "ГКУ КО ""ДИРЕКЦИЯ АВТОДОРОГ КУЗБАССА""")</f>
        <v>ГКУ КО "ДИРЕКЦИЯ АВТОДОРОГ КУЗБАССА"</v>
      </c>
      <c r="B2159" s="24" t="s">
        <v>1499</v>
      </c>
      <c r="C2159" s="25">
        <v>5182676.66</v>
      </c>
      <c r="D2159" s="22" t="s">
        <v>3313</v>
      </c>
      <c r="E2159" s="22" t="s">
        <v>723</v>
      </c>
      <c r="F2159" s="23" t="str">
        <f>HYPERLINK("https://www.spark-marketing.ru/Card/Lot/73099396",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v>
      </c>
      <c r="G2159" s="22" t="s">
        <v>367</v>
      </c>
      <c r="H2159" s="22" t="s">
        <v>881</v>
      </c>
      <c r="I2159" s="26">
        <v>43706.386979166702</v>
      </c>
      <c r="J2159" s="28" t="s">
        <v>52</v>
      </c>
      <c r="K2159" s="28" t="s">
        <v>52</v>
      </c>
      <c r="L2159" s="28" t="s">
        <v>52</v>
      </c>
      <c r="M2159" s="28" t="s">
        <v>52</v>
      </c>
      <c r="N2159" s="28" t="s">
        <v>52</v>
      </c>
    </row>
    <row r="2160" spans="1:14" hidden="1" outlineLevel="1" x14ac:dyDescent="0.2">
      <c r="A2160" s="23" t="str">
        <f>HYPERLINK("https://www.spark-marketing.ru/Card/Person/10834", "ГКУ КО ""ДИРЕКЦИЯ АВТОДОРОГ КУЗБАССА""")</f>
        <v>ГКУ КО "ДИРЕКЦИЯ АВТОДОРОГ КУЗБАССА"</v>
      </c>
      <c r="B2160" s="24" t="s">
        <v>1499</v>
      </c>
      <c r="C2160" s="25">
        <v>5182676.66</v>
      </c>
      <c r="D2160" s="22" t="s">
        <v>3313</v>
      </c>
      <c r="E2160" s="22" t="s">
        <v>723</v>
      </c>
      <c r="F2160" s="23" t="str">
        <f>HYPERLINK("https://www.spark-marketing.ru/Card/Lot/73099396",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v>
      </c>
      <c r="G2160" s="22" t="s">
        <v>367</v>
      </c>
      <c r="H2160" s="22" t="s">
        <v>881</v>
      </c>
      <c r="I2160" s="26">
        <v>43706.386979166702</v>
      </c>
      <c r="J2160" s="23" t="str">
        <f>HYPERLINK("https://www.spark-marketing.ru/Card/Person/127397", "ООО ""ИНФОСЕРВИС""")</f>
        <v>ООО "ИНФОСЕРВИС"</v>
      </c>
      <c r="K2160" s="24" t="s">
        <v>1503</v>
      </c>
      <c r="L2160" s="28" t="s">
        <v>52</v>
      </c>
      <c r="M2160" s="25">
        <v>4690322.25</v>
      </c>
      <c r="N2160" s="27">
        <v>9.5000024562597346E-2</v>
      </c>
    </row>
    <row r="2161" spans="1:14" ht="12.75" hidden="1" outlineLevel="1" x14ac:dyDescent="0.2">
      <c r="A2161" s="23" t="str">
        <f>HYPERLINK("https://www.spark-marketing.ru/Card/Person/10834", "ГКУ КО ""ДИРЕКЦИЯ АВТОДОРОГ КУЗБАССА""")</f>
        <v>ГКУ КО "ДИРЕКЦИЯ АВТОДОРОГ КУЗБАССА"</v>
      </c>
      <c r="B2161" s="24" t="s">
        <v>1499</v>
      </c>
      <c r="C2161" s="25">
        <v>5182676.66</v>
      </c>
      <c r="D2161" s="22" t="s">
        <v>3313</v>
      </c>
      <c r="E2161" s="22" t="s">
        <v>723</v>
      </c>
      <c r="F2161" s="23" t="str">
        <f>HYPERLINK("https://www.spark-marketing.ru/Card/Lot/73099396",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v>
      </c>
      <c r="G2161" s="22" t="s">
        <v>367</v>
      </c>
      <c r="H2161" s="22" t="s">
        <v>881</v>
      </c>
      <c r="I2161" s="26">
        <v>43706.386979166702</v>
      </c>
      <c r="J2161" s="23" t="str">
        <f>HYPERLINK("https://www.spark-marketing.ru/Card/Person/1354238", "ООО ""ЛАБОРАТОРИЯ ЦИФРОВОГО ЗРЕНИЯ""")</f>
        <v>ООО "ЛАБОРАТОРИЯ ЦИФРОВОГО ЗРЕНИЯ"</v>
      </c>
      <c r="K2161" s="24" t="s">
        <v>1191</v>
      </c>
      <c r="L2161" s="22" t="s">
        <v>10</v>
      </c>
      <c r="M2161" s="25">
        <v>4664408.8600000003</v>
      </c>
      <c r="N2161" s="27">
        <v>0.10000002585536563</v>
      </c>
    </row>
    <row r="2162" spans="1:14" x14ac:dyDescent="0.15">
      <c r="A2162" s="23" t="str">
        <f>HYPERLINK("https://www.spark-marketing.ru/Card/Person/1006033", "МБОУ ГИМНАЗИЯ № 1")</f>
        <v>МБОУ ГИМНАЗИЯ № 1</v>
      </c>
      <c r="B2162" s="24" t="s">
        <v>3314</v>
      </c>
      <c r="C2162" s="25">
        <v>523472.4</v>
      </c>
      <c r="D2162" s="22" t="s">
        <v>3315</v>
      </c>
      <c r="E2162" s="22" t="s">
        <v>84</v>
      </c>
      <c r="F2162" s="23" t="str">
        <f>HYPERLINK("https://www.spark-marketing.ru/Card/Lot/73099424", "Установка системы видеонаблюдения в МБОУ гимназия № 1 (модернизация)")</f>
        <v>Установка системы видеонаблюдения в МБОУ гимназия № 1 (модернизация)</v>
      </c>
      <c r="G2162" s="22" t="s">
        <v>209</v>
      </c>
      <c r="H2162" s="22" t="s">
        <v>2703</v>
      </c>
      <c r="I2162" s="26">
        <v>43706.418171296304</v>
      </c>
      <c r="J2162" s="28" t="s">
        <v>52</v>
      </c>
      <c r="K2162" s="28" t="s">
        <v>52</v>
      </c>
      <c r="L2162" s="28" t="s">
        <v>52</v>
      </c>
      <c r="M2162" s="28" t="s">
        <v>52</v>
      </c>
      <c r="N2162" s="28" t="s">
        <v>52</v>
      </c>
    </row>
    <row r="2163" spans="1:14" ht="12.75" hidden="1" outlineLevel="1" x14ac:dyDescent="0.2">
      <c r="A2163" s="23" t="str">
        <f>HYPERLINK("https://www.spark-marketing.ru/Card/Person/1006033", "МБОУ ГИМНАЗИЯ № 1")</f>
        <v>МБОУ ГИМНАЗИЯ № 1</v>
      </c>
      <c r="B2163" s="24" t="s">
        <v>3314</v>
      </c>
      <c r="C2163" s="25">
        <v>523472.4</v>
      </c>
      <c r="D2163" s="22" t="s">
        <v>3315</v>
      </c>
      <c r="E2163" s="22" t="s">
        <v>84</v>
      </c>
      <c r="F2163" s="23" t="str">
        <f>HYPERLINK("https://www.spark-marketing.ru/Card/Lot/73099424", "Установка системы видеонаблюдения в МБОУ гимназия № 1 (модернизация)")</f>
        <v>Установка системы видеонаблюдения в МБОУ гимназия № 1 (модернизация)</v>
      </c>
      <c r="G2163" s="22" t="s">
        <v>209</v>
      </c>
      <c r="H2163" s="22" t="s">
        <v>2703</v>
      </c>
      <c r="I2163" s="26">
        <v>43706.418171296304</v>
      </c>
      <c r="J2163" s="23" t="str">
        <f>HYPERLINK("https://www.spark-marketing.ru/Card/Person/427260", "ООО ""ГАРАНТ СЕРВИС""")</f>
        <v>ООО "ГАРАНТ СЕРВИС"</v>
      </c>
      <c r="K2163" s="24" t="s">
        <v>3316</v>
      </c>
      <c r="L2163" s="22" t="s">
        <v>10</v>
      </c>
      <c r="M2163" s="25">
        <v>395217.81</v>
      </c>
      <c r="N2163" s="27">
        <v>0.24500735855414726</v>
      </c>
    </row>
    <row r="2164" spans="1:14" hidden="1" outlineLevel="1" x14ac:dyDescent="0.2">
      <c r="A2164" s="23" t="str">
        <f>HYPERLINK("https://www.spark-marketing.ru/Card/Person/1006033", "МБОУ ГИМНАЗИЯ № 1")</f>
        <v>МБОУ ГИМНАЗИЯ № 1</v>
      </c>
      <c r="B2164" s="24" t="s">
        <v>3314</v>
      </c>
      <c r="C2164" s="25">
        <v>523472.4</v>
      </c>
      <c r="D2164" s="22" t="s">
        <v>3315</v>
      </c>
      <c r="E2164" s="22" t="s">
        <v>84</v>
      </c>
      <c r="F2164" s="23" t="str">
        <f>HYPERLINK("https://www.spark-marketing.ru/Card/Lot/73099424", "Установка системы видеонаблюдения в МБОУ гимназия № 1 (модернизация)")</f>
        <v>Установка системы видеонаблюдения в МБОУ гимназия № 1 (модернизация)</v>
      </c>
      <c r="G2164" s="22" t="s">
        <v>209</v>
      </c>
      <c r="H2164" s="22" t="s">
        <v>2703</v>
      </c>
      <c r="I2164" s="26">
        <v>43706.418171296304</v>
      </c>
      <c r="J2164" s="23" t="str">
        <f>HYPERLINK("https://www.spark-marketing.ru/Card/Person/6402542", "ООО ""ЦЕНТР СБ""")</f>
        <v>ООО "ЦЕНТР СБ"</v>
      </c>
      <c r="K2164" s="24" t="s">
        <v>2133</v>
      </c>
      <c r="L2164" s="28" t="s">
        <v>52</v>
      </c>
      <c r="M2164" s="25">
        <v>402590</v>
      </c>
      <c r="N2164" s="27">
        <v>0.23092411366864804</v>
      </c>
    </row>
    <row r="2165" spans="1:14" hidden="1" outlineLevel="1" x14ac:dyDescent="0.2">
      <c r="A2165" s="23" t="str">
        <f>HYPERLINK("https://www.spark-marketing.ru/Card/Person/1006033", "МБОУ ГИМНАЗИЯ № 1")</f>
        <v>МБОУ ГИМНАЗИЯ № 1</v>
      </c>
      <c r="B2165" s="24" t="s">
        <v>3314</v>
      </c>
      <c r="C2165" s="25">
        <v>523472.4</v>
      </c>
      <c r="D2165" s="22" t="s">
        <v>3315</v>
      </c>
      <c r="E2165" s="22" t="s">
        <v>84</v>
      </c>
      <c r="F2165" s="23" t="str">
        <f>HYPERLINK("https://www.spark-marketing.ru/Card/Lot/73099424", "Установка системы видеонаблюдения в МБОУ гимназия № 1 (модернизация)")</f>
        <v>Установка системы видеонаблюдения в МБОУ гимназия № 1 (модернизация)</v>
      </c>
      <c r="G2165" s="22" t="s">
        <v>209</v>
      </c>
      <c r="H2165" s="22" t="s">
        <v>2703</v>
      </c>
      <c r="I2165" s="26">
        <v>43706.418171296304</v>
      </c>
      <c r="J2165" s="23" t="str">
        <f>HYPERLINK("https://www.spark-marketing.ru/Card/Person/1393683", "ООО ""РАДИУС7""")</f>
        <v>ООО "РАДИУС7"</v>
      </c>
      <c r="K2165" s="24" t="s">
        <v>3317</v>
      </c>
      <c r="L2165" s="28" t="s">
        <v>52</v>
      </c>
      <c r="M2165" s="25">
        <v>513001.66</v>
      </c>
      <c r="N2165" s="27">
        <v>2.0002468133945552E-2</v>
      </c>
    </row>
    <row r="2166" spans="1:14" hidden="1" outlineLevel="1" x14ac:dyDescent="0.2">
      <c r="A2166" s="23" t="str">
        <f>HYPERLINK("https://www.spark-marketing.ru/Card/Person/1006033", "МБОУ ГИМНАЗИЯ № 1")</f>
        <v>МБОУ ГИМНАЗИЯ № 1</v>
      </c>
      <c r="B2166" s="24" t="s">
        <v>3314</v>
      </c>
      <c r="C2166" s="25">
        <v>523472.4</v>
      </c>
      <c r="D2166" s="22" t="s">
        <v>3315</v>
      </c>
      <c r="E2166" s="22" t="s">
        <v>84</v>
      </c>
      <c r="F2166" s="23" t="str">
        <f>HYPERLINK("https://www.spark-marketing.ru/Card/Lot/73099424", "Установка системы видеонаблюдения в МБОУ гимназия № 1 (модернизация)")</f>
        <v>Установка системы видеонаблюдения в МБОУ гимназия № 1 (модернизация)</v>
      </c>
      <c r="G2166" s="22" t="s">
        <v>209</v>
      </c>
      <c r="H2166" s="22" t="s">
        <v>2703</v>
      </c>
      <c r="I2166" s="26">
        <v>43706.418171296304</v>
      </c>
      <c r="J2166" s="23" t="str">
        <f>HYPERLINK("https://www.spark-marketing.ru/Card/Person/721650", "ООО ПК ""СППК""")</f>
        <v>ООО ПК "СППК"</v>
      </c>
      <c r="K2166" s="24" t="s">
        <v>3318</v>
      </c>
      <c r="L2166" s="28" t="s">
        <v>52</v>
      </c>
      <c r="M2166" s="25">
        <v>397835.18</v>
      </c>
      <c r="N2166" s="27">
        <v>0.24000734327158413</v>
      </c>
    </row>
    <row r="2167" spans="1:14" x14ac:dyDescent="0.15">
      <c r="A2167" s="23" t="str">
        <f t="shared" ref="A2167:A2172" si="87">HYPERLINK("https://www.spark-marketing.ru/Card/Person/10834", "ГКУ КО ""ДИРЕКЦИЯ АВТОДОРОГ КУЗБАССА""")</f>
        <v>ГКУ КО "ДИРЕКЦИЯ АВТОДОРОГ КУЗБАССА"</v>
      </c>
      <c r="B2167" s="24" t="s">
        <v>1499</v>
      </c>
      <c r="C2167" s="25">
        <v>6291611.3099999996</v>
      </c>
      <c r="D2167" s="22" t="s">
        <v>3319</v>
      </c>
      <c r="E2167" s="22" t="s">
        <v>723</v>
      </c>
      <c r="F2167" s="23" t="str">
        <f>HYPERLINK("https://www.spark-marketing.ru/Card/Lot/73099407",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v>
      </c>
      <c r="G2167" s="22" t="s">
        <v>367</v>
      </c>
      <c r="H2167" s="22" t="s">
        <v>881</v>
      </c>
      <c r="I2167" s="26">
        <v>43706.389837962997</v>
      </c>
      <c r="J2167" s="28" t="s">
        <v>52</v>
      </c>
      <c r="K2167" s="28" t="s">
        <v>52</v>
      </c>
      <c r="L2167" s="28" t="s">
        <v>52</v>
      </c>
      <c r="M2167" s="28" t="s">
        <v>52</v>
      </c>
      <c r="N2167" s="28" t="s">
        <v>52</v>
      </c>
    </row>
    <row r="2168" spans="1:14" ht="12.75" hidden="1" outlineLevel="1" x14ac:dyDescent="0.2">
      <c r="A2168" s="23" t="str">
        <f t="shared" si="87"/>
        <v>ГКУ КО "ДИРЕКЦИЯ АВТОДОРОГ КУЗБАССА"</v>
      </c>
      <c r="B2168" s="24" t="s">
        <v>1499</v>
      </c>
      <c r="C2168" s="25">
        <v>6291611.3099999996</v>
      </c>
      <c r="D2168" s="22" t="s">
        <v>3319</v>
      </c>
      <c r="E2168" s="22" t="s">
        <v>723</v>
      </c>
      <c r="F2168" s="23" t="str">
        <f>HYPERLINK("https://www.spark-marketing.ru/Card/Lot/73099407",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v>
      </c>
      <c r="G2168" s="22" t="s">
        <v>367</v>
      </c>
      <c r="H2168" s="22" t="s">
        <v>881</v>
      </c>
      <c r="I2168" s="26">
        <v>43706.389837962997</v>
      </c>
      <c r="J2168" s="23" t="str">
        <f>HYPERLINK("https://www.spark-marketing.ru/Card/Person/127397", "ООО ""ИНФОСЕРВИС""")</f>
        <v>ООО "ИНФОСЕРВИС"</v>
      </c>
      <c r="K2168" s="24" t="s">
        <v>1503</v>
      </c>
      <c r="L2168" s="22" t="s">
        <v>10</v>
      </c>
      <c r="M2168" s="25">
        <v>6197237.1299999999</v>
      </c>
      <c r="N2168" s="27">
        <v>1.5000001645047587E-2</v>
      </c>
    </row>
    <row r="2169" spans="1:14" hidden="1" outlineLevel="1" x14ac:dyDescent="0.2">
      <c r="A2169" s="23" t="str">
        <f t="shared" si="87"/>
        <v>ГКУ КО "ДИРЕКЦИЯ АВТОДОРОГ КУЗБАССА"</v>
      </c>
      <c r="B2169" s="24" t="s">
        <v>1499</v>
      </c>
      <c r="C2169" s="25">
        <v>6291611.3099999996</v>
      </c>
      <c r="D2169" s="22" t="s">
        <v>3319</v>
      </c>
      <c r="E2169" s="22" t="s">
        <v>723</v>
      </c>
      <c r="F2169" s="23" t="str">
        <f>HYPERLINK("https://www.spark-marketing.ru/Card/Lot/73099407",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v>
      </c>
      <c r="G2169" s="22" t="s">
        <v>367</v>
      </c>
      <c r="H2169" s="22" t="s">
        <v>881</v>
      </c>
      <c r="I2169" s="26">
        <v>43706.389837962997</v>
      </c>
      <c r="J2169" s="23" t="str">
        <f>HYPERLINK("https://www.spark-marketing.ru/Card/Person/1354238", "ООО ""ЛАБОРАТОРИЯ ЦИФРОВОГО ЗРЕНИЯ""")</f>
        <v>ООО "ЛАБОРАТОРИЯ ЦИФРОВОГО ЗРЕНИЯ"</v>
      </c>
      <c r="K2169" s="24" t="s">
        <v>1191</v>
      </c>
      <c r="L2169" s="28" t="s">
        <v>52</v>
      </c>
      <c r="M2169" s="25">
        <v>6228695.1900000004</v>
      </c>
      <c r="N2169" s="27">
        <v>1.000000109669839E-2</v>
      </c>
    </row>
    <row r="2170" spans="1:14" x14ac:dyDescent="0.15">
      <c r="A2170" s="23" t="str">
        <f t="shared" si="87"/>
        <v>ГКУ КО "ДИРЕКЦИЯ АВТОДОРОГ КУЗБАССА"</v>
      </c>
      <c r="B2170" s="24" t="s">
        <v>1499</v>
      </c>
      <c r="C2170" s="25">
        <v>5102712.96</v>
      </c>
      <c r="D2170" s="22" t="s">
        <v>3320</v>
      </c>
      <c r="E2170" s="22" t="s">
        <v>723</v>
      </c>
      <c r="F2170" s="23" t="str">
        <f>HYPERLINK("https://www.spark-marketing.ru/Card/Lot/73099762",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v>
      </c>
      <c r="G2170" s="22" t="s">
        <v>367</v>
      </c>
      <c r="H2170" s="22" t="s">
        <v>881</v>
      </c>
      <c r="I2170" s="26">
        <v>43706.3904861111</v>
      </c>
      <c r="J2170" s="28" t="s">
        <v>52</v>
      </c>
      <c r="K2170" s="28" t="s">
        <v>52</v>
      </c>
      <c r="L2170" s="28" t="s">
        <v>52</v>
      </c>
      <c r="M2170" s="28" t="s">
        <v>52</v>
      </c>
      <c r="N2170" s="28" t="s">
        <v>52</v>
      </c>
    </row>
    <row r="2171" spans="1:14" hidden="1" outlineLevel="1" x14ac:dyDescent="0.2">
      <c r="A2171" s="23" t="str">
        <f t="shared" si="87"/>
        <v>ГКУ КО "ДИРЕКЦИЯ АВТОДОРОГ КУЗБАССА"</v>
      </c>
      <c r="B2171" s="24" t="s">
        <v>1499</v>
      </c>
      <c r="C2171" s="25">
        <v>5102712.96</v>
      </c>
      <c r="D2171" s="22" t="s">
        <v>3320</v>
      </c>
      <c r="E2171" s="22" t="s">
        <v>723</v>
      </c>
      <c r="F2171" s="23" t="str">
        <f>HYPERLINK("https://www.spark-marketing.ru/Card/Lot/73099762",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v>
      </c>
      <c r="G2171" s="22" t="s">
        <v>367</v>
      </c>
      <c r="H2171" s="22" t="s">
        <v>881</v>
      </c>
      <c r="I2171" s="26">
        <v>43706.3904861111</v>
      </c>
      <c r="J2171" s="23" t="str">
        <f>HYPERLINK("https://www.spark-marketing.ru/Card/Person/1354238", "ООО ""ЛАБОРАТОРИЯ ЦИФРОВОГО ЗРЕНИЯ""")</f>
        <v>ООО "ЛАБОРАТОРИЯ ЦИФРОВОГО ЗРЕНИЯ"</v>
      </c>
      <c r="K2171" s="24" t="s">
        <v>1191</v>
      </c>
      <c r="L2171" s="28" t="s">
        <v>52</v>
      </c>
      <c r="M2171" s="25">
        <v>1632867.44</v>
      </c>
      <c r="N2171" s="27">
        <v>0.68000013859294173</v>
      </c>
    </row>
    <row r="2172" spans="1:14" ht="12.75" hidden="1" outlineLevel="1" x14ac:dyDescent="0.2">
      <c r="A2172" s="23" t="str">
        <f t="shared" si="87"/>
        <v>ГКУ КО "ДИРЕКЦИЯ АВТОДОРОГ КУЗБАССА"</v>
      </c>
      <c r="B2172" s="24" t="s">
        <v>1499</v>
      </c>
      <c r="C2172" s="25">
        <v>5102712.96</v>
      </c>
      <c r="D2172" s="22" t="s">
        <v>3320</v>
      </c>
      <c r="E2172" s="22" t="s">
        <v>723</v>
      </c>
      <c r="F2172" s="23" t="str">
        <f>HYPERLINK("https://www.spark-marketing.ru/Card/Lot/73099762",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v>
      </c>
      <c r="G2172" s="22" t="s">
        <v>367</v>
      </c>
      <c r="H2172" s="22" t="s">
        <v>881</v>
      </c>
      <c r="I2172" s="26">
        <v>43706.3904861111</v>
      </c>
      <c r="J2172" s="23" t="str">
        <f>HYPERLINK("https://www.spark-marketing.ru/Card/Person/127397", "ООО ""ИНФОСЕРВИС""")</f>
        <v>ООО "ИНФОСЕРВИС"</v>
      </c>
      <c r="K2172" s="24" t="s">
        <v>1503</v>
      </c>
      <c r="L2172" s="22" t="s">
        <v>10</v>
      </c>
      <c r="M2172" s="25">
        <v>1607353.87</v>
      </c>
      <c r="N2172" s="27">
        <v>0.68500013961200745</v>
      </c>
    </row>
    <row r="2173" spans="1:14" x14ac:dyDescent="0.15">
      <c r="A2173" s="23" t="str">
        <f>HYPERLINK("https://www.spark-marketing.ru/Card/Person/119602", "ОМВД РОССИИ ПО ТУГУЛЫМСКОМУ РАЙОНУ")</f>
        <v>ОМВД РОССИИ ПО ТУГУЛЫМСКОМУ РАЙОНУ</v>
      </c>
      <c r="B2173" s="24" t="s">
        <v>3311</v>
      </c>
      <c r="C2173" s="25">
        <v>6000</v>
      </c>
      <c r="D2173" s="22" t="s">
        <v>3321</v>
      </c>
      <c r="E2173" s="22" t="s">
        <v>53</v>
      </c>
      <c r="F2173" s="23" t="str">
        <f>HYPERLINK("https://www.spark-marketing.ru/Card/Lot/73103765", "оказание услуг по техническому обслуживанию системы охранной сигнализации")</f>
        <v>оказание услуг по техническому обслуживанию системы охранной сигнализации</v>
      </c>
      <c r="G2173" s="22" t="s">
        <v>72</v>
      </c>
      <c r="H2173" s="22" t="s">
        <v>72</v>
      </c>
      <c r="I2173" s="26">
        <v>43706.437523148103</v>
      </c>
      <c r="J2173" s="28" t="s">
        <v>52</v>
      </c>
      <c r="K2173" s="28" t="s">
        <v>52</v>
      </c>
      <c r="L2173" s="28" t="s">
        <v>52</v>
      </c>
      <c r="M2173" s="28" t="s">
        <v>52</v>
      </c>
      <c r="N2173" s="28" t="s">
        <v>52</v>
      </c>
    </row>
    <row r="2174" spans="1:14" x14ac:dyDescent="0.15">
      <c r="A2174" s="23" t="str">
        <f>HYPERLINK("https://www.spark-marketing.ru/Card/Person/6591", "МКУ УБ Г. АРТЕМА")</f>
        <v>МКУ УБ Г. АРТЕМА</v>
      </c>
      <c r="B2174" s="24" t="s">
        <v>3322</v>
      </c>
      <c r="C2174" s="25">
        <v>1115259</v>
      </c>
      <c r="D2174" s="22" t="s">
        <v>3323</v>
      </c>
      <c r="E2174" s="22" t="s">
        <v>59</v>
      </c>
      <c r="F2174" s="23" t="str">
        <f>HYPERLINK("https://www.spark-marketing.ru/Card/Lot/73096855", "Выполнение работ по установке светофорных объектов")</f>
        <v>Выполнение работ по установке светофорных объектов</v>
      </c>
      <c r="G2174" s="22" t="s">
        <v>409</v>
      </c>
      <c r="H2174" s="22" t="s">
        <v>3324</v>
      </c>
      <c r="I2174" s="26">
        <v>43706.4229513889</v>
      </c>
      <c r="J2174" s="23" t="str">
        <f>HYPERLINK("https://www.spark-marketing.ru/Card/Person/6236818", "Александрова Олеся Владимировна")</f>
        <v>Александрова Олеся Владимировна</v>
      </c>
      <c r="K2174" s="24" t="s">
        <v>3325</v>
      </c>
      <c r="L2174" s="22" t="s">
        <v>10</v>
      </c>
      <c r="M2174" s="28" t="s">
        <v>52</v>
      </c>
      <c r="N2174" s="28" t="s">
        <v>52</v>
      </c>
    </row>
    <row r="2175" spans="1:14" x14ac:dyDescent="0.15">
      <c r="A2175" s="23" t="str">
        <f>HYPERLINK("https://www.spark-marketing.ru/Card/Person/61548", "ГБУЗ ""МГЦРБ ДЗМ""")</f>
        <v>ГБУЗ "МГЦРБ ДЗМ"</v>
      </c>
      <c r="B2175" s="24" t="s">
        <v>3326</v>
      </c>
      <c r="C2175" s="25">
        <v>482048.35</v>
      </c>
      <c r="D2175" s="22" t="s">
        <v>3327</v>
      </c>
      <c r="E2175" s="22" t="s">
        <v>84</v>
      </c>
      <c r="F2175" s="23" t="str">
        <f>HYPERLINK("https://www.spark-marketing.ru/Card/Lot/73108104", "Электронный аукцион среди субъектов малого предпринимательства на право заключения контракта на выполнение работ по монтажу, установке, наладке уличной системы охранного видеонаблюдения.")</f>
        <v>Электронный аукцион среди субъектов малого предпринимательства на право заключения контракта на выполнение работ по монтажу, установке, наладке уличной системы охранного видеонаблюдения.</v>
      </c>
      <c r="G2175" s="22" t="s">
        <v>55</v>
      </c>
      <c r="H2175" s="22" t="s">
        <v>55</v>
      </c>
      <c r="I2175" s="26">
        <v>43706.430891203701</v>
      </c>
      <c r="J2175" s="28" t="s">
        <v>52</v>
      </c>
      <c r="K2175" s="28" t="s">
        <v>52</v>
      </c>
      <c r="L2175" s="28" t="s">
        <v>52</v>
      </c>
      <c r="M2175" s="28" t="s">
        <v>52</v>
      </c>
      <c r="N2175" s="28" t="s">
        <v>52</v>
      </c>
    </row>
    <row r="2176" spans="1:14" hidden="1" outlineLevel="1" x14ac:dyDescent="0.2">
      <c r="A2176" s="23" t="str">
        <f>HYPERLINK("https://www.spark-marketing.ru/Card/Person/61548", "ГБУЗ ""МГЦРБ ДЗМ""")</f>
        <v>ГБУЗ "МГЦРБ ДЗМ"</v>
      </c>
      <c r="B2176" s="24" t="s">
        <v>3326</v>
      </c>
      <c r="C2176" s="25">
        <v>482048.35</v>
      </c>
      <c r="D2176" s="22" t="s">
        <v>3327</v>
      </c>
      <c r="E2176" s="22" t="s">
        <v>84</v>
      </c>
      <c r="F2176" s="23" t="str">
        <f>HYPERLINK("https://www.spark-marketing.ru/Card/Lot/73108104", "Электронный аукцион среди субъектов малого предпринимательства на право заключения контракта на выполнение работ по монтажу, установке, наладке уличной системы охранного видеонаблюдения.")</f>
        <v>Электронный аукцион среди субъектов малого предпринимательства на право заключения контракта на выполнение работ по монтажу, установке, наладке уличной системы охранного видеонаблюдения.</v>
      </c>
      <c r="G2176" s="22" t="s">
        <v>55</v>
      </c>
      <c r="H2176" s="22" t="s">
        <v>55</v>
      </c>
      <c r="I2176" s="26">
        <v>43706.430891203701</v>
      </c>
      <c r="J2176" s="23" t="str">
        <f>HYPERLINK("https://www.spark-marketing.ru/Card/Person/6634445", "ООО ""АКТ.РУ""")</f>
        <v>ООО "АКТ.РУ"</v>
      </c>
      <c r="K2176" s="24" t="s">
        <v>1582</v>
      </c>
      <c r="L2176" s="28" t="s">
        <v>52</v>
      </c>
      <c r="M2176" s="25">
        <v>300000</v>
      </c>
      <c r="N2176" s="27">
        <v>0.37765578909252567</v>
      </c>
    </row>
    <row r="2177" spans="1:14" hidden="1" outlineLevel="1" x14ac:dyDescent="0.2">
      <c r="A2177" s="23" t="str">
        <f>HYPERLINK("https://www.spark-marketing.ru/Card/Person/61548", "ГБУЗ ""МГЦРБ ДЗМ""")</f>
        <v>ГБУЗ "МГЦРБ ДЗМ"</v>
      </c>
      <c r="B2177" s="24" t="s">
        <v>3326</v>
      </c>
      <c r="C2177" s="25">
        <v>482048.35</v>
      </c>
      <c r="D2177" s="22" t="s">
        <v>3327</v>
      </c>
      <c r="E2177" s="22" t="s">
        <v>84</v>
      </c>
      <c r="F2177" s="23" t="str">
        <f>HYPERLINK("https://www.spark-marketing.ru/Card/Lot/73108104", "Электронный аукцион среди субъектов малого предпринимательства на право заключения контракта на выполнение работ по монтажу, установке, наладке уличной системы охранного видеонаблюдения.")</f>
        <v>Электронный аукцион среди субъектов малого предпринимательства на право заключения контракта на выполнение работ по монтажу, установке, наладке уличной системы охранного видеонаблюдения.</v>
      </c>
      <c r="G2177" s="22" t="s">
        <v>55</v>
      </c>
      <c r="H2177" s="22" t="s">
        <v>55</v>
      </c>
      <c r="I2177" s="26">
        <v>43706.430891203701</v>
      </c>
      <c r="J2177" s="23" t="str">
        <f>HYPERLINK("https://www.spark-marketing.ru/Card/Person/6453970", "ООО ""АСБ""")</f>
        <v>ООО "АСБ"</v>
      </c>
      <c r="K2177" s="24" t="s">
        <v>3158</v>
      </c>
      <c r="L2177" s="28" t="s">
        <v>52</v>
      </c>
      <c r="M2177" s="25">
        <v>268666.88</v>
      </c>
      <c r="N2177" s="27">
        <v>0.44265574189808971</v>
      </c>
    </row>
    <row r="2178" spans="1:14" ht="12.75" hidden="1" outlineLevel="1" x14ac:dyDescent="0.2">
      <c r="A2178" s="23" t="str">
        <f>HYPERLINK("https://www.spark-marketing.ru/Card/Person/61548", "ГБУЗ ""МГЦРБ ДЗМ""")</f>
        <v>ГБУЗ "МГЦРБ ДЗМ"</v>
      </c>
      <c r="B2178" s="24" t="s">
        <v>3326</v>
      </c>
      <c r="C2178" s="25">
        <v>482048.35</v>
      </c>
      <c r="D2178" s="22" t="s">
        <v>3327</v>
      </c>
      <c r="E2178" s="22" t="s">
        <v>84</v>
      </c>
      <c r="F2178" s="23" t="str">
        <f>HYPERLINK("https://www.spark-marketing.ru/Card/Lot/73108104", "Электронный аукцион среди субъектов малого предпринимательства на право заключения контракта на выполнение работ по монтажу, установке, наладке уличной системы охранного видеонаблюдения.")</f>
        <v>Электронный аукцион среди субъектов малого предпринимательства на право заключения контракта на выполнение работ по монтажу, установке, наладке уличной системы охранного видеонаблюдения.</v>
      </c>
      <c r="G2178" s="22" t="s">
        <v>55</v>
      </c>
      <c r="H2178" s="22" t="s">
        <v>55</v>
      </c>
      <c r="I2178" s="26">
        <v>43706.430891203701</v>
      </c>
      <c r="J2178" s="23" t="str">
        <f>HYPERLINK("https://www.spark-marketing.ru/Card/Person/247114", "ООО ""МСП""")</f>
        <v>ООО "МСП"</v>
      </c>
      <c r="K2178" s="24" t="s">
        <v>3328</v>
      </c>
      <c r="L2178" s="22" t="s">
        <v>10</v>
      </c>
      <c r="M2178" s="25">
        <v>266256.64000000001</v>
      </c>
      <c r="N2178" s="27">
        <v>0.44765573826774846</v>
      </c>
    </row>
    <row r="2179" spans="1:14" x14ac:dyDescent="0.15">
      <c r="A2179" s="23" t="str">
        <f>HYPERLINK("https://www.spark-marketing.ru/Card/Person/6050062", "ТОО ГАЗПРОМНЕФТЬ БИТУМ КАЗАХСТАН")</f>
        <v>ТОО ГАЗПРОМНЕФТЬ БИТУМ КАЗАХСТАН</v>
      </c>
      <c r="B2179" s="28" t="s">
        <v>52</v>
      </c>
      <c r="C2179" s="28" t="s">
        <v>52</v>
      </c>
      <c r="D2179" s="22" t="s">
        <v>3329</v>
      </c>
      <c r="E2179" s="22" t="s">
        <v>53</v>
      </c>
      <c r="F2179" s="23" t="str">
        <f>HYPERLINK("https://www.spark-marketing.ru/Card/Lot/73281665", "Открытый отбор по лоту: «Услуги по обеспечению комплекса мер, направленных на защиту материального имущества объектов, обеспечение внутри объектового и пропускного режимов на битумном заводе»")</f>
        <v>Открытый отбор по лоту: «Услуги по обеспечению комплекса мер, направленных на защиту материального имущества объектов, обеспечение внутри объектового и пропускного режимов на битумном заводе»</v>
      </c>
      <c r="G2179" s="22" t="s">
        <v>52</v>
      </c>
      <c r="H2179" s="22" t="s">
        <v>52</v>
      </c>
      <c r="I2179" s="26">
        <v>43706.375</v>
      </c>
      <c r="J2179" s="28" t="s">
        <v>52</v>
      </c>
      <c r="K2179" s="28" t="s">
        <v>52</v>
      </c>
      <c r="L2179" s="28" t="s">
        <v>52</v>
      </c>
      <c r="M2179" s="28" t="s">
        <v>52</v>
      </c>
      <c r="N2179" s="28" t="s">
        <v>52</v>
      </c>
    </row>
    <row r="2180" spans="1:14" x14ac:dyDescent="0.15">
      <c r="A2180" s="23" t="str">
        <f>HYPERLINK("https://www.spark-marketing.ru/Card/Person/13272", "ГБУЗ СО ""ГП № 4 Г.НИЖНИЙ ТАГИЛ""")</f>
        <v>ГБУЗ СО "ГП № 4 Г.НИЖНИЙ ТАГИЛ"</v>
      </c>
      <c r="B2180" s="24" t="s">
        <v>3330</v>
      </c>
      <c r="C2180" s="25">
        <v>41894.04</v>
      </c>
      <c r="D2180" s="22" t="s">
        <v>3331</v>
      </c>
      <c r="E2180" s="22" t="s">
        <v>84</v>
      </c>
      <c r="F2180" s="23" t="str">
        <f>HYPERLINK("https://www.spark-marketing.ru/Card/Lot/73099926", "установка системы видеонаблюдения по адресу: Свердловская область, город Нижний Тагил, ул. Дружинина, 53")</f>
        <v>установка системы видеонаблюдения по адресу: Свердловская область, город Нижний Тагил, ул. Дружинина, 53</v>
      </c>
      <c r="G2180" s="22" t="s">
        <v>72</v>
      </c>
      <c r="H2180" s="22" t="s">
        <v>3332</v>
      </c>
      <c r="I2180" s="26">
        <v>43705.760972222197</v>
      </c>
      <c r="J2180" s="23" t="str">
        <f>HYPERLINK("https://www.spark-marketing.ru/Card/Person/559058", "ООО ""КОМСИС""")</f>
        <v>ООО "КОМСИС"</v>
      </c>
      <c r="K2180" s="24" t="s">
        <v>3333</v>
      </c>
      <c r="L2180" s="28" t="s">
        <v>52</v>
      </c>
      <c r="M2180" s="28" t="s">
        <v>52</v>
      </c>
      <c r="N2180" s="28" t="s">
        <v>52</v>
      </c>
    </row>
    <row r="2181" spans="1:14" ht="12.75" hidden="1" outlineLevel="1" x14ac:dyDescent="0.2">
      <c r="A2181" s="23" t="str">
        <f>HYPERLINK("https://www.spark-marketing.ru/Card/Person/13272", "ГБУЗ СО ""ГП № 4 Г.НИЖНИЙ ТАГИЛ""")</f>
        <v>ГБУЗ СО "ГП № 4 Г.НИЖНИЙ ТАГИЛ"</v>
      </c>
      <c r="B2181" s="24" t="s">
        <v>3330</v>
      </c>
      <c r="C2181" s="25">
        <v>41894.04</v>
      </c>
      <c r="D2181" s="22" t="s">
        <v>3331</v>
      </c>
      <c r="E2181" s="22" t="s">
        <v>84</v>
      </c>
      <c r="F2181" s="23" t="str">
        <f>HYPERLINK("https://www.spark-marketing.ru/Card/Lot/73099926", "установка системы видеонаблюдения по адресу: Свердловская область, город Нижний Тагил, ул. Дружинина, 53")</f>
        <v>установка системы видеонаблюдения по адресу: Свердловская область, город Нижний Тагил, ул. Дружинина, 53</v>
      </c>
      <c r="G2181" s="22" t="s">
        <v>72</v>
      </c>
      <c r="H2181" s="22" t="s">
        <v>3332</v>
      </c>
      <c r="I2181" s="26">
        <v>43705.760972222197</v>
      </c>
      <c r="J2181" s="23" t="str">
        <f>HYPERLINK("https://www.spark-marketing.ru/Card/Person/559058", "ООО ""КОМСИС""")</f>
        <v>ООО "КОМСИС"</v>
      </c>
      <c r="K2181" s="24" t="s">
        <v>3333</v>
      </c>
      <c r="L2181" s="22" t="s">
        <v>10</v>
      </c>
      <c r="M2181" s="25">
        <v>41684.57</v>
      </c>
      <c r="N2181" s="27">
        <v>4.9999952260512473E-3</v>
      </c>
    </row>
    <row r="2182" spans="1:14" x14ac:dyDescent="0.15">
      <c r="A2182" s="23" t="str">
        <f>HYPERLINK("https://www.spark-marketing.ru/Card/Person/116652", "ГБПОУ МО ""ГИДРОМЕТЕОРОЛОГИЧЕСКИЙ ТЕХНИКУМ""")</f>
        <v>ГБПОУ МО "ГИДРОМЕТЕОРОЛОГИЧЕСКИЙ ТЕХНИКУМ"</v>
      </c>
      <c r="B2182" s="24" t="s">
        <v>3334</v>
      </c>
      <c r="C2182" s="25">
        <v>320000</v>
      </c>
      <c r="D2182" s="22" t="s">
        <v>3335</v>
      </c>
      <c r="E2182" s="22" t="s">
        <v>84</v>
      </c>
      <c r="F2182" s="23" t="str">
        <f>HYPERLINK("https://www.spark-marketing.ru/Card/Lot/73102941", "Оказание услуг по установке видеонаблюдения")</f>
        <v>Оказание услуг по установке видеонаблюдения</v>
      </c>
      <c r="G2182" s="22" t="s">
        <v>50</v>
      </c>
      <c r="H2182" s="22" t="s">
        <v>432</v>
      </c>
      <c r="I2182" s="26">
        <v>43706.378032407403</v>
      </c>
      <c r="J2182" s="28" t="s">
        <v>52</v>
      </c>
      <c r="K2182" s="28" t="s">
        <v>52</v>
      </c>
      <c r="L2182" s="28" t="s">
        <v>52</v>
      </c>
      <c r="M2182" s="28" t="s">
        <v>52</v>
      </c>
      <c r="N2182" s="28" t="s">
        <v>52</v>
      </c>
    </row>
    <row r="2183" spans="1:14" x14ac:dyDescent="0.15">
      <c r="A2183" s="23" t="str">
        <f>HYPERLINK("https://www.spark-marketing.ru/Card/Person/531004", "ОТДЕЛ ГФС РОССИИ В Г.ТОМСКЕ")</f>
        <v>ОТДЕЛ ГФС РОССИИ В Г.ТОМСКЕ</v>
      </c>
      <c r="B2183" s="24" t="s">
        <v>3336</v>
      </c>
      <c r="C2183" s="25">
        <v>10000</v>
      </c>
      <c r="D2183" s="22" t="s">
        <v>3337</v>
      </c>
      <c r="E2183" s="22" t="s">
        <v>53</v>
      </c>
      <c r="F2183" s="23" t="str">
        <f>HYPERLINK("https://www.spark-marketing.ru/Card/Lot/73100182", "Техническое обслуживание работоспособной систем видео-наблюдения, контроля и управления доступа к объекту")</f>
        <v>Техническое обслуживание работоспособной систем видео-наблюдения, контроля и управления доступа к объекту</v>
      </c>
      <c r="G2183" s="22" t="s">
        <v>150</v>
      </c>
      <c r="H2183" s="22" t="s">
        <v>1656</v>
      </c>
      <c r="I2183" s="26">
        <v>43706.366006944401</v>
      </c>
      <c r="J2183" s="28" t="s">
        <v>52</v>
      </c>
      <c r="K2183" s="28" t="s">
        <v>52</v>
      </c>
      <c r="L2183" s="28" t="s">
        <v>52</v>
      </c>
      <c r="M2183" s="28" t="s">
        <v>52</v>
      </c>
      <c r="N2183" s="28" t="s">
        <v>52</v>
      </c>
    </row>
    <row r="2184" spans="1:14" x14ac:dyDescent="0.15">
      <c r="A2184" s="23" t="str">
        <f>HYPERLINK("https://www.spark-marketing.ru/Card/Person/6450322", "ЗАКАЗЧИК РП БЕЛАРУСЬ")</f>
        <v>ЗАКАЗЧИК РП БЕЛАРУСЬ</v>
      </c>
      <c r="B2184" s="28" t="s">
        <v>52</v>
      </c>
      <c r="C2184" s="28" t="s">
        <v>52</v>
      </c>
      <c r="D2184" s="22" t="s">
        <v>3338</v>
      </c>
      <c r="E2184" s="22" t="s">
        <v>53</v>
      </c>
      <c r="F2184" s="23" t="str">
        <f>HYPERLINK("https://www.spark-marketing.ru/Card/Lot/73073327", "Выбор подрядчика (генерального подрядчика) для строительства объекта «Меры охраны железнодорожных путей и зданий станции «Калий-1» от влияния горных работ III калийного горизонта рудника 1 РУ. 4 очередь строительства»")</f>
        <v>Выбор подрядчика (генерального подрядчика) для строительства объекта «Меры охраны железнодорожных путей и зданий станции «Калий-1» от влияния горных работ III калийного горизонта рудника 1 РУ. 4 очередь строительства»</v>
      </c>
      <c r="G2184" s="22" t="s">
        <v>52</v>
      </c>
      <c r="H2184" s="22" t="s">
        <v>52</v>
      </c>
      <c r="I2184" s="26">
        <v>43705</v>
      </c>
      <c r="J2184" s="28" t="s">
        <v>52</v>
      </c>
      <c r="K2184" s="28" t="s">
        <v>52</v>
      </c>
      <c r="L2184" s="28" t="s">
        <v>52</v>
      </c>
      <c r="M2184" s="28" t="s">
        <v>52</v>
      </c>
      <c r="N2184" s="28" t="s">
        <v>52</v>
      </c>
    </row>
    <row r="2185" spans="1:14" x14ac:dyDescent="0.15">
      <c r="A2185" s="23" t="str">
        <f>HYPERLINK("https://www.spark-marketing.ru/Card/Person/1021672", "КГКУ ДЕТСКИЙ ДОМ 21")</f>
        <v>КГКУ ДЕТСКИЙ ДОМ 21</v>
      </c>
      <c r="B2185" s="24" t="s">
        <v>3339</v>
      </c>
      <c r="C2185" s="25">
        <v>10500</v>
      </c>
      <c r="D2185" s="22" t="s">
        <v>3340</v>
      </c>
      <c r="E2185" s="22" t="s">
        <v>53</v>
      </c>
      <c r="F2185" s="23" t="str">
        <f>HYPERLINK("https://www.spark-marketing.ru/Card/Lot/73096710", "Техническое обслуживание тревожной кнопки")</f>
        <v>Техническое обслуживание тревожной кнопки</v>
      </c>
      <c r="G2185" s="22" t="s">
        <v>138</v>
      </c>
      <c r="H2185" s="22" t="s">
        <v>138</v>
      </c>
      <c r="I2185" s="26">
        <v>43706.156006944402</v>
      </c>
      <c r="J2185" s="28" t="s">
        <v>52</v>
      </c>
      <c r="K2185" s="28" t="s">
        <v>52</v>
      </c>
      <c r="L2185" s="28" t="s">
        <v>52</v>
      </c>
      <c r="M2185" s="28" t="s">
        <v>52</v>
      </c>
      <c r="N2185" s="28" t="s">
        <v>52</v>
      </c>
    </row>
    <row r="2186" spans="1:14" x14ac:dyDescent="0.2">
      <c r="A2186" s="23" t="str">
        <f>HYPERLINK("https://www.spark-marketing.ru/Card/Person/1328594", "ГАУСО МО ""КАШИРСКИЙ ЦСО ""ЗАБОТА""")</f>
        <v>ГАУСО МО "КАШИРСКИЙ ЦСО "ЗАБОТА"</v>
      </c>
      <c r="B2186" s="24" t="s">
        <v>3341</v>
      </c>
      <c r="C2186" s="25">
        <v>76568.28</v>
      </c>
      <c r="D2186" s="22" t="s">
        <v>3342</v>
      </c>
      <c r="E2186" s="22" t="s">
        <v>144</v>
      </c>
      <c r="F2186" s="23" t="str">
        <f>HYPERLINK("https://www.spark-marketing.ru/Card/Lot/73112233", "Оказание охранных услуг и принятие объекта на охрану")</f>
        <v>Оказание охранных услуг и принятие объекта на охрану</v>
      </c>
      <c r="G2186" s="22" t="s">
        <v>50</v>
      </c>
      <c r="H2186" s="22" t="s">
        <v>2283</v>
      </c>
      <c r="I2186" s="26">
        <v>43706</v>
      </c>
      <c r="J2186" s="28" t="s">
        <v>52</v>
      </c>
      <c r="K2186" s="28" t="s">
        <v>52</v>
      </c>
      <c r="L2186" s="28" t="s">
        <v>52</v>
      </c>
      <c r="M2186" s="25">
        <v>76568.28</v>
      </c>
      <c r="N2186" s="27">
        <v>0</v>
      </c>
    </row>
    <row r="2187" spans="1:14" x14ac:dyDescent="0.15">
      <c r="A2187" s="23" t="str">
        <f>HYPERLINK("https://www.spark-marketing.ru/Card/Person/4348813", "АО ""РЖДСТРОЙ""")</f>
        <v>АО "РЖДСТРОЙ"</v>
      </c>
      <c r="B2187" s="24" t="s">
        <v>975</v>
      </c>
      <c r="C2187" s="25">
        <v>1911897.72</v>
      </c>
      <c r="D2187" s="22" t="s">
        <v>3343</v>
      </c>
      <c r="E2187" s="22" t="s">
        <v>3344</v>
      </c>
      <c r="F2187" s="23" t="str">
        <f>HYPERLINK("https://www.spark-marketing.ru/Card/Lot/73121777", "Выполнение комплекса строительно-монтажных работ на объекте: ""Установка системы видеонаблюдения и охранной сигнализации на вокзале и прилегающей территории станции Плавск""")</f>
        <v>Выполнение комплекса строительно-монтажных работ на объекте: "Установка системы видеонаблюдения и охранной сигнализации на вокзале и прилегающей территории станции Плавск"</v>
      </c>
      <c r="G2187" s="22" t="s">
        <v>818</v>
      </c>
      <c r="H2187" s="22" t="s">
        <v>818</v>
      </c>
      <c r="I2187" s="26">
        <v>43706</v>
      </c>
      <c r="J2187" s="28" t="s">
        <v>52</v>
      </c>
      <c r="K2187" s="28" t="s">
        <v>52</v>
      </c>
      <c r="L2187" s="28" t="s">
        <v>52</v>
      </c>
      <c r="M2187" s="28" t="s">
        <v>52</v>
      </c>
      <c r="N2187" s="28" t="s">
        <v>52</v>
      </c>
    </row>
    <row r="2188" spans="1:14" x14ac:dyDescent="0.2">
      <c r="A2188" s="23" t="str">
        <f>HYPERLINK("https://www.spark-marketing.ru/Card/Person/4415479", "ГАПОУ СО ""УРАЛЬСКИЙ ЖЕЛЕЗНОДОРОЖНЫЙ ТЕХНИКУМ"", ГАПОУ СО ""УРЖТ""")</f>
        <v>ГАПОУ СО "УРАЛЬСКИЙ ЖЕЛЕЗНОДОРОЖНЫЙ ТЕХНИКУМ", ГАПОУ СО "УРЖТ"</v>
      </c>
      <c r="B2188" s="24" t="s">
        <v>3034</v>
      </c>
      <c r="C2188" s="25">
        <v>4833100.8</v>
      </c>
      <c r="D2188" s="22" t="s">
        <v>3345</v>
      </c>
      <c r="E2188" s="22" t="s">
        <v>691</v>
      </c>
      <c r="F2188" s="23" t="str">
        <f>HYPERLINK("https://www.spark-marketing.ru/Card/Lot/73119276", "Выполнение работ по установке, настройке и вводе в эксплуатацию системы контроля/управления доступом и охранной сигнализации")</f>
        <v>Выполнение работ по установке, настройке и вводе в эксплуатацию системы контроля/управления доступом и охранной сигнализации</v>
      </c>
      <c r="G2188" s="22" t="s">
        <v>72</v>
      </c>
      <c r="H2188" s="22" t="s">
        <v>72</v>
      </c>
      <c r="I2188" s="26">
        <v>43706</v>
      </c>
      <c r="J2188" s="28" t="s">
        <v>52</v>
      </c>
      <c r="K2188" s="28" t="s">
        <v>52</v>
      </c>
      <c r="L2188" s="22" t="s">
        <v>10</v>
      </c>
      <c r="M2188" s="25">
        <v>4833100.8</v>
      </c>
      <c r="N2188" s="27">
        <v>0</v>
      </c>
    </row>
    <row r="2189" spans="1:14" x14ac:dyDescent="0.2">
      <c r="A2189" s="23" t="str">
        <f>HYPERLINK("https://www.spark-marketing.ru/Card/Person/666553", "ФГП ВО ЖДТ РОССИИ")</f>
        <v>ФГП ВО ЖДТ РОССИИ</v>
      </c>
      <c r="B2189" s="24" t="s">
        <v>1269</v>
      </c>
      <c r="C2189" s="25">
        <v>4551000</v>
      </c>
      <c r="D2189" s="22" t="s">
        <v>3346</v>
      </c>
      <c r="E2189" s="22" t="s">
        <v>1923</v>
      </c>
      <c r="F2189" s="23" t="str">
        <f>HYPERLINK("https://www.spark-marketing.ru/Card/Lot/73105943", "Выполнение работ по определению количественных и качественных параметров светлых нефтепродуктов, перевозимых железнодорожным транспортом для нужд федерального государственного предприятия «Ведомственная охрана железнодорожного транспорта Российской Ф...")</f>
        <v>Выполнение работ по определению количественных и качественных параметров светлых нефтепродуктов, перевозимых железнодорожным транспортом для нужд федерального государственного предприятия «Ведомственная охрана железнодорожного транспорта Российской Ф...</v>
      </c>
      <c r="G2189" s="22" t="s">
        <v>55</v>
      </c>
      <c r="H2189" s="22" t="s">
        <v>55</v>
      </c>
      <c r="I2189" s="26">
        <v>43706</v>
      </c>
      <c r="J2189" s="28" t="s">
        <v>52</v>
      </c>
      <c r="K2189" s="28" t="s">
        <v>52</v>
      </c>
      <c r="L2189" s="22" t="s">
        <v>10</v>
      </c>
      <c r="M2189" s="25">
        <v>0</v>
      </c>
      <c r="N2189" s="27">
        <v>1</v>
      </c>
    </row>
    <row r="2190" spans="1:14" x14ac:dyDescent="0.15">
      <c r="A2190" s="23" t="str">
        <f>HYPERLINK("https://www.spark-marketing.ru/Card/Person/111098", "АО ""ПКМТП""")</f>
        <v>АО "ПКМТП"</v>
      </c>
      <c r="B2190" s="24" t="s">
        <v>1921</v>
      </c>
      <c r="C2190" s="25">
        <v>0</v>
      </c>
      <c r="D2190" s="22" t="s">
        <v>3347</v>
      </c>
      <c r="E2190" s="22" t="s">
        <v>1923</v>
      </c>
      <c r="F2190" s="23" t="str">
        <f>HYPERLINK("https://www.spark-marketing.ru/Card/Lot/73098278", "Оказание услуг по проверке технического состояния транспортных средств на предмет их соответствия обязательным требованиям безопасности транспортных средств")</f>
        <v>Оказание услуг по проверке технического состояния транспортных средств на предмет их соответствия обязательным требованиям безопасности транспортных средств</v>
      </c>
      <c r="G2190" s="22" t="s">
        <v>1141</v>
      </c>
      <c r="H2190" s="22" t="s">
        <v>1141</v>
      </c>
      <c r="I2190" s="26">
        <v>43706</v>
      </c>
      <c r="J2190" s="28" t="s">
        <v>52</v>
      </c>
      <c r="K2190" s="28" t="s">
        <v>52</v>
      </c>
      <c r="L2190" s="28" t="s">
        <v>52</v>
      </c>
      <c r="M2190" s="28" t="s">
        <v>52</v>
      </c>
      <c r="N2190" s="28" t="s">
        <v>52</v>
      </c>
    </row>
    <row r="2191" spans="1:14" x14ac:dyDescent="0.15">
      <c r="A2191" s="23" t="str">
        <f>HYPERLINK("https://www.spark-marketing.ru/Card/Person/108999", "ГАОУ ""ШКОЛА № 1518""")</f>
        <v>ГАОУ "ШКОЛА № 1518"</v>
      </c>
      <c r="B2191" s="24" t="s">
        <v>3348</v>
      </c>
      <c r="C2191" s="25">
        <v>80000</v>
      </c>
      <c r="D2191" s="22" t="s">
        <v>3349</v>
      </c>
      <c r="E2191" s="22" t="s">
        <v>144</v>
      </c>
      <c r="F2191" s="23" t="str">
        <f>HYPERLINK("https://www.spark-marketing.ru/Card/Lot/73105890", "Услуги пультовой охраны с использованием тревожной кнопки")</f>
        <v>Услуги пультовой охраны с использованием тревожной кнопки</v>
      </c>
      <c r="G2191" s="22" t="s">
        <v>55</v>
      </c>
      <c r="H2191" s="22" t="s">
        <v>55</v>
      </c>
      <c r="I2191" s="26">
        <v>43706</v>
      </c>
      <c r="J2191" s="28" t="s">
        <v>52</v>
      </c>
      <c r="K2191" s="28" t="s">
        <v>52</v>
      </c>
      <c r="L2191" s="28" t="s">
        <v>52</v>
      </c>
      <c r="M2191" s="28" t="s">
        <v>52</v>
      </c>
      <c r="N2191" s="28" t="s">
        <v>52</v>
      </c>
    </row>
    <row r="2192" spans="1:14" x14ac:dyDescent="0.15">
      <c r="A2192" s="23" t="str">
        <f>HYPERLINK("https://www.spark-marketing.ru/Card/Person/1761832", "ОАО ""РЫНОЧНЫЙ КОМПЛЕКС ""ЦАРИЦЫНСКИЙ""")</f>
        <v>ОАО "РЫНОЧНЫЙ КОМПЛЕКС "ЦАРИЦЫНСКИЙ"</v>
      </c>
      <c r="B2192" s="24" t="s">
        <v>613</v>
      </c>
      <c r="C2192" s="25">
        <v>293832</v>
      </c>
      <c r="D2192" s="22" t="s">
        <v>3350</v>
      </c>
      <c r="E2192" s="22" t="s">
        <v>615</v>
      </c>
      <c r="F2192" s="23" t="str">
        <f>HYPERLINK("https://www.spark-marketing.ru/Card/Lot/73116217", "оказание услуг по охране объекта")</f>
        <v>оказание услуг по охране объекта</v>
      </c>
      <c r="G2192" s="22" t="s">
        <v>55</v>
      </c>
      <c r="H2192" s="22" t="s">
        <v>55</v>
      </c>
      <c r="I2192" s="26">
        <v>43706</v>
      </c>
      <c r="J2192" s="28" t="s">
        <v>52</v>
      </c>
      <c r="K2192" s="28" t="s">
        <v>52</v>
      </c>
      <c r="L2192" s="28" t="s">
        <v>52</v>
      </c>
      <c r="M2192" s="28" t="s">
        <v>52</v>
      </c>
      <c r="N2192" s="28" t="s">
        <v>52</v>
      </c>
    </row>
    <row r="2193" spans="1:14" x14ac:dyDescent="0.15">
      <c r="A2193" s="23" t="str">
        <f>HYPERLINK("https://www.spark-marketing.ru/Card/Person/44380", "ПАО ""РГС БАНК""")</f>
        <v>ПАО "РГС БАНК"</v>
      </c>
      <c r="B2193" s="24" t="s">
        <v>3351</v>
      </c>
      <c r="C2193" s="25">
        <v>6887597.3700000001</v>
      </c>
      <c r="D2193" s="22" t="s">
        <v>3352</v>
      </c>
      <c r="E2193" s="22" t="s">
        <v>53</v>
      </c>
      <c r="F2193" s="23" t="str">
        <f>HYPERLINK("https://www.spark-marketing.ru/Card/Lot/73129454", "Услуги охраны имущества")</f>
        <v>Услуги охраны имущества</v>
      </c>
      <c r="G2193" s="22" t="s">
        <v>55</v>
      </c>
      <c r="H2193" s="22" t="s">
        <v>55</v>
      </c>
      <c r="I2193" s="26">
        <v>43706</v>
      </c>
      <c r="J2193" s="28" t="s">
        <v>52</v>
      </c>
      <c r="K2193" s="28" t="s">
        <v>52</v>
      </c>
      <c r="L2193" s="28" t="s">
        <v>52</v>
      </c>
      <c r="M2193" s="28" t="s">
        <v>52</v>
      </c>
      <c r="N2193" s="28" t="s">
        <v>52</v>
      </c>
    </row>
    <row r="2194" spans="1:14" x14ac:dyDescent="0.15">
      <c r="A2194" s="23" t="str">
        <f>HYPERLINK("https://www.spark-marketing.ru/Card/Person/58255", "ГОУ ВО МО ""ГОСУДАРСТВЕННЫЙ СОЦИАЛЬНО-ГУМАНИТАРНЫЙ УНИВЕРСИТЕТ""")</f>
        <v>ГОУ ВО МО "ГОСУДАРСТВЕННЫЙ СОЦИАЛЬНО-ГУМАНИТАРНЫЙ УНИВЕРСИТЕТ"</v>
      </c>
      <c r="B2194" s="24" t="s">
        <v>3353</v>
      </c>
      <c r="C2194" s="25">
        <v>135000</v>
      </c>
      <c r="D2194" s="22" t="s">
        <v>3354</v>
      </c>
      <c r="E2194" s="22" t="s">
        <v>691</v>
      </c>
      <c r="F2194" s="23" t="str">
        <f>HYPERLINK("https://www.spark-marketing.ru/Card/Lot/73108860", "Услуга по поставке и установке видеодомофонов для нужд ГОУ ВО МО ""ГСГУ""")</f>
        <v>Услуга по поставке и установке видеодомофонов для нужд ГОУ ВО МО "ГСГУ"</v>
      </c>
      <c r="G2194" s="22" t="s">
        <v>50</v>
      </c>
      <c r="H2194" s="22" t="s">
        <v>50</v>
      </c>
      <c r="I2194" s="26">
        <v>43706</v>
      </c>
      <c r="J2194" s="28" t="s">
        <v>52</v>
      </c>
      <c r="K2194" s="28" t="s">
        <v>52</v>
      </c>
      <c r="L2194" s="28" t="s">
        <v>52</v>
      </c>
      <c r="M2194" s="28" t="s">
        <v>52</v>
      </c>
      <c r="N2194" s="28" t="s">
        <v>52</v>
      </c>
    </row>
    <row r="2195" spans="1:14" x14ac:dyDescent="0.15">
      <c r="A2195" s="23" t="str">
        <f>HYPERLINK("https://www.spark-marketing.ru/Card/Person/44380", "ПАО ""РГС БАНК""")</f>
        <v>ПАО "РГС БАНК"</v>
      </c>
      <c r="B2195" s="24" t="s">
        <v>3351</v>
      </c>
      <c r="C2195" s="25">
        <v>9116546.8300000001</v>
      </c>
      <c r="D2195" s="22" t="s">
        <v>3352</v>
      </c>
      <c r="E2195" s="22" t="s">
        <v>53</v>
      </c>
      <c r="F2195" s="23" t="str">
        <f>HYPERLINK("https://www.spark-marketing.ru/Card/Lot/73129455", "Услуги технического обслуживания систем безопасности")</f>
        <v>Услуги технического обслуживания систем безопасности</v>
      </c>
      <c r="G2195" s="22" t="s">
        <v>55</v>
      </c>
      <c r="H2195" s="22" t="s">
        <v>55</v>
      </c>
      <c r="I2195" s="26">
        <v>43706</v>
      </c>
      <c r="J2195" s="28" t="s">
        <v>52</v>
      </c>
      <c r="K2195" s="28" t="s">
        <v>52</v>
      </c>
      <c r="L2195" s="28" t="s">
        <v>52</v>
      </c>
      <c r="M2195" s="28" t="s">
        <v>52</v>
      </c>
      <c r="N2195" s="28" t="s">
        <v>52</v>
      </c>
    </row>
    <row r="2196" spans="1:14" x14ac:dyDescent="0.15">
      <c r="A2196" s="23" t="str">
        <f>HYPERLINK("https://www.spark-marketing.ru/Card/Person/268105", "ОМВД РОССИИ ПО ФУРМАНОВСКОМУ РАЙОНУ")</f>
        <v>ОМВД РОССИИ ПО ФУРМАНОВСКОМУ РАЙОНУ</v>
      </c>
      <c r="B2196" s="24" t="s">
        <v>3049</v>
      </c>
      <c r="C2196" s="25">
        <v>14157.84</v>
      </c>
      <c r="D2196" s="22" t="s">
        <v>3355</v>
      </c>
      <c r="E2196" s="22" t="s">
        <v>107</v>
      </c>
      <c r="F2196" s="23" t="str">
        <f>HYPERLINK("https://www.spark-marketing.ru/Card/Lot/73093361", "Техническое обслуживание сигнализации, 1 шт")</f>
        <v>Техническое обслуживание сигнализации, 1 шт</v>
      </c>
      <c r="G2196" s="22" t="s">
        <v>340</v>
      </c>
      <c r="H2196" s="22" t="s">
        <v>3051</v>
      </c>
      <c r="I2196" s="26">
        <v>43705.839270833298</v>
      </c>
      <c r="J2196" s="28" t="s">
        <v>52</v>
      </c>
      <c r="K2196" s="28" t="s">
        <v>52</v>
      </c>
      <c r="L2196" s="28" t="s">
        <v>52</v>
      </c>
      <c r="M2196" s="28" t="s">
        <v>52</v>
      </c>
      <c r="N2196" s="28" t="s">
        <v>52</v>
      </c>
    </row>
    <row r="2197" spans="1:14" x14ac:dyDescent="0.15">
      <c r="A2197" s="23" t="str">
        <f>HYPERLINK("https://www.spark-marketing.ru/Card/Person/268105", "ОМВД РОССИИ ПО ФУРМАНОВСКОМУ РАЙОНУ")</f>
        <v>ОМВД РОССИИ ПО ФУРМАНОВСКОМУ РАЙОНУ</v>
      </c>
      <c r="B2197" s="24" t="s">
        <v>3049</v>
      </c>
      <c r="C2197" s="25">
        <v>14157.84</v>
      </c>
      <c r="D2197" s="22" t="s">
        <v>3356</v>
      </c>
      <c r="E2197" s="22" t="s">
        <v>107</v>
      </c>
      <c r="F2197" s="23" t="str">
        <f>HYPERLINK("https://www.spark-marketing.ru/Card/Lot/73093354", "Техническое обслуживание сигнализации, 1 шт")</f>
        <v>Техническое обслуживание сигнализации, 1 шт</v>
      </c>
      <c r="G2197" s="22" t="s">
        <v>340</v>
      </c>
      <c r="H2197" s="22" t="s">
        <v>3051</v>
      </c>
      <c r="I2197" s="26">
        <v>43705.820011574098</v>
      </c>
      <c r="J2197" s="28" t="s">
        <v>52</v>
      </c>
      <c r="K2197" s="28" t="s">
        <v>52</v>
      </c>
      <c r="L2197" s="28" t="s">
        <v>52</v>
      </c>
      <c r="M2197" s="28" t="s">
        <v>52</v>
      </c>
      <c r="N2197" s="28" t="s">
        <v>52</v>
      </c>
    </row>
    <row r="2198" spans="1:14" x14ac:dyDescent="0.15">
      <c r="A2198" s="23" t="str">
        <f>HYPERLINK("https://www.spark-marketing.ru/Card/Person/35252", "ОКУ "" УЭ ГТС""")</f>
        <v>ОКУ " УЭ ГТС"</v>
      </c>
      <c r="B2198" s="24" t="s">
        <v>3126</v>
      </c>
      <c r="C2198" s="25">
        <v>100000</v>
      </c>
      <c r="D2198" s="22" t="s">
        <v>3357</v>
      </c>
      <c r="E2198" s="22" t="s">
        <v>376</v>
      </c>
      <c r="F2198" s="23" t="str">
        <f>HYPERLINK("https://www.spark-marketing.ru/Card/Lot/73091122", "Поставка и установка автоматического шлагбаума")</f>
        <v>Поставка и установка автоматического шлагбаума</v>
      </c>
      <c r="G2198" s="22" t="s">
        <v>3128</v>
      </c>
      <c r="H2198" s="22" t="s">
        <v>3129</v>
      </c>
      <c r="I2198" s="26">
        <v>43705.705671296302</v>
      </c>
      <c r="J2198" s="28" t="s">
        <v>52</v>
      </c>
      <c r="K2198" s="28" t="s">
        <v>52</v>
      </c>
      <c r="L2198" s="28" t="s">
        <v>52</v>
      </c>
      <c r="M2198" s="28" t="s">
        <v>52</v>
      </c>
      <c r="N2198" s="28" t="s">
        <v>52</v>
      </c>
    </row>
    <row r="2199" spans="1:14" ht="12.75" hidden="1" outlineLevel="1" x14ac:dyDescent="0.2">
      <c r="A2199" s="23" t="str">
        <f>HYPERLINK("https://www.spark-marketing.ru/Card/Person/35252", "ОКУ "" УЭ ГТС""")</f>
        <v>ОКУ " УЭ ГТС"</v>
      </c>
      <c r="B2199" s="24" t="s">
        <v>3126</v>
      </c>
      <c r="C2199" s="25">
        <v>100000</v>
      </c>
      <c r="D2199" s="22" t="s">
        <v>3357</v>
      </c>
      <c r="E2199" s="22" t="s">
        <v>376</v>
      </c>
      <c r="F2199" s="23" t="str">
        <f>HYPERLINK("https://www.spark-marketing.ru/Card/Lot/73091122", "Поставка и установка автоматического шлагбаума")</f>
        <v>Поставка и установка автоматического шлагбаума</v>
      </c>
      <c r="G2199" s="22" t="s">
        <v>3128</v>
      </c>
      <c r="H2199" s="22" t="s">
        <v>3129</v>
      </c>
      <c r="I2199" s="26">
        <v>43705.705671296302</v>
      </c>
      <c r="J2199" s="23" t="str">
        <f>HYPERLINK("https://www.spark-marketing.ru/Card/Person/173168", "Замякин Петр Николаевич")</f>
        <v>Замякин Петр Николаевич</v>
      </c>
      <c r="K2199" s="24" t="s">
        <v>3358</v>
      </c>
      <c r="L2199" s="22" t="s">
        <v>10</v>
      </c>
      <c r="M2199" s="25">
        <v>89500</v>
      </c>
      <c r="N2199" s="27">
        <v>0.105</v>
      </c>
    </row>
    <row r="2200" spans="1:14" hidden="1" outlineLevel="1" x14ac:dyDescent="0.2">
      <c r="A2200" s="23" t="str">
        <f>HYPERLINK("https://www.spark-marketing.ru/Card/Person/35252", "ОКУ "" УЭ ГТС""")</f>
        <v>ОКУ " УЭ ГТС"</v>
      </c>
      <c r="B2200" s="24" t="s">
        <v>3126</v>
      </c>
      <c r="C2200" s="25">
        <v>100000</v>
      </c>
      <c r="D2200" s="22" t="s">
        <v>3357</v>
      </c>
      <c r="E2200" s="22" t="s">
        <v>376</v>
      </c>
      <c r="F2200" s="23" t="str">
        <f>HYPERLINK("https://www.spark-marketing.ru/Card/Lot/73091122", "Поставка и установка автоматического шлагбаума")</f>
        <v>Поставка и установка автоматического шлагбаума</v>
      </c>
      <c r="G2200" s="22" t="s">
        <v>3128</v>
      </c>
      <c r="H2200" s="22" t="s">
        <v>3129</v>
      </c>
      <c r="I2200" s="26">
        <v>43705.705671296302</v>
      </c>
      <c r="J2200" s="23" t="str">
        <f>HYPERLINK("https://www.spark-marketing.ru/Card/Person/369978", "ООО ""ХАМЕЛЕОН""")</f>
        <v>ООО "ХАМЕЛЕОН"</v>
      </c>
      <c r="K2200" s="24" t="s">
        <v>3130</v>
      </c>
      <c r="L2200" s="28" t="s">
        <v>52</v>
      </c>
      <c r="M2200" s="25">
        <v>90000</v>
      </c>
      <c r="N2200" s="27">
        <v>0.1</v>
      </c>
    </row>
    <row r="2201" spans="1:14" x14ac:dyDescent="0.15">
      <c r="A2201" s="23" t="str">
        <f>HYPERLINK("https://www.spark-marketing.ru/Card/Person/47527", "ВЕРХОВНЫЙ СУД РТ")</f>
        <v>ВЕРХОВНЫЙ СУД РТ</v>
      </c>
      <c r="B2201" s="24" t="s">
        <v>3359</v>
      </c>
      <c r="C2201" s="25">
        <v>170417.85</v>
      </c>
      <c r="D2201" s="22" t="s">
        <v>3360</v>
      </c>
      <c r="E2201" s="22" t="s">
        <v>68</v>
      </c>
      <c r="F2201" s="23" t="str">
        <f>HYPERLINK("https://www.spark-marketing.ru/Card/Lot/73083957", "Охрана общественного порядка на объектах Верховного суда Республики Тыва")</f>
        <v>Охрана общественного порядка на объектах Верховного суда Республики Тыва</v>
      </c>
      <c r="G2201" s="22" t="s">
        <v>2193</v>
      </c>
      <c r="H2201" s="22" t="s">
        <v>2194</v>
      </c>
      <c r="I2201" s="26">
        <v>43705.644456018497</v>
      </c>
      <c r="J2201" s="28" t="s">
        <v>52</v>
      </c>
      <c r="K2201" s="28" t="s">
        <v>52</v>
      </c>
      <c r="L2201" s="28" t="s">
        <v>52</v>
      </c>
      <c r="M2201" s="28" t="s">
        <v>52</v>
      </c>
      <c r="N2201" s="28" t="s">
        <v>52</v>
      </c>
    </row>
    <row r="2202" spans="1:14" x14ac:dyDescent="0.15">
      <c r="A2202" s="23" t="str">
        <f>HYPERLINK("https://www.spark-marketing.ru/Card/Person/71779", "ОТДЕЛ МВД РОССИИ ПО СЕВЕРСКОМУ РАЙОНУ")</f>
        <v>ОТДЕЛ МВД РОССИИ ПО СЕВЕРСКОМУ РАЙОНУ</v>
      </c>
      <c r="B2202" s="24" t="s">
        <v>3361</v>
      </c>
      <c r="C2202" s="25">
        <v>7200</v>
      </c>
      <c r="D2202" s="22" t="s">
        <v>3362</v>
      </c>
      <c r="E2202" s="22" t="s">
        <v>84</v>
      </c>
      <c r="F2202" s="23" t="str">
        <f>HYPERLINK("https://www.spark-marketing.ru/Card/Lot/73086895", "Техническое обслуживание систем видеонаблюдения, 1 шт")</f>
        <v>Техническое обслуживание систем видеонаблюдения, 1 шт</v>
      </c>
      <c r="G2202" s="22" t="s">
        <v>132</v>
      </c>
      <c r="H2202" s="22" t="s">
        <v>2560</v>
      </c>
      <c r="I2202" s="26">
        <v>43705.704571759299</v>
      </c>
      <c r="J2202" s="28" t="s">
        <v>52</v>
      </c>
      <c r="K2202" s="28" t="s">
        <v>52</v>
      </c>
      <c r="L2202" s="28" t="s">
        <v>52</v>
      </c>
      <c r="M2202" s="28" t="s">
        <v>52</v>
      </c>
      <c r="N2202" s="28" t="s">
        <v>52</v>
      </c>
    </row>
    <row r="2203" spans="1:14" x14ac:dyDescent="0.15">
      <c r="A2203" s="23" t="str">
        <f>HYPERLINK("https://www.spark-marketing.ru/Card/Person/330018", "ФЛ Калининская АЭС")</f>
        <v>ФЛ Калининская АЭС</v>
      </c>
      <c r="B2203" s="24" t="s">
        <v>211</v>
      </c>
      <c r="C2203" s="25">
        <v>0</v>
      </c>
      <c r="D2203" s="22" t="s">
        <v>3363</v>
      </c>
      <c r="E2203" s="22" t="s">
        <v>53</v>
      </c>
      <c r="F2203" s="23" t="str">
        <f>HYPERLINK("https://www.spark-marketing.ru/Card/Lot/73092019", "мониторинг цен в электронной форме на Оказание услуг по техническому обслуживанию инженерно-технических средств охраны гидросооружений и прилегающих территорий Калининской АЭС")</f>
        <v>мониторинг цен в электронной форме на Оказание услуг по техническому обслуживанию инженерно-технических средств охраны гидросооружений и прилегающих территорий Калининской АЭС</v>
      </c>
      <c r="G2203" s="22" t="s">
        <v>55</v>
      </c>
      <c r="H2203" s="22" t="s">
        <v>55</v>
      </c>
      <c r="I2203" s="26">
        <v>43705.707638888904</v>
      </c>
      <c r="J2203" s="28" t="s">
        <v>52</v>
      </c>
      <c r="K2203" s="28" t="s">
        <v>52</v>
      </c>
      <c r="L2203" s="28" t="s">
        <v>52</v>
      </c>
      <c r="M2203" s="28" t="s">
        <v>52</v>
      </c>
      <c r="N2203" s="28" t="s">
        <v>52</v>
      </c>
    </row>
    <row r="2204" spans="1:14" x14ac:dyDescent="0.15">
      <c r="A2204" s="23" t="str">
        <f>HYPERLINK("https://www.spark-marketing.ru/Card/Person/35252", "ОКУ "" УЭ ГТС""")</f>
        <v>ОКУ " УЭ ГТС"</v>
      </c>
      <c r="B2204" s="24" t="s">
        <v>3126</v>
      </c>
      <c r="C2204" s="25">
        <v>200000</v>
      </c>
      <c r="D2204" s="22" t="s">
        <v>3364</v>
      </c>
      <c r="E2204" s="22" t="s">
        <v>487</v>
      </c>
      <c r="F2204" s="23" t="str">
        <f>HYPERLINK("https://www.spark-marketing.ru/Card/Lot/73088968", "Поставка блок-контейнера (поста охраны)")</f>
        <v>Поставка блок-контейнера (поста охраны)</v>
      </c>
      <c r="G2204" s="22" t="s">
        <v>3128</v>
      </c>
      <c r="H2204" s="22" t="s">
        <v>3129</v>
      </c>
      <c r="I2204" s="26">
        <v>43705.483495370398</v>
      </c>
      <c r="J2204" s="28" t="s">
        <v>52</v>
      </c>
      <c r="K2204" s="28" t="s">
        <v>52</v>
      </c>
      <c r="L2204" s="28" t="s">
        <v>52</v>
      </c>
      <c r="M2204" s="28" t="s">
        <v>52</v>
      </c>
      <c r="N2204" s="28" t="s">
        <v>52</v>
      </c>
    </row>
    <row r="2205" spans="1:14" ht="12.75" hidden="1" outlineLevel="1" x14ac:dyDescent="0.2">
      <c r="A2205" s="23" t="str">
        <f>HYPERLINK("https://www.spark-marketing.ru/Card/Person/35252", "ОКУ "" УЭ ГТС""")</f>
        <v>ОКУ " УЭ ГТС"</v>
      </c>
      <c r="B2205" s="24" t="s">
        <v>3126</v>
      </c>
      <c r="C2205" s="25">
        <v>200000</v>
      </c>
      <c r="D2205" s="22" t="s">
        <v>3364</v>
      </c>
      <c r="E2205" s="22" t="s">
        <v>487</v>
      </c>
      <c r="F2205" s="23" t="str">
        <f>HYPERLINK("https://www.spark-marketing.ru/Card/Lot/73088968", "Поставка блок-контейнера (поста охраны)")</f>
        <v>Поставка блок-контейнера (поста охраны)</v>
      </c>
      <c r="G2205" s="22" t="s">
        <v>3128</v>
      </c>
      <c r="H2205" s="22" t="s">
        <v>3129</v>
      </c>
      <c r="I2205" s="26">
        <v>43705.483495370398</v>
      </c>
      <c r="J2205" s="23" t="str">
        <f>HYPERLINK("https://www.spark-marketing.ru/Card/Person/78581", "Лушников Андрей Владимирович")</f>
        <v>Лушников Андрей Владимирович</v>
      </c>
      <c r="K2205" s="24" t="s">
        <v>3365</v>
      </c>
      <c r="L2205" s="22" t="s">
        <v>10</v>
      </c>
      <c r="M2205" s="25">
        <v>147000</v>
      </c>
      <c r="N2205" s="27">
        <v>0.26500000000000001</v>
      </c>
    </row>
    <row r="2206" spans="1:14" hidden="1" outlineLevel="1" x14ac:dyDescent="0.2">
      <c r="A2206" s="23" t="str">
        <f>HYPERLINK("https://www.spark-marketing.ru/Card/Person/35252", "ОКУ "" УЭ ГТС""")</f>
        <v>ОКУ " УЭ ГТС"</v>
      </c>
      <c r="B2206" s="24" t="s">
        <v>3126</v>
      </c>
      <c r="C2206" s="25">
        <v>200000</v>
      </c>
      <c r="D2206" s="22" t="s">
        <v>3364</v>
      </c>
      <c r="E2206" s="22" t="s">
        <v>487</v>
      </c>
      <c r="F2206" s="23" t="str">
        <f>HYPERLINK("https://www.spark-marketing.ru/Card/Lot/73088968", "Поставка блок-контейнера (поста охраны)")</f>
        <v>Поставка блок-контейнера (поста охраны)</v>
      </c>
      <c r="G2206" s="22" t="s">
        <v>3128</v>
      </c>
      <c r="H2206" s="22" t="s">
        <v>3129</v>
      </c>
      <c r="I2206" s="26">
        <v>43705.483495370398</v>
      </c>
      <c r="J2206" s="23" t="str">
        <f>HYPERLINK("https://www.spark-marketing.ru/Card/Person/369978", "ООО ""ХАМЕЛЕОН""")</f>
        <v>ООО "ХАМЕЛЕОН"</v>
      </c>
      <c r="K2206" s="24" t="s">
        <v>3130</v>
      </c>
      <c r="L2206" s="28" t="s">
        <v>52</v>
      </c>
      <c r="M2206" s="25">
        <v>148000</v>
      </c>
      <c r="N2206" s="27">
        <v>0.26</v>
      </c>
    </row>
    <row r="2207" spans="1:14" x14ac:dyDescent="0.15">
      <c r="A2207" s="23" t="str">
        <f>HYPERLINK("https://www.spark-marketing.ru/Card/Person/2097942", "АО ""КОНЦЕРН РОСЭНЕРГОАТОМ""")</f>
        <v>АО "КОНЦЕРН РОСЭНЕРГОАТОМ"</v>
      </c>
      <c r="B2207" s="24" t="s">
        <v>211</v>
      </c>
      <c r="C2207" s="28" t="s">
        <v>52</v>
      </c>
      <c r="D2207" s="22" t="s">
        <v>3366</v>
      </c>
      <c r="E2207" s="22" t="s">
        <v>107</v>
      </c>
      <c r="F2207" s="23" t="str">
        <f>HYPERLINK("https://www.spark-marketing.ru/Card/Lot/73093908", "Оказание услуг по техническому обслуживанию инженерно-технических средств охраны гидросооружений и прилегающих территорий Калининской АЭС")</f>
        <v>Оказание услуг по техническому обслуживанию инженерно-технических средств охраны гидросооружений и прилегающих территорий Калининской АЭС</v>
      </c>
      <c r="G2207" s="22" t="s">
        <v>55</v>
      </c>
      <c r="H2207" s="22" t="s">
        <v>55</v>
      </c>
      <c r="I2207" s="26">
        <v>43705.707731481503</v>
      </c>
      <c r="J2207" s="28" t="s">
        <v>52</v>
      </c>
      <c r="K2207" s="28" t="s">
        <v>52</v>
      </c>
      <c r="L2207" s="28" t="s">
        <v>52</v>
      </c>
      <c r="M2207" s="28" t="s">
        <v>52</v>
      </c>
      <c r="N2207" s="28" t="s">
        <v>52</v>
      </c>
    </row>
    <row r="2208" spans="1:14" x14ac:dyDescent="0.15">
      <c r="A2208" s="23" t="str">
        <f t="shared" ref="A2208:A2215" si="88">HYPERLINK("https://www.spark-marketing.ru/Card/Person/4376", "ГБУЗ ""ГКБ ИМ. М.П. КОНЧАЛОВСКОГО ДЗМ""")</f>
        <v>ГБУЗ "ГКБ ИМ. М.П. КОНЧАЛОВСКОГО ДЗМ"</v>
      </c>
      <c r="B2208" s="24" t="s">
        <v>3367</v>
      </c>
      <c r="C2208" s="25">
        <v>2755334.46</v>
      </c>
      <c r="D2208" s="22" t="s">
        <v>3368</v>
      </c>
      <c r="E2208" s="22" t="s">
        <v>349</v>
      </c>
      <c r="F2208" s="23" t="str">
        <f t="shared" ref="F2208:F2215" si="89">HYPERLINK("https://www.spark-marketing.ru/Card/Lot/73093641", "Аукцион в электронной форме на право заключения государственного контракта на оказание услуг по техническому обслуживанию беспроводной палатной сигнализации на два года ГБУЗ ""ГКБ им. М.П. Кончаловского ДЗМ"" и Филиала ""Перинатальный центр"" ГБУЗ ГК...")</f>
        <v>Аукцион в электронной форме на право заключения государственного контракта на оказание услуг по техническому обслуживанию беспроводной палатной сигнализации на два года ГБУЗ "ГКБ им. М.П. Кончаловского ДЗМ" и Филиала "Перинатальный центр" ГБУЗ ГК...</v>
      </c>
      <c r="G2208" s="22" t="s">
        <v>55</v>
      </c>
      <c r="H2208" s="22" t="s">
        <v>55</v>
      </c>
      <c r="I2208" s="26">
        <v>43705.687465277799</v>
      </c>
      <c r="J2208" s="28" t="s">
        <v>52</v>
      </c>
      <c r="K2208" s="28" t="s">
        <v>52</v>
      </c>
      <c r="L2208" s="28" t="s">
        <v>52</v>
      </c>
      <c r="M2208" s="28" t="s">
        <v>52</v>
      </c>
      <c r="N2208" s="28" t="s">
        <v>52</v>
      </c>
    </row>
    <row r="2209" spans="1:14" hidden="1" outlineLevel="1" x14ac:dyDescent="0.2">
      <c r="A2209" s="23" t="str">
        <f t="shared" si="88"/>
        <v>ГБУЗ "ГКБ ИМ. М.П. КОНЧАЛОВСКОГО ДЗМ"</v>
      </c>
      <c r="B2209" s="24" t="s">
        <v>3367</v>
      </c>
      <c r="C2209" s="25">
        <v>2755334.46</v>
      </c>
      <c r="D2209" s="22" t="s">
        <v>3368</v>
      </c>
      <c r="E2209" s="22" t="s">
        <v>349</v>
      </c>
      <c r="F2209" s="23" t="str">
        <f t="shared" si="89"/>
        <v>Аукцион в электронной форме на право заключения государственного контракта на оказание услуг по техническому обслуживанию беспроводной палатной сигнализации на два года ГБУЗ "ГКБ им. М.П. Кончаловского ДЗМ" и Филиала "Перинатальный центр" ГБУЗ ГК...</v>
      </c>
      <c r="G2209" s="22" t="s">
        <v>55</v>
      </c>
      <c r="H2209" s="22" t="s">
        <v>55</v>
      </c>
      <c r="I2209" s="26">
        <v>43705.687465277799</v>
      </c>
      <c r="J2209" s="23" t="str">
        <f>HYPERLINK("https://www.spark-marketing.ru/Card/Person/6700644", "Овсянников Сергей Викторович")</f>
        <v>Овсянников Сергей Викторович</v>
      </c>
      <c r="K2209" s="24" t="s">
        <v>3369</v>
      </c>
      <c r="L2209" s="28" t="s">
        <v>52</v>
      </c>
      <c r="M2209" s="25">
        <v>702583.01</v>
      </c>
      <c r="N2209" s="27">
        <v>0.74500989981448573</v>
      </c>
    </row>
    <row r="2210" spans="1:14" hidden="1" outlineLevel="1" x14ac:dyDescent="0.2">
      <c r="A2210" s="23" t="str">
        <f t="shared" si="88"/>
        <v>ГБУЗ "ГКБ ИМ. М.П. КОНЧАЛОВСКОГО ДЗМ"</v>
      </c>
      <c r="B2210" s="24" t="s">
        <v>3367</v>
      </c>
      <c r="C2210" s="25">
        <v>2755334.46</v>
      </c>
      <c r="D2210" s="22" t="s">
        <v>3368</v>
      </c>
      <c r="E2210" s="22" t="s">
        <v>349</v>
      </c>
      <c r="F2210" s="23" t="str">
        <f t="shared" si="89"/>
        <v>Аукцион в электронной форме на право заключения государственного контракта на оказание услуг по техническому обслуживанию беспроводной палатной сигнализации на два года ГБУЗ "ГКБ им. М.П. Кончаловского ДЗМ" и Филиала "Перинатальный центр" ГБУЗ ГК...</v>
      </c>
      <c r="G2210" s="22" t="s">
        <v>55</v>
      </c>
      <c r="H2210" s="22" t="s">
        <v>55</v>
      </c>
      <c r="I2210" s="26">
        <v>43705.687465277799</v>
      </c>
      <c r="J2210" s="23" t="str">
        <f>HYPERLINK("https://www.spark-marketing.ru/Card/Person/1661952", "ООО ЧОО ""МИР БЕЗОПАСНОСТИ""")</f>
        <v>ООО ЧОО "МИР БЕЗОПАСНОСТИ"</v>
      </c>
      <c r="K2210" s="24" t="s">
        <v>3370</v>
      </c>
      <c r="L2210" s="28" t="s">
        <v>52</v>
      </c>
      <c r="M2210" s="25">
        <v>2231821</v>
      </c>
      <c r="N2210" s="27">
        <v>0.18999996827971294</v>
      </c>
    </row>
    <row r="2211" spans="1:14" hidden="1" outlineLevel="1" x14ac:dyDescent="0.2">
      <c r="A2211" s="23" t="str">
        <f t="shared" si="88"/>
        <v>ГБУЗ "ГКБ ИМ. М.П. КОНЧАЛОВСКОГО ДЗМ"</v>
      </c>
      <c r="B2211" s="24" t="s">
        <v>3367</v>
      </c>
      <c r="C2211" s="25">
        <v>2755334.46</v>
      </c>
      <c r="D2211" s="22" t="s">
        <v>3368</v>
      </c>
      <c r="E2211" s="22" t="s">
        <v>349</v>
      </c>
      <c r="F2211" s="23" t="str">
        <f t="shared" si="89"/>
        <v>Аукцион в электронной форме на право заключения государственного контракта на оказание услуг по техническому обслуживанию беспроводной палатной сигнализации на два года ГБУЗ "ГКБ им. М.П. Кончаловского ДЗМ" и Филиала "Перинатальный центр" ГБУЗ ГК...</v>
      </c>
      <c r="G2211" s="22" t="s">
        <v>55</v>
      </c>
      <c r="H2211" s="22" t="s">
        <v>55</v>
      </c>
      <c r="I2211" s="26">
        <v>43705.687465277799</v>
      </c>
      <c r="J2211" s="23" t="str">
        <f>HYPERLINK("https://www.spark-marketing.ru/Card/Person/2576628", "ООО ""АЛЬТЕРА""")</f>
        <v>ООО "АЛЬТЕРА"</v>
      </c>
      <c r="K2211" s="24" t="s">
        <v>1718</v>
      </c>
      <c r="L2211" s="28" t="s">
        <v>52</v>
      </c>
      <c r="M2211" s="25">
        <v>1708279.92</v>
      </c>
      <c r="N2211" s="27">
        <v>0.3800099607508266</v>
      </c>
    </row>
    <row r="2212" spans="1:14" hidden="1" outlineLevel="1" x14ac:dyDescent="0.2">
      <c r="A2212" s="23" t="str">
        <f t="shared" si="88"/>
        <v>ГБУЗ "ГКБ ИМ. М.П. КОНЧАЛОВСКОГО ДЗМ"</v>
      </c>
      <c r="B2212" s="24" t="s">
        <v>3367</v>
      </c>
      <c r="C2212" s="25">
        <v>2755334.46</v>
      </c>
      <c r="D2212" s="22" t="s">
        <v>3368</v>
      </c>
      <c r="E2212" s="22" t="s">
        <v>349</v>
      </c>
      <c r="F2212" s="23" t="str">
        <f t="shared" si="89"/>
        <v>Аукцион в электронной форме на право заключения государственного контракта на оказание услуг по техническому обслуживанию беспроводной палатной сигнализации на два года ГБУЗ "ГКБ им. М.П. Кончаловского ДЗМ" и Филиала "Перинатальный центр" ГБУЗ ГК...</v>
      </c>
      <c r="G2212" s="22" t="s">
        <v>55</v>
      </c>
      <c r="H2212" s="22" t="s">
        <v>55</v>
      </c>
      <c r="I2212" s="26">
        <v>43705.687465277799</v>
      </c>
      <c r="J2212" s="23" t="str">
        <f>HYPERLINK("https://www.spark-marketing.ru/Card/Person/6095484", "ООО ""АБ-МОТОРС""")</f>
        <v>ООО "АБ-МОТОРС"</v>
      </c>
      <c r="K2212" s="24" t="s">
        <v>3371</v>
      </c>
      <c r="L2212" s="28" t="s">
        <v>52</v>
      </c>
      <c r="M2212" s="25">
        <v>2755334.45</v>
      </c>
      <c r="N2212" s="27">
        <v>3.6293234615154488E-9</v>
      </c>
    </row>
    <row r="2213" spans="1:14" hidden="1" outlineLevel="1" x14ac:dyDescent="0.2">
      <c r="A2213" s="23" t="str">
        <f t="shared" si="88"/>
        <v>ГБУЗ "ГКБ ИМ. М.П. КОНЧАЛОВСКОГО ДЗМ"</v>
      </c>
      <c r="B2213" s="24" t="s">
        <v>3367</v>
      </c>
      <c r="C2213" s="25">
        <v>2755334.46</v>
      </c>
      <c r="D2213" s="22" t="s">
        <v>3368</v>
      </c>
      <c r="E2213" s="22" t="s">
        <v>349</v>
      </c>
      <c r="F2213" s="23" t="str">
        <f t="shared" si="89"/>
        <v>Аукцион в электронной форме на право заключения государственного контракта на оказание услуг по техническому обслуживанию беспроводной палатной сигнализации на два года ГБУЗ "ГКБ им. М.П. Кончаловского ДЗМ" и Филиала "Перинатальный центр" ГБУЗ ГК...</v>
      </c>
      <c r="G2213" s="22" t="s">
        <v>55</v>
      </c>
      <c r="H2213" s="22" t="s">
        <v>55</v>
      </c>
      <c r="I2213" s="26">
        <v>43705.687465277799</v>
      </c>
      <c r="J2213" s="23" t="str">
        <f>HYPERLINK("https://www.spark-marketing.ru/Card/Person/6584283", "ООО ""БИЗНЕС СТРОЙ""")</f>
        <v>ООО "БИЗНЕС СТРОЙ"</v>
      </c>
      <c r="K2213" s="24" t="s">
        <v>3090</v>
      </c>
      <c r="L2213" s="28" t="s">
        <v>52</v>
      </c>
      <c r="M2213" s="25">
        <v>2200000</v>
      </c>
      <c r="N2213" s="27">
        <v>0.20154883846660127</v>
      </c>
    </row>
    <row r="2214" spans="1:14" hidden="1" outlineLevel="1" x14ac:dyDescent="0.2">
      <c r="A2214" s="23" t="str">
        <f t="shared" si="88"/>
        <v>ГБУЗ "ГКБ ИМ. М.П. КОНЧАЛОВСКОГО ДЗМ"</v>
      </c>
      <c r="B2214" s="24" t="s">
        <v>3367</v>
      </c>
      <c r="C2214" s="25">
        <v>2755334.46</v>
      </c>
      <c r="D2214" s="22" t="s">
        <v>3368</v>
      </c>
      <c r="E2214" s="22" t="s">
        <v>349</v>
      </c>
      <c r="F2214" s="23" t="str">
        <f t="shared" si="89"/>
        <v>Аукцион в электронной форме на право заключения государственного контракта на оказание услуг по техническому обслуживанию беспроводной палатной сигнализации на два года ГБУЗ "ГКБ им. М.П. Кончаловского ДЗМ" и Филиала "Перинатальный центр" ГБУЗ ГК...</v>
      </c>
      <c r="G2214" s="22" t="s">
        <v>55</v>
      </c>
      <c r="H2214" s="22" t="s">
        <v>55</v>
      </c>
      <c r="I2214" s="26">
        <v>43705.687465277799</v>
      </c>
      <c r="J2214" s="23" t="str">
        <f>HYPERLINK("https://www.spark-marketing.ru/Card/Person/491146", "ООО ""ШЕПЕТ НТ""")</f>
        <v>ООО "ШЕПЕТ НТ"</v>
      </c>
      <c r="K2214" s="24" t="s">
        <v>3372</v>
      </c>
      <c r="L2214" s="28" t="s">
        <v>52</v>
      </c>
      <c r="M2214" s="25">
        <v>1226096.47</v>
      </c>
      <c r="N2214" s="27">
        <v>0.55500993153477274</v>
      </c>
    </row>
    <row r="2215" spans="1:14" ht="12.75" hidden="1" outlineLevel="1" x14ac:dyDescent="0.2">
      <c r="A2215" s="23" t="str">
        <f t="shared" si="88"/>
        <v>ГБУЗ "ГКБ ИМ. М.П. КОНЧАЛОВСКОГО ДЗМ"</v>
      </c>
      <c r="B2215" s="24" t="s">
        <v>3367</v>
      </c>
      <c r="C2215" s="25">
        <v>2755334.46</v>
      </c>
      <c r="D2215" s="22" t="s">
        <v>3368</v>
      </c>
      <c r="E2215" s="22" t="s">
        <v>349</v>
      </c>
      <c r="F2215" s="23" t="str">
        <f t="shared" si="89"/>
        <v>Аукцион в электронной форме на право заключения государственного контракта на оказание услуг по техническому обслуживанию беспроводной палатной сигнализации на два года ГБУЗ "ГКБ им. М.П. Кончаловского ДЗМ" и Филиала "Перинатальный центр" ГБУЗ ГК...</v>
      </c>
      <c r="G2215" s="22" t="s">
        <v>55</v>
      </c>
      <c r="H2215" s="22" t="s">
        <v>55</v>
      </c>
      <c r="I2215" s="26">
        <v>43705.687465277799</v>
      </c>
      <c r="J2215" s="23" t="str">
        <f>HYPERLINK("https://www.spark-marketing.ru/Card/Person/75204", "ООО ""ТЕВИЯ""")</f>
        <v>ООО "ТЕВИЯ"</v>
      </c>
      <c r="K2215" s="24" t="s">
        <v>3373</v>
      </c>
      <c r="L2215" s="22" t="s">
        <v>10</v>
      </c>
      <c r="M2215" s="25">
        <v>688806.34</v>
      </c>
      <c r="N2215" s="27">
        <v>0.75000989897974124</v>
      </c>
    </row>
    <row r="2216" spans="1:14" x14ac:dyDescent="0.15">
      <c r="A2216" s="23" t="str">
        <f>HYPERLINK("https://www.spark-marketing.ru/Card/Person/56444", "ФКУ ""ЦВСИГ МВД РОССИИ, Г. ПСКОВ""")</f>
        <v>ФКУ "ЦВСИГ МВД РОССИИ, Г. ПСКОВ"</v>
      </c>
      <c r="B2216" s="24" t="s">
        <v>3374</v>
      </c>
      <c r="C2216" s="25">
        <v>149173.20000000001</v>
      </c>
      <c r="D2216" s="22" t="s">
        <v>3375</v>
      </c>
      <c r="E2216" s="22" t="s">
        <v>53</v>
      </c>
      <c r="F2216" s="23" t="str">
        <f>HYPERLINK("https://www.spark-marketing.ru/Card/Lot/73083771", "Техническое обслуживание системы охранной сигнализации (всего 113,01 условных установок) в 2020 году")</f>
        <v>Техническое обслуживание системы охранной сигнализации (всего 113,01 условных установок) в 2020 году</v>
      </c>
      <c r="G2216" s="22" t="s">
        <v>142</v>
      </c>
      <c r="H2216" s="22" t="s">
        <v>142</v>
      </c>
      <c r="I2216" s="26">
        <v>43705.642407407402</v>
      </c>
      <c r="J2216" s="28" t="s">
        <v>52</v>
      </c>
      <c r="K2216" s="28" t="s">
        <v>52</v>
      </c>
      <c r="L2216" s="28" t="s">
        <v>52</v>
      </c>
      <c r="M2216" s="28" t="s">
        <v>52</v>
      </c>
      <c r="N2216" s="28" t="s">
        <v>52</v>
      </c>
    </row>
    <row r="2217" spans="1:14" x14ac:dyDescent="0.15">
      <c r="A2217" s="23" t="str">
        <f>HYPERLINK("https://www.spark-marketing.ru/Card/Person/171770", "УПРАВЛЕНИЕ МИНЮСТА РОССИИ ПО РЕСПУБЛИКЕ КОМИ")</f>
        <v>УПРАВЛЕНИЕ МИНЮСТА РОССИИ ПО РЕСПУБЛИКЕ КОМИ</v>
      </c>
      <c r="B2217" s="24" t="s">
        <v>3376</v>
      </c>
      <c r="C2217" s="25">
        <v>56463.92</v>
      </c>
      <c r="D2217" s="22" t="s">
        <v>3377</v>
      </c>
      <c r="E2217" s="22" t="s">
        <v>53</v>
      </c>
      <c r="F2217" s="23" t="str">
        <f>HYPERLINK("https://www.spark-marketing.ru/Card/Lot/73082632", "Охрана объектов")</f>
        <v>Охрана объектов</v>
      </c>
      <c r="G2217" s="22" t="s">
        <v>538</v>
      </c>
      <c r="H2217" s="22" t="s">
        <v>707</v>
      </c>
      <c r="I2217" s="26">
        <v>43705.604756944398</v>
      </c>
      <c r="J2217" s="28" t="s">
        <v>52</v>
      </c>
      <c r="K2217" s="28" t="s">
        <v>52</v>
      </c>
      <c r="L2217" s="28" t="s">
        <v>52</v>
      </c>
      <c r="M2217" s="28" t="s">
        <v>52</v>
      </c>
      <c r="N2217" s="28" t="s">
        <v>52</v>
      </c>
    </row>
    <row r="2218" spans="1:14" x14ac:dyDescent="0.15">
      <c r="A2218" s="23" t="str">
        <f>HYPERLINK("https://www.spark-marketing.ru/Card/Person/903054", "ФКУ ЦИТОВ УФСИН РОССИИ ПО КРАСНОДАРСКОМУ КРАЮ")</f>
        <v>ФКУ ЦИТОВ УФСИН РОССИИ ПО КРАСНОДАРСКОМУ КРАЮ</v>
      </c>
      <c r="B2218" s="24" t="s">
        <v>3378</v>
      </c>
      <c r="C2218" s="25">
        <v>247100</v>
      </c>
      <c r="D2218" s="22" t="s">
        <v>3379</v>
      </c>
      <c r="E2218" s="22" t="s">
        <v>208</v>
      </c>
      <c r="F2218" s="23" t="str">
        <f>HYPERLINK("https://www.spark-marketing.ru/Card/Lot/73086335", "Радиокнопки для тревожной сигнализации")</f>
        <v>Радиокнопки для тревожной сигнализации</v>
      </c>
      <c r="G2218" s="22" t="s">
        <v>132</v>
      </c>
      <c r="H2218" s="22" t="s">
        <v>652</v>
      </c>
      <c r="I2218" s="26">
        <v>43704.804490740702</v>
      </c>
      <c r="J2218" s="28" t="s">
        <v>52</v>
      </c>
      <c r="K2218" s="28" t="s">
        <v>52</v>
      </c>
      <c r="L2218" s="28" t="s">
        <v>52</v>
      </c>
      <c r="M2218" s="28" t="s">
        <v>52</v>
      </c>
      <c r="N2218" s="28" t="s">
        <v>52</v>
      </c>
    </row>
    <row r="2219" spans="1:14" hidden="1" outlineLevel="1" x14ac:dyDescent="0.2">
      <c r="A2219" s="23" t="str">
        <f>HYPERLINK("https://www.spark-marketing.ru/Card/Person/903054", "ФКУ ЦИТОВ УФСИН РОССИИ ПО КРАСНОДАРСКОМУ КРАЮ")</f>
        <v>ФКУ ЦИТОВ УФСИН РОССИИ ПО КРАСНОДАРСКОМУ КРАЮ</v>
      </c>
      <c r="B2219" s="24" t="s">
        <v>3378</v>
      </c>
      <c r="C2219" s="25">
        <v>247100</v>
      </c>
      <c r="D2219" s="22" t="s">
        <v>3379</v>
      </c>
      <c r="E2219" s="22" t="s">
        <v>208</v>
      </c>
      <c r="F2219" s="23" t="str">
        <f>HYPERLINK("https://www.spark-marketing.ru/Card/Lot/73086335", "Радиокнопки для тревожной сигнализации")</f>
        <v>Радиокнопки для тревожной сигнализации</v>
      </c>
      <c r="G2219" s="22" t="s">
        <v>132</v>
      </c>
      <c r="H2219" s="22" t="s">
        <v>652</v>
      </c>
      <c r="I2219" s="26">
        <v>43704.804490740702</v>
      </c>
      <c r="J2219" s="23" t="str">
        <f>HYPERLINK("https://www.spark-marketing.ru/Card/Person/6342370", "Ванюков Сергей Александрович")</f>
        <v>Ванюков Сергей Александрович</v>
      </c>
      <c r="K2219" s="24" t="s">
        <v>3380</v>
      </c>
      <c r="L2219" s="28" t="s">
        <v>52</v>
      </c>
      <c r="M2219" s="25">
        <v>231000</v>
      </c>
      <c r="N2219" s="27">
        <v>6.5155807365439092E-2</v>
      </c>
    </row>
    <row r="2220" spans="1:14" ht="12.75" hidden="1" outlineLevel="1" x14ac:dyDescent="0.2">
      <c r="A2220" s="23" t="str">
        <f>HYPERLINK("https://www.spark-marketing.ru/Card/Person/903054", "ФКУ ЦИТОВ УФСИН РОССИИ ПО КРАСНОДАРСКОМУ КРАЮ")</f>
        <v>ФКУ ЦИТОВ УФСИН РОССИИ ПО КРАСНОДАРСКОМУ КРАЮ</v>
      </c>
      <c r="B2220" s="24" t="s">
        <v>3378</v>
      </c>
      <c r="C2220" s="25">
        <v>247100</v>
      </c>
      <c r="D2220" s="22" t="s">
        <v>3379</v>
      </c>
      <c r="E2220" s="22" t="s">
        <v>208</v>
      </c>
      <c r="F2220" s="23" t="str">
        <f>HYPERLINK("https://www.spark-marketing.ru/Card/Lot/73086335", "Радиокнопки для тревожной сигнализации")</f>
        <v>Радиокнопки для тревожной сигнализации</v>
      </c>
      <c r="G2220" s="22" t="s">
        <v>132</v>
      </c>
      <c r="H2220" s="22" t="s">
        <v>652</v>
      </c>
      <c r="I2220" s="26">
        <v>43704.804490740702</v>
      </c>
      <c r="J2220" s="23" t="str">
        <f>HYPERLINK("https://www.spark-marketing.ru/Card/Person/4246206", "ООО ""ДЕАН СБ""")</f>
        <v>ООО "ДЕАН СБ"</v>
      </c>
      <c r="K2220" s="24" t="s">
        <v>3381</v>
      </c>
      <c r="L2220" s="22" t="s">
        <v>10</v>
      </c>
      <c r="M2220" s="25">
        <v>207525.5</v>
      </c>
      <c r="N2220" s="27">
        <v>0.16015580736543911</v>
      </c>
    </row>
    <row r="2221" spans="1:14" hidden="1" outlineLevel="1" x14ac:dyDescent="0.2">
      <c r="A2221" s="23" t="str">
        <f>HYPERLINK("https://www.spark-marketing.ru/Card/Person/903054", "ФКУ ЦИТОВ УФСИН РОССИИ ПО КРАСНОДАРСКОМУ КРАЮ")</f>
        <v>ФКУ ЦИТОВ УФСИН РОССИИ ПО КРАСНОДАРСКОМУ КРАЮ</v>
      </c>
      <c r="B2221" s="24" t="s">
        <v>3378</v>
      </c>
      <c r="C2221" s="25">
        <v>247100</v>
      </c>
      <c r="D2221" s="22" t="s">
        <v>3379</v>
      </c>
      <c r="E2221" s="22" t="s">
        <v>208</v>
      </c>
      <c r="F2221" s="23" t="str">
        <f>HYPERLINK("https://www.spark-marketing.ru/Card/Lot/73086335", "Радиокнопки для тревожной сигнализации")</f>
        <v>Радиокнопки для тревожной сигнализации</v>
      </c>
      <c r="G2221" s="22" t="s">
        <v>132</v>
      </c>
      <c r="H2221" s="22" t="s">
        <v>652</v>
      </c>
      <c r="I2221" s="26">
        <v>43704.804490740702</v>
      </c>
      <c r="J2221" s="23" t="str">
        <f>HYPERLINK("https://www.spark-marketing.ru/Card/Person/6457149", "ООО ""НИКА-СБ""")</f>
        <v>ООО "НИКА-СБ"</v>
      </c>
      <c r="K2221" s="24" t="s">
        <v>1800</v>
      </c>
      <c r="L2221" s="28" t="s">
        <v>52</v>
      </c>
      <c r="M2221" s="25">
        <v>237216</v>
      </c>
      <c r="N2221" s="27">
        <v>0.04</v>
      </c>
    </row>
    <row r="2222" spans="1:14" hidden="1" outlineLevel="1" x14ac:dyDescent="0.2">
      <c r="A2222" s="23" t="str">
        <f>HYPERLINK("https://www.spark-marketing.ru/Card/Person/903054", "ФКУ ЦИТОВ УФСИН РОССИИ ПО КРАСНОДАРСКОМУ КРАЮ")</f>
        <v>ФКУ ЦИТОВ УФСИН РОССИИ ПО КРАСНОДАРСКОМУ КРАЮ</v>
      </c>
      <c r="B2222" s="24" t="s">
        <v>3378</v>
      </c>
      <c r="C2222" s="25">
        <v>247100</v>
      </c>
      <c r="D2222" s="22" t="s">
        <v>3379</v>
      </c>
      <c r="E2222" s="22" t="s">
        <v>208</v>
      </c>
      <c r="F2222" s="23" t="str">
        <f>HYPERLINK("https://www.spark-marketing.ru/Card/Lot/73086335", "Радиокнопки для тревожной сигнализации")</f>
        <v>Радиокнопки для тревожной сигнализации</v>
      </c>
      <c r="G2222" s="22" t="s">
        <v>132</v>
      </c>
      <c r="H2222" s="22" t="s">
        <v>652</v>
      </c>
      <c r="I2222" s="26">
        <v>43704.804490740702</v>
      </c>
      <c r="J2222" s="23" t="str">
        <f>HYPERLINK("https://www.spark-marketing.ru/Card/Person/343131", "ООО ""ЩИТ""")</f>
        <v>ООО "ЩИТ"</v>
      </c>
      <c r="K2222" s="24" t="s">
        <v>1798</v>
      </c>
      <c r="L2222" s="28" t="s">
        <v>52</v>
      </c>
      <c r="M2222" s="25">
        <v>208761</v>
      </c>
      <c r="N2222" s="27">
        <v>0.1551558073654391</v>
      </c>
    </row>
    <row r="2223" spans="1:14" x14ac:dyDescent="0.15">
      <c r="A2223" s="23" t="str">
        <f>HYPERLINK("https://www.spark-marketing.ru/Card/Person/658", "ГКУ НО ""ГУАД""")</f>
        <v>ГКУ НО "ГУАД"</v>
      </c>
      <c r="B2223" s="24" t="s">
        <v>3382</v>
      </c>
      <c r="C2223" s="25">
        <v>778939</v>
      </c>
      <c r="D2223" s="22" t="s">
        <v>3383</v>
      </c>
      <c r="E2223" s="22" t="s">
        <v>491</v>
      </c>
      <c r="F2223" s="23" t="str">
        <f>HYPERLINK("https://www.spark-marketing.ru/Card/Lot/73095798", "Разработка планов обеспечения транспортной безопасности объектов транспортной инфраструктуры на автомобильных дорогах общего пользования регионального или межмуниципального значения Нижегородской области")</f>
        <v>Разработка планов обеспечения транспортной безопасности объектов транспортной инфраструктуры на автомобильных дорогах общего пользования регионального или межмуниципального значения Нижегородской области</v>
      </c>
      <c r="G2223" s="22" t="s">
        <v>64</v>
      </c>
      <c r="H2223" s="22" t="s">
        <v>65</v>
      </c>
      <c r="I2223" s="26">
        <v>43705.617476851898</v>
      </c>
      <c r="J2223" s="28" t="s">
        <v>52</v>
      </c>
      <c r="K2223" s="28" t="s">
        <v>52</v>
      </c>
      <c r="L2223" s="28" t="s">
        <v>52</v>
      </c>
      <c r="M2223" s="28" t="s">
        <v>52</v>
      </c>
      <c r="N2223" s="28" t="s">
        <v>52</v>
      </c>
    </row>
    <row r="2224" spans="1:14" ht="12.75" hidden="1" outlineLevel="1" x14ac:dyDescent="0.2">
      <c r="A2224" s="23" t="str">
        <f>HYPERLINK("https://www.spark-marketing.ru/Card/Person/658", "ГКУ НО ""ГУАД""")</f>
        <v>ГКУ НО "ГУАД"</v>
      </c>
      <c r="B2224" s="24" t="s">
        <v>3382</v>
      </c>
      <c r="C2224" s="25">
        <v>778939</v>
      </c>
      <c r="D2224" s="22" t="s">
        <v>3383</v>
      </c>
      <c r="E2224" s="22" t="s">
        <v>491</v>
      </c>
      <c r="F2224" s="23" t="str">
        <f>HYPERLINK("https://www.spark-marketing.ru/Card/Lot/73095798", "Разработка планов обеспечения транспортной безопасности объектов транспортной инфраструктуры на автомобильных дорогах общего пользования регионального или межмуниципального значения Нижегородской области")</f>
        <v>Разработка планов обеспечения транспортной безопасности объектов транспортной инфраструктуры на автомобильных дорогах общего пользования регионального или межмуниципального значения Нижегородской области</v>
      </c>
      <c r="G2224" s="22" t="s">
        <v>64</v>
      </c>
      <c r="H2224" s="22" t="s">
        <v>65</v>
      </c>
      <c r="I2224" s="26">
        <v>43705.617476851898</v>
      </c>
      <c r="J2224" s="23" t="str">
        <f>HYPERLINK("https://www.spark-marketing.ru/Card/Person/81571", "ООО ""СО ""АНТИТЕРРОР""")</f>
        <v>ООО "СО "АНТИТЕРРОР"</v>
      </c>
      <c r="K2224" s="24" t="s">
        <v>3384</v>
      </c>
      <c r="L2224" s="22" t="s">
        <v>10</v>
      </c>
      <c r="M2224" s="25">
        <v>500000</v>
      </c>
      <c r="N2224" s="27">
        <v>0.35810121203329143</v>
      </c>
    </row>
    <row r="2225" spans="1:14" hidden="1" outlineLevel="1" x14ac:dyDescent="0.2">
      <c r="A2225" s="23" t="str">
        <f>HYPERLINK("https://www.spark-marketing.ru/Card/Person/658", "ГКУ НО ""ГУАД""")</f>
        <v>ГКУ НО "ГУАД"</v>
      </c>
      <c r="B2225" s="24" t="s">
        <v>3382</v>
      </c>
      <c r="C2225" s="25">
        <v>778939</v>
      </c>
      <c r="D2225" s="22" t="s">
        <v>3383</v>
      </c>
      <c r="E2225" s="22" t="s">
        <v>491</v>
      </c>
      <c r="F2225" s="23" t="str">
        <f>HYPERLINK("https://www.spark-marketing.ru/Card/Lot/73095798", "Разработка планов обеспечения транспортной безопасности объектов транспортной инфраструктуры на автомобильных дорогах общего пользования регионального или межмуниципального значения Нижегородской области")</f>
        <v>Разработка планов обеспечения транспортной безопасности объектов транспортной инфраструктуры на автомобильных дорогах общего пользования регионального или межмуниципального значения Нижегородской области</v>
      </c>
      <c r="G2225" s="22" t="s">
        <v>64</v>
      </c>
      <c r="H2225" s="22" t="s">
        <v>65</v>
      </c>
      <c r="I2225" s="26">
        <v>43705.617476851898</v>
      </c>
      <c r="J2225" s="23" t="str">
        <f>HYPERLINK("https://www.spark-marketing.ru/Card/Person/1978058", "ООО ""ФОРМУЛА БЕЗОПАСНОСТИ ТРАНСПОРТА""")</f>
        <v>ООО "ФОРМУЛА БЕЗОПАСНОСТИ ТРАНСПОРТА"</v>
      </c>
      <c r="K2225" s="24" t="s">
        <v>3385</v>
      </c>
      <c r="L2225" s="28" t="s">
        <v>52</v>
      </c>
      <c r="M2225" s="25">
        <v>656590</v>
      </c>
      <c r="N2225" s="27">
        <v>0.15707134961787766</v>
      </c>
    </row>
    <row r="2226" spans="1:14" hidden="1" outlineLevel="1" x14ac:dyDescent="0.2">
      <c r="A2226" s="23" t="str">
        <f>HYPERLINK("https://www.spark-marketing.ru/Card/Person/658", "ГКУ НО ""ГУАД""")</f>
        <v>ГКУ НО "ГУАД"</v>
      </c>
      <c r="B2226" s="24" t="s">
        <v>3382</v>
      </c>
      <c r="C2226" s="25">
        <v>778939</v>
      </c>
      <c r="D2226" s="22" t="s">
        <v>3383</v>
      </c>
      <c r="E2226" s="22" t="s">
        <v>491</v>
      </c>
      <c r="F2226" s="23" t="str">
        <f>HYPERLINK("https://www.spark-marketing.ru/Card/Lot/73095798", "Разработка планов обеспечения транспортной безопасности объектов транспортной инфраструктуры на автомобильных дорогах общего пользования регионального или межмуниципального значения Нижегородской области")</f>
        <v>Разработка планов обеспечения транспортной безопасности объектов транспортной инфраструктуры на автомобильных дорогах общего пользования регионального или межмуниципального значения Нижегородской области</v>
      </c>
      <c r="G2226" s="22" t="s">
        <v>64</v>
      </c>
      <c r="H2226" s="22" t="s">
        <v>65</v>
      </c>
      <c r="I2226" s="26">
        <v>43705.617476851898</v>
      </c>
      <c r="J2226" s="23" t="str">
        <f>HYPERLINK("https://www.spark-marketing.ru/Card/Person/5900709", "ООО ""БЕЗОПАСНОСТЬ""")</f>
        <v>ООО "БЕЗОПАСНОСТЬ"</v>
      </c>
      <c r="K2226" s="24" t="s">
        <v>2243</v>
      </c>
      <c r="L2226" s="28" t="s">
        <v>52</v>
      </c>
      <c r="M2226" s="25">
        <v>660000</v>
      </c>
      <c r="N2226" s="27">
        <v>0.15269359988394471</v>
      </c>
    </row>
    <row r="2227" spans="1:14" hidden="1" outlineLevel="1" x14ac:dyDescent="0.2">
      <c r="A2227" s="23" t="str">
        <f>HYPERLINK("https://www.spark-marketing.ru/Card/Person/658", "ГКУ НО ""ГУАД""")</f>
        <v>ГКУ НО "ГУАД"</v>
      </c>
      <c r="B2227" s="24" t="s">
        <v>3382</v>
      </c>
      <c r="C2227" s="25">
        <v>778939</v>
      </c>
      <c r="D2227" s="22" t="s">
        <v>3383</v>
      </c>
      <c r="E2227" s="22" t="s">
        <v>491</v>
      </c>
      <c r="F2227" s="23" t="str">
        <f>HYPERLINK("https://www.spark-marketing.ru/Card/Lot/73095798", "Разработка планов обеспечения транспортной безопасности объектов транспортной инфраструктуры на автомобильных дорогах общего пользования регионального или межмуниципального значения Нижегородской области")</f>
        <v>Разработка планов обеспечения транспортной безопасности объектов транспортной инфраструктуры на автомобильных дорогах общего пользования регионального или межмуниципального значения Нижегородской области</v>
      </c>
      <c r="G2227" s="22" t="s">
        <v>64</v>
      </c>
      <c r="H2227" s="22" t="s">
        <v>65</v>
      </c>
      <c r="I2227" s="26">
        <v>43705.617476851898</v>
      </c>
      <c r="J2227" s="23" t="str">
        <f>HYPERLINK("https://www.spark-marketing.ru/Card/Person/90111", "ООО ""АЙ ДИ КОНСАЛТИНГ""")</f>
        <v>ООО "АЙ ДИ КОНСАЛТИНГ"</v>
      </c>
      <c r="K2227" s="24" t="s">
        <v>2498</v>
      </c>
      <c r="L2227" s="28" t="s">
        <v>52</v>
      </c>
      <c r="M2227" s="25">
        <v>440000</v>
      </c>
      <c r="N2227" s="27">
        <v>0.43512906658929645</v>
      </c>
    </row>
    <row r="2228" spans="1:14" x14ac:dyDescent="0.15">
      <c r="A2228" s="23" t="str">
        <f t="shared" ref="A2228:A2233" si="90">HYPERLINK("https://www.spark-marketing.ru/Card/Person/80330", "ГБПОУ МО ""ЛУХОВИЦКИЙ АГРАРНО-ПРОМЫШЛЕННЫЙ ТЕХНИКУМ""")</f>
        <v>ГБПОУ МО "ЛУХОВИЦКИЙ АГРАРНО-ПРОМЫШЛЕННЫЙ ТЕХНИКУМ"</v>
      </c>
      <c r="B2228" s="24" t="s">
        <v>2713</v>
      </c>
      <c r="C2228" s="25">
        <v>921818.53</v>
      </c>
      <c r="D2228" s="22" t="s">
        <v>3386</v>
      </c>
      <c r="E2228" s="22" t="s">
        <v>376</v>
      </c>
      <c r="F2228" s="23" t="str">
        <f>HYPERLINK("https://www.spark-marketing.ru/Card/Lot/73091487", "Поставка и установка автоматических шлагбаумов")</f>
        <v>Поставка и установка автоматических шлагбаумов</v>
      </c>
      <c r="G2228" s="22" t="s">
        <v>50</v>
      </c>
      <c r="H2228" s="22" t="s">
        <v>195</v>
      </c>
      <c r="I2228" s="26">
        <v>43705.375231481499</v>
      </c>
      <c r="J2228" s="28" t="s">
        <v>52</v>
      </c>
      <c r="K2228" s="28" t="s">
        <v>52</v>
      </c>
      <c r="L2228" s="28" t="s">
        <v>52</v>
      </c>
      <c r="M2228" s="28" t="s">
        <v>52</v>
      </c>
      <c r="N2228" s="28" t="s">
        <v>52</v>
      </c>
    </row>
    <row r="2229" spans="1:14" hidden="1" outlineLevel="1" x14ac:dyDescent="0.2">
      <c r="A2229" s="23" t="str">
        <f t="shared" si="90"/>
        <v>ГБПОУ МО "ЛУХОВИЦКИЙ АГРАРНО-ПРОМЫШЛЕННЫЙ ТЕХНИКУМ"</v>
      </c>
      <c r="B2229" s="24" t="s">
        <v>2713</v>
      </c>
      <c r="C2229" s="25">
        <v>921818.53</v>
      </c>
      <c r="D2229" s="22" t="s">
        <v>3386</v>
      </c>
      <c r="E2229" s="22" t="s">
        <v>376</v>
      </c>
      <c r="F2229" s="23" t="str">
        <f>HYPERLINK("https://www.spark-marketing.ru/Card/Lot/73091487", "Поставка и установка автоматических шлагбаумов")</f>
        <v>Поставка и установка автоматических шлагбаумов</v>
      </c>
      <c r="G2229" s="22" t="s">
        <v>50</v>
      </c>
      <c r="H2229" s="22" t="s">
        <v>195</v>
      </c>
      <c r="I2229" s="26">
        <v>43705.375231481499</v>
      </c>
      <c r="J2229" s="23" t="str">
        <f>HYPERLINK("https://www.spark-marketing.ru/Card/Person/6495347", "ООО ""ВИТАМАКС-ГРУПП""")</f>
        <v>ООО "ВИТАМАКС-ГРУПП"</v>
      </c>
      <c r="K2229" s="24" t="s">
        <v>3387</v>
      </c>
      <c r="L2229" s="28" t="s">
        <v>52</v>
      </c>
      <c r="M2229" s="25">
        <v>710000</v>
      </c>
      <c r="N2229" s="27">
        <v>0.22978332839544893</v>
      </c>
    </row>
    <row r="2230" spans="1:14" ht="12.75" hidden="1" outlineLevel="1" x14ac:dyDescent="0.2">
      <c r="A2230" s="23" t="str">
        <f t="shared" si="90"/>
        <v>ГБПОУ МО "ЛУХОВИЦКИЙ АГРАРНО-ПРОМЫШЛЕННЫЙ ТЕХНИКУМ"</v>
      </c>
      <c r="B2230" s="24" t="s">
        <v>2713</v>
      </c>
      <c r="C2230" s="25">
        <v>921818.53</v>
      </c>
      <c r="D2230" s="22" t="s">
        <v>3386</v>
      </c>
      <c r="E2230" s="22" t="s">
        <v>376</v>
      </c>
      <c r="F2230" s="23" t="str">
        <f>HYPERLINK("https://www.spark-marketing.ru/Card/Lot/73091487", "Поставка и установка автоматических шлагбаумов")</f>
        <v>Поставка и установка автоматических шлагбаумов</v>
      </c>
      <c r="G2230" s="22" t="s">
        <v>50</v>
      </c>
      <c r="H2230" s="22" t="s">
        <v>195</v>
      </c>
      <c r="I2230" s="26">
        <v>43705.375231481499</v>
      </c>
      <c r="J2230" s="23" t="str">
        <f>HYPERLINK("https://www.spark-marketing.ru/Card/Person/6228707", "ООО ""ВИДКОМ ВОРОТА""")</f>
        <v>ООО "ВИДКОМ ВОРОТА"</v>
      </c>
      <c r="K2230" s="24" t="s">
        <v>3388</v>
      </c>
      <c r="L2230" s="22" t="s">
        <v>10</v>
      </c>
      <c r="M2230" s="25">
        <v>709779.23</v>
      </c>
      <c r="N2230" s="27">
        <v>0.23002282238782942</v>
      </c>
    </row>
    <row r="2231" spans="1:14" x14ac:dyDescent="0.15">
      <c r="A2231" s="23" t="str">
        <f t="shared" si="90"/>
        <v>ГБПОУ МО "ЛУХОВИЦКИЙ АГРАРНО-ПРОМЫШЛЕННЫЙ ТЕХНИКУМ"</v>
      </c>
      <c r="B2231" s="24" t="s">
        <v>2713</v>
      </c>
      <c r="C2231" s="25">
        <v>562415.52</v>
      </c>
      <c r="D2231" s="22" t="s">
        <v>3389</v>
      </c>
      <c r="E2231" s="22" t="s">
        <v>376</v>
      </c>
      <c r="F2231" s="23" t="str">
        <f>HYPERLINK("https://www.spark-marketing.ru/Card/Lot/73086968", "Поставка и установка автоматических ворот")</f>
        <v>Поставка и установка автоматических ворот</v>
      </c>
      <c r="G2231" s="22" t="s">
        <v>50</v>
      </c>
      <c r="H2231" s="22" t="s">
        <v>195</v>
      </c>
      <c r="I2231" s="26">
        <v>43705.376655092601</v>
      </c>
      <c r="J2231" s="28" t="s">
        <v>52</v>
      </c>
      <c r="K2231" s="28" t="s">
        <v>52</v>
      </c>
      <c r="L2231" s="28" t="s">
        <v>52</v>
      </c>
      <c r="M2231" s="28" t="s">
        <v>52</v>
      </c>
      <c r="N2231" s="28" t="s">
        <v>52</v>
      </c>
    </row>
    <row r="2232" spans="1:14" ht="12.75" hidden="1" outlineLevel="1" x14ac:dyDescent="0.2">
      <c r="A2232" s="23" t="str">
        <f t="shared" si="90"/>
        <v>ГБПОУ МО "ЛУХОВИЦКИЙ АГРАРНО-ПРОМЫШЛЕННЫЙ ТЕХНИКУМ"</v>
      </c>
      <c r="B2232" s="24" t="s">
        <v>2713</v>
      </c>
      <c r="C2232" s="25">
        <v>562415.52</v>
      </c>
      <c r="D2232" s="22" t="s">
        <v>3389</v>
      </c>
      <c r="E2232" s="22" t="s">
        <v>376</v>
      </c>
      <c r="F2232" s="23" t="str">
        <f>HYPERLINK("https://www.spark-marketing.ru/Card/Lot/73086968", "Поставка и установка автоматических ворот")</f>
        <v>Поставка и установка автоматических ворот</v>
      </c>
      <c r="G2232" s="22" t="s">
        <v>50</v>
      </c>
      <c r="H2232" s="22" t="s">
        <v>195</v>
      </c>
      <c r="I2232" s="26">
        <v>43705.376655092601</v>
      </c>
      <c r="J2232" s="23" t="str">
        <f>HYPERLINK("https://www.spark-marketing.ru/Card/Person/6228707", "ООО ""ВИДКОМ ВОРОТА""")</f>
        <v>ООО "ВИДКОМ ВОРОТА"</v>
      </c>
      <c r="K2232" s="24" t="s">
        <v>3388</v>
      </c>
      <c r="L2232" s="22" t="s">
        <v>10</v>
      </c>
      <c r="M2232" s="25">
        <v>494923.56</v>
      </c>
      <c r="N2232" s="27">
        <v>0.12000372962680689</v>
      </c>
    </row>
    <row r="2233" spans="1:14" hidden="1" outlineLevel="1" x14ac:dyDescent="0.2">
      <c r="A2233" s="23" t="str">
        <f t="shared" si="90"/>
        <v>ГБПОУ МО "ЛУХОВИЦКИЙ АГРАРНО-ПРОМЫШЛЕННЫЙ ТЕХНИКУМ"</v>
      </c>
      <c r="B2233" s="24" t="s">
        <v>2713</v>
      </c>
      <c r="C2233" s="25">
        <v>562415.52</v>
      </c>
      <c r="D2233" s="22" t="s">
        <v>3389</v>
      </c>
      <c r="E2233" s="22" t="s">
        <v>376</v>
      </c>
      <c r="F2233" s="23" t="str">
        <f>HYPERLINK("https://www.spark-marketing.ru/Card/Lot/73086968", "Поставка и установка автоматических ворот")</f>
        <v>Поставка и установка автоматических ворот</v>
      </c>
      <c r="G2233" s="22" t="s">
        <v>50</v>
      </c>
      <c r="H2233" s="22" t="s">
        <v>195</v>
      </c>
      <c r="I2233" s="26">
        <v>43705.376655092601</v>
      </c>
      <c r="J2233" s="23" t="str">
        <f>HYPERLINK("https://www.spark-marketing.ru/Card/Person/502348", "ООО ""ПРОФИЛЬДООР-М""")</f>
        <v>ООО "ПРОФИЛЬДООР-М"</v>
      </c>
      <c r="K2233" s="24" t="s">
        <v>3390</v>
      </c>
      <c r="L2233" s="28" t="s">
        <v>52</v>
      </c>
      <c r="M2233" s="25">
        <v>497735.64</v>
      </c>
      <c r="N2233" s="27">
        <v>0.11500372535949932</v>
      </c>
    </row>
    <row r="2234" spans="1:14" x14ac:dyDescent="0.15">
      <c r="A2234" s="23" t="str">
        <f>HYPERLINK("https://www.spark-marketing.ru/Card/Person/26003", "ГБУЗ ""ГВВ № 1 ДЗМ""")</f>
        <v>ГБУЗ "ГВВ № 1 ДЗМ"</v>
      </c>
      <c r="B2234" s="24" t="s">
        <v>1735</v>
      </c>
      <c r="C2234" s="25">
        <v>2254077.83</v>
      </c>
      <c r="D2234" s="22" t="s">
        <v>3391</v>
      </c>
      <c r="E2234" s="22" t="s">
        <v>84</v>
      </c>
      <c r="F2234" s="23" t="str">
        <f>HYPERLINK("https://www.spark-marketing.ru/Card/Lot/73081820", "Выполнение работ по установке системы видеонаблюдения в ГБУЗ «ГВВ № 1 ДЗМ» в 2019 году.")</f>
        <v>Выполнение работ по установке системы видеонаблюдения в ГБУЗ «ГВВ № 1 ДЗМ» в 2019 году.</v>
      </c>
      <c r="G2234" s="22" t="s">
        <v>55</v>
      </c>
      <c r="H2234" s="22" t="s">
        <v>55</v>
      </c>
      <c r="I2234" s="26">
        <v>43705.520127314798</v>
      </c>
      <c r="J2234" s="28" t="s">
        <v>52</v>
      </c>
      <c r="K2234" s="28" t="s">
        <v>52</v>
      </c>
      <c r="L2234" s="28" t="s">
        <v>52</v>
      </c>
      <c r="M2234" s="28" t="s">
        <v>52</v>
      </c>
      <c r="N2234" s="28" t="s">
        <v>52</v>
      </c>
    </row>
    <row r="2235" spans="1:14" hidden="1" outlineLevel="1" x14ac:dyDescent="0.2">
      <c r="A2235" s="23" t="str">
        <f>HYPERLINK("https://www.spark-marketing.ru/Card/Person/26003", "ГБУЗ ""ГВВ № 1 ДЗМ""")</f>
        <v>ГБУЗ "ГВВ № 1 ДЗМ"</v>
      </c>
      <c r="B2235" s="24" t="s">
        <v>1735</v>
      </c>
      <c r="C2235" s="25">
        <v>2254077.83</v>
      </c>
      <c r="D2235" s="22" t="s">
        <v>3391</v>
      </c>
      <c r="E2235" s="22" t="s">
        <v>84</v>
      </c>
      <c r="F2235" s="23" t="str">
        <f>HYPERLINK("https://www.spark-marketing.ru/Card/Lot/73081820", "Выполнение работ по установке системы видеонаблюдения в ГБУЗ «ГВВ № 1 ДЗМ» в 2019 году.")</f>
        <v>Выполнение работ по установке системы видеонаблюдения в ГБУЗ «ГВВ № 1 ДЗМ» в 2019 году.</v>
      </c>
      <c r="G2235" s="22" t="s">
        <v>55</v>
      </c>
      <c r="H2235" s="22" t="s">
        <v>55</v>
      </c>
      <c r="I2235" s="26">
        <v>43705.520127314798</v>
      </c>
      <c r="J2235" s="23" t="str">
        <f>HYPERLINK("https://www.spark-marketing.ru/Card/Person/889568", "ООО ЧОО ""ЗВЕЗДА""")</f>
        <v>ООО ЧОО "ЗВЕЗДА"</v>
      </c>
      <c r="K2235" s="24" t="s">
        <v>3392</v>
      </c>
      <c r="L2235" s="28" t="s">
        <v>52</v>
      </c>
      <c r="M2235" s="25">
        <v>1893425.35</v>
      </c>
      <c r="N2235" s="27">
        <v>0.160000012067019</v>
      </c>
    </row>
    <row r="2236" spans="1:14" ht="12.75" hidden="1" outlineLevel="1" x14ac:dyDescent="0.2">
      <c r="A2236" s="23" t="str">
        <f>HYPERLINK("https://www.spark-marketing.ru/Card/Person/26003", "ГБУЗ ""ГВВ № 1 ДЗМ""")</f>
        <v>ГБУЗ "ГВВ № 1 ДЗМ"</v>
      </c>
      <c r="B2236" s="24" t="s">
        <v>1735</v>
      </c>
      <c r="C2236" s="25">
        <v>2254077.83</v>
      </c>
      <c r="D2236" s="22" t="s">
        <v>3391</v>
      </c>
      <c r="E2236" s="22" t="s">
        <v>84</v>
      </c>
      <c r="F2236" s="23" t="str">
        <f>HYPERLINK("https://www.spark-marketing.ru/Card/Lot/73081820", "Выполнение работ по установке системы видеонаблюдения в ГБУЗ «ГВВ № 1 ДЗМ» в 2019 году.")</f>
        <v>Выполнение работ по установке системы видеонаблюдения в ГБУЗ «ГВВ № 1 ДЗМ» в 2019 году.</v>
      </c>
      <c r="G2236" s="22" t="s">
        <v>55</v>
      </c>
      <c r="H2236" s="22" t="s">
        <v>55</v>
      </c>
      <c r="I2236" s="26">
        <v>43705.520127314798</v>
      </c>
      <c r="J2236" s="23" t="str">
        <f>HYPERLINK("https://www.spark-marketing.ru/Card/Person/5911850", "Смирнов Андрей Анатольевич")</f>
        <v>Смирнов Андрей Анатольевич</v>
      </c>
      <c r="K2236" s="24" t="s">
        <v>3393</v>
      </c>
      <c r="L2236" s="22" t="s">
        <v>10</v>
      </c>
      <c r="M2236" s="25">
        <v>1882154.96</v>
      </c>
      <c r="N2236" s="27">
        <v>0.16500001244411333</v>
      </c>
    </row>
    <row r="2237" spans="1:14" hidden="1" outlineLevel="1" x14ac:dyDescent="0.2">
      <c r="A2237" s="23" t="str">
        <f>HYPERLINK("https://www.spark-marketing.ru/Card/Person/26003", "ГБУЗ ""ГВВ № 1 ДЗМ""")</f>
        <v>ГБУЗ "ГВВ № 1 ДЗМ"</v>
      </c>
      <c r="B2237" s="24" t="s">
        <v>1735</v>
      </c>
      <c r="C2237" s="25">
        <v>2254077.83</v>
      </c>
      <c r="D2237" s="22" t="s">
        <v>3391</v>
      </c>
      <c r="E2237" s="22" t="s">
        <v>84</v>
      </c>
      <c r="F2237" s="23" t="str">
        <f>HYPERLINK("https://www.spark-marketing.ru/Card/Lot/73081820", "Выполнение работ по установке системы видеонаблюдения в ГБУЗ «ГВВ № 1 ДЗМ» в 2019 году.")</f>
        <v>Выполнение работ по установке системы видеонаблюдения в ГБУЗ «ГВВ № 1 ДЗМ» в 2019 году.</v>
      </c>
      <c r="G2237" s="22" t="s">
        <v>55</v>
      </c>
      <c r="H2237" s="22" t="s">
        <v>55</v>
      </c>
      <c r="I2237" s="26">
        <v>43705.520127314798</v>
      </c>
      <c r="J2237" s="23" t="str">
        <f>HYPERLINK("https://www.spark-marketing.ru/Card/Person/6403399", "ООО ""ПРОФСТРОЙПРОЕКТ""")</f>
        <v>ООО "ПРОФСТРОЙПРОЕКТ"</v>
      </c>
      <c r="K2237" s="24" t="s">
        <v>3394</v>
      </c>
      <c r="L2237" s="28" t="s">
        <v>52</v>
      </c>
      <c r="M2237" s="25">
        <v>2118833.15</v>
      </c>
      <c r="N2237" s="27">
        <v>6.0000004525132128E-2</v>
      </c>
    </row>
    <row r="2238" spans="1:14" x14ac:dyDescent="0.15">
      <c r="A2238" s="23" t="str">
        <f>HYPERLINK("https://www.spark-marketing.ru/Card/Person/6634275", "СФ ФКУ НПО СТИС МВД РОССИИ")</f>
        <v>СФ ФКУ НПО СТИС МВД РОССИИ</v>
      </c>
      <c r="B2238" s="24" t="s">
        <v>3395</v>
      </c>
      <c r="C2238" s="25">
        <v>69380.639999999999</v>
      </c>
      <c r="D2238" s="22" t="s">
        <v>3396</v>
      </c>
      <c r="E2238" s="22" t="s">
        <v>68</v>
      </c>
      <c r="F2238" s="23" t="str">
        <f>HYPERLINK("https://www.spark-marketing.ru/Card/Lot/73078099", "охрана, путем реагирования группы задержания на срабатывание кнопки тревожной сигнализации, 1 усл. ед")</f>
        <v>охрана, путем реагирования группы задержания на срабатывание кнопки тревожной сигнализации, 1 усл. ед</v>
      </c>
      <c r="G2238" s="22" t="s">
        <v>52</v>
      </c>
      <c r="H2238" s="22" t="s">
        <v>52</v>
      </c>
      <c r="I2238" s="26">
        <v>43705.520775463003</v>
      </c>
      <c r="J2238" s="28" t="s">
        <v>52</v>
      </c>
      <c r="K2238" s="28" t="s">
        <v>52</v>
      </c>
      <c r="L2238" s="28" t="s">
        <v>52</v>
      </c>
      <c r="M2238" s="28" t="s">
        <v>52</v>
      </c>
      <c r="N2238" s="28" t="s">
        <v>52</v>
      </c>
    </row>
    <row r="2239" spans="1:14" x14ac:dyDescent="0.15">
      <c r="A2239" s="23" t="str">
        <f>HYPERLINK("https://www.spark-marketing.ru/Card/Person/6634275", "СФ ФКУ НПО СТИС МВД РОССИИ")</f>
        <v>СФ ФКУ НПО СТИС МВД РОССИИ</v>
      </c>
      <c r="B2239" s="24" t="s">
        <v>3395</v>
      </c>
      <c r="C2239" s="25">
        <v>197444.4</v>
      </c>
      <c r="D2239" s="22" t="s">
        <v>3397</v>
      </c>
      <c r="E2239" s="22" t="s">
        <v>68</v>
      </c>
      <c r="F2239" s="23" t="str">
        <f>HYPERLINK("https://www.spark-marketing.ru/Card/Lot/73078088", "Централизованная охрана объектов, 1 усл. ед")</f>
        <v>Централизованная охрана объектов, 1 усл. ед</v>
      </c>
      <c r="G2239" s="22" t="s">
        <v>52</v>
      </c>
      <c r="H2239" s="22" t="s">
        <v>52</v>
      </c>
      <c r="I2239" s="26">
        <v>43705.518576388902</v>
      </c>
      <c r="J2239" s="28" t="s">
        <v>52</v>
      </c>
      <c r="K2239" s="28" t="s">
        <v>52</v>
      </c>
      <c r="L2239" s="28" t="s">
        <v>52</v>
      </c>
      <c r="M2239" s="28" t="s">
        <v>52</v>
      </c>
      <c r="N2239" s="28" t="s">
        <v>52</v>
      </c>
    </row>
    <row r="2240" spans="1:14" x14ac:dyDescent="0.15">
      <c r="A2240" s="23" t="str">
        <f t="shared" ref="A2240:A2247" si="91">HYPERLINK("https://www.spark-marketing.ru/Card/Person/19087", "ОГБУЗ ""ГОРОДСКАЯ БОЛЬНИЦА №2 Г. БЕЛГОРОДА""")</f>
        <v>ОГБУЗ "ГОРОДСКАЯ БОЛЬНИЦА №2 Г. БЕЛГОРОДА"</v>
      </c>
      <c r="B2240" s="24" t="s">
        <v>3398</v>
      </c>
      <c r="C2240" s="25">
        <v>595200</v>
      </c>
      <c r="D2240" s="22" t="s">
        <v>3399</v>
      </c>
      <c r="E2240" s="22" t="s">
        <v>107</v>
      </c>
      <c r="F2240" s="23" t="str">
        <f t="shared" ref="F2240:F2247" si="92">HYPERLINK("https://www.spark-marketing.ru/Card/Lot/73081275", "Оказание услуг по техническому обслуживанию шлагбаумов и системы видеонаблюдения, регистрации, системы контроля и управления доступом в ОГБУЗ «Городская больница №2 г. Белгорода» на 2020-2021 г.")</f>
        <v>Оказание услуг по техническому обслуживанию шлагбаумов и системы видеонаблюдения, регистрации, системы контроля и управления доступом в ОГБУЗ «Городская больница №2 г. Белгорода» на 2020-2021 г.</v>
      </c>
      <c r="G2240" s="22" t="s">
        <v>176</v>
      </c>
      <c r="H2240" s="22" t="s">
        <v>318</v>
      </c>
      <c r="I2240" s="26">
        <v>43705.483032407399</v>
      </c>
      <c r="J2240" s="28" t="s">
        <v>52</v>
      </c>
      <c r="K2240" s="28" t="s">
        <v>52</v>
      </c>
      <c r="L2240" s="28" t="s">
        <v>52</v>
      </c>
      <c r="M2240" s="28" t="s">
        <v>52</v>
      </c>
      <c r="N2240" s="28" t="s">
        <v>52</v>
      </c>
    </row>
    <row r="2241" spans="1:14" hidden="1" outlineLevel="1" x14ac:dyDescent="0.2">
      <c r="A2241" s="23" t="str">
        <f t="shared" si="91"/>
        <v>ОГБУЗ "ГОРОДСКАЯ БОЛЬНИЦА №2 Г. БЕЛГОРОДА"</v>
      </c>
      <c r="B2241" s="24" t="s">
        <v>3398</v>
      </c>
      <c r="C2241" s="25">
        <v>595200</v>
      </c>
      <c r="D2241" s="22" t="s">
        <v>3399</v>
      </c>
      <c r="E2241" s="22" t="s">
        <v>107</v>
      </c>
      <c r="F2241" s="23" t="str">
        <f t="shared" si="92"/>
        <v>Оказание услуг по техническому обслуживанию шлагбаумов и системы видеонаблюдения, регистрации, системы контроля и управления доступом в ОГБУЗ «Городская больница №2 г. Белгорода» на 2020-2021 г.</v>
      </c>
      <c r="G2241" s="22" t="s">
        <v>176</v>
      </c>
      <c r="H2241" s="22" t="s">
        <v>318</v>
      </c>
      <c r="I2241" s="26">
        <v>43705.483032407399</v>
      </c>
      <c r="J2241" s="23" t="str">
        <f>HYPERLINK("https://www.spark-marketing.ru/Card/Person/6700950", "Колодий Галина Сергеевна")</f>
        <v>Колодий Галина Сергеевна</v>
      </c>
      <c r="K2241" s="24" t="s">
        <v>3400</v>
      </c>
      <c r="L2241" s="28" t="s">
        <v>52</v>
      </c>
      <c r="M2241" s="25">
        <v>476000</v>
      </c>
      <c r="N2241" s="27">
        <v>0.20026881720430106</v>
      </c>
    </row>
    <row r="2242" spans="1:14" hidden="1" outlineLevel="1" x14ac:dyDescent="0.2">
      <c r="A2242" s="23" t="str">
        <f t="shared" si="91"/>
        <v>ОГБУЗ "ГОРОДСКАЯ БОЛЬНИЦА №2 Г. БЕЛГОРОДА"</v>
      </c>
      <c r="B2242" s="24" t="s">
        <v>3398</v>
      </c>
      <c r="C2242" s="25">
        <v>595200</v>
      </c>
      <c r="D2242" s="22" t="s">
        <v>3399</v>
      </c>
      <c r="E2242" s="22" t="s">
        <v>107</v>
      </c>
      <c r="F2242" s="23" t="str">
        <f t="shared" si="92"/>
        <v>Оказание услуг по техническому обслуживанию шлагбаумов и системы видеонаблюдения, регистрации, системы контроля и управления доступом в ОГБУЗ «Городская больница №2 г. Белгорода» на 2020-2021 г.</v>
      </c>
      <c r="G2242" s="22" t="s">
        <v>176</v>
      </c>
      <c r="H2242" s="22" t="s">
        <v>318</v>
      </c>
      <c r="I2242" s="26">
        <v>43705.483032407399</v>
      </c>
      <c r="J2242" s="23" t="str">
        <f>HYPERLINK("https://www.spark-marketing.ru/Card/Person/506451", "ООО ""ПОЖИНДУСТРИЯ""")</f>
        <v>ООО "ПОЖИНДУСТРИЯ"</v>
      </c>
      <c r="K2242" s="24" t="s">
        <v>3401</v>
      </c>
      <c r="L2242" s="28" t="s">
        <v>52</v>
      </c>
      <c r="M2242" s="25">
        <v>291648</v>
      </c>
      <c r="N2242" s="27">
        <v>0.51</v>
      </c>
    </row>
    <row r="2243" spans="1:14" hidden="1" outlineLevel="1" x14ac:dyDescent="0.2">
      <c r="A2243" s="23" t="str">
        <f t="shared" si="91"/>
        <v>ОГБУЗ "ГОРОДСКАЯ БОЛЬНИЦА №2 Г. БЕЛГОРОДА"</v>
      </c>
      <c r="B2243" s="24" t="s">
        <v>3398</v>
      </c>
      <c r="C2243" s="25">
        <v>595200</v>
      </c>
      <c r="D2243" s="22" t="s">
        <v>3399</v>
      </c>
      <c r="E2243" s="22" t="s">
        <v>107</v>
      </c>
      <c r="F2243" s="23" t="str">
        <f t="shared" si="92"/>
        <v>Оказание услуг по техническому обслуживанию шлагбаумов и системы видеонаблюдения, регистрации, системы контроля и управления доступом в ОГБУЗ «Городская больница №2 г. Белгорода» на 2020-2021 г.</v>
      </c>
      <c r="G2243" s="22" t="s">
        <v>176</v>
      </c>
      <c r="H2243" s="22" t="s">
        <v>318</v>
      </c>
      <c r="I2243" s="26">
        <v>43705.483032407399</v>
      </c>
      <c r="J2243" s="23" t="str">
        <f>HYPERLINK("https://www.spark-marketing.ru/Card/Person/5949265", "ООО ЧОО ""БЕЛГОРОДСКАЯ СЛУЖБА КОРПОРАТИВНОЙ БЕЗОПАСНОСТИ""")</f>
        <v>ООО ЧОО "БЕЛГОРОДСКАЯ СЛУЖБА КОРПОРАТИВНОЙ БЕЗОПАСНОСТИ"</v>
      </c>
      <c r="K2243" s="24" t="s">
        <v>3402</v>
      </c>
      <c r="L2243" s="28" t="s">
        <v>52</v>
      </c>
      <c r="M2243" s="25">
        <v>589248</v>
      </c>
      <c r="N2243" s="27">
        <v>0.01</v>
      </c>
    </row>
    <row r="2244" spans="1:14" hidden="1" outlineLevel="1" x14ac:dyDescent="0.2">
      <c r="A2244" s="23" t="str">
        <f t="shared" si="91"/>
        <v>ОГБУЗ "ГОРОДСКАЯ БОЛЬНИЦА №2 Г. БЕЛГОРОДА"</v>
      </c>
      <c r="B2244" s="24" t="s">
        <v>3398</v>
      </c>
      <c r="C2244" s="25">
        <v>595200</v>
      </c>
      <c r="D2244" s="22" t="s">
        <v>3399</v>
      </c>
      <c r="E2244" s="22" t="s">
        <v>107</v>
      </c>
      <c r="F2244" s="23" t="str">
        <f t="shared" si="92"/>
        <v>Оказание услуг по техническому обслуживанию шлагбаумов и системы видеонаблюдения, регистрации, системы контроля и управления доступом в ОГБУЗ «Городская больница №2 г. Белгорода» на 2020-2021 г.</v>
      </c>
      <c r="G2244" s="22" t="s">
        <v>176</v>
      </c>
      <c r="H2244" s="22" t="s">
        <v>318</v>
      </c>
      <c r="I2244" s="26">
        <v>43705.483032407399</v>
      </c>
      <c r="J2244" s="23" t="str">
        <f>HYPERLINK("https://www.spark-marketing.ru/Card/Person/263044", "ООО ""СИГНАЛ""")</f>
        <v>ООО "СИГНАЛ"</v>
      </c>
      <c r="K2244" s="24" t="s">
        <v>3403</v>
      </c>
      <c r="L2244" s="28" t="s">
        <v>52</v>
      </c>
      <c r="M2244" s="25">
        <v>482112</v>
      </c>
      <c r="N2244" s="27">
        <v>0.19</v>
      </c>
    </row>
    <row r="2245" spans="1:14" ht="12.75" hidden="1" outlineLevel="1" x14ac:dyDescent="0.2">
      <c r="A2245" s="23" t="str">
        <f t="shared" si="91"/>
        <v>ОГБУЗ "ГОРОДСКАЯ БОЛЬНИЦА №2 Г. БЕЛГОРОДА"</v>
      </c>
      <c r="B2245" s="24" t="s">
        <v>3398</v>
      </c>
      <c r="C2245" s="25">
        <v>595200</v>
      </c>
      <c r="D2245" s="22" t="s">
        <v>3399</v>
      </c>
      <c r="E2245" s="22" t="s">
        <v>107</v>
      </c>
      <c r="F2245" s="23" t="str">
        <f t="shared" si="92"/>
        <v>Оказание услуг по техническому обслуживанию шлагбаумов и системы видеонаблюдения, регистрации, системы контроля и управления доступом в ОГБУЗ «Городская больница №2 г. Белгорода» на 2020-2021 г.</v>
      </c>
      <c r="G2245" s="22" t="s">
        <v>176</v>
      </c>
      <c r="H2245" s="22" t="s">
        <v>318</v>
      </c>
      <c r="I2245" s="26">
        <v>43705.483032407399</v>
      </c>
      <c r="J2245" s="23" t="str">
        <f>HYPERLINK("https://www.spark-marketing.ru/Card/Person/512014", "ООО ""ЭЛЕКТРОПОЖМОНТАЖ""")</f>
        <v>ООО "ЭЛЕКТРОПОЖМОНТАЖ"</v>
      </c>
      <c r="K2245" s="24" t="s">
        <v>3404</v>
      </c>
      <c r="L2245" s="22" t="s">
        <v>10</v>
      </c>
      <c r="M2245" s="25">
        <v>288672</v>
      </c>
      <c r="N2245" s="27">
        <v>0.51500000000000001</v>
      </c>
    </row>
    <row r="2246" spans="1:14" hidden="1" outlineLevel="1" x14ac:dyDescent="0.2">
      <c r="A2246" s="23" t="str">
        <f t="shared" si="91"/>
        <v>ОГБУЗ "ГОРОДСКАЯ БОЛЬНИЦА №2 Г. БЕЛГОРОДА"</v>
      </c>
      <c r="B2246" s="24" t="s">
        <v>3398</v>
      </c>
      <c r="C2246" s="25">
        <v>595200</v>
      </c>
      <c r="D2246" s="22" t="s">
        <v>3399</v>
      </c>
      <c r="E2246" s="22" t="s">
        <v>107</v>
      </c>
      <c r="F2246" s="23" t="str">
        <f t="shared" si="92"/>
        <v>Оказание услуг по техническому обслуживанию шлагбаумов и системы видеонаблюдения, регистрации, системы контроля и управления доступом в ОГБУЗ «Городская больница №2 г. Белгорода» на 2020-2021 г.</v>
      </c>
      <c r="G2246" s="22" t="s">
        <v>176</v>
      </c>
      <c r="H2246" s="22" t="s">
        <v>318</v>
      </c>
      <c r="I2246" s="26">
        <v>43705.483032407399</v>
      </c>
      <c r="J2246" s="23" t="str">
        <f>HYPERLINK("https://www.spark-marketing.ru/Card/Person/262164", "ООО ""ЭНЕРГОПРОМНАЛАДКА""")</f>
        <v>ООО "ЭНЕРГОПРОМНАЛАДКА"</v>
      </c>
      <c r="K2246" s="24" t="s">
        <v>3405</v>
      </c>
      <c r="L2246" s="28" t="s">
        <v>52</v>
      </c>
      <c r="M2246" s="25">
        <v>592224</v>
      </c>
      <c r="N2246" s="27">
        <v>5.0000000000000001E-3</v>
      </c>
    </row>
    <row r="2247" spans="1:14" hidden="1" outlineLevel="1" x14ac:dyDescent="0.2">
      <c r="A2247" s="23" t="str">
        <f t="shared" si="91"/>
        <v>ОГБУЗ "ГОРОДСКАЯ БОЛЬНИЦА №2 Г. БЕЛГОРОДА"</v>
      </c>
      <c r="B2247" s="24" t="s">
        <v>3398</v>
      </c>
      <c r="C2247" s="25">
        <v>595200</v>
      </c>
      <c r="D2247" s="22" t="s">
        <v>3399</v>
      </c>
      <c r="E2247" s="22" t="s">
        <v>107</v>
      </c>
      <c r="F2247" s="23" t="str">
        <f t="shared" si="92"/>
        <v>Оказание услуг по техническому обслуживанию шлагбаумов и системы видеонаблюдения, регистрации, системы контроля и управления доступом в ОГБУЗ «Городская больница №2 г. Белгорода» на 2020-2021 г.</v>
      </c>
      <c r="G2247" s="22" t="s">
        <v>176</v>
      </c>
      <c r="H2247" s="22" t="s">
        <v>318</v>
      </c>
      <c r="I2247" s="26">
        <v>43705.483032407399</v>
      </c>
      <c r="J2247" s="23" t="str">
        <f>HYPERLINK("https://www.spark-marketing.ru/Card/Person/344197", "Климов Владимир Николаевич")</f>
        <v>Климов Владимир Николаевич</v>
      </c>
      <c r="K2247" s="24" t="s">
        <v>3406</v>
      </c>
      <c r="L2247" s="28" t="s">
        <v>52</v>
      </c>
      <c r="M2247" s="25">
        <v>523776</v>
      </c>
      <c r="N2247" s="27">
        <v>0.12</v>
      </c>
    </row>
    <row r="2248" spans="1:14" x14ac:dyDescent="0.15">
      <c r="A2248" s="23" t="str">
        <f>HYPERLINK("https://www.spark-marketing.ru/Card/Person/4347247", "ГБУЗ ""ОКВД № 3""")</f>
        <v>ГБУЗ "ОКВД № 3"</v>
      </c>
      <c r="B2248" s="24" t="s">
        <v>1208</v>
      </c>
      <c r="C2248" s="25">
        <v>462899.64</v>
      </c>
      <c r="D2248" s="22" t="s">
        <v>3407</v>
      </c>
      <c r="E2248" s="22" t="s">
        <v>59</v>
      </c>
      <c r="F2248" s="23" t="str">
        <f>HYPERLINK("https://www.spark-marketing.ru/Card/Lot/73073985", "Обеспечение комплексной безопасности организаций Челябинской области. Установка системы видеонаблюдения в поликлиническом отделении №2 по адресу: г. Челябинск, ул.Чичерина,10. Установка системы видеонаблюдения в поликлиническом отделении №5 по адресу...")</f>
        <v>Обеспечение комплексной безопасности организаций Челябинской области. Установка системы видеонаблюдения в поликлиническом отделении №2 по адресу: г. Челябинск, ул.Чичерина,10. Установка системы видеонаблюдения в поликлиническом отделении №5 по адресу...</v>
      </c>
      <c r="G2248" s="22" t="s">
        <v>60</v>
      </c>
      <c r="H2248" s="22" t="s">
        <v>1683</v>
      </c>
      <c r="I2248" s="26">
        <v>43705.465532407397</v>
      </c>
      <c r="J2248" s="28" t="s">
        <v>52</v>
      </c>
      <c r="K2248" s="28" t="s">
        <v>52</v>
      </c>
      <c r="L2248" s="28" t="s">
        <v>52</v>
      </c>
      <c r="M2248" s="28" t="s">
        <v>52</v>
      </c>
      <c r="N2248" s="28" t="s">
        <v>52</v>
      </c>
    </row>
    <row r="2249" spans="1:14" ht="12.75" hidden="1" outlineLevel="1" x14ac:dyDescent="0.2">
      <c r="A2249" s="23" t="str">
        <f>HYPERLINK("https://www.spark-marketing.ru/Card/Person/4347247", "ГБУЗ ""ОКВД № 3""")</f>
        <v>ГБУЗ "ОКВД № 3"</v>
      </c>
      <c r="B2249" s="24" t="s">
        <v>1208</v>
      </c>
      <c r="C2249" s="25">
        <v>462899.64</v>
      </c>
      <c r="D2249" s="22" t="s">
        <v>3407</v>
      </c>
      <c r="E2249" s="22" t="s">
        <v>59</v>
      </c>
      <c r="F2249" s="23" t="str">
        <f>HYPERLINK("https://www.spark-marketing.ru/Card/Lot/73073985", "Обеспечение комплексной безопасности организаций Челябинской области. Установка системы видеонаблюдения в поликлиническом отделении №2 по адресу: г. Челябинск, ул.Чичерина,10. Установка системы видеонаблюдения в поликлиническом отделении №5 по адресу...")</f>
        <v>Обеспечение комплексной безопасности организаций Челябинской области. Установка системы видеонаблюдения в поликлиническом отделении №2 по адресу: г. Челябинск, ул.Чичерина,10. Установка системы видеонаблюдения в поликлиническом отделении №5 по адресу...</v>
      </c>
      <c r="G2249" s="22" t="s">
        <v>60</v>
      </c>
      <c r="H2249" s="22" t="s">
        <v>1683</v>
      </c>
      <c r="I2249" s="26">
        <v>43705.465532407397</v>
      </c>
      <c r="J2249" s="23" t="str">
        <f>HYPERLINK("https://www.spark-marketing.ru/Card/Person/4408755", "ООО ""ВЕРТИКАЛЬ""")</f>
        <v>ООО "ВЕРТИКАЛЬ"</v>
      </c>
      <c r="K2249" s="24" t="s">
        <v>1210</v>
      </c>
      <c r="L2249" s="22" t="s">
        <v>10</v>
      </c>
      <c r="M2249" s="25">
        <v>280145.7</v>
      </c>
      <c r="N2249" s="27">
        <v>0.39480251053986559</v>
      </c>
    </row>
    <row r="2250" spans="1:14" hidden="1" outlineLevel="1" x14ac:dyDescent="0.2">
      <c r="A2250" s="23" t="str">
        <f>HYPERLINK("https://www.spark-marketing.ru/Card/Person/4347247", "ГБУЗ ""ОКВД № 3""")</f>
        <v>ГБУЗ "ОКВД № 3"</v>
      </c>
      <c r="B2250" s="24" t="s">
        <v>1208</v>
      </c>
      <c r="C2250" s="25">
        <v>462899.64</v>
      </c>
      <c r="D2250" s="22" t="s">
        <v>3407</v>
      </c>
      <c r="E2250" s="22" t="s">
        <v>59</v>
      </c>
      <c r="F2250" s="23" t="str">
        <f>HYPERLINK("https://www.spark-marketing.ru/Card/Lot/73073985", "Обеспечение комплексной безопасности организаций Челябинской области. Установка системы видеонаблюдения в поликлиническом отделении №2 по адресу: г. Челябинск, ул.Чичерина,10. Установка системы видеонаблюдения в поликлиническом отделении №5 по адресу...")</f>
        <v>Обеспечение комплексной безопасности организаций Челябинской области. Установка системы видеонаблюдения в поликлиническом отделении №2 по адресу: г. Челябинск, ул.Чичерина,10. Установка системы видеонаблюдения в поликлиническом отделении №5 по адресу...</v>
      </c>
      <c r="G2250" s="22" t="s">
        <v>60</v>
      </c>
      <c r="H2250" s="22" t="s">
        <v>1683</v>
      </c>
      <c r="I2250" s="26">
        <v>43705.465532407397</v>
      </c>
      <c r="J2250" s="23" t="str">
        <f>HYPERLINK("https://www.spark-marketing.ru/Card/Person/93187", "ООО ""БУРОС""")</f>
        <v>ООО "БУРОС"</v>
      </c>
      <c r="K2250" s="24" t="s">
        <v>3408</v>
      </c>
      <c r="L2250" s="28" t="s">
        <v>52</v>
      </c>
      <c r="M2250" s="25">
        <v>381550.2</v>
      </c>
      <c r="N2250" s="27">
        <v>0.17573882753505707</v>
      </c>
    </row>
    <row r="2251" spans="1:14" hidden="1" outlineLevel="1" x14ac:dyDescent="0.2">
      <c r="A2251" s="23" t="str">
        <f>HYPERLINK("https://www.spark-marketing.ru/Card/Person/4347247", "ГБУЗ ""ОКВД № 3""")</f>
        <v>ГБУЗ "ОКВД № 3"</v>
      </c>
      <c r="B2251" s="24" t="s">
        <v>1208</v>
      </c>
      <c r="C2251" s="25">
        <v>462899.64</v>
      </c>
      <c r="D2251" s="22" t="s">
        <v>3407</v>
      </c>
      <c r="E2251" s="22" t="s">
        <v>59</v>
      </c>
      <c r="F2251" s="23" t="str">
        <f>HYPERLINK("https://www.spark-marketing.ru/Card/Lot/73073985", "Обеспечение комплексной безопасности организаций Челябинской области. Установка системы видеонаблюдения в поликлиническом отделении №2 по адресу: г. Челябинск, ул.Чичерина,10. Установка системы видеонаблюдения в поликлиническом отделении №5 по адресу...")</f>
        <v>Обеспечение комплексной безопасности организаций Челябинской области. Установка системы видеонаблюдения в поликлиническом отделении №2 по адресу: г. Челябинск, ул.Чичерина,10. Установка системы видеонаблюдения в поликлиническом отделении №5 по адресу...</v>
      </c>
      <c r="G2251" s="22" t="s">
        <v>60</v>
      </c>
      <c r="H2251" s="22" t="s">
        <v>1683</v>
      </c>
      <c r="I2251" s="26">
        <v>43705.465532407397</v>
      </c>
      <c r="J2251" s="23" t="str">
        <f>HYPERLINK("https://www.spark-marketing.ru/Card/Person/4707357", "Бритнер Андрей Владимирович")</f>
        <v>Бритнер Андрей Владимирович</v>
      </c>
      <c r="K2251" s="24" t="s">
        <v>3409</v>
      </c>
      <c r="L2251" s="28" t="s">
        <v>52</v>
      </c>
      <c r="M2251" s="25">
        <v>282545.7</v>
      </c>
      <c r="N2251" s="27">
        <v>0.38961780138779112</v>
      </c>
    </row>
    <row r="2252" spans="1:14" x14ac:dyDescent="0.15">
      <c r="A2252" s="23" t="str">
        <f t="shared" ref="A2252:A2259" si="93">HYPERLINK("https://www.spark-marketing.ru/Card/Person/80960", "ГБУЗ ""РАЙОННАЯ БОЛЬНИЦА Г.КАТАВ-ИВАНОВСК""")</f>
        <v>ГБУЗ "РАЙОННАЯ БОЛЬНИЦА Г.КАТАВ-ИВАНОВСК"</v>
      </c>
      <c r="B2252" s="24" t="s">
        <v>3410</v>
      </c>
      <c r="C2252" s="25">
        <v>219914</v>
      </c>
      <c r="D2252" s="22" t="s">
        <v>3411</v>
      </c>
      <c r="E2252" s="22" t="s">
        <v>59</v>
      </c>
      <c r="F2252" s="23" t="str">
        <f t="shared" ref="F2252:F2259" si="94">HYPERLINK("https://www.spark-marketing.ru/Card/Lot/73074038", "Установка видеонаблюдения")</f>
        <v>Установка видеонаблюдения</v>
      </c>
      <c r="G2252" s="22" t="s">
        <v>60</v>
      </c>
      <c r="H2252" s="22" t="s">
        <v>60</v>
      </c>
      <c r="I2252" s="26">
        <v>43705.454062500001</v>
      </c>
      <c r="J2252" s="28" t="s">
        <v>52</v>
      </c>
      <c r="K2252" s="28" t="s">
        <v>52</v>
      </c>
      <c r="L2252" s="28" t="s">
        <v>52</v>
      </c>
      <c r="M2252" s="28" t="s">
        <v>52</v>
      </c>
      <c r="N2252" s="28" t="s">
        <v>52</v>
      </c>
    </row>
    <row r="2253" spans="1:14" hidden="1" outlineLevel="1" x14ac:dyDescent="0.2">
      <c r="A2253" s="23" t="str">
        <f t="shared" si="93"/>
        <v>ГБУЗ "РАЙОННАЯ БОЛЬНИЦА Г.КАТАВ-ИВАНОВСК"</v>
      </c>
      <c r="B2253" s="24" t="s">
        <v>3410</v>
      </c>
      <c r="C2253" s="25">
        <v>219914</v>
      </c>
      <c r="D2253" s="22" t="s">
        <v>3411</v>
      </c>
      <c r="E2253" s="22" t="s">
        <v>59</v>
      </c>
      <c r="F2253" s="23" t="str">
        <f t="shared" si="94"/>
        <v>Установка видеонаблюдения</v>
      </c>
      <c r="G2253" s="22" t="s">
        <v>60</v>
      </c>
      <c r="H2253" s="22" t="s">
        <v>60</v>
      </c>
      <c r="I2253" s="26">
        <v>43705.454062500001</v>
      </c>
      <c r="J2253" s="23" t="str">
        <f>HYPERLINK("https://www.spark-marketing.ru/Card/Person/1530307", "ООО ""ГИПОКАУСТ""")</f>
        <v>ООО "ГИПОКАУСТ"</v>
      </c>
      <c r="K2253" s="24" t="s">
        <v>3412</v>
      </c>
      <c r="L2253" s="28" t="s">
        <v>52</v>
      </c>
      <c r="M2253" s="25">
        <v>180317.44</v>
      </c>
      <c r="N2253" s="27">
        <v>0.18005474867448185</v>
      </c>
    </row>
    <row r="2254" spans="1:14" hidden="1" outlineLevel="1" x14ac:dyDescent="0.2">
      <c r="A2254" s="23" t="str">
        <f t="shared" si="93"/>
        <v>ГБУЗ "РАЙОННАЯ БОЛЬНИЦА Г.КАТАВ-ИВАНОВСК"</v>
      </c>
      <c r="B2254" s="24" t="s">
        <v>3410</v>
      </c>
      <c r="C2254" s="25">
        <v>219914</v>
      </c>
      <c r="D2254" s="22" t="s">
        <v>3411</v>
      </c>
      <c r="E2254" s="22" t="s">
        <v>59</v>
      </c>
      <c r="F2254" s="23" t="str">
        <f t="shared" si="94"/>
        <v>Установка видеонаблюдения</v>
      </c>
      <c r="G2254" s="22" t="s">
        <v>60</v>
      </c>
      <c r="H2254" s="22" t="s">
        <v>60</v>
      </c>
      <c r="I2254" s="26">
        <v>43705.454062500001</v>
      </c>
      <c r="J2254" s="23" t="str">
        <f>HYPERLINK("https://www.spark-marketing.ru/Card/Person/6347833", "ООО ""БАШОПТИК""")</f>
        <v>ООО "БАШОПТИК"</v>
      </c>
      <c r="K2254" s="24" t="s">
        <v>3413</v>
      </c>
      <c r="L2254" s="28" t="s">
        <v>52</v>
      </c>
      <c r="M2254" s="25">
        <v>147800.85999999999</v>
      </c>
      <c r="N2254" s="27">
        <v>0.32791518502687417</v>
      </c>
    </row>
    <row r="2255" spans="1:14" hidden="1" outlineLevel="1" x14ac:dyDescent="0.2">
      <c r="A2255" s="23" t="str">
        <f t="shared" si="93"/>
        <v>ГБУЗ "РАЙОННАЯ БОЛЬНИЦА Г.КАТАВ-ИВАНОВСК"</v>
      </c>
      <c r="B2255" s="24" t="s">
        <v>3410</v>
      </c>
      <c r="C2255" s="25">
        <v>219914</v>
      </c>
      <c r="D2255" s="22" t="s">
        <v>3411</v>
      </c>
      <c r="E2255" s="22" t="s">
        <v>59</v>
      </c>
      <c r="F2255" s="23" t="str">
        <f t="shared" si="94"/>
        <v>Установка видеонаблюдения</v>
      </c>
      <c r="G2255" s="22" t="s">
        <v>60</v>
      </c>
      <c r="H2255" s="22" t="s">
        <v>60</v>
      </c>
      <c r="I2255" s="26">
        <v>43705.454062500001</v>
      </c>
      <c r="J2255" s="23" t="str">
        <f>HYPERLINK("https://www.spark-marketing.ru/Card/Person/802084", "ООО ""ГЕФЕСТ""")</f>
        <v>ООО "ГЕФЕСТ"</v>
      </c>
      <c r="K2255" s="24" t="s">
        <v>3414</v>
      </c>
      <c r="L2255" s="28" t="s">
        <v>52</v>
      </c>
      <c r="M2255" s="25">
        <v>170000</v>
      </c>
      <c r="N2255" s="27">
        <v>0.22697054303045736</v>
      </c>
    </row>
    <row r="2256" spans="1:14" hidden="1" outlineLevel="1" x14ac:dyDescent="0.2">
      <c r="A2256" s="23" t="str">
        <f t="shared" si="93"/>
        <v>ГБУЗ "РАЙОННАЯ БОЛЬНИЦА Г.КАТАВ-ИВАНОВСК"</v>
      </c>
      <c r="B2256" s="24" t="s">
        <v>3410</v>
      </c>
      <c r="C2256" s="25">
        <v>219914</v>
      </c>
      <c r="D2256" s="22" t="s">
        <v>3411</v>
      </c>
      <c r="E2256" s="22" t="s">
        <v>59</v>
      </c>
      <c r="F2256" s="23" t="str">
        <f t="shared" si="94"/>
        <v>Установка видеонаблюдения</v>
      </c>
      <c r="G2256" s="22" t="s">
        <v>60</v>
      </c>
      <c r="H2256" s="22" t="s">
        <v>60</v>
      </c>
      <c r="I2256" s="26">
        <v>43705.454062500001</v>
      </c>
      <c r="J2256" s="23" t="str">
        <f>HYPERLINK("https://www.spark-marketing.ru/Card/Person/4408755", "ООО ""ВЕРТИКАЛЬ""")</f>
        <v>ООО "ВЕРТИКАЛЬ"</v>
      </c>
      <c r="K2256" s="24" t="s">
        <v>1210</v>
      </c>
      <c r="L2256" s="28" t="s">
        <v>52</v>
      </c>
      <c r="M2256" s="25">
        <v>142800</v>
      </c>
      <c r="N2256" s="27">
        <v>0.35065525614558418</v>
      </c>
    </row>
    <row r="2257" spans="1:14" hidden="1" outlineLevel="1" x14ac:dyDescent="0.2">
      <c r="A2257" s="23" t="str">
        <f t="shared" si="93"/>
        <v>ГБУЗ "РАЙОННАЯ БОЛЬНИЦА Г.КАТАВ-ИВАНОВСК"</v>
      </c>
      <c r="B2257" s="24" t="s">
        <v>3410</v>
      </c>
      <c r="C2257" s="25">
        <v>219914</v>
      </c>
      <c r="D2257" s="22" t="s">
        <v>3411</v>
      </c>
      <c r="E2257" s="22" t="s">
        <v>59</v>
      </c>
      <c r="F2257" s="23" t="str">
        <f t="shared" si="94"/>
        <v>Установка видеонаблюдения</v>
      </c>
      <c r="G2257" s="22" t="s">
        <v>60</v>
      </c>
      <c r="H2257" s="22" t="s">
        <v>60</v>
      </c>
      <c r="I2257" s="26">
        <v>43705.454062500001</v>
      </c>
      <c r="J2257" s="23" t="str">
        <f>HYPERLINK("https://www.spark-marketing.ru/Card/Person/6581660", "ООО ""ВИДЕОСИСТЕМЫ""")</f>
        <v>ООО "ВИДЕОСИСТЕМЫ"</v>
      </c>
      <c r="K2257" s="24" t="s">
        <v>3415</v>
      </c>
      <c r="L2257" s="28" t="s">
        <v>52</v>
      </c>
      <c r="M2257" s="25">
        <v>191450</v>
      </c>
      <c r="N2257" s="27">
        <v>0.12943241448930037</v>
      </c>
    </row>
    <row r="2258" spans="1:14" hidden="1" outlineLevel="1" x14ac:dyDescent="0.2">
      <c r="A2258" s="23" t="str">
        <f t="shared" si="93"/>
        <v>ГБУЗ "РАЙОННАЯ БОЛЬНИЦА Г.КАТАВ-ИВАНОВСК"</v>
      </c>
      <c r="B2258" s="24" t="s">
        <v>3410</v>
      </c>
      <c r="C2258" s="25">
        <v>219914</v>
      </c>
      <c r="D2258" s="22" t="s">
        <v>3411</v>
      </c>
      <c r="E2258" s="22" t="s">
        <v>59</v>
      </c>
      <c r="F2258" s="23" t="str">
        <f t="shared" si="94"/>
        <v>Установка видеонаблюдения</v>
      </c>
      <c r="G2258" s="22" t="s">
        <v>60</v>
      </c>
      <c r="H2258" s="22" t="s">
        <v>60</v>
      </c>
      <c r="I2258" s="26">
        <v>43705.454062500001</v>
      </c>
      <c r="J2258" s="23" t="str">
        <f>HYPERLINK("https://www.spark-marketing.ru/Card/Person/6049626", "ООО ""ХОЛДАН""")</f>
        <v>ООО "ХОЛДАН"</v>
      </c>
      <c r="K2258" s="24" t="s">
        <v>3416</v>
      </c>
      <c r="L2258" s="28" t="s">
        <v>52</v>
      </c>
      <c r="M2258" s="25">
        <v>125601.72</v>
      </c>
      <c r="N2258" s="27">
        <v>0.4288598270232909</v>
      </c>
    </row>
    <row r="2259" spans="1:14" ht="12.75" hidden="1" outlineLevel="1" x14ac:dyDescent="0.2">
      <c r="A2259" s="23" t="str">
        <f t="shared" si="93"/>
        <v>ГБУЗ "РАЙОННАЯ БОЛЬНИЦА Г.КАТАВ-ИВАНОВСК"</v>
      </c>
      <c r="B2259" s="24" t="s">
        <v>3410</v>
      </c>
      <c r="C2259" s="25">
        <v>219914</v>
      </c>
      <c r="D2259" s="22" t="s">
        <v>3411</v>
      </c>
      <c r="E2259" s="22" t="s">
        <v>59</v>
      </c>
      <c r="F2259" s="23" t="str">
        <f t="shared" si="94"/>
        <v>Установка видеонаблюдения</v>
      </c>
      <c r="G2259" s="22" t="s">
        <v>60</v>
      </c>
      <c r="H2259" s="22" t="s">
        <v>60</v>
      </c>
      <c r="I2259" s="26">
        <v>43705.454062500001</v>
      </c>
      <c r="J2259" s="23" t="str">
        <f>HYPERLINK("https://www.spark-marketing.ru/Card/Person/6334494", "Потапкина Юлия Валерьевна")</f>
        <v>Потапкина Юлия Валерьевна</v>
      </c>
      <c r="K2259" s="24" t="s">
        <v>3417</v>
      </c>
      <c r="L2259" s="22" t="s">
        <v>10</v>
      </c>
      <c r="M2259" s="25">
        <v>124502.15</v>
      </c>
      <c r="N2259" s="27">
        <v>0.4338598270232909</v>
      </c>
    </row>
    <row r="2260" spans="1:14" x14ac:dyDescent="0.15">
      <c r="A2260" s="23" t="str">
        <f t="shared" ref="A2260:A2268" si="95">HYPERLINK("https://www.spark-marketing.ru/Card/Person/10834", "ГКУ КО ""ДИРЕКЦИЯ АВТОДОРОГ КУЗБАССА""")</f>
        <v>ГКУ КО "ДИРЕКЦИЯ АВТОДОРОГ КУЗБАССА"</v>
      </c>
      <c r="B2260" s="24" t="s">
        <v>1499</v>
      </c>
      <c r="C2260" s="25">
        <v>5079809.8899999997</v>
      </c>
      <c r="D2260" s="22" t="s">
        <v>3418</v>
      </c>
      <c r="E2260" s="22" t="s">
        <v>723</v>
      </c>
      <c r="F2260" s="23" t="str">
        <f>HYPERLINK("https://www.spark-marketing.ru/Card/Lot/73070132",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v>
      </c>
      <c r="G2260" s="22" t="s">
        <v>367</v>
      </c>
      <c r="H2260" s="22" t="s">
        <v>881</v>
      </c>
      <c r="I2260" s="26">
        <v>43704.752916666701</v>
      </c>
      <c r="J2260" s="28" t="s">
        <v>52</v>
      </c>
      <c r="K2260" s="28" t="s">
        <v>52</v>
      </c>
      <c r="L2260" s="28" t="s">
        <v>52</v>
      </c>
      <c r="M2260" s="28" t="s">
        <v>52</v>
      </c>
      <c r="N2260" s="28" t="s">
        <v>52</v>
      </c>
    </row>
    <row r="2261" spans="1:14" hidden="1" outlineLevel="1" x14ac:dyDescent="0.2">
      <c r="A2261" s="23" t="str">
        <f t="shared" si="95"/>
        <v>ГКУ КО "ДИРЕКЦИЯ АВТОДОРОГ КУЗБАССА"</v>
      </c>
      <c r="B2261" s="24" t="s">
        <v>1499</v>
      </c>
      <c r="C2261" s="25">
        <v>5079809.8899999997</v>
      </c>
      <c r="D2261" s="22" t="s">
        <v>3418</v>
      </c>
      <c r="E2261" s="22" t="s">
        <v>723</v>
      </c>
      <c r="F2261" s="23" t="str">
        <f>HYPERLINK("https://www.spark-marketing.ru/Card/Lot/73070132",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v>
      </c>
      <c r="G2261" s="22" t="s">
        <v>367</v>
      </c>
      <c r="H2261" s="22" t="s">
        <v>881</v>
      </c>
      <c r="I2261" s="26">
        <v>43704.752916666701</v>
      </c>
      <c r="J2261" s="23" t="str">
        <f>HYPERLINK("https://www.spark-marketing.ru/Card/Person/127397", "ООО ""ИНФОСЕРВИС""")</f>
        <v>ООО "ИНФОСЕРВИС"</v>
      </c>
      <c r="K2261" s="24" t="s">
        <v>1503</v>
      </c>
      <c r="L2261" s="28" t="s">
        <v>52</v>
      </c>
      <c r="M2261" s="25">
        <v>2006524.84</v>
      </c>
      <c r="N2261" s="27">
        <v>0.60500001310088403</v>
      </c>
    </row>
    <row r="2262" spans="1:14" ht="12.75" hidden="1" outlineLevel="1" x14ac:dyDescent="0.2">
      <c r="A2262" s="23" t="str">
        <f t="shared" si="95"/>
        <v>ГКУ КО "ДИРЕКЦИЯ АВТОДОРОГ КУЗБАССА"</v>
      </c>
      <c r="B2262" s="24" t="s">
        <v>1499</v>
      </c>
      <c r="C2262" s="25">
        <v>5079809.8899999997</v>
      </c>
      <c r="D2262" s="22" t="s">
        <v>3418</v>
      </c>
      <c r="E2262" s="22" t="s">
        <v>723</v>
      </c>
      <c r="F2262" s="23" t="str">
        <f>HYPERLINK("https://www.spark-marketing.ru/Card/Lot/73070132",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v>
      </c>
      <c r="G2262" s="22" t="s">
        <v>367</v>
      </c>
      <c r="H2262" s="22" t="s">
        <v>881</v>
      </c>
      <c r="I2262" s="26">
        <v>43704.752916666701</v>
      </c>
      <c r="J2262" s="23" t="str">
        <f>HYPERLINK("https://www.spark-marketing.ru/Card/Person/1354238", "ООО ""ЛАБОРАТОРИЯ ЦИФРОВОГО ЗРЕНИЯ""")</f>
        <v>ООО "ЛАБОРАТОРИЯ ЦИФРОВОГО ЗРЕНИЯ"</v>
      </c>
      <c r="K2262" s="24" t="s">
        <v>1191</v>
      </c>
      <c r="L2262" s="22" t="s">
        <v>10</v>
      </c>
      <c r="M2262" s="25">
        <v>1981125.79</v>
      </c>
      <c r="N2262" s="27">
        <v>0.61000001320915576</v>
      </c>
    </row>
    <row r="2263" spans="1:14" x14ac:dyDescent="0.15">
      <c r="A2263" s="23" t="str">
        <f t="shared" si="95"/>
        <v>ГКУ КО "ДИРЕКЦИЯ АВТОДОРОГ КУЗБАССА"</v>
      </c>
      <c r="B2263" s="24" t="s">
        <v>1499</v>
      </c>
      <c r="C2263" s="25">
        <v>5101448.96</v>
      </c>
      <c r="D2263" s="22" t="s">
        <v>3419</v>
      </c>
      <c r="E2263" s="22" t="s">
        <v>723</v>
      </c>
      <c r="F2263" s="23" t="str">
        <f>HYPERLINK("https://www.spark-marketing.ru/Card/Lot/73070099",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v>
      </c>
      <c r="G2263" s="22" t="s">
        <v>367</v>
      </c>
      <c r="H2263" s="22" t="s">
        <v>881</v>
      </c>
      <c r="I2263" s="26">
        <v>43704.753935185203</v>
      </c>
      <c r="J2263" s="28" t="s">
        <v>52</v>
      </c>
      <c r="K2263" s="28" t="s">
        <v>52</v>
      </c>
      <c r="L2263" s="28" t="s">
        <v>52</v>
      </c>
      <c r="M2263" s="28" t="s">
        <v>52</v>
      </c>
      <c r="N2263" s="28" t="s">
        <v>52</v>
      </c>
    </row>
    <row r="2264" spans="1:14" hidden="1" outlineLevel="1" x14ac:dyDescent="0.2">
      <c r="A2264" s="23" t="str">
        <f t="shared" si="95"/>
        <v>ГКУ КО "ДИРЕКЦИЯ АВТОДОРОГ КУЗБАССА"</v>
      </c>
      <c r="B2264" s="24" t="s">
        <v>1499</v>
      </c>
      <c r="C2264" s="25">
        <v>5101448.96</v>
      </c>
      <c r="D2264" s="22" t="s">
        <v>3419</v>
      </c>
      <c r="E2264" s="22" t="s">
        <v>723</v>
      </c>
      <c r="F2264" s="23" t="str">
        <f>HYPERLINK("https://www.spark-marketing.ru/Card/Lot/73070099",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v>
      </c>
      <c r="G2264" s="22" t="s">
        <v>367</v>
      </c>
      <c r="H2264" s="22" t="s">
        <v>881</v>
      </c>
      <c r="I2264" s="26">
        <v>43704.753935185203</v>
      </c>
      <c r="J2264" s="23" t="str">
        <f>HYPERLINK("https://www.spark-marketing.ru/Card/Person/127397", "ООО ""ИНФОСЕРВИС""")</f>
        <v>ООО "ИНФОСЕРВИС"</v>
      </c>
      <c r="K2264" s="24" t="s">
        <v>1503</v>
      </c>
      <c r="L2264" s="28" t="s">
        <v>52</v>
      </c>
      <c r="M2264" s="25">
        <v>2015071.71</v>
      </c>
      <c r="N2264" s="27">
        <v>0.60500012333750763</v>
      </c>
    </row>
    <row r="2265" spans="1:14" ht="12.75" hidden="1" outlineLevel="1" x14ac:dyDescent="0.2">
      <c r="A2265" s="23" t="str">
        <f t="shared" si="95"/>
        <v>ГКУ КО "ДИРЕКЦИЯ АВТОДОРОГ КУЗБАССА"</v>
      </c>
      <c r="B2265" s="24" t="s">
        <v>1499</v>
      </c>
      <c r="C2265" s="25">
        <v>5101448.96</v>
      </c>
      <c r="D2265" s="22" t="s">
        <v>3419</v>
      </c>
      <c r="E2265" s="22" t="s">
        <v>723</v>
      </c>
      <c r="F2265" s="23" t="str">
        <f>HYPERLINK("https://www.spark-marketing.ru/Card/Lot/73070099",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v>
      </c>
      <c r="G2265" s="22" t="s">
        <v>367</v>
      </c>
      <c r="H2265" s="22" t="s">
        <v>881</v>
      </c>
      <c r="I2265" s="26">
        <v>43704.753935185203</v>
      </c>
      <c r="J2265" s="23" t="str">
        <f>HYPERLINK("https://www.spark-marketing.ru/Card/Person/1354238", "ООО ""ЛАБОРАТОРИЯ ЦИФРОВОГО ЗРЕНИЯ""")</f>
        <v>ООО "ЛАБОРАТОРИЯ ЦИФРОВОГО ЗРЕНИЯ"</v>
      </c>
      <c r="K2265" s="24" t="s">
        <v>1191</v>
      </c>
      <c r="L2265" s="22" t="s">
        <v>10</v>
      </c>
      <c r="M2265" s="25">
        <v>1989564.46</v>
      </c>
      <c r="N2265" s="27">
        <v>0.61000012435682582</v>
      </c>
    </row>
    <row r="2266" spans="1:14" x14ac:dyDescent="0.15">
      <c r="A2266" s="23" t="str">
        <f t="shared" si="95"/>
        <v>ГКУ КО "ДИРЕКЦИЯ АВТОДОРОГ КУЗБАССА"</v>
      </c>
      <c r="B2266" s="24" t="s">
        <v>1499</v>
      </c>
      <c r="C2266" s="25">
        <v>5322603.6900000004</v>
      </c>
      <c r="D2266" s="22" t="s">
        <v>3420</v>
      </c>
      <c r="E2266" s="22" t="s">
        <v>723</v>
      </c>
      <c r="F2266" s="23" t="str">
        <f>HYPERLINK("https://www.spark-marketing.ru/Card/Lot/73070101",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v>
      </c>
      <c r="G2266" s="22" t="s">
        <v>367</v>
      </c>
      <c r="H2266" s="22" t="s">
        <v>881</v>
      </c>
      <c r="I2266" s="26">
        <v>43704.755532407398</v>
      </c>
      <c r="J2266" s="28" t="s">
        <v>52</v>
      </c>
      <c r="K2266" s="28" t="s">
        <v>52</v>
      </c>
      <c r="L2266" s="28" t="s">
        <v>52</v>
      </c>
      <c r="M2266" s="28" t="s">
        <v>52</v>
      </c>
      <c r="N2266" s="28" t="s">
        <v>52</v>
      </c>
    </row>
    <row r="2267" spans="1:14" hidden="1" outlineLevel="1" x14ac:dyDescent="0.2">
      <c r="A2267" s="23" t="str">
        <f t="shared" si="95"/>
        <v>ГКУ КО "ДИРЕКЦИЯ АВТОДОРОГ КУЗБАССА"</v>
      </c>
      <c r="B2267" s="24" t="s">
        <v>1499</v>
      </c>
      <c r="C2267" s="25">
        <v>5322603.6900000004</v>
      </c>
      <c r="D2267" s="22" t="s">
        <v>3420</v>
      </c>
      <c r="E2267" s="22" t="s">
        <v>723</v>
      </c>
      <c r="F2267" s="23" t="str">
        <f>HYPERLINK("https://www.spark-marketing.ru/Card/Lot/73070101",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v>
      </c>
      <c r="G2267" s="22" t="s">
        <v>367</v>
      </c>
      <c r="H2267" s="22" t="s">
        <v>881</v>
      </c>
      <c r="I2267" s="26">
        <v>43704.755532407398</v>
      </c>
      <c r="J2267" s="23" t="str">
        <f>HYPERLINK("https://www.spark-marketing.ru/Card/Person/127397", "ООО ""ИНФОСЕРВИС""")</f>
        <v>ООО "ИНФОСЕРВИС"</v>
      </c>
      <c r="K2267" s="24" t="s">
        <v>1503</v>
      </c>
      <c r="L2267" s="28" t="s">
        <v>52</v>
      </c>
      <c r="M2267" s="25">
        <v>2129041.48</v>
      </c>
      <c r="N2267" s="27">
        <v>0.59999999924848813</v>
      </c>
    </row>
    <row r="2268" spans="1:14" ht="12.75" hidden="1" outlineLevel="1" x14ac:dyDescent="0.2">
      <c r="A2268" s="23" t="str">
        <f t="shared" si="95"/>
        <v>ГКУ КО "ДИРЕКЦИЯ АВТОДОРОГ КУЗБАССА"</v>
      </c>
      <c r="B2268" s="24" t="s">
        <v>1499</v>
      </c>
      <c r="C2268" s="25">
        <v>5322603.6900000004</v>
      </c>
      <c r="D2268" s="22" t="s">
        <v>3420</v>
      </c>
      <c r="E2268" s="22" t="s">
        <v>723</v>
      </c>
      <c r="F2268" s="23" t="str">
        <f>HYPERLINK("https://www.spark-marketing.ru/Card/Lot/73070101",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v>
      </c>
      <c r="G2268" s="22" t="s">
        <v>367</v>
      </c>
      <c r="H2268" s="22" t="s">
        <v>881</v>
      </c>
      <c r="I2268" s="26">
        <v>43704.755532407398</v>
      </c>
      <c r="J2268" s="23" t="str">
        <f>HYPERLINK("https://www.spark-marketing.ru/Card/Person/1354238", "ООО ""ЛАБОРАТОРИЯ ЦИФРОВОГО ЗРЕНИЯ""")</f>
        <v>ООО "ЛАБОРАТОРИЯ ЦИФРОВОГО ЗРЕНИЯ"</v>
      </c>
      <c r="K2268" s="24" t="s">
        <v>1191</v>
      </c>
      <c r="L2268" s="22" t="s">
        <v>10</v>
      </c>
      <c r="M2268" s="25">
        <v>2129041.29</v>
      </c>
      <c r="N2268" s="27">
        <v>0.6000000349453033</v>
      </c>
    </row>
    <row r="2269" spans="1:14" x14ac:dyDescent="0.15">
      <c r="A2269" s="23" t="str">
        <f>HYPERLINK("https://www.spark-marketing.ru/Card/Person/639689", "АО ""КМПО""")</f>
        <v>АО "КМПО"</v>
      </c>
      <c r="B2269" s="24" t="s">
        <v>3421</v>
      </c>
      <c r="C2269" s="25">
        <v>0</v>
      </c>
      <c r="D2269" s="22" t="s">
        <v>3422</v>
      </c>
      <c r="E2269" s="22" t="s">
        <v>53</v>
      </c>
      <c r="F2269" s="23" t="str">
        <f>HYPERLINK("https://www.spark-marketing.ru/Card/Lot/73097121", "Интерактивный стол с диагональю 49"" в составе: Процессор Intel Core i5 - 1 шт Оперативная память 8Gb - 1 шт Накопители на жестких дисках 120Gb SSD - 1 шт Видеокарта nVidia GeForce GTX 1050TI 4 GB RAM) - 1 шт Сетевая карта Ethernet 10/100/1000 Мбит/с...")</f>
        <v>Интерактивный стол с диагональю 49" в составе: Процессор Intel Core i5 - 1 шт Оперативная память 8Gb - 1 шт Накопители на жестких дисках 120Gb SSD - 1 шт Видеокарта nVidia GeForce GTX 1050TI 4 GB RAM) - 1 шт Сетевая карта Ethernet 10/100/1000 Мбит/с...</v>
      </c>
      <c r="G2269" s="22" t="s">
        <v>204</v>
      </c>
      <c r="H2269" s="22" t="s">
        <v>303</v>
      </c>
      <c r="I2269" s="26">
        <v>43705.375995370399</v>
      </c>
      <c r="J2269" s="28" t="s">
        <v>52</v>
      </c>
      <c r="K2269" s="28" t="s">
        <v>52</v>
      </c>
      <c r="L2269" s="28" t="s">
        <v>52</v>
      </c>
      <c r="M2269" s="28" t="s">
        <v>52</v>
      </c>
      <c r="N2269" s="28" t="s">
        <v>52</v>
      </c>
    </row>
    <row r="2270" spans="1:14" x14ac:dyDescent="0.15">
      <c r="A2270" s="23" t="str">
        <f>HYPERLINK("https://www.spark-marketing.ru/Card/Person/151671", "ФГКУ КОМБИНАТ ""ИСКАТЕЛЬ"" РОСРЕЗЕРВА")</f>
        <v>ФГКУ КОМБИНАТ "ИСКАТЕЛЬ" РОСРЕЗЕРВА</v>
      </c>
      <c r="B2270" s="24" t="s">
        <v>3423</v>
      </c>
      <c r="C2270" s="25">
        <v>16293.6</v>
      </c>
      <c r="D2270" s="22" t="s">
        <v>3424</v>
      </c>
      <c r="E2270" s="22" t="s">
        <v>53</v>
      </c>
      <c r="F2270" s="23" t="str">
        <f>HYPERLINK("https://www.spark-marketing.ru/Card/Lot/73071876", "Централизованная охрана объекта")</f>
        <v>Централизованная охрана объекта</v>
      </c>
      <c r="G2270" s="22" t="s">
        <v>340</v>
      </c>
      <c r="H2270" s="22" t="s">
        <v>2755</v>
      </c>
      <c r="I2270" s="26">
        <v>43705.399074074099</v>
      </c>
      <c r="J2270" s="28" t="s">
        <v>52</v>
      </c>
      <c r="K2270" s="28" t="s">
        <v>52</v>
      </c>
      <c r="L2270" s="28" t="s">
        <v>52</v>
      </c>
      <c r="M2270" s="28" t="s">
        <v>52</v>
      </c>
      <c r="N2270" s="28" t="s">
        <v>52</v>
      </c>
    </row>
    <row r="2271" spans="1:14" x14ac:dyDescent="0.15">
      <c r="A2271" s="23" t="str">
        <f>HYPERLINK("https://www.spark-marketing.ru/Card/Person/1299125", "МАДОУ ""ДЕТСКИЙ САД № 1 ""ТЕРЕМОК""")</f>
        <v>МАДОУ "ДЕТСКИЙ САД № 1 "ТЕРЕМОК"</v>
      </c>
      <c r="B2271" s="24" t="s">
        <v>3425</v>
      </c>
      <c r="C2271" s="25">
        <v>81600</v>
      </c>
      <c r="D2271" s="22" t="s">
        <v>3426</v>
      </c>
      <c r="E2271" s="22" t="s">
        <v>84</v>
      </c>
      <c r="F2271" s="23" t="str">
        <f>HYPERLINK("https://www.spark-marketing.ru/Card/Lot/73072432", "приобретение и установку камер видеонаблюдения")</f>
        <v>приобретение и установку камер видеонаблюдения</v>
      </c>
      <c r="G2271" s="22" t="s">
        <v>50</v>
      </c>
      <c r="H2271" s="22" t="s">
        <v>1386</v>
      </c>
      <c r="I2271" s="26">
        <v>43705.388263888897</v>
      </c>
      <c r="J2271" s="28" t="s">
        <v>52</v>
      </c>
      <c r="K2271" s="28" t="s">
        <v>52</v>
      </c>
      <c r="L2271" s="28" t="s">
        <v>52</v>
      </c>
      <c r="M2271" s="28" t="s">
        <v>52</v>
      </c>
      <c r="N2271" s="28" t="s">
        <v>52</v>
      </c>
    </row>
    <row r="2272" spans="1:14" x14ac:dyDescent="0.15">
      <c r="A2272" s="23" t="str">
        <f>HYPERLINK("https://www.spark-marketing.ru/Card/Person/35339", "ФГБУ ""КАНАЛ ИМЕНИ МОСКВЫ""")</f>
        <v>ФГБУ "КАНАЛ ИМЕНИ МОСКВЫ"</v>
      </c>
      <c r="B2272" s="24" t="s">
        <v>3427</v>
      </c>
      <c r="C2272" s="25">
        <v>10223243.82</v>
      </c>
      <c r="D2272" s="22" t="s">
        <v>3428</v>
      </c>
      <c r="E2272" s="22" t="s">
        <v>59</v>
      </c>
      <c r="F2272" s="23" t="str">
        <f>HYPERLINK("https://www.spark-marketing.ru/Card/Lot/73073666", "ЭА-215 Работы по приведению инженерно-технических средств обеспечения транспортной безопасности к соответствию нормативно-правовым актам Российской Федерации")</f>
        <v>ЭА-215 Работы по приведению инженерно-технических средств обеспечения транспортной безопасности к соответствию нормативно-правовым актам Российской Федерации</v>
      </c>
      <c r="G2272" s="22" t="s">
        <v>55</v>
      </c>
      <c r="H2272" s="22" t="s">
        <v>55</v>
      </c>
      <c r="I2272" s="26">
        <v>43704.8667361111</v>
      </c>
      <c r="J2272" s="28" t="s">
        <v>52</v>
      </c>
      <c r="K2272" s="28" t="s">
        <v>52</v>
      </c>
      <c r="L2272" s="28" t="s">
        <v>52</v>
      </c>
      <c r="M2272" s="28" t="s">
        <v>52</v>
      </c>
      <c r="N2272" s="28" t="s">
        <v>52</v>
      </c>
    </row>
    <row r="2273" spans="1:14" x14ac:dyDescent="0.15">
      <c r="A2273" s="23" t="str">
        <f t="shared" ref="A2273:A2280" si="96">HYPERLINK("https://www.spark-marketing.ru/Card/Person/16454", "ФКУ УПРДОР МОСКВА-ХАРЬКОВ")</f>
        <v>ФКУ УПРДОР МОСКВА-ХАРЬКОВ</v>
      </c>
      <c r="B2273" s="24" t="s">
        <v>3429</v>
      </c>
      <c r="C2273" s="25">
        <v>58522298</v>
      </c>
      <c r="D2273" s="22" t="s">
        <v>3430</v>
      </c>
      <c r="E2273" s="22" t="s">
        <v>723</v>
      </c>
      <c r="F2273" s="23" t="str">
        <f>HYPERLINK("https://www.spark-marketing.ru/Card/Lot/73073076", "Содержание автомобильных дорог общего пользования федерального значения. 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f>
        <v>Содержание автомобильных дорог общего пользования федерального значения. 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v>
      </c>
      <c r="G2273" s="22" t="s">
        <v>629</v>
      </c>
      <c r="H2273" s="22" t="s">
        <v>629</v>
      </c>
      <c r="I2273" s="26">
        <v>43704.613055555601</v>
      </c>
      <c r="J2273" s="23" t="str">
        <f t="shared" ref="J2273:J2280" si="97">HYPERLINK("https://www.spark-marketing.ru/Card/Person/4953514", "ООО ""ВЕКТОР""")</f>
        <v>ООО "ВЕКТОР"</v>
      </c>
      <c r="K2273" s="24" t="s">
        <v>3431</v>
      </c>
      <c r="L2273" s="28" t="s">
        <v>52</v>
      </c>
      <c r="M2273" s="28" t="s">
        <v>52</v>
      </c>
      <c r="N2273" s="28" t="s">
        <v>52</v>
      </c>
    </row>
    <row r="2274" spans="1:14" hidden="1" outlineLevel="1" x14ac:dyDescent="0.15">
      <c r="A2274" s="23" t="str">
        <f t="shared" si="96"/>
        <v>ФКУ УПРДОР МОСКВА-ХАРЬКОВ</v>
      </c>
      <c r="B2274" s="24" t="s">
        <v>3429</v>
      </c>
      <c r="C2274" s="25">
        <v>58522298</v>
      </c>
      <c r="D2274" s="22" t="s">
        <v>3430</v>
      </c>
      <c r="E2274" s="22" t="s">
        <v>723</v>
      </c>
      <c r="F2274" s="23" t="str">
        <f>HYPERLINK("https://www.spark-marketing.ru/Card/Lot/73073076", "Содержание автомобильных дорог общего пользования федерального значения. 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f>
        <v>Содержание автомобильных дорог общего пользования федерального значения. 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v>
      </c>
      <c r="G2274" s="22" t="s">
        <v>629</v>
      </c>
      <c r="H2274" s="22" t="s">
        <v>629</v>
      </c>
      <c r="I2274" s="26">
        <v>43704.613055555601</v>
      </c>
      <c r="J2274" s="23" t="str">
        <f t="shared" si="97"/>
        <v>ООО "ВЕКТОР"</v>
      </c>
      <c r="K2274" s="24" t="s">
        <v>3431</v>
      </c>
      <c r="L2274" s="22" t="s">
        <v>10</v>
      </c>
      <c r="M2274" s="28" t="s">
        <v>52</v>
      </c>
      <c r="N2274" s="28" t="s">
        <v>52</v>
      </c>
    </row>
    <row r="2275" spans="1:14" x14ac:dyDescent="0.15">
      <c r="A2275" s="23" t="str">
        <f t="shared" si="96"/>
        <v>ФКУ УПРДОР МОСКВА-ХАРЬКОВ</v>
      </c>
      <c r="B2275" s="24" t="s">
        <v>3429</v>
      </c>
      <c r="C2275" s="25">
        <v>90564575</v>
      </c>
      <c r="D2275" s="22" t="s">
        <v>3432</v>
      </c>
      <c r="E2275" s="22" t="s">
        <v>723</v>
      </c>
      <c r="F2275" s="23" t="str">
        <f>HYPERLINK("https://www.spark-marketing.ru/Card/Lot/73073075", "Содержание автомобильных дорог общего пользования федерального значения. 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f>
        <v>Содержание автомобильных дорог общего пользования федерального значения. 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v>
      </c>
      <c r="G2275" s="22" t="s">
        <v>492</v>
      </c>
      <c r="H2275" s="22" t="s">
        <v>492</v>
      </c>
      <c r="I2275" s="26">
        <v>43704.607743055603</v>
      </c>
      <c r="J2275" s="23" t="str">
        <f t="shared" si="97"/>
        <v>ООО "ВЕКТОР"</v>
      </c>
      <c r="K2275" s="24" t="s">
        <v>3431</v>
      </c>
      <c r="L2275" s="28" t="s">
        <v>52</v>
      </c>
      <c r="M2275" s="28" t="s">
        <v>52</v>
      </c>
      <c r="N2275" s="28" t="s">
        <v>52</v>
      </c>
    </row>
    <row r="2276" spans="1:14" hidden="1" outlineLevel="1" x14ac:dyDescent="0.15">
      <c r="A2276" s="23" t="str">
        <f t="shared" si="96"/>
        <v>ФКУ УПРДОР МОСКВА-ХАРЬКОВ</v>
      </c>
      <c r="B2276" s="24" t="s">
        <v>3429</v>
      </c>
      <c r="C2276" s="25">
        <v>90564575</v>
      </c>
      <c r="D2276" s="22" t="s">
        <v>3432</v>
      </c>
      <c r="E2276" s="22" t="s">
        <v>723</v>
      </c>
      <c r="F2276" s="23" t="str">
        <f>HYPERLINK("https://www.spark-marketing.ru/Card/Lot/73073075", "Содержание автомобильных дорог общего пользования федерального значения. 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f>
        <v>Содержание автомобильных дорог общего пользования федерального значения. 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v>
      </c>
      <c r="G2276" s="22" t="s">
        <v>492</v>
      </c>
      <c r="H2276" s="22" t="s">
        <v>492</v>
      </c>
      <c r="I2276" s="26">
        <v>43704.607743055603</v>
      </c>
      <c r="J2276" s="23" t="str">
        <f t="shared" si="97"/>
        <v>ООО "ВЕКТОР"</v>
      </c>
      <c r="K2276" s="24" t="s">
        <v>3431</v>
      </c>
      <c r="L2276" s="22" t="s">
        <v>10</v>
      </c>
      <c r="M2276" s="28" t="s">
        <v>52</v>
      </c>
      <c r="N2276" s="28" t="s">
        <v>52</v>
      </c>
    </row>
    <row r="2277" spans="1:14" x14ac:dyDescent="0.15">
      <c r="A2277" s="23" t="str">
        <f t="shared" si="96"/>
        <v>ФКУ УПРДОР МОСКВА-ХАРЬКОВ</v>
      </c>
      <c r="B2277" s="24" t="s">
        <v>3429</v>
      </c>
      <c r="C2277" s="25">
        <v>24193516</v>
      </c>
      <c r="D2277" s="22" t="s">
        <v>3433</v>
      </c>
      <c r="E2277" s="22" t="s">
        <v>723</v>
      </c>
      <c r="F2277" s="23" t="str">
        <f>HYPERLINK("https://www.spark-marketing.ru/Card/Lot/73073080", "Содержание автомобильных дорог общего пользования федерального значения. 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f>
        <v>Содержание автомобильных дорог общего пользования федерального значения. 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v>
      </c>
      <c r="G2277" s="22" t="s">
        <v>176</v>
      </c>
      <c r="H2277" s="22" t="s">
        <v>176</v>
      </c>
      <c r="I2277" s="26">
        <v>43704.617962962999</v>
      </c>
      <c r="J2277" s="23" t="str">
        <f t="shared" si="97"/>
        <v>ООО "ВЕКТОР"</v>
      </c>
      <c r="K2277" s="24" t="s">
        <v>3431</v>
      </c>
      <c r="L2277" s="28" t="s">
        <v>52</v>
      </c>
      <c r="M2277" s="28" t="s">
        <v>52</v>
      </c>
      <c r="N2277" s="28" t="s">
        <v>52</v>
      </c>
    </row>
    <row r="2278" spans="1:14" hidden="1" outlineLevel="1" x14ac:dyDescent="0.15">
      <c r="A2278" s="23" t="str">
        <f t="shared" si="96"/>
        <v>ФКУ УПРДОР МОСКВА-ХАРЬКОВ</v>
      </c>
      <c r="B2278" s="24" t="s">
        <v>3429</v>
      </c>
      <c r="C2278" s="25">
        <v>24193516</v>
      </c>
      <c r="D2278" s="22" t="s">
        <v>3433</v>
      </c>
      <c r="E2278" s="22" t="s">
        <v>723</v>
      </c>
      <c r="F2278" s="23" t="str">
        <f>HYPERLINK("https://www.spark-marketing.ru/Card/Lot/73073080", "Содержание автомобильных дорог общего пользования федерального значения. 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f>
        <v>Содержание автомобильных дорог общего пользования федерального значения. 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v>
      </c>
      <c r="G2278" s="22" t="s">
        <v>176</v>
      </c>
      <c r="H2278" s="22" t="s">
        <v>176</v>
      </c>
      <c r="I2278" s="26">
        <v>43704.617962962999</v>
      </c>
      <c r="J2278" s="23" t="str">
        <f t="shared" si="97"/>
        <v>ООО "ВЕКТОР"</v>
      </c>
      <c r="K2278" s="24" t="s">
        <v>3431</v>
      </c>
      <c r="L2278" s="22" t="s">
        <v>10</v>
      </c>
      <c r="M2278" s="28" t="s">
        <v>52</v>
      </c>
      <c r="N2278" s="28" t="s">
        <v>52</v>
      </c>
    </row>
    <row r="2279" spans="1:14" x14ac:dyDescent="0.15">
      <c r="A2279" s="23" t="str">
        <f t="shared" si="96"/>
        <v>ФКУ УПРДОР МОСКВА-ХАРЬКОВ</v>
      </c>
      <c r="B2279" s="24" t="s">
        <v>3429</v>
      </c>
      <c r="C2279" s="25">
        <v>117201981</v>
      </c>
      <c r="D2279" s="22" t="s">
        <v>3434</v>
      </c>
      <c r="E2279" s="22" t="s">
        <v>723</v>
      </c>
      <c r="F2279" s="23" t="str">
        <f>HYPERLINK("https://www.spark-marketing.ru/Card/Lot/73073077", "Содержание автомобильных дорог общего пользования федерального значения. 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f>
        <v>Содержание автомобильных дорог общего пользования федерального значения. 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v>
      </c>
      <c r="G2279" s="22" t="s">
        <v>3128</v>
      </c>
      <c r="H2279" s="22" t="s">
        <v>3128</v>
      </c>
      <c r="I2279" s="26">
        <v>43704.614560185197</v>
      </c>
      <c r="J2279" s="23" t="str">
        <f t="shared" si="97"/>
        <v>ООО "ВЕКТОР"</v>
      </c>
      <c r="K2279" s="24" t="s">
        <v>3431</v>
      </c>
      <c r="L2279" s="28" t="s">
        <v>52</v>
      </c>
      <c r="M2279" s="28" t="s">
        <v>52</v>
      </c>
      <c r="N2279" s="28" t="s">
        <v>52</v>
      </c>
    </row>
    <row r="2280" spans="1:14" hidden="1" outlineLevel="1" x14ac:dyDescent="0.15">
      <c r="A2280" s="23" t="str">
        <f t="shared" si="96"/>
        <v>ФКУ УПРДОР МОСКВА-ХАРЬКОВ</v>
      </c>
      <c r="B2280" s="24" t="s">
        <v>3429</v>
      </c>
      <c r="C2280" s="25">
        <v>117201981</v>
      </c>
      <c r="D2280" s="22" t="s">
        <v>3434</v>
      </c>
      <c r="E2280" s="22" t="s">
        <v>723</v>
      </c>
      <c r="F2280" s="23" t="str">
        <f>HYPERLINK("https://www.spark-marketing.ru/Card/Lot/73073077", "Содержание автомобильных дорог общего пользования федерального значения. 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f>
        <v>Содержание автомобильных дорог общего пользования федерального значения. 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v>
      </c>
      <c r="G2280" s="22" t="s">
        <v>3128</v>
      </c>
      <c r="H2280" s="22" t="s">
        <v>3128</v>
      </c>
      <c r="I2280" s="26">
        <v>43704.614560185197</v>
      </c>
      <c r="J2280" s="23" t="str">
        <f t="shared" si="97"/>
        <v>ООО "ВЕКТОР"</v>
      </c>
      <c r="K2280" s="24" t="s">
        <v>3431</v>
      </c>
      <c r="L2280" s="22" t="s">
        <v>10</v>
      </c>
      <c r="M2280" s="28" t="s">
        <v>52</v>
      </c>
      <c r="N2280" s="28" t="s">
        <v>52</v>
      </c>
    </row>
    <row r="2281" spans="1:14" x14ac:dyDescent="0.15">
      <c r="A2281" s="23" t="str">
        <f>HYPERLINK("https://www.spark-marketing.ru/Card/Person/10834", "ГКУ КО ""ДИРЕКЦИЯ АВТОДОРОГ КУЗБАССА""")</f>
        <v>ГКУ КО "ДИРЕКЦИЯ АВТОДОРОГ КУЗБАССА"</v>
      </c>
      <c r="B2281" s="24" t="s">
        <v>1499</v>
      </c>
      <c r="C2281" s="25">
        <v>5079809.8899999997</v>
      </c>
      <c r="D2281" s="22" t="s">
        <v>3435</v>
      </c>
      <c r="E2281" s="22" t="s">
        <v>723</v>
      </c>
      <c r="F2281" s="23" t="str">
        <f>HYPERLINK("https://www.spark-marketing.ru/Card/Lot/73068488",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v>
      </c>
      <c r="G2281" s="22" t="s">
        <v>367</v>
      </c>
      <c r="H2281" s="22" t="s">
        <v>881</v>
      </c>
      <c r="I2281" s="26">
        <v>43704.755659722199</v>
      </c>
      <c r="J2281" s="23" t="str">
        <f>HYPERLINK("https://www.spark-marketing.ru/Card/Person/1354238", "ООО ""ЛАБОРАТОРИЯ ЦИФРОВОГО ЗРЕНИЯ""")</f>
        <v>ООО "ЛАБОРАТОРИЯ ЦИФРОВОГО ЗРЕНИЯ"</v>
      </c>
      <c r="K2281" s="24" t="s">
        <v>1191</v>
      </c>
      <c r="L2281" s="22" t="s">
        <v>10</v>
      </c>
      <c r="M2281" s="28" t="s">
        <v>52</v>
      </c>
      <c r="N2281" s="28" t="s">
        <v>52</v>
      </c>
    </row>
    <row r="2282" spans="1:14" x14ac:dyDescent="0.15">
      <c r="A2282" s="23" t="str">
        <f>HYPERLINK("https://www.spark-marketing.ru/Card/Person/16454", "ФКУ УПРДОР МОСКВА-ХАРЬКОВ")</f>
        <v>ФКУ УПРДОР МОСКВА-ХАРЬКОВ</v>
      </c>
      <c r="B2282" s="24" t="s">
        <v>3429</v>
      </c>
      <c r="C2282" s="25">
        <v>150120326</v>
      </c>
      <c r="D2282" s="22" t="s">
        <v>3436</v>
      </c>
      <c r="E2282" s="22" t="s">
        <v>723</v>
      </c>
      <c r="F2282" s="23" t="str">
        <f>HYPERLINK("https://www.spark-marketing.ru/Card/Lot/73073074", "Содержание автомобильных дорог общего пользования федерального значения. 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f>
        <v>Содержание автомобильных дорог общего пользования федерального значения. 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v>
      </c>
      <c r="G2282" s="22" t="s">
        <v>818</v>
      </c>
      <c r="H2282" s="22" t="s">
        <v>818</v>
      </c>
      <c r="I2282" s="26">
        <v>43704.606921296298</v>
      </c>
      <c r="J2282" s="23" t="str">
        <f>HYPERLINK("https://www.spark-marketing.ru/Card/Person/4953514", "ООО ""ВЕКТОР""")</f>
        <v>ООО "ВЕКТОР"</v>
      </c>
      <c r="K2282" s="24" t="s">
        <v>3431</v>
      </c>
      <c r="L2282" s="28" t="s">
        <v>52</v>
      </c>
      <c r="M2282" s="28" t="s">
        <v>52</v>
      </c>
      <c r="N2282" s="28" t="s">
        <v>52</v>
      </c>
    </row>
    <row r="2283" spans="1:14" hidden="1" outlineLevel="1" x14ac:dyDescent="0.15">
      <c r="A2283" s="23" t="str">
        <f>HYPERLINK("https://www.spark-marketing.ru/Card/Person/16454", "ФКУ УПРДОР МОСКВА-ХАРЬКОВ")</f>
        <v>ФКУ УПРДОР МОСКВА-ХАРЬКОВ</v>
      </c>
      <c r="B2283" s="24" t="s">
        <v>3429</v>
      </c>
      <c r="C2283" s="25">
        <v>150120326</v>
      </c>
      <c r="D2283" s="22" t="s">
        <v>3436</v>
      </c>
      <c r="E2283" s="22" t="s">
        <v>723</v>
      </c>
      <c r="F2283" s="23" t="str">
        <f>HYPERLINK("https://www.spark-marketing.ru/Card/Lot/73073074", "Содержание автомобильных дорог общего пользования федерального значения. 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f>
        <v>Содержание автомобильных дорог общего пользования федерального значения. 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v>
      </c>
      <c r="G2283" s="22" t="s">
        <v>818</v>
      </c>
      <c r="H2283" s="22" t="s">
        <v>818</v>
      </c>
      <c r="I2283" s="26">
        <v>43704.606921296298</v>
      </c>
      <c r="J2283" s="23" t="str">
        <f>HYPERLINK("https://www.spark-marketing.ru/Card/Person/4953514", "ООО ""ВЕКТОР""")</f>
        <v>ООО "ВЕКТОР"</v>
      </c>
      <c r="K2283" s="24" t="s">
        <v>3431</v>
      </c>
      <c r="L2283" s="22" t="s">
        <v>10</v>
      </c>
      <c r="M2283" s="28" t="s">
        <v>52</v>
      </c>
      <c r="N2283" s="28" t="s">
        <v>52</v>
      </c>
    </row>
    <row r="2284" spans="1:14" x14ac:dyDescent="0.15">
      <c r="A2284" s="23" t="str">
        <f>HYPERLINK("https://www.spark-marketing.ru/Card/Person/13272", "ГБУЗ СО ""ГП № 4 Г.НИЖНИЙ ТАГИЛ""")</f>
        <v>ГБУЗ СО "ГП № 4 Г.НИЖНИЙ ТАГИЛ"</v>
      </c>
      <c r="B2284" s="24" t="s">
        <v>3330</v>
      </c>
      <c r="C2284" s="25">
        <v>120386.05</v>
      </c>
      <c r="D2284" s="22" t="s">
        <v>3437</v>
      </c>
      <c r="E2284" s="22" t="s">
        <v>84</v>
      </c>
      <c r="F2284" s="23" t="str">
        <f>HYPERLINK("https://www.spark-marketing.ru/Card/Lot/73070023", "установка системы видеонаблюдения по адресу: Свердловская область, город Нижний Тагил, ул. Новострой, 24")</f>
        <v>установка системы видеонаблюдения по адресу: Свердловская область, город Нижний Тагил, ул. Новострой, 24</v>
      </c>
      <c r="G2284" s="22" t="s">
        <v>72</v>
      </c>
      <c r="H2284" s="22" t="s">
        <v>3332</v>
      </c>
      <c r="I2284" s="26">
        <v>43704.900127314802</v>
      </c>
      <c r="J2284" s="28" t="s">
        <v>52</v>
      </c>
      <c r="K2284" s="28" t="s">
        <v>52</v>
      </c>
      <c r="L2284" s="28" t="s">
        <v>52</v>
      </c>
      <c r="M2284" s="28" t="s">
        <v>52</v>
      </c>
      <c r="N2284" s="28" t="s">
        <v>52</v>
      </c>
    </row>
    <row r="2285" spans="1:14" hidden="1" outlineLevel="1" x14ac:dyDescent="0.2">
      <c r="A2285" s="23" t="str">
        <f>HYPERLINK("https://www.spark-marketing.ru/Card/Person/13272", "ГБУЗ СО ""ГП № 4 Г.НИЖНИЙ ТАГИЛ""")</f>
        <v>ГБУЗ СО "ГП № 4 Г.НИЖНИЙ ТАГИЛ"</v>
      </c>
      <c r="B2285" s="24" t="s">
        <v>3330</v>
      </c>
      <c r="C2285" s="25">
        <v>120386.05</v>
      </c>
      <c r="D2285" s="22" t="s">
        <v>3437</v>
      </c>
      <c r="E2285" s="22" t="s">
        <v>84</v>
      </c>
      <c r="F2285" s="23" t="str">
        <f>HYPERLINK("https://www.spark-marketing.ru/Card/Lot/73070023", "установка системы видеонаблюдения по адресу: Свердловская область, город Нижний Тагил, ул. Новострой, 24")</f>
        <v>установка системы видеонаблюдения по адресу: Свердловская область, город Нижний Тагил, ул. Новострой, 24</v>
      </c>
      <c r="G2285" s="22" t="s">
        <v>72</v>
      </c>
      <c r="H2285" s="22" t="s">
        <v>3332</v>
      </c>
      <c r="I2285" s="26">
        <v>43704.900127314802</v>
      </c>
      <c r="J2285" s="23" t="str">
        <f>HYPERLINK("https://www.spark-marketing.ru/Card/Person/6431788", "ООО ""БИТБУК""")</f>
        <v>ООО "БИТБУК"</v>
      </c>
      <c r="K2285" s="24" t="s">
        <v>3438</v>
      </c>
      <c r="L2285" s="28" t="s">
        <v>52</v>
      </c>
      <c r="M2285" s="25">
        <v>100522.14</v>
      </c>
      <c r="N2285" s="27">
        <v>0.16500175892472591</v>
      </c>
    </row>
    <row r="2286" spans="1:14" ht="12.75" hidden="1" outlineLevel="1" x14ac:dyDescent="0.2">
      <c r="A2286" s="23" t="str">
        <f>HYPERLINK("https://www.spark-marketing.ru/Card/Person/13272", "ГБУЗ СО ""ГП № 4 Г.НИЖНИЙ ТАГИЛ""")</f>
        <v>ГБУЗ СО "ГП № 4 Г.НИЖНИЙ ТАГИЛ"</v>
      </c>
      <c r="B2286" s="24" t="s">
        <v>3330</v>
      </c>
      <c r="C2286" s="25">
        <v>120386.05</v>
      </c>
      <c r="D2286" s="22" t="s">
        <v>3437</v>
      </c>
      <c r="E2286" s="22" t="s">
        <v>84</v>
      </c>
      <c r="F2286" s="23" t="str">
        <f>HYPERLINK("https://www.spark-marketing.ru/Card/Lot/73070023", "установка системы видеонаблюдения по адресу: Свердловская область, город Нижний Тагил, ул. Новострой, 24")</f>
        <v>установка системы видеонаблюдения по адресу: Свердловская область, город Нижний Тагил, ул. Новострой, 24</v>
      </c>
      <c r="G2286" s="22" t="s">
        <v>72</v>
      </c>
      <c r="H2286" s="22" t="s">
        <v>3332</v>
      </c>
      <c r="I2286" s="26">
        <v>43704.900127314802</v>
      </c>
      <c r="J2286" s="23" t="str">
        <f>HYPERLINK("https://www.spark-marketing.ru/Card/Person/6676338", "ООО «БЕЗОПАСНЫЙ УРАЛ»")</f>
        <v>ООО «БЕЗОПАСНЫЙ УРАЛ»</v>
      </c>
      <c r="K2286" s="24" t="s">
        <v>3439</v>
      </c>
      <c r="L2286" s="22" t="s">
        <v>10</v>
      </c>
      <c r="M2286" s="25">
        <v>76953.87</v>
      </c>
      <c r="N2286" s="27">
        <v>0.36077419269093053</v>
      </c>
    </row>
    <row r="2287" spans="1:14" hidden="1" outlineLevel="1" x14ac:dyDescent="0.2">
      <c r="A2287" s="23" t="str">
        <f>HYPERLINK("https://www.spark-marketing.ru/Card/Person/13272", "ГБУЗ СО ""ГП № 4 Г.НИЖНИЙ ТАГИЛ""")</f>
        <v>ГБУЗ СО "ГП № 4 Г.НИЖНИЙ ТАГИЛ"</v>
      </c>
      <c r="B2287" s="24" t="s">
        <v>3330</v>
      </c>
      <c r="C2287" s="25">
        <v>120386.05</v>
      </c>
      <c r="D2287" s="22" t="s">
        <v>3437</v>
      </c>
      <c r="E2287" s="22" t="s">
        <v>84</v>
      </c>
      <c r="F2287" s="23" t="str">
        <f>HYPERLINK("https://www.spark-marketing.ru/Card/Lot/73070023", "установка системы видеонаблюдения по адресу: Свердловская область, город Нижний Тагил, ул. Новострой, 24")</f>
        <v>установка системы видеонаблюдения по адресу: Свердловская область, город Нижний Тагил, ул. Новострой, 24</v>
      </c>
      <c r="G2287" s="22" t="s">
        <v>72</v>
      </c>
      <c r="H2287" s="22" t="s">
        <v>3332</v>
      </c>
      <c r="I2287" s="26">
        <v>43704.900127314802</v>
      </c>
      <c r="J2287" s="23" t="str">
        <f>HYPERLINK("https://www.spark-marketing.ru/Card/Person/559058", "ООО ""КОМСИС""")</f>
        <v>ООО "КОМСИС"</v>
      </c>
      <c r="K2287" s="24" t="s">
        <v>3333</v>
      </c>
      <c r="L2287" s="28" t="s">
        <v>52</v>
      </c>
      <c r="M2287" s="25">
        <v>77555.8</v>
      </c>
      <c r="N2287" s="27">
        <v>0.3557741947675831</v>
      </c>
    </row>
    <row r="2288" spans="1:14" x14ac:dyDescent="0.15">
      <c r="A2288" s="23" t="str">
        <f>HYPERLINK("https://www.spark-marketing.ru/Card/Person/16454", "ФКУ УПРДОР МОСКВА-ХАРЬКОВ")</f>
        <v>ФКУ УПРДОР МОСКВА-ХАРЬКОВ</v>
      </c>
      <c r="B2288" s="24" t="s">
        <v>3429</v>
      </c>
      <c r="C2288" s="25">
        <v>133414232</v>
      </c>
      <c r="D2288" s="22" t="s">
        <v>3440</v>
      </c>
      <c r="E2288" s="22" t="s">
        <v>723</v>
      </c>
      <c r="F2288" s="23" t="str">
        <f>HYPERLINK("https://www.spark-marketing.ru/Card/Lot/73073078", "Содержание автомобильных дорог общего пользования федерального значения. 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f>
        <v>Содержание автомобильных дорог общего пользования федерального значения. 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v>
      </c>
      <c r="G2288" s="22" t="s">
        <v>552</v>
      </c>
      <c r="H2288" s="22" t="s">
        <v>552</v>
      </c>
      <c r="I2288" s="26">
        <v>43704.615474537</v>
      </c>
      <c r="J2288" s="23" t="str">
        <f>HYPERLINK("https://www.spark-marketing.ru/Card/Person/4953514", "ООО ""ВЕКТОР""")</f>
        <v>ООО "ВЕКТОР"</v>
      </c>
      <c r="K2288" s="24" t="s">
        <v>3431</v>
      </c>
      <c r="L2288" s="28" t="s">
        <v>52</v>
      </c>
      <c r="M2288" s="28" t="s">
        <v>52</v>
      </c>
      <c r="N2288" s="28" t="s">
        <v>52</v>
      </c>
    </row>
    <row r="2289" spans="1:14" hidden="1" outlineLevel="1" x14ac:dyDescent="0.15">
      <c r="A2289" s="23" t="str">
        <f>HYPERLINK("https://www.spark-marketing.ru/Card/Person/16454", "ФКУ УПРДОР МОСКВА-ХАРЬКОВ")</f>
        <v>ФКУ УПРДОР МОСКВА-ХАРЬКОВ</v>
      </c>
      <c r="B2289" s="24" t="s">
        <v>3429</v>
      </c>
      <c r="C2289" s="25">
        <v>133414232</v>
      </c>
      <c r="D2289" s="22" t="s">
        <v>3440</v>
      </c>
      <c r="E2289" s="22" t="s">
        <v>723</v>
      </c>
      <c r="F2289" s="23" t="str">
        <f>HYPERLINK("https://www.spark-marketing.ru/Card/Lot/73073078", "Содержание автомобильных дорог общего пользования федерального значения. 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f>
        <v>Содержание автомобильных дорог общего пользования федерального значения. 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v>
      </c>
      <c r="G2289" s="22" t="s">
        <v>552</v>
      </c>
      <c r="H2289" s="22" t="s">
        <v>552</v>
      </c>
      <c r="I2289" s="26">
        <v>43704.615474537</v>
      </c>
      <c r="J2289" s="23" t="str">
        <f>HYPERLINK("https://www.spark-marketing.ru/Card/Person/4953514", "ООО ""ВЕКТОР""")</f>
        <v>ООО "ВЕКТОР"</v>
      </c>
      <c r="K2289" s="24" t="s">
        <v>3431</v>
      </c>
      <c r="L2289" s="22" t="s">
        <v>10</v>
      </c>
      <c r="M2289" s="28" t="s">
        <v>52</v>
      </c>
      <c r="N2289" s="28" t="s">
        <v>52</v>
      </c>
    </row>
    <row r="2290" spans="1:14" x14ac:dyDescent="0.15">
      <c r="A2290" s="23" t="str">
        <f>HYPERLINK("https://www.spark-marketing.ru/Card/Person/5898180", "ООО РН СЕРВИС")</f>
        <v>ООО РН СЕРВИС</v>
      </c>
      <c r="B2290" s="28" t="s">
        <v>52</v>
      </c>
      <c r="C2290" s="28" t="s">
        <v>52</v>
      </c>
      <c r="D2290" s="22" t="s">
        <v>3441</v>
      </c>
      <c r="E2290" s="22" t="s">
        <v>3442</v>
      </c>
      <c r="F2290" s="23" t="str">
        <f>HYPERLINK("https://www.spark-marketing.ru/Card/Lot/73069389", "Техническое обслуживание автоматической противопожарной сигнализации филиала ООО ""РН-Сервис"" в г. Бузулук в 2020 г")</f>
        <v>Техническое обслуживание автоматической противопожарной сигнализации филиала ООО "РН-Сервис" в г. Бузулук в 2020 г</v>
      </c>
      <c r="G2290" s="22" t="s">
        <v>52</v>
      </c>
      <c r="H2290" s="22" t="s">
        <v>52</v>
      </c>
      <c r="I2290" s="26">
        <v>43705.295833333301</v>
      </c>
      <c r="J2290" s="28" t="s">
        <v>52</v>
      </c>
      <c r="K2290" s="28" t="s">
        <v>52</v>
      </c>
      <c r="L2290" s="28" t="s">
        <v>52</v>
      </c>
      <c r="M2290" s="28" t="s">
        <v>52</v>
      </c>
      <c r="N2290" s="28" t="s">
        <v>52</v>
      </c>
    </row>
    <row r="2291" spans="1:14" x14ac:dyDescent="0.15">
      <c r="A2291" s="23" t="str">
        <f>HYPERLINK("https://www.spark-marketing.ru/Card/Person/409233", "ОМВД РОССИИ ПО ШЕРБАКУЛЬСКОМУ РАЙОНУ")</f>
        <v>ОМВД РОССИИ ПО ШЕРБАКУЛЬСКОМУ РАЙОНУ</v>
      </c>
      <c r="B2291" s="24" t="s">
        <v>3443</v>
      </c>
      <c r="C2291" s="25">
        <v>7000</v>
      </c>
      <c r="D2291" s="22" t="s">
        <v>3444</v>
      </c>
      <c r="E2291" s="22" t="s">
        <v>208</v>
      </c>
      <c r="F2291" s="23" t="str">
        <f>HYPERLINK("https://www.spark-marketing.ru/Card/Lot/73069205", "Охранная сигнализация в комплекте с установкой, 1 шт")</f>
        <v>Охранная сигнализация в комплекте с установкой, 1 шт</v>
      </c>
      <c r="G2291" s="22" t="s">
        <v>521</v>
      </c>
      <c r="H2291" s="22" t="s">
        <v>521</v>
      </c>
      <c r="I2291" s="26">
        <v>43705.329548611102</v>
      </c>
      <c r="J2291" s="28" t="s">
        <v>52</v>
      </c>
      <c r="K2291" s="28" t="s">
        <v>52</v>
      </c>
      <c r="L2291" s="28" t="s">
        <v>52</v>
      </c>
      <c r="M2291" s="28" t="s">
        <v>52</v>
      </c>
      <c r="N2291" s="28" t="s">
        <v>52</v>
      </c>
    </row>
    <row r="2292" spans="1:14" x14ac:dyDescent="0.15">
      <c r="A2292" s="23" t="str">
        <f>HYPERLINK("https://www.spark-marketing.ru/Card/Person/4348584", "АО ""АТОМ-ОХРАНА""")</f>
        <v>АО "АТОМ-ОХРАНА"</v>
      </c>
      <c r="B2292" s="24" t="s">
        <v>1036</v>
      </c>
      <c r="C2292" s="25">
        <v>237431.69</v>
      </c>
      <c r="D2292" s="22" t="s">
        <v>3445</v>
      </c>
      <c r="E2292" s="22" t="s">
        <v>53</v>
      </c>
      <c r="F2292" s="23" t="str">
        <f>HYPERLINK("https://www.spark-marketing.ru/Card/Lot/73070780", "ЕИС №31908242185 Право заключения договора на Оказание услуг по изготовлению карт водителя , замене карт предприятия для тахографов и техническому обслуживанию тахографов, установленных в транспортные средства отряда № 501 и отдельного отряда 502 МУВ...")</f>
        <v>ЕИС №31908242185 Право заключения договора на Оказание услуг по изготовлению карт водителя , замене карт предприятия для тахографов и техническому обслуживанию тахографов, установленных в транспортные средства отряда № 501 и отдельного отряда 502 МУВ...</v>
      </c>
      <c r="G2292" s="22" t="s">
        <v>55</v>
      </c>
      <c r="H2292" s="22" t="s">
        <v>55</v>
      </c>
      <c r="I2292" s="26">
        <v>43705.315983796303</v>
      </c>
      <c r="J2292" s="28" t="s">
        <v>52</v>
      </c>
      <c r="K2292" s="28" t="s">
        <v>52</v>
      </c>
      <c r="L2292" s="28" t="s">
        <v>52</v>
      </c>
      <c r="M2292" s="28" t="s">
        <v>52</v>
      </c>
      <c r="N2292" s="28" t="s">
        <v>52</v>
      </c>
    </row>
    <row r="2293" spans="1:14" x14ac:dyDescent="0.15">
      <c r="A2293" s="23" t="str">
        <f>HYPERLINK("https://www.spark-marketing.ru/Card/Person/816480", "ОТДЕЛ МВД РОССИИ ПО СПАССКОМУ РАЙОНУ")</f>
        <v>ОТДЕЛ МВД РОССИИ ПО СПАССКОМУ РАЙОНУ</v>
      </c>
      <c r="B2293" s="24" t="s">
        <v>3446</v>
      </c>
      <c r="C2293" s="25">
        <v>30870.6</v>
      </c>
      <c r="D2293" s="22" t="s">
        <v>3447</v>
      </c>
      <c r="E2293" s="22" t="s">
        <v>53</v>
      </c>
      <c r="F2293" s="23" t="str">
        <f>HYPERLINK("https://www.spark-marketing.ru/Card/Lot/73068292", "Обслуживание комплекса технических средств охраны")</f>
        <v>Обслуживание комплекса технических средств охраны</v>
      </c>
      <c r="G2293" s="22" t="s">
        <v>204</v>
      </c>
      <c r="H2293" s="22" t="s">
        <v>720</v>
      </c>
      <c r="I2293" s="26">
        <v>43705.221087963</v>
      </c>
      <c r="J2293" s="28" t="s">
        <v>52</v>
      </c>
      <c r="K2293" s="28" t="s">
        <v>52</v>
      </c>
      <c r="L2293" s="28" t="s">
        <v>52</v>
      </c>
      <c r="M2293" s="28" t="s">
        <v>52</v>
      </c>
      <c r="N2293" s="28" t="s">
        <v>52</v>
      </c>
    </row>
    <row r="2294" spans="1:14" x14ac:dyDescent="0.15">
      <c r="A2294" s="23" t="str">
        <f>HYPERLINK("https://www.spark-marketing.ru/Card/Person/330018", "ФЛ Калининская АЭС")</f>
        <v>ФЛ Калининская АЭС</v>
      </c>
      <c r="B2294" s="24" t="s">
        <v>211</v>
      </c>
      <c r="C2294" s="28" t="s">
        <v>52</v>
      </c>
      <c r="D2294" s="22" t="s">
        <v>3448</v>
      </c>
      <c r="E2294" s="22" t="s">
        <v>53</v>
      </c>
      <c r="F2294" s="23" t="str">
        <f>HYPERLINK("https://www.spark-marketing.ru/Card/Lot/73095268", "Оказание услуг по техническому обслуживанию инженерно-технических средств охраны гидросооружений и прилегающих территорий Калининской АЭС (1330292)")</f>
        <v>Оказание услуг по техническому обслуживанию инженерно-технических средств охраны гидросооружений и прилегающих территорий Калининской АЭС (1330292)</v>
      </c>
      <c r="G2294" s="22" t="s">
        <v>55</v>
      </c>
      <c r="H2294" s="22" t="s">
        <v>55</v>
      </c>
      <c r="I2294" s="26">
        <v>43705.707604166702</v>
      </c>
      <c r="J2294" s="28" t="s">
        <v>52</v>
      </c>
      <c r="K2294" s="28" t="s">
        <v>52</v>
      </c>
      <c r="L2294" s="28" t="s">
        <v>52</v>
      </c>
      <c r="M2294" s="28" t="s">
        <v>52</v>
      </c>
      <c r="N2294" s="28" t="s">
        <v>52</v>
      </c>
    </row>
    <row r="2295" spans="1:14" x14ac:dyDescent="0.2">
      <c r="A2295" s="23" t="str">
        <f>HYPERLINK("https://www.spark-marketing.ru/Card/Person/4343405", "ФГУП ""ГОСКОРПОРАЦИЯ ПО ОРВД""")</f>
        <v>ФГУП "ГОСКОРПОРАЦИЯ ПО ОРВД"</v>
      </c>
      <c r="B2295" s="24" t="s">
        <v>801</v>
      </c>
      <c r="C2295" s="25">
        <v>25440889.530000001</v>
      </c>
      <c r="D2295" s="22" t="s">
        <v>3449</v>
      </c>
      <c r="E2295" s="22" t="s">
        <v>996</v>
      </c>
      <c r="F2295" s="23" t="str">
        <f>HYPERLINK("https://www.spark-marketing.ru/Card/Lot/73079045", "Оснащение объектов транспортной инфраструктуры инженерно-техническими средствами (системами) обеспечения транспортной безопасности для нужд Филиала «Аэронавигация Северо-Восточной Сибири» ФГУП «Госкорпорация по ОрВД»: Россия, 678770, Республика Саха ...")</f>
        <v>Оснащение объектов транспортной инфраструктуры инженерно-техническими средствами (системами) обеспечения транспортной безопасности для нужд Филиала «Аэронавигация Северо-Восточной Сибири» ФГУП «Госкорпорация по ОрВД»: Россия, 678770, Республика Саха ...</v>
      </c>
      <c r="G2295" s="22" t="s">
        <v>55</v>
      </c>
      <c r="H2295" s="22" t="s">
        <v>55</v>
      </c>
      <c r="I2295" s="26">
        <v>43705</v>
      </c>
      <c r="J2295" s="28" t="s">
        <v>52</v>
      </c>
      <c r="K2295" s="28" t="s">
        <v>52</v>
      </c>
      <c r="L2295" s="22" t="s">
        <v>10</v>
      </c>
      <c r="M2295" s="25">
        <v>24677662</v>
      </c>
      <c r="N2295" s="27">
        <v>3.0000033178871319E-2</v>
      </c>
    </row>
    <row r="2296" spans="1:14" x14ac:dyDescent="0.15">
      <c r="A2296" s="23" t="str">
        <f>HYPERLINK("https://www.spark-marketing.ru/Card/Person/704692", "МУЖРП №1 Г.О.ПОДОЛЬСК")</f>
        <v>МУЖРП №1 Г.О.ПОДОЛЬСК</v>
      </c>
      <c r="B2296" s="24" t="s">
        <v>3450</v>
      </c>
      <c r="C2296" s="25">
        <v>2528000</v>
      </c>
      <c r="D2296" s="22" t="s">
        <v>3451</v>
      </c>
      <c r="E2296" s="22" t="s">
        <v>691</v>
      </c>
      <c r="F2296" s="23" t="str">
        <f>HYPERLINK("https://www.spark-marketing.ru/Card/Lot/73071440", "Выполнение работ по установке видеокамер и предоставлению канала связи до Муниципального узла связи (МУС) Г.о. Подольск")</f>
        <v>Выполнение работ по установке видеокамер и предоставлению канала связи до Муниципального узла связи (МУС) Г.о. Подольск</v>
      </c>
      <c r="G2296" s="22" t="s">
        <v>50</v>
      </c>
      <c r="H2296" s="22" t="s">
        <v>50</v>
      </c>
      <c r="I2296" s="26">
        <v>43705</v>
      </c>
      <c r="J2296" s="28" t="s">
        <v>52</v>
      </c>
      <c r="K2296" s="28" t="s">
        <v>52</v>
      </c>
      <c r="L2296" s="28" t="s">
        <v>52</v>
      </c>
      <c r="M2296" s="28" t="s">
        <v>52</v>
      </c>
      <c r="N2296" s="28" t="s">
        <v>52</v>
      </c>
    </row>
    <row r="2297" spans="1:14" x14ac:dyDescent="0.15">
      <c r="A2297" s="23" t="str">
        <f>HYPERLINK("https://www.spark-marketing.ru/Card/Person/4695732", "ТС МОНЕТКА")</f>
        <v>ТС МОНЕТКА</v>
      </c>
      <c r="B2297" s="28" t="s">
        <v>52</v>
      </c>
      <c r="C2297" s="28" t="s">
        <v>52</v>
      </c>
      <c r="D2297" s="22" t="s">
        <v>3452</v>
      </c>
      <c r="E2297" s="22" t="s">
        <v>53</v>
      </c>
      <c r="F2297" s="23" t="str">
        <f>HYPERLINK("https://www.spark-marketing.ru/Card/Lot/73085567", "Тендер 2330. Охрана и обслуживание охранной сигнализации магазинов ТС «Монетка»")</f>
        <v>Тендер 2330. Охрана и обслуживание охранной сигнализации магазинов ТС «Монетка»</v>
      </c>
      <c r="G2297" s="22" t="s">
        <v>52</v>
      </c>
      <c r="H2297" s="22" t="s">
        <v>52</v>
      </c>
      <c r="I2297" s="26">
        <v>43705</v>
      </c>
      <c r="J2297" s="28" t="s">
        <v>52</v>
      </c>
      <c r="K2297" s="28" t="s">
        <v>52</v>
      </c>
      <c r="L2297" s="28" t="s">
        <v>52</v>
      </c>
      <c r="M2297" s="28" t="s">
        <v>52</v>
      </c>
      <c r="N2297" s="28" t="s">
        <v>52</v>
      </c>
    </row>
    <row r="2298" spans="1:14" x14ac:dyDescent="0.15">
      <c r="A2298" s="23" t="str">
        <f>HYPERLINK("https://www.spark-marketing.ru/Card/Person/953220", "ОАО ""ЭЛТЕЗА""")</f>
        <v>ОАО "ЭЛТЕЗА"</v>
      </c>
      <c r="B2298" s="24" t="s">
        <v>1246</v>
      </c>
      <c r="C2298" s="25">
        <v>13845600</v>
      </c>
      <c r="D2298" s="22" t="s">
        <v>3453</v>
      </c>
      <c r="E2298" s="22" t="s">
        <v>789</v>
      </c>
      <c r="F2298" s="23" t="str">
        <f>HYPERLINK("https://www.spark-marketing.ru/Card/Lot/73072204", "Оказание комплекса охранных услуг по охране недвижимого имущества ЛОЭТЗ-филиала ОАО ""ЭЛТЕЗА""")</f>
        <v>Оказание комплекса охранных услуг по охране недвижимого имущества ЛОЭТЗ-филиала ОАО "ЭЛТЕЗА"</v>
      </c>
      <c r="G2298" s="22" t="s">
        <v>55</v>
      </c>
      <c r="H2298" s="22" t="s">
        <v>55</v>
      </c>
      <c r="I2298" s="26">
        <v>43705</v>
      </c>
      <c r="J2298" s="28" t="s">
        <v>52</v>
      </c>
      <c r="K2298" s="28" t="s">
        <v>52</v>
      </c>
      <c r="L2298" s="28" t="s">
        <v>52</v>
      </c>
      <c r="M2298" s="28" t="s">
        <v>52</v>
      </c>
      <c r="N2298" s="28" t="s">
        <v>52</v>
      </c>
    </row>
    <row r="2299" spans="1:14" x14ac:dyDescent="0.15">
      <c r="A2299" s="23" t="str">
        <f>HYPERLINK("https://www.spark-marketing.ru/Card/Person/53616", "АО ""МОСИНЖПРОЕКТ""")</f>
        <v>АО "МОСИНЖПРОЕКТ"</v>
      </c>
      <c r="B2299" s="24" t="s">
        <v>3454</v>
      </c>
      <c r="C2299" s="25">
        <v>6749416.1799999997</v>
      </c>
      <c r="D2299" s="22" t="s">
        <v>3455</v>
      </c>
      <c r="E2299" s="22" t="s">
        <v>3456</v>
      </c>
      <c r="F2299" s="23" t="str">
        <f>HYPERLINK("https://www.spark-marketing.ru/Card/Lot/73080751", "Согласование ППР, техническое сопровождение работ по объекту: «Северо-Восточный участок третьего пересадочного контура (ТПК) ст. «Нижняя Масловка» - ст. «Авиамоторная», Этап 2.2. «Подготовительные работы для организации щитовой проходки перегонных то...")</f>
        <v>Согласование ППР, техническое сопровождение работ по объекту: «Северо-Восточный участок третьего пересадочного контура (ТПК) ст. «Нижняя Масловка» - ст. «Авиамоторная», Этап 2.2. «Подготовительные работы для организации щитовой проходки перегонных то...</v>
      </c>
      <c r="G2299" s="22" t="s">
        <v>55</v>
      </c>
      <c r="H2299" s="22" t="s">
        <v>55</v>
      </c>
      <c r="I2299" s="26">
        <v>43705</v>
      </c>
      <c r="J2299" s="28" t="s">
        <v>52</v>
      </c>
      <c r="K2299" s="28" t="s">
        <v>52</v>
      </c>
      <c r="L2299" s="28" t="s">
        <v>52</v>
      </c>
      <c r="M2299" s="28" t="s">
        <v>52</v>
      </c>
      <c r="N2299" s="28" t="s">
        <v>52</v>
      </c>
    </row>
    <row r="2300" spans="1:14" x14ac:dyDescent="0.15">
      <c r="A2300" s="23" t="str">
        <f>HYPERLINK("https://www.spark-marketing.ru/Card/Person/4365569", "ФГУП ""РОСМОРПОРТ""")</f>
        <v>ФГУП "РОСМОРПОРТ"</v>
      </c>
      <c r="B2300" s="24" t="s">
        <v>273</v>
      </c>
      <c r="C2300" s="25">
        <v>4806000</v>
      </c>
      <c r="D2300" s="22" t="s">
        <v>3457</v>
      </c>
      <c r="E2300" s="22" t="s">
        <v>144</v>
      </c>
      <c r="F2300" s="23" t="str">
        <f>HYPERLINK("https://www.spark-marketing.ru/Card/Lot/73086136", "оказание услуг по защите объекта транспортной инфраструктуры - радиоцентр «Геленджик» (KU080200158) привлеченным подразделением транспортной безопасности от актов незаконного вмешательства")</f>
        <v>оказание услуг по защите объекта транспортной инфраструктуры - радиоцентр «Геленджик» (KU080200158) привлеченным подразделением транспортной безопасности от актов незаконного вмешательства</v>
      </c>
      <c r="G2300" s="22" t="s">
        <v>55</v>
      </c>
      <c r="H2300" s="22" t="s">
        <v>55</v>
      </c>
      <c r="I2300" s="26">
        <v>43705</v>
      </c>
      <c r="J2300" s="28" t="s">
        <v>52</v>
      </c>
      <c r="K2300" s="28" t="s">
        <v>52</v>
      </c>
      <c r="L2300" s="28" t="s">
        <v>52</v>
      </c>
      <c r="M2300" s="28" t="s">
        <v>52</v>
      </c>
      <c r="N2300" s="28" t="s">
        <v>52</v>
      </c>
    </row>
    <row r="2301" spans="1:14" x14ac:dyDescent="0.2">
      <c r="A2301" s="23" t="str">
        <f>HYPERLINK("https://www.spark-marketing.ru/Card/Person/1329544", "ГАУЗ МО ""ЩЕЛКОВСКАЯ СТОМАТОЛОГИЧЕСКАЯ ПОЛИКЛИНИКА""")</f>
        <v>ГАУЗ МО "ЩЕЛКОВСКАЯ СТОМАТОЛОГИЧЕСКАЯ ПОЛИКЛИНИКА"</v>
      </c>
      <c r="B2301" s="24" t="s">
        <v>3458</v>
      </c>
      <c r="C2301" s="25">
        <v>804000</v>
      </c>
      <c r="D2301" s="22" t="s">
        <v>3459</v>
      </c>
      <c r="E2301" s="22" t="s">
        <v>691</v>
      </c>
      <c r="F2301" s="23" t="str">
        <f>HYPERLINK("https://www.spark-marketing.ru/Card/Lot/73089385", "Установка видеонаблюдения")</f>
        <v>Установка видеонаблюдения</v>
      </c>
      <c r="G2301" s="22" t="s">
        <v>50</v>
      </c>
      <c r="H2301" s="22" t="s">
        <v>50</v>
      </c>
      <c r="I2301" s="26">
        <v>43705</v>
      </c>
      <c r="J2301" s="28" t="s">
        <v>52</v>
      </c>
      <c r="K2301" s="28" t="s">
        <v>52</v>
      </c>
      <c r="L2301" s="22" t="s">
        <v>10</v>
      </c>
      <c r="M2301" s="25">
        <v>804000</v>
      </c>
      <c r="N2301" s="27">
        <v>0</v>
      </c>
    </row>
    <row r="2302" spans="1:14" x14ac:dyDescent="0.15">
      <c r="A2302" s="23" t="str">
        <f t="shared" ref="A2302:A2307" si="98">HYPERLINK("https://www.spark-marketing.ru/Card/Person/1683079", "ООО ""ЧОП ""КЕННАРД""")</f>
        <v>ООО "ЧОП "КЕННАРД"</v>
      </c>
      <c r="B2302" s="24" t="s">
        <v>1949</v>
      </c>
      <c r="C2302" s="25">
        <v>2000</v>
      </c>
      <c r="D2302" s="22" t="s">
        <v>3460</v>
      </c>
      <c r="E2302" s="22" t="s">
        <v>53</v>
      </c>
      <c r="F2302" s="23" t="str">
        <f>HYPERLINK("https://www.spark-marketing.ru/Card/Lot/73068353", "Извещатель Охранный ""ФОТОН 16""")</f>
        <v>Извещатель Охранный "ФОТОН 16"</v>
      </c>
      <c r="G2302" s="22" t="s">
        <v>204</v>
      </c>
      <c r="H2302" s="22" t="s">
        <v>303</v>
      </c>
      <c r="I2302" s="26">
        <v>43704.734594907401</v>
      </c>
      <c r="J2302" s="28" t="s">
        <v>52</v>
      </c>
      <c r="K2302" s="28" t="s">
        <v>52</v>
      </c>
      <c r="L2302" s="28" t="s">
        <v>52</v>
      </c>
      <c r="M2302" s="28" t="s">
        <v>52</v>
      </c>
      <c r="N2302" s="28" t="s">
        <v>52</v>
      </c>
    </row>
    <row r="2303" spans="1:14" x14ac:dyDescent="0.15">
      <c r="A2303" s="23" t="str">
        <f t="shared" si="98"/>
        <v>ООО "ЧОП "КЕННАРД"</v>
      </c>
      <c r="B2303" s="24" t="s">
        <v>1949</v>
      </c>
      <c r="C2303" s="25">
        <v>600</v>
      </c>
      <c r="D2303" s="22" t="s">
        <v>3460</v>
      </c>
      <c r="E2303" s="22" t="s">
        <v>53</v>
      </c>
      <c r="F2303" s="23" t="str">
        <f>HYPERLINK("https://www.spark-marketing.ru/Card/Lot/73068362", "Кабель соединительный 2xRCA (M) черный 3m")</f>
        <v>Кабель соединительный 2xRCA (M) черный 3m</v>
      </c>
      <c r="G2303" s="22" t="s">
        <v>204</v>
      </c>
      <c r="H2303" s="22" t="s">
        <v>303</v>
      </c>
      <c r="I2303" s="26">
        <v>43704.734594907401</v>
      </c>
      <c r="J2303" s="28" t="s">
        <v>52</v>
      </c>
      <c r="K2303" s="28" t="s">
        <v>52</v>
      </c>
      <c r="L2303" s="28" t="s">
        <v>52</v>
      </c>
      <c r="M2303" s="28" t="s">
        <v>52</v>
      </c>
      <c r="N2303" s="28" t="s">
        <v>52</v>
      </c>
    </row>
    <row r="2304" spans="1:14" x14ac:dyDescent="0.15">
      <c r="A2304" s="23" t="str">
        <f t="shared" si="98"/>
        <v>ООО "ЧОП "КЕННАРД"</v>
      </c>
      <c r="B2304" s="24" t="s">
        <v>1949</v>
      </c>
      <c r="C2304" s="25">
        <v>300</v>
      </c>
      <c r="D2304" s="22" t="s">
        <v>3460</v>
      </c>
      <c r="E2304" s="22" t="s">
        <v>53</v>
      </c>
      <c r="F2304" s="23" t="str">
        <f>HYPERLINK("https://www.spark-marketing.ru/Card/Lot/73068356", "Извещатель магнито-контактный ИО 102-16/2")</f>
        <v>Извещатель магнито-контактный ИО 102-16/2</v>
      </c>
      <c r="G2304" s="22" t="s">
        <v>204</v>
      </c>
      <c r="H2304" s="22" t="s">
        <v>303</v>
      </c>
      <c r="I2304" s="26">
        <v>43704.734594907401</v>
      </c>
      <c r="J2304" s="28" t="s">
        <v>52</v>
      </c>
      <c r="K2304" s="28" t="s">
        <v>52</v>
      </c>
      <c r="L2304" s="28" t="s">
        <v>52</v>
      </c>
      <c r="M2304" s="28" t="s">
        <v>52</v>
      </c>
      <c r="N2304" s="28" t="s">
        <v>52</v>
      </c>
    </row>
    <row r="2305" spans="1:14" x14ac:dyDescent="0.15">
      <c r="A2305" s="23" t="str">
        <f t="shared" si="98"/>
        <v>ООО "ЧОП "КЕННАРД"</v>
      </c>
      <c r="B2305" s="24" t="s">
        <v>1949</v>
      </c>
      <c r="C2305" s="25">
        <v>3800</v>
      </c>
      <c r="D2305" s="22" t="s">
        <v>3460</v>
      </c>
      <c r="E2305" s="22" t="s">
        <v>53</v>
      </c>
      <c r="F2305" s="23" t="str">
        <f>HYPERLINK("https://www.spark-marketing.ru/Card/Lot/73068363", "Антенна направленная многоэлементная АН-433, Альтоника")</f>
        <v>Антенна направленная многоэлементная АН-433, Альтоника</v>
      </c>
      <c r="G2305" s="22" t="s">
        <v>204</v>
      </c>
      <c r="H2305" s="22" t="s">
        <v>303</v>
      </c>
      <c r="I2305" s="26">
        <v>43704.734594907401</v>
      </c>
      <c r="J2305" s="28" t="s">
        <v>52</v>
      </c>
      <c r="K2305" s="28" t="s">
        <v>52</v>
      </c>
      <c r="L2305" s="28" t="s">
        <v>52</v>
      </c>
      <c r="M2305" s="28" t="s">
        <v>52</v>
      </c>
      <c r="N2305" s="28" t="s">
        <v>52</v>
      </c>
    </row>
    <row r="2306" spans="1:14" x14ac:dyDescent="0.15">
      <c r="A2306" s="23" t="str">
        <f t="shared" si="98"/>
        <v>ООО "ЧОП "КЕННАРД"</v>
      </c>
      <c r="B2306" s="24" t="s">
        <v>1949</v>
      </c>
      <c r="C2306" s="25">
        <v>200</v>
      </c>
      <c r="D2306" s="22" t="s">
        <v>3460</v>
      </c>
      <c r="E2306" s="22" t="s">
        <v>53</v>
      </c>
      <c r="F2306" s="23" t="str">
        <f>HYPERLINK("https://www.spark-marketing.ru/Card/Lot/73068351", "Светодиод ""FIL-5013PJKC""")</f>
        <v>Светодиод "FIL-5013PJKC"</v>
      </c>
      <c r="G2306" s="22" t="s">
        <v>204</v>
      </c>
      <c r="H2306" s="22" t="s">
        <v>303</v>
      </c>
      <c r="I2306" s="26">
        <v>43704.734594907401</v>
      </c>
      <c r="J2306" s="28" t="s">
        <v>52</v>
      </c>
      <c r="K2306" s="28" t="s">
        <v>52</v>
      </c>
      <c r="L2306" s="28" t="s">
        <v>52</v>
      </c>
      <c r="M2306" s="28" t="s">
        <v>52</v>
      </c>
      <c r="N2306" s="28" t="s">
        <v>52</v>
      </c>
    </row>
    <row r="2307" spans="1:14" x14ac:dyDescent="0.15">
      <c r="A2307" s="23" t="str">
        <f t="shared" si="98"/>
        <v>ООО "ЧОП "КЕННАРД"</v>
      </c>
      <c r="B2307" s="24" t="s">
        <v>1949</v>
      </c>
      <c r="C2307" s="25">
        <v>6100</v>
      </c>
      <c r="D2307" s="22" t="s">
        <v>3460</v>
      </c>
      <c r="E2307" s="22" t="s">
        <v>53</v>
      </c>
      <c r="F2307" s="23" t="str">
        <f>HYPERLINK("https://www.spark-marketing.ru/Card/Lot/73068360", "Кабель UTP 4 пары внешний Cat.5е")</f>
        <v>Кабель UTP 4 пары внешний Cat.5е</v>
      </c>
      <c r="G2307" s="22" t="s">
        <v>204</v>
      </c>
      <c r="H2307" s="22" t="s">
        <v>303</v>
      </c>
      <c r="I2307" s="26">
        <v>43704.734594907401</v>
      </c>
      <c r="J2307" s="28" t="s">
        <v>52</v>
      </c>
      <c r="K2307" s="28" t="s">
        <v>52</v>
      </c>
      <c r="L2307" s="28" t="s">
        <v>52</v>
      </c>
      <c r="M2307" s="28" t="s">
        <v>52</v>
      </c>
      <c r="N2307" s="28" t="s">
        <v>52</v>
      </c>
    </row>
    <row r="2308" spans="1:14" x14ac:dyDescent="0.15">
      <c r="A2308" s="23" t="str">
        <f>HYPERLINK("https://www.spark-marketing.ru/Card/Person/4343740", "МИНЗДРАВ РОССИИ")</f>
        <v>МИНЗДРАВ РОССИИ</v>
      </c>
      <c r="B2308" s="24" t="s">
        <v>1666</v>
      </c>
      <c r="C2308" s="25">
        <v>878967333.60000002</v>
      </c>
      <c r="D2308" s="22" t="s">
        <v>3461</v>
      </c>
      <c r="E2308" s="22" t="s">
        <v>53</v>
      </c>
      <c r="F2308" s="23" t="str">
        <f>HYPERLINK("https://www.spark-marketing.ru/Card/Lot/73065302", "Экулизумаб, концентрат для приготовления раствора для инфузий, 10 мг/мл, 30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f>
        <v>Экулизумаб, концентрат для приготовления раствора для инфузий, 10 мг/мл, 30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v>
      </c>
      <c r="G2308" s="22" t="s">
        <v>428</v>
      </c>
      <c r="H2308" s="22" t="s">
        <v>429</v>
      </c>
      <c r="I2308" s="26">
        <v>43704.7264699074</v>
      </c>
      <c r="J2308" s="23" t="str">
        <f>HYPERLINK("https://www.spark-marketing.ru/Card/Person/50996", "ООО ""БИОТЭК""")</f>
        <v>ООО "БИОТЭК"</v>
      </c>
      <c r="K2308" s="24" t="s">
        <v>3462</v>
      </c>
      <c r="L2308" s="22" t="s">
        <v>10</v>
      </c>
      <c r="M2308" s="28" t="s">
        <v>52</v>
      </c>
      <c r="N2308" s="28" t="s">
        <v>52</v>
      </c>
    </row>
    <row r="2309" spans="1:14" x14ac:dyDescent="0.15">
      <c r="A2309" s="23" t="str">
        <f>HYPERLINK("https://www.spark-marketing.ru/Card/Person/4343740", "МИНЗДРАВ РОССИИ")</f>
        <v>МИНЗДРАВ РОССИИ</v>
      </c>
      <c r="B2309" s="24" t="s">
        <v>1666</v>
      </c>
      <c r="C2309" s="25">
        <v>326583603.06</v>
      </c>
      <c r="D2309" s="22" t="s">
        <v>3463</v>
      </c>
      <c r="E2309" s="22" t="s">
        <v>53</v>
      </c>
      <c r="F2309" s="23" t="str">
        <f>HYPERLINK("https://www.spark-marketing.ru/Card/Lot/73065316", "Дорназа альфа, раствор для ингаляций, 1 мг/мл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муковисцидозом, гипофизарн...")</f>
        <v>Дорназа альфа, раствор для ингаляций, 1 мг/мл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муковисцидозом, гипофизарн...</v>
      </c>
      <c r="G2309" s="22" t="s">
        <v>428</v>
      </c>
      <c r="H2309" s="22" t="s">
        <v>429</v>
      </c>
      <c r="I2309" s="26">
        <v>43704.734768518501</v>
      </c>
      <c r="J2309" s="23" t="str">
        <f>HYPERLINK("https://www.spark-marketing.ru/Card/Person/42069", "АО ""ФАРМСТАНДАРТ""")</f>
        <v>АО "ФАРМСТАНДАРТ"</v>
      </c>
      <c r="K2309" s="24" t="s">
        <v>1668</v>
      </c>
      <c r="L2309" s="22" t="s">
        <v>10</v>
      </c>
      <c r="M2309" s="28" t="s">
        <v>52</v>
      </c>
      <c r="N2309" s="28" t="s">
        <v>52</v>
      </c>
    </row>
    <row r="2310" spans="1:14" x14ac:dyDescent="0.15">
      <c r="A2310" s="23" t="str">
        <f t="shared" ref="A2310:A2315" si="99">HYPERLINK("https://www.spark-marketing.ru/Card/Person/1683079", "ООО ""ЧОП ""КЕННАРД""")</f>
        <v>ООО "ЧОП "КЕННАРД"</v>
      </c>
      <c r="B2310" s="24" t="s">
        <v>1949</v>
      </c>
      <c r="C2310" s="25">
        <v>140</v>
      </c>
      <c r="D2310" s="22" t="s">
        <v>3460</v>
      </c>
      <c r="E2310" s="22" t="s">
        <v>53</v>
      </c>
      <c r="F2310" s="23" t="str">
        <f>HYPERLINK("https://www.spark-marketing.ru/Card/Lot/73068361", "Переходник BNC-тюльпан (RCA)")</f>
        <v>Переходник BNC-тюльпан (RCA)</v>
      </c>
      <c r="G2310" s="22" t="s">
        <v>204</v>
      </c>
      <c r="H2310" s="22" t="s">
        <v>303</v>
      </c>
      <c r="I2310" s="26">
        <v>43704.734594907401</v>
      </c>
      <c r="J2310" s="28" t="s">
        <v>52</v>
      </c>
      <c r="K2310" s="28" t="s">
        <v>52</v>
      </c>
      <c r="L2310" s="28" t="s">
        <v>52</v>
      </c>
      <c r="M2310" s="28" t="s">
        <v>52</v>
      </c>
      <c r="N2310" s="28" t="s">
        <v>52</v>
      </c>
    </row>
    <row r="2311" spans="1:14" x14ac:dyDescent="0.15">
      <c r="A2311" s="23" t="str">
        <f t="shared" si="99"/>
        <v>ООО "ЧОП "КЕННАРД"</v>
      </c>
      <c r="B2311" s="24" t="s">
        <v>1949</v>
      </c>
      <c r="C2311" s="25">
        <v>10000</v>
      </c>
      <c r="D2311" s="22" t="s">
        <v>3460</v>
      </c>
      <c r="E2311" s="22" t="s">
        <v>53</v>
      </c>
      <c r="F2311" s="23" t="str">
        <f>HYPERLINK("https://www.spark-marketing.ru/Card/Lot/73068359", "Жесткий диск внутренний 1TB")</f>
        <v>Жесткий диск внутренний 1TB</v>
      </c>
      <c r="G2311" s="22" t="s">
        <v>204</v>
      </c>
      <c r="H2311" s="22" t="s">
        <v>303</v>
      </c>
      <c r="I2311" s="26">
        <v>43704.734594907401</v>
      </c>
      <c r="J2311" s="28" t="s">
        <v>52</v>
      </c>
      <c r="K2311" s="28" t="s">
        <v>52</v>
      </c>
      <c r="L2311" s="28" t="s">
        <v>52</v>
      </c>
      <c r="M2311" s="28" t="s">
        <v>52</v>
      </c>
      <c r="N2311" s="28" t="s">
        <v>52</v>
      </c>
    </row>
    <row r="2312" spans="1:14" x14ac:dyDescent="0.15">
      <c r="A2312" s="23" t="str">
        <f t="shared" si="99"/>
        <v>ООО "ЧОП "КЕННАРД"</v>
      </c>
      <c r="B2312" s="24" t="s">
        <v>1949</v>
      </c>
      <c r="C2312" s="25">
        <v>9300</v>
      </c>
      <c r="D2312" s="22" t="s">
        <v>3460</v>
      </c>
      <c r="E2312" s="22" t="s">
        <v>53</v>
      </c>
      <c r="F2312" s="23" t="str">
        <f>HYPERLINK("https://www.spark-marketing.ru/Card/Lot/73068352", "Передатчик видеосигнала по витой паре ""Тахион АПВС-3М)")</f>
        <v>Передатчик видеосигнала по витой паре "Тахион АПВС-3М)</v>
      </c>
      <c r="G2312" s="22" t="s">
        <v>204</v>
      </c>
      <c r="H2312" s="22" t="s">
        <v>303</v>
      </c>
      <c r="I2312" s="26">
        <v>43704.734594907401</v>
      </c>
      <c r="J2312" s="28" t="s">
        <v>52</v>
      </c>
      <c r="K2312" s="28" t="s">
        <v>52</v>
      </c>
      <c r="L2312" s="28" t="s">
        <v>52</v>
      </c>
      <c r="M2312" s="28" t="s">
        <v>52</v>
      </c>
      <c r="N2312" s="28" t="s">
        <v>52</v>
      </c>
    </row>
    <row r="2313" spans="1:14" x14ac:dyDescent="0.15">
      <c r="A2313" s="23" t="str">
        <f t="shared" si="99"/>
        <v>ООО "ЧОП "КЕННАРД"</v>
      </c>
      <c r="B2313" s="24" t="s">
        <v>1949</v>
      </c>
      <c r="C2313" s="25">
        <v>18500</v>
      </c>
      <c r="D2313" s="22" t="s">
        <v>3460</v>
      </c>
      <c r="E2313" s="22" t="s">
        <v>53</v>
      </c>
      <c r="F2313" s="23" t="str">
        <f>HYPERLINK("https://www.spark-marketing.ru/Card/Lot/73068357", "Видеокамаера Hik Vision DS-2CE19U8T-AIT3Z. 2.8 - 12 мм")</f>
        <v>Видеокамаера Hik Vision DS-2CE19U8T-AIT3Z. 2.8 - 12 мм</v>
      </c>
      <c r="G2313" s="22" t="s">
        <v>204</v>
      </c>
      <c r="H2313" s="22" t="s">
        <v>303</v>
      </c>
      <c r="I2313" s="26">
        <v>43704.734594907401</v>
      </c>
      <c r="J2313" s="28" t="s">
        <v>52</v>
      </c>
      <c r="K2313" s="28" t="s">
        <v>52</v>
      </c>
      <c r="L2313" s="28" t="s">
        <v>52</v>
      </c>
      <c r="M2313" s="28" t="s">
        <v>52</v>
      </c>
      <c r="N2313" s="28" t="s">
        <v>52</v>
      </c>
    </row>
    <row r="2314" spans="1:14" x14ac:dyDescent="0.15">
      <c r="A2314" s="23" t="str">
        <f t="shared" si="99"/>
        <v>ООО "ЧОП "КЕННАРД"</v>
      </c>
      <c r="B2314" s="24" t="s">
        <v>1949</v>
      </c>
      <c r="C2314" s="25">
        <v>2400</v>
      </c>
      <c r="D2314" s="22" t="s">
        <v>3460</v>
      </c>
      <c r="E2314" s="22" t="s">
        <v>53</v>
      </c>
      <c r="F2314" s="23" t="str">
        <f>HYPERLINK("https://www.spark-marketing.ru/Card/Lot/73068354", "SFP-трансивер GIGALINK GL-OT-SG14LC1-1550-1310-DNC5512-03-I")</f>
        <v>SFP-трансивер GIGALINK GL-OT-SG14LC1-1550-1310-DNC5512-03-I</v>
      </c>
      <c r="G2314" s="22" t="s">
        <v>204</v>
      </c>
      <c r="H2314" s="22" t="s">
        <v>303</v>
      </c>
      <c r="I2314" s="26">
        <v>43704.734594907401</v>
      </c>
      <c r="J2314" s="28" t="s">
        <v>52</v>
      </c>
      <c r="K2314" s="28" t="s">
        <v>52</v>
      </c>
      <c r="L2314" s="28" t="s">
        <v>52</v>
      </c>
      <c r="M2314" s="28" t="s">
        <v>52</v>
      </c>
      <c r="N2314" s="28" t="s">
        <v>52</v>
      </c>
    </row>
    <row r="2315" spans="1:14" x14ac:dyDescent="0.15">
      <c r="A2315" s="23" t="str">
        <f t="shared" si="99"/>
        <v>ООО "ЧОП "КЕННАРД"</v>
      </c>
      <c r="B2315" s="24" t="s">
        <v>1949</v>
      </c>
      <c r="C2315" s="25">
        <v>92000</v>
      </c>
      <c r="D2315" s="22" t="s">
        <v>3460</v>
      </c>
      <c r="E2315" s="22" t="s">
        <v>53</v>
      </c>
      <c r="F2315" s="23" t="str">
        <f>HYPERLINK("https://www.spark-marketing.ru/Card/Lot/73068358", "Видеокамаера уличная Hik Vision DS-2CD2623G0-IZS")</f>
        <v>Видеокамаера уличная Hik Vision DS-2CD2623G0-IZS</v>
      </c>
      <c r="G2315" s="22" t="s">
        <v>204</v>
      </c>
      <c r="H2315" s="22" t="s">
        <v>303</v>
      </c>
      <c r="I2315" s="26">
        <v>43704.734594907401</v>
      </c>
      <c r="J2315" s="28" t="s">
        <v>52</v>
      </c>
      <c r="K2315" s="28" t="s">
        <v>52</v>
      </c>
      <c r="L2315" s="28" t="s">
        <v>52</v>
      </c>
      <c r="M2315" s="28" t="s">
        <v>52</v>
      </c>
      <c r="N2315" s="28" t="s">
        <v>52</v>
      </c>
    </row>
    <row r="2316" spans="1:14" x14ac:dyDescent="0.15">
      <c r="A2316" s="23" t="str">
        <f>HYPERLINK("https://www.spark-marketing.ru/Card/Person/161238", "ИСПОЛНИТЕЛЬНЫЙ КОМИТЕТ Г.НУРЛАТ НУРЛАТСКОГО МУНИЦИПАЛЬНОГО РАЙОНА РЕСПУБЛИКИ ТАТАРСТАН")</f>
        <v>ИСПОЛНИТЕЛЬНЫЙ КОМИТЕТ Г.НУРЛАТ НУРЛАТСКОГО МУНИЦИПАЛЬНОГО РАЙОНА РЕСПУБЛИКИ ТАТАРСТАН</v>
      </c>
      <c r="B2316" s="24" t="s">
        <v>201</v>
      </c>
      <c r="C2316" s="25">
        <v>11810.84</v>
      </c>
      <c r="D2316" s="22" t="s">
        <v>3464</v>
      </c>
      <c r="E2316" s="22" t="s">
        <v>203</v>
      </c>
      <c r="F2316" s="23" t="str">
        <f>HYPERLINK("https://www.spark-marketing.ru/Card/Lot/73063701", "Услуга по осуществлению строительного контроля за ходом выполнения работ по установке систем видеонаблюдения на территории города Нурлат Нурлатского муниципального района РТ, по заявке Заказчика;")</f>
        <v>Услуга по осуществлению строительного контроля за ходом выполнения работ по установке систем видеонаблюдения на территории города Нурлат Нурлатского муниципального района РТ, по заявке Заказчика;</v>
      </c>
      <c r="G2316" s="22" t="s">
        <v>204</v>
      </c>
      <c r="H2316" s="22" t="s">
        <v>205</v>
      </c>
      <c r="I2316" s="26">
        <v>43704.710092592599</v>
      </c>
      <c r="J2316" s="28" t="s">
        <v>52</v>
      </c>
      <c r="K2316" s="28" t="s">
        <v>52</v>
      </c>
      <c r="L2316" s="28" t="s">
        <v>52</v>
      </c>
      <c r="M2316" s="28" t="s">
        <v>52</v>
      </c>
      <c r="N2316" s="28" t="s">
        <v>52</v>
      </c>
    </row>
    <row r="2317" spans="1:14" x14ac:dyDescent="0.15">
      <c r="A2317" s="23" t="str">
        <f>HYPERLINK("https://www.spark-marketing.ru/Card/Person/1683079", "ООО ""ЧОП ""КЕННАРД""")</f>
        <v>ООО "ЧОП "КЕННАРД"</v>
      </c>
      <c r="B2317" s="24" t="s">
        <v>1949</v>
      </c>
      <c r="C2317" s="25">
        <v>830</v>
      </c>
      <c r="D2317" s="22" t="s">
        <v>3460</v>
      </c>
      <c r="E2317" s="22" t="s">
        <v>53</v>
      </c>
      <c r="F2317" s="23" t="str">
        <f>HYPERLINK("https://www.spark-marketing.ru/Card/Lot/73068364", "Двигатель RK - 370CA - 081000 - 43мм, 24VDC, 4000RPM")</f>
        <v>Двигатель RK - 370CA - 081000 - 43мм, 24VDC, 4000RPM</v>
      </c>
      <c r="G2317" s="22" t="s">
        <v>204</v>
      </c>
      <c r="H2317" s="22" t="s">
        <v>303</v>
      </c>
      <c r="I2317" s="26">
        <v>43704.734594907401</v>
      </c>
      <c r="J2317" s="28" t="s">
        <v>52</v>
      </c>
      <c r="K2317" s="28" t="s">
        <v>52</v>
      </c>
      <c r="L2317" s="28" t="s">
        <v>52</v>
      </c>
      <c r="M2317" s="28" t="s">
        <v>52</v>
      </c>
      <c r="N2317" s="28" t="s">
        <v>52</v>
      </c>
    </row>
    <row r="2318" spans="1:14" x14ac:dyDescent="0.15">
      <c r="A2318" s="23" t="str">
        <f>HYPERLINK("https://www.spark-marketing.ru/Card/Person/255195", "МБДОУ ""ДЕТСКИЙ САД № 4 ""СОЛНЫШКО"" ПГТ КАМСКИЕ ПОЛЯНЫ НМР РТ")</f>
        <v>МБДОУ "ДЕТСКИЙ САД № 4 "СОЛНЫШКО" ПГТ КАМСКИЕ ПОЛЯНЫ НМР РТ</v>
      </c>
      <c r="B2318" s="24" t="s">
        <v>3465</v>
      </c>
      <c r="C2318" s="25">
        <v>41474</v>
      </c>
      <c r="D2318" s="22" t="s">
        <v>3466</v>
      </c>
      <c r="E2318" s="22" t="s">
        <v>84</v>
      </c>
      <c r="F2318" s="23" t="str">
        <f>HYPERLINK("https://www.spark-marketing.ru/Card/Lot/73062334", "Выполнение работ по монтажу камер видеонаблюдения для МБДОУ «Детский сад №4 «Солнышко» пгт Камские Поляны НМР РТ (СМП и СОНО)")</f>
        <v>Выполнение работ по монтажу камер видеонаблюдения для МБДОУ «Детский сад №4 «Солнышко» пгт Камские Поляны НМР РТ (СМП и СОНО)</v>
      </c>
      <c r="G2318" s="22" t="s">
        <v>204</v>
      </c>
      <c r="H2318" s="22" t="s">
        <v>3467</v>
      </c>
      <c r="I2318" s="26">
        <v>43704.5929398148</v>
      </c>
      <c r="J2318" s="28" t="s">
        <v>52</v>
      </c>
      <c r="K2318" s="28" t="s">
        <v>52</v>
      </c>
      <c r="L2318" s="28" t="s">
        <v>52</v>
      </c>
      <c r="M2318" s="28" t="s">
        <v>52</v>
      </c>
      <c r="N2318" s="28" t="s">
        <v>52</v>
      </c>
    </row>
    <row r="2319" spans="1:14" hidden="1" outlineLevel="1" x14ac:dyDescent="0.2">
      <c r="A2319" s="23" t="str">
        <f>HYPERLINK("https://www.spark-marketing.ru/Card/Person/255195", "МБДОУ ""ДЕТСКИЙ САД № 4 ""СОЛНЫШКО"" ПГТ КАМСКИЕ ПОЛЯНЫ НМР РТ")</f>
        <v>МБДОУ "ДЕТСКИЙ САД № 4 "СОЛНЫШКО" ПГТ КАМСКИЕ ПОЛЯНЫ НМР РТ</v>
      </c>
      <c r="B2319" s="24" t="s">
        <v>3465</v>
      </c>
      <c r="C2319" s="25">
        <v>41474</v>
      </c>
      <c r="D2319" s="22" t="s">
        <v>3466</v>
      </c>
      <c r="E2319" s="22" t="s">
        <v>84</v>
      </c>
      <c r="F2319" s="23" t="str">
        <f>HYPERLINK("https://www.spark-marketing.ru/Card/Lot/73062334", "Выполнение работ по монтажу камер видеонаблюдения для МБДОУ «Детский сад №4 «Солнышко» пгт Камские Поляны НМР РТ (СМП и СОНО)")</f>
        <v>Выполнение работ по монтажу камер видеонаблюдения для МБДОУ «Детский сад №4 «Солнышко» пгт Камские Поляны НМР РТ (СМП и СОНО)</v>
      </c>
      <c r="G2319" s="22" t="s">
        <v>204</v>
      </c>
      <c r="H2319" s="22" t="s">
        <v>3467</v>
      </c>
      <c r="I2319" s="26">
        <v>43704.5929398148</v>
      </c>
      <c r="J2319" s="23" t="str">
        <f>HYPERLINK("https://www.spark-marketing.ru/Card/Person/34725", "ООО ""КОМПЬЮСЕРВИС - НК""")</f>
        <v>ООО "КОМПЬЮСЕРВИС - НК"</v>
      </c>
      <c r="K2319" s="24" t="s">
        <v>3468</v>
      </c>
      <c r="L2319" s="28" t="s">
        <v>52</v>
      </c>
      <c r="M2319" s="25">
        <v>22805.26</v>
      </c>
      <c r="N2319" s="27">
        <v>0.45013116651396057</v>
      </c>
    </row>
    <row r="2320" spans="1:14" ht="12.75" hidden="1" outlineLevel="1" x14ac:dyDescent="0.2">
      <c r="A2320" s="23" t="str">
        <f>HYPERLINK("https://www.spark-marketing.ru/Card/Person/255195", "МБДОУ ""ДЕТСКИЙ САД № 4 ""СОЛНЫШКО"" ПГТ КАМСКИЕ ПОЛЯНЫ НМР РТ")</f>
        <v>МБДОУ "ДЕТСКИЙ САД № 4 "СОЛНЫШКО" ПГТ КАМСКИЕ ПОЛЯНЫ НМР РТ</v>
      </c>
      <c r="B2320" s="24" t="s">
        <v>3465</v>
      </c>
      <c r="C2320" s="25">
        <v>41474</v>
      </c>
      <c r="D2320" s="22" t="s">
        <v>3466</v>
      </c>
      <c r="E2320" s="22" t="s">
        <v>84</v>
      </c>
      <c r="F2320" s="23" t="str">
        <f>HYPERLINK("https://www.spark-marketing.ru/Card/Lot/73062334", "Выполнение работ по монтажу камер видеонаблюдения для МБДОУ «Детский сад №4 «Солнышко» пгт Камские Поляны НМР РТ (СМП и СОНО)")</f>
        <v>Выполнение работ по монтажу камер видеонаблюдения для МБДОУ «Детский сад №4 «Солнышко» пгт Камские Поляны НМР РТ (СМП и СОНО)</v>
      </c>
      <c r="G2320" s="22" t="s">
        <v>204</v>
      </c>
      <c r="H2320" s="22" t="s">
        <v>3467</v>
      </c>
      <c r="I2320" s="26">
        <v>43704.5929398148</v>
      </c>
      <c r="J2320" s="23" t="str">
        <f>HYPERLINK("https://www.spark-marketing.ru/Card/Person/6576213", "ООО ""ТЕРРИТОРИЯ БЕЗОПАСНОСТИ""")</f>
        <v>ООО "ТЕРРИТОРИЯ БЕЗОПАСНОСТИ"</v>
      </c>
      <c r="K2320" s="24" t="s">
        <v>3469</v>
      </c>
      <c r="L2320" s="22" t="s">
        <v>10</v>
      </c>
      <c r="M2320" s="25">
        <v>22597.89</v>
      </c>
      <c r="N2320" s="27">
        <v>0.45513116651396057</v>
      </c>
    </row>
    <row r="2321" spans="1:14" hidden="1" outlineLevel="1" x14ac:dyDescent="0.2">
      <c r="A2321" s="23" t="str">
        <f>HYPERLINK("https://www.spark-marketing.ru/Card/Person/255195", "МБДОУ ""ДЕТСКИЙ САД № 4 ""СОЛНЫШКО"" ПГТ КАМСКИЕ ПОЛЯНЫ НМР РТ")</f>
        <v>МБДОУ "ДЕТСКИЙ САД № 4 "СОЛНЫШКО" ПГТ КАМСКИЕ ПОЛЯНЫ НМР РТ</v>
      </c>
      <c r="B2321" s="24" t="s">
        <v>3465</v>
      </c>
      <c r="C2321" s="25">
        <v>41474</v>
      </c>
      <c r="D2321" s="22" t="s">
        <v>3466</v>
      </c>
      <c r="E2321" s="22" t="s">
        <v>84</v>
      </c>
      <c r="F2321" s="23" t="str">
        <f>HYPERLINK("https://www.spark-marketing.ru/Card/Lot/73062334", "Выполнение работ по монтажу камер видеонаблюдения для МБДОУ «Детский сад №4 «Солнышко» пгт Камские Поляны НМР РТ (СМП и СОНО)")</f>
        <v>Выполнение работ по монтажу камер видеонаблюдения для МБДОУ «Детский сад №4 «Солнышко» пгт Камские Поляны НМР РТ (СМП и СОНО)</v>
      </c>
      <c r="G2321" s="22" t="s">
        <v>204</v>
      </c>
      <c r="H2321" s="22" t="s">
        <v>3467</v>
      </c>
      <c r="I2321" s="26">
        <v>43704.5929398148</v>
      </c>
      <c r="J2321" s="23" t="str">
        <f>HYPERLINK("https://www.spark-marketing.ru/Card/Person/138713", "Хакимзянов Рустам Миннерафикович")</f>
        <v>Хакимзянов Рустам Миннерафикович</v>
      </c>
      <c r="K2321" s="24" t="s">
        <v>3470</v>
      </c>
      <c r="L2321" s="28" t="s">
        <v>52</v>
      </c>
      <c r="M2321" s="25">
        <v>23220</v>
      </c>
      <c r="N2321" s="27">
        <v>0.44013116651396056</v>
      </c>
    </row>
    <row r="2322" spans="1:14" hidden="1" outlineLevel="1" x14ac:dyDescent="0.2">
      <c r="A2322" s="23" t="str">
        <f>HYPERLINK("https://www.spark-marketing.ru/Card/Person/255195", "МБДОУ ""ДЕТСКИЙ САД № 4 ""СОЛНЫШКО"" ПГТ КАМСКИЕ ПОЛЯНЫ НМР РТ")</f>
        <v>МБДОУ "ДЕТСКИЙ САД № 4 "СОЛНЫШКО" ПГТ КАМСКИЕ ПОЛЯНЫ НМР РТ</v>
      </c>
      <c r="B2322" s="24" t="s">
        <v>3465</v>
      </c>
      <c r="C2322" s="25">
        <v>41474</v>
      </c>
      <c r="D2322" s="22" t="s">
        <v>3466</v>
      </c>
      <c r="E2322" s="22" t="s">
        <v>84</v>
      </c>
      <c r="F2322" s="23" t="str">
        <f>HYPERLINK("https://www.spark-marketing.ru/Card/Lot/73062334", "Выполнение работ по монтажу камер видеонаблюдения для МБДОУ «Детский сад №4 «Солнышко» пгт Камские Поляны НМР РТ (СМП и СОНО)")</f>
        <v>Выполнение работ по монтажу камер видеонаблюдения для МБДОУ «Детский сад №4 «Солнышко» пгт Камские Поляны НМР РТ (СМП и СОНО)</v>
      </c>
      <c r="G2322" s="22" t="s">
        <v>204</v>
      </c>
      <c r="H2322" s="22" t="s">
        <v>3467</v>
      </c>
      <c r="I2322" s="26">
        <v>43704.5929398148</v>
      </c>
      <c r="J2322" s="23" t="str">
        <f>HYPERLINK("https://www.spark-marketing.ru/Card/Person/6676630", "Шмуленков Иван Георгиевич")</f>
        <v>Шмуленков Иван Георгиевич</v>
      </c>
      <c r="K2322" s="24" t="s">
        <v>3471</v>
      </c>
      <c r="L2322" s="28" t="s">
        <v>52</v>
      </c>
      <c r="M2322" s="25">
        <v>37326.6</v>
      </c>
      <c r="N2322" s="27">
        <v>0.1</v>
      </c>
    </row>
    <row r="2323" spans="1:14" x14ac:dyDescent="0.15">
      <c r="A2323" s="23" t="str">
        <f>HYPERLINK("https://www.spark-marketing.ru/Card/Person/44945", "УПРАВЛЕНИЕ РОССЕЛЬХОЗНАДЗОРА ПО КАЛИНИНГРАДСКОЙ ОБЛАСТИ")</f>
        <v>УПРАВЛЕНИЕ РОССЕЛЬХОЗНАДЗОРА ПО КАЛИНИНГРАДСКОЙ ОБЛАСТИ</v>
      </c>
      <c r="B2323" s="24" t="s">
        <v>3472</v>
      </c>
      <c r="C2323" s="25">
        <v>1438348</v>
      </c>
      <c r="D2323" s="22" t="s">
        <v>3473</v>
      </c>
      <c r="E2323" s="22" t="s">
        <v>180</v>
      </c>
      <c r="F2323" s="23" t="str">
        <f>HYPERLINK("https://www.spark-marketing.ru/Card/Lot/73063014", "Поставка и монтаж комплексов технических средств и оборудования для обеспечения охранно-пропускного режима с целью повышения уровня антитеррористической защищенности административных зданий")</f>
        <v>Поставка и монтаж комплексов технических средств и оборудования для обеспечения охранно-пропускного режима с целью повышения уровня антитеррористической защищенности административных зданий</v>
      </c>
      <c r="G2323" s="22" t="s">
        <v>247</v>
      </c>
      <c r="H2323" s="22" t="s">
        <v>247</v>
      </c>
      <c r="I2323" s="26">
        <v>43704.450185185196</v>
      </c>
      <c r="J2323" s="23" t="str">
        <f>HYPERLINK("https://www.spark-marketing.ru/Card/Person/146744", "ООО ""ЖЗЛ-СЕРВИС""")</f>
        <v>ООО "ЖЗЛ-СЕРВИС"</v>
      </c>
      <c r="K2323" s="24" t="s">
        <v>3474</v>
      </c>
      <c r="L2323" s="28" t="s">
        <v>52</v>
      </c>
      <c r="M2323" s="28" t="s">
        <v>52</v>
      </c>
      <c r="N2323" s="28" t="s">
        <v>52</v>
      </c>
    </row>
    <row r="2324" spans="1:14" hidden="1" outlineLevel="1" x14ac:dyDescent="0.15">
      <c r="A2324" s="23" t="str">
        <f>HYPERLINK("https://www.spark-marketing.ru/Card/Person/44945", "УПРАВЛЕНИЕ РОССЕЛЬХОЗНАДЗОРА ПО КАЛИНИНГРАДСКОЙ ОБЛАСТИ")</f>
        <v>УПРАВЛЕНИЕ РОССЕЛЬХОЗНАДЗОРА ПО КАЛИНИНГРАДСКОЙ ОБЛАСТИ</v>
      </c>
      <c r="B2324" s="24" t="s">
        <v>3472</v>
      </c>
      <c r="C2324" s="25">
        <v>1438348</v>
      </c>
      <c r="D2324" s="22" t="s">
        <v>3473</v>
      </c>
      <c r="E2324" s="22" t="s">
        <v>180</v>
      </c>
      <c r="F2324" s="23" t="str">
        <f>HYPERLINK("https://www.spark-marketing.ru/Card/Lot/73063014", "Поставка и монтаж комплексов технических средств и оборудования для обеспечения охранно-пропускного режима с целью повышения уровня антитеррористической защищенности административных зданий")</f>
        <v>Поставка и монтаж комплексов технических средств и оборудования для обеспечения охранно-пропускного режима с целью повышения уровня антитеррористической защищенности административных зданий</v>
      </c>
      <c r="G2324" s="22" t="s">
        <v>247</v>
      </c>
      <c r="H2324" s="22" t="s">
        <v>247</v>
      </c>
      <c r="I2324" s="26">
        <v>43704.450185185196</v>
      </c>
      <c r="J2324" s="23" t="str">
        <f>HYPERLINK("https://www.spark-marketing.ru/Card/Person/146744", "ООО ""ЖЗЛ-СЕРВИС""")</f>
        <v>ООО "ЖЗЛ-СЕРВИС"</v>
      </c>
      <c r="K2324" s="24" t="s">
        <v>3474</v>
      </c>
      <c r="L2324" s="22" t="s">
        <v>10</v>
      </c>
      <c r="M2324" s="28" t="s">
        <v>52</v>
      </c>
      <c r="N2324" s="28" t="s">
        <v>52</v>
      </c>
    </row>
    <row r="2325" spans="1:14" x14ac:dyDescent="0.15">
      <c r="A2325" s="23" t="str">
        <f>HYPERLINK("https://www.spark-marketing.ru/Card/Person/254092", "МБДОУ ""ДЕТСКИЙ САД ОБЩЕРАЗВИВАЮЩЕГО ВИДА № 5""АЙГУЛЬ"" П.Г.Т. КАМСКИЕ ПОЛЯНЫ НМР РТ")</f>
        <v>МБДОУ "ДЕТСКИЙ САД ОБЩЕРАЗВИВАЮЩЕГО ВИДА № 5"АЙГУЛЬ" П.Г.Т. КАМСКИЕ ПОЛЯНЫ НМР РТ</v>
      </c>
      <c r="B2325" s="24" t="s">
        <v>3475</v>
      </c>
      <c r="C2325" s="25">
        <v>40178.400000000001</v>
      </c>
      <c r="D2325" s="22" t="s">
        <v>3476</v>
      </c>
      <c r="E2325" s="22" t="s">
        <v>84</v>
      </c>
      <c r="F2325" s="23" t="str">
        <f>HYPERLINK("https://www.spark-marketing.ru/Card/Lot/73063623", "Выполнение работ по монтажу камер видеонаблюдения для МБДОУ «Детский сад общеразвивающего вида №5 «Айгуль» п.г.т. Камские Поляны НМР РТ (СМП и СОНО)")</f>
        <v>Выполнение работ по монтажу камер видеонаблюдения для МБДОУ «Детский сад общеразвивающего вида №5 «Айгуль» п.г.т. Камские Поляны НМР РТ (СМП и СОНО)</v>
      </c>
      <c r="G2325" s="22" t="s">
        <v>204</v>
      </c>
      <c r="H2325" s="22" t="s">
        <v>3467</v>
      </c>
      <c r="I2325" s="26">
        <v>43704.593530092599</v>
      </c>
      <c r="J2325" s="28" t="s">
        <v>52</v>
      </c>
      <c r="K2325" s="28" t="s">
        <v>52</v>
      </c>
      <c r="L2325" s="28" t="s">
        <v>52</v>
      </c>
      <c r="M2325" s="28" t="s">
        <v>52</v>
      </c>
      <c r="N2325" s="28" t="s">
        <v>52</v>
      </c>
    </row>
    <row r="2326" spans="1:14" hidden="1" outlineLevel="1" x14ac:dyDescent="0.2">
      <c r="A2326" s="23" t="str">
        <f>HYPERLINK("https://www.spark-marketing.ru/Card/Person/254092", "МБДОУ ""ДЕТСКИЙ САД ОБЩЕРАЗВИВАЮЩЕГО ВИДА № 5""АЙГУЛЬ"" П.Г.Т. КАМСКИЕ ПОЛЯНЫ НМР РТ")</f>
        <v>МБДОУ "ДЕТСКИЙ САД ОБЩЕРАЗВИВАЮЩЕГО ВИДА № 5"АЙГУЛЬ" П.Г.Т. КАМСКИЕ ПОЛЯНЫ НМР РТ</v>
      </c>
      <c r="B2326" s="24" t="s">
        <v>3475</v>
      </c>
      <c r="C2326" s="25">
        <v>40178.400000000001</v>
      </c>
      <c r="D2326" s="22" t="s">
        <v>3476</v>
      </c>
      <c r="E2326" s="22" t="s">
        <v>84</v>
      </c>
      <c r="F2326" s="23" t="str">
        <f>HYPERLINK("https://www.spark-marketing.ru/Card/Lot/73063623", "Выполнение работ по монтажу камер видеонаблюдения для МБДОУ «Детский сад общеразвивающего вида №5 «Айгуль» п.г.т. Камские Поляны НМР РТ (СМП и СОНО)")</f>
        <v>Выполнение работ по монтажу камер видеонаблюдения для МБДОУ «Детский сад общеразвивающего вида №5 «Айгуль» п.г.т. Камские Поляны НМР РТ (СМП и СОНО)</v>
      </c>
      <c r="G2326" s="22" t="s">
        <v>204</v>
      </c>
      <c r="H2326" s="22" t="s">
        <v>3467</v>
      </c>
      <c r="I2326" s="26">
        <v>43704.593530092599</v>
      </c>
      <c r="J2326" s="23" t="str">
        <f>HYPERLINK("https://www.spark-marketing.ru/Card/Person/34725", "ООО ""КОМПЬЮСЕРВИС - НК""")</f>
        <v>ООО "КОМПЬЮСЕРВИС - НК"</v>
      </c>
      <c r="K2326" s="24" t="s">
        <v>3468</v>
      </c>
      <c r="L2326" s="28" t="s">
        <v>52</v>
      </c>
      <c r="M2326" s="25">
        <v>20088.18</v>
      </c>
      <c r="N2326" s="27">
        <v>0.50002538677498354</v>
      </c>
    </row>
    <row r="2327" spans="1:14" ht="12.75" hidden="1" outlineLevel="1" x14ac:dyDescent="0.2">
      <c r="A2327" s="23" t="str">
        <f>HYPERLINK("https://www.spark-marketing.ru/Card/Person/254092", "МБДОУ ""ДЕТСКИЙ САД ОБЩЕРАЗВИВАЮЩЕГО ВИДА № 5""АЙГУЛЬ"" П.Г.Т. КАМСКИЕ ПОЛЯНЫ НМР РТ")</f>
        <v>МБДОУ "ДЕТСКИЙ САД ОБЩЕРАЗВИВАЮЩЕГО ВИДА № 5"АЙГУЛЬ" П.Г.Т. КАМСКИЕ ПОЛЯНЫ НМР РТ</v>
      </c>
      <c r="B2327" s="24" t="s">
        <v>3475</v>
      </c>
      <c r="C2327" s="25">
        <v>40178.400000000001</v>
      </c>
      <c r="D2327" s="22" t="s">
        <v>3476</v>
      </c>
      <c r="E2327" s="22" t="s">
        <v>84</v>
      </c>
      <c r="F2327" s="23" t="str">
        <f>HYPERLINK("https://www.spark-marketing.ru/Card/Lot/73063623", "Выполнение работ по монтажу камер видеонаблюдения для МБДОУ «Детский сад общеразвивающего вида №5 «Айгуль» п.г.т. Камские Поляны НМР РТ (СМП и СОНО)")</f>
        <v>Выполнение работ по монтажу камер видеонаблюдения для МБДОУ «Детский сад общеразвивающего вида №5 «Айгуль» п.г.т. Камские Поляны НМР РТ (СМП и СОНО)</v>
      </c>
      <c r="G2327" s="22" t="s">
        <v>204</v>
      </c>
      <c r="H2327" s="22" t="s">
        <v>3467</v>
      </c>
      <c r="I2327" s="26">
        <v>43704.593530092599</v>
      </c>
      <c r="J2327" s="23" t="str">
        <f>HYPERLINK("https://www.spark-marketing.ru/Card/Person/6576213", "ООО ""ТЕРРИТОРИЯ БЕЗОПАСНОСТИ""")</f>
        <v>ООО "ТЕРРИТОРИЯ БЕЗОПАСНОСТИ"</v>
      </c>
      <c r="K2327" s="24" t="s">
        <v>3469</v>
      </c>
      <c r="L2327" s="22" t="s">
        <v>10</v>
      </c>
      <c r="M2327" s="25">
        <v>16470.11</v>
      </c>
      <c r="N2327" s="27">
        <v>0.59007551321107854</v>
      </c>
    </row>
    <row r="2328" spans="1:14" hidden="1" outlineLevel="1" x14ac:dyDescent="0.2">
      <c r="A2328" s="23" t="str">
        <f>HYPERLINK("https://www.spark-marketing.ru/Card/Person/254092", "МБДОУ ""ДЕТСКИЙ САД ОБЩЕРАЗВИВАЮЩЕГО ВИДА № 5""АЙГУЛЬ"" П.Г.Т. КАМСКИЕ ПОЛЯНЫ НМР РТ")</f>
        <v>МБДОУ "ДЕТСКИЙ САД ОБЩЕРАЗВИВАЮЩЕГО ВИДА № 5"АЙГУЛЬ" П.Г.Т. КАМСКИЕ ПОЛЯНЫ НМР РТ</v>
      </c>
      <c r="B2328" s="24" t="s">
        <v>3475</v>
      </c>
      <c r="C2328" s="25">
        <v>40178.400000000001</v>
      </c>
      <c r="D2328" s="22" t="s">
        <v>3476</v>
      </c>
      <c r="E2328" s="22" t="s">
        <v>84</v>
      </c>
      <c r="F2328" s="23" t="str">
        <f>HYPERLINK("https://www.spark-marketing.ru/Card/Lot/73063623", "Выполнение работ по монтажу камер видеонаблюдения для МБДОУ «Детский сад общеразвивающего вида №5 «Айгуль» п.г.т. Камские Поляны НМР РТ (СМП и СОНО)")</f>
        <v>Выполнение работ по монтажу камер видеонаблюдения для МБДОУ «Детский сад общеразвивающего вида №5 «Айгуль» п.г.т. Камские Поляны НМР РТ (СМП и СОНО)</v>
      </c>
      <c r="G2328" s="22" t="s">
        <v>204</v>
      </c>
      <c r="H2328" s="22" t="s">
        <v>3467</v>
      </c>
      <c r="I2328" s="26">
        <v>43704.593530092599</v>
      </c>
      <c r="J2328" s="23" t="str">
        <f>HYPERLINK("https://www.spark-marketing.ru/Card/Person/138713", "Хакимзянов Рустам Миннерафикович")</f>
        <v>Хакимзянов Рустам Миннерафикович</v>
      </c>
      <c r="K2328" s="24" t="s">
        <v>3470</v>
      </c>
      <c r="L2328" s="28" t="s">
        <v>52</v>
      </c>
      <c r="M2328" s="25">
        <v>16671</v>
      </c>
      <c r="N2328" s="27">
        <v>0.58507556298906871</v>
      </c>
    </row>
    <row r="2329" spans="1:14" hidden="1" outlineLevel="1" x14ac:dyDescent="0.2">
      <c r="A2329" s="23" t="str">
        <f>HYPERLINK("https://www.spark-marketing.ru/Card/Person/254092", "МБДОУ ""ДЕТСКИЙ САД ОБЩЕРАЗВИВАЮЩЕГО ВИДА № 5""АЙГУЛЬ"" П.Г.Т. КАМСКИЕ ПОЛЯНЫ НМР РТ")</f>
        <v>МБДОУ "ДЕТСКИЙ САД ОБЩЕРАЗВИВАЮЩЕГО ВИДА № 5"АЙГУЛЬ" П.Г.Т. КАМСКИЕ ПОЛЯНЫ НМР РТ</v>
      </c>
      <c r="B2329" s="24" t="s">
        <v>3475</v>
      </c>
      <c r="C2329" s="25">
        <v>40178.400000000001</v>
      </c>
      <c r="D2329" s="22" t="s">
        <v>3476</v>
      </c>
      <c r="E2329" s="22" t="s">
        <v>84</v>
      </c>
      <c r="F2329" s="23" t="str">
        <f>HYPERLINK("https://www.spark-marketing.ru/Card/Lot/73063623", "Выполнение работ по монтажу камер видеонаблюдения для МБДОУ «Детский сад общеразвивающего вида №5 «Айгуль» п.г.т. Камские Поляны НМР РТ (СМП и СОНО)")</f>
        <v>Выполнение работ по монтажу камер видеонаблюдения для МБДОУ «Детский сад общеразвивающего вида №5 «Айгуль» п.г.т. Камские Поляны НМР РТ (СМП и СОНО)</v>
      </c>
      <c r="G2329" s="22" t="s">
        <v>204</v>
      </c>
      <c r="H2329" s="22" t="s">
        <v>3467</v>
      </c>
      <c r="I2329" s="26">
        <v>43704.593530092599</v>
      </c>
      <c r="J2329" s="23" t="str">
        <f>HYPERLINK("https://www.spark-marketing.ru/Card/Person/6676630", "Шмуленков Иван Георгиевич")</f>
        <v>Шмуленков Иван Георгиевич</v>
      </c>
      <c r="K2329" s="24" t="s">
        <v>3471</v>
      </c>
      <c r="L2329" s="28" t="s">
        <v>52</v>
      </c>
      <c r="M2329" s="25">
        <v>38973.06</v>
      </c>
      <c r="N2329" s="27">
        <v>2.9999701332059016E-2</v>
      </c>
    </row>
    <row r="2330" spans="1:14" x14ac:dyDescent="0.15">
      <c r="A2330" s="23" t="str">
        <f>HYPERLINK("https://www.spark-marketing.ru/Card/Person/135045", "МБОУ ""СОШ № 8"" НМР РТ")</f>
        <v>МБОУ "СОШ № 8" НМР РТ</v>
      </c>
      <c r="B2330" s="24" t="s">
        <v>3477</v>
      </c>
      <c r="C2330" s="25">
        <v>46670.92</v>
      </c>
      <c r="D2330" s="22" t="s">
        <v>3478</v>
      </c>
      <c r="E2330" s="22" t="s">
        <v>349</v>
      </c>
      <c r="F2330" s="23" t="str">
        <f>HYPERLINK("https://www.spark-marketing.ru/Card/Lot/73060853", "Оказание услуг по техническому обслуживанию системы охранного видеонаблюдения для МБОУ ""СОШ №8"" НМР РТ (СМП и СОНО)")</f>
        <v>Оказание услуг по техническому обслуживанию системы охранного видеонаблюдения для МБОУ "СОШ №8" НМР РТ (СМП и СОНО)</v>
      </c>
      <c r="G2330" s="22" t="s">
        <v>204</v>
      </c>
      <c r="H2330" s="22" t="s">
        <v>824</v>
      </c>
      <c r="I2330" s="26">
        <v>43704.591736111099</v>
      </c>
      <c r="J2330" s="28" t="s">
        <v>52</v>
      </c>
      <c r="K2330" s="28" t="s">
        <v>52</v>
      </c>
      <c r="L2330" s="28" t="s">
        <v>52</v>
      </c>
      <c r="M2330" s="28" t="s">
        <v>52</v>
      </c>
      <c r="N2330" s="28" t="s">
        <v>52</v>
      </c>
    </row>
    <row r="2331" spans="1:14" ht="12.75" hidden="1" outlineLevel="1" x14ac:dyDescent="0.2">
      <c r="A2331" s="23" t="str">
        <f>HYPERLINK("https://www.spark-marketing.ru/Card/Person/135045", "МБОУ ""СОШ № 8"" НМР РТ")</f>
        <v>МБОУ "СОШ № 8" НМР РТ</v>
      </c>
      <c r="B2331" s="24" t="s">
        <v>3477</v>
      </c>
      <c r="C2331" s="25">
        <v>46670.92</v>
      </c>
      <c r="D2331" s="22" t="s">
        <v>3478</v>
      </c>
      <c r="E2331" s="22" t="s">
        <v>349</v>
      </c>
      <c r="F2331" s="23" t="str">
        <f>HYPERLINK("https://www.spark-marketing.ru/Card/Lot/73060853", "Оказание услуг по техническому обслуживанию системы охранного видеонаблюдения для МБОУ ""СОШ №8"" НМР РТ (СМП и СОНО)")</f>
        <v>Оказание услуг по техническому обслуживанию системы охранного видеонаблюдения для МБОУ "СОШ №8" НМР РТ (СМП и СОНО)</v>
      </c>
      <c r="G2331" s="22" t="s">
        <v>204</v>
      </c>
      <c r="H2331" s="22" t="s">
        <v>824</v>
      </c>
      <c r="I2331" s="26">
        <v>43704.591736111099</v>
      </c>
      <c r="J2331" s="23" t="str">
        <f>HYPERLINK("https://www.spark-marketing.ru/Card/Person/34725", "ООО ""КОМПЬЮСЕРВИС - НК""")</f>
        <v>ООО "КОМПЬЮСЕРВИС - НК"</v>
      </c>
      <c r="K2331" s="24" t="s">
        <v>3468</v>
      </c>
      <c r="L2331" s="22" t="s">
        <v>10</v>
      </c>
      <c r="M2331" s="25">
        <v>2400</v>
      </c>
      <c r="N2331" s="27">
        <v>0.94857611549118814</v>
      </c>
    </row>
    <row r="2332" spans="1:14" hidden="1" outlineLevel="1" x14ac:dyDescent="0.2">
      <c r="A2332" s="23" t="str">
        <f>HYPERLINK("https://www.spark-marketing.ru/Card/Person/135045", "МБОУ ""СОШ № 8"" НМР РТ")</f>
        <v>МБОУ "СОШ № 8" НМР РТ</v>
      </c>
      <c r="B2332" s="24" t="s">
        <v>3477</v>
      </c>
      <c r="C2332" s="25">
        <v>46670.92</v>
      </c>
      <c r="D2332" s="22" t="s">
        <v>3478</v>
      </c>
      <c r="E2332" s="22" t="s">
        <v>349</v>
      </c>
      <c r="F2332" s="23" t="str">
        <f>HYPERLINK("https://www.spark-marketing.ru/Card/Lot/73060853", "Оказание услуг по техническому обслуживанию системы охранного видеонаблюдения для МБОУ ""СОШ №8"" НМР РТ (СМП и СОНО)")</f>
        <v>Оказание услуг по техническому обслуживанию системы охранного видеонаблюдения для МБОУ "СОШ №8" НМР РТ (СМП и СОНО)</v>
      </c>
      <c r="G2332" s="22" t="s">
        <v>204</v>
      </c>
      <c r="H2332" s="22" t="s">
        <v>824</v>
      </c>
      <c r="I2332" s="26">
        <v>43704.591736111099</v>
      </c>
      <c r="J2332" s="23" t="str">
        <f>HYPERLINK("https://www.spark-marketing.ru/Card/Person/6576213", "ООО ""ТЕРРИТОРИЯ БЕЗОПАСНОСТИ""")</f>
        <v>ООО "ТЕРРИТОРИЯ БЕЗОПАСНОСТИ"</v>
      </c>
      <c r="K2332" s="24" t="s">
        <v>3469</v>
      </c>
      <c r="L2332" s="28" t="s">
        <v>52</v>
      </c>
      <c r="M2332" s="25">
        <v>18901.55</v>
      </c>
      <c r="N2332" s="27">
        <v>0.59500369823436094</v>
      </c>
    </row>
    <row r="2333" spans="1:14" hidden="1" outlineLevel="1" x14ac:dyDescent="0.2">
      <c r="A2333" s="23" t="str">
        <f>HYPERLINK("https://www.spark-marketing.ru/Card/Person/135045", "МБОУ ""СОШ № 8"" НМР РТ")</f>
        <v>МБОУ "СОШ № 8" НМР РТ</v>
      </c>
      <c r="B2333" s="24" t="s">
        <v>3477</v>
      </c>
      <c r="C2333" s="25">
        <v>46670.92</v>
      </c>
      <c r="D2333" s="22" t="s">
        <v>3478</v>
      </c>
      <c r="E2333" s="22" t="s">
        <v>349</v>
      </c>
      <c r="F2333" s="23" t="str">
        <f>HYPERLINK("https://www.spark-marketing.ru/Card/Lot/73060853", "Оказание услуг по техническому обслуживанию системы охранного видеонаблюдения для МБОУ ""СОШ №8"" НМР РТ (СМП и СОНО)")</f>
        <v>Оказание услуг по техническому обслуживанию системы охранного видеонаблюдения для МБОУ "СОШ №8" НМР РТ (СМП и СОНО)</v>
      </c>
      <c r="G2333" s="22" t="s">
        <v>204</v>
      </c>
      <c r="H2333" s="22" t="s">
        <v>824</v>
      </c>
      <c r="I2333" s="26">
        <v>43704.591736111099</v>
      </c>
      <c r="J2333" s="23" t="str">
        <f>HYPERLINK("https://www.spark-marketing.ru/Card/Person/138713", "Хакимзянов Рустам Миннерафикович")</f>
        <v>Хакимзянов Рустам Миннерафикович</v>
      </c>
      <c r="K2333" s="24" t="s">
        <v>3470</v>
      </c>
      <c r="L2333" s="28" t="s">
        <v>52</v>
      </c>
      <c r="M2333" s="25">
        <v>2695</v>
      </c>
      <c r="N2333" s="27">
        <v>0.94225526302031326</v>
      </c>
    </row>
    <row r="2334" spans="1:14" x14ac:dyDescent="0.15">
      <c r="A2334" s="23" t="str">
        <f>HYPERLINK("https://www.spark-marketing.ru/Card/Person/259666", "ФКУ ""ЦЕНТР ГИМС МЧС РОССИИ ПО ТВЕРСКОЙ ОБЛАСТИ""")</f>
        <v>ФКУ "ЦЕНТР ГИМС МЧС РОССИИ ПО ТВЕРСКОЙ ОБЛАСТИ"</v>
      </c>
      <c r="B2334" s="24" t="s">
        <v>3479</v>
      </c>
      <c r="C2334" s="25">
        <v>25200</v>
      </c>
      <c r="D2334" s="22" t="s">
        <v>3480</v>
      </c>
      <c r="E2334" s="22" t="s">
        <v>53</v>
      </c>
      <c r="F2334" s="23" t="str">
        <f>HYPERLINK("https://www.spark-marketing.ru/Card/Lot/73057917", "ТО и оказание охранных услуг при помощи технических средств экипажами мобильных групп")</f>
        <v>ТО и оказание охранных услуг при помощи технических средств экипажами мобильных групп</v>
      </c>
      <c r="G2334" s="22" t="s">
        <v>251</v>
      </c>
      <c r="H2334" s="22" t="s">
        <v>252</v>
      </c>
      <c r="I2334" s="26">
        <v>43704.704178240703</v>
      </c>
      <c r="J2334" s="28" t="s">
        <v>52</v>
      </c>
      <c r="K2334" s="28" t="s">
        <v>52</v>
      </c>
      <c r="L2334" s="28" t="s">
        <v>52</v>
      </c>
      <c r="M2334" s="28" t="s">
        <v>52</v>
      </c>
      <c r="N2334" s="28" t="s">
        <v>52</v>
      </c>
    </row>
    <row r="2335" spans="1:14" x14ac:dyDescent="0.15">
      <c r="A2335" s="23" t="str">
        <f t="shared" ref="A2335:A2340" si="100">HYPERLINK("https://www.spark-marketing.ru/Card/Person/28190", "ОГКУ ""СМЭУ ТО""")</f>
        <v>ОГКУ "СМЭУ ТО"</v>
      </c>
      <c r="B2335" s="24" t="s">
        <v>3481</v>
      </c>
      <c r="C2335" s="25">
        <v>780640</v>
      </c>
      <c r="D2335" s="22" t="s">
        <v>3482</v>
      </c>
      <c r="E2335" s="22" t="s">
        <v>1297</v>
      </c>
      <c r="F2335" s="23" t="str">
        <f t="shared" ref="F2335:F2340" si="101">HYPERLINK("https://www.spark-marketing.ru/Card/Lot/73066690", "Поставка камер видеонаблюдения для нужд ОГКУ «СМЭУ ТО»")</f>
        <v>Поставка камер видеонаблюдения для нужд ОГКУ «СМЭУ ТО»</v>
      </c>
      <c r="G2335" s="22" t="s">
        <v>150</v>
      </c>
      <c r="H2335" s="22" t="s">
        <v>1656</v>
      </c>
      <c r="I2335" s="26">
        <v>43704.6625347222</v>
      </c>
      <c r="J2335" s="28" t="s">
        <v>52</v>
      </c>
      <c r="K2335" s="28" t="s">
        <v>52</v>
      </c>
      <c r="L2335" s="28" t="s">
        <v>52</v>
      </c>
      <c r="M2335" s="28" t="s">
        <v>52</v>
      </c>
      <c r="N2335" s="28" t="s">
        <v>52</v>
      </c>
    </row>
    <row r="2336" spans="1:14" hidden="1" outlineLevel="1" x14ac:dyDescent="0.2">
      <c r="A2336" s="23" t="str">
        <f t="shared" si="100"/>
        <v>ОГКУ "СМЭУ ТО"</v>
      </c>
      <c r="B2336" s="24" t="s">
        <v>3481</v>
      </c>
      <c r="C2336" s="25">
        <v>780640</v>
      </c>
      <c r="D2336" s="22" t="s">
        <v>3482</v>
      </c>
      <c r="E2336" s="22" t="s">
        <v>1297</v>
      </c>
      <c r="F2336" s="23" t="str">
        <f t="shared" si="101"/>
        <v>Поставка камер видеонаблюдения для нужд ОГКУ «СМЭУ ТО»</v>
      </c>
      <c r="G2336" s="22" t="s">
        <v>150</v>
      </c>
      <c r="H2336" s="22" t="s">
        <v>1656</v>
      </c>
      <c r="I2336" s="26">
        <v>43704.6625347222</v>
      </c>
      <c r="J2336" s="23" t="str">
        <f>HYPERLINK("https://www.spark-marketing.ru/Card/Person/726889", "ООО ""ОРИОН""")</f>
        <v>ООО "ОРИОН"</v>
      </c>
      <c r="K2336" s="24" t="s">
        <v>3483</v>
      </c>
      <c r="L2336" s="28" t="s">
        <v>52</v>
      </c>
      <c r="M2336" s="25">
        <v>604996</v>
      </c>
      <c r="N2336" s="27">
        <v>0.22500000000000001</v>
      </c>
    </row>
    <row r="2337" spans="1:14" hidden="1" outlineLevel="1" x14ac:dyDescent="0.2">
      <c r="A2337" s="23" t="str">
        <f t="shared" si="100"/>
        <v>ОГКУ "СМЭУ ТО"</v>
      </c>
      <c r="B2337" s="24" t="s">
        <v>3481</v>
      </c>
      <c r="C2337" s="25">
        <v>780640</v>
      </c>
      <c r="D2337" s="22" t="s">
        <v>3482</v>
      </c>
      <c r="E2337" s="22" t="s">
        <v>1297</v>
      </c>
      <c r="F2337" s="23" t="str">
        <f t="shared" si="101"/>
        <v>Поставка камер видеонаблюдения для нужд ОГКУ «СМЭУ ТО»</v>
      </c>
      <c r="G2337" s="22" t="s">
        <v>150</v>
      </c>
      <c r="H2337" s="22" t="s">
        <v>1656</v>
      </c>
      <c r="I2337" s="26">
        <v>43704.6625347222</v>
      </c>
      <c r="J2337" s="23" t="str">
        <f>HYPERLINK("https://www.spark-marketing.ru/Card/Person/86048", "ООО ""МК ЭРЛАНГ""")</f>
        <v>ООО "МК ЭРЛАНГ"</v>
      </c>
      <c r="K2337" s="24" t="s">
        <v>3484</v>
      </c>
      <c r="L2337" s="28" t="s">
        <v>52</v>
      </c>
      <c r="M2337" s="25">
        <v>480093.6</v>
      </c>
      <c r="N2337" s="27">
        <v>0.38500000000000001</v>
      </c>
    </row>
    <row r="2338" spans="1:14" hidden="1" outlineLevel="1" x14ac:dyDescent="0.2">
      <c r="A2338" s="23" t="str">
        <f t="shared" si="100"/>
        <v>ОГКУ "СМЭУ ТО"</v>
      </c>
      <c r="B2338" s="24" t="s">
        <v>3481</v>
      </c>
      <c r="C2338" s="25">
        <v>780640</v>
      </c>
      <c r="D2338" s="22" t="s">
        <v>3482</v>
      </c>
      <c r="E2338" s="22" t="s">
        <v>1297</v>
      </c>
      <c r="F2338" s="23" t="str">
        <f t="shared" si="101"/>
        <v>Поставка камер видеонаблюдения для нужд ОГКУ «СМЭУ ТО»</v>
      </c>
      <c r="G2338" s="22" t="s">
        <v>150</v>
      </c>
      <c r="H2338" s="22" t="s">
        <v>1656</v>
      </c>
      <c r="I2338" s="26">
        <v>43704.6625347222</v>
      </c>
      <c r="J2338" s="23" t="str">
        <f>HYPERLINK("https://www.spark-marketing.ru/Card/Person/210759", "ООО ""ДЕМАР-ЦЕНТР""")</f>
        <v>ООО "ДЕМАР-ЦЕНТР"</v>
      </c>
      <c r="K2338" s="24" t="s">
        <v>2021</v>
      </c>
      <c r="L2338" s="28" t="s">
        <v>52</v>
      </c>
      <c r="M2338" s="25">
        <v>780639.99</v>
      </c>
      <c r="N2338" s="27">
        <v>1.2810002049600328E-8</v>
      </c>
    </row>
    <row r="2339" spans="1:14" hidden="1" outlineLevel="1" x14ac:dyDescent="0.2">
      <c r="A2339" s="23" t="str">
        <f t="shared" si="100"/>
        <v>ОГКУ "СМЭУ ТО"</v>
      </c>
      <c r="B2339" s="24" t="s">
        <v>3481</v>
      </c>
      <c r="C2339" s="25">
        <v>780640</v>
      </c>
      <c r="D2339" s="22" t="s">
        <v>3482</v>
      </c>
      <c r="E2339" s="22" t="s">
        <v>1297</v>
      </c>
      <c r="F2339" s="23" t="str">
        <f t="shared" si="101"/>
        <v>Поставка камер видеонаблюдения для нужд ОГКУ «СМЭУ ТО»</v>
      </c>
      <c r="G2339" s="22" t="s">
        <v>150</v>
      </c>
      <c r="H2339" s="22" t="s">
        <v>1656</v>
      </c>
      <c r="I2339" s="26">
        <v>43704.6625347222</v>
      </c>
      <c r="J2339" s="23" t="str">
        <f>HYPERLINK("https://www.spark-marketing.ru/Card/Person/866034", "ООО ""АЛАНТА-СБ""")</f>
        <v>ООО "АЛАНТА-СБ"</v>
      </c>
      <c r="K2339" s="24" t="s">
        <v>3485</v>
      </c>
      <c r="L2339" s="28" t="s">
        <v>52</v>
      </c>
      <c r="M2339" s="25">
        <v>523028.8</v>
      </c>
      <c r="N2339" s="27">
        <v>0.33</v>
      </c>
    </row>
    <row r="2340" spans="1:14" ht="12.75" hidden="1" outlineLevel="1" x14ac:dyDescent="0.2">
      <c r="A2340" s="23" t="str">
        <f t="shared" si="100"/>
        <v>ОГКУ "СМЭУ ТО"</v>
      </c>
      <c r="B2340" s="24" t="s">
        <v>3481</v>
      </c>
      <c r="C2340" s="25">
        <v>780640</v>
      </c>
      <c r="D2340" s="22" t="s">
        <v>3482</v>
      </c>
      <c r="E2340" s="22" t="s">
        <v>1297</v>
      </c>
      <c r="F2340" s="23" t="str">
        <f t="shared" si="101"/>
        <v>Поставка камер видеонаблюдения для нужд ОГКУ «СМЭУ ТО»</v>
      </c>
      <c r="G2340" s="22" t="s">
        <v>150</v>
      </c>
      <c r="H2340" s="22" t="s">
        <v>1656</v>
      </c>
      <c r="I2340" s="26">
        <v>43704.6625347222</v>
      </c>
      <c r="J2340" s="23" t="str">
        <f>HYPERLINK("https://www.spark-marketing.ru/Card/Person/4734349", "ООО ""ДССЛ-НЕВА""")</f>
        <v>ООО "ДССЛ-НЕВА"</v>
      </c>
      <c r="K2340" s="24" t="s">
        <v>3486</v>
      </c>
      <c r="L2340" s="22" t="s">
        <v>10</v>
      </c>
      <c r="M2340" s="25">
        <v>476190.4</v>
      </c>
      <c r="N2340" s="27">
        <v>0.39</v>
      </c>
    </row>
    <row r="2341" spans="1:14" x14ac:dyDescent="0.15">
      <c r="A2341" s="23" t="str">
        <f>HYPERLINK("https://www.spark-marketing.ru/Card/Person/43329", "ГУЗ ""РОДИЛЬНЫЙ ДОМ № 1 Г. ТУЛЫ""")</f>
        <v>ГУЗ "РОДИЛЬНЫЙ ДОМ № 1 Г. ТУЛЫ"</v>
      </c>
      <c r="B2341" s="24" t="s">
        <v>3487</v>
      </c>
      <c r="C2341" s="25">
        <v>153277.14000000001</v>
      </c>
      <c r="D2341" s="22" t="s">
        <v>3488</v>
      </c>
      <c r="E2341" s="22" t="s">
        <v>52</v>
      </c>
      <c r="F2341" s="23" t="str">
        <f>HYPERLINK("https://www.spark-marketing.ru/Card/Lot/73057181", "Оказание услуг по охране с помощью технических средств охраны")</f>
        <v>Оказание услуг по охране с помощью технических средств охраны</v>
      </c>
      <c r="G2341" s="22" t="s">
        <v>818</v>
      </c>
      <c r="H2341" s="22" t="s">
        <v>819</v>
      </c>
      <c r="I2341" s="26">
        <v>43704.611550925903</v>
      </c>
      <c r="J2341" s="23" t="str">
        <f>HYPERLINK("https://www.spark-marketing.ru/Card/Person/62385", "ООО ЧОП ""ЩИТ-ГАРАНТ""")</f>
        <v>ООО ЧОП "ЩИТ-ГАРАНТ"</v>
      </c>
      <c r="K2341" s="24" t="s">
        <v>3489</v>
      </c>
      <c r="L2341" s="22" t="s">
        <v>10</v>
      </c>
      <c r="M2341" s="28" t="s">
        <v>52</v>
      </c>
      <c r="N2341" s="28" t="s">
        <v>52</v>
      </c>
    </row>
    <row r="2342" spans="1:14" x14ac:dyDescent="0.15">
      <c r="A2342" s="23" t="str">
        <f>HYPERLINK("https://www.spark-marketing.ru/Card/Person/2040026", "ФКУ ""СЗОУМТС МВД РОССИИ""")</f>
        <v>ФКУ "СЗОУМТС МВД РОССИИ"</v>
      </c>
      <c r="B2342" s="24" t="s">
        <v>2159</v>
      </c>
      <c r="C2342" s="25">
        <v>324073.62</v>
      </c>
      <c r="D2342" s="22" t="s">
        <v>3490</v>
      </c>
      <c r="E2342" s="22" t="s">
        <v>208</v>
      </c>
      <c r="F2342" s="23" t="str">
        <f>HYPERLINK("https://www.spark-marketing.ru/Card/Lot/73057665", "Система охранной сигнализации")</f>
        <v>Система охранной сигнализации</v>
      </c>
      <c r="G2342" s="22" t="s">
        <v>89</v>
      </c>
      <c r="H2342" s="22" t="s">
        <v>89</v>
      </c>
      <c r="I2342" s="26">
        <v>43704.529374999998</v>
      </c>
      <c r="J2342" s="28" t="s">
        <v>52</v>
      </c>
      <c r="K2342" s="28" t="s">
        <v>52</v>
      </c>
      <c r="L2342" s="28" t="s">
        <v>52</v>
      </c>
      <c r="M2342" s="28" t="s">
        <v>52</v>
      </c>
      <c r="N2342" s="28" t="s">
        <v>52</v>
      </c>
    </row>
    <row r="2343" spans="1:14" x14ac:dyDescent="0.15">
      <c r="A2343" s="23" t="str">
        <f>HYPERLINK("https://www.spark-marketing.ru/Card/Person/5117", "БУЗ ВО ""ВГБ № 4""")</f>
        <v>БУЗ ВО "ВГБ № 4"</v>
      </c>
      <c r="B2343" s="24" t="s">
        <v>3491</v>
      </c>
      <c r="C2343" s="25">
        <v>9400</v>
      </c>
      <c r="D2343" s="22" t="s">
        <v>3492</v>
      </c>
      <c r="E2343" s="22" t="s">
        <v>103</v>
      </c>
      <c r="F2343" s="23" t="str">
        <f>HYPERLINK("https://www.spark-marketing.ru/Card/Lot/73056798", "Техническое обслуживание системы видеонаблюдения.")</f>
        <v>Техническое обслуживание системы видеонаблюдения.</v>
      </c>
      <c r="G2343" s="22" t="s">
        <v>552</v>
      </c>
      <c r="H2343" s="22" t="s">
        <v>886</v>
      </c>
      <c r="I2343" s="26">
        <v>43704.616678240702</v>
      </c>
      <c r="J2343" s="28" t="s">
        <v>52</v>
      </c>
      <c r="K2343" s="28" t="s">
        <v>52</v>
      </c>
      <c r="L2343" s="28" t="s">
        <v>52</v>
      </c>
      <c r="M2343" s="28" t="s">
        <v>52</v>
      </c>
      <c r="N2343" s="28" t="s">
        <v>52</v>
      </c>
    </row>
    <row r="2344" spans="1:14" ht="12.75" hidden="1" outlineLevel="1" x14ac:dyDescent="0.2">
      <c r="A2344" s="23" t="str">
        <f>HYPERLINK("https://www.spark-marketing.ru/Card/Person/5117", "БУЗ ВО ""ВГБ № 4""")</f>
        <v>БУЗ ВО "ВГБ № 4"</v>
      </c>
      <c r="B2344" s="24" t="s">
        <v>3491</v>
      </c>
      <c r="C2344" s="25">
        <v>9400</v>
      </c>
      <c r="D2344" s="22" t="s">
        <v>3492</v>
      </c>
      <c r="E2344" s="22" t="s">
        <v>103</v>
      </c>
      <c r="F2344" s="23" t="str">
        <f>HYPERLINK("https://www.spark-marketing.ru/Card/Lot/73056798", "Техническое обслуживание системы видеонаблюдения.")</f>
        <v>Техническое обслуживание системы видеонаблюдения.</v>
      </c>
      <c r="G2344" s="22" t="s">
        <v>552</v>
      </c>
      <c r="H2344" s="22" t="s">
        <v>886</v>
      </c>
      <c r="I2344" s="26">
        <v>43704.616678240702</v>
      </c>
      <c r="J2344" s="23" t="str">
        <f>HYPERLINK("https://www.spark-marketing.ru/Card/Person/345639", "ООО ЧОП ""ЦЕНТРТОРГ""")</f>
        <v>ООО ЧОП "ЦЕНТРТОРГ"</v>
      </c>
      <c r="K2344" s="24" t="s">
        <v>3493</v>
      </c>
      <c r="L2344" s="22" t="s">
        <v>10</v>
      </c>
      <c r="M2344" s="25">
        <v>7800</v>
      </c>
      <c r="N2344" s="27">
        <v>0.1702127659574468</v>
      </c>
    </row>
    <row r="2345" spans="1:14" hidden="1" outlineLevel="1" x14ac:dyDescent="0.2">
      <c r="A2345" s="23" t="str">
        <f>HYPERLINK("https://www.spark-marketing.ru/Card/Person/5117", "БУЗ ВО ""ВГБ № 4""")</f>
        <v>БУЗ ВО "ВГБ № 4"</v>
      </c>
      <c r="B2345" s="24" t="s">
        <v>3491</v>
      </c>
      <c r="C2345" s="25">
        <v>9400</v>
      </c>
      <c r="D2345" s="22" t="s">
        <v>3492</v>
      </c>
      <c r="E2345" s="22" t="s">
        <v>103</v>
      </c>
      <c r="F2345" s="23" t="str">
        <f>HYPERLINK("https://www.spark-marketing.ru/Card/Lot/73056798", "Техническое обслуживание системы видеонаблюдения.")</f>
        <v>Техническое обслуживание системы видеонаблюдения.</v>
      </c>
      <c r="G2345" s="22" t="s">
        <v>552</v>
      </c>
      <c r="H2345" s="22" t="s">
        <v>886</v>
      </c>
      <c r="I2345" s="26">
        <v>43704.616678240702</v>
      </c>
      <c r="J2345" s="23" t="str">
        <f>HYPERLINK("https://www.spark-marketing.ru/Card/Person/293024", "ООО АБ ""АРГУМЕНТ""")</f>
        <v>ООО АБ "АРГУМЕНТ"</v>
      </c>
      <c r="K2345" s="24" t="s">
        <v>3494</v>
      </c>
      <c r="L2345" s="28" t="s">
        <v>52</v>
      </c>
      <c r="M2345" s="25">
        <v>8000</v>
      </c>
      <c r="N2345" s="27">
        <v>0.14893617021276595</v>
      </c>
    </row>
    <row r="2346" spans="1:14" hidden="1" outlineLevel="1" x14ac:dyDescent="0.2">
      <c r="A2346" s="23" t="str">
        <f>HYPERLINK("https://www.spark-marketing.ru/Card/Person/5117", "БУЗ ВО ""ВГБ № 4""")</f>
        <v>БУЗ ВО "ВГБ № 4"</v>
      </c>
      <c r="B2346" s="24" t="s">
        <v>3491</v>
      </c>
      <c r="C2346" s="25">
        <v>9400</v>
      </c>
      <c r="D2346" s="22" t="s">
        <v>3492</v>
      </c>
      <c r="E2346" s="22" t="s">
        <v>103</v>
      </c>
      <c r="F2346" s="23" t="str">
        <f>HYPERLINK("https://www.spark-marketing.ru/Card/Lot/73056798", "Техническое обслуживание системы видеонаблюдения.")</f>
        <v>Техническое обслуживание системы видеонаблюдения.</v>
      </c>
      <c r="G2346" s="22" t="s">
        <v>552</v>
      </c>
      <c r="H2346" s="22" t="s">
        <v>886</v>
      </c>
      <c r="I2346" s="26">
        <v>43704.616678240702</v>
      </c>
      <c r="J2346" s="23" t="str">
        <f>HYPERLINK("https://www.spark-marketing.ru/Card/Person/6187999", "Бакумцев Александр Николаевич")</f>
        <v>Бакумцев Александр Николаевич</v>
      </c>
      <c r="K2346" s="24" t="s">
        <v>3495</v>
      </c>
      <c r="L2346" s="28" t="s">
        <v>52</v>
      </c>
      <c r="M2346" s="25">
        <v>8800</v>
      </c>
      <c r="N2346" s="27">
        <v>6.3829787234042548E-2</v>
      </c>
    </row>
    <row r="2347" spans="1:14" x14ac:dyDescent="0.15">
      <c r="A2347" s="23" t="str">
        <f>HYPERLINK("https://www.spark-marketing.ru/Card/Person/119744", "ГОСТРУДИНСПЕКЦИЯ В ПЕНЗЕНСКОЙ ОБЛАСТИ")</f>
        <v>ГОСТРУДИНСПЕКЦИЯ В ПЕНЗЕНСКОЙ ОБЛАСТИ</v>
      </c>
      <c r="B2347" s="24" t="s">
        <v>3496</v>
      </c>
      <c r="C2347" s="25">
        <v>60205.8</v>
      </c>
      <c r="D2347" s="22" t="s">
        <v>3497</v>
      </c>
      <c r="E2347" s="22" t="s">
        <v>53</v>
      </c>
      <c r="F2347" s="23" t="str">
        <f>HYPERLINK("https://www.spark-marketing.ru/Card/Lot/73051825", "Охранные услуги")</f>
        <v>Охранные услуги</v>
      </c>
      <c r="G2347" s="22" t="s">
        <v>514</v>
      </c>
      <c r="H2347" s="22" t="s">
        <v>2167</v>
      </c>
      <c r="I2347" s="26">
        <v>43704.573854166701</v>
      </c>
      <c r="J2347" s="28" t="s">
        <v>52</v>
      </c>
      <c r="K2347" s="28" t="s">
        <v>52</v>
      </c>
      <c r="L2347" s="28" t="s">
        <v>52</v>
      </c>
      <c r="M2347" s="28" t="s">
        <v>52</v>
      </c>
      <c r="N2347" s="28" t="s">
        <v>52</v>
      </c>
    </row>
    <row r="2348" spans="1:14" x14ac:dyDescent="0.15">
      <c r="A2348" s="23" t="str">
        <f>HYPERLINK("https://www.spark-marketing.ru/Card/Person/1075847", "МБУК ""КАРТИННАЯ ГАЛЕРЕЯ""")</f>
        <v>МБУК "КАРТИННАЯ ГАЛЕРЕЯ"</v>
      </c>
      <c r="B2348" s="24" t="s">
        <v>3498</v>
      </c>
      <c r="C2348" s="25">
        <v>600000</v>
      </c>
      <c r="D2348" s="22" t="s">
        <v>3499</v>
      </c>
      <c r="E2348" s="22" t="s">
        <v>84</v>
      </c>
      <c r="F2348" s="23" t="str">
        <f>HYPERLINK("https://www.spark-marketing.ru/Card/Lot/73049994", "Установка систем внутреннего и внешнего видеонаблюдения")</f>
        <v>Установка систем внутреннего и внешнего видеонаблюдения</v>
      </c>
      <c r="G2348" s="22" t="s">
        <v>50</v>
      </c>
      <c r="H2348" s="22" t="s">
        <v>432</v>
      </c>
      <c r="I2348" s="26">
        <v>43704.514212962997</v>
      </c>
      <c r="J2348" s="28" t="s">
        <v>52</v>
      </c>
      <c r="K2348" s="28" t="s">
        <v>52</v>
      </c>
      <c r="L2348" s="28" t="s">
        <v>52</v>
      </c>
      <c r="M2348" s="28" t="s">
        <v>52</v>
      </c>
      <c r="N2348" s="28" t="s">
        <v>52</v>
      </c>
    </row>
    <row r="2349" spans="1:14" x14ac:dyDescent="0.15">
      <c r="A2349" s="23" t="str">
        <f>HYPERLINK("https://www.spark-marketing.ru/Card/Person/6052008", "ООО ""САПЛ-БИЗ""")</f>
        <v>ООО "САПЛ-БИЗ"</v>
      </c>
      <c r="B2349" s="24" t="s">
        <v>3500</v>
      </c>
      <c r="C2349" s="28" t="s">
        <v>52</v>
      </c>
      <c r="D2349" s="22" t="s">
        <v>3501</v>
      </c>
      <c r="E2349" s="22" t="s">
        <v>53</v>
      </c>
      <c r="F2349" s="23" t="str">
        <f>HYPERLINK("https://www.spark-marketing.ru/Card/Lot/73048570", "Требуется видеонаблюдение для фронтального погрузчика LG и установка - 1 шт. В комплект входит 2 камеры, регистратор, жёсткий диск. Сертолово, Ленинградская область")</f>
        <v>Требуется видеонаблюдение для фронтального погрузчика LG и установка - 1 шт. В комплект входит 2 камеры, регистратор, жёсткий диск. Сертолово, Ленинградская область</v>
      </c>
      <c r="G2349" s="22" t="s">
        <v>150</v>
      </c>
      <c r="H2349" s="22" t="s">
        <v>1656</v>
      </c>
      <c r="I2349" s="26">
        <v>43704.485763888901</v>
      </c>
      <c r="J2349" s="28" t="s">
        <v>52</v>
      </c>
      <c r="K2349" s="28" t="s">
        <v>52</v>
      </c>
      <c r="L2349" s="28" t="s">
        <v>52</v>
      </c>
      <c r="M2349" s="28" t="s">
        <v>52</v>
      </c>
      <c r="N2349" s="28" t="s">
        <v>52</v>
      </c>
    </row>
    <row r="2350" spans="1:14" x14ac:dyDescent="0.15">
      <c r="A2350" s="23" t="str">
        <f>HYPERLINK("https://www.spark-marketing.ru/Card/Person/4344835", "УФНС РОССИИ ПО ТВЕРСКОЙ ОБЛАСТИ")</f>
        <v>УФНС РОССИИ ПО ТВЕРСКОЙ ОБЛАСТИ</v>
      </c>
      <c r="B2350" s="24" t="s">
        <v>3502</v>
      </c>
      <c r="C2350" s="25">
        <v>12980</v>
      </c>
      <c r="D2350" s="22" t="s">
        <v>3503</v>
      </c>
      <c r="E2350" s="22" t="s">
        <v>1293</v>
      </c>
      <c r="F2350" s="23" t="str">
        <f>HYPERLINK("https://www.spark-marketing.ru/Card/Lot/73045307", "Жесткий диск Western Digital WD Red 2 TB (WD20EFRX) в серверном исполнении для установки в сервер видеонаблюдения здания и прилегающей территории УФНС России по Тверской области")</f>
        <v>Жесткий диск Western Digital WD Red 2 TB (WD20EFRX) в серверном исполнении для установки в сервер видеонаблюдения здания и прилегающей территории УФНС России по Тверской области</v>
      </c>
      <c r="G2350" s="22" t="s">
        <v>251</v>
      </c>
      <c r="H2350" s="22" t="s">
        <v>252</v>
      </c>
      <c r="I2350" s="26">
        <v>43704.4601736111</v>
      </c>
      <c r="J2350" s="28" t="s">
        <v>52</v>
      </c>
      <c r="K2350" s="28" t="s">
        <v>52</v>
      </c>
      <c r="L2350" s="28" t="s">
        <v>52</v>
      </c>
      <c r="M2350" s="28" t="s">
        <v>52</v>
      </c>
      <c r="N2350" s="28" t="s">
        <v>52</v>
      </c>
    </row>
    <row r="2351" spans="1:14" x14ac:dyDescent="0.15">
      <c r="A2351" s="23" t="str">
        <f t="shared" ref="A2351:A2356" si="102">HYPERLINK("https://www.spark-marketing.ru/Card/Person/147273", "МОУ ""ЛИЦЕЙ №1""")</f>
        <v>МОУ "ЛИЦЕЙ №1"</v>
      </c>
      <c r="B2351" s="24" t="s">
        <v>3504</v>
      </c>
      <c r="C2351" s="25">
        <v>638412.57999999996</v>
      </c>
      <c r="D2351" s="22" t="s">
        <v>3505</v>
      </c>
      <c r="E2351" s="22" t="s">
        <v>84</v>
      </c>
      <c r="F2351" s="23" t="str">
        <f t="shared" ref="F2351:F2356" si="103">HYPERLINK("https://www.spark-marketing.ru/Card/Lot/73049120", "Установка системы видеонаблюдения")</f>
        <v>Установка системы видеонаблюдения</v>
      </c>
      <c r="G2351" s="22" t="s">
        <v>50</v>
      </c>
      <c r="H2351" s="22" t="s">
        <v>569</v>
      </c>
      <c r="I2351" s="26">
        <v>43704.387291666702</v>
      </c>
      <c r="J2351" s="28" t="s">
        <v>52</v>
      </c>
      <c r="K2351" s="28" t="s">
        <v>52</v>
      </c>
      <c r="L2351" s="28" t="s">
        <v>52</v>
      </c>
      <c r="M2351" s="28" t="s">
        <v>52</v>
      </c>
      <c r="N2351" s="28" t="s">
        <v>52</v>
      </c>
    </row>
    <row r="2352" spans="1:14" ht="12.75" hidden="1" outlineLevel="1" x14ac:dyDescent="0.2">
      <c r="A2352" s="23" t="str">
        <f t="shared" si="102"/>
        <v>МОУ "ЛИЦЕЙ №1"</v>
      </c>
      <c r="B2352" s="24" t="s">
        <v>3504</v>
      </c>
      <c r="C2352" s="25">
        <v>638412.57999999996</v>
      </c>
      <c r="D2352" s="22" t="s">
        <v>3505</v>
      </c>
      <c r="E2352" s="22" t="s">
        <v>84</v>
      </c>
      <c r="F2352" s="23" t="str">
        <f t="shared" si="103"/>
        <v>Установка системы видеонаблюдения</v>
      </c>
      <c r="G2352" s="22" t="s">
        <v>50</v>
      </c>
      <c r="H2352" s="22" t="s">
        <v>569</v>
      </c>
      <c r="I2352" s="26">
        <v>43704.387291666702</v>
      </c>
      <c r="J2352" s="23" t="str">
        <f>HYPERLINK("https://www.spark-marketing.ru/Card/Person/6399646", "Заика Олег Иванович")</f>
        <v>Заика Олег Иванович</v>
      </c>
      <c r="K2352" s="24" t="s">
        <v>3506</v>
      </c>
      <c r="L2352" s="22" t="s">
        <v>10</v>
      </c>
      <c r="M2352" s="25">
        <v>306358.08</v>
      </c>
      <c r="N2352" s="27">
        <v>0.52012524565227081</v>
      </c>
    </row>
    <row r="2353" spans="1:14" hidden="1" outlineLevel="1" x14ac:dyDescent="0.2">
      <c r="A2353" s="23" t="str">
        <f t="shared" si="102"/>
        <v>МОУ "ЛИЦЕЙ №1"</v>
      </c>
      <c r="B2353" s="24" t="s">
        <v>3504</v>
      </c>
      <c r="C2353" s="25">
        <v>638412.57999999996</v>
      </c>
      <c r="D2353" s="22" t="s">
        <v>3505</v>
      </c>
      <c r="E2353" s="22" t="s">
        <v>84</v>
      </c>
      <c r="F2353" s="23" t="str">
        <f t="shared" si="103"/>
        <v>Установка системы видеонаблюдения</v>
      </c>
      <c r="G2353" s="22" t="s">
        <v>50</v>
      </c>
      <c r="H2353" s="22" t="s">
        <v>569</v>
      </c>
      <c r="I2353" s="26">
        <v>43704.387291666702</v>
      </c>
      <c r="J2353" s="23" t="str">
        <f>HYPERLINK("https://www.spark-marketing.ru/Card/Person/6616867", "ООО ""РАНПРОФПРОЕКТ""")</f>
        <v>ООО "РАНПРОФПРОЕКТ"</v>
      </c>
      <c r="K2353" s="24" t="s">
        <v>2723</v>
      </c>
      <c r="L2353" s="28" t="s">
        <v>52</v>
      </c>
      <c r="M2353" s="25">
        <v>379775.69</v>
      </c>
      <c r="N2353" s="27">
        <v>0.40512498986157197</v>
      </c>
    </row>
    <row r="2354" spans="1:14" hidden="1" outlineLevel="1" x14ac:dyDescent="0.2">
      <c r="A2354" s="23" t="str">
        <f t="shared" si="102"/>
        <v>МОУ "ЛИЦЕЙ №1"</v>
      </c>
      <c r="B2354" s="24" t="s">
        <v>3504</v>
      </c>
      <c r="C2354" s="25">
        <v>638412.57999999996</v>
      </c>
      <c r="D2354" s="22" t="s">
        <v>3505</v>
      </c>
      <c r="E2354" s="22" t="s">
        <v>84</v>
      </c>
      <c r="F2354" s="23" t="str">
        <f t="shared" si="103"/>
        <v>Установка системы видеонаблюдения</v>
      </c>
      <c r="G2354" s="22" t="s">
        <v>50</v>
      </c>
      <c r="H2354" s="22" t="s">
        <v>569</v>
      </c>
      <c r="I2354" s="26">
        <v>43704.387291666702</v>
      </c>
      <c r="J2354" s="23" t="str">
        <f>HYPERLINK("https://www.spark-marketing.ru/Card/Person/6179217", "Морозова Юлия Николаевна")</f>
        <v>Морозова Юлия Николаевна</v>
      </c>
      <c r="K2354" s="24" t="s">
        <v>1059</v>
      </c>
      <c r="L2354" s="28" t="s">
        <v>52</v>
      </c>
      <c r="M2354" s="25">
        <v>632028.43999999994</v>
      </c>
      <c r="N2354" s="27">
        <v>1.0000022242669467E-2</v>
      </c>
    </row>
    <row r="2355" spans="1:14" hidden="1" outlineLevel="1" x14ac:dyDescent="0.2">
      <c r="A2355" s="23" t="str">
        <f t="shared" si="102"/>
        <v>МОУ "ЛИЦЕЙ №1"</v>
      </c>
      <c r="B2355" s="24" t="s">
        <v>3504</v>
      </c>
      <c r="C2355" s="25">
        <v>638412.57999999996</v>
      </c>
      <c r="D2355" s="22" t="s">
        <v>3505</v>
      </c>
      <c r="E2355" s="22" t="s">
        <v>84</v>
      </c>
      <c r="F2355" s="23" t="str">
        <f t="shared" si="103"/>
        <v>Установка системы видеонаблюдения</v>
      </c>
      <c r="G2355" s="22" t="s">
        <v>50</v>
      </c>
      <c r="H2355" s="22" t="s">
        <v>569</v>
      </c>
      <c r="I2355" s="26">
        <v>43704.387291666702</v>
      </c>
      <c r="J2355" s="23" t="str">
        <f>HYPERLINK("https://www.spark-marketing.ru/Card/Person/1635255", "ООО ""АЙ ПИ РЕШЕНИЯ""")</f>
        <v>ООО "АЙ ПИ РЕШЕНИЯ"</v>
      </c>
      <c r="K2355" s="24" t="s">
        <v>3507</v>
      </c>
      <c r="L2355" s="28" t="s">
        <v>52</v>
      </c>
      <c r="M2355" s="25">
        <v>638412.56999999995</v>
      </c>
      <c r="N2355" s="27">
        <v>1.5663851736756189E-8</v>
      </c>
    </row>
    <row r="2356" spans="1:14" hidden="1" outlineLevel="1" x14ac:dyDescent="0.2">
      <c r="A2356" s="23" t="str">
        <f t="shared" si="102"/>
        <v>МОУ "ЛИЦЕЙ №1"</v>
      </c>
      <c r="B2356" s="24" t="s">
        <v>3504</v>
      </c>
      <c r="C2356" s="25">
        <v>638412.57999999996</v>
      </c>
      <c r="D2356" s="22" t="s">
        <v>3505</v>
      </c>
      <c r="E2356" s="22" t="s">
        <v>84</v>
      </c>
      <c r="F2356" s="23" t="str">
        <f t="shared" si="103"/>
        <v>Установка системы видеонаблюдения</v>
      </c>
      <c r="G2356" s="22" t="s">
        <v>50</v>
      </c>
      <c r="H2356" s="22" t="s">
        <v>569</v>
      </c>
      <c r="I2356" s="26">
        <v>43704.387291666702</v>
      </c>
      <c r="J2356" s="23" t="str">
        <f>HYPERLINK("https://www.spark-marketing.ru/Card/Person/4954405", "ООО ""АНГАРЕЙОН-СБ""")</f>
        <v>ООО "АНГАРЕЙОН-СБ"</v>
      </c>
      <c r="K2356" s="24" t="s">
        <v>3508</v>
      </c>
      <c r="L2356" s="28" t="s">
        <v>52</v>
      </c>
      <c r="M2356" s="25">
        <v>309550.15000000002</v>
      </c>
      <c r="N2356" s="27">
        <v>0.51512523453093606</v>
      </c>
    </row>
    <row r="2357" spans="1:14" x14ac:dyDescent="0.15">
      <c r="A2357" s="23" t="str">
        <f>HYPERLINK("https://www.spark-marketing.ru/Card/Person/1056686", "ГБУЗ КК ""ПЕНЖИНСКАЯ РБ""")</f>
        <v>ГБУЗ КК "ПЕНЖИНСКАЯ РБ"</v>
      </c>
      <c r="B2357" s="24" t="s">
        <v>3509</v>
      </c>
      <c r="C2357" s="25">
        <v>469329.5</v>
      </c>
      <c r="D2357" s="22" t="s">
        <v>3510</v>
      </c>
      <c r="E2357" s="22" t="s">
        <v>84</v>
      </c>
      <c r="F2357" s="23" t="str">
        <f>HYPERLINK("https://www.spark-marketing.ru/Card/Lot/73037376", "Выполнение работ по установке систем внутренней и внешней охраны (систем видеонаблюдения)")</f>
        <v>Выполнение работ по установке систем внутренней и внешней охраны (систем видеонаблюдения)</v>
      </c>
      <c r="G2357" s="22" t="s">
        <v>3511</v>
      </c>
      <c r="H2357" s="22" t="s">
        <v>3512</v>
      </c>
      <c r="I2357" s="26">
        <v>43704.447789351798</v>
      </c>
      <c r="J2357" s="28" t="s">
        <v>52</v>
      </c>
      <c r="K2357" s="28" t="s">
        <v>52</v>
      </c>
      <c r="L2357" s="28" t="s">
        <v>52</v>
      </c>
      <c r="M2357" s="28" t="s">
        <v>52</v>
      </c>
      <c r="N2357" s="28" t="s">
        <v>52</v>
      </c>
    </row>
    <row r="2358" spans="1:14" x14ac:dyDescent="0.15">
      <c r="A2358" s="23" t="str">
        <f>HYPERLINK("https://www.spark-marketing.ru/Card/Person/29268", "ФКУ УПРДОР ""СЕВЕРО-ЗАПАД""")</f>
        <v>ФКУ УПРДОР "СЕВЕРО-ЗАПАД"</v>
      </c>
      <c r="B2358" s="24" t="s">
        <v>3513</v>
      </c>
      <c r="C2358" s="25">
        <v>384910196</v>
      </c>
      <c r="D2358" s="22" t="s">
        <v>3514</v>
      </c>
      <c r="E2358" s="22" t="s">
        <v>842</v>
      </c>
      <c r="F2358" s="23" t="str">
        <f>HYPERLINK("https://www.spark-marketing.ru/Card/Lot/73046871", "Лот № 113: Выполнение работ по содержанию действующей сети автомобильных дорог общего пользования федерального значения в 2019 - 2021 гг.: ""Установка противоослепляющих экранов""; ""Установка светофорных объектов на пересечениях и примыканиях дорог,...")</f>
        <v>Лот № 113: Выполнение работ по содержанию действующей сети автомобильных дорог общего пользования федерального значения в 2019 - 2021 гг.: "Установка противоослепляющих экранов"; "Установка светофорных объектов на пересечениях и примыканиях дорог,...</v>
      </c>
      <c r="G2358" s="22" t="s">
        <v>861</v>
      </c>
      <c r="H2358" s="22" t="s">
        <v>861</v>
      </c>
      <c r="I2358" s="26">
        <v>43703.6394560185</v>
      </c>
      <c r="J2358" s="23" t="str">
        <f>HYPERLINK("https://www.spark-marketing.ru/Card/Person/48920", "ООО ""ЗНАК-ТРЕЙД СПБ""")</f>
        <v>ООО "ЗНАК-ТРЕЙД СПБ"</v>
      </c>
      <c r="K2358" s="24" t="s">
        <v>3515</v>
      </c>
      <c r="L2358" s="28" t="s">
        <v>52</v>
      </c>
      <c r="M2358" s="28" t="s">
        <v>52</v>
      </c>
      <c r="N2358" s="28" t="s">
        <v>52</v>
      </c>
    </row>
    <row r="2359" spans="1:14" hidden="1" outlineLevel="1" x14ac:dyDescent="0.15">
      <c r="A2359" s="23" t="str">
        <f>HYPERLINK("https://www.spark-marketing.ru/Card/Person/29268", "ФКУ УПРДОР ""СЕВЕРО-ЗАПАД""")</f>
        <v>ФКУ УПРДОР "СЕВЕРО-ЗАПАД"</v>
      </c>
      <c r="B2359" s="24" t="s">
        <v>3513</v>
      </c>
      <c r="C2359" s="25">
        <v>384910196</v>
      </c>
      <c r="D2359" s="22" t="s">
        <v>3514</v>
      </c>
      <c r="E2359" s="22" t="s">
        <v>842</v>
      </c>
      <c r="F2359" s="23" t="str">
        <f>HYPERLINK("https://www.spark-marketing.ru/Card/Lot/73046871", "Лот № 113: Выполнение работ по содержанию действующей сети автомобильных дорог общего пользования федерального значения в 2019 - 2021 гг.: ""Установка противоослепляющих экранов""; ""Установка светофорных объектов на пересечениях и примыканиях дорог,...")</f>
        <v>Лот № 113: Выполнение работ по содержанию действующей сети автомобильных дорог общего пользования федерального значения в 2019 - 2021 гг.: "Установка противоослепляющих экранов"; "Установка светофорных объектов на пересечениях и примыканиях дорог,...</v>
      </c>
      <c r="G2359" s="22" t="s">
        <v>861</v>
      </c>
      <c r="H2359" s="22" t="s">
        <v>861</v>
      </c>
      <c r="I2359" s="26">
        <v>43703.6394560185</v>
      </c>
      <c r="J2359" s="23" t="str">
        <f>HYPERLINK("https://www.spark-marketing.ru/Card/Person/48920", "ООО ""ЗНАК-ТРЕЙД СПБ""")</f>
        <v>ООО "ЗНАК-ТРЕЙД СПБ"</v>
      </c>
      <c r="K2359" s="24" t="s">
        <v>3515</v>
      </c>
      <c r="L2359" s="22" t="s">
        <v>10</v>
      </c>
      <c r="M2359" s="28" t="s">
        <v>52</v>
      </c>
      <c r="N2359" s="28" t="s">
        <v>52</v>
      </c>
    </row>
    <row r="2360" spans="1:14" x14ac:dyDescent="0.15">
      <c r="A2360" s="23" t="str">
        <f>HYPERLINK("https://www.spark-marketing.ru/Card/Person/7636", "ГДСП")</f>
        <v>ГДСП</v>
      </c>
      <c r="B2360" s="24" t="s">
        <v>3516</v>
      </c>
      <c r="C2360" s="25">
        <v>124936</v>
      </c>
      <c r="D2360" s="22" t="s">
        <v>3517</v>
      </c>
      <c r="E2360" s="22" t="s">
        <v>208</v>
      </c>
      <c r="F2360" s="23" t="str">
        <f>HYPERLINK("https://www.spark-marketing.ru/Card/Lot/73049812", "Поставка и выполнение работ по установке оборудования системы охранной сигнализации")</f>
        <v>Поставка и выполнение работ по установке оборудования системы охранной сигнализации</v>
      </c>
      <c r="G2360" s="22" t="s">
        <v>247</v>
      </c>
      <c r="H2360" s="22" t="s">
        <v>576</v>
      </c>
      <c r="I2360" s="26">
        <v>43703.741932870398</v>
      </c>
      <c r="J2360" s="23" t="str">
        <f>HYPERLINK("https://www.spark-marketing.ru/Card/Person/70910", "ООО ""ЧОО ""ЯГУАР БЛЭК""")</f>
        <v>ООО "ЧОО "ЯГУАР БЛЭК"</v>
      </c>
      <c r="K2360" s="24" t="s">
        <v>3518</v>
      </c>
      <c r="L2360" s="28" t="s">
        <v>52</v>
      </c>
      <c r="M2360" s="28" t="s">
        <v>52</v>
      </c>
      <c r="N2360" s="28" t="s">
        <v>52</v>
      </c>
    </row>
    <row r="2361" spans="1:14" hidden="1" outlineLevel="1" x14ac:dyDescent="0.15">
      <c r="A2361" s="23" t="str">
        <f>HYPERLINK("https://www.spark-marketing.ru/Card/Person/7636", "ГДСП")</f>
        <v>ГДСП</v>
      </c>
      <c r="B2361" s="24" t="s">
        <v>3516</v>
      </c>
      <c r="C2361" s="25">
        <v>124936</v>
      </c>
      <c r="D2361" s="22" t="s">
        <v>3517</v>
      </c>
      <c r="E2361" s="22" t="s">
        <v>208</v>
      </c>
      <c r="F2361" s="23" t="str">
        <f>HYPERLINK("https://www.spark-marketing.ru/Card/Lot/73049812", "Поставка и выполнение работ по установке оборудования системы охранной сигнализации")</f>
        <v>Поставка и выполнение работ по установке оборудования системы охранной сигнализации</v>
      </c>
      <c r="G2361" s="22" t="s">
        <v>247</v>
      </c>
      <c r="H2361" s="22" t="s">
        <v>576</v>
      </c>
      <c r="I2361" s="26">
        <v>43703.741932870398</v>
      </c>
      <c r="J2361" s="23" t="str">
        <f>HYPERLINK("https://www.spark-marketing.ru/Card/Person/70910", "ООО ""ЧОО ""ЯГУАР БЛЭК""")</f>
        <v>ООО "ЧОО "ЯГУАР БЛЭК"</v>
      </c>
      <c r="K2361" s="24" t="s">
        <v>3518</v>
      </c>
      <c r="L2361" s="22" t="s">
        <v>10</v>
      </c>
      <c r="M2361" s="28" t="s">
        <v>52</v>
      </c>
      <c r="N2361" s="28" t="s">
        <v>52</v>
      </c>
    </row>
    <row r="2362" spans="1:14" x14ac:dyDescent="0.15">
      <c r="A2362" s="23" t="str">
        <f>HYPERLINK("https://www.spark-marketing.ru/Card/Person/4989", "ОМВД РОССИИ ПО АЛТАЙСКОМУ РАЙОНУ")</f>
        <v>ОМВД РОССИИ ПО АЛТАЙСКОМУ РАЙОНУ</v>
      </c>
      <c r="B2362" s="24" t="s">
        <v>3101</v>
      </c>
      <c r="C2362" s="25">
        <v>62400</v>
      </c>
      <c r="D2362" s="22" t="s">
        <v>3519</v>
      </c>
      <c r="E2362" s="22" t="s">
        <v>107</v>
      </c>
      <c r="F2362" s="23" t="str">
        <f>HYPERLINK("https://www.spark-marketing.ru/Card/Lot/73044942", "Техническое обслуживание средств ОС, ОПС, ТС, видеонаблюдения и СКУД, 1 шт")</f>
        <v>Техническое обслуживание средств ОС, ОПС, ТС, видеонаблюдения и СКУД, 1 шт</v>
      </c>
      <c r="G2362" s="22" t="s">
        <v>1041</v>
      </c>
      <c r="H2362" s="22" t="s">
        <v>3520</v>
      </c>
      <c r="I2362" s="26">
        <v>43704.443761574097</v>
      </c>
      <c r="J2362" s="28" t="s">
        <v>52</v>
      </c>
      <c r="K2362" s="28" t="s">
        <v>52</v>
      </c>
      <c r="L2362" s="28" t="s">
        <v>52</v>
      </c>
      <c r="M2362" s="28" t="s">
        <v>52</v>
      </c>
      <c r="N2362" s="28" t="s">
        <v>52</v>
      </c>
    </row>
    <row r="2363" spans="1:14" x14ac:dyDescent="0.15">
      <c r="A2363" s="23" t="str">
        <f>HYPERLINK("https://www.spark-marketing.ru/Card/Person/25654", "ГБУ СО ""СОЦИ""")</f>
        <v>ГБУ СО "СОЦИ"</v>
      </c>
      <c r="B2363" s="24" t="s">
        <v>3521</v>
      </c>
      <c r="C2363" s="25">
        <v>43344039</v>
      </c>
      <c r="D2363" s="22" t="s">
        <v>3522</v>
      </c>
      <c r="E2363" s="22" t="s">
        <v>2623</v>
      </c>
      <c r="F2363" s="23" t="str">
        <f>HYPERLINK("https://www.spark-marketing.ru/Card/Lot/72830030", "Установка комплексов фото-, видеофиксации нарушений ПДД")</f>
        <v>Установка комплексов фото-, видеофиксации нарушений ПДД</v>
      </c>
      <c r="G2363" s="22" t="s">
        <v>69</v>
      </c>
      <c r="H2363" s="22" t="s">
        <v>973</v>
      </c>
      <c r="I2363" s="26">
        <v>43693.673611111102</v>
      </c>
      <c r="J2363" s="28" t="s">
        <v>52</v>
      </c>
      <c r="K2363" s="28" t="s">
        <v>52</v>
      </c>
      <c r="L2363" s="28" t="s">
        <v>52</v>
      </c>
      <c r="M2363" s="28" t="s">
        <v>52</v>
      </c>
      <c r="N2363" s="28" t="s">
        <v>52</v>
      </c>
    </row>
    <row r="2364" spans="1:14" hidden="1" outlineLevel="1" x14ac:dyDescent="0.2">
      <c r="A2364" s="23" t="str">
        <f>HYPERLINK("https://www.spark-marketing.ru/Card/Person/25654", "ГБУ СО ""СОЦИ""")</f>
        <v>ГБУ СО "СОЦИ"</v>
      </c>
      <c r="B2364" s="24" t="s">
        <v>3521</v>
      </c>
      <c r="C2364" s="25">
        <v>43344039</v>
      </c>
      <c r="D2364" s="22" t="s">
        <v>3522</v>
      </c>
      <c r="E2364" s="22" t="s">
        <v>2623</v>
      </c>
      <c r="F2364" s="23" t="str">
        <f>HYPERLINK("https://www.spark-marketing.ru/Card/Lot/72830030", "Установка комплексов фото-, видеофиксации нарушений ПДД")</f>
        <v>Установка комплексов фото-, видеофиксации нарушений ПДД</v>
      </c>
      <c r="G2364" s="22" t="s">
        <v>69</v>
      </c>
      <c r="H2364" s="22" t="s">
        <v>973</v>
      </c>
      <c r="I2364" s="26">
        <v>43693.673611111102</v>
      </c>
      <c r="J2364" s="23" t="str">
        <f>HYPERLINK("https://www.spark-marketing.ru/Card/Person/43334", "ООО ""КРИЛЬОН-СЕРВИС""")</f>
        <v>ООО "КРИЛЬОН-СЕРВИС"</v>
      </c>
      <c r="K2364" s="24" t="s">
        <v>3523</v>
      </c>
      <c r="L2364" s="28" t="s">
        <v>52</v>
      </c>
      <c r="M2364" s="25">
        <v>43340000</v>
      </c>
      <c r="N2364" s="27">
        <v>9.3184670676399123E-5</v>
      </c>
    </row>
    <row r="2365" spans="1:14" ht="12.75" hidden="1" outlineLevel="1" x14ac:dyDescent="0.2">
      <c r="A2365" s="23" t="str">
        <f>HYPERLINK("https://www.spark-marketing.ru/Card/Person/25654", "ГБУ СО ""СОЦИ""")</f>
        <v>ГБУ СО "СОЦИ"</v>
      </c>
      <c r="B2365" s="24" t="s">
        <v>3521</v>
      </c>
      <c r="C2365" s="25">
        <v>43344039</v>
      </c>
      <c r="D2365" s="22" t="s">
        <v>3522</v>
      </c>
      <c r="E2365" s="22" t="s">
        <v>2623</v>
      </c>
      <c r="F2365" s="23" t="str">
        <f>HYPERLINK("https://www.spark-marketing.ru/Card/Lot/72830030", "Установка комплексов фото-, видеофиксации нарушений ПДД")</f>
        <v>Установка комплексов фото-, видеофиксации нарушений ПДД</v>
      </c>
      <c r="G2365" s="22" t="s">
        <v>69</v>
      </c>
      <c r="H2365" s="22" t="s">
        <v>973</v>
      </c>
      <c r="I2365" s="26">
        <v>43693.673611111102</v>
      </c>
      <c r="J2365" s="23" t="str">
        <f>HYPERLINK("https://www.spark-marketing.ru/Card/Person/10991", "ПАО ""РОСТЕЛЕКОМ""")</f>
        <v>ПАО "РОСТЕЛЕКОМ"</v>
      </c>
      <c r="K2365" s="24" t="s">
        <v>607</v>
      </c>
      <c r="L2365" s="22" t="s">
        <v>10</v>
      </c>
      <c r="M2365" s="25">
        <v>43335000</v>
      </c>
      <c r="N2365" s="27">
        <v>2.0854078688882686E-4</v>
      </c>
    </row>
    <row r="2366" spans="1:14" x14ac:dyDescent="0.15">
      <c r="A2366" s="23" t="str">
        <f>HYPERLINK("https://www.spark-marketing.ru/Card/Person/65554", "ГБПОУ МО ""УОР № 5""")</f>
        <v>ГБПОУ МО "УОР № 5"</v>
      </c>
      <c r="B2366" s="24" t="s">
        <v>3524</v>
      </c>
      <c r="C2366" s="25">
        <v>1305990</v>
      </c>
      <c r="D2366" s="22" t="s">
        <v>3525</v>
      </c>
      <c r="E2366" s="22" t="s">
        <v>84</v>
      </c>
      <c r="F2366" s="23" t="str">
        <f>HYPERLINK("https://www.spark-marketing.ru/Card/Lot/73045027", "Выполнение работ по установке систем видеонаблюдения")</f>
        <v>Выполнение работ по установке систем видеонаблюдения</v>
      </c>
      <c r="G2366" s="22" t="s">
        <v>50</v>
      </c>
      <c r="H2366" s="22" t="s">
        <v>3526</v>
      </c>
      <c r="I2366" s="26">
        <v>43703.485740740703</v>
      </c>
      <c r="J2366" s="28" t="s">
        <v>52</v>
      </c>
      <c r="K2366" s="28" t="s">
        <v>52</v>
      </c>
      <c r="L2366" s="28" t="s">
        <v>52</v>
      </c>
      <c r="M2366" s="28" t="s">
        <v>52</v>
      </c>
      <c r="N2366" s="28" t="s">
        <v>52</v>
      </c>
    </row>
    <row r="2367" spans="1:14" ht="12.75" hidden="1" outlineLevel="1" x14ac:dyDescent="0.2">
      <c r="A2367" s="23" t="str">
        <f>HYPERLINK("https://www.spark-marketing.ru/Card/Person/65554", "ГБПОУ МО ""УОР № 5""")</f>
        <v>ГБПОУ МО "УОР № 5"</v>
      </c>
      <c r="B2367" s="24" t="s">
        <v>3524</v>
      </c>
      <c r="C2367" s="25">
        <v>1305990</v>
      </c>
      <c r="D2367" s="22" t="s">
        <v>3525</v>
      </c>
      <c r="E2367" s="22" t="s">
        <v>84</v>
      </c>
      <c r="F2367" s="23" t="str">
        <f>HYPERLINK("https://www.spark-marketing.ru/Card/Lot/73045027", "Выполнение работ по установке систем видеонаблюдения")</f>
        <v>Выполнение работ по установке систем видеонаблюдения</v>
      </c>
      <c r="G2367" s="22" t="s">
        <v>50</v>
      </c>
      <c r="H2367" s="22" t="s">
        <v>3526</v>
      </c>
      <c r="I2367" s="26">
        <v>43703.485740740703</v>
      </c>
      <c r="J2367" s="23" t="str">
        <f>HYPERLINK("https://www.spark-marketing.ru/Card/Person/6697172", "Моргунов Павел Алексеевич")</f>
        <v>Моргунов Павел Алексеевич</v>
      </c>
      <c r="K2367" s="24" t="s">
        <v>3527</v>
      </c>
      <c r="L2367" s="22" t="s">
        <v>10</v>
      </c>
      <c r="M2367" s="25">
        <v>859073.15</v>
      </c>
      <c r="N2367" s="27">
        <v>0.34220541504911983</v>
      </c>
    </row>
    <row r="2368" spans="1:14" hidden="1" outlineLevel="1" x14ac:dyDescent="0.2">
      <c r="A2368" s="23" t="str">
        <f>HYPERLINK("https://www.spark-marketing.ru/Card/Person/65554", "ГБПОУ МО ""УОР № 5""")</f>
        <v>ГБПОУ МО "УОР № 5"</v>
      </c>
      <c r="B2368" s="24" t="s">
        <v>3524</v>
      </c>
      <c r="C2368" s="25">
        <v>1305990</v>
      </c>
      <c r="D2368" s="22" t="s">
        <v>3525</v>
      </c>
      <c r="E2368" s="22" t="s">
        <v>84</v>
      </c>
      <c r="F2368" s="23" t="str">
        <f>HYPERLINK("https://www.spark-marketing.ru/Card/Lot/73045027", "Выполнение работ по установке систем видеонаблюдения")</f>
        <v>Выполнение работ по установке систем видеонаблюдения</v>
      </c>
      <c r="G2368" s="22" t="s">
        <v>50</v>
      </c>
      <c r="H2368" s="22" t="s">
        <v>3526</v>
      </c>
      <c r="I2368" s="26">
        <v>43703.485740740703</v>
      </c>
      <c r="J2368" s="23" t="str">
        <f>HYPERLINK("https://www.spark-marketing.ru/Card/Person/1341499", "ООО ""ПВОНЕТ""")</f>
        <v>ООО "ПВОНЕТ"</v>
      </c>
      <c r="K2368" s="24" t="s">
        <v>3528</v>
      </c>
      <c r="L2368" s="28" t="s">
        <v>52</v>
      </c>
      <c r="M2368" s="25">
        <v>1292930.05</v>
      </c>
      <c r="N2368" s="27">
        <v>1.0000038285132351E-2</v>
      </c>
    </row>
    <row r="2369" spans="1:14" hidden="1" outlineLevel="1" x14ac:dyDescent="0.2">
      <c r="A2369" s="23" t="str">
        <f>HYPERLINK("https://www.spark-marketing.ru/Card/Person/65554", "ГБПОУ МО ""УОР № 5""")</f>
        <v>ГБПОУ МО "УОР № 5"</v>
      </c>
      <c r="B2369" s="24" t="s">
        <v>3524</v>
      </c>
      <c r="C2369" s="25">
        <v>1305990</v>
      </c>
      <c r="D2369" s="22" t="s">
        <v>3525</v>
      </c>
      <c r="E2369" s="22" t="s">
        <v>84</v>
      </c>
      <c r="F2369" s="23" t="str">
        <f>HYPERLINK("https://www.spark-marketing.ru/Card/Lot/73045027", "Выполнение работ по установке систем видеонаблюдения")</f>
        <v>Выполнение работ по установке систем видеонаблюдения</v>
      </c>
      <c r="G2369" s="22" t="s">
        <v>50</v>
      </c>
      <c r="H2369" s="22" t="s">
        <v>3526</v>
      </c>
      <c r="I2369" s="26">
        <v>43703.485740740703</v>
      </c>
      <c r="J2369" s="23" t="str">
        <f>HYPERLINK("https://www.spark-marketing.ru/Card/Person/5939022", "ООО ""КАЛИБР СБ""")</f>
        <v>ООО "КАЛИБР СБ"</v>
      </c>
      <c r="K2369" s="24" t="s">
        <v>3529</v>
      </c>
      <c r="L2369" s="28" t="s">
        <v>52</v>
      </c>
      <c r="M2369" s="25">
        <v>924372.65</v>
      </c>
      <c r="N2369" s="27">
        <v>0.29220541504911984</v>
      </c>
    </row>
    <row r="2370" spans="1:14" x14ac:dyDescent="0.15">
      <c r="A2370" s="23" t="str">
        <f t="shared" ref="A2370:A2379" si="104">HYPERLINK("https://www.spark-marketing.ru/Card/Person/9465", "МОСКОВСКИЙ ГОСУДАРСТВЕННЫЙ ОБЪЕДИНЕННЫЙ МУЗЕЙ-ЗАПОВЕДНИК, МГОМЗ")</f>
        <v>МОСКОВСКИЙ ГОСУДАРСТВЕННЫЙ ОБЪЕДИНЕННЫЙ МУЗЕЙ-ЗАПОВЕДНИК, МГОМЗ</v>
      </c>
      <c r="B2370" s="24" t="s">
        <v>3530</v>
      </c>
      <c r="C2370" s="25">
        <v>3039515.68</v>
      </c>
      <c r="D2370" s="22" t="s">
        <v>3531</v>
      </c>
      <c r="E2370" s="22" t="s">
        <v>746</v>
      </c>
      <c r="F2370" s="23" t="str">
        <f t="shared" ref="F2370:F2379" si="105">HYPERLINK("https://www.spark-marketing.ru/Card/Lot/73042443", "Выполнение комплекса санитарно-противоэпидемиологических (профилактических) мероприятий по санитарной охране территорий и объектов МГОМЗ в 2020 году")</f>
        <v>Выполнение комплекса санитарно-противоэпидемиологических (профилактических) мероприятий по санитарной охране территорий и объектов МГОМЗ в 2020 году</v>
      </c>
      <c r="G2370" s="22" t="s">
        <v>55</v>
      </c>
      <c r="H2370" s="22" t="s">
        <v>55</v>
      </c>
      <c r="I2370" s="26">
        <v>43704.350729166697</v>
      </c>
      <c r="J2370" s="28" t="s">
        <v>52</v>
      </c>
      <c r="K2370" s="28" t="s">
        <v>52</v>
      </c>
      <c r="L2370" s="28" t="s">
        <v>52</v>
      </c>
      <c r="M2370" s="28" t="s">
        <v>52</v>
      </c>
      <c r="N2370" s="28" t="s">
        <v>52</v>
      </c>
    </row>
    <row r="2371" spans="1:14" hidden="1" outlineLevel="1" x14ac:dyDescent="0.2">
      <c r="A2371" s="23" t="str">
        <f t="shared" si="104"/>
        <v>МОСКОВСКИЙ ГОСУДАРСТВЕННЫЙ ОБЪЕДИНЕННЫЙ МУЗЕЙ-ЗАПОВЕДНИК, МГОМЗ</v>
      </c>
      <c r="B2371" s="24" t="s">
        <v>3530</v>
      </c>
      <c r="C2371" s="25">
        <v>3039515.68</v>
      </c>
      <c r="D2371" s="22" t="s">
        <v>3531</v>
      </c>
      <c r="E2371" s="22" t="s">
        <v>746</v>
      </c>
      <c r="F2371" s="23" t="str">
        <f t="shared" si="105"/>
        <v>Выполнение комплекса санитарно-противоэпидемиологических (профилактических) мероприятий по санитарной охране территорий и объектов МГОМЗ в 2020 году</v>
      </c>
      <c r="G2371" s="22" t="s">
        <v>55</v>
      </c>
      <c r="H2371" s="22" t="s">
        <v>55</v>
      </c>
      <c r="I2371" s="26">
        <v>43704.350729166697</v>
      </c>
      <c r="J2371" s="23" t="str">
        <f>HYPERLINK("https://www.spark-marketing.ru/Card/Person/49277", "ГУП МГЦД")</f>
        <v>ГУП МГЦД</v>
      </c>
      <c r="K2371" s="24" t="s">
        <v>3532</v>
      </c>
      <c r="L2371" s="28" t="s">
        <v>52</v>
      </c>
      <c r="M2371" s="25">
        <v>1504560.24</v>
      </c>
      <c r="N2371" s="27">
        <v>0.50500000710639537</v>
      </c>
    </row>
    <row r="2372" spans="1:14" hidden="1" outlineLevel="1" x14ac:dyDescent="0.2">
      <c r="A2372" s="23" t="str">
        <f t="shared" si="104"/>
        <v>МОСКОВСКИЙ ГОСУДАРСТВЕННЫЙ ОБЪЕДИНЕННЫЙ МУЗЕЙ-ЗАПОВЕДНИК, МГОМЗ</v>
      </c>
      <c r="B2372" s="24" t="s">
        <v>3530</v>
      </c>
      <c r="C2372" s="25">
        <v>3039515.68</v>
      </c>
      <c r="D2372" s="22" t="s">
        <v>3531</v>
      </c>
      <c r="E2372" s="22" t="s">
        <v>746</v>
      </c>
      <c r="F2372" s="23" t="str">
        <f t="shared" si="105"/>
        <v>Выполнение комплекса санитарно-противоэпидемиологических (профилактических) мероприятий по санитарной охране территорий и объектов МГОМЗ в 2020 году</v>
      </c>
      <c r="G2372" s="22" t="s">
        <v>55</v>
      </c>
      <c r="H2372" s="22" t="s">
        <v>55</v>
      </c>
      <c r="I2372" s="26">
        <v>43704.350729166697</v>
      </c>
      <c r="J2372" s="23" t="str">
        <f>HYPERLINK("https://www.spark-marketing.ru/Card/Person/6246552", "Шаронов Валерий Анатольевич")</f>
        <v>Шаронов Валерий Анатольевич</v>
      </c>
      <c r="K2372" s="24" t="s">
        <v>3533</v>
      </c>
      <c r="L2372" s="28" t="s">
        <v>52</v>
      </c>
      <c r="M2372" s="25">
        <v>1500000</v>
      </c>
      <c r="N2372" s="27">
        <v>0.50650032507810583</v>
      </c>
    </row>
    <row r="2373" spans="1:14" hidden="1" outlineLevel="1" x14ac:dyDescent="0.2">
      <c r="A2373" s="23" t="str">
        <f t="shared" si="104"/>
        <v>МОСКОВСКИЙ ГОСУДАРСТВЕННЫЙ ОБЪЕДИНЕННЫЙ МУЗЕЙ-ЗАПОВЕДНИК, МГОМЗ</v>
      </c>
      <c r="B2373" s="24" t="s">
        <v>3530</v>
      </c>
      <c r="C2373" s="25">
        <v>3039515.68</v>
      </c>
      <c r="D2373" s="22" t="s">
        <v>3531</v>
      </c>
      <c r="E2373" s="22" t="s">
        <v>746</v>
      </c>
      <c r="F2373" s="23" t="str">
        <f t="shared" si="105"/>
        <v>Выполнение комплекса санитарно-противоэпидемиологических (профилактических) мероприятий по санитарной охране территорий и объектов МГОМЗ в 2020 году</v>
      </c>
      <c r="G2373" s="22" t="s">
        <v>55</v>
      </c>
      <c r="H2373" s="22" t="s">
        <v>55</v>
      </c>
      <c r="I2373" s="26">
        <v>43704.350729166697</v>
      </c>
      <c r="J2373" s="23" t="str">
        <f>HYPERLINK("https://www.spark-marketing.ru/Card/Person/370012", "ООО ""ССОО""")</f>
        <v>ООО "ССОО"</v>
      </c>
      <c r="K2373" s="24" t="s">
        <v>3534</v>
      </c>
      <c r="L2373" s="28" t="s">
        <v>52</v>
      </c>
      <c r="M2373" s="25">
        <v>726899.24</v>
      </c>
      <c r="N2373" s="27">
        <v>0.76085030757268535</v>
      </c>
    </row>
    <row r="2374" spans="1:14" hidden="1" outlineLevel="1" x14ac:dyDescent="0.2">
      <c r="A2374" s="23" t="str">
        <f t="shared" si="104"/>
        <v>МОСКОВСКИЙ ГОСУДАРСТВЕННЫЙ ОБЪЕДИНЕННЫЙ МУЗЕЙ-ЗАПОВЕДНИК, МГОМЗ</v>
      </c>
      <c r="B2374" s="24" t="s">
        <v>3530</v>
      </c>
      <c r="C2374" s="25">
        <v>3039515.68</v>
      </c>
      <c r="D2374" s="22" t="s">
        <v>3531</v>
      </c>
      <c r="E2374" s="22" t="s">
        <v>746</v>
      </c>
      <c r="F2374" s="23" t="str">
        <f t="shared" si="105"/>
        <v>Выполнение комплекса санитарно-противоэпидемиологических (профилактических) мероприятий по санитарной охране территорий и объектов МГОМЗ в 2020 году</v>
      </c>
      <c r="G2374" s="22" t="s">
        <v>55</v>
      </c>
      <c r="H2374" s="22" t="s">
        <v>55</v>
      </c>
      <c r="I2374" s="26">
        <v>43704.350729166697</v>
      </c>
      <c r="J2374" s="23" t="str">
        <f>HYPERLINK("https://www.spark-marketing.ru/Card/Person/6454950", "ООО ""КОМПАНИЯ ""ТРИОДА""")</f>
        <v>ООО "КОМПАНИЯ "ТРИОДА"</v>
      </c>
      <c r="K2374" s="24" t="s">
        <v>3535</v>
      </c>
      <c r="L2374" s="28" t="s">
        <v>52</v>
      </c>
      <c r="M2374" s="25">
        <v>1945290.04</v>
      </c>
      <c r="N2374" s="27">
        <v>0.35999999842080105</v>
      </c>
    </row>
    <row r="2375" spans="1:14" hidden="1" outlineLevel="1" x14ac:dyDescent="0.2">
      <c r="A2375" s="23" t="str">
        <f t="shared" si="104"/>
        <v>МОСКОВСКИЙ ГОСУДАРСТВЕННЫЙ ОБЪЕДИНЕННЫЙ МУЗЕЙ-ЗАПОВЕДНИК, МГОМЗ</v>
      </c>
      <c r="B2375" s="24" t="s">
        <v>3530</v>
      </c>
      <c r="C2375" s="25">
        <v>3039515.68</v>
      </c>
      <c r="D2375" s="22" t="s">
        <v>3531</v>
      </c>
      <c r="E2375" s="22" t="s">
        <v>746</v>
      </c>
      <c r="F2375" s="23" t="str">
        <f t="shared" si="105"/>
        <v>Выполнение комплекса санитарно-противоэпидемиологических (профилактических) мероприятий по санитарной охране территорий и объектов МГОМЗ в 2020 году</v>
      </c>
      <c r="G2375" s="22" t="s">
        <v>55</v>
      </c>
      <c r="H2375" s="22" t="s">
        <v>55</v>
      </c>
      <c r="I2375" s="26">
        <v>43704.350729166697</v>
      </c>
      <c r="J2375" s="23" t="str">
        <f>HYPERLINK("https://www.spark-marketing.ru/Card/Person/6068551", "Квасюк Юлия Евгеньевна")</f>
        <v>Квасюк Юлия Евгеньевна</v>
      </c>
      <c r="K2375" s="24" t="s">
        <v>3536</v>
      </c>
      <c r="L2375" s="28" t="s">
        <v>52</v>
      </c>
      <c r="M2375" s="25">
        <v>1350000</v>
      </c>
      <c r="N2375" s="27">
        <v>0.55585029257029528</v>
      </c>
    </row>
    <row r="2376" spans="1:14" hidden="1" outlineLevel="1" x14ac:dyDescent="0.2">
      <c r="A2376" s="23" t="str">
        <f t="shared" si="104"/>
        <v>МОСКОВСКИЙ ГОСУДАРСТВЕННЫЙ ОБЪЕДИНЕННЫЙ МУЗЕЙ-ЗАПОВЕДНИК, МГОМЗ</v>
      </c>
      <c r="B2376" s="24" t="s">
        <v>3530</v>
      </c>
      <c r="C2376" s="25">
        <v>3039515.68</v>
      </c>
      <c r="D2376" s="22" t="s">
        <v>3531</v>
      </c>
      <c r="E2376" s="22" t="s">
        <v>746</v>
      </c>
      <c r="F2376" s="23" t="str">
        <f t="shared" si="105"/>
        <v>Выполнение комплекса санитарно-противоэпидемиологических (профилактических) мероприятий по санитарной охране территорий и объектов МГОМЗ в 2020 году</v>
      </c>
      <c r="G2376" s="22" t="s">
        <v>55</v>
      </c>
      <c r="H2376" s="22" t="s">
        <v>55</v>
      </c>
      <c r="I2376" s="26">
        <v>43704.350729166697</v>
      </c>
      <c r="J2376" s="23" t="str">
        <f>HYPERLINK("https://www.spark-marketing.ru/Card/Person/674798", "ООО НПЦ ""РОДЕМОС""")</f>
        <v>ООО НПЦ "РОДЕМОС"</v>
      </c>
      <c r="K2376" s="24" t="s">
        <v>3537</v>
      </c>
      <c r="L2376" s="28" t="s">
        <v>52</v>
      </c>
      <c r="M2376" s="25">
        <v>802887.14</v>
      </c>
      <c r="N2376" s="27">
        <v>0.73585030494068715</v>
      </c>
    </row>
    <row r="2377" spans="1:14" hidden="1" outlineLevel="1" x14ac:dyDescent="0.2">
      <c r="A2377" s="23" t="str">
        <f t="shared" si="104"/>
        <v>МОСКОВСКИЙ ГОСУДАРСТВЕННЫЙ ОБЪЕДИНЕННЫЙ МУЗЕЙ-ЗАПОВЕДНИК, МГОМЗ</v>
      </c>
      <c r="B2377" s="24" t="s">
        <v>3530</v>
      </c>
      <c r="C2377" s="25">
        <v>3039515.68</v>
      </c>
      <c r="D2377" s="22" t="s">
        <v>3531</v>
      </c>
      <c r="E2377" s="22" t="s">
        <v>746</v>
      </c>
      <c r="F2377" s="23" t="str">
        <f t="shared" si="105"/>
        <v>Выполнение комплекса санитарно-противоэпидемиологических (профилактических) мероприятий по санитарной охране территорий и объектов МГОМЗ в 2020 году</v>
      </c>
      <c r="G2377" s="22" t="s">
        <v>55</v>
      </c>
      <c r="H2377" s="22" t="s">
        <v>55</v>
      </c>
      <c r="I2377" s="26">
        <v>43704.350729166697</v>
      </c>
      <c r="J2377" s="23" t="str">
        <f>HYPERLINK("https://www.spark-marketing.ru/Card/Person/6676406", "ПК ""ПЕРЕДОВИК""")</f>
        <v>ПК "ПЕРЕДОВИК"</v>
      </c>
      <c r="K2377" s="24" t="s">
        <v>3538</v>
      </c>
      <c r="L2377" s="28" t="s">
        <v>52</v>
      </c>
      <c r="M2377" s="25">
        <v>2948330.2</v>
      </c>
      <c r="N2377" s="27">
        <v>3.0000003158397921E-2</v>
      </c>
    </row>
    <row r="2378" spans="1:14" hidden="1" outlineLevel="1" x14ac:dyDescent="0.2">
      <c r="A2378" s="23" t="str">
        <f t="shared" si="104"/>
        <v>МОСКОВСКИЙ ГОСУДАРСТВЕННЫЙ ОБЪЕДИНЕННЫЙ МУЗЕЙ-ЗАПОВЕДНИК, МГОМЗ</v>
      </c>
      <c r="B2378" s="24" t="s">
        <v>3530</v>
      </c>
      <c r="C2378" s="25">
        <v>3039515.68</v>
      </c>
      <c r="D2378" s="22" t="s">
        <v>3531</v>
      </c>
      <c r="E2378" s="22" t="s">
        <v>746</v>
      </c>
      <c r="F2378" s="23" t="str">
        <f t="shared" si="105"/>
        <v>Выполнение комплекса санитарно-противоэпидемиологических (профилактических) мероприятий по санитарной охране территорий и объектов МГОМЗ в 2020 году</v>
      </c>
      <c r="G2378" s="22" t="s">
        <v>55</v>
      </c>
      <c r="H2378" s="22" t="s">
        <v>55</v>
      </c>
      <c r="I2378" s="26">
        <v>43704.350729166697</v>
      </c>
      <c r="J2378" s="23" t="str">
        <f>HYPERLINK("https://www.spark-marketing.ru/Card/Person/151614", "ООО ""ГУП ""ДЕЗКОНТРОЛЬ""")</f>
        <v>ООО "ГУП "ДЕЗКОНТРОЛЬ"</v>
      </c>
      <c r="K2378" s="24" t="s">
        <v>3539</v>
      </c>
      <c r="L2378" s="28" t="s">
        <v>52</v>
      </c>
      <c r="M2378" s="25">
        <v>1899697.3</v>
      </c>
      <c r="N2378" s="27">
        <v>0.375</v>
      </c>
    </row>
    <row r="2379" spans="1:14" ht="12.75" hidden="1" outlineLevel="1" x14ac:dyDescent="0.2">
      <c r="A2379" s="23" t="str">
        <f t="shared" si="104"/>
        <v>МОСКОВСКИЙ ГОСУДАРСТВЕННЫЙ ОБЪЕДИНЕННЫЙ МУЗЕЙ-ЗАПОВЕДНИК, МГОМЗ</v>
      </c>
      <c r="B2379" s="24" t="s">
        <v>3530</v>
      </c>
      <c r="C2379" s="25">
        <v>3039515.68</v>
      </c>
      <c r="D2379" s="22" t="s">
        <v>3531</v>
      </c>
      <c r="E2379" s="22" t="s">
        <v>746</v>
      </c>
      <c r="F2379" s="23" t="str">
        <f t="shared" si="105"/>
        <v>Выполнение комплекса санитарно-противоэпидемиологических (профилактических) мероприятий по санитарной охране территорий и объектов МГОМЗ в 2020 году</v>
      </c>
      <c r="G2379" s="22" t="s">
        <v>55</v>
      </c>
      <c r="H2379" s="22" t="s">
        <v>55</v>
      </c>
      <c r="I2379" s="26">
        <v>43704.350729166697</v>
      </c>
      <c r="J2379" s="23" t="str">
        <f>HYPERLINK("https://www.spark-marketing.ru/Card/Person/6249758", "ООО ""ЧИСТЫЙ ДОМ""")</f>
        <v>ООО "ЧИСТЫЙ ДОМ"</v>
      </c>
      <c r="K2379" s="24" t="s">
        <v>3540</v>
      </c>
      <c r="L2379" s="22" t="s">
        <v>10</v>
      </c>
      <c r="M2379" s="25">
        <v>711701.66</v>
      </c>
      <c r="N2379" s="27">
        <v>0.76585030809908505</v>
      </c>
    </row>
    <row r="2380" spans="1:14" x14ac:dyDescent="0.15">
      <c r="A2380" s="23" t="str">
        <f>HYPERLINK("https://www.spark-marketing.ru/Card/Person/1016771", "ФКУ ИК-6 УФСИН РОССИИ ПО ТЮМЕНСКОЙ ОБЛАСТИ")</f>
        <v>ФКУ ИК-6 УФСИН РОССИИ ПО ТЮМЕНСКОЙ ОБЛАСТИ</v>
      </c>
      <c r="B2380" s="24" t="s">
        <v>3541</v>
      </c>
      <c r="C2380" s="25">
        <v>34754.89</v>
      </c>
      <c r="D2380" s="22" t="s">
        <v>3542</v>
      </c>
      <c r="E2380" s="22" t="s">
        <v>3543</v>
      </c>
      <c r="F2380" s="23" t="str">
        <f>HYPERLINK("https://www.spark-marketing.ru/Card/Lot/73041395", "Закупка комплектующих и материалов")</f>
        <v>Закупка комплектующих и материалов</v>
      </c>
      <c r="G2380" s="22" t="s">
        <v>893</v>
      </c>
      <c r="H2380" s="22" t="s">
        <v>2222</v>
      </c>
      <c r="I2380" s="26">
        <v>43704.356400463003</v>
      </c>
      <c r="J2380" s="28" t="s">
        <v>52</v>
      </c>
      <c r="K2380" s="28" t="s">
        <v>52</v>
      </c>
      <c r="L2380" s="28" t="s">
        <v>52</v>
      </c>
      <c r="M2380" s="28" t="s">
        <v>52</v>
      </c>
      <c r="N2380" s="28" t="s">
        <v>52</v>
      </c>
    </row>
    <row r="2381" spans="1:14" x14ac:dyDescent="0.15">
      <c r="A2381" s="23" t="str">
        <f>HYPERLINK("https://www.spark-marketing.ru/Card/Person/19413", "УМВД РОССИИ ПО АМУРСКОЙ ОБЛАСТИ")</f>
        <v>УМВД РОССИИ ПО АМУРСКОЙ ОБЛАСТИ</v>
      </c>
      <c r="B2381" s="24" t="s">
        <v>3544</v>
      </c>
      <c r="C2381" s="25">
        <v>63480.800000000003</v>
      </c>
      <c r="D2381" s="22" t="s">
        <v>3545</v>
      </c>
      <c r="E2381" s="22" t="s">
        <v>68</v>
      </c>
      <c r="F2381" s="23" t="str">
        <f>HYPERLINK("https://www.spark-marketing.ru/Card/Lot/73039408", "охрана, путем реагирования группы задержания на срабатывание кнопки тревожной сигнализации, 2920 усл. ед")</f>
        <v>охрана, путем реагирования группы задержания на срабатывание кнопки тревожной сигнализации, 2920 усл. ед</v>
      </c>
      <c r="G2381" s="22" t="s">
        <v>230</v>
      </c>
      <c r="H2381" s="22" t="s">
        <v>231</v>
      </c>
      <c r="I2381" s="26">
        <v>43704.2481134259</v>
      </c>
      <c r="J2381" s="28" t="s">
        <v>52</v>
      </c>
      <c r="K2381" s="28" t="s">
        <v>52</v>
      </c>
      <c r="L2381" s="28" t="s">
        <v>52</v>
      </c>
      <c r="M2381" s="28" t="s">
        <v>52</v>
      </c>
      <c r="N2381" s="28" t="s">
        <v>52</v>
      </c>
    </row>
    <row r="2382" spans="1:14" x14ac:dyDescent="0.15">
      <c r="A2382" s="23" t="str">
        <f>HYPERLINK("https://www.spark-marketing.ru/Card/Person/1828890", "ПАО ""ПОДЗЕМБУРГАЗ""")</f>
        <v>ПАО "ПОДЗЕМБУРГАЗ"</v>
      </c>
      <c r="B2382" s="24" t="s">
        <v>2033</v>
      </c>
      <c r="C2382" s="28" t="s">
        <v>52</v>
      </c>
      <c r="D2382" s="22" t="s">
        <v>3546</v>
      </c>
      <c r="E2382" s="22" t="s">
        <v>53</v>
      </c>
      <c r="F2382" s="23" t="str">
        <f>HYPERLINK("https://www.spark-marketing.ru/Card/Lot/73986745", "171/2019- Оказание услуг охраны на объектах ПАО «Подзембургаз»")</f>
        <v>171/2019- Оказание услуг охраны на объектах ПАО «Подзембургаз»</v>
      </c>
      <c r="G2382" s="22" t="s">
        <v>50</v>
      </c>
      <c r="H2382" s="22" t="s">
        <v>458</v>
      </c>
      <c r="I2382" s="26">
        <v>43704</v>
      </c>
      <c r="J2382" s="28" t="s">
        <v>52</v>
      </c>
      <c r="K2382" s="28" t="s">
        <v>52</v>
      </c>
      <c r="L2382" s="28" t="s">
        <v>52</v>
      </c>
      <c r="M2382" s="28" t="s">
        <v>52</v>
      </c>
      <c r="N2382" s="28" t="s">
        <v>52</v>
      </c>
    </row>
    <row r="2383" spans="1:14" x14ac:dyDescent="0.15">
      <c r="A2383" s="23" t="str">
        <f>HYPERLINK("https://www.spark-marketing.ru/Card/Person/570467", "ГППО ""ПСКОВАВТОТРАНС""")</f>
        <v>ГППО "ПСКОВАВТОТРАНС"</v>
      </c>
      <c r="B2383" s="24" t="s">
        <v>3204</v>
      </c>
      <c r="C2383" s="25">
        <v>1521600</v>
      </c>
      <c r="D2383" s="22" t="s">
        <v>3547</v>
      </c>
      <c r="E2383" s="22" t="s">
        <v>3548</v>
      </c>
      <c r="F2383" s="23" t="str">
        <f>HYPERLINK("https://www.spark-marketing.ru/Card/Lot/73030492", "Российский рубль")</f>
        <v>Российский рубль</v>
      </c>
      <c r="G2383" s="22" t="s">
        <v>142</v>
      </c>
      <c r="H2383" s="22" t="s">
        <v>2320</v>
      </c>
      <c r="I2383" s="26">
        <v>43703</v>
      </c>
      <c r="J2383" s="28" t="s">
        <v>52</v>
      </c>
      <c r="K2383" s="28" t="s">
        <v>52</v>
      </c>
      <c r="L2383" s="28" t="s">
        <v>52</v>
      </c>
      <c r="M2383" s="28" t="s">
        <v>52</v>
      </c>
      <c r="N2383" s="28" t="s">
        <v>52</v>
      </c>
    </row>
    <row r="2384" spans="1:14" x14ac:dyDescent="0.2">
      <c r="A2384" s="23" t="str">
        <f>HYPERLINK("https://www.spark-marketing.ru/Card/Person/599423", "МАУ Г. ЯРОСЛАВЛЯ ""ДИРЕКЦИЯ СПОРТИВНЫХ СООРУЖЕНИЙ""")</f>
        <v>МАУ Г. ЯРОСЛАВЛЯ "ДИРЕКЦИЯ СПОРТИВНЫХ СООРУЖЕНИЙ"</v>
      </c>
      <c r="B2384" s="24" t="s">
        <v>3549</v>
      </c>
      <c r="C2384" s="25">
        <v>4178226</v>
      </c>
      <c r="D2384" s="22" t="s">
        <v>3550</v>
      </c>
      <c r="E2384" s="22" t="s">
        <v>363</v>
      </c>
      <c r="F2384" s="23" t="str">
        <f>HYPERLINK("https://www.spark-marketing.ru/Card/Lot/73031560", "Оказание комплекса услуг по охране имущества, объектов и материальных ценностей МАУ г. Ярославля «Дирекция спортивных сооружений»")</f>
        <v>Оказание комплекса услуг по охране имущества, объектов и материальных ценностей МАУ г. Ярославля «Дирекция спортивных сооружений»</v>
      </c>
      <c r="G2384" s="22" t="s">
        <v>155</v>
      </c>
      <c r="H2384" s="22" t="s">
        <v>156</v>
      </c>
      <c r="I2384" s="26">
        <v>43703</v>
      </c>
      <c r="J2384" s="28" t="s">
        <v>52</v>
      </c>
      <c r="K2384" s="28" t="s">
        <v>52</v>
      </c>
      <c r="L2384" s="22" t="s">
        <v>10</v>
      </c>
      <c r="M2384" s="25">
        <v>3970791</v>
      </c>
      <c r="N2384" s="27">
        <v>4.9646668227137543E-2</v>
      </c>
    </row>
    <row r="2385" spans="1:14" x14ac:dyDescent="0.2">
      <c r="A2385" s="23" t="str">
        <f>HYPERLINK("https://www.spark-marketing.ru/Card/Person/80791", "ГБУ СО КК ""ЧАМЛЫКСКИЙ ПНИ""")</f>
        <v>ГБУ СО КК "ЧАМЛЫКСКИЙ ПНИ"</v>
      </c>
      <c r="B2385" s="24" t="s">
        <v>3551</v>
      </c>
      <c r="C2385" s="25">
        <v>485782</v>
      </c>
      <c r="D2385" s="22" t="s">
        <v>3552</v>
      </c>
      <c r="E2385" s="22" t="s">
        <v>49</v>
      </c>
      <c r="F2385" s="23" t="str">
        <f>HYPERLINK("https://www.spark-marketing.ru/Card/Lot/73051593", "Установка видеонаблюдения в помещениях и на территории ГБУ СО КК ""Чамлыкский ПНИ"" по адресу: ул. Степная,2")</f>
        <v>Установка видеонаблюдения в помещениях и на территории ГБУ СО КК "Чамлыкский ПНИ" по адресу: ул. Степная,2</v>
      </c>
      <c r="G2385" s="22" t="s">
        <v>132</v>
      </c>
      <c r="H2385" s="22" t="s">
        <v>132</v>
      </c>
      <c r="I2385" s="26">
        <v>43704</v>
      </c>
      <c r="J2385" s="28" t="s">
        <v>52</v>
      </c>
      <c r="K2385" s="28" t="s">
        <v>52</v>
      </c>
      <c r="L2385" s="22" t="s">
        <v>10</v>
      </c>
      <c r="M2385" s="25">
        <v>404818.33</v>
      </c>
      <c r="N2385" s="27">
        <v>0.16666667352845516</v>
      </c>
    </row>
    <row r="2386" spans="1:14" x14ac:dyDescent="0.2">
      <c r="A2386" s="23" t="str">
        <f>HYPERLINK("https://www.spark-marketing.ru/Card/Person/582", "ФГБОУ ВО ""УГНТУ"", УГНТУ, УФИМСКИЙ ГОСУДАРСТВЕННЫЙ НЕФТЯНОЙ ТЕХНИЧЕСКИЙ УНИВЕРСИТЕТ")</f>
        <v>ФГБОУ ВО "УГНТУ", УГНТУ, УФИМСКИЙ ГОСУДАРСТВЕННЫЙ НЕФТЯНОЙ ТЕХНИЧЕСКИЙ УНИВЕРСИТЕТ</v>
      </c>
      <c r="B2386" s="24" t="s">
        <v>3553</v>
      </c>
      <c r="C2386" s="25">
        <v>111000</v>
      </c>
      <c r="D2386" s="22" t="s">
        <v>3554</v>
      </c>
      <c r="E2386" s="22" t="s">
        <v>144</v>
      </c>
      <c r="F2386" s="23" t="str">
        <f>HYPERLINK("https://www.spark-marketing.ru/Card/Lot/73052080", "Оказание охранных услуг в зданиях, помещениях, их частях или комбинациях, оборудованных действующим комплексом технических средств охраны")</f>
        <v>Оказание охранных услуг в зданиях, помещениях, их частях или комбинациях, оборудованных действующим комплексом технических средств охраны</v>
      </c>
      <c r="G2386" s="22" t="s">
        <v>100</v>
      </c>
      <c r="H2386" s="22" t="s">
        <v>100</v>
      </c>
      <c r="I2386" s="26">
        <v>43704</v>
      </c>
      <c r="J2386" s="28" t="s">
        <v>52</v>
      </c>
      <c r="K2386" s="28" t="s">
        <v>52</v>
      </c>
      <c r="L2386" s="22" t="s">
        <v>10</v>
      </c>
      <c r="M2386" s="25">
        <v>111000</v>
      </c>
      <c r="N2386" s="27">
        <v>0</v>
      </c>
    </row>
    <row r="2387" spans="1:14" x14ac:dyDescent="0.15">
      <c r="A2387" s="23" t="str">
        <f>HYPERLINK("https://www.spark-marketing.ru/Card/Person/4343405", "ФГУП ""ГОСКОРПОРАЦИЯ ПО ОРВД""")</f>
        <v>ФГУП "ГОСКОРПОРАЦИЯ ПО ОРВД"</v>
      </c>
      <c r="B2387" s="24" t="s">
        <v>801</v>
      </c>
      <c r="C2387" s="25">
        <v>27566234.149999999</v>
      </c>
      <c r="D2387" s="22" t="s">
        <v>3555</v>
      </c>
      <c r="E2387" s="22" t="s">
        <v>996</v>
      </c>
      <c r="F2387" s="23" t="str">
        <f>HYPERLINK("https://www.spark-marketing.ru/Card/Lot/73061121", "Оснащение объектов транспортной инфраструктуры инженерно-техническими средствами (системами) обеспечения транспортной безопасности для нужд Филиала «Аэронавигация Северо-Восточной Сибири» ФГУП «Госкорпорация по ОрВД»: Россия, 678631, Республика Саха ...")</f>
        <v>Оснащение объектов транспортной инфраструктуры инженерно-техническими средствами (системами) обеспечения транспортной безопасности для нужд Филиала «Аэронавигация Северо-Восточной Сибири» ФГУП «Госкорпорация по ОрВД»: Россия, 678631, Республика Саха ...</v>
      </c>
      <c r="G2387" s="22" t="s">
        <v>55</v>
      </c>
      <c r="H2387" s="22" t="s">
        <v>55</v>
      </c>
      <c r="I2387" s="26">
        <v>43704</v>
      </c>
      <c r="J2387" s="28" t="s">
        <v>52</v>
      </c>
      <c r="K2387" s="28" t="s">
        <v>52</v>
      </c>
      <c r="L2387" s="28" t="s">
        <v>52</v>
      </c>
      <c r="M2387" s="28" t="s">
        <v>52</v>
      </c>
      <c r="N2387" s="28" t="s">
        <v>52</v>
      </c>
    </row>
    <row r="2388" spans="1:14" x14ac:dyDescent="0.15">
      <c r="A2388" s="23" t="str">
        <f>HYPERLINK("https://www.spark-marketing.ru/Card/Person/253763", "КЦСОН ИНДУСТРИАЛЬНОГО РАЙОНА Г. ИЖЕВСКА")</f>
        <v>КЦСОН ИНДУСТРИАЛЬНОГО РАЙОНА Г. ИЖЕВСКА</v>
      </c>
      <c r="B2388" s="24" t="s">
        <v>3556</v>
      </c>
      <c r="C2388" s="25">
        <v>79855.289999999994</v>
      </c>
      <c r="D2388" s="22" t="s">
        <v>3557</v>
      </c>
      <c r="E2388" s="22" t="s">
        <v>49</v>
      </c>
      <c r="F2388" s="23" t="str">
        <f>HYPERLINK("https://www.spark-marketing.ru/Card/Lot/73047303", "№ 39 на право заключить Договор на установку системы видеонаблюдения для нужд Заказчика: АВТОНОМНОЕ УЧРЕЖДЕНИЕ СОЦИАЛЬНОГО ОБСЛУЖИВАНИЯ УДМУРТСКОЙ РЕСПУБЛИКИ ''КОМПЛЕКСНЫЙ ЦЕНТР СОЦИАЛЬНОГО ОБСЛУЖИВАНИЯ НАСЕЛЕНИЯ ИНДУСТРИАЛЬНОГО РАЙОНА ГОРОДА ИЖЕВСКА...")</f>
        <v>№ 39 на право заключить Договор на установку системы видеонаблюдения для нужд Заказчика: АВТОНОМНОЕ УЧРЕЖДЕНИЕ СОЦИАЛЬНОГО ОБСЛУЖИВАНИЯ УДМУРТСКОЙ РЕСПУБЛИКИ ''КОМПЛЕКСНЫЙ ЦЕНТР СОЦИАЛЬНОГО ОБСЛУЖИВАНИЯ НАСЕЛЕНИЯ ИНДУСТРИАЛЬНОГО РАЙОНА ГОРОДА ИЖЕВСКА...</v>
      </c>
      <c r="G2388" s="22" t="s">
        <v>96</v>
      </c>
      <c r="H2388" s="22" t="s">
        <v>96</v>
      </c>
      <c r="I2388" s="26">
        <v>43704</v>
      </c>
      <c r="J2388" s="28" t="s">
        <v>52</v>
      </c>
      <c r="K2388" s="28" t="s">
        <v>52</v>
      </c>
      <c r="L2388" s="28" t="s">
        <v>52</v>
      </c>
      <c r="M2388" s="28" t="s">
        <v>52</v>
      </c>
      <c r="N2388" s="28" t="s">
        <v>52</v>
      </c>
    </row>
    <row r="2389" spans="1:14" x14ac:dyDescent="0.15">
      <c r="A2389" s="23" t="str">
        <f>HYPERLINK("https://www.spark-marketing.ru/Card/Person/6474612", "МАУ ""ДКМ""")</f>
        <v>МАУ "ДКМ"</v>
      </c>
      <c r="B2389" s="24" t="s">
        <v>1843</v>
      </c>
      <c r="C2389" s="25">
        <v>134784</v>
      </c>
      <c r="D2389" s="22" t="s">
        <v>3558</v>
      </c>
      <c r="E2389" s="22" t="s">
        <v>789</v>
      </c>
      <c r="F2389" s="23" t="str">
        <f>HYPERLINK("https://www.spark-marketing.ru/Card/Lot/73053056", "Услуги по охране объекта")</f>
        <v>Услуги по охране объекта</v>
      </c>
      <c r="G2389" s="22" t="s">
        <v>72</v>
      </c>
      <c r="H2389" s="22" t="s">
        <v>72</v>
      </c>
      <c r="I2389" s="26">
        <v>43704</v>
      </c>
      <c r="J2389" s="28" t="s">
        <v>52</v>
      </c>
      <c r="K2389" s="28" t="s">
        <v>52</v>
      </c>
      <c r="L2389" s="28" t="s">
        <v>52</v>
      </c>
      <c r="M2389" s="28" t="s">
        <v>52</v>
      </c>
      <c r="N2389" s="28" t="s">
        <v>52</v>
      </c>
    </row>
    <row r="2390" spans="1:14" x14ac:dyDescent="0.15">
      <c r="A2390" s="23" t="str">
        <f>HYPERLINK("https://www.spark-marketing.ru/Card/Person/94594", "ГБУЗ РТ ""РЕСПСИХБОЛЬНИЦА""")</f>
        <v>ГБУЗ РТ "РЕСПСИХБОЛЬНИЦА"</v>
      </c>
      <c r="B2390" s="24" t="s">
        <v>3559</v>
      </c>
      <c r="C2390" s="25">
        <v>396263</v>
      </c>
      <c r="D2390" s="22" t="s">
        <v>3560</v>
      </c>
      <c r="E2390" s="22" t="s">
        <v>691</v>
      </c>
      <c r="F2390" s="23" t="str">
        <f>HYPERLINK("https://www.spark-marketing.ru/Card/Lot/73040232", "Выполнение работ по установке и монтажу систем видеонаблюдения в ЦПЗДиП ГБУЗ РТ ""Респсихбольница""")</f>
        <v>Выполнение работ по установке и монтажу систем видеонаблюдения в ЦПЗДиП ГБУЗ РТ "Респсихбольница"</v>
      </c>
      <c r="G2390" s="22" t="s">
        <v>2193</v>
      </c>
      <c r="H2390" s="22" t="s">
        <v>2193</v>
      </c>
      <c r="I2390" s="26">
        <v>43704</v>
      </c>
      <c r="J2390" s="28" t="s">
        <v>52</v>
      </c>
      <c r="K2390" s="28" t="s">
        <v>52</v>
      </c>
      <c r="L2390" s="22" t="s">
        <v>10</v>
      </c>
      <c r="M2390" s="28" t="s">
        <v>52</v>
      </c>
      <c r="N2390" s="28" t="s">
        <v>52</v>
      </c>
    </row>
    <row r="2391" spans="1:14" x14ac:dyDescent="0.15">
      <c r="A2391" s="23" t="str">
        <f>HYPERLINK("https://www.spark-marketing.ru/Card/Person/4343363", "МИНОБОРОНЫ РОССИИ")</f>
        <v>МИНОБОРОНЫ РОССИИ</v>
      </c>
      <c r="B2391" s="24" t="s">
        <v>3561</v>
      </c>
      <c r="C2391" s="25">
        <v>4200000</v>
      </c>
      <c r="D2391" s="22" t="s">
        <v>3562</v>
      </c>
      <c r="E2391" s="22" t="s">
        <v>208</v>
      </c>
      <c r="F2391" s="23" t="str">
        <f>HYPERLINK("https://www.spark-marketing.ru/Card/Lot/73032963", "Закупка «Технические средства охраны объектов Вооруженных Сил Российской Федерации I, II, III категорий (поставка, установка и пусконаладочные работы) по спецификации, утверждаемой Минобороны России: поставка ручного металлодетектора «АКА-7202М» из с...")</f>
        <v>Закупка «Технические средства охраны объектов Вооруженных Сил Российской Федерации I, II, III категорий (поставка, установка и пусконаладочные работы) по спецификации, утверждаемой Минобороны России: поставка ручного металлодетектора «АКА-7202М» из с...</v>
      </c>
      <c r="G2391" s="22" t="s">
        <v>55</v>
      </c>
      <c r="H2391" s="22" t="s">
        <v>55</v>
      </c>
      <c r="I2391" s="26">
        <v>43703.657395833303</v>
      </c>
      <c r="J2391" s="28" t="s">
        <v>52</v>
      </c>
      <c r="K2391" s="28" t="s">
        <v>52</v>
      </c>
      <c r="L2391" s="28" t="s">
        <v>52</v>
      </c>
      <c r="M2391" s="28" t="s">
        <v>52</v>
      </c>
      <c r="N2391" s="28" t="s">
        <v>52</v>
      </c>
    </row>
    <row r="2392" spans="1:14" x14ac:dyDescent="0.15">
      <c r="A2392" s="23" t="str">
        <f>HYPERLINK("https://www.spark-marketing.ru/Card/Person/1068727", "ОТД МВД РОССИИ ПО КРАСНОЯРУЖСКОМУ РАЙОНУ")</f>
        <v>ОТД МВД РОССИИ ПО КРАСНОЯРУЖСКОМУ РАЙОНУ</v>
      </c>
      <c r="B2392" s="24" t="s">
        <v>3563</v>
      </c>
      <c r="C2392" s="25">
        <v>143074.12</v>
      </c>
      <c r="D2392" s="22" t="s">
        <v>3564</v>
      </c>
      <c r="E2392" s="22" t="s">
        <v>59</v>
      </c>
      <c r="F2392" s="23" t="str">
        <f>HYPERLINK("https://www.spark-marketing.ru/Card/Lot/73032175", "Установка охранной сигнализации, 1 шт")</f>
        <v>Установка охранной сигнализации, 1 шт</v>
      </c>
      <c r="G2392" s="22" t="s">
        <v>176</v>
      </c>
      <c r="H2392" s="22" t="s">
        <v>176</v>
      </c>
      <c r="I2392" s="26">
        <v>43703.7210416667</v>
      </c>
      <c r="J2392" s="28" t="s">
        <v>52</v>
      </c>
      <c r="K2392" s="28" t="s">
        <v>52</v>
      </c>
      <c r="L2392" s="28" t="s">
        <v>52</v>
      </c>
      <c r="M2392" s="28" t="s">
        <v>52</v>
      </c>
      <c r="N2392" s="28" t="s">
        <v>52</v>
      </c>
    </row>
    <row r="2393" spans="1:14" x14ac:dyDescent="0.15">
      <c r="A2393" s="23" t="str">
        <f>HYPERLINK("https://www.spark-marketing.ru/Card/Person/10834", "ГКУ КО ""ДИРЕКЦИЯ АВТОДОРОГ КУЗБАССА""")</f>
        <v>ГКУ КО "ДИРЕКЦИЯ АВТОДОРОГ КУЗБАССА"</v>
      </c>
      <c r="B2393" s="24" t="s">
        <v>1499</v>
      </c>
      <c r="C2393" s="25">
        <v>5445252.3300000001</v>
      </c>
      <c r="D2393" s="22" t="s">
        <v>3565</v>
      </c>
      <c r="E2393" s="22" t="s">
        <v>723</v>
      </c>
      <c r="F2393" s="23" t="str">
        <f>HYPERLINK("https://www.spark-marketing.ru/Card/Lot/73022172",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v>
      </c>
      <c r="G2393" s="22" t="s">
        <v>367</v>
      </c>
      <c r="H2393" s="22" t="s">
        <v>881</v>
      </c>
      <c r="I2393" s="26">
        <v>43703.557048611103</v>
      </c>
      <c r="J2393" s="28" t="s">
        <v>52</v>
      </c>
      <c r="K2393" s="28" t="s">
        <v>52</v>
      </c>
      <c r="L2393" s="28" t="s">
        <v>52</v>
      </c>
      <c r="M2393" s="28" t="s">
        <v>52</v>
      </c>
      <c r="N2393" s="28" t="s">
        <v>52</v>
      </c>
    </row>
    <row r="2394" spans="1:14" hidden="1" outlineLevel="1" x14ac:dyDescent="0.2">
      <c r="A2394" s="23" t="str">
        <f>HYPERLINK("https://www.spark-marketing.ru/Card/Person/10834", "ГКУ КО ""ДИРЕКЦИЯ АВТОДОРОГ КУЗБАССА""")</f>
        <v>ГКУ КО "ДИРЕКЦИЯ АВТОДОРОГ КУЗБАССА"</v>
      </c>
      <c r="B2394" s="24" t="s">
        <v>1499</v>
      </c>
      <c r="C2394" s="25">
        <v>5445252.3300000001</v>
      </c>
      <c r="D2394" s="22" t="s">
        <v>3565</v>
      </c>
      <c r="E2394" s="22" t="s">
        <v>723</v>
      </c>
      <c r="F2394" s="23" t="str">
        <f>HYPERLINK("https://www.spark-marketing.ru/Card/Lot/73022172",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v>
      </c>
      <c r="G2394" s="22" t="s">
        <v>367</v>
      </c>
      <c r="H2394" s="22" t="s">
        <v>881</v>
      </c>
      <c r="I2394" s="26">
        <v>43703.557048611103</v>
      </c>
      <c r="J2394" s="23" t="str">
        <f>HYPERLINK("https://www.spark-marketing.ru/Card/Person/127397", "ООО ""ИНФОСЕРВИС""")</f>
        <v>ООО "ИНФОСЕРВИС"</v>
      </c>
      <c r="K2394" s="24" t="s">
        <v>1503</v>
      </c>
      <c r="L2394" s="28" t="s">
        <v>52</v>
      </c>
      <c r="M2394" s="25">
        <v>2668172.79</v>
      </c>
      <c r="N2394" s="27">
        <v>0.51000015641148444</v>
      </c>
    </row>
    <row r="2395" spans="1:14" ht="12.75" hidden="1" outlineLevel="1" x14ac:dyDescent="0.2">
      <c r="A2395" s="23" t="str">
        <f>HYPERLINK("https://www.spark-marketing.ru/Card/Person/10834", "ГКУ КО ""ДИРЕКЦИЯ АВТОДОРОГ КУЗБАССА""")</f>
        <v>ГКУ КО "ДИРЕКЦИЯ АВТОДОРОГ КУЗБАССА"</v>
      </c>
      <c r="B2395" s="24" t="s">
        <v>1499</v>
      </c>
      <c r="C2395" s="25">
        <v>5445252.3300000001</v>
      </c>
      <c r="D2395" s="22" t="s">
        <v>3565</v>
      </c>
      <c r="E2395" s="22" t="s">
        <v>723</v>
      </c>
      <c r="F2395" s="23" t="str">
        <f>HYPERLINK("https://www.spark-marketing.ru/Card/Lot/73022172",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v>
      </c>
      <c r="G2395" s="22" t="s">
        <v>367</v>
      </c>
      <c r="H2395" s="22" t="s">
        <v>881</v>
      </c>
      <c r="I2395" s="26">
        <v>43703.557048611103</v>
      </c>
      <c r="J2395" s="23" t="str">
        <f>HYPERLINK("https://www.spark-marketing.ru/Card/Person/1354238", "ООО ""ЛАБОРАТОРИЯ ЦИФРОВОГО ЗРЕНИЯ""")</f>
        <v>ООО "ЛАБОРАТОРИЯ ЦИФРОВОГО ЗРЕНИЯ"</v>
      </c>
      <c r="K2395" s="24" t="s">
        <v>1191</v>
      </c>
      <c r="L2395" s="22" t="s">
        <v>10</v>
      </c>
      <c r="M2395" s="25">
        <v>2668172.79</v>
      </c>
      <c r="N2395" s="27">
        <v>0.51000015641148444</v>
      </c>
    </row>
    <row r="2396" spans="1:14" x14ac:dyDescent="0.15">
      <c r="A2396" s="23" t="str">
        <f>HYPERLINK("https://www.spark-marketing.ru/Card/Person/265420", "МЕЖРАЙОННАЯ ИФНС РОССИИ № 12 ПО ВЛАДИМИРСКОЙ ОБЛАСТИ")</f>
        <v>МЕЖРАЙОННАЯ ИФНС РОССИИ № 12 ПО ВЛАДИМИРСКОЙ ОБЛАСТИ</v>
      </c>
      <c r="B2396" s="24" t="s">
        <v>3566</v>
      </c>
      <c r="C2396" s="25">
        <v>700</v>
      </c>
      <c r="D2396" s="22" t="s">
        <v>3567</v>
      </c>
      <c r="E2396" s="22" t="s">
        <v>107</v>
      </c>
      <c r="F2396" s="23" t="str">
        <f>HYPERLINK("https://www.spark-marketing.ru/Card/Lot/73029764", "Техническое обслуживание видеонаблюдения, 2 шт")</f>
        <v>Техническое обслуживание видеонаблюдения, 2 шт</v>
      </c>
      <c r="G2396" s="22" t="s">
        <v>145</v>
      </c>
      <c r="H2396" s="22" t="s">
        <v>146</v>
      </c>
      <c r="I2396" s="26">
        <v>43703.687013888899</v>
      </c>
      <c r="J2396" s="28" t="s">
        <v>52</v>
      </c>
      <c r="K2396" s="28" t="s">
        <v>52</v>
      </c>
      <c r="L2396" s="28" t="s">
        <v>52</v>
      </c>
      <c r="M2396" s="28" t="s">
        <v>52</v>
      </c>
      <c r="N2396" s="28" t="s">
        <v>52</v>
      </c>
    </row>
    <row r="2397" spans="1:14" x14ac:dyDescent="0.15">
      <c r="A2397" s="23" t="str">
        <f>HYPERLINK("https://www.spark-marketing.ru/Card/Person/4343363", "МИНОБОРОНЫ РОССИИ")</f>
        <v>МИНОБОРОНЫ РОССИИ</v>
      </c>
      <c r="B2397" s="24" t="s">
        <v>3561</v>
      </c>
      <c r="C2397" s="25">
        <v>6999999.7199999997</v>
      </c>
      <c r="D2397" s="22" t="s">
        <v>3568</v>
      </c>
      <c r="E2397" s="22" t="s">
        <v>3569</v>
      </c>
      <c r="F2397" s="23" t="str">
        <f>HYPERLINK("https://www.spark-marketing.ru/Card/Lot/73022767", "Закупка «Технические средства охраны объектов Вооруженных Сил Российской Федерации I, II, III категорий (поставка, установка и пусконаладочные работы) по спецификации, утверждаемой Минобороны России: Поставка комплекта досмотровых зеркал «Шмель 3N» и...")</f>
        <v>Закупка «Технические средства охраны объектов Вооруженных Сил Российской Федерации I, II, III категорий (поставка, установка и пусконаладочные работы) по спецификации, утверждаемой Минобороны России: Поставка комплекта досмотровых зеркал «Шмель 3N» и...</v>
      </c>
      <c r="G2397" s="22" t="s">
        <v>55</v>
      </c>
      <c r="H2397" s="22" t="s">
        <v>55</v>
      </c>
      <c r="I2397" s="26">
        <v>43703.532893518503</v>
      </c>
      <c r="J2397" s="28" t="s">
        <v>52</v>
      </c>
      <c r="K2397" s="28" t="s">
        <v>52</v>
      </c>
      <c r="L2397" s="28" t="s">
        <v>52</v>
      </c>
      <c r="M2397" s="28" t="s">
        <v>52</v>
      </c>
      <c r="N2397" s="28" t="s">
        <v>52</v>
      </c>
    </row>
    <row r="2398" spans="1:14" x14ac:dyDescent="0.15">
      <c r="A2398" s="23" t="str">
        <f>HYPERLINK("https://www.spark-marketing.ru/Card/Person/375570", "ОТДЕЛ МВД РОССИИ ПО КАГАЛЬНИЦКОМУ РАЙОНУ")</f>
        <v>ОТДЕЛ МВД РОССИИ ПО КАГАЛЬНИЦКОМУ РАЙОНУ</v>
      </c>
      <c r="B2398" s="24" t="s">
        <v>3570</v>
      </c>
      <c r="C2398" s="25">
        <v>23940</v>
      </c>
      <c r="D2398" s="22" t="s">
        <v>3571</v>
      </c>
      <c r="E2398" s="22" t="s">
        <v>53</v>
      </c>
      <c r="F2398" s="23" t="str">
        <f>HYPERLINK("https://www.spark-marketing.ru/Card/Lot/73027274", "услуги по техническому обслуживанию средств охраны")</f>
        <v>услуги по техническому обслуживанию средств охраны</v>
      </c>
      <c r="G2398" s="22" t="s">
        <v>402</v>
      </c>
      <c r="H2398" s="22" t="s">
        <v>3572</v>
      </c>
      <c r="I2398" s="26">
        <v>43703.635972222197</v>
      </c>
      <c r="J2398" s="28" t="s">
        <v>52</v>
      </c>
      <c r="K2398" s="28" t="s">
        <v>52</v>
      </c>
      <c r="L2398" s="28" t="s">
        <v>52</v>
      </c>
      <c r="M2398" s="28" t="s">
        <v>52</v>
      </c>
      <c r="N2398" s="28" t="s">
        <v>52</v>
      </c>
    </row>
    <row r="2399" spans="1:14" x14ac:dyDescent="0.15">
      <c r="A2399" s="23" t="str">
        <f>HYPERLINK("https://www.spark-marketing.ru/Card/Person/1009859", "МО МВД РОССИИ ""ВЕЛИКОЛУКСКИЙ""")</f>
        <v>МО МВД РОССИИ "ВЕЛИКОЛУКСКИЙ"</v>
      </c>
      <c r="B2399" s="24" t="s">
        <v>3573</v>
      </c>
      <c r="C2399" s="25">
        <v>4032</v>
      </c>
      <c r="D2399" s="22" t="s">
        <v>3574</v>
      </c>
      <c r="E2399" s="22" t="s">
        <v>68</v>
      </c>
      <c r="F2399" s="23" t="str">
        <f>HYPERLINK("https://www.spark-marketing.ru/Card/Lot/73027389", "Централизованная охрана объектов, 1 усл. ед")</f>
        <v>Централизованная охрана объектов, 1 усл. ед</v>
      </c>
      <c r="G2399" s="22" t="s">
        <v>142</v>
      </c>
      <c r="H2399" s="22" t="s">
        <v>3575</v>
      </c>
      <c r="I2399" s="26">
        <v>43703.6482986111</v>
      </c>
      <c r="J2399" s="28" t="s">
        <v>52</v>
      </c>
      <c r="K2399" s="28" t="s">
        <v>52</v>
      </c>
      <c r="L2399" s="28" t="s">
        <v>52</v>
      </c>
      <c r="M2399" s="28" t="s">
        <v>52</v>
      </c>
      <c r="N2399" s="28" t="s">
        <v>52</v>
      </c>
    </row>
    <row r="2400" spans="1:14" x14ac:dyDescent="0.15">
      <c r="A2400" s="23" t="str">
        <f>HYPERLINK("https://www.spark-marketing.ru/Card/Person/378676", "МЕЖРАЙОННАЯ ИФНС РОССИИ № 1 ПО ЛИПЕЦКОЙ ОБЛАСТИ")</f>
        <v>МЕЖРАЙОННАЯ ИФНС РОССИИ № 1 ПО ЛИПЕЦКОЙ ОБЛАСТИ</v>
      </c>
      <c r="B2400" s="24" t="s">
        <v>3576</v>
      </c>
      <c r="C2400" s="25">
        <v>86000</v>
      </c>
      <c r="D2400" s="22" t="s">
        <v>3577</v>
      </c>
      <c r="E2400" s="22" t="s">
        <v>68</v>
      </c>
      <c r="F2400" s="23" t="str">
        <f>HYPERLINK("https://www.spark-marketing.ru/Card/Lot/73025209", "Централизованная охрана объектов, 1 усл. ед")</f>
        <v>Централизованная охрана объектов, 1 усл. ед</v>
      </c>
      <c r="G2400" s="22" t="s">
        <v>629</v>
      </c>
      <c r="H2400" s="22" t="s">
        <v>3578</v>
      </c>
      <c r="I2400" s="26">
        <v>43703.650960648098</v>
      </c>
      <c r="J2400" s="28" t="s">
        <v>52</v>
      </c>
      <c r="K2400" s="28" t="s">
        <v>52</v>
      </c>
      <c r="L2400" s="28" t="s">
        <v>52</v>
      </c>
      <c r="M2400" s="28" t="s">
        <v>52</v>
      </c>
      <c r="N2400" s="28" t="s">
        <v>52</v>
      </c>
    </row>
    <row r="2401" spans="1:14" x14ac:dyDescent="0.15">
      <c r="A2401" s="23" t="str">
        <f>HYPERLINK("https://www.spark-marketing.ru/Card/Person/31865", "АО ""ОКБМ АФРИКАНТОВ""")</f>
        <v>АО "ОКБМ АФРИКАНТОВ"</v>
      </c>
      <c r="B2401" s="24" t="s">
        <v>752</v>
      </c>
      <c r="C2401" s="25">
        <v>0</v>
      </c>
      <c r="D2401" s="22" t="s">
        <v>3579</v>
      </c>
      <c r="E2401" s="22" t="s">
        <v>53</v>
      </c>
      <c r="F2401" s="23" t="str">
        <f>HYPERLINK("https://www.spark-marketing.ru/Card/Lot/73030252", "мониторинг цен в электронной форме на Оказание услуг по охране здания, имущества и общественного порядка Делового центра АО «ОКБМ Африкантов», г. Нижний Новгород, ул. Шаляпина, 23А")</f>
        <v>мониторинг цен в электронной форме на Оказание услуг по охране здания, имущества и общественного порядка Делового центра АО «ОКБМ Африкантов», г. Нижний Новгород, ул. Шаляпина, 23А</v>
      </c>
      <c r="G2401" s="22" t="s">
        <v>64</v>
      </c>
      <c r="H2401" s="22" t="s">
        <v>65</v>
      </c>
      <c r="I2401" s="26">
        <v>43703.610891203702</v>
      </c>
      <c r="J2401" s="28" t="s">
        <v>52</v>
      </c>
      <c r="K2401" s="28" t="s">
        <v>52</v>
      </c>
      <c r="L2401" s="28" t="s">
        <v>52</v>
      </c>
      <c r="M2401" s="28" t="s">
        <v>52</v>
      </c>
      <c r="N2401" s="28" t="s">
        <v>52</v>
      </c>
    </row>
    <row r="2402" spans="1:14" x14ac:dyDescent="0.15">
      <c r="A2402" s="23" t="str">
        <f>HYPERLINK("https://www.spark-marketing.ru/Card/Person/31865", "АО ""ОКБМ АФРИКАНТОВ""")</f>
        <v>АО "ОКБМ АФРИКАНТОВ"</v>
      </c>
      <c r="B2402" s="24" t="s">
        <v>752</v>
      </c>
      <c r="C2402" s="28" t="s">
        <v>52</v>
      </c>
      <c r="D2402" s="22" t="s">
        <v>3580</v>
      </c>
      <c r="E2402" s="22" t="s">
        <v>68</v>
      </c>
      <c r="F2402" s="23" t="str">
        <f>HYPERLINK("https://www.spark-marketing.ru/Card/Lot/73028912", "Оказание услуг по охране здания, имущества и общественного порядка Делового центра АО «ОКБМ Африкантов», г. Нижний Новгород, ул. Шаляпина, 23А")</f>
        <v>Оказание услуг по охране здания, имущества и общественного порядка Делового центра АО «ОКБМ Африкантов», г. Нижний Новгород, ул. Шаляпина, 23А</v>
      </c>
      <c r="G2402" s="22" t="s">
        <v>64</v>
      </c>
      <c r="H2402" s="22" t="s">
        <v>65</v>
      </c>
      <c r="I2402" s="26">
        <v>43703.610960648097</v>
      </c>
      <c r="J2402" s="28" t="s">
        <v>52</v>
      </c>
      <c r="K2402" s="28" t="s">
        <v>52</v>
      </c>
      <c r="L2402" s="28" t="s">
        <v>52</v>
      </c>
      <c r="M2402" s="28" t="s">
        <v>52</v>
      </c>
      <c r="N2402" s="28" t="s">
        <v>52</v>
      </c>
    </row>
    <row r="2403" spans="1:14" x14ac:dyDescent="0.15">
      <c r="A2403" s="23" t="str">
        <f>HYPERLINK("https://www.spark-marketing.ru/Card/Person/22099", "АСТРАХАНСКОЕ СУВОРОВСКОЕ ВОЕННОЕ УЧИЛИЩЕ МВД РОССИИ, ФГКОУ АСВУ МВД РОССИИ, АСТРАХАНСКОЕ СВУ МВД РОССИИ")</f>
        <v>АСТРАХАНСКОЕ СУВОРОВСКОЕ ВОЕННОЕ УЧИЛИЩЕ МВД РОССИИ, ФГКОУ АСВУ МВД РОССИИ, АСТРАХАНСКОЕ СВУ МВД РОССИИ</v>
      </c>
      <c r="B2403" s="24" t="s">
        <v>563</v>
      </c>
      <c r="C2403" s="25">
        <v>20795</v>
      </c>
      <c r="D2403" s="22" t="s">
        <v>3581</v>
      </c>
      <c r="E2403" s="22" t="s">
        <v>107</v>
      </c>
      <c r="F2403" s="23" t="str">
        <f>HYPERLINK("https://www.spark-marketing.ru/Card/Lot/73021931", "Техническое обслуживание инженерно-технических средств охраны, 12 шт")</f>
        <v>Техническое обслуживание инженерно-технических средств охраны, 12 шт</v>
      </c>
      <c r="G2403" s="22" t="s">
        <v>565</v>
      </c>
      <c r="H2403" s="22" t="s">
        <v>566</v>
      </c>
      <c r="I2403" s="26">
        <v>43703.574328703697</v>
      </c>
      <c r="J2403" s="28" t="s">
        <v>52</v>
      </c>
      <c r="K2403" s="28" t="s">
        <v>52</v>
      </c>
      <c r="L2403" s="28" t="s">
        <v>52</v>
      </c>
      <c r="M2403" s="28" t="s">
        <v>52</v>
      </c>
      <c r="N2403" s="28" t="s">
        <v>52</v>
      </c>
    </row>
    <row r="2404" spans="1:14" x14ac:dyDescent="0.15">
      <c r="A2404" s="23" t="str">
        <f>HYPERLINK("https://www.spark-marketing.ru/Card/Person/8769", "АДМИНИСТРАЦИЯ ГО ЗАТО СВОБОДНЫЙ")</f>
        <v>АДМИНИСТРАЦИЯ ГО ЗАТО СВОБОДНЫЙ</v>
      </c>
      <c r="B2404" s="24" t="s">
        <v>3233</v>
      </c>
      <c r="C2404" s="25">
        <v>158229.6</v>
      </c>
      <c r="D2404" s="22" t="s">
        <v>3582</v>
      </c>
      <c r="E2404" s="22" t="s">
        <v>59</v>
      </c>
      <c r="F2404" s="23" t="str">
        <f>HYPERLINK("https://www.spark-marketing.ru/Card/Lot/73019712", "Выполнение работ по приобретению и установке светофора Т 7.1")</f>
        <v>Выполнение работ по приобретению и установке светофора Т 7.1</v>
      </c>
      <c r="G2404" s="22" t="s">
        <v>72</v>
      </c>
      <c r="H2404" s="22" t="s">
        <v>72</v>
      </c>
      <c r="I2404" s="26">
        <v>43703.4844675926</v>
      </c>
      <c r="J2404" s="23" t="str">
        <f>HYPERLINK("https://www.spark-marketing.ru/Card/Person/6694786", "Яхин Станислав Шавкятович")</f>
        <v>Яхин Станислав Шавкятович</v>
      </c>
      <c r="K2404" s="24" t="s">
        <v>3583</v>
      </c>
      <c r="L2404" s="22" t="s">
        <v>10</v>
      </c>
      <c r="M2404" s="28" t="s">
        <v>52</v>
      </c>
      <c r="N2404" s="28" t="s">
        <v>52</v>
      </c>
    </row>
    <row r="2405" spans="1:14" x14ac:dyDescent="0.15">
      <c r="A2405" s="23" t="str">
        <f>HYPERLINK("https://www.spark-marketing.ru/Card/Person/425599", "МО МВД РОССИИ ""ТЮКАЛИНСКИЙ""")</f>
        <v>МО МВД РОССИИ "ТЮКАЛИНСКИЙ"</v>
      </c>
      <c r="B2405" s="24" t="s">
        <v>3026</v>
      </c>
      <c r="C2405" s="25">
        <v>12000</v>
      </c>
      <c r="D2405" s="22" t="s">
        <v>3584</v>
      </c>
      <c r="E2405" s="22" t="s">
        <v>208</v>
      </c>
      <c r="F2405" s="23" t="str">
        <f>HYPERLINK("https://www.spark-marketing.ru/Card/Lot/73021502", "Кнопка тревожной сигнализации RS-201TK2, 4 шт")</f>
        <v>Кнопка тревожной сигнализации RS-201TK2, 4 шт</v>
      </c>
      <c r="G2405" s="22" t="s">
        <v>521</v>
      </c>
      <c r="H2405" s="22" t="s">
        <v>3028</v>
      </c>
      <c r="I2405" s="26">
        <v>43703.571678240703</v>
      </c>
      <c r="J2405" s="28" t="s">
        <v>52</v>
      </c>
      <c r="K2405" s="28" t="s">
        <v>52</v>
      </c>
      <c r="L2405" s="28" t="s">
        <v>52</v>
      </c>
      <c r="M2405" s="28" t="s">
        <v>52</v>
      </c>
      <c r="N2405" s="28" t="s">
        <v>52</v>
      </c>
    </row>
    <row r="2406" spans="1:14" x14ac:dyDescent="0.15">
      <c r="A2406" s="23" t="str">
        <f>HYPERLINK("https://www.spark-marketing.ru/Card/Person/4383106", "АО ""ВОСТСИБНЕФТЕГАЗ""")</f>
        <v>АО "ВОСТСИБНЕФТЕГАЗ"</v>
      </c>
      <c r="B2406" s="24" t="s">
        <v>3585</v>
      </c>
      <c r="C2406" s="28" t="s">
        <v>52</v>
      </c>
      <c r="D2406" s="22" t="s">
        <v>3586</v>
      </c>
      <c r="E2406" s="22" t="s">
        <v>3587</v>
      </c>
      <c r="F2406" s="23" t="str">
        <f>HYPERLINK("https://www.spark-marketing.ru/Card/Lot/73017911", "«Склад нефтепродуктов РПУ ЮТМ». Монтаж опор для установки камер видеонаблюдения.")</f>
        <v>«Склад нефтепродуктов РПУ ЮТМ». Монтаж опор для установки камер видеонаблюдения.</v>
      </c>
      <c r="G2406" s="22" t="s">
        <v>640</v>
      </c>
      <c r="H2406" s="22" t="s">
        <v>1524</v>
      </c>
      <c r="I2406" s="26">
        <v>43703.486111111102</v>
      </c>
      <c r="J2406" s="28" t="s">
        <v>52</v>
      </c>
      <c r="K2406" s="28" t="s">
        <v>52</v>
      </c>
      <c r="L2406" s="28" t="s">
        <v>52</v>
      </c>
      <c r="M2406" s="28" t="s">
        <v>52</v>
      </c>
      <c r="N2406" s="28" t="s">
        <v>52</v>
      </c>
    </row>
    <row r="2407" spans="1:14" x14ac:dyDescent="0.15">
      <c r="A2407" s="23" t="str">
        <f>HYPERLINK("https://www.spark-marketing.ru/Card/Person/17186", "КГБУЗ ""ГВВ""")</f>
        <v>КГБУЗ "ГВВ"</v>
      </c>
      <c r="B2407" s="24" t="s">
        <v>3588</v>
      </c>
      <c r="C2407" s="25">
        <v>139201</v>
      </c>
      <c r="D2407" s="22" t="s">
        <v>3589</v>
      </c>
      <c r="E2407" s="22" t="s">
        <v>84</v>
      </c>
      <c r="F2407" s="23" t="str">
        <f>HYPERLINK("https://www.spark-marketing.ru/Card/Lot/73010646", "Установка системы видеонаблюдения")</f>
        <v>Установка системы видеонаблюдения</v>
      </c>
      <c r="G2407" s="22" t="s">
        <v>409</v>
      </c>
      <c r="H2407" s="22" t="s">
        <v>878</v>
      </c>
      <c r="I2407" s="26">
        <v>43703.455983796302</v>
      </c>
      <c r="J2407" s="23" t="str">
        <f>HYPERLINK("https://www.spark-marketing.ru/Card/Person/6457129", "ООО ""ДВ ИНСТАЛ""")</f>
        <v>ООО "ДВ ИНСТАЛ"</v>
      </c>
      <c r="K2407" s="24" t="s">
        <v>3590</v>
      </c>
      <c r="L2407" s="22" t="s">
        <v>10</v>
      </c>
      <c r="M2407" s="28" t="s">
        <v>52</v>
      </c>
      <c r="N2407" s="28" t="s">
        <v>52</v>
      </c>
    </row>
    <row r="2408" spans="1:14" x14ac:dyDescent="0.15">
      <c r="A2408" s="23" t="str">
        <f>HYPERLINK("https://www.spark-marketing.ru/Card/Person/1867919", "ООО ""РН-РЕМОНТ НПО""")</f>
        <v>ООО "РН-РЕМОНТ НПО"</v>
      </c>
      <c r="B2408" s="24" t="s">
        <v>3008</v>
      </c>
      <c r="C2408" s="28" t="s">
        <v>52</v>
      </c>
      <c r="D2408" s="22" t="s">
        <v>3591</v>
      </c>
      <c r="E2408" s="22" t="s">
        <v>363</v>
      </c>
      <c r="F2408" s="23" t="str">
        <f>HYPERLINK("https://www.spark-marketing.ru/Card/Lot/73017886", "Оказание охранных услуг")</f>
        <v>Оказание охранных услуг</v>
      </c>
      <c r="G2408" s="22" t="s">
        <v>760</v>
      </c>
      <c r="H2408" s="22" t="s">
        <v>3010</v>
      </c>
      <c r="I2408" s="26">
        <v>43703.454166666699</v>
      </c>
      <c r="J2408" s="28" t="s">
        <v>52</v>
      </c>
      <c r="K2408" s="28" t="s">
        <v>52</v>
      </c>
      <c r="L2408" s="28" t="s">
        <v>52</v>
      </c>
      <c r="M2408" s="28" t="s">
        <v>52</v>
      </c>
      <c r="N2408" s="28" t="s">
        <v>52</v>
      </c>
    </row>
    <row r="2409" spans="1:14" x14ac:dyDescent="0.15">
      <c r="A2409" s="23" t="str">
        <f t="shared" ref="A2409:A2416" si="106">HYPERLINK("https://www.spark-marketing.ru/Card/Person/1967344", "МБУК ""ДК ЗАТО ЗВЕЗДНЫЙ""")</f>
        <v>МБУК "ДК ЗАТО ЗВЕЗДНЫЙ"</v>
      </c>
      <c r="B2409" s="24" t="s">
        <v>3592</v>
      </c>
      <c r="C2409" s="25">
        <v>192839.09</v>
      </c>
      <c r="D2409" s="22" t="s">
        <v>3593</v>
      </c>
      <c r="E2409" s="22" t="s">
        <v>84</v>
      </c>
      <c r="F2409" s="23" t="str">
        <f t="shared" ref="F2409:F2416" si="107">HYPERLINK("https://www.spark-marketing.ru/Card/Lot/73012263", "Монтаж, установка, сборка (Монтаж системы охранного видеонаблюдения на здании МБУК ""ДК ЗАТО Звёздный"" )")</f>
        <v>Монтаж, установка, сборка (Монтаж системы охранного видеонаблюдения на здании МБУК "ДК ЗАТО Звёздный" )</v>
      </c>
      <c r="G2409" s="22" t="s">
        <v>391</v>
      </c>
      <c r="H2409" s="22" t="s">
        <v>391</v>
      </c>
      <c r="I2409" s="26">
        <v>43702.762349536999</v>
      </c>
      <c r="J2409" s="28" t="s">
        <v>52</v>
      </c>
      <c r="K2409" s="28" t="s">
        <v>52</v>
      </c>
      <c r="L2409" s="28" t="s">
        <v>52</v>
      </c>
      <c r="M2409" s="28" t="s">
        <v>52</v>
      </c>
      <c r="N2409" s="28" t="s">
        <v>52</v>
      </c>
    </row>
    <row r="2410" spans="1:14" ht="12.75" hidden="1" outlineLevel="1" x14ac:dyDescent="0.2">
      <c r="A2410" s="23" t="str">
        <f t="shared" si="106"/>
        <v>МБУК "ДК ЗАТО ЗВЕЗДНЫЙ"</v>
      </c>
      <c r="B2410" s="24" t="s">
        <v>3592</v>
      </c>
      <c r="C2410" s="25">
        <v>192839.09</v>
      </c>
      <c r="D2410" s="22" t="s">
        <v>3593</v>
      </c>
      <c r="E2410" s="22" t="s">
        <v>84</v>
      </c>
      <c r="F2410" s="23" t="str">
        <f t="shared" si="107"/>
        <v>Монтаж, установка, сборка (Монтаж системы охранного видеонаблюдения на здании МБУК "ДК ЗАТО Звёздный" )</v>
      </c>
      <c r="G2410" s="22" t="s">
        <v>391</v>
      </c>
      <c r="H2410" s="22" t="s">
        <v>391</v>
      </c>
      <c r="I2410" s="26">
        <v>43702.762349536999</v>
      </c>
      <c r="J2410" s="23" t="str">
        <f>HYPERLINK("https://www.spark-marketing.ru/Card/Person/1436194", "ООО ""КАМАПРОЕКТСЕРВИС""")</f>
        <v>ООО "КАМАПРОЕКТСЕРВИС"</v>
      </c>
      <c r="K2410" s="24" t="s">
        <v>1611</v>
      </c>
      <c r="L2410" s="22" t="s">
        <v>10</v>
      </c>
      <c r="M2410" s="25">
        <v>49035.79</v>
      </c>
      <c r="N2410" s="27">
        <v>0.74571654533321019</v>
      </c>
    </row>
    <row r="2411" spans="1:14" hidden="1" outlineLevel="1" x14ac:dyDescent="0.2">
      <c r="A2411" s="23" t="str">
        <f t="shared" si="106"/>
        <v>МБУК "ДК ЗАТО ЗВЕЗДНЫЙ"</v>
      </c>
      <c r="B2411" s="24" t="s">
        <v>3592</v>
      </c>
      <c r="C2411" s="25">
        <v>192839.09</v>
      </c>
      <c r="D2411" s="22" t="s">
        <v>3593</v>
      </c>
      <c r="E2411" s="22" t="s">
        <v>84</v>
      </c>
      <c r="F2411" s="23" t="str">
        <f t="shared" si="107"/>
        <v>Монтаж, установка, сборка (Монтаж системы охранного видеонаблюдения на здании МБУК "ДК ЗАТО Звёздный" )</v>
      </c>
      <c r="G2411" s="22" t="s">
        <v>391</v>
      </c>
      <c r="H2411" s="22" t="s">
        <v>391</v>
      </c>
      <c r="I2411" s="26">
        <v>43702.762349536999</v>
      </c>
      <c r="J2411" s="23" t="str">
        <f>HYPERLINK("https://www.spark-marketing.ru/Card/Person/6443823", "ООО ""СВН""")</f>
        <v>ООО "СВН"</v>
      </c>
      <c r="K2411" s="24" t="s">
        <v>3594</v>
      </c>
      <c r="L2411" s="28" t="s">
        <v>52</v>
      </c>
      <c r="M2411" s="25">
        <v>57107.4</v>
      </c>
      <c r="N2411" s="27">
        <v>0.70385983464244728</v>
      </c>
    </row>
    <row r="2412" spans="1:14" hidden="1" outlineLevel="1" x14ac:dyDescent="0.2">
      <c r="A2412" s="23" t="str">
        <f t="shared" si="106"/>
        <v>МБУК "ДК ЗАТО ЗВЕЗДНЫЙ"</v>
      </c>
      <c r="B2412" s="24" t="s">
        <v>3592</v>
      </c>
      <c r="C2412" s="25">
        <v>192839.09</v>
      </c>
      <c r="D2412" s="22" t="s">
        <v>3593</v>
      </c>
      <c r="E2412" s="22" t="s">
        <v>84</v>
      </c>
      <c r="F2412" s="23" t="str">
        <f t="shared" si="107"/>
        <v>Монтаж, установка, сборка (Монтаж системы охранного видеонаблюдения на здании МБУК "ДК ЗАТО Звёздный" )</v>
      </c>
      <c r="G2412" s="22" t="s">
        <v>391</v>
      </c>
      <c r="H2412" s="22" t="s">
        <v>391</v>
      </c>
      <c r="I2412" s="26">
        <v>43702.762349536999</v>
      </c>
      <c r="J2412" s="23" t="str">
        <f>HYPERLINK("https://www.spark-marketing.ru/Card/Person/6251153", "Тарасова Надежда Сергеевна")</f>
        <v>Тарасова Надежда Сергеевна</v>
      </c>
      <c r="K2412" s="24" t="s">
        <v>3146</v>
      </c>
      <c r="L2412" s="28" t="s">
        <v>52</v>
      </c>
      <c r="M2412" s="25">
        <v>107989.89</v>
      </c>
      <c r="N2412" s="27">
        <v>0.44000000207426826</v>
      </c>
    </row>
    <row r="2413" spans="1:14" hidden="1" outlineLevel="1" x14ac:dyDescent="0.2">
      <c r="A2413" s="23" t="str">
        <f t="shared" si="106"/>
        <v>МБУК "ДК ЗАТО ЗВЕЗДНЫЙ"</v>
      </c>
      <c r="B2413" s="24" t="s">
        <v>3592</v>
      </c>
      <c r="C2413" s="25">
        <v>192839.09</v>
      </c>
      <c r="D2413" s="22" t="s">
        <v>3593</v>
      </c>
      <c r="E2413" s="22" t="s">
        <v>84</v>
      </c>
      <c r="F2413" s="23" t="str">
        <f t="shared" si="107"/>
        <v>Монтаж, установка, сборка (Монтаж системы охранного видеонаблюдения на здании МБУК "ДК ЗАТО Звёздный" )</v>
      </c>
      <c r="G2413" s="22" t="s">
        <v>391</v>
      </c>
      <c r="H2413" s="22" t="s">
        <v>391</v>
      </c>
      <c r="I2413" s="26">
        <v>43702.762349536999</v>
      </c>
      <c r="J2413" s="23" t="str">
        <f>HYPERLINK("https://www.spark-marketing.ru/Card/Person/2562779", "ООО ""ЭНТЕР""")</f>
        <v>ООО "ЭНТЕР"</v>
      </c>
      <c r="K2413" s="24" t="s">
        <v>2355</v>
      </c>
      <c r="L2413" s="28" t="s">
        <v>52</v>
      </c>
      <c r="M2413" s="25">
        <v>49999.99</v>
      </c>
      <c r="N2413" s="27">
        <v>0.74071652173840896</v>
      </c>
    </row>
    <row r="2414" spans="1:14" hidden="1" outlineLevel="1" x14ac:dyDescent="0.2">
      <c r="A2414" s="23" t="str">
        <f t="shared" si="106"/>
        <v>МБУК "ДК ЗАТО ЗВЕЗДНЫЙ"</v>
      </c>
      <c r="B2414" s="24" t="s">
        <v>3592</v>
      </c>
      <c r="C2414" s="25">
        <v>192839.09</v>
      </c>
      <c r="D2414" s="22" t="s">
        <v>3593</v>
      </c>
      <c r="E2414" s="22" t="s">
        <v>84</v>
      </c>
      <c r="F2414" s="23" t="str">
        <f t="shared" si="107"/>
        <v>Монтаж, установка, сборка (Монтаж системы охранного видеонаблюдения на здании МБУК "ДК ЗАТО Звёздный" )</v>
      </c>
      <c r="G2414" s="22" t="s">
        <v>391</v>
      </c>
      <c r="H2414" s="22" t="s">
        <v>391</v>
      </c>
      <c r="I2414" s="26">
        <v>43702.762349536999</v>
      </c>
      <c r="J2414" s="23" t="str">
        <f>HYPERLINK("https://www.spark-marketing.ru/Card/Person/6327420", "ООО ""АРС""")</f>
        <v>ООО "АРС"</v>
      </c>
      <c r="K2414" s="24" t="s">
        <v>3595</v>
      </c>
      <c r="L2414" s="28" t="s">
        <v>52</v>
      </c>
      <c r="M2414" s="25">
        <v>78099.789999999994</v>
      </c>
      <c r="N2414" s="27">
        <v>0.59500021494604649</v>
      </c>
    </row>
    <row r="2415" spans="1:14" hidden="1" outlineLevel="1" x14ac:dyDescent="0.2">
      <c r="A2415" s="23" t="str">
        <f t="shared" si="106"/>
        <v>МБУК "ДК ЗАТО ЗВЕЗДНЫЙ"</v>
      </c>
      <c r="B2415" s="24" t="s">
        <v>3592</v>
      </c>
      <c r="C2415" s="25">
        <v>192839.09</v>
      </c>
      <c r="D2415" s="22" t="s">
        <v>3593</v>
      </c>
      <c r="E2415" s="22" t="s">
        <v>84</v>
      </c>
      <c r="F2415" s="23" t="str">
        <f t="shared" si="107"/>
        <v>Монтаж, установка, сборка (Монтаж системы охранного видеонаблюдения на здании МБУК "ДК ЗАТО Звёздный" )</v>
      </c>
      <c r="G2415" s="22" t="s">
        <v>391</v>
      </c>
      <c r="H2415" s="22" t="s">
        <v>391</v>
      </c>
      <c r="I2415" s="26">
        <v>43702.762349536999</v>
      </c>
      <c r="J2415" s="23" t="str">
        <f>HYPERLINK("https://www.spark-marketing.ru/Card/Person/753747", "ООО ""СКУД""")</f>
        <v>ООО "СКУД"</v>
      </c>
      <c r="K2415" s="24" t="s">
        <v>1612</v>
      </c>
      <c r="L2415" s="28" t="s">
        <v>52</v>
      </c>
      <c r="M2415" s="25">
        <v>85813.39</v>
      </c>
      <c r="N2415" s="27">
        <v>0.55500002618763655</v>
      </c>
    </row>
    <row r="2416" spans="1:14" hidden="1" outlineLevel="1" x14ac:dyDescent="0.2">
      <c r="A2416" s="23" t="str">
        <f t="shared" si="106"/>
        <v>МБУК "ДК ЗАТО ЗВЕЗДНЫЙ"</v>
      </c>
      <c r="B2416" s="24" t="s">
        <v>3592</v>
      </c>
      <c r="C2416" s="25">
        <v>192839.09</v>
      </c>
      <c r="D2416" s="22" t="s">
        <v>3593</v>
      </c>
      <c r="E2416" s="22" t="s">
        <v>84</v>
      </c>
      <c r="F2416" s="23" t="str">
        <f t="shared" si="107"/>
        <v>Монтаж, установка, сборка (Монтаж системы охранного видеонаблюдения на здании МБУК "ДК ЗАТО Звёздный" )</v>
      </c>
      <c r="G2416" s="22" t="s">
        <v>391</v>
      </c>
      <c r="H2416" s="22" t="s">
        <v>391</v>
      </c>
      <c r="I2416" s="26">
        <v>43702.762349536999</v>
      </c>
      <c r="J2416" s="23" t="str">
        <f>HYPERLINK("https://www.spark-marketing.ru/Card/Person/5853123", "Ершов Андрей Алексеевич")</f>
        <v>Ершов Андрей Алексеевич</v>
      </c>
      <c r="K2416" s="24" t="s">
        <v>1063</v>
      </c>
      <c r="L2416" s="28" t="s">
        <v>52</v>
      </c>
      <c r="M2416" s="25">
        <v>99000</v>
      </c>
      <c r="N2416" s="27">
        <v>0.48661861036577181</v>
      </c>
    </row>
    <row r="2417" spans="1:14" x14ac:dyDescent="0.15">
      <c r="A2417" s="23" t="str">
        <f>HYPERLINK("https://www.spark-marketing.ru/Card/Person/1006699", "МКУ ""АДМИНИСТРАТИВНЫЙ ЦЕНТР""")</f>
        <v>МКУ "АДМИНИСТРАТИВНЫЙ ЦЕНТР"</v>
      </c>
      <c r="B2417" s="24" t="s">
        <v>1518</v>
      </c>
      <c r="C2417" s="25">
        <v>19037.810000000001</v>
      </c>
      <c r="D2417" s="22" t="s">
        <v>3596</v>
      </c>
      <c r="E2417" s="22" t="s">
        <v>59</v>
      </c>
      <c r="F2417" s="23" t="str">
        <f>HYPERLINK("https://www.spark-marketing.ru/Card/Lot/73013484", "Выполнение работ по установке и обслуживанию тревожной кнопки в здании администрации Гороховецкого района")</f>
        <v>Выполнение работ по установке и обслуживанию тревожной кнопки в здании администрации Гороховецкого района</v>
      </c>
      <c r="G2417" s="22" t="s">
        <v>145</v>
      </c>
      <c r="H2417" s="22" t="s">
        <v>145</v>
      </c>
      <c r="I2417" s="26">
        <v>43703.338576388902</v>
      </c>
      <c r="J2417" s="28" t="s">
        <v>52</v>
      </c>
      <c r="K2417" s="28" t="s">
        <v>52</v>
      </c>
      <c r="L2417" s="28" t="s">
        <v>52</v>
      </c>
      <c r="M2417" s="28" t="s">
        <v>52</v>
      </c>
      <c r="N2417" s="28" t="s">
        <v>52</v>
      </c>
    </row>
    <row r="2418" spans="1:14" x14ac:dyDescent="0.15">
      <c r="A2418" s="23" t="str">
        <f>HYPERLINK("https://www.spark-marketing.ru/Card/Person/1023269", "КГКУ ДЕТСКИЙ ДОМ 23")</f>
        <v>КГКУ ДЕТСКИЙ ДОМ 23</v>
      </c>
      <c r="B2418" s="24" t="s">
        <v>3597</v>
      </c>
      <c r="C2418" s="25">
        <v>8000</v>
      </c>
      <c r="D2418" s="22" t="s">
        <v>3598</v>
      </c>
      <c r="E2418" s="22" t="s">
        <v>107</v>
      </c>
      <c r="F2418" s="23" t="str">
        <f>HYPERLINK("https://www.spark-marketing.ru/Card/Lot/73010159", "Техническое обслуживание системы видеонаблюдения, 1 шт")</f>
        <v>Техническое обслуживание системы видеонаблюдения, 1 шт</v>
      </c>
      <c r="G2418" s="22" t="s">
        <v>138</v>
      </c>
      <c r="H2418" s="22" t="s">
        <v>3599</v>
      </c>
      <c r="I2418" s="26">
        <v>43703.1896180556</v>
      </c>
      <c r="J2418" s="28" t="s">
        <v>52</v>
      </c>
      <c r="K2418" s="28" t="s">
        <v>52</v>
      </c>
      <c r="L2418" s="28" t="s">
        <v>52</v>
      </c>
      <c r="M2418" s="28" t="s">
        <v>52</v>
      </c>
      <c r="N2418" s="28" t="s">
        <v>52</v>
      </c>
    </row>
    <row r="2419" spans="1:14" x14ac:dyDescent="0.15">
      <c r="A2419" s="23" t="str">
        <f>HYPERLINK("https://www.spark-marketing.ru/Card/Person/31865", "АО ""ОКБМ АФРИКАНТОВ""")</f>
        <v>АО "ОКБМ АФРИКАНТОВ"</v>
      </c>
      <c r="B2419" s="24" t="s">
        <v>752</v>
      </c>
      <c r="C2419" s="28" t="s">
        <v>52</v>
      </c>
      <c r="D2419" s="22" t="s">
        <v>3600</v>
      </c>
      <c r="E2419" s="22" t="s">
        <v>53</v>
      </c>
      <c r="F2419" s="23" t="str">
        <f>HYPERLINK("https://www.spark-marketing.ru/Card/Lot/73031262", "Оказание услуг по охране здания, имущества и общественного порядка Делового центра АО «ОКБМ Африкантов», г. Нижний Новгород, ул. Шаляпина, 23А (1327902)")</f>
        <v>Оказание услуг по охране здания, имущества и общественного порядка Делового центра АО «ОКБМ Африкантов», г. Нижний Новгород, ул. Шаляпина, 23А (1327902)</v>
      </c>
      <c r="G2419" s="22" t="s">
        <v>64</v>
      </c>
      <c r="H2419" s="22" t="s">
        <v>65</v>
      </c>
      <c r="I2419" s="26">
        <v>43703.610891203702</v>
      </c>
      <c r="J2419" s="28" t="s">
        <v>52</v>
      </c>
      <c r="K2419" s="28" t="s">
        <v>52</v>
      </c>
      <c r="L2419" s="28" t="s">
        <v>52</v>
      </c>
      <c r="M2419" s="28" t="s">
        <v>52</v>
      </c>
      <c r="N2419" s="28" t="s">
        <v>52</v>
      </c>
    </row>
    <row r="2420" spans="1:14" x14ac:dyDescent="0.15">
      <c r="A2420" s="23" t="str">
        <f>HYPERLINK("https://www.spark-marketing.ru/Card/Person/4357680", "АО ""КОВДОРСКИЙ ГОК""")</f>
        <v>АО "КОВДОРСКИЙ ГОК"</v>
      </c>
      <c r="B2420" s="24" t="s">
        <v>3601</v>
      </c>
      <c r="C2420" s="25">
        <v>0</v>
      </c>
      <c r="D2420" s="22" t="s">
        <v>3602</v>
      </c>
      <c r="E2420" s="22" t="s">
        <v>1130</v>
      </c>
      <c r="F2420" s="23" t="str">
        <f>HYPERLINK("https://www.spark-marketing.ru/Card/Lot/73031260", "Тендер № RUKGK-5763 -Выполнение комплекса работ и мероприятий по категорированию объектов критической инфраструктуры (КИИ), сопровождению, согласованию результатов категорирования объектов КИИ до внесения их в Реестр значимого объекта КИИ.")</f>
        <v>Тендер № RUKGK-5763 -Выполнение комплекса работ и мероприятий по категорированию объектов критической инфраструктуры (КИИ), сопровождению, согласованию результатов категорирования объектов КИИ до внесения их в Реестр значимого объекта КИИ.</v>
      </c>
      <c r="G2420" s="22" t="s">
        <v>190</v>
      </c>
      <c r="H2420" s="22" t="s">
        <v>3603</v>
      </c>
      <c r="I2420" s="26">
        <v>43703.608726851897</v>
      </c>
      <c r="J2420" s="28" t="s">
        <v>52</v>
      </c>
      <c r="K2420" s="28" t="s">
        <v>52</v>
      </c>
      <c r="L2420" s="28" t="s">
        <v>52</v>
      </c>
      <c r="M2420" s="28" t="s">
        <v>52</v>
      </c>
      <c r="N2420" s="28" t="s">
        <v>52</v>
      </c>
    </row>
    <row r="2421" spans="1:14" x14ac:dyDescent="0.2">
      <c r="A2421" s="23" t="str">
        <f>HYPERLINK("https://www.spark-marketing.ru/Card/Person/360615", "МУЖРП №12 Г.О. ПОДОЛЬСК")</f>
        <v>МУЖРП №12 Г.О. ПОДОЛЬСК</v>
      </c>
      <c r="B2421" s="24" t="s">
        <v>3604</v>
      </c>
      <c r="C2421" s="25">
        <v>992000</v>
      </c>
      <c r="D2421" s="22" t="s">
        <v>3605</v>
      </c>
      <c r="E2421" s="22" t="s">
        <v>691</v>
      </c>
      <c r="F2421" s="23" t="str">
        <f>HYPERLINK("https://www.spark-marketing.ru/Card/Lot/73023547", "Выполнение работ по установке видеокамер и предоставлению канала связи до Муниципального узла связи (МУС) Г.о. Подольск")</f>
        <v>Выполнение работ по установке видеокамер и предоставлению канала связи до Муниципального узла связи (МУС) Г.о. Подольск</v>
      </c>
      <c r="G2421" s="22" t="s">
        <v>50</v>
      </c>
      <c r="H2421" s="22" t="s">
        <v>50</v>
      </c>
      <c r="I2421" s="26">
        <v>43703</v>
      </c>
      <c r="J2421" s="28" t="s">
        <v>52</v>
      </c>
      <c r="K2421" s="28" t="s">
        <v>52</v>
      </c>
      <c r="L2421" s="22" t="s">
        <v>10</v>
      </c>
      <c r="M2421" s="25">
        <v>992000</v>
      </c>
      <c r="N2421" s="27">
        <v>0</v>
      </c>
    </row>
    <row r="2422" spans="1:14" x14ac:dyDescent="0.2">
      <c r="A2422" s="23" t="str">
        <f>HYPERLINK("https://www.spark-marketing.ru/Card/Person/93784", "ФГБУ ""ОБЪЕДИНЕННЫЙ САНАТОРИЙ ""РУСЬ""")</f>
        <v>ФГБУ "ОБЪЕДИНЕННЫЙ САНАТОРИЙ "РУСЬ"</v>
      </c>
      <c r="B2422" s="24" t="s">
        <v>3606</v>
      </c>
      <c r="C2422" s="25">
        <v>525071.52</v>
      </c>
      <c r="D2422" s="22" t="s">
        <v>3607</v>
      </c>
      <c r="E2422" s="22" t="s">
        <v>3608</v>
      </c>
      <c r="F2422" s="23" t="str">
        <f>HYPERLINK("https://www.spark-marketing.ru/Card/Lot/73002517", "Оказание услуг по технической поддержке и лицензионному сопровождению системы управления объектами размещения Epitome PMS")</f>
        <v>Оказание услуг по технической поддержке и лицензионному сопровождению системы управления объектами размещения Epitome PMS</v>
      </c>
      <c r="G2422" s="22" t="s">
        <v>132</v>
      </c>
      <c r="H2422" s="22" t="s">
        <v>1126</v>
      </c>
      <c r="I2422" s="26">
        <v>43700</v>
      </c>
      <c r="J2422" s="28" t="s">
        <v>52</v>
      </c>
      <c r="K2422" s="28" t="s">
        <v>52</v>
      </c>
      <c r="L2422" s="22" t="s">
        <v>10</v>
      </c>
      <c r="M2422" s="25">
        <v>466174.56</v>
      </c>
      <c r="N2422" s="27">
        <v>0.1121694050364796</v>
      </c>
    </row>
    <row r="2423" spans="1:14" x14ac:dyDescent="0.2">
      <c r="A2423" s="23" t="str">
        <f>HYPERLINK("https://www.spark-marketing.ru/Card/Person/20539", "СПБ ГБУК ""ГОСУДАРСТВЕННЫЙ МУЗЕЙ ИСТОРИИ САНКТ-ПЕТЕРБУРГА""")</f>
        <v>СПБ ГБУК "ГОСУДАРСТВЕННЫЙ МУЗЕЙ ИСТОРИИ САНКТ-ПЕТЕРБУРГА"</v>
      </c>
      <c r="B2423" s="24" t="s">
        <v>3609</v>
      </c>
      <c r="C2423" s="25">
        <v>599236.81999999995</v>
      </c>
      <c r="D2423" s="22" t="s">
        <v>3610</v>
      </c>
      <c r="E2423" s="22" t="s">
        <v>278</v>
      </c>
      <c r="F2423" s="23" t="str">
        <f>HYPERLINK("https://www.spark-marketing.ru/Card/Lot/73018692", "Выполнение работ по прокладке кабелей для установки автоматической охранной сигнализации (ОС) и оповещения управления эвакуацией в помещениях здания, расположенного по адресу: г. Санкт-Петербург, Петропавловская крепость, д.3, лит. Л. для Санкт-Петер...")</f>
        <v>Выполнение работ по прокладке кабелей для установки автоматической охранной сигнализации (ОС) и оповещения управления эвакуацией в помещениях здания, расположенного по адресу: г. Санкт-Петербург, Петропавловская крепость, д.3, лит. Л. для Санкт-Петер...</v>
      </c>
      <c r="G2423" s="22" t="s">
        <v>89</v>
      </c>
      <c r="H2423" s="22" t="s">
        <v>89</v>
      </c>
      <c r="I2423" s="26">
        <v>43703</v>
      </c>
      <c r="J2423" s="28" t="s">
        <v>52</v>
      </c>
      <c r="K2423" s="28" t="s">
        <v>52</v>
      </c>
      <c r="L2423" s="22" t="s">
        <v>10</v>
      </c>
      <c r="M2423" s="25">
        <v>599236.81999999995</v>
      </c>
      <c r="N2423" s="27">
        <v>0</v>
      </c>
    </row>
    <row r="2424" spans="1:14" x14ac:dyDescent="0.15">
      <c r="A2424" s="23" t="str">
        <f>HYPERLINK("https://www.spark-marketing.ru/Card/Person/30759", "ПАО ""МТС""")</f>
        <v>ПАО "МТС"</v>
      </c>
      <c r="B2424" s="24" t="s">
        <v>1834</v>
      </c>
      <c r="C2424" s="28" t="s">
        <v>52</v>
      </c>
      <c r="D2424" s="28" t="s">
        <v>52</v>
      </c>
      <c r="E2424" s="22" t="s">
        <v>53</v>
      </c>
      <c r="F2424" s="23" t="str">
        <f>HYPERLINK("https://www.spark-marketing.ru/Card/Lot/73024385", "Уведомление о проведении открытого запроса предложений на право заключения договора на оказание услуг невооруженной физической охраны объекта филиала ПАО МТС в г. Чебоксары. (Торги № 101908)")</f>
        <v>Уведомление о проведении открытого запроса предложений на право заключения договора на оказание услуг невооруженной физической охраны объекта филиала ПАО МТС в г. Чебоксары. (Торги № 101908)</v>
      </c>
      <c r="G2424" s="22" t="s">
        <v>55</v>
      </c>
      <c r="H2424" s="22" t="s">
        <v>55</v>
      </c>
      <c r="I2424" s="26">
        <v>43703</v>
      </c>
      <c r="J2424" s="28" t="s">
        <v>52</v>
      </c>
      <c r="K2424" s="28" t="s">
        <v>52</v>
      </c>
      <c r="L2424" s="28" t="s">
        <v>52</v>
      </c>
      <c r="M2424" s="28" t="s">
        <v>52</v>
      </c>
      <c r="N2424" s="28" t="s">
        <v>52</v>
      </c>
    </row>
    <row r="2425" spans="1:14" x14ac:dyDescent="0.15">
      <c r="A2425" s="23" t="str">
        <f>HYPERLINK("https://www.spark-marketing.ru/Card/Person/130109", "ПАО БАНК ""ФК ОТКРЫТИЕ""")</f>
        <v>ПАО БАНК "ФК ОТКРЫТИЕ"</v>
      </c>
      <c r="B2425" s="24" t="s">
        <v>693</v>
      </c>
      <c r="C2425" s="25">
        <v>8620290</v>
      </c>
      <c r="D2425" s="22" t="s">
        <v>3611</v>
      </c>
      <c r="E2425" s="22" t="s">
        <v>53</v>
      </c>
      <c r="F2425" s="23" t="str">
        <f>HYPERLINK("https://www.spark-marketing.ru/Card/Lot/73020284", "Оказание охранных услуг по физической охране 3-х постов охраны на 2-х объектах Филиала Западно-Сибирский ПАО Банка «ФК Открытие» в г.Тюмень.")</f>
        <v>Оказание охранных услуг по физической охране 3-х постов охраны на 2-х объектах Филиала Западно-Сибирский ПАО Банка «ФК Открытие» в г.Тюмень.</v>
      </c>
      <c r="G2425" s="22" t="s">
        <v>55</v>
      </c>
      <c r="H2425" s="22" t="s">
        <v>55</v>
      </c>
      <c r="I2425" s="26">
        <v>43703</v>
      </c>
      <c r="J2425" s="28" t="s">
        <v>52</v>
      </c>
      <c r="K2425" s="28" t="s">
        <v>52</v>
      </c>
      <c r="L2425" s="28" t="s">
        <v>52</v>
      </c>
      <c r="M2425" s="28" t="s">
        <v>52</v>
      </c>
      <c r="N2425" s="28" t="s">
        <v>52</v>
      </c>
    </row>
    <row r="2426" spans="1:14" x14ac:dyDescent="0.2">
      <c r="A2426" s="23" t="str">
        <f>HYPERLINK("https://www.spark-marketing.ru/Card/Person/4348484", "ОАО ""МРСК УРАЛА""")</f>
        <v>ОАО "МРСК УРАЛА"</v>
      </c>
      <c r="B2426" s="24" t="s">
        <v>3612</v>
      </c>
      <c r="C2426" s="25">
        <v>5550000</v>
      </c>
      <c r="D2426" s="22" t="s">
        <v>3613</v>
      </c>
      <c r="E2426" s="22" t="s">
        <v>867</v>
      </c>
      <c r="F2426" s="23" t="str">
        <f>HYPERLINK("https://www.spark-marketing.ru/Card/Lot/73020193", "Предоставление услуг по сервисному обслуживанию оборудования аудио/видеоконференц-связи и систем видеоотображения ОАО «МРСК Урала»")</f>
        <v>Предоставление услуг по сервисному обслуживанию оборудования аудио/видеоконференц-связи и систем видеоотображения ОАО «МРСК Урала»</v>
      </c>
      <c r="G2426" s="22" t="s">
        <v>72</v>
      </c>
      <c r="H2426" s="22" t="s">
        <v>949</v>
      </c>
      <c r="I2426" s="26">
        <v>43703</v>
      </c>
      <c r="J2426" s="28" t="s">
        <v>52</v>
      </c>
      <c r="K2426" s="28" t="s">
        <v>52</v>
      </c>
      <c r="L2426" s="28" t="s">
        <v>52</v>
      </c>
      <c r="M2426" s="25">
        <v>0</v>
      </c>
      <c r="N2426" s="27">
        <v>1</v>
      </c>
    </row>
    <row r="2427" spans="1:14" x14ac:dyDescent="0.2">
      <c r="A2427" s="23" t="str">
        <f>HYPERLINK("https://www.spark-marketing.ru/Card/Person/4357248", "АО ""МЕЖДУНАРОДНЫЙ АЭРОПОРТ ИРКУТСК""")</f>
        <v>АО "МЕЖДУНАРОДНЫЙ АЭРОПОРТ ИРКУТСК"</v>
      </c>
      <c r="B2427" s="24" t="s">
        <v>3614</v>
      </c>
      <c r="C2427" s="25">
        <v>10295970</v>
      </c>
      <c r="D2427" s="22" t="s">
        <v>3615</v>
      </c>
      <c r="E2427" s="22" t="s">
        <v>3616</v>
      </c>
      <c r="F2427" s="23" t="str">
        <f>HYPERLINK("https://www.spark-marketing.ru/Card/Lot/72991558", "Поставка радиолокационного оптического комплекса ""ORWELL-R""")</f>
        <v>Поставка радиолокационного оптического комплекса "ORWELL-R"</v>
      </c>
      <c r="G2427" s="22" t="s">
        <v>281</v>
      </c>
      <c r="H2427" s="22" t="s">
        <v>281</v>
      </c>
      <c r="I2427" s="26">
        <v>43700</v>
      </c>
      <c r="J2427" s="28" t="s">
        <v>52</v>
      </c>
      <c r="K2427" s="28" t="s">
        <v>52</v>
      </c>
      <c r="L2427" s="22" t="s">
        <v>10</v>
      </c>
      <c r="M2427" s="25">
        <v>10295470</v>
      </c>
      <c r="N2427" s="27">
        <v>4.8562690062228232E-5</v>
      </c>
    </row>
    <row r="2428" spans="1:14" x14ac:dyDescent="0.15">
      <c r="A2428" s="23" t="str">
        <f>HYPERLINK("https://www.spark-marketing.ru/Card/Person/1756421", "АО ""НИИР""")</f>
        <v>АО "НИИР"</v>
      </c>
      <c r="B2428" s="24" t="s">
        <v>3617</v>
      </c>
      <c r="C2428" s="25">
        <v>267150</v>
      </c>
      <c r="D2428" s="22" t="s">
        <v>3618</v>
      </c>
      <c r="E2428" s="22" t="s">
        <v>3619</v>
      </c>
      <c r="F2428" s="23" t="str">
        <f>HYPERLINK("https://www.spark-marketing.ru/Card/Lot/73018995", "Выполнение работ по техническому обслуживанию автоматики безопасности и сигнализации 2 (двух) котлов и 2 (двух) клапанов отсекателей")</f>
        <v>Выполнение работ по техническому обслуживанию автоматики безопасности и сигнализации 2 (двух) котлов и 2 (двух) клапанов отсекателей</v>
      </c>
      <c r="G2428" s="22" t="s">
        <v>55</v>
      </c>
      <c r="H2428" s="22" t="s">
        <v>55</v>
      </c>
      <c r="I2428" s="26">
        <v>43703</v>
      </c>
      <c r="J2428" s="28" t="s">
        <v>52</v>
      </c>
      <c r="K2428" s="28" t="s">
        <v>52</v>
      </c>
      <c r="L2428" s="28" t="s">
        <v>52</v>
      </c>
      <c r="M2428" s="28" t="s">
        <v>52</v>
      </c>
      <c r="N2428" s="28" t="s">
        <v>52</v>
      </c>
    </row>
    <row r="2429" spans="1:14" x14ac:dyDescent="0.2">
      <c r="A2429" s="23" t="str">
        <f>HYPERLINK("https://www.spark-marketing.ru/Card/Person/111779", "ГАУ РО ""ОКДЦ""")</f>
        <v>ГАУ РО "ОКДЦ"</v>
      </c>
      <c r="B2429" s="24" t="s">
        <v>3620</v>
      </c>
      <c r="C2429" s="25">
        <v>89400</v>
      </c>
      <c r="D2429" s="22" t="s">
        <v>3621</v>
      </c>
      <c r="E2429" s="22" t="s">
        <v>3622</v>
      </c>
      <c r="F2429" s="23" t="str">
        <f>HYPERLINK("https://www.spark-marketing.ru/Card/Lot/73016879", "Закупка работ по техническому обслуживанию системы видеонаблюдения")</f>
        <v>Закупка работ по техническому обслуживанию системы видеонаблюдения</v>
      </c>
      <c r="G2429" s="22" t="s">
        <v>402</v>
      </c>
      <c r="H2429" s="22" t="s">
        <v>402</v>
      </c>
      <c r="I2429" s="26">
        <v>43703</v>
      </c>
      <c r="J2429" s="28" t="s">
        <v>52</v>
      </c>
      <c r="K2429" s="28" t="s">
        <v>52</v>
      </c>
      <c r="L2429" s="28" t="s">
        <v>52</v>
      </c>
      <c r="M2429" s="25">
        <v>89400</v>
      </c>
      <c r="N2429" s="27">
        <v>0</v>
      </c>
    </row>
    <row r="2430" spans="1:14" x14ac:dyDescent="0.15">
      <c r="A2430" s="23" t="str">
        <f>HYPERLINK("https://www.spark-marketing.ru/Card/Person/5872457", "МБДОУ Д/С № 44")</f>
        <v>МБДОУ Д/С № 44</v>
      </c>
      <c r="B2430" s="24" t="s">
        <v>3623</v>
      </c>
      <c r="C2430" s="25">
        <v>26000</v>
      </c>
      <c r="D2430" s="22" t="s">
        <v>3624</v>
      </c>
      <c r="E2430" s="22" t="s">
        <v>84</v>
      </c>
      <c r="F2430" s="23" t="str">
        <f>HYPERLINK("https://www.spark-marketing.ru/Card/Lot/73008861", "Выполнение работ по установке и замене (модернизации ) систем охранного видеонаблюдения ( установка жестких дисков)")</f>
        <v>Выполнение работ по установке и замене (модернизации ) систем охранного видеонаблюдения ( установка жестких дисков)</v>
      </c>
      <c r="G2430" s="22" t="s">
        <v>50</v>
      </c>
      <c r="H2430" s="22" t="s">
        <v>51</v>
      </c>
      <c r="I2430" s="26">
        <v>43702.784351851798</v>
      </c>
      <c r="J2430" s="28" t="s">
        <v>52</v>
      </c>
      <c r="K2430" s="28" t="s">
        <v>52</v>
      </c>
      <c r="L2430" s="28" t="s">
        <v>52</v>
      </c>
      <c r="M2430" s="28" t="s">
        <v>52</v>
      </c>
      <c r="N2430" s="28" t="s">
        <v>52</v>
      </c>
    </row>
    <row r="2431" spans="1:14" x14ac:dyDescent="0.15">
      <c r="A2431" s="23" t="str">
        <f>HYPERLINK("https://www.spark-marketing.ru/Card/Person/639227", "ОТДЕЛ МВД РОССИИ ПО КАЛТАСИНСКОМУ РАЙОНУ")</f>
        <v>ОТДЕЛ МВД РОССИИ ПО КАЛТАСИНСКОМУ РАЙОНУ</v>
      </c>
      <c r="B2431" s="24" t="s">
        <v>577</v>
      </c>
      <c r="C2431" s="25">
        <v>20000</v>
      </c>
      <c r="D2431" s="22" t="s">
        <v>3625</v>
      </c>
      <c r="E2431" s="22" t="s">
        <v>107</v>
      </c>
      <c r="F2431" s="23" t="str">
        <f>HYPERLINK("https://www.spark-marketing.ru/Card/Lot/73007663", "Техническое обслуживание средств ОС, ОПС, ТС, видеонаблюдения и СКУД, 1 шт")</f>
        <v>Техническое обслуживание средств ОС, ОПС, ТС, видеонаблюдения и СКУД, 1 шт</v>
      </c>
      <c r="G2431" s="22" t="s">
        <v>100</v>
      </c>
      <c r="H2431" s="22" t="s">
        <v>579</v>
      </c>
      <c r="I2431" s="26">
        <v>43701.4524537037</v>
      </c>
      <c r="J2431" s="28" t="s">
        <v>52</v>
      </c>
      <c r="K2431" s="28" t="s">
        <v>52</v>
      </c>
      <c r="L2431" s="28" t="s">
        <v>52</v>
      </c>
      <c r="M2431" s="28" t="s">
        <v>52</v>
      </c>
      <c r="N2431" s="28" t="s">
        <v>52</v>
      </c>
    </row>
    <row r="2432" spans="1:14" x14ac:dyDescent="0.15">
      <c r="A2432" s="23" t="str">
        <f>HYPERLINK("https://www.spark-marketing.ru/Card/Person/1068727", "ОТД МВД РОССИИ ПО КРАСНОЯРУЖСКОМУ РАЙОНУ")</f>
        <v>ОТД МВД РОССИИ ПО КРАСНОЯРУЖСКОМУ РАЙОНУ</v>
      </c>
      <c r="B2432" s="24" t="s">
        <v>3563</v>
      </c>
      <c r="C2432" s="25">
        <v>29482.98</v>
      </c>
      <c r="D2432" s="22" t="s">
        <v>3626</v>
      </c>
      <c r="E2432" s="22" t="s">
        <v>59</v>
      </c>
      <c r="F2432" s="23" t="str">
        <f>HYPERLINK("https://www.spark-marketing.ru/Card/Lot/73007628", "Установка охранной сигнализации, 1 шт")</f>
        <v>Установка охранной сигнализации, 1 шт</v>
      </c>
      <c r="G2432" s="22" t="s">
        <v>176</v>
      </c>
      <c r="H2432" s="22" t="s">
        <v>3627</v>
      </c>
      <c r="I2432" s="26">
        <v>43701.421435185199</v>
      </c>
      <c r="J2432" s="28" t="s">
        <v>52</v>
      </c>
      <c r="K2432" s="28" t="s">
        <v>52</v>
      </c>
      <c r="L2432" s="28" t="s">
        <v>52</v>
      </c>
      <c r="M2432" s="28" t="s">
        <v>52</v>
      </c>
      <c r="N2432" s="28" t="s">
        <v>52</v>
      </c>
    </row>
    <row r="2433" spans="1:14" x14ac:dyDescent="0.15">
      <c r="A2433" s="23" t="str">
        <f>HYPERLINK("https://www.spark-marketing.ru/Card/Person/639227", "ОТДЕЛ МВД РОССИИ ПО КАЛТАСИНСКОМУ РАЙОНУ")</f>
        <v>ОТДЕЛ МВД РОССИИ ПО КАЛТАСИНСКОМУ РАЙОНУ</v>
      </c>
      <c r="B2433" s="24" t="s">
        <v>577</v>
      </c>
      <c r="C2433" s="25">
        <v>20000</v>
      </c>
      <c r="D2433" s="22" t="s">
        <v>3628</v>
      </c>
      <c r="E2433" s="22" t="s">
        <v>107</v>
      </c>
      <c r="F2433" s="23" t="str">
        <f>HYPERLINK("https://www.spark-marketing.ru/Card/Lot/73007542", "Техническое обслуживание средств ОС, ОПС, ТС, видеонаблюдения и СКУД, 1 шт")</f>
        <v>Техническое обслуживание средств ОС, ОПС, ТС, видеонаблюдения и СКУД, 1 шт</v>
      </c>
      <c r="G2433" s="22" t="s">
        <v>100</v>
      </c>
      <c r="H2433" s="22" t="s">
        <v>579</v>
      </c>
      <c r="I2433" s="26">
        <v>43701.323182870401</v>
      </c>
      <c r="J2433" s="28" t="s">
        <v>52</v>
      </c>
      <c r="K2433" s="28" t="s">
        <v>52</v>
      </c>
      <c r="L2433" s="28" t="s">
        <v>52</v>
      </c>
      <c r="M2433" s="28" t="s">
        <v>52</v>
      </c>
      <c r="N2433" s="28" t="s">
        <v>52</v>
      </c>
    </row>
    <row r="2434" spans="1:14" x14ac:dyDescent="0.2">
      <c r="A2434" s="23" t="str">
        <f>HYPERLINK("https://www.spark-marketing.ru/Card/Person/1097275", "АО""ВОЕНТОРГ-ЮГ""")</f>
        <v>АО"ВОЕНТОРГ-ЮГ"</v>
      </c>
      <c r="B2434" s="24" t="s">
        <v>3629</v>
      </c>
      <c r="C2434" s="25">
        <v>375000</v>
      </c>
      <c r="D2434" s="22" t="s">
        <v>3630</v>
      </c>
      <c r="E2434" s="22" t="s">
        <v>144</v>
      </c>
      <c r="F2434" s="23" t="str">
        <f>HYPERLINK("https://www.spark-marketing.ru/Card/Lot/73000796", "Услуги по организации и проведению охранных мероприятий по адресу : г Новочеркаск ул. Гагарина 112 Г- лит Ж")</f>
        <v>Услуги по организации и проведению охранных мероприятий по адресу : г Новочеркаск ул. Гагарина 112 Г- лит Ж</v>
      </c>
      <c r="G2434" s="22" t="s">
        <v>402</v>
      </c>
      <c r="H2434" s="22" t="s">
        <v>403</v>
      </c>
      <c r="I2434" s="26">
        <v>43700</v>
      </c>
      <c r="J2434" s="28" t="s">
        <v>52</v>
      </c>
      <c r="K2434" s="28" t="s">
        <v>52</v>
      </c>
      <c r="L2434" s="22" t="s">
        <v>10</v>
      </c>
      <c r="M2434" s="25">
        <v>375000</v>
      </c>
      <c r="N2434" s="27">
        <v>0</v>
      </c>
    </row>
    <row r="2435" spans="1:14" x14ac:dyDescent="0.15">
      <c r="A2435" s="23" t="str">
        <f>HYPERLINK("https://www.spark-marketing.ru/Card/Person/137767", "МОУ - СРЕДНЯЯ ОБЩЕОБРАЗОВАТЕЛЬНАЯ ШКОЛА Д. КРАСНЫЙ БАЛТИЕЦ")</f>
        <v>МОУ - СРЕДНЯЯ ОБЩЕОБРАЗОВАТЕЛЬНАЯ ШКОЛА Д. КРАСНЫЙ БАЛТИЕЦ</v>
      </c>
      <c r="B2435" s="24" t="s">
        <v>3631</v>
      </c>
      <c r="C2435" s="25">
        <v>20000</v>
      </c>
      <c r="D2435" s="22" t="s">
        <v>3632</v>
      </c>
      <c r="E2435" s="22" t="s">
        <v>103</v>
      </c>
      <c r="F2435" s="23" t="str">
        <f>HYPERLINK("https://www.spark-marketing.ru/Card/Lot/73004992", "Оказание услуг по техническому обслуживанию системы видеонаблюдения")</f>
        <v>Оказание услуг по техническому обслуживанию системы видеонаблюдения</v>
      </c>
      <c r="G2435" s="22" t="s">
        <v>50</v>
      </c>
      <c r="H2435" s="22" t="s">
        <v>399</v>
      </c>
      <c r="I2435" s="26">
        <v>43700.815543981502</v>
      </c>
      <c r="J2435" s="28" t="s">
        <v>52</v>
      </c>
      <c r="K2435" s="28" t="s">
        <v>52</v>
      </c>
      <c r="L2435" s="28" t="s">
        <v>52</v>
      </c>
      <c r="M2435" s="28" t="s">
        <v>52</v>
      </c>
      <c r="N2435" s="28" t="s">
        <v>52</v>
      </c>
    </row>
    <row r="2436" spans="1:14" x14ac:dyDescent="0.15">
      <c r="A2436" s="23" t="s">
        <v>121</v>
      </c>
      <c r="B2436" s="28" t="s">
        <v>52</v>
      </c>
      <c r="C2436" s="25">
        <v>3230062.79</v>
      </c>
      <c r="D2436" s="22" t="s">
        <v>3633</v>
      </c>
      <c r="E2436" s="22" t="s">
        <v>194</v>
      </c>
      <c r="F2436" s="23" t="str">
        <f t="shared" ref="F2436:F2468" si="108">HYPERLINK("https://www.spark-marketing.ru/Card/Lot/73005387", "Приобретением с установкой систем видеонаблюдения")</f>
        <v>Приобретением с установкой систем видеонаблюдения</v>
      </c>
      <c r="G2436" s="22" t="s">
        <v>52</v>
      </c>
      <c r="H2436" s="22" t="s">
        <v>52</v>
      </c>
      <c r="I2436" s="26">
        <v>43700.766400462999</v>
      </c>
      <c r="J2436" s="28" t="s">
        <v>52</v>
      </c>
      <c r="K2436" s="28" t="s">
        <v>52</v>
      </c>
      <c r="L2436" s="28" t="s">
        <v>52</v>
      </c>
      <c r="M2436" s="28" t="s">
        <v>52</v>
      </c>
      <c r="N2436" s="28" t="s">
        <v>52</v>
      </c>
    </row>
    <row r="2437" spans="1:14" hidden="1" outlineLevel="1" x14ac:dyDescent="0.15">
      <c r="A2437" s="23" t="str">
        <f>HYPERLINK("https://www.spark-marketing.ru/Card/Person/153117", "МОБУ БАЙМАКСКИЙ ЛИЦЕЙ-ИНТЕРНАТ")</f>
        <v>МОБУ БАЙМАКСКИЙ ЛИЦЕЙ-ИНТЕРНАТ</v>
      </c>
      <c r="B2437" s="24" t="s">
        <v>3634</v>
      </c>
      <c r="C2437" s="25">
        <v>142937</v>
      </c>
      <c r="D2437" s="22" t="s">
        <v>3633</v>
      </c>
      <c r="E2437" s="22" t="s">
        <v>194</v>
      </c>
      <c r="F2437" s="23" t="str">
        <f t="shared" si="108"/>
        <v>Приобретением с установкой систем видеонаблюдения</v>
      </c>
      <c r="G2437" s="22" t="s">
        <v>100</v>
      </c>
      <c r="H2437" s="22" t="s">
        <v>3635</v>
      </c>
      <c r="I2437" s="26">
        <v>43700.766400462999</v>
      </c>
      <c r="J2437" s="28" t="s">
        <v>52</v>
      </c>
      <c r="K2437" s="28" t="s">
        <v>52</v>
      </c>
      <c r="L2437" s="28" t="s">
        <v>52</v>
      </c>
      <c r="M2437" s="28" t="s">
        <v>52</v>
      </c>
      <c r="N2437" s="28" t="s">
        <v>52</v>
      </c>
    </row>
    <row r="2438" spans="1:14" hidden="1" outlineLevel="1" x14ac:dyDescent="0.15">
      <c r="A2438" s="23" t="str">
        <f>HYPERLINK("https://www.spark-marketing.ru/Card/Person/734014", "МОБУ СОШ №3 Г. БАЙМАКА")</f>
        <v>МОБУ СОШ №3 Г. БАЙМАКА</v>
      </c>
      <c r="B2438" s="24" t="s">
        <v>3636</v>
      </c>
      <c r="C2438" s="25">
        <v>64460</v>
      </c>
      <c r="D2438" s="22" t="s">
        <v>3633</v>
      </c>
      <c r="E2438" s="22" t="s">
        <v>194</v>
      </c>
      <c r="F2438" s="23" t="str">
        <f t="shared" si="108"/>
        <v>Приобретением с установкой систем видеонаблюдения</v>
      </c>
      <c r="G2438" s="22" t="s">
        <v>100</v>
      </c>
      <c r="H2438" s="22" t="s">
        <v>3635</v>
      </c>
      <c r="I2438" s="26">
        <v>43700.766400462999</v>
      </c>
      <c r="J2438" s="28" t="s">
        <v>52</v>
      </c>
      <c r="K2438" s="28" t="s">
        <v>52</v>
      </c>
      <c r="L2438" s="28" t="s">
        <v>52</v>
      </c>
      <c r="M2438" s="28" t="s">
        <v>52</v>
      </c>
      <c r="N2438" s="28" t="s">
        <v>52</v>
      </c>
    </row>
    <row r="2439" spans="1:14" hidden="1" outlineLevel="1" x14ac:dyDescent="0.15">
      <c r="A2439" s="23" t="str">
        <f>HYPERLINK("https://www.spark-marketing.ru/Card/Person/734143", "МОБУ ООШ С. ИШМУРЗИНО")</f>
        <v>МОБУ ООШ С. ИШМУРЗИНО</v>
      </c>
      <c r="B2439" s="24" t="s">
        <v>3637</v>
      </c>
      <c r="C2439" s="25">
        <v>136950</v>
      </c>
      <c r="D2439" s="22" t="s">
        <v>3633</v>
      </c>
      <c r="E2439" s="22" t="s">
        <v>194</v>
      </c>
      <c r="F2439" s="23" t="str">
        <f t="shared" si="108"/>
        <v>Приобретением с установкой систем видеонаблюдения</v>
      </c>
      <c r="G2439" s="22" t="s">
        <v>100</v>
      </c>
      <c r="H2439" s="22" t="s">
        <v>3638</v>
      </c>
      <c r="I2439" s="26">
        <v>43700.766400462999</v>
      </c>
      <c r="J2439" s="28" t="s">
        <v>52</v>
      </c>
      <c r="K2439" s="28" t="s">
        <v>52</v>
      </c>
      <c r="L2439" s="28" t="s">
        <v>52</v>
      </c>
      <c r="M2439" s="28" t="s">
        <v>52</v>
      </c>
      <c r="N2439" s="28" t="s">
        <v>52</v>
      </c>
    </row>
    <row r="2440" spans="1:14" hidden="1" outlineLevel="1" x14ac:dyDescent="0.15">
      <c r="A2440" s="23" t="str">
        <f>HYPERLINK("https://www.spark-marketing.ru/Card/Person/734187", "МОБУ СОШ С. УРГАЗА")</f>
        <v>МОБУ СОШ С. УРГАЗА</v>
      </c>
      <c r="B2440" s="24" t="s">
        <v>3639</v>
      </c>
      <c r="C2440" s="25">
        <v>221457</v>
      </c>
      <c r="D2440" s="22" t="s">
        <v>3633</v>
      </c>
      <c r="E2440" s="22" t="s">
        <v>194</v>
      </c>
      <c r="F2440" s="23" t="str">
        <f t="shared" si="108"/>
        <v>Приобретением с установкой систем видеонаблюдения</v>
      </c>
      <c r="G2440" s="22" t="s">
        <v>100</v>
      </c>
      <c r="H2440" s="22" t="s">
        <v>3638</v>
      </c>
      <c r="I2440" s="26">
        <v>43700.766400462999</v>
      </c>
      <c r="J2440" s="28" t="s">
        <v>52</v>
      </c>
      <c r="K2440" s="28" t="s">
        <v>52</v>
      </c>
      <c r="L2440" s="28" t="s">
        <v>52</v>
      </c>
      <c r="M2440" s="28" t="s">
        <v>52</v>
      </c>
      <c r="N2440" s="28" t="s">
        <v>52</v>
      </c>
    </row>
    <row r="2441" spans="1:14" hidden="1" outlineLevel="1" x14ac:dyDescent="0.15">
      <c r="A2441" s="23" t="str">
        <f>HYPERLINK("https://www.spark-marketing.ru/Card/Person/734317", "МОБУ ООШ С. ВЕРХНЕТАВЛЫКАЕВО")</f>
        <v>МОБУ ООШ С. ВЕРХНЕТАВЛЫКАЕВО</v>
      </c>
      <c r="B2441" s="24" t="s">
        <v>3640</v>
      </c>
      <c r="C2441" s="25">
        <v>168370</v>
      </c>
      <c r="D2441" s="22" t="s">
        <v>3633</v>
      </c>
      <c r="E2441" s="22" t="s">
        <v>194</v>
      </c>
      <c r="F2441" s="23" t="str">
        <f t="shared" si="108"/>
        <v>Приобретением с установкой систем видеонаблюдения</v>
      </c>
      <c r="G2441" s="22" t="s">
        <v>100</v>
      </c>
      <c r="H2441" s="22" t="s">
        <v>3638</v>
      </c>
      <c r="I2441" s="26">
        <v>43700.766400462999</v>
      </c>
      <c r="J2441" s="28" t="s">
        <v>52</v>
      </c>
      <c r="K2441" s="28" t="s">
        <v>52</v>
      </c>
      <c r="L2441" s="28" t="s">
        <v>52</v>
      </c>
      <c r="M2441" s="28" t="s">
        <v>52</v>
      </c>
      <c r="N2441" s="28" t="s">
        <v>52</v>
      </c>
    </row>
    <row r="2442" spans="1:14" hidden="1" outlineLevel="1" x14ac:dyDescent="0.15">
      <c r="A2442" s="23" t="str">
        <f>HYPERLINK("https://www.spark-marketing.ru/Card/Person/734448", "МОБУ ООШ Д. БАИШЕВО")</f>
        <v>МОБУ ООШ Д. БАИШЕВО</v>
      </c>
      <c r="B2442" s="24" t="s">
        <v>3641</v>
      </c>
      <c r="C2442" s="25">
        <v>147050</v>
      </c>
      <c r="D2442" s="22" t="s">
        <v>3633</v>
      </c>
      <c r="E2442" s="22" t="s">
        <v>194</v>
      </c>
      <c r="F2442" s="23" t="str">
        <f t="shared" si="108"/>
        <v>Приобретением с установкой систем видеонаблюдения</v>
      </c>
      <c r="G2442" s="22" t="s">
        <v>100</v>
      </c>
      <c r="H2442" s="22" t="s">
        <v>3638</v>
      </c>
      <c r="I2442" s="26">
        <v>43700.766400462999</v>
      </c>
      <c r="J2442" s="28" t="s">
        <v>52</v>
      </c>
      <c r="K2442" s="28" t="s">
        <v>52</v>
      </c>
      <c r="L2442" s="28" t="s">
        <v>52</v>
      </c>
      <c r="M2442" s="28" t="s">
        <v>52</v>
      </c>
      <c r="N2442" s="28" t="s">
        <v>52</v>
      </c>
    </row>
    <row r="2443" spans="1:14" hidden="1" outlineLevel="1" x14ac:dyDescent="0.15">
      <c r="A2443" s="23" t="str">
        <f>HYPERLINK("https://www.spark-marketing.ru/Card/Person/734484", "МОБУ СОШ С. АКМУРУН")</f>
        <v>МОБУ СОШ С. АКМУРУН</v>
      </c>
      <c r="B2443" s="24" t="s">
        <v>3642</v>
      </c>
      <c r="C2443" s="25">
        <v>75710</v>
      </c>
      <c r="D2443" s="22" t="s">
        <v>3633</v>
      </c>
      <c r="E2443" s="22" t="s">
        <v>194</v>
      </c>
      <c r="F2443" s="23" t="str">
        <f t="shared" si="108"/>
        <v>Приобретением с установкой систем видеонаблюдения</v>
      </c>
      <c r="G2443" s="22" t="s">
        <v>100</v>
      </c>
      <c r="H2443" s="22" t="s">
        <v>3638</v>
      </c>
      <c r="I2443" s="26">
        <v>43700.766400462999</v>
      </c>
      <c r="J2443" s="28" t="s">
        <v>52</v>
      </c>
      <c r="K2443" s="28" t="s">
        <v>52</v>
      </c>
      <c r="L2443" s="28" t="s">
        <v>52</v>
      </c>
      <c r="M2443" s="28" t="s">
        <v>52</v>
      </c>
      <c r="N2443" s="28" t="s">
        <v>52</v>
      </c>
    </row>
    <row r="2444" spans="1:14" hidden="1" outlineLevel="1" x14ac:dyDescent="0.15">
      <c r="A2444" s="23" t="str">
        <f>HYPERLINK("https://www.spark-marketing.ru/Card/Person/734573", "МОБУ СОШ №1 Г. БАЙМАКА")</f>
        <v>МОБУ СОШ №1 Г. БАЙМАКА</v>
      </c>
      <c r="B2444" s="24" t="s">
        <v>3643</v>
      </c>
      <c r="C2444" s="25">
        <v>52640</v>
      </c>
      <c r="D2444" s="22" t="s">
        <v>3633</v>
      </c>
      <c r="E2444" s="22" t="s">
        <v>194</v>
      </c>
      <c r="F2444" s="23" t="str">
        <f t="shared" si="108"/>
        <v>Приобретением с установкой систем видеонаблюдения</v>
      </c>
      <c r="G2444" s="22" t="s">
        <v>100</v>
      </c>
      <c r="H2444" s="22" t="s">
        <v>3635</v>
      </c>
      <c r="I2444" s="26">
        <v>43700.766400462999</v>
      </c>
      <c r="J2444" s="28" t="s">
        <v>52</v>
      </c>
      <c r="K2444" s="28" t="s">
        <v>52</v>
      </c>
      <c r="L2444" s="28" t="s">
        <v>52</v>
      </c>
      <c r="M2444" s="28" t="s">
        <v>52</v>
      </c>
      <c r="N2444" s="28" t="s">
        <v>52</v>
      </c>
    </row>
    <row r="2445" spans="1:14" hidden="1" outlineLevel="1" x14ac:dyDescent="0.15">
      <c r="A2445" s="23" t="str">
        <f>HYPERLINK("https://www.spark-marketing.ru/Card/Person/734664", "МОБУ СОШ № 2 Г. БАЙМАКА")</f>
        <v>МОБУ СОШ № 2 Г. БАЙМАКА</v>
      </c>
      <c r="B2445" s="24" t="s">
        <v>3644</v>
      </c>
      <c r="C2445" s="25">
        <v>65460</v>
      </c>
      <c r="D2445" s="22" t="s">
        <v>3633</v>
      </c>
      <c r="E2445" s="22" t="s">
        <v>194</v>
      </c>
      <c r="F2445" s="23" t="str">
        <f t="shared" si="108"/>
        <v>Приобретением с установкой систем видеонаблюдения</v>
      </c>
      <c r="G2445" s="22" t="s">
        <v>100</v>
      </c>
      <c r="H2445" s="22" t="s">
        <v>3635</v>
      </c>
      <c r="I2445" s="26">
        <v>43700.766400462999</v>
      </c>
      <c r="J2445" s="28" t="s">
        <v>52</v>
      </c>
      <c r="K2445" s="28" t="s">
        <v>52</v>
      </c>
      <c r="L2445" s="28" t="s">
        <v>52</v>
      </c>
      <c r="M2445" s="28" t="s">
        <v>52</v>
      </c>
      <c r="N2445" s="28" t="s">
        <v>52</v>
      </c>
    </row>
    <row r="2446" spans="1:14" hidden="1" outlineLevel="1" x14ac:dyDescent="0.15">
      <c r="A2446" s="23" t="str">
        <f>HYPERLINK("https://www.spark-marketing.ru/Card/Person/735157", "МОБУ ООШ С. КУСЕЕВО")</f>
        <v>МОБУ ООШ С. КУСЕЕВО</v>
      </c>
      <c r="B2446" s="24" t="s">
        <v>3645</v>
      </c>
      <c r="C2446" s="25">
        <v>63890</v>
      </c>
      <c r="D2446" s="22" t="s">
        <v>3633</v>
      </c>
      <c r="E2446" s="22" t="s">
        <v>194</v>
      </c>
      <c r="F2446" s="23" t="str">
        <f t="shared" si="108"/>
        <v>Приобретением с установкой систем видеонаблюдения</v>
      </c>
      <c r="G2446" s="22" t="s">
        <v>100</v>
      </c>
      <c r="H2446" s="22" t="s">
        <v>3638</v>
      </c>
      <c r="I2446" s="26">
        <v>43700.766400462999</v>
      </c>
      <c r="J2446" s="28" t="s">
        <v>52</v>
      </c>
      <c r="K2446" s="28" t="s">
        <v>52</v>
      </c>
      <c r="L2446" s="28" t="s">
        <v>52</v>
      </c>
      <c r="M2446" s="28" t="s">
        <v>52</v>
      </c>
      <c r="N2446" s="28" t="s">
        <v>52</v>
      </c>
    </row>
    <row r="2447" spans="1:14" hidden="1" outlineLevel="1" x14ac:dyDescent="0.15">
      <c r="A2447" s="23" t="str">
        <f>HYPERLINK("https://www.spark-marketing.ru/Card/Person/735344", "МОБУ СОШ С. 1-Е ТУРКМЕНЕВО")</f>
        <v>МОБУ СОШ С. 1-Е ТУРКМЕНЕВО</v>
      </c>
      <c r="B2447" s="24" t="s">
        <v>3646</v>
      </c>
      <c r="C2447" s="25">
        <v>170480</v>
      </c>
      <c r="D2447" s="22" t="s">
        <v>3633</v>
      </c>
      <c r="E2447" s="22" t="s">
        <v>194</v>
      </c>
      <c r="F2447" s="23" t="str">
        <f t="shared" si="108"/>
        <v>Приобретением с установкой систем видеонаблюдения</v>
      </c>
      <c r="G2447" s="22" t="s">
        <v>100</v>
      </c>
      <c r="H2447" s="22" t="s">
        <v>3638</v>
      </c>
      <c r="I2447" s="26">
        <v>43700.766400462999</v>
      </c>
      <c r="J2447" s="28" t="s">
        <v>52</v>
      </c>
      <c r="K2447" s="28" t="s">
        <v>52</v>
      </c>
      <c r="L2447" s="28" t="s">
        <v>52</v>
      </c>
      <c r="M2447" s="28" t="s">
        <v>52</v>
      </c>
      <c r="N2447" s="28" t="s">
        <v>52</v>
      </c>
    </row>
    <row r="2448" spans="1:14" hidden="1" outlineLevel="1" x14ac:dyDescent="0.15">
      <c r="A2448" s="23" t="str">
        <f>HYPERLINK("https://www.spark-marketing.ru/Card/Person/735473", "МОБУ ООШ Д. КАРЫШКИНО")</f>
        <v>МОБУ ООШ Д. КАРЫШКИНО</v>
      </c>
      <c r="B2448" s="24" t="s">
        <v>3647</v>
      </c>
      <c r="C2448" s="25">
        <v>110157.79</v>
      </c>
      <c r="D2448" s="22" t="s">
        <v>3633</v>
      </c>
      <c r="E2448" s="22" t="s">
        <v>194</v>
      </c>
      <c r="F2448" s="23" t="str">
        <f t="shared" si="108"/>
        <v>Приобретением с установкой систем видеонаблюдения</v>
      </c>
      <c r="G2448" s="22" t="s">
        <v>100</v>
      </c>
      <c r="H2448" s="22" t="s">
        <v>3638</v>
      </c>
      <c r="I2448" s="26">
        <v>43700.766400462999</v>
      </c>
      <c r="J2448" s="28" t="s">
        <v>52</v>
      </c>
      <c r="K2448" s="28" t="s">
        <v>52</v>
      </c>
      <c r="L2448" s="28" t="s">
        <v>52</v>
      </c>
      <c r="M2448" s="28" t="s">
        <v>52</v>
      </c>
      <c r="N2448" s="28" t="s">
        <v>52</v>
      </c>
    </row>
    <row r="2449" spans="1:14" hidden="1" outlineLevel="1" x14ac:dyDescent="0.15">
      <c r="A2449" s="23" t="str">
        <f>HYPERLINK("https://www.spark-marketing.ru/Card/Person/736060", "МОБУ СОШ С. БИЛЯЛОВО")</f>
        <v>МОБУ СОШ С. БИЛЯЛОВО</v>
      </c>
      <c r="B2449" s="24" t="s">
        <v>3648</v>
      </c>
      <c r="C2449" s="25">
        <v>163620</v>
      </c>
      <c r="D2449" s="22" t="s">
        <v>3633</v>
      </c>
      <c r="E2449" s="22" t="s">
        <v>194</v>
      </c>
      <c r="F2449" s="23" t="str">
        <f t="shared" si="108"/>
        <v>Приобретением с установкой систем видеонаблюдения</v>
      </c>
      <c r="G2449" s="22" t="s">
        <v>100</v>
      </c>
      <c r="H2449" s="22" t="s">
        <v>3638</v>
      </c>
      <c r="I2449" s="26">
        <v>43700.766400462999</v>
      </c>
      <c r="J2449" s="28" t="s">
        <v>52</v>
      </c>
      <c r="K2449" s="28" t="s">
        <v>52</v>
      </c>
      <c r="L2449" s="28" t="s">
        <v>52</v>
      </c>
      <c r="M2449" s="28" t="s">
        <v>52</v>
      </c>
      <c r="N2449" s="28" t="s">
        <v>52</v>
      </c>
    </row>
    <row r="2450" spans="1:14" hidden="1" outlineLevel="1" x14ac:dyDescent="0.15">
      <c r="A2450" s="23" t="str">
        <f>HYPERLINK("https://www.spark-marketing.ru/Card/Person/738444", "МОБУ ООШ С.ИШБЕРДА")</f>
        <v>МОБУ ООШ С.ИШБЕРДА</v>
      </c>
      <c r="B2450" s="24" t="s">
        <v>3649</v>
      </c>
      <c r="C2450" s="25">
        <v>148200</v>
      </c>
      <c r="D2450" s="22" t="s">
        <v>3633</v>
      </c>
      <c r="E2450" s="22" t="s">
        <v>194</v>
      </c>
      <c r="F2450" s="23" t="str">
        <f t="shared" si="108"/>
        <v>Приобретением с установкой систем видеонаблюдения</v>
      </c>
      <c r="G2450" s="22" t="s">
        <v>100</v>
      </c>
      <c r="H2450" s="22" t="s">
        <v>3638</v>
      </c>
      <c r="I2450" s="26">
        <v>43700.766400462999</v>
      </c>
      <c r="J2450" s="28" t="s">
        <v>52</v>
      </c>
      <c r="K2450" s="28" t="s">
        <v>52</v>
      </c>
      <c r="L2450" s="28" t="s">
        <v>52</v>
      </c>
      <c r="M2450" s="28" t="s">
        <v>52</v>
      </c>
      <c r="N2450" s="28" t="s">
        <v>52</v>
      </c>
    </row>
    <row r="2451" spans="1:14" hidden="1" outlineLevel="1" x14ac:dyDescent="0.15">
      <c r="A2451" s="23" t="str">
        <f>HYPERLINK("https://www.spark-marketing.ru/Card/Person/766501", "МОБУ ДО СЮТ Г. БАЙМАК")</f>
        <v>МОБУ ДО СЮТ Г. БАЙМАК</v>
      </c>
      <c r="B2451" s="24" t="s">
        <v>3650</v>
      </c>
      <c r="C2451" s="25">
        <v>79417</v>
      </c>
      <c r="D2451" s="22" t="s">
        <v>3633</v>
      </c>
      <c r="E2451" s="22" t="s">
        <v>194</v>
      </c>
      <c r="F2451" s="23" t="str">
        <f t="shared" si="108"/>
        <v>Приобретением с установкой систем видеонаблюдения</v>
      </c>
      <c r="G2451" s="22" t="s">
        <v>100</v>
      </c>
      <c r="H2451" s="22" t="s">
        <v>3635</v>
      </c>
      <c r="I2451" s="26">
        <v>43700.766400462999</v>
      </c>
      <c r="J2451" s="28" t="s">
        <v>52</v>
      </c>
      <c r="K2451" s="28" t="s">
        <v>52</v>
      </c>
      <c r="L2451" s="28" t="s">
        <v>52</v>
      </c>
      <c r="M2451" s="28" t="s">
        <v>52</v>
      </c>
      <c r="N2451" s="28" t="s">
        <v>52</v>
      </c>
    </row>
    <row r="2452" spans="1:14" hidden="1" outlineLevel="1" x14ac:dyDescent="0.15">
      <c r="A2452" s="23" t="str">
        <f>HYPERLINK("https://www.spark-marketing.ru/Card/Person/1762726", "МОБУ СОШ ИМ. А.АЛИБАЕВА С. ЮМАШЕВО")</f>
        <v>МОБУ СОШ ИМ. А.АЛИБАЕВА С. ЮМАШЕВО</v>
      </c>
      <c r="B2452" s="24" t="s">
        <v>3651</v>
      </c>
      <c r="C2452" s="25">
        <v>198586</v>
      </c>
      <c r="D2452" s="22" t="s">
        <v>3633</v>
      </c>
      <c r="E2452" s="22" t="s">
        <v>194</v>
      </c>
      <c r="F2452" s="23" t="str">
        <f t="shared" si="108"/>
        <v>Приобретением с установкой систем видеонаблюдения</v>
      </c>
      <c r="G2452" s="22" t="s">
        <v>100</v>
      </c>
      <c r="H2452" s="22" t="s">
        <v>3638</v>
      </c>
      <c r="I2452" s="26">
        <v>43700.766400462999</v>
      </c>
      <c r="J2452" s="28" t="s">
        <v>52</v>
      </c>
      <c r="K2452" s="28" t="s">
        <v>52</v>
      </c>
      <c r="L2452" s="28" t="s">
        <v>52</v>
      </c>
      <c r="M2452" s="28" t="s">
        <v>52</v>
      </c>
      <c r="N2452" s="28" t="s">
        <v>52</v>
      </c>
    </row>
    <row r="2453" spans="1:14" hidden="1" outlineLevel="1" x14ac:dyDescent="0.15">
      <c r="A2453" s="23" t="str">
        <f>HYPERLINK("https://www.spark-marketing.ru/Card/Person/1762730", "МОБУ СОШ С.ТУБИНСКИЙ")</f>
        <v>МОБУ СОШ С.ТУБИНСКИЙ</v>
      </c>
      <c r="B2453" s="24" t="s">
        <v>3652</v>
      </c>
      <c r="C2453" s="25">
        <v>110660</v>
      </c>
      <c r="D2453" s="22" t="s">
        <v>3633</v>
      </c>
      <c r="E2453" s="22" t="s">
        <v>194</v>
      </c>
      <c r="F2453" s="23" t="str">
        <f t="shared" si="108"/>
        <v>Приобретением с установкой систем видеонаблюдения</v>
      </c>
      <c r="G2453" s="22" t="s">
        <v>100</v>
      </c>
      <c r="H2453" s="22" t="s">
        <v>3638</v>
      </c>
      <c r="I2453" s="26">
        <v>43700.766400462999</v>
      </c>
      <c r="J2453" s="28" t="s">
        <v>52</v>
      </c>
      <c r="K2453" s="28" t="s">
        <v>52</v>
      </c>
      <c r="L2453" s="28" t="s">
        <v>52</v>
      </c>
      <c r="M2453" s="28" t="s">
        <v>52</v>
      </c>
      <c r="N2453" s="28" t="s">
        <v>52</v>
      </c>
    </row>
    <row r="2454" spans="1:14" hidden="1" outlineLevel="1" x14ac:dyDescent="0.15">
      <c r="A2454" s="23" t="str">
        <f>HYPERLINK("https://www.spark-marketing.ru/Card/Person/1762736", "МОБУ СОШ С. НИГАМАТОВО")</f>
        <v>МОБУ СОШ С. НИГАМАТОВО</v>
      </c>
      <c r="B2454" s="24" t="s">
        <v>3653</v>
      </c>
      <c r="C2454" s="25">
        <v>46577</v>
      </c>
      <c r="D2454" s="22" t="s">
        <v>3633</v>
      </c>
      <c r="E2454" s="22" t="s">
        <v>194</v>
      </c>
      <c r="F2454" s="23" t="str">
        <f t="shared" si="108"/>
        <v>Приобретением с установкой систем видеонаблюдения</v>
      </c>
      <c r="G2454" s="22" t="s">
        <v>100</v>
      </c>
      <c r="H2454" s="22" t="s">
        <v>3638</v>
      </c>
      <c r="I2454" s="26">
        <v>43700.766400462999</v>
      </c>
      <c r="J2454" s="28" t="s">
        <v>52</v>
      </c>
      <c r="K2454" s="28" t="s">
        <v>52</v>
      </c>
      <c r="L2454" s="28" t="s">
        <v>52</v>
      </c>
      <c r="M2454" s="28" t="s">
        <v>52</v>
      </c>
      <c r="N2454" s="28" t="s">
        <v>52</v>
      </c>
    </row>
    <row r="2455" spans="1:14" hidden="1" outlineLevel="1" x14ac:dyDescent="0.15">
      <c r="A2455" s="23" t="str">
        <f>HYPERLINK("https://www.spark-marketing.ru/Card/Person/1762737", "МОБУ СОШ С. ЯРАТОВО")</f>
        <v>МОБУ СОШ С. ЯРАТОВО</v>
      </c>
      <c r="B2455" s="24" t="s">
        <v>3654</v>
      </c>
      <c r="C2455" s="25">
        <v>152070</v>
      </c>
      <c r="D2455" s="22" t="s">
        <v>3633</v>
      </c>
      <c r="E2455" s="22" t="s">
        <v>194</v>
      </c>
      <c r="F2455" s="23" t="str">
        <f t="shared" si="108"/>
        <v>Приобретением с установкой систем видеонаблюдения</v>
      </c>
      <c r="G2455" s="22" t="s">
        <v>100</v>
      </c>
      <c r="H2455" s="22" t="s">
        <v>3638</v>
      </c>
      <c r="I2455" s="26">
        <v>43700.766400462999</v>
      </c>
      <c r="J2455" s="28" t="s">
        <v>52</v>
      </c>
      <c r="K2455" s="28" t="s">
        <v>52</v>
      </c>
      <c r="L2455" s="28" t="s">
        <v>52</v>
      </c>
      <c r="M2455" s="28" t="s">
        <v>52</v>
      </c>
      <c r="N2455" s="28" t="s">
        <v>52</v>
      </c>
    </row>
    <row r="2456" spans="1:14" hidden="1" outlineLevel="1" x14ac:dyDescent="0.15">
      <c r="A2456" s="23" t="str">
        <f>HYPERLINK("https://www.spark-marketing.ru/Card/Person/1762738", "МОБУ СОШ С. КУЛЬЧУРОВО")</f>
        <v>МОБУ СОШ С. КУЛЬЧУРОВО</v>
      </c>
      <c r="B2456" s="24" t="s">
        <v>3655</v>
      </c>
      <c r="C2456" s="25">
        <v>101210</v>
      </c>
      <c r="D2456" s="22" t="s">
        <v>3633</v>
      </c>
      <c r="E2456" s="22" t="s">
        <v>194</v>
      </c>
      <c r="F2456" s="23" t="str">
        <f t="shared" si="108"/>
        <v>Приобретением с установкой систем видеонаблюдения</v>
      </c>
      <c r="G2456" s="22" t="s">
        <v>52</v>
      </c>
      <c r="H2456" s="22" t="s">
        <v>52</v>
      </c>
      <c r="I2456" s="26">
        <v>43700.766400462999</v>
      </c>
      <c r="J2456" s="28" t="s">
        <v>52</v>
      </c>
      <c r="K2456" s="28" t="s">
        <v>52</v>
      </c>
      <c r="L2456" s="28" t="s">
        <v>52</v>
      </c>
      <c r="M2456" s="28" t="s">
        <v>52</v>
      </c>
      <c r="N2456" s="28" t="s">
        <v>52</v>
      </c>
    </row>
    <row r="2457" spans="1:14" hidden="1" outlineLevel="1" x14ac:dyDescent="0.15">
      <c r="A2457" s="23" t="str">
        <f>HYPERLINK("https://www.spark-marketing.ru/Card/Person/1762746", "МОБУ СОШ С.1-Е ИТКУЛОВО ИМ. Б. ЮЛЫЕВА")</f>
        <v>МОБУ СОШ С.1-Е ИТКУЛОВО ИМ. Б. ЮЛЫЕВА</v>
      </c>
      <c r="B2457" s="24" t="s">
        <v>3656</v>
      </c>
      <c r="C2457" s="25">
        <v>166777</v>
      </c>
      <c r="D2457" s="22" t="s">
        <v>3633</v>
      </c>
      <c r="E2457" s="22" t="s">
        <v>194</v>
      </c>
      <c r="F2457" s="23" t="str">
        <f t="shared" si="108"/>
        <v>Приобретением с установкой систем видеонаблюдения</v>
      </c>
      <c r="G2457" s="22" t="s">
        <v>100</v>
      </c>
      <c r="H2457" s="22" t="s">
        <v>3638</v>
      </c>
      <c r="I2457" s="26">
        <v>43700.766400462999</v>
      </c>
      <c r="J2457" s="28" t="s">
        <v>52</v>
      </c>
      <c r="K2457" s="28" t="s">
        <v>52</v>
      </c>
      <c r="L2457" s="28" t="s">
        <v>52</v>
      </c>
      <c r="M2457" s="28" t="s">
        <v>52</v>
      </c>
      <c r="N2457" s="28" t="s">
        <v>52</v>
      </c>
    </row>
    <row r="2458" spans="1:14" hidden="1" outlineLevel="1" x14ac:dyDescent="0.15">
      <c r="A2458" s="23" t="str">
        <f>HYPERLINK("https://www.spark-marketing.ru/Card/Person/1762748", "МОБУ СОШ С.ТЕМЯСОВО")</f>
        <v>МОБУ СОШ С.ТЕМЯСОВО</v>
      </c>
      <c r="B2458" s="24" t="s">
        <v>3657</v>
      </c>
      <c r="C2458" s="25">
        <v>389094</v>
      </c>
      <c r="D2458" s="22" t="s">
        <v>3633</v>
      </c>
      <c r="E2458" s="22" t="s">
        <v>194</v>
      </c>
      <c r="F2458" s="23" t="str">
        <f t="shared" si="108"/>
        <v>Приобретением с установкой систем видеонаблюдения</v>
      </c>
      <c r="G2458" s="22" t="s">
        <v>100</v>
      </c>
      <c r="H2458" s="22" t="s">
        <v>3638</v>
      </c>
      <c r="I2458" s="26">
        <v>43700.766400462999</v>
      </c>
      <c r="J2458" s="28" t="s">
        <v>52</v>
      </c>
      <c r="K2458" s="28" t="s">
        <v>52</v>
      </c>
      <c r="L2458" s="28" t="s">
        <v>52</v>
      </c>
      <c r="M2458" s="28" t="s">
        <v>52</v>
      </c>
      <c r="N2458" s="28" t="s">
        <v>52</v>
      </c>
    </row>
    <row r="2459" spans="1:14" hidden="1" outlineLevel="1" x14ac:dyDescent="0.15">
      <c r="A2459" s="23" t="str">
        <f>HYPERLINK("https://www.spark-marketing.ru/Card/Person/1762813", "МОБУ СОШ С. СТАРЫЙ СИБАЙ")</f>
        <v>МОБУ СОШ С. СТАРЫЙ СИБАЙ</v>
      </c>
      <c r="B2459" s="24" t="s">
        <v>3658</v>
      </c>
      <c r="C2459" s="25">
        <v>93370</v>
      </c>
      <c r="D2459" s="22" t="s">
        <v>3633</v>
      </c>
      <c r="E2459" s="22" t="s">
        <v>194</v>
      </c>
      <c r="F2459" s="23" t="str">
        <f t="shared" si="108"/>
        <v>Приобретением с установкой систем видеонаблюдения</v>
      </c>
      <c r="G2459" s="22" t="s">
        <v>100</v>
      </c>
      <c r="H2459" s="22" t="s">
        <v>3638</v>
      </c>
      <c r="I2459" s="26">
        <v>43700.766400462999</v>
      </c>
      <c r="J2459" s="28" t="s">
        <v>52</v>
      </c>
      <c r="K2459" s="28" t="s">
        <v>52</v>
      </c>
      <c r="L2459" s="28" t="s">
        <v>52</v>
      </c>
      <c r="M2459" s="28" t="s">
        <v>52</v>
      </c>
      <c r="N2459" s="28" t="s">
        <v>52</v>
      </c>
    </row>
    <row r="2460" spans="1:14" hidden="1" outlineLevel="1" x14ac:dyDescent="0.15">
      <c r="A2460" s="23" t="str">
        <f>HYPERLINK("https://www.spark-marketing.ru/Card/Person/6157775", "МОБУ ООШ ИМ. М. А. БАИМОВА Д. БАИМОВО")</f>
        <v>МОБУ ООШ ИМ. М. А. БАИМОВА Д. БАИМОВО</v>
      </c>
      <c r="B2460" s="24" t="s">
        <v>3659</v>
      </c>
      <c r="C2460" s="25">
        <v>77710</v>
      </c>
      <c r="D2460" s="22" t="s">
        <v>3633</v>
      </c>
      <c r="E2460" s="22" t="s">
        <v>194</v>
      </c>
      <c r="F2460" s="23" t="str">
        <f t="shared" si="108"/>
        <v>Приобретением с установкой систем видеонаблюдения</v>
      </c>
      <c r="G2460" s="22" t="s">
        <v>100</v>
      </c>
      <c r="H2460" s="22" t="s">
        <v>3638</v>
      </c>
      <c r="I2460" s="26">
        <v>43700.766400462999</v>
      </c>
      <c r="J2460" s="28" t="s">
        <v>52</v>
      </c>
      <c r="K2460" s="28" t="s">
        <v>52</v>
      </c>
      <c r="L2460" s="28" t="s">
        <v>52</v>
      </c>
      <c r="M2460" s="28" t="s">
        <v>52</v>
      </c>
      <c r="N2460" s="28" t="s">
        <v>52</v>
      </c>
    </row>
    <row r="2461" spans="1:14" hidden="1" outlineLevel="1" x14ac:dyDescent="0.15">
      <c r="A2461" s="23" t="str">
        <f>HYPERLINK("https://www.spark-marketing.ru/Card/Person/6491968", "МОБУ ООШ С. БЕКЕШЕВО")</f>
        <v>МОБУ ООШ С. БЕКЕШЕВО</v>
      </c>
      <c r="B2461" s="24" t="s">
        <v>3660</v>
      </c>
      <c r="C2461" s="25">
        <v>83210</v>
      </c>
      <c r="D2461" s="22" t="s">
        <v>3633</v>
      </c>
      <c r="E2461" s="22" t="s">
        <v>194</v>
      </c>
      <c r="F2461" s="23" t="str">
        <f t="shared" si="108"/>
        <v>Приобретением с установкой систем видеонаблюдения</v>
      </c>
      <c r="G2461" s="22" t="s">
        <v>100</v>
      </c>
      <c r="H2461" s="22" t="s">
        <v>3638</v>
      </c>
      <c r="I2461" s="26">
        <v>43700.766400462999</v>
      </c>
      <c r="J2461" s="28" t="s">
        <v>52</v>
      </c>
      <c r="K2461" s="28" t="s">
        <v>52</v>
      </c>
      <c r="L2461" s="28" t="s">
        <v>52</v>
      </c>
      <c r="M2461" s="28" t="s">
        <v>52</v>
      </c>
      <c r="N2461" s="28" t="s">
        <v>52</v>
      </c>
    </row>
    <row r="2462" spans="1:14" hidden="1" outlineLevel="1" x14ac:dyDescent="0.2">
      <c r="A2462" s="28" t="s">
        <v>52</v>
      </c>
      <c r="B2462" s="28" t="s">
        <v>52</v>
      </c>
      <c r="C2462" s="28" t="s">
        <v>52</v>
      </c>
      <c r="D2462" s="22" t="s">
        <v>3633</v>
      </c>
      <c r="E2462" s="22" t="s">
        <v>194</v>
      </c>
      <c r="F2462" s="23" t="str">
        <f t="shared" si="108"/>
        <v>Приобретением с установкой систем видеонаблюдения</v>
      </c>
      <c r="G2462" s="22" t="s">
        <v>52</v>
      </c>
      <c r="H2462" s="22" t="s">
        <v>52</v>
      </c>
      <c r="I2462" s="26">
        <v>43700.766400462999</v>
      </c>
      <c r="J2462" s="23" t="str">
        <f>HYPERLINK("https://www.spark-marketing.ru/Card/Person/6695951", "Азизова Миннура Ягофаровна")</f>
        <v>Азизова Миннура Ягофаровна</v>
      </c>
      <c r="K2462" s="24" t="s">
        <v>3661</v>
      </c>
      <c r="L2462" s="28" t="s">
        <v>52</v>
      </c>
      <c r="M2462" s="25">
        <v>2600000</v>
      </c>
      <c r="N2462" s="27">
        <v>0.19506208732245728</v>
      </c>
    </row>
    <row r="2463" spans="1:14" hidden="1" outlineLevel="1" x14ac:dyDescent="0.2">
      <c r="A2463" s="28" t="s">
        <v>52</v>
      </c>
      <c r="B2463" s="28" t="s">
        <v>52</v>
      </c>
      <c r="C2463" s="28" t="s">
        <v>52</v>
      </c>
      <c r="D2463" s="22" t="s">
        <v>3633</v>
      </c>
      <c r="E2463" s="22" t="s">
        <v>194</v>
      </c>
      <c r="F2463" s="23" t="str">
        <f t="shared" si="108"/>
        <v>Приобретением с установкой систем видеонаблюдения</v>
      </c>
      <c r="G2463" s="22" t="s">
        <v>52</v>
      </c>
      <c r="H2463" s="22" t="s">
        <v>52</v>
      </c>
      <c r="I2463" s="26">
        <v>43700.766400462999</v>
      </c>
      <c r="J2463" s="23" t="str">
        <f>HYPERLINK("https://www.spark-marketing.ru/Card/Person/6511445", "ООО ""ТДЮВ""")</f>
        <v>ООО "ТДЮВ"</v>
      </c>
      <c r="K2463" s="24" t="s">
        <v>3662</v>
      </c>
      <c r="L2463" s="28" t="s">
        <v>52</v>
      </c>
      <c r="M2463" s="25">
        <v>2000000</v>
      </c>
      <c r="N2463" s="27">
        <v>0.38081699024804405</v>
      </c>
    </row>
    <row r="2464" spans="1:14" hidden="1" outlineLevel="1" x14ac:dyDescent="0.2">
      <c r="A2464" s="28" t="s">
        <v>52</v>
      </c>
      <c r="B2464" s="28" t="s">
        <v>52</v>
      </c>
      <c r="C2464" s="28" t="s">
        <v>52</v>
      </c>
      <c r="D2464" s="22" t="s">
        <v>3633</v>
      </c>
      <c r="E2464" s="22" t="s">
        <v>194</v>
      </c>
      <c r="F2464" s="23" t="str">
        <f t="shared" si="108"/>
        <v>Приобретением с установкой систем видеонаблюдения</v>
      </c>
      <c r="G2464" s="22" t="s">
        <v>52</v>
      </c>
      <c r="H2464" s="22" t="s">
        <v>52</v>
      </c>
      <c r="I2464" s="26">
        <v>43700.766400462999</v>
      </c>
      <c r="J2464" s="23" t="str">
        <f>HYPERLINK("https://www.spark-marketing.ru/Card/Person/323070", "ООО ""БАСТИОН""")</f>
        <v>ООО "БАСТИОН"</v>
      </c>
      <c r="K2464" s="24" t="s">
        <v>3663</v>
      </c>
      <c r="L2464" s="28" t="s">
        <v>52</v>
      </c>
      <c r="M2464" s="25">
        <v>2357946.7599999998</v>
      </c>
      <c r="N2464" s="27">
        <v>0.26999971415416357</v>
      </c>
    </row>
    <row r="2465" spans="1:14" hidden="1" outlineLevel="1" x14ac:dyDescent="0.2">
      <c r="A2465" s="28" t="s">
        <v>52</v>
      </c>
      <c r="B2465" s="28" t="s">
        <v>52</v>
      </c>
      <c r="C2465" s="28" t="s">
        <v>52</v>
      </c>
      <c r="D2465" s="22" t="s">
        <v>3633</v>
      </c>
      <c r="E2465" s="22" t="s">
        <v>194</v>
      </c>
      <c r="F2465" s="23" t="str">
        <f t="shared" si="108"/>
        <v>Приобретением с установкой систем видеонаблюдения</v>
      </c>
      <c r="G2465" s="22" t="s">
        <v>52</v>
      </c>
      <c r="H2465" s="22" t="s">
        <v>52</v>
      </c>
      <c r="I2465" s="26">
        <v>43700.766400462999</v>
      </c>
      <c r="J2465" s="23" t="str">
        <f>HYPERLINK("https://www.spark-marketing.ru/Card/Person/1107196", "Хунафин Урал Гадельевич")</f>
        <v>Хунафин Урал Гадельевич</v>
      </c>
      <c r="K2465" s="24" t="s">
        <v>3664</v>
      </c>
      <c r="L2465" s="28" t="s">
        <v>52</v>
      </c>
      <c r="M2465" s="25">
        <v>2422548</v>
      </c>
      <c r="N2465" s="27">
        <v>0.24999971904570933</v>
      </c>
    </row>
    <row r="2466" spans="1:14" hidden="1" outlineLevel="1" x14ac:dyDescent="0.2">
      <c r="A2466" s="28" t="s">
        <v>52</v>
      </c>
      <c r="B2466" s="28" t="s">
        <v>52</v>
      </c>
      <c r="C2466" s="28" t="s">
        <v>52</v>
      </c>
      <c r="D2466" s="22" t="s">
        <v>3633</v>
      </c>
      <c r="E2466" s="22" t="s">
        <v>194</v>
      </c>
      <c r="F2466" s="23" t="str">
        <f t="shared" si="108"/>
        <v>Приобретением с установкой систем видеонаблюдения</v>
      </c>
      <c r="G2466" s="22" t="s">
        <v>52</v>
      </c>
      <c r="H2466" s="22" t="s">
        <v>52</v>
      </c>
      <c r="I2466" s="26">
        <v>43700.766400462999</v>
      </c>
      <c r="J2466" s="23" t="str">
        <f>HYPERLINK("https://www.spark-marketing.ru/Card/Person/6402298", "Аминов Айдар Ахатович")</f>
        <v>Аминов Айдар Ахатович</v>
      </c>
      <c r="K2466" s="24" t="s">
        <v>3665</v>
      </c>
      <c r="L2466" s="28" t="s">
        <v>52</v>
      </c>
      <c r="M2466" s="25">
        <v>2907056.59</v>
      </c>
      <c r="N2466" s="27">
        <v>9.9999975542271122E-2</v>
      </c>
    </row>
    <row r="2467" spans="1:14" hidden="1" outlineLevel="1" x14ac:dyDescent="0.2">
      <c r="A2467" s="28" t="s">
        <v>52</v>
      </c>
      <c r="B2467" s="28" t="s">
        <v>52</v>
      </c>
      <c r="C2467" s="28" t="s">
        <v>52</v>
      </c>
      <c r="D2467" s="22" t="s">
        <v>3633</v>
      </c>
      <c r="E2467" s="22" t="s">
        <v>194</v>
      </c>
      <c r="F2467" s="23" t="str">
        <f t="shared" si="108"/>
        <v>Приобретением с установкой систем видеонаблюдения</v>
      </c>
      <c r="G2467" s="22" t="s">
        <v>52</v>
      </c>
      <c r="H2467" s="22" t="s">
        <v>52</v>
      </c>
      <c r="I2467" s="26">
        <v>43700.766400462999</v>
      </c>
      <c r="J2467" s="23" t="str">
        <f>HYPERLINK("https://www.spark-marketing.ru/Card/Person/6438164", "ООО ""ПТК""")</f>
        <v>ООО "ПТК"</v>
      </c>
      <c r="K2467" s="24" t="s">
        <v>3666</v>
      </c>
      <c r="L2467" s="22" t="s">
        <v>10</v>
      </c>
      <c r="M2467" s="25">
        <v>1983849.69</v>
      </c>
      <c r="N2467" s="27">
        <v>0.3858169890251576</v>
      </c>
    </row>
    <row r="2468" spans="1:14" hidden="1" outlineLevel="1" x14ac:dyDescent="0.2">
      <c r="A2468" s="28" t="s">
        <v>52</v>
      </c>
      <c r="B2468" s="28" t="s">
        <v>52</v>
      </c>
      <c r="C2468" s="28" t="s">
        <v>52</v>
      </c>
      <c r="D2468" s="22" t="s">
        <v>3633</v>
      </c>
      <c r="E2468" s="22" t="s">
        <v>194</v>
      </c>
      <c r="F2468" s="23" t="str">
        <f t="shared" si="108"/>
        <v>Приобретением с установкой систем видеонаблюдения</v>
      </c>
      <c r="G2468" s="22" t="s">
        <v>52</v>
      </c>
      <c r="H2468" s="22" t="s">
        <v>52</v>
      </c>
      <c r="I2468" s="26">
        <v>43700.766400462999</v>
      </c>
      <c r="J2468" s="23" t="str">
        <f>HYPERLINK("https://www.spark-marketing.ru/Card/Person/6275307", "ООО ""БАСТИОН""")</f>
        <v>ООО "БАСТИОН"</v>
      </c>
      <c r="K2468" s="24" t="s">
        <v>3667</v>
      </c>
      <c r="L2468" s="28" t="s">
        <v>52</v>
      </c>
      <c r="M2468" s="25">
        <v>2590000</v>
      </c>
      <c r="N2468" s="27">
        <v>0.19815800237121706</v>
      </c>
    </row>
    <row r="2469" spans="1:14" x14ac:dyDescent="0.15">
      <c r="A2469" s="23" t="str">
        <f>HYPERLINK("https://www.spark-marketing.ru/Card/Person/1013821", "МБОУ ""ЮЖНАЯ СОШ""")</f>
        <v>МБОУ "ЮЖНАЯ СОШ"</v>
      </c>
      <c r="B2469" s="24" t="s">
        <v>3668</v>
      </c>
      <c r="C2469" s="25">
        <v>517530</v>
      </c>
      <c r="D2469" s="22" t="s">
        <v>3669</v>
      </c>
      <c r="E2469" s="22" t="s">
        <v>59</v>
      </c>
      <c r="F2469" s="23" t="str">
        <f>HYPERLINK("https://www.spark-marketing.ru/Card/Lot/73005693", "Выполнение работ по оснащению помещений, используемых для проведения мероприятий с массовым пребыванием людей (средствами видеоконтроля),Оборудование обьекта инженерно-техническими средствами и системами охраны (контроля и управления доступом, охранн...")</f>
        <v>Выполнение работ по оснащению помещений, используемых для проведения мероприятий с массовым пребыванием людей (средствами видеоконтроля),Оборудование обьекта инженерно-техническими средствами и системами охраны (контроля и управления доступом, охранн...</v>
      </c>
      <c r="G2469" s="22" t="s">
        <v>247</v>
      </c>
      <c r="H2469" s="22" t="s">
        <v>3670</v>
      </c>
      <c r="I2469" s="26">
        <v>43700.740358796298</v>
      </c>
      <c r="J2469" s="23" t="str">
        <f>HYPERLINK("https://www.spark-marketing.ru/Card/Person/580276", "ООО ""ЯГУАР БЛЭК БЕЗОПАСНОСТЬ""")</f>
        <v>ООО "ЯГУАР БЛЭК БЕЗОПАСНОСТЬ"</v>
      </c>
      <c r="K2469" s="24" t="s">
        <v>3671</v>
      </c>
      <c r="L2469" s="28" t="s">
        <v>52</v>
      </c>
      <c r="M2469" s="28" t="s">
        <v>52</v>
      </c>
      <c r="N2469" s="28" t="s">
        <v>52</v>
      </c>
    </row>
    <row r="2470" spans="1:14" hidden="1" outlineLevel="1" x14ac:dyDescent="0.15">
      <c r="A2470" s="23" t="str">
        <f>HYPERLINK("https://www.spark-marketing.ru/Card/Person/1013821", "МБОУ ""ЮЖНАЯ СОШ""")</f>
        <v>МБОУ "ЮЖНАЯ СОШ"</v>
      </c>
      <c r="B2470" s="24" t="s">
        <v>3668</v>
      </c>
      <c r="C2470" s="25">
        <v>517530</v>
      </c>
      <c r="D2470" s="22" t="s">
        <v>3669</v>
      </c>
      <c r="E2470" s="22" t="s">
        <v>59</v>
      </c>
      <c r="F2470" s="23" t="str">
        <f>HYPERLINK("https://www.spark-marketing.ru/Card/Lot/73005693", "Выполнение работ по оснащению помещений, используемых для проведения мероприятий с массовым пребыванием людей (средствами видеоконтроля),Оборудование обьекта инженерно-техническими средствами и системами охраны (контроля и управления доступом, охранн...")</f>
        <v>Выполнение работ по оснащению помещений, используемых для проведения мероприятий с массовым пребыванием людей (средствами видеоконтроля),Оборудование обьекта инженерно-техническими средствами и системами охраны (контроля и управления доступом, охранн...</v>
      </c>
      <c r="G2470" s="22" t="s">
        <v>247</v>
      </c>
      <c r="H2470" s="22" t="s">
        <v>3670</v>
      </c>
      <c r="I2470" s="26">
        <v>43700.740358796298</v>
      </c>
      <c r="J2470" s="23" t="str">
        <f>HYPERLINK("https://www.spark-marketing.ru/Card/Person/580276", "ООО ""ЯГУАР БЛЭК БЕЗОПАСНОСТЬ""")</f>
        <v>ООО "ЯГУАР БЛЭК БЕЗОПАСНОСТЬ"</v>
      </c>
      <c r="K2470" s="24" t="s">
        <v>3671</v>
      </c>
      <c r="L2470" s="22" t="s">
        <v>10</v>
      </c>
      <c r="M2470" s="28" t="s">
        <v>52</v>
      </c>
      <c r="N2470" s="28" t="s">
        <v>52</v>
      </c>
    </row>
    <row r="2471" spans="1:14" x14ac:dyDescent="0.15">
      <c r="A2471" s="23" t="str">
        <f>HYPERLINK("https://www.spark-marketing.ru/Card/Person/20130", "АО ОКБ ""ГИДРОПРЕСС""")</f>
        <v>АО ОКБ "ГИДРОПРЕСС"</v>
      </c>
      <c r="B2471" s="24" t="s">
        <v>3672</v>
      </c>
      <c r="C2471" s="28" t="s">
        <v>52</v>
      </c>
      <c r="D2471" s="22" t="s">
        <v>3673</v>
      </c>
      <c r="E2471" s="22" t="s">
        <v>68</v>
      </c>
      <c r="F2471" s="23" t="str">
        <f>HYPERLINK("https://www.spark-marketing.ru/Card/Lot/73005332", "Выполнение работ по техническому обслуживанию оборудования системы тревожной сигнализации ""Юпитер"" и кнопки тревожной сигнализации, установленной в здании стендовой котельной АО ОКБ ""ГИДРОПРЕСС"" (в соответствии с техническими требованиями)")</f>
        <v>Выполнение работ по техническому обслуживанию оборудования системы тревожной сигнализации "Юпитер" и кнопки тревожной сигнализации, установленной в здании стендовой котельной АО ОКБ "ГИДРОПРЕСС" (в соответствии с техническими требованиями)</v>
      </c>
      <c r="G2471" s="22" t="s">
        <v>50</v>
      </c>
      <c r="H2471" s="22" t="s">
        <v>569</v>
      </c>
      <c r="I2471" s="26">
        <v>43700.6844444444</v>
      </c>
      <c r="J2471" s="28" t="s">
        <v>52</v>
      </c>
      <c r="K2471" s="28" t="s">
        <v>52</v>
      </c>
      <c r="L2471" s="28" t="s">
        <v>52</v>
      </c>
      <c r="M2471" s="28" t="s">
        <v>52</v>
      </c>
      <c r="N2471" s="28" t="s">
        <v>52</v>
      </c>
    </row>
    <row r="2472" spans="1:14" x14ac:dyDescent="0.15">
      <c r="A2472" s="23" t="str">
        <f>HYPERLINK("https://www.spark-marketing.ru/Card/Person/20130", "АО ОКБ ""ГИДРОПРЕСС""")</f>
        <v>АО ОКБ "ГИДРОПРЕСС"</v>
      </c>
      <c r="B2472" s="24" t="s">
        <v>3672</v>
      </c>
      <c r="C2472" s="25">
        <v>0</v>
      </c>
      <c r="D2472" s="22" t="s">
        <v>3674</v>
      </c>
      <c r="E2472" s="22" t="s">
        <v>53</v>
      </c>
      <c r="F2472" s="23" t="str">
        <f>HYPERLINK("https://www.spark-marketing.ru/Card/Lot/73003719", "мониторинг цен в электронной форме на Выполнение работ по техническому обслуживанию оборудования системы тревожной сигнализации ""Юпитер"" и кнопки тревожной сигнализации, установленной в здании стендовой котельной АО ОКБ ""ГИДРОПРЕСС"" (в соответств...")</f>
        <v>мониторинг цен в электронной форме на Выполнение работ по техническому обслуживанию оборудования системы тревожной сигнализации "Юпитер" и кнопки тревожной сигнализации, установленной в здании стендовой котельной АО ОКБ "ГИДРОПРЕСС" (в соответств...</v>
      </c>
      <c r="G2472" s="22" t="s">
        <v>50</v>
      </c>
      <c r="H2472" s="22" t="s">
        <v>569</v>
      </c>
      <c r="I2472" s="26">
        <v>43700.684293981503</v>
      </c>
      <c r="J2472" s="28" t="s">
        <v>52</v>
      </c>
      <c r="K2472" s="28" t="s">
        <v>52</v>
      </c>
      <c r="L2472" s="28" t="s">
        <v>52</v>
      </c>
      <c r="M2472" s="28" t="s">
        <v>52</v>
      </c>
      <c r="N2472" s="28" t="s">
        <v>52</v>
      </c>
    </row>
    <row r="2473" spans="1:14" x14ac:dyDescent="0.15">
      <c r="A2473" s="23" t="str">
        <f>HYPERLINK("https://www.spark-marketing.ru/Card/Person/4924823", "СРЕДНЕРУССКИЙ БАНК ПАО СБЕРБАНК")</f>
        <v>СРЕДНЕРУССКИЙ БАНК ПАО СБЕРБАНК</v>
      </c>
      <c r="B2473" s="28" t="s">
        <v>52</v>
      </c>
      <c r="C2473" s="25">
        <v>24886920</v>
      </c>
      <c r="D2473" s="22" t="s">
        <v>3675</v>
      </c>
      <c r="E2473" s="22" t="s">
        <v>53</v>
      </c>
      <c r="F2473" s="23" t="str">
        <f>HYPERLINK("https://www.spark-marketing.ru/Card/Lot/73001494", "Оказание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Рязанского Головного отделения")</f>
        <v>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Рязанского Головного отделения</v>
      </c>
      <c r="G2473" s="22" t="s">
        <v>52</v>
      </c>
      <c r="H2473" s="22" t="s">
        <v>52</v>
      </c>
      <c r="I2473" s="26">
        <v>43700.683333333298</v>
      </c>
      <c r="J2473" s="28" t="s">
        <v>52</v>
      </c>
      <c r="K2473" s="28" t="s">
        <v>52</v>
      </c>
      <c r="L2473" s="28" t="s">
        <v>52</v>
      </c>
      <c r="M2473" s="28" t="s">
        <v>52</v>
      </c>
      <c r="N2473" s="28" t="s">
        <v>52</v>
      </c>
    </row>
    <row r="2474" spans="1:14" x14ac:dyDescent="0.15">
      <c r="A2474" s="23" t="str">
        <f>HYPERLINK("https://www.spark-marketing.ru/Card/Person/4924823", "СРЕДНЕРУССКИЙ БАНК ПАО СБЕРБАНК")</f>
        <v>СРЕДНЕРУССКИЙ БАНК ПАО СБЕРБАНК</v>
      </c>
      <c r="B2474" s="28" t="s">
        <v>52</v>
      </c>
      <c r="C2474" s="25">
        <v>24886920</v>
      </c>
      <c r="D2474" s="22" t="s">
        <v>3675</v>
      </c>
      <c r="E2474" s="22" t="s">
        <v>53</v>
      </c>
      <c r="F2474" s="23" t="str">
        <f>HYPERLINK("https://www.spark-marketing.ru/Card/Lot/73001496", "Оказание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Костромского Головного отделения")</f>
        <v>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Костромского Головного отделения</v>
      </c>
      <c r="G2474" s="22" t="s">
        <v>52</v>
      </c>
      <c r="H2474" s="22" t="s">
        <v>52</v>
      </c>
      <c r="I2474" s="26">
        <v>43700.683333333298</v>
      </c>
      <c r="J2474" s="28" t="s">
        <v>52</v>
      </c>
      <c r="K2474" s="28" t="s">
        <v>52</v>
      </c>
      <c r="L2474" s="28" t="s">
        <v>52</v>
      </c>
      <c r="M2474" s="28" t="s">
        <v>52</v>
      </c>
      <c r="N2474" s="28" t="s">
        <v>52</v>
      </c>
    </row>
    <row r="2475" spans="1:14" x14ac:dyDescent="0.15">
      <c r="A2475" s="23" t="str">
        <f>HYPERLINK("https://www.spark-marketing.ru/Card/Person/4924823", "СРЕДНЕРУССКИЙ БАНК ПАО СБЕРБАНК")</f>
        <v>СРЕДНЕРУССКИЙ БАНК ПАО СБЕРБАНК</v>
      </c>
      <c r="B2475" s="28" t="s">
        <v>52</v>
      </c>
      <c r="C2475" s="25">
        <v>24886920</v>
      </c>
      <c r="D2475" s="22" t="s">
        <v>3675</v>
      </c>
      <c r="E2475" s="22" t="s">
        <v>53</v>
      </c>
      <c r="F2475" s="23" t="str">
        <f>HYPERLINK("https://www.spark-marketing.ru/Card/Lot/73001493", "Оказание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Брянского Головного отделения")</f>
        <v>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Брянского Головного отделения</v>
      </c>
      <c r="G2475" s="22" t="s">
        <v>52</v>
      </c>
      <c r="H2475" s="22" t="s">
        <v>52</v>
      </c>
      <c r="I2475" s="26">
        <v>43700.683333333298</v>
      </c>
      <c r="J2475" s="28" t="s">
        <v>52</v>
      </c>
      <c r="K2475" s="28" t="s">
        <v>52</v>
      </c>
      <c r="L2475" s="28" t="s">
        <v>52</v>
      </c>
      <c r="M2475" s="28" t="s">
        <v>52</v>
      </c>
      <c r="N2475" s="28" t="s">
        <v>52</v>
      </c>
    </row>
    <row r="2476" spans="1:14" x14ac:dyDescent="0.15">
      <c r="A2476" s="23" t="str">
        <f>HYPERLINK("https://www.spark-marketing.ru/Card/Person/5549", "ФГКУ РОСГРАНСТРОЙ")</f>
        <v>ФГКУ РОСГРАНСТРОЙ</v>
      </c>
      <c r="B2476" s="24" t="s">
        <v>1291</v>
      </c>
      <c r="C2476" s="25">
        <v>18910</v>
      </c>
      <c r="D2476" s="22" t="s">
        <v>3676</v>
      </c>
      <c r="E2476" s="22" t="s">
        <v>59</v>
      </c>
      <c r="F2476" s="23" t="str">
        <f>HYPERLINK("https://www.spark-marketing.ru/Card/Lot/73000235", "Замена комплекта приема-передачи VGA сигнала системы охранной сигнализации ПТК ГС Мир в ВПП ""Нальчик"" для нужд Северо-Кавказского филиала ФГКУ Росгранстрой")</f>
        <v>Замена комплекта приема-передачи VGA сигнала системы охранной сигнализации ПТК ГС Мир в ВПП "Нальчик" для нужд Северо-Кавказского филиала ФГКУ Росгранстрой</v>
      </c>
      <c r="G2476" s="22" t="s">
        <v>595</v>
      </c>
      <c r="H2476" s="22" t="s">
        <v>3677</v>
      </c>
      <c r="I2476" s="26">
        <v>43700.699363425898</v>
      </c>
      <c r="J2476" s="28" t="s">
        <v>52</v>
      </c>
      <c r="K2476" s="28" t="s">
        <v>52</v>
      </c>
      <c r="L2476" s="28" t="s">
        <v>52</v>
      </c>
      <c r="M2476" s="28" t="s">
        <v>52</v>
      </c>
      <c r="N2476" s="28" t="s">
        <v>52</v>
      </c>
    </row>
    <row r="2477" spans="1:14" x14ac:dyDescent="0.15">
      <c r="A2477" s="23" t="str">
        <f>HYPERLINK("https://www.spark-marketing.ru/Card/Person/4924823", "СРЕДНЕРУССКИЙ БАНК ПАО СБЕРБАНК")</f>
        <v>СРЕДНЕРУССКИЙ БАНК ПАО СБЕРБАНК</v>
      </c>
      <c r="B2477" s="28" t="s">
        <v>52</v>
      </c>
      <c r="C2477" s="25">
        <v>24886920</v>
      </c>
      <c r="D2477" s="22" t="s">
        <v>3675</v>
      </c>
      <c r="E2477" s="22" t="s">
        <v>53</v>
      </c>
      <c r="F2477" s="23" t="str">
        <f>HYPERLINK("https://www.spark-marketing.ru/Card/Lot/73001495", "Оказание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Ивановского Головного отделения")</f>
        <v>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Ивановского Головного отделения</v>
      </c>
      <c r="G2477" s="22" t="s">
        <v>52</v>
      </c>
      <c r="H2477" s="22" t="s">
        <v>52</v>
      </c>
      <c r="I2477" s="26">
        <v>43700.683333333298</v>
      </c>
      <c r="J2477" s="28" t="s">
        <v>52</v>
      </c>
      <c r="K2477" s="28" t="s">
        <v>52</v>
      </c>
      <c r="L2477" s="28" t="s">
        <v>52</v>
      </c>
      <c r="M2477" s="28" t="s">
        <v>52</v>
      </c>
      <c r="N2477" s="28" t="s">
        <v>52</v>
      </c>
    </row>
    <row r="2478" spans="1:14" x14ac:dyDescent="0.15">
      <c r="A2478" s="23" t="str">
        <f>HYPERLINK("https://www.spark-marketing.ru/Card/Person/4347152", "АДМИНИСТРАЦИЯ КУСИНСКОГО МУНИЦИПАЛЬНОГО РАЙОНА")</f>
        <v>АДМИНИСТРАЦИЯ КУСИНСКОГО МУНИЦИПАЛЬНОГО РАЙОНА</v>
      </c>
      <c r="B2478" s="24" t="s">
        <v>3678</v>
      </c>
      <c r="C2478" s="25">
        <v>100000</v>
      </c>
      <c r="D2478" s="22" t="s">
        <v>3679</v>
      </c>
      <c r="E2478" s="22" t="s">
        <v>3680</v>
      </c>
      <c r="F2478" s="23" t="str">
        <f>HYPERLINK("https://www.spark-marketing.ru/Card/Lot/72998278", "Обеспечение порядка на территории, прилегающей к объекту для размещения ТКО с целью соблюдения противопожарного режима.")</f>
        <v>Обеспечение порядка на территории, прилегающей к объекту для размещения ТКО с целью соблюдения противопожарного режима.</v>
      </c>
      <c r="G2478" s="22" t="s">
        <v>60</v>
      </c>
      <c r="H2478" s="22" t="s">
        <v>3681</v>
      </c>
      <c r="I2478" s="26">
        <v>43700.629675925898</v>
      </c>
      <c r="J2478" s="23" t="str">
        <f>HYPERLINK("https://www.spark-marketing.ru/Card/Person/127087", "Светлаков Сергей Юрьевич")</f>
        <v>Светлаков Сергей Юрьевич</v>
      </c>
      <c r="K2478" s="24" t="s">
        <v>3682</v>
      </c>
      <c r="L2478" s="22" t="s">
        <v>10</v>
      </c>
      <c r="M2478" s="28" t="s">
        <v>52</v>
      </c>
      <c r="N2478" s="28" t="s">
        <v>52</v>
      </c>
    </row>
    <row r="2479" spans="1:14" x14ac:dyDescent="0.15">
      <c r="A2479" s="23" t="str">
        <f>HYPERLINK("https://www.spark-marketing.ru/Card/Person/4348042", "ГБПОУ ЯНАО ""ЯМАЛЬСКИЙ ПОЛЯРНЫЙ АГРОЭКОНОМИЧЕСКИЙ ТЕХНИКУМ""")</f>
        <v>ГБПОУ ЯНАО "ЯМАЛЬСКИЙ ПОЛЯРНЫЙ АГРОЭКОНОМИЧЕСКИЙ ТЕХНИКУМ"</v>
      </c>
      <c r="B2479" s="24" t="s">
        <v>3683</v>
      </c>
      <c r="C2479" s="25">
        <v>1125329.28</v>
      </c>
      <c r="D2479" s="22" t="s">
        <v>3684</v>
      </c>
      <c r="E2479" s="22" t="s">
        <v>52</v>
      </c>
      <c r="F2479" s="23" t="str">
        <f>HYPERLINK("https://www.spark-marketing.ru/Card/Lot/73000575", "Оказание охранных услуг")</f>
        <v>Оказание охранных услуг</v>
      </c>
      <c r="G2479" s="22" t="s">
        <v>311</v>
      </c>
      <c r="H2479" s="22" t="s">
        <v>312</v>
      </c>
      <c r="I2479" s="26">
        <v>43700.683900463002</v>
      </c>
      <c r="J2479" s="28" t="s">
        <v>52</v>
      </c>
      <c r="K2479" s="28" t="s">
        <v>52</v>
      </c>
      <c r="L2479" s="28" t="s">
        <v>52</v>
      </c>
      <c r="M2479" s="28" t="s">
        <v>52</v>
      </c>
      <c r="N2479" s="28" t="s">
        <v>52</v>
      </c>
    </row>
    <row r="2480" spans="1:14" hidden="1" outlineLevel="1" x14ac:dyDescent="0.2">
      <c r="A2480" s="23" t="str">
        <f>HYPERLINK("https://www.spark-marketing.ru/Card/Person/4348042", "ГБПОУ ЯНАО ""ЯМАЛЬСКИЙ ПОЛЯРНЫЙ АГРОЭКОНОМИЧЕСКИЙ ТЕХНИКУМ""")</f>
        <v>ГБПОУ ЯНАО "ЯМАЛЬСКИЙ ПОЛЯРНЫЙ АГРОЭКОНОМИЧЕСКИЙ ТЕХНИКУМ"</v>
      </c>
      <c r="B2480" s="24" t="s">
        <v>3683</v>
      </c>
      <c r="C2480" s="25">
        <v>1125329.28</v>
      </c>
      <c r="D2480" s="22" t="s">
        <v>3684</v>
      </c>
      <c r="E2480" s="22" t="s">
        <v>52</v>
      </c>
      <c r="F2480" s="23" t="str">
        <f>HYPERLINK("https://www.spark-marketing.ru/Card/Lot/73000575", "Оказание охранных услуг")</f>
        <v>Оказание охранных услуг</v>
      </c>
      <c r="G2480" s="22" t="s">
        <v>311</v>
      </c>
      <c r="H2480" s="22" t="s">
        <v>312</v>
      </c>
      <c r="I2480" s="26">
        <v>43700.683900463002</v>
      </c>
      <c r="J2480" s="23" t="str">
        <f>HYPERLINK("https://www.spark-marketing.ru/Card/Person/973489", "ООО ЧОО ""РАТНИК""")</f>
        <v>ООО ЧОО "РАТНИК"</v>
      </c>
      <c r="K2480" s="24" t="s">
        <v>3685</v>
      </c>
      <c r="L2480" s="28" t="s">
        <v>52</v>
      </c>
      <c r="M2480" s="25">
        <v>765223.88</v>
      </c>
      <c r="N2480" s="27">
        <v>0.32000002701431529</v>
      </c>
    </row>
    <row r="2481" spans="1:14" ht="12.75" hidden="1" outlineLevel="1" x14ac:dyDescent="0.2">
      <c r="A2481" s="23" t="str">
        <f>HYPERLINK("https://www.spark-marketing.ru/Card/Person/4348042", "ГБПОУ ЯНАО ""ЯМАЛЬСКИЙ ПОЛЯРНЫЙ АГРОЭКОНОМИЧЕСКИЙ ТЕХНИКУМ""")</f>
        <v>ГБПОУ ЯНАО "ЯМАЛЬСКИЙ ПОЛЯРНЫЙ АГРОЭКОНОМИЧЕСКИЙ ТЕХНИКУМ"</v>
      </c>
      <c r="B2481" s="24" t="s">
        <v>3683</v>
      </c>
      <c r="C2481" s="25">
        <v>1125329.28</v>
      </c>
      <c r="D2481" s="22" t="s">
        <v>3684</v>
      </c>
      <c r="E2481" s="22" t="s">
        <v>52</v>
      </c>
      <c r="F2481" s="23" t="str">
        <f>HYPERLINK("https://www.spark-marketing.ru/Card/Lot/73000575", "Оказание охранных услуг")</f>
        <v>Оказание охранных услуг</v>
      </c>
      <c r="G2481" s="22" t="s">
        <v>311</v>
      </c>
      <c r="H2481" s="22" t="s">
        <v>312</v>
      </c>
      <c r="I2481" s="26">
        <v>43700.683900463002</v>
      </c>
      <c r="J2481" s="23" t="str">
        <f>HYPERLINK("https://www.spark-marketing.ru/Card/Person/13236", "ООО ЧОО ""ИЛИР""")</f>
        <v>ООО ЧОО "ИЛИР"</v>
      </c>
      <c r="K2481" s="24" t="s">
        <v>3686</v>
      </c>
      <c r="L2481" s="22" t="s">
        <v>10</v>
      </c>
      <c r="M2481" s="25">
        <v>708957.42</v>
      </c>
      <c r="N2481" s="27">
        <v>0.37000002345980015</v>
      </c>
    </row>
    <row r="2482" spans="1:14" x14ac:dyDescent="0.15">
      <c r="A2482" s="23" t="str">
        <f>HYPERLINK("https://www.spark-marketing.ru/Card/Person/3844", "ИЗБИРАТЕЛЬНАЯ КОМИССИЯ РОСТОВСКОЙ ОБЛАСТИ")</f>
        <v>ИЗБИРАТЕЛЬНАЯ КОМИССИЯ РОСТОВСКОЙ ОБЛАСТИ</v>
      </c>
      <c r="B2482" s="24" t="s">
        <v>3687</v>
      </c>
      <c r="C2482" s="25">
        <v>6495700</v>
      </c>
      <c r="D2482" s="22" t="s">
        <v>3688</v>
      </c>
      <c r="E2482" s="22" t="s">
        <v>194</v>
      </c>
      <c r="F2482" s="23" t="str">
        <f>HYPERLINK("https://www.spark-marketing.ru/Card/Lot/73005150", "Поставка мультимедийной системы с видеостенами и установкой")</f>
        <v>Поставка мультимедийной системы с видеостенами и установкой</v>
      </c>
      <c r="G2482" s="22" t="s">
        <v>402</v>
      </c>
      <c r="H2482" s="22" t="s">
        <v>403</v>
      </c>
      <c r="I2482" s="26">
        <v>43700.631631944401</v>
      </c>
      <c r="J2482" s="23" t="str">
        <f>HYPERLINK("https://www.spark-marketing.ru/Card/Person/66076", "ООО ""РИКОН""")</f>
        <v>ООО "РИКОН"</v>
      </c>
      <c r="K2482" s="24" t="s">
        <v>3689</v>
      </c>
      <c r="L2482" s="22" t="s">
        <v>10</v>
      </c>
      <c r="M2482" s="28" t="s">
        <v>52</v>
      </c>
      <c r="N2482" s="28" t="s">
        <v>52</v>
      </c>
    </row>
    <row r="2483" spans="1:14" x14ac:dyDescent="0.15">
      <c r="A2483" s="23" t="str">
        <f>HYPERLINK("https://www.spark-marketing.ru/Card/Person/1019004", "ФКУ ""ЦХИСО УМВД РОССИИ ПО ЯМАЛО-НЕНЕЦКОМУ АВТОНОМНОМУ ОКРУГУ""")</f>
        <v>ФКУ "ЦХИСО УМВД РОССИИ ПО ЯМАЛО-НЕНЕЦКОМУ АВТОНОМНОМУ ОКРУГУ"</v>
      </c>
      <c r="B2483" s="24" t="s">
        <v>3690</v>
      </c>
      <c r="C2483" s="25">
        <v>8198.48</v>
      </c>
      <c r="D2483" s="22" t="s">
        <v>3691</v>
      </c>
      <c r="E2483" s="22" t="s">
        <v>107</v>
      </c>
      <c r="F2483" s="23" t="str">
        <f>HYPERLINK("https://www.spark-marketing.ru/Card/Lot/72995493", "Техническое обслуживание системы видеонаблюдения, 1 шт")</f>
        <v>Техническое обслуживание системы видеонаблюдения, 1 шт</v>
      </c>
      <c r="G2483" s="22" t="s">
        <v>311</v>
      </c>
      <c r="H2483" s="22" t="s">
        <v>312</v>
      </c>
      <c r="I2483" s="26">
        <v>43700.592141203699</v>
      </c>
      <c r="J2483" s="28" t="s">
        <v>52</v>
      </c>
      <c r="K2483" s="28" t="s">
        <v>52</v>
      </c>
      <c r="L2483" s="28" t="s">
        <v>52</v>
      </c>
      <c r="M2483" s="28" t="s">
        <v>52</v>
      </c>
      <c r="N2483" s="28" t="s">
        <v>52</v>
      </c>
    </row>
    <row r="2484" spans="1:14" x14ac:dyDescent="0.15">
      <c r="A2484" s="23" t="str">
        <f>HYPERLINK("https://www.spark-marketing.ru/Card/Person/135276", "ОТДЕЛ МВД РОССИИ ПО Г.БОР")</f>
        <v>ОТДЕЛ МВД РОССИИ ПО Г.БОР</v>
      </c>
      <c r="B2484" s="24" t="s">
        <v>1361</v>
      </c>
      <c r="C2484" s="25">
        <v>110008</v>
      </c>
      <c r="D2484" s="22" t="s">
        <v>3692</v>
      </c>
      <c r="E2484" s="22" t="s">
        <v>107</v>
      </c>
      <c r="F2484" s="23" t="str">
        <f>HYPERLINK("https://www.spark-marketing.ru/Card/Lot/72996420", "Техническое обслуживание и ППР технических средств охраны, 8 шт")</f>
        <v>Техническое обслуживание и ППР технических средств охраны, 8 шт</v>
      </c>
      <c r="G2484" s="22" t="s">
        <v>64</v>
      </c>
      <c r="H2484" s="22" t="s">
        <v>1363</v>
      </c>
      <c r="I2484" s="26">
        <v>43700.5954166667</v>
      </c>
      <c r="J2484" s="28" t="s">
        <v>52</v>
      </c>
      <c r="K2484" s="28" t="s">
        <v>52</v>
      </c>
      <c r="L2484" s="28" t="s">
        <v>52</v>
      </c>
      <c r="M2484" s="28" t="s">
        <v>52</v>
      </c>
      <c r="N2484" s="28" t="s">
        <v>52</v>
      </c>
    </row>
    <row r="2485" spans="1:14" x14ac:dyDescent="0.15">
      <c r="A2485" s="23" t="str">
        <f>HYPERLINK("https://www.spark-marketing.ru/Card/Person/10834", "ГКУ КО ""ДИРЕКЦИЯ АВТОДОРОГ КУЗБАССА""")</f>
        <v>ГКУ КО "ДИРЕКЦИЯ АВТОДОРОГ КУЗБАССА"</v>
      </c>
      <c r="B2485" s="24" t="s">
        <v>1499</v>
      </c>
      <c r="C2485" s="25">
        <v>2633273.35</v>
      </c>
      <c r="D2485" s="22" t="s">
        <v>3693</v>
      </c>
      <c r="E2485" s="22" t="s">
        <v>723</v>
      </c>
      <c r="F2485" s="23" t="str">
        <f>HYPERLINK("https://www.spark-marketing.ru/Card/Lot/72991054", "Выполнение работ по содержанию автомобильных дорог: установка стационарных мест для работы передвижных технических средств, работающих в автоматическом режиме и имеющих функции фотосъемки и видеозаписи для фиксации нарушений в области дорожного движе...")</f>
        <v>Выполнение работ по содержанию автомобильных дорог: установка стационарных мест для работы передвижных технических средств, работающих в автоматическом режиме и имеющих функции фотосъемки и видеозаписи для фиксации нарушений в области дорожного движе...</v>
      </c>
      <c r="G2485" s="22" t="s">
        <v>367</v>
      </c>
      <c r="H2485" s="22" t="s">
        <v>881</v>
      </c>
      <c r="I2485" s="26">
        <v>43700.591296296298</v>
      </c>
      <c r="J2485" s="23" t="str">
        <f>HYPERLINK("https://www.spark-marketing.ru/Card/Person/616043", "ООО ""ЛДТ ""МАКАДАМ""")</f>
        <v>ООО "ЛДТ "МАКАДАМ"</v>
      </c>
      <c r="K2485" s="24" t="s">
        <v>1501</v>
      </c>
      <c r="L2485" s="22" t="s">
        <v>10</v>
      </c>
      <c r="M2485" s="28" t="s">
        <v>52</v>
      </c>
      <c r="N2485" s="28" t="s">
        <v>52</v>
      </c>
    </row>
    <row r="2486" spans="1:14" x14ac:dyDescent="0.15">
      <c r="A2486" s="23" t="str">
        <f>HYPERLINK("https://www.spark-marketing.ru/Card/Person/12737", "ГБУ РО ""МФЦ РЯЗАНСКОЙ ОБЛАСТИ""")</f>
        <v>ГБУ РО "МФЦ РЯЗАНСКОЙ ОБЛАСТИ"</v>
      </c>
      <c r="B2486" s="24" t="s">
        <v>3694</v>
      </c>
      <c r="C2486" s="25">
        <v>50600.01</v>
      </c>
      <c r="D2486" s="22" t="s">
        <v>3695</v>
      </c>
      <c r="E2486" s="22" t="s">
        <v>52</v>
      </c>
      <c r="F2486" s="23" t="str">
        <f>HYPERLINK("https://www.spark-marketing.ru/Card/Lot/72999458", "Оказание услуг по пультовой охране территориальных отделов ГБУ РО «МФЦ Рязанской области»")</f>
        <v>Оказание услуг по пультовой охране территориальных отделов ГБУ РО «МФЦ Рязанской области»</v>
      </c>
      <c r="G2486" s="22" t="s">
        <v>186</v>
      </c>
      <c r="H2486" s="22" t="s">
        <v>187</v>
      </c>
      <c r="I2486" s="26">
        <v>43700.514918981498</v>
      </c>
      <c r="J2486" s="23" t="str">
        <f>HYPERLINK("https://www.spark-marketing.ru/Card/Person/4896074", "ООО ""ЧОО ""ЦЕНТР БЕЗОПАСНОСТИ""")</f>
        <v>ООО "ЧОО "ЦЕНТР БЕЗОПАСНОСТИ"</v>
      </c>
      <c r="K2486" s="24" t="s">
        <v>3696</v>
      </c>
      <c r="L2486" s="28" t="s">
        <v>52</v>
      </c>
      <c r="M2486" s="28" t="s">
        <v>52</v>
      </c>
      <c r="N2486" s="28" t="s">
        <v>52</v>
      </c>
    </row>
    <row r="2487" spans="1:14" ht="12.75" hidden="1" outlineLevel="1" x14ac:dyDescent="0.2">
      <c r="A2487" s="23" t="str">
        <f>HYPERLINK("https://www.spark-marketing.ru/Card/Person/12737", "ГБУ РО ""МФЦ РЯЗАНСКОЙ ОБЛАСТИ""")</f>
        <v>ГБУ РО "МФЦ РЯЗАНСКОЙ ОБЛАСТИ"</v>
      </c>
      <c r="B2487" s="24" t="s">
        <v>3694</v>
      </c>
      <c r="C2487" s="25">
        <v>50600.01</v>
      </c>
      <c r="D2487" s="22" t="s">
        <v>3695</v>
      </c>
      <c r="E2487" s="22" t="s">
        <v>52</v>
      </c>
      <c r="F2487" s="23" t="str">
        <f>HYPERLINK("https://www.spark-marketing.ru/Card/Lot/72999458", "Оказание услуг по пультовой охране территориальных отделов ГБУ РО «МФЦ Рязанской области»")</f>
        <v>Оказание услуг по пультовой охране территориальных отделов ГБУ РО «МФЦ Рязанской области»</v>
      </c>
      <c r="G2487" s="22" t="s">
        <v>186</v>
      </c>
      <c r="H2487" s="22" t="s">
        <v>187</v>
      </c>
      <c r="I2487" s="26">
        <v>43700.514918981498</v>
      </c>
      <c r="J2487" s="23" t="str">
        <f>HYPERLINK("https://www.spark-marketing.ru/Card/Person/4896074", "ООО ""ЧОО ""ЦЕНТР БЕЗОПАСНОСТИ""")</f>
        <v>ООО "ЧОО "ЦЕНТР БЕЗОПАСНОСТИ"</v>
      </c>
      <c r="K2487" s="24" t="s">
        <v>3696</v>
      </c>
      <c r="L2487" s="22" t="s">
        <v>10</v>
      </c>
      <c r="M2487" s="25">
        <v>50347.01</v>
      </c>
      <c r="N2487" s="27">
        <v>4.9999990118579024E-3</v>
      </c>
    </row>
    <row r="2488" spans="1:14" x14ac:dyDescent="0.15">
      <c r="A2488" s="23" t="str">
        <f>HYPERLINK("https://www.spark-marketing.ru/Card/Person/56972", "ГБУ НО ""УПОЛНОМОЧЕННЫЙ МФЦ""")</f>
        <v>ГБУ НО "УПОЛНОМОЧЕННЫЙ МФЦ"</v>
      </c>
      <c r="B2488" s="24" t="s">
        <v>3697</v>
      </c>
      <c r="C2488" s="25">
        <v>2000000</v>
      </c>
      <c r="D2488" s="22" t="s">
        <v>3698</v>
      </c>
      <c r="E2488" s="22" t="s">
        <v>3699</v>
      </c>
      <c r="F2488" s="23" t="str">
        <f>HYPERLINK("https://www.spark-marketing.ru/Card/Lot/73000452", "Оказание услуг по техническому сопровождению автоматизированной системы оперативного мониторинга АИС МФЦ о ходе и качестве предоставления государственных и муниципальных услуг в МФЦ Нижегородской области в части обслуживания системы видеонаблюдения д...")</f>
        <v>Оказание услуг по техническому сопровождению автоматизированной системы оперативного мониторинга АИС МФЦ о ходе и качестве предоставления государственных и муниципальных услуг в МФЦ Нижегородской области в части обслуживания системы видеонаблюдения д...</v>
      </c>
      <c r="G2488" s="22" t="s">
        <v>64</v>
      </c>
      <c r="H2488" s="22" t="s">
        <v>65</v>
      </c>
      <c r="I2488" s="26">
        <v>43700.583900463003</v>
      </c>
      <c r="J2488" s="23" t="str">
        <f>HYPERLINK("https://www.spark-marketing.ru/Card/Person/123692", "ООО ""ЛИС""")</f>
        <v>ООО "ЛИС"</v>
      </c>
      <c r="K2488" s="24" t="s">
        <v>3700</v>
      </c>
      <c r="L2488" s="22" t="s">
        <v>10</v>
      </c>
      <c r="M2488" s="28" t="s">
        <v>52</v>
      </c>
      <c r="N2488" s="28" t="s">
        <v>52</v>
      </c>
    </row>
    <row r="2489" spans="1:14" x14ac:dyDescent="0.15">
      <c r="A2489" s="23" t="str">
        <f>HYPERLINK("https://www.spark-marketing.ru/Card/Person/4358496", "ООО ""ЛЕНИНГРАДСКАЯ АЭС-АВТО""")</f>
        <v>ООО "ЛЕНИНГРАДСКАЯ АЭС-АВТО"</v>
      </c>
      <c r="B2489" s="24" t="s">
        <v>2163</v>
      </c>
      <c r="C2489" s="25">
        <v>0</v>
      </c>
      <c r="D2489" s="22" t="s">
        <v>3701</v>
      </c>
      <c r="E2489" s="22" t="s">
        <v>53</v>
      </c>
      <c r="F2489" s="23" t="str">
        <f>HYPERLINK("https://www.spark-marketing.ru/Card/Lot/73001193", "мониторинг цен в электронной форме на Оказание услуг по оснащению транспортных средств ООО «Ленинградская АЭС-Авто» техническими средствами обеспечения транспортной безопасности и диспетчеризации")</f>
        <v>мониторинг цен в электронной форме на Оказание услуг по оснащению транспортных средств ООО «Ленинградская АЭС-Авто» техническими средствами обеспечения транспортной безопасности и диспетчеризации</v>
      </c>
      <c r="G2489" s="22" t="s">
        <v>861</v>
      </c>
      <c r="H2489" s="22" t="s">
        <v>1920</v>
      </c>
      <c r="I2489" s="26">
        <v>43700.586886574099</v>
      </c>
      <c r="J2489" s="28" t="s">
        <v>52</v>
      </c>
      <c r="K2489" s="28" t="s">
        <v>52</v>
      </c>
      <c r="L2489" s="28" t="s">
        <v>52</v>
      </c>
      <c r="M2489" s="28" t="s">
        <v>52</v>
      </c>
      <c r="N2489" s="28" t="s">
        <v>52</v>
      </c>
    </row>
    <row r="2490" spans="1:14" x14ac:dyDescent="0.15">
      <c r="A2490" s="23" t="str">
        <f>HYPERLINK("https://www.spark-marketing.ru/Card/Person/1009339", "МБУК ГРУЗИНОВСКОГО СЕЛЬСКОГО ПОСЕЛЕНИЯ ""ГРУЗИНОВСКИЙ СДК""")</f>
        <v>МБУК ГРУЗИНОВСКОГО СЕЛЬСКОГО ПОСЕЛЕНИЯ "ГРУЗИНОВСКИЙ СДК"</v>
      </c>
      <c r="B2490" s="24" t="s">
        <v>3702</v>
      </c>
      <c r="C2490" s="25">
        <v>900000</v>
      </c>
      <c r="D2490" s="22" t="s">
        <v>3703</v>
      </c>
      <c r="E2490" s="22" t="s">
        <v>3704</v>
      </c>
      <c r="F2490" s="23" t="str">
        <f>HYPERLINK("https://www.spark-marketing.ru/Card/Lot/73000913", "Поставка музыкальных инструментов и аксессуаров, звукотехнического оборудования с коммутирующими устройствами (гитары, синтезатор, ударная установка, акустические системы, гитарные процессоры эффектов, гитарные усилители, комбоусилители, подставки по...")</f>
        <v>Поставка музыкальных инструментов и аксессуаров, звукотехнического оборудования с коммутирующими устройствами (гитары, синтезатор, ударная установка, акустические системы, гитарные процессоры эффектов, гитарные усилители, комбоусилители, подставки по...</v>
      </c>
      <c r="G2490" s="22" t="s">
        <v>402</v>
      </c>
      <c r="H2490" s="22" t="s">
        <v>3705</v>
      </c>
      <c r="I2490" s="26">
        <v>43700.597002314797</v>
      </c>
      <c r="J2490" s="23" t="str">
        <f>HYPERLINK("https://www.spark-marketing.ru/Card/Person/6632093", "Бедин Роман Геннадьевич")</f>
        <v>Бедин Роман Геннадьевич</v>
      </c>
      <c r="K2490" s="24" t="s">
        <v>3706</v>
      </c>
      <c r="L2490" s="22" t="s">
        <v>10</v>
      </c>
      <c r="M2490" s="28" t="s">
        <v>52</v>
      </c>
      <c r="N2490" s="28" t="s">
        <v>52</v>
      </c>
    </row>
    <row r="2491" spans="1:14" x14ac:dyDescent="0.15">
      <c r="A2491" s="23" t="str">
        <f>HYPERLINK("https://www.spark-marketing.ru/Card/Person/114482", "ГБУ РО ОКНД")</f>
        <v>ГБУ РО ОКНД</v>
      </c>
      <c r="B2491" s="24" t="s">
        <v>3707</v>
      </c>
      <c r="C2491" s="25">
        <v>46000</v>
      </c>
      <c r="D2491" s="22" t="s">
        <v>3708</v>
      </c>
      <c r="E2491" s="22" t="s">
        <v>103</v>
      </c>
      <c r="F2491" s="23" t="str">
        <f>HYPERLINK("https://www.spark-marketing.ru/Card/Lot/72999455", "Оказание услуг по техническому обслуживанию системы видеонаблюдения")</f>
        <v>Оказание услуг по техническому обслуживанию системы видеонаблюдения</v>
      </c>
      <c r="G2491" s="22" t="s">
        <v>186</v>
      </c>
      <c r="H2491" s="22" t="s">
        <v>187</v>
      </c>
      <c r="I2491" s="26">
        <v>43700.512002314797</v>
      </c>
      <c r="J2491" s="28" t="s">
        <v>52</v>
      </c>
      <c r="K2491" s="28" t="s">
        <v>52</v>
      </c>
      <c r="L2491" s="28" t="s">
        <v>52</v>
      </c>
      <c r="M2491" s="28" t="s">
        <v>52</v>
      </c>
      <c r="N2491" s="28" t="s">
        <v>52</v>
      </c>
    </row>
    <row r="2492" spans="1:14" hidden="1" outlineLevel="1" x14ac:dyDescent="0.2">
      <c r="A2492" s="23" t="str">
        <f>HYPERLINK("https://www.spark-marketing.ru/Card/Person/114482", "ГБУ РО ОКНД")</f>
        <v>ГБУ РО ОКНД</v>
      </c>
      <c r="B2492" s="24" t="s">
        <v>3707</v>
      </c>
      <c r="C2492" s="25">
        <v>46000</v>
      </c>
      <c r="D2492" s="22" t="s">
        <v>3708</v>
      </c>
      <c r="E2492" s="22" t="s">
        <v>103</v>
      </c>
      <c r="F2492" s="23" t="str">
        <f>HYPERLINK("https://www.spark-marketing.ru/Card/Lot/72999455", "Оказание услуг по техническому обслуживанию системы видеонаблюдения")</f>
        <v>Оказание услуг по техническому обслуживанию системы видеонаблюдения</v>
      </c>
      <c r="G2492" s="22" t="s">
        <v>186</v>
      </c>
      <c r="H2492" s="22" t="s">
        <v>187</v>
      </c>
      <c r="I2492" s="26">
        <v>43700.512002314797</v>
      </c>
      <c r="J2492" s="23" t="str">
        <f>HYPERLINK("https://www.spark-marketing.ru/Card/Person/4413455", "ООО ""ЦЕНТР БЕЗОПАСНОСТИ""")</f>
        <v>ООО "ЦЕНТР БЕЗОПАСНОСТИ"</v>
      </c>
      <c r="K2492" s="24" t="s">
        <v>3709</v>
      </c>
      <c r="L2492" s="28" t="s">
        <v>52</v>
      </c>
      <c r="M2492" s="25">
        <v>25148.52</v>
      </c>
      <c r="N2492" s="27">
        <v>0.45329304347826088</v>
      </c>
    </row>
    <row r="2493" spans="1:14" ht="12.75" hidden="1" outlineLevel="1" x14ac:dyDescent="0.2">
      <c r="A2493" s="23" t="str">
        <f>HYPERLINK("https://www.spark-marketing.ru/Card/Person/114482", "ГБУ РО ОКНД")</f>
        <v>ГБУ РО ОКНД</v>
      </c>
      <c r="B2493" s="24" t="s">
        <v>3707</v>
      </c>
      <c r="C2493" s="25">
        <v>46000</v>
      </c>
      <c r="D2493" s="22" t="s">
        <v>3708</v>
      </c>
      <c r="E2493" s="22" t="s">
        <v>103</v>
      </c>
      <c r="F2493" s="23" t="str">
        <f>HYPERLINK("https://www.spark-marketing.ru/Card/Lot/72999455", "Оказание услуг по техническому обслуживанию системы видеонаблюдения")</f>
        <v>Оказание услуг по техническому обслуживанию системы видеонаблюдения</v>
      </c>
      <c r="G2493" s="22" t="s">
        <v>186</v>
      </c>
      <c r="H2493" s="22" t="s">
        <v>187</v>
      </c>
      <c r="I2493" s="26">
        <v>43700.512002314797</v>
      </c>
      <c r="J2493" s="23" t="str">
        <f>HYPERLINK("https://www.spark-marketing.ru/Card/Person/6492241", "ООО ""НИРА""")</f>
        <v>ООО "НИРА"</v>
      </c>
      <c r="K2493" s="24" t="s">
        <v>1336</v>
      </c>
      <c r="L2493" s="22" t="s">
        <v>10</v>
      </c>
      <c r="M2493" s="25">
        <v>12570</v>
      </c>
      <c r="N2493" s="27">
        <v>0.72673913043478255</v>
      </c>
    </row>
    <row r="2494" spans="1:14" hidden="1" outlineLevel="1" x14ac:dyDescent="0.2">
      <c r="A2494" s="23" t="str">
        <f>HYPERLINK("https://www.spark-marketing.ru/Card/Person/114482", "ГБУ РО ОКНД")</f>
        <v>ГБУ РО ОКНД</v>
      </c>
      <c r="B2494" s="24" t="s">
        <v>3707</v>
      </c>
      <c r="C2494" s="25">
        <v>46000</v>
      </c>
      <c r="D2494" s="22" t="s">
        <v>3708</v>
      </c>
      <c r="E2494" s="22" t="s">
        <v>103</v>
      </c>
      <c r="F2494" s="23" t="str">
        <f>HYPERLINK("https://www.spark-marketing.ru/Card/Lot/72999455", "Оказание услуг по техническому обслуживанию системы видеонаблюдения")</f>
        <v>Оказание услуг по техническому обслуживанию системы видеонаблюдения</v>
      </c>
      <c r="G2494" s="22" t="s">
        <v>186</v>
      </c>
      <c r="H2494" s="22" t="s">
        <v>187</v>
      </c>
      <c r="I2494" s="26">
        <v>43700.512002314797</v>
      </c>
      <c r="J2494" s="23" t="str">
        <f>HYPERLINK("https://www.spark-marketing.ru/Card/Person/6480434", "ООО ""ФАСТ""")</f>
        <v>ООО "ФАСТ"</v>
      </c>
      <c r="K2494" s="24" t="s">
        <v>3710</v>
      </c>
      <c r="L2494" s="28" t="s">
        <v>52</v>
      </c>
      <c r="M2494" s="25">
        <v>12570</v>
      </c>
      <c r="N2494" s="27">
        <v>0.72673913043478255</v>
      </c>
    </row>
    <row r="2495" spans="1:14" hidden="1" outlineLevel="1" x14ac:dyDescent="0.2">
      <c r="A2495" s="23" t="str">
        <f>HYPERLINK("https://www.spark-marketing.ru/Card/Person/114482", "ГБУ РО ОКНД")</f>
        <v>ГБУ РО ОКНД</v>
      </c>
      <c r="B2495" s="24" t="s">
        <v>3707</v>
      </c>
      <c r="C2495" s="25">
        <v>46000</v>
      </c>
      <c r="D2495" s="22" t="s">
        <v>3708</v>
      </c>
      <c r="E2495" s="22" t="s">
        <v>103</v>
      </c>
      <c r="F2495" s="23" t="str">
        <f>HYPERLINK("https://www.spark-marketing.ru/Card/Lot/72999455", "Оказание услуг по техническому обслуживанию системы видеонаблюдения")</f>
        <v>Оказание услуг по техническому обслуживанию системы видеонаблюдения</v>
      </c>
      <c r="G2495" s="22" t="s">
        <v>186</v>
      </c>
      <c r="H2495" s="22" t="s">
        <v>187</v>
      </c>
      <c r="I2495" s="26">
        <v>43700.512002314797</v>
      </c>
      <c r="J2495" s="23" t="str">
        <f>HYPERLINK("https://www.spark-marketing.ru/Card/Person/4937002", "ООО ""АДМ ЦЕНТР""")</f>
        <v>ООО "АДМ ЦЕНТР"</v>
      </c>
      <c r="K2495" s="24" t="s">
        <v>3711</v>
      </c>
      <c r="L2495" s="28" t="s">
        <v>52</v>
      </c>
      <c r="M2495" s="25">
        <v>17860</v>
      </c>
      <c r="N2495" s="27">
        <v>0.61173913043478256</v>
      </c>
    </row>
    <row r="2496" spans="1:14" x14ac:dyDescent="0.15">
      <c r="A2496" s="23" t="str">
        <f>HYPERLINK("https://www.spark-marketing.ru/Card/Person/10834", "ГКУ КО ""ДИРЕКЦИЯ АВТОДОРОГ КУЗБАССА""")</f>
        <v>ГКУ КО "ДИРЕКЦИЯ АВТОДОРОГ КУЗБАССА"</v>
      </c>
      <c r="B2496" s="24" t="s">
        <v>1499</v>
      </c>
      <c r="C2496" s="25">
        <v>5561389.04</v>
      </c>
      <c r="D2496" s="22" t="s">
        <v>3712</v>
      </c>
      <c r="E2496" s="22" t="s">
        <v>723</v>
      </c>
      <c r="F2496" s="23" t="str">
        <f>HYPERLINK("https://www.spark-marketing.ru/Card/Lot/72991084",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v>
      </c>
      <c r="G2496" s="22" t="s">
        <v>367</v>
      </c>
      <c r="H2496" s="22" t="s">
        <v>881</v>
      </c>
      <c r="I2496" s="26">
        <v>43700.592951388899</v>
      </c>
      <c r="J2496" s="28" t="s">
        <v>52</v>
      </c>
      <c r="K2496" s="28" t="s">
        <v>52</v>
      </c>
      <c r="L2496" s="28" t="s">
        <v>52</v>
      </c>
      <c r="M2496" s="28" t="s">
        <v>52</v>
      </c>
      <c r="N2496" s="28" t="s">
        <v>52</v>
      </c>
    </row>
    <row r="2497" spans="1:14" hidden="1" outlineLevel="1" x14ac:dyDescent="0.2">
      <c r="A2497" s="23" t="str">
        <f>HYPERLINK("https://www.spark-marketing.ru/Card/Person/10834", "ГКУ КО ""ДИРЕКЦИЯ АВТОДОРОГ КУЗБАССА""")</f>
        <v>ГКУ КО "ДИРЕКЦИЯ АВТОДОРОГ КУЗБАССА"</v>
      </c>
      <c r="B2497" s="24" t="s">
        <v>1499</v>
      </c>
      <c r="C2497" s="25">
        <v>5561389.04</v>
      </c>
      <c r="D2497" s="22" t="s">
        <v>3712</v>
      </c>
      <c r="E2497" s="22" t="s">
        <v>723</v>
      </c>
      <c r="F2497" s="23" t="str">
        <f>HYPERLINK("https://www.spark-marketing.ru/Card/Lot/72991084",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v>
      </c>
      <c r="G2497" s="22" t="s">
        <v>367</v>
      </c>
      <c r="H2497" s="22" t="s">
        <v>881</v>
      </c>
      <c r="I2497" s="26">
        <v>43700.592951388899</v>
      </c>
      <c r="J2497" s="23" t="str">
        <f>HYPERLINK("https://www.spark-marketing.ru/Card/Person/127397", "ООО ""ИНФОСЕРВИС""")</f>
        <v>ООО "ИНФОСЕРВИС"</v>
      </c>
      <c r="K2497" s="24" t="s">
        <v>1503</v>
      </c>
      <c r="L2497" s="28" t="s">
        <v>52</v>
      </c>
      <c r="M2497" s="25">
        <v>2752887.54</v>
      </c>
      <c r="N2497" s="27">
        <v>0.50500000625742958</v>
      </c>
    </row>
    <row r="2498" spans="1:14" ht="12.75" hidden="1" outlineLevel="1" x14ac:dyDescent="0.2">
      <c r="A2498" s="23" t="str">
        <f>HYPERLINK("https://www.spark-marketing.ru/Card/Person/10834", "ГКУ КО ""ДИРЕКЦИЯ АВТОДОРОГ КУЗБАССА""")</f>
        <v>ГКУ КО "ДИРЕКЦИЯ АВТОДОРОГ КУЗБАССА"</v>
      </c>
      <c r="B2498" s="24" t="s">
        <v>1499</v>
      </c>
      <c r="C2498" s="25">
        <v>5561389.04</v>
      </c>
      <c r="D2498" s="22" t="s">
        <v>3712</v>
      </c>
      <c r="E2498" s="22" t="s">
        <v>723</v>
      </c>
      <c r="F2498" s="23" t="str">
        <f>HYPERLINK("https://www.spark-marketing.ru/Card/Lot/72991084",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v>
      </c>
      <c r="G2498" s="22" t="s">
        <v>367</v>
      </c>
      <c r="H2498" s="22" t="s">
        <v>881</v>
      </c>
      <c r="I2498" s="26">
        <v>43700.592951388899</v>
      </c>
      <c r="J2498" s="23" t="str">
        <f>HYPERLINK("https://www.spark-marketing.ru/Card/Person/1354238", "ООО ""ЛАБОРАТОРИЯ ЦИФРОВОГО ЗРЕНИЯ""")</f>
        <v>ООО "ЛАБОРАТОРИЯ ЦИФРОВОГО ЗРЕНИЯ"</v>
      </c>
      <c r="K2498" s="24" t="s">
        <v>1191</v>
      </c>
      <c r="L2498" s="22" t="s">
        <v>10</v>
      </c>
      <c r="M2498" s="25">
        <v>2725080.59</v>
      </c>
      <c r="N2498" s="27">
        <v>0.51000000712052329</v>
      </c>
    </row>
    <row r="2499" spans="1:14" x14ac:dyDescent="0.15">
      <c r="A2499" s="23" t="str">
        <f>HYPERLINK("https://www.spark-marketing.ru/Card/Person/56444", "ФКУ ""ЦВСИГ МВД РОССИИ, Г. ПСКОВ""")</f>
        <v>ФКУ "ЦВСИГ МВД РОССИИ, Г. ПСКОВ"</v>
      </c>
      <c r="B2499" s="24" t="s">
        <v>3374</v>
      </c>
      <c r="C2499" s="25">
        <v>34215.879999999997</v>
      </c>
      <c r="D2499" s="22" t="s">
        <v>3713</v>
      </c>
      <c r="E2499" s="22" t="s">
        <v>53</v>
      </c>
      <c r="F2499" s="23" t="str">
        <f>HYPERLINK("https://www.spark-marketing.ru/Card/Lot/72996540", "Оказание услуг по техническому обслуживанию средств тревожной сигнализации в 2020 году")</f>
        <v>Оказание услуг по техническому обслуживанию средств тревожной сигнализации в 2020 году</v>
      </c>
      <c r="G2499" s="22" t="s">
        <v>142</v>
      </c>
      <c r="H2499" s="22" t="s">
        <v>142</v>
      </c>
      <c r="I2499" s="26">
        <v>43700.606099536999</v>
      </c>
      <c r="J2499" s="28" t="s">
        <v>52</v>
      </c>
      <c r="K2499" s="28" t="s">
        <v>52</v>
      </c>
      <c r="L2499" s="28" t="s">
        <v>52</v>
      </c>
      <c r="M2499" s="28" t="s">
        <v>52</v>
      </c>
      <c r="N2499" s="28" t="s">
        <v>52</v>
      </c>
    </row>
    <row r="2500" spans="1:14" x14ac:dyDescent="0.15">
      <c r="A2500" s="23" t="str">
        <f>HYPERLINK("https://www.spark-marketing.ru/Card/Person/116568", "МКУ ""СЛУЖБА ГРАЖДАНСКОЙ ЗАЩИТЫ Г. АПАТИТЫ""")</f>
        <v>МКУ "СЛУЖБА ГРАЖДАНСКОЙ ЗАЩИТЫ Г. АПАТИТЫ"</v>
      </c>
      <c r="B2500" s="24" t="s">
        <v>3714</v>
      </c>
      <c r="C2500" s="25">
        <v>298100</v>
      </c>
      <c r="D2500" s="22" t="s">
        <v>3715</v>
      </c>
      <c r="E2500" s="22" t="s">
        <v>84</v>
      </c>
      <c r="F2500" s="23" t="str">
        <f>HYPERLINK("https://www.spark-marketing.ru/Card/Lot/73000698", "Выполнение работ по установке и подключению камер видеонаблюдения, расположенных на территории парка по ул. Пушкина")</f>
        <v>Выполнение работ по установке и подключению камер видеонаблюдения, расположенных на территории парка по ул. Пушкина</v>
      </c>
      <c r="G2500" s="22" t="s">
        <v>190</v>
      </c>
      <c r="H2500" s="22" t="s">
        <v>3716</v>
      </c>
      <c r="I2500" s="26">
        <v>43700.391585648104</v>
      </c>
      <c r="J2500" s="28" t="s">
        <v>52</v>
      </c>
      <c r="K2500" s="28" t="s">
        <v>52</v>
      </c>
      <c r="L2500" s="28" t="s">
        <v>52</v>
      </c>
      <c r="M2500" s="28" t="s">
        <v>52</v>
      </c>
      <c r="N2500" s="28" t="s">
        <v>52</v>
      </c>
    </row>
    <row r="2501" spans="1:14" x14ac:dyDescent="0.15">
      <c r="A2501" s="23" t="str">
        <f>HYPERLINK("https://www.spark-marketing.ru/Card/Person/9134", "ФБУ ""АДМИНИСТРАЦИЯ ""ВОЛГО-ДОН""")</f>
        <v>ФБУ "АДМИНИСТРАЦИЯ "ВОЛГО-ДОН"</v>
      </c>
      <c r="B2501" s="24" t="s">
        <v>3717</v>
      </c>
      <c r="C2501" s="25">
        <v>2139022</v>
      </c>
      <c r="D2501" s="22" t="s">
        <v>3718</v>
      </c>
      <c r="E2501" s="22" t="s">
        <v>585</v>
      </c>
      <c r="F2501" s="23" t="str">
        <f>HYPERLINK("https://www.spark-marketing.ru/Card/Lot/72994716", "Проведение сертификации инженерно-технических систем обеспечения транспортной безопасности объектов транспортной инфраструктуры")</f>
        <v>Проведение сертификации инженерно-технических систем обеспечения транспортной безопасности объектов транспортной инфраструктуры</v>
      </c>
      <c r="G2501" s="22" t="s">
        <v>343</v>
      </c>
      <c r="H2501" s="22" t="s">
        <v>343</v>
      </c>
      <c r="I2501" s="26">
        <v>43700.451874999999</v>
      </c>
      <c r="J2501" s="23" t="str">
        <f>HYPERLINK("https://www.spark-marketing.ru/Card/Person/6458385", "ООО ""ТЕХ-ГАММА СЕРВИС""")</f>
        <v>ООО "ТЕХ-ГАММА СЕРВИС"</v>
      </c>
      <c r="K2501" s="24" t="s">
        <v>3719</v>
      </c>
      <c r="L2501" s="22" t="s">
        <v>10</v>
      </c>
      <c r="M2501" s="28" t="s">
        <v>52</v>
      </c>
      <c r="N2501" s="28" t="s">
        <v>52</v>
      </c>
    </row>
    <row r="2502" spans="1:14" x14ac:dyDescent="0.15">
      <c r="A2502" s="23" t="str">
        <f>HYPERLINK("https://www.spark-marketing.ru/Card/Person/6490453", "ПЯТЫЙ АПЕЛЛЯЦИОННЫЙ СУД ОБЩЕЙ ЮРИСДИКЦИИ")</f>
        <v>ПЯТЫЙ АПЕЛЛЯЦИОННЫЙ СУД ОБЩЕЙ ЮРИСДИКЦИИ</v>
      </c>
      <c r="B2502" s="24" t="s">
        <v>3720</v>
      </c>
      <c r="C2502" s="25">
        <v>597104.01</v>
      </c>
      <c r="D2502" s="22" t="s">
        <v>3721</v>
      </c>
      <c r="E2502" s="22" t="s">
        <v>68</v>
      </c>
      <c r="F2502" s="23" t="str">
        <f>HYPERLINK("https://www.spark-marketing.ru/Card/Lot/72985390", "Оказание охранных услуг")</f>
        <v>Оказание охранных услуг</v>
      </c>
      <c r="G2502" s="22" t="s">
        <v>209</v>
      </c>
      <c r="H2502" s="22" t="s">
        <v>209</v>
      </c>
      <c r="I2502" s="26">
        <v>43700.399768518502</v>
      </c>
      <c r="J2502" s="28" t="s">
        <v>52</v>
      </c>
      <c r="K2502" s="28" t="s">
        <v>52</v>
      </c>
      <c r="L2502" s="28" t="s">
        <v>52</v>
      </c>
      <c r="M2502" s="28" t="s">
        <v>52</v>
      </c>
      <c r="N2502" s="28" t="s">
        <v>52</v>
      </c>
    </row>
    <row r="2503" spans="1:14" hidden="1" outlineLevel="1" x14ac:dyDescent="0.2">
      <c r="A2503" s="23" t="str">
        <f>HYPERLINK("https://www.spark-marketing.ru/Card/Person/6490453", "ПЯТЫЙ АПЕЛЛЯЦИОННЫЙ СУД ОБЩЕЙ ЮРИСДИКЦИИ")</f>
        <v>ПЯТЫЙ АПЕЛЛЯЦИОННЫЙ СУД ОБЩЕЙ ЮРИСДИКЦИИ</v>
      </c>
      <c r="B2503" s="24" t="s">
        <v>3720</v>
      </c>
      <c r="C2503" s="25">
        <v>597104.01</v>
      </c>
      <c r="D2503" s="22" t="s">
        <v>3721</v>
      </c>
      <c r="E2503" s="22" t="s">
        <v>68</v>
      </c>
      <c r="F2503" s="23" t="str">
        <f>HYPERLINK("https://www.spark-marketing.ru/Card/Lot/72985390", "Оказание охранных услуг")</f>
        <v>Оказание охранных услуг</v>
      </c>
      <c r="G2503" s="22" t="s">
        <v>209</v>
      </c>
      <c r="H2503" s="22" t="s">
        <v>209</v>
      </c>
      <c r="I2503" s="26">
        <v>43700.399768518502</v>
      </c>
      <c r="J2503" s="23" t="str">
        <f>HYPERLINK("https://www.spark-marketing.ru/Card/Person/1884681", "ФИЛИАЛ ФГУП ""ОХРАНА"" РОСГВАРДИИ ПО НОВОСИБИРСКОЙ ОБЛАСТИ")</f>
        <v>ФИЛИАЛ ФГУП "ОХРАНА" РОСГВАРДИИ ПО НОВОСИБИРСКОЙ ОБЛАСТИ</v>
      </c>
      <c r="K2503" s="24" t="s">
        <v>779</v>
      </c>
      <c r="L2503" s="28" t="s">
        <v>52</v>
      </c>
      <c r="M2503" s="25">
        <v>555306.73</v>
      </c>
      <c r="N2503" s="27">
        <v>6.9999998827674936E-2</v>
      </c>
    </row>
    <row r="2504" spans="1:14" ht="12.75" hidden="1" outlineLevel="1" x14ac:dyDescent="0.2">
      <c r="A2504" s="23" t="str">
        <f>HYPERLINK("https://www.spark-marketing.ru/Card/Person/6490453", "ПЯТЫЙ АПЕЛЛЯЦИОННЫЙ СУД ОБЩЕЙ ЮРИСДИКЦИИ")</f>
        <v>ПЯТЫЙ АПЕЛЛЯЦИОННЫЙ СУД ОБЩЕЙ ЮРИСДИКЦИИ</v>
      </c>
      <c r="B2504" s="24" t="s">
        <v>3720</v>
      </c>
      <c r="C2504" s="25">
        <v>597104.01</v>
      </c>
      <c r="D2504" s="22" t="s">
        <v>3721</v>
      </c>
      <c r="E2504" s="22" t="s">
        <v>68</v>
      </c>
      <c r="F2504" s="23" t="str">
        <f>HYPERLINK("https://www.spark-marketing.ru/Card/Lot/72985390", "Оказание охранных услуг")</f>
        <v>Оказание охранных услуг</v>
      </c>
      <c r="G2504" s="22" t="s">
        <v>209</v>
      </c>
      <c r="H2504" s="22" t="s">
        <v>209</v>
      </c>
      <c r="I2504" s="26">
        <v>43700.399768518502</v>
      </c>
      <c r="J2504" s="23" t="str">
        <f>HYPERLINK("https://www.spark-marketing.ru/Card/Person/4623558", "Филиал ФГП ""Ведомственная охрана железнодорожного транспорта Российской Федерации"" на Зап-Сиб ж д")</f>
        <v>Филиал ФГП "Ведомственная охрана железнодорожного транспорта Российской Федерации" на Зап-Сиб ж д</v>
      </c>
      <c r="K2504" s="24" t="s">
        <v>1269</v>
      </c>
      <c r="L2504" s="22" t="s">
        <v>10</v>
      </c>
      <c r="M2504" s="25">
        <v>525451.53</v>
      </c>
      <c r="N2504" s="27">
        <v>0.11999999799029988</v>
      </c>
    </row>
    <row r="2505" spans="1:14" x14ac:dyDescent="0.15">
      <c r="A2505" s="23" t="str">
        <f>HYPERLINK("https://www.spark-marketing.ru/Card/Person/135276", "ОТДЕЛ МВД РОССИИ ПО Г.БОР")</f>
        <v>ОТДЕЛ МВД РОССИИ ПО Г.БОР</v>
      </c>
      <c r="B2505" s="24" t="s">
        <v>1361</v>
      </c>
      <c r="C2505" s="25">
        <v>110008</v>
      </c>
      <c r="D2505" s="22" t="s">
        <v>3722</v>
      </c>
      <c r="E2505" s="22" t="s">
        <v>107</v>
      </c>
      <c r="F2505" s="23" t="str">
        <f>HYPERLINK("https://www.spark-marketing.ru/Card/Lot/72992184", "Техническое обслуживание и ППР технических средств охраны, 8 шт")</f>
        <v>Техническое обслуживание и ППР технических средств охраны, 8 шт</v>
      </c>
      <c r="G2505" s="22" t="s">
        <v>64</v>
      </c>
      <c r="H2505" s="22" t="s">
        <v>1363</v>
      </c>
      <c r="I2505" s="26">
        <v>43700.541574074101</v>
      </c>
      <c r="J2505" s="28" t="s">
        <v>52</v>
      </c>
      <c r="K2505" s="28" t="s">
        <v>52</v>
      </c>
      <c r="L2505" s="28" t="s">
        <v>52</v>
      </c>
      <c r="M2505" s="28" t="s">
        <v>52</v>
      </c>
      <c r="N2505" s="28" t="s">
        <v>52</v>
      </c>
    </row>
    <row r="2506" spans="1:14" x14ac:dyDescent="0.15">
      <c r="A2506" s="23" t="str">
        <f>HYPERLINK("https://www.spark-marketing.ru/Card/Person/4365569", "ФГУП ""РОСМОРПОРТ""")</f>
        <v>ФГУП "РОСМОРПОРТ"</v>
      </c>
      <c r="B2506" s="24" t="s">
        <v>273</v>
      </c>
      <c r="C2506" s="28" t="s">
        <v>52</v>
      </c>
      <c r="D2506" s="22" t="s">
        <v>3723</v>
      </c>
      <c r="E2506" s="22" t="s">
        <v>59</v>
      </c>
      <c r="F2506" s="23" t="str">
        <f>HYPERLINK("https://www.spark-marketing.ru/Card/Lot/73996618", "Комплекс работ по установке систем видеонаблюдения на объектах Сочинского управления, в соответствии с прилагаемым Техническим заданием.")</f>
        <v>Комплекс работ по установке систем видеонаблюдения на объектах Сочинского управления, в соответствии с прилагаемым Техническим заданием.</v>
      </c>
      <c r="G2506" s="22" t="s">
        <v>55</v>
      </c>
      <c r="H2506" s="22" t="s">
        <v>55</v>
      </c>
      <c r="I2506" s="26">
        <v>43700.504861111098</v>
      </c>
      <c r="J2506" s="28" t="s">
        <v>52</v>
      </c>
      <c r="K2506" s="28" t="s">
        <v>52</v>
      </c>
      <c r="L2506" s="28" t="s">
        <v>52</v>
      </c>
      <c r="M2506" s="28" t="s">
        <v>52</v>
      </c>
      <c r="N2506" s="28" t="s">
        <v>52</v>
      </c>
    </row>
    <row r="2507" spans="1:14" x14ac:dyDescent="0.15">
      <c r="A2507" s="23" t="str">
        <f>HYPERLINK("https://www.spark-marketing.ru/Card/Person/155163", "МЕЖРАЙОННАЯ ИФНС РОССИИ № 10 ПО РЕСПУБЛИКЕ КАРЕЛИЯ")</f>
        <v>МЕЖРАЙОННАЯ ИФНС РОССИИ № 10 ПО РЕСПУБЛИКЕ КАРЕЛИЯ</v>
      </c>
      <c r="B2507" s="24" t="s">
        <v>3724</v>
      </c>
      <c r="C2507" s="25">
        <v>11239.94</v>
      </c>
      <c r="D2507" s="22" t="s">
        <v>3725</v>
      </c>
      <c r="E2507" s="22" t="s">
        <v>59</v>
      </c>
      <c r="F2507" s="23" t="str">
        <f>HYPERLINK("https://www.spark-marketing.ru/Card/Lot/72990703", "Монтаж, наладка и пуск системы тревожно-вызывной сигнализации")</f>
        <v>Монтаж, наладка и пуск системы тревожно-вызывной сигнализации</v>
      </c>
      <c r="G2507" s="22" t="s">
        <v>435</v>
      </c>
      <c r="H2507" s="22" t="s">
        <v>435</v>
      </c>
      <c r="I2507" s="26">
        <v>43700.513229166703</v>
      </c>
      <c r="J2507" s="28" t="s">
        <v>52</v>
      </c>
      <c r="K2507" s="28" t="s">
        <v>52</v>
      </c>
      <c r="L2507" s="28" t="s">
        <v>52</v>
      </c>
      <c r="M2507" s="28" t="s">
        <v>52</v>
      </c>
      <c r="N2507" s="28" t="s">
        <v>52</v>
      </c>
    </row>
    <row r="2508" spans="1:14" x14ac:dyDescent="0.15">
      <c r="A2508" s="23" t="str">
        <f>HYPERLINK("https://www.spark-marketing.ru/Card/Person/1029715", "МБУК ""ЦБ""")</f>
        <v>МБУК "ЦБ"</v>
      </c>
      <c r="B2508" s="24" t="s">
        <v>3726</v>
      </c>
      <c r="C2508" s="25">
        <v>28000</v>
      </c>
      <c r="D2508" s="22" t="s">
        <v>3727</v>
      </c>
      <c r="E2508" s="22" t="s">
        <v>59</v>
      </c>
      <c r="F2508" s="23" t="str">
        <f>HYPERLINK("https://www.spark-marketing.ru/Card/Lot/72992413", "Выполнение работ на установку тревожной сигнализации")</f>
        <v>Выполнение работ на установку тревожной сигнализации</v>
      </c>
      <c r="G2508" s="22" t="s">
        <v>50</v>
      </c>
      <c r="H2508" s="22" t="s">
        <v>50</v>
      </c>
      <c r="I2508" s="26">
        <v>43700.524537037003</v>
      </c>
      <c r="J2508" s="28" t="s">
        <v>52</v>
      </c>
      <c r="K2508" s="28" t="s">
        <v>52</v>
      </c>
      <c r="L2508" s="28" t="s">
        <v>52</v>
      </c>
      <c r="M2508" s="28" t="s">
        <v>52</v>
      </c>
      <c r="N2508" s="28" t="s">
        <v>52</v>
      </c>
    </row>
    <row r="2509" spans="1:14" x14ac:dyDescent="0.15">
      <c r="A2509" s="23" t="str">
        <f>HYPERLINK("https://www.spark-marketing.ru/Card/Person/13677", "АДМИНИСТРАЦИЯ МО КУРКИНСКИЙ РАЙОН")</f>
        <v>АДМИНИСТРАЦИЯ МО КУРКИНСКИЙ РАЙОН</v>
      </c>
      <c r="B2509" s="24" t="s">
        <v>3728</v>
      </c>
      <c r="C2509" s="25">
        <v>56360</v>
      </c>
      <c r="D2509" s="22" t="s">
        <v>3729</v>
      </c>
      <c r="E2509" s="22" t="s">
        <v>84</v>
      </c>
      <c r="F2509" s="23" t="str">
        <f>HYPERLINK("https://www.spark-marketing.ru/Card/Lot/72996057", "Оказание услуг по установке видеооборудования для нужд Администрации МО Куркинский район на территории ""Парк Культуры и Отдыха"" р. п. Куркино Тульской области")</f>
        <v>Оказание услуг по установке видеооборудования для нужд Администрации МО Куркинский район на территории "Парк Культуры и Отдыха" р. п. Куркино Тульской области</v>
      </c>
      <c r="G2509" s="22" t="s">
        <v>818</v>
      </c>
      <c r="H2509" s="22" t="s">
        <v>3730</v>
      </c>
      <c r="I2509" s="26">
        <v>43700.437662037002</v>
      </c>
      <c r="J2509" s="23" t="str">
        <f>HYPERLINK("https://www.spark-marketing.ru/Card/Person/136136", "ООО ""ЛАБОРАТОРИЯ БЕЗОПАСНОСТИ""")</f>
        <v>ООО "ЛАБОРАТОРИЯ БЕЗОПАСНОСТИ"</v>
      </c>
      <c r="K2509" s="24" t="s">
        <v>3731</v>
      </c>
      <c r="L2509" s="22" t="s">
        <v>10</v>
      </c>
      <c r="M2509" s="28" t="s">
        <v>52</v>
      </c>
      <c r="N2509" s="28" t="s">
        <v>52</v>
      </c>
    </row>
    <row r="2510" spans="1:14" x14ac:dyDescent="0.15">
      <c r="A2510" s="23" t="str">
        <f>HYPERLINK("https://www.spark-marketing.ru/Card/Person/4347183", "РОСКОМНАДЗОР")</f>
        <v>РОСКОМНАДЗОР</v>
      </c>
      <c r="B2510" s="24" t="s">
        <v>3732</v>
      </c>
      <c r="C2510" s="25">
        <v>3375435</v>
      </c>
      <c r="D2510" s="22" t="s">
        <v>3733</v>
      </c>
      <c r="E2510" s="22" t="s">
        <v>68</v>
      </c>
      <c r="F2510" s="23" t="str">
        <f>HYPERLINK("https://www.spark-marketing.ru/Card/Lot/73006324", "Оказание услуг вооруженной охраны объекта и осуществление пропускного и внутриобъектового режима")</f>
        <v>Оказание услуг вооруженной охраны объекта и осуществление пропускного и внутриобъектового режима</v>
      </c>
      <c r="G2510" s="22" t="s">
        <v>55</v>
      </c>
      <c r="H2510" s="22" t="s">
        <v>55</v>
      </c>
      <c r="I2510" s="26">
        <v>43700.621620370403</v>
      </c>
      <c r="J2510" s="28" t="s">
        <v>52</v>
      </c>
      <c r="K2510" s="28" t="s">
        <v>52</v>
      </c>
      <c r="L2510" s="28" t="s">
        <v>52</v>
      </c>
      <c r="M2510" s="28" t="s">
        <v>52</v>
      </c>
      <c r="N2510" s="28" t="s">
        <v>52</v>
      </c>
    </row>
    <row r="2511" spans="1:14" hidden="1" outlineLevel="1" x14ac:dyDescent="0.2">
      <c r="A2511" s="23" t="str">
        <f>HYPERLINK("https://www.spark-marketing.ru/Card/Person/4347183", "РОСКОМНАДЗОР")</f>
        <v>РОСКОМНАДЗОР</v>
      </c>
      <c r="B2511" s="24" t="s">
        <v>3732</v>
      </c>
      <c r="C2511" s="25">
        <v>3375435</v>
      </c>
      <c r="D2511" s="22" t="s">
        <v>3733</v>
      </c>
      <c r="E2511" s="22" t="s">
        <v>68</v>
      </c>
      <c r="F2511" s="23" t="str">
        <f>HYPERLINK("https://www.spark-marketing.ru/Card/Lot/73006324", "Оказание услуг вооруженной охраны объекта и осуществление пропускного и внутриобъектового режима")</f>
        <v>Оказание услуг вооруженной охраны объекта и осуществление пропускного и внутриобъектового режима</v>
      </c>
      <c r="G2511" s="22" t="s">
        <v>55</v>
      </c>
      <c r="H2511" s="22" t="s">
        <v>55</v>
      </c>
      <c r="I2511" s="26">
        <v>43700.621620370403</v>
      </c>
      <c r="J2511" s="23" t="str">
        <f>HYPERLINK("https://www.spark-marketing.ru/Card/Person/4887627", "ФЛ ФГУП ОХРАНА ФЕДЕРАЛЬНОЙ СЛУЖБЫ ВОЙСК НАЦИОНАЛЬНОЙ ГВАРДИИ РФ ПО Г МОСКВЕ")</f>
        <v>ФЛ ФГУП ОХРАНА ФЕДЕРАЛЬНОЙ СЛУЖБЫ ВОЙСК НАЦИОНАЛЬНОЙ ГВАРДИИ РФ ПО Г МОСКВЕ</v>
      </c>
      <c r="K2511" s="24" t="s">
        <v>779</v>
      </c>
      <c r="L2511" s="28" t="s">
        <v>52</v>
      </c>
      <c r="M2511" s="25">
        <v>3375000</v>
      </c>
      <c r="N2511" s="27">
        <v>1.2887227868408073E-4</v>
      </c>
    </row>
    <row r="2512" spans="1:14" hidden="1" outlineLevel="1" x14ac:dyDescent="0.15">
      <c r="A2512" s="23" t="str">
        <f>HYPERLINK("https://www.spark-marketing.ru/Card/Person/4347183", "РОСКОМНАДЗОР")</f>
        <v>РОСКОМНАДЗОР</v>
      </c>
      <c r="B2512" s="24" t="s">
        <v>3732</v>
      </c>
      <c r="C2512" s="25">
        <v>3375435</v>
      </c>
      <c r="D2512" s="22" t="s">
        <v>3733</v>
      </c>
      <c r="E2512" s="22" t="s">
        <v>68</v>
      </c>
      <c r="F2512" s="23" t="str">
        <f>HYPERLINK("https://www.spark-marketing.ru/Card/Lot/73006324", "Оказание услуг вооруженной охраны объекта и осуществление пропускного и внутриобъектового режима")</f>
        <v>Оказание услуг вооруженной охраны объекта и осуществление пропускного и внутриобъектового режима</v>
      </c>
      <c r="G2512" s="22" t="s">
        <v>55</v>
      </c>
      <c r="H2512" s="22" t="s">
        <v>55</v>
      </c>
      <c r="I2512" s="26">
        <v>43700.621620370403</v>
      </c>
      <c r="J2512" s="23" t="str">
        <f>HYPERLINK("https://www.spark-marketing.ru/Card/Person/4887760", "ООО ""ЧОО ""СИГМА-ПРОФИ 2""")</f>
        <v>ООО "ЧОО "СИГМА-ПРОФИ 2"</v>
      </c>
      <c r="K2512" s="24" t="s">
        <v>3734</v>
      </c>
      <c r="L2512" s="28" t="s">
        <v>52</v>
      </c>
      <c r="M2512" s="28" t="s">
        <v>52</v>
      </c>
      <c r="N2512" s="28" t="s">
        <v>52</v>
      </c>
    </row>
    <row r="2513" spans="1:14" x14ac:dyDescent="0.15">
      <c r="A2513" s="23" t="str">
        <f>HYPERLINK("https://www.spark-marketing.ru/Card/Person/74572", "ГБУЗ АРХАНГЕЛЬСКОЙ ОБЛАСТИ ""СССМП""")</f>
        <v>ГБУЗ АРХАНГЕЛЬСКОЙ ОБЛАСТИ "СССМП"</v>
      </c>
      <c r="B2513" s="24" t="s">
        <v>3735</v>
      </c>
      <c r="C2513" s="25">
        <v>48000</v>
      </c>
      <c r="D2513" s="22" t="s">
        <v>3736</v>
      </c>
      <c r="E2513" s="22" t="s">
        <v>59</v>
      </c>
      <c r="F2513" s="23" t="str">
        <f>HYPERLINK("https://www.spark-marketing.ru/Card/Lot/72993815", "оказание услуг по техническому обслуживанию средств охранной сигнализации")</f>
        <v>оказание услуг по техническому обслуживанию средств охранной сигнализации</v>
      </c>
      <c r="G2513" s="22" t="s">
        <v>674</v>
      </c>
      <c r="H2513" s="22" t="s">
        <v>674</v>
      </c>
      <c r="I2513" s="26">
        <v>43700.487418981502</v>
      </c>
      <c r="J2513" s="23" t="str">
        <f>HYPERLINK("https://www.spark-marketing.ru/Card/Person/74585", "ООО ""ЧОО ""МЦ ""ВИТЯЗЬ""")</f>
        <v>ООО "ЧОО "МЦ "ВИТЯЗЬ"</v>
      </c>
      <c r="K2513" s="24" t="s">
        <v>3737</v>
      </c>
      <c r="L2513" s="28" t="s">
        <v>52</v>
      </c>
      <c r="M2513" s="28" t="s">
        <v>52</v>
      </c>
      <c r="N2513" s="28" t="s">
        <v>52</v>
      </c>
    </row>
    <row r="2514" spans="1:14" ht="12.75" hidden="1" outlineLevel="1" x14ac:dyDescent="0.2">
      <c r="A2514" s="23" t="str">
        <f>HYPERLINK("https://www.spark-marketing.ru/Card/Person/74572", "ГБУЗ АРХАНГЕЛЬСКОЙ ОБЛАСТИ ""СССМП""")</f>
        <v>ГБУЗ АРХАНГЕЛЬСКОЙ ОБЛАСТИ "СССМП"</v>
      </c>
      <c r="B2514" s="24" t="s">
        <v>3735</v>
      </c>
      <c r="C2514" s="25">
        <v>48000</v>
      </c>
      <c r="D2514" s="22" t="s">
        <v>3736</v>
      </c>
      <c r="E2514" s="22" t="s">
        <v>59</v>
      </c>
      <c r="F2514" s="23" t="str">
        <f>HYPERLINK("https://www.spark-marketing.ru/Card/Lot/72993815", "оказание услуг по техническому обслуживанию средств охранной сигнализации")</f>
        <v>оказание услуг по техническому обслуживанию средств охранной сигнализации</v>
      </c>
      <c r="G2514" s="22" t="s">
        <v>674</v>
      </c>
      <c r="H2514" s="22" t="s">
        <v>674</v>
      </c>
      <c r="I2514" s="26">
        <v>43700.487418981502</v>
      </c>
      <c r="J2514" s="23" t="str">
        <f>HYPERLINK("https://www.spark-marketing.ru/Card/Person/74585", "ООО ""ЧОО ""МЦ ""ВИТЯЗЬ""")</f>
        <v>ООО "ЧОО "МЦ "ВИТЯЗЬ"</v>
      </c>
      <c r="K2514" s="24" t="s">
        <v>3737</v>
      </c>
      <c r="L2514" s="22" t="s">
        <v>10</v>
      </c>
      <c r="M2514" s="25">
        <v>47760</v>
      </c>
      <c r="N2514" s="27">
        <v>5.0000000000000001E-3</v>
      </c>
    </row>
    <row r="2515" spans="1:14" x14ac:dyDescent="0.15">
      <c r="A2515" s="23" t="str">
        <f>HYPERLINK("https://www.spark-marketing.ru/Card/Person/34885", "КГБУЗ ""АРСЕНЬЕВСКАЯ ГБ""")</f>
        <v>КГБУЗ "АРСЕНЬЕВСКАЯ ГБ"</v>
      </c>
      <c r="B2515" s="24" t="s">
        <v>3738</v>
      </c>
      <c r="C2515" s="25">
        <v>699996</v>
      </c>
      <c r="D2515" s="22" t="s">
        <v>3739</v>
      </c>
      <c r="E2515" s="22" t="s">
        <v>68</v>
      </c>
      <c r="F2515" s="23" t="str">
        <f>HYPERLINK("https://www.spark-marketing.ru/Card/Lot/72982696", "Услуги по централизованной охране объектов КГБУЗ ""Арсеньевская ГБ""")</f>
        <v>Услуги по централизованной охране объектов КГБУЗ "Арсеньевская ГБ"</v>
      </c>
      <c r="G2515" s="22" t="s">
        <v>409</v>
      </c>
      <c r="H2515" s="22" t="s">
        <v>3740</v>
      </c>
      <c r="I2515" s="26">
        <v>43699.705474536997</v>
      </c>
      <c r="J2515" s="28" t="s">
        <v>52</v>
      </c>
      <c r="K2515" s="28" t="s">
        <v>52</v>
      </c>
      <c r="L2515" s="28" t="s">
        <v>52</v>
      </c>
      <c r="M2515" s="28" t="s">
        <v>52</v>
      </c>
      <c r="N2515" s="28" t="s">
        <v>52</v>
      </c>
    </row>
    <row r="2516" spans="1:14" hidden="1" outlineLevel="1" x14ac:dyDescent="0.2">
      <c r="A2516" s="23" t="str">
        <f>HYPERLINK("https://www.spark-marketing.ru/Card/Person/34885", "КГБУЗ ""АРСЕНЬЕВСКАЯ ГБ""")</f>
        <v>КГБУЗ "АРСЕНЬЕВСКАЯ ГБ"</v>
      </c>
      <c r="B2516" s="24" t="s">
        <v>3738</v>
      </c>
      <c r="C2516" s="25">
        <v>699996</v>
      </c>
      <c r="D2516" s="22" t="s">
        <v>3739</v>
      </c>
      <c r="E2516" s="22" t="s">
        <v>68</v>
      </c>
      <c r="F2516" s="23" t="str">
        <f>HYPERLINK("https://www.spark-marketing.ru/Card/Lot/72982696", "Услуги по централизованной охране объектов КГБУЗ ""Арсеньевская ГБ""")</f>
        <v>Услуги по централизованной охране объектов КГБУЗ "Арсеньевская ГБ"</v>
      </c>
      <c r="G2516" s="22" t="s">
        <v>409</v>
      </c>
      <c r="H2516" s="22" t="s">
        <v>3740</v>
      </c>
      <c r="I2516" s="26">
        <v>43699.705474536997</v>
      </c>
      <c r="J2516" s="23" t="str">
        <f>HYPERLINK("https://www.spark-marketing.ru/Card/Person/667865", "ООО ""ОХРАННОЕ АГЕНТСТВО ""ПЕРЕСВЕТ""")</f>
        <v>ООО "ОХРАННОЕ АГЕНТСТВО "ПЕРЕСВЕТ"</v>
      </c>
      <c r="K2516" s="24" t="s">
        <v>3741</v>
      </c>
      <c r="L2516" s="28" t="s">
        <v>52</v>
      </c>
      <c r="M2516" s="25">
        <v>594996.6</v>
      </c>
      <c r="N2516" s="27">
        <v>0.15</v>
      </c>
    </row>
    <row r="2517" spans="1:14" ht="12.75" hidden="1" outlineLevel="1" x14ac:dyDescent="0.2">
      <c r="A2517" s="23" t="str">
        <f>HYPERLINK("https://www.spark-marketing.ru/Card/Person/34885", "КГБУЗ ""АРСЕНЬЕВСКАЯ ГБ""")</f>
        <v>КГБУЗ "АРСЕНЬЕВСКАЯ ГБ"</v>
      </c>
      <c r="B2517" s="24" t="s">
        <v>3738</v>
      </c>
      <c r="C2517" s="25">
        <v>699996</v>
      </c>
      <c r="D2517" s="22" t="s">
        <v>3739</v>
      </c>
      <c r="E2517" s="22" t="s">
        <v>68</v>
      </c>
      <c r="F2517" s="23" t="str">
        <f>HYPERLINK("https://www.spark-marketing.ru/Card/Lot/72982696", "Услуги по централизованной охране объектов КГБУЗ ""Арсеньевская ГБ""")</f>
        <v>Услуги по централизованной охране объектов КГБУЗ "Арсеньевская ГБ"</v>
      </c>
      <c r="G2517" s="22" t="s">
        <v>409</v>
      </c>
      <c r="H2517" s="22" t="s">
        <v>3740</v>
      </c>
      <c r="I2517" s="26">
        <v>43699.705474536997</v>
      </c>
      <c r="J2517" s="23" t="str">
        <f>HYPERLINK("https://www.spark-marketing.ru/Card/Person/470715", "ООО ""ЧАСТНАЯ ОХРАННАЯ ОРГАНИЗАЦИЯ ""СТРЕЛЕЦ""")</f>
        <v>ООО "ЧАСТНАЯ ОХРАННАЯ ОРГАНИЗАЦИЯ "СТРЕЛЕЦ"</v>
      </c>
      <c r="K2517" s="24" t="s">
        <v>3742</v>
      </c>
      <c r="L2517" s="22" t="s">
        <v>10</v>
      </c>
      <c r="M2517" s="25">
        <v>493497.18</v>
      </c>
      <c r="N2517" s="27">
        <v>0.29499999999999998</v>
      </c>
    </row>
    <row r="2518" spans="1:14" hidden="1" outlineLevel="1" x14ac:dyDescent="0.2">
      <c r="A2518" s="23" t="str">
        <f>HYPERLINK("https://www.spark-marketing.ru/Card/Person/34885", "КГБУЗ ""АРСЕНЬЕВСКАЯ ГБ""")</f>
        <v>КГБУЗ "АРСЕНЬЕВСКАЯ ГБ"</v>
      </c>
      <c r="B2518" s="24" t="s">
        <v>3738</v>
      </c>
      <c r="C2518" s="25">
        <v>699996</v>
      </c>
      <c r="D2518" s="22" t="s">
        <v>3739</v>
      </c>
      <c r="E2518" s="22" t="s">
        <v>68</v>
      </c>
      <c r="F2518" s="23" t="str">
        <f>HYPERLINK("https://www.spark-marketing.ru/Card/Lot/72982696", "Услуги по централизованной охране объектов КГБУЗ ""Арсеньевская ГБ""")</f>
        <v>Услуги по централизованной охране объектов КГБУЗ "Арсеньевская ГБ"</v>
      </c>
      <c r="G2518" s="22" t="s">
        <v>409</v>
      </c>
      <c r="H2518" s="22" t="s">
        <v>3740</v>
      </c>
      <c r="I2518" s="26">
        <v>43699.705474536997</v>
      </c>
      <c r="J2518" s="23" t="str">
        <f>HYPERLINK("https://www.spark-marketing.ru/Card/Person/91730", "ООО ""ЧОП ""СОЮЗ""")</f>
        <v>ООО "ЧОП "СОЮЗ"</v>
      </c>
      <c r="K2518" s="24" t="s">
        <v>3743</v>
      </c>
      <c r="L2518" s="28" t="s">
        <v>52</v>
      </c>
      <c r="M2518" s="25">
        <v>496997.16</v>
      </c>
      <c r="N2518" s="27">
        <v>0.28999999999999998</v>
      </c>
    </row>
    <row r="2519" spans="1:14" x14ac:dyDescent="0.15">
      <c r="A2519" s="23" t="str">
        <f>HYPERLINK("https://www.spark-marketing.ru/Card/Person/137450", "МБУК ""ДЦМБ""")</f>
        <v>МБУК "ДЦМБ"</v>
      </c>
      <c r="B2519" s="24" t="s">
        <v>3744</v>
      </c>
      <c r="C2519" s="25">
        <v>549900</v>
      </c>
      <c r="D2519" s="22" t="s">
        <v>3745</v>
      </c>
      <c r="E2519" s="22" t="s">
        <v>1293</v>
      </c>
      <c r="F2519" s="23" t="str">
        <f>HYPERLINK("https://www.spark-marketing.ru/Card/Lot/72991833", "Реализация мероприятий по созданию доступной среды в МБУК ""ДЦМБ"" (поставка и установка видеоувеличителей стационарных для слепых и слабовидящих людей)")</f>
        <v>Реализация мероприятий по созданию доступной среды в МБУК "ДЦМБ" (поставка и установка видеоувеличителей стационарных для слепых и слабовидящих людей)</v>
      </c>
      <c r="G2519" s="22" t="s">
        <v>50</v>
      </c>
      <c r="H2519" s="22" t="s">
        <v>511</v>
      </c>
      <c r="I2519" s="26">
        <v>43700.440416666701</v>
      </c>
      <c r="J2519" s="28" t="s">
        <v>52</v>
      </c>
      <c r="K2519" s="28" t="s">
        <v>52</v>
      </c>
      <c r="L2519" s="28" t="s">
        <v>52</v>
      </c>
      <c r="M2519" s="28" t="s">
        <v>52</v>
      </c>
      <c r="N2519" s="28" t="s">
        <v>52</v>
      </c>
    </row>
    <row r="2520" spans="1:14" hidden="1" outlineLevel="1" x14ac:dyDescent="0.2">
      <c r="A2520" s="23" t="str">
        <f>HYPERLINK("https://www.spark-marketing.ru/Card/Person/137450", "МБУК ""ДЦМБ""")</f>
        <v>МБУК "ДЦМБ"</v>
      </c>
      <c r="B2520" s="24" t="s">
        <v>3744</v>
      </c>
      <c r="C2520" s="25">
        <v>549900</v>
      </c>
      <c r="D2520" s="22" t="s">
        <v>3745</v>
      </c>
      <c r="E2520" s="22" t="s">
        <v>1293</v>
      </c>
      <c r="F2520" s="23" t="str">
        <f>HYPERLINK("https://www.spark-marketing.ru/Card/Lot/72991833", "Реализация мероприятий по созданию доступной среды в МБУК ""ДЦМБ"" (поставка и установка видеоувеличителей стационарных для слепых и слабовидящих людей)")</f>
        <v>Реализация мероприятий по созданию доступной среды в МБУК "ДЦМБ" (поставка и установка видеоувеличителей стационарных для слепых и слабовидящих людей)</v>
      </c>
      <c r="G2520" s="22" t="s">
        <v>50</v>
      </c>
      <c r="H2520" s="22" t="s">
        <v>511</v>
      </c>
      <c r="I2520" s="26">
        <v>43700.440416666701</v>
      </c>
      <c r="J2520" s="23" t="str">
        <f>HYPERLINK("https://www.spark-marketing.ru/Card/Person/5866046", "ООО ""ЮНИВОКС""")</f>
        <v>ООО "ЮНИВОКС"</v>
      </c>
      <c r="K2520" s="24" t="s">
        <v>3746</v>
      </c>
      <c r="L2520" s="28" t="s">
        <v>52</v>
      </c>
      <c r="M2520" s="25">
        <v>450509</v>
      </c>
      <c r="N2520" s="27">
        <v>0.18074377159483543</v>
      </c>
    </row>
    <row r="2521" spans="1:14" hidden="1" outlineLevel="1" x14ac:dyDescent="0.2">
      <c r="A2521" s="23" t="str">
        <f>HYPERLINK("https://www.spark-marketing.ru/Card/Person/137450", "МБУК ""ДЦМБ""")</f>
        <v>МБУК "ДЦМБ"</v>
      </c>
      <c r="B2521" s="24" t="s">
        <v>3744</v>
      </c>
      <c r="C2521" s="25">
        <v>549900</v>
      </c>
      <c r="D2521" s="22" t="s">
        <v>3745</v>
      </c>
      <c r="E2521" s="22" t="s">
        <v>1293</v>
      </c>
      <c r="F2521" s="23" t="str">
        <f>HYPERLINK("https://www.spark-marketing.ru/Card/Lot/72991833", "Реализация мероприятий по созданию доступной среды в МБУК ""ДЦМБ"" (поставка и установка видеоувеличителей стационарных для слепых и слабовидящих людей)")</f>
        <v>Реализация мероприятий по созданию доступной среды в МБУК "ДЦМБ" (поставка и установка видеоувеличителей стационарных для слепых и слабовидящих людей)</v>
      </c>
      <c r="G2521" s="22" t="s">
        <v>50</v>
      </c>
      <c r="H2521" s="22" t="s">
        <v>511</v>
      </c>
      <c r="I2521" s="26">
        <v>43700.440416666701</v>
      </c>
      <c r="J2521" s="23" t="str">
        <f>HYPERLINK("https://www.spark-marketing.ru/Card/Person/983838", "ООО ""ПРОТИФЛО""")</f>
        <v>ООО "ПРОТИФЛО"</v>
      </c>
      <c r="K2521" s="24" t="s">
        <v>3747</v>
      </c>
      <c r="L2521" s="28" t="s">
        <v>52</v>
      </c>
      <c r="M2521" s="25">
        <v>425763.5</v>
      </c>
      <c r="N2521" s="27">
        <v>0.22574377159483541</v>
      </c>
    </row>
    <row r="2522" spans="1:14" ht="12.75" hidden="1" outlineLevel="1" x14ac:dyDescent="0.2">
      <c r="A2522" s="23" t="str">
        <f>HYPERLINK("https://www.spark-marketing.ru/Card/Person/137450", "МБУК ""ДЦМБ""")</f>
        <v>МБУК "ДЦМБ"</v>
      </c>
      <c r="B2522" s="24" t="s">
        <v>3744</v>
      </c>
      <c r="C2522" s="25">
        <v>549900</v>
      </c>
      <c r="D2522" s="22" t="s">
        <v>3745</v>
      </c>
      <c r="E2522" s="22" t="s">
        <v>1293</v>
      </c>
      <c r="F2522" s="23" t="str">
        <f>HYPERLINK("https://www.spark-marketing.ru/Card/Lot/72991833", "Реализация мероприятий по созданию доступной среды в МБУК ""ДЦМБ"" (поставка и установка видеоувеличителей стационарных для слепых и слабовидящих людей)")</f>
        <v>Реализация мероприятий по созданию доступной среды в МБУК "ДЦМБ" (поставка и установка видеоувеличителей стационарных для слепых и слабовидящих людей)</v>
      </c>
      <c r="G2522" s="22" t="s">
        <v>50</v>
      </c>
      <c r="H2522" s="22" t="s">
        <v>511</v>
      </c>
      <c r="I2522" s="26">
        <v>43700.440416666701</v>
      </c>
      <c r="J2522" s="23" t="str">
        <f>HYPERLINK("https://www.spark-marketing.ru/Card/Person/409163", "ООО ""ЭЛИТА ГРУПП""")</f>
        <v>ООО "ЭЛИТА ГРУПП"</v>
      </c>
      <c r="K2522" s="24" t="s">
        <v>3748</v>
      </c>
      <c r="L2522" s="22" t="s">
        <v>10</v>
      </c>
      <c r="M2522" s="25">
        <v>423014</v>
      </c>
      <c r="N2522" s="27">
        <v>0.23074377159483542</v>
      </c>
    </row>
    <row r="2523" spans="1:14" x14ac:dyDescent="0.15">
      <c r="A2523" s="23" t="str">
        <f>HYPERLINK("https://www.spark-marketing.ru/Card/Person/6855", "ОМСКАЯ ТАМОЖНЯ")</f>
        <v>ОМСКАЯ ТАМОЖНЯ</v>
      </c>
      <c r="B2523" s="24" t="s">
        <v>3749</v>
      </c>
      <c r="C2523" s="25">
        <v>148316.4</v>
      </c>
      <c r="D2523" s="22" t="s">
        <v>3750</v>
      </c>
      <c r="E2523" s="22" t="s">
        <v>68</v>
      </c>
      <c r="F2523" s="23" t="str">
        <f>HYPERLINK("https://www.spark-marketing.ru/Card/Lot/72985813", "Возмездное оказание услуг по охране объекта Омской таможни")</f>
        <v>Возмездное оказание услуг по охране объекта Омской таможни</v>
      </c>
      <c r="G2523" s="22" t="s">
        <v>521</v>
      </c>
      <c r="H2523" s="22" t="s">
        <v>522</v>
      </c>
      <c r="I2523" s="26">
        <v>43700.440277777801</v>
      </c>
      <c r="J2523" s="28" t="s">
        <v>52</v>
      </c>
      <c r="K2523" s="28" t="s">
        <v>52</v>
      </c>
      <c r="L2523" s="28" t="s">
        <v>52</v>
      </c>
      <c r="M2523" s="28" t="s">
        <v>52</v>
      </c>
      <c r="N2523" s="28" t="s">
        <v>52</v>
      </c>
    </row>
    <row r="2524" spans="1:14" hidden="1" outlineLevel="1" x14ac:dyDescent="0.2">
      <c r="A2524" s="23" t="str">
        <f>HYPERLINK("https://www.spark-marketing.ru/Card/Person/6855", "ОМСКАЯ ТАМОЖНЯ")</f>
        <v>ОМСКАЯ ТАМОЖНЯ</v>
      </c>
      <c r="B2524" s="24" t="s">
        <v>3749</v>
      </c>
      <c r="C2524" s="25">
        <v>148316.4</v>
      </c>
      <c r="D2524" s="22" t="s">
        <v>3750</v>
      </c>
      <c r="E2524" s="22" t="s">
        <v>68</v>
      </c>
      <c r="F2524" s="23" t="str">
        <f>HYPERLINK("https://www.spark-marketing.ru/Card/Lot/72985813", "Возмездное оказание услуг по охране объекта Омской таможни")</f>
        <v>Возмездное оказание услуг по охране объекта Омской таможни</v>
      </c>
      <c r="G2524" s="22" t="s">
        <v>521</v>
      </c>
      <c r="H2524" s="22" t="s">
        <v>522</v>
      </c>
      <c r="I2524" s="26">
        <v>43700.440277777801</v>
      </c>
      <c r="J2524" s="23" t="str">
        <f>HYPERLINK("https://www.spark-marketing.ru/Card/Person/4493553", "ФЛ ФГУП ""ОХРАНА"" РОСГВАРДИИ ПО ОМСКОЙ ОБЛАСТИ")</f>
        <v>ФЛ ФГУП "ОХРАНА" РОСГВАРДИИ ПО ОМСКОЙ ОБЛАСТИ</v>
      </c>
      <c r="K2524" s="24" t="s">
        <v>779</v>
      </c>
      <c r="L2524" s="28" t="s">
        <v>52</v>
      </c>
      <c r="M2524" s="25">
        <v>140900.6</v>
      </c>
      <c r="N2524" s="27">
        <v>4.999986515314557E-2</v>
      </c>
    </row>
    <row r="2525" spans="1:14" ht="12.75" hidden="1" outlineLevel="1" x14ac:dyDescent="0.2">
      <c r="A2525" s="23" t="str">
        <f>HYPERLINK("https://www.spark-marketing.ru/Card/Person/6855", "ОМСКАЯ ТАМОЖНЯ")</f>
        <v>ОМСКАЯ ТАМОЖНЯ</v>
      </c>
      <c r="B2525" s="24" t="s">
        <v>3749</v>
      </c>
      <c r="C2525" s="25">
        <v>148316.4</v>
      </c>
      <c r="D2525" s="22" t="s">
        <v>3750</v>
      </c>
      <c r="E2525" s="22" t="s">
        <v>68</v>
      </c>
      <c r="F2525" s="23" t="str">
        <f>HYPERLINK("https://www.spark-marketing.ru/Card/Lot/72985813", "Возмездное оказание услуг по охране объекта Омской таможни")</f>
        <v>Возмездное оказание услуг по охране объекта Омской таможни</v>
      </c>
      <c r="G2525" s="22" t="s">
        <v>521</v>
      </c>
      <c r="H2525" s="22" t="s">
        <v>522</v>
      </c>
      <c r="I2525" s="26">
        <v>43700.440277777801</v>
      </c>
      <c r="J2525" s="23" t="str">
        <f>HYPERLINK("https://www.spark-marketing.ru/Card/Person/666553", "ФГП ВО ЖДТ РОССИИ")</f>
        <v>ФГП ВО ЖДТ РОССИИ</v>
      </c>
      <c r="K2525" s="24" t="s">
        <v>1269</v>
      </c>
      <c r="L2525" s="22" t="s">
        <v>10</v>
      </c>
      <c r="M2525" s="25">
        <v>140159.01999999999</v>
      </c>
      <c r="N2525" s="27">
        <v>5.499985166846013E-2</v>
      </c>
    </row>
    <row r="2526" spans="1:14" x14ac:dyDescent="0.15">
      <c r="A2526" s="23" t="str">
        <f>HYPERLINK("https://www.spark-marketing.ru/Card/Person/540405", "СЕВЕРНОЕ ЛУ МВД РОССИИ НА ТРАНСПОРТЕ")</f>
        <v>СЕВЕРНОЕ ЛУ МВД РОССИИ НА ТРАНСПОРТЕ</v>
      </c>
      <c r="B2526" s="24" t="s">
        <v>3751</v>
      </c>
      <c r="C2526" s="25">
        <v>59266.8</v>
      </c>
      <c r="D2526" s="22" t="s">
        <v>3752</v>
      </c>
      <c r="E2526" s="22" t="s">
        <v>53</v>
      </c>
      <c r="F2526" s="23" t="str">
        <f>HYPERLINK("https://www.spark-marketing.ru/Card/Lot/72989696", "Эксплуатационно-техническое обслуживания комплекса ОПС и тревожной сигнализации")</f>
        <v>Эксплуатационно-техническое обслуживания комплекса ОПС и тревожной сигнализации</v>
      </c>
      <c r="G2526" s="22" t="s">
        <v>155</v>
      </c>
      <c r="H2526" s="22" t="s">
        <v>156</v>
      </c>
      <c r="I2526" s="26">
        <v>43700.444270833301</v>
      </c>
      <c r="J2526" s="28" t="s">
        <v>52</v>
      </c>
      <c r="K2526" s="28" t="s">
        <v>52</v>
      </c>
      <c r="L2526" s="28" t="s">
        <v>52</v>
      </c>
      <c r="M2526" s="28" t="s">
        <v>52</v>
      </c>
      <c r="N2526" s="28" t="s">
        <v>52</v>
      </c>
    </row>
    <row r="2527" spans="1:14" x14ac:dyDescent="0.15">
      <c r="A2527" s="23" t="str">
        <f>HYPERLINK("https://www.spark-marketing.ru/Card/Person/540405", "СЕВЕРНОЕ ЛУ МВД РОССИИ НА ТРАНСПОРТЕ")</f>
        <v>СЕВЕРНОЕ ЛУ МВД РОССИИ НА ТРАНСПОРТЕ</v>
      </c>
      <c r="B2527" s="24" t="s">
        <v>3751</v>
      </c>
      <c r="C2527" s="25">
        <v>116656.32000000001</v>
      </c>
      <c r="D2527" s="22" t="s">
        <v>3753</v>
      </c>
      <c r="E2527" s="22" t="s">
        <v>53</v>
      </c>
      <c r="F2527" s="23" t="str">
        <f>HYPERLINK("https://www.spark-marketing.ru/Card/Lot/72989858", "Комплекс услуг по эксплуатационно-техническому обслуживанию средств ОП и тревожной сигнализации")</f>
        <v>Комплекс услуг по эксплуатационно-техническому обслуживанию средств ОП и тревожной сигнализации</v>
      </c>
      <c r="G2527" s="22" t="s">
        <v>155</v>
      </c>
      <c r="H2527" s="22" t="s">
        <v>156</v>
      </c>
      <c r="I2527" s="26">
        <v>43700.455231481501</v>
      </c>
      <c r="J2527" s="28" t="s">
        <v>52</v>
      </c>
      <c r="K2527" s="28" t="s">
        <v>52</v>
      </c>
      <c r="L2527" s="28" t="s">
        <v>52</v>
      </c>
      <c r="M2527" s="28" t="s">
        <v>52</v>
      </c>
      <c r="N2527" s="28" t="s">
        <v>52</v>
      </c>
    </row>
    <row r="2528" spans="1:14" x14ac:dyDescent="0.15">
      <c r="A2528" s="23" t="str">
        <f>HYPERLINK("https://www.spark-marketing.ru/Card/Person/148241", "ОТДЕЛ МВД РОССИИ ПО НЕФТЕКУМСКОМУ ГОРОДСКОМУ ОКРУГУ")</f>
        <v>ОТДЕЛ МВД РОССИИ ПО НЕФТЕКУМСКОМУ ГОРОДСКОМУ ОКРУГУ</v>
      </c>
      <c r="B2528" s="24" t="s">
        <v>3754</v>
      </c>
      <c r="C2528" s="25">
        <v>50000</v>
      </c>
      <c r="D2528" s="22" t="s">
        <v>3755</v>
      </c>
      <c r="E2528" s="22" t="s">
        <v>84</v>
      </c>
      <c r="F2528" s="23" t="str">
        <f>HYPERLINK("https://www.spark-marketing.ru/Card/Lot/72986078", "Выполнение работ по установке систем видеонаблюдения, 1 шт")</f>
        <v>Выполнение работ по установке систем видеонаблюдения, 1 шт</v>
      </c>
      <c r="G2528" s="22" t="s">
        <v>258</v>
      </c>
      <c r="H2528" s="22" t="s">
        <v>3756</v>
      </c>
      <c r="I2528" s="26">
        <v>43700.409664351799</v>
      </c>
      <c r="J2528" s="28" t="s">
        <v>52</v>
      </c>
      <c r="K2528" s="28" t="s">
        <v>52</v>
      </c>
      <c r="L2528" s="28" t="s">
        <v>52</v>
      </c>
      <c r="M2528" s="28" t="s">
        <v>52</v>
      </c>
      <c r="N2528" s="28" t="s">
        <v>52</v>
      </c>
    </row>
    <row r="2529" spans="1:14" x14ac:dyDescent="0.15">
      <c r="A2529" s="23" t="str">
        <f>HYPERLINK("https://www.spark-marketing.ru/Card/Person/148241", "ОТДЕЛ МВД РОССИИ ПО НЕФТЕКУМСКОМУ ГОРОДСКОМУ ОКРУГУ")</f>
        <v>ОТДЕЛ МВД РОССИИ ПО НЕФТЕКУМСКОМУ ГОРОДСКОМУ ОКРУГУ</v>
      </c>
      <c r="B2529" s="24" t="s">
        <v>3754</v>
      </c>
      <c r="C2529" s="25">
        <v>50000</v>
      </c>
      <c r="D2529" s="22" t="s">
        <v>3757</v>
      </c>
      <c r="E2529" s="22" t="s">
        <v>84</v>
      </c>
      <c r="F2529" s="23" t="str">
        <f>HYPERLINK("https://www.spark-marketing.ru/Card/Lot/72985551", "Выполнение работ по установке систем видеонаблюдения, 1 шт")</f>
        <v>Выполнение работ по установке систем видеонаблюдения, 1 шт</v>
      </c>
      <c r="G2529" s="22" t="s">
        <v>258</v>
      </c>
      <c r="H2529" s="22" t="s">
        <v>3756</v>
      </c>
      <c r="I2529" s="26">
        <v>43700.405046296299</v>
      </c>
      <c r="J2529" s="28" t="s">
        <v>52</v>
      </c>
      <c r="K2529" s="28" t="s">
        <v>52</v>
      </c>
      <c r="L2529" s="28" t="s">
        <v>52</v>
      </c>
      <c r="M2529" s="28" t="s">
        <v>52</v>
      </c>
      <c r="N2529" s="28" t="s">
        <v>52</v>
      </c>
    </row>
    <row r="2530" spans="1:14" x14ac:dyDescent="0.15">
      <c r="A2530" s="23" t="str">
        <f>HYPERLINK("https://www.spark-marketing.ru/Card/Person/246922", "АДМИНИСТРАЦИЯ ЯШКИНСКОГО ГОРОДСКОГО ПОСЕЛЕНИЯ")</f>
        <v>АДМИНИСТРАЦИЯ ЯШКИНСКОГО ГОРОДСКОГО ПОСЕЛЕНИЯ</v>
      </c>
      <c r="B2530" s="24" t="s">
        <v>3758</v>
      </c>
      <c r="C2530" s="25">
        <v>340000</v>
      </c>
      <c r="D2530" s="22" t="s">
        <v>3759</v>
      </c>
      <c r="E2530" s="22" t="s">
        <v>84</v>
      </c>
      <c r="F2530" s="23" t="str">
        <f>HYPERLINK("https://www.spark-marketing.ru/Card/Lot/72983157", "Выполнение работ по установке системы видеонаблюдения в сквере ""Памяти Героям""")</f>
        <v>Выполнение работ по установке системы видеонаблюдения в сквере "Памяти Героям"</v>
      </c>
      <c r="G2530" s="22" t="s">
        <v>367</v>
      </c>
      <c r="H2530" s="22" t="s">
        <v>3760</v>
      </c>
      <c r="I2530" s="26">
        <v>43700.395347222198</v>
      </c>
      <c r="J2530" s="23" t="str">
        <f>HYPERLINK("https://www.spark-marketing.ru/Card/Person/6359555", "Костина Алена Игоревна")</f>
        <v>Костина Алена Игоревна</v>
      </c>
      <c r="K2530" s="24" t="s">
        <v>3761</v>
      </c>
      <c r="L2530" s="22" t="s">
        <v>10</v>
      </c>
      <c r="M2530" s="28" t="s">
        <v>52</v>
      </c>
      <c r="N2530" s="28" t="s">
        <v>52</v>
      </c>
    </row>
    <row r="2531" spans="1:14" x14ac:dyDescent="0.15">
      <c r="A2531" s="23" t="str">
        <f>HYPERLINK("https://www.spark-marketing.ru/Card/Person/47896", "ФКУ НПО ""СТИС"" МВД РОССИИ")</f>
        <v>ФКУ НПО "СТИС" МВД РОССИИ</v>
      </c>
      <c r="B2531" s="24" t="s">
        <v>3395</v>
      </c>
      <c r="C2531" s="25">
        <v>69380.639999999999</v>
      </c>
      <c r="D2531" s="22" t="s">
        <v>3762</v>
      </c>
      <c r="E2531" s="22" t="s">
        <v>68</v>
      </c>
      <c r="F2531" s="23" t="str">
        <f>HYPERLINK("https://www.spark-marketing.ru/Card/Lot/72985298", "охрана, путем реагирования группы задержания на срабатывание кнопки тревожной сигнализации, 1 усл. ед")</f>
        <v>охрана, путем реагирования группы задержания на срабатывание кнопки тревожной сигнализации, 1 усл. ед</v>
      </c>
      <c r="G2531" s="22" t="s">
        <v>209</v>
      </c>
      <c r="H2531" s="22" t="s">
        <v>210</v>
      </c>
      <c r="I2531" s="26">
        <v>43700.397523148102</v>
      </c>
      <c r="J2531" s="28" t="s">
        <v>52</v>
      </c>
      <c r="K2531" s="28" t="s">
        <v>52</v>
      </c>
      <c r="L2531" s="28" t="s">
        <v>52</v>
      </c>
      <c r="M2531" s="28" t="s">
        <v>52</v>
      </c>
      <c r="N2531" s="28" t="s">
        <v>52</v>
      </c>
    </row>
    <row r="2532" spans="1:14" x14ac:dyDescent="0.15">
      <c r="A2532" s="23" t="str">
        <f>HYPERLINK("https://www.spark-marketing.ru/Card/Person/47896", "ФКУ НПО ""СТИС"" МВД РОССИИ")</f>
        <v>ФКУ НПО "СТИС" МВД РОССИИ</v>
      </c>
      <c r="B2532" s="24" t="s">
        <v>3395</v>
      </c>
      <c r="C2532" s="25">
        <v>197444.4</v>
      </c>
      <c r="D2532" s="22" t="s">
        <v>3763</v>
      </c>
      <c r="E2532" s="22" t="s">
        <v>68</v>
      </c>
      <c r="F2532" s="23" t="str">
        <f>HYPERLINK("https://www.spark-marketing.ru/Card/Lot/72985286", "Централизованная охрана объектов, 1 усл. ед")</f>
        <v>Централизованная охрана объектов, 1 усл. ед</v>
      </c>
      <c r="G2532" s="22" t="s">
        <v>209</v>
      </c>
      <c r="H2532" s="22" t="s">
        <v>210</v>
      </c>
      <c r="I2532" s="26">
        <v>43700.394432870402</v>
      </c>
      <c r="J2532" s="28" t="s">
        <v>52</v>
      </c>
      <c r="K2532" s="28" t="s">
        <v>52</v>
      </c>
      <c r="L2532" s="28" t="s">
        <v>52</v>
      </c>
      <c r="M2532" s="28" t="s">
        <v>52</v>
      </c>
      <c r="N2532" s="28" t="s">
        <v>52</v>
      </c>
    </row>
    <row r="2533" spans="1:14" x14ac:dyDescent="0.15">
      <c r="A2533" s="23" t="str">
        <f>HYPERLINK("https://www.spark-marketing.ru/Card/Person/77197", "ВСУ СК РОССИИ ПО ЮВО")</f>
        <v>ВСУ СК РОССИИ ПО ЮВО</v>
      </c>
      <c r="B2533" s="24" t="s">
        <v>3764</v>
      </c>
      <c r="C2533" s="25">
        <v>849926</v>
      </c>
      <c r="D2533" s="22" t="s">
        <v>3765</v>
      </c>
      <c r="E2533" s="22" t="s">
        <v>208</v>
      </c>
      <c r="F2533" s="23" t="str">
        <f>HYPERLINK("https://www.spark-marketing.ru/Card/Lot/72986339", "Прочая закупка товаров, работ и услуг (Приобретение и установка систем безопасности (видеонаблюдения и СКУД))")</f>
        <v>Прочая закупка товаров, работ и услуг (Приобретение и установка систем безопасности (видеонаблюдения и СКУД))</v>
      </c>
      <c r="G2533" s="22" t="s">
        <v>595</v>
      </c>
      <c r="H2533" s="22" t="s">
        <v>3766</v>
      </c>
      <c r="I2533" s="26">
        <v>43699.738506944399</v>
      </c>
      <c r="J2533" s="23" t="str">
        <f>HYPERLINK("https://www.spark-marketing.ru/Card/Person/6623907", "ООО ""ГЕНЕЗИС""")</f>
        <v>ООО "ГЕНЕЗИС"</v>
      </c>
      <c r="K2533" s="24" t="s">
        <v>3767</v>
      </c>
      <c r="L2533" s="22" t="s">
        <v>10</v>
      </c>
      <c r="M2533" s="28" t="s">
        <v>52</v>
      </c>
      <c r="N2533" s="28" t="s">
        <v>52</v>
      </c>
    </row>
    <row r="2534" spans="1:14" x14ac:dyDescent="0.15">
      <c r="A2534" s="23" t="str">
        <f>HYPERLINK("https://www.spark-marketing.ru/Card/Person/3752", "ПНИПУ, ФГБОУ ВО ""ПЕРМСКИЙ НАЦИОНАЛЬНЫЙ ИССЛЕДОВАТЕЛЬСКИЙ ПОЛИТЕХНИЧЕСКИЙ УНИВЕРСИТЕТ"", ФГБОУ ВО ""ПНИПУ""")</f>
        <v>ПНИПУ, ФГБОУ ВО "ПЕРМСКИЙ НАЦИОНАЛЬНЫЙ ИССЛЕДОВАТЕЛЬСКИЙ ПОЛИТЕХНИЧЕСКИЙ УНИВЕРСИТЕТ", ФГБОУ ВО "ПНИПУ"</v>
      </c>
      <c r="B2534" s="24" t="s">
        <v>3768</v>
      </c>
      <c r="C2534" s="25">
        <v>453145.35</v>
      </c>
      <c r="D2534" s="22" t="s">
        <v>3769</v>
      </c>
      <c r="E2534" s="22" t="s">
        <v>3770</v>
      </c>
      <c r="F2534" s="23" t="str">
        <f>HYPERLINK("https://www.spark-marketing.ru/Card/Lot/72983232", "Приобретение системы контроля и управления доступом (СКУД) с монтажом, пусконаладкой и установкой внутренних видеокамер в корпусах №1, №2 БФ ПНИПУ. 9151")</f>
        <v>Приобретение системы контроля и управления доступом (СКУД) с монтажом, пусконаладкой и установкой внутренних видеокамер в корпусах №1, №2 БФ ПНИПУ. 9151</v>
      </c>
      <c r="G2534" s="22" t="s">
        <v>391</v>
      </c>
      <c r="H2534" s="22" t="s">
        <v>391</v>
      </c>
      <c r="I2534" s="26">
        <v>43699.635856481502</v>
      </c>
      <c r="J2534" s="28" t="s">
        <v>52</v>
      </c>
      <c r="K2534" s="28" t="s">
        <v>52</v>
      </c>
      <c r="L2534" s="28" t="s">
        <v>52</v>
      </c>
      <c r="M2534" s="28" t="s">
        <v>52</v>
      </c>
      <c r="N2534" s="28" t="s">
        <v>52</v>
      </c>
    </row>
    <row r="2535" spans="1:14" hidden="1" outlineLevel="1" x14ac:dyDescent="0.2">
      <c r="A2535" s="23" t="str">
        <f>HYPERLINK("https://www.spark-marketing.ru/Card/Person/3752", "ПНИПУ, ФГБОУ ВО ""ПЕРМСКИЙ НАЦИОНАЛЬНЫЙ ИССЛЕДОВАТЕЛЬСКИЙ ПОЛИТЕХНИЧЕСКИЙ УНИВЕРСИТЕТ"", ФГБОУ ВО ""ПНИПУ""")</f>
        <v>ПНИПУ, ФГБОУ ВО "ПЕРМСКИЙ НАЦИОНАЛЬНЫЙ ИССЛЕДОВАТЕЛЬСКИЙ ПОЛИТЕХНИЧЕСКИЙ УНИВЕРСИТЕТ", ФГБОУ ВО "ПНИПУ"</v>
      </c>
      <c r="B2535" s="24" t="s">
        <v>3768</v>
      </c>
      <c r="C2535" s="25">
        <v>453145.35</v>
      </c>
      <c r="D2535" s="22" t="s">
        <v>3769</v>
      </c>
      <c r="E2535" s="22" t="s">
        <v>3770</v>
      </c>
      <c r="F2535" s="23" t="str">
        <f>HYPERLINK("https://www.spark-marketing.ru/Card/Lot/72983232", "Приобретение системы контроля и управления доступом (СКУД) с монтажом, пусконаладкой и установкой внутренних видеокамер в корпусах №1, №2 БФ ПНИПУ. 9151")</f>
        <v>Приобретение системы контроля и управления доступом (СКУД) с монтажом, пусконаладкой и установкой внутренних видеокамер в корпусах №1, №2 БФ ПНИПУ. 9151</v>
      </c>
      <c r="G2535" s="22" t="s">
        <v>391</v>
      </c>
      <c r="H2535" s="22" t="s">
        <v>391</v>
      </c>
      <c r="I2535" s="26">
        <v>43699.635856481502</v>
      </c>
      <c r="J2535" s="23" t="str">
        <f>HYPERLINK("https://www.spark-marketing.ru/Card/Person/434282", "ООО ""ВИЗАРД""")</f>
        <v>ООО "ВИЗАРД"</v>
      </c>
      <c r="K2535" s="24" t="s">
        <v>3771</v>
      </c>
      <c r="L2535" s="28" t="s">
        <v>52</v>
      </c>
      <c r="M2535" s="25">
        <v>361874.16</v>
      </c>
      <c r="N2535" s="27">
        <v>0.20141702877454221</v>
      </c>
    </row>
    <row r="2536" spans="1:14" ht="12.75" hidden="1" outlineLevel="1" x14ac:dyDescent="0.2">
      <c r="A2536" s="23" t="str">
        <f>HYPERLINK("https://www.spark-marketing.ru/Card/Person/3752", "ПНИПУ, ФГБОУ ВО ""ПЕРМСКИЙ НАЦИОНАЛЬНЫЙ ИССЛЕДОВАТЕЛЬСКИЙ ПОЛИТЕХНИЧЕСКИЙ УНИВЕРСИТЕТ"", ФГБОУ ВО ""ПНИПУ""")</f>
        <v>ПНИПУ, ФГБОУ ВО "ПЕРМСКИЙ НАЦИОНАЛЬНЫЙ ИССЛЕДОВАТЕЛЬСКИЙ ПОЛИТЕХНИЧЕСКИЙ УНИВЕРСИТЕТ", ФГБОУ ВО "ПНИПУ"</v>
      </c>
      <c r="B2536" s="24" t="s">
        <v>3768</v>
      </c>
      <c r="C2536" s="25">
        <v>453145.35</v>
      </c>
      <c r="D2536" s="22" t="s">
        <v>3769</v>
      </c>
      <c r="E2536" s="22" t="s">
        <v>3770</v>
      </c>
      <c r="F2536" s="23" t="str">
        <f>HYPERLINK("https://www.spark-marketing.ru/Card/Lot/72983232", "Приобретение системы контроля и управления доступом (СКУД) с монтажом, пусконаладкой и установкой внутренних видеокамер в корпусах №1, №2 БФ ПНИПУ. 9151")</f>
        <v>Приобретение системы контроля и управления доступом (СКУД) с монтажом, пусконаладкой и установкой внутренних видеокамер в корпусах №1, №2 БФ ПНИПУ. 9151</v>
      </c>
      <c r="G2536" s="22" t="s">
        <v>391</v>
      </c>
      <c r="H2536" s="22" t="s">
        <v>391</v>
      </c>
      <c r="I2536" s="26">
        <v>43699.635856481502</v>
      </c>
      <c r="J2536" s="23" t="str">
        <f>HYPERLINK("https://www.spark-marketing.ru/Card/Person/753747", "ООО ""СКУД""")</f>
        <v>ООО "СКУД"</v>
      </c>
      <c r="K2536" s="24" t="s">
        <v>1612</v>
      </c>
      <c r="L2536" s="22" t="s">
        <v>10</v>
      </c>
      <c r="M2536" s="25">
        <v>289370.8</v>
      </c>
      <c r="N2536" s="27">
        <v>0.36141725828147636</v>
      </c>
    </row>
    <row r="2537" spans="1:14" hidden="1" outlineLevel="1" x14ac:dyDescent="0.2">
      <c r="A2537" s="23" t="str">
        <f>HYPERLINK("https://www.spark-marketing.ru/Card/Person/3752", "ПНИПУ, ФГБОУ ВО ""ПЕРМСКИЙ НАЦИОНАЛЬНЫЙ ИССЛЕДОВАТЕЛЬСКИЙ ПОЛИТЕХНИЧЕСКИЙ УНИВЕРСИТЕТ"", ФГБОУ ВО ""ПНИПУ""")</f>
        <v>ПНИПУ, ФГБОУ ВО "ПЕРМСКИЙ НАЦИОНАЛЬНЫЙ ИССЛЕДОВАТЕЛЬСКИЙ ПОЛИТЕХНИЧЕСКИЙ УНИВЕРСИТЕТ", ФГБОУ ВО "ПНИПУ"</v>
      </c>
      <c r="B2537" s="24" t="s">
        <v>3768</v>
      </c>
      <c r="C2537" s="25">
        <v>453145.35</v>
      </c>
      <c r="D2537" s="22" t="s">
        <v>3769</v>
      </c>
      <c r="E2537" s="22" t="s">
        <v>3770</v>
      </c>
      <c r="F2537" s="23" t="str">
        <f>HYPERLINK("https://www.spark-marketing.ru/Card/Lot/72983232", "Приобретение системы контроля и управления доступом (СКУД) с монтажом, пусконаладкой и установкой внутренних видеокамер в корпусах №1, №2 БФ ПНИПУ. 9151")</f>
        <v>Приобретение системы контроля и управления доступом (СКУД) с монтажом, пусконаладкой и установкой внутренних видеокамер в корпусах №1, №2 БФ ПНИПУ. 9151</v>
      </c>
      <c r="G2537" s="22" t="s">
        <v>391</v>
      </c>
      <c r="H2537" s="22" t="s">
        <v>391</v>
      </c>
      <c r="I2537" s="26">
        <v>43699.635856481502</v>
      </c>
      <c r="J2537" s="23" t="str">
        <f>HYPERLINK("https://www.spark-marketing.ru/Card/Person/6422525", "ООО ""АВИКОМ""")</f>
        <v>ООО "АВИКОМ"</v>
      </c>
      <c r="K2537" s="24" t="s">
        <v>3772</v>
      </c>
      <c r="L2537" s="28" t="s">
        <v>52</v>
      </c>
      <c r="M2537" s="25">
        <v>450879.62</v>
      </c>
      <c r="N2537" s="27">
        <v>5.0000071720916923E-3</v>
      </c>
    </row>
    <row r="2538" spans="1:14" hidden="1" outlineLevel="1" x14ac:dyDescent="0.2">
      <c r="A2538" s="23" t="str">
        <f>HYPERLINK("https://www.spark-marketing.ru/Card/Person/3752", "ПНИПУ, ФГБОУ ВО ""ПЕРМСКИЙ НАЦИОНАЛЬНЫЙ ИССЛЕДОВАТЕЛЬСКИЙ ПОЛИТЕХНИЧЕСКИЙ УНИВЕРСИТЕТ"", ФГБОУ ВО ""ПНИПУ""")</f>
        <v>ПНИПУ, ФГБОУ ВО "ПЕРМСКИЙ НАЦИОНАЛЬНЫЙ ИССЛЕДОВАТЕЛЬСКИЙ ПОЛИТЕХНИЧЕСКИЙ УНИВЕРСИТЕТ", ФГБОУ ВО "ПНИПУ"</v>
      </c>
      <c r="B2538" s="24" t="s">
        <v>3768</v>
      </c>
      <c r="C2538" s="25">
        <v>453145.35</v>
      </c>
      <c r="D2538" s="22" t="s">
        <v>3769</v>
      </c>
      <c r="E2538" s="22" t="s">
        <v>3770</v>
      </c>
      <c r="F2538" s="23" t="str">
        <f>HYPERLINK("https://www.spark-marketing.ru/Card/Lot/72983232", "Приобретение системы контроля и управления доступом (СКУД) с монтажом, пусконаладкой и установкой внутренних видеокамер в корпусах №1, №2 БФ ПНИПУ. 9151")</f>
        <v>Приобретение системы контроля и управления доступом (СКУД) с монтажом, пусконаладкой и установкой внутренних видеокамер в корпусах №1, №2 БФ ПНИПУ. 9151</v>
      </c>
      <c r="G2538" s="22" t="s">
        <v>391</v>
      </c>
      <c r="H2538" s="22" t="s">
        <v>391</v>
      </c>
      <c r="I2538" s="26">
        <v>43699.635856481502</v>
      </c>
      <c r="J2538" s="23" t="str">
        <f>HYPERLINK("https://www.spark-marketing.ru/Card/Person/5853123", "Ершов Андрей Алексеевич")</f>
        <v>Ершов Андрей Алексеевич</v>
      </c>
      <c r="K2538" s="24" t="s">
        <v>1063</v>
      </c>
      <c r="L2538" s="28" t="s">
        <v>52</v>
      </c>
      <c r="M2538" s="25">
        <v>291636.53000000003</v>
      </c>
      <c r="N2538" s="27">
        <v>0.35641725110938466</v>
      </c>
    </row>
    <row r="2539" spans="1:14" x14ac:dyDescent="0.15">
      <c r="A2539" s="23" t="str">
        <f>HYPERLINK("https://www.spark-marketing.ru/Card/Person/10834", "ГКУ КО ""ДИРЕКЦИЯ АВТОДОРОГ КУЗБАССА""")</f>
        <v>ГКУ КО "ДИРЕКЦИЯ АВТОДОРОГ КУЗБАССА"</v>
      </c>
      <c r="B2539" s="24" t="s">
        <v>1499</v>
      </c>
      <c r="C2539" s="25">
        <v>5161638.95</v>
      </c>
      <c r="D2539" s="22" t="s">
        <v>3773</v>
      </c>
      <c r="E2539" s="22" t="s">
        <v>723</v>
      </c>
      <c r="F2539" s="23" t="str">
        <f>HYPERLINK("https://www.spark-marketing.ru/Card/Lot/73006306",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участке автомобильной д...")</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участке автомобильной д...</v>
      </c>
      <c r="G2539" s="22" t="s">
        <v>367</v>
      </c>
      <c r="H2539" s="22" t="s">
        <v>881</v>
      </c>
      <c r="I2539" s="26">
        <v>43700.365856481498</v>
      </c>
      <c r="J2539" s="28" t="s">
        <v>52</v>
      </c>
      <c r="K2539" s="28" t="s">
        <v>52</v>
      </c>
      <c r="L2539" s="28" t="s">
        <v>52</v>
      </c>
      <c r="M2539" s="28" t="s">
        <v>52</v>
      </c>
      <c r="N2539" s="28" t="s">
        <v>52</v>
      </c>
    </row>
    <row r="2540" spans="1:14" hidden="1" outlineLevel="1" x14ac:dyDescent="0.2">
      <c r="A2540" s="23" t="str">
        <f>HYPERLINK("https://www.spark-marketing.ru/Card/Person/10834", "ГКУ КО ""ДИРЕКЦИЯ АВТОДОРОГ КУЗБАССА""")</f>
        <v>ГКУ КО "ДИРЕКЦИЯ АВТОДОРОГ КУЗБАССА"</v>
      </c>
      <c r="B2540" s="24" t="s">
        <v>1499</v>
      </c>
      <c r="C2540" s="25">
        <v>5161638.95</v>
      </c>
      <c r="D2540" s="22" t="s">
        <v>3773</v>
      </c>
      <c r="E2540" s="22" t="s">
        <v>723</v>
      </c>
      <c r="F2540" s="23" t="str">
        <f>HYPERLINK("https://www.spark-marketing.ru/Card/Lot/73006306",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участке автомобильной д...")</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участке автомобильной д...</v>
      </c>
      <c r="G2540" s="22" t="s">
        <v>367</v>
      </c>
      <c r="H2540" s="22" t="s">
        <v>881</v>
      </c>
      <c r="I2540" s="26">
        <v>43700.365856481498</v>
      </c>
      <c r="J2540" s="23" t="str">
        <f>HYPERLINK("https://www.spark-marketing.ru/Card/Person/127397", "ООО ""ИНФОСЕРВИС""")</f>
        <v>ООО "ИНФОСЕРВИС"</v>
      </c>
      <c r="K2540" s="24" t="s">
        <v>1503</v>
      </c>
      <c r="L2540" s="28" t="s">
        <v>52</v>
      </c>
      <c r="M2540" s="25">
        <v>2090463.45</v>
      </c>
      <c r="N2540" s="27">
        <v>0.59500006291606278</v>
      </c>
    </row>
    <row r="2541" spans="1:14" ht="12.75" hidden="1" outlineLevel="1" x14ac:dyDescent="0.2">
      <c r="A2541" s="23" t="str">
        <f>HYPERLINK("https://www.spark-marketing.ru/Card/Person/10834", "ГКУ КО ""ДИРЕКЦИЯ АВТОДОРОГ КУЗБАССА""")</f>
        <v>ГКУ КО "ДИРЕКЦИЯ АВТОДОРОГ КУЗБАССА"</v>
      </c>
      <c r="B2541" s="24" t="s">
        <v>1499</v>
      </c>
      <c r="C2541" s="25">
        <v>5161638.95</v>
      </c>
      <c r="D2541" s="22" t="s">
        <v>3773</v>
      </c>
      <c r="E2541" s="22" t="s">
        <v>723</v>
      </c>
      <c r="F2541" s="23" t="str">
        <f>HYPERLINK("https://www.spark-marketing.ru/Card/Lot/73006306",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участке автомобильной д...")</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участке автомобильной д...</v>
      </c>
      <c r="G2541" s="22" t="s">
        <v>367</v>
      </c>
      <c r="H2541" s="22" t="s">
        <v>881</v>
      </c>
      <c r="I2541" s="26">
        <v>43700.365856481498</v>
      </c>
      <c r="J2541" s="23" t="str">
        <f>HYPERLINK("https://www.spark-marketing.ru/Card/Person/1354238", "ООО ""ЛАБОРАТОРИЯ ЦИФРОВОГО ЗРЕНИЯ""")</f>
        <v>ООО "ЛАБОРАТОРИЯ ЦИФРОВОГО ЗРЕНИЯ"</v>
      </c>
      <c r="K2541" s="24" t="s">
        <v>1191</v>
      </c>
      <c r="L2541" s="22" t="s">
        <v>10</v>
      </c>
      <c r="M2541" s="25">
        <v>2064655.25</v>
      </c>
      <c r="N2541" s="27">
        <v>0.6000000639331815</v>
      </c>
    </row>
    <row r="2542" spans="1:14" x14ac:dyDescent="0.15">
      <c r="A2542" s="23" t="str">
        <f>HYPERLINK("https://www.spark-marketing.ru/Card/Person/58277", "ФГУП ""ЦЭНКИ""")</f>
        <v>ФГУП "ЦЭНКИ"</v>
      </c>
      <c r="B2542" s="24" t="s">
        <v>3774</v>
      </c>
      <c r="C2542" s="25">
        <v>18548856.780000001</v>
      </c>
      <c r="D2542" s="22" t="s">
        <v>3775</v>
      </c>
      <c r="E2542" s="22" t="s">
        <v>370</v>
      </c>
      <c r="F2542" s="23" t="str">
        <f>HYPERLINK("https://www.spark-marketing.ru/Card/Lot/72994876", "Выполнение работ по техническому обслуживанию инженерно-технических средств охраны объектов космодрома «Восточный» Амурской области")</f>
        <v>Выполнение работ по техническому обслуживанию инженерно-технических средств охраны объектов космодрома «Восточный» Амурской области</v>
      </c>
      <c r="G2542" s="22" t="s">
        <v>230</v>
      </c>
      <c r="H2542" s="22" t="s">
        <v>230</v>
      </c>
      <c r="I2542" s="26">
        <v>43700</v>
      </c>
      <c r="J2542" s="28" t="s">
        <v>52</v>
      </c>
      <c r="K2542" s="28" t="s">
        <v>52</v>
      </c>
      <c r="L2542" s="28" t="s">
        <v>52</v>
      </c>
      <c r="M2542" s="28" t="s">
        <v>52</v>
      </c>
      <c r="N2542" s="28" t="s">
        <v>52</v>
      </c>
    </row>
    <row r="2543" spans="1:14" x14ac:dyDescent="0.15">
      <c r="A2543" s="23" t="str">
        <f>HYPERLINK("https://www.spark-marketing.ru/Card/Person/4358496", "ООО ""ЛЕНИНГРАДСКАЯ АЭС-АВТО""")</f>
        <v>ООО "ЛЕНИНГРАДСКАЯ АЭС-АВТО"</v>
      </c>
      <c r="B2543" s="24" t="s">
        <v>2163</v>
      </c>
      <c r="C2543" s="28" t="s">
        <v>52</v>
      </c>
      <c r="D2543" s="22" t="s">
        <v>3776</v>
      </c>
      <c r="E2543" s="22" t="s">
        <v>53</v>
      </c>
      <c r="F2543" s="23" t="str">
        <f>HYPERLINK("https://www.spark-marketing.ru/Card/Lot/73001897", "Оказание услуг по оснащению транспортных средств ООО «Ленинградская АЭС-Авто» техническими средствами обеспечения транспортной безопасности и диспетчеризации (1326814)")</f>
        <v>Оказание услуг по оснащению транспортных средств ООО «Ленинградская АЭС-Авто» техническими средствами обеспечения транспортной безопасности и диспетчеризации (1326814)</v>
      </c>
      <c r="G2543" s="22" t="s">
        <v>861</v>
      </c>
      <c r="H2543" s="22" t="s">
        <v>1920</v>
      </c>
      <c r="I2543" s="26">
        <v>43700.5867476852</v>
      </c>
      <c r="J2543" s="28" t="s">
        <v>52</v>
      </c>
      <c r="K2543" s="28" t="s">
        <v>52</v>
      </c>
      <c r="L2543" s="28" t="s">
        <v>52</v>
      </c>
      <c r="M2543" s="28" t="s">
        <v>52</v>
      </c>
      <c r="N2543" s="28" t="s">
        <v>52</v>
      </c>
    </row>
    <row r="2544" spans="1:14" x14ac:dyDescent="0.2">
      <c r="A2544" s="23" t="str">
        <f>HYPERLINK("https://www.spark-marketing.ru/Card/Person/107173", "ФГУП ""УВО МИНТРАНСА РОССИИ""")</f>
        <v>ФГУП "УВО МИНТРАНСА РОССИИ"</v>
      </c>
      <c r="B2544" s="24" t="s">
        <v>1472</v>
      </c>
      <c r="C2544" s="25">
        <v>9564340.4199999999</v>
      </c>
      <c r="D2544" s="22" t="s">
        <v>3777</v>
      </c>
      <c r="E2544" s="22" t="s">
        <v>2577</v>
      </c>
      <c r="F2544" s="23" t="str">
        <f>HYPERLINK("https://www.spark-marketing.ru/Card/Lot/73002328", "Оказание услуг по авторскому надзору за разработкой рабочей документации и выполнением строительно-монтажных работ в рамках реализации инвестиционного проекта «Технические средства обеспечения транспортной безопасности при строительстве железнодорожн...")</f>
        <v>Оказание услуг по авторскому надзору за разработкой рабочей документации и выполнением строительно-монтажных работ в рамках реализации инвестиционного проекта «Технические средства обеспечения транспортной безопасности при строительстве железнодорожн...</v>
      </c>
      <c r="G2544" s="22" t="s">
        <v>132</v>
      </c>
      <c r="H2544" s="22" t="s">
        <v>132</v>
      </c>
      <c r="I2544" s="26">
        <v>43700</v>
      </c>
      <c r="J2544" s="28" t="s">
        <v>52</v>
      </c>
      <c r="K2544" s="28" t="s">
        <v>52</v>
      </c>
      <c r="L2544" s="28" t="s">
        <v>52</v>
      </c>
      <c r="M2544" s="25">
        <v>9564340.4199999999</v>
      </c>
      <c r="N2544" s="27">
        <v>0</v>
      </c>
    </row>
    <row r="2545" spans="1:14" x14ac:dyDescent="0.15">
      <c r="A2545" s="23" t="str">
        <f>HYPERLINK("https://www.spark-marketing.ru/Card/Person/1716154", "ООО ""ТРАНСНЕФТЬ - БАЛТИКА""")</f>
        <v>ООО "ТРАНСНЕФТЬ - БАЛТИКА"</v>
      </c>
      <c r="B2545" s="24" t="s">
        <v>3778</v>
      </c>
      <c r="C2545" s="25">
        <v>3058558.01</v>
      </c>
      <c r="D2545" s="22" t="s">
        <v>3779</v>
      </c>
      <c r="E2545" s="22" t="s">
        <v>175</v>
      </c>
      <c r="F2545" s="23" t="str">
        <f>HYPERLINK("https://www.spark-marketing.ru/Card/Lot/72984973", "1800-H05-К-Y03-00085-2020 «""2020-УБ-ТНБ-08 ""Техническое обслуживание комплексов инженерно- технических средств охраны ЛПДС ""Песь, ЛПДС ""Быково""»")</f>
        <v>1800-H05-К-Y03-00085-2020 «"2020-УБ-ТНБ-08 "Техническое обслуживание комплексов инженерно- технических средств охраны ЛПДС "Песь, ЛПДС "Быково"»</v>
      </c>
      <c r="G2545" s="22" t="s">
        <v>89</v>
      </c>
      <c r="H2545" s="22" t="s">
        <v>89</v>
      </c>
      <c r="I2545" s="26">
        <v>43700</v>
      </c>
      <c r="J2545" s="28" t="s">
        <v>52</v>
      </c>
      <c r="K2545" s="28" t="s">
        <v>52</v>
      </c>
      <c r="L2545" s="28" t="s">
        <v>52</v>
      </c>
      <c r="M2545" s="28" t="s">
        <v>52</v>
      </c>
      <c r="N2545" s="28" t="s">
        <v>52</v>
      </c>
    </row>
    <row r="2546" spans="1:14" x14ac:dyDescent="0.15">
      <c r="A2546" s="23" t="str">
        <f>HYPERLINK("https://www.spark-marketing.ru/Card/Person/1716154", "ООО ""ТРАНСНЕФТЬ - БАЛТИКА""")</f>
        <v>ООО "ТРАНСНЕФТЬ - БАЛТИКА"</v>
      </c>
      <c r="B2546" s="24" t="s">
        <v>3778</v>
      </c>
      <c r="C2546" s="25">
        <v>3163714.92</v>
      </c>
      <c r="D2546" s="22" t="s">
        <v>3780</v>
      </c>
      <c r="E2546" s="22" t="s">
        <v>175</v>
      </c>
      <c r="F2546" s="23" t="str">
        <f>HYPERLINK("https://www.spark-marketing.ru/Card/Lot/72989241", "1800-H05-К-Y03-00097-2020 «""2020-УБ-ТНБ-10 ""Техническое обслуживание комплексов инженерно-технических средств охраны ЛПДС ""Красный бор"", ЛЧ""»")</f>
        <v>1800-H05-К-Y03-00097-2020 «"2020-УБ-ТНБ-10 "Техническое обслуживание комплексов инженерно-технических средств охраны ЛПДС "Красный бор", ЛЧ"»</v>
      </c>
      <c r="G2546" s="22" t="s">
        <v>89</v>
      </c>
      <c r="H2546" s="22" t="s">
        <v>89</v>
      </c>
      <c r="I2546" s="26">
        <v>43700</v>
      </c>
      <c r="J2546" s="28" t="s">
        <v>52</v>
      </c>
      <c r="K2546" s="28" t="s">
        <v>52</v>
      </c>
      <c r="L2546" s="28" t="s">
        <v>52</v>
      </c>
      <c r="M2546" s="28" t="s">
        <v>52</v>
      </c>
      <c r="N2546" s="28" t="s">
        <v>52</v>
      </c>
    </row>
    <row r="2547" spans="1:14" x14ac:dyDescent="0.15">
      <c r="A2547" s="23" t="str">
        <f>HYPERLINK("https://www.spark-marketing.ru/Card/Person/20130", "АО ОКБ ""ГИДРОПРЕСС""")</f>
        <v>АО ОКБ "ГИДРОПРЕСС"</v>
      </c>
      <c r="B2547" s="24" t="s">
        <v>3672</v>
      </c>
      <c r="C2547" s="28" t="s">
        <v>52</v>
      </c>
      <c r="D2547" s="22" t="s">
        <v>3781</v>
      </c>
      <c r="E2547" s="22" t="s">
        <v>53</v>
      </c>
      <c r="F2547" s="23" t="str">
        <f>HYPERLINK("https://www.spark-marketing.ru/Card/Lot/73004152", "Выполнение работ по техническому обслуживанию оборудования системы тревожной сигнализации ""Юпитер"" и кнопки тревожной сигнализации, установленной в здании стендовой котельной АО ОКБ ""ГИДРОПРЕСС"" (в соответствии с техническими требованиями) (13270...")</f>
        <v>Выполнение работ по техническому обслуживанию оборудования системы тревожной сигнализации "Юпитер" и кнопки тревожной сигнализации, установленной в здании стендовой котельной АО ОКБ "ГИДРОПРЕСС" (в соответствии с техническими требованиями) (13270...</v>
      </c>
      <c r="G2547" s="22" t="s">
        <v>50</v>
      </c>
      <c r="H2547" s="22" t="s">
        <v>569</v>
      </c>
      <c r="I2547" s="26">
        <v>43700.684305555602</v>
      </c>
      <c r="J2547" s="28" t="s">
        <v>52</v>
      </c>
      <c r="K2547" s="28" t="s">
        <v>52</v>
      </c>
      <c r="L2547" s="28" t="s">
        <v>52</v>
      </c>
      <c r="M2547" s="28" t="s">
        <v>52</v>
      </c>
      <c r="N2547" s="28" t="s">
        <v>52</v>
      </c>
    </row>
    <row r="2548" spans="1:14" x14ac:dyDescent="0.15">
      <c r="A2548" s="23" t="str">
        <f>HYPERLINK("https://www.spark-marketing.ru/Card/Person/71779", "ОТДЕЛ МВД РОССИИ ПО СЕВЕРСКОМУ РАЙОНУ")</f>
        <v>ОТДЕЛ МВД РОССИИ ПО СЕВЕРСКОМУ РАЙОНУ</v>
      </c>
      <c r="B2548" s="24" t="s">
        <v>3361</v>
      </c>
      <c r="C2548" s="25">
        <v>7200</v>
      </c>
      <c r="D2548" s="22" t="s">
        <v>3782</v>
      </c>
      <c r="E2548" s="22" t="s">
        <v>84</v>
      </c>
      <c r="F2548" s="23" t="str">
        <f>HYPERLINK("https://www.spark-marketing.ru/Card/Lot/72972585", "Техническое обслуживание систем видеонаблюдения, 1 шт")</f>
        <v>Техническое обслуживание систем видеонаблюдения, 1 шт</v>
      </c>
      <c r="G2548" s="22" t="s">
        <v>132</v>
      </c>
      <c r="H2548" s="22" t="s">
        <v>2560</v>
      </c>
      <c r="I2548" s="26">
        <v>43699.718090277798</v>
      </c>
      <c r="J2548" s="28" t="s">
        <v>52</v>
      </c>
      <c r="K2548" s="28" t="s">
        <v>52</v>
      </c>
      <c r="L2548" s="28" t="s">
        <v>52</v>
      </c>
      <c r="M2548" s="28" t="s">
        <v>52</v>
      </c>
      <c r="N2548" s="28" t="s">
        <v>52</v>
      </c>
    </row>
    <row r="2549" spans="1:14" x14ac:dyDescent="0.15">
      <c r="A2549" s="23" t="str">
        <f>HYPERLINK("https://www.spark-marketing.ru/Card/Person/28054", "УФССП РОССИИ ПО КРАСНОЯРСКОМУ КРАЮ")</f>
        <v>УФССП РОССИИ ПО КРАСНОЯРСКОМУ КРАЮ</v>
      </c>
      <c r="B2549" s="24" t="s">
        <v>3783</v>
      </c>
      <c r="C2549" s="25">
        <v>20000</v>
      </c>
      <c r="D2549" s="22" t="s">
        <v>3784</v>
      </c>
      <c r="E2549" s="22" t="s">
        <v>746</v>
      </c>
      <c r="F2549" s="23" t="str">
        <f>HYPERLINK("https://www.spark-marketing.ru/Card/Lot/72965767", "Оказание услуг по техническому обслуживанию системы видеонаблюдения в нежилых помещениях Управления Федеральной службы судебных приставов по Красноярскому краю")</f>
        <v>Оказание услуг по техническому обслуживанию системы видеонаблюдения в нежилых помещениях Управления Федеральной службы судебных приставов по Красноярскому краю</v>
      </c>
      <c r="G2549" s="22" t="s">
        <v>640</v>
      </c>
      <c r="H2549" s="22" t="s">
        <v>1524</v>
      </c>
      <c r="I2549" s="26">
        <v>43699.450486111098</v>
      </c>
      <c r="J2549" s="28" t="s">
        <v>52</v>
      </c>
      <c r="K2549" s="28" t="s">
        <v>52</v>
      </c>
      <c r="L2549" s="28" t="s">
        <v>52</v>
      </c>
      <c r="M2549" s="28" t="s">
        <v>52</v>
      </c>
      <c r="N2549" s="28" t="s">
        <v>52</v>
      </c>
    </row>
    <row r="2550" spans="1:14" hidden="1" outlineLevel="1" x14ac:dyDescent="0.2">
      <c r="A2550" s="23" t="str">
        <f>HYPERLINK("https://www.spark-marketing.ru/Card/Person/28054", "УФССП РОССИИ ПО КРАСНОЯРСКОМУ КРАЮ")</f>
        <v>УФССП РОССИИ ПО КРАСНОЯРСКОМУ КРАЮ</v>
      </c>
      <c r="B2550" s="24" t="s">
        <v>3783</v>
      </c>
      <c r="C2550" s="25">
        <v>20000</v>
      </c>
      <c r="D2550" s="22" t="s">
        <v>3784</v>
      </c>
      <c r="E2550" s="22" t="s">
        <v>746</v>
      </c>
      <c r="F2550" s="23" t="str">
        <f>HYPERLINK("https://www.spark-marketing.ru/Card/Lot/72965767", "Оказание услуг по техническому обслуживанию системы видеонаблюдения в нежилых помещениях Управления Федеральной службы судебных приставов по Красноярскому краю")</f>
        <v>Оказание услуг по техническому обслуживанию системы видеонаблюдения в нежилых помещениях Управления Федеральной службы судебных приставов по Красноярскому краю</v>
      </c>
      <c r="G2550" s="22" t="s">
        <v>640</v>
      </c>
      <c r="H2550" s="22" t="s">
        <v>1524</v>
      </c>
      <c r="I2550" s="26">
        <v>43699.450486111098</v>
      </c>
      <c r="J2550" s="23" t="str">
        <f>HYPERLINK("https://www.spark-marketing.ru/Card/Person/474355", "ООО ""ВИТЯЗЬ-ЭКСПЕРТ""")</f>
        <v>ООО "ВИТЯЗЬ-ЭКСПЕРТ"</v>
      </c>
      <c r="K2550" s="24" t="s">
        <v>3785</v>
      </c>
      <c r="L2550" s="28" t="s">
        <v>52</v>
      </c>
      <c r="M2550" s="25">
        <v>2800</v>
      </c>
      <c r="N2550" s="27">
        <v>0.86</v>
      </c>
    </row>
    <row r="2551" spans="1:14" hidden="1" outlineLevel="1" x14ac:dyDescent="0.2">
      <c r="A2551" s="23" t="str">
        <f>HYPERLINK("https://www.spark-marketing.ru/Card/Person/28054", "УФССП РОССИИ ПО КРАСНОЯРСКОМУ КРАЮ")</f>
        <v>УФССП РОССИИ ПО КРАСНОЯРСКОМУ КРАЮ</v>
      </c>
      <c r="B2551" s="24" t="s">
        <v>3783</v>
      </c>
      <c r="C2551" s="25">
        <v>20000</v>
      </c>
      <c r="D2551" s="22" t="s">
        <v>3784</v>
      </c>
      <c r="E2551" s="22" t="s">
        <v>746</v>
      </c>
      <c r="F2551" s="23" t="str">
        <f>HYPERLINK("https://www.spark-marketing.ru/Card/Lot/72965767", "Оказание услуг по техническому обслуживанию системы видеонаблюдения в нежилых помещениях Управления Федеральной службы судебных приставов по Красноярскому краю")</f>
        <v>Оказание услуг по техническому обслуживанию системы видеонаблюдения в нежилых помещениях Управления Федеральной службы судебных приставов по Красноярскому краю</v>
      </c>
      <c r="G2551" s="22" t="s">
        <v>640</v>
      </c>
      <c r="H2551" s="22" t="s">
        <v>1524</v>
      </c>
      <c r="I2551" s="26">
        <v>43699.450486111098</v>
      </c>
      <c r="J2551" s="23" t="str">
        <f>HYPERLINK("https://www.spark-marketing.ru/Card/Person/453347", "Алмабекова Ирина Сергеевна")</f>
        <v>Алмабекова Ирина Сергеевна</v>
      </c>
      <c r="K2551" s="24" t="s">
        <v>3786</v>
      </c>
      <c r="L2551" s="28" t="s">
        <v>52</v>
      </c>
      <c r="M2551" s="25">
        <v>6000</v>
      </c>
      <c r="N2551" s="27">
        <v>0.7</v>
      </c>
    </row>
    <row r="2552" spans="1:14" ht="12.75" hidden="1" outlineLevel="1" x14ac:dyDescent="0.2">
      <c r="A2552" s="23" t="str">
        <f>HYPERLINK("https://www.spark-marketing.ru/Card/Person/28054", "УФССП РОССИИ ПО КРАСНОЯРСКОМУ КРАЮ")</f>
        <v>УФССП РОССИИ ПО КРАСНОЯРСКОМУ КРАЮ</v>
      </c>
      <c r="B2552" s="24" t="s">
        <v>3783</v>
      </c>
      <c r="C2552" s="25">
        <v>20000</v>
      </c>
      <c r="D2552" s="22" t="s">
        <v>3784</v>
      </c>
      <c r="E2552" s="22" t="s">
        <v>746</v>
      </c>
      <c r="F2552" s="23" t="str">
        <f>HYPERLINK("https://www.spark-marketing.ru/Card/Lot/72965767", "Оказание услуг по техническому обслуживанию системы видеонаблюдения в нежилых помещениях Управления Федеральной службы судебных приставов по Красноярскому краю")</f>
        <v>Оказание услуг по техническому обслуживанию системы видеонаблюдения в нежилых помещениях Управления Федеральной службы судебных приставов по Красноярскому краю</v>
      </c>
      <c r="G2552" s="22" t="s">
        <v>640</v>
      </c>
      <c r="H2552" s="22" t="s">
        <v>1524</v>
      </c>
      <c r="I2552" s="26">
        <v>43699.450486111098</v>
      </c>
      <c r="J2552" s="23" t="str">
        <f>HYPERLINK("https://www.spark-marketing.ru/Card/Person/6045253", "Тараканов Федор Андреевич")</f>
        <v>Тараканов Федор Андреевич</v>
      </c>
      <c r="K2552" s="24" t="s">
        <v>3787</v>
      </c>
      <c r="L2552" s="22" t="s">
        <v>10</v>
      </c>
      <c r="M2552" s="25">
        <v>2700</v>
      </c>
      <c r="N2552" s="27">
        <v>0.86499999999999999</v>
      </c>
    </row>
    <row r="2553" spans="1:14" x14ac:dyDescent="0.15">
      <c r="A2553" s="23" t="str">
        <f>HYPERLINK("https://www.spark-marketing.ru/Card/Person/6450322", "ЗАКАЗЧИК РП БЕЛАРУСЬ")</f>
        <v>ЗАКАЗЧИК РП БЕЛАРУСЬ</v>
      </c>
      <c r="B2553" s="28" t="s">
        <v>52</v>
      </c>
      <c r="C2553" s="28" t="s">
        <v>52</v>
      </c>
      <c r="D2553" s="22" t="s">
        <v>3788</v>
      </c>
      <c r="E2553" s="22" t="s">
        <v>53</v>
      </c>
      <c r="F2553" s="23" t="str">
        <f>HYPERLINK("https://www.spark-marketing.ru/Card/Lot/72970694", "Установка системы видеонаблюдения и системы охранной сигнализации в ОЦ ""Энергетик"" филиала ""Минские электрические сети""")</f>
        <v>Установка системы видеонаблюдения и системы охранной сигнализации в ОЦ "Энергетик" филиала "Минские электрические сети"</v>
      </c>
      <c r="G2553" s="22" t="s">
        <v>52</v>
      </c>
      <c r="H2553" s="22" t="s">
        <v>52</v>
      </c>
      <c r="I2553" s="26">
        <v>43699</v>
      </c>
      <c r="J2553" s="28" t="s">
        <v>52</v>
      </c>
      <c r="K2553" s="28" t="s">
        <v>52</v>
      </c>
      <c r="L2553" s="28" t="s">
        <v>52</v>
      </c>
      <c r="M2553" s="28" t="s">
        <v>52</v>
      </c>
      <c r="N2553" s="28" t="s">
        <v>52</v>
      </c>
    </row>
    <row r="2554" spans="1:14" x14ac:dyDescent="0.15">
      <c r="A2554" s="23" t="str">
        <f>HYPERLINK("https://www.spark-marketing.ru/Card/Person/117813", "КГКУ ""ЕДИНЫЙ СТРОЙЗАКАЗЧИК""")</f>
        <v>КГКУ "ЕДИНЫЙ СТРОЙЗАКАЗЧИК"</v>
      </c>
      <c r="B2554" s="24" t="s">
        <v>3789</v>
      </c>
      <c r="C2554" s="25">
        <v>1210850</v>
      </c>
      <c r="D2554" s="22" t="s">
        <v>3790</v>
      </c>
      <c r="E2554" s="22" t="s">
        <v>194</v>
      </c>
      <c r="F2554" s="23" t="str">
        <f>HYPERLINK("https://www.spark-marketing.ru/Card/Lot/72962478", "Поставка и установка звукового и телевизионного оборудования для объекта: «г. Барнаул, строительство здания КАУ «Алтайский государственный театр кукол «Сказка», расположенного по адресу: ул. Пушкина, д. 41»")</f>
        <v>Поставка и установка звукового и телевизионного оборудования для объекта: «г. Барнаул, строительство здания КАУ «Алтайский государственный театр кукол «Сказка», расположенного по адресу: ул. Пушкина, д. 41»</v>
      </c>
      <c r="G2554" s="22" t="s">
        <v>428</v>
      </c>
      <c r="H2554" s="22" t="s">
        <v>429</v>
      </c>
      <c r="I2554" s="26">
        <v>43699.635347222204</v>
      </c>
      <c r="J2554" s="28" t="s">
        <v>52</v>
      </c>
      <c r="K2554" s="28" t="s">
        <v>52</v>
      </c>
      <c r="L2554" s="28" t="s">
        <v>52</v>
      </c>
      <c r="M2554" s="28" t="s">
        <v>52</v>
      </c>
      <c r="N2554" s="28" t="s">
        <v>52</v>
      </c>
    </row>
    <row r="2555" spans="1:14" hidden="1" outlineLevel="1" x14ac:dyDescent="0.2">
      <c r="A2555" s="23" t="str">
        <f>HYPERLINK("https://www.spark-marketing.ru/Card/Person/117813", "КГКУ ""ЕДИНЫЙ СТРОЙЗАКАЗЧИК""")</f>
        <v>КГКУ "ЕДИНЫЙ СТРОЙЗАКАЗЧИК"</v>
      </c>
      <c r="B2555" s="24" t="s">
        <v>3789</v>
      </c>
      <c r="C2555" s="25">
        <v>1210850</v>
      </c>
      <c r="D2555" s="22" t="s">
        <v>3790</v>
      </c>
      <c r="E2555" s="22" t="s">
        <v>194</v>
      </c>
      <c r="F2555" s="23" t="str">
        <f>HYPERLINK("https://www.spark-marketing.ru/Card/Lot/72962478", "Поставка и установка звукового и телевизионного оборудования для объекта: «г. Барнаул, строительство здания КАУ «Алтайский государственный театр кукол «Сказка», расположенного по адресу: ул. Пушкина, д. 41»")</f>
        <v>Поставка и установка звукового и телевизионного оборудования для объекта: «г. Барнаул, строительство здания КАУ «Алтайский государственный театр кукол «Сказка», расположенного по адресу: ул. Пушкина, д. 41»</v>
      </c>
      <c r="G2555" s="22" t="s">
        <v>428</v>
      </c>
      <c r="H2555" s="22" t="s">
        <v>429</v>
      </c>
      <c r="I2555" s="26">
        <v>43699.635347222204</v>
      </c>
      <c r="J2555" s="23" t="str">
        <f>HYPERLINK("https://www.spark-marketing.ru/Card/Person/4856081", "ООО ""ЛД-ТРЕЙД""")</f>
        <v>ООО "ЛД-ТРЕЙД"</v>
      </c>
      <c r="K2555" s="24" t="s">
        <v>3791</v>
      </c>
      <c r="L2555" s="28" t="s">
        <v>52</v>
      </c>
      <c r="M2555" s="25">
        <v>1192500</v>
      </c>
      <c r="N2555" s="27">
        <v>1.5154643432299624E-2</v>
      </c>
    </row>
    <row r="2556" spans="1:14" ht="12.75" hidden="1" outlineLevel="1" x14ac:dyDescent="0.2">
      <c r="A2556" s="23" t="str">
        <f>HYPERLINK("https://www.spark-marketing.ru/Card/Person/117813", "КГКУ ""ЕДИНЫЙ СТРОЙЗАКАЗЧИК""")</f>
        <v>КГКУ "ЕДИНЫЙ СТРОЙЗАКАЗЧИК"</v>
      </c>
      <c r="B2556" s="24" t="s">
        <v>3789</v>
      </c>
      <c r="C2556" s="25">
        <v>1210850</v>
      </c>
      <c r="D2556" s="22" t="s">
        <v>3790</v>
      </c>
      <c r="E2556" s="22" t="s">
        <v>194</v>
      </c>
      <c r="F2556" s="23" t="str">
        <f>HYPERLINK("https://www.spark-marketing.ru/Card/Lot/72962478", "Поставка и установка звукового и телевизионного оборудования для объекта: «г. Барнаул, строительство здания КАУ «Алтайский государственный театр кукол «Сказка», расположенного по адресу: ул. Пушкина, д. 41»")</f>
        <v>Поставка и установка звукового и телевизионного оборудования для объекта: «г. Барнаул, строительство здания КАУ «Алтайский государственный театр кукол «Сказка», расположенного по адресу: ул. Пушкина, д. 41»</v>
      </c>
      <c r="G2556" s="22" t="s">
        <v>428</v>
      </c>
      <c r="H2556" s="22" t="s">
        <v>429</v>
      </c>
      <c r="I2556" s="26">
        <v>43699.635347222204</v>
      </c>
      <c r="J2556" s="23" t="str">
        <f>HYPERLINK("https://www.spark-marketing.ru/Card/Person/190534", "ООО ""МУЗЫКАЛЬНЫЙ АРСЕНАЛ - БАРНАУЛ""")</f>
        <v>ООО "МУЗЫКАЛЬНЫЙ АРСЕНАЛ - БАРНАУЛ"</v>
      </c>
      <c r="K2556" s="24" t="s">
        <v>3792</v>
      </c>
      <c r="L2556" s="22" t="s">
        <v>10</v>
      </c>
      <c r="M2556" s="25">
        <v>1186000</v>
      </c>
      <c r="N2556" s="27">
        <v>2.0522773258454804E-2</v>
      </c>
    </row>
    <row r="2557" spans="1:14" x14ac:dyDescent="0.15">
      <c r="A2557" s="23" t="str">
        <f>HYPERLINK("https://www.spark-marketing.ru/Card/Person/375570", "ОТДЕЛ МВД РОССИИ ПО КАГАЛЬНИЦКОМУ РАЙОНУ")</f>
        <v>ОТДЕЛ МВД РОССИИ ПО КАГАЛЬНИЦКОМУ РАЙОНУ</v>
      </c>
      <c r="B2557" s="24" t="s">
        <v>3570</v>
      </c>
      <c r="C2557" s="25">
        <v>23940</v>
      </c>
      <c r="D2557" s="22" t="s">
        <v>3793</v>
      </c>
      <c r="E2557" s="22" t="s">
        <v>53</v>
      </c>
      <c r="F2557" s="23" t="str">
        <f>HYPERLINK("https://www.spark-marketing.ru/Card/Lot/72968418", "техническое обслуживание средств охраны")</f>
        <v>техническое обслуживание средств охраны</v>
      </c>
      <c r="G2557" s="22" t="s">
        <v>402</v>
      </c>
      <c r="H2557" s="22" t="s">
        <v>3572</v>
      </c>
      <c r="I2557" s="26">
        <v>43699.660358796304</v>
      </c>
      <c r="J2557" s="28" t="s">
        <v>52</v>
      </c>
      <c r="K2557" s="28" t="s">
        <v>52</v>
      </c>
      <c r="L2557" s="28" t="s">
        <v>52</v>
      </c>
      <c r="M2557" s="28" t="s">
        <v>52</v>
      </c>
      <c r="N2557" s="28" t="s">
        <v>52</v>
      </c>
    </row>
    <row r="2558" spans="1:14" x14ac:dyDescent="0.15">
      <c r="A2558" s="23" t="str">
        <f>HYPERLINK("https://www.spark-marketing.ru/Card/Person/1013720", "ФКУ СИЗО-6 УФСИН РОССИИ ПО МОСКОВСКОЙ ОБЛАСТИ")</f>
        <v>ФКУ СИЗО-6 УФСИН РОССИИ ПО МОСКОВСКОЙ ОБЛАСТИ</v>
      </c>
      <c r="B2558" s="24" t="s">
        <v>3794</v>
      </c>
      <c r="C2558" s="25">
        <v>20000</v>
      </c>
      <c r="D2558" s="22" t="s">
        <v>3795</v>
      </c>
      <c r="E2558" s="22" t="s">
        <v>107</v>
      </c>
      <c r="F2558" s="23" t="str">
        <f>HYPERLINK("https://www.spark-marketing.ru/Card/Lot/72965638", "Техническое обслуживание средств ОС, ОПС, ТС, видеонаблюдения и СКУД, 1 шт")</f>
        <v>Техническое обслуживание средств ОС, ОПС, ТС, видеонаблюдения и СКУД, 1 шт</v>
      </c>
      <c r="G2558" s="22" t="s">
        <v>50</v>
      </c>
      <c r="H2558" s="22" t="s">
        <v>682</v>
      </c>
      <c r="I2558" s="26">
        <v>43699.618171296301</v>
      </c>
      <c r="J2558" s="28" t="s">
        <v>52</v>
      </c>
      <c r="K2558" s="28" t="s">
        <v>52</v>
      </c>
      <c r="L2558" s="28" t="s">
        <v>52</v>
      </c>
      <c r="M2558" s="28" t="s">
        <v>52</v>
      </c>
      <c r="N2558" s="28" t="s">
        <v>52</v>
      </c>
    </row>
    <row r="2559" spans="1:14" x14ac:dyDescent="0.15">
      <c r="A2559" s="23" t="str">
        <f>HYPERLINK("https://www.spark-marketing.ru/Card/Person/124732", "БУ ""НЯГАНСКИЙ ТЕАТР ЮНОГО ЗРИТЕЛЯ""")</f>
        <v>БУ "НЯГАНСКИЙ ТЕАТР ЮНОГО ЗРИТЕЛЯ"</v>
      </c>
      <c r="B2559" s="24" t="s">
        <v>3796</v>
      </c>
      <c r="C2559" s="28" t="s">
        <v>52</v>
      </c>
      <c r="D2559" s="22" t="s">
        <v>3797</v>
      </c>
      <c r="E2559" s="22" t="s">
        <v>52</v>
      </c>
      <c r="F2559" s="23" t="str">
        <f>HYPERLINK("https://www.spark-marketing.ru/Card/Lot/72965433", "Услуги контроля за каналом передачи тревожного извещения средств тревожной сигнализации, установленных в помещении БУ «Няганский театр юного зрителя», расположенного по адресу: г. Нягань, ул. Киевская, дом 12 на пульт централизованной охраны и обеспе...")</f>
        <v>Услуги контроля за каналом передачи тревожного извещения средств тревожной сигнализации, установленных в помещении БУ «Няганский театр юного зрителя», расположенного по адресу: г. Нягань, ул. Киевская, дом 12 на пульт централизованной охраны и обеспе...</v>
      </c>
      <c r="G2559" s="22" t="s">
        <v>119</v>
      </c>
      <c r="H2559" s="22" t="s">
        <v>3798</v>
      </c>
      <c r="I2559" s="26">
        <v>43699.616666666698</v>
      </c>
      <c r="J2559" s="28" t="s">
        <v>52</v>
      </c>
      <c r="K2559" s="28" t="s">
        <v>52</v>
      </c>
      <c r="L2559" s="28" t="s">
        <v>52</v>
      </c>
      <c r="M2559" s="28" t="s">
        <v>52</v>
      </c>
      <c r="N2559" s="28" t="s">
        <v>52</v>
      </c>
    </row>
    <row r="2560" spans="1:14" x14ac:dyDescent="0.15">
      <c r="A2560" s="23" t="str">
        <f>HYPERLINK("https://www.spark-marketing.ru/Card/Person/148241", "ОТДЕЛ МВД РОССИИ ПО НЕФТЕКУМСКОМУ ГОРОДСКОМУ ОКРУГУ")</f>
        <v>ОТДЕЛ МВД РОССИИ ПО НЕФТЕКУМСКОМУ ГОРОДСКОМУ ОКРУГУ</v>
      </c>
      <c r="B2560" s="24" t="s">
        <v>3754</v>
      </c>
      <c r="C2560" s="25">
        <v>100000</v>
      </c>
      <c r="D2560" s="22" t="s">
        <v>3799</v>
      </c>
      <c r="E2560" s="22" t="s">
        <v>84</v>
      </c>
      <c r="F2560" s="23" t="str">
        <f>HYPERLINK("https://www.spark-marketing.ru/Card/Lot/72964968", "Выполнение работ по установке систем видеонаблюдения, 1 шт")</f>
        <v>Выполнение работ по установке систем видеонаблюдения, 1 шт</v>
      </c>
      <c r="G2560" s="22" t="s">
        <v>258</v>
      </c>
      <c r="H2560" s="22" t="s">
        <v>3756</v>
      </c>
      <c r="I2560" s="26">
        <v>43699.600682870398</v>
      </c>
      <c r="J2560" s="28" t="s">
        <v>52</v>
      </c>
      <c r="K2560" s="28" t="s">
        <v>52</v>
      </c>
      <c r="L2560" s="28" t="s">
        <v>52</v>
      </c>
      <c r="M2560" s="28" t="s">
        <v>52</v>
      </c>
      <c r="N2560" s="28" t="s">
        <v>52</v>
      </c>
    </row>
    <row r="2561" spans="1:14" x14ac:dyDescent="0.15">
      <c r="A2561" s="23" t="str">
        <f>HYPERLINK("https://www.spark-marketing.ru/Card/Person/34885", "КГБУЗ ""АРСЕНЬЕВСКАЯ ГБ""")</f>
        <v>КГБУЗ "АРСЕНЬЕВСКАЯ ГБ"</v>
      </c>
      <c r="B2561" s="24" t="s">
        <v>3738</v>
      </c>
      <c r="C2561" s="25">
        <v>699120</v>
      </c>
      <c r="D2561" s="22" t="s">
        <v>3800</v>
      </c>
      <c r="E2561" s="22" t="s">
        <v>68</v>
      </c>
      <c r="F2561" s="23" t="str">
        <f>HYPERLINK("https://www.spark-marketing.ru/Card/Lot/72954248", "Услуги по централизованной охране объектов КГБУЗ ""Арсеньевская ГБ""(помещений хранения НВ)")</f>
        <v>Услуги по централизованной охране объектов КГБУЗ "Арсеньевская ГБ"(помещений хранения НВ)</v>
      </c>
      <c r="G2561" s="22" t="s">
        <v>409</v>
      </c>
      <c r="H2561" s="22" t="s">
        <v>3740</v>
      </c>
      <c r="I2561" s="26">
        <v>43699.602986111102</v>
      </c>
      <c r="J2561" s="28" t="s">
        <v>52</v>
      </c>
      <c r="K2561" s="28" t="s">
        <v>52</v>
      </c>
      <c r="L2561" s="28" t="s">
        <v>52</v>
      </c>
      <c r="M2561" s="28" t="s">
        <v>52</v>
      </c>
      <c r="N2561" s="28" t="s">
        <v>52</v>
      </c>
    </row>
    <row r="2562" spans="1:14" ht="12.75" hidden="1" outlineLevel="1" x14ac:dyDescent="0.2">
      <c r="A2562" s="23" t="str">
        <f>HYPERLINK("https://www.spark-marketing.ru/Card/Person/34885", "КГБУЗ ""АРСЕНЬЕВСКАЯ ГБ""")</f>
        <v>КГБУЗ "АРСЕНЬЕВСКАЯ ГБ"</v>
      </c>
      <c r="B2562" s="24" t="s">
        <v>3738</v>
      </c>
      <c r="C2562" s="25">
        <v>699120</v>
      </c>
      <c r="D2562" s="22" t="s">
        <v>3800</v>
      </c>
      <c r="E2562" s="22" t="s">
        <v>68</v>
      </c>
      <c r="F2562" s="23" t="str">
        <f>HYPERLINK("https://www.spark-marketing.ru/Card/Lot/72954248", "Услуги по централизованной охране объектов КГБУЗ ""Арсеньевская ГБ""(помещений хранения НВ)")</f>
        <v>Услуги по централизованной охране объектов КГБУЗ "Арсеньевская ГБ"(помещений хранения НВ)</v>
      </c>
      <c r="G2562" s="22" t="s">
        <v>409</v>
      </c>
      <c r="H2562" s="22" t="s">
        <v>3740</v>
      </c>
      <c r="I2562" s="26">
        <v>43699.602986111102</v>
      </c>
      <c r="J2562" s="23" t="str">
        <f>HYPERLINK("https://www.spark-marketing.ru/Card/Person/667865", "ООО ""ОХРАННОЕ АГЕНТСТВО ""ПЕРЕСВЕТ""")</f>
        <v>ООО "ОХРАННОЕ АГЕНТСТВО "ПЕРЕСВЕТ"</v>
      </c>
      <c r="K2562" s="24" t="s">
        <v>3741</v>
      </c>
      <c r="L2562" s="22" t="s">
        <v>10</v>
      </c>
      <c r="M2562" s="25">
        <v>453662.8</v>
      </c>
      <c r="N2562" s="27">
        <v>0.35109451882366405</v>
      </c>
    </row>
    <row r="2563" spans="1:14" hidden="1" outlineLevel="1" x14ac:dyDescent="0.2">
      <c r="A2563" s="23" t="str">
        <f>HYPERLINK("https://www.spark-marketing.ru/Card/Person/34885", "КГБУЗ ""АРСЕНЬЕВСКАЯ ГБ""")</f>
        <v>КГБУЗ "АРСЕНЬЕВСКАЯ ГБ"</v>
      </c>
      <c r="B2563" s="24" t="s">
        <v>3738</v>
      </c>
      <c r="C2563" s="25">
        <v>699120</v>
      </c>
      <c r="D2563" s="22" t="s">
        <v>3800</v>
      </c>
      <c r="E2563" s="22" t="s">
        <v>68</v>
      </c>
      <c r="F2563" s="23" t="str">
        <f>HYPERLINK("https://www.spark-marketing.ru/Card/Lot/72954248", "Услуги по централизованной охране объектов КГБУЗ ""Арсеньевская ГБ""(помещений хранения НВ)")</f>
        <v>Услуги по централизованной охране объектов КГБУЗ "Арсеньевская ГБ"(помещений хранения НВ)</v>
      </c>
      <c r="G2563" s="22" t="s">
        <v>409</v>
      </c>
      <c r="H2563" s="22" t="s">
        <v>3740</v>
      </c>
      <c r="I2563" s="26">
        <v>43699.602986111102</v>
      </c>
      <c r="J2563" s="23" t="str">
        <f>HYPERLINK("https://www.spark-marketing.ru/Card/Person/470715", "ООО ""ЧАСТНАЯ ОХРАННАЯ ОРГАНИЗАЦИЯ ""СТРЕЛЕЦ""")</f>
        <v>ООО "ЧАСТНАЯ ОХРАННАЯ ОРГАНИЗАЦИЯ "СТРЕЛЕЦ"</v>
      </c>
      <c r="K2563" s="24" t="s">
        <v>3742</v>
      </c>
      <c r="L2563" s="28" t="s">
        <v>52</v>
      </c>
      <c r="M2563" s="25">
        <v>583000</v>
      </c>
      <c r="N2563" s="27">
        <v>0.16609451882366402</v>
      </c>
    </row>
    <row r="2564" spans="1:14" hidden="1" outlineLevel="1" x14ac:dyDescent="0.2">
      <c r="A2564" s="23" t="str">
        <f>HYPERLINK("https://www.spark-marketing.ru/Card/Person/34885", "КГБУЗ ""АРСЕНЬЕВСКАЯ ГБ""")</f>
        <v>КГБУЗ "АРСЕНЬЕВСКАЯ ГБ"</v>
      </c>
      <c r="B2564" s="24" t="s">
        <v>3738</v>
      </c>
      <c r="C2564" s="25">
        <v>699120</v>
      </c>
      <c r="D2564" s="22" t="s">
        <v>3800</v>
      </c>
      <c r="E2564" s="22" t="s">
        <v>68</v>
      </c>
      <c r="F2564" s="23" t="str">
        <f>HYPERLINK("https://www.spark-marketing.ru/Card/Lot/72954248", "Услуги по централизованной охране объектов КГБУЗ ""Арсеньевская ГБ""(помещений хранения НВ)")</f>
        <v>Услуги по централизованной охране объектов КГБУЗ "Арсеньевская ГБ"(помещений хранения НВ)</v>
      </c>
      <c r="G2564" s="22" t="s">
        <v>409</v>
      </c>
      <c r="H2564" s="22" t="s">
        <v>3740</v>
      </c>
      <c r="I2564" s="26">
        <v>43699.602986111102</v>
      </c>
      <c r="J2564" s="23" t="str">
        <f>HYPERLINK("https://www.spark-marketing.ru/Card/Person/91730", "ООО ""ЧОП ""СОЮЗ""")</f>
        <v>ООО "ЧОП "СОЮЗ"</v>
      </c>
      <c r="K2564" s="24" t="s">
        <v>3743</v>
      </c>
      <c r="L2564" s="28" t="s">
        <v>52</v>
      </c>
      <c r="M2564" s="25">
        <v>457158.40000000002</v>
      </c>
      <c r="N2564" s="27">
        <v>0.34609451882366404</v>
      </c>
    </row>
    <row r="2565" spans="1:14" x14ac:dyDescent="0.15">
      <c r="A2565" s="23" t="str">
        <f>HYPERLINK("https://www.spark-marketing.ru/Card/Person/148241", "ОТДЕЛ МВД РОССИИ ПО НЕФТЕКУМСКОМУ ГОРОДСКОМУ ОКРУГУ")</f>
        <v>ОТДЕЛ МВД РОССИИ ПО НЕФТЕКУМСКОМУ ГОРОДСКОМУ ОКРУГУ</v>
      </c>
      <c r="B2565" s="24" t="s">
        <v>3754</v>
      </c>
      <c r="C2565" s="25">
        <v>50000</v>
      </c>
      <c r="D2565" s="22" t="s">
        <v>3801</v>
      </c>
      <c r="E2565" s="22" t="s">
        <v>84</v>
      </c>
      <c r="F2565" s="23" t="str">
        <f>HYPERLINK("https://www.spark-marketing.ru/Card/Lot/72964987", "Выполнение работ по установке систем видеонаблюдения, 1 шт")</f>
        <v>Выполнение работ по установке систем видеонаблюдения, 1 шт</v>
      </c>
      <c r="G2565" s="22" t="s">
        <v>258</v>
      </c>
      <c r="H2565" s="22" t="s">
        <v>3756</v>
      </c>
      <c r="I2565" s="26">
        <v>43699.603414351899</v>
      </c>
      <c r="J2565" s="28" t="s">
        <v>52</v>
      </c>
      <c r="K2565" s="28" t="s">
        <v>52</v>
      </c>
      <c r="L2565" s="28" t="s">
        <v>52</v>
      </c>
      <c r="M2565" s="28" t="s">
        <v>52</v>
      </c>
      <c r="N2565" s="28" t="s">
        <v>52</v>
      </c>
    </row>
    <row r="2566" spans="1:14" x14ac:dyDescent="0.15">
      <c r="A2566" s="23" t="str">
        <f>HYPERLINK("https://www.spark-marketing.ru/Card/Person/5878", "ГБУЗ НСО ""КУЙБЫШЕВСКАЯ ЦРБ""")</f>
        <v>ГБУЗ НСО "КУЙБЫШЕВСКАЯ ЦРБ"</v>
      </c>
      <c r="B2566" s="24" t="s">
        <v>3802</v>
      </c>
      <c r="C2566" s="25">
        <v>160308.23000000001</v>
      </c>
      <c r="D2566" s="22" t="s">
        <v>3803</v>
      </c>
      <c r="E2566" s="22" t="s">
        <v>52</v>
      </c>
      <c r="F2566" s="23" t="str">
        <f>HYPERLINK("https://www.spark-marketing.ru/Card/Lot/72957407", "Оказание услуг по пультовой охране объекта кнопкой тревожной сигнализации и экстренному прибытию группы мобильного реагирования на объект в случае срабатывания средств тревожной сигнализации")</f>
        <v>Оказание услуг по пультовой охране объекта кнопкой тревожной сигнализации и экстренному прибытию группы мобильного реагирования на объект в случае срабатывания средств тревожной сигнализации</v>
      </c>
      <c r="G2566" s="22" t="s">
        <v>209</v>
      </c>
      <c r="H2566" s="22" t="s">
        <v>3804</v>
      </c>
      <c r="I2566" s="26">
        <v>43699.565277777801</v>
      </c>
      <c r="J2566" s="23" t="str">
        <f>HYPERLINK("https://www.spark-marketing.ru/Card/Person/383514", "ООО ЧОП ""ОХРАНА - ЦЕНТР""")</f>
        <v>ООО ЧОП "ОХРАНА - ЦЕНТР"</v>
      </c>
      <c r="K2566" s="24" t="s">
        <v>3805</v>
      </c>
      <c r="L2566" s="22" t="s">
        <v>10</v>
      </c>
      <c r="M2566" s="28" t="s">
        <v>52</v>
      </c>
      <c r="N2566" s="28" t="s">
        <v>52</v>
      </c>
    </row>
    <row r="2567" spans="1:14" x14ac:dyDescent="0.15">
      <c r="A2567" s="23" t="str">
        <f>HYPERLINK("https://www.spark-marketing.ru/Card/Person/253387", "ООО ""РН-УЧЕТ""")</f>
        <v>ООО "РН-УЧЕТ"</v>
      </c>
      <c r="B2567" s="24" t="s">
        <v>3806</v>
      </c>
      <c r="C2567" s="28" t="s">
        <v>52</v>
      </c>
      <c r="D2567" s="22" t="s">
        <v>3807</v>
      </c>
      <c r="E2567" s="22" t="s">
        <v>370</v>
      </c>
      <c r="F2567" s="23" t="str">
        <f>HYPERLINK("https://www.spark-marketing.ru/Card/Lot/73994388", "Услуги по техническому обслуживанию Инженерно-Технических Средств Охраны (ИТСО)")</f>
        <v>Услуги по техническому обслуживанию Инженерно-Технических Средств Охраны (ИТСО)</v>
      </c>
      <c r="G2567" s="22" t="s">
        <v>55</v>
      </c>
      <c r="H2567" s="22" t="s">
        <v>55</v>
      </c>
      <c r="I2567" s="26">
        <v>43699.551388888904</v>
      </c>
      <c r="J2567" s="28" t="s">
        <v>52</v>
      </c>
      <c r="K2567" s="28" t="s">
        <v>52</v>
      </c>
      <c r="L2567" s="28" t="s">
        <v>52</v>
      </c>
      <c r="M2567" s="28" t="s">
        <v>52</v>
      </c>
      <c r="N2567" s="28" t="s">
        <v>52</v>
      </c>
    </row>
    <row r="2568" spans="1:14" x14ac:dyDescent="0.15">
      <c r="A2568" s="23" t="str">
        <f t="shared" ref="A2568:A2573" si="109">HYPERLINK("https://www.spark-marketing.ru/Card/Person/156940", "ГБУЗ ""УСТЬ-ЛАБИНСКАЯ СП"" МЗ КК")</f>
        <v>ГБУЗ "УСТЬ-ЛАБИНСКАЯ СП" МЗ КК</v>
      </c>
      <c r="B2568" s="24" t="s">
        <v>3808</v>
      </c>
      <c r="C2568" s="25">
        <v>153510</v>
      </c>
      <c r="D2568" s="22" t="s">
        <v>3809</v>
      </c>
      <c r="E2568" s="22" t="s">
        <v>68</v>
      </c>
      <c r="F2568" s="23" t="str">
        <f t="shared" ref="F2568:F2573" si="110">HYPERLINK("https://www.spark-marketing.ru/Card/Lot/72964758", "Услуги по охране объекта (ГБУЗ ""Усть-Лабинская СП"" МЗ КК)")</f>
        <v>Услуги по охране объекта (ГБУЗ "Усть-Лабинская СП" МЗ КК)</v>
      </c>
      <c r="G2568" s="22" t="s">
        <v>132</v>
      </c>
      <c r="H2568" s="22" t="s">
        <v>3810</v>
      </c>
      <c r="I2568" s="26">
        <v>43699.370671296303</v>
      </c>
      <c r="J2568" s="28" t="s">
        <v>52</v>
      </c>
      <c r="K2568" s="28" t="s">
        <v>52</v>
      </c>
      <c r="L2568" s="28" t="s">
        <v>52</v>
      </c>
      <c r="M2568" s="28" t="s">
        <v>52</v>
      </c>
      <c r="N2568" s="28" t="s">
        <v>52</v>
      </c>
    </row>
    <row r="2569" spans="1:14" ht="12.75" hidden="1" outlineLevel="1" x14ac:dyDescent="0.2">
      <c r="A2569" s="23" t="str">
        <f t="shared" si="109"/>
        <v>ГБУЗ "УСТЬ-ЛАБИНСКАЯ СП" МЗ КК</v>
      </c>
      <c r="B2569" s="24" t="s">
        <v>3808</v>
      </c>
      <c r="C2569" s="25">
        <v>153510</v>
      </c>
      <c r="D2569" s="22" t="s">
        <v>3809</v>
      </c>
      <c r="E2569" s="22" t="s">
        <v>68</v>
      </c>
      <c r="F2569" s="23" t="str">
        <f t="shared" si="110"/>
        <v>Услуги по охране объекта (ГБУЗ "Усть-Лабинская СП" МЗ КК)</v>
      </c>
      <c r="G2569" s="22" t="s">
        <v>132</v>
      </c>
      <c r="H2569" s="22" t="s">
        <v>3810</v>
      </c>
      <c r="I2569" s="26">
        <v>43699.370671296303</v>
      </c>
      <c r="J2569" s="23" t="str">
        <f>HYPERLINK("https://www.spark-marketing.ru/Card/Person/5951736", "ООО ЧОП ""ПЕРВЫЙ ОТДЕЛ""")</f>
        <v>ООО ЧОП "ПЕРВЫЙ ОТДЕЛ"</v>
      </c>
      <c r="K2569" s="24" t="s">
        <v>3811</v>
      </c>
      <c r="L2569" s="22" t="s">
        <v>10</v>
      </c>
      <c r="M2569" s="25">
        <v>111371.96</v>
      </c>
      <c r="N2569" s="27">
        <v>0.27449703602371184</v>
      </c>
    </row>
    <row r="2570" spans="1:14" hidden="1" outlineLevel="1" x14ac:dyDescent="0.2">
      <c r="A2570" s="23" t="str">
        <f t="shared" si="109"/>
        <v>ГБУЗ "УСТЬ-ЛАБИНСКАЯ СП" МЗ КК</v>
      </c>
      <c r="B2570" s="24" t="s">
        <v>3808</v>
      </c>
      <c r="C2570" s="25">
        <v>153510</v>
      </c>
      <c r="D2570" s="22" t="s">
        <v>3809</v>
      </c>
      <c r="E2570" s="22" t="s">
        <v>68</v>
      </c>
      <c r="F2570" s="23" t="str">
        <f t="shared" si="110"/>
        <v>Услуги по охране объекта (ГБУЗ "Усть-Лабинская СП" МЗ КК)</v>
      </c>
      <c r="G2570" s="22" t="s">
        <v>132</v>
      </c>
      <c r="H2570" s="22" t="s">
        <v>3810</v>
      </c>
      <c r="I2570" s="26">
        <v>43699.370671296303</v>
      </c>
      <c r="J2570" s="23" t="str">
        <f>HYPERLINK("https://www.spark-marketing.ru/Card/Person/879340", "ООО ОО ""КАЗАЧЬЯ ДРУЖИНА 1""")</f>
        <v>ООО ОО "КАЗАЧЬЯ ДРУЖИНА 1"</v>
      </c>
      <c r="K2570" s="24" t="s">
        <v>3812</v>
      </c>
      <c r="L2570" s="28" t="s">
        <v>52</v>
      </c>
      <c r="M2570" s="25">
        <v>129025.61</v>
      </c>
      <c r="N2570" s="27">
        <v>0.15949703602371182</v>
      </c>
    </row>
    <row r="2571" spans="1:14" hidden="1" outlineLevel="1" x14ac:dyDescent="0.2">
      <c r="A2571" s="23" t="str">
        <f t="shared" si="109"/>
        <v>ГБУЗ "УСТЬ-ЛАБИНСКАЯ СП" МЗ КК</v>
      </c>
      <c r="B2571" s="24" t="s">
        <v>3808</v>
      </c>
      <c r="C2571" s="25">
        <v>153510</v>
      </c>
      <c r="D2571" s="22" t="s">
        <v>3809</v>
      </c>
      <c r="E2571" s="22" t="s">
        <v>68</v>
      </c>
      <c r="F2571" s="23" t="str">
        <f t="shared" si="110"/>
        <v>Услуги по охране объекта (ГБУЗ "Усть-Лабинская СП" МЗ КК)</v>
      </c>
      <c r="G2571" s="22" t="s">
        <v>132</v>
      </c>
      <c r="H2571" s="22" t="s">
        <v>3810</v>
      </c>
      <c r="I2571" s="26">
        <v>43699.370671296303</v>
      </c>
      <c r="J2571" s="23" t="str">
        <f>HYPERLINK("https://www.spark-marketing.ru/Card/Person/461520", "ООО ""ЧОО""ЕВРОМОСТ-У""")</f>
        <v>ООО "ЧОО"ЕВРОМОСТ-У"</v>
      </c>
      <c r="K2571" s="24" t="s">
        <v>3813</v>
      </c>
      <c r="L2571" s="28" t="s">
        <v>52</v>
      </c>
      <c r="M2571" s="25">
        <v>112139.51</v>
      </c>
      <c r="N2571" s="27">
        <v>0.26949703602371183</v>
      </c>
    </row>
    <row r="2572" spans="1:14" hidden="1" outlineLevel="1" x14ac:dyDescent="0.2">
      <c r="A2572" s="23" t="str">
        <f t="shared" si="109"/>
        <v>ГБУЗ "УСТЬ-ЛАБИНСКАЯ СП" МЗ КК</v>
      </c>
      <c r="B2572" s="24" t="s">
        <v>3808</v>
      </c>
      <c r="C2572" s="25">
        <v>153510</v>
      </c>
      <c r="D2572" s="22" t="s">
        <v>3809</v>
      </c>
      <c r="E2572" s="22" t="s">
        <v>68</v>
      </c>
      <c r="F2572" s="23" t="str">
        <f t="shared" si="110"/>
        <v>Услуги по охране объекта (ГБУЗ "Усть-Лабинская СП" МЗ КК)</v>
      </c>
      <c r="G2572" s="22" t="s">
        <v>132</v>
      </c>
      <c r="H2572" s="22" t="s">
        <v>3810</v>
      </c>
      <c r="I2572" s="26">
        <v>43699.370671296303</v>
      </c>
      <c r="J2572" s="23" t="str">
        <f>HYPERLINK("https://www.spark-marketing.ru/Card/Person/56618", "ООО ЧОО ""ИСКАНДЕР""")</f>
        <v>ООО ЧОО "ИСКАНДЕР"</v>
      </c>
      <c r="K2572" s="24" t="s">
        <v>3814</v>
      </c>
      <c r="L2572" s="28" t="s">
        <v>52</v>
      </c>
      <c r="M2572" s="25">
        <v>120699.95</v>
      </c>
      <c r="N2572" s="27">
        <v>0.21373233014135887</v>
      </c>
    </row>
    <row r="2573" spans="1:14" hidden="1" outlineLevel="1" x14ac:dyDescent="0.2">
      <c r="A2573" s="23" t="str">
        <f t="shared" si="109"/>
        <v>ГБУЗ "УСТЬ-ЛАБИНСКАЯ СП" МЗ КК</v>
      </c>
      <c r="B2573" s="24" t="s">
        <v>3808</v>
      </c>
      <c r="C2573" s="25">
        <v>153510</v>
      </c>
      <c r="D2573" s="22" t="s">
        <v>3809</v>
      </c>
      <c r="E2573" s="22" t="s">
        <v>68</v>
      </c>
      <c r="F2573" s="23" t="str">
        <f t="shared" si="110"/>
        <v>Услуги по охране объекта (ГБУЗ "Усть-Лабинская СП" МЗ КК)</v>
      </c>
      <c r="G2573" s="22" t="s">
        <v>132</v>
      </c>
      <c r="H2573" s="22" t="s">
        <v>3810</v>
      </c>
      <c r="I2573" s="26">
        <v>43699.370671296303</v>
      </c>
      <c r="J2573" s="23" t="str">
        <f>HYPERLINK("https://www.spark-marketing.ru/Card/Person/448039", "ООО ""ЧОП ""ПАНТЕРА ЮГ""")</f>
        <v>ООО "ЧОП "ПАНТЕРА ЮГ"</v>
      </c>
      <c r="K2573" s="24" t="s">
        <v>3815</v>
      </c>
      <c r="L2573" s="28" t="s">
        <v>52</v>
      </c>
      <c r="M2573" s="25">
        <v>148904.70000000001</v>
      </c>
      <c r="N2573" s="27">
        <v>0.03</v>
      </c>
    </row>
    <row r="2574" spans="1:14" x14ac:dyDescent="0.15">
      <c r="A2574" s="23" t="str">
        <f>HYPERLINK("https://www.spark-marketing.ru/Card/Person/2097942", "АО ""КОНЦЕРН РОСЭНЕРГОАТОМ""")</f>
        <v>АО "КОНЦЕРН РОСЭНЕРГОАТОМ"</v>
      </c>
      <c r="B2574" s="24" t="s">
        <v>211</v>
      </c>
      <c r="C2574" s="28" t="s">
        <v>52</v>
      </c>
      <c r="D2574" s="22" t="s">
        <v>3816</v>
      </c>
      <c r="E2574" s="22" t="s">
        <v>107</v>
      </c>
      <c r="F2574" s="23" t="str">
        <f>HYPERLINK("https://www.spark-marketing.ru/Card/Lot/72969584", "Оказание услуг по техническому обслуживанию и поддержанию эксплуатации инженерно-технических средств охраны внешних объектов Калининской АЭС")</f>
        <v>Оказание услуг по техническому обслуживанию и поддержанию эксплуатации инженерно-технических средств охраны внешних объектов Калининской АЭС</v>
      </c>
      <c r="G2574" s="22" t="s">
        <v>55</v>
      </c>
      <c r="H2574" s="22" t="s">
        <v>55</v>
      </c>
      <c r="I2574" s="26">
        <v>43699.529456018499</v>
      </c>
      <c r="J2574" s="28" t="s">
        <v>52</v>
      </c>
      <c r="K2574" s="28" t="s">
        <v>52</v>
      </c>
      <c r="L2574" s="28" t="s">
        <v>52</v>
      </c>
      <c r="M2574" s="28" t="s">
        <v>52</v>
      </c>
      <c r="N2574" s="28" t="s">
        <v>52</v>
      </c>
    </row>
    <row r="2575" spans="1:14" x14ac:dyDescent="0.15">
      <c r="A2575" s="23" t="str">
        <f>HYPERLINK("https://www.spark-marketing.ru/Card/Person/30608", "ГБУ РС(Я) ""ГОСУДАРСТВЕННАЯ ПРОТИВОПОЖАРНАЯ СЛУЖБА РС(Я)""")</f>
        <v>ГБУ РС(Я) "ГОСУДАРСТВЕННАЯ ПРОТИВОПОЖАРНАЯ СЛУЖБА РС(Я)"</v>
      </c>
      <c r="B2575" s="24" t="s">
        <v>3817</v>
      </c>
      <c r="C2575" s="25">
        <v>323350.03999999998</v>
      </c>
      <c r="D2575" s="22" t="s">
        <v>3818</v>
      </c>
      <c r="E2575" s="22" t="s">
        <v>52</v>
      </c>
      <c r="F2575" s="23" t="str">
        <f>HYPERLINK("https://www.spark-marketing.ru/Card/Lot/72953400", "Выполнение работы по установке системы видеонаблюдения для нужд ГБУ РС (Я) ""ГПС РС (Я)""")</f>
        <v>Выполнение работы по установке системы видеонаблюдения для нужд ГБУ РС (Я) "ГПС РС (Я)"</v>
      </c>
      <c r="G2575" s="22" t="s">
        <v>424</v>
      </c>
      <c r="H2575" s="22" t="s">
        <v>1186</v>
      </c>
      <c r="I2575" s="26">
        <v>43698.719942129603</v>
      </c>
      <c r="J2575" s="28" t="s">
        <v>52</v>
      </c>
      <c r="K2575" s="28" t="s">
        <v>52</v>
      </c>
      <c r="L2575" s="28" t="s">
        <v>52</v>
      </c>
      <c r="M2575" s="28" t="s">
        <v>52</v>
      </c>
      <c r="N2575" s="28" t="s">
        <v>52</v>
      </c>
    </row>
    <row r="2576" spans="1:14" ht="12.75" hidden="1" outlineLevel="1" x14ac:dyDescent="0.2">
      <c r="A2576" s="23" t="str">
        <f>HYPERLINK("https://www.spark-marketing.ru/Card/Person/30608", "ГБУ РС(Я) ""ГОСУДАРСТВЕННАЯ ПРОТИВОПОЖАРНАЯ СЛУЖБА РС(Я)""")</f>
        <v>ГБУ РС(Я) "ГОСУДАРСТВЕННАЯ ПРОТИВОПОЖАРНАЯ СЛУЖБА РС(Я)"</v>
      </c>
      <c r="B2576" s="24" t="s">
        <v>3817</v>
      </c>
      <c r="C2576" s="25">
        <v>323350.03999999998</v>
      </c>
      <c r="D2576" s="22" t="s">
        <v>3818</v>
      </c>
      <c r="E2576" s="22" t="s">
        <v>52</v>
      </c>
      <c r="F2576" s="23" t="str">
        <f>HYPERLINK("https://www.spark-marketing.ru/Card/Lot/72953400", "Выполнение работы по установке системы видеонаблюдения для нужд ГБУ РС (Я) ""ГПС РС (Я)""")</f>
        <v>Выполнение работы по установке системы видеонаблюдения для нужд ГБУ РС (Я) "ГПС РС (Я)"</v>
      </c>
      <c r="G2576" s="22" t="s">
        <v>424</v>
      </c>
      <c r="H2576" s="22" t="s">
        <v>1186</v>
      </c>
      <c r="I2576" s="26">
        <v>43698.719942129603</v>
      </c>
      <c r="J2576" s="23" t="str">
        <f>HYPERLINK("https://www.spark-marketing.ru/Card/Person/6677597", "Негнюров Виталий Васильевич")</f>
        <v>Негнюров Виталий Васильевич</v>
      </c>
      <c r="K2576" s="24" t="s">
        <v>2212</v>
      </c>
      <c r="L2576" s="22" t="s">
        <v>10</v>
      </c>
      <c r="M2576" s="25">
        <v>316883.03999999998</v>
      </c>
      <c r="N2576" s="27">
        <v>1.9999997525901033E-2</v>
      </c>
    </row>
    <row r="2577" spans="1:14" hidden="1" outlineLevel="1" x14ac:dyDescent="0.2">
      <c r="A2577" s="23" t="str">
        <f>HYPERLINK("https://www.spark-marketing.ru/Card/Person/30608", "ГБУ РС(Я) ""ГОСУДАРСТВЕННАЯ ПРОТИВОПОЖАРНАЯ СЛУЖБА РС(Я)""")</f>
        <v>ГБУ РС(Я) "ГОСУДАРСТВЕННАЯ ПРОТИВОПОЖАРНАЯ СЛУЖБА РС(Я)"</v>
      </c>
      <c r="B2577" s="24" t="s">
        <v>3817</v>
      </c>
      <c r="C2577" s="25">
        <v>323350.03999999998</v>
      </c>
      <c r="D2577" s="22" t="s">
        <v>3818</v>
      </c>
      <c r="E2577" s="22" t="s">
        <v>52</v>
      </c>
      <c r="F2577" s="23" t="str">
        <f>HYPERLINK("https://www.spark-marketing.ru/Card/Lot/72953400", "Выполнение работы по установке системы видеонаблюдения для нужд ГБУ РС (Я) ""ГПС РС (Я)""")</f>
        <v>Выполнение работы по установке системы видеонаблюдения для нужд ГБУ РС (Я) "ГПС РС (Я)"</v>
      </c>
      <c r="G2577" s="22" t="s">
        <v>424</v>
      </c>
      <c r="H2577" s="22" t="s">
        <v>1186</v>
      </c>
      <c r="I2577" s="26">
        <v>43698.719942129603</v>
      </c>
      <c r="J2577" s="23" t="str">
        <f>HYPERLINK("https://www.spark-marketing.ru/Card/Person/461861", "ООО ""ССК""")</f>
        <v>ООО "ССК"</v>
      </c>
      <c r="K2577" s="24" t="s">
        <v>3819</v>
      </c>
      <c r="L2577" s="28" t="s">
        <v>52</v>
      </c>
      <c r="M2577" s="25">
        <v>318499.78999999998</v>
      </c>
      <c r="N2577" s="27">
        <v>1.4999998144425774E-2</v>
      </c>
    </row>
    <row r="2578" spans="1:14" x14ac:dyDescent="0.15">
      <c r="A2578" s="23" t="str">
        <f>HYPERLINK("https://www.spark-marketing.ru/Card/Person/330018", "ФЛ Калининская АЭС")</f>
        <v>ФЛ Калининская АЭС</v>
      </c>
      <c r="B2578" s="24" t="s">
        <v>211</v>
      </c>
      <c r="C2578" s="25">
        <v>0</v>
      </c>
      <c r="D2578" s="22" t="s">
        <v>3820</v>
      </c>
      <c r="E2578" s="22" t="s">
        <v>53</v>
      </c>
      <c r="F2578" s="23" t="str">
        <f>HYPERLINK("https://www.spark-marketing.ru/Card/Lot/72966373", "мониторинг цен в электронной форме на Оказание услуг по техническому обслуживанию и поддержанию эксплуатации инженерно-технических средств охраны внешних объектов Калининской АЭС")</f>
        <v>мониторинг цен в электронной форме на Оказание услуг по техническому обслуживанию и поддержанию эксплуатации инженерно-технических средств охраны внешних объектов Калининской АЭС</v>
      </c>
      <c r="G2578" s="22" t="s">
        <v>55</v>
      </c>
      <c r="H2578" s="22" t="s">
        <v>55</v>
      </c>
      <c r="I2578" s="26">
        <v>43699.529467592598</v>
      </c>
      <c r="J2578" s="28" t="s">
        <v>52</v>
      </c>
      <c r="K2578" s="28" t="s">
        <v>52</v>
      </c>
      <c r="L2578" s="28" t="s">
        <v>52</v>
      </c>
      <c r="M2578" s="28" t="s">
        <v>52</v>
      </c>
      <c r="N2578" s="28" t="s">
        <v>52</v>
      </c>
    </row>
    <row r="2579" spans="1:14" x14ac:dyDescent="0.15">
      <c r="A2579" s="23" t="str">
        <f>HYPERLINK("https://www.spark-marketing.ru/Card/Person/54699", "МРУ РОСАЛКОГОЛЬРЕГУЛИРОВАНИЯ ПО СЕВЕРО-КАВКАЗСКОМУ ФЕДЕРАЛЬНОМУ ОКРУГУ")</f>
        <v>МРУ РОСАЛКОГОЛЬРЕГУЛИРОВАНИЯ ПО СЕВЕРО-КАВКАЗСКОМУ ФЕДЕРАЛЬНОМУ ОКРУГУ</v>
      </c>
      <c r="B2579" s="24" t="s">
        <v>3821</v>
      </c>
      <c r="C2579" s="25">
        <v>6000</v>
      </c>
      <c r="D2579" s="22" t="s">
        <v>3822</v>
      </c>
      <c r="E2579" s="22" t="s">
        <v>107</v>
      </c>
      <c r="F2579" s="23" t="str">
        <f>HYPERLINK("https://www.spark-marketing.ru/Card/Lot/72957245", "Техническое обслуживание инженерно-технических средств охраны, 4 шт")</f>
        <v>Техническое обслуживание инженерно-технических средств охраны, 4 шт</v>
      </c>
      <c r="G2579" s="22" t="s">
        <v>258</v>
      </c>
      <c r="H2579" s="22" t="s">
        <v>2602</v>
      </c>
      <c r="I2579" s="26">
        <v>43699.439664351798</v>
      </c>
      <c r="J2579" s="28" t="s">
        <v>52</v>
      </c>
      <c r="K2579" s="28" t="s">
        <v>52</v>
      </c>
      <c r="L2579" s="28" t="s">
        <v>52</v>
      </c>
      <c r="M2579" s="28" t="s">
        <v>52</v>
      </c>
      <c r="N2579" s="28" t="s">
        <v>52</v>
      </c>
    </row>
    <row r="2580" spans="1:14" x14ac:dyDescent="0.15">
      <c r="A2580" s="23" t="str">
        <f t="shared" ref="A2580:A2585" si="111">HYPERLINK("https://www.spark-marketing.ru/Card/Person/21947", "ГБУЗ СО ""КРАСНОУРАЛЬСКАЯ ГБ""")</f>
        <v>ГБУЗ СО "КРАСНОУРАЛЬСКАЯ ГБ"</v>
      </c>
      <c r="B2580" s="24" t="s">
        <v>3823</v>
      </c>
      <c r="C2580" s="25">
        <v>144913.92000000001</v>
      </c>
      <c r="D2580" s="22" t="s">
        <v>3824</v>
      </c>
      <c r="E2580" s="22" t="s">
        <v>59</v>
      </c>
      <c r="F2580" s="23" t="str">
        <f t="shared" ref="F2580:F2585" si="112">HYPERLINK("https://www.spark-marketing.ru/Card/Lot/72954168", "Техническое обслуживание охранной сигнализации")</f>
        <v>Техническое обслуживание охранной сигнализации</v>
      </c>
      <c r="G2580" s="22" t="s">
        <v>72</v>
      </c>
      <c r="H2580" s="22" t="s">
        <v>3825</v>
      </c>
      <c r="I2580" s="26">
        <v>43698.506006944401</v>
      </c>
      <c r="J2580" s="28" t="s">
        <v>52</v>
      </c>
      <c r="K2580" s="28" t="s">
        <v>52</v>
      </c>
      <c r="L2580" s="28" t="s">
        <v>52</v>
      </c>
      <c r="M2580" s="28" t="s">
        <v>52</v>
      </c>
      <c r="N2580" s="28" t="s">
        <v>52</v>
      </c>
    </row>
    <row r="2581" spans="1:14" ht="12.75" hidden="1" outlineLevel="1" x14ac:dyDescent="0.2">
      <c r="A2581" s="23" t="str">
        <f t="shared" si="111"/>
        <v>ГБУЗ СО "КРАСНОУРАЛЬСКАЯ ГБ"</v>
      </c>
      <c r="B2581" s="24" t="s">
        <v>3823</v>
      </c>
      <c r="C2581" s="25">
        <v>144913.92000000001</v>
      </c>
      <c r="D2581" s="22" t="s">
        <v>3824</v>
      </c>
      <c r="E2581" s="22" t="s">
        <v>59</v>
      </c>
      <c r="F2581" s="23" t="str">
        <f t="shared" si="112"/>
        <v>Техническое обслуживание охранной сигнализации</v>
      </c>
      <c r="G2581" s="22" t="s">
        <v>72</v>
      </c>
      <c r="H2581" s="22" t="s">
        <v>3825</v>
      </c>
      <c r="I2581" s="26">
        <v>43698.506006944401</v>
      </c>
      <c r="J2581" s="23" t="str">
        <f>HYPERLINK("https://www.spark-marketing.ru/Card/Person/797349", "ООО ""ПОЖЗАЩИТА-НТ""")</f>
        <v>ООО "ПОЖЗАЩИТА-НТ"</v>
      </c>
      <c r="K2581" s="24" t="s">
        <v>3826</v>
      </c>
      <c r="L2581" s="22" t="s">
        <v>10</v>
      </c>
      <c r="M2581" s="25">
        <v>81457.740000000005</v>
      </c>
      <c r="N2581" s="27">
        <v>0.43788878252689595</v>
      </c>
    </row>
    <row r="2582" spans="1:14" hidden="1" outlineLevel="1" x14ac:dyDescent="0.2">
      <c r="A2582" s="23" t="str">
        <f t="shared" si="111"/>
        <v>ГБУЗ СО "КРАСНОУРАЛЬСКАЯ ГБ"</v>
      </c>
      <c r="B2582" s="24" t="s">
        <v>3823</v>
      </c>
      <c r="C2582" s="25">
        <v>144913.92000000001</v>
      </c>
      <c r="D2582" s="22" t="s">
        <v>3824</v>
      </c>
      <c r="E2582" s="22" t="s">
        <v>59</v>
      </c>
      <c r="F2582" s="23" t="str">
        <f t="shared" si="112"/>
        <v>Техническое обслуживание охранной сигнализации</v>
      </c>
      <c r="G2582" s="22" t="s">
        <v>72</v>
      </c>
      <c r="H2582" s="22" t="s">
        <v>3825</v>
      </c>
      <c r="I2582" s="26">
        <v>43698.506006944401</v>
      </c>
      <c r="J2582" s="23" t="str">
        <f>HYPERLINK("https://www.spark-marketing.ru/Card/Person/2126923", "ООО ""А-СЕКЬЮРИТИ""")</f>
        <v>ООО "А-СЕКЬЮРИТИ"</v>
      </c>
      <c r="K2582" s="24" t="s">
        <v>3827</v>
      </c>
      <c r="L2582" s="28" t="s">
        <v>52</v>
      </c>
      <c r="M2582" s="25">
        <v>93050.86</v>
      </c>
      <c r="N2582" s="27">
        <v>0.35788873836274665</v>
      </c>
    </row>
    <row r="2583" spans="1:14" hidden="1" outlineLevel="1" x14ac:dyDescent="0.2">
      <c r="A2583" s="23" t="str">
        <f t="shared" si="111"/>
        <v>ГБУЗ СО "КРАСНОУРАЛЬСКАЯ ГБ"</v>
      </c>
      <c r="B2583" s="24" t="s">
        <v>3823</v>
      </c>
      <c r="C2583" s="25">
        <v>144913.92000000001</v>
      </c>
      <c r="D2583" s="22" t="s">
        <v>3824</v>
      </c>
      <c r="E2583" s="22" t="s">
        <v>59</v>
      </c>
      <c r="F2583" s="23" t="str">
        <f t="shared" si="112"/>
        <v>Техническое обслуживание охранной сигнализации</v>
      </c>
      <c r="G2583" s="22" t="s">
        <v>72</v>
      </c>
      <c r="H2583" s="22" t="s">
        <v>3825</v>
      </c>
      <c r="I2583" s="26">
        <v>43698.506006944401</v>
      </c>
      <c r="J2583" s="23" t="str">
        <f>HYPERLINK("https://www.spark-marketing.ru/Card/Person/797545", "ООО ""ЧОП ""САПСАН""""")</f>
        <v>ООО "ЧОП "САПСАН""</v>
      </c>
      <c r="K2583" s="24" t="s">
        <v>3828</v>
      </c>
      <c r="L2583" s="28" t="s">
        <v>52</v>
      </c>
      <c r="M2583" s="25">
        <v>85080.59</v>
      </c>
      <c r="N2583" s="27">
        <v>0.41288876872559932</v>
      </c>
    </row>
    <row r="2584" spans="1:14" hidden="1" outlineLevel="1" x14ac:dyDescent="0.2">
      <c r="A2584" s="23" t="str">
        <f t="shared" si="111"/>
        <v>ГБУЗ СО "КРАСНОУРАЛЬСКАЯ ГБ"</v>
      </c>
      <c r="B2584" s="24" t="s">
        <v>3823</v>
      </c>
      <c r="C2584" s="25">
        <v>144913.92000000001</v>
      </c>
      <c r="D2584" s="22" t="s">
        <v>3824</v>
      </c>
      <c r="E2584" s="22" t="s">
        <v>59</v>
      </c>
      <c r="F2584" s="23" t="str">
        <f t="shared" si="112"/>
        <v>Техническое обслуживание охранной сигнализации</v>
      </c>
      <c r="G2584" s="22" t="s">
        <v>72</v>
      </c>
      <c r="H2584" s="22" t="s">
        <v>3825</v>
      </c>
      <c r="I2584" s="26">
        <v>43698.506006944401</v>
      </c>
      <c r="J2584" s="23" t="str">
        <f>HYPERLINK("https://www.spark-marketing.ru/Card/Person/6698707", "ООО ""УСБГ""")</f>
        <v>ООО "УСБГ"</v>
      </c>
      <c r="K2584" s="24" t="s">
        <v>3829</v>
      </c>
      <c r="L2584" s="28" t="s">
        <v>52</v>
      </c>
      <c r="M2584" s="25">
        <v>82182.31</v>
      </c>
      <c r="N2584" s="27">
        <v>0.43288877976663664</v>
      </c>
    </row>
    <row r="2585" spans="1:14" hidden="1" outlineLevel="1" x14ac:dyDescent="0.2">
      <c r="A2585" s="23" t="str">
        <f t="shared" si="111"/>
        <v>ГБУЗ СО "КРАСНОУРАЛЬСКАЯ ГБ"</v>
      </c>
      <c r="B2585" s="24" t="s">
        <v>3823</v>
      </c>
      <c r="C2585" s="25">
        <v>144913.92000000001</v>
      </c>
      <c r="D2585" s="22" t="s">
        <v>3824</v>
      </c>
      <c r="E2585" s="22" t="s">
        <v>59</v>
      </c>
      <c r="F2585" s="23" t="str">
        <f t="shared" si="112"/>
        <v>Техническое обслуживание охранной сигнализации</v>
      </c>
      <c r="G2585" s="22" t="s">
        <v>72</v>
      </c>
      <c r="H2585" s="22" t="s">
        <v>3825</v>
      </c>
      <c r="I2585" s="26">
        <v>43698.506006944401</v>
      </c>
      <c r="J2585" s="23" t="str">
        <f>HYPERLINK("https://www.spark-marketing.ru/Card/Person/572248", "ООО ""ПОЖСЕРВИС""")</f>
        <v>ООО "ПОЖСЕРВИС"</v>
      </c>
      <c r="K2585" s="24" t="s">
        <v>3830</v>
      </c>
      <c r="L2585" s="28" t="s">
        <v>52</v>
      </c>
      <c r="M2585" s="25">
        <v>89900</v>
      </c>
      <c r="N2585" s="27">
        <v>0.37963171515890259</v>
      </c>
    </row>
    <row r="2586" spans="1:14" x14ac:dyDescent="0.15">
      <c r="A2586" s="23" t="str">
        <f>HYPERLINK("https://www.spark-marketing.ru/Card/Person/5721", "ОГБУЗ ""ИГП № 11""")</f>
        <v>ОГБУЗ "ИГП № 11"</v>
      </c>
      <c r="B2586" s="24" t="s">
        <v>3831</v>
      </c>
      <c r="C2586" s="25">
        <v>497766.99</v>
      </c>
      <c r="D2586" s="22" t="s">
        <v>3832</v>
      </c>
      <c r="E2586" s="22" t="s">
        <v>52</v>
      </c>
      <c r="F2586" s="23" t="str">
        <f>HYPERLINK("https://www.spark-marketing.ru/Card/Lot/72952499", "Оказание услуг по охране объектов")</f>
        <v>Оказание услуг по охране объектов</v>
      </c>
      <c r="G2586" s="22" t="s">
        <v>281</v>
      </c>
      <c r="H2586" s="22" t="s">
        <v>2008</v>
      </c>
      <c r="I2586" s="26">
        <v>43699.379525463002</v>
      </c>
      <c r="J2586" s="28" t="s">
        <v>52</v>
      </c>
      <c r="K2586" s="28" t="s">
        <v>52</v>
      </c>
      <c r="L2586" s="28" t="s">
        <v>52</v>
      </c>
      <c r="M2586" s="28" t="s">
        <v>52</v>
      </c>
      <c r="N2586" s="28" t="s">
        <v>52</v>
      </c>
    </row>
    <row r="2587" spans="1:14" hidden="1" outlineLevel="1" x14ac:dyDescent="0.2">
      <c r="A2587" s="23" t="str">
        <f>HYPERLINK("https://www.spark-marketing.ru/Card/Person/5721", "ОГБУЗ ""ИГП № 11""")</f>
        <v>ОГБУЗ "ИГП № 11"</v>
      </c>
      <c r="B2587" s="24" t="s">
        <v>3831</v>
      </c>
      <c r="C2587" s="25">
        <v>497766.99</v>
      </c>
      <c r="D2587" s="22" t="s">
        <v>3832</v>
      </c>
      <c r="E2587" s="22" t="s">
        <v>52</v>
      </c>
      <c r="F2587" s="23" t="str">
        <f>HYPERLINK("https://www.spark-marketing.ru/Card/Lot/72952499", "Оказание услуг по охране объектов")</f>
        <v>Оказание услуг по охране объектов</v>
      </c>
      <c r="G2587" s="22" t="s">
        <v>281</v>
      </c>
      <c r="H2587" s="22" t="s">
        <v>2008</v>
      </c>
      <c r="I2587" s="26">
        <v>43699.379525463002</v>
      </c>
      <c r="J2587" s="23" t="str">
        <f>HYPERLINK("https://www.spark-marketing.ru/Card/Person/581241", "ООО ОХРАННОЕ АГЕНТСТВО ""ИМПУЛЬС""")</f>
        <v>ООО ОХРАННОЕ АГЕНТСТВО "ИМПУЛЬС"</v>
      </c>
      <c r="K2587" s="24" t="s">
        <v>3833</v>
      </c>
      <c r="L2587" s="28" t="s">
        <v>52</v>
      </c>
      <c r="M2587" s="25">
        <v>497766.98</v>
      </c>
      <c r="N2587" s="27">
        <v>2.0089721096210095E-8</v>
      </c>
    </row>
    <row r="2588" spans="1:14" hidden="1" outlineLevel="1" x14ac:dyDescent="0.2">
      <c r="A2588" s="23" t="str">
        <f>HYPERLINK("https://www.spark-marketing.ru/Card/Person/5721", "ОГБУЗ ""ИГП № 11""")</f>
        <v>ОГБУЗ "ИГП № 11"</v>
      </c>
      <c r="B2588" s="24" t="s">
        <v>3831</v>
      </c>
      <c r="C2588" s="25">
        <v>497766.99</v>
      </c>
      <c r="D2588" s="22" t="s">
        <v>3832</v>
      </c>
      <c r="E2588" s="22" t="s">
        <v>52</v>
      </c>
      <c r="F2588" s="23" t="str">
        <f>HYPERLINK("https://www.spark-marketing.ru/Card/Lot/72952499", "Оказание услуг по охране объектов")</f>
        <v>Оказание услуг по охране объектов</v>
      </c>
      <c r="G2588" s="22" t="s">
        <v>281</v>
      </c>
      <c r="H2588" s="22" t="s">
        <v>2008</v>
      </c>
      <c r="I2588" s="26">
        <v>43699.379525463002</v>
      </c>
      <c r="J2588" s="23" t="str">
        <f>HYPERLINK("https://www.spark-marketing.ru/Card/Person/593699", "ООО ЧОО ""ВЕКТОР""")</f>
        <v>ООО ЧОО "ВЕКТОР"</v>
      </c>
      <c r="K2588" s="24" t="s">
        <v>3834</v>
      </c>
      <c r="L2588" s="28" t="s">
        <v>52</v>
      </c>
      <c r="M2588" s="25">
        <v>241416.47</v>
      </c>
      <c r="N2588" s="27">
        <v>0.51500104496684285</v>
      </c>
    </row>
    <row r="2589" spans="1:14" ht="12.75" hidden="1" outlineLevel="1" x14ac:dyDescent="0.2">
      <c r="A2589" s="23" t="str">
        <f>HYPERLINK("https://www.spark-marketing.ru/Card/Person/5721", "ОГБУЗ ""ИГП № 11""")</f>
        <v>ОГБУЗ "ИГП № 11"</v>
      </c>
      <c r="B2589" s="24" t="s">
        <v>3831</v>
      </c>
      <c r="C2589" s="25">
        <v>497766.99</v>
      </c>
      <c r="D2589" s="22" t="s">
        <v>3832</v>
      </c>
      <c r="E2589" s="22" t="s">
        <v>52</v>
      </c>
      <c r="F2589" s="23" t="str">
        <f>HYPERLINK("https://www.spark-marketing.ru/Card/Lot/72952499", "Оказание услуг по охране объектов")</f>
        <v>Оказание услуг по охране объектов</v>
      </c>
      <c r="G2589" s="22" t="s">
        <v>281</v>
      </c>
      <c r="H2589" s="22" t="s">
        <v>2008</v>
      </c>
      <c r="I2589" s="26">
        <v>43699.379525463002</v>
      </c>
      <c r="J2589" s="23" t="str">
        <f>HYPERLINK("https://www.spark-marketing.ru/Card/Person/87686", "ООО ОА ""ПЕРЕСВЕТ""")</f>
        <v>ООО ОА "ПЕРЕСВЕТ"</v>
      </c>
      <c r="K2589" s="24" t="s">
        <v>2992</v>
      </c>
      <c r="L2589" s="22" t="s">
        <v>10</v>
      </c>
      <c r="M2589" s="25">
        <v>238927.63</v>
      </c>
      <c r="N2589" s="27">
        <v>0.520001055112152</v>
      </c>
    </row>
    <row r="2590" spans="1:14" hidden="1" outlineLevel="1" x14ac:dyDescent="0.2">
      <c r="A2590" s="23" t="str">
        <f>HYPERLINK("https://www.spark-marketing.ru/Card/Person/5721", "ОГБУЗ ""ИГП № 11""")</f>
        <v>ОГБУЗ "ИГП № 11"</v>
      </c>
      <c r="B2590" s="24" t="s">
        <v>3831</v>
      </c>
      <c r="C2590" s="25">
        <v>497766.99</v>
      </c>
      <c r="D2590" s="22" t="s">
        <v>3832</v>
      </c>
      <c r="E2590" s="22" t="s">
        <v>52</v>
      </c>
      <c r="F2590" s="23" t="str">
        <f>HYPERLINK("https://www.spark-marketing.ru/Card/Lot/72952499", "Оказание услуг по охране объектов")</f>
        <v>Оказание услуг по охране объектов</v>
      </c>
      <c r="G2590" s="22" t="s">
        <v>281</v>
      </c>
      <c r="H2590" s="22" t="s">
        <v>2008</v>
      </c>
      <c r="I2590" s="26">
        <v>43699.379525463002</v>
      </c>
      <c r="J2590" s="23" t="str">
        <f>HYPERLINK("https://www.spark-marketing.ru/Card/Person/5955000", "ООО ЧОО ""ДЕЛЬТА-М""")</f>
        <v>ООО ЧОО "ДЕЛЬТА-М"</v>
      </c>
      <c r="K2590" s="24" t="s">
        <v>3835</v>
      </c>
      <c r="L2590" s="28" t="s">
        <v>52</v>
      </c>
      <c r="M2590" s="25">
        <v>238927.63</v>
      </c>
      <c r="N2590" s="27">
        <v>0.520001055112152</v>
      </c>
    </row>
    <row r="2591" spans="1:14" x14ac:dyDescent="0.15">
      <c r="A2591" s="23" t="str">
        <f>HYPERLINK("https://www.spark-marketing.ru/Card/Person/365274", "ОМВД РОССИИ ПО ОКУЛОВСКОМУ РАЙОНУ")</f>
        <v>ОМВД РОССИИ ПО ОКУЛОВСКОМУ РАЙОНУ</v>
      </c>
      <c r="B2591" s="24" t="s">
        <v>3836</v>
      </c>
      <c r="C2591" s="25">
        <v>52680</v>
      </c>
      <c r="D2591" s="22" t="s">
        <v>3837</v>
      </c>
      <c r="E2591" s="22" t="s">
        <v>84</v>
      </c>
      <c r="F2591" s="23" t="str">
        <f>HYPERLINK("https://www.spark-marketing.ru/Card/Lot/72954586", "Техническое обслуживание систем видеонаблюдения, 36 шт")</f>
        <v>Техническое обслуживание систем видеонаблюдения, 36 шт</v>
      </c>
      <c r="G2591" s="22" t="s">
        <v>959</v>
      </c>
      <c r="H2591" s="22" t="s">
        <v>3838</v>
      </c>
      <c r="I2591" s="26">
        <v>43699.367708333302</v>
      </c>
      <c r="J2591" s="28" t="s">
        <v>52</v>
      </c>
      <c r="K2591" s="28" t="s">
        <v>52</v>
      </c>
      <c r="L2591" s="28" t="s">
        <v>52</v>
      </c>
      <c r="M2591" s="28" t="s">
        <v>52</v>
      </c>
      <c r="N2591" s="28" t="s">
        <v>52</v>
      </c>
    </row>
    <row r="2592" spans="1:14" x14ac:dyDescent="0.15">
      <c r="A2592" s="23" t="str">
        <f>HYPERLINK("https://www.spark-marketing.ru/Card/Person/136018", "АДМИНИСТРАЦИЯ ГОРОДСКОГО ПОСЕЛЕНИЯ ""ХИЛОКСКОЕ""")</f>
        <v>АДМИНИСТРАЦИЯ ГОРОДСКОГО ПОСЕЛЕНИЯ "ХИЛОКСКОЕ"</v>
      </c>
      <c r="B2592" s="24" t="s">
        <v>3839</v>
      </c>
      <c r="C2592" s="25">
        <v>373218</v>
      </c>
      <c r="D2592" s="22" t="s">
        <v>3840</v>
      </c>
      <c r="E2592" s="22" t="s">
        <v>59</v>
      </c>
      <c r="F2592" s="23" t="str">
        <f>HYPERLINK("https://www.spark-marketing.ru/Card/Lot/72950949", "Техническое обслуживание уличного освещения в г. Хилок")</f>
        <v>Техническое обслуживание уличного освещения в г. Хилок</v>
      </c>
      <c r="G2592" s="22" t="s">
        <v>473</v>
      </c>
      <c r="H2592" s="22" t="s">
        <v>1822</v>
      </c>
      <c r="I2592" s="26">
        <v>43699.347152777802</v>
      </c>
      <c r="J2592" s="23" t="str">
        <f>HYPERLINK("https://www.spark-marketing.ru/Card/Person/325004", "Роман Роман Васильевич")</f>
        <v>Роман Роман Васильевич</v>
      </c>
      <c r="K2592" s="24" t="s">
        <v>3841</v>
      </c>
      <c r="L2592" s="22" t="s">
        <v>10</v>
      </c>
      <c r="M2592" s="28" t="s">
        <v>52</v>
      </c>
      <c r="N2592" s="28" t="s">
        <v>52</v>
      </c>
    </row>
    <row r="2593" spans="1:14" x14ac:dyDescent="0.15">
      <c r="A2593" s="23" t="str">
        <f>HYPERLINK("https://www.spark-marketing.ru/Card/Person/365274", "ОМВД РОССИИ ПО ОКУЛОВСКОМУ РАЙОНУ")</f>
        <v>ОМВД РОССИИ ПО ОКУЛОВСКОМУ РАЙОНУ</v>
      </c>
      <c r="B2593" s="24" t="s">
        <v>3836</v>
      </c>
      <c r="C2593" s="25">
        <v>52680</v>
      </c>
      <c r="D2593" s="22" t="s">
        <v>3842</v>
      </c>
      <c r="E2593" s="22" t="s">
        <v>84</v>
      </c>
      <c r="F2593" s="23" t="str">
        <f>HYPERLINK("https://www.spark-marketing.ru/Card/Lot/72954590", "Техническое обслуживание систем видеонаблюдения, 29 шт")</f>
        <v>Техническое обслуживание систем видеонаблюдения, 29 шт</v>
      </c>
      <c r="G2593" s="22" t="s">
        <v>959</v>
      </c>
      <c r="H2593" s="22" t="s">
        <v>3838</v>
      </c>
      <c r="I2593" s="26">
        <v>43699.369421296302</v>
      </c>
      <c r="J2593" s="28" t="s">
        <v>52</v>
      </c>
      <c r="K2593" s="28" t="s">
        <v>52</v>
      </c>
      <c r="L2593" s="28" t="s">
        <v>52</v>
      </c>
      <c r="M2593" s="28" t="s">
        <v>52</v>
      </c>
      <c r="N2593" s="28" t="s">
        <v>52</v>
      </c>
    </row>
    <row r="2594" spans="1:14" x14ac:dyDescent="0.15">
      <c r="A2594" s="23" t="str">
        <f>HYPERLINK("https://www.spark-marketing.ru/Card/Person/36878", "ГБУЗ ""САХОБЛКЛИНБОЛЬНИЦА""")</f>
        <v>ГБУЗ "САХОБЛКЛИНБОЛЬНИЦА"</v>
      </c>
      <c r="B2594" s="24" t="s">
        <v>3843</v>
      </c>
      <c r="C2594" s="25">
        <v>499610.67</v>
      </c>
      <c r="D2594" s="22" t="s">
        <v>3844</v>
      </c>
      <c r="E2594" s="22" t="s">
        <v>107</v>
      </c>
      <c r="F2594" s="23" t="str">
        <f>HYPERLINK("https://www.spark-marketing.ru/Card/Lot/72953571", "Техническое сопровождение объекта «Областная психиатрическая больница в г. Южно-Сахалинске (1 очередь). 1й пусковой этап: котельная, наружные сети теплоснабжения, сети газопотребления» (ОПО: «сеть газопотребления «областная психиатрическая больница» ...")</f>
        <v>Техническое сопровождение объекта «Областная психиатрическая больница в г. Южно-Сахалинске (1 очередь). 1й пусковой этап: котельная, наружные сети теплоснабжения, сети газопотребления» (ОПО: «сеть газопотребления «областная психиатрическая больница» ...</v>
      </c>
      <c r="G2594" s="22" t="s">
        <v>69</v>
      </c>
      <c r="H2594" s="22" t="s">
        <v>973</v>
      </c>
      <c r="I2594" s="26">
        <v>43699.586678240703</v>
      </c>
      <c r="J2594" s="28" t="s">
        <v>52</v>
      </c>
      <c r="K2594" s="28" t="s">
        <v>52</v>
      </c>
      <c r="L2594" s="28" t="s">
        <v>52</v>
      </c>
      <c r="M2594" s="28" t="s">
        <v>52</v>
      </c>
      <c r="N2594" s="28" t="s">
        <v>52</v>
      </c>
    </row>
    <row r="2595" spans="1:14" ht="12.75" hidden="1" outlineLevel="1" x14ac:dyDescent="0.2">
      <c r="A2595" s="23" t="str">
        <f>HYPERLINK("https://www.spark-marketing.ru/Card/Person/36878", "ГБУЗ ""САХОБЛКЛИНБОЛЬНИЦА""")</f>
        <v>ГБУЗ "САХОБЛКЛИНБОЛЬНИЦА"</v>
      </c>
      <c r="B2595" s="24" t="s">
        <v>3843</v>
      </c>
      <c r="C2595" s="25">
        <v>499610.67</v>
      </c>
      <c r="D2595" s="22" t="s">
        <v>3844</v>
      </c>
      <c r="E2595" s="22" t="s">
        <v>107</v>
      </c>
      <c r="F2595" s="23" t="str">
        <f>HYPERLINK("https://www.spark-marketing.ru/Card/Lot/72953571", "Техническое сопровождение объекта «Областная психиатрическая больница в г. Южно-Сахалинске (1 очередь). 1й пусковой этап: котельная, наружные сети теплоснабжения, сети газопотребления» (ОПО: «сеть газопотребления «областная психиатрическая больница» ...")</f>
        <v>Техническое сопровождение объекта «Областная психиатрическая больница в г. Южно-Сахалинске (1 очередь). 1й пусковой этап: котельная, наружные сети теплоснабжения, сети газопотребления» (ОПО: «сеть газопотребления «областная психиатрическая больница» ...</v>
      </c>
      <c r="G2595" s="22" t="s">
        <v>69</v>
      </c>
      <c r="H2595" s="22" t="s">
        <v>973</v>
      </c>
      <c r="I2595" s="26">
        <v>43699.586678240703</v>
      </c>
      <c r="J2595" s="23" t="str">
        <f>HYPERLINK("https://www.spark-marketing.ru/Card/Person/2252998", "ЗАО ""ТМС""")</f>
        <v>ЗАО "ТМС"</v>
      </c>
      <c r="K2595" s="24" t="s">
        <v>3845</v>
      </c>
      <c r="L2595" s="22" t="s">
        <v>10</v>
      </c>
      <c r="M2595" s="25">
        <v>499249.02</v>
      </c>
      <c r="N2595" s="27">
        <v>7.2386364366477604E-4</v>
      </c>
    </row>
    <row r="2596" spans="1:14" hidden="1" outlineLevel="1" x14ac:dyDescent="0.2">
      <c r="A2596" s="23" t="str">
        <f>HYPERLINK("https://www.spark-marketing.ru/Card/Person/36878", "ГБУЗ ""САХОБЛКЛИНБОЛЬНИЦА""")</f>
        <v>ГБУЗ "САХОБЛКЛИНБОЛЬНИЦА"</v>
      </c>
      <c r="B2596" s="24" t="s">
        <v>3843</v>
      </c>
      <c r="C2596" s="25">
        <v>499610.67</v>
      </c>
      <c r="D2596" s="22" t="s">
        <v>3844</v>
      </c>
      <c r="E2596" s="22" t="s">
        <v>107</v>
      </c>
      <c r="F2596" s="23" t="str">
        <f>HYPERLINK("https://www.spark-marketing.ru/Card/Lot/72953571", "Техническое сопровождение объекта «Областная психиатрическая больница в г. Южно-Сахалинске (1 очередь). 1й пусковой этап: котельная, наружные сети теплоснабжения, сети газопотребления» (ОПО: «сеть газопотребления «областная психиатрическая больница» ...")</f>
        <v>Техническое сопровождение объекта «Областная психиатрическая больница в г. Южно-Сахалинске (1 очередь). 1й пусковой этап: котельная, наружные сети теплоснабжения, сети газопотребления» (ОПО: «сеть газопотребления «областная психиатрическая больница» ...</v>
      </c>
      <c r="G2596" s="22" t="s">
        <v>69</v>
      </c>
      <c r="H2596" s="22" t="s">
        <v>973</v>
      </c>
      <c r="I2596" s="26">
        <v>43699.586678240703</v>
      </c>
      <c r="J2596" s="23" t="str">
        <f>HYPERLINK("https://www.spark-marketing.ru/Card/Person/92479", "ООО ""СТРОЙИНВЕСТ""")</f>
        <v>ООО "СТРОЙИНВЕСТ"</v>
      </c>
      <c r="K2596" s="24" t="s">
        <v>3846</v>
      </c>
      <c r="L2596" s="28" t="s">
        <v>52</v>
      </c>
      <c r="M2596" s="25">
        <v>499515</v>
      </c>
      <c r="N2596" s="27">
        <v>1.9148910490642644E-4</v>
      </c>
    </row>
    <row r="2597" spans="1:14" x14ac:dyDescent="0.15">
      <c r="A2597" s="23" t="str">
        <f>HYPERLINK("https://www.spark-marketing.ru/Card/Person/10487", "ФГУП ""ОХРАНА"" РОСГВАРДИИ")</f>
        <v>ФГУП "ОХРАНА" РОСГВАРДИИ</v>
      </c>
      <c r="B2597" s="24" t="s">
        <v>779</v>
      </c>
      <c r="C2597" s="25">
        <v>820000</v>
      </c>
      <c r="D2597" s="22" t="s">
        <v>3847</v>
      </c>
      <c r="E2597" s="22" t="s">
        <v>3848</v>
      </c>
      <c r="F2597" s="23" t="str">
        <f>HYPERLINK("https://www.spark-marketing.ru/Card/Lot/72944800", "Поставка оконных жалюзи для нужд Центра охраны объектов связи")</f>
        <v>Поставка оконных жалюзи для нужд Центра охраны объектов связи</v>
      </c>
      <c r="G2597" s="22" t="s">
        <v>55</v>
      </c>
      <c r="H2597" s="22" t="s">
        <v>55</v>
      </c>
      <c r="I2597" s="26">
        <v>43698</v>
      </c>
      <c r="J2597" s="28" t="s">
        <v>52</v>
      </c>
      <c r="K2597" s="28" t="s">
        <v>52</v>
      </c>
      <c r="L2597" s="28" t="s">
        <v>52</v>
      </c>
      <c r="M2597" s="28" t="s">
        <v>52</v>
      </c>
      <c r="N2597" s="28" t="s">
        <v>52</v>
      </c>
    </row>
    <row r="2598" spans="1:14" x14ac:dyDescent="0.15">
      <c r="A2598" s="23" t="str">
        <f>HYPERLINK("https://www.spark-marketing.ru/Card/Person/330018", "ФЛ Калининская АЭС")</f>
        <v>ФЛ Калининская АЭС</v>
      </c>
      <c r="B2598" s="24" t="s">
        <v>211</v>
      </c>
      <c r="C2598" s="28" t="s">
        <v>52</v>
      </c>
      <c r="D2598" s="22" t="s">
        <v>3849</v>
      </c>
      <c r="E2598" s="22" t="s">
        <v>53</v>
      </c>
      <c r="F2598" s="23" t="str">
        <f>HYPERLINK("https://www.spark-marketing.ru/Card/Lot/72967356", "Оказание услуг по техническому обслуживанию и поддержанию эксплуатации инженерно-технических средств охраны внешних объектов Калининской АЭС (1325771)")</f>
        <v>Оказание услуг по техническому обслуживанию и поддержанию эксплуатации инженерно-технических средств охраны внешних объектов Калининской АЭС (1325771)</v>
      </c>
      <c r="G2598" s="22" t="s">
        <v>55</v>
      </c>
      <c r="H2598" s="22" t="s">
        <v>55</v>
      </c>
      <c r="I2598" s="26">
        <v>43699.529386574097</v>
      </c>
      <c r="J2598" s="28" t="s">
        <v>52</v>
      </c>
      <c r="K2598" s="28" t="s">
        <v>52</v>
      </c>
      <c r="L2598" s="28" t="s">
        <v>52</v>
      </c>
      <c r="M2598" s="28" t="s">
        <v>52</v>
      </c>
      <c r="N2598" s="28" t="s">
        <v>52</v>
      </c>
    </row>
    <row r="2599" spans="1:14" x14ac:dyDescent="0.2">
      <c r="A2599" s="23" t="str">
        <f>HYPERLINK("https://www.spark-marketing.ru/Card/Person/107173", "ФГУП ""УВО МИНТРАНСА РОССИИ""")</f>
        <v>ФГУП "УВО МИНТРАНСА РОССИИ"</v>
      </c>
      <c r="B2599" s="24" t="s">
        <v>1472</v>
      </c>
      <c r="C2599" s="25">
        <v>340484272.25</v>
      </c>
      <c r="D2599" s="22" t="s">
        <v>3850</v>
      </c>
      <c r="E2599" s="22" t="s">
        <v>606</v>
      </c>
      <c r="F2599" s="23" t="str">
        <f>HYPERLINK("https://www.spark-marketing.ru/Card/Lot/72975842", "Выполнение комплекса строительно-монтажных работ на объекте: «Технические средства обеспечения транспортной безопасности при строительстве железнодорожных подходов к транспортному переходу через Керченский пролив». Этап 2: Строительство соответствующ...")</f>
        <v>Выполнение комплекса строительно-монтажных работ на объекте: «Технические средства обеспечения транспортной безопасности при строительстве железнодорожных подходов к транспортному переходу через Керченский пролив». Этап 2: Строительство соответствующ...</v>
      </c>
      <c r="G2599" s="22" t="s">
        <v>55</v>
      </c>
      <c r="H2599" s="22" t="s">
        <v>55</v>
      </c>
      <c r="I2599" s="26">
        <v>43699</v>
      </c>
      <c r="J2599" s="28" t="s">
        <v>52</v>
      </c>
      <c r="K2599" s="28" t="s">
        <v>52</v>
      </c>
      <c r="L2599" s="22" t="s">
        <v>10</v>
      </c>
      <c r="M2599" s="25">
        <v>339000000</v>
      </c>
      <c r="N2599" s="27">
        <v>4.3592975387426285E-3</v>
      </c>
    </row>
    <row r="2600" spans="1:14" x14ac:dyDescent="0.2">
      <c r="A2600" s="23" t="str">
        <f>HYPERLINK("https://www.spark-marketing.ru/Card/Person/88492", "АО ""СХЗ""")</f>
        <v>АО "СХЗ"</v>
      </c>
      <c r="B2600" s="24" t="s">
        <v>3851</v>
      </c>
      <c r="C2600" s="25">
        <v>12982350</v>
      </c>
      <c r="D2600" s="22" t="s">
        <v>3852</v>
      </c>
      <c r="E2600" s="22" t="s">
        <v>3853</v>
      </c>
      <c r="F2600" s="23" t="str">
        <f>HYPERLINK("https://www.spark-marketing.ru/Card/Lot/72954432", "Оказание услуг по сопровождению груза, перевозимого железнодорожным транспортом")</f>
        <v>Оказание услуг по сопровождению груза, перевозимого железнодорожным транспортом</v>
      </c>
      <c r="G2600" s="22" t="s">
        <v>100</v>
      </c>
      <c r="H2600" s="22" t="s">
        <v>100</v>
      </c>
      <c r="I2600" s="26">
        <v>43699</v>
      </c>
      <c r="J2600" s="28" t="s">
        <v>52</v>
      </c>
      <c r="K2600" s="28" t="s">
        <v>52</v>
      </c>
      <c r="L2600" s="22" t="s">
        <v>10</v>
      </c>
      <c r="M2600" s="25">
        <v>9260700</v>
      </c>
      <c r="N2600" s="27">
        <v>0.28666997885590823</v>
      </c>
    </row>
    <row r="2601" spans="1:14" x14ac:dyDescent="0.2">
      <c r="A2601" s="23" t="str">
        <f>HYPERLINK("https://www.spark-marketing.ru/Card/Person/56453", "АО ""МОСВОДОКАНАЛ""")</f>
        <v>АО "МОСВОДОКАНАЛ"</v>
      </c>
      <c r="B2601" s="24" t="s">
        <v>528</v>
      </c>
      <c r="C2601" s="25">
        <v>2220000</v>
      </c>
      <c r="D2601" s="22" t="s">
        <v>3854</v>
      </c>
      <c r="E2601" s="22" t="s">
        <v>530</v>
      </c>
      <c r="F2601" s="23" t="str">
        <f>HYPERLINK("https://www.spark-marketing.ru/Card/Lot/72961834", "Выполнение комплекса работ по выполнению требований природоохранного законодательства в области охраны атмосферного воздуха для объектов ПУ ""Зеленоградводоканал"" АО ""Мосводоканал""")</f>
        <v>Выполнение комплекса работ по выполнению требований природоохранного законодательства в области охраны атмосферного воздуха для объектов ПУ "Зеленоградводоканал" АО "Мосводоканал"</v>
      </c>
      <c r="G2601" s="22" t="s">
        <v>55</v>
      </c>
      <c r="H2601" s="22" t="s">
        <v>55</v>
      </c>
      <c r="I2601" s="26">
        <v>43699</v>
      </c>
      <c r="J2601" s="28" t="s">
        <v>52</v>
      </c>
      <c r="K2601" s="28" t="s">
        <v>52</v>
      </c>
      <c r="L2601" s="22" t="s">
        <v>10</v>
      </c>
      <c r="M2601" s="25">
        <v>2200000</v>
      </c>
      <c r="N2601" s="27">
        <v>9.0090090090090089E-3</v>
      </c>
    </row>
    <row r="2602" spans="1:14" x14ac:dyDescent="0.2">
      <c r="A2602" s="23" t="str">
        <f>HYPERLINK("https://www.spark-marketing.ru/Card/Person/11733", "РТУ МИРЭА")</f>
        <v>РТУ МИРЭА</v>
      </c>
      <c r="B2602" s="24" t="s">
        <v>3855</v>
      </c>
      <c r="C2602" s="25">
        <v>4389244.8</v>
      </c>
      <c r="D2602" s="22" t="s">
        <v>3856</v>
      </c>
      <c r="E2602" s="22" t="s">
        <v>49</v>
      </c>
      <c r="F2602" s="23" t="str">
        <f>HYPERLINK("https://www.spark-marketing.ru/Card/Lot/72975377", "Выполнение работ по установке систем контроля доступа и видеонаблюдения на объекте РТУ МИРЭА")</f>
        <v>Выполнение работ по установке систем контроля доступа и видеонаблюдения на объекте РТУ МИРЭА</v>
      </c>
      <c r="G2602" s="22" t="s">
        <v>55</v>
      </c>
      <c r="H2602" s="22" t="s">
        <v>55</v>
      </c>
      <c r="I2602" s="26">
        <v>43699</v>
      </c>
      <c r="J2602" s="28" t="s">
        <v>52</v>
      </c>
      <c r="K2602" s="28" t="s">
        <v>52</v>
      </c>
      <c r="L2602" s="22" t="s">
        <v>10</v>
      </c>
      <c r="M2602" s="25">
        <v>4389244.8</v>
      </c>
      <c r="N2602" s="27">
        <v>0</v>
      </c>
    </row>
    <row r="2603" spans="1:14" x14ac:dyDescent="0.2">
      <c r="A2603" s="23" t="str">
        <f>HYPERLINK("https://www.spark-marketing.ru/Card/Person/10780", "АО ""НАЦИМБИО""")</f>
        <v>АО "НАЦИМБИО"</v>
      </c>
      <c r="B2603" s="24" t="s">
        <v>3857</v>
      </c>
      <c r="C2603" s="25">
        <v>3947329</v>
      </c>
      <c r="D2603" s="22" t="s">
        <v>3858</v>
      </c>
      <c r="E2603" s="22" t="s">
        <v>144</v>
      </c>
      <c r="F2603" s="23" t="str">
        <f>HYPERLINK("https://www.spark-marketing.ru/Card/Lot/72963389", "0900-2019-00288 Оказание охранных услуг на объекте незавершенного строительства в г. Кирове")</f>
        <v>0900-2019-00288 Оказание охранных услуг на объекте незавершенного строительства в г. Кирове</v>
      </c>
      <c r="G2603" s="22" t="s">
        <v>556</v>
      </c>
      <c r="H2603" s="22" t="s">
        <v>557</v>
      </c>
      <c r="I2603" s="26">
        <v>43699</v>
      </c>
      <c r="J2603" s="28" t="s">
        <v>52</v>
      </c>
      <c r="K2603" s="28" t="s">
        <v>52</v>
      </c>
      <c r="L2603" s="22" t="s">
        <v>10</v>
      </c>
      <c r="M2603" s="25">
        <v>3567915</v>
      </c>
      <c r="N2603" s="27">
        <v>9.6119173243476796E-2</v>
      </c>
    </row>
    <row r="2604" spans="1:14" x14ac:dyDescent="0.15">
      <c r="A2604" s="23" t="str">
        <f>HYPERLINK("https://www.spark-marketing.ru/Card/Person/2097942", "АО ""КОНЦЕРН РОСЭНЕРГОАТОМ""")</f>
        <v>АО "КОНЦЕРН РОСЭНЕРГОАТОМ"</v>
      </c>
      <c r="B2604" s="24" t="s">
        <v>211</v>
      </c>
      <c r="C2604" s="28" t="s">
        <v>52</v>
      </c>
      <c r="D2604" s="22" t="s">
        <v>3859</v>
      </c>
      <c r="E2604" s="22" t="s">
        <v>68</v>
      </c>
      <c r="F2604" s="23" t="str">
        <f>HYPERLINK("https://www.spark-marketing.ru/Card/Lot/72947605", "Оказание услуг по охране объектов строительной площадки Балтийской АЭС, обеспечению пропускного и внутриобъектового режимов")</f>
        <v>Оказание услуг по охране объектов строительной площадки Балтийской АЭС, обеспечению пропускного и внутриобъектового режимов</v>
      </c>
      <c r="G2604" s="22" t="s">
        <v>55</v>
      </c>
      <c r="H2604" s="22" t="s">
        <v>55</v>
      </c>
      <c r="I2604" s="26">
        <v>43698.748819444401</v>
      </c>
      <c r="J2604" s="28" t="s">
        <v>52</v>
      </c>
      <c r="K2604" s="28" t="s">
        <v>52</v>
      </c>
      <c r="L2604" s="28" t="s">
        <v>52</v>
      </c>
      <c r="M2604" s="28" t="s">
        <v>52</v>
      </c>
      <c r="N2604" s="28" t="s">
        <v>52</v>
      </c>
    </row>
    <row r="2605" spans="1:14" x14ac:dyDescent="0.15">
      <c r="A2605" s="23" t="str">
        <f>HYPERLINK("https://www.spark-marketing.ru/Card/Person/6488571", "ФЛ АО КОНЦЕРН РОСЭНЕРГОАТОМ ДИРЕКЦИЯ СТРОЯЩЕЙСЯ БАЛТИЙСКОЙ АТОМНОЙ СТАНЦИИ")</f>
        <v>ФЛ АО КОНЦЕРН РОСЭНЕРГОАТОМ ДИРЕКЦИЯ СТРОЯЩЕЙСЯ БАЛТИЙСКОЙ АТОМНОЙ СТАНЦИИ</v>
      </c>
      <c r="B2605" s="28" t="s">
        <v>52</v>
      </c>
      <c r="C2605" s="25">
        <v>0</v>
      </c>
      <c r="D2605" s="22" t="s">
        <v>3860</v>
      </c>
      <c r="E2605" s="22" t="s">
        <v>53</v>
      </c>
      <c r="F2605" s="23" t="str">
        <f>HYPERLINK("https://www.spark-marketing.ru/Card/Lot/72948645", "мониторинг цен в электронной форме на Оказание услуг по охране объектов строительной площадки Балтийской АЭС, обеспечению пропускного и внутриобъектового режимов")</f>
        <v>мониторинг цен в электронной форме на Оказание услуг по охране объектов строительной площадки Балтийской АЭС, обеспечению пропускного и внутриобъектового режимов</v>
      </c>
      <c r="G2605" s="22" t="s">
        <v>52</v>
      </c>
      <c r="H2605" s="22" t="s">
        <v>52</v>
      </c>
      <c r="I2605" s="26">
        <v>43698.7484259259</v>
      </c>
      <c r="J2605" s="28" t="s">
        <v>52</v>
      </c>
      <c r="K2605" s="28" t="s">
        <v>52</v>
      </c>
      <c r="L2605" s="28" t="s">
        <v>52</v>
      </c>
      <c r="M2605" s="28" t="s">
        <v>52</v>
      </c>
      <c r="N2605" s="28" t="s">
        <v>52</v>
      </c>
    </row>
    <row r="2606" spans="1:14" x14ac:dyDescent="0.15">
      <c r="A2606" s="23" t="str">
        <f>HYPERLINK("https://www.spark-marketing.ru/Card/Person/54641", "ГКОУ МО НШДС № 737")</f>
        <v>ГКОУ МО НШДС № 737</v>
      </c>
      <c r="B2606" s="24" t="s">
        <v>2389</v>
      </c>
      <c r="C2606" s="25">
        <v>144000</v>
      </c>
      <c r="D2606" s="22" t="s">
        <v>3861</v>
      </c>
      <c r="E2606" s="22" t="s">
        <v>194</v>
      </c>
      <c r="F2606" s="23" t="str">
        <f>HYPERLINK("https://www.spark-marketing.ru/Card/Lot/72945193", "Установка 6 видеокамер и получение видеоизображения в системе ""Безопасный регион"", хранение данных")</f>
        <v>Установка 6 видеокамер и получение видеоизображения в системе "Безопасный регион", хранение данных</v>
      </c>
      <c r="G2606" s="22" t="s">
        <v>55</v>
      </c>
      <c r="H2606" s="22" t="s">
        <v>55</v>
      </c>
      <c r="I2606" s="26">
        <v>43698.722187500003</v>
      </c>
      <c r="J2606" s="28" t="s">
        <v>52</v>
      </c>
      <c r="K2606" s="28" t="s">
        <v>52</v>
      </c>
      <c r="L2606" s="28" t="s">
        <v>52</v>
      </c>
      <c r="M2606" s="28" t="s">
        <v>52</v>
      </c>
      <c r="N2606" s="28" t="s">
        <v>52</v>
      </c>
    </row>
    <row r="2607" spans="1:14" x14ac:dyDescent="0.15">
      <c r="A2607" s="23" t="str">
        <f>HYPERLINK("https://www.spark-marketing.ru/Card/Person/111169", "МБДОУ № 60 ""ТЕРЕМОК""")</f>
        <v>МБДОУ № 60 "ТЕРЕМОК"</v>
      </c>
      <c r="B2607" s="24" t="s">
        <v>3862</v>
      </c>
      <c r="C2607" s="25">
        <v>35000</v>
      </c>
      <c r="D2607" s="22" t="s">
        <v>3863</v>
      </c>
      <c r="E2607" s="22" t="s">
        <v>194</v>
      </c>
      <c r="F2607" s="23" t="str">
        <f>HYPERLINK("https://www.spark-marketing.ru/Card/Lot/72940846", "Покупка и установка видеорегистратора")</f>
        <v>Покупка и установка видеорегистратора</v>
      </c>
      <c r="G2607" s="22" t="s">
        <v>50</v>
      </c>
      <c r="H2607" s="22" t="s">
        <v>323</v>
      </c>
      <c r="I2607" s="26">
        <v>43698.6703935185</v>
      </c>
      <c r="J2607" s="28" t="s">
        <v>52</v>
      </c>
      <c r="K2607" s="28" t="s">
        <v>52</v>
      </c>
      <c r="L2607" s="28" t="s">
        <v>52</v>
      </c>
      <c r="M2607" s="28" t="s">
        <v>52</v>
      </c>
      <c r="N2607" s="28" t="s">
        <v>52</v>
      </c>
    </row>
    <row r="2608" spans="1:14" x14ac:dyDescent="0.15">
      <c r="A2608" s="23" t="str">
        <f>HYPERLINK("https://www.spark-marketing.ru/Card/Person/1763764", "АОУ ДЕТСКИЙ САД № 25")</f>
        <v>АОУ ДЕТСКИЙ САД № 25</v>
      </c>
      <c r="B2608" s="24" t="s">
        <v>3864</v>
      </c>
      <c r="C2608" s="25">
        <v>93940</v>
      </c>
      <c r="D2608" s="22" t="s">
        <v>3865</v>
      </c>
      <c r="E2608" s="22" t="s">
        <v>84</v>
      </c>
      <c r="F2608" s="23" t="str">
        <f>HYPERLINK("https://www.spark-marketing.ru/Card/Lot/72943296", "Выполнение работ по установке системы видеонаблюдения (дооснащение)")</f>
        <v>Выполнение работ по установке системы видеонаблюдения (дооснащение)</v>
      </c>
      <c r="G2608" s="22" t="s">
        <v>50</v>
      </c>
      <c r="H2608" s="22" t="s">
        <v>3866</v>
      </c>
      <c r="I2608" s="26">
        <v>43698.701412037</v>
      </c>
      <c r="J2608" s="28" t="s">
        <v>52</v>
      </c>
      <c r="K2608" s="28" t="s">
        <v>52</v>
      </c>
      <c r="L2608" s="28" t="s">
        <v>52</v>
      </c>
      <c r="M2608" s="28" t="s">
        <v>52</v>
      </c>
      <c r="N2608" s="28" t="s">
        <v>52</v>
      </c>
    </row>
    <row r="2609" spans="1:14" x14ac:dyDescent="0.15">
      <c r="A2609" s="23" t="str">
        <f t="shared" ref="A2609:A2621" si="113">HYPERLINK("https://www.spark-marketing.ru/Card/Person/810", "ГБУЗ ""ТКБ № 3 ДЗМ""")</f>
        <v>ГБУЗ "ТКБ № 3 ДЗМ"</v>
      </c>
      <c r="B2609" s="24" t="s">
        <v>3867</v>
      </c>
      <c r="C2609" s="25">
        <v>1407583.67</v>
      </c>
      <c r="D2609" s="22" t="s">
        <v>3868</v>
      </c>
      <c r="E2609" s="22" t="s">
        <v>103</v>
      </c>
      <c r="F2609" s="23" t="str">
        <f t="shared" ref="F2609:F2621" si="114">HYPERLINK("https://www.spark-marketing.ru/Card/Lot/72945315", "Оказание услуг на техническое обслуживание систем видеонаблюдения в ГБУЗ ""ТКБ №3 ДЗМ"" ОСП ""Туберкулезный санаторий """)</f>
        <v>Оказание услуг на техническое обслуживание систем видеонаблюдения в ГБУЗ "ТКБ №3 ДЗМ" ОСП "Туберкулезный санаторий "</v>
      </c>
      <c r="G2609" s="22" t="s">
        <v>50</v>
      </c>
      <c r="H2609" s="22" t="s">
        <v>3869</v>
      </c>
      <c r="I2609" s="26">
        <v>43698.679699074099</v>
      </c>
      <c r="J2609" s="28" t="s">
        <v>52</v>
      </c>
      <c r="K2609" s="28" t="s">
        <v>52</v>
      </c>
      <c r="L2609" s="28" t="s">
        <v>52</v>
      </c>
      <c r="M2609" s="28" t="s">
        <v>52</v>
      </c>
      <c r="N2609" s="28" t="s">
        <v>52</v>
      </c>
    </row>
    <row r="2610" spans="1:14" hidden="1" outlineLevel="1" x14ac:dyDescent="0.2">
      <c r="A2610" s="23" t="str">
        <f t="shared" si="113"/>
        <v>ГБУЗ "ТКБ № 3 ДЗМ"</v>
      </c>
      <c r="B2610" s="24" t="s">
        <v>3867</v>
      </c>
      <c r="C2610" s="25">
        <v>1407583.67</v>
      </c>
      <c r="D2610" s="22" t="s">
        <v>3868</v>
      </c>
      <c r="E2610" s="22" t="s">
        <v>103</v>
      </c>
      <c r="F2610" s="23" t="str">
        <f t="shared" si="114"/>
        <v>Оказание услуг на техническое обслуживание систем видеонаблюдения в ГБУЗ "ТКБ №3 ДЗМ" ОСП "Туберкулезный санаторий "</v>
      </c>
      <c r="G2610" s="22" t="s">
        <v>50</v>
      </c>
      <c r="H2610" s="22" t="s">
        <v>3869</v>
      </c>
      <c r="I2610" s="26">
        <v>43698.679699074099</v>
      </c>
      <c r="J2610" s="23" t="str">
        <f>HYPERLINK("https://www.spark-marketing.ru/Card/Person/6489162", "ООО ""АЛАС ЭНЕРГИЯ""")</f>
        <v>ООО "АЛАС ЭНЕРГИЯ"</v>
      </c>
      <c r="K2610" s="24" t="s">
        <v>3870</v>
      </c>
      <c r="L2610" s="28" t="s">
        <v>52</v>
      </c>
      <c r="M2610" s="25">
        <v>1351280.31</v>
      </c>
      <c r="N2610" s="27">
        <v>4.0000009377772906E-2</v>
      </c>
    </row>
    <row r="2611" spans="1:14" hidden="1" outlineLevel="1" x14ac:dyDescent="0.2">
      <c r="A2611" s="23" t="str">
        <f t="shared" si="113"/>
        <v>ГБУЗ "ТКБ № 3 ДЗМ"</v>
      </c>
      <c r="B2611" s="24" t="s">
        <v>3867</v>
      </c>
      <c r="C2611" s="25">
        <v>1407583.67</v>
      </c>
      <c r="D2611" s="22" t="s">
        <v>3868</v>
      </c>
      <c r="E2611" s="22" t="s">
        <v>103</v>
      </c>
      <c r="F2611" s="23" t="str">
        <f t="shared" si="114"/>
        <v>Оказание услуг на техническое обслуживание систем видеонаблюдения в ГБУЗ "ТКБ №3 ДЗМ" ОСП "Туберкулезный санаторий "</v>
      </c>
      <c r="G2611" s="22" t="s">
        <v>50</v>
      </c>
      <c r="H2611" s="22" t="s">
        <v>3869</v>
      </c>
      <c r="I2611" s="26">
        <v>43698.679699074099</v>
      </c>
      <c r="J2611" s="23" t="str">
        <f>HYPERLINK("https://www.spark-marketing.ru/Card/Person/6443330", "ООО ""ПОЛИСЕРВИС""")</f>
        <v>ООО "ПОЛИСЕРВИС"</v>
      </c>
      <c r="K2611" s="24" t="s">
        <v>3871</v>
      </c>
      <c r="L2611" s="28" t="s">
        <v>52</v>
      </c>
      <c r="M2611" s="25">
        <v>1069763.57</v>
      </c>
      <c r="N2611" s="27">
        <v>0.24000001364039694</v>
      </c>
    </row>
    <row r="2612" spans="1:14" hidden="1" outlineLevel="1" x14ac:dyDescent="0.2">
      <c r="A2612" s="23" t="str">
        <f t="shared" si="113"/>
        <v>ГБУЗ "ТКБ № 3 ДЗМ"</v>
      </c>
      <c r="B2612" s="24" t="s">
        <v>3867</v>
      </c>
      <c r="C2612" s="25">
        <v>1407583.67</v>
      </c>
      <c r="D2612" s="22" t="s">
        <v>3868</v>
      </c>
      <c r="E2612" s="22" t="s">
        <v>103</v>
      </c>
      <c r="F2612" s="23" t="str">
        <f t="shared" si="114"/>
        <v>Оказание услуг на техническое обслуживание систем видеонаблюдения в ГБУЗ "ТКБ №3 ДЗМ" ОСП "Туберкулезный санаторий "</v>
      </c>
      <c r="G2612" s="22" t="s">
        <v>50</v>
      </c>
      <c r="H2612" s="22" t="s">
        <v>3869</v>
      </c>
      <c r="I2612" s="26">
        <v>43698.679699074099</v>
      </c>
      <c r="J2612" s="23" t="str">
        <f>HYPERLINK("https://www.spark-marketing.ru/Card/Person/6459940", "ООО ""СК ""АЛЬЯНС""")</f>
        <v>ООО "СК "АЛЬЯНС"</v>
      </c>
      <c r="K2612" s="24" t="s">
        <v>3872</v>
      </c>
      <c r="L2612" s="28" t="s">
        <v>52</v>
      </c>
      <c r="M2612" s="25">
        <v>1266825.29</v>
      </c>
      <c r="N2612" s="27">
        <v>0.10000000923568543</v>
      </c>
    </row>
    <row r="2613" spans="1:14" hidden="1" outlineLevel="1" x14ac:dyDescent="0.2">
      <c r="A2613" s="23" t="str">
        <f t="shared" si="113"/>
        <v>ГБУЗ "ТКБ № 3 ДЗМ"</v>
      </c>
      <c r="B2613" s="24" t="s">
        <v>3867</v>
      </c>
      <c r="C2613" s="25">
        <v>1407583.67</v>
      </c>
      <c r="D2613" s="22" t="s">
        <v>3868</v>
      </c>
      <c r="E2613" s="22" t="s">
        <v>103</v>
      </c>
      <c r="F2613" s="23" t="str">
        <f t="shared" si="114"/>
        <v>Оказание услуг на техническое обслуживание систем видеонаблюдения в ГБУЗ "ТКБ №3 ДЗМ" ОСП "Туберкулезный санаторий "</v>
      </c>
      <c r="G2613" s="22" t="s">
        <v>50</v>
      </c>
      <c r="H2613" s="22" t="s">
        <v>3869</v>
      </c>
      <c r="I2613" s="26">
        <v>43698.679699074099</v>
      </c>
      <c r="J2613" s="23" t="str">
        <f>HYPERLINK("https://www.spark-marketing.ru/Card/Person/1620277", "Ковров Георгий Юрьевич")</f>
        <v>Ковров Георгий Юрьевич</v>
      </c>
      <c r="K2613" s="24" t="s">
        <v>3873</v>
      </c>
      <c r="L2613" s="28" t="s">
        <v>52</v>
      </c>
      <c r="M2613" s="25">
        <v>240681.1</v>
      </c>
      <c r="N2613" s="27">
        <v>0.82901115924426716</v>
      </c>
    </row>
    <row r="2614" spans="1:14" hidden="1" outlineLevel="1" x14ac:dyDescent="0.2">
      <c r="A2614" s="23" t="str">
        <f t="shared" si="113"/>
        <v>ГБУЗ "ТКБ № 3 ДЗМ"</v>
      </c>
      <c r="B2614" s="24" t="s">
        <v>3867</v>
      </c>
      <c r="C2614" s="25">
        <v>1407583.67</v>
      </c>
      <c r="D2614" s="22" t="s">
        <v>3868</v>
      </c>
      <c r="E2614" s="22" t="s">
        <v>103</v>
      </c>
      <c r="F2614" s="23" t="str">
        <f t="shared" si="114"/>
        <v>Оказание услуг на техническое обслуживание систем видеонаблюдения в ГБУЗ "ТКБ №3 ДЗМ" ОСП "Туберкулезный санаторий "</v>
      </c>
      <c r="G2614" s="22" t="s">
        <v>50</v>
      </c>
      <c r="H2614" s="22" t="s">
        <v>3869</v>
      </c>
      <c r="I2614" s="26">
        <v>43698.679699074099</v>
      </c>
      <c r="J2614" s="23" t="str">
        <f>HYPERLINK("https://www.spark-marketing.ru/Card/Person/6316283", "Варзанова Екатерина Олеговна")</f>
        <v>Варзанова Екатерина Олеговна</v>
      </c>
      <c r="K2614" s="24" t="s">
        <v>2059</v>
      </c>
      <c r="L2614" s="28" t="s">
        <v>52</v>
      </c>
      <c r="M2614" s="25">
        <v>170301.9</v>
      </c>
      <c r="N2614" s="27">
        <v>0.87901117096648329</v>
      </c>
    </row>
    <row r="2615" spans="1:14" hidden="1" outlineLevel="1" x14ac:dyDescent="0.2">
      <c r="A2615" s="23" t="str">
        <f t="shared" si="113"/>
        <v>ГБУЗ "ТКБ № 3 ДЗМ"</v>
      </c>
      <c r="B2615" s="24" t="s">
        <v>3867</v>
      </c>
      <c r="C2615" s="25">
        <v>1407583.67</v>
      </c>
      <c r="D2615" s="22" t="s">
        <v>3868</v>
      </c>
      <c r="E2615" s="22" t="s">
        <v>103</v>
      </c>
      <c r="F2615" s="23" t="str">
        <f t="shared" si="114"/>
        <v>Оказание услуг на техническое обслуживание систем видеонаблюдения в ГБУЗ "ТКБ №3 ДЗМ" ОСП "Туберкулезный санаторий "</v>
      </c>
      <c r="G2615" s="22" t="s">
        <v>50</v>
      </c>
      <c r="H2615" s="22" t="s">
        <v>3869</v>
      </c>
      <c r="I2615" s="26">
        <v>43698.679699074099</v>
      </c>
      <c r="J2615" s="23" t="str">
        <f>HYPERLINK("https://www.spark-marketing.ru/Card/Person/6584283", "ООО ""БИЗНЕС СТРОЙ""")</f>
        <v>ООО "БИЗНЕС СТРОЙ"</v>
      </c>
      <c r="K2615" s="24" t="s">
        <v>3090</v>
      </c>
      <c r="L2615" s="28" t="s">
        <v>52</v>
      </c>
      <c r="M2615" s="25">
        <v>1055828.51</v>
      </c>
      <c r="N2615" s="27">
        <v>0.24990000061594916</v>
      </c>
    </row>
    <row r="2616" spans="1:14" hidden="1" outlineLevel="1" x14ac:dyDescent="0.2">
      <c r="A2616" s="23" t="str">
        <f t="shared" si="113"/>
        <v>ГБУЗ "ТКБ № 3 ДЗМ"</v>
      </c>
      <c r="B2616" s="24" t="s">
        <v>3867</v>
      </c>
      <c r="C2616" s="25">
        <v>1407583.67</v>
      </c>
      <c r="D2616" s="22" t="s">
        <v>3868</v>
      </c>
      <c r="E2616" s="22" t="s">
        <v>103</v>
      </c>
      <c r="F2616" s="23" t="str">
        <f t="shared" si="114"/>
        <v>Оказание услуг на техническое обслуживание систем видеонаблюдения в ГБУЗ "ТКБ №3 ДЗМ" ОСП "Туберкулезный санаторий "</v>
      </c>
      <c r="G2616" s="22" t="s">
        <v>50</v>
      </c>
      <c r="H2616" s="22" t="s">
        <v>3869</v>
      </c>
      <c r="I2616" s="26">
        <v>43698.679699074099</v>
      </c>
      <c r="J2616" s="23" t="str">
        <f>HYPERLINK("https://www.spark-marketing.ru/Card/Person/6442258", "ООО ""ВЕКТОР""")</f>
        <v>ООО "ВЕКТОР"</v>
      </c>
      <c r="K2616" s="24" t="s">
        <v>3874</v>
      </c>
      <c r="L2616" s="28" t="s">
        <v>52</v>
      </c>
      <c r="M2616" s="25">
        <v>1210000</v>
      </c>
      <c r="N2616" s="27">
        <v>0.14037081717493924</v>
      </c>
    </row>
    <row r="2617" spans="1:14" ht="12.75" hidden="1" outlineLevel="1" x14ac:dyDescent="0.2">
      <c r="A2617" s="23" t="str">
        <f t="shared" si="113"/>
        <v>ГБУЗ "ТКБ № 3 ДЗМ"</v>
      </c>
      <c r="B2617" s="24" t="s">
        <v>3867</v>
      </c>
      <c r="C2617" s="25">
        <v>1407583.67</v>
      </c>
      <c r="D2617" s="22" t="s">
        <v>3868</v>
      </c>
      <c r="E2617" s="22" t="s">
        <v>103</v>
      </c>
      <c r="F2617" s="23" t="str">
        <f t="shared" si="114"/>
        <v>Оказание услуг на техническое обслуживание систем видеонаблюдения в ГБУЗ "ТКБ №3 ДЗМ" ОСП "Туберкулезный санаторий "</v>
      </c>
      <c r="G2617" s="22" t="s">
        <v>50</v>
      </c>
      <c r="H2617" s="22" t="s">
        <v>3869</v>
      </c>
      <c r="I2617" s="26">
        <v>43698.679699074099</v>
      </c>
      <c r="J2617" s="23" t="str">
        <f>HYPERLINK("https://www.spark-marketing.ru/Card/Person/1380936", "ООО ""СТРОЙСНАБ""")</f>
        <v>ООО "СТРОЙСНАБ"</v>
      </c>
      <c r="K2617" s="24" t="s">
        <v>3266</v>
      </c>
      <c r="L2617" s="22" t="s">
        <v>10</v>
      </c>
      <c r="M2617" s="25">
        <v>163263.98000000001</v>
      </c>
      <c r="N2617" s="27">
        <v>0.88401117213870495</v>
      </c>
    </row>
    <row r="2618" spans="1:14" hidden="1" outlineLevel="1" x14ac:dyDescent="0.2">
      <c r="A2618" s="23" t="str">
        <f t="shared" si="113"/>
        <v>ГБУЗ "ТКБ № 3 ДЗМ"</v>
      </c>
      <c r="B2618" s="24" t="s">
        <v>3867</v>
      </c>
      <c r="C2618" s="25">
        <v>1407583.67</v>
      </c>
      <c r="D2618" s="22" t="s">
        <v>3868</v>
      </c>
      <c r="E2618" s="22" t="s">
        <v>103</v>
      </c>
      <c r="F2618" s="23" t="str">
        <f t="shared" si="114"/>
        <v>Оказание услуг на техническое обслуживание систем видеонаблюдения в ГБУЗ "ТКБ №3 ДЗМ" ОСП "Туберкулезный санаторий "</v>
      </c>
      <c r="G2618" s="22" t="s">
        <v>50</v>
      </c>
      <c r="H2618" s="22" t="s">
        <v>3869</v>
      </c>
      <c r="I2618" s="26">
        <v>43698.679699074099</v>
      </c>
      <c r="J2618" s="23" t="str">
        <f>HYPERLINK("https://www.spark-marketing.ru/Card/Person/118713", "ООО ""КРОСЭЛ""")</f>
        <v>ООО "КРОСЭЛ"</v>
      </c>
      <c r="K2618" s="24" t="s">
        <v>3875</v>
      </c>
      <c r="L2618" s="28" t="s">
        <v>52</v>
      </c>
      <c r="M2618" s="25">
        <v>1400000</v>
      </c>
      <c r="N2618" s="27">
        <v>5.3877223511693629E-3</v>
      </c>
    </row>
    <row r="2619" spans="1:14" hidden="1" outlineLevel="1" x14ac:dyDescent="0.2">
      <c r="A2619" s="23" t="str">
        <f t="shared" si="113"/>
        <v>ГБУЗ "ТКБ № 3 ДЗМ"</v>
      </c>
      <c r="B2619" s="24" t="s">
        <v>3867</v>
      </c>
      <c r="C2619" s="25">
        <v>1407583.67</v>
      </c>
      <c r="D2619" s="22" t="s">
        <v>3868</v>
      </c>
      <c r="E2619" s="22" t="s">
        <v>103</v>
      </c>
      <c r="F2619" s="23" t="str">
        <f t="shared" si="114"/>
        <v>Оказание услуг на техническое обслуживание систем видеонаблюдения в ГБУЗ "ТКБ №3 ДЗМ" ОСП "Туберкулезный санаторий "</v>
      </c>
      <c r="G2619" s="22" t="s">
        <v>50</v>
      </c>
      <c r="H2619" s="22" t="s">
        <v>3869</v>
      </c>
      <c r="I2619" s="26">
        <v>43698.679699074099</v>
      </c>
      <c r="J2619" s="23" t="str">
        <f>HYPERLINK("https://www.spark-marketing.ru/Card/Person/6503414", "ООО ""МОСПОЖСЕРВИС""")</f>
        <v>ООО "МОСПОЖСЕРВИС"</v>
      </c>
      <c r="K2619" s="24" t="s">
        <v>3876</v>
      </c>
      <c r="L2619" s="28" t="s">
        <v>52</v>
      </c>
      <c r="M2619" s="25">
        <v>177339.82</v>
      </c>
      <c r="N2619" s="27">
        <v>0.87401116979426163</v>
      </c>
    </row>
    <row r="2620" spans="1:14" hidden="1" outlineLevel="1" x14ac:dyDescent="0.2">
      <c r="A2620" s="23" t="str">
        <f t="shared" si="113"/>
        <v>ГБУЗ "ТКБ № 3 ДЗМ"</v>
      </c>
      <c r="B2620" s="24" t="s">
        <v>3867</v>
      </c>
      <c r="C2620" s="25">
        <v>1407583.67</v>
      </c>
      <c r="D2620" s="22" t="s">
        <v>3868</v>
      </c>
      <c r="E2620" s="22" t="s">
        <v>103</v>
      </c>
      <c r="F2620" s="23" t="str">
        <f t="shared" si="114"/>
        <v>Оказание услуг на техническое обслуживание систем видеонаблюдения в ГБУЗ "ТКБ №3 ДЗМ" ОСП "Туберкулезный санаторий "</v>
      </c>
      <c r="G2620" s="22" t="s">
        <v>50</v>
      </c>
      <c r="H2620" s="22" t="s">
        <v>3869</v>
      </c>
      <c r="I2620" s="26">
        <v>43698.679699074099</v>
      </c>
      <c r="J2620" s="23" t="str">
        <f>HYPERLINK("https://www.spark-marketing.ru/Card/Person/6685862", "Коврижных Роман Николаевич")</f>
        <v>Коврижных Роман Николаевич</v>
      </c>
      <c r="K2620" s="24" t="s">
        <v>3877</v>
      </c>
      <c r="L2620" s="28" t="s">
        <v>52</v>
      </c>
      <c r="M2620" s="25">
        <v>1337204.47</v>
      </c>
      <c r="N2620" s="27">
        <v>5.0000011722216131E-2</v>
      </c>
    </row>
    <row r="2621" spans="1:14" hidden="1" outlineLevel="1" x14ac:dyDescent="0.2">
      <c r="A2621" s="23" t="str">
        <f t="shared" si="113"/>
        <v>ГБУЗ "ТКБ № 3 ДЗМ"</v>
      </c>
      <c r="B2621" s="24" t="s">
        <v>3867</v>
      </c>
      <c r="C2621" s="25">
        <v>1407583.67</v>
      </c>
      <c r="D2621" s="22" t="s">
        <v>3868</v>
      </c>
      <c r="E2621" s="22" t="s">
        <v>103</v>
      </c>
      <c r="F2621" s="23" t="str">
        <f t="shared" si="114"/>
        <v>Оказание услуг на техническое обслуживание систем видеонаблюдения в ГБУЗ "ТКБ №3 ДЗМ" ОСП "Туберкулезный санаторий "</v>
      </c>
      <c r="G2621" s="22" t="s">
        <v>50</v>
      </c>
      <c r="H2621" s="22" t="s">
        <v>3869</v>
      </c>
      <c r="I2621" s="26">
        <v>43698.679699074099</v>
      </c>
      <c r="J2621" s="23" t="str">
        <f>HYPERLINK("https://www.spark-marketing.ru/Card/Person/505015", "ООО УК ""ДОМСЕРВИС""")</f>
        <v>ООО УК "ДОМСЕРВИС"</v>
      </c>
      <c r="K2621" s="24" t="s">
        <v>3878</v>
      </c>
      <c r="L2621" s="28" t="s">
        <v>52</v>
      </c>
      <c r="M2621" s="25">
        <v>1231635.69</v>
      </c>
      <c r="N2621" s="27">
        <v>0.12500001509679351</v>
      </c>
    </row>
    <row r="2622" spans="1:14" x14ac:dyDescent="0.15">
      <c r="A2622" s="23" t="str">
        <f>HYPERLINK("https://www.spark-marketing.ru/Card/Person/56191", "ГКОУ МО ""ВДОХНОВЕНИЕ""")</f>
        <v>ГКОУ МО "ВДОХНОВЕНИЕ"</v>
      </c>
      <c r="B2622" s="24" t="s">
        <v>3879</v>
      </c>
      <c r="C2622" s="25">
        <v>15000</v>
      </c>
      <c r="D2622" s="22" t="s">
        <v>3880</v>
      </c>
      <c r="E2622" s="22" t="s">
        <v>59</v>
      </c>
      <c r="F2622" s="23" t="str">
        <f>HYPERLINK("https://www.spark-marketing.ru/Card/Lot/72940957", "Закупка,установка охранной сигнализации в 2 кабинетах")</f>
        <v>Закупка,установка охранной сигнализации в 2 кабинетах</v>
      </c>
      <c r="G2622" s="22" t="s">
        <v>50</v>
      </c>
      <c r="H2622" s="22" t="s">
        <v>738</v>
      </c>
      <c r="I2622" s="26">
        <v>43698.649143518502</v>
      </c>
      <c r="J2622" s="28" t="s">
        <v>52</v>
      </c>
      <c r="K2622" s="28" t="s">
        <v>52</v>
      </c>
      <c r="L2622" s="28" t="s">
        <v>52</v>
      </c>
      <c r="M2622" s="28" t="s">
        <v>52</v>
      </c>
      <c r="N2622" s="28" t="s">
        <v>52</v>
      </c>
    </row>
    <row r="2623" spans="1:14" x14ac:dyDescent="0.15">
      <c r="A2623" s="23" t="str">
        <f>HYPERLINK("https://www.spark-marketing.ru/Card/Person/815986", "ОТДЕЛ МВД РОССИИ ПО АКТАНЫШСКОМУ РАЙОНУ")</f>
        <v>ОТДЕЛ МВД РОССИИ ПО АКТАНЫШСКОМУ РАЙОНУ</v>
      </c>
      <c r="B2623" s="24" t="s">
        <v>3881</v>
      </c>
      <c r="C2623" s="25">
        <v>14406.48</v>
      </c>
      <c r="D2623" s="22" t="s">
        <v>3882</v>
      </c>
      <c r="E2623" s="22" t="s">
        <v>3883</v>
      </c>
      <c r="F2623" s="23" t="str">
        <f>HYPERLINK("https://www.spark-marketing.ru/Card/Lot/72937755", "Услуги")</f>
        <v>Услуги</v>
      </c>
      <c r="G2623" s="22" t="s">
        <v>204</v>
      </c>
      <c r="H2623" s="22" t="s">
        <v>204</v>
      </c>
      <c r="I2623" s="26">
        <v>43698.608668981498</v>
      </c>
      <c r="J2623" s="28" t="s">
        <v>52</v>
      </c>
      <c r="K2623" s="28" t="s">
        <v>52</v>
      </c>
      <c r="L2623" s="28" t="s">
        <v>52</v>
      </c>
      <c r="M2623" s="28" t="s">
        <v>52</v>
      </c>
      <c r="N2623" s="28" t="s">
        <v>52</v>
      </c>
    </row>
    <row r="2624" spans="1:14" x14ac:dyDescent="0.15">
      <c r="A2624" s="23" t="str">
        <f>HYPERLINK("https://www.spark-marketing.ru/Card/Person/7956", "МБУ ""ЦБИО КРАСНОАРМЕЙСКОГО РАЙОНА ВОЛГОГРАДА""")</f>
        <v>МБУ "ЦБИО КРАСНОАРМЕЙСКОГО РАЙОНА ВОЛГОГРАДА"</v>
      </c>
      <c r="B2624" s="24" t="s">
        <v>3884</v>
      </c>
      <c r="C2624" s="25">
        <v>435042.67</v>
      </c>
      <c r="D2624" s="22" t="s">
        <v>3885</v>
      </c>
      <c r="E2624" s="22" t="s">
        <v>52</v>
      </c>
      <c r="F2624" s="23" t="str">
        <f>HYPERLINK("https://www.spark-marketing.ru/Card/Lot/72934475", "Установка дополнительных камер в систему видеонаблюдения общественной территории ""Пешеходная зона по улице 50 лет Октября (парк ""Юбилейный"") в Краснорамейском районе""")</f>
        <v>Установка дополнительных камер в систему видеонаблюдения общественной территории "Пешеходная зона по улице 50 лет Октября (парк "Юбилейный") в Краснорамейском районе"</v>
      </c>
      <c r="G2624" s="22" t="s">
        <v>343</v>
      </c>
      <c r="H2624" s="22" t="s">
        <v>344</v>
      </c>
      <c r="I2624" s="26">
        <v>43698.4281134259</v>
      </c>
      <c r="J2624" s="28" t="s">
        <v>52</v>
      </c>
      <c r="K2624" s="28" t="s">
        <v>52</v>
      </c>
      <c r="L2624" s="28" t="s">
        <v>52</v>
      </c>
      <c r="M2624" s="28" t="s">
        <v>52</v>
      </c>
      <c r="N2624" s="28" t="s">
        <v>52</v>
      </c>
    </row>
    <row r="2625" spans="1:14" hidden="1" outlineLevel="1" x14ac:dyDescent="0.2">
      <c r="A2625" s="23" t="str">
        <f>HYPERLINK("https://www.spark-marketing.ru/Card/Person/7956", "МБУ ""ЦБИО КРАСНОАРМЕЙСКОГО РАЙОНА ВОЛГОГРАДА""")</f>
        <v>МБУ "ЦБИО КРАСНОАРМЕЙСКОГО РАЙОНА ВОЛГОГРАДА"</v>
      </c>
      <c r="B2625" s="24" t="s">
        <v>3884</v>
      </c>
      <c r="C2625" s="25">
        <v>435042.67</v>
      </c>
      <c r="D2625" s="22" t="s">
        <v>3885</v>
      </c>
      <c r="E2625" s="22" t="s">
        <v>52</v>
      </c>
      <c r="F2625" s="23" t="str">
        <f>HYPERLINK("https://www.spark-marketing.ru/Card/Lot/72934475", "Установка дополнительных камер в систему видеонаблюдения общественной территории ""Пешеходная зона по улице 50 лет Октября (парк ""Юбилейный"") в Краснорамейском районе""")</f>
        <v>Установка дополнительных камер в систему видеонаблюдения общественной территории "Пешеходная зона по улице 50 лет Октября (парк "Юбилейный") в Краснорамейском районе"</v>
      </c>
      <c r="G2625" s="22" t="s">
        <v>343</v>
      </c>
      <c r="H2625" s="22" t="s">
        <v>344</v>
      </c>
      <c r="I2625" s="26">
        <v>43698.4281134259</v>
      </c>
      <c r="J2625" s="23" t="str">
        <f>HYPERLINK("https://www.spark-marketing.ru/Card/Person/6081891", "ООО ""ВИКАМ""")</f>
        <v>ООО "ВИКАМ"</v>
      </c>
      <c r="K2625" s="24" t="s">
        <v>3886</v>
      </c>
      <c r="L2625" s="28" t="s">
        <v>52</v>
      </c>
      <c r="M2625" s="25">
        <v>426341.83</v>
      </c>
      <c r="N2625" s="27">
        <v>1.9999969198423687E-2</v>
      </c>
    </row>
    <row r="2626" spans="1:14" ht="12.75" hidden="1" outlineLevel="1" x14ac:dyDescent="0.2">
      <c r="A2626" s="23" t="str">
        <f>HYPERLINK("https://www.spark-marketing.ru/Card/Person/7956", "МБУ ""ЦБИО КРАСНОАРМЕЙСКОГО РАЙОНА ВОЛГОГРАДА""")</f>
        <v>МБУ "ЦБИО КРАСНОАРМЕЙСКОГО РАЙОНА ВОЛГОГРАДА"</v>
      </c>
      <c r="B2626" s="24" t="s">
        <v>3884</v>
      </c>
      <c r="C2626" s="25">
        <v>435042.67</v>
      </c>
      <c r="D2626" s="22" t="s">
        <v>3885</v>
      </c>
      <c r="E2626" s="22" t="s">
        <v>52</v>
      </c>
      <c r="F2626" s="23" t="str">
        <f>HYPERLINK("https://www.spark-marketing.ru/Card/Lot/72934475", "Установка дополнительных камер в систему видеонаблюдения общественной территории ""Пешеходная зона по улице 50 лет Октября (парк ""Юбилейный"") в Краснорамейском районе""")</f>
        <v>Установка дополнительных камер в систему видеонаблюдения общественной территории "Пешеходная зона по улице 50 лет Октября (парк "Юбилейный") в Краснорамейском районе"</v>
      </c>
      <c r="G2626" s="22" t="s">
        <v>343</v>
      </c>
      <c r="H2626" s="22" t="s">
        <v>344</v>
      </c>
      <c r="I2626" s="26">
        <v>43698.4281134259</v>
      </c>
      <c r="J2626" s="23" t="str">
        <f>HYPERLINK("https://www.spark-marketing.ru/Card/Person/4715617", "Стромова Юлия Михайловна")</f>
        <v>Стромова Юлия Михайловна</v>
      </c>
      <c r="K2626" s="24" t="s">
        <v>3887</v>
      </c>
      <c r="L2626" s="22" t="s">
        <v>10</v>
      </c>
      <c r="M2626" s="25">
        <v>426341.83</v>
      </c>
      <c r="N2626" s="27">
        <v>1.9999969198423687E-2</v>
      </c>
    </row>
    <row r="2627" spans="1:14" hidden="1" outlineLevel="1" x14ac:dyDescent="0.2">
      <c r="A2627" s="23" t="str">
        <f>HYPERLINK("https://www.spark-marketing.ru/Card/Person/7956", "МБУ ""ЦБИО КРАСНОАРМЕЙСКОГО РАЙОНА ВОЛГОГРАДА""")</f>
        <v>МБУ "ЦБИО КРАСНОАРМЕЙСКОГО РАЙОНА ВОЛГОГРАДА"</v>
      </c>
      <c r="B2627" s="24" t="s">
        <v>3884</v>
      </c>
      <c r="C2627" s="25">
        <v>435042.67</v>
      </c>
      <c r="D2627" s="22" t="s">
        <v>3885</v>
      </c>
      <c r="E2627" s="22" t="s">
        <v>52</v>
      </c>
      <c r="F2627" s="23" t="str">
        <f>HYPERLINK("https://www.spark-marketing.ru/Card/Lot/72934475", "Установка дополнительных камер в систему видеонаблюдения общественной территории ""Пешеходная зона по улице 50 лет Октября (парк ""Юбилейный"") в Краснорамейском районе""")</f>
        <v>Установка дополнительных камер в систему видеонаблюдения общественной территории "Пешеходная зона по улице 50 лет Октября (парк "Юбилейный") в Краснорамейском районе"</v>
      </c>
      <c r="G2627" s="22" t="s">
        <v>343</v>
      </c>
      <c r="H2627" s="22" t="s">
        <v>344</v>
      </c>
      <c r="I2627" s="26">
        <v>43698.4281134259</v>
      </c>
      <c r="J2627" s="23" t="str">
        <f>HYPERLINK("https://www.spark-marketing.ru/Card/Person/304840", "ООО ""ИННОВАЦИОННАЯ ФИРМА ""СИНТИЯ""")</f>
        <v>ООО "ИННОВАЦИОННАЯ ФИРМА "СИНТИЯ"</v>
      </c>
      <c r="K2627" s="24" t="s">
        <v>3888</v>
      </c>
      <c r="L2627" s="28" t="s">
        <v>52</v>
      </c>
      <c r="M2627" s="25">
        <v>428517.04</v>
      </c>
      <c r="N2627" s="27">
        <v>1.4999976898817765E-2</v>
      </c>
    </row>
    <row r="2628" spans="1:14" x14ac:dyDescent="0.15">
      <c r="A2628" s="23" t="str">
        <f>HYPERLINK("https://www.spark-marketing.ru/Card/Person/4348801", "ВЕРХОВНЫЙ СУД РСО-АЛАНИЯ")</f>
        <v>ВЕРХОВНЫЙ СУД РСО-АЛАНИЯ</v>
      </c>
      <c r="B2628" s="24" t="s">
        <v>3889</v>
      </c>
      <c r="C2628" s="25">
        <v>361641.28</v>
      </c>
      <c r="D2628" s="22" t="s">
        <v>3890</v>
      </c>
      <c r="E2628" s="22" t="s">
        <v>103</v>
      </c>
      <c r="F2628" s="23" t="str">
        <f>HYPERLINK("https://www.spark-marketing.ru/Card/Lot/72945589", "Оказание услуг по техническому обслуживанию системы  видеонаблюдения на объектах Верховного Суда РСО-Алания")</f>
        <v>Оказание услуг по техническому обслуживанию системы  видеонаблюдения на объектах Верховного Суда РСО-Алания</v>
      </c>
      <c r="G2628" s="22" t="s">
        <v>833</v>
      </c>
      <c r="H2628" s="22" t="s">
        <v>834</v>
      </c>
      <c r="I2628" s="26">
        <v>43698.541458333297</v>
      </c>
      <c r="J2628" s="28" t="s">
        <v>52</v>
      </c>
      <c r="K2628" s="28" t="s">
        <v>52</v>
      </c>
      <c r="L2628" s="28" t="s">
        <v>52</v>
      </c>
      <c r="M2628" s="28" t="s">
        <v>52</v>
      </c>
      <c r="N2628" s="28" t="s">
        <v>52</v>
      </c>
    </row>
    <row r="2629" spans="1:14" hidden="1" outlineLevel="1" x14ac:dyDescent="0.2">
      <c r="A2629" s="23" t="str">
        <f>HYPERLINK("https://www.spark-marketing.ru/Card/Person/4348801", "ВЕРХОВНЫЙ СУД РСО-АЛАНИЯ")</f>
        <v>ВЕРХОВНЫЙ СУД РСО-АЛАНИЯ</v>
      </c>
      <c r="B2629" s="24" t="s">
        <v>3889</v>
      </c>
      <c r="C2629" s="25">
        <v>361641.28</v>
      </c>
      <c r="D2629" s="22" t="s">
        <v>3890</v>
      </c>
      <c r="E2629" s="22" t="s">
        <v>103</v>
      </c>
      <c r="F2629" s="23" t="str">
        <f>HYPERLINK("https://www.spark-marketing.ru/Card/Lot/72945589", "Оказание услуг по техническому обслуживанию системы  видеонаблюдения на объектах Верховного Суда РСО-Алания")</f>
        <v>Оказание услуг по техническому обслуживанию системы  видеонаблюдения на объектах Верховного Суда РСО-Алания</v>
      </c>
      <c r="G2629" s="22" t="s">
        <v>833</v>
      </c>
      <c r="H2629" s="22" t="s">
        <v>834</v>
      </c>
      <c r="I2629" s="26">
        <v>43698.541458333297</v>
      </c>
      <c r="J2629" s="23" t="str">
        <f>HYPERLINK("https://www.spark-marketing.ru/Card/Person/142379", "СОРО ВДПО")</f>
        <v>СОРО ВДПО</v>
      </c>
      <c r="K2629" s="24" t="s">
        <v>3891</v>
      </c>
      <c r="L2629" s="28" t="s">
        <v>52</v>
      </c>
      <c r="M2629" s="25">
        <v>297037.94</v>
      </c>
      <c r="N2629" s="27">
        <v>0.1786392858691353</v>
      </c>
    </row>
    <row r="2630" spans="1:14" ht="12.75" hidden="1" outlineLevel="1" x14ac:dyDescent="0.2">
      <c r="A2630" s="23" t="str">
        <f>HYPERLINK("https://www.spark-marketing.ru/Card/Person/4348801", "ВЕРХОВНЫЙ СУД РСО-АЛАНИЯ")</f>
        <v>ВЕРХОВНЫЙ СУД РСО-АЛАНИЯ</v>
      </c>
      <c r="B2630" s="24" t="s">
        <v>3889</v>
      </c>
      <c r="C2630" s="25">
        <v>361641.28</v>
      </c>
      <c r="D2630" s="22" t="s">
        <v>3890</v>
      </c>
      <c r="E2630" s="22" t="s">
        <v>103</v>
      </c>
      <c r="F2630" s="23" t="str">
        <f>HYPERLINK("https://www.spark-marketing.ru/Card/Lot/72945589", "Оказание услуг по техническому обслуживанию системы  видеонаблюдения на объектах Верховного Суда РСО-Алания")</f>
        <v>Оказание услуг по техническому обслуживанию системы  видеонаблюдения на объектах Верховного Суда РСО-Алания</v>
      </c>
      <c r="G2630" s="22" t="s">
        <v>833</v>
      </c>
      <c r="H2630" s="22" t="s">
        <v>834</v>
      </c>
      <c r="I2630" s="26">
        <v>43698.541458333297</v>
      </c>
      <c r="J2630" s="23" t="str">
        <f>HYPERLINK("https://www.spark-marketing.ru/Card/Person/6495409", "Зассеева Заира Сослановна")</f>
        <v>Зассеева Заира Сослановна</v>
      </c>
      <c r="K2630" s="24" t="s">
        <v>3892</v>
      </c>
      <c r="L2630" s="22" t="s">
        <v>10</v>
      </c>
      <c r="M2630" s="25">
        <v>295229.74</v>
      </c>
      <c r="N2630" s="27">
        <v>0.18363926817204054</v>
      </c>
    </row>
    <row r="2631" spans="1:14" hidden="1" outlineLevel="1" x14ac:dyDescent="0.2">
      <c r="A2631" s="23" t="str">
        <f>HYPERLINK("https://www.spark-marketing.ru/Card/Person/4348801", "ВЕРХОВНЫЙ СУД РСО-АЛАНИЯ")</f>
        <v>ВЕРХОВНЫЙ СУД РСО-АЛАНИЯ</v>
      </c>
      <c r="B2631" s="24" t="s">
        <v>3889</v>
      </c>
      <c r="C2631" s="25">
        <v>361641.28</v>
      </c>
      <c r="D2631" s="22" t="s">
        <v>3890</v>
      </c>
      <c r="E2631" s="22" t="s">
        <v>103</v>
      </c>
      <c r="F2631" s="23" t="str">
        <f>HYPERLINK("https://www.spark-marketing.ru/Card/Lot/72945589", "Оказание услуг по техническому обслуживанию системы  видеонаблюдения на объектах Верховного Суда РСО-Алания")</f>
        <v>Оказание услуг по техническому обслуживанию системы  видеонаблюдения на объектах Верховного Суда РСО-Алания</v>
      </c>
      <c r="G2631" s="22" t="s">
        <v>833</v>
      </c>
      <c r="H2631" s="22" t="s">
        <v>834</v>
      </c>
      <c r="I2631" s="26">
        <v>43698.541458333297</v>
      </c>
      <c r="J2631" s="23" t="str">
        <f>HYPERLINK("https://www.spark-marketing.ru/Card/Person/780600", "ООО ""КОНТИНЕНТ""")</f>
        <v>ООО "КОНТИНЕНТ"</v>
      </c>
      <c r="K2631" s="24" t="s">
        <v>1600</v>
      </c>
      <c r="L2631" s="28" t="s">
        <v>52</v>
      </c>
      <c r="M2631" s="25">
        <v>322705.91999999998</v>
      </c>
      <c r="N2631" s="27">
        <v>0.10766293051501201</v>
      </c>
    </row>
    <row r="2632" spans="1:14" x14ac:dyDescent="0.15">
      <c r="A2632" s="23" t="str">
        <f>HYPERLINK("https://www.spark-marketing.ru/Card/Person/1048390", "МБУ ""МФЦ ГОРОДСКОГО ОКРУГА ЛОСИНО-ПЕТРОВСКИЙ""")</f>
        <v>МБУ "МФЦ ГОРОДСКОГО ОКРУГА ЛОСИНО-ПЕТРОВСКИЙ"</v>
      </c>
      <c r="B2632" s="24" t="s">
        <v>3893</v>
      </c>
      <c r="C2632" s="25">
        <v>99695</v>
      </c>
      <c r="D2632" s="22" t="s">
        <v>3894</v>
      </c>
      <c r="E2632" s="22" t="s">
        <v>59</v>
      </c>
      <c r="F2632" s="23" t="str">
        <f>HYPERLINK("https://www.spark-marketing.ru/Card/Lot/72939106", "Охранные услуги")</f>
        <v>Охранные услуги</v>
      </c>
      <c r="G2632" s="22" t="s">
        <v>50</v>
      </c>
      <c r="H2632" s="22" t="s">
        <v>3895</v>
      </c>
      <c r="I2632" s="26">
        <v>43698.607962962997</v>
      </c>
      <c r="J2632" s="28" t="s">
        <v>52</v>
      </c>
      <c r="K2632" s="28" t="s">
        <v>52</v>
      </c>
      <c r="L2632" s="28" t="s">
        <v>52</v>
      </c>
      <c r="M2632" s="28" t="s">
        <v>52</v>
      </c>
      <c r="N2632" s="28" t="s">
        <v>52</v>
      </c>
    </row>
    <row r="2633" spans="1:14" x14ac:dyDescent="0.15">
      <c r="A2633" s="23" t="str">
        <f>HYPERLINK("https://www.spark-marketing.ru/Card/Person/7267", "ВЕРХОВНЫЙ СУД УДМУРТСКОЙ РЕСПУБЛИКИ")</f>
        <v>ВЕРХОВНЫЙ СУД УДМУРТСКОЙ РЕСПУБЛИКИ</v>
      </c>
      <c r="B2633" s="24" t="s">
        <v>3896</v>
      </c>
      <c r="C2633" s="25">
        <v>65000</v>
      </c>
      <c r="D2633" s="22" t="s">
        <v>3897</v>
      </c>
      <c r="E2633" s="22" t="s">
        <v>194</v>
      </c>
      <c r="F2633" s="23" t="str">
        <f>HYPERLINK("https://www.spark-marketing.ru/Card/Lot/72934632", "Поставка и установка технических систем и средств защиты (блок бесперебойного питания для системы видеонаблюдения) в рамках федеральной целевой программы «Развитие судебной системы на 2013-2020 годы»")</f>
        <v>Поставка и установка технических систем и средств защиты (блок бесперебойного питания для системы видеонаблюдения) в рамках федеральной целевой программы «Развитие судебной системы на 2013-2020 годы»</v>
      </c>
      <c r="G2633" s="22" t="s">
        <v>96</v>
      </c>
      <c r="H2633" s="22" t="s">
        <v>96</v>
      </c>
      <c r="I2633" s="26">
        <v>43698.566238425898</v>
      </c>
      <c r="J2633" s="23" t="str">
        <f>HYPERLINK("https://www.spark-marketing.ru/Card/Person/87163", "ООО ""АЛЬТАИР""")</f>
        <v>ООО "АЛЬТАИР"</v>
      </c>
      <c r="K2633" s="24" t="s">
        <v>3898</v>
      </c>
      <c r="L2633" s="22" t="s">
        <v>10</v>
      </c>
      <c r="M2633" s="28" t="s">
        <v>52</v>
      </c>
      <c r="N2633" s="28" t="s">
        <v>52</v>
      </c>
    </row>
    <row r="2634" spans="1:14" x14ac:dyDescent="0.15">
      <c r="A2634" s="23" t="str">
        <f>HYPERLINK("https://www.spark-marketing.ru/Card/Person/4415898", "АО ""ВТЗ""")</f>
        <v>АО "ВТЗ"</v>
      </c>
      <c r="B2634" s="24" t="s">
        <v>2597</v>
      </c>
      <c r="C2634" s="25">
        <v>8300000</v>
      </c>
      <c r="D2634" s="22" t="s">
        <v>3899</v>
      </c>
      <c r="E2634" s="22" t="s">
        <v>53</v>
      </c>
      <c r="F2634" s="23" t="str">
        <f>HYPERLINK("https://www.spark-marketing.ru/Card/Lot/72934400", "выполнить комплекс работ по подготовке документации на самовольно построенные ВЛ 220 кВ «Трубная-2», ВЛ 220 кВ «Владимировка-2» ВЛ-110 кВ № 216, в границах Среднеахтубинского района: 1. Оформление схемы расположения и границ земельного участка, распо...")</f>
        <v>выполнить комплекс работ по подготовке документации на самовольно построенные ВЛ 220 кВ «Трубная-2», ВЛ 220 кВ «Владимировка-2» ВЛ-110 кВ № 216, в границах Среднеахтубинского района: 1. Оформление схемы расположения и границ земельного участка, распо...</v>
      </c>
      <c r="G2634" s="22" t="s">
        <v>343</v>
      </c>
      <c r="H2634" s="22" t="s">
        <v>2599</v>
      </c>
      <c r="I2634" s="26">
        <v>43698.568032407398</v>
      </c>
      <c r="J2634" s="28" t="s">
        <v>52</v>
      </c>
      <c r="K2634" s="28" t="s">
        <v>52</v>
      </c>
      <c r="L2634" s="28" t="s">
        <v>52</v>
      </c>
      <c r="M2634" s="28" t="s">
        <v>52</v>
      </c>
      <c r="N2634" s="28" t="s">
        <v>52</v>
      </c>
    </row>
    <row r="2635" spans="1:14" x14ac:dyDescent="0.15">
      <c r="A2635" s="23" t="str">
        <f>HYPERLINK("https://www.spark-marketing.ru/Card/Person/154320", "МЕЖМУНИЦИПАЛЬНЫЙ ОТДЕЛ МВД РОССИИ ПО ЗАТО Г. ТРЕХГОРНЫЙ ЧЕЛЯБИНСКОЙ ОБЛАСТИ")</f>
        <v>МЕЖМУНИЦИПАЛЬНЫЙ ОТДЕЛ МВД РОССИИ ПО ЗАТО Г. ТРЕХГОРНЫЙ ЧЕЛЯБИНСКОЙ ОБЛАСТИ</v>
      </c>
      <c r="B2635" s="24" t="s">
        <v>3900</v>
      </c>
      <c r="C2635" s="25">
        <v>15600</v>
      </c>
      <c r="D2635" s="22" t="s">
        <v>3901</v>
      </c>
      <c r="E2635" s="22" t="s">
        <v>103</v>
      </c>
      <c r="F2635" s="23" t="str">
        <f>HYPERLINK("https://www.spark-marketing.ru/Card/Lot/72932499", "Обслуживание систем видеонаблюдения, 1 усл. ед")</f>
        <v>Обслуживание систем видеонаблюдения, 1 усл. ед</v>
      </c>
      <c r="G2635" s="22" t="s">
        <v>60</v>
      </c>
      <c r="H2635" s="22" t="s">
        <v>3902</v>
      </c>
      <c r="I2635" s="26">
        <v>43698.559305555602</v>
      </c>
      <c r="J2635" s="28" t="s">
        <v>52</v>
      </c>
      <c r="K2635" s="28" t="s">
        <v>52</v>
      </c>
      <c r="L2635" s="28" t="s">
        <v>52</v>
      </c>
      <c r="M2635" s="28" t="s">
        <v>52</v>
      </c>
      <c r="N2635" s="28" t="s">
        <v>52</v>
      </c>
    </row>
    <row r="2636" spans="1:14" x14ac:dyDescent="0.15">
      <c r="A2636" s="23" t="str">
        <f>HYPERLINK("https://www.spark-marketing.ru/Card/Person/2097942", "АО ""КОНЦЕРН РОСЭНЕРГОАТОМ""")</f>
        <v>АО "КОНЦЕРН РОСЭНЕРГОАТОМ"</v>
      </c>
      <c r="B2636" s="24" t="s">
        <v>211</v>
      </c>
      <c r="C2636" s="28" t="s">
        <v>52</v>
      </c>
      <c r="D2636" s="22" t="s">
        <v>3903</v>
      </c>
      <c r="E2636" s="22" t="s">
        <v>103</v>
      </c>
      <c r="F2636" s="23" t="str">
        <f>HYPERLINK("https://www.spark-marketing.ru/Card/Lot/72941013", "Техническое обслуживание инженерно-технических средств охраны объектов Курской АЭС")</f>
        <v>Техническое обслуживание инженерно-технических средств охраны объектов Курской АЭС</v>
      </c>
      <c r="G2636" s="22" t="s">
        <v>55</v>
      </c>
      <c r="H2636" s="22" t="s">
        <v>55</v>
      </c>
      <c r="I2636" s="26">
        <v>43698.510231481501</v>
      </c>
      <c r="J2636" s="28" t="s">
        <v>52</v>
      </c>
      <c r="K2636" s="28" t="s">
        <v>52</v>
      </c>
      <c r="L2636" s="28" t="s">
        <v>52</v>
      </c>
      <c r="M2636" s="28" t="s">
        <v>52</v>
      </c>
      <c r="N2636" s="28" t="s">
        <v>52</v>
      </c>
    </row>
    <row r="2637" spans="1:14" x14ac:dyDescent="0.15">
      <c r="A2637" s="23" t="str">
        <f>HYPERLINK("https://www.spark-marketing.ru/Card/Person/1016771", "ФКУ ИК-6 УФСИН РОССИИ ПО ТЮМЕНСКОЙ ОБЛАСТИ")</f>
        <v>ФКУ ИК-6 УФСИН РОССИИ ПО ТЮМЕНСКОЙ ОБЛАСТИ</v>
      </c>
      <c r="B2637" s="24" t="s">
        <v>3541</v>
      </c>
      <c r="C2637" s="25">
        <v>21861.919999999998</v>
      </c>
      <c r="D2637" s="22" t="s">
        <v>3904</v>
      </c>
      <c r="E2637" s="22" t="s">
        <v>53</v>
      </c>
      <c r="F2637" s="23" t="str">
        <f>HYPERLINK("https://www.spark-marketing.ru/Card/Lot/72932190", "Поставка кнопок беспроводной тревожной сигнализации и ручных металлодетекторов")</f>
        <v>Поставка кнопок беспроводной тревожной сигнализации и ручных металлодетекторов</v>
      </c>
      <c r="G2637" s="22" t="s">
        <v>893</v>
      </c>
      <c r="H2637" s="22" t="s">
        <v>2222</v>
      </c>
      <c r="I2637" s="26">
        <v>43698.517361111102</v>
      </c>
      <c r="J2637" s="28" t="s">
        <v>52</v>
      </c>
      <c r="K2637" s="28" t="s">
        <v>52</v>
      </c>
      <c r="L2637" s="28" t="s">
        <v>52</v>
      </c>
      <c r="M2637" s="28" t="s">
        <v>52</v>
      </c>
      <c r="N2637" s="28" t="s">
        <v>52</v>
      </c>
    </row>
    <row r="2638" spans="1:14" x14ac:dyDescent="0.15">
      <c r="A2638" s="23" t="str">
        <f>HYPERLINK("https://www.spark-marketing.ru/Card/Person/132361", "МО МВД РОССИИ ""МАНТУРОВСКИЙ""")</f>
        <v>МО МВД РОССИИ "МАНТУРОВСКИЙ"</v>
      </c>
      <c r="B2638" s="24" t="s">
        <v>3905</v>
      </c>
      <c r="C2638" s="25">
        <v>39543</v>
      </c>
      <c r="D2638" s="22" t="s">
        <v>3906</v>
      </c>
      <c r="E2638" s="22" t="s">
        <v>53</v>
      </c>
      <c r="F2638" s="23" t="str">
        <f>HYPERLINK("https://www.spark-marketing.ru/Card/Lot/72929416", "Охрана объектов Заказчика")</f>
        <v>Охрана объектов Заказчика</v>
      </c>
      <c r="G2638" s="22" t="s">
        <v>1104</v>
      </c>
      <c r="H2638" s="22" t="s">
        <v>3907</v>
      </c>
      <c r="I2638" s="26">
        <v>43698.474594907399</v>
      </c>
      <c r="J2638" s="28" t="s">
        <v>52</v>
      </c>
      <c r="K2638" s="28" t="s">
        <v>52</v>
      </c>
      <c r="L2638" s="28" t="s">
        <v>52</v>
      </c>
      <c r="M2638" s="28" t="s">
        <v>52</v>
      </c>
      <c r="N2638" s="28" t="s">
        <v>52</v>
      </c>
    </row>
    <row r="2639" spans="1:14" x14ac:dyDescent="0.15">
      <c r="A2639" s="23" t="str">
        <f>HYPERLINK("https://www.spark-marketing.ru/Card/Person/41992", "ФГБОУ ВО ТВЕРСКОЙ ГМУ МИНЗДРАВА РОССИИ")</f>
        <v>ФГБОУ ВО ТВЕРСКОЙ ГМУ МИНЗДРАВА РОССИИ</v>
      </c>
      <c r="B2639" s="24" t="s">
        <v>968</v>
      </c>
      <c r="C2639" s="25">
        <v>347901</v>
      </c>
      <c r="D2639" s="22" t="s">
        <v>3908</v>
      </c>
      <c r="E2639" s="22" t="s">
        <v>59</v>
      </c>
      <c r="F2639" s="23" t="str">
        <f>HYPERLINK("https://www.spark-marketing.ru/Card/Lot/72934083", "Выполнение работ по монтажу системы видеонаблюдения")</f>
        <v>Выполнение работ по монтажу системы видеонаблюдения</v>
      </c>
      <c r="G2639" s="22" t="s">
        <v>251</v>
      </c>
      <c r="H2639" s="22" t="s">
        <v>251</v>
      </c>
      <c r="I2639" s="26">
        <v>43698.483993055597</v>
      </c>
      <c r="J2639" s="28" t="s">
        <v>52</v>
      </c>
      <c r="K2639" s="28" t="s">
        <v>52</v>
      </c>
      <c r="L2639" s="28" t="s">
        <v>52</v>
      </c>
      <c r="M2639" s="28" t="s">
        <v>52</v>
      </c>
      <c r="N2639" s="28" t="s">
        <v>52</v>
      </c>
    </row>
    <row r="2640" spans="1:14" hidden="1" outlineLevel="1" x14ac:dyDescent="0.2">
      <c r="A2640" s="23" t="str">
        <f>HYPERLINK("https://www.spark-marketing.ru/Card/Person/41992", "ФГБОУ ВО ТВЕРСКОЙ ГМУ МИНЗДРАВА РОССИИ")</f>
        <v>ФГБОУ ВО ТВЕРСКОЙ ГМУ МИНЗДРАВА РОССИИ</v>
      </c>
      <c r="B2640" s="24" t="s">
        <v>968</v>
      </c>
      <c r="C2640" s="25">
        <v>347901</v>
      </c>
      <c r="D2640" s="22" t="s">
        <v>3908</v>
      </c>
      <c r="E2640" s="22" t="s">
        <v>59</v>
      </c>
      <c r="F2640" s="23" t="str">
        <f>HYPERLINK("https://www.spark-marketing.ru/Card/Lot/72934083", "Выполнение работ по монтажу системы видеонаблюдения")</f>
        <v>Выполнение работ по монтажу системы видеонаблюдения</v>
      </c>
      <c r="G2640" s="22" t="s">
        <v>251</v>
      </c>
      <c r="H2640" s="22" t="s">
        <v>251</v>
      </c>
      <c r="I2640" s="26">
        <v>43698.483993055597</v>
      </c>
      <c r="J2640" s="23" t="str">
        <f>HYPERLINK("https://www.spark-marketing.ru/Card/Person/6687654", "ООО ""АРТИК СБ""")</f>
        <v>ООО "АРТИК СБ"</v>
      </c>
      <c r="K2640" s="24" t="s">
        <v>1747</v>
      </c>
      <c r="L2640" s="28" t="s">
        <v>52</v>
      </c>
      <c r="M2640" s="25">
        <v>251562.94</v>
      </c>
      <c r="N2640" s="27">
        <v>0.27691228251715289</v>
      </c>
    </row>
    <row r="2641" spans="1:14" ht="12.75" hidden="1" outlineLevel="1" x14ac:dyDescent="0.2">
      <c r="A2641" s="23" t="str">
        <f>HYPERLINK("https://www.spark-marketing.ru/Card/Person/41992", "ФГБОУ ВО ТВЕРСКОЙ ГМУ МИНЗДРАВА РОССИИ")</f>
        <v>ФГБОУ ВО ТВЕРСКОЙ ГМУ МИНЗДРАВА РОССИИ</v>
      </c>
      <c r="B2641" s="24" t="s">
        <v>968</v>
      </c>
      <c r="C2641" s="25">
        <v>347901</v>
      </c>
      <c r="D2641" s="22" t="s">
        <v>3908</v>
      </c>
      <c r="E2641" s="22" t="s">
        <v>59</v>
      </c>
      <c r="F2641" s="23" t="str">
        <f>HYPERLINK("https://www.spark-marketing.ru/Card/Lot/72934083", "Выполнение работ по монтажу системы видеонаблюдения")</f>
        <v>Выполнение работ по монтажу системы видеонаблюдения</v>
      </c>
      <c r="G2641" s="22" t="s">
        <v>251</v>
      </c>
      <c r="H2641" s="22" t="s">
        <v>251</v>
      </c>
      <c r="I2641" s="26">
        <v>43698.483993055597</v>
      </c>
      <c r="J2641" s="23" t="str">
        <f>HYPERLINK("https://www.spark-marketing.ru/Card/Person/610955", "ООО ""БАСТИОН ТВ""")</f>
        <v>ООО "БАСТИОН ТВ"</v>
      </c>
      <c r="K2641" s="24" t="s">
        <v>3909</v>
      </c>
      <c r="L2641" s="22" t="s">
        <v>10</v>
      </c>
      <c r="M2641" s="25">
        <v>239386.37</v>
      </c>
      <c r="N2641" s="27">
        <v>0.31191238312048541</v>
      </c>
    </row>
    <row r="2642" spans="1:14" hidden="1" outlineLevel="1" x14ac:dyDescent="0.2">
      <c r="A2642" s="23" t="str">
        <f>HYPERLINK("https://www.spark-marketing.ru/Card/Person/41992", "ФГБОУ ВО ТВЕРСКОЙ ГМУ МИНЗДРАВА РОССИИ")</f>
        <v>ФГБОУ ВО ТВЕРСКОЙ ГМУ МИНЗДРАВА РОССИИ</v>
      </c>
      <c r="B2642" s="24" t="s">
        <v>968</v>
      </c>
      <c r="C2642" s="25">
        <v>347901</v>
      </c>
      <c r="D2642" s="22" t="s">
        <v>3908</v>
      </c>
      <c r="E2642" s="22" t="s">
        <v>59</v>
      </c>
      <c r="F2642" s="23" t="str">
        <f>HYPERLINK("https://www.spark-marketing.ru/Card/Lot/72934083", "Выполнение работ по монтажу системы видеонаблюдения")</f>
        <v>Выполнение работ по монтажу системы видеонаблюдения</v>
      </c>
      <c r="G2642" s="22" t="s">
        <v>251</v>
      </c>
      <c r="H2642" s="22" t="s">
        <v>251</v>
      </c>
      <c r="I2642" s="26">
        <v>43698.483993055597</v>
      </c>
      <c r="J2642" s="23" t="str">
        <f>HYPERLINK("https://www.spark-marketing.ru/Card/Person/6381225", "Волнушкин Илья Александрович")</f>
        <v>Волнушкин Илья Александрович</v>
      </c>
      <c r="K2642" s="24" t="s">
        <v>3910</v>
      </c>
      <c r="L2642" s="28" t="s">
        <v>52</v>
      </c>
      <c r="M2642" s="25">
        <v>241125.88</v>
      </c>
      <c r="N2642" s="27">
        <v>0.3069123687485808</v>
      </c>
    </row>
    <row r="2643" spans="1:14" x14ac:dyDescent="0.15">
      <c r="A2643" s="23" t="str">
        <f>HYPERLINK("https://www.spark-marketing.ru/Card/Person/151671", "ФГКУ КОМБИНАТ ""ИСКАТЕЛЬ"" РОСРЕЗЕРВА")</f>
        <v>ФГКУ КОМБИНАТ "ИСКАТЕЛЬ" РОСРЕЗЕРВА</v>
      </c>
      <c r="B2643" s="24" t="s">
        <v>3423</v>
      </c>
      <c r="C2643" s="25">
        <v>16293.6</v>
      </c>
      <c r="D2643" s="22" t="s">
        <v>3911</v>
      </c>
      <c r="E2643" s="22" t="s">
        <v>68</v>
      </c>
      <c r="F2643" s="23" t="str">
        <f>HYPERLINK("https://www.spark-marketing.ru/Card/Lot/72927992", "Централизованная охрана объектов, 1 усл. ед")</f>
        <v>Централизованная охрана объектов, 1 усл. ед</v>
      </c>
      <c r="G2643" s="22" t="s">
        <v>340</v>
      </c>
      <c r="H2643" s="22" t="s">
        <v>2755</v>
      </c>
      <c r="I2643" s="26">
        <v>43698.469664351898</v>
      </c>
      <c r="J2643" s="28" t="s">
        <v>52</v>
      </c>
      <c r="K2643" s="28" t="s">
        <v>52</v>
      </c>
      <c r="L2643" s="28" t="s">
        <v>52</v>
      </c>
      <c r="M2643" s="28" t="s">
        <v>52</v>
      </c>
      <c r="N2643" s="28" t="s">
        <v>52</v>
      </c>
    </row>
    <row r="2644" spans="1:14" x14ac:dyDescent="0.15">
      <c r="A2644" s="23" t="str">
        <f>HYPERLINK("https://www.spark-marketing.ru/Card/Person/938063", "ГУПС ""СЕВАВТОТРАНС""")</f>
        <v>ГУПС "СЕВАВТОТРАНС"</v>
      </c>
      <c r="B2644" s="24" t="s">
        <v>3912</v>
      </c>
      <c r="C2644" s="25">
        <v>611631.68000000005</v>
      </c>
      <c r="D2644" s="22" t="s">
        <v>3913</v>
      </c>
      <c r="E2644" s="22" t="s">
        <v>68</v>
      </c>
      <c r="F2644" s="23" t="str">
        <f>HYPERLINK("https://www.spark-marketing.ru/Card/Lot/72931837", "Оказание услуг по защите ОТИ (Автовокзал, г. Севастополь) ГУПС «СЕВАВТОТРАНС» от актов незаконного вмешательства аккредитованными подразделениями транспортной безопасности")</f>
        <v>Оказание услуг по защите ОТИ (Автовокзал, г. Севастополь) ГУПС «СЕВАВТОТРАНС» от актов незаконного вмешательства аккредитованными подразделениями транспортной безопасности</v>
      </c>
      <c r="G2644" s="22" t="s">
        <v>714</v>
      </c>
      <c r="H2644" s="22" t="s">
        <v>714</v>
      </c>
      <c r="I2644" s="26">
        <v>43698.4765162037</v>
      </c>
      <c r="J2644" s="28" t="s">
        <v>52</v>
      </c>
      <c r="K2644" s="28" t="s">
        <v>52</v>
      </c>
      <c r="L2644" s="28" t="s">
        <v>52</v>
      </c>
      <c r="M2644" s="28" t="s">
        <v>52</v>
      </c>
      <c r="N2644" s="28" t="s">
        <v>52</v>
      </c>
    </row>
    <row r="2645" spans="1:14" hidden="1" outlineLevel="1" x14ac:dyDescent="0.2">
      <c r="A2645" s="23" t="str">
        <f>HYPERLINK("https://www.spark-marketing.ru/Card/Person/938063", "ГУПС ""СЕВАВТОТРАНС""")</f>
        <v>ГУПС "СЕВАВТОТРАНС"</v>
      </c>
      <c r="B2645" s="24" t="s">
        <v>3912</v>
      </c>
      <c r="C2645" s="25">
        <v>611631.68000000005</v>
      </c>
      <c r="D2645" s="22" t="s">
        <v>3913</v>
      </c>
      <c r="E2645" s="22" t="s">
        <v>68</v>
      </c>
      <c r="F2645" s="23" t="str">
        <f>HYPERLINK("https://www.spark-marketing.ru/Card/Lot/72931837", "Оказание услуг по защите ОТИ (Автовокзал, г. Севастополь) ГУПС «СЕВАВТОТРАНС» от актов незаконного вмешательства аккредитованными подразделениями транспортной безопасности")</f>
        <v>Оказание услуг по защите ОТИ (Автовокзал, г. Севастополь) ГУПС «СЕВАВТОТРАНС» от актов незаконного вмешательства аккредитованными подразделениями транспортной безопасности</v>
      </c>
      <c r="G2645" s="22" t="s">
        <v>714</v>
      </c>
      <c r="H2645" s="22" t="s">
        <v>714</v>
      </c>
      <c r="I2645" s="26">
        <v>43698.4765162037</v>
      </c>
      <c r="J2645" s="23" t="str">
        <f>HYPERLINK("https://www.spark-marketing.ru/Card/Person/1978058", "ООО ""ФОРМУЛА БЕЗОПАСНОСТИ ТРАНСПОРТА""")</f>
        <v>ООО "ФОРМУЛА БЕЗОПАСНОСТИ ТРАНСПОРТА"</v>
      </c>
      <c r="K2645" s="24" t="s">
        <v>3385</v>
      </c>
      <c r="L2645" s="28" t="s">
        <v>52</v>
      </c>
      <c r="M2645" s="25">
        <v>547410.31999999995</v>
      </c>
      <c r="N2645" s="27">
        <v>0.10500005493502233</v>
      </c>
    </row>
    <row r="2646" spans="1:14" ht="12.75" hidden="1" outlineLevel="1" x14ac:dyDescent="0.2">
      <c r="A2646" s="23" t="str">
        <f>HYPERLINK("https://www.spark-marketing.ru/Card/Person/938063", "ГУПС ""СЕВАВТОТРАНС""")</f>
        <v>ГУПС "СЕВАВТОТРАНС"</v>
      </c>
      <c r="B2646" s="24" t="s">
        <v>3912</v>
      </c>
      <c r="C2646" s="25">
        <v>611631.68000000005</v>
      </c>
      <c r="D2646" s="22" t="s">
        <v>3913</v>
      </c>
      <c r="E2646" s="22" t="s">
        <v>68</v>
      </c>
      <c r="F2646" s="23" t="str">
        <f>HYPERLINK("https://www.spark-marketing.ru/Card/Lot/72931837", "Оказание услуг по защите ОТИ (Автовокзал, г. Севастополь) ГУПС «СЕВАВТОТРАНС» от актов незаконного вмешательства аккредитованными подразделениями транспортной безопасности")</f>
        <v>Оказание услуг по защите ОТИ (Автовокзал, г. Севастополь) ГУПС «СЕВАВТОТРАНС» от актов незаконного вмешательства аккредитованными подразделениями транспортной безопасности</v>
      </c>
      <c r="G2646" s="22" t="s">
        <v>714</v>
      </c>
      <c r="H2646" s="22" t="s">
        <v>714</v>
      </c>
      <c r="I2646" s="26">
        <v>43698.4765162037</v>
      </c>
      <c r="J2646" s="23" t="str">
        <f>HYPERLINK("https://www.spark-marketing.ru/Card/Person/6439463", "ООО ""ПТБ ""НАБАТ""")</f>
        <v>ООО "ПТБ "НАБАТ"</v>
      </c>
      <c r="K2646" s="24" t="s">
        <v>2083</v>
      </c>
      <c r="L2646" s="22" t="s">
        <v>10</v>
      </c>
      <c r="M2646" s="25">
        <v>544352.16</v>
      </c>
      <c r="N2646" s="27">
        <v>0.11000005755097578</v>
      </c>
    </row>
    <row r="2647" spans="1:14" hidden="1" outlineLevel="1" x14ac:dyDescent="0.2">
      <c r="A2647" s="23" t="str">
        <f>HYPERLINK("https://www.spark-marketing.ru/Card/Person/938063", "ГУПС ""СЕВАВТОТРАНС""")</f>
        <v>ГУПС "СЕВАВТОТРАНС"</v>
      </c>
      <c r="B2647" s="24" t="s">
        <v>3912</v>
      </c>
      <c r="C2647" s="25">
        <v>611631.68000000005</v>
      </c>
      <c r="D2647" s="22" t="s">
        <v>3913</v>
      </c>
      <c r="E2647" s="22" t="s">
        <v>68</v>
      </c>
      <c r="F2647" s="23" t="str">
        <f>HYPERLINK("https://www.spark-marketing.ru/Card/Lot/72931837", "Оказание услуг по защите ОТИ (Автовокзал, г. Севастополь) ГУПС «СЕВАВТОТРАНС» от актов незаконного вмешательства аккредитованными подразделениями транспортной безопасности")</f>
        <v>Оказание услуг по защите ОТИ (Автовокзал, г. Севастополь) ГУПС «СЕВАВТОТРАНС» от актов незаконного вмешательства аккредитованными подразделениями транспортной безопасности</v>
      </c>
      <c r="G2647" s="22" t="s">
        <v>714</v>
      </c>
      <c r="H2647" s="22" t="s">
        <v>714</v>
      </c>
      <c r="I2647" s="26">
        <v>43698.4765162037</v>
      </c>
      <c r="J2647" s="23" t="str">
        <f>HYPERLINK("https://www.spark-marketing.ru/Card/Person/6273757", "ООО ""ПТБ ""ФОРТ ТРАНС""")</f>
        <v>ООО "ПТБ "ФОРТ ТРАНС"</v>
      </c>
      <c r="K2647" s="24" t="s">
        <v>2081</v>
      </c>
      <c r="L2647" s="28" t="s">
        <v>52</v>
      </c>
      <c r="M2647" s="25">
        <v>584108.24</v>
      </c>
      <c r="N2647" s="27">
        <v>4.5000023543581E-2</v>
      </c>
    </row>
    <row r="2648" spans="1:14" x14ac:dyDescent="0.15">
      <c r="A2648" s="23" t="str">
        <f>HYPERLINK("https://www.spark-marketing.ru/Card/Person/4844", "УФНС РОССИИ ПО СВЕРДЛОВСКОЙ ОБЛАСТИ")</f>
        <v>УФНС РОССИИ ПО СВЕРДЛОВСКОЙ ОБЛАСТИ</v>
      </c>
      <c r="B2648" s="24" t="s">
        <v>3914</v>
      </c>
      <c r="C2648" s="25">
        <v>35000</v>
      </c>
      <c r="D2648" s="22" t="s">
        <v>3915</v>
      </c>
      <c r="E2648" s="22" t="s">
        <v>53</v>
      </c>
      <c r="F2648" s="23" t="str">
        <f>HYPERLINK("https://www.spark-marketing.ru/Card/Lot/72927225", "монтаж, техническое обслуживание систем видеонаблюдения, 1 шт")</f>
        <v>монтаж, техническое обслуживание систем видеонаблюдения, 1 шт</v>
      </c>
      <c r="G2648" s="22" t="s">
        <v>72</v>
      </c>
      <c r="H2648" s="22" t="s">
        <v>949</v>
      </c>
      <c r="I2648" s="26">
        <v>43698.438460648104</v>
      </c>
      <c r="J2648" s="28" t="s">
        <v>52</v>
      </c>
      <c r="K2648" s="28" t="s">
        <v>52</v>
      </c>
      <c r="L2648" s="28" t="s">
        <v>52</v>
      </c>
      <c r="M2648" s="28" t="s">
        <v>52</v>
      </c>
      <c r="N2648" s="28" t="s">
        <v>52</v>
      </c>
    </row>
    <row r="2649" spans="1:14" x14ac:dyDescent="0.15">
      <c r="A2649" s="23" t="str">
        <f>HYPERLINK("https://www.spark-marketing.ru/Card/Person/36834", "МКУ АГП ""БЛАГОУСТРОЙСТВО И ЖКХ""")</f>
        <v>МКУ АГП "БЛАГОУСТРОЙСТВО И ЖКХ"</v>
      </c>
      <c r="B2649" s="24" t="s">
        <v>3916</v>
      </c>
      <c r="C2649" s="25">
        <v>2600000</v>
      </c>
      <c r="D2649" s="22" t="s">
        <v>3917</v>
      </c>
      <c r="E2649" s="22" t="s">
        <v>723</v>
      </c>
      <c r="F2649" s="23" t="str">
        <f>HYPERLINK("https://www.spark-marketing.ru/Card/Lot/72929791", "Установка системы фото- и видеофиксации дорожной сети по ул. Садовая (на пересечении с ул. 8 Марта) в г. Аксай Ростовской области")</f>
        <v>Установка системы фото- и видеофиксации дорожной сети по ул. Садовая (на пересечении с ул. 8 Марта) в г. Аксай Ростовской области</v>
      </c>
      <c r="G2649" s="22" t="s">
        <v>402</v>
      </c>
      <c r="H2649" s="22" t="s">
        <v>402</v>
      </c>
      <c r="I2649" s="26">
        <v>43698.386273148099</v>
      </c>
      <c r="J2649" s="28" t="s">
        <v>52</v>
      </c>
      <c r="K2649" s="28" t="s">
        <v>52</v>
      </c>
      <c r="L2649" s="28" t="s">
        <v>52</v>
      </c>
      <c r="M2649" s="28" t="s">
        <v>52</v>
      </c>
      <c r="N2649" s="28" t="s">
        <v>52</v>
      </c>
    </row>
    <row r="2650" spans="1:14" ht="12.75" hidden="1" outlineLevel="1" x14ac:dyDescent="0.2">
      <c r="A2650" s="23" t="str">
        <f>HYPERLINK("https://www.spark-marketing.ru/Card/Person/36834", "МКУ АГП ""БЛАГОУСТРОЙСТВО И ЖКХ""")</f>
        <v>МКУ АГП "БЛАГОУСТРОЙСТВО И ЖКХ"</v>
      </c>
      <c r="B2650" s="24" t="s">
        <v>3916</v>
      </c>
      <c r="C2650" s="25">
        <v>2600000</v>
      </c>
      <c r="D2650" s="22" t="s">
        <v>3917</v>
      </c>
      <c r="E2650" s="22" t="s">
        <v>723</v>
      </c>
      <c r="F2650" s="23" t="str">
        <f>HYPERLINK("https://www.spark-marketing.ru/Card/Lot/72929791", "Установка системы фото- и видеофиксации дорожной сети по ул. Садовая (на пересечении с ул. 8 Марта) в г. Аксай Ростовской области")</f>
        <v>Установка системы фото- и видеофиксации дорожной сети по ул. Садовая (на пересечении с ул. 8 Марта) в г. Аксай Ростовской области</v>
      </c>
      <c r="G2650" s="22" t="s">
        <v>402</v>
      </c>
      <c r="H2650" s="22" t="s">
        <v>402</v>
      </c>
      <c r="I2650" s="26">
        <v>43698.386273148099</v>
      </c>
      <c r="J2650" s="23" t="str">
        <f>HYPERLINK("https://www.spark-marketing.ru/Card/Person/1354238", "ООО ""ЛАБОРАТОРИЯ ЦИФРОВОГО ЗРЕНИЯ""")</f>
        <v>ООО "ЛАБОРАТОРИЯ ЦИФРОВОГО ЗРЕНИЯ"</v>
      </c>
      <c r="K2650" s="24" t="s">
        <v>1191</v>
      </c>
      <c r="L2650" s="22" t="s">
        <v>10</v>
      </c>
      <c r="M2650" s="25">
        <v>1482000</v>
      </c>
      <c r="N2650" s="27">
        <v>0.43</v>
      </c>
    </row>
    <row r="2651" spans="1:14" hidden="1" outlineLevel="1" x14ac:dyDescent="0.2">
      <c r="A2651" s="23" t="str">
        <f>HYPERLINK("https://www.spark-marketing.ru/Card/Person/36834", "МКУ АГП ""БЛАГОУСТРОЙСТВО И ЖКХ""")</f>
        <v>МКУ АГП "БЛАГОУСТРОЙСТВО И ЖКХ"</v>
      </c>
      <c r="B2651" s="24" t="s">
        <v>3916</v>
      </c>
      <c r="C2651" s="25">
        <v>2600000</v>
      </c>
      <c r="D2651" s="22" t="s">
        <v>3917</v>
      </c>
      <c r="E2651" s="22" t="s">
        <v>723</v>
      </c>
      <c r="F2651" s="23" t="str">
        <f>HYPERLINK("https://www.spark-marketing.ru/Card/Lot/72929791", "Установка системы фото- и видеофиксации дорожной сети по ул. Садовая (на пересечении с ул. 8 Марта) в г. Аксай Ростовской области")</f>
        <v>Установка системы фото- и видеофиксации дорожной сети по ул. Садовая (на пересечении с ул. 8 Марта) в г. Аксай Ростовской области</v>
      </c>
      <c r="G2651" s="22" t="s">
        <v>402</v>
      </c>
      <c r="H2651" s="22" t="s">
        <v>402</v>
      </c>
      <c r="I2651" s="26">
        <v>43698.386273148099</v>
      </c>
      <c r="J2651" s="23" t="str">
        <f>HYPERLINK("https://www.spark-marketing.ru/Card/Person/92388", "ООО ""АПЕКС""")</f>
        <v>ООО "АПЕКС"</v>
      </c>
      <c r="K2651" s="24" t="s">
        <v>3918</v>
      </c>
      <c r="L2651" s="28" t="s">
        <v>52</v>
      </c>
      <c r="M2651" s="25">
        <v>1495000</v>
      </c>
      <c r="N2651" s="27">
        <v>0.42499999999999999</v>
      </c>
    </row>
    <row r="2652" spans="1:14" x14ac:dyDescent="0.15">
      <c r="A2652" s="23" t="str">
        <f>HYPERLINK("https://www.spark-marketing.ru/Card/Person/65504", "ФКУ ""ЦВСИГ ""ДОН"" МВД РОССИИ")</f>
        <v>ФКУ "ЦВСИГ "ДОН" МВД РОССИИ</v>
      </c>
      <c r="B2652" s="24" t="s">
        <v>3919</v>
      </c>
      <c r="C2652" s="25">
        <v>72000</v>
      </c>
      <c r="D2652" s="22" t="s">
        <v>3920</v>
      </c>
      <c r="E2652" s="22" t="s">
        <v>294</v>
      </c>
      <c r="F2652" s="23" t="str">
        <f>HYPERLINK("https://www.spark-marketing.ru/Card/Lot/72926923", "закупка услуг по техническому обслуживанию систем видеонаблюдения")</f>
        <v>закупка услуг по техническому обслуживанию систем видеонаблюдения</v>
      </c>
      <c r="G2652" s="22" t="s">
        <v>402</v>
      </c>
      <c r="H2652" s="22" t="s">
        <v>3921</v>
      </c>
      <c r="I2652" s="26">
        <v>43697.722488425898</v>
      </c>
      <c r="J2652" s="28" t="s">
        <v>52</v>
      </c>
      <c r="K2652" s="28" t="s">
        <v>52</v>
      </c>
      <c r="L2652" s="28" t="s">
        <v>52</v>
      </c>
      <c r="M2652" s="28" t="s">
        <v>52</v>
      </c>
      <c r="N2652" s="28" t="s">
        <v>52</v>
      </c>
    </row>
    <row r="2653" spans="1:14" ht="12.75" hidden="1" outlineLevel="1" x14ac:dyDescent="0.2">
      <c r="A2653" s="23" t="str">
        <f>HYPERLINK("https://www.spark-marketing.ru/Card/Person/65504", "ФКУ ""ЦВСИГ ""ДОН"" МВД РОССИИ")</f>
        <v>ФКУ "ЦВСИГ "ДОН" МВД РОССИИ</v>
      </c>
      <c r="B2653" s="24" t="s">
        <v>3919</v>
      </c>
      <c r="C2653" s="25">
        <v>72000</v>
      </c>
      <c r="D2653" s="22" t="s">
        <v>3920</v>
      </c>
      <c r="E2653" s="22" t="s">
        <v>294</v>
      </c>
      <c r="F2653" s="23" t="str">
        <f>HYPERLINK("https://www.spark-marketing.ru/Card/Lot/72926923", "закупка услуг по техническому обслуживанию систем видеонаблюдения")</f>
        <v>закупка услуг по техническому обслуживанию систем видеонаблюдения</v>
      </c>
      <c r="G2653" s="22" t="s">
        <v>402</v>
      </c>
      <c r="H2653" s="22" t="s">
        <v>3921</v>
      </c>
      <c r="I2653" s="26">
        <v>43697.722488425898</v>
      </c>
      <c r="J2653" s="23" t="str">
        <f>HYPERLINK("https://www.spark-marketing.ru/Card/Person/393065", "ООО ""МП ""КОНТИНЕНТ""")</f>
        <v>ООО "МП "КОНТИНЕНТ"</v>
      </c>
      <c r="K2653" s="24" t="s">
        <v>3922</v>
      </c>
      <c r="L2653" s="22" t="s">
        <v>10</v>
      </c>
      <c r="M2653" s="25">
        <v>59702.49</v>
      </c>
      <c r="N2653" s="27">
        <v>0.17079875</v>
      </c>
    </row>
    <row r="2654" spans="1:14" hidden="1" outlineLevel="1" x14ac:dyDescent="0.2">
      <c r="A2654" s="23" t="str">
        <f>HYPERLINK("https://www.spark-marketing.ru/Card/Person/65504", "ФКУ ""ЦВСИГ ""ДОН"" МВД РОССИИ")</f>
        <v>ФКУ "ЦВСИГ "ДОН" МВД РОССИИ</v>
      </c>
      <c r="B2654" s="24" t="s">
        <v>3919</v>
      </c>
      <c r="C2654" s="25">
        <v>72000</v>
      </c>
      <c r="D2654" s="22" t="s">
        <v>3920</v>
      </c>
      <c r="E2654" s="22" t="s">
        <v>294</v>
      </c>
      <c r="F2654" s="23" t="str">
        <f>HYPERLINK("https://www.spark-marketing.ru/Card/Lot/72926923", "закупка услуг по техническому обслуживанию систем видеонаблюдения")</f>
        <v>закупка услуг по техническому обслуживанию систем видеонаблюдения</v>
      </c>
      <c r="G2654" s="22" t="s">
        <v>402</v>
      </c>
      <c r="H2654" s="22" t="s">
        <v>3921</v>
      </c>
      <c r="I2654" s="26">
        <v>43697.722488425898</v>
      </c>
      <c r="J2654" s="23" t="str">
        <f>HYPERLINK("https://www.spark-marketing.ru/Card/Person/6480110", "ООО ""РСГ""")</f>
        <v>ООО "РСГ"</v>
      </c>
      <c r="K2654" s="24" t="s">
        <v>3923</v>
      </c>
      <c r="L2654" s="28" t="s">
        <v>52</v>
      </c>
      <c r="M2654" s="25">
        <v>60000</v>
      </c>
      <c r="N2654" s="27">
        <v>0.16666666666666666</v>
      </c>
    </row>
    <row r="2655" spans="1:14" x14ac:dyDescent="0.15">
      <c r="A2655" s="23" t="str">
        <f>HYPERLINK("https://www.spark-marketing.ru/Card/Person/1070848", "ОТДЕЛ МВД РОССИИ ПО КОРКИНСКОМУ РАЙОНУ ЧЕЛЯБИНСКОЙ ОБЛАСТИ")</f>
        <v>ОТДЕЛ МВД РОССИИ ПО КОРКИНСКОМУ РАЙОНУ ЧЕЛЯБИНСКОЙ ОБЛАСТИ</v>
      </c>
      <c r="B2655" s="24" t="s">
        <v>3924</v>
      </c>
      <c r="C2655" s="25">
        <v>30000</v>
      </c>
      <c r="D2655" s="22" t="s">
        <v>3925</v>
      </c>
      <c r="E2655" s="22" t="s">
        <v>53</v>
      </c>
      <c r="F2655" s="23" t="str">
        <f>HYPERLINK("https://www.spark-marketing.ru/Card/Lot/72927167", "Выполнение работ по техническому обслуживанию систем видеонаблюдения и контроля доступа для нужд Отдела МВД России по Коркинскому району Челябинской области")</f>
        <v>Выполнение работ по техническому обслуживанию систем видеонаблюдения и контроля доступа для нужд Отдела МВД России по Коркинскому району Челябинской области</v>
      </c>
      <c r="G2655" s="22" t="s">
        <v>60</v>
      </c>
      <c r="H2655" s="22" t="s">
        <v>3926</v>
      </c>
      <c r="I2655" s="26">
        <v>43698.389976851897</v>
      </c>
      <c r="J2655" s="28" t="s">
        <v>52</v>
      </c>
      <c r="K2655" s="28" t="s">
        <v>52</v>
      </c>
      <c r="L2655" s="28" t="s">
        <v>52</v>
      </c>
      <c r="M2655" s="28" t="s">
        <v>52</v>
      </c>
      <c r="N2655" s="28" t="s">
        <v>52</v>
      </c>
    </row>
    <row r="2656" spans="1:14" x14ac:dyDescent="0.15">
      <c r="A2656" s="23" t="str">
        <f>HYPERLINK("https://www.spark-marketing.ru/Card/Person/6079579", "УПРАВЛЕНИЕ РОСГВАРДИИ ПО ЛИПЕЦКОЙ ОБЛАСТИ")</f>
        <v>УПРАВЛЕНИЕ РОСГВАРДИИ ПО ЛИПЕЦКОЙ ОБЛАСТИ</v>
      </c>
      <c r="B2656" s="24" t="s">
        <v>3927</v>
      </c>
      <c r="C2656" s="25">
        <v>15000</v>
      </c>
      <c r="D2656" s="22" t="s">
        <v>3928</v>
      </c>
      <c r="E2656" s="22" t="s">
        <v>1013</v>
      </c>
      <c r="F2656" s="23" t="str">
        <f>HYPERLINK("https://www.spark-marketing.ru/Card/Lot/72924276", "Техническое обслуживание систем АПС и СОУЭ, ОС, СКУД, видеонаблюдения, 1 усл. ед")</f>
        <v>Техническое обслуживание систем АПС и СОУЭ, ОС, СКУД, видеонаблюдения, 1 усл. ед</v>
      </c>
      <c r="G2656" s="22" t="s">
        <v>629</v>
      </c>
      <c r="H2656" s="22" t="s">
        <v>1603</v>
      </c>
      <c r="I2656" s="26">
        <v>43698.377280092602</v>
      </c>
      <c r="J2656" s="28" t="s">
        <v>52</v>
      </c>
      <c r="K2656" s="28" t="s">
        <v>52</v>
      </c>
      <c r="L2656" s="28" t="s">
        <v>52</v>
      </c>
      <c r="M2656" s="28" t="s">
        <v>52</v>
      </c>
      <c r="N2656" s="28" t="s">
        <v>52</v>
      </c>
    </row>
    <row r="2657" spans="1:14" x14ac:dyDescent="0.15">
      <c r="A2657" s="23" t="str">
        <f>HYPERLINK("https://www.spark-marketing.ru/Card/Person/89098", "ГКОУ МО ЧКАЛОВСКАЯ ШКОЛА-ИНТЕРНАТ")</f>
        <v>ГКОУ МО ЧКАЛОВСКАЯ ШКОЛА-ИНТЕРНАТ</v>
      </c>
      <c r="B2657" s="24" t="s">
        <v>3929</v>
      </c>
      <c r="C2657" s="25">
        <v>250000</v>
      </c>
      <c r="D2657" s="22" t="s">
        <v>3930</v>
      </c>
      <c r="E2657" s="22" t="s">
        <v>208</v>
      </c>
      <c r="F2657" s="23" t="str">
        <f>HYPERLINK("https://www.spark-marketing.ru/Card/Lot/72924608", "Закупка и установка системы контроля доступом")</f>
        <v>Закупка и установка системы контроля доступом</v>
      </c>
      <c r="G2657" s="22" t="s">
        <v>50</v>
      </c>
      <c r="H2657" s="22" t="s">
        <v>458</v>
      </c>
      <c r="I2657" s="26">
        <v>43697.566319444399</v>
      </c>
      <c r="J2657" s="28" t="s">
        <v>52</v>
      </c>
      <c r="K2657" s="28" t="s">
        <v>52</v>
      </c>
      <c r="L2657" s="28" t="s">
        <v>52</v>
      </c>
      <c r="M2657" s="28" t="s">
        <v>52</v>
      </c>
      <c r="N2657" s="28" t="s">
        <v>52</v>
      </c>
    </row>
    <row r="2658" spans="1:14" ht="12.75" hidden="1" outlineLevel="1" x14ac:dyDescent="0.2">
      <c r="A2658" s="23" t="str">
        <f>HYPERLINK("https://www.spark-marketing.ru/Card/Person/89098", "ГКОУ МО ЧКАЛОВСКАЯ ШКОЛА-ИНТЕРНАТ")</f>
        <v>ГКОУ МО ЧКАЛОВСКАЯ ШКОЛА-ИНТЕРНАТ</v>
      </c>
      <c r="B2658" s="24" t="s">
        <v>3929</v>
      </c>
      <c r="C2658" s="25">
        <v>250000</v>
      </c>
      <c r="D2658" s="22" t="s">
        <v>3930</v>
      </c>
      <c r="E2658" s="22" t="s">
        <v>208</v>
      </c>
      <c r="F2658" s="23" t="str">
        <f>HYPERLINK("https://www.spark-marketing.ru/Card/Lot/72924608", "Закупка и установка системы контроля доступом")</f>
        <v>Закупка и установка системы контроля доступом</v>
      </c>
      <c r="G2658" s="22" t="s">
        <v>50</v>
      </c>
      <c r="H2658" s="22" t="s">
        <v>458</v>
      </c>
      <c r="I2658" s="26">
        <v>43697.566319444399</v>
      </c>
      <c r="J2658" s="23" t="str">
        <f>HYPERLINK("https://www.spark-marketing.ru/Card/Person/1368398", "ООО ""С-ТРАДО""")</f>
        <v>ООО "С-ТРАДО"</v>
      </c>
      <c r="K2658" s="24" t="s">
        <v>3931</v>
      </c>
      <c r="L2658" s="22" t="s">
        <v>10</v>
      </c>
      <c r="M2658" s="25">
        <v>247500</v>
      </c>
      <c r="N2658" s="27">
        <v>0.01</v>
      </c>
    </row>
    <row r="2659" spans="1:14" hidden="1" outlineLevel="1" x14ac:dyDescent="0.2">
      <c r="A2659" s="23" t="str">
        <f>HYPERLINK("https://www.spark-marketing.ru/Card/Person/89098", "ГКОУ МО ЧКАЛОВСКАЯ ШКОЛА-ИНТЕРНАТ")</f>
        <v>ГКОУ МО ЧКАЛОВСКАЯ ШКОЛА-ИНТЕРНАТ</v>
      </c>
      <c r="B2659" s="24" t="s">
        <v>3929</v>
      </c>
      <c r="C2659" s="25">
        <v>250000</v>
      </c>
      <c r="D2659" s="22" t="s">
        <v>3930</v>
      </c>
      <c r="E2659" s="22" t="s">
        <v>208</v>
      </c>
      <c r="F2659" s="23" t="str">
        <f>HYPERLINK("https://www.spark-marketing.ru/Card/Lot/72924608", "Закупка и установка системы контроля доступом")</f>
        <v>Закупка и установка системы контроля доступом</v>
      </c>
      <c r="G2659" s="22" t="s">
        <v>50</v>
      </c>
      <c r="H2659" s="22" t="s">
        <v>458</v>
      </c>
      <c r="I2659" s="26">
        <v>43697.566319444399</v>
      </c>
      <c r="J2659" s="23" t="str">
        <f>HYPERLINK("https://www.spark-marketing.ru/Card/Person/6269906", "Гордеев Дмитрий Анатольевич")</f>
        <v>Гордеев Дмитрий Анатольевич</v>
      </c>
      <c r="K2659" s="24" t="s">
        <v>3932</v>
      </c>
      <c r="L2659" s="28" t="s">
        <v>52</v>
      </c>
      <c r="M2659" s="25">
        <v>248750</v>
      </c>
      <c r="N2659" s="27">
        <v>5.0000000000000001E-3</v>
      </c>
    </row>
    <row r="2660" spans="1:14" x14ac:dyDescent="0.15">
      <c r="A2660" s="23" t="str">
        <f>HYPERLINK("https://www.spark-marketing.ru/Card/Person/1070848", "ОТДЕЛ МВД РОССИИ ПО КОРКИНСКОМУ РАЙОНУ ЧЕЛЯБИНСКОЙ ОБЛАСТИ")</f>
        <v>ОТДЕЛ МВД РОССИИ ПО КОРКИНСКОМУ РАЙОНУ ЧЕЛЯБИНСКОЙ ОБЛАСТИ</v>
      </c>
      <c r="B2660" s="24" t="s">
        <v>3924</v>
      </c>
      <c r="C2660" s="25">
        <v>30000</v>
      </c>
      <c r="D2660" s="22" t="s">
        <v>3933</v>
      </c>
      <c r="E2660" s="22" t="s">
        <v>53</v>
      </c>
      <c r="F2660" s="23" t="str">
        <f>HYPERLINK("https://www.spark-marketing.ru/Card/Lot/72923657", "Техническое обслуживание систем видеонаблюдения и контроля доступа для нужд Отдела МВД России по Коркинскому району Челябинской области")</f>
        <v>Техническое обслуживание систем видеонаблюдения и контроля доступа для нужд Отдела МВД России по Коркинскому району Челябинской области</v>
      </c>
      <c r="G2660" s="22" t="s">
        <v>60</v>
      </c>
      <c r="H2660" s="22" t="s">
        <v>3926</v>
      </c>
      <c r="I2660" s="26">
        <v>43698.3609953704</v>
      </c>
      <c r="J2660" s="28" t="s">
        <v>52</v>
      </c>
      <c r="K2660" s="28" t="s">
        <v>52</v>
      </c>
      <c r="L2660" s="28" t="s">
        <v>52</v>
      </c>
      <c r="M2660" s="28" t="s">
        <v>52</v>
      </c>
      <c r="N2660" s="28" t="s">
        <v>52</v>
      </c>
    </row>
    <row r="2661" spans="1:14" x14ac:dyDescent="0.15">
      <c r="A2661" s="23" t="str">
        <f>HYPERLINK("https://www.spark-marketing.ru/Card/Person/12214", "ФКУ УПРДОР ""КАВКАЗ""")</f>
        <v>ФКУ УПРДОР "КАВКАЗ"</v>
      </c>
      <c r="B2661" s="24" t="s">
        <v>3934</v>
      </c>
      <c r="C2661" s="25">
        <v>129583450</v>
      </c>
      <c r="D2661" s="22" t="s">
        <v>3935</v>
      </c>
      <c r="E2661" s="22" t="s">
        <v>59</v>
      </c>
      <c r="F2661" s="23" t="str">
        <f>HYPERLINK("https://www.spark-marketing.ru/Card/Lot/72925155", "Расходы на оснащение объектов дорожного хозяйства инженерно-техническими средствами (системами) обеспечения транспортной безопасности")</f>
        <v>Расходы на оснащение объектов дорожного хозяйства инженерно-техническими средствами (системами) обеспечения транспортной безопасности</v>
      </c>
      <c r="G2661" s="22" t="s">
        <v>3936</v>
      </c>
      <c r="H2661" s="22" t="s">
        <v>3936</v>
      </c>
      <c r="I2661" s="26">
        <v>43697.759664351899</v>
      </c>
      <c r="J2661" s="23" t="str">
        <f>HYPERLINK("https://www.spark-marketing.ru/Card/Person/6445263", "ООО ""СТРОЙРЕСУРС""")</f>
        <v>ООО "СТРОЙРЕСУРС"</v>
      </c>
      <c r="K2661" s="24" t="s">
        <v>3937</v>
      </c>
      <c r="L2661" s="22" t="s">
        <v>10</v>
      </c>
      <c r="M2661" s="28" t="s">
        <v>52</v>
      </c>
      <c r="N2661" s="28" t="s">
        <v>52</v>
      </c>
    </row>
    <row r="2662" spans="1:14" x14ac:dyDescent="0.15">
      <c r="A2662" s="23" t="str">
        <f>HYPERLINK("https://www.spark-marketing.ru/Card/Person/108703", "САХАЛИНСТАТ")</f>
        <v>САХАЛИНСТАТ</v>
      </c>
      <c r="B2662" s="24" t="s">
        <v>3096</v>
      </c>
      <c r="C2662" s="25">
        <v>12500</v>
      </c>
      <c r="D2662" s="22" t="s">
        <v>3938</v>
      </c>
      <c r="E2662" s="22" t="s">
        <v>1013</v>
      </c>
      <c r="F2662" s="23" t="str">
        <f>HYPERLINK("https://www.spark-marketing.ru/Card/Lot/72923195", "Техническое обслуживание системы видеонаблюдения, 1 усл. ед")</f>
        <v>Техническое обслуживание системы видеонаблюдения, 1 усл. ед</v>
      </c>
      <c r="G2662" s="22" t="s">
        <v>69</v>
      </c>
      <c r="H2662" s="22" t="s">
        <v>973</v>
      </c>
      <c r="I2662" s="26">
        <v>43698.331122685202</v>
      </c>
      <c r="J2662" s="28" t="s">
        <v>52</v>
      </c>
      <c r="K2662" s="28" t="s">
        <v>52</v>
      </c>
      <c r="L2662" s="28" t="s">
        <v>52</v>
      </c>
      <c r="M2662" s="28" t="s">
        <v>52</v>
      </c>
      <c r="N2662" s="28" t="s">
        <v>52</v>
      </c>
    </row>
    <row r="2663" spans="1:14" x14ac:dyDescent="0.15">
      <c r="A2663" s="23" t="str">
        <f>HYPERLINK("https://www.spark-marketing.ru/Card/Person/947443", "МО МВД РОССИИ ""СПАССКИЙ""")</f>
        <v>МО МВД РОССИИ "СПАССКИЙ"</v>
      </c>
      <c r="B2663" s="24" t="s">
        <v>3939</v>
      </c>
      <c r="C2663" s="25">
        <v>79410.25</v>
      </c>
      <c r="D2663" s="22" t="s">
        <v>3940</v>
      </c>
      <c r="E2663" s="22" t="s">
        <v>53</v>
      </c>
      <c r="F2663" s="23" t="str">
        <f>HYPERLINK("https://www.spark-marketing.ru/Card/Lot/72920468", "Услуги пао охране объектов")</f>
        <v>Услуги пао охране объектов</v>
      </c>
      <c r="G2663" s="22" t="s">
        <v>409</v>
      </c>
      <c r="H2663" s="22" t="s">
        <v>3941</v>
      </c>
      <c r="I2663" s="26">
        <v>43698.140289351897</v>
      </c>
      <c r="J2663" s="28" t="s">
        <v>52</v>
      </c>
      <c r="K2663" s="28" t="s">
        <v>52</v>
      </c>
      <c r="L2663" s="28" t="s">
        <v>52</v>
      </c>
      <c r="M2663" s="28" t="s">
        <v>52</v>
      </c>
      <c r="N2663" s="28" t="s">
        <v>52</v>
      </c>
    </row>
    <row r="2664" spans="1:14" x14ac:dyDescent="0.15">
      <c r="A2664" s="23" t="str">
        <f>HYPERLINK("https://www.spark-marketing.ru/Card/Person/32072", "ГБУК Г.МОСКВЫ ""МВО ""МАНЕЖ""")</f>
        <v>ГБУК Г.МОСКВЫ "МВО "МАНЕЖ"</v>
      </c>
      <c r="B2664" s="24" t="s">
        <v>3942</v>
      </c>
      <c r="C2664" s="25">
        <v>30466714.059999999</v>
      </c>
      <c r="D2664" s="22" t="s">
        <v>3943</v>
      </c>
      <c r="E2664" s="22" t="s">
        <v>3944</v>
      </c>
      <c r="F2664" s="23" t="str">
        <f>HYPERLINK("https://www.spark-marketing.ru/Card/Lot/72924971", "Оказание услуг по техническому обслуживанию систем охранной сигнализации, видеонаблюдения и контроля доступа на объектах Государственного бюджетного учреждения культуры города Москвы ""Музейно-выставочное объединение ""Манеж"".")</f>
        <v>Оказание услуг по техническому обслуживанию систем охранной сигнализации, видеонаблюдения и контроля доступа на объектах Государственного бюджетного учреждения культуры города Москвы "Музейно-выставочное объединение "Манеж".</v>
      </c>
      <c r="G2664" s="22" t="s">
        <v>55</v>
      </c>
      <c r="H2664" s="22" t="s">
        <v>55</v>
      </c>
      <c r="I2664" s="26">
        <v>43698</v>
      </c>
      <c r="J2664" s="28" t="s">
        <v>52</v>
      </c>
      <c r="K2664" s="28" t="s">
        <v>52</v>
      </c>
      <c r="L2664" s="28" t="s">
        <v>52</v>
      </c>
      <c r="M2664" s="28" t="s">
        <v>52</v>
      </c>
      <c r="N2664" s="28" t="s">
        <v>52</v>
      </c>
    </row>
    <row r="2665" spans="1:14" x14ac:dyDescent="0.15">
      <c r="A2665" s="23" t="str">
        <f>HYPERLINK("https://www.spark-marketing.ru/Card/Person/10487", "ФГУП ""ОХРАНА"" РОСГВАРДИИ")</f>
        <v>ФГУП "ОХРАНА" РОСГВАРДИИ</v>
      </c>
      <c r="B2665" s="24" t="s">
        <v>779</v>
      </c>
      <c r="C2665" s="25">
        <v>470067.9</v>
      </c>
      <c r="D2665" s="22" t="s">
        <v>3945</v>
      </c>
      <c r="E2665" s="22" t="s">
        <v>781</v>
      </c>
      <c r="F2665" s="23" t="str">
        <f>HYPERLINK("https://www.spark-marketing.ru/Card/Lot/72907373", "Оказание услуг по бронированию и приобретению проездных документов на автомобильный транспорт для нужд Управления по Сибирскому федеральному округу по Центра охраны объектов промышленности")</f>
        <v>Оказание услуг по бронированию и приобретению проездных документов на автомобильный транспорт для нужд Управления по Сибирскому федеральному округу по Центра охраны объектов промышленности</v>
      </c>
      <c r="G2665" s="22" t="s">
        <v>428</v>
      </c>
      <c r="H2665" s="22" t="s">
        <v>428</v>
      </c>
      <c r="I2665" s="26">
        <v>43697</v>
      </c>
      <c r="J2665" s="28" t="s">
        <v>52</v>
      </c>
      <c r="K2665" s="28" t="s">
        <v>52</v>
      </c>
      <c r="L2665" s="28" t="s">
        <v>52</v>
      </c>
      <c r="M2665" s="28" t="s">
        <v>52</v>
      </c>
      <c r="N2665" s="28" t="s">
        <v>52</v>
      </c>
    </row>
    <row r="2666" spans="1:14" x14ac:dyDescent="0.2">
      <c r="A2666" s="23" t="str">
        <f>HYPERLINK("https://www.spark-marketing.ru/Card/Person/16510", "ФГБОУ ВО СЗГМУ ИМ. И.И. МЕЧНИКОВА МИНЗДРАВА РОССИИ")</f>
        <v>ФГБОУ ВО СЗГМУ ИМ. И.И. МЕЧНИКОВА МИНЗДРАВА РОССИИ</v>
      </c>
      <c r="B2666" s="24" t="s">
        <v>3946</v>
      </c>
      <c r="C2666" s="25">
        <v>149000</v>
      </c>
      <c r="D2666" s="22" t="s">
        <v>3947</v>
      </c>
      <c r="E2666" s="22" t="s">
        <v>533</v>
      </c>
      <c r="F2666" s="23" t="str">
        <f>HYPERLINK("https://www.spark-marketing.ru/Card/Lot/72906354", "Разработка и создание транскодера выходного видеосигнала для трансляции выходного видеосигнала с ангиографической установки на конференцию «Оптимальная медикаментозная терапия в кардиологии» для нужд ФГБОУ ВО СЗГМУ им. И.И. Мечникова Минздрава России...")</f>
        <v>Разработка и создание транскодера выходного видеосигнала для трансляции выходного видеосигнала с ангиографической установки на конференцию «Оптимальная медикаментозная терапия в кардиологии» для нужд ФГБОУ ВО СЗГМУ им. И.И. Мечникова Минздрава России...</v>
      </c>
      <c r="G2666" s="22" t="s">
        <v>89</v>
      </c>
      <c r="H2666" s="22" t="s">
        <v>89</v>
      </c>
      <c r="I2666" s="26">
        <v>43697</v>
      </c>
      <c r="J2666" s="28" t="s">
        <v>52</v>
      </c>
      <c r="K2666" s="28" t="s">
        <v>52</v>
      </c>
      <c r="L2666" s="28" t="s">
        <v>52</v>
      </c>
      <c r="M2666" s="25">
        <v>149000</v>
      </c>
      <c r="N2666" s="27">
        <v>0</v>
      </c>
    </row>
    <row r="2667" spans="1:14" x14ac:dyDescent="0.15">
      <c r="A2667" s="23" t="str">
        <f>HYPERLINK("https://www.spark-marketing.ru/Card/Person/4346781", "ПАО ""МСЗ""")</f>
        <v>ПАО "МСЗ"</v>
      </c>
      <c r="B2667" s="24" t="s">
        <v>744</v>
      </c>
      <c r="C2667" s="25">
        <v>560000</v>
      </c>
      <c r="D2667" s="22" t="s">
        <v>3948</v>
      </c>
      <c r="E2667" s="22" t="s">
        <v>53</v>
      </c>
      <c r="F2667" s="23" t="str">
        <f>HYPERLINK("https://www.spark-marketing.ru/Card/Lot/72934565", "Право заключения договора на 907-U130-19/599 Оказание услуг по не вооруженной охране имущества, принадлежащего ПАО ""МСЗ"", находящегося в г. Электросталь Московской области по адресу ул. Лесная д. 4")</f>
        <v>Право заключения договора на 907-U130-19/599 Оказание услуг по не вооруженной охране имущества, принадлежащего ПАО "МСЗ", находящегося в г. Электросталь Московской области по адресу ул. Лесная д. 4</v>
      </c>
      <c r="G2667" s="22" t="s">
        <v>50</v>
      </c>
      <c r="H2667" s="22" t="s">
        <v>747</v>
      </c>
      <c r="I2667" s="26">
        <v>43698</v>
      </c>
      <c r="J2667" s="28" t="s">
        <v>52</v>
      </c>
      <c r="K2667" s="28" t="s">
        <v>52</v>
      </c>
      <c r="L2667" s="28" t="s">
        <v>52</v>
      </c>
      <c r="M2667" s="28" t="s">
        <v>52</v>
      </c>
      <c r="N2667" s="28" t="s">
        <v>52</v>
      </c>
    </row>
    <row r="2668" spans="1:14" x14ac:dyDescent="0.15">
      <c r="A2668" s="23" t="str">
        <f>HYPERLINK("https://www.spark-marketing.ru/Card/Person/330012", "ФЛ АО ""Концерн Росэнергоатом""")</f>
        <v>ФЛ АО "Концерн Росэнергоатом"</v>
      </c>
      <c r="B2668" s="24" t="s">
        <v>211</v>
      </c>
      <c r="C2668" s="28" t="s">
        <v>52</v>
      </c>
      <c r="D2668" s="22" t="s">
        <v>3949</v>
      </c>
      <c r="E2668" s="22" t="s">
        <v>53</v>
      </c>
      <c r="F2668" s="23" t="str">
        <f>HYPERLINK("https://www.spark-marketing.ru/Card/Lot/72949478", "Оказание услуг по охране объектов строительной площадки Балтийской АЭС, обеспечению пропускного и внутриобъектового режимов (1325169)")</f>
        <v>Оказание услуг по охране объектов строительной площадки Балтийской АЭС, обеспечению пропускного и внутриобъектового режимов (1325169)</v>
      </c>
      <c r="G2668" s="22" t="s">
        <v>55</v>
      </c>
      <c r="H2668" s="22" t="s">
        <v>55</v>
      </c>
      <c r="I2668" s="26">
        <v>43698.748506944401</v>
      </c>
      <c r="J2668" s="28" t="s">
        <v>52</v>
      </c>
      <c r="K2668" s="28" t="s">
        <v>52</v>
      </c>
      <c r="L2668" s="28" t="s">
        <v>52</v>
      </c>
      <c r="M2668" s="28" t="s">
        <v>52</v>
      </c>
      <c r="N2668" s="28" t="s">
        <v>52</v>
      </c>
    </row>
    <row r="2669" spans="1:14" x14ac:dyDescent="0.2">
      <c r="A2669" s="23" t="str">
        <f>HYPERLINK("https://www.spark-marketing.ru/Card/Person/123422", "ПАО ""МОСКОВСКАЯ ОБЪЕДИНЕННАЯ ЭЛЕКТРОСЕТЕВАЯ КОМПАНИЯ"" ПАО ""МОЭСК""")</f>
        <v>ПАО "МОСКОВСКАЯ ОБЪЕДИНЕННАЯ ЭЛЕКТРОСЕТЕВАЯ КОМПАНИЯ" ПАО "МОЭСК"</v>
      </c>
      <c r="B2669" s="24" t="s">
        <v>2579</v>
      </c>
      <c r="C2669" s="25">
        <v>14832711.689999999</v>
      </c>
      <c r="D2669" s="22" t="s">
        <v>3950</v>
      </c>
      <c r="E2669" s="22" t="s">
        <v>3951</v>
      </c>
      <c r="F2669" s="23" t="str">
        <f>HYPERLINK("https://www.spark-marketing.ru/Card/Lot/72944017", "Определение исполнителя на оказание услуг по техническому обслуживанию, мониторингу и управлению оборудованием систем селекторной и видеоконференцсвязи ПАО «МОЭСК.")</f>
        <v>Определение исполнителя на оказание услуг по техническому обслуживанию, мониторингу и управлению оборудованием систем селекторной и видеоконференцсвязи ПАО «МОЭСК.</v>
      </c>
      <c r="G2669" s="22" t="s">
        <v>55</v>
      </c>
      <c r="H2669" s="22" t="s">
        <v>55</v>
      </c>
      <c r="I2669" s="26">
        <v>43698</v>
      </c>
      <c r="J2669" s="28" t="s">
        <v>52</v>
      </c>
      <c r="K2669" s="28" t="s">
        <v>52</v>
      </c>
      <c r="L2669" s="22" t="s">
        <v>10</v>
      </c>
      <c r="M2669" s="25">
        <v>12113381.210000001</v>
      </c>
      <c r="N2669" s="27">
        <v>0.18333333356929829</v>
      </c>
    </row>
    <row r="2670" spans="1:14" x14ac:dyDescent="0.15">
      <c r="A2670" s="23" t="str">
        <f>HYPERLINK("https://www.spark-marketing.ru/Card/Person/169936", "АО ""СМП-НЕФТЕГАЗ""")</f>
        <v>АО "СМП-НЕФТЕГАЗ"</v>
      </c>
      <c r="B2670" s="24" t="s">
        <v>3952</v>
      </c>
      <c r="C2670" s="25">
        <v>0</v>
      </c>
      <c r="D2670" s="22" t="s">
        <v>3953</v>
      </c>
      <c r="E2670" s="22" t="s">
        <v>208</v>
      </c>
      <c r="F2670" s="23" t="str">
        <f>HYPERLINK("https://www.spark-marketing.ru/Card/Lot/72932872", "Серверный шкаф для установки оборудования")</f>
        <v>Серверный шкаф для установки оборудования</v>
      </c>
      <c r="G2670" s="22" t="s">
        <v>204</v>
      </c>
      <c r="H2670" s="22" t="s">
        <v>308</v>
      </c>
      <c r="I2670" s="26">
        <v>43698.443969907399</v>
      </c>
      <c r="J2670" s="28" t="s">
        <v>52</v>
      </c>
      <c r="K2670" s="28" t="s">
        <v>52</v>
      </c>
      <c r="L2670" s="28" t="s">
        <v>52</v>
      </c>
      <c r="M2670" s="28" t="s">
        <v>52</v>
      </c>
      <c r="N2670" s="28" t="s">
        <v>52</v>
      </c>
    </row>
    <row r="2671" spans="1:14" x14ac:dyDescent="0.15">
      <c r="A2671" s="23" t="str">
        <f>HYPERLINK("https://www.spark-marketing.ru/Card/Person/1039551", "МБОУ ""ГИМНАЗИЯ № 2"" Г. БРЯНСКА")</f>
        <v>МБОУ "ГИМНАЗИЯ № 2" Г. БРЯНСКА</v>
      </c>
      <c r="B2671" s="24" t="s">
        <v>3954</v>
      </c>
      <c r="C2671" s="25">
        <v>112320</v>
      </c>
      <c r="D2671" s="22" t="s">
        <v>3955</v>
      </c>
      <c r="E2671" s="22" t="s">
        <v>68</v>
      </c>
      <c r="F2671" s="23" t="str">
        <f>HYPERLINK("https://www.spark-marketing.ru/Card/Lot/72917457", "Услуги по обеспечению охраны объекта")</f>
        <v>Услуги по обеспечению охраны объекта</v>
      </c>
      <c r="G2671" s="22" t="s">
        <v>215</v>
      </c>
      <c r="H2671" s="22" t="s">
        <v>406</v>
      </c>
      <c r="I2671" s="26">
        <v>43697.756249999999</v>
      </c>
      <c r="J2671" s="28" t="s">
        <v>52</v>
      </c>
      <c r="K2671" s="28" t="s">
        <v>52</v>
      </c>
      <c r="L2671" s="28" t="s">
        <v>52</v>
      </c>
      <c r="M2671" s="28" t="s">
        <v>52</v>
      </c>
      <c r="N2671" s="28" t="s">
        <v>52</v>
      </c>
    </row>
    <row r="2672" spans="1:14" x14ac:dyDescent="0.15">
      <c r="A2672" s="23" t="str">
        <f>HYPERLINK("https://www.spark-marketing.ru/Card/Person/1037626", "МБОУ СОШ №53 Г.БРЯНСКА")</f>
        <v>МБОУ СОШ №53 Г.БРЯНСКА</v>
      </c>
      <c r="B2672" s="24" t="s">
        <v>3956</v>
      </c>
      <c r="C2672" s="25">
        <v>115200</v>
      </c>
      <c r="D2672" s="22" t="s">
        <v>3957</v>
      </c>
      <c r="E2672" s="22" t="s">
        <v>68</v>
      </c>
      <c r="F2672" s="23" t="str">
        <f>HYPERLINK("https://www.spark-marketing.ru/Card/Lot/72916379", "Услуги по обеспечению охраны объекта")</f>
        <v>Услуги по обеспечению охраны объекта</v>
      </c>
      <c r="G2672" s="22" t="s">
        <v>215</v>
      </c>
      <c r="H2672" s="22" t="s">
        <v>406</v>
      </c>
      <c r="I2672" s="26">
        <v>43697.752083333296</v>
      </c>
      <c r="J2672" s="28" t="s">
        <v>52</v>
      </c>
      <c r="K2672" s="28" t="s">
        <v>52</v>
      </c>
      <c r="L2672" s="28" t="s">
        <v>52</v>
      </c>
      <c r="M2672" s="28" t="s">
        <v>52</v>
      </c>
      <c r="N2672" s="28" t="s">
        <v>52</v>
      </c>
    </row>
    <row r="2673" spans="1:14" x14ac:dyDescent="0.15">
      <c r="A2673" s="23" t="str">
        <f>HYPERLINK("https://www.spark-marketing.ru/Card/Person/121090", "ГБУ ""ХОЗУПРАВЛЕНИЕ РТ""")</f>
        <v>ГБУ "ХОЗУПРАВЛЕНИЕ РТ"</v>
      </c>
      <c r="B2673" s="24" t="s">
        <v>3958</v>
      </c>
      <c r="C2673" s="25">
        <v>267719</v>
      </c>
      <c r="D2673" s="22" t="s">
        <v>3959</v>
      </c>
      <c r="E2673" s="22" t="s">
        <v>84</v>
      </c>
      <c r="F2673" s="23" t="str">
        <f>HYPERLINK("https://www.spark-marketing.ru/Card/Lot/72912908", "Поставка, установка и монтаж систем видеонаблюдения для нужд ГБУ ""Хозуправление РТ""")</f>
        <v>Поставка, установка и монтаж систем видеонаблюдения для нужд ГБУ "Хозуправление РТ"</v>
      </c>
      <c r="G2673" s="22" t="s">
        <v>2193</v>
      </c>
      <c r="H2673" s="22" t="s">
        <v>2194</v>
      </c>
      <c r="I2673" s="26">
        <v>43697.751018518502</v>
      </c>
      <c r="J2673" s="28" t="s">
        <v>52</v>
      </c>
      <c r="K2673" s="28" t="s">
        <v>52</v>
      </c>
      <c r="L2673" s="28" t="s">
        <v>52</v>
      </c>
      <c r="M2673" s="28" t="s">
        <v>52</v>
      </c>
      <c r="N2673" s="28" t="s">
        <v>52</v>
      </c>
    </row>
    <row r="2674" spans="1:14" ht="12.75" hidden="1" outlineLevel="1" x14ac:dyDescent="0.2">
      <c r="A2674" s="23" t="str">
        <f>HYPERLINK("https://www.spark-marketing.ru/Card/Person/121090", "ГБУ ""ХОЗУПРАВЛЕНИЕ РТ""")</f>
        <v>ГБУ "ХОЗУПРАВЛЕНИЕ РТ"</v>
      </c>
      <c r="B2674" s="24" t="s">
        <v>3958</v>
      </c>
      <c r="C2674" s="25">
        <v>267719</v>
      </c>
      <c r="D2674" s="22" t="s">
        <v>3959</v>
      </c>
      <c r="E2674" s="22" t="s">
        <v>84</v>
      </c>
      <c r="F2674" s="23" t="str">
        <f>HYPERLINK("https://www.spark-marketing.ru/Card/Lot/72912908", "Поставка, установка и монтаж систем видеонаблюдения для нужд ГБУ ""Хозуправление РТ""")</f>
        <v>Поставка, установка и монтаж систем видеонаблюдения для нужд ГБУ "Хозуправление РТ"</v>
      </c>
      <c r="G2674" s="22" t="s">
        <v>2193</v>
      </c>
      <c r="H2674" s="22" t="s">
        <v>2194</v>
      </c>
      <c r="I2674" s="26">
        <v>43697.751018518502</v>
      </c>
      <c r="J2674" s="23" t="str">
        <f>HYPERLINK("https://www.spark-marketing.ru/Card/Person/6625801", "Мумбалдай Валера Валерьевич")</f>
        <v>Мумбалдай Валера Валерьевич</v>
      </c>
      <c r="K2674" s="24" t="s">
        <v>3960</v>
      </c>
      <c r="L2674" s="22" t="s">
        <v>10</v>
      </c>
      <c r="M2674" s="25">
        <v>207482</v>
      </c>
      <c r="N2674" s="27">
        <v>0.22500084043343954</v>
      </c>
    </row>
    <row r="2675" spans="1:14" hidden="1" outlineLevel="1" x14ac:dyDescent="0.2">
      <c r="A2675" s="23" t="str">
        <f>HYPERLINK("https://www.spark-marketing.ru/Card/Person/121090", "ГБУ ""ХОЗУПРАВЛЕНИЕ РТ""")</f>
        <v>ГБУ "ХОЗУПРАВЛЕНИЕ РТ"</v>
      </c>
      <c r="B2675" s="24" t="s">
        <v>3958</v>
      </c>
      <c r="C2675" s="25">
        <v>267719</v>
      </c>
      <c r="D2675" s="22" t="s">
        <v>3959</v>
      </c>
      <c r="E2675" s="22" t="s">
        <v>84</v>
      </c>
      <c r="F2675" s="23" t="str">
        <f>HYPERLINK("https://www.spark-marketing.ru/Card/Lot/72912908", "Поставка, установка и монтаж систем видеонаблюдения для нужд ГБУ ""Хозуправление РТ""")</f>
        <v>Поставка, установка и монтаж систем видеонаблюдения для нужд ГБУ "Хозуправление РТ"</v>
      </c>
      <c r="G2675" s="22" t="s">
        <v>2193</v>
      </c>
      <c r="H2675" s="22" t="s">
        <v>2194</v>
      </c>
      <c r="I2675" s="26">
        <v>43697.751018518502</v>
      </c>
      <c r="J2675" s="23" t="str">
        <f>HYPERLINK("https://www.spark-marketing.ru/Card/Person/364957", "ООО ЧОО ""ТАЙФУН""")</f>
        <v>ООО ЧОО "ТАЙФУН"</v>
      </c>
      <c r="K2675" s="24" t="s">
        <v>3961</v>
      </c>
      <c r="L2675" s="28" t="s">
        <v>52</v>
      </c>
      <c r="M2675" s="25">
        <v>208820.6</v>
      </c>
      <c r="N2675" s="27">
        <v>0.22000082175714089</v>
      </c>
    </row>
    <row r="2676" spans="1:14" x14ac:dyDescent="0.15">
      <c r="A2676" s="23" t="str">
        <f>HYPERLINK("https://www.spark-marketing.ru/Card/Person/1039551", "МБОУ ""ГИМНАЗИЯ № 2"" Г. БРЯНСКА")</f>
        <v>МБОУ "ГИМНАЗИЯ № 2" Г. БРЯНСКА</v>
      </c>
      <c r="B2676" s="24" t="s">
        <v>3954</v>
      </c>
      <c r="C2676" s="25">
        <v>135360</v>
      </c>
      <c r="D2676" s="22" t="s">
        <v>3962</v>
      </c>
      <c r="E2676" s="22" t="s">
        <v>68</v>
      </c>
      <c r="F2676" s="23" t="str">
        <f>HYPERLINK("https://www.spark-marketing.ru/Card/Lot/72917456", "Услуги по обеспечению охраны объекта с осуществлением обеспечения особого порядка доступа на объект.")</f>
        <v>Услуги по обеспечению охраны объекта с осуществлением обеспечения особого порядка доступа на объект.</v>
      </c>
      <c r="G2676" s="22" t="s">
        <v>215</v>
      </c>
      <c r="H2676" s="22" t="s">
        <v>406</v>
      </c>
      <c r="I2676" s="26">
        <v>43697.755555555603</v>
      </c>
      <c r="J2676" s="28" t="s">
        <v>52</v>
      </c>
      <c r="K2676" s="28" t="s">
        <v>52</v>
      </c>
      <c r="L2676" s="28" t="s">
        <v>52</v>
      </c>
      <c r="M2676" s="28" t="s">
        <v>52</v>
      </c>
      <c r="N2676" s="28" t="s">
        <v>52</v>
      </c>
    </row>
    <row r="2677" spans="1:14" x14ac:dyDescent="0.15">
      <c r="A2677" s="23" t="str">
        <f>HYPERLINK("https://www.spark-marketing.ru/Card/Person/1038454", "МБОУ СОШ №13 ИМЕНИ ГЕРОЯ СОВЕТСКОГО СОЮЗА И.Б.КАТУНИНА Г. БРЯНСКА")</f>
        <v>МБОУ СОШ №13 ИМЕНИ ГЕРОЯ СОВЕТСКОГО СОЮЗА И.Б.КАТУНИНА Г. БРЯНСКА</v>
      </c>
      <c r="B2677" s="24" t="s">
        <v>3963</v>
      </c>
      <c r="C2677" s="25">
        <v>110880</v>
      </c>
      <c r="D2677" s="22" t="s">
        <v>3964</v>
      </c>
      <c r="E2677" s="22" t="s">
        <v>68</v>
      </c>
      <c r="F2677" s="23" t="str">
        <f>HYPERLINK("https://www.spark-marketing.ru/Card/Lot/72917460", "услуги по охране объекта")</f>
        <v>услуги по охране объекта</v>
      </c>
      <c r="G2677" s="22" t="s">
        <v>215</v>
      </c>
      <c r="H2677" s="22" t="s">
        <v>406</v>
      </c>
      <c r="I2677" s="26">
        <v>43697.7590277778</v>
      </c>
      <c r="J2677" s="28" t="s">
        <v>52</v>
      </c>
      <c r="K2677" s="28" t="s">
        <v>52</v>
      </c>
      <c r="L2677" s="28" t="s">
        <v>52</v>
      </c>
      <c r="M2677" s="28" t="s">
        <v>52</v>
      </c>
      <c r="N2677" s="28" t="s">
        <v>52</v>
      </c>
    </row>
    <row r="2678" spans="1:14" x14ac:dyDescent="0.15">
      <c r="A2678" s="23" t="str">
        <f>HYPERLINK("https://www.spark-marketing.ru/Card/Person/1038270", "МБОУ ""ШКОЛА КОРРЕКЦИИ И РАЗВИТИЯ VIII ВИДА №44"" Г. БРЯНСКА")</f>
        <v>МБОУ "ШКОЛА КОРРЕКЦИИ И РАЗВИТИЯ VIII ВИДА №44" Г. БРЯНСКА</v>
      </c>
      <c r="B2678" s="24" t="s">
        <v>3965</v>
      </c>
      <c r="C2678" s="25">
        <v>115200</v>
      </c>
      <c r="D2678" s="22" t="s">
        <v>3966</v>
      </c>
      <c r="E2678" s="22" t="s">
        <v>68</v>
      </c>
      <c r="F2678" s="23" t="str">
        <f>HYPERLINK("https://www.spark-marketing.ru/Card/Lot/72915056", "услуги по обеспечению охраны объекта")</f>
        <v>услуги по обеспечению охраны объекта</v>
      </c>
      <c r="G2678" s="22" t="s">
        <v>215</v>
      </c>
      <c r="H2678" s="22" t="s">
        <v>406</v>
      </c>
      <c r="I2678" s="26">
        <v>43697.735416666699</v>
      </c>
      <c r="J2678" s="28" t="s">
        <v>52</v>
      </c>
      <c r="K2678" s="28" t="s">
        <v>52</v>
      </c>
      <c r="L2678" s="28" t="s">
        <v>52</v>
      </c>
      <c r="M2678" s="28" t="s">
        <v>52</v>
      </c>
      <c r="N2678" s="28" t="s">
        <v>52</v>
      </c>
    </row>
    <row r="2679" spans="1:14" x14ac:dyDescent="0.15">
      <c r="A2679" s="23" t="str">
        <f>HYPERLINK("https://www.spark-marketing.ru/Card/Person/1029554", "МДОУ №8 Г. МОЖАЙСКА")</f>
        <v>МДОУ №8 Г. МОЖАЙСКА</v>
      </c>
      <c r="B2679" s="24" t="s">
        <v>3967</v>
      </c>
      <c r="C2679" s="25">
        <v>20000</v>
      </c>
      <c r="D2679" s="22" t="s">
        <v>3968</v>
      </c>
      <c r="E2679" s="22" t="s">
        <v>103</v>
      </c>
      <c r="F2679" s="23" t="str">
        <f>HYPERLINK("https://www.spark-marketing.ru/Card/Lot/72916333", "Оказание услуг по техническому обслуживанию системы видеонаблюдения")</f>
        <v>Оказание услуг по техническому обслуживанию системы видеонаблюдения</v>
      </c>
      <c r="G2679" s="22" t="s">
        <v>50</v>
      </c>
      <c r="H2679" s="22" t="s">
        <v>946</v>
      </c>
      <c r="I2679" s="26">
        <v>43697.742916666699</v>
      </c>
      <c r="J2679" s="28" t="s">
        <v>52</v>
      </c>
      <c r="K2679" s="28" t="s">
        <v>52</v>
      </c>
      <c r="L2679" s="28" t="s">
        <v>52</v>
      </c>
      <c r="M2679" s="28" t="s">
        <v>52</v>
      </c>
      <c r="N2679" s="28" t="s">
        <v>52</v>
      </c>
    </row>
    <row r="2680" spans="1:14" x14ac:dyDescent="0.15">
      <c r="A2680" s="23" t="str">
        <f>HYPERLINK("https://www.spark-marketing.ru/Card/Person/164719", "УСК ""НЕФТЕХИМИК"" ПАО ""НКНХ""")</f>
        <v>УСК "НЕФТЕХИМИК" ПАО "НКНХ"</v>
      </c>
      <c r="B2680" s="24" t="s">
        <v>1858</v>
      </c>
      <c r="C2680" s="25">
        <v>105000</v>
      </c>
      <c r="D2680" s="22" t="s">
        <v>3969</v>
      </c>
      <c r="E2680" s="22" t="s">
        <v>53</v>
      </c>
      <c r="F2680" s="23" t="str">
        <f>HYPERLINK("https://www.spark-marketing.ru/Card/Lot/72922105", "Техническое обслуживание систем видеонаблюдения и регистрации, системы контроля доступа (шлагбаумы), системы Форвард-Рефери на объектах УСК ""Нефтехимик"": Ледовый дворец ""Нефтехим Арена"", Малая ледовая арена, расположенных по адресу г.Нижнекамск, ...")</f>
        <v>Техническое обслуживание систем видеонаблюдения и регистрации, системы контроля доступа (шлагбаумы), системы Форвард-Рефери на объектах УСК "Нефтехимик": Ледовый дворец "Нефтехим Арена", Малая ледовая арена, расположенных по адресу г.Нижнекамск, ...</v>
      </c>
      <c r="G2680" s="22" t="s">
        <v>204</v>
      </c>
      <c r="H2680" s="22" t="s">
        <v>824</v>
      </c>
      <c r="I2680" s="26">
        <v>43697.729166666701</v>
      </c>
      <c r="J2680" s="28" t="s">
        <v>52</v>
      </c>
      <c r="K2680" s="28" t="s">
        <v>52</v>
      </c>
      <c r="L2680" s="28" t="s">
        <v>52</v>
      </c>
      <c r="M2680" s="28" t="s">
        <v>52</v>
      </c>
      <c r="N2680" s="28" t="s">
        <v>52</v>
      </c>
    </row>
    <row r="2681" spans="1:14" x14ac:dyDescent="0.15">
      <c r="A2681" s="23" t="str">
        <f>HYPERLINK("https://www.spark-marketing.ru/Card/Person/164719", "УСК ""НЕФТЕХИМИК"" ПАО ""НКНХ""")</f>
        <v>УСК "НЕФТЕХИМИК" ПАО "НКНХ"</v>
      </c>
      <c r="B2681" s="24" t="s">
        <v>1858</v>
      </c>
      <c r="C2681" s="25">
        <v>200000</v>
      </c>
      <c r="D2681" s="22" t="s">
        <v>3969</v>
      </c>
      <c r="E2681" s="22" t="s">
        <v>53</v>
      </c>
      <c r="F2681" s="23" t="str">
        <f>HYPERLINK("https://www.spark-marketing.ru/Card/Lot/72922107", "Техническое обслуживание систем видеонаблюдения на объектах УСК ""Нефтехимик"" г. Нижнекамск: Спорткомплекс ""Нефтехимик""(административное здание) (ул.30 лет Победы, д.8А) , СОК ""Дружба (ул.30 лет Победы, д.5 Б), Учебно-тренировочная база ""Алмаш""...")</f>
        <v>Техническое обслуживание систем видеонаблюдения на объектах УСК "Нефтехимик" г. Нижнекамск: Спорткомплекс "Нефтехимик"(административное здание) (ул.30 лет Победы, д.8А) , СОК "Дружба (ул.30 лет Победы, д.5 Б), Учебно-тренировочная база "Алмаш"...</v>
      </c>
      <c r="G2681" s="22" t="s">
        <v>204</v>
      </c>
      <c r="H2681" s="22" t="s">
        <v>824</v>
      </c>
      <c r="I2681" s="26">
        <v>43697.729166666701</v>
      </c>
      <c r="J2681" s="28" t="s">
        <v>52</v>
      </c>
      <c r="K2681" s="28" t="s">
        <v>52</v>
      </c>
      <c r="L2681" s="28" t="s">
        <v>52</v>
      </c>
      <c r="M2681" s="28" t="s">
        <v>52</v>
      </c>
      <c r="N2681" s="28" t="s">
        <v>52</v>
      </c>
    </row>
    <row r="2682" spans="1:14" x14ac:dyDescent="0.15">
      <c r="A2682" s="23" t="str">
        <f>HYPERLINK("https://www.spark-marketing.ru/Card/Person/122417", "УПРАВЛЕНИЕ МИНЮСТА РОССИИ ПО ТАМБОВСКОЙ ОБЛАСТИ")</f>
        <v>УПРАВЛЕНИЕ МИНЮСТА РОССИИ ПО ТАМБОВСКОЙ ОБЛАСТИ</v>
      </c>
      <c r="B2682" s="24" t="s">
        <v>3970</v>
      </c>
      <c r="C2682" s="25">
        <v>10848</v>
      </c>
      <c r="D2682" s="22" t="s">
        <v>3971</v>
      </c>
      <c r="E2682" s="22" t="s">
        <v>68</v>
      </c>
      <c r="F2682" s="23" t="str">
        <f>HYPERLINK("https://www.spark-marketing.ru/Card/Lot/72915195", "охрана, путем реагирования группы задержания на срабатывание кнопки тревожной сигнализации, 1 усл. ед")</f>
        <v>охрана, путем реагирования группы задержания на срабатывание кнопки тревожной сигнализации, 1 усл. ед</v>
      </c>
      <c r="G2682" s="22" t="s">
        <v>1319</v>
      </c>
      <c r="H2682" s="22" t="s">
        <v>1320</v>
      </c>
      <c r="I2682" s="26">
        <v>43697.7288541667</v>
      </c>
      <c r="J2682" s="28" t="s">
        <v>52</v>
      </c>
      <c r="K2682" s="28" t="s">
        <v>52</v>
      </c>
      <c r="L2682" s="28" t="s">
        <v>52</v>
      </c>
      <c r="M2682" s="28" t="s">
        <v>52</v>
      </c>
      <c r="N2682" s="28" t="s">
        <v>52</v>
      </c>
    </row>
    <row r="2683" spans="1:14" x14ac:dyDescent="0.15">
      <c r="A2683" s="23" t="str">
        <f>HYPERLINK("https://www.spark-marketing.ru/Card/Person/1038218", "МБОУ СОШ № 43 Г.БРЯНСКА")</f>
        <v>МБОУ СОШ № 43 Г.БРЯНСКА</v>
      </c>
      <c r="B2683" s="24" t="s">
        <v>3972</v>
      </c>
      <c r="C2683" s="25">
        <v>113760</v>
      </c>
      <c r="D2683" s="22" t="s">
        <v>3973</v>
      </c>
      <c r="E2683" s="22" t="s">
        <v>68</v>
      </c>
      <c r="F2683" s="23" t="str">
        <f>HYPERLINK("https://www.spark-marketing.ru/Card/Lot/72913591", "услуги по обеспечению охраны объекта")</f>
        <v>услуги по обеспечению охраны объекта</v>
      </c>
      <c r="G2683" s="22" t="s">
        <v>215</v>
      </c>
      <c r="H2683" s="22" t="s">
        <v>406</v>
      </c>
      <c r="I2683" s="26">
        <v>43697.717361111099</v>
      </c>
      <c r="J2683" s="28" t="s">
        <v>52</v>
      </c>
      <c r="K2683" s="28" t="s">
        <v>52</v>
      </c>
      <c r="L2683" s="28" t="s">
        <v>52</v>
      </c>
      <c r="M2683" s="28" t="s">
        <v>52</v>
      </c>
      <c r="N2683" s="28" t="s">
        <v>52</v>
      </c>
    </row>
    <row r="2684" spans="1:14" x14ac:dyDescent="0.15">
      <c r="A2684" s="23" t="str">
        <f>HYPERLINK("https://www.spark-marketing.ru/Card/Person/164719", "УСК ""НЕФТЕХИМИК"" ПАО ""НКНХ""")</f>
        <v>УСК "НЕФТЕХИМИК" ПАО "НКНХ"</v>
      </c>
      <c r="B2684" s="24" t="s">
        <v>1858</v>
      </c>
      <c r="C2684" s="25">
        <v>50000</v>
      </c>
      <c r="D2684" s="22" t="s">
        <v>3969</v>
      </c>
      <c r="E2684" s="22" t="s">
        <v>53</v>
      </c>
      <c r="F2684" s="23" t="str">
        <f>HYPERLINK("https://www.spark-marketing.ru/Card/Lot/72922106", "Техническое обслуживание телевизионной системы охранного наблюдения, системы контроля доступа (шлагбаум), спутникого телевидения на объекте УСК ""Нефтехимик"": Оздоровительный лагерь ""Юность"", расположенного по адресу г.Нижнекамск (р-он Корабельной...")</f>
        <v>Техническое обслуживание телевизионной системы охранного наблюдения, системы контроля доступа (шлагбаум), спутникого телевидения на объекте УСК "Нефтехимик": Оздоровительный лагерь "Юность", расположенного по адресу г.Нижнекамск (р-он Корабельной...</v>
      </c>
      <c r="G2684" s="22" t="s">
        <v>204</v>
      </c>
      <c r="H2684" s="22" t="s">
        <v>824</v>
      </c>
      <c r="I2684" s="26">
        <v>43697.729166666701</v>
      </c>
      <c r="J2684" s="28" t="s">
        <v>52</v>
      </c>
      <c r="K2684" s="28" t="s">
        <v>52</v>
      </c>
      <c r="L2684" s="28" t="s">
        <v>52</v>
      </c>
      <c r="M2684" s="28" t="s">
        <v>52</v>
      </c>
      <c r="N2684" s="28" t="s">
        <v>52</v>
      </c>
    </row>
    <row r="2685" spans="1:14" x14ac:dyDescent="0.15">
      <c r="A2685" s="23" t="str">
        <f t="shared" ref="A2685:A2692" si="115">HYPERLINK("https://www.spark-marketing.ru/Card/Person/17049", "ГБУЗ ""ГП № 45 ДЗМ""")</f>
        <v>ГБУЗ "ГП № 45 ДЗМ"</v>
      </c>
      <c r="B2685" s="24" t="s">
        <v>3974</v>
      </c>
      <c r="C2685" s="25">
        <v>447666.48</v>
      </c>
      <c r="D2685" s="22" t="s">
        <v>3975</v>
      </c>
      <c r="E2685" s="22" t="s">
        <v>349</v>
      </c>
      <c r="F2685" s="23" t="str">
        <f t="shared" ref="F2685:F2692" si="116">HYPERLINK("https://www.spark-marketing.ru/Card/Lot/72915022", "Оказание услуг по техническому обслуживанию систем видеонаблюдения и систем контроля удаленным доступом (шлагбаумов) на объектах ГБУЗ «ГП №45 ДЗМ»")</f>
        <v>Оказание услуг по техническому обслуживанию систем видеонаблюдения и систем контроля удаленным доступом (шлагбаумов) на объектах ГБУЗ «ГП №45 ДЗМ»</v>
      </c>
      <c r="G2685" s="22" t="s">
        <v>55</v>
      </c>
      <c r="H2685" s="22" t="s">
        <v>55</v>
      </c>
      <c r="I2685" s="26">
        <v>43697.671898148103</v>
      </c>
      <c r="J2685" s="28" t="s">
        <v>52</v>
      </c>
      <c r="K2685" s="28" t="s">
        <v>52</v>
      </c>
      <c r="L2685" s="28" t="s">
        <v>52</v>
      </c>
      <c r="M2685" s="28" t="s">
        <v>52</v>
      </c>
      <c r="N2685" s="28" t="s">
        <v>52</v>
      </c>
    </row>
    <row r="2686" spans="1:14" hidden="1" outlineLevel="1" x14ac:dyDescent="0.2">
      <c r="A2686" s="23" t="str">
        <f t="shared" si="115"/>
        <v>ГБУЗ "ГП № 45 ДЗМ"</v>
      </c>
      <c r="B2686" s="24" t="s">
        <v>3974</v>
      </c>
      <c r="C2686" s="25">
        <v>447666.48</v>
      </c>
      <c r="D2686" s="22" t="s">
        <v>3975</v>
      </c>
      <c r="E2686" s="22" t="s">
        <v>349</v>
      </c>
      <c r="F2686" s="23" t="str">
        <f t="shared" si="116"/>
        <v>Оказание услуг по техническому обслуживанию систем видеонаблюдения и систем контроля удаленным доступом (шлагбаумов) на объектах ГБУЗ «ГП №45 ДЗМ»</v>
      </c>
      <c r="G2686" s="22" t="s">
        <v>55</v>
      </c>
      <c r="H2686" s="22" t="s">
        <v>55</v>
      </c>
      <c r="I2686" s="26">
        <v>43697.671898148103</v>
      </c>
      <c r="J2686" s="23" t="str">
        <f>HYPERLINK("https://www.spark-marketing.ru/Card/Person/6514589", "ООО ""МЦОК""")</f>
        <v>ООО "МЦОК"</v>
      </c>
      <c r="K2686" s="24" t="s">
        <v>3156</v>
      </c>
      <c r="L2686" s="28" t="s">
        <v>52</v>
      </c>
      <c r="M2686" s="25">
        <v>322319.90000000002</v>
      </c>
      <c r="N2686" s="27">
        <v>0.27999992315707889</v>
      </c>
    </row>
    <row r="2687" spans="1:14" hidden="1" outlineLevel="1" x14ac:dyDescent="0.2">
      <c r="A2687" s="23" t="str">
        <f t="shared" si="115"/>
        <v>ГБУЗ "ГП № 45 ДЗМ"</v>
      </c>
      <c r="B2687" s="24" t="s">
        <v>3974</v>
      </c>
      <c r="C2687" s="25">
        <v>447666.48</v>
      </c>
      <c r="D2687" s="22" t="s">
        <v>3975</v>
      </c>
      <c r="E2687" s="22" t="s">
        <v>349</v>
      </c>
      <c r="F2687" s="23" t="str">
        <f t="shared" si="116"/>
        <v>Оказание услуг по техническому обслуживанию систем видеонаблюдения и систем контроля удаленным доступом (шлагбаумов) на объектах ГБУЗ «ГП №45 ДЗМ»</v>
      </c>
      <c r="G2687" s="22" t="s">
        <v>55</v>
      </c>
      <c r="H2687" s="22" t="s">
        <v>55</v>
      </c>
      <c r="I2687" s="26">
        <v>43697.671898148103</v>
      </c>
      <c r="J2687" s="23" t="str">
        <f>HYPERLINK("https://www.spark-marketing.ru/Card/Person/1844754", "ООО ""ТСБ""")</f>
        <v>ООО "ТСБ"</v>
      </c>
      <c r="K2687" s="24" t="s">
        <v>1746</v>
      </c>
      <c r="L2687" s="28" t="s">
        <v>52</v>
      </c>
      <c r="M2687" s="25">
        <v>206425.05</v>
      </c>
      <c r="N2687" s="27">
        <v>0.53888651658708064</v>
      </c>
    </row>
    <row r="2688" spans="1:14" hidden="1" outlineLevel="1" x14ac:dyDescent="0.2">
      <c r="A2688" s="23" t="str">
        <f t="shared" si="115"/>
        <v>ГБУЗ "ГП № 45 ДЗМ"</v>
      </c>
      <c r="B2688" s="24" t="s">
        <v>3974</v>
      </c>
      <c r="C2688" s="25">
        <v>447666.48</v>
      </c>
      <c r="D2688" s="22" t="s">
        <v>3975</v>
      </c>
      <c r="E2688" s="22" t="s">
        <v>349</v>
      </c>
      <c r="F2688" s="23" t="str">
        <f t="shared" si="116"/>
        <v>Оказание услуг по техническому обслуживанию систем видеонаблюдения и систем контроля удаленным доступом (шлагбаумов) на объектах ГБУЗ «ГП №45 ДЗМ»</v>
      </c>
      <c r="G2688" s="22" t="s">
        <v>55</v>
      </c>
      <c r="H2688" s="22" t="s">
        <v>55</v>
      </c>
      <c r="I2688" s="26">
        <v>43697.671898148103</v>
      </c>
      <c r="J2688" s="23" t="str">
        <f>HYPERLINK("https://www.spark-marketing.ru/Card/Person/63463", "ООО ""СПЕЙС ТЕЛЕКОМ ТБ""")</f>
        <v>ООО "СПЕЙС ТЕЛЕКОМ ТБ"</v>
      </c>
      <c r="K2688" s="24" t="s">
        <v>3976</v>
      </c>
      <c r="L2688" s="28" t="s">
        <v>52</v>
      </c>
      <c r="M2688" s="25">
        <v>240000</v>
      </c>
      <c r="N2688" s="27">
        <v>0.46388659700409107</v>
      </c>
    </row>
    <row r="2689" spans="1:14" hidden="1" outlineLevel="1" x14ac:dyDescent="0.2">
      <c r="A2689" s="23" t="str">
        <f t="shared" si="115"/>
        <v>ГБУЗ "ГП № 45 ДЗМ"</v>
      </c>
      <c r="B2689" s="24" t="s">
        <v>3974</v>
      </c>
      <c r="C2689" s="25">
        <v>447666.48</v>
      </c>
      <c r="D2689" s="22" t="s">
        <v>3975</v>
      </c>
      <c r="E2689" s="22" t="s">
        <v>349</v>
      </c>
      <c r="F2689" s="23" t="str">
        <f t="shared" si="116"/>
        <v>Оказание услуг по техническому обслуживанию систем видеонаблюдения и систем контроля удаленным доступом (шлагбаумов) на объектах ГБУЗ «ГП №45 ДЗМ»</v>
      </c>
      <c r="G2689" s="22" t="s">
        <v>55</v>
      </c>
      <c r="H2689" s="22" t="s">
        <v>55</v>
      </c>
      <c r="I2689" s="26">
        <v>43697.671898148103</v>
      </c>
      <c r="J2689" s="23" t="str">
        <f>HYPERLINK("https://www.spark-marketing.ru/Card/Person/5921742", "ООО ""КСБ""")</f>
        <v>ООО "КСБ"</v>
      </c>
      <c r="K2689" s="24" t="s">
        <v>1739</v>
      </c>
      <c r="L2689" s="28" t="s">
        <v>52</v>
      </c>
      <c r="M2689" s="25">
        <v>393946.52</v>
      </c>
      <c r="N2689" s="27">
        <v>0.11999996068501712</v>
      </c>
    </row>
    <row r="2690" spans="1:14" hidden="1" outlineLevel="1" x14ac:dyDescent="0.2">
      <c r="A2690" s="23" t="str">
        <f t="shared" si="115"/>
        <v>ГБУЗ "ГП № 45 ДЗМ"</v>
      </c>
      <c r="B2690" s="24" t="s">
        <v>3974</v>
      </c>
      <c r="C2690" s="25">
        <v>447666.48</v>
      </c>
      <c r="D2690" s="22" t="s">
        <v>3975</v>
      </c>
      <c r="E2690" s="22" t="s">
        <v>349</v>
      </c>
      <c r="F2690" s="23" t="str">
        <f t="shared" si="116"/>
        <v>Оказание услуг по техническому обслуживанию систем видеонаблюдения и систем контроля удаленным доступом (шлагбаумов) на объектах ГБУЗ «ГП №45 ДЗМ»</v>
      </c>
      <c r="G2690" s="22" t="s">
        <v>55</v>
      </c>
      <c r="H2690" s="22" t="s">
        <v>55</v>
      </c>
      <c r="I2690" s="26">
        <v>43697.671898148103</v>
      </c>
      <c r="J2690" s="23" t="str">
        <f>HYPERLINK("https://www.spark-marketing.ru/Card/Person/6462474", "ООО ""ФАВОР""")</f>
        <v>ООО "ФАВОР"</v>
      </c>
      <c r="K2690" s="24" t="s">
        <v>2058</v>
      </c>
      <c r="L2690" s="28" t="s">
        <v>52</v>
      </c>
      <c r="M2690" s="25">
        <v>219855.03</v>
      </c>
      <c r="N2690" s="27">
        <v>0.50888654875388484</v>
      </c>
    </row>
    <row r="2691" spans="1:14" hidden="1" outlineLevel="1" x14ac:dyDescent="0.2">
      <c r="A2691" s="23" t="str">
        <f t="shared" si="115"/>
        <v>ГБУЗ "ГП № 45 ДЗМ"</v>
      </c>
      <c r="B2691" s="24" t="s">
        <v>3974</v>
      </c>
      <c r="C2691" s="25">
        <v>447666.48</v>
      </c>
      <c r="D2691" s="22" t="s">
        <v>3975</v>
      </c>
      <c r="E2691" s="22" t="s">
        <v>349</v>
      </c>
      <c r="F2691" s="23" t="str">
        <f t="shared" si="116"/>
        <v>Оказание услуг по техническому обслуживанию систем видеонаблюдения и систем контроля удаленным доступом (шлагбаумов) на объектах ГБУЗ «ГП №45 ДЗМ»</v>
      </c>
      <c r="G2691" s="22" t="s">
        <v>55</v>
      </c>
      <c r="H2691" s="22" t="s">
        <v>55</v>
      </c>
      <c r="I2691" s="26">
        <v>43697.671898148103</v>
      </c>
      <c r="J2691" s="23" t="str">
        <f>HYPERLINK("https://www.spark-marketing.ru/Card/Person/1750232", "ООО ""АЗБУКА СИСТЕМ БЕЗОПАСНОСТИ""")</f>
        <v>ООО "АЗБУКА СИСТЕМ БЕЗОПАСНОСТИ"</v>
      </c>
      <c r="K2691" s="24" t="s">
        <v>3162</v>
      </c>
      <c r="L2691" s="28" t="s">
        <v>52</v>
      </c>
      <c r="M2691" s="25">
        <v>116425.03</v>
      </c>
      <c r="N2691" s="27">
        <v>0.73992908738666341</v>
      </c>
    </row>
    <row r="2692" spans="1:14" ht="12.75" hidden="1" outlineLevel="1" x14ac:dyDescent="0.2">
      <c r="A2692" s="23" t="str">
        <f t="shared" si="115"/>
        <v>ГБУЗ "ГП № 45 ДЗМ"</v>
      </c>
      <c r="B2692" s="24" t="s">
        <v>3974</v>
      </c>
      <c r="C2692" s="25">
        <v>447666.48</v>
      </c>
      <c r="D2692" s="22" t="s">
        <v>3975</v>
      </c>
      <c r="E2692" s="22" t="s">
        <v>349</v>
      </c>
      <c r="F2692" s="23" t="str">
        <f t="shared" si="116"/>
        <v>Оказание услуг по техническому обслуживанию систем видеонаблюдения и систем контроля удаленным доступом (шлагбаумов) на объектах ГБУЗ «ГП №45 ДЗМ»</v>
      </c>
      <c r="G2692" s="22" t="s">
        <v>55</v>
      </c>
      <c r="H2692" s="22" t="s">
        <v>55</v>
      </c>
      <c r="I2692" s="26">
        <v>43697.671898148103</v>
      </c>
      <c r="J2692" s="23" t="str">
        <f>HYPERLINK("https://www.spark-marketing.ru/Card/Person/6615547", "ООО ""МСКА ИНЖИНИРИНГ""")</f>
        <v>ООО "МСКА ИНЖИНИРИНГ"</v>
      </c>
      <c r="K2692" s="24" t="s">
        <v>3977</v>
      </c>
      <c r="L2692" s="22" t="s">
        <v>10</v>
      </c>
      <c r="M2692" s="25">
        <v>114186.7</v>
      </c>
      <c r="N2692" s="27">
        <v>0.74492908202552932</v>
      </c>
    </row>
    <row r="2693" spans="1:14" x14ac:dyDescent="0.15">
      <c r="A2693" s="23" t="str">
        <f>HYPERLINK("https://www.spark-marketing.ru/Card/Person/1077633", "ГБУСО ""КЦСОН"" В ИЛЕКСКОМ РАЙОНЕ")</f>
        <v>ГБУСО "КЦСОН" В ИЛЕКСКОМ РАЙОНЕ</v>
      </c>
      <c r="B2693" s="24" t="s">
        <v>3978</v>
      </c>
      <c r="C2693" s="25">
        <v>316304</v>
      </c>
      <c r="D2693" s="22" t="s">
        <v>3979</v>
      </c>
      <c r="E2693" s="22" t="s">
        <v>84</v>
      </c>
      <c r="F2693" s="23" t="str">
        <f>HYPERLINK("https://www.spark-marketing.ru/Card/Lot/72912785", "На выполнение работ по установке видеонаблюдения в здании ГБУСО ""КЦСОН"" в Илекском районе, расположенном по адресу: Оренбургская обл., Илекский р-н, с. Илек, ул. Чапаевская, д. 23")</f>
        <v>На выполнение работ по установке видеонаблюдения в здании ГБУСО "КЦСОН" в Илекском районе, расположенном по адресу: Оренбургская обл., Илекский р-н, с. Илек, ул. Чапаевская, д. 23</v>
      </c>
      <c r="G2693" s="22" t="s">
        <v>384</v>
      </c>
      <c r="H2693" s="22" t="s">
        <v>3980</v>
      </c>
      <c r="I2693" s="26">
        <v>43697.585196759297</v>
      </c>
      <c r="J2693" s="28" t="s">
        <v>52</v>
      </c>
      <c r="K2693" s="28" t="s">
        <v>52</v>
      </c>
      <c r="L2693" s="28" t="s">
        <v>52</v>
      </c>
      <c r="M2693" s="28" t="s">
        <v>52</v>
      </c>
      <c r="N2693" s="28" t="s">
        <v>52</v>
      </c>
    </row>
    <row r="2694" spans="1:14" hidden="1" outlineLevel="1" x14ac:dyDescent="0.2">
      <c r="A2694" s="23" t="str">
        <f>HYPERLINK("https://www.spark-marketing.ru/Card/Person/1077633", "ГБУСО ""КЦСОН"" В ИЛЕКСКОМ РАЙОНЕ")</f>
        <v>ГБУСО "КЦСОН" В ИЛЕКСКОМ РАЙОНЕ</v>
      </c>
      <c r="B2694" s="24" t="s">
        <v>3978</v>
      </c>
      <c r="C2694" s="25">
        <v>316304</v>
      </c>
      <c r="D2694" s="22" t="s">
        <v>3979</v>
      </c>
      <c r="E2694" s="22" t="s">
        <v>84</v>
      </c>
      <c r="F2694" s="23" t="str">
        <f>HYPERLINK("https://www.spark-marketing.ru/Card/Lot/72912785", "На выполнение работ по установке видеонаблюдения в здании ГБУСО ""КЦСОН"" в Илекском районе, расположенном по адресу: Оренбургская обл., Илекский р-н, с. Илек, ул. Чапаевская, д. 23")</f>
        <v>На выполнение работ по установке видеонаблюдения в здании ГБУСО "КЦСОН" в Илекском районе, расположенном по адресу: Оренбургская обл., Илекский р-н, с. Илек, ул. Чапаевская, д. 23</v>
      </c>
      <c r="G2694" s="22" t="s">
        <v>384</v>
      </c>
      <c r="H2694" s="22" t="s">
        <v>3980</v>
      </c>
      <c r="I2694" s="26">
        <v>43697.585196759297</v>
      </c>
      <c r="J2694" s="23" t="str">
        <f>HYPERLINK("https://www.spark-marketing.ru/Card/Person/393190", "Гончаров Сергей Николаевич")</f>
        <v>Гончаров Сергей Николаевич</v>
      </c>
      <c r="K2694" s="24" t="s">
        <v>2909</v>
      </c>
      <c r="L2694" s="28" t="s">
        <v>52</v>
      </c>
      <c r="M2694" s="25">
        <v>221412.79</v>
      </c>
      <c r="N2694" s="27">
        <v>0.30000003161515504</v>
      </c>
    </row>
    <row r="2695" spans="1:14" hidden="1" outlineLevel="1" x14ac:dyDescent="0.2">
      <c r="A2695" s="23" t="str">
        <f>HYPERLINK("https://www.spark-marketing.ru/Card/Person/1077633", "ГБУСО ""КЦСОН"" В ИЛЕКСКОМ РАЙОНЕ")</f>
        <v>ГБУСО "КЦСОН" В ИЛЕКСКОМ РАЙОНЕ</v>
      </c>
      <c r="B2695" s="24" t="s">
        <v>3978</v>
      </c>
      <c r="C2695" s="25">
        <v>316304</v>
      </c>
      <c r="D2695" s="22" t="s">
        <v>3979</v>
      </c>
      <c r="E2695" s="22" t="s">
        <v>84</v>
      </c>
      <c r="F2695" s="23" t="str">
        <f>HYPERLINK("https://www.spark-marketing.ru/Card/Lot/72912785", "На выполнение работ по установке видеонаблюдения в здании ГБУСО ""КЦСОН"" в Илекском районе, расположенном по адресу: Оренбургская обл., Илекский р-н, с. Илек, ул. Чапаевская, д. 23")</f>
        <v>На выполнение работ по установке видеонаблюдения в здании ГБУСО "КЦСОН" в Илекском районе, расположенном по адресу: Оренбургская обл., Илекский р-н, с. Илек, ул. Чапаевская, д. 23</v>
      </c>
      <c r="G2695" s="22" t="s">
        <v>384</v>
      </c>
      <c r="H2695" s="22" t="s">
        <v>3980</v>
      </c>
      <c r="I2695" s="26">
        <v>43697.585196759297</v>
      </c>
      <c r="J2695" s="23" t="str">
        <f>HYPERLINK("https://www.spark-marketing.ru/Card/Person/748160", "ООО ""ТЕХНО-ЛОГИКА""")</f>
        <v>ООО "ТЕХНО-ЛОГИКА"</v>
      </c>
      <c r="K2695" s="24" t="s">
        <v>3981</v>
      </c>
      <c r="L2695" s="28" t="s">
        <v>52</v>
      </c>
      <c r="M2695" s="25">
        <v>226157.36</v>
      </c>
      <c r="N2695" s="27">
        <v>0.28499999999999998</v>
      </c>
    </row>
    <row r="2696" spans="1:14" hidden="1" outlineLevel="1" x14ac:dyDescent="0.2">
      <c r="A2696" s="23" t="str">
        <f>HYPERLINK("https://www.spark-marketing.ru/Card/Person/1077633", "ГБУСО ""КЦСОН"" В ИЛЕКСКОМ РАЙОНЕ")</f>
        <v>ГБУСО "КЦСОН" В ИЛЕКСКОМ РАЙОНЕ</v>
      </c>
      <c r="B2696" s="24" t="s">
        <v>3978</v>
      </c>
      <c r="C2696" s="25">
        <v>316304</v>
      </c>
      <c r="D2696" s="22" t="s">
        <v>3979</v>
      </c>
      <c r="E2696" s="22" t="s">
        <v>84</v>
      </c>
      <c r="F2696" s="23" t="str">
        <f>HYPERLINK("https://www.spark-marketing.ru/Card/Lot/72912785", "На выполнение работ по установке видеонаблюдения в здании ГБУСО ""КЦСОН"" в Илекском районе, расположенном по адресу: Оренбургская обл., Илекский р-н, с. Илек, ул. Чапаевская, д. 23")</f>
        <v>На выполнение работ по установке видеонаблюдения в здании ГБУСО "КЦСОН" в Илекском районе, расположенном по адресу: Оренбургская обл., Илекский р-н, с. Илек, ул. Чапаевская, д. 23</v>
      </c>
      <c r="G2696" s="22" t="s">
        <v>384</v>
      </c>
      <c r="H2696" s="22" t="s">
        <v>3980</v>
      </c>
      <c r="I2696" s="26">
        <v>43697.585196759297</v>
      </c>
      <c r="J2696" s="23" t="str">
        <f>HYPERLINK("https://www.spark-marketing.ru/Card/Person/418017", "Кожемякин Григорий Валерьевич")</f>
        <v>Кожемякин Григорий Валерьевич</v>
      </c>
      <c r="K2696" s="24" t="s">
        <v>3982</v>
      </c>
      <c r="L2696" s="28" t="s">
        <v>52</v>
      </c>
      <c r="M2696" s="25">
        <v>219831.28</v>
      </c>
      <c r="N2696" s="27">
        <v>0.30499999999999999</v>
      </c>
    </row>
    <row r="2697" spans="1:14" ht="12.75" hidden="1" outlineLevel="1" x14ac:dyDescent="0.2">
      <c r="A2697" s="23" t="str">
        <f>HYPERLINK("https://www.spark-marketing.ru/Card/Person/1077633", "ГБУСО ""КЦСОН"" В ИЛЕКСКОМ РАЙОНЕ")</f>
        <v>ГБУСО "КЦСОН" В ИЛЕКСКОМ РАЙОНЕ</v>
      </c>
      <c r="B2697" s="24" t="s">
        <v>3978</v>
      </c>
      <c r="C2697" s="25">
        <v>316304</v>
      </c>
      <c r="D2697" s="22" t="s">
        <v>3979</v>
      </c>
      <c r="E2697" s="22" t="s">
        <v>84</v>
      </c>
      <c r="F2697" s="23" t="str">
        <f>HYPERLINK("https://www.spark-marketing.ru/Card/Lot/72912785", "На выполнение работ по установке видеонаблюдения в здании ГБУСО ""КЦСОН"" в Илекском районе, расположенном по адресу: Оренбургская обл., Илекский р-н, с. Илек, ул. Чапаевская, д. 23")</f>
        <v>На выполнение работ по установке видеонаблюдения в здании ГБУСО "КЦСОН" в Илекском районе, расположенном по адресу: Оренбургская обл., Илекский р-н, с. Илек, ул. Чапаевская, д. 23</v>
      </c>
      <c r="G2697" s="22" t="s">
        <v>384</v>
      </c>
      <c r="H2697" s="22" t="s">
        <v>3980</v>
      </c>
      <c r="I2697" s="26">
        <v>43697.585196759297</v>
      </c>
      <c r="J2697" s="23" t="str">
        <f>HYPERLINK("https://www.spark-marketing.ru/Card/Person/6578614", "Дайнеко Роман Александрович")</f>
        <v>Дайнеко Роман Александрович</v>
      </c>
      <c r="K2697" s="24" t="s">
        <v>3983</v>
      </c>
      <c r="L2697" s="22" t="s">
        <v>10</v>
      </c>
      <c r="M2697" s="25">
        <v>218249.76</v>
      </c>
      <c r="N2697" s="27">
        <v>0.31</v>
      </c>
    </row>
    <row r="2698" spans="1:14" x14ac:dyDescent="0.15">
      <c r="A2698" s="23" t="str">
        <f>HYPERLINK("https://www.spark-marketing.ru/Card/Person/1008457", "МБОУ СОШ № 42 Г. БРЯНСКА")</f>
        <v>МБОУ СОШ № 42 Г. БРЯНСКА</v>
      </c>
      <c r="B2698" s="24" t="s">
        <v>3984</v>
      </c>
      <c r="C2698" s="25">
        <v>112320</v>
      </c>
      <c r="D2698" s="22" t="s">
        <v>3985</v>
      </c>
      <c r="E2698" s="22" t="s">
        <v>68</v>
      </c>
      <c r="F2698" s="23" t="str">
        <f>HYPERLINK("https://www.spark-marketing.ru/Card/Lot/72911882", "услуги по обеспечению охраны объекта")</f>
        <v>услуги по обеспечению охраны объекта</v>
      </c>
      <c r="G2698" s="22" t="s">
        <v>215</v>
      </c>
      <c r="H2698" s="22" t="s">
        <v>406</v>
      </c>
      <c r="I2698" s="26">
        <v>43697.704166666699</v>
      </c>
      <c r="J2698" s="28" t="s">
        <v>52</v>
      </c>
      <c r="K2698" s="28" t="s">
        <v>52</v>
      </c>
      <c r="L2698" s="28" t="s">
        <v>52</v>
      </c>
      <c r="M2698" s="28" t="s">
        <v>52</v>
      </c>
      <c r="N2698" s="28" t="s">
        <v>52</v>
      </c>
    </row>
    <row r="2699" spans="1:14" x14ac:dyDescent="0.15">
      <c r="A2699" s="23" t="str">
        <f>HYPERLINK("https://www.spark-marketing.ru/Card/Person/47527", "ВЕРХОВНЫЙ СУД РТ")</f>
        <v>ВЕРХОВНЫЙ СУД РТ</v>
      </c>
      <c r="B2699" s="24" t="s">
        <v>3359</v>
      </c>
      <c r="C2699" s="25">
        <v>65346.6</v>
      </c>
      <c r="D2699" s="22" t="s">
        <v>3986</v>
      </c>
      <c r="E2699" s="22" t="s">
        <v>208</v>
      </c>
      <c r="F2699" s="23" t="str">
        <f>HYPERLINK("https://www.spark-marketing.ru/Card/Lot/72905530", "Поставка системы кнопок тревожной сигнализации (включая монтаж) для конвойного помещения")</f>
        <v>Поставка системы кнопок тревожной сигнализации (включая монтаж) для конвойного помещения</v>
      </c>
      <c r="G2699" s="22" t="s">
        <v>2193</v>
      </c>
      <c r="H2699" s="22" t="s">
        <v>2194</v>
      </c>
      <c r="I2699" s="26">
        <v>43697.430150462998</v>
      </c>
      <c r="J2699" s="23" t="str">
        <f>HYPERLINK("https://www.spark-marketing.ru/Card/Person/364476", "Монге Сергей Бурбушевич")</f>
        <v>Монге Сергей Бурбушевич</v>
      </c>
      <c r="K2699" s="24" t="s">
        <v>3987</v>
      </c>
      <c r="L2699" s="22" t="s">
        <v>10</v>
      </c>
      <c r="M2699" s="28" t="s">
        <v>52</v>
      </c>
      <c r="N2699" s="28" t="s">
        <v>52</v>
      </c>
    </row>
    <row r="2700" spans="1:14" x14ac:dyDescent="0.15">
      <c r="A2700" s="23" t="str">
        <f>HYPERLINK("https://www.spark-marketing.ru/Card/Person/1038805", "МБОУ СОШ № 22 Г. БРЯНСКА")</f>
        <v>МБОУ СОШ № 22 Г. БРЯНСКА</v>
      </c>
      <c r="B2700" s="24" t="s">
        <v>3988</v>
      </c>
      <c r="C2700" s="25">
        <v>115200</v>
      </c>
      <c r="D2700" s="22" t="s">
        <v>3989</v>
      </c>
      <c r="E2700" s="22" t="s">
        <v>68</v>
      </c>
      <c r="F2700" s="23" t="str">
        <f>HYPERLINK("https://www.spark-marketing.ru/Card/Lot/72911118", "услуги по обеспечению охраны объекта")</f>
        <v>услуги по обеспечению охраны объекта</v>
      </c>
      <c r="G2700" s="22" t="s">
        <v>215</v>
      </c>
      <c r="H2700" s="22" t="s">
        <v>406</v>
      </c>
      <c r="I2700" s="26">
        <v>43697.686805555597</v>
      </c>
      <c r="J2700" s="28" t="s">
        <v>52</v>
      </c>
      <c r="K2700" s="28" t="s">
        <v>52</v>
      </c>
      <c r="L2700" s="28" t="s">
        <v>52</v>
      </c>
      <c r="M2700" s="28" t="s">
        <v>52</v>
      </c>
      <c r="N2700" s="28" t="s">
        <v>52</v>
      </c>
    </row>
    <row r="2701" spans="1:14" x14ac:dyDescent="0.15">
      <c r="A2701" s="23" t="str">
        <f>HYPERLINK("https://www.spark-marketing.ru/Card/Person/1038448", "МБОУ СОШ №32 Г.БРЯНСКА")</f>
        <v>МБОУ СОШ №32 Г.БРЯНСКА</v>
      </c>
      <c r="B2701" s="24" t="s">
        <v>3990</v>
      </c>
      <c r="C2701" s="25">
        <v>112320</v>
      </c>
      <c r="D2701" s="22" t="s">
        <v>3991</v>
      </c>
      <c r="E2701" s="22" t="s">
        <v>68</v>
      </c>
      <c r="F2701" s="23" t="str">
        <f>HYPERLINK("https://www.spark-marketing.ru/Card/Lot/72911859", "услуги по обеспечению охраны объекта")</f>
        <v>услуги по обеспечению охраны объекта</v>
      </c>
      <c r="G2701" s="22" t="s">
        <v>215</v>
      </c>
      <c r="H2701" s="22" t="s">
        <v>406</v>
      </c>
      <c r="I2701" s="26">
        <v>43697.695138888899</v>
      </c>
      <c r="J2701" s="28" t="s">
        <v>52</v>
      </c>
      <c r="K2701" s="28" t="s">
        <v>52</v>
      </c>
      <c r="L2701" s="28" t="s">
        <v>52</v>
      </c>
      <c r="M2701" s="28" t="s">
        <v>52</v>
      </c>
      <c r="N2701" s="28" t="s">
        <v>52</v>
      </c>
    </row>
    <row r="2702" spans="1:14" x14ac:dyDescent="0.15">
      <c r="A2702" s="23" t="str">
        <f>HYPERLINK("https://www.spark-marketing.ru/Card/Person/1039801", "МБОУ ""СОШ № 15 ИМ.ГЕРОЯ СОВЕТСКОГО СОЮЗА В.Т.ЧВАНОВА"" Г.БРЯНСКА")</f>
        <v>МБОУ "СОШ № 15 ИМ.ГЕРОЯ СОВЕТСКОГО СОЮЗА В.Т.ЧВАНОВА" Г.БРЯНСКА</v>
      </c>
      <c r="B2702" s="24" t="s">
        <v>3992</v>
      </c>
      <c r="C2702" s="25">
        <v>113760</v>
      </c>
      <c r="D2702" s="22" t="s">
        <v>3993</v>
      </c>
      <c r="E2702" s="22" t="s">
        <v>68</v>
      </c>
      <c r="F2702" s="23" t="str">
        <f>HYPERLINK("https://www.spark-marketing.ru/Card/Lot/72911069", "услуги по обеспечению охраны объекта")</f>
        <v>услуги по обеспечению охраны объекта</v>
      </c>
      <c r="G2702" s="22" t="s">
        <v>215</v>
      </c>
      <c r="H2702" s="22" t="s">
        <v>406</v>
      </c>
      <c r="I2702" s="26">
        <v>43697.670138888898</v>
      </c>
      <c r="J2702" s="28" t="s">
        <v>52</v>
      </c>
      <c r="K2702" s="28" t="s">
        <v>52</v>
      </c>
      <c r="L2702" s="28" t="s">
        <v>52</v>
      </c>
      <c r="M2702" s="28" t="s">
        <v>52</v>
      </c>
      <c r="N2702" s="28" t="s">
        <v>52</v>
      </c>
    </row>
    <row r="2703" spans="1:14" x14ac:dyDescent="0.15">
      <c r="A2703" s="23" t="str">
        <f>HYPERLINK("https://www.spark-marketing.ru/Card/Person/26007", "МБУ ""СТРОЙЗАКАЗЧИК""")</f>
        <v>МБУ "СТРОЙЗАКАЗЧИК"</v>
      </c>
      <c r="B2703" s="24" t="s">
        <v>3994</v>
      </c>
      <c r="C2703" s="25">
        <v>5068147.2</v>
      </c>
      <c r="D2703" s="22" t="s">
        <v>3995</v>
      </c>
      <c r="E2703" s="22" t="s">
        <v>842</v>
      </c>
      <c r="F2703" s="23" t="str">
        <f>HYPERLINK("https://www.spark-marketing.ru/Card/Lot/72917871", "Установка акустической и видео систем актового зала общеобразовательной школы на 1100 мест по адресу: г.Ульяновск, Ленинский район, микрорайон """"Искра"""", квартал """"Б""""")</f>
        <v>Установка акустической и видео систем актового зала общеобразовательной школы на 1100 мест по адресу: г.Ульяновск, Ленинский район, микрорайон ""Искра"", квартал ""Б""</v>
      </c>
      <c r="G2703" s="22" t="s">
        <v>446</v>
      </c>
      <c r="H2703" s="22" t="s">
        <v>3996</v>
      </c>
      <c r="I2703" s="26">
        <v>43696.654293981497</v>
      </c>
      <c r="J2703" s="28" t="s">
        <v>52</v>
      </c>
      <c r="K2703" s="28" t="s">
        <v>52</v>
      </c>
      <c r="L2703" s="28" t="s">
        <v>52</v>
      </c>
      <c r="M2703" s="28" t="s">
        <v>52</v>
      </c>
      <c r="N2703" s="28" t="s">
        <v>52</v>
      </c>
    </row>
    <row r="2704" spans="1:14" hidden="1" outlineLevel="1" x14ac:dyDescent="0.2">
      <c r="A2704" s="23" t="str">
        <f>HYPERLINK("https://www.spark-marketing.ru/Card/Person/26007", "МБУ ""СТРОЙЗАКАЗЧИК""")</f>
        <v>МБУ "СТРОЙЗАКАЗЧИК"</v>
      </c>
      <c r="B2704" s="24" t="s">
        <v>3994</v>
      </c>
      <c r="C2704" s="25">
        <v>5068147.2</v>
      </c>
      <c r="D2704" s="22" t="s">
        <v>3995</v>
      </c>
      <c r="E2704" s="22" t="s">
        <v>842</v>
      </c>
      <c r="F2704" s="23" t="str">
        <f>HYPERLINK("https://www.spark-marketing.ru/Card/Lot/72917871", "Установка акустической и видео систем актового зала общеобразовательной школы на 1100 мест по адресу: г.Ульяновск, Ленинский район, микрорайон """"Искра"""", квартал """"Б""""")</f>
        <v>Установка акустической и видео систем актового зала общеобразовательной школы на 1100 мест по адресу: г.Ульяновск, Ленинский район, микрорайон ""Искра"", квартал ""Б""</v>
      </c>
      <c r="G2704" s="22" t="s">
        <v>446</v>
      </c>
      <c r="H2704" s="22" t="s">
        <v>3996</v>
      </c>
      <c r="I2704" s="26">
        <v>43696.654293981497</v>
      </c>
      <c r="J2704" s="23" t="str">
        <f>HYPERLINK("https://www.spark-marketing.ru/Card/Person/66621", "ООО ""СМАРТ-ГРУПП""")</f>
        <v>ООО "СМАРТ-ГРУПП"</v>
      </c>
      <c r="K2704" s="24" t="s">
        <v>3997</v>
      </c>
      <c r="L2704" s="28" t="s">
        <v>52</v>
      </c>
      <c r="M2704" s="25">
        <v>3294295.4</v>
      </c>
      <c r="N2704" s="27">
        <v>0.35000005524701411</v>
      </c>
    </row>
    <row r="2705" spans="1:14" ht="12.75" hidden="1" outlineLevel="1" x14ac:dyDescent="0.2">
      <c r="A2705" s="23" t="str">
        <f>HYPERLINK("https://www.spark-marketing.ru/Card/Person/26007", "МБУ ""СТРОЙЗАКАЗЧИК""")</f>
        <v>МБУ "СТРОЙЗАКАЗЧИК"</v>
      </c>
      <c r="B2705" s="24" t="s">
        <v>3994</v>
      </c>
      <c r="C2705" s="25">
        <v>5068147.2</v>
      </c>
      <c r="D2705" s="22" t="s">
        <v>3995</v>
      </c>
      <c r="E2705" s="22" t="s">
        <v>842</v>
      </c>
      <c r="F2705" s="23" t="str">
        <f>HYPERLINK("https://www.spark-marketing.ru/Card/Lot/72917871", "Установка акустической и видео систем актового зала общеобразовательной школы на 1100 мест по адресу: г.Ульяновск, Ленинский район, микрорайон """"Искра"""", квартал """"Б""""")</f>
        <v>Установка акустической и видео систем актового зала общеобразовательной школы на 1100 мест по адресу: г.Ульяновск, Ленинский район, микрорайон ""Искра"", квартал ""Б""</v>
      </c>
      <c r="G2705" s="22" t="s">
        <v>446</v>
      </c>
      <c r="H2705" s="22" t="s">
        <v>3996</v>
      </c>
      <c r="I2705" s="26">
        <v>43696.654293981497</v>
      </c>
      <c r="J2705" s="23" t="str">
        <f>HYPERLINK("https://www.spark-marketing.ru/Card/Person/6632147", "ООО ""МЕДИА ХОЛДИНГ""")</f>
        <v>ООО "МЕДИА ХОЛДИНГ"</v>
      </c>
      <c r="K2705" s="24" t="s">
        <v>3998</v>
      </c>
      <c r="L2705" s="22" t="s">
        <v>10</v>
      </c>
      <c r="M2705" s="25">
        <v>3268954.66</v>
      </c>
      <c r="N2705" s="27">
        <v>0.35500005603625717</v>
      </c>
    </row>
    <row r="2706" spans="1:14" x14ac:dyDescent="0.15">
      <c r="A2706" s="23" t="str">
        <f>HYPERLINK("https://www.spark-marketing.ru/Card/Person/1008975", "МБОУ ""ГИМНАЗИЯ №5"" Г.БРЯНСКА")</f>
        <v>МБОУ "ГИМНАЗИЯ №5" Г.БРЯНСКА</v>
      </c>
      <c r="B2706" s="24" t="s">
        <v>3999</v>
      </c>
      <c r="C2706" s="25">
        <v>110880</v>
      </c>
      <c r="D2706" s="22" t="s">
        <v>4000</v>
      </c>
      <c r="E2706" s="22" t="s">
        <v>68</v>
      </c>
      <c r="F2706" s="23" t="str">
        <f>HYPERLINK("https://www.spark-marketing.ru/Card/Lot/72909251", "Услуги по обеспечению охраны объекта")</f>
        <v>Услуги по обеспечению охраны объекта</v>
      </c>
      <c r="G2706" s="22" t="s">
        <v>215</v>
      </c>
      <c r="H2706" s="22" t="s">
        <v>406</v>
      </c>
      <c r="I2706" s="26">
        <v>43697.640972222202</v>
      </c>
      <c r="J2706" s="28" t="s">
        <v>52</v>
      </c>
      <c r="K2706" s="28" t="s">
        <v>52</v>
      </c>
      <c r="L2706" s="28" t="s">
        <v>52</v>
      </c>
      <c r="M2706" s="28" t="s">
        <v>52</v>
      </c>
      <c r="N2706" s="28" t="s">
        <v>52</v>
      </c>
    </row>
    <row r="2707" spans="1:14" x14ac:dyDescent="0.15">
      <c r="A2707" s="23" t="str">
        <f>HYPERLINK("https://www.spark-marketing.ru/Card/Person/1038533", "МБОУ СОШ №11 Г.БРЯНСКА")</f>
        <v>МБОУ СОШ №11 Г.БРЯНСКА</v>
      </c>
      <c r="B2707" s="24" t="s">
        <v>4001</v>
      </c>
      <c r="C2707" s="25">
        <v>136800</v>
      </c>
      <c r="D2707" s="22" t="s">
        <v>4002</v>
      </c>
      <c r="E2707" s="22" t="s">
        <v>68</v>
      </c>
      <c r="F2707" s="23" t="str">
        <f>HYPERLINK("https://www.spark-marketing.ru/Card/Lot/72910938", "Услуги по обеспечению охраны объекта с осуществлением обеспечения особого порядка доступа на объект")</f>
        <v>Услуги по обеспечению охраны объекта с осуществлением обеспечения особого порядка доступа на объект</v>
      </c>
      <c r="G2707" s="22" t="s">
        <v>215</v>
      </c>
      <c r="H2707" s="22" t="s">
        <v>406</v>
      </c>
      <c r="I2707" s="26">
        <v>43697.658333333296</v>
      </c>
      <c r="J2707" s="28" t="s">
        <v>52</v>
      </c>
      <c r="K2707" s="28" t="s">
        <v>52</v>
      </c>
      <c r="L2707" s="28" t="s">
        <v>52</v>
      </c>
      <c r="M2707" s="28" t="s">
        <v>52</v>
      </c>
      <c r="N2707" s="28" t="s">
        <v>52</v>
      </c>
    </row>
    <row r="2708" spans="1:14" x14ac:dyDescent="0.15">
      <c r="A2708" s="23" t="str">
        <f>HYPERLINK("https://www.spark-marketing.ru/Card/Person/1039798", "МБОУ СОШ № 67 Г. БРЯНСКА")</f>
        <v>МБОУ СОШ № 67 Г. БРЯНСКА</v>
      </c>
      <c r="B2708" s="24" t="s">
        <v>4003</v>
      </c>
      <c r="C2708" s="25">
        <v>115200</v>
      </c>
      <c r="D2708" s="22" t="s">
        <v>4004</v>
      </c>
      <c r="E2708" s="22" t="s">
        <v>68</v>
      </c>
      <c r="F2708" s="23" t="str">
        <f>HYPERLINK("https://www.spark-marketing.ru/Card/Lot/72909253", "Услуги по обеспечению охраны объекта с осуществлением обеспечения особого порядка доступа на объект")</f>
        <v>Услуги по обеспечению охраны объекта с осуществлением обеспечения особого порядка доступа на объект</v>
      </c>
      <c r="G2708" s="22" t="s">
        <v>215</v>
      </c>
      <c r="H2708" s="22" t="s">
        <v>406</v>
      </c>
      <c r="I2708" s="26">
        <v>43697.6430555556</v>
      </c>
      <c r="J2708" s="28" t="s">
        <v>52</v>
      </c>
      <c r="K2708" s="28" t="s">
        <v>52</v>
      </c>
      <c r="L2708" s="28" t="s">
        <v>52</v>
      </c>
      <c r="M2708" s="28" t="s">
        <v>52</v>
      </c>
      <c r="N2708" s="28" t="s">
        <v>52</v>
      </c>
    </row>
    <row r="2709" spans="1:14" x14ac:dyDescent="0.15">
      <c r="A2709" s="23" t="str">
        <f>HYPERLINK("https://www.spark-marketing.ru/Card/Person/1008975", "МБОУ ""ГИМНАЗИЯ №5"" Г.БРЯНСКА")</f>
        <v>МБОУ "ГИМНАЗИЯ №5" Г.БРЯНСКА</v>
      </c>
      <c r="B2709" s="24" t="s">
        <v>3999</v>
      </c>
      <c r="C2709" s="25">
        <v>110880</v>
      </c>
      <c r="D2709" s="22" t="s">
        <v>4005</v>
      </c>
      <c r="E2709" s="22" t="s">
        <v>68</v>
      </c>
      <c r="F2709" s="23" t="str">
        <f>HYPERLINK("https://www.spark-marketing.ru/Card/Lot/72909247", "Услуги по обеспечению охраны объекта с осуществлением обеспечения особого порядка доступа на объект.")</f>
        <v>Услуги по обеспечению охраны объекта с осуществлением обеспечения особого порядка доступа на объект.</v>
      </c>
      <c r="G2709" s="22" t="s">
        <v>215</v>
      </c>
      <c r="H2709" s="22" t="s">
        <v>406</v>
      </c>
      <c r="I2709" s="26">
        <v>43697.639583333301</v>
      </c>
      <c r="J2709" s="28" t="s">
        <v>52</v>
      </c>
      <c r="K2709" s="28" t="s">
        <v>52</v>
      </c>
      <c r="L2709" s="28" t="s">
        <v>52</v>
      </c>
      <c r="M2709" s="28" t="s">
        <v>52</v>
      </c>
      <c r="N2709" s="28" t="s">
        <v>52</v>
      </c>
    </row>
    <row r="2710" spans="1:14" x14ac:dyDescent="0.15">
      <c r="A2710" s="23" t="str">
        <f>HYPERLINK("https://www.spark-marketing.ru/Card/Person/4944477", "ОМВД РОССИИ ПО СОВЕТСКОМУ РАЙОНУ Г. ИВАНОВО")</f>
        <v>ОМВД РОССИИ ПО СОВЕТСКОМУ РАЙОНУ Г. ИВАНОВО</v>
      </c>
      <c r="B2710" s="24" t="s">
        <v>2946</v>
      </c>
      <c r="C2710" s="25">
        <v>35899</v>
      </c>
      <c r="D2710" s="22" t="s">
        <v>4006</v>
      </c>
      <c r="E2710" s="22" t="s">
        <v>59</v>
      </c>
      <c r="F2710" s="23" t="str">
        <f>HYPERLINK("https://www.spark-marketing.ru/Card/Lot/72909938", "Работ по установке комплекса охранной сигнализации, 1 шт")</f>
        <v>Работ по установке комплекса охранной сигнализации, 1 шт</v>
      </c>
      <c r="G2710" s="22" t="s">
        <v>340</v>
      </c>
      <c r="H2710" s="22" t="s">
        <v>1030</v>
      </c>
      <c r="I2710" s="26">
        <v>43697.654710648101</v>
      </c>
      <c r="J2710" s="28" t="s">
        <v>52</v>
      </c>
      <c r="K2710" s="28" t="s">
        <v>52</v>
      </c>
      <c r="L2710" s="28" t="s">
        <v>52</v>
      </c>
      <c r="M2710" s="28" t="s">
        <v>52</v>
      </c>
      <c r="N2710" s="28" t="s">
        <v>52</v>
      </c>
    </row>
    <row r="2711" spans="1:14" x14ac:dyDescent="0.15">
      <c r="A2711" s="23" t="str">
        <f>HYPERLINK("https://www.spark-marketing.ru/Card/Person/4415454", "ПАО ""СТЗ""")</f>
        <v>ПАО "СТЗ"</v>
      </c>
      <c r="B2711" s="24" t="s">
        <v>2517</v>
      </c>
      <c r="C2711" s="25">
        <v>727320</v>
      </c>
      <c r="D2711" s="22" t="s">
        <v>4007</v>
      </c>
      <c r="E2711" s="22" t="s">
        <v>53</v>
      </c>
      <c r="F2711" s="23" t="str">
        <f>HYPERLINK("https://www.spark-marketing.ru/Card/Lot/72924106", "Приобретение оборудования видеонаблюдения ТО№3 Сети связи")</f>
        <v>Приобретение оборудования видеонаблюдения ТО№3 Сети связи</v>
      </c>
      <c r="G2711" s="22" t="s">
        <v>72</v>
      </c>
      <c r="H2711" s="22" t="s">
        <v>2519</v>
      </c>
      <c r="I2711" s="26">
        <v>43697.652650463002</v>
      </c>
      <c r="J2711" s="28" t="s">
        <v>52</v>
      </c>
      <c r="K2711" s="28" t="s">
        <v>52</v>
      </c>
      <c r="L2711" s="28" t="s">
        <v>52</v>
      </c>
      <c r="M2711" s="28" t="s">
        <v>52</v>
      </c>
      <c r="N2711" s="28" t="s">
        <v>52</v>
      </c>
    </row>
    <row r="2712" spans="1:14" x14ac:dyDescent="0.15">
      <c r="A2712" s="23" t="str">
        <f>HYPERLINK("https://www.spark-marketing.ru/Card/Person/1037626", "МБОУ СОШ №53 Г.БРЯНСКА")</f>
        <v>МБОУ СОШ №53 Г.БРЯНСКА</v>
      </c>
      <c r="B2712" s="24" t="s">
        <v>3956</v>
      </c>
      <c r="C2712" s="25">
        <v>115200</v>
      </c>
      <c r="D2712" s="22" t="s">
        <v>4008</v>
      </c>
      <c r="E2712" s="22" t="s">
        <v>68</v>
      </c>
      <c r="F2712" s="23" t="str">
        <f>HYPERLINK("https://www.spark-marketing.ru/Card/Lot/72907814", "Услуги по обеспечению охраны объекта с осуществлением обеспечения особого порядка доступа на объект.")</f>
        <v>Услуги по обеспечению охраны объекта с осуществлением обеспечения особого порядка доступа на объект.</v>
      </c>
      <c r="G2712" s="22" t="s">
        <v>215</v>
      </c>
      <c r="H2712" s="22" t="s">
        <v>406</v>
      </c>
      <c r="I2712" s="26">
        <v>43697.618750000001</v>
      </c>
      <c r="J2712" s="28" t="s">
        <v>52</v>
      </c>
      <c r="K2712" s="28" t="s">
        <v>52</v>
      </c>
      <c r="L2712" s="28" t="s">
        <v>52</v>
      </c>
      <c r="M2712" s="28" t="s">
        <v>52</v>
      </c>
      <c r="N2712" s="28" t="s">
        <v>52</v>
      </c>
    </row>
    <row r="2713" spans="1:14" x14ac:dyDescent="0.15">
      <c r="A2713" s="23" t="str">
        <f>HYPERLINK("https://www.spark-marketing.ru/Card/Person/1039278", "МБОУ СОШ № 61 Г. БРЯНСКА")</f>
        <v>МБОУ СОШ № 61 Г. БРЯНСКА</v>
      </c>
      <c r="B2713" s="24" t="s">
        <v>4009</v>
      </c>
      <c r="C2713" s="25">
        <v>110880</v>
      </c>
      <c r="D2713" s="22" t="s">
        <v>4010</v>
      </c>
      <c r="E2713" s="22" t="s">
        <v>68</v>
      </c>
      <c r="F2713" s="23" t="str">
        <f>HYPERLINK("https://www.spark-marketing.ru/Card/Lot/72907036", "Услуги по обеспечению охраны объекта с осуществлением обеспечения особого порядка доступа на объект.")</f>
        <v>Услуги по обеспечению охраны объекта с осуществлением обеспечения особого порядка доступа на объект.</v>
      </c>
      <c r="G2713" s="22" t="s">
        <v>215</v>
      </c>
      <c r="H2713" s="22" t="s">
        <v>406</v>
      </c>
      <c r="I2713" s="26">
        <v>43697.599999999999</v>
      </c>
      <c r="J2713" s="28" t="s">
        <v>52</v>
      </c>
      <c r="K2713" s="28" t="s">
        <v>52</v>
      </c>
      <c r="L2713" s="28" t="s">
        <v>52</v>
      </c>
      <c r="M2713" s="28" t="s">
        <v>52</v>
      </c>
      <c r="N2713" s="28" t="s">
        <v>52</v>
      </c>
    </row>
    <row r="2714" spans="1:14" x14ac:dyDescent="0.15">
      <c r="A2714" s="23" t="str">
        <f>HYPERLINK("https://www.spark-marketing.ru/Card/Person/1039276", "МБОУ СОШ №52 Г.БРЯНСКА")</f>
        <v>МБОУ СОШ №52 Г.БРЯНСКА</v>
      </c>
      <c r="B2714" s="24" t="s">
        <v>4011</v>
      </c>
      <c r="C2714" s="25">
        <v>128160</v>
      </c>
      <c r="D2714" s="22" t="s">
        <v>4012</v>
      </c>
      <c r="E2714" s="22" t="s">
        <v>68</v>
      </c>
      <c r="F2714" s="23" t="str">
        <f>HYPERLINK("https://www.spark-marketing.ru/Card/Lot/72907015", "Услуги по обеспечению охраны объекта с осуществлением обеспечения особого порядка доступа на объект.")</f>
        <v>Услуги по обеспечению охраны объекта с осуществлением обеспечения особого порядка доступа на объект.</v>
      </c>
      <c r="G2714" s="22" t="s">
        <v>215</v>
      </c>
      <c r="H2714" s="22" t="s">
        <v>406</v>
      </c>
      <c r="I2714" s="26">
        <v>43697.595138888901</v>
      </c>
      <c r="J2714" s="28" t="s">
        <v>52</v>
      </c>
      <c r="K2714" s="28" t="s">
        <v>52</v>
      </c>
      <c r="L2714" s="28" t="s">
        <v>52</v>
      </c>
      <c r="M2714" s="28" t="s">
        <v>52</v>
      </c>
      <c r="N2714" s="28" t="s">
        <v>52</v>
      </c>
    </row>
    <row r="2715" spans="1:14" x14ac:dyDescent="0.15">
      <c r="A2715" s="23" t="str">
        <f>HYPERLINK("https://www.spark-marketing.ru/Card/Person/6450322", "ЗАКАЗЧИК РП БЕЛАРУСЬ")</f>
        <v>ЗАКАЗЧИК РП БЕЛАРУСЬ</v>
      </c>
      <c r="B2715" s="28" t="s">
        <v>52</v>
      </c>
      <c r="C2715" s="28" t="s">
        <v>52</v>
      </c>
      <c r="D2715" s="22" t="s">
        <v>4013</v>
      </c>
      <c r="E2715" s="22" t="s">
        <v>53</v>
      </c>
      <c r="F2715" s="23" t="str">
        <f>HYPERLINK("https://www.spark-marketing.ru/Card/Lot/72910882", "Оказание охранных услуг по монтажу и наладке средств и систем охраны государственного учреждения «Центр гигиены и эпидемиологии Московского района г. Минска»» по ул. Короля,23.")</f>
        <v>Оказание охранных услуг по монтажу и наладке средств и систем охраны государственного учреждения «Центр гигиены и эпидемиологии Московского района г. Минска»» по ул. Короля,23.</v>
      </c>
      <c r="G2715" s="22" t="s">
        <v>52</v>
      </c>
      <c r="H2715" s="22" t="s">
        <v>52</v>
      </c>
      <c r="I2715" s="26">
        <v>43697</v>
      </c>
      <c r="J2715" s="28" t="s">
        <v>52</v>
      </c>
      <c r="K2715" s="28" t="s">
        <v>52</v>
      </c>
      <c r="L2715" s="28" t="s">
        <v>52</v>
      </c>
      <c r="M2715" s="28" t="s">
        <v>52</v>
      </c>
      <c r="N2715" s="28" t="s">
        <v>52</v>
      </c>
    </row>
    <row r="2716" spans="1:14" x14ac:dyDescent="0.15">
      <c r="A2716" s="23" t="str">
        <f>HYPERLINK("https://www.spark-marketing.ru/Card/Person/1038801", "МБОУ СОШ № 63 Г.БРЯНСКА")</f>
        <v>МБОУ СОШ № 63 Г.БРЯНСКА</v>
      </c>
      <c r="B2716" s="24" t="s">
        <v>4014</v>
      </c>
      <c r="C2716" s="25">
        <v>113760</v>
      </c>
      <c r="D2716" s="22" t="s">
        <v>4015</v>
      </c>
      <c r="E2716" s="22" t="s">
        <v>68</v>
      </c>
      <c r="F2716" s="23" t="str">
        <f>HYPERLINK("https://www.spark-marketing.ru/Card/Lot/72907009", "Услуги по обеспечению охраны объекта с осуществлением обеспечения особого порядка доступа на объект")</f>
        <v>Услуги по обеспечению охраны объекта с осуществлением обеспечения особого порядка доступа на объект</v>
      </c>
      <c r="G2716" s="22" t="s">
        <v>215</v>
      </c>
      <c r="H2716" s="22" t="s">
        <v>406</v>
      </c>
      <c r="I2716" s="26">
        <v>43697.592361111099</v>
      </c>
      <c r="J2716" s="28" t="s">
        <v>52</v>
      </c>
      <c r="K2716" s="28" t="s">
        <v>52</v>
      </c>
      <c r="L2716" s="28" t="s">
        <v>52</v>
      </c>
      <c r="M2716" s="28" t="s">
        <v>52</v>
      </c>
      <c r="N2716" s="28" t="s">
        <v>52</v>
      </c>
    </row>
    <row r="2717" spans="1:14" x14ac:dyDescent="0.15">
      <c r="A2717" s="23" t="str">
        <f>HYPERLINK("https://www.spark-marketing.ru/Card/Person/1045745", "МБОУ СОШ №66 Г.БРЯНСКА")</f>
        <v>МБОУ СОШ №66 Г.БРЯНСКА</v>
      </c>
      <c r="B2717" s="24" t="s">
        <v>4016</v>
      </c>
      <c r="C2717" s="25">
        <v>112320</v>
      </c>
      <c r="D2717" s="22" t="s">
        <v>4017</v>
      </c>
      <c r="E2717" s="22" t="s">
        <v>68</v>
      </c>
      <c r="F2717" s="23" t="str">
        <f>HYPERLINK("https://www.spark-marketing.ru/Card/Lot/72907046", "Услуги по обеспечению охраны объекта с осуществлением обеспечения особого порядка доступа на объект.")</f>
        <v>Услуги по обеспечению охраны объекта с осуществлением обеспечения особого порядка доступа на объект.</v>
      </c>
      <c r="G2717" s="22" t="s">
        <v>215</v>
      </c>
      <c r="H2717" s="22" t="s">
        <v>406</v>
      </c>
      <c r="I2717" s="26">
        <v>43697.6027777778</v>
      </c>
      <c r="J2717" s="28" t="s">
        <v>52</v>
      </c>
      <c r="K2717" s="28" t="s">
        <v>52</v>
      </c>
      <c r="L2717" s="28" t="s">
        <v>52</v>
      </c>
      <c r="M2717" s="28" t="s">
        <v>52</v>
      </c>
      <c r="N2717" s="28" t="s">
        <v>52</v>
      </c>
    </row>
    <row r="2718" spans="1:14" x14ac:dyDescent="0.15">
      <c r="A2718" s="23" t="str">
        <f>HYPERLINK("https://www.spark-marketing.ru/Card/Person/1037854", "МБОУ ""БРЯНСКИЙ ГОРОДСКОЙ ЛИЦЕЙ №2 ИМ. М.В. ЛОМОНОСОВА""")</f>
        <v>МБОУ "БРЯНСКИЙ ГОРОДСКОЙ ЛИЦЕЙ №2 ИМ. М.В. ЛОМОНОСОВА"</v>
      </c>
      <c r="B2718" s="24" t="s">
        <v>4018</v>
      </c>
      <c r="C2718" s="25">
        <v>108000</v>
      </c>
      <c r="D2718" s="22" t="s">
        <v>4019</v>
      </c>
      <c r="E2718" s="22" t="s">
        <v>68</v>
      </c>
      <c r="F2718" s="23" t="str">
        <f>HYPERLINK("https://www.spark-marketing.ru/Card/Lot/72907691", "Услуги по обеспечению охраны объекта с осуществлением обеспечения особого порядка доступа на объект.")</f>
        <v>Услуги по обеспечению охраны объекта с осуществлением обеспечения особого порядка доступа на объект.</v>
      </c>
      <c r="G2718" s="22" t="s">
        <v>215</v>
      </c>
      <c r="H2718" s="22" t="s">
        <v>406</v>
      </c>
      <c r="I2718" s="26">
        <v>43697.604861111096</v>
      </c>
      <c r="J2718" s="28" t="s">
        <v>52</v>
      </c>
      <c r="K2718" s="28" t="s">
        <v>52</v>
      </c>
      <c r="L2718" s="28" t="s">
        <v>52</v>
      </c>
      <c r="M2718" s="28" t="s">
        <v>52</v>
      </c>
      <c r="N2718" s="28" t="s">
        <v>52</v>
      </c>
    </row>
    <row r="2719" spans="1:14" x14ac:dyDescent="0.15">
      <c r="A2719" s="23" t="str">
        <f>HYPERLINK("https://www.spark-marketing.ru/Card/Person/27066", "УПРАВЛЕНИЕ РОСПОТРЕБНАДЗОРА ПО КАБАРДИНО-БАЛКАРСКОЙ РЕСПУБЛИКЕ")</f>
        <v>УПРАВЛЕНИЕ РОСПОТРЕБНАДЗОРА ПО КАБАРДИНО-БАЛКАРСКОЙ РЕСПУБЛИКЕ</v>
      </c>
      <c r="B2719" s="24" t="s">
        <v>4020</v>
      </c>
      <c r="C2719" s="25">
        <v>7297.2</v>
      </c>
      <c r="D2719" s="22" t="s">
        <v>4021</v>
      </c>
      <c r="E2719" s="22" t="s">
        <v>53</v>
      </c>
      <c r="F2719" s="23" t="str">
        <f>HYPERLINK("https://www.spark-marketing.ru/Card/Lot/72907988", "Оказание услуги по техническому обслуживанию средств охраны")</f>
        <v>Оказание услуги по техническому обслуживанию средств охраны</v>
      </c>
      <c r="G2719" s="22" t="s">
        <v>110</v>
      </c>
      <c r="H2719" s="22" t="s">
        <v>111</v>
      </c>
      <c r="I2719" s="26">
        <v>43697.619386574101</v>
      </c>
      <c r="J2719" s="28" t="s">
        <v>52</v>
      </c>
      <c r="K2719" s="28" t="s">
        <v>52</v>
      </c>
      <c r="L2719" s="28" t="s">
        <v>52</v>
      </c>
      <c r="M2719" s="28" t="s">
        <v>52</v>
      </c>
      <c r="N2719" s="28" t="s">
        <v>52</v>
      </c>
    </row>
    <row r="2720" spans="1:14" x14ac:dyDescent="0.15">
      <c r="A2720" s="23" t="str">
        <f>HYPERLINK("https://www.spark-marketing.ru/Card/Person/163598", "ОТДЕЛ МВД РОССИИ ПО ГЕОРГИЕВСКОМУ ГОРОДСКОМУ ОКРУГУ")</f>
        <v>ОТДЕЛ МВД РОССИИ ПО ГЕОРГИЕВСКОМУ ГОРОДСКОМУ ОКРУГУ</v>
      </c>
      <c r="B2720" s="24" t="s">
        <v>4022</v>
      </c>
      <c r="C2720" s="25">
        <v>50000</v>
      </c>
      <c r="D2720" s="22" t="s">
        <v>4023</v>
      </c>
      <c r="E2720" s="22" t="s">
        <v>53</v>
      </c>
      <c r="F2720" s="23" t="str">
        <f>HYPERLINK("https://www.spark-marketing.ru/Card/Lot/72907959", "Оказание услуг по монтажу установок тревожной сигнализации в здании ЦВСИГ")</f>
        <v>Оказание услуг по монтажу установок тревожной сигнализации в здании ЦВСИГ</v>
      </c>
      <c r="G2720" s="22" t="s">
        <v>258</v>
      </c>
      <c r="H2720" s="22" t="s">
        <v>4024</v>
      </c>
      <c r="I2720" s="26">
        <v>43697.615439814799</v>
      </c>
      <c r="J2720" s="28" t="s">
        <v>52</v>
      </c>
      <c r="K2720" s="28" t="s">
        <v>52</v>
      </c>
      <c r="L2720" s="28" t="s">
        <v>52</v>
      </c>
      <c r="M2720" s="28" t="s">
        <v>52</v>
      </c>
      <c r="N2720" s="28" t="s">
        <v>52</v>
      </c>
    </row>
    <row r="2721" spans="1:14" x14ac:dyDescent="0.15">
      <c r="A2721" s="23" t="str">
        <f>HYPERLINK("https://www.spark-marketing.ru/Card/Person/1039799", "МБОУ СОШ № 21 Г. БРЯНСКА")</f>
        <v>МБОУ СОШ № 21 Г. БРЯНСКА</v>
      </c>
      <c r="B2721" s="24" t="s">
        <v>4025</v>
      </c>
      <c r="C2721" s="25">
        <v>115200</v>
      </c>
      <c r="D2721" s="22" t="s">
        <v>4026</v>
      </c>
      <c r="E2721" s="22" t="s">
        <v>68</v>
      </c>
      <c r="F2721" s="23" t="str">
        <f>HYPERLINK("https://www.spark-marketing.ru/Card/Lot/72904746", "Услуги по обеспечению охраны объекта с осуществлением обеспечения особого порядка доступа на объект.")</f>
        <v>Услуги по обеспечению охраны объекта с осуществлением обеспечения особого порядка доступа на объект.</v>
      </c>
      <c r="G2721" s="22" t="s">
        <v>215</v>
      </c>
      <c r="H2721" s="22" t="s">
        <v>406</v>
      </c>
      <c r="I2721" s="26">
        <v>43697.5444444444</v>
      </c>
      <c r="J2721" s="28" t="s">
        <v>52</v>
      </c>
      <c r="K2721" s="28" t="s">
        <v>52</v>
      </c>
      <c r="L2721" s="28" t="s">
        <v>52</v>
      </c>
      <c r="M2721" s="28" t="s">
        <v>52</v>
      </c>
      <c r="N2721" s="28" t="s">
        <v>52</v>
      </c>
    </row>
    <row r="2722" spans="1:14" x14ac:dyDescent="0.15">
      <c r="A2722" s="23" t="str">
        <f>HYPERLINK("https://www.spark-marketing.ru/Card/Person/1038451", "МБОУ ""СОШ № 18"" Г. БРЯНСКА")</f>
        <v>МБОУ "СОШ № 18" Г. БРЯНСКА</v>
      </c>
      <c r="B2722" s="24" t="s">
        <v>4027</v>
      </c>
      <c r="C2722" s="25">
        <v>116640</v>
      </c>
      <c r="D2722" s="22" t="s">
        <v>4028</v>
      </c>
      <c r="E2722" s="22" t="s">
        <v>68</v>
      </c>
      <c r="F2722" s="23" t="str">
        <f>HYPERLINK("https://www.spark-marketing.ru/Card/Lot/72904728", "Услуги по обеспечению охраны объекта с осуществлением обеспечения особого порядка доступа на объект.")</f>
        <v>Услуги по обеспечению охраны объекта с осуществлением обеспечения особого порядка доступа на объект.</v>
      </c>
      <c r="G2722" s="22" t="s">
        <v>215</v>
      </c>
      <c r="H2722" s="22" t="s">
        <v>406</v>
      </c>
      <c r="I2722" s="26">
        <v>43697.541666666701</v>
      </c>
      <c r="J2722" s="28" t="s">
        <v>52</v>
      </c>
      <c r="K2722" s="28" t="s">
        <v>52</v>
      </c>
      <c r="L2722" s="28" t="s">
        <v>52</v>
      </c>
      <c r="M2722" s="28" t="s">
        <v>52</v>
      </c>
      <c r="N2722" s="28" t="s">
        <v>52</v>
      </c>
    </row>
    <row r="2723" spans="1:14" x14ac:dyDescent="0.15">
      <c r="A2723" s="23" t="str">
        <f>HYPERLINK("https://www.spark-marketing.ru/Card/Person/1038271", "МБОУ ""СОШ № 12"" Г. БРЯНСКА")</f>
        <v>МБОУ "СОШ № 12" Г. БРЯНСКА</v>
      </c>
      <c r="B2723" s="24" t="s">
        <v>4029</v>
      </c>
      <c r="C2723" s="25">
        <v>110880</v>
      </c>
      <c r="D2723" s="22" t="s">
        <v>4030</v>
      </c>
      <c r="E2723" s="22" t="s">
        <v>68</v>
      </c>
      <c r="F2723" s="23" t="str">
        <f>HYPERLINK("https://www.spark-marketing.ru/Card/Lot/72904753", "Услуги по обеспечению охраны объекта с осуществлением обеспечения особого порядка доступа на объект")</f>
        <v>Услуги по обеспечению охраны объекта с осуществлением обеспечения особого порядка доступа на объект</v>
      </c>
      <c r="G2723" s="22" t="s">
        <v>215</v>
      </c>
      <c r="H2723" s="22" t="s">
        <v>406</v>
      </c>
      <c r="I2723" s="26">
        <v>43697.545833333301</v>
      </c>
      <c r="J2723" s="28" t="s">
        <v>52</v>
      </c>
      <c r="K2723" s="28" t="s">
        <v>52</v>
      </c>
      <c r="L2723" s="28" t="s">
        <v>52</v>
      </c>
      <c r="M2723" s="28" t="s">
        <v>52</v>
      </c>
      <c r="N2723" s="28" t="s">
        <v>52</v>
      </c>
    </row>
    <row r="2724" spans="1:14" x14ac:dyDescent="0.15">
      <c r="A2724" s="23" t="str">
        <f>HYPERLINK("https://www.spark-marketing.ru/Card/Person/109166", "ФКУ ИК-6 УФСИН РОССИИ ПО ТВЕРСКОЙ ОБЛАСТИ")</f>
        <v>ФКУ ИК-6 УФСИН РОССИИ ПО ТВЕРСКОЙ ОБЛАСТИ</v>
      </c>
      <c r="B2724" s="24" t="s">
        <v>4031</v>
      </c>
      <c r="C2724" s="25">
        <v>59625.29</v>
      </c>
      <c r="D2724" s="22" t="s">
        <v>4032</v>
      </c>
      <c r="E2724" s="22" t="s">
        <v>4033</v>
      </c>
      <c r="F2724" s="23" t="str">
        <f>HYPERLINK("https://www.spark-marketing.ru/Card/Lot/72908351", "Приобретение средств охранной сигнализации")</f>
        <v>Приобретение средств охранной сигнализации</v>
      </c>
      <c r="G2724" s="22" t="s">
        <v>251</v>
      </c>
      <c r="H2724" s="22" t="s">
        <v>251</v>
      </c>
      <c r="I2724" s="26">
        <v>43697.389664351896</v>
      </c>
      <c r="J2724" s="28" t="s">
        <v>52</v>
      </c>
      <c r="K2724" s="28" t="s">
        <v>52</v>
      </c>
      <c r="L2724" s="28" t="s">
        <v>52</v>
      </c>
      <c r="M2724" s="28" t="s">
        <v>52</v>
      </c>
      <c r="N2724" s="28" t="s">
        <v>52</v>
      </c>
    </row>
    <row r="2725" spans="1:14" ht="12.75" hidden="1" outlineLevel="1" x14ac:dyDescent="0.2">
      <c r="A2725" s="23" t="str">
        <f>HYPERLINK("https://www.spark-marketing.ru/Card/Person/109166", "ФКУ ИК-6 УФСИН РОССИИ ПО ТВЕРСКОЙ ОБЛАСТИ")</f>
        <v>ФКУ ИК-6 УФСИН РОССИИ ПО ТВЕРСКОЙ ОБЛАСТИ</v>
      </c>
      <c r="B2725" s="24" t="s">
        <v>4031</v>
      </c>
      <c r="C2725" s="25">
        <v>59625.29</v>
      </c>
      <c r="D2725" s="22" t="s">
        <v>4032</v>
      </c>
      <c r="E2725" s="22" t="s">
        <v>4033</v>
      </c>
      <c r="F2725" s="23" t="str">
        <f>HYPERLINK("https://www.spark-marketing.ru/Card/Lot/72908351", "Приобретение средств охранной сигнализации")</f>
        <v>Приобретение средств охранной сигнализации</v>
      </c>
      <c r="G2725" s="22" t="s">
        <v>251</v>
      </c>
      <c r="H2725" s="22" t="s">
        <v>251</v>
      </c>
      <c r="I2725" s="26">
        <v>43697.389664351896</v>
      </c>
      <c r="J2725" s="23" t="str">
        <f>HYPERLINK("https://www.spark-marketing.ru/Card/Person/271776", "ООО ГК ""БАСТИОН""")</f>
        <v>ООО ГК "БАСТИОН"</v>
      </c>
      <c r="K2725" s="24" t="s">
        <v>4034</v>
      </c>
      <c r="L2725" s="22" t="s">
        <v>10</v>
      </c>
      <c r="M2725" s="25">
        <v>54700</v>
      </c>
      <c r="N2725" s="27">
        <v>8.2604042680547135E-2</v>
      </c>
    </row>
    <row r="2726" spans="1:14" hidden="1" outlineLevel="1" x14ac:dyDescent="0.2">
      <c r="A2726" s="23" t="str">
        <f>HYPERLINK("https://www.spark-marketing.ru/Card/Person/109166", "ФКУ ИК-6 УФСИН РОССИИ ПО ТВЕРСКОЙ ОБЛАСТИ")</f>
        <v>ФКУ ИК-6 УФСИН РОССИИ ПО ТВЕРСКОЙ ОБЛАСТИ</v>
      </c>
      <c r="B2726" s="24" t="s">
        <v>4031</v>
      </c>
      <c r="C2726" s="25">
        <v>59625.29</v>
      </c>
      <c r="D2726" s="22" t="s">
        <v>4032</v>
      </c>
      <c r="E2726" s="22" t="s">
        <v>4033</v>
      </c>
      <c r="F2726" s="23" t="str">
        <f>HYPERLINK("https://www.spark-marketing.ru/Card/Lot/72908351", "Приобретение средств охранной сигнализации")</f>
        <v>Приобретение средств охранной сигнализации</v>
      </c>
      <c r="G2726" s="22" t="s">
        <v>251</v>
      </c>
      <c r="H2726" s="22" t="s">
        <v>251</v>
      </c>
      <c r="I2726" s="26">
        <v>43697.389664351896</v>
      </c>
      <c r="J2726" s="23" t="str">
        <f>HYPERLINK("https://www.spark-marketing.ru/Card/Person/4954405", "ООО ""АНГАРЕЙОН-СБ""")</f>
        <v>ООО "АНГАРЕЙОН-СБ"</v>
      </c>
      <c r="K2726" s="24" t="s">
        <v>3508</v>
      </c>
      <c r="L2726" s="28" t="s">
        <v>52</v>
      </c>
      <c r="M2726" s="25">
        <v>55701.87</v>
      </c>
      <c r="N2726" s="27">
        <v>6.5801273251668888E-2</v>
      </c>
    </row>
    <row r="2727" spans="1:14" hidden="1" outlineLevel="1" x14ac:dyDescent="0.2">
      <c r="A2727" s="23" t="str">
        <f>HYPERLINK("https://www.spark-marketing.ru/Card/Person/109166", "ФКУ ИК-6 УФСИН РОССИИ ПО ТВЕРСКОЙ ОБЛАСТИ")</f>
        <v>ФКУ ИК-6 УФСИН РОССИИ ПО ТВЕРСКОЙ ОБЛАСТИ</v>
      </c>
      <c r="B2727" s="24" t="s">
        <v>4031</v>
      </c>
      <c r="C2727" s="25">
        <v>59625.29</v>
      </c>
      <c r="D2727" s="22" t="s">
        <v>4032</v>
      </c>
      <c r="E2727" s="22" t="s">
        <v>4033</v>
      </c>
      <c r="F2727" s="23" t="str">
        <f>HYPERLINK("https://www.spark-marketing.ru/Card/Lot/72908351", "Приобретение средств охранной сигнализации")</f>
        <v>Приобретение средств охранной сигнализации</v>
      </c>
      <c r="G2727" s="22" t="s">
        <v>251</v>
      </c>
      <c r="H2727" s="22" t="s">
        <v>251</v>
      </c>
      <c r="I2727" s="26">
        <v>43697.389664351896</v>
      </c>
      <c r="J2727" s="23" t="str">
        <f>HYPERLINK("https://www.spark-marketing.ru/Card/Person/343131", "ООО ""ЩИТ""")</f>
        <v>ООО "ЩИТ"</v>
      </c>
      <c r="K2727" s="24" t="s">
        <v>1798</v>
      </c>
      <c r="L2727" s="28" t="s">
        <v>52</v>
      </c>
      <c r="M2727" s="25">
        <v>58432.77</v>
      </c>
      <c r="N2727" s="27">
        <v>2.0000238153977952E-2</v>
      </c>
    </row>
    <row r="2728" spans="1:14" x14ac:dyDescent="0.15">
      <c r="A2728" s="23" t="str">
        <f>HYPERLINK("https://www.spark-marketing.ru/Card/Person/1038806", "МБОУ СОШ №17 Г.БРЯНСКА")</f>
        <v>МБОУ СОШ №17 Г.БРЯНСКА</v>
      </c>
      <c r="B2728" s="24" t="s">
        <v>4035</v>
      </c>
      <c r="C2728" s="25">
        <v>112320</v>
      </c>
      <c r="D2728" s="22" t="s">
        <v>4036</v>
      </c>
      <c r="E2728" s="22" t="s">
        <v>68</v>
      </c>
      <c r="F2728" s="23" t="str">
        <f>HYPERLINK("https://www.spark-marketing.ru/Card/Lot/72903760", "Услуги по обеспечению охраны объекта с осуществлением обеспечения особого порядка доступа на объект.")</f>
        <v>Услуги по обеспечению охраны объекта с осуществлением обеспечения особого порядка доступа на объект.</v>
      </c>
      <c r="G2728" s="22" t="s">
        <v>215</v>
      </c>
      <c r="H2728" s="22" t="s">
        <v>406</v>
      </c>
      <c r="I2728" s="26">
        <v>43697.534722222197</v>
      </c>
      <c r="J2728" s="28" t="s">
        <v>52</v>
      </c>
      <c r="K2728" s="28" t="s">
        <v>52</v>
      </c>
      <c r="L2728" s="28" t="s">
        <v>52</v>
      </c>
      <c r="M2728" s="28" t="s">
        <v>52</v>
      </c>
      <c r="N2728" s="28" t="s">
        <v>52</v>
      </c>
    </row>
    <row r="2729" spans="1:14" x14ac:dyDescent="0.15">
      <c r="A2729" s="23" t="str">
        <f>HYPERLINK("https://www.spark-marketing.ru/Card/Person/1038159", "МБОУ СОШ № 14 Г. БРЯНСКА")</f>
        <v>МБОУ СОШ № 14 Г. БРЯНСКА</v>
      </c>
      <c r="B2729" s="24" t="s">
        <v>4037</v>
      </c>
      <c r="C2729" s="25">
        <v>115200</v>
      </c>
      <c r="D2729" s="22" t="s">
        <v>4038</v>
      </c>
      <c r="E2729" s="22" t="s">
        <v>68</v>
      </c>
      <c r="F2729" s="23" t="str">
        <f>HYPERLINK("https://www.spark-marketing.ru/Card/Lot/72903769", "Услуги по обеспечению охраны объекта с осуществлением обеспечения особого порядка доступа на объект.")</f>
        <v>Услуги по обеспечению охраны объекта с осуществлением обеспечения особого порядка доступа на объект.</v>
      </c>
      <c r="G2729" s="22" t="s">
        <v>215</v>
      </c>
      <c r="H2729" s="22" t="s">
        <v>406</v>
      </c>
      <c r="I2729" s="26">
        <v>43697.536805555603</v>
      </c>
      <c r="J2729" s="28" t="s">
        <v>52</v>
      </c>
      <c r="K2729" s="28" t="s">
        <v>52</v>
      </c>
      <c r="L2729" s="28" t="s">
        <v>52</v>
      </c>
      <c r="M2729" s="28" t="s">
        <v>52</v>
      </c>
      <c r="N2729" s="28" t="s">
        <v>52</v>
      </c>
    </row>
    <row r="2730" spans="1:14" x14ac:dyDescent="0.15">
      <c r="A2730" s="23" t="str">
        <f>HYPERLINK("https://www.spark-marketing.ru/Card/Person/1038157", "МБОУ ""СОШ № 19"" Г.БРЯНСКА")</f>
        <v>МБОУ "СОШ № 19" Г.БРЯНСКА</v>
      </c>
      <c r="B2730" s="24" t="s">
        <v>4039</v>
      </c>
      <c r="C2730" s="25">
        <v>109440</v>
      </c>
      <c r="D2730" s="22" t="s">
        <v>4040</v>
      </c>
      <c r="E2730" s="22" t="s">
        <v>68</v>
      </c>
      <c r="F2730" s="23" t="str">
        <f>HYPERLINK("https://www.spark-marketing.ru/Card/Lot/72903626", "Услуги по обеспечению охраны объекта с осуществлением обеспечения особого порядка доступа на объект.")</f>
        <v>Услуги по обеспечению охраны объекта с осуществлением обеспечения особого порядка доступа на объект.</v>
      </c>
      <c r="G2730" s="22" t="s">
        <v>215</v>
      </c>
      <c r="H2730" s="22" t="s">
        <v>406</v>
      </c>
      <c r="I2730" s="26">
        <v>43697.528472222199</v>
      </c>
      <c r="J2730" s="28" t="s">
        <v>52</v>
      </c>
      <c r="K2730" s="28" t="s">
        <v>52</v>
      </c>
      <c r="L2730" s="28" t="s">
        <v>52</v>
      </c>
      <c r="M2730" s="28" t="s">
        <v>52</v>
      </c>
      <c r="N2730" s="28" t="s">
        <v>52</v>
      </c>
    </row>
    <row r="2731" spans="1:14" x14ac:dyDescent="0.15">
      <c r="A2731" s="23" t="str">
        <f>HYPERLINK("https://www.spark-marketing.ru/Card/Person/1008561", "МБОУ СОШ № 39 Г.БРЯНСКА")</f>
        <v>МБОУ СОШ № 39 Г.БРЯНСКА</v>
      </c>
      <c r="B2731" s="24" t="s">
        <v>4041</v>
      </c>
      <c r="C2731" s="25">
        <v>113760</v>
      </c>
      <c r="D2731" s="22" t="s">
        <v>4042</v>
      </c>
      <c r="E2731" s="22" t="s">
        <v>68</v>
      </c>
      <c r="F2731" s="23" t="str">
        <f>HYPERLINK("https://www.spark-marketing.ru/Card/Lot/72903636", "Услуги по обеспечению охраны объекта с осуществлением обеспечения особого порядка доступа на объект.")</f>
        <v>Услуги по обеспечению охраны объекта с осуществлением обеспечения особого порядка доступа на объект.</v>
      </c>
      <c r="G2731" s="22" t="s">
        <v>215</v>
      </c>
      <c r="H2731" s="22" t="s">
        <v>406</v>
      </c>
      <c r="I2731" s="26">
        <v>43697.531944444403</v>
      </c>
      <c r="J2731" s="28" t="s">
        <v>52</v>
      </c>
      <c r="K2731" s="28" t="s">
        <v>52</v>
      </c>
      <c r="L2731" s="28" t="s">
        <v>52</v>
      </c>
      <c r="M2731" s="28" t="s">
        <v>52</v>
      </c>
      <c r="N2731" s="28" t="s">
        <v>52</v>
      </c>
    </row>
    <row r="2732" spans="1:14" x14ac:dyDescent="0.15">
      <c r="A2732" s="23" t="str">
        <f>HYPERLINK("https://www.spark-marketing.ru/Card/Person/138364", "МБДОУ КВ ""ДЕТСКИЙ САД № 9 ""СОЗВЕЗДИЕ""")</f>
        <v>МБДОУ КВ "ДЕТСКИЙ САД № 9 "СОЗВЕЗДИЕ"</v>
      </c>
      <c r="B2732" s="24" t="s">
        <v>4043</v>
      </c>
      <c r="C2732" s="25">
        <v>37197.83</v>
      </c>
      <c r="D2732" s="22" t="s">
        <v>4044</v>
      </c>
      <c r="E2732" s="22" t="s">
        <v>59</v>
      </c>
      <c r="F2732" s="23" t="str">
        <f>HYPERLINK("https://www.spark-marketing.ru/Card/Lot/72902814", "Работы по установке кнопки тревожной сигнализации (КТС) в корпус №1")</f>
        <v>Работы по установке кнопки тревожной сигнализации (КТС) в корпус №1</v>
      </c>
      <c r="G2732" s="22" t="s">
        <v>50</v>
      </c>
      <c r="H2732" s="22" t="s">
        <v>4045</v>
      </c>
      <c r="I2732" s="26">
        <v>43697.482673611099</v>
      </c>
      <c r="J2732" s="28" t="s">
        <v>52</v>
      </c>
      <c r="K2732" s="28" t="s">
        <v>52</v>
      </c>
      <c r="L2732" s="28" t="s">
        <v>52</v>
      </c>
      <c r="M2732" s="28" t="s">
        <v>52</v>
      </c>
      <c r="N2732" s="28" t="s">
        <v>52</v>
      </c>
    </row>
    <row r="2733" spans="1:14" x14ac:dyDescent="0.15">
      <c r="A2733" s="23" t="str">
        <f>HYPERLINK("https://www.spark-marketing.ru/Card/Person/13399", "АДМИНИСТРАЦИЯ ТОРБЕЕВСКОГО ГОРОДСКОГО ПОСЕЛЕНИЯ")</f>
        <v>АДМИНИСТРАЦИЯ ТОРБЕЕВСКОГО ГОРОДСКОГО ПОСЕЛЕНИЯ</v>
      </c>
      <c r="B2733" s="24" t="s">
        <v>4046</v>
      </c>
      <c r="C2733" s="25">
        <v>285200</v>
      </c>
      <c r="D2733" s="22" t="s">
        <v>4047</v>
      </c>
      <c r="E2733" s="22" t="s">
        <v>52</v>
      </c>
      <c r="F2733" s="23" t="str">
        <f>HYPERLINK("https://www.spark-marketing.ru/Card/Lot/72907334", "Выполнение работ по установке системы видеонаблюдения в рп Торбеево Торбеевского городского поселения Торбеевского муниципального района Республики Мордовия")</f>
        <v>Выполнение работ по установке системы видеонаблюдения в рп Торбеево Торбеевского городского поселения Торбеевского муниципального района Республики Мордовия</v>
      </c>
      <c r="G2733" s="22" t="s">
        <v>331</v>
      </c>
      <c r="H2733" s="22" t="s">
        <v>4048</v>
      </c>
      <c r="I2733" s="26">
        <v>43697.4938078704</v>
      </c>
      <c r="J2733" s="28" t="s">
        <v>52</v>
      </c>
      <c r="K2733" s="28" t="s">
        <v>52</v>
      </c>
      <c r="L2733" s="28" t="s">
        <v>52</v>
      </c>
      <c r="M2733" s="28" t="s">
        <v>52</v>
      </c>
      <c r="N2733" s="28" t="s">
        <v>52</v>
      </c>
    </row>
    <row r="2734" spans="1:14" hidden="1" outlineLevel="1" x14ac:dyDescent="0.2">
      <c r="A2734" s="23" t="str">
        <f>HYPERLINK("https://www.spark-marketing.ru/Card/Person/13399", "АДМИНИСТРАЦИЯ ТОРБЕЕВСКОГО ГОРОДСКОГО ПОСЕЛЕНИЯ")</f>
        <v>АДМИНИСТРАЦИЯ ТОРБЕЕВСКОГО ГОРОДСКОГО ПОСЕЛЕНИЯ</v>
      </c>
      <c r="B2734" s="24" t="s">
        <v>4046</v>
      </c>
      <c r="C2734" s="25">
        <v>285200</v>
      </c>
      <c r="D2734" s="22" t="s">
        <v>4047</v>
      </c>
      <c r="E2734" s="22" t="s">
        <v>52</v>
      </c>
      <c r="F2734" s="23" t="str">
        <f>HYPERLINK("https://www.spark-marketing.ru/Card/Lot/72907334", "Выполнение работ по установке системы видеонаблюдения в рп Торбеево Торбеевского городского поселения Торбеевского муниципального района Республики Мордовия")</f>
        <v>Выполнение работ по установке системы видеонаблюдения в рп Торбеево Торбеевского городского поселения Торбеевского муниципального района Республики Мордовия</v>
      </c>
      <c r="G2734" s="22" t="s">
        <v>331</v>
      </c>
      <c r="H2734" s="22" t="s">
        <v>4048</v>
      </c>
      <c r="I2734" s="26">
        <v>43697.4938078704</v>
      </c>
      <c r="J2734" s="23" t="str">
        <f>HYPERLINK("https://www.spark-marketing.ru/Card/Person/221624", "ООО ""ЦАНГ""")</f>
        <v>ООО "ЦАНГ"</v>
      </c>
      <c r="K2734" s="24" t="s">
        <v>4049</v>
      </c>
      <c r="L2734" s="28" t="s">
        <v>52</v>
      </c>
      <c r="M2734" s="25">
        <v>270940</v>
      </c>
      <c r="N2734" s="27">
        <v>0.05</v>
      </c>
    </row>
    <row r="2735" spans="1:14" ht="12.75" hidden="1" outlineLevel="1" x14ac:dyDescent="0.2">
      <c r="A2735" s="23" t="str">
        <f>HYPERLINK("https://www.spark-marketing.ru/Card/Person/13399", "АДМИНИСТРАЦИЯ ТОРБЕЕВСКОГО ГОРОДСКОГО ПОСЕЛЕНИЯ")</f>
        <v>АДМИНИСТРАЦИЯ ТОРБЕЕВСКОГО ГОРОДСКОГО ПОСЕЛЕНИЯ</v>
      </c>
      <c r="B2735" s="24" t="s">
        <v>4046</v>
      </c>
      <c r="C2735" s="25">
        <v>285200</v>
      </c>
      <c r="D2735" s="22" t="s">
        <v>4047</v>
      </c>
      <c r="E2735" s="22" t="s">
        <v>52</v>
      </c>
      <c r="F2735" s="23" t="str">
        <f>HYPERLINK("https://www.spark-marketing.ru/Card/Lot/72907334", "Выполнение работ по установке системы видеонаблюдения в рп Торбеево Торбеевского городского поселения Торбеевского муниципального района Республики Мордовия")</f>
        <v>Выполнение работ по установке системы видеонаблюдения в рп Торбеево Торбеевского городского поселения Торбеевского муниципального района Республики Мордовия</v>
      </c>
      <c r="G2735" s="22" t="s">
        <v>331</v>
      </c>
      <c r="H2735" s="22" t="s">
        <v>4048</v>
      </c>
      <c r="I2735" s="26">
        <v>43697.4938078704</v>
      </c>
      <c r="J2735" s="23" t="str">
        <f>HYPERLINK("https://www.spark-marketing.ru/Card/Person/12789", "АО ""ЭР-ТЕЛЕКОМ ХОЛДИНГ""")</f>
        <v>АО "ЭР-ТЕЛЕКОМ ХОЛДИНГ"</v>
      </c>
      <c r="K2735" s="24" t="s">
        <v>3100</v>
      </c>
      <c r="L2735" s="22" t="s">
        <v>10</v>
      </c>
      <c r="M2735" s="25">
        <v>269514</v>
      </c>
      <c r="N2735" s="27">
        <v>5.5E-2</v>
      </c>
    </row>
    <row r="2736" spans="1:14" x14ac:dyDescent="0.15">
      <c r="A2736" s="23" t="str">
        <f>HYPERLINK("https://www.spark-marketing.ru/Card/Person/4694", "МУ УГХ")</f>
        <v>МУ УГХ</v>
      </c>
      <c r="B2736" s="24" t="s">
        <v>2752</v>
      </c>
      <c r="C2736" s="25">
        <v>250480</v>
      </c>
      <c r="D2736" s="22" t="s">
        <v>4050</v>
      </c>
      <c r="E2736" s="22" t="s">
        <v>2754</v>
      </c>
      <c r="F2736" s="23" t="str">
        <f>HYPERLINK("https://www.spark-marketing.ru/Card/Lot/72903922", "Оказание услуг по установке и настройке навигационного оборудования для обустройства судовой сигнализации")</f>
        <v>Оказание услуг по установке и настройке навигационного оборудования для обустройства судовой сигнализации</v>
      </c>
      <c r="G2736" s="22" t="s">
        <v>340</v>
      </c>
      <c r="H2736" s="22" t="s">
        <v>2755</v>
      </c>
      <c r="I2736" s="26">
        <v>43697.411516203698</v>
      </c>
      <c r="J2736" s="28" t="s">
        <v>52</v>
      </c>
      <c r="K2736" s="28" t="s">
        <v>52</v>
      </c>
      <c r="L2736" s="28" t="s">
        <v>52</v>
      </c>
      <c r="M2736" s="28" t="s">
        <v>52</v>
      </c>
      <c r="N2736" s="28" t="s">
        <v>52</v>
      </c>
    </row>
    <row r="2737" spans="1:14" x14ac:dyDescent="0.15">
      <c r="A2737" s="23" t="str">
        <f>HYPERLINK("https://www.spark-marketing.ru/Card/Person/1777671", "МДОУ №9 ""ЦВЕТИК-СЕМИЦВЕТИК""")</f>
        <v>МДОУ №9 "ЦВЕТИК-СЕМИЦВЕТИК"</v>
      </c>
      <c r="B2737" s="24" t="s">
        <v>4051</v>
      </c>
      <c r="C2737" s="25">
        <v>75000</v>
      </c>
      <c r="D2737" s="22" t="s">
        <v>4052</v>
      </c>
      <c r="E2737" s="22" t="s">
        <v>84</v>
      </c>
      <c r="F2737" s="23" t="str">
        <f>HYPERLINK("https://www.spark-marketing.ru/Card/Lot/72900230", "Оказание услуг по приобретение и установка видеонаблюдения")</f>
        <v>Оказание услуг по приобретение и установка видеонаблюдения</v>
      </c>
      <c r="G2737" s="22" t="s">
        <v>50</v>
      </c>
      <c r="H2737" s="22" t="s">
        <v>504</v>
      </c>
      <c r="I2737" s="26">
        <v>43697.420023148101</v>
      </c>
      <c r="J2737" s="28" t="s">
        <v>52</v>
      </c>
      <c r="K2737" s="28" t="s">
        <v>52</v>
      </c>
      <c r="L2737" s="28" t="s">
        <v>52</v>
      </c>
      <c r="M2737" s="28" t="s">
        <v>52</v>
      </c>
      <c r="N2737" s="28" t="s">
        <v>52</v>
      </c>
    </row>
    <row r="2738" spans="1:14" x14ac:dyDescent="0.15">
      <c r="A2738" s="23" t="str">
        <f>HYPERLINK("https://www.spark-marketing.ru/Card/Person/25286", "ОГБУЗ СОКБ")</f>
        <v>ОГБУЗ СОКБ</v>
      </c>
      <c r="B2738" s="24" t="s">
        <v>4053</v>
      </c>
      <c r="C2738" s="25">
        <v>101890</v>
      </c>
      <c r="D2738" s="22" t="s">
        <v>4054</v>
      </c>
      <c r="E2738" s="22" t="s">
        <v>103</v>
      </c>
      <c r="F2738" s="23" t="str">
        <f>HYPERLINK("https://www.spark-marketing.ru/Card/Lot/72901927", "0977-аэф/у Оказание услуг по техническому обслуживанию эндоскопического оборудования (Пентакс) в течение 2 полугодия 2019 года")</f>
        <v>0977-аэф/у Оказание услуг по техническому обслуживанию эндоскопического оборудования (Пентакс) в течение 2 полугодия 2019 года</v>
      </c>
      <c r="G2738" s="22" t="s">
        <v>956</v>
      </c>
      <c r="H2738" s="22" t="s">
        <v>1451</v>
      </c>
      <c r="I2738" s="26">
        <v>43697.420543981498</v>
      </c>
      <c r="J2738" s="23" t="str">
        <f>HYPERLINK("https://www.spark-marketing.ru/Card/Person/196091", "ООО ""НОРДМЕД""")</f>
        <v>ООО "НОРДМЕД"</v>
      </c>
      <c r="K2738" s="24" t="s">
        <v>4055</v>
      </c>
      <c r="L2738" s="22" t="s">
        <v>10</v>
      </c>
      <c r="M2738" s="28" t="s">
        <v>52</v>
      </c>
      <c r="N2738" s="28" t="s">
        <v>52</v>
      </c>
    </row>
    <row r="2739" spans="1:14" x14ac:dyDescent="0.15">
      <c r="A2739" s="23" t="str">
        <f>HYPERLINK("https://www.spark-marketing.ru/Card/Person/1781442", "АО ""ХИАГДА""")</f>
        <v>АО "ХИАГДА"</v>
      </c>
      <c r="B2739" s="24" t="s">
        <v>2590</v>
      </c>
      <c r="C2739" s="28" t="s">
        <v>52</v>
      </c>
      <c r="D2739" s="22" t="s">
        <v>4056</v>
      </c>
      <c r="E2739" s="22" t="s">
        <v>59</v>
      </c>
      <c r="F2739" s="23" t="str">
        <f>HYPERLINK("https://www.spark-marketing.ru/Card/Lot/72909049", "Приобретение и установка системы мониторинга сотрудников Цеха ПВ")</f>
        <v>Приобретение и установка системы мониторинга сотрудников Цеха ПВ</v>
      </c>
      <c r="G2739" s="22" t="s">
        <v>354</v>
      </c>
      <c r="H2739" s="22" t="s">
        <v>2592</v>
      </c>
      <c r="I2739" s="26">
        <v>43697.409965277802</v>
      </c>
      <c r="J2739" s="28" t="s">
        <v>52</v>
      </c>
      <c r="K2739" s="28" t="s">
        <v>52</v>
      </c>
      <c r="L2739" s="28" t="s">
        <v>52</v>
      </c>
      <c r="M2739" s="28" t="s">
        <v>52</v>
      </c>
      <c r="N2739" s="28" t="s">
        <v>52</v>
      </c>
    </row>
    <row r="2740" spans="1:14" x14ac:dyDescent="0.15">
      <c r="A2740" s="23" t="str">
        <f>HYPERLINK("https://www.spark-marketing.ru/Card/Person/4924840", "ЮГО ЗАПАДНЫЙ БАНК ПАО СБЕРБАНК")</f>
        <v>ЮГО ЗАПАДНЫЙ БАНК ПАО СБЕРБАНК</v>
      </c>
      <c r="B2740" s="28" t="s">
        <v>52</v>
      </c>
      <c r="C2740" s="25">
        <v>2571955.2000000002</v>
      </c>
      <c r="D2740" s="22" t="s">
        <v>4057</v>
      </c>
      <c r="E2740" s="22" t="s">
        <v>53</v>
      </c>
      <c r="F2740" s="23" t="str">
        <f>HYPERLINK("https://www.spark-marketing.ru/Card/Lot/72897567", "Оказание услуг охраны имущества на объектах залогового имущества, принадлежащего ООО «РМНТК-Термические системы» обремененных залогом Юго-Западного банка ПАО Сбербанк, расположенных на территории Восточный участок Оренбургского НГКМ.")</f>
        <v>Оказание услуг охраны имущества на объектах залогового имущества, принадлежащего ООО «РМНТК-Термические системы» обремененных залогом Юго-Западного банка ПАО Сбербанк, расположенных на территории Восточный участок Оренбургского НГКМ.</v>
      </c>
      <c r="G2740" s="22" t="s">
        <v>52</v>
      </c>
      <c r="H2740" s="22" t="s">
        <v>52</v>
      </c>
      <c r="I2740" s="26">
        <v>43697.3972222222</v>
      </c>
      <c r="J2740" s="28" t="s">
        <v>52</v>
      </c>
      <c r="K2740" s="28" t="s">
        <v>52</v>
      </c>
      <c r="L2740" s="28" t="s">
        <v>52</v>
      </c>
      <c r="M2740" s="28" t="s">
        <v>52</v>
      </c>
      <c r="N2740" s="28" t="s">
        <v>52</v>
      </c>
    </row>
    <row r="2741" spans="1:14" hidden="1" outlineLevel="1" x14ac:dyDescent="0.2">
      <c r="A2741" s="23" t="str">
        <f>HYPERLINK("https://www.spark-marketing.ru/Card/Person/4924840", "ЮГО ЗАПАДНЫЙ БАНК ПАО СБЕРБАНК")</f>
        <v>ЮГО ЗАПАДНЫЙ БАНК ПАО СБЕРБАНК</v>
      </c>
      <c r="B2741" s="28" t="s">
        <v>52</v>
      </c>
      <c r="C2741" s="25">
        <v>2571955.2000000002</v>
      </c>
      <c r="D2741" s="22" t="s">
        <v>4057</v>
      </c>
      <c r="E2741" s="22" t="s">
        <v>53</v>
      </c>
      <c r="F2741" s="23" t="str">
        <f>HYPERLINK("https://www.spark-marketing.ru/Card/Lot/72897567", "Оказание услуг охраны имущества на объектах залогового имущества, принадлежащего ООО «РМНТК-Термические системы» обремененных залогом Юго-Западного банка ПАО Сбербанк, расположенных на территории Восточный участок Оренбургского НГКМ.")</f>
        <v>Оказание услуг охраны имущества на объектах залогового имущества, принадлежащего ООО «РМНТК-Термические системы» обремененных залогом Юго-Западного банка ПАО Сбербанк, расположенных на территории Восточный участок Оренбургского НГКМ.</v>
      </c>
      <c r="G2741" s="22" t="s">
        <v>52</v>
      </c>
      <c r="H2741" s="22" t="s">
        <v>52</v>
      </c>
      <c r="I2741" s="26">
        <v>43697.3972222222</v>
      </c>
      <c r="J2741" s="23" t="str">
        <f>HYPERLINK("https://www.spark-marketing.ru/Card/Person/4496304", "ООО ""ЧОП ""АЛЬФА-ЩИТ-БМП""")</f>
        <v>ООО "ЧОП "АЛЬФА-ЩИТ-БМП"</v>
      </c>
      <c r="K2741" s="24" t="s">
        <v>4058</v>
      </c>
      <c r="L2741" s="28" t="s">
        <v>52</v>
      </c>
      <c r="M2741" s="25">
        <v>479.86</v>
      </c>
      <c r="N2741" s="27">
        <v>0.99981342598813538</v>
      </c>
    </row>
    <row r="2742" spans="1:14" hidden="1" outlineLevel="1" x14ac:dyDescent="0.2">
      <c r="A2742" s="23" t="str">
        <f>HYPERLINK("https://www.spark-marketing.ru/Card/Person/4924840", "ЮГО ЗАПАДНЫЙ БАНК ПАО СБЕРБАНК")</f>
        <v>ЮГО ЗАПАДНЫЙ БАНК ПАО СБЕРБАНК</v>
      </c>
      <c r="B2742" s="28" t="s">
        <v>52</v>
      </c>
      <c r="C2742" s="25">
        <v>2571955.2000000002</v>
      </c>
      <c r="D2742" s="22" t="s">
        <v>4057</v>
      </c>
      <c r="E2742" s="22" t="s">
        <v>53</v>
      </c>
      <c r="F2742" s="23" t="str">
        <f>HYPERLINK("https://www.spark-marketing.ru/Card/Lot/72897567", "Оказание услуг охраны имущества на объектах залогового имущества, принадлежащего ООО «РМНТК-Термические системы» обремененных залогом Юго-Западного банка ПАО Сбербанк, расположенных на территории Восточный участок Оренбургского НГКМ.")</f>
        <v>Оказание услуг охраны имущества на объектах залогового имущества, принадлежащего ООО «РМНТК-Термические системы» обремененных залогом Юго-Западного банка ПАО Сбербанк, расположенных на территории Восточный участок Оренбургского НГКМ.</v>
      </c>
      <c r="G2742" s="22" t="s">
        <v>52</v>
      </c>
      <c r="H2742" s="22" t="s">
        <v>52</v>
      </c>
      <c r="I2742" s="26">
        <v>43697.3972222222</v>
      </c>
      <c r="J2742" s="23" t="str">
        <f>HYPERLINK("https://www.spark-marketing.ru/Card/Person/4558559", "ООО ""ОО ""ПИГАС""")</f>
        <v>ООО "ОО "ПИГАС"</v>
      </c>
      <c r="K2742" s="24" t="s">
        <v>4059</v>
      </c>
      <c r="L2742" s="28" t="s">
        <v>52</v>
      </c>
      <c r="M2742" s="25">
        <v>462</v>
      </c>
      <c r="N2742" s="27">
        <v>0.99982037012153246</v>
      </c>
    </row>
    <row r="2743" spans="1:14" hidden="1" outlineLevel="1" x14ac:dyDescent="0.2">
      <c r="A2743" s="23" t="str">
        <f>HYPERLINK("https://www.spark-marketing.ru/Card/Person/4924840", "ЮГО ЗАПАДНЫЙ БАНК ПАО СБЕРБАНК")</f>
        <v>ЮГО ЗАПАДНЫЙ БАНК ПАО СБЕРБАНК</v>
      </c>
      <c r="B2743" s="28" t="s">
        <v>52</v>
      </c>
      <c r="C2743" s="25">
        <v>2571955.2000000002</v>
      </c>
      <c r="D2743" s="22" t="s">
        <v>4057</v>
      </c>
      <c r="E2743" s="22" t="s">
        <v>53</v>
      </c>
      <c r="F2743" s="23" t="str">
        <f>HYPERLINK("https://www.spark-marketing.ru/Card/Lot/72897567", "Оказание услуг охраны имущества на объектах залогового имущества, принадлежащего ООО «РМНТК-Термические системы» обремененных залогом Юго-Западного банка ПАО Сбербанк, расположенных на территории Восточный участок Оренбургского НГКМ.")</f>
        <v>Оказание услуг охраны имущества на объектах залогового имущества, принадлежащего ООО «РМНТК-Термические системы» обремененных залогом Юго-Западного банка ПАО Сбербанк, расположенных на территории Восточный участок Оренбургского НГКМ.</v>
      </c>
      <c r="G2743" s="22" t="s">
        <v>52</v>
      </c>
      <c r="H2743" s="22" t="s">
        <v>52</v>
      </c>
      <c r="I2743" s="26">
        <v>43697.3972222222</v>
      </c>
      <c r="J2743" s="23" t="str">
        <f>HYPERLINK("https://www.spark-marketing.ru/Card/Person/758015", "ООО ""ОО ""ПЕРЕСВЕТ""")</f>
        <v>ООО "ОО "ПЕРЕСВЕТ"</v>
      </c>
      <c r="K2743" s="24" t="s">
        <v>4060</v>
      </c>
      <c r="L2743" s="22" t="s">
        <v>10</v>
      </c>
      <c r="M2743" s="25">
        <v>893.04</v>
      </c>
      <c r="N2743" s="27">
        <v>0.99965277777777772</v>
      </c>
    </row>
    <row r="2744" spans="1:14" hidden="1" outlineLevel="1" x14ac:dyDescent="0.2">
      <c r="A2744" s="23" t="str">
        <f>HYPERLINK("https://www.spark-marketing.ru/Card/Person/4924840", "ЮГО ЗАПАДНЫЙ БАНК ПАО СБЕРБАНК")</f>
        <v>ЮГО ЗАПАДНЫЙ БАНК ПАО СБЕРБАНК</v>
      </c>
      <c r="B2744" s="28" t="s">
        <v>52</v>
      </c>
      <c r="C2744" s="25">
        <v>2571955.2000000002</v>
      </c>
      <c r="D2744" s="22" t="s">
        <v>4057</v>
      </c>
      <c r="E2744" s="22" t="s">
        <v>53</v>
      </c>
      <c r="F2744" s="23" t="str">
        <f>HYPERLINK("https://www.spark-marketing.ru/Card/Lot/72897567", "Оказание услуг охраны имущества на объектах залогового имущества, принадлежащего ООО «РМНТК-Термические системы» обремененных залогом Юго-Западного банка ПАО Сбербанк, расположенных на территории Восточный участок Оренбургского НГКМ.")</f>
        <v>Оказание услуг охраны имущества на объектах залогового имущества, принадлежащего ООО «РМНТК-Термические системы» обремененных залогом Юго-Западного банка ПАО Сбербанк, расположенных на территории Восточный участок Оренбургского НГКМ.</v>
      </c>
      <c r="G2744" s="22" t="s">
        <v>52</v>
      </c>
      <c r="H2744" s="22" t="s">
        <v>52</v>
      </c>
      <c r="I2744" s="26">
        <v>43697.3972222222</v>
      </c>
      <c r="J2744" s="23" t="str">
        <f>HYPERLINK("https://www.spark-marketing.ru/Card/Person/4688160", "ООО ЧОО ""РОДИНА""")</f>
        <v>ООО ЧОО "РОДИНА"</v>
      </c>
      <c r="K2744" s="24" t="s">
        <v>4061</v>
      </c>
      <c r="L2744" s="28" t="s">
        <v>52</v>
      </c>
      <c r="M2744" s="25">
        <v>800</v>
      </c>
      <c r="N2744" s="27">
        <v>0.99968895259139812</v>
      </c>
    </row>
    <row r="2745" spans="1:14" x14ac:dyDescent="0.15">
      <c r="A2745" s="23" t="str">
        <f>HYPERLINK("https://www.spark-marketing.ru/Card/Person/145468", "ГОБПОУ МКИ")</f>
        <v>ГОБПОУ МКИ</v>
      </c>
      <c r="B2745" s="24" t="s">
        <v>4062</v>
      </c>
      <c r="C2745" s="25">
        <v>1322463.8799999999</v>
      </c>
      <c r="D2745" s="22" t="s">
        <v>4063</v>
      </c>
      <c r="E2745" s="22" t="s">
        <v>59</v>
      </c>
      <c r="F2745" s="23" t="str">
        <f>HYPERLINK("https://www.spark-marketing.ru/Card/Lot/72898927", "Выполнение работ по установке системы охранной и тревожной сигнализации")</f>
        <v>Выполнение работ по установке системы охранной и тревожной сигнализации</v>
      </c>
      <c r="G2745" s="22" t="s">
        <v>190</v>
      </c>
      <c r="H2745" s="22" t="s">
        <v>191</v>
      </c>
      <c r="I2745" s="26">
        <v>43696.719143518501</v>
      </c>
      <c r="J2745" s="28" t="s">
        <v>52</v>
      </c>
      <c r="K2745" s="28" t="s">
        <v>52</v>
      </c>
      <c r="L2745" s="28" t="s">
        <v>52</v>
      </c>
      <c r="M2745" s="28" t="s">
        <v>52</v>
      </c>
      <c r="N2745" s="28" t="s">
        <v>52</v>
      </c>
    </row>
    <row r="2746" spans="1:14" hidden="1" outlineLevel="1" x14ac:dyDescent="0.2">
      <c r="A2746" s="23" t="str">
        <f>HYPERLINK("https://www.spark-marketing.ru/Card/Person/145468", "ГОБПОУ МКИ")</f>
        <v>ГОБПОУ МКИ</v>
      </c>
      <c r="B2746" s="24" t="s">
        <v>4062</v>
      </c>
      <c r="C2746" s="25">
        <v>1322463.8799999999</v>
      </c>
      <c r="D2746" s="22" t="s">
        <v>4063</v>
      </c>
      <c r="E2746" s="22" t="s">
        <v>59</v>
      </c>
      <c r="F2746" s="23" t="str">
        <f>HYPERLINK("https://www.spark-marketing.ru/Card/Lot/72898927", "Выполнение работ по установке системы охранной и тревожной сигнализации")</f>
        <v>Выполнение работ по установке системы охранной и тревожной сигнализации</v>
      </c>
      <c r="G2746" s="22" t="s">
        <v>190</v>
      </c>
      <c r="H2746" s="22" t="s">
        <v>191</v>
      </c>
      <c r="I2746" s="26">
        <v>43696.719143518501</v>
      </c>
      <c r="J2746" s="23" t="str">
        <f>HYPERLINK("https://www.spark-marketing.ru/Card/Person/424148", "ООО ""ППА""")</f>
        <v>ООО "ППА"</v>
      </c>
      <c r="K2746" s="24" t="s">
        <v>4064</v>
      </c>
      <c r="L2746" s="28" t="s">
        <v>52</v>
      </c>
      <c r="M2746" s="25">
        <v>1203387</v>
      </c>
      <c r="N2746" s="27">
        <v>9.0041687943870352E-2</v>
      </c>
    </row>
    <row r="2747" spans="1:14" hidden="1" outlineLevel="1" x14ac:dyDescent="0.2">
      <c r="A2747" s="23" t="str">
        <f>HYPERLINK("https://www.spark-marketing.ru/Card/Person/145468", "ГОБПОУ МКИ")</f>
        <v>ГОБПОУ МКИ</v>
      </c>
      <c r="B2747" s="24" t="s">
        <v>4062</v>
      </c>
      <c r="C2747" s="25">
        <v>1322463.8799999999</v>
      </c>
      <c r="D2747" s="22" t="s">
        <v>4063</v>
      </c>
      <c r="E2747" s="22" t="s">
        <v>59</v>
      </c>
      <c r="F2747" s="23" t="str">
        <f>HYPERLINK("https://www.spark-marketing.ru/Card/Lot/72898927", "Выполнение работ по установке системы охранной и тревожной сигнализации")</f>
        <v>Выполнение работ по установке системы охранной и тревожной сигнализации</v>
      </c>
      <c r="G2747" s="22" t="s">
        <v>190</v>
      </c>
      <c r="H2747" s="22" t="s">
        <v>191</v>
      </c>
      <c r="I2747" s="26">
        <v>43696.719143518501</v>
      </c>
      <c r="J2747" s="23" t="str">
        <f>HYPERLINK("https://www.spark-marketing.ru/Card/Person/70314", "ООО ""ПРОТИВОПОЖАРНЫЕ СИСТЕМЫ""")</f>
        <v>ООО "ПРОТИВОПОЖАРНЫЕ СИСТЕМЫ"</v>
      </c>
      <c r="K2747" s="24" t="s">
        <v>4065</v>
      </c>
      <c r="L2747" s="28" t="s">
        <v>52</v>
      </c>
      <c r="M2747" s="25">
        <v>1315851</v>
      </c>
      <c r="N2747" s="27">
        <v>5.0004239057175612E-3</v>
      </c>
    </row>
    <row r="2748" spans="1:14" ht="12.75" hidden="1" outlineLevel="1" x14ac:dyDescent="0.2">
      <c r="A2748" s="23" t="str">
        <f>HYPERLINK("https://www.spark-marketing.ru/Card/Person/145468", "ГОБПОУ МКИ")</f>
        <v>ГОБПОУ МКИ</v>
      </c>
      <c r="B2748" s="24" t="s">
        <v>4062</v>
      </c>
      <c r="C2748" s="25">
        <v>1322463.8799999999</v>
      </c>
      <c r="D2748" s="22" t="s">
        <v>4063</v>
      </c>
      <c r="E2748" s="22" t="s">
        <v>59</v>
      </c>
      <c r="F2748" s="23" t="str">
        <f>HYPERLINK("https://www.spark-marketing.ru/Card/Lot/72898927", "Выполнение работ по установке системы охранной и тревожной сигнализации")</f>
        <v>Выполнение работ по установке системы охранной и тревожной сигнализации</v>
      </c>
      <c r="G2748" s="22" t="s">
        <v>190</v>
      </c>
      <c r="H2748" s="22" t="s">
        <v>191</v>
      </c>
      <c r="I2748" s="26">
        <v>43696.719143518501</v>
      </c>
      <c r="J2748" s="23" t="str">
        <f>HYPERLINK("https://www.spark-marketing.ru/Card/Person/5885429", "ООО ""РЕШЕНИЕ""")</f>
        <v>ООО "РЕШЕНИЕ"</v>
      </c>
      <c r="K2748" s="24" t="s">
        <v>4066</v>
      </c>
      <c r="L2748" s="22" t="s">
        <v>10</v>
      </c>
      <c r="M2748" s="25">
        <v>1195000</v>
      </c>
      <c r="N2748" s="27">
        <v>9.6383638092255489E-2</v>
      </c>
    </row>
    <row r="2749" spans="1:14" ht="12.75" x14ac:dyDescent="0.2">
      <c r="A2749" s="23" t="str">
        <f>HYPERLINK("https://www.spark-marketing.ru/Card/Person/55047", "АДМИНИСТРАЦИЯ ОЛЮТОРСКОГО МУНИЦИПАЛЬНОГО РАЙОНА")</f>
        <v>АДМИНИСТРАЦИЯ ОЛЮТОРСКОГО МУНИЦИПАЛЬНОГО РАЙОНА</v>
      </c>
      <c r="B2749" s="24" t="s">
        <v>4067</v>
      </c>
      <c r="C2749" s="25">
        <v>129000</v>
      </c>
      <c r="D2749" s="22" t="s">
        <v>4068</v>
      </c>
      <c r="E2749" s="22" t="s">
        <v>842</v>
      </c>
      <c r="F2749" s="23" t="str">
        <f>HYPERLINK("https://www.spark-marketing.ru/Card/Lot/72897504", "Установка камеры уличного видеонаблюдения и перенос шкафов управления видиокамерами")</f>
        <v>Установка камеры уличного видеонаблюдения и перенос шкафов управления видиокамерами</v>
      </c>
      <c r="G2749" s="22" t="s">
        <v>3511</v>
      </c>
      <c r="H2749" s="22" t="s">
        <v>4069</v>
      </c>
      <c r="I2749" s="26">
        <v>43697.662002314799</v>
      </c>
      <c r="J2749" s="23" t="str">
        <f>HYPERLINK("https://www.spark-marketing.ru/Card/Person/611026", "ООО ""ДЕЛЕОН""")</f>
        <v>ООО "ДЕЛЕОН"</v>
      </c>
      <c r="K2749" s="24" t="s">
        <v>4070</v>
      </c>
      <c r="L2749" s="22" t="s">
        <v>10</v>
      </c>
      <c r="M2749" s="25">
        <v>129000</v>
      </c>
      <c r="N2749" s="27">
        <v>0</v>
      </c>
    </row>
    <row r="2750" spans="1:14" x14ac:dyDescent="0.15">
      <c r="A2750" s="23" t="str">
        <f>HYPERLINK("https://www.spark-marketing.ru/Card/Person/102694", "МУ МВД РОССИИ ""ИРКУТСКОЕ""")</f>
        <v>МУ МВД РОССИИ "ИРКУТСКОЕ"</v>
      </c>
      <c r="B2750" s="24" t="s">
        <v>4071</v>
      </c>
      <c r="C2750" s="25">
        <v>12500</v>
      </c>
      <c r="D2750" s="22" t="s">
        <v>4072</v>
      </c>
      <c r="E2750" s="22" t="s">
        <v>53</v>
      </c>
      <c r="F2750" s="23" t="str">
        <f>HYPERLINK("https://www.spark-marketing.ru/Card/Lot/72894359", "Охрана объекта")</f>
        <v>Охрана объекта</v>
      </c>
      <c r="G2750" s="22" t="s">
        <v>281</v>
      </c>
      <c r="H2750" s="22" t="s">
        <v>2008</v>
      </c>
      <c r="I2750" s="26">
        <v>43697.275138888901</v>
      </c>
      <c r="J2750" s="28" t="s">
        <v>52</v>
      </c>
      <c r="K2750" s="28" t="s">
        <v>52</v>
      </c>
      <c r="L2750" s="28" t="s">
        <v>52</v>
      </c>
      <c r="M2750" s="28" t="s">
        <v>52</v>
      </c>
      <c r="N2750" s="28" t="s">
        <v>52</v>
      </c>
    </row>
    <row r="2751" spans="1:14" x14ac:dyDescent="0.15">
      <c r="A2751" s="23" t="str">
        <f>HYPERLINK("https://www.spark-marketing.ru/Card/Person/89585", "ООО ""ГАЗПРОМ ТРАНСГАЗ ЮГОРСК""")</f>
        <v>ООО "ГАЗПРОМ ТРАНСГАЗ ЮГОРСК"</v>
      </c>
      <c r="B2751" s="24" t="s">
        <v>4073</v>
      </c>
      <c r="C2751" s="25">
        <v>714463.2</v>
      </c>
      <c r="D2751" s="22" t="s">
        <v>4074</v>
      </c>
      <c r="E2751" s="22" t="s">
        <v>144</v>
      </c>
      <c r="F2751" s="23" t="str">
        <f>HYPERLINK("https://www.spark-marketing.ru/Card/Lot/72910620", "Возмездное оказание услуг по охране объектов Учебно-производственного центра ООО ""Газпром трансгаз Югорск"" в пгт. Игрим техническими средствами охраны с использованием пульта централизованного наблюдения")</f>
        <v>Возмездное оказание услуг по охране объектов Учебно-производственного центра ООО "Газпром трансгаз Югорск" в пгт. Игрим техническими средствами охраны с использованием пульта централизованного наблюдения</v>
      </c>
      <c r="G2751" s="22" t="s">
        <v>119</v>
      </c>
      <c r="H2751" s="22" t="s">
        <v>4075</v>
      </c>
      <c r="I2751" s="26">
        <v>43697</v>
      </c>
      <c r="J2751" s="28" t="s">
        <v>52</v>
      </c>
      <c r="K2751" s="28" t="s">
        <v>52</v>
      </c>
      <c r="L2751" s="28" t="s">
        <v>52</v>
      </c>
      <c r="M2751" s="28" t="s">
        <v>52</v>
      </c>
      <c r="N2751" s="28" t="s">
        <v>52</v>
      </c>
    </row>
    <row r="2752" spans="1:14" x14ac:dyDescent="0.15">
      <c r="A2752" s="23" t="str">
        <f>HYPERLINK("https://www.spark-marketing.ru/Card/Person/4415210", "АО ""КППК""")</f>
        <v>АО "КППК"</v>
      </c>
      <c r="B2752" s="24" t="s">
        <v>4076</v>
      </c>
      <c r="C2752" s="25">
        <v>5606159.6200000001</v>
      </c>
      <c r="D2752" s="22" t="s">
        <v>4077</v>
      </c>
      <c r="E2752" s="22" t="s">
        <v>144</v>
      </c>
      <c r="F2752" s="23" t="str">
        <f>HYPERLINK("https://www.spark-marketing.ru/Card/Lot/72915861", "Оказание услуг по обеспечению транспортной безопасности подвижного состава подразделениями транспортной безопасности (группами быстрого реагирования)")</f>
        <v>Оказание услуг по обеспечению транспортной безопасности подвижного состава подразделениями транспортной безопасности (группами быстрого реагирования)</v>
      </c>
      <c r="G2752" s="22" t="s">
        <v>247</v>
      </c>
      <c r="H2752" s="22" t="s">
        <v>247</v>
      </c>
      <c r="I2752" s="26">
        <v>43697</v>
      </c>
      <c r="J2752" s="28" t="s">
        <v>52</v>
      </c>
      <c r="K2752" s="28" t="s">
        <v>52</v>
      </c>
      <c r="L2752" s="28" t="s">
        <v>52</v>
      </c>
      <c r="M2752" s="28" t="s">
        <v>52</v>
      </c>
      <c r="N2752" s="28" t="s">
        <v>52</v>
      </c>
    </row>
    <row r="2753" spans="1:14" x14ac:dyDescent="0.15">
      <c r="A2753" s="23" t="str">
        <f>HYPERLINK("https://www.spark-marketing.ru/Card/Person/703125", "ООО ""РИЦ""")</f>
        <v>ООО "РИЦ"</v>
      </c>
      <c r="B2753" s="24" t="s">
        <v>4078</v>
      </c>
      <c r="C2753" s="25">
        <v>12000000</v>
      </c>
      <c r="D2753" s="22" t="s">
        <v>4079</v>
      </c>
      <c r="E2753" s="22" t="s">
        <v>370</v>
      </c>
      <c r="F2753" s="23" t="str">
        <f>HYPERLINK("https://www.spark-marketing.ru/Card/Lot/72918847", "на выполнение работ по ТО и АВР оборудования комплексов ФВФ нарушений ПДД и оборудования системы видео-мониторинга ООП в г. Челябинске и Челябинской области в 2019 г.")</f>
        <v>на выполнение работ по ТО и АВР оборудования комплексов ФВФ нарушений ПДД и оборудования системы видео-мониторинга ООП в г. Челябинске и Челябинской области в 2019 г.</v>
      </c>
      <c r="G2753" s="22" t="s">
        <v>55</v>
      </c>
      <c r="H2753" s="22" t="s">
        <v>55</v>
      </c>
      <c r="I2753" s="26">
        <v>43697</v>
      </c>
      <c r="J2753" s="28" t="s">
        <v>52</v>
      </c>
      <c r="K2753" s="28" t="s">
        <v>52</v>
      </c>
      <c r="L2753" s="28" t="s">
        <v>52</v>
      </c>
      <c r="M2753" s="28" t="s">
        <v>52</v>
      </c>
      <c r="N2753" s="28" t="s">
        <v>52</v>
      </c>
    </row>
    <row r="2754" spans="1:14" x14ac:dyDescent="0.15">
      <c r="A2754" s="23" t="str">
        <f>HYPERLINK("https://www.spark-marketing.ru/Card/Person/4343928", "ФГБОУ ВО КУБАНСКИЙ ГАУ")</f>
        <v>ФГБОУ ВО КУБАНСКИЙ ГАУ</v>
      </c>
      <c r="B2754" s="24" t="s">
        <v>1428</v>
      </c>
      <c r="C2754" s="25">
        <v>613793.76</v>
      </c>
      <c r="D2754" s="22" t="s">
        <v>4080</v>
      </c>
      <c r="E2754" s="22" t="s">
        <v>144</v>
      </c>
      <c r="F2754" s="23" t="str">
        <f>HYPERLINK("https://www.spark-marketing.ru/Card/Lot/72895908", "Услуги охранные")</f>
        <v>Услуги охранные</v>
      </c>
      <c r="G2754" s="22" t="s">
        <v>132</v>
      </c>
      <c r="H2754" s="22" t="s">
        <v>132</v>
      </c>
      <c r="I2754" s="26">
        <v>43697</v>
      </c>
      <c r="J2754" s="28" t="s">
        <v>52</v>
      </c>
      <c r="K2754" s="28" t="s">
        <v>52</v>
      </c>
      <c r="L2754" s="28" t="s">
        <v>52</v>
      </c>
      <c r="M2754" s="28" t="s">
        <v>52</v>
      </c>
      <c r="N2754" s="28" t="s">
        <v>52</v>
      </c>
    </row>
    <row r="2755" spans="1:14" x14ac:dyDescent="0.15">
      <c r="A2755" s="23" t="str">
        <f>HYPERLINK("https://www.spark-marketing.ru/Card/Person/130109", "ПАО БАНК ""ФК ОТКРЫТИЕ""")</f>
        <v>ПАО БАНК "ФК ОТКРЫТИЕ"</v>
      </c>
      <c r="B2755" s="24" t="s">
        <v>693</v>
      </c>
      <c r="C2755" s="25">
        <v>8432640</v>
      </c>
      <c r="D2755" s="22" t="s">
        <v>4081</v>
      </c>
      <c r="E2755" s="22" t="s">
        <v>53</v>
      </c>
      <c r="F2755" s="23" t="str">
        <f>HYPERLINK("https://www.spark-marketing.ru/Card/Lot/72919655", "Оказание охранных услуг на объекте по адресу: Волгоградская область, Среднеахтубинский р-он, поселок Куйбышев, ул. Октябрьская, 48")</f>
        <v>Оказание охранных услуг на объекте по адресу: Волгоградская область, Среднеахтубинский р-он, поселок Куйбышев, ул. Октябрьская, 48</v>
      </c>
      <c r="G2755" s="22" t="s">
        <v>55</v>
      </c>
      <c r="H2755" s="22" t="s">
        <v>55</v>
      </c>
      <c r="I2755" s="26">
        <v>43697</v>
      </c>
      <c r="J2755" s="28" t="s">
        <v>52</v>
      </c>
      <c r="K2755" s="28" t="s">
        <v>52</v>
      </c>
      <c r="L2755" s="28" t="s">
        <v>52</v>
      </c>
      <c r="M2755" s="28" t="s">
        <v>52</v>
      </c>
      <c r="N2755" s="28" t="s">
        <v>52</v>
      </c>
    </row>
    <row r="2756" spans="1:14" x14ac:dyDescent="0.15">
      <c r="A2756" s="23" t="str">
        <f>HYPERLINK("https://www.spark-marketing.ru/Card/Person/1329544", "ГАУЗ МО ""ЩЕЛКОВСКАЯ СТОМАТОЛОГИЧЕСКАЯ ПОЛИКЛИНИКА""")</f>
        <v>ГАУЗ МО "ЩЕЛКОВСКАЯ СТОМАТОЛОГИЧЕСКАЯ ПОЛИКЛИНИКА"</v>
      </c>
      <c r="B2756" s="24" t="s">
        <v>3458</v>
      </c>
      <c r="C2756" s="25">
        <v>804000</v>
      </c>
      <c r="D2756" s="22" t="s">
        <v>4082</v>
      </c>
      <c r="E2756" s="22" t="s">
        <v>691</v>
      </c>
      <c r="F2756" s="23" t="str">
        <f>HYPERLINK("https://www.spark-marketing.ru/Card/Lot/72900607", "Установка видеонаблюдения")</f>
        <v>Установка видеонаблюдения</v>
      </c>
      <c r="G2756" s="22" t="s">
        <v>50</v>
      </c>
      <c r="H2756" s="22" t="s">
        <v>50</v>
      </c>
      <c r="I2756" s="26">
        <v>43697</v>
      </c>
      <c r="J2756" s="28" t="s">
        <v>52</v>
      </c>
      <c r="K2756" s="28" t="s">
        <v>52</v>
      </c>
      <c r="L2756" s="28" t="s">
        <v>52</v>
      </c>
      <c r="M2756" s="28" t="s">
        <v>52</v>
      </c>
      <c r="N2756" s="28" t="s">
        <v>52</v>
      </c>
    </row>
    <row r="2757" spans="1:14" x14ac:dyDescent="0.15">
      <c r="A2757" s="23" t="str">
        <f>HYPERLINK("https://www.spark-marketing.ru/Card/Person/866270", "МАУ ""НХТ""")</f>
        <v>МАУ "НХТ"</v>
      </c>
      <c r="B2757" s="24" t="s">
        <v>4083</v>
      </c>
      <c r="C2757" s="25">
        <v>238400</v>
      </c>
      <c r="D2757" s="22" t="s">
        <v>4084</v>
      </c>
      <c r="E2757" s="22" t="s">
        <v>4085</v>
      </c>
      <c r="F2757" s="23" t="str">
        <f>HYPERLINK("https://www.spark-marketing.ru/Card/Lot/72918867", "Поставка и установка (выполнение монтажных и пуско-наладочных работ) системы видеонаблюдения и управления доступом")</f>
        <v>Поставка и установка (выполнение монтажных и пуско-наладочных работ) системы видеонаблюдения и управления доступом</v>
      </c>
      <c r="G2757" s="22" t="s">
        <v>60</v>
      </c>
      <c r="H2757" s="22" t="s">
        <v>60</v>
      </c>
      <c r="I2757" s="26">
        <v>43697</v>
      </c>
      <c r="J2757" s="28" t="s">
        <v>52</v>
      </c>
      <c r="K2757" s="28" t="s">
        <v>52</v>
      </c>
      <c r="L2757" s="28" t="s">
        <v>52</v>
      </c>
      <c r="M2757" s="28" t="s">
        <v>52</v>
      </c>
      <c r="N2757" s="28" t="s">
        <v>52</v>
      </c>
    </row>
    <row r="2758" spans="1:14" x14ac:dyDescent="0.15">
      <c r="A2758" s="23" t="str">
        <f>HYPERLINK("https://www.spark-marketing.ru/Card/Person/30759", "ПАО ""МТС""")</f>
        <v>ПАО "МТС"</v>
      </c>
      <c r="B2758" s="24" t="s">
        <v>1834</v>
      </c>
      <c r="C2758" s="28" t="s">
        <v>52</v>
      </c>
      <c r="D2758" s="28" t="s">
        <v>52</v>
      </c>
      <c r="E2758" s="22" t="s">
        <v>53</v>
      </c>
      <c r="F2758" s="23" t="str">
        <f>HYPERLINK("https://www.spark-marketing.ru/Card/Lot/72906916", "Уведомление о проведении открытого запроса предложений на монтаж, ТО и ремонтно восстановительные работы систем видеонаблюдения на объектах СБ регионов АО РТК (Торги № 99709-2)")</f>
        <v>Уведомление о проведении открытого запроса предложений на монтаж, ТО и ремонтно восстановительные работы систем видеонаблюдения на объектах СБ регионов АО РТК (Торги № 99709-2)</v>
      </c>
      <c r="G2758" s="22" t="s">
        <v>55</v>
      </c>
      <c r="H2758" s="22" t="s">
        <v>55</v>
      </c>
      <c r="I2758" s="26">
        <v>43697</v>
      </c>
      <c r="J2758" s="28" t="s">
        <v>52</v>
      </c>
      <c r="K2758" s="28" t="s">
        <v>52</v>
      </c>
      <c r="L2758" s="28" t="s">
        <v>52</v>
      </c>
      <c r="M2758" s="28" t="s">
        <v>52</v>
      </c>
      <c r="N2758" s="28" t="s">
        <v>52</v>
      </c>
    </row>
    <row r="2759" spans="1:14" x14ac:dyDescent="0.15">
      <c r="A2759" s="23" t="str">
        <f>HYPERLINK("https://www.spark-marketing.ru/Card/Person/702336", "МУП Г.О. ПОДОЛЬСК ""ДЕЗ""")</f>
        <v>МУП Г.О. ПОДОЛЬСК "ДЕЗ"</v>
      </c>
      <c r="B2759" s="24" t="s">
        <v>4086</v>
      </c>
      <c r="C2759" s="25">
        <v>7680000</v>
      </c>
      <c r="D2759" s="22" t="s">
        <v>4087</v>
      </c>
      <c r="E2759" s="22" t="s">
        <v>691</v>
      </c>
      <c r="F2759" s="23" t="str">
        <f>HYPERLINK("https://www.spark-marketing.ru/Card/Lot/72907470", "Выполнение работ по установке камер видеонаблюдения и предоставления канала связи до Муниципального узла связи (МУС) Г.о. Подольск")</f>
        <v>Выполнение работ по установке камер видеонаблюдения и предоставления канала связи до Муниципального узла связи (МУС) Г.о. Подольск</v>
      </c>
      <c r="G2759" s="22" t="s">
        <v>50</v>
      </c>
      <c r="H2759" s="22" t="s">
        <v>50</v>
      </c>
      <c r="I2759" s="26">
        <v>43697</v>
      </c>
      <c r="J2759" s="28" t="s">
        <v>52</v>
      </c>
      <c r="K2759" s="28" t="s">
        <v>52</v>
      </c>
      <c r="L2759" s="28" t="s">
        <v>52</v>
      </c>
      <c r="M2759" s="28" t="s">
        <v>52</v>
      </c>
      <c r="N2759" s="28" t="s">
        <v>52</v>
      </c>
    </row>
    <row r="2760" spans="1:14" x14ac:dyDescent="0.15">
      <c r="A2760" s="23" t="str">
        <f>HYPERLINK("https://www.spark-marketing.ru/Card/Person/1754084", "ЛГ МАДОУ ""ДСОВ № 5 ""ДЮЙМОВОЧКА""")</f>
        <v>ЛГ МАДОУ "ДСОВ № 5 "ДЮЙМОВОЧКА"</v>
      </c>
      <c r="B2760" s="24" t="s">
        <v>4088</v>
      </c>
      <c r="C2760" s="25">
        <v>102862</v>
      </c>
      <c r="D2760" s="22" t="s">
        <v>4089</v>
      </c>
      <c r="E2760" s="22" t="s">
        <v>533</v>
      </c>
      <c r="F2760" s="23" t="str">
        <f>HYPERLINK("https://www.spark-marketing.ru/Card/Lot/72905708", "Установление домофона с видеонаблюдением")</f>
        <v>Установление домофона с видеонаблюдением</v>
      </c>
      <c r="G2760" s="22" t="s">
        <v>119</v>
      </c>
      <c r="H2760" s="22" t="s">
        <v>119</v>
      </c>
      <c r="I2760" s="26">
        <v>43697</v>
      </c>
      <c r="J2760" s="28" t="s">
        <v>52</v>
      </c>
      <c r="K2760" s="28" t="s">
        <v>52</v>
      </c>
      <c r="L2760" s="28" t="s">
        <v>52</v>
      </c>
      <c r="M2760" s="28" t="s">
        <v>52</v>
      </c>
      <c r="N2760" s="28" t="s">
        <v>52</v>
      </c>
    </row>
    <row r="2761" spans="1:14" x14ac:dyDescent="0.15">
      <c r="A2761" s="23" t="str">
        <f>HYPERLINK("https://www.spark-marketing.ru/Card/Person/12551", "ФКУ УПРДОР ""КОЛА""")</f>
        <v>ФКУ УПРДОР "КОЛА"</v>
      </c>
      <c r="B2761" s="24" t="s">
        <v>433</v>
      </c>
      <c r="C2761" s="25">
        <v>66400000</v>
      </c>
      <c r="D2761" s="22" t="s">
        <v>4090</v>
      </c>
      <c r="E2761" s="22" t="s">
        <v>723</v>
      </c>
      <c r="F2761" s="23" t="str">
        <f>HYPERLINK("https://www.spark-marketing.ru/Card/Lot/72890824", "Выполнение работ  по установке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дорожного движения).")</f>
        <v>Выполнение работ  по установке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дорожного движения).</v>
      </c>
      <c r="G2761" s="22" t="s">
        <v>435</v>
      </c>
      <c r="H2761" s="22" t="s">
        <v>435</v>
      </c>
      <c r="I2761" s="26">
        <v>43696.735740740703</v>
      </c>
      <c r="J2761" s="28" t="s">
        <v>52</v>
      </c>
      <c r="K2761" s="28" t="s">
        <v>52</v>
      </c>
      <c r="L2761" s="28" t="s">
        <v>52</v>
      </c>
      <c r="M2761" s="28" t="s">
        <v>52</v>
      </c>
      <c r="N2761" s="28" t="s">
        <v>52</v>
      </c>
    </row>
    <row r="2762" spans="1:14" ht="12.75" hidden="1" outlineLevel="1" x14ac:dyDescent="0.2">
      <c r="A2762" s="23" t="str">
        <f>HYPERLINK("https://www.spark-marketing.ru/Card/Person/12551", "ФКУ УПРДОР ""КОЛА""")</f>
        <v>ФКУ УПРДОР "КОЛА"</v>
      </c>
      <c r="B2762" s="24" t="s">
        <v>433</v>
      </c>
      <c r="C2762" s="25">
        <v>66400000</v>
      </c>
      <c r="D2762" s="22" t="s">
        <v>4090</v>
      </c>
      <c r="E2762" s="22" t="s">
        <v>723</v>
      </c>
      <c r="F2762" s="23" t="str">
        <f>HYPERLINK("https://www.spark-marketing.ru/Card/Lot/72890824", "Выполнение работ  по установке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дорожного движения).")</f>
        <v>Выполнение работ  по установке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дорожного движения).</v>
      </c>
      <c r="G2762" s="22" t="s">
        <v>435</v>
      </c>
      <c r="H2762" s="22" t="s">
        <v>435</v>
      </c>
      <c r="I2762" s="26">
        <v>43696.735740740703</v>
      </c>
      <c r="J2762" s="23" t="str">
        <f>HYPERLINK("https://www.spark-marketing.ru/Card/Person/1548946", "ООО ""МАСТЕР ГРУПП""")</f>
        <v>ООО "МАСТЕР ГРУПП"</v>
      </c>
      <c r="K2762" s="24" t="s">
        <v>4091</v>
      </c>
      <c r="L2762" s="22" t="s">
        <v>10</v>
      </c>
      <c r="M2762" s="25">
        <v>65404000</v>
      </c>
      <c r="N2762" s="27">
        <v>1.4999999999999999E-2</v>
      </c>
    </row>
    <row r="2763" spans="1:14" hidden="1" outlineLevel="1" x14ac:dyDescent="0.2">
      <c r="A2763" s="23" t="str">
        <f>HYPERLINK("https://www.spark-marketing.ru/Card/Person/12551", "ФКУ УПРДОР ""КОЛА""")</f>
        <v>ФКУ УПРДОР "КОЛА"</v>
      </c>
      <c r="B2763" s="24" t="s">
        <v>433</v>
      </c>
      <c r="C2763" s="25">
        <v>66400000</v>
      </c>
      <c r="D2763" s="22" t="s">
        <v>4090</v>
      </c>
      <c r="E2763" s="22" t="s">
        <v>723</v>
      </c>
      <c r="F2763" s="23" t="str">
        <f>HYPERLINK("https://www.spark-marketing.ru/Card/Lot/72890824", "Выполнение работ  по установке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дорожного движения).")</f>
        <v>Выполнение работ  по установке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дорожного движения).</v>
      </c>
      <c r="G2763" s="22" t="s">
        <v>435</v>
      </c>
      <c r="H2763" s="22" t="s">
        <v>435</v>
      </c>
      <c r="I2763" s="26">
        <v>43696.735740740703</v>
      </c>
      <c r="J2763" s="23" t="str">
        <f>HYPERLINK("https://www.spark-marketing.ru/Card/Person/48512", "ООО ""КОРДА ГРУПП""")</f>
        <v>ООО "КОРДА ГРУПП"</v>
      </c>
      <c r="K2763" s="24" t="s">
        <v>4092</v>
      </c>
      <c r="L2763" s="28" t="s">
        <v>52</v>
      </c>
      <c r="M2763" s="25">
        <v>65736000</v>
      </c>
      <c r="N2763" s="27">
        <v>0.01</v>
      </c>
    </row>
    <row r="2764" spans="1:14" x14ac:dyDescent="0.15">
      <c r="A2764" s="23" t="str">
        <f t="shared" ref="A2764:A2770" si="117">HYPERLINK("https://www.spark-marketing.ru/Card/Person/6441528", "ФГБУ ""ФЦЦПИ"" МИНЗДРАВА РОССИИ")</f>
        <v>ФГБУ "ФЦЦПИ" МИНЗДРАВА РОССИИ</v>
      </c>
      <c r="B2764" s="24" t="s">
        <v>4093</v>
      </c>
      <c r="C2764" s="25">
        <v>1200000</v>
      </c>
      <c r="D2764" s="22" t="s">
        <v>4094</v>
      </c>
      <c r="E2764" s="22" t="s">
        <v>107</v>
      </c>
      <c r="F2764" s="23" t="str">
        <f t="shared" ref="F2764:F2770" si="118">HYPERLINK("https://www.spark-marketing.ru/Card/Lot/72890034", "Оказание услуг технического обслуживания систем кондиционирования в серверной и видеоархиве.")</f>
        <v>Оказание услуг технического обслуживания систем кондиционирования в серверной и видеоархиве.</v>
      </c>
      <c r="G2764" s="22" t="s">
        <v>55</v>
      </c>
      <c r="H2764" s="22" t="s">
        <v>55</v>
      </c>
      <c r="I2764" s="26">
        <v>43696.686041666697</v>
      </c>
      <c r="J2764" s="28" t="s">
        <v>52</v>
      </c>
      <c r="K2764" s="28" t="s">
        <v>52</v>
      </c>
      <c r="L2764" s="28" t="s">
        <v>52</v>
      </c>
      <c r="M2764" s="28" t="s">
        <v>52</v>
      </c>
      <c r="N2764" s="28" t="s">
        <v>52</v>
      </c>
    </row>
    <row r="2765" spans="1:14" hidden="1" outlineLevel="1" x14ac:dyDescent="0.2">
      <c r="A2765" s="23" t="str">
        <f t="shared" si="117"/>
        <v>ФГБУ "ФЦЦПИ" МИНЗДРАВА РОССИИ</v>
      </c>
      <c r="B2765" s="24" t="s">
        <v>4093</v>
      </c>
      <c r="C2765" s="25">
        <v>1200000</v>
      </c>
      <c r="D2765" s="22" t="s">
        <v>4094</v>
      </c>
      <c r="E2765" s="22" t="s">
        <v>107</v>
      </c>
      <c r="F2765" s="23" t="str">
        <f t="shared" si="118"/>
        <v>Оказание услуг технического обслуживания систем кондиционирования в серверной и видеоархиве.</v>
      </c>
      <c r="G2765" s="22" t="s">
        <v>55</v>
      </c>
      <c r="H2765" s="22" t="s">
        <v>55</v>
      </c>
      <c r="I2765" s="26">
        <v>43696.686041666697</v>
      </c>
      <c r="J2765" s="23" t="str">
        <f>HYPERLINK("https://www.spark-marketing.ru/Card/Person/409109", "Кузин Денис Михайлович")</f>
        <v>Кузин Денис Михайлович</v>
      </c>
      <c r="K2765" s="24" t="s">
        <v>4095</v>
      </c>
      <c r="L2765" s="28" t="s">
        <v>52</v>
      </c>
      <c r="M2765" s="25">
        <v>350000</v>
      </c>
      <c r="N2765" s="27">
        <v>0.70833333333333337</v>
      </c>
    </row>
    <row r="2766" spans="1:14" hidden="1" outlineLevel="1" x14ac:dyDescent="0.2">
      <c r="A2766" s="23" t="str">
        <f t="shared" si="117"/>
        <v>ФГБУ "ФЦЦПИ" МИНЗДРАВА РОССИИ</v>
      </c>
      <c r="B2766" s="24" t="s">
        <v>4093</v>
      </c>
      <c r="C2766" s="25">
        <v>1200000</v>
      </c>
      <c r="D2766" s="22" t="s">
        <v>4094</v>
      </c>
      <c r="E2766" s="22" t="s">
        <v>107</v>
      </c>
      <c r="F2766" s="23" t="str">
        <f t="shared" si="118"/>
        <v>Оказание услуг технического обслуживания систем кондиционирования в серверной и видеоархиве.</v>
      </c>
      <c r="G2766" s="22" t="s">
        <v>55</v>
      </c>
      <c r="H2766" s="22" t="s">
        <v>55</v>
      </c>
      <c r="I2766" s="26">
        <v>43696.686041666697</v>
      </c>
      <c r="J2766" s="23" t="str">
        <f>HYPERLINK("https://www.spark-marketing.ru/Card/Person/4346604", "ООО ""ГАЗХОЛОДМАШ""")</f>
        <v>ООО "ГАЗХОЛОДМАШ"</v>
      </c>
      <c r="K2766" s="24" t="s">
        <v>4096</v>
      </c>
      <c r="L2766" s="28" t="s">
        <v>52</v>
      </c>
      <c r="M2766" s="25">
        <v>1188000</v>
      </c>
      <c r="N2766" s="27">
        <v>0.01</v>
      </c>
    </row>
    <row r="2767" spans="1:14" ht="12.75" hidden="1" outlineLevel="1" x14ac:dyDescent="0.2">
      <c r="A2767" s="23" t="str">
        <f t="shared" si="117"/>
        <v>ФГБУ "ФЦЦПИ" МИНЗДРАВА РОССИИ</v>
      </c>
      <c r="B2767" s="24" t="s">
        <v>4093</v>
      </c>
      <c r="C2767" s="25">
        <v>1200000</v>
      </c>
      <c r="D2767" s="22" t="s">
        <v>4094</v>
      </c>
      <c r="E2767" s="22" t="s">
        <v>107</v>
      </c>
      <c r="F2767" s="23" t="str">
        <f t="shared" si="118"/>
        <v>Оказание услуг технического обслуживания систем кондиционирования в серверной и видеоархиве.</v>
      </c>
      <c r="G2767" s="22" t="s">
        <v>55</v>
      </c>
      <c r="H2767" s="22" t="s">
        <v>55</v>
      </c>
      <c r="I2767" s="26">
        <v>43696.686041666697</v>
      </c>
      <c r="J2767" s="23" t="str">
        <f>HYPERLINK("https://www.spark-marketing.ru/Card/Person/1854961", "ООО ""ЭЛИТКОМФОРТ""")</f>
        <v>ООО "ЭЛИТКОМФОРТ"</v>
      </c>
      <c r="K2767" s="24" t="s">
        <v>4097</v>
      </c>
      <c r="L2767" s="22" t="s">
        <v>10</v>
      </c>
      <c r="M2767" s="25">
        <v>344094.71999999997</v>
      </c>
      <c r="N2767" s="27">
        <v>0.71325439999999996</v>
      </c>
    </row>
    <row r="2768" spans="1:14" hidden="1" outlineLevel="1" x14ac:dyDescent="0.2">
      <c r="A2768" s="23" t="str">
        <f t="shared" si="117"/>
        <v>ФГБУ "ФЦЦПИ" МИНЗДРАВА РОССИИ</v>
      </c>
      <c r="B2768" s="24" t="s">
        <v>4093</v>
      </c>
      <c r="C2768" s="25">
        <v>1200000</v>
      </c>
      <c r="D2768" s="22" t="s">
        <v>4094</v>
      </c>
      <c r="E2768" s="22" t="s">
        <v>107</v>
      </c>
      <c r="F2768" s="23" t="str">
        <f t="shared" si="118"/>
        <v>Оказание услуг технического обслуживания систем кондиционирования в серверной и видеоархиве.</v>
      </c>
      <c r="G2768" s="22" t="s">
        <v>55</v>
      </c>
      <c r="H2768" s="22" t="s">
        <v>55</v>
      </c>
      <c r="I2768" s="26">
        <v>43696.686041666697</v>
      </c>
      <c r="J2768" s="23" t="str">
        <f>HYPERLINK("https://www.spark-marketing.ru/Card/Person/1962786", "ООО ""СТРОИТЕЛЬНЫЕ ТЕХНОЛОГИИ""")</f>
        <v>ООО "СТРОИТЕЛЬНЫЕ ТЕХНОЛОГИИ"</v>
      </c>
      <c r="K2768" s="24" t="s">
        <v>4098</v>
      </c>
      <c r="L2768" s="28" t="s">
        <v>52</v>
      </c>
      <c r="M2768" s="25">
        <v>522000.05</v>
      </c>
      <c r="N2768" s="27">
        <v>0.56499995833333339</v>
      </c>
    </row>
    <row r="2769" spans="1:14" hidden="1" outlineLevel="1" x14ac:dyDescent="0.2">
      <c r="A2769" s="23" t="str">
        <f t="shared" si="117"/>
        <v>ФГБУ "ФЦЦПИ" МИНЗДРАВА РОССИИ</v>
      </c>
      <c r="B2769" s="24" t="s">
        <v>4093</v>
      </c>
      <c r="C2769" s="25">
        <v>1200000</v>
      </c>
      <c r="D2769" s="22" t="s">
        <v>4094</v>
      </c>
      <c r="E2769" s="22" t="s">
        <v>107</v>
      </c>
      <c r="F2769" s="23" t="str">
        <f t="shared" si="118"/>
        <v>Оказание услуг технического обслуживания систем кондиционирования в серверной и видеоархиве.</v>
      </c>
      <c r="G2769" s="22" t="s">
        <v>55</v>
      </c>
      <c r="H2769" s="22" t="s">
        <v>55</v>
      </c>
      <c r="I2769" s="26">
        <v>43696.686041666697</v>
      </c>
      <c r="J2769" s="23" t="str">
        <f>HYPERLINK("https://www.spark-marketing.ru/Card/Person/6528537", "Ягелло Мария Васильевна")</f>
        <v>Ягелло Мария Васильевна</v>
      </c>
      <c r="K2769" s="24" t="s">
        <v>4099</v>
      </c>
      <c r="L2769" s="28" t="s">
        <v>52</v>
      </c>
      <c r="M2769" s="25">
        <v>350094.72</v>
      </c>
      <c r="N2769" s="27">
        <v>0.70825439999999995</v>
      </c>
    </row>
    <row r="2770" spans="1:14" hidden="1" outlineLevel="1" x14ac:dyDescent="0.2">
      <c r="A2770" s="23" t="str">
        <f t="shared" si="117"/>
        <v>ФГБУ "ФЦЦПИ" МИНЗДРАВА РОССИИ</v>
      </c>
      <c r="B2770" s="24" t="s">
        <v>4093</v>
      </c>
      <c r="C2770" s="25">
        <v>1200000</v>
      </c>
      <c r="D2770" s="22" t="s">
        <v>4094</v>
      </c>
      <c r="E2770" s="22" t="s">
        <v>107</v>
      </c>
      <c r="F2770" s="23" t="str">
        <f t="shared" si="118"/>
        <v>Оказание услуг технического обслуживания систем кондиционирования в серверной и видеоархиве.</v>
      </c>
      <c r="G2770" s="22" t="s">
        <v>55</v>
      </c>
      <c r="H2770" s="22" t="s">
        <v>55</v>
      </c>
      <c r="I2770" s="26">
        <v>43696.686041666697</v>
      </c>
      <c r="J2770" s="23" t="str">
        <f>HYPERLINK("https://www.spark-marketing.ru/Card/Person/6675543", "ООО ""АМК СЕРВИС""")</f>
        <v>ООО "АМК СЕРВИС"</v>
      </c>
      <c r="K2770" s="24" t="s">
        <v>4100</v>
      </c>
      <c r="L2770" s="28" t="s">
        <v>52</v>
      </c>
      <c r="M2770" s="25">
        <v>564000.05000000005</v>
      </c>
      <c r="N2770" s="27">
        <v>0.52999995833333335</v>
      </c>
    </row>
    <row r="2771" spans="1:14" x14ac:dyDescent="0.15">
      <c r="A2771" s="23" t="str">
        <f>HYPERLINK("https://www.spark-marketing.ru/Card/Person/28600", "АДМИНИСТРАЦИЯ МУНИЦИПАЛЬНОГО ОБРАЗОВАНИЯ УЗЛОВСКИЙ РАЙОН")</f>
        <v>АДМИНИСТРАЦИЯ МУНИЦИПАЛЬНОГО ОБРАЗОВАНИЯ УЗЛОВСКИЙ РАЙОН</v>
      </c>
      <c r="B2771" s="24" t="s">
        <v>4101</v>
      </c>
      <c r="C2771" s="25">
        <v>377280</v>
      </c>
      <c r="D2771" s="22" t="s">
        <v>4102</v>
      </c>
      <c r="E2771" s="22" t="s">
        <v>52</v>
      </c>
      <c r="F2771" s="23" t="str">
        <f>HYPERLINK("https://www.spark-marketing.ru/Card/Lot/72888141", "Оказание услуг охраны")</f>
        <v>Оказание услуг охраны</v>
      </c>
      <c r="G2771" s="22" t="s">
        <v>818</v>
      </c>
      <c r="H2771" s="22" t="s">
        <v>4103</v>
      </c>
      <c r="I2771" s="26">
        <v>43696.745289351798</v>
      </c>
      <c r="J2771" s="28" t="s">
        <v>52</v>
      </c>
      <c r="K2771" s="28" t="s">
        <v>52</v>
      </c>
      <c r="L2771" s="28" t="s">
        <v>52</v>
      </c>
      <c r="M2771" s="28" t="s">
        <v>52</v>
      </c>
      <c r="N2771" s="28" t="s">
        <v>52</v>
      </c>
    </row>
    <row r="2772" spans="1:14" ht="12.75" hidden="1" outlineLevel="1" x14ac:dyDescent="0.2">
      <c r="A2772" s="23" t="str">
        <f>HYPERLINK("https://www.spark-marketing.ru/Card/Person/28600", "АДМИНИСТРАЦИЯ МУНИЦИПАЛЬНОГО ОБРАЗОВАНИЯ УЗЛОВСКИЙ РАЙОН")</f>
        <v>АДМИНИСТРАЦИЯ МУНИЦИПАЛЬНОГО ОБРАЗОВАНИЯ УЗЛОВСКИЙ РАЙОН</v>
      </c>
      <c r="B2772" s="24" t="s">
        <v>4101</v>
      </c>
      <c r="C2772" s="25">
        <v>377280</v>
      </c>
      <c r="D2772" s="22" t="s">
        <v>4102</v>
      </c>
      <c r="E2772" s="22" t="s">
        <v>52</v>
      </c>
      <c r="F2772" s="23" t="str">
        <f>HYPERLINK("https://www.spark-marketing.ru/Card/Lot/72888141", "Оказание услуг охраны")</f>
        <v>Оказание услуг охраны</v>
      </c>
      <c r="G2772" s="22" t="s">
        <v>818</v>
      </c>
      <c r="H2772" s="22" t="s">
        <v>4103</v>
      </c>
      <c r="I2772" s="26">
        <v>43696.745289351798</v>
      </c>
      <c r="J2772" s="23" t="str">
        <f>HYPERLINK("https://www.spark-marketing.ru/Card/Person/644403", "ООО ЧОО ""ВИТЯЗЬ""")</f>
        <v>ООО ЧОО "ВИТЯЗЬ"</v>
      </c>
      <c r="K2772" s="24" t="s">
        <v>4104</v>
      </c>
      <c r="L2772" s="22" t="s">
        <v>10</v>
      </c>
      <c r="M2772" s="25">
        <v>372000</v>
      </c>
      <c r="N2772" s="27">
        <v>1.3994910941475827E-2</v>
      </c>
    </row>
    <row r="2773" spans="1:14" hidden="1" outlineLevel="1" x14ac:dyDescent="0.2">
      <c r="A2773" s="23" t="str">
        <f>HYPERLINK("https://www.spark-marketing.ru/Card/Person/28600", "АДМИНИСТРАЦИЯ МУНИЦИПАЛЬНОГО ОБРАЗОВАНИЯ УЗЛОВСКИЙ РАЙОН")</f>
        <v>АДМИНИСТРАЦИЯ МУНИЦИПАЛЬНОГО ОБРАЗОВАНИЯ УЗЛОВСКИЙ РАЙОН</v>
      </c>
      <c r="B2773" s="24" t="s">
        <v>4101</v>
      </c>
      <c r="C2773" s="25">
        <v>377280</v>
      </c>
      <c r="D2773" s="22" t="s">
        <v>4102</v>
      </c>
      <c r="E2773" s="22" t="s">
        <v>52</v>
      </c>
      <c r="F2773" s="23" t="str">
        <f>HYPERLINK("https://www.spark-marketing.ru/Card/Lot/72888141", "Оказание услуг охраны")</f>
        <v>Оказание услуг охраны</v>
      </c>
      <c r="G2773" s="22" t="s">
        <v>818</v>
      </c>
      <c r="H2773" s="22" t="s">
        <v>4103</v>
      </c>
      <c r="I2773" s="26">
        <v>43696.745289351798</v>
      </c>
      <c r="J2773" s="23" t="str">
        <f>HYPERLINK("https://www.spark-marketing.ru/Card/Person/6501546", "ООО ЧОО ""ЩИТ-ГАРАНТ""")</f>
        <v>ООО ЧОО "ЩИТ-ГАРАНТ"</v>
      </c>
      <c r="K2773" s="24" t="s">
        <v>4105</v>
      </c>
      <c r="L2773" s="28" t="s">
        <v>52</v>
      </c>
      <c r="M2773" s="25">
        <v>377280</v>
      </c>
      <c r="N2773" s="27">
        <v>0</v>
      </c>
    </row>
    <row r="2774" spans="1:14" x14ac:dyDescent="0.15">
      <c r="A2774" s="23" t="str">
        <f>HYPERLINK("https://www.spark-marketing.ru/Card/Person/13589", "САНКТ-ПЕТЕРБУРГСКИЙ ГОСУДАРСТВЕННЫЙ ИНСТИТУТ КУЛЬТУРЫ")</f>
        <v>САНКТ-ПЕТЕРБУРГСКИЙ ГОСУДАРСТВЕННЫЙ ИНСТИТУТ КУЛЬТУРЫ</v>
      </c>
      <c r="B2774" s="24" t="s">
        <v>4106</v>
      </c>
      <c r="C2774" s="25">
        <v>13481091</v>
      </c>
      <c r="D2774" s="22" t="s">
        <v>4107</v>
      </c>
      <c r="E2774" s="22" t="s">
        <v>4108</v>
      </c>
      <c r="F2774" s="23" t="str">
        <f>HYPERLINK("https://www.spark-marketing.ru/Card/Lot/72890505", "Поставка , установка и ввод в эксплуатацию оборудования для видеостудии и студии звукозаписи")</f>
        <v>Поставка , установка и ввод в эксплуатацию оборудования для видеостудии и студии звукозаписи</v>
      </c>
      <c r="G2774" s="22" t="s">
        <v>89</v>
      </c>
      <c r="H2774" s="22" t="s">
        <v>89</v>
      </c>
      <c r="I2774" s="26">
        <v>43696.451377314799</v>
      </c>
      <c r="J2774" s="23" t="str">
        <f>HYPERLINK("https://www.spark-marketing.ru/Card/Person/902463", "ООО ""ТРАСТ-ТЕЛЕКОМ""")</f>
        <v>ООО "ТРАСТ-ТЕЛЕКОМ"</v>
      </c>
      <c r="K2774" s="24" t="s">
        <v>4109</v>
      </c>
      <c r="L2774" s="22" t="s">
        <v>10</v>
      </c>
      <c r="M2774" s="28" t="s">
        <v>52</v>
      </c>
      <c r="N2774" s="28" t="s">
        <v>52</v>
      </c>
    </row>
    <row r="2775" spans="1:14" x14ac:dyDescent="0.15">
      <c r="A2775" s="23" t="str">
        <f>HYPERLINK("https://www.spark-marketing.ru/Card/Person/16091", "УПРАВЛЕНИЕ РОСРЕЕСТРА ПО САМАРСКОЙ ОБЛАСТИ")</f>
        <v>УПРАВЛЕНИЕ РОСРЕЕСТРА ПО САМАРСКОЙ ОБЛАСТИ</v>
      </c>
      <c r="B2775" s="24" t="s">
        <v>4110</v>
      </c>
      <c r="C2775" s="25">
        <v>39000</v>
      </c>
      <c r="D2775" s="22" t="s">
        <v>4111</v>
      </c>
      <c r="E2775" s="22" t="s">
        <v>103</v>
      </c>
      <c r="F2775" s="23" t="str">
        <f>HYPERLINK("https://www.spark-marketing.ru/Card/Lot/72883497", "Обслуживание систем видеонаблюдения, 1 усл. ед")</f>
        <v>Обслуживание систем видеонаблюдения, 1 усл. ед</v>
      </c>
      <c r="G2775" s="22" t="s">
        <v>760</v>
      </c>
      <c r="H2775" s="22" t="s">
        <v>760</v>
      </c>
      <c r="I2775" s="26">
        <v>43696.682326388902</v>
      </c>
      <c r="J2775" s="28" t="s">
        <v>52</v>
      </c>
      <c r="K2775" s="28" t="s">
        <v>52</v>
      </c>
      <c r="L2775" s="28" t="s">
        <v>52</v>
      </c>
      <c r="M2775" s="28" t="s">
        <v>52</v>
      </c>
      <c r="N2775" s="28" t="s">
        <v>52</v>
      </c>
    </row>
    <row r="2776" spans="1:14" x14ac:dyDescent="0.15">
      <c r="A2776" s="23" t="str">
        <f>HYPERLINK("https://www.spark-marketing.ru/Card/Person/29268", "ФКУ УПРДОР ""СЕВЕРО-ЗАПАД""")</f>
        <v>ФКУ УПРДОР "СЕВЕРО-ЗАПАД"</v>
      </c>
      <c r="B2776" s="24" t="s">
        <v>3513</v>
      </c>
      <c r="C2776" s="25">
        <v>672450733</v>
      </c>
      <c r="D2776" s="22" t="s">
        <v>4112</v>
      </c>
      <c r="E2776" s="22" t="s">
        <v>79</v>
      </c>
      <c r="F2776" s="23" t="str">
        <f>HYPERLINK("https://www.spark-marketing.ru/Card/Lot/72890549", "Лот № 138: Выполнение работ по оснащению категорированных объектов Кольцевой автомобильной дороги вокруг города Санкт-Петербург (А-118) средствами обеспечения транспортной безопасности в рамках расходов на оснащение объектов дорожного хозяйства инжен...")</f>
        <v>Лот № 138: Выполнение работ по оснащению категорированных объектов Кольцевой автомобильной дороги вокруг города Санкт-Петербург (А-118) средствами обеспечения транспортной безопасности в рамках расходов на оснащение объектов дорожного хозяйства инжен...</v>
      </c>
      <c r="G2776" s="22" t="s">
        <v>89</v>
      </c>
      <c r="H2776" s="22" t="s">
        <v>89</v>
      </c>
      <c r="I2776" s="26">
        <v>43696.617418981499</v>
      </c>
      <c r="J2776" s="28" t="s">
        <v>52</v>
      </c>
      <c r="K2776" s="28" t="s">
        <v>52</v>
      </c>
      <c r="L2776" s="28" t="s">
        <v>52</v>
      </c>
      <c r="M2776" s="28" t="s">
        <v>52</v>
      </c>
      <c r="N2776" s="28" t="s">
        <v>52</v>
      </c>
    </row>
    <row r="2777" spans="1:14" x14ac:dyDescent="0.15">
      <c r="A2777" s="23" t="str">
        <f>HYPERLINK("https://www.spark-marketing.ru/Card/Person/29268", "ФКУ УПРДОР ""СЕВЕРО-ЗАПАД""")</f>
        <v>ФКУ УПРДОР "СЕВЕРО-ЗАПАД"</v>
      </c>
      <c r="B2777" s="24" t="s">
        <v>3513</v>
      </c>
      <c r="C2777" s="25">
        <v>707382251</v>
      </c>
      <c r="D2777" s="22" t="s">
        <v>4113</v>
      </c>
      <c r="E2777" s="22" t="s">
        <v>79</v>
      </c>
      <c r="F2777" s="23" t="str">
        <f>HYPERLINK("https://www.spark-marketing.ru/Card/Lot/72890551", "Лот № 137: Выполнение работ по оснащению категорированных объектов Кольцевой автомобильной дороги вокруг города Санкт-Петербург (А-118) средствами обеспечения транспортной безопасности в рамках расходов на оснащение объектов дорожного хозяйства инжен...")</f>
        <v>Лот № 137: Выполнение работ по оснащению категорированных объектов Кольцевой автомобильной дороги вокруг города Санкт-Петербург (А-118) средствами обеспечения транспортной безопасности в рамках расходов на оснащение объектов дорожного хозяйства инжен...</v>
      </c>
      <c r="G2777" s="22" t="s">
        <v>89</v>
      </c>
      <c r="H2777" s="22" t="s">
        <v>89</v>
      </c>
      <c r="I2777" s="26">
        <v>43696.565277777801</v>
      </c>
      <c r="J2777" s="28" t="s">
        <v>52</v>
      </c>
      <c r="K2777" s="28" t="s">
        <v>52</v>
      </c>
      <c r="L2777" s="28" t="s">
        <v>52</v>
      </c>
      <c r="M2777" s="28" t="s">
        <v>52</v>
      </c>
      <c r="N2777" s="28" t="s">
        <v>52</v>
      </c>
    </row>
    <row r="2778" spans="1:14" x14ac:dyDescent="0.15">
      <c r="A2778" s="23" t="str">
        <f>HYPERLINK("https://www.spark-marketing.ru/Card/Person/244807", "ГКУ МО ДМИТРОВСКИЙ ЦЗН")</f>
        <v>ГКУ МО ДМИТРОВСКИЙ ЦЗН</v>
      </c>
      <c r="B2778" s="24" t="s">
        <v>4114</v>
      </c>
      <c r="C2778" s="25">
        <v>13335</v>
      </c>
      <c r="D2778" s="22" t="s">
        <v>4115</v>
      </c>
      <c r="E2778" s="22" t="s">
        <v>4116</v>
      </c>
      <c r="F2778" s="23" t="str">
        <f>HYPERLINK("https://www.spark-marketing.ru/Card/Lot/72875853", "Техническое обслуживание элементов охранной сигнализации")</f>
        <v>Техническое обслуживание элементов охранной сигнализации</v>
      </c>
      <c r="G2778" s="22" t="s">
        <v>50</v>
      </c>
      <c r="H2778" s="22" t="s">
        <v>504</v>
      </c>
      <c r="I2778" s="26">
        <v>43696.545057870397</v>
      </c>
      <c r="J2778" s="28" t="s">
        <v>52</v>
      </c>
      <c r="K2778" s="28" t="s">
        <v>52</v>
      </c>
      <c r="L2778" s="28" t="s">
        <v>52</v>
      </c>
      <c r="M2778" s="28" t="s">
        <v>52</v>
      </c>
      <c r="N2778" s="28" t="s">
        <v>52</v>
      </c>
    </row>
    <row r="2779" spans="1:14" x14ac:dyDescent="0.15">
      <c r="A2779" s="23" t="str">
        <f>HYPERLINK("https://www.spark-marketing.ru/Card/Person/1071916", "ОТДЕЛ МВД РОССИИ ПО КУСИНСКОМУ МУНИЦИПАЛЬНОМУ РАЙОНУ ЧЕЛЯБИНСКОЙ ОБЛАСТИ")</f>
        <v>ОТДЕЛ МВД РОССИИ ПО КУСИНСКОМУ МУНИЦИПАЛЬНОМУ РАЙОНУ ЧЕЛЯБИНСКОЙ ОБЛАСТИ</v>
      </c>
      <c r="B2779" s="24" t="s">
        <v>4117</v>
      </c>
      <c r="C2779" s="25">
        <v>27200</v>
      </c>
      <c r="D2779" s="22" t="s">
        <v>4118</v>
      </c>
      <c r="E2779" s="22" t="s">
        <v>103</v>
      </c>
      <c r="F2779" s="23" t="str">
        <f>HYPERLINK("https://www.spark-marketing.ru/Card/Lot/72874880", "Техническое обслуживание видеонаблюдения, 17 усл. ед")</f>
        <v>Техническое обслуживание видеонаблюдения, 17 усл. ед</v>
      </c>
      <c r="G2779" s="22" t="s">
        <v>60</v>
      </c>
      <c r="H2779" s="22" t="s">
        <v>3681</v>
      </c>
      <c r="I2779" s="26">
        <v>43696.543402777803</v>
      </c>
      <c r="J2779" s="28" t="s">
        <v>52</v>
      </c>
      <c r="K2779" s="28" t="s">
        <v>52</v>
      </c>
      <c r="L2779" s="28" t="s">
        <v>52</v>
      </c>
      <c r="M2779" s="28" t="s">
        <v>52</v>
      </c>
      <c r="N2779" s="28" t="s">
        <v>52</v>
      </c>
    </row>
    <row r="2780" spans="1:14" x14ac:dyDescent="0.15">
      <c r="A2780" s="23" t="str">
        <f>HYPERLINK("https://www.spark-marketing.ru/Card/Person/139815", "УПРАВЛЕНИЕ РОСКОМНАДЗОРА ПО ВОЛГОГРАДСКОЙ ОБЛАСТИ И РЕСПУБЛИКЕ КАЛМЫКИЯ")</f>
        <v>УПРАВЛЕНИЕ РОСКОМНАДЗОРА ПО ВОЛГОГРАДСКОЙ ОБЛАСТИ И РЕСПУБЛИКЕ КАЛМЫКИЯ</v>
      </c>
      <c r="B2780" s="24" t="s">
        <v>4119</v>
      </c>
      <c r="C2780" s="25">
        <v>32968.9</v>
      </c>
      <c r="D2780" s="22" t="s">
        <v>4120</v>
      </c>
      <c r="E2780" s="22" t="s">
        <v>53</v>
      </c>
      <c r="F2780" s="23" t="str">
        <f>HYPERLINK("https://www.spark-marketing.ru/Card/Lot/72879040", "Услуги физической охраны объектов Заказчика")</f>
        <v>Услуги физической охраны объектов Заказчика</v>
      </c>
      <c r="G2780" s="22" t="s">
        <v>343</v>
      </c>
      <c r="H2780" s="22" t="s">
        <v>343</v>
      </c>
      <c r="I2780" s="26">
        <v>43696.582013888903</v>
      </c>
      <c r="J2780" s="28" t="s">
        <v>52</v>
      </c>
      <c r="K2780" s="28" t="s">
        <v>52</v>
      </c>
      <c r="L2780" s="28" t="s">
        <v>52</v>
      </c>
      <c r="M2780" s="28" t="s">
        <v>52</v>
      </c>
      <c r="N2780" s="28" t="s">
        <v>52</v>
      </c>
    </row>
    <row r="2781" spans="1:14" x14ac:dyDescent="0.15">
      <c r="A2781" s="23" t="str">
        <f>HYPERLINK("https://www.spark-marketing.ru/Card/Person/140356", "МБУДО ДШИ Г. СТАВРОПОЛЯ")</f>
        <v>МБУДО ДШИ Г. СТАВРОПОЛЯ</v>
      </c>
      <c r="B2781" s="24" t="s">
        <v>4121</v>
      </c>
      <c r="C2781" s="25">
        <v>189869.2</v>
      </c>
      <c r="D2781" s="22" t="s">
        <v>4122</v>
      </c>
      <c r="E2781" s="22" t="s">
        <v>52</v>
      </c>
      <c r="F2781" s="23" t="str">
        <f>HYPERLINK("https://www.spark-marketing.ru/Card/Lot/72874638", "оказание услуг по охране объекта")</f>
        <v>оказание услуг по охране объекта</v>
      </c>
      <c r="G2781" s="22" t="s">
        <v>258</v>
      </c>
      <c r="H2781" s="22" t="s">
        <v>546</v>
      </c>
      <c r="I2781" s="26">
        <v>43696.523611111101</v>
      </c>
      <c r="J2781" s="28" t="s">
        <v>52</v>
      </c>
      <c r="K2781" s="28" t="s">
        <v>52</v>
      </c>
      <c r="L2781" s="28" t="s">
        <v>52</v>
      </c>
      <c r="M2781" s="28" t="s">
        <v>52</v>
      </c>
      <c r="N2781" s="28" t="s">
        <v>52</v>
      </c>
    </row>
    <row r="2782" spans="1:14" x14ac:dyDescent="0.15">
      <c r="A2782" s="23" t="str">
        <f>HYPERLINK("https://www.spark-marketing.ru/Card/Person/265420", "МЕЖРАЙОННАЯ ИФНС РОССИИ № 12 ПО ВЛАДИМИРСКОЙ ОБЛАСТИ")</f>
        <v>МЕЖРАЙОННАЯ ИФНС РОССИИ № 12 ПО ВЛАДИМИРСКОЙ ОБЛАСТИ</v>
      </c>
      <c r="B2782" s="24" t="s">
        <v>3566</v>
      </c>
      <c r="C2782" s="25">
        <v>1000</v>
      </c>
      <c r="D2782" s="22" t="s">
        <v>4123</v>
      </c>
      <c r="E2782" s="22" t="s">
        <v>107</v>
      </c>
      <c r="F2782" s="23" t="str">
        <f>HYPERLINK("https://www.spark-marketing.ru/Card/Lot/72874500", "Техническое обслуживание видеонаблюдения, 2 шт")</f>
        <v>Техническое обслуживание видеонаблюдения, 2 шт</v>
      </c>
      <c r="G2782" s="22" t="s">
        <v>145</v>
      </c>
      <c r="H2782" s="22" t="s">
        <v>146</v>
      </c>
      <c r="I2782" s="26">
        <v>43696.5369444444</v>
      </c>
      <c r="J2782" s="28" t="s">
        <v>52</v>
      </c>
      <c r="K2782" s="28" t="s">
        <v>52</v>
      </c>
      <c r="L2782" s="28" t="s">
        <v>52</v>
      </c>
      <c r="M2782" s="28" t="s">
        <v>52</v>
      </c>
      <c r="N2782" s="28" t="s">
        <v>52</v>
      </c>
    </row>
    <row r="2783" spans="1:14" x14ac:dyDescent="0.15">
      <c r="A2783" s="23" t="str">
        <f>HYPERLINK("https://www.spark-marketing.ru/Card/Person/1009859", "МО МВД РОССИИ ""ВЕЛИКОЛУКСКИЙ""")</f>
        <v>МО МВД РОССИИ "ВЕЛИКОЛУКСКИЙ"</v>
      </c>
      <c r="B2783" s="24" t="s">
        <v>3573</v>
      </c>
      <c r="C2783" s="25">
        <v>4032</v>
      </c>
      <c r="D2783" s="22" t="s">
        <v>4124</v>
      </c>
      <c r="E2783" s="22" t="s">
        <v>68</v>
      </c>
      <c r="F2783" s="23" t="str">
        <f>HYPERLINK("https://www.spark-marketing.ru/Card/Lot/72873699", "Централизованная охрана объектов, 1 усл. ед")</f>
        <v>Централизованная охрана объектов, 1 усл. ед</v>
      </c>
      <c r="G2783" s="22" t="s">
        <v>142</v>
      </c>
      <c r="H2783" s="22" t="s">
        <v>3575</v>
      </c>
      <c r="I2783" s="26">
        <v>43696.507777777799</v>
      </c>
      <c r="J2783" s="28" t="s">
        <v>52</v>
      </c>
      <c r="K2783" s="28" t="s">
        <v>52</v>
      </c>
      <c r="L2783" s="28" t="s">
        <v>52</v>
      </c>
      <c r="M2783" s="28" t="s">
        <v>52</v>
      </c>
      <c r="N2783" s="28" t="s">
        <v>52</v>
      </c>
    </row>
    <row r="2784" spans="1:14" x14ac:dyDescent="0.15">
      <c r="A2784" s="23" t="str">
        <f>HYPERLINK("https://www.spark-marketing.ru/Card/Person/103665", "ОТДЕЛ МВД РОССИИ ПО ЗЕЛЕНОДОЛЬСКОМУ РАЙОНУ")</f>
        <v>ОТДЕЛ МВД РОССИИ ПО ЗЕЛЕНОДОЛЬСКОМУ РАЙОНУ</v>
      </c>
      <c r="B2784" s="24" t="s">
        <v>4125</v>
      </c>
      <c r="C2784" s="25">
        <v>242149.29</v>
      </c>
      <c r="D2784" s="22" t="s">
        <v>4126</v>
      </c>
      <c r="E2784" s="22" t="s">
        <v>4127</v>
      </c>
      <c r="F2784" s="23" t="str">
        <f>HYPERLINK("https://www.spark-marketing.ru/Card/Lot/72877991", "Закупка товаров, работ, услуг в целях капитального ремонтаг осударственного (муниципального) имущества - Установка охранной сигнализации (антитеррор)")</f>
        <v>Закупка товаров, работ, услуг в целях капитального ремонтаг осударственного (муниципального) имущества - Установка охранной сигнализации (антитеррор)</v>
      </c>
      <c r="G2784" s="22" t="s">
        <v>204</v>
      </c>
      <c r="H2784" s="22" t="s">
        <v>750</v>
      </c>
      <c r="I2784" s="26">
        <v>43693.7293055556</v>
      </c>
      <c r="J2784" s="28" t="s">
        <v>52</v>
      </c>
      <c r="K2784" s="28" t="s">
        <v>52</v>
      </c>
      <c r="L2784" s="28" t="s">
        <v>52</v>
      </c>
      <c r="M2784" s="28" t="s">
        <v>52</v>
      </c>
      <c r="N2784" s="28" t="s">
        <v>52</v>
      </c>
    </row>
    <row r="2785" spans="1:14" ht="12.75" hidden="1" outlineLevel="1" x14ac:dyDescent="0.2">
      <c r="A2785" s="23" t="str">
        <f>HYPERLINK("https://www.spark-marketing.ru/Card/Person/103665", "ОТДЕЛ МВД РОССИИ ПО ЗЕЛЕНОДОЛЬСКОМУ РАЙОНУ")</f>
        <v>ОТДЕЛ МВД РОССИИ ПО ЗЕЛЕНОДОЛЬСКОМУ РАЙОНУ</v>
      </c>
      <c r="B2785" s="24" t="s">
        <v>4125</v>
      </c>
      <c r="C2785" s="25">
        <v>242149.29</v>
      </c>
      <c r="D2785" s="22" t="s">
        <v>4126</v>
      </c>
      <c r="E2785" s="22" t="s">
        <v>4127</v>
      </c>
      <c r="F2785" s="23" t="str">
        <f>HYPERLINK("https://www.spark-marketing.ru/Card/Lot/72877991", "Закупка товаров, работ, услуг в целях капитального ремонтаг осударственного (муниципального) имущества - Установка охранной сигнализации (антитеррор)")</f>
        <v>Закупка товаров, работ, услуг в целях капитального ремонтаг осударственного (муниципального) имущества - Установка охранной сигнализации (антитеррор)</v>
      </c>
      <c r="G2785" s="22" t="s">
        <v>204</v>
      </c>
      <c r="H2785" s="22" t="s">
        <v>750</v>
      </c>
      <c r="I2785" s="26">
        <v>43693.7293055556</v>
      </c>
      <c r="J2785" s="23" t="str">
        <f>HYPERLINK("https://www.spark-marketing.ru/Card/Person/203531", "Уколов Алексей Владимирович")</f>
        <v>Уколов Алексей Владимирович</v>
      </c>
      <c r="K2785" s="24" t="s">
        <v>4128</v>
      </c>
      <c r="L2785" s="22" t="s">
        <v>10</v>
      </c>
      <c r="M2785" s="25">
        <v>177979.58</v>
      </c>
      <c r="N2785" s="27">
        <v>0.26500061181265488</v>
      </c>
    </row>
    <row r="2786" spans="1:14" hidden="1" outlineLevel="1" x14ac:dyDescent="0.2">
      <c r="A2786" s="23" t="str">
        <f>HYPERLINK("https://www.spark-marketing.ru/Card/Person/103665", "ОТДЕЛ МВД РОССИИ ПО ЗЕЛЕНОДОЛЬСКОМУ РАЙОНУ")</f>
        <v>ОТДЕЛ МВД РОССИИ ПО ЗЕЛЕНОДОЛЬСКОМУ РАЙОНУ</v>
      </c>
      <c r="B2786" s="24" t="s">
        <v>4125</v>
      </c>
      <c r="C2786" s="25">
        <v>242149.29</v>
      </c>
      <c r="D2786" s="22" t="s">
        <v>4126</v>
      </c>
      <c r="E2786" s="22" t="s">
        <v>4127</v>
      </c>
      <c r="F2786" s="23" t="str">
        <f>HYPERLINK("https://www.spark-marketing.ru/Card/Lot/72877991", "Закупка товаров, работ, услуг в целях капитального ремонтаг осударственного (муниципального) имущества - Установка охранной сигнализации (антитеррор)")</f>
        <v>Закупка товаров, работ, услуг в целях капитального ремонтаг осударственного (муниципального) имущества - Установка охранной сигнализации (антитеррор)</v>
      </c>
      <c r="G2786" s="22" t="s">
        <v>204</v>
      </c>
      <c r="H2786" s="22" t="s">
        <v>750</v>
      </c>
      <c r="I2786" s="26">
        <v>43693.7293055556</v>
      </c>
      <c r="J2786" s="23" t="str">
        <f>HYPERLINK("https://www.spark-marketing.ru/Card/Person/5794489", "Зиадиев Анвар Хамитович")</f>
        <v>Зиадиев Анвар Хамитович</v>
      </c>
      <c r="K2786" s="24" t="s">
        <v>4129</v>
      </c>
      <c r="L2786" s="28" t="s">
        <v>52</v>
      </c>
      <c r="M2786" s="25">
        <v>179190.33</v>
      </c>
      <c r="N2786" s="27">
        <v>0.26000059715227741</v>
      </c>
    </row>
    <row r="2787" spans="1:14" x14ac:dyDescent="0.15">
      <c r="A2787" s="23" t="str">
        <f>HYPERLINK("https://www.spark-marketing.ru/Card/Person/1071916", "ОТДЕЛ МВД РОССИИ ПО КУСИНСКОМУ МУНИЦИПАЛЬНОМУ РАЙОНУ ЧЕЛЯБИНСКОЙ ОБЛАСТИ")</f>
        <v>ОТДЕЛ МВД РОССИИ ПО КУСИНСКОМУ МУНИЦИПАЛЬНОМУ РАЙОНУ ЧЕЛЯБИНСКОЙ ОБЛАСТИ</v>
      </c>
      <c r="B2787" s="24" t="s">
        <v>4117</v>
      </c>
      <c r="C2787" s="25">
        <v>27200</v>
      </c>
      <c r="D2787" s="22" t="s">
        <v>4130</v>
      </c>
      <c r="E2787" s="22" t="s">
        <v>103</v>
      </c>
      <c r="F2787" s="23" t="str">
        <f>HYPERLINK("https://www.spark-marketing.ru/Card/Lot/72874826", "Техническое обслуживание видеонаблюдения, 17 усл. ед")</f>
        <v>Техническое обслуживание видеонаблюдения, 17 усл. ед</v>
      </c>
      <c r="G2787" s="22" t="s">
        <v>60</v>
      </c>
      <c r="H2787" s="22" t="s">
        <v>3681</v>
      </c>
      <c r="I2787" s="26">
        <v>43696.539699074099</v>
      </c>
      <c r="J2787" s="28" t="s">
        <v>52</v>
      </c>
      <c r="K2787" s="28" t="s">
        <v>52</v>
      </c>
      <c r="L2787" s="28" t="s">
        <v>52</v>
      </c>
      <c r="M2787" s="28" t="s">
        <v>52</v>
      </c>
      <c r="N2787" s="28" t="s">
        <v>52</v>
      </c>
    </row>
    <row r="2788" spans="1:14" x14ac:dyDescent="0.15">
      <c r="A2788" s="23" t="str">
        <f>HYPERLINK("https://www.spark-marketing.ru/Card/Person/140356", "МБУДО ДШИ Г. СТАВРОПОЛЯ")</f>
        <v>МБУДО ДШИ Г. СТАВРОПОЛЯ</v>
      </c>
      <c r="B2788" s="24" t="s">
        <v>4121</v>
      </c>
      <c r="C2788" s="25">
        <v>189869.2</v>
      </c>
      <c r="D2788" s="22" t="s">
        <v>4131</v>
      </c>
      <c r="E2788" s="22" t="s">
        <v>52</v>
      </c>
      <c r="F2788" s="23" t="str">
        <f>HYPERLINK("https://www.spark-marketing.ru/Card/Lot/72874630", "оказание услуг по охране объекта")</f>
        <v>оказание услуг по охране объекта</v>
      </c>
      <c r="G2788" s="22" t="s">
        <v>258</v>
      </c>
      <c r="H2788" s="22" t="s">
        <v>546</v>
      </c>
      <c r="I2788" s="26">
        <v>43696.521527777797</v>
      </c>
      <c r="J2788" s="28" t="s">
        <v>52</v>
      </c>
      <c r="K2788" s="28" t="s">
        <v>52</v>
      </c>
      <c r="L2788" s="28" t="s">
        <v>52</v>
      </c>
      <c r="M2788" s="28" t="s">
        <v>52</v>
      </c>
      <c r="N2788" s="28" t="s">
        <v>52</v>
      </c>
    </row>
    <row r="2789" spans="1:14" x14ac:dyDescent="0.15">
      <c r="A2789" s="23" t="str">
        <f>HYPERLINK("https://www.spark-marketing.ru/Card/Person/31560", "МЕЖРАЙОННАЯ ИФНС РОССИИ № 9 ПО ТВЕРСКОЙ ОБЛАСТИ")</f>
        <v>МЕЖРАЙОННАЯ ИФНС РОССИИ № 9 ПО ТВЕРСКОЙ ОБЛАСТИ</v>
      </c>
      <c r="B2789" s="24" t="s">
        <v>4132</v>
      </c>
      <c r="C2789" s="25">
        <v>3000</v>
      </c>
      <c r="D2789" s="22" t="s">
        <v>4133</v>
      </c>
      <c r="E2789" s="22" t="s">
        <v>53</v>
      </c>
      <c r="F2789" s="23" t="str">
        <f>HYPERLINK("https://www.spark-marketing.ru/Card/Lot/72874745", "Выполнение работ по переносу кнопки тревожной сигнализации")</f>
        <v>Выполнение работ по переносу кнопки тревожной сигнализации</v>
      </c>
      <c r="G2789" s="22" t="s">
        <v>251</v>
      </c>
      <c r="H2789" s="22" t="s">
        <v>252</v>
      </c>
      <c r="I2789" s="26">
        <v>43696.492939814802</v>
      </c>
      <c r="J2789" s="28" t="s">
        <v>52</v>
      </c>
      <c r="K2789" s="28" t="s">
        <v>52</v>
      </c>
      <c r="L2789" s="28" t="s">
        <v>52</v>
      </c>
      <c r="M2789" s="28" t="s">
        <v>52</v>
      </c>
      <c r="N2789" s="28" t="s">
        <v>52</v>
      </c>
    </row>
    <row r="2790" spans="1:14" x14ac:dyDescent="0.15">
      <c r="A2790" s="23" t="str">
        <f>HYPERLINK("https://www.spark-marketing.ru/Card/Person/19554", "МУ ""ДЦО""")</f>
        <v>МУ "ДЦО"</v>
      </c>
      <c r="B2790" s="24" t="s">
        <v>4134</v>
      </c>
      <c r="C2790" s="25">
        <v>6967.16</v>
      </c>
      <c r="D2790" s="22" t="s">
        <v>4135</v>
      </c>
      <c r="E2790" s="22" t="s">
        <v>103</v>
      </c>
      <c r="F2790" s="23" t="str">
        <f>HYPERLINK("https://www.spark-marketing.ru/Card/Lot/72869022", "Оказание услуг по техническому обслуживанию комплекса технических средств охраны")</f>
        <v>Оказание услуг по техническому обслуживанию комплекса технических средств охраны</v>
      </c>
      <c r="G2790" s="22" t="s">
        <v>50</v>
      </c>
      <c r="H2790" s="22" t="s">
        <v>827</v>
      </c>
      <c r="I2790" s="26">
        <v>43696.4202546296</v>
      </c>
      <c r="J2790" s="28" t="s">
        <v>52</v>
      </c>
      <c r="K2790" s="28" t="s">
        <v>52</v>
      </c>
      <c r="L2790" s="28" t="s">
        <v>52</v>
      </c>
      <c r="M2790" s="28" t="s">
        <v>52</v>
      </c>
      <c r="N2790" s="28" t="s">
        <v>52</v>
      </c>
    </row>
    <row r="2791" spans="1:14" x14ac:dyDescent="0.15">
      <c r="A2791" s="23" t="str">
        <f>HYPERLINK("https://www.spark-marketing.ru/Card/Person/15397", "ГБДОУ ДЕТСКИЙ САД № 50 ПРИМОРСКОГО РАЙОНА САНКТ-ПЕТЕРБУРГА")</f>
        <v>ГБДОУ ДЕТСКИЙ САД № 50 ПРИМОРСКОГО РАЙОНА САНКТ-ПЕТЕРБУРГА</v>
      </c>
      <c r="B2791" s="24" t="s">
        <v>4136</v>
      </c>
      <c r="C2791" s="25">
        <v>215460</v>
      </c>
      <c r="D2791" s="22" t="s">
        <v>4137</v>
      </c>
      <c r="E2791" s="22" t="s">
        <v>52</v>
      </c>
      <c r="F2791" s="23" t="str">
        <f>HYPERLINK("https://www.spark-marketing.ru/Card/Lot/72872665", "Оказание услуг по обеспечению физической охраны и контроля доступа в здание ГБДОУ № 50 Приморского района Санкт-Петербурга по адресу пр. Испытателей, д. 24, корп. 2 в 2019 году")</f>
        <v>Оказание услуг по обеспечению физической охраны и контроля доступа в здание ГБДОУ № 50 Приморского района Санкт-Петербурга по адресу пр. Испытателей, д. 24, корп. 2 в 2019 году</v>
      </c>
      <c r="G2791" s="22" t="s">
        <v>89</v>
      </c>
      <c r="H2791" s="22" t="s">
        <v>89</v>
      </c>
      <c r="I2791" s="26">
        <v>43696.408194444397</v>
      </c>
      <c r="J2791" s="28" t="s">
        <v>52</v>
      </c>
      <c r="K2791" s="28" t="s">
        <v>52</v>
      </c>
      <c r="L2791" s="28" t="s">
        <v>52</v>
      </c>
      <c r="M2791" s="28" t="s">
        <v>52</v>
      </c>
      <c r="N2791" s="28" t="s">
        <v>52</v>
      </c>
    </row>
    <row r="2792" spans="1:14" hidden="1" outlineLevel="1" x14ac:dyDescent="0.2">
      <c r="A2792" s="23" t="str">
        <f>HYPERLINK("https://www.spark-marketing.ru/Card/Person/15397", "ГБДОУ ДЕТСКИЙ САД № 50 ПРИМОРСКОГО РАЙОНА САНКТ-ПЕТЕРБУРГА")</f>
        <v>ГБДОУ ДЕТСКИЙ САД № 50 ПРИМОРСКОГО РАЙОНА САНКТ-ПЕТЕРБУРГА</v>
      </c>
      <c r="B2792" s="24" t="s">
        <v>4136</v>
      </c>
      <c r="C2792" s="25">
        <v>215460</v>
      </c>
      <c r="D2792" s="22" t="s">
        <v>4137</v>
      </c>
      <c r="E2792" s="22" t="s">
        <v>52</v>
      </c>
      <c r="F2792" s="23" t="str">
        <f>HYPERLINK("https://www.spark-marketing.ru/Card/Lot/72872665", "Оказание услуг по обеспечению физической охраны и контроля доступа в здание ГБДОУ № 50 Приморского района Санкт-Петербурга по адресу пр. Испытателей, д. 24, корп. 2 в 2019 году")</f>
        <v>Оказание услуг по обеспечению физической охраны и контроля доступа в здание ГБДОУ № 50 Приморского района Санкт-Петербурга по адресу пр. Испытателей, д. 24, корп. 2 в 2019 году</v>
      </c>
      <c r="G2792" s="22" t="s">
        <v>89</v>
      </c>
      <c r="H2792" s="22" t="s">
        <v>89</v>
      </c>
      <c r="I2792" s="26">
        <v>43696.408194444397</v>
      </c>
      <c r="J2792" s="23" t="str">
        <f>HYPERLINK("https://www.spark-marketing.ru/Card/Person/1957699", "ООО ""ОП ""ТРАНС-СЕКЬЮРИТИ""""")</f>
        <v>ООО "ОП "ТРАНС-СЕКЬЮРИТИ""</v>
      </c>
      <c r="K2792" s="24" t="s">
        <v>4138</v>
      </c>
      <c r="L2792" s="28" t="s">
        <v>52</v>
      </c>
      <c r="M2792" s="25">
        <v>157285.79999999999</v>
      </c>
      <c r="N2792" s="27">
        <v>0.27</v>
      </c>
    </row>
    <row r="2793" spans="1:14" ht="12.75" hidden="1" outlineLevel="1" x14ac:dyDescent="0.2">
      <c r="A2793" s="23" t="str">
        <f>HYPERLINK("https://www.spark-marketing.ru/Card/Person/15397", "ГБДОУ ДЕТСКИЙ САД № 50 ПРИМОРСКОГО РАЙОНА САНКТ-ПЕТЕРБУРГА")</f>
        <v>ГБДОУ ДЕТСКИЙ САД № 50 ПРИМОРСКОГО РАЙОНА САНКТ-ПЕТЕРБУРГА</v>
      </c>
      <c r="B2793" s="24" t="s">
        <v>4136</v>
      </c>
      <c r="C2793" s="25">
        <v>215460</v>
      </c>
      <c r="D2793" s="22" t="s">
        <v>4137</v>
      </c>
      <c r="E2793" s="22" t="s">
        <v>52</v>
      </c>
      <c r="F2793" s="23" t="str">
        <f>HYPERLINK("https://www.spark-marketing.ru/Card/Lot/72872665", "Оказание услуг по обеспечению физической охраны и контроля доступа в здание ГБДОУ № 50 Приморского района Санкт-Петербурга по адресу пр. Испытателей, д. 24, корп. 2 в 2019 году")</f>
        <v>Оказание услуг по обеспечению физической охраны и контроля доступа в здание ГБДОУ № 50 Приморского района Санкт-Петербурга по адресу пр. Испытателей, д. 24, корп. 2 в 2019 году</v>
      </c>
      <c r="G2793" s="22" t="s">
        <v>89</v>
      </c>
      <c r="H2793" s="22" t="s">
        <v>89</v>
      </c>
      <c r="I2793" s="26">
        <v>43696.408194444397</v>
      </c>
      <c r="J2793" s="23" t="str">
        <f>HYPERLINK("https://www.spark-marketing.ru/Card/Person/135806", "ООО ""ОП ""РАДОН""")</f>
        <v>ООО "ОП "РАДОН"</v>
      </c>
      <c r="K2793" s="24" t="s">
        <v>4139</v>
      </c>
      <c r="L2793" s="22" t="s">
        <v>10</v>
      </c>
      <c r="M2793" s="25">
        <v>156208.5</v>
      </c>
      <c r="N2793" s="27">
        <v>0.27500000000000002</v>
      </c>
    </row>
    <row r="2794" spans="1:14" x14ac:dyDescent="0.15">
      <c r="A2794" s="23" t="str">
        <f t="shared" ref="A2794:A2801" si="119">HYPERLINK("https://www.spark-marketing.ru/Card/Person/14319", "ГБУЗ ""ГП № 219 ДЗМ""")</f>
        <v>ГБУЗ "ГП № 219 ДЗМ"</v>
      </c>
      <c r="B2794" s="24" t="s">
        <v>4140</v>
      </c>
      <c r="C2794" s="25">
        <v>482656</v>
      </c>
      <c r="D2794" s="22" t="s">
        <v>4141</v>
      </c>
      <c r="E2794" s="22" t="s">
        <v>103</v>
      </c>
      <c r="F2794" s="23" t="str">
        <f t="shared" ref="F2794:F2801" si="120">HYPERLINK("https://www.spark-marketing.ru/Card/Lot/72875127", "Техническое обслуживание охранной и тревожной сигнализации на объектах ГБУЗ «ГП № 219 ДЗМ» в 2020 году.")</f>
        <v>Техническое обслуживание охранной и тревожной сигнализации на объектах ГБУЗ «ГП № 219 ДЗМ» в 2020 году.</v>
      </c>
      <c r="G2794" s="22" t="s">
        <v>55</v>
      </c>
      <c r="H2794" s="22" t="s">
        <v>55</v>
      </c>
      <c r="I2794" s="26">
        <v>43696.457789351902</v>
      </c>
      <c r="J2794" s="28" t="s">
        <v>52</v>
      </c>
      <c r="K2794" s="28" t="s">
        <v>52</v>
      </c>
      <c r="L2794" s="28" t="s">
        <v>52</v>
      </c>
      <c r="M2794" s="28" t="s">
        <v>52</v>
      </c>
      <c r="N2794" s="28" t="s">
        <v>52</v>
      </c>
    </row>
    <row r="2795" spans="1:14" hidden="1" outlineLevel="1" x14ac:dyDescent="0.2">
      <c r="A2795" s="23" t="str">
        <f t="shared" si="119"/>
        <v>ГБУЗ "ГП № 219 ДЗМ"</v>
      </c>
      <c r="B2795" s="24" t="s">
        <v>4140</v>
      </c>
      <c r="C2795" s="25">
        <v>482656</v>
      </c>
      <c r="D2795" s="22" t="s">
        <v>4141</v>
      </c>
      <c r="E2795" s="22" t="s">
        <v>103</v>
      </c>
      <c r="F2795" s="23" t="str">
        <f t="shared" si="120"/>
        <v>Техническое обслуживание охранной и тревожной сигнализации на объектах ГБУЗ «ГП № 219 ДЗМ» в 2020 году.</v>
      </c>
      <c r="G2795" s="22" t="s">
        <v>55</v>
      </c>
      <c r="H2795" s="22" t="s">
        <v>55</v>
      </c>
      <c r="I2795" s="26">
        <v>43696.457789351902</v>
      </c>
      <c r="J2795" s="23" t="str">
        <f>HYPERLINK("https://www.spark-marketing.ru/Card/Person/6262263", "ООО ""АЛЫЙ ПАРУС ТЕХНО ПРО""")</f>
        <v>ООО "АЛЫЙ ПАРУС ТЕХНО ПРО"</v>
      </c>
      <c r="K2795" s="24" t="s">
        <v>1749</v>
      </c>
      <c r="L2795" s="28" t="s">
        <v>52</v>
      </c>
      <c r="M2795" s="25">
        <v>132730.4</v>
      </c>
      <c r="N2795" s="27">
        <v>0.72499999999999998</v>
      </c>
    </row>
    <row r="2796" spans="1:14" hidden="1" outlineLevel="1" x14ac:dyDescent="0.2">
      <c r="A2796" s="23" t="str">
        <f t="shared" si="119"/>
        <v>ГБУЗ "ГП № 219 ДЗМ"</v>
      </c>
      <c r="B2796" s="24" t="s">
        <v>4140</v>
      </c>
      <c r="C2796" s="25">
        <v>482656</v>
      </c>
      <c r="D2796" s="22" t="s">
        <v>4141</v>
      </c>
      <c r="E2796" s="22" t="s">
        <v>103</v>
      </c>
      <c r="F2796" s="23" t="str">
        <f t="shared" si="120"/>
        <v>Техническое обслуживание охранной и тревожной сигнализации на объектах ГБУЗ «ГП № 219 ДЗМ» в 2020 году.</v>
      </c>
      <c r="G2796" s="22" t="s">
        <v>55</v>
      </c>
      <c r="H2796" s="22" t="s">
        <v>55</v>
      </c>
      <c r="I2796" s="26">
        <v>43696.457789351902</v>
      </c>
      <c r="J2796" s="23" t="str">
        <f>HYPERLINK("https://www.spark-marketing.ru/Card/Person/1844754", "ООО ""ТСБ""")</f>
        <v>ООО "ТСБ"</v>
      </c>
      <c r="K2796" s="24" t="s">
        <v>1746</v>
      </c>
      <c r="L2796" s="28" t="s">
        <v>52</v>
      </c>
      <c r="M2796" s="25">
        <v>202715.51999999999</v>
      </c>
      <c r="N2796" s="27">
        <v>0.57999999999999996</v>
      </c>
    </row>
    <row r="2797" spans="1:14" hidden="1" outlineLevel="1" x14ac:dyDescent="0.2">
      <c r="A2797" s="23" t="str">
        <f t="shared" si="119"/>
        <v>ГБУЗ "ГП № 219 ДЗМ"</v>
      </c>
      <c r="B2797" s="24" t="s">
        <v>4140</v>
      </c>
      <c r="C2797" s="25">
        <v>482656</v>
      </c>
      <c r="D2797" s="22" t="s">
        <v>4141</v>
      </c>
      <c r="E2797" s="22" t="s">
        <v>103</v>
      </c>
      <c r="F2797" s="23" t="str">
        <f t="shared" si="120"/>
        <v>Техническое обслуживание охранной и тревожной сигнализации на объектах ГБУЗ «ГП № 219 ДЗМ» в 2020 году.</v>
      </c>
      <c r="G2797" s="22" t="s">
        <v>55</v>
      </c>
      <c r="H2797" s="22" t="s">
        <v>55</v>
      </c>
      <c r="I2797" s="26">
        <v>43696.457789351902</v>
      </c>
      <c r="J2797" s="23" t="str">
        <f>HYPERLINK("https://www.spark-marketing.ru/Card/Person/918083", "ООО ""АСИС""")</f>
        <v>ООО "АСИС"</v>
      </c>
      <c r="K2797" s="24" t="s">
        <v>4142</v>
      </c>
      <c r="L2797" s="28" t="s">
        <v>52</v>
      </c>
      <c r="M2797" s="25">
        <v>403017.76</v>
      </c>
      <c r="N2797" s="27">
        <v>0.16500000000000001</v>
      </c>
    </row>
    <row r="2798" spans="1:14" hidden="1" outlineLevel="1" x14ac:dyDescent="0.2">
      <c r="A2798" s="23" t="str">
        <f t="shared" si="119"/>
        <v>ГБУЗ "ГП № 219 ДЗМ"</v>
      </c>
      <c r="B2798" s="24" t="s">
        <v>4140</v>
      </c>
      <c r="C2798" s="25">
        <v>482656</v>
      </c>
      <c r="D2798" s="22" t="s">
        <v>4141</v>
      </c>
      <c r="E2798" s="22" t="s">
        <v>103</v>
      </c>
      <c r="F2798" s="23" t="str">
        <f t="shared" si="120"/>
        <v>Техническое обслуживание охранной и тревожной сигнализации на объектах ГБУЗ «ГП № 219 ДЗМ» в 2020 году.</v>
      </c>
      <c r="G2798" s="22" t="s">
        <v>55</v>
      </c>
      <c r="H2798" s="22" t="s">
        <v>55</v>
      </c>
      <c r="I2798" s="26">
        <v>43696.457789351902</v>
      </c>
      <c r="J2798" s="23" t="str">
        <f>HYPERLINK("https://www.spark-marketing.ru/Card/Person/373513", "ООО ""СПЕЦМОНТАЖ-ЮВ""")</f>
        <v>ООО "СПЕЦМОНТАЖ-ЮВ"</v>
      </c>
      <c r="K2798" s="24" t="s">
        <v>4143</v>
      </c>
      <c r="L2798" s="28" t="s">
        <v>52</v>
      </c>
      <c r="M2798" s="25">
        <v>193062.39999999999</v>
      </c>
      <c r="N2798" s="27">
        <v>0.6</v>
      </c>
    </row>
    <row r="2799" spans="1:14" hidden="1" outlineLevel="1" x14ac:dyDescent="0.2">
      <c r="A2799" s="23" t="str">
        <f t="shared" si="119"/>
        <v>ГБУЗ "ГП № 219 ДЗМ"</v>
      </c>
      <c r="B2799" s="24" t="s">
        <v>4140</v>
      </c>
      <c r="C2799" s="25">
        <v>482656</v>
      </c>
      <c r="D2799" s="22" t="s">
        <v>4141</v>
      </c>
      <c r="E2799" s="22" t="s">
        <v>103</v>
      </c>
      <c r="F2799" s="23" t="str">
        <f t="shared" si="120"/>
        <v>Техническое обслуживание охранной и тревожной сигнализации на объектах ГБУЗ «ГП № 219 ДЗМ» в 2020 году.</v>
      </c>
      <c r="G2799" s="22" t="s">
        <v>55</v>
      </c>
      <c r="H2799" s="22" t="s">
        <v>55</v>
      </c>
      <c r="I2799" s="26">
        <v>43696.457789351902</v>
      </c>
      <c r="J2799" s="23" t="str">
        <f>HYPERLINK("https://www.spark-marketing.ru/Card/Person/6514589", "ООО ""МЦОК""")</f>
        <v>ООО "МЦОК"</v>
      </c>
      <c r="K2799" s="24" t="s">
        <v>3156</v>
      </c>
      <c r="L2799" s="28" t="s">
        <v>52</v>
      </c>
      <c r="M2799" s="25">
        <v>183409.28</v>
      </c>
      <c r="N2799" s="27">
        <v>0.62</v>
      </c>
    </row>
    <row r="2800" spans="1:14" hidden="1" outlineLevel="1" x14ac:dyDescent="0.2">
      <c r="A2800" s="23" t="str">
        <f t="shared" si="119"/>
        <v>ГБУЗ "ГП № 219 ДЗМ"</v>
      </c>
      <c r="B2800" s="24" t="s">
        <v>4140</v>
      </c>
      <c r="C2800" s="25">
        <v>482656</v>
      </c>
      <c r="D2800" s="22" t="s">
        <v>4141</v>
      </c>
      <c r="E2800" s="22" t="s">
        <v>103</v>
      </c>
      <c r="F2800" s="23" t="str">
        <f t="shared" si="120"/>
        <v>Техническое обслуживание охранной и тревожной сигнализации на объектах ГБУЗ «ГП № 219 ДЗМ» в 2020 году.</v>
      </c>
      <c r="G2800" s="22" t="s">
        <v>55</v>
      </c>
      <c r="H2800" s="22" t="s">
        <v>55</v>
      </c>
      <c r="I2800" s="26">
        <v>43696.457789351902</v>
      </c>
      <c r="J2800" s="23" t="str">
        <f>HYPERLINK("https://www.spark-marketing.ru/Card/Person/5921742", "ООО ""КСБ""")</f>
        <v>ООО "КСБ"</v>
      </c>
      <c r="K2800" s="24" t="s">
        <v>1739</v>
      </c>
      <c r="L2800" s="28" t="s">
        <v>52</v>
      </c>
      <c r="M2800" s="25">
        <v>477829.44</v>
      </c>
      <c r="N2800" s="27">
        <v>0.01</v>
      </c>
    </row>
    <row r="2801" spans="1:14" ht="12.75" hidden="1" outlineLevel="1" x14ac:dyDescent="0.2">
      <c r="A2801" s="23" t="str">
        <f t="shared" si="119"/>
        <v>ГБУЗ "ГП № 219 ДЗМ"</v>
      </c>
      <c r="B2801" s="24" t="s">
        <v>4140</v>
      </c>
      <c r="C2801" s="25">
        <v>482656</v>
      </c>
      <c r="D2801" s="22" t="s">
        <v>4141</v>
      </c>
      <c r="E2801" s="22" t="s">
        <v>103</v>
      </c>
      <c r="F2801" s="23" t="str">
        <f t="shared" si="120"/>
        <v>Техническое обслуживание охранной и тревожной сигнализации на объектах ГБУЗ «ГП № 219 ДЗМ» в 2020 году.</v>
      </c>
      <c r="G2801" s="22" t="s">
        <v>55</v>
      </c>
      <c r="H2801" s="22" t="s">
        <v>55</v>
      </c>
      <c r="I2801" s="26">
        <v>43696.457789351902</v>
      </c>
      <c r="J2801" s="23" t="str">
        <f>HYPERLINK("https://www.spark-marketing.ru/Card/Person/100948", "ООО ""СК ""СКАТ""")</f>
        <v>ООО "СК "СКАТ"</v>
      </c>
      <c r="K2801" s="24" t="s">
        <v>2060</v>
      </c>
      <c r="L2801" s="22" t="s">
        <v>10</v>
      </c>
      <c r="M2801" s="25">
        <v>130317.12</v>
      </c>
      <c r="N2801" s="27">
        <v>0.73</v>
      </c>
    </row>
    <row r="2802" spans="1:14" x14ac:dyDescent="0.15">
      <c r="A2802" s="23" t="str">
        <f>HYPERLINK("https://www.spark-marketing.ru/Card/Person/56444", "ФКУ ""ЦВСИГ МВД РОССИИ, Г. ПСКОВ""")</f>
        <v>ФКУ "ЦВСИГ МВД РОССИИ, Г. ПСКОВ"</v>
      </c>
      <c r="B2802" s="24" t="s">
        <v>3374</v>
      </c>
      <c r="C2802" s="25">
        <v>48312</v>
      </c>
      <c r="D2802" s="22" t="s">
        <v>4144</v>
      </c>
      <c r="E2802" s="22" t="s">
        <v>53</v>
      </c>
      <c r="F2802" s="23" t="str">
        <f>HYPERLINK("https://www.spark-marketing.ru/Card/Lot/72869970", "Оказание услуг по осуществлению выезда наряда Росгвардии при срабатывании кнопки тревожной сигнализации в 2020 году")</f>
        <v>Оказание услуг по осуществлению выезда наряда Росгвардии при срабатывании кнопки тревожной сигнализации в 2020 году</v>
      </c>
      <c r="G2802" s="22" t="s">
        <v>142</v>
      </c>
      <c r="H2802" s="22" t="s">
        <v>142</v>
      </c>
      <c r="I2802" s="26">
        <v>43696.445011574098</v>
      </c>
      <c r="J2802" s="28" t="s">
        <v>52</v>
      </c>
      <c r="K2802" s="28" t="s">
        <v>52</v>
      </c>
      <c r="L2802" s="28" t="s">
        <v>52</v>
      </c>
      <c r="M2802" s="28" t="s">
        <v>52</v>
      </c>
      <c r="N2802" s="28" t="s">
        <v>52</v>
      </c>
    </row>
    <row r="2803" spans="1:14" x14ac:dyDescent="0.15">
      <c r="A2803" s="23" t="str">
        <f>HYPERLINK("https://www.spark-marketing.ru/Card/Person/4351983", "ГБПОУ МО ""ШЭТ""")</f>
        <v>ГБПОУ МО "ШЭТ"</v>
      </c>
      <c r="B2803" s="24" t="s">
        <v>4145</v>
      </c>
      <c r="C2803" s="25">
        <v>21775</v>
      </c>
      <c r="D2803" s="22" t="s">
        <v>4146</v>
      </c>
      <c r="E2803" s="22" t="s">
        <v>103</v>
      </c>
      <c r="F2803" s="23" t="str">
        <f>HYPERLINK("https://www.spark-marketing.ru/Card/Lot/72868980", "Выполнение работ по технической подготовке, поверке средств измерений и сигнализации загазованности")</f>
        <v>Выполнение работ по технической подготовке, поверке средств измерений и сигнализации загазованности</v>
      </c>
      <c r="G2803" s="22" t="s">
        <v>50</v>
      </c>
      <c r="H2803" s="22" t="s">
        <v>756</v>
      </c>
      <c r="I2803" s="26">
        <v>43696.409502314797</v>
      </c>
      <c r="J2803" s="28" t="s">
        <v>52</v>
      </c>
      <c r="K2803" s="28" t="s">
        <v>52</v>
      </c>
      <c r="L2803" s="28" t="s">
        <v>52</v>
      </c>
      <c r="M2803" s="28" t="s">
        <v>52</v>
      </c>
      <c r="N2803" s="28" t="s">
        <v>52</v>
      </c>
    </row>
    <row r="2804" spans="1:14" x14ac:dyDescent="0.15">
      <c r="A2804" s="23" t="str">
        <f>HYPERLINK("https://www.spark-marketing.ru/Card/Person/1037240", "БОУ Г. ОМСКА ""СРЕДНЯЯ ОБЩЕОБРАЗОВАТЕЛЬНАЯ ШКОЛА № 120""")</f>
        <v>БОУ Г. ОМСКА "СРЕДНЯЯ ОБЩЕОБРАЗОВАТЕЛЬНАЯ ШКОЛА № 120"</v>
      </c>
      <c r="B2804" s="24" t="s">
        <v>4147</v>
      </c>
      <c r="C2804" s="25">
        <v>28160</v>
      </c>
      <c r="D2804" s="22" t="s">
        <v>4148</v>
      </c>
      <c r="E2804" s="22" t="s">
        <v>68</v>
      </c>
      <c r="F2804" s="23" t="str">
        <f>HYPERLINK("https://www.spark-marketing.ru/Card/Lot/72869194", "Оказание услуг по обеспечению общественного порядка и безопасности граждан")</f>
        <v>Оказание услуг по обеспечению общественного порядка и безопасности граждан</v>
      </c>
      <c r="G2804" s="22" t="s">
        <v>521</v>
      </c>
      <c r="H2804" s="22" t="s">
        <v>522</v>
      </c>
      <c r="I2804" s="26">
        <v>43696.414583333302</v>
      </c>
      <c r="J2804" s="28" t="s">
        <v>52</v>
      </c>
      <c r="K2804" s="28" t="s">
        <v>52</v>
      </c>
      <c r="L2804" s="28" t="s">
        <v>52</v>
      </c>
      <c r="M2804" s="28" t="s">
        <v>52</v>
      </c>
      <c r="N2804" s="28" t="s">
        <v>52</v>
      </c>
    </row>
    <row r="2805" spans="1:14" x14ac:dyDescent="0.15">
      <c r="A2805" s="23" t="str">
        <f>HYPERLINK("https://www.spark-marketing.ru/Card/Person/128633", "ФКОУ СОШ ИМЕНИ А.Н. РАДИЩЕВА")</f>
        <v>ФКОУ СОШ ИМЕНИ А.Н. РАДИЩЕВА</v>
      </c>
      <c r="B2805" s="24" t="s">
        <v>4149</v>
      </c>
      <c r="C2805" s="25">
        <v>99000</v>
      </c>
      <c r="D2805" s="22" t="s">
        <v>4150</v>
      </c>
      <c r="E2805" s="22" t="s">
        <v>84</v>
      </c>
      <c r="F2805" s="23" t="str">
        <f>HYPERLINK("https://www.spark-marketing.ru/Card/Lot/72867670", "Монтаж, установка, сборка систем видеонаблюдения, 1 шт")</f>
        <v>Монтаж, установка, сборка систем видеонаблюдения, 1 шт</v>
      </c>
      <c r="G2805" s="22" t="s">
        <v>514</v>
      </c>
      <c r="H2805" s="22" t="s">
        <v>4151</v>
      </c>
      <c r="I2805" s="26">
        <v>43696.391759259299</v>
      </c>
      <c r="J2805" s="28" t="s">
        <v>52</v>
      </c>
      <c r="K2805" s="28" t="s">
        <v>52</v>
      </c>
      <c r="L2805" s="28" t="s">
        <v>52</v>
      </c>
      <c r="M2805" s="28" t="s">
        <v>52</v>
      </c>
      <c r="N2805" s="28" t="s">
        <v>52</v>
      </c>
    </row>
    <row r="2806" spans="1:14" x14ac:dyDescent="0.15">
      <c r="A2806" s="23" t="str">
        <f>HYPERLINK("https://www.spark-marketing.ru/Card/Person/88378", "КГБУ СО ЦЕНТР СЕМЬИ ""ПРИМОРСКИЙ""")</f>
        <v>КГБУ СО ЦЕНТР СЕМЬИ "ПРИМОРСКИЙ"</v>
      </c>
      <c r="B2806" s="24" t="s">
        <v>4152</v>
      </c>
      <c r="C2806" s="25">
        <v>478800</v>
      </c>
      <c r="D2806" s="22" t="s">
        <v>4153</v>
      </c>
      <c r="E2806" s="22" t="s">
        <v>52</v>
      </c>
      <c r="F2806" s="23" t="str">
        <f>HYPERLINK("https://www.spark-marketing.ru/Card/Lot/72865990", "№ ЭА 46020/19 «Оказание охранных услуг для нужд краевого государственного бюджетного учреждения социального обслуживания ""Центр социальной помощи семье и детям ""Приморский"" 2019-2020")</f>
        <v>№ ЭА 46020/19 «Оказание охранных услуг для нужд краевого государственного бюджетного учреждения социального обслуживания "Центр социальной помощи семье и детям "Приморский" 2019-2020</v>
      </c>
      <c r="G2806" s="22" t="s">
        <v>640</v>
      </c>
      <c r="H2806" s="22" t="s">
        <v>4154</v>
      </c>
      <c r="I2806" s="26">
        <v>43693.733842592599</v>
      </c>
      <c r="J2806" s="28" t="s">
        <v>52</v>
      </c>
      <c r="K2806" s="28" t="s">
        <v>52</v>
      </c>
      <c r="L2806" s="28" t="s">
        <v>52</v>
      </c>
      <c r="M2806" s="28" t="s">
        <v>52</v>
      </c>
      <c r="N2806" s="28" t="s">
        <v>52</v>
      </c>
    </row>
    <row r="2807" spans="1:14" hidden="1" outlineLevel="1" x14ac:dyDescent="0.2">
      <c r="A2807" s="23" t="str">
        <f>HYPERLINK("https://www.spark-marketing.ru/Card/Person/88378", "КГБУ СО ЦЕНТР СЕМЬИ ""ПРИМОРСКИЙ""")</f>
        <v>КГБУ СО ЦЕНТР СЕМЬИ "ПРИМОРСКИЙ"</v>
      </c>
      <c r="B2807" s="24" t="s">
        <v>4152</v>
      </c>
      <c r="C2807" s="25">
        <v>478800</v>
      </c>
      <c r="D2807" s="22" t="s">
        <v>4153</v>
      </c>
      <c r="E2807" s="22" t="s">
        <v>52</v>
      </c>
      <c r="F2807" s="23" t="str">
        <f>HYPERLINK("https://www.spark-marketing.ru/Card/Lot/72865990", "№ ЭА 46020/19 «Оказание охранных услуг для нужд краевого государственного бюджетного учреждения социального обслуживания ""Центр социальной помощи семье и детям ""Приморский"" 2019-2020")</f>
        <v>№ ЭА 46020/19 «Оказание охранных услуг для нужд краевого государственного бюджетного учреждения социального обслуживания "Центр социальной помощи семье и детям "Приморский" 2019-2020</v>
      </c>
      <c r="G2807" s="22" t="s">
        <v>640</v>
      </c>
      <c r="H2807" s="22" t="s">
        <v>4154</v>
      </c>
      <c r="I2807" s="26">
        <v>43693.733842592599</v>
      </c>
      <c r="J2807" s="23" t="str">
        <f>HYPERLINK("https://www.spark-marketing.ru/Card/Person/469974", "ООО ЧОП ""САПСАН-ПЛЮС""")</f>
        <v>ООО ЧОП "САПСАН-ПЛЮС"</v>
      </c>
      <c r="K2807" s="24" t="s">
        <v>4155</v>
      </c>
      <c r="L2807" s="28" t="s">
        <v>52</v>
      </c>
      <c r="M2807" s="25">
        <v>174762</v>
      </c>
      <c r="N2807" s="27">
        <v>0.63500000000000001</v>
      </c>
    </row>
    <row r="2808" spans="1:14" ht="12.75" hidden="1" outlineLevel="1" x14ac:dyDescent="0.2">
      <c r="A2808" s="23" t="str">
        <f>HYPERLINK("https://www.spark-marketing.ru/Card/Person/88378", "КГБУ СО ЦЕНТР СЕМЬИ ""ПРИМОРСКИЙ""")</f>
        <v>КГБУ СО ЦЕНТР СЕМЬИ "ПРИМОРСКИЙ"</v>
      </c>
      <c r="B2808" s="24" t="s">
        <v>4152</v>
      </c>
      <c r="C2808" s="25">
        <v>478800</v>
      </c>
      <c r="D2808" s="22" t="s">
        <v>4153</v>
      </c>
      <c r="E2808" s="22" t="s">
        <v>52</v>
      </c>
      <c r="F2808" s="23" t="str">
        <f>HYPERLINK("https://www.spark-marketing.ru/Card/Lot/72865990", "№ ЭА 46020/19 «Оказание охранных услуг для нужд краевого государственного бюджетного учреждения социального обслуживания ""Центр социальной помощи семье и детям ""Приморский"" 2019-2020")</f>
        <v>№ ЭА 46020/19 «Оказание охранных услуг для нужд краевого государственного бюджетного учреждения социального обслуживания "Центр социальной помощи семье и детям "Приморский" 2019-2020</v>
      </c>
      <c r="G2808" s="22" t="s">
        <v>640</v>
      </c>
      <c r="H2808" s="22" t="s">
        <v>4154</v>
      </c>
      <c r="I2808" s="26">
        <v>43693.733842592599</v>
      </c>
      <c r="J2808" s="23" t="str">
        <f>HYPERLINK("https://www.spark-marketing.ru/Card/Person/87686", "ООО ОА ""ПЕРЕСВЕТ""")</f>
        <v>ООО ОА "ПЕРЕСВЕТ"</v>
      </c>
      <c r="K2808" s="24" t="s">
        <v>2992</v>
      </c>
      <c r="L2808" s="22" t="s">
        <v>10</v>
      </c>
      <c r="M2808" s="25">
        <v>172368</v>
      </c>
      <c r="N2808" s="27">
        <v>0.64</v>
      </c>
    </row>
    <row r="2809" spans="1:14" x14ac:dyDescent="0.15">
      <c r="A2809" s="23" t="str">
        <f>HYPERLINK("https://www.spark-marketing.ru/Card/Person/1016771", "ФКУ ИК-6 УФСИН РОССИИ ПО ТЮМЕНСКОЙ ОБЛАСТИ")</f>
        <v>ФКУ ИК-6 УФСИН РОССИИ ПО ТЮМЕНСКОЙ ОБЛАСТИ</v>
      </c>
      <c r="B2809" s="24" t="s">
        <v>3541</v>
      </c>
      <c r="C2809" s="25">
        <v>21861.919999999998</v>
      </c>
      <c r="D2809" s="22" t="s">
        <v>4156</v>
      </c>
      <c r="E2809" s="22" t="s">
        <v>208</v>
      </c>
      <c r="F2809" s="23" t="str">
        <f>HYPERLINK("https://www.spark-marketing.ru/Card/Lot/72866384", "Закупка кнопок беспроводной тревожной сигнализации, ручных металлодетекторов")</f>
        <v>Закупка кнопок беспроводной тревожной сигнализации, ручных металлодетекторов</v>
      </c>
      <c r="G2809" s="22" t="s">
        <v>893</v>
      </c>
      <c r="H2809" s="22" t="s">
        <v>2222</v>
      </c>
      <c r="I2809" s="26">
        <v>43696.335497685199</v>
      </c>
      <c r="J2809" s="28" t="s">
        <v>52</v>
      </c>
      <c r="K2809" s="28" t="s">
        <v>52</v>
      </c>
      <c r="L2809" s="28" t="s">
        <v>52</v>
      </c>
      <c r="M2809" s="28" t="s">
        <v>52</v>
      </c>
      <c r="N2809" s="28" t="s">
        <v>52</v>
      </c>
    </row>
    <row r="2810" spans="1:14" x14ac:dyDescent="0.15">
      <c r="A2810" s="23" t="str">
        <f>HYPERLINK("https://www.spark-marketing.ru/Card/Person/6450322", "ЗАКАЗЧИК РП БЕЛАРУСЬ")</f>
        <v>ЗАКАЗЧИК РП БЕЛАРУСЬ</v>
      </c>
      <c r="B2810" s="28" t="s">
        <v>52</v>
      </c>
      <c r="C2810" s="25">
        <v>163632154.60319999</v>
      </c>
      <c r="D2810" s="22" t="s">
        <v>4157</v>
      </c>
      <c r="E2810" s="22" t="s">
        <v>53</v>
      </c>
      <c r="F2810" s="23" t="str">
        <f>HYPERLINK("https://www.spark-marketing.ru/Card/Lot/72843197", "Выбор подрядчика (генподрядчика) для строительства объекта «Меры охраны ограждающей дамбы солеотвала 3 РУ (южная и юго-западная части) от виляния горных работ II и III калийных горизонтов рудника 3 РУ»")</f>
        <v>Выбор подрядчика (генподрядчика) для строительства объекта «Меры охраны ограждающей дамбы солеотвала 3 РУ (южная и юго-западная части) от виляния горных работ II и III калийных горизонтов рудника 3 РУ»</v>
      </c>
      <c r="G2810" s="22" t="s">
        <v>52</v>
      </c>
      <c r="H2810" s="22" t="s">
        <v>52</v>
      </c>
      <c r="I2810" s="26">
        <v>43693</v>
      </c>
      <c r="J2810" s="28" t="s">
        <v>52</v>
      </c>
      <c r="K2810" s="28" t="s">
        <v>52</v>
      </c>
      <c r="L2810" s="28" t="s">
        <v>52</v>
      </c>
      <c r="M2810" s="28" t="s">
        <v>52</v>
      </c>
      <c r="N2810" s="28" t="s">
        <v>52</v>
      </c>
    </row>
    <row r="2811" spans="1:14" x14ac:dyDescent="0.15">
      <c r="A2811" s="23" t="str">
        <f>HYPERLINK("https://www.spark-marketing.ru/Card/Person/111098", "АО ""ПКМТП""")</f>
        <v>АО "ПКМТП"</v>
      </c>
      <c r="B2811" s="24" t="s">
        <v>1921</v>
      </c>
      <c r="C2811" s="25">
        <v>6000000</v>
      </c>
      <c r="D2811" s="22" t="s">
        <v>4158</v>
      </c>
      <c r="E2811" s="22" t="s">
        <v>144</v>
      </c>
      <c r="F2811" s="23" t="str">
        <f>HYPERLINK("https://www.spark-marketing.ru/Card/Lot/72865520", "Услуги по защите подразделением транспортной безопасности от актов незаконного вмешательства объекта транспортной инфраструктуры")</f>
        <v>Услуги по защите подразделением транспортной безопасности от актов незаконного вмешательства объекта транспортной инфраструктуры</v>
      </c>
      <c r="G2811" s="22" t="s">
        <v>1141</v>
      </c>
      <c r="H2811" s="22" t="s">
        <v>1141</v>
      </c>
      <c r="I2811" s="26">
        <v>43696</v>
      </c>
      <c r="J2811" s="28" t="s">
        <v>52</v>
      </c>
      <c r="K2811" s="28" t="s">
        <v>52</v>
      </c>
      <c r="L2811" s="28" t="s">
        <v>52</v>
      </c>
      <c r="M2811" s="28" t="s">
        <v>52</v>
      </c>
      <c r="N2811" s="28" t="s">
        <v>52</v>
      </c>
    </row>
    <row r="2812" spans="1:14" x14ac:dyDescent="0.15">
      <c r="A2812" s="23" t="str">
        <f>HYPERLINK("https://www.spark-marketing.ru/Card/Person/1716154", "ООО ""ТРАНСНЕФТЬ - БАЛТИКА""")</f>
        <v>ООО "ТРАНСНЕФТЬ - БАЛТИКА"</v>
      </c>
      <c r="B2812" s="24" t="s">
        <v>3778</v>
      </c>
      <c r="C2812" s="25">
        <v>2488846.46</v>
      </c>
      <c r="D2812" s="22" t="s">
        <v>4159</v>
      </c>
      <c r="E2812" s="22" t="s">
        <v>175</v>
      </c>
      <c r="F2812" s="23" t="str">
        <f>HYPERLINK("https://www.spark-marketing.ru/Card/Lot/72867196", "1800-H05-К-Y03-00072-2020 «""2020-УБ-ТНБ-16 ""Техническое обслуживание комплексов инженерно-технических средств охраны НБ ""Усть-Луга""»")</f>
        <v>1800-H05-К-Y03-00072-2020 «"2020-УБ-ТНБ-16 "Техническое обслуживание комплексов инженерно-технических средств охраны НБ "Усть-Луга"»</v>
      </c>
      <c r="G2812" s="22" t="s">
        <v>89</v>
      </c>
      <c r="H2812" s="22" t="s">
        <v>89</v>
      </c>
      <c r="I2812" s="26">
        <v>43696</v>
      </c>
      <c r="J2812" s="28" t="s">
        <v>52</v>
      </c>
      <c r="K2812" s="28" t="s">
        <v>52</v>
      </c>
      <c r="L2812" s="28" t="s">
        <v>52</v>
      </c>
      <c r="M2812" s="28" t="s">
        <v>52</v>
      </c>
      <c r="N2812" s="28" t="s">
        <v>52</v>
      </c>
    </row>
    <row r="2813" spans="1:14" x14ac:dyDescent="0.15">
      <c r="A2813" s="23" t="str">
        <f>HYPERLINK("https://www.spark-marketing.ru/Card/Person/1716154", "ООО ""ТРАНСНЕФТЬ - БАЛТИКА""")</f>
        <v>ООО "ТРАНСНЕФТЬ - БАЛТИКА"</v>
      </c>
      <c r="B2813" s="24" t="s">
        <v>3778</v>
      </c>
      <c r="C2813" s="25">
        <v>2072691.6</v>
      </c>
      <c r="D2813" s="22" t="s">
        <v>4160</v>
      </c>
      <c r="E2813" s="22" t="s">
        <v>175</v>
      </c>
      <c r="F2813" s="23" t="str">
        <f>HYPERLINK("https://www.spark-marketing.ru/Card/Lot/72881482", "1800-H05-К-Y03-00112-2020 «""2020-УБ-ТНБ-07 ""Техническое обслуживание комплексов инженерно- технических средств охраны НПС ""Ярославль-3"", ЛЧ МН""»")</f>
        <v>1800-H05-К-Y03-00112-2020 «"2020-УБ-ТНБ-07 "Техническое обслуживание комплексов инженерно- технических средств охраны НПС "Ярославль-3", ЛЧ МН"»</v>
      </c>
      <c r="G2813" s="22" t="s">
        <v>89</v>
      </c>
      <c r="H2813" s="22" t="s">
        <v>89</v>
      </c>
      <c r="I2813" s="26">
        <v>43696</v>
      </c>
      <c r="J2813" s="28" t="s">
        <v>52</v>
      </c>
      <c r="K2813" s="28" t="s">
        <v>52</v>
      </c>
      <c r="L2813" s="28" t="s">
        <v>52</v>
      </c>
      <c r="M2813" s="28" t="s">
        <v>52</v>
      </c>
      <c r="N2813" s="28" t="s">
        <v>52</v>
      </c>
    </row>
    <row r="2814" spans="1:14" x14ac:dyDescent="0.15">
      <c r="A2814" s="23" t="str">
        <f>HYPERLINK("https://www.spark-marketing.ru/Card/Person/1716154", "ООО ""ТРАНСНЕФТЬ - БАЛТИКА""")</f>
        <v>ООО "ТРАНСНЕФТЬ - БАЛТИКА"</v>
      </c>
      <c r="B2814" s="24" t="s">
        <v>3778</v>
      </c>
      <c r="C2814" s="25">
        <v>3769178.04</v>
      </c>
      <c r="D2814" s="22" t="s">
        <v>4161</v>
      </c>
      <c r="E2814" s="22" t="s">
        <v>175</v>
      </c>
      <c r="F2814" s="23" t="str">
        <f>HYPERLINK("https://www.spark-marketing.ru/Card/Lot/72882947", "1800-H05-К-Y03-00111-2020 «""2020- УБ-ТНБ-09 ""Техническое обслуживание комплексов инженерно-технических средств охраны НПС ""Палкино"", ЛПДС ""Правдино"", ЛЧ МН""»")</f>
        <v>1800-H05-К-Y03-00111-2020 «"2020- УБ-ТНБ-09 "Техническое обслуживание комплексов инженерно-технических средств охраны НПС "Палкино", ЛПДС "Правдино", ЛЧ МН"»</v>
      </c>
      <c r="G2814" s="22" t="s">
        <v>89</v>
      </c>
      <c r="H2814" s="22" t="s">
        <v>89</v>
      </c>
      <c r="I2814" s="26">
        <v>43696</v>
      </c>
      <c r="J2814" s="28" t="s">
        <v>52</v>
      </c>
      <c r="K2814" s="28" t="s">
        <v>52</v>
      </c>
      <c r="L2814" s="28" t="s">
        <v>52</v>
      </c>
      <c r="M2814" s="28" t="s">
        <v>52</v>
      </c>
      <c r="N2814" s="28" t="s">
        <v>52</v>
      </c>
    </row>
    <row r="2815" spans="1:14" x14ac:dyDescent="0.15">
      <c r="A2815" s="23" t="str">
        <f>HYPERLINK("https://www.spark-marketing.ru/Card/Person/1716154", "ООО ""ТРАНСНЕФТЬ - БАЛТИКА""")</f>
        <v>ООО "ТРАНСНЕФТЬ - БАЛТИКА"</v>
      </c>
      <c r="B2815" s="24" t="s">
        <v>3778</v>
      </c>
      <c r="C2815" s="25">
        <v>2015824.13</v>
      </c>
      <c r="D2815" s="22" t="s">
        <v>4162</v>
      </c>
      <c r="E2815" s="22" t="s">
        <v>175</v>
      </c>
      <c r="F2815" s="23" t="str">
        <f>HYPERLINK("https://www.spark-marketing.ru/Card/Lot/72867188", "1800-H05-К-Y03-00064-2020 «""2020-УБ-ТНБ-11Техническое обслуживание комплексов инженерно- технических средств охраны ГПС ""Кириши"", ППС""Невская"", ПСП ЛПДС ""Невская"", ЛЧ""»")</f>
        <v>1800-H05-К-Y03-00064-2020 «"2020-УБ-ТНБ-11Техническое обслуживание комплексов инженерно- технических средств охраны ГПС "Кириши", ППС"Невская", ПСП ЛПДС "Невская", ЛЧ"»</v>
      </c>
      <c r="G2815" s="22" t="s">
        <v>89</v>
      </c>
      <c r="H2815" s="22" t="s">
        <v>89</v>
      </c>
      <c r="I2815" s="26">
        <v>43696</v>
      </c>
      <c r="J2815" s="28" t="s">
        <v>52</v>
      </c>
      <c r="K2815" s="28" t="s">
        <v>52</v>
      </c>
      <c r="L2815" s="28" t="s">
        <v>52</v>
      </c>
      <c r="M2815" s="28" t="s">
        <v>52</v>
      </c>
      <c r="N2815" s="28" t="s">
        <v>52</v>
      </c>
    </row>
    <row r="2816" spans="1:14" x14ac:dyDescent="0.15">
      <c r="A2816" s="23" t="str">
        <f>HYPERLINK("https://www.spark-marketing.ru/Card/Person/1761832", "ОАО ""РЫНОЧНЫЙ КОМПЛЕКС ""ЦАРИЦЫНСКИЙ""")</f>
        <v>ОАО "РЫНОЧНЫЙ КОМПЛЕКС "ЦАРИЦЫНСКИЙ"</v>
      </c>
      <c r="B2816" s="24" t="s">
        <v>613</v>
      </c>
      <c r="C2816" s="25">
        <v>293832</v>
      </c>
      <c r="D2816" s="22" t="s">
        <v>4163</v>
      </c>
      <c r="E2816" s="22" t="s">
        <v>615</v>
      </c>
      <c r="F2816" s="23" t="str">
        <f>HYPERLINK("https://www.spark-marketing.ru/Card/Lot/72870445", "оказание услуг по охране объекта")</f>
        <v>оказание услуг по охране объекта</v>
      </c>
      <c r="G2816" s="22" t="s">
        <v>55</v>
      </c>
      <c r="H2816" s="22" t="s">
        <v>55</v>
      </c>
      <c r="I2816" s="26">
        <v>43696</v>
      </c>
      <c r="J2816" s="28" t="s">
        <v>52</v>
      </c>
      <c r="K2816" s="28" t="s">
        <v>52</v>
      </c>
      <c r="L2816" s="28" t="s">
        <v>52</v>
      </c>
      <c r="M2816" s="28" t="s">
        <v>52</v>
      </c>
      <c r="N2816" s="28" t="s">
        <v>52</v>
      </c>
    </row>
    <row r="2817" spans="1:14" x14ac:dyDescent="0.15">
      <c r="A2817" s="23" t="str">
        <f>HYPERLINK("https://www.spark-marketing.ru/Card/Person/1716154", "ООО ""ТРАНСНЕФТЬ - БАЛТИКА""")</f>
        <v>ООО "ТРАНСНЕФТЬ - БАЛТИКА"</v>
      </c>
      <c r="B2817" s="24" t="s">
        <v>3778</v>
      </c>
      <c r="C2817" s="25">
        <v>3830644.14</v>
      </c>
      <c r="D2817" s="22" t="s">
        <v>4164</v>
      </c>
      <c r="E2817" s="22" t="s">
        <v>175</v>
      </c>
      <c r="F2817" s="23" t="str">
        <f>HYPERLINK("https://www.spark-marketing.ru/Card/Lot/72868232", "1800-H05-К-Y03-00084-2020 «""2020-УБ-ТНБ-06 ""Техническое обслуживание комплексов инженерно- технических средств охраны ЛПДС ""Ярославль"", офис ЯРНУ, ЛЧ МН""»")</f>
        <v>1800-H05-К-Y03-00084-2020 «"2020-УБ-ТНБ-06 "Техническое обслуживание комплексов инженерно- технических средств охраны ЛПДС "Ярославль", офис ЯРНУ, ЛЧ МН"»</v>
      </c>
      <c r="G2817" s="22" t="s">
        <v>89</v>
      </c>
      <c r="H2817" s="22" t="s">
        <v>89</v>
      </c>
      <c r="I2817" s="26">
        <v>43696</v>
      </c>
      <c r="J2817" s="28" t="s">
        <v>52</v>
      </c>
      <c r="K2817" s="28" t="s">
        <v>52</v>
      </c>
      <c r="L2817" s="28" t="s">
        <v>52</v>
      </c>
      <c r="M2817" s="28" t="s">
        <v>52</v>
      </c>
      <c r="N2817" s="28" t="s">
        <v>52</v>
      </c>
    </row>
    <row r="2818" spans="1:14" x14ac:dyDescent="0.15">
      <c r="A2818" s="23" t="str">
        <f>HYPERLINK("https://www.spark-marketing.ru/Card/Person/1716154", "ООО ""ТРАНСНЕФТЬ - БАЛТИКА""")</f>
        <v>ООО "ТРАНСНЕФТЬ - БАЛТИКА"</v>
      </c>
      <c r="B2818" s="24" t="s">
        <v>3778</v>
      </c>
      <c r="C2818" s="25">
        <v>5258545.87</v>
      </c>
      <c r="D2818" s="22" t="s">
        <v>4165</v>
      </c>
      <c r="E2818" s="22" t="s">
        <v>175</v>
      </c>
      <c r="F2818" s="23" t="str">
        <f>HYPERLINK("https://www.spark-marketing.ru/Card/Lot/72883121", "1800-H05-К-Y03-00065-2020 «""2020-УБ-ТНБ-12 ""Техническое обслуживание комплексов инженерно- технических средств охраны ГПС ""Ярославль"", ППС ""Ярославль2"", ППС ""Быково"", ППС ""Песь"", ЛПДС ""Правдино"", ЛЧ МНПП""»")</f>
        <v>1800-H05-К-Y03-00065-2020 «"2020-УБ-ТНБ-12 "Техническое обслуживание комплексов инженерно- технических средств охраны ГПС "Ярославль", ППС "Ярославль2", ППС "Быково", ППС "Песь", ЛПДС "Правдино", ЛЧ МНПП"»</v>
      </c>
      <c r="G2818" s="22" t="s">
        <v>89</v>
      </c>
      <c r="H2818" s="22" t="s">
        <v>89</v>
      </c>
      <c r="I2818" s="26">
        <v>43696</v>
      </c>
      <c r="J2818" s="28" t="s">
        <v>52</v>
      </c>
      <c r="K2818" s="28" t="s">
        <v>52</v>
      </c>
      <c r="L2818" s="28" t="s">
        <v>52</v>
      </c>
      <c r="M2818" s="28" t="s">
        <v>52</v>
      </c>
      <c r="N2818" s="28" t="s">
        <v>52</v>
      </c>
    </row>
    <row r="2819" spans="1:14" x14ac:dyDescent="0.15">
      <c r="A2819" s="23" t="str">
        <f>HYPERLINK("https://www.spark-marketing.ru/Card/Person/237657", "ООО ""РАЕВСКИЙ МЯСОКОМБИНАТ ""АЛЬШЕЙ-МЯСО""")</f>
        <v>ООО "РАЕВСКИЙ МЯСОКОМБИНАТ "АЛЬШЕЙ-МЯСО"</v>
      </c>
      <c r="B2819" s="24" t="s">
        <v>4166</v>
      </c>
      <c r="C2819" s="25">
        <v>0</v>
      </c>
      <c r="D2819" s="22" t="s">
        <v>4167</v>
      </c>
      <c r="E2819" s="22" t="s">
        <v>208</v>
      </c>
      <c r="F2819" s="23" t="str">
        <f>HYPERLINK("https://www.spark-marketing.ru/Card/Lot/72875909", "Техническое задание на оказание услуг по пультовой охране объектов ООО РМК ""Альшей-мясо""")</f>
        <v>Техническое задание на оказание услуг по пультовой охране объектов ООО РМК "Альшей-мясо"</v>
      </c>
      <c r="G2819" s="22" t="s">
        <v>100</v>
      </c>
      <c r="H2819" s="22" t="s">
        <v>4168</v>
      </c>
      <c r="I2819" s="26">
        <v>43696.372523148202</v>
      </c>
      <c r="J2819" s="28" t="s">
        <v>52</v>
      </c>
      <c r="K2819" s="28" t="s">
        <v>52</v>
      </c>
      <c r="L2819" s="28" t="s">
        <v>52</v>
      </c>
      <c r="M2819" s="28" t="s">
        <v>52</v>
      </c>
      <c r="N2819" s="28" t="s">
        <v>52</v>
      </c>
    </row>
    <row r="2820" spans="1:14" x14ac:dyDescent="0.15">
      <c r="A2820" s="23" t="str">
        <f>HYPERLINK("https://www.spark-marketing.ru/Card/Person/1758571", "МАУК ""НИЖЕГОРОДСКИЙ ГОРОДСКОЙ МУЗЕЙ ТЕХНИКИ И ОБОРОННОЙ ПРОМЫШЛЕННОСТИ""")</f>
        <v>МАУК "НИЖЕГОРОДСКИЙ ГОРОДСКОЙ МУЗЕЙ ТЕХНИКИ И ОБОРОННОЙ ПРОМЫШЛЕННОСТИ"</v>
      </c>
      <c r="B2820" s="24" t="s">
        <v>4169</v>
      </c>
      <c r="C2820" s="25">
        <v>743750</v>
      </c>
      <c r="D2820" s="22" t="s">
        <v>4170</v>
      </c>
      <c r="E2820" s="22" t="s">
        <v>4171</v>
      </c>
      <c r="F2820" s="23" t="str">
        <f>HYPERLINK("https://www.spark-marketing.ru/Card/Lot/72863160", "Услуги по содействию сотрудникам полиции в обеспечении общественного порядка мероприятия День города в г. Нижнем Новгороде")</f>
        <v>Услуги по содействию сотрудникам полиции в обеспечении общественного порядка мероприятия День города в г. Нижнем Новгороде</v>
      </c>
      <c r="G2820" s="22" t="s">
        <v>64</v>
      </c>
      <c r="H2820" s="22" t="s">
        <v>64</v>
      </c>
      <c r="I2820" s="26">
        <v>43694</v>
      </c>
      <c r="J2820" s="28" t="s">
        <v>52</v>
      </c>
      <c r="K2820" s="28" t="s">
        <v>52</v>
      </c>
      <c r="L2820" s="28" t="s">
        <v>52</v>
      </c>
      <c r="M2820" s="28" t="s">
        <v>52</v>
      </c>
      <c r="N2820" s="28" t="s">
        <v>52</v>
      </c>
    </row>
    <row r="2821" spans="1:14" x14ac:dyDescent="0.15">
      <c r="A2821" s="23" t="str">
        <f>HYPERLINK("https://www.spark-marketing.ru/Card/Person/134355", "УПРАВЛЕНИЕ ЖКХ АДМИНИСТРАЦИИ БОГОРОДСКОГО ГОРОДСКОГО ОКРУГА")</f>
        <v>УПРАВЛЕНИЕ ЖКХ АДМИНИСТРАЦИИ БОГОРОДСКОГО ГОРОДСКОГО ОКРУГА</v>
      </c>
      <c r="B2821" s="24" t="s">
        <v>4172</v>
      </c>
      <c r="C2821" s="25">
        <v>94000</v>
      </c>
      <c r="D2821" s="22" t="s">
        <v>4173</v>
      </c>
      <c r="E2821" s="22" t="s">
        <v>84</v>
      </c>
      <c r="F2821" s="23" t="str">
        <f>HYPERLINK("https://www.spark-marketing.ru/Card/Lot/72847937", "Установка видеокамер на контейнерных площадках")</f>
        <v>Установка видеокамер на контейнерных площадках</v>
      </c>
      <c r="G2821" s="22" t="s">
        <v>50</v>
      </c>
      <c r="H2821" s="22" t="s">
        <v>1276</v>
      </c>
      <c r="I2821" s="26">
        <v>43693.71125</v>
      </c>
      <c r="J2821" s="28" t="s">
        <v>52</v>
      </c>
      <c r="K2821" s="28" t="s">
        <v>52</v>
      </c>
      <c r="L2821" s="28" t="s">
        <v>52</v>
      </c>
      <c r="M2821" s="28" t="s">
        <v>52</v>
      </c>
      <c r="N2821" s="28" t="s">
        <v>52</v>
      </c>
    </row>
    <row r="2822" spans="1:14" x14ac:dyDescent="0.15">
      <c r="A2822" s="23" t="str">
        <f>HYPERLINK("https://www.spark-marketing.ru/Card/Person/28190", "ОГКУ ""СМЭУ ТО""")</f>
        <v>ОГКУ "СМЭУ ТО"</v>
      </c>
      <c r="B2822" s="24" t="s">
        <v>3481</v>
      </c>
      <c r="C2822" s="25">
        <v>780640</v>
      </c>
      <c r="D2822" s="22" t="s">
        <v>4174</v>
      </c>
      <c r="E2822" s="22" t="s">
        <v>1297</v>
      </c>
      <c r="F2822" s="23" t="str">
        <f>HYPERLINK("https://www.spark-marketing.ru/Card/Lot/72840894", "Поставка камер видеонаблюдения и кронштейнов для нужд ОГКУ «СМЭУ ТО»")</f>
        <v>Поставка камер видеонаблюдения и кронштейнов для нужд ОГКУ «СМЭУ ТО»</v>
      </c>
      <c r="G2822" s="22" t="s">
        <v>150</v>
      </c>
      <c r="H2822" s="22" t="s">
        <v>1656</v>
      </c>
      <c r="I2822" s="26">
        <v>43693.687870370399</v>
      </c>
      <c r="J2822" s="28" t="s">
        <v>52</v>
      </c>
      <c r="K2822" s="28" t="s">
        <v>52</v>
      </c>
      <c r="L2822" s="28" t="s">
        <v>52</v>
      </c>
      <c r="M2822" s="28" t="s">
        <v>52</v>
      </c>
      <c r="N2822" s="28" t="s">
        <v>52</v>
      </c>
    </row>
    <row r="2823" spans="1:14" x14ac:dyDescent="0.15">
      <c r="A2823" s="23" t="str">
        <f>HYPERLINK("https://www.spark-marketing.ru/Card/Person/75759", "МБДОУ ЦЕНТР РАЗВИТИЯ РЕБЁНКА-ДЕТСКИЙ САД №12 ""СОЛНЫШКО"" ГОЩ")</f>
        <v>МБДОУ ЦЕНТР РАЗВИТИЯ РЕБЁНКА-ДЕТСКИЙ САД №12 "СОЛНЫШКО" ГОЩ</v>
      </c>
      <c r="B2823" s="24" t="s">
        <v>456</v>
      </c>
      <c r="C2823" s="25">
        <v>77425.56</v>
      </c>
      <c r="D2823" s="22" t="s">
        <v>4175</v>
      </c>
      <c r="E2823" s="22" t="s">
        <v>208</v>
      </c>
      <c r="F2823" s="23" t="str">
        <f>HYPERLINK("https://www.spark-marketing.ru/Card/Lot/72858143", "Поставка и установка системы контроля и управления доступом")</f>
        <v>Поставка и установка системы контроля и управления доступом</v>
      </c>
      <c r="G2823" s="22" t="s">
        <v>50</v>
      </c>
      <c r="H2823" s="22" t="s">
        <v>458</v>
      </c>
      <c r="I2823" s="26">
        <v>43693.693657407399</v>
      </c>
      <c r="J2823" s="23" t="str">
        <f>HYPERLINK("https://www.spark-marketing.ru/Card/Person/2130602", "ООО ""КОРПОРАТИВНЫЙ ПАРТНЁР""")</f>
        <v>ООО "КОРПОРАТИВНЫЙ ПАРТНЁР"</v>
      </c>
      <c r="K2823" s="24" t="s">
        <v>4176</v>
      </c>
      <c r="L2823" s="28" t="s">
        <v>52</v>
      </c>
      <c r="M2823" s="28" t="s">
        <v>52</v>
      </c>
      <c r="N2823" s="28" t="s">
        <v>52</v>
      </c>
    </row>
    <row r="2824" spans="1:14" x14ac:dyDescent="0.15">
      <c r="A2824" s="23" t="str">
        <f>HYPERLINK("https://www.spark-marketing.ru/Card/Person/6450322", "ЗАКАЗЧИК РП БЕЛАРУСЬ")</f>
        <v>ЗАКАЗЧИК РП БЕЛАРУСЬ</v>
      </c>
      <c r="B2824" s="28" t="s">
        <v>52</v>
      </c>
      <c r="C2824" s="25">
        <v>77272.320000000007</v>
      </c>
      <c r="D2824" s="22" t="s">
        <v>4177</v>
      </c>
      <c r="E2824" s="22" t="s">
        <v>53</v>
      </c>
      <c r="F2824" s="23" t="str">
        <f>HYPERLINK("https://www.spark-marketing.ru/Card/Lot/72857180", "Установка тревожной кнопки в учебном корпусе №1, лабораторном корпусе №4")</f>
        <v>Установка тревожной кнопки в учебном корпусе №1, лабораторном корпусе №4</v>
      </c>
      <c r="G2824" s="22" t="s">
        <v>52</v>
      </c>
      <c r="H2824" s="22" t="s">
        <v>52</v>
      </c>
      <c r="I2824" s="26">
        <v>43693</v>
      </c>
      <c r="J2824" s="28" t="s">
        <v>52</v>
      </c>
      <c r="K2824" s="28" t="s">
        <v>52</v>
      </c>
      <c r="L2824" s="28" t="s">
        <v>52</v>
      </c>
      <c r="M2824" s="28" t="s">
        <v>52</v>
      </c>
      <c r="N2824" s="28" t="s">
        <v>52</v>
      </c>
    </row>
    <row r="2825" spans="1:14" x14ac:dyDescent="0.15">
      <c r="A2825" s="23" t="str">
        <f>HYPERLINK("https://www.spark-marketing.ru/Card/Person/4711478", "МБУК ""ЦКС ПИТЕРСКОГО МУНИЦИПАЛЬНОГО РАЙОНА""")</f>
        <v>МБУК "ЦКС ПИТЕРСКОГО МУНИЦИПАЛЬНОГО РАЙОНА"</v>
      </c>
      <c r="B2825" s="24" t="s">
        <v>4178</v>
      </c>
      <c r="C2825" s="25">
        <v>4262000</v>
      </c>
      <c r="D2825" s="22" t="s">
        <v>4179</v>
      </c>
      <c r="E2825" s="22" t="s">
        <v>4180</v>
      </c>
      <c r="F2825" s="23" t="str">
        <f>HYPERLINK("https://www.spark-marketing.ru/Card/Lot/72856779", "Работы электромонтажные, связанные с установкой приборов; Части и принадлежности звукового и видеооборудования; Аппараты контрольно-кассовые")</f>
        <v>Работы электромонтажные, связанные с установкой приборов; Части и принадлежности звукового и видеооборудования; Аппараты контрольно-кассовые</v>
      </c>
      <c r="G2825" s="22" t="s">
        <v>80</v>
      </c>
      <c r="H2825" s="22" t="s">
        <v>4181</v>
      </c>
      <c r="I2825" s="26">
        <v>43693.671087962997</v>
      </c>
      <c r="J2825" s="23" t="str">
        <f>HYPERLINK("https://www.spark-marketing.ru/Card/Person/624299", "ООО ""СИНЕМА ТРЕЙД""")</f>
        <v>ООО "СИНЕМА ТРЕЙД"</v>
      </c>
      <c r="K2825" s="24" t="s">
        <v>4182</v>
      </c>
      <c r="L2825" s="22" t="s">
        <v>10</v>
      </c>
      <c r="M2825" s="28" t="s">
        <v>52</v>
      </c>
      <c r="N2825" s="28" t="s">
        <v>52</v>
      </c>
    </row>
    <row r="2826" spans="1:14" x14ac:dyDescent="0.15">
      <c r="A2826" s="23" t="str">
        <f>HYPERLINK("https://www.spark-marketing.ru/Card/Person/131474", "МКУ ""УМТО""")</f>
        <v>МКУ "УМТО"</v>
      </c>
      <c r="B2826" s="24" t="s">
        <v>1463</v>
      </c>
      <c r="C2826" s="25">
        <v>68046.67</v>
      </c>
      <c r="D2826" s="22" t="s">
        <v>4183</v>
      </c>
      <c r="E2826" s="22" t="s">
        <v>194</v>
      </c>
      <c r="F2826" s="23" t="str">
        <f>HYPERLINK("https://www.spark-marketing.ru/Card/Lot/72842001", "поставка и установка камер видеонаблюдения для зданий администрации Нижневартовского района")</f>
        <v>поставка и установка камер видеонаблюдения для зданий администрации Нижневартовского района</v>
      </c>
      <c r="G2826" s="22" t="s">
        <v>119</v>
      </c>
      <c r="H2826" s="22" t="s">
        <v>952</v>
      </c>
      <c r="I2826" s="26">
        <v>43693.665752314802</v>
      </c>
      <c r="J2826" s="28" t="s">
        <v>52</v>
      </c>
      <c r="K2826" s="28" t="s">
        <v>52</v>
      </c>
      <c r="L2826" s="28" t="s">
        <v>52</v>
      </c>
      <c r="M2826" s="28" t="s">
        <v>52</v>
      </c>
      <c r="N2826" s="28" t="s">
        <v>52</v>
      </c>
    </row>
    <row r="2827" spans="1:14" ht="12.75" hidden="1" outlineLevel="1" x14ac:dyDescent="0.2">
      <c r="A2827" s="23" t="str">
        <f>HYPERLINK("https://www.spark-marketing.ru/Card/Person/131474", "МКУ ""УМТО""")</f>
        <v>МКУ "УМТО"</v>
      </c>
      <c r="B2827" s="24" t="s">
        <v>1463</v>
      </c>
      <c r="C2827" s="25">
        <v>68046.67</v>
      </c>
      <c r="D2827" s="22" t="s">
        <v>4183</v>
      </c>
      <c r="E2827" s="22" t="s">
        <v>194</v>
      </c>
      <c r="F2827" s="23" t="str">
        <f>HYPERLINK("https://www.spark-marketing.ru/Card/Lot/72842001", "поставка и установка камер видеонаблюдения для зданий администрации Нижневартовского района")</f>
        <v>поставка и установка камер видеонаблюдения для зданий администрации Нижневартовского района</v>
      </c>
      <c r="G2827" s="22" t="s">
        <v>119</v>
      </c>
      <c r="H2827" s="22" t="s">
        <v>952</v>
      </c>
      <c r="I2827" s="26">
        <v>43693.665752314802</v>
      </c>
      <c r="J2827" s="23" t="str">
        <f>HYPERLINK("https://www.spark-marketing.ru/Card/Person/932066", "ООО ""ЭКСПРЕСС ТЕЛЕКОМ""")</f>
        <v>ООО "ЭКСПРЕСС ТЕЛЕКОМ"</v>
      </c>
      <c r="K2827" s="24" t="s">
        <v>1466</v>
      </c>
      <c r="L2827" s="22" t="s">
        <v>10</v>
      </c>
      <c r="M2827" s="25">
        <v>59659.77</v>
      </c>
      <c r="N2827" s="27">
        <v>0.12325217383892555</v>
      </c>
    </row>
    <row r="2828" spans="1:14" hidden="1" outlineLevel="1" x14ac:dyDescent="0.2">
      <c r="A2828" s="23" t="str">
        <f>HYPERLINK("https://www.spark-marketing.ru/Card/Person/131474", "МКУ ""УМТО""")</f>
        <v>МКУ "УМТО"</v>
      </c>
      <c r="B2828" s="24" t="s">
        <v>1463</v>
      </c>
      <c r="C2828" s="25">
        <v>68046.67</v>
      </c>
      <c r="D2828" s="22" t="s">
        <v>4183</v>
      </c>
      <c r="E2828" s="22" t="s">
        <v>194</v>
      </c>
      <c r="F2828" s="23" t="str">
        <f>HYPERLINK("https://www.spark-marketing.ru/Card/Lot/72842001", "поставка и установка камер видеонаблюдения для зданий администрации Нижневартовского района")</f>
        <v>поставка и установка камер видеонаблюдения для зданий администрации Нижневартовского района</v>
      </c>
      <c r="G2828" s="22" t="s">
        <v>119</v>
      </c>
      <c r="H2828" s="22" t="s">
        <v>952</v>
      </c>
      <c r="I2828" s="26">
        <v>43693.665752314802</v>
      </c>
      <c r="J2828" s="23" t="str">
        <f>HYPERLINK("https://www.spark-marketing.ru/Card/Person/930843", "ООО ""МОС - ГРУПП""")</f>
        <v>ООО "МОС - ГРУПП"</v>
      </c>
      <c r="K2828" s="24" t="s">
        <v>4184</v>
      </c>
      <c r="L2828" s="28" t="s">
        <v>52</v>
      </c>
      <c r="M2828" s="25">
        <v>60000</v>
      </c>
      <c r="N2828" s="27">
        <v>0.11825222306984309</v>
      </c>
    </row>
    <row r="2829" spans="1:14" x14ac:dyDescent="0.15">
      <c r="A2829" s="23" t="str">
        <f>HYPERLINK("https://www.spark-marketing.ru/Card/Person/33979", "ГКУСО МО ""ВОСКРЕСЕНСКИЙ РЕАБИЛИТАЦИОННЫЙ ЦЕНТР ДЛЯ ДЕТЕЙ И ПОДРОСТКОВ С ОГРАНИЧЕННЫМИ ВОЗМОЖНОСТЯМИ ""ПРЕОДОЛЕНИЕ""")</f>
        <v>ГКУСО МО "ВОСКРЕСЕНСКИЙ РЕАБИЛИТАЦИОННЫЙ ЦЕНТР ДЛЯ ДЕТЕЙ И ПОДРОСТКОВ С ОГРАНИЧЕННЫМИ ВОЗМОЖНОСТЯМИ "ПРЕОДОЛЕНИЕ"</v>
      </c>
      <c r="B2829" s="24" t="s">
        <v>4185</v>
      </c>
      <c r="C2829" s="25">
        <v>10000</v>
      </c>
      <c r="D2829" s="22" t="s">
        <v>4186</v>
      </c>
      <c r="E2829" s="22" t="s">
        <v>107</v>
      </c>
      <c r="F2829" s="23" t="str">
        <f>HYPERLINK("https://www.spark-marketing.ru/Card/Lot/72846200", "Техническое обслуживание домофона")</f>
        <v>Техническое обслуживание домофона</v>
      </c>
      <c r="G2829" s="22" t="s">
        <v>50</v>
      </c>
      <c r="H2829" s="22" t="s">
        <v>2463</v>
      </c>
      <c r="I2829" s="26">
        <v>43693.659814814797</v>
      </c>
      <c r="J2829" s="28" t="s">
        <v>52</v>
      </c>
      <c r="K2829" s="28" t="s">
        <v>52</v>
      </c>
      <c r="L2829" s="28" t="s">
        <v>52</v>
      </c>
      <c r="M2829" s="28" t="s">
        <v>52</v>
      </c>
      <c r="N2829" s="28" t="s">
        <v>52</v>
      </c>
    </row>
    <row r="2830" spans="1:14" x14ac:dyDescent="0.15">
      <c r="A2830" s="23" t="str">
        <f>HYPERLINK("https://www.spark-marketing.ru/Card/Person/164930", "УПРАВЛЕНИЕ РОСПРИРОДНАДЗОРА ПО РЕСПУБЛИКЕ МАРИЙ ЭЛ")</f>
        <v>УПРАВЛЕНИЕ РОСПРИРОДНАДЗОРА ПО РЕСПУБЛИКЕ МАРИЙ ЭЛ</v>
      </c>
      <c r="B2830" s="24" t="s">
        <v>4187</v>
      </c>
      <c r="C2830" s="25">
        <v>2700</v>
      </c>
      <c r="D2830" s="22" t="s">
        <v>4188</v>
      </c>
      <c r="E2830" s="22" t="s">
        <v>53</v>
      </c>
      <c r="F2830" s="23" t="str">
        <f>HYPERLINK("https://www.spark-marketing.ru/Card/Lot/72842133", "Услуги по обслуживанию системы видеонаблюдения")</f>
        <v>Услуги по обслуживанию системы видеонаблюдения</v>
      </c>
      <c r="G2830" s="22" t="s">
        <v>2514</v>
      </c>
      <c r="H2830" s="22" t="s">
        <v>4189</v>
      </c>
      <c r="I2830" s="26">
        <v>43693.6202430556</v>
      </c>
      <c r="J2830" s="28" t="s">
        <v>52</v>
      </c>
      <c r="K2830" s="28" t="s">
        <v>52</v>
      </c>
      <c r="L2830" s="28" t="s">
        <v>52</v>
      </c>
      <c r="M2830" s="28" t="s">
        <v>52</v>
      </c>
      <c r="N2830" s="28" t="s">
        <v>52</v>
      </c>
    </row>
    <row r="2831" spans="1:14" x14ac:dyDescent="0.15">
      <c r="A2831" s="23" t="str">
        <f t="shared" ref="A2831:A2839" si="121">HYPERLINK("https://www.spark-marketing.ru/Card/Person/1060189", "ГБПОУ ТМК")</f>
        <v>ГБПОУ ТМК</v>
      </c>
      <c r="B2831" s="24" t="s">
        <v>4190</v>
      </c>
      <c r="C2831" s="25">
        <v>307549</v>
      </c>
      <c r="D2831" s="22" t="s">
        <v>4191</v>
      </c>
      <c r="E2831" s="22" t="s">
        <v>84</v>
      </c>
      <c r="F2831" s="23" t="str">
        <f>HYPERLINK("https://www.spark-marketing.ru/Card/Lot/72840813", "Установка видеонаблюдения в учебном корпусе № 1 ГБПОУ ""ТМК""")</f>
        <v>Установка видеонаблюдения в учебном корпусе № 1 ГБПОУ "ТМК"</v>
      </c>
      <c r="G2831" s="22" t="s">
        <v>60</v>
      </c>
      <c r="H2831" s="22" t="s">
        <v>4192</v>
      </c>
      <c r="I2831" s="26">
        <v>43693.534444444398</v>
      </c>
      <c r="J2831" s="28" t="s">
        <v>52</v>
      </c>
      <c r="K2831" s="28" t="s">
        <v>52</v>
      </c>
      <c r="L2831" s="28" t="s">
        <v>52</v>
      </c>
      <c r="M2831" s="28" t="s">
        <v>52</v>
      </c>
      <c r="N2831" s="28" t="s">
        <v>52</v>
      </c>
    </row>
    <row r="2832" spans="1:14" ht="12.75" hidden="1" outlineLevel="1" x14ac:dyDescent="0.2">
      <c r="A2832" s="23" t="str">
        <f t="shared" si="121"/>
        <v>ГБПОУ ТМК</v>
      </c>
      <c r="B2832" s="24" t="s">
        <v>4190</v>
      </c>
      <c r="C2832" s="25">
        <v>307549</v>
      </c>
      <c r="D2832" s="22" t="s">
        <v>4191</v>
      </c>
      <c r="E2832" s="22" t="s">
        <v>84</v>
      </c>
      <c r="F2832" s="23" t="str">
        <f>HYPERLINK("https://www.spark-marketing.ru/Card/Lot/72840813", "Установка видеонаблюдения в учебном корпусе № 1 ГБПОУ ""ТМК""")</f>
        <v>Установка видеонаблюдения в учебном корпусе № 1 ГБПОУ "ТМК"</v>
      </c>
      <c r="G2832" s="22" t="s">
        <v>60</v>
      </c>
      <c r="H2832" s="22" t="s">
        <v>4192</v>
      </c>
      <c r="I2832" s="26">
        <v>43693.534444444398</v>
      </c>
      <c r="J2832" s="23" t="str">
        <f>HYPERLINK("https://www.spark-marketing.ru/Card/Person/802084", "ООО ""ГЕФЕСТ""")</f>
        <v>ООО "ГЕФЕСТ"</v>
      </c>
      <c r="K2832" s="24" t="s">
        <v>3414</v>
      </c>
      <c r="L2832" s="22" t="s">
        <v>10</v>
      </c>
      <c r="M2832" s="25">
        <v>218359.5</v>
      </c>
      <c r="N2832" s="27">
        <v>0.29000094293917394</v>
      </c>
    </row>
    <row r="2833" spans="1:14" hidden="1" outlineLevel="1" x14ac:dyDescent="0.2">
      <c r="A2833" s="23" t="str">
        <f t="shared" si="121"/>
        <v>ГБПОУ ТМК</v>
      </c>
      <c r="B2833" s="24" t="s">
        <v>4190</v>
      </c>
      <c r="C2833" s="25">
        <v>307549</v>
      </c>
      <c r="D2833" s="22" t="s">
        <v>4191</v>
      </c>
      <c r="E2833" s="22" t="s">
        <v>84</v>
      </c>
      <c r="F2833" s="23" t="str">
        <f>HYPERLINK("https://www.spark-marketing.ru/Card/Lot/72840813", "Установка видеонаблюдения в учебном корпусе № 1 ГБПОУ ""ТМК""")</f>
        <v>Установка видеонаблюдения в учебном корпусе № 1 ГБПОУ "ТМК"</v>
      </c>
      <c r="G2833" s="22" t="s">
        <v>60</v>
      </c>
      <c r="H2833" s="22" t="s">
        <v>4192</v>
      </c>
      <c r="I2833" s="26">
        <v>43693.534444444398</v>
      </c>
      <c r="J2833" s="23" t="str">
        <f>HYPERLINK("https://www.spark-marketing.ru/Card/Person/6251153", "Тарасова Надежда Сергеевна")</f>
        <v>Тарасова Надежда Сергеевна</v>
      </c>
      <c r="K2833" s="24" t="s">
        <v>3146</v>
      </c>
      <c r="L2833" s="28" t="s">
        <v>52</v>
      </c>
      <c r="M2833" s="25">
        <v>298322.5</v>
      </c>
      <c r="N2833" s="27">
        <v>3.0000097545431786E-2</v>
      </c>
    </row>
    <row r="2834" spans="1:14" hidden="1" outlineLevel="1" x14ac:dyDescent="0.2">
      <c r="A2834" s="23" t="str">
        <f t="shared" si="121"/>
        <v>ГБПОУ ТМК</v>
      </c>
      <c r="B2834" s="24" t="s">
        <v>4190</v>
      </c>
      <c r="C2834" s="25">
        <v>307549</v>
      </c>
      <c r="D2834" s="22" t="s">
        <v>4191</v>
      </c>
      <c r="E2834" s="22" t="s">
        <v>84</v>
      </c>
      <c r="F2834" s="23" t="str">
        <f>HYPERLINK("https://www.spark-marketing.ru/Card/Lot/72840813", "Установка видеонаблюдения в учебном корпусе № 1 ГБПОУ ""ТМК""")</f>
        <v>Установка видеонаблюдения в учебном корпусе № 1 ГБПОУ "ТМК"</v>
      </c>
      <c r="G2834" s="22" t="s">
        <v>60</v>
      </c>
      <c r="H2834" s="22" t="s">
        <v>4192</v>
      </c>
      <c r="I2834" s="26">
        <v>43693.534444444398</v>
      </c>
      <c r="J2834" s="23" t="str">
        <f>HYPERLINK("https://www.spark-marketing.ru/Card/Person/986547", "Усачева Наталья Ивановна")</f>
        <v>Усачева Наталья Ивановна</v>
      </c>
      <c r="K2834" s="24" t="s">
        <v>4193</v>
      </c>
      <c r="L2834" s="28" t="s">
        <v>52</v>
      </c>
      <c r="M2834" s="25">
        <v>219897.25</v>
      </c>
      <c r="N2834" s="27">
        <v>0.28500092668160193</v>
      </c>
    </row>
    <row r="2835" spans="1:14" hidden="1" outlineLevel="1" x14ac:dyDescent="0.2">
      <c r="A2835" s="23" t="str">
        <f t="shared" si="121"/>
        <v>ГБПОУ ТМК</v>
      </c>
      <c r="B2835" s="24" t="s">
        <v>4190</v>
      </c>
      <c r="C2835" s="25">
        <v>307549</v>
      </c>
      <c r="D2835" s="22" t="s">
        <v>4191</v>
      </c>
      <c r="E2835" s="22" t="s">
        <v>84</v>
      </c>
      <c r="F2835" s="23" t="str">
        <f>HYPERLINK("https://www.spark-marketing.ru/Card/Lot/72840813", "Установка видеонаблюдения в учебном корпусе № 1 ГБПОУ ""ТМК""")</f>
        <v>Установка видеонаблюдения в учебном корпусе № 1 ГБПОУ "ТМК"</v>
      </c>
      <c r="G2835" s="22" t="s">
        <v>60</v>
      </c>
      <c r="H2835" s="22" t="s">
        <v>4192</v>
      </c>
      <c r="I2835" s="26">
        <v>43693.534444444398</v>
      </c>
      <c r="J2835" s="23" t="str">
        <f>HYPERLINK("https://www.spark-marketing.ru/Card/Person/5853123", "Ершов Андрей Алексеевич")</f>
        <v>Ершов Андрей Алексеевич</v>
      </c>
      <c r="K2835" s="24" t="s">
        <v>1063</v>
      </c>
      <c r="L2835" s="28" t="s">
        <v>52</v>
      </c>
      <c r="M2835" s="25">
        <v>301398</v>
      </c>
      <c r="N2835" s="27">
        <v>2.0000065030287856E-2</v>
      </c>
    </row>
    <row r="2836" spans="1:14" x14ac:dyDescent="0.15">
      <c r="A2836" s="23" t="str">
        <f t="shared" si="121"/>
        <v>ГБПОУ ТМК</v>
      </c>
      <c r="B2836" s="24" t="s">
        <v>4190</v>
      </c>
      <c r="C2836" s="25">
        <v>252450</v>
      </c>
      <c r="D2836" s="22" t="s">
        <v>4194</v>
      </c>
      <c r="E2836" s="22" t="s">
        <v>84</v>
      </c>
      <c r="F2836" s="23" t="str">
        <f>HYPERLINK("https://www.spark-marketing.ru/Card/Lot/72840305", "Установка видеонаблюдения в учебном корпусе № 2 ГБПОУ ""ТМК""")</f>
        <v>Установка видеонаблюдения в учебном корпусе № 2 ГБПОУ "ТМК"</v>
      </c>
      <c r="G2836" s="22" t="s">
        <v>60</v>
      </c>
      <c r="H2836" s="22" t="s">
        <v>4192</v>
      </c>
      <c r="I2836" s="26">
        <v>43693.542164351798</v>
      </c>
      <c r="J2836" s="28" t="s">
        <v>52</v>
      </c>
      <c r="K2836" s="28" t="s">
        <v>52</v>
      </c>
      <c r="L2836" s="28" t="s">
        <v>52</v>
      </c>
      <c r="M2836" s="28" t="s">
        <v>52</v>
      </c>
      <c r="N2836" s="28" t="s">
        <v>52</v>
      </c>
    </row>
    <row r="2837" spans="1:14" hidden="1" outlineLevel="1" x14ac:dyDescent="0.2">
      <c r="A2837" s="23" t="str">
        <f t="shared" si="121"/>
        <v>ГБПОУ ТМК</v>
      </c>
      <c r="B2837" s="24" t="s">
        <v>4190</v>
      </c>
      <c r="C2837" s="25">
        <v>252450</v>
      </c>
      <c r="D2837" s="22" t="s">
        <v>4194</v>
      </c>
      <c r="E2837" s="22" t="s">
        <v>84</v>
      </c>
      <c r="F2837" s="23" t="str">
        <f>HYPERLINK("https://www.spark-marketing.ru/Card/Lot/72840305", "Установка видеонаблюдения в учебном корпусе № 2 ГБПОУ ""ТМК""")</f>
        <v>Установка видеонаблюдения в учебном корпусе № 2 ГБПОУ "ТМК"</v>
      </c>
      <c r="G2837" s="22" t="s">
        <v>60</v>
      </c>
      <c r="H2837" s="22" t="s">
        <v>4192</v>
      </c>
      <c r="I2837" s="26">
        <v>43693.542164351798</v>
      </c>
      <c r="J2837" s="23" t="str">
        <f>HYPERLINK("https://www.spark-marketing.ru/Card/Person/6251153", "Тарасова Надежда Сергеевна")</f>
        <v>Тарасова Надежда Сергеевна</v>
      </c>
      <c r="K2837" s="24" t="s">
        <v>3146</v>
      </c>
      <c r="L2837" s="28" t="s">
        <v>52</v>
      </c>
      <c r="M2837" s="25">
        <v>251187.75</v>
      </c>
      <c r="N2837" s="27">
        <v>5.0000000000000001E-3</v>
      </c>
    </row>
    <row r="2838" spans="1:14" hidden="1" outlineLevel="1" x14ac:dyDescent="0.2">
      <c r="A2838" s="23" t="str">
        <f t="shared" si="121"/>
        <v>ГБПОУ ТМК</v>
      </c>
      <c r="B2838" s="24" t="s">
        <v>4190</v>
      </c>
      <c r="C2838" s="25">
        <v>252450</v>
      </c>
      <c r="D2838" s="22" t="s">
        <v>4194</v>
      </c>
      <c r="E2838" s="22" t="s">
        <v>84</v>
      </c>
      <c r="F2838" s="23" t="str">
        <f>HYPERLINK("https://www.spark-marketing.ru/Card/Lot/72840305", "Установка видеонаблюдения в учебном корпусе № 2 ГБПОУ ""ТМК""")</f>
        <v>Установка видеонаблюдения в учебном корпусе № 2 ГБПОУ "ТМК"</v>
      </c>
      <c r="G2838" s="22" t="s">
        <v>60</v>
      </c>
      <c r="H2838" s="22" t="s">
        <v>4192</v>
      </c>
      <c r="I2838" s="26">
        <v>43693.542164351798</v>
      </c>
      <c r="J2838" s="23" t="str">
        <f>HYPERLINK("https://www.spark-marketing.ru/Card/Person/5853123", "Ершов Андрей Алексеевич")</f>
        <v>Ершов Андрей Алексеевич</v>
      </c>
      <c r="K2838" s="24" t="s">
        <v>1063</v>
      </c>
      <c r="L2838" s="28" t="s">
        <v>52</v>
      </c>
      <c r="M2838" s="25">
        <v>249925.5</v>
      </c>
      <c r="N2838" s="27">
        <v>0.01</v>
      </c>
    </row>
    <row r="2839" spans="1:14" ht="12.75" hidden="1" outlineLevel="1" x14ac:dyDescent="0.2">
      <c r="A2839" s="23" t="str">
        <f t="shared" si="121"/>
        <v>ГБПОУ ТМК</v>
      </c>
      <c r="B2839" s="24" t="s">
        <v>4190</v>
      </c>
      <c r="C2839" s="25">
        <v>252450</v>
      </c>
      <c r="D2839" s="22" t="s">
        <v>4194</v>
      </c>
      <c r="E2839" s="22" t="s">
        <v>84</v>
      </c>
      <c r="F2839" s="23" t="str">
        <f>HYPERLINK("https://www.spark-marketing.ru/Card/Lot/72840305", "Установка видеонаблюдения в учебном корпусе № 2 ГБПОУ ""ТМК""")</f>
        <v>Установка видеонаблюдения в учебном корпусе № 2 ГБПОУ "ТМК"</v>
      </c>
      <c r="G2839" s="22" t="s">
        <v>60</v>
      </c>
      <c r="H2839" s="22" t="s">
        <v>4192</v>
      </c>
      <c r="I2839" s="26">
        <v>43693.542164351798</v>
      </c>
      <c r="J2839" s="23" t="str">
        <f>HYPERLINK("https://www.spark-marketing.ru/Card/Person/802084", "ООО ""ГЕФЕСТ""")</f>
        <v>ООО "ГЕФЕСТ"</v>
      </c>
      <c r="K2839" s="24" t="s">
        <v>3414</v>
      </c>
      <c r="L2839" s="22" t="s">
        <v>10</v>
      </c>
      <c r="M2839" s="25">
        <v>248663.25</v>
      </c>
      <c r="N2839" s="27">
        <v>1.4999999999999999E-2</v>
      </c>
    </row>
    <row r="2840" spans="1:14" x14ac:dyDescent="0.15">
      <c r="A2840" s="23" t="str">
        <f>HYPERLINK("https://www.spark-marketing.ru/Card/Person/6395", "ГУЗ СО ""БАЛАШОВСКАЯ РБ""")</f>
        <v>ГУЗ СО "БАЛАШОВСКАЯ РБ"</v>
      </c>
      <c r="B2840" s="24" t="s">
        <v>4195</v>
      </c>
      <c r="C2840" s="25">
        <v>202400</v>
      </c>
      <c r="D2840" s="22" t="s">
        <v>4196</v>
      </c>
      <c r="E2840" s="22" t="s">
        <v>68</v>
      </c>
      <c r="F2840" s="23" t="str">
        <f>HYPERLINK("https://www.spark-marketing.ru/Card/Lot/72841978", "Оказание услуг по круглосуточной охране объектов и имущества, а также обеспечения внутриобъектового и пропускного режимов на объектах и территории антитерро- ристической защищенности ГУЗ СО ""Балашовская районная больница""")</f>
        <v>Оказание услуг по круглосуточной охране объектов и имущества, а также обеспечения внутриобъектового и пропускного режимов на объектах и территории антитерро- ристической защищенности ГУЗ СО "Балашовская районная больница"</v>
      </c>
      <c r="G2840" s="22" t="s">
        <v>80</v>
      </c>
      <c r="H2840" s="22" t="s">
        <v>4197</v>
      </c>
      <c r="I2840" s="26">
        <v>43693.6032291667</v>
      </c>
      <c r="J2840" s="28" t="s">
        <v>52</v>
      </c>
      <c r="K2840" s="28" t="s">
        <v>52</v>
      </c>
      <c r="L2840" s="28" t="s">
        <v>52</v>
      </c>
      <c r="M2840" s="28" t="s">
        <v>52</v>
      </c>
      <c r="N2840" s="28" t="s">
        <v>52</v>
      </c>
    </row>
    <row r="2841" spans="1:14" ht="12.75" hidden="1" outlineLevel="1" x14ac:dyDescent="0.2">
      <c r="A2841" s="23" t="str">
        <f>HYPERLINK("https://www.spark-marketing.ru/Card/Person/6395", "ГУЗ СО ""БАЛАШОВСКАЯ РБ""")</f>
        <v>ГУЗ СО "БАЛАШОВСКАЯ РБ"</v>
      </c>
      <c r="B2841" s="24" t="s">
        <v>4195</v>
      </c>
      <c r="C2841" s="25">
        <v>202400</v>
      </c>
      <c r="D2841" s="22" t="s">
        <v>4196</v>
      </c>
      <c r="E2841" s="22" t="s">
        <v>68</v>
      </c>
      <c r="F2841" s="23" t="str">
        <f>HYPERLINK("https://www.spark-marketing.ru/Card/Lot/72841978", "Оказание услуг по круглосуточной охране объектов и имущества, а также обеспечения внутриобъектового и пропускного режимов на объектах и территории антитерро- ристической защищенности ГУЗ СО ""Балашовская районная больница""")</f>
        <v>Оказание услуг по круглосуточной охране объектов и имущества, а также обеспечения внутриобъектового и пропускного режимов на объектах и территории антитерро- ристической защищенности ГУЗ СО "Балашовская районная больница"</v>
      </c>
      <c r="G2841" s="22" t="s">
        <v>80</v>
      </c>
      <c r="H2841" s="22" t="s">
        <v>4197</v>
      </c>
      <c r="I2841" s="26">
        <v>43693.6032291667</v>
      </c>
      <c r="J2841" s="23" t="str">
        <f>HYPERLINK("https://www.spark-marketing.ru/Card/Person/93503", "ООО ЧОО ""ОРИОН-К""")</f>
        <v>ООО ЧОО "ОРИОН-К"</v>
      </c>
      <c r="K2841" s="24" t="s">
        <v>4198</v>
      </c>
      <c r="L2841" s="22" t="s">
        <v>10</v>
      </c>
      <c r="M2841" s="25">
        <v>195000</v>
      </c>
      <c r="N2841" s="27">
        <v>3.6561264822134384E-2</v>
      </c>
    </row>
    <row r="2842" spans="1:14" hidden="1" outlineLevel="1" x14ac:dyDescent="0.2">
      <c r="A2842" s="23" t="str">
        <f>HYPERLINK("https://www.spark-marketing.ru/Card/Person/6395", "ГУЗ СО ""БАЛАШОВСКАЯ РБ""")</f>
        <v>ГУЗ СО "БАЛАШОВСКАЯ РБ"</v>
      </c>
      <c r="B2842" s="24" t="s">
        <v>4195</v>
      </c>
      <c r="C2842" s="25">
        <v>202400</v>
      </c>
      <c r="D2842" s="22" t="s">
        <v>4196</v>
      </c>
      <c r="E2842" s="22" t="s">
        <v>68</v>
      </c>
      <c r="F2842" s="23" t="str">
        <f>HYPERLINK("https://www.spark-marketing.ru/Card/Lot/72841978", "Оказание услуг по круглосуточной охране объектов и имущества, а также обеспечения внутриобъектового и пропускного режимов на объектах и территории антитерро- ристической защищенности ГУЗ СО ""Балашовская районная больница""")</f>
        <v>Оказание услуг по круглосуточной охране объектов и имущества, а также обеспечения внутриобъектового и пропускного режимов на объектах и территории антитерро- ристической защищенности ГУЗ СО "Балашовская районная больница"</v>
      </c>
      <c r="G2842" s="22" t="s">
        <v>80</v>
      </c>
      <c r="H2842" s="22" t="s">
        <v>4197</v>
      </c>
      <c r="I2842" s="26">
        <v>43693.6032291667</v>
      </c>
      <c r="J2842" s="23" t="str">
        <f>HYPERLINK("https://www.spark-marketing.ru/Card/Person/556159", "ООО ЧОО ""СОБОС - БАЛАШОВ""")</f>
        <v>ООО ЧОО "СОБОС - БАЛАШОВ"</v>
      </c>
      <c r="K2842" s="24" t="s">
        <v>4199</v>
      </c>
      <c r="L2842" s="28" t="s">
        <v>52</v>
      </c>
      <c r="M2842" s="25">
        <v>196512</v>
      </c>
      <c r="N2842" s="27">
        <v>2.9090909090909091E-2</v>
      </c>
    </row>
    <row r="2843" spans="1:14" x14ac:dyDescent="0.15">
      <c r="A2843" s="23" t="str">
        <f>HYPERLINK("https://www.spark-marketing.ru/Card/Person/145292", "МО МВД РОССИИ ""УДОМЕЛЬСКИЙ""")</f>
        <v>МО МВД РОССИИ "УДОМЕЛЬСКИЙ"</v>
      </c>
      <c r="B2843" s="24" t="s">
        <v>4200</v>
      </c>
      <c r="C2843" s="25">
        <v>39600</v>
      </c>
      <c r="D2843" s="22" t="s">
        <v>4201</v>
      </c>
      <c r="E2843" s="22" t="s">
        <v>84</v>
      </c>
      <c r="F2843" s="23" t="str">
        <f>HYPERLINK("https://www.spark-marketing.ru/Card/Lot/72839933", "Техническое обслуживание систем видеонаблюдения, 1 шт")</f>
        <v>Техническое обслуживание систем видеонаблюдения, 1 шт</v>
      </c>
      <c r="G2843" s="22" t="s">
        <v>251</v>
      </c>
      <c r="H2843" s="22" t="s">
        <v>4202</v>
      </c>
      <c r="I2843" s="26">
        <v>43693.575613425899</v>
      </c>
      <c r="J2843" s="28" t="s">
        <v>52</v>
      </c>
      <c r="K2843" s="28" t="s">
        <v>52</v>
      </c>
      <c r="L2843" s="28" t="s">
        <v>52</v>
      </c>
      <c r="M2843" s="28" t="s">
        <v>52</v>
      </c>
      <c r="N2843" s="28" t="s">
        <v>52</v>
      </c>
    </row>
    <row r="2844" spans="1:14" x14ac:dyDescent="0.15">
      <c r="A2844" s="23" t="str">
        <f>HYPERLINK("https://www.spark-marketing.ru/Card/Person/145292", "МО МВД РОССИИ ""УДОМЕЛЬСКИЙ""")</f>
        <v>МО МВД РОССИИ "УДОМЕЛЬСКИЙ"</v>
      </c>
      <c r="B2844" s="24" t="s">
        <v>4200</v>
      </c>
      <c r="C2844" s="25">
        <v>39600</v>
      </c>
      <c r="D2844" s="22" t="s">
        <v>4203</v>
      </c>
      <c r="E2844" s="22" t="s">
        <v>84</v>
      </c>
      <c r="F2844" s="23" t="str">
        <f>HYPERLINK("https://www.spark-marketing.ru/Card/Lot/72840735", "Техническое обслуживание систем видеонаблюдения, 1 шт")</f>
        <v>Техническое обслуживание систем видеонаблюдения, 1 шт</v>
      </c>
      <c r="G2844" s="22" t="s">
        <v>251</v>
      </c>
      <c r="H2844" s="22" t="s">
        <v>4202</v>
      </c>
      <c r="I2844" s="26">
        <v>43693.579050925902</v>
      </c>
      <c r="J2844" s="28" t="s">
        <v>52</v>
      </c>
      <c r="K2844" s="28" t="s">
        <v>52</v>
      </c>
      <c r="L2844" s="28" t="s">
        <v>52</v>
      </c>
      <c r="M2844" s="28" t="s">
        <v>52</v>
      </c>
      <c r="N2844" s="28" t="s">
        <v>52</v>
      </c>
    </row>
    <row r="2845" spans="1:14" x14ac:dyDescent="0.15">
      <c r="A2845" s="23" t="str">
        <f>HYPERLINK("https://www.spark-marketing.ru/Card/Person/50352", "ДРОВНИНСКАЯ СРЕДНЯЯ ШКОЛА")</f>
        <v>ДРОВНИНСКАЯ СРЕДНЯЯ ШКОЛА</v>
      </c>
      <c r="B2845" s="24" t="s">
        <v>4204</v>
      </c>
      <c r="C2845" s="25">
        <v>20000</v>
      </c>
      <c r="D2845" s="22" t="s">
        <v>4205</v>
      </c>
      <c r="E2845" s="22" t="s">
        <v>103</v>
      </c>
      <c r="F2845" s="23" t="str">
        <f>HYPERLINK("https://www.spark-marketing.ru/Card/Lot/72837360", "Оказание услуг по техническому обслуживанию системы видеонаблюдения")</f>
        <v>Оказание услуг по техническому обслуживанию системы видеонаблюдения</v>
      </c>
      <c r="G2845" s="22" t="s">
        <v>50</v>
      </c>
      <c r="H2845" s="22" t="s">
        <v>946</v>
      </c>
      <c r="I2845" s="26">
        <v>43693.5136921296</v>
      </c>
      <c r="J2845" s="28" t="s">
        <v>52</v>
      </c>
      <c r="K2845" s="28" t="s">
        <v>52</v>
      </c>
      <c r="L2845" s="28" t="s">
        <v>52</v>
      </c>
      <c r="M2845" s="28" t="s">
        <v>52</v>
      </c>
      <c r="N2845" s="28" t="s">
        <v>52</v>
      </c>
    </row>
    <row r="2846" spans="1:14" x14ac:dyDescent="0.15">
      <c r="A2846" s="23" t="str">
        <f>HYPERLINK("https://www.spark-marketing.ru/Card/Person/6591", "МКУ УБ Г. АРТЕМА")</f>
        <v>МКУ УБ Г. АРТЕМА</v>
      </c>
      <c r="B2846" s="24" t="s">
        <v>3322</v>
      </c>
      <c r="C2846" s="25">
        <v>1115259</v>
      </c>
      <c r="D2846" s="22" t="s">
        <v>4206</v>
      </c>
      <c r="E2846" s="22" t="s">
        <v>59</v>
      </c>
      <c r="F2846" s="23" t="str">
        <f>HYPERLINK("https://www.spark-marketing.ru/Card/Lot/72827622", "Выполнение работ по установке светофорных объектов")</f>
        <v>Выполнение работ по установке светофорных объектов</v>
      </c>
      <c r="G2846" s="22" t="s">
        <v>409</v>
      </c>
      <c r="H2846" s="22" t="s">
        <v>3324</v>
      </c>
      <c r="I2846" s="26">
        <v>43693.5175578704</v>
      </c>
      <c r="J2846" s="23" t="str">
        <f>HYPERLINK("https://www.spark-marketing.ru/Card/Person/6236818", "Александрова Олеся Владимировна")</f>
        <v>Александрова Олеся Владимировна</v>
      </c>
      <c r="K2846" s="24" t="s">
        <v>3325</v>
      </c>
      <c r="L2846" s="28" t="s">
        <v>52</v>
      </c>
      <c r="M2846" s="28" t="s">
        <v>52</v>
      </c>
      <c r="N2846" s="28" t="s">
        <v>52</v>
      </c>
    </row>
    <row r="2847" spans="1:14" x14ac:dyDescent="0.15">
      <c r="A2847" s="23" t="str">
        <f>HYPERLINK("https://www.spark-marketing.ru/Card/Person/8126", "ТФОМС ИРКУТСКОЙ ОБЛАСТИ")</f>
        <v>ТФОМС ИРКУТСКОЙ ОБЛАСТИ</v>
      </c>
      <c r="B2847" s="24" t="s">
        <v>2807</v>
      </c>
      <c r="C2847" s="25">
        <v>71621</v>
      </c>
      <c r="D2847" s="22" t="s">
        <v>4207</v>
      </c>
      <c r="E2847" s="22" t="s">
        <v>52</v>
      </c>
      <c r="F2847" s="23" t="str">
        <f>HYPERLINK("https://www.spark-marketing.ru/Card/Lot/72828409", "Услуги охраны с помощью сигнализации офиса Тулунского филиала с 01.10.2019 г. по 31.08.2020 г.")</f>
        <v>Услуги охраны с помощью сигнализации офиса Тулунского филиала с 01.10.2019 г. по 31.08.2020 г.</v>
      </c>
      <c r="G2847" s="22" t="s">
        <v>281</v>
      </c>
      <c r="H2847" s="22" t="s">
        <v>281</v>
      </c>
      <c r="I2847" s="26">
        <v>43693.491400462997</v>
      </c>
      <c r="J2847" s="28" t="s">
        <v>52</v>
      </c>
      <c r="K2847" s="28" t="s">
        <v>52</v>
      </c>
      <c r="L2847" s="28" t="s">
        <v>52</v>
      </c>
      <c r="M2847" s="28" t="s">
        <v>52</v>
      </c>
      <c r="N2847" s="28" t="s">
        <v>52</v>
      </c>
    </row>
    <row r="2848" spans="1:14" hidden="1" outlineLevel="1" x14ac:dyDescent="0.2">
      <c r="A2848" s="23" t="str">
        <f>HYPERLINK("https://www.spark-marketing.ru/Card/Person/8126", "ТФОМС ИРКУТСКОЙ ОБЛАСТИ")</f>
        <v>ТФОМС ИРКУТСКОЙ ОБЛАСТИ</v>
      </c>
      <c r="B2848" s="24" t="s">
        <v>2807</v>
      </c>
      <c r="C2848" s="25">
        <v>71621</v>
      </c>
      <c r="D2848" s="22" t="s">
        <v>4207</v>
      </c>
      <c r="E2848" s="22" t="s">
        <v>52</v>
      </c>
      <c r="F2848" s="23" t="str">
        <f>HYPERLINK("https://www.spark-marketing.ru/Card/Lot/72828409", "Услуги охраны с помощью сигнализации офиса Тулунского филиала с 01.10.2019 г. по 31.08.2020 г.")</f>
        <v>Услуги охраны с помощью сигнализации офиса Тулунского филиала с 01.10.2019 г. по 31.08.2020 г.</v>
      </c>
      <c r="G2848" s="22" t="s">
        <v>281</v>
      </c>
      <c r="H2848" s="22" t="s">
        <v>281</v>
      </c>
      <c r="I2848" s="26">
        <v>43693.491400462997</v>
      </c>
      <c r="J2848" s="23" t="str">
        <f>HYPERLINK("https://www.spark-marketing.ru/Card/Person/270948", "ФЛ ФГУП ""ОХРАНА"" РОСГВАРДИИ ПО ИРКУТСКОЙ ОБЛАСТИ")</f>
        <v>ФЛ ФГУП "ОХРАНА" РОСГВАРДИИ ПО ИРКУТСКОЙ ОБЛАСТИ</v>
      </c>
      <c r="K2848" s="24" t="s">
        <v>779</v>
      </c>
      <c r="L2848" s="28" t="s">
        <v>52</v>
      </c>
      <c r="M2848" s="25">
        <v>36526.22</v>
      </c>
      <c r="N2848" s="27">
        <v>0.49000684156881363</v>
      </c>
    </row>
    <row r="2849" spans="1:14" ht="12.75" hidden="1" outlineLevel="1" x14ac:dyDescent="0.2">
      <c r="A2849" s="23" t="str">
        <f>HYPERLINK("https://www.spark-marketing.ru/Card/Person/8126", "ТФОМС ИРКУТСКОЙ ОБЛАСТИ")</f>
        <v>ТФОМС ИРКУТСКОЙ ОБЛАСТИ</v>
      </c>
      <c r="B2849" s="24" t="s">
        <v>2807</v>
      </c>
      <c r="C2849" s="25">
        <v>71621</v>
      </c>
      <c r="D2849" s="22" t="s">
        <v>4207</v>
      </c>
      <c r="E2849" s="22" t="s">
        <v>52</v>
      </c>
      <c r="F2849" s="23" t="str">
        <f>HYPERLINK("https://www.spark-marketing.ru/Card/Lot/72828409", "Услуги охраны с помощью сигнализации офиса Тулунского филиала с 01.10.2019 г. по 31.08.2020 г.")</f>
        <v>Услуги охраны с помощью сигнализации офиса Тулунского филиала с 01.10.2019 г. по 31.08.2020 г.</v>
      </c>
      <c r="G2849" s="22" t="s">
        <v>281</v>
      </c>
      <c r="H2849" s="22" t="s">
        <v>281</v>
      </c>
      <c r="I2849" s="26">
        <v>43693.491400462997</v>
      </c>
      <c r="J2849" s="23" t="str">
        <f>HYPERLINK("https://www.spark-marketing.ru/Card/Person/354774", "ООО ""ЧОП ""АНГАРА""")</f>
        <v>ООО "ЧОП "АНГАРА"</v>
      </c>
      <c r="K2849" s="24" t="s">
        <v>4208</v>
      </c>
      <c r="L2849" s="22" t="s">
        <v>10</v>
      </c>
      <c r="M2849" s="25">
        <v>36168.11</v>
      </c>
      <c r="N2849" s="27">
        <v>0.49500691138074027</v>
      </c>
    </row>
    <row r="2850" spans="1:14" x14ac:dyDescent="0.15">
      <c r="A2850" s="23" t="str">
        <f>HYPERLINK("https://www.spark-marketing.ru/Card/Person/19743", "АО ХК ""ТАТНЕФТЕПРОДУКТ""")</f>
        <v>АО ХК "ТАТНЕФТЕПРОДУКТ"</v>
      </c>
      <c r="B2850" s="24" t="s">
        <v>4209</v>
      </c>
      <c r="C2850" s="25">
        <v>26400</v>
      </c>
      <c r="D2850" s="22" t="s">
        <v>4210</v>
      </c>
      <c r="E2850" s="22" t="s">
        <v>53</v>
      </c>
      <c r="F2850" s="23" t="str">
        <f>HYPERLINK("https://www.spark-marketing.ru/Card/Lot/72861957", "Техническое обслуживание системы видеонаблюдения нефтебазы на сентябрь, октябрь, ноябрь, декабрь 2019 и январь, февраль, март, апрель, май, июнь, июль, август 2020 года")</f>
        <v>Техническое обслуживание системы видеонаблюдения нефтебазы на сентябрь, октябрь, ноябрь, декабрь 2019 и январь, февраль, март, апрель, май, июнь, июль, август 2020 года</v>
      </c>
      <c r="G2850" s="22" t="s">
        <v>204</v>
      </c>
      <c r="H2850" s="22" t="s">
        <v>303</v>
      </c>
      <c r="I2850" s="26">
        <v>43693.533287036997</v>
      </c>
      <c r="J2850" s="28" t="s">
        <v>52</v>
      </c>
      <c r="K2850" s="28" t="s">
        <v>52</v>
      </c>
      <c r="L2850" s="28" t="s">
        <v>52</v>
      </c>
      <c r="M2850" s="28" t="s">
        <v>52</v>
      </c>
      <c r="N2850" s="28" t="s">
        <v>52</v>
      </c>
    </row>
    <row r="2851" spans="1:14" x14ac:dyDescent="0.15">
      <c r="A2851" s="23" t="str">
        <f>HYPERLINK("https://www.spark-marketing.ru/Card/Person/4348528", "АО ИК ""АСЭ""")</f>
        <v>АО ИК "АСЭ"</v>
      </c>
      <c r="B2851" s="24" t="s">
        <v>62</v>
      </c>
      <c r="C2851" s="25">
        <v>0</v>
      </c>
      <c r="D2851" s="22" t="s">
        <v>4211</v>
      </c>
      <c r="E2851" s="22" t="s">
        <v>53</v>
      </c>
      <c r="F2851" s="23" t="str">
        <f>HYPERLINK("https://www.spark-marketing.ru/Card/Lot/72843490", "мониторинг цен в электронной форме на оказание услуг по охране объектов АО ИК «АСЭ»")</f>
        <v>мониторинг цен в электронной форме на оказание услуг по охране объектов АО ИК «АСЭ»</v>
      </c>
      <c r="G2851" s="22" t="s">
        <v>64</v>
      </c>
      <c r="H2851" s="22" t="s">
        <v>65</v>
      </c>
      <c r="I2851" s="26">
        <v>43693.500798611101</v>
      </c>
      <c r="J2851" s="28" t="s">
        <v>52</v>
      </c>
      <c r="K2851" s="28" t="s">
        <v>52</v>
      </c>
      <c r="L2851" s="28" t="s">
        <v>52</v>
      </c>
      <c r="M2851" s="28" t="s">
        <v>52</v>
      </c>
      <c r="N2851" s="28" t="s">
        <v>52</v>
      </c>
    </row>
    <row r="2852" spans="1:14" x14ac:dyDescent="0.15">
      <c r="A2852" s="23" t="str">
        <f>HYPERLINK("https://www.spark-marketing.ru/Card/Person/42363", "МЕЖРАЙОННАЯ ИФНС РОССИИ № 11 ПО СТАВРОПОЛЬСКОМУ КРАЮ")</f>
        <v>МЕЖРАЙОННАЯ ИФНС РОССИИ № 11 ПО СТАВРОПОЛЬСКОМУ КРАЮ</v>
      </c>
      <c r="B2852" s="24" t="s">
        <v>4212</v>
      </c>
      <c r="C2852" s="25">
        <v>346822</v>
      </c>
      <c r="D2852" s="22" t="s">
        <v>4213</v>
      </c>
      <c r="E2852" s="22" t="s">
        <v>59</v>
      </c>
      <c r="F2852" s="23" t="str">
        <f>HYPERLINK("https://www.spark-marketing.ru/Card/Lot/72837474", "Выполнение работ по установке систем видеонаблюдения и СКУД")</f>
        <v>Выполнение работ по установке систем видеонаблюдения и СКУД</v>
      </c>
      <c r="G2852" s="22" t="s">
        <v>258</v>
      </c>
      <c r="H2852" s="22" t="s">
        <v>258</v>
      </c>
      <c r="I2852" s="26">
        <v>43693.373368055603</v>
      </c>
      <c r="J2852" s="28" t="s">
        <v>52</v>
      </c>
      <c r="K2852" s="28" t="s">
        <v>52</v>
      </c>
      <c r="L2852" s="28" t="s">
        <v>52</v>
      </c>
      <c r="M2852" s="28" t="s">
        <v>52</v>
      </c>
      <c r="N2852" s="28" t="s">
        <v>52</v>
      </c>
    </row>
    <row r="2853" spans="1:14" hidden="1" outlineLevel="1" x14ac:dyDescent="0.2">
      <c r="A2853" s="23" t="str">
        <f>HYPERLINK("https://www.spark-marketing.ru/Card/Person/42363", "МЕЖРАЙОННАЯ ИФНС РОССИИ № 11 ПО СТАВРОПОЛЬСКОМУ КРАЮ")</f>
        <v>МЕЖРАЙОННАЯ ИФНС РОССИИ № 11 ПО СТАВРОПОЛЬСКОМУ КРАЮ</v>
      </c>
      <c r="B2853" s="24" t="s">
        <v>4212</v>
      </c>
      <c r="C2853" s="25">
        <v>346822</v>
      </c>
      <c r="D2853" s="22" t="s">
        <v>4213</v>
      </c>
      <c r="E2853" s="22" t="s">
        <v>59</v>
      </c>
      <c r="F2853" s="23" t="str">
        <f>HYPERLINK("https://www.spark-marketing.ru/Card/Lot/72837474", "Выполнение работ по установке систем видеонаблюдения и СКУД")</f>
        <v>Выполнение работ по установке систем видеонаблюдения и СКУД</v>
      </c>
      <c r="G2853" s="22" t="s">
        <v>258</v>
      </c>
      <c r="H2853" s="22" t="s">
        <v>258</v>
      </c>
      <c r="I2853" s="26">
        <v>43693.373368055603</v>
      </c>
      <c r="J2853" s="23" t="str">
        <f>HYPERLINK("https://www.spark-marketing.ru/Card/Person/4393479", "Соколов Александр Игоревич")</f>
        <v>Соколов Александр Игоревич</v>
      </c>
      <c r="K2853" s="24" t="s">
        <v>2734</v>
      </c>
      <c r="L2853" s="28" t="s">
        <v>52</v>
      </c>
      <c r="M2853" s="25">
        <v>266329.45</v>
      </c>
      <c r="N2853" s="27">
        <v>0.23208605567120885</v>
      </c>
    </row>
    <row r="2854" spans="1:14" ht="12.75" hidden="1" outlineLevel="1" x14ac:dyDescent="0.2">
      <c r="A2854" s="23" t="str">
        <f>HYPERLINK("https://www.spark-marketing.ru/Card/Person/42363", "МЕЖРАЙОННАЯ ИФНС РОССИИ № 11 ПО СТАВРОПОЛЬСКОМУ КРАЮ")</f>
        <v>МЕЖРАЙОННАЯ ИФНС РОССИИ № 11 ПО СТАВРОПОЛЬСКОМУ КРАЮ</v>
      </c>
      <c r="B2854" s="24" t="s">
        <v>4212</v>
      </c>
      <c r="C2854" s="25">
        <v>346822</v>
      </c>
      <c r="D2854" s="22" t="s">
        <v>4213</v>
      </c>
      <c r="E2854" s="22" t="s">
        <v>59</v>
      </c>
      <c r="F2854" s="23" t="str">
        <f>HYPERLINK("https://www.spark-marketing.ru/Card/Lot/72837474", "Выполнение работ по установке систем видеонаблюдения и СКУД")</f>
        <v>Выполнение работ по установке систем видеонаблюдения и СКУД</v>
      </c>
      <c r="G2854" s="22" t="s">
        <v>258</v>
      </c>
      <c r="H2854" s="22" t="s">
        <v>258</v>
      </c>
      <c r="I2854" s="26">
        <v>43693.373368055603</v>
      </c>
      <c r="J2854" s="23" t="str">
        <f>HYPERLINK("https://www.spark-marketing.ru/Card/Person/195991", "ООО ""ТЕХЭКСПЕРТ""")</f>
        <v>ООО "ТЕХЭКСПЕРТ"</v>
      </c>
      <c r="K2854" s="24" t="s">
        <v>4214</v>
      </c>
      <c r="L2854" s="22" t="s">
        <v>10</v>
      </c>
      <c r="M2854" s="25">
        <v>266329.45</v>
      </c>
      <c r="N2854" s="27">
        <v>0.23208605567120885</v>
      </c>
    </row>
    <row r="2855" spans="1:14" hidden="1" outlineLevel="1" x14ac:dyDescent="0.2">
      <c r="A2855" s="23" t="str">
        <f>HYPERLINK("https://www.spark-marketing.ru/Card/Person/42363", "МЕЖРАЙОННАЯ ИФНС РОССИИ № 11 ПО СТАВРОПОЛЬСКОМУ КРАЮ")</f>
        <v>МЕЖРАЙОННАЯ ИФНС РОССИИ № 11 ПО СТАВРОПОЛЬСКОМУ КРАЮ</v>
      </c>
      <c r="B2855" s="24" t="s">
        <v>4212</v>
      </c>
      <c r="C2855" s="25">
        <v>346822</v>
      </c>
      <c r="D2855" s="22" t="s">
        <v>4213</v>
      </c>
      <c r="E2855" s="22" t="s">
        <v>59</v>
      </c>
      <c r="F2855" s="23" t="str">
        <f>HYPERLINK("https://www.spark-marketing.ru/Card/Lot/72837474", "Выполнение работ по установке систем видеонаблюдения и СКУД")</f>
        <v>Выполнение работ по установке систем видеонаблюдения и СКУД</v>
      </c>
      <c r="G2855" s="22" t="s">
        <v>258</v>
      </c>
      <c r="H2855" s="22" t="s">
        <v>258</v>
      </c>
      <c r="I2855" s="26">
        <v>43693.373368055603</v>
      </c>
      <c r="J2855" s="23" t="str">
        <f>HYPERLINK("https://www.spark-marketing.ru/Card/Person/470476", "Пятенко Андрей Анатольевич")</f>
        <v>Пятенко Андрей Анатольевич</v>
      </c>
      <c r="K2855" s="24" t="s">
        <v>2735</v>
      </c>
      <c r="L2855" s="28" t="s">
        <v>52</v>
      </c>
      <c r="M2855" s="25">
        <v>339885.56</v>
      </c>
      <c r="N2855" s="27">
        <v>0.02</v>
      </c>
    </row>
    <row r="2856" spans="1:14" hidden="1" outlineLevel="1" x14ac:dyDescent="0.2">
      <c r="A2856" s="23" t="str">
        <f>HYPERLINK("https://www.spark-marketing.ru/Card/Person/42363", "МЕЖРАЙОННАЯ ИФНС РОССИИ № 11 ПО СТАВРОПОЛЬСКОМУ КРАЮ")</f>
        <v>МЕЖРАЙОННАЯ ИФНС РОССИИ № 11 ПО СТАВРОПОЛЬСКОМУ КРАЮ</v>
      </c>
      <c r="B2856" s="24" t="s">
        <v>4212</v>
      </c>
      <c r="C2856" s="25">
        <v>346822</v>
      </c>
      <c r="D2856" s="22" t="s">
        <v>4213</v>
      </c>
      <c r="E2856" s="22" t="s">
        <v>59</v>
      </c>
      <c r="F2856" s="23" t="str">
        <f>HYPERLINK("https://www.spark-marketing.ru/Card/Lot/72837474", "Выполнение работ по установке систем видеонаблюдения и СКУД")</f>
        <v>Выполнение работ по установке систем видеонаблюдения и СКУД</v>
      </c>
      <c r="G2856" s="22" t="s">
        <v>258</v>
      </c>
      <c r="H2856" s="22" t="s">
        <v>258</v>
      </c>
      <c r="I2856" s="26">
        <v>43693.373368055603</v>
      </c>
      <c r="J2856" s="23" t="str">
        <f>HYPERLINK("https://www.spark-marketing.ru/Card/Person/6633169", "Андриянов Антон Владимирович")</f>
        <v>Андриянов Антон Владимирович</v>
      </c>
      <c r="K2856" s="24" t="s">
        <v>1987</v>
      </c>
      <c r="L2856" s="28" t="s">
        <v>52</v>
      </c>
      <c r="M2856" s="25">
        <v>268063.56</v>
      </c>
      <c r="N2856" s="27">
        <v>0.22708605567120888</v>
      </c>
    </row>
    <row r="2857" spans="1:14" x14ac:dyDescent="0.15">
      <c r="A2857" s="23" t="str">
        <f>HYPERLINK("https://www.spark-marketing.ru/Card/Person/15218", "ГБУЗ ""ДГП № 28 ДЗМ""")</f>
        <v>ГБУЗ "ДГП № 28 ДЗМ"</v>
      </c>
      <c r="B2857" s="24" t="s">
        <v>4215</v>
      </c>
      <c r="C2857" s="25">
        <v>328545.24</v>
      </c>
      <c r="D2857" s="22" t="s">
        <v>4216</v>
      </c>
      <c r="E2857" s="22" t="s">
        <v>107</v>
      </c>
      <c r="F2857" s="23" t="str">
        <f>HYPERLINK("https://www.spark-marketing.ru/Card/Lot/72840454", "Оказание услуг по мониторингу и техническому обслуживанию системы охранной и тревожной сигнализации (СТС) на объектах ГБУЗ ""ДГП №28 ДЗМ"" в 2019-2020г.г.")</f>
        <v>Оказание услуг по мониторингу и техническому обслуживанию системы охранной и тревожной сигнализации (СТС) на объектах ГБУЗ "ДГП №28 ДЗМ" в 2019-2020г.г.</v>
      </c>
      <c r="G2857" s="22" t="s">
        <v>55</v>
      </c>
      <c r="H2857" s="22" t="s">
        <v>55</v>
      </c>
      <c r="I2857" s="26">
        <v>43693.495729166701</v>
      </c>
      <c r="J2857" s="23" t="str">
        <f>HYPERLINK("https://www.spark-marketing.ru/Card/Person/925596", "ООО ""СПЕЦМОНТАЖ-А""")</f>
        <v>ООО "СПЕЦМОНТАЖ-А"</v>
      </c>
      <c r="K2857" s="24" t="s">
        <v>4217</v>
      </c>
      <c r="L2857" s="28" t="s">
        <v>52</v>
      </c>
      <c r="M2857" s="28" t="s">
        <v>52</v>
      </c>
      <c r="N2857" s="28" t="s">
        <v>52</v>
      </c>
    </row>
    <row r="2858" spans="1:14" hidden="1" outlineLevel="1" x14ac:dyDescent="0.15">
      <c r="A2858" s="23" t="str">
        <f>HYPERLINK("https://www.spark-marketing.ru/Card/Person/15218", "ГБУЗ ""ДГП № 28 ДЗМ""")</f>
        <v>ГБУЗ "ДГП № 28 ДЗМ"</v>
      </c>
      <c r="B2858" s="24" t="s">
        <v>4215</v>
      </c>
      <c r="C2858" s="25">
        <v>328545.24</v>
      </c>
      <c r="D2858" s="22" t="s">
        <v>4216</v>
      </c>
      <c r="E2858" s="22" t="s">
        <v>107</v>
      </c>
      <c r="F2858" s="23" t="str">
        <f>HYPERLINK("https://www.spark-marketing.ru/Card/Lot/72840454", "Оказание услуг по мониторингу и техническому обслуживанию системы охранной и тревожной сигнализации (СТС) на объектах ГБУЗ ""ДГП №28 ДЗМ"" в 2019-2020г.г.")</f>
        <v>Оказание услуг по мониторингу и техническому обслуживанию системы охранной и тревожной сигнализации (СТС) на объектах ГБУЗ "ДГП №28 ДЗМ" в 2019-2020г.г.</v>
      </c>
      <c r="G2858" s="22" t="s">
        <v>55</v>
      </c>
      <c r="H2858" s="22" t="s">
        <v>55</v>
      </c>
      <c r="I2858" s="26">
        <v>43693.495729166701</v>
      </c>
      <c r="J2858" s="23" t="str">
        <f>HYPERLINK("https://www.spark-marketing.ru/Card/Person/925596", "ООО ""СПЕЦМОНТАЖ-А""")</f>
        <v>ООО "СПЕЦМОНТАЖ-А"</v>
      </c>
      <c r="K2858" s="24" t="s">
        <v>4217</v>
      </c>
      <c r="L2858" s="22" t="s">
        <v>10</v>
      </c>
      <c r="M2858" s="28" t="s">
        <v>52</v>
      </c>
      <c r="N2858" s="28" t="s">
        <v>52</v>
      </c>
    </row>
    <row r="2859" spans="1:14" x14ac:dyDescent="0.15">
      <c r="A2859" s="23" t="str">
        <f>HYPERLINK("https://www.spark-marketing.ru/Card/Person/812677", "ФКУ СИЗО-1 УФСИН РОССИИ ПО УДМУРТСКОЙ РЕСПУБЛИКЕ")</f>
        <v>ФКУ СИЗО-1 УФСИН РОССИИ ПО УДМУРТСКОЙ РЕСПУБЛИКЕ</v>
      </c>
      <c r="B2859" s="24" t="s">
        <v>4218</v>
      </c>
      <c r="C2859" s="25">
        <v>5000</v>
      </c>
      <c r="D2859" s="22" t="s">
        <v>4219</v>
      </c>
      <c r="E2859" s="22" t="s">
        <v>4220</v>
      </c>
      <c r="F2859" s="23" t="str">
        <f>HYPERLINK("https://www.spark-marketing.ru/Card/Lot/72831956", "поставка строительных материалов для проведения технического обслуживания технических средств охраны и надзора")</f>
        <v>поставка строительных материалов для проведения технического обслуживания технических средств охраны и надзора</v>
      </c>
      <c r="G2859" s="22" t="s">
        <v>96</v>
      </c>
      <c r="H2859" s="22" t="s">
        <v>1342</v>
      </c>
      <c r="I2859" s="26">
        <v>43693.452557870398</v>
      </c>
      <c r="J2859" s="28" t="s">
        <v>52</v>
      </c>
      <c r="K2859" s="28" t="s">
        <v>52</v>
      </c>
      <c r="L2859" s="28" t="s">
        <v>52</v>
      </c>
      <c r="M2859" s="28" t="s">
        <v>52</v>
      </c>
      <c r="N2859" s="28" t="s">
        <v>52</v>
      </c>
    </row>
    <row r="2860" spans="1:14" x14ac:dyDescent="0.15">
      <c r="A2860" s="23" t="str">
        <f>HYPERLINK("https://www.spark-marketing.ru/Card/Person/4365627", "ООО ""РН-БУРЕНИЕ""")</f>
        <v>ООО "РН-БУРЕНИЕ"</v>
      </c>
      <c r="B2860" s="24" t="s">
        <v>4221</v>
      </c>
      <c r="C2860" s="28" t="s">
        <v>52</v>
      </c>
      <c r="D2860" s="22" t="s">
        <v>4222</v>
      </c>
      <c r="E2860" s="22" t="s">
        <v>4223</v>
      </c>
      <c r="F2860" s="23" t="str">
        <f>HYPERLINK("https://www.spark-marketing.ru/Card/Lot/72832575", "Оказание услуг по интеграции и техническому сопровождению производственных объектов Радонежского месторождения с корпоративной информационно-справочной сетью для нужд Ханты-Мансийского филиала ООО ""РН-Бурение""")</f>
        <v>Оказание услуг по интеграции и техническому сопровождению производственных объектов Радонежского месторождения с корпоративной информационно-справочной сетью для нужд Ханты-Мансийского филиала ООО "РН-Бурение"</v>
      </c>
      <c r="G2860" s="22" t="s">
        <v>55</v>
      </c>
      <c r="H2860" s="22" t="s">
        <v>55</v>
      </c>
      <c r="I2860" s="26">
        <v>43693.423611111102</v>
      </c>
      <c r="J2860" s="28" t="s">
        <v>52</v>
      </c>
      <c r="K2860" s="28" t="s">
        <v>52</v>
      </c>
      <c r="L2860" s="28" t="s">
        <v>52</v>
      </c>
      <c r="M2860" s="28" t="s">
        <v>52</v>
      </c>
      <c r="N2860" s="28" t="s">
        <v>52</v>
      </c>
    </row>
    <row r="2861" spans="1:14" x14ac:dyDescent="0.15">
      <c r="A2861" s="23" t="str">
        <f>HYPERLINK("https://www.spark-marketing.ru/Card/Person/4365627", "ООО ""РН-БУРЕНИЕ""")</f>
        <v>ООО "РН-БУРЕНИЕ"</v>
      </c>
      <c r="B2861" s="24" t="s">
        <v>4221</v>
      </c>
      <c r="C2861" s="28" t="s">
        <v>52</v>
      </c>
      <c r="D2861" s="22" t="s">
        <v>4224</v>
      </c>
      <c r="E2861" s="22" t="s">
        <v>4223</v>
      </c>
      <c r="F2861" s="23" t="str">
        <f>HYPERLINK("https://www.spark-marketing.ru/Card/Lot/72832658", "Оказание услуг по интеграции и техническому сопровождению производственных объектов Южно-Петьегского месторождения с корпоративной информационно-справочной сетью для нужд Ханты-Мансийского филиала ООО ""РН-Бурение""")</f>
        <v>Оказание услуг по интеграции и техническому сопровождению производственных объектов Южно-Петьегского месторождения с корпоративной информационно-справочной сетью для нужд Ханты-Мансийского филиала ООО "РН-Бурение"</v>
      </c>
      <c r="G2861" s="22" t="s">
        <v>55</v>
      </c>
      <c r="H2861" s="22" t="s">
        <v>55</v>
      </c>
      <c r="I2861" s="26">
        <v>43693.417361111096</v>
      </c>
      <c r="J2861" s="28" t="s">
        <v>52</v>
      </c>
      <c r="K2861" s="28" t="s">
        <v>52</v>
      </c>
      <c r="L2861" s="28" t="s">
        <v>52</v>
      </c>
      <c r="M2861" s="28" t="s">
        <v>52</v>
      </c>
      <c r="N2861" s="28" t="s">
        <v>52</v>
      </c>
    </row>
    <row r="2862" spans="1:14" x14ac:dyDescent="0.15">
      <c r="A2862" s="23" t="str">
        <f>HYPERLINK("https://www.spark-marketing.ru/Card/Person/1073114", "МКУК ""МЕЖПОСЕЛЕНЧЕСКАЯ БИБЛИОТЕКА""")</f>
        <v>МКУК "МЕЖПОСЕЛЕНЧЕСКАЯ БИБЛИОТЕКА"</v>
      </c>
      <c r="B2862" s="24" t="s">
        <v>4225</v>
      </c>
      <c r="C2862" s="25">
        <v>69443</v>
      </c>
      <c r="D2862" s="22" t="s">
        <v>4226</v>
      </c>
      <c r="E2862" s="22" t="s">
        <v>84</v>
      </c>
      <c r="F2862" s="23" t="str">
        <f>HYPERLINK("https://www.spark-marketing.ru/Card/Lot/72831793", "Установка системы видеонаблюдения в МКУК Мартыновского района «Межпоселенческая центральная библиотека» по адресу: Ростовская область, Мартыновский район, х.Ильинов, ул.Школьная,15,8/1")</f>
        <v>Установка системы видеонаблюдения в МКУК Мартыновского района «Межпоселенческая центральная библиотека» по адресу: Ростовская область, Мартыновский район, х.Ильинов, ул.Школьная,15,8/1</v>
      </c>
      <c r="G2862" s="22" t="s">
        <v>402</v>
      </c>
      <c r="H2862" s="22" t="s">
        <v>4227</v>
      </c>
      <c r="I2862" s="26">
        <v>43693.456250000003</v>
      </c>
      <c r="J2862" s="28" t="s">
        <v>52</v>
      </c>
      <c r="K2862" s="28" t="s">
        <v>52</v>
      </c>
      <c r="L2862" s="28" t="s">
        <v>52</v>
      </c>
      <c r="M2862" s="28" t="s">
        <v>52</v>
      </c>
      <c r="N2862" s="28" t="s">
        <v>52</v>
      </c>
    </row>
    <row r="2863" spans="1:14" x14ac:dyDescent="0.15">
      <c r="A2863" s="23" t="str">
        <f>HYPERLINK("https://www.spark-marketing.ru/Card/Person/4379766", "МА ВМО НАХИМОВСКОГО МО")</f>
        <v>МА ВМО НАХИМОВСКОГО МО</v>
      </c>
      <c r="B2863" s="24" t="s">
        <v>4228</v>
      </c>
      <c r="C2863" s="25">
        <v>136500</v>
      </c>
      <c r="D2863" s="22" t="s">
        <v>4229</v>
      </c>
      <c r="E2863" s="22" t="s">
        <v>68</v>
      </c>
      <c r="F2863" s="23" t="str">
        <f>HYPERLINK("https://www.spark-marketing.ru/Card/Lot/72833264", "Мероприятия по профилактике терроризма и экстремизма, а также минимизации и ликвидации последствий проявления терроризма и экстремизма на территории внутригородского муниципального образования города Севастополя Нахимовского муниципального округа (Му...")</f>
        <v>Мероприятия по профилактике терроризма и экстремизма, а также минимизации и ликвидации последствий проявления терроризма и экстремизма на территории внутригородского муниципального образования города Севастополя Нахимовского муниципального округа (Му...</v>
      </c>
      <c r="G2863" s="22" t="s">
        <v>714</v>
      </c>
      <c r="H2863" s="22" t="s">
        <v>714</v>
      </c>
      <c r="I2863" s="26">
        <v>43693.411076388897</v>
      </c>
      <c r="J2863" s="28" t="s">
        <v>52</v>
      </c>
      <c r="K2863" s="28" t="s">
        <v>52</v>
      </c>
      <c r="L2863" s="28" t="s">
        <v>52</v>
      </c>
      <c r="M2863" s="28" t="s">
        <v>52</v>
      </c>
      <c r="N2863" s="28" t="s">
        <v>52</v>
      </c>
    </row>
    <row r="2864" spans="1:14" ht="12.75" hidden="1" outlineLevel="1" x14ac:dyDescent="0.2">
      <c r="A2864" s="23" t="str">
        <f>HYPERLINK("https://www.spark-marketing.ru/Card/Person/4379766", "МА ВМО НАХИМОВСКОГО МО")</f>
        <v>МА ВМО НАХИМОВСКОГО МО</v>
      </c>
      <c r="B2864" s="24" t="s">
        <v>4228</v>
      </c>
      <c r="C2864" s="25">
        <v>136500</v>
      </c>
      <c r="D2864" s="22" t="s">
        <v>4229</v>
      </c>
      <c r="E2864" s="22" t="s">
        <v>68</v>
      </c>
      <c r="F2864" s="23" t="str">
        <f>HYPERLINK("https://www.spark-marketing.ru/Card/Lot/72833264", "Мероприятия по профилактике терроризма и экстремизма, а также минимизации и ликвидации последствий проявления терроризма и экстремизма на территории внутригородского муниципального образования города Севастополя Нахимовского муниципального округа (Му...")</f>
        <v>Мероприятия по профилактике терроризма и экстремизма, а также минимизации и ликвидации последствий проявления терроризма и экстремизма на территории внутригородского муниципального образования города Севастополя Нахимовского муниципального округа (Му...</v>
      </c>
      <c r="G2864" s="22" t="s">
        <v>714</v>
      </c>
      <c r="H2864" s="22" t="s">
        <v>714</v>
      </c>
      <c r="I2864" s="26">
        <v>43693.411076388897</v>
      </c>
      <c r="J2864" s="23" t="str">
        <f>HYPERLINK("https://www.spark-marketing.ru/Card/Person/118320", "Говорова Оксана Ивановна")</f>
        <v>Говорова Оксана Ивановна</v>
      </c>
      <c r="K2864" s="24" t="s">
        <v>4230</v>
      </c>
      <c r="L2864" s="22" t="s">
        <v>10</v>
      </c>
      <c r="M2864" s="25">
        <v>89407.5</v>
      </c>
      <c r="N2864" s="27">
        <v>0.34499999999999997</v>
      </c>
    </row>
    <row r="2865" spans="1:14" hidden="1" outlineLevel="1" x14ac:dyDescent="0.2">
      <c r="A2865" s="23" t="str">
        <f>HYPERLINK("https://www.spark-marketing.ru/Card/Person/4379766", "МА ВМО НАХИМОВСКОГО МО")</f>
        <v>МА ВМО НАХИМОВСКОГО МО</v>
      </c>
      <c r="B2865" s="24" t="s">
        <v>4228</v>
      </c>
      <c r="C2865" s="25">
        <v>136500</v>
      </c>
      <c r="D2865" s="22" t="s">
        <v>4229</v>
      </c>
      <c r="E2865" s="22" t="s">
        <v>68</v>
      </c>
      <c r="F2865" s="23" t="str">
        <f>HYPERLINK("https://www.spark-marketing.ru/Card/Lot/72833264", "Мероприятия по профилактике терроризма и экстремизма, а также минимизации и ликвидации последствий проявления терроризма и экстремизма на территории внутригородского муниципального образования города Севастополя Нахимовского муниципального округа (Му...")</f>
        <v>Мероприятия по профилактике терроризма и экстремизма, а также минимизации и ликвидации последствий проявления терроризма и экстремизма на территории внутригородского муниципального образования города Севастополя Нахимовского муниципального округа (Му...</v>
      </c>
      <c r="G2865" s="22" t="s">
        <v>714</v>
      </c>
      <c r="H2865" s="22" t="s">
        <v>714</v>
      </c>
      <c r="I2865" s="26">
        <v>43693.411076388897</v>
      </c>
      <c r="J2865" s="23" t="str">
        <f>HYPERLINK("https://www.spark-marketing.ru/Card/Person/6578077", "ООО ""МАЕР""")</f>
        <v>ООО "МАЕР"</v>
      </c>
      <c r="K2865" s="24" t="s">
        <v>4231</v>
      </c>
      <c r="L2865" s="28" t="s">
        <v>52</v>
      </c>
      <c r="M2865" s="25">
        <v>90090</v>
      </c>
      <c r="N2865" s="27">
        <v>0.34</v>
      </c>
    </row>
    <row r="2866" spans="1:14" hidden="1" outlineLevel="1" x14ac:dyDescent="0.2">
      <c r="A2866" s="23" t="str">
        <f>HYPERLINK("https://www.spark-marketing.ru/Card/Person/4379766", "МА ВМО НАХИМОВСКОГО МО")</f>
        <v>МА ВМО НАХИМОВСКОГО МО</v>
      </c>
      <c r="B2866" s="24" t="s">
        <v>4228</v>
      </c>
      <c r="C2866" s="25">
        <v>136500</v>
      </c>
      <c r="D2866" s="22" t="s">
        <v>4229</v>
      </c>
      <c r="E2866" s="22" t="s">
        <v>68</v>
      </c>
      <c r="F2866" s="23" t="str">
        <f>HYPERLINK("https://www.spark-marketing.ru/Card/Lot/72833264", "Мероприятия по профилактике терроризма и экстремизма, а также минимизации и ликвидации последствий проявления терроризма и экстремизма на территории внутригородского муниципального образования города Севастополя Нахимовского муниципального округа (Му...")</f>
        <v>Мероприятия по профилактике терроризма и экстремизма, а также минимизации и ликвидации последствий проявления терроризма и экстремизма на территории внутригородского муниципального образования города Севастополя Нахимовского муниципального округа (Му...</v>
      </c>
      <c r="G2866" s="22" t="s">
        <v>714</v>
      </c>
      <c r="H2866" s="22" t="s">
        <v>714</v>
      </c>
      <c r="I2866" s="26">
        <v>43693.411076388897</v>
      </c>
      <c r="J2866" s="23" t="str">
        <f>HYPERLINK("https://www.spark-marketing.ru/Card/Person/6690017", "Храмченко Любовь Ивановна")</f>
        <v>Храмченко Любовь Ивановна</v>
      </c>
      <c r="K2866" s="24" t="s">
        <v>4232</v>
      </c>
      <c r="L2866" s="28" t="s">
        <v>52</v>
      </c>
      <c r="M2866" s="25">
        <v>118072.5</v>
      </c>
      <c r="N2866" s="27">
        <v>0.13500000000000001</v>
      </c>
    </row>
    <row r="2867" spans="1:14" x14ac:dyDescent="0.15">
      <c r="A2867" s="23" t="str">
        <f>HYPERLINK("https://www.spark-marketing.ru/Card/Person/5968", "ФКУ УПРДОР ""ПРИКАМЬЕ""")</f>
        <v>ФКУ УПРДОР "ПРИКАМЬЕ"</v>
      </c>
      <c r="B2867" s="24" t="s">
        <v>4233</v>
      </c>
      <c r="C2867" s="25">
        <v>36000000</v>
      </c>
      <c r="D2867" s="22" t="s">
        <v>4234</v>
      </c>
      <c r="E2867" s="22" t="s">
        <v>723</v>
      </c>
      <c r="F2867" s="23" t="str">
        <f>HYPERLINK("https://www.spark-marketing.ru/Card/Lot/72829019", "Выполнение работ по установке элементов обустройства автомобильных дорог общего пользования федерального значения: Установка систем видеоконтроля (камер фото и видеофиксации нарушений правил дорожного движения) в Удмуртской Республике")</f>
        <v>Выполнение работ по установке элементов обустройства автомобильных дорог общего пользования федерального значения: Установка систем видеоконтроля (камер фото и видеофиксации нарушений правил дорожного движения) в Удмуртской Республике</v>
      </c>
      <c r="G2867" s="22" t="s">
        <v>96</v>
      </c>
      <c r="H2867" s="22" t="s">
        <v>96</v>
      </c>
      <c r="I2867" s="26">
        <v>43692.724837962996</v>
      </c>
      <c r="J2867" s="28" t="s">
        <v>52</v>
      </c>
      <c r="K2867" s="28" t="s">
        <v>52</v>
      </c>
      <c r="L2867" s="28" t="s">
        <v>52</v>
      </c>
      <c r="M2867" s="28" t="s">
        <v>52</v>
      </c>
      <c r="N2867" s="28" t="s">
        <v>52</v>
      </c>
    </row>
    <row r="2868" spans="1:14" hidden="1" outlineLevel="1" x14ac:dyDescent="0.2">
      <c r="A2868" s="23" t="str">
        <f>HYPERLINK("https://www.spark-marketing.ru/Card/Person/5968", "ФКУ УПРДОР ""ПРИКАМЬЕ""")</f>
        <v>ФКУ УПРДОР "ПРИКАМЬЕ"</v>
      </c>
      <c r="B2868" s="24" t="s">
        <v>4233</v>
      </c>
      <c r="C2868" s="25">
        <v>36000000</v>
      </c>
      <c r="D2868" s="22" t="s">
        <v>4234</v>
      </c>
      <c r="E2868" s="22" t="s">
        <v>723</v>
      </c>
      <c r="F2868" s="23" t="str">
        <f>HYPERLINK("https://www.spark-marketing.ru/Card/Lot/72829019", "Выполнение работ по установке элементов обустройства автомобильных дорог общего пользования федерального значения: Установка систем видеоконтроля (камер фото и видеофиксации нарушений правил дорожного движения) в Удмуртской Республике")</f>
        <v>Выполнение работ по установке элементов обустройства автомобильных дорог общего пользования федерального значения: Установка систем видеоконтроля (камер фото и видеофиксации нарушений правил дорожного движения) в Удмуртской Республике</v>
      </c>
      <c r="G2868" s="22" t="s">
        <v>96</v>
      </c>
      <c r="H2868" s="22" t="s">
        <v>96</v>
      </c>
      <c r="I2868" s="26">
        <v>43692.724837962996</v>
      </c>
      <c r="J2868" s="23" t="str">
        <f>HYPERLINK("https://www.spark-marketing.ru/Card/Person/6246478", "ООО ""ВЛАДИМИР Ъ """)</f>
        <v>ООО "ВЛАДИМИР Ъ "</v>
      </c>
      <c r="K2868" s="24" t="s">
        <v>4235</v>
      </c>
      <c r="L2868" s="28" t="s">
        <v>52</v>
      </c>
      <c r="M2868" s="25">
        <v>35999999.990000002</v>
      </c>
      <c r="N2868" s="27">
        <v>2.7777777777777777E-10</v>
      </c>
    </row>
    <row r="2869" spans="1:14" ht="12.75" hidden="1" outlineLevel="1" x14ac:dyDescent="0.2">
      <c r="A2869" s="23" t="str">
        <f>HYPERLINK("https://www.spark-marketing.ru/Card/Person/5968", "ФКУ УПРДОР ""ПРИКАМЬЕ""")</f>
        <v>ФКУ УПРДОР "ПРИКАМЬЕ"</v>
      </c>
      <c r="B2869" s="24" t="s">
        <v>4233</v>
      </c>
      <c r="C2869" s="25">
        <v>36000000</v>
      </c>
      <c r="D2869" s="22" t="s">
        <v>4234</v>
      </c>
      <c r="E2869" s="22" t="s">
        <v>723</v>
      </c>
      <c r="F2869" s="23" t="str">
        <f>HYPERLINK("https://www.spark-marketing.ru/Card/Lot/72829019", "Выполнение работ по установке элементов обустройства автомобильных дорог общего пользования федерального значения: Установка систем видеоконтроля (камер фото и видеофиксации нарушений правил дорожного движения) в Удмуртской Республике")</f>
        <v>Выполнение работ по установке элементов обустройства автомобильных дорог общего пользования федерального значения: Установка систем видеоконтроля (камер фото и видеофиксации нарушений правил дорожного движения) в Удмуртской Республике</v>
      </c>
      <c r="G2869" s="22" t="s">
        <v>96</v>
      </c>
      <c r="H2869" s="22" t="s">
        <v>96</v>
      </c>
      <c r="I2869" s="26">
        <v>43692.724837962996</v>
      </c>
      <c r="J2869" s="23" t="str">
        <f>HYPERLINK("https://www.spark-marketing.ru/Card/Person/2038832", "ООО ""АГАРУМ""")</f>
        <v>ООО "АГАРУМ"</v>
      </c>
      <c r="K2869" s="24" t="s">
        <v>4236</v>
      </c>
      <c r="L2869" s="22" t="s">
        <v>10</v>
      </c>
      <c r="M2869" s="25">
        <v>35820000</v>
      </c>
      <c r="N2869" s="27">
        <v>5.0000000000000001E-3</v>
      </c>
    </row>
    <row r="2870" spans="1:14" x14ac:dyDescent="0.15">
      <c r="A2870" s="23" t="str">
        <f>HYPERLINK("https://www.spark-marketing.ru/Card/Person/253387", "ООО ""РН-УЧЕТ""")</f>
        <v>ООО "РН-УЧЕТ"</v>
      </c>
      <c r="B2870" s="24" t="s">
        <v>3806</v>
      </c>
      <c r="C2870" s="28" t="s">
        <v>52</v>
      </c>
      <c r="D2870" s="22" t="s">
        <v>4237</v>
      </c>
      <c r="E2870" s="22" t="s">
        <v>4238</v>
      </c>
      <c r="F2870" s="23" t="str">
        <f>HYPERLINK("https://www.spark-marketing.ru/Card/Lot/72830815", "Поставка, установка и настройка системы видеонаблюдения в здании филиала ООО ""РН-Учет"" в г. Красноярске")</f>
        <v>Поставка, установка и настройка системы видеонаблюдения в здании филиала ООО "РН-Учет" в г. Красноярске</v>
      </c>
      <c r="G2870" s="22" t="s">
        <v>55</v>
      </c>
      <c r="H2870" s="22" t="s">
        <v>55</v>
      </c>
      <c r="I2870" s="26">
        <v>43693.378472222197</v>
      </c>
      <c r="J2870" s="28" t="s">
        <v>52</v>
      </c>
      <c r="K2870" s="28" t="s">
        <v>52</v>
      </c>
      <c r="L2870" s="28" t="s">
        <v>52</v>
      </c>
      <c r="M2870" s="28" t="s">
        <v>52</v>
      </c>
      <c r="N2870" s="28" t="s">
        <v>52</v>
      </c>
    </row>
    <row r="2871" spans="1:14" x14ac:dyDescent="0.15">
      <c r="A2871" s="23" t="str">
        <f>HYPERLINK("https://www.spark-marketing.ru/Card/Person/118646", "АДМИНИСТРАЦИЯ КРАСНОХОЛМСКОГО РАЙОНА")</f>
        <v>АДМИНИСТРАЦИЯ КРАСНОХОЛМСКОГО РАЙОНА</v>
      </c>
      <c r="B2871" s="24" t="s">
        <v>4239</v>
      </c>
      <c r="C2871" s="25">
        <v>100484</v>
      </c>
      <c r="D2871" s="22" t="s">
        <v>4240</v>
      </c>
      <c r="E2871" s="22" t="s">
        <v>84</v>
      </c>
      <c r="F2871" s="23" t="str">
        <f>HYPERLINK("https://www.spark-marketing.ru/Card/Lot/72833160", "Установка видеокамеры в г.Красный Холм на перекрестке ул.Мясникова и 3-й пер. ул.Льва Толстого в целях дооснащения существующей системы видеонаблюдения ""Безопасный город""")</f>
        <v>Установка видеокамеры в г.Красный Холм на перекрестке ул.Мясникова и 3-й пер. ул.Льва Толстого в целях дооснащения существующей системы видеонаблюдения "Безопасный город"</v>
      </c>
      <c r="G2871" s="22" t="s">
        <v>251</v>
      </c>
      <c r="H2871" s="22" t="s">
        <v>251</v>
      </c>
      <c r="I2871" s="26">
        <v>43693.3833564815</v>
      </c>
      <c r="J2871" s="23" t="str">
        <f>HYPERLINK("https://www.spark-marketing.ru/Card/Person/332643", "ООО ТЕХНИЧЕСКИЙ ЦЕНТР ""УНИВЕРСАЛ""")</f>
        <v>ООО ТЕХНИЧЕСКИЙ ЦЕНТР "УНИВЕРСАЛ"</v>
      </c>
      <c r="K2871" s="24" t="s">
        <v>4241</v>
      </c>
      <c r="L2871" s="22" t="s">
        <v>10</v>
      </c>
      <c r="M2871" s="28" t="s">
        <v>52</v>
      </c>
      <c r="N2871" s="28" t="s">
        <v>52</v>
      </c>
    </row>
    <row r="2872" spans="1:14" x14ac:dyDescent="0.15">
      <c r="A2872" s="23" t="str">
        <f>HYPERLINK("https://www.spark-marketing.ru/Card/Person/5968", "ФКУ УПРДОР ""ПРИКАМЬЕ""")</f>
        <v>ФКУ УПРДОР "ПРИКАМЬЕ"</v>
      </c>
      <c r="B2872" s="24" t="s">
        <v>4233</v>
      </c>
      <c r="C2872" s="25">
        <v>18000000</v>
      </c>
      <c r="D2872" s="22" t="s">
        <v>4242</v>
      </c>
      <c r="E2872" s="22" t="s">
        <v>723</v>
      </c>
      <c r="F2872" s="23" t="str">
        <f>HYPERLINK("https://www.spark-marketing.ru/Card/Lot/72829032", "Выполнение работ по установке элементов обустройства автомобильных дорог общего пользования федерального значения: Установка систем видеоконтроля (камер фото и видеофиксации нарушений правил дорожного движения) в Пермском крае.")</f>
        <v>Выполнение работ по установке элементов обустройства автомобильных дорог общего пользования федерального значения: Установка систем видеоконтроля (камер фото и видеофиксации нарушений правил дорожного движения) в Пермском крае.</v>
      </c>
      <c r="G2872" s="22" t="s">
        <v>391</v>
      </c>
      <c r="H2872" s="22" t="s">
        <v>391</v>
      </c>
      <c r="I2872" s="26">
        <v>43692.6852083333</v>
      </c>
      <c r="J2872" s="28" t="s">
        <v>52</v>
      </c>
      <c r="K2872" s="28" t="s">
        <v>52</v>
      </c>
      <c r="L2872" s="28" t="s">
        <v>52</v>
      </c>
      <c r="M2872" s="28" t="s">
        <v>52</v>
      </c>
      <c r="N2872" s="28" t="s">
        <v>52</v>
      </c>
    </row>
    <row r="2873" spans="1:14" hidden="1" outlineLevel="1" x14ac:dyDescent="0.2">
      <c r="A2873" s="23" t="str">
        <f>HYPERLINK("https://www.spark-marketing.ru/Card/Person/5968", "ФКУ УПРДОР ""ПРИКАМЬЕ""")</f>
        <v>ФКУ УПРДОР "ПРИКАМЬЕ"</v>
      </c>
      <c r="B2873" s="24" t="s">
        <v>4233</v>
      </c>
      <c r="C2873" s="25">
        <v>18000000</v>
      </c>
      <c r="D2873" s="22" t="s">
        <v>4242</v>
      </c>
      <c r="E2873" s="22" t="s">
        <v>723</v>
      </c>
      <c r="F2873" s="23" t="str">
        <f>HYPERLINK("https://www.spark-marketing.ru/Card/Lot/72829032", "Выполнение работ по установке элементов обустройства автомобильных дорог общего пользования федерального значения: Установка систем видеоконтроля (камер фото и видеофиксации нарушений правил дорожного движения) в Пермском крае.")</f>
        <v>Выполнение работ по установке элементов обустройства автомобильных дорог общего пользования федерального значения: Установка систем видеоконтроля (камер фото и видеофиксации нарушений правил дорожного движения) в Пермском крае.</v>
      </c>
      <c r="G2873" s="22" t="s">
        <v>391</v>
      </c>
      <c r="H2873" s="22" t="s">
        <v>391</v>
      </c>
      <c r="I2873" s="26">
        <v>43692.6852083333</v>
      </c>
      <c r="J2873" s="23" t="str">
        <f>HYPERLINK("https://www.spark-marketing.ru/Card/Person/6246478", "ООО ""ВЛАДИМИР Ъ """)</f>
        <v>ООО "ВЛАДИМИР Ъ "</v>
      </c>
      <c r="K2873" s="24" t="s">
        <v>4235</v>
      </c>
      <c r="L2873" s="28" t="s">
        <v>52</v>
      </c>
      <c r="M2873" s="25">
        <v>17910000</v>
      </c>
      <c r="N2873" s="27">
        <v>5.0000000000000001E-3</v>
      </c>
    </row>
    <row r="2874" spans="1:14" ht="12.75" hidden="1" outlineLevel="1" x14ac:dyDescent="0.2">
      <c r="A2874" s="23" t="str">
        <f>HYPERLINK("https://www.spark-marketing.ru/Card/Person/5968", "ФКУ УПРДОР ""ПРИКАМЬЕ""")</f>
        <v>ФКУ УПРДОР "ПРИКАМЬЕ"</v>
      </c>
      <c r="B2874" s="24" t="s">
        <v>4233</v>
      </c>
      <c r="C2874" s="25">
        <v>18000000</v>
      </c>
      <c r="D2874" s="22" t="s">
        <v>4242</v>
      </c>
      <c r="E2874" s="22" t="s">
        <v>723</v>
      </c>
      <c r="F2874" s="23" t="str">
        <f>HYPERLINK("https://www.spark-marketing.ru/Card/Lot/72829032", "Выполнение работ по установке элементов обустройства автомобильных дорог общего пользования федерального значения: Установка систем видеоконтроля (камер фото и видеофиксации нарушений правил дорожного движения) в Пермском крае.")</f>
        <v>Выполнение работ по установке элементов обустройства автомобильных дорог общего пользования федерального значения: Установка систем видеоконтроля (камер фото и видеофиксации нарушений правил дорожного движения) в Пермском крае.</v>
      </c>
      <c r="G2874" s="22" t="s">
        <v>391</v>
      </c>
      <c r="H2874" s="22" t="s">
        <v>391</v>
      </c>
      <c r="I2874" s="26">
        <v>43692.6852083333</v>
      </c>
      <c r="J2874" s="23" t="str">
        <f>HYPERLINK("https://www.spark-marketing.ru/Card/Person/5792336", "ООО ""ЭКОСТРОЙИНЖИНИРИНГ""")</f>
        <v>ООО "ЭКОСТРОЙИНЖИНИРИНГ"</v>
      </c>
      <c r="K2874" s="24" t="s">
        <v>4243</v>
      </c>
      <c r="L2874" s="22" t="s">
        <v>10</v>
      </c>
      <c r="M2874" s="25">
        <v>17910000</v>
      </c>
      <c r="N2874" s="27">
        <v>5.0000000000000001E-3</v>
      </c>
    </row>
    <row r="2875" spans="1:14" x14ac:dyDescent="0.15">
      <c r="A2875" s="23" t="str">
        <f>HYPERLINK("https://www.spark-marketing.ru/Card/Person/4379766", "МА ВМО НАХИМОВСКОГО МО")</f>
        <v>МА ВМО НАХИМОВСКОГО МО</v>
      </c>
      <c r="B2875" s="24" t="s">
        <v>4228</v>
      </c>
      <c r="C2875" s="25">
        <v>75400</v>
      </c>
      <c r="D2875" s="22" t="s">
        <v>4244</v>
      </c>
      <c r="E2875" s="22" t="s">
        <v>68</v>
      </c>
      <c r="F2875" s="23" t="str">
        <f>HYPERLINK("https://www.spark-marketing.ru/Card/Lot/72832696", "Мероприятия по профилактике терроризма и экстремизма, а также минимизации и ликвидации последствий проявления терроризма и экстремизма на территории внутригородского муниципального образования города Севастополя Нахимовского муниципального округа (Му...")</f>
        <v>Мероприятия по профилактике терроризма и экстремизма, а также минимизации и ликвидации последствий проявления терроризма и экстремизма на территории внутригородского муниципального образования города Севастополя Нахимовского муниципального округа (Му...</v>
      </c>
      <c r="G2875" s="22" t="s">
        <v>714</v>
      </c>
      <c r="H2875" s="22" t="s">
        <v>714</v>
      </c>
      <c r="I2875" s="26">
        <v>43693.4070601852</v>
      </c>
      <c r="J2875" s="23" t="str">
        <f>HYPERLINK("https://www.spark-marketing.ru/Card/Person/6690017", "Храмченко Любовь Ивановна")</f>
        <v>Храмченко Любовь Ивановна</v>
      </c>
      <c r="K2875" s="24" t="s">
        <v>4232</v>
      </c>
      <c r="L2875" s="22" t="s">
        <v>10</v>
      </c>
      <c r="M2875" s="28" t="s">
        <v>52</v>
      </c>
      <c r="N2875" s="28" t="s">
        <v>52</v>
      </c>
    </row>
    <row r="2876" spans="1:14" x14ac:dyDescent="0.15">
      <c r="A2876" s="23" t="str">
        <f>HYPERLINK("https://www.spark-marketing.ru/Card/Person/1019975", "ОТД МВД РОССИИ ПО БОРИСОГЛЕБСКОМУ РАЙОНУ")</f>
        <v>ОТД МВД РОССИИ ПО БОРИСОГЛЕБСКОМУ РАЙОНУ</v>
      </c>
      <c r="B2876" s="24" t="s">
        <v>4245</v>
      </c>
      <c r="C2876" s="25">
        <v>13679.64</v>
      </c>
      <c r="D2876" s="22" t="s">
        <v>4246</v>
      </c>
      <c r="E2876" s="22" t="s">
        <v>53</v>
      </c>
      <c r="F2876" s="23" t="str">
        <f>HYPERLINK("https://www.spark-marketing.ru/Card/Lot/72830351", "эксплуатрационно-техническое обслуживание средств охранной,тревожной сигнализации")</f>
        <v>эксплуатрационно-техническое обслуживание средств охранной,тревожной сигнализации</v>
      </c>
      <c r="G2876" s="22" t="s">
        <v>155</v>
      </c>
      <c r="H2876" s="22" t="s">
        <v>4247</v>
      </c>
      <c r="I2876" s="26">
        <v>43693.392708333296</v>
      </c>
      <c r="J2876" s="28" t="s">
        <v>52</v>
      </c>
      <c r="K2876" s="28" t="s">
        <v>52</v>
      </c>
      <c r="L2876" s="28" t="s">
        <v>52</v>
      </c>
      <c r="M2876" s="28" t="s">
        <v>52</v>
      </c>
      <c r="N2876" s="28" t="s">
        <v>52</v>
      </c>
    </row>
    <row r="2877" spans="1:14" x14ac:dyDescent="0.15">
      <c r="A2877" s="23" t="str">
        <f t="shared" ref="A2877:A2882" si="122">HYPERLINK("https://www.spark-marketing.ru/Card/Person/5968", "ФКУ УПРДОР ""ПРИКАМЬЕ""")</f>
        <v>ФКУ УПРДОР "ПРИКАМЬЕ"</v>
      </c>
      <c r="B2877" s="24" t="s">
        <v>4233</v>
      </c>
      <c r="C2877" s="25">
        <v>12000000</v>
      </c>
      <c r="D2877" s="22" t="s">
        <v>4248</v>
      </c>
      <c r="E2877" s="22" t="s">
        <v>723</v>
      </c>
      <c r="F2877" s="23" t="str">
        <f>HYPERLINK("https://www.spark-marketing.ru/Card/Lot/72829310", "Выполнение работ по установке элементов обустройства автомобильных дорог общего пользования федерального значения: Установка систем видеоконтроля (камер фото и видеофиксации нарушений правил дорожного движения) в Республике Коми")</f>
        <v>Выполнение работ по установке элементов обустройства автомобильных дорог общего пользования федерального значения: Установка систем видеоконтроля (камер фото и видеофиксации нарушений правил дорожного движения) в Республике Коми</v>
      </c>
      <c r="G2877" s="22" t="s">
        <v>538</v>
      </c>
      <c r="H2877" s="22" t="s">
        <v>538</v>
      </c>
      <c r="I2877" s="26">
        <v>43692.755983796298</v>
      </c>
      <c r="J2877" s="28" t="s">
        <v>52</v>
      </c>
      <c r="K2877" s="28" t="s">
        <v>52</v>
      </c>
      <c r="L2877" s="28" t="s">
        <v>52</v>
      </c>
      <c r="M2877" s="28" t="s">
        <v>52</v>
      </c>
      <c r="N2877" s="28" t="s">
        <v>52</v>
      </c>
    </row>
    <row r="2878" spans="1:14" hidden="1" outlineLevel="1" x14ac:dyDescent="0.2">
      <c r="A2878" s="23" t="str">
        <f t="shared" si="122"/>
        <v>ФКУ УПРДОР "ПРИКАМЬЕ"</v>
      </c>
      <c r="B2878" s="24" t="s">
        <v>4233</v>
      </c>
      <c r="C2878" s="25">
        <v>12000000</v>
      </c>
      <c r="D2878" s="22" t="s">
        <v>4248</v>
      </c>
      <c r="E2878" s="22" t="s">
        <v>723</v>
      </c>
      <c r="F2878" s="23" t="str">
        <f>HYPERLINK("https://www.spark-marketing.ru/Card/Lot/72829310", "Выполнение работ по установке элементов обустройства автомобильных дорог общего пользования федерального значения: Установка систем видеоконтроля (камер фото и видеофиксации нарушений правил дорожного движения) в Республике Коми")</f>
        <v>Выполнение работ по установке элементов обустройства автомобильных дорог общего пользования федерального значения: Установка систем видеоконтроля (камер фото и видеофиксации нарушений правил дорожного движения) в Республике Коми</v>
      </c>
      <c r="G2878" s="22" t="s">
        <v>538</v>
      </c>
      <c r="H2878" s="22" t="s">
        <v>538</v>
      </c>
      <c r="I2878" s="26">
        <v>43692.755983796298</v>
      </c>
      <c r="J2878" s="23" t="str">
        <f>HYPERLINK("https://www.spark-marketing.ru/Card/Person/6330163", "Шарафиев Рафис Рашитович")</f>
        <v>Шарафиев Рафис Рашитович</v>
      </c>
      <c r="K2878" s="24" t="s">
        <v>4249</v>
      </c>
      <c r="L2878" s="28" t="s">
        <v>52</v>
      </c>
      <c r="M2878" s="25">
        <v>11940000</v>
      </c>
      <c r="N2878" s="27">
        <v>5.0000000000000001E-3</v>
      </c>
    </row>
    <row r="2879" spans="1:14" ht="12.75" hidden="1" outlineLevel="1" x14ac:dyDescent="0.2">
      <c r="A2879" s="23" t="str">
        <f t="shared" si="122"/>
        <v>ФКУ УПРДОР "ПРИКАМЬЕ"</v>
      </c>
      <c r="B2879" s="24" t="s">
        <v>4233</v>
      </c>
      <c r="C2879" s="25">
        <v>12000000</v>
      </c>
      <c r="D2879" s="22" t="s">
        <v>4248</v>
      </c>
      <c r="E2879" s="22" t="s">
        <v>723</v>
      </c>
      <c r="F2879" s="23" t="str">
        <f>HYPERLINK("https://www.spark-marketing.ru/Card/Lot/72829310", "Выполнение работ по установке элементов обустройства автомобильных дорог общего пользования федерального значения: Установка систем видеоконтроля (камер фото и видеофиксации нарушений правил дорожного движения) в Республике Коми")</f>
        <v>Выполнение работ по установке элементов обустройства автомобильных дорог общего пользования федерального значения: Установка систем видеоконтроля (камер фото и видеофиксации нарушений правил дорожного движения) в Республике Коми</v>
      </c>
      <c r="G2879" s="22" t="s">
        <v>538</v>
      </c>
      <c r="H2879" s="22" t="s">
        <v>538</v>
      </c>
      <c r="I2879" s="26">
        <v>43692.755983796298</v>
      </c>
      <c r="J2879" s="23" t="str">
        <f>HYPERLINK("https://www.spark-marketing.ru/Card/Person/6579468", "Валиев Ильмир Исламович")</f>
        <v>Валиев Ильмир Исламович</v>
      </c>
      <c r="K2879" s="24" t="s">
        <v>4250</v>
      </c>
      <c r="L2879" s="22" t="s">
        <v>10</v>
      </c>
      <c r="M2879" s="25">
        <v>11940000</v>
      </c>
      <c r="N2879" s="27">
        <v>5.0000000000000001E-3</v>
      </c>
    </row>
    <row r="2880" spans="1:14" x14ac:dyDescent="0.15">
      <c r="A2880" s="23" t="str">
        <f t="shared" si="122"/>
        <v>ФКУ УПРДОР "ПРИКАМЬЕ"</v>
      </c>
      <c r="B2880" s="24" t="s">
        <v>4233</v>
      </c>
      <c r="C2880" s="25">
        <v>27000000</v>
      </c>
      <c r="D2880" s="22" t="s">
        <v>4251</v>
      </c>
      <c r="E2880" s="22" t="s">
        <v>723</v>
      </c>
      <c r="F2880" s="23" t="str">
        <f>HYPERLINK("https://www.spark-marketing.ru/Card/Lot/72829296", "Выполнение работ по установке элементов обустройства автомобильных дорог общего пользования федерального значения: Установка систем видеоконтроля (камер фото и видеофиксации нарушений правил дорожного движения) в Кировской области")</f>
        <v>Выполнение работ по установке элементов обустройства автомобильных дорог общего пользования федерального значения: Установка систем видеоконтроля (камер фото и видеофиксации нарушений правил дорожного движения) в Кировской области</v>
      </c>
      <c r="G2880" s="22" t="s">
        <v>556</v>
      </c>
      <c r="H2880" s="22" t="s">
        <v>556</v>
      </c>
      <c r="I2880" s="26">
        <v>43692.744918981502</v>
      </c>
      <c r="J2880" s="28" t="s">
        <v>52</v>
      </c>
      <c r="K2880" s="28" t="s">
        <v>52</v>
      </c>
      <c r="L2880" s="28" t="s">
        <v>52</v>
      </c>
      <c r="M2880" s="28" t="s">
        <v>52</v>
      </c>
      <c r="N2880" s="28" t="s">
        <v>52</v>
      </c>
    </row>
    <row r="2881" spans="1:14" ht="12.75" hidden="1" outlineLevel="1" x14ac:dyDescent="0.2">
      <c r="A2881" s="23" t="str">
        <f t="shared" si="122"/>
        <v>ФКУ УПРДОР "ПРИКАМЬЕ"</v>
      </c>
      <c r="B2881" s="24" t="s">
        <v>4233</v>
      </c>
      <c r="C2881" s="25">
        <v>27000000</v>
      </c>
      <c r="D2881" s="22" t="s">
        <v>4251</v>
      </c>
      <c r="E2881" s="22" t="s">
        <v>723</v>
      </c>
      <c r="F2881" s="23" t="str">
        <f>HYPERLINK("https://www.spark-marketing.ru/Card/Lot/72829296", "Выполнение работ по установке элементов обустройства автомобильных дорог общего пользования федерального значения: Установка систем видеоконтроля (камер фото и видеофиксации нарушений правил дорожного движения) в Кировской области")</f>
        <v>Выполнение работ по установке элементов обустройства автомобильных дорог общего пользования федерального значения: Установка систем видеоконтроля (камер фото и видеофиксации нарушений правил дорожного движения) в Кировской области</v>
      </c>
      <c r="G2881" s="22" t="s">
        <v>556</v>
      </c>
      <c r="H2881" s="22" t="s">
        <v>556</v>
      </c>
      <c r="I2881" s="26">
        <v>43692.744918981502</v>
      </c>
      <c r="J2881" s="23" t="str">
        <f>HYPERLINK("https://www.spark-marketing.ru/Card/Person/5792336", "ООО ""ЭКОСТРОЙИНЖИНИРИНГ""")</f>
        <v>ООО "ЭКОСТРОЙИНЖИНИРИНГ"</v>
      </c>
      <c r="K2881" s="24" t="s">
        <v>4243</v>
      </c>
      <c r="L2881" s="22" t="s">
        <v>10</v>
      </c>
      <c r="M2881" s="25">
        <v>26865000</v>
      </c>
      <c r="N2881" s="27">
        <v>5.0000000000000001E-3</v>
      </c>
    </row>
    <row r="2882" spans="1:14" hidden="1" outlineLevel="1" x14ac:dyDescent="0.2">
      <c r="A2882" s="23" t="str">
        <f t="shared" si="122"/>
        <v>ФКУ УПРДОР "ПРИКАМЬЕ"</v>
      </c>
      <c r="B2882" s="24" t="s">
        <v>4233</v>
      </c>
      <c r="C2882" s="25">
        <v>27000000</v>
      </c>
      <c r="D2882" s="22" t="s">
        <v>4251</v>
      </c>
      <c r="E2882" s="22" t="s">
        <v>723</v>
      </c>
      <c r="F2882" s="23" t="str">
        <f>HYPERLINK("https://www.spark-marketing.ru/Card/Lot/72829296", "Выполнение работ по установке элементов обустройства автомобильных дорог общего пользования федерального значения: Установка систем видеоконтроля (камер фото и видеофиксации нарушений правил дорожного движения) в Кировской области")</f>
        <v>Выполнение работ по установке элементов обустройства автомобильных дорог общего пользования федерального значения: Установка систем видеоконтроля (камер фото и видеофиксации нарушений правил дорожного движения) в Кировской области</v>
      </c>
      <c r="G2882" s="22" t="s">
        <v>556</v>
      </c>
      <c r="H2882" s="22" t="s">
        <v>556</v>
      </c>
      <c r="I2882" s="26">
        <v>43692.744918981502</v>
      </c>
      <c r="J2882" s="23" t="str">
        <f>HYPERLINK("https://www.spark-marketing.ru/Card/Person/6330163", "Шарафиев Рафис Рашитович")</f>
        <v>Шарафиев Рафис Рашитович</v>
      </c>
      <c r="K2882" s="24" t="s">
        <v>4249</v>
      </c>
      <c r="L2882" s="28" t="s">
        <v>52</v>
      </c>
      <c r="M2882" s="25">
        <v>26999999.989999998</v>
      </c>
      <c r="N2882" s="27">
        <v>3.7037037037037036E-10</v>
      </c>
    </row>
    <row r="2883" spans="1:14" x14ac:dyDescent="0.15">
      <c r="A2883" s="23" t="str">
        <f>HYPERLINK("https://www.spark-marketing.ru/Card/Person/82673", "АДМИНИСТРАЦИЯ ПОДОСИНОВСКОГО ГОРОДСКОГО ПОСЕЛЕНИЯ")</f>
        <v>АДМИНИСТРАЦИЯ ПОДОСИНОВСКОГО ГОРОДСКОГО ПОСЕЛЕНИЯ</v>
      </c>
      <c r="B2883" s="24" t="s">
        <v>3273</v>
      </c>
      <c r="C2883" s="25">
        <v>176454</v>
      </c>
      <c r="D2883" s="22" t="s">
        <v>4252</v>
      </c>
      <c r="E2883" s="22" t="s">
        <v>59</v>
      </c>
      <c r="F2883" s="23" t="str">
        <f>HYPERLINK("https://www.spark-marketing.ru/Card/Lot/72830003", "Выполнение работ по установке видеонаблюдения в парке пгт Подосиновец")</f>
        <v>Выполнение работ по установке видеонаблюдения в парке пгт Подосиновец</v>
      </c>
      <c r="G2883" s="22" t="s">
        <v>556</v>
      </c>
      <c r="H2883" s="22" t="s">
        <v>3275</v>
      </c>
      <c r="I2883" s="26">
        <v>43692.755821759303</v>
      </c>
      <c r="J2883" s="28" t="s">
        <v>52</v>
      </c>
      <c r="K2883" s="28" t="s">
        <v>52</v>
      </c>
      <c r="L2883" s="28" t="s">
        <v>52</v>
      </c>
      <c r="M2883" s="28" t="s">
        <v>52</v>
      </c>
      <c r="N2883" s="28" t="s">
        <v>52</v>
      </c>
    </row>
    <row r="2884" spans="1:14" x14ac:dyDescent="0.15">
      <c r="A2884" s="23" t="str">
        <f>HYPERLINK("https://www.spark-marketing.ru/Card/Person/4361105", "АО ""БЭТ""")</f>
        <v>АО "БЭТ"</v>
      </c>
      <c r="B2884" s="24" t="s">
        <v>4253</v>
      </c>
      <c r="C2884" s="28" t="s">
        <v>52</v>
      </c>
      <c r="D2884" s="22" t="s">
        <v>4254</v>
      </c>
      <c r="E2884" s="22" t="s">
        <v>52</v>
      </c>
      <c r="F2884" s="23" t="str">
        <f>HYPERLINK("https://www.spark-marketing.ru/Card/Lot/72832351", "Оказание услуг по охране объектов и имущества Горновского завода спецжелезобетона - филиала АО ""БЭТ"", обеспечению внутриобъектового и пропускного режимов на объектах охраны")</f>
        <v>Оказание услуг по охране объектов и имущества Горновского завода спецжелезобетона - филиала АО "БЭТ", обеспечению внутриобъектового и пропускного режимов на объектах охраны</v>
      </c>
      <c r="G2884" s="22" t="s">
        <v>55</v>
      </c>
      <c r="H2884" s="22" t="s">
        <v>55</v>
      </c>
      <c r="I2884" s="26">
        <v>43693.325706018499</v>
      </c>
      <c r="J2884" s="28" t="s">
        <v>52</v>
      </c>
      <c r="K2884" s="28" t="s">
        <v>52</v>
      </c>
      <c r="L2884" s="28" t="s">
        <v>52</v>
      </c>
      <c r="M2884" s="28" t="s">
        <v>52</v>
      </c>
      <c r="N2884" s="28" t="s">
        <v>52</v>
      </c>
    </row>
    <row r="2885" spans="1:14" x14ac:dyDescent="0.15">
      <c r="A2885" s="23" t="str">
        <f>HYPERLINK("https://www.spark-marketing.ru/Card/Person/1019975", "ОТД МВД РОССИИ ПО БОРИСОГЛЕБСКОМУ РАЙОНУ")</f>
        <v>ОТД МВД РОССИИ ПО БОРИСОГЛЕБСКОМУ РАЙОНУ</v>
      </c>
      <c r="B2885" s="24" t="s">
        <v>4245</v>
      </c>
      <c r="C2885" s="25">
        <v>12875.04</v>
      </c>
      <c r="D2885" s="22" t="s">
        <v>4255</v>
      </c>
      <c r="E2885" s="22" t="s">
        <v>53</v>
      </c>
      <c r="F2885" s="23" t="str">
        <f>HYPERLINK("https://www.spark-marketing.ru/Card/Lot/72828460", "эксплуатрационно-техническое обслуживание средств охранной,тревожной сигнализации")</f>
        <v>эксплуатрационно-техническое обслуживание средств охранной,тревожной сигнализации</v>
      </c>
      <c r="G2885" s="22" t="s">
        <v>155</v>
      </c>
      <c r="H2885" s="22" t="s">
        <v>4247</v>
      </c>
      <c r="I2885" s="26">
        <v>43693.361585648097</v>
      </c>
      <c r="J2885" s="28" t="s">
        <v>52</v>
      </c>
      <c r="K2885" s="28" t="s">
        <v>52</v>
      </c>
      <c r="L2885" s="28" t="s">
        <v>52</v>
      </c>
      <c r="M2885" s="28" t="s">
        <v>52</v>
      </c>
      <c r="N2885" s="28" t="s">
        <v>52</v>
      </c>
    </row>
    <row r="2886" spans="1:14" x14ac:dyDescent="0.15">
      <c r="A2886" s="23" t="str">
        <f>HYPERLINK("https://www.spark-marketing.ru/Card/Person/151551", "БДОУ Г. ОМСКА ""ДЕТСКИЙ САД № 283 КОМБИНИРОВАННОГО ВИДА""")</f>
        <v>БДОУ Г. ОМСКА "ДЕТСКИЙ САД № 283 КОМБИНИРОВАННОГО ВИДА"</v>
      </c>
      <c r="B2886" s="24" t="s">
        <v>4256</v>
      </c>
      <c r="C2886" s="25">
        <v>100000</v>
      </c>
      <c r="D2886" s="22" t="s">
        <v>4257</v>
      </c>
      <c r="E2886" s="22" t="s">
        <v>68</v>
      </c>
      <c r="F2886" s="23" t="str">
        <f>HYPERLINK("https://www.spark-marketing.ru/Card/Lot/72827848", "Обеспечение охраны, общественного порядка и безопасности в помещении и на территории детского сада, а также охрана жизни и здоровья детей и сотрудников от любого рода посягательств и противоправных действий криминальных элементов и правонарушений.")</f>
        <v>Обеспечение охраны, общественного порядка и безопасности в помещении и на территории детского сада, а также охрана жизни и здоровья детей и сотрудников от любого рода посягательств и противоправных действий криминальных элементов и правонарушений.</v>
      </c>
      <c r="G2886" s="22" t="s">
        <v>521</v>
      </c>
      <c r="H2886" s="22" t="s">
        <v>522</v>
      </c>
      <c r="I2886" s="26">
        <v>43693.301388888904</v>
      </c>
      <c r="J2886" s="28" t="s">
        <v>52</v>
      </c>
      <c r="K2886" s="28" t="s">
        <v>52</v>
      </c>
      <c r="L2886" s="28" t="s">
        <v>52</v>
      </c>
      <c r="M2886" s="28" t="s">
        <v>52</v>
      </c>
      <c r="N2886" s="28" t="s">
        <v>52</v>
      </c>
    </row>
    <row r="2887" spans="1:14" x14ac:dyDescent="0.15">
      <c r="A2887" s="23" t="str">
        <f>HYPERLINK("https://www.spark-marketing.ru/Card/Person/52556", "КГБУЗ ""ПБ""")</f>
        <v>КГБУЗ "ПБ"</v>
      </c>
      <c r="B2887" s="24" t="s">
        <v>4258</v>
      </c>
      <c r="C2887" s="25">
        <v>52400.04</v>
      </c>
      <c r="D2887" s="22" t="s">
        <v>4259</v>
      </c>
      <c r="E2887" s="22" t="s">
        <v>103</v>
      </c>
      <c r="F2887" s="23" t="str">
        <f>HYPERLINK("https://www.spark-marketing.ru/Card/Lot/72826650", "Оказание услуг по техническому обслуживанию системы видеонаблюдения")</f>
        <v>Оказание услуг по техническому обслуживанию системы видеонаблюдения</v>
      </c>
      <c r="G2887" s="22" t="s">
        <v>138</v>
      </c>
      <c r="H2887" s="22" t="s">
        <v>139</v>
      </c>
      <c r="I2887" s="26">
        <v>43693.347696759301</v>
      </c>
      <c r="J2887" s="28" t="s">
        <v>52</v>
      </c>
      <c r="K2887" s="28" t="s">
        <v>52</v>
      </c>
      <c r="L2887" s="28" t="s">
        <v>52</v>
      </c>
      <c r="M2887" s="28" t="s">
        <v>52</v>
      </c>
      <c r="N2887" s="28" t="s">
        <v>52</v>
      </c>
    </row>
    <row r="2888" spans="1:14" hidden="1" outlineLevel="1" x14ac:dyDescent="0.2">
      <c r="A2888" s="23" t="str">
        <f>HYPERLINK("https://www.spark-marketing.ru/Card/Person/52556", "КГБУЗ ""ПБ""")</f>
        <v>КГБУЗ "ПБ"</v>
      </c>
      <c r="B2888" s="24" t="s">
        <v>4258</v>
      </c>
      <c r="C2888" s="25">
        <v>52400.04</v>
      </c>
      <c r="D2888" s="22" t="s">
        <v>4259</v>
      </c>
      <c r="E2888" s="22" t="s">
        <v>103</v>
      </c>
      <c r="F2888" s="23" t="str">
        <f>HYPERLINK("https://www.spark-marketing.ru/Card/Lot/72826650", "Оказание услуг по техническому обслуживанию системы видеонаблюдения")</f>
        <v>Оказание услуг по техническому обслуживанию системы видеонаблюдения</v>
      </c>
      <c r="G2888" s="22" t="s">
        <v>138</v>
      </c>
      <c r="H2888" s="22" t="s">
        <v>139</v>
      </c>
      <c r="I2888" s="26">
        <v>43693.347696759301</v>
      </c>
      <c r="J2888" s="23" t="str">
        <f>HYPERLINK("https://www.spark-marketing.ru/Card/Person/185739", "ООО ""РУБЕЖ""")</f>
        <v>ООО "РУБЕЖ"</v>
      </c>
      <c r="K2888" s="24" t="s">
        <v>4260</v>
      </c>
      <c r="L2888" s="28" t="s">
        <v>52</v>
      </c>
      <c r="M2888" s="25">
        <v>43200</v>
      </c>
      <c r="N2888" s="27">
        <v>0.17557314841744395</v>
      </c>
    </row>
    <row r="2889" spans="1:14" hidden="1" outlineLevel="1" x14ac:dyDescent="0.2">
      <c r="A2889" s="23" t="str">
        <f>HYPERLINK("https://www.spark-marketing.ru/Card/Person/52556", "КГБУЗ ""ПБ""")</f>
        <v>КГБУЗ "ПБ"</v>
      </c>
      <c r="B2889" s="24" t="s">
        <v>4258</v>
      </c>
      <c r="C2889" s="25">
        <v>52400.04</v>
      </c>
      <c r="D2889" s="22" t="s">
        <v>4259</v>
      </c>
      <c r="E2889" s="22" t="s">
        <v>103</v>
      </c>
      <c r="F2889" s="23" t="str">
        <f>HYPERLINK("https://www.spark-marketing.ru/Card/Lot/72826650", "Оказание услуг по техническому обслуживанию системы видеонаблюдения")</f>
        <v>Оказание услуг по техническому обслуживанию системы видеонаблюдения</v>
      </c>
      <c r="G2889" s="22" t="s">
        <v>138</v>
      </c>
      <c r="H2889" s="22" t="s">
        <v>139</v>
      </c>
      <c r="I2889" s="26">
        <v>43693.347696759301</v>
      </c>
      <c r="J2889" s="23" t="str">
        <f>HYPERLINK("https://www.spark-marketing.ru/Card/Person/192230", "ООО ""ЧОП ""САТУРН""")</f>
        <v>ООО "ЧОП "САТУРН"</v>
      </c>
      <c r="K2889" s="24" t="s">
        <v>4261</v>
      </c>
      <c r="L2889" s="28" t="s">
        <v>52</v>
      </c>
      <c r="M2889" s="25">
        <v>29400</v>
      </c>
      <c r="N2889" s="27">
        <v>0.43893172600631603</v>
      </c>
    </row>
    <row r="2890" spans="1:14" ht="12.75" hidden="1" outlineLevel="1" x14ac:dyDescent="0.2">
      <c r="A2890" s="23" t="str">
        <f>HYPERLINK("https://www.spark-marketing.ru/Card/Person/52556", "КГБУЗ ""ПБ""")</f>
        <v>КГБУЗ "ПБ"</v>
      </c>
      <c r="B2890" s="24" t="s">
        <v>4258</v>
      </c>
      <c r="C2890" s="25">
        <v>52400.04</v>
      </c>
      <c r="D2890" s="22" t="s">
        <v>4259</v>
      </c>
      <c r="E2890" s="22" t="s">
        <v>103</v>
      </c>
      <c r="F2890" s="23" t="str">
        <f>HYPERLINK("https://www.spark-marketing.ru/Card/Lot/72826650", "Оказание услуг по техническому обслуживанию системы видеонаблюдения")</f>
        <v>Оказание услуг по техническому обслуживанию системы видеонаблюдения</v>
      </c>
      <c r="G2890" s="22" t="s">
        <v>138</v>
      </c>
      <c r="H2890" s="22" t="s">
        <v>139</v>
      </c>
      <c r="I2890" s="26">
        <v>43693.347696759301</v>
      </c>
      <c r="J2890" s="23" t="str">
        <f>HYPERLINK("https://www.spark-marketing.ru/Card/Person/6464736", "Макаров Алексей Андреевич")</f>
        <v>Макаров Алексей Андреевич</v>
      </c>
      <c r="K2890" s="24" t="s">
        <v>4262</v>
      </c>
      <c r="L2890" s="22" t="s">
        <v>10</v>
      </c>
      <c r="M2890" s="25">
        <v>22800</v>
      </c>
      <c r="N2890" s="27">
        <v>0.56488582833142875</v>
      </c>
    </row>
    <row r="2891" spans="1:14" x14ac:dyDescent="0.2">
      <c r="A2891" s="23" t="str">
        <f>HYPERLINK("https://www.spark-marketing.ru/Card/Person/10487", "ФГУП ""ОХРАНА"" РОСГВАРДИИ")</f>
        <v>ФГУП "ОХРАНА" РОСГВАРДИИ</v>
      </c>
      <c r="B2891" s="24" t="s">
        <v>779</v>
      </c>
      <c r="C2891" s="25">
        <v>39495.58</v>
      </c>
      <c r="D2891" s="22" t="s">
        <v>4263</v>
      </c>
      <c r="E2891" s="22" t="s">
        <v>4264</v>
      </c>
      <c r="F2891" s="23" t="str">
        <f>HYPERLINK("https://www.spark-marketing.ru/Card/Lot/72806197", "Поставка аккумуляторных батарей для нужд Управления по Приволжскому Федеральному округу Центра охраны объектов промышленности")</f>
        <v>Поставка аккумуляторных батарей для нужд Управления по Приволжскому Федеральному округу Центра охраны объектов промышленности</v>
      </c>
      <c r="G2891" s="22" t="s">
        <v>204</v>
      </c>
      <c r="H2891" s="22" t="s">
        <v>204</v>
      </c>
      <c r="I2891" s="26">
        <v>43692</v>
      </c>
      <c r="J2891" s="28" t="s">
        <v>52</v>
      </c>
      <c r="K2891" s="28" t="s">
        <v>52</v>
      </c>
      <c r="L2891" s="22" t="s">
        <v>10</v>
      </c>
      <c r="M2891" s="25">
        <v>34000</v>
      </c>
      <c r="N2891" s="27">
        <v>0.13914417765228412</v>
      </c>
    </row>
    <row r="2892" spans="1:14" x14ac:dyDescent="0.15">
      <c r="A2892" s="23" t="str">
        <f>HYPERLINK("https://www.spark-marketing.ru/Card/Person/952907", "МАОУ СОШ № 62")</f>
        <v>МАОУ СОШ № 62</v>
      </c>
      <c r="B2892" s="24" t="s">
        <v>4265</v>
      </c>
      <c r="C2892" s="25">
        <v>147800</v>
      </c>
      <c r="D2892" s="22" t="s">
        <v>4266</v>
      </c>
      <c r="E2892" s="22" t="s">
        <v>4267</v>
      </c>
      <c r="F2892" s="23" t="str">
        <f>HYPERLINK("https://www.spark-marketing.ru/Card/Lot/72840276", "Закупка серверного и сетевого оборудования для установки системы видеонаблюдения")</f>
        <v>Закупка серверного и сетевого оборудования для установки системы видеонаблюдения</v>
      </c>
      <c r="G2892" s="22" t="s">
        <v>132</v>
      </c>
      <c r="H2892" s="22" t="s">
        <v>132</v>
      </c>
      <c r="I2892" s="26">
        <v>43693</v>
      </c>
      <c r="J2892" s="28" t="s">
        <v>52</v>
      </c>
      <c r="K2892" s="28" t="s">
        <v>52</v>
      </c>
      <c r="L2892" s="28" t="s">
        <v>52</v>
      </c>
      <c r="M2892" s="28" t="s">
        <v>52</v>
      </c>
      <c r="N2892" s="28" t="s">
        <v>52</v>
      </c>
    </row>
    <row r="2893" spans="1:14" x14ac:dyDescent="0.15">
      <c r="A2893" s="23" t="str">
        <f>HYPERLINK("https://www.spark-marketing.ru/Card/Person/456138", "КГАУ ""ЦСП""")</f>
        <v>КГАУ "ЦСП"</v>
      </c>
      <c r="B2893" s="24" t="s">
        <v>2031</v>
      </c>
      <c r="C2893" s="25">
        <v>1156560</v>
      </c>
      <c r="D2893" s="22" t="s">
        <v>4268</v>
      </c>
      <c r="E2893" s="22" t="s">
        <v>363</v>
      </c>
      <c r="F2893" s="23" t="str">
        <f>HYPERLINK("https://www.spark-marketing.ru/Card/Lot/72840511", "оказание охранных услуг")</f>
        <v>оказание охранных услуг</v>
      </c>
      <c r="G2893" s="22" t="s">
        <v>640</v>
      </c>
      <c r="H2893" s="22" t="s">
        <v>640</v>
      </c>
      <c r="I2893" s="26">
        <v>43693</v>
      </c>
      <c r="J2893" s="28" t="s">
        <v>52</v>
      </c>
      <c r="K2893" s="28" t="s">
        <v>52</v>
      </c>
      <c r="L2893" s="28" t="s">
        <v>52</v>
      </c>
      <c r="M2893" s="28" t="s">
        <v>52</v>
      </c>
      <c r="N2893" s="28" t="s">
        <v>52</v>
      </c>
    </row>
    <row r="2894" spans="1:14" x14ac:dyDescent="0.15">
      <c r="A2894" s="23" t="str">
        <f>HYPERLINK("https://www.spark-marketing.ru/Card/Person/4348399", "ПАО ""ТРАНСКОНТЕЙНЕР""")</f>
        <v>ПАО "ТРАНСКОНТЕЙНЕР"</v>
      </c>
      <c r="B2894" s="24" t="s">
        <v>4269</v>
      </c>
      <c r="C2894" s="25">
        <v>10795075.199999999</v>
      </c>
      <c r="D2894" s="22" t="s">
        <v>4270</v>
      </c>
      <c r="E2894" s="22" t="s">
        <v>4271</v>
      </c>
      <c r="F2894" s="23" t="str">
        <f>HYPERLINK("https://www.spark-marketing.ru/Card/Lot/72829477", "Охрана объектов заказчика в г. Артём в 2020-2022 г.")</f>
        <v>Охрана объектов заказчика в г. Артём в 2020-2022 г.</v>
      </c>
      <c r="G2894" s="22" t="s">
        <v>409</v>
      </c>
      <c r="H2894" s="22" t="s">
        <v>3324</v>
      </c>
      <c r="I2894" s="26">
        <v>43693</v>
      </c>
      <c r="J2894" s="28" t="s">
        <v>52</v>
      </c>
      <c r="K2894" s="28" t="s">
        <v>52</v>
      </c>
      <c r="L2894" s="28" t="s">
        <v>52</v>
      </c>
      <c r="M2894" s="28" t="s">
        <v>52</v>
      </c>
      <c r="N2894" s="28" t="s">
        <v>52</v>
      </c>
    </row>
    <row r="2895" spans="1:14" x14ac:dyDescent="0.15">
      <c r="A2895" s="23" t="str">
        <f>HYPERLINK("https://www.spark-marketing.ru/Card/Person/42758", "АО ""РОССЕЛЬХОЗБАНК""")</f>
        <v>АО "РОССЕЛЬХОЗБАНК"</v>
      </c>
      <c r="B2895" s="24" t="s">
        <v>3030</v>
      </c>
      <c r="C2895" s="25">
        <v>597552</v>
      </c>
      <c r="D2895" s="22" t="s">
        <v>4272</v>
      </c>
      <c r="E2895" s="22" t="s">
        <v>49</v>
      </c>
      <c r="F2895" s="23" t="str">
        <f>HYPERLINK("https://www.spark-marketing.ru/Card/Lot/72836418", "Выполнение работ по монтажу и модернизации инженерно-технических средств охраны (ИТСО) на объекте Свердловского РФ АО «Россельхозбанк», расположенного по адресу: Свердловская область, г. Реж, ул. Энгельса, д.6")</f>
        <v>Выполнение работ по монтажу и модернизации инженерно-технических средств охраны (ИТСО) на объекте Свердловского РФ АО «Россельхозбанк», расположенного по адресу: Свердловская область, г. Реж, ул. Энгельса, д.6</v>
      </c>
      <c r="G2895" s="22" t="s">
        <v>72</v>
      </c>
      <c r="H2895" s="22" t="s">
        <v>4273</v>
      </c>
      <c r="I2895" s="26">
        <v>43693</v>
      </c>
      <c r="J2895" s="28" t="s">
        <v>52</v>
      </c>
      <c r="K2895" s="28" t="s">
        <v>52</v>
      </c>
      <c r="L2895" s="28" t="s">
        <v>52</v>
      </c>
      <c r="M2895" s="28" t="s">
        <v>52</v>
      </c>
      <c r="N2895" s="28" t="s">
        <v>52</v>
      </c>
    </row>
    <row r="2896" spans="1:14" x14ac:dyDescent="0.15">
      <c r="A2896" s="23" t="str">
        <f>HYPERLINK("https://www.spark-marketing.ru/Card/Person/666553", "ФГП ВО ЖДТ РОССИИ")</f>
        <v>ФГП ВО ЖДТ РОССИИ</v>
      </c>
      <c r="B2896" s="24" t="s">
        <v>1269</v>
      </c>
      <c r="C2896" s="25">
        <v>29999</v>
      </c>
      <c r="D2896" s="22" t="s">
        <v>4274</v>
      </c>
      <c r="E2896" s="22" t="s">
        <v>4275</v>
      </c>
      <c r="F2896" s="23" t="str">
        <f>HYPERLINK("https://www.spark-marketing.ru/Card/Lot/72828109", "Поставка ламп и стартеров для нужд Пензенского отряда ВО филиала ФГП ВО ЖДТ России на Куйбышевской железной дороге")</f>
        <v>Поставка ламп и стартеров для нужд Пензенского отряда ВО филиала ФГП ВО ЖДТ России на Куйбышевской железной дороге</v>
      </c>
      <c r="G2896" s="22" t="s">
        <v>514</v>
      </c>
      <c r="H2896" s="22" t="s">
        <v>514</v>
      </c>
      <c r="I2896" s="26">
        <v>43693</v>
      </c>
      <c r="J2896" s="28" t="s">
        <v>52</v>
      </c>
      <c r="K2896" s="28" t="s">
        <v>52</v>
      </c>
      <c r="L2896" s="22" t="s">
        <v>10</v>
      </c>
      <c r="M2896" s="28" t="s">
        <v>52</v>
      </c>
      <c r="N2896" s="28" t="s">
        <v>52</v>
      </c>
    </row>
    <row r="2897" spans="1:14" x14ac:dyDescent="0.15">
      <c r="A2897" s="23" t="str">
        <f>HYPERLINK("https://www.spark-marketing.ru/Card/Person/4348399", "ПАО ""ТРАНСКОНТЕЙНЕР""")</f>
        <v>ПАО "ТРАНСКОНТЕЙНЕР"</v>
      </c>
      <c r="B2897" s="24" t="s">
        <v>4269</v>
      </c>
      <c r="C2897" s="25">
        <v>29932047.600000001</v>
      </c>
      <c r="D2897" s="22" t="s">
        <v>4276</v>
      </c>
      <c r="E2897" s="22" t="s">
        <v>4271</v>
      </c>
      <c r="F2897" s="23" t="str">
        <f>HYPERLINK("https://www.spark-marketing.ru/Card/Lot/72829478", "Охрана объектов контейнерного терминала Первая Речка в 2020-2022 г.")</f>
        <v>Охрана объектов контейнерного терминала Первая Речка в 2020-2022 г.</v>
      </c>
      <c r="G2897" s="22" t="s">
        <v>55</v>
      </c>
      <c r="H2897" s="22" t="s">
        <v>55</v>
      </c>
      <c r="I2897" s="26">
        <v>43693</v>
      </c>
      <c r="J2897" s="28" t="s">
        <v>52</v>
      </c>
      <c r="K2897" s="28" t="s">
        <v>52</v>
      </c>
      <c r="L2897" s="28" t="s">
        <v>52</v>
      </c>
      <c r="M2897" s="28" t="s">
        <v>52</v>
      </c>
      <c r="N2897" s="28" t="s">
        <v>52</v>
      </c>
    </row>
    <row r="2898" spans="1:14" x14ac:dyDescent="0.15">
      <c r="A2898" s="23" t="str">
        <f>HYPERLINK("https://www.spark-marketing.ru/Card/Person/4348528", "АО ИК ""АСЭ""")</f>
        <v>АО ИК "АСЭ"</v>
      </c>
      <c r="B2898" s="24" t="s">
        <v>62</v>
      </c>
      <c r="C2898" s="28" t="s">
        <v>52</v>
      </c>
      <c r="D2898" s="22" t="s">
        <v>4277</v>
      </c>
      <c r="E2898" s="22" t="s">
        <v>53</v>
      </c>
      <c r="F2898" s="23" t="str">
        <f>HYPERLINK("https://www.spark-marketing.ru/Card/Lot/72844132", "оказание услуг по охране объектов АО ИК «АСЭ» (1321722)")</f>
        <v>оказание услуг по охране объектов АО ИК «АСЭ» (1321722)</v>
      </c>
      <c r="G2898" s="22" t="s">
        <v>64</v>
      </c>
      <c r="H2898" s="22" t="s">
        <v>65</v>
      </c>
      <c r="I2898" s="26">
        <v>43693.500787037003</v>
      </c>
      <c r="J2898" s="28" t="s">
        <v>52</v>
      </c>
      <c r="K2898" s="28" t="s">
        <v>52</v>
      </c>
      <c r="L2898" s="28" t="s">
        <v>52</v>
      </c>
      <c r="M2898" s="28" t="s">
        <v>52</v>
      </c>
      <c r="N2898" s="28" t="s">
        <v>52</v>
      </c>
    </row>
    <row r="2899" spans="1:14" x14ac:dyDescent="0.15">
      <c r="A2899" s="23" t="str">
        <f>HYPERLINK("https://www.spark-marketing.ru/Card/Person/1049103", "О МВД РОССИИ ПО КОШКИНСКОМУ РАЙОНУ")</f>
        <v>О МВД РОССИИ ПО КОШКИНСКОМУ РАЙОНУ</v>
      </c>
      <c r="B2899" s="24" t="s">
        <v>4278</v>
      </c>
      <c r="C2899" s="25">
        <v>28000</v>
      </c>
      <c r="D2899" s="22" t="s">
        <v>4279</v>
      </c>
      <c r="E2899" s="22" t="s">
        <v>53</v>
      </c>
      <c r="F2899" s="23" t="str">
        <f>HYPERLINK("https://www.spark-marketing.ru/Card/Lot/72821965", "Техническое обслуживание охранной и тревожной сигнализации, 9 усл. ед")</f>
        <v>Техническое обслуживание охранной и тревожной сигнализации, 9 усл. ед</v>
      </c>
      <c r="G2899" s="22" t="s">
        <v>760</v>
      </c>
      <c r="H2899" s="22" t="s">
        <v>760</v>
      </c>
      <c r="I2899" s="26">
        <v>43692.770219907397</v>
      </c>
      <c r="J2899" s="28" t="s">
        <v>52</v>
      </c>
      <c r="K2899" s="28" t="s">
        <v>52</v>
      </c>
      <c r="L2899" s="28" t="s">
        <v>52</v>
      </c>
      <c r="M2899" s="28" t="s">
        <v>52</v>
      </c>
      <c r="N2899" s="28" t="s">
        <v>52</v>
      </c>
    </row>
    <row r="2900" spans="1:14" x14ac:dyDescent="0.15">
      <c r="A2900" s="23" t="str">
        <f>HYPERLINK("https://www.spark-marketing.ru/Card/Person/1049103", "О МВД РОССИИ ПО КОШКИНСКОМУ РАЙОНУ")</f>
        <v>О МВД РОССИИ ПО КОШКИНСКОМУ РАЙОНУ</v>
      </c>
      <c r="B2900" s="24" t="s">
        <v>4278</v>
      </c>
      <c r="C2900" s="25">
        <v>28000</v>
      </c>
      <c r="D2900" s="22" t="s">
        <v>4280</v>
      </c>
      <c r="E2900" s="22" t="s">
        <v>53</v>
      </c>
      <c r="F2900" s="23" t="str">
        <f>HYPERLINK("https://www.spark-marketing.ru/Card/Lot/72821963", "Техническое обслуживание охранной и тревожной сигнализации, 9 усл. ед")</f>
        <v>Техническое обслуживание охранной и тревожной сигнализации, 9 усл. ед</v>
      </c>
      <c r="G2900" s="22" t="s">
        <v>760</v>
      </c>
      <c r="H2900" s="22" t="s">
        <v>760</v>
      </c>
      <c r="I2900" s="26">
        <v>43692.763807870397</v>
      </c>
      <c r="J2900" s="28" t="s">
        <v>52</v>
      </c>
      <c r="K2900" s="28" t="s">
        <v>52</v>
      </c>
      <c r="L2900" s="28" t="s">
        <v>52</v>
      </c>
      <c r="M2900" s="28" t="s">
        <v>52</v>
      </c>
      <c r="N2900" s="28" t="s">
        <v>52</v>
      </c>
    </row>
    <row r="2901" spans="1:14" x14ac:dyDescent="0.15">
      <c r="A2901" s="23" t="str">
        <f t="shared" ref="A2901:A2907" si="123">HYPERLINK("https://www.spark-marketing.ru/Card/Person/41845", "ГБУ ДО СО ОК ДЮСАШ ""РИФ""")</f>
        <v>ГБУ ДО СО ОК ДЮСАШ "РИФ"</v>
      </c>
      <c r="B2901" s="24" t="s">
        <v>4281</v>
      </c>
      <c r="C2901" s="25">
        <v>774565.36</v>
      </c>
      <c r="D2901" s="22" t="s">
        <v>4282</v>
      </c>
      <c r="E2901" s="22" t="s">
        <v>59</v>
      </c>
      <c r="F2901" s="23" t="str">
        <f t="shared" ref="F2901:F2907" si="124">HYPERLINK("https://www.spark-marketing.ru/Card/Lot/72820223", "Установка систем видеонаблюдения в зданиях ГБУ ДО СО ОК ДЮСАШ ""РиФ""")</f>
        <v>Установка систем видеонаблюдения в зданиях ГБУ ДО СО ОК ДЮСАШ "РиФ"</v>
      </c>
      <c r="G2901" s="22" t="s">
        <v>80</v>
      </c>
      <c r="H2901" s="22" t="s">
        <v>80</v>
      </c>
      <c r="I2901" s="26">
        <v>43692.469687500001</v>
      </c>
      <c r="J2901" s="28" t="s">
        <v>52</v>
      </c>
      <c r="K2901" s="28" t="s">
        <v>52</v>
      </c>
      <c r="L2901" s="28" t="s">
        <v>52</v>
      </c>
      <c r="M2901" s="28" t="s">
        <v>52</v>
      </c>
      <c r="N2901" s="28" t="s">
        <v>52</v>
      </c>
    </row>
    <row r="2902" spans="1:14" hidden="1" outlineLevel="1" x14ac:dyDescent="0.2">
      <c r="A2902" s="23" t="str">
        <f t="shared" si="123"/>
        <v>ГБУ ДО СО ОК ДЮСАШ "РИФ"</v>
      </c>
      <c r="B2902" s="24" t="s">
        <v>4281</v>
      </c>
      <c r="C2902" s="25">
        <v>774565.36</v>
      </c>
      <c r="D2902" s="22" t="s">
        <v>4282</v>
      </c>
      <c r="E2902" s="22" t="s">
        <v>59</v>
      </c>
      <c r="F2902" s="23" t="str">
        <f t="shared" si="124"/>
        <v>Установка систем видеонаблюдения в зданиях ГБУ ДО СО ОК ДЮСАШ "РиФ"</v>
      </c>
      <c r="G2902" s="22" t="s">
        <v>80</v>
      </c>
      <c r="H2902" s="22" t="s">
        <v>80</v>
      </c>
      <c r="I2902" s="26">
        <v>43692.469687500001</v>
      </c>
      <c r="J2902" s="23" t="str">
        <f>HYPERLINK("https://www.spark-marketing.ru/Card/Person/74710", "ООО ""АВЕРС-ВИДЕО""")</f>
        <v>ООО "АВЕРС-ВИДЕО"</v>
      </c>
      <c r="K2902" s="24" t="s">
        <v>2555</v>
      </c>
      <c r="L2902" s="28" t="s">
        <v>52</v>
      </c>
      <c r="M2902" s="25">
        <v>642889.14</v>
      </c>
      <c r="N2902" s="27">
        <v>0.17000014046587367</v>
      </c>
    </row>
    <row r="2903" spans="1:14" hidden="1" outlineLevel="1" x14ac:dyDescent="0.2">
      <c r="A2903" s="23" t="str">
        <f t="shared" si="123"/>
        <v>ГБУ ДО СО ОК ДЮСАШ "РИФ"</v>
      </c>
      <c r="B2903" s="24" t="s">
        <v>4281</v>
      </c>
      <c r="C2903" s="25">
        <v>774565.36</v>
      </c>
      <c r="D2903" s="22" t="s">
        <v>4282</v>
      </c>
      <c r="E2903" s="22" t="s">
        <v>59</v>
      </c>
      <c r="F2903" s="23" t="str">
        <f t="shared" si="124"/>
        <v>Установка систем видеонаблюдения в зданиях ГБУ ДО СО ОК ДЮСАШ "РиФ"</v>
      </c>
      <c r="G2903" s="22" t="s">
        <v>80</v>
      </c>
      <c r="H2903" s="22" t="s">
        <v>80</v>
      </c>
      <c r="I2903" s="26">
        <v>43692.469687500001</v>
      </c>
      <c r="J2903" s="23" t="str">
        <f>HYPERLINK("https://www.spark-marketing.ru/Card/Person/5997131", "Юренко Александр Сергеевич")</f>
        <v>Юренко Александр Сергеевич</v>
      </c>
      <c r="K2903" s="24" t="s">
        <v>4283</v>
      </c>
      <c r="L2903" s="28" t="s">
        <v>52</v>
      </c>
      <c r="M2903" s="25">
        <v>639016.31000000006</v>
      </c>
      <c r="N2903" s="27">
        <v>0.17500014459722288</v>
      </c>
    </row>
    <row r="2904" spans="1:14" hidden="1" outlineLevel="1" x14ac:dyDescent="0.2">
      <c r="A2904" s="23" t="str">
        <f t="shared" si="123"/>
        <v>ГБУ ДО СО ОК ДЮСАШ "РИФ"</v>
      </c>
      <c r="B2904" s="24" t="s">
        <v>4281</v>
      </c>
      <c r="C2904" s="25">
        <v>774565.36</v>
      </c>
      <c r="D2904" s="22" t="s">
        <v>4282</v>
      </c>
      <c r="E2904" s="22" t="s">
        <v>59</v>
      </c>
      <c r="F2904" s="23" t="str">
        <f t="shared" si="124"/>
        <v>Установка систем видеонаблюдения в зданиях ГБУ ДО СО ОК ДЮСАШ "РиФ"</v>
      </c>
      <c r="G2904" s="22" t="s">
        <v>80</v>
      </c>
      <c r="H2904" s="22" t="s">
        <v>80</v>
      </c>
      <c r="I2904" s="26">
        <v>43692.469687500001</v>
      </c>
      <c r="J2904" s="23" t="str">
        <f>HYPERLINK("https://www.spark-marketing.ru/Card/Person/4928835", "Гурский Юрий Анатольевич")</f>
        <v>Гурский Юрий Анатольевич</v>
      </c>
      <c r="K2904" s="24" t="s">
        <v>4284</v>
      </c>
      <c r="L2904" s="28" t="s">
        <v>52</v>
      </c>
      <c r="M2904" s="25">
        <v>360000</v>
      </c>
      <c r="N2904" s="27">
        <v>0.53522321215087643</v>
      </c>
    </row>
    <row r="2905" spans="1:14" hidden="1" outlineLevel="1" x14ac:dyDescent="0.2">
      <c r="A2905" s="23" t="str">
        <f t="shared" si="123"/>
        <v>ГБУ ДО СО ОК ДЮСАШ "РИФ"</v>
      </c>
      <c r="B2905" s="24" t="s">
        <v>4281</v>
      </c>
      <c r="C2905" s="25">
        <v>774565.36</v>
      </c>
      <c r="D2905" s="22" t="s">
        <v>4282</v>
      </c>
      <c r="E2905" s="22" t="s">
        <v>59</v>
      </c>
      <c r="F2905" s="23" t="str">
        <f t="shared" si="124"/>
        <v>Установка систем видеонаблюдения в зданиях ГБУ ДО СО ОК ДЮСАШ "РиФ"</v>
      </c>
      <c r="G2905" s="22" t="s">
        <v>80</v>
      </c>
      <c r="H2905" s="22" t="s">
        <v>80</v>
      </c>
      <c r="I2905" s="26">
        <v>43692.469687500001</v>
      </c>
      <c r="J2905" s="23" t="str">
        <f>HYPERLINK("https://www.spark-marketing.ru/Card/Person/36638", "ООО ""РАДОН-ТЕХ""")</f>
        <v>ООО "РАДОН-ТЕХ"</v>
      </c>
      <c r="K2905" s="24" t="s">
        <v>4285</v>
      </c>
      <c r="L2905" s="28" t="s">
        <v>52</v>
      </c>
      <c r="M2905" s="25">
        <v>352832.46</v>
      </c>
      <c r="N2905" s="27">
        <v>0.54447684053415457</v>
      </c>
    </row>
    <row r="2906" spans="1:14" ht="12.75" hidden="1" outlineLevel="1" x14ac:dyDescent="0.2">
      <c r="A2906" s="23" t="str">
        <f t="shared" si="123"/>
        <v>ГБУ ДО СО ОК ДЮСАШ "РИФ"</v>
      </c>
      <c r="B2906" s="24" t="s">
        <v>4281</v>
      </c>
      <c r="C2906" s="25">
        <v>774565.36</v>
      </c>
      <c r="D2906" s="22" t="s">
        <v>4282</v>
      </c>
      <c r="E2906" s="22" t="s">
        <v>59</v>
      </c>
      <c r="F2906" s="23" t="str">
        <f t="shared" si="124"/>
        <v>Установка систем видеонаблюдения в зданиях ГБУ ДО СО ОК ДЮСАШ "РиФ"</v>
      </c>
      <c r="G2906" s="22" t="s">
        <v>80</v>
      </c>
      <c r="H2906" s="22" t="s">
        <v>80</v>
      </c>
      <c r="I2906" s="26">
        <v>43692.469687500001</v>
      </c>
      <c r="J2906" s="23" t="str">
        <f>HYPERLINK("https://www.spark-marketing.ru/Card/Person/5512065", "Мугрузин Артем Александрович")</f>
        <v>Мугрузин Артем Александрович</v>
      </c>
      <c r="K2906" s="24" t="s">
        <v>4286</v>
      </c>
      <c r="L2906" s="22" t="s">
        <v>10</v>
      </c>
      <c r="M2906" s="25">
        <v>348959.63</v>
      </c>
      <c r="N2906" s="27">
        <v>0.54947684466550373</v>
      </c>
    </row>
    <row r="2907" spans="1:14" hidden="1" outlineLevel="1" x14ac:dyDescent="0.2">
      <c r="A2907" s="23" t="str">
        <f t="shared" si="123"/>
        <v>ГБУ ДО СО ОК ДЮСАШ "РИФ"</v>
      </c>
      <c r="B2907" s="24" t="s">
        <v>4281</v>
      </c>
      <c r="C2907" s="25">
        <v>774565.36</v>
      </c>
      <c r="D2907" s="22" t="s">
        <v>4282</v>
      </c>
      <c r="E2907" s="22" t="s">
        <v>59</v>
      </c>
      <c r="F2907" s="23" t="str">
        <f t="shared" si="124"/>
        <v>Установка систем видеонаблюдения в зданиях ГБУ ДО СО ОК ДЮСАШ "РиФ"</v>
      </c>
      <c r="G2907" s="22" t="s">
        <v>80</v>
      </c>
      <c r="H2907" s="22" t="s">
        <v>80</v>
      </c>
      <c r="I2907" s="26">
        <v>43692.469687500001</v>
      </c>
      <c r="J2907" s="23" t="str">
        <f>HYPERLINK("https://www.spark-marketing.ru/Card/Person/6697982", "ООО «СПЕЦСИГНАЛ»")</f>
        <v>ООО «СПЕЦСИГНАЛ»</v>
      </c>
      <c r="K2907" s="24" t="s">
        <v>4287</v>
      </c>
      <c r="L2907" s="28" t="s">
        <v>52</v>
      </c>
      <c r="M2907" s="25">
        <v>391560.76</v>
      </c>
      <c r="N2907" s="27">
        <v>0.49447679922066229</v>
      </c>
    </row>
    <row r="2908" spans="1:14" x14ac:dyDescent="0.15">
      <c r="A2908" s="23" t="str">
        <f>HYPERLINK("https://www.spark-marketing.ru/Card/Person/6363952", "ГБОУ ШКОЛА № 428 ПРИМОРСКОГО РАЙОНА САНКТ-ПЕТЕРБУРГА")</f>
        <v>ГБОУ ШКОЛА № 428 ПРИМОРСКОГО РАЙОНА САНКТ-ПЕТЕРБУРГА</v>
      </c>
      <c r="B2908" s="24" t="s">
        <v>4288</v>
      </c>
      <c r="C2908" s="25">
        <v>400000</v>
      </c>
      <c r="D2908" s="22" t="s">
        <v>4289</v>
      </c>
      <c r="E2908" s="22" t="s">
        <v>52</v>
      </c>
      <c r="F2908" s="23" t="str">
        <f>HYPERLINK("https://www.spark-marketing.ru/Card/Lot/72822029", "Оказание услуг по обеспечению физической, круглосуточной охраны объекта ГБОУ школа № 428 Приморского района Санкт-Петербурга по адресу: 197229,Санкт-Петербург,Юнтоловский проспект,дом 51,корпус 6")</f>
        <v>Оказание услуг по обеспечению физической, круглосуточной охраны объекта ГБОУ школа № 428 Приморского района Санкт-Петербурга по адресу: 197229,Санкт-Петербург,Юнтоловский проспект,дом 51,корпус 6</v>
      </c>
      <c r="G2908" s="22" t="s">
        <v>89</v>
      </c>
      <c r="H2908" s="22" t="s">
        <v>89</v>
      </c>
      <c r="I2908" s="26">
        <v>43692.707499999997</v>
      </c>
      <c r="J2908" s="28" t="s">
        <v>52</v>
      </c>
      <c r="K2908" s="28" t="s">
        <v>52</v>
      </c>
      <c r="L2908" s="28" t="s">
        <v>52</v>
      </c>
      <c r="M2908" s="28" t="s">
        <v>52</v>
      </c>
      <c r="N2908" s="28" t="s">
        <v>52</v>
      </c>
    </row>
    <row r="2909" spans="1:14" hidden="1" outlineLevel="1" x14ac:dyDescent="0.2">
      <c r="A2909" s="23" t="str">
        <f>HYPERLINK("https://www.spark-marketing.ru/Card/Person/6363952", "ГБОУ ШКОЛА № 428 ПРИМОРСКОГО РАЙОНА САНКТ-ПЕТЕРБУРГА")</f>
        <v>ГБОУ ШКОЛА № 428 ПРИМОРСКОГО РАЙОНА САНКТ-ПЕТЕРБУРГА</v>
      </c>
      <c r="B2909" s="24" t="s">
        <v>4288</v>
      </c>
      <c r="C2909" s="25">
        <v>400000</v>
      </c>
      <c r="D2909" s="22" t="s">
        <v>4289</v>
      </c>
      <c r="E2909" s="22" t="s">
        <v>52</v>
      </c>
      <c r="F2909" s="23" t="str">
        <f>HYPERLINK("https://www.spark-marketing.ru/Card/Lot/72822029", "Оказание услуг по обеспечению физической, круглосуточной охраны объекта ГБОУ школа № 428 Приморского района Санкт-Петербурга по адресу: 197229,Санкт-Петербург,Юнтоловский проспект,дом 51,корпус 6")</f>
        <v>Оказание услуг по обеспечению физической, круглосуточной охраны объекта ГБОУ школа № 428 Приморского района Санкт-Петербурга по адресу: 197229,Санкт-Петербург,Юнтоловский проспект,дом 51,корпус 6</v>
      </c>
      <c r="G2909" s="22" t="s">
        <v>89</v>
      </c>
      <c r="H2909" s="22" t="s">
        <v>89</v>
      </c>
      <c r="I2909" s="26">
        <v>43692.707499999997</v>
      </c>
      <c r="J2909" s="23" t="str">
        <f>HYPERLINK("https://www.spark-marketing.ru/Card/Person/135806", "ООО ""ОП ""РАДОН""")</f>
        <v>ООО "ОП "РАДОН"</v>
      </c>
      <c r="K2909" s="24" t="s">
        <v>4139</v>
      </c>
      <c r="L2909" s="28" t="s">
        <v>52</v>
      </c>
      <c r="M2909" s="25">
        <v>258000</v>
      </c>
      <c r="N2909" s="27">
        <v>0.35499999999999998</v>
      </c>
    </row>
    <row r="2910" spans="1:14" hidden="1" outlineLevel="1" x14ac:dyDescent="0.2">
      <c r="A2910" s="23" t="str">
        <f>HYPERLINK("https://www.spark-marketing.ru/Card/Person/6363952", "ГБОУ ШКОЛА № 428 ПРИМОРСКОГО РАЙОНА САНКТ-ПЕТЕРБУРГА")</f>
        <v>ГБОУ ШКОЛА № 428 ПРИМОРСКОГО РАЙОНА САНКТ-ПЕТЕРБУРГА</v>
      </c>
      <c r="B2910" s="24" t="s">
        <v>4288</v>
      </c>
      <c r="C2910" s="25">
        <v>400000</v>
      </c>
      <c r="D2910" s="22" t="s">
        <v>4289</v>
      </c>
      <c r="E2910" s="22" t="s">
        <v>52</v>
      </c>
      <c r="F2910" s="23" t="str">
        <f>HYPERLINK("https://www.spark-marketing.ru/Card/Lot/72822029", "Оказание услуг по обеспечению физической, круглосуточной охраны объекта ГБОУ школа № 428 Приморского района Санкт-Петербурга по адресу: 197229,Санкт-Петербург,Юнтоловский проспект,дом 51,корпус 6")</f>
        <v>Оказание услуг по обеспечению физической, круглосуточной охраны объекта ГБОУ школа № 428 Приморского района Санкт-Петербурга по адресу: 197229,Санкт-Петербург,Юнтоловский проспект,дом 51,корпус 6</v>
      </c>
      <c r="G2910" s="22" t="s">
        <v>89</v>
      </c>
      <c r="H2910" s="22" t="s">
        <v>89</v>
      </c>
      <c r="I2910" s="26">
        <v>43692.707499999997</v>
      </c>
      <c r="J2910" s="23" t="str">
        <f>HYPERLINK("https://www.spark-marketing.ru/Card/Person/123130", "ООО ""ЧОП ""СЗАОПО-С""")</f>
        <v>ООО "ЧОП "СЗАОПО-С"</v>
      </c>
      <c r="K2910" s="24" t="s">
        <v>4290</v>
      </c>
      <c r="L2910" s="28" t="s">
        <v>52</v>
      </c>
      <c r="M2910" s="25">
        <v>308000</v>
      </c>
      <c r="N2910" s="27">
        <v>0.23</v>
      </c>
    </row>
    <row r="2911" spans="1:14" hidden="1" outlineLevel="1" x14ac:dyDescent="0.2">
      <c r="A2911" s="23" t="str">
        <f>HYPERLINK("https://www.spark-marketing.ru/Card/Person/6363952", "ГБОУ ШКОЛА № 428 ПРИМОРСКОГО РАЙОНА САНКТ-ПЕТЕРБУРГА")</f>
        <v>ГБОУ ШКОЛА № 428 ПРИМОРСКОГО РАЙОНА САНКТ-ПЕТЕРБУРГА</v>
      </c>
      <c r="B2911" s="24" t="s">
        <v>4288</v>
      </c>
      <c r="C2911" s="25">
        <v>400000</v>
      </c>
      <c r="D2911" s="22" t="s">
        <v>4289</v>
      </c>
      <c r="E2911" s="22" t="s">
        <v>52</v>
      </c>
      <c r="F2911" s="23" t="str">
        <f>HYPERLINK("https://www.spark-marketing.ru/Card/Lot/72822029", "Оказание услуг по обеспечению физической, круглосуточной охраны объекта ГБОУ школа № 428 Приморского района Санкт-Петербурга по адресу: 197229,Санкт-Петербург,Юнтоловский проспект,дом 51,корпус 6")</f>
        <v>Оказание услуг по обеспечению физической, круглосуточной охраны объекта ГБОУ школа № 428 Приморского района Санкт-Петербурга по адресу: 197229,Санкт-Петербург,Юнтоловский проспект,дом 51,корпус 6</v>
      </c>
      <c r="G2911" s="22" t="s">
        <v>89</v>
      </c>
      <c r="H2911" s="22" t="s">
        <v>89</v>
      </c>
      <c r="I2911" s="26">
        <v>43692.707499999997</v>
      </c>
      <c r="J2911" s="23" t="str">
        <f>HYPERLINK("https://www.spark-marketing.ru/Card/Person/1957699", "ООО ""ОП ""ТРАНС-СЕКЬЮРИТИ""""")</f>
        <v>ООО "ОП "ТРАНС-СЕКЬЮРИТИ""</v>
      </c>
      <c r="K2911" s="24" t="s">
        <v>4138</v>
      </c>
      <c r="L2911" s="28" t="s">
        <v>52</v>
      </c>
      <c r="M2911" s="25">
        <v>288000</v>
      </c>
      <c r="N2911" s="27">
        <v>0.28000000000000003</v>
      </c>
    </row>
    <row r="2912" spans="1:14" ht="12.75" hidden="1" outlineLevel="1" x14ac:dyDescent="0.2">
      <c r="A2912" s="23" t="str">
        <f>HYPERLINK("https://www.spark-marketing.ru/Card/Person/6363952", "ГБОУ ШКОЛА № 428 ПРИМОРСКОГО РАЙОНА САНКТ-ПЕТЕРБУРГА")</f>
        <v>ГБОУ ШКОЛА № 428 ПРИМОРСКОГО РАЙОНА САНКТ-ПЕТЕРБУРГА</v>
      </c>
      <c r="B2912" s="24" t="s">
        <v>4288</v>
      </c>
      <c r="C2912" s="25">
        <v>400000</v>
      </c>
      <c r="D2912" s="22" t="s">
        <v>4289</v>
      </c>
      <c r="E2912" s="22" t="s">
        <v>52</v>
      </c>
      <c r="F2912" s="23" t="str">
        <f>HYPERLINK("https://www.spark-marketing.ru/Card/Lot/72822029", "Оказание услуг по обеспечению физической, круглосуточной охраны объекта ГБОУ школа № 428 Приморского района Санкт-Петербурга по адресу: 197229,Санкт-Петербург,Юнтоловский проспект,дом 51,корпус 6")</f>
        <v>Оказание услуг по обеспечению физической, круглосуточной охраны объекта ГБОУ школа № 428 Приморского района Санкт-Петербурга по адресу: 197229,Санкт-Петербург,Юнтоловский проспект,дом 51,корпус 6</v>
      </c>
      <c r="G2912" s="22" t="s">
        <v>89</v>
      </c>
      <c r="H2912" s="22" t="s">
        <v>89</v>
      </c>
      <c r="I2912" s="26">
        <v>43692.707499999997</v>
      </c>
      <c r="J2912" s="23" t="str">
        <f>HYPERLINK("https://www.spark-marketing.ru/Card/Person/64705", "ООО ""ОО ""РУССКАЯ БАЛТИКА""")</f>
        <v>ООО "ОО "РУССКАЯ БАЛТИКА"</v>
      </c>
      <c r="K2912" s="24" t="s">
        <v>4291</v>
      </c>
      <c r="L2912" s="22" t="s">
        <v>10</v>
      </c>
      <c r="M2912" s="25">
        <v>256000</v>
      </c>
      <c r="N2912" s="27">
        <v>0.36</v>
      </c>
    </row>
    <row r="2913" spans="1:14" x14ac:dyDescent="0.15">
      <c r="A2913" s="23" t="str">
        <f>HYPERLINK("https://www.spark-marketing.ru/Card/Person/238659", "КГБУ ""ЦРМПИООС""")</f>
        <v>КГБУ "ЦРМПИООС"</v>
      </c>
      <c r="B2913" s="24" t="s">
        <v>4292</v>
      </c>
      <c r="C2913" s="25">
        <v>164333.32999999999</v>
      </c>
      <c r="D2913" s="22" t="s">
        <v>4293</v>
      </c>
      <c r="E2913" s="22" t="s">
        <v>985</v>
      </c>
      <c r="F2913" s="23" t="str">
        <f>HYPERLINK("https://www.spark-marketing.ru/Card/Lot/72813905", "№ ЭА 45786/19 «Поставка с установкой кузова унифицированного герметизированного (КУНГ) для автомобиля MITSUBISHIL200 2.5 2012 года выпуска для нужд Краевого государственного бюджетного учреждения «Центр реализации мероприятий по природопользованию и ...")</f>
        <v>№ ЭА 45786/19 «Поставка с установкой кузова унифицированного герметизированного (КУНГ) для автомобиля MITSUBISHIL200 2.5 2012 года выпуска для нужд Краевого государственного бюджетного учреждения «Центр реализации мероприятий по природопользованию и ...</v>
      </c>
      <c r="G2913" s="22" t="s">
        <v>640</v>
      </c>
      <c r="H2913" s="22" t="s">
        <v>1524</v>
      </c>
      <c r="I2913" s="26">
        <v>43691.773449074099</v>
      </c>
      <c r="J2913" s="23" t="str">
        <f>HYPERLINK("https://www.spark-marketing.ru/Card/Person/5237695", "Казанцев Иван Валерьевич")</f>
        <v>Казанцев Иван Валерьевич</v>
      </c>
      <c r="K2913" s="24" t="s">
        <v>4294</v>
      </c>
      <c r="L2913" s="22" t="s">
        <v>10</v>
      </c>
      <c r="M2913" s="28" t="s">
        <v>52</v>
      </c>
      <c r="N2913" s="28" t="s">
        <v>52</v>
      </c>
    </row>
    <row r="2914" spans="1:14" x14ac:dyDescent="0.15">
      <c r="A2914" s="23" t="str">
        <f>HYPERLINK("https://www.spark-marketing.ru/Card/Person/4844", "УФНС РОССИИ ПО СВЕРДЛОВСКОЙ ОБЛАСТИ")</f>
        <v>УФНС РОССИИ ПО СВЕРДЛОВСКОЙ ОБЛАСТИ</v>
      </c>
      <c r="B2914" s="24" t="s">
        <v>3914</v>
      </c>
      <c r="C2914" s="25">
        <v>35000</v>
      </c>
      <c r="D2914" s="22" t="s">
        <v>4295</v>
      </c>
      <c r="E2914" s="22" t="s">
        <v>59</v>
      </c>
      <c r="F2914" s="23" t="str">
        <f>HYPERLINK("https://www.spark-marketing.ru/Card/Lot/72813898", "монтаж, техническое обслуживание систем видеонаблюдения, 1 шт")</f>
        <v>монтаж, техническое обслуживание систем видеонаблюдения, 1 шт</v>
      </c>
      <c r="G2914" s="22" t="s">
        <v>72</v>
      </c>
      <c r="H2914" s="22" t="s">
        <v>949</v>
      </c>
      <c r="I2914" s="26">
        <v>43692.6495601852</v>
      </c>
      <c r="J2914" s="28" t="s">
        <v>52</v>
      </c>
      <c r="K2914" s="28" t="s">
        <v>52</v>
      </c>
      <c r="L2914" s="28" t="s">
        <v>52</v>
      </c>
      <c r="M2914" s="28" t="s">
        <v>52</v>
      </c>
      <c r="N2914" s="28" t="s">
        <v>52</v>
      </c>
    </row>
    <row r="2915" spans="1:14" x14ac:dyDescent="0.15">
      <c r="A2915" s="23" t="str">
        <f>HYPERLINK("https://www.spark-marketing.ru/Card/Person/815986", "ОТДЕЛ МВД РОССИИ ПО АКТАНЫШСКОМУ РАЙОНУ")</f>
        <v>ОТДЕЛ МВД РОССИИ ПО АКТАНЫШСКОМУ РАЙОНУ</v>
      </c>
      <c r="B2915" s="24" t="s">
        <v>3881</v>
      </c>
      <c r="C2915" s="25">
        <v>14406.48</v>
      </c>
      <c r="D2915" s="22" t="s">
        <v>4296</v>
      </c>
      <c r="E2915" s="22" t="s">
        <v>107</v>
      </c>
      <c r="F2915" s="23" t="str">
        <f>HYPERLINK("https://www.spark-marketing.ru/Card/Lot/72814802", "Техническое обслуживание и ППР технических средств охраны, 1 шт")</f>
        <v>Техническое обслуживание и ППР технических средств охраны, 1 шт</v>
      </c>
      <c r="G2915" s="22" t="s">
        <v>204</v>
      </c>
      <c r="H2915" s="22" t="s">
        <v>204</v>
      </c>
      <c r="I2915" s="26">
        <v>43692.640046296299</v>
      </c>
      <c r="J2915" s="28" t="s">
        <v>52</v>
      </c>
      <c r="K2915" s="28" t="s">
        <v>52</v>
      </c>
      <c r="L2915" s="28" t="s">
        <v>52</v>
      </c>
      <c r="M2915" s="28" t="s">
        <v>52</v>
      </c>
      <c r="N2915" s="28" t="s">
        <v>52</v>
      </c>
    </row>
    <row r="2916" spans="1:14" x14ac:dyDescent="0.15">
      <c r="A2916" s="23" t="str">
        <f>HYPERLINK("https://www.spark-marketing.ru/Card/Person/29357", "ПУ ФСБ РОССИИ ПО КАЛИНИНГРАДСКОЙ ОБЛАСТИ")</f>
        <v>ПУ ФСБ РОССИИ ПО КАЛИНИНГРАДСКОЙ ОБЛАСТИ</v>
      </c>
      <c r="B2916" s="24" t="s">
        <v>4297</v>
      </c>
      <c r="C2916" s="25">
        <v>751800</v>
      </c>
      <c r="D2916" s="22" t="s">
        <v>4298</v>
      </c>
      <c r="E2916" s="22" t="s">
        <v>52</v>
      </c>
      <c r="F2916" s="23" t="str">
        <f>HYPERLINK("https://www.spark-marketing.ru/Card/Lot/72820072", "Выполнение в рамках государственного оборонного заказа работ по монтажу элементов комплекса инженерно-технических средств охраны и защиты объекта")</f>
        <v>Выполнение в рамках государственного оборонного заказа работ по монтажу элементов комплекса инженерно-технических средств охраны и защиты объекта</v>
      </c>
      <c r="G2916" s="22" t="s">
        <v>247</v>
      </c>
      <c r="H2916" s="22" t="s">
        <v>576</v>
      </c>
      <c r="I2916" s="26">
        <v>43692.648611111101</v>
      </c>
      <c r="J2916" s="28" t="s">
        <v>52</v>
      </c>
      <c r="K2916" s="28" t="s">
        <v>52</v>
      </c>
      <c r="L2916" s="28" t="s">
        <v>52</v>
      </c>
      <c r="M2916" s="28" t="s">
        <v>52</v>
      </c>
      <c r="N2916" s="28" t="s">
        <v>52</v>
      </c>
    </row>
    <row r="2917" spans="1:14" x14ac:dyDescent="0.15">
      <c r="A2917" s="23" t="str">
        <f>HYPERLINK("https://www.spark-marketing.ru/Card/Person/536031", "МОМВД РОССИИ ""МОРШАНСКИЙ""")</f>
        <v>МОМВД РОССИИ "МОРШАНСКИЙ"</v>
      </c>
      <c r="B2917" s="24" t="s">
        <v>4299</v>
      </c>
      <c r="C2917" s="25">
        <v>80968.800000000003</v>
      </c>
      <c r="D2917" s="22" t="s">
        <v>4300</v>
      </c>
      <c r="E2917" s="22" t="s">
        <v>53</v>
      </c>
      <c r="F2917" s="23" t="str">
        <f>HYPERLINK("https://www.spark-marketing.ru/Card/Lot/72814651", "Оказание услуг по техничесмкому обслуживанию комплекса технических средств охраны на объектах")</f>
        <v>Оказание услуг по техничесмкому обслуживанию комплекса технических средств охраны на объектах</v>
      </c>
      <c r="G2917" s="22" t="s">
        <v>1319</v>
      </c>
      <c r="H2917" s="22" t="s">
        <v>4301</v>
      </c>
      <c r="I2917" s="26">
        <v>43692.633344907401</v>
      </c>
      <c r="J2917" s="28" t="s">
        <v>52</v>
      </c>
      <c r="K2917" s="28" t="s">
        <v>52</v>
      </c>
      <c r="L2917" s="28" t="s">
        <v>52</v>
      </c>
      <c r="M2917" s="28" t="s">
        <v>52</v>
      </c>
      <c r="N2917" s="28" t="s">
        <v>52</v>
      </c>
    </row>
    <row r="2918" spans="1:14" x14ac:dyDescent="0.15">
      <c r="A2918" s="23" t="str">
        <f>HYPERLINK("https://www.spark-marketing.ru/Card/Person/5960722", "МКУ ""ЕДДС ГОРОДСКОГО ОКРУГА ЕГОРЬЕВСК""")</f>
        <v>МКУ "ЕДДС ГОРОДСКОГО ОКРУГА ЕГОРЬЕВСК"</v>
      </c>
      <c r="B2918" s="24" t="s">
        <v>288</v>
      </c>
      <c r="C2918" s="25">
        <v>1499949.31</v>
      </c>
      <c r="D2918" s="22" t="s">
        <v>4302</v>
      </c>
      <c r="E2918" s="22" t="s">
        <v>84</v>
      </c>
      <c r="F2918" s="23" t="str">
        <f>HYPERLINK("https://www.spark-marketing.ru/Card/Lot/72817521", "Определение исполнителя по установке видеонаблюдения в жилом секторе со сложной криминогенной обстановкой Г.О. Егорьевск с подключением к системе ""Безопасный регион""")</f>
        <v>Определение исполнителя по установке видеонаблюдения в жилом секторе со сложной криминогенной обстановкой Г.О. Егорьевск с подключением к системе "Безопасный регион"</v>
      </c>
      <c r="G2918" s="22" t="s">
        <v>50</v>
      </c>
      <c r="H2918" s="22" t="s">
        <v>239</v>
      </c>
      <c r="I2918" s="26">
        <v>43692.510046296302</v>
      </c>
      <c r="J2918" s="28" t="s">
        <v>52</v>
      </c>
      <c r="K2918" s="28" t="s">
        <v>52</v>
      </c>
      <c r="L2918" s="28" t="s">
        <v>52</v>
      </c>
      <c r="M2918" s="28" t="s">
        <v>52</v>
      </c>
      <c r="N2918" s="28" t="s">
        <v>52</v>
      </c>
    </row>
    <row r="2919" spans="1:14" hidden="1" outlineLevel="1" x14ac:dyDescent="0.2">
      <c r="A2919" s="23" t="str">
        <f>HYPERLINK("https://www.spark-marketing.ru/Card/Person/5960722", "МКУ ""ЕДДС ГОРОДСКОГО ОКРУГА ЕГОРЬЕВСК""")</f>
        <v>МКУ "ЕДДС ГОРОДСКОГО ОКРУГА ЕГОРЬЕВСК"</v>
      </c>
      <c r="B2919" s="24" t="s">
        <v>288</v>
      </c>
      <c r="C2919" s="25">
        <v>1499949.31</v>
      </c>
      <c r="D2919" s="22" t="s">
        <v>4302</v>
      </c>
      <c r="E2919" s="22" t="s">
        <v>84</v>
      </c>
      <c r="F2919" s="23" t="str">
        <f>HYPERLINK("https://www.spark-marketing.ru/Card/Lot/72817521", "Определение исполнителя по установке видеонаблюдения в жилом секторе со сложной криминогенной обстановкой Г.О. Егорьевск с подключением к системе ""Безопасный регион""")</f>
        <v>Определение исполнителя по установке видеонаблюдения в жилом секторе со сложной криминогенной обстановкой Г.О. Егорьевск с подключением к системе "Безопасный регион"</v>
      </c>
      <c r="G2919" s="22" t="s">
        <v>50</v>
      </c>
      <c r="H2919" s="22" t="s">
        <v>239</v>
      </c>
      <c r="I2919" s="26">
        <v>43692.510046296302</v>
      </c>
      <c r="J2919" s="23" t="str">
        <f>HYPERLINK("https://www.spark-marketing.ru/Card/Person/2125716", "Сафронов Сергей Александрович")</f>
        <v>Сафронов Сергей Александрович</v>
      </c>
      <c r="K2919" s="24" t="s">
        <v>4303</v>
      </c>
      <c r="L2919" s="28" t="s">
        <v>52</v>
      </c>
      <c r="M2919" s="25">
        <v>1289956.3400000001</v>
      </c>
      <c r="N2919" s="27">
        <v>0.14000004440150046</v>
      </c>
    </row>
    <row r="2920" spans="1:14" hidden="1" outlineLevel="1" x14ac:dyDescent="0.2">
      <c r="A2920" s="23" t="str">
        <f>HYPERLINK("https://www.spark-marketing.ru/Card/Person/5960722", "МКУ ""ЕДДС ГОРОДСКОГО ОКРУГА ЕГОРЬЕВСК""")</f>
        <v>МКУ "ЕДДС ГОРОДСКОГО ОКРУГА ЕГОРЬЕВСК"</v>
      </c>
      <c r="B2920" s="24" t="s">
        <v>288</v>
      </c>
      <c r="C2920" s="25">
        <v>1499949.31</v>
      </c>
      <c r="D2920" s="22" t="s">
        <v>4302</v>
      </c>
      <c r="E2920" s="22" t="s">
        <v>84</v>
      </c>
      <c r="F2920" s="23" t="str">
        <f>HYPERLINK("https://www.spark-marketing.ru/Card/Lot/72817521", "Определение исполнителя по установке видеонаблюдения в жилом секторе со сложной криминогенной обстановкой Г.О. Егорьевск с подключением к системе ""Безопасный регион""")</f>
        <v>Определение исполнителя по установке видеонаблюдения в жилом секторе со сложной криминогенной обстановкой Г.О. Егорьевск с подключением к системе "Безопасный регион"</v>
      </c>
      <c r="G2920" s="22" t="s">
        <v>50</v>
      </c>
      <c r="H2920" s="22" t="s">
        <v>239</v>
      </c>
      <c r="I2920" s="26">
        <v>43692.510046296302</v>
      </c>
      <c r="J2920" s="23" t="str">
        <f>HYPERLINK("https://www.spark-marketing.ru/Card/Person/1688612", "ООО ""СПЕЦСВЯЗЬ-МО""")</f>
        <v>ООО "СПЕЦСВЯЗЬ-МО"</v>
      </c>
      <c r="K2920" s="24" t="s">
        <v>4304</v>
      </c>
      <c r="L2920" s="28" t="s">
        <v>52</v>
      </c>
      <c r="M2920" s="25">
        <v>1297456.0900000001</v>
      </c>
      <c r="N2920" s="27">
        <v>0.13500004210142275</v>
      </c>
    </row>
    <row r="2921" spans="1:14" ht="12.75" hidden="1" outlineLevel="1" x14ac:dyDescent="0.2">
      <c r="A2921" s="23" t="str">
        <f>HYPERLINK("https://www.spark-marketing.ru/Card/Person/5960722", "МКУ ""ЕДДС ГОРОДСКОГО ОКРУГА ЕГОРЬЕВСК""")</f>
        <v>МКУ "ЕДДС ГОРОДСКОГО ОКРУГА ЕГОРЬЕВСК"</v>
      </c>
      <c r="B2921" s="24" t="s">
        <v>288</v>
      </c>
      <c r="C2921" s="25">
        <v>1499949.31</v>
      </c>
      <c r="D2921" s="22" t="s">
        <v>4302</v>
      </c>
      <c r="E2921" s="22" t="s">
        <v>84</v>
      </c>
      <c r="F2921" s="23" t="str">
        <f>HYPERLINK("https://www.spark-marketing.ru/Card/Lot/72817521", "Определение исполнителя по установке видеонаблюдения в жилом секторе со сложной криминогенной обстановкой Г.О. Егорьевск с подключением к системе ""Безопасный регион""")</f>
        <v>Определение исполнителя по установке видеонаблюдения в жилом секторе со сложной криминогенной обстановкой Г.О. Егорьевск с подключением к системе "Безопасный регион"</v>
      </c>
      <c r="G2921" s="22" t="s">
        <v>50</v>
      </c>
      <c r="H2921" s="22" t="s">
        <v>239</v>
      </c>
      <c r="I2921" s="26">
        <v>43692.510046296302</v>
      </c>
      <c r="J2921" s="23" t="str">
        <f>HYPERLINK("https://www.spark-marketing.ru/Card/Person/4855697", "Перебейносов Алексей Игоревич")</f>
        <v>Перебейносов Алексей Игоревич</v>
      </c>
      <c r="K2921" s="24" t="s">
        <v>2716</v>
      </c>
      <c r="L2921" s="22" t="s">
        <v>10</v>
      </c>
      <c r="M2921" s="25">
        <v>1282456.5900000001</v>
      </c>
      <c r="N2921" s="27">
        <v>0.14500004670157821</v>
      </c>
    </row>
    <row r="2922" spans="1:14" x14ac:dyDescent="0.15">
      <c r="A2922" s="23" t="str">
        <f>HYPERLINK("https://www.spark-marketing.ru/Card/Person/5898172", "АО АО РЯЗАНСКАЯ НЕФТЕПЕРЕРАБАТЫВАЮЩАЯ КОМПАНИЯ")</f>
        <v>АО АО РЯЗАНСКАЯ НЕФТЕПЕРЕРАБАТЫВАЮЩАЯ КОМПАНИЯ</v>
      </c>
      <c r="B2922" s="28" t="s">
        <v>52</v>
      </c>
      <c r="C2922" s="28" t="s">
        <v>52</v>
      </c>
      <c r="D2922" s="22" t="s">
        <v>4305</v>
      </c>
      <c r="E2922" s="22" t="s">
        <v>370</v>
      </c>
      <c r="F2922" s="23" t="str">
        <f>HYPERLINK("https://www.spark-marketing.ru/Card/Lot/72812070", "Техническое обслуживание систем автоматической противопожарной сигнализации смонтированных на объектах АО «РНПК»")</f>
        <v>Техническое обслуживание систем автоматической противопожарной сигнализации смонтированных на объектах АО «РНПК»</v>
      </c>
      <c r="G2922" s="22" t="s">
        <v>52</v>
      </c>
      <c r="H2922" s="22" t="s">
        <v>52</v>
      </c>
      <c r="I2922" s="26">
        <v>43692.612500000003</v>
      </c>
      <c r="J2922" s="28" t="s">
        <v>52</v>
      </c>
      <c r="K2922" s="28" t="s">
        <v>52</v>
      </c>
      <c r="L2922" s="28" t="s">
        <v>52</v>
      </c>
      <c r="M2922" s="28" t="s">
        <v>52</v>
      </c>
      <c r="N2922" s="28" t="s">
        <v>52</v>
      </c>
    </row>
    <row r="2923" spans="1:14" x14ac:dyDescent="0.15">
      <c r="A2923" s="23" t="str">
        <f>HYPERLINK("https://www.spark-marketing.ru/Card/Person/5898172", "АО АО РЯЗАНСКАЯ НЕФТЕПЕРЕРАБАТЫВАЮЩАЯ КОМПАНИЯ")</f>
        <v>АО АО РЯЗАНСКАЯ НЕФТЕПЕРЕРАБАТЫВАЮЩАЯ КОМПАНИЯ</v>
      </c>
      <c r="B2923" s="28" t="s">
        <v>52</v>
      </c>
      <c r="C2923" s="28" t="s">
        <v>52</v>
      </c>
      <c r="D2923" s="22" t="s">
        <v>4305</v>
      </c>
      <c r="E2923" s="22" t="s">
        <v>370</v>
      </c>
      <c r="F2923" s="23" t="str">
        <f>HYPERLINK("https://www.spark-marketing.ru/Card/Lot/72812069", "Техническое обслуживание систем автоматической противопожарной сигнализации смонтированных на объектах АО «РНПК»")</f>
        <v>Техническое обслуживание систем автоматической противопожарной сигнализации смонтированных на объектах АО «РНПК»</v>
      </c>
      <c r="G2923" s="22" t="s">
        <v>52</v>
      </c>
      <c r="H2923" s="22" t="s">
        <v>52</v>
      </c>
      <c r="I2923" s="26">
        <v>43692.612500000003</v>
      </c>
      <c r="J2923" s="28" t="s">
        <v>52</v>
      </c>
      <c r="K2923" s="28" t="s">
        <v>52</v>
      </c>
      <c r="L2923" s="28" t="s">
        <v>52</v>
      </c>
      <c r="M2923" s="28" t="s">
        <v>52</v>
      </c>
      <c r="N2923" s="28" t="s">
        <v>52</v>
      </c>
    </row>
    <row r="2924" spans="1:14" x14ac:dyDescent="0.15">
      <c r="A2924" s="23" t="str">
        <f>HYPERLINK("https://www.spark-marketing.ru/Card/Person/6400491", "НОВОКУЙБ НПЗ АО НОВОКУЙБЫШЕВСКИЙ НПЗ")</f>
        <v>НОВОКУЙБ НПЗ АО НОВОКУЙБЫШЕВСКИЙ НПЗ</v>
      </c>
      <c r="B2924" s="28" t="s">
        <v>52</v>
      </c>
      <c r="C2924" s="25">
        <v>9923499.1300000008</v>
      </c>
      <c r="D2924" s="22" t="s">
        <v>4306</v>
      </c>
      <c r="E2924" s="22" t="s">
        <v>370</v>
      </c>
      <c r="F2924" s="23" t="str">
        <f>HYPERLINK("https://www.spark-marketing.ru/Card/Lot/72811936", "Обслуживание оборудования инженерно-технических средств охраны")</f>
        <v>Обслуживание оборудования инженерно-технических средств охраны</v>
      </c>
      <c r="G2924" s="22" t="s">
        <v>52</v>
      </c>
      <c r="H2924" s="22" t="s">
        <v>52</v>
      </c>
      <c r="I2924" s="26">
        <v>43692.5847222222</v>
      </c>
      <c r="J2924" s="28" t="s">
        <v>52</v>
      </c>
      <c r="K2924" s="28" t="s">
        <v>52</v>
      </c>
      <c r="L2924" s="28" t="s">
        <v>52</v>
      </c>
      <c r="M2924" s="28" t="s">
        <v>52</v>
      </c>
      <c r="N2924" s="28" t="s">
        <v>52</v>
      </c>
    </row>
    <row r="2925" spans="1:14" x14ac:dyDescent="0.15">
      <c r="A2925" s="23" t="str">
        <f>HYPERLINK("https://www.spark-marketing.ru/Card/Person/33453", "МКУ ""ТУ ""МЫТИЩИНСКОЕ""")</f>
        <v>МКУ "ТУ "МЫТИЩИНСКОЕ"</v>
      </c>
      <c r="B2925" s="24" t="s">
        <v>4307</v>
      </c>
      <c r="C2925" s="25">
        <v>96000</v>
      </c>
      <c r="D2925" s="22" t="s">
        <v>4308</v>
      </c>
      <c r="E2925" s="22" t="s">
        <v>746</v>
      </c>
      <c r="F2925" s="23" t="str">
        <f>HYPERLINK("https://www.spark-marketing.ru/Card/Lot/72801692", "Оказание охранных услуг и услуг по техническому обслуживанию средств охранной сигнализации и КТС в административных помещениях по 4 адресам")</f>
        <v>Оказание охранных услуг и услуг по техническому обслуживанию средств охранной сигнализации и КТС в административных помещениях по 4 адресам</v>
      </c>
      <c r="G2925" s="22" t="s">
        <v>50</v>
      </c>
      <c r="H2925" s="22" t="s">
        <v>323</v>
      </c>
      <c r="I2925" s="26">
        <v>43692.461817129602</v>
      </c>
      <c r="J2925" s="28" t="s">
        <v>52</v>
      </c>
      <c r="K2925" s="28" t="s">
        <v>52</v>
      </c>
      <c r="L2925" s="28" t="s">
        <v>52</v>
      </c>
      <c r="M2925" s="28" t="s">
        <v>52</v>
      </c>
      <c r="N2925" s="28" t="s">
        <v>52</v>
      </c>
    </row>
    <row r="2926" spans="1:14" x14ac:dyDescent="0.15">
      <c r="A2926" s="23" t="str">
        <f>HYPERLINK("https://www.spark-marketing.ru/Card/Person/51331", "ВЕРХОВНЫЙ СУД РЕСПУБЛИКИ ХАКАСИЯ")</f>
        <v>ВЕРХОВНЫЙ СУД РЕСПУБЛИКИ ХАКАСИЯ</v>
      </c>
      <c r="B2926" s="24" t="s">
        <v>4309</v>
      </c>
      <c r="C2926" s="25">
        <v>325146</v>
      </c>
      <c r="D2926" s="22" t="s">
        <v>4310</v>
      </c>
      <c r="E2926" s="22" t="s">
        <v>84</v>
      </c>
      <c r="F2926" s="23" t="str">
        <f>HYPERLINK("https://www.spark-marketing.ru/Card/Lot/72804787", "Установка и настройка серверов видеонаблюдения")</f>
        <v>Установка и настройка серверов видеонаблюдения</v>
      </c>
      <c r="G2926" s="22" t="s">
        <v>1041</v>
      </c>
      <c r="H2926" s="22" t="s">
        <v>4311</v>
      </c>
      <c r="I2926" s="26">
        <v>43692.409560185202</v>
      </c>
      <c r="J2926" s="28" t="s">
        <v>52</v>
      </c>
      <c r="K2926" s="28" t="s">
        <v>52</v>
      </c>
      <c r="L2926" s="28" t="s">
        <v>52</v>
      </c>
      <c r="M2926" s="28" t="s">
        <v>52</v>
      </c>
      <c r="N2926" s="28" t="s">
        <v>52</v>
      </c>
    </row>
    <row r="2927" spans="1:14" ht="12.75" hidden="1" outlineLevel="1" x14ac:dyDescent="0.2">
      <c r="A2927" s="23" t="str">
        <f>HYPERLINK("https://www.spark-marketing.ru/Card/Person/51331", "ВЕРХОВНЫЙ СУД РЕСПУБЛИКИ ХАКАСИЯ")</f>
        <v>ВЕРХОВНЫЙ СУД РЕСПУБЛИКИ ХАКАСИЯ</v>
      </c>
      <c r="B2927" s="24" t="s">
        <v>4309</v>
      </c>
      <c r="C2927" s="25">
        <v>325146</v>
      </c>
      <c r="D2927" s="22" t="s">
        <v>4310</v>
      </c>
      <c r="E2927" s="22" t="s">
        <v>84</v>
      </c>
      <c r="F2927" s="23" t="str">
        <f>HYPERLINK("https://www.spark-marketing.ru/Card/Lot/72804787", "Установка и настройка серверов видеонаблюдения")</f>
        <v>Установка и настройка серверов видеонаблюдения</v>
      </c>
      <c r="G2927" s="22" t="s">
        <v>1041</v>
      </c>
      <c r="H2927" s="22" t="s">
        <v>4311</v>
      </c>
      <c r="I2927" s="26">
        <v>43692.409560185202</v>
      </c>
      <c r="J2927" s="23" t="str">
        <f>HYPERLINK("https://www.spark-marketing.ru/Card/Person/6517497", "ООО ""ГРОУ""")</f>
        <v>ООО "ГРОУ"</v>
      </c>
      <c r="K2927" s="24" t="s">
        <v>4312</v>
      </c>
      <c r="L2927" s="22" t="s">
        <v>10</v>
      </c>
      <c r="M2927" s="25">
        <v>238982.31</v>
      </c>
      <c r="N2927" s="27">
        <v>0.26500000000000001</v>
      </c>
    </row>
    <row r="2928" spans="1:14" hidden="1" outlineLevel="1" x14ac:dyDescent="0.2">
      <c r="A2928" s="23" t="str">
        <f>HYPERLINK("https://www.spark-marketing.ru/Card/Person/51331", "ВЕРХОВНЫЙ СУД РЕСПУБЛИКИ ХАКАСИЯ")</f>
        <v>ВЕРХОВНЫЙ СУД РЕСПУБЛИКИ ХАКАСИЯ</v>
      </c>
      <c r="B2928" s="24" t="s">
        <v>4309</v>
      </c>
      <c r="C2928" s="25">
        <v>325146</v>
      </c>
      <c r="D2928" s="22" t="s">
        <v>4310</v>
      </c>
      <c r="E2928" s="22" t="s">
        <v>84</v>
      </c>
      <c r="F2928" s="23" t="str">
        <f>HYPERLINK("https://www.spark-marketing.ru/Card/Lot/72804787", "Установка и настройка серверов видеонаблюдения")</f>
        <v>Установка и настройка серверов видеонаблюдения</v>
      </c>
      <c r="G2928" s="22" t="s">
        <v>1041</v>
      </c>
      <c r="H2928" s="22" t="s">
        <v>4311</v>
      </c>
      <c r="I2928" s="26">
        <v>43692.409560185202</v>
      </c>
      <c r="J2928" s="23" t="str">
        <f>HYPERLINK("https://www.spark-marketing.ru/Card/Person/499735", "ООО ""КОМПАНИЯ ""ИНФОРМАЦИОННЫЕ ТЕХНОЛОГИИ""")</f>
        <v>ООО "КОМПАНИЯ "ИНФОРМАЦИОННЫЕ ТЕХНОЛОГИИ"</v>
      </c>
      <c r="K2928" s="24" t="s">
        <v>4313</v>
      </c>
      <c r="L2928" s="28" t="s">
        <v>52</v>
      </c>
      <c r="M2928" s="25">
        <v>240608.04</v>
      </c>
      <c r="N2928" s="27">
        <v>0.26</v>
      </c>
    </row>
    <row r="2929" spans="1:14" hidden="1" outlineLevel="1" x14ac:dyDescent="0.2">
      <c r="A2929" s="23" t="str">
        <f>HYPERLINK("https://www.spark-marketing.ru/Card/Person/51331", "ВЕРХОВНЫЙ СУД РЕСПУБЛИКИ ХАКАСИЯ")</f>
        <v>ВЕРХОВНЫЙ СУД РЕСПУБЛИКИ ХАКАСИЯ</v>
      </c>
      <c r="B2929" s="24" t="s">
        <v>4309</v>
      </c>
      <c r="C2929" s="25">
        <v>325146</v>
      </c>
      <c r="D2929" s="22" t="s">
        <v>4310</v>
      </c>
      <c r="E2929" s="22" t="s">
        <v>84</v>
      </c>
      <c r="F2929" s="23" t="str">
        <f>HYPERLINK("https://www.spark-marketing.ru/Card/Lot/72804787", "Установка и настройка серверов видеонаблюдения")</f>
        <v>Установка и настройка серверов видеонаблюдения</v>
      </c>
      <c r="G2929" s="22" t="s">
        <v>1041</v>
      </c>
      <c r="H2929" s="22" t="s">
        <v>4311</v>
      </c>
      <c r="I2929" s="26">
        <v>43692.409560185202</v>
      </c>
      <c r="J2929" s="23" t="str">
        <f>HYPERLINK("https://www.spark-marketing.ru/Card/Person/471137", "ООО ""КВИНТЕСС""")</f>
        <v>ООО "КВИНТЕСС"</v>
      </c>
      <c r="K2929" s="24" t="s">
        <v>4314</v>
      </c>
      <c r="L2929" s="28" t="s">
        <v>52</v>
      </c>
      <c r="M2929" s="25">
        <v>242233.77</v>
      </c>
      <c r="N2929" s="27">
        <v>0.255</v>
      </c>
    </row>
    <row r="2930" spans="1:14" x14ac:dyDescent="0.15">
      <c r="A2930" s="23" t="str">
        <f>HYPERLINK("https://www.spark-marketing.ru/Card/Person/2097942", "АО ""КОНЦЕРН РОСЭНЕРГОАТОМ""")</f>
        <v>АО "КОНЦЕРН РОСЭНЕРГОАТОМ"</v>
      </c>
      <c r="B2930" s="24" t="s">
        <v>211</v>
      </c>
      <c r="C2930" s="28" t="s">
        <v>52</v>
      </c>
      <c r="D2930" s="22" t="s">
        <v>4315</v>
      </c>
      <c r="E2930" s="22" t="s">
        <v>508</v>
      </c>
      <c r="F2930" s="23" t="str">
        <f>HYPERLINK("https://www.spark-marketing.ru/Card/Lot/72913066", "Поставка установок контроля радиоактивного загрязнения автомобильного и железнодорожного транспорта, покидающего территорию НВАЭС")</f>
        <v>Поставка установок контроля радиоактивного загрязнения автомобильного и железнодорожного транспорта, покидающего территорию НВАЭС</v>
      </c>
      <c r="G2930" s="22" t="s">
        <v>55</v>
      </c>
      <c r="H2930" s="22" t="s">
        <v>55</v>
      </c>
      <c r="I2930" s="26">
        <v>43692.488333333298</v>
      </c>
      <c r="J2930" s="28" t="s">
        <v>52</v>
      </c>
      <c r="K2930" s="28" t="s">
        <v>52</v>
      </c>
      <c r="L2930" s="28" t="s">
        <v>52</v>
      </c>
      <c r="M2930" s="28" t="s">
        <v>52</v>
      </c>
      <c r="N2930" s="28" t="s">
        <v>52</v>
      </c>
    </row>
    <row r="2931" spans="1:14" x14ac:dyDescent="0.15">
      <c r="A2931" s="23" t="str">
        <f t="shared" ref="A2931:A2936" si="125">HYPERLINK("https://www.spark-marketing.ru/Card/Person/13783", "УПРАВЛЕНИЕ МВД РОССИИ ПО ГОРОДУ НОВОРОССИЙСКУ")</f>
        <v>УПРАВЛЕНИЕ МВД РОССИИ ПО ГОРОДУ НОВОРОССИЙСКУ</v>
      </c>
      <c r="B2931" s="24" t="s">
        <v>4316</v>
      </c>
      <c r="C2931" s="25">
        <v>175000</v>
      </c>
      <c r="D2931" s="22" t="s">
        <v>4317</v>
      </c>
      <c r="E2931" s="22" t="s">
        <v>84</v>
      </c>
      <c r="F2931" s="23" t="str">
        <f t="shared" ref="F2931:F2936" si="126">HYPERLINK("https://www.spark-marketing.ru/Card/Lot/72808660", "Установка и монтаж оборудования систем видеонаблюдения")</f>
        <v>Установка и монтаж оборудования систем видеонаблюдения</v>
      </c>
      <c r="G2931" s="22" t="s">
        <v>132</v>
      </c>
      <c r="H2931" s="22" t="s">
        <v>452</v>
      </c>
      <c r="I2931" s="26">
        <v>43691.699467592603</v>
      </c>
      <c r="J2931" s="28" t="s">
        <v>52</v>
      </c>
      <c r="K2931" s="28" t="s">
        <v>52</v>
      </c>
      <c r="L2931" s="28" t="s">
        <v>52</v>
      </c>
      <c r="M2931" s="28" t="s">
        <v>52</v>
      </c>
      <c r="N2931" s="28" t="s">
        <v>52</v>
      </c>
    </row>
    <row r="2932" spans="1:14" hidden="1" outlineLevel="1" x14ac:dyDescent="0.2">
      <c r="A2932" s="23" t="str">
        <f t="shared" si="125"/>
        <v>УПРАВЛЕНИЕ МВД РОССИИ ПО ГОРОДУ НОВОРОССИЙСКУ</v>
      </c>
      <c r="B2932" s="24" t="s">
        <v>4316</v>
      </c>
      <c r="C2932" s="25">
        <v>175000</v>
      </c>
      <c r="D2932" s="22" t="s">
        <v>4317</v>
      </c>
      <c r="E2932" s="22" t="s">
        <v>84</v>
      </c>
      <c r="F2932" s="23" t="str">
        <f t="shared" si="126"/>
        <v>Установка и монтаж оборудования систем видеонаблюдения</v>
      </c>
      <c r="G2932" s="22" t="s">
        <v>132</v>
      </c>
      <c r="H2932" s="22" t="s">
        <v>452</v>
      </c>
      <c r="I2932" s="26">
        <v>43691.699467592603</v>
      </c>
      <c r="J2932" s="23" t="str">
        <f>HYPERLINK("https://www.spark-marketing.ru/Card/Person/6679718", "ООО ""ЮСБ""")</f>
        <v>ООО "ЮСБ"</v>
      </c>
      <c r="K2932" s="24" t="s">
        <v>4318</v>
      </c>
      <c r="L2932" s="28" t="s">
        <v>52</v>
      </c>
      <c r="M2932" s="25">
        <v>131482.99</v>
      </c>
      <c r="N2932" s="27">
        <v>0.24866862857142857</v>
      </c>
    </row>
    <row r="2933" spans="1:14" hidden="1" outlineLevel="1" x14ac:dyDescent="0.2">
      <c r="A2933" s="23" t="str">
        <f t="shared" si="125"/>
        <v>УПРАВЛЕНИЕ МВД РОССИИ ПО ГОРОДУ НОВОРОССИЙСКУ</v>
      </c>
      <c r="B2933" s="24" t="s">
        <v>4316</v>
      </c>
      <c r="C2933" s="25">
        <v>175000</v>
      </c>
      <c r="D2933" s="22" t="s">
        <v>4317</v>
      </c>
      <c r="E2933" s="22" t="s">
        <v>84</v>
      </c>
      <c r="F2933" s="23" t="str">
        <f t="shared" si="126"/>
        <v>Установка и монтаж оборудования систем видеонаблюдения</v>
      </c>
      <c r="G2933" s="22" t="s">
        <v>132</v>
      </c>
      <c r="H2933" s="22" t="s">
        <v>452</v>
      </c>
      <c r="I2933" s="26">
        <v>43691.699467592603</v>
      </c>
      <c r="J2933" s="23" t="str">
        <f>HYPERLINK("https://www.spark-marketing.ru/Card/Person/54834", "ООО ""СЕТИ БЕЗОПАСНОСТИ""")</f>
        <v>ООО "СЕТИ БЕЗОПАСНОСТИ"</v>
      </c>
      <c r="K2933" s="24" t="s">
        <v>1985</v>
      </c>
      <c r="L2933" s="28" t="s">
        <v>52</v>
      </c>
      <c r="M2933" s="25">
        <v>174125</v>
      </c>
      <c r="N2933" s="27">
        <v>5.0000000000000001E-3</v>
      </c>
    </row>
    <row r="2934" spans="1:14" hidden="1" outlineLevel="1" x14ac:dyDescent="0.2">
      <c r="A2934" s="23" t="str">
        <f t="shared" si="125"/>
        <v>УПРАВЛЕНИЕ МВД РОССИИ ПО ГОРОДУ НОВОРОССИЙСКУ</v>
      </c>
      <c r="B2934" s="24" t="s">
        <v>4316</v>
      </c>
      <c r="C2934" s="25">
        <v>175000</v>
      </c>
      <c r="D2934" s="22" t="s">
        <v>4317</v>
      </c>
      <c r="E2934" s="22" t="s">
        <v>84</v>
      </c>
      <c r="F2934" s="23" t="str">
        <f t="shared" si="126"/>
        <v>Установка и монтаж оборудования систем видеонаблюдения</v>
      </c>
      <c r="G2934" s="22" t="s">
        <v>132</v>
      </c>
      <c r="H2934" s="22" t="s">
        <v>452</v>
      </c>
      <c r="I2934" s="26">
        <v>43691.699467592603</v>
      </c>
      <c r="J2934" s="23" t="str">
        <f>HYPERLINK("https://www.spark-marketing.ru/Card/Person/454864", "ООО ""ТЕХНОДАЧА""")</f>
        <v>ООО "ТЕХНОДАЧА"</v>
      </c>
      <c r="K2934" s="24" t="s">
        <v>4319</v>
      </c>
      <c r="L2934" s="28" t="s">
        <v>52</v>
      </c>
      <c r="M2934" s="25">
        <v>151375</v>
      </c>
      <c r="N2934" s="27">
        <v>0.13500000000000001</v>
      </c>
    </row>
    <row r="2935" spans="1:14" ht="12.75" hidden="1" outlineLevel="1" x14ac:dyDescent="0.2">
      <c r="A2935" s="23" t="str">
        <f t="shared" si="125"/>
        <v>УПРАВЛЕНИЕ МВД РОССИИ ПО ГОРОДУ НОВОРОССИЙСКУ</v>
      </c>
      <c r="B2935" s="24" t="s">
        <v>4316</v>
      </c>
      <c r="C2935" s="25">
        <v>175000</v>
      </c>
      <c r="D2935" s="22" t="s">
        <v>4317</v>
      </c>
      <c r="E2935" s="22" t="s">
        <v>84</v>
      </c>
      <c r="F2935" s="23" t="str">
        <f t="shared" si="126"/>
        <v>Установка и монтаж оборудования систем видеонаблюдения</v>
      </c>
      <c r="G2935" s="22" t="s">
        <v>132</v>
      </c>
      <c r="H2935" s="22" t="s">
        <v>452</v>
      </c>
      <c r="I2935" s="26">
        <v>43691.699467592603</v>
      </c>
      <c r="J2935" s="23" t="str">
        <f>HYPERLINK("https://www.spark-marketing.ru/Card/Person/6492186", "Ленинградский Евгений Владимирович")</f>
        <v>Ленинградский Евгений Владимирович</v>
      </c>
      <c r="K2935" s="24" t="s">
        <v>4320</v>
      </c>
      <c r="L2935" s="22" t="s">
        <v>10</v>
      </c>
      <c r="M2935" s="25">
        <v>126500</v>
      </c>
      <c r="N2935" s="27">
        <v>0.27714285714285714</v>
      </c>
    </row>
    <row r="2936" spans="1:14" hidden="1" outlineLevel="1" x14ac:dyDescent="0.2">
      <c r="A2936" s="23" t="str">
        <f t="shared" si="125"/>
        <v>УПРАВЛЕНИЕ МВД РОССИИ ПО ГОРОДУ НОВОРОССИЙСКУ</v>
      </c>
      <c r="B2936" s="24" t="s">
        <v>4316</v>
      </c>
      <c r="C2936" s="25">
        <v>175000</v>
      </c>
      <c r="D2936" s="22" t="s">
        <v>4317</v>
      </c>
      <c r="E2936" s="22" t="s">
        <v>84</v>
      </c>
      <c r="F2936" s="23" t="str">
        <f t="shared" si="126"/>
        <v>Установка и монтаж оборудования систем видеонаблюдения</v>
      </c>
      <c r="G2936" s="22" t="s">
        <v>132</v>
      </c>
      <c r="H2936" s="22" t="s">
        <v>452</v>
      </c>
      <c r="I2936" s="26">
        <v>43691.699467592603</v>
      </c>
      <c r="J2936" s="23" t="str">
        <f>HYPERLINK("https://www.spark-marketing.ru/Card/Person/505370", "ООО ""АЛЬЯНС-ТЕНДР""")</f>
        <v>ООО "АЛЬЯНС-ТЕНДР"</v>
      </c>
      <c r="K2936" s="24" t="s">
        <v>4321</v>
      </c>
      <c r="L2936" s="28" t="s">
        <v>52</v>
      </c>
      <c r="M2936" s="25">
        <v>127375</v>
      </c>
      <c r="N2936" s="27">
        <v>0.27214285714285713</v>
      </c>
    </row>
    <row r="2937" spans="1:14" x14ac:dyDescent="0.15">
      <c r="A2937" s="23" t="str">
        <f>HYPERLINK("https://www.spark-marketing.ru/Card/Person/35053", "УПРАВЛЕНИЕ РОССЕЛЬХОЗНАДЗОРА ПО ПЕРМСКОМУ КРАЮ")</f>
        <v>УПРАВЛЕНИЕ РОССЕЛЬХОЗНАДЗОРА ПО ПЕРМСКОМУ КРАЮ</v>
      </c>
      <c r="B2937" s="24" t="s">
        <v>4322</v>
      </c>
      <c r="C2937" s="25">
        <v>6000</v>
      </c>
      <c r="D2937" s="22" t="s">
        <v>4323</v>
      </c>
      <c r="E2937" s="22" t="s">
        <v>53</v>
      </c>
      <c r="F2937" s="23" t="str">
        <f>HYPERLINK("https://www.spark-marketing.ru/Card/Lot/72800290", "техническое обслуживание системы сигнализации")</f>
        <v>техническое обслуживание системы сигнализации</v>
      </c>
      <c r="G2937" s="22" t="s">
        <v>391</v>
      </c>
      <c r="H2937" s="22" t="s">
        <v>391</v>
      </c>
      <c r="I2937" s="26">
        <v>43692.4327430556</v>
      </c>
      <c r="J2937" s="28" t="s">
        <v>52</v>
      </c>
      <c r="K2937" s="28" t="s">
        <v>52</v>
      </c>
      <c r="L2937" s="28" t="s">
        <v>52</v>
      </c>
      <c r="M2937" s="28" t="s">
        <v>52</v>
      </c>
      <c r="N2937" s="28" t="s">
        <v>52</v>
      </c>
    </row>
    <row r="2938" spans="1:14" x14ac:dyDescent="0.15">
      <c r="A2938" s="23" t="str">
        <f>HYPERLINK("https://www.spark-marketing.ru/Card/Person/2097942", "АО ""КОНЦЕРН РОСЭНЕРГОАТОМ""")</f>
        <v>АО "КОНЦЕРН РОСЭНЕРГОАТОМ"</v>
      </c>
      <c r="B2938" s="24" t="s">
        <v>211</v>
      </c>
      <c r="C2938" s="28" t="s">
        <v>52</v>
      </c>
      <c r="D2938" s="22" t="s">
        <v>4324</v>
      </c>
      <c r="E2938" s="22" t="s">
        <v>107</v>
      </c>
      <c r="F2938" s="23" t="str">
        <f>HYPERLINK("https://www.spark-marketing.ru/Card/Lot/72913339", "Оказание услуг по техническому обслуживанию и поддержанию эксплуатации инженерно-технических средств охраны внешних объектов Калининской АЭС")</f>
        <v>Оказание услуг по техническому обслуживанию и поддержанию эксплуатации инженерно-технических средств охраны внешних объектов Калининской АЭС</v>
      </c>
      <c r="G2938" s="22" t="s">
        <v>55</v>
      </c>
      <c r="H2938" s="22" t="s">
        <v>55</v>
      </c>
      <c r="I2938" s="26">
        <v>43692.3808796296</v>
      </c>
      <c r="J2938" s="28" t="s">
        <v>52</v>
      </c>
      <c r="K2938" s="28" t="s">
        <v>52</v>
      </c>
      <c r="L2938" s="28" t="s">
        <v>52</v>
      </c>
      <c r="M2938" s="28" t="s">
        <v>52</v>
      </c>
      <c r="N2938" s="28" t="s">
        <v>52</v>
      </c>
    </row>
    <row r="2939" spans="1:14" x14ac:dyDescent="0.15">
      <c r="A2939" s="23" t="str">
        <f>HYPERLINK("https://www.spark-marketing.ru/Card/Person/38075", "ДЕПАРТАМЕНТ СОЦИАЛЬНОЙ ЗАЩИТЫ, ОПЕКИ И ПОПЕЧИТЕЛЬСТВА, ТРУДА И ЗАНЯТОСТИ ОРЛОВСКОЙ ОБЛАСТИ")</f>
        <v>ДЕПАРТАМЕНТ СОЦИАЛЬНОЙ ЗАЩИТЫ, ОПЕКИ И ПОПЕЧИТЕЛЬСТВА, ТРУДА И ЗАНЯТОСТИ ОРЛОВСКОЙ ОБЛАСТИ</v>
      </c>
      <c r="B2939" s="24" t="s">
        <v>4325</v>
      </c>
      <c r="C2939" s="25">
        <v>576991.68000000005</v>
      </c>
      <c r="D2939" s="22" t="s">
        <v>4326</v>
      </c>
      <c r="E2939" s="22" t="s">
        <v>52</v>
      </c>
      <c r="F2939" s="23" t="str">
        <f>HYPERLINK("https://www.spark-marketing.ru/Card/Lot/72806773", "Услуги частных охранных служб")</f>
        <v>Услуги частных охранных служб</v>
      </c>
      <c r="G2939" s="22" t="s">
        <v>492</v>
      </c>
      <c r="H2939" s="22" t="s">
        <v>492</v>
      </c>
      <c r="I2939" s="26">
        <v>43691.444791666698</v>
      </c>
      <c r="J2939" s="28" t="s">
        <v>52</v>
      </c>
      <c r="K2939" s="28" t="s">
        <v>52</v>
      </c>
      <c r="L2939" s="28" t="s">
        <v>52</v>
      </c>
      <c r="M2939" s="28" t="s">
        <v>52</v>
      </c>
      <c r="N2939" s="28" t="s">
        <v>52</v>
      </c>
    </row>
    <row r="2940" spans="1:14" ht="12.75" hidden="1" outlineLevel="1" x14ac:dyDescent="0.2">
      <c r="A2940" s="23" t="str">
        <f>HYPERLINK("https://www.spark-marketing.ru/Card/Person/38075", "ДЕПАРТАМЕНТ СОЦИАЛЬНОЙ ЗАЩИТЫ, ОПЕКИ И ПОПЕЧИТЕЛЬСТВА, ТРУДА И ЗАНЯТОСТИ ОРЛОВСКОЙ ОБЛАСТИ")</f>
        <v>ДЕПАРТАМЕНТ СОЦИАЛЬНОЙ ЗАЩИТЫ, ОПЕКИ И ПОПЕЧИТЕЛЬСТВА, ТРУДА И ЗАНЯТОСТИ ОРЛОВСКОЙ ОБЛАСТИ</v>
      </c>
      <c r="B2940" s="24" t="s">
        <v>4325</v>
      </c>
      <c r="C2940" s="25">
        <v>576991.68000000005</v>
      </c>
      <c r="D2940" s="22" t="s">
        <v>4326</v>
      </c>
      <c r="E2940" s="22" t="s">
        <v>52</v>
      </c>
      <c r="F2940" s="23" t="str">
        <f>HYPERLINK("https://www.spark-marketing.ru/Card/Lot/72806773", "Услуги частных охранных служб")</f>
        <v>Услуги частных охранных служб</v>
      </c>
      <c r="G2940" s="22" t="s">
        <v>492</v>
      </c>
      <c r="H2940" s="22" t="s">
        <v>492</v>
      </c>
      <c r="I2940" s="26">
        <v>43691.444791666698</v>
      </c>
      <c r="J2940" s="23" t="str">
        <f>HYPERLINK("https://www.spark-marketing.ru/Card/Person/124655", "ООО ЧОП ""АСТ-ФЛАГМАН""")</f>
        <v>ООО ЧОП "АСТ-ФЛАГМАН"</v>
      </c>
      <c r="K2940" s="24" t="s">
        <v>4327</v>
      </c>
      <c r="L2940" s="22" t="s">
        <v>10</v>
      </c>
      <c r="M2940" s="25">
        <v>397115.04</v>
      </c>
      <c r="N2940" s="27">
        <v>0.31174910529039168</v>
      </c>
    </row>
    <row r="2941" spans="1:14" hidden="1" outlineLevel="1" x14ac:dyDescent="0.2">
      <c r="A2941" s="23" t="str">
        <f>HYPERLINK("https://www.spark-marketing.ru/Card/Person/38075", "ДЕПАРТАМЕНТ СОЦИАЛЬНОЙ ЗАЩИТЫ, ОПЕКИ И ПОПЕЧИТЕЛЬСТВА, ТРУДА И ЗАНЯТОСТИ ОРЛОВСКОЙ ОБЛАСТИ")</f>
        <v>ДЕПАРТАМЕНТ СОЦИАЛЬНОЙ ЗАЩИТЫ, ОПЕКИ И ПОПЕЧИТЕЛЬСТВА, ТРУДА И ЗАНЯТОСТИ ОРЛОВСКОЙ ОБЛАСТИ</v>
      </c>
      <c r="B2941" s="24" t="s">
        <v>4325</v>
      </c>
      <c r="C2941" s="25">
        <v>576991.68000000005</v>
      </c>
      <c r="D2941" s="22" t="s">
        <v>4326</v>
      </c>
      <c r="E2941" s="22" t="s">
        <v>52</v>
      </c>
      <c r="F2941" s="23" t="str">
        <f>HYPERLINK("https://www.spark-marketing.ru/Card/Lot/72806773", "Услуги частных охранных служб")</f>
        <v>Услуги частных охранных служб</v>
      </c>
      <c r="G2941" s="22" t="s">
        <v>492</v>
      </c>
      <c r="H2941" s="22" t="s">
        <v>492</v>
      </c>
      <c r="I2941" s="26">
        <v>43691.444791666698</v>
      </c>
      <c r="J2941" s="23" t="str">
        <f>HYPERLINK("https://www.spark-marketing.ru/Card/Person/5857754", "ООО ЧОО ""ЛЕВ""")</f>
        <v>ООО ЧОО "ЛЕВ"</v>
      </c>
      <c r="K2941" s="24" t="s">
        <v>4328</v>
      </c>
      <c r="L2941" s="28" t="s">
        <v>52</v>
      </c>
      <c r="M2941" s="25">
        <v>400000</v>
      </c>
      <c r="N2941" s="27">
        <v>0.30674910251738813</v>
      </c>
    </row>
    <row r="2942" spans="1:14" x14ac:dyDescent="0.15">
      <c r="A2942" s="23" t="str">
        <f>HYPERLINK("https://www.spark-marketing.ru/Card/Person/330018", "ФЛ Калининская АЭС")</f>
        <v>ФЛ Калининская АЭС</v>
      </c>
      <c r="B2942" s="24" t="s">
        <v>211</v>
      </c>
      <c r="C2942" s="25">
        <v>0</v>
      </c>
      <c r="D2942" s="22" t="s">
        <v>4329</v>
      </c>
      <c r="E2942" s="22" t="s">
        <v>53</v>
      </c>
      <c r="F2942" s="23" t="str">
        <f>HYPERLINK("https://www.spark-marketing.ru/Card/Lot/72802181", "мониторинг цен в электронной форме на Оказание услуг по техническому обслуживанию и поддержанию эксплуатации инженерно-технических средств охраны внешних объектов Калининской АЭС")</f>
        <v>мониторинг цен в электронной форме на Оказание услуг по техническому обслуживанию и поддержанию эксплуатации инженерно-технических средств охраны внешних объектов Калининской АЭС</v>
      </c>
      <c r="G2942" s="22" t="s">
        <v>55</v>
      </c>
      <c r="H2942" s="22" t="s">
        <v>55</v>
      </c>
      <c r="I2942" s="26">
        <v>43692.380810185197</v>
      </c>
      <c r="J2942" s="28" t="s">
        <v>52</v>
      </c>
      <c r="K2942" s="28" t="s">
        <v>52</v>
      </c>
      <c r="L2942" s="28" t="s">
        <v>52</v>
      </c>
      <c r="M2942" s="28" t="s">
        <v>52</v>
      </c>
      <c r="N2942" s="28" t="s">
        <v>52</v>
      </c>
    </row>
    <row r="2943" spans="1:14" x14ac:dyDescent="0.15">
      <c r="A2943" s="23" t="str">
        <f>HYPERLINK("https://www.spark-marketing.ru/Card/Person/6219290", "ГБУ СО ""СЦ ГКО""")</f>
        <v>ГБУ СО "СЦ ГКО"</v>
      </c>
      <c r="B2943" s="24" t="s">
        <v>1823</v>
      </c>
      <c r="C2943" s="25">
        <v>61333.33</v>
      </c>
      <c r="D2943" s="22" t="s">
        <v>4330</v>
      </c>
      <c r="E2943" s="22" t="s">
        <v>59</v>
      </c>
      <c r="F2943" s="23" t="str">
        <f>HYPERLINK("https://www.spark-marketing.ru/Card/Lot/72801054", "Монтаж системы контроля доступа, тревожной сигнализации и кнопки вызова")</f>
        <v>Монтаж системы контроля доступа, тревожной сигнализации и кнопки вызова</v>
      </c>
      <c r="G2943" s="22" t="s">
        <v>69</v>
      </c>
      <c r="H2943" s="22" t="s">
        <v>973</v>
      </c>
      <c r="I2943" s="26">
        <v>43691.915706018503</v>
      </c>
      <c r="J2943" s="28" t="s">
        <v>52</v>
      </c>
      <c r="K2943" s="28" t="s">
        <v>52</v>
      </c>
      <c r="L2943" s="28" t="s">
        <v>52</v>
      </c>
      <c r="M2943" s="28" t="s">
        <v>52</v>
      </c>
      <c r="N2943" s="28" t="s">
        <v>52</v>
      </c>
    </row>
    <row r="2944" spans="1:14" x14ac:dyDescent="0.15">
      <c r="A2944" s="23" t="str">
        <f>HYPERLINK("https://www.spark-marketing.ru/Card/Person/4343563", "РТРС")</f>
        <v>РТРС</v>
      </c>
      <c r="B2944" s="24" t="s">
        <v>1414</v>
      </c>
      <c r="C2944" s="25">
        <v>1512425.92</v>
      </c>
      <c r="D2944" s="22" t="s">
        <v>4331</v>
      </c>
      <c r="E2944" s="22" t="s">
        <v>49</v>
      </c>
      <c r="F2944" s="23" t="str">
        <f>HYPERLINK("https://www.spark-marketing.ru/Card/Lot/72780264", "монтаж системы охраны объектов с функцией удаленного управления доступом")</f>
        <v>монтаж системы охраны объектов с функцией удаленного управления доступом</v>
      </c>
      <c r="G2944" s="22" t="s">
        <v>60</v>
      </c>
      <c r="H2944" s="22" t="s">
        <v>60</v>
      </c>
      <c r="I2944" s="26">
        <v>43691</v>
      </c>
      <c r="J2944" s="28" t="s">
        <v>52</v>
      </c>
      <c r="K2944" s="28" t="s">
        <v>52</v>
      </c>
      <c r="L2944" s="28" t="s">
        <v>52</v>
      </c>
      <c r="M2944" s="28" t="s">
        <v>52</v>
      </c>
      <c r="N2944" s="28" t="s">
        <v>52</v>
      </c>
    </row>
    <row r="2945" spans="1:14" x14ac:dyDescent="0.15">
      <c r="A2945" s="23" t="str">
        <f>HYPERLINK("https://www.spark-marketing.ru/Card/Person/4734965", "СЕГЕЖСКИЙ ЦБК")</f>
        <v>СЕГЕЖСКИЙ ЦБК</v>
      </c>
      <c r="B2945" s="28" t="s">
        <v>52</v>
      </c>
      <c r="C2945" s="28" t="s">
        <v>52</v>
      </c>
      <c r="D2945" s="28" t="s">
        <v>52</v>
      </c>
      <c r="E2945" s="22" t="s">
        <v>53</v>
      </c>
      <c r="F2945" s="23" t="str">
        <f>HYPERLINK("https://www.spark-marketing.ru/Card/Lot/72902554", "Извещение о проведении закупочной процедуры Обеспечение охраны объектов и сохранности имущества в арендованных зданиях складского назначения АО ""Сегежский ЦБК"" в г.Сегежа и Сегежском районе РК")</f>
        <v>Извещение о проведении закупочной процедуры Обеспечение охраны объектов и сохранности имущества в арендованных зданиях складского назначения АО "Сегежский ЦБК" в г.Сегежа и Сегежском районе РК</v>
      </c>
      <c r="G2945" s="22" t="s">
        <v>435</v>
      </c>
      <c r="H2945" s="22" t="s">
        <v>435</v>
      </c>
      <c r="I2945" s="26">
        <v>43692</v>
      </c>
      <c r="J2945" s="28" t="s">
        <v>52</v>
      </c>
      <c r="K2945" s="28" t="s">
        <v>52</v>
      </c>
      <c r="L2945" s="28" t="s">
        <v>52</v>
      </c>
      <c r="M2945" s="28" t="s">
        <v>52</v>
      </c>
      <c r="N2945" s="28" t="s">
        <v>52</v>
      </c>
    </row>
    <row r="2946" spans="1:14" x14ac:dyDescent="0.15">
      <c r="A2946" s="23" t="str">
        <f>HYPERLINK("https://www.spark-marketing.ru/Card/Person/4734965", "СЕГЕЖСКИЙ ЦБК")</f>
        <v>СЕГЕЖСКИЙ ЦБК</v>
      </c>
      <c r="B2946" s="28" t="s">
        <v>52</v>
      </c>
      <c r="C2946" s="28" t="s">
        <v>52</v>
      </c>
      <c r="D2946" s="28" t="s">
        <v>52</v>
      </c>
      <c r="E2946" s="22" t="s">
        <v>53</v>
      </c>
      <c r="F2946" s="23" t="str">
        <f>HYPERLINK("https://www.spark-marketing.ru/Card/Lot/72815717", "Извещение о проведении закупочной процедуры Обеспечение охраны объектов и сохранности имущества в арендованных зданиях складского назначения АО ""Сегежский ЦБК"" в г.Сегежа и Сегежском районе РК")</f>
        <v>Извещение о проведении закупочной процедуры Обеспечение охраны объектов и сохранности имущества в арендованных зданиях складского назначения АО "Сегежский ЦБК" в г.Сегежа и Сегежском районе РК</v>
      </c>
      <c r="G2946" s="22" t="s">
        <v>435</v>
      </c>
      <c r="H2946" s="22" t="s">
        <v>435</v>
      </c>
      <c r="I2946" s="26">
        <v>43692</v>
      </c>
      <c r="J2946" s="28" t="s">
        <v>52</v>
      </c>
      <c r="K2946" s="28" t="s">
        <v>52</v>
      </c>
      <c r="L2946" s="28" t="s">
        <v>52</v>
      </c>
      <c r="M2946" s="28" t="s">
        <v>52</v>
      </c>
      <c r="N2946" s="28" t="s">
        <v>52</v>
      </c>
    </row>
    <row r="2947" spans="1:14" x14ac:dyDescent="0.15">
      <c r="A2947" s="23" t="str">
        <f>HYPERLINK("https://www.spark-marketing.ru/Card/Person/667839", "САНАТОРИЙ ""ДЮНА "" ( ООО )")</f>
        <v>САНАТОРИЙ "ДЮНА " ( ООО )</v>
      </c>
      <c r="B2947" s="24" t="s">
        <v>4332</v>
      </c>
      <c r="C2947" s="25">
        <v>259490</v>
      </c>
      <c r="D2947" s="22" t="s">
        <v>4333</v>
      </c>
      <c r="E2947" s="22" t="s">
        <v>609</v>
      </c>
      <c r="F2947" s="23" t="str">
        <f>HYPERLINK("https://www.spark-marketing.ru/Card/Lot/72814350", "Поставка и установка системы видеонаблюдения с монтажом и наладкой")</f>
        <v>Поставка и установка системы видеонаблюдения с монтажом и наладкой</v>
      </c>
      <c r="G2947" s="22" t="s">
        <v>132</v>
      </c>
      <c r="H2947" s="22" t="s">
        <v>132</v>
      </c>
      <c r="I2947" s="26">
        <v>43692</v>
      </c>
      <c r="J2947" s="28" t="s">
        <v>52</v>
      </c>
      <c r="K2947" s="28" t="s">
        <v>52</v>
      </c>
      <c r="L2947" s="28" t="s">
        <v>52</v>
      </c>
      <c r="M2947" s="28" t="s">
        <v>52</v>
      </c>
      <c r="N2947" s="28" t="s">
        <v>52</v>
      </c>
    </row>
    <row r="2948" spans="1:14" x14ac:dyDescent="0.2">
      <c r="A2948" s="23" t="str">
        <f>HYPERLINK("https://www.spark-marketing.ru/Card/Person/16317", "ФГБОУ ВО ""МГТУ"", МГТУ, МАЙКОПСКИЙ ГОСУДАРСТВЕННЫЙ ТЕХНОЛОГИЧЕСКИЙ УНИВЕРСИТЕТ")</f>
        <v>ФГБОУ ВО "МГТУ", МГТУ, МАЙКОПСКИЙ ГОСУДАРСТВЕННЫЙ ТЕХНОЛОГИЧЕСКИЙ УНИВЕРСИТЕТ</v>
      </c>
      <c r="B2948" s="24" t="s">
        <v>1545</v>
      </c>
      <c r="C2948" s="25">
        <v>239589.57</v>
      </c>
      <c r="D2948" s="22" t="s">
        <v>4334</v>
      </c>
      <c r="E2948" s="22" t="s">
        <v>49</v>
      </c>
      <c r="F2948" s="23" t="str">
        <f>HYPERLINK("https://www.spark-marketing.ru/Card/Lot/72817243", "Выполнение работ по установке системы видеонаблюдения на объекте ФГБОУ ВО «МГТУ»")</f>
        <v>Выполнение работ по установке системы видеонаблюдения на объекте ФГБОУ ВО «МГТУ»</v>
      </c>
      <c r="G2948" s="22" t="s">
        <v>1547</v>
      </c>
      <c r="H2948" s="22" t="s">
        <v>1547</v>
      </c>
      <c r="I2948" s="26">
        <v>43692</v>
      </c>
      <c r="J2948" s="28" t="s">
        <v>52</v>
      </c>
      <c r="K2948" s="28" t="s">
        <v>52</v>
      </c>
      <c r="L2948" s="28" t="s">
        <v>52</v>
      </c>
      <c r="M2948" s="25">
        <v>239589.57</v>
      </c>
      <c r="N2948" s="27">
        <v>0</v>
      </c>
    </row>
    <row r="2949" spans="1:14" x14ac:dyDescent="0.15">
      <c r="A2949" s="23" t="str">
        <f>HYPERLINK("https://www.spark-marketing.ru/Card/Person/1796966", "УФПС РОСТОВСКОЙ ОБЛ ФЛ ФГУП ПОЧТА РОССИИ")</f>
        <v>УФПС РОСТОВСКОЙ ОБЛ ФЛ ФГУП ПОЧТА РОССИИ</v>
      </c>
      <c r="B2949" s="24" t="s">
        <v>1424</v>
      </c>
      <c r="C2949" s="25">
        <v>499488</v>
      </c>
      <c r="D2949" s="22" t="s">
        <v>4335</v>
      </c>
      <c r="E2949" s="22" t="s">
        <v>53</v>
      </c>
      <c r="F2949" s="23" t="str">
        <f>HYPERLINK("https://www.spark-marketing.ru/Card/Lot/72796228", "Оказание услуг по охране имущества при его транспортировке для нужд УФПС Ростовской области - филиала ФГУП ""Почта России""")</f>
        <v>Оказание услуг по охране имущества при его транспортировке для нужд УФПС Ростовской области - филиала ФГУП "Почта России"</v>
      </c>
      <c r="G2949" s="22" t="s">
        <v>402</v>
      </c>
      <c r="H2949" s="22" t="s">
        <v>402</v>
      </c>
      <c r="I2949" s="26">
        <v>43691.813888888901</v>
      </c>
      <c r="J2949" s="23" t="str">
        <f>HYPERLINK("https://www.spark-marketing.ru/Card/Person/-1", "неизвестно")</f>
        <v>неизвестно</v>
      </c>
      <c r="K2949" s="28" t="s">
        <v>52</v>
      </c>
      <c r="L2949" s="28" t="s">
        <v>52</v>
      </c>
      <c r="M2949" s="28" t="s">
        <v>52</v>
      </c>
      <c r="N2949" s="28" t="s">
        <v>52</v>
      </c>
    </row>
    <row r="2950" spans="1:14" x14ac:dyDescent="0.15">
      <c r="A2950" s="23" t="str">
        <f>HYPERLINK("https://www.spark-marketing.ru/Card/Person/111098", "АО ""ПКМТП""")</f>
        <v>АО "ПКМТП"</v>
      </c>
      <c r="B2950" s="24" t="s">
        <v>1921</v>
      </c>
      <c r="C2950" s="25">
        <v>6000000</v>
      </c>
      <c r="D2950" s="22" t="s">
        <v>4336</v>
      </c>
      <c r="E2950" s="22" t="s">
        <v>144</v>
      </c>
      <c r="F2950" s="23" t="str">
        <f>HYPERLINK("https://www.spark-marketing.ru/Card/Lot/72801249", "Услуги по защите подразделением транспортной безопасности от актов незаконного вмешательства объекта транспортной инфраструктуры")</f>
        <v>Услуги по защите подразделением транспортной безопасности от актов незаконного вмешательства объекта транспортной инфраструктуры</v>
      </c>
      <c r="G2950" s="22" t="s">
        <v>1141</v>
      </c>
      <c r="H2950" s="22" t="s">
        <v>1141</v>
      </c>
      <c r="I2950" s="26">
        <v>43692</v>
      </c>
      <c r="J2950" s="28" t="s">
        <v>52</v>
      </c>
      <c r="K2950" s="28" t="s">
        <v>52</v>
      </c>
      <c r="L2950" s="28" t="s">
        <v>52</v>
      </c>
      <c r="M2950" s="28" t="s">
        <v>52</v>
      </c>
      <c r="N2950" s="28" t="s">
        <v>52</v>
      </c>
    </row>
    <row r="2951" spans="1:14" x14ac:dyDescent="0.15">
      <c r="A2951" s="23" t="str">
        <f>HYPERLINK("https://www.spark-marketing.ru/Card/Person/1716154", "ООО ""ТРАНСНЕФТЬ - БАЛТИКА""")</f>
        <v>ООО "ТРАНСНЕФТЬ - БАЛТИКА"</v>
      </c>
      <c r="B2951" s="24" t="s">
        <v>3778</v>
      </c>
      <c r="C2951" s="25">
        <v>3625336.44</v>
      </c>
      <c r="D2951" s="22" t="s">
        <v>4337</v>
      </c>
      <c r="E2951" s="22" t="s">
        <v>175</v>
      </c>
      <c r="F2951" s="23" t="str">
        <f>HYPERLINK("https://www.spark-marketing.ru/Card/Lot/72804713", "1800-H05-К-Y03-00094-2020 «""2020-УБ-ТНБ-04 ""Техническое обслуживание комплексов инженерно- технических средств охраны НПС ""Сестрорецкая, ЛПДС ""Невская"", ЦРО ""Невский"", ЛЧ МН, офис Басков пер д.14""»")</f>
        <v>1800-H05-К-Y03-00094-2020 «"2020-УБ-ТНБ-04 "Техническое обслуживание комплексов инженерно- технических средств охраны НПС "Сестрорецкая, ЛПДС "Невская", ЦРО "Невский", ЛЧ МН, офис Басков пер д.14"»</v>
      </c>
      <c r="G2951" s="22" t="s">
        <v>89</v>
      </c>
      <c r="H2951" s="22" t="s">
        <v>89</v>
      </c>
      <c r="I2951" s="26">
        <v>43692</v>
      </c>
      <c r="J2951" s="28" t="s">
        <v>52</v>
      </c>
      <c r="K2951" s="28" t="s">
        <v>52</v>
      </c>
      <c r="L2951" s="28" t="s">
        <v>52</v>
      </c>
      <c r="M2951" s="28" t="s">
        <v>52</v>
      </c>
      <c r="N2951" s="28" t="s">
        <v>52</v>
      </c>
    </row>
    <row r="2952" spans="1:14" x14ac:dyDescent="0.15">
      <c r="A2952" s="23" t="str">
        <f>HYPERLINK("https://www.spark-marketing.ru/Card/Person/1762513", "МАДОУ Д/С № 123")</f>
        <v>МАДОУ Д/С № 123</v>
      </c>
      <c r="B2952" s="24" t="s">
        <v>4338</v>
      </c>
      <c r="C2952" s="25">
        <v>170950</v>
      </c>
      <c r="D2952" s="22" t="s">
        <v>4339</v>
      </c>
      <c r="E2952" s="22" t="s">
        <v>49</v>
      </c>
      <c r="F2952" s="23" t="str">
        <f>HYPERLINK("https://www.spark-marketing.ru/Card/Lot/72823009", "Приобретение и установка системы видеонаблюдения (ул. Потемкина, 23)")</f>
        <v>Приобретение и установка системы видеонаблюдения (ул. Потемкина, 23)</v>
      </c>
      <c r="G2952" s="22" t="s">
        <v>247</v>
      </c>
      <c r="H2952" s="22" t="s">
        <v>247</v>
      </c>
      <c r="I2952" s="26">
        <v>43692</v>
      </c>
      <c r="J2952" s="28" t="s">
        <v>52</v>
      </c>
      <c r="K2952" s="28" t="s">
        <v>52</v>
      </c>
      <c r="L2952" s="28" t="s">
        <v>52</v>
      </c>
      <c r="M2952" s="28" t="s">
        <v>52</v>
      </c>
      <c r="N2952" s="28" t="s">
        <v>52</v>
      </c>
    </row>
    <row r="2953" spans="1:14" x14ac:dyDescent="0.15">
      <c r="A2953" s="23" t="str">
        <f>HYPERLINK("https://www.spark-marketing.ru/Card/Person/1697371", "ООО ""МОСКВА КАРГО""")</f>
        <v>ООО "МОСКВА КАРГО"</v>
      </c>
      <c r="B2953" s="24" t="s">
        <v>1568</v>
      </c>
      <c r="C2953" s="25">
        <v>1371658.53</v>
      </c>
      <c r="D2953" s="22" t="s">
        <v>4340</v>
      </c>
      <c r="E2953" s="22" t="s">
        <v>53</v>
      </c>
      <c r="F2953" s="23" t="str">
        <f>HYPERLINK("https://www.spark-marketing.ru/Card/Lot/72807877", "Проведение работ по дооборудованию лучевых досмотровых установок склада временного хранения ООО «Москва Карго» системами видеонаблюдения и средствами визуализации")</f>
        <v>Проведение работ по дооборудованию лучевых досмотровых установок склада временного хранения ООО «Москва Карго» системами видеонаблюдения и средствами визуализации</v>
      </c>
      <c r="G2953" s="22" t="s">
        <v>50</v>
      </c>
      <c r="H2953" s="22" t="s">
        <v>938</v>
      </c>
      <c r="I2953" s="26">
        <v>43692</v>
      </c>
      <c r="J2953" s="28" t="s">
        <v>52</v>
      </c>
      <c r="K2953" s="28" t="s">
        <v>52</v>
      </c>
      <c r="L2953" s="28" t="s">
        <v>52</v>
      </c>
      <c r="M2953" s="28" t="s">
        <v>52</v>
      </c>
      <c r="N2953" s="28" t="s">
        <v>52</v>
      </c>
    </row>
    <row r="2954" spans="1:14" x14ac:dyDescent="0.15">
      <c r="A2954" s="23" t="str">
        <f>HYPERLINK("https://www.spark-marketing.ru/Card/Person/330018", "ФЛ Калининская АЭС")</f>
        <v>ФЛ Калининская АЭС</v>
      </c>
      <c r="B2954" s="24" t="s">
        <v>211</v>
      </c>
      <c r="C2954" s="28" t="s">
        <v>52</v>
      </c>
      <c r="D2954" s="22" t="s">
        <v>4341</v>
      </c>
      <c r="E2954" s="22" t="s">
        <v>53</v>
      </c>
      <c r="F2954" s="23" t="str">
        <f>HYPERLINK("https://www.spark-marketing.ru/Card/Lot/72808627", "Оказание услуг по техническому обслуживанию и поддержанию эксплуатации инженерно-технических средств охраны внешних объектов Калининской АЭС (1320606)")</f>
        <v>Оказание услуг по техническому обслуживанию и поддержанию эксплуатации инженерно-технических средств охраны внешних объектов Калининской АЭС (1320606)</v>
      </c>
      <c r="G2954" s="22" t="s">
        <v>55</v>
      </c>
      <c r="H2954" s="22" t="s">
        <v>55</v>
      </c>
      <c r="I2954" s="26">
        <v>43692.380798611099</v>
      </c>
      <c r="J2954" s="28" t="s">
        <v>52</v>
      </c>
      <c r="K2954" s="28" t="s">
        <v>52</v>
      </c>
      <c r="L2954" s="28" t="s">
        <v>52</v>
      </c>
      <c r="M2954" s="28" t="s">
        <v>52</v>
      </c>
      <c r="N2954" s="28" t="s">
        <v>52</v>
      </c>
    </row>
    <row r="2955" spans="1:14" x14ac:dyDescent="0.15">
      <c r="A2955" s="23" t="str">
        <f>HYPERLINK("https://www.spark-marketing.ru/Card/Person/9152", "ФКУ ""ЦХИСО ГУ МВД РОССИИ ПО Г. САНКТ-ПЕТЕРБУРГУ И ЛЕНИНГРАДСКОЙ ОБЛАСТИ""")</f>
        <v>ФКУ "ЦХИСО ГУ МВД РОССИИ ПО Г. САНКТ-ПЕТЕРБУРГУ И ЛЕНИНГРАДСКОЙ ОБЛАСТИ"</v>
      </c>
      <c r="B2955" s="24" t="s">
        <v>4342</v>
      </c>
      <c r="C2955" s="25">
        <v>5514410</v>
      </c>
      <c r="D2955" s="22" t="s">
        <v>4343</v>
      </c>
      <c r="E2955" s="22" t="s">
        <v>4344</v>
      </c>
      <c r="F2955" s="23" t="str">
        <f>HYPERLINK("https://www.spark-marketing.ru/Card/Lot/72795169", "Поставка и ввод в эксплуатацию дизельных генераторов в шумозащитном кожухе в целях реализации возложенных на полицию обязанностей по охране общественного порядка и обеспечения общественной безопасности")</f>
        <v>Поставка и ввод в эксплуатацию дизельных генераторов в шумозащитном кожухе в целях реализации возложенных на полицию обязанностей по охране общественного порядка и обеспечения общественной безопасности</v>
      </c>
      <c r="G2955" s="22" t="s">
        <v>89</v>
      </c>
      <c r="H2955" s="22" t="s">
        <v>89</v>
      </c>
      <c r="I2955" s="26">
        <v>43691.686759259297</v>
      </c>
      <c r="J2955" s="23" t="str">
        <f>HYPERLINK("https://www.spark-marketing.ru/Card/Person/101250", "ООО ""АТЛАНТ-СЕРВИС""")</f>
        <v>ООО "АТЛАНТ-СЕРВИС"</v>
      </c>
      <c r="K2955" s="24" t="s">
        <v>4345</v>
      </c>
      <c r="L2955" s="28" t="s">
        <v>52</v>
      </c>
      <c r="M2955" s="28" t="s">
        <v>52</v>
      </c>
      <c r="N2955" s="28" t="s">
        <v>52</v>
      </c>
    </row>
    <row r="2956" spans="1:14" hidden="1" outlineLevel="1" x14ac:dyDescent="0.15">
      <c r="A2956" s="23" t="str">
        <f>HYPERLINK("https://www.spark-marketing.ru/Card/Person/9152", "ФКУ ""ЦХИСО ГУ МВД РОССИИ ПО Г. САНКТ-ПЕТЕРБУРГУ И ЛЕНИНГРАДСКОЙ ОБЛАСТИ""")</f>
        <v>ФКУ "ЦХИСО ГУ МВД РОССИИ ПО Г. САНКТ-ПЕТЕРБУРГУ И ЛЕНИНГРАДСКОЙ ОБЛАСТИ"</v>
      </c>
      <c r="B2956" s="24" t="s">
        <v>4342</v>
      </c>
      <c r="C2956" s="25">
        <v>5514410</v>
      </c>
      <c r="D2956" s="22" t="s">
        <v>4343</v>
      </c>
      <c r="E2956" s="22" t="s">
        <v>4344</v>
      </c>
      <c r="F2956" s="23" t="str">
        <f>HYPERLINK("https://www.spark-marketing.ru/Card/Lot/72795169", "Поставка и ввод в эксплуатацию дизельных генераторов в шумозащитном кожухе в целях реализации возложенных на полицию обязанностей по охране общественного порядка и обеспечения общественной безопасности")</f>
        <v>Поставка и ввод в эксплуатацию дизельных генераторов в шумозащитном кожухе в целях реализации возложенных на полицию обязанностей по охране общественного порядка и обеспечения общественной безопасности</v>
      </c>
      <c r="G2956" s="22" t="s">
        <v>89</v>
      </c>
      <c r="H2956" s="22" t="s">
        <v>89</v>
      </c>
      <c r="I2956" s="26">
        <v>43691.686759259297</v>
      </c>
      <c r="J2956" s="23" t="str">
        <f>HYPERLINK("https://www.spark-marketing.ru/Card/Person/101250", "ООО ""АТЛАНТ-СЕРВИС""")</f>
        <v>ООО "АТЛАНТ-СЕРВИС"</v>
      </c>
      <c r="K2956" s="24" t="s">
        <v>4345</v>
      </c>
      <c r="L2956" s="22" t="s">
        <v>10</v>
      </c>
      <c r="M2956" s="28" t="s">
        <v>52</v>
      </c>
      <c r="N2956" s="28" t="s">
        <v>52</v>
      </c>
    </row>
    <row r="2957" spans="1:14" x14ac:dyDescent="0.15">
      <c r="A2957" s="23" t="str">
        <f>HYPERLINK("https://www.spark-marketing.ru/Card/Person/35252", "ОКУ "" УЭ ГТС""")</f>
        <v>ОКУ " УЭ ГТС"</v>
      </c>
      <c r="B2957" s="24" t="s">
        <v>3126</v>
      </c>
      <c r="C2957" s="25">
        <v>113633.33</v>
      </c>
      <c r="D2957" s="22" t="s">
        <v>4346</v>
      </c>
      <c r="E2957" s="22" t="s">
        <v>487</v>
      </c>
      <c r="F2957" s="23" t="str">
        <f>HYPERLINK("https://www.spark-marketing.ru/Card/Lot/72794987", "Поставка блок-контейнера (поста охраны)")</f>
        <v>Поставка блок-контейнера (поста охраны)</v>
      </c>
      <c r="G2957" s="22" t="s">
        <v>3128</v>
      </c>
      <c r="H2957" s="22" t="s">
        <v>3129</v>
      </c>
      <c r="I2957" s="26">
        <v>43691.566458333298</v>
      </c>
      <c r="J2957" s="28" t="s">
        <v>52</v>
      </c>
      <c r="K2957" s="28" t="s">
        <v>52</v>
      </c>
      <c r="L2957" s="28" t="s">
        <v>52</v>
      </c>
      <c r="M2957" s="28" t="s">
        <v>52</v>
      </c>
      <c r="N2957" s="28" t="s">
        <v>52</v>
      </c>
    </row>
    <row r="2958" spans="1:14" x14ac:dyDescent="0.15">
      <c r="A2958" s="23" t="str">
        <f>HYPERLINK("https://www.spark-marketing.ru/Card/Person/37451", "ГБУЗ ""СОКВД""")</f>
        <v>ГБУЗ "СОКВД"</v>
      </c>
      <c r="B2958" s="24" t="s">
        <v>4347</v>
      </c>
      <c r="C2958" s="25">
        <v>724817.84</v>
      </c>
      <c r="D2958" s="22" t="s">
        <v>4348</v>
      </c>
      <c r="E2958" s="22" t="s">
        <v>107</v>
      </c>
      <c r="F2958" s="23" t="str">
        <f>HYPERLINK("https://www.spark-marketing.ru/Card/Lot/72777332", "Оказание услуг по очистке и дезинфекции вентиляционных систем для нужд ГБУЗ СОКВД")</f>
        <v>Оказание услуг по очистке и дезинфекции вентиляционных систем для нужд ГБУЗ СОКВД</v>
      </c>
      <c r="G2958" s="22" t="s">
        <v>69</v>
      </c>
      <c r="H2958" s="22" t="s">
        <v>973</v>
      </c>
      <c r="I2958" s="26">
        <v>43691.645497685196</v>
      </c>
      <c r="J2958" s="28" t="s">
        <v>52</v>
      </c>
      <c r="K2958" s="28" t="s">
        <v>52</v>
      </c>
      <c r="L2958" s="28" t="s">
        <v>52</v>
      </c>
      <c r="M2958" s="28" t="s">
        <v>52</v>
      </c>
      <c r="N2958" s="28" t="s">
        <v>52</v>
      </c>
    </row>
    <row r="2959" spans="1:14" hidden="1" outlineLevel="1" x14ac:dyDescent="0.2">
      <c r="A2959" s="23" t="str">
        <f>HYPERLINK("https://www.spark-marketing.ru/Card/Person/37451", "ГБУЗ ""СОКВД""")</f>
        <v>ГБУЗ "СОКВД"</v>
      </c>
      <c r="B2959" s="24" t="s">
        <v>4347</v>
      </c>
      <c r="C2959" s="25">
        <v>724817.84</v>
      </c>
      <c r="D2959" s="22" t="s">
        <v>4348</v>
      </c>
      <c r="E2959" s="22" t="s">
        <v>107</v>
      </c>
      <c r="F2959" s="23" t="str">
        <f>HYPERLINK("https://www.spark-marketing.ru/Card/Lot/72777332", "Оказание услуг по очистке и дезинфекции вентиляционных систем для нужд ГБУЗ СОКВД")</f>
        <v>Оказание услуг по очистке и дезинфекции вентиляционных систем для нужд ГБУЗ СОКВД</v>
      </c>
      <c r="G2959" s="22" t="s">
        <v>69</v>
      </c>
      <c r="H2959" s="22" t="s">
        <v>973</v>
      </c>
      <c r="I2959" s="26">
        <v>43691.645497685196</v>
      </c>
      <c r="J2959" s="23" t="str">
        <f>HYPERLINK("https://www.spark-marketing.ru/Card/Person/134091", "ООО ""АЛЬКАД ВОСТОК""")</f>
        <v>ООО "АЛЬКАД ВОСТОК"</v>
      </c>
      <c r="K2959" s="24" t="s">
        <v>4349</v>
      </c>
      <c r="L2959" s="28" t="s">
        <v>52</v>
      </c>
      <c r="M2959" s="25">
        <v>666225.12</v>
      </c>
      <c r="N2959" s="27">
        <v>8.0837855756971985E-2</v>
      </c>
    </row>
    <row r="2960" spans="1:14" ht="12.75" hidden="1" outlineLevel="1" x14ac:dyDescent="0.2">
      <c r="A2960" s="23" t="str">
        <f>HYPERLINK("https://www.spark-marketing.ru/Card/Person/37451", "ГБУЗ ""СОКВД""")</f>
        <v>ГБУЗ "СОКВД"</v>
      </c>
      <c r="B2960" s="24" t="s">
        <v>4347</v>
      </c>
      <c r="C2960" s="25">
        <v>724817.84</v>
      </c>
      <c r="D2960" s="22" t="s">
        <v>4348</v>
      </c>
      <c r="E2960" s="22" t="s">
        <v>107</v>
      </c>
      <c r="F2960" s="23" t="str">
        <f>HYPERLINK("https://www.spark-marketing.ru/Card/Lot/72777332", "Оказание услуг по очистке и дезинфекции вентиляционных систем для нужд ГБУЗ СОКВД")</f>
        <v>Оказание услуг по очистке и дезинфекции вентиляционных систем для нужд ГБУЗ СОКВД</v>
      </c>
      <c r="G2960" s="22" t="s">
        <v>69</v>
      </c>
      <c r="H2960" s="22" t="s">
        <v>973</v>
      </c>
      <c r="I2960" s="26">
        <v>43691.645497685196</v>
      </c>
      <c r="J2960" s="23" t="str">
        <f>HYPERLINK("https://www.spark-marketing.ru/Card/Person/486599", "ООО ""ВЕНТЭКО""")</f>
        <v>ООО "ВЕНТЭКО"</v>
      </c>
      <c r="K2960" s="24" t="s">
        <v>4350</v>
      </c>
      <c r="L2960" s="22" t="s">
        <v>10</v>
      </c>
      <c r="M2960" s="25">
        <v>406300</v>
      </c>
      <c r="N2960" s="27">
        <v>0.43944536464499823</v>
      </c>
    </row>
    <row r="2961" spans="1:14" hidden="1" outlineLevel="1" x14ac:dyDescent="0.2">
      <c r="A2961" s="23" t="str">
        <f>HYPERLINK("https://www.spark-marketing.ru/Card/Person/37451", "ГБУЗ ""СОКВД""")</f>
        <v>ГБУЗ "СОКВД"</v>
      </c>
      <c r="B2961" s="24" t="s">
        <v>4347</v>
      </c>
      <c r="C2961" s="25">
        <v>724817.84</v>
      </c>
      <c r="D2961" s="22" t="s">
        <v>4348</v>
      </c>
      <c r="E2961" s="22" t="s">
        <v>107</v>
      </c>
      <c r="F2961" s="23" t="str">
        <f>HYPERLINK("https://www.spark-marketing.ru/Card/Lot/72777332", "Оказание услуг по очистке и дезинфекции вентиляционных систем для нужд ГБУЗ СОКВД")</f>
        <v>Оказание услуг по очистке и дезинфекции вентиляционных систем для нужд ГБУЗ СОКВД</v>
      </c>
      <c r="G2961" s="22" t="s">
        <v>69</v>
      </c>
      <c r="H2961" s="22" t="s">
        <v>973</v>
      </c>
      <c r="I2961" s="26">
        <v>43691.645497685196</v>
      </c>
      <c r="J2961" s="23" t="str">
        <f>HYPERLINK("https://www.spark-marketing.ru/Card/Person/6216533", "ООО ""РДК-ВОСТОК""")</f>
        <v>ООО "РДК-ВОСТОК"</v>
      </c>
      <c r="K2961" s="24" t="s">
        <v>4351</v>
      </c>
      <c r="L2961" s="28" t="s">
        <v>52</v>
      </c>
      <c r="M2961" s="25">
        <v>410000</v>
      </c>
      <c r="N2961" s="27">
        <v>0.43434063377910237</v>
      </c>
    </row>
    <row r="2962" spans="1:14" x14ac:dyDescent="0.15">
      <c r="A2962" s="23" t="str">
        <f>HYPERLINK("https://www.spark-marketing.ru/Card/Person/90543", "АДМИНИСТРАЦИЯ ТОРОПЕЦКОГО РАЙОНА")</f>
        <v>АДМИНИСТРАЦИЯ ТОРОПЕЦКОГО РАЙОНА</v>
      </c>
      <c r="B2962" s="24" t="s">
        <v>4352</v>
      </c>
      <c r="C2962" s="25">
        <v>310900</v>
      </c>
      <c r="D2962" s="22" t="s">
        <v>4353</v>
      </c>
      <c r="E2962" s="22" t="s">
        <v>68</v>
      </c>
      <c r="F2962" s="23" t="str">
        <f>HYPERLINK("https://www.spark-marketing.ru/Card/Lot/72793995", "Оказание услуг по предупреждению и ликвидации болезней животных, их лечению, отлову и содержанию безнадзорных животных, защите населения от болезней, общих для человека и животных на территории Торопецкого района")</f>
        <v>Оказание услуг по предупреждению и ликвидации болезней животных, их лечению, отлову и содержанию безнадзорных животных, защите населения от болезней, общих для человека и животных на территории Торопецкого района</v>
      </c>
      <c r="G2962" s="22" t="s">
        <v>251</v>
      </c>
      <c r="H2962" s="22" t="s">
        <v>251</v>
      </c>
      <c r="I2962" s="26">
        <v>43691.6081597222</v>
      </c>
      <c r="J2962" s="23" t="str">
        <f>HYPERLINK("https://www.spark-marketing.ru/Card/Person/6688557", "Андреева Наталья Николаевна")</f>
        <v>Андреева Наталья Николаевна</v>
      </c>
      <c r="K2962" s="24" t="s">
        <v>4354</v>
      </c>
      <c r="L2962" s="22" t="s">
        <v>10</v>
      </c>
      <c r="M2962" s="28" t="s">
        <v>52</v>
      </c>
      <c r="N2962" s="28" t="s">
        <v>52</v>
      </c>
    </row>
    <row r="2963" spans="1:14" x14ac:dyDescent="0.15">
      <c r="A2963" s="23" t="str">
        <f>HYPERLINK("https://www.spark-marketing.ru/Card/Person/4345088", "ГБПОУ НАО ""НЕНЕЦКИЙ АГРАРНО-ЭКОНОМИЧЕСКИЙ ТЕХНИКУМ ИМЕНИ В.Г. ВОЛКОВА""")</f>
        <v>ГБПОУ НАО "НЕНЕЦКИЙ АГРАРНО-ЭКОНОМИЧЕСКИЙ ТЕХНИКУМ ИМЕНИ В.Г. ВОЛКОВА"</v>
      </c>
      <c r="B2963" s="24" t="s">
        <v>4355</v>
      </c>
      <c r="C2963" s="25">
        <v>48226.57</v>
      </c>
      <c r="D2963" s="22" t="s">
        <v>4356</v>
      </c>
      <c r="E2963" s="22" t="s">
        <v>208</v>
      </c>
      <c r="F2963" s="23" t="str">
        <f>HYPERLINK("https://www.spark-marketing.ru/Card/Lot/72792950", "Поставка и установка видеодомофона")</f>
        <v>Поставка и установка видеодомофона</v>
      </c>
      <c r="G2963" s="22" t="s">
        <v>1014</v>
      </c>
      <c r="H2963" s="22" t="s">
        <v>1015</v>
      </c>
      <c r="I2963" s="26">
        <v>43691.656481481499</v>
      </c>
      <c r="J2963" s="28" t="s">
        <v>52</v>
      </c>
      <c r="K2963" s="28" t="s">
        <v>52</v>
      </c>
      <c r="L2963" s="28" t="s">
        <v>52</v>
      </c>
      <c r="M2963" s="28" t="s">
        <v>52</v>
      </c>
      <c r="N2963" s="28" t="s">
        <v>52</v>
      </c>
    </row>
    <row r="2964" spans="1:14" hidden="1" outlineLevel="1" x14ac:dyDescent="0.2">
      <c r="A2964" s="23" t="str">
        <f>HYPERLINK("https://www.spark-marketing.ru/Card/Person/4345088", "ГБПОУ НАО ""НЕНЕЦКИЙ АГРАРНО-ЭКОНОМИЧЕСКИЙ ТЕХНИКУМ ИМЕНИ В.Г. ВОЛКОВА""")</f>
        <v>ГБПОУ НАО "НЕНЕЦКИЙ АГРАРНО-ЭКОНОМИЧЕСКИЙ ТЕХНИКУМ ИМЕНИ В.Г. ВОЛКОВА"</v>
      </c>
      <c r="B2964" s="24" t="s">
        <v>4355</v>
      </c>
      <c r="C2964" s="25">
        <v>48226.57</v>
      </c>
      <c r="D2964" s="22" t="s">
        <v>4356</v>
      </c>
      <c r="E2964" s="22" t="s">
        <v>208</v>
      </c>
      <c r="F2964" s="23" t="str">
        <f>HYPERLINK("https://www.spark-marketing.ru/Card/Lot/72792950", "Поставка и установка видеодомофона")</f>
        <v>Поставка и установка видеодомофона</v>
      </c>
      <c r="G2964" s="22" t="s">
        <v>1014</v>
      </c>
      <c r="H2964" s="22" t="s">
        <v>1015</v>
      </c>
      <c r="I2964" s="26">
        <v>43691.656481481499</v>
      </c>
      <c r="J2964" s="23" t="str">
        <f>HYPERLINK("https://www.spark-marketing.ru/Card/Person/276444", "ООО ""ПРОМ-СЕРВИС""")</f>
        <v>ООО "ПРОМ-СЕРВИС"</v>
      </c>
      <c r="K2964" s="24" t="s">
        <v>4357</v>
      </c>
      <c r="L2964" s="28" t="s">
        <v>52</v>
      </c>
      <c r="M2964" s="25">
        <v>45091.85</v>
      </c>
      <c r="N2964" s="27">
        <v>6.4999853815023545E-2</v>
      </c>
    </row>
    <row r="2965" spans="1:14" ht="12.75" hidden="1" outlineLevel="1" x14ac:dyDescent="0.2">
      <c r="A2965" s="23" t="str">
        <f>HYPERLINK("https://www.spark-marketing.ru/Card/Person/4345088", "ГБПОУ НАО ""НЕНЕЦКИЙ АГРАРНО-ЭКОНОМИЧЕСКИЙ ТЕХНИКУМ ИМЕНИ В.Г. ВОЛКОВА""")</f>
        <v>ГБПОУ НАО "НЕНЕЦКИЙ АГРАРНО-ЭКОНОМИЧЕСКИЙ ТЕХНИКУМ ИМЕНИ В.Г. ВОЛКОВА"</v>
      </c>
      <c r="B2965" s="24" t="s">
        <v>4355</v>
      </c>
      <c r="C2965" s="25">
        <v>48226.57</v>
      </c>
      <c r="D2965" s="22" t="s">
        <v>4356</v>
      </c>
      <c r="E2965" s="22" t="s">
        <v>208</v>
      </c>
      <c r="F2965" s="23" t="str">
        <f>HYPERLINK("https://www.spark-marketing.ru/Card/Lot/72792950", "Поставка и установка видеодомофона")</f>
        <v>Поставка и установка видеодомофона</v>
      </c>
      <c r="G2965" s="22" t="s">
        <v>1014</v>
      </c>
      <c r="H2965" s="22" t="s">
        <v>1015</v>
      </c>
      <c r="I2965" s="26">
        <v>43691.656481481499</v>
      </c>
      <c r="J2965" s="23" t="str">
        <f>HYPERLINK("https://www.spark-marketing.ru/Card/Person/1664099", "ООО ""ОП ""БЕКЕТ""")</f>
        <v>ООО "ОП "БЕКЕТ"</v>
      </c>
      <c r="K2965" s="24" t="s">
        <v>4358</v>
      </c>
      <c r="L2965" s="22" t="s">
        <v>10</v>
      </c>
      <c r="M2965" s="25">
        <v>45091.85</v>
      </c>
      <c r="N2965" s="27">
        <v>6.4999853815023545E-2</v>
      </c>
    </row>
    <row r="2966" spans="1:14" x14ac:dyDescent="0.15">
      <c r="A2966" s="23" t="str">
        <f>HYPERLINK("https://www.spark-marketing.ru/Card/Person/9134", "ФБУ ""АДМИНИСТРАЦИЯ ""ВОЛГО-ДОН""")</f>
        <v>ФБУ "АДМИНИСТРАЦИЯ "ВОЛГО-ДОН"</v>
      </c>
      <c r="B2966" s="24" t="s">
        <v>3717</v>
      </c>
      <c r="C2966" s="25">
        <v>2139022</v>
      </c>
      <c r="D2966" s="22" t="s">
        <v>4359</v>
      </c>
      <c r="E2966" s="22" t="s">
        <v>585</v>
      </c>
      <c r="F2966" s="23" t="str">
        <f>HYPERLINK("https://www.spark-marketing.ru/Card/Lot/72794556", "Проведение сертификации инженерно-технических систем обеспечения транспортной безопасности объектов транспортной инфраструктуры")</f>
        <v>Проведение сертификации инженерно-технических систем обеспечения транспортной безопасности объектов транспортной инфраструктуры</v>
      </c>
      <c r="G2966" s="22" t="s">
        <v>343</v>
      </c>
      <c r="H2966" s="22" t="s">
        <v>343</v>
      </c>
      <c r="I2966" s="26">
        <v>43691.6328125</v>
      </c>
      <c r="J2966" s="23" t="str">
        <f>HYPERLINK("https://www.spark-marketing.ru/Card/Person/6458385", "ООО ""ТЕХ-ГАММА СЕРВИС""")</f>
        <v>ООО "ТЕХ-ГАММА СЕРВИС"</v>
      </c>
      <c r="K2966" s="24" t="s">
        <v>3719</v>
      </c>
      <c r="L2966" s="28" t="s">
        <v>52</v>
      </c>
      <c r="M2966" s="28" t="s">
        <v>52</v>
      </c>
      <c r="N2966" s="28" t="s">
        <v>52</v>
      </c>
    </row>
    <row r="2967" spans="1:14" x14ac:dyDescent="0.15">
      <c r="A2967" s="23" t="str">
        <f>HYPERLINK("https://www.spark-marketing.ru/Card/Person/1042282", "МБДОУ № 3 ""РЯБИНКА"" Г. АНИВА")</f>
        <v>МБДОУ № 3 "РЯБИНКА" Г. АНИВА</v>
      </c>
      <c r="B2967" s="24" t="s">
        <v>4360</v>
      </c>
      <c r="C2967" s="25">
        <v>271703</v>
      </c>
      <c r="D2967" s="22" t="s">
        <v>4361</v>
      </c>
      <c r="E2967" s="22" t="s">
        <v>84</v>
      </c>
      <c r="F2967" s="23" t="str">
        <f>HYPERLINK("https://www.spark-marketing.ru/Card/Lot/72776093", "Проведение работ по установке внутреннего видеонаблюдения")</f>
        <v>Проведение работ по установке внутреннего видеонаблюдения</v>
      </c>
      <c r="G2967" s="22" t="s">
        <v>69</v>
      </c>
      <c r="H2967" s="22" t="s">
        <v>4362</v>
      </c>
      <c r="I2967" s="26">
        <v>43691.5527083333</v>
      </c>
      <c r="J2967" s="28" t="s">
        <v>52</v>
      </c>
      <c r="K2967" s="28" t="s">
        <v>52</v>
      </c>
      <c r="L2967" s="28" t="s">
        <v>52</v>
      </c>
      <c r="M2967" s="28" t="s">
        <v>52</v>
      </c>
      <c r="N2967" s="28" t="s">
        <v>52</v>
      </c>
    </row>
    <row r="2968" spans="1:14" hidden="1" outlineLevel="1" x14ac:dyDescent="0.2">
      <c r="A2968" s="23" t="str">
        <f>HYPERLINK("https://www.spark-marketing.ru/Card/Person/1042282", "МБДОУ № 3 ""РЯБИНКА"" Г. АНИВА")</f>
        <v>МБДОУ № 3 "РЯБИНКА" Г. АНИВА</v>
      </c>
      <c r="B2968" s="24" t="s">
        <v>4360</v>
      </c>
      <c r="C2968" s="25">
        <v>271703</v>
      </c>
      <c r="D2968" s="22" t="s">
        <v>4361</v>
      </c>
      <c r="E2968" s="22" t="s">
        <v>84</v>
      </c>
      <c r="F2968" s="23" t="str">
        <f>HYPERLINK("https://www.spark-marketing.ru/Card/Lot/72776093", "Проведение работ по установке внутреннего видеонаблюдения")</f>
        <v>Проведение работ по установке внутреннего видеонаблюдения</v>
      </c>
      <c r="G2968" s="22" t="s">
        <v>69</v>
      </c>
      <c r="H2968" s="22" t="s">
        <v>4362</v>
      </c>
      <c r="I2968" s="26">
        <v>43691.5527083333</v>
      </c>
      <c r="J2968" s="23" t="str">
        <f>HYPERLINK("https://www.spark-marketing.ru/Card/Person/543777", "ООО ""ФИРМА ЗАЩИТА""")</f>
        <v>ООО "ФИРМА ЗАЩИТА"</v>
      </c>
      <c r="K2968" s="24" t="s">
        <v>4363</v>
      </c>
      <c r="L2968" s="28" t="s">
        <v>52</v>
      </c>
      <c r="M2968" s="25">
        <v>216003.83</v>
      </c>
      <c r="N2968" s="27">
        <v>0.20500020242691469</v>
      </c>
    </row>
    <row r="2969" spans="1:14" ht="12.75" hidden="1" outlineLevel="1" x14ac:dyDescent="0.2">
      <c r="A2969" s="23" t="str">
        <f>HYPERLINK("https://www.spark-marketing.ru/Card/Person/1042282", "МБДОУ № 3 ""РЯБИНКА"" Г. АНИВА")</f>
        <v>МБДОУ № 3 "РЯБИНКА" Г. АНИВА</v>
      </c>
      <c r="B2969" s="24" t="s">
        <v>4360</v>
      </c>
      <c r="C2969" s="25">
        <v>271703</v>
      </c>
      <c r="D2969" s="22" t="s">
        <v>4361</v>
      </c>
      <c r="E2969" s="22" t="s">
        <v>84</v>
      </c>
      <c r="F2969" s="23" t="str">
        <f>HYPERLINK("https://www.spark-marketing.ru/Card/Lot/72776093", "Проведение работ по установке внутреннего видеонаблюдения")</f>
        <v>Проведение работ по установке внутреннего видеонаблюдения</v>
      </c>
      <c r="G2969" s="22" t="s">
        <v>69</v>
      </c>
      <c r="H2969" s="22" t="s">
        <v>4362</v>
      </c>
      <c r="I2969" s="26">
        <v>43691.5527083333</v>
      </c>
      <c r="J2969" s="23" t="str">
        <f>HYPERLINK("https://www.spark-marketing.ru/Card/Person/6262383", "ООО """"СЛАБОТОЧНЫЕ СИСТЕМЫ""""")</f>
        <v>ООО ""СЛАБОТОЧНЫЕ СИСТЕМЫ""</v>
      </c>
      <c r="K2969" s="24" t="s">
        <v>4364</v>
      </c>
      <c r="L2969" s="22" t="s">
        <v>10</v>
      </c>
      <c r="M2969" s="25">
        <v>130417.22</v>
      </c>
      <c r="N2969" s="27">
        <v>0.52000080970765872</v>
      </c>
    </row>
    <row r="2970" spans="1:14" hidden="1" outlineLevel="1" x14ac:dyDescent="0.2">
      <c r="A2970" s="23" t="str">
        <f>HYPERLINK("https://www.spark-marketing.ru/Card/Person/1042282", "МБДОУ № 3 ""РЯБИНКА"" Г. АНИВА")</f>
        <v>МБДОУ № 3 "РЯБИНКА" Г. АНИВА</v>
      </c>
      <c r="B2970" s="24" t="s">
        <v>4360</v>
      </c>
      <c r="C2970" s="25">
        <v>271703</v>
      </c>
      <c r="D2970" s="22" t="s">
        <v>4361</v>
      </c>
      <c r="E2970" s="22" t="s">
        <v>84</v>
      </c>
      <c r="F2970" s="23" t="str">
        <f>HYPERLINK("https://www.spark-marketing.ru/Card/Lot/72776093", "Проведение работ по установке внутреннего видеонаблюдения")</f>
        <v>Проведение работ по установке внутреннего видеонаблюдения</v>
      </c>
      <c r="G2970" s="22" t="s">
        <v>69</v>
      </c>
      <c r="H2970" s="22" t="s">
        <v>4362</v>
      </c>
      <c r="I2970" s="26">
        <v>43691.5527083333</v>
      </c>
      <c r="J2970" s="23" t="str">
        <f>HYPERLINK("https://www.spark-marketing.ru/Card/Person/6078238", "ООО ""ОПТИМА""")</f>
        <v>ООО "ОПТИМА"</v>
      </c>
      <c r="K2970" s="24" t="s">
        <v>4365</v>
      </c>
      <c r="L2970" s="28" t="s">
        <v>52</v>
      </c>
      <c r="M2970" s="25">
        <v>131775.74</v>
      </c>
      <c r="N2970" s="27">
        <v>0.51500079130521192</v>
      </c>
    </row>
    <row r="2971" spans="1:14" x14ac:dyDescent="0.15">
      <c r="A2971" s="23" t="str">
        <f>HYPERLINK("https://www.spark-marketing.ru/Card/Person/4377897", "ГБУРК «ЧЕРНЫШЕВСКИЙ ДЕТСКИЙ ДОМ»")</f>
        <v>ГБУРК «ЧЕРНЫШЕВСКИЙ ДЕТСКИЙ ДОМ»</v>
      </c>
      <c r="B2971" s="24" t="s">
        <v>4366</v>
      </c>
      <c r="C2971" s="25">
        <v>25666.67</v>
      </c>
      <c r="D2971" s="22" t="s">
        <v>4367</v>
      </c>
      <c r="E2971" s="22" t="s">
        <v>59</v>
      </c>
      <c r="F2971" s="23" t="str">
        <f>HYPERLINK("https://www.spark-marketing.ru/Card/Lot/72787037", "Приобретение с установкой тревожной сигнализации.")</f>
        <v>Приобретение с установкой тревожной сигнализации.</v>
      </c>
      <c r="G2971" s="22" t="s">
        <v>1053</v>
      </c>
      <c r="H2971" s="22" t="s">
        <v>4368</v>
      </c>
      <c r="I2971" s="26">
        <v>43691.612500000003</v>
      </c>
      <c r="J2971" s="28" t="s">
        <v>52</v>
      </c>
      <c r="K2971" s="28" t="s">
        <v>52</v>
      </c>
      <c r="L2971" s="28" t="s">
        <v>52</v>
      </c>
      <c r="M2971" s="28" t="s">
        <v>52</v>
      </c>
      <c r="N2971" s="28" t="s">
        <v>52</v>
      </c>
    </row>
    <row r="2972" spans="1:14" x14ac:dyDescent="0.15">
      <c r="A2972" s="23" t="str">
        <f>HYPERLINK("https://www.spark-marketing.ru/Card/Person/116568", "МКУ ""СЛУЖБА ГРАЖДАНСКОЙ ЗАЩИТЫ Г. АПАТИТЫ""")</f>
        <v>МКУ "СЛУЖБА ГРАЖДАНСКОЙ ЗАЩИТЫ Г. АПАТИТЫ"</v>
      </c>
      <c r="B2972" s="24" t="s">
        <v>3714</v>
      </c>
      <c r="C2972" s="25">
        <v>298100</v>
      </c>
      <c r="D2972" s="22" t="s">
        <v>4369</v>
      </c>
      <c r="E2972" s="22" t="s">
        <v>84</v>
      </c>
      <c r="F2972" s="23" t="str">
        <f>HYPERLINK("https://www.spark-marketing.ru/Card/Lot/72788644", "Выполнение работ по установке и подключению камер видеонаблюдения, расположенных на территории парка по ул. Пушкина")</f>
        <v>Выполнение работ по установке и подключению камер видеонаблюдения, расположенных на территории парка по ул. Пушкина</v>
      </c>
      <c r="G2972" s="22" t="s">
        <v>190</v>
      </c>
      <c r="H2972" s="22" t="s">
        <v>3716</v>
      </c>
      <c r="I2972" s="26">
        <v>43691.357476851903</v>
      </c>
      <c r="J2972" s="28" t="s">
        <v>52</v>
      </c>
      <c r="K2972" s="28" t="s">
        <v>52</v>
      </c>
      <c r="L2972" s="28" t="s">
        <v>52</v>
      </c>
      <c r="M2972" s="28" t="s">
        <v>52</v>
      </c>
      <c r="N2972" s="28" t="s">
        <v>52</v>
      </c>
    </row>
    <row r="2973" spans="1:14" x14ac:dyDescent="0.15">
      <c r="A2973" s="23" t="str">
        <f>HYPERLINK("https://www.spark-marketing.ru/Card/Person/1781442", "АО ""ХИАГДА""")</f>
        <v>АО "ХИАГДА"</v>
      </c>
      <c r="B2973" s="24" t="s">
        <v>2590</v>
      </c>
      <c r="C2973" s="25">
        <v>0</v>
      </c>
      <c r="D2973" s="22" t="s">
        <v>4370</v>
      </c>
      <c r="E2973" s="22" t="s">
        <v>53</v>
      </c>
      <c r="F2973" s="23" t="str">
        <f>HYPERLINK("https://www.spark-marketing.ru/Card/Lot/72797109", "мониторинг цен в электронной форме на Приобретение и установка системы видеонаблюдения цеха ПВ")</f>
        <v>мониторинг цен в электронной форме на Приобретение и установка системы видеонаблюдения цеха ПВ</v>
      </c>
      <c r="G2973" s="22" t="s">
        <v>354</v>
      </c>
      <c r="H2973" s="22" t="s">
        <v>2592</v>
      </c>
      <c r="I2973" s="26">
        <v>43691.503333333298</v>
      </c>
      <c r="J2973" s="28" t="s">
        <v>52</v>
      </c>
      <c r="K2973" s="28" t="s">
        <v>52</v>
      </c>
      <c r="L2973" s="28" t="s">
        <v>52</v>
      </c>
      <c r="M2973" s="28" t="s">
        <v>52</v>
      </c>
      <c r="N2973" s="28" t="s">
        <v>52</v>
      </c>
    </row>
    <row r="2974" spans="1:14" x14ac:dyDescent="0.15">
      <c r="A2974" s="23" t="str">
        <f>HYPERLINK("https://www.spark-marketing.ru/Card/Person/7819", "АДМИНИСТРАЦИЯ ГОРОДА ШАХТЫ")</f>
        <v>АДМИНИСТРАЦИЯ ГОРОДА ШАХТЫ</v>
      </c>
      <c r="B2974" s="24" t="s">
        <v>4371</v>
      </c>
      <c r="C2974" s="25">
        <v>26050</v>
      </c>
      <c r="D2974" s="22" t="s">
        <v>4372</v>
      </c>
      <c r="E2974" s="22" t="s">
        <v>4373</v>
      </c>
      <c r="F2974" s="23" t="str">
        <f>HYPERLINK("https://www.spark-marketing.ru/Card/Lot/72782340", "призы для награждения победителей спартакиад и соревнований между казачьими обществами г.Шахты в соответствии с п.5.2.9 Плана реализации муниципальной программы города Шахты «Обеспечение общественного порядка и противодействие преступности» на 2019 г...")</f>
        <v>призы для награждения победителей спартакиад и соревнований между казачьими обществами г.Шахты в соответствии с п.5.2.9 Плана реализации муниципальной программы города Шахты «Обеспечение общественного порядка и противодействие преступности» на 2019 г...</v>
      </c>
      <c r="G2974" s="22" t="s">
        <v>402</v>
      </c>
      <c r="H2974" s="22" t="s">
        <v>4374</v>
      </c>
      <c r="I2974" s="26">
        <v>43691.506944444402</v>
      </c>
      <c r="J2974" s="28" t="s">
        <v>52</v>
      </c>
      <c r="K2974" s="28" t="s">
        <v>52</v>
      </c>
      <c r="L2974" s="28" t="s">
        <v>52</v>
      </c>
      <c r="M2974" s="28" t="s">
        <v>52</v>
      </c>
      <c r="N2974" s="28" t="s">
        <v>52</v>
      </c>
    </row>
    <row r="2975" spans="1:14" x14ac:dyDescent="0.15">
      <c r="A2975" s="23" t="str">
        <f>HYPERLINK("https://www.spark-marketing.ru/Card/Person/1023103", "МДОУ № 26 П. БОРОДИНСКОЕ ПОЛЕ")</f>
        <v>МДОУ № 26 П. БОРОДИНСКОЕ ПОЛЕ</v>
      </c>
      <c r="B2975" s="24" t="s">
        <v>4375</v>
      </c>
      <c r="C2975" s="25">
        <v>20000</v>
      </c>
      <c r="D2975" s="22" t="s">
        <v>4376</v>
      </c>
      <c r="E2975" s="22" t="s">
        <v>103</v>
      </c>
      <c r="F2975" s="23" t="str">
        <f>HYPERLINK("https://www.spark-marketing.ru/Card/Lot/72783410", "На оказание услуг по техническому обслуживанию системы видеонаблюдения")</f>
        <v>На оказание услуг по техническому обслуживанию системы видеонаблюдения</v>
      </c>
      <c r="G2975" s="22" t="s">
        <v>50</v>
      </c>
      <c r="H2975" s="22" t="s">
        <v>399</v>
      </c>
      <c r="I2975" s="26">
        <v>43691.523784722202</v>
      </c>
      <c r="J2975" s="28" t="s">
        <v>52</v>
      </c>
      <c r="K2975" s="28" t="s">
        <v>52</v>
      </c>
      <c r="L2975" s="28" t="s">
        <v>52</v>
      </c>
      <c r="M2975" s="28" t="s">
        <v>52</v>
      </c>
      <c r="N2975" s="28" t="s">
        <v>52</v>
      </c>
    </row>
    <row r="2976" spans="1:14" x14ac:dyDescent="0.15">
      <c r="A2976" s="23" t="str">
        <f>HYPERLINK("https://www.spark-marketing.ru/Card/Person/5224", "ФКУ ""ЦХИСО ГУ МВД РОССИИ ПО РОСТОВСКОЙ ОБЛАСТИ""")</f>
        <v>ФКУ "ЦХИСО ГУ МВД РОССИИ ПО РОСТОВСКОЙ ОБЛАСТИ"</v>
      </c>
      <c r="B2976" s="24" t="s">
        <v>4377</v>
      </c>
      <c r="C2976" s="25">
        <v>62820</v>
      </c>
      <c r="D2976" s="22" t="s">
        <v>4378</v>
      </c>
      <c r="E2976" s="22" t="s">
        <v>84</v>
      </c>
      <c r="F2976" s="23" t="str">
        <f>HYPERLINK("https://www.spark-marketing.ru/Card/Lot/72782502", "установка систем охранного видеонаблюдения 16 каналов, 1 шт")</f>
        <v>установка систем охранного видеонаблюдения 16 каналов, 1 шт</v>
      </c>
      <c r="G2976" s="22" t="s">
        <v>402</v>
      </c>
      <c r="H2976" s="22" t="s">
        <v>403</v>
      </c>
      <c r="I2976" s="26">
        <v>43691.534745370402</v>
      </c>
      <c r="J2976" s="28" t="s">
        <v>52</v>
      </c>
      <c r="K2976" s="28" t="s">
        <v>52</v>
      </c>
      <c r="L2976" s="28" t="s">
        <v>52</v>
      </c>
      <c r="M2976" s="28" t="s">
        <v>52</v>
      </c>
      <c r="N2976" s="28" t="s">
        <v>52</v>
      </c>
    </row>
    <row r="2977" spans="1:14" x14ac:dyDescent="0.15">
      <c r="A2977" s="23" t="str">
        <f>HYPERLINK("https://www.spark-marketing.ru/Card/Person/1781442", "АО ""ХИАГДА""")</f>
        <v>АО "ХИАГДА"</v>
      </c>
      <c r="B2977" s="24" t="s">
        <v>2590</v>
      </c>
      <c r="C2977" s="28" t="s">
        <v>52</v>
      </c>
      <c r="D2977" s="22" t="s">
        <v>4379</v>
      </c>
      <c r="E2977" s="22" t="s">
        <v>1647</v>
      </c>
      <c r="F2977" s="23" t="str">
        <f>HYPERLINK("https://www.spark-marketing.ru/Card/Lot/72935752", "Приобретение и установка системы видеонаблюдения цеха ПВ")</f>
        <v>Приобретение и установка системы видеонаблюдения цеха ПВ</v>
      </c>
      <c r="G2977" s="22" t="s">
        <v>354</v>
      </c>
      <c r="H2977" s="22" t="s">
        <v>2592</v>
      </c>
      <c r="I2977" s="26">
        <v>43691.504780092597</v>
      </c>
      <c r="J2977" s="28" t="s">
        <v>52</v>
      </c>
      <c r="K2977" s="28" t="s">
        <v>52</v>
      </c>
      <c r="L2977" s="28" t="s">
        <v>52</v>
      </c>
      <c r="M2977" s="28" t="s">
        <v>52</v>
      </c>
      <c r="N2977" s="28" t="s">
        <v>52</v>
      </c>
    </row>
    <row r="2978" spans="1:14" x14ac:dyDescent="0.15">
      <c r="A2978" s="23" t="str">
        <f>HYPERLINK("https://www.spark-marketing.ru/Card/Person/15387", "ГБДОУ ДЕТСКИЙ САД № 78 ПРИМОРСКОГО РАЙОНА САНКТ-ПЕТЕРБУРГА")</f>
        <v>ГБДОУ ДЕТСКИЙ САД № 78 ПРИМОРСКОГО РАЙОНА САНКТ-ПЕТЕРБУРГА</v>
      </c>
      <c r="B2978" s="24" t="s">
        <v>4380</v>
      </c>
      <c r="C2978" s="25">
        <v>200000</v>
      </c>
      <c r="D2978" s="22" t="s">
        <v>4381</v>
      </c>
      <c r="E2978" s="22" t="s">
        <v>52</v>
      </c>
      <c r="F2978" s="23" t="str">
        <f>HYPERLINK("https://www.spark-marketing.ru/Card/Lot/72783091", "Оказание услуг по обеспечению физической охраны объекта ГБДОУ детский сад №78 Приморского района Санкт-Петербурга")</f>
        <v>Оказание услуг по обеспечению физической охраны объекта ГБДОУ детский сад №78 Приморского района Санкт-Петербурга</v>
      </c>
      <c r="G2978" s="22" t="s">
        <v>89</v>
      </c>
      <c r="H2978" s="22" t="s">
        <v>89</v>
      </c>
      <c r="I2978" s="26">
        <v>43691.449930555602</v>
      </c>
      <c r="J2978" s="23" t="str">
        <f>HYPERLINK("https://www.spark-marketing.ru/Card/Person/93955", "ООО ЧОО ""КРЕЧЕТ""")</f>
        <v>ООО ЧОО "КРЕЧЕТ"</v>
      </c>
      <c r="K2978" s="24" t="s">
        <v>4382</v>
      </c>
      <c r="L2978" s="22" t="s">
        <v>10</v>
      </c>
      <c r="M2978" s="28" t="s">
        <v>52</v>
      </c>
      <c r="N2978" s="28" t="s">
        <v>52</v>
      </c>
    </row>
    <row r="2979" spans="1:14" x14ac:dyDescent="0.15">
      <c r="A2979" s="23" t="str">
        <f>HYPERLINK("https://www.spark-marketing.ru/Card/Person/115809", "ГЛАВНОЕ УПРАВЛЕНИЕ МЧС РОССИИ ПО АЛТАЙСКОМУ КРАЮ")</f>
        <v>ГЛАВНОЕ УПРАВЛЕНИЕ МЧС РОССИИ ПО АЛТАЙСКОМУ КРАЮ</v>
      </c>
      <c r="B2979" s="24" t="s">
        <v>4383</v>
      </c>
      <c r="C2979" s="25">
        <v>3266.67</v>
      </c>
      <c r="D2979" s="22" t="s">
        <v>4384</v>
      </c>
      <c r="E2979" s="22" t="s">
        <v>53</v>
      </c>
      <c r="F2979" s="23" t="str">
        <f>HYPERLINK("https://www.spark-marketing.ru/Card/Lot/72780719", "Установка камер видео-наблюдения, 1 шт")</f>
        <v>Установка камер видео-наблюдения, 1 шт</v>
      </c>
      <c r="G2979" s="22" t="s">
        <v>428</v>
      </c>
      <c r="H2979" s="22" t="s">
        <v>429</v>
      </c>
      <c r="I2979" s="26">
        <v>43691.485162037003</v>
      </c>
      <c r="J2979" s="28" t="s">
        <v>52</v>
      </c>
      <c r="K2979" s="28" t="s">
        <v>52</v>
      </c>
      <c r="L2979" s="28" t="s">
        <v>52</v>
      </c>
      <c r="M2979" s="28" t="s">
        <v>52</v>
      </c>
      <c r="N2979" s="28" t="s">
        <v>52</v>
      </c>
    </row>
    <row r="2980" spans="1:14" x14ac:dyDescent="0.15">
      <c r="A2980" s="23" t="str">
        <f>HYPERLINK("https://www.spark-marketing.ru/Card/Person/30200", "УФНС РОССИИ ПО ВОРОНЕЖСКОЙ ОБЛАСТИ")</f>
        <v>УФНС РОССИИ ПО ВОРОНЕЖСКОЙ ОБЛАСТИ</v>
      </c>
      <c r="B2980" s="24" t="s">
        <v>4385</v>
      </c>
      <c r="C2980" s="25">
        <v>41920.36</v>
      </c>
      <c r="D2980" s="22" t="s">
        <v>4386</v>
      </c>
      <c r="E2980" s="22" t="s">
        <v>53</v>
      </c>
      <c r="F2980" s="23" t="str">
        <f>HYPERLINK("https://www.spark-marketing.ru/Card/Lot/72776521", "Охрана объектов, на которые частная охранная деятельность не распространяется, 1 усл. ед")</f>
        <v>Охрана объектов, на которые частная охранная деятельность не распространяется, 1 усл. ед</v>
      </c>
      <c r="G2980" s="22" t="s">
        <v>552</v>
      </c>
      <c r="H2980" s="22" t="s">
        <v>886</v>
      </c>
      <c r="I2980" s="26">
        <v>43691.423310185201</v>
      </c>
      <c r="J2980" s="28" t="s">
        <v>52</v>
      </c>
      <c r="K2980" s="28" t="s">
        <v>52</v>
      </c>
      <c r="L2980" s="28" t="s">
        <v>52</v>
      </c>
      <c r="M2980" s="28" t="s">
        <v>52</v>
      </c>
      <c r="N2980" s="28" t="s">
        <v>52</v>
      </c>
    </row>
    <row r="2981" spans="1:14" x14ac:dyDescent="0.15">
      <c r="A2981" s="23" t="str">
        <f>HYPERLINK("https://www.spark-marketing.ru/Card/Person/135276", "ОТДЕЛ МВД РОССИИ ПО Г.БОР")</f>
        <v>ОТДЕЛ МВД РОССИИ ПО Г.БОР</v>
      </c>
      <c r="B2981" s="24" t="s">
        <v>1361</v>
      </c>
      <c r="C2981" s="25">
        <v>110008.62</v>
      </c>
      <c r="D2981" s="22" t="s">
        <v>4387</v>
      </c>
      <c r="E2981" s="22" t="s">
        <v>107</v>
      </c>
      <c r="F2981" s="23" t="str">
        <f>HYPERLINK("https://www.spark-marketing.ru/Card/Lot/72776663", "Техническое обслуживание и ППР технических средств охраны, 8 шт")</f>
        <v>Техническое обслуживание и ППР технических средств охраны, 8 шт</v>
      </c>
      <c r="G2981" s="22" t="s">
        <v>64</v>
      </c>
      <c r="H2981" s="22" t="s">
        <v>1363</v>
      </c>
      <c r="I2981" s="26">
        <v>43691.421840277799</v>
      </c>
      <c r="J2981" s="28" t="s">
        <v>52</v>
      </c>
      <c r="K2981" s="28" t="s">
        <v>52</v>
      </c>
      <c r="L2981" s="28" t="s">
        <v>52</v>
      </c>
      <c r="M2981" s="28" t="s">
        <v>52</v>
      </c>
      <c r="N2981" s="28" t="s">
        <v>52</v>
      </c>
    </row>
    <row r="2982" spans="1:14" x14ac:dyDescent="0.15">
      <c r="A2982" s="23" t="str">
        <f>HYPERLINK("https://www.spark-marketing.ru/Card/Person/6492695", "УПРАВЛЕНИЕ РОСГВАРДИИ ПО КАБАРДИНО-БАЛКАРСКОЙ РЕСПУБЛИКЕ")</f>
        <v>УПРАВЛЕНИЕ РОСГВАРДИИ ПО КАБАРДИНО-БАЛКАРСКОЙ РЕСПУБЛИКЕ</v>
      </c>
      <c r="B2982" s="24" t="s">
        <v>4388</v>
      </c>
      <c r="C2982" s="25">
        <v>400000</v>
      </c>
      <c r="D2982" s="22" t="s">
        <v>4389</v>
      </c>
      <c r="E2982" s="22" t="s">
        <v>4390</v>
      </c>
      <c r="F2982" s="23" t="str">
        <f>HYPERLINK("https://www.spark-marketing.ru/Card/Lot/72780157", "Закупка материалов для дооборудования техническими средствами охраны собственных объектов Управления Росгвардии по КБР")</f>
        <v>Закупка материалов для дооборудования техническими средствами охраны собственных объектов Управления Росгвардии по КБР</v>
      </c>
      <c r="G2982" s="22" t="s">
        <v>110</v>
      </c>
      <c r="H2982" s="22" t="s">
        <v>110</v>
      </c>
      <c r="I2982" s="26">
        <v>43691.399548611102</v>
      </c>
      <c r="J2982" s="23" t="str">
        <f>HYPERLINK("https://www.spark-marketing.ru/Card/Person/128880", "ООО ""ИНФО-СТРОЙ""")</f>
        <v>ООО "ИНФО-СТРОЙ"</v>
      </c>
      <c r="K2982" s="24" t="s">
        <v>4391</v>
      </c>
      <c r="L2982" s="28" t="s">
        <v>52</v>
      </c>
      <c r="M2982" s="28" t="s">
        <v>52</v>
      </c>
      <c r="N2982" s="28" t="s">
        <v>52</v>
      </c>
    </row>
    <row r="2983" spans="1:14" ht="12.75" hidden="1" outlineLevel="1" x14ac:dyDescent="0.2">
      <c r="A2983" s="23" t="str">
        <f>HYPERLINK("https://www.spark-marketing.ru/Card/Person/6492695", "УПРАВЛЕНИЕ РОСГВАРДИИ ПО КАБАРДИНО-БАЛКАРСКОЙ РЕСПУБЛИКЕ")</f>
        <v>УПРАВЛЕНИЕ РОСГВАРДИИ ПО КАБАРДИНО-БАЛКАРСКОЙ РЕСПУБЛИКЕ</v>
      </c>
      <c r="B2983" s="24" t="s">
        <v>4388</v>
      </c>
      <c r="C2983" s="25">
        <v>400000</v>
      </c>
      <c r="D2983" s="22" t="s">
        <v>4389</v>
      </c>
      <c r="E2983" s="22" t="s">
        <v>4390</v>
      </c>
      <c r="F2983" s="23" t="str">
        <f>HYPERLINK("https://www.spark-marketing.ru/Card/Lot/72780157", "Закупка материалов для дооборудования техническими средствами охраны собственных объектов Управления Росгвардии по КБР")</f>
        <v>Закупка материалов для дооборудования техническими средствами охраны собственных объектов Управления Росгвардии по КБР</v>
      </c>
      <c r="G2983" s="22" t="s">
        <v>110</v>
      </c>
      <c r="H2983" s="22" t="s">
        <v>110</v>
      </c>
      <c r="I2983" s="26">
        <v>43691.399548611102</v>
      </c>
      <c r="J2983" s="23" t="str">
        <f>HYPERLINK("https://www.spark-marketing.ru/Card/Person/128880", "ООО ""ИНФО-СТРОЙ""")</f>
        <v>ООО "ИНФО-СТРОЙ"</v>
      </c>
      <c r="K2983" s="24" t="s">
        <v>4391</v>
      </c>
      <c r="L2983" s="22" t="s">
        <v>10</v>
      </c>
      <c r="M2983" s="25">
        <v>398000</v>
      </c>
      <c r="N2983" s="27">
        <v>5.0000000000000001E-3</v>
      </c>
    </row>
    <row r="2984" spans="1:14" x14ac:dyDescent="0.15">
      <c r="A2984" s="23" t="str">
        <f>HYPERLINK("https://www.spark-marketing.ru/Card/Person/4860038", "Межрегиональный филиал ФКУ ""ЦОКР"" в г. Ростове-на-Дону")</f>
        <v>Межрегиональный филиал ФКУ "ЦОКР" в г. Ростове-на-Дону</v>
      </c>
      <c r="B2984" s="24" t="s">
        <v>962</v>
      </c>
      <c r="C2984" s="25">
        <v>34000</v>
      </c>
      <c r="D2984" s="22" t="s">
        <v>4392</v>
      </c>
      <c r="E2984" s="22" t="s">
        <v>103</v>
      </c>
      <c r="F2984" s="23" t="str">
        <f>HYPERLINK("https://www.spark-marketing.ru/Card/Lot/72777985", "Техническое обслуживание видеонаблюдения, 17 усл. ед")</f>
        <v>Техническое обслуживание видеонаблюдения, 17 усл. ед</v>
      </c>
      <c r="G2984" s="22" t="s">
        <v>402</v>
      </c>
      <c r="H2984" s="22" t="s">
        <v>403</v>
      </c>
      <c r="I2984" s="26">
        <v>43691.4364236111</v>
      </c>
      <c r="J2984" s="28" t="s">
        <v>52</v>
      </c>
      <c r="K2984" s="28" t="s">
        <v>52</v>
      </c>
      <c r="L2984" s="28" t="s">
        <v>52</v>
      </c>
      <c r="M2984" s="28" t="s">
        <v>52</v>
      </c>
      <c r="N2984" s="28" t="s">
        <v>52</v>
      </c>
    </row>
    <row r="2985" spans="1:14" x14ac:dyDescent="0.15">
      <c r="A2985" s="23" t="str">
        <f>HYPERLINK("https://www.spark-marketing.ru/Card/Person/6492695", "УПРАВЛЕНИЕ РОСГВАРДИИ ПО КАБАРДИНО-БАЛКАРСКОЙ РЕСПУБЛИКЕ")</f>
        <v>УПРАВЛЕНИЕ РОСГВАРДИИ ПО КАБАРДИНО-БАЛКАРСКОЙ РЕСПУБЛИКЕ</v>
      </c>
      <c r="B2985" s="24" t="s">
        <v>4388</v>
      </c>
      <c r="C2985" s="25">
        <v>64000</v>
      </c>
      <c r="D2985" s="22" t="s">
        <v>4393</v>
      </c>
      <c r="E2985" s="22" t="s">
        <v>4390</v>
      </c>
      <c r="F2985" s="23" t="str">
        <f>HYPERLINK("https://www.spark-marketing.ru/Card/Lot/72781198", "Закупка инженерно-технических средств охраны для собственных объектов Управления Росгвардии по КБР")</f>
        <v>Закупка инженерно-технических средств охраны для собственных объектов Управления Росгвардии по КБР</v>
      </c>
      <c r="G2985" s="22" t="s">
        <v>110</v>
      </c>
      <c r="H2985" s="22" t="s">
        <v>110</v>
      </c>
      <c r="I2985" s="26">
        <v>43691.408449074101</v>
      </c>
      <c r="J2985" s="23" t="str">
        <f>HYPERLINK("https://www.spark-marketing.ru/Card/Person/128880", "ООО ""ИНФО-СТРОЙ""")</f>
        <v>ООО "ИНФО-СТРОЙ"</v>
      </c>
      <c r="K2985" s="24" t="s">
        <v>4391</v>
      </c>
      <c r="L2985" s="22" t="s">
        <v>10</v>
      </c>
      <c r="M2985" s="28" t="s">
        <v>52</v>
      </c>
      <c r="N2985" s="28" t="s">
        <v>52</v>
      </c>
    </row>
    <row r="2986" spans="1:14" x14ac:dyDescent="0.15">
      <c r="A2986" s="23" t="str">
        <f>HYPERLINK("https://www.spark-marketing.ru/Card/Person/815986", "ОТДЕЛ МВД РОССИИ ПО АКТАНЫШСКОМУ РАЙОНУ")</f>
        <v>ОТДЕЛ МВД РОССИИ ПО АКТАНЫШСКОМУ РАЙОНУ</v>
      </c>
      <c r="B2986" s="24" t="s">
        <v>3881</v>
      </c>
      <c r="C2986" s="25">
        <v>14406.48</v>
      </c>
      <c r="D2986" s="22" t="s">
        <v>4394</v>
      </c>
      <c r="E2986" s="22" t="s">
        <v>107</v>
      </c>
      <c r="F2986" s="23" t="str">
        <f>HYPERLINK("https://www.spark-marketing.ru/Card/Lot/72778279", "Техническое обслуживание и ППР технических средств охраны, 1 шт")</f>
        <v>Техническое обслуживание и ППР технических средств охраны, 1 шт</v>
      </c>
      <c r="G2986" s="22" t="s">
        <v>204</v>
      </c>
      <c r="H2986" s="22" t="s">
        <v>4395</v>
      </c>
      <c r="I2986" s="26">
        <v>43691.453055555598</v>
      </c>
      <c r="J2986" s="28" t="s">
        <v>52</v>
      </c>
      <c r="K2986" s="28" t="s">
        <v>52</v>
      </c>
      <c r="L2986" s="28" t="s">
        <v>52</v>
      </c>
      <c r="M2986" s="28" t="s">
        <v>52</v>
      </c>
      <c r="N2986" s="28" t="s">
        <v>52</v>
      </c>
    </row>
    <row r="2987" spans="1:14" x14ac:dyDescent="0.15">
      <c r="A2987" s="23" t="str">
        <f>HYPERLINK("https://www.spark-marketing.ru/Card/Person/2097942", "АО ""КОНЦЕРН РОСЭНЕРГОАТОМ""")</f>
        <v>АО "КОНЦЕРН РОСЭНЕРГОАТОМ"</v>
      </c>
      <c r="B2987" s="24" t="s">
        <v>211</v>
      </c>
      <c r="C2987" s="28" t="s">
        <v>52</v>
      </c>
      <c r="D2987" s="22" t="s">
        <v>4396</v>
      </c>
      <c r="E2987" s="22" t="s">
        <v>208</v>
      </c>
      <c r="F2987" s="23" t="str">
        <f>HYPERLINK("https://www.spark-marketing.ru/Card/Lot/72934976", "Поставка ТСФЗ для модернизации комплекса инженерно-технических средств охраны периметра ОРУ-330/110")</f>
        <v>Поставка ТСФЗ для модернизации комплекса инженерно-технических средств охраны периметра ОРУ-330/110</v>
      </c>
      <c r="G2987" s="22" t="s">
        <v>55</v>
      </c>
      <c r="H2987" s="22" t="s">
        <v>55</v>
      </c>
      <c r="I2987" s="26">
        <v>43691.387002314797</v>
      </c>
      <c r="J2987" s="28" t="s">
        <v>52</v>
      </c>
      <c r="K2987" s="28" t="s">
        <v>52</v>
      </c>
      <c r="L2987" s="28" t="s">
        <v>52</v>
      </c>
      <c r="M2987" s="28" t="s">
        <v>52</v>
      </c>
      <c r="N2987" s="28" t="s">
        <v>52</v>
      </c>
    </row>
    <row r="2988" spans="1:14" x14ac:dyDescent="0.15">
      <c r="A2988" s="23" t="str">
        <f>HYPERLINK("https://www.spark-marketing.ru/Card/Person/135276", "ОТДЕЛ МВД РОССИИ ПО Г.БОР")</f>
        <v>ОТДЕЛ МВД РОССИИ ПО Г.БОР</v>
      </c>
      <c r="B2988" s="24" t="s">
        <v>1361</v>
      </c>
      <c r="C2988" s="25">
        <v>110008.62</v>
      </c>
      <c r="D2988" s="22" t="s">
        <v>4397</v>
      </c>
      <c r="E2988" s="22" t="s">
        <v>107</v>
      </c>
      <c r="F2988" s="23" t="str">
        <f>HYPERLINK("https://www.spark-marketing.ru/Card/Lot/72776719", "Техническое обслуживание и ППР технических средств охраны, 8 шт")</f>
        <v>Техническое обслуживание и ППР технических средств охраны, 8 шт</v>
      </c>
      <c r="G2988" s="22" t="s">
        <v>64</v>
      </c>
      <c r="H2988" s="22" t="s">
        <v>1363</v>
      </c>
      <c r="I2988" s="26">
        <v>43691.411157407398</v>
      </c>
      <c r="J2988" s="28" t="s">
        <v>52</v>
      </c>
      <c r="K2988" s="28" t="s">
        <v>52</v>
      </c>
      <c r="L2988" s="28" t="s">
        <v>52</v>
      </c>
      <c r="M2988" s="28" t="s">
        <v>52</v>
      </c>
      <c r="N2988" s="28" t="s">
        <v>52</v>
      </c>
    </row>
    <row r="2989" spans="1:14" x14ac:dyDescent="0.15">
      <c r="A2989" s="23" t="str">
        <f>HYPERLINK("https://www.spark-marketing.ru/Card/Person/16091", "УПРАВЛЕНИЕ РОСРЕЕСТРА ПО САМАРСКОЙ ОБЛАСТИ")</f>
        <v>УПРАВЛЕНИЕ РОСРЕЕСТРА ПО САМАРСКОЙ ОБЛАСТИ</v>
      </c>
      <c r="B2989" s="24" t="s">
        <v>4110</v>
      </c>
      <c r="C2989" s="25">
        <v>39000</v>
      </c>
      <c r="D2989" s="22" t="s">
        <v>4398</v>
      </c>
      <c r="E2989" s="22" t="s">
        <v>103</v>
      </c>
      <c r="F2989" s="23" t="str">
        <f>HYPERLINK("https://www.spark-marketing.ru/Card/Lot/72775817", "Обслуживание систем видеонаблюдения, 1 усл. ед")</f>
        <v>Обслуживание систем видеонаблюдения, 1 усл. ед</v>
      </c>
      <c r="G2989" s="22" t="s">
        <v>760</v>
      </c>
      <c r="H2989" s="22" t="s">
        <v>1709</v>
      </c>
      <c r="I2989" s="26">
        <v>43691.392442129603</v>
      </c>
      <c r="J2989" s="28" t="s">
        <v>52</v>
      </c>
      <c r="K2989" s="28" t="s">
        <v>52</v>
      </c>
      <c r="L2989" s="28" t="s">
        <v>52</v>
      </c>
      <c r="M2989" s="28" t="s">
        <v>52</v>
      </c>
      <c r="N2989" s="28" t="s">
        <v>52</v>
      </c>
    </row>
    <row r="2990" spans="1:14" x14ac:dyDescent="0.15">
      <c r="A2990" s="23" t="str">
        <f>HYPERLINK("https://www.spark-marketing.ru/Card/Person/30200", "УФНС РОССИИ ПО ВОРОНЕЖСКОЙ ОБЛАСТИ")</f>
        <v>УФНС РОССИИ ПО ВОРОНЕЖСКОЙ ОБЛАСТИ</v>
      </c>
      <c r="B2990" s="24" t="s">
        <v>4385</v>
      </c>
      <c r="C2990" s="25">
        <v>42501.01</v>
      </c>
      <c r="D2990" s="22" t="s">
        <v>4399</v>
      </c>
      <c r="E2990" s="22" t="s">
        <v>53</v>
      </c>
      <c r="F2990" s="23" t="str">
        <f>HYPERLINK("https://www.spark-marketing.ru/Card/Lot/72776487", "Услуги пультовой охраны с использованием тревожной кнопки, 1 шт")</f>
        <v>Услуги пультовой охраны с использованием тревожной кнопки, 1 шт</v>
      </c>
      <c r="G2990" s="22" t="s">
        <v>552</v>
      </c>
      <c r="H2990" s="22" t="s">
        <v>886</v>
      </c>
      <c r="I2990" s="26">
        <v>43691.412245370397</v>
      </c>
      <c r="J2990" s="28" t="s">
        <v>52</v>
      </c>
      <c r="K2990" s="28" t="s">
        <v>52</v>
      </c>
      <c r="L2990" s="28" t="s">
        <v>52</v>
      </c>
      <c r="M2990" s="28" t="s">
        <v>52</v>
      </c>
      <c r="N2990" s="28" t="s">
        <v>52</v>
      </c>
    </row>
    <row r="2991" spans="1:14" x14ac:dyDescent="0.15">
      <c r="A2991" s="23" t="str">
        <f t="shared" ref="A2991:A2996" si="127">HYPERLINK("https://www.spark-marketing.ru/Card/Person/26291", "ФКУЗ ""МСЧ МВД РОССИИ ПО КЕМЕРОВСКОЙ ОБЛАСТИ""")</f>
        <v>ФКУЗ "МСЧ МВД РОССИИ ПО КЕМЕРОВСКОЙ ОБЛАСТИ"</v>
      </c>
      <c r="B2991" s="24" t="s">
        <v>4400</v>
      </c>
      <c r="C2991" s="25">
        <v>803666.66</v>
      </c>
      <c r="D2991" s="22" t="s">
        <v>4401</v>
      </c>
      <c r="E2991" s="22" t="s">
        <v>4402</v>
      </c>
      <c r="F2991" s="23" t="str">
        <f t="shared" ref="F2991:F2996" si="128">HYPERLINK("https://www.spark-marketing.ru/Card/Lot/72774076", "Оказание услуг по техническому обслуживанию комплекса инженерно-технических средств охраны (КИТСО) охранной сигнализации (ОС) и периметральной охранной сигнализации (ПОС) работающей в автономном режиме, тревожной сигнализации (ТС) с выводом на ПЦН ОВ...")</f>
        <v>Оказание услуг по техническому обслуживанию комплекса инженерно-технических средств охраны (КИТСО) охранной сигнализации (ОС) и периметральной охранной сигнализации (ПОС) работающей в автономном режиме, тревожной сигнализации (ТС) с выводом на ПЦН ОВ...</v>
      </c>
      <c r="G2991" s="22" t="s">
        <v>367</v>
      </c>
      <c r="H2991" s="22" t="s">
        <v>881</v>
      </c>
      <c r="I2991" s="26">
        <v>43690.665497685201</v>
      </c>
      <c r="J2991" s="28" t="s">
        <v>52</v>
      </c>
      <c r="K2991" s="28" t="s">
        <v>52</v>
      </c>
      <c r="L2991" s="28" t="s">
        <v>52</v>
      </c>
      <c r="M2991" s="28" t="s">
        <v>52</v>
      </c>
      <c r="N2991" s="28" t="s">
        <v>52</v>
      </c>
    </row>
    <row r="2992" spans="1:14" hidden="1" outlineLevel="1" x14ac:dyDescent="0.2">
      <c r="A2992" s="23" t="str">
        <f t="shared" si="127"/>
        <v>ФКУЗ "МСЧ МВД РОССИИ ПО КЕМЕРОВСКОЙ ОБЛАСТИ"</v>
      </c>
      <c r="B2992" s="24" t="s">
        <v>4400</v>
      </c>
      <c r="C2992" s="25">
        <v>803666.66</v>
      </c>
      <c r="D2992" s="22" t="s">
        <v>4401</v>
      </c>
      <c r="E2992" s="22" t="s">
        <v>4402</v>
      </c>
      <c r="F2992" s="23" t="str">
        <f t="shared" si="128"/>
        <v>Оказание услуг по техническому обслуживанию комплекса инженерно-технических средств охраны (КИТСО) охранной сигнализации (ОС) и периметральной охранной сигнализации (ПОС) работающей в автономном режиме, тревожной сигнализации (ТС) с выводом на ПЦН ОВ...</v>
      </c>
      <c r="G2992" s="22" t="s">
        <v>367</v>
      </c>
      <c r="H2992" s="22" t="s">
        <v>881</v>
      </c>
      <c r="I2992" s="26">
        <v>43690.665497685201</v>
      </c>
      <c r="J2992" s="23" t="str">
        <f>HYPERLINK("https://www.spark-marketing.ru/Card/Person/4536004", "ФЛ ФГУП ""ОХРАНА"" РОСГВАРДИИ ПО КЕМЕРОВСКОЙ ОБЛАСТИ")</f>
        <v>ФЛ ФГУП "ОХРАНА" РОСГВАРДИИ ПО КЕМЕРОВСКОЙ ОБЛАСТИ</v>
      </c>
      <c r="K2992" s="24" t="s">
        <v>779</v>
      </c>
      <c r="L2992" s="28" t="s">
        <v>52</v>
      </c>
      <c r="M2992" s="25">
        <v>548585.84</v>
      </c>
      <c r="N2992" s="27">
        <v>0.31739629462792446</v>
      </c>
    </row>
    <row r="2993" spans="1:14" ht="12.75" hidden="1" outlineLevel="1" x14ac:dyDescent="0.2">
      <c r="A2993" s="23" t="str">
        <f t="shared" si="127"/>
        <v>ФКУЗ "МСЧ МВД РОССИИ ПО КЕМЕРОВСКОЙ ОБЛАСТИ"</v>
      </c>
      <c r="B2993" s="24" t="s">
        <v>4400</v>
      </c>
      <c r="C2993" s="25">
        <v>803666.66</v>
      </c>
      <c r="D2993" s="22" t="s">
        <v>4401</v>
      </c>
      <c r="E2993" s="22" t="s">
        <v>4402</v>
      </c>
      <c r="F2993" s="23" t="str">
        <f t="shared" si="128"/>
        <v>Оказание услуг по техническому обслуживанию комплекса инженерно-технических средств охраны (КИТСО) охранной сигнализации (ОС) и периметральной охранной сигнализации (ПОС) работающей в автономном режиме, тревожной сигнализации (ТС) с выводом на ПЦН ОВ...</v>
      </c>
      <c r="G2993" s="22" t="s">
        <v>367</v>
      </c>
      <c r="H2993" s="22" t="s">
        <v>881</v>
      </c>
      <c r="I2993" s="26">
        <v>43690.665497685201</v>
      </c>
      <c r="J2993" s="23" t="str">
        <f>HYPERLINK("https://www.spark-marketing.ru/Card/Person/59808", "ООО ""ФОРТУНА ПЛЮС""")</f>
        <v>ООО "ФОРТУНА ПЛЮС"</v>
      </c>
      <c r="K2993" s="24" t="s">
        <v>4403</v>
      </c>
      <c r="L2993" s="22" t="s">
        <v>10</v>
      </c>
      <c r="M2993" s="25">
        <v>155193.60999999999</v>
      </c>
      <c r="N2993" s="27">
        <v>0.80689305936866906</v>
      </c>
    </row>
    <row r="2994" spans="1:14" hidden="1" outlineLevel="1" x14ac:dyDescent="0.2">
      <c r="A2994" s="23" t="str">
        <f t="shared" si="127"/>
        <v>ФКУЗ "МСЧ МВД РОССИИ ПО КЕМЕРОВСКОЙ ОБЛАСТИ"</v>
      </c>
      <c r="B2994" s="24" t="s">
        <v>4400</v>
      </c>
      <c r="C2994" s="25">
        <v>803666.66</v>
      </c>
      <c r="D2994" s="22" t="s">
        <v>4401</v>
      </c>
      <c r="E2994" s="22" t="s">
        <v>4402</v>
      </c>
      <c r="F2994" s="23" t="str">
        <f t="shared" si="128"/>
        <v>Оказание услуг по техническому обслуживанию комплекса инженерно-технических средств охраны (КИТСО) охранной сигнализации (ОС) и периметральной охранной сигнализации (ПОС) работающей в автономном режиме, тревожной сигнализации (ТС) с выводом на ПЦН ОВ...</v>
      </c>
      <c r="G2994" s="22" t="s">
        <v>367</v>
      </c>
      <c r="H2994" s="22" t="s">
        <v>881</v>
      </c>
      <c r="I2994" s="26">
        <v>43690.665497685201</v>
      </c>
      <c r="J2994" s="23" t="str">
        <f>HYPERLINK("https://www.spark-marketing.ru/Card/Person/612591", "ООО ""СБ СЕРВИС""")</f>
        <v>ООО "СБ СЕРВИС"</v>
      </c>
      <c r="K2994" s="24" t="s">
        <v>4404</v>
      </c>
      <c r="L2994" s="28" t="s">
        <v>52</v>
      </c>
      <c r="M2994" s="25">
        <v>419999.22</v>
      </c>
      <c r="N2994" s="27">
        <v>0.47739623788798208</v>
      </c>
    </row>
    <row r="2995" spans="1:14" hidden="1" outlineLevel="1" x14ac:dyDescent="0.2">
      <c r="A2995" s="23" t="str">
        <f t="shared" si="127"/>
        <v>ФКУЗ "МСЧ МВД РОССИИ ПО КЕМЕРОВСКОЙ ОБЛАСТИ"</v>
      </c>
      <c r="B2995" s="24" t="s">
        <v>4400</v>
      </c>
      <c r="C2995" s="25">
        <v>803666.66</v>
      </c>
      <c r="D2995" s="22" t="s">
        <v>4401</v>
      </c>
      <c r="E2995" s="22" t="s">
        <v>4402</v>
      </c>
      <c r="F2995" s="23" t="str">
        <f t="shared" si="128"/>
        <v>Оказание услуг по техническому обслуживанию комплекса инженерно-технических средств охраны (КИТСО) охранной сигнализации (ОС) и периметральной охранной сигнализации (ПОС) работающей в автономном режиме, тревожной сигнализации (ТС) с выводом на ПЦН ОВ...</v>
      </c>
      <c r="G2995" s="22" t="s">
        <v>367</v>
      </c>
      <c r="H2995" s="22" t="s">
        <v>881</v>
      </c>
      <c r="I2995" s="26">
        <v>43690.665497685201</v>
      </c>
      <c r="J2995" s="23" t="str">
        <f>HYPERLINK("https://www.spark-marketing.ru/Card/Person/318359", "ООО ""ТЕХМОНТАЖ""")</f>
        <v>ООО "ТЕХМОНТАЖ"</v>
      </c>
      <c r="K2995" s="24" t="s">
        <v>4405</v>
      </c>
      <c r="L2995" s="28" t="s">
        <v>52</v>
      </c>
      <c r="M2995" s="25">
        <v>621272.48</v>
      </c>
      <c r="N2995" s="27">
        <v>0.22695252780549588</v>
      </c>
    </row>
    <row r="2996" spans="1:14" hidden="1" outlineLevel="1" x14ac:dyDescent="0.2">
      <c r="A2996" s="23" t="str">
        <f t="shared" si="127"/>
        <v>ФКУЗ "МСЧ МВД РОССИИ ПО КЕМЕРОВСКОЙ ОБЛАСТИ"</v>
      </c>
      <c r="B2996" s="24" t="s">
        <v>4400</v>
      </c>
      <c r="C2996" s="25">
        <v>803666.66</v>
      </c>
      <c r="D2996" s="22" t="s">
        <v>4401</v>
      </c>
      <c r="E2996" s="22" t="s">
        <v>4402</v>
      </c>
      <c r="F2996" s="23" t="str">
        <f t="shared" si="128"/>
        <v>Оказание услуг по техническому обслуживанию комплекса инженерно-технических средств охраны (КИТСО) охранной сигнализации (ОС) и периметральной охранной сигнализации (ПОС) работающей в автономном режиме, тревожной сигнализации (ТС) с выводом на ПЦН ОВ...</v>
      </c>
      <c r="G2996" s="22" t="s">
        <v>367</v>
      </c>
      <c r="H2996" s="22" t="s">
        <v>881</v>
      </c>
      <c r="I2996" s="26">
        <v>43690.665497685201</v>
      </c>
      <c r="J2996" s="23" t="str">
        <f>HYPERLINK("https://www.spark-marketing.ru/Card/Person/6619594", "ООО ""КУБ""")</f>
        <v>ООО "КУБ"</v>
      </c>
      <c r="K2996" s="24" t="s">
        <v>4406</v>
      </c>
      <c r="L2996" s="28" t="s">
        <v>52</v>
      </c>
      <c r="M2996" s="25">
        <v>159211.94</v>
      </c>
      <c r="N2996" s="27">
        <v>0.80189306347484912</v>
      </c>
    </row>
    <row r="2997" spans="1:14" x14ac:dyDescent="0.15">
      <c r="A2997" s="23" t="str">
        <f>HYPERLINK("https://www.spark-marketing.ru/Card/Person/3291377", "ООО «ПОЛИОМ»")</f>
        <v>ООО «ПОЛИОМ»</v>
      </c>
      <c r="B2997" s="28" t="s">
        <v>52</v>
      </c>
      <c r="C2997" s="28" t="s">
        <v>52</v>
      </c>
      <c r="D2997" s="22" t="s">
        <v>4407</v>
      </c>
      <c r="E2997" s="22" t="s">
        <v>53</v>
      </c>
      <c r="F2997" s="23" t="str">
        <f>HYPERLINK("https://www.spark-marketing.ru/Card/Lot/72774367", "Лот #1. Разработка документации в соответствии с ТЗ по объекту:«Установка системы видеонаблюдения в ТП-41, РТП-63, РТП-45, ТП-65, ТП-55 ООО «Полиом»")</f>
        <v>Лот #1. Разработка документации в соответствии с ТЗ по объекту:«Установка системы видеонаблюдения в ТП-41, РТП-63, РТП-45, ТП-65, ТП-55 ООО «Полиом»</v>
      </c>
      <c r="G2997" s="22" t="s">
        <v>52</v>
      </c>
      <c r="H2997" s="22" t="s">
        <v>52</v>
      </c>
      <c r="I2997" s="26">
        <v>43691.347916666702</v>
      </c>
      <c r="J2997" s="28" t="s">
        <v>52</v>
      </c>
      <c r="K2997" s="28" t="s">
        <v>52</v>
      </c>
      <c r="L2997" s="28" t="s">
        <v>52</v>
      </c>
      <c r="M2997" s="28" t="s">
        <v>52</v>
      </c>
      <c r="N2997" s="28" t="s">
        <v>52</v>
      </c>
    </row>
    <row r="2998" spans="1:14" x14ac:dyDescent="0.15">
      <c r="A2998" s="23" t="str">
        <f>HYPERLINK("https://www.spark-marketing.ru/Card/Person/167294", "МЕЖРАЙОННАЯ ИФНС РОССИИ № 5 ПО ПРИМОРСКОМУ КРАЮ")</f>
        <v>МЕЖРАЙОННАЯ ИФНС РОССИИ № 5 ПО ПРИМОРСКОМУ КРАЮ</v>
      </c>
      <c r="B2998" s="24" t="s">
        <v>4408</v>
      </c>
      <c r="C2998" s="25">
        <v>104802</v>
      </c>
      <c r="D2998" s="22" t="s">
        <v>4409</v>
      </c>
      <c r="E2998" s="22" t="s">
        <v>53</v>
      </c>
      <c r="F2998" s="23" t="str">
        <f>HYPERLINK("https://www.spark-marketing.ru/Card/Lot/72774694", "Монтаж, установка, модернизация систем видеонаблюдения, 1 шт")</f>
        <v>Монтаж, установка, модернизация систем видеонаблюдения, 1 шт</v>
      </c>
      <c r="G2998" s="22" t="s">
        <v>409</v>
      </c>
      <c r="H2998" s="22" t="s">
        <v>409</v>
      </c>
      <c r="I2998" s="26">
        <v>43691.369247685201</v>
      </c>
      <c r="J2998" s="28" t="s">
        <v>52</v>
      </c>
      <c r="K2998" s="28" t="s">
        <v>52</v>
      </c>
      <c r="L2998" s="28" t="s">
        <v>52</v>
      </c>
      <c r="M2998" s="28" t="s">
        <v>52</v>
      </c>
      <c r="N2998" s="28" t="s">
        <v>52</v>
      </c>
    </row>
    <row r="2999" spans="1:14" x14ac:dyDescent="0.15">
      <c r="A2999" s="23" t="str">
        <f>HYPERLINK("https://www.spark-marketing.ru/Card/Person/17689", "ГБУК Г.МОСКВЫ ""ТЕАТР ИМ. МОССОВЕТА""")</f>
        <v>ГБУК Г.МОСКВЫ "ТЕАТР ИМ. МОССОВЕТА"</v>
      </c>
      <c r="B2999" s="24" t="s">
        <v>4410</v>
      </c>
      <c r="C2999" s="25">
        <v>60533.64</v>
      </c>
      <c r="D2999" s="22" t="s">
        <v>4411</v>
      </c>
      <c r="E2999" s="22" t="s">
        <v>370</v>
      </c>
      <c r="F2999" s="23" t="str">
        <f>HYPERLINK("https://www.spark-marketing.ru/Card/Lot/72781992", "Услуги пультовой охраны с использованием тревожной кнопки.")</f>
        <v>Услуги пультовой охраны с использованием тревожной кнопки.</v>
      </c>
      <c r="G2999" s="22" t="s">
        <v>55</v>
      </c>
      <c r="H2999" s="22" t="s">
        <v>55</v>
      </c>
      <c r="I2999" s="26">
        <v>43691</v>
      </c>
      <c r="J2999" s="28" t="s">
        <v>52</v>
      </c>
      <c r="K2999" s="28" t="s">
        <v>52</v>
      </c>
      <c r="L2999" s="28" t="s">
        <v>52</v>
      </c>
      <c r="M2999" s="28" t="s">
        <v>52</v>
      </c>
      <c r="N2999" s="28" t="s">
        <v>52</v>
      </c>
    </row>
    <row r="3000" spans="1:14" x14ac:dyDescent="0.15">
      <c r="A3000" s="23" t="str">
        <f>HYPERLINK("https://www.spark-marketing.ru/Card/Person/38899", "КГУ ИМ. К.Э. ЦИОЛКОВСКОГО, КАЛУЖСКИЙ ГОСУДАРСТВЕННЫЙ УНИВЕРСИТЕТ ИМ. К.Э. ЦИОЛКОВСКОГО")</f>
        <v>КГУ ИМ. К.Э. ЦИОЛКОВСКОГО, КАЛУЖСКИЙ ГОСУДАРСТВЕННЫЙ УНИВЕРСИТЕТ ИМ. К.Э. ЦИОЛКОВСКОГО</v>
      </c>
      <c r="B3000" s="24" t="s">
        <v>4412</v>
      </c>
      <c r="C3000" s="25">
        <v>235000</v>
      </c>
      <c r="D3000" s="22" t="s">
        <v>4413</v>
      </c>
      <c r="E3000" s="22" t="s">
        <v>2577</v>
      </c>
      <c r="F3000" s="23" t="str">
        <f>HYPERLINK("https://www.spark-marketing.ru/Card/Lot/72792437", "Услуги по сопровождению объектов нового строительства")</f>
        <v>Услуги по сопровождению объектов нового строительства</v>
      </c>
      <c r="G3000" s="22" t="s">
        <v>658</v>
      </c>
      <c r="H3000" s="22" t="s">
        <v>658</v>
      </c>
      <c r="I3000" s="26">
        <v>43691</v>
      </c>
      <c r="J3000" s="28" t="s">
        <v>52</v>
      </c>
      <c r="K3000" s="28" t="s">
        <v>52</v>
      </c>
      <c r="L3000" s="28" t="s">
        <v>52</v>
      </c>
      <c r="M3000" s="28" t="s">
        <v>52</v>
      </c>
      <c r="N3000" s="28" t="s">
        <v>52</v>
      </c>
    </row>
    <row r="3001" spans="1:14" x14ac:dyDescent="0.15">
      <c r="A3001" s="23" t="str">
        <f>HYPERLINK("https://www.spark-marketing.ru/Card/Person/1781442", "АО ""ХИАГДА""")</f>
        <v>АО "ХИАГДА"</v>
      </c>
      <c r="B3001" s="24" t="s">
        <v>2590</v>
      </c>
      <c r="C3001" s="28" t="s">
        <v>52</v>
      </c>
      <c r="D3001" s="22" t="s">
        <v>4414</v>
      </c>
      <c r="E3001" s="22" t="s">
        <v>53</v>
      </c>
      <c r="F3001" s="23" t="str">
        <f>HYPERLINK("https://www.spark-marketing.ru/Card/Lot/72788787", "Приобретение и установка системы видеонаблюдения цеха ПВ (1320008)")</f>
        <v>Приобретение и установка системы видеонаблюдения цеха ПВ (1320008)</v>
      </c>
      <c r="G3001" s="22" t="s">
        <v>354</v>
      </c>
      <c r="H3001" s="22" t="s">
        <v>2592</v>
      </c>
      <c r="I3001" s="26">
        <v>43691.503298611096</v>
      </c>
      <c r="J3001" s="28" t="s">
        <v>52</v>
      </c>
      <c r="K3001" s="28" t="s">
        <v>52</v>
      </c>
      <c r="L3001" s="28" t="s">
        <v>52</v>
      </c>
      <c r="M3001" s="28" t="s">
        <v>52</v>
      </c>
      <c r="N3001" s="28" t="s">
        <v>52</v>
      </c>
    </row>
    <row r="3002" spans="1:14" x14ac:dyDescent="0.15">
      <c r="A3002" s="23" t="str">
        <f>HYPERLINK("https://www.spark-marketing.ru/Card/Person/6450322", "ЗАКАЗЧИК РП БЕЛАРУСЬ")</f>
        <v>ЗАКАЗЧИК РП БЕЛАРУСЬ</v>
      </c>
      <c r="B3002" s="28" t="s">
        <v>52</v>
      </c>
      <c r="C3002" s="25">
        <v>305034.55</v>
      </c>
      <c r="D3002" s="22" t="s">
        <v>4415</v>
      </c>
      <c r="E3002" s="22" t="s">
        <v>53</v>
      </c>
      <c r="F3002" s="23" t="str">
        <f>HYPERLINK("https://www.spark-marketing.ru/Card/Lot/72791042", "Система видеорегистрации на специализированный автомобили АСТБ типа ""клеть"" с установкой (см.Приложение)")</f>
        <v>Система видеорегистрации на специализированный автомобили АСТБ типа "клеть" с установкой (см.Приложение)</v>
      </c>
      <c r="G3002" s="22" t="s">
        <v>52</v>
      </c>
      <c r="H3002" s="22" t="s">
        <v>52</v>
      </c>
      <c r="I3002" s="26">
        <v>43691</v>
      </c>
      <c r="J3002" s="28" t="s">
        <v>52</v>
      </c>
      <c r="K3002" s="28" t="s">
        <v>52</v>
      </c>
      <c r="L3002" s="28" t="s">
        <v>52</v>
      </c>
      <c r="M3002" s="28" t="s">
        <v>52</v>
      </c>
      <c r="N3002" s="28" t="s">
        <v>52</v>
      </c>
    </row>
    <row r="3003" spans="1:14" x14ac:dyDescent="0.15">
      <c r="A3003" s="23" t="str">
        <f>HYPERLINK("https://www.spark-marketing.ru/Card/Person/169936", "АО ""СМП-НЕФТЕГАЗ""")</f>
        <v>АО "СМП-НЕФТЕГАЗ"</v>
      </c>
      <c r="B3003" s="24" t="s">
        <v>3952</v>
      </c>
      <c r="C3003" s="25">
        <v>0</v>
      </c>
      <c r="D3003" s="22" t="s">
        <v>4416</v>
      </c>
      <c r="E3003" s="22" t="s">
        <v>208</v>
      </c>
      <c r="F3003" s="23" t="str">
        <f>HYPERLINK("https://www.spark-marketing.ru/Card/Lot/72787964", "Серверный шкаф для установки оборудования")</f>
        <v>Серверный шкаф для установки оборудования</v>
      </c>
      <c r="G3003" s="22" t="s">
        <v>204</v>
      </c>
      <c r="H3003" s="22" t="s">
        <v>308</v>
      </c>
      <c r="I3003" s="26">
        <v>43691.4682523148</v>
      </c>
      <c r="J3003" s="28" t="s">
        <v>52</v>
      </c>
      <c r="K3003" s="28" t="s">
        <v>52</v>
      </c>
      <c r="L3003" s="28" t="s">
        <v>52</v>
      </c>
      <c r="M3003" s="28" t="s">
        <v>52</v>
      </c>
      <c r="N3003" s="28" t="s">
        <v>52</v>
      </c>
    </row>
    <row r="3004" spans="1:14" x14ac:dyDescent="0.15">
      <c r="A3004" s="23" t="str">
        <f>HYPERLINK("https://www.spark-marketing.ru/Card/Person/165020", "ООО ""АЭРОЭКСПРЕСС""")</f>
        <v>ООО "АЭРОЭКСПРЕСС"</v>
      </c>
      <c r="B3004" s="24" t="s">
        <v>4417</v>
      </c>
      <c r="C3004" s="25">
        <v>0</v>
      </c>
      <c r="D3004" s="22" t="s">
        <v>4418</v>
      </c>
      <c r="E3004" s="22" t="s">
        <v>208</v>
      </c>
      <c r="F3004" s="23" t="str">
        <f>HYPERLINK("https://www.spark-marketing.ru/Card/Lot/72788766", "Услуги по проведению работ по обслуживанию Системы контроля и управления доступом и Системы охранной-тревожной сигнализации в железнодорожном ДЕПО ООО «Аэроэкспресс» по адресу г. Москва, ул. Нижняя, д.17 для нужд ООО ""Аэроэкспресс"".")</f>
        <v>Услуги по проведению работ по обслуживанию Системы контроля и управления доступом и Системы охранной-тревожной сигнализации в железнодорожном ДЕПО ООО «Аэроэкспресс» по адресу г. Москва, ул. Нижняя, д.17 для нужд ООО "Аэроэкспресс".</v>
      </c>
      <c r="G3004" s="22" t="s">
        <v>55</v>
      </c>
      <c r="H3004" s="22" t="s">
        <v>55</v>
      </c>
      <c r="I3004" s="26">
        <v>43691.499270833301</v>
      </c>
      <c r="J3004" s="28" t="s">
        <v>52</v>
      </c>
      <c r="K3004" s="28" t="s">
        <v>52</v>
      </c>
      <c r="L3004" s="28" t="s">
        <v>52</v>
      </c>
      <c r="M3004" s="28" t="s">
        <v>52</v>
      </c>
      <c r="N3004" s="28" t="s">
        <v>52</v>
      </c>
    </row>
    <row r="3005" spans="1:14" x14ac:dyDescent="0.15">
      <c r="A3005" s="23" t="str">
        <f>HYPERLINK("https://www.spark-marketing.ru/Card/Person/456138", "КГАУ ""ЦСП""")</f>
        <v>КГАУ "ЦСП"</v>
      </c>
      <c r="B3005" s="24" t="s">
        <v>2031</v>
      </c>
      <c r="C3005" s="25">
        <v>9552600</v>
      </c>
      <c r="D3005" s="22" t="s">
        <v>4419</v>
      </c>
      <c r="E3005" s="22" t="s">
        <v>363</v>
      </c>
      <c r="F3005" s="23" t="str">
        <f>HYPERLINK("https://www.spark-marketing.ru/Card/Lot/72840115", "Оказание охранных услуг")</f>
        <v>Оказание охранных услуг</v>
      </c>
      <c r="G3005" s="22" t="s">
        <v>640</v>
      </c>
      <c r="H3005" s="22" t="s">
        <v>640</v>
      </c>
      <c r="I3005" s="26">
        <v>43693</v>
      </c>
      <c r="J3005" s="28" t="s">
        <v>52</v>
      </c>
      <c r="K3005" s="28" t="s">
        <v>52</v>
      </c>
      <c r="L3005" s="28" t="s">
        <v>52</v>
      </c>
      <c r="M3005" s="28" t="s">
        <v>52</v>
      </c>
      <c r="N3005" s="28" t="s">
        <v>52</v>
      </c>
    </row>
    <row r="3006" spans="1:14" x14ac:dyDescent="0.15">
      <c r="A3006" s="23" t="str">
        <f>HYPERLINK("https://www.spark-marketing.ru/Card/Person/4434507", "ГАУЗ ТО ""ГОРОДСКАЯ ПОЛИКЛИНИКА №14""")</f>
        <v>ГАУЗ ТО "ГОРОДСКАЯ ПОЛИКЛИНИКА №14"</v>
      </c>
      <c r="B3006" s="24" t="s">
        <v>4420</v>
      </c>
      <c r="C3006" s="25">
        <v>240000</v>
      </c>
      <c r="D3006" s="22" t="s">
        <v>4421</v>
      </c>
      <c r="E3006" s="22" t="s">
        <v>144</v>
      </c>
      <c r="F3006" s="23" t="str">
        <f>HYPERLINK("https://www.spark-marketing.ru/Card/Lot/72775330", "Оказание охранных услуг объекта ул.Широтная 23А ГАУЗ ТО «Городская поликлиника №14 »")</f>
        <v>Оказание охранных услуг объекта ул.Широтная 23А ГАУЗ ТО «Городская поликлиника №14 »</v>
      </c>
      <c r="G3006" s="22" t="s">
        <v>893</v>
      </c>
      <c r="H3006" s="22" t="s">
        <v>893</v>
      </c>
      <c r="I3006" s="26">
        <v>43691</v>
      </c>
      <c r="J3006" s="28" t="s">
        <v>52</v>
      </c>
      <c r="K3006" s="28" t="s">
        <v>52</v>
      </c>
      <c r="L3006" s="28" t="s">
        <v>52</v>
      </c>
      <c r="M3006" s="28" t="s">
        <v>52</v>
      </c>
      <c r="N3006" s="28" t="s">
        <v>52</v>
      </c>
    </row>
    <row r="3007" spans="1:14" x14ac:dyDescent="0.15">
      <c r="A3007" s="23" t="str">
        <f>HYPERLINK("https://www.spark-marketing.ru/Card/Person/997127", "МБУК ""МУНИЦИПАЛЬНАЯ БИБЛИОТЕКА ИМ. НОВИКОВА И. А.""")</f>
        <v>МБУК "МУНИЦИПАЛЬНАЯ БИБЛИОТЕКА ИМ. НОВИКОВА И. А."</v>
      </c>
      <c r="B3007" s="24" t="s">
        <v>4422</v>
      </c>
      <c r="C3007" s="25">
        <v>41620</v>
      </c>
      <c r="D3007" s="22" t="s">
        <v>4423</v>
      </c>
      <c r="E3007" s="22" t="s">
        <v>84</v>
      </c>
      <c r="F3007" s="23" t="str">
        <f>HYPERLINK("https://www.spark-marketing.ru/Card/Lot/72771260", "Закупка в 2019 году комплекса работ по установке видеонаблюдения для нужд МБУК ""Муниципальная библиотека имени Новикова Ивана Алексеевича городского поселения Лесной городок»")</f>
        <v>Закупка в 2019 году комплекса работ по установке видеонаблюдения для нужд МБУК "Муниципальная библиотека имени Новикова Ивана Алексеевича городского поселения Лесной городок»</v>
      </c>
      <c r="G3007" s="22" t="s">
        <v>50</v>
      </c>
      <c r="H3007" s="22" t="s">
        <v>1045</v>
      </c>
      <c r="I3007" s="26">
        <v>43690.971898148098</v>
      </c>
      <c r="J3007" s="28" t="s">
        <v>52</v>
      </c>
      <c r="K3007" s="28" t="s">
        <v>52</v>
      </c>
      <c r="L3007" s="28" t="s">
        <v>52</v>
      </c>
      <c r="M3007" s="28" t="s">
        <v>52</v>
      </c>
      <c r="N3007" s="28" t="s">
        <v>52</v>
      </c>
    </row>
    <row r="3008" spans="1:14" x14ac:dyDescent="0.15">
      <c r="A3008" s="23" t="str">
        <f>HYPERLINK("https://www.spark-marketing.ru/Card/Person/21667", "МЕЖМУНИЦИПАЛЬНЫЙ ОТДЕЛ МВД РОССИИ ""ВЕРХНЕУСЛОНСКИЙ""")</f>
        <v>МЕЖМУНИЦИПАЛЬНЫЙ ОТДЕЛ МВД РОССИИ "ВЕРХНЕУСЛОНСКИЙ"</v>
      </c>
      <c r="B3008" s="24" t="s">
        <v>4424</v>
      </c>
      <c r="C3008" s="25">
        <v>86092</v>
      </c>
      <c r="D3008" s="22" t="s">
        <v>4425</v>
      </c>
      <c r="E3008" s="22" t="s">
        <v>53</v>
      </c>
      <c r="F3008" s="23" t="str">
        <f>HYPERLINK("https://www.spark-marketing.ru/Card/Lot/72770021", "оказание услуг по техническому обслуживанию технических средств охраны")</f>
        <v>оказание услуг по техническому обслуживанию технических средств охраны</v>
      </c>
      <c r="G3008" s="22" t="s">
        <v>204</v>
      </c>
      <c r="H3008" s="22" t="s">
        <v>204</v>
      </c>
      <c r="I3008" s="26">
        <v>43690.816493055601</v>
      </c>
      <c r="J3008" s="28" t="s">
        <v>52</v>
      </c>
      <c r="K3008" s="28" t="s">
        <v>52</v>
      </c>
      <c r="L3008" s="28" t="s">
        <v>52</v>
      </c>
      <c r="M3008" s="28" t="s">
        <v>52</v>
      </c>
      <c r="N3008" s="28" t="s">
        <v>52</v>
      </c>
    </row>
    <row r="3009" spans="1:14" x14ac:dyDescent="0.15">
      <c r="A3009" s="23" t="str">
        <f>HYPERLINK("https://www.spark-marketing.ru/Card/Person/21667", "МЕЖМУНИЦИПАЛЬНЫЙ ОТДЕЛ МВД РОССИИ ""ВЕРХНЕУСЛОНСКИЙ""")</f>
        <v>МЕЖМУНИЦИПАЛЬНЫЙ ОТДЕЛ МВД РОССИИ "ВЕРХНЕУСЛОНСКИЙ"</v>
      </c>
      <c r="B3009" s="24" t="s">
        <v>4424</v>
      </c>
      <c r="C3009" s="25">
        <v>34353.599999999999</v>
      </c>
      <c r="D3009" s="22" t="s">
        <v>4426</v>
      </c>
      <c r="E3009" s="22" t="s">
        <v>53</v>
      </c>
      <c r="F3009" s="23" t="str">
        <f>HYPERLINK("https://www.spark-marketing.ru/Card/Lot/72770018", "оказание услуг по техническому обслуживанию технических средств охраны")</f>
        <v>оказание услуг по техническому обслуживанию технических средств охраны</v>
      </c>
      <c r="G3009" s="22" t="s">
        <v>204</v>
      </c>
      <c r="H3009" s="22" t="s">
        <v>204</v>
      </c>
      <c r="I3009" s="26">
        <v>43690.807442129597</v>
      </c>
      <c r="J3009" s="28" t="s">
        <v>52</v>
      </c>
      <c r="K3009" s="28" t="s">
        <v>52</v>
      </c>
      <c r="L3009" s="28" t="s">
        <v>52</v>
      </c>
      <c r="M3009" s="28" t="s">
        <v>52</v>
      </c>
      <c r="N3009" s="28" t="s">
        <v>52</v>
      </c>
    </row>
    <row r="3010" spans="1:14" x14ac:dyDescent="0.15">
      <c r="A3010" s="23" t="str">
        <f>HYPERLINK("https://www.spark-marketing.ru/Card/Person/18973", "ФГБУ ""46 ЦНИИ"" МИНОБОРОНЫ РОССИИ")</f>
        <v>ФГБУ "46 ЦНИИ" МИНОБОРОНЫ РОССИИ</v>
      </c>
      <c r="B3010" s="24" t="s">
        <v>4427</v>
      </c>
      <c r="C3010" s="25">
        <v>2479000</v>
      </c>
      <c r="D3010" s="22" t="s">
        <v>4428</v>
      </c>
      <c r="E3010" s="22" t="s">
        <v>59</v>
      </c>
      <c r="F3010" s="23" t="str">
        <f>HYPERLINK("https://www.spark-marketing.ru/Card/Lot/72778892", "Выполнение работ по модернизации технических средств охраны")</f>
        <v>Выполнение работ по модернизации технических средств охраны</v>
      </c>
      <c r="G3010" s="22" t="s">
        <v>55</v>
      </c>
      <c r="H3010" s="22" t="s">
        <v>55</v>
      </c>
      <c r="I3010" s="26">
        <v>43690.603055555599</v>
      </c>
      <c r="J3010" s="28" t="s">
        <v>52</v>
      </c>
      <c r="K3010" s="28" t="s">
        <v>52</v>
      </c>
      <c r="L3010" s="28" t="s">
        <v>52</v>
      </c>
      <c r="M3010" s="28" t="s">
        <v>52</v>
      </c>
      <c r="N3010" s="28" t="s">
        <v>52</v>
      </c>
    </row>
    <row r="3011" spans="1:14" x14ac:dyDescent="0.15">
      <c r="A3011" s="23" t="str">
        <f>HYPERLINK("https://www.spark-marketing.ru/Card/Person/736651", "БУЗ АТХ")</f>
        <v>БУЗ АТХ</v>
      </c>
      <c r="B3011" s="24" t="s">
        <v>4429</v>
      </c>
      <c r="C3011" s="25">
        <v>84000</v>
      </c>
      <c r="D3011" s="22" t="s">
        <v>4430</v>
      </c>
      <c r="E3011" s="22" t="s">
        <v>103</v>
      </c>
      <c r="F3011" s="23" t="str">
        <f>HYPERLINK("https://www.spark-marketing.ru/Card/Lot/72768216", "Оказание услуг по замене блоков с системой криптографической защиты информации и настройке тахографического оборудования для транспортных средств ГБУЗ РК «Автохозяйство»")</f>
        <v>Оказание услуг по замене блоков с системой криптографической защиты информации и настройке тахографического оборудования для транспортных средств ГБУЗ РК «Автохозяйство»</v>
      </c>
      <c r="G3011" s="22" t="s">
        <v>435</v>
      </c>
      <c r="H3011" s="22" t="s">
        <v>435</v>
      </c>
      <c r="I3011" s="26">
        <v>43690.393553240698</v>
      </c>
      <c r="J3011" s="23" t="str">
        <f>HYPERLINK("https://www.spark-marketing.ru/Card/Person/1691970", "ООО ""ЭРА-ГЛОНАСС""")</f>
        <v>ООО "ЭРА-ГЛОНАСС"</v>
      </c>
      <c r="K3011" s="24" t="s">
        <v>4431</v>
      </c>
      <c r="L3011" s="22" t="s">
        <v>10</v>
      </c>
      <c r="M3011" s="28" t="s">
        <v>52</v>
      </c>
      <c r="N3011" s="28" t="s">
        <v>52</v>
      </c>
    </row>
    <row r="3012" spans="1:14" x14ac:dyDescent="0.15">
      <c r="A3012" s="23" t="str">
        <f>HYPERLINK("https://www.spark-marketing.ru/Card/Person/13328", "ФБУ ""АДМИНИСТРАЦИЯ ""ВОЛГО-БАЛТ""")</f>
        <v>ФБУ "АДМИНИСТРАЦИЯ "ВОЛГО-БАЛТ"</v>
      </c>
      <c r="B3012" s="24" t="s">
        <v>2768</v>
      </c>
      <c r="C3012" s="25">
        <v>1820000</v>
      </c>
      <c r="D3012" s="22" t="s">
        <v>4432</v>
      </c>
      <c r="E3012" s="22" t="s">
        <v>487</v>
      </c>
      <c r="F3012" s="23" t="str">
        <f>HYPERLINK("https://www.spark-marketing.ru/Card/Lot/72768675", "Поставка КПП блок-контейнерного типа для размещения работников подразделений транспортной безопасности, осуществляющих досмотр физических лиц и хранение изъятых предметов и веществ запрещенных для проноса на объекты транспортной инфраструктуры Свирск...")</f>
        <v>Поставка КПП блок-контейнерного типа для размещения работников подразделений транспортной безопасности, осуществляющих досмотр физических лиц и хранение изъятых предметов и веществ запрещенных для проноса на объекты транспортной инфраструктуры Свирск...</v>
      </c>
      <c r="G3012" s="22" t="s">
        <v>861</v>
      </c>
      <c r="H3012" s="22" t="s">
        <v>861</v>
      </c>
      <c r="I3012" s="26">
        <v>43690.7</v>
      </c>
      <c r="J3012" s="23" t="str">
        <f>HYPERLINK("https://www.spark-marketing.ru/Card/Person/411796", "ООО ""СПЕЦСТАЛЬКОНСТРУКЦИЯ""")</f>
        <v>ООО "СПЕЦСТАЛЬКОНСТРУКЦИЯ"</v>
      </c>
      <c r="K3012" s="24" t="s">
        <v>2770</v>
      </c>
      <c r="L3012" s="28" t="s">
        <v>52</v>
      </c>
      <c r="M3012" s="28" t="s">
        <v>52</v>
      </c>
      <c r="N3012" s="28" t="s">
        <v>52</v>
      </c>
    </row>
    <row r="3013" spans="1:14" ht="12.75" hidden="1" outlineLevel="1" x14ac:dyDescent="0.2">
      <c r="A3013" s="23" t="str">
        <f>HYPERLINK("https://www.spark-marketing.ru/Card/Person/13328", "ФБУ ""АДМИНИСТРАЦИЯ ""ВОЛГО-БАЛТ""")</f>
        <v>ФБУ "АДМИНИСТРАЦИЯ "ВОЛГО-БАЛТ"</v>
      </c>
      <c r="B3013" s="24" t="s">
        <v>2768</v>
      </c>
      <c r="C3013" s="25">
        <v>1820000</v>
      </c>
      <c r="D3013" s="22" t="s">
        <v>4432</v>
      </c>
      <c r="E3013" s="22" t="s">
        <v>487</v>
      </c>
      <c r="F3013" s="23" t="str">
        <f>HYPERLINK("https://www.spark-marketing.ru/Card/Lot/72768675", "Поставка КПП блок-контейнерного типа для размещения работников подразделений транспортной безопасности, осуществляющих досмотр физических лиц и хранение изъятых предметов и веществ запрещенных для проноса на объекты транспортной инфраструктуры Свирск...")</f>
        <v>Поставка КПП блок-контейнерного типа для размещения работников подразделений транспортной безопасности, осуществляющих досмотр физических лиц и хранение изъятых предметов и веществ запрещенных для проноса на объекты транспортной инфраструктуры Свирск...</v>
      </c>
      <c r="G3013" s="22" t="s">
        <v>861</v>
      </c>
      <c r="H3013" s="22" t="s">
        <v>861</v>
      </c>
      <c r="I3013" s="26">
        <v>43690.7</v>
      </c>
      <c r="J3013" s="23" t="str">
        <f>HYPERLINK("https://www.spark-marketing.ru/Card/Person/411796", "ООО ""СПЕЦСТАЛЬКОНСТРУКЦИЯ""")</f>
        <v>ООО "СПЕЦСТАЛЬКОНСТРУКЦИЯ"</v>
      </c>
      <c r="K3013" s="24" t="s">
        <v>2770</v>
      </c>
      <c r="L3013" s="22" t="s">
        <v>10</v>
      </c>
      <c r="M3013" s="25">
        <v>1810900</v>
      </c>
      <c r="N3013" s="27">
        <v>5.0000000000000001E-3</v>
      </c>
    </row>
    <row r="3014" spans="1:14" x14ac:dyDescent="0.15">
      <c r="A3014" s="23" t="str">
        <f>HYPERLINK("https://www.spark-marketing.ru/Card/Person/26679", "АДМИНИСТРАЦИЯ ГОРОДА")</f>
        <v>АДМИНИСТРАЦИЯ ГОРОДА</v>
      </c>
      <c r="B3014" s="24" t="s">
        <v>4433</v>
      </c>
      <c r="C3014" s="25">
        <v>47169.96</v>
      </c>
      <c r="D3014" s="22" t="s">
        <v>4434</v>
      </c>
      <c r="E3014" s="22" t="s">
        <v>59</v>
      </c>
      <c r="F3014" s="23" t="str">
        <f>HYPERLINK("https://www.spark-marketing.ru/Card/Lot/72764380", "работы по установке системы охранной сигнализации (далее - работы) помещения по адресу: г. Новошахтинск, ул. Харьковская, 133, помещение 3")</f>
        <v>работы по установке системы охранной сигнализации (далее - работы) помещения по адресу: г. Новошахтинск, ул. Харьковская, 133, помещение 3</v>
      </c>
      <c r="G3014" s="22" t="s">
        <v>402</v>
      </c>
      <c r="H3014" s="22" t="s">
        <v>4435</v>
      </c>
      <c r="I3014" s="26">
        <v>43690.686805555597</v>
      </c>
      <c r="J3014" s="28" t="s">
        <v>52</v>
      </c>
      <c r="K3014" s="28" t="s">
        <v>52</v>
      </c>
      <c r="L3014" s="28" t="s">
        <v>52</v>
      </c>
      <c r="M3014" s="28" t="s">
        <v>52</v>
      </c>
      <c r="N3014" s="28" t="s">
        <v>52</v>
      </c>
    </row>
    <row r="3015" spans="1:14" x14ac:dyDescent="0.15">
      <c r="A3015" s="23" t="str">
        <f>HYPERLINK("https://www.spark-marketing.ru/Card/Person/2743", "МБУ УБ")</f>
        <v>МБУ УБ</v>
      </c>
      <c r="B3015" s="24" t="s">
        <v>4436</v>
      </c>
      <c r="C3015" s="25">
        <v>946284</v>
      </c>
      <c r="D3015" s="22" t="s">
        <v>4437</v>
      </c>
      <c r="E3015" s="22" t="s">
        <v>723</v>
      </c>
      <c r="F3015" s="23" t="str">
        <f>HYPERLINK("https://www.spark-marketing.ru/Card/Lot/72762701", "Реализация мероприятий по обеспечению транспортной безопасности участников дорожного движения на дорогах Соликамского городского округа")</f>
        <v>Реализация мероприятий по обеспечению транспортной безопасности участников дорожного движения на дорогах Соликамского городского округа</v>
      </c>
      <c r="G3015" s="22" t="s">
        <v>391</v>
      </c>
      <c r="H3015" s="22" t="s">
        <v>391</v>
      </c>
      <c r="I3015" s="26">
        <v>43690.6706134259</v>
      </c>
      <c r="J3015" s="23" t="str">
        <f>HYPERLINK("https://www.spark-marketing.ru/Card/Person/5882763", "Глазков Алексей Николаевич")</f>
        <v>Глазков Алексей Николаевич</v>
      </c>
      <c r="K3015" s="24" t="s">
        <v>4438</v>
      </c>
      <c r="L3015" s="22" t="s">
        <v>10</v>
      </c>
      <c r="M3015" s="28" t="s">
        <v>52</v>
      </c>
      <c r="N3015" s="28" t="s">
        <v>52</v>
      </c>
    </row>
    <row r="3016" spans="1:14" x14ac:dyDescent="0.15">
      <c r="A3016" s="23" t="str">
        <f>HYPERLINK("https://www.spark-marketing.ru/Card/Person/125616", "МБУДО ДДТ ""РОДНИК""")</f>
        <v>МБУДО ДДТ "РОДНИК"</v>
      </c>
      <c r="B3016" s="24" t="s">
        <v>4439</v>
      </c>
      <c r="C3016" s="25">
        <v>17500</v>
      </c>
      <c r="D3016" s="22" t="s">
        <v>4440</v>
      </c>
      <c r="E3016" s="22" t="s">
        <v>103</v>
      </c>
      <c r="F3016" s="23" t="str">
        <f>HYPERLINK("https://www.spark-marketing.ru/Card/Lot/72765558", "Оказание услуг в 2019 году по техническому обслуживанию системы видеонаблюдения для нужд МБУДО ДДТ ""Родник""")</f>
        <v>Оказание услуг в 2019 году по техническому обслуживанию системы видеонаблюдения для нужд МБУДО ДДТ "Родник"</v>
      </c>
      <c r="G3016" s="22" t="s">
        <v>50</v>
      </c>
      <c r="H3016" s="22" t="s">
        <v>938</v>
      </c>
      <c r="I3016" s="26">
        <v>43690.701203703698</v>
      </c>
      <c r="J3016" s="28" t="s">
        <v>52</v>
      </c>
      <c r="K3016" s="28" t="s">
        <v>52</v>
      </c>
      <c r="L3016" s="28" t="s">
        <v>52</v>
      </c>
      <c r="M3016" s="28" t="s">
        <v>52</v>
      </c>
      <c r="N3016" s="28" t="s">
        <v>52</v>
      </c>
    </row>
    <row r="3017" spans="1:14" x14ac:dyDescent="0.15">
      <c r="A3017" s="23" t="str">
        <f>HYPERLINK("https://www.spark-marketing.ru/Card/Person/5822", "ФГКУ ""САНАТОРИЙ ""ЧЕРНОМОРЬЕ""")</f>
        <v>ФГКУ "САНАТОРИЙ "ЧЕРНОМОРЬЕ"</v>
      </c>
      <c r="B3017" s="24" t="s">
        <v>4441</v>
      </c>
      <c r="C3017" s="25">
        <v>107333.32</v>
      </c>
      <c r="D3017" s="22" t="s">
        <v>4442</v>
      </c>
      <c r="E3017" s="22" t="s">
        <v>107</v>
      </c>
      <c r="F3017" s="23" t="str">
        <f>HYPERLINK("https://www.spark-marketing.ru/Card/Lot/72765608", "Услуги по техническому обслуживанию технических средств охраны")</f>
        <v>Услуги по техническому обслуживанию технических средств охраны</v>
      </c>
      <c r="G3017" s="22" t="s">
        <v>1053</v>
      </c>
      <c r="H3017" s="22" t="s">
        <v>3247</v>
      </c>
      <c r="I3017" s="26">
        <v>43690.680555555598</v>
      </c>
      <c r="J3017" s="28" t="s">
        <v>52</v>
      </c>
      <c r="K3017" s="28" t="s">
        <v>52</v>
      </c>
      <c r="L3017" s="28" t="s">
        <v>52</v>
      </c>
      <c r="M3017" s="28" t="s">
        <v>52</v>
      </c>
      <c r="N3017" s="28" t="s">
        <v>52</v>
      </c>
    </row>
    <row r="3018" spans="1:14" x14ac:dyDescent="0.15">
      <c r="A3018" s="23" t="str">
        <f>HYPERLINK("https://www.spark-marketing.ru/Card/Person/4346786", "ОГБУЗ ""ЗАЛАРИНСКАЯ РБ""")</f>
        <v>ОГБУЗ "ЗАЛАРИНСКАЯ РБ"</v>
      </c>
      <c r="B3018" s="24" t="s">
        <v>4443</v>
      </c>
      <c r="C3018" s="25">
        <v>85380.25</v>
      </c>
      <c r="D3018" s="22" t="s">
        <v>4444</v>
      </c>
      <c r="E3018" s="22" t="s">
        <v>4445</v>
      </c>
      <c r="F3018" s="23" t="str">
        <f>HYPERLINK("https://www.spark-marketing.ru/Card/Lot/72753128", "Обслуживание средств сигнализации и пультовая охрана объектов")</f>
        <v>Обслуживание средств сигнализации и пультовая охрана объектов</v>
      </c>
      <c r="G3018" s="22" t="s">
        <v>281</v>
      </c>
      <c r="H3018" s="22" t="s">
        <v>4446</v>
      </c>
      <c r="I3018" s="26">
        <v>43690.630196759303</v>
      </c>
      <c r="J3018" s="23" t="str">
        <f>HYPERLINK("https://www.spark-marketing.ru/Card/Person/270948", "ФЛ ФГУП ""ОХРАНА"" РОСГВАРДИИ ПО ИРКУТСКОЙ ОБЛАСТИ")</f>
        <v>ФЛ ФГУП "ОХРАНА" РОСГВАРДИИ ПО ИРКУТСКОЙ ОБЛАСТИ</v>
      </c>
      <c r="K3018" s="24" t="s">
        <v>779</v>
      </c>
      <c r="L3018" s="22" t="s">
        <v>10</v>
      </c>
      <c r="M3018" s="28" t="s">
        <v>52</v>
      </c>
      <c r="N3018" s="28" t="s">
        <v>52</v>
      </c>
    </row>
    <row r="3019" spans="1:14" x14ac:dyDescent="0.15">
      <c r="A3019" s="23" t="str">
        <f>HYPERLINK("https://www.spark-marketing.ru/Card/Person/93233", "ЧЕТЫРНАДЦАТЫЙ АРБИТРАЖНЫЙ АПЕЛЛЯЦИОННЫЙ СУД")</f>
        <v>ЧЕТЫРНАДЦАТЫЙ АРБИТРАЖНЫЙ АПЕЛЛЯЦИОННЫЙ СУД</v>
      </c>
      <c r="B3019" s="24" t="s">
        <v>4447</v>
      </c>
      <c r="C3019" s="25">
        <v>324963.59999999998</v>
      </c>
      <c r="D3019" s="22" t="s">
        <v>4448</v>
      </c>
      <c r="E3019" s="22" t="s">
        <v>68</v>
      </c>
      <c r="F3019" s="23" t="str">
        <f>HYPERLINK("https://www.spark-marketing.ru/Card/Lot/72764229", "Услуги по военизированной охране объектов суда")</f>
        <v>Услуги по военизированной охране объектов суда</v>
      </c>
      <c r="G3019" s="22" t="s">
        <v>902</v>
      </c>
      <c r="H3019" s="22" t="s">
        <v>903</v>
      </c>
      <c r="I3019" s="26">
        <v>43690.649039351898</v>
      </c>
      <c r="J3019" s="23" t="str">
        <f>HYPERLINK("https://www.spark-marketing.ru/Card/Person/4422859", "Филиал ФГУП ""ОХРАНА"" РОСГВАРДИИ по Вологодской области")</f>
        <v>Филиал ФГУП "ОХРАНА" РОСГВАРДИИ по Вологодской области</v>
      </c>
      <c r="K3019" s="24" t="s">
        <v>779</v>
      </c>
      <c r="L3019" s="22" t="s">
        <v>10</v>
      </c>
      <c r="M3019" s="28" t="s">
        <v>52</v>
      </c>
      <c r="N3019" s="28" t="s">
        <v>52</v>
      </c>
    </row>
    <row r="3020" spans="1:14" x14ac:dyDescent="0.15">
      <c r="A3020" s="23" t="str">
        <f>HYPERLINK("https://www.spark-marketing.ru/Card/Person/4348562", "АО ""АТОМТЕХЭНЕРГО""")</f>
        <v>АО "АТОМТЕХЭНЕРГО"</v>
      </c>
      <c r="B3020" s="24" t="s">
        <v>4449</v>
      </c>
      <c r="C3020" s="25">
        <v>0</v>
      </c>
      <c r="D3020" s="22" t="s">
        <v>4450</v>
      </c>
      <c r="E3020" s="22" t="s">
        <v>53</v>
      </c>
      <c r="F3020" s="23" t="str">
        <f>HYPERLINK("https://www.spark-marketing.ru/Card/Lot/72771040", "мониторинг цен в электронной форме на Оказание услуг по физической и пультовой охране объектов Балаковского филиала «Балаковоатомтехэнерго» АО «Атомтехэнерго» (стройбазы № 128 и № 129) и прилегающей территории")</f>
        <v>мониторинг цен в электронной форме на Оказание услуг по физической и пультовой охране объектов Балаковского филиала «Балаковоатомтехэнерго» АО «Атомтехэнерго» (стройбазы № 128 и № 129) и прилегающей территории</v>
      </c>
      <c r="G3020" s="22" t="s">
        <v>55</v>
      </c>
      <c r="H3020" s="22" t="s">
        <v>55</v>
      </c>
      <c r="I3020" s="26">
        <v>43690.601666666698</v>
      </c>
      <c r="J3020" s="28" t="s">
        <v>52</v>
      </c>
      <c r="K3020" s="28" t="s">
        <v>52</v>
      </c>
      <c r="L3020" s="28" t="s">
        <v>52</v>
      </c>
      <c r="M3020" s="28" t="s">
        <v>52</v>
      </c>
      <c r="N3020" s="28" t="s">
        <v>52</v>
      </c>
    </row>
    <row r="3021" spans="1:14" x14ac:dyDescent="0.15">
      <c r="A3021" s="23" t="str">
        <f>HYPERLINK("https://www.spark-marketing.ru/Card/Person/29900", "ГБУЗ РБ БИРСКАЯ ЦРБ")</f>
        <v>ГБУЗ РБ БИРСКАЯ ЦРБ</v>
      </c>
      <c r="B3021" s="24" t="s">
        <v>4451</v>
      </c>
      <c r="C3021" s="25">
        <v>44785.84</v>
      </c>
      <c r="D3021" s="22" t="s">
        <v>4452</v>
      </c>
      <c r="E3021" s="22" t="s">
        <v>68</v>
      </c>
      <c r="F3021" s="23" t="str">
        <f>HYPERLINK("https://www.spark-marketing.ru/Card/Lot/72759423", "оказание охранных услуг комнат хранения наркотиков для нужд ГБУЗ РБ Бирская ЦРБ")</f>
        <v>оказание охранных услуг комнат хранения наркотиков для нужд ГБУЗ РБ Бирская ЦРБ</v>
      </c>
      <c r="G3021" s="22" t="s">
        <v>100</v>
      </c>
      <c r="H3021" s="22" t="s">
        <v>4453</v>
      </c>
      <c r="I3021" s="26">
        <v>43690.485925925903</v>
      </c>
      <c r="J3021" s="23" t="str">
        <f>HYPERLINK("https://www.spark-marketing.ru/Card/Person/204515", "ФЛ ФГУП ""Охрана"" Росгвардии по Республике Башкортостан")</f>
        <v>ФЛ ФГУП "Охрана" Росгвардии по Республике Башкортостан</v>
      </c>
      <c r="K3021" s="24" t="s">
        <v>779</v>
      </c>
      <c r="L3021" s="22" t="s">
        <v>10</v>
      </c>
      <c r="M3021" s="28" t="s">
        <v>52</v>
      </c>
      <c r="N3021" s="28" t="s">
        <v>52</v>
      </c>
    </row>
    <row r="3022" spans="1:14" x14ac:dyDescent="0.15">
      <c r="A3022" s="23" t="str">
        <f>HYPERLINK("https://www.spark-marketing.ru/Card/Person/12661", "АДМИНИСТРАЦИЯ ГОРОДСКОГО ОКРУГА СОЛНЕЧНОГОРСК")</f>
        <v>АДМИНИСТРАЦИЯ ГОРОДСКОГО ОКРУГА СОЛНЕЧНОГОРСК</v>
      </c>
      <c r="B3022" s="24" t="s">
        <v>4454</v>
      </c>
      <c r="C3022" s="25">
        <v>15000</v>
      </c>
      <c r="D3022" s="22" t="s">
        <v>4455</v>
      </c>
      <c r="E3022" s="22" t="s">
        <v>59</v>
      </c>
      <c r="F3022" s="23" t="str">
        <f>HYPERLINK("https://www.spark-marketing.ru/Card/Lot/72761304", "Выполнение работ по техническому обслуживанию для обеспечения работоспособности каналов передачи сообщений комплекса технических средств охраны и объектовой приемо-передающей аппаратуры и организационно-технические мероприятия по поддержанию в исправ...")</f>
        <v>Выполнение работ по техническому обслуживанию для обеспечения работоспособности каналов передачи сообщений комплекса технических средств охраны и объектовой приемо-передающей аппаратуры и организационно-технические мероприятия по поддержанию в исправ...</v>
      </c>
      <c r="G3022" s="22" t="s">
        <v>50</v>
      </c>
      <c r="H3022" s="22" t="s">
        <v>265</v>
      </c>
      <c r="I3022" s="26">
        <v>43690.597337963001</v>
      </c>
      <c r="J3022" s="28" t="s">
        <v>52</v>
      </c>
      <c r="K3022" s="28" t="s">
        <v>52</v>
      </c>
      <c r="L3022" s="28" t="s">
        <v>52</v>
      </c>
      <c r="M3022" s="28" t="s">
        <v>52</v>
      </c>
      <c r="N3022" s="28" t="s">
        <v>52</v>
      </c>
    </row>
    <row r="3023" spans="1:14" x14ac:dyDescent="0.15">
      <c r="A3023" s="23" t="str">
        <f>HYPERLINK("https://www.spark-marketing.ru/Card/Person/17900", "ГКУ КК ЦЗН ГОРОДА КРАСНОДАРА")</f>
        <v>ГКУ КК ЦЗН ГОРОДА КРАСНОДАРА</v>
      </c>
      <c r="B3023" s="24" t="s">
        <v>4456</v>
      </c>
      <c r="C3023" s="25">
        <v>499690.8</v>
      </c>
      <c r="D3023" s="22" t="s">
        <v>4457</v>
      </c>
      <c r="E3023" s="22" t="s">
        <v>1161</v>
      </c>
      <c r="F3023" s="23" t="str">
        <f>HYPERLINK("https://www.spark-marketing.ru/Card/Lot/72765988", "Монтаж системы видеонаблюдения")</f>
        <v>Монтаж системы видеонаблюдения</v>
      </c>
      <c r="G3023" s="22" t="s">
        <v>132</v>
      </c>
      <c r="H3023" s="22" t="s">
        <v>652</v>
      </c>
      <c r="I3023" s="26">
        <v>43690.517372685201</v>
      </c>
      <c r="J3023" s="28" t="s">
        <v>52</v>
      </c>
      <c r="K3023" s="28" t="s">
        <v>52</v>
      </c>
      <c r="L3023" s="28" t="s">
        <v>52</v>
      </c>
      <c r="M3023" s="28" t="s">
        <v>52</v>
      </c>
      <c r="N3023" s="28" t="s">
        <v>52</v>
      </c>
    </row>
    <row r="3024" spans="1:14" ht="12.75" hidden="1" outlineLevel="1" x14ac:dyDescent="0.2">
      <c r="A3024" s="23" t="str">
        <f>HYPERLINK("https://www.spark-marketing.ru/Card/Person/17900", "ГКУ КК ЦЗН ГОРОДА КРАСНОДАРА")</f>
        <v>ГКУ КК ЦЗН ГОРОДА КРАСНОДАРА</v>
      </c>
      <c r="B3024" s="24" t="s">
        <v>4456</v>
      </c>
      <c r="C3024" s="25">
        <v>499690.8</v>
      </c>
      <c r="D3024" s="22" t="s">
        <v>4457</v>
      </c>
      <c r="E3024" s="22" t="s">
        <v>1161</v>
      </c>
      <c r="F3024" s="23" t="str">
        <f>HYPERLINK("https://www.spark-marketing.ru/Card/Lot/72765988", "Монтаж системы видеонаблюдения")</f>
        <v>Монтаж системы видеонаблюдения</v>
      </c>
      <c r="G3024" s="22" t="s">
        <v>132</v>
      </c>
      <c r="H3024" s="22" t="s">
        <v>652</v>
      </c>
      <c r="I3024" s="26">
        <v>43690.517372685201</v>
      </c>
      <c r="J3024" s="23" t="str">
        <f>HYPERLINK("https://www.spark-marketing.ru/Card/Person/6616210", "ООО ""С-ТРЕЙД""")</f>
        <v>ООО "С-ТРЕЙД"</v>
      </c>
      <c r="K3024" s="24" t="s">
        <v>4458</v>
      </c>
      <c r="L3024" s="22" t="s">
        <v>10</v>
      </c>
      <c r="M3024" s="25">
        <v>398406.74</v>
      </c>
      <c r="N3024" s="27">
        <v>0.20269346563915125</v>
      </c>
    </row>
    <row r="3025" spans="1:14" hidden="1" outlineLevel="1" x14ac:dyDescent="0.2">
      <c r="A3025" s="23" t="str">
        <f>HYPERLINK("https://www.spark-marketing.ru/Card/Person/17900", "ГКУ КК ЦЗН ГОРОДА КРАСНОДАРА")</f>
        <v>ГКУ КК ЦЗН ГОРОДА КРАСНОДАРА</v>
      </c>
      <c r="B3025" s="24" t="s">
        <v>4456</v>
      </c>
      <c r="C3025" s="25">
        <v>499690.8</v>
      </c>
      <c r="D3025" s="22" t="s">
        <v>4457</v>
      </c>
      <c r="E3025" s="22" t="s">
        <v>1161</v>
      </c>
      <c r="F3025" s="23" t="str">
        <f>HYPERLINK("https://www.spark-marketing.ru/Card/Lot/72765988", "Монтаж системы видеонаблюдения")</f>
        <v>Монтаж системы видеонаблюдения</v>
      </c>
      <c r="G3025" s="22" t="s">
        <v>132</v>
      </c>
      <c r="H3025" s="22" t="s">
        <v>652</v>
      </c>
      <c r="I3025" s="26">
        <v>43690.517372685201</v>
      </c>
      <c r="J3025" s="23" t="str">
        <f>HYPERLINK("https://www.spark-marketing.ru/Card/Person/6324305", "ООО ""ПРОЮГ.РУ""")</f>
        <v>ООО "ПРОЮГ.РУ"</v>
      </c>
      <c r="K3025" s="24" t="s">
        <v>4459</v>
      </c>
      <c r="L3025" s="28" t="s">
        <v>52</v>
      </c>
      <c r="M3025" s="25">
        <v>413397.44</v>
      </c>
      <c r="N3025" s="27">
        <v>0.17269351366885283</v>
      </c>
    </row>
    <row r="3026" spans="1:14" hidden="1" outlineLevel="1" x14ac:dyDescent="0.2">
      <c r="A3026" s="23" t="str">
        <f>HYPERLINK("https://www.spark-marketing.ru/Card/Person/17900", "ГКУ КК ЦЗН ГОРОДА КРАСНОДАРА")</f>
        <v>ГКУ КК ЦЗН ГОРОДА КРАСНОДАРА</v>
      </c>
      <c r="B3026" s="24" t="s">
        <v>4456</v>
      </c>
      <c r="C3026" s="25">
        <v>499690.8</v>
      </c>
      <c r="D3026" s="22" t="s">
        <v>4457</v>
      </c>
      <c r="E3026" s="22" t="s">
        <v>1161</v>
      </c>
      <c r="F3026" s="23" t="str">
        <f>HYPERLINK("https://www.spark-marketing.ru/Card/Lot/72765988", "Монтаж системы видеонаблюдения")</f>
        <v>Монтаж системы видеонаблюдения</v>
      </c>
      <c r="G3026" s="22" t="s">
        <v>132</v>
      </c>
      <c r="H3026" s="22" t="s">
        <v>652</v>
      </c>
      <c r="I3026" s="26">
        <v>43690.517372685201</v>
      </c>
      <c r="J3026" s="23" t="str">
        <f>HYPERLINK("https://www.spark-marketing.ru/Card/Person/6492186", "Ленинградский Евгений Владимирович")</f>
        <v>Ленинградский Евгений Владимирович</v>
      </c>
      <c r="K3026" s="24" t="s">
        <v>4320</v>
      </c>
      <c r="L3026" s="28" t="s">
        <v>52</v>
      </c>
      <c r="M3026" s="25">
        <v>399000</v>
      </c>
      <c r="N3026" s="27">
        <v>0.20150621144115521</v>
      </c>
    </row>
    <row r="3027" spans="1:14" hidden="1" outlineLevel="1" x14ac:dyDescent="0.2">
      <c r="A3027" s="23" t="str">
        <f>HYPERLINK("https://www.spark-marketing.ru/Card/Person/17900", "ГКУ КК ЦЗН ГОРОДА КРАСНОДАРА")</f>
        <v>ГКУ КК ЦЗН ГОРОДА КРАСНОДАРА</v>
      </c>
      <c r="B3027" s="24" t="s">
        <v>4456</v>
      </c>
      <c r="C3027" s="25">
        <v>499690.8</v>
      </c>
      <c r="D3027" s="22" t="s">
        <v>4457</v>
      </c>
      <c r="E3027" s="22" t="s">
        <v>1161</v>
      </c>
      <c r="F3027" s="23" t="str">
        <f>HYPERLINK("https://www.spark-marketing.ru/Card/Lot/72765988", "Монтаж системы видеонаблюдения")</f>
        <v>Монтаж системы видеонаблюдения</v>
      </c>
      <c r="G3027" s="22" t="s">
        <v>132</v>
      </c>
      <c r="H3027" s="22" t="s">
        <v>652</v>
      </c>
      <c r="I3027" s="26">
        <v>43690.517372685201</v>
      </c>
      <c r="J3027" s="23" t="str">
        <f>HYPERLINK("https://www.spark-marketing.ru/Card/Person/5960115", "ООО ""НПО КЕРБЕР""")</f>
        <v>ООО "НПО КЕРБЕР"</v>
      </c>
      <c r="K3027" s="24" t="s">
        <v>4460</v>
      </c>
      <c r="L3027" s="28" t="s">
        <v>52</v>
      </c>
      <c r="M3027" s="25">
        <v>423391.24</v>
      </c>
      <c r="N3027" s="27">
        <v>0.15269354568865387</v>
      </c>
    </row>
    <row r="3028" spans="1:14" x14ac:dyDescent="0.15">
      <c r="A3028" s="23" t="str">
        <f>HYPERLINK("https://www.spark-marketing.ru/Card/Person/12904", "ОГКУ ""ДИРЕКЦИЯ АВТОДОРОГ""")</f>
        <v>ОГКУ "ДИРЕКЦИЯ АВТОДОРОГ"</v>
      </c>
      <c r="B3028" s="24" t="s">
        <v>4461</v>
      </c>
      <c r="C3028" s="25">
        <v>3145000</v>
      </c>
      <c r="D3028" s="22" t="s">
        <v>4462</v>
      </c>
      <c r="E3028" s="22" t="s">
        <v>723</v>
      </c>
      <c r="F3028" s="23" t="str">
        <f>HYPERLINK("https://www.spark-marketing.ru/Card/Lot/72753378", "Выполнение работ по установке комплекса автоматической фото-видеофиксации нарушений Правил дорожного движения Российской Федерации на автомобильной дороге общего пользования Подъезд к р.п.Маркова км 3+300 в Иркутском районе Иркутской области")</f>
        <v>Выполнение работ по установке комплекса автоматической фото-видеофиксации нарушений Правил дорожного движения Российской Федерации на автомобильной дороге общего пользования Подъезд к р.п.Маркова км 3+300 в Иркутском районе Иркутской области</v>
      </c>
      <c r="G3028" s="22" t="s">
        <v>281</v>
      </c>
      <c r="H3028" s="22" t="s">
        <v>2008</v>
      </c>
      <c r="I3028" s="26">
        <v>43690.529398148101</v>
      </c>
      <c r="J3028" s="28" t="s">
        <v>52</v>
      </c>
      <c r="K3028" s="28" t="s">
        <v>52</v>
      </c>
      <c r="L3028" s="28" t="s">
        <v>52</v>
      </c>
      <c r="M3028" s="28" t="s">
        <v>52</v>
      </c>
      <c r="N3028" s="28" t="s">
        <v>52</v>
      </c>
    </row>
    <row r="3029" spans="1:14" hidden="1" outlineLevel="1" x14ac:dyDescent="0.2">
      <c r="A3029" s="23" t="str">
        <f>HYPERLINK("https://www.spark-marketing.ru/Card/Person/12904", "ОГКУ ""ДИРЕКЦИЯ АВТОДОРОГ""")</f>
        <v>ОГКУ "ДИРЕКЦИЯ АВТОДОРОГ"</v>
      </c>
      <c r="B3029" s="24" t="s">
        <v>4461</v>
      </c>
      <c r="C3029" s="25">
        <v>3145000</v>
      </c>
      <c r="D3029" s="22" t="s">
        <v>4462</v>
      </c>
      <c r="E3029" s="22" t="s">
        <v>723</v>
      </c>
      <c r="F3029" s="23" t="str">
        <f>HYPERLINK("https://www.spark-marketing.ru/Card/Lot/72753378", "Выполнение работ по установке комплекса автоматической фото-видеофиксации нарушений Правил дорожного движения Российской Федерации на автомобильной дороге общего пользования Подъезд к р.п.Маркова км 3+300 в Иркутском районе Иркутской области")</f>
        <v>Выполнение работ по установке комплекса автоматической фото-видеофиксации нарушений Правил дорожного движения Российской Федерации на автомобильной дороге общего пользования Подъезд к р.п.Маркова км 3+300 в Иркутском районе Иркутской области</v>
      </c>
      <c r="G3029" s="22" t="s">
        <v>281</v>
      </c>
      <c r="H3029" s="22" t="s">
        <v>2008</v>
      </c>
      <c r="I3029" s="26">
        <v>43690.529398148101</v>
      </c>
      <c r="J3029" s="23" t="str">
        <f>HYPERLINK("https://www.spark-marketing.ru/Card/Person/1354238", "ООО ""ЛАБОРАТОРИЯ ЦИФРОВОГО ЗРЕНИЯ""")</f>
        <v>ООО "ЛАБОРАТОРИЯ ЦИФРОВОГО ЗРЕНИЯ"</v>
      </c>
      <c r="K3029" s="24" t="s">
        <v>1191</v>
      </c>
      <c r="L3029" s="28" t="s">
        <v>52</v>
      </c>
      <c r="M3029" s="25">
        <v>2563175</v>
      </c>
      <c r="N3029" s="27">
        <v>0.185</v>
      </c>
    </row>
    <row r="3030" spans="1:14" ht="12.75" hidden="1" outlineLevel="1" x14ac:dyDescent="0.2">
      <c r="A3030" s="23" t="str">
        <f>HYPERLINK("https://www.spark-marketing.ru/Card/Person/12904", "ОГКУ ""ДИРЕКЦИЯ АВТОДОРОГ""")</f>
        <v>ОГКУ "ДИРЕКЦИЯ АВТОДОРОГ"</v>
      </c>
      <c r="B3030" s="24" t="s">
        <v>4461</v>
      </c>
      <c r="C3030" s="25">
        <v>3145000</v>
      </c>
      <c r="D3030" s="22" t="s">
        <v>4462</v>
      </c>
      <c r="E3030" s="22" t="s">
        <v>723</v>
      </c>
      <c r="F3030" s="23" t="str">
        <f>HYPERLINK("https://www.spark-marketing.ru/Card/Lot/72753378", "Выполнение работ по установке комплекса автоматической фото-видеофиксации нарушений Правил дорожного движения Российской Федерации на автомобильной дороге общего пользования Подъезд к р.п.Маркова км 3+300 в Иркутском районе Иркутской области")</f>
        <v>Выполнение работ по установке комплекса автоматической фото-видеофиксации нарушений Правил дорожного движения Российской Федерации на автомобильной дороге общего пользования Подъезд к р.п.Маркова км 3+300 в Иркутском районе Иркутской области</v>
      </c>
      <c r="G3030" s="22" t="s">
        <v>281</v>
      </c>
      <c r="H3030" s="22" t="s">
        <v>2008</v>
      </c>
      <c r="I3030" s="26">
        <v>43690.529398148101</v>
      </c>
      <c r="J3030" s="23" t="str">
        <f>HYPERLINK("https://www.spark-marketing.ru/Card/Person/82476", "ООО ""КВАНТ ОПС""")</f>
        <v>ООО "КВАНТ ОПС"</v>
      </c>
      <c r="K3030" s="24" t="s">
        <v>4463</v>
      </c>
      <c r="L3030" s="22" t="s">
        <v>10</v>
      </c>
      <c r="M3030" s="25">
        <v>2547450</v>
      </c>
      <c r="N3030" s="27">
        <v>0.19</v>
      </c>
    </row>
    <row r="3031" spans="1:14" x14ac:dyDescent="0.15">
      <c r="A3031" s="23" t="str">
        <f>HYPERLINK("https://www.spark-marketing.ru/Card/Person/1021641", "ОТДЕЛ МВД РОССИИ ПО КРАПИВИНСКОМУ РАЙОНУ")</f>
        <v>ОТДЕЛ МВД РОССИИ ПО КРАПИВИНСКОМУ РАЙОНУ</v>
      </c>
      <c r="B3031" s="24" t="s">
        <v>4464</v>
      </c>
      <c r="C3031" s="25">
        <v>17772</v>
      </c>
      <c r="D3031" s="22" t="s">
        <v>4465</v>
      </c>
      <c r="E3031" s="22" t="s">
        <v>84</v>
      </c>
      <c r="F3031" s="23" t="str">
        <f>HYPERLINK("https://www.spark-marketing.ru/Card/Lot/72757542", "Техническое обслуживание систем видеонаблюдения, 12 шт")</f>
        <v>Техническое обслуживание систем видеонаблюдения, 12 шт</v>
      </c>
      <c r="G3031" s="22" t="s">
        <v>367</v>
      </c>
      <c r="H3031" s="22" t="s">
        <v>4466</v>
      </c>
      <c r="I3031" s="26">
        <v>43690.560740740701</v>
      </c>
      <c r="J3031" s="28" t="s">
        <v>52</v>
      </c>
      <c r="K3031" s="28" t="s">
        <v>52</v>
      </c>
      <c r="L3031" s="28" t="s">
        <v>52</v>
      </c>
      <c r="M3031" s="28" t="s">
        <v>52</v>
      </c>
      <c r="N3031" s="28" t="s">
        <v>52</v>
      </c>
    </row>
    <row r="3032" spans="1:14" x14ac:dyDescent="0.15">
      <c r="A3032" s="23" t="str">
        <f>HYPERLINK("https://www.spark-marketing.ru/Card/Person/1075847", "МБУК ""КАРТИННАЯ ГАЛЕРЕЯ""")</f>
        <v>МБУК "КАРТИННАЯ ГАЛЕРЕЯ"</v>
      </c>
      <c r="B3032" s="24" t="s">
        <v>3498</v>
      </c>
      <c r="C3032" s="25">
        <v>600000</v>
      </c>
      <c r="D3032" s="22" t="s">
        <v>4467</v>
      </c>
      <c r="E3032" s="22" t="s">
        <v>84</v>
      </c>
      <c r="F3032" s="23" t="str">
        <f>HYPERLINK("https://www.spark-marketing.ru/Card/Lot/72756870", "Установка систем внутреннего и внешнего видеонаблюдения")</f>
        <v>Установка систем внутреннего и внешнего видеонаблюдения</v>
      </c>
      <c r="G3032" s="22" t="s">
        <v>50</v>
      </c>
      <c r="H3032" s="22" t="s">
        <v>432</v>
      </c>
      <c r="I3032" s="26">
        <v>43690.544861111099</v>
      </c>
      <c r="J3032" s="28" t="s">
        <v>52</v>
      </c>
      <c r="K3032" s="28" t="s">
        <v>52</v>
      </c>
      <c r="L3032" s="28" t="s">
        <v>52</v>
      </c>
      <c r="M3032" s="28" t="s">
        <v>52</v>
      </c>
      <c r="N3032" s="28" t="s">
        <v>52</v>
      </c>
    </row>
    <row r="3033" spans="1:14" x14ac:dyDescent="0.15">
      <c r="A3033" s="23" t="str">
        <f>HYPERLINK("https://www.spark-marketing.ru/Card/Person/4346781", "ПАО ""МСЗ""")</f>
        <v>ПАО "МСЗ"</v>
      </c>
      <c r="B3033" s="24" t="s">
        <v>744</v>
      </c>
      <c r="C3033" s="25">
        <v>0</v>
      </c>
      <c r="D3033" s="22" t="s">
        <v>4468</v>
      </c>
      <c r="E3033" s="22" t="s">
        <v>53</v>
      </c>
      <c r="F3033" s="23" t="str">
        <f>HYPERLINK("https://www.spark-marketing.ru/Card/Lot/72771025", "мониторинг цен в электронной форме на Услуги по не вооруженной охране имущества, принадлежащего Заказчику, находящегося в г. Электросталь Московской области по адресу ул.Лесная, д.4")</f>
        <v>мониторинг цен в электронной форме на Услуги по не вооруженной охране имущества, принадлежащего Заказчику, находящегося в г. Электросталь Московской области по адресу ул.Лесная, д.4</v>
      </c>
      <c r="G3033" s="22" t="s">
        <v>50</v>
      </c>
      <c r="H3033" s="22" t="s">
        <v>747</v>
      </c>
      <c r="I3033" s="26">
        <v>43690.574201388903</v>
      </c>
      <c r="J3033" s="28" t="s">
        <v>52</v>
      </c>
      <c r="K3033" s="28" t="s">
        <v>52</v>
      </c>
      <c r="L3033" s="28" t="s">
        <v>52</v>
      </c>
      <c r="M3033" s="28" t="s">
        <v>52</v>
      </c>
      <c r="N3033" s="28" t="s">
        <v>52</v>
      </c>
    </row>
    <row r="3034" spans="1:14" x14ac:dyDescent="0.15">
      <c r="A3034" s="23" t="str">
        <f>HYPERLINK("https://www.spark-marketing.ru/Card/Person/1764957", "МДОУ №7 ""РОДНИЧОК""")</f>
        <v>МДОУ №7 "РОДНИЧОК"</v>
      </c>
      <c r="B3034" s="24" t="s">
        <v>4469</v>
      </c>
      <c r="C3034" s="25">
        <v>80000</v>
      </c>
      <c r="D3034" s="22" t="s">
        <v>4470</v>
      </c>
      <c r="E3034" s="22" t="s">
        <v>107</v>
      </c>
      <c r="F3034" s="23" t="str">
        <f>HYPERLINK("https://www.spark-marketing.ru/Card/Lot/72756837", "Услуги по приобретению и установке видеодомофона в рамках реализации антитеррористических мероприятий")</f>
        <v>Услуги по приобретению и установке видеодомофона в рамках реализации антитеррористических мероприятий</v>
      </c>
      <c r="G3034" s="22" t="s">
        <v>50</v>
      </c>
      <c r="H3034" s="22" t="s">
        <v>504</v>
      </c>
      <c r="I3034" s="26">
        <v>43690.524236111101</v>
      </c>
      <c r="J3034" s="28" t="s">
        <v>52</v>
      </c>
      <c r="K3034" s="28" t="s">
        <v>52</v>
      </c>
      <c r="L3034" s="28" t="s">
        <v>52</v>
      </c>
      <c r="M3034" s="28" t="s">
        <v>52</v>
      </c>
      <c r="N3034" s="28" t="s">
        <v>52</v>
      </c>
    </row>
    <row r="3035" spans="1:14" x14ac:dyDescent="0.15">
      <c r="A3035" s="23" t="str">
        <f>HYPERLINK("https://www.spark-marketing.ru/Card/Person/1752165", "АО ""ГРИНАТОМ""")</f>
        <v>АО "ГРИНАТОМ"</v>
      </c>
      <c r="B3035" s="24" t="s">
        <v>4471</v>
      </c>
      <c r="C3035" s="25">
        <v>3439848.47</v>
      </c>
      <c r="D3035" s="22" t="s">
        <v>4472</v>
      </c>
      <c r="E3035" s="22" t="s">
        <v>53</v>
      </c>
      <c r="F3035" s="23" t="str">
        <f>HYPERLINK("https://www.spark-marketing.ru/Card/Lot/72771055", "ЕИС №31908194024 Право заключения договора на выполнение работ по монтажу и модернизации технических средств охраны в составе: система видеонаблюдения, система контроля и управления доступом, система охранной сигнализации с последующим техническим об...")</f>
        <v>ЕИС №31908194024 Право заключения договора на выполнение работ по монтажу и модернизации технических средств охраны в составе: система видеонаблюдения, система контроля и управления доступом, система охранной сигнализации с последующим техническим об...</v>
      </c>
      <c r="G3035" s="22" t="s">
        <v>55</v>
      </c>
      <c r="H3035" s="22" t="s">
        <v>55</v>
      </c>
      <c r="I3035" s="26">
        <v>43690.524456018502</v>
      </c>
      <c r="J3035" s="28" t="s">
        <v>52</v>
      </c>
      <c r="K3035" s="28" t="s">
        <v>52</v>
      </c>
      <c r="L3035" s="28" t="s">
        <v>52</v>
      </c>
      <c r="M3035" s="28" t="s">
        <v>52</v>
      </c>
      <c r="N3035" s="28" t="s">
        <v>52</v>
      </c>
    </row>
    <row r="3036" spans="1:14" x14ac:dyDescent="0.15">
      <c r="A3036" s="23" t="str">
        <f t="shared" ref="A3036:A3042" si="129">HYPERLINK("https://www.spark-marketing.ru/Card/Person/20422", "ФКУ ""ЦВР МВД РОССИИ, Г. ОРЕНБУРГ""")</f>
        <v>ФКУ "ЦВР МВД РОССИИ, Г. ОРЕНБУРГ"</v>
      </c>
      <c r="B3036" s="24" t="s">
        <v>4473</v>
      </c>
      <c r="C3036" s="25">
        <v>14000</v>
      </c>
      <c r="D3036" s="22" t="s">
        <v>4474</v>
      </c>
      <c r="E3036" s="22" t="s">
        <v>103</v>
      </c>
      <c r="F3036" s="23" t="str">
        <f t="shared" ref="F3036:F3042" si="130">HYPERLINK("https://www.spark-marketing.ru/Card/Lot/72759447", "Услуги по техническому обслуживанию системы видеонаблюдения для государственных нужд")</f>
        <v>Услуги по техническому обслуживанию системы видеонаблюдения для государственных нужд</v>
      </c>
      <c r="G3036" s="22" t="s">
        <v>384</v>
      </c>
      <c r="H3036" s="22" t="s">
        <v>696</v>
      </c>
      <c r="I3036" s="26">
        <v>43690.505891203698</v>
      </c>
      <c r="J3036" s="28" t="s">
        <v>52</v>
      </c>
      <c r="K3036" s="28" t="s">
        <v>52</v>
      </c>
      <c r="L3036" s="28" t="s">
        <v>52</v>
      </c>
      <c r="M3036" s="28" t="s">
        <v>52</v>
      </c>
      <c r="N3036" s="28" t="s">
        <v>52</v>
      </c>
    </row>
    <row r="3037" spans="1:14" ht="12.75" hidden="1" outlineLevel="1" x14ac:dyDescent="0.2">
      <c r="A3037" s="23" t="str">
        <f t="shared" si="129"/>
        <v>ФКУ "ЦВР МВД РОССИИ, Г. ОРЕНБУРГ"</v>
      </c>
      <c r="B3037" s="24" t="s">
        <v>4473</v>
      </c>
      <c r="C3037" s="25">
        <v>14000</v>
      </c>
      <c r="D3037" s="22" t="s">
        <v>4474</v>
      </c>
      <c r="E3037" s="22" t="s">
        <v>103</v>
      </c>
      <c r="F3037" s="23" t="str">
        <f t="shared" si="130"/>
        <v>Услуги по техническому обслуживанию системы видеонаблюдения для государственных нужд</v>
      </c>
      <c r="G3037" s="22" t="s">
        <v>384</v>
      </c>
      <c r="H3037" s="22" t="s">
        <v>696</v>
      </c>
      <c r="I3037" s="26">
        <v>43690.505891203698</v>
      </c>
      <c r="J3037" s="23" t="str">
        <f>HYPERLINK("https://www.spark-marketing.ru/Card/Person/412763", "ООО ""АМУЛЕТ-СЕРВИС""")</f>
        <v>ООО "АМУЛЕТ-СЕРВИС"</v>
      </c>
      <c r="K3037" s="24" t="s">
        <v>4475</v>
      </c>
      <c r="L3037" s="22" t="s">
        <v>10</v>
      </c>
      <c r="M3037" s="25">
        <v>3600</v>
      </c>
      <c r="N3037" s="27">
        <v>0.74285714285714288</v>
      </c>
    </row>
    <row r="3038" spans="1:14" hidden="1" outlineLevel="1" x14ac:dyDescent="0.2">
      <c r="A3038" s="23" t="str">
        <f t="shared" si="129"/>
        <v>ФКУ "ЦВР МВД РОССИИ, Г. ОРЕНБУРГ"</v>
      </c>
      <c r="B3038" s="24" t="s">
        <v>4473</v>
      </c>
      <c r="C3038" s="25">
        <v>14000</v>
      </c>
      <c r="D3038" s="22" t="s">
        <v>4474</v>
      </c>
      <c r="E3038" s="22" t="s">
        <v>103</v>
      </c>
      <c r="F3038" s="23" t="str">
        <f t="shared" si="130"/>
        <v>Услуги по техническому обслуживанию системы видеонаблюдения для государственных нужд</v>
      </c>
      <c r="G3038" s="22" t="s">
        <v>384</v>
      </c>
      <c r="H3038" s="22" t="s">
        <v>696</v>
      </c>
      <c r="I3038" s="26">
        <v>43690.505891203698</v>
      </c>
      <c r="J3038" s="23" t="str">
        <f>HYPERLINK("https://www.spark-marketing.ru/Card/Person/213831", "ООО ""СТРОЙТЕХСЕРВИС""")</f>
        <v>ООО "СТРОЙТЕХСЕРВИС"</v>
      </c>
      <c r="K3038" s="24" t="s">
        <v>4476</v>
      </c>
      <c r="L3038" s="28" t="s">
        <v>52</v>
      </c>
      <c r="M3038" s="25">
        <v>8000</v>
      </c>
      <c r="N3038" s="27">
        <v>0.42857142857142855</v>
      </c>
    </row>
    <row r="3039" spans="1:14" hidden="1" outlineLevel="1" x14ac:dyDescent="0.2">
      <c r="A3039" s="23" t="str">
        <f t="shared" si="129"/>
        <v>ФКУ "ЦВР МВД РОССИИ, Г. ОРЕНБУРГ"</v>
      </c>
      <c r="B3039" s="24" t="s">
        <v>4473</v>
      </c>
      <c r="C3039" s="25">
        <v>14000</v>
      </c>
      <c r="D3039" s="22" t="s">
        <v>4474</v>
      </c>
      <c r="E3039" s="22" t="s">
        <v>103</v>
      </c>
      <c r="F3039" s="23" t="str">
        <f t="shared" si="130"/>
        <v>Услуги по техническому обслуживанию системы видеонаблюдения для государственных нужд</v>
      </c>
      <c r="G3039" s="22" t="s">
        <v>384</v>
      </c>
      <c r="H3039" s="22" t="s">
        <v>696</v>
      </c>
      <c r="I3039" s="26">
        <v>43690.505891203698</v>
      </c>
      <c r="J3039" s="23" t="str">
        <f>HYPERLINK("https://www.spark-marketing.ru/Card/Person/6316298", "ООО ""ИМПУЛЬС-ТЕХСЕРВИС""")</f>
        <v>ООО "ИМПУЛЬС-ТЕХСЕРВИС"</v>
      </c>
      <c r="K3039" s="24" t="s">
        <v>4477</v>
      </c>
      <c r="L3039" s="28" t="s">
        <v>52</v>
      </c>
      <c r="M3039" s="25">
        <v>9998</v>
      </c>
      <c r="N3039" s="27">
        <v>0.28585714285714287</v>
      </c>
    </row>
    <row r="3040" spans="1:14" hidden="1" outlineLevel="1" x14ac:dyDescent="0.2">
      <c r="A3040" s="23" t="str">
        <f t="shared" si="129"/>
        <v>ФКУ "ЦВР МВД РОССИИ, Г. ОРЕНБУРГ"</v>
      </c>
      <c r="B3040" s="24" t="s">
        <v>4473</v>
      </c>
      <c r="C3040" s="25">
        <v>14000</v>
      </c>
      <c r="D3040" s="22" t="s">
        <v>4474</v>
      </c>
      <c r="E3040" s="22" t="s">
        <v>103</v>
      </c>
      <c r="F3040" s="23" t="str">
        <f t="shared" si="130"/>
        <v>Услуги по техническому обслуживанию системы видеонаблюдения для государственных нужд</v>
      </c>
      <c r="G3040" s="22" t="s">
        <v>384</v>
      </c>
      <c r="H3040" s="22" t="s">
        <v>696</v>
      </c>
      <c r="I3040" s="26">
        <v>43690.505891203698</v>
      </c>
      <c r="J3040" s="23" t="str">
        <f>HYPERLINK("https://www.spark-marketing.ru/Card/Person/127952", "ООО ""ОРИОН ПЛЮС""")</f>
        <v>ООО "ОРИОН ПЛЮС"</v>
      </c>
      <c r="K3040" s="24" t="s">
        <v>4478</v>
      </c>
      <c r="L3040" s="28" t="s">
        <v>52</v>
      </c>
      <c r="M3040" s="25">
        <v>10000</v>
      </c>
      <c r="N3040" s="27">
        <v>0.2857142857142857</v>
      </c>
    </row>
    <row r="3041" spans="1:14" hidden="1" outlineLevel="1" x14ac:dyDescent="0.2">
      <c r="A3041" s="23" t="str">
        <f t="shared" si="129"/>
        <v>ФКУ "ЦВР МВД РОССИИ, Г. ОРЕНБУРГ"</v>
      </c>
      <c r="B3041" s="24" t="s">
        <v>4473</v>
      </c>
      <c r="C3041" s="25">
        <v>14000</v>
      </c>
      <c r="D3041" s="22" t="s">
        <v>4474</v>
      </c>
      <c r="E3041" s="22" t="s">
        <v>103</v>
      </c>
      <c r="F3041" s="23" t="str">
        <f t="shared" si="130"/>
        <v>Услуги по техническому обслуживанию системы видеонаблюдения для государственных нужд</v>
      </c>
      <c r="G3041" s="22" t="s">
        <v>384</v>
      </c>
      <c r="H3041" s="22" t="s">
        <v>696</v>
      </c>
      <c r="I3041" s="26">
        <v>43690.505891203698</v>
      </c>
      <c r="J3041" s="23" t="str">
        <f>HYPERLINK("https://www.spark-marketing.ru/Card/Person/407619", "ООО ""МАКСИМ""")</f>
        <v>ООО "МАКСИМ"</v>
      </c>
      <c r="K3041" s="24" t="s">
        <v>4479</v>
      </c>
      <c r="L3041" s="28" t="s">
        <v>52</v>
      </c>
      <c r="M3041" s="25">
        <v>12500</v>
      </c>
      <c r="N3041" s="27">
        <v>0.10714285714285714</v>
      </c>
    </row>
    <row r="3042" spans="1:14" hidden="1" outlineLevel="1" x14ac:dyDescent="0.2">
      <c r="A3042" s="23" t="str">
        <f t="shared" si="129"/>
        <v>ФКУ "ЦВР МВД РОССИИ, Г. ОРЕНБУРГ"</v>
      </c>
      <c r="B3042" s="24" t="s">
        <v>4473</v>
      </c>
      <c r="C3042" s="25">
        <v>14000</v>
      </c>
      <c r="D3042" s="22" t="s">
        <v>4474</v>
      </c>
      <c r="E3042" s="22" t="s">
        <v>103</v>
      </c>
      <c r="F3042" s="23" t="str">
        <f t="shared" si="130"/>
        <v>Услуги по техническому обслуживанию системы видеонаблюдения для государственных нужд</v>
      </c>
      <c r="G3042" s="22" t="s">
        <v>384</v>
      </c>
      <c r="H3042" s="22" t="s">
        <v>696</v>
      </c>
      <c r="I3042" s="26">
        <v>43690.505891203698</v>
      </c>
      <c r="J3042" s="23" t="str">
        <f>HYPERLINK("https://www.spark-marketing.ru/Card/Person/418017", "Кожемякин Григорий Валерьевич")</f>
        <v>Кожемякин Григорий Валерьевич</v>
      </c>
      <c r="K3042" s="24" t="s">
        <v>3982</v>
      </c>
      <c r="L3042" s="28" t="s">
        <v>52</v>
      </c>
      <c r="M3042" s="25">
        <v>13500</v>
      </c>
      <c r="N3042" s="27">
        <v>3.5714285714285712E-2</v>
      </c>
    </row>
    <row r="3043" spans="1:14" x14ac:dyDescent="0.15">
      <c r="A3043" s="23" t="str">
        <f>HYPERLINK("https://www.spark-marketing.ru/Card/Person/257218", "ГБУ РБ СЕВЕРО-ЗАПАДНЫЙ МЦ ""СЕМЬЯ""")</f>
        <v>ГБУ РБ СЕВЕРО-ЗАПАДНЫЙ МЦ "СЕМЬЯ"</v>
      </c>
      <c r="B3043" s="24" t="s">
        <v>4480</v>
      </c>
      <c r="C3043" s="25">
        <v>18594.599999999999</v>
      </c>
      <c r="D3043" s="22" t="s">
        <v>4481</v>
      </c>
      <c r="E3043" s="22" t="s">
        <v>59</v>
      </c>
      <c r="F3043" s="23" t="str">
        <f>HYPERLINK("https://www.spark-marketing.ru/Card/Lot/72750980", "Монтаж кнопки тревожной сигнализации в помещении ГБУ РБ Северо - западный МЦ ""Семья"", находящегося по адресу: с.Исаметово, ул.Шоссейная, д.19/4")</f>
        <v>Монтаж кнопки тревожной сигнализации в помещении ГБУ РБ Северо - западный МЦ "Семья", находящегося по адресу: с.Исаметово, ул.Шоссейная, д.19/4</v>
      </c>
      <c r="G3043" s="22" t="s">
        <v>100</v>
      </c>
      <c r="H3043" s="22" t="s">
        <v>4482</v>
      </c>
      <c r="I3043" s="26">
        <v>43690.403275463003</v>
      </c>
      <c r="J3043" s="23" t="str">
        <f>HYPERLINK("https://www.spark-marketing.ru/Card/Person/4412553", "ООО ЧОО ""ЩИТ""")</f>
        <v>ООО ЧОО "ЩИТ"</v>
      </c>
      <c r="K3043" s="24" t="s">
        <v>4483</v>
      </c>
      <c r="L3043" s="22" t="s">
        <v>10</v>
      </c>
      <c r="M3043" s="28" t="s">
        <v>52</v>
      </c>
      <c r="N3043" s="28" t="s">
        <v>52</v>
      </c>
    </row>
    <row r="3044" spans="1:14" x14ac:dyDescent="0.15">
      <c r="A3044" s="23" t="str">
        <f>HYPERLINK("https://www.spark-marketing.ru/Card/Person/253587", "ОТДЕЛЕНИЕ МВД РОССИИ ПО НОВОШЕШМИНСКОМУ РАЙОНУ")</f>
        <v>ОТДЕЛЕНИЕ МВД РОССИИ ПО НОВОШЕШМИНСКОМУ РАЙОНУ</v>
      </c>
      <c r="B3044" s="24" t="s">
        <v>4484</v>
      </c>
      <c r="C3044" s="25">
        <v>12363.24</v>
      </c>
      <c r="D3044" s="22" t="s">
        <v>4485</v>
      </c>
      <c r="E3044" s="22" t="s">
        <v>53</v>
      </c>
      <c r="F3044" s="23" t="str">
        <f>HYPERLINK("https://www.spark-marketing.ru/Card/Lot/72753633", "оказание услуг по техническому обслуживанию комплекса технических средств охраны, 2 усл. ед")</f>
        <v>оказание услуг по техническому обслуживанию комплекса технических средств охраны, 2 усл. ед</v>
      </c>
      <c r="G3044" s="22" t="s">
        <v>204</v>
      </c>
      <c r="H3044" s="22" t="s">
        <v>204</v>
      </c>
      <c r="I3044" s="26">
        <v>43690.468171296299</v>
      </c>
      <c r="J3044" s="28" t="s">
        <v>52</v>
      </c>
      <c r="K3044" s="28" t="s">
        <v>52</v>
      </c>
      <c r="L3044" s="28" t="s">
        <v>52</v>
      </c>
      <c r="M3044" s="28" t="s">
        <v>52</v>
      </c>
      <c r="N3044" s="28" t="s">
        <v>52</v>
      </c>
    </row>
    <row r="3045" spans="1:14" x14ac:dyDescent="0.15">
      <c r="A3045" s="23" t="str">
        <f>HYPERLINK("https://www.spark-marketing.ru/Card/Person/253587", "ОТДЕЛЕНИЕ МВД РОССИИ ПО НОВОШЕШМИНСКОМУ РАЙОНУ")</f>
        <v>ОТДЕЛЕНИЕ МВД РОССИИ ПО НОВОШЕШМИНСКОМУ РАЙОНУ</v>
      </c>
      <c r="B3045" s="24" t="s">
        <v>4484</v>
      </c>
      <c r="C3045" s="25">
        <v>12363.24</v>
      </c>
      <c r="D3045" s="22" t="s">
        <v>4486</v>
      </c>
      <c r="E3045" s="22" t="s">
        <v>53</v>
      </c>
      <c r="F3045" s="23" t="str">
        <f>HYPERLINK("https://www.spark-marketing.ru/Card/Lot/72753640", "оказание услуг по техническому обслуживанию комплекса технических средств охраны, 2 усл. ед")</f>
        <v>оказание услуг по техническому обслуживанию комплекса технических средств охраны, 2 усл. ед</v>
      </c>
      <c r="G3045" s="22" t="s">
        <v>204</v>
      </c>
      <c r="H3045" s="22" t="s">
        <v>204</v>
      </c>
      <c r="I3045" s="26">
        <v>43690.470578703702</v>
      </c>
      <c r="J3045" s="28" t="s">
        <v>52</v>
      </c>
      <c r="K3045" s="28" t="s">
        <v>52</v>
      </c>
      <c r="L3045" s="28" t="s">
        <v>52</v>
      </c>
      <c r="M3045" s="28" t="s">
        <v>52</v>
      </c>
      <c r="N3045" s="28" t="s">
        <v>52</v>
      </c>
    </row>
    <row r="3046" spans="1:14" x14ac:dyDescent="0.15">
      <c r="A3046" s="23" t="str">
        <f>HYPERLINK("https://www.spark-marketing.ru/Card/Person/1037240", "БОУ Г. ОМСКА ""СРЕДНЯЯ ОБЩЕОБРАЗОВАТЕЛЬНАЯ ШКОЛА № 120""")</f>
        <v>БОУ Г. ОМСКА "СРЕДНЯЯ ОБЩЕОБРАЗОВАТЕЛЬНАЯ ШКОЛА № 120"</v>
      </c>
      <c r="B3046" s="24" t="s">
        <v>4147</v>
      </c>
      <c r="C3046" s="25">
        <v>25600</v>
      </c>
      <c r="D3046" s="22" t="s">
        <v>4487</v>
      </c>
      <c r="E3046" s="22" t="s">
        <v>68</v>
      </c>
      <c r="F3046" s="23" t="str">
        <f>HYPERLINK("https://www.spark-marketing.ru/Card/Lot/72748025", "Оказание услуг по обеспечению общественного порядка и безопасности граждан")</f>
        <v>Оказание услуг по обеспечению общественного порядка и безопасности граждан</v>
      </c>
      <c r="G3046" s="22" t="s">
        <v>521</v>
      </c>
      <c r="H3046" s="22" t="s">
        <v>522</v>
      </c>
      <c r="I3046" s="26">
        <v>43690.3618055556</v>
      </c>
      <c r="J3046" s="28" t="s">
        <v>52</v>
      </c>
      <c r="K3046" s="28" t="s">
        <v>52</v>
      </c>
      <c r="L3046" s="28" t="s">
        <v>52</v>
      </c>
      <c r="M3046" s="28" t="s">
        <v>52</v>
      </c>
      <c r="N3046" s="28" t="s">
        <v>52</v>
      </c>
    </row>
    <row r="3047" spans="1:14" x14ac:dyDescent="0.15">
      <c r="A3047" s="23" t="str">
        <f>HYPERLINK("https://www.spark-marketing.ru/Card/Person/4526169", "ООО ""АГРОТОРГ""")</f>
        <v>ООО "АГРОТОРГ"</v>
      </c>
      <c r="B3047" s="24" t="s">
        <v>4488</v>
      </c>
      <c r="C3047" s="25">
        <v>0</v>
      </c>
      <c r="D3047" s="22" t="s">
        <v>4489</v>
      </c>
      <c r="E3047" s="22" t="s">
        <v>491</v>
      </c>
      <c r="F3047" s="23" t="str">
        <f>HYPERLINK("https://www.spark-marketing.ru/Card/Lot/72761849", "МКР ""Центр""")</f>
        <v>МКР "Центр"</v>
      </c>
      <c r="G3047" s="22" t="s">
        <v>89</v>
      </c>
      <c r="H3047" s="22" t="s">
        <v>89</v>
      </c>
      <c r="I3047" s="26">
        <v>43690.530185185198</v>
      </c>
      <c r="J3047" s="28" t="s">
        <v>52</v>
      </c>
      <c r="K3047" s="28" t="s">
        <v>52</v>
      </c>
      <c r="L3047" s="28" t="s">
        <v>52</v>
      </c>
      <c r="M3047" s="28" t="s">
        <v>52</v>
      </c>
      <c r="N3047" s="28" t="s">
        <v>52</v>
      </c>
    </row>
    <row r="3048" spans="1:14" x14ac:dyDescent="0.15">
      <c r="A3048" s="23" t="str">
        <f>HYPERLINK("https://www.spark-marketing.ru/Card/Person/1752165", "АО ""ГРИНАТОМ""")</f>
        <v>АО "ГРИНАТОМ"</v>
      </c>
      <c r="B3048" s="24" t="s">
        <v>4471</v>
      </c>
      <c r="C3048" s="25">
        <v>3439848.47</v>
      </c>
      <c r="D3048" s="22" t="s">
        <v>4490</v>
      </c>
      <c r="E3048" s="22" t="s">
        <v>175</v>
      </c>
      <c r="F3048" s="23" t="str">
        <f>HYPERLINK("https://www.spark-marketing.ru/Card/Lot/72758209", "Право заключения договора на выполнение работ по монтажу и модернизации технических средств охраны в составе: система видеонаблюдения, система контроля и управления доступом, система охранной сигнализации с последующим техническим обслуживанием на 8,...")</f>
        <v>Право заключения договора на выполнение работ по монтажу и модернизации технических средств охраны в составе: система видеонаблюдения, система контроля и управления доступом, система охранной сигнализации с последующим техническим обслуживанием на 8,...</v>
      </c>
      <c r="G3048" s="22" t="s">
        <v>55</v>
      </c>
      <c r="H3048" s="22" t="s">
        <v>55</v>
      </c>
      <c r="I3048" s="26">
        <v>43690</v>
      </c>
      <c r="J3048" s="28" t="s">
        <v>52</v>
      </c>
      <c r="K3048" s="28" t="s">
        <v>52</v>
      </c>
      <c r="L3048" s="28" t="s">
        <v>52</v>
      </c>
      <c r="M3048" s="28" t="s">
        <v>52</v>
      </c>
      <c r="N3048" s="28" t="s">
        <v>52</v>
      </c>
    </row>
    <row r="3049" spans="1:14" x14ac:dyDescent="0.15">
      <c r="A3049" s="23" t="str">
        <f>HYPERLINK("https://www.spark-marketing.ru/Card/Person/4526169", "ООО ""АГРОТОРГ""")</f>
        <v>ООО "АГРОТОРГ"</v>
      </c>
      <c r="B3049" s="24" t="s">
        <v>4488</v>
      </c>
      <c r="C3049" s="25">
        <v>0</v>
      </c>
      <c r="D3049" s="22" t="s">
        <v>4489</v>
      </c>
      <c r="E3049" s="22" t="s">
        <v>491</v>
      </c>
      <c r="F3049" s="23" t="str">
        <f>HYPERLINK("https://www.spark-marketing.ru/Card/Lot/72761850", "МКР ""ЮГ""")</f>
        <v>МКР "ЮГ"</v>
      </c>
      <c r="G3049" s="22" t="s">
        <v>89</v>
      </c>
      <c r="H3049" s="22" t="s">
        <v>89</v>
      </c>
      <c r="I3049" s="26">
        <v>43690.530185185198</v>
      </c>
      <c r="J3049" s="28" t="s">
        <v>52</v>
      </c>
      <c r="K3049" s="28" t="s">
        <v>52</v>
      </c>
      <c r="L3049" s="28" t="s">
        <v>52</v>
      </c>
      <c r="M3049" s="28" t="s">
        <v>52</v>
      </c>
      <c r="N3049" s="28" t="s">
        <v>52</v>
      </c>
    </row>
    <row r="3050" spans="1:14" x14ac:dyDescent="0.15">
      <c r="A3050" s="23" t="str">
        <f>HYPERLINK("https://www.spark-marketing.ru/Card/Person/4526169", "ООО ""АГРОТОРГ""")</f>
        <v>ООО "АГРОТОРГ"</v>
      </c>
      <c r="B3050" s="24" t="s">
        <v>4488</v>
      </c>
      <c r="C3050" s="25">
        <v>0</v>
      </c>
      <c r="D3050" s="22" t="s">
        <v>4489</v>
      </c>
      <c r="E3050" s="22" t="s">
        <v>491</v>
      </c>
      <c r="F3050" s="23" t="str">
        <f>HYPERLINK("https://www.spark-marketing.ru/Card/Lot/72761847", "МКР ""Сибирь""")</f>
        <v>МКР "Сибирь"</v>
      </c>
      <c r="G3050" s="22" t="s">
        <v>89</v>
      </c>
      <c r="H3050" s="22" t="s">
        <v>89</v>
      </c>
      <c r="I3050" s="26">
        <v>43690.530185185198</v>
      </c>
      <c r="J3050" s="28" t="s">
        <v>52</v>
      </c>
      <c r="K3050" s="28" t="s">
        <v>52</v>
      </c>
      <c r="L3050" s="28" t="s">
        <v>52</v>
      </c>
      <c r="M3050" s="28" t="s">
        <v>52</v>
      </c>
      <c r="N3050" s="28" t="s">
        <v>52</v>
      </c>
    </row>
    <row r="3051" spans="1:14" x14ac:dyDescent="0.15">
      <c r="A3051" s="23" t="str">
        <f>HYPERLINK("https://www.spark-marketing.ru/Card/Person/4526169", "ООО ""АГРОТОРГ""")</f>
        <v>ООО "АГРОТОРГ"</v>
      </c>
      <c r="B3051" s="24" t="s">
        <v>4488</v>
      </c>
      <c r="C3051" s="25">
        <v>0</v>
      </c>
      <c r="D3051" s="22" t="s">
        <v>4489</v>
      </c>
      <c r="E3051" s="22" t="s">
        <v>491</v>
      </c>
      <c r="F3051" s="23" t="str">
        <f>HYPERLINK("https://www.spark-marketing.ru/Card/Lot/72761851", "По всей ФТС ""Пятёрочка"" при подтвержденном объеме не менее 100 000 000 рублей за 1 год")</f>
        <v>По всей ФТС "Пятёрочка" при подтвержденном объеме не менее 100 000 000 рублей за 1 год</v>
      </c>
      <c r="G3051" s="22" t="s">
        <v>89</v>
      </c>
      <c r="H3051" s="22" t="s">
        <v>89</v>
      </c>
      <c r="I3051" s="26">
        <v>43690.530185185198</v>
      </c>
      <c r="J3051" s="28" t="s">
        <v>52</v>
      </c>
      <c r="K3051" s="28" t="s">
        <v>52</v>
      </c>
      <c r="L3051" s="28" t="s">
        <v>52</v>
      </c>
      <c r="M3051" s="28" t="s">
        <v>52</v>
      </c>
      <c r="N3051" s="28" t="s">
        <v>52</v>
      </c>
    </row>
    <row r="3052" spans="1:14" x14ac:dyDescent="0.2">
      <c r="A3052" s="23" t="str">
        <f>HYPERLINK("https://www.spark-marketing.ru/Card/Person/4360086", "ООО ""ГАЗПРОМ ТРАНСГАЗ УХТА""")</f>
        <v>ООО "ГАЗПРОМ ТРАНСГАЗ УХТА"</v>
      </c>
      <c r="B3052" s="24" t="s">
        <v>4491</v>
      </c>
      <c r="C3052" s="25">
        <v>55717550.479999997</v>
      </c>
      <c r="D3052" s="22" t="s">
        <v>4492</v>
      </c>
      <c r="E3052" s="22" t="s">
        <v>149</v>
      </c>
      <c r="F3052" s="23" t="str">
        <f>HYPERLINK("https://www.spark-marketing.ru/Card/Lot/72763978", "0095/19/4.5/0057390/ТГУхта/ПР/ГОС/Э/13.08.2019 Поставка КИПиА для ООО ""Газпром трансгаз Ухта"" (ТОЛЬКО СМСП)")</f>
        <v>0095/19/4.5/0057390/ТГУхта/ПР/ГОС/Э/13.08.2019 Поставка КИПиА для ООО "Газпром трансгаз Ухта" (ТОЛЬКО СМСП)</v>
      </c>
      <c r="G3052" s="22" t="s">
        <v>538</v>
      </c>
      <c r="H3052" s="22" t="s">
        <v>4493</v>
      </c>
      <c r="I3052" s="26">
        <v>43690</v>
      </c>
      <c r="J3052" s="23" t="str">
        <f>HYPERLINK("https://www.spark-marketing.ru/Card/Person/-1", "неизвестно")</f>
        <v>неизвестно</v>
      </c>
      <c r="K3052" s="28" t="s">
        <v>52</v>
      </c>
      <c r="L3052" s="22" t="s">
        <v>10</v>
      </c>
      <c r="M3052" s="25">
        <v>55717000</v>
      </c>
      <c r="N3052" s="27">
        <v>9.879831314508283E-6</v>
      </c>
    </row>
    <row r="3053" spans="1:14" x14ac:dyDescent="0.15">
      <c r="A3053" s="23" t="str">
        <f>HYPERLINK("https://www.spark-marketing.ru/Card/Person/4526169", "ООО ""АГРОТОРГ""")</f>
        <v>ООО "АГРОТОРГ"</v>
      </c>
      <c r="B3053" s="24" t="s">
        <v>4488</v>
      </c>
      <c r="C3053" s="25">
        <v>0</v>
      </c>
      <c r="D3053" s="22" t="s">
        <v>4489</v>
      </c>
      <c r="E3053" s="22" t="s">
        <v>491</v>
      </c>
      <c r="F3053" s="23" t="str">
        <f>HYPERLINK("https://www.spark-marketing.ru/Card/Lot/72761846", "МКР ""Северо-Запад""")</f>
        <v>МКР "Северо-Запад"</v>
      </c>
      <c r="G3053" s="22" t="s">
        <v>89</v>
      </c>
      <c r="H3053" s="22" t="s">
        <v>89</v>
      </c>
      <c r="I3053" s="26">
        <v>43690.530185185198</v>
      </c>
      <c r="J3053" s="28" t="s">
        <v>52</v>
      </c>
      <c r="K3053" s="28" t="s">
        <v>52</v>
      </c>
      <c r="L3053" s="28" t="s">
        <v>52</v>
      </c>
      <c r="M3053" s="28" t="s">
        <v>52</v>
      </c>
      <c r="N3053" s="28" t="s">
        <v>52</v>
      </c>
    </row>
    <row r="3054" spans="1:14" x14ac:dyDescent="0.15">
      <c r="A3054" s="23" t="str">
        <f>HYPERLINK("https://www.spark-marketing.ru/Card/Person/1761636", "ООО ""РОСТЕЛЕКОМ - РОЗНИЧНЫЕ СИСТЕМЫ""")</f>
        <v>ООО "РОСТЕЛЕКОМ - РОЗНИЧНЫЕ СИСТЕМЫ"</v>
      </c>
      <c r="B3054" s="24" t="s">
        <v>4494</v>
      </c>
      <c r="C3054" s="25">
        <v>9565454.8599999994</v>
      </c>
      <c r="D3054" s="22" t="s">
        <v>4495</v>
      </c>
      <c r="E3054" s="22" t="s">
        <v>137</v>
      </c>
      <c r="F3054" s="23" t="str">
        <f>HYPERLINK("https://www.spark-marketing.ru/Card/Lot/72755423", "Техническое обслуживание системы видеонаблюдения")</f>
        <v>Техническое обслуживание системы видеонаблюдения</v>
      </c>
      <c r="G3054" s="22" t="s">
        <v>55</v>
      </c>
      <c r="H3054" s="22" t="s">
        <v>55</v>
      </c>
      <c r="I3054" s="26">
        <v>43690</v>
      </c>
      <c r="J3054" s="28" t="s">
        <v>52</v>
      </c>
      <c r="K3054" s="28" t="s">
        <v>52</v>
      </c>
      <c r="L3054" s="28" t="s">
        <v>52</v>
      </c>
      <c r="M3054" s="28" t="s">
        <v>52</v>
      </c>
      <c r="N3054" s="28" t="s">
        <v>52</v>
      </c>
    </row>
    <row r="3055" spans="1:14" x14ac:dyDescent="0.15">
      <c r="A3055" s="23" t="str">
        <f>HYPERLINK("https://www.spark-marketing.ru/Card/Person/4526169", "ООО ""АГРОТОРГ""")</f>
        <v>ООО "АГРОТОРГ"</v>
      </c>
      <c r="B3055" s="24" t="s">
        <v>4488</v>
      </c>
      <c r="C3055" s="25">
        <v>0</v>
      </c>
      <c r="D3055" s="22" t="s">
        <v>4489</v>
      </c>
      <c r="E3055" s="22" t="s">
        <v>491</v>
      </c>
      <c r="F3055" s="23" t="str">
        <f>HYPERLINK("https://www.spark-marketing.ru/Card/Lot/72761848", "МКР ""Урал""")</f>
        <v>МКР "Урал"</v>
      </c>
      <c r="G3055" s="22" t="s">
        <v>89</v>
      </c>
      <c r="H3055" s="22" t="s">
        <v>89</v>
      </c>
      <c r="I3055" s="26">
        <v>43690.530185185198</v>
      </c>
      <c r="J3055" s="28" t="s">
        <v>52</v>
      </c>
      <c r="K3055" s="28" t="s">
        <v>52</v>
      </c>
      <c r="L3055" s="28" t="s">
        <v>52</v>
      </c>
      <c r="M3055" s="28" t="s">
        <v>52</v>
      </c>
      <c r="N3055" s="28" t="s">
        <v>52</v>
      </c>
    </row>
    <row r="3056" spans="1:14" x14ac:dyDescent="0.2">
      <c r="A3056" s="23" t="str">
        <f>HYPERLINK("https://www.spark-marketing.ru/Card/Person/666553", "ФГП ВО ЖДТ РОССИИ")</f>
        <v>ФГП ВО ЖДТ РОССИИ</v>
      </c>
      <c r="B3056" s="24" t="s">
        <v>1269</v>
      </c>
      <c r="C3056" s="25">
        <v>294304.59999999998</v>
      </c>
      <c r="D3056" s="22" t="s">
        <v>4496</v>
      </c>
      <c r="E3056" s="22" t="s">
        <v>4497</v>
      </c>
      <c r="F3056" s="23" t="str">
        <f>HYPERLINK("https://www.spark-marketing.ru/Card/Lot/72763476", "Оказание услуг по предоставлению неисключительных прав на использование информационно-справочной системы для кадровых работников структурных подразделений федерального государственного предприятия «Ведомственная охрана железнодорожного транспорта Рос...")</f>
        <v>Оказание услуг по предоставлению неисключительных прав на использование информационно-справочной системы для кадровых работников структурных подразделений федерального государственного предприятия «Ведомственная охрана железнодорожного транспорта Рос...</v>
      </c>
      <c r="G3056" s="22" t="s">
        <v>55</v>
      </c>
      <c r="H3056" s="22" t="s">
        <v>55</v>
      </c>
      <c r="I3056" s="26">
        <v>43690</v>
      </c>
      <c r="J3056" s="28" t="s">
        <v>52</v>
      </c>
      <c r="K3056" s="28" t="s">
        <v>52</v>
      </c>
      <c r="L3056" s="22" t="s">
        <v>10</v>
      </c>
      <c r="M3056" s="25">
        <v>0</v>
      </c>
      <c r="N3056" s="27">
        <v>1</v>
      </c>
    </row>
    <row r="3057" spans="1:14" x14ac:dyDescent="0.2">
      <c r="A3057" s="23" t="str">
        <f>HYPERLINK("https://www.spark-marketing.ru/Card/Person/149972", "МАДОУ ""ДЕТСКИЙ САД ОБЩЕРАЗВИВАЮЩЕГО ВИДА №82"" НМР РТ")</f>
        <v>МАДОУ "ДЕТСКИЙ САД ОБЩЕРАЗВИВАЮЩЕГО ВИДА №82" НМР РТ</v>
      </c>
      <c r="B3057" s="24" t="s">
        <v>4498</v>
      </c>
      <c r="C3057" s="25">
        <v>6800</v>
      </c>
      <c r="D3057" s="22" t="s">
        <v>4499</v>
      </c>
      <c r="E3057" s="22" t="s">
        <v>53</v>
      </c>
      <c r="F3057" s="23" t="str">
        <f>HYPERLINK("https://www.spark-marketing.ru/Card/Lot/73779437", "Техническое обслуживание системы видеонаблюдения")</f>
        <v>Техническое обслуживание системы видеонаблюдения</v>
      </c>
      <c r="G3057" s="22" t="s">
        <v>204</v>
      </c>
      <c r="H3057" s="22" t="s">
        <v>824</v>
      </c>
      <c r="I3057" s="26">
        <v>43690.568055555603</v>
      </c>
      <c r="J3057" s="28" t="s">
        <v>52</v>
      </c>
      <c r="K3057" s="28" t="s">
        <v>52</v>
      </c>
      <c r="L3057" s="28" t="s">
        <v>52</v>
      </c>
      <c r="M3057" s="25">
        <v>2750</v>
      </c>
      <c r="N3057" s="27">
        <v>0.59558823529411764</v>
      </c>
    </row>
    <row r="3058" spans="1:14" x14ac:dyDescent="0.15">
      <c r="A3058" s="23" t="str">
        <f>HYPERLINK("https://www.spark-marketing.ru/Card/Person/4526169", "ООО ""АГРОТОРГ""")</f>
        <v>ООО "АГРОТОРГ"</v>
      </c>
      <c r="B3058" s="24" t="s">
        <v>4488</v>
      </c>
      <c r="C3058" s="25">
        <v>0</v>
      </c>
      <c r="D3058" s="22" t="s">
        <v>4489</v>
      </c>
      <c r="E3058" s="22" t="s">
        <v>491</v>
      </c>
      <c r="F3058" s="23" t="str">
        <f>HYPERLINK("https://www.spark-marketing.ru/Card/Lot/72761787", "МКР ""Волга""")</f>
        <v>МКР "Волга"</v>
      </c>
      <c r="G3058" s="22" t="s">
        <v>89</v>
      </c>
      <c r="H3058" s="22" t="s">
        <v>89</v>
      </c>
      <c r="I3058" s="26">
        <v>43690.530185185198</v>
      </c>
      <c r="J3058" s="28" t="s">
        <v>52</v>
      </c>
      <c r="K3058" s="28" t="s">
        <v>52</v>
      </c>
      <c r="L3058" s="28" t="s">
        <v>52</v>
      </c>
      <c r="M3058" s="28" t="s">
        <v>52</v>
      </c>
      <c r="N3058" s="28" t="s">
        <v>52</v>
      </c>
    </row>
    <row r="3059" spans="1:14" x14ac:dyDescent="0.15">
      <c r="A3059" s="23" t="str">
        <f>HYPERLINK("https://www.spark-marketing.ru/Card/Person/1763553", "МАДОУ ЦРР Д/С №71")</f>
        <v>МАДОУ ЦРР Д/С №71</v>
      </c>
      <c r="B3059" s="24" t="s">
        <v>4500</v>
      </c>
      <c r="C3059" s="25">
        <v>170950</v>
      </c>
      <c r="D3059" s="22" t="s">
        <v>4501</v>
      </c>
      <c r="E3059" s="22" t="s">
        <v>2204</v>
      </c>
      <c r="F3059" s="23" t="str">
        <f>HYPERLINK("https://www.spark-marketing.ru/Card/Lot/73064916", "Приобретение и установка системы видеонаблюдения")</f>
        <v>Приобретение и установка системы видеонаблюдения</v>
      </c>
      <c r="G3059" s="22" t="s">
        <v>247</v>
      </c>
      <c r="H3059" s="22" t="s">
        <v>247</v>
      </c>
      <c r="I3059" s="26">
        <v>43704</v>
      </c>
      <c r="J3059" s="28" t="s">
        <v>52</v>
      </c>
      <c r="K3059" s="28" t="s">
        <v>52</v>
      </c>
      <c r="L3059" s="28" t="s">
        <v>52</v>
      </c>
      <c r="M3059" s="28" t="s">
        <v>52</v>
      </c>
      <c r="N3059" s="28" t="s">
        <v>52</v>
      </c>
    </row>
    <row r="3060" spans="1:14" x14ac:dyDescent="0.15">
      <c r="A3060" s="23" t="str">
        <f>HYPERLINK("https://www.spark-marketing.ru/Card/Person/4904055", "МАУ ""ОСК Г.ЛОБНЯ""")</f>
        <v>МАУ "ОСК Г.ЛОБНЯ"</v>
      </c>
      <c r="B3060" s="24" t="s">
        <v>4502</v>
      </c>
      <c r="C3060" s="25">
        <v>42000</v>
      </c>
      <c r="D3060" s="22" t="s">
        <v>4503</v>
      </c>
      <c r="E3060" s="22" t="s">
        <v>370</v>
      </c>
      <c r="F3060" s="23" t="str">
        <f>HYPERLINK("https://www.spark-marketing.ru/Card/Lot/72762522", "Тревожная кнопка")</f>
        <v>Тревожная кнопка</v>
      </c>
      <c r="G3060" s="22" t="s">
        <v>50</v>
      </c>
      <c r="H3060" s="22" t="s">
        <v>2307</v>
      </c>
      <c r="I3060" s="26">
        <v>43690</v>
      </c>
      <c r="J3060" s="28" t="s">
        <v>52</v>
      </c>
      <c r="K3060" s="28" t="s">
        <v>52</v>
      </c>
      <c r="L3060" s="28" t="s">
        <v>52</v>
      </c>
      <c r="M3060" s="28" t="s">
        <v>52</v>
      </c>
      <c r="N3060" s="28" t="s">
        <v>52</v>
      </c>
    </row>
    <row r="3061" spans="1:14" x14ac:dyDescent="0.15">
      <c r="A3061" s="23" t="str">
        <f>HYPERLINK("https://www.spark-marketing.ru/Card/Person/4526169", "ООО ""АГРОТОРГ""")</f>
        <v>ООО "АГРОТОРГ"</v>
      </c>
      <c r="B3061" s="24" t="s">
        <v>4488</v>
      </c>
      <c r="C3061" s="25">
        <v>0</v>
      </c>
      <c r="D3061" s="22" t="s">
        <v>4489</v>
      </c>
      <c r="E3061" s="22" t="s">
        <v>491</v>
      </c>
      <c r="F3061" s="23" t="str">
        <f>HYPERLINK("https://www.spark-marketing.ru/Card/Lot/72761845", "МКР ""Москва""")</f>
        <v>МКР "Москва"</v>
      </c>
      <c r="G3061" s="22" t="s">
        <v>89</v>
      </c>
      <c r="H3061" s="22" t="s">
        <v>89</v>
      </c>
      <c r="I3061" s="26">
        <v>43690.530185185198</v>
      </c>
      <c r="J3061" s="28" t="s">
        <v>52</v>
      </c>
      <c r="K3061" s="28" t="s">
        <v>52</v>
      </c>
      <c r="L3061" s="28" t="s">
        <v>52</v>
      </c>
      <c r="M3061" s="28" t="s">
        <v>52</v>
      </c>
      <c r="N3061" s="28" t="s">
        <v>52</v>
      </c>
    </row>
    <row r="3062" spans="1:14" x14ac:dyDescent="0.2">
      <c r="A3062" s="23" t="str">
        <f>HYPERLINK("https://www.spark-marketing.ru/Card/Person/82131", "ООО ""КРАСКОМ""")</f>
        <v>ООО "КРАСКОМ"</v>
      </c>
      <c r="B3062" s="24" t="s">
        <v>4504</v>
      </c>
      <c r="C3062" s="25">
        <v>13857638.4</v>
      </c>
      <c r="D3062" s="22" t="s">
        <v>4505</v>
      </c>
      <c r="E3062" s="22" t="s">
        <v>144</v>
      </c>
      <c r="F3062" s="23" t="str">
        <f>HYPERLINK("https://www.spark-marketing.ru/Card/Lot/72747114", "Оказание услуг по военизированной государственной охране объектов")</f>
        <v>Оказание услуг по военизированной государственной охране объектов</v>
      </c>
      <c r="G3062" s="22" t="s">
        <v>640</v>
      </c>
      <c r="H3062" s="22" t="s">
        <v>1524</v>
      </c>
      <c r="I3062" s="26">
        <v>43690</v>
      </c>
      <c r="J3062" s="28" t="s">
        <v>52</v>
      </c>
      <c r="K3062" s="28" t="s">
        <v>52</v>
      </c>
      <c r="L3062" s="22" t="s">
        <v>10</v>
      </c>
      <c r="M3062" s="25">
        <v>13835713.539999999</v>
      </c>
      <c r="N3062" s="27">
        <v>1.5821498127704069E-3</v>
      </c>
    </row>
    <row r="3063" spans="1:14" x14ac:dyDescent="0.15">
      <c r="A3063" s="23" t="str">
        <f>HYPERLINK("https://www.spark-marketing.ru/Card/Person/4346781", "ПАО ""МСЗ""")</f>
        <v>ПАО "МСЗ"</v>
      </c>
      <c r="B3063" s="24" t="s">
        <v>744</v>
      </c>
      <c r="C3063" s="28" t="s">
        <v>52</v>
      </c>
      <c r="D3063" s="22" t="s">
        <v>4506</v>
      </c>
      <c r="E3063" s="22" t="s">
        <v>53</v>
      </c>
      <c r="F3063" s="23" t="str">
        <f>HYPERLINK("https://www.spark-marketing.ru/Card/Lot/72766609", "Услуги по не вооруженной охране имущества, принадлежащего Заказчику, находящегося в г. Электросталь Московской области по адресу ул.Лесная, д.4 (1319138)")</f>
        <v>Услуги по не вооруженной охране имущества, принадлежащего Заказчику, находящегося в г. Электросталь Московской области по адресу ул.Лесная, д.4 (1319138)</v>
      </c>
      <c r="G3063" s="22" t="s">
        <v>50</v>
      </c>
      <c r="H3063" s="22" t="s">
        <v>747</v>
      </c>
      <c r="I3063" s="26">
        <v>43690.574236111097</v>
      </c>
      <c r="J3063" s="28" t="s">
        <v>52</v>
      </c>
      <c r="K3063" s="28" t="s">
        <v>52</v>
      </c>
      <c r="L3063" s="28" t="s">
        <v>52</v>
      </c>
      <c r="M3063" s="28" t="s">
        <v>52</v>
      </c>
      <c r="N3063" s="28" t="s">
        <v>52</v>
      </c>
    </row>
    <row r="3064" spans="1:14" x14ac:dyDescent="0.2">
      <c r="A3064" s="23" t="str">
        <f>HYPERLINK("https://www.spark-marketing.ru/Card/Person/148555", "МБДОУ ""ДЕТСКИЙ САД ОБЩЕРАЗВИВАЮЩЕГО ВИДА №31"" НМР РТ")</f>
        <v>МБДОУ "ДЕТСКИЙ САД ОБЩЕРАЗВИВАЮЩЕГО ВИДА №31" НМР РТ</v>
      </c>
      <c r="B3064" s="24" t="s">
        <v>4507</v>
      </c>
      <c r="C3064" s="25">
        <v>5000</v>
      </c>
      <c r="D3064" s="22" t="s">
        <v>4508</v>
      </c>
      <c r="E3064" s="22" t="s">
        <v>53</v>
      </c>
      <c r="F3064" s="23" t="str">
        <f>HYPERLINK("https://www.spark-marketing.ru/Card/Lot/73779441", "Техническое обслуживание системы видеонаблюдения")</f>
        <v>Техническое обслуживание системы видеонаблюдения</v>
      </c>
      <c r="G3064" s="22" t="s">
        <v>204</v>
      </c>
      <c r="H3064" s="22" t="s">
        <v>824</v>
      </c>
      <c r="I3064" s="26">
        <v>43690.644444444399</v>
      </c>
      <c r="J3064" s="28" t="s">
        <v>52</v>
      </c>
      <c r="K3064" s="28" t="s">
        <v>52</v>
      </c>
      <c r="L3064" s="28" t="s">
        <v>52</v>
      </c>
      <c r="M3064" s="25">
        <v>2200</v>
      </c>
      <c r="N3064" s="27">
        <v>0.56000000000000005</v>
      </c>
    </row>
    <row r="3065" spans="1:14" x14ac:dyDescent="0.15">
      <c r="A3065" s="23" t="str">
        <f>HYPERLINK("https://www.spark-marketing.ru/Card/Person/4348562", "АО ""АТОМТЕХЭНЕРГО""")</f>
        <v>АО "АТОМТЕХЭНЕРГО"</v>
      </c>
      <c r="B3065" s="24" t="s">
        <v>4449</v>
      </c>
      <c r="C3065" s="28" t="s">
        <v>52</v>
      </c>
      <c r="D3065" s="22" t="s">
        <v>4509</v>
      </c>
      <c r="E3065" s="22" t="s">
        <v>53</v>
      </c>
      <c r="F3065" s="23" t="str">
        <f>HYPERLINK("https://www.spark-marketing.ru/Card/Lot/72766188", "Оказание услуг по физической и пультовой охране объектов Балаковского филиала «Балаковоатомтехэнерго» АО «Атомтехэнерго» (стройбазы № 128 и № 129) и прилегающей территории (1319205)")</f>
        <v>Оказание услуг по физической и пультовой охране объектов Балаковского филиала «Балаковоатомтехэнерго» АО «Атомтехэнерго» (стройбазы № 128 и № 129) и прилегающей территории (1319205)</v>
      </c>
      <c r="G3065" s="22" t="s">
        <v>55</v>
      </c>
      <c r="H3065" s="22" t="s">
        <v>55</v>
      </c>
      <c r="I3065" s="26">
        <v>43690.6016087963</v>
      </c>
      <c r="J3065" s="28" t="s">
        <v>52</v>
      </c>
      <c r="K3065" s="28" t="s">
        <v>52</v>
      </c>
      <c r="L3065" s="28" t="s">
        <v>52</v>
      </c>
      <c r="M3065" s="28" t="s">
        <v>52</v>
      </c>
      <c r="N3065" s="28" t="s">
        <v>52</v>
      </c>
    </row>
    <row r="3066" spans="1:14" x14ac:dyDescent="0.15">
      <c r="A3066" s="23" t="str">
        <f>HYPERLINK("https://www.spark-marketing.ru/Card/Person/4365841", "ООО ""ГАЗПРОМ ДОБЫЧА УРЕНГОЙ""")</f>
        <v>ООО "ГАЗПРОМ ДОБЫЧА УРЕНГОЙ"</v>
      </c>
      <c r="B3066" s="24" t="s">
        <v>4510</v>
      </c>
      <c r="C3066" s="25">
        <v>1389697.04</v>
      </c>
      <c r="D3066" s="22" t="s">
        <v>4511</v>
      </c>
      <c r="E3066" s="22" t="s">
        <v>4512</v>
      </c>
      <c r="F3066" s="23" t="str">
        <f>HYPERLINK("https://www.spark-marketing.ru/Card/Lot/72766932", "Поставка шкафов силовых распределительных систем охраны для объектов ООО ""Газпром добыча Уренгой""")</f>
        <v>Поставка шкафов силовых распределительных систем охраны для объектов ООО "Газпром добыча Уренгой"</v>
      </c>
      <c r="G3066" s="22" t="s">
        <v>311</v>
      </c>
      <c r="H3066" s="22" t="s">
        <v>4513</v>
      </c>
      <c r="I3066" s="26">
        <v>43690</v>
      </c>
      <c r="J3066" s="28" t="s">
        <v>52</v>
      </c>
      <c r="K3066" s="28" t="s">
        <v>52</v>
      </c>
      <c r="L3066" s="28" t="s">
        <v>52</v>
      </c>
      <c r="M3066" s="28" t="s">
        <v>52</v>
      </c>
      <c r="N3066" s="28" t="s">
        <v>52</v>
      </c>
    </row>
    <row r="3067" spans="1:14" x14ac:dyDescent="0.15">
      <c r="A3067" s="23" t="str">
        <f>HYPERLINK("https://www.spark-marketing.ru/Card/Person/377266", "ОТДЕЛ МВД РОССИИ ПО ТАРАСОВСКОМУ РАЙОНУ")</f>
        <v>ОТДЕЛ МВД РОССИИ ПО ТАРАСОВСКОМУ РАЙОНУ</v>
      </c>
      <c r="B3067" s="24" t="s">
        <v>4514</v>
      </c>
      <c r="C3067" s="25">
        <v>36600</v>
      </c>
      <c r="D3067" s="22" t="s">
        <v>4515</v>
      </c>
      <c r="E3067" s="22" t="s">
        <v>53</v>
      </c>
      <c r="F3067" s="23" t="str">
        <f>HYPERLINK("https://www.spark-marketing.ru/Card/Lot/72742431", "Услуги по техническому обслуживанию систем охранной сигнализации")</f>
        <v>Услуги по техническому обслуживанию систем охранной сигнализации</v>
      </c>
      <c r="G3067" s="22" t="s">
        <v>402</v>
      </c>
      <c r="H3067" s="22" t="s">
        <v>4516</v>
      </c>
      <c r="I3067" s="26">
        <v>43689.786585648202</v>
      </c>
      <c r="J3067" s="28" t="s">
        <v>52</v>
      </c>
      <c r="K3067" s="28" t="s">
        <v>52</v>
      </c>
      <c r="L3067" s="28" t="s">
        <v>52</v>
      </c>
      <c r="M3067" s="28" t="s">
        <v>52</v>
      </c>
      <c r="N3067" s="28" t="s">
        <v>52</v>
      </c>
    </row>
    <row r="3068" spans="1:14" x14ac:dyDescent="0.15">
      <c r="A3068" s="23" t="str">
        <f>HYPERLINK("https://www.spark-marketing.ru/Card/Person/812467", "ИЖЕВСКИЙ ЛО МВД РОССИИ НА ТРАНСПОРТЕ")</f>
        <v>ИЖЕВСКИЙ ЛО МВД РОССИИ НА ТРАНСПОРТЕ</v>
      </c>
      <c r="B3068" s="24" t="s">
        <v>4517</v>
      </c>
      <c r="C3068" s="25">
        <v>15000</v>
      </c>
      <c r="D3068" s="22" t="s">
        <v>4518</v>
      </c>
      <c r="E3068" s="22" t="s">
        <v>103</v>
      </c>
      <c r="F3068" s="23" t="str">
        <f>HYPERLINK("https://www.spark-marketing.ru/Card/Lot/72742429", "Обслуживание систем видеонаблюдения, 1 усл. ед")</f>
        <v>Обслуживание систем видеонаблюдения, 1 усл. ед</v>
      </c>
      <c r="G3068" s="22" t="s">
        <v>96</v>
      </c>
      <c r="H3068" s="22" t="s">
        <v>1342</v>
      </c>
      <c r="I3068" s="26">
        <v>43689.785266203697</v>
      </c>
      <c r="J3068" s="28" t="s">
        <v>52</v>
      </c>
      <c r="K3068" s="28" t="s">
        <v>52</v>
      </c>
      <c r="L3068" s="28" t="s">
        <v>52</v>
      </c>
      <c r="M3068" s="28" t="s">
        <v>52</v>
      </c>
      <c r="N3068" s="28" t="s">
        <v>52</v>
      </c>
    </row>
    <row r="3069" spans="1:14" x14ac:dyDescent="0.15">
      <c r="A3069" s="23" t="str">
        <f>HYPERLINK("https://www.spark-marketing.ru/Card/Person/1035215", "МО МВД РОССИИ ""НЕВЕЛЬСКИЙ""")</f>
        <v>МО МВД РОССИИ "НЕВЕЛЬСКИЙ"</v>
      </c>
      <c r="B3069" s="24" t="s">
        <v>4519</v>
      </c>
      <c r="C3069" s="25">
        <v>4896</v>
      </c>
      <c r="D3069" s="22" t="s">
        <v>4520</v>
      </c>
      <c r="E3069" s="22" t="s">
        <v>53</v>
      </c>
      <c r="F3069" s="23" t="str">
        <f>HYPERLINK("https://www.spark-marketing.ru/Card/Lot/72740583", "пультовая охрана, 1 усл. ед")</f>
        <v>пультовая охрана, 1 усл. ед</v>
      </c>
      <c r="G3069" s="22" t="s">
        <v>142</v>
      </c>
      <c r="H3069" s="22" t="s">
        <v>4521</v>
      </c>
      <c r="I3069" s="26">
        <v>43689.746215277803</v>
      </c>
      <c r="J3069" s="28" t="s">
        <v>52</v>
      </c>
      <c r="K3069" s="28" t="s">
        <v>52</v>
      </c>
      <c r="L3069" s="28" t="s">
        <v>52</v>
      </c>
      <c r="M3069" s="28" t="s">
        <v>52</v>
      </c>
      <c r="N3069" s="28" t="s">
        <v>52</v>
      </c>
    </row>
    <row r="3070" spans="1:14" x14ac:dyDescent="0.15">
      <c r="A3070" s="23" t="str">
        <f>HYPERLINK("https://www.spark-marketing.ru/Card/Person/1035215", "МО МВД РОССИИ ""НЕВЕЛЬСКИЙ""")</f>
        <v>МО МВД РОССИИ "НЕВЕЛЬСКИЙ"</v>
      </c>
      <c r="B3070" s="24" t="s">
        <v>4519</v>
      </c>
      <c r="C3070" s="25">
        <v>4896</v>
      </c>
      <c r="D3070" s="22" t="s">
        <v>4522</v>
      </c>
      <c r="E3070" s="22" t="s">
        <v>53</v>
      </c>
      <c r="F3070" s="23" t="str">
        <f>HYPERLINK("https://www.spark-marketing.ru/Card/Lot/72740589", "пультовая охрана, 1 усл. ед")</f>
        <v>пультовая охрана, 1 усл. ед</v>
      </c>
      <c r="G3070" s="22" t="s">
        <v>142</v>
      </c>
      <c r="H3070" s="22" t="s">
        <v>4521</v>
      </c>
      <c r="I3070" s="26">
        <v>43689.748344907399</v>
      </c>
      <c r="J3070" s="28" t="s">
        <v>52</v>
      </c>
      <c r="K3070" s="28" t="s">
        <v>52</v>
      </c>
      <c r="L3070" s="28" t="s">
        <v>52</v>
      </c>
      <c r="M3070" s="28" t="s">
        <v>52</v>
      </c>
      <c r="N3070" s="28" t="s">
        <v>52</v>
      </c>
    </row>
    <row r="3071" spans="1:14" x14ac:dyDescent="0.15">
      <c r="A3071" s="23" t="str">
        <f>HYPERLINK("https://www.spark-marketing.ru/Card/Person/90812", "МБДОУ Д/С № 9")</f>
        <v>МБДОУ Д/С № 9</v>
      </c>
      <c r="B3071" s="24" t="s">
        <v>4523</v>
      </c>
      <c r="C3071" s="25">
        <v>42000</v>
      </c>
      <c r="D3071" s="22" t="s">
        <v>4524</v>
      </c>
      <c r="E3071" s="22" t="s">
        <v>84</v>
      </c>
      <c r="F3071" s="23" t="str">
        <f>HYPERLINK("https://www.spark-marketing.ru/Card/Lot/72734973", "Выполнение работ по установке, монтажу и замене систем охранного видеонаблюдения")</f>
        <v>Выполнение работ по установке, монтажу и замене систем охранного видеонаблюдения</v>
      </c>
      <c r="G3071" s="22" t="s">
        <v>50</v>
      </c>
      <c r="H3071" s="22" t="s">
        <v>51</v>
      </c>
      <c r="I3071" s="26">
        <v>43689.628136574102</v>
      </c>
      <c r="J3071" s="28" t="s">
        <v>52</v>
      </c>
      <c r="K3071" s="28" t="s">
        <v>52</v>
      </c>
      <c r="L3071" s="28" t="s">
        <v>52</v>
      </c>
      <c r="M3071" s="28" t="s">
        <v>52</v>
      </c>
      <c r="N3071" s="28" t="s">
        <v>52</v>
      </c>
    </row>
    <row r="3072" spans="1:14" x14ac:dyDescent="0.15">
      <c r="A3072" s="23" t="str">
        <f>HYPERLINK("https://www.spark-marketing.ru/Card/Person/31017", "ФГКУ ""РОСЛЕСРЕСУРС""")</f>
        <v>ФГКУ "РОСЛЕСРЕСУРС"</v>
      </c>
      <c r="B3072" s="24" t="s">
        <v>4525</v>
      </c>
      <c r="C3072" s="25">
        <v>5000</v>
      </c>
      <c r="D3072" s="22" t="s">
        <v>4526</v>
      </c>
      <c r="E3072" s="22" t="s">
        <v>53</v>
      </c>
      <c r="F3072" s="23" t="str">
        <f>HYPERLINK("https://www.spark-marketing.ru/Card/Lot/72736031", "Техническое обслуживание системы видеонаблюдения")</f>
        <v>Техническое обслуживание системы видеонаблюдения</v>
      </c>
      <c r="G3072" s="22" t="s">
        <v>55</v>
      </c>
      <c r="H3072" s="22" t="s">
        <v>55</v>
      </c>
      <c r="I3072" s="26">
        <v>43689.646423611099</v>
      </c>
      <c r="J3072" s="28" t="s">
        <v>52</v>
      </c>
      <c r="K3072" s="28" t="s">
        <v>52</v>
      </c>
      <c r="L3072" s="28" t="s">
        <v>52</v>
      </c>
      <c r="M3072" s="28" t="s">
        <v>52</v>
      </c>
      <c r="N3072" s="28" t="s">
        <v>52</v>
      </c>
    </row>
    <row r="3073" spans="1:14" x14ac:dyDescent="0.15">
      <c r="A3073" s="23" t="str">
        <f>HYPERLINK("https://www.spark-marketing.ru/Card/Person/60794", "ГБДОУ ДЕТСКИЙ САД № 31 ПРИМОРСКОГО РАЙОНА САНКТ-ПЕТЕРБУРГА")</f>
        <v>ГБДОУ ДЕТСКИЙ САД № 31 ПРИМОРСКОГО РАЙОНА САНКТ-ПЕТЕРБУРГА</v>
      </c>
      <c r="B3073" s="24" t="s">
        <v>4527</v>
      </c>
      <c r="C3073" s="25">
        <v>285520</v>
      </c>
      <c r="D3073" s="22" t="s">
        <v>4528</v>
      </c>
      <c r="E3073" s="22" t="s">
        <v>52</v>
      </c>
      <c r="F3073" s="23" t="str">
        <f>HYPERLINK("https://www.spark-marketing.ru/Card/Lot/72739032", "Услуги по физической охране объекта ГБДОУ детского сада №31 Приморского района Санкт-Петербурга в 2019 году")</f>
        <v>Услуги по физической охране объекта ГБДОУ детского сада №31 Приморского района Санкт-Петербурга в 2019 году</v>
      </c>
      <c r="G3073" s="22" t="s">
        <v>89</v>
      </c>
      <c r="H3073" s="22" t="s">
        <v>89</v>
      </c>
      <c r="I3073" s="26">
        <v>43689.614374999997</v>
      </c>
      <c r="J3073" s="28" t="s">
        <v>52</v>
      </c>
      <c r="K3073" s="28" t="s">
        <v>52</v>
      </c>
      <c r="L3073" s="28" t="s">
        <v>52</v>
      </c>
      <c r="M3073" s="28" t="s">
        <v>52</v>
      </c>
      <c r="N3073" s="28" t="s">
        <v>52</v>
      </c>
    </row>
    <row r="3074" spans="1:14" ht="12.75" hidden="1" outlineLevel="1" x14ac:dyDescent="0.2">
      <c r="A3074" s="23" t="str">
        <f>HYPERLINK("https://www.spark-marketing.ru/Card/Person/60794", "ГБДОУ ДЕТСКИЙ САД № 31 ПРИМОРСКОГО РАЙОНА САНКТ-ПЕТЕРБУРГА")</f>
        <v>ГБДОУ ДЕТСКИЙ САД № 31 ПРИМОРСКОГО РАЙОНА САНКТ-ПЕТЕРБУРГА</v>
      </c>
      <c r="B3074" s="24" t="s">
        <v>4527</v>
      </c>
      <c r="C3074" s="25">
        <v>285520</v>
      </c>
      <c r="D3074" s="22" t="s">
        <v>4528</v>
      </c>
      <c r="E3074" s="22" t="s">
        <v>52</v>
      </c>
      <c r="F3074" s="23" t="str">
        <f>HYPERLINK("https://www.spark-marketing.ru/Card/Lot/72739032", "Услуги по физической охране объекта ГБДОУ детского сада №31 Приморского района Санкт-Петербурга в 2019 году")</f>
        <v>Услуги по физической охране объекта ГБДОУ детского сада №31 Приморского района Санкт-Петербурга в 2019 году</v>
      </c>
      <c r="G3074" s="22" t="s">
        <v>89</v>
      </c>
      <c r="H3074" s="22" t="s">
        <v>89</v>
      </c>
      <c r="I3074" s="26">
        <v>43689.614374999997</v>
      </c>
      <c r="J3074" s="23" t="str">
        <f>HYPERLINK("https://www.spark-marketing.ru/Card/Person/1957699", "ООО ""ОП ""ТРАНС-СЕКЬЮРИТИ""""")</f>
        <v>ООО "ОП "ТРАНС-СЕКЬЮРИТИ""</v>
      </c>
      <c r="K3074" s="24" t="s">
        <v>4138</v>
      </c>
      <c r="L3074" s="22" t="s">
        <v>10</v>
      </c>
      <c r="M3074" s="25">
        <v>209857.2</v>
      </c>
      <c r="N3074" s="27">
        <v>0.26500000000000001</v>
      </c>
    </row>
    <row r="3075" spans="1:14" hidden="1" outlineLevel="1" x14ac:dyDescent="0.2">
      <c r="A3075" s="23" t="str">
        <f>HYPERLINK("https://www.spark-marketing.ru/Card/Person/60794", "ГБДОУ ДЕТСКИЙ САД № 31 ПРИМОРСКОГО РАЙОНА САНКТ-ПЕТЕРБУРГА")</f>
        <v>ГБДОУ ДЕТСКИЙ САД № 31 ПРИМОРСКОГО РАЙОНА САНКТ-ПЕТЕРБУРГА</v>
      </c>
      <c r="B3075" s="24" t="s">
        <v>4527</v>
      </c>
      <c r="C3075" s="25">
        <v>285520</v>
      </c>
      <c r="D3075" s="22" t="s">
        <v>4528</v>
      </c>
      <c r="E3075" s="22" t="s">
        <v>52</v>
      </c>
      <c r="F3075" s="23" t="str">
        <f>HYPERLINK("https://www.spark-marketing.ru/Card/Lot/72739032", "Услуги по физической охране объекта ГБДОУ детского сада №31 Приморского района Санкт-Петербурга в 2019 году")</f>
        <v>Услуги по физической охране объекта ГБДОУ детского сада №31 Приморского района Санкт-Петербурга в 2019 году</v>
      </c>
      <c r="G3075" s="22" t="s">
        <v>89</v>
      </c>
      <c r="H3075" s="22" t="s">
        <v>89</v>
      </c>
      <c r="I3075" s="26">
        <v>43689.614374999997</v>
      </c>
      <c r="J3075" s="23" t="str">
        <f>HYPERLINK("https://www.spark-marketing.ru/Card/Person/900354", "ООО ""ОП ""СТРИЖ""")</f>
        <v>ООО "ОП "СТРИЖ"</v>
      </c>
      <c r="K3075" s="24" t="s">
        <v>4529</v>
      </c>
      <c r="L3075" s="28" t="s">
        <v>52</v>
      </c>
      <c r="M3075" s="25">
        <v>259823.2</v>
      </c>
      <c r="N3075" s="27">
        <v>0.09</v>
      </c>
    </row>
    <row r="3076" spans="1:14" hidden="1" outlineLevel="1" x14ac:dyDescent="0.2">
      <c r="A3076" s="23" t="str">
        <f>HYPERLINK("https://www.spark-marketing.ru/Card/Person/60794", "ГБДОУ ДЕТСКИЙ САД № 31 ПРИМОРСКОГО РАЙОНА САНКТ-ПЕТЕРБУРГА")</f>
        <v>ГБДОУ ДЕТСКИЙ САД № 31 ПРИМОРСКОГО РАЙОНА САНКТ-ПЕТЕРБУРГА</v>
      </c>
      <c r="B3076" s="24" t="s">
        <v>4527</v>
      </c>
      <c r="C3076" s="25">
        <v>285520</v>
      </c>
      <c r="D3076" s="22" t="s">
        <v>4528</v>
      </c>
      <c r="E3076" s="22" t="s">
        <v>52</v>
      </c>
      <c r="F3076" s="23" t="str">
        <f>HYPERLINK("https://www.spark-marketing.ru/Card/Lot/72739032", "Услуги по физической охране объекта ГБДОУ детского сада №31 Приморского района Санкт-Петербурга в 2019 году")</f>
        <v>Услуги по физической охране объекта ГБДОУ детского сада №31 Приморского района Санкт-Петербурга в 2019 году</v>
      </c>
      <c r="G3076" s="22" t="s">
        <v>89</v>
      </c>
      <c r="H3076" s="22" t="s">
        <v>89</v>
      </c>
      <c r="I3076" s="26">
        <v>43689.614374999997</v>
      </c>
      <c r="J3076" s="23" t="str">
        <f>HYPERLINK("https://www.spark-marketing.ru/Card/Person/135806", "ООО ""ОП ""РАДОН""")</f>
        <v>ООО "ОП "РАДОН"</v>
      </c>
      <c r="K3076" s="24" t="s">
        <v>4139</v>
      </c>
      <c r="L3076" s="28" t="s">
        <v>52</v>
      </c>
      <c r="M3076" s="25">
        <v>227000</v>
      </c>
      <c r="N3076" s="27">
        <v>0.20495937237321379</v>
      </c>
    </row>
    <row r="3077" spans="1:14" hidden="1" outlineLevel="1" x14ac:dyDescent="0.2">
      <c r="A3077" s="23" t="str">
        <f>HYPERLINK("https://www.spark-marketing.ru/Card/Person/60794", "ГБДОУ ДЕТСКИЙ САД № 31 ПРИМОРСКОГО РАЙОНА САНКТ-ПЕТЕРБУРГА")</f>
        <v>ГБДОУ ДЕТСКИЙ САД № 31 ПРИМОРСКОГО РАЙОНА САНКТ-ПЕТЕРБУРГА</v>
      </c>
      <c r="B3077" s="24" t="s">
        <v>4527</v>
      </c>
      <c r="C3077" s="25">
        <v>285520</v>
      </c>
      <c r="D3077" s="22" t="s">
        <v>4528</v>
      </c>
      <c r="E3077" s="22" t="s">
        <v>52</v>
      </c>
      <c r="F3077" s="23" t="str">
        <f>HYPERLINK("https://www.spark-marketing.ru/Card/Lot/72739032", "Услуги по физической охране объекта ГБДОУ детского сада №31 Приморского района Санкт-Петербурга в 2019 году")</f>
        <v>Услуги по физической охране объекта ГБДОУ детского сада №31 Приморского района Санкт-Петербурга в 2019 году</v>
      </c>
      <c r="G3077" s="22" t="s">
        <v>89</v>
      </c>
      <c r="H3077" s="22" t="s">
        <v>89</v>
      </c>
      <c r="I3077" s="26">
        <v>43689.614374999997</v>
      </c>
      <c r="J3077" s="23" t="str">
        <f>HYPERLINK("https://www.spark-marketing.ru/Card/Person/123130", "ООО ""ЧОП ""СЗАОПО-С""")</f>
        <v>ООО "ЧОП "СЗАОПО-С"</v>
      </c>
      <c r="K3077" s="24" t="s">
        <v>4290</v>
      </c>
      <c r="L3077" s="28" t="s">
        <v>52</v>
      </c>
      <c r="M3077" s="25">
        <v>211284.8</v>
      </c>
      <c r="N3077" s="27">
        <v>0.26</v>
      </c>
    </row>
    <row r="3078" spans="1:14" x14ac:dyDescent="0.15">
      <c r="A3078" s="23" t="str">
        <f>HYPERLINK("https://www.spark-marketing.ru/Card/Person/25588", "ГБУЗ ДС № 42 ДЗМ")</f>
        <v>ГБУЗ ДС № 42 ДЗМ</v>
      </c>
      <c r="B3078" s="24" t="s">
        <v>4530</v>
      </c>
      <c r="C3078" s="25">
        <v>883046.95</v>
      </c>
      <c r="D3078" s="22" t="s">
        <v>4531</v>
      </c>
      <c r="E3078" s="22" t="s">
        <v>349</v>
      </c>
      <c r="F3078" s="23" t="str">
        <f>HYPERLINK("https://www.spark-marketing.ru/Card/Lot/72730494", "Аукцион в электронной форме среди субъектов малого предпринимательства, социально ориентированных некоммерческих организаций на право заключения контракта на оказание услуг по техническому обслуживанию системы видеонаблюдения в Государственном бюджет...")</f>
        <v>Аукцион в электронной форме среди субъектов малого предпринимательства, социально ориентированных некоммерческих организаций на право заключения контракта на оказание услуг по техническому обслуживанию системы видеонаблюдения в Государственном бюджет...</v>
      </c>
      <c r="G3078" s="22" t="s">
        <v>55</v>
      </c>
      <c r="H3078" s="22" t="s">
        <v>55</v>
      </c>
      <c r="I3078" s="26">
        <v>43689.500532407401</v>
      </c>
      <c r="J3078" s="28" t="s">
        <v>52</v>
      </c>
      <c r="K3078" s="28" t="s">
        <v>52</v>
      </c>
      <c r="L3078" s="28" t="s">
        <v>52</v>
      </c>
      <c r="M3078" s="28" t="s">
        <v>52</v>
      </c>
      <c r="N3078" s="28" t="s">
        <v>52</v>
      </c>
    </row>
    <row r="3079" spans="1:14" x14ac:dyDescent="0.15">
      <c r="A3079" s="23" t="str">
        <f>HYPERLINK("https://www.spark-marketing.ru/Card/Person/12134", "ФКУ ""ЦХИСО ГУ МВД РОССИИ ПО КРАСНОЯРСКОМУ КРАЮ""")</f>
        <v>ФКУ "ЦХИСО ГУ МВД РОССИИ ПО КРАСНОЯРСКОМУ КРАЮ"</v>
      </c>
      <c r="B3079" s="24" t="s">
        <v>1522</v>
      </c>
      <c r="C3079" s="25">
        <v>3850</v>
      </c>
      <c r="D3079" s="22" t="s">
        <v>4532</v>
      </c>
      <c r="E3079" s="22" t="s">
        <v>53</v>
      </c>
      <c r="F3079" s="23" t="str">
        <f>HYPERLINK("https://www.spark-marketing.ru/Card/Lot/72730024", "Оказание услуг найма жилого помещения, связанных с размещением и организацией проживания сотрудников органов внутренних дел Российской Федерации, направленных в служебную командировку для обеспечения охраны общественного порядка в период подготовки и...")</f>
        <v>Оказание услуг найма жилого помещения, связанных с размещением и организацией проживания сотрудников органов внутренних дел Российской Федерации, направленных в служебную командировку для обеспечения охраны общественного порядка в период подготовки и...</v>
      </c>
      <c r="G3079" s="22" t="s">
        <v>640</v>
      </c>
      <c r="H3079" s="22" t="s">
        <v>1524</v>
      </c>
      <c r="I3079" s="26">
        <v>43689.511400463001</v>
      </c>
      <c r="J3079" s="28" t="s">
        <v>52</v>
      </c>
      <c r="K3079" s="28" t="s">
        <v>52</v>
      </c>
      <c r="L3079" s="28" t="s">
        <v>52</v>
      </c>
      <c r="M3079" s="28" t="s">
        <v>52</v>
      </c>
      <c r="N3079" s="28" t="s">
        <v>52</v>
      </c>
    </row>
    <row r="3080" spans="1:14" x14ac:dyDescent="0.15">
      <c r="A3080" s="23" t="str">
        <f>HYPERLINK("https://www.spark-marketing.ru/Card/Person/1029801", "ГБОУ ШКОЛА № 583 ПРИМОРСКОГО РАЙОНА САНКТ-ПЕТЕРБУРГА")</f>
        <v>ГБОУ ШКОЛА № 583 ПРИМОРСКОГО РАЙОНА САНКТ-ПЕТЕРБУРГА</v>
      </c>
      <c r="B3080" s="24" t="s">
        <v>4533</v>
      </c>
      <c r="C3080" s="25">
        <v>370800</v>
      </c>
      <c r="D3080" s="22" t="s">
        <v>4534</v>
      </c>
      <c r="E3080" s="22" t="s">
        <v>52</v>
      </c>
      <c r="F3080" s="23" t="str">
        <f>HYPERLINK("https://www.spark-marketing.ru/Card/Lot/72734400", "Оказание услуг по обеспечению ежедневной Пн-Сб (за исключением выходных и праздничных дней) 12-и часовой физической охраны ГБОУ школа №583 Приморского района Санкт-Петербурга и прилегающей территории с 01.09.2019г. по 31.12.2019 г.")</f>
        <v>Оказание услуг по обеспечению ежедневной Пн-Сб (за исключением выходных и праздничных дней) 12-и часовой физической охраны ГБОУ школа №583 Приморского района Санкт-Петербурга и прилегающей территории с 01.09.2019г. по 31.12.2019 г.</v>
      </c>
      <c r="G3080" s="22" t="s">
        <v>89</v>
      </c>
      <c r="H3080" s="22" t="s">
        <v>89</v>
      </c>
      <c r="I3080" s="26">
        <v>43689.5175115741</v>
      </c>
      <c r="J3080" s="28" t="s">
        <v>52</v>
      </c>
      <c r="K3080" s="28" t="s">
        <v>52</v>
      </c>
      <c r="L3080" s="28" t="s">
        <v>52</v>
      </c>
      <c r="M3080" s="28" t="s">
        <v>52</v>
      </c>
      <c r="N3080" s="28" t="s">
        <v>52</v>
      </c>
    </row>
    <row r="3081" spans="1:14" hidden="1" outlineLevel="1" x14ac:dyDescent="0.2">
      <c r="A3081" s="23" t="str">
        <f>HYPERLINK("https://www.spark-marketing.ru/Card/Person/1029801", "ГБОУ ШКОЛА № 583 ПРИМОРСКОГО РАЙОНА САНКТ-ПЕТЕРБУРГА")</f>
        <v>ГБОУ ШКОЛА № 583 ПРИМОРСКОГО РАЙОНА САНКТ-ПЕТЕРБУРГА</v>
      </c>
      <c r="B3081" s="24" t="s">
        <v>4533</v>
      </c>
      <c r="C3081" s="25">
        <v>370800</v>
      </c>
      <c r="D3081" s="22" t="s">
        <v>4534</v>
      </c>
      <c r="E3081" s="22" t="s">
        <v>52</v>
      </c>
      <c r="F3081" s="23" t="str">
        <f>HYPERLINK("https://www.spark-marketing.ru/Card/Lot/72734400", "Оказание услуг по обеспечению ежедневной Пн-Сб (за исключением выходных и праздничных дней) 12-и часовой физической охраны ГБОУ школа №583 Приморского района Санкт-Петербурга и прилегающей территории с 01.09.2019г. по 31.12.2019 г.")</f>
        <v>Оказание услуг по обеспечению ежедневной Пн-Сб (за исключением выходных и праздничных дней) 12-и часовой физической охраны ГБОУ школа №583 Приморского района Санкт-Петербурга и прилегающей территории с 01.09.2019г. по 31.12.2019 г.</v>
      </c>
      <c r="G3081" s="22" t="s">
        <v>89</v>
      </c>
      <c r="H3081" s="22" t="s">
        <v>89</v>
      </c>
      <c r="I3081" s="26">
        <v>43689.5175115741</v>
      </c>
      <c r="J3081" s="23" t="str">
        <f>HYPERLINK("https://www.spark-marketing.ru/Card/Person/1957699", "ООО ""ОП ""ТРАНС-СЕКЬЮРИТИ""""")</f>
        <v>ООО "ОП "ТРАНС-СЕКЬЮРИТИ""</v>
      </c>
      <c r="K3081" s="24" t="s">
        <v>4138</v>
      </c>
      <c r="L3081" s="28" t="s">
        <v>52</v>
      </c>
      <c r="M3081" s="25">
        <v>253997.2</v>
      </c>
      <c r="N3081" s="27">
        <v>0.31500215749730315</v>
      </c>
    </row>
    <row r="3082" spans="1:14" ht="12.75" hidden="1" outlineLevel="1" x14ac:dyDescent="0.2">
      <c r="A3082" s="23" t="str">
        <f>HYPERLINK("https://www.spark-marketing.ru/Card/Person/1029801", "ГБОУ ШКОЛА № 583 ПРИМОРСКОГО РАЙОНА САНКТ-ПЕТЕРБУРГА")</f>
        <v>ГБОУ ШКОЛА № 583 ПРИМОРСКОГО РАЙОНА САНКТ-ПЕТЕРБУРГА</v>
      </c>
      <c r="B3082" s="24" t="s">
        <v>4533</v>
      </c>
      <c r="C3082" s="25">
        <v>370800</v>
      </c>
      <c r="D3082" s="22" t="s">
        <v>4534</v>
      </c>
      <c r="E3082" s="22" t="s">
        <v>52</v>
      </c>
      <c r="F3082" s="23" t="str">
        <f>HYPERLINK("https://www.spark-marketing.ru/Card/Lot/72734400", "Оказание услуг по обеспечению ежедневной Пн-Сб (за исключением выходных и праздничных дней) 12-и часовой физической охраны ГБОУ школа №583 Приморского района Санкт-Петербурга и прилегающей территории с 01.09.2019г. по 31.12.2019 г.")</f>
        <v>Оказание услуг по обеспечению ежедневной Пн-Сб (за исключением выходных и праздничных дней) 12-и часовой физической охраны ГБОУ школа №583 Приморского района Санкт-Петербурга и прилегающей территории с 01.09.2019г. по 31.12.2019 г.</v>
      </c>
      <c r="G3082" s="22" t="s">
        <v>89</v>
      </c>
      <c r="H3082" s="22" t="s">
        <v>89</v>
      </c>
      <c r="I3082" s="26">
        <v>43689.5175115741</v>
      </c>
      <c r="J3082" s="23" t="str">
        <f>HYPERLINK("https://www.spark-marketing.ru/Card/Person/64705", "ООО ""ОО ""РУССКАЯ БАЛТИКА""")</f>
        <v>ООО "ОО "РУССКАЯ БАЛТИКА"</v>
      </c>
      <c r="K3082" s="24" t="s">
        <v>4291</v>
      </c>
      <c r="L3082" s="22" t="s">
        <v>10</v>
      </c>
      <c r="M3082" s="25">
        <v>252143.2</v>
      </c>
      <c r="N3082" s="27">
        <v>0.32000215749730315</v>
      </c>
    </row>
    <row r="3083" spans="1:14" hidden="1" outlineLevel="1" x14ac:dyDescent="0.2">
      <c r="A3083" s="23" t="str">
        <f>HYPERLINK("https://www.spark-marketing.ru/Card/Person/1029801", "ГБОУ ШКОЛА № 583 ПРИМОРСКОГО РАЙОНА САНКТ-ПЕТЕРБУРГА")</f>
        <v>ГБОУ ШКОЛА № 583 ПРИМОРСКОГО РАЙОНА САНКТ-ПЕТЕРБУРГА</v>
      </c>
      <c r="B3083" s="24" t="s">
        <v>4533</v>
      </c>
      <c r="C3083" s="25">
        <v>370800</v>
      </c>
      <c r="D3083" s="22" t="s">
        <v>4534</v>
      </c>
      <c r="E3083" s="22" t="s">
        <v>52</v>
      </c>
      <c r="F3083" s="23" t="str">
        <f>HYPERLINK("https://www.spark-marketing.ru/Card/Lot/72734400", "Оказание услуг по обеспечению ежедневной Пн-Сб (за исключением выходных и праздничных дней) 12-и часовой физической охраны ГБОУ школа №583 Приморского района Санкт-Петербурга и прилегающей территории с 01.09.2019г. по 31.12.2019 г.")</f>
        <v>Оказание услуг по обеспечению ежедневной Пн-Сб (за исключением выходных и праздничных дней) 12-и часовой физической охраны ГБОУ школа №583 Приморского района Санкт-Петербурга и прилегающей территории с 01.09.2019г. по 31.12.2019 г.</v>
      </c>
      <c r="G3083" s="22" t="s">
        <v>89</v>
      </c>
      <c r="H3083" s="22" t="s">
        <v>89</v>
      </c>
      <c r="I3083" s="26">
        <v>43689.5175115741</v>
      </c>
      <c r="J3083" s="23" t="str">
        <f>HYPERLINK("https://www.spark-marketing.ru/Card/Person/135806", "ООО ""ОП ""РАДОН""")</f>
        <v>ООО "ОП "РАДОН"</v>
      </c>
      <c r="K3083" s="24" t="s">
        <v>4139</v>
      </c>
      <c r="L3083" s="28" t="s">
        <v>52</v>
      </c>
      <c r="M3083" s="25">
        <v>271920</v>
      </c>
      <c r="N3083" s="27">
        <v>0.26666666666666666</v>
      </c>
    </row>
    <row r="3084" spans="1:14" hidden="1" outlineLevel="1" x14ac:dyDescent="0.2">
      <c r="A3084" s="23" t="str">
        <f>HYPERLINK("https://www.spark-marketing.ru/Card/Person/1029801", "ГБОУ ШКОЛА № 583 ПРИМОРСКОГО РАЙОНА САНКТ-ПЕТЕРБУРГА")</f>
        <v>ГБОУ ШКОЛА № 583 ПРИМОРСКОГО РАЙОНА САНКТ-ПЕТЕРБУРГА</v>
      </c>
      <c r="B3084" s="24" t="s">
        <v>4533</v>
      </c>
      <c r="C3084" s="25">
        <v>370800</v>
      </c>
      <c r="D3084" s="22" t="s">
        <v>4534</v>
      </c>
      <c r="E3084" s="22" t="s">
        <v>52</v>
      </c>
      <c r="F3084" s="23" t="str">
        <f>HYPERLINK("https://www.spark-marketing.ru/Card/Lot/72734400", "Оказание услуг по обеспечению ежедневной Пн-Сб (за исключением выходных и праздничных дней) 12-и часовой физической охраны ГБОУ школа №583 Приморского района Санкт-Петербурга и прилегающей территории с 01.09.2019г. по 31.12.2019 г.")</f>
        <v>Оказание услуг по обеспечению ежедневной Пн-Сб (за исключением выходных и праздничных дней) 12-и часовой физической охраны ГБОУ школа №583 Приморского района Санкт-Петербурга и прилегающей территории с 01.09.2019г. по 31.12.2019 г.</v>
      </c>
      <c r="G3084" s="22" t="s">
        <v>89</v>
      </c>
      <c r="H3084" s="22" t="s">
        <v>89</v>
      </c>
      <c r="I3084" s="26">
        <v>43689.5175115741</v>
      </c>
      <c r="J3084" s="23" t="str">
        <f>HYPERLINK("https://www.spark-marketing.ru/Card/Person/123130", "ООО ""ЧОП ""СЗАОПО-С""")</f>
        <v>ООО "ЧОП "СЗАОПО-С"</v>
      </c>
      <c r="K3084" s="24" t="s">
        <v>4290</v>
      </c>
      <c r="L3084" s="28" t="s">
        <v>52</v>
      </c>
      <c r="M3084" s="25">
        <v>270683.2</v>
      </c>
      <c r="N3084" s="27">
        <v>0.27000215749730311</v>
      </c>
    </row>
    <row r="3085" spans="1:14" x14ac:dyDescent="0.15">
      <c r="A3085" s="23" t="str">
        <f>HYPERLINK("https://www.spark-marketing.ru/Card/Person/32193", "АДМИНИСТРАЦИЯ ГОРОДСКОГО ОКРУГА ЩЁЛКОВО")</f>
        <v>АДМИНИСТРАЦИЯ ГОРОДСКОГО ОКРУГА ЩЁЛКОВО</v>
      </c>
      <c r="B3085" s="24" t="s">
        <v>4535</v>
      </c>
      <c r="C3085" s="25">
        <v>21600</v>
      </c>
      <c r="D3085" s="22" t="s">
        <v>4536</v>
      </c>
      <c r="E3085" s="22" t="s">
        <v>103</v>
      </c>
      <c r="F3085" s="23" t="str">
        <f>HYPERLINK("https://www.spark-marketing.ru/Card/Lot/72730749", "оказание услуг по техническому обслуживанию системы видеонаблюдения (Гребневский территориальный отдел)")</f>
        <v>оказание услуг по техническому обслуживанию системы видеонаблюдения (Гребневский территориальный отдел)</v>
      </c>
      <c r="G3085" s="22" t="s">
        <v>50</v>
      </c>
      <c r="H3085" s="22" t="s">
        <v>458</v>
      </c>
      <c r="I3085" s="26">
        <v>43689.523969907401</v>
      </c>
      <c r="J3085" s="28" t="s">
        <v>52</v>
      </c>
      <c r="K3085" s="28" t="s">
        <v>52</v>
      </c>
      <c r="L3085" s="28" t="s">
        <v>52</v>
      </c>
      <c r="M3085" s="28" t="s">
        <v>52</v>
      </c>
      <c r="N3085" s="28" t="s">
        <v>52</v>
      </c>
    </row>
    <row r="3086" spans="1:14" x14ac:dyDescent="0.15">
      <c r="A3086" s="23" t="str">
        <f>HYPERLINK("https://www.spark-marketing.ru/Card/Person/4349182", "МБУ ""МУНИЦИПАЛЬНЫЙ ЗАКАЗЧИК""")</f>
        <v>МБУ "МУНИЦИПАЛЬНЫЙ ЗАКАЗЧИК"</v>
      </c>
      <c r="B3086" s="24" t="s">
        <v>4537</v>
      </c>
      <c r="C3086" s="25">
        <v>1690000</v>
      </c>
      <c r="D3086" s="22" t="s">
        <v>4538</v>
      </c>
      <c r="E3086" s="22" t="s">
        <v>59</v>
      </c>
      <c r="F3086" s="23" t="str">
        <f>HYPERLINK("https://www.spark-marketing.ru/Card/Lot/72728409", "Установка автономных светофоров Т 7.1")</f>
        <v>Установка автономных светофоров Т 7.1</v>
      </c>
      <c r="G3086" s="22" t="s">
        <v>72</v>
      </c>
      <c r="H3086" s="22" t="s">
        <v>3825</v>
      </c>
      <c r="I3086" s="26">
        <v>43689.435370370396</v>
      </c>
      <c r="J3086" s="28" t="s">
        <v>52</v>
      </c>
      <c r="K3086" s="28" t="s">
        <v>52</v>
      </c>
      <c r="L3086" s="28" t="s">
        <v>52</v>
      </c>
      <c r="M3086" s="28" t="s">
        <v>52</v>
      </c>
      <c r="N3086" s="28" t="s">
        <v>52</v>
      </c>
    </row>
    <row r="3087" spans="1:14" hidden="1" outlineLevel="1" x14ac:dyDescent="0.2">
      <c r="A3087" s="23" t="str">
        <f>HYPERLINK("https://www.spark-marketing.ru/Card/Person/4349182", "МБУ ""МУНИЦИПАЛЬНЫЙ ЗАКАЗЧИК""")</f>
        <v>МБУ "МУНИЦИПАЛЬНЫЙ ЗАКАЗЧИК"</v>
      </c>
      <c r="B3087" s="24" t="s">
        <v>4537</v>
      </c>
      <c r="C3087" s="25">
        <v>1690000</v>
      </c>
      <c r="D3087" s="22" t="s">
        <v>4538</v>
      </c>
      <c r="E3087" s="22" t="s">
        <v>59</v>
      </c>
      <c r="F3087" s="23" t="str">
        <f>HYPERLINK("https://www.spark-marketing.ru/Card/Lot/72728409", "Установка автономных светофоров Т 7.1")</f>
        <v>Установка автономных светофоров Т 7.1</v>
      </c>
      <c r="G3087" s="22" t="s">
        <v>72</v>
      </c>
      <c r="H3087" s="22" t="s">
        <v>3825</v>
      </c>
      <c r="I3087" s="26">
        <v>43689.435370370396</v>
      </c>
      <c r="J3087" s="23" t="str">
        <f>HYPERLINK("https://www.spark-marketing.ru/Card/Person/6473909", "ООО ""УЛГ-СТРОЙ""")</f>
        <v>ООО "УЛГ-СТРОЙ"</v>
      </c>
      <c r="K3087" s="24" t="s">
        <v>4539</v>
      </c>
      <c r="L3087" s="28" t="s">
        <v>52</v>
      </c>
      <c r="M3087" s="25">
        <v>1613950</v>
      </c>
      <c r="N3087" s="27">
        <v>4.4999999999999998E-2</v>
      </c>
    </row>
    <row r="3088" spans="1:14" hidden="1" outlineLevel="1" x14ac:dyDescent="0.2">
      <c r="A3088" s="23" t="str">
        <f>HYPERLINK("https://www.spark-marketing.ru/Card/Person/4349182", "МБУ ""МУНИЦИПАЛЬНЫЙ ЗАКАЗЧИК""")</f>
        <v>МБУ "МУНИЦИПАЛЬНЫЙ ЗАКАЗЧИК"</v>
      </c>
      <c r="B3088" s="24" t="s">
        <v>4537</v>
      </c>
      <c r="C3088" s="25">
        <v>1690000</v>
      </c>
      <c r="D3088" s="22" t="s">
        <v>4538</v>
      </c>
      <c r="E3088" s="22" t="s">
        <v>59</v>
      </c>
      <c r="F3088" s="23" t="str">
        <f>HYPERLINK("https://www.spark-marketing.ru/Card/Lot/72728409", "Установка автономных светофоров Т 7.1")</f>
        <v>Установка автономных светофоров Т 7.1</v>
      </c>
      <c r="G3088" s="22" t="s">
        <v>72</v>
      </c>
      <c r="H3088" s="22" t="s">
        <v>3825</v>
      </c>
      <c r="I3088" s="26">
        <v>43689.435370370396</v>
      </c>
      <c r="J3088" s="23" t="str">
        <f>HYPERLINK("https://www.spark-marketing.ru/Card/Person/6380723", "ООО ""СИЛЕН""")</f>
        <v>ООО "СИЛЕН"</v>
      </c>
      <c r="K3088" s="24" t="s">
        <v>4540</v>
      </c>
      <c r="L3088" s="28" t="s">
        <v>52</v>
      </c>
      <c r="M3088" s="25">
        <v>1435000</v>
      </c>
      <c r="N3088" s="27">
        <v>0.15088757396449703</v>
      </c>
    </row>
    <row r="3089" spans="1:14" hidden="1" outlineLevel="1" x14ac:dyDescent="0.2">
      <c r="A3089" s="23" t="str">
        <f>HYPERLINK("https://www.spark-marketing.ru/Card/Person/4349182", "МБУ ""МУНИЦИПАЛЬНЫЙ ЗАКАЗЧИК""")</f>
        <v>МБУ "МУНИЦИПАЛЬНЫЙ ЗАКАЗЧИК"</v>
      </c>
      <c r="B3089" s="24" t="s">
        <v>4537</v>
      </c>
      <c r="C3089" s="25">
        <v>1690000</v>
      </c>
      <c r="D3089" s="22" t="s">
        <v>4538</v>
      </c>
      <c r="E3089" s="22" t="s">
        <v>59</v>
      </c>
      <c r="F3089" s="23" t="str">
        <f>HYPERLINK("https://www.spark-marketing.ru/Card/Lot/72728409", "Установка автономных светофоров Т 7.1")</f>
        <v>Установка автономных светофоров Т 7.1</v>
      </c>
      <c r="G3089" s="22" t="s">
        <v>72</v>
      </c>
      <c r="H3089" s="22" t="s">
        <v>3825</v>
      </c>
      <c r="I3089" s="26">
        <v>43689.435370370396</v>
      </c>
      <c r="J3089" s="23" t="str">
        <f>HYPERLINK("https://www.spark-marketing.ru/Card/Person/84481", "ООО ""СТРОЙЭНЕРГОКОМПЛЕКТ""")</f>
        <v>ООО "СТРОЙЭНЕРГОКОМПЛЕКТ"</v>
      </c>
      <c r="K3089" s="24" t="s">
        <v>4541</v>
      </c>
      <c r="L3089" s="28" t="s">
        <v>52</v>
      </c>
      <c r="M3089" s="25">
        <v>1005550</v>
      </c>
      <c r="N3089" s="27">
        <v>0.40500000000000003</v>
      </c>
    </row>
    <row r="3090" spans="1:14" ht="12.75" hidden="1" outlineLevel="1" x14ac:dyDescent="0.2">
      <c r="A3090" s="23" t="str">
        <f>HYPERLINK("https://www.spark-marketing.ru/Card/Person/4349182", "МБУ ""МУНИЦИПАЛЬНЫЙ ЗАКАЗЧИК""")</f>
        <v>МБУ "МУНИЦИПАЛЬНЫЙ ЗАКАЗЧИК"</v>
      </c>
      <c r="B3090" s="24" t="s">
        <v>4537</v>
      </c>
      <c r="C3090" s="25">
        <v>1690000</v>
      </c>
      <c r="D3090" s="22" t="s">
        <v>4538</v>
      </c>
      <c r="E3090" s="22" t="s">
        <v>59</v>
      </c>
      <c r="F3090" s="23" t="str">
        <f>HYPERLINK("https://www.spark-marketing.ru/Card/Lot/72728409", "Установка автономных светофоров Т 7.1")</f>
        <v>Установка автономных светофоров Т 7.1</v>
      </c>
      <c r="G3090" s="22" t="s">
        <v>72</v>
      </c>
      <c r="H3090" s="22" t="s">
        <v>3825</v>
      </c>
      <c r="I3090" s="26">
        <v>43689.435370370396</v>
      </c>
      <c r="J3090" s="23" t="str">
        <f>HYPERLINK("https://www.spark-marketing.ru/Card/Person/112662", "Астахов Алексей Сергеевич")</f>
        <v>Астахов Алексей Сергеевич</v>
      </c>
      <c r="K3090" s="24" t="s">
        <v>1349</v>
      </c>
      <c r="L3090" s="22" t="s">
        <v>10</v>
      </c>
      <c r="M3090" s="25">
        <v>997100</v>
      </c>
      <c r="N3090" s="27">
        <v>0.41</v>
      </c>
    </row>
    <row r="3091" spans="1:14" x14ac:dyDescent="0.15">
      <c r="A3091" s="23" t="str">
        <f>HYPERLINK("https://www.spark-marketing.ru/Card/Person/4392517", "ОТДЕЛЕНИЕ МВД РОССИИ ПО ТЮЛЯЧИНСКОМУ РАЙОНУ")</f>
        <v>ОТДЕЛЕНИЕ МВД РОССИИ ПО ТЮЛЯЧИНСКОМУ РАЙОНУ</v>
      </c>
      <c r="B3091" s="24" t="s">
        <v>4542</v>
      </c>
      <c r="C3091" s="25">
        <v>16311.12</v>
      </c>
      <c r="D3091" s="22" t="s">
        <v>4543</v>
      </c>
      <c r="E3091" s="22" t="s">
        <v>53</v>
      </c>
      <c r="F3091" s="23" t="str">
        <f>HYPERLINK("https://www.spark-marketing.ru/Card/Lot/72724033", "Оказание услуг по техническому обслуживание технических средств охраны")</f>
        <v>Оказание услуг по техническому обслуживание технических средств охраны</v>
      </c>
      <c r="G3091" s="22" t="s">
        <v>204</v>
      </c>
      <c r="H3091" s="22" t="s">
        <v>204</v>
      </c>
      <c r="I3091" s="26">
        <v>43689.3930555556</v>
      </c>
      <c r="J3091" s="28" t="s">
        <v>52</v>
      </c>
      <c r="K3091" s="28" t="s">
        <v>52</v>
      </c>
      <c r="L3091" s="28" t="s">
        <v>52</v>
      </c>
      <c r="M3091" s="28" t="s">
        <v>52</v>
      </c>
      <c r="N3091" s="28" t="s">
        <v>52</v>
      </c>
    </row>
    <row r="3092" spans="1:14" x14ac:dyDescent="0.15">
      <c r="A3092" s="23" t="str">
        <f>HYPERLINK("https://www.spark-marketing.ru/Card/Person/4852464", "ФГУП ""РФЯЦ - ВНИИЭФ""")</f>
        <v>ФГУП "РФЯЦ - ВНИИЭФ"</v>
      </c>
      <c r="B3092" s="24" t="s">
        <v>767</v>
      </c>
      <c r="C3092" s="28" t="s">
        <v>52</v>
      </c>
      <c r="D3092" s="22" t="s">
        <v>4544</v>
      </c>
      <c r="E3092" s="22" t="s">
        <v>234</v>
      </c>
      <c r="F3092" s="23" t="str">
        <f>HYPERLINK("https://www.spark-marketing.ru/Card/Lot/72936360", "Обслуживание технических систем видеонаблюдения")</f>
        <v>Обслуживание технических систем видеонаблюдения</v>
      </c>
      <c r="G3092" s="22" t="s">
        <v>64</v>
      </c>
      <c r="H3092" s="22" t="s">
        <v>769</v>
      </c>
      <c r="I3092" s="26">
        <v>43689.400046296301</v>
      </c>
      <c r="J3092" s="28" t="s">
        <v>52</v>
      </c>
      <c r="K3092" s="28" t="s">
        <v>52</v>
      </c>
      <c r="L3092" s="28" t="s">
        <v>52</v>
      </c>
      <c r="M3092" s="28" t="s">
        <v>52</v>
      </c>
      <c r="N3092" s="28" t="s">
        <v>52</v>
      </c>
    </row>
    <row r="3093" spans="1:14" x14ac:dyDescent="0.15">
      <c r="A3093" s="23" t="str">
        <f>HYPERLINK("https://www.spark-marketing.ru/Card/Person/9157", "ФКУ ""ЦХИСО ГУ МВД РОССИИ ПО СВЕРДЛОВСКОЙ ОБЛАСТИ""")</f>
        <v>ФКУ "ЦХИСО ГУ МВД РОССИИ ПО СВЕРДЛОВСКОЙ ОБЛАСТИ"</v>
      </c>
      <c r="B3093" s="24" t="s">
        <v>4545</v>
      </c>
      <c r="C3093" s="25">
        <v>855000</v>
      </c>
      <c r="D3093" s="22" t="s">
        <v>4546</v>
      </c>
      <c r="E3093" s="22" t="s">
        <v>208</v>
      </c>
      <c r="F3093" s="23" t="str">
        <f>HYPERLINK("https://www.spark-marketing.ru/Card/Lot/72722323", "Приобретение и установка автомобильных сигнализаций на служебный автотранспорт принадлежащий ФКУ «ЦХиСО ГУ МВД России по Свердловской области»")</f>
        <v>Приобретение и установка автомобильных сигнализаций на служебный автотранспорт принадлежащий ФКУ «ЦХиСО ГУ МВД России по Свердловской области»</v>
      </c>
      <c r="G3093" s="22" t="s">
        <v>72</v>
      </c>
      <c r="H3093" s="22" t="s">
        <v>72</v>
      </c>
      <c r="I3093" s="26">
        <v>43689.408287036997</v>
      </c>
      <c r="J3093" s="28" t="s">
        <v>52</v>
      </c>
      <c r="K3093" s="28" t="s">
        <v>52</v>
      </c>
      <c r="L3093" s="28" t="s">
        <v>52</v>
      </c>
      <c r="M3093" s="28" t="s">
        <v>52</v>
      </c>
      <c r="N3093" s="28" t="s">
        <v>52</v>
      </c>
    </row>
    <row r="3094" spans="1:14" ht="12.75" hidden="1" outlineLevel="1" x14ac:dyDescent="0.2">
      <c r="A3094" s="23" t="str">
        <f>HYPERLINK("https://www.spark-marketing.ru/Card/Person/9157", "ФКУ ""ЦХИСО ГУ МВД РОССИИ ПО СВЕРДЛОВСКОЙ ОБЛАСТИ""")</f>
        <v>ФКУ "ЦХИСО ГУ МВД РОССИИ ПО СВЕРДЛОВСКОЙ ОБЛАСТИ"</v>
      </c>
      <c r="B3094" s="24" t="s">
        <v>4545</v>
      </c>
      <c r="C3094" s="25">
        <v>855000</v>
      </c>
      <c r="D3094" s="22" t="s">
        <v>4546</v>
      </c>
      <c r="E3094" s="22" t="s">
        <v>208</v>
      </c>
      <c r="F3094" s="23" t="str">
        <f>HYPERLINK("https://www.spark-marketing.ru/Card/Lot/72722323", "Приобретение и установка автомобильных сигнализаций на служебный автотранспорт принадлежащий ФКУ «ЦХиСО ГУ МВД России по Свердловской области»")</f>
        <v>Приобретение и установка автомобильных сигнализаций на служебный автотранспорт принадлежащий ФКУ «ЦХиСО ГУ МВД России по Свердловской области»</v>
      </c>
      <c r="G3094" s="22" t="s">
        <v>72</v>
      </c>
      <c r="H3094" s="22" t="s">
        <v>72</v>
      </c>
      <c r="I3094" s="26">
        <v>43689.408287036997</v>
      </c>
      <c r="J3094" s="23" t="str">
        <f>HYPERLINK("https://www.spark-marketing.ru/Card/Person/676339", "ООО ""АВТОВЕК""")</f>
        <v>ООО "АВТОВЕК"</v>
      </c>
      <c r="K3094" s="24" t="s">
        <v>4547</v>
      </c>
      <c r="L3094" s="22" t="s">
        <v>10</v>
      </c>
      <c r="M3094" s="25">
        <v>692550</v>
      </c>
      <c r="N3094" s="27">
        <v>0.19</v>
      </c>
    </row>
    <row r="3095" spans="1:14" hidden="1" outlineLevel="1" x14ac:dyDescent="0.2">
      <c r="A3095" s="23" t="str">
        <f>HYPERLINK("https://www.spark-marketing.ru/Card/Person/9157", "ФКУ ""ЦХИСО ГУ МВД РОССИИ ПО СВЕРДЛОВСКОЙ ОБЛАСТИ""")</f>
        <v>ФКУ "ЦХИСО ГУ МВД РОССИИ ПО СВЕРДЛОВСКОЙ ОБЛАСТИ"</v>
      </c>
      <c r="B3095" s="24" t="s">
        <v>4545</v>
      </c>
      <c r="C3095" s="25">
        <v>855000</v>
      </c>
      <c r="D3095" s="22" t="s">
        <v>4546</v>
      </c>
      <c r="E3095" s="22" t="s">
        <v>208</v>
      </c>
      <c r="F3095" s="23" t="str">
        <f>HYPERLINK("https://www.spark-marketing.ru/Card/Lot/72722323", "Приобретение и установка автомобильных сигнализаций на служебный автотранспорт принадлежащий ФКУ «ЦХиСО ГУ МВД России по Свердловской области»")</f>
        <v>Приобретение и установка автомобильных сигнализаций на служебный автотранспорт принадлежащий ФКУ «ЦХиСО ГУ МВД России по Свердловской области»</v>
      </c>
      <c r="G3095" s="22" t="s">
        <v>72</v>
      </c>
      <c r="H3095" s="22" t="s">
        <v>72</v>
      </c>
      <c r="I3095" s="26">
        <v>43689.408287036997</v>
      </c>
      <c r="J3095" s="23" t="str">
        <f>HYPERLINK("https://www.spark-marketing.ru/Card/Person/6202649", "ООО ""КЛЕВЕР""")</f>
        <v>ООО "КЛЕВЕР"</v>
      </c>
      <c r="K3095" s="24" t="s">
        <v>4548</v>
      </c>
      <c r="L3095" s="28" t="s">
        <v>52</v>
      </c>
      <c r="M3095" s="25">
        <v>696825</v>
      </c>
      <c r="N3095" s="27">
        <v>0.185</v>
      </c>
    </row>
    <row r="3096" spans="1:14" x14ac:dyDescent="0.15">
      <c r="A3096" s="23" t="str">
        <f>HYPERLINK("https://www.spark-marketing.ru/Card/Person/4392517", "ОТДЕЛЕНИЕ МВД РОССИИ ПО ТЮЛЯЧИНСКОМУ РАЙОНУ")</f>
        <v>ОТДЕЛЕНИЕ МВД РОССИИ ПО ТЮЛЯЧИНСКОМУ РАЙОНУ</v>
      </c>
      <c r="B3096" s="24" t="s">
        <v>4542</v>
      </c>
      <c r="C3096" s="25">
        <v>16311.12</v>
      </c>
      <c r="D3096" s="22" t="s">
        <v>4549</v>
      </c>
      <c r="E3096" s="22" t="s">
        <v>53</v>
      </c>
      <c r="F3096" s="23" t="str">
        <f>HYPERLINK("https://www.spark-marketing.ru/Card/Lot/72723990", "Оказание услуг по техническому обслуживанию технических средств охраны")</f>
        <v>Оказание услуг по техническому обслуживанию технических средств охраны</v>
      </c>
      <c r="G3096" s="22" t="s">
        <v>204</v>
      </c>
      <c r="H3096" s="22" t="s">
        <v>204</v>
      </c>
      <c r="I3096" s="26">
        <v>43689.384571759299</v>
      </c>
      <c r="J3096" s="28" t="s">
        <v>52</v>
      </c>
      <c r="K3096" s="28" t="s">
        <v>52</v>
      </c>
      <c r="L3096" s="28" t="s">
        <v>52</v>
      </c>
      <c r="M3096" s="28" t="s">
        <v>52</v>
      </c>
      <c r="N3096" s="28" t="s">
        <v>52</v>
      </c>
    </row>
    <row r="3097" spans="1:14" x14ac:dyDescent="0.15">
      <c r="A3097" s="23" t="str">
        <f>HYPERLINK("https://www.spark-marketing.ru/Card/Person/1021641", "ОТДЕЛ МВД РОССИИ ПО КРАПИВИНСКОМУ РАЙОНУ")</f>
        <v>ОТДЕЛ МВД РОССИИ ПО КРАПИВИНСКОМУ РАЙОНУ</v>
      </c>
      <c r="B3097" s="24" t="s">
        <v>4464</v>
      </c>
      <c r="C3097" s="25">
        <v>19980</v>
      </c>
      <c r="D3097" s="22" t="s">
        <v>4550</v>
      </c>
      <c r="E3097" s="22" t="s">
        <v>84</v>
      </c>
      <c r="F3097" s="23" t="str">
        <f>HYPERLINK("https://www.spark-marketing.ru/Card/Lot/72724080", "Техническое обслуживание систем видеонаблюдения, 14 шт")</f>
        <v>Техническое обслуживание систем видеонаблюдения, 14 шт</v>
      </c>
      <c r="G3097" s="22" t="s">
        <v>367</v>
      </c>
      <c r="H3097" s="22" t="s">
        <v>4466</v>
      </c>
      <c r="I3097" s="26">
        <v>43689.413935185199</v>
      </c>
      <c r="J3097" s="28" t="s">
        <v>52</v>
      </c>
      <c r="K3097" s="28" t="s">
        <v>52</v>
      </c>
      <c r="L3097" s="28" t="s">
        <v>52</v>
      </c>
      <c r="M3097" s="28" t="s">
        <v>52</v>
      </c>
      <c r="N3097" s="28" t="s">
        <v>52</v>
      </c>
    </row>
    <row r="3098" spans="1:14" x14ac:dyDescent="0.15">
      <c r="A3098" s="23" t="str">
        <f>HYPERLINK("https://www.spark-marketing.ru/Card/Person/49121", "МОМВД РОССИИ ""АРСЕНЬЕВСКИЙ""")</f>
        <v>МОМВД РОССИИ "АРСЕНЬЕВСКИЙ"</v>
      </c>
      <c r="B3098" s="24" t="s">
        <v>4551</v>
      </c>
      <c r="C3098" s="25">
        <v>40404.18</v>
      </c>
      <c r="D3098" s="22" t="s">
        <v>4552</v>
      </c>
      <c r="E3098" s="22" t="s">
        <v>68</v>
      </c>
      <c r="F3098" s="23" t="str">
        <f>HYPERLINK("https://www.spark-marketing.ru/Card/Lot/72722504", "Централизованная охрана объектов, 2467 усл. ед")</f>
        <v>Централизованная охрана объектов, 2467 усл. ед</v>
      </c>
      <c r="G3098" s="22" t="s">
        <v>409</v>
      </c>
      <c r="H3098" s="22" t="s">
        <v>3740</v>
      </c>
      <c r="I3098" s="26">
        <v>43689.337986111103</v>
      </c>
      <c r="J3098" s="28" t="s">
        <v>52</v>
      </c>
      <c r="K3098" s="28" t="s">
        <v>52</v>
      </c>
      <c r="L3098" s="28" t="s">
        <v>52</v>
      </c>
      <c r="M3098" s="28" t="s">
        <v>52</v>
      </c>
      <c r="N3098" s="28" t="s">
        <v>52</v>
      </c>
    </row>
    <row r="3099" spans="1:14" x14ac:dyDescent="0.15">
      <c r="A3099" s="23" t="str">
        <f>HYPERLINK("https://www.spark-marketing.ru/Card/Person/6491966", "ООО СЕРВИСВ ВОСТОК")</f>
        <v>ООО СЕРВИСВ ВОСТОК</v>
      </c>
      <c r="B3099" s="28" t="s">
        <v>52</v>
      </c>
      <c r="C3099" s="25">
        <v>2930342.4</v>
      </c>
      <c r="D3099" s="22" t="s">
        <v>4553</v>
      </c>
      <c r="E3099" s="22" t="s">
        <v>53</v>
      </c>
      <c r="F3099" s="23" t="str">
        <f>HYPERLINK("https://www.spark-marketing.ru/Card/Lot/72722668", "Номер закупки 15-2019. Услуги охраны объектов ООО ""Сервис-Восток""")</f>
        <v>Номер закупки 15-2019. Услуги охраны объектов ООО "Сервис-Восток"</v>
      </c>
      <c r="G3099" s="22" t="s">
        <v>52</v>
      </c>
      <c r="H3099" s="22" t="s">
        <v>52</v>
      </c>
      <c r="I3099" s="26">
        <v>43689.327777777798</v>
      </c>
      <c r="J3099" s="28" t="s">
        <v>52</v>
      </c>
      <c r="K3099" s="28" t="s">
        <v>52</v>
      </c>
      <c r="L3099" s="28" t="s">
        <v>52</v>
      </c>
      <c r="M3099" s="28" t="s">
        <v>52</v>
      </c>
      <c r="N3099" s="28" t="s">
        <v>52</v>
      </c>
    </row>
    <row r="3100" spans="1:14" x14ac:dyDescent="0.15">
      <c r="A3100" s="23" t="str">
        <f>HYPERLINK("https://www.spark-marketing.ru/Card/Person/4348592", "ООО ""ГАЗПРОМ БУРЕНИЕ""")</f>
        <v>ООО "ГАЗПРОМ БУРЕНИЕ"</v>
      </c>
      <c r="B3100" s="24" t="s">
        <v>4554</v>
      </c>
      <c r="C3100" s="28" t="s">
        <v>52</v>
      </c>
      <c r="D3100" s="22" t="s">
        <v>4555</v>
      </c>
      <c r="E3100" s="22" t="s">
        <v>53</v>
      </c>
      <c r="F3100" s="23" t="str">
        <f>HYPERLINK("https://www.spark-marketing.ru/Card/Lot/72721120", "Сервисное обслуживание систем видеонаблюдения на объектах филиала «Иркутск бурение»")</f>
        <v>Сервисное обслуживание систем видеонаблюдения на объектах филиала «Иркутск бурение»</v>
      </c>
      <c r="G3100" s="22" t="s">
        <v>281</v>
      </c>
      <c r="H3100" s="22" t="s">
        <v>281</v>
      </c>
      <c r="I3100" s="26">
        <v>43689.214583333298</v>
      </c>
      <c r="J3100" s="28" t="s">
        <v>52</v>
      </c>
      <c r="K3100" s="28" t="s">
        <v>52</v>
      </c>
      <c r="L3100" s="28" t="s">
        <v>52</v>
      </c>
      <c r="M3100" s="28" t="s">
        <v>52</v>
      </c>
      <c r="N3100" s="28" t="s">
        <v>52</v>
      </c>
    </row>
    <row r="3101" spans="1:14" x14ac:dyDescent="0.15">
      <c r="A3101" s="23" t="str">
        <f>HYPERLINK("https://www.spark-marketing.ru/Card/Person/4348592", "ООО ""ГАЗПРОМ БУРЕНИЕ""")</f>
        <v>ООО "ГАЗПРОМ БУРЕНИЕ"</v>
      </c>
      <c r="B3101" s="24" t="s">
        <v>4554</v>
      </c>
      <c r="C3101" s="28" t="s">
        <v>52</v>
      </c>
      <c r="D3101" s="22" t="s">
        <v>4555</v>
      </c>
      <c r="E3101" s="22" t="s">
        <v>53</v>
      </c>
      <c r="F3101" s="23" t="str">
        <f>HYPERLINK("https://www.spark-marketing.ru/Card/Lot/72721119", "Установка системы видеонаблюдения на объектах филиала «Иркутск бурение»")</f>
        <v>Установка системы видеонаблюдения на объектах филиала «Иркутск бурение»</v>
      </c>
      <c r="G3101" s="22" t="s">
        <v>281</v>
      </c>
      <c r="H3101" s="22" t="s">
        <v>281</v>
      </c>
      <c r="I3101" s="26">
        <v>43689.214583333298</v>
      </c>
      <c r="J3101" s="28" t="s">
        <v>52</v>
      </c>
      <c r="K3101" s="28" t="s">
        <v>52</v>
      </c>
      <c r="L3101" s="28" t="s">
        <v>52</v>
      </c>
      <c r="M3101" s="28" t="s">
        <v>52</v>
      </c>
      <c r="N3101" s="28" t="s">
        <v>52</v>
      </c>
    </row>
    <row r="3102" spans="1:14" x14ac:dyDescent="0.15">
      <c r="A3102" s="23" t="str">
        <f>HYPERLINK("https://www.spark-marketing.ru/Card/Person/1692516", "ООО ""ЛОКОТЕХ-СЕРВИС""")</f>
        <v>ООО "ЛОКОТЕХ-СЕРВИС"</v>
      </c>
      <c r="B3102" s="24" t="s">
        <v>4556</v>
      </c>
      <c r="C3102" s="28" t="s">
        <v>52</v>
      </c>
      <c r="D3102" s="22" t="s">
        <v>4557</v>
      </c>
      <c r="E3102" s="22" t="s">
        <v>53</v>
      </c>
      <c r="F3102" s="23" t="str">
        <f>HYPERLINK("https://www.spark-marketing.ru/Card/Lot/72734600", "Открытый запрос предложений на право заключения договора оказания услуг по ежеквартальному техническому обслуживанию установленных на объектах Заказчика систем охранного телевидения и охранной сигнализации (id393198)")</f>
        <v>Открытый запрос предложений на право заключения договора оказания услуг по ежеквартальному техническому обслуживанию установленных на объектах Заказчика систем охранного телевидения и охранной сигнализации (id393198)</v>
      </c>
      <c r="G3102" s="22" t="s">
        <v>55</v>
      </c>
      <c r="H3102" s="22" t="s">
        <v>55</v>
      </c>
      <c r="I3102" s="26">
        <v>43689</v>
      </c>
      <c r="J3102" s="28" t="s">
        <v>52</v>
      </c>
      <c r="K3102" s="28" t="s">
        <v>52</v>
      </c>
      <c r="L3102" s="28" t="s">
        <v>52</v>
      </c>
      <c r="M3102" s="28" t="s">
        <v>52</v>
      </c>
      <c r="N3102" s="28" t="s">
        <v>52</v>
      </c>
    </row>
    <row r="3103" spans="1:14" x14ac:dyDescent="0.2">
      <c r="A3103" s="23" t="str">
        <f>HYPERLINK("https://www.spark-marketing.ru/Card/Person/54978", "ОБЛАСТНОЙ НАРКОДИСПАНСЕР")</f>
        <v>ОБЛАСТНОЙ НАРКОДИСПАНСЕР</v>
      </c>
      <c r="B3103" s="24" t="s">
        <v>4558</v>
      </c>
      <c r="C3103" s="25">
        <v>131802</v>
      </c>
      <c r="D3103" s="22" t="s">
        <v>4559</v>
      </c>
      <c r="E3103" s="22" t="s">
        <v>49</v>
      </c>
      <c r="F3103" s="23" t="str">
        <f>HYPERLINK("https://www.spark-marketing.ru/Card/Lot/72735738", "Оказание услуг по установке охранно-тревожной сигнализации")</f>
        <v>Оказание услуг по установке охранно-тревожной сигнализации</v>
      </c>
      <c r="G3103" s="22" t="s">
        <v>247</v>
      </c>
      <c r="H3103" s="22" t="s">
        <v>247</v>
      </c>
      <c r="I3103" s="26">
        <v>43689</v>
      </c>
      <c r="J3103" s="28" t="s">
        <v>52</v>
      </c>
      <c r="K3103" s="28" t="s">
        <v>52</v>
      </c>
      <c r="L3103" s="22" t="s">
        <v>10</v>
      </c>
      <c r="M3103" s="25">
        <v>131000</v>
      </c>
      <c r="N3103" s="27">
        <v>6.0848849031122443E-3</v>
      </c>
    </row>
    <row r="3104" spans="1:14" x14ac:dyDescent="0.2">
      <c r="A3104" s="23" t="str">
        <f>HYPERLINK("https://www.spark-marketing.ru/Card/Person/53405", "ВГУЮ (РПА МИНЮСТА РОССИИ)")</f>
        <v>ВГУЮ (РПА МИНЮСТА РОССИИ)</v>
      </c>
      <c r="B3104" s="24" t="s">
        <v>4560</v>
      </c>
      <c r="C3104" s="25">
        <v>113374.6</v>
      </c>
      <c r="D3104" s="22" t="s">
        <v>4561</v>
      </c>
      <c r="E3104" s="22" t="s">
        <v>2204</v>
      </c>
      <c r="F3104" s="23" t="str">
        <f>HYPERLINK("https://www.spark-marketing.ru/Card/Lot/72735735", "Поставка и установка системы охранного видеонаблюдения для военной кафедры ВГУЮ (РПА Минюста России) по адресу: г. Москва, ул. Молодогвардейская, д. 46, корп. 2")</f>
        <v>Поставка и установка системы охранного видеонаблюдения для военной кафедры ВГУЮ (РПА Минюста России) по адресу: г. Москва, ул. Молодогвардейская, д. 46, корп. 2</v>
      </c>
      <c r="G3104" s="22" t="s">
        <v>55</v>
      </c>
      <c r="H3104" s="22" t="s">
        <v>55</v>
      </c>
      <c r="I3104" s="26">
        <v>43689</v>
      </c>
      <c r="J3104" s="28" t="s">
        <v>52</v>
      </c>
      <c r="K3104" s="28" t="s">
        <v>52</v>
      </c>
      <c r="L3104" s="22" t="s">
        <v>10</v>
      </c>
      <c r="M3104" s="25">
        <v>113374.68</v>
      </c>
      <c r="N3104" s="27">
        <v>-7.0562542227271366E-7</v>
      </c>
    </row>
    <row r="3105" spans="1:14" x14ac:dyDescent="0.2">
      <c r="A3105" s="23" t="str">
        <f>HYPERLINK("https://www.spark-marketing.ru/Card/Person/940541", "ГУП ""СЕВЭЛЕКТРОАВТОТРАНС ИМ. А.С.КРУПОДЁРОВА""")</f>
        <v>ГУП "СЕВЭЛЕКТРОАВТОТРАНС ИМ. А.С.КРУПОДЁРОВА"</v>
      </c>
      <c r="B3105" s="24" t="s">
        <v>4562</v>
      </c>
      <c r="C3105" s="25">
        <v>320000</v>
      </c>
      <c r="D3105" s="22" t="s">
        <v>4563</v>
      </c>
      <c r="E3105" s="22" t="s">
        <v>999</v>
      </c>
      <c r="F3105" s="23" t="str">
        <f>HYPERLINK("https://www.spark-marketing.ru/Card/Lot/72728806", "На оказание услуг по замене блоков средств криптографической защиты информации и установке тахографов на транспортное средство на 2019 год")</f>
        <v>На оказание услуг по замене блоков средств криптографической защиты информации и установке тахографов на транспортное средство на 2019 год</v>
      </c>
      <c r="G3105" s="22" t="s">
        <v>714</v>
      </c>
      <c r="H3105" s="22" t="s">
        <v>714</v>
      </c>
      <c r="I3105" s="26">
        <v>43689</v>
      </c>
      <c r="J3105" s="28" t="s">
        <v>52</v>
      </c>
      <c r="K3105" s="28" t="s">
        <v>52</v>
      </c>
      <c r="L3105" s="22" t="s">
        <v>10</v>
      </c>
      <c r="M3105" s="25">
        <v>270000</v>
      </c>
      <c r="N3105" s="27">
        <v>0.15625</v>
      </c>
    </row>
    <row r="3106" spans="1:14" x14ac:dyDescent="0.15">
      <c r="A3106" s="23" t="str">
        <f>HYPERLINK("https://www.spark-marketing.ru/Card/Person/4373033", "ГБ ПОУ ""ВПТ""")</f>
        <v>ГБ ПОУ "ВПТ"</v>
      </c>
      <c r="B3106" s="24" t="s">
        <v>4564</v>
      </c>
      <c r="C3106" s="25">
        <v>349000</v>
      </c>
      <c r="D3106" s="22" t="s">
        <v>4565</v>
      </c>
      <c r="E3106" s="22" t="s">
        <v>2204</v>
      </c>
      <c r="F3106" s="23" t="str">
        <f>HYPERLINK("https://www.spark-marketing.ru/Card/Lot/72741602", "Приобретение панели видеостены с комплектом для его установки")</f>
        <v>Приобретение панели видеостены с комплектом для его установки</v>
      </c>
      <c r="G3106" s="22" t="s">
        <v>343</v>
      </c>
      <c r="H3106" s="22" t="s">
        <v>343</v>
      </c>
      <c r="I3106" s="26">
        <v>43689</v>
      </c>
      <c r="J3106" s="28" t="s">
        <v>52</v>
      </c>
      <c r="K3106" s="28" t="s">
        <v>52</v>
      </c>
      <c r="L3106" s="28" t="s">
        <v>52</v>
      </c>
      <c r="M3106" s="28" t="s">
        <v>52</v>
      </c>
      <c r="N3106" s="28" t="s">
        <v>52</v>
      </c>
    </row>
    <row r="3107" spans="1:14" x14ac:dyDescent="0.15">
      <c r="A3107" s="23" t="str">
        <f>HYPERLINK("https://www.spark-marketing.ru/Card/Person/130109", "ПАО БАНК ""ФК ОТКРЫТИЕ""")</f>
        <v>ПАО БАНК "ФК ОТКРЫТИЕ"</v>
      </c>
      <c r="B3107" s="24" t="s">
        <v>693</v>
      </c>
      <c r="C3107" s="25">
        <v>7435738.4000000004</v>
      </c>
      <c r="D3107" s="22" t="s">
        <v>4566</v>
      </c>
      <c r="E3107" s="22" t="s">
        <v>53</v>
      </c>
      <c r="F3107" s="23" t="str">
        <f>HYPERLINK("https://www.spark-marketing.ru/Card/Lot/72744105", "Оказание услуг по охране жизни и здоровья граждан, охране объекта и имущества, находящихся в собственности, во владении, в пользовании, хозяйственном ведении, оперативном управлении или доверительном управлении, обеспечение внутриобъектового режима н...")</f>
        <v>Оказание услуг по охране жизни и здоровья граждан, охране объекта и имущества, находящихся в собственности, во владении, в пользовании, хозяйственном ведении, оперативном управлении или доверительном управлении, обеспечение внутриобъектового режима н...</v>
      </c>
      <c r="G3107" s="22" t="s">
        <v>55</v>
      </c>
      <c r="H3107" s="22" t="s">
        <v>55</v>
      </c>
      <c r="I3107" s="26">
        <v>43688.958333333299</v>
      </c>
      <c r="J3107" s="28" t="s">
        <v>52</v>
      </c>
      <c r="K3107" s="28" t="s">
        <v>52</v>
      </c>
      <c r="L3107" s="28" t="s">
        <v>52</v>
      </c>
      <c r="M3107" s="28" t="s">
        <v>52</v>
      </c>
      <c r="N3107" s="28" t="s">
        <v>52</v>
      </c>
    </row>
    <row r="3108" spans="1:14" x14ac:dyDescent="0.15">
      <c r="A3108" s="23" t="str">
        <f>HYPERLINK("https://www.spark-marketing.ru/Card/Person/66227", "МБОУ СОШ № 1 Г. ХИМКИ")</f>
        <v>МБОУ СОШ № 1 Г. ХИМКИ</v>
      </c>
      <c r="B3108" s="24" t="s">
        <v>4567</v>
      </c>
      <c r="C3108" s="25">
        <v>43723.199999999997</v>
      </c>
      <c r="D3108" s="22" t="s">
        <v>4568</v>
      </c>
      <c r="E3108" s="22" t="s">
        <v>103</v>
      </c>
      <c r="F3108" s="23" t="str">
        <f>HYPERLINK("https://www.spark-marketing.ru/Card/Lot/72716662", "Оказание в 2019 году услуг по техническому обслуживанию системы видеонаблюдения для нужд МБОУ СОШ № 1 г.Химки")</f>
        <v>Оказание в 2019 году услуг по техническому обслуживанию системы видеонаблюдения для нужд МБОУ СОШ № 1 г.Химки</v>
      </c>
      <c r="G3108" s="22" t="s">
        <v>50</v>
      </c>
      <c r="H3108" s="22" t="s">
        <v>938</v>
      </c>
      <c r="I3108" s="26">
        <v>43686.836111111101</v>
      </c>
      <c r="J3108" s="28" t="s">
        <v>52</v>
      </c>
      <c r="K3108" s="28" t="s">
        <v>52</v>
      </c>
      <c r="L3108" s="28" t="s">
        <v>52</v>
      </c>
      <c r="M3108" s="28" t="s">
        <v>52</v>
      </c>
      <c r="N3108" s="28" t="s">
        <v>52</v>
      </c>
    </row>
    <row r="3109" spans="1:14" x14ac:dyDescent="0.15">
      <c r="A3109" s="23" t="str">
        <f>HYPERLINK("https://www.spark-marketing.ru/Card/Person/1074165", "ГБДОУ НАО ""ЦРР-ДС ""СОЛНЫШКО""")</f>
        <v>ГБДОУ НАО "ЦРР-ДС "СОЛНЫШКО"</v>
      </c>
      <c r="B3109" s="24" t="s">
        <v>4569</v>
      </c>
      <c r="C3109" s="25">
        <v>12000</v>
      </c>
      <c r="D3109" s="22" t="s">
        <v>4570</v>
      </c>
      <c r="E3109" s="22" t="s">
        <v>349</v>
      </c>
      <c r="F3109" s="23" t="str">
        <f>HYPERLINK("https://www.spark-marketing.ru/Card/Lot/72714059", "Установка видеомонитора системы видеонаблюдения на пост физической охраны в здании ГБДОУ НАО «ЦРР-ДС «Солнышко»")</f>
        <v>Установка видеомонитора системы видеонаблюдения на пост физической охраны в здании ГБДОУ НАО «ЦРР-ДС «Солнышко»</v>
      </c>
      <c r="G3109" s="22" t="s">
        <v>1014</v>
      </c>
      <c r="H3109" s="22" t="s">
        <v>1015</v>
      </c>
      <c r="I3109" s="26">
        <v>43686.747222222199</v>
      </c>
      <c r="J3109" s="28" t="s">
        <v>52</v>
      </c>
      <c r="K3109" s="28" t="s">
        <v>52</v>
      </c>
      <c r="L3109" s="28" t="s">
        <v>52</v>
      </c>
      <c r="M3109" s="28" t="s">
        <v>52</v>
      </c>
      <c r="N3109" s="28" t="s">
        <v>52</v>
      </c>
    </row>
    <row r="3110" spans="1:14" x14ac:dyDescent="0.15">
      <c r="A3110" s="23" t="str">
        <f>HYPERLINK("https://www.spark-marketing.ru/Card/Person/5904515", "ГКУ ""РРЦ""")</f>
        <v>ГКУ "РРЦ"</v>
      </c>
      <c r="B3110" s="24" t="s">
        <v>313</v>
      </c>
      <c r="C3110" s="25">
        <v>44562</v>
      </c>
      <c r="D3110" s="22" t="s">
        <v>4571</v>
      </c>
      <c r="E3110" s="22" t="s">
        <v>501</v>
      </c>
      <c r="F3110" s="23" t="str">
        <f>HYPERLINK("https://www.spark-marketing.ru/Card/Lot/72716499", "На право заключения государственного контракта на поставку подарочной продукции (магнитно-маркерная доска) в рамках организации и проведения конкурса социальных программ, направленных на профилактику наркомании, формирование здорового образа жизни и ...")</f>
        <v>На право заключения государственного контракта на поставку подарочной продукции (магнитно-маркерная доска) в рамках организации и проведения конкурса социальных программ, направленных на профилактику наркомании, формирование здорового образа жизни и ...</v>
      </c>
      <c r="G3110" s="22" t="s">
        <v>204</v>
      </c>
      <c r="H3110" s="22" t="s">
        <v>303</v>
      </c>
      <c r="I3110" s="26">
        <v>43686.698668981502</v>
      </c>
      <c r="J3110" s="28" t="s">
        <v>52</v>
      </c>
      <c r="K3110" s="28" t="s">
        <v>52</v>
      </c>
      <c r="L3110" s="28" t="s">
        <v>52</v>
      </c>
      <c r="M3110" s="28" t="s">
        <v>52</v>
      </c>
      <c r="N3110" s="28" t="s">
        <v>52</v>
      </c>
    </row>
    <row r="3111" spans="1:14" hidden="1" outlineLevel="1" x14ac:dyDescent="0.2">
      <c r="A3111" s="23" t="str">
        <f>HYPERLINK("https://www.spark-marketing.ru/Card/Person/5904515", "ГКУ ""РРЦ""")</f>
        <v>ГКУ "РРЦ"</v>
      </c>
      <c r="B3111" s="24" t="s">
        <v>313</v>
      </c>
      <c r="C3111" s="25">
        <v>44562</v>
      </c>
      <c r="D3111" s="22" t="s">
        <v>4571</v>
      </c>
      <c r="E3111" s="22" t="s">
        <v>501</v>
      </c>
      <c r="F3111" s="23" t="str">
        <f>HYPERLINK("https://www.spark-marketing.ru/Card/Lot/72716499", "На право заключения государственного контракта на поставку подарочной продукции (магнитно-маркерная доска) в рамках организации и проведения конкурса социальных программ, направленных на профилактику наркомании, формирование здорового образа жизни и ...")</f>
        <v>На право заключения государственного контракта на поставку подарочной продукции (магнитно-маркерная доска) в рамках организации и проведения конкурса социальных программ, направленных на профилактику наркомании, формирование здорового образа жизни и ...</v>
      </c>
      <c r="G3111" s="22" t="s">
        <v>204</v>
      </c>
      <c r="H3111" s="22" t="s">
        <v>303</v>
      </c>
      <c r="I3111" s="26">
        <v>43686.698668981502</v>
      </c>
      <c r="J3111" s="23" t="str">
        <f>HYPERLINK("https://www.spark-marketing.ru/Card/Person/6418133", "ООО ""КУАНТА СЕРВИС""")</f>
        <v>ООО "КУАНТА СЕРВИС"</v>
      </c>
      <c r="K3111" s="24" t="s">
        <v>4572</v>
      </c>
      <c r="L3111" s="28" t="s">
        <v>52</v>
      </c>
      <c r="M3111" s="25">
        <v>42491.37</v>
      </c>
      <c r="N3111" s="27">
        <v>4.6466271711323552E-2</v>
      </c>
    </row>
    <row r="3112" spans="1:14" hidden="1" outlineLevel="1" x14ac:dyDescent="0.2">
      <c r="A3112" s="23" t="str">
        <f>HYPERLINK("https://www.spark-marketing.ru/Card/Person/5904515", "ГКУ ""РРЦ""")</f>
        <v>ГКУ "РРЦ"</v>
      </c>
      <c r="B3112" s="24" t="s">
        <v>313</v>
      </c>
      <c r="C3112" s="25">
        <v>44562</v>
      </c>
      <c r="D3112" s="22" t="s">
        <v>4571</v>
      </c>
      <c r="E3112" s="22" t="s">
        <v>501</v>
      </c>
      <c r="F3112" s="23" t="str">
        <f>HYPERLINK("https://www.spark-marketing.ru/Card/Lot/72716499", "На право заключения государственного контракта на поставку подарочной продукции (магнитно-маркерная доска) в рамках организации и проведения конкурса социальных программ, направленных на профилактику наркомании, формирование здорового образа жизни и ...")</f>
        <v>На право заключения государственного контракта на поставку подарочной продукции (магнитно-маркерная доска) в рамках организации и проведения конкурса социальных программ, направленных на профилактику наркомании, формирование здорового образа жизни и ...</v>
      </c>
      <c r="G3112" s="22" t="s">
        <v>204</v>
      </c>
      <c r="H3112" s="22" t="s">
        <v>303</v>
      </c>
      <c r="I3112" s="26">
        <v>43686.698668981502</v>
      </c>
      <c r="J3112" s="23" t="str">
        <f>HYPERLINK("https://www.spark-marketing.ru/Card/Person/6676630", "Шмуленков Иван Георгиевич")</f>
        <v>Шмуленков Иван Георгиевич</v>
      </c>
      <c r="K3112" s="24" t="s">
        <v>3471</v>
      </c>
      <c r="L3112" s="28" t="s">
        <v>52</v>
      </c>
      <c r="M3112" s="25">
        <v>36919.949999999997</v>
      </c>
      <c r="N3112" s="27">
        <v>0.17149252726538305</v>
      </c>
    </row>
    <row r="3113" spans="1:14" ht="12.75" hidden="1" outlineLevel="1" x14ac:dyDescent="0.2">
      <c r="A3113" s="23" t="str">
        <f>HYPERLINK("https://www.spark-marketing.ru/Card/Person/5904515", "ГКУ ""РРЦ""")</f>
        <v>ГКУ "РРЦ"</v>
      </c>
      <c r="B3113" s="24" t="s">
        <v>313</v>
      </c>
      <c r="C3113" s="25">
        <v>44562</v>
      </c>
      <c r="D3113" s="22" t="s">
        <v>4571</v>
      </c>
      <c r="E3113" s="22" t="s">
        <v>501</v>
      </c>
      <c r="F3113" s="23" t="str">
        <f>HYPERLINK("https://www.spark-marketing.ru/Card/Lot/72716499", "На право заключения государственного контракта на поставку подарочной продукции (магнитно-маркерная доска) в рамках организации и проведения конкурса социальных программ, направленных на профилактику наркомании, формирование здорового образа жизни и ...")</f>
        <v>На право заключения государственного контракта на поставку подарочной продукции (магнитно-маркерная доска) в рамках организации и проведения конкурса социальных программ, направленных на профилактику наркомании, формирование здорового образа жизни и ...</v>
      </c>
      <c r="G3113" s="22" t="s">
        <v>204</v>
      </c>
      <c r="H3113" s="22" t="s">
        <v>303</v>
      </c>
      <c r="I3113" s="26">
        <v>43686.698668981502</v>
      </c>
      <c r="J3113" s="23" t="str">
        <f>HYPERLINK("https://www.spark-marketing.ru/Card/Person/212964", "ООО ""САМСОН КФ""")</f>
        <v>ООО "САМСОН КФ"</v>
      </c>
      <c r="K3113" s="24" t="s">
        <v>4573</v>
      </c>
      <c r="L3113" s="22" t="s">
        <v>10</v>
      </c>
      <c r="M3113" s="25">
        <v>36214.199999999997</v>
      </c>
      <c r="N3113" s="27">
        <v>0.18733001211794803</v>
      </c>
    </row>
    <row r="3114" spans="1:14" x14ac:dyDescent="0.15">
      <c r="A3114" s="23" t="str">
        <f>HYPERLINK("https://www.spark-marketing.ru/Card/Person/6500634", "ГБУЗ ЯО ""КБ №3""")</f>
        <v>ГБУЗ ЯО "КБ №3"</v>
      </c>
      <c r="B3114" s="24" t="s">
        <v>4574</v>
      </c>
      <c r="C3114" s="25">
        <v>38953</v>
      </c>
      <c r="D3114" s="22" t="s">
        <v>4575</v>
      </c>
      <c r="E3114" s="22" t="s">
        <v>59</v>
      </c>
      <c r="F3114" s="23" t="str">
        <f>HYPERLINK("https://www.spark-marketing.ru/Card/Lot/72712198", "Оказание услуг по монтажу системы видеонаблюдения в поликлинике № 2, находящейся по адресу: г. Ярославль, пр-т Машиностроителей, д. 16")</f>
        <v>Оказание услуг по монтажу системы видеонаблюдения в поликлинике № 2, находящейся по адресу: г. Ярославль, пр-т Машиностроителей, д. 16</v>
      </c>
      <c r="G3114" s="22" t="s">
        <v>155</v>
      </c>
      <c r="H3114" s="22" t="s">
        <v>156</v>
      </c>
      <c r="I3114" s="26">
        <v>43686.668981481504</v>
      </c>
      <c r="J3114" s="23" t="str">
        <f>HYPERLINK("https://www.spark-marketing.ru/Card/Person/6590926", "ООО ""СОКОЛ ПЛЮС""")</f>
        <v>ООО "СОКОЛ ПЛЮС"</v>
      </c>
      <c r="K3114" s="24" t="s">
        <v>4576</v>
      </c>
      <c r="L3114" s="28" t="s">
        <v>52</v>
      </c>
      <c r="M3114" s="28" t="s">
        <v>52</v>
      </c>
      <c r="N3114" s="28" t="s">
        <v>52</v>
      </c>
    </row>
    <row r="3115" spans="1:14" hidden="1" outlineLevel="1" x14ac:dyDescent="0.15">
      <c r="A3115" s="23" t="str">
        <f>HYPERLINK("https://www.spark-marketing.ru/Card/Person/6500634", "ГБУЗ ЯО ""КБ №3""")</f>
        <v>ГБУЗ ЯО "КБ №3"</v>
      </c>
      <c r="B3115" s="24" t="s">
        <v>4574</v>
      </c>
      <c r="C3115" s="25">
        <v>38953</v>
      </c>
      <c r="D3115" s="22" t="s">
        <v>4575</v>
      </c>
      <c r="E3115" s="22" t="s">
        <v>59</v>
      </c>
      <c r="F3115" s="23" t="str">
        <f>HYPERLINK("https://www.spark-marketing.ru/Card/Lot/72712198", "Оказание услуг по монтажу системы видеонаблюдения в поликлинике № 2, находящейся по адресу: г. Ярославль, пр-т Машиностроителей, д. 16")</f>
        <v>Оказание услуг по монтажу системы видеонаблюдения в поликлинике № 2, находящейся по адресу: г. Ярославль, пр-т Машиностроителей, д. 16</v>
      </c>
      <c r="G3115" s="22" t="s">
        <v>155</v>
      </c>
      <c r="H3115" s="22" t="s">
        <v>156</v>
      </c>
      <c r="I3115" s="26">
        <v>43686.668981481504</v>
      </c>
      <c r="J3115" s="23" t="str">
        <f>HYPERLINK("https://www.spark-marketing.ru/Card/Person/6590926", "ООО ""СОКОЛ ПЛЮС""")</f>
        <v>ООО "СОКОЛ ПЛЮС"</v>
      </c>
      <c r="K3115" s="24" t="s">
        <v>4576</v>
      </c>
      <c r="L3115" s="22" t="s">
        <v>10</v>
      </c>
      <c r="M3115" s="28" t="s">
        <v>52</v>
      </c>
      <c r="N3115" s="28" t="s">
        <v>52</v>
      </c>
    </row>
    <row r="3116" spans="1:14" x14ac:dyDescent="0.15">
      <c r="A3116" s="23" t="str">
        <f>HYPERLINK("https://www.spark-marketing.ru/Card/Person/48566", "АДМИНИСТРАЦИЯ ГОРОДСКОГО ОКРУГА СЕМЕНОВСКИЙ")</f>
        <v>АДМИНИСТРАЦИЯ ГОРОДСКОГО ОКРУГА СЕМЕНОВСКИЙ</v>
      </c>
      <c r="B3116" s="24" t="s">
        <v>4577</v>
      </c>
      <c r="C3116" s="25">
        <v>996816</v>
      </c>
      <c r="D3116" s="22" t="s">
        <v>4578</v>
      </c>
      <c r="E3116" s="22" t="s">
        <v>84</v>
      </c>
      <c r="F3116" s="23" t="str">
        <f>HYPERLINK("https://www.spark-marketing.ru/Card/Lot/72714451", "Выполнение работ по монтажу и настройке дополнительного сегмента видеонаблюдения ""Безопасный город"" на ул.Заводская в г.Семенове Нижегородской области (№ 121 ЭА-08-19)")</f>
        <v>Выполнение работ по монтажу и настройке дополнительного сегмента видеонаблюдения "Безопасный город" на ул.Заводская в г.Семенове Нижегородской области (№ 121 ЭА-08-19)</v>
      </c>
      <c r="G3116" s="22" t="s">
        <v>64</v>
      </c>
      <c r="H3116" s="22" t="s">
        <v>4579</v>
      </c>
      <c r="I3116" s="26">
        <v>43686.654895833301</v>
      </c>
      <c r="J3116" s="23" t="str">
        <f>HYPERLINK("https://www.spark-marketing.ru/Card/Person/1273461", "ООО ""МТ-ТЕХНО""")</f>
        <v>ООО "МТ-ТЕХНО"</v>
      </c>
      <c r="K3116" s="24" t="s">
        <v>4580</v>
      </c>
      <c r="L3116" s="28" t="s">
        <v>52</v>
      </c>
      <c r="M3116" s="28" t="s">
        <v>52</v>
      </c>
      <c r="N3116" s="28" t="s">
        <v>52</v>
      </c>
    </row>
    <row r="3117" spans="1:14" ht="12.75" hidden="1" outlineLevel="1" x14ac:dyDescent="0.2">
      <c r="A3117" s="23" t="str">
        <f>HYPERLINK("https://www.spark-marketing.ru/Card/Person/48566", "АДМИНИСТРАЦИЯ ГОРОДСКОГО ОКРУГА СЕМЕНОВСКИЙ")</f>
        <v>АДМИНИСТРАЦИЯ ГОРОДСКОГО ОКРУГА СЕМЕНОВСКИЙ</v>
      </c>
      <c r="B3117" s="24" t="s">
        <v>4577</v>
      </c>
      <c r="C3117" s="25">
        <v>996816</v>
      </c>
      <c r="D3117" s="22" t="s">
        <v>4578</v>
      </c>
      <c r="E3117" s="22" t="s">
        <v>84</v>
      </c>
      <c r="F3117" s="23" t="str">
        <f>HYPERLINK("https://www.spark-marketing.ru/Card/Lot/72714451", "Выполнение работ по монтажу и настройке дополнительного сегмента видеонаблюдения ""Безопасный город"" на ул.Заводская в г.Семенове Нижегородской области (№ 121 ЭА-08-19)")</f>
        <v>Выполнение работ по монтажу и настройке дополнительного сегмента видеонаблюдения "Безопасный город" на ул.Заводская в г.Семенове Нижегородской области (№ 121 ЭА-08-19)</v>
      </c>
      <c r="G3117" s="22" t="s">
        <v>64</v>
      </c>
      <c r="H3117" s="22" t="s">
        <v>4579</v>
      </c>
      <c r="I3117" s="26">
        <v>43686.654895833301</v>
      </c>
      <c r="J3117" s="23" t="str">
        <f>HYPERLINK("https://www.spark-marketing.ru/Card/Person/1273461", "ООО ""МТ-ТЕХНО""")</f>
        <v>ООО "МТ-ТЕХНО"</v>
      </c>
      <c r="K3117" s="24" t="s">
        <v>4580</v>
      </c>
      <c r="L3117" s="22" t="s">
        <v>10</v>
      </c>
      <c r="M3117" s="25">
        <v>986847.84</v>
      </c>
      <c r="N3117" s="27">
        <v>0.01</v>
      </c>
    </row>
    <row r="3118" spans="1:14" x14ac:dyDescent="0.15">
      <c r="A3118" s="23" t="str">
        <f>HYPERLINK("https://www.spark-marketing.ru/Card/Person/4346992", "ГБДОУ ДЕТСКИЙ САД № 32 ПРИМОРСКОГО РАЙОНА САНКТ-ПЕТЕРБУРГА")</f>
        <v>ГБДОУ ДЕТСКИЙ САД № 32 ПРИМОРСКОГО РАЙОНА САНКТ-ПЕТЕРБУРГА</v>
      </c>
      <c r="B3118" s="24" t="s">
        <v>4581</v>
      </c>
      <c r="C3118" s="25">
        <v>361200</v>
      </c>
      <c r="D3118" s="22" t="s">
        <v>4582</v>
      </c>
      <c r="E3118" s="22" t="s">
        <v>52</v>
      </c>
      <c r="F3118" s="23" t="str">
        <f>HYPERLINK("https://www.spark-marketing.ru/Card/Lot/72716219", "Оказание услуг по охране")</f>
        <v>Оказание услуг по охране</v>
      </c>
      <c r="G3118" s="22" t="s">
        <v>89</v>
      </c>
      <c r="H3118" s="22" t="s">
        <v>89</v>
      </c>
      <c r="I3118" s="26">
        <v>43686.648101851897</v>
      </c>
      <c r="J3118" s="28" t="s">
        <v>52</v>
      </c>
      <c r="K3118" s="28" t="s">
        <v>52</v>
      </c>
      <c r="L3118" s="28" t="s">
        <v>52</v>
      </c>
      <c r="M3118" s="28" t="s">
        <v>52</v>
      </c>
      <c r="N3118" s="28" t="s">
        <v>52</v>
      </c>
    </row>
    <row r="3119" spans="1:14" ht="12.75" hidden="1" outlineLevel="1" x14ac:dyDescent="0.2">
      <c r="A3119" s="23" t="str">
        <f>HYPERLINK("https://www.spark-marketing.ru/Card/Person/4346992", "ГБДОУ ДЕТСКИЙ САД № 32 ПРИМОРСКОГО РАЙОНА САНКТ-ПЕТЕРБУРГА")</f>
        <v>ГБДОУ ДЕТСКИЙ САД № 32 ПРИМОРСКОГО РАЙОНА САНКТ-ПЕТЕРБУРГА</v>
      </c>
      <c r="B3119" s="24" t="s">
        <v>4581</v>
      </c>
      <c r="C3119" s="25">
        <v>361200</v>
      </c>
      <c r="D3119" s="22" t="s">
        <v>4582</v>
      </c>
      <c r="E3119" s="22" t="s">
        <v>52</v>
      </c>
      <c r="F3119" s="23" t="str">
        <f>HYPERLINK("https://www.spark-marketing.ru/Card/Lot/72716219", "Оказание услуг по охране")</f>
        <v>Оказание услуг по охране</v>
      </c>
      <c r="G3119" s="22" t="s">
        <v>89</v>
      </c>
      <c r="H3119" s="22" t="s">
        <v>89</v>
      </c>
      <c r="I3119" s="26">
        <v>43686.648101851897</v>
      </c>
      <c r="J3119" s="23" t="str">
        <f>HYPERLINK("https://www.spark-marketing.ru/Card/Person/1957699", "ООО ""ОП ""ТРАНС-СЕКЬЮРИТИ""""")</f>
        <v>ООО "ОП "ТРАНС-СЕКЬЮРИТИ""</v>
      </c>
      <c r="K3119" s="24" t="s">
        <v>4138</v>
      </c>
      <c r="L3119" s="22" t="s">
        <v>10</v>
      </c>
      <c r="M3119" s="25">
        <v>210628.76</v>
      </c>
      <c r="N3119" s="27">
        <v>0.4168638981173865</v>
      </c>
    </row>
    <row r="3120" spans="1:14" hidden="1" outlineLevel="1" x14ac:dyDescent="0.2">
      <c r="A3120" s="23" t="str">
        <f>HYPERLINK("https://www.spark-marketing.ru/Card/Person/4346992", "ГБДОУ ДЕТСКИЙ САД № 32 ПРИМОРСКОГО РАЙОНА САНКТ-ПЕТЕРБУРГА")</f>
        <v>ГБДОУ ДЕТСКИЙ САД № 32 ПРИМОРСКОГО РАЙОНА САНКТ-ПЕТЕРБУРГА</v>
      </c>
      <c r="B3120" s="24" t="s">
        <v>4581</v>
      </c>
      <c r="C3120" s="25">
        <v>361200</v>
      </c>
      <c r="D3120" s="22" t="s">
        <v>4582</v>
      </c>
      <c r="E3120" s="22" t="s">
        <v>52</v>
      </c>
      <c r="F3120" s="23" t="str">
        <f>HYPERLINK("https://www.spark-marketing.ru/Card/Lot/72716219", "Оказание услуг по охране")</f>
        <v>Оказание услуг по охране</v>
      </c>
      <c r="G3120" s="22" t="s">
        <v>89</v>
      </c>
      <c r="H3120" s="22" t="s">
        <v>89</v>
      </c>
      <c r="I3120" s="26">
        <v>43686.648101851897</v>
      </c>
      <c r="J3120" s="23" t="str">
        <f>HYPERLINK("https://www.spark-marketing.ru/Card/Person/2562571", "ООО ОП""БОРС-БАЛТИКА""")</f>
        <v>ООО ОП"БОРС-БАЛТИКА"</v>
      </c>
      <c r="K3120" s="24" t="s">
        <v>4583</v>
      </c>
      <c r="L3120" s="28" t="s">
        <v>52</v>
      </c>
      <c r="M3120" s="25">
        <v>258258</v>
      </c>
      <c r="N3120" s="27">
        <v>0.28499999999999998</v>
      </c>
    </row>
    <row r="3121" spans="1:14" hidden="1" outlineLevel="1" x14ac:dyDescent="0.2">
      <c r="A3121" s="23" t="str">
        <f>HYPERLINK("https://www.spark-marketing.ru/Card/Person/4346992", "ГБДОУ ДЕТСКИЙ САД № 32 ПРИМОРСКОГО РАЙОНА САНКТ-ПЕТЕРБУРГА")</f>
        <v>ГБДОУ ДЕТСКИЙ САД № 32 ПРИМОРСКОГО РАЙОНА САНКТ-ПЕТЕРБУРГА</v>
      </c>
      <c r="B3121" s="24" t="s">
        <v>4581</v>
      </c>
      <c r="C3121" s="25">
        <v>361200</v>
      </c>
      <c r="D3121" s="22" t="s">
        <v>4582</v>
      </c>
      <c r="E3121" s="22" t="s">
        <v>52</v>
      </c>
      <c r="F3121" s="23" t="str">
        <f>HYPERLINK("https://www.spark-marketing.ru/Card/Lot/72716219", "Оказание услуг по охране")</f>
        <v>Оказание услуг по охране</v>
      </c>
      <c r="G3121" s="22" t="s">
        <v>89</v>
      </c>
      <c r="H3121" s="22" t="s">
        <v>89</v>
      </c>
      <c r="I3121" s="26">
        <v>43686.648101851897</v>
      </c>
      <c r="J3121" s="23" t="str">
        <f>HYPERLINK("https://www.spark-marketing.ru/Card/Person/123130", "ООО ""ЧОП ""СЗАОПО-С""")</f>
        <v>ООО "ЧОП "СЗАОПО-С"</v>
      </c>
      <c r="K3121" s="24" t="s">
        <v>4290</v>
      </c>
      <c r="L3121" s="28" t="s">
        <v>52</v>
      </c>
      <c r="M3121" s="25">
        <v>212434.76</v>
      </c>
      <c r="N3121" s="27">
        <v>0.4118638981173865</v>
      </c>
    </row>
    <row r="3122" spans="1:14" x14ac:dyDescent="0.15">
      <c r="A3122" s="23" t="str">
        <f>HYPERLINK("https://www.spark-marketing.ru/Card/Person/60273", "ГБДОУ ДЕТСКИЙ САД № 3 ПРИМОРСКОГО РАЙОНА САНКТ-ПЕТЕРБУРГА")</f>
        <v>ГБДОУ ДЕТСКИЙ САД № 3 ПРИМОРСКОГО РАЙОНА САНКТ-ПЕТЕРБУРГА</v>
      </c>
      <c r="B3122" s="24" t="s">
        <v>4584</v>
      </c>
      <c r="C3122" s="25">
        <v>381840</v>
      </c>
      <c r="D3122" s="22" t="s">
        <v>4585</v>
      </c>
      <c r="E3122" s="22" t="s">
        <v>52</v>
      </c>
      <c r="F3122" s="23" t="str">
        <f>HYPERLINK("https://www.spark-marketing.ru/Card/Lot/72713797", "Оказание услуг по охране")</f>
        <v>Оказание услуг по охране</v>
      </c>
      <c r="G3122" s="22" t="s">
        <v>89</v>
      </c>
      <c r="H3122" s="22" t="s">
        <v>89</v>
      </c>
      <c r="I3122" s="26">
        <v>43686.647083333301</v>
      </c>
      <c r="J3122" s="28" t="s">
        <v>52</v>
      </c>
      <c r="K3122" s="28" t="s">
        <v>52</v>
      </c>
      <c r="L3122" s="28" t="s">
        <v>52</v>
      </c>
      <c r="M3122" s="28" t="s">
        <v>52</v>
      </c>
      <c r="N3122" s="28" t="s">
        <v>52</v>
      </c>
    </row>
    <row r="3123" spans="1:14" hidden="1" outlineLevel="1" x14ac:dyDescent="0.2">
      <c r="A3123" s="23" t="str">
        <f>HYPERLINK("https://www.spark-marketing.ru/Card/Person/60273", "ГБДОУ ДЕТСКИЙ САД № 3 ПРИМОРСКОГО РАЙОНА САНКТ-ПЕТЕРБУРГА")</f>
        <v>ГБДОУ ДЕТСКИЙ САД № 3 ПРИМОРСКОГО РАЙОНА САНКТ-ПЕТЕРБУРГА</v>
      </c>
      <c r="B3123" s="24" t="s">
        <v>4584</v>
      </c>
      <c r="C3123" s="25">
        <v>381840</v>
      </c>
      <c r="D3123" s="22" t="s">
        <v>4585</v>
      </c>
      <c r="E3123" s="22" t="s">
        <v>52</v>
      </c>
      <c r="F3123" s="23" t="str">
        <f>HYPERLINK("https://www.spark-marketing.ru/Card/Lot/72713797", "Оказание услуг по охране")</f>
        <v>Оказание услуг по охране</v>
      </c>
      <c r="G3123" s="22" t="s">
        <v>89</v>
      </c>
      <c r="H3123" s="22" t="s">
        <v>89</v>
      </c>
      <c r="I3123" s="26">
        <v>43686.647083333301</v>
      </c>
      <c r="J3123" s="23" t="str">
        <f>HYPERLINK("https://www.spark-marketing.ru/Card/Person/2562571", "ООО ОП""БОРС-БАЛТИКА""")</f>
        <v>ООО ОП"БОРС-БАЛТИКА"</v>
      </c>
      <c r="K3123" s="24" t="s">
        <v>4583</v>
      </c>
      <c r="L3123" s="28" t="s">
        <v>52</v>
      </c>
      <c r="M3123" s="25">
        <v>257742</v>
      </c>
      <c r="N3123" s="27">
        <v>0.32500000000000001</v>
      </c>
    </row>
    <row r="3124" spans="1:14" ht="12.75" hidden="1" outlineLevel="1" x14ac:dyDescent="0.2">
      <c r="A3124" s="23" t="str">
        <f>HYPERLINK("https://www.spark-marketing.ru/Card/Person/60273", "ГБДОУ ДЕТСКИЙ САД № 3 ПРИМОРСКОГО РАЙОНА САНКТ-ПЕТЕРБУРГА")</f>
        <v>ГБДОУ ДЕТСКИЙ САД № 3 ПРИМОРСКОГО РАЙОНА САНКТ-ПЕТЕРБУРГА</v>
      </c>
      <c r="B3124" s="24" t="s">
        <v>4584</v>
      </c>
      <c r="C3124" s="25">
        <v>381840</v>
      </c>
      <c r="D3124" s="22" t="s">
        <v>4585</v>
      </c>
      <c r="E3124" s="22" t="s">
        <v>52</v>
      </c>
      <c r="F3124" s="23" t="str">
        <f>HYPERLINK("https://www.spark-marketing.ru/Card/Lot/72713797", "Оказание услуг по охране")</f>
        <v>Оказание услуг по охране</v>
      </c>
      <c r="G3124" s="22" t="s">
        <v>89</v>
      </c>
      <c r="H3124" s="22" t="s">
        <v>89</v>
      </c>
      <c r="I3124" s="26">
        <v>43686.647083333301</v>
      </c>
      <c r="J3124" s="23" t="str">
        <f>HYPERLINK("https://www.spark-marketing.ru/Card/Person/123130", "ООО ""ЧОП ""СЗАОПО-С""")</f>
        <v>ООО "ЧОП "СЗАОПО-С"</v>
      </c>
      <c r="K3124" s="24" t="s">
        <v>4290</v>
      </c>
      <c r="L3124" s="22" t="s">
        <v>10</v>
      </c>
      <c r="M3124" s="25">
        <v>255832.8</v>
      </c>
      <c r="N3124" s="27">
        <v>0.33</v>
      </c>
    </row>
    <row r="3125" spans="1:14" x14ac:dyDescent="0.15">
      <c r="A3125" s="23" t="str">
        <f t="shared" ref="A3125:A3133" si="131">HYPERLINK("https://www.spark-marketing.ru/Card/Person/17655", "ФКУ УПРДОР ""ПРИБАЙКАЛЬЕ""")</f>
        <v>ФКУ УПРДОР "ПРИБАЙКАЛЬЕ"</v>
      </c>
      <c r="B3125" s="24" t="s">
        <v>4586</v>
      </c>
      <c r="C3125" s="25">
        <v>10190000</v>
      </c>
      <c r="D3125" s="22" t="s">
        <v>4587</v>
      </c>
      <c r="E3125" s="22" t="s">
        <v>723</v>
      </c>
      <c r="F3125" s="23" t="str">
        <f>HYPERLINK("https://www.spark-marketing.ru/Card/Lot/72721113", "Прочая закупка для обеспечения государственных нужд - Обустройство автомобильных дорог: приобретение и установка систем видеоконтроля (камер фото- видео-фиксации нарушения правил дорожного движения) на автомобильных дорогах Р-258 ""Байкал"" Иркутск -...")</f>
        <v>Прочая закупка для обеспечения государственных нужд - Обустройство автомобильных дорог: приобретение и установка систем видеоконтроля (камер фото- видео-фиксации нарушения правил дорожного движения) на автомобильных дорогах Р-258 "Байкал" Иркутск -...</v>
      </c>
      <c r="G3125" s="22" t="s">
        <v>281</v>
      </c>
      <c r="H3125" s="22" t="s">
        <v>2008</v>
      </c>
      <c r="I3125" s="26">
        <v>43686.658483796302</v>
      </c>
      <c r="J3125" s="28" t="s">
        <v>52</v>
      </c>
      <c r="K3125" s="28" t="s">
        <v>52</v>
      </c>
      <c r="L3125" s="28" t="s">
        <v>52</v>
      </c>
      <c r="M3125" s="28" t="s">
        <v>52</v>
      </c>
      <c r="N3125" s="28" t="s">
        <v>52</v>
      </c>
    </row>
    <row r="3126" spans="1:14" hidden="1" outlineLevel="1" x14ac:dyDescent="0.2">
      <c r="A3126" s="23" t="str">
        <f t="shared" si="131"/>
        <v>ФКУ УПРДОР "ПРИБАЙКАЛЬЕ"</v>
      </c>
      <c r="B3126" s="24" t="s">
        <v>4586</v>
      </c>
      <c r="C3126" s="25">
        <v>10190000</v>
      </c>
      <c r="D3126" s="22" t="s">
        <v>4587</v>
      </c>
      <c r="E3126" s="22" t="s">
        <v>723</v>
      </c>
      <c r="F3126" s="23" t="str">
        <f>HYPERLINK("https://www.spark-marketing.ru/Card/Lot/72721113", "Прочая закупка для обеспечения государственных нужд - Обустройство автомобильных дорог: приобретение и установка систем видеоконтроля (камер фото- видео-фиксации нарушения правил дорожного движения) на автомобильных дорогах Р-258 ""Байкал"" Иркутск -...")</f>
        <v>Прочая закупка для обеспечения государственных нужд - Обустройство автомобильных дорог: приобретение и установка систем видеоконтроля (камер фото- видео-фиксации нарушения правил дорожного движения) на автомобильных дорогах Р-258 "Байкал" Иркутск -...</v>
      </c>
      <c r="G3126" s="22" t="s">
        <v>281</v>
      </c>
      <c r="H3126" s="22" t="s">
        <v>2008</v>
      </c>
      <c r="I3126" s="26">
        <v>43686.658483796302</v>
      </c>
      <c r="J3126" s="23" t="str">
        <f>HYPERLINK("https://www.spark-marketing.ru/Card/Person/82476", "ООО ""КВАНТ ОПС""")</f>
        <v>ООО "КВАНТ ОПС"</v>
      </c>
      <c r="K3126" s="24" t="s">
        <v>4463</v>
      </c>
      <c r="L3126" s="28" t="s">
        <v>52</v>
      </c>
      <c r="M3126" s="25">
        <v>10139050</v>
      </c>
      <c r="N3126" s="27">
        <v>5.0000000000000001E-3</v>
      </c>
    </row>
    <row r="3127" spans="1:14" ht="12.75" hidden="1" outlineLevel="1" x14ac:dyDescent="0.2">
      <c r="A3127" s="23" t="str">
        <f t="shared" si="131"/>
        <v>ФКУ УПРДОР "ПРИБАЙКАЛЬЕ"</v>
      </c>
      <c r="B3127" s="24" t="s">
        <v>4586</v>
      </c>
      <c r="C3127" s="25">
        <v>10190000</v>
      </c>
      <c r="D3127" s="22" t="s">
        <v>4587</v>
      </c>
      <c r="E3127" s="22" t="s">
        <v>723</v>
      </c>
      <c r="F3127" s="23" t="str">
        <f>HYPERLINK("https://www.spark-marketing.ru/Card/Lot/72721113", "Прочая закупка для обеспечения государственных нужд - Обустройство автомобильных дорог: приобретение и установка систем видеоконтроля (камер фото- видео-фиксации нарушения правил дорожного движения) на автомобильных дорогах Р-258 ""Байкал"" Иркутск -...")</f>
        <v>Прочая закупка для обеспечения государственных нужд - Обустройство автомобильных дорог: приобретение и установка систем видеоконтроля (камер фото- видео-фиксации нарушения правил дорожного движения) на автомобильных дорогах Р-258 "Байкал" Иркутск -...</v>
      </c>
      <c r="G3127" s="22" t="s">
        <v>281</v>
      </c>
      <c r="H3127" s="22" t="s">
        <v>2008</v>
      </c>
      <c r="I3127" s="26">
        <v>43686.658483796302</v>
      </c>
      <c r="J3127" s="23" t="str">
        <f>HYPERLINK("https://www.spark-marketing.ru/Card/Person/1354238", "ООО ""ЛАБОРАТОРИЯ ЦИФРОВОГО ЗРЕНИЯ""")</f>
        <v>ООО "ЛАБОРАТОРИЯ ЦИФРОВОГО ЗРЕНИЯ"</v>
      </c>
      <c r="K3127" s="24" t="s">
        <v>1191</v>
      </c>
      <c r="L3127" s="22" t="s">
        <v>10</v>
      </c>
      <c r="M3127" s="25">
        <v>10088100</v>
      </c>
      <c r="N3127" s="27">
        <v>0.01</v>
      </c>
    </row>
    <row r="3128" spans="1:14" x14ac:dyDescent="0.15">
      <c r="A3128" s="23" t="str">
        <f t="shared" si="131"/>
        <v>ФКУ УПРДОР "ПРИБАЙКАЛЬЕ"</v>
      </c>
      <c r="B3128" s="24" t="s">
        <v>4586</v>
      </c>
      <c r="C3128" s="25">
        <v>10190000</v>
      </c>
      <c r="D3128" s="22" t="s">
        <v>4588</v>
      </c>
      <c r="E3128" s="22" t="s">
        <v>723</v>
      </c>
      <c r="F3128" s="23" t="str">
        <f>HYPERLINK("https://www.spark-marketing.ru/Card/Lot/72721114", "Прочая закупка для обеспечения государственных нужд - Обустройство автомобильных дорог: приобретение и установка систем видеоконтроля (камер фото- видео-фиксации нарушения правил дорожного движения) на автомобильной дороге А-331 ""Вилюй"" Тулун - Бра...")</f>
        <v>Прочая закупка для обеспечения государственных нужд - Обустройство автомобильных дорог: приобретение и установка систем видеоконтроля (камер фото- видео-фиксации нарушения правил дорожного движения) на автомобильной дороге А-331 "Вилюй" Тулун - Бра...</v>
      </c>
      <c r="G3128" s="22" t="s">
        <v>281</v>
      </c>
      <c r="H3128" s="22" t="s">
        <v>281</v>
      </c>
      <c r="I3128" s="26">
        <v>43686.659004629597</v>
      </c>
      <c r="J3128" s="28" t="s">
        <v>52</v>
      </c>
      <c r="K3128" s="28" t="s">
        <v>52</v>
      </c>
      <c r="L3128" s="28" t="s">
        <v>52</v>
      </c>
      <c r="M3128" s="28" t="s">
        <v>52</v>
      </c>
      <c r="N3128" s="28" t="s">
        <v>52</v>
      </c>
    </row>
    <row r="3129" spans="1:14" hidden="1" outlineLevel="1" x14ac:dyDescent="0.2">
      <c r="A3129" s="23" t="str">
        <f t="shared" si="131"/>
        <v>ФКУ УПРДОР "ПРИБАЙКАЛЬЕ"</v>
      </c>
      <c r="B3129" s="24" t="s">
        <v>4586</v>
      </c>
      <c r="C3129" s="25">
        <v>10190000</v>
      </c>
      <c r="D3129" s="22" t="s">
        <v>4588</v>
      </c>
      <c r="E3129" s="22" t="s">
        <v>723</v>
      </c>
      <c r="F3129" s="23" t="str">
        <f>HYPERLINK("https://www.spark-marketing.ru/Card/Lot/72721114", "Прочая закупка для обеспечения государственных нужд - Обустройство автомобильных дорог: приобретение и установка систем видеоконтроля (камер фото- видео-фиксации нарушения правил дорожного движения) на автомобильной дороге А-331 ""Вилюй"" Тулун - Бра...")</f>
        <v>Прочая закупка для обеспечения государственных нужд - Обустройство автомобильных дорог: приобретение и установка систем видеоконтроля (камер фото- видео-фиксации нарушения правил дорожного движения) на автомобильной дороге А-331 "Вилюй" Тулун - Бра...</v>
      </c>
      <c r="G3129" s="22" t="s">
        <v>281</v>
      </c>
      <c r="H3129" s="22" t="s">
        <v>281</v>
      </c>
      <c r="I3129" s="26">
        <v>43686.659004629597</v>
      </c>
      <c r="J3129" s="23" t="str">
        <f>HYPERLINK("https://www.spark-marketing.ru/Card/Person/82476", "ООО ""КВАНТ ОПС""")</f>
        <v>ООО "КВАНТ ОПС"</v>
      </c>
      <c r="K3129" s="24" t="s">
        <v>4463</v>
      </c>
      <c r="L3129" s="28" t="s">
        <v>52</v>
      </c>
      <c r="M3129" s="25">
        <v>10139050</v>
      </c>
      <c r="N3129" s="27">
        <v>5.0000000000000001E-3</v>
      </c>
    </row>
    <row r="3130" spans="1:14" ht="12.75" hidden="1" outlineLevel="1" x14ac:dyDescent="0.2">
      <c r="A3130" s="23" t="str">
        <f t="shared" si="131"/>
        <v>ФКУ УПРДОР "ПРИБАЙКАЛЬЕ"</v>
      </c>
      <c r="B3130" s="24" t="s">
        <v>4586</v>
      </c>
      <c r="C3130" s="25">
        <v>10190000</v>
      </c>
      <c r="D3130" s="22" t="s">
        <v>4588</v>
      </c>
      <c r="E3130" s="22" t="s">
        <v>723</v>
      </c>
      <c r="F3130" s="23" t="str">
        <f>HYPERLINK("https://www.spark-marketing.ru/Card/Lot/72721114", "Прочая закупка для обеспечения государственных нужд - Обустройство автомобильных дорог: приобретение и установка систем видеоконтроля (камер фото- видео-фиксации нарушения правил дорожного движения) на автомобильной дороге А-331 ""Вилюй"" Тулун - Бра...")</f>
        <v>Прочая закупка для обеспечения государственных нужд - Обустройство автомобильных дорог: приобретение и установка систем видеоконтроля (камер фото- видео-фиксации нарушения правил дорожного движения) на автомобильной дороге А-331 "Вилюй" Тулун - Бра...</v>
      </c>
      <c r="G3130" s="22" t="s">
        <v>281</v>
      </c>
      <c r="H3130" s="22" t="s">
        <v>281</v>
      </c>
      <c r="I3130" s="26">
        <v>43686.659004629597</v>
      </c>
      <c r="J3130" s="23" t="str">
        <f>HYPERLINK("https://www.spark-marketing.ru/Card/Person/1354238", "ООО ""ЛАБОРАТОРИЯ ЦИФРОВОГО ЗРЕНИЯ""")</f>
        <v>ООО "ЛАБОРАТОРИЯ ЦИФРОВОГО ЗРЕНИЯ"</v>
      </c>
      <c r="K3130" s="24" t="s">
        <v>1191</v>
      </c>
      <c r="L3130" s="22" t="s">
        <v>10</v>
      </c>
      <c r="M3130" s="25">
        <v>10088100</v>
      </c>
      <c r="N3130" s="27">
        <v>0.01</v>
      </c>
    </row>
    <row r="3131" spans="1:14" x14ac:dyDescent="0.15">
      <c r="A3131" s="23" t="str">
        <f t="shared" si="131"/>
        <v>ФКУ УПРДОР "ПРИБАЙКАЛЬЕ"</v>
      </c>
      <c r="B3131" s="24" t="s">
        <v>4586</v>
      </c>
      <c r="C3131" s="25">
        <v>15285000</v>
      </c>
      <c r="D3131" s="22" t="s">
        <v>4589</v>
      </c>
      <c r="E3131" s="22" t="s">
        <v>723</v>
      </c>
      <c r="F3131" s="23" t="str">
        <f>HYPERLINK("https://www.spark-marketing.ru/Card/Lot/72721112", "Прочая закупка для обеспечения государственных нужд - Обустройство автомобильных дорог: приобретение и установка систем видеоконтроля (камер фото- видео-фиксации нарушения правил дорожного движения) на автомобильной дороге Р-255 ""Сибирь"" Новосибирс...")</f>
        <v>Прочая закупка для обеспечения государственных нужд - Обустройство автомобильных дорог: приобретение и установка систем видеоконтроля (камер фото- видео-фиксации нарушения правил дорожного движения) на автомобильной дороге Р-255 "Сибирь" Новосибирс...</v>
      </c>
      <c r="G3131" s="22" t="s">
        <v>281</v>
      </c>
      <c r="H3131" s="22" t="s">
        <v>281</v>
      </c>
      <c r="I3131" s="26">
        <v>43686.657476851899</v>
      </c>
      <c r="J3131" s="28" t="s">
        <v>52</v>
      </c>
      <c r="K3131" s="28" t="s">
        <v>52</v>
      </c>
      <c r="L3131" s="28" t="s">
        <v>52</v>
      </c>
      <c r="M3131" s="28" t="s">
        <v>52</v>
      </c>
      <c r="N3131" s="28" t="s">
        <v>52</v>
      </c>
    </row>
    <row r="3132" spans="1:14" ht="12.75" hidden="1" outlineLevel="1" x14ac:dyDescent="0.2">
      <c r="A3132" s="23" t="str">
        <f t="shared" si="131"/>
        <v>ФКУ УПРДОР "ПРИБАЙКАЛЬЕ"</v>
      </c>
      <c r="B3132" s="24" t="s">
        <v>4586</v>
      </c>
      <c r="C3132" s="25">
        <v>15285000</v>
      </c>
      <c r="D3132" s="22" t="s">
        <v>4589</v>
      </c>
      <c r="E3132" s="22" t="s">
        <v>723</v>
      </c>
      <c r="F3132" s="23" t="str">
        <f>HYPERLINK("https://www.spark-marketing.ru/Card/Lot/72721112", "Прочая закупка для обеспечения государственных нужд - Обустройство автомобильных дорог: приобретение и установка систем видеоконтроля (камер фото- видео-фиксации нарушения правил дорожного движения) на автомобильной дороге Р-255 ""Сибирь"" Новосибирс...")</f>
        <v>Прочая закупка для обеспечения государственных нужд - Обустройство автомобильных дорог: приобретение и установка систем видеоконтроля (камер фото- видео-фиксации нарушения правил дорожного движения) на автомобильной дороге Р-255 "Сибирь" Новосибирс...</v>
      </c>
      <c r="G3132" s="22" t="s">
        <v>281</v>
      </c>
      <c r="H3132" s="22" t="s">
        <v>281</v>
      </c>
      <c r="I3132" s="26">
        <v>43686.657476851899</v>
      </c>
      <c r="J3132" s="23" t="str">
        <f>HYPERLINK("https://www.spark-marketing.ru/Card/Person/82476", "ООО ""КВАНТ ОПС""")</f>
        <v>ООО "КВАНТ ОПС"</v>
      </c>
      <c r="K3132" s="24" t="s">
        <v>4463</v>
      </c>
      <c r="L3132" s="22" t="s">
        <v>10</v>
      </c>
      <c r="M3132" s="25">
        <v>15132150</v>
      </c>
      <c r="N3132" s="27">
        <v>0.01</v>
      </c>
    </row>
    <row r="3133" spans="1:14" hidden="1" outlineLevel="1" x14ac:dyDescent="0.2">
      <c r="A3133" s="23" t="str">
        <f t="shared" si="131"/>
        <v>ФКУ УПРДОР "ПРИБАЙКАЛЬЕ"</v>
      </c>
      <c r="B3133" s="24" t="s">
        <v>4586</v>
      </c>
      <c r="C3133" s="25">
        <v>15285000</v>
      </c>
      <c r="D3133" s="22" t="s">
        <v>4589</v>
      </c>
      <c r="E3133" s="22" t="s">
        <v>723</v>
      </c>
      <c r="F3133" s="23" t="str">
        <f>HYPERLINK("https://www.spark-marketing.ru/Card/Lot/72721112", "Прочая закупка для обеспечения государственных нужд - Обустройство автомобильных дорог: приобретение и установка систем видеоконтроля (камер фото- видео-фиксации нарушения правил дорожного движения) на автомобильной дороге Р-255 ""Сибирь"" Новосибирс...")</f>
        <v>Прочая закупка для обеспечения государственных нужд - Обустройство автомобильных дорог: приобретение и установка систем видеоконтроля (камер фото- видео-фиксации нарушения правил дорожного движения) на автомобильной дороге Р-255 "Сибирь" Новосибирс...</v>
      </c>
      <c r="G3133" s="22" t="s">
        <v>281</v>
      </c>
      <c r="H3133" s="22" t="s">
        <v>281</v>
      </c>
      <c r="I3133" s="26">
        <v>43686.657476851899</v>
      </c>
      <c r="J3133" s="23" t="str">
        <f>HYPERLINK("https://www.spark-marketing.ru/Card/Person/1354238", "ООО ""ЛАБОРАТОРИЯ ЦИФРОВОГО ЗРЕНИЯ""")</f>
        <v>ООО "ЛАБОРАТОРИЯ ЦИФРОВОГО ЗРЕНИЯ"</v>
      </c>
      <c r="K3133" s="24" t="s">
        <v>1191</v>
      </c>
      <c r="L3133" s="28" t="s">
        <v>52</v>
      </c>
      <c r="M3133" s="25">
        <v>15208575</v>
      </c>
      <c r="N3133" s="27">
        <v>5.0000000000000001E-3</v>
      </c>
    </row>
    <row r="3134" spans="1:14" x14ac:dyDescent="0.15">
      <c r="A3134" s="23" t="str">
        <f>HYPERLINK("https://www.spark-marketing.ru/Card/Person/1001000", "МКУ ""ООП""")</f>
        <v>МКУ "ООП"</v>
      </c>
      <c r="B3134" s="24" t="s">
        <v>4590</v>
      </c>
      <c r="C3134" s="25">
        <v>600000</v>
      </c>
      <c r="D3134" s="22" t="s">
        <v>4591</v>
      </c>
      <c r="E3134" s="22" t="s">
        <v>4592</v>
      </c>
      <c r="F3134" s="23" t="str">
        <f>HYPERLINK("https://www.spark-marketing.ru/Card/Lot/72718957", "Приобретение системы видеонаблюдения, монтаж и последующее техническое обслуживание")</f>
        <v>Приобретение системы видеонаблюдения, монтаж и последующее техническое обслуживание</v>
      </c>
      <c r="G3134" s="22" t="s">
        <v>861</v>
      </c>
      <c r="H3134" s="22" t="s">
        <v>934</v>
      </c>
      <c r="I3134" s="26">
        <v>43686.610972222203</v>
      </c>
      <c r="J3134" s="23" t="str">
        <f>HYPERLINK("https://www.spark-marketing.ru/Card/Person/6372586", "Краснобородкин Алексей Николаевич")</f>
        <v>Краснобородкин Алексей Николаевич</v>
      </c>
      <c r="K3134" s="24" t="s">
        <v>4593</v>
      </c>
      <c r="L3134" s="22" t="s">
        <v>10</v>
      </c>
      <c r="M3134" s="28" t="s">
        <v>52</v>
      </c>
      <c r="N3134" s="28" t="s">
        <v>52</v>
      </c>
    </row>
    <row r="3135" spans="1:14" x14ac:dyDescent="0.15">
      <c r="A3135" s="23" t="str">
        <f>HYPERLINK("https://www.spark-marketing.ru/Card/Person/651534", "ОТДЕЛ ГФС РОССИИ В Г. СЕВАСТОПОЛЕ")</f>
        <v>ОТДЕЛ ГФС РОССИИ В Г. СЕВАСТОПОЛЕ</v>
      </c>
      <c r="B3135" s="24" t="s">
        <v>4594</v>
      </c>
      <c r="C3135" s="25">
        <v>13503.8</v>
      </c>
      <c r="D3135" s="22" t="s">
        <v>4595</v>
      </c>
      <c r="E3135" s="22" t="s">
        <v>107</v>
      </c>
      <c r="F3135" s="23" t="str">
        <f>HYPERLINK("https://www.spark-marketing.ru/Card/Lot/72706573", "Техническое обслуживание системы видеонаблюдения, 1 шт")</f>
        <v>Техническое обслуживание системы видеонаблюдения, 1 шт</v>
      </c>
      <c r="G3135" s="22" t="s">
        <v>714</v>
      </c>
      <c r="H3135" s="22" t="s">
        <v>714</v>
      </c>
      <c r="I3135" s="26">
        <v>43686.590532407397</v>
      </c>
      <c r="J3135" s="28" t="s">
        <v>52</v>
      </c>
      <c r="K3135" s="28" t="s">
        <v>52</v>
      </c>
      <c r="L3135" s="28" t="s">
        <v>52</v>
      </c>
      <c r="M3135" s="28" t="s">
        <v>52</v>
      </c>
      <c r="N3135" s="28" t="s">
        <v>52</v>
      </c>
    </row>
    <row r="3136" spans="1:14" x14ac:dyDescent="0.15">
      <c r="A3136" s="23" t="str">
        <f>HYPERLINK("https://www.spark-marketing.ru/Card/Person/73770", "БПОУ ВО ""ЧЕРЕПОВЕЦКИЙ ХИМИКО-ТЕХНОЛОГИЧЕСКИЙ КОЛЛЕДЖ""")</f>
        <v>БПОУ ВО "ЧЕРЕПОВЕЦКИЙ ХИМИКО-ТЕХНОЛОГИЧЕСКИЙ КОЛЛЕДЖ"</v>
      </c>
      <c r="B3136" s="24" t="s">
        <v>4596</v>
      </c>
      <c r="C3136" s="25">
        <v>894240</v>
      </c>
      <c r="D3136" s="22" t="s">
        <v>4597</v>
      </c>
      <c r="E3136" s="22" t="s">
        <v>52</v>
      </c>
      <c r="F3136" s="23" t="str">
        <f>HYPERLINK("https://www.spark-marketing.ru/Card/Lot/72716358", "Оказание услуг по физической охране для обеспечения защиты жизни и здоровья граждан, безопасности и целостности помещений, имущества, территории БПОУ ВО ""Череповецкий химико-технологический колледж""")</f>
        <v>Оказание услуг по физической охране для обеспечения защиты жизни и здоровья граждан, безопасности и целостности помещений, имущества, территории БПОУ ВО "Череповецкий химико-технологический колледж"</v>
      </c>
      <c r="G3136" s="22" t="s">
        <v>902</v>
      </c>
      <c r="H3136" s="22" t="s">
        <v>4598</v>
      </c>
      <c r="I3136" s="26">
        <v>43686.611365740697</v>
      </c>
      <c r="J3136" s="28" t="s">
        <v>52</v>
      </c>
      <c r="K3136" s="28" t="s">
        <v>52</v>
      </c>
      <c r="L3136" s="28" t="s">
        <v>52</v>
      </c>
      <c r="M3136" s="28" t="s">
        <v>52</v>
      </c>
      <c r="N3136" s="28" t="s">
        <v>52</v>
      </c>
    </row>
    <row r="3137" spans="1:14" ht="12.75" hidden="1" outlineLevel="1" x14ac:dyDescent="0.2">
      <c r="A3137" s="23" t="str">
        <f>HYPERLINK("https://www.spark-marketing.ru/Card/Person/73770", "БПОУ ВО ""ЧЕРЕПОВЕЦКИЙ ХИМИКО-ТЕХНОЛОГИЧЕСКИЙ КОЛЛЕДЖ""")</f>
        <v>БПОУ ВО "ЧЕРЕПОВЕЦКИЙ ХИМИКО-ТЕХНОЛОГИЧЕСКИЙ КОЛЛЕДЖ"</v>
      </c>
      <c r="B3137" s="24" t="s">
        <v>4596</v>
      </c>
      <c r="C3137" s="25">
        <v>894240</v>
      </c>
      <c r="D3137" s="22" t="s">
        <v>4597</v>
      </c>
      <c r="E3137" s="22" t="s">
        <v>52</v>
      </c>
      <c r="F3137" s="23" t="str">
        <f>HYPERLINK("https://www.spark-marketing.ru/Card/Lot/72716358", "Оказание услуг по физической охране для обеспечения защиты жизни и здоровья граждан, безопасности и целостности помещений, имущества, территории БПОУ ВО ""Череповецкий химико-технологический колледж""")</f>
        <v>Оказание услуг по физической охране для обеспечения защиты жизни и здоровья граждан, безопасности и целостности помещений, имущества, территории БПОУ ВО "Череповецкий химико-технологический колледж"</v>
      </c>
      <c r="G3137" s="22" t="s">
        <v>902</v>
      </c>
      <c r="H3137" s="22" t="s">
        <v>4598</v>
      </c>
      <c r="I3137" s="26">
        <v>43686.611365740697</v>
      </c>
      <c r="J3137" s="23" t="str">
        <f>HYPERLINK("https://www.spark-marketing.ru/Card/Person/1264788", "ООО ""ЗАПАДНЫЙ КОНВОЙ""")</f>
        <v>ООО "ЗАПАДНЫЙ КОНВОЙ"</v>
      </c>
      <c r="K3137" s="24" t="s">
        <v>4599</v>
      </c>
      <c r="L3137" s="22" t="s">
        <v>10</v>
      </c>
      <c r="M3137" s="25">
        <v>705023.2</v>
      </c>
      <c r="N3137" s="27">
        <v>0.2115950975129719</v>
      </c>
    </row>
    <row r="3138" spans="1:14" hidden="1" outlineLevel="1" x14ac:dyDescent="0.2">
      <c r="A3138" s="23" t="str">
        <f>HYPERLINK("https://www.spark-marketing.ru/Card/Person/73770", "БПОУ ВО ""ЧЕРЕПОВЕЦКИЙ ХИМИКО-ТЕХНОЛОГИЧЕСКИЙ КОЛЛЕДЖ""")</f>
        <v>БПОУ ВО "ЧЕРЕПОВЕЦКИЙ ХИМИКО-ТЕХНОЛОГИЧЕСКИЙ КОЛЛЕДЖ"</v>
      </c>
      <c r="B3138" s="24" t="s">
        <v>4596</v>
      </c>
      <c r="C3138" s="25">
        <v>894240</v>
      </c>
      <c r="D3138" s="22" t="s">
        <v>4597</v>
      </c>
      <c r="E3138" s="22" t="s">
        <v>52</v>
      </c>
      <c r="F3138" s="23" t="str">
        <f>HYPERLINK("https://www.spark-marketing.ru/Card/Lot/72716358", "Оказание услуг по физической охране для обеспечения защиты жизни и здоровья граждан, безопасности и целостности помещений, имущества, территории БПОУ ВО ""Череповецкий химико-технологический колледж""")</f>
        <v>Оказание услуг по физической охране для обеспечения защиты жизни и здоровья граждан, безопасности и целостности помещений, имущества, территории БПОУ ВО "Череповецкий химико-технологический колледж"</v>
      </c>
      <c r="G3138" s="22" t="s">
        <v>902</v>
      </c>
      <c r="H3138" s="22" t="s">
        <v>4598</v>
      </c>
      <c r="I3138" s="26">
        <v>43686.611365740697</v>
      </c>
      <c r="J3138" s="23" t="str">
        <f>HYPERLINK("https://www.spark-marketing.ru/Card/Person/513555", "ООО ""ЧОП ""ЦИТАДЕЛЬ""")</f>
        <v>ООО "ЧОП "ЦИТАДЕЛЬ"</v>
      </c>
      <c r="K3138" s="24" t="s">
        <v>4600</v>
      </c>
      <c r="L3138" s="28" t="s">
        <v>52</v>
      </c>
      <c r="M3138" s="25">
        <v>709494.4</v>
      </c>
      <c r="N3138" s="27">
        <v>0.20659509751297192</v>
      </c>
    </row>
    <row r="3139" spans="1:14" x14ac:dyDescent="0.15">
      <c r="A3139" s="23" t="str">
        <f>HYPERLINK("https://www.spark-marketing.ru/Card/Person/996264", "МДОУ ЦРР - Д/С №28")</f>
        <v>МДОУ ЦРР - Д/С №28</v>
      </c>
      <c r="B3139" s="24" t="s">
        <v>4601</v>
      </c>
      <c r="C3139" s="25">
        <v>65037.22</v>
      </c>
      <c r="D3139" s="22" t="s">
        <v>4602</v>
      </c>
      <c r="E3139" s="22" t="s">
        <v>84</v>
      </c>
      <c r="F3139" s="23" t="str">
        <f>HYPERLINK("https://www.spark-marketing.ru/Card/Lot/72705557", "Выполнение работ по установке видеодомофонов в корпусах В,С.")</f>
        <v>Выполнение работ по установке видеодомофонов в корпусах В,С.</v>
      </c>
      <c r="G3139" s="22" t="s">
        <v>50</v>
      </c>
      <c r="H3139" s="22" t="s">
        <v>104</v>
      </c>
      <c r="I3139" s="26">
        <v>43686.544398148202</v>
      </c>
      <c r="J3139" s="28" t="s">
        <v>52</v>
      </c>
      <c r="K3139" s="28" t="s">
        <v>52</v>
      </c>
      <c r="L3139" s="28" t="s">
        <v>52</v>
      </c>
      <c r="M3139" s="28" t="s">
        <v>52</v>
      </c>
      <c r="N3139" s="28" t="s">
        <v>52</v>
      </c>
    </row>
    <row r="3140" spans="1:14" x14ac:dyDescent="0.15">
      <c r="A3140" s="23" t="str">
        <f>HYPERLINK("https://www.spark-marketing.ru/Card/Person/1006061", "ДЕТСКИЙ САД ""СОЛНЫШКО"" Р.П. ДОРОГИНО")</f>
        <v>ДЕТСКИЙ САД "СОЛНЫШКО" Р.П. ДОРОГИНО</v>
      </c>
      <c r="B3140" s="24" t="s">
        <v>4603</v>
      </c>
      <c r="C3140" s="25">
        <v>2636.4</v>
      </c>
      <c r="D3140" s="22" t="s">
        <v>4604</v>
      </c>
      <c r="E3140" s="22" t="s">
        <v>52</v>
      </c>
      <c r="F3140" s="23" t="str">
        <f>HYPERLINK("https://www.spark-marketing.ru/Card/Lot/72704768", "оказание услуг по техническому обслуживанию комплекса технических средств охраны на объектах")</f>
        <v>оказание услуг по техническому обслуживанию комплекса технических средств охраны на объектах</v>
      </c>
      <c r="G3140" s="22" t="s">
        <v>209</v>
      </c>
      <c r="H3140" s="22" t="s">
        <v>4605</v>
      </c>
      <c r="I3140" s="26">
        <v>43686.577777777798</v>
      </c>
      <c r="J3140" s="28" t="s">
        <v>52</v>
      </c>
      <c r="K3140" s="28" t="s">
        <v>52</v>
      </c>
      <c r="L3140" s="28" t="s">
        <v>52</v>
      </c>
      <c r="M3140" s="28" t="s">
        <v>52</v>
      </c>
      <c r="N3140" s="28" t="s">
        <v>52</v>
      </c>
    </row>
    <row r="3141" spans="1:14" x14ac:dyDescent="0.15">
      <c r="A3141" s="23" t="str">
        <f>HYPERLINK("https://www.spark-marketing.ru/Card/Person/4958", "ФКУ УПРДОР ""ЛЕНА""")</f>
        <v>ФКУ УПРДОР "ЛЕНА"</v>
      </c>
      <c r="B3141" s="24" t="s">
        <v>600</v>
      </c>
      <c r="C3141" s="25">
        <v>95180460</v>
      </c>
      <c r="D3141" s="22" t="s">
        <v>4606</v>
      </c>
      <c r="E3141" s="22" t="s">
        <v>84</v>
      </c>
      <c r="F3141" s="23" t="str">
        <f>HYPERLINK("https://www.spark-marketing.ru/Card/Lot/72696037", "Установка элементов обустройства автомобильных дорог общего пользования федерального значения. Приобретение и установка металлического барьерного ограждения (сбоку от оси проезжей части), табло переменной информации, системы видеоконтроля (камеры фот...")</f>
        <v>Установка элементов обустройства автомобильных дорог общего пользования федерального значения. Приобретение и установка металлического барьерного ограждения (сбоку от оси проезжей части), табло переменной информации, системы видеоконтроля (камеры фот...</v>
      </c>
      <c r="G3141" s="22" t="s">
        <v>424</v>
      </c>
      <c r="H3141" s="22" t="s">
        <v>424</v>
      </c>
      <c r="I3141" s="26">
        <v>43686.566562499997</v>
      </c>
      <c r="J3141" s="23" t="str">
        <f>HYPERLINK("https://www.spark-marketing.ru/Card/Person/4921810", "ООО ""ВЕКТОР""")</f>
        <v>ООО "ВЕКТОР"</v>
      </c>
      <c r="K3141" s="24" t="s">
        <v>4607</v>
      </c>
      <c r="L3141" s="22" t="s">
        <v>10</v>
      </c>
      <c r="M3141" s="28" t="s">
        <v>52</v>
      </c>
      <c r="N3141" s="28" t="s">
        <v>52</v>
      </c>
    </row>
    <row r="3142" spans="1:14" x14ac:dyDescent="0.15">
      <c r="A3142" s="23" t="str">
        <f>HYPERLINK("https://www.spark-marketing.ru/Card/Person/5904515", "ГКУ ""РРЦ""")</f>
        <v>ГКУ "РРЦ"</v>
      </c>
      <c r="B3142" s="24" t="s">
        <v>313</v>
      </c>
      <c r="C3142" s="25">
        <v>37869.03</v>
      </c>
      <c r="D3142" s="22" t="s">
        <v>4608</v>
      </c>
      <c r="E3142" s="22" t="s">
        <v>4609</v>
      </c>
      <c r="F3142" s="23" t="str">
        <f>HYPERLINK("https://www.spark-marketing.ru/Card/Lot/72710715", "На право заключения государственного контракта на поставку подарочной продукции (кресла для релаксации) в рамках организации и проведения конкурса социальных программ, направленных на профилактику наркомании, формирование здорового образа жизни и вов...")</f>
        <v>На право заключения государственного контракта на поставку подарочной продукции (кресла для релаксации) в рамках организации и проведения конкурса социальных программ, направленных на профилактику наркомании, формирование здорового образа жизни и вов...</v>
      </c>
      <c r="G3142" s="22" t="s">
        <v>204</v>
      </c>
      <c r="H3142" s="22" t="s">
        <v>303</v>
      </c>
      <c r="I3142" s="26">
        <v>43686.573993055601</v>
      </c>
      <c r="J3142" s="23" t="str">
        <f>HYPERLINK("https://www.spark-marketing.ru/Card/Person/6453952", "Трошин Артём Валерьевич")</f>
        <v>Трошин Артём Валерьевич</v>
      </c>
      <c r="K3142" s="24" t="s">
        <v>4610</v>
      </c>
      <c r="L3142" s="22" t="s">
        <v>10</v>
      </c>
      <c r="M3142" s="28" t="s">
        <v>52</v>
      </c>
      <c r="N3142" s="28" t="s">
        <v>52</v>
      </c>
    </row>
    <row r="3143" spans="1:14" x14ac:dyDescent="0.15">
      <c r="A3143" s="23" t="str">
        <f>HYPERLINK("https://www.spark-marketing.ru/Card/Person/15149", "ГУЗ ""ДОБРИНСКАЯ МРБ""")</f>
        <v>ГУЗ "ДОБРИНСКАЯ МРБ"</v>
      </c>
      <c r="B3143" s="24" t="s">
        <v>4611</v>
      </c>
      <c r="C3143" s="25">
        <v>62133.33</v>
      </c>
      <c r="D3143" s="22" t="s">
        <v>4612</v>
      </c>
      <c r="E3143" s="22" t="s">
        <v>376</v>
      </c>
      <c r="F3143" s="23" t="str">
        <f>HYPERLINK("https://www.spark-marketing.ru/Card/Lot/72723435", "Тревожная кнопка")</f>
        <v>Тревожная кнопка</v>
      </c>
      <c r="G3143" s="22" t="s">
        <v>629</v>
      </c>
      <c r="H3143" s="22" t="s">
        <v>629</v>
      </c>
      <c r="I3143" s="26">
        <v>43686.504328703697</v>
      </c>
      <c r="J3143" s="23" t="str">
        <f>HYPERLINK("https://www.spark-marketing.ru/Card/Person/4962434", "ООО ""СБ РНД""")</f>
        <v>ООО "СБ РНД"</v>
      </c>
      <c r="K3143" s="24" t="s">
        <v>4613</v>
      </c>
      <c r="L3143" s="28" t="s">
        <v>52</v>
      </c>
      <c r="M3143" s="28" t="s">
        <v>52</v>
      </c>
      <c r="N3143" s="28" t="s">
        <v>52</v>
      </c>
    </row>
    <row r="3144" spans="1:14" hidden="1" outlineLevel="1" x14ac:dyDescent="0.15">
      <c r="A3144" s="23" t="str">
        <f>HYPERLINK("https://www.spark-marketing.ru/Card/Person/15149", "ГУЗ ""ДОБРИНСКАЯ МРБ""")</f>
        <v>ГУЗ "ДОБРИНСКАЯ МРБ"</v>
      </c>
      <c r="B3144" s="24" t="s">
        <v>4611</v>
      </c>
      <c r="C3144" s="25">
        <v>62133.33</v>
      </c>
      <c r="D3144" s="22" t="s">
        <v>4612</v>
      </c>
      <c r="E3144" s="22" t="s">
        <v>376</v>
      </c>
      <c r="F3144" s="23" t="str">
        <f>HYPERLINK("https://www.spark-marketing.ru/Card/Lot/72723435", "Тревожная кнопка")</f>
        <v>Тревожная кнопка</v>
      </c>
      <c r="G3144" s="22" t="s">
        <v>629</v>
      </c>
      <c r="H3144" s="22" t="s">
        <v>629</v>
      </c>
      <c r="I3144" s="26">
        <v>43686.504328703697</v>
      </c>
      <c r="J3144" s="23" t="str">
        <f>HYPERLINK("https://www.spark-marketing.ru/Card/Person/4962434", "ООО ""СБ РНД""")</f>
        <v>ООО "СБ РНД"</v>
      </c>
      <c r="K3144" s="24" t="s">
        <v>4613</v>
      </c>
      <c r="L3144" s="22" t="s">
        <v>10</v>
      </c>
      <c r="M3144" s="28" t="s">
        <v>52</v>
      </c>
      <c r="N3144" s="28" t="s">
        <v>52</v>
      </c>
    </row>
    <row r="3145" spans="1:14" x14ac:dyDescent="0.15">
      <c r="A3145" s="23" t="str">
        <f>HYPERLINK("https://www.spark-marketing.ru/Card/Person/1297297", "МОУ ИКШИНСКАЯ СРЕДНЯЯ ОБЩЕОБРАЗОВАТЕЛЬНАЯ ШКОЛА")</f>
        <v>МОУ ИКШИНСКАЯ СРЕДНЯЯ ОБЩЕОБРАЗОВАТЕЛЬНАЯ ШКОЛА</v>
      </c>
      <c r="B3145" s="24" t="s">
        <v>4614</v>
      </c>
      <c r="C3145" s="25">
        <v>90000</v>
      </c>
      <c r="D3145" s="22" t="s">
        <v>4615</v>
      </c>
      <c r="E3145" s="22" t="s">
        <v>107</v>
      </c>
      <c r="F3145" s="23" t="str">
        <f>HYPERLINK("https://www.spark-marketing.ru/Card/Lot/72703045", "Закупка и установка видеодомофона")</f>
        <v>Закупка и установка видеодомофона</v>
      </c>
      <c r="G3145" s="22" t="s">
        <v>50</v>
      </c>
      <c r="H3145" s="22" t="s">
        <v>511</v>
      </c>
      <c r="I3145" s="26">
        <v>43686.513449074097</v>
      </c>
      <c r="J3145" s="28" t="s">
        <v>52</v>
      </c>
      <c r="K3145" s="28" t="s">
        <v>52</v>
      </c>
      <c r="L3145" s="28" t="s">
        <v>52</v>
      </c>
      <c r="M3145" s="28" t="s">
        <v>52</v>
      </c>
      <c r="N3145" s="28" t="s">
        <v>52</v>
      </c>
    </row>
    <row r="3146" spans="1:14" x14ac:dyDescent="0.15">
      <c r="A3146" s="23" t="str">
        <f>HYPERLINK("https://www.spark-marketing.ru/Card/Person/75695", "ГБОУ МО ""ОДИНЦОВСКИЙ ""ДЕСЯТЫЙ ЛИЦЕЙ""")</f>
        <v>ГБОУ МО "ОДИНЦОВСКИЙ "ДЕСЯТЫЙ ЛИЦЕЙ"</v>
      </c>
      <c r="B3146" s="24" t="s">
        <v>4616</v>
      </c>
      <c r="C3146" s="25">
        <v>29560</v>
      </c>
      <c r="D3146" s="22" t="s">
        <v>4617</v>
      </c>
      <c r="E3146" s="22" t="s">
        <v>732</v>
      </c>
      <c r="F3146" s="23" t="str">
        <f>HYPERLINK("https://www.spark-marketing.ru/Card/Lot/72701723", "Закупка в 2019 году комплектующих для установки наружного домофона для нужд МБОУ Одинцовского лицея №10")</f>
        <v>Закупка в 2019 году комплектующих для установки наружного домофона для нужд МБОУ Одинцовского лицея №10</v>
      </c>
      <c r="G3146" s="22" t="s">
        <v>50</v>
      </c>
      <c r="H3146" s="22" t="s">
        <v>1045</v>
      </c>
      <c r="I3146" s="26">
        <v>43686.471585648098</v>
      </c>
      <c r="J3146" s="28" t="s">
        <v>52</v>
      </c>
      <c r="K3146" s="28" t="s">
        <v>52</v>
      </c>
      <c r="L3146" s="28" t="s">
        <v>52</v>
      </c>
      <c r="M3146" s="28" t="s">
        <v>52</v>
      </c>
      <c r="N3146" s="28" t="s">
        <v>52</v>
      </c>
    </row>
    <row r="3147" spans="1:14" x14ac:dyDescent="0.15">
      <c r="A3147" s="23" t="str">
        <f>HYPERLINK("https://www.spark-marketing.ru/Card/Person/43092", "АДМИНИСТРАЦИЯ МУНИЦИПАЛЬНОГО ОБРАЗОВАНИЯ ШУРЫШКАРСКИЙ РАЙОН")</f>
        <v>АДМИНИСТРАЦИЯ МУНИЦИПАЛЬНОГО ОБРАЗОВАНИЯ ШУРЫШКАРСКИЙ РАЙОН</v>
      </c>
      <c r="B3147" s="24" t="s">
        <v>4618</v>
      </c>
      <c r="C3147" s="25">
        <v>110000</v>
      </c>
      <c r="D3147" s="22" t="s">
        <v>4619</v>
      </c>
      <c r="E3147" s="22" t="s">
        <v>194</v>
      </c>
      <c r="F3147" s="23" t="str">
        <f>HYPERLINK("https://www.spark-marketing.ru/Card/Lot/72695208", "Поставка и установка систем видеонаблюдения за охраной общественного порядка")</f>
        <v>Поставка и установка систем видеонаблюдения за охраной общественного порядка</v>
      </c>
      <c r="G3147" s="22" t="s">
        <v>311</v>
      </c>
      <c r="H3147" s="22" t="s">
        <v>311</v>
      </c>
      <c r="I3147" s="26">
        <v>43686.431145833303</v>
      </c>
      <c r="J3147" s="23" t="str">
        <f>HYPERLINK("https://www.spark-marketing.ru/Card/Person/4681083", "ООО ""СЕВЕРСТРОЙКОМПЛЕКТ""")</f>
        <v>ООО "СЕВЕРСТРОЙКОМПЛЕКТ"</v>
      </c>
      <c r="K3147" s="24" t="s">
        <v>4620</v>
      </c>
      <c r="L3147" s="22" t="s">
        <v>10</v>
      </c>
      <c r="M3147" s="28" t="s">
        <v>52</v>
      </c>
      <c r="N3147" s="28" t="s">
        <v>52</v>
      </c>
    </row>
    <row r="3148" spans="1:14" x14ac:dyDescent="0.15">
      <c r="A3148" s="23" t="str">
        <f>HYPERLINK("https://www.spark-marketing.ru/Card/Person/19715", "АДМИНИСТРАЦИЯ ТАЦИНСКОГО СЕЛЬСКОГО ПОСЕЛЕНИЯ")</f>
        <v>АДМИНИСТРАЦИЯ ТАЦИНСКОГО СЕЛЬСКОГО ПОСЕЛЕНИЯ</v>
      </c>
      <c r="B3148" s="24" t="s">
        <v>4621</v>
      </c>
      <c r="C3148" s="25">
        <v>33000</v>
      </c>
      <c r="D3148" s="22" t="s">
        <v>4622</v>
      </c>
      <c r="E3148" s="22" t="s">
        <v>294</v>
      </c>
      <c r="F3148" s="23" t="str">
        <f>HYPERLINK("https://www.spark-marketing.ru/Card/Lot/72698137", "Техническое обслуживание системы видеонаблюдения на территории ст. Тацинской")</f>
        <v>Техническое обслуживание системы видеонаблюдения на территории ст. Тацинской</v>
      </c>
      <c r="G3148" s="22" t="s">
        <v>402</v>
      </c>
      <c r="H3148" s="22" t="s">
        <v>4623</v>
      </c>
      <c r="I3148" s="26">
        <v>43686.440277777801</v>
      </c>
      <c r="J3148" s="28" t="s">
        <v>52</v>
      </c>
      <c r="K3148" s="28" t="s">
        <v>52</v>
      </c>
      <c r="L3148" s="28" t="s">
        <v>52</v>
      </c>
      <c r="M3148" s="28" t="s">
        <v>52</v>
      </c>
      <c r="N3148" s="28" t="s">
        <v>52</v>
      </c>
    </row>
    <row r="3149" spans="1:14" x14ac:dyDescent="0.15">
      <c r="A3149" s="23" t="str">
        <f>HYPERLINK("https://www.spark-marketing.ru/Card/Person/6684537", "ЗАКАЗЧИК С ПЛОЩАДКИ CISLINK")</f>
        <v>ЗАКАЗЧИК С ПЛОЩАДКИ CISLINK</v>
      </c>
      <c r="B3149" s="28" t="s">
        <v>52</v>
      </c>
      <c r="C3149" s="28" t="s">
        <v>52</v>
      </c>
      <c r="D3149" s="22" t="s">
        <v>4624</v>
      </c>
      <c r="E3149" s="22" t="s">
        <v>53</v>
      </c>
      <c r="F3149" s="23" t="str">
        <f>HYPERLINK("https://www.spark-marketing.ru/Card/Lot/72850771", "Монтаж охранной сигнализации и КТС. Оказание услуг по пультовой охране. (Этап 2)")</f>
        <v>Монтаж охранной сигнализации и КТС. Оказание услуг по пультовой охране. (Этап 2)</v>
      </c>
      <c r="G3149" s="22" t="s">
        <v>52</v>
      </c>
      <c r="H3149" s="22" t="s">
        <v>52</v>
      </c>
      <c r="I3149" s="26">
        <v>43686.427083333299</v>
      </c>
      <c r="J3149" s="28" t="s">
        <v>52</v>
      </c>
      <c r="K3149" s="28" t="s">
        <v>52</v>
      </c>
      <c r="L3149" s="28" t="s">
        <v>52</v>
      </c>
      <c r="M3149" s="28" t="s">
        <v>52</v>
      </c>
      <c r="N3149" s="28" t="s">
        <v>52</v>
      </c>
    </row>
    <row r="3150" spans="1:14" x14ac:dyDescent="0.15">
      <c r="A3150" s="23" t="str">
        <f>HYPERLINK("https://www.spark-marketing.ru/Card/Person/1052367", "ГБДОУ НАО ""ЦРР-ДС ""ГНЁЗДЫШКО""")</f>
        <v>ГБДОУ НАО "ЦРР-ДС "ГНЁЗДЫШКО"</v>
      </c>
      <c r="B3150" s="24" t="s">
        <v>4625</v>
      </c>
      <c r="C3150" s="25">
        <v>48000</v>
      </c>
      <c r="D3150" s="22" t="s">
        <v>4626</v>
      </c>
      <c r="E3150" s="22" t="s">
        <v>349</v>
      </c>
      <c r="F3150" s="23" t="str">
        <f>HYPERLINK("https://www.spark-marketing.ru/Card/Lot/72698143", "Установка телевизионного видеонаблюдения (ТВН)")</f>
        <v>Установка телевизионного видеонаблюдения (ТВН)</v>
      </c>
      <c r="G3150" s="22" t="s">
        <v>1014</v>
      </c>
      <c r="H3150" s="22" t="s">
        <v>1015</v>
      </c>
      <c r="I3150" s="26">
        <v>43686.440972222197</v>
      </c>
      <c r="J3150" s="28" t="s">
        <v>52</v>
      </c>
      <c r="K3150" s="28" t="s">
        <v>52</v>
      </c>
      <c r="L3150" s="28" t="s">
        <v>52</v>
      </c>
      <c r="M3150" s="28" t="s">
        <v>52</v>
      </c>
      <c r="N3150" s="28" t="s">
        <v>52</v>
      </c>
    </row>
    <row r="3151" spans="1:14" x14ac:dyDescent="0.15">
      <c r="A3151" s="23" t="str">
        <f>HYPERLINK("https://www.spark-marketing.ru/Card/Person/173164", "ОТДЕЛ МВД РОССИИ ПО КАВКАЗСКОМУ РАЙОНУ")</f>
        <v>ОТДЕЛ МВД РОССИИ ПО КАВКАЗСКОМУ РАЙОНУ</v>
      </c>
      <c r="B3151" s="24" t="s">
        <v>4627</v>
      </c>
      <c r="C3151" s="25">
        <v>175674.48</v>
      </c>
      <c r="D3151" s="22" t="s">
        <v>4628</v>
      </c>
      <c r="E3151" s="22" t="s">
        <v>107</v>
      </c>
      <c r="F3151" s="23" t="str">
        <f>HYPERLINK("https://www.spark-marketing.ru/Card/Lot/72696812", "Техническое обслуживание инженерно-технических средств охраны, 117 шт")</f>
        <v>Техническое обслуживание инженерно-технических средств охраны, 117 шт</v>
      </c>
      <c r="G3151" s="22" t="s">
        <v>132</v>
      </c>
      <c r="H3151" s="22" t="s">
        <v>4629</v>
      </c>
      <c r="I3151" s="26">
        <v>43686.434050925898</v>
      </c>
      <c r="J3151" s="28" t="s">
        <v>52</v>
      </c>
      <c r="K3151" s="28" t="s">
        <v>52</v>
      </c>
      <c r="L3151" s="28" t="s">
        <v>52</v>
      </c>
      <c r="M3151" s="28" t="s">
        <v>52</v>
      </c>
      <c r="N3151" s="28" t="s">
        <v>52</v>
      </c>
    </row>
    <row r="3152" spans="1:14" x14ac:dyDescent="0.15">
      <c r="A3152" s="23" t="str">
        <f>HYPERLINK("https://www.spark-marketing.ru/Card/Person/173164", "ОТДЕЛ МВД РОССИИ ПО КАВКАЗСКОМУ РАЙОНУ")</f>
        <v>ОТДЕЛ МВД РОССИИ ПО КАВКАЗСКОМУ РАЙОНУ</v>
      </c>
      <c r="B3152" s="24" t="s">
        <v>4627</v>
      </c>
      <c r="C3152" s="25">
        <v>175674.48</v>
      </c>
      <c r="D3152" s="22" t="s">
        <v>4630</v>
      </c>
      <c r="E3152" s="22" t="s">
        <v>107</v>
      </c>
      <c r="F3152" s="23" t="str">
        <f>HYPERLINK("https://www.spark-marketing.ru/Card/Lot/72697403", "Техническое обслуживание и ППР технических средств охраны, 87 шт")</f>
        <v>Техническое обслуживание и ППР технических средств охраны, 87 шт</v>
      </c>
      <c r="G3152" s="22" t="s">
        <v>132</v>
      </c>
      <c r="H3152" s="22" t="s">
        <v>4629</v>
      </c>
      <c r="I3152" s="26">
        <v>43686.439062500001</v>
      </c>
      <c r="J3152" s="28" t="s">
        <v>52</v>
      </c>
      <c r="K3152" s="28" t="s">
        <v>52</v>
      </c>
      <c r="L3152" s="28" t="s">
        <v>52</v>
      </c>
      <c r="M3152" s="28" t="s">
        <v>52</v>
      </c>
      <c r="N3152" s="28" t="s">
        <v>52</v>
      </c>
    </row>
    <row r="3153" spans="1:14" x14ac:dyDescent="0.15">
      <c r="A3153" s="23" t="str">
        <f>HYPERLINK("https://www.spark-marketing.ru/Card/Person/4380123", "ГКУЦПДОБПР ""НАШ ДОМ""")</f>
        <v>ГКУЦПДОБПР "НАШ ДОМ"</v>
      </c>
      <c r="B3153" s="24" t="s">
        <v>4631</v>
      </c>
      <c r="C3153" s="25">
        <v>3929832</v>
      </c>
      <c r="D3153" s="22" t="s">
        <v>4632</v>
      </c>
      <c r="E3153" s="22" t="s">
        <v>59</v>
      </c>
      <c r="F3153" s="23" t="str">
        <f>HYPERLINK("https://www.spark-marketing.ru/Card/Lot/72703503", "на выполнение работ по установке системы охранного телевизионного видеонаблюдения комплекса зданий, прилегающей территории и охраны периметра в Государственному казенном учреждении города Севастополя ""ЦЕНТР ПОМОЩИ ДЕТЯМ, ОСТАВШИМСЯ БЕЗ ПОПЕЧЕНИЯ РОД...")</f>
        <v>на выполнение работ по установке системы охранного телевизионного видеонаблюдения комплекса зданий, прилегающей территории и охраны периметра в Государственному казенном учреждении города Севастополя "ЦЕНТР ПОМОЩИ ДЕТЯМ, ОСТАВШИМСЯ БЕЗ ПОПЕЧЕНИЯ РОД...</v>
      </c>
      <c r="G3153" s="22" t="s">
        <v>714</v>
      </c>
      <c r="H3153" s="22" t="s">
        <v>714</v>
      </c>
      <c r="I3153" s="26">
        <v>43686.457037036998</v>
      </c>
      <c r="J3153" s="28" t="s">
        <v>52</v>
      </c>
      <c r="K3153" s="28" t="s">
        <v>52</v>
      </c>
      <c r="L3153" s="28" t="s">
        <v>52</v>
      </c>
      <c r="M3153" s="28" t="s">
        <v>52</v>
      </c>
      <c r="N3153" s="28" t="s">
        <v>52</v>
      </c>
    </row>
    <row r="3154" spans="1:14" hidden="1" outlineLevel="1" x14ac:dyDescent="0.2">
      <c r="A3154" s="23" t="str">
        <f>HYPERLINK("https://www.spark-marketing.ru/Card/Person/4380123", "ГКУЦПДОБПР ""НАШ ДОМ""")</f>
        <v>ГКУЦПДОБПР "НАШ ДОМ"</v>
      </c>
      <c r="B3154" s="24" t="s">
        <v>4631</v>
      </c>
      <c r="C3154" s="25">
        <v>3929832</v>
      </c>
      <c r="D3154" s="22" t="s">
        <v>4632</v>
      </c>
      <c r="E3154" s="22" t="s">
        <v>59</v>
      </c>
      <c r="F3154" s="23" t="str">
        <f>HYPERLINK("https://www.spark-marketing.ru/Card/Lot/72703503", "на выполнение работ по установке системы охранного телевизионного видеонаблюдения комплекса зданий, прилегающей территории и охраны периметра в Государственному казенном учреждении города Севастополя ""ЦЕНТР ПОМОЩИ ДЕТЯМ, ОСТАВШИМСЯ БЕЗ ПОПЕЧЕНИЯ РОД...")</f>
        <v>на выполнение работ по установке системы охранного телевизионного видеонаблюдения комплекса зданий, прилегающей территории и охраны периметра в Государственному казенном учреждении города Севастополя "ЦЕНТР ПОМОЩИ ДЕТЯМ, ОСТАВШИМСЯ БЕЗ ПОПЕЧЕНИЯ РОД...</v>
      </c>
      <c r="G3154" s="22" t="s">
        <v>714</v>
      </c>
      <c r="H3154" s="22" t="s">
        <v>714</v>
      </c>
      <c r="I3154" s="26">
        <v>43686.457037036998</v>
      </c>
      <c r="J3154" s="23" t="str">
        <f>HYPERLINK("https://www.spark-marketing.ru/Card/Person/6689910", "ООО ""ИТЦ ОСК""")</f>
        <v>ООО "ИТЦ ОСК"</v>
      </c>
      <c r="K3154" s="24" t="s">
        <v>4633</v>
      </c>
      <c r="L3154" s="28" t="s">
        <v>52</v>
      </c>
      <c r="M3154" s="25">
        <v>3418953.83</v>
      </c>
      <c r="N3154" s="27">
        <v>0.13000000254463803</v>
      </c>
    </row>
    <row r="3155" spans="1:14" ht="12.75" hidden="1" outlineLevel="1" x14ac:dyDescent="0.2">
      <c r="A3155" s="23" t="str">
        <f>HYPERLINK("https://www.spark-marketing.ru/Card/Person/4380123", "ГКУЦПДОБПР ""НАШ ДОМ""")</f>
        <v>ГКУЦПДОБПР "НАШ ДОМ"</v>
      </c>
      <c r="B3155" s="24" t="s">
        <v>4631</v>
      </c>
      <c r="C3155" s="25">
        <v>3929832</v>
      </c>
      <c r="D3155" s="22" t="s">
        <v>4632</v>
      </c>
      <c r="E3155" s="22" t="s">
        <v>59</v>
      </c>
      <c r="F3155" s="23" t="str">
        <f>HYPERLINK("https://www.spark-marketing.ru/Card/Lot/72703503", "на выполнение работ по установке системы охранного телевизионного видеонаблюдения комплекса зданий, прилегающей территории и охраны периметра в Государственному казенном учреждении города Севастополя ""ЦЕНТР ПОМОЩИ ДЕТЯМ, ОСТАВШИМСЯ БЕЗ ПОПЕЧЕНИЯ РОД...")</f>
        <v>на выполнение работ по установке системы охранного телевизионного видеонаблюдения комплекса зданий, прилегающей территории и охраны периметра в Государственному казенном учреждении города Севастополя "ЦЕНТР ПОМОЩИ ДЕТЯМ, ОСТАВШИМСЯ БЕЗ ПОПЕЧЕНИЯ РОД...</v>
      </c>
      <c r="G3155" s="22" t="s">
        <v>714</v>
      </c>
      <c r="H3155" s="22" t="s">
        <v>714</v>
      </c>
      <c r="I3155" s="26">
        <v>43686.457037036998</v>
      </c>
      <c r="J3155" s="23" t="str">
        <f>HYPERLINK("https://www.spark-marketing.ru/Card/Person/373670", "ООО ""ОПС""")</f>
        <v>ООО "ОПС"</v>
      </c>
      <c r="K3155" s="24" t="s">
        <v>4634</v>
      </c>
      <c r="L3155" s="22" t="s">
        <v>10</v>
      </c>
      <c r="M3155" s="25">
        <v>3242111.4</v>
      </c>
      <c r="N3155" s="27">
        <v>0.17499999999999999</v>
      </c>
    </row>
    <row r="3156" spans="1:14" hidden="1" outlineLevel="1" x14ac:dyDescent="0.2">
      <c r="A3156" s="23" t="str">
        <f>HYPERLINK("https://www.spark-marketing.ru/Card/Person/4380123", "ГКУЦПДОБПР ""НАШ ДОМ""")</f>
        <v>ГКУЦПДОБПР "НАШ ДОМ"</v>
      </c>
      <c r="B3156" s="24" t="s">
        <v>4631</v>
      </c>
      <c r="C3156" s="25">
        <v>3929832</v>
      </c>
      <c r="D3156" s="22" t="s">
        <v>4632</v>
      </c>
      <c r="E3156" s="22" t="s">
        <v>59</v>
      </c>
      <c r="F3156" s="23" t="str">
        <f>HYPERLINK("https://www.spark-marketing.ru/Card/Lot/72703503", "на выполнение работ по установке системы охранного телевизионного видеонаблюдения комплекса зданий, прилегающей территории и охраны периметра в Государственному казенном учреждении города Севастополя ""ЦЕНТР ПОМОЩИ ДЕТЯМ, ОСТАВШИМСЯ БЕЗ ПОПЕЧЕНИЯ РОД...")</f>
        <v>на выполнение работ по установке системы охранного телевизионного видеонаблюдения комплекса зданий, прилегающей территории и охраны периметра в Государственному казенном учреждении города Севастополя "ЦЕНТР ПОМОЩИ ДЕТЯМ, ОСТАВШИМСЯ БЕЗ ПОПЕЧЕНИЯ РОД...</v>
      </c>
      <c r="G3156" s="22" t="s">
        <v>714</v>
      </c>
      <c r="H3156" s="22" t="s">
        <v>714</v>
      </c>
      <c r="I3156" s="26">
        <v>43686.457037036998</v>
      </c>
      <c r="J3156" s="23" t="str">
        <f>HYPERLINK("https://www.spark-marketing.ru/Card/Person/13673", "ФГУП РСВО")</f>
        <v>ФГУП РСВО</v>
      </c>
      <c r="K3156" s="24" t="s">
        <v>4635</v>
      </c>
      <c r="L3156" s="28" t="s">
        <v>52</v>
      </c>
      <c r="M3156" s="25">
        <v>3497550.48</v>
      </c>
      <c r="N3156" s="27">
        <v>0.11</v>
      </c>
    </row>
    <row r="3157" spans="1:14" hidden="1" outlineLevel="1" x14ac:dyDescent="0.2">
      <c r="A3157" s="23" t="str">
        <f>HYPERLINK("https://www.spark-marketing.ru/Card/Person/4380123", "ГКУЦПДОБПР ""НАШ ДОМ""")</f>
        <v>ГКУЦПДОБПР "НАШ ДОМ"</v>
      </c>
      <c r="B3157" s="24" t="s">
        <v>4631</v>
      </c>
      <c r="C3157" s="25">
        <v>3929832</v>
      </c>
      <c r="D3157" s="22" t="s">
        <v>4632</v>
      </c>
      <c r="E3157" s="22" t="s">
        <v>59</v>
      </c>
      <c r="F3157" s="23" t="str">
        <f>HYPERLINK("https://www.spark-marketing.ru/Card/Lot/72703503", "на выполнение работ по установке системы охранного телевизионного видеонаблюдения комплекса зданий, прилегающей территории и охраны периметра в Государственному казенном учреждении города Севастополя ""ЦЕНТР ПОМОЩИ ДЕТЯМ, ОСТАВШИМСЯ БЕЗ ПОПЕЧЕНИЯ РОД...")</f>
        <v>на выполнение работ по установке системы охранного телевизионного видеонаблюдения комплекса зданий, прилегающей территории и охраны периметра в Государственному казенном учреждении города Севастополя "ЦЕНТР ПОМОЩИ ДЕТЯМ, ОСТАВШИМСЯ БЕЗ ПОПЕЧЕНИЯ РОД...</v>
      </c>
      <c r="G3157" s="22" t="s">
        <v>714</v>
      </c>
      <c r="H3157" s="22" t="s">
        <v>714</v>
      </c>
      <c r="I3157" s="26">
        <v>43686.457037036998</v>
      </c>
      <c r="J3157" s="23" t="str">
        <f>HYPERLINK("https://www.spark-marketing.ru/Card/Person/6623742", "ООО ""СТРОИТЕЛЬНЫЕ ТЕХНОЛОГИИ""")</f>
        <v>ООО "СТРОИТЕЛЬНЫЕ ТЕХНОЛОГИИ"</v>
      </c>
      <c r="K3157" s="24" t="s">
        <v>4636</v>
      </c>
      <c r="L3157" s="28" t="s">
        <v>52</v>
      </c>
      <c r="M3157" s="25">
        <v>3261760.56</v>
      </c>
      <c r="N3157" s="27">
        <v>0.17</v>
      </c>
    </row>
    <row r="3158" spans="1:14" x14ac:dyDescent="0.15">
      <c r="A3158" s="23" t="str">
        <f>HYPERLINK("https://www.spark-marketing.ru/Card/Person/173164", "ОТДЕЛ МВД РОССИИ ПО КАВКАЗСКОМУ РАЙОНУ")</f>
        <v>ОТДЕЛ МВД РОССИИ ПО КАВКАЗСКОМУ РАЙОНУ</v>
      </c>
      <c r="B3158" s="24" t="s">
        <v>4627</v>
      </c>
      <c r="C3158" s="25">
        <v>175674.48</v>
      </c>
      <c r="D3158" s="22" t="s">
        <v>4637</v>
      </c>
      <c r="E3158" s="22" t="s">
        <v>107</v>
      </c>
      <c r="F3158" s="23" t="str">
        <f>HYPERLINK("https://www.spark-marketing.ru/Card/Lot/72697386", "Техническое обслуживание и ППР технических средств охраны, 87 шт")</f>
        <v>Техническое обслуживание и ППР технических средств охраны, 87 шт</v>
      </c>
      <c r="G3158" s="22" t="s">
        <v>132</v>
      </c>
      <c r="H3158" s="22" t="s">
        <v>4629</v>
      </c>
      <c r="I3158" s="26">
        <v>43686.442627314798</v>
      </c>
      <c r="J3158" s="28" t="s">
        <v>52</v>
      </c>
      <c r="K3158" s="28" t="s">
        <v>52</v>
      </c>
      <c r="L3158" s="28" t="s">
        <v>52</v>
      </c>
      <c r="M3158" s="28" t="s">
        <v>52</v>
      </c>
      <c r="N3158" s="28" t="s">
        <v>52</v>
      </c>
    </row>
    <row r="3159" spans="1:14" x14ac:dyDescent="0.15">
      <c r="A3159" s="23" t="str">
        <f>HYPERLINK("https://www.spark-marketing.ru/Card/Person/4365569", "ФГУП ""РОСМОРПОРТ""")</f>
        <v>ФГУП "РОСМОРПОРТ"</v>
      </c>
      <c r="B3159" s="24" t="s">
        <v>273</v>
      </c>
      <c r="C3159" s="28" t="s">
        <v>52</v>
      </c>
      <c r="D3159" s="22" t="s">
        <v>4638</v>
      </c>
      <c r="E3159" s="22" t="s">
        <v>49</v>
      </c>
      <c r="F3159" s="23" t="str">
        <f>HYPERLINK("https://www.spark-marketing.ru/Card/Lot/73999610", "(МФ) Установка системы охранной сигнализации")</f>
        <v>(МФ) Установка системы охранной сигнализации</v>
      </c>
      <c r="G3159" s="22" t="s">
        <v>55</v>
      </c>
      <c r="H3159" s="22" t="s">
        <v>55</v>
      </c>
      <c r="I3159" s="26">
        <v>43686.427083333299</v>
      </c>
      <c r="J3159" s="28" t="s">
        <v>52</v>
      </c>
      <c r="K3159" s="28" t="s">
        <v>52</v>
      </c>
      <c r="L3159" s="28" t="s">
        <v>52</v>
      </c>
      <c r="M3159" s="28" t="s">
        <v>52</v>
      </c>
      <c r="N3159" s="28" t="s">
        <v>52</v>
      </c>
    </row>
    <row r="3160" spans="1:14" x14ac:dyDescent="0.15">
      <c r="A3160" s="23" t="str">
        <f>HYPERLINK("https://www.spark-marketing.ru/Card/Person/4350490", "МБУ ""ВОИС""")</f>
        <v>МБУ "ВОИС"</v>
      </c>
      <c r="B3160" s="24" t="s">
        <v>2079</v>
      </c>
      <c r="C3160" s="25">
        <v>26771010</v>
      </c>
      <c r="D3160" s="22" t="s">
        <v>4639</v>
      </c>
      <c r="E3160" s="22" t="s">
        <v>842</v>
      </c>
      <c r="F3160" s="23" t="str">
        <f>HYPERLINK("https://www.spark-marketing.ru/Card/Lot/72694443", "Оснащение категорированных объектов средствами обеспечения транспортной безопасности: Путепровод на пересечении улиц Луганской и Объездной дороги со съездами№3,4,5 и 6 в г. Екатеринбурге")</f>
        <v>Оснащение категорированных объектов средствами обеспечения транспортной безопасности: Путепровод на пересечении улиц Луганской и Объездной дороги со съездами№3,4,5 и 6 в г. Екатеринбурге</v>
      </c>
      <c r="G3160" s="22" t="s">
        <v>72</v>
      </c>
      <c r="H3160" s="22" t="s">
        <v>949</v>
      </c>
      <c r="I3160" s="26">
        <v>43686.407256944403</v>
      </c>
      <c r="J3160" s="23" t="str">
        <f>HYPERLINK("https://www.spark-marketing.ru/Card/Person/65561", "ООО ""ВЕСТ""")</f>
        <v>ООО "ВЕСТ"</v>
      </c>
      <c r="K3160" s="24" t="s">
        <v>2492</v>
      </c>
      <c r="L3160" s="22" t="s">
        <v>10</v>
      </c>
      <c r="M3160" s="28" t="s">
        <v>52</v>
      </c>
      <c r="N3160" s="28" t="s">
        <v>52</v>
      </c>
    </row>
    <row r="3161" spans="1:14" x14ac:dyDescent="0.15">
      <c r="A3161" s="23" t="str">
        <f>HYPERLINK("https://www.spark-marketing.ru/Card/Person/19148", "БУ ""ЦСПСКЮ""")</f>
        <v>БУ "ЦСПСКЮ"</v>
      </c>
      <c r="B3161" s="24" t="s">
        <v>4640</v>
      </c>
      <c r="C3161" s="28" t="s">
        <v>52</v>
      </c>
      <c r="D3161" s="22" t="s">
        <v>4641</v>
      </c>
      <c r="E3161" s="22" t="s">
        <v>52</v>
      </c>
      <c r="F3161" s="23" t="str">
        <f>HYPERLINK("https://www.spark-marketing.ru/Card/Lot/72695593", "Поставка, монтаж, установка, пусконаладка системы наружного видеонаблюдения")</f>
        <v>Поставка, монтаж, установка, пусконаладка системы наружного видеонаблюдения</v>
      </c>
      <c r="G3161" s="22" t="s">
        <v>119</v>
      </c>
      <c r="H3161" s="22" t="s">
        <v>2563</v>
      </c>
      <c r="I3161" s="26">
        <v>43686.343055555597</v>
      </c>
      <c r="J3161" s="28" t="s">
        <v>52</v>
      </c>
      <c r="K3161" s="28" t="s">
        <v>52</v>
      </c>
      <c r="L3161" s="28" t="s">
        <v>52</v>
      </c>
      <c r="M3161" s="28" t="s">
        <v>52</v>
      </c>
      <c r="N3161" s="28" t="s">
        <v>52</v>
      </c>
    </row>
    <row r="3162" spans="1:14" x14ac:dyDescent="0.15">
      <c r="A3162" s="23" t="str">
        <f>HYPERLINK("https://www.spark-marketing.ru/Card/Person/4348646", "ООО ""БЕЛОЯРСКАЯ АЭС- АВТО""")</f>
        <v>ООО "БЕЛОЯРСКАЯ АЭС- АВТО"</v>
      </c>
      <c r="B3162" s="24" t="s">
        <v>4642</v>
      </c>
      <c r="C3162" s="25">
        <v>0</v>
      </c>
      <c r="D3162" s="22" t="s">
        <v>4643</v>
      </c>
      <c r="E3162" s="22" t="s">
        <v>53</v>
      </c>
      <c r="F3162" s="23" t="str">
        <f>HYPERLINK("https://www.spark-marketing.ru/Card/Lot/72716809", "мониторинг цен в электронной форме на Оснащение транспортных средств ООО ""Белоярская АЭС-Авто"" техническими средствами обеспечения транспортной безопасности")</f>
        <v>мониторинг цен в электронной форме на Оснащение транспортных средств ООО "Белоярская АЭС-Авто" техническими средствами обеспечения транспортной безопасности</v>
      </c>
      <c r="G3162" s="22" t="s">
        <v>72</v>
      </c>
      <c r="H3162" s="22" t="s">
        <v>846</v>
      </c>
      <c r="I3162" s="26">
        <v>43686.343113425901</v>
      </c>
      <c r="J3162" s="28" t="s">
        <v>52</v>
      </c>
      <c r="K3162" s="28" t="s">
        <v>52</v>
      </c>
      <c r="L3162" s="28" t="s">
        <v>52</v>
      </c>
      <c r="M3162" s="28" t="s">
        <v>52</v>
      </c>
      <c r="N3162" s="28" t="s">
        <v>52</v>
      </c>
    </row>
    <row r="3163" spans="1:14" x14ac:dyDescent="0.15">
      <c r="A3163" s="23" t="str">
        <f>HYPERLINK("https://www.spark-marketing.ru/Card/Person/1017877", "ФГКУ ""СПЕЦИАЛЬНОЕ УПРАВЛЕНИЕ ФПС № 51 МЧС РОССИИ""")</f>
        <v>ФГКУ "СПЕЦИАЛЬНОЕ УПРАВЛЕНИЕ ФПС № 51 МЧС РОССИИ"</v>
      </c>
      <c r="B3163" s="24" t="s">
        <v>4644</v>
      </c>
      <c r="C3163" s="25">
        <v>8560</v>
      </c>
      <c r="D3163" s="22" t="s">
        <v>4645</v>
      </c>
      <c r="E3163" s="22" t="s">
        <v>107</v>
      </c>
      <c r="F3163" s="23" t="str">
        <f>HYPERLINK("https://www.spark-marketing.ru/Card/Lot/72694523", "Техническое обслуживание камер видеонаблюдения, 1 шт")</f>
        <v>Техническое обслуживание камер видеонаблюдения, 1 шт</v>
      </c>
      <c r="G3163" s="22" t="s">
        <v>521</v>
      </c>
      <c r="H3163" s="22" t="s">
        <v>522</v>
      </c>
      <c r="I3163" s="26">
        <v>43686.347881944399</v>
      </c>
      <c r="J3163" s="28" t="s">
        <v>52</v>
      </c>
      <c r="K3163" s="28" t="s">
        <v>52</v>
      </c>
      <c r="L3163" s="28" t="s">
        <v>52</v>
      </c>
      <c r="M3163" s="28" t="s">
        <v>52</v>
      </c>
      <c r="N3163" s="28" t="s">
        <v>52</v>
      </c>
    </row>
    <row r="3164" spans="1:14" x14ac:dyDescent="0.15">
      <c r="A3164" s="23" t="str">
        <f>HYPERLINK("https://www.spark-marketing.ru/Card/Person/19128", "ФКУ ""ГБ МСЭ ПО УДМУРТСКОЙ РЕСПУБЛИКЕ"" МИНТРУДА РОССИИ")</f>
        <v>ФКУ "ГБ МСЭ ПО УДМУРТСКОЙ РЕСПУБЛИКЕ" МИНТРУДА РОССИИ</v>
      </c>
      <c r="B3164" s="24" t="s">
        <v>4646</v>
      </c>
      <c r="C3164" s="25">
        <v>75000</v>
      </c>
      <c r="D3164" s="22" t="s">
        <v>4647</v>
      </c>
      <c r="E3164" s="22" t="s">
        <v>53</v>
      </c>
      <c r="F3164" s="23" t="str">
        <f>HYPERLINK("https://www.spark-marketing.ru/Card/Lot/72693663", "Поставка, монтаж, обслуживание систем видеонаблюдения, 1 усл. ед")</f>
        <v>Поставка, монтаж, обслуживание систем видеонаблюдения, 1 усл. ед</v>
      </c>
      <c r="G3164" s="22" t="s">
        <v>96</v>
      </c>
      <c r="H3164" s="22" t="s">
        <v>1342</v>
      </c>
      <c r="I3164" s="26">
        <v>43686.333379629599</v>
      </c>
      <c r="J3164" s="28" t="s">
        <v>52</v>
      </c>
      <c r="K3164" s="28" t="s">
        <v>52</v>
      </c>
      <c r="L3164" s="28" t="s">
        <v>52</v>
      </c>
      <c r="M3164" s="28" t="s">
        <v>52</v>
      </c>
      <c r="N3164" s="28" t="s">
        <v>52</v>
      </c>
    </row>
    <row r="3165" spans="1:14" x14ac:dyDescent="0.15">
      <c r="A3165" s="23" t="str">
        <f>HYPERLINK("https://www.spark-marketing.ru/Card/Person/4348646", "ООО ""БЕЛОЯРСКАЯ АЭС- АВТО""")</f>
        <v>ООО "БЕЛОЯРСКАЯ АЭС- АВТО"</v>
      </c>
      <c r="B3165" s="24" t="s">
        <v>4642</v>
      </c>
      <c r="C3165" s="28" t="s">
        <v>52</v>
      </c>
      <c r="D3165" s="22" t="s">
        <v>4648</v>
      </c>
      <c r="E3165" s="22" t="s">
        <v>53</v>
      </c>
      <c r="F3165" s="23" t="str">
        <f>HYPERLINK("https://www.spark-marketing.ru/Card/Lot/72700359", "Оснащение транспортных средств ООО ""Белоярская АЭС-Авто"" техническими средствами обеспечения транспортной безопасности (1316648)")</f>
        <v>Оснащение транспортных средств ООО "Белоярская АЭС-Авто" техническими средствами обеспечения транспортной безопасности (1316648)</v>
      </c>
      <c r="G3165" s="22" t="s">
        <v>72</v>
      </c>
      <c r="H3165" s="22" t="s">
        <v>846</v>
      </c>
      <c r="I3165" s="26">
        <v>43686.343136574098</v>
      </c>
      <c r="J3165" s="28" t="s">
        <v>52</v>
      </c>
      <c r="K3165" s="28" t="s">
        <v>52</v>
      </c>
      <c r="L3165" s="28" t="s">
        <v>52</v>
      </c>
      <c r="M3165" s="28" t="s">
        <v>52</v>
      </c>
      <c r="N3165" s="28" t="s">
        <v>52</v>
      </c>
    </row>
    <row r="3166" spans="1:14" x14ac:dyDescent="0.15">
      <c r="A3166" s="23" t="str">
        <f>HYPERLINK("https://www.spark-marketing.ru/Card/Person/49121", "МОМВД РОССИИ ""АРСЕНЬЕВСКИЙ""")</f>
        <v>МОМВД РОССИИ "АРСЕНЬЕВСКИЙ"</v>
      </c>
      <c r="B3166" s="24" t="s">
        <v>4551</v>
      </c>
      <c r="C3166" s="25">
        <v>40408.18</v>
      </c>
      <c r="D3166" s="22" t="s">
        <v>4649</v>
      </c>
      <c r="E3166" s="22" t="s">
        <v>68</v>
      </c>
      <c r="F3166" s="23" t="str">
        <f>HYPERLINK("https://www.spark-marketing.ru/Card/Lot/72692048", "Централизованная охрана объектов, 1 усл. ед")</f>
        <v>Централизованная охрана объектов, 1 усл. ед</v>
      </c>
      <c r="G3166" s="22" t="s">
        <v>409</v>
      </c>
      <c r="H3166" s="22" t="s">
        <v>3740</v>
      </c>
      <c r="I3166" s="26">
        <v>43686.167650463001</v>
      </c>
      <c r="J3166" s="28" t="s">
        <v>52</v>
      </c>
      <c r="K3166" s="28" t="s">
        <v>52</v>
      </c>
      <c r="L3166" s="28" t="s">
        <v>52</v>
      </c>
      <c r="M3166" s="28" t="s">
        <v>52</v>
      </c>
      <c r="N3166" s="28" t="s">
        <v>52</v>
      </c>
    </row>
    <row r="3167" spans="1:14" x14ac:dyDescent="0.15">
      <c r="A3167" s="23" t="str">
        <f>HYPERLINK("https://www.spark-marketing.ru/Card/Person/49121", "МОМВД РОССИИ ""АРСЕНЬЕВСКИЙ""")</f>
        <v>МОМВД РОССИИ "АРСЕНЬЕВСКИЙ"</v>
      </c>
      <c r="B3167" s="24" t="s">
        <v>4551</v>
      </c>
      <c r="C3167" s="25">
        <v>40408.18</v>
      </c>
      <c r="D3167" s="22" t="s">
        <v>4650</v>
      </c>
      <c r="E3167" s="22" t="s">
        <v>68</v>
      </c>
      <c r="F3167" s="23" t="str">
        <f>HYPERLINK("https://www.spark-marketing.ru/Card/Lot/72692155", "Централизованная охрана объектов, 2467 усл. ед")</f>
        <v>Централизованная охрана объектов, 2467 усл. ед</v>
      </c>
      <c r="G3167" s="22" t="s">
        <v>409</v>
      </c>
      <c r="H3167" s="22" t="s">
        <v>3740</v>
      </c>
      <c r="I3167" s="26">
        <v>43686.192187499997</v>
      </c>
      <c r="J3167" s="28" t="s">
        <v>52</v>
      </c>
      <c r="K3167" s="28" t="s">
        <v>52</v>
      </c>
      <c r="L3167" s="28" t="s">
        <v>52</v>
      </c>
      <c r="M3167" s="28" t="s">
        <v>52</v>
      </c>
      <c r="N3167" s="28" t="s">
        <v>52</v>
      </c>
    </row>
    <row r="3168" spans="1:14" x14ac:dyDescent="0.15">
      <c r="A3168" s="23" t="str">
        <f>HYPERLINK("https://www.spark-marketing.ru/Card/Person/4348459", "ПАО ""ЧТПЗ""")</f>
        <v>ПАО "ЧТПЗ"</v>
      </c>
      <c r="B3168" s="24" t="s">
        <v>4651</v>
      </c>
      <c r="C3168" s="25">
        <v>0</v>
      </c>
      <c r="D3168" s="22" t="s">
        <v>4652</v>
      </c>
      <c r="E3168" s="22" t="s">
        <v>59</v>
      </c>
      <c r="F3168" s="23" t="str">
        <f>HYPERLINK("https://www.spark-marketing.ru/Card/Lot/72712569", "Установка систем видеонаблюдения на автопарковках КПП №№ 2, 4, 5, 9")</f>
        <v>Установка систем видеонаблюдения на автопарковках КПП №№ 2, 4, 5, 9</v>
      </c>
      <c r="G3168" s="22" t="s">
        <v>72</v>
      </c>
      <c r="H3168" s="22" t="s">
        <v>2918</v>
      </c>
      <c r="I3168" s="26">
        <v>43686.579282407401</v>
      </c>
      <c r="J3168" s="28" t="s">
        <v>52</v>
      </c>
      <c r="K3168" s="28" t="s">
        <v>52</v>
      </c>
      <c r="L3168" s="28" t="s">
        <v>52</v>
      </c>
      <c r="M3168" s="28" t="s">
        <v>52</v>
      </c>
      <c r="N3168" s="28" t="s">
        <v>52</v>
      </c>
    </row>
    <row r="3169" spans="1:14" x14ac:dyDescent="0.15">
      <c r="A3169" s="23" t="str">
        <f t="shared" ref="A3169:A3174" si="132">HYPERLINK("https://www.spark-marketing.ru/Card/Person/5904515", "ГКУ ""РРЦ""")</f>
        <v>ГКУ "РРЦ"</v>
      </c>
      <c r="B3169" s="24" t="s">
        <v>313</v>
      </c>
      <c r="C3169" s="25">
        <v>73429.98</v>
      </c>
      <c r="D3169" s="22" t="s">
        <v>4653</v>
      </c>
      <c r="E3169" s="22" t="s">
        <v>4654</v>
      </c>
      <c r="F3169" s="23" t="str">
        <f>HYPERLINK("https://www.spark-marketing.ru/Card/Lot/72689857", "На право заключения государственного контракта на поставку подарочной продукции (спортивный батут) в рамках организации и проведения конкурса социальных программ, направленных на профилактику наркомании, формирование здорового образа жизни и вовлечен...")</f>
        <v>На право заключения государственного контракта на поставку подарочной продукции (спортивный батут) в рамках организации и проведения конкурса социальных программ, направленных на профилактику наркомании, формирование здорового образа жизни и вовлечен...</v>
      </c>
      <c r="G3169" s="22" t="s">
        <v>204</v>
      </c>
      <c r="H3169" s="22" t="s">
        <v>303</v>
      </c>
      <c r="I3169" s="26">
        <v>43685.737766203703</v>
      </c>
      <c r="J3169" s="28" t="s">
        <v>52</v>
      </c>
      <c r="K3169" s="28" t="s">
        <v>52</v>
      </c>
      <c r="L3169" s="28" t="s">
        <v>52</v>
      </c>
      <c r="M3169" s="28" t="s">
        <v>52</v>
      </c>
      <c r="N3169" s="28" t="s">
        <v>52</v>
      </c>
    </row>
    <row r="3170" spans="1:14" ht="12.75" hidden="1" outlineLevel="1" x14ac:dyDescent="0.2">
      <c r="A3170" s="23" t="str">
        <f t="shared" si="132"/>
        <v>ГКУ "РРЦ"</v>
      </c>
      <c r="B3170" s="24" t="s">
        <v>313</v>
      </c>
      <c r="C3170" s="25">
        <v>73429.98</v>
      </c>
      <c r="D3170" s="22" t="s">
        <v>4653</v>
      </c>
      <c r="E3170" s="22" t="s">
        <v>4654</v>
      </c>
      <c r="F3170" s="23" t="str">
        <f>HYPERLINK("https://www.spark-marketing.ru/Card/Lot/72689857", "На право заключения государственного контракта на поставку подарочной продукции (спортивный батут) в рамках организации и проведения конкурса социальных программ, направленных на профилактику наркомании, формирование здорового образа жизни и вовлечен...")</f>
        <v>На право заключения государственного контракта на поставку подарочной продукции (спортивный батут) в рамках организации и проведения конкурса социальных программ, направленных на профилактику наркомании, формирование здорового образа жизни и вовлечен...</v>
      </c>
      <c r="G3170" s="22" t="s">
        <v>204</v>
      </c>
      <c r="H3170" s="22" t="s">
        <v>303</v>
      </c>
      <c r="I3170" s="26">
        <v>43685.737766203703</v>
      </c>
      <c r="J3170" s="23" t="str">
        <f>HYPERLINK("https://www.spark-marketing.ru/Card/Person/5966033", "Альховой Александр Васильевич")</f>
        <v>Альховой Александр Васильевич</v>
      </c>
      <c r="K3170" s="24" t="s">
        <v>4655</v>
      </c>
      <c r="L3170" s="22" t="s">
        <v>10</v>
      </c>
      <c r="M3170" s="25">
        <v>66821.279999999999</v>
      </c>
      <c r="N3170" s="27">
        <v>9.0000024513148438E-2</v>
      </c>
    </row>
    <row r="3171" spans="1:14" hidden="1" outlineLevel="1" x14ac:dyDescent="0.2">
      <c r="A3171" s="23" t="str">
        <f t="shared" si="132"/>
        <v>ГКУ "РРЦ"</v>
      </c>
      <c r="B3171" s="24" t="s">
        <v>313</v>
      </c>
      <c r="C3171" s="25">
        <v>73429.98</v>
      </c>
      <c r="D3171" s="22" t="s">
        <v>4653</v>
      </c>
      <c r="E3171" s="22" t="s">
        <v>4654</v>
      </c>
      <c r="F3171" s="23" t="str">
        <f>HYPERLINK("https://www.spark-marketing.ru/Card/Lot/72689857", "На право заключения государственного контракта на поставку подарочной продукции (спортивный батут) в рамках организации и проведения конкурса социальных программ, направленных на профилактику наркомании, формирование здорового образа жизни и вовлечен...")</f>
        <v>На право заключения государственного контракта на поставку подарочной продукции (спортивный батут) в рамках организации и проведения конкурса социальных программ, направленных на профилактику наркомании, формирование здорового образа жизни и вовлечен...</v>
      </c>
      <c r="G3171" s="22" t="s">
        <v>204</v>
      </c>
      <c r="H3171" s="22" t="s">
        <v>303</v>
      </c>
      <c r="I3171" s="26">
        <v>43685.737766203703</v>
      </c>
      <c r="J3171" s="23" t="str">
        <f>HYPERLINK("https://www.spark-marketing.ru/Card/Person/367465", "Попцов Валерий Александрович")</f>
        <v>Попцов Валерий Александрович</v>
      </c>
      <c r="K3171" s="24" t="s">
        <v>4656</v>
      </c>
      <c r="L3171" s="28" t="s">
        <v>52</v>
      </c>
      <c r="M3171" s="25">
        <v>67188.429999999993</v>
      </c>
      <c r="N3171" s="27">
        <v>8.5000023151306864E-2</v>
      </c>
    </row>
    <row r="3172" spans="1:14" x14ac:dyDescent="0.15">
      <c r="A3172" s="23" t="str">
        <f t="shared" si="132"/>
        <v>ГКУ "РРЦ"</v>
      </c>
      <c r="B3172" s="24" t="s">
        <v>313</v>
      </c>
      <c r="C3172" s="25">
        <v>4000.02</v>
      </c>
      <c r="D3172" s="22" t="s">
        <v>4657</v>
      </c>
      <c r="E3172" s="22" t="s">
        <v>4654</v>
      </c>
      <c r="F3172" s="23" t="str">
        <f>HYPERLINK("https://www.spark-marketing.ru/Card/Lot/72688374", "На право заключения государственного контракта на поставку подарочной продукции (мяч для фитнеса ""Фитбол"") в рамках организации и проведения конкурса социальных программ, направленных на профилактику наркомании, формирование здорового образа жизни ...")</f>
        <v>На право заключения государственного контракта на поставку подарочной продукции (мяч для фитнеса "Фитбол") в рамках организации и проведения конкурса социальных программ, направленных на профилактику наркомании, формирование здорового образа жизни ...</v>
      </c>
      <c r="G3172" s="22" t="s">
        <v>204</v>
      </c>
      <c r="H3172" s="22" t="s">
        <v>303</v>
      </c>
      <c r="I3172" s="26">
        <v>43685.6950462963</v>
      </c>
      <c r="J3172" s="28" t="s">
        <v>52</v>
      </c>
      <c r="K3172" s="28" t="s">
        <v>52</v>
      </c>
      <c r="L3172" s="28" t="s">
        <v>52</v>
      </c>
      <c r="M3172" s="28" t="s">
        <v>52</v>
      </c>
      <c r="N3172" s="28" t="s">
        <v>52</v>
      </c>
    </row>
    <row r="3173" spans="1:14" hidden="1" outlineLevel="1" x14ac:dyDescent="0.2">
      <c r="A3173" s="23" t="str">
        <f t="shared" si="132"/>
        <v>ГКУ "РРЦ"</v>
      </c>
      <c r="B3173" s="24" t="s">
        <v>313</v>
      </c>
      <c r="C3173" s="25">
        <v>4000.02</v>
      </c>
      <c r="D3173" s="22" t="s">
        <v>4657</v>
      </c>
      <c r="E3173" s="22" t="s">
        <v>4654</v>
      </c>
      <c r="F3173" s="23" t="str">
        <f>HYPERLINK("https://www.spark-marketing.ru/Card/Lot/72688374", "На право заключения государственного контракта на поставку подарочной продукции (мяч для фитнеса ""Фитбол"") в рамках организации и проведения конкурса социальных программ, направленных на профилактику наркомании, формирование здорового образа жизни ...")</f>
        <v>На право заключения государственного контракта на поставку подарочной продукции (мяч для фитнеса "Фитбол") в рамках организации и проведения конкурса социальных программ, направленных на профилактику наркомании, формирование здорового образа жизни ...</v>
      </c>
      <c r="G3173" s="22" t="s">
        <v>204</v>
      </c>
      <c r="H3173" s="22" t="s">
        <v>303</v>
      </c>
      <c r="I3173" s="26">
        <v>43685.6950462963</v>
      </c>
      <c r="J3173" s="23" t="str">
        <f>HYPERLINK("https://www.spark-marketing.ru/Card/Person/6418133", "ООО ""КУАНТА СЕРВИС""")</f>
        <v>ООО "КУАНТА СЕРВИС"</v>
      </c>
      <c r="K3173" s="24" t="s">
        <v>4572</v>
      </c>
      <c r="L3173" s="28" t="s">
        <v>52</v>
      </c>
      <c r="M3173" s="25">
        <v>3960.02</v>
      </c>
      <c r="N3173" s="27">
        <v>9.9999500002499984E-3</v>
      </c>
    </row>
    <row r="3174" spans="1:14" ht="12.75" hidden="1" outlineLevel="1" x14ac:dyDescent="0.2">
      <c r="A3174" s="23" t="str">
        <f t="shared" si="132"/>
        <v>ГКУ "РРЦ"</v>
      </c>
      <c r="B3174" s="24" t="s">
        <v>313</v>
      </c>
      <c r="C3174" s="25">
        <v>4000.02</v>
      </c>
      <c r="D3174" s="22" t="s">
        <v>4657</v>
      </c>
      <c r="E3174" s="22" t="s">
        <v>4654</v>
      </c>
      <c r="F3174" s="23" t="str">
        <f>HYPERLINK("https://www.spark-marketing.ru/Card/Lot/72688374", "На право заключения государственного контракта на поставку подарочной продукции (мяч для фитнеса ""Фитбол"") в рамках организации и проведения конкурса социальных программ, направленных на профилактику наркомании, формирование здорового образа жизни ...")</f>
        <v>На право заключения государственного контракта на поставку подарочной продукции (мяч для фитнеса "Фитбол") в рамках организации и проведения конкурса социальных программ, направленных на профилактику наркомании, формирование здорового образа жизни ...</v>
      </c>
      <c r="G3174" s="22" t="s">
        <v>204</v>
      </c>
      <c r="H3174" s="22" t="s">
        <v>303</v>
      </c>
      <c r="I3174" s="26">
        <v>43685.6950462963</v>
      </c>
      <c r="J3174" s="23" t="str">
        <f>HYPERLINK("https://www.spark-marketing.ru/Card/Person/367465", "Попцов Валерий Александрович")</f>
        <v>Попцов Валерий Александрович</v>
      </c>
      <c r="K3174" s="24" t="s">
        <v>4656</v>
      </c>
      <c r="L3174" s="22" t="s">
        <v>10</v>
      </c>
      <c r="M3174" s="25">
        <v>3940.02</v>
      </c>
      <c r="N3174" s="27">
        <v>1.4999925000374998E-2</v>
      </c>
    </row>
    <row r="3175" spans="1:14" x14ac:dyDescent="0.15">
      <c r="A3175" s="23" t="str">
        <f>HYPERLINK("https://www.spark-marketing.ru/Card/Person/6052008", "ООО ""САПЛ-БИЗ""")</f>
        <v>ООО "САПЛ-БИЗ"</v>
      </c>
      <c r="B3175" s="24" t="s">
        <v>3500</v>
      </c>
      <c r="C3175" s="28" t="s">
        <v>52</v>
      </c>
      <c r="D3175" s="22" t="s">
        <v>4658</v>
      </c>
      <c r="E3175" s="22" t="s">
        <v>53</v>
      </c>
      <c r="F3175" s="23" t="str">
        <f>HYPERLINK("https://www.spark-marketing.ru/Card/Lot/72688044", "Ищу поставщика товаров для открытия сервиса по продаже и установке видеонаблюдения, интересует весь ассортимент, рассмотрю всех производителей. Бюджет закупки - до 500 т.р. Прошу предоставить прайс и условия сотрудничества. Доставка в г. Бугульма, Та...")</f>
        <v>Ищу поставщика товаров для открытия сервиса по продаже и установке видеонаблюдения, интересует весь ассортимент, рассмотрю всех производителей. Бюджет закупки - до 500 т.р. Прошу предоставить прайс и условия сотрудничества. Доставка в г. Бугульма, Та...</v>
      </c>
      <c r="G3175" s="22" t="s">
        <v>150</v>
      </c>
      <c r="H3175" s="22" t="s">
        <v>1656</v>
      </c>
      <c r="I3175" s="26">
        <v>43685.7082407407</v>
      </c>
      <c r="J3175" s="28" t="s">
        <v>52</v>
      </c>
      <c r="K3175" s="28" t="s">
        <v>52</v>
      </c>
      <c r="L3175" s="28" t="s">
        <v>52</v>
      </c>
      <c r="M3175" s="28" t="s">
        <v>52</v>
      </c>
      <c r="N3175" s="28" t="s">
        <v>52</v>
      </c>
    </row>
    <row r="3176" spans="1:14" x14ac:dyDescent="0.15">
      <c r="A3176" s="23" t="str">
        <f>HYPERLINK("https://www.spark-marketing.ru/Card/Person/118491", "МБДОУ ЦРР-ДЕТСКИЙ САД №26 ""РОДНИЧОК""")</f>
        <v>МБДОУ ЦРР-ДЕТСКИЙ САД №26 "РОДНИЧОК"</v>
      </c>
      <c r="B3176" s="24" t="s">
        <v>4659</v>
      </c>
      <c r="C3176" s="25">
        <v>185000</v>
      </c>
      <c r="D3176" s="22" t="s">
        <v>4660</v>
      </c>
      <c r="E3176" s="22" t="s">
        <v>84</v>
      </c>
      <c r="F3176" s="23" t="str">
        <f>HYPERLINK("https://www.spark-marketing.ru/Card/Lot/72685793", "Оказание услуг по согласованию, установке и подключению дополнительного оборудования системы видеонаблюдения в соответствии с общими техническими требованиями к системам видеонаблюдения технологического обеспечения региональной общественной безопасно...")</f>
        <v>Оказание услуг по согласованию, установке и подключению дополнительного оборудования системы видеонаблюдения в соответствии с общими техническими требованиями к системам видеонаблюдения технологического обеспечения региональной общественной безопасно...</v>
      </c>
      <c r="G3176" s="22" t="s">
        <v>50</v>
      </c>
      <c r="H3176" s="22" t="s">
        <v>682</v>
      </c>
      <c r="I3176" s="26">
        <v>43685.7012384259</v>
      </c>
      <c r="J3176" s="28" t="s">
        <v>52</v>
      </c>
      <c r="K3176" s="28" t="s">
        <v>52</v>
      </c>
      <c r="L3176" s="28" t="s">
        <v>52</v>
      </c>
      <c r="M3176" s="28" t="s">
        <v>52</v>
      </c>
      <c r="N3176" s="28" t="s">
        <v>52</v>
      </c>
    </row>
    <row r="3177" spans="1:14" x14ac:dyDescent="0.15">
      <c r="A3177" s="23" t="str">
        <f>HYPERLINK("https://www.spark-marketing.ru/Card/Person/5864764", "МБУ ""ХОРЕОГРАФИЧЕСКИЙ ТЕАТР-СТУДИЯ ""АРТИС БАЛЕТ""")</f>
        <v>МБУ "ХОРЕОГРАФИЧЕСКИЙ ТЕАТР-СТУДИЯ "АРТИС БАЛЕТ"</v>
      </c>
      <c r="B3177" s="24" t="s">
        <v>4661</v>
      </c>
      <c r="C3177" s="25">
        <v>154078</v>
      </c>
      <c r="D3177" s="22" t="s">
        <v>4662</v>
      </c>
      <c r="E3177" s="22" t="s">
        <v>59</v>
      </c>
      <c r="F3177" s="23" t="str">
        <f>HYPERLINK("https://www.spark-marketing.ru/Card/Lot/72696347", "Выполнение работ по установке автоматической охранной сигнализации в МБУ")</f>
        <v>Выполнение работ по установке автоматической охранной сигнализации в МБУ</v>
      </c>
      <c r="G3177" s="22" t="s">
        <v>861</v>
      </c>
      <c r="H3177" s="22" t="s">
        <v>4663</v>
      </c>
      <c r="I3177" s="26">
        <v>43685.639062499999</v>
      </c>
      <c r="J3177" s="28" t="s">
        <v>52</v>
      </c>
      <c r="K3177" s="28" t="s">
        <v>52</v>
      </c>
      <c r="L3177" s="28" t="s">
        <v>52</v>
      </c>
      <c r="M3177" s="28" t="s">
        <v>52</v>
      </c>
      <c r="N3177" s="28" t="s">
        <v>52</v>
      </c>
    </row>
    <row r="3178" spans="1:14" ht="12.75" hidden="1" outlineLevel="1" x14ac:dyDescent="0.2">
      <c r="A3178" s="23" t="str">
        <f>HYPERLINK("https://www.spark-marketing.ru/Card/Person/5864764", "МБУ ""ХОРЕОГРАФИЧЕСКИЙ ТЕАТР-СТУДИЯ ""АРТИС БАЛЕТ""")</f>
        <v>МБУ "ХОРЕОГРАФИЧЕСКИЙ ТЕАТР-СТУДИЯ "АРТИС БАЛЕТ"</v>
      </c>
      <c r="B3178" s="24" t="s">
        <v>4661</v>
      </c>
      <c r="C3178" s="25">
        <v>154078</v>
      </c>
      <c r="D3178" s="22" t="s">
        <v>4662</v>
      </c>
      <c r="E3178" s="22" t="s">
        <v>59</v>
      </c>
      <c r="F3178" s="23" t="str">
        <f>HYPERLINK("https://www.spark-marketing.ru/Card/Lot/72696347", "Выполнение работ по установке автоматической охранной сигнализации в МБУ")</f>
        <v>Выполнение работ по установке автоматической охранной сигнализации в МБУ</v>
      </c>
      <c r="G3178" s="22" t="s">
        <v>861</v>
      </c>
      <c r="H3178" s="22" t="s">
        <v>4663</v>
      </c>
      <c r="I3178" s="26">
        <v>43685.639062499999</v>
      </c>
      <c r="J3178" s="23" t="str">
        <f>HYPERLINK("https://www.spark-marketing.ru/Card/Person/6589925", "ООО ""ПРИОРИТЕТ""")</f>
        <v>ООО "ПРИОРИТЕТ"</v>
      </c>
      <c r="K3178" s="24" t="s">
        <v>4664</v>
      </c>
      <c r="L3178" s="22" t="s">
        <v>10</v>
      </c>
      <c r="M3178" s="25">
        <v>138296.1</v>
      </c>
      <c r="N3178" s="27">
        <v>0.10242799101753658</v>
      </c>
    </row>
    <row r="3179" spans="1:14" hidden="1" outlineLevel="1" x14ac:dyDescent="0.2">
      <c r="A3179" s="23" t="str">
        <f>HYPERLINK("https://www.spark-marketing.ru/Card/Person/5864764", "МБУ ""ХОРЕОГРАФИЧЕСКИЙ ТЕАТР-СТУДИЯ ""АРТИС БАЛЕТ""")</f>
        <v>МБУ "ХОРЕОГРАФИЧЕСКИЙ ТЕАТР-СТУДИЯ "АРТИС БАЛЕТ"</v>
      </c>
      <c r="B3179" s="24" t="s">
        <v>4661</v>
      </c>
      <c r="C3179" s="25">
        <v>154078</v>
      </c>
      <c r="D3179" s="22" t="s">
        <v>4662</v>
      </c>
      <c r="E3179" s="22" t="s">
        <v>59</v>
      </c>
      <c r="F3179" s="23" t="str">
        <f>HYPERLINK("https://www.spark-marketing.ru/Card/Lot/72696347", "Выполнение работ по установке автоматической охранной сигнализации в МБУ")</f>
        <v>Выполнение работ по установке автоматической охранной сигнализации в МБУ</v>
      </c>
      <c r="G3179" s="22" t="s">
        <v>861</v>
      </c>
      <c r="H3179" s="22" t="s">
        <v>4663</v>
      </c>
      <c r="I3179" s="26">
        <v>43685.639062499999</v>
      </c>
      <c r="J3179" s="23" t="str">
        <f>HYPERLINK("https://www.spark-marketing.ru/Card/Person/4786560", "ООО ""МКТ-ГРУПП""")</f>
        <v>ООО "МКТ-ГРУПП"</v>
      </c>
      <c r="K3179" s="24" t="s">
        <v>4665</v>
      </c>
      <c r="L3179" s="28" t="s">
        <v>52</v>
      </c>
      <c r="M3179" s="25">
        <v>146000</v>
      </c>
      <c r="N3179" s="27">
        <v>5.242799101753657E-2</v>
      </c>
    </row>
    <row r="3180" spans="1:14" x14ac:dyDescent="0.15">
      <c r="A3180" s="23" t="str">
        <f t="shared" ref="A3180:A3185" si="133">HYPERLINK("https://www.spark-marketing.ru/Card/Person/60368", "ГБДОУ ДЕТСКИЙ САД № 11 ПРИМОРСКОГО РАЙОНА САНКТ-ПЕТЕРБУРГА")</f>
        <v>ГБДОУ ДЕТСКИЙ САД № 11 ПРИМОРСКОГО РАЙОНА САНКТ-ПЕТЕРБУРГА</v>
      </c>
      <c r="B3180" s="24" t="s">
        <v>4666</v>
      </c>
      <c r="C3180" s="25">
        <v>599990.4</v>
      </c>
      <c r="D3180" s="22" t="s">
        <v>4667</v>
      </c>
      <c r="E3180" s="22" t="s">
        <v>52</v>
      </c>
      <c r="F3180" s="23" t="str">
        <f t="shared" ref="F3180:F3185" si="134">HYPERLINK("https://www.spark-marketing.ru/Card/Lot/72686072", "Оказание услуг по обеспечению физической охраны объектов ГБДОУ детский сад № 11 Приморского района Санкт-Петербурга по адресу:197183, Санкт-Петербург, наб. Черной речки, дом 8, лит. А; 197342, Санкт-Петербург, Коломяжский пр., дом 1, корп. 2, лит. А ...")</f>
        <v>Оказание услуг по обеспечению физической охраны объектов ГБДОУ детский сад № 11 Приморского района Санкт-Петербурга по адресу:197183, Санкт-Петербург, наб. Черной речки, дом 8, лит. А; 197342, Санкт-Петербург, Коломяжский пр., дом 1, корп. 2, лит. А ...</v>
      </c>
      <c r="G3180" s="22" t="s">
        <v>89</v>
      </c>
      <c r="H3180" s="22" t="s">
        <v>89</v>
      </c>
      <c r="I3180" s="26">
        <v>43685.6479861111</v>
      </c>
      <c r="J3180" s="28" t="s">
        <v>52</v>
      </c>
      <c r="K3180" s="28" t="s">
        <v>52</v>
      </c>
      <c r="L3180" s="28" t="s">
        <v>52</v>
      </c>
      <c r="M3180" s="28" t="s">
        <v>52</v>
      </c>
      <c r="N3180" s="28" t="s">
        <v>52</v>
      </c>
    </row>
    <row r="3181" spans="1:14" hidden="1" outlineLevel="1" x14ac:dyDescent="0.2">
      <c r="A3181" s="23" t="str">
        <f t="shared" si="133"/>
        <v>ГБДОУ ДЕТСКИЙ САД № 11 ПРИМОРСКОГО РАЙОНА САНКТ-ПЕТЕРБУРГА</v>
      </c>
      <c r="B3181" s="24" t="s">
        <v>4666</v>
      </c>
      <c r="C3181" s="25">
        <v>599990.4</v>
      </c>
      <c r="D3181" s="22" t="s">
        <v>4667</v>
      </c>
      <c r="E3181" s="22" t="s">
        <v>52</v>
      </c>
      <c r="F3181" s="23" t="str">
        <f t="shared" si="134"/>
        <v>Оказание услуг по обеспечению физической охраны объектов ГБДОУ детский сад № 11 Приморского района Санкт-Петербурга по адресу:197183, Санкт-Петербург, наб. Черной речки, дом 8, лит. А; 197342, Санкт-Петербург, Коломяжский пр., дом 1, корп. 2, лит. А ...</v>
      </c>
      <c r="G3181" s="22" t="s">
        <v>89</v>
      </c>
      <c r="H3181" s="22" t="s">
        <v>89</v>
      </c>
      <c r="I3181" s="26">
        <v>43685.6479861111</v>
      </c>
      <c r="J3181" s="23" t="str">
        <f>HYPERLINK("https://www.spark-marketing.ru/Card/Person/1957699", "ООО ""ОП ""ТРАНС-СЕКЬЮРИТИ""""")</f>
        <v>ООО "ОП "ТРАНС-СЕКЬЮРИТИ""</v>
      </c>
      <c r="K3181" s="24" t="s">
        <v>4138</v>
      </c>
      <c r="L3181" s="28" t="s">
        <v>52</v>
      </c>
      <c r="M3181" s="25">
        <v>443992.33</v>
      </c>
      <c r="N3181" s="27">
        <v>0.26000094334842688</v>
      </c>
    </row>
    <row r="3182" spans="1:14" hidden="1" outlineLevel="1" x14ac:dyDescent="0.2">
      <c r="A3182" s="23" t="str">
        <f t="shared" si="133"/>
        <v>ГБДОУ ДЕТСКИЙ САД № 11 ПРИМОРСКОГО РАЙОНА САНКТ-ПЕТЕРБУРГА</v>
      </c>
      <c r="B3182" s="24" t="s">
        <v>4666</v>
      </c>
      <c r="C3182" s="25">
        <v>599990.4</v>
      </c>
      <c r="D3182" s="22" t="s">
        <v>4667</v>
      </c>
      <c r="E3182" s="22" t="s">
        <v>52</v>
      </c>
      <c r="F3182" s="23" t="str">
        <f t="shared" si="134"/>
        <v>Оказание услуг по обеспечению физической охраны объектов ГБДОУ детский сад № 11 Приморского района Санкт-Петербурга по адресу:197183, Санкт-Петербург, наб. Черной речки, дом 8, лит. А; 197342, Санкт-Петербург, Коломяжский пр., дом 1, корп. 2, лит. А ...</v>
      </c>
      <c r="G3182" s="22" t="s">
        <v>89</v>
      </c>
      <c r="H3182" s="22" t="s">
        <v>89</v>
      </c>
      <c r="I3182" s="26">
        <v>43685.6479861111</v>
      </c>
      <c r="J3182" s="23" t="str">
        <f>HYPERLINK("https://www.spark-marketing.ru/Card/Person/135806", "ООО ""ОП ""РАДОН""")</f>
        <v>ООО "ОП "РАДОН"</v>
      </c>
      <c r="K3182" s="24" t="s">
        <v>4139</v>
      </c>
      <c r="L3182" s="28" t="s">
        <v>52</v>
      </c>
      <c r="M3182" s="25">
        <v>502000</v>
      </c>
      <c r="N3182" s="27">
        <v>0.16331994645247658</v>
      </c>
    </row>
    <row r="3183" spans="1:14" hidden="1" outlineLevel="1" x14ac:dyDescent="0.2">
      <c r="A3183" s="23" t="str">
        <f t="shared" si="133"/>
        <v>ГБДОУ ДЕТСКИЙ САД № 11 ПРИМОРСКОГО РАЙОНА САНКТ-ПЕТЕРБУРГА</v>
      </c>
      <c r="B3183" s="24" t="s">
        <v>4666</v>
      </c>
      <c r="C3183" s="25">
        <v>599990.4</v>
      </c>
      <c r="D3183" s="22" t="s">
        <v>4667</v>
      </c>
      <c r="E3183" s="22" t="s">
        <v>52</v>
      </c>
      <c r="F3183" s="23" t="str">
        <f t="shared" si="134"/>
        <v>Оказание услуг по обеспечению физической охраны объектов ГБДОУ детский сад № 11 Приморского района Санкт-Петербурга по адресу:197183, Санкт-Петербург, наб. Черной речки, дом 8, лит. А; 197342, Санкт-Петербург, Коломяжский пр., дом 1, корп. 2, лит. А ...</v>
      </c>
      <c r="G3183" s="22" t="s">
        <v>89</v>
      </c>
      <c r="H3183" s="22" t="s">
        <v>89</v>
      </c>
      <c r="I3183" s="26">
        <v>43685.6479861111</v>
      </c>
      <c r="J3183" s="23" t="str">
        <f>HYPERLINK("https://www.spark-marketing.ru/Card/Person/64705", "ООО ""ОО ""РУССКАЯ БАЛТИКА""")</f>
        <v>ООО "ОО "РУССКАЯ БАЛТИКА"</v>
      </c>
      <c r="K3183" s="24" t="s">
        <v>4291</v>
      </c>
      <c r="L3183" s="28" t="s">
        <v>52</v>
      </c>
      <c r="M3183" s="25">
        <v>407992.91</v>
      </c>
      <c r="N3183" s="27">
        <v>0.32000093668165358</v>
      </c>
    </row>
    <row r="3184" spans="1:14" hidden="1" outlineLevel="1" x14ac:dyDescent="0.2">
      <c r="A3184" s="23" t="str">
        <f t="shared" si="133"/>
        <v>ГБДОУ ДЕТСКИЙ САД № 11 ПРИМОРСКОГО РАЙОНА САНКТ-ПЕТЕРБУРГА</v>
      </c>
      <c r="B3184" s="24" t="s">
        <v>4666</v>
      </c>
      <c r="C3184" s="25">
        <v>599990.4</v>
      </c>
      <c r="D3184" s="22" t="s">
        <v>4667</v>
      </c>
      <c r="E3184" s="22" t="s">
        <v>52</v>
      </c>
      <c r="F3184" s="23" t="str">
        <f t="shared" si="134"/>
        <v>Оказание услуг по обеспечению физической охраны объектов ГБДОУ детский сад № 11 Приморского района Санкт-Петербурга по адресу:197183, Санкт-Петербург, наб. Черной речки, дом 8, лит. А; 197342, Санкт-Петербург, Коломяжский пр., дом 1, корп. 2, лит. А ...</v>
      </c>
      <c r="G3184" s="22" t="s">
        <v>89</v>
      </c>
      <c r="H3184" s="22" t="s">
        <v>89</v>
      </c>
      <c r="I3184" s="26">
        <v>43685.6479861111</v>
      </c>
      <c r="J3184" s="23" t="str">
        <f>HYPERLINK("https://www.spark-marketing.ru/Card/Person/123130", "ООО ""ЧОП ""СЗАОПО-С""")</f>
        <v>ООО "ЧОП "СЗАОПО-С"</v>
      </c>
      <c r="K3184" s="24" t="s">
        <v>4290</v>
      </c>
      <c r="L3184" s="28" t="s">
        <v>52</v>
      </c>
      <c r="M3184" s="25">
        <v>410992.86</v>
      </c>
      <c r="N3184" s="27">
        <v>0.31500094001504025</v>
      </c>
    </row>
    <row r="3185" spans="1:14" ht="12.75" hidden="1" outlineLevel="1" x14ac:dyDescent="0.2">
      <c r="A3185" s="23" t="str">
        <f t="shared" si="133"/>
        <v>ГБДОУ ДЕТСКИЙ САД № 11 ПРИМОРСКОГО РАЙОНА САНКТ-ПЕТЕРБУРГА</v>
      </c>
      <c r="B3185" s="24" t="s">
        <v>4666</v>
      </c>
      <c r="C3185" s="25">
        <v>599990.4</v>
      </c>
      <c r="D3185" s="22" t="s">
        <v>4667</v>
      </c>
      <c r="E3185" s="22" t="s">
        <v>52</v>
      </c>
      <c r="F3185" s="23" t="str">
        <f t="shared" si="134"/>
        <v>Оказание услуг по обеспечению физической охраны объектов ГБДОУ детский сад № 11 Приморского района Санкт-Петербурга по адресу:197183, Санкт-Петербург, наб. Черной речки, дом 8, лит. А; 197342, Санкт-Петербург, Коломяжский пр., дом 1, корп. 2, лит. А ...</v>
      </c>
      <c r="G3185" s="22" t="s">
        <v>89</v>
      </c>
      <c r="H3185" s="22" t="s">
        <v>89</v>
      </c>
      <c r="I3185" s="26">
        <v>43685.6479861111</v>
      </c>
      <c r="J3185" s="23" t="str">
        <f>HYPERLINK("https://www.spark-marketing.ru/Card/Person/53028", "ООО ""ЧАСТНОЕ ОХРАННОЕ ПРЕДПРИЯТИЕ""А -2""")</f>
        <v>ООО "ЧАСТНОЕ ОХРАННОЕ ПРЕДПРИЯТИЕ"А -2"</v>
      </c>
      <c r="K3185" s="24" t="s">
        <v>4668</v>
      </c>
      <c r="L3185" s="22" t="s">
        <v>10</v>
      </c>
      <c r="M3185" s="25">
        <v>404992</v>
      </c>
      <c r="N3185" s="27">
        <v>0.32500253337386731</v>
      </c>
    </row>
    <row r="3186" spans="1:14" x14ac:dyDescent="0.15">
      <c r="A3186" s="23" t="str">
        <f>HYPERLINK("https://www.spark-marketing.ru/Card/Person/51009", "ВОСЕМНАДЦАТЫЙ АРБИТРАЖНЫЙ АПЕЛЛЯЦИОННЫЙ СУД")</f>
        <v>ВОСЕМНАДЦАТЫЙ АРБИТРАЖНЫЙ АПЕЛЛЯЦИОННЫЙ СУД</v>
      </c>
      <c r="B3186" s="24" t="s">
        <v>4669</v>
      </c>
      <c r="C3186" s="25">
        <v>1458198.12</v>
      </c>
      <c r="D3186" s="22" t="s">
        <v>4670</v>
      </c>
      <c r="E3186" s="22" t="s">
        <v>68</v>
      </c>
      <c r="F3186" s="23" t="str">
        <f>HYPERLINK("https://www.spark-marketing.ru/Card/Lot/72678681", "военизированная охрана объектов суда")</f>
        <v>военизированная охрана объектов суда</v>
      </c>
      <c r="G3186" s="22" t="s">
        <v>60</v>
      </c>
      <c r="H3186" s="22" t="s">
        <v>1683</v>
      </c>
      <c r="I3186" s="26">
        <v>43685.632662037002</v>
      </c>
      <c r="J3186" s="23" t="str">
        <f>HYPERLINK("https://www.spark-marketing.ru/Card/Person/1579169", "Филиал ФГУП ""Охрана"" Росгвардии по Челябинской области")</f>
        <v>Филиал ФГУП "Охрана" Росгвардии по Челябинской области</v>
      </c>
      <c r="K3186" s="24" t="s">
        <v>779</v>
      </c>
      <c r="L3186" s="28" t="s">
        <v>52</v>
      </c>
      <c r="M3186" s="28" t="s">
        <v>52</v>
      </c>
      <c r="N3186" s="28" t="s">
        <v>52</v>
      </c>
    </row>
    <row r="3187" spans="1:14" ht="12.75" hidden="1" outlineLevel="1" x14ac:dyDescent="0.2">
      <c r="A3187" s="23" t="str">
        <f>HYPERLINK("https://www.spark-marketing.ru/Card/Person/51009", "ВОСЕМНАДЦАТЫЙ АРБИТРАЖНЫЙ АПЕЛЛЯЦИОННЫЙ СУД")</f>
        <v>ВОСЕМНАДЦАТЫЙ АРБИТРАЖНЫЙ АПЕЛЛЯЦИОННЫЙ СУД</v>
      </c>
      <c r="B3187" s="24" t="s">
        <v>4669</v>
      </c>
      <c r="C3187" s="25">
        <v>1458198.12</v>
      </c>
      <c r="D3187" s="22" t="s">
        <v>4670</v>
      </c>
      <c r="E3187" s="22" t="s">
        <v>68</v>
      </c>
      <c r="F3187" s="23" t="str">
        <f>HYPERLINK("https://www.spark-marketing.ru/Card/Lot/72678681", "военизированная охрана объектов суда")</f>
        <v>военизированная охрана объектов суда</v>
      </c>
      <c r="G3187" s="22" t="s">
        <v>60</v>
      </c>
      <c r="H3187" s="22" t="s">
        <v>1683</v>
      </c>
      <c r="I3187" s="26">
        <v>43685.632662037002</v>
      </c>
      <c r="J3187" s="23" t="str">
        <f>HYPERLINK("https://www.spark-marketing.ru/Card/Person/1579169", "Филиал ФГУП ""Охрана"" Росгвардии по Челябинской области")</f>
        <v>Филиал ФГУП "Охрана" Росгвардии по Челябинской области</v>
      </c>
      <c r="K3187" s="24" t="s">
        <v>779</v>
      </c>
      <c r="L3187" s="22" t="s">
        <v>10</v>
      </c>
      <c r="M3187" s="25">
        <v>1450907.13</v>
      </c>
      <c r="N3187" s="27">
        <v>4.9999995885332783E-3</v>
      </c>
    </row>
    <row r="3188" spans="1:14" x14ac:dyDescent="0.15">
      <c r="A3188" s="23" t="str">
        <f t="shared" ref="A3188:A3193" si="135">HYPERLINK("https://www.spark-marketing.ru/Card/Person/30911", "ГУЗ СО ""КРАСНОПАРТИЗАНСКАЯ РБ""")</f>
        <v>ГУЗ СО "КРАСНОПАРТИЗАНСКАЯ РБ"</v>
      </c>
      <c r="B3188" s="24" t="s">
        <v>4671</v>
      </c>
      <c r="C3188" s="25">
        <v>76483.33</v>
      </c>
      <c r="D3188" s="22" t="s">
        <v>4672</v>
      </c>
      <c r="E3188" s="22" t="s">
        <v>59</v>
      </c>
      <c r="F3188" s="23" t="str">
        <f t="shared" ref="F3188:F3193" si="136">HYPERLINK("https://www.spark-marketing.ru/Card/Lot/72682465", "Выполнение работ  на установку внутреннего и наружного видеонаблюдения")</f>
        <v>Выполнение работ  на установку внутреннего и наружного видеонаблюдения</v>
      </c>
      <c r="G3188" s="22" t="s">
        <v>80</v>
      </c>
      <c r="H3188" s="22" t="s">
        <v>4673</v>
      </c>
      <c r="I3188" s="26">
        <v>43685.634594907402</v>
      </c>
      <c r="J3188" s="28" t="s">
        <v>52</v>
      </c>
      <c r="K3188" s="28" t="s">
        <v>52</v>
      </c>
      <c r="L3188" s="28" t="s">
        <v>52</v>
      </c>
      <c r="M3188" s="28" t="s">
        <v>52</v>
      </c>
      <c r="N3188" s="28" t="s">
        <v>52</v>
      </c>
    </row>
    <row r="3189" spans="1:14" hidden="1" outlineLevel="1" x14ac:dyDescent="0.2">
      <c r="A3189" s="23" t="str">
        <f t="shared" si="135"/>
        <v>ГУЗ СО "КРАСНОПАРТИЗАНСКАЯ РБ"</v>
      </c>
      <c r="B3189" s="24" t="s">
        <v>4671</v>
      </c>
      <c r="C3189" s="25">
        <v>76483.33</v>
      </c>
      <c r="D3189" s="22" t="s">
        <v>4672</v>
      </c>
      <c r="E3189" s="22" t="s">
        <v>59</v>
      </c>
      <c r="F3189" s="23" t="str">
        <f t="shared" si="136"/>
        <v>Выполнение работ  на установку внутреннего и наружного видеонаблюдения</v>
      </c>
      <c r="G3189" s="22" t="s">
        <v>80</v>
      </c>
      <c r="H3189" s="22" t="s">
        <v>4673</v>
      </c>
      <c r="I3189" s="26">
        <v>43685.634594907402</v>
      </c>
      <c r="J3189" s="23" t="str">
        <f>HYPERLINK("https://www.spark-marketing.ru/Card/Person/5789541", "ООО ""СБ-ПЛЮС""")</f>
        <v>ООО "СБ-ПЛЮС"</v>
      </c>
      <c r="K3189" s="24" t="s">
        <v>4674</v>
      </c>
      <c r="L3189" s="28" t="s">
        <v>52</v>
      </c>
      <c r="M3189" s="25">
        <v>76100.91</v>
      </c>
      <c r="N3189" s="27">
        <v>5.0000438003941512E-3</v>
      </c>
    </row>
    <row r="3190" spans="1:14" ht="12.75" hidden="1" outlineLevel="1" x14ac:dyDescent="0.2">
      <c r="A3190" s="23" t="str">
        <f t="shared" si="135"/>
        <v>ГУЗ СО "КРАСНОПАРТИЗАНСКАЯ РБ"</v>
      </c>
      <c r="B3190" s="24" t="s">
        <v>4671</v>
      </c>
      <c r="C3190" s="25">
        <v>76483.33</v>
      </c>
      <c r="D3190" s="22" t="s">
        <v>4672</v>
      </c>
      <c r="E3190" s="22" t="s">
        <v>59</v>
      </c>
      <c r="F3190" s="23" t="str">
        <f t="shared" si="136"/>
        <v>Выполнение работ  на установку внутреннего и наружного видеонаблюдения</v>
      </c>
      <c r="G3190" s="22" t="s">
        <v>80</v>
      </c>
      <c r="H3190" s="22" t="s">
        <v>4673</v>
      </c>
      <c r="I3190" s="26">
        <v>43685.634594907402</v>
      </c>
      <c r="J3190" s="23" t="str">
        <f>HYPERLINK("https://www.spark-marketing.ru/Card/Person/4855672", "Соннова Екатерина Александровна")</f>
        <v>Соннова Екатерина Александровна</v>
      </c>
      <c r="K3190" s="24" t="s">
        <v>2556</v>
      </c>
      <c r="L3190" s="22" t="s">
        <v>10</v>
      </c>
      <c r="M3190" s="25">
        <v>60450</v>
      </c>
      <c r="N3190" s="27">
        <v>0.20963169359911499</v>
      </c>
    </row>
    <row r="3191" spans="1:14" hidden="1" outlineLevel="1" x14ac:dyDescent="0.2">
      <c r="A3191" s="23" t="str">
        <f t="shared" si="135"/>
        <v>ГУЗ СО "КРАСНОПАРТИЗАНСКАЯ РБ"</v>
      </c>
      <c r="B3191" s="24" t="s">
        <v>4671</v>
      </c>
      <c r="C3191" s="25">
        <v>76483.33</v>
      </c>
      <c r="D3191" s="22" t="s">
        <v>4672</v>
      </c>
      <c r="E3191" s="22" t="s">
        <v>59</v>
      </c>
      <c r="F3191" s="23" t="str">
        <f t="shared" si="136"/>
        <v>Выполнение работ  на установку внутреннего и наружного видеонаблюдения</v>
      </c>
      <c r="G3191" s="22" t="s">
        <v>80</v>
      </c>
      <c r="H3191" s="22" t="s">
        <v>4673</v>
      </c>
      <c r="I3191" s="26">
        <v>43685.634594907402</v>
      </c>
      <c r="J3191" s="23" t="str">
        <f>HYPERLINK("https://www.spark-marketing.ru/Card/Person/5512065", "Мугрузин Артем Александрович")</f>
        <v>Мугрузин Артем Александрович</v>
      </c>
      <c r="K3191" s="24" t="s">
        <v>4286</v>
      </c>
      <c r="L3191" s="28" t="s">
        <v>52</v>
      </c>
      <c r="M3191" s="25">
        <v>60837.58</v>
      </c>
      <c r="N3191" s="27">
        <v>0.20456418411698341</v>
      </c>
    </row>
    <row r="3192" spans="1:14" hidden="1" outlineLevel="1" x14ac:dyDescent="0.2">
      <c r="A3192" s="23" t="str">
        <f t="shared" si="135"/>
        <v>ГУЗ СО "КРАСНОПАРТИЗАНСКАЯ РБ"</v>
      </c>
      <c r="B3192" s="24" t="s">
        <v>4671</v>
      </c>
      <c r="C3192" s="25">
        <v>76483.33</v>
      </c>
      <c r="D3192" s="22" t="s">
        <v>4672</v>
      </c>
      <c r="E3192" s="22" t="s">
        <v>59</v>
      </c>
      <c r="F3192" s="23" t="str">
        <f t="shared" si="136"/>
        <v>Выполнение работ  на установку внутреннего и наружного видеонаблюдения</v>
      </c>
      <c r="G3192" s="22" t="s">
        <v>80</v>
      </c>
      <c r="H3192" s="22" t="s">
        <v>4673</v>
      </c>
      <c r="I3192" s="26">
        <v>43685.634594907402</v>
      </c>
      <c r="J3192" s="23" t="str">
        <f>HYPERLINK("https://www.spark-marketing.ru/Card/Person/6576726", "Карпухин Владимир Владимирович")</f>
        <v>Карпухин Владимир Владимирович</v>
      </c>
      <c r="K3192" s="24" t="s">
        <v>4675</v>
      </c>
      <c r="L3192" s="28" t="s">
        <v>52</v>
      </c>
      <c r="M3192" s="25">
        <v>66000</v>
      </c>
      <c r="N3192" s="27">
        <v>0.13706686149779304</v>
      </c>
    </row>
    <row r="3193" spans="1:14" hidden="1" outlineLevel="1" x14ac:dyDescent="0.2">
      <c r="A3193" s="23" t="str">
        <f t="shared" si="135"/>
        <v>ГУЗ СО "КРАСНОПАРТИЗАНСКАЯ РБ"</v>
      </c>
      <c r="B3193" s="24" t="s">
        <v>4671</v>
      </c>
      <c r="C3193" s="25">
        <v>76483.33</v>
      </c>
      <c r="D3193" s="22" t="s">
        <v>4672</v>
      </c>
      <c r="E3193" s="22" t="s">
        <v>59</v>
      </c>
      <c r="F3193" s="23" t="str">
        <f t="shared" si="136"/>
        <v>Выполнение работ  на установку внутреннего и наружного видеонаблюдения</v>
      </c>
      <c r="G3193" s="22" t="s">
        <v>80</v>
      </c>
      <c r="H3193" s="22" t="s">
        <v>4673</v>
      </c>
      <c r="I3193" s="26">
        <v>43685.634594907402</v>
      </c>
      <c r="J3193" s="23" t="str">
        <f>HYPERLINK("https://www.spark-marketing.ru/Card/Person/6516907", "Сурель Дмитрий Юрьевич")</f>
        <v>Сурель Дмитрий Юрьевич</v>
      </c>
      <c r="K3193" s="24" t="s">
        <v>4676</v>
      </c>
      <c r="L3193" s="28" t="s">
        <v>52</v>
      </c>
      <c r="M3193" s="25">
        <v>61993.38</v>
      </c>
      <c r="N3193" s="27">
        <v>0.18945239439757658</v>
      </c>
    </row>
    <row r="3194" spans="1:14" x14ac:dyDescent="0.15">
      <c r="A3194" s="23" t="str">
        <f>HYPERLINK("https://www.spark-marketing.ru/Card/Person/170090", "ОАО ""НК ""РОСНЕФТЬ"" - АРТАГ""")</f>
        <v>ОАО "НК "РОСНЕФТЬ" - АРТАГ"</v>
      </c>
      <c r="B3194" s="24" t="s">
        <v>4677</v>
      </c>
      <c r="C3194" s="25">
        <v>1789593.6000000001</v>
      </c>
      <c r="D3194" s="22" t="s">
        <v>4678</v>
      </c>
      <c r="E3194" s="22" t="s">
        <v>53</v>
      </c>
      <c r="F3194" s="23" t="str">
        <f>HYPERLINK("https://www.spark-marketing.ru/Card/Lot/72689202", "Номер закупки 82. Услуги по физической охране объектов ООО «РН-Алания»")</f>
        <v>Номер закупки 82. Услуги по физической охране объектов ООО «РН-Алания»</v>
      </c>
      <c r="G3194" s="22" t="s">
        <v>833</v>
      </c>
      <c r="H3194" s="22" t="s">
        <v>834</v>
      </c>
      <c r="I3194" s="26">
        <v>43685.664583333302</v>
      </c>
      <c r="J3194" s="28" t="s">
        <v>52</v>
      </c>
      <c r="K3194" s="28" t="s">
        <v>52</v>
      </c>
      <c r="L3194" s="28" t="s">
        <v>52</v>
      </c>
      <c r="M3194" s="28" t="s">
        <v>52</v>
      </c>
      <c r="N3194" s="28" t="s">
        <v>52</v>
      </c>
    </row>
    <row r="3195" spans="1:14" x14ac:dyDescent="0.15">
      <c r="A3195" s="23" t="str">
        <f>HYPERLINK("https://www.spark-marketing.ru/Card/Person/4352233", "ГБУЗС ""ГОРОДСКАЯ БОЛЬНИЦА №1""")</f>
        <v>ГБУЗС "ГОРОДСКАЯ БОЛЬНИЦА №1"</v>
      </c>
      <c r="B3195" s="24" t="s">
        <v>4679</v>
      </c>
      <c r="C3195" s="25">
        <v>1450889.28</v>
      </c>
      <c r="D3195" s="22" t="s">
        <v>4680</v>
      </c>
      <c r="E3195" s="22" t="s">
        <v>183</v>
      </c>
      <c r="F3195" s="23" t="str">
        <f>HYPERLINK("https://www.spark-marketing.ru/Card/Lot/72684405", "на оказание охранных услуг (физическая охрана)")</f>
        <v>на оказание охранных услуг (физическая охрана)</v>
      </c>
      <c r="G3195" s="22" t="s">
        <v>714</v>
      </c>
      <c r="H3195" s="22" t="s">
        <v>714</v>
      </c>
      <c r="I3195" s="26">
        <v>43685.608819444402</v>
      </c>
      <c r="J3195" s="28" t="s">
        <v>52</v>
      </c>
      <c r="K3195" s="28" t="s">
        <v>52</v>
      </c>
      <c r="L3195" s="28" t="s">
        <v>52</v>
      </c>
      <c r="M3195" s="28" t="s">
        <v>52</v>
      </c>
      <c r="N3195" s="28" t="s">
        <v>52</v>
      </c>
    </row>
    <row r="3196" spans="1:14" hidden="1" outlineLevel="1" x14ac:dyDescent="0.2">
      <c r="A3196" s="23" t="str">
        <f>HYPERLINK("https://www.spark-marketing.ru/Card/Person/4352233", "ГБУЗС ""ГОРОДСКАЯ БОЛЬНИЦА №1""")</f>
        <v>ГБУЗС "ГОРОДСКАЯ БОЛЬНИЦА №1"</v>
      </c>
      <c r="B3196" s="24" t="s">
        <v>4679</v>
      </c>
      <c r="C3196" s="25">
        <v>1450889.28</v>
      </c>
      <c r="D3196" s="22" t="s">
        <v>4680</v>
      </c>
      <c r="E3196" s="22" t="s">
        <v>183</v>
      </c>
      <c r="F3196" s="23" t="str">
        <f>HYPERLINK("https://www.spark-marketing.ru/Card/Lot/72684405", "на оказание охранных услуг (физическая охрана)")</f>
        <v>на оказание охранных услуг (физическая охрана)</v>
      </c>
      <c r="G3196" s="22" t="s">
        <v>714</v>
      </c>
      <c r="H3196" s="22" t="s">
        <v>714</v>
      </c>
      <c r="I3196" s="26">
        <v>43685.608819444402</v>
      </c>
      <c r="J3196" s="23" t="str">
        <f>HYPERLINK("https://www.spark-marketing.ru/Card/Person/79790", "ООО ""ЧОО ""ЦЕНТУРИОН""")</f>
        <v>ООО "ЧОО "ЦЕНТУРИОН"</v>
      </c>
      <c r="K3196" s="24" t="s">
        <v>4681</v>
      </c>
      <c r="L3196" s="28" t="s">
        <v>52</v>
      </c>
      <c r="M3196" s="25">
        <v>871737.75</v>
      </c>
      <c r="N3196" s="27">
        <v>0.39917003866759565</v>
      </c>
    </row>
    <row r="3197" spans="1:14" hidden="1" outlineLevel="1" x14ac:dyDescent="0.2">
      <c r="A3197" s="23" t="str">
        <f>HYPERLINK("https://www.spark-marketing.ru/Card/Person/4352233", "ГБУЗС ""ГОРОДСКАЯ БОЛЬНИЦА №1""")</f>
        <v>ГБУЗС "ГОРОДСКАЯ БОЛЬНИЦА №1"</v>
      </c>
      <c r="B3197" s="24" t="s">
        <v>4679</v>
      </c>
      <c r="C3197" s="25">
        <v>1450889.28</v>
      </c>
      <c r="D3197" s="22" t="s">
        <v>4680</v>
      </c>
      <c r="E3197" s="22" t="s">
        <v>183</v>
      </c>
      <c r="F3197" s="23" t="str">
        <f>HYPERLINK("https://www.spark-marketing.ru/Card/Lot/72684405", "на оказание охранных услуг (физическая охрана)")</f>
        <v>на оказание охранных услуг (физическая охрана)</v>
      </c>
      <c r="G3197" s="22" t="s">
        <v>714</v>
      </c>
      <c r="H3197" s="22" t="s">
        <v>714</v>
      </c>
      <c r="I3197" s="26">
        <v>43685.608819444402</v>
      </c>
      <c r="J3197" s="23" t="str">
        <f>HYPERLINK("https://www.spark-marketing.ru/Card/Person/6506894", "ООО ЧОО ""ЩИТ""")</f>
        <v>ООО ЧОО "ЩИТ"</v>
      </c>
      <c r="K3197" s="24" t="s">
        <v>4682</v>
      </c>
      <c r="L3197" s="28" t="s">
        <v>52</v>
      </c>
      <c r="M3197" s="25">
        <v>1161125.1000000001</v>
      </c>
      <c r="N3197" s="27">
        <v>0.19971488106935356</v>
      </c>
    </row>
    <row r="3198" spans="1:14" ht="12.75" hidden="1" outlineLevel="1" x14ac:dyDescent="0.2">
      <c r="A3198" s="23" t="str">
        <f>HYPERLINK("https://www.spark-marketing.ru/Card/Person/4352233", "ГБУЗС ""ГОРОДСКАЯ БОЛЬНИЦА №1""")</f>
        <v>ГБУЗС "ГОРОДСКАЯ БОЛЬНИЦА №1"</v>
      </c>
      <c r="B3198" s="24" t="s">
        <v>4679</v>
      </c>
      <c r="C3198" s="25">
        <v>1450889.28</v>
      </c>
      <c r="D3198" s="22" t="s">
        <v>4680</v>
      </c>
      <c r="E3198" s="22" t="s">
        <v>183</v>
      </c>
      <c r="F3198" s="23" t="str">
        <f>HYPERLINK("https://www.spark-marketing.ru/Card/Lot/72684405", "на оказание охранных услуг (физическая охрана)")</f>
        <v>на оказание охранных услуг (физическая охрана)</v>
      </c>
      <c r="G3198" s="22" t="s">
        <v>714</v>
      </c>
      <c r="H3198" s="22" t="s">
        <v>714</v>
      </c>
      <c r="I3198" s="26">
        <v>43685.608819444402</v>
      </c>
      <c r="J3198" s="23" t="str">
        <f>HYPERLINK("https://www.spark-marketing.ru/Card/Person/6225042", "ООО ""ЧОО ""АЛЬФА-КРЫМ""")</f>
        <v>ООО "ЧОО "АЛЬФА-КРЫМ"</v>
      </c>
      <c r="K3198" s="24" t="s">
        <v>4683</v>
      </c>
      <c r="L3198" s="22" t="s">
        <v>10</v>
      </c>
      <c r="M3198" s="25">
        <v>864483.3</v>
      </c>
      <c r="N3198" s="27">
        <v>0.40417004114883254</v>
      </c>
    </row>
    <row r="3199" spans="1:14" hidden="1" outlineLevel="1" x14ac:dyDescent="0.2">
      <c r="A3199" s="23" t="str">
        <f>HYPERLINK("https://www.spark-marketing.ru/Card/Person/4352233", "ГБУЗС ""ГОРОДСКАЯ БОЛЬНИЦА №1""")</f>
        <v>ГБУЗС "ГОРОДСКАЯ БОЛЬНИЦА №1"</v>
      </c>
      <c r="B3199" s="24" t="s">
        <v>4679</v>
      </c>
      <c r="C3199" s="25">
        <v>1450889.28</v>
      </c>
      <c r="D3199" s="22" t="s">
        <v>4680</v>
      </c>
      <c r="E3199" s="22" t="s">
        <v>183</v>
      </c>
      <c r="F3199" s="23" t="str">
        <f>HYPERLINK("https://www.spark-marketing.ru/Card/Lot/72684405", "на оказание охранных услуг (физическая охрана)")</f>
        <v>на оказание охранных услуг (физическая охрана)</v>
      </c>
      <c r="G3199" s="22" t="s">
        <v>714</v>
      </c>
      <c r="H3199" s="22" t="s">
        <v>714</v>
      </c>
      <c r="I3199" s="26">
        <v>43685.608819444402</v>
      </c>
      <c r="J3199" s="23" t="str">
        <f>HYPERLINK("https://www.spark-marketing.ru/Card/Person/472540", "ООО ""МОЛОТ""")</f>
        <v>ООО "МОЛОТ"</v>
      </c>
      <c r="K3199" s="24" t="s">
        <v>4684</v>
      </c>
      <c r="L3199" s="28" t="s">
        <v>52</v>
      </c>
      <c r="M3199" s="25">
        <v>1443634.83</v>
      </c>
      <c r="N3199" s="27">
        <v>5.0000024812368871E-3</v>
      </c>
    </row>
    <row r="3200" spans="1:14" x14ac:dyDescent="0.15">
      <c r="A3200" s="23" t="str">
        <f>HYPERLINK("https://www.spark-marketing.ru/Card/Person/150886", "ОГБУЗ ""ГУБКИНСКАЯ ГДБ""")</f>
        <v>ОГБУЗ "ГУБКИНСКАЯ ГДБ"</v>
      </c>
      <c r="B3200" s="24" t="s">
        <v>4685</v>
      </c>
      <c r="C3200" s="25">
        <v>32500</v>
      </c>
      <c r="D3200" s="22" t="s">
        <v>4686</v>
      </c>
      <c r="E3200" s="22" t="s">
        <v>349</v>
      </c>
      <c r="F3200" s="23" t="str">
        <f>HYPERLINK("https://www.spark-marketing.ru/Card/Lot/72677221", "ТО слаботочных сетей связи (видеонаблюдение, телефонная сеть)")</f>
        <v>ТО слаботочных сетей связи (видеонаблюдение, телефонная сеть)</v>
      </c>
      <c r="G3200" s="22" t="s">
        <v>176</v>
      </c>
      <c r="H3200" s="22" t="s">
        <v>4687</v>
      </c>
      <c r="I3200" s="26">
        <v>43685.599305555603</v>
      </c>
      <c r="J3200" s="28" t="s">
        <v>52</v>
      </c>
      <c r="K3200" s="28" t="s">
        <v>52</v>
      </c>
      <c r="L3200" s="28" t="s">
        <v>52</v>
      </c>
      <c r="M3200" s="28" t="s">
        <v>52</v>
      </c>
      <c r="N3200" s="28" t="s">
        <v>52</v>
      </c>
    </row>
    <row r="3201" spans="1:14" x14ac:dyDescent="0.15">
      <c r="A3201" s="23" t="str">
        <f>HYPERLINK("https://www.spark-marketing.ru/Card/Person/32561", "АДМИНИСТРАЦИЯ МУНИЦИПАЛЬНОГО ОБРАЗОВАНИЯ ПОСЕЛОК ЧАГОДА")</f>
        <v>АДМИНИСТРАЦИЯ МУНИЦИПАЛЬНОГО ОБРАЗОВАНИЯ ПОСЕЛОК ЧАГОДА</v>
      </c>
      <c r="B3201" s="24" t="s">
        <v>2821</v>
      </c>
      <c r="C3201" s="25">
        <v>97612.4</v>
      </c>
      <c r="D3201" s="22" t="s">
        <v>4688</v>
      </c>
      <c r="E3201" s="22" t="s">
        <v>84</v>
      </c>
      <c r="F3201" s="23" t="str">
        <f>HYPERLINK("https://www.spark-marketing.ru/Card/Lot/72684741", "Выполнение работ по установке видеонаблюдения (5 камер)")</f>
        <v>Выполнение работ по установке видеонаблюдения (5 камер)</v>
      </c>
      <c r="G3201" s="22" t="s">
        <v>902</v>
      </c>
      <c r="H3201" s="22" t="s">
        <v>2823</v>
      </c>
      <c r="I3201" s="26">
        <v>43685.604050925896</v>
      </c>
      <c r="J3201" s="23" t="str">
        <f>HYPERLINK("https://www.spark-marketing.ru/Card/Person/518497", "ООО ""ТЕЛЕСЕРВИС-ПЛЮС""")</f>
        <v>ООО "ТЕЛЕСЕРВИС-ПЛЮС"</v>
      </c>
      <c r="K3201" s="24" t="s">
        <v>4689</v>
      </c>
      <c r="L3201" s="22" t="s">
        <v>10</v>
      </c>
      <c r="M3201" s="28" t="s">
        <v>52</v>
      </c>
      <c r="N3201" s="28" t="s">
        <v>52</v>
      </c>
    </row>
    <row r="3202" spans="1:14" x14ac:dyDescent="0.15">
      <c r="A3202" s="23" t="str">
        <f t="shared" ref="A3202:A3208" si="137">HYPERLINK("https://www.spark-marketing.ru/Card/Person/1050020", "ГБПОУ СО ""ИГРТ""")</f>
        <v>ГБПОУ СО "ИГРТ"</v>
      </c>
      <c r="B3202" s="24" t="s">
        <v>4690</v>
      </c>
      <c r="C3202" s="25">
        <v>363896</v>
      </c>
      <c r="D3202" s="22" t="s">
        <v>4691</v>
      </c>
      <c r="E3202" s="22" t="s">
        <v>84</v>
      </c>
      <c r="F3202" s="23" t="str">
        <f t="shared" ref="F3202:F3208" si="138">HYPERLINK("https://www.spark-marketing.ru/Card/Lot/72685964", "Установка системы видеонаблюдения на здании учебно-производственного корпуса расположенного по адресу: г. Нижняя Тура, ул. Береговая дом 3")</f>
        <v>Установка системы видеонаблюдения на здании учебно-производственного корпуса расположенного по адресу: г. Нижняя Тура, ул. Береговая дом 3</v>
      </c>
      <c r="G3202" s="22" t="s">
        <v>72</v>
      </c>
      <c r="H3202" s="22" t="s">
        <v>4692</v>
      </c>
      <c r="I3202" s="26">
        <v>43685.5672569444</v>
      </c>
      <c r="J3202" s="28" t="s">
        <v>52</v>
      </c>
      <c r="K3202" s="28" t="s">
        <v>52</v>
      </c>
      <c r="L3202" s="28" t="s">
        <v>52</v>
      </c>
      <c r="M3202" s="28" t="s">
        <v>52</v>
      </c>
      <c r="N3202" s="28" t="s">
        <v>52</v>
      </c>
    </row>
    <row r="3203" spans="1:14" hidden="1" outlineLevel="1" x14ac:dyDescent="0.2">
      <c r="A3203" s="23" t="str">
        <f t="shared" si="137"/>
        <v>ГБПОУ СО "ИГРТ"</v>
      </c>
      <c r="B3203" s="24" t="s">
        <v>4690</v>
      </c>
      <c r="C3203" s="25">
        <v>363896</v>
      </c>
      <c r="D3203" s="22" t="s">
        <v>4691</v>
      </c>
      <c r="E3203" s="22" t="s">
        <v>84</v>
      </c>
      <c r="F3203" s="23" t="str">
        <f t="shared" si="138"/>
        <v>Установка системы видеонаблюдения на здании учебно-производственного корпуса расположенного по адресу: г. Нижняя Тура, ул. Береговая дом 3</v>
      </c>
      <c r="G3203" s="22" t="s">
        <v>72</v>
      </c>
      <c r="H3203" s="22" t="s">
        <v>4692</v>
      </c>
      <c r="I3203" s="26">
        <v>43685.5672569444</v>
      </c>
      <c r="J3203" s="23" t="str">
        <f>HYPERLINK("https://www.spark-marketing.ru/Card/Person/6578982", "Родичев Максим Юрьевич")</f>
        <v>Родичев Максим Юрьевич</v>
      </c>
      <c r="K3203" s="24" t="s">
        <v>1478</v>
      </c>
      <c r="L3203" s="28" t="s">
        <v>52</v>
      </c>
      <c r="M3203" s="25">
        <v>278380.14</v>
      </c>
      <c r="N3203" s="27">
        <v>0.23500082441137027</v>
      </c>
    </row>
    <row r="3204" spans="1:14" hidden="1" outlineLevel="1" x14ac:dyDescent="0.2">
      <c r="A3204" s="23" t="str">
        <f t="shared" si="137"/>
        <v>ГБПОУ СО "ИГРТ"</v>
      </c>
      <c r="B3204" s="24" t="s">
        <v>4690</v>
      </c>
      <c r="C3204" s="25">
        <v>363896</v>
      </c>
      <c r="D3204" s="22" t="s">
        <v>4691</v>
      </c>
      <c r="E3204" s="22" t="s">
        <v>84</v>
      </c>
      <c r="F3204" s="23" t="str">
        <f t="shared" si="138"/>
        <v>Установка системы видеонаблюдения на здании учебно-производственного корпуса расположенного по адресу: г. Нижняя Тура, ул. Береговая дом 3</v>
      </c>
      <c r="G3204" s="22" t="s">
        <v>72</v>
      </c>
      <c r="H3204" s="22" t="s">
        <v>4692</v>
      </c>
      <c r="I3204" s="26">
        <v>43685.5672569444</v>
      </c>
      <c r="J3204" s="23" t="str">
        <f>HYPERLINK("https://www.spark-marketing.ru/Card/Person/6251153", "Тарасова Надежда Сергеевна")</f>
        <v>Тарасова Надежда Сергеевна</v>
      </c>
      <c r="K3204" s="24" t="s">
        <v>3146</v>
      </c>
      <c r="L3204" s="28" t="s">
        <v>52</v>
      </c>
      <c r="M3204" s="25">
        <v>302033.38</v>
      </c>
      <c r="N3204" s="27">
        <v>0.17000082441137029</v>
      </c>
    </row>
    <row r="3205" spans="1:14" hidden="1" outlineLevel="1" x14ac:dyDescent="0.2">
      <c r="A3205" s="23" t="str">
        <f t="shared" si="137"/>
        <v>ГБПОУ СО "ИГРТ"</v>
      </c>
      <c r="B3205" s="24" t="s">
        <v>4690</v>
      </c>
      <c r="C3205" s="25">
        <v>363896</v>
      </c>
      <c r="D3205" s="22" t="s">
        <v>4691</v>
      </c>
      <c r="E3205" s="22" t="s">
        <v>84</v>
      </c>
      <c r="F3205" s="23" t="str">
        <f t="shared" si="138"/>
        <v>Установка системы видеонаблюдения на здании учебно-производственного корпуса расположенного по адресу: г. Нижняя Тура, ул. Береговая дом 3</v>
      </c>
      <c r="G3205" s="22" t="s">
        <v>72</v>
      </c>
      <c r="H3205" s="22" t="s">
        <v>4692</v>
      </c>
      <c r="I3205" s="26">
        <v>43685.5672569444</v>
      </c>
      <c r="J3205" s="23" t="str">
        <f>HYPERLINK("https://www.spark-marketing.ru/Card/Person/572248", "ООО ""ПОЖСЕРВИС""")</f>
        <v>ООО "ПОЖСЕРВИС"</v>
      </c>
      <c r="K3205" s="24" t="s">
        <v>3830</v>
      </c>
      <c r="L3205" s="28" t="s">
        <v>52</v>
      </c>
      <c r="M3205" s="25">
        <v>256546.38</v>
      </c>
      <c r="N3205" s="27">
        <v>0.29500082441137027</v>
      </c>
    </row>
    <row r="3206" spans="1:14" hidden="1" outlineLevel="1" x14ac:dyDescent="0.2">
      <c r="A3206" s="23" t="str">
        <f t="shared" si="137"/>
        <v>ГБПОУ СО "ИГРТ"</v>
      </c>
      <c r="B3206" s="24" t="s">
        <v>4690</v>
      </c>
      <c r="C3206" s="25">
        <v>363896</v>
      </c>
      <c r="D3206" s="22" t="s">
        <v>4691</v>
      </c>
      <c r="E3206" s="22" t="s">
        <v>84</v>
      </c>
      <c r="F3206" s="23" t="str">
        <f t="shared" si="138"/>
        <v>Установка системы видеонаблюдения на здании учебно-производственного корпуса расположенного по адресу: г. Нижняя Тура, ул. Береговая дом 3</v>
      </c>
      <c r="G3206" s="22" t="s">
        <v>72</v>
      </c>
      <c r="H3206" s="22" t="s">
        <v>4692</v>
      </c>
      <c r="I3206" s="26">
        <v>43685.5672569444</v>
      </c>
      <c r="J3206" s="23" t="str">
        <f>HYPERLINK("https://www.spark-marketing.ru/Card/Person/104137", "ООО ""РУБЕЖ""")</f>
        <v>ООО "РУБЕЖ"</v>
      </c>
      <c r="K3206" s="24" t="s">
        <v>4693</v>
      </c>
      <c r="L3206" s="28" t="s">
        <v>52</v>
      </c>
      <c r="M3206" s="25">
        <v>271102.21999999997</v>
      </c>
      <c r="N3206" s="27">
        <v>0.25500082441137029</v>
      </c>
    </row>
    <row r="3207" spans="1:14" ht="12.75" hidden="1" outlineLevel="1" x14ac:dyDescent="0.2">
      <c r="A3207" s="23" t="str">
        <f t="shared" si="137"/>
        <v>ГБПОУ СО "ИГРТ"</v>
      </c>
      <c r="B3207" s="24" t="s">
        <v>4690</v>
      </c>
      <c r="C3207" s="25">
        <v>363896</v>
      </c>
      <c r="D3207" s="22" t="s">
        <v>4691</v>
      </c>
      <c r="E3207" s="22" t="s">
        <v>84</v>
      </c>
      <c r="F3207" s="23" t="str">
        <f t="shared" si="138"/>
        <v>Установка системы видеонаблюдения на здании учебно-производственного корпуса расположенного по адресу: г. Нижняя Тура, ул. Береговая дом 3</v>
      </c>
      <c r="G3207" s="22" t="s">
        <v>72</v>
      </c>
      <c r="H3207" s="22" t="s">
        <v>4692</v>
      </c>
      <c r="I3207" s="26">
        <v>43685.5672569444</v>
      </c>
      <c r="J3207" s="23" t="str">
        <f>HYPERLINK("https://www.spark-marketing.ru/Card/Person/5853123", "Ершов Андрей Алексеевич")</f>
        <v>Ершов Андрей Алексеевич</v>
      </c>
      <c r="K3207" s="24" t="s">
        <v>1063</v>
      </c>
      <c r="L3207" s="22" t="s">
        <v>10</v>
      </c>
      <c r="M3207" s="25">
        <v>254726.9</v>
      </c>
      <c r="N3207" s="27">
        <v>0.30000082441137027</v>
      </c>
    </row>
    <row r="3208" spans="1:14" hidden="1" outlineLevel="1" x14ac:dyDescent="0.2">
      <c r="A3208" s="23" t="str">
        <f t="shared" si="137"/>
        <v>ГБПОУ СО "ИГРТ"</v>
      </c>
      <c r="B3208" s="24" t="s">
        <v>4690</v>
      </c>
      <c r="C3208" s="25">
        <v>363896</v>
      </c>
      <c r="D3208" s="22" t="s">
        <v>4691</v>
      </c>
      <c r="E3208" s="22" t="s">
        <v>84</v>
      </c>
      <c r="F3208" s="23" t="str">
        <f t="shared" si="138"/>
        <v>Установка системы видеонаблюдения на здании учебно-производственного корпуса расположенного по адресу: г. Нижняя Тура, ул. Береговая дом 3</v>
      </c>
      <c r="G3208" s="22" t="s">
        <v>72</v>
      </c>
      <c r="H3208" s="22" t="s">
        <v>4692</v>
      </c>
      <c r="I3208" s="26">
        <v>43685.5672569444</v>
      </c>
      <c r="J3208" s="23" t="str">
        <f>HYPERLINK("https://www.spark-marketing.ru/Card/Person/6526895", "Куликова Татьяна Николаевна")</f>
        <v>Куликова Татьяна Николаевна</v>
      </c>
      <c r="K3208" s="24" t="s">
        <v>4694</v>
      </c>
      <c r="L3208" s="28" t="s">
        <v>52</v>
      </c>
      <c r="M3208" s="25">
        <v>274741.18</v>
      </c>
      <c r="N3208" s="27">
        <v>0.24500082441137028</v>
      </c>
    </row>
    <row r="3209" spans="1:14" x14ac:dyDescent="0.15">
      <c r="A3209" s="23" t="str">
        <f>HYPERLINK("https://www.spark-marketing.ru/Card/Person/119602", "ОМВД РОССИИ ПО ТУГУЛЫМСКОМУ РАЙОНУ")</f>
        <v>ОМВД РОССИИ ПО ТУГУЛЫМСКОМУ РАЙОНУ</v>
      </c>
      <c r="B3209" s="24" t="s">
        <v>3311</v>
      </c>
      <c r="C3209" s="25">
        <v>12000</v>
      </c>
      <c r="D3209" s="22" t="s">
        <v>4695</v>
      </c>
      <c r="E3209" s="22" t="s">
        <v>53</v>
      </c>
      <c r="F3209" s="23" t="str">
        <f>HYPERLINK("https://www.spark-marketing.ru/Card/Lot/72671299", "оказание услуги по техническому обслуживанию системы видионаблюдения")</f>
        <v>оказание услуги по техническому обслуживанию системы видионаблюдения</v>
      </c>
      <c r="G3209" s="22" t="s">
        <v>72</v>
      </c>
      <c r="H3209" s="22" t="s">
        <v>72</v>
      </c>
      <c r="I3209" s="26">
        <v>43685.546539351897</v>
      </c>
      <c r="J3209" s="28" t="s">
        <v>52</v>
      </c>
      <c r="K3209" s="28" t="s">
        <v>52</v>
      </c>
      <c r="L3209" s="28" t="s">
        <v>52</v>
      </c>
      <c r="M3209" s="28" t="s">
        <v>52</v>
      </c>
      <c r="N3209" s="28" t="s">
        <v>52</v>
      </c>
    </row>
    <row r="3210" spans="1:14" x14ac:dyDescent="0.15">
      <c r="A3210" s="23" t="str">
        <f>HYPERLINK("https://www.spark-marketing.ru/Card/Person/304538", "ФКУ ИК-5 УФСИН РОССИИ ПО ТВЕРСКОЙ ОБЛАСТИ")</f>
        <v>ФКУ ИК-5 УФСИН РОССИИ ПО ТВЕРСКОЙ ОБЛАСТИ</v>
      </c>
      <c r="B3210" s="24" t="s">
        <v>4696</v>
      </c>
      <c r="C3210" s="25">
        <v>15000</v>
      </c>
      <c r="D3210" s="22" t="s">
        <v>4697</v>
      </c>
      <c r="E3210" s="22" t="s">
        <v>208</v>
      </c>
      <c r="F3210" s="23" t="str">
        <f>HYPERLINK("https://www.spark-marketing.ru/Card/Lot/72671400", "Кнопка тревожной сигнализации RS-201TK, 5 шт")</f>
        <v>Кнопка тревожной сигнализации RS-201TK, 5 шт</v>
      </c>
      <c r="G3210" s="22" t="s">
        <v>251</v>
      </c>
      <c r="H3210" s="22" t="s">
        <v>2122</v>
      </c>
      <c r="I3210" s="26">
        <v>43685.537210648101</v>
      </c>
      <c r="J3210" s="28" t="s">
        <v>52</v>
      </c>
      <c r="K3210" s="28" t="s">
        <v>52</v>
      </c>
      <c r="L3210" s="28" t="s">
        <v>52</v>
      </c>
      <c r="M3210" s="28" t="s">
        <v>52</v>
      </c>
      <c r="N3210" s="28" t="s">
        <v>52</v>
      </c>
    </row>
    <row r="3211" spans="1:14" x14ac:dyDescent="0.15">
      <c r="A3211" s="23" t="str">
        <f>HYPERLINK("https://www.spark-marketing.ru/Card/Person/120370", "ФГКУ КОМБИНАТ ""САЯНЫ"" РОСРЕЗЕРВА")</f>
        <v>ФГКУ КОМБИНАТ "САЯНЫ" РОСРЕЗЕРВА</v>
      </c>
      <c r="B3211" s="24" t="s">
        <v>4698</v>
      </c>
      <c r="C3211" s="25">
        <v>15861.11</v>
      </c>
      <c r="D3211" s="22" t="s">
        <v>4699</v>
      </c>
      <c r="E3211" s="22" t="s">
        <v>53</v>
      </c>
      <c r="F3211" s="23" t="str">
        <f>HYPERLINK("https://www.spark-marketing.ru/Card/Lot/72669685", "Услуги по централизованной охране объекта")</f>
        <v>Услуги по централизованной охране объекта</v>
      </c>
      <c r="G3211" s="22" t="s">
        <v>640</v>
      </c>
      <c r="H3211" s="22" t="s">
        <v>4700</v>
      </c>
      <c r="I3211" s="26">
        <v>43685.503136574102</v>
      </c>
      <c r="J3211" s="28" t="s">
        <v>52</v>
      </c>
      <c r="K3211" s="28" t="s">
        <v>52</v>
      </c>
      <c r="L3211" s="28" t="s">
        <v>52</v>
      </c>
      <c r="M3211" s="28" t="s">
        <v>52</v>
      </c>
      <c r="N3211" s="28" t="s">
        <v>52</v>
      </c>
    </row>
    <row r="3212" spans="1:14" x14ac:dyDescent="0.15">
      <c r="A3212" s="23" t="str">
        <f>HYPERLINK("https://www.spark-marketing.ru/Card/Person/119602", "ОМВД РОССИИ ПО ТУГУЛЫМСКОМУ РАЙОНУ")</f>
        <v>ОМВД РОССИИ ПО ТУГУЛЫМСКОМУ РАЙОНУ</v>
      </c>
      <c r="B3212" s="24" t="s">
        <v>3311</v>
      </c>
      <c r="C3212" s="25">
        <v>12000</v>
      </c>
      <c r="D3212" s="22" t="s">
        <v>4701</v>
      </c>
      <c r="E3212" s="22" t="s">
        <v>53</v>
      </c>
      <c r="F3212" s="23" t="str">
        <f>HYPERLINK("https://www.spark-marketing.ru/Card/Lot/72671389", "услуги по техническому обслуживанию системы видеонаблюдения")</f>
        <v>услуги по техническому обслуживанию системы видеонаблюдения</v>
      </c>
      <c r="G3212" s="22" t="s">
        <v>72</v>
      </c>
      <c r="H3212" s="22" t="s">
        <v>72</v>
      </c>
      <c r="I3212" s="26">
        <v>43685.532546296301</v>
      </c>
      <c r="J3212" s="28" t="s">
        <v>52</v>
      </c>
      <c r="K3212" s="28" t="s">
        <v>52</v>
      </c>
      <c r="L3212" s="28" t="s">
        <v>52</v>
      </c>
      <c r="M3212" s="28" t="s">
        <v>52</v>
      </c>
      <c r="N3212" s="28" t="s">
        <v>52</v>
      </c>
    </row>
    <row r="3213" spans="1:14" x14ac:dyDescent="0.15">
      <c r="A3213" s="23" t="str">
        <f>HYPERLINK("https://www.spark-marketing.ru/Card/Person/365274", "ОМВД РОССИИ ПО ОКУЛОВСКОМУ РАЙОНУ")</f>
        <v>ОМВД РОССИИ ПО ОКУЛОВСКОМУ РАЙОНУ</v>
      </c>
      <c r="B3213" s="24" t="s">
        <v>3836</v>
      </c>
      <c r="C3213" s="25">
        <v>54000</v>
      </c>
      <c r="D3213" s="22" t="s">
        <v>4702</v>
      </c>
      <c r="E3213" s="22" t="s">
        <v>84</v>
      </c>
      <c r="F3213" s="23" t="str">
        <f>HYPERLINK("https://www.spark-marketing.ru/Card/Lot/72667392", "Техническое обслуживание систем видеонаблюдения, 36 шт")</f>
        <v>Техническое обслуживание систем видеонаблюдения, 36 шт</v>
      </c>
      <c r="G3213" s="22" t="s">
        <v>959</v>
      </c>
      <c r="H3213" s="22" t="s">
        <v>3838</v>
      </c>
      <c r="I3213" s="26">
        <v>43685.458495370403</v>
      </c>
      <c r="J3213" s="28" t="s">
        <v>52</v>
      </c>
      <c r="K3213" s="28" t="s">
        <v>52</v>
      </c>
      <c r="L3213" s="28" t="s">
        <v>52</v>
      </c>
      <c r="M3213" s="28" t="s">
        <v>52</v>
      </c>
      <c r="N3213" s="28" t="s">
        <v>52</v>
      </c>
    </row>
    <row r="3214" spans="1:14" x14ac:dyDescent="0.15">
      <c r="A3214" s="23" t="str">
        <f>HYPERLINK("https://www.spark-marketing.ru/Card/Person/1026239", "ГБУВ МО ""ТЕРВЕТУПРАВЛЕНИЕ № 3""")</f>
        <v>ГБУВ МО "ТЕРВЕТУПРАВЛЕНИЕ № 3"</v>
      </c>
      <c r="B3214" s="24" t="s">
        <v>4703</v>
      </c>
      <c r="C3214" s="25">
        <v>169195.04</v>
      </c>
      <c r="D3214" s="22" t="s">
        <v>4704</v>
      </c>
      <c r="E3214" s="22" t="s">
        <v>59</v>
      </c>
      <c r="F3214" s="23" t="str">
        <f>HYPERLINK("https://www.spark-marketing.ru/Card/Lot/72670094", "Монтаж и пусконаладочные работы по установке и вводу в эксплуатацию системы охранно-тревожной сигнализации в помещении ГБУВ МО ""Терветуправление №3""")</f>
        <v>Монтаж и пусконаладочные работы по установке и вводу в эксплуатацию системы охранно-тревожной сигнализации в помещении ГБУВ МО "Терветуправление №3"</v>
      </c>
      <c r="G3214" s="22" t="s">
        <v>50</v>
      </c>
      <c r="H3214" s="22" t="s">
        <v>1936</v>
      </c>
      <c r="I3214" s="26">
        <v>43685.471932870401</v>
      </c>
      <c r="J3214" s="28" t="s">
        <v>52</v>
      </c>
      <c r="K3214" s="28" t="s">
        <v>52</v>
      </c>
      <c r="L3214" s="28" t="s">
        <v>52</v>
      </c>
      <c r="M3214" s="28" t="s">
        <v>52</v>
      </c>
      <c r="N3214" s="28" t="s">
        <v>52</v>
      </c>
    </row>
    <row r="3215" spans="1:14" x14ac:dyDescent="0.15">
      <c r="A3215" s="23" t="str">
        <f>HYPERLINK("https://www.spark-marketing.ru/Card/Person/1040132", "МКУ ПО АХО")</f>
        <v>МКУ ПО АХО</v>
      </c>
      <c r="B3215" s="24" t="s">
        <v>4705</v>
      </c>
      <c r="C3215" s="25">
        <v>183307</v>
      </c>
      <c r="D3215" s="22" t="s">
        <v>4706</v>
      </c>
      <c r="E3215" s="22" t="s">
        <v>59</v>
      </c>
      <c r="F3215" s="23" t="str">
        <f>HYPERLINK("https://www.spark-marketing.ru/Card/Lot/72677692", "Поставка и установка системы видеонаблюдения")</f>
        <v>Поставка и установка системы видеонаблюдения</v>
      </c>
      <c r="G3215" s="22" t="s">
        <v>64</v>
      </c>
      <c r="H3215" s="22" t="s">
        <v>64</v>
      </c>
      <c r="I3215" s="26">
        <v>43685.488483796304</v>
      </c>
      <c r="J3215" s="28" t="s">
        <v>52</v>
      </c>
      <c r="K3215" s="28" t="s">
        <v>52</v>
      </c>
      <c r="L3215" s="28" t="s">
        <v>52</v>
      </c>
      <c r="M3215" s="28" t="s">
        <v>52</v>
      </c>
      <c r="N3215" s="28" t="s">
        <v>52</v>
      </c>
    </row>
    <row r="3216" spans="1:14" hidden="1" outlineLevel="1" x14ac:dyDescent="0.2">
      <c r="A3216" s="23" t="str">
        <f>HYPERLINK("https://www.spark-marketing.ru/Card/Person/1040132", "МКУ ПО АХО")</f>
        <v>МКУ ПО АХО</v>
      </c>
      <c r="B3216" s="24" t="s">
        <v>4705</v>
      </c>
      <c r="C3216" s="25">
        <v>183307</v>
      </c>
      <c r="D3216" s="22" t="s">
        <v>4706</v>
      </c>
      <c r="E3216" s="22" t="s">
        <v>59</v>
      </c>
      <c r="F3216" s="23" t="str">
        <f>HYPERLINK("https://www.spark-marketing.ru/Card/Lot/72677692", "Поставка и установка системы видеонаблюдения")</f>
        <v>Поставка и установка системы видеонаблюдения</v>
      </c>
      <c r="G3216" s="22" t="s">
        <v>64</v>
      </c>
      <c r="H3216" s="22" t="s">
        <v>64</v>
      </c>
      <c r="I3216" s="26">
        <v>43685.488483796304</v>
      </c>
      <c r="J3216" s="23" t="str">
        <f>HYPERLINK("https://www.spark-marketing.ru/Card/Person/521032", "ООО ""КОМБИ""")</f>
        <v>ООО "КОМБИ"</v>
      </c>
      <c r="K3216" s="24" t="s">
        <v>1953</v>
      </c>
      <c r="L3216" s="28" t="s">
        <v>52</v>
      </c>
      <c r="M3216" s="25">
        <v>140834.65</v>
      </c>
      <c r="N3216" s="27">
        <v>0.23170064427435941</v>
      </c>
    </row>
    <row r="3217" spans="1:14" ht="12.75" hidden="1" outlineLevel="1" x14ac:dyDescent="0.2">
      <c r="A3217" s="23" t="str">
        <f>HYPERLINK("https://www.spark-marketing.ru/Card/Person/1040132", "МКУ ПО АХО")</f>
        <v>МКУ ПО АХО</v>
      </c>
      <c r="B3217" s="24" t="s">
        <v>4705</v>
      </c>
      <c r="C3217" s="25">
        <v>183307</v>
      </c>
      <c r="D3217" s="22" t="s">
        <v>4706</v>
      </c>
      <c r="E3217" s="22" t="s">
        <v>59</v>
      </c>
      <c r="F3217" s="23" t="str">
        <f>HYPERLINK("https://www.spark-marketing.ru/Card/Lot/72677692", "Поставка и установка системы видеонаблюдения")</f>
        <v>Поставка и установка системы видеонаблюдения</v>
      </c>
      <c r="G3217" s="22" t="s">
        <v>64</v>
      </c>
      <c r="H3217" s="22" t="s">
        <v>64</v>
      </c>
      <c r="I3217" s="26">
        <v>43685.488483796304</v>
      </c>
      <c r="J3217" s="23" t="str">
        <f>HYPERLINK("https://www.spark-marketing.ru/Card/Person/105503", "ООО ""СПЕЦМОНТАЖСЕРВИС""")</f>
        <v>ООО "СПЕЦМОНТАЖСЕРВИС"</v>
      </c>
      <c r="K3217" s="24" t="s">
        <v>4707</v>
      </c>
      <c r="L3217" s="22" t="s">
        <v>10</v>
      </c>
      <c r="M3217" s="25">
        <v>116083.46</v>
      </c>
      <c r="N3217" s="27">
        <v>0.36672652981064552</v>
      </c>
    </row>
    <row r="3218" spans="1:14" hidden="1" outlineLevel="1" x14ac:dyDescent="0.2">
      <c r="A3218" s="23" t="str">
        <f>HYPERLINK("https://www.spark-marketing.ru/Card/Person/1040132", "МКУ ПО АХО")</f>
        <v>МКУ ПО АХО</v>
      </c>
      <c r="B3218" s="24" t="s">
        <v>4705</v>
      </c>
      <c r="C3218" s="25">
        <v>183307</v>
      </c>
      <c r="D3218" s="22" t="s">
        <v>4706</v>
      </c>
      <c r="E3218" s="22" t="s">
        <v>59</v>
      </c>
      <c r="F3218" s="23" t="str">
        <f>HYPERLINK("https://www.spark-marketing.ru/Card/Lot/72677692", "Поставка и установка системы видеонаблюдения")</f>
        <v>Поставка и установка системы видеонаблюдения</v>
      </c>
      <c r="G3218" s="22" t="s">
        <v>64</v>
      </c>
      <c r="H3218" s="22" t="s">
        <v>64</v>
      </c>
      <c r="I3218" s="26">
        <v>43685.488483796304</v>
      </c>
      <c r="J3218" s="23" t="str">
        <f>HYPERLINK("https://www.spark-marketing.ru/Card/Person/526586", "ООО ""МОНТАЖНАЯ КОМПАНИЯ СИСТЕМ БЕЗОПАСНОСТИ""")</f>
        <v>ООО "МОНТАЖНАЯ КОМПАНИЯ СИСТЕМ БЕЗОПАСНОСТИ"</v>
      </c>
      <c r="K3218" s="24" t="s">
        <v>4708</v>
      </c>
      <c r="L3218" s="28" t="s">
        <v>52</v>
      </c>
      <c r="M3218" s="25">
        <v>117000</v>
      </c>
      <c r="N3218" s="27">
        <v>0.36172650253400035</v>
      </c>
    </row>
    <row r="3219" spans="1:14" x14ac:dyDescent="0.15">
      <c r="A3219" s="23" t="str">
        <f>HYPERLINK("https://www.spark-marketing.ru/Card/Person/3504", "ФКУ УПРДОР ""КАСПИЙ""")</f>
        <v>ФКУ УПРДОР "КАСПИЙ"</v>
      </c>
      <c r="B3219" s="24" t="s">
        <v>1277</v>
      </c>
      <c r="C3219" s="25">
        <v>298500</v>
      </c>
      <c r="D3219" s="22" t="s">
        <v>4709</v>
      </c>
      <c r="E3219" s="22" t="s">
        <v>53</v>
      </c>
      <c r="F3219" s="23" t="str">
        <f>HYPERLINK("https://www.spark-marketing.ru/Card/Lot/72669481", "Услуги частной охраны (Выставление поста охраны), 1 чел.ч")</f>
        <v>Услуги частной охраны (Выставление поста охраны), 1 чел.ч</v>
      </c>
      <c r="G3219" s="22" t="s">
        <v>565</v>
      </c>
      <c r="H3219" s="22" t="s">
        <v>566</v>
      </c>
      <c r="I3219" s="26">
        <v>43685.465821759302</v>
      </c>
      <c r="J3219" s="28" t="s">
        <v>52</v>
      </c>
      <c r="K3219" s="28" t="s">
        <v>52</v>
      </c>
      <c r="L3219" s="28" t="s">
        <v>52</v>
      </c>
      <c r="M3219" s="28" t="s">
        <v>52</v>
      </c>
      <c r="N3219" s="28" t="s">
        <v>52</v>
      </c>
    </row>
    <row r="3220" spans="1:14" x14ac:dyDescent="0.15">
      <c r="A3220" s="23" t="str">
        <f>HYPERLINK("https://www.spark-marketing.ru/Card/Person/264914", "ОЕМВД РОССИИ ПО ТАРУССКОМУ РАЙОНУ")</f>
        <v>ОЕМВД РОССИИ ПО ТАРУССКОМУ РАЙОНУ</v>
      </c>
      <c r="B3220" s="24" t="s">
        <v>4710</v>
      </c>
      <c r="C3220" s="25">
        <v>12000</v>
      </c>
      <c r="D3220" s="22" t="s">
        <v>4711</v>
      </c>
      <c r="E3220" s="22" t="s">
        <v>107</v>
      </c>
      <c r="F3220" s="23" t="str">
        <f>HYPERLINK("https://www.spark-marketing.ru/Card/Lot/72666507", "Техническое обслуживание камер видеонаблюдения, 1 шт")</f>
        <v>Техническое обслуживание камер видеонаблюдения, 1 шт</v>
      </c>
      <c r="G3220" s="22" t="s">
        <v>658</v>
      </c>
      <c r="H3220" s="22" t="s">
        <v>4712</v>
      </c>
      <c r="I3220" s="26">
        <v>43685.441979166702</v>
      </c>
      <c r="J3220" s="28" t="s">
        <v>52</v>
      </c>
      <c r="K3220" s="28" t="s">
        <v>52</v>
      </c>
      <c r="L3220" s="28" t="s">
        <v>52</v>
      </c>
      <c r="M3220" s="28" t="s">
        <v>52</v>
      </c>
      <c r="N3220" s="28" t="s">
        <v>52</v>
      </c>
    </row>
    <row r="3221" spans="1:14" x14ac:dyDescent="0.15">
      <c r="A3221" s="23" t="str">
        <f>HYPERLINK("https://www.spark-marketing.ru/Card/Person/365274", "ОМВД РОССИИ ПО ОКУЛОВСКОМУ РАЙОНУ")</f>
        <v>ОМВД РОССИИ ПО ОКУЛОВСКОМУ РАЙОНУ</v>
      </c>
      <c r="B3221" s="24" t="s">
        <v>3836</v>
      </c>
      <c r="C3221" s="25">
        <v>54000</v>
      </c>
      <c r="D3221" s="22" t="s">
        <v>4713</v>
      </c>
      <c r="E3221" s="22" t="s">
        <v>84</v>
      </c>
      <c r="F3221" s="23" t="str">
        <f>HYPERLINK("https://www.spark-marketing.ru/Card/Lot/72667387", "Техническое обслуживание систем видеонаблюдения, 36 шт")</f>
        <v>Техническое обслуживание систем видеонаблюдения, 36 шт</v>
      </c>
      <c r="G3221" s="22" t="s">
        <v>959</v>
      </c>
      <c r="H3221" s="22" t="s">
        <v>3838</v>
      </c>
      <c r="I3221" s="26">
        <v>43685.457499999997</v>
      </c>
      <c r="J3221" s="28" t="s">
        <v>52</v>
      </c>
      <c r="K3221" s="28" t="s">
        <v>52</v>
      </c>
      <c r="L3221" s="28" t="s">
        <v>52</v>
      </c>
      <c r="M3221" s="28" t="s">
        <v>52</v>
      </c>
      <c r="N3221" s="28" t="s">
        <v>52</v>
      </c>
    </row>
    <row r="3222" spans="1:14" x14ac:dyDescent="0.15">
      <c r="A3222" s="23" t="str">
        <f t="shared" ref="A3222:A3227" si="139">HYPERLINK("https://www.spark-marketing.ru/Card/Person/1034956", "МКУ ""ПОДОЛЬСКСПАС""")</f>
        <v>МКУ "ПОДОЛЬСКСПАС"</v>
      </c>
      <c r="B3222" s="24" t="s">
        <v>4714</v>
      </c>
      <c r="C3222" s="25">
        <v>127900</v>
      </c>
      <c r="D3222" s="22" t="s">
        <v>4715</v>
      </c>
      <c r="E3222" s="22" t="s">
        <v>84</v>
      </c>
      <c r="F3222" s="23" t="str">
        <f t="shared" ref="F3222:F3227" si="140">HYPERLINK("https://www.spark-marketing.ru/Card/Lot/72669103", "Оказание услуг по установке системы видеонаблюдения")</f>
        <v>Оказание услуг по установке системы видеонаблюдения</v>
      </c>
      <c r="G3222" s="22" t="s">
        <v>50</v>
      </c>
      <c r="H3222" s="22" t="s">
        <v>569</v>
      </c>
      <c r="I3222" s="26">
        <v>43685.394293981502</v>
      </c>
      <c r="J3222" s="28" t="s">
        <v>52</v>
      </c>
      <c r="K3222" s="28" t="s">
        <v>52</v>
      </c>
      <c r="L3222" s="28" t="s">
        <v>52</v>
      </c>
      <c r="M3222" s="28" t="s">
        <v>52</v>
      </c>
      <c r="N3222" s="28" t="s">
        <v>52</v>
      </c>
    </row>
    <row r="3223" spans="1:14" hidden="1" outlineLevel="1" x14ac:dyDescent="0.2">
      <c r="A3223" s="23" t="str">
        <f t="shared" si="139"/>
        <v>МКУ "ПОДОЛЬСКСПАС"</v>
      </c>
      <c r="B3223" s="24" t="s">
        <v>4714</v>
      </c>
      <c r="C3223" s="25">
        <v>127900</v>
      </c>
      <c r="D3223" s="22" t="s">
        <v>4715</v>
      </c>
      <c r="E3223" s="22" t="s">
        <v>84</v>
      </c>
      <c r="F3223" s="23" t="str">
        <f t="shared" si="140"/>
        <v>Оказание услуг по установке системы видеонаблюдения</v>
      </c>
      <c r="G3223" s="22" t="s">
        <v>50</v>
      </c>
      <c r="H3223" s="22" t="s">
        <v>569</v>
      </c>
      <c r="I3223" s="26">
        <v>43685.394293981502</v>
      </c>
      <c r="J3223" s="23" t="str">
        <f>HYPERLINK("https://www.spark-marketing.ru/Card/Person/6675514", "Янак Владимир Александрович")</f>
        <v>Янак Владимир Александрович</v>
      </c>
      <c r="K3223" s="24" t="s">
        <v>4716</v>
      </c>
      <c r="L3223" s="28" t="s">
        <v>52</v>
      </c>
      <c r="M3223" s="25">
        <v>90000</v>
      </c>
      <c r="N3223" s="27">
        <v>0.29632525410476934</v>
      </c>
    </row>
    <row r="3224" spans="1:14" hidden="1" outlineLevel="1" x14ac:dyDescent="0.2">
      <c r="A3224" s="23" t="str">
        <f t="shared" si="139"/>
        <v>МКУ "ПОДОЛЬСКСПАС"</v>
      </c>
      <c r="B3224" s="24" t="s">
        <v>4714</v>
      </c>
      <c r="C3224" s="25">
        <v>127900</v>
      </c>
      <c r="D3224" s="22" t="s">
        <v>4715</v>
      </c>
      <c r="E3224" s="22" t="s">
        <v>84</v>
      </c>
      <c r="F3224" s="23" t="str">
        <f t="shared" si="140"/>
        <v>Оказание услуг по установке системы видеонаблюдения</v>
      </c>
      <c r="G3224" s="22" t="s">
        <v>50</v>
      </c>
      <c r="H3224" s="22" t="s">
        <v>569</v>
      </c>
      <c r="I3224" s="26">
        <v>43685.394293981502</v>
      </c>
      <c r="J3224" s="23" t="str">
        <f>HYPERLINK("https://www.spark-marketing.ru/Card/Person/6573297", "Смышников Дмитрий Олегович")</f>
        <v>Смышников Дмитрий Олегович</v>
      </c>
      <c r="K3224" s="24" t="s">
        <v>2061</v>
      </c>
      <c r="L3224" s="28" t="s">
        <v>52</v>
      </c>
      <c r="M3224" s="25">
        <v>100375.5</v>
      </c>
      <c r="N3224" s="27">
        <v>0.21520328381548084</v>
      </c>
    </row>
    <row r="3225" spans="1:14" hidden="1" outlineLevel="1" x14ac:dyDescent="0.2">
      <c r="A3225" s="23" t="str">
        <f t="shared" si="139"/>
        <v>МКУ "ПОДОЛЬСКСПАС"</v>
      </c>
      <c r="B3225" s="24" t="s">
        <v>4714</v>
      </c>
      <c r="C3225" s="25">
        <v>127900</v>
      </c>
      <c r="D3225" s="22" t="s">
        <v>4715</v>
      </c>
      <c r="E3225" s="22" t="s">
        <v>84</v>
      </c>
      <c r="F3225" s="23" t="str">
        <f t="shared" si="140"/>
        <v>Оказание услуг по установке системы видеонаблюдения</v>
      </c>
      <c r="G3225" s="22" t="s">
        <v>50</v>
      </c>
      <c r="H3225" s="22" t="s">
        <v>569</v>
      </c>
      <c r="I3225" s="26">
        <v>43685.394293981502</v>
      </c>
      <c r="J3225" s="23" t="str">
        <f>HYPERLINK("https://www.spark-marketing.ru/Card/Person/1382533", "ООО ""ЛИНК""")</f>
        <v>ООО "ЛИНК"</v>
      </c>
      <c r="K3225" s="24" t="s">
        <v>4717</v>
      </c>
      <c r="L3225" s="28" t="s">
        <v>52</v>
      </c>
      <c r="M3225" s="25">
        <v>78489</v>
      </c>
      <c r="N3225" s="27">
        <v>0.38632525410476937</v>
      </c>
    </row>
    <row r="3226" spans="1:14" ht="12.75" hidden="1" outlineLevel="1" x14ac:dyDescent="0.2">
      <c r="A3226" s="23" t="str">
        <f t="shared" si="139"/>
        <v>МКУ "ПОДОЛЬСКСПАС"</v>
      </c>
      <c r="B3226" s="24" t="s">
        <v>4714</v>
      </c>
      <c r="C3226" s="25">
        <v>127900</v>
      </c>
      <c r="D3226" s="22" t="s">
        <v>4715</v>
      </c>
      <c r="E3226" s="22" t="s">
        <v>84</v>
      </c>
      <c r="F3226" s="23" t="str">
        <f t="shared" si="140"/>
        <v>Оказание услуг по установке системы видеонаблюдения</v>
      </c>
      <c r="G3226" s="22" t="s">
        <v>50</v>
      </c>
      <c r="H3226" s="22" t="s">
        <v>569</v>
      </c>
      <c r="I3226" s="26">
        <v>43685.394293981502</v>
      </c>
      <c r="J3226" s="23" t="str">
        <f>HYPERLINK("https://www.spark-marketing.ru/Card/Person/6179217", "Морозова Юлия Николаевна")</f>
        <v>Морозова Юлия Николаевна</v>
      </c>
      <c r="K3226" s="24" t="s">
        <v>1059</v>
      </c>
      <c r="L3226" s="22" t="s">
        <v>10</v>
      </c>
      <c r="M3226" s="25">
        <v>77849.5</v>
      </c>
      <c r="N3226" s="27">
        <v>0.39132525410476937</v>
      </c>
    </row>
    <row r="3227" spans="1:14" hidden="1" outlineLevel="1" x14ac:dyDescent="0.2">
      <c r="A3227" s="23" t="str">
        <f t="shared" si="139"/>
        <v>МКУ "ПОДОЛЬСКСПАС"</v>
      </c>
      <c r="B3227" s="24" t="s">
        <v>4714</v>
      </c>
      <c r="C3227" s="25">
        <v>127900</v>
      </c>
      <c r="D3227" s="22" t="s">
        <v>4715</v>
      </c>
      <c r="E3227" s="22" t="s">
        <v>84</v>
      </c>
      <c r="F3227" s="23" t="str">
        <f t="shared" si="140"/>
        <v>Оказание услуг по установке системы видеонаблюдения</v>
      </c>
      <c r="G3227" s="22" t="s">
        <v>50</v>
      </c>
      <c r="H3227" s="22" t="s">
        <v>569</v>
      </c>
      <c r="I3227" s="26">
        <v>43685.394293981502</v>
      </c>
      <c r="J3227" s="23" t="str">
        <f>HYPERLINK("https://www.spark-marketing.ru/Card/Person/6507537", "Безруков Артем Николаевич")</f>
        <v>Безруков Артем Николаевич</v>
      </c>
      <c r="K3227" s="24" t="s">
        <v>2075</v>
      </c>
      <c r="L3227" s="28" t="s">
        <v>52</v>
      </c>
      <c r="M3227" s="25">
        <v>99736</v>
      </c>
      <c r="N3227" s="27">
        <v>0.22020328381548085</v>
      </c>
    </row>
    <row r="3228" spans="1:14" x14ac:dyDescent="0.15">
      <c r="A3228" s="23" t="str">
        <f>HYPERLINK("https://www.spark-marketing.ru/Card/Person/90480", "АДМИНИСТРАЦИЯ ЮРЬЯНСКОГО РАЙОНА")</f>
        <v>АДМИНИСТРАЦИЯ ЮРЬЯНСКОГО РАЙОНА</v>
      </c>
      <c r="B3228" s="24" t="s">
        <v>4718</v>
      </c>
      <c r="C3228" s="25">
        <v>372000</v>
      </c>
      <c r="D3228" s="22" t="s">
        <v>4719</v>
      </c>
      <c r="E3228" s="22" t="s">
        <v>491</v>
      </c>
      <c r="F3228" s="23" t="str">
        <f>HYPERLINK("https://www.spark-marketing.ru/Card/Lot/72683840", "Разработка планов обеспечения транспортной безопасности объектов транспортной инфраструктуры в Юрьянском районе")</f>
        <v>Разработка планов обеспечения транспортной безопасности объектов транспортной инфраструктуры в Юрьянском районе</v>
      </c>
      <c r="G3228" s="22" t="s">
        <v>556</v>
      </c>
      <c r="H3228" s="22" t="s">
        <v>4720</v>
      </c>
      <c r="I3228" s="26">
        <v>43685.413715277798</v>
      </c>
      <c r="J3228" s="28" t="s">
        <v>52</v>
      </c>
      <c r="K3228" s="28" t="s">
        <v>52</v>
      </c>
      <c r="L3228" s="28" t="s">
        <v>52</v>
      </c>
      <c r="M3228" s="28" t="s">
        <v>52</v>
      </c>
      <c r="N3228" s="28" t="s">
        <v>52</v>
      </c>
    </row>
    <row r="3229" spans="1:14" hidden="1" outlineLevel="1" x14ac:dyDescent="0.2">
      <c r="A3229" s="23" t="str">
        <f>HYPERLINK("https://www.spark-marketing.ru/Card/Person/90480", "АДМИНИСТРАЦИЯ ЮРЬЯНСКОГО РАЙОНА")</f>
        <v>АДМИНИСТРАЦИЯ ЮРЬЯНСКОГО РАЙОНА</v>
      </c>
      <c r="B3229" s="24" t="s">
        <v>4718</v>
      </c>
      <c r="C3229" s="25">
        <v>372000</v>
      </c>
      <c r="D3229" s="22" t="s">
        <v>4719</v>
      </c>
      <c r="E3229" s="22" t="s">
        <v>491</v>
      </c>
      <c r="F3229" s="23" t="str">
        <f>HYPERLINK("https://www.spark-marketing.ru/Card/Lot/72683840", "Разработка планов обеспечения транспортной безопасности объектов транспортной инфраструктуры в Юрьянском районе")</f>
        <v>Разработка планов обеспечения транспортной безопасности объектов транспортной инфраструктуры в Юрьянском районе</v>
      </c>
      <c r="G3229" s="22" t="s">
        <v>556</v>
      </c>
      <c r="H3229" s="22" t="s">
        <v>4720</v>
      </c>
      <c r="I3229" s="26">
        <v>43685.413715277798</v>
      </c>
      <c r="J3229" s="23" t="str">
        <f>HYPERLINK("https://www.spark-marketing.ru/Card/Person/81571", "ООО ""СО ""АНТИТЕРРОР""")</f>
        <v>ООО "СО "АНТИТЕРРОР"</v>
      </c>
      <c r="K3229" s="24" t="s">
        <v>3384</v>
      </c>
      <c r="L3229" s="28" t="s">
        <v>52</v>
      </c>
      <c r="M3229" s="25">
        <v>316200</v>
      </c>
      <c r="N3229" s="27">
        <v>0.15</v>
      </c>
    </row>
    <row r="3230" spans="1:14" hidden="1" outlineLevel="1" x14ac:dyDescent="0.2">
      <c r="A3230" s="23" t="str">
        <f>HYPERLINK("https://www.spark-marketing.ru/Card/Person/90480", "АДМИНИСТРАЦИЯ ЮРЬЯНСКОГО РАЙОНА")</f>
        <v>АДМИНИСТРАЦИЯ ЮРЬЯНСКОГО РАЙОНА</v>
      </c>
      <c r="B3230" s="24" t="s">
        <v>4718</v>
      </c>
      <c r="C3230" s="25">
        <v>372000</v>
      </c>
      <c r="D3230" s="22" t="s">
        <v>4719</v>
      </c>
      <c r="E3230" s="22" t="s">
        <v>491</v>
      </c>
      <c r="F3230" s="23" t="str">
        <f>HYPERLINK("https://www.spark-marketing.ru/Card/Lot/72683840", "Разработка планов обеспечения транспортной безопасности объектов транспортной инфраструктуры в Юрьянском районе")</f>
        <v>Разработка планов обеспечения транспортной безопасности объектов транспортной инфраструктуры в Юрьянском районе</v>
      </c>
      <c r="G3230" s="22" t="s">
        <v>556</v>
      </c>
      <c r="H3230" s="22" t="s">
        <v>4720</v>
      </c>
      <c r="I3230" s="26">
        <v>43685.413715277798</v>
      </c>
      <c r="J3230" s="23" t="str">
        <f>HYPERLINK("https://www.spark-marketing.ru/Card/Person/70673", "ООО ""ГБЭС-ЭНЕРГО""")</f>
        <v>ООО "ГБЭС-ЭНЕРГО"</v>
      </c>
      <c r="K3230" s="24" t="s">
        <v>4721</v>
      </c>
      <c r="L3230" s="28" t="s">
        <v>52</v>
      </c>
      <c r="M3230" s="25">
        <v>297600</v>
      </c>
      <c r="N3230" s="27">
        <v>0.2</v>
      </c>
    </row>
    <row r="3231" spans="1:14" ht="12.75" hidden="1" outlineLevel="1" x14ac:dyDescent="0.2">
      <c r="A3231" s="23" t="str">
        <f>HYPERLINK("https://www.spark-marketing.ru/Card/Person/90480", "АДМИНИСТРАЦИЯ ЮРЬЯНСКОГО РАЙОНА")</f>
        <v>АДМИНИСТРАЦИЯ ЮРЬЯНСКОГО РАЙОНА</v>
      </c>
      <c r="B3231" s="24" t="s">
        <v>4718</v>
      </c>
      <c r="C3231" s="25">
        <v>372000</v>
      </c>
      <c r="D3231" s="22" t="s">
        <v>4719</v>
      </c>
      <c r="E3231" s="22" t="s">
        <v>491</v>
      </c>
      <c r="F3231" s="23" t="str">
        <f>HYPERLINK("https://www.spark-marketing.ru/Card/Lot/72683840", "Разработка планов обеспечения транспортной безопасности объектов транспортной инфраструктуры в Юрьянском районе")</f>
        <v>Разработка планов обеспечения транспортной безопасности объектов транспортной инфраструктуры в Юрьянском районе</v>
      </c>
      <c r="G3231" s="22" t="s">
        <v>556</v>
      </c>
      <c r="H3231" s="22" t="s">
        <v>4720</v>
      </c>
      <c r="I3231" s="26">
        <v>43685.413715277798</v>
      </c>
      <c r="J3231" s="23" t="str">
        <f>HYPERLINK("https://www.spark-marketing.ru/Card/Person/6110146", "ООО ""ИЦ ТЕХНОБЕЗОПАСНОСТЬ""")</f>
        <v>ООО "ИЦ ТЕХНОБЕЗОПАСНОСТЬ"</v>
      </c>
      <c r="K3231" s="24" t="s">
        <v>2240</v>
      </c>
      <c r="L3231" s="22" t="s">
        <v>10</v>
      </c>
      <c r="M3231" s="25">
        <v>295740</v>
      </c>
      <c r="N3231" s="27">
        <v>0.20499999999999999</v>
      </c>
    </row>
    <row r="3232" spans="1:14" x14ac:dyDescent="0.15">
      <c r="A3232" s="23" t="str">
        <f>HYPERLINK("https://www.spark-marketing.ru/Card/Person/1056686", "ГБУЗ КК ""ПЕНЖИНСКАЯ РБ""")</f>
        <v>ГБУЗ КК "ПЕНЖИНСКАЯ РБ"</v>
      </c>
      <c r="B3232" s="24" t="s">
        <v>3509</v>
      </c>
      <c r="C3232" s="25">
        <v>469329.5</v>
      </c>
      <c r="D3232" s="22" t="s">
        <v>4722</v>
      </c>
      <c r="E3232" s="22" t="s">
        <v>84</v>
      </c>
      <c r="F3232" s="23" t="str">
        <f>HYPERLINK("https://www.spark-marketing.ru/Card/Lot/72660528", "Выполнение работ по установке систем внутренней и внешней охраны (систем видеонаблюдения)")</f>
        <v>Выполнение работ по установке систем внутренней и внешней охраны (систем видеонаблюдения)</v>
      </c>
      <c r="G3232" s="22" t="s">
        <v>3511</v>
      </c>
      <c r="H3232" s="22" t="s">
        <v>3512</v>
      </c>
      <c r="I3232" s="26">
        <v>43685.365902777798</v>
      </c>
      <c r="J3232" s="28" t="s">
        <v>52</v>
      </c>
      <c r="K3232" s="28" t="s">
        <v>52</v>
      </c>
      <c r="L3232" s="28" t="s">
        <v>52</v>
      </c>
      <c r="M3232" s="28" t="s">
        <v>52</v>
      </c>
      <c r="N3232" s="28" t="s">
        <v>52</v>
      </c>
    </row>
    <row r="3233" spans="1:14" x14ac:dyDescent="0.15">
      <c r="A3233" s="23" t="str">
        <f>HYPERLINK("https://www.spark-marketing.ru/Card/Person/4586249", "АО ""РУСАЛ АЧИНСК""")</f>
        <v>АО "РУСАЛ АЧИНСК"</v>
      </c>
      <c r="B3233" s="24" t="s">
        <v>4723</v>
      </c>
      <c r="C3233" s="25">
        <v>0</v>
      </c>
      <c r="D3233" s="22" t="s">
        <v>4724</v>
      </c>
      <c r="E3233" s="22" t="s">
        <v>4725</v>
      </c>
      <c r="F3233" s="23" t="str">
        <f>HYPERLINK("https://www.spark-marketing.ru/Card/Lot/72668429", "Вагончик бытовой для проживания сотрудников охраны на шасси (доставка до п. Горячегорск)")</f>
        <v>Вагончик бытовой для проживания сотрудников охраны на шасси (доставка до п. Горячегорск)</v>
      </c>
      <c r="G3233" s="22" t="s">
        <v>640</v>
      </c>
      <c r="H3233" s="22" t="s">
        <v>4726</v>
      </c>
      <c r="I3233" s="26">
        <v>43685.337384259299</v>
      </c>
      <c r="J3233" s="28" t="s">
        <v>52</v>
      </c>
      <c r="K3233" s="28" t="s">
        <v>52</v>
      </c>
      <c r="L3233" s="28" t="s">
        <v>52</v>
      </c>
      <c r="M3233" s="28" t="s">
        <v>52</v>
      </c>
      <c r="N3233" s="28" t="s">
        <v>52</v>
      </c>
    </row>
    <row r="3234" spans="1:14" x14ac:dyDescent="0.15">
      <c r="A3234" s="23" t="str">
        <f>HYPERLINK("https://www.spark-marketing.ru/Card/Person/108500", "УПРАВЛЕНИЕ МВД РОССИИ ПО ЗАТО Г. ОЗЕРСК ЧЕЛЯБИНСКОЙ ОБЛАСТИ")</f>
        <v>УПРАВЛЕНИЕ МВД РОССИИ ПО ЗАТО Г. ОЗЕРСК ЧЕЛЯБИНСКОЙ ОБЛАСТИ</v>
      </c>
      <c r="B3234" s="24" t="s">
        <v>4727</v>
      </c>
      <c r="C3234" s="25">
        <v>16900</v>
      </c>
      <c r="D3234" s="22" t="s">
        <v>4728</v>
      </c>
      <c r="E3234" s="22" t="s">
        <v>103</v>
      </c>
      <c r="F3234" s="23" t="str">
        <f>HYPERLINK("https://www.spark-marketing.ru/Card/Lot/72663626", "Оказание услуг по техническому обслуживанию системы видеонаблюденя, 1 усл. ед")</f>
        <v>Оказание услуг по техническому обслуживанию системы видеонаблюденя, 1 усл. ед</v>
      </c>
      <c r="G3234" s="22" t="s">
        <v>60</v>
      </c>
      <c r="H3234" s="22" t="s">
        <v>588</v>
      </c>
      <c r="I3234" s="26">
        <v>43685.352453703701</v>
      </c>
      <c r="J3234" s="28" t="s">
        <v>52</v>
      </c>
      <c r="K3234" s="28" t="s">
        <v>52</v>
      </c>
      <c r="L3234" s="28" t="s">
        <v>52</v>
      </c>
      <c r="M3234" s="28" t="s">
        <v>52</v>
      </c>
      <c r="N3234" s="28" t="s">
        <v>52</v>
      </c>
    </row>
    <row r="3235" spans="1:14" x14ac:dyDescent="0.15">
      <c r="A3235" s="23" t="str">
        <f>HYPERLINK("https://www.spark-marketing.ru/Card/Person/4586249", "АО ""РУСАЛ АЧИНСК""")</f>
        <v>АО "РУСАЛ АЧИНСК"</v>
      </c>
      <c r="B3235" s="24" t="s">
        <v>4723</v>
      </c>
      <c r="C3235" s="25">
        <v>0</v>
      </c>
      <c r="D3235" s="22" t="s">
        <v>4729</v>
      </c>
      <c r="E3235" s="22" t="s">
        <v>4725</v>
      </c>
      <c r="F3235" s="23" t="str">
        <f>HYPERLINK("https://www.spark-marketing.ru/Card/Lot/72668435", "Вагончик бытовой для проживания сотрудников охраны на шасси (доставка до п. Горячегорск)")</f>
        <v>Вагончик бытовой для проживания сотрудников охраны на шасси (доставка до п. Горячегорск)</v>
      </c>
      <c r="G3235" s="22" t="s">
        <v>640</v>
      </c>
      <c r="H3235" s="22" t="s">
        <v>4726</v>
      </c>
      <c r="I3235" s="26">
        <v>43685.340034722198</v>
      </c>
      <c r="J3235" s="28" t="s">
        <v>52</v>
      </c>
      <c r="K3235" s="28" t="s">
        <v>52</v>
      </c>
      <c r="L3235" s="28" t="s">
        <v>52</v>
      </c>
      <c r="M3235" s="28" t="s">
        <v>52</v>
      </c>
      <c r="N3235" s="28" t="s">
        <v>52</v>
      </c>
    </row>
    <row r="3236" spans="1:14" x14ac:dyDescent="0.15">
      <c r="A3236" s="23" t="str">
        <f>HYPERLINK("https://www.spark-marketing.ru/Card/Person/108500", "УПРАВЛЕНИЕ МВД РОССИИ ПО ЗАТО Г. ОЗЕРСК ЧЕЛЯБИНСКОЙ ОБЛАСТИ")</f>
        <v>УПРАВЛЕНИЕ МВД РОССИИ ПО ЗАТО Г. ОЗЕРСК ЧЕЛЯБИНСКОЙ ОБЛАСТИ</v>
      </c>
      <c r="B3236" s="24" t="s">
        <v>4727</v>
      </c>
      <c r="C3236" s="25">
        <v>16900</v>
      </c>
      <c r="D3236" s="22" t="s">
        <v>4730</v>
      </c>
      <c r="E3236" s="22" t="s">
        <v>53</v>
      </c>
      <c r="F3236" s="23" t="str">
        <f>HYPERLINK("https://www.spark-marketing.ru/Card/Lot/72663623", "Техническое обслуживание видеонаблюдения, 1 усл. ед")</f>
        <v>Техническое обслуживание видеонаблюдения, 1 усл. ед</v>
      </c>
      <c r="G3236" s="22" t="s">
        <v>60</v>
      </c>
      <c r="H3236" s="22" t="s">
        <v>588</v>
      </c>
      <c r="I3236" s="26">
        <v>43685.3508912037</v>
      </c>
      <c r="J3236" s="28" t="s">
        <v>52</v>
      </c>
      <c r="K3236" s="28" t="s">
        <v>52</v>
      </c>
      <c r="L3236" s="28" t="s">
        <v>52</v>
      </c>
      <c r="M3236" s="28" t="s">
        <v>52</v>
      </c>
      <c r="N3236" s="28" t="s">
        <v>52</v>
      </c>
    </row>
    <row r="3237" spans="1:14" x14ac:dyDescent="0.15">
      <c r="A3237" s="23" t="str">
        <f>HYPERLINK("https://www.spark-marketing.ru/Card/Person/10715", "БУ ВО ""АВТОТРАНСПОРТНОЕ ХОЗЯЙСТВО""")</f>
        <v>БУ ВО "АВТОТРАНСПОРТНОЕ ХОЗЯЙСТВО"</v>
      </c>
      <c r="B3237" s="24" t="s">
        <v>4731</v>
      </c>
      <c r="C3237" s="25">
        <v>491508.5</v>
      </c>
      <c r="D3237" s="22" t="s">
        <v>4732</v>
      </c>
      <c r="E3237" s="22" t="s">
        <v>985</v>
      </c>
      <c r="F3237" s="23" t="str">
        <f>HYPERLINK("https://www.spark-marketing.ru/Card/Lot/72677608", "Поставка деталей и принадлежностей для транспортных средств.")</f>
        <v>Поставка деталей и принадлежностей для транспортных средств.</v>
      </c>
      <c r="G3237" s="22" t="s">
        <v>902</v>
      </c>
      <c r="H3237" s="22" t="s">
        <v>903</v>
      </c>
      <c r="I3237" s="26">
        <v>43685.3727546296</v>
      </c>
      <c r="J3237" s="28" t="s">
        <v>52</v>
      </c>
      <c r="K3237" s="28" t="s">
        <v>52</v>
      </c>
      <c r="L3237" s="28" t="s">
        <v>52</v>
      </c>
      <c r="M3237" s="28" t="s">
        <v>52</v>
      </c>
      <c r="N3237" s="28" t="s">
        <v>52</v>
      </c>
    </row>
    <row r="3238" spans="1:14" hidden="1" outlineLevel="1" x14ac:dyDescent="0.2">
      <c r="A3238" s="23" t="str">
        <f>HYPERLINK("https://www.spark-marketing.ru/Card/Person/10715", "БУ ВО ""АВТОТРАНСПОРТНОЕ ХОЗЯЙСТВО""")</f>
        <v>БУ ВО "АВТОТРАНСПОРТНОЕ ХОЗЯЙСТВО"</v>
      </c>
      <c r="B3238" s="24" t="s">
        <v>4731</v>
      </c>
      <c r="C3238" s="25">
        <v>491508.5</v>
      </c>
      <c r="D3238" s="22" t="s">
        <v>4732</v>
      </c>
      <c r="E3238" s="22" t="s">
        <v>985</v>
      </c>
      <c r="F3238" s="23" t="str">
        <f>HYPERLINK("https://www.spark-marketing.ru/Card/Lot/72677608", "Поставка деталей и принадлежностей для транспортных средств.")</f>
        <v>Поставка деталей и принадлежностей для транспортных средств.</v>
      </c>
      <c r="G3238" s="22" t="s">
        <v>902</v>
      </c>
      <c r="H3238" s="22" t="s">
        <v>903</v>
      </c>
      <c r="I3238" s="26">
        <v>43685.3727546296</v>
      </c>
      <c r="J3238" s="23" t="str">
        <f>HYPERLINK("https://www.spark-marketing.ru/Card/Person/6496021", "ООО «АВТОЭКСПРЕСС24»")</f>
        <v>ООО «АВТОЭКСПРЕСС24»</v>
      </c>
      <c r="K3238" s="24" t="s">
        <v>4733</v>
      </c>
      <c r="L3238" s="28" t="s">
        <v>52</v>
      </c>
      <c r="M3238" s="25">
        <v>491000</v>
      </c>
      <c r="N3238" s="27">
        <v>1.0345701040775489E-3</v>
      </c>
    </row>
    <row r="3239" spans="1:14" ht="12.75" hidden="1" outlineLevel="1" x14ac:dyDescent="0.2">
      <c r="A3239" s="23" t="str">
        <f>HYPERLINK("https://www.spark-marketing.ru/Card/Person/10715", "БУ ВО ""АВТОТРАНСПОРТНОЕ ХОЗЯЙСТВО""")</f>
        <v>БУ ВО "АВТОТРАНСПОРТНОЕ ХОЗЯЙСТВО"</v>
      </c>
      <c r="B3239" s="24" t="s">
        <v>4731</v>
      </c>
      <c r="C3239" s="25">
        <v>491508.5</v>
      </c>
      <c r="D3239" s="22" t="s">
        <v>4732</v>
      </c>
      <c r="E3239" s="22" t="s">
        <v>985</v>
      </c>
      <c r="F3239" s="23" t="str">
        <f>HYPERLINK("https://www.spark-marketing.ru/Card/Lot/72677608", "Поставка деталей и принадлежностей для транспортных средств.")</f>
        <v>Поставка деталей и принадлежностей для транспортных средств.</v>
      </c>
      <c r="G3239" s="22" t="s">
        <v>902</v>
      </c>
      <c r="H3239" s="22" t="s">
        <v>903</v>
      </c>
      <c r="I3239" s="26">
        <v>43685.3727546296</v>
      </c>
      <c r="J3239" s="23" t="str">
        <f>HYPERLINK("https://www.spark-marketing.ru/Card/Person/4893086", "ООО ТД ""ИНТРЕЙД""")</f>
        <v>ООО ТД "ИНТРЕЙД"</v>
      </c>
      <c r="K3239" s="24" t="s">
        <v>4734</v>
      </c>
      <c r="L3239" s="22" t="s">
        <v>10</v>
      </c>
      <c r="M3239" s="25">
        <v>474337.8</v>
      </c>
      <c r="N3239" s="27">
        <v>3.4934695941168874E-2</v>
      </c>
    </row>
    <row r="3240" spans="1:14" x14ac:dyDescent="0.15">
      <c r="A3240" s="23" t="str">
        <f>HYPERLINK("https://www.spark-marketing.ru/Card/Person/4961120", "МУП ""ГАРАНТ-АВТО""")</f>
        <v>МУП "ГАРАНТ-АВТО"</v>
      </c>
      <c r="B3240" s="24" t="s">
        <v>4735</v>
      </c>
      <c r="C3240" s="25">
        <v>55500</v>
      </c>
      <c r="D3240" s="22" t="s">
        <v>4736</v>
      </c>
      <c r="E3240" s="22" t="s">
        <v>4737</v>
      </c>
      <c r="F3240" s="23" t="str">
        <f>HYPERLINK("https://www.spark-marketing.ru/Card/Lot/72662466", "Выполнение работ по замене блоков средств криптографической защиты информации с последующей активацией, калибровкой и поверкой установленных и активированных тахографов на транспортных средствах Заказчика")</f>
        <v>Выполнение работ по замене блоков средств криптографической защиты информации с последующей активацией, калибровкой и поверкой установленных и активированных тахографов на транспортных средствах Заказчика</v>
      </c>
      <c r="G3240" s="22" t="s">
        <v>209</v>
      </c>
      <c r="H3240" s="22" t="s">
        <v>4605</v>
      </c>
      <c r="I3240" s="26">
        <v>43685.323611111096</v>
      </c>
      <c r="J3240" s="28" t="s">
        <v>52</v>
      </c>
      <c r="K3240" s="28" t="s">
        <v>52</v>
      </c>
      <c r="L3240" s="28" t="s">
        <v>52</v>
      </c>
      <c r="M3240" s="28" t="s">
        <v>52</v>
      </c>
      <c r="N3240" s="28" t="s">
        <v>52</v>
      </c>
    </row>
    <row r="3241" spans="1:14" x14ac:dyDescent="0.15">
      <c r="A3241" s="23" t="str">
        <f>HYPERLINK("https://www.spark-marketing.ru/Card/Person/31051", "АДМИНИСТРАЦИЯ ГОРОДСКОГО ОКРУГА ЛОСИНО-ПЕТРОВСКИЙ")</f>
        <v>АДМИНИСТРАЦИЯ ГОРОДСКОГО ОКРУГА ЛОСИНО-ПЕТРОВСКИЙ</v>
      </c>
      <c r="B3241" s="24" t="s">
        <v>4738</v>
      </c>
      <c r="C3241" s="25">
        <v>349135.27</v>
      </c>
      <c r="D3241" s="22" t="s">
        <v>4739</v>
      </c>
      <c r="E3241" s="22" t="s">
        <v>59</v>
      </c>
      <c r="F3241" s="23" t="str">
        <f>HYPERLINK("https://www.spark-marketing.ru/Card/Lot/72663043", "Выполнение работ по установке и монтажу светофорных объектов Т7 на территории г.о. Лосино-Петровский")</f>
        <v>Выполнение работ по установке и монтажу светофорных объектов Т7 на территории г.о. Лосино-Петровский</v>
      </c>
      <c r="G3241" s="22" t="s">
        <v>50</v>
      </c>
      <c r="H3241" s="22" t="s">
        <v>3895</v>
      </c>
      <c r="I3241" s="26">
        <v>43685.307048611103</v>
      </c>
      <c r="J3241" s="23" t="str">
        <f>HYPERLINK("https://www.spark-marketing.ru/Card/Person/29497", "ООО ""СТОПМОБИЛЬ""")</f>
        <v>ООО "СТОПМОБИЛЬ"</v>
      </c>
      <c r="K3241" s="24" t="s">
        <v>4740</v>
      </c>
      <c r="L3241" s="22" t="s">
        <v>10</v>
      </c>
      <c r="M3241" s="28" t="s">
        <v>52</v>
      </c>
      <c r="N3241" s="28" t="s">
        <v>52</v>
      </c>
    </row>
    <row r="3242" spans="1:14" x14ac:dyDescent="0.15">
      <c r="A3242" s="23" t="str">
        <f>HYPERLINK("https://www.spark-marketing.ru/Card/Person/73093", "МТУ РОСИМУЩЕСТВА В ХАБАРОВСКОМ КРАЕ И ЕВРЕЙСКОЙ АВТОНОМНОЙ ОБЛАСТИ")</f>
        <v>МТУ РОСИМУЩЕСТВА В ХАБАРОВСКОМ КРАЕ И ЕВРЕЙСКОЙ АВТОНОМНОЙ ОБЛАСТИ</v>
      </c>
      <c r="B3242" s="24" t="s">
        <v>4741</v>
      </c>
      <c r="C3242" s="25">
        <v>76217.759999999995</v>
      </c>
      <c r="D3242" s="22" t="s">
        <v>4742</v>
      </c>
      <c r="E3242" s="22" t="s">
        <v>53</v>
      </c>
      <c r="F3242" s="23" t="str">
        <f>HYPERLINK("https://www.spark-marketing.ru/Card/Lot/72661359", "Оказание услуг по охране объекта незавершенного строительства")</f>
        <v>Оказание услуг по охране объекта незавершенного строительства</v>
      </c>
      <c r="G3242" s="22" t="s">
        <v>138</v>
      </c>
      <c r="H3242" s="22" t="s">
        <v>255</v>
      </c>
      <c r="I3242" s="26">
        <v>43685.2192476852</v>
      </c>
      <c r="J3242" s="28" t="s">
        <v>52</v>
      </c>
      <c r="K3242" s="28" t="s">
        <v>52</v>
      </c>
      <c r="L3242" s="28" t="s">
        <v>52</v>
      </c>
      <c r="M3242" s="28" t="s">
        <v>52</v>
      </c>
      <c r="N3242" s="28" t="s">
        <v>52</v>
      </c>
    </row>
    <row r="3243" spans="1:14" x14ac:dyDescent="0.15">
      <c r="A3243" s="23" t="str">
        <f>HYPERLINK("https://www.spark-marketing.ru/Card/Person/80175", "ФГКУ ""ОВО ВНГ РОССИИ ПО РЕСПУБЛИКЕ АЛТАЙ""")</f>
        <v>ФГКУ "ОВО ВНГ РОССИИ ПО РЕСПУБЛИКЕ АЛТАЙ"</v>
      </c>
      <c r="B3243" s="24" t="s">
        <v>4743</v>
      </c>
      <c r="C3243" s="25">
        <v>18564</v>
      </c>
      <c r="D3243" s="22" t="s">
        <v>4744</v>
      </c>
      <c r="E3243" s="22" t="s">
        <v>53</v>
      </c>
      <c r="F3243" s="23" t="str">
        <f>HYPERLINK("https://www.spark-marketing.ru/Card/Lot/72661376", "об оказании услуг (охранная сигнализация)")</f>
        <v>об оказании услуг (охранная сигнализация)</v>
      </c>
      <c r="G3243" s="22" t="s">
        <v>3000</v>
      </c>
      <c r="H3243" s="22" t="s">
        <v>3001</v>
      </c>
      <c r="I3243" s="26">
        <v>43685.239004629599</v>
      </c>
      <c r="J3243" s="28" t="s">
        <v>52</v>
      </c>
      <c r="K3243" s="28" t="s">
        <v>52</v>
      </c>
      <c r="L3243" s="28" t="s">
        <v>52</v>
      </c>
      <c r="M3243" s="28" t="s">
        <v>52</v>
      </c>
      <c r="N3243" s="28" t="s">
        <v>52</v>
      </c>
    </row>
    <row r="3244" spans="1:14" x14ac:dyDescent="0.15">
      <c r="A3244" s="23" t="str">
        <f>HYPERLINK("https://www.spark-marketing.ru/Card/Person/4348852", "АО ""РКЦ ""ПРОГРЕСС""")</f>
        <v>АО "РКЦ "ПРОГРЕСС"</v>
      </c>
      <c r="B3244" s="24" t="s">
        <v>4745</v>
      </c>
      <c r="C3244" s="25">
        <v>700876.80000000005</v>
      </c>
      <c r="D3244" s="22" t="s">
        <v>4746</v>
      </c>
      <c r="E3244" s="22" t="s">
        <v>4747</v>
      </c>
      <c r="F3244" s="23" t="str">
        <f>HYPERLINK("https://www.spark-marketing.ru/Card/Lot/72681913", "Обеспечение контрольно-пропускного и внутриобъектового режимов в многоквартирном доме")</f>
        <v>Обеспечение контрольно-пропускного и внутриобъектового режимов в многоквартирном доме</v>
      </c>
      <c r="G3244" s="22" t="s">
        <v>760</v>
      </c>
      <c r="H3244" s="22" t="s">
        <v>1709</v>
      </c>
      <c r="I3244" s="26">
        <v>43685</v>
      </c>
      <c r="J3244" s="28" t="s">
        <v>52</v>
      </c>
      <c r="K3244" s="28" t="s">
        <v>52</v>
      </c>
      <c r="L3244" s="28" t="s">
        <v>52</v>
      </c>
      <c r="M3244" s="28" t="s">
        <v>52</v>
      </c>
      <c r="N3244" s="28" t="s">
        <v>52</v>
      </c>
    </row>
    <row r="3245" spans="1:14" x14ac:dyDescent="0.15">
      <c r="A3245" s="23" t="str">
        <f>HYPERLINK("https://www.spark-marketing.ru/Card/Person/1482897", "МАОУ ЛИЦЕЙ №1")</f>
        <v>МАОУ ЛИЦЕЙ №1</v>
      </c>
      <c r="B3245" s="24" t="s">
        <v>4748</v>
      </c>
      <c r="C3245" s="25">
        <v>103333.32</v>
      </c>
      <c r="D3245" s="22" t="s">
        <v>4749</v>
      </c>
      <c r="E3245" s="22" t="s">
        <v>144</v>
      </c>
      <c r="F3245" s="23" t="str">
        <f>HYPERLINK("https://www.spark-marketing.ru/Card/Lot/72666793", "Оказание услуг по охране объекта, соблюдение пропускного режима")</f>
        <v>Оказание услуг по охране объекта, соблюдение пропускного режима</v>
      </c>
      <c r="G3245" s="22" t="s">
        <v>80</v>
      </c>
      <c r="H3245" s="22" t="s">
        <v>80</v>
      </c>
      <c r="I3245" s="26">
        <v>43685</v>
      </c>
      <c r="J3245" s="28" t="s">
        <v>52</v>
      </c>
      <c r="K3245" s="28" t="s">
        <v>52</v>
      </c>
      <c r="L3245" s="28" t="s">
        <v>52</v>
      </c>
      <c r="M3245" s="28" t="s">
        <v>52</v>
      </c>
      <c r="N3245" s="28" t="s">
        <v>52</v>
      </c>
    </row>
    <row r="3246" spans="1:14" x14ac:dyDescent="0.15">
      <c r="A3246" s="23" t="str">
        <f>HYPERLINK("https://www.spark-marketing.ru/Card/Person/4376909", "МА ВМО ЛЕНИНСКОГО МО")</f>
        <v>МА ВМО ЛЕНИНСКОГО МО</v>
      </c>
      <c r="B3246" s="24" t="s">
        <v>712</v>
      </c>
      <c r="C3246" s="25">
        <v>220000</v>
      </c>
      <c r="D3246" s="22" t="s">
        <v>4750</v>
      </c>
      <c r="E3246" s="22" t="s">
        <v>84</v>
      </c>
      <c r="F3246" s="23" t="str">
        <f>HYPERLINK("https://www.spark-marketing.ru/Card/Lot/72659362", "Закупка товаров, работ, услуг для обеспечения мероприятий в рамках реализации муниципальной программы «Участие в профилактике терроризма и экстремизма, а также минимизации и (или) ликвидации последствий проявлений терроризма и экстремизма, гармонизац...")</f>
        <v>Закупка товаров, работ, услуг для обеспечения мероприятий в рамках реализации муниципальной программы «Участие в профилактике терроризма и экстремизма, а также минимизации и (или) ликвидации последствий проявлений терроризма и экстремизма, гармонизац...</v>
      </c>
      <c r="G3246" s="22" t="s">
        <v>714</v>
      </c>
      <c r="H3246" s="22" t="s">
        <v>714</v>
      </c>
      <c r="I3246" s="26">
        <v>43684.780451388899</v>
      </c>
      <c r="J3246" s="28" t="s">
        <v>52</v>
      </c>
      <c r="K3246" s="28" t="s">
        <v>52</v>
      </c>
      <c r="L3246" s="28" t="s">
        <v>52</v>
      </c>
      <c r="M3246" s="28" t="s">
        <v>52</v>
      </c>
      <c r="N3246" s="28" t="s">
        <v>52</v>
      </c>
    </row>
    <row r="3247" spans="1:14" x14ac:dyDescent="0.15">
      <c r="A3247" s="23" t="str">
        <f>HYPERLINK("https://www.spark-marketing.ru/Card/Person/1060957", "ОТДЕЛ МВД РОССИИ ПО ДАЛЬНЕКОНСТАНТИНОВСКОМУ РАЙОНУ")</f>
        <v>ОТДЕЛ МВД РОССИИ ПО ДАЛЬНЕКОНСТАНТИНОВСКОМУ РАЙОНУ</v>
      </c>
      <c r="B3247" s="24" t="s">
        <v>4751</v>
      </c>
      <c r="C3247" s="25">
        <v>37322.879999999997</v>
      </c>
      <c r="D3247" s="22" t="s">
        <v>4752</v>
      </c>
      <c r="E3247" s="22" t="s">
        <v>107</v>
      </c>
      <c r="F3247" s="23" t="str">
        <f>HYPERLINK("https://www.spark-marketing.ru/Card/Lot/72655284", "Техническое обслуживание инженерно-технических средств охраны, 1 шт")</f>
        <v>Техническое обслуживание инженерно-технических средств охраны, 1 шт</v>
      </c>
      <c r="G3247" s="22" t="s">
        <v>64</v>
      </c>
      <c r="H3247" s="22" t="s">
        <v>4753</v>
      </c>
      <c r="I3247" s="26">
        <v>43684.709490740701</v>
      </c>
      <c r="J3247" s="28" t="s">
        <v>52</v>
      </c>
      <c r="K3247" s="28" t="s">
        <v>52</v>
      </c>
      <c r="L3247" s="28" t="s">
        <v>52</v>
      </c>
      <c r="M3247" s="28" t="s">
        <v>52</v>
      </c>
      <c r="N3247" s="28" t="s">
        <v>52</v>
      </c>
    </row>
    <row r="3248" spans="1:14" x14ac:dyDescent="0.15">
      <c r="A3248" s="23" t="str">
        <f>HYPERLINK("https://www.spark-marketing.ru/Card/Person/60587", "МОСКОВСКИЙ ГОРОДСКОЙ СУД")</f>
        <v>МОСКОВСКИЙ ГОРОДСКОЙ СУД</v>
      </c>
      <c r="B3248" s="24" t="s">
        <v>4754</v>
      </c>
      <c r="C3248" s="25">
        <v>4100000</v>
      </c>
      <c r="D3248" s="22" t="s">
        <v>4755</v>
      </c>
      <c r="E3248" s="22" t="s">
        <v>208</v>
      </c>
      <c r="F3248" s="23" t="str">
        <f>HYPERLINK("https://www.spark-marketing.ru/Card/Lot/72656820", "Приобретение средств защиты (система охранной сигнализации)")</f>
        <v>Приобретение средств защиты (система охранной сигнализации)</v>
      </c>
      <c r="G3248" s="22" t="s">
        <v>55</v>
      </c>
      <c r="H3248" s="22" t="s">
        <v>55</v>
      </c>
      <c r="I3248" s="26">
        <v>43684.694305555597</v>
      </c>
      <c r="J3248" s="28" t="s">
        <v>52</v>
      </c>
      <c r="K3248" s="28" t="s">
        <v>52</v>
      </c>
      <c r="L3248" s="28" t="s">
        <v>52</v>
      </c>
      <c r="M3248" s="28" t="s">
        <v>52</v>
      </c>
      <c r="N3248" s="28" t="s">
        <v>52</v>
      </c>
    </row>
    <row r="3249" spans="1:14" hidden="1" outlineLevel="1" x14ac:dyDescent="0.2">
      <c r="A3249" s="23" t="str">
        <f>HYPERLINK("https://www.spark-marketing.ru/Card/Person/60587", "МОСКОВСКИЙ ГОРОДСКОЙ СУД")</f>
        <v>МОСКОВСКИЙ ГОРОДСКОЙ СУД</v>
      </c>
      <c r="B3249" s="24" t="s">
        <v>4754</v>
      </c>
      <c r="C3249" s="25">
        <v>4100000</v>
      </c>
      <c r="D3249" s="22" t="s">
        <v>4755</v>
      </c>
      <c r="E3249" s="22" t="s">
        <v>208</v>
      </c>
      <c r="F3249" s="23" t="str">
        <f>HYPERLINK("https://www.spark-marketing.ru/Card/Lot/72656820", "Приобретение средств защиты (система охранной сигнализации)")</f>
        <v>Приобретение средств защиты (система охранной сигнализации)</v>
      </c>
      <c r="G3249" s="22" t="s">
        <v>55</v>
      </c>
      <c r="H3249" s="22" t="s">
        <v>55</v>
      </c>
      <c r="I3249" s="26">
        <v>43684.694305555597</v>
      </c>
      <c r="J3249" s="23" t="str">
        <f>HYPERLINK("https://www.spark-marketing.ru/Card/Person/109628", "ООО НПП ""ЮНИВЕСТ""")</f>
        <v>ООО НПП "ЮНИВЕСТ"</v>
      </c>
      <c r="K3249" s="24" t="s">
        <v>4756</v>
      </c>
      <c r="L3249" s="28" t="s">
        <v>52</v>
      </c>
      <c r="M3249" s="25">
        <v>3915500</v>
      </c>
      <c r="N3249" s="27">
        <v>4.4999999999999998E-2</v>
      </c>
    </row>
    <row r="3250" spans="1:14" ht="12.75" hidden="1" outlineLevel="1" x14ac:dyDescent="0.2">
      <c r="A3250" s="23" t="str">
        <f>HYPERLINK("https://www.spark-marketing.ru/Card/Person/60587", "МОСКОВСКИЙ ГОРОДСКОЙ СУД")</f>
        <v>МОСКОВСКИЙ ГОРОДСКОЙ СУД</v>
      </c>
      <c r="B3250" s="24" t="s">
        <v>4754</v>
      </c>
      <c r="C3250" s="25">
        <v>4100000</v>
      </c>
      <c r="D3250" s="22" t="s">
        <v>4755</v>
      </c>
      <c r="E3250" s="22" t="s">
        <v>208</v>
      </c>
      <c r="F3250" s="23" t="str">
        <f>HYPERLINK("https://www.spark-marketing.ru/Card/Lot/72656820", "Приобретение средств защиты (система охранной сигнализации)")</f>
        <v>Приобретение средств защиты (система охранной сигнализации)</v>
      </c>
      <c r="G3250" s="22" t="s">
        <v>55</v>
      </c>
      <c r="H3250" s="22" t="s">
        <v>55</v>
      </c>
      <c r="I3250" s="26">
        <v>43684.694305555597</v>
      </c>
      <c r="J3250" s="23" t="str">
        <f>HYPERLINK("https://www.spark-marketing.ru/Card/Person/131073", "ООО ""АЙТИ МОНТАЖ""")</f>
        <v>ООО "АЙТИ МОНТАЖ"</v>
      </c>
      <c r="K3250" s="24" t="s">
        <v>4757</v>
      </c>
      <c r="L3250" s="22" t="s">
        <v>10</v>
      </c>
      <c r="M3250" s="25">
        <v>3895000</v>
      </c>
      <c r="N3250" s="27">
        <v>0.05</v>
      </c>
    </row>
    <row r="3251" spans="1:14" x14ac:dyDescent="0.2">
      <c r="A3251" s="23" t="str">
        <f>HYPERLINK("https://www.spark-marketing.ru/Card/Person/22349", "ФГБУЗ ЦЕНТР КРОВИ ФМБА РОССИИ")</f>
        <v>ФГБУЗ ЦЕНТР КРОВИ ФМБА РОССИИ</v>
      </c>
      <c r="B3251" s="24" t="s">
        <v>4758</v>
      </c>
      <c r="C3251" s="25">
        <v>131476156.91</v>
      </c>
      <c r="D3251" s="22" t="s">
        <v>4759</v>
      </c>
      <c r="E3251" s="22" t="s">
        <v>3699</v>
      </c>
      <c r="F3251" s="23" t="str">
        <f>HYPERLINK("https://www.spark-marketing.ru/Card/Lot/72659489", "Оказании услуг по техническому сопровождению единой информационной базы данных в целях реализации мероприятий, связанных с обеспечением безопасности донорской крови и ее компонентов для объектов службы крови России, включая услуги по технической защи...")</f>
        <v>Оказании услуг по техническому сопровождению единой информационной базы данных в целях реализации мероприятий, связанных с обеспечением безопасности донорской крови и ее компонентов для объектов службы крови России, включая услуги по технической защи...</v>
      </c>
      <c r="G3251" s="22" t="s">
        <v>55</v>
      </c>
      <c r="H3251" s="22" t="s">
        <v>55</v>
      </c>
      <c r="I3251" s="26">
        <v>43684.695138888899</v>
      </c>
      <c r="J3251" s="23" t="str">
        <f>HYPERLINK("https://www.spark-marketing.ru/Card/Person/4346171", "ООО ""ПРОГРАММНЫЙ ПРОДУКТ""")</f>
        <v>ООО "ПРОГРАММНЫЙ ПРОДУКТ"</v>
      </c>
      <c r="K3251" s="24" t="s">
        <v>4760</v>
      </c>
      <c r="L3251" s="28" t="s">
        <v>52</v>
      </c>
      <c r="M3251" s="25">
        <v>131405400</v>
      </c>
      <c r="N3251" s="27">
        <v>5.3817294072898382E-4</v>
      </c>
    </row>
    <row r="3252" spans="1:14" x14ac:dyDescent="0.15">
      <c r="A3252" s="23" t="str">
        <f>HYPERLINK("https://www.spark-marketing.ru/Card/Person/12762", "СРЕДНЕВОЛЖСКОЕ ЛУ МВД РОССИИ НА ТРАНСПОРТЕ")</f>
        <v>СРЕДНЕВОЛЖСКОЕ ЛУ МВД РОССИИ НА ТРАНСПОРТЕ</v>
      </c>
      <c r="B3252" s="24" t="s">
        <v>4761</v>
      </c>
      <c r="C3252" s="25">
        <v>40000</v>
      </c>
      <c r="D3252" s="22" t="s">
        <v>4762</v>
      </c>
      <c r="E3252" s="22" t="s">
        <v>53</v>
      </c>
      <c r="F3252" s="23" t="str">
        <f>HYPERLINK("https://www.spark-marketing.ru/Card/Lot/72655191", "Оказание услуг по техническому обслуживанию систем видеонаблюдения (в рамках государсвенного оборонного заказа)")</f>
        <v>Оказание услуг по техническому обслуживанию систем видеонаблюдения (в рамках государсвенного оборонного заказа)</v>
      </c>
      <c r="G3252" s="22" t="s">
        <v>760</v>
      </c>
      <c r="H3252" s="22" t="s">
        <v>1709</v>
      </c>
      <c r="I3252" s="26">
        <v>43684.680277777799</v>
      </c>
      <c r="J3252" s="28" t="s">
        <v>52</v>
      </c>
      <c r="K3252" s="28" t="s">
        <v>52</v>
      </c>
      <c r="L3252" s="28" t="s">
        <v>52</v>
      </c>
      <c r="M3252" s="28" t="s">
        <v>52</v>
      </c>
      <c r="N3252" s="28" t="s">
        <v>52</v>
      </c>
    </row>
    <row r="3253" spans="1:14" x14ac:dyDescent="0.15">
      <c r="A3253" s="23" t="str">
        <f>HYPERLINK("https://www.spark-marketing.ru/Card/Person/48248", "ГУП ""МОСГОРТРАНС""")</f>
        <v>ГУП "МОСГОРТРАНС"</v>
      </c>
      <c r="B3253" s="24" t="s">
        <v>1862</v>
      </c>
      <c r="C3253" s="25">
        <v>3587232</v>
      </c>
      <c r="D3253" s="22" t="s">
        <v>4763</v>
      </c>
      <c r="E3253" s="22" t="s">
        <v>180</v>
      </c>
      <c r="F3253" s="23" t="str">
        <f>HYPERLINK("https://www.spark-marketing.ru/Card/Lot/72656052", "Поставка автоматизированных комплексов радиационного контроля для нужд филиала Служба транспортной безопасности ГУП «Мосгортранс»")</f>
        <v>Поставка автоматизированных комплексов радиационного контроля для нужд филиала Служба транспортной безопасности ГУП «Мосгортранс»</v>
      </c>
      <c r="G3253" s="22" t="s">
        <v>55</v>
      </c>
      <c r="H3253" s="22" t="s">
        <v>55</v>
      </c>
      <c r="I3253" s="26">
        <v>43684.641215277799</v>
      </c>
      <c r="J3253" s="23" t="str">
        <f>HYPERLINK("https://www.spark-marketing.ru/Card/Person/164429", "ООО ""АС-ЮГ""")</f>
        <v>ООО "АС-ЮГ"</v>
      </c>
      <c r="K3253" s="24" t="s">
        <v>1864</v>
      </c>
      <c r="L3253" s="28" t="s">
        <v>52</v>
      </c>
      <c r="M3253" s="28" t="s">
        <v>52</v>
      </c>
      <c r="N3253" s="28" t="s">
        <v>52</v>
      </c>
    </row>
    <row r="3254" spans="1:14" x14ac:dyDescent="0.15">
      <c r="A3254" s="23" t="str">
        <f>HYPERLINK("https://www.spark-marketing.ru/Card/Person/6240520", "ООО ЮКОРТ")</f>
        <v>ООО ЮКОРТ</v>
      </c>
      <c r="B3254" s="28" t="s">
        <v>52</v>
      </c>
      <c r="C3254" s="28" t="s">
        <v>52</v>
      </c>
      <c r="D3254" s="22" t="s">
        <v>4764</v>
      </c>
      <c r="E3254" s="22" t="s">
        <v>144</v>
      </c>
      <c r="F3254" s="23" t="str">
        <f>HYPERLINK("https://www.spark-marketing.ru/Card/Lot/72651376", "Охранные услуги")</f>
        <v>Охранные услуги</v>
      </c>
      <c r="G3254" s="22" t="s">
        <v>52</v>
      </c>
      <c r="H3254" s="22" t="s">
        <v>52</v>
      </c>
      <c r="I3254" s="26">
        <v>43684.603472222203</v>
      </c>
      <c r="J3254" s="28" t="s">
        <v>52</v>
      </c>
      <c r="K3254" s="28" t="s">
        <v>52</v>
      </c>
      <c r="L3254" s="28" t="s">
        <v>52</v>
      </c>
      <c r="M3254" s="28" t="s">
        <v>52</v>
      </c>
      <c r="N3254" s="28" t="s">
        <v>52</v>
      </c>
    </row>
    <row r="3255" spans="1:14" x14ac:dyDescent="0.15">
      <c r="A3255" s="23" t="str">
        <f>HYPERLINK("https://www.spark-marketing.ru/Card/Person/139454", "ГБОУ СОШ № 225 АДМИРАЛТЕЙСКОГО РАЙОНА САНКТ-ПЕТЕРБУРГА")</f>
        <v>ГБОУ СОШ № 225 АДМИРАЛТЕЙСКОГО РАЙОНА САНКТ-ПЕТЕРБУРГА</v>
      </c>
      <c r="B3255" s="24" t="s">
        <v>4765</v>
      </c>
      <c r="C3255" s="25">
        <v>1464648.5</v>
      </c>
      <c r="D3255" s="22" t="s">
        <v>4766</v>
      </c>
      <c r="E3255" s="22" t="s">
        <v>84</v>
      </c>
      <c r="F3255" s="23" t="str">
        <f>HYPERLINK("https://www.spark-marketing.ru/Card/Lot/72654337", "Выполнение работ по установке системы видеонаблюдения в здании ГБОУ СОШ № 225 Адмиралтейского района Санкт-Петербурга по адресу: Санкт-Петербург, Адмиралтейская наб., д. 4, лит. А")</f>
        <v>Выполнение работ по установке системы видеонаблюдения в здании ГБОУ СОШ № 225 Адмиралтейского района Санкт-Петербурга по адресу: Санкт-Петербург, Адмиралтейская наб., д. 4, лит. А</v>
      </c>
      <c r="G3255" s="22" t="s">
        <v>89</v>
      </c>
      <c r="H3255" s="22" t="s">
        <v>89</v>
      </c>
      <c r="I3255" s="26">
        <v>43684.608726851897</v>
      </c>
      <c r="J3255" s="28" t="s">
        <v>52</v>
      </c>
      <c r="K3255" s="28" t="s">
        <v>52</v>
      </c>
      <c r="L3255" s="28" t="s">
        <v>52</v>
      </c>
      <c r="M3255" s="28" t="s">
        <v>52</v>
      </c>
      <c r="N3255" s="28" t="s">
        <v>52</v>
      </c>
    </row>
    <row r="3256" spans="1:14" hidden="1" outlineLevel="1" x14ac:dyDescent="0.2">
      <c r="A3256" s="23" t="str">
        <f>HYPERLINK("https://www.spark-marketing.ru/Card/Person/139454", "ГБОУ СОШ № 225 АДМИРАЛТЕЙСКОГО РАЙОНА САНКТ-ПЕТЕРБУРГА")</f>
        <v>ГБОУ СОШ № 225 АДМИРАЛТЕЙСКОГО РАЙОНА САНКТ-ПЕТЕРБУРГА</v>
      </c>
      <c r="B3256" s="24" t="s">
        <v>4765</v>
      </c>
      <c r="C3256" s="25">
        <v>1464648.5</v>
      </c>
      <c r="D3256" s="22" t="s">
        <v>4766</v>
      </c>
      <c r="E3256" s="22" t="s">
        <v>84</v>
      </c>
      <c r="F3256" s="23" t="str">
        <f>HYPERLINK("https://www.spark-marketing.ru/Card/Lot/72654337", "Выполнение работ по установке системы видеонаблюдения в здании ГБОУ СОШ № 225 Адмиралтейского района Санкт-Петербурга по адресу: Санкт-Петербург, Адмиралтейская наб., д. 4, лит. А")</f>
        <v>Выполнение работ по установке системы видеонаблюдения в здании ГБОУ СОШ № 225 Адмиралтейского района Санкт-Петербурга по адресу: Санкт-Петербург, Адмиралтейская наб., д. 4, лит. А</v>
      </c>
      <c r="G3256" s="22" t="s">
        <v>89</v>
      </c>
      <c r="H3256" s="22" t="s">
        <v>89</v>
      </c>
      <c r="I3256" s="26">
        <v>43684.608726851897</v>
      </c>
      <c r="J3256" s="23" t="str">
        <f>HYPERLINK("https://www.spark-marketing.ru/Card/Person/2594622", "ООО ""ТЕХЗАЩИТА""")</f>
        <v>ООО "ТЕХЗАЩИТА"</v>
      </c>
      <c r="K3256" s="24" t="s">
        <v>4767</v>
      </c>
      <c r="L3256" s="28" t="s">
        <v>52</v>
      </c>
      <c r="M3256" s="25">
        <v>1296213.8799999999</v>
      </c>
      <c r="N3256" s="27">
        <v>0.11500002901720105</v>
      </c>
    </row>
    <row r="3257" spans="1:14" hidden="1" outlineLevel="1" x14ac:dyDescent="0.2">
      <c r="A3257" s="23" t="str">
        <f>HYPERLINK("https://www.spark-marketing.ru/Card/Person/139454", "ГБОУ СОШ № 225 АДМИРАЛТЕЙСКОГО РАЙОНА САНКТ-ПЕТЕРБУРГА")</f>
        <v>ГБОУ СОШ № 225 АДМИРАЛТЕЙСКОГО РАЙОНА САНКТ-ПЕТЕРБУРГА</v>
      </c>
      <c r="B3257" s="24" t="s">
        <v>4765</v>
      </c>
      <c r="C3257" s="25">
        <v>1464648.5</v>
      </c>
      <c r="D3257" s="22" t="s">
        <v>4766</v>
      </c>
      <c r="E3257" s="22" t="s">
        <v>84</v>
      </c>
      <c r="F3257" s="23" t="str">
        <f>HYPERLINK("https://www.spark-marketing.ru/Card/Lot/72654337", "Выполнение работ по установке системы видеонаблюдения в здании ГБОУ СОШ № 225 Адмиралтейского района Санкт-Петербурга по адресу: Санкт-Петербург, Адмиралтейская наб., д. 4, лит. А")</f>
        <v>Выполнение работ по установке системы видеонаблюдения в здании ГБОУ СОШ № 225 Адмиралтейского района Санкт-Петербурга по адресу: Санкт-Петербург, Адмиралтейская наб., д. 4, лит. А</v>
      </c>
      <c r="G3257" s="22" t="s">
        <v>89</v>
      </c>
      <c r="H3257" s="22" t="s">
        <v>89</v>
      </c>
      <c r="I3257" s="26">
        <v>43684.608726851897</v>
      </c>
      <c r="J3257" s="23" t="str">
        <f>HYPERLINK("https://www.spark-marketing.ru/Card/Person/672410", "ООО ""СБ-ИНВЕСТ""")</f>
        <v>ООО "СБ-ИНВЕСТ"</v>
      </c>
      <c r="K3257" s="24" t="s">
        <v>4768</v>
      </c>
      <c r="L3257" s="28" t="s">
        <v>52</v>
      </c>
      <c r="M3257" s="25">
        <v>1230304.72</v>
      </c>
      <c r="N3257" s="27">
        <v>0.16000001365515343</v>
      </c>
    </row>
    <row r="3258" spans="1:14" ht="12.75" hidden="1" outlineLevel="1" x14ac:dyDescent="0.2">
      <c r="A3258" s="23" t="str">
        <f>HYPERLINK("https://www.spark-marketing.ru/Card/Person/139454", "ГБОУ СОШ № 225 АДМИРАЛТЕЙСКОГО РАЙОНА САНКТ-ПЕТЕРБУРГА")</f>
        <v>ГБОУ СОШ № 225 АДМИРАЛТЕЙСКОГО РАЙОНА САНКТ-ПЕТЕРБУРГА</v>
      </c>
      <c r="B3258" s="24" t="s">
        <v>4765</v>
      </c>
      <c r="C3258" s="25">
        <v>1464648.5</v>
      </c>
      <c r="D3258" s="22" t="s">
        <v>4766</v>
      </c>
      <c r="E3258" s="22" t="s">
        <v>84</v>
      </c>
      <c r="F3258" s="23" t="str">
        <f>HYPERLINK("https://www.spark-marketing.ru/Card/Lot/72654337", "Выполнение работ по установке системы видеонаблюдения в здании ГБОУ СОШ № 225 Адмиралтейского района Санкт-Петербурга по адресу: Санкт-Петербург, Адмиралтейская наб., д. 4, лит. А")</f>
        <v>Выполнение работ по установке системы видеонаблюдения в здании ГБОУ СОШ № 225 Адмиралтейского района Санкт-Петербурга по адресу: Санкт-Петербург, Адмиралтейская наб., д. 4, лит. А</v>
      </c>
      <c r="G3258" s="22" t="s">
        <v>89</v>
      </c>
      <c r="H3258" s="22" t="s">
        <v>89</v>
      </c>
      <c r="I3258" s="26">
        <v>43684.608726851897</v>
      </c>
      <c r="J3258" s="23" t="str">
        <f>HYPERLINK("https://www.spark-marketing.ru/Card/Person/4867026", "ООО ""НЕОН""")</f>
        <v>ООО "НЕОН"</v>
      </c>
      <c r="K3258" s="24" t="s">
        <v>2804</v>
      </c>
      <c r="L3258" s="22" t="s">
        <v>10</v>
      </c>
      <c r="M3258" s="25">
        <v>1179042.04</v>
      </c>
      <c r="N3258" s="27">
        <v>0.19500000170689419</v>
      </c>
    </row>
    <row r="3259" spans="1:14" hidden="1" outlineLevel="1" x14ac:dyDescent="0.2">
      <c r="A3259" s="23" t="str">
        <f>HYPERLINK("https://www.spark-marketing.ru/Card/Person/139454", "ГБОУ СОШ № 225 АДМИРАЛТЕЙСКОГО РАЙОНА САНКТ-ПЕТЕРБУРГА")</f>
        <v>ГБОУ СОШ № 225 АДМИРАЛТЕЙСКОГО РАЙОНА САНКТ-ПЕТЕРБУРГА</v>
      </c>
      <c r="B3259" s="24" t="s">
        <v>4765</v>
      </c>
      <c r="C3259" s="25">
        <v>1464648.5</v>
      </c>
      <c r="D3259" s="22" t="s">
        <v>4766</v>
      </c>
      <c r="E3259" s="22" t="s">
        <v>84</v>
      </c>
      <c r="F3259" s="23" t="str">
        <f>HYPERLINK("https://www.spark-marketing.ru/Card/Lot/72654337", "Выполнение работ по установке системы видеонаблюдения в здании ГБОУ СОШ № 225 Адмиралтейского района Санкт-Петербурга по адресу: Санкт-Петербург, Адмиралтейская наб., д. 4, лит. А")</f>
        <v>Выполнение работ по установке системы видеонаблюдения в здании ГБОУ СОШ № 225 Адмиралтейского района Санкт-Петербурга по адресу: Санкт-Петербург, Адмиралтейская наб., д. 4, лит. А</v>
      </c>
      <c r="G3259" s="22" t="s">
        <v>89</v>
      </c>
      <c r="H3259" s="22" t="s">
        <v>89</v>
      </c>
      <c r="I3259" s="26">
        <v>43684.608726851897</v>
      </c>
      <c r="J3259" s="23" t="str">
        <f>HYPERLINK("https://www.spark-marketing.ru/Card/Person/5897511", "Романов Максим Александрович")</f>
        <v>Романов Максим Александрович</v>
      </c>
      <c r="K3259" s="24" t="s">
        <v>4769</v>
      </c>
      <c r="L3259" s="28" t="s">
        <v>52</v>
      </c>
      <c r="M3259" s="25">
        <v>1186365.28</v>
      </c>
      <c r="N3259" s="27">
        <v>0.19000000341378837</v>
      </c>
    </row>
    <row r="3260" spans="1:14" x14ac:dyDescent="0.15">
      <c r="A3260" s="23" t="str">
        <f>HYPERLINK("https://www.spark-marketing.ru/Card/Person/85690", "МКУ ""ХОЗЯЙСТВЕННО-ТРАНСПОРТНЫЙ ОТДЕЛ"" АДМИНИСТРАЦИИ МО ""ТАРБАГАТАЙСКИЙ РАЙОН""")</f>
        <v>МКУ "ХОЗЯЙСТВЕННО-ТРАНСПОРТНЫЙ ОТДЕЛ" АДМИНИСТРАЦИИ МО "ТАРБАГАТАЙСКИЙ РАЙОН"</v>
      </c>
      <c r="B3260" s="24" t="s">
        <v>4770</v>
      </c>
      <c r="C3260" s="25">
        <v>225192.74</v>
      </c>
      <c r="D3260" s="22" t="s">
        <v>4771</v>
      </c>
      <c r="E3260" s="22" t="s">
        <v>194</v>
      </c>
      <c r="F3260" s="23" t="str">
        <f>HYPERLINK("https://www.spark-marketing.ru/Card/Lot/72643497", "Поставка и установка аппаратуры записи и воспроизведения для нужд Администрации МО ""Тарбагатайский район""")</f>
        <v>Поставка и установка аппаратуры записи и воспроизведения для нужд Администрации МО "Тарбагатайский район"</v>
      </c>
      <c r="G3260" s="22" t="s">
        <v>354</v>
      </c>
      <c r="H3260" s="22" t="s">
        <v>4772</v>
      </c>
      <c r="I3260" s="26">
        <v>43684.595891203702</v>
      </c>
      <c r="J3260" s="28" t="s">
        <v>52</v>
      </c>
      <c r="K3260" s="28" t="s">
        <v>52</v>
      </c>
      <c r="L3260" s="28" t="s">
        <v>52</v>
      </c>
      <c r="M3260" s="28" t="s">
        <v>52</v>
      </c>
      <c r="N3260" s="28" t="s">
        <v>52</v>
      </c>
    </row>
    <row r="3261" spans="1:14" ht="12.75" hidden="1" outlineLevel="1" x14ac:dyDescent="0.2">
      <c r="A3261" s="23" t="str">
        <f>HYPERLINK("https://www.spark-marketing.ru/Card/Person/85690", "МКУ ""ХОЗЯЙСТВЕННО-ТРАНСПОРТНЫЙ ОТДЕЛ"" АДМИНИСТРАЦИИ МО ""ТАРБАГАТАЙСКИЙ РАЙОН""")</f>
        <v>МКУ "ХОЗЯЙСТВЕННО-ТРАНСПОРТНЫЙ ОТДЕЛ" АДМИНИСТРАЦИИ МО "ТАРБАГАТАЙСКИЙ РАЙОН"</v>
      </c>
      <c r="B3261" s="24" t="s">
        <v>4770</v>
      </c>
      <c r="C3261" s="25">
        <v>225192.74</v>
      </c>
      <c r="D3261" s="22" t="s">
        <v>4771</v>
      </c>
      <c r="E3261" s="22" t="s">
        <v>194</v>
      </c>
      <c r="F3261" s="23" t="str">
        <f>HYPERLINK("https://www.spark-marketing.ru/Card/Lot/72643497", "Поставка и установка аппаратуры записи и воспроизведения для нужд Администрации МО ""Тарбагатайский район""")</f>
        <v>Поставка и установка аппаратуры записи и воспроизведения для нужд Администрации МО "Тарбагатайский район"</v>
      </c>
      <c r="G3261" s="22" t="s">
        <v>354</v>
      </c>
      <c r="H3261" s="22" t="s">
        <v>4772</v>
      </c>
      <c r="I3261" s="26">
        <v>43684.595891203702</v>
      </c>
      <c r="J3261" s="23" t="str">
        <f>HYPERLINK("https://www.spark-marketing.ru/Card/Person/134435", "ООО ""ПОКРОВ""")</f>
        <v>ООО "ПОКРОВ"</v>
      </c>
      <c r="K3261" s="24" t="s">
        <v>4773</v>
      </c>
      <c r="L3261" s="22" t="s">
        <v>10</v>
      </c>
      <c r="M3261" s="25">
        <v>190287.22</v>
      </c>
      <c r="N3261" s="27">
        <v>0.1550028655453102</v>
      </c>
    </row>
    <row r="3262" spans="1:14" hidden="1" outlineLevel="1" x14ac:dyDescent="0.2">
      <c r="A3262" s="23" t="str">
        <f>HYPERLINK("https://www.spark-marketing.ru/Card/Person/85690", "МКУ ""ХОЗЯЙСТВЕННО-ТРАНСПОРТНЫЙ ОТДЕЛ"" АДМИНИСТРАЦИИ МО ""ТАРБАГАТАЙСКИЙ РАЙОН""")</f>
        <v>МКУ "ХОЗЯЙСТВЕННО-ТРАНСПОРТНЫЙ ОТДЕЛ" АДМИНИСТРАЦИИ МО "ТАРБАГАТАЙСКИЙ РАЙОН"</v>
      </c>
      <c r="B3262" s="24" t="s">
        <v>4770</v>
      </c>
      <c r="C3262" s="25">
        <v>225192.74</v>
      </c>
      <c r="D3262" s="22" t="s">
        <v>4771</v>
      </c>
      <c r="E3262" s="22" t="s">
        <v>194</v>
      </c>
      <c r="F3262" s="23" t="str">
        <f>HYPERLINK("https://www.spark-marketing.ru/Card/Lot/72643497", "Поставка и установка аппаратуры записи и воспроизведения для нужд Администрации МО ""Тарбагатайский район""")</f>
        <v>Поставка и установка аппаратуры записи и воспроизведения для нужд Администрации МО "Тарбагатайский район"</v>
      </c>
      <c r="G3262" s="22" t="s">
        <v>354</v>
      </c>
      <c r="H3262" s="22" t="s">
        <v>4772</v>
      </c>
      <c r="I3262" s="26">
        <v>43684.595891203702</v>
      </c>
      <c r="J3262" s="23" t="str">
        <f>HYPERLINK("https://www.spark-marketing.ru/Card/Person/281818", "ООО ""СНЕЖНЫЙ БАРС""")</f>
        <v>ООО "СНЕЖНЫЙ БАРС"</v>
      </c>
      <c r="K3262" s="24" t="s">
        <v>4774</v>
      </c>
      <c r="L3262" s="28" t="s">
        <v>52</v>
      </c>
      <c r="M3262" s="25">
        <v>190287.22</v>
      </c>
      <c r="N3262" s="27">
        <v>0.1550028655453102</v>
      </c>
    </row>
    <row r="3263" spans="1:14" x14ac:dyDescent="0.15">
      <c r="A3263" s="23" t="str">
        <f>HYPERLINK("https://www.spark-marketing.ru/Card/Person/1904559", "ООО ""РН-ДРАГМЕТ""")</f>
        <v>ООО "РН-ДРАГМЕТ"</v>
      </c>
      <c r="B3263" s="24" t="s">
        <v>4775</v>
      </c>
      <c r="C3263" s="28" t="s">
        <v>52</v>
      </c>
      <c r="D3263" s="22" t="s">
        <v>4776</v>
      </c>
      <c r="E3263" s="22" t="s">
        <v>4777</v>
      </c>
      <c r="F3263" s="23" t="str">
        <f>HYPERLINK("https://www.spark-marketing.ru/Card/Lot/72651373", "Модернизация системы охранного видеонаблюдения и установка системы контроля управления доступом")</f>
        <v>Модернизация системы охранного видеонаблюдения и установка системы контроля управления доступом</v>
      </c>
      <c r="G3263" s="22" t="s">
        <v>55</v>
      </c>
      <c r="H3263" s="22" t="s">
        <v>55</v>
      </c>
      <c r="I3263" s="26">
        <v>43684.6027777778</v>
      </c>
      <c r="J3263" s="28" t="s">
        <v>52</v>
      </c>
      <c r="K3263" s="28" t="s">
        <v>52</v>
      </c>
      <c r="L3263" s="28" t="s">
        <v>52</v>
      </c>
      <c r="M3263" s="28" t="s">
        <v>52</v>
      </c>
      <c r="N3263" s="28" t="s">
        <v>52</v>
      </c>
    </row>
    <row r="3264" spans="1:14" x14ac:dyDescent="0.15">
      <c r="A3264" s="23" t="str">
        <f>HYPERLINK("https://www.spark-marketing.ru/Card/Person/140497", "ГБУСО МО ""ЛОБНЕНСКИЙ КЦСОН""")</f>
        <v>ГБУСО МО "ЛОБНЕНСКИЙ КЦСОН"</v>
      </c>
      <c r="B3264" s="24" t="s">
        <v>4778</v>
      </c>
      <c r="C3264" s="25">
        <v>97697.52</v>
      </c>
      <c r="D3264" s="22" t="s">
        <v>4779</v>
      </c>
      <c r="E3264" s="22" t="s">
        <v>59</v>
      </c>
      <c r="F3264" s="23" t="str">
        <f>HYPERLINK("https://www.spark-marketing.ru/Card/Lot/72651557", "Монтаж охранной сигнализации")</f>
        <v>Монтаж охранной сигнализации</v>
      </c>
      <c r="G3264" s="22" t="s">
        <v>50</v>
      </c>
      <c r="H3264" s="22" t="s">
        <v>2307</v>
      </c>
      <c r="I3264" s="26">
        <v>43684.618414351899</v>
      </c>
      <c r="J3264" s="28" t="s">
        <v>52</v>
      </c>
      <c r="K3264" s="28" t="s">
        <v>52</v>
      </c>
      <c r="L3264" s="28" t="s">
        <v>52</v>
      </c>
      <c r="M3264" s="28" t="s">
        <v>52</v>
      </c>
      <c r="N3264" s="28" t="s">
        <v>52</v>
      </c>
    </row>
    <row r="3265" spans="1:14" x14ac:dyDescent="0.15">
      <c r="A3265" s="23" t="str">
        <f>HYPERLINK("https://www.spark-marketing.ru/Card/Person/1022339", "МАДОУ Д/С №37 ""КОЛОСОК""")</f>
        <v>МАДОУ Д/С №37 "КОЛОСОК"</v>
      </c>
      <c r="B3265" s="24" t="s">
        <v>4780</v>
      </c>
      <c r="C3265" s="25">
        <v>60000</v>
      </c>
      <c r="D3265" s="22" t="s">
        <v>4781</v>
      </c>
      <c r="E3265" s="22" t="s">
        <v>103</v>
      </c>
      <c r="F3265" s="23" t="str">
        <f>HYPERLINK("https://www.spark-marketing.ru/Card/Lot/72649756", "оказание услуг по техническому обслуживанию системы видеонаблюдения и домофона с модернизацией системы СКУД")</f>
        <v>оказание услуг по техническому обслуживанию системы видеонаблюдения и домофона с модернизацией системы СКУД</v>
      </c>
      <c r="G3265" s="22" t="s">
        <v>50</v>
      </c>
      <c r="H3265" s="22" t="s">
        <v>4782</v>
      </c>
      <c r="I3265" s="26">
        <v>43684.554907407401</v>
      </c>
      <c r="J3265" s="28" t="s">
        <v>52</v>
      </c>
      <c r="K3265" s="28" t="s">
        <v>52</v>
      </c>
      <c r="L3265" s="28" t="s">
        <v>52</v>
      </c>
      <c r="M3265" s="28" t="s">
        <v>52</v>
      </c>
      <c r="N3265" s="28" t="s">
        <v>52</v>
      </c>
    </row>
    <row r="3266" spans="1:14" x14ac:dyDescent="0.15">
      <c r="A3266" s="23" t="str">
        <f>HYPERLINK("https://www.spark-marketing.ru/Card/Person/7103", "ФГКУ ""УВО ВНГ РОССИИ ПО ЯМАЛО-НЕНЕЦКОМУ АВТОНОМНОМУ ОКРУГУ""")</f>
        <v>ФГКУ "УВО ВНГ РОССИИ ПО ЯМАЛО-НЕНЕЦКОМУ АВТОНОМНОМУ ОКРУГУ"</v>
      </c>
      <c r="B3266" s="24" t="s">
        <v>4783</v>
      </c>
      <c r="C3266" s="25">
        <v>200000</v>
      </c>
      <c r="D3266" s="22" t="s">
        <v>4784</v>
      </c>
      <c r="E3266" s="22" t="s">
        <v>4785</v>
      </c>
      <c r="F3266" s="23" t="str">
        <f>HYPERLINK("https://www.spark-marketing.ru/Card/Lot/72649306", "Оказание услуг по поставки товаров запасных деталей для Т/С  ОВО по г Муравленко ф-ла ФГКУ ""УВО ВНГ России по ЯНАО"" в рамках  гос.оборон заказа в целях программы вооружения;")</f>
        <v>Оказание услуг по поставки товаров запасных деталей для Т/С  ОВО по г Муравленко ф-ла ФГКУ "УВО ВНГ России по ЯНАО" в рамках  гос.оборон заказа в целях программы вооружения;</v>
      </c>
      <c r="G3266" s="22" t="s">
        <v>311</v>
      </c>
      <c r="H3266" s="22" t="s">
        <v>311</v>
      </c>
      <c r="I3266" s="26">
        <v>43684.544097222199</v>
      </c>
      <c r="J3266" s="28" t="s">
        <v>52</v>
      </c>
      <c r="K3266" s="28" t="s">
        <v>52</v>
      </c>
      <c r="L3266" s="28" t="s">
        <v>52</v>
      </c>
      <c r="M3266" s="28" t="s">
        <v>52</v>
      </c>
      <c r="N3266" s="28" t="s">
        <v>52</v>
      </c>
    </row>
    <row r="3267" spans="1:14" hidden="1" outlineLevel="1" x14ac:dyDescent="0.2">
      <c r="A3267" s="23" t="str">
        <f>HYPERLINK("https://www.spark-marketing.ru/Card/Person/7103", "ФГКУ ""УВО ВНГ РОССИИ ПО ЯМАЛО-НЕНЕЦКОМУ АВТОНОМНОМУ ОКРУГУ""")</f>
        <v>ФГКУ "УВО ВНГ РОССИИ ПО ЯМАЛО-НЕНЕЦКОМУ АВТОНОМНОМУ ОКРУГУ"</v>
      </c>
      <c r="B3267" s="24" t="s">
        <v>4783</v>
      </c>
      <c r="C3267" s="25">
        <v>200000</v>
      </c>
      <c r="D3267" s="22" t="s">
        <v>4784</v>
      </c>
      <c r="E3267" s="22" t="s">
        <v>4785</v>
      </c>
      <c r="F3267" s="23" t="str">
        <f>HYPERLINK("https://www.spark-marketing.ru/Card/Lot/72649306", "Оказание услуг по поставки товаров запасных деталей для Т/С  ОВО по г Муравленко ф-ла ФГКУ ""УВО ВНГ России по ЯНАО"" в рамках  гос.оборон заказа в целях программы вооружения;")</f>
        <v>Оказание услуг по поставки товаров запасных деталей для Т/С  ОВО по г Муравленко ф-ла ФГКУ "УВО ВНГ России по ЯНАО" в рамках  гос.оборон заказа в целях программы вооружения;</v>
      </c>
      <c r="G3267" s="22" t="s">
        <v>311</v>
      </c>
      <c r="H3267" s="22" t="s">
        <v>311</v>
      </c>
      <c r="I3267" s="26">
        <v>43684.544097222199</v>
      </c>
      <c r="J3267" s="23" t="str">
        <f>HYPERLINK("https://www.spark-marketing.ru/Card/Person/658209", "ООО ""АЛЬТЕРНАТИВА""")</f>
        <v>ООО "АЛЬТЕРНАТИВА"</v>
      </c>
      <c r="K3267" s="24" t="s">
        <v>4786</v>
      </c>
      <c r="L3267" s="28" t="s">
        <v>52</v>
      </c>
      <c r="M3267" s="25">
        <v>148000</v>
      </c>
      <c r="N3267" s="27">
        <v>0.26</v>
      </c>
    </row>
    <row r="3268" spans="1:14" ht="12.75" hidden="1" outlineLevel="1" x14ac:dyDescent="0.2">
      <c r="A3268" s="23" t="str">
        <f>HYPERLINK("https://www.spark-marketing.ru/Card/Person/7103", "ФГКУ ""УВО ВНГ РОССИИ ПО ЯМАЛО-НЕНЕЦКОМУ АВТОНОМНОМУ ОКРУГУ""")</f>
        <v>ФГКУ "УВО ВНГ РОССИИ ПО ЯМАЛО-НЕНЕЦКОМУ АВТОНОМНОМУ ОКРУГУ"</v>
      </c>
      <c r="B3268" s="24" t="s">
        <v>4783</v>
      </c>
      <c r="C3268" s="25">
        <v>200000</v>
      </c>
      <c r="D3268" s="22" t="s">
        <v>4784</v>
      </c>
      <c r="E3268" s="22" t="s">
        <v>4785</v>
      </c>
      <c r="F3268" s="23" t="str">
        <f>HYPERLINK("https://www.spark-marketing.ru/Card/Lot/72649306", "Оказание услуг по поставки товаров запасных деталей для Т/С  ОВО по г Муравленко ф-ла ФГКУ ""УВО ВНГ России по ЯНАО"" в рамках  гос.оборон заказа в целях программы вооружения;")</f>
        <v>Оказание услуг по поставки товаров запасных деталей для Т/С  ОВО по г Муравленко ф-ла ФГКУ "УВО ВНГ России по ЯНАО" в рамках  гос.оборон заказа в целях программы вооружения;</v>
      </c>
      <c r="G3268" s="22" t="s">
        <v>311</v>
      </c>
      <c r="H3268" s="22" t="s">
        <v>311</v>
      </c>
      <c r="I3268" s="26">
        <v>43684.544097222199</v>
      </c>
      <c r="J3268" s="23" t="str">
        <f>HYPERLINK("https://www.spark-marketing.ru/Card/Person/856378", "ООО ""АВТОХИМ""")</f>
        <v>ООО "АВТОХИМ"</v>
      </c>
      <c r="K3268" s="24" t="s">
        <v>4787</v>
      </c>
      <c r="L3268" s="22" t="s">
        <v>10</v>
      </c>
      <c r="M3268" s="25">
        <v>97000</v>
      </c>
      <c r="N3268" s="27">
        <v>0.51500000000000001</v>
      </c>
    </row>
    <row r="3269" spans="1:14" hidden="1" outlineLevel="1" x14ac:dyDescent="0.2">
      <c r="A3269" s="23" t="str">
        <f>HYPERLINK("https://www.spark-marketing.ru/Card/Person/7103", "ФГКУ ""УВО ВНГ РОССИИ ПО ЯМАЛО-НЕНЕЦКОМУ АВТОНОМНОМУ ОКРУГУ""")</f>
        <v>ФГКУ "УВО ВНГ РОССИИ ПО ЯМАЛО-НЕНЕЦКОМУ АВТОНОМНОМУ ОКРУГУ"</v>
      </c>
      <c r="B3269" s="24" t="s">
        <v>4783</v>
      </c>
      <c r="C3269" s="25">
        <v>200000</v>
      </c>
      <c r="D3269" s="22" t="s">
        <v>4784</v>
      </c>
      <c r="E3269" s="22" t="s">
        <v>4785</v>
      </c>
      <c r="F3269" s="23" t="str">
        <f>HYPERLINK("https://www.spark-marketing.ru/Card/Lot/72649306", "Оказание услуг по поставки товаров запасных деталей для Т/С  ОВО по г Муравленко ф-ла ФГКУ ""УВО ВНГ России по ЯНАО"" в рамках  гос.оборон заказа в целях программы вооружения;")</f>
        <v>Оказание услуг по поставки товаров запасных деталей для Т/С  ОВО по г Муравленко ф-ла ФГКУ "УВО ВНГ России по ЯНАО" в рамках  гос.оборон заказа в целях программы вооружения;</v>
      </c>
      <c r="G3269" s="22" t="s">
        <v>311</v>
      </c>
      <c r="H3269" s="22" t="s">
        <v>311</v>
      </c>
      <c r="I3269" s="26">
        <v>43684.544097222199</v>
      </c>
      <c r="J3269" s="23" t="str">
        <f>HYPERLINK("https://www.spark-marketing.ru/Card/Person/4855535", "ООО ""ДОБРОКАР""")</f>
        <v>ООО "ДОБРОКАР"</v>
      </c>
      <c r="K3269" s="24" t="s">
        <v>4788</v>
      </c>
      <c r="L3269" s="28" t="s">
        <v>52</v>
      </c>
      <c r="M3269" s="25">
        <v>98000</v>
      </c>
      <c r="N3269" s="27">
        <v>0.51</v>
      </c>
    </row>
    <row r="3270" spans="1:14" x14ac:dyDescent="0.15">
      <c r="A3270" s="23" t="str">
        <f>HYPERLINK("https://www.spark-marketing.ru/Card/Person/4348477", "ООО ИК ""СИБИНТЕК""")</f>
        <v>ООО ИК "СИБИНТЕК"</v>
      </c>
      <c r="B3270" s="24" t="s">
        <v>4789</v>
      </c>
      <c r="C3270" s="25">
        <v>1608000</v>
      </c>
      <c r="D3270" s="22" t="s">
        <v>4790</v>
      </c>
      <c r="E3270" s="22" t="s">
        <v>53</v>
      </c>
      <c r="F3270" s="23" t="str">
        <f>HYPERLINK("https://www.spark-marketing.ru/Card/Lot/72648456", "Оказание охранных услуг на объектах филиала «Макрорегион Поволжье» ООО ИК «СИБИНТЕК»")</f>
        <v>Оказание охранных услуг на объектах филиала «Макрорегион Поволжье» ООО ИК «СИБИНТЕК»</v>
      </c>
      <c r="G3270" s="22" t="s">
        <v>55</v>
      </c>
      <c r="H3270" s="22" t="s">
        <v>55</v>
      </c>
      <c r="I3270" s="26">
        <v>43684.515972222202</v>
      </c>
      <c r="J3270" s="28" t="s">
        <v>52</v>
      </c>
      <c r="K3270" s="28" t="s">
        <v>52</v>
      </c>
      <c r="L3270" s="28" t="s">
        <v>52</v>
      </c>
      <c r="M3270" s="28" t="s">
        <v>52</v>
      </c>
      <c r="N3270" s="28" t="s">
        <v>52</v>
      </c>
    </row>
    <row r="3271" spans="1:14" x14ac:dyDescent="0.15">
      <c r="A3271" s="23" t="str">
        <f>HYPERLINK("https://www.spark-marketing.ru/Card/Person/1777671", "МДОУ №9 ""ЦВЕТИК-СЕМИЦВЕТИК""")</f>
        <v>МДОУ №9 "ЦВЕТИК-СЕМИЦВЕТИК"</v>
      </c>
      <c r="B3271" s="24" t="s">
        <v>4051</v>
      </c>
      <c r="C3271" s="25">
        <v>75000</v>
      </c>
      <c r="D3271" s="22" t="s">
        <v>4791</v>
      </c>
      <c r="E3271" s="22" t="s">
        <v>84</v>
      </c>
      <c r="F3271" s="23" t="str">
        <f>HYPERLINK("https://www.spark-marketing.ru/Card/Lot/72648280", "Оказание услуг по приобретение и установка видеонаблюдения")</f>
        <v>Оказание услуг по приобретение и установка видеонаблюдения</v>
      </c>
      <c r="G3271" s="22" t="s">
        <v>50</v>
      </c>
      <c r="H3271" s="22" t="s">
        <v>504</v>
      </c>
      <c r="I3271" s="26">
        <v>43684.513518518499</v>
      </c>
      <c r="J3271" s="28" t="s">
        <v>52</v>
      </c>
      <c r="K3271" s="28" t="s">
        <v>52</v>
      </c>
      <c r="L3271" s="28" t="s">
        <v>52</v>
      </c>
      <c r="M3271" s="28" t="s">
        <v>52</v>
      </c>
      <c r="N3271" s="28" t="s">
        <v>52</v>
      </c>
    </row>
    <row r="3272" spans="1:14" x14ac:dyDescent="0.15">
      <c r="A3272" s="23" t="str">
        <f>HYPERLINK("https://www.spark-marketing.ru/Card/Person/4852464", "ФГУП ""РФЯЦ - ВНИИЭФ""")</f>
        <v>ФГУП "РФЯЦ - ВНИИЭФ"</v>
      </c>
      <c r="B3272" s="24" t="s">
        <v>767</v>
      </c>
      <c r="C3272" s="25">
        <v>0</v>
      </c>
      <c r="D3272" s="22" t="s">
        <v>4792</v>
      </c>
      <c r="E3272" s="22" t="s">
        <v>53</v>
      </c>
      <c r="F3272" s="23" t="str">
        <f>HYPERLINK("https://www.spark-marketing.ru/Card/Lot/72660377", "мониторинг цен в электронной форме на Обслуживание технических систем видеонаблюдения")</f>
        <v>мониторинг цен в электронной форме на Обслуживание технических систем видеонаблюдения</v>
      </c>
      <c r="G3272" s="22" t="s">
        <v>64</v>
      </c>
      <c r="H3272" s="22" t="s">
        <v>769</v>
      </c>
      <c r="I3272" s="26">
        <v>43684.4914699074</v>
      </c>
      <c r="J3272" s="28" t="s">
        <v>52</v>
      </c>
      <c r="K3272" s="28" t="s">
        <v>52</v>
      </c>
      <c r="L3272" s="28" t="s">
        <v>52</v>
      </c>
      <c r="M3272" s="28" t="s">
        <v>52</v>
      </c>
      <c r="N3272" s="28" t="s">
        <v>52</v>
      </c>
    </row>
    <row r="3273" spans="1:14" x14ac:dyDescent="0.15">
      <c r="A3273" s="23" t="str">
        <f>HYPERLINK("https://www.spark-marketing.ru/Card/Person/4349124", "ГБУ ""ДИРЕКЦИЯ КС""")</f>
        <v>ГБУ "ДИРЕКЦИЯ КС"</v>
      </c>
      <c r="B3273" s="24" t="s">
        <v>4793</v>
      </c>
      <c r="C3273" s="25">
        <v>445611</v>
      </c>
      <c r="D3273" s="22" t="s">
        <v>4794</v>
      </c>
      <c r="E3273" s="22" t="s">
        <v>194</v>
      </c>
      <c r="F3273" s="23" t="str">
        <f>HYPERLINK("https://www.spark-marketing.ru/Card/Lot/72647409", "На поставку и установку электронной продукции по объекту: «Строительство детского сада по ул. Симонок»")</f>
        <v>На поставку и установку электронной продукции по объекту: «Строительство детского сада по ул. Симонок»</v>
      </c>
      <c r="G3273" s="22" t="s">
        <v>714</v>
      </c>
      <c r="H3273" s="22" t="s">
        <v>714</v>
      </c>
      <c r="I3273" s="26">
        <v>43684.4690162037</v>
      </c>
      <c r="J3273" s="28" t="s">
        <v>52</v>
      </c>
      <c r="K3273" s="28" t="s">
        <v>52</v>
      </c>
      <c r="L3273" s="28" t="s">
        <v>52</v>
      </c>
      <c r="M3273" s="28" t="s">
        <v>52</v>
      </c>
      <c r="N3273" s="28" t="s">
        <v>52</v>
      </c>
    </row>
    <row r="3274" spans="1:14" hidden="1" outlineLevel="1" x14ac:dyDescent="0.2">
      <c r="A3274" s="23" t="str">
        <f>HYPERLINK("https://www.spark-marketing.ru/Card/Person/4349124", "ГБУ ""ДИРЕКЦИЯ КС""")</f>
        <v>ГБУ "ДИРЕКЦИЯ КС"</v>
      </c>
      <c r="B3274" s="24" t="s">
        <v>4793</v>
      </c>
      <c r="C3274" s="25">
        <v>445611</v>
      </c>
      <c r="D3274" s="22" t="s">
        <v>4794</v>
      </c>
      <c r="E3274" s="22" t="s">
        <v>194</v>
      </c>
      <c r="F3274" s="23" t="str">
        <f>HYPERLINK("https://www.spark-marketing.ru/Card/Lot/72647409", "На поставку и установку электронной продукции по объекту: «Строительство детского сада по ул. Симонок»")</f>
        <v>На поставку и установку электронной продукции по объекту: «Строительство детского сада по ул. Симонок»</v>
      </c>
      <c r="G3274" s="22" t="s">
        <v>714</v>
      </c>
      <c r="H3274" s="22" t="s">
        <v>714</v>
      </c>
      <c r="I3274" s="26">
        <v>43684.4690162037</v>
      </c>
      <c r="J3274" s="23" t="str">
        <f>HYPERLINK("https://www.spark-marketing.ru/Card/Person/6508565", "Ешкилев Алексей Николаевич")</f>
        <v>Ешкилев Алексей Николаевич</v>
      </c>
      <c r="K3274" s="24" t="s">
        <v>4795</v>
      </c>
      <c r="L3274" s="28" t="s">
        <v>52</v>
      </c>
      <c r="M3274" s="25">
        <v>334184.5</v>
      </c>
      <c r="N3274" s="27">
        <v>0.25005329760710576</v>
      </c>
    </row>
    <row r="3275" spans="1:14" hidden="1" outlineLevel="1" x14ac:dyDescent="0.2">
      <c r="A3275" s="23" t="str">
        <f>HYPERLINK("https://www.spark-marketing.ru/Card/Person/4349124", "ГБУ ""ДИРЕКЦИЯ КС""")</f>
        <v>ГБУ "ДИРЕКЦИЯ КС"</v>
      </c>
      <c r="B3275" s="24" t="s">
        <v>4793</v>
      </c>
      <c r="C3275" s="25">
        <v>445611</v>
      </c>
      <c r="D3275" s="22" t="s">
        <v>4794</v>
      </c>
      <c r="E3275" s="22" t="s">
        <v>194</v>
      </c>
      <c r="F3275" s="23" t="str">
        <f>HYPERLINK("https://www.spark-marketing.ru/Card/Lot/72647409", "На поставку и установку электронной продукции по объекту: «Строительство детского сада по ул. Симонок»")</f>
        <v>На поставку и установку электронной продукции по объекту: «Строительство детского сада по ул. Симонок»</v>
      </c>
      <c r="G3275" s="22" t="s">
        <v>714</v>
      </c>
      <c r="H3275" s="22" t="s">
        <v>714</v>
      </c>
      <c r="I3275" s="26">
        <v>43684.4690162037</v>
      </c>
      <c r="J3275" s="23" t="str">
        <f>HYPERLINK("https://www.spark-marketing.ru/Card/Person/1967", "ООО ""КОНТРАКТНЫЕ СИСТЕМЫ""")</f>
        <v>ООО "КОНТРАКТНЫЕ СИСТЕМЫ"</v>
      </c>
      <c r="K3275" s="24" t="s">
        <v>4796</v>
      </c>
      <c r="L3275" s="28" t="s">
        <v>52</v>
      </c>
      <c r="M3275" s="25">
        <v>271785.65999999997</v>
      </c>
      <c r="N3275" s="27">
        <v>0.39008314426708496</v>
      </c>
    </row>
    <row r="3276" spans="1:14" hidden="1" outlineLevel="1" x14ac:dyDescent="0.2">
      <c r="A3276" s="23" t="str">
        <f>HYPERLINK("https://www.spark-marketing.ru/Card/Person/4349124", "ГБУ ""ДИРЕКЦИЯ КС""")</f>
        <v>ГБУ "ДИРЕКЦИЯ КС"</v>
      </c>
      <c r="B3276" s="24" t="s">
        <v>4793</v>
      </c>
      <c r="C3276" s="25">
        <v>445611</v>
      </c>
      <c r="D3276" s="22" t="s">
        <v>4794</v>
      </c>
      <c r="E3276" s="22" t="s">
        <v>194</v>
      </c>
      <c r="F3276" s="23" t="str">
        <f>HYPERLINK("https://www.spark-marketing.ru/Card/Lot/72647409", "На поставку и установку электронной продукции по объекту: «Строительство детского сада по ул. Симонок»")</f>
        <v>На поставку и установку электронной продукции по объекту: «Строительство детского сада по ул. Симонок»</v>
      </c>
      <c r="G3276" s="22" t="s">
        <v>714</v>
      </c>
      <c r="H3276" s="22" t="s">
        <v>714</v>
      </c>
      <c r="I3276" s="26">
        <v>43684.4690162037</v>
      </c>
      <c r="J3276" s="23" t="str">
        <f>HYPERLINK("https://www.spark-marketing.ru/Card/Person/116581", "ООО ""КОМПАС""")</f>
        <v>ООО "КОМПАС"</v>
      </c>
      <c r="K3276" s="24" t="s">
        <v>4797</v>
      </c>
      <c r="L3276" s="28" t="s">
        <v>52</v>
      </c>
      <c r="M3276" s="25">
        <v>272800</v>
      </c>
      <c r="N3276" s="27">
        <v>0.38780685396006831</v>
      </c>
    </row>
    <row r="3277" spans="1:14" x14ac:dyDescent="0.15">
      <c r="A3277" s="23" t="str">
        <f>HYPERLINK("https://www.spark-marketing.ru/Card/Person/4852464", "ФГУП ""РФЯЦ - ВНИИЭФ""")</f>
        <v>ФГУП "РФЯЦ - ВНИИЭФ"</v>
      </c>
      <c r="B3277" s="24" t="s">
        <v>767</v>
      </c>
      <c r="C3277" s="28" t="s">
        <v>52</v>
      </c>
      <c r="D3277" s="22" t="s">
        <v>4798</v>
      </c>
      <c r="E3277" s="22" t="s">
        <v>53</v>
      </c>
      <c r="F3277" s="23" t="str">
        <f>HYPERLINK("https://www.spark-marketing.ru/Card/Lot/72652202", "Обслуживание технических систем видеонаблюдения (1315014)")</f>
        <v>Обслуживание технических систем видеонаблюдения (1315014)</v>
      </c>
      <c r="G3277" s="22" t="s">
        <v>64</v>
      </c>
      <c r="H3277" s="22" t="s">
        <v>769</v>
      </c>
      <c r="I3277" s="26">
        <v>43684.491388888899</v>
      </c>
      <c r="J3277" s="28" t="s">
        <v>52</v>
      </c>
      <c r="K3277" s="28" t="s">
        <v>52</v>
      </c>
      <c r="L3277" s="28" t="s">
        <v>52</v>
      </c>
      <c r="M3277" s="28" t="s">
        <v>52</v>
      </c>
      <c r="N3277" s="28" t="s">
        <v>52</v>
      </c>
    </row>
    <row r="3278" spans="1:14" x14ac:dyDescent="0.15">
      <c r="A3278" s="23" t="str">
        <f>HYPERLINK("https://www.spark-marketing.ru/Card/Person/304538", "ФКУ ИК-5 УФСИН РОССИИ ПО ТВЕРСКОЙ ОБЛАСТИ")</f>
        <v>ФКУ ИК-5 УФСИН РОССИИ ПО ТВЕРСКОЙ ОБЛАСТИ</v>
      </c>
      <c r="B3278" s="24" t="s">
        <v>4696</v>
      </c>
      <c r="C3278" s="25">
        <v>15000</v>
      </c>
      <c r="D3278" s="22" t="s">
        <v>4799</v>
      </c>
      <c r="E3278" s="22" t="s">
        <v>208</v>
      </c>
      <c r="F3278" s="23" t="str">
        <f>HYPERLINK("https://www.spark-marketing.ru/Card/Lot/72641068", "Кнопка тревожной сигнализации RS-201TK, 5 шт")</f>
        <v>Кнопка тревожной сигнализации RS-201TK, 5 шт</v>
      </c>
      <c r="G3278" s="22" t="s">
        <v>251</v>
      </c>
      <c r="H3278" s="22" t="s">
        <v>2122</v>
      </c>
      <c r="I3278" s="26">
        <v>43684.4045833333</v>
      </c>
      <c r="J3278" s="28" t="s">
        <v>52</v>
      </c>
      <c r="K3278" s="28" t="s">
        <v>52</v>
      </c>
      <c r="L3278" s="28" t="s">
        <v>52</v>
      </c>
      <c r="M3278" s="28" t="s">
        <v>52</v>
      </c>
      <c r="N3278" s="28" t="s">
        <v>52</v>
      </c>
    </row>
    <row r="3279" spans="1:14" x14ac:dyDescent="0.15">
      <c r="A3279" s="23" t="str">
        <f>HYPERLINK("https://www.spark-marketing.ru/Card/Person/1013719", "СЕВЕРНЫЙ ЭНЕРГЕТИЧЕСКИЙ ТАМОЖЕННЫЙ ПОСТ (СО СТАТУСОМ ЮРИДИЧЕСКОГО ЛИЦА)")</f>
        <v>СЕВЕРНЫЙ ЭНЕРГЕТИЧЕСКИЙ ТАМОЖЕННЫЙ ПОСТ (СО СТАТУСОМ ЮРИДИЧЕСКОГО ЛИЦА)</v>
      </c>
      <c r="B3279" s="24" t="s">
        <v>4800</v>
      </c>
      <c r="C3279" s="25">
        <v>90948</v>
      </c>
      <c r="D3279" s="22" t="s">
        <v>4801</v>
      </c>
      <c r="E3279" s="22" t="s">
        <v>53</v>
      </c>
      <c r="F3279" s="23" t="str">
        <f>HYPERLINK("https://www.spark-marketing.ru/Card/Lot/72641360", "Услуги, связанные с обеспечением общественного порядка и безопасности прочие, 1 усл. ед")</f>
        <v>Услуги, связанные с обеспечением общественного порядка и безопасности прочие, 1 усл. ед</v>
      </c>
      <c r="G3279" s="22" t="s">
        <v>190</v>
      </c>
      <c r="H3279" s="22" t="s">
        <v>191</v>
      </c>
      <c r="I3279" s="26">
        <v>43684.412835648101</v>
      </c>
      <c r="J3279" s="28" t="s">
        <v>52</v>
      </c>
      <c r="K3279" s="28" t="s">
        <v>52</v>
      </c>
      <c r="L3279" s="28" t="s">
        <v>52</v>
      </c>
      <c r="M3279" s="28" t="s">
        <v>52</v>
      </c>
      <c r="N3279" s="28" t="s">
        <v>52</v>
      </c>
    </row>
    <row r="3280" spans="1:14" x14ac:dyDescent="0.15">
      <c r="A3280" s="23" t="str">
        <f>HYPERLINK("https://www.spark-marketing.ru/Card/Person/72908", "ГКУ РБ ЦОДД")</f>
        <v>ГКУ РБ ЦОДД</v>
      </c>
      <c r="B3280" s="24" t="s">
        <v>4802</v>
      </c>
      <c r="C3280" s="25">
        <v>71967217.819999993</v>
      </c>
      <c r="D3280" s="22" t="s">
        <v>4803</v>
      </c>
      <c r="E3280" s="22" t="s">
        <v>59</v>
      </c>
      <c r="F3280" s="23" t="str">
        <f>HYPERLINK("https://www.spark-marketing.ru/Card/Lot/72640473", "Выполнение работ по установке стационарных специальных технических средств работающих в автоматическом режиме и имеющих функции фото- и киносъёмки, видеозаписи, для обеспечения контроля за дорожным движением на автомобильных дорогах Республики Башкор...")</f>
        <v>Выполнение работ по установке стационарных специальных технических средств работающих в автоматическом режиме и имеющих функции фото- и киносъёмки, видеозаписи, для обеспечения контроля за дорожным движением на автомобильных дорогах Республики Башкор...</v>
      </c>
      <c r="G3280" s="22" t="s">
        <v>100</v>
      </c>
      <c r="H3280" s="22" t="s">
        <v>100</v>
      </c>
      <c r="I3280" s="26">
        <v>43684.379456018498</v>
      </c>
      <c r="J3280" s="28" t="s">
        <v>52</v>
      </c>
      <c r="K3280" s="28" t="s">
        <v>52</v>
      </c>
      <c r="L3280" s="28" t="s">
        <v>52</v>
      </c>
      <c r="M3280" s="28" t="s">
        <v>52</v>
      </c>
      <c r="N3280" s="28" t="s">
        <v>52</v>
      </c>
    </row>
    <row r="3281" spans="1:14" hidden="1" outlineLevel="1" x14ac:dyDescent="0.2">
      <c r="A3281" s="23" t="str">
        <f>HYPERLINK("https://www.spark-marketing.ru/Card/Person/72908", "ГКУ РБ ЦОДД")</f>
        <v>ГКУ РБ ЦОДД</v>
      </c>
      <c r="B3281" s="24" t="s">
        <v>4802</v>
      </c>
      <c r="C3281" s="25">
        <v>71967217.819999993</v>
      </c>
      <c r="D3281" s="22" t="s">
        <v>4803</v>
      </c>
      <c r="E3281" s="22" t="s">
        <v>59</v>
      </c>
      <c r="F3281" s="23" t="str">
        <f>HYPERLINK("https://www.spark-marketing.ru/Card/Lot/72640473", "Выполнение работ по установке стационарных специальных технических средств работающих в автоматическом режиме и имеющих функции фото- и киносъёмки, видеозаписи, для обеспечения контроля за дорожным движением на автомобильных дорогах Республики Башкор...")</f>
        <v>Выполнение работ по установке стационарных специальных технических средств работающих в автоматическом режиме и имеющих функции фото- и киносъёмки, видеозаписи, для обеспечения контроля за дорожным движением на автомобильных дорогах Республики Башкор...</v>
      </c>
      <c r="G3281" s="22" t="s">
        <v>100</v>
      </c>
      <c r="H3281" s="22" t="s">
        <v>100</v>
      </c>
      <c r="I3281" s="26">
        <v>43684.379456018498</v>
      </c>
      <c r="J3281" s="23" t="str">
        <f>HYPERLINK("https://www.spark-marketing.ru/Card/Person/223093", "АО ""ТНЦ""")</f>
        <v>АО "ТНЦ"</v>
      </c>
      <c r="K3281" s="24" t="s">
        <v>4804</v>
      </c>
      <c r="L3281" s="28" t="s">
        <v>52</v>
      </c>
      <c r="M3281" s="25">
        <v>60452462.939999998</v>
      </c>
      <c r="N3281" s="27">
        <v>0.1600000004001822</v>
      </c>
    </row>
    <row r="3282" spans="1:14" hidden="1" outlineLevel="1" x14ac:dyDescent="0.2">
      <c r="A3282" s="23" t="str">
        <f>HYPERLINK("https://www.spark-marketing.ru/Card/Person/72908", "ГКУ РБ ЦОДД")</f>
        <v>ГКУ РБ ЦОДД</v>
      </c>
      <c r="B3282" s="24" t="s">
        <v>4802</v>
      </c>
      <c r="C3282" s="25">
        <v>71967217.819999993</v>
      </c>
      <c r="D3282" s="22" t="s">
        <v>4803</v>
      </c>
      <c r="E3282" s="22" t="s">
        <v>59</v>
      </c>
      <c r="F3282" s="23" t="str">
        <f>HYPERLINK("https://www.spark-marketing.ru/Card/Lot/72640473", "Выполнение работ по установке стационарных специальных технических средств работающих в автоматическом режиме и имеющих функции фото- и киносъёмки, видеозаписи, для обеспечения контроля за дорожным движением на автомобильных дорогах Республики Башкор...")</f>
        <v>Выполнение работ по установке стационарных специальных технических средств работающих в автоматическом режиме и имеющих функции фото- и киносъёмки, видеозаписи, для обеспечения контроля за дорожным движением на автомобильных дорогах Республики Башкор...</v>
      </c>
      <c r="G3282" s="22" t="s">
        <v>100</v>
      </c>
      <c r="H3282" s="22" t="s">
        <v>100</v>
      </c>
      <c r="I3282" s="26">
        <v>43684.379456018498</v>
      </c>
      <c r="J3282" s="23" t="str">
        <f>HYPERLINK("https://www.spark-marketing.ru/Card/Person/1354238", "ООО ""ЛАБОРАТОРИЯ ЦИФРОВОГО ЗРЕНИЯ""")</f>
        <v>ООО "ЛАБОРАТОРИЯ ЦИФРОВОГО ЗРЕНИЯ"</v>
      </c>
      <c r="K3282" s="24" t="s">
        <v>1191</v>
      </c>
      <c r="L3282" s="28" t="s">
        <v>52</v>
      </c>
      <c r="M3282" s="25">
        <v>60812299.030000001</v>
      </c>
      <c r="N3282" s="27">
        <v>0.1550000003876765</v>
      </c>
    </row>
    <row r="3283" spans="1:14" ht="12.75" hidden="1" outlineLevel="1" x14ac:dyDescent="0.2">
      <c r="A3283" s="23" t="str">
        <f>HYPERLINK("https://www.spark-marketing.ru/Card/Person/72908", "ГКУ РБ ЦОДД")</f>
        <v>ГКУ РБ ЦОДД</v>
      </c>
      <c r="B3283" s="24" t="s">
        <v>4802</v>
      </c>
      <c r="C3283" s="25">
        <v>71967217.819999993</v>
      </c>
      <c r="D3283" s="22" t="s">
        <v>4803</v>
      </c>
      <c r="E3283" s="22" t="s">
        <v>59</v>
      </c>
      <c r="F3283" s="23" t="str">
        <f>HYPERLINK("https://www.spark-marketing.ru/Card/Lot/72640473", "Выполнение работ по установке стационарных специальных технических средств работающих в автоматическом режиме и имеющих функции фото- и киносъёмки, видеозаписи, для обеспечения контроля за дорожным движением на автомобильных дорогах Республики Башкор...")</f>
        <v>Выполнение работ по установке стационарных специальных технических средств работающих в автоматическом режиме и имеющих функции фото- и киносъёмки, видеозаписи, для обеспечения контроля за дорожным движением на автомобильных дорогах Республики Башкор...</v>
      </c>
      <c r="G3283" s="22" t="s">
        <v>100</v>
      </c>
      <c r="H3283" s="22" t="s">
        <v>100</v>
      </c>
      <c r="I3283" s="26">
        <v>43684.379456018498</v>
      </c>
      <c r="J3283" s="23" t="str">
        <f>HYPERLINK("https://www.spark-marketing.ru/Card/Person/19798", "ООО ""НЭТ БАЙ НЭТ ХОЛДИНГ""")</f>
        <v>ООО "НЭТ БАЙ НЭТ ХОЛДИНГ"</v>
      </c>
      <c r="K3283" s="24" t="s">
        <v>4805</v>
      </c>
      <c r="L3283" s="22" t="s">
        <v>10</v>
      </c>
      <c r="M3283" s="25">
        <v>60092626.850000001</v>
      </c>
      <c r="N3283" s="27">
        <v>0.16500000041268789</v>
      </c>
    </row>
    <row r="3284" spans="1:14" hidden="1" outlineLevel="1" x14ac:dyDescent="0.2">
      <c r="A3284" s="23" t="str">
        <f>HYPERLINK("https://www.spark-marketing.ru/Card/Person/72908", "ГКУ РБ ЦОДД")</f>
        <v>ГКУ РБ ЦОДД</v>
      </c>
      <c r="B3284" s="24" t="s">
        <v>4802</v>
      </c>
      <c r="C3284" s="25">
        <v>71967217.819999993</v>
      </c>
      <c r="D3284" s="22" t="s">
        <v>4803</v>
      </c>
      <c r="E3284" s="22" t="s">
        <v>59</v>
      </c>
      <c r="F3284" s="23" t="str">
        <f>HYPERLINK("https://www.spark-marketing.ru/Card/Lot/72640473", "Выполнение работ по установке стационарных специальных технических средств работающих в автоматическом режиме и имеющих функции фото- и киносъёмки, видеозаписи, для обеспечения контроля за дорожным движением на автомобильных дорогах Республики Башкор...")</f>
        <v>Выполнение работ по установке стационарных специальных технических средств работающих в автоматическом режиме и имеющих функции фото- и киносъёмки, видеозаписи, для обеспечения контроля за дорожным движением на автомобильных дорогах Республики Башкор...</v>
      </c>
      <c r="G3284" s="22" t="s">
        <v>100</v>
      </c>
      <c r="H3284" s="22" t="s">
        <v>100</v>
      </c>
      <c r="I3284" s="26">
        <v>43684.379456018498</v>
      </c>
      <c r="J3284" s="23" t="str">
        <f>HYPERLINK("https://www.spark-marketing.ru/Card/Person/4766595", "ООО ""ГРАНД""")</f>
        <v>ООО "ГРАНД"</v>
      </c>
      <c r="K3284" s="24" t="s">
        <v>4806</v>
      </c>
      <c r="L3284" s="28" t="s">
        <v>52</v>
      </c>
      <c r="M3284" s="25">
        <v>71607381.730000004</v>
      </c>
      <c r="N3284" s="27">
        <v>5.0000000125056936E-3</v>
      </c>
    </row>
    <row r="3285" spans="1:14" x14ac:dyDescent="0.15">
      <c r="A3285" s="23" t="str">
        <f>HYPERLINK("https://www.spark-marketing.ru/Card/Person/15218", "ГБУЗ ""ДГП № 28 ДЗМ""")</f>
        <v>ГБУЗ "ДГП № 28 ДЗМ"</v>
      </c>
      <c r="B3285" s="24" t="s">
        <v>4215</v>
      </c>
      <c r="C3285" s="25">
        <v>455781.33</v>
      </c>
      <c r="D3285" s="22" t="s">
        <v>4807</v>
      </c>
      <c r="E3285" s="22" t="s">
        <v>103</v>
      </c>
      <c r="F3285" s="23" t="str">
        <f>HYPERLINK("https://www.spark-marketing.ru/Card/Lot/72643363", "Ремонтно-востановительные работы системы видеонаблюдения в ГБУЗ ""ДГП № 28 ДЗМ"" и филиалах 1,2.")</f>
        <v>Ремонтно-востановительные работы системы видеонаблюдения в ГБУЗ "ДГП № 28 ДЗМ" и филиалах 1,2.</v>
      </c>
      <c r="G3285" s="22" t="s">
        <v>55</v>
      </c>
      <c r="H3285" s="22" t="s">
        <v>55</v>
      </c>
      <c r="I3285" s="26">
        <v>43684.370150463001</v>
      </c>
      <c r="J3285" s="28" t="s">
        <v>52</v>
      </c>
      <c r="K3285" s="28" t="s">
        <v>52</v>
      </c>
      <c r="L3285" s="28" t="s">
        <v>52</v>
      </c>
      <c r="M3285" s="28" t="s">
        <v>52</v>
      </c>
      <c r="N3285" s="28" t="s">
        <v>52</v>
      </c>
    </row>
    <row r="3286" spans="1:14" ht="12.75" hidden="1" outlineLevel="1" x14ac:dyDescent="0.2">
      <c r="A3286" s="23" t="str">
        <f>HYPERLINK("https://www.spark-marketing.ru/Card/Person/15218", "ГБУЗ ""ДГП № 28 ДЗМ""")</f>
        <v>ГБУЗ "ДГП № 28 ДЗМ"</v>
      </c>
      <c r="B3286" s="24" t="s">
        <v>4215</v>
      </c>
      <c r="C3286" s="25">
        <v>455781.33</v>
      </c>
      <c r="D3286" s="22" t="s">
        <v>4807</v>
      </c>
      <c r="E3286" s="22" t="s">
        <v>103</v>
      </c>
      <c r="F3286" s="23" t="str">
        <f>HYPERLINK("https://www.spark-marketing.ru/Card/Lot/72643363", "Ремонтно-востановительные работы системы видеонаблюдения в ГБУЗ ""ДГП № 28 ДЗМ"" и филиалах 1,2.")</f>
        <v>Ремонтно-востановительные работы системы видеонаблюдения в ГБУЗ "ДГП № 28 ДЗМ" и филиалах 1,2.</v>
      </c>
      <c r="G3286" s="22" t="s">
        <v>55</v>
      </c>
      <c r="H3286" s="22" t="s">
        <v>55</v>
      </c>
      <c r="I3286" s="26">
        <v>43684.370150463001</v>
      </c>
      <c r="J3286" s="23" t="str">
        <f>HYPERLINK("https://www.spark-marketing.ru/Card/Person/58054", "ООО ""СПЕКТР-АПС""")</f>
        <v>ООО "СПЕКТР-АПС"</v>
      </c>
      <c r="K3286" s="24" t="s">
        <v>4808</v>
      </c>
      <c r="L3286" s="22" t="s">
        <v>10</v>
      </c>
      <c r="M3286" s="25">
        <v>451223.51</v>
      </c>
      <c r="N3286" s="27">
        <v>1.0000014700031701E-2</v>
      </c>
    </row>
    <row r="3287" spans="1:14" hidden="1" outlineLevel="1" x14ac:dyDescent="0.2">
      <c r="A3287" s="23" t="str">
        <f>HYPERLINK("https://www.spark-marketing.ru/Card/Person/15218", "ГБУЗ ""ДГП № 28 ДЗМ""")</f>
        <v>ГБУЗ "ДГП № 28 ДЗМ"</v>
      </c>
      <c r="B3287" s="24" t="s">
        <v>4215</v>
      </c>
      <c r="C3287" s="25">
        <v>455781.33</v>
      </c>
      <c r="D3287" s="22" t="s">
        <v>4807</v>
      </c>
      <c r="E3287" s="22" t="s">
        <v>103</v>
      </c>
      <c r="F3287" s="23" t="str">
        <f>HYPERLINK("https://www.spark-marketing.ru/Card/Lot/72643363", "Ремонтно-востановительные работы системы видеонаблюдения в ГБУЗ ""ДГП № 28 ДЗМ"" и филиалах 1,2.")</f>
        <v>Ремонтно-востановительные работы системы видеонаблюдения в ГБУЗ "ДГП № 28 ДЗМ" и филиалах 1,2.</v>
      </c>
      <c r="G3287" s="22" t="s">
        <v>55</v>
      </c>
      <c r="H3287" s="22" t="s">
        <v>55</v>
      </c>
      <c r="I3287" s="26">
        <v>43684.370150463001</v>
      </c>
      <c r="J3287" s="23" t="str">
        <f>HYPERLINK("https://www.spark-marketing.ru/Card/Person/5885640", "ООО ""ПОЖСПЕЦСВЯЗЬ""")</f>
        <v>ООО "ПОЖСПЕЦСВЯЗЬ"</v>
      </c>
      <c r="K3287" s="24" t="s">
        <v>4809</v>
      </c>
      <c r="L3287" s="28" t="s">
        <v>52</v>
      </c>
      <c r="M3287" s="25">
        <v>453502.42</v>
      </c>
      <c r="N3287" s="27">
        <v>5.0000073500158504E-3</v>
      </c>
    </row>
    <row r="3288" spans="1:14" x14ac:dyDescent="0.15">
      <c r="A3288" s="23" t="str">
        <f>HYPERLINK("https://www.spark-marketing.ru/Card/Person/32408", "УПРАВЛЕНИЕ МИНЮСТА РОССИИ ПО ОМСКОЙ ОБЛАСТИ")</f>
        <v>УПРАВЛЕНИЕ МИНЮСТА РОССИИ ПО ОМСКОЙ ОБЛАСТИ</v>
      </c>
      <c r="B3288" s="24" t="s">
        <v>4810</v>
      </c>
      <c r="C3288" s="25">
        <v>7304.4</v>
      </c>
      <c r="D3288" s="22" t="s">
        <v>4811</v>
      </c>
      <c r="E3288" s="22" t="s">
        <v>84</v>
      </c>
      <c r="F3288" s="23" t="str">
        <f>HYPERLINK("https://www.spark-marketing.ru/Card/Lot/72639827", "Монтаж, установка, сборка видеонаблюдения, 1 шт")</f>
        <v>Монтаж, установка, сборка видеонаблюдения, 1 шт</v>
      </c>
      <c r="G3288" s="22" t="s">
        <v>521</v>
      </c>
      <c r="H3288" s="22" t="s">
        <v>522</v>
      </c>
      <c r="I3288" s="26">
        <v>43684.360023148103</v>
      </c>
      <c r="J3288" s="28" t="s">
        <v>52</v>
      </c>
      <c r="K3288" s="28" t="s">
        <v>52</v>
      </c>
      <c r="L3288" s="28" t="s">
        <v>52</v>
      </c>
      <c r="M3288" s="28" t="s">
        <v>52</v>
      </c>
      <c r="N3288" s="28" t="s">
        <v>52</v>
      </c>
    </row>
    <row r="3289" spans="1:14" x14ac:dyDescent="0.15">
      <c r="A3289" s="23" t="str">
        <f>HYPERLINK("https://www.spark-marketing.ru/Card/Person/167294", "МЕЖРАЙОННАЯ ИФНС РОССИИ № 5 ПО ПРИМОРСКОМУ КРАЮ")</f>
        <v>МЕЖРАЙОННАЯ ИФНС РОССИИ № 5 ПО ПРИМОРСКОМУ КРАЮ</v>
      </c>
      <c r="B3289" s="24" t="s">
        <v>4408</v>
      </c>
      <c r="C3289" s="25">
        <v>115573</v>
      </c>
      <c r="D3289" s="22" t="s">
        <v>4812</v>
      </c>
      <c r="E3289" s="22" t="s">
        <v>84</v>
      </c>
      <c r="F3289" s="23" t="str">
        <f>HYPERLINK("https://www.spark-marketing.ru/Card/Lot/72639023", "Монтаж, установка, модернизация систем видеонаблюдения, 1 шт")</f>
        <v>Монтаж, установка, модернизация систем видеонаблюдения, 1 шт</v>
      </c>
      <c r="G3289" s="22" t="s">
        <v>409</v>
      </c>
      <c r="H3289" s="22" t="s">
        <v>4813</v>
      </c>
      <c r="I3289" s="26">
        <v>43684.305162037002</v>
      </c>
      <c r="J3289" s="28" t="s">
        <v>52</v>
      </c>
      <c r="K3289" s="28" t="s">
        <v>52</v>
      </c>
      <c r="L3289" s="28" t="s">
        <v>52</v>
      </c>
      <c r="M3289" s="28" t="s">
        <v>52</v>
      </c>
      <c r="N3289" s="28" t="s">
        <v>52</v>
      </c>
    </row>
    <row r="3290" spans="1:14" x14ac:dyDescent="0.15">
      <c r="A3290" s="23" t="str">
        <f>HYPERLINK("https://www.spark-marketing.ru/Card/Person/4353582", "МО МВД РОССИИ ""ГОЛЫШМАНОВСКИЙ""")</f>
        <v>МО МВД РОССИИ "ГОЛЫШМАНОВСКИЙ"</v>
      </c>
      <c r="B3290" s="24" t="s">
        <v>4814</v>
      </c>
      <c r="C3290" s="25">
        <v>43000</v>
      </c>
      <c r="D3290" s="22" t="s">
        <v>4815</v>
      </c>
      <c r="E3290" s="22" t="s">
        <v>107</v>
      </c>
      <c r="F3290" s="23" t="str">
        <f>HYPERLINK("https://www.spark-marketing.ru/Card/Lot/72638798", "техническое обслуживание системы сигнализации газовой безопасности и газоиспользующего оборудования, 1 усл. ед")</f>
        <v>техническое обслуживание системы сигнализации газовой безопасности и газоиспользующего оборудования, 1 усл. ед</v>
      </c>
      <c r="G3290" s="22" t="s">
        <v>893</v>
      </c>
      <c r="H3290" s="22" t="s">
        <v>4816</v>
      </c>
      <c r="I3290" s="26">
        <v>43684.292268518497</v>
      </c>
      <c r="J3290" s="28" t="s">
        <v>52</v>
      </c>
      <c r="K3290" s="28" t="s">
        <v>52</v>
      </c>
      <c r="L3290" s="28" t="s">
        <v>52</v>
      </c>
      <c r="M3290" s="28" t="s">
        <v>52</v>
      </c>
      <c r="N3290" s="28" t="s">
        <v>52</v>
      </c>
    </row>
    <row r="3291" spans="1:14" x14ac:dyDescent="0.15">
      <c r="A3291" s="23" t="str">
        <f>HYPERLINK("https://www.spark-marketing.ru/Card/Person/1021790", "КГКУ ДЕТСКИЙ ДОМ 17")</f>
        <v>КГКУ ДЕТСКИЙ ДОМ 17</v>
      </c>
      <c r="B3291" s="24" t="s">
        <v>4817</v>
      </c>
      <c r="C3291" s="25">
        <v>8219.18</v>
      </c>
      <c r="D3291" s="22" t="s">
        <v>4818</v>
      </c>
      <c r="E3291" s="22" t="s">
        <v>53</v>
      </c>
      <c r="F3291" s="23" t="str">
        <f>HYPERLINK("https://www.spark-marketing.ru/Card/Lot/72636712", "ТО системы охранной сигнализации")</f>
        <v>ТО системы охранной сигнализации</v>
      </c>
      <c r="G3291" s="22" t="s">
        <v>138</v>
      </c>
      <c r="H3291" s="22" t="s">
        <v>4819</v>
      </c>
      <c r="I3291" s="26">
        <v>43684.129814814798</v>
      </c>
      <c r="J3291" s="28" t="s">
        <v>52</v>
      </c>
      <c r="K3291" s="28" t="s">
        <v>52</v>
      </c>
      <c r="L3291" s="28" t="s">
        <v>52</v>
      </c>
      <c r="M3291" s="28" t="s">
        <v>52</v>
      </c>
      <c r="N3291" s="28" t="s">
        <v>52</v>
      </c>
    </row>
    <row r="3292" spans="1:14" x14ac:dyDescent="0.15">
      <c r="A3292" s="23" t="str">
        <f>HYPERLINK("https://www.spark-marketing.ru/Card/Person/1021790", "КГКУ ДЕТСКИЙ ДОМ 17")</f>
        <v>КГКУ ДЕТСКИЙ ДОМ 17</v>
      </c>
      <c r="B3292" s="24" t="s">
        <v>4817</v>
      </c>
      <c r="C3292" s="25">
        <v>8219.64</v>
      </c>
      <c r="D3292" s="22" t="s">
        <v>4820</v>
      </c>
      <c r="E3292" s="22" t="s">
        <v>53</v>
      </c>
      <c r="F3292" s="23" t="str">
        <f>HYPERLINK("https://www.spark-marketing.ru/Card/Lot/72636710", "ТО системы видеонаблюдения")</f>
        <v>ТО системы видеонаблюдения</v>
      </c>
      <c r="G3292" s="22" t="s">
        <v>138</v>
      </c>
      <c r="H3292" s="22" t="s">
        <v>4819</v>
      </c>
      <c r="I3292" s="26">
        <v>43684.127673611103</v>
      </c>
      <c r="J3292" s="28" t="s">
        <v>52</v>
      </c>
      <c r="K3292" s="28" t="s">
        <v>52</v>
      </c>
      <c r="L3292" s="28" t="s">
        <v>52</v>
      </c>
      <c r="M3292" s="28" t="s">
        <v>52</v>
      </c>
      <c r="N3292" s="28" t="s">
        <v>52</v>
      </c>
    </row>
    <row r="3293" spans="1:14" x14ac:dyDescent="0.15">
      <c r="A3293" s="23" t="str">
        <f>HYPERLINK("https://www.spark-marketing.ru/Card/Person/1716154", "ООО ""ТРАНСНЕФТЬ - БАЛТИКА""")</f>
        <v>ООО "ТРАНСНЕФТЬ - БАЛТИКА"</v>
      </c>
      <c r="B3293" s="24" t="s">
        <v>3778</v>
      </c>
      <c r="C3293" s="25">
        <v>4759956.22</v>
      </c>
      <c r="D3293" s="22" t="s">
        <v>4821</v>
      </c>
      <c r="E3293" s="22" t="s">
        <v>175</v>
      </c>
      <c r="F3293" s="23" t="str">
        <f>HYPERLINK("https://www.spark-marketing.ru/Card/Lot/72642778", "1800-H05-К-Y03-00092-2020 «""2020-УБ-ТНБ-15 ""Техническое обслуживание комплексов инженерно- технических средств охраны НПС-7, ЦРСи БПО, офис НРНУ, ЦТТ и СТ, ЛЧ МН Новгородская обл., ЛЧ МН Ленинградская обл., ЦРС УАВР""»")</f>
        <v>1800-H05-К-Y03-00092-2020 «"2020-УБ-ТНБ-15 "Техническое обслуживание комплексов инженерно- технических средств охраны НПС-7, ЦРСи БПО, офис НРНУ, ЦТТ и СТ, ЛЧ МН Новгородская обл., ЛЧ МН Ленинградская обл., ЦРС УАВР"»</v>
      </c>
      <c r="G3293" s="22" t="s">
        <v>89</v>
      </c>
      <c r="H3293" s="22" t="s">
        <v>89</v>
      </c>
      <c r="I3293" s="26">
        <v>43684</v>
      </c>
      <c r="J3293" s="28" t="s">
        <v>52</v>
      </c>
      <c r="K3293" s="28" t="s">
        <v>52</v>
      </c>
      <c r="L3293" s="28" t="s">
        <v>52</v>
      </c>
      <c r="M3293" s="28" t="s">
        <v>52</v>
      </c>
      <c r="N3293" s="28" t="s">
        <v>52</v>
      </c>
    </row>
    <row r="3294" spans="1:14" x14ac:dyDescent="0.15">
      <c r="A3294" s="23" t="str">
        <f>HYPERLINK("https://www.spark-marketing.ru/Card/Person/1716154", "ООО ""ТРАНСНЕФТЬ - БАЛТИКА""")</f>
        <v>ООО "ТРАНСНЕФТЬ - БАЛТИКА"</v>
      </c>
      <c r="B3294" s="24" t="s">
        <v>3778</v>
      </c>
      <c r="C3294" s="25">
        <v>3756854.24</v>
      </c>
      <c r="D3294" s="22" t="s">
        <v>4822</v>
      </c>
      <c r="E3294" s="22" t="s">
        <v>175</v>
      </c>
      <c r="F3294" s="23" t="str">
        <f>HYPERLINK("https://www.spark-marketing.ru/Card/Lot/72642773", "1800-H05-К-Y03-00093-2020 «""2020-УБ-ТНБ-13 ""Техническое обслуживание комплексов инженерно- технических средств охраны ""ЛАЭС НПС-3, НПС-3, НПС ""Андреаполь"", ЛЧ МН Брянская обл., ЛЧ МН Смоленская обл., ЛЧ МН Тверская обл.»»")</f>
        <v>1800-H05-К-Y03-00093-2020 «"2020-УБ-ТНБ-13 "Техническое обслуживание комплексов инженерно- технических средств охраны "ЛАЭС НПС-3, НПС-3, НПС "Андреаполь", ЛЧ МН Брянская обл., ЛЧ МН Смоленская обл., ЛЧ МН Тверская обл.»»</v>
      </c>
      <c r="G3294" s="22" t="s">
        <v>89</v>
      </c>
      <c r="H3294" s="22" t="s">
        <v>89</v>
      </c>
      <c r="I3294" s="26">
        <v>43684</v>
      </c>
      <c r="J3294" s="28" t="s">
        <v>52</v>
      </c>
      <c r="K3294" s="28" t="s">
        <v>52</v>
      </c>
      <c r="L3294" s="28" t="s">
        <v>52</v>
      </c>
      <c r="M3294" s="28" t="s">
        <v>52</v>
      </c>
      <c r="N3294" s="28" t="s">
        <v>52</v>
      </c>
    </row>
    <row r="3295" spans="1:14" x14ac:dyDescent="0.15">
      <c r="A3295" s="23" t="str">
        <f>HYPERLINK("https://www.spark-marketing.ru/Card/Person/30759", "ПАО ""МТС""")</f>
        <v>ПАО "МТС"</v>
      </c>
      <c r="B3295" s="24" t="s">
        <v>1834</v>
      </c>
      <c r="C3295" s="28" t="s">
        <v>52</v>
      </c>
      <c r="D3295" s="28" t="s">
        <v>52</v>
      </c>
      <c r="E3295" s="22" t="s">
        <v>53</v>
      </c>
      <c r="F3295" s="23" t="str">
        <f>HYPERLINK("https://www.spark-marketing.ru/Card/Lot/72645912", "Уведомление о продлении 1 этапа открытого запроса предложений на монтаж, ТО и ремонтно восстановительные работы систем видеонаблюдения на объектах СБ регионов АО РТК (Торги № 99709)")</f>
        <v>Уведомление о продлении 1 этапа открытого запроса предложений на монтаж, ТО и ремонтно восстановительные работы систем видеонаблюдения на объектах СБ регионов АО РТК (Торги № 99709)</v>
      </c>
      <c r="G3295" s="22" t="s">
        <v>55</v>
      </c>
      <c r="H3295" s="22" t="s">
        <v>55</v>
      </c>
      <c r="I3295" s="26">
        <v>43684</v>
      </c>
      <c r="J3295" s="28" t="s">
        <v>52</v>
      </c>
      <c r="K3295" s="28" t="s">
        <v>52</v>
      </c>
      <c r="L3295" s="28" t="s">
        <v>52</v>
      </c>
      <c r="M3295" s="28" t="s">
        <v>52</v>
      </c>
      <c r="N3295" s="28" t="s">
        <v>52</v>
      </c>
    </row>
    <row r="3296" spans="1:14" x14ac:dyDescent="0.2">
      <c r="A3296" s="23" t="str">
        <f>HYPERLINK("https://www.spark-marketing.ru/Card/Person/688348", "ГАУ РХ ""АБАКАНСКИЙ ПАНСИОНАТ ВЕТЕРАНОВ""")</f>
        <v>ГАУ РХ "АБАКАНСКИЙ ПАНСИОНАТ ВЕТЕРАНОВ"</v>
      </c>
      <c r="B3296" s="24" t="s">
        <v>4823</v>
      </c>
      <c r="C3296" s="25">
        <v>112800</v>
      </c>
      <c r="D3296" s="22" t="s">
        <v>4824</v>
      </c>
      <c r="E3296" s="22" t="s">
        <v>137</v>
      </c>
      <c r="F3296" s="23" t="str">
        <f>HYPERLINK("https://www.spark-marketing.ru/Card/Lot/72647774", "Обслуживание систем видеонаблюдения")</f>
        <v>Обслуживание систем видеонаблюдения</v>
      </c>
      <c r="G3296" s="22" t="s">
        <v>1041</v>
      </c>
      <c r="H3296" s="22" t="s">
        <v>1041</v>
      </c>
      <c r="I3296" s="26">
        <v>43684</v>
      </c>
      <c r="J3296" s="28" t="s">
        <v>52</v>
      </c>
      <c r="K3296" s="28" t="s">
        <v>52</v>
      </c>
      <c r="L3296" s="28" t="s">
        <v>52</v>
      </c>
      <c r="M3296" s="25">
        <v>112800</v>
      </c>
      <c r="N3296" s="27">
        <v>0</v>
      </c>
    </row>
    <row r="3297" spans="1:14" x14ac:dyDescent="0.15">
      <c r="A3297" s="23" t="str">
        <f>HYPERLINK("https://www.spark-marketing.ru/Card/Person/64033", "МБОУ СОШ №12")</f>
        <v>МБОУ СОШ №12</v>
      </c>
      <c r="B3297" s="24" t="s">
        <v>4825</v>
      </c>
      <c r="C3297" s="25">
        <v>300000</v>
      </c>
      <c r="D3297" s="22" t="s">
        <v>4826</v>
      </c>
      <c r="E3297" s="22" t="s">
        <v>84</v>
      </c>
      <c r="F3297" s="23" t="str">
        <f>HYPERLINK("https://www.spark-marketing.ru/Card/Lot/72636148", "Оказание услуг по согласованию, 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технологического обеспечения региональной общественной безопасно...")</f>
        <v>Оказание услуг по согласованию, 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технологического обеспечения региональной общественной безопасно...</v>
      </c>
      <c r="G3297" s="22" t="s">
        <v>50</v>
      </c>
      <c r="H3297" s="22" t="s">
        <v>682</v>
      </c>
      <c r="I3297" s="26">
        <v>43683.971516203703</v>
      </c>
      <c r="J3297" s="28" t="s">
        <v>52</v>
      </c>
      <c r="K3297" s="28" t="s">
        <v>52</v>
      </c>
      <c r="L3297" s="28" t="s">
        <v>52</v>
      </c>
      <c r="M3297" s="28" t="s">
        <v>52</v>
      </c>
      <c r="N3297" s="28" t="s">
        <v>52</v>
      </c>
    </row>
    <row r="3298" spans="1:14" x14ac:dyDescent="0.15">
      <c r="A3298" s="23" t="str">
        <f>HYPERLINK("https://www.spark-marketing.ru/Card/Person/46578", "ГБУЗ ""ДГП № 69 ДЗМ""")</f>
        <v>ГБУЗ "ДГП № 69 ДЗМ"</v>
      </c>
      <c r="B3298" s="24" t="s">
        <v>4827</v>
      </c>
      <c r="C3298" s="25">
        <v>457160.31</v>
      </c>
      <c r="D3298" s="22" t="s">
        <v>4828</v>
      </c>
      <c r="E3298" s="22" t="s">
        <v>107</v>
      </c>
      <c r="F3298" s="23" t="str">
        <f>HYPERLINK("https://www.spark-marketing.ru/Card/Lot/72633543", "Аукцион в электронной форме на оказание услуг по техническому обслуживанию кнопок тревожной сигнализации на объектах ГБУЗ ""ДГП № 69 ДЗМ""")</f>
        <v>Аукцион в электронной форме на оказание услуг по техническому обслуживанию кнопок тревожной сигнализации на объектах ГБУЗ "ДГП № 69 ДЗМ"</v>
      </c>
      <c r="G3298" s="22" t="s">
        <v>55</v>
      </c>
      <c r="H3298" s="22" t="s">
        <v>55</v>
      </c>
      <c r="I3298" s="26">
        <v>43683.724340277797</v>
      </c>
      <c r="J3298" s="28" t="s">
        <v>52</v>
      </c>
      <c r="K3298" s="28" t="s">
        <v>52</v>
      </c>
      <c r="L3298" s="28" t="s">
        <v>52</v>
      </c>
      <c r="M3298" s="28" t="s">
        <v>52</v>
      </c>
      <c r="N3298" s="28" t="s">
        <v>52</v>
      </c>
    </row>
    <row r="3299" spans="1:14" ht="12.75" hidden="1" outlineLevel="1" x14ac:dyDescent="0.2">
      <c r="A3299" s="23" t="str">
        <f>HYPERLINK("https://www.spark-marketing.ru/Card/Person/46578", "ГБУЗ ""ДГП № 69 ДЗМ""")</f>
        <v>ГБУЗ "ДГП № 69 ДЗМ"</v>
      </c>
      <c r="B3299" s="24" t="s">
        <v>4827</v>
      </c>
      <c r="C3299" s="25">
        <v>457160.31</v>
      </c>
      <c r="D3299" s="22" t="s">
        <v>4828</v>
      </c>
      <c r="E3299" s="22" t="s">
        <v>107</v>
      </c>
      <c r="F3299" s="23" t="str">
        <f>HYPERLINK("https://www.spark-marketing.ru/Card/Lot/72633543", "Аукцион в электронной форме на оказание услуг по техническому обслуживанию кнопок тревожной сигнализации на объектах ГБУЗ ""ДГП № 69 ДЗМ""")</f>
        <v>Аукцион в электронной форме на оказание услуг по техническому обслуживанию кнопок тревожной сигнализации на объектах ГБУЗ "ДГП № 69 ДЗМ"</v>
      </c>
      <c r="G3299" s="22" t="s">
        <v>55</v>
      </c>
      <c r="H3299" s="22" t="s">
        <v>55</v>
      </c>
      <c r="I3299" s="26">
        <v>43683.724340277797</v>
      </c>
      <c r="J3299" s="23" t="str">
        <f>HYPERLINK("https://www.spark-marketing.ru/Card/Person/925596", "ООО ""СПЕЦМОНТАЖ-А""")</f>
        <v>ООО "СПЕЦМОНТАЖ-А"</v>
      </c>
      <c r="K3299" s="24" t="s">
        <v>4217</v>
      </c>
      <c r="L3299" s="22" t="s">
        <v>10</v>
      </c>
      <c r="M3299" s="25">
        <v>124696.18</v>
      </c>
      <c r="N3299" s="27">
        <v>0.72723751981006401</v>
      </c>
    </row>
    <row r="3300" spans="1:14" hidden="1" outlineLevel="1" x14ac:dyDescent="0.2">
      <c r="A3300" s="23" t="str">
        <f>HYPERLINK("https://www.spark-marketing.ru/Card/Person/46578", "ГБУЗ ""ДГП № 69 ДЗМ""")</f>
        <v>ГБУЗ "ДГП № 69 ДЗМ"</v>
      </c>
      <c r="B3300" s="24" t="s">
        <v>4827</v>
      </c>
      <c r="C3300" s="25">
        <v>457160.31</v>
      </c>
      <c r="D3300" s="22" t="s">
        <v>4828</v>
      </c>
      <c r="E3300" s="22" t="s">
        <v>107</v>
      </c>
      <c r="F3300" s="23" t="str">
        <f>HYPERLINK("https://www.spark-marketing.ru/Card/Lot/72633543", "Аукцион в электронной форме на оказание услуг по техническому обслуживанию кнопок тревожной сигнализации на объектах ГБУЗ ""ДГП № 69 ДЗМ""")</f>
        <v>Аукцион в электронной форме на оказание услуг по техническому обслуживанию кнопок тревожной сигнализации на объектах ГБУЗ "ДГП № 69 ДЗМ"</v>
      </c>
      <c r="G3300" s="22" t="s">
        <v>55</v>
      </c>
      <c r="H3300" s="22" t="s">
        <v>55</v>
      </c>
      <c r="I3300" s="26">
        <v>43683.724340277797</v>
      </c>
      <c r="J3300" s="23" t="str">
        <f>HYPERLINK("https://www.spark-marketing.ru/Card/Person/917509", "АО ""ЭЛЕКТРОННЫЕ СИСТЕМЫ-КО""")</f>
        <v>АО "ЭЛЕКТРОННЫЕ СИСТЕМЫ-КО"</v>
      </c>
      <c r="K3300" s="24" t="s">
        <v>4829</v>
      </c>
      <c r="L3300" s="28" t="s">
        <v>52</v>
      </c>
      <c r="M3300" s="25">
        <v>294371.15000000002</v>
      </c>
      <c r="N3300" s="27">
        <v>0.35608769273955565</v>
      </c>
    </row>
    <row r="3301" spans="1:14" hidden="1" outlineLevel="1" x14ac:dyDescent="0.2">
      <c r="A3301" s="23" t="str">
        <f>HYPERLINK("https://www.spark-marketing.ru/Card/Person/46578", "ГБУЗ ""ДГП № 69 ДЗМ""")</f>
        <v>ГБУЗ "ДГП № 69 ДЗМ"</v>
      </c>
      <c r="B3301" s="24" t="s">
        <v>4827</v>
      </c>
      <c r="C3301" s="25">
        <v>457160.31</v>
      </c>
      <c r="D3301" s="22" t="s">
        <v>4828</v>
      </c>
      <c r="E3301" s="22" t="s">
        <v>107</v>
      </c>
      <c r="F3301" s="23" t="str">
        <f>HYPERLINK("https://www.spark-marketing.ru/Card/Lot/72633543", "Аукцион в электронной форме на оказание услуг по техническому обслуживанию кнопок тревожной сигнализации на объектах ГБУЗ ""ДГП № 69 ДЗМ""")</f>
        <v>Аукцион в электронной форме на оказание услуг по техническому обслуживанию кнопок тревожной сигнализации на объектах ГБУЗ "ДГП № 69 ДЗМ"</v>
      </c>
      <c r="G3301" s="22" t="s">
        <v>55</v>
      </c>
      <c r="H3301" s="22" t="s">
        <v>55</v>
      </c>
      <c r="I3301" s="26">
        <v>43683.724340277797</v>
      </c>
      <c r="J3301" s="23" t="str">
        <f>HYPERLINK("https://www.spark-marketing.ru/Card/Person/6441268", "ООО ""СЕРВИСПРОФ""")</f>
        <v>ООО "СЕРВИСПРОФ"</v>
      </c>
      <c r="K3301" s="24" t="s">
        <v>4830</v>
      </c>
      <c r="L3301" s="28" t="s">
        <v>52</v>
      </c>
      <c r="M3301" s="25">
        <v>124696.18</v>
      </c>
      <c r="N3301" s="27">
        <v>0.72723751981006401</v>
      </c>
    </row>
    <row r="3302" spans="1:14" hidden="1" outlineLevel="1" x14ac:dyDescent="0.2">
      <c r="A3302" s="23" t="str">
        <f>HYPERLINK("https://www.spark-marketing.ru/Card/Person/46578", "ГБУЗ ""ДГП № 69 ДЗМ""")</f>
        <v>ГБУЗ "ДГП № 69 ДЗМ"</v>
      </c>
      <c r="B3302" s="24" t="s">
        <v>4827</v>
      </c>
      <c r="C3302" s="25">
        <v>457160.31</v>
      </c>
      <c r="D3302" s="22" t="s">
        <v>4828</v>
      </c>
      <c r="E3302" s="22" t="s">
        <v>107</v>
      </c>
      <c r="F3302" s="23" t="str">
        <f>HYPERLINK("https://www.spark-marketing.ru/Card/Lot/72633543", "Аукцион в электронной форме на оказание услуг по техническому обслуживанию кнопок тревожной сигнализации на объектах ГБУЗ ""ДГП № 69 ДЗМ""")</f>
        <v>Аукцион в электронной форме на оказание услуг по техническому обслуживанию кнопок тревожной сигнализации на объектах ГБУЗ "ДГП № 69 ДЗМ"</v>
      </c>
      <c r="G3302" s="22" t="s">
        <v>55</v>
      </c>
      <c r="H3302" s="22" t="s">
        <v>55</v>
      </c>
      <c r="I3302" s="26">
        <v>43683.724340277797</v>
      </c>
      <c r="J3302" s="23" t="str">
        <f>HYPERLINK("https://www.spark-marketing.ru/Card/Person/60875", "ООО ЧОП ""ГОЛДЕКС""")</f>
        <v>ООО ЧОП "ГОЛДЕКС"</v>
      </c>
      <c r="K3302" s="24" t="s">
        <v>1378</v>
      </c>
      <c r="L3302" s="28" t="s">
        <v>52</v>
      </c>
      <c r="M3302" s="25">
        <v>124696.18</v>
      </c>
      <c r="N3302" s="27">
        <v>0.72723751981006401</v>
      </c>
    </row>
    <row r="3303" spans="1:14" x14ac:dyDescent="0.15">
      <c r="A3303" s="23" t="str">
        <f>HYPERLINK("https://www.spark-marketing.ru/Card/Person/639159", "ОТДЕЛ МВД РОССИИ ПО МЕЛЕУЗОВСКОМУ РАЙОНУ")</f>
        <v>ОТДЕЛ МВД РОССИИ ПО МЕЛЕУЗОВСКОМУ РАЙОНУ</v>
      </c>
      <c r="B3303" s="24" t="s">
        <v>4831</v>
      </c>
      <c r="C3303" s="25">
        <v>43005</v>
      </c>
      <c r="D3303" s="22" t="s">
        <v>4832</v>
      </c>
      <c r="E3303" s="22" t="s">
        <v>59</v>
      </c>
      <c r="F3303" s="23" t="str">
        <f>HYPERLINK("https://www.spark-marketing.ru/Card/Lot/72630619", "Работ по установке комплекса охранной сигнализации, 1 шт")</f>
        <v>Работ по установке комплекса охранной сигнализации, 1 шт</v>
      </c>
      <c r="G3303" s="22" t="s">
        <v>100</v>
      </c>
      <c r="H3303" s="22" t="s">
        <v>4833</v>
      </c>
      <c r="I3303" s="26">
        <v>43683.722222222197</v>
      </c>
      <c r="J3303" s="28" t="s">
        <v>52</v>
      </c>
      <c r="K3303" s="28" t="s">
        <v>52</v>
      </c>
      <c r="L3303" s="28" t="s">
        <v>52</v>
      </c>
      <c r="M3303" s="28" t="s">
        <v>52</v>
      </c>
      <c r="N3303" s="28" t="s">
        <v>52</v>
      </c>
    </row>
    <row r="3304" spans="1:14" x14ac:dyDescent="0.15">
      <c r="A3304" s="23" t="str">
        <f>HYPERLINK("https://www.spark-marketing.ru/Card/Person/639159", "ОТДЕЛ МВД РОССИИ ПО МЕЛЕУЗОВСКОМУ РАЙОНУ")</f>
        <v>ОТДЕЛ МВД РОССИИ ПО МЕЛЕУЗОВСКОМУ РАЙОНУ</v>
      </c>
      <c r="B3304" s="24" t="s">
        <v>4831</v>
      </c>
      <c r="C3304" s="25">
        <v>48340</v>
      </c>
      <c r="D3304" s="22" t="s">
        <v>4834</v>
      </c>
      <c r="E3304" s="22" t="s">
        <v>59</v>
      </c>
      <c r="F3304" s="23" t="str">
        <f>HYPERLINK("https://www.spark-marketing.ru/Card/Lot/72630610", "Работ по установке комплекса охранной сигнализации, 1 шт")</f>
        <v>Работ по установке комплекса охранной сигнализации, 1 шт</v>
      </c>
      <c r="G3304" s="22" t="s">
        <v>100</v>
      </c>
      <c r="H3304" s="22" t="s">
        <v>4833</v>
      </c>
      <c r="I3304" s="26">
        <v>43683.718587962998</v>
      </c>
      <c r="J3304" s="28" t="s">
        <v>52</v>
      </c>
      <c r="K3304" s="28" t="s">
        <v>52</v>
      </c>
      <c r="L3304" s="28" t="s">
        <v>52</v>
      </c>
      <c r="M3304" s="28" t="s">
        <v>52</v>
      </c>
      <c r="N3304" s="28" t="s">
        <v>52</v>
      </c>
    </row>
    <row r="3305" spans="1:14" x14ac:dyDescent="0.15">
      <c r="A3305" s="23" t="str">
        <f>HYPERLINK("https://www.spark-marketing.ru/Card/Person/330013", "Фл АО ""Концерн Росэнергоатом"" Смоленская атомная станция")</f>
        <v>Фл АО "Концерн Росэнергоатом" Смоленская атомная станция</v>
      </c>
      <c r="B3305" s="24" t="s">
        <v>211</v>
      </c>
      <c r="C3305" s="28" t="s">
        <v>52</v>
      </c>
      <c r="D3305" s="22" t="s">
        <v>4835</v>
      </c>
      <c r="E3305" s="22" t="s">
        <v>585</v>
      </c>
      <c r="F3305" s="23" t="str">
        <f>HYPERLINK("https://www.spark-marketing.ru/Card/Lot/72635401", "Инженерное сопровождение сборочных объектов турбоагрегатов К-500-65/3000 энергоблоков № 1,2,3 Смоленской АЭС")</f>
        <v>Инженерное сопровождение сборочных объектов турбоагрегатов К-500-65/3000 энергоблоков № 1,2,3 Смоленской АЭС</v>
      </c>
      <c r="G3305" s="22" t="s">
        <v>55</v>
      </c>
      <c r="H3305" s="22" t="s">
        <v>55</v>
      </c>
      <c r="I3305" s="26">
        <v>43683.707013888903</v>
      </c>
      <c r="J3305" s="28" t="s">
        <v>52</v>
      </c>
      <c r="K3305" s="28" t="s">
        <v>52</v>
      </c>
      <c r="L3305" s="28" t="s">
        <v>52</v>
      </c>
      <c r="M3305" s="28" t="s">
        <v>52</v>
      </c>
      <c r="N3305" s="28" t="s">
        <v>52</v>
      </c>
    </row>
    <row r="3306" spans="1:14" x14ac:dyDescent="0.15">
      <c r="A3306" s="23" t="str">
        <f>HYPERLINK("https://www.spark-marketing.ru/Card/Person/1683079", "ООО ""ЧОП ""КЕННАРД""")</f>
        <v>ООО "ЧОП "КЕННАРД"</v>
      </c>
      <c r="B3306" s="24" t="s">
        <v>1949</v>
      </c>
      <c r="C3306" s="25">
        <v>879.17</v>
      </c>
      <c r="D3306" s="22" t="s">
        <v>4836</v>
      </c>
      <c r="E3306" s="22" t="s">
        <v>53</v>
      </c>
      <c r="F3306" s="23" t="str">
        <f>HYPERLINK("https://www.spark-marketing.ru/Card/Lot/72637848", "Панель 19"" с DIN-рейкой для установки коммутаторов STK-RACKMNT-2955 30045001200")</f>
        <v>Панель 19" с DIN-рейкой для установки коммутаторов STK-RACKMNT-2955 30045001200</v>
      </c>
      <c r="G3306" s="22" t="s">
        <v>204</v>
      </c>
      <c r="H3306" s="22" t="s">
        <v>303</v>
      </c>
      <c r="I3306" s="26">
        <v>43683.692858796298</v>
      </c>
      <c r="J3306" s="28" t="s">
        <v>52</v>
      </c>
      <c r="K3306" s="28" t="s">
        <v>52</v>
      </c>
      <c r="L3306" s="28" t="s">
        <v>52</v>
      </c>
      <c r="M3306" s="28" t="s">
        <v>52</v>
      </c>
      <c r="N3306" s="28" t="s">
        <v>52</v>
      </c>
    </row>
    <row r="3307" spans="1:14" x14ac:dyDescent="0.15">
      <c r="A3307" s="23" t="str">
        <f>HYPERLINK("https://www.spark-marketing.ru/Card/Person/330016", "КУРСКАЯ АЭС - ФИЛИАЛ ОАО ""КОНЦЕРН РОСЭНЕРГОАТОМ""")</f>
        <v>КУРСКАЯ АЭС - ФИЛИАЛ ОАО "КОНЦЕРН РОСЭНЕРГОАТОМ"</v>
      </c>
      <c r="B3307" s="24" t="s">
        <v>211</v>
      </c>
      <c r="C3307" s="25">
        <v>0</v>
      </c>
      <c r="D3307" s="22" t="s">
        <v>4837</v>
      </c>
      <c r="E3307" s="22" t="s">
        <v>53</v>
      </c>
      <c r="F3307" s="23" t="str">
        <f>HYPERLINK("https://www.spark-marketing.ru/Card/Lot/72636091", "мониторинг цен в электронной форме на Инженерное сопровождение сборочных объектов турбоагрегатов К-500-65/3000 энергоблоков № 1,2,3 Смоленской АЭС")</f>
        <v>мониторинг цен в электронной форме на Инженерное сопровождение сборочных объектов турбоагрегатов К-500-65/3000 энергоблоков № 1,2,3 Смоленской АЭС</v>
      </c>
      <c r="G3307" s="22" t="s">
        <v>55</v>
      </c>
      <c r="H3307" s="22" t="s">
        <v>55</v>
      </c>
      <c r="I3307" s="26">
        <v>43683.706875000003</v>
      </c>
      <c r="J3307" s="28" t="s">
        <v>52</v>
      </c>
      <c r="K3307" s="28" t="s">
        <v>52</v>
      </c>
      <c r="L3307" s="28" t="s">
        <v>52</v>
      </c>
      <c r="M3307" s="28" t="s">
        <v>52</v>
      </c>
      <c r="N3307" s="28" t="s">
        <v>52</v>
      </c>
    </row>
    <row r="3308" spans="1:14" x14ac:dyDescent="0.15">
      <c r="A3308" s="23" t="str">
        <f>HYPERLINK("https://www.spark-marketing.ru/Card/Person/59886", "ГУ ТО""СЕВЕРО-АГЕЕВСКИЙ ПСИХОНЕВРОЛОГИЧЕСКИЙ ИНТЕРНАТ""")</f>
        <v>ГУ ТО"СЕВЕРО-АГЕЕВСКИЙ ПСИХОНЕВРОЛОГИЧЕСКИЙ ИНТЕРНАТ"</v>
      </c>
      <c r="B3308" s="24" t="s">
        <v>4838</v>
      </c>
      <c r="C3308" s="25">
        <v>277000</v>
      </c>
      <c r="D3308" s="22" t="s">
        <v>4839</v>
      </c>
      <c r="E3308" s="22" t="s">
        <v>487</v>
      </c>
      <c r="F3308" s="23" t="str">
        <f>HYPERLINK("https://www.spark-marketing.ru/Card/Lot/72630664", "Поставка блока-контейнера ""Пост охраны""")</f>
        <v>Поставка блока-контейнера "Пост охраны"</v>
      </c>
      <c r="G3308" s="22" t="s">
        <v>818</v>
      </c>
      <c r="H3308" s="22" t="s">
        <v>4840</v>
      </c>
      <c r="I3308" s="26">
        <v>43683.662118055603</v>
      </c>
      <c r="J3308" s="28" t="s">
        <v>52</v>
      </c>
      <c r="K3308" s="28" t="s">
        <v>52</v>
      </c>
      <c r="L3308" s="28" t="s">
        <v>52</v>
      </c>
      <c r="M3308" s="28" t="s">
        <v>52</v>
      </c>
      <c r="N3308" s="28" t="s">
        <v>52</v>
      </c>
    </row>
    <row r="3309" spans="1:14" hidden="1" outlineLevel="1" x14ac:dyDescent="0.2">
      <c r="A3309" s="23" t="str">
        <f>HYPERLINK("https://www.spark-marketing.ru/Card/Person/59886", "ГУ ТО""СЕВЕРО-АГЕЕВСКИЙ ПСИХОНЕВРОЛОГИЧЕСКИЙ ИНТЕРНАТ""")</f>
        <v>ГУ ТО"СЕВЕРО-АГЕЕВСКИЙ ПСИХОНЕВРОЛОГИЧЕСКИЙ ИНТЕРНАТ"</v>
      </c>
      <c r="B3309" s="24" t="s">
        <v>4838</v>
      </c>
      <c r="C3309" s="25">
        <v>277000</v>
      </c>
      <c r="D3309" s="22" t="s">
        <v>4839</v>
      </c>
      <c r="E3309" s="22" t="s">
        <v>487</v>
      </c>
      <c r="F3309" s="23" t="str">
        <f>HYPERLINK("https://www.spark-marketing.ru/Card/Lot/72630664", "Поставка блока-контейнера ""Пост охраны""")</f>
        <v>Поставка блока-контейнера "Пост охраны"</v>
      </c>
      <c r="G3309" s="22" t="s">
        <v>818</v>
      </c>
      <c r="H3309" s="22" t="s">
        <v>4840</v>
      </c>
      <c r="I3309" s="26">
        <v>43683.662118055603</v>
      </c>
      <c r="J3309" s="23" t="str">
        <f>HYPERLINK("https://www.spark-marketing.ru/Card/Person/6083147", "ООО СТК ""КРАУС""")</f>
        <v>ООО СТК "КРАУС"</v>
      </c>
      <c r="K3309" s="24" t="s">
        <v>4841</v>
      </c>
      <c r="L3309" s="28" t="s">
        <v>52</v>
      </c>
      <c r="M3309" s="25">
        <v>231994.99</v>
      </c>
      <c r="N3309" s="27">
        <v>0.16247296028880867</v>
      </c>
    </row>
    <row r="3310" spans="1:14" ht="12.75" hidden="1" outlineLevel="1" x14ac:dyDescent="0.2">
      <c r="A3310" s="23" t="str">
        <f>HYPERLINK("https://www.spark-marketing.ru/Card/Person/59886", "ГУ ТО""СЕВЕРО-АГЕЕВСКИЙ ПСИХОНЕВРОЛОГИЧЕСКИЙ ИНТЕРНАТ""")</f>
        <v>ГУ ТО"СЕВЕРО-АГЕЕВСКИЙ ПСИХОНЕВРОЛОГИЧЕСКИЙ ИНТЕРНАТ"</v>
      </c>
      <c r="B3310" s="24" t="s">
        <v>4838</v>
      </c>
      <c r="C3310" s="25">
        <v>277000</v>
      </c>
      <c r="D3310" s="22" t="s">
        <v>4839</v>
      </c>
      <c r="E3310" s="22" t="s">
        <v>487</v>
      </c>
      <c r="F3310" s="23" t="str">
        <f>HYPERLINK("https://www.spark-marketing.ru/Card/Lot/72630664", "Поставка блока-контейнера ""Пост охраны""")</f>
        <v>Поставка блока-контейнера "Пост охраны"</v>
      </c>
      <c r="G3310" s="22" t="s">
        <v>818</v>
      </c>
      <c r="H3310" s="22" t="s">
        <v>4840</v>
      </c>
      <c r="I3310" s="26">
        <v>43683.662118055603</v>
      </c>
      <c r="J3310" s="23" t="str">
        <f>HYPERLINK("https://www.spark-marketing.ru/Card/Person/6517681", "Кодиров Бобур Зайлиддинович")</f>
        <v>Кодиров Бобур Зайлиддинович</v>
      </c>
      <c r="K3310" s="24" t="s">
        <v>4842</v>
      </c>
      <c r="L3310" s="22" t="s">
        <v>10</v>
      </c>
      <c r="M3310" s="25">
        <v>230610</v>
      </c>
      <c r="N3310" s="27">
        <v>0.16747292418772564</v>
      </c>
    </row>
    <row r="3311" spans="1:14" x14ac:dyDescent="0.15">
      <c r="A3311" s="23" t="str">
        <f>HYPERLINK("https://www.spark-marketing.ru/Card/Person/7264", "УПРАВЛЕНИЕ РОСРЕЕСТРА ПО РЕСПУБЛИКЕ БАШКОРТОСТАН")</f>
        <v>УПРАВЛЕНИЕ РОСРЕЕСТРА ПО РЕСПУБЛИКЕ БАШКОРТОСТАН</v>
      </c>
      <c r="B3311" s="24" t="s">
        <v>4843</v>
      </c>
      <c r="C3311" s="25">
        <v>60306</v>
      </c>
      <c r="D3311" s="22" t="s">
        <v>4844</v>
      </c>
      <c r="E3311" s="22" t="s">
        <v>68</v>
      </c>
      <c r="F3311" s="23" t="str">
        <f>HYPERLINK("https://www.spark-marketing.ru/Card/Lot/72625440", "Оказание услуг по охране объектов посредством пульта централизованного наблюдения")</f>
        <v>Оказание услуг по охране объектов посредством пульта централизованного наблюдения</v>
      </c>
      <c r="G3311" s="22" t="s">
        <v>100</v>
      </c>
      <c r="H3311" s="22" t="s">
        <v>100</v>
      </c>
      <c r="I3311" s="26">
        <v>43683.655972222201</v>
      </c>
      <c r="J3311" s="23" t="str">
        <f>HYPERLINK("https://www.spark-marketing.ru/Card/Person/204515", "ФЛ ФГУП ""Охрана"" Росгвардии по Республике Башкортостан")</f>
        <v>ФЛ ФГУП "Охрана" Росгвардии по Республике Башкортостан</v>
      </c>
      <c r="K3311" s="24" t="s">
        <v>779</v>
      </c>
      <c r="L3311" s="22" t="s">
        <v>10</v>
      </c>
      <c r="M3311" s="28" t="s">
        <v>52</v>
      </c>
      <c r="N3311" s="28" t="s">
        <v>52</v>
      </c>
    </row>
    <row r="3312" spans="1:14" x14ac:dyDescent="0.15">
      <c r="A3312" s="23" t="str">
        <f>HYPERLINK("https://www.spark-marketing.ru/Card/Person/4348446", "ООО ""ТАИФ-НК АЗС""")</f>
        <v>ООО "ТАИФ-НК АЗС"</v>
      </c>
      <c r="B3312" s="24" t="s">
        <v>301</v>
      </c>
      <c r="C3312" s="25">
        <v>717600</v>
      </c>
      <c r="D3312" s="22" t="s">
        <v>4845</v>
      </c>
      <c r="E3312" s="22" t="s">
        <v>53</v>
      </c>
      <c r="F3312" s="23" t="str">
        <f>HYPERLINK("https://www.spark-marketing.ru/Card/Lot/72637714", "Услуги пультовой охраны с подключением на ПНЦ системы ОС на 2020 г. АЗС №701-726, Мамадышский район, Елабужский район, Кукморский район, Сабинский район,Тюлячинский район, Пестречинский район,Лаишевский район, Рыбно-Слободский район, Кировская обл.Вя...")</f>
        <v>Услуги пультовой охраны с подключением на ПНЦ системы ОС на 2020 г. АЗС №701-726, Мамадышский район, Елабужский район, Кукморский район, Сабинский район,Тюлячинский район, Пестречинский район,Лаишевский район, Рыбно-Слободский район, Кировская обл.Вя...</v>
      </c>
      <c r="G3312" s="22" t="s">
        <v>204</v>
      </c>
      <c r="H3312" s="22" t="s">
        <v>303</v>
      </c>
      <c r="I3312" s="26">
        <v>43683.644398148099</v>
      </c>
      <c r="J3312" s="28" t="s">
        <v>52</v>
      </c>
      <c r="K3312" s="28" t="s">
        <v>52</v>
      </c>
      <c r="L3312" s="28" t="s">
        <v>52</v>
      </c>
      <c r="M3312" s="28" t="s">
        <v>52</v>
      </c>
      <c r="N3312" s="28" t="s">
        <v>52</v>
      </c>
    </row>
    <row r="3313" spans="1:14" x14ac:dyDescent="0.15">
      <c r="A3313" s="23" t="str">
        <f>HYPERLINK("https://www.spark-marketing.ru/Card/Person/540780", "ОМВД РОССИИ ПО РЯЗАНСКОМУ РАЙОНУ")</f>
        <v>ОМВД РОССИИ ПО РЯЗАНСКОМУ РАЙОНУ</v>
      </c>
      <c r="B3313" s="24" t="s">
        <v>4846</v>
      </c>
      <c r="C3313" s="25">
        <v>12000</v>
      </c>
      <c r="D3313" s="22" t="s">
        <v>4847</v>
      </c>
      <c r="E3313" s="22" t="s">
        <v>107</v>
      </c>
      <c r="F3313" s="23" t="str">
        <f>HYPERLINK("https://www.spark-marketing.ru/Card/Lot/72628124", "Техническое обслуживание инженерно-технических средств охраны, 12 шт")</f>
        <v>Техническое обслуживание инженерно-технических средств охраны, 12 шт</v>
      </c>
      <c r="G3313" s="22" t="s">
        <v>186</v>
      </c>
      <c r="H3313" s="22" t="s">
        <v>187</v>
      </c>
      <c r="I3313" s="26">
        <v>43683.661574074104</v>
      </c>
      <c r="J3313" s="28" t="s">
        <v>52</v>
      </c>
      <c r="K3313" s="28" t="s">
        <v>52</v>
      </c>
      <c r="L3313" s="28" t="s">
        <v>52</v>
      </c>
      <c r="M3313" s="28" t="s">
        <v>52</v>
      </c>
      <c r="N3313" s="28" t="s">
        <v>52</v>
      </c>
    </row>
    <row r="3314" spans="1:14" x14ac:dyDescent="0.15">
      <c r="A3314" s="23" t="str">
        <f>HYPERLINK("https://www.spark-marketing.ru/Card/Person/540780", "ОМВД РОССИИ ПО РЯЗАНСКОМУ РАЙОНУ")</f>
        <v>ОМВД РОССИИ ПО РЯЗАНСКОМУ РАЙОНУ</v>
      </c>
      <c r="B3314" s="24" t="s">
        <v>4846</v>
      </c>
      <c r="C3314" s="25">
        <v>12000</v>
      </c>
      <c r="D3314" s="22" t="s">
        <v>4848</v>
      </c>
      <c r="E3314" s="22" t="s">
        <v>107</v>
      </c>
      <c r="F3314" s="23" t="str">
        <f>HYPERLINK("https://www.spark-marketing.ru/Card/Lot/72628054", "Техническое обслуживание инженерно-технических средств охраны, 12 шт")</f>
        <v>Техническое обслуживание инженерно-технических средств охраны, 12 шт</v>
      </c>
      <c r="G3314" s="22" t="s">
        <v>186</v>
      </c>
      <c r="H3314" s="22" t="s">
        <v>187</v>
      </c>
      <c r="I3314" s="26">
        <v>43683.663888888899</v>
      </c>
      <c r="J3314" s="28" t="s">
        <v>52</v>
      </c>
      <c r="K3314" s="28" t="s">
        <v>52</v>
      </c>
      <c r="L3314" s="28" t="s">
        <v>52</v>
      </c>
      <c r="M3314" s="28" t="s">
        <v>52</v>
      </c>
      <c r="N3314" s="28" t="s">
        <v>52</v>
      </c>
    </row>
    <row r="3315" spans="1:14" x14ac:dyDescent="0.15">
      <c r="A3315" s="23" t="str">
        <f>HYPERLINK("https://www.spark-marketing.ru/Card/Person/4348446", "ООО ""ТАИФ-НК АЗС""")</f>
        <v>ООО "ТАИФ-НК АЗС"</v>
      </c>
      <c r="B3315" s="24" t="s">
        <v>301</v>
      </c>
      <c r="C3315" s="25">
        <v>162240</v>
      </c>
      <c r="D3315" s="22" t="s">
        <v>4845</v>
      </c>
      <c r="E3315" s="22" t="s">
        <v>53</v>
      </c>
      <c r="F3315" s="23" t="str">
        <f>HYPERLINK("https://www.spark-marketing.ru/Card/Lot/72637715", "Техническое обслуживание технических средств охраны на 2020 г.АЗС №701-726, Мамадышский район, Елабужский район, Кукморский район, Сабинский район,Тюлячинский район, Пестречинский район,Лаишевский район, Рыбно-Слободский район, Кировская обл.Вятские ...")</f>
        <v>Техническое обслуживание технических средств охраны на 2020 г.АЗС №701-726, Мамадышский район, Елабужский район, Кукморский район, Сабинский район,Тюлячинский район, Пестречинский район,Лаишевский район, Рыбно-Слободский район, Кировская обл.Вятские ...</v>
      </c>
      <c r="G3315" s="22" t="s">
        <v>204</v>
      </c>
      <c r="H3315" s="22" t="s">
        <v>303</v>
      </c>
      <c r="I3315" s="26">
        <v>43683.644398148099</v>
      </c>
      <c r="J3315" s="28" t="s">
        <v>52</v>
      </c>
      <c r="K3315" s="28" t="s">
        <v>52</v>
      </c>
      <c r="L3315" s="28" t="s">
        <v>52</v>
      </c>
      <c r="M3315" s="28" t="s">
        <v>52</v>
      </c>
      <c r="N3315" s="28" t="s">
        <v>52</v>
      </c>
    </row>
    <row r="3316" spans="1:14" x14ac:dyDescent="0.15">
      <c r="A3316" s="23" t="str">
        <f>HYPERLINK("https://www.spark-marketing.ru/Card/Person/3504", "ФКУ УПРДОР ""КАСПИЙ""")</f>
        <v>ФКУ УПРДОР "КАСПИЙ"</v>
      </c>
      <c r="B3316" s="24" t="s">
        <v>1277</v>
      </c>
      <c r="C3316" s="25">
        <v>95312.58</v>
      </c>
      <c r="D3316" s="22" t="s">
        <v>4849</v>
      </c>
      <c r="E3316" s="22" t="s">
        <v>53</v>
      </c>
      <c r="F3316" s="23" t="str">
        <f>HYPERLINK("https://www.spark-marketing.ru/Card/Lot/72624015", "Оказание охранных услуг")</f>
        <v>Оказание охранных услуг</v>
      </c>
      <c r="G3316" s="22" t="s">
        <v>565</v>
      </c>
      <c r="H3316" s="22" t="s">
        <v>566</v>
      </c>
      <c r="I3316" s="26">
        <v>43683.585729166698</v>
      </c>
      <c r="J3316" s="28" t="s">
        <v>52</v>
      </c>
      <c r="K3316" s="28" t="s">
        <v>52</v>
      </c>
      <c r="L3316" s="28" t="s">
        <v>52</v>
      </c>
      <c r="M3316" s="28" t="s">
        <v>52</v>
      </c>
      <c r="N3316" s="28" t="s">
        <v>52</v>
      </c>
    </row>
    <row r="3317" spans="1:14" x14ac:dyDescent="0.15">
      <c r="A3317" s="23" t="str">
        <f>HYPERLINK("https://www.spark-marketing.ru/Card/Person/4376", "ГБУЗ ""ГКБ ИМ. М.П. КОНЧАЛОВСКОГО ДЗМ""")</f>
        <v>ГБУЗ "ГКБ ИМ. М.П. КОНЧАЛОВСКОГО ДЗМ"</v>
      </c>
      <c r="B3317" s="24" t="s">
        <v>3367</v>
      </c>
      <c r="C3317" s="25">
        <v>2512407.58</v>
      </c>
      <c r="D3317" s="22" t="s">
        <v>4850</v>
      </c>
      <c r="E3317" s="22" t="s">
        <v>103</v>
      </c>
      <c r="F3317" s="23" t="str">
        <f>HYPERLINK("https://www.spark-marketing.ru/Card/Lot/72626310", "Аукцион в электронной форме на право заключения государственного контракта на выполнение работ по техническому обслуживанию системы видеонаблюдения в ГБУЗ ""ГКБ им. М.П. Кончаловского ДЗМ"" по адресу: Зеленоград, Каштановая аллея дом 2 и Александровк...")</f>
        <v>Аукцион в электронной форме на право заключения государственного контракта на выполнение работ по техническому обслуживанию системы видеонаблюдения в ГБУЗ "ГКБ им. М.П. Кончаловского ДЗМ" по адресу: Зеленоград, Каштановая аллея дом 2 и Александровк...</v>
      </c>
      <c r="G3317" s="22" t="s">
        <v>55</v>
      </c>
      <c r="H3317" s="22" t="s">
        <v>55</v>
      </c>
      <c r="I3317" s="26">
        <v>43683.592465277798</v>
      </c>
      <c r="J3317" s="28" t="s">
        <v>52</v>
      </c>
      <c r="K3317" s="28" t="s">
        <v>52</v>
      </c>
      <c r="L3317" s="28" t="s">
        <v>52</v>
      </c>
      <c r="M3317" s="28" t="s">
        <v>52</v>
      </c>
      <c r="N3317" s="28" t="s">
        <v>52</v>
      </c>
    </row>
    <row r="3318" spans="1:14" ht="12.75" hidden="1" outlineLevel="1" x14ac:dyDescent="0.2">
      <c r="A3318" s="23" t="str">
        <f>HYPERLINK("https://www.spark-marketing.ru/Card/Person/4376", "ГБУЗ ""ГКБ ИМ. М.П. КОНЧАЛОВСКОГО ДЗМ""")</f>
        <v>ГБУЗ "ГКБ ИМ. М.П. КОНЧАЛОВСКОГО ДЗМ"</v>
      </c>
      <c r="B3318" s="24" t="s">
        <v>3367</v>
      </c>
      <c r="C3318" s="25">
        <v>2512407.58</v>
      </c>
      <c r="D3318" s="22" t="s">
        <v>4850</v>
      </c>
      <c r="E3318" s="22" t="s">
        <v>103</v>
      </c>
      <c r="F3318" s="23" t="str">
        <f>HYPERLINK("https://www.spark-marketing.ru/Card/Lot/72626310", "Аукцион в электронной форме на право заключения государственного контракта на выполнение работ по техническому обслуживанию системы видеонаблюдения в ГБУЗ ""ГКБ им. М.П. Кончаловского ДЗМ"" по адресу: Зеленоград, Каштановая аллея дом 2 и Александровк...")</f>
        <v>Аукцион в электронной форме на право заключения государственного контракта на выполнение работ по техническому обслуживанию системы видеонаблюдения в ГБУЗ "ГКБ им. М.П. Кончаловского ДЗМ" по адресу: Зеленоград, Каштановая аллея дом 2 и Александровк...</v>
      </c>
      <c r="G3318" s="22" t="s">
        <v>55</v>
      </c>
      <c r="H3318" s="22" t="s">
        <v>55</v>
      </c>
      <c r="I3318" s="26">
        <v>43683.592465277798</v>
      </c>
      <c r="J3318" s="23" t="str">
        <f>HYPERLINK("https://www.spark-marketing.ru/Card/Person/6624400", "Жуков Кирилл Игоревич")</f>
        <v>Жуков Кирилл Игоревич</v>
      </c>
      <c r="K3318" s="24" t="s">
        <v>4851</v>
      </c>
      <c r="L3318" s="22" t="s">
        <v>10</v>
      </c>
      <c r="M3318" s="25">
        <v>2336539.02</v>
      </c>
      <c r="N3318" s="27">
        <v>7.0000011701922979E-2</v>
      </c>
    </row>
    <row r="3319" spans="1:14" hidden="1" outlineLevel="1" x14ac:dyDescent="0.2">
      <c r="A3319" s="23" t="str">
        <f>HYPERLINK("https://www.spark-marketing.ru/Card/Person/4376", "ГБУЗ ""ГКБ ИМ. М.П. КОНЧАЛОВСКОГО ДЗМ""")</f>
        <v>ГБУЗ "ГКБ ИМ. М.П. КОНЧАЛОВСКОГО ДЗМ"</v>
      </c>
      <c r="B3319" s="24" t="s">
        <v>3367</v>
      </c>
      <c r="C3319" s="25">
        <v>2512407.58</v>
      </c>
      <c r="D3319" s="22" t="s">
        <v>4850</v>
      </c>
      <c r="E3319" s="22" t="s">
        <v>103</v>
      </c>
      <c r="F3319" s="23" t="str">
        <f>HYPERLINK("https://www.spark-marketing.ru/Card/Lot/72626310", "Аукцион в электронной форме на право заключения государственного контракта на выполнение работ по техническому обслуживанию системы видеонаблюдения в ГБУЗ ""ГКБ им. М.П. Кончаловского ДЗМ"" по адресу: Зеленоград, Каштановая аллея дом 2 и Александровк...")</f>
        <v>Аукцион в электронной форме на право заключения государственного контракта на выполнение работ по техническому обслуживанию системы видеонаблюдения в ГБУЗ "ГКБ им. М.П. Кончаловского ДЗМ" по адресу: Зеленоград, Каштановая аллея дом 2 и Александровк...</v>
      </c>
      <c r="G3319" s="22" t="s">
        <v>55</v>
      </c>
      <c r="H3319" s="22" t="s">
        <v>55</v>
      </c>
      <c r="I3319" s="26">
        <v>43683.592465277798</v>
      </c>
      <c r="J3319" s="23" t="str">
        <f>HYPERLINK("https://www.spark-marketing.ru/Card/Person/6514604", "Суханов Юрий Константинович")</f>
        <v>Суханов Юрий Константинович</v>
      </c>
      <c r="K3319" s="24" t="s">
        <v>4852</v>
      </c>
      <c r="L3319" s="28" t="s">
        <v>52</v>
      </c>
      <c r="M3319" s="25">
        <v>2349101.06</v>
      </c>
      <c r="N3319" s="27">
        <v>6.5000010866071337E-2</v>
      </c>
    </row>
    <row r="3320" spans="1:14" hidden="1" outlineLevel="1" x14ac:dyDescent="0.2">
      <c r="A3320" s="23" t="str">
        <f>HYPERLINK("https://www.spark-marketing.ru/Card/Person/4376", "ГБУЗ ""ГКБ ИМ. М.П. КОНЧАЛОВСКОГО ДЗМ""")</f>
        <v>ГБУЗ "ГКБ ИМ. М.П. КОНЧАЛОВСКОГО ДЗМ"</v>
      </c>
      <c r="B3320" s="24" t="s">
        <v>3367</v>
      </c>
      <c r="C3320" s="25">
        <v>2512407.58</v>
      </c>
      <c r="D3320" s="22" t="s">
        <v>4850</v>
      </c>
      <c r="E3320" s="22" t="s">
        <v>103</v>
      </c>
      <c r="F3320" s="23" t="str">
        <f>HYPERLINK("https://www.spark-marketing.ru/Card/Lot/72626310", "Аукцион в электронной форме на право заключения государственного контракта на выполнение работ по техническому обслуживанию системы видеонаблюдения в ГБУЗ ""ГКБ им. М.П. Кончаловского ДЗМ"" по адресу: Зеленоград, Каштановая аллея дом 2 и Александровк...")</f>
        <v>Аукцион в электронной форме на право заключения государственного контракта на выполнение работ по техническому обслуживанию системы видеонаблюдения в ГБУЗ "ГКБ им. М.П. Кончаловского ДЗМ" по адресу: Зеленоград, Каштановая аллея дом 2 и Александровк...</v>
      </c>
      <c r="G3320" s="22" t="s">
        <v>55</v>
      </c>
      <c r="H3320" s="22" t="s">
        <v>55</v>
      </c>
      <c r="I3320" s="26">
        <v>43683.592465277798</v>
      </c>
      <c r="J3320" s="23" t="str">
        <f>HYPERLINK("https://www.spark-marketing.ru/Card/Person/1634459", "ООО ""МЕДИКАЛ СЕРВИС""")</f>
        <v>ООО "МЕДИКАЛ СЕРВИС"</v>
      </c>
      <c r="K3320" s="24" t="s">
        <v>4853</v>
      </c>
      <c r="L3320" s="28" t="s">
        <v>52</v>
      </c>
      <c r="M3320" s="25">
        <v>2273728.44</v>
      </c>
      <c r="N3320" s="27">
        <v>9.500016713052585E-2</v>
      </c>
    </row>
    <row r="3321" spans="1:14" ht="12.75" hidden="1" outlineLevel="1" x14ac:dyDescent="0.2">
      <c r="A3321" s="23" t="str">
        <f>HYPERLINK("https://www.spark-marketing.ru/Card/Person/4376", "ГБУЗ ""ГКБ ИМ. М.П. КОНЧАЛОВСКОГО ДЗМ""")</f>
        <v>ГБУЗ "ГКБ ИМ. М.П. КОНЧАЛОВСКОГО ДЗМ"</v>
      </c>
      <c r="B3321" s="24" t="s">
        <v>3367</v>
      </c>
      <c r="C3321" s="25">
        <v>2512407.58</v>
      </c>
      <c r="D3321" s="22" t="s">
        <v>4850</v>
      </c>
      <c r="E3321" s="22" t="s">
        <v>103</v>
      </c>
      <c r="F3321" s="23" t="str">
        <f>HYPERLINK("https://www.spark-marketing.ru/Card/Lot/72626310", "Аукцион в электронной форме на право заключения государственного контракта на выполнение работ по техническому обслуживанию системы видеонаблюдения в ГБУЗ ""ГКБ им. М.П. Кончаловского ДЗМ"" по адресу: Зеленоград, Каштановая аллея дом 2 и Александровк...")</f>
        <v>Аукцион в электронной форме на право заключения государственного контракта на выполнение работ по техническому обслуживанию системы видеонаблюдения в ГБУЗ "ГКБ им. М.П. Кончаловского ДЗМ" по адресу: Зеленоград, Каштановая аллея дом 2 и Александровк...</v>
      </c>
      <c r="G3321" s="22" t="s">
        <v>55</v>
      </c>
      <c r="H3321" s="22" t="s">
        <v>55</v>
      </c>
      <c r="I3321" s="26">
        <v>43683.592465277798</v>
      </c>
      <c r="J3321" s="23" t="str">
        <f>HYPERLINK("https://www.spark-marketing.ru/Card/Person/6624400", "Жуков Кирилл Игоревич")</f>
        <v>Жуков Кирилл Игоревич</v>
      </c>
      <c r="K3321" s="24" t="s">
        <v>4851</v>
      </c>
      <c r="L3321" s="22" t="s">
        <v>10</v>
      </c>
      <c r="M3321" s="25">
        <v>2261166.4</v>
      </c>
      <c r="N3321" s="27">
        <v>0.10000016796637749</v>
      </c>
    </row>
    <row r="3322" spans="1:14" x14ac:dyDescent="0.15">
      <c r="A3322" s="23" t="str">
        <f>HYPERLINK("https://www.spark-marketing.ru/Card/Person/132821", "ОГАУЗ ""СТРЕЖЕВСКАЯ ГБ""")</f>
        <v>ОГАУЗ "СТРЕЖЕВСКАЯ ГБ"</v>
      </c>
      <c r="B3322" s="24" t="s">
        <v>541</v>
      </c>
      <c r="C3322" s="25">
        <v>43000</v>
      </c>
      <c r="D3322" s="22" t="s">
        <v>4854</v>
      </c>
      <c r="E3322" s="22" t="s">
        <v>194</v>
      </c>
      <c r="F3322" s="23" t="str">
        <f>HYPERLINK("https://www.spark-marketing.ru/Card/Lot/72624748", "Поставка комплекта системы видеонаблюдения (с установкой) для нужд ОГАУЗ ""Стрежевская ГБ""")</f>
        <v>Поставка комплекта системы видеонаблюдения (с установкой) для нужд ОГАУЗ "Стрежевская ГБ"</v>
      </c>
      <c r="G3322" s="22" t="s">
        <v>150</v>
      </c>
      <c r="H3322" s="22" t="s">
        <v>4855</v>
      </c>
      <c r="I3322" s="26">
        <v>43683.586111111101</v>
      </c>
      <c r="J3322" s="28" t="s">
        <v>52</v>
      </c>
      <c r="K3322" s="28" t="s">
        <v>52</v>
      </c>
      <c r="L3322" s="28" t="s">
        <v>52</v>
      </c>
      <c r="M3322" s="28" t="s">
        <v>52</v>
      </c>
      <c r="N3322" s="28" t="s">
        <v>52</v>
      </c>
    </row>
    <row r="3323" spans="1:14" x14ac:dyDescent="0.15">
      <c r="A3323" s="23" t="str">
        <f>HYPERLINK("https://www.spark-marketing.ru/Card/Person/997722", "МО МВД РОССИИ ""КРАСНОБАКОВСКИЙ""")</f>
        <v>МО МВД РОССИИ "КРАСНОБАКОВСКИЙ"</v>
      </c>
      <c r="B3323" s="24" t="s">
        <v>4856</v>
      </c>
      <c r="C3323" s="25">
        <v>46054.25</v>
      </c>
      <c r="D3323" s="22" t="s">
        <v>4857</v>
      </c>
      <c r="E3323" s="22" t="s">
        <v>53</v>
      </c>
      <c r="F3323" s="23" t="str">
        <f>HYPERLINK("https://www.spark-marketing.ru/Card/Lot/72625584", "Оказание услуг по техническому обслуживанию комплекса технических средств охраны")</f>
        <v>Оказание услуг по техническому обслуживанию комплекса технических средств охраны</v>
      </c>
      <c r="G3323" s="22" t="s">
        <v>64</v>
      </c>
      <c r="H3323" s="22" t="s">
        <v>64</v>
      </c>
      <c r="I3323" s="26">
        <v>43683.590057870402</v>
      </c>
      <c r="J3323" s="28" t="s">
        <v>52</v>
      </c>
      <c r="K3323" s="28" t="s">
        <v>52</v>
      </c>
      <c r="L3323" s="28" t="s">
        <v>52</v>
      </c>
      <c r="M3323" s="28" t="s">
        <v>52</v>
      </c>
      <c r="N3323" s="28" t="s">
        <v>52</v>
      </c>
    </row>
    <row r="3324" spans="1:14" x14ac:dyDescent="0.15">
      <c r="A3324" s="23" t="str">
        <f>HYPERLINK("https://www.spark-marketing.ru/Card/Person/769", "ФКУ ""ЦОКР""")</f>
        <v>ФКУ "ЦОКР"</v>
      </c>
      <c r="B3324" s="24" t="s">
        <v>962</v>
      </c>
      <c r="C3324" s="25">
        <v>48224.160000000003</v>
      </c>
      <c r="D3324" s="22" t="s">
        <v>4858</v>
      </c>
      <c r="E3324" s="22" t="s">
        <v>68</v>
      </c>
      <c r="F3324" s="23" t="str">
        <f>HYPERLINK("https://www.spark-marketing.ru/Card/Lot/72619647", "Оказание услуг пультовой охраны административного здания территориального Отдела № 57 Управления Федерального казначейства по Алтайскому краю")</f>
        <v>Оказание услуг пультовой охраны административного здания территориального Отдела № 57 Управления Федерального казначейства по Алтайскому краю</v>
      </c>
      <c r="G3324" s="22" t="s">
        <v>428</v>
      </c>
      <c r="H3324" s="22" t="s">
        <v>428</v>
      </c>
      <c r="I3324" s="26">
        <v>43683.552476851903</v>
      </c>
      <c r="J3324" s="23" t="str">
        <f>HYPERLINK("https://www.spark-marketing.ru/Card/Person/168309", "ФГКУ ""УВО ВНГ РОССИИ ПО АЛТАЙСКОМУ КРАЮ""")</f>
        <v>ФГКУ "УВО ВНГ РОССИИ ПО АЛТАЙСКОМУ КРАЮ"</v>
      </c>
      <c r="K3324" s="24" t="s">
        <v>1393</v>
      </c>
      <c r="L3324" s="28" t="s">
        <v>52</v>
      </c>
      <c r="M3324" s="28" t="s">
        <v>52</v>
      </c>
      <c r="N3324" s="28" t="s">
        <v>52</v>
      </c>
    </row>
    <row r="3325" spans="1:14" hidden="1" outlineLevel="1" x14ac:dyDescent="0.2">
      <c r="A3325" s="23" t="str">
        <f>HYPERLINK("https://www.spark-marketing.ru/Card/Person/769", "ФКУ ""ЦОКР""")</f>
        <v>ФКУ "ЦОКР"</v>
      </c>
      <c r="B3325" s="24" t="s">
        <v>962</v>
      </c>
      <c r="C3325" s="25">
        <v>48224.160000000003</v>
      </c>
      <c r="D3325" s="22" t="s">
        <v>4858</v>
      </c>
      <c r="E3325" s="22" t="s">
        <v>68</v>
      </c>
      <c r="F3325" s="23" t="str">
        <f>HYPERLINK("https://www.spark-marketing.ru/Card/Lot/72619647", "Оказание услуг пультовой охраны административного здания территориального Отдела № 57 Управления Федерального казначейства по Алтайскому краю")</f>
        <v>Оказание услуг пультовой охраны административного здания территориального Отдела № 57 Управления Федерального казначейства по Алтайскому краю</v>
      </c>
      <c r="G3325" s="22" t="s">
        <v>428</v>
      </c>
      <c r="H3325" s="22" t="s">
        <v>428</v>
      </c>
      <c r="I3325" s="26">
        <v>43683.552476851903</v>
      </c>
      <c r="J3325" s="23" t="str">
        <f>HYPERLINK("https://www.spark-marketing.ru/Card/Person/168309", "ФГКУ ""УВО ВНГ РОССИИ ПО АЛТАЙСКОМУ КРАЮ""")</f>
        <v>ФГКУ "УВО ВНГ РОССИИ ПО АЛТАЙСКОМУ КРАЮ"</v>
      </c>
      <c r="K3325" s="24" t="s">
        <v>1393</v>
      </c>
      <c r="L3325" s="28" t="s">
        <v>52</v>
      </c>
      <c r="M3325" s="25">
        <v>47983.03</v>
      </c>
      <c r="N3325" s="27">
        <v>5.0001907757439429E-3</v>
      </c>
    </row>
    <row r="3326" spans="1:14" x14ac:dyDescent="0.15">
      <c r="A3326" s="23" t="str">
        <f>HYPERLINK("https://www.spark-marketing.ru/Card/Person/641589", "ОТДЕЛ МВД РОССИИ ПО АБЗЕЛИЛОВСКОМУ РАЙОНУ")</f>
        <v>ОТДЕЛ МВД РОССИИ ПО АБЗЕЛИЛОВСКОМУ РАЙОНУ</v>
      </c>
      <c r="B3326" s="24" t="s">
        <v>4859</v>
      </c>
      <c r="C3326" s="25">
        <v>40000</v>
      </c>
      <c r="D3326" s="22" t="s">
        <v>4860</v>
      </c>
      <c r="E3326" s="22" t="s">
        <v>107</v>
      </c>
      <c r="F3326" s="23" t="str">
        <f>HYPERLINK("https://www.spark-marketing.ru/Card/Lot/72623951", "Техническое обслуживание и ППР технических средств охраны, 1 шт")</f>
        <v>Техническое обслуживание и ППР технических средств охраны, 1 шт</v>
      </c>
      <c r="G3326" s="22" t="s">
        <v>100</v>
      </c>
      <c r="H3326" s="22" t="s">
        <v>4861</v>
      </c>
      <c r="I3326" s="26">
        <v>43683.5544212963</v>
      </c>
      <c r="J3326" s="28" t="s">
        <v>52</v>
      </c>
      <c r="K3326" s="28" t="s">
        <v>52</v>
      </c>
      <c r="L3326" s="28" t="s">
        <v>52</v>
      </c>
      <c r="M3326" s="28" t="s">
        <v>52</v>
      </c>
      <c r="N3326" s="28" t="s">
        <v>52</v>
      </c>
    </row>
    <row r="3327" spans="1:14" x14ac:dyDescent="0.15">
      <c r="A3327" s="23" t="str">
        <f>HYPERLINK("https://www.spark-marketing.ru/Card/Person/1752165", "АО ""ГРИНАТОМ""")</f>
        <v>АО "ГРИНАТОМ"</v>
      </c>
      <c r="B3327" s="24" t="s">
        <v>4471</v>
      </c>
      <c r="C3327" s="25">
        <v>1894888.8</v>
      </c>
      <c r="D3327" s="22" t="s">
        <v>4862</v>
      </c>
      <c r="E3327" s="22" t="s">
        <v>53</v>
      </c>
      <c r="F3327" s="23" t="str">
        <f>HYPERLINK("https://www.spark-marketing.ru/Card/Lot/72634252", "ЕИС №31908171597 Право заключения договора на оказание услуг по охране имущества и помещений в арендуемых помещениях здания, расположенного по адресу: Нижегородская область, Дивеевский район, пос. Сатис, ул. Парковая, д. 3 здание 5-1")</f>
        <v>ЕИС №31908171597 Право заключения договора на оказание услуг по охране имущества и помещений в арендуемых помещениях здания, расположенного по адресу: Нижегородская область, Дивеевский район, пос. Сатис, ул. Парковая, д. 3 здание 5-1</v>
      </c>
      <c r="G3327" s="22" t="s">
        <v>55</v>
      </c>
      <c r="H3327" s="22" t="s">
        <v>55</v>
      </c>
      <c r="I3327" s="26">
        <v>43683.497268518498</v>
      </c>
      <c r="J3327" s="28" t="s">
        <v>52</v>
      </c>
      <c r="K3327" s="28" t="s">
        <v>52</v>
      </c>
      <c r="L3327" s="28" t="s">
        <v>52</v>
      </c>
      <c r="M3327" s="28" t="s">
        <v>52</v>
      </c>
      <c r="N3327" s="28" t="s">
        <v>52</v>
      </c>
    </row>
    <row r="3328" spans="1:14" x14ac:dyDescent="0.15">
      <c r="A3328" s="23" t="str">
        <f>HYPERLINK("https://www.spark-marketing.ru/Card/Person/4348446", "ООО ""ТАИФ-НК АЗС""")</f>
        <v>ООО "ТАИФ-НК АЗС"</v>
      </c>
      <c r="B3328" s="24" t="s">
        <v>301</v>
      </c>
      <c r="C3328" s="25">
        <v>109200</v>
      </c>
      <c r="D3328" s="22" t="s">
        <v>4863</v>
      </c>
      <c r="E3328" s="22" t="s">
        <v>53</v>
      </c>
      <c r="F3328" s="23" t="str">
        <f>HYPERLINK("https://www.spark-marketing.ru/Card/Lot/72637195", "Пультовая охрана, оборудованная системой тревожной сигнализации (КТС) с подключением на ПЦН на объектах ТОП на 2020 год ( 7 объектов )")</f>
        <v>Пультовая охрана, оборудованная системой тревожной сигнализации (КТС) с подключением на ПЦН на объектах ТОП на 2020 год ( 7 объектов )</v>
      </c>
      <c r="G3328" s="22" t="s">
        <v>204</v>
      </c>
      <c r="H3328" s="22" t="s">
        <v>303</v>
      </c>
      <c r="I3328" s="26">
        <v>43683.480439814797</v>
      </c>
      <c r="J3328" s="28" t="s">
        <v>52</v>
      </c>
      <c r="K3328" s="28" t="s">
        <v>52</v>
      </c>
      <c r="L3328" s="28" t="s">
        <v>52</v>
      </c>
      <c r="M3328" s="28" t="s">
        <v>52</v>
      </c>
      <c r="N3328" s="28" t="s">
        <v>52</v>
      </c>
    </row>
    <row r="3329" spans="1:14" x14ac:dyDescent="0.15">
      <c r="A3329" s="23" t="str">
        <f>HYPERLINK("https://www.spark-marketing.ru/Card/Person/60407", "ГБДОУ ДЕТСКИЙ САД № 34 ПРИМОРСКОГО РАЙОНА САНКТ-ПЕТЕРБУРГА")</f>
        <v>ГБДОУ ДЕТСКИЙ САД № 34 ПРИМОРСКОГО РАЙОНА САНКТ-ПЕТЕРБУРГА</v>
      </c>
      <c r="B3329" s="24" t="s">
        <v>4864</v>
      </c>
      <c r="C3329" s="25">
        <v>268320</v>
      </c>
      <c r="D3329" s="22" t="s">
        <v>4865</v>
      </c>
      <c r="E3329" s="22" t="s">
        <v>52</v>
      </c>
      <c r="F3329" s="23" t="str">
        <f>HYPERLINK("https://www.spark-marketing.ru/Card/Lot/72622021", "Оказание услуг по обеспечению физической охраны объекта ГБДОУ детский сад № 34 Приморского района Санкт-Петербурга по адресу: 197375, Санкт-Петербург, ул. Афанасьевская, д. 6, к.2, литер А")</f>
        <v>Оказание услуг по обеспечению физической охраны объекта ГБДОУ детский сад № 34 Приморского района Санкт-Петербурга по адресу: 197375, Санкт-Петербург, ул. Афанасьевская, д. 6, к.2, литер А</v>
      </c>
      <c r="G3329" s="22" t="s">
        <v>89</v>
      </c>
      <c r="H3329" s="22" t="s">
        <v>89</v>
      </c>
      <c r="I3329" s="26">
        <v>43683.462997685201</v>
      </c>
      <c r="J3329" s="28" t="s">
        <v>52</v>
      </c>
      <c r="K3329" s="28" t="s">
        <v>52</v>
      </c>
      <c r="L3329" s="28" t="s">
        <v>52</v>
      </c>
      <c r="M3329" s="28" t="s">
        <v>52</v>
      </c>
      <c r="N3329" s="28" t="s">
        <v>52</v>
      </c>
    </row>
    <row r="3330" spans="1:14" ht="12.75" hidden="1" outlineLevel="1" x14ac:dyDescent="0.2">
      <c r="A3330" s="23" t="str">
        <f>HYPERLINK("https://www.spark-marketing.ru/Card/Person/60407", "ГБДОУ ДЕТСКИЙ САД № 34 ПРИМОРСКОГО РАЙОНА САНКТ-ПЕТЕРБУРГА")</f>
        <v>ГБДОУ ДЕТСКИЙ САД № 34 ПРИМОРСКОГО РАЙОНА САНКТ-ПЕТЕРБУРГА</v>
      </c>
      <c r="B3330" s="24" t="s">
        <v>4864</v>
      </c>
      <c r="C3330" s="25">
        <v>268320</v>
      </c>
      <c r="D3330" s="22" t="s">
        <v>4865</v>
      </c>
      <c r="E3330" s="22" t="s">
        <v>52</v>
      </c>
      <c r="F3330" s="23" t="str">
        <f>HYPERLINK("https://www.spark-marketing.ru/Card/Lot/72622021", "Оказание услуг по обеспечению физической охраны объекта ГБДОУ детский сад № 34 Приморского района Санкт-Петербурга по адресу: 197375, Санкт-Петербург, ул. Афанасьевская, д. 6, к.2, литер А")</f>
        <v>Оказание услуг по обеспечению физической охраны объекта ГБДОУ детский сад № 34 Приморского района Санкт-Петербурга по адресу: 197375, Санкт-Петербург, ул. Афанасьевская, д. 6, к.2, литер А</v>
      </c>
      <c r="G3330" s="22" t="s">
        <v>89</v>
      </c>
      <c r="H3330" s="22" t="s">
        <v>89</v>
      </c>
      <c r="I3330" s="26">
        <v>43683.462997685201</v>
      </c>
      <c r="J3330" s="23" t="str">
        <f>HYPERLINK("https://www.spark-marketing.ru/Card/Person/1957699", "ООО ""ОП ""ТРАНС-СЕКЬЮРИТИ""""")</f>
        <v>ООО "ОП "ТРАНС-СЕКЬЮРИТИ""</v>
      </c>
      <c r="K3330" s="24" t="s">
        <v>4138</v>
      </c>
      <c r="L3330" s="22" t="s">
        <v>10</v>
      </c>
      <c r="M3330" s="25">
        <v>203955.88</v>
      </c>
      <c r="N3330" s="27">
        <v>0.23987820512820512</v>
      </c>
    </row>
    <row r="3331" spans="1:14" hidden="1" outlineLevel="1" x14ac:dyDescent="0.2">
      <c r="A3331" s="23" t="str">
        <f>HYPERLINK("https://www.spark-marketing.ru/Card/Person/60407", "ГБДОУ ДЕТСКИЙ САД № 34 ПРИМОРСКОГО РАЙОНА САНКТ-ПЕТЕРБУРГА")</f>
        <v>ГБДОУ ДЕТСКИЙ САД № 34 ПРИМОРСКОГО РАЙОНА САНКТ-ПЕТЕРБУРГА</v>
      </c>
      <c r="B3331" s="24" t="s">
        <v>4864</v>
      </c>
      <c r="C3331" s="25">
        <v>268320</v>
      </c>
      <c r="D3331" s="22" t="s">
        <v>4865</v>
      </c>
      <c r="E3331" s="22" t="s">
        <v>52</v>
      </c>
      <c r="F3331" s="23" t="str">
        <f>HYPERLINK("https://www.spark-marketing.ru/Card/Lot/72622021", "Оказание услуг по обеспечению физической охраны объекта ГБДОУ детский сад № 34 Приморского района Санкт-Петербурга по адресу: 197375, Санкт-Петербург, ул. Афанасьевская, д. 6, к.2, литер А")</f>
        <v>Оказание услуг по обеспечению физической охраны объекта ГБДОУ детский сад № 34 Приморского района Санкт-Петербурга по адресу: 197375, Санкт-Петербург, ул. Афанасьевская, д. 6, к.2, литер А</v>
      </c>
      <c r="G3331" s="22" t="s">
        <v>89</v>
      </c>
      <c r="H3331" s="22" t="s">
        <v>89</v>
      </c>
      <c r="I3331" s="26">
        <v>43683.462997685201</v>
      </c>
      <c r="J3331" s="23" t="str">
        <f>HYPERLINK("https://www.spark-marketing.ru/Card/Person/135806", "ООО ""ОП ""РАДОН""")</f>
        <v>ООО "ОП "РАДОН"</v>
      </c>
      <c r="K3331" s="24" t="s">
        <v>4139</v>
      </c>
      <c r="L3331" s="28" t="s">
        <v>52</v>
      </c>
      <c r="M3331" s="25">
        <v>237000</v>
      </c>
      <c r="N3331" s="27">
        <v>0.1167262969588551</v>
      </c>
    </row>
    <row r="3332" spans="1:14" hidden="1" outlineLevel="1" x14ac:dyDescent="0.2">
      <c r="A3332" s="23" t="str">
        <f>HYPERLINK("https://www.spark-marketing.ru/Card/Person/60407", "ГБДОУ ДЕТСКИЙ САД № 34 ПРИМОРСКОГО РАЙОНА САНКТ-ПЕТЕРБУРГА")</f>
        <v>ГБДОУ ДЕТСКИЙ САД № 34 ПРИМОРСКОГО РАЙОНА САНКТ-ПЕТЕРБУРГА</v>
      </c>
      <c r="B3332" s="24" t="s">
        <v>4864</v>
      </c>
      <c r="C3332" s="25">
        <v>268320</v>
      </c>
      <c r="D3332" s="22" t="s">
        <v>4865</v>
      </c>
      <c r="E3332" s="22" t="s">
        <v>52</v>
      </c>
      <c r="F3332" s="23" t="str">
        <f>HYPERLINK("https://www.spark-marketing.ru/Card/Lot/72622021", "Оказание услуг по обеспечению физической охраны объекта ГБДОУ детский сад № 34 Приморского района Санкт-Петербурга по адресу: 197375, Санкт-Петербург, ул. Афанасьевская, д. 6, к.2, литер А")</f>
        <v>Оказание услуг по обеспечению физической охраны объекта ГБДОУ детский сад № 34 Приморского района Санкт-Петербурга по адресу: 197375, Санкт-Петербург, ул. Афанасьевская, д. 6, к.2, литер А</v>
      </c>
      <c r="G3332" s="22" t="s">
        <v>89</v>
      </c>
      <c r="H3332" s="22" t="s">
        <v>89</v>
      </c>
      <c r="I3332" s="26">
        <v>43683.462997685201</v>
      </c>
      <c r="J3332" s="23" t="str">
        <f>HYPERLINK("https://www.spark-marketing.ru/Card/Person/2562571", "ООО ОП""БОРС-БАЛТИКА""")</f>
        <v>ООО ОП"БОРС-БАЛТИКА"</v>
      </c>
      <c r="K3332" s="24" t="s">
        <v>4583</v>
      </c>
      <c r="L3332" s="28" t="s">
        <v>52</v>
      </c>
      <c r="M3332" s="25">
        <v>220022.39999999999</v>
      </c>
      <c r="N3332" s="27">
        <v>0.18</v>
      </c>
    </row>
    <row r="3333" spans="1:14" hidden="1" outlineLevel="1" x14ac:dyDescent="0.2">
      <c r="A3333" s="23" t="str">
        <f>HYPERLINK("https://www.spark-marketing.ru/Card/Person/60407", "ГБДОУ ДЕТСКИЙ САД № 34 ПРИМОРСКОГО РАЙОНА САНКТ-ПЕТЕРБУРГА")</f>
        <v>ГБДОУ ДЕТСКИЙ САД № 34 ПРИМОРСКОГО РАЙОНА САНКТ-ПЕТЕРБУРГА</v>
      </c>
      <c r="B3333" s="24" t="s">
        <v>4864</v>
      </c>
      <c r="C3333" s="25">
        <v>268320</v>
      </c>
      <c r="D3333" s="22" t="s">
        <v>4865</v>
      </c>
      <c r="E3333" s="22" t="s">
        <v>52</v>
      </c>
      <c r="F3333" s="23" t="str">
        <f>HYPERLINK("https://www.spark-marketing.ru/Card/Lot/72622021", "Оказание услуг по обеспечению физической охраны объекта ГБДОУ детский сад № 34 Приморского района Санкт-Петербурга по адресу: 197375, Санкт-Петербург, ул. Афанасьевская, д. 6, к.2, литер А")</f>
        <v>Оказание услуг по обеспечению физической охраны объекта ГБДОУ детский сад № 34 Приморского района Санкт-Петербурга по адресу: 197375, Санкт-Петербург, ул. Афанасьевская, д. 6, к.2, литер А</v>
      </c>
      <c r="G3333" s="22" t="s">
        <v>89</v>
      </c>
      <c r="H3333" s="22" t="s">
        <v>89</v>
      </c>
      <c r="I3333" s="26">
        <v>43683.462997685201</v>
      </c>
      <c r="J3333" s="23" t="str">
        <f>HYPERLINK("https://www.spark-marketing.ru/Card/Person/123130", "ООО ""ЧОП ""СЗАОПО-С""")</f>
        <v>ООО "ЧОП "СЗАОПО-С"</v>
      </c>
      <c r="K3333" s="24" t="s">
        <v>4290</v>
      </c>
      <c r="L3333" s="28" t="s">
        <v>52</v>
      </c>
      <c r="M3333" s="25">
        <v>207948</v>
      </c>
      <c r="N3333" s="27">
        <v>0.22500000000000001</v>
      </c>
    </row>
    <row r="3334" spans="1:14" x14ac:dyDescent="0.15">
      <c r="A3334" s="23" t="str">
        <f>HYPERLINK("https://www.spark-marketing.ru/Card/Person/4352867", "МЕЖРАЙОННАЯ ИФНС РОССИИ № 5 ПО РЕСПУБЛИКЕ КРЫМ")</f>
        <v>МЕЖРАЙОННАЯ ИФНС РОССИИ № 5 ПО РЕСПУБЛИКЕ КРЫМ</v>
      </c>
      <c r="B3334" s="24" t="s">
        <v>4866</v>
      </c>
      <c r="C3334" s="25">
        <v>175503</v>
      </c>
      <c r="D3334" s="22" t="s">
        <v>4867</v>
      </c>
      <c r="E3334" s="22" t="s">
        <v>53</v>
      </c>
      <c r="F3334" s="23" t="str">
        <f>HYPERLINK("https://www.spark-marketing.ru/Card/Lot/72619993", "Поставка, монтаж, обслуживание систем видеонаблюдения, 1 усл. ед")</f>
        <v>Поставка, монтаж, обслуживание систем видеонаблюдения, 1 усл. ед</v>
      </c>
      <c r="G3334" s="22" t="s">
        <v>1053</v>
      </c>
      <c r="H3334" s="22" t="s">
        <v>1053</v>
      </c>
      <c r="I3334" s="26">
        <v>43683.465636574103</v>
      </c>
      <c r="J3334" s="28" t="s">
        <v>52</v>
      </c>
      <c r="K3334" s="28" t="s">
        <v>52</v>
      </c>
      <c r="L3334" s="28" t="s">
        <v>52</v>
      </c>
      <c r="M3334" s="28" t="s">
        <v>52</v>
      </c>
      <c r="N3334" s="28" t="s">
        <v>52</v>
      </c>
    </row>
    <row r="3335" spans="1:14" x14ac:dyDescent="0.15">
      <c r="A3335" s="23" t="str">
        <f>HYPERLINK("https://www.spark-marketing.ru/Card/Person/4348446", "ООО ""ТАИФ-НК АЗС""")</f>
        <v>ООО "ТАИФ-НК АЗС"</v>
      </c>
      <c r="B3335" s="24" t="s">
        <v>301</v>
      </c>
      <c r="C3335" s="25">
        <v>16800</v>
      </c>
      <c r="D3335" s="22" t="s">
        <v>4863</v>
      </c>
      <c r="E3335" s="22" t="s">
        <v>53</v>
      </c>
      <c r="F3335" s="23" t="str">
        <f>HYPERLINK("https://www.spark-marketing.ru/Card/Lot/72637196", "Техническое обслуживание (ТО) технических средств охраны (ТСО) на объектах ТОП на 2020 год ( 7 объектов )")</f>
        <v>Техническое обслуживание (ТО) технических средств охраны (ТСО) на объектах ТОП на 2020 год ( 7 объектов )</v>
      </c>
      <c r="G3335" s="22" t="s">
        <v>204</v>
      </c>
      <c r="H3335" s="22" t="s">
        <v>303</v>
      </c>
      <c r="I3335" s="26">
        <v>43683.480439814797</v>
      </c>
      <c r="J3335" s="28" t="s">
        <v>52</v>
      </c>
      <c r="K3335" s="28" t="s">
        <v>52</v>
      </c>
      <c r="L3335" s="28" t="s">
        <v>52</v>
      </c>
      <c r="M3335" s="28" t="s">
        <v>52</v>
      </c>
      <c r="N3335" s="28" t="s">
        <v>52</v>
      </c>
    </row>
    <row r="3336" spans="1:14" x14ac:dyDescent="0.15">
      <c r="A3336" s="23" t="str">
        <f>HYPERLINK("https://www.spark-marketing.ru/Card/Person/54249", "АО ""СВЕРДНИИХИММАШ""")</f>
        <v>АО "СВЕРДНИИХИММАШ"</v>
      </c>
      <c r="B3336" s="24" t="s">
        <v>4868</v>
      </c>
      <c r="C3336" s="28" t="s">
        <v>52</v>
      </c>
      <c r="D3336" s="22" t="s">
        <v>4869</v>
      </c>
      <c r="E3336" s="22" t="s">
        <v>4870</v>
      </c>
      <c r="F3336" s="23" t="str">
        <f>HYPERLINK("https://www.spark-marketing.ru/Card/Lot/72620925", "Видеосюжеты о строительстве и работе «Установка выпаривания солесодержащих стоков» для проекта «ЗапСибНефтехим» (Тобольск, Тюменская область)»")</f>
        <v>Видеосюжеты о строительстве и работе «Установка выпаривания солесодержащих стоков» для проекта «ЗапСибНефтехим» (Тобольск, Тюменская область)»</v>
      </c>
      <c r="G3336" s="22" t="s">
        <v>72</v>
      </c>
      <c r="H3336" s="22" t="s">
        <v>949</v>
      </c>
      <c r="I3336" s="26">
        <v>43683.474398148202</v>
      </c>
      <c r="J3336" s="28" t="s">
        <v>52</v>
      </c>
      <c r="K3336" s="28" t="s">
        <v>52</v>
      </c>
      <c r="L3336" s="28" t="s">
        <v>52</v>
      </c>
      <c r="M3336" s="28" t="s">
        <v>52</v>
      </c>
      <c r="N3336" s="28" t="s">
        <v>52</v>
      </c>
    </row>
    <row r="3337" spans="1:14" x14ac:dyDescent="0.15">
      <c r="A3337" s="23" t="str">
        <f>HYPERLINK("https://www.spark-marketing.ru/Card/Person/30200", "УФНС РОССИИ ПО ВОРОНЕЖСКОЙ ОБЛАСТИ")</f>
        <v>УФНС РОССИИ ПО ВОРОНЕЖСКОЙ ОБЛАСТИ</v>
      </c>
      <c r="B3337" s="24" t="s">
        <v>4385</v>
      </c>
      <c r="C3337" s="25">
        <v>53256.959999999999</v>
      </c>
      <c r="D3337" s="22" t="s">
        <v>4871</v>
      </c>
      <c r="E3337" s="22" t="s">
        <v>53</v>
      </c>
      <c r="F3337" s="23" t="str">
        <f>HYPERLINK("https://www.spark-marketing.ru/Card/Lot/72617266", "Охрана объекта техническими средствами охраны, 1 ч")</f>
        <v>Охрана объекта техническими средствами охраны, 1 ч</v>
      </c>
      <c r="G3337" s="22" t="s">
        <v>552</v>
      </c>
      <c r="H3337" s="22" t="s">
        <v>886</v>
      </c>
      <c r="I3337" s="26">
        <v>43683.421678240702</v>
      </c>
      <c r="J3337" s="28" t="s">
        <v>52</v>
      </c>
      <c r="K3337" s="28" t="s">
        <v>52</v>
      </c>
      <c r="L3337" s="28" t="s">
        <v>52</v>
      </c>
      <c r="M3337" s="28" t="s">
        <v>52</v>
      </c>
      <c r="N3337" s="28" t="s">
        <v>52</v>
      </c>
    </row>
    <row r="3338" spans="1:14" x14ac:dyDescent="0.15">
      <c r="A3338" s="23" t="str">
        <f>HYPERLINK("https://www.spark-marketing.ru/Card/Person/15790", "ГОСТРУДИНСПЕКЦИЯ В НОВОСИБИРСКОЙ ОБЛАСТИ")</f>
        <v>ГОСТРУДИНСПЕКЦИЯ В НОВОСИБИРСКОЙ ОБЛАСТИ</v>
      </c>
      <c r="B3338" s="24" t="s">
        <v>4872</v>
      </c>
      <c r="C3338" s="25">
        <v>42292.800000000003</v>
      </c>
      <c r="D3338" s="22" t="s">
        <v>4873</v>
      </c>
      <c r="E3338" s="22" t="s">
        <v>53</v>
      </c>
      <c r="F3338" s="23" t="str">
        <f>HYPERLINK("https://www.spark-marketing.ru/Card/Lot/72617499", "Услуги пультовой охраны объекта")</f>
        <v>Услуги пультовой охраны объекта</v>
      </c>
      <c r="G3338" s="22" t="s">
        <v>209</v>
      </c>
      <c r="H3338" s="22" t="s">
        <v>210</v>
      </c>
      <c r="I3338" s="26">
        <v>43683.452013888898</v>
      </c>
      <c r="J3338" s="28" t="s">
        <v>52</v>
      </c>
      <c r="K3338" s="28" t="s">
        <v>52</v>
      </c>
      <c r="L3338" s="28" t="s">
        <v>52</v>
      </c>
      <c r="M3338" s="28" t="s">
        <v>52</v>
      </c>
      <c r="N3338" s="28" t="s">
        <v>52</v>
      </c>
    </row>
    <row r="3339" spans="1:14" x14ac:dyDescent="0.15">
      <c r="A3339" s="23" t="str">
        <f>HYPERLINK("https://www.spark-marketing.ru/Card/Person/4344165", "ПРАВИТЕЛЬСТВО КРАЯ")</f>
        <v>ПРАВИТЕЛЬСТВО КРАЯ</v>
      </c>
      <c r="B3339" s="24" t="s">
        <v>271</v>
      </c>
      <c r="C3339" s="25">
        <v>3821</v>
      </c>
      <c r="D3339" s="22" t="s">
        <v>4874</v>
      </c>
      <c r="E3339" s="22" t="s">
        <v>53</v>
      </c>
      <c r="F3339" s="23" t="str">
        <f>HYPERLINK("https://www.spark-marketing.ru/Card/Lot/72617507", "Услуги пультовой охраны, мониторинг систем охранной сигнализации, 546 шт")</f>
        <v>Услуги пультовой охраны, мониторинг систем охранной сигнализации, 546 шт</v>
      </c>
      <c r="G3339" s="22" t="s">
        <v>138</v>
      </c>
      <c r="H3339" s="22" t="s">
        <v>255</v>
      </c>
      <c r="I3339" s="26">
        <v>43683.454733796301</v>
      </c>
      <c r="J3339" s="28" t="s">
        <v>52</v>
      </c>
      <c r="K3339" s="28" t="s">
        <v>52</v>
      </c>
      <c r="L3339" s="28" t="s">
        <v>52</v>
      </c>
      <c r="M3339" s="28" t="s">
        <v>52</v>
      </c>
      <c r="N3339" s="28" t="s">
        <v>52</v>
      </c>
    </row>
    <row r="3340" spans="1:14" x14ac:dyDescent="0.15">
      <c r="A3340" s="23" t="str">
        <f>HYPERLINK("https://www.spark-marketing.ru/Card/Person/1745157", "АО ""ОКТБ ИС""")</f>
        <v>АО "ОКТБ ИС"</v>
      </c>
      <c r="B3340" s="24" t="s">
        <v>4875</v>
      </c>
      <c r="C3340" s="25">
        <v>2923200</v>
      </c>
      <c r="D3340" s="22" t="s">
        <v>4876</v>
      </c>
      <c r="E3340" s="22" t="s">
        <v>68</v>
      </c>
      <c r="F3340" s="23" t="str">
        <f>HYPERLINK("https://www.spark-marketing.ru/Card/Lot/72623036", "Оказание услуг по охране объектов и организации контрольно-пропускного режима на территории АО ""ОКТБ ИС""")</f>
        <v>Оказание услуг по охране объектов и организации контрольно-пропускного режима на территории АО "ОКТБ ИС"</v>
      </c>
      <c r="G3340" s="22" t="s">
        <v>50</v>
      </c>
      <c r="H3340" s="22" t="s">
        <v>938</v>
      </c>
      <c r="I3340" s="26">
        <v>43683.404212963003</v>
      </c>
      <c r="J3340" s="28" t="s">
        <v>52</v>
      </c>
      <c r="K3340" s="28" t="s">
        <v>52</v>
      </c>
      <c r="L3340" s="28" t="s">
        <v>52</v>
      </c>
      <c r="M3340" s="28" t="s">
        <v>52</v>
      </c>
      <c r="N3340" s="28" t="s">
        <v>52</v>
      </c>
    </row>
    <row r="3341" spans="1:14" x14ac:dyDescent="0.15">
      <c r="A3341" s="23" t="str">
        <f>HYPERLINK("https://www.spark-marketing.ru/Card/Person/1021790", "КГКУ ДЕТСКИЙ ДОМ 17")</f>
        <v>КГКУ ДЕТСКИЙ ДОМ 17</v>
      </c>
      <c r="B3341" s="24" t="s">
        <v>4817</v>
      </c>
      <c r="C3341" s="25">
        <v>8219.64</v>
      </c>
      <c r="D3341" s="22" t="s">
        <v>4877</v>
      </c>
      <c r="E3341" s="22" t="s">
        <v>53</v>
      </c>
      <c r="F3341" s="23" t="str">
        <f>HYPERLINK("https://www.spark-marketing.ru/Card/Lot/72615605", "ТО системы видеонаблюдения")</f>
        <v>ТО системы видеонаблюдения</v>
      </c>
      <c r="G3341" s="22" t="s">
        <v>138</v>
      </c>
      <c r="H3341" s="22" t="s">
        <v>4819</v>
      </c>
      <c r="I3341" s="26">
        <v>43683.393506944398</v>
      </c>
      <c r="J3341" s="28" t="s">
        <v>52</v>
      </c>
      <c r="K3341" s="28" t="s">
        <v>52</v>
      </c>
      <c r="L3341" s="28" t="s">
        <v>52</v>
      </c>
      <c r="M3341" s="28" t="s">
        <v>52</v>
      </c>
      <c r="N3341" s="28" t="s">
        <v>52</v>
      </c>
    </row>
    <row r="3342" spans="1:14" x14ac:dyDescent="0.15">
      <c r="A3342" s="23" t="str">
        <f>HYPERLINK("https://www.spark-marketing.ru/Card/Person/1021790", "КГКУ ДЕТСКИЙ ДОМ 17")</f>
        <v>КГКУ ДЕТСКИЙ ДОМ 17</v>
      </c>
      <c r="B3342" s="24" t="s">
        <v>4817</v>
      </c>
      <c r="C3342" s="25">
        <v>8219.18</v>
      </c>
      <c r="D3342" s="22" t="s">
        <v>4878</v>
      </c>
      <c r="E3342" s="22" t="s">
        <v>53</v>
      </c>
      <c r="F3342" s="23" t="str">
        <f>HYPERLINK("https://www.spark-marketing.ru/Card/Lot/72615609", "ТО охранной сигнализации")</f>
        <v>ТО охранной сигнализации</v>
      </c>
      <c r="G3342" s="22" t="s">
        <v>138</v>
      </c>
      <c r="H3342" s="22" t="s">
        <v>4819</v>
      </c>
      <c r="I3342" s="26">
        <v>43683.394884259302</v>
      </c>
      <c r="J3342" s="28" t="s">
        <v>52</v>
      </c>
      <c r="K3342" s="28" t="s">
        <v>52</v>
      </c>
      <c r="L3342" s="28" t="s">
        <v>52</v>
      </c>
      <c r="M3342" s="28" t="s">
        <v>52</v>
      </c>
      <c r="N3342" s="28" t="s">
        <v>52</v>
      </c>
    </row>
    <row r="3343" spans="1:14" x14ac:dyDescent="0.15">
      <c r="A3343" s="23" t="str">
        <f>HYPERLINK("https://www.spark-marketing.ru/Card/Person/4378173", "МКУ ""ЕДДС ГО КЛИН""")</f>
        <v>МКУ "ЕДДС ГО КЛИН"</v>
      </c>
      <c r="B3343" s="24" t="s">
        <v>4879</v>
      </c>
      <c r="C3343" s="25">
        <v>6500</v>
      </c>
      <c r="D3343" s="22" t="s">
        <v>4880</v>
      </c>
      <c r="E3343" s="22" t="s">
        <v>732</v>
      </c>
      <c r="F3343" s="23" t="str">
        <f>HYPERLINK("https://www.spark-marketing.ru/Card/Lot/72614768", "Приобретение видеодомофона для обеспечения контрольно-пропускного режима в помещение МКУ ""ЕДДС ГО КЛИН""")</f>
        <v>Приобретение видеодомофона для обеспечения контрольно-пропускного режима в помещение МКУ "ЕДДС ГО КЛИН"</v>
      </c>
      <c r="G3343" s="22" t="s">
        <v>50</v>
      </c>
      <c r="H3343" s="22" t="s">
        <v>4881</v>
      </c>
      <c r="I3343" s="26">
        <v>43683.3570833333</v>
      </c>
      <c r="J3343" s="28" t="s">
        <v>52</v>
      </c>
      <c r="K3343" s="28" t="s">
        <v>52</v>
      </c>
      <c r="L3343" s="28" t="s">
        <v>52</v>
      </c>
      <c r="M3343" s="28" t="s">
        <v>52</v>
      </c>
      <c r="N3343" s="28" t="s">
        <v>52</v>
      </c>
    </row>
    <row r="3344" spans="1:14" x14ac:dyDescent="0.15">
      <c r="A3344" s="23" t="str">
        <f>HYPERLINK("https://www.spark-marketing.ru/Card/Person/1021641", "ОТДЕЛ МВД РОССИИ ПО КРАПИВИНСКОМУ РАЙОНУ")</f>
        <v>ОТДЕЛ МВД РОССИИ ПО КРАПИВИНСКОМУ РАЙОНУ</v>
      </c>
      <c r="B3344" s="24" t="s">
        <v>4464</v>
      </c>
      <c r="C3344" s="25">
        <v>25200</v>
      </c>
      <c r="D3344" s="22" t="s">
        <v>4882</v>
      </c>
      <c r="E3344" s="22" t="s">
        <v>84</v>
      </c>
      <c r="F3344" s="23" t="str">
        <f>HYPERLINK("https://www.spark-marketing.ru/Card/Lot/72613320", "Техническое обслуживание систем видеонаблюдения, 17 шт")</f>
        <v>Техническое обслуживание систем видеонаблюдения, 17 шт</v>
      </c>
      <c r="G3344" s="22" t="s">
        <v>367</v>
      </c>
      <c r="H3344" s="22" t="s">
        <v>4466</v>
      </c>
      <c r="I3344" s="26">
        <v>43683.325219907398</v>
      </c>
      <c r="J3344" s="28" t="s">
        <v>52</v>
      </c>
      <c r="K3344" s="28" t="s">
        <v>52</v>
      </c>
      <c r="L3344" s="28" t="s">
        <v>52</v>
      </c>
      <c r="M3344" s="28" t="s">
        <v>52</v>
      </c>
      <c r="N3344" s="28" t="s">
        <v>52</v>
      </c>
    </row>
    <row r="3345" spans="1:14" x14ac:dyDescent="0.15">
      <c r="A3345" s="23" t="str">
        <f>HYPERLINK("https://www.spark-marketing.ru/Card/Person/1716154", "ООО ""ТРАНСНЕФТЬ - БАЛТИКА""")</f>
        <v>ООО "ТРАНСНЕФТЬ - БАЛТИКА"</v>
      </c>
      <c r="B3345" s="24" t="s">
        <v>3778</v>
      </c>
      <c r="C3345" s="25">
        <v>2566248.56</v>
      </c>
      <c r="D3345" s="22" t="s">
        <v>4883</v>
      </c>
      <c r="E3345" s="22" t="s">
        <v>175</v>
      </c>
      <c r="F3345" s="23" t="str">
        <f>HYPERLINK("https://www.spark-marketing.ru/Card/Lot/72631297", "1800-H05-К-Y03-00083-2020 «""2020-УБ-ТНБ-05 ""Техническое обслуживание комплексов инженерно- технических средств охраны НПС ""Великие Луки"", НПС ""Инякино"", ЛПДС""Торжок"", НПС ""Борисово"", ПСП""Невель"", НПС""Тучево""»")</f>
        <v>1800-H05-К-Y03-00083-2020 «"2020-УБ-ТНБ-05 "Техническое обслуживание комплексов инженерно- технических средств охраны НПС "Великие Луки", НПС "Инякино", ЛПДС"Торжок", НПС "Борисово", ПСП"Невель", НПС"Тучево"»</v>
      </c>
      <c r="G3345" s="22" t="s">
        <v>89</v>
      </c>
      <c r="H3345" s="22" t="s">
        <v>89</v>
      </c>
      <c r="I3345" s="26">
        <v>43683</v>
      </c>
      <c r="J3345" s="28" t="s">
        <v>52</v>
      </c>
      <c r="K3345" s="28" t="s">
        <v>52</v>
      </c>
      <c r="L3345" s="28" t="s">
        <v>52</v>
      </c>
      <c r="M3345" s="28" t="s">
        <v>52</v>
      </c>
      <c r="N3345" s="28" t="s">
        <v>52</v>
      </c>
    </row>
    <row r="3346" spans="1:14" x14ac:dyDescent="0.15">
      <c r="A3346" s="23" t="str">
        <f>HYPERLINK("https://www.spark-marketing.ru/Card/Person/1716154", "ООО ""ТРАНСНЕФТЬ - БАЛТИКА""")</f>
        <v>ООО "ТРАНСНЕФТЬ - БАЛТИКА"</v>
      </c>
      <c r="B3346" s="24" t="s">
        <v>3778</v>
      </c>
      <c r="C3346" s="25">
        <v>1112686.6200000001</v>
      </c>
      <c r="D3346" s="22" t="s">
        <v>4884</v>
      </c>
      <c r="E3346" s="22" t="s">
        <v>175</v>
      </c>
      <c r="F3346" s="23" t="str">
        <f>HYPERLINK("https://www.spark-marketing.ru/Card/Lot/72629562", "1800-H05-К-Y03-00063-2020 «""2020-УБ-ТНБ-02 ""Техническое обслуживание комплексов инженерно- технических средств охраны БПТОиКО""»")</f>
        <v>1800-H05-К-Y03-00063-2020 «"2020-УБ-ТНБ-02 "Техническое обслуживание комплексов инженерно- технических средств охраны БПТОиКО"»</v>
      </c>
      <c r="G3346" s="22" t="s">
        <v>89</v>
      </c>
      <c r="H3346" s="22" t="s">
        <v>89</v>
      </c>
      <c r="I3346" s="26">
        <v>43683</v>
      </c>
      <c r="J3346" s="28" t="s">
        <v>52</v>
      </c>
      <c r="K3346" s="28" t="s">
        <v>52</v>
      </c>
      <c r="L3346" s="28" t="s">
        <v>52</v>
      </c>
      <c r="M3346" s="28" t="s">
        <v>52</v>
      </c>
      <c r="N3346" s="28" t="s">
        <v>52</v>
      </c>
    </row>
    <row r="3347" spans="1:14" x14ac:dyDescent="0.15">
      <c r="A3347" s="23" t="str">
        <f>HYPERLINK("https://www.spark-marketing.ru/Card/Person/1716154", "ООО ""ТРАНСНЕФТЬ - БАЛТИКА""")</f>
        <v>ООО "ТРАНСНЕФТЬ - БАЛТИКА"</v>
      </c>
      <c r="B3347" s="24" t="s">
        <v>3778</v>
      </c>
      <c r="C3347" s="25">
        <v>2610332.88</v>
      </c>
      <c r="D3347" s="22" t="s">
        <v>4885</v>
      </c>
      <c r="E3347" s="22" t="s">
        <v>175</v>
      </c>
      <c r="F3347" s="23" t="str">
        <f>HYPERLINK("https://www.spark-marketing.ru/Card/Lot/72631298", "1800-H05-К-Y03-00071-2020 «""2020-УБ-ТНБ-03""Техническое обслуживание комплексов инженерно- технических средств охраны ""Кириши"", ПСП""Кириши"", ЛЧ МН""»")</f>
        <v>1800-H05-К-Y03-00071-2020 «"2020-УБ-ТНБ-03"Техническое обслуживание комплексов инженерно- технических средств охраны "Кириши", ПСП"Кириши", ЛЧ МН"»</v>
      </c>
      <c r="G3347" s="22" t="s">
        <v>89</v>
      </c>
      <c r="H3347" s="22" t="s">
        <v>89</v>
      </c>
      <c r="I3347" s="26">
        <v>43683</v>
      </c>
      <c r="J3347" s="28" t="s">
        <v>52</v>
      </c>
      <c r="K3347" s="28" t="s">
        <v>52</v>
      </c>
      <c r="L3347" s="28" t="s">
        <v>52</v>
      </c>
      <c r="M3347" s="28" t="s">
        <v>52</v>
      </c>
      <c r="N3347" s="28" t="s">
        <v>52</v>
      </c>
    </row>
    <row r="3348" spans="1:14" x14ac:dyDescent="0.15">
      <c r="A3348" s="23" t="str">
        <f>HYPERLINK("https://www.spark-marketing.ru/Card/Person/1716154", "ООО ""ТРАНСНЕФТЬ - БАЛТИКА""")</f>
        <v>ООО "ТРАНСНЕФТЬ - БАЛТИКА"</v>
      </c>
      <c r="B3348" s="24" t="s">
        <v>3778</v>
      </c>
      <c r="C3348" s="25">
        <v>2653595.14</v>
      </c>
      <c r="D3348" s="22" t="s">
        <v>4886</v>
      </c>
      <c r="E3348" s="22" t="s">
        <v>175</v>
      </c>
      <c r="F3348" s="23" t="str">
        <f>HYPERLINK("https://www.spark-marketing.ru/Card/Lot/72631299", "1800-H05-К-Y03-00082-2020 «""2020-УБ-ТНБ-01 ""Техническое обслуживание комплексов инженерно- технических средств охраны офис ""Арсенальная"", офис ""Коллонтай""»")</f>
        <v>1800-H05-К-Y03-00082-2020 «"2020-УБ-ТНБ-01 "Техническое обслуживание комплексов инженерно- технических средств охраны офис "Арсенальная", офис "Коллонтай"»</v>
      </c>
      <c r="G3348" s="22" t="s">
        <v>89</v>
      </c>
      <c r="H3348" s="22" t="s">
        <v>89</v>
      </c>
      <c r="I3348" s="26">
        <v>43683</v>
      </c>
      <c r="J3348" s="28" t="s">
        <v>52</v>
      </c>
      <c r="K3348" s="28" t="s">
        <v>52</v>
      </c>
      <c r="L3348" s="28" t="s">
        <v>52</v>
      </c>
      <c r="M3348" s="28" t="s">
        <v>52</v>
      </c>
      <c r="N3348" s="28" t="s">
        <v>52</v>
      </c>
    </row>
    <row r="3349" spans="1:14" x14ac:dyDescent="0.15">
      <c r="A3349" s="23" t="str">
        <f>HYPERLINK("https://www.spark-marketing.ru/Card/Person/84938", "ФГБОУ ВО ТГМУ МИНЗДРАВА РОССИИ")</f>
        <v>ФГБОУ ВО ТГМУ МИНЗДРАВА РОССИИ</v>
      </c>
      <c r="B3349" s="24" t="s">
        <v>4887</v>
      </c>
      <c r="C3349" s="25">
        <v>444997</v>
      </c>
      <c r="D3349" s="22" t="s">
        <v>4888</v>
      </c>
      <c r="E3349" s="22" t="s">
        <v>4889</v>
      </c>
      <c r="F3349" s="23" t="str">
        <f>HYPERLINK("https://www.spark-marketing.ru/Card/Lot/72610387", "Оказание услуг по техническому обслуживанию видеопроекторов")</f>
        <v>Оказание услуг по техническому обслуживанию видеопроекторов</v>
      </c>
      <c r="G3349" s="22" t="s">
        <v>409</v>
      </c>
      <c r="H3349" s="22" t="s">
        <v>878</v>
      </c>
      <c r="I3349" s="26">
        <v>43682.739872685197</v>
      </c>
      <c r="J3349" s="23" t="str">
        <f>HYPERLINK("https://www.spark-marketing.ru/Card/Person/6507437", "ООО ""АРМОТРОНИК""")</f>
        <v>ООО "АРМОТРОНИК"</v>
      </c>
      <c r="K3349" s="24" t="s">
        <v>4890</v>
      </c>
      <c r="L3349" s="22" t="s">
        <v>10</v>
      </c>
      <c r="M3349" s="28" t="s">
        <v>52</v>
      </c>
      <c r="N3349" s="28" t="s">
        <v>52</v>
      </c>
    </row>
    <row r="3350" spans="1:14" x14ac:dyDescent="0.15">
      <c r="A3350" s="23" t="str">
        <f t="shared" ref="A3350:A3355" si="141">HYPERLINK("https://www.spark-marketing.ru/Card/Person/589769", "ГБПОУ СО ""НИЖНЕТАГИЛЬСКИЙ ТОРГОВО-ЭКОНОМИЧЕСКИЙ КОЛЛЕДЖ""")</f>
        <v>ГБПОУ СО "НИЖНЕТАГИЛЬСКИЙ ТОРГОВО-ЭКОНОМИЧЕСКИЙ КОЛЛЕДЖ"</v>
      </c>
      <c r="B3350" s="24" t="s">
        <v>4891</v>
      </c>
      <c r="C3350" s="25">
        <v>1096772.8999999999</v>
      </c>
      <c r="D3350" s="22" t="s">
        <v>4892</v>
      </c>
      <c r="E3350" s="22" t="s">
        <v>52</v>
      </c>
      <c r="F3350" s="23" t="str">
        <f t="shared" ref="F3350:F3355" si="142">HYPERLINK("https://www.spark-marketing.ru/Card/Lot/72602915", "Реализация мероприятий по антитеррористической защищенности (объектов) территорий - Работы по установке системы видеонаблюдения по адресу: Свердловская область, г. Нижний Тагил, ул. Садовая, д.22")</f>
        <v>Реализация мероприятий по антитеррористической защищенности (объектов) территорий - Работы по установке системы видеонаблюдения по адресу: Свердловская область, г. Нижний Тагил, ул. Садовая, д.22</v>
      </c>
      <c r="G3350" s="22" t="s">
        <v>72</v>
      </c>
      <c r="H3350" s="22" t="s">
        <v>3332</v>
      </c>
      <c r="I3350" s="26">
        <v>43682.695868055598</v>
      </c>
      <c r="J3350" s="28" t="s">
        <v>52</v>
      </c>
      <c r="K3350" s="28" t="s">
        <v>52</v>
      </c>
      <c r="L3350" s="28" t="s">
        <v>52</v>
      </c>
      <c r="M3350" s="28" t="s">
        <v>52</v>
      </c>
      <c r="N3350" s="28" t="s">
        <v>52</v>
      </c>
    </row>
    <row r="3351" spans="1:14" hidden="1" outlineLevel="1" x14ac:dyDescent="0.2">
      <c r="A3351" s="23" t="str">
        <f t="shared" si="141"/>
        <v>ГБПОУ СО "НИЖНЕТАГИЛЬСКИЙ ТОРГОВО-ЭКОНОМИЧЕСКИЙ КОЛЛЕДЖ"</v>
      </c>
      <c r="B3351" s="24" t="s">
        <v>4891</v>
      </c>
      <c r="C3351" s="25">
        <v>1096772.8999999999</v>
      </c>
      <c r="D3351" s="22" t="s">
        <v>4892</v>
      </c>
      <c r="E3351" s="22" t="s">
        <v>52</v>
      </c>
      <c r="F3351" s="23" t="str">
        <f t="shared" si="142"/>
        <v>Реализация мероприятий по антитеррористической защищенности (объектов) территорий - Работы по установке системы видеонаблюдения по адресу: Свердловская область, г. Нижний Тагил, ул. Садовая, д.22</v>
      </c>
      <c r="G3351" s="22" t="s">
        <v>72</v>
      </c>
      <c r="H3351" s="22" t="s">
        <v>3332</v>
      </c>
      <c r="I3351" s="26">
        <v>43682.695868055598</v>
      </c>
      <c r="J3351" s="23" t="str">
        <f>HYPERLINK("https://www.spark-marketing.ru/Card/Person/5853123", "Ершов Андрей Алексеевич")</f>
        <v>Ершов Андрей Алексеевич</v>
      </c>
      <c r="K3351" s="24" t="s">
        <v>1063</v>
      </c>
      <c r="L3351" s="28" t="s">
        <v>52</v>
      </c>
      <c r="M3351" s="25">
        <v>554516.13</v>
      </c>
      <c r="N3351" s="27">
        <v>0.49441116752611231</v>
      </c>
    </row>
    <row r="3352" spans="1:14" hidden="1" outlineLevel="1" x14ac:dyDescent="0.2">
      <c r="A3352" s="23" t="str">
        <f t="shared" si="141"/>
        <v>ГБПОУ СО "НИЖНЕТАГИЛЬСКИЙ ТОРГОВО-ЭКОНОМИЧЕСКИЙ КОЛЛЕДЖ"</v>
      </c>
      <c r="B3352" s="24" t="s">
        <v>4891</v>
      </c>
      <c r="C3352" s="25">
        <v>1096772.8999999999</v>
      </c>
      <c r="D3352" s="22" t="s">
        <v>4892</v>
      </c>
      <c r="E3352" s="22" t="s">
        <v>52</v>
      </c>
      <c r="F3352" s="23" t="str">
        <f t="shared" si="142"/>
        <v>Реализация мероприятий по антитеррористической защищенности (объектов) территорий - Работы по установке системы видеонаблюдения по адресу: Свердловская область, г. Нижний Тагил, ул. Садовая, д.22</v>
      </c>
      <c r="G3352" s="22" t="s">
        <v>72</v>
      </c>
      <c r="H3352" s="22" t="s">
        <v>3332</v>
      </c>
      <c r="I3352" s="26">
        <v>43682.695868055598</v>
      </c>
      <c r="J3352" s="23" t="str">
        <f>HYPERLINK("https://www.spark-marketing.ru/Card/Person/803924", "Третьяков Илья Владимирович")</f>
        <v>Третьяков Илья Владимирович</v>
      </c>
      <c r="K3352" s="24" t="s">
        <v>1954</v>
      </c>
      <c r="L3352" s="28" t="s">
        <v>52</v>
      </c>
      <c r="M3352" s="25">
        <v>800643.92</v>
      </c>
      <c r="N3352" s="27">
        <v>0.270000270794437</v>
      </c>
    </row>
    <row r="3353" spans="1:14" ht="12.75" hidden="1" outlineLevel="1" x14ac:dyDescent="0.2">
      <c r="A3353" s="23" t="str">
        <f t="shared" si="141"/>
        <v>ГБПОУ СО "НИЖНЕТАГИЛЬСКИЙ ТОРГОВО-ЭКОНОМИЧЕСКИЙ КОЛЛЕДЖ"</v>
      </c>
      <c r="B3353" s="24" t="s">
        <v>4891</v>
      </c>
      <c r="C3353" s="25">
        <v>1096772.8999999999</v>
      </c>
      <c r="D3353" s="22" t="s">
        <v>4892</v>
      </c>
      <c r="E3353" s="22" t="s">
        <v>52</v>
      </c>
      <c r="F3353" s="23" t="str">
        <f t="shared" si="142"/>
        <v>Реализация мероприятий по антитеррористической защищенности (объектов) территорий - Работы по установке системы видеонаблюдения по адресу: Свердловская область, г. Нижний Тагил, ул. Садовая, д.22</v>
      </c>
      <c r="G3353" s="22" t="s">
        <v>72</v>
      </c>
      <c r="H3353" s="22" t="s">
        <v>3332</v>
      </c>
      <c r="I3353" s="26">
        <v>43682.695868055598</v>
      </c>
      <c r="J3353" s="23" t="str">
        <f>HYPERLINK("https://www.spark-marketing.ru/Card/Person/1498549", "Гилев Иван Алексеевич")</f>
        <v>Гилев Иван Алексеевич</v>
      </c>
      <c r="K3353" s="24" t="s">
        <v>4893</v>
      </c>
      <c r="L3353" s="22" t="s">
        <v>10</v>
      </c>
      <c r="M3353" s="25">
        <v>500000</v>
      </c>
      <c r="N3353" s="27">
        <v>0.54411710938517899</v>
      </c>
    </row>
    <row r="3354" spans="1:14" hidden="1" outlineLevel="1" x14ac:dyDescent="0.2">
      <c r="A3354" s="23" t="str">
        <f t="shared" si="141"/>
        <v>ГБПОУ СО "НИЖНЕТАГИЛЬСКИЙ ТОРГОВО-ЭКОНОМИЧЕСКИЙ КОЛЛЕДЖ"</v>
      </c>
      <c r="B3354" s="24" t="s">
        <v>4891</v>
      </c>
      <c r="C3354" s="25">
        <v>1096772.8999999999</v>
      </c>
      <c r="D3354" s="22" t="s">
        <v>4892</v>
      </c>
      <c r="E3354" s="22" t="s">
        <v>52</v>
      </c>
      <c r="F3354" s="23" t="str">
        <f t="shared" si="142"/>
        <v>Реализация мероприятий по антитеррористической защищенности (объектов) территорий - Работы по установке системы видеонаблюдения по адресу: Свердловская область, г. Нижний Тагил, ул. Садовая, д.22</v>
      </c>
      <c r="G3354" s="22" t="s">
        <v>72</v>
      </c>
      <c r="H3354" s="22" t="s">
        <v>3332</v>
      </c>
      <c r="I3354" s="26">
        <v>43682.695868055598</v>
      </c>
      <c r="J3354" s="23" t="str">
        <f>HYPERLINK("https://www.spark-marketing.ru/Card/Person/6431788", "ООО ""БИТБУК""")</f>
        <v>ООО "БИТБУК"</v>
      </c>
      <c r="K3354" s="24" t="s">
        <v>3438</v>
      </c>
      <c r="L3354" s="28" t="s">
        <v>52</v>
      </c>
      <c r="M3354" s="25">
        <v>614516.13</v>
      </c>
      <c r="N3354" s="27">
        <v>0.43970522065233375</v>
      </c>
    </row>
    <row r="3355" spans="1:14" hidden="1" outlineLevel="1" x14ac:dyDescent="0.2">
      <c r="A3355" s="23" t="str">
        <f t="shared" si="141"/>
        <v>ГБПОУ СО "НИЖНЕТАГИЛЬСКИЙ ТОРГОВО-ЭКОНОМИЧЕСКИЙ КОЛЛЕДЖ"</v>
      </c>
      <c r="B3355" s="24" t="s">
        <v>4891</v>
      </c>
      <c r="C3355" s="25">
        <v>1096772.8999999999</v>
      </c>
      <c r="D3355" s="22" t="s">
        <v>4892</v>
      </c>
      <c r="E3355" s="22" t="s">
        <v>52</v>
      </c>
      <c r="F3355" s="23" t="str">
        <f t="shared" si="142"/>
        <v>Реализация мероприятий по антитеррористической защищенности (объектов) территорий - Работы по установке системы видеонаблюдения по адресу: Свердловская область, г. Нижний Тагил, ул. Садовая, д.22</v>
      </c>
      <c r="G3355" s="22" t="s">
        <v>72</v>
      </c>
      <c r="H3355" s="22" t="s">
        <v>3332</v>
      </c>
      <c r="I3355" s="26">
        <v>43682.695868055598</v>
      </c>
      <c r="J3355" s="23" t="str">
        <f>HYPERLINK("https://www.spark-marketing.ru/Card/Person/6223684", "ООО ""КОРПОРАЦИЯ БЕЗОПАСНОСТИ""")</f>
        <v>ООО "КОРПОРАЦИЯ БЕЗОПАСНОСТИ"</v>
      </c>
      <c r="K3355" s="24" t="s">
        <v>4894</v>
      </c>
      <c r="L3355" s="28" t="s">
        <v>52</v>
      </c>
      <c r="M3355" s="25">
        <v>800643.92</v>
      </c>
      <c r="N3355" s="27">
        <v>0.270000270794437</v>
      </c>
    </row>
    <row r="3356" spans="1:14" x14ac:dyDescent="0.15">
      <c r="A3356" s="23" t="str">
        <f t="shared" ref="A3356:A3364" si="143">HYPERLINK("https://www.spark-marketing.ru/Card/Person/679", "ФКУ УПРДОР ""ВИЛЮЙ""")</f>
        <v>ФКУ УПРДОР "ВИЛЮЙ"</v>
      </c>
      <c r="B3356" s="24" t="s">
        <v>1223</v>
      </c>
      <c r="C3356" s="25">
        <v>31100000</v>
      </c>
      <c r="D3356" s="22" t="s">
        <v>4895</v>
      </c>
      <c r="E3356" s="22" t="s">
        <v>723</v>
      </c>
      <c r="F3356" s="23" t="str">
        <f t="shared" ref="F3356:F3364" si="144">HYPERLINK("https://www.spark-marketing.ru/Card/Lot/72596357", "Поставка и установка систем видеоконтроля (камер фото-видеофиксации нарушений правил дорожного движения) на автомобильных дорогах А-331 ""Вилюй"", Р-504 ""Колыма"", Республика Саха (Якутия), Магаданская область")</f>
        <v>Поставка и установка систем видеоконтроля (камер фото-видеофиксации нарушений правил дорожного движения) на автомобильных дорогах А-331 "Вилюй", Р-504 "Колыма", Республика Саха (Якутия), Магаданская область</v>
      </c>
      <c r="G3356" s="22" t="s">
        <v>424</v>
      </c>
      <c r="H3356" s="22" t="s">
        <v>424</v>
      </c>
      <c r="I3356" s="26">
        <v>43682.667627314797</v>
      </c>
      <c r="J3356" s="28" t="s">
        <v>52</v>
      </c>
      <c r="K3356" s="28" t="s">
        <v>52</v>
      </c>
      <c r="L3356" s="28" t="s">
        <v>52</v>
      </c>
      <c r="M3356" s="28" t="s">
        <v>52</v>
      </c>
      <c r="N3356" s="28" t="s">
        <v>52</v>
      </c>
    </row>
    <row r="3357" spans="1:14" hidden="1" outlineLevel="1" x14ac:dyDescent="0.2">
      <c r="A3357" s="23" t="str">
        <f t="shared" si="143"/>
        <v>ФКУ УПРДОР "ВИЛЮЙ"</v>
      </c>
      <c r="B3357" s="24" t="s">
        <v>1223</v>
      </c>
      <c r="C3357" s="25">
        <v>31100000</v>
      </c>
      <c r="D3357" s="22" t="s">
        <v>4895</v>
      </c>
      <c r="E3357" s="22" t="s">
        <v>723</v>
      </c>
      <c r="F3357" s="23" t="str">
        <f t="shared" si="144"/>
        <v>Поставка и установка систем видеоконтроля (камер фото-видеофиксации нарушений правил дорожного движения) на автомобильных дорогах А-331 "Вилюй", Р-504 "Колыма", Республика Саха (Якутия), Магаданская область</v>
      </c>
      <c r="G3357" s="22" t="s">
        <v>424</v>
      </c>
      <c r="H3357" s="22" t="s">
        <v>424</v>
      </c>
      <c r="I3357" s="26">
        <v>43682.667627314797</v>
      </c>
      <c r="J3357" s="23" t="str">
        <f>HYPERLINK("https://www.spark-marketing.ru/Card/Person/10991", "ПАО ""РОСТЕЛЕКОМ""")</f>
        <v>ПАО "РОСТЕЛЕКОМ"</v>
      </c>
      <c r="K3357" s="24" t="s">
        <v>607</v>
      </c>
      <c r="L3357" s="28" t="s">
        <v>52</v>
      </c>
      <c r="M3357" s="25">
        <v>29078500</v>
      </c>
      <c r="N3357" s="27">
        <v>6.5000000000000002E-2</v>
      </c>
    </row>
    <row r="3358" spans="1:14" hidden="1" outlineLevel="1" x14ac:dyDescent="0.2">
      <c r="A3358" s="23" t="str">
        <f t="shared" si="143"/>
        <v>ФКУ УПРДОР "ВИЛЮЙ"</v>
      </c>
      <c r="B3358" s="24" t="s">
        <v>1223</v>
      </c>
      <c r="C3358" s="25">
        <v>31100000</v>
      </c>
      <c r="D3358" s="22" t="s">
        <v>4895</v>
      </c>
      <c r="E3358" s="22" t="s">
        <v>723</v>
      </c>
      <c r="F3358" s="23" t="str">
        <f t="shared" si="144"/>
        <v>Поставка и установка систем видеоконтроля (камер фото-видеофиксации нарушений правил дорожного движения) на автомобильных дорогах А-331 "Вилюй", Р-504 "Колыма", Республика Саха (Якутия), Магаданская область</v>
      </c>
      <c r="G3358" s="22" t="s">
        <v>424</v>
      </c>
      <c r="H3358" s="22" t="s">
        <v>424</v>
      </c>
      <c r="I3358" s="26">
        <v>43682.667627314797</v>
      </c>
      <c r="J3358" s="23" t="str">
        <f>HYPERLINK("https://www.spark-marketing.ru/Card/Person/92366", "ООО ""СТРОЙ-В""")</f>
        <v>ООО "СТРОЙ-В"</v>
      </c>
      <c r="K3358" s="24" t="s">
        <v>4896</v>
      </c>
      <c r="L3358" s="28" t="s">
        <v>52</v>
      </c>
      <c r="M3358" s="25">
        <v>30944500</v>
      </c>
      <c r="N3358" s="27">
        <v>5.0000000000000001E-3</v>
      </c>
    </row>
    <row r="3359" spans="1:14" hidden="1" outlineLevel="1" x14ac:dyDescent="0.2">
      <c r="A3359" s="23" t="str">
        <f t="shared" si="143"/>
        <v>ФКУ УПРДОР "ВИЛЮЙ"</v>
      </c>
      <c r="B3359" s="24" t="s">
        <v>1223</v>
      </c>
      <c r="C3359" s="25">
        <v>31100000</v>
      </c>
      <c r="D3359" s="22" t="s">
        <v>4895</v>
      </c>
      <c r="E3359" s="22" t="s">
        <v>723</v>
      </c>
      <c r="F3359" s="23" t="str">
        <f t="shared" si="144"/>
        <v>Поставка и установка систем видеоконтроля (камер фото-видеофиксации нарушений правил дорожного движения) на автомобильных дорогах А-331 "Вилюй", Р-504 "Колыма", Республика Саха (Якутия), Магаданская область</v>
      </c>
      <c r="G3359" s="22" t="s">
        <v>424</v>
      </c>
      <c r="H3359" s="22" t="s">
        <v>424</v>
      </c>
      <c r="I3359" s="26">
        <v>43682.667627314797</v>
      </c>
      <c r="J3359" s="23" t="str">
        <f>HYPERLINK("https://www.spark-marketing.ru/Card/Person/1548946", "ООО ""МАСТЕР ГРУПП""")</f>
        <v>ООО "МАСТЕР ГРУПП"</v>
      </c>
      <c r="K3359" s="24" t="s">
        <v>4091</v>
      </c>
      <c r="L3359" s="28" t="s">
        <v>52</v>
      </c>
      <c r="M3359" s="25">
        <v>23636000</v>
      </c>
      <c r="N3359" s="27">
        <v>0.24</v>
      </c>
    </row>
    <row r="3360" spans="1:14" hidden="1" outlineLevel="1" x14ac:dyDescent="0.2">
      <c r="A3360" s="23" t="str">
        <f t="shared" si="143"/>
        <v>ФКУ УПРДОР "ВИЛЮЙ"</v>
      </c>
      <c r="B3360" s="24" t="s">
        <v>1223</v>
      </c>
      <c r="C3360" s="25">
        <v>31100000</v>
      </c>
      <c r="D3360" s="22" t="s">
        <v>4895</v>
      </c>
      <c r="E3360" s="22" t="s">
        <v>723</v>
      </c>
      <c r="F3360" s="23" t="str">
        <f t="shared" si="144"/>
        <v>Поставка и установка систем видеоконтроля (камер фото-видеофиксации нарушений правил дорожного движения) на автомобильных дорогах А-331 "Вилюй", Р-504 "Колыма", Республика Саха (Якутия), Магаданская область</v>
      </c>
      <c r="G3360" s="22" t="s">
        <v>424</v>
      </c>
      <c r="H3360" s="22" t="s">
        <v>424</v>
      </c>
      <c r="I3360" s="26">
        <v>43682.667627314797</v>
      </c>
      <c r="J3360" s="23" t="str">
        <f>HYPERLINK("https://www.spark-marketing.ru/Card/Person/584176", "ООО ""СИБДОРСНАБ""")</f>
        <v>ООО "СИБДОРСНАБ"</v>
      </c>
      <c r="K3360" s="24" t="s">
        <v>4897</v>
      </c>
      <c r="L3360" s="28" t="s">
        <v>52</v>
      </c>
      <c r="M3360" s="25">
        <v>29078500</v>
      </c>
      <c r="N3360" s="27">
        <v>6.5000000000000002E-2</v>
      </c>
    </row>
    <row r="3361" spans="1:14" hidden="1" outlineLevel="1" x14ac:dyDescent="0.2">
      <c r="A3361" s="23" t="str">
        <f t="shared" si="143"/>
        <v>ФКУ УПРДОР "ВИЛЮЙ"</v>
      </c>
      <c r="B3361" s="24" t="s">
        <v>1223</v>
      </c>
      <c r="C3361" s="25">
        <v>31100000</v>
      </c>
      <c r="D3361" s="22" t="s">
        <v>4895</v>
      </c>
      <c r="E3361" s="22" t="s">
        <v>723</v>
      </c>
      <c r="F3361" s="23" t="str">
        <f t="shared" si="144"/>
        <v>Поставка и установка систем видеоконтроля (камер фото-видеофиксации нарушений правил дорожного движения) на автомобильных дорогах А-331 "Вилюй", Р-504 "Колыма", Республика Саха (Якутия), Магаданская область</v>
      </c>
      <c r="G3361" s="22" t="s">
        <v>424</v>
      </c>
      <c r="H3361" s="22" t="s">
        <v>424</v>
      </c>
      <c r="I3361" s="26">
        <v>43682.667627314797</v>
      </c>
      <c r="J3361" s="23" t="str">
        <f>HYPERLINK("https://www.spark-marketing.ru/Card/Person/64783", "ООО ""ОЛЬВИЯ""")</f>
        <v>ООО "ОЛЬВИЯ"</v>
      </c>
      <c r="K3361" s="24" t="s">
        <v>4898</v>
      </c>
      <c r="L3361" s="28" t="s">
        <v>52</v>
      </c>
      <c r="M3361" s="25">
        <v>17105000</v>
      </c>
      <c r="N3361" s="27">
        <v>0.45</v>
      </c>
    </row>
    <row r="3362" spans="1:14" hidden="1" outlineLevel="1" x14ac:dyDescent="0.2">
      <c r="A3362" s="23" t="str">
        <f t="shared" si="143"/>
        <v>ФКУ УПРДОР "ВИЛЮЙ"</v>
      </c>
      <c r="B3362" s="24" t="s">
        <v>1223</v>
      </c>
      <c r="C3362" s="25">
        <v>31100000</v>
      </c>
      <c r="D3362" s="22" t="s">
        <v>4895</v>
      </c>
      <c r="E3362" s="22" t="s">
        <v>723</v>
      </c>
      <c r="F3362" s="23" t="str">
        <f t="shared" si="144"/>
        <v>Поставка и установка систем видеоконтроля (камер фото-видеофиксации нарушений правил дорожного движения) на автомобильных дорогах А-331 "Вилюй", Р-504 "Колыма", Республика Саха (Якутия), Магаданская область</v>
      </c>
      <c r="G3362" s="22" t="s">
        <v>424</v>
      </c>
      <c r="H3362" s="22" t="s">
        <v>424</v>
      </c>
      <c r="I3362" s="26">
        <v>43682.667627314797</v>
      </c>
      <c r="J3362" s="23" t="str">
        <f>HYPERLINK("https://www.spark-marketing.ru/Card/Person/46949", "ООО ""АВТОДОРИЯ""")</f>
        <v>ООО "АВТОДОРИЯ"</v>
      </c>
      <c r="K3362" s="24" t="s">
        <v>3272</v>
      </c>
      <c r="L3362" s="28" t="s">
        <v>52</v>
      </c>
      <c r="M3362" s="25">
        <v>27057000</v>
      </c>
      <c r="N3362" s="27">
        <v>0.13</v>
      </c>
    </row>
    <row r="3363" spans="1:14" hidden="1" outlineLevel="1" x14ac:dyDescent="0.2">
      <c r="A3363" s="23" t="str">
        <f t="shared" si="143"/>
        <v>ФКУ УПРДОР "ВИЛЮЙ"</v>
      </c>
      <c r="B3363" s="24" t="s">
        <v>1223</v>
      </c>
      <c r="C3363" s="25">
        <v>31100000</v>
      </c>
      <c r="D3363" s="22" t="s">
        <v>4895</v>
      </c>
      <c r="E3363" s="22" t="s">
        <v>723</v>
      </c>
      <c r="F3363" s="23" t="str">
        <f t="shared" si="144"/>
        <v>Поставка и установка систем видеоконтроля (камер фото-видеофиксации нарушений правил дорожного движения) на автомобильных дорогах А-331 "Вилюй", Р-504 "Колыма", Республика Саха (Якутия), Магаданская область</v>
      </c>
      <c r="G3363" s="22" t="s">
        <v>424</v>
      </c>
      <c r="H3363" s="22" t="s">
        <v>424</v>
      </c>
      <c r="I3363" s="26">
        <v>43682.667627314797</v>
      </c>
      <c r="J3363" s="23" t="str">
        <f>HYPERLINK("https://www.spark-marketing.ru/Card/Person/236655", "ООО ""ТМЦ -НН""")</f>
        <v>ООО "ТМЦ -НН"</v>
      </c>
      <c r="K3363" s="24" t="s">
        <v>4899</v>
      </c>
      <c r="L3363" s="28" t="s">
        <v>52</v>
      </c>
      <c r="M3363" s="25">
        <v>26435000</v>
      </c>
      <c r="N3363" s="27">
        <v>0.15</v>
      </c>
    </row>
    <row r="3364" spans="1:14" ht="12.75" hidden="1" outlineLevel="1" x14ac:dyDescent="0.2">
      <c r="A3364" s="23" t="str">
        <f t="shared" si="143"/>
        <v>ФКУ УПРДОР "ВИЛЮЙ"</v>
      </c>
      <c r="B3364" s="24" t="s">
        <v>1223</v>
      </c>
      <c r="C3364" s="25">
        <v>31100000</v>
      </c>
      <c r="D3364" s="22" t="s">
        <v>4895</v>
      </c>
      <c r="E3364" s="22" t="s">
        <v>723</v>
      </c>
      <c r="F3364" s="23" t="str">
        <f t="shared" si="144"/>
        <v>Поставка и установка систем видеоконтроля (камер фото-видеофиксации нарушений правил дорожного движения) на автомобильных дорогах А-331 "Вилюй", Р-504 "Колыма", Республика Саха (Якутия), Магаданская область</v>
      </c>
      <c r="G3364" s="22" t="s">
        <v>424</v>
      </c>
      <c r="H3364" s="22" t="s">
        <v>424</v>
      </c>
      <c r="I3364" s="26">
        <v>43682.667627314797</v>
      </c>
      <c r="J3364" s="23" t="str">
        <f>HYPERLINK("https://www.spark-marketing.ru/Card/Person/1354238", "ООО ""ЛАБОРАТОРИЯ ЦИФРОВОГО ЗРЕНИЯ""")</f>
        <v>ООО "ЛАБОРАТОРИЯ ЦИФРОВОГО ЗРЕНИЯ"</v>
      </c>
      <c r="K3364" s="24" t="s">
        <v>1191</v>
      </c>
      <c r="L3364" s="22" t="s">
        <v>10</v>
      </c>
      <c r="M3364" s="25">
        <v>16949500</v>
      </c>
      <c r="N3364" s="27">
        <v>0.45500000000000002</v>
      </c>
    </row>
    <row r="3365" spans="1:14" x14ac:dyDescent="0.15">
      <c r="A3365" s="23" t="str">
        <f>HYPERLINK("https://www.spark-marketing.ru/Card/Person/4349347", "МУ ""СЛУЖБА ТРАНСПОРТА""")</f>
        <v>МУ "СЛУЖБА ТРАНСПОРТА"</v>
      </c>
      <c r="B3365" s="24" t="s">
        <v>4900</v>
      </c>
      <c r="C3365" s="25">
        <v>294777.87</v>
      </c>
      <c r="D3365" s="22" t="s">
        <v>4901</v>
      </c>
      <c r="E3365" s="22" t="s">
        <v>59</v>
      </c>
      <c r="F3365" s="23" t="str">
        <f>HYPERLINK("https://www.spark-marketing.ru/Card/Lot/72630846", "Монтаж и пуско-наладка автоматической установки охранной сигнализации (АУОС) в помещениях, расположенных по адресу: г. Переславль-Залесский, ул. Советская, дом 5.")</f>
        <v>Монтаж и пуско-наладка автоматической установки охранной сигнализации (АУОС) в помещениях, расположенных по адресу: г. Переславль-Залесский, ул. Советская, дом 5.</v>
      </c>
      <c r="G3365" s="22" t="s">
        <v>155</v>
      </c>
      <c r="H3365" s="22" t="s">
        <v>4902</v>
      </c>
      <c r="I3365" s="26">
        <v>43682.683217592603</v>
      </c>
      <c r="J3365" s="28" t="s">
        <v>52</v>
      </c>
      <c r="K3365" s="28" t="s">
        <v>52</v>
      </c>
      <c r="L3365" s="28" t="s">
        <v>52</v>
      </c>
      <c r="M3365" s="28" t="s">
        <v>52</v>
      </c>
      <c r="N3365" s="28" t="s">
        <v>52</v>
      </c>
    </row>
    <row r="3366" spans="1:14" hidden="1" outlineLevel="1" x14ac:dyDescent="0.2">
      <c r="A3366" s="23" t="str">
        <f>HYPERLINK("https://www.spark-marketing.ru/Card/Person/4349347", "МУ ""СЛУЖБА ТРАНСПОРТА""")</f>
        <v>МУ "СЛУЖБА ТРАНСПОРТА"</v>
      </c>
      <c r="B3366" s="24" t="s">
        <v>4900</v>
      </c>
      <c r="C3366" s="25">
        <v>294777.87</v>
      </c>
      <c r="D3366" s="22" t="s">
        <v>4901</v>
      </c>
      <c r="E3366" s="22" t="s">
        <v>59</v>
      </c>
      <c r="F3366" s="23" t="str">
        <f>HYPERLINK("https://www.spark-marketing.ru/Card/Lot/72630846", "Монтаж и пуско-наладка автоматической установки охранной сигнализации (АУОС) в помещениях, расположенных по адресу: г. Переславль-Залесский, ул. Советская, дом 5.")</f>
        <v>Монтаж и пуско-наладка автоматической установки охранной сигнализации (АУОС) в помещениях, расположенных по адресу: г. Переславль-Залесский, ул. Советская, дом 5.</v>
      </c>
      <c r="G3366" s="22" t="s">
        <v>155</v>
      </c>
      <c r="H3366" s="22" t="s">
        <v>4902</v>
      </c>
      <c r="I3366" s="26">
        <v>43682.683217592603</v>
      </c>
      <c r="J3366" s="23" t="str">
        <f>HYPERLINK("https://www.spark-marketing.ru/Card/Person/552204", "ООО ""ЧОО ""СИГНАЛ-СЕРВИС""")</f>
        <v>ООО "ЧОО "СИГНАЛ-СЕРВИС"</v>
      </c>
      <c r="K3366" s="24" t="s">
        <v>4903</v>
      </c>
      <c r="L3366" s="28" t="s">
        <v>52</v>
      </c>
      <c r="M3366" s="25">
        <v>198616.88</v>
      </c>
      <c r="N3366" s="27">
        <v>0.32621509206237226</v>
      </c>
    </row>
    <row r="3367" spans="1:14" ht="12.75" hidden="1" outlineLevel="1" x14ac:dyDescent="0.2">
      <c r="A3367" s="23" t="str">
        <f>HYPERLINK("https://www.spark-marketing.ru/Card/Person/4349347", "МУ ""СЛУЖБА ТРАНСПОРТА""")</f>
        <v>МУ "СЛУЖБА ТРАНСПОРТА"</v>
      </c>
      <c r="B3367" s="24" t="s">
        <v>4900</v>
      </c>
      <c r="C3367" s="25">
        <v>294777.87</v>
      </c>
      <c r="D3367" s="22" t="s">
        <v>4901</v>
      </c>
      <c r="E3367" s="22" t="s">
        <v>59</v>
      </c>
      <c r="F3367" s="23" t="str">
        <f>HYPERLINK("https://www.spark-marketing.ru/Card/Lot/72630846", "Монтаж и пуско-наладка автоматической установки охранной сигнализации (АУОС) в помещениях, расположенных по адресу: г. Переславль-Залесский, ул. Советская, дом 5.")</f>
        <v>Монтаж и пуско-наладка автоматической установки охранной сигнализации (АУОС) в помещениях, расположенных по адресу: г. Переславль-Залесский, ул. Советская, дом 5.</v>
      </c>
      <c r="G3367" s="22" t="s">
        <v>155</v>
      </c>
      <c r="H3367" s="22" t="s">
        <v>4902</v>
      </c>
      <c r="I3367" s="26">
        <v>43682.683217592603</v>
      </c>
      <c r="J3367" s="23" t="str">
        <f>HYPERLINK("https://www.spark-marketing.ru/Card/Person/872820", "ООО ЧОП ""АРГУС С""")</f>
        <v>ООО ЧОП "АРГУС С"</v>
      </c>
      <c r="K3367" s="24" t="s">
        <v>4904</v>
      </c>
      <c r="L3367" s="22" t="s">
        <v>10</v>
      </c>
      <c r="M3367" s="25">
        <v>197142.99</v>
      </c>
      <c r="N3367" s="27">
        <v>0.33121509426742246</v>
      </c>
    </row>
    <row r="3368" spans="1:14" x14ac:dyDescent="0.15">
      <c r="A3368" s="23" t="str">
        <f>HYPERLINK("https://www.spark-marketing.ru/Card/Person/1037314", "МБОУ СОШ ИМ. И. ДЗУСОВА С. ЗАМАНКУЛ")</f>
        <v>МБОУ СОШ ИМ. И. ДЗУСОВА С. ЗАМАНКУЛ</v>
      </c>
      <c r="B3368" s="24" t="s">
        <v>4905</v>
      </c>
      <c r="C3368" s="25">
        <v>229388.6</v>
      </c>
      <c r="D3368" s="22" t="s">
        <v>4906</v>
      </c>
      <c r="E3368" s="22" t="s">
        <v>52</v>
      </c>
      <c r="F3368" s="23" t="str">
        <f>HYPERLINK("https://www.spark-marketing.ru/Card/Lot/72616806", "Услуги частных охранных служб")</f>
        <v>Услуги частных охранных служб</v>
      </c>
      <c r="G3368" s="22" t="s">
        <v>833</v>
      </c>
      <c r="H3368" s="22" t="s">
        <v>833</v>
      </c>
      <c r="I3368" s="26">
        <v>43682.671192129601</v>
      </c>
      <c r="J3368" s="28" t="s">
        <v>52</v>
      </c>
      <c r="K3368" s="28" t="s">
        <v>52</v>
      </c>
      <c r="L3368" s="28" t="s">
        <v>52</v>
      </c>
      <c r="M3368" s="28" t="s">
        <v>52</v>
      </c>
      <c r="N3368" s="28" t="s">
        <v>52</v>
      </c>
    </row>
    <row r="3369" spans="1:14" ht="12.75" hidden="1" outlineLevel="1" x14ac:dyDescent="0.2">
      <c r="A3369" s="23" t="str">
        <f>HYPERLINK("https://www.spark-marketing.ru/Card/Person/1037314", "МБОУ СОШ ИМ. И. ДЗУСОВА С. ЗАМАНКУЛ")</f>
        <v>МБОУ СОШ ИМ. И. ДЗУСОВА С. ЗАМАНКУЛ</v>
      </c>
      <c r="B3369" s="24" t="s">
        <v>4905</v>
      </c>
      <c r="C3369" s="25">
        <v>229388.6</v>
      </c>
      <c r="D3369" s="22" t="s">
        <v>4906</v>
      </c>
      <c r="E3369" s="22" t="s">
        <v>52</v>
      </c>
      <c r="F3369" s="23" t="str">
        <f>HYPERLINK("https://www.spark-marketing.ru/Card/Lot/72616806", "Услуги частных охранных служб")</f>
        <v>Услуги частных охранных служб</v>
      </c>
      <c r="G3369" s="22" t="s">
        <v>833</v>
      </c>
      <c r="H3369" s="22" t="s">
        <v>833</v>
      </c>
      <c r="I3369" s="26">
        <v>43682.671192129601</v>
      </c>
      <c r="J3369" s="23" t="str">
        <f>HYPERLINK("https://www.spark-marketing.ru/Card/Person/5943449", "ООО ЧОП ""БИДАС""")</f>
        <v>ООО ЧОП "БИДАС"</v>
      </c>
      <c r="K3369" s="24" t="s">
        <v>4907</v>
      </c>
      <c r="L3369" s="22" t="s">
        <v>10</v>
      </c>
      <c r="M3369" s="25">
        <v>221360.02</v>
      </c>
      <c r="N3369" s="27">
        <v>3.499990845229449E-2</v>
      </c>
    </row>
    <row r="3370" spans="1:14" hidden="1" outlineLevel="1" x14ac:dyDescent="0.2">
      <c r="A3370" s="23" t="str">
        <f>HYPERLINK("https://www.spark-marketing.ru/Card/Person/1037314", "МБОУ СОШ ИМ. И. ДЗУСОВА С. ЗАМАНКУЛ")</f>
        <v>МБОУ СОШ ИМ. И. ДЗУСОВА С. ЗАМАНКУЛ</v>
      </c>
      <c r="B3370" s="24" t="s">
        <v>4905</v>
      </c>
      <c r="C3370" s="25">
        <v>229388.6</v>
      </c>
      <c r="D3370" s="22" t="s">
        <v>4906</v>
      </c>
      <c r="E3370" s="22" t="s">
        <v>52</v>
      </c>
      <c r="F3370" s="23" t="str">
        <f>HYPERLINK("https://www.spark-marketing.ru/Card/Lot/72616806", "Услуги частных охранных служб")</f>
        <v>Услуги частных охранных служб</v>
      </c>
      <c r="G3370" s="22" t="s">
        <v>833</v>
      </c>
      <c r="H3370" s="22" t="s">
        <v>833</v>
      </c>
      <c r="I3370" s="26">
        <v>43682.671192129601</v>
      </c>
      <c r="J3370" s="23" t="str">
        <f>HYPERLINK("https://www.spark-marketing.ru/Card/Person/980230", "ООО "" ЧОО ""БУЛАТ""")</f>
        <v>ООО " ЧОО "БУЛАТ"</v>
      </c>
      <c r="K3370" s="24" t="s">
        <v>4908</v>
      </c>
      <c r="L3370" s="28" t="s">
        <v>52</v>
      </c>
      <c r="M3370" s="25">
        <v>222506.96</v>
      </c>
      <c r="N3370" s="27">
        <v>2.9999921530538137E-2</v>
      </c>
    </row>
    <row r="3371" spans="1:14" x14ac:dyDescent="0.15">
      <c r="A3371" s="23" t="str">
        <f>HYPERLINK("https://www.spark-marketing.ru/Card/Person/4348577", "АО ЧМЗ")</f>
        <v>АО ЧМЗ</v>
      </c>
      <c r="B3371" s="24" t="s">
        <v>4909</v>
      </c>
      <c r="C3371" s="28" t="s">
        <v>52</v>
      </c>
      <c r="D3371" s="22" t="s">
        <v>4910</v>
      </c>
      <c r="E3371" s="22" t="s">
        <v>84</v>
      </c>
      <c r="F3371" s="23" t="str">
        <f>HYPERLINK("https://www.spark-marketing.ru/Card/Lot/72603849", "Оснащению техническими средствами системы видеонаблюдения площадки накопления отходов производства и потребления на прилегающей территории АО ЧМЗ, обеспечивающими в ежегодном режиме в дневное и ночное время осуществлять фиксацию движения автотранспор...")</f>
        <v>Оснащению техническими средствами системы видеонаблюдения площадки накопления отходов производства и потребления на прилегающей территории АО ЧМЗ, обеспечивающими в ежегодном режиме в дневное и ночное время осуществлять фиксацию движения автотранспор...</v>
      </c>
      <c r="G3371" s="22" t="s">
        <v>96</v>
      </c>
      <c r="H3371" s="22" t="s">
        <v>4911</v>
      </c>
      <c r="I3371" s="26">
        <v>43682.596944444398</v>
      </c>
      <c r="J3371" s="28" t="s">
        <v>52</v>
      </c>
      <c r="K3371" s="28" t="s">
        <v>52</v>
      </c>
      <c r="L3371" s="28" t="s">
        <v>52</v>
      </c>
      <c r="M3371" s="28" t="s">
        <v>52</v>
      </c>
      <c r="N3371" s="28" t="s">
        <v>52</v>
      </c>
    </row>
    <row r="3372" spans="1:14" x14ac:dyDescent="0.15">
      <c r="A3372" s="23" t="str">
        <f>HYPERLINK("https://www.spark-marketing.ru/Card/Person/4348577", "АО ЧМЗ")</f>
        <v>АО ЧМЗ</v>
      </c>
      <c r="B3372" s="24" t="s">
        <v>4909</v>
      </c>
      <c r="C3372" s="25">
        <v>0</v>
      </c>
      <c r="D3372" s="22" t="s">
        <v>4912</v>
      </c>
      <c r="E3372" s="22" t="s">
        <v>53</v>
      </c>
      <c r="F3372" s="23" t="str">
        <f>HYPERLINK("https://www.spark-marketing.ru/Card/Lot/72609693", "мониторинг цен в электронной форме на Оснащению техническими средствами системы видеонаблюдения площадки накопления отходов производства и потребления на прилегающей территории АО ЧМЗ, обеспечивающими в ежегодном режиме в дневное и ночное время осуще...")</f>
        <v>мониторинг цен в электронной форме на Оснащению техническими средствами системы видеонаблюдения площадки накопления отходов производства и потребления на прилегающей территории АО ЧМЗ, обеспечивающими в ежегодном режиме в дневное и ночное время осуще...</v>
      </c>
      <c r="G3372" s="22" t="s">
        <v>96</v>
      </c>
      <c r="H3372" s="22" t="s">
        <v>4911</v>
      </c>
      <c r="I3372" s="26">
        <v>43682.597048611096</v>
      </c>
      <c r="J3372" s="28" t="s">
        <v>52</v>
      </c>
      <c r="K3372" s="28" t="s">
        <v>52</v>
      </c>
      <c r="L3372" s="28" t="s">
        <v>52</v>
      </c>
      <c r="M3372" s="28" t="s">
        <v>52</v>
      </c>
      <c r="N3372" s="28" t="s">
        <v>52</v>
      </c>
    </row>
    <row r="3373" spans="1:14" x14ac:dyDescent="0.15">
      <c r="A3373" s="23" t="str">
        <f>HYPERLINK("https://www.spark-marketing.ru/Card/Person/30990", "ИФНС РОССИИ ПО Г. НАРО-ФОМИНСКУ МОСКОВСКОЙ ОБЛАСТИ")</f>
        <v>ИФНС РОССИИ ПО Г. НАРО-ФОМИНСКУ МОСКОВСКОЙ ОБЛАСТИ</v>
      </c>
      <c r="B3373" s="24" t="s">
        <v>4913</v>
      </c>
      <c r="C3373" s="25">
        <v>46946</v>
      </c>
      <c r="D3373" s="22" t="s">
        <v>4914</v>
      </c>
      <c r="E3373" s="22" t="s">
        <v>53</v>
      </c>
      <c r="F3373" s="23" t="str">
        <f>HYPERLINK("https://www.spark-marketing.ru/Card/Lot/72600402", "Охранные услуги")</f>
        <v>Охранные услуги</v>
      </c>
      <c r="G3373" s="22" t="s">
        <v>50</v>
      </c>
      <c r="H3373" s="22" t="s">
        <v>2332</v>
      </c>
      <c r="I3373" s="26">
        <v>43682.618032407401</v>
      </c>
      <c r="J3373" s="28" t="s">
        <v>52</v>
      </c>
      <c r="K3373" s="28" t="s">
        <v>52</v>
      </c>
      <c r="L3373" s="28" t="s">
        <v>52</v>
      </c>
      <c r="M3373" s="28" t="s">
        <v>52</v>
      </c>
      <c r="N3373" s="28" t="s">
        <v>52</v>
      </c>
    </row>
    <row r="3374" spans="1:14" x14ac:dyDescent="0.15">
      <c r="A3374" s="23" t="str">
        <f>HYPERLINK("https://www.spark-marketing.ru/Card/Person/4348577", "АО ЧМЗ")</f>
        <v>АО ЧМЗ</v>
      </c>
      <c r="B3374" s="24" t="s">
        <v>4909</v>
      </c>
      <c r="C3374" s="28" t="s">
        <v>52</v>
      </c>
      <c r="D3374" s="22" t="s">
        <v>4915</v>
      </c>
      <c r="E3374" s="22" t="s">
        <v>53</v>
      </c>
      <c r="F3374" s="23" t="str">
        <f>HYPERLINK("https://www.spark-marketing.ru/Card/Lot/72606046", "Оснащению техническими средствами системы видеонаблюдения площадки накопления отходов производства и потребления на прилегающей территории АО ЧМЗ, обеспечивающими в ежегодном режиме в дневное и ночное время осуществлять фиксацию движения автотранспор...")</f>
        <v>Оснащению техническими средствами системы видеонаблюдения площадки накопления отходов производства и потребления на прилегающей территории АО ЧМЗ, обеспечивающими в ежегодном режиме в дневное и ночное время осуществлять фиксацию движения автотранспор...</v>
      </c>
      <c r="G3374" s="22" t="s">
        <v>96</v>
      </c>
      <c r="H3374" s="22" t="s">
        <v>4911</v>
      </c>
      <c r="I3374" s="26">
        <v>43682.596701388902</v>
      </c>
      <c r="J3374" s="28" t="s">
        <v>52</v>
      </c>
      <c r="K3374" s="28" t="s">
        <v>52</v>
      </c>
      <c r="L3374" s="28" t="s">
        <v>52</v>
      </c>
      <c r="M3374" s="28" t="s">
        <v>52</v>
      </c>
      <c r="N3374" s="28" t="s">
        <v>52</v>
      </c>
    </row>
    <row r="3375" spans="1:14" x14ac:dyDescent="0.15">
      <c r="A3375" s="23" t="str">
        <f>HYPERLINK("https://www.spark-marketing.ru/Card/Person/33740", "ГКУ АЗ (КС) ДЗМ")</f>
        <v>ГКУ АЗ (КС) ДЗМ</v>
      </c>
      <c r="B3375" s="24" t="s">
        <v>3067</v>
      </c>
      <c r="C3375" s="25">
        <v>25022487.699999999</v>
      </c>
      <c r="D3375" s="22" t="s">
        <v>4916</v>
      </c>
      <c r="E3375" s="22" t="s">
        <v>3069</v>
      </c>
      <c r="F3375" s="23" t="str">
        <f>HYPERLINK("https://www.spark-marketing.ru/Card/Lot/72604229", "Аукцион в электронной форме на поставку, установку и ввод в эксплуатацию видеоэндоскопических систем (ОП2019-01)")</f>
        <v>Аукцион в электронной форме на поставку, установку и ввод в эксплуатацию видеоэндоскопических систем (ОП2019-01)</v>
      </c>
      <c r="G3375" s="22" t="s">
        <v>55</v>
      </c>
      <c r="H3375" s="22" t="s">
        <v>55</v>
      </c>
      <c r="I3375" s="26">
        <v>43682.592037037</v>
      </c>
      <c r="J3375" s="28" t="s">
        <v>52</v>
      </c>
      <c r="K3375" s="28" t="s">
        <v>52</v>
      </c>
      <c r="L3375" s="28" t="s">
        <v>52</v>
      </c>
      <c r="M3375" s="28" t="s">
        <v>52</v>
      </c>
      <c r="N3375" s="28" t="s">
        <v>52</v>
      </c>
    </row>
    <row r="3376" spans="1:14" hidden="1" outlineLevel="1" x14ac:dyDescent="0.2">
      <c r="A3376" s="23" t="str">
        <f>HYPERLINK("https://www.spark-marketing.ru/Card/Person/33740", "ГКУ АЗ (КС) ДЗМ")</f>
        <v>ГКУ АЗ (КС) ДЗМ</v>
      </c>
      <c r="B3376" s="24" t="s">
        <v>3067</v>
      </c>
      <c r="C3376" s="25">
        <v>25022487.699999999</v>
      </c>
      <c r="D3376" s="22" t="s">
        <v>4916</v>
      </c>
      <c r="E3376" s="22" t="s">
        <v>3069</v>
      </c>
      <c r="F3376" s="23" t="str">
        <f>HYPERLINK("https://www.spark-marketing.ru/Card/Lot/72604229", "Аукцион в электронной форме на поставку, установку и ввод в эксплуатацию видеоэндоскопических систем (ОП2019-01)")</f>
        <v>Аукцион в электронной форме на поставку, установку и ввод в эксплуатацию видеоэндоскопических систем (ОП2019-01)</v>
      </c>
      <c r="G3376" s="22" t="s">
        <v>55</v>
      </c>
      <c r="H3376" s="22" t="s">
        <v>55</v>
      </c>
      <c r="I3376" s="26">
        <v>43682.592037037</v>
      </c>
      <c r="J3376" s="23" t="str">
        <f>HYPERLINK("https://www.spark-marketing.ru/Card/Person/6299603", "ООО ""ВЕКТОР""")</f>
        <v>ООО "ВЕКТОР"</v>
      </c>
      <c r="K3376" s="24" t="s">
        <v>4917</v>
      </c>
      <c r="L3376" s="28" t="s">
        <v>52</v>
      </c>
      <c r="M3376" s="25">
        <v>24647150.379999999</v>
      </c>
      <c r="N3376" s="27">
        <v>1.5000000179838234E-2</v>
      </c>
    </row>
    <row r="3377" spans="1:14" ht="12.75" hidden="1" outlineLevel="1" x14ac:dyDescent="0.2">
      <c r="A3377" s="23" t="str">
        <f>HYPERLINK("https://www.spark-marketing.ru/Card/Person/33740", "ГКУ АЗ (КС) ДЗМ")</f>
        <v>ГКУ АЗ (КС) ДЗМ</v>
      </c>
      <c r="B3377" s="24" t="s">
        <v>3067</v>
      </c>
      <c r="C3377" s="25">
        <v>25022487.699999999</v>
      </c>
      <c r="D3377" s="22" t="s">
        <v>4916</v>
      </c>
      <c r="E3377" s="22" t="s">
        <v>3069</v>
      </c>
      <c r="F3377" s="23" t="str">
        <f>HYPERLINK("https://www.spark-marketing.ru/Card/Lot/72604229", "Аукцион в электронной форме на поставку, установку и ввод в эксплуатацию видеоэндоскопических систем (ОП2019-01)")</f>
        <v>Аукцион в электронной форме на поставку, установку и ввод в эксплуатацию видеоэндоскопических систем (ОП2019-01)</v>
      </c>
      <c r="G3377" s="22" t="s">
        <v>55</v>
      </c>
      <c r="H3377" s="22" t="s">
        <v>55</v>
      </c>
      <c r="I3377" s="26">
        <v>43682.592037037</v>
      </c>
      <c r="J3377" s="23" t="str">
        <f>HYPERLINK("https://www.spark-marketing.ru/Card/Person/4346261", "АО ""ВИКИНГ""")</f>
        <v>АО "ВИКИНГ"</v>
      </c>
      <c r="K3377" s="24" t="s">
        <v>4918</v>
      </c>
      <c r="L3377" s="22" t="s">
        <v>10</v>
      </c>
      <c r="M3377" s="25">
        <v>24522037.940000001</v>
      </c>
      <c r="N3377" s="27">
        <v>2.0000000239784311E-2</v>
      </c>
    </row>
    <row r="3378" spans="1:14" x14ac:dyDescent="0.15">
      <c r="A3378" s="23" t="str">
        <f t="shared" ref="A3378:A3394" si="145">HYPERLINK("https://www.spark-marketing.ru/Card/Person/8050", "МКУ ""ТОИЭЗ""")</f>
        <v>МКУ "ТОИЭЗ"</v>
      </c>
      <c r="B3378" s="24" t="s">
        <v>4919</v>
      </c>
      <c r="C3378" s="25">
        <v>470240</v>
      </c>
      <c r="D3378" s="22" t="s">
        <v>4920</v>
      </c>
      <c r="E3378" s="22" t="s">
        <v>84</v>
      </c>
      <c r="F3378" s="23" t="str">
        <f t="shared" ref="F3378:F3394" si="146">HYPERLINK("https://www.spark-marketing.ru/Card/Lot/72598125", "Услуги по монтажу (установке) системы видеонаблюдения в зданиях СПДС г.о.Жигулевск")</f>
        <v>Услуги по монтажу (установке) системы видеонаблюдения в зданиях СПДС г.о.Жигулевск</v>
      </c>
      <c r="G3378" s="22" t="s">
        <v>760</v>
      </c>
      <c r="H3378" s="22" t="s">
        <v>4921</v>
      </c>
      <c r="I3378" s="26">
        <v>43682.557048611103</v>
      </c>
      <c r="J3378" s="28" t="s">
        <v>52</v>
      </c>
      <c r="K3378" s="28" t="s">
        <v>52</v>
      </c>
      <c r="L3378" s="28" t="s">
        <v>52</v>
      </c>
      <c r="M3378" s="28" t="s">
        <v>52</v>
      </c>
      <c r="N3378" s="28" t="s">
        <v>52</v>
      </c>
    </row>
    <row r="3379" spans="1:14" hidden="1" outlineLevel="1" x14ac:dyDescent="0.2">
      <c r="A3379" s="23" t="str">
        <f t="shared" si="145"/>
        <v>МКУ "ТОИЭЗ"</v>
      </c>
      <c r="B3379" s="24" t="s">
        <v>4919</v>
      </c>
      <c r="C3379" s="25">
        <v>470240</v>
      </c>
      <c r="D3379" s="22" t="s">
        <v>4920</v>
      </c>
      <c r="E3379" s="22" t="s">
        <v>84</v>
      </c>
      <c r="F3379" s="23" t="str">
        <f t="shared" si="146"/>
        <v>Услуги по монтажу (установке) системы видеонаблюдения в зданиях СПДС г.о.Жигулевск</v>
      </c>
      <c r="G3379" s="22" t="s">
        <v>760</v>
      </c>
      <c r="H3379" s="22" t="s">
        <v>4921</v>
      </c>
      <c r="I3379" s="26">
        <v>43682.557048611103</v>
      </c>
      <c r="J3379" s="23" t="str">
        <f>HYPERLINK("https://www.spark-marketing.ru/Card/Person/674803", "Тарасов Константин Васильевич")</f>
        <v>Тарасов Константин Васильевич</v>
      </c>
      <c r="K3379" s="24" t="s">
        <v>4922</v>
      </c>
      <c r="L3379" s="28" t="s">
        <v>52</v>
      </c>
      <c r="M3379" s="25">
        <v>367800</v>
      </c>
      <c r="N3379" s="27">
        <v>0.21784620619258252</v>
      </c>
    </row>
    <row r="3380" spans="1:14" ht="12.75" hidden="1" outlineLevel="1" x14ac:dyDescent="0.2">
      <c r="A3380" s="23" t="str">
        <f t="shared" si="145"/>
        <v>МКУ "ТОИЭЗ"</v>
      </c>
      <c r="B3380" s="24" t="s">
        <v>4919</v>
      </c>
      <c r="C3380" s="25">
        <v>470240</v>
      </c>
      <c r="D3380" s="22" t="s">
        <v>4920</v>
      </c>
      <c r="E3380" s="22" t="s">
        <v>84</v>
      </c>
      <c r="F3380" s="23" t="str">
        <f t="shared" si="146"/>
        <v>Услуги по монтажу (установке) системы видеонаблюдения в зданиях СПДС г.о.Жигулевск</v>
      </c>
      <c r="G3380" s="22" t="s">
        <v>760</v>
      </c>
      <c r="H3380" s="22" t="s">
        <v>4921</v>
      </c>
      <c r="I3380" s="26">
        <v>43682.557048611103</v>
      </c>
      <c r="J3380" s="23" t="str">
        <f>HYPERLINK("https://www.spark-marketing.ru/Card/Person/4855672", "Соннова Екатерина Александровна")</f>
        <v>Соннова Екатерина Александровна</v>
      </c>
      <c r="K3380" s="24" t="s">
        <v>2556</v>
      </c>
      <c r="L3380" s="22" t="s">
        <v>10</v>
      </c>
      <c r="M3380" s="25">
        <v>259720</v>
      </c>
      <c r="N3380" s="27">
        <v>0.44768628785301123</v>
      </c>
    </row>
    <row r="3381" spans="1:14" hidden="1" outlineLevel="1" x14ac:dyDescent="0.2">
      <c r="A3381" s="23" t="str">
        <f t="shared" si="145"/>
        <v>МКУ "ТОИЭЗ"</v>
      </c>
      <c r="B3381" s="24" t="s">
        <v>4919</v>
      </c>
      <c r="C3381" s="25">
        <v>470240</v>
      </c>
      <c r="D3381" s="22" t="s">
        <v>4920</v>
      </c>
      <c r="E3381" s="22" t="s">
        <v>84</v>
      </c>
      <c r="F3381" s="23" t="str">
        <f t="shared" si="146"/>
        <v>Услуги по монтажу (установке) системы видеонаблюдения в зданиях СПДС г.о.Жигулевск</v>
      </c>
      <c r="G3381" s="22" t="s">
        <v>760</v>
      </c>
      <c r="H3381" s="22" t="s">
        <v>4921</v>
      </c>
      <c r="I3381" s="26">
        <v>43682.557048611103</v>
      </c>
      <c r="J3381" s="23" t="str">
        <f>HYPERLINK("https://www.spark-marketing.ru/Card/Person/5853123", "Ершов Андрей Алексеевич")</f>
        <v>Ершов Андрей Алексеевич</v>
      </c>
      <c r="K3381" s="24" t="s">
        <v>1063</v>
      </c>
      <c r="L3381" s="28" t="s">
        <v>52</v>
      </c>
      <c r="M3381" s="25">
        <v>358000</v>
      </c>
      <c r="N3381" s="27">
        <v>0.23868662810479754</v>
      </c>
    </row>
    <row r="3382" spans="1:14" hidden="1" outlineLevel="1" x14ac:dyDescent="0.2">
      <c r="A3382" s="23" t="str">
        <f t="shared" si="145"/>
        <v>МКУ "ТОИЭЗ"</v>
      </c>
      <c r="B3382" s="24" t="s">
        <v>4919</v>
      </c>
      <c r="C3382" s="25">
        <v>470240</v>
      </c>
      <c r="D3382" s="22" t="s">
        <v>4920</v>
      </c>
      <c r="E3382" s="22" t="s">
        <v>84</v>
      </c>
      <c r="F3382" s="23" t="str">
        <f t="shared" si="146"/>
        <v>Услуги по монтажу (установке) системы видеонаблюдения в зданиях СПДС г.о.Жигулевск</v>
      </c>
      <c r="G3382" s="22" t="s">
        <v>760</v>
      </c>
      <c r="H3382" s="22" t="s">
        <v>4921</v>
      </c>
      <c r="I3382" s="26">
        <v>43682.557048611103</v>
      </c>
      <c r="J3382" s="23" t="str">
        <f>HYPERLINK("https://www.spark-marketing.ru/Card/Person/376325", "ООО ""ВАША БЕЗОПАСНОСТЬ""")</f>
        <v>ООО "ВАША БЕЗОПАСНОСТЬ"</v>
      </c>
      <c r="K3382" s="24" t="s">
        <v>4923</v>
      </c>
      <c r="L3382" s="28" t="s">
        <v>52</v>
      </c>
      <c r="M3382" s="25">
        <v>360000</v>
      </c>
      <c r="N3382" s="27">
        <v>0.23443348077577408</v>
      </c>
    </row>
    <row r="3383" spans="1:14" hidden="1" outlineLevel="1" x14ac:dyDescent="0.2">
      <c r="A3383" s="23" t="str">
        <f t="shared" si="145"/>
        <v>МКУ "ТОИЭЗ"</v>
      </c>
      <c r="B3383" s="24" t="s">
        <v>4919</v>
      </c>
      <c r="C3383" s="25">
        <v>470240</v>
      </c>
      <c r="D3383" s="22" t="s">
        <v>4920</v>
      </c>
      <c r="E3383" s="22" t="s">
        <v>84</v>
      </c>
      <c r="F3383" s="23" t="str">
        <f t="shared" si="146"/>
        <v>Услуги по монтажу (установке) системы видеонаблюдения в зданиях СПДС г.о.Жигулевск</v>
      </c>
      <c r="G3383" s="22" t="s">
        <v>760</v>
      </c>
      <c r="H3383" s="22" t="s">
        <v>4921</v>
      </c>
      <c r="I3383" s="26">
        <v>43682.557048611103</v>
      </c>
      <c r="J3383" s="23" t="str">
        <f>HYPERLINK("https://www.spark-marketing.ru/Card/Person/4885238", "ООО ""АСК""")</f>
        <v>ООО "АСК"</v>
      </c>
      <c r="K3383" s="24" t="s">
        <v>4924</v>
      </c>
      <c r="L3383" s="28" t="s">
        <v>52</v>
      </c>
      <c r="M3383" s="25">
        <v>418000</v>
      </c>
      <c r="N3383" s="27">
        <v>0.11109220823409323</v>
      </c>
    </row>
    <row r="3384" spans="1:14" hidden="1" outlineLevel="1" x14ac:dyDescent="0.2">
      <c r="A3384" s="23" t="str">
        <f t="shared" si="145"/>
        <v>МКУ "ТОИЭЗ"</v>
      </c>
      <c r="B3384" s="24" t="s">
        <v>4919</v>
      </c>
      <c r="C3384" s="25">
        <v>470240</v>
      </c>
      <c r="D3384" s="22" t="s">
        <v>4920</v>
      </c>
      <c r="E3384" s="22" t="s">
        <v>84</v>
      </c>
      <c r="F3384" s="23" t="str">
        <f t="shared" si="146"/>
        <v>Услуги по монтажу (установке) системы видеонаблюдения в зданиях СПДС г.о.Жигулевск</v>
      </c>
      <c r="G3384" s="22" t="s">
        <v>760</v>
      </c>
      <c r="H3384" s="22" t="s">
        <v>4921</v>
      </c>
      <c r="I3384" s="26">
        <v>43682.557048611103</v>
      </c>
      <c r="J3384" s="23" t="str">
        <f>HYPERLINK("https://www.spark-marketing.ru/Card/Person/6686822", "Дмитриев Владимир Анатольевич")</f>
        <v>Дмитриев Владимир Анатольевич</v>
      </c>
      <c r="K3384" s="24" t="s">
        <v>4925</v>
      </c>
      <c r="L3384" s="28" t="s">
        <v>52</v>
      </c>
      <c r="M3384" s="25">
        <v>376918</v>
      </c>
      <c r="N3384" s="27">
        <v>0.19845610751956447</v>
      </c>
    </row>
    <row r="3385" spans="1:14" hidden="1" outlineLevel="1" x14ac:dyDescent="0.2">
      <c r="A3385" s="23" t="str">
        <f t="shared" si="145"/>
        <v>МКУ "ТОИЭЗ"</v>
      </c>
      <c r="B3385" s="24" t="s">
        <v>4919</v>
      </c>
      <c r="C3385" s="25">
        <v>470240</v>
      </c>
      <c r="D3385" s="22" t="s">
        <v>4920</v>
      </c>
      <c r="E3385" s="22" t="s">
        <v>84</v>
      </c>
      <c r="F3385" s="23" t="str">
        <f t="shared" si="146"/>
        <v>Услуги по монтажу (установке) системы видеонаблюдения в зданиях СПДС г.о.Жигулевск</v>
      </c>
      <c r="G3385" s="22" t="s">
        <v>760</v>
      </c>
      <c r="H3385" s="22" t="s">
        <v>4921</v>
      </c>
      <c r="I3385" s="26">
        <v>43682.557048611103</v>
      </c>
      <c r="J3385" s="23" t="str">
        <f>HYPERLINK("https://www.spark-marketing.ru/Card/Person/5947544", "ООО ""ВИДЕОСРЕДА""")</f>
        <v>ООО "ВИДЕОСРЕДА"</v>
      </c>
      <c r="K3385" s="24" t="s">
        <v>4926</v>
      </c>
      <c r="L3385" s="28" t="s">
        <v>52</v>
      </c>
      <c r="M3385" s="25">
        <v>392500</v>
      </c>
      <c r="N3385" s="27">
        <v>0.16531983667914257</v>
      </c>
    </row>
    <row r="3386" spans="1:14" hidden="1" outlineLevel="1" x14ac:dyDescent="0.2">
      <c r="A3386" s="23" t="str">
        <f t="shared" si="145"/>
        <v>МКУ "ТОИЭЗ"</v>
      </c>
      <c r="B3386" s="24" t="s">
        <v>4919</v>
      </c>
      <c r="C3386" s="25">
        <v>470240</v>
      </c>
      <c r="D3386" s="22" t="s">
        <v>4920</v>
      </c>
      <c r="E3386" s="22" t="s">
        <v>84</v>
      </c>
      <c r="F3386" s="23" t="str">
        <f t="shared" si="146"/>
        <v>Услуги по монтажу (установке) системы видеонаблюдения в зданиях СПДС г.о.Жигулевск</v>
      </c>
      <c r="G3386" s="22" t="s">
        <v>760</v>
      </c>
      <c r="H3386" s="22" t="s">
        <v>4921</v>
      </c>
      <c r="I3386" s="26">
        <v>43682.557048611103</v>
      </c>
      <c r="J3386" s="23" t="str">
        <f>HYPERLINK("https://www.spark-marketing.ru/Card/Person/390380", "ООО ""КОНТРОЛЬ-Н""")</f>
        <v>ООО "КОНТРОЛЬ-Н"</v>
      </c>
      <c r="K3386" s="24" t="s">
        <v>4927</v>
      </c>
      <c r="L3386" s="28" t="s">
        <v>52</v>
      </c>
      <c r="M3386" s="25">
        <v>395000</v>
      </c>
      <c r="N3386" s="27">
        <v>0.16000340251786321</v>
      </c>
    </row>
    <row r="3387" spans="1:14" hidden="1" outlineLevel="1" x14ac:dyDescent="0.2">
      <c r="A3387" s="23" t="str">
        <f t="shared" si="145"/>
        <v>МКУ "ТОИЭЗ"</v>
      </c>
      <c r="B3387" s="24" t="s">
        <v>4919</v>
      </c>
      <c r="C3387" s="25">
        <v>470240</v>
      </c>
      <c r="D3387" s="22" t="s">
        <v>4920</v>
      </c>
      <c r="E3387" s="22" t="s">
        <v>84</v>
      </c>
      <c r="F3387" s="23" t="str">
        <f t="shared" si="146"/>
        <v>Услуги по монтажу (установке) системы видеонаблюдения в зданиях СПДС г.о.Жигулевск</v>
      </c>
      <c r="G3387" s="22" t="s">
        <v>760</v>
      </c>
      <c r="H3387" s="22" t="s">
        <v>4921</v>
      </c>
      <c r="I3387" s="26">
        <v>43682.557048611103</v>
      </c>
      <c r="J3387" s="23" t="str">
        <f>HYPERLINK("https://www.spark-marketing.ru/Card/Person/1290124", "ООО ""СОТИС МАСТЕР""")</f>
        <v>ООО "СОТИС МАСТЕР"</v>
      </c>
      <c r="K3387" s="24" t="s">
        <v>4928</v>
      </c>
      <c r="L3387" s="28" t="s">
        <v>52</v>
      </c>
      <c r="M3387" s="25">
        <v>421900</v>
      </c>
      <c r="N3387" s="27">
        <v>0.10279857094249745</v>
      </c>
    </row>
    <row r="3388" spans="1:14" hidden="1" outlineLevel="1" x14ac:dyDescent="0.2">
      <c r="A3388" s="23" t="str">
        <f t="shared" si="145"/>
        <v>МКУ "ТОИЭЗ"</v>
      </c>
      <c r="B3388" s="24" t="s">
        <v>4919</v>
      </c>
      <c r="C3388" s="25">
        <v>470240</v>
      </c>
      <c r="D3388" s="22" t="s">
        <v>4920</v>
      </c>
      <c r="E3388" s="22" t="s">
        <v>84</v>
      </c>
      <c r="F3388" s="23" t="str">
        <f t="shared" si="146"/>
        <v>Услуги по монтажу (установке) системы видеонаблюдения в зданиях СПДС г.о.Жигулевск</v>
      </c>
      <c r="G3388" s="22" t="s">
        <v>760</v>
      </c>
      <c r="H3388" s="22" t="s">
        <v>4921</v>
      </c>
      <c r="I3388" s="26">
        <v>43682.557048611103</v>
      </c>
      <c r="J3388" s="23" t="str">
        <f>HYPERLINK("https://www.spark-marketing.ru/Card/Person/6053776", "ООО ""ТД КВАНТ""")</f>
        <v>ООО "ТД КВАНТ"</v>
      </c>
      <c r="K3388" s="24" t="s">
        <v>4929</v>
      </c>
      <c r="L3388" s="28" t="s">
        <v>52</v>
      </c>
      <c r="M3388" s="25">
        <v>428980</v>
      </c>
      <c r="N3388" s="27">
        <v>8.774242939775434E-2</v>
      </c>
    </row>
    <row r="3389" spans="1:14" hidden="1" outlineLevel="1" x14ac:dyDescent="0.2">
      <c r="A3389" s="23" t="str">
        <f t="shared" si="145"/>
        <v>МКУ "ТОИЭЗ"</v>
      </c>
      <c r="B3389" s="24" t="s">
        <v>4919</v>
      </c>
      <c r="C3389" s="25">
        <v>470240</v>
      </c>
      <c r="D3389" s="22" t="s">
        <v>4920</v>
      </c>
      <c r="E3389" s="22" t="s">
        <v>84</v>
      </c>
      <c r="F3389" s="23" t="str">
        <f t="shared" si="146"/>
        <v>Услуги по монтажу (установке) системы видеонаблюдения в зданиях СПДС г.о.Жигулевск</v>
      </c>
      <c r="G3389" s="22" t="s">
        <v>760</v>
      </c>
      <c r="H3389" s="22" t="s">
        <v>4921</v>
      </c>
      <c r="I3389" s="26">
        <v>43682.557048611103</v>
      </c>
      <c r="J3389" s="23" t="str">
        <f>HYPERLINK("https://www.spark-marketing.ru/Card/Person/6170057", "ООО ""ТЕХНОЭРА""")</f>
        <v>ООО "ТЕХНОЭРА"</v>
      </c>
      <c r="K3389" s="24" t="s">
        <v>4930</v>
      </c>
      <c r="L3389" s="28" t="s">
        <v>52</v>
      </c>
      <c r="M3389" s="25">
        <v>431000</v>
      </c>
      <c r="N3389" s="27">
        <v>8.3446750595440627E-2</v>
      </c>
    </row>
    <row r="3390" spans="1:14" hidden="1" outlineLevel="1" x14ac:dyDescent="0.2">
      <c r="A3390" s="23" t="str">
        <f t="shared" si="145"/>
        <v>МКУ "ТОИЭЗ"</v>
      </c>
      <c r="B3390" s="24" t="s">
        <v>4919</v>
      </c>
      <c r="C3390" s="25">
        <v>470240</v>
      </c>
      <c r="D3390" s="22" t="s">
        <v>4920</v>
      </c>
      <c r="E3390" s="22" t="s">
        <v>84</v>
      </c>
      <c r="F3390" s="23" t="str">
        <f t="shared" si="146"/>
        <v>Услуги по монтажу (установке) системы видеонаблюдения в зданиях СПДС г.о.Жигулевск</v>
      </c>
      <c r="G3390" s="22" t="s">
        <v>760</v>
      </c>
      <c r="H3390" s="22" t="s">
        <v>4921</v>
      </c>
      <c r="I3390" s="26">
        <v>43682.557048611103</v>
      </c>
      <c r="J3390" s="23" t="str">
        <f>HYPERLINK("https://www.spark-marketing.ru/Card/Person/2039657", "ООО ""СП ГРУПП""")</f>
        <v>ООО "СП ГРУПП"</v>
      </c>
      <c r="K3390" s="24" t="s">
        <v>4931</v>
      </c>
      <c r="L3390" s="28" t="s">
        <v>52</v>
      </c>
      <c r="M3390" s="25">
        <v>454000</v>
      </c>
      <c r="N3390" s="27">
        <v>3.4535556311670636E-2</v>
      </c>
    </row>
    <row r="3391" spans="1:14" hidden="1" outlineLevel="1" x14ac:dyDescent="0.2">
      <c r="A3391" s="23" t="str">
        <f t="shared" si="145"/>
        <v>МКУ "ТОИЭЗ"</v>
      </c>
      <c r="B3391" s="24" t="s">
        <v>4919</v>
      </c>
      <c r="C3391" s="25">
        <v>470240</v>
      </c>
      <c r="D3391" s="22" t="s">
        <v>4920</v>
      </c>
      <c r="E3391" s="22" t="s">
        <v>84</v>
      </c>
      <c r="F3391" s="23" t="str">
        <f t="shared" si="146"/>
        <v>Услуги по монтажу (установке) системы видеонаблюдения в зданиях СПДС г.о.Жигулевск</v>
      </c>
      <c r="G3391" s="22" t="s">
        <v>760</v>
      </c>
      <c r="H3391" s="22" t="s">
        <v>4921</v>
      </c>
      <c r="I3391" s="26">
        <v>43682.557048611103</v>
      </c>
      <c r="J3391" s="23" t="str">
        <f>HYPERLINK("https://www.spark-marketing.ru/Card/Person/1125476", "ООО ""ЭКОЦВЕТ""")</f>
        <v>ООО "ЭКОЦВЕТ"</v>
      </c>
      <c r="K3391" s="24" t="s">
        <v>4932</v>
      </c>
      <c r="L3391" s="28" t="s">
        <v>52</v>
      </c>
      <c r="M3391" s="25">
        <v>460240</v>
      </c>
      <c r="N3391" s="27">
        <v>2.1265736645117387E-2</v>
      </c>
    </row>
    <row r="3392" spans="1:14" hidden="1" outlineLevel="1" x14ac:dyDescent="0.2">
      <c r="A3392" s="23" t="str">
        <f t="shared" si="145"/>
        <v>МКУ "ТОИЭЗ"</v>
      </c>
      <c r="B3392" s="24" t="s">
        <v>4919</v>
      </c>
      <c r="C3392" s="25">
        <v>470240</v>
      </c>
      <c r="D3392" s="22" t="s">
        <v>4920</v>
      </c>
      <c r="E3392" s="22" t="s">
        <v>84</v>
      </c>
      <c r="F3392" s="23" t="str">
        <f t="shared" si="146"/>
        <v>Услуги по монтажу (установке) системы видеонаблюдения в зданиях СПДС г.о.Жигулевск</v>
      </c>
      <c r="G3392" s="22" t="s">
        <v>760</v>
      </c>
      <c r="H3392" s="22" t="s">
        <v>4921</v>
      </c>
      <c r="I3392" s="26">
        <v>43682.557048611103</v>
      </c>
      <c r="J3392" s="23" t="str">
        <f>HYPERLINK("https://www.spark-marketing.ru/Card/Person/665571", "ООО ""РУБИКОН-М""")</f>
        <v>ООО "РУБИКОН-М"</v>
      </c>
      <c r="K3392" s="24" t="s">
        <v>4933</v>
      </c>
      <c r="L3392" s="28" t="s">
        <v>52</v>
      </c>
      <c r="M3392" s="25">
        <v>465000</v>
      </c>
      <c r="N3392" s="27">
        <v>1.114324600204151E-2</v>
      </c>
    </row>
    <row r="3393" spans="1:14" hidden="1" outlineLevel="1" x14ac:dyDescent="0.2">
      <c r="A3393" s="23" t="str">
        <f t="shared" si="145"/>
        <v>МКУ "ТОИЭЗ"</v>
      </c>
      <c r="B3393" s="24" t="s">
        <v>4919</v>
      </c>
      <c r="C3393" s="25">
        <v>470240</v>
      </c>
      <c r="D3393" s="22" t="s">
        <v>4920</v>
      </c>
      <c r="E3393" s="22" t="s">
        <v>84</v>
      </c>
      <c r="F3393" s="23" t="str">
        <f t="shared" si="146"/>
        <v>Услуги по монтажу (установке) системы видеонаблюдения в зданиях СПДС г.о.Жигулевск</v>
      </c>
      <c r="G3393" s="22" t="s">
        <v>760</v>
      </c>
      <c r="H3393" s="22" t="s">
        <v>4921</v>
      </c>
      <c r="I3393" s="26">
        <v>43682.557048611103</v>
      </c>
      <c r="J3393" s="23" t="str">
        <f>HYPERLINK("https://www.spark-marketing.ru/Card/Person/6686828", "ООО ""ТЕХНО-АЙПИ""")</f>
        <v>ООО "ТЕХНО-АЙПИ"</v>
      </c>
      <c r="K3393" s="24" t="s">
        <v>4934</v>
      </c>
      <c r="L3393" s="28" t="s">
        <v>52</v>
      </c>
      <c r="M3393" s="25">
        <v>445720</v>
      </c>
      <c r="N3393" s="27">
        <v>5.2143586253827832E-2</v>
      </c>
    </row>
    <row r="3394" spans="1:14" hidden="1" outlineLevel="1" x14ac:dyDescent="0.2">
      <c r="A3394" s="23" t="str">
        <f t="shared" si="145"/>
        <v>МКУ "ТОИЭЗ"</v>
      </c>
      <c r="B3394" s="24" t="s">
        <v>4919</v>
      </c>
      <c r="C3394" s="25">
        <v>470240</v>
      </c>
      <c r="D3394" s="22" t="s">
        <v>4920</v>
      </c>
      <c r="E3394" s="22" t="s">
        <v>84</v>
      </c>
      <c r="F3394" s="23" t="str">
        <f t="shared" si="146"/>
        <v>Услуги по монтажу (установке) системы видеонаблюдения в зданиях СПДС г.о.Жигулевск</v>
      </c>
      <c r="G3394" s="22" t="s">
        <v>760</v>
      </c>
      <c r="H3394" s="22" t="s">
        <v>4921</v>
      </c>
      <c r="I3394" s="26">
        <v>43682.557048611103</v>
      </c>
      <c r="J3394" s="23" t="str">
        <f>HYPERLINK("https://www.spark-marketing.ru/Card/Person/6686831", "Драпов Станислав Алексеевич")</f>
        <v>Драпов Станислав Алексеевич</v>
      </c>
      <c r="K3394" s="24" t="s">
        <v>4935</v>
      </c>
      <c r="L3394" s="28" t="s">
        <v>52</v>
      </c>
      <c r="M3394" s="25">
        <v>420648</v>
      </c>
      <c r="N3394" s="27">
        <v>0.10546104117046615</v>
      </c>
    </row>
    <row r="3395" spans="1:14" x14ac:dyDescent="0.15">
      <c r="A3395" s="23" t="str">
        <f>HYPERLINK("https://www.spark-marketing.ru/Card/Person/5224", "ФКУ ""ЦХИСО ГУ МВД РОССИИ ПО РОСТОВСКОЙ ОБЛАСТИ""")</f>
        <v>ФКУ "ЦХИСО ГУ МВД РОССИИ ПО РОСТОВСКОЙ ОБЛАСТИ"</v>
      </c>
      <c r="B3395" s="24" t="s">
        <v>4377</v>
      </c>
      <c r="C3395" s="25">
        <v>62820</v>
      </c>
      <c r="D3395" s="22" t="s">
        <v>4936</v>
      </c>
      <c r="E3395" s="22" t="s">
        <v>84</v>
      </c>
      <c r="F3395" s="23" t="str">
        <f>HYPERLINK("https://www.spark-marketing.ru/Card/Lot/72593171", "установка систем охранного видеонаблюдения 16 каналов, 1 шт")</f>
        <v>установка систем охранного видеонаблюдения 16 каналов, 1 шт</v>
      </c>
      <c r="G3395" s="22" t="s">
        <v>402</v>
      </c>
      <c r="H3395" s="22" t="s">
        <v>3921</v>
      </c>
      <c r="I3395" s="26">
        <v>43682.472361111097</v>
      </c>
      <c r="J3395" s="28" t="s">
        <v>52</v>
      </c>
      <c r="K3395" s="28" t="s">
        <v>52</v>
      </c>
      <c r="L3395" s="28" t="s">
        <v>52</v>
      </c>
      <c r="M3395" s="28" t="s">
        <v>52</v>
      </c>
      <c r="N3395" s="28" t="s">
        <v>52</v>
      </c>
    </row>
    <row r="3396" spans="1:14" x14ac:dyDescent="0.15">
      <c r="A3396" s="23" t="str">
        <f t="shared" ref="A3396:A3406" si="147">HYPERLINK("https://www.spark-marketing.ru/Card/Person/105425", "ГБОУ ГИМНАЗИЯ № 526 МОСКОВСКОГО РАЙОНА САНКТ-ПЕТЕРБУРГА")</f>
        <v>ГБОУ ГИМНАЗИЯ № 526 МОСКОВСКОГО РАЙОНА САНКТ-ПЕТЕРБУРГА</v>
      </c>
      <c r="B3396" s="24" t="s">
        <v>4937</v>
      </c>
      <c r="C3396" s="25">
        <v>738180.48</v>
      </c>
      <c r="D3396" s="22" t="s">
        <v>4938</v>
      </c>
      <c r="E3396" s="22" t="s">
        <v>59</v>
      </c>
      <c r="F3396" s="23" t="str">
        <f t="shared" ref="F3396:F3406" si="148">HYPERLINK("https://www.spark-marketing.ru/Card/Lot/72600467", "Выполнение работ по установке охранно-тревожной сигнализации в здании ГБОУ гимназия № 526 Московского района Санкт-Петербурга по адресу: Санкт-Петербург, ул. Алтайская, д. 15")</f>
        <v>Выполнение работ по установке охранно-тревожной сигнализации в здании ГБОУ гимназия № 526 Московского района Санкт-Петербурга по адресу: Санкт-Петербург, ул. Алтайская, д. 15</v>
      </c>
      <c r="G3396" s="22" t="s">
        <v>89</v>
      </c>
      <c r="H3396" s="22" t="s">
        <v>89</v>
      </c>
      <c r="I3396" s="26">
        <v>43682.495891203696</v>
      </c>
      <c r="J3396" s="28" t="s">
        <v>52</v>
      </c>
      <c r="K3396" s="28" t="s">
        <v>52</v>
      </c>
      <c r="L3396" s="28" t="s">
        <v>52</v>
      </c>
      <c r="M3396" s="28" t="s">
        <v>52</v>
      </c>
      <c r="N3396" s="28" t="s">
        <v>52</v>
      </c>
    </row>
    <row r="3397" spans="1:14" hidden="1" outlineLevel="1" x14ac:dyDescent="0.2">
      <c r="A3397" s="23" t="str">
        <f t="shared" si="147"/>
        <v>ГБОУ ГИМНАЗИЯ № 526 МОСКОВСКОГО РАЙОНА САНКТ-ПЕТЕРБУРГА</v>
      </c>
      <c r="B3397" s="24" t="s">
        <v>4937</v>
      </c>
      <c r="C3397" s="25">
        <v>738180.48</v>
      </c>
      <c r="D3397" s="22" t="s">
        <v>4938</v>
      </c>
      <c r="E3397" s="22" t="s">
        <v>59</v>
      </c>
      <c r="F3397" s="23" t="str">
        <f t="shared" si="148"/>
        <v>Выполнение работ по установке охранно-тревожной сигнализации в здании ГБОУ гимназия № 526 Московского района Санкт-Петербурга по адресу: Санкт-Петербург, ул. Алтайская, д. 15</v>
      </c>
      <c r="G3397" s="22" t="s">
        <v>89</v>
      </c>
      <c r="H3397" s="22" t="s">
        <v>89</v>
      </c>
      <c r="I3397" s="26">
        <v>43682.495891203696</v>
      </c>
      <c r="J3397" s="23" t="str">
        <f>HYPERLINK("https://www.spark-marketing.ru/Card/Person/5897511", "Романов Максим Александрович")</f>
        <v>Романов Максим Александрович</v>
      </c>
      <c r="K3397" s="24" t="s">
        <v>4769</v>
      </c>
      <c r="L3397" s="28" t="s">
        <v>52</v>
      </c>
      <c r="M3397" s="25">
        <v>518800.16</v>
      </c>
      <c r="N3397" s="27">
        <v>0.29719062741946251</v>
      </c>
    </row>
    <row r="3398" spans="1:14" ht="12.75" hidden="1" outlineLevel="1" x14ac:dyDescent="0.2">
      <c r="A3398" s="23" t="str">
        <f t="shared" si="147"/>
        <v>ГБОУ ГИМНАЗИЯ № 526 МОСКОВСКОГО РАЙОНА САНКТ-ПЕТЕРБУРГА</v>
      </c>
      <c r="B3398" s="24" t="s">
        <v>4937</v>
      </c>
      <c r="C3398" s="25">
        <v>738180.48</v>
      </c>
      <c r="D3398" s="22" t="s">
        <v>4938</v>
      </c>
      <c r="E3398" s="22" t="s">
        <v>59</v>
      </c>
      <c r="F3398" s="23" t="str">
        <f t="shared" si="148"/>
        <v>Выполнение работ по установке охранно-тревожной сигнализации в здании ГБОУ гимназия № 526 Московского района Санкт-Петербурга по адресу: Санкт-Петербург, ул. Алтайская, д. 15</v>
      </c>
      <c r="G3398" s="22" t="s">
        <v>89</v>
      </c>
      <c r="H3398" s="22" t="s">
        <v>89</v>
      </c>
      <c r="I3398" s="26">
        <v>43682.495891203696</v>
      </c>
      <c r="J3398" s="23" t="str">
        <f>HYPERLINK("https://www.spark-marketing.ru/Card/Person/6183108", "ООО ""АНОД-СИСТЕМС""")</f>
        <v>ООО "АНОД-СИСТЕМС"</v>
      </c>
      <c r="K3398" s="24" t="s">
        <v>4939</v>
      </c>
      <c r="L3398" s="22" t="s">
        <v>10</v>
      </c>
      <c r="M3398" s="25">
        <v>393927.3</v>
      </c>
      <c r="N3398" s="27">
        <v>0.46635367545887962</v>
      </c>
    </row>
    <row r="3399" spans="1:14" hidden="1" outlineLevel="1" x14ac:dyDescent="0.2">
      <c r="A3399" s="23" t="str">
        <f t="shared" si="147"/>
        <v>ГБОУ ГИМНАЗИЯ № 526 МОСКОВСКОГО РАЙОНА САНКТ-ПЕТЕРБУРГА</v>
      </c>
      <c r="B3399" s="24" t="s">
        <v>4937</v>
      </c>
      <c r="C3399" s="25">
        <v>738180.48</v>
      </c>
      <c r="D3399" s="22" t="s">
        <v>4938</v>
      </c>
      <c r="E3399" s="22" t="s">
        <v>59</v>
      </c>
      <c r="F3399" s="23" t="str">
        <f t="shared" si="148"/>
        <v>Выполнение работ по установке охранно-тревожной сигнализации в здании ГБОУ гимназия № 526 Московского района Санкт-Петербурга по адресу: Санкт-Петербург, ул. Алтайская, д. 15</v>
      </c>
      <c r="G3399" s="22" t="s">
        <v>89</v>
      </c>
      <c r="H3399" s="22" t="s">
        <v>89</v>
      </c>
      <c r="I3399" s="26">
        <v>43682.495891203696</v>
      </c>
      <c r="J3399" s="23" t="str">
        <f>HYPERLINK("https://www.spark-marketing.ru/Card/Person/2581275", "ООО ""КСА""")</f>
        <v>ООО "КСА"</v>
      </c>
      <c r="K3399" s="24" t="s">
        <v>4940</v>
      </c>
      <c r="L3399" s="28" t="s">
        <v>52</v>
      </c>
      <c r="M3399" s="25">
        <v>397618.2</v>
      </c>
      <c r="N3399" s="27">
        <v>0.46135367871011707</v>
      </c>
    </row>
    <row r="3400" spans="1:14" hidden="1" outlineLevel="1" x14ac:dyDescent="0.2">
      <c r="A3400" s="23" t="str">
        <f t="shared" si="147"/>
        <v>ГБОУ ГИМНАЗИЯ № 526 МОСКОВСКОГО РАЙОНА САНКТ-ПЕТЕРБУРГА</v>
      </c>
      <c r="B3400" s="24" t="s">
        <v>4937</v>
      </c>
      <c r="C3400" s="25">
        <v>738180.48</v>
      </c>
      <c r="D3400" s="22" t="s">
        <v>4938</v>
      </c>
      <c r="E3400" s="22" t="s">
        <v>59</v>
      </c>
      <c r="F3400" s="23" t="str">
        <f t="shared" si="148"/>
        <v>Выполнение работ по установке охранно-тревожной сигнализации в здании ГБОУ гимназия № 526 Московского района Санкт-Петербурга по адресу: Санкт-Петербург, ул. Алтайская, д. 15</v>
      </c>
      <c r="G3400" s="22" t="s">
        <v>89</v>
      </c>
      <c r="H3400" s="22" t="s">
        <v>89</v>
      </c>
      <c r="I3400" s="26">
        <v>43682.495891203696</v>
      </c>
      <c r="J3400" s="23" t="str">
        <f>HYPERLINK("https://www.spark-marketing.ru/Card/Person/1387569", "ООО ""ВЫМПЕЛ""")</f>
        <v>ООО "ВЫМПЕЛ"</v>
      </c>
      <c r="K3400" s="24" t="s">
        <v>4941</v>
      </c>
      <c r="L3400" s="28" t="s">
        <v>52</v>
      </c>
      <c r="M3400" s="25">
        <v>559400.07999999996</v>
      </c>
      <c r="N3400" s="27">
        <v>0.24219063608942898</v>
      </c>
    </row>
    <row r="3401" spans="1:14" hidden="1" outlineLevel="1" x14ac:dyDescent="0.2">
      <c r="A3401" s="23" t="str">
        <f t="shared" si="147"/>
        <v>ГБОУ ГИМНАЗИЯ № 526 МОСКОВСКОГО РАЙОНА САНКТ-ПЕТЕРБУРГА</v>
      </c>
      <c r="B3401" s="24" t="s">
        <v>4937</v>
      </c>
      <c r="C3401" s="25">
        <v>738180.48</v>
      </c>
      <c r="D3401" s="22" t="s">
        <v>4938</v>
      </c>
      <c r="E3401" s="22" t="s">
        <v>59</v>
      </c>
      <c r="F3401" s="23" t="str">
        <f t="shared" si="148"/>
        <v>Выполнение работ по установке охранно-тревожной сигнализации в здании ГБОУ гимназия № 526 Московского района Санкт-Петербурга по адресу: Санкт-Петербург, ул. Алтайская, д. 15</v>
      </c>
      <c r="G3401" s="22" t="s">
        <v>89</v>
      </c>
      <c r="H3401" s="22" t="s">
        <v>89</v>
      </c>
      <c r="I3401" s="26">
        <v>43682.495891203696</v>
      </c>
      <c r="J3401" s="23" t="str">
        <f>HYPERLINK("https://www.spark-marketing.ru/Card/Person/6582276", "ООО ""ЭВОЛЮЦИЯ""")</f>
        <v>ООО "ЭВОЛЮЦИЯ"</v>
      </c>
      <c r="K3401" s="24" t="s">
        <v>4942</v>
      </c>
      <c r="L3401" s="28" t="s">
        <v>52</v>
      </c>
      <c r="M3401" s="25">
        <v>535000</v>
      </c>
      <c r="N3401" s="27">
        <v>0.27524499157712756</v>
      </c>
    </row>
    <row r="3402" spans="1:14" hidden="1" outlineLevel="1" x14ac:dyDescent="0.2">
      <c r="A3402" s="23" t="str">
        <f t="shared" si="147"/>
        <v>ГБОУ ГИМНАЗИЯ № 526 МОСКОВСКОГО РАЙОНА САНКТ-ПЕТЕРБУРГА</v>
      </c>
      <c r="B3402" s="24" t="s">
        <v>4937</v>
      </c>
      <c r="C3402" s="25">
        <v>738180.48</v>
      </c>
      <c r="D3402" s="22" t="s">
        <v>4938</v>
      </c>
      <c r="E3402" s="22" t="s">
        <v>59</v>
      </c>
      <c r="F3402" s="23" t="str">
        <f t="shared" si="148"/>
        <v>Выполнение работ по установке охранно-тревожной сигнализации в здании ГБОУ гимназия № 526 Московского района Санкт-Петербурга по адресу: Санкт-Петербург, ул. Алтайская, д. 15</v>
      </c>
      <c r="G3402" s="22" t="s">
        <v>89</v>
      </c>
      <c r="H3402" s="22" t="s">
        <v>89</v>
      </c>
      <c r="I3402" s="26">
        <v>43682.495891203696</v>
      </c>
      <c r="J3402" s="23" t="str">
        <f>HYPERLINK("https://www.spark-marketing.ru/Card/Person/61673", "ООО ""ПГК""")</f>
        <v>ООО "ПГК"</v>
      </c>
      <c r="K3402" s="24" t="s">
        <v>4943</v>
      </c>
      <c r="L3402" s="28" t="s">
        <v>52</v>
      </c>
      <c r="M3402" s="25">
        <v>634845.44999999995</v>
      </c>
      <c r="N3402" s="27">
        <v>0.13998613184678088</v>
      </c>
    </row>
    <row r="3403" spans="1:14" hidden="1" outlineLevel="1" x14ac:dyDescent="0.2">
      <c r="A3403" s="23" t="str">
        <f t="shared" si="147"/>
        <v>ГБОУ ГИМНАЗИЯ № 526 МОСКОВСКОГО РАЙОНА САНКТ-ПЕТЕРБУРГА</v>
      </c>
      <c r="B3403" s="24" t="s">
        <v>4937</v>
      </c>
      <c r="C3403" s="25">
        <v>738180.48</v>
      </c>
      <c r="D3403" s="22" t="s">
        <v>4938</v>
      </c>
      <c r="E3403" s="22" t="s">
        <v>59</v>
      </c>
      <c r="F3403" s="23" t="str">
        <f t="shared" si="148"/>
        <v>Выполнение работ по установке охранно-тревожной сигнализации в здании ГБОУ гимназия № 526 Московского района Санкт-Петербурга по адресу: Санкт-Петербург, ул. Алтайская, д. 15</v>
      </c>
      <c r="G3403" s="22" t="s">
        <v>89</v>
      </c>
      <c r="H3403" s="22" t="s">
        <v>89</v>
      </c>
      <c r="I3403" s="26">
        <v>43682.495891203696</v>
      </c>
      <c r="J3403" s="23" t="str">
        <f>HYPERLINK("https://www.spark-marketing.ru/Card/Person/5893952", "ООО ""ВОКРУГ БЕЗОПАСНОСТИ""")</f>
        <v>ООО "ВОКРУГ БЕЗОПАСНОСТИ"</v>
      </c>
      <c r="K3403" s="24" t="s">
        <v>1368</v>
      </c>
      <c r="L3403" s="28" t="s">
        <v>52</v>
      </c>
      <c r="M3403" s="25">
        <v>552018.28</v>
      </c>
      <c r="N3403" s="27">
        <v>0.25219062958695415</v>
      </c>
    </row>
    <row r="3404" spans="1:14" hidden="1" outlineLevel="1" x14ac:dyDescent="0.2">
      <c r="A3404" s="23" t="str">
        <f t="shared" si="147"/>
        <v>ГБОУ ГИМНАЗИЯ № 526 МОСКОВСКОГО РАЙОНА САНКТ-ПЕТЕРБУРГА</v>
      </c>
      <c r="B3404" s="24" t="s">
        <v>4937</v>
      </c>
      <c r="C3404" s="25">
        <v>738180.48</v>
      </c>
      <c r="D3404" s="22" t="s">
        <v>4938</v>
      </c>
      <c r="E3404" s="22" t="s">
        <v>59</v>
      </c>
      <c r="F3404" s="23" t="str">
        <f t="shared" si="148"/>
        <v>Выполнение работ по установке охранно-тревожной сигнализации в здании ГБОУ гимназия № 526 Московского района Санкт-Петербурга по адресу: Санкт-Петербург, ул. Алтайская, д. 15</v>
      </c>
      <c r="G3404" s="22" t="s">
        <v>89</v>
      </c>
      <c r="H3404" s="22" t="s">
        <v>89</v>
      </c>
      <c r="I3404" s="26">
        <v>43682.495891203696</v>
      </c>
      <c r="J3404" s="23" t="str">
        <f>HYPERLINK("https://www.spark-marketing.ru/Card/Person/874165", "ООО ""ЦЕРБЕР""")</f>
        <v>ООО "ЦЕРБЕР"</v>
      </c>
      <c r="K3404" s="24" t="s">
        <v>4944</v>
      </c>
      <c r="L3404" s="28" t="s">
        <v>52</v>
      </c>
      <c r="M3404" s="25">
        <v>405000</v>
      </c>
      <c r="N3404" s="27">
        <v>0.45135368521259189</v>
      </c>
    </row>
    <row r="3405" spans="1:14" hidden="1" outlineLevel="1" x14ac:dyDescent="0.2">
      <c r="A3405" s="23" t="str">
        <f t="shared" si="147"/>
        <v>ГБОУ ГИМНАЗИЯ № 526 МОСКОВСКОГО РАЙОНА САНКТ-ПЕТЕРБУРГА</v>
      </c>
      <c r="B3405" s="24" t="s">
        <v>4937</v>
      </c>
      <c r="C3405" s="25">
        <v>738180.48</v>
      </c>
      <c r="D3405" s="22" t="s">
        <v>4938</v>
      </c>
      <c r="E3405" s="22" t="s">
        <v>59</v>
      </c>
      <c r="F3405" s="23" t="str">
        <f t="shared" si="148"/>
        <v>Выполнение работ по установке охранно-тревожной сигнализации в здании ГБОУ гимназия № 526 Московского района Санкт-Петербурга по адресу: Санкт-Петербург, ул. Алтайская, д. 15</v>
      </c>
      <c r="G3405" s="22" t="s">
        <v>89</v>
      </c>
      <c r="H3405" s="22" t="s">
        <v>89</v>
      </c>
      <c r="I3405" s="26">
        <v>43682.495891203696</v>
      </c>
      <c r="J3405" s="23" t="str">
        <f>HYPERLINK("https://www.spark-marketing.ru/Card/Person/1548969", "ООО ""ОМЕГА""")</f>
        <v>ООО "ОМЕГА"</v>
      </c>
      <c r="K3405" s="24" t="s">
        <v>1352</v>
      </c>
      <c r="L3405" s="28" t="s">
        <v>52</v>
      </c>
      <c r="M3405" s="25">
        <v>555709.18000000005</v>
      </c>
      <c r="N3405" s="27">
        <v>0.24719063283819154</v>
      </c>
    </row>
    <row r="3406" spans="1:14" hidden="1" outlineLevel="1" x14ac:dyDescent="0.2">
      <c r="A3406" s="23" t="str">
        <f t="shared" si="147"/>
        <v>ГБОУ ГИМНАЗИЯ № 526 МОСКОВСКОГО РАЙОНА САНКТ-ПЕТЕРБУРГА</v>
      </c>
      <c r="B3406" s="24" t="s">
        <v>4937</v>
      </c>
      <c r="C3406" s="25">
        <v>738180.48</v>
      </c>
      <c r="D3406" s="22" t="s">
        <v>4938</v>
      </c>
      <c r="E3406" s="22" t="s">
        <v>59</v>
      </c>
      <c r="F3406" s="23" t="str">
        <f t="shared" si="148"/>
        <v>Выполнение работ по установке охранно-тревожной сигнализации в здании ГБОУ гимназия № 526 Московского района Санкт-Петербурга по адресу: Санкт-Петербург, ул. Алтайская, д. 15</v>
      </c>
      <c r="G3406" s="22" t="s">
        <v>89</v>
      </c>
      <c r="H3406" s="22" t="s">
        <v>89</v>
      </c>
      <c r="I3406" s="26">
        <v>43682.495891203696</v>
      </c>
      <c r="J3406" s="23" t="str">
        <f>HYPERLINK("https://www.spark-marketing.ru/Card/Person/60776", "ООО ""СИСТЕМКОМПЛЕКС""")</f>
        <v>ООО "СИСТЕМКОМПЛЕКС"</v>
      </c>
      <c r="K3406" s="24" t="s">
        <v>4945</v>
      </c>
      <c r="L3406" s="28" t="s">
        <v>52</v>
      </c>
      <c r="M3406" s="25">
        <v>430000</v>
      </c>
      <c r="N3406" s="27">
        <v>0.41748662874423337</v>
      </c>
    </row>
    <row r="3407" spans="1:14" x14ac:dyDescent="0.15">
      <c r="A3407" s="23" t="str">
        <f>HYPERLINK("https://www.spark-marketing.ru/Card/Person/4348528", "АО ИК ""АСЭ""")</f>
        <v>АО ИК "АСЭ"</v>
      </c>
      <c r="B3407" s="24" t="s">
        <v>62</v>
      </c>
      <c r="C3407" s="28" t="s">
        <v>52</v>
      </c>
      <c r="D3407" s="22" t="s">
        <v>4946</v>
      </c>
      <c r="E3407" s="22" t="s">
        <v>53</v>
      </c>
      <c r="F3407" s="23" t="str">
        <f>HYPERLINK("https://www.spark-marketing.ru/Card/Lot/72601467", "Оказание комплекса услуг по физической, пультовой охране и техническому обслуживанию технических средств охраны на объектах КПИФ АО ""Атомэнергопроект"" (1313222)")</f>
        <v>Оказание комплекса услуг по физической, пультовой охране и техническому обслуживанию технических средств охраны на объектах КПИФ АО "Атомэнергопроект" (1313222)</v>
      </c>
      <c r="G3407" s="22" t="s">
        <v>64</v>
      </c>
      <c r="H3407" s="22" t="s">
        <v>65</v>
      </c>
      <c r="I3407" s="26">
        <v>43682.489085648202</v>
      </c>
      <c r="J3407" s="28" t="s">
        <v>52</v>
      </c>
      <c r="K3407" s="28" t="s">
        <v>52</v>
      </c>
      <c r="L3407" s="28" t="s">
        <v>52</v>
      </c>
      <c r="M3407" s="28" t="s">
        <v>52</v>
      </c>
      <c r="N3407" s="28" t="s">
        <v>52</v>
      </c>
    </row>
    <row r="3408" spans="1:14" x14ac:dyDescent="0.15">
      <c r="A3408" s="23" t="str">
        <f>HYPERLINK("https://www.spark-marketing.ru/Card/Person/4348528", "АО ИК ""АСЭ""")</f>
        <v>АО ИК "АСЭ"</v>
      </c>
      <c r="B3408" s="24" t="s">
        <v>62</v>
      </c>
      <c r="C3408" s="25">
        <v>0</v>
      </c>
      <c r="D3408" s="22" t="s">
        <v>4947</v>
      </c>
      <c r="E3408" s="22" t="s">
        <v>53</v>
      </c>
      <c r="F3408" s="23" t="str">
        <f>HYPERLINK("https://www.spark-marketing.ru/Card/Lot/72610085", "мониторинг цен в электронной форме на Оказание комплекса услуг по физической, пультовой охране и техническому обслуживанию технических средств охраны на объектах КПИФ АО ""Атомэнергопроект""")</f>
        <v>мониторинг цен в электронной форме на Оказание комплекса услуг по физической, пультовой охране и техническому обслуживанию технических средств охраны на объектах КПИФ АО "Атомэнергопроект"</v>
      </c>
      <c r="G3408" s="22" t="s">
        <v>64</v>
      </c>
      <c r="H3408" s="22" t="s">
        <v>65</v>
      </c>
      <c r="I3408" s="26">
        <v>43682.4891319444</v>
      </c>
      <c r="J3408" s="28" t="s">
        <v>52</v>
      </c>
      <c r="K3408" s="28" t="s">
        <v>52</v>
      </c>
      <c r="L3408" s="28" t="s">
        <v>52</v>
      </c>
      <c r="M3408" s="28" t="s">
        <v>52</v>
      </c>
      <c r="N3408" s="28" t="s">
        <v>52</v>
      </c>
    </row>
    <row r="3409" spans="1:14" x14ac:dyDescent="0.15">
      <c r="A3409" s="23" t="str">
        <f>HYPERLINK("https://www.spark-marketing.ru/Card/Person/1009873", "МБОУ ВСОШ № 1 Г. АЗОВА")</f>
        <v>МБОУ ВСОШ № 1 Г. АЗОВА</v>
      </c>
      <c r="B3409" s="24" t="s">
        <v>4948</v>
      </c>
      <c r="C3409" s="25">
        <v>34900</v>
      </c>
      <c r="D3409" s="22" t="s">
        <v>4949</v>
      </c>
      <c r="E3409" s="22" t="s">
        <v>59</v>
      </c>
      <c r="F3409" s="23" t="str">
        <f>HYPERLINK("https://www.spark-marketing.ru/Card/Lot/72591120", "Установка охранно-тревожной сигнализации.")</f>
        <v>Установка охранно-тревожной сигнализации.</v>
      </c>
      <c r="G3409" s="22" t="s">
        <v>402</v>
      </c>
      <c r="H3409" s="22" t="s">
        <v>4950</v>
      </c>
      <c r="I3409" s="26">
        <v>43682.434722222199</v>
      </c>
      <c r="J3409" s="28" t="s">
        <v>52</v>
      </c>
      <c r="K3409" s="28" t="s">
        <v>52</v>
      </c>
      <c r="L3409" s="28" t="s">
        <v>52</v>
      </c>
      <c r="M3409" s="28" t="s">
        <v>52</v>
      </c>
      <c r="N3409" s="28" t="s">
        <v>52</v>
      </c>
    </row>
    <row r="3410" spans="1:14" x14ac:dyDescent="0.15">
      <c r="A3410" s="23" t="str">
        <f>HYPERLINK("https://www.spark-marketing.ru/Card/Person/1053914", "МБДОУ № 26 ""ОДУВАНЧИК"" С. БАРАНИКИ САЛЬСКОГО РАЙОНА")</f>
        <v>МБДОУ № 26 "ОДУВАНЧИК" С. БАРАНИКИ САЛЬСКОГО РАЙОНА</v>
      </c>
      <c r="B3410" s="24" t="s">
        <v>4951</v>
      </c>
      <c r="C3410" s="25">
        <v>20900</v>
      </c>
      <c r="D3410" s="22" t="s">
        <v>4952</v>
      </c>
      <c r="E3410" s="22" t="s">
        <v>4953</v>
      </c>
      <c r="F3410" s="23" t="str">
        <f>HYPERLINK("https://www.spark-marketing.ru/Card/Lot/72591102", "услуги по установке видеонаблюдения")</f>
        <v>услуги по установке видеонаблюдения</v>
      </c>
      <c r="G3410" s="22" t="s">
        <v>402</v>
      </c>
      <c r="H3410" s="22" t="s">
        <v>4954</v>
      </c>
      <c r="I3410" s="26">
        <v>43682.430555555598</v>
      </c>
      <c r="J3410" s="28" t="s">
        <v>52</v>
      </c>
      <c r="K3410" s="28" t="s">
        <v>52</v>
      </c>
      <c r="L3410" s="28" t="s">
        <v>52</v>
      </c>
      <c r="M3410" s="28" t="s">
        <v>52</v>
      </c>
      <c r="N3410" s="28" t="s">
        <v>52</v>
      </c>
    </row>
    <row r="3411" spans="1:14" x14ac:dyDescent="0.15">
      <c r="A3411" s="23" t="str">
        <f>HYPERLINK("https://www.spark-marketing.ru/Card/Person/1067515", "МБДОУ № 46 ""РОМАШКА"" С.КРУЧЕНАЯ БАЛКА САЛЬСКОГО РАЙОНА")</f>
        <v>МБДОУ № 46 "РОМАШКА" С.КРУЧЕНАЯ БАЛКА САЛЬСКОГО РАЙОНА</v>
      </c>
      <c r="B3411" s="24" t="s">
        <v>4955</v>
      </c>
      <c r="C3411" s="25">
        <v>18020</v>
      </c>
      <c r="D3411" s="22" t="s">
        <v>4956</v>
      </c>
      <c r="E3411" s="22" t="s">
        <v>4957</v>
      </c>
      <c r="F3411" s="23" t="str">
        <f>HYPERLINK("https://www.spark-marketing.ru/Card/Lot/72591716", "Установка видеонаблюдения")</f>
        <v>Установка видеонаблюдения</v>
      </c>
      <c r="G3411" s="22" t="s">
        <v>402</v>
      </c>
      <c r="H3411" s="22" t="s">
        <v>4954</v>
      </c>
      <c r="I3411" s="26">
        <v>43682.4465277778</v>
      </c>
      <c r="J3411" s="28" t="s">
        <v>52</v>
      </c>
      <c r="K3411" s="28" t="s">
        <v>52</v>
      </c>
      <c r="L3411" s="28" t="s">
        <v>52</v>
      </c>
      <c r="M3411" s="28" t="s">
        <v>52</v>
      </c>
      <c r="N3411" s="28" t="s">
        <v>52</v>
      </c>
    </row>
    <row r="3412" spans="1:14" x14ac:dyDescent="0.15">
      <c r="A3412" s="23" t="str">
        <f>HYPERLINK("https://www.spark-marketing.ru/Card/Person/4348562", "АО ""АТОМТЕХЭНЕРГО""")</f>
        <v>АО "АТОМТЕХЭНЕРГО"</v>
      </c>
      <c r="B3412" s="24" t="s">
        <v>4449</v>
      </c>
      <c r="C3412" s="28" t="s">
        <v>52</v>
      </c>
      <c r="D3412" s="22" t="s">
        <v>4958</v>
      </c>
      <c r="E3412" s="22" t="s">
        <v>4959</v>
      </c>
      <c r="F3412" s="23" t="str">
        <f>HYPERLINK("https://www.spark-marketing.ru/Card/Lot/72595079", "Поставка информационных стендов для нужд Московского филиала «Центратомтехэнерго» АО «Атомтехэнерго»")</f>
        <v>Поставка информационных стендов для нужд Московского филиала «Центратомтехэнерго» АО «Атомтехэнерго»</v>
      </c>
      <c r="G3412" s="22" t="s">
        <v>55</v>
      </c>
      <c r="H3412" s="22" t="s">
        <v>55</v>
      </c>
      <c r="I3412" s="26">
        <v>43682.435509259303</v>
      </c>
      <c r="J3412" s="28" t="s">
        <v>52</v>
      </c>
      <c r="K3412" s="28" t="s">
        <v>52</v>
      </c>
      <c r="L3412" s="28" t="s">
        <v>52</v>
      </c>
      <c r="M3412" s="28" t="s">
        <v>52</v>
      </c>
      <c r="N3412" s="28" t="s">
        <v>52</v>
      </c>
    </row>
    <row r="3413" spans="1:14" x14ac:dyDescent="0.15">
      <c r="A3413" s="23" t="str">
        <f>HYPERLINK("https://www.spark-marketing.ru/Card/Person/380459", "МЕЖРАЙОННАЯ ИФНС РОССИИ № 4 ПО ОРЕНБУРГСКОЙ ОБЛАСТИ")</f>
        <v>МЕЖРАЙОННАЯ ИФНС РОССИИ № 4 ПО ОРЕНБУРГСКОЙ ОБЛАСТИ</v>
      </c>
      <c r="B3413" s="24" t="s">
        <v>4960</v>
      </c>
      <c r="C3413" s="25">
        <v>46097.279999999999</v>
      </c>
      <c r="D3413" s="22" t="s">
        <v>4961</v>
      </c>
      <c r="E3413" s="22" t="s">
        <v>53</v>
      </c>
      <c r="F3413" s="23" t="str">
        <f>HYPERLINK("https://www.spark-marketing.ru/Card/Lot/72590231", "Техническое обслуживание комплекса технических средств охраны")</f>
        <v>Техническое обслуживание комплекса технических средств охраны</v>
      </c>
      <c r="G3413" s="22" t="s">
        <v>384</v>
      </c>
      <c r="H3413" s="22" t="s">
        <v>4962</v>
      </c>
      <c r="I3413" s="26">
        <v>43682.390972222202</v>
      </c>
      <c r="J3413" s="28" t="s">
        <v>52</v>
      </c>
      <c r="K3413" s="28" t="s">
        <v>52</v>
      </c>
      <c r="L3413" s="28" t="s">
        <v>52</v>
      </c>
      <c r="M3413" s="28" t="s">
        <v>52</v>
      </c>
      <c r="N3413" s="28" t="s">
        <v>52</v>
      </c>
    </row>
    <row r="3414" spans="1:14" x14ac:dyDescent="0.15">
      <c r="A3414" s="23" t="str">
        <f>HYPERLINK("https://www.spark-marketing.ru/Card/Person/1726097", "УФПС КЕМЕРОВСКОЙ ОБЛ ФЛ ФГУП ПОЧТА РОССИИ")</f>
        <v>УФПС КЕМЕРОВСКОЙ ОБЛ ФЛ ФГУП ПОЧТА РОССИИ</v>
      </c>
      <c r="B3414" s="24" t="s">
        <v>1424</v>
      </c>
      <c r="C3414" s="25">
        <v>420365.88</v>
      </c>
      <c r="D3414" s="22" t="s">
        <v>4963</v>
      </c>
      <c r="E3414" s="22" t="s">
        <v>53</v>
      </c>
      <c r="F3414" s="23" t="str">
        <f>HYPERLINK("https://www.spark-marketing.ru/Card/Lot/72592493", "Оказание услуг по охране имущества принадлежащего ОСП Междуреченского, Юргинского почтамтов УФПС Кемеровской области-филиала ФГУП ""Почта России"" при его транспортировке")</f>
        <v>Оказание услуг по охране имущества принадлежащего ОСП Междуреченского, Юргинского почтамтов УФПС Кемеровской области-филиала ФГУП "Почта России" при его транспортировке</v>
      </c>
      <c r="G3414" s="22" t="s">
        <v>367</v>
      </c>
      <c r="H3414" s="22" t="s">
        <v>367</v>
      </c>
      <c r="I3414" s="26">
        <v>43682.414583333302</v>
      </c>
      <c r="J3414" s="28" t="s">
        <v>52</v>
      </c>
      <c r="K3414" s="28" t="s">
        <v>52</v>
      </c>
      <c r="L3414" s="28" t="s">
        <v>52</v>
      </c>
      <c r="M3414" s="28" t="s">
        <v>52</v>
      </c>
      <c r="N3414" s="28" t="s">
        <v>52</v>
      </c>
    </row>
    <row r="3415" spans="1:14" x14ac:dyDescent="0.15">
      <c r="A3415" s="23" t="str">
        <f>HYPERLINK("https://www.spark-marketing.ru/Card/Person/576829", "ПАО ""ЧМК""")</f>
        <v>ПАО "ЧМК"</v>
      </c>
      <c r="B3415" s="24" t="s">
        <v>4964</v>
      </c>
      <c r="C3415" s="28" t="s">
        <v>52</v>
      </c>
      <c r="D3415" s="22" t="s">
        <v>4965</v>
      </c>
      <c r="E3415" s="22" t="s">
        <v>194</v>
      </c>
      <c r="F3415" s="23" t="str">
        <f>HYPERLINK("https://www.spark-marketing.ru/Card/Lot/72589491", "ОБОРУДОВАНИЕ ВИДЕОНАБЛЮДЕНИЯ (ККЦ. РЕКОНСТРУКЦИЯ С ЗАМЕНОЙ 3-Х КОНВЕРТЕРОВ. ЗАМЕНА КОНВЕРТЕРА №1. УСТАНОВКА ВИДЕОКАМЕР В МЕСТАХ СБОРКИ ОБОРУДОВАНИЯ)")</f>
        <v>ОБОРУДОВАНИЕ ВИДЕОНАБЛЮДЕНИЯ (ККЦ. РЕКОНСТРУКЦИЯ С ЗАМЕНОЙ 3-Х КОНВЕРТЕРОВ. ЗАМЕНА КОНВЕРТЕРА №1. УСТАНОВКА ВИДЕОКАМЕР В МЕСТАХ СБОРКИ ОБОРУДОВАНИЯ)</v>
      </c>
      <c r="G3415" s="22" t="s">
        <v>60</v>
      </c>
      <c r="H3415" s="22" t="s">
        <v>1683</v>
      </c>
      <c r="I3415" s="26">
        <v>43682.375694444403</v>
      </c>
      <c r="J3415" s="28" t="s">
        <v>52</v>
      </c>
      <c r="K3415" s="28" t="s">
        <v>52</v>
      </c>
      <c r="L3415" s="28" t="s">
        <v>52</v>
      </c>
      <c r="M3415" s="28" t="s">
        <v>52</v>
      </c>
      <c r="N3415" s="28" t="s">
        <v>52</v>
      </c>
    </row>
    <row r="3416" spans="1:14" x14ac:dyDescent="0.15">
      <c r="A3416" s="23" t="str">
        <f>HYPERLINK("https://www.spark-marketing.ru/Card/Person/380459", "МЕЖРАЙОННАЯ ИФНС РОССИИ № 4 ПО ОРЕНБУРГСКОЙ ОБЛАСТИ")</f>
        <v>МЕЖРАЙОННАЯ ИФНС РОССИИ № 4 ПО ОРЕНБУРГСКОЙ ОБЛАСТИ</v>
      </c>
      <c r="B3416" s="24" t="s">
        <v>4960</v>
      </c>
      <c r="C3416" s="25">
        <v>91584</v>
      </c>
      <c r="D3416" s="22" t="s">
        <v>4966</v>
      </c>
      <c r="E3416" s="22" t="s">
        <v>53</v>
      </c>
      <c r="F3416" s="23" t="str">
        <f>HYPERLINK("https://www.spark-marketing.ru/Card/Lot/72590293", "Техническое обслуживание комплекса технических средств охраны")</f>
        <v>Техническое обслуживание комплекса технических средств охраны</v>
      </c>
      <c r="G3416" s="22" t="s">
        <v>384</v>
      </c>
      <c r="H3416" s="22" t="s">
        <v>4962</v>
      </c>
      <c r="I3416" s="26">
        <v>43682.397233796299</v>
      </c>
      <c r="J3416" s="28" t="s">
        <v>52</v>
      </c>
      <c r="K3416" s="28" t="s">
        <v>52</v>
      </c>
      <c r="L3416" s="28" t="s">
        <v>52</v>
      </c>
      <c r="M3416" s="28" t="s">
        <v>52</v>
      </c>
      <c r="N3416" s="28" t="s">
        <v>52</v>
      </c>
    </row>
    <row r="3417" spans="1:14" x14ac:dyDescent="0.15">
      <c r="A3417" s="23" t="str">
        <f>HYPERLINK("https://www.spark-marketing.ru/Card/Person/1014196", "БУ ДО ГОРОДА ОМСКА ""СДЮСШОР № 35""")</f>
        <v>БУ ДО ГОРОДА ОМСКА "СДЮСШОР № 35"</v>
      </c>
      <c r="B3417" s="24" t="s">
        <v>4967</v>
      </c>
      <c r="C3417" s="25">
        <v>320000</v>
      </c>
      <c r="D3417" s="22" t="s">
        <v>4968</v>
      </c>
      <c r="E3417" s="22" t="s">
        <v>68</v>
      </c>
      <c r="F3417" s="23" t="str">
        <f>HYPERLINK("https://www.spark-marketing.ru/Card/Lot/72590956", "Оказание услуг по охране объектов")</f>
        <v>Оказание услуг по охране объектов</v>
      </c>
      <c r="G3417" s="22" t="s">
        <v>521</v>
      </c>
      <c r="H3417" s="22" t="s">
        <v>522</v>
      </c>
      <c r="I3417" s="26">
        <v>43682.405555555597</v>
      </c>
      <c r="J3417" s="28" t="s">
        <v>52</v>
      </c>
      <c r="K3417" s="28" t="s">
        <v>52</v>
      </c>
      <c r="L3417" s="28" t="s">
        <v>52</v>
      </c>
      <c r="M3417" s="28" t="s">
        <v>52</v>
      </c>
      <c r="N3417" s="28" t="s">
        <v>52</v>
      </c>
    </row>
    <row r="3418" spans="1:14" x14ac:dyDescent="0.15">
      <c r="A3418" s="23" t="str">
        <f>HYPERLINK("https://www.spark-marketing.ru/Card/Person/114326", "МДОУ ""ВАСИЛЁК""")</f>
        <v>МДОУ "ВАСИЛЁК"</v>
      </c>
      <c r="B3418" s="24" t="s">
        <v>4969</v>
      </c>
      <c r="C3418" s="25">
        <v>100000</v>
      </c>
      <c r="D3418" s="22" t="s">
        <v>4970</v>
      </c>
      <c r="E3418" s="22" t="s">
        <v>59</v>
      </c>
      <c r="F3418" s="23" t="str">
        <f>HYPERLINK("https://www.spark-marketing.ru/Card/Lot/72589506", "Монтаж системы речевого оповещения")</f>
        <v>Монтаж системы речевого оповещения</v>
      </c>
      <c r="G3418" s="22" t="s">
        <v>50</v>
      </c>
      <c r="H3418" s="22" t="s">
        <v>50</v>
      </c>
      <c r="I3418" s="26">
        <v>43682.368113425902</v>
      </c>
      <c r="J3418" s="28" t="s">
        <v>52</v>
      </c>
      <c r="K3418" s="28" t="s">
        <v>52</v>
      </c>
      <c r="L3418" s="28" t="s">
        <v>52</v>
      </c>
      <c r="M3418" s="28" t="s">
        <v>52</v>
      </c>
      <c r="N3418" s="28" t="s">
        <v>52</v>
      </c>
    </row>
    <row r="3419" spans="1:14" x14ac:dyDescent="0.15">
      <c r="A3419" s="23" t="str">
        <f>HYPERLINK("https://www.spark-marketing.ru/Card/Person/246160", "ГБУ СО КК ""ЛАБИНСКИЙ ДИПИ""")</f>
        <v>ГБУ СО КК "ЛАБИНСКИЙ ДИПИ"</v>
      </c>
      <c r="B3419" s="24" t="s">
        <v>4971</v>
      </c>
      <c r="C3419" s="25">
        <v>303464</v>
      </c>
      <c r="D3419" s="22" t="s">
        <v>4972</v>
      </c>
      <c r="E3419" s="22" t="s">
        <v>49</v>
      </c>
      <c r="F3419" s="23" t="str">
        <f>HYPERLINK("https://www.spark-marketing.ru/Card/Lot/72606782", "Монтаж системы видеонаблюдения государственного бюджетного учреждения социального обслуживания Краснодарского края ""Лабинский дом-интернат для престарелых и инвалидов"" Вознесенское специальное отделение по адресу: Краснодарский край, Лабинский райо...")</f>
        <v>Монтаж системы видеонаблюдения государственного бюджетного учреждения социального обслуживания Краснодарского края "Лабинский дом-интернат для престарелых и инвалидов" Вознесенское специальное отделение по адресу: Краснодарский край, Лабинский райо...</v>
      </c>
      <c r="G3419" s="22" t="s">
        <v>132</v>
      </c>
      <c r="H3419" s="22" t="s">
        <v>132</v>
      </c>
      <c r="I3419" s="26">
        <v>43682</v>
      </c>
      <c r="J3419" s="28" t="s">
        <v>52</v>
      </c>
      <c r="K3419" s="28" t="s">
        <v>52</v>
      </c>
      <c r="L3419" s="28" t="s">
        <v>52</v>
      </c>
      <c r="M3419" s="28" t="s">
        <v>52</v>
      </c>
      <c r="N3419" s="28" t="s">
        <v>52</v>
      </c>
    </row>
    <row r="3420" spans="1:14" x14ac:dyDescent="0.15">
      <c r="A3420" s="23" t="str">
        <f>HYPERLINK("https://www.spark-marketing.ru/Card/Person/1761832", "ОАО ""РЫНОЧНЫЙ КОМПЛЕКС ""ЦАРИЦЫНСКИЙ""")</f>
        <v>ОАО "РЫНОЧНЫЙ КОМПЛЕКС "ЦАРИЦЫНСКИЙ"</v>
      </c>
      <c r="B3420" s="24" t="s">
        <v>613</v>
      </c>
      <c r="C3420" s="25">
        <v>293832</v>
      </c>
      <c r="D3420" s="22" t="s">
        <v>4973</v>
      </c>
      <c r="E3420" s="22" t="s">
        <v>615</v>
      </c>
      <c r="F3420" s="23" t="str">
        <f>HYPERLINK("https://www.spark-marketing.ru/Card/Lot/72600241", "оказание услуг по охране объекта")</f>
        <v>оказание услуг по охране объекта</v>
      </c>
      <c r="G3420" s="22" t="s">
        <v>55</v>
      </c>
      <c r="H3420" s="22" t="s">
        <v>55</v>
      </c>
      <c r="I3420" s="26">
        <v>43682</v>
      </c>
      <c r="J3420" s="28" t="s">
        <v>52</v>
      </c>
      <c r="K3420" s="28" t="s">
        <v>52</v>
      </c>
      <c r="L3420" s="28" t="s">
        <v>52</v>
      </c>
      <c r="M3420" s="28" t="s">
        <v>52</v>
      </c>
      <c r="N3420" s="28" t="s">
        <v>52</v>
      </c>
    </row>
    <row r="3421" spans="1:14" x14ac:dyDescent="0.15">
      <c r="A3421" s="23" t="str">
        <f>HYPERLINK("https://www.spark-marketing.ru/Card/Person/4390302", "ООО ""ГАЗПРОМ ТРАНСГАЗ САНКТ-ПЕТЕРБУРГ""")</f>
        <v>ООО "ГАЗПРОМ ТРАНСГАЗ САНКТ-ПЕТЕРБУРГ"</v>
      </c>
      <c r="B3421" s="24" t="s">
        <v>4974</v>
      </c>
      <c r="C3421" s="25">
        <v>28979971.32</v>
      </c>
      <c r="D3421" s="22" t="s">
        <v>4975</v>
      </c>
      <c r="E3421" s="22" t="s">
        <v>3608</v>
      </c>
      <c r="F3421" s="23" t="str">
        <f>HYPERLINK("https://www.spark-marketing.ru/Card/Lot/72600565", "Оказание услуг по сопровождению Автоматизированной системы мониторинга объектов газотранспортного предприятия «АСМО-ГТС» в части производственно - технической деятельности для нужд ООО ""Газпром трансгаз Санкт-Петербург"" в 2019 году")</f>
        <v>Оказание услуг по сопровождению Автоматизированной системы мониторинга объектов газотранспортного предприятия «АСМО-ГТС» в части производственно - технической деятельности для нужд ООО "Газпром трансгаз Санкт-Петербург" в 2019 году</v>
      </c>
      <c r="G3421" s="22" t="s">
        <v>89</v>
      </c>
      <c r="H3421" s="22" t="s">
        <v>89</v>
      </c>
      <c r="I3421" s="26">
        <v>43682</v>
      </c>
      <c r="J3421" s="28" t="s">
        <v>52</v>
      </c>
      <c r="K3421" s="28" t="s">
        <v>52</v>
      </c>
      <c r="L3421" s="22" t="s">
        <v>10</v>
      </c>
      <c r="M3421" s="28" t="s">
        <v>52</v>
      </c>
      <c r="N3421" s="28" t="s">
        <v>52</v>
      </c>
    </row>
    <row r="3422" spans="1:14" x14ac:dyDescent="0.15">
      <c r="A3422" s="23" t="str">
        <f>HYPERLINK("https://www.spark-marketing.ru/Card/Person/246160", "ГБУ СО КК ""ЛАБИНСКИЙ ДИПИ""")</f>
        <v>ГБУ СО КК "ЛАБИНСКИЙ ДИПИ"</v>
      </c>
      <c r="B3422" s="24" t="s">
        <v>4971</v>
      </c>
      <c r="C3422" s="25">
        <v>321343</v>
      </c>
      <c r="D3422" s="22" t="s">
        <v>4976</v>
      </c>
      <c r="E3422" s="22" t="s">
        <v>49</v>
      </c>
      <c r="F3422" s="23" t="str">
        <f>HYPERLINK("https://www.spark-marketing.ru/Card/Lot/72606790", "Монтаж системы видеонаблюдения государственного бюджетного учреждения социального обслуживания Краснодарского края ""Лабинский дом-интернат для престарелых и инвалидов"" по адресу: Краснодарский край, Лабинский район, ст. Упорная, ул. Международная, ...")</f>
        <v>Монтаж системы видеонаблюдения государственного бюджетного учреждения социального обслуживания Краснодарского края "Лабинский дом-интернат для престарелых и инвалидов" по адресу: Краснодарский край, Лабинский район, ст. Упорная, ул. Международная, ...</v>
      </c>
      <c r="G3422" s="22" t="s">
        <v>132</v>
      </c>
      <c r="H3422" s="22" t="s">
        <v>132</v>
      </c>
      <c r="I3422" s="26">
        <v>43682</v>
      </c>
      <c r="J3422" s="28" t="s">
        <v>52</v>
      </c>
      <c r="K3422" s="28" t="s">
        <v>52</v>
      </c>
      <c r="L3422" s="28" t="s">
        <v>52</v>
      </c>
      <c r="M3422" s="28" t="s">
        <v>52</v>
      </c>
      <c r="N3422" s="28" t="s">
        <v>52</v>
      </c>
    </row>
    <row r="3423" spans="1:14" x14ac:dyDescent="0.15">
      <c r="A3423" s="23" t="str">
        <f>HYPERLINK("https://www.spark-marketing.ru/Card/Person/4358714", "АО ""АЭРОМАР""")</f>
        <v>АО "АЭРОМАР"</v>
      </c>
      <c r="B3423" s="24" t="s">
        <v>4977</v>
      </c>
      <c r="C3423" s="25">
        <v>1181623</v>
      </c>
      <c r="D3423" s="22" t="s">
        <v>4978</v>
      </c>
      <c r="E3423" s="22" t="s">
        <v>533</v>
      </c>
      <c r="F3423" s="23" t="str">
        <f>HYPERLINK("https://www.spark-marketing.ru/Card/Lot/72608621", "Российский рубль")</f>
        <v>Российский рубль</v>
      </c>
      <c r="G3423" s="22" t="s">
        <v>50</v>
      </c>
      <c r="H3423" s="22" t="s">
        <v>938</v>
      </c>
      <c r="I3423" s="26">
        <v>43682</v>
      </c>
      <c r="J3423" s="28" t="s">
        <v>52</v>
      </c>
      <c r="K3423" s="28" t="s">
        <v>52</v>
      </c>
      <c r="L3423" s="28" t="s">
        <v>52</v>
      </c>
      <c r="M3423" s="28" t="s">
        <v>52</v>
      </c>
      <c r="N3423" s="28" t="s">
        <v>52</v>
      </c>
    </row>
    <row r="3424" spans="1:14" x14ac:dyDescent="0.15">
      <c r="A3424" s="23" t="str">
        <f>HYPERLINK("https://www.spark-marketing.ru/Card/Person/4390302", "ООО ""ГАЗПРОМ ТРАНСГАЗ САНКТ-ПЕТЕРБУРГ""")</f>
        <v>ООО "ГАЗПРОМ ТРАНСГАЗ САНКТ-ПЕТЕРБУРГ"</v>
      </c>
      <c r="B3424" s="24" t="s">
        <v>4974</v>
      </c>
      <c r="C3424" s="25">
        <v>16170390.84</v>
      </c>
      <c r="D3424" s="22" t="s">
        <v>4979</v>
      </c>
      <c r="E3424" s="22" t="s">
        <v>3608</v>
      </c>
      <c r="F3424" s="23" t="str">
        <f>HYPERLINK("https://www.spark-marketing.ru/Card/Lot/72600765", "Оказание услуг по сопровождению Автоматизированной системы мониторинга объектов газотранспортного предприятия «АСМО-ГТС» в части производственно - хозяйственной деятельности для нужд ООО ""Газпром трансгаз Санкт-Петербург"" в 2019 году")</f>
        <v>Оказание услуг по сопровождению Автоматизированной системы мониторинга объектов газотранспортного предприятия «АСМО-ГТС» в части производственно - хозяйственной деятельности для нужд ООО "Газпром трансгаз Санкт-Петербург" в 2019 году</v>
      </c>
      <c r="G3424" s="22" t="s">
        <v>89</v>
      </c>
      <c r="H3424" s="22" t="s">
        <v>89</v>
      </c>
      <c r="I3424" s="26">
        <v>43682</v>
      </c>
      <c r="J3424" s="28" t="s">
        <v>52</v>
      </c>
      <c r="K3424" s="28" t="s">
        <v>52</v>
      </c>
      <c r="L3424" s="22" t="s">
        <v>10</v>
      </c>
      <c r="M3424" s="28" t="s">
        <v>52</v>
      </c>
      <c r="N3424" s="28" t="s">
        <v>52</v>
      </c>
    </row>
    <row r="3425" spans="1:14" x14ac:dyDescent="0.15">
      <c r="A3425" s="23" t="str">
        <f>HYPERLINK("https://www.spark-marketing.ru/Card/Person/29752", """УТ МВД РОССИИ ПО ЮФО""")</f>
        <v>"УТ МВД РОССИИ ПО ЮФО"</v>
      </c>
      <c r="B3425" s="24" t="s">
        <v>4980</v>
      </c>
      <c r="C3425" s="25">
        <v>25458.15</v>
      </c>
      <c r="D3425" s="22" t="s">
        <v>4981</v>
      </c>
      <c r="E3425" s="22" t="s">
        <v>107</v>
      </c>
      <c r="F3425" s="23" t="str">
        <f>HYPERLINK("https://www.spark-marketing.ru/Card/Lot/72597862", "Услуги по техническому обслуживанию охранной сигнализации")</f>
        <v>Услуги по техническому обслуживанию охранной сигнализации</v>
      </c>
      <c r="G3425" s="22" t="s">
        <v>132</v>
      </c>
      <c r="H3425" s="22" t="s">
        <v>652</v>
      </c>
      <c r="I3425" s="26">
        <v>43681.9290162037</v>
      </c>
      <c r="J3425" s="23" t="str">
        <f>HYPERLINK("https://www.spark-marketing.ru/Card/Person/175626", "Фл ФГУП ""Охрана"" ВНГ России по Краснодарскому краю")</f>
        <v>Фл ФГУП "Охрана" ВНГ России по Краснодарскому краю</v>
      </c>
      <c r="K3425" s="24" t="s">
        <v>779</v>
      </c>
      <c r="L3425" s="22" t="s">
        <v>10</v>
      </c>
      <c r="M3425" s="28" t="s">
        <v>52</v>
      </c>
      <c r="N3425" s="28" t="s">
        <v>52</v>
      </c>
    </row>
    <row r="3426" spans="1:14" x14ac:dyDescent="0.15">
      <c r="A3426" s="23" t="str">
        <f>HYPERLINK("https://www.spark-marketing.ru/Card/Person/4415454", "ПАО ""СТЗ""")</f>
        <v>ПАО "СТЗ"</v>
      </c>
      <c r="B3426" s="24" t="s">
        <v>2517</v>
      </c>
      <c r="C3426" s="25">
        <v>727560</v>
      </c>
      <c r="D3426" s="22" t="s">
        <v>4982</v>
      </c>
      <c r="E3426" s="22" t="s">
        <v>53</v>
      </c>
      <c r="F3426" s="23" t="str">
        <f>HYPERLINK("https://www.spark-marketing.ru/Card/Lot/72584893", "Приобретение видеоборудования Arecont Vision (ТО№3)")</f>
        <v>Приобретение видеоборудования Arecont Vision (ТО№3)</v>
      </c>
      <c r="G3426" s="22" t="s">
        <v>72</v>
      </c>
      <c r="H3426" s="22" t="s">
        <v>2519</v>
      </c>
      <c r="I3426" s="26">
        <v>43680.459583333301</v>
      </c>
      <c r="J3426" s="28" t="s">
        <v>52</v>
      </c>
      <c r="K3426" s="28" t="s">
        <v>52</v>
      </c>
      <c r="L3426" s="28" t="s">
        <v>52</v>
      </c>
      <c r="M3426" s="28" t="s">
        <v>52</v>
      </c>
      <c r="N3426" s="28" t="s">
        <v>52</v>
      </c>
    </row>
    <row r="3427" spans="1:14" x14ac:dyDescent="0.15">
      <c r="A3427" s="23" t="str">
        <f>HYPERLINK("https://www.spark-marketing.ru/Card/Person/4415454", "ПАО ""СТЗ""")</f>
        <v>ПАО "СТЗ"</v>
      </c>
      <c r="B3427" s="24" t="s">
        <v>2517</v>
      </c>
      <c r="C3427" s="28" t="s">
        <v>52</v>
      </c>
      <c r="D3427" s="22" t="s">
        <v>4983</v>
      </c>
      <c r="E3427" s="22" t="s">
        <v>53</v>
      </c>
      <c r="F3427" s="23" t="str">
        <f>HYPERLINK("https://www.spark-marketing.ru/Card/Lot/72584891", "Приобретение видеоборудования Arecont Vision (ТО№3)")</f>
        <v>Приобретение видеоборудования Arecont Vision (ТО№3)</v>
      </c>
      <c r="G3427" s="22" t="s">
        <v>72</v>
      </c>
      <c r="H3427" s="22" t="s">
        <v>2519</v>
      </c>
      <c r="I3427" s="26">
        <v>43680.444085648101</v>
      </c>
      <c r="J3427" s="28" t="s">
        <v>52</v>
      </c>
      <c r="K3427" s="28" t="s">
        <v>52</v>
      </c>
      <c r="L3427" s="28" t="s">
        <v>52</v>
      </c>
      <c r="M3427" s="28" t="s">
        <v>52</v>
      </c>
      <c r="N3427" s="28" t="s">
        <v>52</v>
      </c>
    </row>
    <row r="3428" spans="1:14" x14ac:dyDescent="0.15">
      <c r="A3428" s="23" t="str">
        <f>HYPERLINK("https://www.spark-marketing.ru/Card/Person/5224", "ФКУ ""ЦХИСО ГУ МВД РОССИИ ПО РОСТОВСКОЙ ОБЛАСТИ""")</f>
        <v>ФКУ "ЦХИСО ГУ МВД РОССИИ ПО РОСТОВСКОЙ ОБЛАСТИ"</v>
      </c>
      <c r="B3428" s="24" t="s">
        <v>4377</v>
      </c>
      <c r="C3428" s="25">
        <v>62820</v>
      </c>
      <c r="D3428" s="22" t="s">
        <v>4984</v>
      </c>
      <c r="E3428" s="22" t="s">
        <v>84</v>
      </c>
      <c r="F3428" s="23" t="str">
        <f>HYPERLINK("https://www.spark-marketing.ru/Card/Lot/72578932", "установка систем охранного видеонаблюдения 16 каналов, 1 шт")</f>
        <v>установка систем охранного видеонаблюдения 16 каналов, 1 шт</v>
      </c>
      <c r="G3428" s="22" t="s">
        <v>402</v>
      </c>
      <c r="H3428" s="22" t="s">
        <v>403</v>
      </c>
      <c r="I3428" s="26">
        <v>43679.7104398148</v>
      </c>
      <c r="J3428" s="28" t="s">
        <v>52</v>
      </c>
      <c r="K3428" s="28" t="s">
        <v>52</v>
      </c>
      <c r="L3428" s="28" t="s">
        <v>52</v>
      </c>
      <c r="M3428" s="28" t="s">
        <v>52</v>
      </c>
      <c r="N3428" s="28" t="s">
        <v>52</v>
      </c>
    </row>
    <row r="3429" spans="1:14" x14ac:dyDescent="0.15">
      <c r="A3429" s="23" t="str">
        <f>HYPERLINK("https://www.spark-marketing.ru/Card/Person/5224", "ФКУ ""ЦХИСО ГУ МВД РОССИИ ПО РОСТОВСКОЙ ОБЛАСТИ""")</f>
        <v>ФКУ "ЦХИСО ГУ МВД РОССИИ ПО РОСТОВСКОЙ ОБЛАСТИ"</v>
      </c>
      <c r="B3429" s="24" t="s">
        <v>4377</v>
      </c>
      <c r="C3429" s="25">
        <v>62820</v>
      </c>
      <c r="D3429" s="22" t="s">
        <v>4985</v>
      </c>
      <c r="E3429" s="22" t="s">
        <v>84</v>
      </c>
      <c r="F3429" s="23" t="str">
        <f>HYPERLINK("https://www.spark-marketing.ru/Card/Lot/72578928", "установка систем охранного видеонаблюдения 16 каналов, 1 шт")</f>
        <v>установка систем охранного видеонаблюдения 16 каналов, 1 шт</v>
      </c>
      <c r="G3429" s="22" t="s">
        <v>402</v>
      </c>
      <c r="H3429" s="22" t="s">
        <v>403</v>
      </c>
      <c r="I3429" s="26">
        <v>43679.7090509259</v>
      </c>
      <c r="J3429" s="28" t="s">
        <v>52</v>
      </c>
      <c r="K3429" s="28" t="s">
        <v>52</v>
      </c>
      <c r="L3429" s="28" t="s">
        <v>52</v>
      </c>
      <c r="M3429" s="28" t="s">
        <v>52</v>
      </c>
      <c r="N3429" s="28" t="s">
        <v>52</v>
      </c>
    </row>
    <row r="3430" spans="1:14" x14ac:dyDescent="0.15">
      <c r="A3430" s="23" t="str">
        <f>HYPERLINK("https://www.spark-marketing.ru/Card/Person/35252", "ОКУ "" УЭ ГТС""")</f>
        <v>ОКУ " УЭ ГТС"</v>
      </c>
      <c r="B3430" s="24" t="s">
        <v>3126</v>
      </c>
      <c r="C3430" s="25">
        <v>50433.33</v>
      </c>
      <c r="D3430" s="22" t="s">
        <v>4986</v>
      </c>
      <c r="E3430" s="22" t="s">
        <v>376</v>
      </c>
      <c r="F3430" s="23" t="str">
        <f>HYPERLINK("https://www.spark-marketing.ru/Card/Lot/72580729", "Поставка и установка автоматического шлагбаума")</f>
        <v>Поставка и установка автоматического шлагбаума</v>
      </c>
      <c r="G3430" s="22" t="s">
        <v>3128</v>
      </c>
      <c r="H3430" s="22" t="s">
        <v>3129</v>
      </c>
      <c r="I3430" s="26">
        <v>43679.700949074097</v>
      </c>
      <c r="J3430" s="28" t="s">
        <v>52</v>
      </c>
      <c r="K3430" s="28" t="s">
        <v>52</v>
      </c>
      <c r="L3430" s="28" t="s">
        <v>52</v>
      </c>
      <c r="M3430" s="28" t="s">
        <v>52</v>
      </c>
      <c r="N3430" s="28" t="s">
        <v>52</v>
      </c>
    </row>
    <row r="3431" spans="1:14" x14ac:dyDescent="0.15">
      <c r="A3431" s="23" t="str">
        <f>HYPERLINK("https://www.spark-marketing.ru/Card/Person/535978", "ГОСТРУДИНСПЕКЦИЯ В СМОЛЕНСКОЙ ОБЛАСТИ")</f>
        <v>ГОСТРУДИНСПЕКЦИЯ В СМОЛЕНСКОЙ ОБЛАСТИ</v>
      </c>
      <c r="B3431" s="24" t="s">
        <v>2645</v>
      </c>
      <c r="C3431" s="25">
        <v>57000</v>
      </c>
      <c r="D3431" s="22" t="s">
        <v>4987</v>
      </c>
      <c r="E3431" s="22" t="s">
        <v>59</v>
      </c>
      <c r="F3431" s="23" t="str">
        <f>HYPERLINK("https://www.spark-marketing.ru/Card/Lot/72577935", "Установка охранной сигнализации, 2 шт")</f>
        <v>Установка охранной сигнализации, 2 шт</v>
      </c>
      <c r="G3431" s="22" t="s">
        <v>956</v>
      </c>
      <c r="H3431" s="22" t="s">
        <v>1451</v>
      </c>
      <c r="I3431" s="26">
        <v>43679.686770833301</v>
      </c>
      <c r="J3431" s="28" t="s">
        <v>52</v>
      </c>
      <c r="K3431" s="28" t="s">
        <v>52</v>
      </c>
      <c r="L3431" s="28" t="s">
        <v>52</v>
      </c>
      <c r="M3431" s="28" t="s">
        <v>52</v>
      </c>
      <c r="N3431" s="28" t="s">
        <v>52</v>
      </c>
    </row>
    <row r="3432" spans="1:14" x14ac:dyDescent="0.15">
      <c r="A3432" s="23" t="str">
        <f>HYPERLINK("https://www.spark-marketing.ru/Card/Person/4362291", "АО ""РОСНЕФТЕФЛОТ""")</f>
        <v>АО "РОСНЕФТЕФЛОТ"</v>
      </c>
      <c r="B3432" s="24" t="s">
        <v>1381</v>
      </c>
      <c r="C3432" s="28" t="s">
        <v>52</v>
      </c>
      <c r="D3432" s="22" t="s">
        <v>4988</v>
      </c>
      <c r="E3432" s="22" t="s">
        <v>1383</v>
      </c>
      <c r="F3432" s="23" t="str">
        <f>HYPERLINK("https://www.spark-marketing.ru/Card/Lot/72579479", "Привлечение подразделений транспортной безопасности")</f>
        <v>Привлечение подразделений транспортной безопасности</v>
      </c>
      <c r="G3432" s="22" t="s">
        <v>132</v>
      </c>
      <c r="H3432" s="22" t="s">
        <v>452</v>
      </c>
      <c r="I3432" s="26">
        <v>43679.702777777798</v>
      </c>
      <c r="J3432" s="28" t="s">
        <v>52</v>
      </c>
      <c r="K3432" s="28" t="s">
        <v>52</v>
      </c>
      <c r="L3432" s="28" t="s">
        <v>52</v>
      </c>
      <c r="M3432" s="28" t="s">
        <v>52</v>
      </c>
      <c r="N3432" s="28" t="s">
        <v>52</v>
      </c>
    </row>
    <row r="3433" spans="1:14" x14ac:dyDescent="0.15">
      <c r="A3433" s="23" t="str">
        <f>HYPERLINK("https://www.spark-marketing.ru/Card/Person/106386", "УПРАВЛЕНИЕ МВД РОССИИ ПО Г. КЕМЕРОВО")</f>
        <v>УПРАВЛЕНИЕ МВД РОССИИ ПО Г. КЕМЕРОВО</v>
      </c>
      <c r="B3433" s="24" t="s">
        <v>4989</v>
      </c>
      <c r="C3433" s="25">
        <v>81100</v>
      </c>
      <c r="D3433" s="22" t="s">
        <v>4990</v>
      </c>
      <c r="E3433" s="22" t="s">
        <v>183</v>
      </c>
      <c r="F3433" s="23" t="str">
        <f>HYPERLINK("https://www.spark-marketing.ru/Card/Lot/72586834", "Оказание услуги по техническому обслуживанию систем видеонаблюдения подразделений Управления МВД России по г. Кемерово")</f>
        <v>Оказание услуги по техническому обслуживанию систем видеонаблюдения подразделений Управления МВД России по г. Кемерово</v>
      </c>
      <c r="G3433" s="22" t="s">
        <v>367</v>
      </c>
      <c r="H3433" s="22" t="s">
        <v>881</v>
      </c>
      <c r="I3433" s="26">
        <v>43679.699629629598</v>
      </c>
      <c r="J3433" s="28" t="s">
        <v>52</v>
      </c>
      <c r="K3433" s="28" t="s">
        <v>52</v>
      </c>
      <c r="L3433" s="28" t="s">
        <v>52</v>
      </c>
      <c r="M3433" s="28" t="s">
        <v>52</v>
      </c>
      <c r="N3433" s="28" t="s">
        <v>52</v>
      </c>
    </row>
    <row r="3434" spans="1:14" ht="12.75" hidden="1" outlineLevel="1" x14ac:dyDescent="0.2">
      <c r="A3434" s="23" t="str">
        <f>HYPERLINK("https://www.spark-marketing.ru/Card/Person/106386", "УПРАВЛЕНИЕ МВД РОССИИ ПО Г. КЕМЕРОВО")</f>
        <v>УПРАВЛЕНИЕ МВД РОССИИ ПО Г. КЕМЕРОВО</v>
      </c>
      <c r="B3434" s="24" t="s">
        <v>4989</v>
      </c>
      <c r="C3434" s="25">
        <v>81100</v>
      </c>
      <c r="D3434" s="22" t="s">
        <v>4990</v>
      </c>
      <c r="E3434" s="22" t="s">
        <v>183</v>
      </c>
      <c r="F3434" s="23" t="str">
        <f>HYPERLINK("https://www.spark-marketing.ru/Card/Lot/72586834", "Оказание услуги по техническому обслуживанию систем видеонаблюдения подразделений Управления МВД России по г. Кемерово")</f>
        <v>Оказание услуги по техническому обслуживанию систем видеонаблюдения подразделений Управления МВД России по г. Кемерово</v>
      </c>
      <c r="G3434" s="22" t="s">
        <v>367</v>
      </c>
      <c r="H3434" s="22" t="s">
        <v>881</v>
      </c>
      <c r="I3434" s="26">
        <v>43679.699629629598</v>
      </c>
      <c r="J3434" s="23" t="str">
        <f>HYPERLINK("https://www.spark-marketing.ru/Card/Person/59808", "ООО ""ФОРТУНА ПЛЮС""")</f>
        <v>ООО "ФОРТУНА ПЛЮС"</v>
      </c>
      <c r="K3434" s="24" t="s">
        <v>4403</v>
      </c>
      <c r="L3434" s="22" t="s">
        <v>10</v>
      </c>
      <c r="M3434" s="25">
        <v>26179.93</v>
      </c>
      <c r="N3434" s="27">
        <v>0.67718951911220715</v>
      </c>
    </row>
    <row r="3435" spans="1:14" hidden="1" outlineLevel="1" x14ac:dyDescent="0.2">
      <c r="A3435" s="23" t="str">
        <f>HYPERLINK("https://www.spark-marketing.ru/Card/Person/106386", "УПРАВЛЕНИЕ МВД РОССИИ ПО Г. КЕМЕРОВО")</f>
        <v>УПРАВЛЕНИЕ МВД РОССИИ ПО Г. КЕМЕРОВО</v>
      </c>
      <c r="B3435" s="24" t="s">
        <v>4989</v>
      </c>
      <c r="C3435" s="25">
        <v>81100</v>
      </c>
      <c r="D3435" s="22" t="s">
        <v>4990</v>
      </c>
      <c r="E3435" s="22" t="s">
        <v>183</v>
      </c>
      <c r="F3435" s="23" t="str">
        <f>HYPERLINK("https://www.spark-marketing.ru/Card/Lot/72586834", "Оказание услуги по техническому обслуживанию систем видеонаблюдения подразделений Управления МВД России по г. Кемерово")</f>
        <v>Оказание услуги по техническому обслуживанию систем видеонаблюдения подразделений Управления МВД России по г. Кемерово</v>
      </c>
      <c r="G3435" s="22" t="s">
        <v>367</v>
      </c>
      <c r="H3435" s="22" t="s">
        <v>881</v>
      </c>
      <c r="I3435" s="26">
        <v>43679.699629629598</v>
      </c>
      <c r="J3435" s="23" t="str">
        <f>HYPERLINK("https://www.spark-marketing.ru/Card/Person/6402542", "ООО ""ЦЕНТР СБ""")</f>
        <v>ООО "ЦЕНТР СБ"</v>
      </c>
      <c r="K3435" s="24" t="s">
        <v>2133</v>
      </c>
      <c r="L3435" s="28" t="s">
        <v>52</v>
      </c>
      <c r="M3435" s="25">
        <v>26585.43</v>
      </c>
      <c r="N3435" s="27">
        <v>0.67218951911220715</v>
      </c>
    </row>
    <row r="3436" spans="1:14" hidden="1" outlineLevel="1" x14ac:dyDescent="0.2">
      <c r="A3436" s="23" t="str">
        <f>HYPERLINK("https://www.spark-marketing.ru/Card/Person/106386", "УПРАВЛЕНИЕ МВД РОССИИ ПО Г. КЕМЕРОВО")</f>
        <v>УПРАВЛЕНИЕ МВД РОССИИ ПО Г. КЕМЕРОВО</v>
      </c>
      <c r="B3436" s="24" t="s">
        <v>4989</v>
      </c>
      <c r="C3436" s="25">
        <v>81100</v>
      </c>
      <c r="D3436" s="22" t="s">
        <v>4990</v>
      </c>
      <c r="E3436" s="22" t="s">
        <v>183</v>
      </c>
      <c r="F3436" s="23" t="str">
        <f>HYPERLINK("https://www.spark-marketing.ru/Card/Lot/72586834", "Оказание услуги по техническому обслуживанию систем видеонаблюдения подразделений Управления МВД России по г. Кемерово")</f>
        <v>Оказание услуги по техническому обслуживанию систем видеонаблюдения подразделений Управления МВД России по г. Кемерово</v>
      </c>
      <c r="G3436" s="22" t="s">
        <v>367</v>
      </c>
      <c r="H3436" s="22" t="s">
        <v>881</v>
      </c>
      <c r="I3436" s="26">
        <v>43679.699629629598</v>
      </c>
      <c r="J3436" s="23" t="str">
        <f>HYPERLINK("https://www.spark-marketing.ru/Card/Person/6619594", "ООО ""КУБ""")</f>
        <v>ООО "КУБ"</v>
      </c>
      <c r="K3436" s="24" t="s">
        <v>4406</v>
      </c>
      <c r="L3436" s="28" t="s">
        <v>52</v>
      </c>
      <c r="M3436" s="25">
        <v>27396.43</v>
      </c>
      <c r="N3436" s="27">
        <v>0.66218951911220714</v>
      </c>
    </row>
    <row r="3437" spans="1:14" hidden="1" outlineLevel="1" x14ac:dyDescent="0.2">
      <c r="A3437" s="23" t="str">
        <f>HYPERLINK("https://www.spark-marketing.ru/Card/Person/106386", "УПРАВЛЕНИЕ МВД РОССИИ ПО Г. КЕМЕРОВО")</f>
        <v>УПРАВЛЕНИЕ МВД РОССИИ ПО Г. КЕМЕРОВО</v>
      </c>
      <c r="B3437" s="24" t="s">
        <v>4989</v>
      </c>
      <c r="C3437" s="25">
        <v>81100</v>
      </c>
      <c r="D3437" s="22" t="s">
        <v>4990</v>
      </c>
      <c r="E3437" s="22" t="s">
        <v>183</v>
      </c>
      <c r="F3437" s="23" t="str">
        <f>HYPERLINK("https://www.spark-marketing.ru/Card/Lot/72586834", "Оказание услуги по техническому обслуживанию систем видеонаблюдения подразделений Управления МВД России по г. Кемерово")</f>
        <v>Оказание услуги по техническому обслуживанию систем видеонаблюдения подразделений Управления МВД России по г. Кемерово</v>
      </c>
      <c r="G3437" s="22" t="s">
        <v>367</v>
      </c>
      <c r="H3437" s="22" t="s">
        <v>881</v>
      </c>
      <c r="I3437" s="26">
        <v>43679.699629629598</v>
      </c>
      <c r="J3437" s="23" t="str">
        <f>HYPERLINK("https://www.spark-marketing.ru/Card/Person/290076", "ООО ""СОЛЯРИС-МАРКЕТ""")</f>
        <v>ООО "СОЛЯРИС-МАРКЕТ"</v>
      </c>
      <c r="K3437" s="24" t="s">
        <v>4991</v>
      </c>
      <c r="L3437" s="28" t="s">
        <v>52</v>
      </c>
      <c r="M3437" s="25">
        <v>44427.43</v>
      </c>
      <c r="N3437" s="27">
        <v>0.45218951911220717</v>
      </c>
    </row>
    <row r="3438" spans="1:14" x14ac:dyDescent="0.15">
      <c r="A3438" s="23" t="str">
        <f>HYPERLINK("https://www.spark-marketing.ru/Card/Person/1959634", "ООО ""УРАЛХИМ-ТРАНС""")</f>
        <v>ООО "УРАЛХИМ-ТРАНС"</v>
      </c>
      <c r="B3438" s="24" t="s">
        <v>4992</v>
      </c>
      <c r="C3438" s="28" t="s">
        <v>52</v>
      </c>
      <c r="D3438" s="28" t="s">
        <v>52</v>
      </c>
      <c r="E3438" s="22" t="s">
        <v>53</v>
      </c>
      <c r="F3438" s="23" t="str">
        <f>HYPERLINK("https://www.spark-marketing.ru/Card/Lot/72587593", "Уведомление о проведении конкурентной процедуры в форме запроса предложений по разработке рабочей документации на установку технических средств охраны ловкомотивного депо филиала ООО «УРАЛХИМ-ТРАНС» в г. Воскресенске, выполнение работ: август - октяб...")</f>
        <v>Уведомление о проведении конкурентной процедуры в форме запроса предложений по разработке рабочей документации на установку технических средств охраны ловкомотивного депо филиала ООО «УРАЛХИМ-ТРАНС» в г. Воскресенске, выполнение работ: август - октяб...</v>
      </c>
      <c r="G3438" s="22" t="s">
        <v>55</v>
      </c>
      <c r="H3438" s="22" t="s">
        <v>55</v>
      </c>
      <c r="I3438" s="26">
        <v>43679.636805555601</v>
      </c>
      <c r="J3438" s="28" t="s">
        <v>52</v>
      </c>
      <c r="K3438" s="28" t="s">
        <v>52</v>
      </c>
      <c r="L3438" s="28" t="s">
        <v>52</v>
      </c>
      <c r="M3438" s="28" t="s">
        <v>52</v>
      </c>
      <c r="N3438" s="28" t="s">
        <v>52</v>
      </c>
    </row>
    <row r="3439" spans="1:14" x14ac:dyDescent="0.15">
      <c r="A3439" s="23" t="str">
        <f>HYPERLINK("https://www.spark-marketing.ru/Card/Person/-1", "неизвестно")</f>
        <v>неизвестно</v>
      </c>
      <c r="B3439" s="28" t="s">
        <v>52</v>
      </c>
      <c r="C3439" s="28" t="s">
        <v>52</v>
      </c>
      <c r="D3439" s="28" t="s">
        <v>52</v>
      </c>
      <c r="E3439" s="22" t="s">
        <v>53</v>
      </c>
      <c r="F3439" s="23" t="str">
        <f>HYPERLINK("https://www.spark-marketing.ru/Card/Lot/72577167", "Уведомление о проведении конкурентной процедуры в форме запроса предложений по разработке рабочей документации на установку технических средств охраны ловкомотивного депо филиала ООО «УРАЛХИМ-ТРАНС» в г. Воскресенске, выполнение работ: август - октяб...")</f>
        <v>Уведомление о проведении конкурентной процедуры в форме запроса предложений по разработке рабочей документации на установку технических средств охраны ловкомотивного депо филиала ООО «УРАЛХИМ-ТРАНС» в г. Воскресенске, выполнение работ: август - октяб...</v>
      </c>
      <c r="G3439" s="22" t="s">
        <v>52</v>
      </c>
      <c r="H3439" s="22" t="s">
        <v>52</v>
      </c>
      <c r="I3439" s="26">
        <v>43679.636805555601</v>
      </c>
      <c r="J3439" s="28" t="s">
        <v>52</v>
      </c>
      <c r="K3439" s="28" t="s">
        <v>52</v>
      </c>
      <c r="L3439" s="28" t="s">
        <v>52</v>
      </c>
      <c r="M3439" s="28" t="s">
        <v>52</v>
      </c>
      <c r="N3439" s="28" t="s">
        <v>52</v>
      </c>
    </row>
    <row r="3440" spans="1:14" x14ac:dyDescent="0.15">
      <c r="A3440" s="23" t="str">
        <f t="shared" ref="A3440:A3447" si="149">HYPERLINK("https://www.spark-marketing.ru/Card/Person/51365", "ГБПОУ ""ПТПИТ""")</f>
        <v>ГБПОУ "ПТПИТ"</v>
      </c>
      <c r="B3440" s="24" t="s">
        <v>4993</v>
      </c>
      <c r="C3440" s="25">
        <v>430800</v>
      </c>
      <c r="D3440" s="22" t="s">
        <v>4994</v>
      </c>
      <c r="E3440" s="22" t="s">
        <v>103</v>
      </c>
      <c r="F3440" s="23" t="str">
        <f t="shared" ref="F3440:F3447" si="150">HYPERLINK("https://www.spark-marketing.ru/Card/Lot/72587581", "Оказание услуг по техническому обслуживанию Комплекса систем безопасности (далее-КСБ) система контроля и управления доступом (СКУД), система видеонаблюдения, система автоматики раздвижных ворот система внутреннего противопожарного водопровода, против...")</f>
        <v>Оказание услуг по техническому обслуживанию Комплекса систем безопасности (далее-КСБ) система контроля и управления доступом (СКУД), система видеонаблюдения, система автоматики раздвижных ворот система внутреннего противопожарного водопровода, против...</v>
      </c>
      <c r="G3440" s="22" t="s">
        <v>391</v>
      </c>
      <c r="H3440" s="22" t="s">
        <v>391</v>
      </c>
      <c r="I3440" s="26">
        <v>43679.660243055601</v>
      </c>
      <c r="J3440" s="28" t="s">
        <v>52</v>
      </c>
      <c r="K3440" s="28" t="s">
        <v>52</v>
      </c>
      <c r="L3440" s="28" t="s">
        <v>52</v>
      </c>
      <c r="M3440" s="28" t="s">
        <v>52</v>
      </c>
      <c r="N3440" s="28" t="s">
        <v>52</v>
      </c>
    </row>
    <row r="3441" spans="1:14" hidden="1" outlineLevel="1" x14ac:dyDescent="0.2">
      <c r="A3441" s="23" t="str">
        <f t="shared" si="149"/>
        <v>ГБПОУ "ПТПИТ"</v>
      </c>
      <c r="B3441" s="24" t="s">
        <v>4993</v>
      </c>
      <c r="C3441" s="25">
        <v>430800</v>
      </c>
      <c r="D3441" s="22" t="s">
        <v>4994</v>
      </c>
      <c r="E3441" s="22" t="s">
        <v>103</v>
      </c>
      <c r="F3441" s="23" t="str">
        <f t="shared" si="150"/>
        <v>Оказание услуг по техническому обслуживанию Комплекса систем безопасности (далее-КСБ) система контроля и управления доступом (СКУД), система видеонаблюдения, система автоматики раздвижных ворот система внутреннего противопожарного водопровода, против...</v>
      </c>
      <c r="G3441" s="22" t="s">
        <v>391</v>
      </c>
      <c r="H3441" s="22" t="s">
        <v>391</v>
      </c>
      <c r="I3441" s="26">
        <v>43679.660243055601</v>
      </c>
      <c r="J3441" s="23" t="str">
        <f>HYPERLINK("https://www.spark-marketing.ru/Card/Person/90546", "ООО ""ЭКСПЕРТ-СЕРВИС""")</f>
        <v>ООО "ЭКСПЕРТ-СЕРВИС"</v>
      </c>
      <c r="K3441" s="24" t="s">
        <v>4995</v>
      </c>
      <c r="L3441" s="28" t="s">
        <v>52</v>
      </c>
      <c r="M3441" s="25">
        <v>156273.34</v>
      </c>
      <c r="N3441" s="27">
        <v>0.63724851439182917</v>
      </c>
    </row>
    <row r="3442" spans="1:14" ht="12.75" hidden="1" outlineLevel="1" x14ac:dyDescent="0.2">
      <c r="A3442" s="23" t="str">
        <f t="shared" si="149"/>
        <v>ГБПОУ "ПТПИТ"</v>
      </c>
      <c r="B3442" s="24" t="s">
        <v>4993</v>
      </c>
      <c r="C3442" s="25">
        <v>430800</v>
      </c>
      <c r="D3442" s="22" t="s">
        <v>4994</v>
      </c>
      <c r="E3442" s="22" t="s">
        <v>103</v>
      </c>
      <c r="F3442" s="23" t="str">
        <f t="shared" si="150"/>
        <v>Оказание услуг по техническому обслуживанию Комплекса систем безопасности (далее-КСБ) система контроля и управления доступом (СКУД), система видеонаблюдения, система автоматики раздвижных ворот система внутреннего противопожарного водопровода, против...</v>
      </c>
      <c r="G3442" s="22" t="s">
        <v>391</v>
      </c>
      <c r="H3442" s="22" t="s">
        <v>391</v>
      </c>
      <c r="I3442" s="26">
        <v>43679.660243055601</v>
      </c>
      <c r="J3442" s="23" t="str">
        <f>HYPERLINK("https://www.spark-marketing.ru/Card/Person/1399670", "ООО ""ИНЖЕНЕРНЫЕ СИСТЕМЫ""")</f>
        <v>ООО "ИНЖЕНЕРНЫЕ СИСТЕМЫ"</v>
      </c>
      <c r="K3442" s="24" t="s">
        <v>4996</v>
      </c>
      <c r="L3442" s="22" t="s">
        <v>10</v>
      </c>
      <c r="M3442" s="25">
        <v>61497.34</v>
      </c>
      <c r="N3442" s="27">
        <v>0.85724851439182914</v>
      </c>
    </row>
    <row r="3443" spans="1:14" hidden="1" outlineLevel="1" x14ac:dyDescent="0.2">
      <c r="A3443" s="23" t="str">
        <f t="shared" si="149"/>
        <v>ГБПОУ "ПТПИТ"</v>
      </c>
      <c r="B3443" s="24" t="s">
        <v>4993</v>
      </c>
      <c r="C3443" s="25">
        <v>430800</v>
      </c>
      <c r="D3443" s="22" t="s">
        <v>4994</v>
      </c>
      <c r="E3443" s="22" t="s">
        <v>103</v>
      </c>
      <c r="F3443" s="23" t="str">
        <f t="shared" si="150"/>
        <v>Оказание услуг по техническому обслуживанию Комплекса систем безопасности (далее-КСБ) система контроля и управления доступом (СКУД), система видеонаблюдения, система автоматики раздвижных ворот система внутреннего противопожарного водопровода, против...</v>
      </c>
      <c r="G3443" s="22" t="s">
        <v>391</v>
      </c>
      <c r="H3443" s="22" t="s">
        <v>391</v>
      </c>
      <c r="I3443" s="26">
        <v>43679.660243055601</v>
      </c>
      <c r="J3443" s="23" t="str">
        <f>HYPERLINK("https://www.spark-marketing.ru/Card/Person/1400970", "ООО ""АТИС""")</f>
        <v>ООО "АТИС"</v>
      </c>
      <c r="K3443" s="24" t="s">
        <v>2117</v>
      </c>
      <c r="L3443" s="28" t="s">
        <v>52</v>
      </c>
      <c r="M3443" s="25">
        <v>121809.34</v>
      </c>
      <c r="N3443" s="27">
        <v>0.71724851439182913</v>
      </c>
    </row>
    <row r="3444" spans="1:14" hidden="1" outlineLevel="1" x14ac:dyDescent="0.2">
      <c r="A3444" s="23" t="str">
        <f t="shared" si="149"/>
        <v>ГБПОУ "ПТПИТ"</v>
      </c>
      <c r="B3444" s="24" t="s">
        <v>4993</v>
      </c>
      <c r="C3444" s="25">
        <v>430800</v>
      </c>
      <c r="D3444" s="22" t="s">
        <v>4994</v>
      </c>
      <c r="E3444" s="22" t="s">
        <v>103</v>
      </c>
      <c r="F3444" s="23" t="str">
        <f t="shared" si="150"/>
        <v>Оказание услуг по техническому обслуживанию Комплекса систем безопасности (далее-КСБ) система контроля и управления доступом (СКУД), система видеонаблюдения, система автоматики раздвижных ворот система внутреннего противопожарного водопровода, против...</v>
      </c>
      <c r="G3444" s="22" t="s">
        <v>391</v>
      </c>
      <c r="H3444" s="22" t="s">
        <v>391</v>
      </c>
      <c r="I3444" s="26">
        <v>43679.660243055601</v>
      </c>
      <c r="J3444" s="23" t="str">
        <f>HYPERLINK("https://www.spark-marketing.ru/Card/Person/54965", "ООО ""ПОЖАРНЫЙ ГАРНИЗОН-ПЕРМЬ""")</f>
        <v>ООО "ПОЖАРНЫЙ ГАРНИЗОН-ПЕРМЬ"</v>
      </c>
      <c r="K3444" s="24" t="s">
        <v>4997</v>
      </c>
      <c r="L3444" s="28" t="s">
        <v>52</v>
      </c>
      <c r="M3444" s="25">
        <v>322000</v>
      </c>
      <c r="N3444" s="27">
        <v>0.25255338904363972</v>
      </c>
    </row>
    <row r="3445" spans="1:14" hidden="1" outlineLevel="1" x14ac:dyDescent="0.2">
      <c r="A3445" s="23" t="str">
        <f t="shared" si="149"/>
        <v>ГБПОУ "ПТПИТ"</v>
      </c>
      <c r="B3445" s="24" t="s">
        <v>4993</v>
      </c>
      <c r="C3445" s="25">
        <v>430800</v>
      </c>
      <c r="D3445" s="22" t="s">
        <v>4994</v>
      </c>
      <c r="E3445" s="22" t="s">
        <v>103</v>
      </c>
      <c r="F3445" s="23" t="str">
        <f t="shared" si="150"/>
        <v>Оказание услуг по техническому обслуживанию Комплекса систем безопасности (далее-КСБ) система контроля и управления доступом (СКУД), система видеонаблюдения, система автоматики раздвижных ворот система внутреннего противопожарного водопровода, против...</v>
      </c>
      <c r="G3445" s="22" t="s">
        <v>391</v>
      </c>
      <c r="H3445" s="22" t="s">
        <v>391</v>
      </c>
      <c r="I3445" s="26">
        <v>43679.660243055601</v>
      </c>
      <c r="J3445" s="23" t="str">
        <f>HYPERLINK("https://www.spark-marketing.ru/Card/Person/781183", "ООО ""ЦСТМ-НИКСОН""")</f>
        <v>ООО "ЦСТМ-НИКСОН"</v>
      </c>
      <c r="K3445" s="24" t="s">
        <v>4998</v>
      </c>
      <c r="L3445" s="28" t="s">
        <v>52</v>
      </c>
      <c r="M3445" s="25">
        <v>389874</v>
      </c>
      <c r="N3445" s="27">
        <v>9.5000000000000001E-2</v>
      </c>
    </row>
    <row r="3446" spans="1:14" hidden="1" outlineLevel="1" x14ac:dyDescent="0.2">
      <c r="A3446" s="23" t="str">
        <f t="shared" si="149"/>
        <v>ГБПОУ "ПТПИТ"</v>
      </c>
      <c r="B3446" s="24" t="s">
        <v>4993</v>
      </c>
      <c r="C3446" s="25">
        <v>430800</v>
      </c>
      <c r="D3446" s="22" t="s">
        <v>4994</v>
      </c>
      <c r="E3446" s="22" t="s">
        <v>103</v>
      </c>
      <c r="F3446" s="23" t="str">
        <f t="shared" si="150"/>
        <v>Оказание услуг по техническому обслуживанию Комплекса систем безопасности (далее-КСБ) система контроля и управления доступом (СКУД), система видеонаблюдения, система автоматики раздвижных ворот система внутреннего противопожарного водопровода, против...</v>
      </c>
      <c r="G3446" s="22" t="s">
        <v>391</v>
      </c>
      <c r="H3446" s="22" t="s">
        <v>391</v>
      </c>
      <c r="I3446" s="26">
        <v>43679.660243055601</v>
      </c>
      <c r="J3446" s="23" t="str">
        <f>HYPERLINK("https://www.spark-marketing.ru/Card/Person/1963273", "ООО НТЦ ""СОВА""")</f>
        <v>ООО НТЦ "СОВА"</v>
      </c>
      <c r="K3446" s="24" t="s">
        <v>4999</v>
      </c>
      <c r="L3446" s="28" t="s">
        <v>52</v>
      </c>
      <c r="M3446" s="25">
        <v>95961.34</v>
      </c>
      <c r="N3446" s="27">
        <v>0.77724851439182918</v>
      </c>
    </row>
    <row r="3447" spans="1:14" hidden="1" outlineLevel="1" x14ac:dyDescent="0.2">
      <c r="A3447" s="23" t="str">
        <f t="shared" si="149"/>
        <v>ГБПОУ "ПТПИТ"</v>
      </c>
      <c r="B3447" s="24" t="s">
        <v>4993</v>
      </c>
      <c r="C3447" s="25">
        <v>430800</v>
      </c>
      <c r="D3447" s="22" t="s">
        <v>4994</v>
      </c>
      <c r="E3447" s="22" t="s">
        <v>103</v>
      </c>
      <c r="F3447" s="23" t="str">
        <f t="shared" si="150"/>
        <v>Оказание услуг по техническому обслуживанию Комплекса систем безопасности (далее-КСБ) система контроля и управления доступом (СКУД), система видеонаблюдения, система автоматики раздвижных ворот система внутреннего противопожарного водопровода, против...</v>
      </c>
      <c r="G3447" s="22" t="s">
        <v>391</v>
      </c>
      <c r="H3447" s="22" t="s">
        <v>391</v>
      </c>
      <c r="I3447" s="26">
        <v>43679.660243055601</v>
      </c>
      <c r="J3447" s="23" t="str">
        <f>HYPERLINK("https://www.spark-marketing.ru/Card/Person/750281", "ООО ""АСК""")</f>
        <v>ООО "АСК"</v>
      </c>
      <c r="K3447" s="24" t="s">
        <v>5000</v>
      </c>
      <c r="L3447" s="28" t="s">
        <v>52</v>
      </c>
      <c r="M3447" s="25">
        <v>83037.34</v>
      </c>
      <c r="N3447" s="27">
        <v>0.80724851439182921</v>
      </c>
    </row>
    <row r="3448" spans="1:14" x14ac:dyDescent="0.15">
      <c r="A3448" s="23" t="str">
        <f>HYPERLINK("https://www.spark-marketing.ru/Card/Person/358465", "МЕЖРАЙОННАЯ ИФНС РОССИИ № 5 ПО ПСКОВСКОЙ ОБЛАСТИ")</f>
        <v>МЕЖРАЙОННАЯ ИФНС РОССИИ № 5 ПО ПСКОВСКОЙ ОБЛАСТИ</v>
      </c>
      <c r="B3448" s="24" t="s">
        <v>5001</v>
      </c>
      <c r="C3448" s="25">
        <v>86461.62</v>
      </c>
      <c r="D3448" s="22" t="s">
        <v>5002</v>
      </c>
      <c r="E3448" s="22" t="s">
        <v>53</v>
      </c>
      <c r="F3448" s="23" t="str">
        <f>HYPERLINK("https://www.spark-marketing.ru/Card/Lot/72576954", "Услуги пультовой охраны с использованием тревожной кнопки, 13050 шт")</f>
        <v>Услуги пультовой охраны с использованием тревожной кнопки, 13050 шт</v>
      </c>
      <c r="G3448" s="22" t="s">
        <v>142</v>
      </c>
      <c r="H3448" s="22" t="s">
        <v>5003</v>
      </c>
      <c r="I3448" s="26">
        <v>43679.6421064815</v>
      </c>
      <c r="J3448" s="28" t="s">
        <v>52</v>
      </c>
      <c r="K3448" s="28" t="s">
        <v>52</v>
      </c>
      <c r="L3448" s="28" t="s">
        <v>52</v>
      </c>
      <c r="M3448" s="28" t="s">
        <v>52</v>
      </c>
      <c r="N3448" s="28" t="s">
        <v>52</v>
      </c>
    </row>
    <row r="3449" spans="1:14" x14ac:dyDescent="0.15">
      <c r="A3449" s="23" t="str">
        <f>HYPERLINK("https://www.spark-marketing.ru/Card/Person/21877", "МТУ РОСИМУЩЕСТВА В ТЮМЕНСКОЙ ОБЛАСТИ, ХАНТЫ-МАНСИЙСКОМ АВТОНОМНОМ ОКРУГЕ-ЮГРЕ, ЯМАЛО-НЕНЕЦКОМ АВТОНОМНОМ ОКРУГЕ")</f>
        <v>МТУ РОСИМУЩЕСТВА В ТЮМЕНСКОЙ ОБЛАСТИ, ХАНТЫ-МАНСИЙСКОМ АВТОНОМНОМ ОКРУГЕ-ЮГРЕ, ЯМАЛО-НЕНЕЦКОМ АВТОНОМНОМ ОКРУГЕ</v>
      </c>
      <c r="B3449" s="24" t="s">
        <v>5004</v>
      </c>
      <c r="C3449" s="25">
        <v>99900</v>
      </c>
      <c r="D3449" s="22" t="s">
        <v>5005</v>
      </c>
      <c r="E3449" s="22" t="s">
        <v>53</v>
      </c>
      <c r="F3449" s="23" t="str">
        <f>HYPERLINK("https://www.spark-marketing.ru/Card/Lot/72574664", "Оказание охранных услуг")</f>
        <v>Оказание охранных услуг</v>
      </c>
      <c r="G3449" s="22" t="s">
        <v>893</v>
      </c>
      <c r="H3449" s="22" t="s">
        <v>894</v>
      </c>
      <c r="I3449" s="26">
        <v>43679.602476851898</v>
      </c>
      <c r="J3449" s="28" t="s">
        <v>52</v>
      </c>
      <c r="K3449" s="28" t="s">
        <v>52</v>
      </c>
      <c r="L3449" s="28" t="s">
        <v>52</v>
      </c>
      <c r="M3449" s="28" t="s">
        <v>52</v>
      </c>
      <c r="N3449" s="28" t="s">
        <v>52</v>
      </c>
    </row>
    <row r="3450" spans="1:14" x14ac:dyDescent="0.15">
      <c r="A3450" s="23" t="str">
        <f>HYPERLINK("https://www.spark-marketing.ru/Card/Person/108500", "УПРАВЛЕНИЕ МВД РОССИИ ПО ЗАТО Г. ОЗЕРСК ЧЕЛЯБИНСКОЙ ОБЛАСТИ")</f>
        <v>УПРАВЛЕНИЕ МВД РОССИИ ПО ЗАТО Г. ОЗЕРСК ЧЕЛЯБИНСКОЙ ОБЛАСТИ</v>
      </c>
      <c r="B3450" s="24" t="s">
        <v>4727</v>
      </c>
      <c r="C3450" s="25">
        <v>16900</v>
      </c>
      <c r="D3450" s="22" t="s">
        <v>5006</v>
      </c>
      <c r="E3450" s="22" t="s">
        <v>103</v>
      </c>
      <c r="F3450" s="23" t="str">
        <f>HYPERLINK("https://www.spark-marketing.ru/Card/Lot/72572965", "Оказание услуг по техническому обслуживанию системы видеонаблюденя, 1 усл. ед")</f>
        <v>Оказание услуг по техническому обслуживанию системы видеонаблюденя, 1 усл. ед</v>
      </c>
      <c r="G3450" s="22" t="s">
        <v>60</v>
      </c>
      <c r="H3450" s="22" t="s">
        <v>588</v>
      </c>
      <c r="I3450" s="26">
        <v>43679.586215277799</v>
      </c>
      <c r="J3450" s="28" t="s">
        <v>52</v>
      </c>
      <c r="K3450" s="28" t="s">
        <v>52</v>
      </c>
      <c r="L3450" s="28" t="s">
        <v>52</v>
      </c>
      <c r="M3450" s="28" t="s">
        <v>52</v>
      </c>
      <c r="N3450" s="28" t="s">
        <v>52</v>
      </c>
    </row>
    <row r="3451" spans="1:14" x14ac:dyDescent="0.15">
      <c r="A3451" s="23" t="str">
        <f>HYPERLINK("https://www.spark-marketing.ru/Card/Person/1009873", "МБОУ ВСОШ № 1 Г. АЗОВА")</f>
        <v>МБОУ ВСОШ № 1 Г. АЗОВА</v>
      </c>
      <c r="B3451" s="24" t="s">
        <v>4948</v>
      </c>
      <c r="C3451" s="25">
        <v>110702800</v>
      </c>
      <c r="D3451" s="22" t="s">
        <v>5007</v>
      </c>
      <c r="E3451" s="22" t="s">
        <v>59</v>
      </c>
      <c r="F3451" s="23" t="str">
        <f>HYPERLINK("https://www.spark-marketing.ru/Card/Lot/72575962", "Установка охранно-тревожной сигнализации.")</f>
        <v>Установка охранно-тревожной сигнализации.</v>
      </c>
      <c r="G3451" s="22" t="s">
        <v>402</v>
      </c>
      <c r="H3451" s="22" t="s">
        <v>4950</v>
      </c>
      <c r="I3451" s="26">
        <v>43679.618750000001</v>
      </c>
      <c r="J3451" s="28" t="s">
        <v>52</v>
      </c>
      <c r="K3451" s="28" t="s">
        <v>52</v>
      </c>
      <c r="L3451" s="28" t="s">
        <v>52</v>
      </c>
      <c r="M3451" s="28" t="s">
        <v>52</v>
      </c>
      <c r="N3451" s="28" t="s">
        <v>52</v>
      </c>
    </row>
    <row r="3452" spans="1:14" x14ac:dyDescent="0.15">
      <c r="A3452" s="23" t="str">
        <f>HYPERLINK("https://www.spark-marketing.ru/Card/Person/4348446", "ООО ""ТАИФ-НК АЗС""")</f>
        <v>ООО "ТАИФ-НК АЗС"</v>
      </c>
      <c r="B3452" s="24" t="s">
        <v>301</v>
      </c>
      <c r="C3452" s="25">
        <v>2190000</v>
      </c>
      <c r="D3452" s="22" t="s">
        <v>5008</v>
      </c>
      <c r="E3452" s="22" t="s">
        <v>53</v>
      </c>
      <c r="F3452" s="23" t="str">
        <f>HYPERLINK("https://www.spark-marketing.ru/Card/Lot/72583907", "Пультовая охрана, оборудованная системой тревожной сигнализации (КТС) с подключением на ПЦН на объектах КФ на 2020 год ( 73 объекта )")</f>
        <v>Пультовая охрана, оборудованная системой тревожной сигнализации (КТС) с подключением на ПЦН на объектах КФ на 2020 год ( 73 объекта )</v>
      </c>
      <c r="G3452" s="22" t="s">
        <v>204</v>
      </c>
      <c r="H3452" s="22" t="s">
        <v>303</v>
      </c>
      <c r="I3452" s="26">
        <v>43679.596481481502</v>
      </c>
      <c r="J3452" s="28" t="s">
        <v>52</v>
      </c>
      <c r="K3452" s="28" t="s">
        <v>52</v>
      </c>
      <c r="L3452" s="28" t="s">
        <v>52</v>
      </c>
      <c r="M3452" s="28" t="s">
        <v>52</v>
      </c>
      <c r="N3452" s="28" t="s">
        <v>52</v>
      </c>
    </row>
    <row r="3453" spans="1:14" x14ac:dyDescent="0.15">
      <c r="A3453" s="23" t="str">
        <f>HYPERLINK("https://www.spark-marketing.ru/Card/Person/4348446", "ООО ""ТАИФ-НК АЗС""")</f>
        <v>ООО "ТАИФ-НК АЗС"</v>
      </c>
      <c r="B3453" s="24" t="s">
        <v>301</v>
      </c>
      <c r="C3453" s="25">
        <v>205860</v>
      </c>
      <c r="D3453" s="22" t="s">
        <v>5008</v>
      </c>
      <c r="E3453" s="22" t="s">
        <v>53</v>
      </c>
      <c r="F3453" s="23" t="str">
        <f>HYPERLINK("https://www.spark-marketing.ru/Card/Lot/72583908", "Техническое обслуживание (ТО) технических средств охраны (ТСО) на объектах КФ на 2020 год ( 73 объекта )")</f>
        <v>Техническое обслуживание (ТО) технических средств охраны (ТСО) на объектах КФ на 2020 год ( 73 объекта )</v>
      </c>
      <c r="G3453" s="22" t="s">
        <v>204</v>
      </c>
      <c r="H3453" s="22" t="s">
        <v>303</v>
      </c>
      <c r="I3453" s="26">
        <v>43679.596481481502</v>
      </c>
      <c r="J3453" s="28" t="s">
        <v>52</v>
      </c>
      <c r="K3453" s="28" t="s">
        <v>52</v>
      </c>
      <c r="L3453" s="28" t="s">
        <v>52</v>
      </c>
      <c r="M3453" s="28" t="s">
        <v>52</v>
      </c>
      <c r="N3453" s="28" t="s">
        <v>52</v>
      </c>
    </row>
    <row r="3454" spans="1:14" x14ac:dyDescent="0.15">
      <c r="A3454" s="23" t="str">
        <f>HYPERLINK("https://www.spark-marketing.ru/Card/Person/108500", "УПРАВЛЕНИЕ МВД РОССИИ ПО ЗАТО Г. ОЗЕРСК ЧЕЛЯБИНСКОЙ ОБЛАСТИ")</f>
        <v>УПРАВЛЕНИЕ МВД РОССИИ ПО ЗАТО Г. ОЗЕРСК ЧЕЛЯБИНСКОЙ ОБЛАСТИ</v>
      </c>
      <c r="B3454" s="24" t="s">
        <v>4727</v>
      </c>
      <c r="C3454" s="25">
        <v>16900</v>
      </c>
      <c r="D3454" s="22" t="s">
        <v>5009</v>
      </c>
      <c r="E3454" s="22" t="s">
        <v>103</v>
      </c>
      <c r="F3454" s="23" t="str">
        <f>HYPERLINK("https://www.spark-marketing.ru/Card/Lot/72572958", "Техническое обслуживание видеонаблюдения, 1 усл. ед")</f>
        <v>Техническое обслуживание видеонаблюдения, 1 усл. ед</v>
      </c>
      <c r="G3454" s="22" t="s">
        <v>60</v>
      </c>
      <c r="H3454" s="22" t="s">
        <v>588</v>
      </c>
      <c r="I3454" s="26">
        <v>43679.583981481497</v>
      </c>
      <c r="J3454" s="28" t="s">
        <v>52</v>
      </c>
      <c r="K3454" s="28" t="s">
        <v>52</v>
      </c>
      <c r="L3454" s="28" t="s">
        <v>52</v>
      </c>
      <c r="M3454" s="28" t="s">
        <v>52</v>
      </c>
      <c r="N3454" s="28" t="s">
        <v>52</v>
      </c>
    </row>
    <row r="3455" spans="1:14" x14ac:dyDescent="0.15">
      <c r="A3455" s="23" t="str">
        <f>HYPERLINK("https://www.spark-marketing.ru/Card/Person/63258", "ФКУ ""ГБ МСЭ ПО РЕСПУБЛИКЕ АДЫГЕЯ (АДЫГЕЯ)"" МИНТРУДА РОССИИ")</f>
        <v>ФКУ "ГБ МСЭ ПО РЕСПУБЛИКЕ АДЫГЕЯ (АДЫГЕЯ)" МИНТРУДА РОССИИ</v>
      </c>
      <c r="B3455" s="24" t="s">
        <v>5010</v>
      </c>
      <c r="C3455" s="25">
        <v>6000</v>
      </c>
      <c r="D3455" s="22" t="s">
        <v>5011</v>
      </c>
      <c r="E3455" s="22" t="s">
        <v>84</v>
      </c>
      <c r="F3455" s="23" t="str">
        <f>HYPERLINK("https://www.spark-marketing.ru/Card/Lot/72574702", "Техническое обслуживание систем видеонаблюдения, 1 шт")</f>
        <v>Техническое обслуживание систем видеонаблюдения, 1 шт</v>
      </c>
      <c r="G3455" s="22" t="s">
        <v>1547</v>
      </c>
      <c r="H3455" s="22" t="s">
        <v>1983</v>
      </c>
      <c r="I3455" s="26">
        <v>43679.613333333298</v>
      </c>
      <c r="J3455" s="28" t="s">
        <v>52</v>
      </c>
      <c r="K3455" s="28" t="s">
        <v>52</v>
      </c>
      <c r="L3455" s="28" t="s">
        <v>52</v>
      </c>
      <c r="M3455" s="28" t="s">
        <v>52</v>
      </c>
      <c r="N3455" s="28" t="s">
        <v>52</v>
      </c>
    </row>
    <row r="3456" spans="1:14" x14ac:dyDescent="0.15">
      <c r="A3456" s="23" t="str">
        <f>HYPERLINK("https://www.spark-marketing.ru/Card/Person/1046457", "МБУ ""ГМЦ ""ГЕЛИОС""")</f>
        <v>МБУ "ГМЦ "ГЕЛИОС"</v>
      </c>
      <c r="B3456" s="24" t="s">
        <v>3182</v>
      </c>
      <c r="C3456" s="25">
        <v>150000</v>
      </c>
      <c r="D3456" s="22" t="s">
        <v>5012</v>
      </c>
      <c r="E3456" s="22" t="s">
        <v>84</v>
      </c>
      <c r="F3456" s="23" t="str">
        <f>HYPERLINK("https://www.spark-marketing.ru/Card/Lot/72580767", "Установка системы видеонаблюдения")</f>
        <v>Установка системы видеонаблюдения</v>
      </c>
      <c r="G3456" s="22" t="s">
        <v>3128</v>
      </c>
      <c r="H3456" s="22" t="s">
        <v>3184</v>
      </c>
      <c r="I3456" s="26">
        <v>43679.603842592602</v>
      </c>
      <c r="J3456" s="28" t="s">
        <v>52</v>
      </c>
      <c r="K3456" s="28" t="s">
        <v>52</v>
      </c>
      <c r="L3456" s="28" t="s">
        <v>52</v>
      </c>
      <c r="M3456" s="28" t="s">
        <v>52</v>
      </c>
      <c r="N3456" s="28" t="s">
        <v>52</v>
      </c>
    </row>
    <row r="3457" spans="1:14" x14ac:dyDescent="0.15">
      <c r="A3457" s="23" t="str">
        <f>HYPERLINK("https://www.spark-marketing.ru/Card/Person/21877", "МТУ РОСИМУЩЕСТВА В ТЮМЕНСКОЙ ОБЛАСТИ, ХАНТЫ-МАНСИЙСКОМ АВТОНОМНОМ ОКРУГЕ-ЮГРЕ, ЯМАЛО-НЕНЕЦКОМ АВТОНОМНОМ ОКРУГЕ")</f>
        <v>МТУ РОСИМУЩЕСТВА В ТЮМЕНСКОЙ ОБЛАСТИ, ХАНТЫ-МАНСИЙСКОМ АВТОНОМНОМ ОКРУГЕ-ЮГРЕ, ЯМАЛО-НЕНЕЦКОМ АВТОНОМНОМ ОКРУГЕ</v>
      </c>
      <c r="B3457" s="24" t="s">
        <v>5004</v>
      </c>
      <c r="C3457" s="25">
        <v>99900</v>
      </c>
      <c r="D3457" s="22" t="s">
        <v>5013</v>
      </c>
      <c r="E3457" s="22" t="s">
        <v>53</v>
      </c>
      <c r="F3457" s="23" t="str">
        <f>HYPERLINK("https://www.spark-marketing.ru/Card/Lot/72574676", "Оказание охранных услуг")</f>
        <v>Оказание охранных услуг</v>
      </c>
      <c r="G3457" s="22" t="s">
        <v>893</v>
      </c>
      <c r="H3457" s="22" t="s">
        <v>894</v>
      </c>
      <c r="I3457" s="26">
        <v>43679.606053240699</v>
      </c>
      <c r="J3457" s="28" t="s">
        <v>52</v>
      </c>
      <c r="K3457" s="28" t="s">
        <v>52</v>
      </c>
      <c r="L3457" s="28" t="s">
        <v>52</v>
      </c>
      <c r="M3457" s="28" t="s">
        <v>52</v>
      </c>
      <c r="N3457" s="28" t="s">
        <v>52</v>
      </c>
    </row>
    <row r="3458" spans="1:14" x14ac:dyDescent="0.15">
      <c r="A3458" s="23" t="str">
        <f>HYPERLINK("https://www.spark-marketing.ru/Card/Person/22267", "ОКУ ""ГАРАЖ АДМИНИСТРАЦИИ КУРСКОЙ ОБЛАСТИ""")</f>
        <v>ОКУ "ГАРАЖ АДМИНИСТРАЦИИ КУРСКОЙ ОБЛАСТИ"</v>
      </c>
      <c r="B3458" s="24" t="s">
        <v>5014</v>
      </c>
      <c r="C3458" s="25">
        <v>348000</v>
      </c>
      <c r="D3458" s="22" t="s">
        <v>5015</v>
      </c>
      <c r="E3458" s="22" t="s">
        <v>52</v>
      </c>
      <c r="F3458" s="23" t="str">
        <f>HYPERLINK("https://www.spark-marketing.ru/Card/Lot/72578103", "Оказание охранных услуг")</f>
        <v>Оказание охранных услуг</v>
      </c>
      <c r="G3458" s="22" t="s">
        <v>3128</v>
      </c>
      <c r="H3458" s="22" t="s">
        <v>3184</v>
      </c>
      <c r="I3458" s="26">
        <v>43679.546840277799</v>
      </c>
      <c r="J3458" s="23" t="str">
        <f>HYPERLINK("https://www.spark-marketing.ru/Card/Person/653216", "ООО ""ЧОП ОЛИМП""")</f>
        <v>ООО "ЧОП ОЛИМП"</v>
      </c>
      <c r="K3458" s="24" t="s">
        <v>5016</v>
      </c>
      <c r="L3458" s="22" t="s">
        <v>10</v>
      </c>
      <c r="M3458" s="28" t="s">
        <v>52</v>
      </c>
      <c r="N3458" s="28" t="s">
        <v>52</v>
      </c>
    </row>
    <row r="3459" spans="1:14" x14ac:dyDescent="0.15">
      <c r="A3459" s="23" t="str">
        <f>HYPERLINK("https://www.spark-marketing.ru/Card/Person/33740", "ГКУ АЗ (КС) ДЗМ")</f>
        <v>ГКУ АЗ (КС) ДЗМ</v>
      </c>
      <c r="B3459" s="24" t="s">
        <v>3067</v>
      </c>
      <c r="C3459" s="25">
        <v>8897953.6500000004</v>
      </c>
      <c r="D3459" s="22" t="s">
        <v>5017</v>
      </c>
      <c r="E3459" s="22" t="s">
        <v>3069</v>
      </c>
      <c r="F3459" s="23" t="str">
        <f>HYPERLINK("https://www.spark-marketing.ru/Card/Lot/72571341", "Аукцион в электронной форме на поставку, установку и ввод в эксплуатацию видеоэндоскопов FUJIFILM в рамках реализации Государственной программы города Москвы «Развитие здравоохранения города Москвы (Столичное здравоохранение)»(ПСЗ2019-102)")</f>
        <v>Аукцион в электронной форме на поставку, установку и ввод в эксплуатацию видеоэндоскопов FUJIFILM в рамках реализации Государственной программы города Москвы «Развитие здравоохранения города Москвы (Столичное здравоохранение)»(ПСЗ2019-102)</v>
      </c>
      <c r="G3459" s="22" t="s">
        <v>55</v>
      </c>
      <c r="H3459" s="22" t="s">
        <v>55</v>
      </c>
      <c r="I3459" s="26">
        <v>43679.510289351798</v>
      </c>
      <c r="J3459" s="28" t="s">
        <v>52</v>
      </c>
      <c r="K3459" s="28" t="s">
        <v>52</v>
      </c>
      <c r="L3459" s="28" t="s">
        <v>52</v>
      </c>
      <c r="M3459" s="28" t="s">
        <v>52</v>
      </c>
      <c r="N3459" s="28" t="s">
        <v>52</v>
      </c>
    </row>
    <row r="3460" spans="1:14" ht="12.75" hidden="1" outlineLevel="1" x14ac:dyDescent="0.2">
      <c r="A3460" s="23" t="str">
        <f>HYPERLINK("https://www.spark-marketing.ru/Card/Person/33740", "ГКУ АЗ (КС) ДЗМ")</f>
        <v>ГКУ АЗ (КС) ДЗМ</v>
      </c>
      <c r="B3460" s="24" t="s">
        <v>3067</v>
      </c>
      <c r="C3460" s="25">
        <v>8897953.6500000004</v>
      </c>
      <c r="D3460" s="22" t="s">
        <v>5017</v>
      </c>
      <c r="E3460" s="22" t="s">
        <v>3069</v>
      </c>
      <c r="F3460" s="23" t="str">
        <f>HYPERLINK("https://www.spark-marketing.ru/Card/Lot/72571341", "Аукцион в электронной форме на поставку, установку и ввод в эксплуатацию видеоэндоскопов FUJIFILM в рамках реализации Государственной программы города Москвы «Развитие здравоохранения города Москвы (Столичное здравоохранение)»(ПСЗ2019-102)")</f>
        <v>Аукцион в электронной форме на поставку, установку и ввод в эксплуатацию видеоэндоскопов FUJIFILM в рамках реализации Государственной программы города Москвы «Развитие здравоохранения города Москвы (Столичное здравоохранение)»(ПСЗ2019-102)</v>
      </c>
      <c r="G3460" s="22" t="s">
        <v>55</v>
      </c>
      <c r="H3460" s="22" t="s">
        <v>55</v>
      </c>
      <c r="I3460" s="26">
        <v>43679.510289351798</v>
      </c>
      <c r="J3460" s="23" t="str">
        <f>HYPERLINK("https://www.spark-marketing.ru/Card/Person/6116976", "ООО ""НЕОМЕД""")</f>
        <v>ООО "НЕОМЕД"</v>
      </c>
      <c r="K3460" s="24" t="s">
        <v>3070</v>
      </c>
      <c r="L3460" s="22" t="s">
        <v>10</v>
      </c>
      <c r="M3460" s="25">
        <v>7296321.9900000002</v>
      </c>
      <c r="N3460" s="27">
        <v>0.18000000033715619</v>
      </c>
    </row>
    <row r="3461" spans="1:14" hidden="1" outlineLevel="1" x14ac:dyDescent="0.2">
      <c r="A3461" s="23" t="str">
        <f>HYPERLINK("https://www.spark-marketing.ru/Card/Person/33740", "ГКУ АЗ (КС) ДЗМ")</f>
        <v>ГКУ АЗ (КС) ДЗМ</v>
      </c>
      <c r="B3461" s="24" t="s">
        <v>3067</v>
      </c>
      <c r="C3461" s="25">
        <v>8897953.6500000004</v>
      </c>
      <c r="D3461" s="22" t="s">
        <v>5017</v>
      </c>
      <c r="E3461" s="22" t="s">
        <v>3069</v>
      </c>
      <c r="F3461" s="23" t="str">
        <f>HYPERLINK("https://www.spark-marketing.ru/Card/Lot/72571341", "Аукцион в электронной форме на поставку, установку и ввод в эксплуатацию видеоэндоскопов FUJIFILM в рамках реализации Государственной программы города Москвы «Развитие здравоохранения города Москвы (Столичное здравоохранение)»(ПСЗ2019-102)")</f>
        <v>Аукцион в электронной форме на поставку, установку и ввод в эксплуатацию видеоэндоскопов FUJIFILM в рамках реализации Государственной программы города Москвы «Развитие здравоохранения города Москвы (Столичное здравоохранение)»(ПСЗ2019-102)</v>
      </c>
      <c r="G3461" s="22" t="s">
        <v>55</v>
      </c>
      <c r="H3461" s="22" t="s">
        <v>55</v>
      </c>
      <c r="I3461" s="26">
        <v>43679.510289351798</v>
      </c>
      <c r="J3461" s="23" t="str">
        <f>HYPERLINK("https://www.spark-marketing.ru/Card/Person/4876433", "ООО ""МЕД ЭКВИПМЕНТ""")</f>
        <v>ООО "МЕД ЭКВИПМЕНТ"</v>
      </c>
      <c r="K3461" s="24" t="s">
        <v>5018</v>
      </c>
      <c r="L3461" s="28" t="s">
        <v>52</v>
      </c>
      <c r="M3461" s="25">
        <v>8853463.8800000008</v>
      </c>
      <c r="N3461" s="27">
        <v>5.0000001966744347E-3</v>
      </c>
    </row>
    <row r="3462" spans="1:14" hidden="1" outlineLevel="1" x14ac:dyDescent="0.2">
      <c r="A3462" s="23" t="str">
        <f>HYPERLINK("https://www.spark-marketing.ru/Card/Person/33740", "ГКУ АЗ (КС) ДЗМ")</f>
        <v>ГКУ АЗ (КС) ДЗМ</v>
      </c>
      <c r="B3462" s="24" t="s">
        <v>3067</v>
      </c>
      <c r="C3462" s="25">
        <v>8897953.6500000004</v>
      </c>
      <c r="D3462" s="22" t="s">
        <v>5017</v>
      </c>
      <c r="E3462" s="22" t="s">
        <v>3069</v>
      </c>
      <c r="F3462" s="23" t="str">
        <f>HYPERLINK("https://www.spark-marketing.ru/Card/Lot/72571341", "Аукцион в электронной форме на поставку, установку и ввод в эксплуатацию видеоэндоскопов FUJIFILM в рамках реализации Государственной программы города Москвы «Развитие здравоохранения города Москвы (Столичное здравоохранение)»(ПСЗ2019-102)")</f>
        <v>Аукцион в электронной форме на поставку, установку и ввод в эксплуатацию видеоэндоскопов FUJIFILM в рамках реализации Государственной программы города Москвы «Развитие здравоохранения города Москвы (Столичное здравоохранение)»(ПСЗ2019-102)</v>
      </c>
      <c r="G3462" s="22" t="s">
        <v>55</v>
      </c>
      <c r="H3462" s="22" t="s">
        <v>55</v>
      </c>
      <c r="I3462" s="26">
        <v>43679.510289351798</v>
      </c>
      <c r="J3462" s="23" t="str">
        <f>HYPERLINK("https://www.spark-marketing.ru/Card/Person/5768151", "ООО ""МЕДЕЯ""")</f>
        <v>ООО "МЕДЕЯ"</v>
      </c>
      <c r="K3462" s="24" t="s">
        <v>5019</v>
      </c>
      <c r="L3462" s="28" t="s">
        <v>52</v>
      </c>
      <c r="M3462" s="25">
        <v>7474281.0599999996</v>
      </c>
      <c r="N3462" s="27">
        <v>0.16000000067431236</v>
      </c>
    </row>
    <row r="3463" spans="1:14" x14ac:dyDescent="0.15">
      <c r="A3463" s="23" t="str">
        <f>HYPERLINK("https://www.spark-marketing.ru/Card/Person/30200", "УФНС РОССИИ ПО ВОРОНЕЖСКОЙ ОБЛАСТИ")</f>
        <v>УФНС РОССИИ ПО ВОРОНЕЖСКОЙ ОБЛАСТИ</v>
      </c>
      <c r="B3463" s="24" t="s">
        <v>4385</v>
      </c>
      <c r="C3463" s="25">
        <v>1147.98</v>
      </c>
      <c r="D3463" s="22" t="s">
        <v>5020</v>
      </c>
      <c r="E3463" s="22" t="s">
        <v>53</v>
      </c>
      <c r="F3463" s="23" t="str">
        <f>HYPERLINK("https://www.spark-marketing.ru/Card/Lot/72571207", "Охрана объектов, на которые частная охранная деятельность не распространяется, 1 усл. ед")</f>
        <v>Охрана объектов, на которые частная охранная деятельность не распространяется, 1 усл. ед</v>
      </c>
      <c r="G3463" s="22" t="s">
        <v>552</v>
      </c>
      <c r="H3463" s="22" t="s">
        <v>886</v>
      </c>
      <c r="I3463" s="26">
        <v>43679.536493055602</v>
      </c>
      <c r="J3463" s="28" t="s">
        <v>52</v>
      </c>
      <c r="K3463" s="28" t="s">
        <v>52</v>
      </c>
      <c r="L3463" s="28" t="s">
        <v>52</v>
      </c>
      <c r="M3463" s="28" t="s">
        <v>52</v>
      </c>
      <c r="N3463" s="28" t="s">
        <v>52</v>
      </c>
    </row>
    <row r="3464" spans="1:14" x14ac:dyDescent="0.15">
      <c r="A3464" s="23" t="str">
        <f>HYPERLINK("https://www.spark-marketing.ru/Card/Person/90027", "МБОУ ""ГИМНАЗИЯ № 46"" Г.ЧЕБОКСАРЫ")</f>
        <v>МБОУ "ГИМНАЗИЯ № 46" Г.ЧЕБОКСАРЫ</v>
      </c>
      <c r="B3464" s="24" t="s">
        <v>5021</v>
      </c>
      <c r="C3464" s="25">
        <v>127382</v>
      </c>
      <c r="D3464" s="22" t="s">
        <v>5022</v>
      </c>
      <c r="E3464" s="22" t="s">
        <v>79</v>
      </c>
      <c r="F3464" s="23" t="str">
        <f>HYPERLINK("https://www.spark-marketing.ru/Card/Lot/72571018", "выполнение работ по установке и наладке средств автоматического открывания и закрывания откатных ворот с жесткой фиксацией в закрытом положении с видеонаблюдением на объекте МБОУ «Гимназия № 46» г. Чебоксары")</f>
        <v>выполнение работ по установке и наладке средств автоматического открывания и закрывания откатных ворот с жесткой фиксацией в закрытом положении с видеонаблюдением на объекте МБОУ «Гимназия № 46» г. Чебоксары</v>
      </c>
      <c r="G3464" s="22" t="s">
        <v>1137</v>
      </c>
      <c r="H3464" s="22" t="s">
        <v>1138</v>
      </c>
      <c r="I3464" s="26">
        <v>43679.538888888899</v>
      </c>
      <c r="J3464" s="28" t="s">
        <v>52</v>
      </c>
      <c r="K3464" s="28" t="s">
        <v>52</v>
      </c>
      <c r="L3464" s="28" t="s">
        <v>52</v>
      </c>
      <c r="M3464" s="28" t="s">
        <v>52</v>
      </c>
      <c r="N3464" s="28" t="s">
        <v>52</v>
      </c>
    </row>
    <row r="3465" spans="1:14" x14ac:dyDescent="0.15">
      <c r="A3465" s="23" t="str">
        <f t="shared" ref="A3465:A3470" si="151">HYPERLINK("https://www.spark-marketing.ru/Card/Person/12120", "КУ ОО ""ОРЕЛГОСЗАКАЗЧИК""")</f>
        <v>КУ ОО "ОРЕЛГОСЗАКАЗЧИК"</v>
      </c>
      <c r="B3465" s="24" t="s">
        <v>489</v>
      </c>
      <c r="C3465" s="25">
        <v>7062000</v>
      </c>
      <c r="D3465" s="22" t="s">
        <v>5023</v>
      </c>
      <c r="E3465" s="22" t="s">
        <v>491</v>
      </c>
      <c r="F3465" s="23" t="str">
        <f t="shared" ref="F3465:F3470" si="152">HYPERLINK("https://www.spark-marketing.ru/Card/Lot/72595624", "Оказание услуг по разработке планов обеспечения транспортной безопасности объектов транспортной инфраструктуры Орловской области")</f>
        <v>Оказание услуг по разработке планов обеспечения транспортной безопасности объектов транспортной инфраструктуры Орловской области</v>
      </c>
      <c r="G3465" s="22" t="s">
        <v>492</v>
      </c>
      <c r="H3465" s="22" t="s">
        <v>5024</v>
      </c>
      <c r="I3465" s="26">
        <v>43679.5176967593</v>
      </c>
      <c r="J3465" s="28" t="s">
        <v>52</v>
      </c>
      <c r="K3465" s="28" t="s">
        <v>52</v>
      </c>
      <c r="L3465" s="28" t="s">
        <v>52</v>
      </c>
      <c r="M3465" s="28" t="s">
        <v>52</v>
      </c>
      <c r="N3465" s="28" t="s">
        <v>52</v>
      </c>
    </row>
    <row r="3466" spans="1:14" hidden="1" outlineLevel="1" x14ac:dyDescent="0.2">
      <c r="A3466" s="23" t="str">
        <f t="shared" si="151"/>
        <v>КУ ОО "ОРЕЛГОСЗАКАЗЧИК"</v>
      </c>
      <c r="B3466" s="24" t="s">
        <v>489</v>
      </c>
      <c r="C3466" s="25">
        <v>7062000</v>
      </c>
      <c r="D3466" s="22" t="s">
        <v>5023</v>
      </c>
      <c r="E3466" s="22" t="s">
        <v>491</v>
      </c>
      <c r="F3466" s="23" t="str">
        <f t="shared" si="152"/>
        <v>Оказание услуг по разработке планов обеспечения транспортной безопасности объектов транспортной инфраструктуры Орловской области</v>
      </c>
      <c r="G3466" s="22" t="s">
        <v>492</v>
      </c>
      <c r="H3466" s="22" t="s">
        <v>5024</v>
      </c>
      <c r="I3466" s="26">
        <v>43679.5176967593</v>
      </c>
      <c r="J3466" s="23" t="str">
        <f>HYPERLINK("https://www.spark-marketing.ru/Card/Person/25906", "АО ""ПСТМ""")</f>
        <v>АО "ПСТМ"</v>
      </c>
      <c r="K3466" s="24" t="s">
        <v>2241</v>
      </c>
      <c r="L3466" s="28" t="s">
        <v>52</v>
      </c>
      <c r="M3466" s="25">
        <v>6956069.9900000002</v>
      </c>
      <c r="N3466" s="27">
        <v>1.5000001416029453E-2</v>
      </c>
    </row>
    <row r="3467" spans="1:14" hidden="1" outlineLevel="1" x14ac:dyDescent="0.2">
      <c r="A3467" s="23" t="str">
        <f t="shared" si="151"/>
        <v>КУ ОО "ОРЕЛГОСЗАКАЗЧИК"</v>
      </c>
      <c r="B3467" s="24" t="s">
        <v>489</v>
      </c>
      <c r="C3467" s="25">
        <v>7062000</v>
      </c>
      <c r="D3467" s="22" t="s">
        <v>5023</v>
      </c>
      <c r="E3467" s="22" t="s">
        <v>491</v>
      </c>
      <c r="F3467" s="23" t="str">
        <f t="shared" si="152"/>
        <v>Оказание услуг по разработке планов обеспечения транспортной безопасности объектов транспортной инфраструктуры Орловской области</v>
      </c>
      <c r="G3467" s="22" t="s">
        <v>492</v>
      </c>
      <c r="H3467" s="22" t="s">
        <v>5024</v>
      </c>
      <c r="I3467" s="26">
        <v>43679.5176967593</v>
      </c>
      <c r="J3467" s="23" t="str">
        <f>HYPERLINK("https://www.spark-marketing.ru/Card/Person/62070", "ООО ""РЕГИОНАЛЬНЫЙ ЦЕНТР ИНФОРМАЦИОННОЙ БЕЗОПАСНОСТИ""")</f>
        <v>ООО "РЕГИОНАЛЬНЫЙ ЦЕНТР ИНФОРМАЦИОННОЙ БЕЗОПАСНОСТИ"</v>
      </c>
      <c r="K3467" s="24" t="s">
        <v>2871</v>
      </c>
      <c r="L3467" s="28" t="s">
        <v>52</v>
      </c>
      <c r="M3467" s="25">
        <v>4201890</v>
      </c>
      <c r="N3467" s="27">
        <v>0.40500000000000003</v>
      </c>
    </row>
    <row r="3468" spans="1:14" hidden="1" outlineLevel="1" x14ac:dyDescent="0.2">
      <c r="A3468" s="23" t="str">
        <f t="shared" si="151"/>
        <v>КУ ОО "ОРЕЛГОСЗАКАЗЧИК"</v>
      </c>
      <c r="B3468" s="24" t="s">
        <v>489</v>
      </c>
      <c r="C3468" s="25">
        <v>7062000</v>
      </c>
      <c r="D3468" s="22" t="s">
        <v>5023</v>
      </c>
      <c r="E3468" s="22" t="s">
        <v>491</v>
      </c>
      <c r="F3468" s="23" t="str">
        <f t="shared" si="152"/>
        <v>Оказание услуг по разработке планов обеспечения транспортной безопасности объектов транспортной инфраструктуры Орловской области</v>
      </c>
      <c r="G3468" s="22" t="s">
        <v>492</v>
      </c>
      <c r="H3468" s="22" t="s">
        <v>5024</v>
      </c>
      <c r="I3468" s="26">
        <v>43679.5176967593</v>
      </c>
      <c r="J3468" s="23" t="str">
        <f>HYPERLINK("https://www.spark-marketing.ru/Card/Person/1978058", "ООО ""ФОРМУЛА БЕЗОПАСНОСТИ ТРАНСПОРТА""")</f>
        <v>ООО "ФОРМУЛА БЕЗОПАСНОСТИ ТРАНСПОРТА"</v>
      </c>
      <c r="K3468" s="24" t="s">
        <v>3385</v>
      </c>
      <c r="L3468" s="28" t="s">
        <v>52</v>
      </c>
      <c r="M3468" s="25">
        <v>6461730</v>
      </c>
      <c r="N3468" s="27">
        <v>8.5000000000000006E-2</v>
      </c>
    </row>
    <row r="3469" spans="1:14" hidden="1" outlineLevel="1" x14ac:dyDescent="0.2">
      <c r="A3469" s="23" t="str">
        <f t="shared" si="151"/>
        <v>КУ ОО "ОРЕЛГОСЗАКАЗЧИК"</v>
      </c>
      <c r="B3469" s="24" t="s">
        <v>489</v>
      </c>
      <c r="C3469" s="25">
        <v>7062000</v>
      </c>
      <c r="D3469" s="22" t="s">
        <v>5023</v>
      </c>
      <c r="E3469" s="22" t="s">
        <v>491</v>
      </c>
      <c r="F3469" s="23" t="str">
        <f t="shared" si="152"/>
        <v>Оказание услуг по разработке планов обеспечения транспортной безопасности объектов транспортной инфраструктуры Орловской области</v>
      </c>
      <c r="G3469" s="22" t="s">
        <v>492</v>
      </c>
      <c r="H3469" s="22" t="s">
        <v>5024</v>
      </c>
      <c r="I3469" s="26">
        <v>43679.5176967593</v>
      </c>
      <c r="J3469" s="23" t="str">
        <f>HYPERLINK("https://www.spark-marketing.ru/Card/Person/5966443", "ООО ""НАО""")</f>
        <v>ООО "НАО"</v>
      </c>
      <c r="K3469" s="24" t="s">
        <v>2873</v>
      </c>
      <c r="L3469" s="28" t="s">
        <v>52</v>
      </c>
      <c r="M3469" s="25">
        <v>2507010</v>
      </c>
      <c r="N3469" s="27">
        <v>0.64500000000000002</v>
      </c>
    </row>
    <row r="3470" spans="1:14" ht="12.75" hidden="1" outlineLevel="1" x14ac:dyDescent="0.2">
      <c r="A3470" s="23" t="str">
        <f t="shared" si="151"/>
        <v>КУ ОО "ОРЕЛГОСЗАКАЗЧИК"</v>
      </c>
      <c r="B3470" s="24" t="s">
        <v>489</v>
      </c>
      <c r="C3470" s="25">
        <v>7062000</v>
      </c>
      <c r="D3470" s="22" t="s">
        <v>5023</v>
      </c>
      <c r="E3470" s="22" t="s">
        <v>491</v>
      </c>
      <c r="F3470" s="23" t="str">
        <f t="shared" si="152"/>
        <v>Оказание услуг по разработке планов обеспечения транспортной безопасности объектов транспортной инфраструктуры Орловской области</v>
      </c>
      <c r="G3470" s="22" t="s">
        <v>492</v>
      </c>
      <c r="H3470" s="22" t="s">
        <v>5024</v>
      </c>
      <c r="I3470" s="26">
        <v>43679.5176967593</v>
      </c>
      <c r="J3470" s="23" t="str">
        <f>HYPERLINK("https://www.spark-marketing.ru/Card/Person/81571", "ООО ""СО ""АНТИТЕРРОР""")</f>
        <v>ООО "СО "АНТИТЕРРОР"</v>
      </c>
      <c r="K3470" s="24" t="s">
        <v>3384</v>
      </c>
      <c r="L3470" s="22" t="s">
        <v>10</v>
      </c>
      <c r="M3470" s="25">
        <v>2507010</v>
      </c>
      <c r="N3470" s="27">
        <v>0.64500000000000002</v>
      </c>
    </row>
    <row r="3471" spans="1:14" x14ac:dyDescent="0.15">
      <c r="A3471" s="23" t="str">
        <f>HYPERLINK("https://www.spark-marketing.ru/Card/Person/37120", "УСД В Г. МОСКВЕ")</f>
        <v>УСД В Г. МОСКВЕ</v>
      </c>
      <c r="B3471" s="24" t="s">
        <v>5025</v>
      </c>
      <c r="C3471" s="25">
        <v>36938130</v>
      </c>
      <c r="D3471" s="22" t="s">
        <v>5026</v>
      </c>
      <c r="E3471" s="22" t="s">
        <v>68</v>
      </c>
      <c r="F3471" s="23" t="str">
        <f>HYPERLINK("https://www.spark-marketing.ru/Card/Lot/72598718", "Оказание охранных услуг")</f>
        <v>Оказание охранных услуг</v>
      </c>
      <c r="G3471" s="22" t="s">
        <v>55</v>
      </c>
      <c r="H3471" s="22" t="s">
        <v>55</v>
      </c>
      <c r="I3471" s="26">
        <v>43679.513715277797</v>
      </c>
      <c r="J3471" s="23" t="str">
        <f>HYPERLINK("https://www.spark-marketing.ru/Card/Person/149251", "ООО ЧОО ""КАЗАЧЬЯ СТРАЖА""")</f>
        <v>ООО ЧОО "КАЗАЧЬЯ СТРАЖА"</v>
      </c>
      <c r="K3471" s="24" t="s">
        <v>5027</v>
      </c>
      <c r="L3471" s="22" t="s">
        <v>10</v>
      </c>
      <c r="M3471" s="28" t="s">
        <v>52</v>
      </c>
      <c r="N3471" s="28" t="s">
        <v>52</v>
      </c>
    </row>
    <row r="3472" spans="1:14" x14ac:dyDescent="0.15">
      <c r="A3472" s="23" t="str">
        <f>HYPERLINK("https://www.spark-marketing.ru/Card/Person/1759012", "ГУ МВД РОССИИ ПО Г. МОСКВЕ")</f>
        <v>ГУ МВД РОССИИ ПО Г. МОСКВЕ</v>
      </c>
      <c r="B3472" s="24" t="s">
        <v>5028</v>
      </c>
      <c r="C3472" s="25">
        <v>93379.44</v>
      </c>
      <c r="D3472" s="22" t="s">
        <v>5029</v>
      </c>
      <c r="E3472" s="22" t="s">
        <v>53</v>
      </c>
      <c r="F3472" s="23" t="str">
        <f>HYPERLINK("https://www.spark-marketing.ru/Card/Lot/72569037", "оказание услуг по техническому обслуживанию комплекса охранно-тревожной сигнализации для нужд ПОи КПиО ГУ МВД России по г. Москве в 2020 году")</f>
        <v>оказание услуг по техническому обслуживанию комплекса охранно-тревожной сигнализации для нужд ПОи КПиО ГУ МВД России по г. Москве в 2020 году</v>
      </c>
      <c r="G3472" s="22" t="s">
        <v>55</v>
      </c>
      <c r="H3472" s="22" t="s">
        <v>55</v>
      </c>
      <c r="I3472" s="26">
        <v>43679.491597222201</v>
      </c>
      <c r="J3472" s="28" t="s">
        <v>52</v>
      </c>
      <c r="K3472" s="28" t="s">
        <v>52</v>
      </c>
      <c r="L3472" s="28" t="s">
        <v>52</v>
      </c>
      <c r="M3472" s="28" t="s">
        <v>52</v>
      </c>
      <c r="N3472" s="28" t="s">
        <v>52</v>
      </c>
    </row>
    <row r="3473" spans="1:14" x14ac:dyDescent="0.15">
      <c r="A3473" s="23" t="str">
        <f>HYPERLINK("https://www.spark-marketing.ru/Card/Person/1759012", "ГУ МВД РОССИИ ПО Г. МОСКВЕ")</f>
        <v>ГУ МВД РОССИИ ПО Г. МОСКВЕ</v>
      </c>
      <c r="B3473" s="24" t="s">
        <v>5028</v>
      </c>
      <c r="C3473" s="25">
        <v>61944.36</v>
      </c>
      <c r="D3473" s="22" t="s">
        <v>5030</v>
      </c>
      <c r="E3473" s="22" t="s">
        <v>53</v>
      </c>
      <c r="F3473" s="23" t="str">
        <f>HYPERLINK("https://www.spark-marketing.ru/Card/Lot/72569124", "оказание услуг по техническому обслуживанию комплекса охранно-тревожной сигнализации для нужд ПОи КПиО ГУ МВД России по г. Москве в 2020 году")</f>
        <v>оказание услуг по техническому обслуживанию комплекса охранно-тревожной сигнализации для нужд ПОи КПиО ГУ МВД России по г. Москве в 2020 году</v>
      </c>
      <c r="G3473" s="22" t="s">
        <v>55</v>
      </c>
      <c r="H3473" s="22" t="s">
        <v>55</v>
      </c>
      <c r="I3473" s="26">
        <v>43679.4819444444</v>
      </c>
      <c r="J3473" s="28" t="s">
        <v>52</v>
      </c>
      <c r="K3473" s="28" t="s">
        <v>52</v>
      </c>
      <c r="L3473" s="28" t="s">
        <v>52</v>
      </c>
      <c r="M3473" s="28" t="s">
        <v>52</v>
      </c>
      <c r="N3473" s="28" t="s">
        <v>52</v>
      </c>
    </row>
    <row r="3474" spans="1:14" x14ac:dyDescent="0.15">
      <c r="A3474" s="23" t="str">
        <f>HYPERLINK("https://www.spark-marketing.ru/Card/Person/1759012", "ГУ МВД РОССИИ ПО Г. МОСКВЕ")</f>
        <v>ГУ МВД РОССИИ ПО Г. МОСКВЕ</v>
      </c>
      <c r="B3474" s="24" t="s">
        <v>5028</v>
      </c>
      <c r="C3474" s="25">
        <v>93379.44</v>
      </c>
      <c r="D3474" s="22" t="s">
        <v>5031</v>
      </c>
      <c r="E3474" s="22" t="s">
        <v>53</v>
      </c>
      <c r="F3474" s="23" t="str">
        <f>HYPERLINK("https://www.spark-marketing.ru/Card/Lot/72569133", "оказание услуг по техническому обслуживанию комплекса охранно-тревожной сигнализации для нужд ПОи КПиО ГУ МВД России по г. Москве в 2021 году")</f>
        <v>оказание услуг по техническому обслуживанию комплекса охранно-тревожной сигнализации для нужд ПОи КПиО ГУ МВД России по г. Москве в 2021 году</v>
      </c>
      <c r="G3474" s="22" t="s">
        <v>55</v>
      </c>
      <c r="H3474" s="22" t="s">
        <v>55</v>
      </c>
      <c r="I3474" s="26">
        <v>43679.485486111102</v>
      </c>
      <c r="J3474" s="28" t="s">
        <v>52</v>
      </c>
      <c r="K3474" s="28" t="s">
        <v>52</v>
      </c>
      <c r="L3474" s="28" t="s">
        <v>52</v>
      </c>
      <c r="M3474" s="28" t="s">
        <v>52</v>
      </c>
      <c r="N3474" s="28" t="s">
        <v>52</v>
      </c>
    </row>
    <row r="3475" spans="1:14" x14ac:dyDescent="0.15">
      <c r="A3475" s="23" t="str">
        <f>HYPERLINK("https://www.spark-marketing.ru/Card/Person/1460", "ДЕПАРТАМЕНТ ЗДРАВООХРАНЕНИЯ ГОРОДА МОСКВЫ")</f>
        <v>ДЕПАРТАМЕНТ ЗДРАВООХРАНЕНИЯ ГОРОДА МОСКВЫ</v>
      </c>
      <c r="B3475" s="24" t="s">
        <v>5032</v>
      </c>
      <c r="C3475" s="25">
        <v>1026962.65</v>
      </c>
      <c r="D3475" s="22" t="s">
        <v>5033</v>
      </c>
      <c r="E3475" s="22" t="s">
        <v>5034</v>
      </c>
      <c r="F3475" s="23" t="str">
        <f>HYPERLINK("https://www.spark-marketing.ru/Card/Lot/72571304", "Аукцион в электронной форме на оказание услуг по техническому обслуживанию систем контроля доступа и управления доступом (СКУД), видеонаблюдения и системы охранной сигнализации в зданиях Департамента здравоохранения города Москвы")</f>
        <v>Аукцион в электронной форме на оказание услуг по техническому обслуживанию систем контроля доступа и управления доступом (СКУД), видеонаблюдения и системы охранной сигнализации в зданиях Департамента здравоохранения города Москвы</v>
      </c>
      <c r="G3475" s="22" t="s">
        <v>55</v>
      </c>
      <c r="H3475" s="22" t="s">
        <v>55</v>
      </c>
      <c r="I3475" s="26">
        <v>43679.480034722197</v>
      </c>
      <c r="J3475" s="28" t="s">
        <v>52</v>
      </c>
      <c r="K3475" s="28" t="s">
        <v>52</v>
      </c>
      <c r="L3475" s="28" t="s">
        <v>52</v>
      </c>
      <c r="M3475" s="28" t="s">
        <v>52</v>
      </c>
      <c r="N3475" s="28" t="s">
        <v>52</v>
      </c>
    </row>
    <row r="3476" spans="1:14" hidden="1" outlineLevel="1" x14ac:dyDescent="0.2">
      <c r="A3476" s="23" t="str">
        <f>HYPERLINK("https://www.spark-marketing.ru/Card/Person/1460", "ДЕПАРТАМЕНТ ЗДРАВООХРАНЕНИЯ ГОРОДА МОСКВЫ")</f>
        <v>ДЕПАРТАМЕНТ ЗДРАВООХРАНЕНИЯ ГОРОДА МОСКВЫ</v>
      </c>
      <c r="B3476" s="24" t="s">
        <v>5032</v>
      </c>
      <c r="C3476" s="25">
        <v>1026962.65</v>
      </c>
      <c r="D3476" s="22" t="s">
        <v>5033</v>
      </c>
      <c r="E3476" s="22" t="s">
        <v>5034</v>
      </c>
      <c r="F3476" s="23" t="str">
        <f>HYPERLINK("https://www.spark-marketing.ru/Card/Lot/72571304", "Аукцион в электронной форме на оказание услуг по техническому обслуживанию систем контроля доступа и управления доступом (СКУД), видеонаблюдения и системы охранной сигнализации в зданиях Департамента здравоохранения города Москвы")</f>
        <v>Аукцион в электронной форме на оказание услуг по техническому обслуживанию систем контроля доступа и управления доступом (СКУД), видеонаблюдения и системы охранной сигнализации в зданиях Департамента здравоохранения города Москвы</v>
      </c>
      <c r="G3476" s="22" t="s">
        <v>55</v>
      </c>
      <c r="H3476" s="22" t="s">
        <v>55</v>
      </c>
      <c r="I3476" s="26">
        <v>43679.480034722197</v>
      </c>
      <c r="J3476" s="23" t="str">
        <f>HYPERLINK("https://www.spark-marketing.ru/Card/Person/4347039", "АО ""СПЕЦРЕМЭЛЕКТРО""")</f>
        <v>АО "СПЕЦРЕМЭЛЕКТРО"</v>
      </c>
      <c r="K3476" s="24" t="s">
        <v>5035</v>
      </c>
      <c r="L3476" s="28" t="s">
        <v>52</v>
      </c>
      <c r="M3476" s="25">
        <v>871865.19</v>
      </c>
      <c r="N3476" s="27">
        <v>0.1510254146049031</v>
      </c>
    </row>
    <row r="3477" spans="1:14" hidden="1" outlineLevel="1" x14ac:dyDescent="0.2">
      <c r="A3477" s="23" t="str">
        <f>HYPERLINK("https://www.spark-marketing.ru/Card/Person/1460", "ДЕПАРТАМЕНТ ЗДРАВООХРАНЕНИЯ ГОРОДА МОСКВЫ")</f>
        <v>ДЕПАРТАМЕНТ ЗДРАВООХРАНЕНИЯ ГОРОДА МОСКВЫ</v>
      </c>
      <c r="B3477" s="24" t="s">
        <v>5032</v>
      </c>
      <c r="C3477" s="25">
        <v>1026962.65</v>
      </c>
      <c r="D3477" s="22" t="s">
        <v>5033</v>
      </c>
      <c r="E3477" s="22" t="s">
        <v>5034</v>
      </c>
      <c r="F3477" s="23" t="str">
        <f>HYPERLINK("https://www.spark-marketing.ru/Card/Lot/72571304", "Аукцион в электронной форме на оказание услуг по техническому обслуживанию систем контроля доступа и управления доступом (СКУД), видеонаблюдения и системы охранной сигнализации в зданиях Департамента здравоохранения города Москвы")</f>
        <v>Аукцион в электронной форме на оказание услуг по техническому обслуживанию систем контроля доступа и управления доступом (СКУД), видеонаблюдения и системы охранной сигнализации в зданиях Департамента здравоохранения города Москвы</v>
      </c>
      <c r="G3477" s="22" t="s">
        <v>55</v>
      </c>
      <c r="H3477" s="22" t="s">
        <v>55</v>
      </c>
      <c r="I3477" s="26">
        <v>43679.480034722197</v>
      </c>
      <c r="J3477" s="23" t="str">
        <f>HYPERLINK("https://www.spark-marketing.ru/Card/Person/91163", "ООО "" ИМПУЛЬС """)</f>
        <v>ООО " ИМПУЛЬС "</v>
      </c>
      <c r="K3477" s="24" t="s">
        <v>5036</v>
      </c>
      <c r="L3477" s="28" t="s">
        <v>52</v>
      </c>
      <c r="M3477" s="25">
        <v>877000</v>
      </c>
      <c r="N3477" s="27">
        <v>0.14602541776957517</v>
      </c>
    </row>
    <row r="3478" spans="1:14" hidden="1" outlineLevel="1" x14ac:dyDescent="0.2">
      <c r="A3478" s="23" t="str">
        <f>HYPERLINK("https://www.spark-marketing.ru/Card/Person/1460", "ДЕПАРТАМЕНТ ЗДРАВООХРАНЕНИЯ ГОРОДА МОСКВЫ")</f>
        <v>ДЕПАРТАМЕНТ ЗДРАВООХРАНЕНИЯ ГОРОДА МОСКВЫ</v>
      </c>
      <c r="B3478" s="24" t="s">
        <v>5032</v>
      </c>
      <c r="C3478" s="25">
        <v>1026962.65</v>
      </c>
      <c r="D3478" s="22" t="s">
        <v>5033</v>
      </c>
      <c r="E3478" s="22" t="s">
        <v>5034</v>
      </c>
      <c r="F3478" s="23" t="str">
        <f>HYPERLINK("https://www.spark-marketing.ru/Card/Lot/72571304", "Аукцион в электронной форме на оказание услуг по техническому обслуживанию систем контроля доступа и управления доступом (СКУД), видеонаблюдения и системы охранной сигнализации в зданиях Департамента здравоохранения города Москвы")</f>
        <v>Аукцион в электронной форме на оказание услуг по техническому обслуживанию систем контроля доступа и управления доступом (СКУД), видеонаблюдения и системы охранной сигнализации в зданиях Департамента здравоохранения города Москвы</v>
      </c>
      <c r="G3478" s="22" t="s">
        <v>55</v>
      </c>
      <c r="H3478" s="22" t="s">
        <v>55</v>
      </c>
      <c r="I3478" s="26">
        <v>43679.480034722197</v>
      </c>
      <c r="J3478" s="23" t="str">
        <f>HYPERLINK("https://www.spark-marketing.ru/Card/Person/6634445", "ООО ""АКТ.РУ""")</f>
        <v>ООО "АКТ.РУ"</v>
      </c>
      <c r="K3478" s="24" t="s">
        <v>1582</v>
      </c>
      <c r="L3478" s="28" t="s">
        <v>52</v>
      </c>
      <c r="M3478" s="25">
        <v>966666.66</v>
      </c>
      <c r="N3478" s="27">
        <v>5.871293371769655E-2</v>
      </c>
    </row>
    <row r="3479" spans="1:14" x14ac:dyDescent="0.15">
      <c r="A3479" s="23" t="str">
        <f>HYPERLINK("https://www.spark-marketing.ru/Card/Person/59966", "ГБДОУ ДЕТСКИЙ САД № 16 ПРИМОРСКОГО РАЙОНА САНКТ-ПЕТЕРБУРГА")</f>
        <v>ГБДОУ ДЕТСКИЙ САД № 16 ПРИМОРСКОГО РАЙОНА САНКТ-ПЕТЕРБУРГА</v>
      </c>
      <c r="B3479" s="24" t="s">
        <v>5037</v>
      </c>
      <c r="C3479" s="25">
        <v>171072</v>
      </c>
      <c r="D3479" s="22" t="s">
        <v>5038</v>
      </c>
      <c r="E3479" s="22" t="s">
        <v>52</v>
      </c>
      <c r="F3479" s="23" t="str">
        <f>HYPERLINK("https://www.spark-marketing.ru/Card/Lot/72570696", "Оказание услуг по обеспечению охраны на объекте и прилегающей территории ГБДОУ детский сад № 16 Приморского района Санкт-Петербурга по адресу: 197343, Санкт-Петербург, ул. Омская д. 18 литер А.")</f>
        <v>Оказание услуг по обеспечению охраны на объекте и прилегающей территории ГБДОУ детский сад № 16 Приморского района Санкт-Петербурга по адресу: 197343, Санкт-Петербург, ул. Омская д. 18 литер А.</v>
      </c>
      <c r="G3479" s="22" t="s">
        <v>89</v>
      </c>
      <c r="H3479" s="22" t="s">
        <v>89</v>
      </c>
      <c r="I3479" s="26">
        <v>43679.458912037</v>
      </c>
      <c r="J3479" s="28" t="s">
        <v>52</v>
      </c>
      <c r="K3479" s="28" t="s">
        <v>52</v>
      </c>
      <c r="L3479" s="28" t="s">
        <v>52</v>
      </c>
      <c r="M3479" s="28" t="s">
        <v>52</v>
      </c>
      <c r="N3479" s="28" t="s">
        <v>52</v>
      </c>
    </row>
    <row r="3480" spans="1:14" hidden="1" outlineLevel="1" x14ac:dyDescent="0.2">
      <c r="A3480" s="23" t="str">
        <f>HYPERLINK("https://www.spark-marketing.ru/Card/Person/59966", "ГБДОУ ДЕТСКИЙ САД № 16 ПРИМОРСКОГО РАЙОНА САНКТ-ПЕТЕРБУРГА")</f>
        <v>ГБДОУ ДЕТСКИЙ САД № 16 ПРИМОРСКОГО РАЙОНА САНКТ-ПЕТЕРБУРГА</v>
      </c>
      <c r="B3480" s="24" t="s">
        <v>5037</v>
      </c>
      <c r="C3480" s="25">
        <v>171072</v>
      </c>
      <c r="D3480" s="22" t="s">
        <v>5038</v>
      </c>
      <c r="E3480" s="22" t="s">
        <v>52</v>
      </c>
      <c r="F3480" s="23" t="str">
        <f>HYPERLINK("https://www.spark-marketing.ru/Card/Lot/72570696", "Оказание услуг по обеспечению охраны на объекте и прилегающей территории ГБДОУ детский сад № 16 Приморского района Санкт-Петербурга по адресу: 197343, Санкт-Петербург, ул. Омская д. 18 литер А.")</f>
        <v>Оказание услуг по обеспечению охраны на объекте и прилегающей территории ГБДОУ детский сад № 16 Приморского района Санкт-Петербурга по адресу: 197343, Санкт-Петербург, ул. Омская д. 18 литер А.</v>
      </c>
      <c r="G3480" s="22" t="s">
        <v>89</v>
      </c>
      <c r="H3480" s="22" t="s">
        <v>89</v>
      </c>
      <c r="I3480" s="26">
        <v>43679.458912037</v>
      </c>
      <c r="J3480" s="23" t="str">
        <f>HYPERLINK("https://www.spark-marketing.ru/Card/Person/1957699", "ООО ""ОП ""ТРАНС-СЕКЬЮРИТИ""""")</f>
        <v>ООО "ОП "ТРАНС-СЕКЬЮРИТИ""</v>
      </c>
      <c r="K3480" s="24" t="s">
        <v>4138</v>
      </c>
      <c r="L3480" s="28" t="s">
        <v>52</v>
      </c>
      <c r="M3480" s="25">
        <v>128979.84</v>
      </c>
      <c r="N3480" s="27">
        <v>0.24604938271604937</v>
      </c>
    </row>
    <row r="3481" spans="1:14" hidden="1" outlineLevel="1" x14ac:dyDescent="0.2">
      <c r="A3481" s="23" t="str">
        <f>HYPERLINK("https://www.spark-marketing.ru/Card/Person/59966", "ГБДОУ ДЕТСКИЙ САД № 16 ПРИМОРСКОГО РАЙОНА САНКТ-ПЕТЕРБУРГА")</f>
        <v>ГБДОУ ДЕТСКИЙ САД № 16 ПРИМОРСКОГО РАЙОНА САНКТ-ПЕТЕРБУРГА</v>
      </c>
      <c r="B3481" s="24" t="s">
        <v>5037</v>
      </c>
      <c r="C3481" s="25">
        <v>171072</v>
      </c>
      <c r="D3481" s="22" t="s">
        <v>5038</v>
      </c>
      <c r="E3481" s="22" t="s">
        <v>52</v>
      </c>
      <c r="F3481" s="23" t="str">
        <f>HYPERLINK("https://www.spark-marketing.ru/Card/Lot/72570696", "Оказание услуг по обеспечению охраны на объекте и прилегающей территории ГБДОУ детский сад № 16 Приморского района Санкт-Петербурга по адресу: 197343, Санкт-Петербург, ул. Омская д. 18 литер А.")</f>
        <v>Оказание услуг по обеспечению охраны на объекте и прилегающей территории ГБДОУ детский сад № 16 Приморского района Санкт-Петербурга по адресу: 197343, Санкт-Петербург, ул. Омская д. 18 литер А.</v>
      </c>
      <c r="G3481" s="22" t="s">
        <v>89</v>
      </c>
      <c r="H3481" s="22" t="s">
        <v>89</v>
      </c>
      <c r="I3481" s="26">
        <v>43679.458912037</v>
      </c>
      <c r="J3481" s="23" t="str">
        <f>HYPERLINK("https://www.spark-marketing.ru/Card/Person/135806", "ООО ""ОП ""РАДОН""")</f>
        <v>ООО "ОП "РАДОН"</v>
      </c>
      <c r="K3481" s="24" t="s">
        <v>4139</v>
      </c>
      <c r="L3481" s="28" t="s">
        <v>52</v>
      </c>
      <c r="M3481" s="25">
        <v>118800</v>
      </c>
      <c r="N3481" s="27">
        <v>0.30555555555555558</v>
      </c>
    </row>
    <row r="3482" spans="1:14" hidden="1" outlineLevel="1" x14ac:dyDescent="0.2">
      <c r="A3482" s="23" t="str">
        <f>HYPERLINK("https://www.spark-marketing.ru/Card/Person/59966", "ГБДОУ ДЕТСКИЙ САД № 16 ПРИМОРСКОГО РАЙОНА САНКТ-ПЕТЕРБУРГА")</f>
        <v>ГБДОУ ДЕТСКИЙ САД № 16 ПРИМОРСКОГО РАЙОНА САНКТ-ПЕТЕРБУРГА</v>
      </c>
      <c r="B3482" s="24" t="s">
        <v>5037</v>
      </c>
      <c r="C3482" s="25">
        <v>171072</v>
      </c>
      <c r="D3482" s="22" t="s">
        <v>5038</v>
      </c>
      <c r="E3482" s="22" t="s">
        <v>52</v>
      </c>
      <c r="F3482" s="23" t="str">
        <f>HYPERLINK("https://www.spark-marketing.ru/Card/Lot/72570696", "Оказание услуг по обеспечению охраны на объекте и прилегающей территории ГБДОУ детский сад № 16 Приморского района Санкт-Петербурга по адресу: 197343, Санкт-Петербург, ул. Омская д. 18 литер А.")</f>
        <v>Оказание услуг по обеспечению охраны на объекте и прилегающей территории ГБДОУ детский сад № 16 Приморского района Санкт-Петербурга по адресу: 197343, Санкт-Петербург, ул. Омская д. 18 литер А.</v>
      </c>
      <c r="G3482" s="22" t="s">
        <v>89</v>
      </c>
      <c r="H3482" s="22" t="s">
        <v>89</v>
      </c>
      <c r="I3482" s="26">
        <v>43679.458912037</v>
      </c>
      <c r="J3482" s="23" t="str">
        <f>HYPERLINK("https://www.spark-marketing.ru/Card/Person/123130", "ООО ""ЧОП ""СЗАОПО-С""")</f>
        <v>ООО "ЧОП "СЗАОПО-С"</v>
      </c>
      <c r="K3482" s="24" t="s">
        <v>4290</v>
      </c>
      <c r="L3482" s="28" t="s">
        <v>52</v>
      </c>
      <c r="M3482" s="25">
        <v>116149.44</v>
      </c>
      <c r="N3482" s="27">
        <v>0.32104938271604938</v>
      </c>
    </row>
    <row r="3483" spans="1:14" ht="12.75" hidden="1" outlineLevel="1" x14ac:dyDescent="0.2">
      <c r="A3483" s="23" t="str">
        <f>HYPERLINK("https://www.spark-marketing.ru/Card/Person/59966", "ГБДОУ ДЕТСКИЙ САД № 16 ПРИМОРСКОГО РАЙОНА САНКТ-ПЕТЕРБУРГА")</f>
        <v>ГБДОУ ДЕТСКИЙ САД № 16 ПРИМОРСКОГО РАЙОНА САНКТ-ПЕТЕРБУРГА</v>
      </c>
      <c r="B3483" s="24" t="s">
        <v>5037</v>
      </c>
      <c r="C3483" s="25">
        <v>171072</v>
      </c>
      <c r="D3483" s="22" t="s">
        <v>5038</v>
      </c>
      <c r="E3483" s="22" t="s">
        <v>52</v>
      </c>
      <c r="F3483" s="23" t="str">
        <f>HYPERLINK("https://www.spark-marketing.ru/Card/Lot/72570696", "Оказание услуг по обеспечению охраны на объекте и прилегающей территории ГБДОУ детский сад № 16 Приморского района Санкт-Петербурга по адресу: 197343, Санкт-Петербург, ул. Омская д. 18 литер А.")</f>
        <v>Оказание услуг по обеспечению охраны на объекте и прилегающей территории ГБДОУ детский сад № 16 Приморского района Санкт-Петербурга по адресу: 197343, Санкт-Петербург, ул. Омская д. 18 литер А.</v>
      </c>
      <c r="G3483" s="22" t="s">
        <v>89</v>
      </c>
      <c r="H3483" s="22" t="s">
        <v>89</v>
      </c>
      <c r="I3483" s="26">
        <v>43679.458912037</v>
      </c>
      <c r="J3483" s="23" t="str">
        <f>HYPERLINK("https://www.spark-marketing.ru/Card/Person/2562571", "ООО ОП""БОРС-БАЛТИКА""")</f>
        <v>ООО ОП"БОРС-БАЛТИКА"</v>
      </c>
      <c r="K3483" s="24" t="s">
        <v>4583</v>
      </c>
      <c r="L3483" s="22" t="s">
        <v>10</v>
      </c>
      <c r="M3483" s="25">
        <v>115294.08</v>
      </c>
      <c r="N3483" s="27">
        <v>0.32604938271604939</v>
      </c>
    </row>
    <row r="3484" spans="1:14" x14ac:dyDescent="0.15">
      <c r="A3484" s="23" t="str">
        <f>HYPERLINK("https://www.spark-marketing.ru/Card/Person/1759012", "ГУ МВД РОССИИ ПО Г. МОСКВЕ")</f>
        <v>ГУ МВД РОССИИ ПО Г. МОСКВЕ</v>
      </c>
      <c r="B3484" s="24" t="s">
        <v>5028</v>
      </c>
      <c r="C3484" s="25">
        <v>61944.36</v>
      </c>
      <c r="D3484" s="22" t="s">
        <v>5039</v>
      </c>
      <c r="E3484" s="22" t="s">
        <v>53</v>
      </c>
      <c r="F3484" s="23" t="str">
        <f>HYPERLINK("https://www.spark-marketing.ru/Card/Lot/72569109", "оказание услуг по техническому обслуживанию комплекса охранно-тревожной сигнализации для нужд ПОи КПиО ГУ МВД России по г. Москве в 2021 году")</f>
        <v>оказание услуг по техническому обслуживанию комплекса охранно-тревожной сигнализации для нужд ПОи КПиО ГУ МВД России по г. Москве в 2021 году</v>
      </c>
      <c r="G3484" s="22" t="s">
        <v>55</v>
      </c>
      <c r="H3484" s="22" t="s">
        <v>55</v>
      </c>
      <c r="I3484" s="26">
        <v>43679.4756597222</v>
      </c>
      <c r="J3484" s="28" t="s">
        <v>52</v>
      </c>
      <c r="K3484" s="28" t="s">
        <v>52</v>
      </c>
      <c r="L3484" s="28" t="s">
        <v>52</v>
      </c>
      <c r="M3484" s="28" t="s">
        <v>52</v>
      </c>
      <c r="N3484" s="28" t="s">
        <v>52</v>
      </c>
    </row>
    <row r="3485" spans="1:14" x14ac:dyDescent="0.15">
      <c r="A3485" s="23" t="str">
        <f>HYPERLINK("https://www.spark-marketing.ru/Card/Person/131487", "МДОУ Д/С № 1 ""АЛЕНКА""")</f>
        <v>МДОУ Д/С № 1 "АЛЕНКА"</v>
      </c>
      <c r="B3485" s="24" t="s">
        <v>5040</v>
      </c>
      <c r="C3485" s="25">
        <v>63000</v>
      </c>
      <c r="D3485" s="22" t="s">
        <v>5041</v>
      </c>
      <c r="E3485" s="22" t="s">
        <v>79</v>
      </c>
      <c r="F3485" s="23" t="str">
        <f>HYPERLINK("https://www.spark-marketing.ru/Card/Lot/72569745", "Изготовление и монтаж калитки с видеодомофоном для нужд МДОУ ДСКВ № 1 ""Аленка""")</f>
        <v>Изготовление и монтаж калитки с видеодомофоном для нужд МДОУ ДСКВ № 1 "Аленка"</v>
      </c>
      <c r="G3485" s="22" t="s">
        <v>50</v>
      </c>
      <c r="H3485" s="22" t="s">
        <v>5042</v>
      </c>
      <c r="I3485" s="26">
        <v>43679.492465277799</v>
      </c>
      <c r="J3485" s="28" t="s">
        <v>52</v>
      </c>
      <c r="K3485" s="28" t="s">
        <v>52</v>
      </c>
      <c r="L3485" s="28" t="s">
        <v>52</v>
      </c>
      <c r="M3485" s="28" t="s">
        <v>52</v>
      </c>
      <c r="N3485" s="28" t="s">
        <v>52</v>
      </c>
    </row>
    <row r="3486" spans="1:14" x14ac:dyDescent="0.15">
      <c r="A3486" s="23" t="str">
        <f>HYPERLINK("https://www.spark-marketing.ru/Card/Person/15272", "ГБДОУ ДЕТСКИЙ САД № 10 ПРИМОРСКОГО РАЙОНА САНКТ-ПЕТЕРБУРГА")</f>
        <v>ГБДОУ ДЕТСКИЙ САД № 10 ПРИМОРСКОГО РАЙОНА САНКТ-ПЕТЕРБУРГА</v>
      </c>
      <c r="B3486" s="24" t="s">
        <v>5043</v>
      </c>
      <c r="C3486" s="25">
        <v>506880</v>
      </c>
      <c r="D3486" s="22" t="s">
        <v>5044</v>
      </c>
      <c r="E3486" s="22" t="s">
        <v>52</v>
      </c>
      <c r="F3486" s="23" t="str">
        <f>HYPERLINK("https://www.spark-marketing.ru/Card/Lot/72571289", "Оказание услуг по обеспечению физической охраны объектов ГБДОУ детский сад № 10 Приморского района Санкт-Петербурга в 2019 году")</f>
        <v>Оказание услуг по обеспечению физической охраны объектов ГБДОУ детский сад № 10 Приморского района Санкт-Петербурга в 2019 году</v>
      </c>
      <c r="G3486" s="22" t="s">
        <v>89</v>
      </c>
      <c r="H3486" s="22" t="s">
        <v>89</v>
      </c>
      <c r="I3486" s="26">
        <v>43679.457187499997</v>
      </c>
      <c r="J3486" s="28" t="s">
        <v>52</v>
      </c>
      <c r="K3486" s="28" t="s">
        <v>52</v>
      </c>
      <c r="L3486" s="28" t="s">
        <v>52</v>
      </c>
      <c r="M3486" s="28" t="s">
        <v>52</v>
      </c>
      <c r="N3486" s="28" t="s">
        <v>52</v>
      </c>
    </row>
    <row r="3487" spans="1:14" hidden="1" outlineLevel="1" x14ac:dyDescent="0.2">
      <c r="A3487" s="23" t="str">
        <f>HYPERLINK("https://www.spark-marketing.ru/Card/Person/15272", "ГБДОУ ДЕТСКИЙ САД № 10 ПРИМОРСКОГО РАЙОНА САНКТ-ПЕТЕРБУРГА")</f>
        <v>ГБДОУ ДЕТСКИЙ САД № 10 ПРИМОРСКОГО РАЙОНА САНКТ-ПЕТЕРБУРГА</v>
      </c>
      <c r="B3487" s="24" t="s">
        <v>5043</v>
      </c>
      <c r="C3487" s="25">
        <v>506880</v>
      </c>
      <c r="D3487" s="22" t="s">
        <v>5044</v>
      </c>
      <c r="E3487" s="22" t="s">
        <v>52</v>
      </c>
      <c r="F3487" s="23" t="str">
        <f>HYPERLINK("https://www.spark-marketing.ru/Card/Lot/72571289", "Оказание услуг по обеспечению физической охраны объектов ГБДОУ детский сад № 10 Приморского района Санкт-Петербурга в 2019 году")</f>
        <v>Оказание услуг по обеспечению физической охраны объектов ГБДОУ детский сад № 10 Приморского района Санкт-Петербурга в 2019 году</v>
      </c>
      <c r="G3487" s="22" t="s">
        <v>89</v>
      </c>
      <c r="H3487" s="22" t="s">
        <v>89</v>
      </c>
      <c r="I3487" s="26">
        <v>43679.457187499997</v>
      </c>
      <c r="J3487" s="23" t="str">
        <f>HYPERLINK("https://www.spark-marketing.ru/Card/Person/135806", "ООО ""ОП ""РАДОН""")</f>
        <v>ООО "ОП "РАДОН"</v>
      </c>
      <c r="K3487" s="24" t="s">
        <v>4139</v>
      </c>
      <c r="L3487" s="28" t="s">
        <v>52</v>
      </c>
      <c r="M3487" s="25">
        <v>356400</v>
      </c>
      <c r="N3487" s="27">
        <v>0.296875</v>
      </c>
    </row>
    <row r="3488" spans="1:14" hidden="1" outlineLevel="1" x14ac:dyDescent="0.2">
      <c r="A3488" s="23" t="str">
        <f>HYPERLINK("https://www.spark-marketing.ru/Card/Person/15272", "ГБДОУ ДЕТСКИЙ САД № 10 ПРИМОРСКОГО РАЙОНА САНКТ-ПЕТЕРБУРГА")</f>
        <v>ГБДОУ ДЕТСКИЙ САД № 10 ПРИМОРСКОГО РАЙОНА САНКТ-ПЕТЕРБУРГА</v>
      </c>
      <c r="B3488" s="24" t="s">
        <v>5043</v>
      </c>
      <c r="C3488" s="25">
        <v>506880</v>
      </c>
      <c r="D3488" s="22" t="s">
        <v>5044</v>
      </c>
      <c r="E3488" s="22" t="s">
        <v>52</v>
      </c>
      <c r="F3488" s="23" t="str">
        <f>HYPERLINK("https://www.spark-marketing.ru/Card/Lot/72571289", "Оказание услуг по обеспечению физической охраны объектов ГБДОУ детский сад № 10 Приморского района Санкт-Петербурга в 2019 году")</f>
        <v>Оказание услуг по обеспечению физической охраны объектов ГБДОУ детский сад № 10 Приморского района Санкт-Петербурга в 2019 году</v>
      </c>
      <c r="G3488" s="22" t="s">
        <v>89</v>
      </c>
      <c r="H3488" s="22" t="s">
        <v>89</v>
      </c>
      <c r="I3488" s="26">
        <v>43679.457187499997</v>
      </c>
      <c r="J3488" s="23" t="str">
        <f>HYPERLINK("https://www.spark-marketing.ru/Card/Person/123130", "ООО ""ЧОП ""СЗАОПО-С""")</f>
        <v>ООО "ЧОП "СЗАОПО-С"</v>
      </c>
      <c r="K3488" s="24" t="s">
        <v>4290</v>
      </c>
      <c r="L3488" s="28" t="s">
        <v>52</v>
      </c>
      <c r="M3488" s="25">
        <v>323452.79999999999</v>
      </c>
      <c r="N3488" s="27">
        <v>0.361875</v>
      </c>
    </row>
    <row r="3489" spans="1:14" ht="12.75" hidden="1" outlineLevel="1" x14ac:dyDescent="0.2">
      <c r="A3489" s="23" t="str">
        <f>HYPERLINK("https://www.spark-marketing.ru/Card/Person/15272", "ГБДОУ ДЕТСКИЙ САД № 10 ПРИМОРСКОГО РАЙОНА САНКТ-ПЕТЕРБУРГА")</f>
        <v>ГБДОУ ДЕТСКИЙ САД № 10 ПРИМОРСКОГО РАЙОНА САНКТ-ПЕТЕРБУРГА</v>
      </c>
      <c r="B3489" s="24" t="s">
        <v>5043</v>
      </c>
      <c r="C3489" s="25">
        <v>506880</v>
      </c>
      <c r="D3489" s="22" t="s">
        <v>5044</v>
      </c>
      <c r="E3489" s="22" t="s">
        <v>52</v>
      </c>
      <c r="F3489" s="23" t="str">
        <f>HYPERLINK("https://www.spark-marketing.ru/Card/Lot/72571289", "Оказание услуг по обеспечению физической охраны объектов ГБДОУ детский сад № 10 Приморского района Санкт-Петербурга в 2019 году")</f>
        <v>Оказание услуг по обеспечению физической охраны объектов ГБДОУ детский сад № 10 Приморского района Санкт-Петербурга в 2019 году</v>
      </c>
      <c r="G3489" s="22" t="s">
        <v>89</v>
      </c>
      <c r="H3489" s="22" t="s">
        <v>89</v>
      </c>
      <c r="I3489" s="26">
        <v>43679.457187499997</v>
      </c>
      <c r="J3489" s="23" t="str">
        <f>HYPERLINK("https://www.spark-marketing.ru/Card/Person/2562571", "ООО ОП""БОРС-БАЛТИКА""")</f>
        <v>ООО ОП"БОРС-БАЛТИКА"</v>
      </c>
      <c r="K3489" s="24" t="s">
        <v>4583</v>
      </c>
      <c r="L3489" s="22" t="s">
        <v>10</v>
      </c>
      <c r="M3489" s="25">
        <v>320918.40000000002</v>
      </c>
      <c r="N3489" s="27">
        <v>0.36687500000000001</v>
      </c>
    </row>
    <row r="3490" spans="1:14" x14ac:dyDescent="0.15">
      <c r="A3490" s="23" t="str">
        <f>HYPERLINK("https://www.spark-marketing.ru/Card/Person/72517", "УФССП РОССИИ ПО РЕСПУБЛИКЕ САХА (ЯКУТИЯ)")</f>
        <v>УФССП РОССИИ ПО РЕСПУБЛИКЕ САХА (ЯКУТИЯ)</v>
      </c>
      <c r="B3490" s="24" t="s">
        <v>5045</v>
      </c>
      <c r="C3490" s="25">
        <v>73440</v>
      </c>
      <c r="D3490" s="22" t="s">
        <v>5046</v>
      </c>
      <c r="E3490" s="22" t="s">
        <v>53</v>
      </c>
      <c r="F3490" s="23" t="str">
        <f>HYPERLINK("https://www.spark-marketing.ru/Card/Lot/72566943", "Оказание охранных услуг")</f>
        <v>Оказание охранных услуг</v>
      </c>
      <c r="G3490" s="22" t="s">
        <v>424</v>
      </c>
      <c r="H3490" s="22" t="s">
        <v>1186</v>
      </c>
      <c r="I3490" s="26">
        <v>43679.441562499997</v>
      </c>
      <c r="J3490" s="28" t="s">
        <v>52</v>
      </c>
      <c r="K3490" s="28" t="s">
        <v>52</v>
      </c>
      <c r="L3490" s="28" t="s">
        <v>52</v>
      </c>
      <c r="M3490" s="28" t="s">
        <v>52</v>
      </c>
      <c r="N3490" s="28" t="s">
        <v>52</v>
      </c>
    </row>
    <row r="3491" spans="1:14" x14ac:dyDescent="0.15">
      <c r="A3491" s="23" t="str">
        <f>HYPERLINK("https://www.spark-marketing.ru/Card/Person/35493", "ГБУЗ ""ДИНСКАЯ ЦРБ"" МЗ КК")</f>
        <v>ГБУЗ "ДИНСКАЯ ЦРБ" МЗ КК</v>
      </c>
      <c r="B3491" s="24" t="s">
        <v>5047</v>
      </c>
      <c r="C3491" s="25">
        <v>41820</v>
      </c>
      <c r="D3491" s="22" t="s">
        <v>5048</v>
      </c>
      <c r="E3491" s="22" t="s">
        <v>612</v>
      </c>
      <c r="F3491" s="23" t="str">
        <f>HYPERLINK("https://www.spark-marketing.ru/Card/Lot/72580750", "Изготовление и поставка защищенной полиграфической продукции с уровнем защиты ""В"" мед. заключения о наличии (об отсутствии) у водителей транспортных средств мед.противопоказаний.")</f>
        <v>Изготовление и поставка защищенной полиграфической продукции с уровнем защиты "В" мед. заключения о наличии (об отсутствии) у водителей транспортных средств мед.противопоказаний.</v>
      </c>
      <c r="G3491" s="22" t="s">
        <v>132</v>
      </c>
      <c r="H3491" s="22" t="s">
        <v>5049</v>
      </c>
      <c r="I3491" s="26">
        <v>43679.457546296297</v>
      </c>
      <c r="J3491" s="28" t="s">
        <v>52</v>
      </c>
      <c r="K3491" s="28" t="s">
        <v>52</v>
      </c>
      <c r="L3491" s="28" t="s">
        <v>52</v>
      </c>
      <c r="M3491" s="28" t="s">
        <v>52</v>
      </c>
      <c r="N3491" s="28" t="s">
        <v>52</v>
      </c>
    </row>
    <row r="3492" spans="1:14" ht="12.75" hidden="1" outlineLevel="1" x14ac:dyDescent="0.2">
      <c r="A3492" s="23" t="str">
        <f>HYPERLINK("https://www.spark-marketing.ru/Card/Person/35493", "ГБУЗ ""ДИНСКАЯ ЦРБ"" МЗ КК")</f>
        <v>ГБУЗ "ДИНСКАЯ ЦРБ" МЗ КК</v>
      </c>
      <c r="B3492" s="24" t="s">
        <v>5047</v>
      </c>
      <c r="C3492" s="25">
        <v>41820</v>
      </c>
      <c r="D3492" s="22" t="s">
        <v>5048</v>
      </c>
      <c r="E3492" s="22" t="s">
        <v>612</v>
      </c>
      <c r="F3492" s="23" t="str">
        <f>HYPERLINK("https://www.spark-marketing.ru/Card/Lot/72580750", "Изготовление и поставка защищенной полиграфической продукции с уровнем защиты ""В"" мед. заключения о наличии (об отсутствии) у водителей транспортных средств мед.противопоказаний.")</f>
        <v>Изготовление и поставка защищенной полиграфической продукции с уровнем защиты "В" мед. заключения о наличии (об отсутствии) у водителей транспортных средств мед.противопоказаний.</v>
      </c>
      <c r="G3492" s="22" t="s">
        <v>132</v>
      </c>
      <c r="H3492" s="22" t="s">
        <v>5049</v>
      </c>
      <c r="I3492" s="26">
        <v>43679.457546296297</v>
      </c>
      <c r="J3492" s="23" t="str">
        <f>HYPERLINK("https://www.spark-marketing.ru/Card/Person/182300", "ЗАО ""КБИ""")</f>
        <v>ЗАО "КБИ"</v>
      </c>
      <c r="K3492" s="24" t="s">
        <v>5050</v>
      </c>
      <c r="L3492" s="22" t="s">
        <v>10</v>
      </c>
      <c r="M3492" s="25">
        <v>25200</v>
      </c>
      <c r="N3492" s="27">
        <v>0.39741750358680056</v>
      </c>
    </row>
    <row r="3493" spans="1:14" hidden="1" outlineLevel="1" x14ac:dyDescent="0.2">
      <c r="A3493" s="23" t="str">
        <f>HYPERLINK("https://www.spark-marketing.ru/Card/Person/35493", "ГБУЗ ""ДИНСКАЯ ЦРБ"" МЗ КК")</f>
        <v>ГБУЗ "ДИНСКАЯ ЦРБ" МЗ КК</v>
      </c>
      <c r="B3493" s="24" t="s">
        <v>5047</v>
      </c>
      <c r="C3493" s="25">
        <v>41820</v>
      </c>
      <c r="D3493" s="22" t="s">
        <v>5048</v>
      </c>
      <c r="E3493" s="22" t="s">
        <v>612</v>
      </c>
      <c r="F3493" s="23" t="str">
        <f>HYPERLINK("https://www.spark-marketing.ru/Card/Lot/72580750", "Изготовление и поставка защищенной полиграфической продукции с уровнем защиты ""В"" мед. заключения о наличии (об отсутствии) у водителей транспортных средств мед.противопоказаний.")</f>
        <v>Изготовление и поставка защищенной полиграфической продукции с уровнем защиты "В" мед. заключения о наличии (об отсутствии) у водителей транспортных средств мед.противопоказаний.</v>
      </c>
      <c r="G3493" s="22" t="s">
        <v>132</v>
      </c>
      <c r="H3493" s="22" t="s">
        <v>5049</v>
      </c>
      <c r="I3493" s="26">
        <v>43679.457546296297</v>
      </c>
      <c r="J3493" s="23" t="str">
        <f>HYPERLINK("https://www.spark-marketing.ru/Card/Person/6324133", "ООО ""ИК ПРОФПРИНТ""")</f>
        <v>ООО "ИК ПРОФПРИНТ"</v>
      </c>
      <c r="K3493" s="24" t="s">
        <v>5051</v>
      </c>
      <c r="L3493" s="28" t="s">
        <v>52</v>
      </c>
      <c r="M3493" s="25">
        <v>25200</v>
      </c>
      <c r="N3493" s="27">
        <v>0.39741750358680056</v>
      </c>
    </row>
    <row r="3494" spans="1:14" hidden="1" outlineLevel="1" x14ac:dyDescent="0.2">
      <c r="A3494" s="23" t="str">
        <f>HYPERLINK("https://www.spark-marketing.ru/Card/Person/35493", "ГБУЗ ""ДИНСКАЯ ЦРБ"" МЗ КК")</f>
        <v>ГБУЗ "ДИНСКАЯ ЦРБ" МЗ КК</v>
      </c>
      <c r="B3494" s="24" t="s">
        <v>5047</v>
      </c>
      <c r="C3494" s="25">
        <v>41820</v>
      </c>
      <c r="D3494" s="22" t="s">
        <v>5048</v>
      </c>
      <c r="E3494" s="22" t="s">
        <v>612</v>
      </c>
      <c r="F3494" s="23" t="str">
        <f>HYPERLINK("https://www.spark-marketing.ru/Card/Lot/72580750", "Изготовление и поставка защищенной полиграфической продукции с уровнем защиты ""В"" мед. заключения о наличии (об отсутствии) у водителей транспортных средств мед.противопоказаний.")</f>
        <v>Изготовление и поставка защищенной полиграфической продукции с уровнем защиты "В" мед. заключения о наличии (об отсутствии) у водителей транспортных средств мед.противопоказаний.</v>
      </c>
      <c r="G3494" s="22" t="s">
        <v>132</v>
      </c>
      <c r="H3494" s="22" t="s">
        <v>5049</v>
      </c>
      <c r="I3494" s="26">
        <v>43679.457546296297</v>
      </c>
      <c r="J3494" s="23" t="str">
        <f>HYPERLINK("https://www.spark-marketing.ru/Card/Person/321865", "ЗАО ""ПОЛИГРАФ-ЗАЩИТА""")</f>
        <v>ЗАО "ПОЛИГРАФ-ЗАЩИТА"</v>
      </c>
      <c r="K3494" s="24" t="s">
        <v>5052</v>
      </c>
      <c r="L3494" s="28" t="s">
        <v>52</v>
      </c>
      <c r="M3494" s="25">
        <v>25200</v>
      </c>
      <c r="N3494" s="27">
        <v>0.39741750358680056</v>
      </c>
    </row>
    <row r="3495" spans="1:14" x14ac:dyDescent="0.15">
      <c r="A3495" s="23" t="str">
        <f>HYPERLINK("https://www.spark-marketing.ru/Card/Person/411510", "Г(О)БУ ""ЦПД ИМ. Э.Б. БЕЛАНА""")</f>
        <v>Г(О)БУ "ЦПД ИМ. Э.Б. БЕЛАНА"</v>
      </c>
      <c r="B3495" s="24" t="s">
        <v>5053</v>
      </c>
      <c r="C3495" s="25">
        <v>247787.51999999999</v>
      </c>
      <c r="D3495" s="22" t="s">
        <v>5054</v>
      </c>
      <c r="E3495" s="22" t="s">
        <v>68</v>
      </c>
      <c r="F3495" s="23" t="str">
        <f>HYPERLINK("https://www.spark-marketing.ru/Card/Lot/72572638", "Услуги охраны во 2 полугодии 2019 г.")</f>
        <v>Услуги охраны во 2 полугодии 2019 г.</v>
      </c>
      <c r="G3495" s="22" t="s">
        <v>629</v>
      </c>
      <c r="H3495" s="22" t="s">
        <v>1603</v>
      </c>
      <c r="I3495" s="26">
        <v>43679.396180555603</v>
      </c>
      <c r="J3495" s="28" t="s">
        <v>52</v>
      </c>
      <c r="K3495" s="28" t="s">
        <v>52</v>
      </c>
      <c r="L3495" s="28" t="s">
        <v>52</v>
      </c>
      <c r="M3495" s="28" t="s">
        <v>52</v>
      </c>
      <c r="N3495" s="28" t="s">
        <v>52</v>
      </c>
    </row>
    <row r="3496" spans="1:14" ht="12.75" hidden="1" outlineLevel="1" x14ac:dyDescent="0.2">
      <c r="A3496" s="23" t="str">
        <f>HYPERLINK("https://www.spark-marketing.ru/Card/Person/411510", "Г(О)БУ ""ЦПД ИМ. Э.Б. БЕЛАНА""")</f>
        <v>Г(О)БУ "ЦПД ИМ. Э.Б. БЕЛАНА"</v>
      </c>
      <c r="B3496" s="24" t="s">
        <v>5053</v>
      </c>
      <c r="C3496" s="25">
        <v>247787.51999999999</v>
      </c>
      <c r="D3496" s="22" t="s">
        <v>5054</v>
      </c>
      <c r="E3496" s="22" t="s">
        <v>68</v>
      </c>
      <c r="F3496" s="23" t="str">
        <f>HYPERLINK("https://www.spark-marketing.ru/Card/Lot/72572638", "Услуги охраны во 2 полугодии 2019 г.")</f>
        <v>Услуги охраны во 2 полугодии 2019 г.</v>
      </c>
      <c r="G3496" s="22" t="s">
        <v>629</v>
      </c>
      <c r="H3496" s="22" t="s">
        <v>1603</v>
      </c>
      <c r="I3496" s="26">
        <v>43679.396180555603</v>
      </c>
      <c r="J3496" s="23" t="str">
        <f>HYPERLINK("https://www.spark-marketing.ru/Card/Person/701525", "ООО ЧОО ""ПАНТЕРА Л""")</f>
        <v>ООО ЧОО "ПАНТЕРА Л"</v>
      </c>
      <c r="K3496" s="24" t="s">
        <v>5055</v>
      </c>
      <c r="L3496" s="22" t="s">
        <v>10</v>
      </c>
      <c r="M3496" s="25">
        <v>245309</v>
      </c>
      <c r="N3496" s="27">
        <v>1.0002602229523101E-2</v>
      </c>
    </row>
    <row r="3497" spans="1:14" hidden="1" outlineLevel="1" x14ac:dyDescent="0.2">
      <c r="A3497" s="23" t="str">
        <f>HYPERLINK("https://www.spark-marketing.ru/Card/Person/411510", "Г(О)БУ ""ЦПД ИМ. Э.Б. БЕЛАНА""")</f>
        <v>Г(О)БУ "ЦПД ИМ. Э.Б. БЕЛАНА"</v>
      </c>
      <c r="B3497" s="24" t="s">
        <v>5053</v>
      </c>
      <c r="C3497" s="25">
        <v>247787.51999999999</v>
      </c>
      <c r="D3497" s="22" t="s">
        <v>5054</v>
      </c>
      <c r="E3497" s="22" t="s">
        <v>68</v>
      </c>
      <c r="F3497" s="23" t="str">
        <f>HYPERLINK("https://www.spark-marketing.ru/Card/Lot/72572638", "Услуги охраны во 2 полугодии 2019 г.")</f>
        <v>Услуги охраны во 2 полугодии 2019 г.</v>
      </c>
      <c r="G3497" s="22" t="s">
        <v>629</v>
      </c>
      <c r="H3497" s="22" t="s">
        <v>1603</v>
      </c>
      <c r="I3497" s="26">
        <v>43679.396180555603</v>
      </c>
      <c r="J3497" s="23" t="str">
        <f>HYPERLINK("https://www.spark-marketing.ru/Card/Person/1292267", "ООО ЧОО ""ПЕРСЕЙ А""")</f>
        <v>ООО ЧОО "ПЕРСЕЙ А"</v>
      </c>
      <c r="K3497" s="24" t="s">
        <v>5056</v>
      </c>
      <c r="L3497" s="28" t="s">
        <v>52</v>
      </c>
      <c r="M3497" s="25">
        <v>245309</v>
      </c>
      <c r="N3497" s="27">
        <v>1.0002602229523101E-2</v>
      </c>
    </row>
    <row r="3498" spans="1:14" x14ac:dyDescent="0.15">
      <c r="A3498" s="23" t="str">
        <f>HYPERLINK("https://www.spark-marketing.ru/Card/Person/1076358", "ФКУ ""ГБ МСЭ ПО ВЛАДИМИРСКОЙ ОБЛАСТИ"" МИНТРУДА РОССИИ")</f>
        <v>ФКУ "ГБ МСЭ ПО ВЛАДИМИРСКОЙ ОБЛАСТИ" МИНТРУДА РОССИИ</v>
      </c>
      <c r="B3498" s="24" t="s">
        <v>5057</v>
      </c>
      <c r="C3498" s="25">
        <v>20458</v>
      </c>
      <c r="D3498" s="22" t="s">
        <v>5058</v>
      </c>
      <c r="E3498" s="22" t="s">
        <v>53</v>
      </c>
      <c r="F3498" s="23" t="str">
        <f>HYPERLINK("https://www.spark-marketing.ru/Card/Lot/72564073", "Оказание услуг охраны ( Пультовая охрана объекта с выездом ГБР)")</f>
        <v>Оказание услуг охраны ( Пультовая охрана объекта с выездом ГБР)</v>
      </c>
      <c r="G3498" s="22" t="s">
        <v>145</v>
      </c>
      <c r="H3498" s="22" t="s">
        <v>146</v>
      </c>
      <c r="I3498" s="26">
        <v>43679.374270833301</v>
      </c>
      <c r="J3498" s="28" t="s">
        <v>52</v>
      </c>
      <c r="K3498" s="28" t="s">
        <v>52</v>
      </c>
      <c r="L3498" s="28" t="s">
        <v>52</v>
      </c>
      <c r="M3498" s="28" t="s">
        <v>52</v>
      </c>
      <c r="N3498" s="28" t="s">
        <v>52</v>
      </c>
    </row>
    <row r="3499" spans="1:14" x14ac:dyDescent="0.2">
      <c r="A3499" s="23" t="str">
        <f>HYPERLINK("https://www.spark-marketing.ru/Card/Person/24963", "УРГЮУ, ФГБОУ ВО ""УРАЛЬСКИЙ ГОСУДАРСТВЕННЫЙ ЮРИДИЧЕСКИЙ УНИВЕРСИТЕТ"", УРАЛЬСКИЙ ГОСУДАРСТВЕННЫЙ ЮРИДИЧЕСКИЙ УНИВЕРСИТЕТ, ФГБОУ ВО ""УРГЮУ""")</f>
        <v>УРГЮУ, ФГБОУ ВО "УРАЛЬСКИЙ ГОСУДАРСТВЕННЫЙ ЮРИДИЧЕСКИЙ УНИВЕРСИТЕТ", УРАЛЬСКИЙ ГОСУДАРСТВЕННЫЙ ЮРИДИЧЕСКИЙ УНИВЕРСИТЕТ, ФГБОУ ВО "УРГЮУ"</v>
      </c>
      <c r="B3499" s="24" t="s">
        <v>5059</v>
      </c>
      <c r="C3499" s="25">
        <v>299118.07</v>
      </c>
      <c r="D3499" s="22" t="s">
        <v>5060</v>
      </c>
      <c r="E3499" s="22" t="s">
        <v>5061</v>
      </c>
      <c r="F3499" s="23" t="str">
        <f>HYPERLINK("https://www.spark-marketing.ru/Card/Lot/72572791", "Выполнение работ по установке единой функционирующей системы адресной охранной сигнализации в учебном корпусе №3 по ул. Комсомольская, 23, главном учебном корпусе по ул. Комсомольская, 21 в соответствии с прикрепленным извещением.")</f>
        <v>Выполнение работ по установке единой функционирующей системы адресной охранной сигнализации в учебном корпусе №3 по ул. Комсомольская, 23, главном учебном корпусе по ул. Комсомольская, 21 в соответствии с прикрепленным извещением.</v>
      </c>
      <c r="G3499" s="22" t="s">
        <v>72</v>
      </c>
      <c r="H3499" s="22" t="s">
        <v>949</v>
      </c>
      <c r="I3499" s="26">
        <v>43679</v>
      </c>
      <c r="J3499" s="28" t="s">
        <v>52</v>
      </c>
      <c r="K3499" s="28" t="s">
        <v>52</v>
      </c>
      <c r="L3499" s="22" t="s">
        <v>10</v>
      </c>
      <c r="M3499" s="25">
        <v>291764</v>
      </c>
      <c r="N3499" s="27">
        <v>2.4585843309299235E-2</v>
      </c>
    </row>
    <row r="3500" spans="1:14" x14ac:dyDescent="0.2">
      <c r="A3500" s="23" t="str">
        <f>HYPERLINK("https://www.spark-marketing.ru/Card/Person/24963", "УРГЮУ, ФГБОУ ВО ""УРАЛЬСКИЙ ГОСУДАРСТВЕННЫЙ ЮРИДИЧЕСКИЙ УНИВЕРСИТЕТ"", УРАЛЬСКИЙ ГОСУДАРСТВЕННЫЙ ЮРИДИЧЕСКИЙ УНИВЕРСИТЕТ, ФГБОУ ВО ""УРГЮУ""")</f>
        <v>УРГЮУ, ФГБОУ ВО "УРАЛЬСКИЙ ГОСУДАРСТВЕННЫЙ ЮРИДИЧЕСКИЙ УНИВЕРСИТЕТ", УРАЛЬСКИЙ ГОСУДАРСТВЕННЫЙ ЮРИДИЧЕСКИЙ УНИВЕРСИТЕТ, ФГБОУ ВО "УРГЮУ"</v>
      </c>
      <c r="B3500" s="24" t="s">
        <v>5059</v>
      </c>
      <c r="C3500" s="25">
        <v>194765.2</v>
      </c>
      <c r="D3500" s="22" t="s">
        <v>5062</v>
      </c>
      <c r="E3500" s="22" t="s">
        <v>5061</v>
      </c>
      <c r="F3500" s="23" t="str">
        <f>HYPERLINK("https://www.spark-marketing.ru/Card/Lot/72572480", "Выполнение работ по установке единой функционирующей системы адресной охранной сигнализации в учебном корпусе №2 по ул. Колмогорова, 54 (1 этап) в соответствии с прикрепленным извещением.")</f>
        <v>Выполнение работ по установке единой функционирующей системы адресной охранной сигнализации в учебном корпусе №2 по ул. Колмогорова, 54 (1 этап) в соответствии с прикрепленным извещением.</v>
      </c>
      <c r="G3500" s="22" t="s">
        <v>72</v>
      </c>
      <c r="H3500" s="22" t="s">
        <v>949</v>
      </c>
      <c r="I3500" s="26">
        <v>43679</v>
      </c>
      <c r="J3500" s="28" t="s">
        <v>52</v>
      </c>
      <c r="K3500" s="28" t="s">
        <v>52</v>
      </c>
      <c r="L3500" s="22" t="s">
        <v>10</v>
      </c>
      <c r="M3500" s="25">
        <v>194765.2</v>
      </c>
      <c r="N3500" s="27">
        <v>0</v>
      </c>
    </row>
    <row r="3501" spans="1:14" x14ac:dyDescent="0.15">
      <c r="A3501" s="23" t="str">
        <f>HYPERLINK("https://www.spark-marketing.ru/Card/Person/6450322", "ЗАКАЗЧИК РП БЕЛАРУСЬ")</f>
        <v>ЗАКАЗЧИК РП БЕЛАРУСЬ</v>
      </c>
      <c r="B3501" s="28" t="s">
        <v>52</v>
      </c>
      <c r="C3501" s="25">
        <v>280987.2</v>
      </c>
      <c r="D3501" s="22" t="s">
        <v>5063</v>
      </c>
      <c r="E3501" s="22" t="s">
        <v>53</v>
      </c>
      <c r="F3501" s="23" t="str">
        <f>HYPERLINK("https://www.spark-marketing.ru/Card/Lot/72565448", "Устройство доступа для наружной установки антивандальное")</f>
        <v>Устройство доступа для наружной установки антивандальное</v>
      </c>
      <c r="G3501" s="22" t="s">
        <v>52</v>
      </c>
      <c r="H3501" s="22" t="s">
        <v>52</v>
      </c>
      <c r="I3501" s="26">
        <v>43679</v>
      </c>
      <c r="J3501" s="28" t="s">
        <v>52</v>
      </c>
      <c r="K3501" s="28" t="s">
        <v>52</v>
      </c>
      <c r="L3501" s="28" t="s">
        <v>52</v>
      </c>
      <c r="M3501" s="28" t="s">
        <v>52</v>
      </c>
      <c r="N3501" s="28" t="s">
        <v>52</v>
      </c>
    </row>
    <row r="3502" spans="1:14" x14ac:dyDescent="0.15">
      <c r="A3502" s="23" t="str">
        <f>HYPERLINK("https://www.spark-marketing.ru/Card/Person/7441", "ГБУ ""АВТОМОБИЛЬНЫЕ ДОРОГИ""")</f>
        <v>ГБУ "АВТОМОБИЛЬНЫЕ ДОРОГИ"</v>
      </c>
      <c r="B3502" s="24" t="s">
        <v>5064</v>
      </c>
      <c r="C3502" s="25">
        <v>628057.9</v>
      </c>
      <c r="D3502" s="22" t="s">
        <v>5065</v>
      </c>
      <c r="E3502" s="22" t="s">
        <v>175</v>
      </c>
      <c r="F3502" s="23" t="str">
        <f>HYPERLINK("https://www.spark-marketing.ru/Card/Lot/72578305", "Оказание услуг по комплексному эксплуатационно-техническому обслуживанию системы телевизионного видеонаблюдения среди субъектов малого с среднего предпринимательства")</f>
        <v>Оказание услуг по комплексному эксплуатационно-техническому обслуживанию системы телевизионного видеонаблюдения среди субъектов малого с среднего предпринимательства</v>
      </c>
      <c r="G3502" s="22" t="s">
        <v>55</v>
      </c>
      <c r="H3502" s="22" t="s">
        <v>55</v>
      </c>
      <c r="I3502" s="26">
        <v>43679</v>
      </c>
      <c r="J3502" s="28" t="s">
        <v>52</v>
      </c>
      <c r="K3502" s="28" t="s">
        <v>52</v>
      </c>
      <c r="L3502" s="28" t="s">
        <v>52</v>
      </c>
      <c r="M3502" s="28" t="s">
        <v>52</v>
      </c>
      <c r="N3502" s="28" t="s">
        <v>52</v>
      </c>
    </row>
    <row r="3503" spans="1:14" x14ac:dyDescent="0.15">
      <c r="A3503" s="23" t="str">
        <f>HYPERLINK("https://www.spark-marketing.ru/Card/Person/6450322", "ЗАКАЗЧИК РП БЕЛАРУСЬ")</f>
        <v>ЗАКАЗЧИК РП БЕЛАРУСЬ</v>
      </c>
      <c r="B3503" s="28" t="s">
        <v>52</v>
      </c>
      <c r="C3503" s="25">
        <v>0</v>
      </c>
      <c r="D3503" s="22" t="s">
        <v>5066</v>
      </c>
      <c r="E3503" s="22" t="s">
        <v>53</v>
      </c>
      <c r="F3503" s="23" t="str">
        <f>HYPERLINK("https://www.spark-marketing.ru/Card/Lot/72579373", "ОСУЩЕСТВЛЕНИЕ ФУНКЦИЙ ЗАКАЗЧИКА ПО КОМПЛЕКСНОМУ УПРАВЛЕНИЮ СТРОИТЕЛЬСТВОМ ОБЪЕКТА: «Модернизация административного здания отделения по охране объектов в городе Чечерск Жлобинского отдела Департамента охраны МВД Республики Беларусь, инвентарный номер ...")</f>
        <v>ОСУЩЕСТВЛЕНИЕ ФУНКЦИЙ ЗАКАЗЧИКА ПО КОМПЛЕКСНОМУ УПРАВЛЕНИЮ СТРОИТЕЛЬСТВОМ ОБЪЕКТА: «Модернизация административного здания отделения по охране объектов в городе Чечерск Жлобинского отдела Департамента охраны МВД Республики Беларусь, инвентарный номер ...</v>
      </c>
      <c r="G3503" s="22" t="s">
        <v>52</v>
      </c>
      <c r="H3503" s="22" t="s">
        <v>52</v>
      </c>
      <c r="I3503" s="26">
        <v>43679</v>
      </c>
      <c r="J3503" s="28" t="s">
        <v>52</v>
      </c>
      <c r="K3503" s="28" t="s">
        <v>52</v>
      </c>
      <c r="L3503" s="28" t="s">
        <v>52</v>
      </c>
      <c r="M3503" s="28" t="s">
        <v>52</v>
      </c>
      <c r="N3503" s="28" t="s">
        <v>52</v>
      </c>
    </row>
    <row r="3504" spans="1:14" ht="12.75" x14ac:dyDescent="0.2">
      <c r="A3504" s="23" t="str">
        <f>HYPERLINK("https://www.spark-marketing.ru/Card/Person/93913", "БУЗ ОРЛОВСКОЙ ОБЛАСТИ ""МАЛОАРХАНГЕЛЬСКАЯ ЦРБ""")</f>
        <v>БУЗ ОРЛОВСКОЙ ОБЛАСТИ "МАЛОАРХАНГЕЛЬСКАЯ ЦРБ"</v>
      </c>
      <c r="B3504" s="24" t="s">
        <v>5067</v>
      </c>
      <c r="C3504" s="25">
        <v>273288.88</v>
      </c>
      <c r="D3504" s="22" t="s">
        <v>5068</v>
      </c>
      <c r="E3504" s="22" t="s">
        <v>68</v>
      </c>
      <c r="F3504" s="23" t="str">
        <f>HYPERLINK("https://www.spark-marketing.ru/Card/Lot/72566519", "Услуги по охране объектов БУЗ Орловской области «Малоархангельская ЦРБ»")</f>
        <v>Услуги по охране объектов БУЗ Орловской области «Малоархангельская ЦРБ»</v>
      </c>
      <c r="G3504" s="22" t="s">
        <v>492</v>
      </c>
      <c r="H3504" s="22" t="s">
        <v>5069</v>
      </c>
      <c r="I3504" s="26">
        <v>43678.912696759297</v>
      </c>
      <c r="J3504" s="23" t="str">
        <f>HYPERLINK("https://www.spark-marketing.ru/Card/Person/124655", "ООО ЧОП ""АСТ-ФЛАГМАН""")</f>
        <v>ООО ЧОП "АСТ-ФЛАГМАН"</v>
      </c>
      <c r="K3504" s="24" t="s">
        <v>4327</v>
      </c>
      <c r="L3504" s="22" t="s">
        <v>10</v>
      </c>
      <c r="M3504" s="25">
        <v>273288</v>
      </c>
      <c r="N3504" s="27">
        <v>3.220035882908957E-6</v>
      </c>
    </row>
    <row r="3505" spans="1:14" x14ac:dyDescent="0.15">
      <c r="A3505" s="23" t="str">
        <f>HYPERLINK("https://www.spark-marketing.ru/Card/Person/1013719", "СЕВЕРНЫЙ ЭНЕРГЕТИЧЕСКИЙ ТАМОЖЕННЫЙ ПОСТ (СО СТАТУСОМ ЮРИДИЧЕСКОГО ЛИЦА)")</f>
        <v>СЕВЕРНЫЙ ЭНЕРГЕТИЧЕСКИЙ ТАМОЖЕННЫЙ ПОСТ (СО СТАТУСОМ ЮРИДИЧЕСКОГО ЛИЦА)</v>
      </c>
      <c r="B3505" s="24" t="s">
        <v>4800</v>
      </c>
      <c r="C3505" s="25">
        <v>90948</v>
      </c>
      <c r="D3505" s="22" t="s">
        <v>5070</v>
      </c>
      <c r="E3505" s="22" t="s">
        <v>68</v>
      </c>
      <c r="F3505" s="23" t="str">
        <f>HYPERLINK("https://www.spark-marketing.ru/Card/Lot/72554902", "Услуги, связанные с обеспечением общественного порядка и безопасности прочие, 1 усл. ед")</f>
        <v>Услуги, связанные с обеспечением общественного порядка и безопасности прочие, 1 усл. ед</v>
      </c>
      <c r="G3505" s="22" t="s">
        <v>190</v>
      </c>
      <c r="H3505" s="22" t="s">
        <v>191</v>
      </c>
      <c r="I3505" s="26">
        <v>43678.717303240701</v>
      </c>
      <c r="J3505" s="28" t="s">
        <v>52</v>
      </c>
      <c r="K3505" s="28" t="s">
        <v>52</v>
      </c>
      <c r="L3505" s="28" t="s">
        <v>52</v>
      </c>
      <c r="M3505" s="28" t="s">
        <v>52</v>
      </c>
      <c r="N3505" s="28" t="s">
        <v>52</v>
      </c>
    </row>
    <row r="3506" spans="1:14" x14ac:dyDescent="0.15">
      <c r="A3506" s="23" t="str">
        <f>HYPERLINK("https://www.spark-marketing.ru/Card/Person/104626", "ФЛ ФГБУ ""Российский сельскохозяйственный центр""")</f>
        <v>ФЛ ФГБУ "Российский сельскохозяйственный центр"</v>
      </c>
      <c r="B3506" s="24" t="s">
        <v>5071</v>
      </c>
      <c r="C3506" s="25">
        <v>79723.33</v>
      </c>
      <c r="D3506" s="22" t="s">
        <v>5072</v>
      </c>
      <c r="E3506" s="22" t="s">
        <v>59</v>
      </c>
      <c r="F3506" s="23" t="str">
        <f>HYPERLINK("https://www.spark-marketing.ru/Card/Lot/72569248", "монтаж и пусконаладочные работы системы видеонаблюдения")</f>
        <v>монтаж и пусконаладочные работы системы видеонаблюдения</v>
      </c>
      <c r="G3506" s="22" t="s">
        <v>565</v>
      </c>
      <c r="H3506" s="22" t="s">
        <v>566</v>
      </c>
      <c r="I3506" s="26">
        <v>43678.686574074098</v>
      </c>
      <c r="J3506" s="28" t="s">
        <v>52</v>
      </c>
      <c r="K3506" s="28" t="s">
        <v>52</v>
      </c>
      <c r="L3506" s="28" t="s">
        <v>52</v>
      </c>
      <c r="M3506" s="28" t="s">
        <v>52</v>
      </c>
      <c r="N3506" s="28" t="s">
        <v>52</v>
      </c>
    </row>
    <row r="3507" spans="1:14" hidden="1" outlineLevel="1" x14ac:dyDescent="0.2">
      <c r="A3507" s="23" t="str">
        <f>HYPERLINK("https://www.spark-marketing.ru/Card/Person/104626", "ФЛ ФГБУ ""Российский сельскохозяйственный центр""")</f>
        <v>ФЛ ФГБУ "Российский сельскохозяйственный центр"</v>
      </c>
      <c r="B3507" s="24" t="s">
        <v>5071</v>
      </c>
      <c r="C3507" s="25">
        <v>79723.33</v>
      </c>
      <c r="D3507" s="22" t="s">
        <v>5072</v>
      </c>
      <c r="E3507" s="22" t="s">
        <v>59</v>
      </c>
      <c r="F3507" s="23" t="str">
        <f>HYPERLINK("https://www.spark-marketing.ru/Card/Lot/72569248", "монтаж и пусконаладочные работы системы видеонаблюдения")</f>
        <v>монтаж и пусконаладочные работы системы видеонаблюдения</v>
      </c>
      <c r="G3507" s="22" t="s">
        <v>565</v>
      </c>
      <c r="H3507" s="22" t="s">
        <v>566</v>
      </c>
      <c r="I3507" s="26">
        <v>43678.686574074098</v>
      </c>
      <c r="J3507" s="23" t="str">
        <f>HYPERLINK("https://www.spark-marketing.ru/Card/Person/491572", "ООО ""ПРЕСТИЖ-СЕРВИС""")</f>
        <v>ООО "ПРЕСТИЖ-СЕРВИС"</v>
      </c>
      <c r="K3507" s="24" t="s">
        <v>5073</v>
      </c>
      <c r="L3507" s="28" t="s">
        <v>52</v>
      </c>
      <c r="M3507" s="25">
        <v>55683.33</v>
      </c>
      <c r="N3507" s="27">
        <v>0.30154284824780903</v>
      </c>
    </row>
    <row r="3508" spans="1:14" ht="12.75" hidden="1" outlineLevel="1" x14ac:dyDescent="0.2">
      <c r="A3508" s="23" t="str">
        <f>HYPERLINK("https://www.spark-marketing.ru/Card/Person/104626", "ФЛ ФГБУ ""Российский сельскохозяйственный центр""")</f>
        <v>ФЛ ФГБУ "Российский сельскохозяйственный центр"</v>
      </c>
      <c r="B3508" s="24" t="s">
        <v>5071</v>
      </c>
      <c r="C3508" s="25">
        <v>79723.33</v>
      </c>
      <c r="D3508" s="22" t="s">
        <v>5072</v>
      </c>
      <c r="E3508" s="22" t="s">
        <v>59</v>
      </c>
      <c r="F3508" s="23" t="str">
        <f>HYPERLINK("https://www.spark-marketing.ru/Card/Lot/72569248", "монтаж и пусконаладочные работы системы видеонаблюдения")</f>
        <v>монтаж и пусконаладочные работы системы видеонаблюдения</v>
      </c>
      <c r="G3508" s="22" t="s">
        <v>565</v>
      </c>
      <c r="H3508" s="22" t="s">
        <v>566</v>
      </c>
      <c r="I3508" s="26">
        <v>43678.686574074098</v>
      </c>
      <c r="J3508" s="23" t="str">
        <f>HYPERLINK("https://www.spark-marketing.ru/Card/Person/495315", "ООО ""КОНТРОЛЬ ПЛЮС""")</f>
        <v>ООО "КОНТРОЛЬ ПЛЮС"</v>
      </c>
      <c r="K3508" s="24" t="s">
        <v>5074</v>
      </c>
      <c r="L3508" s="22" t="s">
        <v>10</v>
      </c>
      <c r="M3508" s="25">
        <v>55284.71</v>
      </c>
      <c r="N3508" s="27">
        <v>0.30654289026813103</v>
      </c>
    </row>
    <row r="3509" spans="1:14" x14ac:dyDescent="0.15">
      <c r="A3509" s="23" t="str">
        <f>HYPERLINK("https://www.spark-marketing.ru/Card/Person/35198", "ФКУ ""ДЕЗ СКИТР""")</f>
        <v>ФКУ "ДЕЗ СКИТР"</v>
      </c>
      <c r="B3509" s="24" t="s">
        <v>2310</v>
      </c>
      <c r="C3509" s="25">
        <v>99999</v>
      </c>
      <c r="D3509" s="22" t="s">
        <v>5075</v>
      </c>
      <c r="E3509" s="22" t="s">
        <v>53</v>
      </c>
      <c r="F3509" s="23" t="str">
        <f>HYPERLINK("https://www.spark-marketing.ru/Card/Lot/72554636", "оказание охранных услуг")</f>
        <v>оказание охранных услуг</v>
      </c>
      <c r="G3509" s="22" t="s">
        <v>55</v>
      </c>
      <c r="H3509" s="22" t="s">
        <v>55</v>
      </c>
      <c r="I3509" s="26">
        <v>43678.692060185203</v>
      </c>
      <c r="J3509" s="28" t="s">
        <v>52</v>
      </c>
      <c r="K3509" s="28" t="s">
        <v>52</v>
      </c>
      <c r="L3509" s="28" t="s">
        <v>52</v>
      </c>
      <c r="M3509" s="28" t="s">
        <v>52</v>
      </c>
      <c r="N3509" s="28" t="s">
        <v>52</v>
      </c>
    </row>
    <row r="3510" spans="1:14" x14ac:dyDescent="0.15">
      <c r="A3510" s="23" t="str">
        <f>HYPERLINK("https://www.spark-marketing.ru/Card/Person/165020", "ООО ""АЭРОЭКСПРЕСС""")</f>
        <v>ООО "АЭРОЭКСПРЕСС"</v>
      </c>
      <c r="B3510" s="24" t="s">
        <v>4417</v>
      </c>
      <c r="C3510" s="25">
        <v>0</v>
      </c>
      <c r="D3510" s="22" t="s">
        <v>5076</v>
      </c>
      <c r="E3510" s="22" t="s">
        <v>208</v>
      </c>
      <c r="F3510" s="23" t="str">
        <f>HYPERLINK("https://www.spark-marketing.ru/Card/Lot/72559392", "Услуги по проведению работ по обслуживанию Системы контроля и управления доступом и Системы охранной-тревожной сигнализации в железнодорожном ДЕПО ООО «Аэроэкспресс» по адресу г. Москва, ул. Нижняя, д.17 для нужд ООО ""Аэроэкспресс"".")</f>
        <v>Услуги по проведению работ по обслуживанию Системы контроля и управления доступом и Системы охранной-тревожной сигнализации в железнодорожном ДЕПО ООО «Аэроэкспресс» по адресу г. Москва, ул. Нижняя, д.17 для нужд ООО "Аэроэкспресс".</v>
      </c>
      <c r="G3510" s="22" t="s">
        <v>55</v>
      </c>
      <c r="H3510" s="22" t="s">
        <v>55</v>
      </c>
      <c r="I3510" s="26">
        <v>43678.645370370403</v>
      </c>
      <c r="J3510" s="28" t="s">
        <v>52</v>
      </c>
      <c r="K3510" s="28" t="s">
        <v>52</v>
      </c>
      <c r="L3510" s="28" t="s">
        <v>52</v>
      </c>
      <c r="M3510" s="28" t="s">
        <v>52</v>
      </c>
      <c r="N3510" s="28" t="s">
        <v>52</v>
      </c>
    </row>
    <row r="3511" spans="1:14" x14ac:dyDescent="0.15">
      <c r="A3511" s="23" t="str">
        <f>HYPERLINK("https://www.spark-marketing.ru/Card/Person/31357", "ФКУ ИК-6 УФСИН РОССИИ ПО РЕСПУБЛИКЕ МАРИЙ ЭЛ")</f>
        <v>ФКУ ИК-6 УФСИН РОССИИ ПО РЕСПУБЛИКЕ МАРИЙ ЭЛ</v>
      </c>
      <c r="B3511" s="24" t="s">
        <v>5077</v>
      </c>
      <c r="C3511" s="25">
        <v>22975</v>
      </c>
      <c r="D3511" s="22" t="s">
        <v>5078</v>
      </c>
      <c r="E3511" s="22" t="s">
        <v>5079</v>
      </c>
      <c r="F3511" s="23" t="str">
        <f>HYPERLINK("https://www.spark-marketing.ru/Card/Lot/72552646", "Поставка комплектующих для проведения ТО ТСОН")</f>
        <v>Поставка комплектующих для проведения ТО ТСОН</v>
      </c>
      <c r="G3511" s="22" t="s">
        <v>2514</v>
      </c>
      <c r="H3511" s="22" t="s">
        <v>4189</v>
      </c>
      <c r="I3511" s="26">
        <v>43678.633611111101</v>
      </c>
      <c r="J3511" s="28" t="s">
        <v>52</v>
      </c>
      <c r="K3511" s="28" t="s">
        <v>52</v>
      </c>
      <c r="L3511" s="28" t="s">
        <v>52</v>
      </c>
      <c r="M3511" s="28" t="s">
        <v>52</v>
      </c>
      <c r="N3511" s="28" t="s">
        <v>52</v>
      </c>
    </row>
    <row r="3512" spans="1:14" x14ac:dyDescent="0.15">
      <c r="A3512" s="23" t="str">
        <f>HYPERLINK("https://www.spark-marketing.ru/Card/Person/735251", "УПРАВЛЕНИЕ МИНИСТЕРСТВА ЮСТИЦИИ РОССИЙСКОЙ ФЕДЕРАЦИИ ПО РЕСПУБЛИКЕ ДАГЕСТАН")</f>
        <v>УПРАВЛЕНИЕ МИНИСТЕРСТВА ЮСТИЦИИ РОССИЙСКОЙ ФЕДЕРАЦИИ ПО РЕСПУБЛИКЕ ДАГЕСТАН</v>
      </c>
      <c r="B3512" s="24" t="s">
        <v>5080</v>
      </c>
      <c r="C3512" s="25">
        <v>1332357.1200000001</v>
      </c>
      <c r="D3512" s="22" t="s">
        <v>5081</v>
      </c>
      <c r="E3512" s="22" t="s">
        <v>68</v>
      </c>
      <c r="F3512" s="23" t="str">
        <f>HYPERLINK("https://www.spark-marketing.ru/Card/Lot/72556842", "Услуги охраны")</f>
        <v>Услуги охраны</v>
      </c>
      <c r="G3512" s="22" t="s">
        <v>595</v>
      </c>
      <c r="H3512" s="22" t="s">
        <v>3766</v>
      </c>
      <c r="I3512" s="26">
        <v>43678.596608796302</v>
      </c>
      <c r="J3512" s="23" t="str">
        <f>HYPERLINK("https://www.spark-marketing.ru/Card/Person/13066", "ФИЛИАЛ ФГУП ""ОХРАНА"" РОСГВАРДИИ")</f>
        <v>ФИЛИАЛ ФГУП "ОХРАНА" РОСГВАРДИИ</v>
      </c>
      <c r="K3512" s="24" t="s">
        <v>779</v>
      </c>
      <c r="L3512" s="28" t="s">
        <v>52</v>
      </c>
      <c r="M3512" s="28" t="s">
        <v>52</v>
      </c>
      <c r="N3512" s="28" t="s">
        <v>52</v>
      </c>
    </row>
    <row r="3513" spans="1:14" ht="12.75" hidden="1" outlineLevel="1" x14ac:dyDescent="0.2">
      <c r="A3513" s="23" t="str">
        <f>HYPERLINK("https://www.spark-marketing.ru/Card/Person/735251", "УПРАВЛЕНИЕ МИНИСТЕРСТВА ЮСТИЦИИ РОССИЙСКОЙ ФЕДЕРАЦИИ ПО РЕСПУБЛИКЕ ДАГЕСТАН")</f>
        <v>УПРАВЛЕНИЕ МИНИСТЕРСТВА ЮСТИЦИИ РОССИЙСКОЙ ФЕДЕРАЦИИ ПО РЕСПУБЛИКЕ ДАГЕСТАН</v>
      </c>
      <c r="B3513" s="24" t="s">
        <v>5080</v>
      </c>
      <c r="C3513" s="25">
        <v>1332357.1200000001</v>
      </c>
      <c r="D3513" s="22" t="s">
        <v>5081</v>
      </c>
      <c r="E3513" s="22" t="s">
        <v>68</v>
      </c>
      <c r="F3513" s="23" t="str">
        <f>HYPERLINK("https://www.spark-marketing.ru/Card/Lot/72556842", "Услуги охраны")</f>
        <v>Услуги охраны</v>
      </c>
      <c r="G3513" s="22" t="s">
        <v>595</v>
      </c>
      <c r="H3513" s="22" t="s">
        <v>3766</v>
      </c>
      <c r="I3513" s="26">
        <v>43678.596608796302</v>
      </c>
      <c r="J3513" s="23" t="str">
        <f>HYPERLINK("https://www.spark-marketing.ru/Card/Person/13066", "ФИЛИАЛ ФГУП ""ОХРАНА"" РОСГВАРДИИ")</f>
        <v>ФИЛИАЛ ФГУП "ОХРАНА" РОСГВАРДИИ</v>
      </c>
      <c r="K3513" s="24" t="s">
        <v>779</v>
      </c>
      <c r="L3513" s="22" t="s">
        <v>10</v>
      </c>
      <c r="M3513" s="25">
        <v>1325695.33</v>
      </c>
      <c r="N3513" s="27">
        <v>5.0000033024178983E-3</v>
      </c>
    </row>
    <row r="3514" spans="1:14" ht="12.75" x14ac:dyDescent="0.2">
      <c r="A3514" s="23" t="str">
        <f>HYPERLINK("https://www.spark-marketing.ru/Card/Person/19041", "ГБУЗ СО ""ЧЦГБ""")</f>
        <v>ГБУЗ СО "ЧЦГБ"</v>
      </c>
      <c r="B3514" s="24" t="s">
        <v>5082</v>
      </c>
      <c r="C3514" s="25">
        <v>79500</v>
      </c>
      <c r="D3514" s="22" t="s">
        <v>5083</v>
      </c>
      <c r="E3514" s="22" t="s">
        <v>103</v>
      </c>
      <c r="F3514" s="23" t="str">
        <f>HYPERLINK("https://www.spark-marketing.ru/Card/Lot/72547808", "Оказание услуг по установке и обслуживанию камер наружного видеонаблюдения для нужд Государственного бюджетного учреждения здравоохранения Самарской области ""Чапаевская центральная городская больница"".")</f>
        <v>Оказание услуг по установке и обслуживанию камер наружного видеонаблюдения для нужд Государственного бюджетного учреждения здравоохранения Самарской области "Чапаевская центральная городская больница".</v>
      </c>
      <c r="G3514" s="22" t="s">
        <v>760</v>
      </c>
      <c r="H3514" s="22" t="s">
        <v>5084</v>
      </c>
      <c r="I3514" s="26">
        <v>43678.392731481501</v>
      </c>
      <c r="J3514" s="23" t="str">
        <f>HYPERLINK("https://www.spark-marketing.ru/Card/Person/376325", "ООО ""ВАША БЕЗОПАСНОСТЬ""")</f>
        <v>ООО "ВАША БЕЗОПАСНОСТЬ"</v>
      </c>
      <c r="K3514" s="24" t="s">
        <v>4923</v>
      </c>
      <c r="L3514" s="22" t="s">
        <v>10</v>
      </c>
      <c r="M3514" s="25">
        <v>76500</v>
      </c>
      <c r="N3514" s="27">
        <v>3.7735849056603772E-2</v>
      </c>
    </row>
    <row r="3515" spans="1:14" x14ac:dyDescent="0.15">
      <c r="A3515" s="23" t="str">
        <f>HYPERLINK("https://www.spark-marketing.ru/Card/Person/244816", "МБУ ""ДК ""СОДРУЖЕСТВО""""")</f>
        <v>МБУ "ДК "СОДРУЖЕСТВО""</v>
      </c>
      <c r="B3515" s="24" t="s">
        <v>5085</v>
      </c>
      <c r="C3515" s="25">
        <v>60000</v>
      </c>
      <c r="D3515" s="22" t="s">
        <v>5086</v>
      </c>
      <c r="E3515" s="22" t="s">
        <v>59</v>
      </c>
      <c r="F3515" s="23" t="str">
        <f>HYPERLINK("https://www.spark-marketing.ru/Card/Lot/72546036", "Замена тревожной кнопки")</f>
        <v>Замена тревожной кнопки</v>
      </c>
      <c r="G3515" s="22" t="s">
        <v>50</v>
      </c>
      <c r="H3515" s="22" t="s">
        <v>504</v>
      </c>
      <c r="I3515" s="26">
        <v>43678.534236111103</v>
      </c>
      <c r="J3515" s="28" t="s">
        <v>52</v>
      </c>
      <c r="K3515" s="28" t="s">
        <v>52</v>
      </c>
      <c r="L3515" s="28" t="s">
        <v>52</v>
      </c>
      <c r="M3515" s="28" t="s">
        <v>52</v>
      </c>
      <c r="N3515" s="28" t="s">
        <v>52</v>
      </c>
    </row>
    <row r="3516" spans="1:14" x14ac:dyDescent="0.15">
      <c r="A3516" s="23" t="str">
        <f>HYPERLINK("https://www.spark-marketing.ru/Card/Person/52908", "ПРОКУРАТУРА ТОМСКОЙ ОБЛАСТИ")</f>
        <v>ПРОКУРАТУРА ТОМСКОЙ ОБЛАСТИ</v>
      </c>
      <c r="B3516" s="24" t="s">
        <v>5087</v>
      </c>
      <c r="C3516" s="25">
        <v>31355.17</v>
      </c>
      <c r="D3516" s="22" t="s">
        <v>5088</v>
      </c>
      <c r="E3516" s="22" t="s">
        <v>53</v>
      </c>
      <c r="F3516" s="23" t="str">
        <f>HYPERLINK("https://www.spark-marketing.ru/Card/Lot/72543068", "Техническое обслуживание комплекса технических средств охраны")</f>
        <v>Техническое обслуживание комплекса технических средств охраны</v>
      </c>
      <c r="G3516" s="22" t="s">
        <v>150</v>
      </c>
      <c r="H3516" s="22" t="s">
        <v>1656</v>
      </c>
      <c r="I3516" s="26">
        <v>43678.483541666697</v>
      </c>
      <c r="J3516" s="28" t="s">
        <v>52</v>
      </c>
      <c r="K3516" s="28" t="s">
        <v>52</v>
      </c>
      <c r="L3516" s="28" t="s">
        <v>52</v>
      </c>
      <c r="M3516" s="28" t="s">
        <v>52</v>
      </c>
      <c r="N3516" s="28" t="s">
        <v>52</v>
      </c>
    </row>
    <row r="3517" spans="1:14" x14ac:dyDescent="0.15">
      <c r="A3517" s="23" t="str">
        <f>HYPERLINK("https://www.spark-marketing.ru/Card/Person/122417", "УПРАВЛЕНИЕ МИНЮСТА РОССИИ ПО ТАМБОВСКОЙ ОБЛАСТИ")</f>
        <v>УПРАВЛЕНИЕ МИНЮСТА РОССИИ ПО ТАМБОВСКОЙ ОБЛАСТИ</v>
      </c>
      <c r="B3517" s="24" t="s">
        <v>3970</v>
      </c>
      <c r="C3517" s="25">
        <v>11703.3</v>
      </c>
      <c r="D3517" s="22" t="s">
        <v>5089</v>
      </c>
      <c r="E3517" s="22" t="s">
        <v>68</v>
      </c>
      <c r="F3517" s="23" t="str">
        <f>HYPERLINK("https://www.spark-marketing.ru/Card/Lot/72542283", "охрана, путем реагирования группы задержания на срабатывание кнопки тревожной сигнализации, 1 усл. ед")</f>
        <v>охрана, путем реагирования группы задержания на срабатывание кнопки тревожной сигнализации, 1 усл. ед</v>
      </c>
      <c r="G3517" s="22" t="s">
        <v>1319</v>
      </c>
      <c r="H3517" s="22" t="s">
        <v>1320</v>
      </c>
      <c r="I3517" s="26">
        <v>43678.487384259301</v>
      </c>
      <c r="J3517" s="28" t="s">
        <v>52</v>
      </c>
      <c r="K3517" s="28" t="s">
        <v>52</v>
      </c>
      <c r="L3517" s="28" t="s">
        <v>52</v>
      </c>
      <c r="M3517" s="28" t="s">
        <v>52</v>
      </c>
      <c r="N3517" s="28" t="s">
        <v>52</v>
      </c>
    </row>
    <row r="3518" spans="1:14" x14ac:dyDescent="0.15">
      <c r="A3518" s="23" t="str">
        <f>HYPERLINK("https://www.spark-marketing.ru/Card/Person/4343797", "ФКУ ""ЦХИСО ГУ МВД РОССИИ ПО МОСКОВСКОЙ ОБЛАСТИ""")</f>
        <v>ФКУ "ЦХИСО ГУ МВД РОССИИ ПО МОСКОВСКОЙ ОБЛАСТИ"</v>
      </c>
      <c r="B3518" s="24" t="s">
        <v>5090</v>
      </c>
      <c r="C3518" s="25">
        <v>47520</v>
      </c>
      <c r="D3518" s="22" t="s">
        <v>5091</v>
      </c>
      <c r="E3518" s="22" t="s">
        <v>107</v>
      </c>
      <c r="F3518" s="23" t="str">
        <f>HYPERLINK("https://www.spark-marketing.ru/Card/Lot/72541305", "Техническое обслуживание сигнализации газовой безопасности и газоиспользующего оборудования на 2021г, 1 усл. ед")</f>
        <v>Техническое обслуживание сигнализации газовой безопасности и газоиспользующего оборудования на 2021г, 1 усл. ед</v>
      </c>
      <c r="G3518" s="22" t="s">
        <v>50</v>
      </c>
      <c r="H3518" s="22" t="s">
        <v>2088</v>
      </c>
      <c r="I3518" s="26">
        <v>43678.467546296299</v>
      </c>
      <c r="J3518" s="28" t="s">
        <v>52</v>
      </c>
      <c r="K3518" s="28" t="s">
        <v>52</v>
      </c>
      <c r="L3518" s="28" t="s">
        <v>52</v>
      </c>
      <c r="M3518" s="28" t="s">
        <v>52</v>
      </c>
      <c r="N3518" s="28" t="s">
        <v>52</v>
      </c>
    </row>
    <row r="3519" spans="1:14" x14ac:dyDescent="0.15">
      <c r="A3519" s="23" t="str">
        <f>HYPERLINK("https://www.spark-marketing.ru/Card/Person/3480", "ГКУ НСО ТУАД")</f>
        <v>ГКУ НСО ТУАД</v>
      </c>
      <c r="B3519" s="24" t="s">
        <v>5092</v>
      </c>
      <c r="C3519" s="25">
        <v>26065722</v>
      </c>
      <c r="D3519" s="22" t="s">
        <v>5093</v>
      </c>
      <c r="E3519" s="22" t="s">
        <v>59</v>
      </c>
      <c r="F3519" s="23" t="str">
        <f>HYPERLINK("https://www.spark-marketing.ru/Card/Lot/72536983", "Выполнение работ по установке видеосистем, систем контроля линий электроосвещения и элементов интеллектуальных транспортных систем на автомобильных дорогах Новосибирской области")</f>
        <v>Выполнение работ по установке видеосистем, систем контроля линий электроосвещения и элементов интеллектуальных транспортных систем на автомобильных дорогах Новосибирской области</v>
      </c>
      <c r="G3519" s="22" t="s">
        <v>209</v>
      </c>
      <c r="H3519" s="22" t="s">
        <v>210</v>
      </c>
      <c r="I3519" s="26">
        <v>43678.446759259299</v>
      </c>
      <c r="J3519" s="23" t="str">
        <f>HYPERLINK("https://www.spark-marketing.ru/Card/Person/6682146", "ООО ""ТРАНСПОРТНЫЕ ТЕХНОЛОГИИ-НСК""")</f>
        <v>ООО "ТРАНСПОРТНЫЕ ТЕХНОЛОГИИ-НСК"</v>
      </c>
      <c r="K3519" s="24" t="s">
        <v>5094</v>
      </c>
      <c r="L3519" s="22" t="s">
        <v>10</v>
      </c>
      <c r="M3519" s="28" t="s">
        <v>52</v>
      </c>
      <c r="N3519" s="28" t="s">
        <v>52</v>
      </c>
    </row>
    <row r="3520" spans="1:14" x14ac:dyDescent="0.15">
      <c r="A3520" s="23" t="str">
        <f>HYPERLINK("https://www.spark-marketing.ru/Card/Person/3480", "ГКУ НСО ТУАД")</f>
        <v>ГКУ НСО ТУАД</v>
      </c>
      <c r="B3520" s="24" t="s">
        <v>5092</v>
      </c>
      <c r="C3520" s="25">
        <v>19512480</v>
      </c>
      <c r="D3520" s="22" t="s">
        <v>5095</v>
      </c>
      <c r="E3520" s="22" t="s">
        <v>59</v>
      </c>
      <c r="F3520" s="23" t="str">
        <f>HYPERLINK("https://www.spark-marketing.ru/Card/Lot/72536986", "Выполнение работ по установке видеосистем и пунктов автоматизированного учета интенсивности дорожного движения на автомобильных дорогах Новосибирской области")</f>
        <v>Выполнение работ по установке видеосистем и пунктов автоматизированного учета интенсивности дорожного движения на автомобильных дорогах Новосибирской области</v>
      </c>
      <c r="G3520" s="22" t="s">
        <v>209</v>
      </c>
      <c r="H3520" s="22" t="s">
        <v>210</v>
      </c>
      <c r="I3520" s="26">
        <v>43678.448194444398</v>
      </c>
      <c r="J3520" s="23" t="str">
        <f>HYPERLINK("https://www.spark-marketing.ru/Card/Person/6682146", "ООО ""ТРАНСПОРТНЫЕ ТЕХНОЛОГИИ-НСК""")</f>
        <v>ООО "ТРАНСПОРТНЫЕ ТЕХНОЛОГИИ-НСК"</v>
      </c>
      <c r="K3520" s="24" t="s">
        <v>5094</v>
      </c>
      <c r="L3520" s="22" t="s">
        <v>10</v>
      </c>
      <c r="M3520" s="28" t="s">
        <v>52</v>
      </c>
      <c r="N3520" s="28" t="s">
        <v>52</v>
      </c>
    </row>
    <row r="3521" spans="1:14" x14ac:dyDescent="0.15">
      <c r="A3521" s="23" t="str">
        <f>HYPERLINK("https://www.spark-marketing.ru/Card/Person/641589", "ОТДЕЛ МВД РОССИИ ПО АБЗЕЛИЛОВСКОМУ РАЙОНУ")</f>
        <v>ОТДЕЛ МВД РОССИИ ПО АБЗЕЛИЛОВСКОМУ РАЙОНУ</v>
      </c>
      <c r="B3521" s="24" t="s">
        <v>4859</v>
      </c>
      <c r="C3521" s="25">
        <v>40000</v>
      </c>
      <c r="D3521" s="22" t="s">
        <v>5096</v>
      </c>
      <c r="E3521" s="22" t="s">
        <v>107</v>
      </c>
      <c r="F3521" s="23" t="str">
        <f>HYPERLINK("https://www.spark-marketing.ru/Card/Lot/72539815", "Техническое обслуживание и ППР технических средств охраны, 1 шт")</f>
        <v>Техническое обслуживание и ППР технических средств охраны, 1 шт</v>
      </c>
      <c r="G3521" s="22" t="s">
        <v>100</v>
      </c>
      <c r="H3521" s="22" t="s">
        <v>4861</v>
      </c>
      <c r="I3521" s="26">
        <v>43678.433333333298</v>
      </c>
      <c r="J3521" s="28" t="s">
        <v>52</v>
      </c>
      <c r="K3521" s="28" t="s">
        <v>52</v>
      </c>
      <c r="L3521" s="28" t="s">
        <v>52</v>
      </c>
      <c r="M3521" s="28" t="s">
        <v>52</v>
      </c>
      <c r="N3521" s="28" t="s">
        <v>52</v>
      </c>
    </row>
    <row r="3522" spans="1:14" x14ac:dyDescent="0.15">
      <c r="A3522" s="23" t="str">
        <f>HYPERLINK("https://www.spark-marketing.ru/Card/Person/4378741", "МУСО ""СРЦ ДЛЯ НЕСОВЕРШЕННОЛЕТНИХ Г. МАГНИТОГОРСКА""")</f>
        <v>МУСО "СРЦ ДЛЯ НЕСОВЕРШЕННОЛЕТНИХ Г. МАГНИТОГОРСКА"</v>
      </c>
      <c r="B3522" s="24" t="s">
        <v>5097</v>
      </c>
      <c r="C3522" s="28" t="s">
        <v>52</v>
      </c>
      <c r="D3522" s="22" t="s">
        <v>5098</v>
      </c>
      <c r="E3522" s="22" t="s">
        <v>107</v>
      </c>
      <c r="F3522" s="23" t="str">
        <f>HYPERLINK("https://www.spark-marketing.ru/Card/Lot/72538338", "Оказание услуг по техническому обслуживанию приборов охранной сигнализации объекта Заказчика, согласно техническому заданию")</f>
        <v>Оказание услуг по техническому обслуживанию приборов охранной сигнализации объекта Заказчика, согласно техническому заданию</v>
      </c>
      <c r="G3522" s="22" t="s">
        <v>60</v>
      </c>
      <c r="H3522" s="22" t="s">
        <v>221</v>
      </c>
      <c r="I3522" s="26">
        <v>43678.393750000003</v>
      </c>
      <c r="J3522" s="28" t="s">
        <v>52</v>
      </c>
      <c r="K3522" s="28" t="s">
        <v>52</v>
      </c>
      <c r="L3522" s="28" t="s">
        <v>52</v>
      </c>
      <c r="M3522" s="28" t="s">
        <v>52</v>
      </c>
      <c r="N3522" s="28" t="s">
        <v>52</v>
      </c>
    </row>
    <row r="3523" spans="1:14" x14ac:dyDescent="0.15">
      <c r="A3523" s="23" t="str">
        <f>HYPERLINK("https://www.spark-marketing.ru/Card/Person/129867", "КГКОУ ШИ 14")</f>
        <v>КГКОУ ШИ 14</v>
      </c>
      <c r="B3523" s="24" t="s">
        <v>5099</v>
      </c>
      <c r="C3523" s="25">
        <v>2985</v>
      </c>
      <c r="D3523" s="22" t="s">
        <v>5100</v>
      </c>
      <c r="E3523" s="22" t="s">
        <v>103</v>
      </c>
      <c r="F3523" s="23" t="str">
        <f>HYPERLINK("https://www.spark-marketing.ru/Card/Lot/72537149", "Техническое обслуживание сигнализации, 1 усл. ед")</f>
        <v>Техническое обслуживание сигнализации, 1 усл. ед</v>
      </c>
      <c r="G3523" s="22" t="s">
        <v>138</v>
      </c>
      <c r="H3523" s="22" t="s">
        <v>1245</v>
      </c>
      <c r="I3523" s="26">
        <v>43678.366539351897</v>
      </c>
      <c r="J3523" s="28" t="s">
        <v>52</v>
      </c>
      <c r="K3523" s="28" t="s">
        <v>52</v>
      </c>
      <c r="L3523" s="28" t="s">
        <v>52</v>
      </c>
      <c r="M3523" s="28" t="s">
        <v>52</v>
      </c>
      <c r="N3523" s="28" t="s">
        <v>52</v>
      </c>
    </row>
    <row r="3524" spans="1:14" x14ac:dyDescent="0.15">
      <c r="A3524" s="23" t="str">
        <f>HYPERLINK("https://www.spark-marketing.ru/Card/Person/253474", "ООО ""ТОМСКНЕФТЬ-СЕРВИС""")</f>
        <v>ООО "ТОМСКНЕФТЬ-СЕРВИС"</v>
      </c>
      <c r="B3524" s="24" t="s">
        <v>5101</v>
      </c>
      <c r="C3524" s="28" t="s">
        <v>52</v>
      </c>
      <c r="D3524" s="22" t="s">
        <v>5102</v>
      </c>
      <c r="E3524" s="22" t="s">
        <v>49</v>
      </c>
      <c r="F3524" s="23" t="str">
        <f>HYPERLINK("https://www.spark-marketing.ru/Card/Lot/72534874", "Оказание услуг по техническому обслуживанию системы видеонаблюдения на объектах БПТОиКО-2 в 2020году")</f>
        <v>Оказание услуг по техническому обслуживанию системы видеонаблюдения на объектах БПТОиКО-2 в 2020году</v>
      </c>
      <c r="G3524" s="22" t="s">
        <v>150</v>
      </c>
      <c r="H3524" s="22" t="s">
        <v>4855</v>
      </c>
      <c r="I3524" s="26">
        <v>43678.225694444402</v>
      </c>
      <c r="J3524" s="28" t="s">
        <v>52</v>
      </c>
      <c r="K3524" s="28" t="s">
        <v>52</v>
      </c>
      <c r="L3524" s="28" t="s">
        <v>52</v>
      </c>
      <c r="M3524" s="28" t="s">
        <v>52</v>
      </c>
      <c r="N3524" s="28" t="s">
        <v>52</v>
      </c>
    </row>
    <row r="3525" spans="1:14" x14ac:dyDescent="0.15">
      <c r="A3525" s="23" t="str">
        <f>HYPERLINK("https://www.spark-marketing.ru/Card/Person/916089", "ГАОУ ДПО ЦПМ")</f>
        <v>ГАОУ ДПО ЦПМ</v>
      </c>
      <c r="B3525" s="24" t="s">
        <v>5103</v>
      </c>
      <c r="C3525" s="25">
        <v>1539631.67</v>
      </c>
      <c r="D3525" s="22" t="s">
        <v>5104</v>
      </c>
      <c r="E3525" s="22" t="s">
        <v>5105</v>
      </c>
      <c r="F3525" s="23" t="str">
        <f>HYPERLINK("https://www.spark-marketing.ru/Card/Lot/72558950", "Поставка информационно-технологических товаров для систем охраны, наблюдения, обеспечения безопасности (видеокамеры и комплектующие для установки систем видеонаблюдения) для нужд ГАОУ ДПО ЦПМ")</f>
        <v>Поставка информационно-технологических товаров для систем охраны, наблюдения, обеспечения безопасности (видеокамеры и комплектующие для установки систем видеонаблюдения) для нужд ГАОУ ДПО ЦПМ</v>
      </c>
      <c r="G3525" s="22" t="s">
        <v>55</v>
      </c>
      <c r="H3525" s="22" t="s">
        <v>55</v>
      </c>
      <c r="I3525" s="26">
        <v>43678</v>
      </c>
      <c r="J3525" s="28" t="s">
        <v>52</v>
      </c>
      <c r="K3525" s="28" t="s">
        <v>52</v>
      </c>
      <c r="L3525" s="28" t="s">
        <v>52</v>
      </c>
      <c r="M3525" s="28" t="s">
        <v>52</v>
      </c>
      <c r="N3525" s="28" t="s">
        <v>52</v>
      </c>
    </row>
    <row r="3526" spans="1:14" x14ac:dyDescent="0.15">
      <c r="A3526" s="23" t="str">
        <f>HYPERLINK("https://www.spark-marketing.ru/Card/Person/148487", "МБДОУ ""ДЕТСКИЙ САД ОБЩЕРАЗВИВАЮЩЕГО ВИДА №34"" НМР РТ")</f>
        <v>МБДОУ "ДЕТСКИЙ САД ОБЩЕРАЗВИВАЮЩЕГО ВИДА №34" НМР РТ</v>
      </c>
      <c r="B3526" s="24" t="s">
        <v>5106</v>
      </c>
      <c r="C3526" s="25">
        <v>5250</v>
      </c>
      <c r="D3526" s="22" t="s">
        <v>5107</v>
      </c>
      <c r="E3526" s="22" t="s">
        <v>53</v>
      </c>
      <c r="F3526" s="23" t="str">
        <f>HYPERLINK("https://www.spark-marketing.ru/Card/Lot/73776467", "Техническое обслуживание системы видеонаблюдения")</f>
        <v>Техническое обслуживание системы видеонаблюдения</v>
      </c>
      <c r="G3526" s="22" t="s">
        <v>204</v>
      </c>
      <c r="H3526" s="22" t="s">
        <v>824</v>
      </c>
      <c r="I3526" s="26">
        <v>43678.365277777797</v>
      </c>
      <c r="J3526" s="28" t="s">
        <v>52</v>
      </c>
      <c r="K3526" s="28" t="s">
        <v>52</v>
      </c>
      <c r="L3526" s="28" t="s">
        <v>52</v>
      </c>
      <c r="M3526" s="28" t="s">
        <v>52</v>
      </c>
      <c r="N3526" s="28" t="s">
        <v>52</v>
      </c>
    </row>
    <row r="3527" spans="1:14" x14ac:dyDescent="0.15">
      <c r="A3527" s="23" t="str">
        <f>HYPERLINK("https://www.spark-marketing.ru/Card/Person/62684", "ФГУП ""НТЦ ""АТЛАС""")</f>
        <v>ФГУП "НТЦ "АТЛАС"</v>
      </c>
      <c r="B3527" s="24" t="s">
        <v>5108</v>
      </c>
      <c r="C3527" s="25">
        <v>172033.34</v>
      </c>
      <c r="D3527" s="22" t="s">
        <v>5109</v>
      </c>
      <c r="E3527" s="22" t="s">
        <v>778</v>
      </c>
      <c r="F3527" s="23" t="str">
        <f>HYPERLINK("https://www.spark-marketing.ru/Card/Lot/72552058", "Поставка блок-контейнера поста охраны")</f>
        <v>Поставка блок-контейнера поста охраны</v>
      </c>
      <c r="G3527" s="22" t="s">
        <v>55</v>
      </c>
      <c r="H3527" s="22" t="s">
        <v>55</v>
      </c>
      <c r="I3527" s="26">
        <v>43678</v>
      </c>
      <c r="J3527" s="28" t="s">
        <v>52</v>
      </c>
      <c r="K3527" s="28" t="s">
        <v>52</v>
      </c>
      <c r="L3527" s="28" t="s">
        <v>52</v>
      </c>
      <c r="M3527" s="28" t="s">
        <v>52</v>
      </c>
      <c r="N3527" s="28" t="s">
        <v>52</v>
      </c>
    </row>
    <row r="3528" spans="1:14" x14ac:dyDescent="0.2">
      <c r="A3528" s="23" t="str">
        <f>HYPERLINK("https://www.spark-marketing.ru/Card/Person/815800", "МБУ ДО ""ДХШ ИМЕНИ А.К. ЛЕОНТЬЕВА"" Г. МОЖГИ")</f>
        <v>МБУ ДО "ДХШ ИМЕНИ А.К. ЛЕОНТЬЕВА" Г. МОЖГИ</v>
      </c>
      <c r="B3528" s="24" t="s">
        <v>5110</v>
      </c>
      <c r="C3528" s="25">
        <v>57575</v>
      </c>
      <c r="D3528" s="22" t="s">
        <v>5111</v>
      </c>
      <c r="E3528" s="22" t="s">
        <v>609</v>
      </c>
      <c r="F3528" s="23" t="str">
        <f>HYPERLINK("https://www.spark-marketing.ru/Card/Lot/72547614", "поставка и установка системы видеонаблюдения")</f>
        <v>поставка и установка системы видеонаблюдения</v>
      </c>
      <c r="G3528" s="22" t="s">
        <v>96</v>
      </c>
      <c r="H3528" s="22" t="s">
        <v>97</v>
      </c>
      <c r="I3528" s="26">
        <v>43678</v>
      </c>
      <c r="J3528" s="28" t="s">
        <v>52</v>
      </c>
      <c r="K3528" s="28" t="s">
        <v>52</v>
      </c>
      <c r="L3528" s="22" t="s">
        <v>10</v>
      </c>
      <c r="M3528" s="25">
        <v>52660</v>
      </c>
      <c r="N3528" s="27">
        <v>8.5366912722535826E-2</v>
      </c>
    </row>
    <row r="3529" spans="1:14" x14ac:dyDescent="0.15">
      <c r="A3529" s="23" t="str">
        <f>HYPERLINK("https://www.spark-marketing.ru/Card/Person/1058200", "ГАПОУ СО ""НТСК""")</f>
        <v>ГАПОУ СО "НТСК"</v>
      </c>
      <c r="B3529" s="24" t="s">
        <v>5112</v>
      </c>
      <c r="C3529" s="25">
        <v>2268584.11</v>
      </c>
      <c r="D3529" s="22" t="s">
        <v>5113</v>
      </c>
      <c r="E3529" s="22" t="s">
        <v>2204</v>
      </c>
      <c r="F3529" s="23" t="str">
        <f>HYPERLINK("https://www.spark-marketing.ru/Card/Lot/72544696", "установка системы видеонаблюдения в учебных корпусах (А, А1, А2, Д, Б)")</f>
        <v>установка системы видеонаблюдения в учебных корпусах (А, А1, А2, Д, Б)</v>
      </c>
      <c r="G3529" s="22" t="s">
        <v>72</v>
      </c>
      <c r="H3529" s="22" t="s">
        <v>72</v>
      </c>
      <c r="I3529" s="26">
        <v>43678</v>
      </c>
      <c r="J3529" s="28" t="s">
        <v>52</v>
      </c>
      <c r="K3529" s="28" t="s">
        <v>52</v>
      </c>
      <c r="L3529" s="28" t="s">
        <v>52</v>
      </c>
      <c r="M3529" s="28" t="s">
        <v>52</v>
      </c>
      <c r="N3529" s="28" t="s">
        <v>52</v>
      </c>
    </row>
    <row r="3530" spans="1:14" x14ac:dyDescent="0.2">
      <c r="A3530" s="23" t="str">
        <f>HYPERLINK("https://www.spark-marketing.ru/Card/Person/148916", "МБДОУ ""ДЕТСКИЙ САД ОБЩЕРАЗВИВАЮЩЕГО ВИДА №25"" НМР РТ")</f>
        <v>МБДОУ "ДЕТСКИЙ САД ОБЩЕРАЗВИВАЮЩЕГО ВИДА №25" НМР РТ</v>
      </c>
      <c r="B3530" s="24" t="s">
        <v>5114</v>
      </c>
      <c r="C3530" s="25">
        <v>2500</v>
      </c>
      <c r="D3530" s="22" t="s">
        <v>5115</v>
      </c>
      <c r="E3530" s="22" t="s">
        <v>53</v>
      </c>
      <c r="F3530" s="23" t="str">
        <f>HYPERLINK("https://www.spark-marketing.ru/Card/Lot/73776459", "Техническое обслуживание системы видеонаблюдения")</f>
        <v>Техническое обслуживание системы видеонаблюдения</v>
      </c>
      <c r="G3530" s="22" t="s">
        <v>204</v>
      </c>
      <c r="H3530" s="22" t="s">
        <v>824</v>
      </c>
      <c r="I3530" s="26">
        <v>43678.556944444397</v>
      </c>
      <c r="J3530" s="28" t="s">
        <v>52</v>
      </c>
      <c r="K3530" s="28" t="s">
        <v>52</v>
      </c>
      <c r="L3530" s="28" t="s">
        <v>52</v>
      </c>
      <c r="M3530" s="25">
        <v>1900</v>
      </c>
      <c r="N3530" s="27">
        <v>0.24</v>
      </c>
    </row>
    <row r="3531" spans="1:14" x14ac:dyDescent="0.15">
      <c r="A3531" s="23" t="str">
        <f>HYPERLINK("https://www.spark-marketing.ru/Card/Person/658", "ГКУ НО ""ГУАД""")</f>
        <v>ГКУ НО "ГУАД"</v>
      </c>
      <c r="B3531" s="24" t="s">
        <v>3382</v>
      </c>
      <c r="C3531" s="25">
        <v>9920000</v>
      </c>
      <c r="D3531" s="22" t="s">
        <v>5116</v>
      </c>
      <c r="E3531" s="22" t="s">
        <v>52</v>
      </c>
      <c r="F3531" s="23" t="str">
        <f>HYPERLINK("https://www.spark-marketing.ru/Card/Lot/72531927", "Оказание услуг по защите объектов транспортной инфраструктуры от актов незаконного вмешательства с привлечением подразделений транспортной безопасности на автомобильных дорогах общего пользования регионального или межмуниципального значения Нижегород...")</f>
        <v>Оказание услуг по защите объектов транспортной инфраструктуры от актов незаконного вмешательства с привлечением подразделений транспортной безопасности на автомобильных дорогах общего пользования регионального или межмуниципального значения Нижегород...</v>
      </c>
      <c r="G3531" s="22" t="s">
        <v>64</v>
      </c>
      <c r="H3531" s="22" t="s">
        <v>65</v>
      </c>
      <c r="I3531" s="26">
        <v>43677.725810185198</v>
      </c>
      <c r="J3531" s="28" t="s">
        <v>52</v>
      </c>
      <c r="K3531" s="28" t="s">
        <v>52</v>
      </c>
      <c r="L3531" s="28" t="s">
        <v>52</v>
      </c>
      <c r="M3531" s="28" t="s">
        <v>52</v>
      </c>
      <c r="N3531" s="28" t="s">
        <v>52</v>
      </c>
    </row>
    <row r="3532" spans="1:14" ht="12.75" hidden="1" outlineLevel="1" x14ac:dyDescent="0.2">
      <c r="A3532" s="23" t="str">
        <f>HYPERLINK("https://www.spark-marketing.ru/Card/Person/658", "ГКУ НО ""ГУАД""")</f>
        <v>ГКУ НО "ГУАД"</v>
      </c>
      <c r="B3532" s="24" t="s">
        <v>3382</v>
      </c>
      <c r="C3532" s="25">
        <v>9920000</v>
      </c>
      <c r="D3532" s="22" t="s">
        <v>5116</v>
      </c>
      <c r="E3532" s="22" t="s">
        <v>52</v>
      </c>
      <c r="F3532" s="23" t="str">
        <f>HYPERLINK("https://www.spark-marketing.ru/Card/Lot/72531927", "Оказание услуг по защите объектов транспортной инфраструктуры от актов незаконного вмешательства с привлечением подразделений транспортной безопасности на автомобильных дорогах общего пользования регионального или межмуниципального значения Нижегород...")</f>
        <v>Оказание услуг по защите объектов транспортной инфраструктуры от актов незаконного вмешательства с привлечением подразделений транспортной безопасности на автомобильных дорогах общего пользования регионального или межмуниципального значения Нижегород...</v>
      </c>
      <c r="G3532" s="22" t="s">
        <v>64</v>
      </c>
      <c r="H3532" s="22" t="s">
        <v>65</v>
      </c>
      <c r="I3532" s="26">
        <v>43677.725810185198</v>
      </c>
      <c r="J3532" s="23" t="str">
        <f>HYPERLINK("https://www.spark-marketing.ru/Card/Person/6338095", "ООО ""АТБ""")</f>
        <v>ООО "АТБ"</v>
      </c>
      <c r="K3532" s="24" t="s">
        <v>5117</v>
      </c>
      <c r="L3532" s="22" t="s">
        <v>10</v>
      </c>
      <c r="M3532" s="25">
        <v>9870400</v>
      </c>
      <c r="N3532" s="27">
        <v>5.0000000000000001E-3</v>
      </c>
    </row>
    <row r="3533" spans="1:14" hidden="1" outlineLevel="1" x14ac:dyDescent="0.2">
      <c r="A3533" s="23" t="str">
        <f>HYPERLINK("https://www.spark-marketing.ru/Card/Person/658", "ГКУ НО ""ГУАД""")</f>
        <v>ГКУ НО "ГУАД"</v>
      </c>
      <c r="B3533" s="24" t="s">
        <v>3382</v>
      </c>
      <c r="C3533" s="25">
        <v>9920000</v>
      </c>
      <c r="D3533" s="22" t="s">
        <v>5116</v>
      </c>
      <c r="E3533" s="22" t="s">
        <v>52</v>
      </c>
      <c r="F3533" s="23" t="str">
        <f>HYPERLINK("https://www.spark-marketing.ru/Card/Lot/72531927", "Оказание услуг по защите объектов транспортной инфраструктуры от актов незаконного вмешательства с привлечением подразделений транспортной безопасности на автомобильных дорогах общего пользования регионального или межмуниципального значения Нижегород...")</f>
        <v>Оказание услуг по защите объектов транспортной инфраструктуры от актов незаконного вмешательства с привлечением подразделений транспортной безопасности на автомобильных дорогах общего пользования регионального или межмуниципального значения Нижегород...</v>
      </c>
      <c r="G3533" s="22" t="s">
        <v>64</v>
      </c>
      <c r="H3533" s="22" t="s">
        <v>65</v>
      </c>
      <c r="I3533" s="26">
        <v>43677.725810185198</v>
      </c>
      <c r="J3533" s="23" t="str">
        <f>HYPERLINK("https://www.spark-marketing.ru/Card/Person/6489238", "ООО ПТБ ""ОРИОН""")</f>
        <v>ООО ПТБ "ОРИОН"</v>
      </c>
      <c r="K3533" s="24" t="s">
        <v>5118</v>
      </c>
      <c r="L3533" s="28" t="s">
        <v>52</v>
      </c>
      <c r="M3533" s="25">
        <v>9920000</v>
      </c>
      <c r="N3533" s="27">
        <v>0</v>
      </c>
    </row>
    <row r="3534" spans="1:14" x14ac:dyDescent="0.15">
      <c r="A3534" s="23" t="str">
        <f>HYPERLINK("https://www.spark-marketing.ru/Card/Person/16633", "АДМИНИСТРАЦИЯ МУНИЦИПАЛЬНОГО ОБРАЗОВАНИЯ СЕВЕРСКИЙ РАЙОН")</f>
        <v>АДМИНИСТРАЦИЯ МУНИЦИПАЛЬНОГО ОБРАЗОВАНИЯ СЕВЕРСКИЙ РАЙОН</v>
      </c>
      <c r="B3534" s="24" t="s">
        <v>5119</v>
      </c>
      <c r="C3534" s="25">
        <v>240000</v>
      </c>
      <c r="D3534" s="22" t="s">
        <v>5120</v>
      </c>
      <c r="E3534" s="22" t="s">
        <v>298</v>
      </c>
      <c r="F3534" s="23" t="str">
        <f>HYPERLINK("https://www.spark-marketing.ru/Card/Lot/72523547", "Оказание услуги по технической поддержке и дополнительному сопровождению Единой системы учета объектов и неналоговых доходов в 2020 году")</f>
        <v>Оказание услуги по технической поддержке и дополнительному сопровождению Единой системы учета объектов и неналоговых доходов в 2020 году</v>
      </c>
      <c r="G3534" s="22" t="s">
        <v>132</v>
      </c>
      <c r="H3534" s="22" t="s">
        <v>2560</v>
      </c>
      <c r="I3534" s="26">
        <v>43677.745636574102</v>
      </c>
      <c r="J3534" s="23" t="str">
        <f>HYPERLINK("https://www.spark-marketing.ru/Card/Person/117262", "ООО ""ЦИТ БАРС""")</f>
        <v>ООО "ЦИТ БАРС"</v>
      </c>
      <c r="K3534" s="24" t="s">
        <v>5121</v>
      </c>
      <c r="L3534" s="22" t="s">
        <v>10</v>
      </c>
      <c r="M3534" s="28" t="s">
        <v>52</v>
      </c>
      <c r="N3534" s="28" t="s">
        <v>52</v>
      </c>
    </row>
    <row r="3535" spans="1:14" x14ac:dyDescent="0.15">
      <c r="A3535" s="23" t="str">
        <f>HYPERLINK("https://www.spark-marketing.ru/Card/Person/86593", "МУНИЦИПАЛЬНОЕ БЮДЖЕТНОЕ УЧРЕЖДЕНИЕ ""ТЮМЕНЬГОРМОСТ""")</f>
        <v>МУНИЦИПАЛЬНОЕ БЮДЖЕТНОЕ УЧРЕЖДЕНИЕ "ТЮМЕНЬГОРМОСТ"</v>
      </c>
      <c r="B3535" s="24" t="s">
        <v>5122</v>
      </c>
      <c r="C3535" s="25">
        <v>5525558.2800000003</v>
      </c>
      <c r="D3535" s="22" t="s">
        <v>5123</v>
      </c>
      <c r="E3535" s="22" t="s">
        <v>68</v>
      </c>
      <c r="F3535" s="23" t="str">
        <f>HYPERLINK("https://www.spark-marketing.ru/Card/Lot/72531397", "АЭ-0730/19 Оказание услуг по охране объектов транспортной инфраструктуры г.Тюмени от противоправных посягательств, включающую в себя защиту объектов транспортной инфраструктуры от актов незаконного вмешательства")</f>
        <v>АЭ-0730/19 Оказание услуг по охране объектов транспортной инфраструктуры г.Тюмени от противоправных посягательств, включающую в себя защиту объектов транспортной инфраструктуры от актов незаконного вмешательства</v>
      </c>
      <c r="G3535" s="22" t="s">
        <v>893</v>
      </c>
      <c r="H3535" s="22" t="s">
        <v>894</v>
      </c>
      <c r="I3535" s="26">
        <v>43677.737986111097</v>
      </c>
      <c r="J3535" s="28" t="s">
        <v>52</v>
      </c>
      <c r="K3535" s="28" t="s">
        <v>52</v>
      </c>
      <c r="L3535" s="28" t="s">
        <v>52</v>
      </c>
      <c r="M3535" s="28" t="s">
        <v>52</v>
      </c>
      <c r="N3535" s="28" t="s">
        <v>52</v>
      </c>
    </row>
    <row r="3536" spans="1:14" ht="12.75" hidden="1" outlineLevel="1" x14ac:dyDescent="0.2">
      <c r="A3536" s="23" t="str">
        <f>HYPERLINK("https://www.spark-marketing.ru/Card/Person/86593", "МУНИЦИПАЛЬНОЕ БЮДЖЕТНОЕ УЧРЕЖДЕНИЕ ""ТЮМЕНЬГОРМОСТ""")</f>
        <v>МУНИЦИПАЛЬНОЕ БЮДЖЕТНОЕ УЧРЕЖДЕНИЕ "ТЮМЕНЬГОРМОСТ"</v>
      </c>
      <c r="B3536" s="24" t="s">
        <v>5122</v>
      </c>
      <c r="C3536" s="25">
        <v>5525558.2800000003</v>
      </c>
      <c r="D3536" s="22" t="s">
        <v>5123</v>
      </c>
      <c r="E3536" s="22" t="s">
        <v>68</v>
      </c>
      <c r="F3536" s="23" t="str">
        <f>HYPERLINK("https://www.spark-marketing.ru/Card/Lot/72531397", "АЭ-0730/19 Оказание услуг по охране объектов транспортной инфраструктуры г.Тюмени от противоправных посягательств, включающую в себя защиту объектов транспортной инфраструктуры от актов незаконного вмешательства")</f>
        <v>АЭ-0730/19 Оказание услуг по охране объектов транспортной инфраструктуры г.Тюмени от противоправных посягательств, включающую в себя защиту объектов транспортной инфраструктуры от актов незаконного вмешательства</v>
      </c>
      <c r="G3536" s="22" t="s">
        <v>893</v>
      </c>
      <c r="H3536" s="22" t="s">
        <v>894</v>
      </c>
      <c r="I3536" s="26">
        <v>43677.737986111097</v>
      </c>
      <c r="J3536" s="23" t="str">
        <f>HYPERLINK("https://www.spark-marketing.ru/Card/Person/6489238", "ООО ПТБ ""ОРИОН""")</f>
        <v>ООО ПТБ "ОРИОН"</v>
      </c>
      <c r="K3536" s="24" t="s">
        <v>5118</v>
      </c>
      <c r="L3536" s="22" t="s">
        <v>10</v>
      </c>
      <c r="M3536" s="25">
        <v>2694744.42</v>
      </c>
      <c r="N3536" s="27">
        <v>0.51231273231634433</v>
      </c>
    </row>
    <row r="3537" spans="1:14" hidden="1" outlineLevel="1" x14ac:dyDescent="0.2">
      <c r="A3537" s="23" t="str">
        <f>HYPERLINK("https://www.spark-marketing.ru/Card/Person/86593", "МУНИЦИПАЛЬНОЕ БЮДЖЕТНОЕ УЧРЕЖДЕНИЕ ""ТЮМЕНЬГОРМОСТ""")</f>
        <v>МУНИЦИПАЛЬНОЕ БЮДЖЕТНОЕ УЧРЕЖДЕНИЕ "ТЮМЕНЬГОРМОСТ"</v>
      </c>
      <c r="B3537" s="24" t="s">
        <v>5122</v>
      </c>
      <c r="C3537" s="25">
        <v>5525558.2800000003</v>
      </c>
      <c r="D3537" s="22" t="s">
        <v>5123</v>
      </c>
      <c r="E3537" s="22" t="s">
        <v>68</v>
      </c>
      <c r="F3537" s="23" t="str">
        <f>HYPERLINK("https://www.spark-marketing.ru/Card/Lot/72531397", "АЭ-0730/19 Оказание услуг по охране объектов транспортной инфраструктуры г.Тюмени от противоправных посягательств, включающую в себя защиту объектов транспортной инфраструктуры от актов незаконного вмешательства")</f>
        <v>АЭ-0730/19 Оказание услуг по охране объектов транспортной инфраструктуры г.Тюмени от противоправных посягательств, включающую в себя защиту объектов транспортной инфраструктуры от актов незаконного вмешательства</v>
      </c>
      <c r="G3537" s="22" t="s">
        <v>893</v>
      </c>
      <c r="H3537" s="22" t="s">
        <v>894</v>
      </c>
      <c r="I3537" s="26">
        <v>43677.737986111097</v>
      </c>
      <c r="J3537" s="23" t="str">
        <f>HYPERLINK("https://www.spark-marketing.ru/Card/Person/1874647", "УРАЛЬСКИЙ ФЛ ФГУП ""УВО МИНТРАНСА РОССИИ""")</f>
        <v>УРАЛЬСКИЙ ФЛ ФГУП "УВО МИНТРАНСА РОССИИ"</v>
      </c>
      <c r="K3537" s="24" t="s">
        <v>1472</v>
      </c>
      <c r="L3537" s="28" t="s">
        <v>52</v>
      </c>
      <c r="M3537" s="25">
        <v>2722372.21</v>
      </c>
      <c r="N3537" s="27">
        <v>0.50731273256971243</v>
      </c>
    </row>
    <row r="3538" spans="1:14" hidden="1" outlineLevel="1" x14ac:dyDescent="0.2">
      <c r="A3538" s="23" t="str">
        <f>HYPERLINK("https://www.spark-marketing.ru/Card/Person/86593", "МУНИЦИПАЛЬНОЕ БЮДЖЕТНОЕ УЧРЕЖДЕНИЕ ""ТЮМЕНЬГОРМОСТ""")</f>
        <v>МУНИЦИПАЛЬНОЕ БЮДЖЕТНОЕ УЧРЕЖДЕНИЕ "ТЮМЕНЬГОРМОСТ"</v>
      </c>
      <c r="B3538" s="24" t="s">
        <v>5122</v>
      </c>
      <c r="C3538" s="25">
        <v>5525558.2800000003</v>
      </c>
      <c r="D3538" s="22" t="s">
        <v>5123</v>
      </c>
      <c r="E3538" s="22" t="s">
        <v>68</v>
      </c>
      <c r="F3538" s="23" t="str">
        <f>HYPERLINK("https://www.spark-marketing.ru/Card/Lot/72531397", "АЭ-0730/19 Оказание услуг по охране объектов транспортной инфраструктуры г.Тюмени от противоправных посягательств, включающую в себя защиту объектов транспортной инфраструктуры от актов незаконного вмешательства")</f>
        <v>АЭ-0730/19 Оказание услуг по охране объектов транспортной инфраструктуры г.Тюмени от противоправных посягательств, включающую в себя защиту объектов транспортной инфраструктуры от актов незаконного вмешательства</v>
      </c>
      <c r="G3538" s="22" t="s">
        <v>893</v>
      </c>
      <c r="H3538" s="22" t="s">
        <v>894</v>
      </c>
      <c r="I3538" s="26">
        <v>43677.737986111097</v>
      </c>
      <c r="J3538" s="23" t="str">
        <f>HYPERLINK("https://www.spark-marketing.ru/Card/Person/6456526", "ООО ЧОО ""ЦЕНТУРИОН""")</f>
        <v>ООО ЧОО "ЦЕНТУРИОН"</v>
      </c>
      <c r="K3538" s="24" t="s">
        <v>5124</v>
      </c>
      <c r="L3538" s="28" t="s">
        <v>52</v>
      </c>
      <c r="M3538" s="25">
        <v>2694744.42</v>
      </c>
      <c r="N3538" s="27">
        <v>0.51231273231634433</v>
      </c>
    </row>
    <row r="3539" spans="1:14" x14ac:dyDescent="0.15">
      <c r="A3539" s="23" t="str">
        <f>HYPERLINK("https://www.spark-marketing.ru/Card/Person/26971", "УПРАВЛЕНИЕ РОСРЕЕСТРА ПО КРАСНОДАРСКОМУ КРАЮ")</f>
        <v>УПРАВЛЕНИЕ РОСРЕЕСТРА ПО КРАСНОДАРСКОМУ КРАЮ</v>
      </c>
      <c r="B3539" s="24" t="s">
        <v>5125</v>
      </c>
      <c r="C3539" s="25">
        <v>3757.23</v>
      </c>
      <c r="D3539" s="22" t="s">
        <v>5126</v>
      </c>
      <c r="E3539" s="22" t="s">
        <v>53</v>
      </c>
      <c r="F3539" s="23" t="str">
        <f>HYPERLINK("https://www.spark-marketing.ru/Card/Lot/72519495", "Пультовая охрана, 518 ч")</f>
        <v>Пультовая охрана, 518 ч</v>
      </c>
      <c r="G3539" s="22" t="s">
        <v>132</v>
      </c>
      <c r="H3539" s="22" t="s">
        <v>652</v>
      </c>
      <c r="I3539" s="26">
        <v>43677.737546296303</v>
      </c>
      <c r="J3539" s="28" t="s">
        <v>52</v>
      </c>
      <c r="K3539" s="28" t="s">
        <v>52</v>
      </c>
      <c r="L3539" s="28" t="s">
        <v>52</v>
      </c>
      <c r="M3539" s="28" t="s">
        <v>52</v>
      </c>
      <c r="N3539" s="28" t="s">
        <v>52</v>
      </c>
    </row>
    <row r="3540" spans="1:14" x14ac:dyDescent="0.15">
      <c r="A3540" s="23" t="str">
        <f>HYPERLINK("https://www.spark-marketing.ru/Card/Person/161238", "ИСПОЛНИТЕЛЬНЫЙ КОМИТЕТ Г.НУРЛАТ НУРЛАТСКОГО МУНИЦИПАЛЬНОГО РАЙОНА РЕСПУБЛИКИ ТАТАРСТАН")</f>
        <v>ИСПОЛНИТЕЛЬНЫЙ КОМИТЕТ Г.НУРЛАТ НУРЛАТСКОГО МУНИЦИПАЛЬНОГО РАЙОНА РЕСПУБЛИКИ ТАТАРСТАН</v>
      </c>
      <c r="B3540" s="24" t="s">
        <v>201</v>
      </c>
      <c r="C3540" s="25">
        <v>652532.99</v>
      </c>
      <c r="D3540" s="22" t="s">
        <v>5127</v>
      </c>
      <c r="E3540" s="22" t="s">
        <v>84</v>
      </c>
      <c r="F3540" s="23" t="str">
        <f>HYPERLINK("https://www.spark-marketing.ru/Card/Lot/72525663", "Установка систем видеонаблюдения на территории города Нурлат Нурлатского муниципального района Республики Татарстан, по заявке Заказчика")</f>
        <v>Установка систем видеонаблюдения на территории города Нурлат Нурлатского муниципального района Республики Татарстан, по заявке Заказчика</v>
      </c>
      <c r="G3540" s="22" t="s">
        <v>204</v>
      </c>
      <c r="H3540" s="22" t="s">
        <v>205</v>
      </c>
      <c r="I3540" s="26">
        <v>43677.724953703699</v>
      </c>
      <c r="J3540" s="23" t="str">
        <f>HYPERLINK("https://www.spark-marketing.ru/Card/Person/47174", "ПАО ""ТАТТЕЛЕКОМ""")</f>
        <v>ПАО "ТАТТЕЛЕКОМ"</v>
      </c>
      <c r="K3540" s="24" t="s">
        <v>5128</v>
      </c>
      <c r="L3540" s="22" t="s">
        <v>10</v>
      </c>
      <c r="M3540" s="28" t="s">
        <v>52</v>
      </c>
      <c r="N3540" s="28" t="s">
        <v>52</v>
      </c>
    </row>
    <row r="3541" spans="1:14" x14ac:dyDescent="0.15">
      <c r="A3541" s="23" t="str">
        <f>HYPERLINK("https://www.spark-marketing.ru/Card/Person/18481", "ФГУП ""РОСРАО""")</f>
        <v>ФГУП "РОСРАО"</v>
      </c>
      <c r="B3541" s="24" t="s">
        <v>1615</v>
      </c>
      <c r="C3541" s="25">
        <v>104929573.8</v>
      </c>
      <c r="D3541" s="22" t="s">
        <v>5129</v>
      </c>
      <c r="E3541" s="22" t="s">
        <v>1013</v>
      </c>
      <c r="F3541" s="23" t="str">
        <f>HYPERLINK("https://www.spark-marketing.ru/Card/Lot/72532170", "Оказание услуг по охране объекта Ленинградского отделения филиала «Северо-западный территориальный округ» ФГУП «РосРАО»")</f>
        <v>Оказание услуг по охране объекта Ленинградского отделения филиала «Северо-западный территориальный округ» ФГУП «РосРАО»</v>
      </c>
      <c r="G3541" s="22" t="s">
        <v>55</v>
      </c>
      <c r="H3541" s="22" t="s">
        <v>55</v>
      </c>
      <c r="I3541" s="26">
        <v>43677.710416666698</v>
      </c>
      <c r="J3541" s="28" t="s">
        <v>52</v>
      </c>
      <c r="K3541" s="28" t="s">
        <v>52</v>
      </c>
      <c r="L3541" s="28" t="s">
        <v>52</v>
      </c>
      <c r="M3541" s="28" t="s">
        <v>52</v>
      </c>
      <c r="N3541" s="28" t="s">
        <v>52</v>
      </c>
    </row>
    <row r="3542" spans="1:14" x14ac:dyDescent="0.15">
      <c r="A3542" s="23" t="str">
        <f t="shared" ref="A3542:A3548" si="153">HYPERLINK("https://www.spark-marketing.ru/Card/Person/100338", "ГБУ ""КИМРСКИЙ ПСИХОНЕВРОЛОГИЧЕСКИЙ ИНТЕРНАТ""")</f>
        <v>ГБУ "КИМРСКИЙ ПСИХОНЕВРОЛОГИЧЕСКИЙ ИНТЕРНАТ"</v>
      </c>
      <c r="B3542" s="24" t="s">
        <v>5130</v>
      </c>
      <c r="C3542" s="25">
        <v>1294683</v>
      </c>
      <c r="D3542" s="22" t="s">
        <v>5131</v>
      </c>
      <c r="E3542" s="22" t="s">
        <v>84</v>
      </c>
      <c r="F3542" s="23" t="str">
        <f t="shared" ref="F3542:F3548" si="154">HYPERLINK("https://www.spark-marketing.ru/Card/Lot/72527963", "Выполнение работ по установке системы видеонаблюдения")</f>
        <v>Выполнение работ по установке системы видеонаблюдения</v>
      </c>
      <c r="G3542" s="22" t="s">
        <v>251</v>
      </c>
      <c r="H3542" s="22" t="s">
        <v>5132</v>
      </c>
      <c r="I3542" s="26">
        <v>43677.682361111103</v>
      </c>
      <c r="J3542" s="28" t="s">
        <v>52</v>
      </c>
      <c r="K3542" s="28" t="s">
        <v>52</v>
      </c>
      <c r="L3542" s="28" t="s">
        <v>52</v>
      </c>
      <c r="M3542" s="28" t="s">
        <v>52</v>
      </c>
      <c r="N3542" s="28" t="s">
        <v>52</v>
      </c>
    </row>
    <row r="3543" spans="1:14" hidden="1" outlineLevel="1" x14ac:dyDescent="0.2">
      <c r="A3543" s="23" t="str">
        <f t="shared" si="153"/>
        <v>ГБУ "КИМРСКИЙ ПСИХОНЕВРОЛОГИЧЕСКИЙ ИНТЕРНАТ"</v>
      </c>
      <c r="B3543" s="24" t="s">
        <v>5130</v>
      </c>
      <c r="C3543" s="25">
        <v>1294683</v>
      </c>
      <c r="D3543" s="22" t="s">
        <v>5131</v>
      </c>
      <c r="E3543" s="22" t="s">
        <v>84</v>
      </c>
      <c r="F3543" s="23" t="str">
        <f t="shared" si="154"/>
        <v>Выполнение работ по установке системы видеонаблюдения</v>
      </c>
      <c r="G3543" s="22" t="s">
        <v>251</v>
      </c>
      <c r="H3543" s="22" t="s">
        <v>5132</v>
      </c>
      <c r="I3543" s="26">
        <v>43677.682361111103</v>
      </c>
      <c r="J3543" s="23" t="str">
        <f>HYPERLINK("https://www.spark-marketing.ru/Card/Person/56517", "ООО ""АНТИПОЖ""")</f>
        <v>ООО "АНТИПОЖ"</v>
      </c>
      <c r="K3543" s="24" t="s">
        <v>2508</v>
      </c>
      <c r="L3543" s="28" t="s">
        <v>52</v>
      </c>
      <c r="M3543" s="25">
        <v>873910.7</v>
      </c>
      <c r="N3543" s="27">
        <v>0.32500025102669922</v>
      </c>
    </row>
    <row r="3544" spans="1:14" hidden="1" outlineLevel="1" x14ac:dyDescent="0.2">
      <c r="A3544" s="23" t="str">
        <f t="shared" si="153"/>
        <v>ГБУ "КИМРСКИЙ ПСИХОНЕВРОЛОГИЧЕСКИЙ ИНТЕРНАТ"</v>
      </c>
      <c r="B3544" s="24" t="s">
        <v>5130</v>
      </c>
      <c r="C3544" s="25">
        <v>1294683</v>
      </c>
      <c r="D3544" s="22" t="s">
        <v>5131</v>
      </c>
      <c r="E3544" s="22" t="s">
        <v>84</v>
      </c>
      <c r="F3544" s="23" t="str">
        <f t="shared" si="154"/>
        <v>Выполнение работ по установке системы видеонаблюдения</v>
      </c>
      <c r="G3544" s="22" t="s">
        <v>251</v>
      </c>
      <c r="H3544" s="22" t="s">
        <v>5132</v>
      </c>
      <c r="I3544" s="26">
        <v>43677.682361111103</v>
      </c>
      <c r="J3544" s="23" t="str">
        <f>HYPERLINK("https://www.spark-marketing.ru/Card/Person/610955", "ООО ""БАСТИОН ТВ""")</f>
        <v>ООО "БАСТИОН ТВ"</v>
      </c>
      <c r="K3544" s="24" t="s">
        <v>3909</v>
      </c>
      <c r="L3544" s="28" t="s">
        <v>52</v>
      </c>
      <c r="M3544" s="25">
        <v>1042219.62</v>
      </c>
      <c r="N3544" s="27">
        <v>0.19500015061601952</v>
      </c>
    </row>
    <row r="3545" spans="1:14" ht="12.75" hidden="1" outlineLevel="1" x14ac:dyDescent="0.2">
      <c r="A3545" s="23" t="str">
        <f t="shared" si="153"/>
        <v>ГБУ "КИМРСКИЙ ПСИХОНЕВРОЛОГИЧЕСКИЙ ИНТЕРНАТ"</v>
      </c>
      <c r="B3545" s="24" t="s">
        <v>5130</v>
      </c>
      <c r="C3545" s="25">
        <v>1294683</v>
      </c>
      <c r="D3545" s="22" t="s">
        <v>5131</v>
      </c>
      <c r="E3545" s="22" t="s">
        <v>84</v>
      </c>
      <c r="F3545" s="23" t="str">
        <f t="shared" si="154"/>
        <v>Выполнение работ по установке системы видеонаблюдения</v>
      </c>
      <c r="G3545" s="22" t="s">
        <v>251</v>
      </c>
      <c r="H3545" s="22" t="s">
        <v>5132</v>
      </c>
      <c r="I3545" s="26">
        <v>43677.682361111103</v>
      </c>
      <c r="J3545" s="23" t="str">
        <f>HYPERLINK("https://www.spark-marketing.ru/Card/Person/616617", "ООО ""АЙТИГРУПП""")</f>
        <v>ООО "АЙТИГРУПП"</v>
      </c>
      <c r="K3545" s="24" t="s">
        <v>2507</v>
      </c>
      <c r="L3545" s="22" t="s">
        <v>10</v>
      </c>
      <c r="M3545" s="25">
        <v>802703.08</v>
      </c>
      <c r="N3545" s="27">
        <v>0.38000029350814063</v>
      </c>
    </row>
    <row r="3546" spans="1:14" hidden="1" outlineLevel="1" x14ac:dyDescent="0.2">
      <c r="A3546" s="23" t="str">
        <f t="shared" si="153"/>
        <v>ГБУ "КИМРСКИЙ ПСИХОНЕВРОЛОГИЧЕСКИЙ ИНТЕРНАТ"</v>
      </c>
      <c r="B3546" s="24" t="s">
        <v>5130</v>
      </c>
      <c r="C3546" s="25">
        <v>1294683</v>
      </c>
      <c r="D3546" s="22" t="s">
        <v>5131</v>
      </c>
      <c r="E3546" s="22" t="s">
        <v>84</v>
      </c>
      <c r="F3546" s="23" t="str">
        <f t="shared" si="154"/>
        <v>Выполнение работ по установке системы видеонаблюдения</v>
      </c>
      <c r="G3546" s="22" t="s">
        <v>251</v>
      </c>
      <c r="H3546" s="22" t="s">
        <v>5132</v>
      </c>
      <c r="I3546" s="26">
        <v>43677.682361111103</v>
      </c>
      <c r="J3546" s="23" t="str">
        <f>HYPERLINK("https://www.spark-marketing.ru/Card/Person/986836", "ООО ТЦ ""РУБИКОН""")</f>
        <v>ООО ТЦ "РУБИКОН"</v>
      </c>
      <c r="K3546" s="24" t="s">
        <v>5133</v>
      </c>
      <c r="L3546" s="28" t="s">
        <v>52</v>
      </c>
      <c r="M3546" s="25">
        <v>1197581.7</v>
      </c>
      <c r="N3546" s="27">
        <v>7.5000057929238279E-2</v>
      </c>
    </row>
    <row r="3547" spans="1:14" hidden="1" outlineLevel="1" x14ac:dyDescent="0.2">
      <c r="A3547" s="23" t="str">
        <f t="shared" si="153"/>
        <v>ГБУ "КИМРСКИЙ ПСИХОНЕВРОЛОГИЧЕСКИЙ ИНТЕРНАТ"</v>
      </c>
      <c r="B3547" s="24" t="s">
        <v>5130</v>
      </c>
      <c r="C3547" s="25">
        <v>1294683</v>
      </c>
      <c r="D3547" s="22" t="s">
        <v>5131</v>
      </c>
      <c r="E3547" s="22" t="s">
        <v>84</v>
      </c>
      <c r="F3547" s="23" t="str">
        <f t="shared" si="154"/>
        <v>Выполнение работ по установке системы видеонаблюдения</v>
      </c>
      <c r="G3547" s="22" t="s">
        <v>251</v>
      </c>
      <c r="H3547" s="22" t="s">
        <v>5132</v>
      </c>
      <c r="I3547" s="26">
        <v>43677.682361111103</v>
      </c>
      <c r="J3547" s="23" t="str">
        <f>HYPERLINK("https://www.spark-marketing.ru/Card/Person/1175857", "ООО ""ТЦ ""ХАРДЛОК""")</f>
        <v>ООО "ТЦ "ХАРДЛОК"</v>
      </c>
      <c r="K3547" s="24" t="s">
        <v>5134</v>
      </c>
      <c r="L3547" s="28" t="s">
        <v>52</v>
      </c>
      <c r="M3547" s="25">
        <v>809176.5</v>
      </c>
      <c r="N3547" s="27">
        <v>0.37500028964619136</v>
      </c>
    </row>
    <row r="3548" spans="1:14" hidden="1" outlineLevel="1" x14ac:dyDescent="0.2">
      <c r="A3548" s="23" t="str">
        <f t="shared" si="153"/>
        <v>ГБУ "КИМРСКИЙ ПСИХОНЕВРОЛОГИЧЕСКИЙ ИНТЕРНАТ"</v>
      </c>
      <c r="B3548" s="24" t="s">
        <v>5130</v>
      </c>
      <c r="C3548" s="25">
        <v>1294683</v>
      </c>
      <c r="D3548" s="22" t="s">
        <v>5131</v>
      </c>
      <c r="E3548" s="22" t="s">
        <v>84</v>
      </c>
      <c r="F3548" s="23" t="str">
        <f t="shared" si="154"/>
        <v>Выполнение работ по установке системы видеонаблюдения</v>
      </c>
      <c r="G3548" s="22" t="s">
        <v>251</v>
      </c>
      <c r="H3548" s="22" t="s">
        <v>5132</v>
      </c>
      <c r="I3548" s="26">
        <v>43677.682361111103</v>
      </c>
      <c r="J3548" s="23" t="str">
        <f>HYPERLINK("https://www.spark-marketing.ru/Card/Person/6381225", "Волнушкин Илья Александрович")</f>
        <v>Волнушкин Илья Александрович</v>
      </c>
      <c r="K3548" s="24" t="s">
        <v>3910</v>
      </c>
      <c r="L3548" s="28" t="s">
        <v>52</v>
      </c>
      <c r="M3548" s="25">
        <v>886857.54</v>
      </c>
      <c r="N3548" s="27">
        <v>0.31500024330280074</v>
      </c>
    </row>
    <row r="3549" spans="1:14" x14ac:dyDescent="0.15">
      <c r="A3549" s="23" t="str">
        <f>HYPERLINK("https://www.spark-marketing.ru/Card/Person/4344329", "АДМИНИСТРАЦИЯ ЦЕНТРАЛЬНОГО РАЙОНА В ГОРОДЕ ТВЕРИ")</f>
        <v>АДМИНИСТРАЦИЯ ЦЕНТРАЛЬНОГО РАЙОНА В ГОРОДЕ ТВЕРИ</v>
      </c>
      <c r="B3549" s="24" t="s">
        <v>5135</v>
      </c>
      <c r="C3549" s="25">
        <v>885546</v>
      </c>
      <c r="D3549" s="22" t="s">
        <v>5136</v>
      </c>
      <c r="E3549" s="22" t="s">
        <v>59</v>
      </c>
      <c r="F3549" s="23" t="str">
        <f>HYPERLINK("https://www.spark-marketing.ru/Card/Lot/72526647", "Установка системы видеонаблюдения по адресу: г. Тверь, Смоленский пер., д. 7")</f>
        <v>Установка системы видеонаблюдения по адресу: г. Тверь, Смоленский пер., д. 7</v>
      </c>
      <c r="G3549" s="22" t="s">
        <v>251</v>
      </c>
      <c r="H3549" s="22" t="s">
        <v>252</v>
      </c>
      <c r="I3549" s="26">
        <v>43677.702094907399</v>
      </c>
      <c r="J3549" s="28" t="s">
        <v>52</v>
      </c>
      <c r="K3549" s="28" t="s">
        <v>52</v>
      </c>
      <c r="L3549" s="28" t="s">
        <v>52</v>
      </c>
      <c r="M3549" s="28" t="s">
        <v>52</v>
      </c>
      <c r="N3549" s="28" t="s">
        <v>52</v>
      </c>
    </row>
    <row r="3550" spans="1:14" hidden="1" outlineLevel="1" x14ac:dyDescent="0.2">
      <c r="A3550" s="23" t="str">
        <f>HYPERLINK("https://www.spark-marketing.ru/Card/Person/4344329", "АДМИНИСТРАЦИЯ ЦЕНТРАЛЬНОГО РАЙОНА В ГОРОДЕ ТВЕРИ")</f>
        <v>АДМИНИСТРАЦИЯ ЦЕНТРАЛЬНОГО РАЙОНА В ГОРОДЕ ТВЕРИ</v>
      </c>
      <c r="B3550" s="24" t="s">
        <v>5135</v>
      </c>
      <c r="C3550" s="25">
        <v>885546</v>
      </c>
      <c r="D3550" s="22" t="s">
        <v>5136</v>
      </c>
      <c r="E3550" s="22" t="s">
        <v>59</v>
      </c>
      <c r="F3550" s="23" t="str">
        <f>HYPERLINK("https://www.spark-marketing.ru/Card/Lot/72526647", "Установка системы видеонаблюдения по адресу: г. Тверь, Смоленский пер., д. 7")</f>
        <v>Установка системы видеонаблюдения по адресу: г. Тверь, Смоленский пер., д. 7</v>
      </c>
      <c r="G3550" s="22" t="s">
        <v>251</v>
      </c>
      <c r="H3550" s="22" t="s">
        <v>252</v>
      </c>
      <c r="I3550" s="26">
        <v>43677.702094907399</v>
      </c>
      <c r="J3550" s="23" t="str">
        <f>HYPERLINK("https://www.spark-marketing.ru/Card/Person/610955", "ООО ""БАСТИОН ТВ""")</f>
        <v>ООО "БАСТИОН ТВ"</v>
      </c>
      <c r="K3550" s="24" t="s">
        <v>3909</v>
      </c>
      <c r="L3550" s="28" t="s">
        <v>52</v>
      </c>
      <c r="M3550" s="25">
        <v>602171.07999999996</v>
      </c>
      <c r="N3550" s="27">
        <v>0.320000225849363</v>
      </c>
    </row>
    <row r="3551" spans="1:14" ht="12.75" hidden="1" outlineLevel="1" x14ac:dyDescent="0.2">
      <c r="A3551" s="23" t="str">
        <f>HYPERLINK("https://www.spark-marketing.ru/Card/Person/4344329", "АДМИНИСТРАЦИЯ ЦЕНТРАЛЬНОГО РАЙОНА В ГОРОДЕ ТВЕРИ")</f>
        <v>АДМИНИСТРАЦИЯ ЦЕНТРАЛЬНОГО РАЙОНА В ГОРОДЕ ТВЕРИ</v>
      </c>
      <c r="B3551" s="24" t="s">
        <v>5135</v>
      </c>
      <c r="C3551" s="25">
        <v>885546</v>
      </c>
      <c r="D3551" s="22" t="s">
        <v>5136</v>
      </c>
      <c r="E3551" s="22" t="s">
        <v>59</v>
      </c>
      <c r="F3551" s="23" t="str">
        <f>HYPERLINK("https://www.spark-marketing.ru/Card/Lot/72526647", "Установка системы видеонаблюдения по адресу: г. Тверь, Смоленский пер., д. 7")</f>
        <v>Установка системы видеонаблюдения по адресу: г. Тверь, Смоленский пер., д. 7</v>
      </c>
      <c r="G3551" s="22" t="s">
        <v>251</v>
      </c>
      <c r="H3551" s="22" t="s">
        <v>252</v>
      </c>
      <c r="I3551" s="26">
        <v>43677.702094907399</v>
      </c>
      <c r="J3551" s="23" t="str">
        <f>HYPERLINK("https://www.spark-marketing.ru/Card/Person/616617", "ООО ""АЙТИГРУПП""")</f>
        <v>ООО "АЙТИГРУПП"</v>
      </c>
      <c r="K3551" s="24" t="s">
        <v>2507</v>
      </c>
      <c r="L3551" s="22" t="s">
        <v>10</v>
      </c>
      <c r="M3551" s="25">
        <v>597743.35</v>
      </c>
      <c r="N3551" s="27">
        <v>0.325000225849363</v>
      </c>
    </row>
    <row r="3552" spans="1:14" hidden="1" outlineLevel="1" x14ac:dyDescent="0.2">
      <c r="A3552" s="23" t="str">
        <f>HYPERLINK("https://www.spark-marketing.ru/Card/Person/4344329", "АДМИНИСТРАЦИЯ ЦЕНТРАЛЬНОГО РАЙОНА В ГОРОДЕ ТВЕРИ")</f>
        <v>АДМИНИСТРАЦИЯ ЦЕНТРАЛЬНОГО РАЙОНА В ГОРОДЕ ТВЕРИ</v>
      </c>
      <c r="B3552" s="24" t="s">
        <v>5135</v>
      </c>
      <c r="C3552" s="25">
        <v>885546</v>
      </c>
      <c r="D3552" s="22" t="s">
        <v>5136</v>
      </c>
      <c r="E3552" s="22" t="s">
        <v>59</v>
      </c>
      <c r="F3552" s="23" t="str">
        <f>HYPERLINK("https://www.spark-marketing.ru/Card/Lot/72526647", "Установка системы видеонаблюдения по адресу: г. Тверь, Смоленский пер., д. 7")</f>
        <v>Установка системы видеонаблюдения по адресу: г. Тверь, Смоленский пер., д. 7</v>
      </c>
      <c r="G3552" s="22" t="s">
        <v>251</v>
      </c>
      <c r="H3552" s="22" t="s">
        <v>252</v>
      </c>
      <c r="I3552" s="26">
        <v>43677.702094907399</v>
      </c>
      <c r="J3552" s="23" t="str">
        <f>HYPERLINK("https://www.spark-marketing.ru/Card/Person/6381225", "Волнушкин Илья Александрович")</f>
        <v>Волнушкин Илья Александрович</v>
      </c>
      <c r="K3552" s="24" t="s">
        <v>3910</v>
      </c>
      <c r="L3552" s="28" t="s">
        <v>52</v>
      </c>
      <c r="M3552" s="25">
        <v>628737.46</v>
      </c>
      <c r="N3552" s="27">
        <v>0.29000022584936297</v>
      </c>
    </row>
    <row r="3553" spans="1:14" x14ac:dyDescent="0.15">
      <c r="A3553" s="23" t="str">
        <f>HYPERLINK("https://www.spark-marketing.ru/Card/Person/1005507", "МБОУ ""СОШ № 6""")</f>
        <v>МБОУ "СОШ № 6"</v>
      </c>
      <c r="B3553" s="24" t="s">
        <v>5137</v>
      </c>
      <c r="C3553" s="25">
        <v>63552</v>
      </c>
      <c r="D3553" s="22" t="s">
        <v>5138</v>
      </c>
      <c r="E3553" s="22" t="s">
        <v>5139</v>
      </c>
      <c r="F3553" s="23" t="str">
        <f>HYPERLINK("https://www.spark-marketing.ru/Card/Lot/72516485", "Поставка видеоаппаратуры и комплектующих с установкой")</f>
        <v>Поставка видеоаппаратуры и комплектующих с установкой</v>
      </c>
      <c r="G3553" s="22" t="s">
        <v>176</v>
      </c>
      <c r="H3553" s="22" t="s">
        <v>5140</v>
      </c>
      <c r="I3553" s="26">
        <v>43677.693055555603</v>
      </c>
      <c r="J3553" s="28" t="s">
        <v>52</v>
      </c>
      <c r="K3553" s="28" t="s">
        <v>52</v>
      </c>
      <c r="L3553" s="28" t="s">
        <v>52</v>
      </c>
      <c r="M3553" s="28" t="s">
        <v>52</v>
      </c>
      <c r="N3553" s="28" t="s">
        <v>52</v>
      </c>
    </row>
    <row r="3554" spans="1:14" x14ac:dyDescent="0.15">
      <c r="A3554" s="23" t="str">
        <f>HYPERLINK("https://www.spark-marketing.ru/Card/Person/9491", "ГЛАВНОЕ УПРАВЛЕНИЕ МЧС РОССИИ ПО МОСКОВСКОЙ ОБЛАСТИ")</f>
        <v>ГЛАВНОЕ УПРАВЛЕНИЕ МЧС РОССИИ ПО МОСКОВСКОЙ ОБЛАСТИ</v>
      </c>
      <c r="B3554" s="24" t="s">
        <v>5141</v>
      </c>
      <c r="C3554" s="25">
        <v>450000</v>
      </c>
      <c r="D3554" s="22" t="s">
        <v>5142</v>
      </c>
      <c r="E3554" s="22" t="s">
        <v>59</v>
      </c>
      <c r="F3554" s="23" t="str">
        <f>HYPERLINK("https://www.spark-marketing.ru/Card/Lot/72523796", "Установка видеонаблюдения в Главное управление МЧС России по Московской области")</f>
        <v>Установка видеонаблюдения в Главное управление МЧС России по Московской области</v>
      </c>
      <c r="G3554" s="22" t="s">
        <v>50</v>
      </c>
      <c r="H3554" s="22" t="s">
        <v>50</v>
      </c>
      <c r="I3554" s="26">
        <v>43677.658391203702</v>
      </c>
      <c r="J3554" s="28" t="s">
        <v>52</v>
      </c>
      <c r="K3554" s="28" t="s">
        <v>52</v>
      </c>
      <c r="L3554" s="28" t="s">
        <v>52</v>
      </c>
      <c r="M3554" s="28" t="s">
        <v>52</v>
      </c>
      <c r="N3554" s="28" t="s">
        <v>52</v>
      </c>
    </row>
    <row r="3555" spans="1:14" hidden="1" outlineLevel="1" x14ac:dyDescent="0.2">
      <c r="A3555" s="23" t="str">
        <f>HYPERLINK("https://www.spark-marketing.ru/Card/Person/9491", "ГЛАВНОЕ УПРАВЛЕНИЕ МЧС РОССИИ ПО МОСКОВСКОЙ ОБЛАСТИ")</f>
        <v>ГЛАВНОЕ УПРАВЛЕНИЕ МЧС РОССИИ ПО МОСКОВСКОЙ ОБЛАСТИ</v>
      </c>
      <c r="B3555" s="24" t="s">
        <v>5141</v>
      </c>
      <c r="C3555" s="25">
        <v>450000</v>
      </c>
      <c r="D3555" s="22" t="s">
        <v>5142</v>
      </c>
      <c r="E3555" s="22" t="s">
        <v>59</v>
      </c>
      <c r="F3555" s="23" t="str">
        <f>HYPERLINK("https://www.spark-marketing.ru/Card/Lot/72523796", "Установка видеонаблюдения в Главное управление МЧС России по Московской области")</f>
        <v>Установка видеонаблюдения в Главное управление МЧС России по Московской области</v>
      </c>
      <c r="G3555" s="22" t="s">
        <v>50</v>
      </c>
      <c r="H3555" s="22" t="s">
        <v>50</v>
      </c>
      <c r="I3555" s="26">
        <v>43677.658391203702</v>
      </c>
      <c r="J3555" s="23" t="str">
        <f>HYPERLINK("https://www.spark-marketing.ru/Card/Person/1600302", "ООО ""СИТИТЕЛЕКОМ""")</f>
        <v>ООО "СИТИТЕЛЕКОМ"</v>
      </c>
      <c r="K3555" s="24" t="s">
        <v>5143</v>
      </c>
      <c r="L3555" s="28" t="s">
        <v>52</v>
      </c>
      <c r="M3555" s="25">
        <v>346500</v>
      </c>
      <c r="N3555" s="27">
        <v>0.23</v>
      </c>
    </row>
    <row r="3556" spans="1:14" hidden="1" outlineLevel="1" x14ac:dyDescent="0.2">
      <c r="A3556" s="23" t="str">
        <f>HYPERLINK("https://www.spark-marketing.ru/Card/Person/9491", "ГЛАВНОЕ УПРАВЛЕНИЕ МЧС РОССИИ ПО МОСКОВСКОЙ ОБЛАСТИ")</f>
        <v>ГЛАВНОЕ УПРАВЛЕНИЕ МЧС РОССИИ ПО МОСКОВСКОЙ ОБЛАСТИ</v>
      </c>
      <c r="B3556" s="24" t="s">
        <v>5141</v>
      </c>
      <c r="C3556" s="25">
        <v>450000</v>
      </c>
      <c r="D3556" s="22" t="s">
        <v>5142</v>
      </c>
      <c r="E3556" s="22" t="s">
        <v>59</v>
      </c>
      <c r="F3556" s="23" t="str">
        <f>HYPERLINK("https://www.spark-marketing.ru/Card/Lot/72523796", "Установка видеонаблюдения в Главное управление МЧС России по Московской области")</f>
        <v>Установка видеонаблюдения в Главное управление МЧС России по Московской области</v>
      </c>
      <c r="G3556" s="22" t="s">
        <v>50</v>
      </c>
      <c r="H3556" s="22" t="s">
        <v>50</v>
      </c>
      <c r="I3556" s="26">
        <v>43677.658391203702</v>
      </c>
      <c r="J3556" s="23" t="str">
        <f>HYPERLINK("https://www.spark-marketing.ru/Card/Person/6675514", "Янак Владимир Александрович")</f>
        <v>Янак Владимир Александрович</v>
      </c>
      <c r="K3556" s="24" t="s">
        <v>4716</v>
      </c>
      <c r="L3556" s="28" t="s">
        <v>52</v>
      </c>
      <c r="M3556" s="25">
        <v>310500</v>
      </c>
      <c r="N3556" s="27">
        <v>0.31</v>
      </c>
    </row>
    <row r="3557" spans="1:14" hidden="1" outlineLevel="1" x14ac:dyDescent="0.2">
      <c r="A3557" s="23" t="str">
        <f>HYPERLINK("https://www.spark-marketing.ru/Card/Person/9491", "ГЛАВНОЕ УПРАВЛЕНИЕ МЧС РОССИИ ПО МОСКОВСКОЙ ОБЛАСТИ")</f>
        <v>ГЛАВНОЕ УПРАВЛЕНИЕ МЧС РОССИИ ПО МОСКОВСКОЙ ОБЛАСТИ</v>
      </c>
      <c r="B3557" s="24" t="s">
        <v>5141</v>
      </c>
      <c r="C3557" s="25">
        <v>450000</v>
      </c>
      <c r="D3557" s="22" t="s">
        <v>5142</v>
      </c>
      <c r="E3557" s="22" t="s">
        <v>59</v>
      </c>
      <c r="F3557" s="23" t="str">
        <f>HYPERLINK("https://www.spark-marketing.ru/Card/Lot/72523796", "Установка видеонаблюдения в Главное управление МЧС России по Московской области")</f>
        <v>Установка видеонаблюдения в Главное управление МЧС России по Московской области</v>
      </c>
      <c r="G3557" s="22" t="s">
        <v>50</v>
      </c>
      <c r="H3557" s="22" t="s">
        <v>50</v>
      </c>
      <c r="I3557" s="26">
        <v>43677.658391203702</v>
      </c>
      <c r="J3557" s="23" t="str">
        <f>HYPERLINK("https://www.spark-marketing.ru/Card/Person/4481549", "ООО ФИРМА ""ИНТЕРКОМ-ИНСТРУМЕНТС""")</f>
        <v>ООО ФИРМА "ИНТЕРКОМ-ИНСТРУМЕНТС"</v>
      </c>
      <c r="K3557" s="24" t="s">
        <v>2929</v>
      </c>
      <c r="L3557" s="28" t="s">
        <v>52</v>
      </c>
      <c r="M3557" s="25">
        <v>324000</v>
      </c>
      <c r="N3557" s="27">
        <v>0.28000000000000003</v>
      </c>
    </row>
    <row r="3558" spans="1:14" ht="12.75" hidden="1" outlineLevel="1" x14ac:dyDescent="0.2">
      <c r="A3558" s="23" t="str">
        <f>HYPERLINK("https://www.spark-marketing.ru/Card/Person/9491", "ГЛАВНОЕ УПРАВЛЕНИЕ МЧС РОССИИ ПО МОСКОВСКОЙ ОБЛАСТИ")</f>
        <v>ГЛАВНОЕ УПРАВЛЕНИЕ МЧС РОССИИ ПО МОСКОВСКОЙ ОБЛАСТИ</v>
      </c>
      <c r="B3558" s="24" t="s">
        <v>5141</v>
      </c>
      <c r="C3558" s="25">
        <v>450000</v>
      </c>
      <c r="D3558" s="22" t="s">
        <v>5142</v>
      </c>
      <c r="E3558" s="22" t="s">
        <v>59</v>
      </c>
      <c r="F3558" s="23" t="str">
        <f>HYPERLINK("https://www.spark-marketing.ru/Card/Lot/72523796", "Установка видеонаблюдения в Главное управление МЧС России по Московской области")</f>
        <v>Установка видеонаблюдения в Главное управление МЧС России по Московской области</v>
      </c>
      <c r="G3558" s="22" t="s">
        <v>50</v>
      </c>
      <c r="H3558" s="22" t="s">
        <v>50</v>
      </c>
      <c r="I3558" s="26">
        <v>43677.658391203702</v>
      </c>
      <c r="J3558" s="23" t="str">
        <f>HYPERLINK("https://www.spark-marketing.ru/Card/Person/6407297", "Бодрова Вера Юрьевна")</f>
        <v>Бодрова Вера Юрьевна</v>
      </c>
      <c r="K3558" s="24" t="s">
        <v>2694</v>
      </c>
      <c r="L3558" s="22" t="s">
        <v>10</v>
      </c>
      <c r="M3558" s="25">
        <v>308250</v>
      </c>
      <c r="N3558" s="27">
        <v>0.315</v>
      </c>
    </row>
    <row r="3559" spans="1:14" x14ac:dyDescent="0.15">
      <c r="A3559" s="23" t="str">
        <f t="shared" ref="A3559:A3564" si="155">HYPERLINK("https://www.spark-marketing.ru/Card/Person/28318", "МОСГОССТРОЙНАДЗОР")</f>
        <v>МОСГОССТРОЙНАДЗОР</v>
      </c>
      <c r="B3559" s="24" t="s">
        <v>5144</v>
      </c>
      <c r="C3559" s="25">
        <v>9496871.4800000004</v>
      </c>
      <c r="D3559" s="22" t="s">
        <v>5145</v>
      </c>
      <c r="E3559" s="22" t="s">
        <v>218</v>
      </c>
      <c r="F3559" s="23" t="str">
        <f t="shared" ref="F3559:F3564" si="156">HYPERLINK("https://www.spark-marketing.ru/Card/Lot/72531637", "Техническое обслуживание с обследованием систем контроля доступом, видеодомофонии, видеонаблюдения и охранной сигнализации по адресам: ул. Брянская, д. 9, ул. Можайский вал, д.9 с круглосуточным присутствием диспетчеров.")</f>
        <v>Техническое обслуживание с обследованием систем контроля доступом, видеодомофонии, видеонаблюдения и охранной сигнализации по адресам: ул. Брянская, д. 9, ул. Можайский вал, д.9 с круглосуточным присутствием диспетчеров.</v>
      </c>
      <c r="G3559" s="22" t="s">
        <v>55</v>
      </c>
      <c r="H3559" s="22" t="s">
        <v>55</v>
      </c>
      <c r="I3559" s="26">
        <v>43677.648611111101</v>
      </c>
      <c r="J3559" s="28" t="s">
        <v>52</v>
      </c>
      <c r="K3559" s="28" t="s">
        <v>52</v>
      </c>
      <c r="L3559" s="28" t="s">
        <v>52</v>
      </c>
      <c r="M3559" s="28" t="s">
        <v>52</v>
      </c>
      <c r="N3559" s="28" t="s">
        <v>52</v>
      </c>
    </row>
    <row r="3560" spans="1:14" hidden="1" outlineLevel="1" x14ac:dyDescent="0.2">
      <c r="A3560" s="23" t="str">
        <f t="shared" si="155"/>
        <v>МОСГОССТРОЙНАДЗОР</v>
      </c>
      <c r="B3560" s="24" t="s">
        <v>5144</v>
      </c>
      <c r="C3560" s="25">
        <v>9496871.4800000004</v>
      </c>
      <c r="D3560" s="22" t="s">
        <v>5145</v>
      </c>
      <c r="E3560" s="22" t="s">
        <v>218</v>
      </c>
      <c r="F3560" s="23" t="str">
        <f t="shared" si="156"/>
        <v>Техническое обслуживание с обследованием систем контроля доступом, видеодомофонии, видеонаблюдения и охранной сигнализации по адресам: ул. Брянская, д. 9, ул. Можайский вал, д.9 с круглосуточным присутствием диспетчеров.</v>
      </c>
      <c r="G3560" s="22" t="s">
        <v>55</v>
      </c>
      <c r="H3560" s="22" t="s">
        <v>55</v>
      </c>
      <c r="I3560" s="26">
        <v>43677.648611111101</v>
      </c>
      <c r="J3560" s="23" t="str">
        <f>HYPERLINK("https://www.spark-marketing.ru/Card/Person/92815", "ООО ""ТРИ-А-КОМ""")</f>
        <v>ООО "ТРИ-А-КОМ"</v>
      </c>
      <c r="K3560" s="24" t="s">
        <v>5146</v>
      </c>
      <c r="L3560" s="28" t="s">
        <v>52</v>
      </c>
      <c r="M3560" s="25">
        <v>9000000</v>
      </c>
      <c r="N3560" s="27">
        <v>5.2319490797194612E-2</v>
      </c>
    </row>
    <row r="3561" spans="1:14" hidden="1" outlineLevel="1" x14ac:dyDescent="0.2">
      <c r="A3561" s="23" t="str">
        <f t="shared" si="155"/>
        <v>МОСГОССТРОЙНАДЗОР</v>
      </c>
      <c r="B3561" s="24" t="s">
        <v>5144</v>
      </c>
      <c r="C3561" s="25">
        <v>9496871.4800000004</v>
      </c>
      <c r="D3561" s="22" t="s">
        <v>5145</v>
      </c>
      <c r="E3561" s="22" t="s">
        <v>218</v>
      </c>
      <c r="F3561" s="23" t="str">
        <f t="shared" si="156"/>
        <v>Техническое обслуживание с обследованием систем контроля доступом, видеодомофонии, видеонаблюдения и охранной сигнализации по адресам: ул. Брянская, д. 9, ул. Можайский вал, д.9 с круглосуточным присутствием диспетчеров.</v>
      </c>
      <c r="G3561" s="22" t="s">
        <v>55</v>
      </c>
      <c r="H3561" s="22" t="s">
        <v>55</v>
      </c>
      <c r="I3561" s="26">
        <v>43677.648611111101</v>
      </c>
      <c r="J3561" s="23" t="str">
        <f>HYPERLINK("https://www.spark-marketing.ru/Card/Person/19703", "ООО ""АЗК СТРОЙ ГРУПП""")</f>
        <v>ООО "АЗК СТРОЙ ГРУПП"</v>
      </c>
      <c r="K3561" s="24" t="s">
        <v>3223</v>
      </c>
      <c r="L3561" s="28" t="s">
        <v>52</v>
      </c>
      <c r="M3561" s="25">
        <v>6500000</v>
      </c>
      <c r="N3561" s="27">
        <v>0.31556407668686276</v>
      </c>
    </row>
    <row r="3562" spans="1:14" ht="12.75" hidden="1" outlineLevel="1" x14ac:dyDescent="0.2">
      <c r="A3562" s="23" t="str">
        <f t="shared" si="155"/>
        <v>МОСГОССТРОЙНАДЗОР</v>
      </c>
      <c r="B3562" s="24" t="s">
        <v>5144</v>
      </c>
      <c r="C3562" s="25">
        <v>9496871.4800000004</v>
      </c>
      <c r="D3562" s="22" t="s">
        <v>5145</v>
      </c>
      <c r="E3562" s="22" t="s">
        <v>218</v>
      </c>
      <c r="F3562" s="23" t="str">
        <f t="shared" si="156"/>
        <v>Техническое обслуживание с обследованием систем контроля доступом, видеодомофонии, видеонаблюдения и охранной сигнализации по адресам: ул. Брянская, д. 9, ул. Можайский вал, д.9 с круглосуточным присутствием диспетчеров.</v>
      </c>
      <c r="G3562" s="22" t="s">
        <v>55</v>
      </c>
      <c r="H3562" s="22" t="s">
        <v>55</v>
      </c>
      <c r="I3562" s="26">
        <v>43677.648611111101</v>
      </c>
      <c r="J3562" s="23" t="str">
        <f>HYPERLINK("https://www.spark-marketing.ru/Card/Person/247190", "ООО ""ГЛОБАЛ КЛИМАТ""")</f>
        <v>ООО "ГЛОБАЛ КЛИМАТ"</v>
      </c>
      <c r="K3562" s="24" t="s">
        <v>5147</v>
      </c>
      <c r="L3562" s="22" t="s">
        <v>10</v>
      </c>
      <c r="M3562" s="25">
        <v>8050000</v>
      </c>
      <c r="N3562" s="27">
        <v>0.15235243343526852</v>
      </c>
    </row>
    <row r="3563" spans="1:14" hidden="1" outlineLevel="1" x14ac:dyDescent="0.2">
      <c r="A3563" s="23" t="str">
        <f t="shared" si="155"/>
        <v>МОСГОССТРОЙНАДЗОР</v>
      </c>
      <c r="B3563" s="24" t="s">
        <v>5144</v>
      </c>
      <c r="C3563" s="25">
        <v>9496871.4800000004</v>
      </c>
      <c r="D3563" s="22" t="s">
        <v>5145</v>
      </c>
      <c r="E3563" s="22" t="s">
        <v>218</v>
      </c>
      <c r="F3563" s="23" t="str">
        <f t="shared" si="156"/>
        <v>Техническое обслуживание с обследованием систем контроля доступом, видеодомофонии, видеонаблюдения и охранной сигнализации по адресам: ул. Брянская, д. 9, ул. Можайский вал, д.9 с круглосуточным присутствием диспетчеров.</v>
      </c>
      <c r="G3563" s="22" t="s">
        <v>55</v>
      </c>
      <c r="H3563" s="22" t="s">
        <v>55</v>
      </c>
      <c r="I3563" s="26">
        <v>43677.648611111101</v>
      </c>
      <c r="J3563" s="23" t="str">
        <f>HYPERLINK("https://www.spark-marketing.ru/Card/Person/2553652", "ООО ""ОПТИМАЛЬНАЯ ЗАЩИТА""")</f>
        <v>ООО "ОПТИМАЛЬНАЯ ЗАЩИТА"</v>
      </c>
      <c r="K3563" s="24" t="s">
        <v>5148</v>
      </c>
      <c r="L3563" s="28" t="s">
        <v>52</v>
      </c>
      <c r="M3563" s="25">
        <v>6000000</v>
      </c>
      <c r="N3563" s="27">
        <v>0.36821299386479639</v>
      </c>
    </row>
    <row r="3564" spans="1:14" hidden="1" outlineLevel="1" x14ac:dyDescent="0.2">
      <c r="A3564" s="23" t="str">
        <f t="shared" si="155"/>
        <v>МОСГОССТРОЙНАДЗОР</v>
      </c>
      <c r="B3564" s="24" t="s">
        <v>5144</v>
      </c>
      <c r="C3564" s="25">
        <v>9496871.4800000004</v>
      </c>
      <c r="D3564" s="22" t="s">
        <v>5145</v>
      </c>
      <c r="E3564" s="22" t="s">
        <v>218</v>
      </c>
      <c r="F3564" s="23" t="str">
        <f t="shared" si="156"/>
        <v>Техническое обслуживание с обследованием систем контроля доступом, видеодомофонии, видеонаблюдения и охранной сигнализации по адресам: ул. Брянская, д. 9, ул. Можайский вал, д.9 с круглосуточным присутствием диспетчеров.</v>
      </c>
      <c r="G3564" s="22" t="s">
        <v>55</v>
      </c>
      <c r="H3564" s="22" t="s">
        <v>55</v>
      </c>
      <c r="I3564" s="26">
        <v>43677.648611111101</v>
      </c>
      <c r="J3564" s="23" t="str">
        <f>HYPERLINK("https://www.spark-marketing.ru/Card/Person/90238", "ООО ""МАСТЕР-СЕРВИС""")</f>
        <v>ООО "МАСТЕР-СЕРВИС"</v>
      </c>
      <c r="K3564" s="24" t="s">
        <v>5149</v>
      </c>
      <c r="L3564" s="28" t="s">
        <v>52</v>
      </c>
      <c r="M3564" s="25">
        <v>8999999</v>
      </c>
      <c r="N3564" s="27">
        <v>5.2319596095028974E-2</v>
      </c>
    </row>
    <row r="3565" spans="1:14" x14ac:dyDescent="0.15">
      <c r="A3565" s="23" t="str">
        <f>HYPERLINK("https://www.spark-marketing.ru/Card/Person/150285", "МКУ ""ЕДДС"" ГОРОДА СТАВРОПОЛЯ")</f>
        <v>МКУ "ЕДДС" ГОРОДА СТАВРОПОЛЯ</v>
      </c>
      <c r="B3565" s="24" t="s">
        <v>5150</v>
      </c>
      <c r="C3565" s="25">
        <v>7899957.9199999999</v>
      </c>
      <c r="D3565" s="22" t="s">
        <v>5151</v>
      </c>
      <c r="E3565" s="22" t="s">
        <v>59</v>
      </c>
      <c r="F3565" s="23" t="str">
        <f>HYPERLINK("https://www.spark-marketing.ru/Card/Lot/72531345", "Работы по установке камер видеонаблюдения на территории парка культуры и отдыха ""Победа"" города Ставрополя")</f>
        <v>Работы по установке камер видеонаблюдения на территории парка культуры и отдыха "Победа" города Ставрополя</v>
      </c>
      <c r="G3565" s="22" t="s">
        <v>258</v>
      </c>
      <c r="H3565" s="22" t="s">
        <v>258</v>
      </c>
      <c r="I3565" s="26">
        <v>43677.634178240703</v>
      </c>
      <c r="J3565" s="23" t="str">
        <f>HYPERLINK("https://www.spark-marketing.ru/Card/Person/6451562", "ООО ""ПСК""")</f>
        <v>ООО "ПСК"</v>
      </c>
      <c r="K3565" s="24" t="s">
        <v>5152</v>
      </c>
      <c r="L3565" s="22" t="s">
        <v>10</v>
      </c>
      <c r="M3565" s="28" t="s">
        <v>52</v>
      </c>
      <c r="N3565" s="28" t="s">
        <v>52</v>
      </c>
    </row>
    <row r="3566" spans="1:14" x14ac:dyDescent="0.15">
      <c r="A3566" s="23" t="str">
        <f>HYPERLINK("https://www.spark-marketing.ru/Card/Person/8126", "ТФОМС ИРКУТСКОЙ ОБЛАСТИ")</f>
        <v>ТФОМС ИРКУТСКОЙ ОБЛАСТИ</v>
      </c>
      <c r="B3566" s="24" t="s">
        <v>2807</v>
      </c>
      <c r="C3566" s="25">
        <v>283159.92</v>
      </c>
      <c r="D3566" s="22" t="s">
        <v>5153</v>
      </c>
      <c r="E3566" s="22" t="s">
        <v>52</v>
      </c>
      <c r="F3566" s="23" t="str">
        <f>HYPERLINK("https://www.spark-marketing.ru/Card/Lot/72514969", "Услуги охраны с помощью сигнализации офиса Усть-Ордынского филиала с 01.01.2020 г. по 31.12.2021 г.")</f>
        <v>Услуги охраны с помощью сигнализации офиса Усть-Ордынского филиала с 01.01.2020 г. по 31.12.2021 г.</v>
      </c>
      <c r="G3566" s="22" t="s">
        <v>281</v>
      </c>
      <c r="H3566" s="22" t="s">
        <v>281</v>
      </c>
      <c r="I3566" s="26">
        <v>43677.604432870401</v>
      </c>
      <c r="J3566" s="23" t="str">
        <f>HYPERLINK("https://www.spark-marketing.ru/Card/Person/270948", "ФЛ ФГУП ""ОХРАНА"" РОСГВАРДИИ ПО ИРКУТСКОЙ ОБЛАСТИ")</f>
        <v>ФЛ ФГУП "ОХРАНА" РОСГВАРДИИ ПО ИРКУТСКОЙ ОБЛАСТИ</v>
      </c>
      <c r="K3566" s="24" t="s">
        <v>779</v>
      </c>
      <c r="L3566" s="22" t="s">
        <v>10</v>
      </c>
      <c r="M3566" s="28" t="s">
        <v>52</v>
      </c>
      <c r="N3566" s="28" t="s">
        <v>52</v>
      </c>
    </row>
    <row r="3567" spans="1:14" x14ac:dyDescent="0.15">
      <c r="A3567" s="23" t="str">
        <f>HYPERLINK("https://www.spark-marketing.ru/Card/Person/1067347", "МКУК ""КДЦ ""МАЛООРЛОВСКИЙ СДК""")</f>
        <v>МКУК "КДЦ "МАЛООРЛОВСКИЙ СДК"</v>
      </c>
      <c r="B3567" s="24" t="s">
        <v>5154</v>
      </c>
      <c r="C3567" s="25">
        <v>97000</v>
      </c>
      <c r="D3567" s="22" t="s">
        <v>5155</v>
      </c>
      <c r="E3567" s="22" t="s">
        <v>84</v>
      </c>
      <c r="F3567" s="23" t="str">
        <f>HYPERLINK("https://www.spark-marketing.ru/Card/Lot/72509398", "Установка системы видеонаблюдения")</f>
        <v>Установка системы видеонаблюдения</v>
      </c>
      <c r="G3567" s="22" t="s">
        <v>402</v>
      </c>
      <c r="H3567" s="22" t="s">
        <v>4227</v>
      </c>
      <c r="I3567" s="26">
        <v>43677.589583333298</v>
      </c>
      <c r="J3567" s="28" t="s">
        <v>52</v>
      </c>
      <c r="K3567" s="28" t="s">
        <v>52</v>
      </c>
      <c r="L3567" s="28" t="s">
        <v>52</v>
      </c>
      <c r="M3567" s="28" t="s">
        <v>52</v>
      </c>
      <c r="N3567" s="28" t="s">
        <v>52</v>
      </c>
    </row>
    <row r="3568" spans="1:14" x14ac:dyDescent="0.15">
      <c r="A3568" s="23" t="str">
        <f>HYPERLINK("https://www.spark-marketing.ru/Card/Person/118787", "БУ ""ЭТНОГРАФИЧЕСКИЙ МУЗЕЙ ПОД ОТКРЫТЫМ НЕБОМ ""ТОРУМ МАА""""")</f>
        <v>БУ "ЭТНОГРАФИЧЕСКИЙ МУЗЕЙ ПОД ОТКРЫТЫМ НЕБОМ "ТОРУМ МАА""</v>
      </c>
      <c r="B3568" s="24" t="s">
        <v>5156</v>
      </c>
      <c r="C3568" s="28" t="s">
        <v>52</v>
      </c>
      <c r="D3568" s="22" t="s">
        <v>5157</v>
      </c>
      <c r="E3568" s="22" t="s">
        <v>52</v>
      </c>
      <c r="F3568" s="23" t="str">
        <f>HYPERLINK("https://www.spark-marketing.ru/Card/Lot/72510595", "На оказание охранных услуг (круглосуточно) с видеонаблюдением на объекте БУ ХМАО-Югры «Этнографический музей под открытым небом «Торум Маа»")</f>
        <v>На оказание охранных услуг (круглосуточно) с видеонаблюдением на объекте БУ ХМАО-Югры «Этнографический музей под открытым небом «Торум Маа»</v>
      </c>
      <c r="G3568" s="22" t="s">
        <v>119</v>
      </c>
      <c r="H3568" s="22" t="s">
        <v>2563</v>
      </c>
      <c r="I3568" s="26">
        <v>43677.622916666704</v>
      </c>
      <c r="J3568" s="28" t="s">
        <v>52</v>
      </c>
      <c r="K3568" s="28" t="s">
        <v>52</v>
      </c>
      <c r="L3568" s="28" t="s">
        <v>52</v>
      </c>
      <c r="M3568" s="28" t="s">
        <v>52</v>
      </c>
      <c r="N3568" s="28" t="s">
        <v>52</v>
      </c>
    </row>
    <row r="3569" spans="1:14" x14ac:dyDescent="0.15">
      <c r="A3569" s="23" t="str">
        <f>HYPERLINK("https://www.spark-marketing.ru/Card/Person/33137", "ФГБУЗ МСЧ № 164 ФМБА РОССИИ")</f>
        <v>ФГБУЗ МСЧ № 164 ФМБА РОССИИ</v>
      </c>
      <c r="B3569" s="24" t="s">
        <v>5158</v>
      </c>
      <c r="C3569" s="25">
        <v>432000</v>
      </c>
      <c r="D3569" s="22" t="s">
        <v>5159</v>
      </c>
      <c r="E3569" s="22" t="s">
        <v>68</v>
      </c>
      <c r="F3569" s="23" t="str">
        <f>HYPERLINK("https://www.spark-marketing.ru/Card/Lot/72523967", "Оказание услуг по охране объекта незавершенного строительства (инфекционного корпуса) ФГБУЗ МСЧ № 164 ФМБА России")</f>
        <v>Оказание услуг по охране объекта незавершенного строительства (инфекционного корпуса) ФГБУЗ МСЧ № 164 ФМБА России</v>
      </c>
      <c r="G3569" s="22" t="s">
        <v>50</v>
      </c>
      <c r="H3569" s="22" t="s">
        <v>5160</v>
      </c>
      <c r="I3569" s="26">
        <v>43677.5993171296</v>
      </c>
      <c r="J3569" s="28" t="s">
        <v>52</v>
      </c>
      <c r="K3569" s="28" t="s">
        <v>52</v>
      </c>
      <c r="L3569" s="28" t="s">
        <v>52</v>
      </c>
      <c r="M3569" s="28" t="s">
        <v>52</v>
      </c>
      <c r="N3569" s="28" t="s">
        <v>52</v>
      </c>
    </row>
    <row r="3570" spans="1:14" ht="12.75" hidden="1" outlineLevel="1" x14ac:dyDescent="0.2">
      <c r="A3570" s="23" t="str">
        <f>HYPERLINK("https://www.spark-marketing.ru/Card/Person/33137", "ФГБУЗ МСЧ № 164 ФМБА РОССИИ")</f>
        <v>ФГБУЗ МСЧ № 164 ФМБА РОССИИ</v>
      </c>
      <c r="B3570" s="24" t="s">
        <v>5158</v>
      </c>
      <c r="C3570" s="25">
        <v>432000</v>
      </c>
      <c r="D3570" s="22" t="s">
        <v>5159</v>
      </c>
      <c r="E3570" s="22" t="s">
        <v>68</v>
      </c>
      <c r="F3570" s="23" t="str">
        <f>HYPERLINK("https://www.spark-marketing.ru/Card/Lot/72523967", "Оказание услуг по охране объекта незавершенного строительства (инфекционного корпуса) ФГБУЗ МСЧ № 164 ФМБА России")</f>
        <v>Оказание услуг по охране объекта незавершенного строительства (инфекционного корпуса) ФГБУЗ МСЧ № 164 ФМБА России</v>
      </c>
      <c r="G3570" s="22" t="s">
        <v>50</v>
      </c>
      <c r="H3570" s="22" t="s">
        <v>5160</v>
      </c>
      <c r="I3570" s="26">
        <v>43677.5993171296</v>
      </c>
      <c r="J3570" s="23" t="str">
        <f>HYPERLINK("https://www.spark-marketing.ru/Card/Person/704077", "ООО ЧОП ""ПРО ПУСК""")</f>
        <v>ООО ЧОП "ПРО ПУСК"</v>
      </c>
      <c r="K3570" s="24" t="s">
        <v>5161</v>
      </c>
      <c r="L3570" s="22" t="s">
        <v>10</v>
      </c>
      <c r="M3570" s="25">
        <v>432000</v>
      </c>
      <c r="N3570" s="27">
        <v>0</v>
      </c>
    </row>
    <row r="3571" spans="1:14" hidden="1" outlineLevel="1" x14ac:dyDescent="0.2">
      <c r="A3571" s="23" t="str">
        <f>HYPERLINK("https://www.spark-marketing.ru/Card/Person/33137", "ФГБУЗ МСЧ № 164 ФМБА РОССИИ")</f>
        <v>ФГБУЗ МСЧ № 164 ФМБА РОССИИ</v>
      </c>
      <c r="B3571" s="24" t="s">
        <v>5158</v>
      </c>
      <c r="C3571" s="25">
        <v>432000</v>
      </c>
      <c r="D3571" s="22" t="s">
        <v>5159</v>
      </c>
      <c r="E3571" s="22" t="s">
        <v>68</v>
      </c>
      <c r="F3571" s="23" t="str">
        <f>HYPERLINK("https://www.spark-marketing.ru/Card/Lot/72523967", "Оказание услуг по охране объекта незавершенного строительства (инфекционного корпуса) ФГБУЗ МСЧ № 164 ФМБА России")</f>
        <v>Оказание услуг по охране объекта незавершенного строительства (инфекционного корпуса) ФГБУЗ МСЧ № 164 ФМБА России</v>
      </c>
      <c r="G3571" s="22" t="s">
        <v>50</v>
      </c>
      <c r="H3571" s="22" t="s">
        <v>5160</v>
      </c>
      <c r="I3571" s="26">
        <v>43677.5993171296</v>
      </c>
      <c r="J3571" s="23" t="str">
        <f>HYPERLINK("https://www.spark-marketing.ru/Card/Person/1356624", "ООО ЧОО ""ПРО ПУСК СКБ""")</f>
        <v>ООО ЧОО "ПРО ПУСК СКБ"</v>
      </c>
      <c r="K3571" s="24" t="s">
        <v>5162</v>
      </c>
      <c r="L3571" s="28" t="s">
        <v>52</v>
      </c>
      <c r="M3571" s="25">
        <v>432000</v>
      </c>
      <c r="N3571" s="27">
        <v>0</v>
      </c>
    </row>
    <row r="3572" spans="1:14" x14ac:dyDescent="0.15">
      <c r="A3572" s="23" t="str">
        <f>HYPERLINK("https://www.spark-marketing.ru/Card/Person/8126", "ТФОМС ИРКУТСКОЙ ОБЛАСТИ")</f>
        <v>ТФОМС ИРКУТСКОЙ ОБЛАСТИ</v>
      </c>
      <c r="B3572" s="24" t="s">
        <v>2807</v>
      </c>
      <c r="C3572" s="25">
        <v>32376.63</v>
      </c>
      <c r="D3572" s="22" t="s">
        <v>5163</v>
      </c>
      <c r="E3572" s="22" t="s">
        <v>52</v>
      </c>
      <c r="F3572" s="23" t="str">
        <f>HYPERLINK("https://www.spark-marketing.ru/Card/Lot/72505023", "Услуги охраны с помощью сигнализации офиса Иркутского филиала с 01.10.2019 г. по 31.08.2020 г.")</f>
        <v>Услуги охраны с помощью сигнализации офиса Иркутского филиала с 01.10.2019 г. по 31.08.2020 г.</v>
      </c>
      <c r="G3572" s="22" t="s">
        <v>281</v>
      </c>
      <c r="H3572" s="22" t="s">
        <v>281</v>
      </c>
      <c r="I3572" s="26">
        <v>43677.602615740703</v>
      </c>
      <c r="J3572" s="23" t="str">
        <f>HYPERLINK("https://www.spark-marketing.ru/Card/Person/332162", "ООО ОА ""СЭЙВ""")</f>
        <v>ООО ОА "СЭЙВ"</v>
      </c>
      <c r="K3572" s="24" t="s">
        <v>5164</v>
      </c>
      <c r="L3572" s="22" t="s">
        <v>10</v>
      </c>
      <c r="M3572" s="28" t="s">
        <v>52</v>
      </c>
      <c r="N3572" s="28" t="s">
        <v>52</v>
      </c>
    </row>
    <row r="3573" spans="1:14" x14ac:dyDescent="0.15">
      <c r="A3573" s="23" t="str">
        <f>HYPERLINK("https://www.spark-marketing.ru/Card/Person/9134", "ФБУ ""АДМИНИСТРАЦИЯ ""ВОЛГО-ДОН""")</f>
        <v>ФБУ "АДМИНИСТРАЦИЯ "ВОЛГО-ДОН"</v>
      </c>
      <c r="B3573" s="24" t="s">
        <v>3717</v>
      </c>
      <c r="C3573" s="25">
        <v>2139022</v>
      </c>
      <c r="D3573" s="22" t="s">
        <v>5165</v>
      </c>
      <c r="E3573" s="22" t="s">
        <v>585</v>
      </c>
      <c r="F3573" s="23" t="str">
        <f>HYPERLINK("https://www.spark-marketing.ru/Card/Lot/72529358", "Проведение сертификации инженерно-технических систем обеспечения транспортной безопасности объектов транспортной инфраструктуры")</f>
        <v>Проведение сертификации инженерно-технических систем обеспечения транспортной безопасности объектов транспортной инфраструктуры</v>
      </c>
      <c r="G3573" s="22" t="s">
        <v>343</v>
      </c>
      <c r="H3573" s="22" t="s">
        <v>343</v>
      </c>
      <c r="I3573" s="26">
        <v>43677.561469907399</v>
      </c>
      <c r="J3573" s="28" t="s">
        <v>52</v>
      </c>
      <c r="K3573" s="28" t="s">
        <v>52</v>
      </c>
      <c r="L3573" s="28" t="s">
        <v>52</v>
      </c>
      <c r="M3573" s="28" t="s">
        <v>52</v>
      </c>
      <c r="N3573" s="28" t="s">
        <v>52</v>
      </c>
    </row>
    <row r="3574" spans="1:14" x14ac:dyDescent="0.15">
      <c r="A3574" s="23" t="str">
        <f>HYPERLINK("https://www.spark-marketing.ru/Card/Person/1019305", "МОУ ""ЛОТОШИНСКАЯ СРЕДНЯЯ ОБЩЕОБРАЗОВАТЕЛЬНАЯ ШКОЛА №1""")</f>
        <v>МОУ "ЛОТОШИНСКАЯ СРЕДНЯЯ ОБЩЕОБРАЗОВАТЕЛЬНАЯ ШКОЛА №1"</v>
      </c>
      <c r="B3574" s="24" t="s">
        <v>5166</v>
      </c>
      <c r="C3574" s="25">
        <v>28212</v>
      </c>
      <c r="D3574" s="22" t="s">
        <v>5167</v>
      </c>
      <c r="E3574" s="22" t="s">
        <v>107</v>
      </c>
      <c r="F3574" s="23" t="str">
        <f>HYPERLINK("https://www.spark-marketing.ru/Card/Lot/72508789", "установка видеодомофона")</f>
        <v>установка видеодомофона</v>
      </c>
      <c r="G3574" s="22" t="s">
        <v>50</v>
      </c>
      <c r="H3574" s="22" t="s">
        <v>5168</v>
      </c>
      <c r="I3574" s="26">
        <v>43677.5551851852</v>
      </c>
      <c r="J3574" s="28" t="s">
        <v>52</v>
      </c>
      <c r="K3574" s="28" t="s">
        <v>52</v>
      </c>
      <c r="L3574" s="28" t="s">
        <v>52</v>
      </c>
      <c r="M3574" s="28" t="s">
        <v>52</v>
      </c>
      <c r="N3574" s="28" t="s">
        <v>52</v>
      </c>
    </row>
    <row r="3575" spans="1:14" x14ac:dyDescent="0.15">
      <c r="A3575" s="23" t="str">
        <f>HYPERLINK("https://www.spark-marketing.ru/Card/Person/4343363", "МИНОБОРОНЫ РОССИИ")</f>
        <v>МИНОБОРОНЫ РОССИИ</v>
      </c>
      <c r="B3575" s="24" t="s">
        <v>3561</v>
      </c>
      <c r="C3575" s="25">
        <v>4200000</v>
      </c>
      <c r="D3575" s="22" t="s">
        <v>5169</v>
      </c>
      <c r="E3575" s="22" t="s">
        <v>208</v>
      </c>
      <c r="F3575" s="23" t="str">
        <f>HYPERLINK("https://www.spark-marketing.ru/Card/Lot/72530611", "Закупка «Технические средства охраны объектов Вооруженных Сил Российской Федерации I, II, III категорий (поставка, установка и пусконаладочные работы) по спецификации, утверждаемой Минобороны России: поставка ручного металлодетектора «АКА-7202М» из с...")</f>
        <v>Закупка «Технические средства охраны объектов Вооруженных Сил Российской Федерации I, II, III категорий (поставка, установка и пусконаладочные работы) по спецификации, утверждаемой Минобороны России: поставка ручного металлодетектора «АКА-7202М» из с...</v>
      </c>
      <c r="G3575" s="22" t="s">
        <v>55</v>
      </c>
      <c r="H3575" s="22" t="s">
        <v>55</v>
      </c>
      <c r="I3575" s="26">
        <v>43677.536805555603</v>
      </c>
      <c r="J3575" s="28" t="s">
        <v>52</v>
      </c>
      <c r="K3575" s="28" t="s">
        <v>52</v>
      </c>
      <c r="L3575" s="28" t="s">
        <v>52</v>
      </c>
      <c r="M3575" s="28" t="s">
        <v>52</v>
      </c>
      <c r="N3575" s="28" t="s">
        <v>52</v>
      </c>
    </row>
    <row r="3576" spans="1:14" x14ac:dyDescent="0.15">
      <c r="A3576" s="23" t="str">
        <f>HYPERLINK("https://www.spark-marketing.ru/Card/Person/4343363", "МИНОБОРОНЫ РОССИИ")</f>
        <v>МИНОБОРОНЫ РОССИИ</v>
      </c>
      <c r="B3576" s="24" t="s">
        <v>3561</v>
      </c>
      <c r="C3576" s="25">
        <v>6999999.7199999997</v>
      </c>
      <c r="D3576" s="22" t="s">
        <v>5170</v>
      </c>
      <c r="E3576" s="22" t="s">
        <v>3569</v>
      </c>
      <c r="F3576" s="23" t="str">
        <f>HYPERLINK("https://www.spark-marketing.ru/Card/Lot/72531298", "Закупка «Технические средства охраны объектов Вооруженных Сил Российской Федерации I, II, III категорий (поставка, установка и пусконаладочные работы) по спецификации, утверждаемой Минобороны России: Поставка комплекта досмотровых зеркал «Шмель 3N» и...")</f>
        <v>Закупка «Технические средства охраны объектов Вооруженных Сил Российской Федерации I, II, III категорий (поставка, установка и пусконаладочные работы) по спецификации, утверждаемой Минобороны России: Поставка комплекта досмотровых зеркал «Шмель 3N» и...</v>
      </c>
      <c r="G3576" s="22" t="s">
        <v>55</v>
      </c>
      <c r="H3576" s="22" t="s">
        <v>55</v>
      </c>
      <c r="I3576" s="26">
        <v>43677.509803240697</v>
      </c>
      <c r="J3576" s="28" t="s">
        <v>52</v>
      </c>
      <c r="K3576" s="28" t="s">
        <v>52</v>
      </c>
      <c r="L3576" s="28" t="s">
        <v>52</v>
      </c>
      <c r="M3576" s="28" t="s">
        <v>52</v>
      </c>
      <c r="N3576" s="28" t="s">
        <v>52</v>
      </c>
    </row>
    <row r="3577" spans="1:14" x14ac:dyDescent="0.15">
      <c r="A3577" s="23" t="str">
        <f>HYPERLINK("https://www.spark-marketing.ru/Card/Person/401446", "ОБУ ""ТРК ""ЛИПЕЦКОЕ ВРЕМЯ""")</f>
        <v>ОБУ "ТРК "ЛИПЕЦКОЕ ВРЕМЯ"</v>
      </c>
      <c r="B3577" s="24" t="s">
        <v>5171</v>
      </c>
      <c r="C3577" s="25">
        <v>250491.93</v>
      </c>
      <c r="D3577" s="22" t="s">
        <v>5172</v>
      </c>
      <c r="E3577" s="22" t="s">
        <v>376</v>
      </c>
      <c r="F3577" s="23" t="str">
        <f>HYPERLINK("https://www.spark-marketing.ru/Card/Lot/72521264", "Светодиодная видеостена, её установка и ввод в эксплуатацию")</f>
        <v>Светодиодная видеостена, её установка и ввод в эксплуатацию</v>
      </c>
      <c r="G3577" s="22" t="s">
        <v>629</v>
      </c>
      <c r="H3577" s="22" t="s">
        <v>1603</v>
      </c>
      <c r="I3577" s="26">
        <v>43677.537719907399</v>
      </c>
      <c r="J3577" s="23" t="str">
        <f>HYPERLINK("https://www.spark-marketing.ru/Card/Person/5872931", "ООО ""1ЛЕД""")</f>
        <v>ООО "1ЛЕД"</v>
      </c>
      <c r="K3577" s="24" t="s">
        <v>5173</v>
      </c>
      <c r="L3577" s="22" t="s">
        <v>10</v>
      </c>
      <c r="M3577" s="28" t="s">
        <v>52</v>
      </c>
      <c r="N3577" s="28" t="s">
        <v>52</v>
      </c>
    </row>
    <row r="3578" spans="1:14" x14ac:dyDescent="0.15">
      <c r="A3578" s="23" t="str">
        <f>HYPERLINK("https://www.spark-marketing.ru/Card/Person/57470", "БПОУ ОО ОПЭК")</f>
        <v>БПОУ ОО ОПЭК</v>
      </c>
      <c r="B3578" s="24" t="s">
        <v>5174</v>
      </c>
      <c r="C3578" s="25">
        <v>948388.8</v>
      </c>
      <c r="D3578" s="22" t="s">
        <v>5175</v>
      </c>
      <c r="E3578" s="22" t="s">
        <v>59</v>
      </c>
      <c r="F3578" s="23" t="str">
        <f>HYPERLINK("https://www.spark-marketing.ru/Card/Lot/72527094", "Выполнение работ по установке системы видеонаблюдения в здании общежития БПОУ ОО ОПЭК (Реестровый номер ""19.33.1321"")")</f>
        <v>Выполнение работ по установке системы видеонаблюдения в здании общежития БПОУ ОО ОПЭК (Реестровый номер "19.33.1321")</v>
      </c>
      <c r="G3578" s="22" t="s">
        <v>521</v>
      </c>
      <c r="H3578" s="22" t="s">
        <v>522</v>
      </c>
      <c r="I3578" s="26">
        <v>43677.5176041667</v>
      </c>
      <c r="J3578" s="23" t="str">
        <f>HYPERLINK("https://www.spark-marketing.ru/Card/Person/417589", "ООО ""СПЕКТРОН""")</f>
        <v>ООО "СПЕКТРОН"</v>
      </c>
      <c r="K3578" s="24" t="s">
        <v>5176</v>
      </c>
      <c r="L3578" s="28" t="s">
        <v>52</v>
      </c>
      <c r="M3578" s="28" t="s">
        <v>52</v>
      </c>
      <c r="N3578" s="28" t="s">
        <v>52</v>
      </c>
    </row>
    <row r="3579" spans="1:14" hidden="1" outlineLevel="1" x14ac:dyDescent="0.15">
      <c r="A3579" s="23" t="str">
        <f>HYPERLINK("https://www.spark-marketing.ru/Card/Person/57470", "БПОУ ОО ОПЭК")</f>
        <v>БПОУ ОО ОПЭК</v>
      </c>
      <c r="B3579" s="24" t="s">
        <v>5174</v>
      </c>
      <c r="C3579" s="25">
        <v>948388.8</v>
      </c>
      <c r="D3579" s="22" t="s">
        <v>5175</v>
      </c>
      <c r="E3579" s="22" t="s">
        <v>59</v>
      </c>
      <c r="F3579" s="23" t="str">
        <f>HYPERLINK("https://www.spark-marketing.ru/Card/Lot/72527094", "Выполнение работ по установке системы видеонаблюдения в здании общежития БПОУ ОО ОПЭК (Реестровый номер ""19.33.1321"")")</f>
        <v>Выполнение работ по установке системы видеонаблюдения в здании общежития БПОУ ОО ОПЭК (Реестровый номер "19.33.1321")</v>
      </c>
      <c r="G3579" s="22" t="s">
        <v>521</v>
      </c>
      <c r="H3579" s="22" t="s">
        <v>522</v>
      </c>
      <c r="I3579" s="26">
        <v>43677.5176041667</v>
      </c>
      <c r="J3579" s="23" t="str">
        <f>HYPERLINK("https://www.spark-marketing.ru/Card/Person/417589", "ООО ""СПЕКТРОН""")</f>
        <v>ООО "СПЕКТРОН"</v>
      </c>
      <c r="K3579" s="24" t="s">
        <v>5176</v>
      </c>
      <c r="L3579" s="22" t="s">
        <v>10</v>
      </c>
      <c r="M3579" s="28" t="s">
        <v>52</v>
      </c>
      <c r="N3579" s="28" t="s">
        <v>52</v>
      </c>
    </row>
    <row r="3580" spans="1:14" x14ac:dyDescent="0.15">
      <c r="A3580" s="23" t="str">
        <f>HYPERLINK("https://www.spark-marketing.ru/Card/Person/127605", "ГУП ""МОСКОВСКИЙ МЕТРОПОЛИТЕН""")</f>
        <v>ГУП "МОСКОВСКИЙ МЕТРОПОЛИТЕН"</v>
      </c>
      <c r="B3580" s="24" t="s">
        <v>5177</v>
      </c>
      <c r="C3580" s="25">
        <v>37246521.68</v>
      </c>
      <c r="D3580" s="22" t="s">
        <v>5178</v>
      </c>
      <c r="E3580" s="22" t="s">
        <v>84</v>
      </c>
      <c r="F3580" s="23" t="str">
        <f>HYPERLINK("https://www.spark-marketing.ru/Card/Lot/72532243", "Выполнение работ по установке мониторов видеонаблюдения за хвостовыми вагонами подвижного состава (33 ст.)")</f>
        <v>Выполнение работ по установке мониторов видеонаблюдения за хвостовыми вагонами подвижного состава (33 ст.)</v>
      </c>
      <c r="G3580" s="22" t="s">
        <v>55</v>
      </c>
      <c r="H3580" s="22" t="s">
        <v>55</v>
      </c>
      <c r="I3580" s="26">
        <v>43677.494247685201</v>
      </c>
      <c r="J3580" s="28" t="s">
        <v>52</v>
      </c>
      <c r="K3580" s="28" t="s">
        <v>52</v>
      </c>
      <c r="L3580" s="28" t="s">
        <v>52</v>
      </c>
      <c r="M3580" s="28" t="s">
        <v>52</v>
      </c>
      <c r="N3580" s="28" t="s">
        <v>52</v>
      </c>
    </row>
    <row r="3581" spans="1:14" hidden="1" outlineLevel="1" x14ac:dyDescent="0.2">
      <c r="A3581" s="23" t="str">
        <f>HYPERLINK("https://www.spark-marketing.ru/Card/Person/127605", "ГУП ""МОСКОВСКИЙ МЕТРОПОЛИТЕН""")</f>
        <v>ГУП "МОСКОВСКИЙ МЕТРОПОЛИТЕН"</v>
      </c>
      <c r="B3581" s="24" t="s">
        <v>5177</v>
      </c>
      <c r="C3581" s="25">
        <v>37246521.68</v>
      </c>
      <c r="D3581" s="22" t="s">
        <v>5178</v>
      </c>
      <c r="E3581" s="22" t="s">
        <v>84</v>
      </c>
      <c r="F3581" s="23" t="str">
        <f>HYPERLINK("https://www.spark-marketing.ru/Card/Lot/72532243", "Выполнение работ по установке мониторов видеонаблюдения за хвостовыми вагонами подвижного состава (33 ст.)")</f>
        <v>Выполнение работ по установке мониторов видеонаблюдения за хвостовыми вагонами подвижного состава (33 ст.)</v>
      </c>
      <c r="G3581" s="22" t="s">
        <v>55</v>
      </c>
      <c r="H3581" s="22" t="s">
        <v>55</v>
      </c>
      <c r="I3581" s="26">
        <v>43677.494247685201</v>
      </c>
      <c r="J3581" s="23" t="str">
        <f>HYPERLINK("https://www.spark-marketing.ru/Card/Person/1615682", "ООО ""АКТОР ИНФОРМАЦИОННЫЕ СИСТЕМЫ""")</f>
        <v>ООО "АКТОР ИНФОРМАЦИОННЫЕ СИСТЕМЫ"</v>
      </c>
      <c r="K3581" s="24" t="s">
        <v>5179</v>
      </c>
      <c r="L3581" s="28" t="s">
        <v>52</v>
      </c>
      <c r="M3581" s="25">
        <v>29983449.890000001</v>
      </c>
      <c r="N3581" s="27">
        <v>0.19500000167532422</v>
      </c>
    </row>
    <row r="3582" spans="1:14" ht="12.75" hidden="1" outlineLevel="1" x14ac:dyDescent="0.2">
      <c r="A3582" s="23" t="str">
        <f>HYPERLINK("https://www.spark-marketing.ru/Card/Person/127605", "ГУП ""МОСКОВСКИЙ МЕТРОПОЛИТЕН""")</f>
        <v>ГУП "МОСКОВСКИЙ МЕТРОПОЛИТЕН"</v>
      </c>
      <c r="B3582" s="24" t="s">
        <v>5177</v>
      </c>
      <c r="C3582" s="25">
        <v>37246521.68</v>
      </c>
      <c r="D3582" s="22" t="s">
        <v>5178</v>
      </c>
      <c r="E3582" s="22" t="s">
        <v>84</v>
      </c>
      <c r="F3582" s="23" t="str">
        <f>HYPERLINK("https://www.spark-marketing.ru/Card/Lot/72532243", "Выполнение работ по установке мониторов видеонаблюдения за хвостовыми вагонами подвижного состава (33 ст.)")</f>
        <v>Выполнение работ по установке мониторов видеонаблюдения за хвостовыми вагонами подвижного состава (33 ст.)</v>
      </c>
      <c r="G3582" s="22" t="s">
        <v>55</v>
      </c>
      <c r="H3582" s="22" t="s">
        <v>55</v>
      </c>
      <c r="I3582" s="26">
        <v>43677.494247685201</v>
      </c>
      <c r="J3582" s="23" t="str">
        <f>HYPERLINK("https://www.spark-marketing.ru/Card/Person/27162", "ООО ""ПРОФ-ИТ ГРУПП""")</f>
        <v>ООО "ПРОФ-ИТ ГРУПП"</v>
      </c>
      <c r="K3582" s="24" t="s">
        <v>5180</v>
      </c>
      <c r="L3582" s="22" t="s">
        <v>10</v>
      </c>
      <c r="M3582" s="25">
        <v>29797217.280000001</v>
      </c>
      <c r="N3582" s="27">
        <v>0.20000000171828125</v>
      </c>
    </row>
    <row r="3583" spans="1:14" x14ac:dyDescent="0.15">
      <c r="A3583" s="23" t="str">
        <f>HYPERLINK("https://www.spark-marketing.ru/Card/Person/206465", "АО ФИРМА ""АГРОКОМПЛЕКС"" ИМ. Н.И.ТКАЧЕВА")</f>
        <v>АО ФИРМА "АГРОКОМПЛЕКС" ИМ. Н.И.ТКАЧЕВА</v>
      </c>
      <c r="B3583" s="24" t="s">
        <v>5181</v>
      </c>
      <c r="C3583" s="28" t="s">
        <v>52</v>
      </c>
      <c r="D3583" s="22" t="s">
        <v>5182</v>
      </c>
      <c r="E3583" s="22" t="s">
        <v>53</v>
      </c>
      <c r="F3583" s="23" t="str">
        <f>HYPERLINK("https://www.spark-marketing.ru/Card/Lot/72503826", "Обслуживание видеонаблюдения и СКУД объектов свиноводства в Краснодарском крае часть 2 и Республике Адыгея")</f>
        <v>Обслуживание видеонаблюдения и СКУД объектов свиноводства в Краснодарском крае часть 2 и Республике Адыгея</v>
      </c>
      <c r="G3583" s="22" t="s">
        <v>132</v>
      </c>
      <c r="H3583" s="22" t="s">
        <v>5183</v>
      </c>
      <c r="I3583" s="26">
        <v>43677.495138888902</v>
      </c>
      <c r="J3583" s="28" t="s">
        <v>52</v>
      </c>
      <c r="K3583" s="28" t="s">
        <v>52</v>
      </c>
      <c r="L3583" s="28" t="s">
        <v>52</v>
      </c>
      <c r="M3583" s="28" t="s">
        <v>52</v>
      </c>
      <c r="N3583" s="28" t="s">
        <v>52</v>
      </c>
    </row>
    <row r="3584" spans="1:14" x14ac:dyDescent="0.15">
      <c r="A3584" s="23" t="str">
        <f>HYPERLINK("https://www.spark-marketing.ru/Card/Person/244760", "ГКУ СО ""ДИРЕКЦИЯ ТРАНСПОРТА И ДОРОЖНОГО ХОЗЯЙСТВА""")</f>
        <v>ГКУ СО "ДИРЕКЦИЯ ТРАНСПОРТА И ДОРОЖНОГО ХОЗЯЙСТВА"</v>
      </c>
      <c r="B3584" s="24" t="s">
        <v>77</v>
      </c>
      <c r="C3584" s="25">
        <v>903362.04</v>
      </c>
      <c r="D3584" s="22" t="s">
        <v>5184</v>
      </c>
      <c r="E3584" s="22" t="s">
        <v>59</v>
      </c>
      <c r="F3584" s="23" t="str">
        <f>HYPERLINK("https://www.spark-marketing.ru/Card/Lot/72526520", "Установка недостающего светофорного объекта на км 12+910 автомобильной дороги общего пользования регионального значения «Автоподъезд к г. Энгельс от автомобильной дороги «А-298 автомобильная дорога Р-228 «Сызрань - Саратов - Волгоград» - Пристанное -...")</f>
        <v>Установка недостающего светофорного объекта на км 12+910 автомобильной дороги общего пользования регионального значения «Автоподъезд к г. Энгельс от автомобильной дороги «А-298 автомобильная дорога Р-228 «Сызрань - Саратов - Волгоград» - Пристанное -...</v>
      </c>
      <c r="G3584" s="22" t="s">
        <v>80</v>
      </c>
      <c r="H3584" s="22" t="s">
        <v>80</v>
      </c>
      <c r="I3584" s="26">
        <v>43677.483310185198</v>
      </c>
      <c r="J3584" s="23" t="str">
        <f>HYPERLINK("https://www.spark-marketing.ru/Card/Person/139959", "ООО ""САРАТОВТРАНССИГНАЛ""")</f>
        <v>ООО "САРАТОВТРАНССИГНАЛ"</v>
      </c>
      <c r="K3584" s="24" t="s">
        <v>5185</v>
      </c>
      <c r="L3584" s="28" t="s">
        <v>52</v>
      </c>
      <c r="M3584" s="28" t="s">
        <v>52</v>
      </c>
      <c r="N3584" s="28" t="s">
        <v>52</v>
      </c>
    </row>
    <row r="3585" spans="1:14" hidden="1" outlineLevel="1" x14ac:dyDescent="0.15">
      <c r="A3585" s="23" t="str">
        <f>HYPERLINK("https://www.spark-marketing.ru/Card/Person/244760", "ГКУ СО ""ДИРЕКЦИЯ ТРАНСПОРТА И ДОРОЖНОГО ХОЗЯЙСТВА""")</f>
        <v>ГКУ СО "ДИРЕКЦИЯ ТРАНСПОРТА И ДОРОЖНОГО ХОЗЯЙСТВА"</v>
      </c>
      <c r="B3585" s="24" t="s">
        <v>77</v>
      </c>
      <c r="C3585" s="25">
        <v>903362.04</v>
      </c>
      <c r="D3585" s="22" t="s">
        <v>5184</v>
      </c>
      <c r="E3585" s="22" t="s">
        <v>59</v>
      </c>
      <c r="F3585" s="23" t="str">
        <f>HYPERLINK("https://www.spark-marketing.ru/Card/Lot/72526520", "Установка недостающего светофорного объекта на км 12+910 автомобильной дороги общего пользования регионального значения «Автоподъезд к г. Энгельс от автомобильной дороги «А-298 автомобильная дорога Р-228 «Сызрань - Саратов - Волгоград» - Пристанное -...")</f>
        <v>Установка недостающего светофорного объекта на км 12+910 автомобильной дороги общего пользования регионального значения «Автоподъезд к г. Энгельс от автомобильной дороги «А-298 автомобильная дорога Р-228 «Сызрань - Саратов - Волгоград» - Пристанное -...</v>
      </c>
      <c r="G3585" s="22" t="s">
        <v>80</v>
      </c>
      <c r="H3585" s="22" t="s">
        <v>80</v>
      </c>
      <c r="I3585" s="26">
        <v>43677.483310185198</v>
      </c>
      <c r="J3585" s="23" t="str">
        <f>HYPERLINK("https://www.spark-marketing.ru/Card/Person/139959", "ООО ""САРАТОВТРАНССИГНАЛ""")</f>
        <v>ООО "САРАТОВТРАНССИГНАЛ"</v>
      </c>
      <c r="K3585" s="24" t="s">
        <v>5185</v>
      </c>
      <c r="L3585" s="22" t="s">
        <v>10</v>
      </c>
      <c r="M3585" s="28" t="s">
        <v>52</v>
      </c>
      <c r="N3585" s="28" t="s">
        <v>52</v>
      </c>
    </row>
    <row r="3586" spans="1:14" x14ac:dyDescent="0.15">
      <c r="A3586" s="23" t="str">
        <f>HYPERLINK("https://www.spark-marketing.ru/Card/Person/206465", "АО ФИРМА ""АГРОКОМПЛЕКС"" ИМ. Н.И.ТКАЧЕВА")</f>
        <v>АО ФИРМА "АГРОКОМПЛЕКС" ИМ. Н.И.ТКАЧЕВА</v>
      </c>
      <c r="B3586" s="24" t="s">
        <v>5181</v>
      </c>
      <c r="C3586" s="28" t="s">
        <v>52</v>
      </c>
      <c r="D3586" s="22" t="s">
        <v>5186</v>
      </c>
      <c r="E3586" s="22" t="s">
        <v>53</v>
      </c>
      <c r="F3586" s="23" t="str">
        <f>HYPERLINK("https://www.spark-marketing.ru/Card/Lot/72502984", "Обслуживание видеонаблюдения и СКУД объектов свиноводства Ростовской обл. часть 2")</f>
        <v>Обслуживание видеонаблюдения и СКУД объектов свиноводства Ростовской обл. часть 2</v>
      </c>
      <c r="G3586" s="22" t="s">
        <v>132</v>
      </c>
      <c r="H3586" s="22" t="s">
        <v>5183</v>
      </c>
      <c r="I3586" s="26">
        <v>43677.482638888898</v>
      </c>
      <c r="J3586" s="28" t="s">
        <v>52</v>
      </c>
      <c r="K3586" s="28" t="s">
        <v>52</v>
      </c>
      <c r="L3586" s="28" t="s">
        <v>52</v>
      </c>
      <c r="M3586" s="28" t="s">
        <v>52</v>
      </c>
      <c r="N3586" s="28" t="s">
        <v>52</v>
      </c>
    </row>
    <row r="3587" spans="1:14" x14ac:dyDescent="0.15">
      <c r="A3587" s="23" t="str">
        <f>HYPERLINK("https://www.spark-marketing.ru/Card/Person/57470", "БПОУ ОО ОПЭК")</f>
        <v>БПОУ ОО ОПЭК</v>
      </c>
      <c r="B3587" s="24" t="s">
        <v>5174</v>
      </c>
      <c r="C3587" s="25">
        <v>877567.2</v>
      </c>
      <c r="D3587" s="22" t="s">
        <v>5187</v>
      </c>
      <c r="E3587" s="22" t="s">
        <v>59</v>
      </c>
      <c r="F3587" s="23" t="str">
        <f>HYPERLINK("https://www.spark-marketing.ru/Card/Lot/72526545", "Выполнение работ по установке системы видеонаблюдения в здании учебного корпуса БПОУ ОО ОПЭК (Реестровый номер ""19.33.1322"")")</f>
        <v>Выполнение работ по установке системы видеонаблюдения в здании учебного корпуса БПОУ ОО ОПЭК (Реестровый номер "19.33.1322")</v>
      </c>
      <c r="G3587" s="22" t="s">
        <v>521</v>
      </c>
      <c r="H3587" s="22" t="s">
        <v>522</v>
      </c>
      <c r="I3587" s="26">
        <v>43677.493333333303</v>
      </c>
      <c r="J3587" s="23" t="str">
        <f>HYPERLINK("https://www.spark-marketing.ru/Card/Person/417589", "ООО ""СПЕКТРОН""")</f>
        <v>ООО "СПЕКТРОН"</v>
      </c>
      <c r="K3587" s="24" t="s">
        <v>5176</v>
      </c>
      <c r="L3587" s="28" t="s">
        <v>52</v>
      </c>
      <c r="M3587" s="28" t="s">
        <v>52</v>
      </c>
      <c r="N3587" s="28" t="s">
        <v>52</v>
      </c>
    </row>
    <row r="3588" spans="1:14" ht="12.75" hidden="1" outlineLevel="1" x14ac:dyDescent="0.2">
      <c r="A3588" s="23" t="str">
        <f>HYPERLINK("https://www.spark-marketing.ru/Card/Person/57470", "БПОУ ОО ОПЭК")</f>
        <v>БПОУ ОО ОПЭК</v>
      </c>
      <c r="B3588" s="24" t="s">
        <v>5174</v>
      </c>
      <c r="C3588" s="25">
        <v>877567.2</v>
      </c>
      <c r="D3588" s="22" t="s">
        <v>5187</v>
      </c>
      <c r="E3588" s="22" t="s">
        <v>59</v>
      </c>
      <c r="F3588" s="23" t="str">
        <f>HYPERLINK("https://www.spark-marketing.ru/Card/Lot/72526545", "Выполнение работ по установке системы видеонаблюдения в здании учебного корпуса БПОУ ОО ОПЭК (Реестровый номер ""19.33.1322"")")</f>
        <v>Выполнение работ по установке системы видеонаблюдения в здании учебного корпуса БПОУ ОО ОПЭК (Реестровый номер "19.33.1322")</v>
      </c>
      <c r="G3588" s="22" t="s">
        <v>521</v>
      </c>
      <c r="H3588" s="22" t="s">
        <v>522</v>
      </c>
      <c r="I3588" s="26">
        <v>43677.493333333303</v>
      </c>
      <c r="J3588" s="23" t="str">
        <f>HYPERLINK("https://www.spark-marketing.ru/Card/Person/417589", "ООО ""СПЕКТРОН""")</f>
        <v>ООО "СПЕКТРОН"</v>
      </c>
      <c r="K3588" s="24" t="s">
        <v>5176</v>
      </c>
      <c r="L3588" s="22" t="s">
        <v>10</v>
      </c>
      <c r="M3588" s="25">
        <v>873179.36</v>
      </c>
      <c r="N3588" s="27">
        <v>5.0000045580554974E-3</v>
      </c>
    </row>
    <row r="3589" spans="1:14" x14ac:dyDescent="0.15">
      <c r="A3589" s="23" t="str">
        <f>HYPERLINK("https://www.spark-marketing.ru/Card/Person/4875943", "НПП НЕФТЕХИМИЯ ООО")</f>
        <v>НПП НЕФТЕХИМИЯ ООО</v>
      </c>
      <c r="B3589" s="28" t="s">
        <v>52</v>
      </c>
      <c r="C3589" s="28" t="s">
        <v>52</v>
      </c>
      <c r="D3589" s="22" t="s">
        <v>5188</v>
      </c>
      <c r="E3589" s="22" t="s">
        <v>53</v>
      </c>
      <c r="F3589" s="23" t="str">
        <f>HYPERLINK("https://www.spark-marketing.ru/Card/Lot/72502987", "Лот #1. Техническое обслуживание системы видеонаблюдения")</f>
        <v>Лот #1. Техническое обслуживание системы видеонаблюдения</v>
      </c>
      <c r="G3589" s="22" t="s">
        <v>55</v>
      </c>
      <c r="H3589" s="22" t="s">
        <v>55</v>
      </c>
      <c r="I3589" s="26">
        <v>43677.474999999999</v>
      </c>
      <c r="J3589" s="28" t="s">
        <v>52</v>
      </c>
      <c r="K3589" s="28" t="s">
        <v>52</v>
      </c>
      <c r="L3589" s="28" t="s">
        <v>52</v>
      </c>
      <c r="M3589" s="28" t="s">
        <v>52</v>
      </c>
      <c r="N3589" s="28" t="s">
        <v>52</v>
      </c>
    </row>
    <row r="3590" spans="1:14" x14ac:dyDescent="0.15">
      <c r="A3590" s="23" t="str">
        <f>HYPERLINK("https://www.spark-marketing.ru/Card/Person/206465", "АО ФИРМА ""АГРОКОМПЛЕКС"" ИМ. Н.И.ТКАЧЕВА")</f>
        <v>АО ФИРМА "АГРОКОМПЛЕКС" ИМ. Н.И.ТКАЧЕВА</v>
      </c>
      <c r="B3590" s="24" t="s">
        <v>5181</v>
      </c>
      <c r="C3590" s="28" t="s">
        <v>52</v>
      </c>
      <c r="D3590" s="22" t="s">
        <v>5189</v>
      </c>
      <c r="E3590" s="22" t="s">
        <v>53</v>
      </c>
      <c r="F3590" s="23" t="str">
        <f>HYPERLINK("https://www.spark-marketing.ru/Card/Lot/72502983", "Обслуживание видеонаблюдения и СКУД объектов свиноводства в Ростовской обл часть 1")</f>
        <v>Обслуживание видеонаблюдения и СКУД объектов свиноводства в Ростовской обл часть 1</v>
      </c>
      <c r="G3590" s="22" t="s">
        <v>132</v>
      </c>
      <c r="H3590" s="22" t="s">
        <v>5183</v>
      </c>
      <c r="I3590" s="26">
        <v>43677.469444444403</v>
      </c>
      <c r="J3590" s="28" t="s">
        <v>52</v>
      </c>
      <c r="K3590" s="28" t="s">
        <v>52</v>
      </c>
      <c r="L3590" s="28" t="s">
        <v>52</v>
      </c>
      <c r="M3590" s="28" t="s">
        <v>52</v>
      </c>
      <c r="N3590" s="28" t="s">
        <v>52</v>
      </c>
    </row>
    <row r="3591" spans="1:14" x14ac:dyDescent="0.15">
      <c r="A3591" s="23" t="str">
        <f>HYPERLINK("https://www.spark-marketing.ru/Card/Person/206465", "АО ФИРМА ""АГРОКОМПЛЕКС"" ИМ. Н.И.ТКАЧЕВА")</f>
        <v>АО ФИРМА "АГРОКОМПЛЕКС" ИМ. Н.И.ТКАЧЕВА</v>
      </c>
      <c r="B3591" s="24" t="s">
        <v>5181</v>
      </c>
      <c r="C3591" s="28" t="s">
        <v>52</v>
      </c>
      <c r="D3591" s="22" t="s">
        <v>5190</v>
      </c>
      <c r="E3591" s="22" t="s">
        <v>53</v>
      </c>
      <c r="F3591" s="23" t="str">
        <f>HYPERLINK("https://www.spark-marketing.ru/Card/Lot/72502985", "Обслуживание видеонаблюдения и СКУД объектов свиноводства в Краснодарском крае часть 1")</f>
        <v>Обслуживание видеонаблюдения и СКУД объектов свиноводства в Краснодарском крае часть 1</v>
      </c>
      <c r="G3591" s="22" t="s">
        <v>132</v>
      </c>
      <c r="H3591" s="22" t="s">
        <v>5183</v>
      </c>
      <c r="I3591" s="26">
        <v>43677.488194444399</v>
      </c>
      <c r="J3591" s="28" t="s">
        <v>52</v>
      </c>
      <c r="K3591" s="28" t="s">
        <v>52</v>
      </c>
      <c r="L3591" s="28" t="s">
        <v>52</v>
      </c>
      <c r="M3591" s="28" t="s">
        <v>52</v>
      </c>
      <c r="N3591" s="28" t="s">
        <v>52</v>
      </c>
    </row>
    <row r="3592" spans="1:14" x14ac:dyDescent="0.15">
      <c r="A3592" s="23" t="str">
        <f>HYPERLINK("https://www.spark-marketing.ru/Card/Person/244760", "ГКУ СО ""ДИРЕКЦИЯ ТРАНСПОРТА И ДОРОЖНОГО ХОЗЯЙСТВА""")</f>
        <v>ГКУ СО "ДИРЕКЦИЯ ТРАНСПОРТА И ДОРОЖНОГО ХОЗЯЙСТВА"</v>
      </c>
      <c r="B3592" s="24" t="s">
        <v>77</v>
      </c>
      <c r="C3592" s="25">
        <v>924301.2</v>
      </c>
      <c r="D3592" s="22" t="s">
        <v>5191</v>
      </c>
      <c r="E3592" s="22" t="s">
        <v>59</v>
      </c>
      <c r="F3592" s="23" t="str">
        <f>HYPERLINK("https://www.spark-marketing.ru/Card/Lot/72526797", "Установка недостающего светофорного объекта на км 395+911 автомобильной дороги «Самара - Пугачев - Энгельс - Волгоград» в Энгельсском районе Саратовской области")</f>
        <v>Установка недостающего светофорного объекта на км 395+911 автомобильной дороги «Самара - Пугачев - Энгельс - Волгоград» в Энгельсском районе Саратовской области</v>
      </c>
      <c r="G3592" s="22" t="s">
        <v>80</v>
      </c>
      <c r="H3592" s="22" t="s">
        <v>80</v>
      </c>
      <c r="I3592" s="26">
        <v>43677.4188194444</v>
      </c>
      <c r="J3592" s="23" t="str">
        <f>HYPERLINK("https://www.spark-marketing.ru/Card/Person/139959", "ООО ""САРАТОВТРАНССИГНАЛ""")</f>
        <v>ООО "САРАТОВТРАНССИГНАЛ"</v>
      </c>
      <c r="K3592" s="24" t="s">
        <v>5185</v>
      </c>
      <c r="L3592" s="28" t="s">
        <v>52</v>
      </c>
      <c r="M3592" s="28" t="s">
        <v>52</v>
      </c>
      <c r="N3592" s="28" t="s">
        <v>52</v>
      </c>
    </row>
    <row r="3593" spans="1:14" hidden="1" outlineLevel="1" x14ac:dyDescent="0.15">
      <c r="A3593" s="23" t="str">
        <f>HYPERLINK("https://www.spark-marketing.ru/Card/Person/244760", "ГКУ СО ""ДИРЕКЦИЯ ТРАНСПОРТА И ДОРОЖНОГО ХОЗЯЙСТВА""")</f>
        <v>ГКУ СО "ДИРЕКЦИЯ ТРАНСПОРТА И ДОРОЖНОГО ХОЗЯЙСТВА"</v>
      </c>
      <c r="B3593" s="24" t="s">
        <v>77</v>
      </c>
      <c r="C3593" s="25">
        <v>924301.2</v>
      </c>
      <c r="D3593" s="22" t="s">
        <v>5191</v>
      </c>
      <c r="E3593" s="22" t="s">
        <v>59</v>
      </c>
      <c r="F3593" s="23" t="str">
        <f>HYPERLINK("https://www.spark-marketing.ru/Card/Lot/72526797", "Установка недостающего светофорного объекта на км 395+911 автомобильной дороги «Самара - Пугачев - Энгельс - Волгоград» в Энгельсском районе Саратовской области")</f>
        <v>Установка недостающего светофорного объекта на км 395+911 автомобильной дороги «Самара - Пугачев - Энгельс - Волгоград» в Энгельсском районе Саратовской области</v>
      </c>
      <c r="G3593" s="22" t="s">
        <v>80</v>
      </c>
      <c r="H3593" s="22" t="s">
        <v>80</v>
      </c>
      <c r="I3593" s="26">
        <v>43677.4188194444</v>
      </c>
      <c r="J3593" s="23" t="str">
        <f>HYPERLINK("https://www.spark-marketing.ru/Card/Person/139959", "ООО ""САРАТОВТРАНССИГНАЛ""")</f>
        <v>ООО "САРАТОВТРАНССИГНАЛ"</v>
      </c>
      <c r="K3593" s="24" t="s">
        <v>5185</v>
      </c>
      <c r="L3593" s="22" t="s">
        <v>10</v>
      </c>
      <c r="M3593" s="28" t="s">
        <v>52</v>
      </c>
      <c r="N3593" s="28" t="s">
        <v>52</v>
      </c>
    </row>
    <row r="3594" spans="1:14" x14ac:dyDescent="0.15">
      <c r="A3594" s="23" t="str">
        <f t="shared" ref="A3594:A3599" si="157">HYPERLINK("https://www.spark-marketing.ru/Card/Person/11896", "АДМИНИСТРАЦИЯ ЛУЖСКОГО МУНИЦИПАЛЬНОГО РАЙОНА")</f>
        <v>АДМИНИСТРАЦИЯ ЛУЖСКОГО МУНИЦИПАЛЬНОГО РАЙОНА</v>
      </c>
      <c r="B3594" s="24" t="s">
        <v>5192</v>
      </c>
      <c r="C3594" s="25">
        <v>680000</v>
      </c>
      <c r="D3594" s="22" t="s">
        <v>5193</v>
      </c>
      <c r="E3594" s="22" t="s">
        <v>52</v>
      </c>
      <c r="F3594" s="23" t="str">
        <f t="shared" ref="F3594:F3599" si="158">HYPERLINK("https://www.spark-marketing.ru/Card/Lot/72526095", "Поставка светофоров")</f>
        <v>Поставка светофоров</v>
      </c>
      <c r="G3594" s="22" t="s">
        <v>861</v>
      </c>
      <c r="H3594" s="22" t="s">
        <v>5194</v>
      </c>
      <c r="I3594" s="26">
        <v>43677.390601851897</v>
      </c>
      <c r="J3594" s="28" t="s">
        <v>52</v>
      </c>
      <c r="K3594" s="28" t="s">
        <v>52</v>
      </c>
      <c r="L3594" s="28" t="s">
        <v>52</v>
      </c>
      <c r="M3594" s="28" t="s">
        <v>52</v>
      </c>
      <c r="N3594" s="28" t="s">
        <v>52</v>
      </c>
    </row>
    <row r="3595" spans="1:14" ht="12.75" hidden="1" outlineLevel="1" x14ac:dyDescent="0.2">
      <c r="A3595" s="23" t="str">
        <f t="shared" si="157"/>
        <v>АДМИНИСТРАЦИЯ ЛУЖСКОГО МУНИЦИПАЛЬНОГО РАЙОНА</v>
      </c>
      <c r="B3595" s="24" t="s">
        <v>5192</v>
      </c>
      <c r="C3595" s="25">
        <v>680000</v>
      </c>
      <c r="D3595" s="22" t="s">
        <v>5193</v>
      </c>
      <c r="E3595" s="22" t="s">
        <v>52</v>
      </c>
      <c r="F3595" s="23" t="str">
        <f t="shared" si="158"/>
        <v>Поставка светофоров</v>
      </c>
      <c r="G3595" s="22" t="s">
        <v>861</v>
      </c>
      <c r="H3595" s="22" t="s">
        <v>5194</v>
      </c>
      <c r="I3595" s="26">
        <v>43677.390601851897</v>
      </c>
      <c r="J3595" s="23" t="str">
        <f>HYPERLINK("https://www.spark-marketing.ru/Card/Person/199232", "ООО ""ЭЛИНТЕЛ""")</f>
        <v>ООО "ЭЛИНТЕЛ"</v>
      </c>
      <c r="K3595" s="24" t="s">
        <v>5195</v>
      </c>
      <c r="L3595" s="22" t="s">
        <v>10</v>
      </c>
      <c r="M3595" s="25">
        <v>280000</v>
      </c>
      <c r="N3595" s="27">
        <v>0.58823529411764708</v>
      </c>
    </row>
    <row r="3596" spans="1:14" hidden="1" outlineLevel="1" x14ac:dyDescent="0.2">
      <c r="A3596" s="23" t="str">
        <f t="shared" si="157"/>
        <v>АДМИНИСТРАЦИЯ ЛУЖСКОГО МУНИЦИПАЛЬНОГО РАЙОНА</v>
      </c>
      <c r="B3596" s="24" t="s">
        <v>5192</v>
      </c>
      <c r="C3596" s="25">
        <v>680000</v>
      </c>
      <c r="D3596" s="22" t="s">
        <v>5193</v>
      </c>
      <c r="E3596" s="22" t="s">
        <v>52</v>
      </c>
      <c r="F3596" s="23" t="str">
        <f t="shared" si="158"/>
        <v>Поставка светофоров</v>
      </c>
      <c r="G3596" s="22" t="s">
        <v>861</v>
      </c>
      <c r="H3596" s="22" t="s">
        <v>5194</v>
      </c>
      <c r="I3596" s="26">
        <v>43677.390601851897</v>
      </c>
      <c r="J3596" s="23" t="str">
        <f>HYPERLINK("https://www.spark-marketing.ru/Card/Person/619902", "ООО ""КБСТ РУ""")</f>
        <v>ООО "КБСТ РУ"</v>
      </c>
      <c r="K3596" s="24" t="s">
        <v>5196</v>
      </c>
      <c r="L3596" s="28" t="s">
        <v>52</v>
      </c>
      <c r="M3596" s="25">
        <v>455000</v>
      </c>
      <c r="N3596" s="27">
        <v>0.33088235294117646</v>
      </c>
    </row>
    <row r="3597" spans="1:14" hidden="1" outlineLevel="1" x14ac:dyDescent="0.2">
      <c r="A3597" s="23" t="str">
        <f t="shared" si="157"/>
        <v>АДМИНИСТРАЦИЯ ЛУЖСКОГО МУНИЦИПАЛЬНОГО РАЙОНА</v>
      </c>
      <c r="B3597" s="24" t="s">
        <v>5192</v>
      </c>
      <c r="C3597" s="25">
        <v>680000</v>
      </c>
      <c r="D3597" s="22" t="s">
        <v>5193</v>
      </c>
      <c r="E3597" s="22" t="s">
        <v>52</v>
      </c>
      <c r="F3597" s="23" t="str">
        <f t="shared" si="158"/>
        <v>Поставка светофоров</v>
      </c>
      <c r="G3597" s="22" t="s">
        <v>861</v>
      </c>
      <c r="H3597" s="22" t="s">
        <v>5194</v>
      </c>
      <c r="I3597" s="26">
        <v>43677.390601851897</v>
      </c>
      <c r="J3597" s="23" t="str">
        <f>HYPERLINK("https://www.spark-marketing.ru/Card/Person/1324282", "Игнатьева Наталья Михайловна")</f>
        <v>Игнатьева Наталья Михайловна</v>
      </c>
      <c r="K3597" s="24" t="s">
        <v>5197</v>
      </c>
      <c r="L3597" s="28" t="s">
        <v>52</v>
      </c>
      <c r="M3597" s="25">
        <v>579830.77</v>
      </c>
      <c r="N3597" s="27">
        <v>0.14730769117647058</v>
      </c>
    </row>
    <row r="3598" spans="1:14" hidden="1" outlineLevel="1" x14ac:dyDescent="0.2">
      <c r="A3598" s="23" t="str">
        <f t="shared" si="157"/>
        <v>АДМИНИСТРАЦИЯ ЛУЖСКОГО МУНИЦИПАЛЬНОГО РАЙОНА</v>
      </c>
      <c r="B3598" s="24" t="s">
        <v>5192</v>
      </c>
      <c r="C3598" s="25">
        <v>680000</v>
      </c>
      <c r="D3598" s="22" t="s">
        <v>5193</v>
      </c>
      <c r="E3598" s="22" t="s">
        <v>52</v>
      </c>
      <c r="F3598" s="23" t="str">
        <f t="shared" si="158"/>
        <v>Поставка светофоров</v>
      </c>
      <c r="G3598" s="22" t="s">
        <v>861</v>
      </c>
      <c r="H3598" s="22" t="s">
        <v>5194</v>
      </c>
      <c r="I3598" s="26">
        <v>43677.390601851897</v>
      </c>
      <c r="J3598" s="23" t="str">
        <f>HYPERLINK("https://www.spark-marketing.ru/Card/Person/792071", "Саратова Елена Александровна")</f>
        <v>Саратова Елена Александровна</v>
      </c>
      <c r="K3598" s="24" t="s">
        <v>5198</v>
      </c>
      <c r="L3598" s="28" t="s">
        <v>52</v>
      </c>
      <c r="M3598" s="25">
        <v>451600</v>
      </c>
      <c r="N3598" s="27">
        <v>0.33588235294117647</v>
      </c>
    </row>
    <row r="3599" spans="1:14" hidden="1" outlineLevel="1" x14ac:dyDescent="0.2">
      <c r="A3599" s="23" t="str">
        <f t="shared" si="157"/>
        <v>АДМИНИСТРАЦИЯ ЛУЖСКОГО МУНИЦИПАЛЬНОГО РАЙОНА</v>
      </c>
      <c r="B3599" s="24" t="s">
        <v>5192</v>
      </c>
      <c r="C3599" s="25">
        <v>680000</v>
      </c>
      <c r="D3599" s="22" t="s">
        <v>5193</v>
      </c>
      <c r="E3599" s="22" t="s">
        <v>52</v>
      </c>
      <c r="F3599" s="23" t="str">
        <f t="shared" si="158"/>
        <v>Поставка светофоров</v>
      </c>
      <c r="G3599" s="22" t="s">
        <v>861</v>
      </c>
      <c r="H3599" s="22" t="s">
        <v>5194</v>
      </c>
      <c r="I3599" s="26">
        <v>43677.390601851897</v>
      </c>
      <c r="J3599" s="23" t="str">
        <f>HYPERLINK("https://www.spark-marketing.ru/Card/Person/172980", "АО ""СИСТЕМА-ЦЕНТР""")</f>
        <v>АО "СИСТЕМА-ЦЕНТР"</v>
      </c>
      <c r="K3599" s="24" t="s">
        <v>5199</v>
      </c>
      <c r="L3599" s="28" t="s">
        <v>52</v>
      </c>
      <c r="M3599" s="25">
        <v>280000</v>
      </c>
      <c r="N3599" s="27">
        <v>0.58823529411764708</v>
      </c>
    </row>
    <row r="3600" spans="1:14" x14ac:dyDescent="0.15">
      <c r="A3600" s="23" t="str">
        <f>HYPERLINK("https://www.spark-marketing.ru/Card/Person/119744", "ГОСТРУДИНСПЕКЦИЯ В ПЕНЗЕНСКОЙ ОБЛАСТИ")</f>
        <v>ГОСТРУДИНСПЕКЦИЯ В ПЕНЗЕНСКОЙ ОБЛАСТИ</v>
      </c>
      <c r="B3600" s="24" t="s">
        <v>3496</v>
      </c>
      <c r="C3600" s="25">
        <v>15051.45</v>
      </c>
      <c r="D3600" s="22" t="s">
        <v>5200</v>
      </c>
      <c r="E3600" s="22" t="s">
        <v>53</v>
      </c>
      <c r="F3600" s="23" t="str">
        <f>HYPERLINK("https://www.spark-marketing.ru/Card/Lot/72500427", "Охранные услуги")</f>
        <v>Охранные услуги</v>
      </c>
      <c r="G3600" s="22" t="s">
        <v>514</v>
      </c>
      <c r="H3600" s="22" t="s">
        <v>2167</v>
      </c>
      <c r="I3600" s="26">
        <v>43677.384710648097</v>
      </c>
      <c r="J3600" s="28" t="s">
        <v>52</v>
      </c>
      <c r="K3600" s="28" t="s">
        <v>52</v>
      </c>
      <c r="L3600" s="28" t="s">
        <v>52</v>
      </c>
      <c r="M3600" s="28" t="s">
        <v>52</v>
      </c>
      <c r="N3600" s="28" t="s">
        <v>52</v>
      </c>
    </row>
    <row r="3601" spans="1:14" x14ac:dyDescent="0.15">
      <c r="A3601" s="23" t="str">
        <f>HYPERLINK("https://www.spark-marketing.ru/Card/Person/4932847", "МКУ ""ЕДДС КОРОЧАНСКОГО РАЙОНА""")</f>
        <v>МКУ "ЕДДС КОРОЧАНСКОГО РАЙОНА"</v>
      </c>
      <c r="B3601" s="24" t="s">
        <v>5201</v>
      </c>
      <c r="C3601" s="25">
        <v>274999.95</v>
      </c>
      <c r="D3601" s="22" t="s">
        <v>5202</v>
      </c>
      <c r="E3601" s="22" t="s">
        <v>294</v>
      </c>
      <c r="F3601" s="23" t="str">
        <f>HYPERLINK("https://www.spark-marketing.ru/Card/Lot/72500359", "Техническое обслуживание камер видеонаблюдения АПК ""Безопасный город""")</f>
        <v>Техническое обслуживание камер видеонаблюдения АПК "Безопасный город"</v>
      </c>
      <c r="G3601" s="22" t="s">
        <v>176</v>
      </c>
      <c r="H3601" s="22" t="s">
        <v>5203</v>
      </c>
      <c r="I3601" s="26">
        <v>43677.412499999999</v>
      </c>
      <c r="J3601" s="28" t="s">
        <v>52</v>
      </c>
      <c r="K3601" s="28" t="s">
        <v>52</v>
      </c>
      <c r="L3601" s="28" t="s">
        <v>52</v>
      </c>
      <c r="M3601" s="28" t="s">
        <v>52</v>
      </c>
      <c r="N3601" s="28" t="s">
        <v>52</v>
      </c>
    </row>
    <row r="3602" spans="1:14" x14ac:dyDescent="0.15">
      <c r="A3602" s="23" t="str">
        <f>HYPERLINK("https://www.spark-marketing.ru/Card/Person/6049332", "ООО ""КАЗАНЬ ЭКСПО""")</f>
        <v>ООО "КАЗАНЬ ЭКСПО"</v>
      </c>
      <c r="B3602" s="24" t="s">
        <v>5204</v>
      </c>
      <c r="C3602" s="25">
        <v>0</v>
      </c>
      <c r="D3602" s="22" t="s">
        <v>5205</v>
      </c>
      <c r="E3602" s="22" t="s">
        <v>53</v>
      </c>
      <c r="F3602" s="23" t="str">
        <f>HYPERLINK("https://www.spark-marketing.ru/Card/Lot/72534300", "Стойка для монтажа видеостены 3х2 (мониторы 55"", предусмотреть место под установку системных блоков)")</f>
        <v>Стойка для монтажа видеостены 3х2 (мониторы 55", предусмотреть место под установку системных блоков)</v>
      </c>
      <c r="G3602" s="22" t="s">
        <v>204</v>
      </c>
      <c r="H3602" s="22" t="s">
        <v>303</v>
      </c>
      <c r="I3602" s="26">
        <v>43677.416053240697</v>
      </c>
      <c r="J3602" s="28" t="s">
        <v>52</v>
      </c>
      <c r="K3602" s="28" t="s">
        <v>52</v>
      </c>
      <c r="L3602" s="28" t="s">
        <v>52</v>
      </c>
      <c r="M3602" s="28" t="s">
        <v>52</v>
      </c>
      <c r="N3602" s="28" t="s">
        <v>52</v>
      </c>
    </row>
    <row r="3603" spans="1:14" x14ac:dyDescent="0.15">
      <c r="A3603" s="23" t="str">
        <f>HYPERLINK("https://www.spark-marketing.ru/Card/Person/1071798", "МКОУ ""СУЗУНСКАЯ СОШ №1""")</f>
        <v>МКОУ "СУЗУНСКАЯ СОШ №1"</v>
      </c>
      <c r="B3603" s="24" t="s">
        <v>5206</v>
      </c>
      <c r="C3603" s="25">
        <v>426728</v>
      </c>
      <c r="D3603" s="22" t="s">
        <v>5207</v>
      </c>
      <c r="E3603" s="22" t="s">
        <v>84</v>
      </c>
      <c r="F3603" s="23" t="str">
        <f>HYPERLINK("https://www.spark-marketing.ru/Card/Lot/72500354", "Услуги выполнения работ по установке системы видеонаблюдения")</f>
        <v>Услуги выполнения работ по установке системы видеонаблюдения</v>
      </c>
      <c r="G3603" s="22" t="s">
        <v>209</v>
      </c>
      <c r="H3603" s="22" t="s">
        <v>5208</v>
      </c>
      <c r="I3603" s="26">
        <v>43677.410416666702</v>
      </c>
      <c r="J3603" s="28" t="s">
        <v>52</v>
      </c>
      <c r="K3603" s="28" t="s">
        <v>52</v>
      </c>
      <c r="L3603" s="28" t="s">
        <v>52</v>
      </c>
      <c r="M3603" s="28" t="s">
        <v>52</v>
      </c>
      <c r="N3603" s="28" t="s">
        <v>52</v>
      </c>
    </row>
    <row r="3604" spans="1:14" x14ac:dyDescent="0.15">
      <c r="A3604" s="23" t="str">
        <f>HYPERLINK("https://www.spark-marketing.ru/Card/Person/4348561", "ПАО ""КТК""")</f>
        <v>ПАО "КТК"</v>
      </c>
      <c r="B3604" s="24" t="s">
        <v>5209</v>
      </c>
      <c r="C3604" s="25">
        <v>0</v>
      </c>
      <c r="D3604" s="22" t="s">
        <v>5210</v>
      </c>
      <c r="E3604" s="22" t="s">
        <v>208</v>
      </c>
      <c r="F3604" s="23" t="str">
        <f>HYPERLINK("https://www.spark-marketing.ru/Card/Lot/72502480", "Закупка №2019-01-85")</f>
        <v>Закупка №2019-01-85</v>
      </c>
      <c r="G3604" s="22" t="s">
        <v>367</v>
      </c>
      <c r="H3604" s="22" t="s">
        <v>881</v>
      </c>
      <c r="I3604" s="26">
        <v>43677.295949074098</v>
      </c>
      <c r="J3604" s="28" t="s">
        <v>52</v>
      </c>
      <c r="K3604" s="28" t="s">
        <v>52</v>
      </c>
      <c r="L3604" s="28" t="s">
        <v>52</v>
      </c>
      <c r="M3604" s="28" t="s">
        <v>52</v>
      </c>
      <c r="N3604" s="28" t="s">
        <v>52</v>
      </c>
    </row>
    <row r="3605" spans="1:14" x14ac:dyDescent="0.15">
      <c r="A3605" s="23" t="str">
        <f>HYPERLINK("https://www.spark-marketing.ru/Card/Person/10780", "АО ""НАЦИМБИО""")</f>
        <v>АО "НАЦИМБИО"</v>
      </c>
      <c r="B3605" s="24" t="s">
        <v>3857</v>
      </c>
      <c r="C3605" s="25">
        <v>3947329</v>
      </c>
      <c r="D3605" s="22" t="s">
        <v>5211</v>
      </c>
      <c r="E3605" s="22" t="s">
        <v>144</v>
      </c>
      <c r="F3605" s="23" t="str">
        <f>HYPERLINK("https://www.spark-marketing.ru/Card/Lot/72510362", "0900-2019-00098. Оказание охранных услуг на объекте незавершенного строительства в г. Кирове")</f>
        <v>0900-2019-00098. Оказание охранных услуг на объекте незавершенного строительства в г. Кирове</v>
      </c>
      <c r="G3605" s="22" t="s">
        <v>55</v>
      </c>
      <c r="H3605" s="22" t="s">
        <v>55</v>
      </c>
      <c r="I3605" s="26">
        <v>43677</v>
      </c>
      <c r="J3605" s="28" t="s">
        <v>52</v>
      </c>
      <c r="K3605" s="28" t="s">
        <v>52</v>
      </c>
      <c r="L3605" s="28" t="s">
        <v>52</v>
      </c>
      <c r="M3605" s="28" t="s">
        <v>52</v>
      </c>
      <c r="N3605" s="28" t="s">
        <v>52</v>
      </c>
    </row>
    <row r="3606" spans="1:14" x14ac:dyDescent="0.15">
      <c r="A3606" s="23" t="str">
        <f>HYPERLINK("https://www.spark-marketing.ru/Card/Person/1312927", "МАУК ""ГПК И О""")</f>
        <v>МАУК "ГПК И О"</v>
      </c>
      <c r="B3606" s="24" t="s">
        <v>5212</v>
      </c>
      <c r="C3606" s="25">
        <v>670100</v>
      </c>
      <c r="D3606" s="22" t="s">
        <v>5213</v>
      </c>
      <c r="E3606" s="22" t="s">
        <v>5214</v>
      </c>
      <c r="F3606" s="23" t="str">
        <f>HYPERLINK("https://www.spark-marketing.ru/Card/Lot/72509114", "Услуги по обслуживанию сценического, звукового, светового и видео оборудования в праздничных мероприятиях, посвященных празднованию 76-ой годовщины освобождения города Орла от немецко-фашистских захватчиков и 453-й годовщины основания города Орла")</f>
        <v>Услуги по обслуживанию сценического, звукового, светового и видео оборудования в праздничных мероприятиях, посвященных празднованию 76-ой годовщины освобождения города Орла от немецко-фашистских захватчиков и 453-й годовщины основания города Орла</v>
      </c>
      <c r="G3606" s="22" t="s">
        <v>492</v>
      </c>
      <c r="H3606" s="22" t="s">
        <v>492</v>
      </c>
      <c r="I3606" s="26">
        <v>43677</v>
      </c>
      <c r="J3606" s="28" t="s">
        <v>52</v>
      </c>
      <c r="K3606" s="28" t="s">
        <v>52</v>
      </c>
      <c r="L3606" s="28" t="s">
        <v>52</v>
      </c>
      <c r="M3606" s="28" t="s">
        <v>52</v>
      </c>
      <c r="N3606" s="28" t="s">
        <v>52</v>
      </c>
    </row>
    <row r="3607" spans="1:14" x14ac:dyDescent="0.15">
      <c r="A3607" s="23" t="str">
        <f>HYPERLINK("https://www.spark-marketing.ru/Card/Person/1298075", "МАДОУ ""ДЕТСКИЙ САД № 40 ЦРР""")</f>
        <v>МАДОУ "ДЕТСКИЙ САД № 40 ЦРР"</v>
      </c>
      <c r="B3607" s="24" t="s">
        <v>5215</v>
      </c>
      <c r="C3607" s="25">
        <v>326030</v>
      </c>
      <c r="D3607" s="22" t="s">
        <v>5216</v>
      </c>
      <c r="E3607" s="22" t="s">
        <v>144</v>
      </c>
      <c r="F3607" s="23" t="str">
        <f>HYPERLINK("https://www.spark-marketing.ru/Card/Lot/72512766", "Оказание услуг по обеспечению пропускного и внутриобъектового режимов на территории МАДОУ «Детский сад № 40 ЦРР»")</f>
        <v>Оказание услуг по обеспечению пропускного и внутриобъектового режимов на территории МАДОУ «Детский сад № 40 ЦРР»</v>
      </c>
      <c r="G3607" s="22" t="s">
        <v>50</v>
      </c>
      <c r="H3607" s="22" t="s">
        <v>50</v>
      </c>
      <c r="I3607" s="26">
        <v>43677</v>
      </c>
      <c r="J3607" s="28" t="s">
        <v>52</v>
      </c>
      <c r="K3607" s="28" t="s">
        <v>52</v>
      </c>
      <c r="L3607" s="28" t="s">
        <v>52</v>
      </c>
      <c r="M3607" s="28" t="s">
        <v>52</v>
      </c>
      <c r="N3607" s="28" t="s">
        <v>52</v>
      </c>
    </row>
    <row r="3608" spans="1:14" x14ac:dyDescent="0.15">
      <c r="A3608" s="23" t="str">
        <f>HYPERLINK("https://www.spark-marketing.ru/Card/Person/1761832", "ОАО ""РЫНОЧНЫЙ КОМПЛЕКС ""ЦАРИЦЫНСКИЙ""")</f>
        <v>ОАО "РЫНОЧНЫЙ КОМПЛЕКС "ЦАРИЦЫНСКИЙ"</v>
      </c>
      <c r="B3608" s="24" t="s">
        <v>613</v>
      </c>
      <c r="C3608" s="25">
        <v>293832</v>
      </c>
      <c r="D3608" s="22" t="s">
        <v>5217</v>
      </c>
      <c r="E3608" s="22" t="s">
        <v>615</v>
      </c>
      <c r="F3608" s="23" t="str">
        <f>HYPERLINK("https://www.spark-marketing.ru/Card/Lot/72510834", "оказание услуг по охране объекта")</f>
        <v>оказание услуг по охране объекта</v>
      </c>
      <c r="G3608" s="22" t="s">
        <v>55</v>
      </c>
      <c r="H3608" s="22" t="s">
        <v>55</v>
      </c>
      <c r="I3608" s="26">
        <v>43677</v>
      </c>
      <c r="J3608" s="28" t="s">
        <v>52</v>
      </c>
      <c r="K3608" s="28" t="s">
        <v>52</v>
      </c>
      <c r="L3608" s="28" t="s">
        <v>52</v>
      </c>
      <c r="M3608" s="28" t="s">
        <v>52</v>
      </c>
      <c r="N3608" s="28" t="s">
        <v>52</v>
      </c>
    </row>
    <row r="3609" spans="1:14" x14ac:dyDescent="0.2">
      <c r="A3609" s="23" t="str">
        <f>HYPERLINK("https://www.spark-marketing.ru/Card/Person/1753327", "ООО ""СК ""РУСВЬЕТПЕТРО""")</f>
        <v>ООО "СК "РУСВЬЕТПЕТРО"</v>
      </c>
      <c r="B3609" s="24" t="s">
        <v>3114</v>
      </c>
      <c r="C3609" s="25">
        <v>1348620</v>
      </c>
      <c r="D3609" s="22" t="s">
        <v>5218</v>
      </c>
      <c r="E3609" s="22" t="s">
        <v>2577</v>
      </c>
      <c r="F3609" s="23" t="str">
        <f>HYPERLINK("https://www.spark-marketing.ru/Card/Lot/72511081", "Техническое обслуживание системы охранного видеонаблюдения")</f>
        <v>Техническое обслуживание системы охранного видеонаблюдения</v>
      </c>
      <c r="G3609" s="22" t="s">
        <v>1014</v>
      </c>
      <c r="H3609" s="22" t="s">
        <v>1014</v>
      </c>
      <c r="I3609" s="26">
        <v>43677</v>
      </c>
      <c r="J3609" s="28" t="s">
        <v>52</v>
      </c>
      <c r="K3609" s="28" t="s">
        <v>52</v>
      </c>
      <c r="L3609" s="28" t="s">
        <v>52</v>
      </c>
      <c r="M3609" s="25">
        <v>1348620</v>
      </c>
      <c r="N3609" s="27">
        <v>0</v>
      </c>
    </row>
    <row r="3610" spans="1:14" x14ac:dyDescent="0.15">
      <c r="A3610" s="23" t="str">
        <f>HYPERLINK("https://www.spark-marketing.ru/Card/Person/148487", "МБДОУ ""ДЕТСКИЙ САД ОБЩЕРАЗВИВАЮЩЕГО ВИДА №34"" НМР РТ")</f>
        <v>МБДОУ "ДЕТСКИЙ САД ОБЩЕРАЗВИВАЮЩЕГО ВИДА №34" НМР РТ</v>
      </c>
      <c r="B3610" s="24" t="s">
        <v>5106</v>
      </c>
      <c r="C3610" s="25">
        <v>1050</v>
      </c>
      <c r="D3610" s="22" t="s">
        <v>5219</v>
      </c>
      <c r="E3610" s="22" t="s">
        <v>53</v>
      </c>
      <c r="F3610" s="23" t="str">
        <f>HYPERLINK("https://www.spark-marketing.ru/Card/Lot/73776486", "Техническое обслуживание системы видеонаблюдения")</f>
        <v>Техническое обслуживание системы видеонаблюдения</v>
      </c>
      <c r="G3610" s="22" t="s">
        <v>204</v>
      </c>
      <c r="H3610" s="22" t="s">
        <v>824</v>
      </c>
      <c r="I3610" s="26">
        <v>43677</v>
      </c>
      <c r="J3610" s="28" t="s">
        <v>52</v>
      </c>
      <c r="K3610" s="28" t="s">
        <v>52</v>
      </c>
      <c r="L3610" s="28" t="s">
        <v>52</v>
      </c>
      <c r="M3610" s="28" t="s">
        <v>52</v>
      </c>
      <c r="N3610" s="28" t="s">
        <v>52</v>
      </c>
    </row>
    <row r="3611" spans="1:14" x14ac:dyDescent="0.15">
      <c r="A3611" s="23" t="str">
        <f>HYPERLINK("https://www.spark-marketing.ru/Card/Person/6450322", "ЗАКАЗЧИК РП БЕЛАРУСЬ")</f>
        <v>ЗАКАЗЧИК РП БЕЛАРУСЬ</v>
      </c>
      <c r="B3611" s="28" t="s">
        <v>52</v>
      </c>
      <c r="C3611" s="28" t="s">
        <v>52</v>
      </c>
      <c r="D3611" s="22" t="s">
        <v>5220</v>
      </c>
      <c r="E3611" s="22" t="s">
        <v>53</v>
      </c>
      <c r="F3611" s="23" t="str">
        <f>HYPERLINK("https://www.spark-marketing.ru/Card/Lot/72517482", "услуга по обеспечению пропускного режима и охране объекта")</f>
        <v>услуга по обеспечению пропускного режима и охране объекта</v>
      </c>
      <c r="G3611" s="22" t="s">
        <v>52</v>
      </c>
      <c r="H3611" s="22" t="s">
        <v>52</v>
      </c>
      <c r="I3611" s="26">
        <v>43677</v>
      </c>
      <c r="J3611" s="28" t="s">
        <v>52</v>
      </c>
      <c r="K3611" s="28" t="s">
        <v>52</v>
      </c>
      <c r="L3611" s="28" t="s">
        <v>52</v>
      </c>
      <c r="M3611" s="28" t="s">
        <v>52</v>
      </c>
      <c r="N3611" s="28" t="s">
        <v>52</v>
      </c>
    </row>
    <row r="3612" spans="1:14" x14ac:dyDescent="0.15">
      <c r="A3612" s="23" t="str">
        <f>HYPERLINK("https://www.spark-marketing.ru/Card/Person/58277", "ФГУП ""ЦЭНКИ""")</f>
        <v>ФГУП "ЦЭНКИ"</v>
      </c>
      <c r="B3612" s="24" t="s">
        <v>3774</v>
      </c>
      <c r="C3612" s="25">
        <v>18548856.780000001</v>
      </c>
      <c r="D3612" s="22" t="s">
        <v>5221</v>
      </c>
      <c r="E3612" s="22" t="s">
        <v>370</v>
      </c>
      <c r="F3612" s="23" t="str">
        <f>HYPERLINK("https://www.spark-marketing.ru/Card/Lot/72515945", "Выполнение работ по техническому обслуживанию инженерно-технических средств охраны объектов космодрома «Восточный» Амурской области")</f>
        <v>Выполнение работ по техническому обслуживанию инженерно-технических средств охраны объектов космодрома «Восточный» Амурской области</v>
      </c>
      <c r="G3612" s="22" t="s">
        <v>230</v>
      </c>
      <c r="H3612" s="22" t="s">
        <v>230</v>
      </c>
      <c r="I3612" s="26">
        <v>43677</v>
      </c>
      <c r="J3612" s="28" t="s">
        <v>52</v>
      </c>
      <c r="K3612" s="28" t="s">
        <v>52</v>
      </c>
      <c r="L3612" s="28" t="s">
        <v>52</v>
      </c>
      <c r="M3612" s="28" t="s">
        <v>52</v>
      </c>
      <c r="N3612" s="28" t="s">
        <v>52</v>
      </c>
    </row>
    <row r="3613" spans="1:14" x14ac:dyDescent="0.2">
      <c r="A3613" s="23" t="str">
        <f>HYPERLINK("https://www.spark-marketing.ru/Card/Person/111779", "ГАУ РО ""ОКДЦ""")</f>
        <v>ГАУ РО "ОКДЦ"</v>
      </c>
      <c r="B3613" s="24" t="s">
        <v>3620</v>
      </c>
      <c r="C3613" s="25">
        <v>160000</v>
      </c>
      <c r="D3613" s="22" t="s">
        <v>5222</v>
      </c>
      <c r="E3613" s="22" t="s">
        <v>5223</v>
      </c>
      <c r="F3613" s="23" t="str">
        <f>HYPERLINK("https://www.spark-marketing.ru/Card/Lot/72516789", "Закупка услуг по физической охране объектов Заказчика")</f>
        <v>Закупка услуг по физической охране объектов Заказчика</v>
      </c>
      <c r="G3613" s="22" t="s">
        <v>402</v>
      </c>
      <c r="H3613" s="22" t="s">
        <v>403</v>
      </c>
      <c r="I3613" s="26">
        <v>43677</v>
      </c>
      <c r="J3613" s="28" t="s">
        <v>52</v>
      </c>
      <c r="K3613" s="28" t="s">
        <v>52</v>
      </c>
      <c r="L3613" s="28" t="s">
        <v>52</v>
      </c>
      <c r="M3613" s="25">
        <v>160000</v>
      </c>
      <c r="N3613" s="27">
        <v>0</v>
      </c>
    </row>
    <row r="3614" spans="1:14" x14ac:dyDescent="0.15">
      <c r="A3614" s="23" t="str">
        <f>HYPERLINK("https://www.spark-marketing.ru/Card/Person/537953", "МУП ""ВОДОКАНАЛ""")</f>
        <v>МУП "ВОДОКАНАЛ"</v>
      </c>
      <c r="B3614" s="24" t="s">
        <v>5224</v>
      </c>
      <c r="C3614" s="25">
        <v>361210</v>
      </c>
      <c r="D3614" s="22" t="s">
        <v>5225</v>
      </c>
      <c r="E3614" s="22" t="s">
        <v>49</v>
      </c>
      <c r="F3614" s="23" t="str">
        <f>HYPERLINK("https://www.spark-marketing.ru/Card/Lot/72512824", "Установка системы охранной сигнализации")</f>
        <v>Установка системы охранной сигнализации</v>
      </c>
      <c r="G3614" s="22" t="s">
        <v>72</v>
      </c>
      <c r="H3614" s="22" t="s">
        <v>5226</v>
      </c>
      <c r="I3614" s="26">
        <v>43677</v>
      </c>
      <c r="J3614" s="28" t="s">
        <v>52</v>
      </c>
      <c r="K3614" s="28" t="s">
        <v>52</v>
      </c>
      <c r="L3614" s="28" t="s">
        <v>52</v>
      </c>
      <c r="M3614" s="28" t="s">
        <v>52</v>
      </c>
      <c r="N3614" s="28" t="s">
        <v>52</v>
      </c>
    </row>
    <row r="3615" spans="1:14" x14ac:dyDescent="0.15">
      <c r="A3615" s="23" t="str">
        <f>HYPERLINK("https://www.spark-marketing.ru/Card/Person/4343928", "ФГБОУ ВО КУБАНСКИЙ ГАУ")</f>
        <v>ФГБОУ ВО КУБАНСКИЙ ГАУ</v>
      </c>
      <c r="B3615" s="24" t="s">
        <v>1428</v>
      </c>
      <c r="C3615" s="25">
        <v>690668</v>
      </c>
      <c r="D3615" s="22" t="s">
        <v>5227</v>
      </c>
      <c r="E3615" s="22" t="s">
        <v>144</v>
      </c>
      <c r="F3615" s="23" t="str">
        <f>HYPERLINK("https://www.spark-marketing.ru/Card/Lot/72498783", "Услуги охранные учебных корпусов и территории университета")</f>
        <v>Услуги охранные учебных корпусов и территории университета</v>
      </c>
      <c r="G3615" s="22" t="s">
        <v>132</v>
      </c>
      <c r="H3615" s="22" t="s">
        <v>132</v>
      </c>
      <c r="I3615" s="26">
        <v>43677</v>
      </c>
      <c r="J3615" s="28" t="s">
        <v>52</v>
      </c>
      <c r="K3615" s="28" t="s">
        <v>52</v>
      </c>
      <c r="L3615" s="28" t="s">
        <v>52</v>
      </c>
      <c r="M3615" s="28" t="s">
        <v>52</v>
      </c>
      <c r="N3615" s="28" t="s">
        <v>52</v>
      </c>
    </row>
    <row r="3616" spans="1:14" x14ac:dyDescent="0.2">
      <c r="A3616" s="23" t="str">
        <f>HYPERLINK("https://www.spark-marketing.ru/Card/Person/1744524", "АО ""КЦТЛ""")</f>
        <v>АО "КЦТЛ"</v>
      </c>
      <c r="B3616" s="24" t="s">
        <v>5228</v>
      </c>
      <c r="C3616" s="25">
        <v>275000</v>
      </c>
      <c r="D3616" s="22" t="s">
        <v>5229</v>
      </c>
      <c r="E3616" s="22" t="s">
        <v>5230</v>
      </c>
      <c r="F3616" s="23" t="str">
        <f>HYPERLINK("https://www.spark-marketing.ru/Card/Lot/72518589", "Оказание услуг по разработке плана обеспечения транспортной безопасности объекта транспортной инфраструктуры - «причально-перегрузочный комплекс СВ-1, СВ-2, СВ-3» АО «Коммерческий центр, транспорт и лес», реестр. № МКО-0000231, 4 категория")</f>
        <v>Оказание услуг по разработке плана обеспечения транспортной безопасности объекта транспортной инфраструктуры - «причально-перегрузочный комплекс СВ-1, СВ-2, СВ-3» АО «Коммерческий центр, транспорт и лес», реестр. № МКО-0000231, 4 категория</v>
      </c>
      <c r="G3616" s="22" t="s">
        <v>89</v>
      </c>
      <c r="H3616" s="22" t="s">
        <v>89</v>
      </c>
      <c r="I3616" s="26">
        <v>43677</v>
      </c>
      <c r="J3616" s="28" t="s">
        <v>52</v>
      </c>
      <c r="K3616" s="28" t="s">
        <v>52</v>
      </c>
      <c r="L3616" s="28" t="s">
        <v>52</v>
      </c>
      <c r="M3616" s="25">
        <v>275000</v>
      </c>
      <c r="N3616" s="27">
        <v>0</v>
      </c>
    </row>
    <row r="3617" spans="1:14" x14ac:dyDescent="0.15">
      <c r="A3617" s="23" t="str">
        <f>HYPERLINK("https://www.spark-marketing.ru/Card/Person/10487", "ФГУП ""ОХРАНА"" РОСГВАРДИИ")</f>
        <v>ФГУП "ОХРАНА" РОСГВАРДИИ</v>
      </c>
      <c r="B3617" s="24" t="s">
        <v>779</v>
      </c>
      <c r="C3617" s="25">
        <v>470067.9</v>
      </c>
      <c r="D3617" s="22" t="s">
        <v>5231</v>
      </c>
      <c r="E3617" s="22" t="s">
        <v>781</v>
      </c>
      <c r="F3617" s="23" t="str">
        <f>HYPERLINK("https://www.spark-marketing.ru/Card/Lot/72515493", "Оказание услуг по бронированию и приобретению проездных документов на автомобильный транспорт для нужд Управления по Сибирскому федеральному округу по Центра охраны объектов промышленности")</f>
        <v>Оказание услуг по бронированию и приобретению проездных документов на автомобильный транспорт для нужд Управления по Сибирскому федеральному округу по Центра охраны объектов промышленности</v>
      </c>
      <c r="G3617" s="22" t="s">
        <v>428</v>
      </c>
      <c r="H3617" s="22" t="s">
        <v>428</v>
      </c>
      <c r="I3617" s="26">
        <v>43677</v>
      </c>
      <c r="J3617" s="28" t="s">
        <v>52</v>
      </c>
      <c r="K3617" s="28" t="s">
        <v>52</v>
      </c>
      <c r="L3617" s="28" t="s">
        <v>52</v>
      </c>
      <c r="M3617" s="28" t="s">
        <v>52</v>
      </c>
      <c r="N3617" s="28" t="s">
        <v>52</v>
      </c>
    </row>
    <row r="3618" spans="1:14" x14ac:dyDescent="0.15">
      <c r="A3618" s="23" t="str">
        <f>HYPERLINK("https://www.spark-marketing.ru/Card/Person/6251527", "ГАУ КО ""АГЕНТСТВО РАЗВИТИЯ БИЗНЕСА""")</f>
        <v>ГАУ КО "АГЕНТСТВО РАЗВИТИЯ БИЗНЕСА"</v>
      </c>
      <c r="B3618" s="24" t="s">
        <v>5232</v>
      </c>
      <c r="C3618" s="25">
        <v>250000</v>
      </c>
      <c r="D3618" s="22" t="s">
        <v>5233</v>
      </c>
      <c r="E3618" s="22" t="s">
        <v>5234</v>
      </c>
      <c r="F3618" s="23" t="str">
        <f>HYPERLINK("https://www.spark-marketing.ru/Card/Lot/72510850", "Российский рубль")</f>
        <v>Российский рубль</v>
      </c>
      <c r="G3618" s="22" t="s">
        <v>658</v>
      </c>
      <c r="H3618" s="22" t="s">
        <v>741</v>
      </c>
      <c r="I3618" s="26">
        <v>43677</v>
      </c>
      <c r="J3618" s="28" t="s">
        <v>52</v>
      </c>
      <c r="K3618" s="28" t="s">
        <v>52</v>
      </c>
      <c r="L3618" s="28" t="s">
        <v>52</v>
      </c>
      <c r="M3618" s="28" t="s">
        <v>52</v>
      </c>
      <c r="N3618" s="28" t="s">
        <v>52</v>
      </c>
    </row>
    <row r="3619" spans="1:14" x14ac:dyDescent="0.15">
      <c r="A3619" s="23" t="str">
        <f>HYPERLINK("https://www.spark-marketing.ru/Card/Person/702336", "МУП Г.О. ПОДОЛЬСК ""ДЕЗ""")</f>
        <v>МУП Г.О. ПОДОЛЬСК "ДЕЗ"</v>
      </c>
      <c r="B3619" s="24" t="s">
        <v>4086</v>
      </c>
      <c r="C3619" s="25">
        <v>7680000</v>
      </c>
      <c r="D3619" s="22" t="s">
        <v>5235</v>
      </c>
      <c r="E3619" s="22" t="s">
        <v>691</v>
      </c>
      <c r="F3619" s="23" t="str">
        <f>HYPERLINK("https://www.spark-marketing.ru/Card/Lot/72502126", "Выполнение работ по установке камер видеонаблюдения и предоставления канала связи до Муниципального узла связи (МУС) Г.о. Подольск")</f>
        <v>Выполнение работ по установке камер видеонаблюдения и предоставления канала связи до Муниципального узла связи (МУС) Г.о. Подольск</v>
      </c>
      <c r="G3619" s="22" t="s">
        <v>50</v>
      </c>
      <c r="H3619" s="22" t="s">
        <v>50</v>
      </c>
      <c r="I3619" s="26">
        <v>43677</v>
      </c>
      <c r="J3619" s="28" t="s">
        <v>52</v>
      </c>
      <c r="K3619" s="28" t="s">
        <v>52</v>
      </c>
      <c r="L3619" s="28" t="s">
        <v>52</v>
      </c>
      <c r="M3619" s="28" t="s">
        <v>52</v>
      </c>
      <c r="N3619" s="28" t="s">
        <v>52</v>
      </c>
    </row>
    <row r="3620" spans="1:14" x14ac:dyDescent="0.2">
      <c r="A3620" s="23" t="str">
        <f>HYPERLINK("https://www.spark-marketing.ru/Card/Person/305024", "ООО ""ГАЗПРОМ ТЕПЛОЭНЕРГО ВОЛОГДА""")</f>
        <v>ООО "ГАЗПРОМ ТЕПЛОЭНЕРГО ВОЛОГДА"</v>
      </c>
      <c r="B3620" s="24" t="s">
        <v>5236</v>
      </c>
      <c r="C3620" s="25">
        <v>3900000</v>
      </c>
      <c r="D3620" s="22" t="s">
        <v>5237</v>
      </c>
      <c r="E3620" s="22" t="s">
        <v>1147</v>
      </c>
      <c r="F3620" s="23" t="str">
        <f>HYPERLINK("https://www.spark-marketing.ru/Card/Lot/72515825", "Выполнение работ по установке средств видеонаблюдения на объектах ООО ""Газпром теплоэнерго Вологда""")</f>
        <v>Выполнение работ по установке средств видеонаблюдения на объектах ООО "Газпром теплоэнерго Вологда"</v>
      </c>
      <c r="G3620" s="22" t="s">
        <v>902</v>
      </c>
      <c r="H3620" s="22" t="s">
        <v>4598</v>
      </c>
      <c r="I3620" s="26">
        <v>43677</v>
      </c>
      <c r="J3620" s="28" t="s">
        <v>52</v>
      </c>
      <c r="K3620" s="28" t="s">
        <v>52</v>
      </c>
      <c r="L3620" s="28" t="s">
        <v>52</v>
      </c>
      <c r="M3620" s="25">
        <v>4212000</v>
      </c>
      <c r="N3620" s="27">
        <v>-0.08</v>
      </c>
    </row>
    <row r="3621" spans="1:14" x14ac:dyDescent="0.15">
      <c r="A3621" s="23" t="str">
        <f>HYPERLINK("https://www.spark-marketing.ru/Card/Person/366673", "ФКУ СИЗО-1 ГУФСИН РОССИИ ПО ПЕРМСКОМУ КРАЮ")</f>
        <v>ФКУ СИЗО-1 ГУФСИН РОССИИ ПО ПЕРМСКОМУ КРАЮ</v>
      </c>
      <c r="B3621" s="24" t="s">
        <v>5238</v>
      </c>
      <c r="C3621" s="25">
        <v>40000000</v>
      </c>
      <c r="D3621" s="22" t="s">
        <v>5239</v>
      </c>
      <c r="E3621" s="22" t="s">
        <v>208</v>
      </c>
      <c r="F3621" s="23" t="str">
        <f>HYPERLINK("https://www.spark-marketing.ru/Card/Lot/72532104", "Поставка и установка (монтаж) технических средств охраны и надзора (датчики обнаружения, видеокамеры) и системы охранного телевидения, системы оперативно-дуплексных устройств, системы охранно-тревожной сигнализации.")</f>
        <v>Поставка и установка (монтаж) технических средств охраны и надзора (датчики обнаружения, видеокамеры) и системы охранного телевидения, системы оперативно-дуплексных устройств, системы охранно-тревожной сигнализации.</v>
      </c>
      <c r="G3621" s="22" t="s">
        <v>391</v>
      </c>
      <c r="H3621" s="22" t="s">
        <v>392</v>
      </c>
      <c r="I3621" s="26">
        <v>43676.931018518502</v>
      </c>
      <c r="J3621" s="23" t="str">
        <f>HYPERLINK("https://www.spark-marketing.ru/Card/Person/6681306", "ООО ""СТЭЛС""")</f>
        <v>ООО "СТЭЛС"</v>
      </c>
      <c r="K3621" s="24" t="s">
        <v>5240</v>
      </c>
      <c r="L3621" s="22" t="s">
        <v>10</v>
      </c>
      <c r="M3621" s="28" t="s">
        <v>52</v>
      </c>
      <c r="N3621" s="28" t="s">
        <v>52</v>
      </c>
    </row>
    <row r="3622" spans="1:14" x14ac:dyDescent="0.15">
      <c r="A3622" s="23" t="str">
        <f>HYPERLINK("https://www.spark-marketing.ru/Card/Person/91905", "ГКУ СО ""ЧАПАЕВСКИЙ СРЦН""")</f>
        <v>ГКУ СО "ЧАПАЕВСКИЙ СРЦН"</v>
      </c>
      <c r="B3622" s="24" t="s">
        <v>5241</v>
      </c>
      <c r="C3622" s="25">
        <v>1068146.03</v>
      </c>
      <c r="D3622" s="22" t="s">
        <v>5242</v>
      </c>
      <c r="E3622" s="22" t="s">
        <v>84</v>
      </c>
      <c r="F3622" s="23" t="str">
        <f>HYPERLINK("https://www.spark-marketing.ru/Card/Lot/72526993", "Установка видеооборудования")</f>
        <v>Установка видеооборудования</v>
      </c>
      <c r="G3622" s="22" t="s">
        <v>760</v>
      </c>
      <c r="H3622" s="22" t="s">
        <v>5084</v>
      </c>
      <c r="I3622" s="26">
        <v>43676.8967708333</v>
      </c>
      <c r="J3622" s="28" t="s">
        <v>52</v>
      </c>
      <c r="K3622" s="28" t="s">
        <v>52</v>
      </c>
      <c r="L3622" s="28" t="s">
        <v>52</v>
      </c>
      <c r="M3622" s="28" t="s">
        <v>52</v>
      </c>
      <c r="N3622" s="28" t="s">
        <v>52</v>
      </c>
    </row>
    <row r="3623" spans="1:14" hidden="1" outlineLevel="1" x14ac:dyDescent="0.2">
      <c r="A3623" s="23" t="str">
        <f>HYPERLINK("https://www.spark-marketing.ru/Card/Person/91905", "ГКУ СО ""ЧАПАЕВСКИЙ СРЦН""")</f>
        <v>ГКУ СО "ЧАПАЕВСКИЙ СРЦН"</v>
      </c>
      <c r="B3623" s="24" t="s">
        <v>5241</v>
      </c>
      <c r="C3623" s="25">
        <v>1068146.03</v>
      </c>
      <c r="D3623" s="22" t="s">
        <v>5242</v>
      </c>
      <c r="E3623" s="22" t="s">
        <v>84</v>
      </c>
      <c r="F3623" s="23" t="str">
        <f>HYPERLINK("https://www.spark-marketing.ru/Card/Lot/72526993", "Установка видеооборудования")</f>
        <v>Установка видеооборудования</v>
      </c>
      <c r="G3623" s="22" t="s">
        <v>760</v>
      </c>
      <c r="H3623" s="22" t="s">
        <v>5084</v>
      </c>
      <c r="I3623" s="26">
        <v>43676.8967708333</v>
      </c>
      <c r="J3623" s="23" t="str">
        <f>HYPERLINK("https://www.spark-marketing.ru/Card/Person/6680298", "Маркочева Екатерина Владимировна")</f>
        <v>Маркочева Екатерина Владимировна</v>
      </c>
      <c r="K3623" s="24" t="s">
        <v>5243</v>
      </c>
      <c r="L3623" s="28" t="s">
        <v>52</v>
      </c>
      <c r="M3623" s="25">
        <v>898526.13</v>
      </c>
      <c r="N3623" s="27">
        <v>0.1587984182275152</v>
      </c>
    </row>
    <row r="3624" spans="1:14" hidden="1" outlineLevel="1" x14ac:dyDescent="0.2">
      <c r="A3624" s="23" t="str">
        <f>HYPERLINK("https://www.spark-marketing.ru/Card/Person/91905", "ГКУ СО ""ЧАПАЕВСКИЙ СРЦН""")</f>
        <v>ГКУ СО "ЧАПАЕВСКИЙ СРЦН"</v>
      </c>
      <c r="B3624" s="24" t="s">
        <v>5241</v>
      </c>
      <c r="C3624" s="25">
        <v>1068146.03</v>
      </c>
      <c r="D3624" s="22" t="s">
        <v>5242</v>
      </c>
      <c r="E3624" s="22" t="s">
        <v>84</v>
      </c>
      <c r="F3624" s="23" t="str">
        <f>HYPERLINK("https://www.spark-marketing.ru/Card/Lot/72526993", "Установка видеооборудования")</f>
        <v>Установка видеооборудования</v>
      </c>
      <c r="G3624" s="22" t="s">
        <v>760</v>
      </c>
      <c r="H3624" s="22" t="s">
        <v>5084</v>
      </c>
      <c r="I3624" s="26">
        <v>43676.8967708333</v>
      </c>
      <c r="J3624" s="23" t="str">
        <f>HYPERLINK("https://www.spark-marketing.ru/Card/Person/6437806", "ООО ""СТРОЙСЕРВИС""")</f>
        <v>ООО "СТРОЙСЕРВИС"</v>
      </c>
      <c r="K3624" s="24" t="s">
        <v>5244</v>
      </c>
      <c r="L3624" s="28" t="s">
        <v>52</v>
      </c>
      <c r="M3624" s="25">
        <v>1057464.57</v>
      </c>
      <c r="N3624" s="27">
        <v>9.9999997191395264E-3</v>
      </c>
    </row>
    <row r="3625" spans="1:14" ht="12.75" hidden="1" outlineLevel="1" x14ac:dyDescent="0.2">
      <c r="A3625" s="23" t="str">
        <f>HYPERLINK("https://www.spark-marketing.ru/Card/Person/91905", "ГКУ СО ""ЧАПАЕВСКИЙ СРЦН""")</f>
        <v>ГКУ СО "ЧАПАЕВСКИЙ СРЦН"</v>
      </c>
      <c r="B3625" s="24" t="s">
        <v>5241</v>
      </c>
      <c r="C3625" s="25">
        <v>1068146.03</v>
      </c>
      <c r="D3625" s="22" t="s">
        <v>5242</v>
      </c>
      <c r="E3625" s="22" t="s">
        <v>84</v>
      </c>
      <c r="F3625" s="23" t="str">
        <f>HYPERLINK("https://www.spark-marketing.ru/Card/Lot/72526993", "Установка видеооборудования")</f>
        <v>Установка видеооборудования</v>
      </c>
      <c r="G3625" s="22" t="s">
        <v>760</v>
      </c>
      <c r="H3625" s="22" t="s">
        <v>5084</v>
      </c>
      <c r="I3625" s="26">
        <v>43676.8967708333</v>
      </c>
      <c r="J3625" s="23" t="str">
        <f>HYPERLINK("https://www.spark-marketing.ru/Card/Person/4356921", "ООО ""НПО ГИГИЕНА-М""")</f>
        <v>ООО "НПО ГИГИЕНА-М"</v>
      </c>
      <c r="K3625" s="24" t="s">
        <v>5245</v>
      </c>
      <c r="L3625" s="22" t="s">
        <v>10</v>
      </c>
      <c r="M3625" s="25">
        <v>890000</v>
      </c>
      <c r="N3625" s="27">
        <v>0.16678059459716382</v>
      </c>
    </row>
    <row r="3626" spans="1:14" x14ac:dyDescent="0.15">
      <c r="A3626" s="23" t="str">
        <f t="shared" ref="A3626:A3631" si="159">HYPERLINK("https://www.spark-marketing.ru/Card/Person/6441528", "ФГБУ ""ФЦЦПИ"" МИНЗДРАВА РОССИИ")</f>
        <v>ФГБУ "ФЦЦПИ" МИНЗДРАВА РОССИИ</v>
      </c>
      <c r="B3626" s="24" t="s">
        <v>4093</v>
      </c>
      <c r="C3626" s="25">
        <v>800000</v>
      </c>
      <c r="D3626" s="22" t="s">
        <v>5246</v>
      </c>
      <c r="E3626" s="22" t="s">
        <v>107</v>
      </c>
      <c r="F3626" s="23" t="str">
        <f t="shared" ref="F3626:F3631" si="160">HYPERLINK("https://www.spark-marketing.ru/Card/Lot/72526133", "Оказание услуг технического обслуживания систем кондиционирования в серверной и видеоархиве.")</f>
        <v>Оказание услуг технического обслуживания систем кондиционирования в серверной и видеоархиве.</v>
      </c>
      <c r="G3626" s="22" t="s">
        <v>55</v>
      </c>
      <c r="H3626" s="22" t="s">
        <v>55</v>
      </c>
      <c r="I3626" s="26">
        <v>43676.8815972222</v>
      </c>
      <c r="J3626" s="28" t="s">
        <v>52</v>
      </c>
      <c r="K3626" s="28" t="s">
        <v>52</v>
      </c>
      <c r="L3626" s="28" t="s">
        <v>52</v>
      </c>
      <c r="M3626" s="28" t="s">
        <v>52</v>
      </c>
      <c r="N3626" s="28" t="s">
        <v>52</v>
      </c>
    </row>
    <row r="3627" spans="1:14" hidden="1" outlineLevel="1" x14ac:dyDescent="0.2">
      <c r="A3627" s="23" t="str">
        <f t="shared" si="159"/>
        <v>ФГБУ "ФЦЦПИ" МИНЗДРАВА РОССИИ</v>
      </c>
      <c r="B3627" s="24" t="s">
        <v>4093</v>
      </c>
      <c r="C3627" s="25">
        <v>800000</v>
      </c>
      <c r="D3627" s="22" t="s">
        <v>5246</v>
      </c>
      <c r="E3627" s="22" t="s">
        <v>107</v>
      </c>
      <c r="F3627" s="23" t="str">
        <f t="shared" si="160"/>
        <v>Оказание услуг технического обслуживания систем кондиционирования в серверной и видеоархиве.</v>
      </c>
      <c r="G3627" s="22" t="s">
        <v>55</v>
      </c>
      <c r="H3627" s="22" t="s">
        <v>55</v>
      </c>
      <c r="I3627" s="26">
        <v>43676.8815972222</v>
      </c>
      <c r="J3627" s="23" t="str">
        <f>HYPERLINK("https://www.spark-marketing.ru/Card/Person/90238", "ООО ""МАСТЕР-СЕРВИС""")</f>
        <v>ООО "МАСТЕР-СЕРВИС"</v>
      </c>
      <c r="K3627" s="24" t="s">
        <v>5149</v>
      </c>
      <c r="L3627" s="28" t="s">
        <v>52</v>
      </c>
      <c r="M3627" s="25">
        <v>744000</v>
      </c>
      <c r="N3627" s="27">
        <v>7.0000000000000007E-2</v>
      </c>
    </row>
    <row r="3628" spans="1:14" ht="12.75" hidden="1" outlineLevel="1" x14ac:dyDescent="0.2">
      <c r="A3628" s="23" t="str">
        <f t="shared" si="159"/>
        <v>ФГБУ "ФЦЦПИ" МИНЗДРАВА РОССИИ</v>
      </c>
      <c r="B3628" s="24" t="s">
        <v>4093</v>
      </c>
      <c r="C3628" s="25">
        <v>800000</v>
      </c>
      <c r="D3628" s="22" t="s">
        <v>5246</v>
      </c>
      <c r="E3628" s="22" t="s">
        <v>107</v>
      </c>
      <c r="F3628" s="23" t="str">
        <f t="shared" si="160"/>
        <v>Оказание услуг технического обслуживания систем кондиционирования в серверной и видеоархиве.</v>
      </c>
      <c r="G3628" s="22" t="s">
        <v>55</v>
      </c>
      <c r="H3628" s="22" t="s">
        <v>55</v>
      </c>
      <c r="I3628" s="26">
        <v>43676.8815972222</v>
      </c>
      <c r="J3628" s="23" t="str">
        <f>HYPERLINK("https://www.spark-marketing.ru/Card/Person/1854961", "ООО ""ЭЛИТКОМФОРТ""")</f>
        <v>ООО "ЭЛИТКОМФОРТ"</v>
      </c>
      <c r="K3628" s="24" t="s">
        <v>4097</v>
      </c>
      <c r="L3628" s="22" t="s">
        <v>10</v>
      </c>
      <c r="M3628" s="25">
        <v>396000</v>
      </c>
      <c r="N3628" s="27">
        <v>0.505</v>
      </c>
    </row>
    <row r="3629" spans="1:14" hidden="1" outlineLevel="1" x14ac:dyDescent="0.2">
      <c r="A3629" s="23" t="str">
        <f t="shared" si="159"/>
        <v>ФГБУ "ФЦЦПИ" МИНЗДРАВА РОССИИ</v>
      </c>
      <c r="B3629" s="24" t="s">
        <v>4093</v>
      </c>
      <c r="C3629" s="25">
        <v>800000</v>
      </c>
      <c r="D3629" s="22" t="s">
        <v>5246</v>
      </c>
      <c r="E3629" s="22" t="s">
        <v>107</v>
      </c>
      <c r="F3629" s="23" t="str">
        <f t="shared" si="160"/>
        <v>Оказание услуг технического обслуживания систем кондиционирования в серверной и видеоархиве.</v>
      </c>
      <c r="G3629" s="22" t="s">
        <v>55</v>
      </c>
      <c r="H3629" s="22" t="s">
        <v>55</v>
      </c>
      <c r="I3629" s="26">
        <v>43676.8815972222</v>
      </c>
      <c r="J3629" s="23" t="str">
        <f>HYPERLINK("https://www.spark-marketing.ru/Card/Person/4346604", "ООО ""ГАЗХОЛОДМАШ""")</f>
        <v>ООО "ГАЗХОЛОДМАШ"</v>
      </c>
      <c r="K3629" s="24" t="s">
        <v>4096</v>
      </c>
      <c r="L3629" s="28" t="s">
        <v>52</v>
      </c>
      <c r="M3629" s="25">
        <v>796000</v>
      </c>
      <c r="N3629" s="27">
        <v>5.0000000000000001E-3</v>
      </c>
    </row>
    <row r="3630" spans="1:14" hidden="1" outlineLevel="1" x14ac:dyDescent="0.2">
      <c r="A3630" s="23" t="str">
        <f t="shared" si="159"/>
        <v>ФГБУ "ФЦЦПИ" МИНЗДРАВА РОССИИ</v>
      </c>
      <c r="B3630" s="24" t="s">
        <v>4093</v>
      </c>
      <c r="C3630" s="25">
        <v>800000</v>
      </c>
      <c r="D3630" s="22" t="s">
        <v>5246</v>
      </c>
      <c r="E3630" s="22" t="s">
        <v>107</v>
      </c>
      <c r="F3630" s="23" t="str">
        <f t="shared" si="160"/>
        <v>Оказание услуг технического обслуживания систем кондиционирования в серверной и видеоархиве.</v>
      </c>
      <c r="G3630" s="22" t="s">
        <v>55</v>
      </c>
      <c r="H3630" s="22" t="s">
        <v>55</v>
      </c>
      <c r="I3630" s="26">
        <v>43676.8815972222</v>
      </c>
      <c r="J3630" s="23" t="str">
        <f>HYPERLINK("https://www.spark-marketing.ru/Card/Person/6528537", "Ягелло Мария Васильевна")</f>
        <v>Ягелло Мария Васильевна</v>
      </c>
      <c r="K3630" s="24" t="s">
        <v>4099</v>
      </c>
      <c r="L3630" s="28" t="s">
        <v>52</v>
      </c>
      <c r="M3630" s="25">
        <v>424000</v>
      </c>
      <c r="N3630" s="27">
        <v>0.47</v>
      </c>
    </row>
    <row r="3631" spans="1:14" hidden="1" outlineLevel="1" x14ac:dyDescent="0.2">
      <c r="A3631" s="23" t="str">
        <f t="shared" si="159"/>
        <v>ФГБУ "ФЦЦПИ" МИНЗДРАВА РОССИИ</v>
      </c>
      <c r="B3631" s="24" t="s">
        <v>4093</v>
      </c>
      <c r="C3631" s="25">
        <v>800000</v>
      </c>
      <c r="D3631" s="22" t="s">
        <v>5246</v>
      </c>
      <c r="E3631" s="22" t="s">
        <v>107</v>
      </c>
      <c r="F3631" s="23" t="str">
        <f t="shared" si="160"/>
        <v>Оказание услуг технического обслуживания систем кондиционирования в серверной и видеоархиве.</v>
      </c>
      <c r="G3631" s="22" t="s">
        <v>55</v>
      </c>
      <c r="H3631" s="22" t="s">
        <v>55</v>
      </c>
      <c r="I3631" s="26">
        <v>43676.8815972222</v>
      </c>
      <c r="J3631" s="23" t="str">
        <f>HYPERLINK("https://www.spark-marketing.ru/Card/Person/927286", "ООО ""АКСИ""")</f>
        <v>ООО "АКСИ"</v>
      </c>
      <c r="K3631" s="24" t="s">
        <v>5247</v>
      </c>
      <c r="L3631" s="28" t="s">
        <v>52</v>
      </c>
      <c r="M3631" s="25">
        <v>400000</v>
      </c>
      <c r="N3631" s="27">
        <v>0.5</v>
      </c>
    </row>
    <row r="3632" spans="1:14" x14ac:dyDescent="0.15">
      <c r="A3632" s="23" t="str">
        <f>HYPERLINK("https://www.spark-marketing.ru/Card/Person/89034", """СЕРГИЕВО-ПОСАДСКИЙ МУЗЕЙ-ЗАПОВЕДНИК""")</f>
        <v>"СЕРГИЕВО-ПОСАДСКИЙ МУЗЕЙ-ЗАПОВЕДНИК"</v>
      </c>
      <c r="B3632" s="24" t="s">
        <v>3075</v>
      </c>
      <c r="C3632" s="25">
        <v>650000</v>
      </c>
      <c r="D3632" s="22" t="s">
        <v>5248</v>
      </c>
      <c r="E3632" s="22" t="s">
        <v>59</v>
      </c>
      <c r="F3632" s="23" t="str">
        <f>HYPERLINK("https://www.spark-marketing.ru/Card/Lot/72525589", "Монтажные работы по установке системы охранно-тревожной сигнализации в помещениях Южного корпуса (2 эт.) музейного комплекса ""Конный двор""")</f>
        <v>Монтажные работы по установке системы охранно-тревожной сигнализации в помещениях Южного корпуса (2 эт.) музейного комплекса "Конный двор"</v>
      </c>
      <c r="G3632" s="22" t="s">
        <v>50</v>
      </c>
      <c r="H3632" s="22" t="s">
        <v>326</v>
      </c>
      <c r="I3632" s="26">
        <v>43676.910243055601</v>
      </c>
      <c r="J3632" s="28" t="s">
        <v>52</v>
      </c>
      <c r="K3632" s="28" t="s">
        <v>52</v>
      </c>
      <c r="L3632" s="28" t="s">
        <v>52</v>
      </c>
      <c r="M3632" s="28" t="s">
        <v>52</v>
      </c>
      <c r="N3632" s="28" t="s">
        <v>52</v>
      </c>
    </row>
    <row r="3633" spans="1:14" ht="12.75" hidden="1" outlineLevel="1" x14ac:dyDescent="0.2">
      <c r="A3633" s="23" t="str">
        <f>HYPERLINK("https://www.spark-marketing.ru/Card/Person/89034", """СЕРГИЕВО-ПОСАДСКИЙ МУЗЕЙ-ЗАПОВЕДНИК""")</f>
        <v>"СЕРГИЕВО-ПОСАДСКИЙ МУЗЕЙ-ЗАПОВЕДНИК"</v>
      </c>
      <c r="B3633" s="24" t="s">
        <v>3075</v>
      </c>
      <c r="C3633" s="25">
        <v>650000</v>
      </c>
      <c r="D3633" s="22" t="s">
        <v>5248</v>
      </c>
      <c r="E3633" s="22" t="s">
        <v>59</v>
      </c>
      <c r="F3633" s="23" t="str">
        <f>HYPERLINK("https://www.spark-marketing.ru/Card/Lot/72525589", "Монтажные работы по установке системы охранно-тревожной сигнализации в помещениях Южного корпуса (2 эт.) музейного комплекса ""Конный двор""")</f>
        <v>Монтажные работы по установке системы охранно-тревожной сигнализации в помещениях Южного корпуса (2 эт.) музейного комплекса "Конный двор"</v>
      </c>
      <c r="G3633" s="22" t="s">
        <v>50</v>
      </c>
      <c r="H3633" s="22" t="s">
        <v>326</v>
      </c>
      <c r="I3633" s="26">
        <v>43676.910243055601</v>
      </c>
      <c r="J3633" s="23" t="str">
        <f>HYPERLINK("https://www.spark-marketing.ru/Card/Person/700836", "ООО НПО ""ИНВЕСТ""")</f>
        <v>ООО НПО "ИНВЕСТ"</v>
      </c>
      <c r="K3633" s="24" t="s">
        <v>1893</v>
      </c>
      <c r="L3633" s="22" t="s">
        <v>10</v>
      </c>
      <c r="M3633" s="25">
        <v>640250</v>
      </c>
      <c r="N3633" s="27">
        <v>1.4999999999999999E-2</v>
      </c>
    </row>
    <row r="3634" spans="1:14" hidden="1" outlineLevel="1" x14ac:dyDescent="0.2">
      <c r="A3634" s="23" t="str">
        <f>HYPERLINK("https://www.spark-marketing.ru/Card/Person/89034", """СЕРГИЕВО-ПОСАДСКИЙ МУЗЕЙ-ЗАПОВЕДНИК""")</f>
        <v>"СЕРГИЕВО-ПОСАДСКИЙ МУЗЕЙ-ЗАПОВЕДНИК"</v>
      </c>
      <c r="B3634" s="24" t="s">
        <v>3075</v>
      </c>
      <c r="C3634" s="25">
        <v>650000</v>
      </c>
      <c r="D3634" s="22" t="s">
        <v>5248</v>
      </c>
      <c r="E3634" s="22" t="s">
        <v>59</v>
      </c>
      <c r="F3634" s="23" t="str">
        <f>HYPERLINK("https://www.spark-marketing.ru/Card/Lot/72525589", "Монтажные работы по установке системы охранно-тревожной сигнализации в помещениях Южного корпуса (2 эт.) музейного комплекса ""Конный двор""")</f>
        <v>Монтажные работы по установке системы охранно-тревожной сигнализации в помещениях Южного корпуса (2 эт.) музейного комплекса "Конный двор"</v>
      </c>
      <c r="G3634" s="22" t="s">
        <v>50</v>
      </c>
      <c r="H3634" s="22" t="s">
        <v>326</v>
      </c>
      <c r="I3634" s="26">
        <v>43676.910243055601</v>
      </c>
      <c r="J3634" s="23" t="str">
        <f>HYPERLINK("https://www.spark-marketing.ru/Card/Person/131073", "ООО ""АЙТИ МОНТАЖ""")</f>
        <v>ООО "АЙТИ МОНТАЖ"</v>
      </c>
      <c r="K3634" s="24" t="s">
        <v>4757</v>
      </c>
      <c r="L3634" s="28" t="s">
        <v>52</v>
      </c>
      <c r="M3634" s="25">
        <v>643500</v>
      </c>
      <c r="N3634" s="27">
        <v>0.01</v>
      </c>
    </row>
    <row r="3635" spans="1:14" hidden="1" outlineLevel="1" x14ac:dyDescent="0.2">
      <c r="A3635" s="23" t="str">
        <f>HYPERLINK("https://www.spark-marketing.ru/Card/Person/89034", """СЕРГИЕВО-ПОСАДСКИЙ МУЗЕЙ-ЗАПОВЕДНИК""")</f>
        <v>"СЕРГИЕВО-ПОСАДСКИЙ МУЗЕЙ-ЗАПОВЕДНИК"</v>
      </c>
      <c r="B3635" s="24" t="s">
        <v>3075</v>
      </c>
      <c r="C3635" s="25">
        <v>650000</v>
      </c>
      <c r="D3635" s="22" t="s">
        <v>5248</v>
      </c>
      <c r="E3635" s="22" t="s">
        <v>59</v>
      </c>
      <c r="F3635" s="23" t="str">
        <f>HYPERLINK("https://www.spark-marketing.ru/Card/Lot/72525589", "Монтажные работы по установке системы охранно-тревожной сигнализации в помещениях Южного корпуса (2 эт.) музейного комплекса ""Конный двор""")</f>
        <v>Монтажные работы по установке системы охранно-тревожной сигнализации в помещениях Южного корпуса (2 эт.) музейного комплекса "Конный двор"</v>
      </c>
      <c r="G3635" s="22" t="s">
        <v>50</v>
      </c>
      <c r="H3635" s="22" t="s">
        <v>326</v>
      </c>
      <c r="I3635" s="26">
        <v>43676.910243055601</v>
      </c>
      <c r="J3635" s="23" t="str">
        <f>HYPERLINK("https://www.spark-marketing.ru/Card/Person/76256", "ООО ""РПМ ""РЕСТАРХ""")</f>
        <v>ООО "РПМ "РЕСТАРХ"</v>
      </c>
      <c r="K3635" s="24" t="s">
        <v>3077</v>
      </c>
      <c r="L3635" s="28" t="s">
        <v>52</v>
      </c>
      <c r="M3635" s="25">
        <v>646750</v>
      </c>
      <c r="N3635" s="27">
        <v>5.0000000000000001E-3</v>
      </c>
    </row>
    <row r="3636" spans="1:14" x14ac:dyDescent="0.15">
      <c r="A3636" s="23" t="str">
        <f>HYPERLINK("https://www.spark-marketing.ru/Card/Person/1010344", "ГБПОУ ""ООККИИ""")</f>
        <v>ГБПОУ "ООККИИ"</v>
      </c>
      <c r="B3636" s="24" t="s">
        <v>5249</v>
      </c>
      <c r="C3636" s="25">
        <v>5342295</v>
      </c>
      <c r="D3636" s="22" t="s">
        <v>5250</v>
      </c>
      <c r="E3636" s="22" t="s">
        <v>5251</v>
      </c>
      <c r="F3636" s="23" t="str">
        <f>HYPERLINK("https://www.spark-marketing.ru/Card/Lot/72531132", "Поставка, установка и ввод в эксплуатацию оборудования сцены.")</f>
        <v>Поставка, установка и ввод в эксплуатацию оборудования сцены.</v>
      </c>
      <c r="G3636" s="22" t="s">
        <v>384</v>
      </c>
      <c r="H3636" s="22" t="s">
        <v>696</v>
      </c>
      <c r="I3636" s="26">
        <v>43676.842615740701</v>
      </c>
      <c r="J3636" s="23" t="str">
        <f>HYPERLINK("https://www.spark-marketing.ru/Card/Person/2094504", "ООО ТПО ""СЦЕНА""")</f>
        <v>ООО ТПО "СЦЕНА"</v>
      </c>
      <c r="K3636" s="24" t="s">
        <v>5252</v>
      </c>
      <c r="L3636" s="28" t="s">
        <v>52</v>
      </c>
      <c r="M3636" s="28" t="s">
        <v>52</v>
      </c>
      <c r="N3636" s="28" t="s">
        <v>52</v>
      </c>
    </row>
    <row r="3637" spans="1:14" hidden="1" outlineLevel="1" x14ac:dyDescent="0.15">
      <c r="A3637" s="23" t="str">
        <f>HYPERLINK("https://www.spark-marketing.ru/Card/Person/1010344", "ГБПОУ ""ООККИИ""")</f>
        <v>ГБПОУ "ООККИИ"</v>
      </c>
      <c r="B3637" s="24" t="s">
        <v>5249</v>
      </c>
      <c r="C3637" s="25">
        <v>5342295</v>
      </c>
      <c r="D3637" s="22" t="s">
        <v>5250</v>
      </c>
      <c r="E3637" s="22" t="s">
        <v>5251</v>
      </c>
      <c r="F3637" s="23" t="str">
        <f>HYPERLINK("https://www.spark-marketing.ru/Card/Lot/72531132", "Поставка, установка и ввод в эксплуатацию оборудования сцены.")</f>
        <v>Поставка, установка и ввод в эксплуатацию оборудования сцены.</v>
      </c>
      <c r="G3637" s="22" t="s">
        <v>384</v>
      </c>
      <c r="H3637" s="22" t="s">
        <v>696</v>
      </c>
      <c r="I3637" s="26">
        <v>43676.842615740701</v>
      </c>
      <c r="J3637" s="23" t="str">
        <f>HYPERLINK("https://www.spark-marketing.ru/Card/Person/2094504", "ООО ТПО ""СЦЕНА""")</f>
        <v>ООО ТПО "СЦЕНА"</v>
      </c>
      <c r="K3637" s="24" t="s">
        <v>5252</v>
      </c>
      <c r="L3637" s="22" t="s">
        <v>10</v>
      </c>
      <c r="M3637" s="28" t="s">
        <v>52</v>
      </c>
      <c r="N3637" s="28" t="s">
        <v>52</v>
      </c>
    </row>
    <row r="3638" spans="1:14" x14ac:dyDescent="0.15">
      <c r="A3638" s="23" t="str">
        <f>HYPERLINK("https://www.spark-marketing.ru/Card/Person/48119", "БУ ""СУРГУТСКИЙ РАЙОННЫЙ ЦЕНТР СОЦИАЛЬНОЙ АДАПТАЦИИ""")</f>
        <v>БУ "СУРГУТСКИЙ РАЙОННЫЙ ЦЕНТР СОЦИАЛЬНОЙ АДАПТАЦИИ"</v>
      </c>
      <c r="B3638" s="24" t="s">
        <v>5253</v>
      </c>
      <c r="C3638" s="25">
        <v>150066.68</v>
      </c>
      <c r="D3638" s="22" t="s">
        <v>5254</v>
      </c>
      <c r="E3638" s="22" t="s">
        <v>68</v>
      </c>
      <c r="F3638" s="23" t="str">
        <f>HYPERLINK("https://www.spark-marketing.ru/Card/Lot/72510079", "Оказание услуг по мониторингу и выезду тревожной группы по экстренному вызову кнопкой тревожной сигнализации")</f>
        <v>Оказание услуг по мониторингу и выезду тревожной группы по экстренному вызову кнопкой тревожной сигнализации</v>
      </c>
      <c r="G3638" s="22" t="s">
        <v>119</v>
      </c>
      <c r="H3638" s="22" t="s">
        <v>416</v>
      </c>
      <c r="I3638" s="26">
        <v>43676.840104166702</v>
      </c>
      <c r="J3638" s="28" t="s">
        <v>52</v>
      </c>
      <c r="K3638" s="28" t="s">
        <v>52</v>
      </c>
      <c r="L3638" s="28" t="s">
        <v>52</v>
      </c>
      <c r="M3638" s="28" t="s">
        <v>52</v>
      </c>
      <c r="N3638" s="28" t="s">
        <v>52</v>
      </c>
    </row>
    <row r="3639" spans="1:14" hidden="1" outlineLevel="1" x14ac:dyDescent="0.2">
      <c r="A3639" s="23" t="str">
        <f>HYPERLINK("https://www.spark-marketing.ru/Card/Person/48119", "БУ ""СУРГУТСКИЙ РАЙОННЫЙ ЦЕНТР СОЦИАЛЬНОЙ АДАПТАЦИИ""")</f>
        <v>БУ "СУРГУТСКИЙ РАЙОННЫЙ ЦЕНТР СОЦИАЛЬНОЙ АДАПТАЦИИ"</v>
      </c>
      <c r="B3639" s="24" t="s">
        <v>5253</v>
      </c>
      <c r="C3639" s="25">
        <v>150066.68</v>
      </c>
      <c r="D3639" s="22" t="s">
        <v>5254</v>
      </c>
      <c r="E3639" s="22" t="s">
        <v>68</v>
      </c>
      <c r="F3639" s="23" t="str">
        <f>HYPERLINK("https://www.spark-marketing.ru/Card/Lot/72510079", "Оказание услуг по мониторингу и выезду тревожной группы по экстренному вызову кнопкой тревожной сигнализации")</f>
        <v>Оказание услуг по мониторингу и выезду тревожной группы по экстренному вызову кнопкой тревожной сигнализации</v>
      </c>
      <c r="G3639" s="22" t="s">
        <v>119</v>
      </c>
      <c r="H3639" s="22" t="s">
        <v>416</v>
      </c>
      <c r="I3639" s="26">
        <v>43676.840104166702</v>
      </c>
      <c r="J3639" s="23" t="str">
        <f>HYPERLINK("https://www.spark-marketing.ru/Card/Person/676303", "ООО ЧОП ""СТЕЛЛС")</f>
        <v>ООО ЧОП "СТЕЛЛС</v>
      </c>
      <c r="K3639" s="24" t="s">
        <v>1962</v>
      </c>
      <c r="L3639" s="28" t="s">
        <v>52</v>
      </c>
      <c r="M3639" s="25">
        <v>148500</v>
      </c>
      <c r="N3639" s="27">
        <v>1.0439892453141498E-2</v>
      </c>
    </row>
    <row r="3640" spans="1:14" hidden="1" outlineLevel="1" x14ac:dyDescent="0.2">
      <c r="A3640" s="23" t="str">
        <f>HYPERLINK("https://www.spark-marketing.ru/Card/Person/48119", "БУ ""СУРГУТСКИЙ РАЙОННЫЙ ЦЕНТР СОЦИАЛЬНОЙ АДАПТАЦИИ""")</f>
        <v>БУ "СУРГУТСКИЙ РАЙОННЫЙ ЦЕНТР СОЦИАЛЬНОЙ АДАПТАЦИИ"</v>
      </c>
      <c r="B3640" s="24" t="s">
        <v>5253</v>
      </c>
      <c r="C3640" s="25">
        <v>150066.68</v>
      </c>
      <c r="D3640" s="22" t="s">
        <v>5254</v>
      </c>
      <c r="E3640" s="22" t="s">
        <v>68</v>
      </c>
      <c r="F3640" s="23" t="str">
        <f>HYPERLINK("https://www.spark-marketing.ru/Card/Lot/72510079", "Оказание услуг по мониторингу и выезду тревожной группы по экстренному вызову кнопкой тревожной сигнализации")</f>
        <v>Оказание услуг по мониторингу и выезду тревожной группы по экстренному вызову кнопкой тревожной сигнализации</v>
      </c>
      <c r="G3640" s="22" t="s">
        <v>119</v>
      </c>
      <c r="H3640" s="22" t="s">
        <v>416</v>
      </c>
      <c r="I3640" s="26">
        <v>43676.840104166702</v>
      </c>
      <c r="J3640" s="23" t="str">
        <f>HYPERLINK("https://www.spark-marketing.ru/Card/Person/4851642", "ООО ЧОО ""ОЛИМП-БЕЗОПАСНОСТЬ""")</f>
        <v>ООО ЧОО "ОЛИМП-БЕЗОПАСНОСТЬ"</v>
      </c>
      <c r="K3640" s="24" t="s">
        <v>5255</v>
      </c>
      <c r="L3640" s="28" t="s">
        <v>52</v>
      </c>
      <c r="M3640" s="25">
        <v>56000</v>
      </c>
      <c r="N3640" s="27">
        <v>0.62683255203620147</v>
      </c>
    </row>
    <row r="3641" spans="1:14" ht="12.75" hidden="1" outlineLevel="1" x14ac:dyDescent="0.2">
      <c r="A3641" s="23" t="str">
        <f>HYPERLINK("https://www.spark-marketing.ru/Card/Person/48119", "БУ ""СУРГУТСКИЙ РАЙОННЫЙ ЦЕНТР СОЦИАЛЬНОЙ АДАПТАЦИИ""")</f>
        <v>БУ "СУРГУТСКИЙ РАЙОННЫЙ ЦЕНТР СОЦИАЛЬНОЙ АДАПТАЦИИ"</v>
      </c>
      <c r="B3641" s="24" t="s">
        <v>5253</v>
      </c>
      <c r="C3641" s="25">
        <v>150066.68</v>
      </c>
      <c r="D3641" s="22" t="s">
        <v>5254</v>
      </c>
      <c r="E3641" s="22" t="s">
        <v>68</v>
      </c>
      <c r="F3641" s="23" t="str">
        <f>HYPERLINK("https://www.spark-marketing.ru/Card/Lot/72510079", "Оказание услуг по мониторингу и выезду тревожной группы по экстренному вызову кнопкой тревожной сигнализации")</f>
        <v>Оказание услуг по мониторингу и выезду тревожной группы по экстренному вызову кнопкой тревожной сигнализации</v>
      </c>
      <c r="G3641" s="22" t="s">
        <v>119</v>
      </c>
      <c r="H3641" s="22" t="s">
        <v>416</v>
      </c>
      <c r="I3641" s="26">
        <v>43676.840104166702</v>
      </c>
      <c r="J3641" s="23" t="str">
        <f>HYPERLINK("https://www.spark-marketing.ru/Card/Person/92083", "ООО ЧОО ""СЕВЕР-С""")</f>
        <v>ООО ЧОО "СЕВЕР-С"</v>
      </c>
      <c r="K3641" s="24" t="s">
        <v>1964</v>
      </c>
      <c r="L3641" s="22" t="s">
        <v>10</v>
      </c>
      <c r="M3641" s="25">
        <v>55249.67</v>
      </c>
      <c r="N3641" s="27">
        <v>0.63183252937960643</v>
      </c>
    </row>
    <row r="3642" spans="1:14" x14ac:dyDescent="0.15">
      <c r="A3642" s="23" t="str">
        <f t="shared" ref="A3642:A3647" si="161">HYPERLINK("https://www.spark-marketing.ru/Card/Person/589769", "ГБПОУ СО ""НИЖНЕТАГИЛЬСКИЙ ТОРГОВО-ЭКОНОМИЧЕСКИЙ КОЛЛЕДЖ""")</f>
        <v>ГБПОУ СО "НИЖНЕТАГИЛЬСКИЙ ТОРГОВО-ЭКОНОМИЧЕСКИЙ КОЛЛЕДЖ"</v>
      </c>
      <c r="B3642" s="24" t="s">
        <v>4891</v>
      </c>
      <c r="C3642" s="25">
        <v>535316.99</v>
      </c>
      <c r="D3642" s="22" t="s">
        <v>5256</v>
      </c>
      <c r="E3642" s="22" t="s">
        <v>52</v>
      </c>
      <c r="F3642" s="23" t="str">
        <f t="shared" ref="F3642:F3647" si="162">HYPERLINK("https://www.spark-marketing.ru/Card/Lot/72524879", "Реализация мероприятий по антитеррористической защищенности (объектов) территорий - Работы по установке системы видеонаблюдения по адресу: Свердловская область, г. Нижний Тагил, пр. Ленина, д. 2а")</f>
        <v>Реализация мероприятий по антитеррористической защищенности (объектов) территорий - Работы по установке системы видеонаблюдения по адресу: Свердловская область, г. Нижний Тагил, пр. Ленина, д. 2а</v>
      </c>
      <c r="G3642" s="22" t="s">
        <v>72</v>
      </c>
      <c r="H3642" s="22" t="s">
        <v>3332</v>
      </c>
      <c r="I3642" s="26">
        <v>43676.7972337963</v>
      </c>
      <c r="J3642" s="28" t="s">
        <v>52</v>
      </c>
      <c r="K3642" s="28" t="s">
        <v>52</v>
      </c>
      <c r="L3642" s="28" t="s">
        <v>52</v>
      </c>
      <c r="M3642" s="28" t="s">
        <v>52</v>
      </c>
      <c r="N3642" s="28" t="s">
        <v>52</v>
      </c>
    </row>
    <row r="3643" spans="1:14" hidden="1" outlineLevel="1" x14ac:dyDescent="0.2">
      <c r="A3643" s="23" t="str">
        <f t="shared" si="161"/>
        <v>ГБПОУ СО "НИЖНЕТАГИЛЬСКИЙ ТОРГОВО-ЭКОНОМИЧЕСКИЙ КОЛЛЕДЖ"</v>
      </c>
      <c r="B3643" s="24" t="s">
        <v>4891</v>
      </c>
      <c r="C3643" s="25">
        <v>535316.99</v>
      </c>
      <c r="D3643" s="22" t="s">
        <v>5256</v>
      </c>
      <c r="E3643" s="22" t="s">
        <v>52</v>
      </c>
      <c r="F3643" s="23" t="str">
        <f t="shared" si="162"/>
        <v>Реализация мероприятий по антитеррористической защищенности (объектов) территорий - Работы по установке системы видеонаблюдения по адресу: Свердловская область, г. Нижний Тагил, пр. Ленина, д. 2а</v>
      </c>
      <c r="G3643" s="22" t="s">
        <v>72</v>
      </c>
      <c r="H3643" s="22" t="s">
        <v>3332</v>
      </c>
      <c r="I3643" s="26">
        <v>43676.7972337963</v>
      </c>
      <c r="J3643" s="23" t="str">
        <f>HYPERLINK("https://www.spark-marketing.ru/Card/Person/5853123", "Ершов Андрей Алексеевич")</f>
        <v>Ершов Андрей Алексеевич</v>
      </c>
      <c r="K3643" s="24" t="s">
        <v>1063</v>
      </c>
      <c r="L3643" s="28" t="s">
        <v>52</v>
      </c>
      <c r="M3643" s="25">
        <v>367468.21</v>
      </c>
      <c r="N3643" s="27">
        <v>0.31355025739048559</v>
      </c>
    </row>
    <row r="3644" spans="1:14" ht="12.75" hidden="1" outlineLevel="1" x14ac:dyDescent="0.2">
      <c r="A3644" s="23" t="str">
        <f t="shared" si="161"/>
        <v>ГБПОУ СО "НИЖНЕТАГИЛЬСКИЙ ТОРГОВО-ЭКОНОМИЧЕСКИЙ КОЛЛЕДЖ"</v>
      </c>
      <c r="B3644" s="24" t="s">
        <v>4891</v>
      </c>
      <c r="C3644" s="25">
        <v>535316.99</v>
      </c>
      <c r="D3644" s="22" t="s">
        <v>5256</v>
      </c>
      <c r="E3644" s="22" t="s">
        <v>52</v>
      </c>
      <c r="F3644" s="23" t="str">
        <f t="shared" si="162"/>
        <v>Реализация мероприятий по антитеррористической защищенности (объектов) территорий - Работы по установке системы видеонаблюдения по адресу: Свердловская область, г. Нижний Тагил, пр. Ленина, д. 2а</v>
      </c>
      <c r="G3644" s="22" t="s">
        <v>72</v>
      </c>
      <c r="H3644" s="22" t="s">
        <v>3332</v>
      </c>
      <c r="I3644" s="26">
        <v>43676.7972337963</v>
      </c>
      <c r="J3644" s="23" t="str">
        <f>HYPERLINK("https://www.spark-marketing.ru/Card/Person/1498549", "Гилев Иван Алексеевич")</f>
        <v>Гилев Иван Алексеевич</v>
      </c>
      <c r="K3644" s="24" t="s">
        <v>4893</v>
      </c>
      <c r="L3644" s="22" t="s">
        <v>10</v>
      </c>
      <c r="M3644" s="25">
        <v>310198.78999999998</v>
      </c>
      <c r="N3644" s="27">
        <v>0.42053251476288844</v>
      </c>
    </row>
    <row r="3645" spans="1:14" hidden="1" outlineLevel="1" x14ac:dyDescent="0.2">
      <c r="A3645" s="23" t="str">
        <f t="shared" si="161"/>
        <v>ГБПОУ СО "НИЖНЕТАГИЛЬСКИЙ ТОРГОВО-ЭКОНОМИЧЕСКИЙ КОЛЛЕДЖ"</v>
      </c>
      <c r="B3645" s="24" t="s">
        <v>4891</v>
      </c>
      <c r="C3645" s="25">
        <v>535316.99</v>
      </c>
      <c r="D3645" s="22" t="s">
        <v>5256</v>
      </c>
      <c r="E3645" s="22" t="s">
        <v>52</v>
      </c>
      <c r="F3645" s="23" t="str">
        <f t="shared" si="162"/>
        <v>Реализация мероприятий по антитеррористической защищенности (объектов) территорий - Работы по установке системы видеонаблюдения по адресу: Свердловская область, г. Нижний Тагил, пр. Ленина, д. 2а</v>
      </c>
      <c r="G3645" s="22" t="s">
        <v>72</v>
      </c>
      <c r="H3645" s="22" t="s">
        <v>3332</v>
      </c>
      <c r="I3645" s="26">
        <v>43676.7972337963</v>
      </c>
      <c r="J3645" s="23" t="str">
        <f>HYPERLINK("https://www.spark-marketing.ru/Card/Person/6578982", "Родичев Максим Юрьевич")</f>
        <v>Родичев Максим Юрьевич</v>
      </c>
      <c r="K3645" s="24" t="s">
        <v>1478</v>
      </c>
      <c r="L3645" s="28" t="s">
        <v>52</v>
      </c>
      <c r="M3645" s="25">
        <v>346055.52</v>
      </c>
      <c r="N3645" s="27">
        <v>0.35355027681822687</v>
      </c>
    </row>
    <row r="3646" spans="1:14" hidden="1" outlineLevel="1" x14ac:dyDescent="0.2">
      <c r="A3646" s="23" t="str">
        <f t="shared" si="161"/>
        <v>ГБПОУ СО "НИЖНЕТАГИЛЬСКИЙ ТОРГОВО-ЭКОНОМИЧЕСКИЙ КОЛЛЕДЖ"</v>
      </c>
      <c r="B3646" s="24" t="s">
        <v>4891</v>
      </c>
      <c r="C3646" s="25">
        <v>535316.99</v>
      </c>
      <c r="D3646" s="22" t="s">
        <v>5256</v>
      </c>
      <c r="E3646" s="22" t="s">
        <v>52</v>
      </c>
      <c r="F3646" s="23" t="str">
        <f t="shared" si="162"/>
        <v>Реализация мероприятий по антитеррористической защищенности (объектов) территорий - Работы по установке системы видеонаблюдения по адресу: Свердловская область, г. Нижний Тагил, пр. Ленина, д. 2а</v>
      </c>
      <c r="G3646" s="22" t="s">
        <v>72</v>
      </c>
      <c r="H3646" s="22" t="s">
        <v>3332</v>
      </c>
      <c r="I3646" s="26">
        <v>43676.7972337963</v>
      </c>
      <c r="J3646" s="23" t="str">
        <f>HYPERLINK("https://www.spark-marketing.ru/Card/Person/6575791", "Перцев Иван Петрович")</f>
        <v>Перцев Иван Петрович</v>
      </c>
      <c r="K3646" s="24" t="s">
        <v>3291</v>
      </c>
      <c r="L3646" s="28" t="s">
        <v>52</v>
      </c>
      <c r="M3646" s="25">
        <v>319289.67</v>
      </c>
      <c r="N3646" s="27">
        <v>0.40355027775225294</v>
      </c>
    </row>
    <row r="3647" spans="1:14" hidden="1" outlineLevel="1" x14ac:dyDescent="0.2">
      <c r="A3647" s="23" t="str">
        <f t="shared" si="161"/>
        <v>ГБПОУ СО "НИЖНЕТАГИЛЬСКИЙ ТОРГОВО-ЭКОНОМИЧЕСКИЙ КОЛЛЕДЖ"</v>
      </c>
      <c r="B3647" s="24" t="s">
        <v>4891</v>
      </c>
      <c r="C3647" s="25">
        <v>535316.99</v>
      </c>
      <c r="D3647" s="22" t="s">
        <v>5256</v>
      </c>
      <c r="E3647" s="22" t="s">
        <v>52</v>
      </c>
      <c r="F3647" s="23" t="str">
        <f t="shared" si="162"/>
        <v>Реализация мероприятий по антитеррористической защищенности (объектов) территорий - Работы по установке системы видеонаблюдения по адресу: Свердловская область, г. Нижний Тагил, пр. Ленина, д. 2а</v>
      </c>
      <c r="G3647" s="22" t="s">
        <v>72</v>
      </c>
      <c r="H3647" s="22" t="s">
        <v>3332</v>
      </c>
      <c r="I3647" s="26">
        <v>43676.7972337963</v>
      </c>
      <c r="J3647" s="23" t="str">
        <f>HYPERLINK("https://www.spark-marketing.ru/Card/Person/6223684", "ООО ""КОРПОРАЦИЯ БЕЗОПАСНОСТИ""")</f>
        <v>ООО "КОРПОРАЦИЯ БЕЗОПАСНОСТИ"</v>
      </c>
      <c r="K3647" s="24" t="s">
        <v>4894</v>
      </c>
      <c r="L3647" s="28" t="s">
        <v>52</v>
      </c>
      <c r="M3647" s="25">
        <v>505874.56</v>
      </c>
      <c r="N3647" s="27">
        <v>5.4999991687168383E-2</v>
      </c>
    </row>
    <row r="3648" spans="1:14" x14ac:dyDescent="0.15">
      <c r="A3648" s="23" t="str">
        <f>HYPERLINK("https://www.spark-marketing.ru/Card/Person/89034", """СЕРГИЕВО-ПОСАДСКИЙ МУЗЕЙ-ЗАПОВЕДНИК""")</f>
        <v>"СЕРГИЕВО-ПОСАДСКИЙ МУЗЕЙ-ЗАПОВЕДНИК"</v>
      </c>
      <c r="B3648" s="24" t="s">
        <v>3075</v>
      </c>
      <c r="C3648" s="25">
        <v>1400000</v>
      </c>
      <c r="D3648" s="22" t="s">
        <v>5257</v>
      </c>
      <c r="E3648" s="22" t="s">
        <v>59</v>
      </c>
      <c r="F3648" s="23" t="str">
        <f>HYPERLINK("https://www.spark-marketing.ru/Card/Lot/72528644", "Монтажные работы по установке системы охранно-тревожной сигнализации в помещениях Главного корпуса")</f>
        <v>Монтажные работы по установке системы охранно-тревожной сигнализации в помещениях Главного корпуса</v>
      </c>
      <c r="G3648" s="22" t="s">
        <v>50</v>
      </c>
      <c r="H3648" s="22" t="s">
        <v>326</v>
      </c>
      <c r="I3648" s="26">
        <v>43676.808379629598</v>
      </c>
      <c r="J3648" s="28" t="s">
        <v>52</v>
      </c>
      <c r="K3648" s="28" t="s">
        <v>52</v>
      </c>
      <c r="L3648" s="28" t="s">
        <v>52</v>
      </c>
      <c r="M3648" s="28" t="s">
        <v>52</v>
      </c>
      <c r="N3648" s="28" t="s">
        <v>52</v>
      </c>
    </row>
    <row r="3649" spans="1:14" ht="12.75" hidden="1" outlineLevel="1" x14ac:dyDescent="0.2">
      <c r="A3649" s="23" t="str">
        <f>HYPERLINK("https://www.spark-marketing.ru/Card/Person/89034", """СЕРГИЕВО-ПОСАДСКИЙ МУЗЕЙ-ЗАПОВЕДНИК""")</f>
        <v>"СЕРГИЕВО-ПОСАДСКИЙ МУЗЕЙ-ЗАПОВЕДНИК"</v>
      </c>
      <c r="B3649" s="24" t="s">
        <v>3075</v>
      </c>
      <c r="C3649" s="25">
        <v>1400000</v>
      </c>
      <c r="D3649" s="22" t="s">
        <v>5257</v>
      </c>
      <c r="E3649" s="22" t="s">
        <v>59</v>
      </c>
      <c r="F3649" s="23" t="str">
        <f>HYPERLINK("https://www.spark-marketing.ru/Card/Lot/72528644", "Монтажные работы по установке системы охранно-тревожной сигнализации в помещениях Главного корпуса")</f>
        <v>Монтажные работы по установке системы охранно-тревожной сигнализации в помещениях Главного корпуса</v>
      </c>
      <c r="G3649" s="22" t="s">
        <v>50</v>
      </c>
      <c r="H3649" s="22" t="s">
        <v>326</v>
      </c>
      <c r="I3649" s="26">
        <v>43676.808379629598</v>
      </c>
      <c r="J3649" s="23" t="str">
        <f>HYPERLINK("https://www.spark-marketing.ru/Card/Person/700836", "ООО НПО ""ИНВЕСТ""")</f>
        <v>ООО НПО "ИНВЕСТ"</v>
      </c>
      <c r="K3649" s="24" t="s">
        <v>1893</v>
      </c>
      <c r="L3649" s="22" t="s">
        <v>10</v>
      </c>
      <c r="M3649" s="25">
        <v>1379000</v>
      </c>
      <c r="N3649" s="27">
        <v>1.4999999999999999E-2</v>
      </c>
    </row>
    <row r="3650" spans="1:14" hidden="1" outlineLevel="1" x14ac:dyDescent="0.2">
      <c r="A3650" s="23" t="str">
        <f>HYPERLINK("https://www.spark-marketing.ru/Card/Person/89034", """СЕРГИЕВО-ПОСАДСКИЙ МУЗЕЙ-ЗАПОВЕДНИК""")</f>
        <v>"СЕРГИЕВО-ПОСАДСКИЙ МУЗЕЙ-ЗАПОВЕДНИК"</v>
      </c>
      <c r="B3650" s="24" t="s">
        <v>3075</v>
      </c>
      <c r="C3650" s="25">
        <v>1400000</v>
      </c>
      <c r="D3650" s="22" t="s">
        <v>5257</v>
      </c>
      <c r="E3650" s="22" t="s">
        <v>59</v>
      </c>
      <c r="F3650" s="23" t="str">
        <f>HYPERLINK("https://www.spark-marketing.ru/Card/Lot/72528644", "Монтажные работы по установке системы охранно-тревожной сигнализации в помещениях Главного корпуса")</f>
        <v>Монтажные работы по установке системы охранно-тревожной сигнализации в помещениях Главного корпуса</v>
      </c>
      <c r="G3650" s="22" t="s">
        <v>50</v>
      </c>
      <c r="H3650" s="22" t="s">
        <v>326</v>
      </c>
      <c r="I3650" s="26">
        <v>43676.808379629598</v>
      </c>
      <c r="J3650" s="23" t="str">
        <f>HYPERLINK("https://www.spark-marketing.ru/Card/Person/76256", "ООО ""РПМ ""РЕСТАРХ""")</f>
        <v>ООО "РПМ "РЕСТАРХ"</v>
      </c>
      <c r="K3650" s="24" t="s">
        <v>3077</v>
      </c>
      <c r="L3650" s="28" t="s">
        <v>52</v>
      </c>
      <c r="M3650" s="25">
        <v>1393000</v>
      </c>
      <c r="N3650" s="27">
        <v>5.0000000000000001E-3</v>
      </c>
    </row>
    <row r="3651" spans="1:14" hidden="1" outlineLevel="1" x14ac:dyDescent="0.2">
      <c r="A3651" s="23" t="str">
        <f>HYPERLINK("https://www.spark-marketing.ru/Card/Person/89034", """СЕРГИЕВО-ПОСАДСКИЙ МУЗЕЙ-ЗАПОВЕДНИК""")</f>
        <v>"СЕРГИЕВО-ПОСАДСКИЙ МУЗЕЙ-ЗАПОВЕДНИК"</v>
      </c>
      <c r="B3651" s="24" t="s">
        <v>3075</v>
      </c>
      <c r="C3651" s="25">
        <v>1400000</v>
      </c>
      <c r="D3651" s="22" t="s">
        <v>5257</v>
      </c>
      <c r="E3651" s="22" t="s">
        <v>59</v>
      </c>
      <c r="F3651" s="23" t="str">
        <f>HYPERLINK("https://www.spark-marketing.ru/Card/Lot/72528644", "Монтажные работы по установке системы охранно-тревожной сигнализации в помещениях Главного корпуса")</f>
        <v>Монтажные работы по установке системы охранно-тревожной сигнализации в помещениях Главного корпуса</v>
      </c>
      <c r="G3651" s="22" t="s">
        <v>50</v>
      </c>
      <c r="H3651" s="22" t="s">
        <v>326</v>
      </c>
      <c r="I3651" s="26">
        <v>43676.808379629598</v>
      </c>
      <c r="J3651" s="23" t="str">
        <f>HYPERLINK("https://www.spark-marketing.ru/Card/Person/126096", "ООО ЧОО ""ПУЛЬСАР""")</f>
        <v>ООО ЧОО "ПУЛЬСАР"</v>
      </c>
      <c r="K3651" s="24" t="s">
        <v>1892</v>
      </c>
      <c r="L3651" s="28" t="s">
        <v>52</v>
      </c>
      <c r="M3651" s="25">
        <v>1386000</v>
      </c>
      <c r="N3651" s="27">
        <v>0.01</v>
      </c>
    </row>
    <row r="3652" spans="1:14" x14ac:dyDescent="0.15">
      <c r="A3652" s="23" t="str">
        <f>HYPERLINK("https://www.spark-marketing.ru/Card/Person/12551", "ФКУ УПРДОР ""КОЛА""")</f>
        <v>ФКУ УПРДОР "КОЛА"</v>
      </c>
      <c r="B3652" s="24" t="s">
        <v>433</v>
      </c>
      <c r="C3652" s="25">
        <v>66400000</v>
      </c>
      <c r="D3652" s="22" t="s">
        <v>5258</v>
      </c>
      <c r="E3652" s="22" t="s">
        <v>723</v>
      </c>
      <c r="F3652" s="23" t="str">
        <f>HYPERLINK("https://www.spark-marketing.ru/Card/Lot/72532067", "Выполнение работ  по установке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дорожного движения)")</f>
        <v>Выполнение работ  по установке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дорожного движения)</v>
      </c>
      <c r="G3652" s="22" t="s">
        <v>435</v>
      </c>
      <c r="H3652" s="22" t="s">
        <v>435</v>
      </c>
      <c r="I3652" s="26">
        <v>43676.719479166699</v>
      </c>
      <c r="J3652" s="28" t="s">
        <v>52</v>
      </c>
      <c r="K3652" s="28" t="s">
        <v>52</v>
      </c>
      <c r="L3652" s="28" t="s">
        <v>52</v>
      </c>
      <c r="M3652" s="28" t="s">
        <v>52</v>
      </c>
      <c r="N3652" s="28" t="s">
        <v>52</v>
      </c>
    </row>
    <row r="3653" spans="1:14" x14ac:dyDescent="0.15">
      <c r="A3653" s="23" t="str">
        <f>HYPERLINK("https://www.spark-marketing.ru/Card/Person/28138", "АДМИНИСТРАЦИЯ КОМСОМОЛЬСКОГО МУНИЦИПАЛЬНОГО РАЙОНА ИВАНОВСКОЙ ОБЛАСТИ")</f>
        <v>АДМИНИСТРАЦИЯ КОМСОМОЛЬСКОГО МУНИЦИПАЛЬНОГО РАЙОНА ИВАНОВСКОЙ ОБЛАСТИ</v>
      </c>
      <c r="B3653" s="24" t="s">
        <v>5259</v>
      </c>
      <c r="C3653" s="25">
        <v>26701</v>
      </c>
      <c r="D3653" s="22" t="s">
        <v>5260</v>
      </c>
      <c r="E3653" s="22" t="s">
        <v>59</v>
      </c>
      <c r="F3653" s="23" t="str">
        <f>HYPERLINK("https://www.spark-marketing.ru/Card/Lot/72486500", "Установка дополнительных прожекторов для системы видеонаблюдения на территории Комсомольского городского поселения")</f>
        <v>Установка дополнительных прожекторов для системы видеонаблюдения на территории Комсомольского городского поселения</v>
      </c>
      <c r="G3653" s="22" t="s">
        <v>340</v>
      </c>
      <c r="H3653" s="22" t="s">
        <v>340</v>
      </c>
      <c r="I3653" s="26">
        <v>43676.716215277796</v>
      </c>
      <c r="J3653" s="28" t="s">
        <v>52</v>
      </c>
      <c r="K3653" s="28" t="s">
        <v>52</v>
      </c>
      <c r="L3653" s="28" t="s">
        <v>52</v>
      </c>
      <c r="M3653" s="28" t="s">
        <v>52</v>
      </c>
      <c r="N3653" s="28" t="s">
        <v>52</v>
      </c>
    </row>
    <row r="3654" spans="1:14" x14ac:dyDescent="0.15">
      <c r="A3654" s="23" t="str">
        <f>HYPERLINK("https://www.spark-marketing.ru/Card/Person/30731", "АДМИНИСТРАЦИЯ ВЕЛИКОУСТЮГСКОГО МУНИЦИПАЛЬНОГО РАЙОНА")</f>
        <v>АДМИНИСТРАЦИЯ ВЕЛИКОУСТЮГСКОГО МУНИЦИПАЛЬНОГО РАЙОНА</v>
      </c>
      <c r="B3654" s="24" t="s">
        <v>5261</v>
      </c>
      <c r="C3654" s="25">
        <v>68300</v>
      </c>
      <c r="D3654" s="22" t="s">
        <v>5262</v>
      </c>
      <c r="E3654" s="22" t="s">
        <v>79</v>
      </c>
      <c r="F3654" s="23" t="str">
        <f>HYPERLINK("https://www.spark-marketing.ru/Card/Lot/72486926", "Оказание услуг по установке двух видеокамер и подключению их к АПК ""Безопасный город""")</f>
        <v>Оказание услуг по установке двух видеокамер и подключению их к АПК "Безопасный город"</v>
      </c>
      <c r="G3654" s="22" t="s">
        <v>902</v>
      </c>
      <c r="H3654" s="22" t="s">
        <v>902</v>
      </c>
      <c r="I3654" s="26">
        <v>43676.716608796298</v>
      </c>
      <c r="J3654" s="23" t="str">
        <f>HYPERLINK("https://www.spark-marketing.ru/Card/Person/525039", "ООО ""РИЗАР""")</f>
        <v>ООО "РИЗАР"</v>
      </c>
      <c r="K3654" s="24" t="s">
        <v>5263</v>
      </c>
      <c r="L3654" s="28" t="s">
        <v>52</v>
      </c>
      <c r="M3654" s="28" t="s">
        <v>52</v>
      </c>
      <c r="N3654" s="28" t="s">
        <v>52</v>
      </c>
    </row>
    <row r="3655" spans="1:14" ht="12.75" hidden="1" outlineLevel="1" x14ac:dyDescent="0.2">
      <c r="A3655" s="23" t="str">
        <f>HYPERLINK("https://www.spark-marketing.ru/Card/Person/30731", "АДМИНИСТРАЦИЯ ВЕЛИКОУСТЮГСКОГО МУНИЦИПАЛЬНОГО РАЙОНА")</f>
        <v>АДМИНИСТРАЦИЯ ВЕЛИКОУСТЮГСКОГО МУНИЦИПАЛЬНОГО РАЙОНА</v>
      </c>
      <c r="B3655" s="24" t="s">
        <v>5261</v>
      </c>
      <c r="C3655" s="25">
        <v>68300</v>
      </c>
      <c r="D3655" s="22" t="s">
        <v>5262</v>
      </c>
      <c r="E3655" s="22" t="s">
        <v>79</v>
      </c>
      <c r="F3655" s="23" t="str">
        <f>HYPERLINK("https://www.spark-marketing.ru/Card/Lot/72486926", "Оказание услуг по установке двух видеокамер и подключению их к АПК ""Безопасный город""")</f>
        <v>Оказание услуг по установке двух видеокамер и подключению их к АПК "Безопасный город"</v>
      </c>
      <c r="G3655" s="22" t="s">
        <v>902</v>
      </c>
      <c r="H3655" s="22" t="s">
        <v>902</v>
      </c>
      <c r="I3655" s="26">
        <v>43676.716608796298</v>
      </c>
      <c r="J3655" s="23" t="str">
        <f>HYPERLINK("https://www.spark-marketing.ru/Card/Person/525039", "ООО ""РИЗАР""")</f>
        <v>ООО "РИЗАР"</v>
      </c>
      <c r="K3655" s="24" t="s">
        <v>5263</v>
      </c>
      <c r="L3655" s="22" t="s">
        <v>10</v>
      </c>
      <c r="M3655" s="25">
        <v>67958</v>
      </c>
      <c r="N3655" s="27">
        <v>5.0073206442166913E-3</v>
      </c>
    </row>
    <row r="3656" spans="1:14" x14ac:dyDescent="0.15">
      <c r="A3656" s="23" t="str">
        <f>HYPERLINK("https://www.spark-marketing.ru/Card/Person/1904559", "ООО ""РН-ДРАГМЕТ""")</f>
        <v>ООО "РН-ДРАГМЕТ"</v>
      </c>
      <c r="B3656" s="24" t="s">
        <v>4775</v>
      </c>
      <c r="C3656" s="28" t="s">
        <v>52</v>
      </c>
      <c r="D3656" s="22" t="s">
        <v>5264</v>
      </c>
      <c r="E3656" s="22" t="s">
        <v>4777</v>
      </c>
      <c r="F3656" s="23" t="str">
        <f>HYPERLINK("https://www.spark-marketing.ru/Card/Lot/72475401", "Модернизация системы охранного видеонаблюдения и установка системы контроля управления доступом")</f>
        <v>Модернизация системы охранного видеонаблюдения и установка системы контроля управления доступом</v>
      </c>
      <c r="G3656" s="22" t="s">
        <v>55</v>
      </c>
      <c r="H3656" s="22" t="s">
        <v>55</v>
      </c>
      <c r="I3656" s="26">
        <v>43676.738194444399</v>
      </c>
      <c r="J3656" s="28" t="s">
        <v>52</v>
      </c>
      <c r="K3656" s="28" t="s">
        <v>52</v>
      </c>
      <c r="L3656" s="28" t="s">
        <v>52</v>
      </c>
      <c r="M3656" s="28" t="s">
        <v>52</v>
      </c>
      <c r="N3656" s="28" t="s">
        <v>52</v>
      </c>
    </row>
    <row r="3657" spans="1:14" x14ac:dyDescent="0.15">
      <c r="A3657" s="23" t="str">
        <f>HYPERLINK("https://www.spark-marketing.ru/Card/Person/59056", "АО ""ГСПИ""")</f>
        <v>АО "ГСПИ"</v>
      </c>
      <c r="B3657" s="24" t="s">
        <v>1511</v>
      </c>
      <c r="C3657" s="25">
        <v>0</v>
      </c>
      <c r="D3657" s="22" t="s">
        <v>5265</v>
      </c>
      <c r="E3657" s="22" t="s">
        <v>53</v>
      </c>
      <c r="F3657" s="23" t="str">
        <f>HYPERLINK("https://www.spark-marketing.ru/Card/Lot/72483032", "мониторинг цен в электронной форме на Оказание услуг по охране объектов филиала АО «ГСПИ» в г. Электросталь.")</f>
        <v>мониторинг цен в электронной форме на Оказание услуг по охране объектов филиала АО «ГСПИ» в г. Электросталь.</v>
      </c>
      <c r="G3657" s="22" t="s">
        <v>55</v>
      </c>
      <c r="H3657" s="22" t="s">
        <v>55</v>
      </c>
      <c r="I3657" s="26">
        <v>43676.678761574098</v>
      </c>
      <c r="J3657" s="28" t="s">
        <v>52</v>
      </c>
      <c r="K3657" s="28" t="s">
        <v>52</v>
      </c>
      <c r="L3657" s="28" t="s">
        <v>52</v>
      </c>
      <c r="M3657" s="28" t="s">
        <v>52</v>
      </c>
      <c r="N3657" s="28" t="s">
        <v>52</v>
      </c>
    </row>
    <row r="3658" spans="1:14" x14ac:dyDescent="0.15">
      <c r="A3658" s="23" t="str">
        <f>HYPERLINK("https://www.spark-marketing.ru/Card/Person/59056", "АО ""ГСПИ""")</f>
        <v>АО "ГСПИ"</v>
      </c>
      <c r="B3658" s="24" t="s">
        <v>1511</v>
      </c>
      <c r="C3658" s="28" t="s">
        <v>52</v>
      </c>
      <c r="D3658" s="22" t="s">
        <v>5266</v>
      </c>
      <c r="E3658" s="22" t="s">
        <v>5267</v>
      </c>
      <c r="F3658" s="23" t="str">
        <f>HYPERLINK("https://www.spark-marketing.ru/Card/Lot/72479067", "Оказание услуг по охране объектов филиала АО «ГСПИ» в г. Электросталь.")</f>
        <v>Оказание услуг по охране объектов филиала АО «ГСПИ» в г. Электросталь.</v>
      </c>
      <c r="G3658" s="22" t="s">
        <v>55</v>
      </c>
      <c r="H3658" s="22" t="s">
        <v>55</v>
      </c>
      <c r="I3658" s="26">
        <v>43676.6788310185</v>
      </c>
      <c r="J3658" s="28" t="s">
        <v>52</v>
      </c>
      <c r="K3658" s="28" t="s">
        <v>52</v>
      </c>
      <c r="L3658" s="28" t="s">
        <v>52</v>
      </c>
      <c r="M3658" s="28" t="s">
        <v>52</v>
      </c>
      <c r="N3658" s="28" t="s">
        <v>52</v>
      </c>
    </row>
    <row r="3659" spans="1:14" x14ac:dyDescent="0.15">
      <c r="A3659" s="23" t="str">
        <f>HYPERLINK("https://www.spark-marketing.ru/Card/Person/59056", "АО ""ГСПИ""")</f>
        <v>АО "ГСПИ"</v>
      </c>
      <c r="B3659" s="24" t="s">
        <v>1511</v>
      </c>
      <c r="C3659" s="28" t="s">
        <v>52</v>
      </c>
      <c r="D3659" s="22" t="s">
        <v>5268</v>
      </c>
      <c r="E3659" s="22" t="s">
        <v>53</v>
      </c>
      <c r="F3659" s="23" t="str">
        <f>HYPERLINK("https://www.spark-marketing.ru/Card/Lot/72477764", "Оказание услуг по охране объектов филиала АО «ГСПИ» в г. Электросталь. (1309716)")</f>
        <v>Оказание услуг по охране объектов филиала АО «ГСПИ» в г. Электросталь. (1309716)</v>
      </c>
      <c r="G3659" s="22" t="s">
        <v>55</v>
      </c>
      <c r="H3659" s="22" t="s">
        <v>55</v>
      </c>
      <c r="I3659" s="26">
        <v>43676.678622685198</v>
      </c>
      <c r="J3659" s="28" t="s">
        <v>52</v>
      </c>
      <c r="K3659" s="28" t="s">
        <v>52</v>
      </c>
      <c r="L3659" s="28" t="s">
        <v>52</v>
      </c>
      <c r="M3659" s="28" t="s">
        <v>52</v>
      </c>
      <c r="N3659" s="28" t="s">
        <v>52</v>
      </c>
    </row>
    <row r="3660" spans="1:14" x14ac:dyDescent="0.15">
      <c r="A3660" s="23" t="str">
        <f>HYPERLINK("https://www.spark-marketing.ru/Card/Person/137454", "ГБУ РС(Я) ЧУРАПЧИНСКАЯ ЦРБ")</f>
        <v>ГБУ РС(Я) ЧУРАПЧИНСКАЯ ЦРБ</v>
      </c>
      <c r="B3660" s="24" t="s">
        <v>5269</v>
      </c>
      <c r="C3660" s="25">
        <v>568569.78</v>
      </c>
      <c r="D3660" s="22" t="s">
        <v>5270</v>
      </c>
      <c r="E3660" s="22" t="s">
        <v>68</v>
      </c>
      <c r="F3660" s="23" t="str">
        <f>HYPERLINK("https://www.spark-marketing.ru/Card/Lot/72496332", "Оказание услуг централизованной пультовой охраны с помощью КЭВП и ПЦО объектов ГБУ РС(Я) Чурапчинская ЦРБ")</f>
        <v>Оказание услуг централизованной пультовой охраны с помощью КЭВП и ПЦО объектов ГБУ РС(Я) Чурапчинская ЦРБ</v>
      </c>
      <c r="G3660" s="22" t="s">
        <v>424</v>
      </c>
      <c r="H3660" s="22" t="s">
        <v>5271</v>
      </c>
      <c r="I3660" s="26">
        <v>43676.7034837963</v>
      </c>
      <c r="J3660" s="23" t="str">
        <f>HYPERLINK("https://www.spark-marketing.ru/Card/Person/37467", "ФГКУ ""УВО ВНГ РОССИИ ПО РЕСПУБЛИКЕ САХА (ЯКУТИЯ)""")</f>
        <v>ФГКУ "УВО ВНГ РОССИИ ПО РЕСПУБЛИКЕ САХА (ЯКУТИЯ)"</v>
      </c>
      <c r="K3660" s="24" t="s">
        <v>5272</v>
      </c>
      <c r="L3660" s="22" t="s">
        <v>10</v>
      </c>
      <c r="M3660" s="28" t="s">
        <v>52</v>
      </c>
      <c r="N3660" s="28" t="s">
        <v>52</v>
      </c>
    </row>
    <row r="3661" spans="1:14" x14ac:dyDescent="0.15">
      <c r="A3661" s="23" t="str">
        <f>HYPERLINK("https://www.spark-marketing.ru/Card/Person/83086", "ГБОУ ШКОЛА-ИНТЕРНАТ СТ-ЦЫ СТАРОЛЕУШКОВСКОЙ")</f>
        <v>ГБОУ ШКОЛА-ИНТЕРНАТ СТ-ЦЫ СТАРОЛЕУШКОВСКОЙ</v>
      </c>
      <c r="B3661" s="24" t="s">
        <v>5273</v>
      </c>
      <c r="C3661" s="25">
        <v>458720</v>
      </c>
      <c r="D3661" s="22" t="s">
        <v>5274</v>
      </c>
      <c r="E3661" s="22" t="s">
        <v>68</v>
      </c>
      <c r="F3661" s="23" t="str">
        <f>HYPERLINK("https://www.spark-marketing.ru/Card/Lot/72489092", "Оказание охранных услуг.")</f>
        <v>Оказание охранных услуг.</v>
      </c>
      <c r="G3661" s="22" t="s">
        <v>132</v>
      </c>
      <c r="H3661" s="22" t="s">
        <v>5275</v>
      </c>
      <c r="I3661" s="26">
        <v>43676.683206018497</v>
      </c>
      <c r="J3661" s="23" t="str">
        <f>HYPERLINK("https://www.spark-marketing.ru/Card/Person/5897635", "ООО ЧОО ""АЛЬФА-КУБАНЬ""")</f>
        <v>ООО ЧОО "АЛЬФА-КУБАНЬ"</v>
      </c>
      <c r="K3661" s="24" t="s">
        <v>5276</v>
      </c>
      <c r="L3661" s="22" t="s">
        <v>10</v>
      </c>
      <c r="M3661" s="28" t="s">
        <v>52</v>
      </c>
      <c r="N3661" s="28" t="s">
        <v>52</v>
      </c>
    </row>
    <row r="3662" spans="1:14" x14ac:dyDescent="0.15">
      <c r="A3662" s="23" t="str">
        <f>HYPERLINK("https://www.spark-marketing.ru/Card/Person/104441", "ГБУ РС (Я) СБГБ")</f>
        <v>ГБУ РС (Я) СБГБ</v>
      </c>
      <c r="B3662" s="24" t="s">
        <v>5277</v>
      </c>
      <c r="C3662" s="25">
        <v>34146.839999999997</v>
      </c>
      <c r="D3662" s="22" t="s">
        <v>5278</v>
      </c>
      <c r="E3662" s="22" t="s">
        <v>68</v>
      </c>
      <c r="F3662" s="23" t="str">
        <f>HYPERLINK("https://www.spark-marketing.ru/Card/Lot/72496261", "Оказание услуг по техническому обслуживанию технических средств охраны")</f>
        <v>Оказание услуг по техническому обслуживанию технических средств охраны</v>
      </c>
      <c r="G3662" s="22" t="s">
        <v>424</v>
      </c>
      <c r="H3662" s="22" t="s">
        <v>424</v>
      </c>
      <c r="I3662" s="26">
        <v>43676.696018518502</v>
      </c>
      <c r="J3662" s="28" t="s">
        <v>52</v>
      </c>
      <c r="K3662" s="28" t="s">
        <v>52</v>
      </c>
      <c r="L3662" s="28" t="s">
        <v>52</v>
      </c>
      <c r="M3662" s="28" t="s">
        <v>52</v>
      </c>
      <c r="N3662" s="28" t="s">
        <v>52</v>
      </c>
    </row>
    <row r="3663" spans="1:14" x14ac:dyDescent="0.15">
      <c r="A3663" s="23" t="str">
        <f>HYPERLINK("https://www.spark-marketing.ru/Card/Person/151163", "ТАМБОВСКИЙ ОБЛАСТНОЙ СУД")</f>
        <v>ТАМБОВСКИЙ ОБЛАСТНОЙ СУД</v>
      </c>
      <c r="B3663" s="24" t="s">
        <v>5279</v>
      </c>
      <c r="C3663" s="25">
        <v>133455.32999999999</v>
      </c>
      <c r="D3663" s="22" t="s">
        <v>5280</v>
      </c>
      <c r="E3663" s="22" t="s">
        <v>59</v>
      </c>
      <c r="F3663" s="23" t="str">
        <f>HYPERLINK("https://www.spark-marketing.ru/Card/Lot/72487636", "Поставка с вводом в эксплуатацию  стационарных кнопок тревожной сигнализации в залах судебных заседаний")</f>
        <v>Поставка с вводом в эксплуатацию  стационарных кнопок тревожной сигнализации в залах судебных заседаний</v>
      </c>
      <c r="G3663" s="22" t="s">
        <v>1319</v>
      </c>
      <c r="H3663" s="22" t="s">
        <v>1320</v>
      </c>
      <c r="I3663" s="26">
        <v>43676.692430555602</v>
      </c>
      <c r="J3663" s="28" t="s">
        <v>52</v>
      </c>
      <c r="K3663" s="28" t="s">
        <v>52</v>
      </c>
      <c r="L3663" s="28" t="s">
        <v>52</v>
      </c>
      <c r="M3663" s="28" t="s">
        <v>52</v>
      </c>
      <c r="N3663" s="28" t="s">
        <v>52</v>
      </c>
    </row>
    <row r="3664" spans="1:14" hidden="1" outlineLevel="1" x14ac:dyDescent="0.2">
      <c r="A3664" s="23" t="str">
        <f>HYPERLINK("https://www.spark-marketing.ru/Card/Person/151163", "ТАМБОВСКИЙ ОБЛАСТНОЙ СУД")</f>
        <v>ТАМБОВСКИЙ ОБЛАСТНОЙ СУД</v>
      </c>
      <c r="B3664" s="24" t="s">
        <v>5279</v>
      </c>
      <c r="C3664" s="25">
        <v>133455.32999999999</v>
      </c>
      <c r="D3664" s="22" t="s">
        <v>5280</v>
      </c>
      <c r="E3664" s="22" t="s">
        <v>59</v>
      </c>
      <c r="F3664" s="23" t="str">
        <f>HYPERLINK("https://www.spark-marketing.ru/Card/Lot/72487636", "Поставка с вводом в эксплуатацию  стационарных кнопок тревожной сигнализации в залах судебных заседаний")</f>
        <v>Поставка с вводом в эксплуатацию  стационарных кнопок тревожной сигнализации в залах судебных заседаний</v>
      </c>
      <c r="G3664" s="22" t="s">
        <v>1319</v>
      </c>
      <c r="H3664" s="22" t="s">
        <v>1320</v>
      </c>
      <c r="I3664" s="26">
        <v>43676.692430555602</v>
      </c>
      <c r="J3664" s="23" t="str">
        <f>HYPERLINK("https://www.spark-marketing.ru/Card/Person/840261", "ООО ""МАКСИМУМ""")</f>
        <v>ООО "МАКСИМУМ"</v>
      </c>
      <c r="K3664" s="24" t="s">
        <v>5281</v>
      </c>
      <c r="L3664" s="28" t="s">
        <v>52</v>
      </c>
      <c r="M3664" s="25">
        <v>100091.45</v>
      </c>
      <c r="N3664" s="27">
        <v>0.25000035592433811</v>
      </c>
    </row>
    <row r="3665" spans="1:14" ht="12.75" hidden="1" outlineLevel="1" x14ac:dyDescent="0.2">
      <c r="A3665" s="23" t="str">
        <f>HYPERLINK("https://www.spark-marketing.ru/Card/Person/151163", "ТАМБОВСКИЙ ОБЛАСТНОЙ СУД")</f>
        <v>ТАМБОВСКИЙ ОБЛАСТНОЙ СУД</v>
      </c>
      <c r="B3665" s="24" t="s">
        <v>5279</v>
      </c>
      <c r="C3665" s="25">
        <v>133455.32999999999</v>
      </c>
      <c r="D3665" s="22" t="s">
        <v>5280</v>
      </c>
      <c r="E3665" s="22" t="s">
        <v>59</v>
      </c>
      <c r="F3665" s="23" t="str">
        <f>HYPERLINK("https://www.spark-marketing.ru/Card/Lot/72487636", "Поставка с вводом в эксплуатацию  стационарных кнопок тревожной сигнализации в залах судебных заседаний")</f>
        <v>Поставка с вводом в эксплуатацию  стационарных кнопок тревожной сигнализации в залах судебных заседаний</v>
      </c>
      <c r="G3665" s="22" t="s">
        <v>1319</v>
      </c>
      <c r="H3665" s="22" t="s">
        <v>1320</v>
      </c>
      <c r="I3665" s="26">
        <v>43676.692430555602</v>
      </c>
      <c r="J3665" s="23" t="str">
        <f>HYPERLINK("https://www.spark-marketing.ru/Card/Person/597482", "Панин Максим Петрович")</f>
        <v>Панин Максим Петрович</v>
      </c>
      <c r="K3665" s="24" t="s">
        <v>5282</v>
      </c>
      <c r="L3665" s="22" t="s">
        <v>10</v>
      </c>
      <c r="M3665" s="25">
        <v>99424.17</v>
      </c>
      <c r="N3665" s="27">
        <v>0.2550003810263704</v>
      </c>
    </row>
    <row r="3666" spans="1:14" hidden="1" outlineLevel="1" x14ac:dyDescent="0.2">
      <c r="A3666" s="23" t="str">
        <f>HYPERLINK("https://www.spark-marketing.ru/Card/Person/151163", "ТАМБОВСКИЙ ОБЛАСТНОЙ СУД")</f>
        <v>ТАМБОВСКИЙ ОБЛАСТНОЙ СУД</v>
      </c>
      <c r="B3666" s="24" t="s">
        <v>5279</v>
      </c>
      <c r="C3666" s="25">
        <v>133455.32999999999</v>
      </c>
      <c r="D3666" s="22" t="s">
        <v>5280</v>
      </c>
      <c r="E3666" s="22" t="s">
        <v>59</v>
      </c>
      <c r="F3666" s="23" t="str">
        <f>HYPERLINK("https://www.spark-marketing.ru/Card/Lot/72487636", "Поставка с вводом в эксплуатацию  стационарных кнопок тревожной сигнализации в залах судебных заседаний")</f>
        <v>Поставка с вводом в эксплуатацию  стационарных кнопок тревожной сигнализации в залах судебных заседаний</v>
      </c>
      <c r="G3666" s="22" t="s">
        <v>1319</v>
      </c>
      <c r="H3666" s="22" t="s">
        <v>1320</v>
      </c>
      <c r="I3666" s="26">
        <v>43676.692430555602</v>
      </c>
      <c r="J3666" s="23" t="str">
        <f>HYPERLINK("https://www.spark-marketing.ru/Card/Person/121639", "ООО ""ГЕФЕСТ""")</f>
        <v>ООО "ГЕФЕСТ"</v>
      </c>
      <c r="K3666" s="24" t="s">
        <v>5283</v>
      </c>
      <c r="L3666" s="28" t="s">
        <v>52</v>
      </c>
      <c r="M3666" s="25">
        <v>109433.34</v>
      </c>
      <c r="N3666" s="27">
        <v>0.1800002292902052</v>
      </c>
    </row>
    <row r="3667" spans="1:14" x14ac:dyDescent="0.15">
      <c r="A3667" s="23" t="str">
        <f>HYPERLINK("https://www.spark-marketing.ru/Card/Person/543189", "ОМВД РОССИИ ПО ЖЕРДЕВСКОМУ РАЙОНУ")</f>
        <v>ОМВД РОССИИ ПО ЖЕРДЕВСКОМУ РАЙОНУ</v>
      </c>
      <c r="B3667" s="24" t="s">
        <v>5284</v>
      </c>
      <c r="C3667" s="25">
        <v>38680.5</v>
      </c>
      <c r="D3667" s="22" t="s">
        <v>5285</v>
      </c>
      <c r="E3667" s="22" t="s">
        <v>208</v>
      </c>
      <c r="F3667" s="23" t="str">
        <f>HYPERLINK("https://www.spark-marketing.ru/Card/Lot/72485192", "Оказание услуг по техническому обслуживанию средств охраны ОМВД России по Жердевскому району")</f>
        <v>Оказание услуг по техническому обслуживанию средств охраны ОМВД России по Жердевскому району</v>
      </c>
      <c r="G3667" s="22" t="s">
        <v>1319</v>
      </c>
      <c r="H3667" s="22" t="s">
        <v>1319</v>
      </c>
      <c r="I3667" s="26">
        <v>43676.638518518499</v>
      </c>
      <c r="J3667" s="23" t="str">
        <f>HYPERLINK("https://www.spark-marketing.ru/Card/Person/246180", "ООО ""ТАЙФУН""")</f>
        <v>ООО "ТАЙФУН"</v>
      </c>
      <c r="K3667" s="24" t="s">
        <v>5286</v>
      </c>
      <c r="L3667" s="22" t="s">
        <v>10</v>
      </c>
      <c r="M3667" s="28" t="s">
        <v>52</v>
      </c>
      <c r="N3667" s="28" t="s">
        <v>52</v>
      </c>
    </row>
    <row r="3668" spans="1:14" x14ac:dyDescent="0.15">
      <c r="A3668" s="23" t="str">
        <f>HYPERLINK("https://www.spark-marketing.ru/Card/Person/57896", "ГБПОУ СО ""УРГЗК""")</f>
        <v>ГБПОУ СО "УРГЗК"</v>
      </c>
      <c r="B3668" s="24" t="s">
        <v>410</v>
      </c>
      <c r="C3668" s="25">
        <v>47315.25</v>
      </c>
      <c r="D3668" s="22" t="s">
        <v>5287</v>
      </c>
      <c r="E3668" s="22" t="s">
        <v>59</v>
      </c>
      <c r="F3668" s="23" t="str">
        <f>HYPERLINK("https://www.spark-marketing.ru/Card/Lot/72490630", "Выполнение работ по установке системы охранной сигнализации с использованием оборудования и материалов подрядчика")</f>
        <v>Выполнение работ по установке системы охранной сигнализации с использованием оборудования и материалов подрядчика</v>
      </c>
      <c r="G3668" s="22" t="s">
        <v>72</v>
      </c>
      <c r="H3668" s="22" t="s">
        <v>412</v>
      </c>
      <c r="I3668" s="26">
        <v>43676.645416666703</v>
      </c>
      <c r="J3668" s="23" t="str">
        <f>HYPERLINK("https://www.spark-marketing.ru/Card/Person/797349", "ООО ""ПОЖЗАЩИТА-НТ""")</f>
        <v>ООО "ПОЖЗАЩИТА-НТ"</v>
      </c>
      <c r="K3668" s="24" t="s">
        <v>3826</v>
      </c>
      <c r="L3668" s="22" t="s">
        <v>10</v>
      </c>
      <c r="M3668" s="28" t="s">
        <v>52</v>
      </c>
      <c r="N3668" s="28" t="s">
        <v>52</v>
      </c>
    </row>
    <row r="3669" spans="1:14" x14ac:dyDescent="0.15">
      <c r="A3669" s="23" t="str">
        <f>HYPERLINK("https://www.spark-marketing.ru/Card/Person/30033", "ФГКУ КОМБИНАТ ""ИСКРОВЕЦ"" РОСРЕЗЕРВА")</f>
        <v>ФГКУ КОМБИНАТ "ИСКРОВЕЦ" РОСРЕЗЕРВА</v>
      </c>
      <c r="B3669" s="24" t="s">
        <v>5288</v>
      </c>
      <c r="C3669" s="25">
        <v>82500</v>
      </c>
      <c r="D3669" s="22" t="s">
        <v>5289</v>
      </c>
      <c r="E3669" s="22" t="s">
        <v>5290</v>
      </c>
      <c r="F3669" s="23" t="str">
        <f>HYPERLINK("https://www.spark-marketing.ru/Card/Lot/72473350", "Оказание услуг по проведению практических стрельб и теоетической подготовки сотрудников ведомственной охраны")</f>
        <v>Оказание услуг по проведению практических стрельб и теоетической подготовки сотрудников ведомственной охраны</v>
      </c>
      <c r="G3669" s="22" t="s">
        <v>50</v>
      </c>
      <c r="H3669" s="22" t="s">
        <v>5291</v>
      </c>
      <c r="I3669" s="26">
        <v>43676.628391203703</v>
      </c>
      <c r="J3669" s="28" t="s">
        <v>52</v>
      </c>
      <c r="K3669" s="28" t="s">
        <v>52</v>
      </c>
      <c r="L3669" s="28" t="s">
        <v>52</v>
      </c>
      <c r="M3669" s="28" t="s">
        <v>52</v>
      </c>
      <c r="N3669" s="28" t="s">
        <v>52</v>
      </c>
    </row>
    <row r="3670" spans="1:14" x14ac:dyDescent="0.15">
      <c r="A3670" s="23" t="str">
        <f>HYPERLINK("https://www.spark-marketing.ru/Card/Person/36834", "МКУ АГП ""БЛАГОУСТРОЙСТВО И ЖКХ""")</f>
        <v>МКУ АГП "БЛАГОУСТРОЙСТВО И ЖКХ"</v>
      </c>
      <c r="B3670" s="24" t="s">
        <v>3916</v>
      </c>
      <c r="C3670" s="25">
        <v>2600000</v>
      </c>
      <c r="D3670" s="22" t="s">
        <v>5292</v>
      </c>
      <c r="E3670" s="22" t="s">
        <v>723</v>
      </c>
      <c r="F3670" s="23" t="str">
        <f>HYPERLINK("https://www.spark-marketing.ru/Card/Lot/72495985", "Установка системы фото- и видеофиксации дорожной сети по ул. Садовая (на пересечении с ул. 8 Марта) в г. Аксай Ростовской области")</f>
        <v>Установка системы фото- и видеофиксации дорожной сети по ул. Садовая (на пересечении с ул. 8 Марта) в г. Аксай Ростовской области</v>
      </c>
      <c r="G3670" s="22" t="s">
        <v>402</v>
      </c>
      <c r="H3670" s="22" t="s">
        <v>402</v>
      </c>
      <c r="I3670" s="26">
        <v>43676.628298611096</v>
      </c>
      <c r="J3670" s="23" t="str">
        <f>HYPERLINK("https://www.spark-marketing.ru/Card/Person/92388", "ООО ""АПЕКС""")</f>
        <v>ООО "АПЕКС"</v>
      </c>
      <c r="K3670" s="24" t="s">
        <v>3918</v>
      </c>
      <c r="L3670" s="22" t="s">
        <v>10</v>
      </c>
      <c r="M3670" s="28" t="s">
        <v>52</v>
      </c>
      <c r="N3670" s="28" t="s">
        <v>52</v>
      </c>
    </row>
    <row r="3671" spans="1:14" x14ac:dyDescent="0.15">
      <c r="A3671" s="23" t="str">
        <f>HYPERLINK("https://www.spark-marketing.ru/Card/Person/139579", "МБОУ ""СИМСКАЯ СОШ""")</f>
        <v>МБОУ "СИМСКАЯ СОШ"</v>
      </c>
      <c r="B3671" s="24" t="s">
        <v>5293</v>
      </c>
      <c r="C3671" s="25">
        <v>212953.86</v>
      </c>
      <c r="D3671" s="22" t="s">
        <v>5294</v>
      </c>
      <c r="E3671" s="22" t="s">
        <v>59</v>
      </c>
      <c r="F3671" s="23" t="str">
        <f>HYPERLINK("https://www.spark-marketing.ru/Card/Lot/72487021", "Установка системы видеонаблюдения для нужд МБОУ Симская СОШ")</f>
        <v>Установка системы видеонаблюдения для нужд МБОУ Симская СОШ</v>
      </c>
      <c r="G3671" s="22" t="s">
        <v>145</v>
      </c>
      <c r="H3671" s="22" t="s">
        <v>5295</v>
      </c>
      <c r="I3671" s="26">
        <v>43676.6627546296</v>
      </c>
      <c r="J3671" s="23" t="str">
        <f>HYPERLINK("https://www.spark-marketing.ru/Card/Person/312532", "ООО ""СИГНАЛ""")</f>
        <v>ООО "СИГНАЛ"</v>
      </c>
      <c r="K3671" s="24" t="s">
        <v>5296</v>
      </c>
      <c r="L3671" s="22" t="s">
        <v>10</v>
      </c>
      <c r="M3671" s="28" t="s">
        <v>52</v>
      </c>
      <c r="N3671" s="28" t="s">
        <v>52</v>
      </c>
    </row>
    <row r="3672" spans="1:14" x14ac:dyDescent="0.15">
      <c r="A3672" s="23" t="str">
        <f>HYPERLINK("https://www.spark-marketing.ru/Card/Person/543189", "ОМВД РОССИИ ПО ЖЕРДЕВСКОМУ РАЙОНУ")</f>
        <v>ОМВД РОССИИ ПО ЖЕРДЕВСКОМУ РАЙОНУ</v>
      </c>
      <c r="B3672" s="24" t="s">
        <v>5284</v>
      </c>
      <c r="C3672" s="25">
        <v>42000</v>
      </c>
      <c r="D3672" s="22" t="s">
        <v>5297</v>
      </c>
      <c r="E3672" s="22" t="s">
        <v>208</v>
      </c>
      <c r="F3672" s="23" t="str">
        <f>HYPERLINK("https://www.spark-marketing.ru/Card/Lot/72485188", "Оказание услуг по техническому обслуживанию средств охраны ОМВД России по Жердевскому району")</f>
        <v>Оказание услуг по техническому обслуживанию средств охраны ОМВД России по Жердевскому району</v>
      </c>
      <c r="G3672" s="22" t="s">
        <v>1319</v>
      </c>
      <c r="H3672" s="22" t="s">
        <v>1319</v>
      </c>
      <c r="I3672" s="26">
        <v>43676.636296296303</v>
      </c>
      <c r="J3672" s="23" t="str">
        <f>HYPERLINK("https://www.spark-marketing.ru/Card/Person/246180", "ООО ""ТАЙФУН""")</f>
        <v>ООО "ТАЙФУН"</v>
      </c>
      <c r="K3672" s="24" t="s">
        <v>5286</v>
      </c>
      <c r="L3672" s="22" t="s">
        <v>10</v>
      </c>
      <c r="M3672" s="28" t="s">
        <v>52</v>
      </c>
      <c r="N3672" s="28" t="s">
        <v>52</v>
      </c>
    </row>
    <row r="3673" spans="1:14" x14ac:dyDescent="0.15">
      <c r="A3673" s="23" t="str">
        <f>HYPERLINK("https://www.spark-marketing.ru/Card/Person/1031527", "МБУ ""ЦСОН""")</f>
        <v>МБУ "ЦСОН"</v>
      </c>
      <c r="B3673" s="24" t="s">
        <v>5298</v>
      </c>
      <c r="C3673" s="25">
        <v>52702.67</v>
      </c>
      <c r="D3673" s="22" t="s">
        <v>5299</v>
      </c>
      <c r="E3673" s="22" t="s">
        <v>84</v>
      </c>
      <c r="F3673" s="23" t="str">
        <f>HYPERLINK("https://www.spark-marketing.ru/Card/Lot/72485508", "Оказание услуг по установке камер видеонаблюдения")</f>
        <v>Оказание услуг по установке камер видеонаблюдения</v>
      </c>
      <c r="G3673" s="22" t="s">
        <v>367</v>
      </c>
      <c r="H3673" s="22" t="s">
        <v>5300</v>
      </c>
      <c r="I3673" s="26">
        <v>43676.642013888901</v>
      </c>
      <c r="J3673" s="23" t="str">
        <f>HYPERLINK("https://www.spark-marketing.ru/Card/Person/6619594", "ООО ""КУБ""")</f>
        <v>ООО "КУБ"</v>
      </c>
      <c r="K3673" s="24" t="s">
        <v>4406</v>
      </c>
      <c r="L3673" s="22" t="s">
        <v>10</v>
      </c>
      <c r="M3673" s="28" t="s">
        <v>52</v>
      </c>
      <c r="N3673" s="28" t="s">
        <v>52</v>
      </c>
    </row>
    <row r="3674" spans="1:14" x14ac:dyDescent="0.15">
      <c r="A3674" s="23" t="str">
        <f>HYPERLINK("https://www.spark-marketing.ru/Card/Person/185324", "ГБУЗ РЕСПУБЛИКИ МОРДОВИЯ ""ПОЛИКЛИНИКА № 4""")</f>
        <v>ГБУЗ РЕСПУБЛИКИ МОРДОВИЯ "ПОЛИКЛИНИКА № 4"</v>
      </c>
      <c r="B3674" s="24" t="s">
        <v>5301</v>
      </c>
      <c r="C3674" s="25">
        <v>256500</v>
      </c>
      <c r="D3674" s="22" t="s">
        <v>5302</v>
      </c>
      <c r="E3674" s="22" t="s">
        <v>52</v>
      </c>
      <c r="F3674" s="23" t="str">
        <f>HYPERLINK("https://www.spark-marketing.ru/Card/Lot/72492707", "оказание услуг по техническому обслуживанию комплекса технических средств тревожной и охранной сигнализации и реагированию на сообщения о срабатывании тревожной и охранной сигнализации с выводом тревожных сообщений на пульт централизованной охраны")</f>
        <v>оказание услуг по техническому обслуживанию комплекса технических средств тревожной и охранной сигнализации и реагированию на сообщения о срабатывании тревожной и охранной сигнализации с выводом тревожных сообщений на пульт централизованной охраны</v>
      </c>
      <c r="G3674" s="22" t="s">
        <v>331</v>
      </c>
      <c r="H3674" s="22" t="s">
        <v>332</v>
      </c>
      <c r="I3674" s="26">
        <v>43676.583981481497</v>
      </c>
      <c r="J3674" s="23" t="str">
        <f>HYPERLINK("https://www.spark-marketing.ru/Card/Person/6625300", "ФЛ ФГУП ОХРАНА ФЕДЕРАЛЬНОЙ СЛУЖБЫ ВОЙСК НАЦИОНАЛЬНОЙ ГВАРДИИ РФ ПО РП МОРДОВИЯ")</f>
        <v>ФЛ ФГУП ОХРАНА ФЕДЕРАЛЬНОЙ СЛУЖБЫ ВОЙСК НАЦИОНАЛЬНОЙ ГВАРДИИ РФ ПО РП МОРДОВИЯ</v>
      </c>
      <c r="K3674" s="24" t="s">
        <v>779</v>
      </c>
      <c r="L3674" s="28" t="s">
        <v>52</v>
      </c>
      <c r="M3674" s="28" t="s">
        <v>52</v>
      </c>
      <c r="N3674" s="28" t="s">
        <v>52</v>
      </c>
    </row>
    <row r="3675" spans="1:14" ht="12.75" hidden="1" outlineLevel="1" x14ac:dyDescent="0.2">
      <c r="A3675" s="23" t="str">
        <f>HYPERLINK("https://www.spark-marketing.ru/Card/Person/185324", "ГБУЗ РЕСПУБЛИКИ МОРДОВИЯ ""ПОЛИКЛИНИКА № 4""")</f>
        <v>ГБУЗ РЕСПУБЛИКИ МОРДОВИЯ "ПОЛИКЛИНИКА № 4"</v>
      </c>
      <c r="B3675" s="24" t="s">
        <v>5301</v>
      </c>
      <c r="C3675" s="25">
        <v>256500</v>
      </c>
      <c r="D3675" s="22" t="s">
        <v>5302</v>
      </c>
      <c r="E3675" s="22" t="s">
        <v>52</v>
      </c>
      <c r="F3675" s="23" t="str">
        <f>HYPERLINK("https://www.spark-marketing.ru/Card/Lot/72492707", "оказание услуг по техническому обслуживанию комплекса технических средств тревожной и охранной сигнализации и реагированию на сообщения о срабатывании тревожной и охранной сигнализации с выводом тревожных сообщений на пульт централизованной охраны")</f>
        <v>оказание услуг по техническому обслуживанию комплекса технических средств тревожной и охранной сигнализации и реагированию на сообщения о срабатывании тревожной и охранной сигнализации с выводом тревожных сообщений на пульт централизованной охраны</v>
      </c>
      <c r="G3675" s="22" t="s">
        <v>331</v>
      </c>
      <c r="H3675" s="22" t="s">
        <v>332</v>
      </c>
      <c r="I3675" s="26">
        <v>43676.583981481497</v>
      </c>
      <c r="J3675" s="23" t="str">
        <f>HYPERLINK("https://www.spark-marketing.ru/Card/Person/6625300", "ФЛ ФГУП ОХРАНА ФЕДЕРАЛЬНОЙ СЛУЖБЫ ВОЙСК НАЦИОНАЛЬНОЙ ГВАРДИИ РФ ПО РП МОРДОВИЯ")</f>
        <v>ФЛ ФГУП ОХРАНА ФЕДЕРАЛЬНОЙ СЛУЖБЫ ВОЙСК НАЦИОНАЛЬНОЙ ГВАРДИИ РФ ПО РП МОРДОВИЯ</v>
      </c>
      <c r="K3675" s="24" t="s">
        <v>779</v>
      </c>
      <c r="L3675" s="22" t="s">
        <v>10</v>
      </c>
      <c r="M3675" s="25">
        <v>255217.5</v>
      </c>
      <c r="N3675" s="27">
        <v>5.0000000000000001E-3</v>
      </c>
    </row>
    <row r="3676" spans="1:14" x14ac:dyDescent="0.15">
      <c r="A3676" s="23" t="str">
        <f>HYPERLINK("https://www.spark-marketing.ru/Card/Person/4348562", "АО ""АТОМТЕХЭНЕРГО""")</f>
        <v>АО "АТОМТЕХЭНЕРГО"</v>
      </c>
      <c r="B3676" s="24" t="s">
        <v>4449</v>
      </c>
      <c r="C3676" s="25">
        <v>735000</v>
      </c>
      <c r="D3676" s="22" t="s">
        <v>5303</v>
      </c>
      <c r="E3676" s="22" t="s">
        <v>53</v>
      </c>
      <c r="F3676" s="23" t="str">
        <f>HYPERLINK("https://www.spark-marketing.ru/Card/Lot/72482800", "ЕИС №31908149774 Право заключения договора на Оказание услуг по техническому обслуживанию системы контроля и управления доступом и системы видеонаблюдения в помещениях, арендуемых Московским филиалом ""Центратомтехэнерго"" АО ""Атомтехэнерго"" и в по...")</f>
        <v>ЕИС №31908149774 Право заключения договора на Оказание услуг по техническому обслуживанию системы контроля и управления доступом и системы видеонаблюдения в помещениях, арендуемых Московским филиалом "Центратомтехэнерго" АО "Атомтехэнерго" и в по...</v>
      </c>
      <c r="G3676" s="22" t="s">
        <v>55</v>
      </c>
      <c r="H3676" s="22" t="s">
        <v>55</v>
      </c>
      <c r="I3676" s="26">
        <v>43676.5847222222</v>
      </c>
      <c r="J3676" s="28" t="s">
        <v>52</v>
      </c>
      <c r="K3676" s="28" t="s">
        <v>52</v>
      </c>
      <c r="L3676" s="28" t="s">
        <v>52</v>
      </c>
      <c r="M3676" s="28" t="s">
        <v>52</v>
      </c>
      <c r="N3676" s="28" t="s">
        <v>52</v>
      </c>
    </row>
    <row r="3677" spans="1:14" x14ac:dyDescent="0.15">
      <c r="A3677" s="23" t="str">
        <f>HYPERLINK("https://www.spark-marketing.ru/Card/Person/1049747", "МБУ ""СТАВРОПОЛЬСКОЕ ГОРОДСКОЕ ЛЕСНИЧЕСТВО""")</f>
        <v>МБУ "СТАВРОПОЛЬСКОЕ ГОРОДСКОЕ ЛЕСНИЧЕСТВО"</v>
      </c>
      <c r="B3677" s="24" t="s">
        <v>5304</v>
      </c>
      <c r="C3677" s="25">
        <v>270000</v>
      </c>
      <c r="D3677" s="22" t="s">
        <v>5305</v>
      </c>
      <c r="E3677" s="22" t="s">
        <v>68</v>
      </c>
      <c r="F3677" s="23" t="str">
        <f>HYPERLINK("https://www.spark-marketing.ru/Card/Lot/72484027", "Услуга по обеспечению пропускного режима автотранспортного средства и патрулированию территории Комсомольского озера.")</f>
        <v>Услуга по обеспечению пропускного режима автотранспортного средства и патрулированию территории Комсомольского озера.</v>
      </c>
      <c r="G3677" s="22" t="s">
        <v>258</v>
      </c>
      <c r="H3677" s="22" t="s">
        <v>258</v>
      </c>
      <c r="I3677" s="26">
        <v>43676.586423611101</v>
      </c>
      <c r="J3677" s="28" t="s">
        <v>52</v>
      </c>
      <c r="K3677" s="28" t="s">
        <v>52</v>
      </c>
      <c r="L3677" s="28" t="s">
        <v>52</v>
      </c>
      <c r="M3677" s="28" t="s">
        <v>52</v>
      </c>
      <c r="N3677" s="28" t="s">
        <v>52</v>
      </c>
    </row>
    <row r="3678" spans="1:14" ht="12.75" hidden="1" outlineLevel="1" x14ac:dyDescent="0.2">
      <c r="A3678" s="23" t="str">
        <f>HYPERLINK("https://www.spark-marketing.ru/Card/Person/1049747", "МБУ ""СТАВРОПОЛЬСКОЕ ГОРОДСКОЕ ЛЕСНИЧЕСТВО""")</f>
        <v>МБУ "СТАВРОПОЛЬСКОЕ ГОРОДСКОЕ ЛЕСНИЧЕСТВО"</v>
      </c>
      <c r="B3678" s="24" t="s">
        <v>5304</v>
      </c>
      <c r="C3678" s="25">
        <v>270000</v>
      </c>
      <c r="D3678" s="22" t="s">
        <v>5305</v>
      </c>
      <c r="E3678" s="22" t="s">
        <v>68</v>
      </c>
      <c r="F3678" s="23" t="str">
        <f>HYPERLINK("https://www.spark-marketing.ru/Card/Lot/72484027", "Услуга по обеспечению пропускного режима автотранспортного средства и патрулированию территории Комсомольского озера.")</f>
        <v>Услуга по обеспечению пропускного режима автотранспортного средства и патрулированию территории Комсомольского озера.</v>
      </c>
      <c r="G3678" s="22" t="s">
        <v>258</v>
      </c>
      <c r="H3678" s="22" t="s">
        <v>258</v>
      </c>
      <c r="I3678" s="26">
        <v>43676.586423611101</v>
      </c>
      <c r="J3678" s="23" t="str">
        <f>HYPERLINK("https://www.spark-marketing.ru/Card/Person/1229976", "ООО ""ЧОП ""ТИТАН +""")</f>
        <v>ООО "ЧОП "ТИТАН +"</v>
      </c>
      <c r="K3678" s="24" t="s">
        <v>5306</v>
      </c>
      <c r="L3678" s="22" t="s">
        <v>10</v>
      </c>
      <c r="M3678" s="25">
        <v>109350</v>
      </c>
      <c r="N3678" s="27">
        <v>0.59499999999999997</v>
      </c>
    </row>
    <row r="3679" spans="1:14" hidden="1" outlineLevel="1" x14ac:dyDescent="0.2">
      <c r="A3679" s="23" t="str">
        <f>HYPERLINK("https://www.spark-marketing.ru/Card/Person/1049747", "МБУ ""СТАВРОПОЛЬСКОЕ ГОРОДСКОЕ ЛЕСНИЧЕСТВО""")</f>
        <v>МБУ "СТАВРОПОЛЬСКОЕ ГОРОДСКОЕ ЛЕСНИЧЕСТВО"</v>
      </c>
      <c r="B3679" s="24" t="s">
        <v>5304</v>
      </c>
      <c r="C3679" s="25">
        <v>270000</v>
      </c>
      <c r="D3679" s="22" t="s">
        <v>5305</v>
      </c>
      <c r="E3679" s="22" t="s">
        <v>68</v>
      </c>
      <c r="F3679" s="23" t="str">
        <f>HYPERLINK("https://www.spark-marketing.ru/Card/Lot/72484027", "Услуга по обеспечению пропускного режима автотранспортного средства и патрулированию территории Комсомольского озера.")</f>
        <v>Услуга по обеспечению пропускного режима автотранспортного средства и патрулированию территории Комсомольского озера.</v>
      </c>
      <c r="G3679" s="22" t="s">
        <v>258</v>
      </c>
      <c r="H3679" s="22" t="s">
        <v>258</v>
      </c>
      <c r="I3679" s="26">
        <v>43676.586423611101</v>
      </c>
      <c r="J3679" s="23" t="str">
        <f>HYPERLINK("https://www.spark-marketing.ru/Card/Person/6429258", "ООО ЧОО ""ЗЕВС""")</f>
        <v>ООО ЧОО "ЗЕВС"</v>
      </c>
      <c r="K3679" s="24" t="s">
        <v>5307</v>
      </c>
      <c r="L3679" s="28" t="s">
        <v>52</v>
      </c>
      <c r="M3679" s="25">
        <v>110700</v>
      </c>
      <c r="N3679" s="27">
        <v>0.59</v>
      </c>
    </row>
    <row r="3680" spans="1:14" hidden="1" outlineLevel="1" x14ac:dyDescent="0.2">
      <c r="A3680" s="23" t="str">
        <f>HYPERLINK("https://www.spark-marketing.ru/Card/Person/1049747", "МБУ ""СТАВРОПОЛЬСКОЕ ГОРОДСКОЕ ЛЕСНИЧЕСТВО""")</f>
        <v>МБУ "СТАВРОПОЛЬСКОЕ ГОРОДСКОЕ ЛЕСНИЧЕСТВО"</v>
      </c>
      <c r="B3680" s="24" t="s">
        <v>5304</v>
      </c>
      <c r="C3680" s="25">
        <v>270000</v>
      </c>
      <c r="D3680" s="22" t="s">
        <v>5305</v>
      </c>
      <c r="E3680" s="22" t="s">
        <v>68</v>
      </c>
      <c r="F3680" s="23" t="str">
        <f>HYPERLINK("https://www.spark-marketing.ru/Card/Lot/72484027", "Услуга по обеспечению пропускного режима автотранспортного средства и патрулированию территории Комсомольского озера.")</f>
        <v>Услуга по обеспечению пропускного режима автотранспортного средства и патрулированию территории Комсомольского озера.</v>
      </c>
      <c r="G3680" s="22" t="s">
        <v>258</v>
      </c>
      <c r="H3680" s="22" t="s">
        <v>258</v>
      </c>
      <c r="I3680" s="26">
        <v>43676.586423611101</v>
      </c>
      <c r="J3680" s="23" t="str">
        <f>HYPERLINK("https://www.spark-marketing.ru/Card/Person/950125", "ООО АО ""АВАНГАРД-С""")</f>
        <v>ООО АО "АВАНГАРД-С"</v>
      </c>
      <c r="K3680" s="24" t="s">
        <v>5308</v>
      </c>
      <c r="L3680" s="28" t="s">
        <v>52</v>
      </c>
      <c r="M3680" s="25">
        <v>125550</v>
      </c>
      <c r="N3680" s="27">
        <v>0.53500000000000003</v>
      </c>
    </row>
    <row r="3681" spans="1:14" x14ac:dyDescent="0.15">
      <c r="A3681" s="23" t="str">
        <f>HYPERLINK("https://www.spark-marketing.ru/Card/Person/163598", "ОТДЕЛ МВД РОССИИ ПО ГЕОРГИЕВСКОМУ ГОРОДСКОМУ ОКРУГУ")</f>
        <v>ОТДЕЛ МВД РОССИИ ПО ГЕОРГИЕВСКОМУ ГОРОДСКОМУ ОКРУГУ</v>
      </c>
      <c r="B3681" s="24" t="s">
        <v>4022</v>
      </c>
      <c r="C3681" s="25">
        <v>40761.96</v>
      </c>
      <c r="D3681" s="22" t="s">
        <v>5309</v>
      </c>
      <c r="E3681" s="22" t="s">
        <v>53</v>
      </c>
      <c r="F3681" s="23" t="str">
        <f>HYPERLINK("https://www.spark-marketing.ru/Card/Lot/72472175", "Оказание услуг по техническому обслуживанию комплекса технических средств охраны на объектах ОМВД России по Георгиевскому городскому округу")</f>
        <v>Оказание услуг по техническому обслуживанию комплекса технических средств охраны на объектах ОМВД России по Георгиевскому городскому округу</v>
      </c>
      <c r="G3681" s="22" t="s">
        <v>258</v>
      </c>
      <c r="H3681" s="22" t="s">
        <v>4024</v>
      </c>
      <c r="I3681" s="26">
        <v>43676.602800925903</v>
      </c>
      <c r="J3681" s="28" t="s">
        <v>52</v>
      </c>
      <c r="K3681" s="28" t="s">
        <v>52</v>
      </c>
      <c r="L3681" s="28" t="s">
        <v>52</v>
      </c>
      <c r="M3681" s="28" t="s">
        <v>52</v>
      </c>
      <c r="N3681" s="28" t="s">
        <v>52</v>
      </c>
    </row>
    <row r="3682" spans="1:14" x14ac:dyDescent="0.15">
      <c r="A3682" s="23" t="str">
        <f>HYPERLINK("https://www.spark-marketing.ru/Card/Person/4951949", "МКУ ""ЕДДС ЛЕНИНСКОГО РАЙОНА""")</f>
        <v>МКУ "ЕДДС ЛЕНИНСКОГО РАЙОНА"</v>
      </c>
      <c r="B3682" s="24" t="s">
        <v>5310</v>
      </c>
      <c r="C3682" s="25">
        <v>1095995.33</v>
      </c>
      <c r="D3682" s="22" t="s">
        <v>5311</v>
      </c>
      <c r="E3682" s="22" t="s">
        <v>5312</v>
      </c>
      <c r="F3682" s="23" t="str">
        <f>HYPERLINK("https://www.spark-marketing.ru/Card/Lot/72490175", "Выполнение работ по установке системы видеоконфренцсвязи и мониторинга с приобретением оборудования, его монтажом и пусконаладке")</f>
        <v>Выполнение работ по установке системы видеоконфренцсвязи и мониторинга с приобретением оборудования, его монтажом и пусконаладке</v>
      </c>
      <c r="G3682" s="22" t="s">
        <v>1053</v>
      </c>
      <c r="H3682" s="22" t="s">
        <v>5313</v>
      </c>
      <c r="I3682" s="26">
        <v>43676.606307870403</v>
      </c>
      <c r="J3682" s="23" t="str">
        <f>HYPERLINK("https://www.spark-marketing.ru/Card/Person/6528957", "ООО ""ЛИНКСИСТЕМС""")</f>
        <v>ООО "ЛИНКСИСТЕМС"</v>
      </c>
      <c r="K3682" s="24" t="s">
        <v>5314</v>
      </c>
      <c r="L3682" s="22" t="s">
        <v>10</v>
      </c>
      <c r="M3682" s="28" t="s">
        <v>52</v>
      </c>
      <c r="N3682" s="28" t="s">
        <v>52</v>
      </c>
    </row>
    <row r="3683" spans="1:14" x14ac:dyDescent="0.15">
      <c r="A3683" s="23" t="str">
        <f>HYPERLINK("https://www.spark-marketing.ru/Card/Person/163598", "ОТДЕЛ МВД РОССИИ ПО ГЕОРГИЕВСКОМУ ГОРОДСКОМУ ОКРУГУ")</f>
        <v>ОТДЕЛ МВД РОССИИ ПО ГЕОРГИЕВСКОМУ ГОРОДСКОМУ ОКРУГУ</v>
      </c>
      <c r="B3683" s="24" t="s">
        <v>4022</v>
      </c>
      <c r="C3683" s="25">
        <v>40761.96</v>
      </c>
      <c r="D3683" s="22" t="s">
        <v>5315</v>
      </c>
      <c r="E3683" s="22" t="s">
        <v>53</v>
      </c>
      <c r="F3683" s="23" t="str">
        <f>HYPERLINK("https://www.spark-marketing.ru/Card/Lot/72472156", "Оказание услуг по техническому обслуживанию комплекса технических средств охраны на объектах ОМВД России по Георгиевскому городскому округу")</f>
        <v>Оказание услуг по техническому обслуживанию комплекса технических средств охраны на объектах ОМВД России по Георгиевскому городскому округу</v>
      </c>
      <c r="G3683" s="22" t="s">
        <v>258</v>
      </c>
      <c r="H3683" s="22" t="s">
        <v>4024</v>
      </c>
      <c r="I3683" s="26">
        <v>43676.596458333297</v>
      </c>
      <c r="J3683" s="28" t="s">
        <v>52</v>
      </c>
      <c r="K3683" s="28" t="s">
        <v>52</v>
      </c>
      <c r="L3683" s="28" t="s">
        <v>52</v>
      </c>
      <c r="M3683" s="28" t="s">
        <v>52</v>
      </c>
      <c r="N3683" s="28" t="s">
        <v>52</v>
      </c>
    </row>
    <row r="3684" spans="1:14" x14ac:dyDescent="0.15">
      <c r="A3684" s="23" t="str">
        <f>HYPERLINK("https://www.spark-marketing.ru/Card/Person/9152", "ФКУ ""ЦХИСО ГУ МВД РОССИИ ПО Г. САНКТ-ПЕТЕРБУРГУ И ЛЕНИНГРАДСКОЙ ОБЛАСТИ""")</f>
        <v>ФКУ "ЦХИСО ГУ МВД РОССИИ ПО Г. САНКТ-ПЕТЕРБУРГУ И ЛЕНИНГРАДСКОЙ ОБЛАСТИ"</v>
      </c>
      <c r="B3684" s="24" t="s">
        <v>4342</v>
      </c>
      <c r="C3684" s="25">
        <v>18820</v>
      </c>
      <c r="D3684" s="22" t="s">
        <v>5316</v>
      </c>
      <c r="E3684" s="22" t="s">
        <v>59</v>
      </c>
      <c r="F3684" s="23" t="str">
        <f>HYPERLINK("https://www.spark-marketing.ru/Card/Lot/72471890", "Работ по установке комплекса охранной сигнализации, 1 шт")</f>
        <v>Работ по установке комплекса охранной сигнализации, 1 шт</v>
      </c>
      <c r="G3684" s="22" t="s">
        <v>89</v>
      </c>
      <c r="H3684" s="22" t="s">
        <v>89</v>
      </c>
      <c r="I3684" s="26">
        <v>43676.596342592602</v>
      </c>
      <c r="J3684" s="28" t="s">
        <v>52</v>
      </c>
      <c r="K3684" s="28" t="s">
        <v>52</v>
      </c>
      <c r="L3684" s="28" t="s">
        <v>52</v>
      </c>
      <c r="M3684" s="28" t="s">
        <v>52</v>
      </c>
      <c r="N3684" s="28" t="s">
        <v>52</v>
      </c>
    </row>
    <row r="3685" spans="1:14" x14ac:dyDescent="0.15">
      <c r="A3685" s="23" t="str">
        <f>HYPERLINK("https://www.spark-marketing.ru/Card/Person/4359562", "АО ""ИЗОТОП""")</f>
        <v>АО "ИЗОТОП"</v>
      </c>
      <c r="B3685" s="24" t="s">
        <v>5317</v>
      </c>
      <c r="C3685" s="28" t="s">
        <v>52</v>
      </c>
      <c r="D3685" s="22" t="s">
        <v>5318</v>
      </c>
      <c r="E3685" s="22" t="s">
        <v>1130</v>
      </c>
      <c r="F3685" s="23" t="str">
        <f>HYPERLINK("https://www.spark-marketing.ru/Card/Lot/72473813", "Договор с оператором на оказание услуг по идентификации АСН в ГАИС «Эра-Глонасс»")</f>
        <v>Договор с оператором на оказание услуг по идентификации АСН в ГАИС «Эра-Глонасс»</v>
      </c>
      <c r="G3685" s="22" t="s">
        <v>72</v>
      </c>
      <c r="H3685" s="22" t="s">
        <v>949</v>
      </c>
      <c r="I3685" s="26">
        <v>43676.545266203699</v>
      </c>
      <c r="J3685" s="28" t="s">
        <v>52</v>
      </c>
      <c r="K3685" s="28" t="s">
        <v>52</v>
      </c>
      <c r="L3685" s="28" t="s">
        <v>52</v>
      </c>
      <c r="M3685" s="28" t="s">
        <v>52</v>
      </c>
      <c r="N3685" s="28" t="s">
        <v>52</v>
      </c>
    </row>
    <row r="3686" spans="1:14" x14ac:dyDescent="0.15">
      <c r="A3686" s="23" t="s">
        <v>121</v>
      </c>
      <c r="B3686" s="28" t="s">
        <v>52</v>
      </c>
      <c r="C3686" s="25">
        <v>652069.77</v>
      </c>
      <c r="D3686" s="22" t="s">
        <v>5319</v>
      </c>
      <c r="E3686" s="22" t="s">
        <v>52</v>
      </c>
      <c r="F3686" s="23" t="str">
        <f>HYPERLINK("https://www.spark-marketing.ru/Card/Lot/72483812", "Услуги частных охранных служб")</f>
        <v>Услуги частных охранных служб</v>
      </c>
      <c r="G3686" s="22" t="s">
        <v>52</v>
      </c>
      <c r="H3686" s="22" t="s">
        <v>52</v>
      </c>
      <c r="I3686" s="26">
        <v>43676.519212963001</v>
      </c>
      <c r="J3686" s="28" t="s">
        <v>52</v>
      </c>
      <c r="K3686" s="28" t="s">
        <v>52</v>
      </c>
      <c r="L3686" s="28" t="s">
        <v>52</v>
      </c>
      <c r="M3686" s="28" t="s">
        <v>52</v>
      </c>
      <c r="N3686" s="28" t="s">
        <v>52</v>
      </c>
    </row>
    <row r="3687" spans="1:14" hidden="1" outlineLevel="1" x14ac:dyDescent="0.15">
      <c r="A3687" s="23" t="str">
        <f>HYPERLINK("https://www.spark-marketing.ru/Card/Person/55406", "МБОУ СОШ № 6")</f>
        <v>МБОУ СОШ № 6</v>
      </c>
      <c r="B3687" s="24" t="s">
        <v>5320</v>
      </c>
      <c r="C3687" s="25">
        <v>172851.12</v>
      </c>
      <c r="D3687" s="22" t="s">
        <v>5319</v>
      </c>
      <c r="E3687" s="22" t="s">
        <v>52</v>
      </c>
      <c r="F3687" s="23" t="str">
        <f>HYPERLINK("https://www.spark-marketing.ru/Card/Lot/72483812", "Услуги частных охранных служб")</f>
        <v>Услуги частных охранных служб</v>
      </c>
      <c r="G3687" s="22" t="s">
        <v>72</v>
      </c>
      <c r="H3687" s="22" t="s">
        <v>5321</v>
      </c>
      <c r="I3687" s="26">
        <v>43676.519212963001</v>
      </c>
      <c r="J3687" s="28" t="s">
        <v>52</v>
      </c>
      <c r="K3687" s="28" t="s">
        <v>52</v>
      </c>
      <c r="L3687" s="28" t="s">
        <v>52</v>
      </c>
      <c r="M3687" s="28" t="s">
        <v>52</v>
      </c>
      <c r="N3687" s="28" t="s">
        <v>52</v>
      </c>
    </row>
    <row r="3688" spans="1:14" hidden="1" outlineLevel="1" x14ac:dyDescent="0.15">
      <c r="A3688" s="23" t="str">
        <f>HYPERLINK("https://www.spark-marketing.ru/Card/Person/1013608", "МКОУ ООШ Д.НЕЛОБА")</f>
        <v>МКОУ ООШ Д.НЕЛОБА</v>
      </c>
      <c r="B3688" s="24" t="s">
        <v>5322</v>
      </c>
      <c r="C3688" s="25">
        <v>102122.51</v>
      </c>
      <c r="D3688" s="22" t="s">
        <v>5319</v>
      </c>
      <c r="E3688" s="22" t="s">
        <v>52</v>
      </c>
      <c r="F3688" s="23" t="str">
        <f>HYPERLINK("https://www.spark-marketing.ru/Card/Lot/72483812", "Услуги частных охранных служб")</f>
        <v>Услуги частных охранных служб</v>
      </c>
      <c r="G3688" s="22" t="s">
        <v>72</v>
      </c>
      <c r="H3688" s="22" t="s">
        <v>5321</v>
      </c>
      <c r="I3688" s="26">
        <v>43676.519212963001</v>
      </c>
      <c r="J3688" s="28" t="s">
        <v>52</v>
      </c>
      <c r="K3688" s="28" t="s">
        <v>52</v>
      </c>
      <c r="L3688" s="28" t="s">
        <v>52</v>
      </c>
      <c r="M3688" s="28" t="s">
        <v>52</v>
      </c>
      <c r="N3688" s="28" t="s">
        <v>52</v>
      </c>
    </row>
    <row r="3689" spans="1:14" hidden="1" outlineLevel="1" x14ac:dyDescent="0.15">
      <c r="A3689" s="23" t="str">
        <f>HYPERLINK("https://www.spark-marketing.ru/Card/Person/2260736", "МБОУ ""ШКОЛА-ИНТЕРНАТ №9""")</f>
        <v>МБОУ "ШКОЛА-ИНТЕРНАТ №9"</v>
      </c>
      <c r="B3689" s="24" t="s">
        <v>5323</v>
      </c>
      <c r="C3689" s="25">
        <v>377096.14</v>
      </c>
      <c r="D3689" s="22" t="s">
        <v>5319</v>
      </c>
      <c r="E3689" s="22" t="s">
        <v>52</v>
      </c>
      <c r="F3689" s="23" t="str">
        <f>HYPERLINK("https://www.spark-marketing.ru/Card/Lot/72483812", "Услуги частных охранных служб")</f>
        <v>Услуги частных охранных служб</v>
      </c>
      <c r="G3689" s="22" t="s">
        <v>72</v>
      </c>
      <c r="H3689" s="22" t="s">
        <v>5321</v>
      </c>
      <c r="I3689" s="26">
        <v>43676.519212963001</v>
      </c>
      <c r="J3689" s="28" t="s">
        <v>52</v>
      </c>
      <c r="K3689" s="28" t="s">
        <v>52</v>
      </c>
      <c r="L3689" s="28" t="s">
        <v>52</v>
      </c>
      <c r="M3689" s="28" t="s">
        <v>52</v>
      </c>
      <c r="N3689" s="28" t="s">
        <v>52</v>
      </c>
    </row>
    <row r="3690" spans="1:14" x14ac:dyDescent="0.15">
      <c r="A3690" s="23" t="str">
        <f>HYPERLINK("https://www.spark-marketing.ru/Card/Person/4359562", "АО ""ИЗОТОП""")</f>
        <v>АО "ИЗОТОП"</v>
      </c>
      <c r="B3690" s="24" t="s">
        <v>5317</v>
      </c>
      <c r="C3690" s="28" t="s">
        <v>52</v>
      </c>
      <c r="D3690" s="22" t="s">
        <v>5324</v>
      </c>
      <c r="E3690" s="22" t="s">
        <v>218</v>
      </c>
      <c r="F3690" s="23" t="str">
        <f>HYPERLINK("https://www.spark-marketing.ru/Card/Lot/72473803", "Услуга по разработке и утверждению плана обеспечения транспортной безопасности в Федеральном дорожном агентстве Министерства транспорта РФ")</f>
        <v>Услуга по разработке и утверждению плана обеспечения транспортной безопасности в Федеральном дорожном агентстве Министерства транспорта РФ</v>
      </c>
      <c r="G3690" s="22" t="s">
        <v>72</v>
      </c>
      <c r="H3690" s="22" t="s">
        <v>949</v>
      </c>
      <c r="I3690" s="26">
        <v>43676.539097222201</v>
      </c>
      <c r="J3690" s="28" t="s">
        <v>52</v>
      </c>
      <c r="K3690" s="28" t="s">
        <v>52</v>
      </c>
      <c r="L3690" s="28" t="s">
        <v>52</v>
      </c>
      <c r="M3690" s="28" t="s">
        <v>52</v>
      </c>
      <c r="N3690" s="28" t="s">
        <v>52</v>
      </c>
    </row>
    <row r="3691" spans="1:14" x14ac:dyDescent="0.15">
      <c r="A3691" s="23" t="str">
        <f>HYPERLINK("https://www.spark-marketing.ru/Card/Person/4359562", "АО ""ИЗОТОП""")</f>
        <v>АО "ИЗОТОП"</v>
      </c>
      <c r="B3691" s="24" t="s">
        <v>5317</v>
      </c>
      <c r="C3691" s="25">
        <v>0</v>
      </c>
      <c r="D3691" s="22" t="s">
        <v>5325</v>
      </c>
      <c r="E3691" s="22" t="s">
        <v>53</v>
      </c>
      <c r="F3691" s="23" t="str">
        <f>HYPERLINK("https://www.spark-marketing.ru/Card/Lot/72482766", "мониторинг цен в электронной форме на Услуга по разработке и утверждению плана обеспечения транспортной безопасности в Федеральном дорожном агентстве Министерства транспорта РФ")</f>
        <v>мониторинг цен в электронной форме на Услуга по разработке и утверждению плана обеспечения транспортной безопасности в Федеральном дорожном агентстве Министерства транспорта РФ</v>
      </c>
      <c r="G3691" s="22" t="s">
        <v>72</v>
      </c>
      <c r="H3691" s="22" t="s">
        <v>949</v>
      </c>
      <c r="I3691" s="26">
        <v>43676.539004629602</v>
      </c>
      <c r="J3691" s="28" t="s">
        <v>52</v>
      </c>
      <c r="K3691" s="28" t="s">
        <v>52</v>
      </c>
      <c r="L3691" s="28" t="s">
        <v>52</v>
      </c>
      <c r="M3691" s="28" t="s">
        <v>52</v>
      </c>
      <c r="N3691" s="28" t="s">
        <v>52</v>
      </c>
    </row>
    <row r="3692" spans="1:14" x14ac:dyDescent="0.15">
      <c r="A3692" s="23" t="str">
        <f>HYPERLINK("https://www.spark-marketing.ru/Card/Person/1024833", """КУМИ АМР""")</f>
        <v>"КУМИ АМР"</v>
      </c>
      <c r="B3692" s="24" t="s">
        <v>5326</v>
      </c>
      <c r="C3692" s="25">
        <v>33600</v>
      </c>
      <c r="D3692" s="22" t="s">
        <v>5327</v>
      </c>
      <c r="E3692" s="22" t="s">
        <v>194</v>
      </c>
      <c r="F3692" s="23" t="str">
        <f>HYPERLINK("https://www.spark-marketing.ru/Card/Lot/72507912", "Приобретение персональных носимых регистраторов для Отдела МВД по России по Ашинскому району в целях выполнения программы ""Обеспечение общественного порядка и противодействия преступности в Ашинском муниципальном районе на 2017-2019 годы""")</f>
        <v>Приобретение персональных носимых регистраторов для Отдела МВД по России по Ашинскому району в целях выполнения программы "Обеспечение общественного порядка и противодействия преступности в Ашинском муниципальном районе на 2017-2019 годы"</v>
      </c>
      <c r="G3692" s="22" t="s">
        <v>60</v>
      </c>
      <c r="H3692" s="22" t="s">
        <v>60</v>
      </c>
      <c r="I3692" s="26">
        <v>43676.514652777798</v>
      </c>
      <c r="J3692" s="28" t="s">
        <v>52</v>
      </c>
      <c r="K3692" s="28" t="s">
        <v>52</v>
      </c>
      <c r="L3692" s="28" t="s">
        <v>52</v>
      </c>
      <c r="M3692" s="28" t="s">
        <v>52</v>
      </c>
      <c r="N3692" s="28" t="s">
        <v>52</v>
      </c>
    </row>
    <row r="3693" spans="1:14" ht="12.75" hidden="1" outlineLevel="1" x14ac:dyDescent="0.2">
      <c r="A3693" s="23" t="str">
        <f>HYPERLINK("https://www.spark-marketing.ru/Card/Person/1024833", """КУМИ АМР""")</f>
        <v>"КУМИ АМР"</v>
      </c>
      <c r="B3693" s="24" t="s">
        <v>5326</v>
      </c>
      <c r="C3693" s="25">
        <v>33600</v>
      </c>
      <c r="D3693" s="22" t="s">
        <v>5327</v>
      </c>
      <c r="E3693" s="22" t="s">
        <v>194</v>
      </c>
      <c r="F3693" s="23" t="str">
        <f>HYPERLINK("https://www.spark-marketing.ru/Card/Lot/72507912", "Приобретение персональных носимых регистраторов для Отдела МВД по России по Ашинскому району в целях выполнения программы ""Обеспечение общественного порядка и противодействия преступности в Ашинском муниципальном районе на 2017-2019 годы""")</f>
        <v>Приобретение персональных носимых регистраторов для Отдела МВД по России по Ашинскому району в целях выполнения программы "Обеспечение общественного порядка и противодействия преступности в Ашинском муниципальном районе на 2017-2019 годы"</v>
      </c>
      <c r="G3693" s="22" t="s">
        <v>60</v>
      </c>
      <c r="H3693" s="22" t="s">
        <v>60</v>
      </c>
      <c r="I3693" s="26">
        <v>43676.514652777798</v>
      </c>
      <c r="J3693" s="23" t="str">
        <f>HYPERLINK("https://www.spark-marketing.ru/Card/Person/5767408", "Шулико Асель Ильясовна")</f>
        <v>Шулико Асель Ильясовна</v>
      </c>
      <c r="K3693" s="24" t="s">
        <v>5328</v>
      </c>
      <c r="L3693" s="22" t="s">
        <v>10</v>
      </c>
      <c r="M3693" s="25">
        <v>32928</v>
      </c>
      <c r="N3693" s="27">
        <v>0.02</v>
      </c>
    </row>
    <row r="3694" spans="1:14" hidden="1" outlineLevel="1" x14ac:dyDescent="0.2">
      <c r="A3694" s="23" t="str">
        <f>HYPERLINK("https://www.spark-marketing.ru/Card/Person/1024833", """КУМИ АМР""")</f>
        <v>"КУМИ АМР"</v>
      </c>
      <c r="B3694" s="24" t="s">
        <v>5326</v>
      </c>
      <c r="C3694" s="25">
        <v>33600</v>
      </c>
      <c r="D3694" s="22" t="s">
        <v>5327</v>
      </c>
      <c r="E3694" s="22" t="s">
        <v>194</v>
      </c>
      <c r="F3694" s="23" t="str">
        <f>HYPERLINK("https://www.spark-marketing.ru/Card/Lot/72507912", "Приобретение персональных носимых регистраторов для Отдела МВД по России по Ашинскому району в целях выполнения программы ""Обеспечение общественного порядка и противодействия преступности в Ашинском муниципальном районе на 2017-2019 годы""")</f>
        <v>Приобретение персональных носимых регистраторов для Отдела МВД по России по Ашинскому району в целях выполнения программы "Обеспечение общественного порядка и противодействия преступности в Ашинском муниципальном районе на 2017-2019 годы"</v>
      </c>
      <c r="G3694" s="22" t="s">
        <v>60</v>
      </c>
      <c r="H3694" s="22" t="s">
        <v>60</v>
      </c>
      <c r="I3694" s="26">
        <v>43676.514652777798</v>
      </c>
      <c r="J3694" s="23" t="str">
        <f>HYPERLINK("https://www.spark-marketing.ru/Card/Person/6408822", "Антуськов Антон Валерьевич")</f>
        <v>Антуськов Антон Валерьевич</v>
      </c>
      <c r="K3694" s="24" t="s">
        <v>5329</v>
      </c>
      <c r="L3694" s="28" t="s">
        <v>52</v>
      </c>
      <c r="M3694" s="25">
        <v>33000</v>
      </c>
      <c r="N3694" s="27">
        <v>1.7857142857142856E-2</v>
      </c>
    </row>
    <row r="3695" spans="1:14" x14ac:dyDescent="0.15">
      <c r="A3695" s="23" t="str">
        <f>HYPERLINK("https://www.spark-marketing.ru/Card/Person/4359562", "АО ""ИЗОТОП""")</f>
        <v>АО "ИЗОТОП"</v>
      </c>
      <c r="B3695" s="24" t="s">
        <v>5317</v>
      </c>
      <c r="C3695" s="28" t="s">
        <v>52</v>
      </c>
      <c r="D3695" s="22" t="s">
        <v>5330</v>
      </c>
      <c r="E3695" s="22" t="s">
        <v>53</v>
      </c>
      <c r="F3695" s="23" t="str">
        <f>HYPERLINK("https://www.spark-marketing.ru/Card/Lot/72474768", "Услуга по разработке и утверждению плана обеспечения транспортной безопасности в Федеральном дорожном агентстве Министерства транспорта РФ (1309434)")</f>
        <v>Услуга по разработке и утверждению плана обеспечения транспортной безопасности в Федеральном дорожном агентстве Министерства транспорта РФ (1309434)</v>
      </c>
      <c r="G3695" s="22" t="s">
        <v>72</v>
      </c>
      <c r="H3695" s="22" t="s">
        <v>949</v>
      </c>
      <c r="I3695" s="26">
        <v>43676.538981481499</v>
      </c>
      <c r="J3695" s="28" t="s">
        <v>52</v>
      </c>
      <c r="K3695" s="28" t="s">
        <v>52</v>
      </c>
      <c r="L3695" s="28" t="s">
        <v>52</v>
      </c>
      <c r="M3695" s="28" t="s">
        <v>52</v>
      </c>
      <c r="N3695" s="28" t="s">
        <v>52</v>
      </c>
    </row>
    <row r="3696" spans="1:14" x14ac:dyDescent="0.15">
      <c r="A3696" s="23" t="str">
        <f>HYPERLINK("https://www.spark-marketing.ru/Card/Person/145714", "ФГКУ КОМБИНАТ ""БОГАТЫРЬ"" РОСРЕЗЕРВА")</f>
        <v>ФГКУ КОМБИНАТ "БОГАТЫРЬ" РОСРЕЗЕРВА</v>
      </c>
      <c r="B3696" s="24" t="s">
        <v>5331</v>
      </c>
      <c r="C3696" s="25">
        <v>28705.89</v>
      </c>
      <c r="D3696" s="22" t="s">
        <v>5332</v>
      </c>
      <c r="E3696" s="22" t="s">
        <v>5333</v>
      </c>
      <c r="F3696" s="23" t="str">
        <f>HYPERLINK("https://www.spark-marketing.ru/Card/Lot/72487294", "Услуги по сопровождению грузов")</f>
        <v>Услуги по сопровождению грузов</v>
      </c>
      <c r="G3696" s="22" t="s">
        <v>552</v>
      </c>
      <c r="H3696" s="22" t="s">
        <v>552</v>
      </c>
      <c r="I3696" s="26">
        <v>43676.464722222197</v>
      </c>
      <c r="J3696" s="28" t="s">
        <v>52</v>
      </c>
      <c r="K3696" s="28" t="s">
        <v>52</v>
      </c>
      <c r="L3696" s="28" t="s">
        <v>52</v>
      </c>
      <c r="M3696" s="28" t="s">
        <v>52</v>
      </c>
      <c r="N3696" s="28" t="s">
        <v>52</v>
      </c>
    </row>
    <row r="3697" spans="1:14" x14ac:dyDescent="0.15">
      <c r="A3697" s="23" t="str">
        <f>HYPERLINK("https://www.spark-marketing.ru/Card/Person/4375535", "ГБУ РК «ВОСТОЧНО - КРЫМСКИЙ ИКМЗ»")</f>
        <v>ГБУ РК «ВОСТОЧНО - КРЫМСКИЙ ИКМЗ»</v>
      </c>
      <c r="B3697" s="24" t="s">
        <v>5334</v>
      </c>
      <c r="C3697" s="28" t="s">
        <v>52</v>
      </c>
      <c r="D3697" s="22" t="s">
        <v>5335</v>
      </c>
      <c r="E3697" s="22" t="s">
        <v>68</v>
      </c>
      <c r="F3697" s="23" t="str">
        <f>HYPERLINK("https://www.spark-marketing.ru/Card/Lot/72468785", "Услуги по обеспечению порядка, пропускного и внутриобъектового режима на объекте расположенном по адресу: Республика Крым, г.Керчь, ул.Театральная, 36 (здание Картинной галереи).")</f>
        <v>Услуги по обеспечению порядка, пропускного и внутриобъектового режима на объекте расположенном по адресу: Республика Крым, г.Керчь, ул.Театральная, 36 (здание Картинной галереи).</v>
      </c>
      <c r="G3697" s="22" t="s">
        <v>1053</v>
      </c>
      <c r="H3697" s="22" t="s">
        <v>5336</v>
      </c>
      <c r="I3697" s="26">
        <v>43676.4868055556</v>
      </c>
      <c r="J3697" s="28" t="s">
        <v>52</v>
      </c>
      <c r="K3697" s="28" t="s">
        <v>52</v>
      </c>
      <c r="L3697" s="28" t="s">
        <v>52</v>
      </c>
      <c r="M3697" s="28" t="s">
        <v>52</v>
      </c>
      <c r="N3697" s="28" t="s">
        <v>52</v>
      </c>
    </row>
    <row r="3698" spans="1:14" x14ac:dyDescent="0.15">
      <c r="A3698" s="23" t="str">
        <f>HYPERLINK("https://www.spark-marketing.ru/Card/Person/4380472", "ПРОКУРАТУРА РЕСПУБЛИКИ ИНГУШЕТИЯ")</f>
        <v>ПРОКУРАТУРА РЕСПУБЛИКИ ИНГУШЕТИЯ</v>
      </c>
      <c r="B3698" s="24" t="s">
        <v>5337</v>
      </c>
      <c r="C3698" s="25">
        <v>7034700</v>
      </c>
      <c r="D3698" s="22" t="s">
        <v>5338</v>
      </c>
      <c r="E3698" s="22" t="s">
        <v>194</v>
      </c>
      <c r="F3698" s="23" t="str">
        <f>HYPERLINK("https://www.spark-marketing.ru/Card/Lot/72531094", "Установка системы видеонаблюдения в административных зданиях прокуратур Республики Ингушетия")</f>
        <v>Установка системы видеонаблюдения в административных зданиях прокуратур Республики Ингушетия</v>
      </c>
      <c r="G3698" s="22" t="s">
        <v>648</v>
      </c>
      <c r="H3698" s="22" t="s">
        <v>1456</v>
      </c>
      <c r="I3698" s="26">
        <v>43676.475532407399</v>
      </c>
      <c r="J3698" s="28" t="s">
        <v>52</v>
      </c>
      <c r="K3698" s="28" t="s">
        <v>52</v>
      </c>
      <c r="L3698" s="28" t="s">
        <v>52</v>
      </c>
      <c r="M3698" s="28" t="s">
        <v>52</v>
      </c>
      <c r="N3698" s="28" t="s">
        <v>52</v>
      </c>
    </row>
    <row r="3699" spans="1:14" x14ac:dyDescent="0.15">
      <c r="A3699" s="23" t="str">
        <f>HYPERLINK("https://www.spark-marketing.ru/Card/Person/65684", "БЕЛГОРОДСТАТ")</f>
        <v>БЕЛГОРОДСТАТ</v>
      </c>
      <c r="B3699" s="24" t="s">
        <v>5339</v>
      </c>
      <c r="C3699" s="25">
        <v>21880</v>
      </c>
      <c r="D3699" s="22" t="s">
        <v>5340</v>
      </c>
      <c r="E3699" s="22" t="s">
        <v>53</v>
      </c>
      <c r="F3699" s="23" t="str">
        <f>HYPERLINK("https://www.spark-marketing.ru/Card/Lot/72468125", "Монтаж систем безопасности, 3 шт")</f>
        <v>Монтаж систем безопасности, 3 шт</v>
      </c>
      <c r="G3699" s="22" t="s">
        <v>176</v>
      </c>
      <c r="H3699" s="22" t="s">
        <v>318</v>
      </c>
      <c r="I3699" s="26">
        <v>43676.442835648202</v>
      </c>
      <c r="J3699" s="28" t="s">
        <v>52</v>
      </c>
      <c r="K3699" s="28" t="s">
        <v>52</v>
      </c>
      <c r="L3699" s="28" t="s">
        <v>52</v>
      </c>
      <c r="M3699" s="28" t="s">
        <v>52</v>
      </c>
      <c r="N3699" s="28" t="s">
        <v>52</v>
      </c>
    </row>
    <row r="3700" spans="1:14" x14ac:dyDescent="0.15">
      <c r="A3700" s="23" t="str">
        <f>HYPERLINK("https://www.spark-marketing.ru/Card/Person/4343740", "МИНЗДРАВ РОССИИ")</f>
        <v>МИНЗДРАВ РОССИИ</v>
      </c>
      <c r="B3700" s="24" t="s">
        <v>1666</v>
      </c>
      <c r="C3700" s="25">
        <v>508277862.39999998</v>
      </c>
      <c r="D3700" s="22" t="s">
        <v>5341</v>
      </c>
      <c r="E3700" s="22" t="s">
        <v>53</v>
      </c>
      <c r="F3700" s="23" t="str">
        <f>HYPERLINK("https://www.spark-marketing.ru/Card/Lot/72493476", "Терифлуномид, таблетки, покрытые пленочной оболочкой, 14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муковисцидоз...")</f>
        <v>Терифлуномид, таблетки, покрытые пленочной оболочкой, 14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муковисцидоз...</v>
      </c>
      <c r="G3700" s="22" t="s">
        <v>428</v>
      </c>
      <c r="H3700" s="22" t="s">
        <v>429</v>
      </c>
      <c r="I3700" s="26">
        <v>43676.377418981501</v>
      </c>
      <c r="J3700" s="28" t="s">
        <v>52</v>
      </c>
      <c r="K3700" s="28" t="s">
        <v>52</v>
      </c>
      <c r="L3700" s="28" t="s">
        <v>52</v>
      </c>
      <c r="M3700" s="28" t="s">
        <v>52</v>
      </c>
      <c r="N3700" s="28" t="s">
        <v>52</v>
      </c>
    </row>
    <row r="3701" spans="1:14" hidden="1" outlineLevel="1" x14ac:dyDescent="0.2">
      <c r="A3701" s="23" t="str">
        <f>HYPERLINK("https://www.spark-marketing.ru/Card/Person/4343740", "МИНЗДРАВ РОССИИ")</f>
        <v>МИНЗДРАВ РОССИИ</v>
      </c>
      <c r="B3701" s="24" t="s">
        <v>1666</v>
      </c>
      <c r="C3701" s="25">
        <v>508277862.39999998</v>
      </c>
      <c r="D3701" s="22" t="s">
        <v>5341</v>
      </c>
      <c r="E3701" s="22" t="s">
        <v>53</v>
      </c>
      <c r="F3701" s="23" t="str">
        <f>HYPERLINK("https://www.spark-marketing.ru/Card/Lot/72493476", "Терифлуномид, таблетки, покрытые пленочной оболочкой, 14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муковисцидоз...")</f>
        <v>Терифлуномид, таблетки, покрытые пленочной оболочкой, 14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муковисцидоз...</v>
      </c>
      <c r="G3701" s="22" t="s">
        <v>428</v>
      </c>
      <c r="H3701" s="22" t="s">
        <v>429</v>
      </c>
      <c r="I3701" s="26">
        <v>43676.377418981501</v>
      </c>
      <c r="J3701" s="23" t="str">
        <f>HYPERLINK("https://www.spark-marketing.ru/Card/Person/22411", "ЗАО ""БИОКАД""")</f>
        <v>ЗАО "БИОКАД"</v>
      </c>
      <c r="K3701" s="24" t="s">
        <v>5342</v>
      </c>
      <c r="L3701" s="28" t="s">
        <v>52</v>
      </c>
      <c r="M3701" s="25">
        <v>500653694.47000003</v>
      </c>
      <c r="N3701" s="27">
        <v>1.4999999988195433E-2</v>
      </c>
    </row>
    <row r="3702" spans="1:14" ht="12.75" hidden="1" outlineLevel="1" x14ac:dyDescent="0.2">
      <c r="A3702" s="23" t="str">
        <f>HYPERLINK("https://www.spark-marketing.ru/Card/Person/4343740", "МИНЗДРАВ РОССИИ")</f>
        <v>МИНЗДРАВ РОССИИ</v>
      </c>
      <c r="B3702" s="24" t="s">
        <v>1666</v>
      </c>
      <c r="C3702" s="25">
        <v>508277862.39999998</v>
      </c>
      <c r="D3702" s="22" t="s">
        <v>5341</v>
      </c>
      <c r="E3702" s="22" t="s">
        <v>53</v>
      </c>
      <c r="F3702" s="23" t="str">
        <f>HYPERLINK("https://www.spark-marketing.ru/Card/Lot/72493476", "Терифлуномид, таблетки, покрытые пленочной оболочкой, 14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муковисцидоз...")</f>
        <v>Терифлуномид, таблетки, покрытые пленочной оболочкой, 14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муковисцидоз...</v>
      </c>
      <c r="G3702" s="22" t="s">
        <v>428</v>
      </c>
      <c r="H3702" s="22" t="s">
        <v>429</v>
      </c>
      <c r="I3702" s="26">
        <v>43676.377418981501</v>
      </c>
      <c r="J3702" s="23" t="str">
        <f>HYPERLINK("https://www.spark-marketing.ru/Card/Person/4345864", "АО ""Р-ФАРМ""")</f>
        <v>АО "Р-ФАРМ"</v>
      </c>
      <c r="K3702" s="24" t="s">
        <v>5343</v>
      </c>
      <c r="L3702" s="22" t="s">
        <v>10</v>
      </c>
      <c r="M3702" s="25">
        <v>498112305.16000003</v>
      </c>
      <c r="N3702" s="27">
        <v>1.9999999984260577E-2</v>
      </c>
    </row>
    <row r="3703" spans="1:14" x14ac:dyDescent="0.15">
      <c r="A3703" s="23" t="str">
        <f>HYPERLINK("https://www.spark-marketing.ru/Card/Person/61097", "КГБУЗ ""ДЕТСКАЯ ГОРОДСКАЯ ПОЛИКЛИНИКА № 2, Г. БИЙСК""")</f>
        <v>КГБУЗ "ДЕТСКАЯ ГОРОДСКАЯ ПОЛИКЛИНИКА № 2, Г. БИЙСК"</v>
      </c>
      <c r="B3703" s="24" t="s">
        <v>5344</v>
      </c>
      <c r="C3703" s="25">
        <v>325707</v>
      </c>
      <c r="D3703" s="22" t="s">
        <v>5345</v>
      </c>
      <c r="E3703" s="22" t="s">
        <v>59</v>
      </c>
      <c r="F3703" s="23" t="str">
        <f>HYPERLINK("https://www.spark-marketing.ru/Card/Lot/72485408", "Выполнение работ по установке наружного и внутреннего устройства видеонаблюдения по адресу г. Бийск, ул. Воинов - Интернационалистов, 72")</f>
        <v>Выполнение работ по установке наружного и внутреннего устройства видеонаблюдения по адресу г. Бийск, ул. Воинов - Интернационалистов, 72</v>
      </c>
      <c r="G3703" s="22" t="s">
        <v>428</v>
      </c>
      <c r="H3703" s="22" t="s">
        <v>5346</v>
      </c>
      <c r="I3703" s="26">
        <v>43676.353194444397</v>
      </c>
      <c r="J3703" s="28" t="s">
        <v>52</v>
      </c>
      <c r="K3703" s="28" t="s">
        <v>52</v>
      </c>
      <c r="L3703" s="28" t="s">
        <v>52</v>
      </c>
      <c r="M3703" s="28" t="s">
        <v>52</v>
      </c>
      <c r="N3703" s="28" t="s">
        <v>52</v>
      </c>
    </row>
    <row r="3704" spans="1:14" hidden="1" outlineLevel="1" x14ac:dyDescent="0.2">
      <c r="A3704" s="23" t="str">
        <f>HYPERLINK("https://www.spark-marketing.ru/Card/Person/61097", "КГБУЗ ""ДЕТСКАЯ ГОРОДСКАЯ ПОЛИКЛИНИКА № 2, Г. БИЙСК""")</f>
        <v>КГБУЗ "ДЕТСКАЯ ГОРОДСКАЯ ПОЛИКЛИНИКА № 2, Г. БИЙСК"</v>
      </c>
      <c r="B3704" s="24" t="s">
        <v>5344</v>
      </c>
      <c r="C3704" s="25">
        <v>325707</v>
      </c>
      <c r="D3704" s="22" t="s">
        <v>5345</v>
      </c>
      <c r="E3704" s="22" t="s">
        <v>59</v>
      </c>
      <c r="F3704" s="23" t="str">
        <f>HYPERLINK("https://www.spark-marketing.ru/Card/Lot/72485408", "Выполнение работ по установке наружного и внутреннего устройства видеонаблюдения по адресу г. Бийск, ул. Воинов - Интернационалистов, 72")</f>
        <v>Выполнение работ по установке наружного и внутреннего устройства видеонаблюдения по адресу г. Бийск, ул. Воинов - Интернационалистов, 72</v>
      </c>
      <c r="G3704" s="22" t="s">
        <v>428</v>
      </c>
      <c r="H3704" s="22" t="s">
        <v>5346</v>
      </c>
      <c r="I3704" s="26">
        <v>43676.353194444397</v>
      </c>
      <c r="J3704" s="23" t="str">
        <f>HYPERLINK("https://www.spark-marketing.ru/Card/Person/1316798", "ООО ""МАСТЕР-СЕРВИС+""")</f>
        <v>ООО "МАСТЕР-СЕРВИС+"</v>
      </c>
      <c r="K3704" s="24" t="s">
        <v>5347</v>
      </c>
      <c r="L3704" s="28" t="s">
        <v>52</v>
      </c>
      <c r="M3704" s="25">
        <v>254400.88</v>
      </c>
      <c r="N3704" s="27">
        <v>0.21892719530129839</v>
      </c>
    </row>
    <row r="3705" spans="1:14" ht="12.75" hidden="1" outlineLevel="1" x14ac:dyDescent="0.2">
      <c r="A3705" s="23" t="str">
        <f>HYPERLINK("https://www.spark-marketing.ru/Card/Person/61097", "КГБУЗ ""ДЕТСКАЯ ГОРОДСКАЯ ПОЛИКЛИНИКА № 2, Г. БИЙСК""")</f>
        <v>КГБУЗ "ДЕТСКАЯ ГОРОДСКАЯ ПОЛИКЛИНИКА № 2, Г. БИЙСК"</v>
      </c>
      <c r="B3705" s="24" t="s">
        <v>5344</v>
      </c>
      <c r="C3705" s="25">
        <v>325707</v>
      </c>
      <c r="D3705" s="22" t="s">
        <v>5345</v>
      </c>
      <c r="E3705" s="22" t="s">
        <v>59</v>
      </c>
      <c r="F3705" s="23" t="str">
        <f>HYPERLINK("https://www.spark-marketing.ru/Card/Lot/72485408", "Выполнение работ по установке наружного и внутреннего устройства видеонаблюдения по адресу г. Бийск, ул. Воинов - Интернационалистов, 72")</f>
        <v>Выполнение работ по установке наружного и внутреннего устройства видеонаблюдения по адресу г. Бийск, ул. Воинов - Интернационалистов, 72</v>
      </c>
      <c r="G3705" s="22" t="s">
        <v>428</v>
      </c>
      <c r="H3705" s="22" t="s">
        <v>5346</v>
      </c>
      <c r="I3705" s="26">
        <v>43676.353194444397</v>
      </c>
      <c r="J3705" s="23" t="str">
        <f>HYPERLINK("https://www.spark-marketing.ru/Card/Person/931705", "Лузанов Антон Александрович")</f>
        <v>Лузанов Антон Александрович</v>
      </c>
      <c r="K3705" s="24" t="s">
        <v>5348</v>
      </c>
      <c r="L3705" s="22" t="s">
        <v>10</v>
      </c>
      <c r="M3705" s="25">
        <v>252772.34</v>
      </c>
      <c r="N3705" s="27">
        <v>0.22392721065251897</v>
      </c>
    </row>
    <row r="3706" spans="1:14" hidden="1" outlineLevel="1" x14ac:dyDescent="0.2">
      <c r="A3706" s="23" t="str">
        <f>HYPERLINK("https://www.spark-marketing.ru/Card/Person/61097", "КГБУЗ ""ДЕТСКАЯ ГОРОДСКАЯ ПОЛИКЛИНИКА № 2, Г. БИЙСК""")</f>
        <v>КГБУЗ "ДЕТСКАЯ ГОРОДСКАЯ ПОЛИКЛИНИКА № 2, Г. БИЙСК"</v>
      </c>
      <c r="B3706" s="24" t="s">
        <v>5344</v>
      </c>
      <c r="C3706" s="25">
        <v>325707</v>
      </c>
      <c r="D3706" s="22" t="s">
        <v>5345</v>
      </c>
      <c r="E3706" s="22" t="s">
        <v>59</v>
      </c>
      <c r="F3706" s="23" t="str">
        <f>HYPERLINK("https://www.spark-marketing.ru/Card/Lot/72485408", "Выполнение работ по установке наружного и внутреннего устройства видеонаблюдения по адресу г. Бийск, ул. Воинов - Интернационалистов, 72")</f>
        <v>Выполнение работ по установке наружного и внутреннего устройства видеонаблюдения по адресу г. Бийск, ул. Воинов - Интернационалистов, 72</v>
      </c>
      <c r="G3706" s="22" t="s">
        <v>428</v>
      </c>
      <c r="H3706" s="22" t="s">
        <v>5346</v>
      </c>
      <c r="I3706" s="26">
        <v>43676.353194444397</v>
      </c>
      <c r="J3706" s="23" t="str">
        <f>HYPERLINK("https://www.spark-marketing.ru/Card/Person/106748", "ООО ""РЕЗУЛЬТАТ""")</f>
        <v>ООО "РЕЗУЛЬТАТ"</v>
      </c>
      <c r="K3706" s="24" t="s">
        <v>2655</v>
      </c>
      <c r="L3706" s="28" t="s">
        <v>52</v>
      </c>
      <c r="M3706" s="25">
        <v>322449.91999999998</v>
      </c>
      <c r="N3706" s="27">
        <v>1.000003070244115E-2</v>
      </c>
    </row>
    <row r="3707" spans="1:14" x14ac:dyDescent="0.15">
      <c r="A3707" s="23" t="str">
        <f>HYPERLINK("https://www.spark-marketing.ru/Card/Person/38313", "ГБУ ""ЖИЛИЩНИК РАЙОНА СОЛНЦЕВО""")</f>
        <v>ГБУ "ЖИЛИЩНИК РАЙОНА СОЛНЦЕВО"</v>
      </c>
      <c r="B3707" s="24" t="s">
        <v>5349</v>
      </c>
      <c r="C3707" s="25">
        <v>4850606.3600000003</v>
      </c>
      <c r="D3707" s="22" t="s">
        <v>5350</v>
      </c>
      <c r="E3707" s="22" t="s">
        <v>84</v>
      </c>
      <c r="F3707" s="23" t="str">
        <f>HYPERLINK("https://www.spark-marketing.ru/Card/Lot/72493708", "Установка камер видеонаблюдения")</f>
        <v>Установка камер видеонаблюдения</v>
      </c>
      <c r="G3707" s="22" t="s">
        <v>55</v>
      </c>
      <c r="H3707" s="22" t="s">
        <v>55</v>
      </c>
      <c r="I3707" s="26">
        <v>43676.342881944402</v>
      </c>
      <c r="J3707" s="28" t="s">
        <v>52</v>
      </c>
      <c r="K3707" s="28" t="s">
        <v>52</v>
      </c>
      <c r="L3707" s="28" t="s">
        <v>52</v>
      </c>
      <c r="M3707" s="28" t="s">
        <v>52</v>
      </c>
      <c r="N3707" s="28" t="s">
        <v>52</v>
      </c>
    </row>
    <row r="3708" spans="1:14" ht="12.75" hidden="1" outlineLevel="1" x14ac:dyDescent="0.2">
      <c r="A3708" s="23" t="str">
        <f>HYPERLINK("https://www.spark-marketing.ru/Card/Person/38313", "ГБУ ""ЖИЛИЩНИК РАЙОНА СОЛНЦЕВО""")</f>
        <v>ГБУ "ЖИЛИЩНИК РАЙОНА СОЛНЦЕВО"</v>
      </c>
      <c r="B3708" s="24" t="s">
        <v>5349</v>
      </c>
      <c r="C3708" s="25">
        <v>4850606.3600000003</v>
      </c>
      <c r="D3708" s="22" t="s">
        <v>5350</v>
      </c>
      <c r="E3708" s="22" t="s">
        <v>84</v>
      </c>
      <c r="F3708" s="23" t="str">
        <f>HYPERLINK("https://www.spark-marketing.ru/Card/Lot/72493708", "Установка камер видеонаблюдения")</f>
        <v>Установка камер видеонаблюдения</v>
      </c>
      <c r="G3708" s="22" t="s">
        <v>55</v>
      </c>
      <c r="H3708" s="22" t="s">
        <v>55</v>
      </c>
      <c r="I3708" s="26">
        <v>43676.342881944402</v>
      </c>
      <c r="J3708" s="23" t="str">
        <f>HYPERLINK("https://www.spark-marketing.ru/Card/Person/922372", "ООО ""КС""")</f>
        <v>ООО "КС"</v>
      </c>
      <c r="K3708" s="24" t="s">
        <v>5351</v>
      </c>
      <c r="L3708" s="22" t="s">
        <v>10</v>
      </c>
      <c r="M3708" s="25">
        <v>1576447.27</v>
      </c>
      <c r="N3708" s="27">
        <v>0.67499995814956215</v>
      </c>
    </row>
    <row r="3709" spans="1:14" hidden="1" outlineLevel="1" x14ac:dyDescent="0.2">
      <c r="A3709" s="23" t="str">
        <f>HYPERLINK("https://www.spark-marketing.ru/Card/Person/38313", "ГБУ ""ЖИЛИЩНИК РАЙОНА СОЛНЦЕВО""")</f>
        <v>ГБУ "ЖИЛИЩНИК РАЙОНА СОЛНЦЕВО"</v>
      </c>
      <c r="B3709" s="24" t="s">
        <v>5349</v>
      </c>
      <c r="C3709" s="25">
        <v>4850606.3600000003</v>
      </c>
      <c r="D3709" s="22" t="s">
        <v>5350</v>
      </c>
      <c r="E3709" s="22" t="s">
        <v>84</v>
      </c>
      <c r="F3709" s="23" t="str">
        <f>HYPERLINK("https://www.spark-marketing.ru/Card/Lot/72493708", "Установка камер видеонаблюдения")</f>
        <v>Установка камер видеонаблюдения</v>
      </c>
      <c r="G3709" s="22" t="s">
        <v>55</v>
      </c>
      <c r="H3709" s="22" t="s">
        <v>55</v>
      </c>
      <c r="I3709" s="26">
        <v>43676.342881944402</v>
      </c>
      <c r="J3709" s="23" t="str">
        <f>HYPERLINK("https://www.spark-marketing.ru/Card/Person/6680382", "ООО """"ВЕБСТРОЙМОНТАЖ""""")</f>
        <v>ООО ""ВЕБСТРОЙМОНТАЖ""</v>
      </c>
      <c r="K3709" s="24" t="s">
        <v>3224</v>
      </c>
      <c r="L3709" s="28" t="s">
        <v>52</v>
      </c>
      <c r="M3709" s="25">
        <v>2401050.2799999998</v>
      </c>
      <c r="N3709" s="27">
        <v>0.50499997282813935</v>
      </c>
    </row>
    <row r="3710" spans="1:14" hidden="1" outlineLevel="1" x14ac:dyDescent="0.2">
      <c r="A3710" s="23" t="str">
        <f>HYPERLINK("https://www.spark-marketing.ru/Card/Person/38313", "ГБУ ""ЖИЛИЩНИК РАЙОНА СОЛНЦЕВО""")</f>
        <v>ГБУ "ЖИЛИЩНИК РАЙОНА СОЛНЦЕВО"</v>
      </c>
      <c r="B3710" s="24" t="s">
        <v>5349</v>
      </c>
      <c r="C3710" s="25">
        <v>4850606.3600000003</v>
      </c>
      <c r="D3710" s="22" t="s">
        <v>5350</v>
      </c>
      <c r="E3710" s="22" t="s">
        <v>84</v>
      </c>
      <c r="F3710" s="23" t="str">
        <f>HYPERLINK("https://www.spark-marketing.ru/Card/Lot/72493708", "Установка камер видеонаблюдения")</f>
        <v>Установка камер видеонаблюдения</v>
      </c>
      <c r="G3710" s="22" t="s">
        <v>55</v>
      </c>
      <c r="H3710" s="22" t="s">
        <v>55</v>
      </c>
      <c r="I3710" s="26">
        <v>43676.342881944402</v>
      </c>
      <c r="J3710" s="23" t="str">
        <f>HYPERLINK("https://www.spark-marketing.ru/Card/Person/43478", "ООО ""АЗОН""")</f>
        <v>ООО "АЗОН"</v>
      </c>
      <c r="K3710" s="24" t="s">
        <v>5352</v>
      </c>
      <c r="L3710" s="28" t="s">
        <v>52</v>
      </c>
      <c r="M3710" s="25">
        <v>4026003.34</v>
      </c>
      <c r="N3710" s="27">
        <v>0.16999998738302072</v>
      </c>
    </row>
    <row r="3711" spans="1:14" hidden="1" outlineLevel="1" x14ac:dyDescent="0.2">
      <c r="A3711" s="23" t="str">
        <f>HYPERLINK("https://www.spark-marketing.ru/Card/Person/38313", "ГБУ ""ЖИЛИЩНИК РАЙОНА СОЛНЦЕВО""")</f>
        <v>ГБУ "ЖИЛИЩНИК РАЙОНА СОЛНЦЕВО"</v>
      </c>
      <c r="B3711" s="24" t="s">
        <v>5349</v>
      </c>
      <c r="C3711" s="25">
        <v>4850606.3600000003</v>
      </c>
      <c r="D3711" s="22" t="s">
        <v>5350</v>
      </c>
      <c r="E3711" s="22" t="s">
        <v>84</v>
      </c>
      <c r="F3711" s="23" t="str">
        <f>HYPERLINK("https://www.spark-marketing.ru/Card/Lot/72493708", "Установка камер видеонаблюдения")</f>
        <v>Установка камер видеонаблюдения</v>
      </c>
      <c r="G3711" s="22" t="s">
        <v>55</v>
      </c>
      <c r="H3711" s="22" t="s">
        <v>55</v>
      </c>
      <c r="I3711" s="26">
        <v>43676.342881944402</v>
      </c>
      <c r="J3711" s="23" t="str">
        <f>HYPERLINK("https://www.spark-marketing.ru/Card/Person/4703308", "Малштейн Владимир Николаевич")</f>
        <v>Малштейн Владимир Николаевич</v>
      </c>
      <c r="K3711" s="24" t="s">
        <v>5353</v>
      </c>
      <c r="L3711" s="28" t="s">
        <v>52</v>
      </c>
      <c r="M3711" s="25">
        <v>1600700.3</v>
      </c>
      <c r="N3711" s="27">
        <v>0.66999995852064975</v>
      </c>
    </row>
    <row r="3712" spans="1:14" x14ac:dyDescent="0.15">
      <c r="A3712" s="23" t="str">
        <f>HYPERLINK("https://www.spark-marketing.ru/Card/Person/996207", "ГКУ АО УСЗН ПО Г. ЗЕЯ И ЗЕЙСКОМУ РАЙОНУ")</f>
        <v>ГКУ АО УСЗН ПО Г. ЗЕЯ И ЗЕЙСКОМУ РАЙОНУ</v>
      </c>
      <c r="B3712" s="24" t="s">
        <v>5354</v>
      </c>
      <c r="C3712" s="25">
        <v>21300</v>
      </c>
      <c r="D3712" s="22" t="s">
        <v>5355</v>
      </c>
      <c r="E3712" s="22" t="s">
        <v>1589</v>
      </c>
      <c r="F3712" s="23" t="str">
        <f>HYPERLINK("https://www.spark-marketing.ru/Card/Lot/72465488", "Поставка и установка камеры видеонаблюдения")</f>
        <v>Поставка и установка камеры видеонаблюдения</v>
      </c>
      <c r="G3712" s="22" t="s">
        <v>230</v>
      </c>
      <c r="H3712" s="22" t="s">
        <v>5356</v>
      </c>
      <c r="I3712" s="26">
        <v>43676.267361111102</v>
      </c>
      <c r="J3712" s="28" t="s">
        <v>52</v>
      </c>
      <c r="K3712" s="28" t="s">
        <v>52</v>
      </c>
      <c r="L3712" s="28" t="s">
        <v>52</v>
      </c>
      <c r="M3712" s="28" t="s">
        <v>52</v>
      </c>
      <c r="N3712" s="28" t="s">
        <v>52</v>
      </c>
    </row>
    <row r="3713" spans="1:14" x14ac:dyDescent="0.15">
      <c r="A3713" s="23" t="str">
        <f>HYPERLINK("https://www.spark-marketing.ru/Card/Person/51399", "МКОУ ""СУЗУНСКАЯ СОШ №2""")</f>
        <v>МКОУ "СУЗУНСКАЯ СОШ №2"</v>
      </c>
      <c r="B3713" s="24" t="s">
        <v>5357</v>
      </c>
      <c r="C3713" s="25">
        <v>392402</v>
      </c>
      <c r="D3713" s="22" t="s">
        <v>5358</v>
      </c>
      <c r="E3713" s="22" t="s">
        <v>84</v>
      </c>
      <c r="F3713" s="23" t="str">
        <f>HYPERLINK("https://www.spark-marketing.ru/Card/Lot/72465543", "Услуги по установке системы видеонаблюдения здания")</f>
        <v>Услуги по установке системы видеонаблюдения здания</v>
      </c>
      <c r="G3713" s="22" t="s">
        <v>209</v>
      </c>
      <c r="H3713" s="22" t="s">
        <v>5208</v>
      </c>
      <c r="I3713" s="26">
        <v>43676.290972222203</v>
      </c>
      <c r="J3713" s="28" t="s">
        <v>52</v>
      </c>
      <c r="K3713" s="28" t="s">
        <v>52</v>
      </c>
      <c r="L3713" s="28" t="s">
        <v>52</v>
      </c>
      <c r="M3713" s="28" t="s">
        <v>52</v>
      </c>
      <c r="N3713" s="28" t="s">
        <v>52</v>
      </c>
    </row>
    <row r="3714" spans="1:14" x14ac:dyDescent="0.15">
      <c r="A3714" s="23" t="str">
        <f>HYPERLINK("https://www.spark-marketing.ru/Card/Person/72517", "УФССП РОССИИ ПО РЕСПУБЛИКЕ САХА (ЯКУТИЯ)")</f>
        <v>УФССП РОССИИ ПО РЕСПУБЛИКЕ САХА (ЯКУТИЯ)</v>
      </c>
      <c r="B3714" s="24" t="s">
        <v>5045</v>
      </c>
      <c r="C3714" s="25">
        <v>133920</v>
      </c>
      <c r="D3714" s="22" t="s">
        <v>5359</v>
      </c>
      <c r="E3714" s="22" t="s">
        <v>53</v>
      </c>
      <c r="F3714" s="23" t="str">
        <f>HYPERLINK("https://www.spark-marketing.ru/Card/Lot/72465377", "Оказание охранных услуг")</f>
        <v>Оказание охранных услуг</v>
      </c>
      <c r="G3714" s="22" t="s">
        <v>424</v>
      </c>
      <c r="H3714" s="22" t="s">
        <v>1186</v>
      </c>
      <c r="I3714" s="26">
        <v>43676.276111111103</v>
      </c>
      <c r="J3714" s="28" t="s">
        <v>52</v>
      </c>
      <c r="K3714" s="28" t="s">
        <v>52</v>
      </c>
      <c r="L3714" s="28" t="s">
        <v>52</v>
      </c>
      <c r="M3714" s="28" t="s">
        <v>52</v>
      </c>
      <c r="N3714" s="28" t="s">
        <v>52</v>
      </c>
    </row>
    <row r="3715" spans="1:14" x14ac:dyDescent="0.15">
      <c r="A3715" s="23" t="str">
        <f>HYPERLINK("https://www.spark-marketing.ru/Card/Person/696906", "ООО ""БАШНЕФТЬ-СЕРВИС""")</f>
        <v>ООО "БАШНЕФТЬ-СЕРВИС"</v>
      </c>
      <c r="B3715" s="24" t="s">
        <v>5360</v>
      </c>
      <c r="C3715" s="28" t="s">
        <v>52</v>
      </c>
      <c r="D3715" s="22" t="s">
        <v>5361</v>
      </c>
      <c r="E3715" s="22" t="s">
        <v>53</v>
      </c>
      <c r="F3715" s="23" t="str">
        <f>HYPERLINK("https://www.spark-marketing.ru/Card/Lot/73063904", "Номер закупки РН908566. Оказание услуг по обслуживанию системы охранной сигнализации, системы контроля и управления доступом, внутреннего и внешнего периметрального видеонаблюдения, подъездных шлагбаумов для здания ГК ""Башкортостан""")</f>
        <v>Номер закупки РН908566. Оказание услуг по обслуживанию системы охранной сигнализации, системы контроля и управления доступом, внутреннего и внешнего периметрального видеонаблюдения, подъездных шлагбаумов для здания ГК "Башкортостан"</v>
      </c>
      <c r="G3715" s="22" t="s">
        <v>100</v>
      </c>
      <c r="H3715" s="22" t="s">
        <v>373</v>
      </c>
      <c r="I3715" s="26">
        <v>43704.506944444402</v>
      </c>
      <c r="J3715" s="28" t="s">
        <v>52</v>
      </c>
      <c r="K3715" s="28" t="s">
        <v>52</v>
      </c>
      <c r="L3715" s="28" t="s">
        <v>52</v>
      </c>
      <c r="M3715" s="28" t="s">
        <v>52</v>
      </c>
      <c r="N3715" s="28" t="s">
        <v>52</v>
      </c>
    </row>
    <row r="3716" spans="1:14" x14ac:dyDescent="0.15">
      <c r="A3716" s="23" t="str">
        <f>HYPERLINK("https://www.spark-marketing.ru/Card/Person/1314450", "МАОУ СОШ № 4 Г. ИСКИТИМА")</f>
        <v>МАОУ СОШ № 4 Г. ИСКИТИМА</v>
      </c>
      <c r="B3716" s="24" t="s">
        <v>5362</v>
      </c>
      <c r="C3716" s="25">
        <v>277284</v>
      </c>
      <c r="D3716" s="22" t="s">
        <v>5363</v>
      </c>
      <c r="E3716" s="22" t="s">
        <v>4085</v>
      </c>
      <c r="F3716" s="23" t="str">
        <f>HYPERLINK("https://www.spark-marketing.ru/Card/Lot/72478278", "Установка, тестирование и передача в собственность системы видеонаблюдения")</f>
        <v>Установка, тестирование и передача в собственность системы видеонаблюдения</v>
      </c>
      <c r="G3716" s="22" t="s">
        <v>209</v>
      </c>
      <c r="H3716" s="22" t="s">
        <v>209</v>
      </c>
      <c r="I3716" s="26">
        <v>43676</v>
      </c>
      <c r="J3716" s="28" t="s">
        <v>52</v>
      </c>
      <c r="K3716" s="28" t="s">
        <v>52</v>
      </c>
      <c r="L3716" s="28" t="s">
        <v>52</v>
      </c>
      <c r="M3716" s="28" t="s">
        <v>52</v>
      </c>
      <c r="N3716" s="28" t="s">
        <v>52</v>
      </c>
    </row>
    <row r="3717" spans="1:14" x14ac:dyDescent="0.2">
      <c r="A3717" s="23" t="str">
        <f>HYPERLINK("https://www.spark-marketing.ru/Card/Person/402263", "ГАУ МО ""РИЦ МОСКОВСКОЙ ОБЛАСТИ""")</f>
        <v>ГАУ МО "РИЦ МОСКОВСКОЙ ОБЛАСТИ"</v>
      </c>
      <c r="B3717" s="24" t="s">
        <v>5364</v>
      </c>
      <c r="C3717" s="25">
        <v>14800000</v>
      </c>
      <c r="D3717" s="22" t="s">
        <v>5365</v>
      </c>
      <c r="E3717" s="22" t="s">
        <v>5366</v>
      </c>
      <c r="F3717" s="23" t="str">
        <f>HYPERLINK("https://www.spark-marketing.ru/Card/Lot/72482107", "Оказание комплекса услуг по информированию населения Московской области о развитии дорожно-транспортной инфраструктуры и безопасности дорожного движения Московской области в эфире электронных СМИ Московской области (радиоканал)")</f>
        <v>Оказание комплекса услуг по информированию населения Московской области о развитии дорожно-транспортной инфраструктуры и безопасности дорожного движения Московской области в эфире электронных СМИ Московской области (радиоканал)</v>
      </c>
      <c r="G3717" s="22" t="s">
        <v>50</v>
      </c>
      <c r="H3717" s="22" t="s">
        <v>50</v>
      </c>
      <c r="I3717" s="26">
        <v>43676</v>
      </c>
      <c r="J3717" s="28" t="s">
        <v>52</v>
      </c>
      <c r="K3717" s="28" t="s">
        <v>52</v>
      </c>
      <c r="L3717" s="22" t="s">
        <v>10</v>
      </c>
      <c r="M3717" s="25">
        <v>14800000</v>
      </c>
      <c r="N3717" s="27">
        <v>0</v>
      </c>
    </row>
    <row r="3718" spans="1:14" x14ac:dyDescent="0.15">
      <c r="A3718" s="23" t="str">
        <f>HYPERLINK("https://www.spark-marketing.ru/Card/Person/37215", "АО ""УПКБ ""ДЕТАЛЬ""")</f>
        <v>АО "УПКБ "ДЕТАЛЬ"</v>
      </c>
      <c r="B3718" s="24" t="s">
        <v>1420</v>
      </c>
      <c r="C3718" s="25">
        <v>202207.7</v>
      </c>
      <c r="D3718" s="22" t="s">
        <v>5367</v>
      </c>
      <c r="E3718" s="22" t="s">
        <v>1422</v>
      </c>
      <c r="F3718" s="23" t="str">
        <f>HYPERLINK("https://www.spark-marketing.ru/Card/Lot/72478037", "Реконструкция инженерно-технических средств охраны (ИТСО) на объектах АО «УПКБ «Деталь»")</f>
        <v>Реконструкция инженерно-технических средств охраны (ИТСО) на объектах АО «УПКБ «Деталь»</v>
      </c>
      <c r="G3718" s="22" t="s">
        <v>72</v>
      </c>
      <c r="H3718" s="22" t="s">
        <v>1423</v>
      </c>
      <c r="I3718" s="26">
        <v>43676</v>
      </c>
      <c r="J3718" s="28" t="s">
        <v>52</v>
      </c>
      <c r="K3718" s="28" t="s">
        <v>52</v>
      </c>
      <c r="L3718" s="28" t="s">
        <v>52</v>
      </c>
      <c r="M3718" s="28" t="s">
        <v>52</v>
      </c>
      <c r="N3718" s="28" t="s">
        <v>52</v>
      </c>
    </row>
    <row r="3719" spans="1:14" x14ac:dyDescent="0.2">
      <c r="A3719" s="23" t="str">
        <f>HYPERLINK("https://www.spark-marketing.ru/Card/Person/1758163", "ГАПОУ ""ЧЕБОКСАРСКИЙ ТЕХНИКУМ ТРАНССТРОЙТЕХ"" МИНОБРАЗОВАНИЯ ЧУВАШИИ")</f>
        <v>ГАПОУ "ЧЕБОКСАРСКИЙ ТЕХНИКУМ ТРАНССТРОЙТЕХ" МИНОБРАЗОВАНИЯ ЧУВАШИИ</v>
      </c>
      <c r="B3719" s="24" t="s">
        <v>1432</v>
      </c>
      <c r="C3719" s="25">
        <v>746640</v>
      </c>
      <c r="D3719" s="22" t="s">
        <v>5368</v>
      </c>
      <c r="E3719" s="22" t="s">
        <v>144</v>
      </c>
      <c r="F3719" s="23" t="str">
        <f>HYPERLINK("https://www.spark-marketing.ru/Card/Lot/72479670", "Услуги по охране объекта")</f>
        <v>Услуги по охране объекта</v>
      </c>
      <c r="G3719" s="22" t="s">
        <v>1137</v>
      </c>
      <c r="H3719" s="22" t="s">
        <v>1137</v>
      </c>
      <c r="I3719" s="26">
        <v>43676</v>
      </c>
      <c r="J3719" s="28" t="s">
        <v>52</v>
      </c>
      <c r="K3719" s="28" t="s">
        <v>52</v>
      </c>
      <c r="L3719" s="22" t="s">
        <v>10</v>
      </c>
      <c r="M3719" s="25">
        <v>746640</v>
      </c>
      <c r="N3719" s="27">
        <v>0</v>
      </c>
    </row>
    <row r="3720" spans="1:14" x14ac:dyDescent="0.2">
      <c r="A3720" s="23" t="str">
        <f>HYPERLINK("https://www.spark-marketing.ru/Card/Person/32273", "КГБУЗ ""КМКБ № 4""")</f>
        <v>КГБУЗ "КМКБ № 4"</v>
      </c>
      <c r="B3720" s="24" t="s">
        <v>5369</v>
      </c>
      <c r="C3720" s="25">
        <v>399624</v>
      </c>
      <c r="D3720" s="22" t="s">
        <v>5370</v>
      </c>
      <c r="E3720" s="22" t="s">
        <v>144</v>
      </c>
      <c r="F3720" s="23" t="str">
        <f>HYPERLINK("https://www.spark-marketing.ru/Card/Lot/72478896", "Оказание охранных услуг")</f>
        <v>Оказание охранных услуг</v>
      </c>
      <c r="G3720" s="22" t="s">
        <v>640</v>
      </c>
      <c r="H3720" s="22" t="s">
        <v>640</v>
      </c>
      <c r="I3720" s="26">
        <v>43676</v>
      </c>
      <c r="J3720" s="28" t="s">
        <v>52</v>
      </c>
      <c r="K3720" s="28" t="s">
        <v>52</v>
      </c>
      <c r="L3720" s="22" t="s">
        <v>10</v>
      </c>
      <c r="M3720" s="25">
        <v>399624</v>
      </c>
      <c r="N3720" s="27">
        <v>0</v>
      </c>
    </row>
    <row r="3721" spans="1:14" x14ac:dyDescent="0.15">
      <c r="A3721" s="23" t="str">
        <f>HYPERLINK("https://www.spark-marketing.ru/Card/Person/4348562", "АО ""АТОМТЕХЭНЕРГО""")</f>
        <v>АО "АТОМТЕХЭНЕРГО"</v>
      </c>
      <c r="B3721" s="24" t="s">
        <v>4449</v>
      </c>
      <c r="C3721" s="25">
        <v>735000</v>
      </c>
      <c r="D3721" s="22" t="s">
        <v>5371</v>
      </c>
      <c r="E3721" s="22" t="s">
        <v>5372</v>
      </c>
      <c r="F3721" s="23" t="str">
        <f>HYPERLINK("https://www.spark-marketing.ru/Card/Lot/72479656", "Право заключения договора на Оказание услуг по техническому обслуживанию системы контроля и управления доступом и системы видеонаблюдения в помещениях, арендуемых Московским филиалом ""Центратомтехэнерго"" АО ""Атомтехэнерго"" и в помещениях, арендуе...")</f>
        <v>Право заключения договора на Оказание услуг по техническому обслуживанию системы контроля и управления доступом и системы видеонаблюдения в помещениях, арендуемых Московским филиалом "Центратомтехэнерго" АО "Атомтехэнерго" и в помещениях, арендуе...</v>
      </c>
      <c r="G3721" s="22" t="s">
        <v>55</v>
      </c>
      <c r="H3721" s="22" t="s">
        <v>55</v>
      </c>
      <c r="I3721" s="26">
        <v>43676</v>
      </c>
      <c r="J3721" s="28" t="s">
        <v>52</v>
      </c>
      <c r="K3721" s="28" t="s">
        <v>52</v>
      </c>
      <c r="L3721" s="28" t="s">
        <v>52</v>
      </c>
      <c r="M3721" s="28" t="s">
        <v>52</v>
      </c>
      <c r="N3721" s="28" t="s">
        <v>52</v>
      </c>
    </row>
    <row r="3722" spans="1:14" x14ac:dyDescent="0.15">
      <c r="A3722" s="23" t="str">
        <f>HYPERLINK("https://www.spark-marketing.ru/Card/Person/30990", "ИФНС РОССИИ ПО Г. НАРО-ФОМИНСКУ МОСКОВСКОЙ ОБЛАСТИ")</f>
        <v>ИФНС РОССИИ ПО Г. НАРО-ФОМИНСКУ МОСКОВСКОЙ ОБЛАСТИ</v>
      </c>
      <c r="B3722" s="24" t="s">
        <v>4913</v>
      </c>
      <c r="C3722" s="25">
        <v>98602</v>
      </c>
      <c r="D3722" s="22" t="s">
        <v>5373</v>
      </c>
      <c r="E3722" s="22" t="s">
        <v>53</v>
      </c>
      <c r="F3722" s="23" t="str">
        <f>HYPERLINK("https://www.spark-marketing.ru/Card/Lot/72444220", "Услуга по охране объекта по средством пульта централизованного наблюдения, технического обслуживания комплекса")</f>
        <v>Услуга по охране объекта по средством пульта централизованного наблюдения, технического обслуживания комплекса</v>
      </c>
      <c r="G3722" s="22" t="s">
        <v>50</v>
      </c>
      <c r="H3722" s="22" t="s">
        <v>2332</v>
      </c>
      <c r="I3722" s="26">
        <v>43675.765196759297</v>
      </c>
      <c r="J3722" s="28" t="s">
        <v>52</v>
      </c>
      <c r="K3722" s="28" t="s">
        <v>52</v>
      </c>
      <c r="L3722" s="28" t="s">
        <v>52</v>
      </c>
      <c r="M3722" s="28" t="s">
        <v>52</v>
      </c>
      <c r="N3722" s="28" t="s">
        <v>52</v>
      </c>
    </row>
    <row r="3723" spans="1:14" x14ac:dyDescent="0.15">
      <c r="A3723" s="23" t="str">
        <f>HYPERLINK("https://www.spark-marketing.ru/Card/Person/30990", "ИФНС РОССИИ ПО Г. НАРО-ФОМИНСКУ МОСКОВСКОЙ ОБЛАСТИ")</f>
        <v>ИФНС РОССИИ ПО Г. НАРО-ФОМИНСКУ МОСКОВСКОЙ ОБЛАСТИ</v>
      </c>
      <c r="B3723" s="24" t="s">
        <v>4913</v>
      </c>
      <c r="C3723" s="25">
        <v>98602</v>
      </c>
      <c r="D3723" s="22" t="s">
        <v>5374</v>
      </c>
      <c r="E3723" s="22" t="s">
        <v>53</v>
      </c>
      <c r="F3723" s="23" t="str">
        <f>HYPERLINK("https://www.spark-marketing.ru/Card/Lot/72444216", "Услуга по охране объекта по средством пульта централизованного наблюдения, технического обслуживания комплекса")</f>
        <v>Услуга по охране объекта по средством пульта централизованного наблюдения, технического обслуживания комплекса</v>
      </c>
      <c r="G3723" s="22" t="s">
        <v>50</v>
      </c>
      <c r="H3723" s="22" t="s">
        <v>2332</v>
      </c>
      <c r="I3723" s="26">
        <v>43675.763449074097</v>
      </c>
      <c r="J3723" s="28" t="s">
        <v>52</v>
      </c>
      <c r="K3723" s="28" t="s">
        <v>52</v>
      </c>
      <c r="L3723" s="28" t="s">
        <v>52</v>
      </c>
      <c r="M3723" s="28" t="s">
        <v>52</v>
      </c>
      <c r="N3723" s="28" t="s">
        <v>52</v>
      </c>
    </row>
    <row r="3724" spans="1:14" x14ac:dyDescent="0.15">
      <c r="A3724" s="23" t="str">
        <f>HYPERLINK("https://www.spark-marketing.ru/Card/Person/58913", "МБДОУ № 37")</f>
        <v>МБДОУ № 37</v>
      </c>
      <c r="B3724" s="24" t="s">
        <v>5375</v>
      </c>
      <c r="C3724" s="25">
        <v>32000</v>
      </c>
      <c r="D3724" s="22" t="s">
        <v>5376</v>
      </c>
      <c r="E3724" s="22" t="s">
        <v>103</v>
      </c>
      <c r="F3724" s="23" t="str">
        <f>HYPERLINK("https://www.spark-marketing.ru/Card/Lot/72444332", "Оказание услуг в 2019 году по техническому обслуживанию системы видеонаблюдения для нужд МБДОУ № 37")</f>
        <v>Оказание услуг в 2019 году по техническому обслуживанию системы видеонаблюдения для нужд МБДОУ № 37</v>
      </c>
      <c r="G3724" s="22" t="s">
        <v>50</v>
      </c>
      <c r="H3724" s="22" t="s">
        <v>938</v>
      </c>
      <c r="I3724" s="26">
        <v>43675.753229166701</v>
      </c>
      <c r="J3724" s="28" t="s">
        <v>52</v>
      </c>
      <c r="K3724" s="28" t="s">
        <v>52</v>
      </c>
      <c r="L3724" s="28" t="s">
        <v>52</v>
      </c>
      <c r="M3724" s="28" t="s">
        <v>52</v>
      </c>
      <c r="N3724" s="28" t="s">
        <v>52</v>
      </c>
    </row>
    <row r="3725" spans="1:14" x14ac:dyDescent="0.15">
      <c r="A3725" s="23" t="str">
        <f>HYPERLINK("https://www.spark-marketing.ru/Card/Person/4348813", "АО ""РЖДСТРОЙ""")</f>
        <v>АО "РЖДСТРОЙ"</v>
      </c>
      <c r="B3725" s="24" t="s">
        <v>975</v>
      </c>
      <c r="C3725" s="25">
        <v>1911897.72</v>
      </c>
      <c r="D3725" s="22" t="s">
        <v>5377</v>
      </c>
      <c r="E3725" s="22" t="s">
        <v>606</v>
      </c>
      <c r="F3725" s="23" t="str">
        <f>HYPERLINK("https://www.spark-marketing.ru/Card/Lot/72459510", "Выполнение комплекса строительно-монтажных работ на объекте: ""Установка системы видеонаблюдения и охранной сигнализации на вокзале и прилегающей территории станции Плавск""")</f>
        <v>Выполнение комплекса строительно-монтажных работ на объекте: "Установка системы видеонаблюдения и охранной сигнализации на вокзале и прилегающей территории станции Плавск"</v>
      </c>
      <c r="G3725" s="22" t="s">
        <v>818</v>
      </c>
      <c r="H3725" s="22" t="s">
        <v>818</v>
      </c>
      <c r="I3725" s="26">
        <v>43675.7741550926</v>
      </c>
      <c r="J3725" s="28" t="s">
        <v>52</v>
      </c>
      <c r="K3725" s="28" t="s">
        <v>52</v>
      </c>
      <c r="L3725" s="28" t="s">
        <v>52</v>
      </c>
      <c r="M3725" s="28" t="s">
        <v>52</v>
      </c>
      <c r="N3725" s="28" t="s">
        <v>52</v>
      </c>
    </row>
    <row r="3726" spans="1:14" x14ac:dyDescent="0.15">
      <c r="A3726" s="23" t="str">
        <f>HYPERLINK("https://www.spark-marketing.ru/Card/Person/18481", "ФГУП ""РОСРАО""")</f>
        <v>ФГУП "РОСРАО"</v>
      </c>
      <c r="B3726" s="24" t="s">
        <v>1615</v>
      </c>
      <c r="C3726" s="25">
        <v>45295855.170000002</v>
      </c>
      <c r="D3726" s="22" t="s">
        <v>5378</v>
      </c>
      <c r="E3726" s="22" t="s">
        <v>1013</v>
      </c>
      <c r="F3726" s="23" t="str">
        <f>HYPERLINK("https://www.spark-marketing.ru/Card/Lot/72452852", "Оказание услуг по охране объектов Саратовского отделения филиала «Приволжский территориальный округ» ФГУП «РосРАО»")</f>
        <v>Оказание услуг по охране объектов Саратовского отделения филиала «Приволжский территориальный округ» ФГУП «РосРАО»</v>
      </c>
      <c r="G3726" s="22" t="s">
        <v>64</v>
      </c>
      <c r="H3726" s="22" t="s">
        <v>64</v>
      </c>
      <c r="I3726" s="26">
        <v>43675.728935185201</v>
      </c>
      <c r="J3726" s="23" t="str">
        <f>HYPERLINK("https://www.spark-marketing.ru/Card/Person/10487", "ФГУП ""ОХРАНА"" РОСГВАРДИИ")</f>
        <v>ФГУП "ОХРАНА" РОСГВАРДИИ</v>
      </c>
      <c r="K3726" s="24" t="s">
        <v>779</v>
      </c>
      <c r="L3726" s="22" t="s">
        <v>10</v>
      </c>
      <c r="M3726" s="28" t="s">
        <v>52</v>
      </c>
      <c r="N3726" s="28" t="s">
        <v>52</v>
      </c>
    </row>
    <row r="3727" spans="1:14" x14ac:dyDescent="0.15">
      <c r="A3727" s="23" t="str">
        <f>HYPERLINK("https://www.spark-marketing.ru/Card/Person/104441", "ГБУ РС (Я) СБГБ")</f>
        <v>ГБУ РС (Я) СБГБ</v>
      </c>
      <c r="B3727" s="24" t="s">
        <v>5277</v>
      </c>
      <c r="C3727" s="25">
        <v>163958.64000000001</v>
      </c>
      <c r="D3727" s="22" t="s">
        <v>5379</v>
      </c>
      <c r="E3727" s="22" t="s">
        <v>68</v>
      </c>
      <c r="F3727" s="23" t="str">
        <f>HYPERLINK("https://www.spark-marketing.ru/Card/Lot/72458302", "Оказание услуг по охране объектов при помощи пульта централизованного наблюдения")</f>
        <v>Оказание услуг по охране объектов при помощи пульта централизованного наблюдения</v>
      </c>
      <c r="G3727" s="22" t="s">
        <v>424</v>
      </c>
      <c r="H3727" s="22" t="s">
        <v>424</v>
      </c>
      <c r="I3727" s="26">
        <v>43675.730775463002</v>
      </c>
      <c r="J3727" s="28" t="s">
        <v>52</v>
      </c>
      <c r="K3727" s="28" t="s">
        <v>52</v>
      </c>
      <c r="L3727" s="28" t="s">
        <v>52</v>
      </c>
      <c r="M3727" s="28" t="s">
        <v>52</v>
      </c>
      <c r="N3727" s="28" t="s">
        <v>52</v>
      </c>
    </row>
    <row r="3728" spans="1:14" x14ac:dyDescent="0.15">
      <c r="A3728" s="23" t="str">
        <f>HYPERLINK("https://www.spark-marketing.ru/Card/Person/18481", "ФГУП ""РОСРАО""")</f>
        <v>ФГУП "РОСРАО"</v>
      </c>
      <c r="B3728" s="24" t="s">
        <v>1615</v>
      </c>
      <c r="C3728" s="25">
        <v>49709889</v>
      </c>
      <c r="D3728" s="22" t="s">
        <v>5380</v>
      </c>
      <c r="E3728" s="22" t="s">
        <v>1013</v>
      </c>
      <c r="F3728" s="23" t="str">
        <f>HYPERLINK("https://www.spark-marketing.ru/Card/Lot/72453153", "Оказание услуг по охране объектов аппарата управления и Нижегородского отделения филиала «Приволжский территориальный округ» ФГУП «РосРАО»")</f>
        <v>Оказание услуг по охране объектов аппарата управления и Нижегородского отделения филиала «Приволжский территориальный округ» ФГУП «РосРАО»</v>
      </c>
      <c r="G3728" s="22" t="s">
        <v>64</v>
      </c>
      <c r="H3728" s="22" t="s">
        <v>65</v>
      </c>
      <c r="I3728" s="26">
        <v>43675.720590277801</v>
      </c>
      <c r="J3728" s="23" t="str">
        <f>HYPERLINK("https://www.spark-marketing.ru/Card/Person/990706", "ФЛ ФГУП ""Охрана"" Росгвардии по Нижегородской области")</f>
        <v>ФЛ ФГУП "Охрана" Росгвардии по Нижегородской области</v>
      </c>
      <c r="K3728" s="24" t="s">
        <v>779</v>
      </c>
      <c r="L3728" s="22" t="s">
        <v>10</v>
      </c>
      <c r="M3728" s="28" t="s">
        <v>52</v>
      </c>
      <c r="N3728" s="28" t="s">
        <v>52</v>
      </c>
    </row>
    <row r="3729" spans="1:14" x14ac:dyDescent="0.15">
      <c r="A3729" s="23" t="str">
        <f>HYPERLINK("https://www.spark-marketing.ru/Card/Person/14859", "ИФНС РОССИИ ПО ОКТЯБРЬСКОМУ РАЙОНУ Г. ВЛАДИМИРА")</f>
        <v>ИФНС РОССИИ ПО ОКТЯБРЬСКОМУ РАЙОНУ Г. ВЛАДИМИРА</v>
      </c>
      <c r="B3729" s="24" t="s">
        <v>5381</v>
      </c>
      <c r="C3729" s="25">
        <v>5560</v>
      </c>
      <c r="D3729" s="22" t="s">
        <v>5382</v>
      </c>
      <c r="E3729" s="22" t="s">
        <v>84</v>
      </c>
      <c r="F3729" s="23" t="str">
        <f>HYPERLINK("https://www.spark-marketing.ru/Card/Lot/72443909", "Монтаж, установка, сборка систем охранного видеонаблюдения, 1 шт")</f>
        <v>Монтаж, установка, сборка систем охранного видеонаблюдения, 1 шт</v>
      </c>
      <c r="G3729" s="22" t="s">
        <v>145</v>
      </c>
      <c r="H3729" s="22" t="s">
        <v>146</v>
      </c>
      <c r="I3729" s="26">
        <v>43675.72</v>
      </c>
      <c r="J3729" s="28" t="s">
        <v>52</v>
      </c>
      <c r="K3729" s="28" t="s">
        <v>52</v>
      </c>
      <c r="L3729" s="28" t="s">
        <v>52</v>
      </c>
      <c r="M3729" s="28" t="s">
        <v>52</v>
      </c>
      <c r="N3729" s="28" t="s">
        <v>52</v>
      </c>
    </row>
    <row r="3730" spans="1:14" x14ac:dyDescent="0.15">
      <c r="A3730" s="23" t="str">
        <f>HYPERLINK("https://www.spark-marketing.ru/Card/Person/18481", "ФГУП ""РОСРАО""")</f>
        <v>ФГУП "РОСРАО"</v>
      </c>
      <c r="B3730" s="24" t="s">
        <v>1615</v>
      </c>
      <c r="C3730" s="25">
        <v>46518939.280000001</v>
      </c>
      <c r="D3730" s="22" t="s">
        <v>5383</v>
      </c>
      <c r="E3730" s="22" t="s">
        <v>1013</v>
      </c>
      <c r="F3730" s="23" t="str">
        <f>HYPERLINK("https://www.spark-marketing.ru/Card/Lot/72452791", "Оказание услуг по охране объектов Казанского отделения филиала «Приволжский территориальный округ» ФГУП «РосРАО»")</f>
        <v>Оказание услуг по охране объектов Казанского отделения филиала «Приволжский территориальный округ» ФГУП «РосРАО»</v>
      </c>
      <c r="G3730" s="22" t="s">
        <v>204</v>
      </c>
      <c r="H3730" s="22" t="s">
        <v>303</v>
      </c>
      <c r="I3730" s="26">
        <v>43675.723263888904</v>
      </c>
      <c r="J3730" s="23" t="str">
        <f>HYPERLINK("https://www.spark-marketing.ru/Card/Person/10487", "ФГУП ""ОХРАНА"" РОСГВАРДИИ")</f>
        <v>ФГУП "ОХРАНА" РОСГВАРДИИ</v>
      </c>
      <c r="K3730" s="24" t="s">
        <v>779</v>
      </c>
      <c r="L3730" s="22" t="s">
        <v>10</v>
      </c>
      <c r="M3730" s="28" t="s">
        <v>52</v>
      </c>
      <c r="N3730" s="28" t="s">
        <v>52</v>
      </c>
    </row>
    <row r="3731" spans="1:14" x14ac:dyDescent="0.15">
      <c r="A3731" s="23" t="str">
        <f>HYPERLINK("https://www.spark-marketing.ru/Card/Person/46782", "АДМИНИСТРАЦИЯ Г. БУДЁННОВСКА")</f>
        <v>АДМИНИСТРАЦИЯ Г. БУДЁННОВСКА</v>
      </c>
      <c r="B3731" s="24" t="s">
        <v>5384</v>
      </c>
      <c r="C3731" s="25">
        <v>316221.59999999998</v>
      </c>
      <c r="D3731" s="22" t="s">
        <v>5385</v>
      </c>
      <c r="E3731" s="22" t="s">
        <v>59</v>
      </c>
      <c r="F3731" s="23" t="str">
        <f>HYPERLINK("https://www.spark-marketing.ru/Card/Lot/72459808", "Выполнение работ по установке светофоров Т-7 и смена дорожных знаков в городе Будённовске для обеспечения муниципальных нужд")</f>
        <v>Выполнение работ по установке светофоров Т-7 и смена дорожных знаков в городе Будённовске для обеспечения муниципальных нужд</v>
      </c>
      <c r="G3731" s="22" t="s">
        <v>258</v>
      </c>
      <c r="H3731" s="22" t="s">
        <v>5386</v>
      </c>
      <c r="I3731" s="26">
        <v>43675.707465277803</v>
      </c>
      <c r="J3731" s="23" t="str">
        <f>HYPERLINK("https://www.spark-marketing.ru/Card/Person/160290", "ООО ""ДИЗАЙН-СЕРВИС""")</f>
        <v>ООО "ДИЗАЙН-СЕРВИС"</v>
      </c>
      <c r="K3731" s="24" t="s">
        <v>5387</v>
      </c>
      <c r="L3731" s="22" t="s">
        <v>10</v>
      </c>
      <c r="M3731" s="28" t="s">
        <v>52</v>
      </c>
      <c r="N3731" s="28" t="s">
        <v>52</v>
      </c>
    </row>
    <row r="3732" spans="1:14" x14ac:dyDescent="0.2">
      <c r="A3732" s="23" t="str">
        <f>HYPERLINK("https://www.spark-marketing.ru/Card/Person/573574", "ООО ""ЖКС №2 ФРУНЗЕНСКОГО РАЙОНА""")</f>
        <v>ООО "ЖКС №2 ФРУНЗЕНСКОГО РАЙОНА"</v>
      </c>
      <c r="B3732" s="24" t="s">
        <v>1003</v>
      </c>
      <c r="C3732" s="25">
        <v>147701</v>
      </c>
      <c r="D3732" s="22" t="s">
        <v>5388</v>
      </c>
      <c r="E3732" s="22" t="s">
        <v>49</v>
      </c>
      <c r="F3732" s="23" t="str">
        <f>HYPERLINK("https://www.spark-marketing.ru/Card/Lot/72463136", "Выполнение работ по установке оборудования системы сигнализации")</f>
        <v>Выполнение работ по установке оборудования системы сигнализации</v>
      </c>
      <c r="G3732" s="22" t="s">
        <v>89</v>
      </c>
      <c r="H3732" s="22" t="s">
        <v>89</v>
      </c>
      <c r="I3732" s="26">
        <v>43675.677013888897</v>
      </c>
      <c r="J3732" s="28" t="s">
        <v>52</v>
      </c>
      <c r="K3732" s="28" t="s">
        <v>52</v>
      </c>
      <c r="L3732" s="28" t="s">
        <v>52</v>
      </c>
      <c r="M3732" s="25">
        <v>147701</v>
      </c>
      <c r="N3732" s="27">
        <v>0</v>
      </c>
    </row>
    <row r="3733" spans="1:14" x14ac:dyDescent="0.15">
      <c r="A3733" s="23" t="str">
        <f t="shared" ref="A3733:A3739" si="163">HYPERLINK("https://www.spark-marketing.ru/Card/Person/100945", "МБОУ ""БАРСОВСКАЯ СОШ № 1""")</f>
        <v>МБОУ "БАРСОВСКАЯ СОШ № 1"</v>
      </c>
      <c r="B3733" s="24" t="s">
        <v>5389</v>
      </c>
      <c r="C3733" s="25">
        <v>439390.41</v>
      </c>
      <c r="D3733" s="22" t="s">
        <v>5390</v>
      </c>
      <c r="E3733" s="22" t="s">
        <v>59</v>
      </c>
      <c r="F3733" s="23" t="str">
        <f t="shared" ref="F3733:F3739" si="164">HYPERLINK("https://www.spark-marketing.ru/Card/Lot/72452014", "Выполнение работ по монтажу системы видеонаблюдения")</f>
        <v>Выполнение работ по монтажу системы видеонаблюдения</v>
      </c>
      <c r="G3733" s="22" t="s">
        <v>119</v>
      </c>
      <c r="H3733" s="22" t="s">
        <v>416</v>
      </c>
      <c r="I3733" s="26">
        <v>43675.656782407401</v>
      </c>
      <c r="J3733" s="28" t="s">
        <v>52</v>
      </c>
      <c r="K3733" s="28" t="s">
        <v>52</v>
      </c>
      <c r="L3733" s="28" t="s">
        <v>52</v>
      </c>
      <c r="M3733" s="28" t="s">
        <v>52</v>
      </c>
      <c r="N3733" s="28" t="s">
        <v>52</v>
      </c>
    </row>
    <row r="3734" spans="1:14" ht="12.75" hidden="1" outlineLevel="1" x14ac:dyDescent="0.2">
      <c r="A3734" s="23" t="str">
        <f t="shared" si="163"/>
        <v>МБОУ "БАРСОВСКАЯ СОШ № 1"</v>
      </c>
      <c r="B3734" s="24" t="s">
        <v>5389</v>
      </c>
      <c r="C3734" s="25">
        <v>439390.41</v>
      </c>
      <c r="D3734" s="22" t="s">
        <v>5390</v>
      </c>
      <c r="E3734" s="22" t="s">
        <v>59</v>
      </c>
      <c r="F3734" s="23" t="str">
        <f t="shared" si="164"/>
        <v>Выполнение работ по монтажу системы видеонаблюдения</v>
      </c>
      <c r="G3734" s="22" t="s">
        <v>119</v>
      </c>
      <c r="H3734" s="22" t="s">
        <v>416</v>
      </c>
      <c r="I3734" s="26">
        <v>43675.656782407401</v>
      </c>
      <c r="J3734" s="23" t="str">
        <f>HYPERLINK("https://www.spark-marketing.ru/Card/Person/942938", "ООО ""АЭРОТЕЛ""")</f>
        <v>ООО "АЭРОТЕЛ"</v>
      </c>
      <c r="K3734" s="24" t="s">
        <v>5391</v>
      </c>
      <c r="L3734" s="22" t="s">
        <v>10</v>
      </c>
      <c r="M3734" s="25">
        <v>258030.4</v>
      </c>
      <c r="N3734" s="27">
        <v>0.41275368299458332</v>
      </c>
    </row>
    <row r="3735" spans="1:14" hidden="1" outlineLevel="1" x14ac:dyDescent="0.2">
      <c r="A3735" s="23" t="str">
        <f t="shared" si="163"/>
        <v>МБОУ "БАРСОВСКАЯ СОШ № 1"</v>
      </c>
      <c r="B3735" s="24" t="s">
        <v>5389</v>
      </c>
      <c r="C3735" s="25">
        <v>439390.41</v>
      </c>
      <c r="D3735" s="22" t="s">
        <v>5390</v>
      </c>
      <c r="E3735" s="22" t="s">
        <v>59</v>
      </c>
      <c r="F3735" s="23" t="str">
        <f t="shared" si="164"/>
        <v>Выполнение работ по монтажу системы видеонаблюдения</v>
      </c>
      <c r="G3735" s="22" t="s">
        <v>119</v>
      </c>
      <c r="H3735" s="22" t="s">
        <v>416</v>
      </c>
      <c r="I3735" s="26">
        <v>43675.656782407401</v>
      </c>
      <c r="J3735" s="23" t="str">
        <f>HYPERLINK("https://www.spark-marketing.ru/Card/Person/6578982", "Родичев Максим Юрьевич")</f>
        <v>Родичев Максим Юрьевич</v>
      </c>
      <c r="K3735" s="24" t="s">
        <v>1478</v>
      </c>
      <c r="L3735" s="28" t="s">
        <v>52</v>
      </c>
      <c r="M3735" s="25">
        <v>260227.36</v>
      </c>
      <c r="N3735" s="27">
        <v>0.40775366490133458</v>
      </c>
    </row>
    <row r="3736" spans="1:14" hidden="1" outlineLevel="1" x14ac:dyDescent="0.2">
      <c r="A3736" s="23" t="str">
        <f t="shared" si="163"/>
        <v>МБОУ "БАРСОВСКАЯ СОШ № 1"</v>
      </c>
      <c r="B3736" s="24" t="s">
        <v>5389</v>
      </c>
      <c r="C3736" s="25">
        <v>439390.41</v>
      </c>
      <c r="D3736" s="22" t="s">
        <v>5390</v>
      </c>
      <c r="E3736" s="22" t="s">
        <v>59</v>
      </c>
      <c r="F3736" s="23" t="str">
        <f t="shared" si="164"/>
        <v>Выполнение работ по монтажу системы видеонаблюдения</v>
      </c>
      <c r="G3736" s="22" t="s">
        <v>119</v>
      </c>
      <c r="H3736" s="22" t="s">
        <v>416</v>
      </c>
      <c r="I3736" s="26">
        <v>43675.656782407401</v>
      </c>
      <c r="J3736" s="23" t="str">
        <f>HYPERLINK("https://www.spark-marketing.ru/Card/Person/4568019", "Старенький Александр Анатольевич")</f>
        <v>Старенький Александр Анатольевич</v>
      </c>
      <c r="K3736" s="24" t="s">
        <v>5392</v>
      </c>
      <c r="L3736" s="28" t="s">
        <v>52</v>
      </c>
      <c r="M3736" s="25">
        <v>413026.97</v>
      </c>
      <c r="N3736" s="27">
        <v>6.0000035048557387E-2</v>
      </c>
    </row>
    <row r="3737" spans="1:14" hidden="1" outlineLevel="1" x14ac:dyDescent="0.2">
      <c r="A3737" s="23" t="str">
        <f t="shared" si="163"/>
        <v>МБОУ "БАРСОВСКАЯ СОШ № 1"</v>
      </c>
      <c r="B3737" s="24" t="s">
        <v>5389</v>
      </c>
      <c r="C3737" s="25">
        <v>439390.41</v>
      </c>
      <c r="D3737" s="22" t="s">
        <v>5390</v>
      </c>
      <c r="E3737" s="22" t="s">
        <v>59</v>
      </c>
      <c r="F3737" s="23" t="str">
        <f t="shared" si="164"/>
        <v>Выполнение работ по монтажу системы видеонаблюдения</v>
      </c>
      <c r="G3737" s="22" t="s">
        <v>119</v>
      </c>
      <c r="H3737" s="22" t="s">
        <v>416</v>
      </c>
      <c r="I3737" s="26">
        <v>43675.656782407401</v>
      </c>
      <c r="J3737" s="23" t="str">
        <f>HYPERLINK("https://www.spark-marketing.ru/Card/Person/139110", "ООО ""СППБ""")</f>
        <v>ООО "СППБ"</v>
      </c>
      <c r="K3737" s="24" t="s">
        <v>1332</v>
      </c>
      <c r="L3737" s="28" t="s">
        <v>52</v>
      </c>
      <c r="M3737" s="25">
        <v>439390.4</v>
      </c>
      <c r="N3737" s="27">
        <v>2.2758803497782303E-8</v>
      </c>
    </row>
    <row r="3738" spans="1:14" hidden="1" outlineLevel="1" x14ac:dyDescent="0.2">
      <c r="A3738" s="23" t="str">
        <f t="shared" si="163"/>
        <v>МБОУ "БАРСОВСКАЯ СОШ № 1"</v>
      </c>
      <c r="B3738" s="24" t="s">
        <v>5389</v>
      </c>
      <c r="C3738" s="25">
        <v>439390.41</v>
      </c>
      <c r="D3738" s="22" t="s">
        <v>5390</v>
      </c>
      <c r="E3738" s="22" t="s">
        <v>59</v>
      </c>
      <c r="F3738" s="23" t="str">
        <f t="shared" si="164"/>
        <v>Выполнение работ по монтажу системы видеонаблюдения</v>
      </c>
      <c r="G3738" s="22" t="s">
        <v>119</v>
      </c>
      <c r="H3738" s="22" t="s">
        <v>416</v>
      </c>
      <c r="I3738" s="26">
        <v>43675.656782407401</v>
      </c>
      <c r="J3738" s="23" t="str">
        <f>HYPERLINK("https://www.spark-marketing.ru/Card/Person/5853123", "Ершов Андрей Алексеевич")</f>
        <v>Ершов Андрей Алексеевич</v>
      </c>
      <c r="K3738" s="24" t="s">
        <v>1063</v>
      </c>
      <c r="L3738" s="28" t="s">
        <v>52</v>
      </c>
      <c r="M3738" s="25">
        <v>262424.32000000001</v>
      </c>
      <c r="N3738" s="27">
        <v>0.40275364680808579</v>
      </c>
    </row>
    <row r="3739" spans="1:14" hidden="1" outlineLevel="1" x14ac:dyDescent="0.2">
      <c r="A3739" s="23" t="str">
        <f t="shared" si="163"/>
        <v>МБОУ "БАРСОВСКАЯ СОШ № 1"</v>
      </c>
      <c r="B3739" s="24" t="s">
        <v>5389</v>
      </c>
      <c r="C3739" s="25">
        <v>439390.41</v>
      </c>
      <c r="D3739" s="22" t="s">
        <v>5390</v>
      </c>
      <c r="E3739" s="22" t="s">
        <v>59</v>
      </c>
      <c r="F3739" s="23" t="str">
        <f t="shared" si="164"/>
        <v>Выполнение работ по монтажу системы видеонаблюдения</v>
      </c>
      <c r="G3739" s="22" t="s">
        <v>119</v>
      </c>
      <c r="H3739" s="22" t="s">
        <v>416</v>
      </c>
      <c r="I3739" s="26">
        <v>43675.656782407401</v>
      </c>
      <c r="J3739" s="23" t="str">
        <f>HYPERLINK("https://www.spark-marketing.ru/Card/Person/6452955", "ООО ""ЛИДЕР""")</f>
        <v>ООО "ЛИДЕР"</v>
      </c>
      <c r="K3739" s="24" t="s">
        <v>1358</v>
      </c>
      <c r="L3739" s="28" t="s">
        <v>52</v>
      </c>
      <c r="M3739" s="25">
        <v>391057.45</v>
      </c>
      <c r="N3739" s="27">
        <v>0.11000003391061722</v>
      </c>
    </row>
    <row r="3740" spans="1:14" x14ac:dyDescent="0.2">
      <c r="A3740" s="23" t="str">
        <f>HYPERLINK("https://www.spark-marketing.ru/Card/Person/537953", "МУП ""ВОДОКАНАЛ""")</f>
        <v>МУП "ВОДОКАНАЛ"</v>
      </c>
      <c r="B3740" s="24" t="s">
        <v>5224</v>
      </c>
      <c r="C3740" s="25">
        <v>723501.7</v>
      </c>
      <c r="D3740" s="22" t="s">
        <v>5393</v>
      </c>
      <c r="E3740" s="22" t="s">
        <v>606</v>
      </c>
      <c r="F3740" s="23" t="str">
        <f>HYPERLINK("https://www.spark-marketing.ru/Card/Lot/72458934", "Монтаж системы видеонаблюдения ( 1-й этап, установка опор для видеокамер)")</f>
        <v>Монтаж системы видеонаблюдения ( 1-й этап, установка опор для видеокамер)</v>
      </c>
      <c r="G3740" s="22" t="s">
        <v>72</v>
      </c>
      <c r="H3740" s="22" t="s">
        <v>5226</v>
      </c>
      <c r="I3740" s="26">
        <v>43675.655949074098</v>
      </c>
      <c r="J3740" s="28" t="s">
        <v>52</v>
      </c>
      <c r="K3740" s="28" t="s">
        <v>52</v>
      </c>
      <c r="L3740" s="28" t="s">
        <v>52</v>
      </c>
      <c r="M3740" s="25">
        <v>703800</v>
      </c>
      <c r="N3740" s="27">
        <v>2.7231034840692149E-2</v>
      </c>
    </row>
    <row r="3741" spans="1:14" x14ac:dyDescent="0.15">
      <c r="A3741" s="23" t="str">
        <f>HYPERLINK("https://www.spark-marketing.ru/Card/Person/133946", "МБОУ ""ГИМНАЗИЯ №22"" НМР РТ")</f>
        <v>МБОУ "ГИМНАЗИЯ №22" НМР РТ</v>
      </c>
      <c r="B3741" s="24" t="s">
        <v>5394</v>
      </c>
      <c r="C3741" s="25">
        <v>166940</v>
      </c>
      <c r="D3741" s="22" t="s">
        <v>5395</v>
      </c>
      <c r="E3741" s="22" t="s">
        <v>79</v>
      </c>
      <c r="F3741" s="23" t="str">
        <f>HYPERLINK("https://www.spark-marketing.ru/Card/Lot/72457792", "Выполнение работ по замене старых ворот на откатные ворота с монтажом системы уличного видеонаблюдения при въезде на территорию для МБОУ ""Гимназия №22"" НМР РТ (СМП и СОНО)")</f>
        <v>Выполнение работ по замене старых ворот на откатные ворота с монтажом системы уличного видеонаблюдения при въезде на территорию для МБОУ "Гимназия №22" НМР РТ (СМП и СОНО)</v>
      </c>
      <c r="G3741" s="22" t="s">
        <v>204</v>
      </c>
      <c r="H3741" s="22" t="s">
        <v>824</v>
      </c>
      <c r="I3741" s="26">
        <v>43675.651192129597</v>
      </c>
      <c r="J3741" s="23" t="str">
        <f>HYPERLINK("https://www.spark-marketing.ru/Card/Person/6415078", "ООО ""ПРОМТЕХСЕРВИС""")</f>
        <v>ООО "ПРОМТЕХСЕРВИС"</v>
      </c>
      <c r="K3741" s="24" t="s">
        <v>5396</v>
      </c>
      <c r="L3741" s="28" t="s">
        <v>52</v>
      </c>
      <c r="M3741" s="28" t="s">
        <v>52</v>
      </c>
      <c r="N3741" s="28" t="s">
        <v>52</v>
      </c>
    </row>
    <row r="3742" spans="1:14" hidden="1" outlineLevel="1" x14ac:dyDescent="0.15">
      <c r="A3742" s="23" t="str">
        <f>HYPERLINK("https://www.spark-marketing.ru/Card/Person/133946", "МБОУ ""ГИМНАЗИЯ №22"" НМР РТ")</f>
        <v>МБОУ "ГИМНАЗИЯ №22" НМР РТ</v>
      </c>
      <c r="B3742" s="24" t="s">
        <v>5394</v>
      </c>
      <c r="C3742" s="25">
        <v>166940</v>
      </c>
      <c r="D3742" s="22" t="s">
        <v>5395</v>
      </c>
      <c r="E3742" s="22" t="s">
        <v>79</v>
      </c>
      <c r="F3742" s="23" t="str">
        <f>HYPERLINK("https://www.spark-marketing.ru/Card/Lot/72457792", "Выполнение работ по замене старых ворот на откатные ворота с монтажом системы уличного видеонаблюдения при въезде на территорию для МБОУ ""Гимназия №22"" НМР РТ (СМП и СОНО)")</f>
        <v>Выполнение работ по замене старых ворот на откатные ворота с монтажом системы уличного видеонаблюдения при въезде на территорию для МБОУ "Гимназия №22" НМР РТ (СМП и СОНО)</v>
      </c>
      <c r="G3742" s="22" t="s">
        <v>204</v>
      </c>
      <c r="H3742" s="22" t="s">
        <v>824</v>
      </c>
      <c r="I3742" s="26">
        <v>43675.651192129597</v>
      </c>
      <c r="J3742" s="23" t="str">
        <f>HYPERLINK("https://www.spark-marketing.ru/Card/Person/6415078", "ООО ""ПРОМТЕХСЕРВИС""")</f>
        <v>ООО "ПРОМТЕХСЕРВИС"</v>
      </c>
      <c r="K3742" s="24" t="s">
        <v>5396</v>
      </c>
      <c r="L3742" s="22" t="s">
        <v>10</v>
      </c>
      <c r="M3742" s="28" t="s">
        <v>52</v>
      </c>
      <c r="N3742" s="28" t="s">
        <v>52</v>
      </c>
    </row>
    <row r="3743" spans="1:14" x14ac:dyDescent="0.15">
      <c r="A3743" s="23" t="str">
        <f>HYPERLINK("https://www.spark-marketing.ru/Card/Person/4707865", "ООО ""РН-ВЕДОМСТВЕННАЯ ОХРАНА""")</f>
        <v>ООО "РН-ВЕДОМСТВЕННАЯ ОХРАНА"</v>
      </c>
      <c r="B3743" s="24" t="s">
        <v>5397</v>
      </c>
      <c r="C3743" s="25">
        <v>7245600</v>
      </c>
      <c r="D3743" s="22" t="s">
        <v>5398</v>
      </c>
      <c r="E3743" s="22" t="s">
        <v>5399</v>
      </c>
      <c r="F3743" s="23" t="str">
        <f>HYPERLINK("https://www.spark-marketing.ru/Card/Lot/74019123", "Поставка, монтаж и подключение к системе мониторинга персонального оборудования для определения местоположения автотранспорта и сотрудников охраны.")</f>
        <v>Поставка, монтаж и подключение к системе мониторинга персонального оборудования для определения местоположения автотранспорта и сотрудников охраны.</v>
      </c>
      <c r="G3743" s="22" t="s">
        <v>55</v>
      </c>
      <c r="H3743" s="22" t="s">
        <v>55</v>
      </c>
      <c r="I3743" s="26">
        <v>43675.659027777801</v>
      </c>
      <c r="J3743" s="28" t="s">
        <v>52</v>
      </c>
      <c r="K3743" s="28" t="s">
        <v>52</v>
      </c>
      <c r="L3743" s="28" t="s">
        <v>52</v>
      </c>
      <c r="M3743" s="28" t="s">
        <v>52</v>
      </c>
      <c r="N3743" s="28" t="s">
        <v>52</v>
      </c>
    </row>
    <row r="3744" spans="1:14" x14ac:dyDescent="0.15">
      <c r="A3744" s="23" t="str">
        <f>HYPERLINK("https://www.spark-marketing.ru/Card/Person/4707865", "ООО ""РН-ВЕДОМСТВЕННАЯ ОХРАНА""")</f>
        <v>ООО "РН-ВЕДОМСТВЕННАЯ ОХРАНА"</v>
      </c>
      <c r="B3744" s="24" t="s">
        <v>5397</v>
      </c>
      <c r="C3744" s="25">
        <v>7245600</v>
      </c>
      <c r="D3744" s="22" t="s">
        <v>5398</v>
      </c>
      <c r="E3744" s="22" t="s">
        <v>5400</v>
      </c>
      <c r="F3744" s="23" t="str">
        <f>HYPERLINK("https://www.spark-marketing.ru/Card/Lot/72461844", "Поставка, монтаж и подключение к системе мониторинга персонального оборудования для определения местоположения автотранспорта и сотрудников охраны.")</f>
        <v>Поставка, монтаж и подключение к системе мониторинга персонального оборудования для определения местоположения автотранспорта и сотрудников охраны.</v>
      </c>
      <c r="G3744" s="22" t="s">
        <v>55</v>
      </c>
      <c r="H3744" s="22" t="s">
        <v>55</v>
      </c>
      <c r="I3744" s="26">
        <v>43675.646597222199</v>
      </c>
      <c r="J3744" s="28" t="s">
        <v>52</v>
      </c>
      <c r="K3744" s="28" t="s">
        <v>52</v>
      </c>
      <c r="L3744" s="28" t="s">
        <v>52</v>
      </c>
      <c r="M3744" s="28" t="s">
        <v>52</v>
      </c>
      <c r="N3744" s="28" t="s">
        <v>52</v>
      </c>
    </row>
    <row r="3745" spans="1:14" x14ac:dyDescent="0.15">
      <c r="A3745" s="23" t="str">
        <f>HYPERLINK("https://www.spark-marketing.ru/Card/Person/46879", "АРБИТРАЖНЫЙ СУД КРАСНОЯРСКОГО КРАЯ")</f>
        <v>АРБИТРАЖНЫЙ СУД КРАСНОЯРСКОГО КРАЯ</v>
      </c>
      <c r="B3745" s="24" t="s">
        <v>5401</v>
      </c>
      <c r="C3745" s="25">
        <v>1363977.42</v>
      </c>
      <c r="D3745" s="22" t="s">
        <v>5402</v>
      </c>
      <c r="E3745" s="22" t="s">
        <v>68</v>
      </c>
      <c r="F3745" s="23" t="str">
        <f>HYPERLINK("https://www.spark-marketing.ru/Card/Lot/72451506", "Оказание услуг по военизированной охране")</f>
        <v>Оказание услуг по военизированной охране</v>
      </c>
      <c r="G3745" s="22" t="s">
        <v>640</v>
      </c>
      <c r="H3745" s="22" t="s">
        <v>1524</v>
      </c>
      <c r="I3745" s="26">
        <v>43675.602361111101</v>
      </c>
      <c r="J3745" s="23" t="str">
        <f>HYPERLINK("https://www.spark-marketing.ru/Card/Person/10487", "ФГУП ""ОХРАНА"" РОСГВАРДИИ")</f>
        <v>ФГУП "ОХРАНА" РОСГВАРДИИ</v>
      </c>
      <c r="K3745" s="24" t="s">
        <v>779</v>
      </c>
      <c r="L3745" s="22" t="s">
        <v>10</v>
      </c>
      <c r="M3745" s="28" t="s">
        <v>52</v>
      </c>
      <c r="N3745" s="28" t="s">
        <v>52</v>
      </c>
    </row>
    <row r="3746" spans="1:14" x14ac:dyDescent="0.15">
      <c r="A3746" s="23" t="str">
        <f>HYPERLINK("https://www.spark-marketing.ru/Card/Person/491023", "ПАО ""СЕВЕРАЛМАЗ""")</f>
        <v>ПАО "СЕВЕРАЛМАЗ"</v>
      </c>
      <c r="B3746" s="24" t="s">
        <v>5403</v>
      </c>
      <c r="C3746" s="25">
        <v>2952000</v>
      </c>
      <c r="D3746" s="22" t="s">
        <v>5404</v>
      </c>
      <c r="E3746" s="22" t="s">
        <v>5405</v>
      </c>
      <c r="F3746" s="23" t="str">
        <f>HYPERLINK("https://www.spark-marketing.ru/Card/Lot/72460966", "Выполнение работ по проведению экспертизы промышленной безопасности транспортных средств")</f>
        <v>Выполнение работ по проведению экспертизы промышленной безопасности транспортных средств</v>
      </c>
      <c r="G3746" s="22" t="s">
        <v>674</v>
      </c>
      <c r="H3746" s="22" t="s">
        <v>674</v>
      </c>
      <c r="I3746" s="26">
        <v>43675.598541666703</v>
      </c>
      <c r="J3746" s="28" t="s">
        <v>52</v>
      </c>
      <c r="K3746" s="28" t="s">
        <v>52</v>
      </c>
      <c r="L3746" s="28" t="s">
        <v>52</v>
      </c>
      <c r="M3746" s="28" t="s">
        <v>52</v>
      </c>
      <c r="N3746" s="28" t="s">
        <v>52</v>
      </c>
    </row>
    <row r="3747" spans="1:14" x14ac:dyDescent="0.2">
      <c r="A3747" s="23" t="str">
        <f>HYPERLINK("https://www.spark-marketing.ru/Card/Person/4345826", "ПАО СБЕРБАНК")</f>
        <v>ПАО СБЕРБАНК</v>
      </c>
      <c r="B3747" s="24" t="s">
        <v>5406</v>
      </c>
      <c r="C3747" s="25">
        <v>752118</v>
      </c>
      <c r="D3747" s="22" t="s">
        <v>5407</v>
      </c>
      <c r="E3747" s="22" t="s">
        <v>691</v>
      </c>
      <c r="F3747" s="23" t="str">
        <f>HYPERLINK("https://www.spark-marketing.ru/Card/Lot/72462234", "выполнение работ по монтажу и пуско-наладке наладке оборудования периметральной системы охраны на объекте - МРД ЦУНДО КИЦ «Тушинский» ПАО Сбербанк по адресу: г. Москва, ул. Сходненская, д.9, 1 комплект")</f>
        <v>выполнение работ по монтажу и пуско-наладке наладке оборудования периметральной системы охраны на объекте - МРД ЦУНДО КИЦ «Тушинский» ПАО Сбербанк по адресу: г. Москва, ул. Сходненская, д.9, 1 комплект</v>
      </c>
      <c r="G3747" s="22" t="s">
        <v>55</v>
      </c>
      <c r="H3747" s="22" t="s">
        <v>55</v>
      </c>
      <c r="I3747" s="26">
        <v>43675.590891203698</v>
      </c>
      <c r="J3747" s="28" t="s">
        <v>52</v>
      </c>
      <c r="K3747" s="28" t="s">
        <v>52</v>
      </c>
      <c r="L3747" s="22" t="s">
        <v>10</v>
      </c>
      <c r="M3747" s="25">
        <v>749743.64</v>
      </c>
      <c r="N3747" s="27">
        <v>3.1568982526677994E-3</v>
      </c>
    </row>
    <row r="3748" spans="1:14" x14ac:dyDescent="0.15">
      <c r="A3748" s="23" t="str">
        <f>HYPERLINK("https://www.spark-marketing.ru/Card/Person/540586", "МОМВД РОССИИ ""САСОВСКИЙ""")</f>
        <v>МОМВД РОССИИ "САСОВСКИЙ"</v>
      </c>
      <c r="B3748" s="24" t="s">
        <v>5408</v>
      </c>
      <c r="C3748" s="25">
        <v>11892.72</v>
      </c>
      <c r="D3748" s="22" t="s">
        <v>5409</v>
      </c>
      <c r="E3748" s="22" t="s">
        <v>68</v>
      </c>
      <c r="F3748" s="23" t="str">
        <f>HYPERLINK("https://www.spark-marketing.ru/Card/Lot/72440861", "Централизованная охрана объектов, 7 усл. ед")</f>
        <v>Централизованная охрана объектов, 7 усл. ед</v>
      </c>
      <c r="G3748" s="22" t="s">
        <v>186</v>
      </c>
      <c r="H3748" s="22" t="s">
        <v>5410</v>
      </c>
      <c r="I3748" s="26">
        <v>43675.608854166698</v>
      </c>
      <c r="J3748" s="28" t="s">
        <v>52</v>
      </c>
      <c r="K3748" s="28" t="s">
        <v>52</v>
      </c>
      <c r="L3748" s="28" t="s">
        <v>52</v>
      </c>
      <c r="M3748" s="28" t="s">
        <v>52</v>
      </c>
      <c r="N3748" s="28" t="s">
        <v>52</v>
      </c>
    </row>
    <row r="3749" spans="1:14" x14ac:dyDescent="0.2">
      <c r="A3749" s="23" t="str">
        <f>HYPERLINK("https://www.spark-marketing.ru/Card/Person/25654", "ГБУ СО ""СОЦИ""")</f>
        <v>ГБУ СО "СОЦИ"</v>
      </c>
      <c r="B3749" s="24" t="s">
        <v>3521</v>
      </c>
      <c r="C3749" s="25">
        <v>934585.19</v>
      </c>
      <c r="D3749" s="22" t="s">
        <v>5411</v>
      </c>
      <c r="E3749" s="22" t="s">
        <v>298</v>
      </c>
      <c r="F3749" s="23" t="str">
        <f>HYPERLINK("https://www.spark-marketing.ru/Card/Lot/72433652", "Техническое обслуживание системы видеоидентификации физических лиц на рубежах контроля Сахалинской области")</f>
        <v>Техническое обслуживание системы видеоидентификации физических лиц на рубежах контроля Сахалинской области</v>
      </c>
      <c r="G3749" s="22" t="s">
        <v>69</v>
      </c>
      <c r="H3749" s="22" t="s">
        <v>973</v>
      </c>
      <c r="I3749" s="26">
        <v>43675.586805555598</v>
      </c>
      <c r="J3749" s="23" t="str">
        <f>HYPERLINK("https://www.spark-marketing.ru/Card/Person/51417", "ООО ""ЦРТ""")</f>
        <v>ООО "ЦРТ"</v>
      </c>
      <c r="K3749" s="24" t="s">
        <v>5412</v>
      </c>
      <c r="L3749" s="28" t="s">
        <v>52</v>
      </c>
      <c r="M3749" s="25">
        <v>934585.19</v>
      </c>
      <c r="N3749" s="27">
        <v>0</v>
      </c>
    </row>
    <row r="3750" spans="1:14" x14ac:dyDescent="0.15">
      <c r="A3750" s="23" t="str">
        <f>HYPERLINK("https://www.spark-marketing.ru/Card/Person/4343797", "ФКУ ""ЦХИСО ГУ МВД РОССИИ ПО МОСКОВСКОЙ ОБЛАСТИ""")</f>
        <v>ФКУ "ЦХИСО ГУ МВД РОССИИ ПО МОСКОВСКОЙ ОБЛАСТИ"</v>
      </c>
      <c r="B3750" s="24" t="s">
        <v>5090</v>
      </c>
      <c r="C3750" s="25">
        <v>43200</v>
      </c>
      <c r="D3750" s="22" t="s">
        <v>5413</v>
      </c>
      <c r="E3750" s="22" t="s">
        <v>107</v>
      </c>
      <c r="F3750" s="23" t="str">
        <f>HYPERLINK("https://www.spark-marketing.ru/Card/Lot/72441013", "техническое обслуживание системы сигнализации газовой безопасности и газоиспользующего оборудования, 1 усл. ед")</f>
        <v>техническое обслуживание системы сигнализации газовой безопасности и газоиспользующего оборудования, 1 усл. ед</v>
      </c>
      <c r="G3750" s="22" t="s">
        <v>50</v>
      </c>
      <c r="H3750" s="22" t="s">
        <v>2088</v>
      </c>
      <c r="I3750" s="26">
        <v>43675.616747685199</v>
      </c>
      <c r="J3750" s="28" t="s">
        <v>52</v>
      </c>
      <c r="K3750" s="28" t="s">
        <v>52</v>
      </c>
      <c r="L3750" s="28" t="s">
        <v>52</v>
      </c>
      <c r="M3750" s="28" t="s">
        <v>52</v>
      </c>
      <c r="N3750" s="28" t="s">
        <v>52</v>
      </c>
    </row>
    <row r="3751" spans="1:14" x14ac:dyDescent="0.15">
      <c r="A3751" s="23" t="str">
        <f>HYPERLINK("https://www.spark-marketing.ru/Card/Person/4392876", "ГУП РК ""КРЫМАВТОДОР""")</f>
        <v>ГУП РК "КРЫМАВТОДОР"</v>
      </c>
      <c r="B3751" s="24" t="s">
        <v>1563</v>
      </c>
      <c r="C3751" s="25">
        <v>9174195.3699999992</v>
      </c>
      <c r="D3751" s="22" t="s">
        <v>5414</v>
      </c>
      <c r="E3751" s="22" t="s">
        <v>1565</v>
      </c>
      <c r="F3751" s="23" t="str">
        <f>HYPERLINK("https://www.spark-marketing.ru/Card/Lot/72462320", "Выполнение работ по установке светофоров, камер видеонаблюдения и датчиков движения на автомобильных дорогах общего пользования Республики Крым 35 ОП РЗ 35К-003 Симферополь-Феодосия км 3+990-7+800 и 35 ОП РЗ 35 К-004 Симферополь-Евпатория км 45+050")</f>
        <v>Выполнение работ по установке светофоров, камер видеонаблюдения и датчиков движения на автомобильных дорогах общего пользования Республики Крым 35 ОП РЗ 35К-003 Симферополь-Феодосия км 3+990-7+800 и 35 ОП РЗ 35 К-004 Симферополь-Евпатория км 45+050</v>
      </c>
      <c r="G3751" s="22" t="s">
        <v>1053</v>
      </c>
      <c r="H3751" s="22" t="s">
        <v>1053</v>
      </c>
      <c r="I3751" s="26">
        <v>43675.610335648104</v>
      </c>
      <c r="J3751" s="28" t="s">
        <v>52</v>
      </c>
      <c r="K3751" s="28" t="s">
        <v>52</v>
      </c>
      <c r="L3751" s="28" t="s">
        <v>52</v>
      </c>
      <c r="M3751" s="28" t="s">
        <v>52</v>
      </c>
      <c r="N3751" s="28" t="s">
        <v>52</v>
      </c>
    </row>
    <row r="3752" spans="1:14" x14ac:dyDescent="0.15">
      <c r="A3752" s="23" t="str">
        <f>HYPERLINK("https://www.spark-marketing.ru/Card/Person/1028745", "МКДОУ ""ДЕТСКИЙ САД № 20 ""РЕЧЕНЬКА""")</f>
        <v>МКДОУ "ДЕТСКИЙ САД № 20 "РЕЧЕНЬКА"</v>
      </c>
      <c r="B3752" s="24" t="s">
        <v>5415</v>
      </c>
      <c r="C3752" s="25">
        <v>120690.29</v>
      </c>
      <c r="D3752" s="22" t="s">
        <v>5416</v>
      </c>
      <c r="E3752" s="22" t="s">
        <v>84</v>
      </c>
      <c r="F3752" s="23" t="str">
        <f>HYPERLINK("https://www.spark-marketing.ru/Card/Lot/72441133", "Работы по установке системы видеонаблюдения")</f>
        <v>Работы по установке системы видеонаблюдения</v>
      </c>
      <c r="G3752" s="22" t="s">
        <v>50</v>
      </c>
      <c r="H3752" s="22" t="s">
        <v>195</v>
      </c>
      <c r="I3752" s="26">
        <v>43675.596504629597</v>
      </c>
      <c r="J3752" s="28" t="s">
        <v>52</v>
      </c>
      <c r="K3752" s="28" t="s">
        <v>52</v>
      </c>
      <c r="L3752" s="28" t="s">
        <v>52</v>
      </c>
      <c r="M3752" s="28" t="s">
        <v>52</v>
      </c>
      <c r="N3752" s="28" t="s">
        <v>52</v>
      </c>
    </row>
    <row r="3753" spans="1:14" x14ac:dyDescent="0.15">
      <c r="A3753" s="23" t="str">
        <f>HYPERLINK("https://www.spark-marketing.ru/Card/Person/18510", "ФКУЗ ""ЧИТИНСКАЯ ПЧС"" РОСПОТРЕБНАДЗОРА")</f>
        <v>ФКУЗ "ЧИТИНСКАЯ ПЧС" РОСПОТРЕБНАДЗОРА</v>
      </c>
      <c r="B3753" s="24" t="s">
        <v>5417</v>
      </c>
      <c r="C3753" s="25">
        <v>209490</v>
      </c>
      <c r="D3753" s="22" t="s">
        <v>5418</v>
      </c>
      <c r="E3753" s="22" t="s">
        <v>59</v>
      </c>
      <c r="F3753" s="23" t="str">
        <f>HYPERLINK("https://www.spark-marketing.ru/Card/Lot/72457824", "монтаж и наладка охранной сигнализации в помещениях ФКУЗ ""Читинская ПЧС"" Роспотребнадзора")</f>
        <v>монтаж и наладка охранной сигнализации в помещениях ФКУЗ "Читинская ПЧС" Роспотребнадзора</v>
      </c>
      <c r="G3753" s="22" t="s">
        <v>473</v>
      </c>
      <c r="H3753" s="22" t="s">
        <v>476</v>
      </c>
      <c r="I3753" s="26">
        <v>43675.569710648102</v>
      </c>
      <c r="J3753" s="28" t="s">
        <v>52</v>
      </c>
      <c r="K3753" s="28" t="s">
        <v>52</v>
      </c>
      <c r="L3753" s="28" t="s">
        <v>52</v>
      </c>
      <c r="M3753" s="28" t="s">
        <v>52</v>
      </c>
      <c r="N3753" s="28" t="s">
        <v>52</v>
      </c>
    </row>
    <row r="3754" spans="1:14" hidden="1" outlineLevel="1" x14ac:dyDescent="0.2">
      <c r="A3754" s="23" t="str">
        <f>HYPERLINK("https://www.spark-marketing.ru/Card/Person/18510", "ФКУЗ ""ЧИТИНСКАЯ ПЧС"" РОСПОТРЕБНАДЗОРА")</f>
        <v>ФКУЗ "ЧИТИНСКАЯ ПЧС" РОСПОТРЕБНАДЗОРА</v>
      </c>
      <c r="B3754" s="24" t="s">
        <v>5417</v>
      </c>
      <c r="C3754" s="25">
        <v>209490</v>
      </c>
      <c r="D3754" s="22" t="s">
        <v>5418</v>
      </c>
      <c r="E3754" s="22" t="s">
        <v>59</v>
      </c>
      <c r="F3754" s="23" t="str">
        <f>HYPERLINK("https://www.spark-marketing.ru/Card/Lot/72457824", "монтаж и наладка охранной сигнализации в помещениях ФКУЗ ""Читинская ПЧС"" Роспотребнадзора")</f>
        <v>монтаж и наладка охранной сигнализации в помещениях ФКУЗ "Читинская ПЧС" Роспотребнадзора</v>
      </c>
      <c r="G3754" s="22" t="s">
        <v>473</v>
      </c>
      <c r="H3754" s="22" t="s">
        <v>476</v>
      </c>
      <c r="I3754" s="26">
        <v>43675.569710648102</v>
      </c>
      <c r="J3754" s="23" t="str">
        <f>HYPERLINK("https://www.spark-marketing.ru/Card/Person/63731", "ООО ""СПЕЦМОНТАЖ""")</f>
        <v>ООО "СПЕЦМОНТАЖ"</v>
      </c>
      <c r="K3754" s="24" t="s">
        <v>5419</v>
      </c>
      <c r="L3754" s="28" t="s">
        <v>52</v>
      </c>
      <c r="M3754" s="25">
        <v>69131.7</v>
      </c>
      <c r="N3754" s="27">
        <v>0.67</v>
      </c>
    </row>
    <row r="3755" spans="1:14" ht="12.75" hidden="1" outlineLevel="1" x14ac:dyDescent="0.2">
      <c r="A3755" s="23" t="str">
        <f>HYPERLINK("https://www.spark-marketing.ru/Card/Person/18510", "ФКУЗ ""ЧИТИНСКАЯ ПЧС"" РОСПОТРЕБНАДЗОРА")</f>
        <v>ФКУЗ "ЧИТИНСКАЯ ПЧС" РОСПОТРЕБНАДЗОРА</v>
      </c>
      <c r="B3755" s="24" t="s">
        <v>5417</v>
      </c>
      <c r="C3755" s="25">
        <v>209490</v>
      </c>
      <c r="D3755" s="22" t="s">
        <v>5418</v>
      </c>
      <c r="E3755" s="22" t="s">
        <v>59</v>
      </c>
      <c r="F3755" s="23" t="str">
        <f>HYPERLINK("https://www.spark-marketing.ru/Card/Lot/72457824", "монтаж и наладка охранной сигнализации в помещениях ФКУЗ ""Читинская ПЧС"" Роспотребнадзора")</f>
        <v>монтаж и наладка охранной сигнализации в помещениях ФКУЗ "Читинская ПЧС" Роспотребнадзора</v>
      </c>
      <c r="G3755" s="22" t="s">
        <v>473</v>
      </c>
      <c r="H3755" s="22" t="s">
        <v>476</v>
      </c>
      <c r="I3755" s="26">
        <v>43675.569710648102</v>
      </c>
      <c r="J3755" s="23" t="str">
        <f>HYPERLINK("https://www.spark-marketing.ru/Card/Person/680936", "ООО ""СИГНАЛЬНЫЕ СИСТЕМЫ""")</f>
        <v>ООО "СИГНАЛЬНЫЕ СИСТЕМЫ"</v>
      </c>
      <c r="K3755" s="24" t="s">
        <v>5420</v>
      </c>
      <c r="L3755" s="22" t="s">
        <v>10</v>
      </c>
      <c r="M3755" s="25">
        <v>68084.25</v>
      </c>
      <c r="N3755" s="27">
        <v>0.67500000000000004</v>
      </c>
    </row>
    <row r="3756" spans="1:14" x14ac:dyDescent="0.15">
      <c r="A3756" s="23" t="str">
        <f>HYPERLINK("https://www.spark-marketing.ru/Card/Person/15070", "АДМИНИСТРАЦИЯ МУНИЦИПАЛЬНОГО ОБРАЗОВАНИЯ ""ГОРОДСКОЙ ОКРУГ ЧЕРНОГОЛОВКА""")</f>
        <v>АДМИНИСТРАЦИЯ МУНИЦИПАЛЬНОГО ОБРАЗОВАНИЯ "ГОРОДСКОЙ ОКРУГ ЧЕРНОГОЛОВКА"</v>
      </c>
      <c r="B3756" s="24" t="s">
        <v>5421</v>
      </c>
      <c r="C3756" s="25">
        <v>216300</v>
      </c>
      <c r="D3756" s="22" t="s">
        <v>5422</v>
      </c>
      <c r="E3756" s="22" t="s">
        <v>84</v>
      </c>
      <c r="F3756" s="23" t="str">
        <f>HYPERLINK("https://www.spark-marketing.ru/Card/Lot/72447507", "Оказание услуг по установке и обслуживанию системы видеонаблюдения в здании Администрации г.о.Черноголовка Московской области")</f>
        <v>Оказание услуг по установке и обслуживанию системы видеонаблюдения в здании Администрации г.о.Черноголовка Московской области</v>
      </c>
      <c r="G3756" s="22" t="s">
        <v>50</v>
      </c>
      <c r="H3756" s="22" t="s">
        <v>50</v>
      </c>
      <c r="I3756" s="26">
        <v>43675.521643518499</v>
      </c>
      <c r="J3756" s="23" t="str">
        <f>HYPERLINK("https://www.spark-marketing.ru/Card/Person/700382", "ООО ""АРТЭКС""")</f>
        <v>ООО "АРТЭКС"</v>
      </c>
      <c r="K3756" s="24" t="s">
        <v>5423</v>
      </c>
      <c r="L3756" s="28" t="s">
        <v>52</v>
      </c>
      <c r="M3756" s="28" t="s">
        <v>52</v>
      </c>
      <c r="N3756" s="28" t="s">
        <v>52</v>
      </c>
    </row>
    <row r="3757" spans="1:14" hidden="1" outlineLevel="1" x14ac:dyDescent="0.15">
      <c r="A3757" s="23" t="str">
        <f>HYPERLINK("https://www.spark-marketing.ru/Card/Person/15070", "АДМИНИСТРАЦИЯ МУНИЦИПАЛЬНОГО ОБРАЗОВАНИЯ ""ГОРОДСКОЙ ОКРУГ ЧЕРНОГОЛОВКА""")</f>
        <v>АДМИНИСТРАЦИЯ МУНИЦИПАЛЬНОГО ОБРАЗОВАНИЯ "ГОРОДСКОЙ ОКРУГ ЧЕРНОГОЛОВКА"</v>
      </c>
      <c r="B3757" s="24" t="s">
        <v>5421</v>
      </c>
      <c r="C3757" s="25">
        <v>216300</v>
      </c>
      <c r="D3757" s="22" t="s">
        <v>5422</v>
      </c>
      <c r="E3757" s="22" t="s">
        <v>84</v>
      </c>
      <c r="F3757" s="23" t="str">
        <f>HYPERLINK("https://www.spark-marketing.ru/Card/Lot/72447507", "Оказание услуг по установке и обслуживанию системы видеонаблюдения в здании Администрации г.о.Черноголовка Московской области")</f>
        <v>Оказание услуг по установке и обслуживанию системы видеонаблюдения в здании Администрации г.о.Черноголовка Московской области</v>
      </c>
      <c r="G3757" s="22" t="s">
        <v>50</v>
      </c>
      <c r="H3757" s="22" t="s">
        <v>50</v>
      </c>
      <c r="I3757" s="26">
        <v>43675.521643518499</v>
      </c>
      <c r="J3757" s="23" t="str">
        <f>HYPERLINK("https://www.spark-marketing.ru/Card/Person/700382", "ООО ""АРТЭКС""")</f>
        <v>ООО "АРТЭКС"</v>
      </c>
      <c r="K3757" s="24" t="s">
        <v>5423</v>
      </c>
      <c r="L3757" s="22" t="s">
        <v>10</v>
      </c>
      <c r="M3757" s="28" t="s">
        <v>52</v>
      </c>
      <c r="N3757" s="28" t="s">
        <v>52</v>
      </c>
    </row>
    <row r="3758" spans="1:14" x14ac:dyDescent="0.15">
      <c r="A3758" s="23" t="str">
        <f>HYPERLINK("https://www.spark-marketing.ru/Card/Person/149378", "МКОУ ""БОБРОВСКАЯ СОШ""")</f>
        <v>МКОУ "БОБРОВСКАЯ СОШ"</v>
      </c>
      <c r="B3758" s="24" t="s">
        <v>5424</v>
      </c>
      <c r="C3758" s="25">
        <v>97211</v>
      </c>
      <c r="D3758" s="22" t="s">
        <v>5425</v>
      </c>
      <c r="E3758" s="22" t="s">
        <v>84</v>
      </c>
      <c r="F3758" s="23" t="str">
        <f>HYPERLINK("https://www.spark-marketing.ru/Card/Lot/72438460", "эл.магазин на выполнение работ по установке системы видеонаблюдения")</f>
        <v>эл.магазин на выполнение работ по установке системы видеонаблюдения</v>
      </c>
      <c r="G3758" s="22" t="s">
        <v>209</v>
      </c>
      <c r="H3758" s="22" t="s">
        <v>5208</v>
      </c>
      <c r="I3758" s="26">
        <v>43675.535416666702</v>
      </c>
      <c r="J3758" s="28" t="s">
        <v>52</v>
      </c>
      <c r="K3758" s="28" t="s">
        <v>52</v>
      </c>
      <c r="L3758" s="28" t="s">
        <v>52</v>
      </c>
      <c r="M3758" s="28" t="s">
        <v>52</v>
      </c>
      <c r="N3758" s="28" t="s">
        <v>52</v>
      </c>
    </row>
    <row r="3759" spans="1:14" x14ac:dyDescent="0.15">
      <c r="A3759" s="23" t="str">
        <f>HYPERLINK("https://www.spark-marketing.ru/Card/Person/104539", "АДМИНИСТРАЦИЯ МО КРАСНОКОММУНАРСКИЙ ПОССОВЕТ САКМАРСКОГО РАЙОНА ОРЕНБУРГСКОЙ ОБЛАСТИ")</f>
        <v>АДМИНИСТРАЦИЯ МО КРАСНОКОММУНАРСКИЙ ПОССОВЕТ САКМАРСКОГО РАЙОНА ОРЕНБУРГСКОЙ ОБЛАСТИ</v>
      </c>
      <c r="B3759" s="24" t="s">
        <v>5426</v>
      </c>
      <c r="C3759" s="25">
        <v>2961527.46</v>
      </c>
      <c r="D3759" s="22" t="s">
        <v>5427</v>
      </c>
      <c r="E3759" s="22" t="s">
        <v>5251</v>
      </c>
      <c r="F3759" s="23" t="str">
        <f>HYPERLINK("https://www.spark-marketing.ru/Card/Lot/72449544", "Поставка, установка и ввод в эксплуатацию оборудования сцены")</f>
        <v>Поставка, установка и ввод в эксплуатацию оборудования сцены</v>
      </c>
      <c r="G3759" s="22" t="s">
        <v>384</v>
      </c>
      <c r="H3759" s="22" t="s">
        <v>384</v>
      </c>
      <c r="I3759" s="26">
        <v>43675.485914351899</v>
      </c>
      <c r="J3759" s="23" t="str">
        <f>HYPERLINK("https://www.spark-marketing.ru/Card/Person/2094504", "ООО ТПО ""СЦЕНА""")</f>
        <v>ООО ТПО "СЦЕНА"</v>
      </c>
      <c r="K3759" s="24" t="s">
        <v>5252</v>
      </c>
      <c r="L3759" s="22" t="s">
        <v>10</v>
      </c>
      <c r="M3759" s="28" t="s">
        <v>52</v>
      </c>
      <c r="N3759" s="28" t="s">
        <v>52</v>
      </c>
    </row>
    <row r="3760" spans="1:14" x14ac:dyDescent="0.15">
      <c r="A3760" s="23" t="str">
        <f>HYPERLINK("https://www.spark-marketing.ru/Card/Person/242944", "МБОУ ТЕХНИЧЕСКИЙ ЛИЦЕЙ № 176")</f>
        <v>МБОУ ТЕХНИЧЕСКИЙ ЛИЦЕЙ № 176</v>
      </c>
      <c r="B3760" s="24" t="s">
        <v>5428</v>
      </c>
      <c r="C3760" s="25">
        <v>140617.20000000001</v>
      </c>
      <c r="D3760" s="22" t="s">
        <v>5429</v>
      </c>
      <c r="E3760" s="22" t="s">
        <v>84</v>
      </c>
      <c r="F3760" s="23" t="str">
        <f>HYPERLINK("https://www.spark-marketing.ru/Card/Lot/72454226", "Установка системы видеонаблюдения в МБОУ технический лицей №176 (модернизация)")</f>
        <v>Установка системы видеонаблюдения в МБОУ технический лицей №176 (модернизация)</v>
      </c>
      <c r="G3760" s="22" t="s">
        <v>209</v>
      </c>
      <c r="H3760" s="22" t="s">
        <v>2703</v>
      </c>
      <c r="I3760" s="26">
        <v>43675.484178240702</v>
      </c>
      <c r="J3760" s="28" t="s">
        <v>52</v>
      </c>
      <c r="K3760" s="28" t="s">
        <v>52</v>
      </c>
      <c r="L3760" s="28" t="s">
        <v>52</v>
      </c>
      <c r="M3760" s="28" t="s">
        <v>52</v>
      </c>
      <c r="N3760" s="28" t="s">
        <v>52</v>
      </c>
    </row>
    <row r="3761" spans="1:14" ht="12.75" hidden="1" outlineLevel="1" x14ac:dyDescent="0.2">
      <c r="A3761" s="23" t="str">
        <f>HYPERLINK("https://www.spark-marketing.ru/Card/Person/242944", "МБОУ ТЕХНИЧЕСКИЙ ЛИЦЕЙ № 176")</f>
        <v>МБОУ ТЕХНИЧЕСКИЙ ЛИЦЕЙ № 176</v>
      </c>
      <c r="B3761" s="24" t="s">
        <v>5428</v>
      </c>
      <c r="C3761" s="25">
        <v>140617.20000000001</v>
      </c>
      <c r="D3761" s="22" t="s">
        <v>5429</v>
      </c>
      <c r="E3761" s="22" t="s">
        <v>84</v>
      </c>
      <c r="F3761" s="23" t="str">
        <f>HYPERLINK("https://www.spark-marketing.ru/Card/Lot/72454226", "Установка системы видеонаблюдения в МБОУ технический лицей №176 (модернизация)")</f>
        <v>Установка системы видеонаблюдения в МБОУ технический лицей №176 (модернизация)</v>
      </c>
      <c r="G3761" s="22" t="s">
        <v>209</v>
      </c>
      <c r="H3761" s="22" t="s">
        <v>2703</v>
      </c>
      <c r="I3761" s="26">
        <v>43675.484178240702</v>
      </c>
      <c r="J3761" s="23" t="str">
        <f>HYPERLINK("https://www.spark-marketing.ru/Card/Person/427260", "ООО ""ГАРАНТ СЕРВИС""")</f>
        <v>ООО "ГАРАНТ СЕРВИС"</v>
      </c>
      <c r="K3761" s="24" t="s">
        <v>3316</v>
      </c>
      <c r="L3761" s="22" t="s">
        <v>10</v>
      </c>
      <c r="M3761" s="25">
        <v>110384.41</v>
      </c>
      <c r="N3761" s="27">
        <v>0.21500065425851175</v>
      </c>
    </row>
    <row r="3762" spans="1:14" hidden="1" outlineLevel="1" x14ac:dyDescent="0.2">
      <c r="A3762" s="23" t="str">
        <f>HYPERLINK("https://www.spark-marketing.ru/Card/Person/242944", "МБОУ ТЕХНИЧЕСКИЙ ЛИЦЕЙ № 176")</f>
        <v>МБОУ ТЕХНИЧЕСКИЙ ЛИЦЕЙ № 176</v>
      </c>
      <c r="B3762" s="24" t="s">
        <v>5428</v>
      </c>
      <c r="C3762" s="25">
        <v>140617.20000000001</v>
      </c>
      <c r="D3762" s="22" t="s">
        <v>5429</v>
      </c>
      <c r="E3762" s="22" t="s">
        <v>84</v>
      </c>
      <c r="F3762" s="23" t="str">
        <f>HYPERLINK("https://www.spark-marketing.ru/Card/Lot/72454226", "Установка системы видеонаблюдения в МБОУ технический лицей №176 (модернизация)")</f>
        <v>Установка системы видеонаблюдения в МБОУ технический лицей №176 (модернизация)</v>
      </c>
      <c r="G3762" s="22" t="s">
        <v>209</v>
      </c>
      <c r="H3762" s="22" t="s">
        <v>2703</v>
      </c>
      <c r="I3762" s="26">
        <v>43675.484178240702</v>
      </c>
      <c r="J3762" s="23" t="str">
        <f>HYPERLINK("https://www.spark-marketing.ru/Card/Person/4955049", "Темников Максим Анатольевич")</f>
        <v>Темников Максим Анатольевич</v>
      </c>
      <c r="K3762" s="24" t="s">
        <v>5430</v>
      </c>
      <c r="L3762" s="28" t="s">
        <v>52</v>
      </c>
      <c r="M3762" s="25">
        <v>111087.5</v>
      </c>
      <c r="N3762" s="27">
        <v>0.21000062581248952</v>
      </c>
    </row>
    <row r="3763" spans="1:14" x14ac:dyDescent="0.15">
      <c r="A3763" s="23" t="str">
        <f>HYPERLINK("https://www.spark-marketing.ru/Card/Person/4343563", "РТРС")</f>
        <v>РТРС</v>
      </c>
      <c r="B3763" s="24" t="s">
        <v>1414</v>
      </c>
      <c r="C3763" s="25">
        <v>799026</v>
      </c>
      <c r="D3763" s="22" t="s">
        <v>5431</v>
      </c>
      <c r="E3763" s="22" t="s">
        <v>49</v>
      </c>
      <c r="F3763" s="23" t="str">
        <f>HYPERLINK("https://www.spark-marketing.ru/Card/Lot/72462815", "Установка системы видеонаблюдения на РТС Сергач")</f>
        <v>Установка системы видеонаблюдения на РТС Сергач</v>
      </c>
      <c r="G3763" s="22" t="s">
        <v>64</v>
      </c>
      <c r="H3763" s="22" t="s">
        <v>64</v>
      </c>
      <c r="I3763" s="26">
        <v>43675.478865740697</v>
      </c>
      <c r="J3763" s="28" t="s">
        <v>52</v>
      </c>
      <c r="K3763" s="28" t="s">
        <v>52</v>
      </c>
      <c r="L3763" s="28" t="s">
        <v>52</v>
      </c>
      <c r="M3763" s="28" t="s">
        <v>52</v>
      </c>
      <c r="N3763" s="28" t="s">
        <v>52</v>
      </c>
    </row>
    <row r="3764" spans="1:14" x14ac:dyDescent="0.15">
      <c r="A3764" s="23" t="str">
        <f>HYPERLINK("https://www.spark-marketing.ru/Card/Person/4348584", "АО ""АТОМ-ОХРАНА""")</f>
        <v>АО "АТОМ-ОХРАНА"</v>
      </c>
      <c r="B3764" s="24" t="s">
        <v>1036</v>
      </c>
      <c r="C3764" s="28" t="s">
        <v>52</v>
      </c>
      <c r="D3764" s="22" t="s">
        <v>5432</v>
      </c>
      <c r="E3764" s="22" t="s">
        <v>53</v>
      </c>
      <c r="F3764" s="23" t="str">
        <f>HYPERLINK("https://www.spark-marketing.ru/Card/Lot/72441288", "оказание услуг по изготовлению карт водителя, замене карт предприятия для тахографов и техническому обслуживанию тахографов, установленных в транспортные средства отряда № 501 и отдельного отряда 502 МУВО № 5 АО «Атом-охрана» (1308308)")</f>
        <v>оказание услуг по изготовлению карт водителя, замене карт предприятия для тахографов и техническому обслуживанию тахографов, установленных в транспортные средства отряда № 501 и отдельного отряда 502 МУВО № 5 АО «Атом-охрана» (1308308)</v>
      </c>
      <c r="G3764" s="22" t="s">
        <v>55</v>
      </c>
      <c r="H3764" s="22" t="s">
        <v>55</v>
      </c>
      <c r="I3764" s="26">
        <v>43675.477708333303</v>
      </c>
      <c r="J3764" s="28" t="s">
        <v>52</v>
      </c>
      <c r="K3764" s="28" t="s">
        <v>52</v>
      </c>
      <c r="L3764" s="28" t="s">
        <v>52</v>
      </c>
      <c r="M3764" s="28" t="s">
        <v>52</v>
      </c>
      <c r="N3764" s="28" t="s">
        <v>52</v>
      </c>
    </row>
    <row r="3765" spans="1:14" x14ac:dyDescent="0.15">
      <c r="A3765" s="23" t="str">
        <f>HYPERLINK("https://www.spark-marketing.ru/Card/Person/1079304", "МБОУ СОШ № 2")</f>
        <v>МБОУ СОШ № 2</v>
      </c>
      <c r="B3765" s="24" t="s">
        <v>5433</v>
      </c>
      <c r="C3765" s="25">
        <v>668163.6</v>
      </c>
      <c r="D3765" s="22" t="s">
        <v>5434</v>
      </c>
      <c r="E3765" s="22" t="s">
        <v>84</v>
      </c>
      <c r="F3765" s="23" t="str">
        <f>HYPERLINK("https://www.spark-marketing.ru/Card/Lot/72454225", "Установка системы видеонаблюдения в МБОУ СОШ № 2 (модернизация)")</f>
        <v>Установка системы видеонаблюдения в МБОУ СОШ № 2 (модернизация)</v>
      </c>
      <c r="G3765" s="22" t="s">
        <v>209</v>
      </c>
      <c r="H3765" s="22" t="s">
        <v>2703</v>
      </c>
      <c r="I3765" s="26">
        <v>43675.484178240702</v>
      </c>
      <c r="J3765" s="28" t="s">
        <v>52</v>
      </c>
      <c r="K3765" s="28" t="s">
        <v>52</v>
      </c>
      <c r="L3765" s="28" t="s">
        <v>52</v>
      </c>
      <c r="M3765" s="28" t="s">
        <v>52</v>
      </c>
      <c r="N3765" s="28" t="s">
        <v>52</v>
      </c>
    </row>
    <row r="3766" spans="1:14" hidden="1" outlineLevel="1" x14ac:dyDescent="0.2">
      <c r="A3766" s="23" t="str">
        <f>HYPERLINK("https://www.spark-marketing.ru/Card/Person/1079304", "МБОУ СОШ № 2")</f>
        <v>МБОУ СОШ № 2</v>
      </c>
      <c r="B3766" s="24" t="s">
        <v>5433</v>
      </c>
      <c r="C3766" s="25">
        <v>668163.6</v>
      </c>
      <c r="D3766" s="22" t="s">
        <v>5434</v>
      </c>
      <c r="E3766" s="22" t="s">
        <v>84</v>
      </c>
      <c r="F3766" s="23" t="str">
        <f>HYPERLINK("https://www.spark-marketing.ru/Card/Lot/72454225", "Установка системы видеонаблюдения в МБОУ СОШ № 2 (модернизация)")</f>
        <v>Установка системы видеонаблюдения в МБОУ СОШ № 2 (модернизация)</v>
      </c>
      <c r="G3766" s="22" t="s">
        <v>209</v>
      </c>
      <c r="H3766" s="22" t="s">
        <v>2703</v>
      </c>
      <c r="I3766" s="26">
        <v>43675.484178240702</v>
      </c>
      <c r="J3766" s="23" t="str">
        <f>HYPERLINK("https://www.spark-marketing.ru/Card/Person/4955049", "Темников Максим Анатольевич")</f>
        <v>Темников Максим Анатольевич</v>
      </c>
      <c r="K3766" s="24" t="s">
        <v>5430</v>
      </c>
      <c r="L3766" s="28" t="s">
        <v>52</v>
      </c>
      <c r="M3766" s="25">
        <v>389730.48</v>
      </c>
      <c r="N3766" s="27">
        <v>0.41671399040594248</v>
      </c>
    </row>
    <row r="3767" spans="1:14" ht="12.75" hidden="1" outlineLevel="1" x14ac:dyDescent="0.2">
      <c r="A3767" s="23" t="str">
        <f>HYPERLINK("https://www.spark-marketing.ru/Card/Person/1079304", "МБОУ СОШ № 2")</f>
        <v>МБОУ СОШ № 2</v>
      </c>
      <c r="B3767" s="24" t="s">
        <v>5433</v>
      </c>
      <c r="C3767" s="25">
        <v>668163.6</v>
      </c>
      <c r="D3767" s="22" t="s">
        <v>5434</v>
      </c>
      <c r="E3767" s="22" t="s">
        <v>84</v>
      </c>
      <c r="F3767" s="23" t="str">
        <f>HYPERLINK("https://www.spark-marketing.ru/Card/Lot/72454225", "Установка системы видеонаблюдения в МБОУ СОШ № 2 (модернизация)")</f>
        <v>Установка системы видеонаблюдения в МБОУ СОШ № 2 (модернизация)</v>
      </c>
      <c r="G3767" s="22" t="s">
        <v>209</v>
      </c>
      <c r="H3767" s="22" t="s">
        <v>2703</v>
      </c>
      <c r="I3767" s="26">
        <v>43675.484178240702</v>
      </c>
      <c r="J3767" s="23" t="str">
        <f>HYPERLINK("https://www.spark-marketing.ru/Card/Person/427260", "ООО ""ГАРАНТ СЕРВИС""")</f>
        <v>ООО "ГАРАНТ СЕРВИС"</v>
      </c>
      <c r="K3767" s="24" t="s">
        <v>3316</v>
      </c>
      <c r="L3767" s="22" t="s">
        <v>10</v>
      </c>
      <c r="M3767" s="25">
        <v>386389.66</v>
      </c>
      <c r="N3767" s="27">
        <v>0.42171399339922139</v>
      </c>
    </row>
    <row r="3768" spans="1:14" x14ac:dyDescent="0.15">
      <c r="A3768" s="23" t="str">
        <f>HYPERLINK("https://www.spark-marketing.ru/Card/Person/4348584", "АО ""АТОМ-ОХРАНА""")</f>
        <v>АО "АТОМ-ОХРАНА"</v>
      </c>
      <c r="B3768" s="24" t="s">
        <v>1036</v>
      </c>
      <c r="C3768" s="25">
        <v>0</v>
      </c>
      <c r="D3768" s="22" t="s">
        <v>5435</v>
      </c>
      <c r="E3768" s="22" t="s">
        <v>53</v>
      </c>
      <c r="F3768" s="23" t="str">
        <f>HYPERLINK("https://www.spark-marketing.ru/Card/Lot/72446249", "мониторинг цен в электронной форме на оказание услуг по изготовлению карт водителя, замене карт предприятия для тахографов и техническому обслуживанию тахографов, установленных в транспортные средства отряда № 501 и отдельного отряда 502 МУВО № 5 АО ...")</f>
        <v>мониторинг цен в электронной форме на оказание услуг по изготовлению карт водителя, замене карт предприятия для тахографов и техническому обслуживанию тахографов, установленных в транспортные средства отряда № 501 и отдельного отряда 502 МУВО № 5 АО ...</v>
      </c>
      <c r="G3768" s="22" t="s">
        <v>55</v>
      </c>
      <c r="H3768" s="22" t="s">
        <v>55</v>
      </c>
      <c r="I3768" s="26">
        <v>43675.477650462999</v>
      </c>
      <c r="J3768" s="28" t="s">
        <v>52</v>
      </c>
      <c r="K3768" s="28" t="s">
        <v>52</v>
      </c>
      <c r="L3768" s="28" t="s">
        <v>52</v>
      </c>
      <c r="M3768" s="28" t="s">
        <v>52</v>
      </c>
      <c r="N3768" s="28" t="s">
        <v>52</v>
      </c>
    </row>
    <row r="3769" spans="1:14" x14ac:dyDescent="0.15">
      <c r="A3769" s="23" t="str">
        <f>HYPERLINK("https://www.spark-marketing.ru/Card/Person/1068402", "МБОУ СОШ № 5")</f>
        <v>МБОУ СОШ № 5</v>
      </c>
      <c r="B3769" s="24" t="s">
        <v>5436</v>
      </c>
      <c r="C3769" s="25">
        <v>610961.02</v>
      </c>
      <c r="D3769" s="22" t="s">
        <v>5437</v>
      </c>
      <c r="E3769" s="22" t="s">
        <v>84</v>
      </c>
      <c r="F3769" s="23" t="str">
        <f>HYPERLINK("https://www.spark-marketing.ru/Card/Lot/72454224", "Установка системы видеонаблюдения в МБОУ СОШ № 5 (модернизация)")</f>
        <v>Установка системы видеонаблюдения в МБОУ СОШ № 5 (модернизация)</v>
      </c>
      <c r="G3769" s="22" t="s">
        <v>209</v>
      </c>
      <c r="H3769" s="22" t="s">
        <v>2703</v>
      </c>
      <c r="I3769" s="26">
        <v>43675.484166666698</v>
      </c>
      <c r="J3769" s="28" t="s">
        <v>52</v>
      </c>
      <c r="K3769" s="28" t="s">
        <v>52</v>
      </c>
      <c r="L3769" s="28" t="s">
        <v>52</v>
      </c>
      <c r="M3769" s="28" t="s">
        <v>52</v>
      </c>
      <c r="N3769" s="28" t="s">
        <v>52</v>
      </c>
    </row>
    <row r="3770" spans="1:14" ht="12.75" hidden="1" outlineLevel="1" x14ac:dyDescent="0.2">
      <c r="A3770" s="23" t="str">
        <f>HYPERLINK("https://www.spark-marketing.ru/Card/Person/1068402", "МБОУ СОШ № 5")</f>
        <v>МБОУ СОШ № 5</v>
      </c>
      <c r="B3770" s="24" t="s">
        <v>5436</v>
      </c>
      <c r="C3770" s="25">
        <v>610961.02</v>
      </c>
      <c r="D3770" s="22" t="s">
        <v>5437</v>
      </c>
      <c r="E3770" s="22" t="s">
        <v>84</v>
      </c>
      <c r="F3770" s="23" t="str">
        <f>HYPERLINK("https://www.spark-marketing.ru/Card/Lot/72454224", "Установка системы видеонаблюдения в МБОУ СОШ № 5 (модернизация)")</f>
        <v>Установка системы видеонаблюдения в МБОУ СОШ № 5 (модернизация)</v>
      </c>
      <c r="G3770" s="22" t="s">
        <v>209</v>
      </c>
      <c r="H3770" s="22" t="s">
        <v>2703</v>
      </c>
      <c r="I3770" s="26">
        <v>43675.484166666698</v>
      </c>
      <c r="J3770" s="23" t="str">
        <f>HYPERLINK("https://www.spark-marketing.ru/Card/Person/427260", "ООО ""ГАРАНТ СЕРВИС""")</f>
        <v>ООО "ГАРАНТ СЕРВИС"</v>
      </c>
      <c r="K3770" s="24" t="s">
        <v>3316</v>
      </c>
      <c r="L3770" s="22" t="s">
        <v>10</v>
      </c>
      <c r="M3770" s="25">
        <v>353081.65</v>
      </c>
      <c r="N3770" s="27">
        <v>0.4220880900061349</v>
      </c>
    </row>
    <row r="3771" spans="1:14" hidden="1" outlineLevel="1" x14ac:dyDescent="0.2">
      <c r="A3771" s="23" t="str">
        <f>HYPERLINK("https://www.spark-marketing.ru/Card/Person/1068402", "МБОУ СОШ № 5")</f>
        <v>МБОУ СОШ № 5</v>
      </c>
      <c r="B3771" s="24" t="s">
        <v>5436</v>
      </c>
      <c r="C3771" s="25">
        <v>610961.02</v>
      </c>
      <c r="D3771" s="22" t="s">
        <v>5437</v>
      </c>
      <c r="E3771" s="22" t="s">
        <v>84</v>
      </c>
      <c r="F3771" s="23" t="str">
        <f>HYPERLINK("https://www.spark-marketing.ru/Card/Lot/72454224", "Установка системы видеонаблюдения в МБОУ СОШ № 5 (модернизация)")</f>
        <v>Установка системы видеонаблюдения в МБОУ СОШ № 5 (модернизация)</v>
      </c>
      <c r="G3771" s="22" t="s">
        <v>209</v>
      </c>
      <c r="H3771" s="22" t="s">
        <v>2703</v>
      </c>
      <c r="I3771" s="26">
        <v>43675.484166666698</v>
      </c>
      <c r="J3771" s="23" t="str">
        <f>HYPERLINK("https://www.spark-marketing.ru/Card/Person/4955049", "Темников Максим Анатольевич")</f>
        <v>Темников Максим Анатольевич</v>
      </c>
      <c r="K3771" s="24" t="s">
        <v>5430</v>
      </c>
      <c r="L3771" s="28" t="s">
        <v>52</v>
      </c>
      <c r="M3771" s="25">
        <v>356136.46</v>
      </c>
      <c r="N3771" s="27">
        <v>0.41708808198598335</v>
      </c>
    </row>
    <row r="3772" spans="1:14" x14ac:dyDescent="0.15">
      <c r="A3772" s="23" t="str">
        <f>HYPERLINK("https://www.spark-marketing.ru/Card/Person/120370", "ФГКУ КОМБИНАТ ""САЯНЫ"" РОСРЕЗЕРВА")</f>
        <v>ФГКУ КОМБИНАТ "САЯНЫ" РОСРЕЗЕРВА</v>
      </c>
      <c r="B3772" s="24" t="s">
        <v>4698</v>
      </c>
      <c r="C3772" s="25">
        <v>16534.5</v>
      </c>
      <c r="D3772" s="22" t="s">
        <v>5438</v>
      </c>
      <c r="E3772" s="22" t="s">
        <v>53</v>
      </c>
      <c r="F3772" s="23" t="str">
        <f>HYPERLINK("https://www.spark-marketing.ru/Card/Lot/72436347", "Услуги пультовой охраны с использованием тревожной кнопки, 2352 шт")</f>
        <v>Услуги пультовой охраны с использованием тревожной кнопки, 2352 шт</v>
      </c>
      <c r="G3772" s="22" t="s">
        <v>640</v>
      </c>
      <c r="H3772" s="22" t="s">
        <v>4700</v>
      </c>
      <c r="I3772" s="26">
        <v>43675.457233796304</v>
      </c>
      <c r="J3772" s="28" t="s">
        <v>52</v>
      </c>
      <c r="K3772" s="28" t="s">
        <v>52</v>
      </c>
      <c r="L3772" s="28" t="s">
        <v>52</v>
      </c>
      <c r="M3772" s="28" t="s">
        <v>52</v>
      </c>
      <c r="N3772" s="28" t="s">
        <v>52</v>
      </c>
    </row>
    <row r="3773" spans="1:14" x14ac:dyDescent="0.15">
      <c r="A3773" s="23" t="str">
        <f>HYPERLINK("https://www.spark-marketing.ru/Card/Person/2265", "ТИПК МВД РОССИИ, ТЮМЕНСКИЙ ИНСТИТУТ ПОВЫШЕНИЯ КВАЛИФИКАЦИИ СОТРУДНИКОВ МВД РОССИИ, ФГКУ ДПО ""ТИПК МВД РОССИИ""")</f>
        <v>ТИПК МВД РОССИИ, ТЮМЕНСКИЙ ИНСТИТУТ ПОВЫШЕНИЯ КВАЛИФИКАЦИИ СОТРУДНИКОВ МВД РОССИИ, ФГКУ ДПО "ТИПК МВД РОССИИ"</v>
      </c>
      <c r="B3773" s="24" t="s">
        <v>5439</v>
      </c>
      <c r="C3773" s="25">
        <v>99485.52</v>
      </c>
      <c r="D3773" s="22" t="s">
        <v>5440</v>
      </c>
      <c r="E3773" s="22" t="s">
        <v>107</v>
      </c>
      <c r="F3773" s="23" t="str">
        <f>HYPERLINK("https://www.spark-marketing.ru/Card/Lot/72435528", "Техническое обслуживание комплекса технических средств охраны, 1 шт")</f>
        <v>Техническое обслуживание комплекса технических средств охраны, 1 шт</v>
      </c>
      <c r="G3773" s="22" t="s">
        <v>893</v>
      </c>
      <c r="H3773" s="22" t="s">
        <v>894</v>
      </c>
      <c r="I3773" s="26">
        <v>43675.405312499999</v>
      </c>
      <c r="J3773" s="28" t="s">
        <v>52</v>
      </c>
      <c r="K3773" s="28" t="s">
        <v>52</v>
      </c>
      <c r="L3773" s="28" t="s">
        <v>52</v>
      </c>
      <c r="M3773" s="28" t="s">
        <v>52</v>
      </c>
      <c r="N3773" s="28" t="s">
        <v>52</v>
      </c>
    </row>
    <row r="3774" spans="1:14" x14ac:dyDescent="0.15">
      <c r="A3774" s="23" t="str">
        <f>HYPERLINK("https://www.spark-marketing.ru/Card/Person/2265", "ТИПК МВД РОССИИ, ТЮМЕНСКИЙ ИНСТИТУТ ПОВЫШЕНИЯ КВАЛИФИКАЦИИ СОТРУДНИКОВ МВД РОССИИ, ФГКУ ДПО ""ТИПК МВД РОССИИ""")</f>
        <v>ТИПК МВД РОССИИ, ТЮМЕНСКИЙ ИНСТИТУТ ПОВЫШЕНИЯ КВАЛИФИКАЦИИ СОТРУДНИКОВ МВД РОССИИ, ФГКУ ДПО "ТИПК МВД РОССИИ"</v>
      </c>
      <c r="B3774" s="24" t="s">
        <v>5439</v>
      </c>
      <c r="C3774" s="25">
        <v>85033.62</v>
      </c>
      <c r="D3774" s="22" t="s">
        <v>5441</v>
      </c>
      <c r="E3774" s="22" t="s">
        <v>5442</v>
      </c>
      <c r="F3774" s="23" t="str">
        <f>HYPERLINK("https://www.spark-marketing.ru/Card/Lot/72455652", "Поставка учебной и научной литературы для формирования библиотечного фонда")</f>
        <v>Поставка учебной и научной литературы для формирования библиотечного фонда</v>
      </c>
      <c r="G3774" s="22" t="s">
        <v>893</v>
      </c>
      <c r="H3774" s="22" t="s">
        <v>894</v>
      </c>
      <c r="I3774" s="26">
        <v>43675.406979166699</v>
      </c>
      <c r="J3774" s="28" t="s">
        <v>52</v>
      </c>
      <c r="K3774" s="28" t="s">
        <v>52</v>
      </c>
      <c r="L3774" s="28" t="s">
        <v>52</v>
      </c>
      <c r="M3774" s="28" t="s">
        <v>52</v>
      </c>
      <c r="N3774" s="28" t="s">
        <v>52</v>
      </c>
    </row>
    <row r="3775" spans="1:14" ht="12.75" hidden="1" outlineLevel="1" x14ac:dyDescent="0.2">
      <c r="A3775" s="23" t="str">
        <f>HYPERLINK("https://www.spark-marketing.ru/Card/Person/2265", "ТИПК МВД РОССИИ, ТЮМЕНСКИЙ ИНСТИТУТ ПОВЫШЕНИЯ КВАЛИФИКАЦИИ СОТРУДНИКОВ МВД РОССИИ, ФГКУ ДПО ""ТИПК МВД РОССИИ""")</f>
        <v>ТИПК МВД РОССИИ, ТЮМЕНСКИЙ ИНСТИТУТ ПОВЫШЕНИЯ КВАЛИФИКАЦИИ СОТРУДНИКОВ МВД РОССИИ, ФГКУ ДПО "ТИПК МВД РОССИИ"</v>
      </c>
      <c r="B3775" s="24" t="s">
        <v>5439</v>
      </c>
      <c r="C3775" s="25">
        <v>85033.62</v>
      </c>
      <c r="D3775" s="22" t="s">
        <v>5441</v>
      </c>
      <c r="E3775" s="22" t="s">
        <v>5442</v>
      </c>
      <c r="F3775" s="23" t="str">
        <f>HYPERLINK("https://www.spark-marketing.ru/Card/Lot/72455652", "Поставка учебной и научной литературы для формирования библиотечного фонда")</f>
        <v>Поставка учебной и научной литературы для формирования библиотечного фонда</v>
      </c>
      <c r="G3775" s="22" t="s">
        <v>893</v>
      </c>
      <c r="H3775" s="22" t="s">
        <v>894</v>
      </c>
      <c r="I3775" s="26">
        <v>43675.406979166699</v>
      </c>
      <c r="J3775" s="23" t="str">
        <f>HYPERLINK("https://www.spark-marketing.ru/Card/Person/187209", "ООО ""РГ - ПРЕСС""")</f>
        <v>ООО "РГ - ПРЕСС"</v>
      </c>
      <c r="K3775" s="24" t="s">
        <v>5443</v>
      </c>
      <c r="L3775" s="22" t="s">
        <v>10</v>
      </c>
      <c r="M3775" s="25">
        <v>84608.45</v>
      </c>
      <c r="N3775" s="27">
        <v>5.0000223441034261E-3</v>
      </c>
    </row>
    <row r="3776" spans="1:14" hidden="1" outlineLevel="1" x14ac:dyDescent="0.2">
      <c r="A3776" s="23" t="str">
        <f>HYPERLINK("https://www.spark-marketing.ru/Card/Person/2265", "ТИПК МВД РОССИИ, ТЮМЕНСКИЙ ИНСТИТУТ ПОВЫШЕНИЯ КВАЛИФИКАЦИИ СОТРУДНИКОВ МВД РОССИИ, ФГКУ ДПО ""ТИПК МВД РОССИИ""")</f>
        <v>ТИПК МВД РОССИИ, ТЮМЕНСКИЙ ИНСТИТУТ ПОВЫШЕНИЯ КВАЛИФИКАЦИИ СОТРУДНИКОВ МВД РОССИИ, ФГКУ ДПО "ТИПК МВД РОССИИ"</v>
      </c>
      <c r="B3776" s="24" t="s">
        <v>5439</v>
      </c>
      <c r="C3776" s="25">
        <v>85033.62</v>
      </c>
      <c r="D3776" s="22" t="s">
        <v>5441</v>
      </c>
      <c r="E3776" s="22" t="s">
        <v>5442</v>
      </c>
      <c r="F3776" s="23" t="str">
        <f>HYPERLINK("https://www.spark-marketing.ru/Card/Lot/72455652", "Поставка учебной и научной литературы для формирования библиотечного фонда")</f>
        <v>Поставка учебной и научной литературы для формирования библиотечного фонда</v>
      </c>
      <c r="G3776" s="22" t="s">
        <v>893</v>
      </c>
      <c r="H3776" s="22" t="s">
        <v>894</v>
      </c>
      <c r="I3776" s="26">
        <v>43675.406979166699</v>
      </c>
      <c r="J3776" s="23" t="str">
        <f>HYPERLINK("https://www.spark-marketing.ru/Card/Person/6273774", "ООО ""ГАЛИЛЕО""")</f>
        <v>ООО "ГАЛИЛЕО"</v>
      </c>
      <c r="K3776" s="24" t="s">
        <v>5444</v>
      </c>
      <c r="L3776" s="28" t="s">
        <v>52</v>
      </c>
      <c r="M3776" s="25">
        <v>84608.45</v>
      </c>
      <c r="N3776" s="27">
        <v>5.0000223441034261E-3</v>
      </c>
    </row>
    <row r="3777" spans="1:14" x14ac:dyDescent="0.15">
      <c r="A3777" s="23" t="str">
        <f>HYPERLINK("https://www.spark-marketing.ru/Card/Person/44860", "МУ ""ДИРЕКЦИЯ МУНИЦИПАЛЬНОГО ЗАКАЗА""")</f>
        <v>МУ "ДИРЕКЦИЯ МУНИЦИПАЛЬНОГО ЗАКАЗА"</v>
      </c>
      <c r="B3777" s="24" t="s">
        <v>5445</v>
      </c>
      <c r="C3777" s="25">
        <v>1186226.49</v>
      </c>
      <c r="D3777" s="22" t="s">
        <v>5446</v>
      </c>
      <c r="E3777" s="22" t="s">
        <v>376</v>
      </c>
      <c r="F3777" s="23" t="str">
        <f>HYPERLINK("https://www.spark-marketing.ru/Card/Lot/72452857", "Поставка и установка светофорного объекта на УДС МО г. Ноябрьск (пр. Мира - ул. Советская)")</f>
        <v>Поставка и установка светофорного объекта на УДС МО г. Ноябрьск (пр. Мира - ул. Советская)</v>
      </c>
      <c r="G3777" s="22" t="s">
        <v>311</v>
      </c>
      <c r="H3777" s="22" t="s">
        <v>311</v>
      </c>
      <c r="I3777" s="26">
        <v>43675.393958333298</v>
      </c>
      <c r="J3777" s="23" t="str">
        <f>HYPERLINK("https://www.spark-marketing.ru/Card/Person/972663", "ООО ""СЕВЕР-СМ""")</f>
        <v>ООО "СЕВЕР-СМ"</v>
      </c>
      <c r="K3777" s="24" t="s">
        <v>5447</v>
      </c>
      <c r="L3777" s="22" t="s">
        <v>10</v>
      </c>
      <c r="M3777" s="28" t="s">
        <v>52</v>
      </c>
      <c r="N3777" s="28" t="s">
        <v>52</v>
      </c>
    </row>
    <row r="3778" spans="1:14" x14ac:dyDescent="0.15">
      <c r="A3778" s="23" t="str">
        <f>HYPERLINK("https://www.spark-marketing.ru/Card/Person/6052008", "ООО ""САПЛ-БИЗ""")</f>
        <v>ООО "САПЛ-БИЗ"</v>
      </c>
      <c r="B3778" s="24" t="s">
        <v>3500</v>
      </c>
      <c r="C3778" s="28" t="s">
        <v>52</v>
      </c>
      <c r="D3778" s="22" t="s">
        <v>5448</v>
      </c>
      <c r="E3778" s="22" t="s">
        <v>53</v>
      </c>
      <c r="F3778" s="23" t="str">
        <f>HYPERLINK("https://www.spark-marketing.ru/Card/Lot/72435985", "Требуется стол-стойка ""Ресепция"", модуль обеспечивает рабочее место администратора или сотрудника охраны, учтены места для установки не только устройств видео-мониторинга и подводки соответствующего оборудования, но и функциональность стола-стойки,...")</f>
        <v>Требуется стол-стойка "Ресепция", модуль обеспечивает рабочее место администратора или сотрудника охраны, учтены места для установки не только устройств видео-мониторинга и подводки соответствующего оборудования, но и функциональность стола-стойки,...</v>
      </c>
      <c r="G3778" s="22" t="s">
        <v>150</v>
      </c>
      <c r="H3778" s="22" t="s">
        <v>1656</v>
      </c>
      <c r="I3778" s="26">
        <v>43675.392905092602</v>
      </c>
      <c r="J3778" s="28" t="s">
        <v>52</v>
      </c>
      <c r="K3778" s="28" t="s">
        <v>52</v>
      </c>
      <c r="L3778" s="28" t="s">
        <v>52</v>
      </c>
      <c r="M3778" s="28" t="s">
        <v>52</v>
      </c>
      <c r="N3778" s="28" t="s">
        <v>52</v>
      </c>
    </row>
    <row r="3779" spans="1:14" x14ac:dyDescent="0.15">
      <c r="A3779" s="23" t="str">
        <f>HYPERLINK("https://www.spark-marketing.ru/Card/Person/16678", "ГБУЗ СО ПТД № 3 ГБУЗ СО ""ПРОТИВОТУБЕРКУЛЕЗНЫЙ ДИСПАНСЕР № 3""")</f>
        <v>ГБУЗ СО ПТД № 3 ГБУЗ СО "ПРОТИВОТУБЕРКУЛЕЗНЫЙ ДИСПАНСЕР № 3"</v>
      </c>
      <c r="B3779" s="24" t="s">
        <v>5449</v>
      </c>
      <c r="C3779" s="25">
        <v>36000</v>
      </c>
      <c r="D3779" s="22" t="s">
        <v>5450</v>
      </c>
      <c r="E3779" s="22" t="s">
        <v>103</v>
      </c>
      <c r="F3779" s="23" t="str">
        <f>HYPERLINK("https://www.spark-marketing.ru/Card/Lot/72455856", "Оказание услуг по техническому обслуживанию системы видеонаблюдения")</f>
        <v>Оказание услуг по техническому обслуживанию системы видеонаблюдения</v>
      </c>
      <c r="G3779" s="22" t="s">
        <v>72</v>
      </c>
      <c r="H3779" s="22" t="s">
        <v>3332</v>
      </c>
      <c r="I3779" s="26">
        <v>43675.380451388897</v>
      </c>
      <c r="J3779" s="28" t="s">
        <v>52</v>
      </c>
      <c r="K3779" s="28" t="s">
        <v>52</v>
      </c>
      <c r="L3779" s="28" t="s">
        <v>52</v>
      </c>
      <c r="M3779" s="28" t="s">
        <v>52</v>
      </c>
      <c r="N3779" s="28" t="s">
        <v>52</v>
      </c>
    </row>
    <row r="3780" spans="1:14" hidden="1" outlineLevel="1" x14ac:dyDescent="0.2">
      <c r="A3780" s="23" t="str">
        <f>HYPERLINK("https://www.spark-marketing.ru/Card/Person/16678", "ГБУЗ СО ПТД № 3 ГБУЗ СО ""ПРОТИВОТУБЕРКУЛЕЗНЫЙ ДИСПАНСЕР № 3""")</f>
        <v>ГБУЗ СО ПТД № 3 ГБУЗ СО "ПРОТИВОТУБЕРКУЛЕЗНЫЙ ДИСПАНСЕР № 3"</v>
      </c>
      <c r="B3780" s="24" t="s">
        <v>5449</v>
      </c>
      <c r="C3780" s="25">
        <v>36000</v>
      </c>
      <c r="D3780" s="22" t="s">
        <v>5450</v>
      </c>
      <c r="E3780" s="22" t="s">
        <v>103</v>
      </c>
      <c r="F3780" s="23" t="str">
        <f>HYPERLINK("https://www.spark-marketing.ru/Card/Lot/72455856", "Оказание услуг по техническому обслуживанию системы видеонаблюдения")</f>
        <v>Оказание услуг по техническому обслуживанию системы видеонаблюдения</v>
      </c>
      <c r="G3780" s="22" t="s">
        <v>72</v>
      </c>
      <c r="H3780" s="22" t="s">
        <v>3332</v>
      </c>
      <c r="I3780" s="26">
        <v>43675.380451388897</v>
      </c>
      <c r="J3780" s="23" t="str">
        <f>HYPERLINK("https://www.spark-marketing.ru/Card/Person/6678782", "Козловских Александр Андреевич")</f>
        <v>Козловских Александр Андреевич</v>
      </c>
      <c r="K3780" s="24" t="s">
        <v>5451</v>
      </c>
      <c r="L3780" s="28" t="s">
        <v>52</v>
      </c>
      <c r="M3780" s="25">
        <v>30239.99</v>
      </c>
      <c r="N3780" s="27">
        <v>0.16000027777777778</v>
      </c>
    </row>
    <row r="3781" spans="1:14" ht="12.75" hidden="1" outlineLevel="1" x14ac:dyDescent="0.2">
      <c r="A3781" s="23" t="str">
        <f>HYPERLINK("https://www.spark-marketing.ru/Card/Person/16678", "ГБУЗ СО ПТД № 3 ГБУЗ СО ""ПРОТИВОТУБЕРКУЛЕЗНЫЙ ДИСПАНСЕР № 3""")</f>
        <v>ГБУЗ СО ПТД № 3 ГБУЗ СО "ПРОТИВОТУБЕРКУЛЕЗНЫЙ ДИСПАНСЕР № 3"</v>
      </c>
      <c r="B3781" s="24" t="s">
        <v>5449</v>
      </c>
      <c r="C3781" s="25">
        <v>36000</v>
      </c>
      <c r="D3781" s="22" t="s">
        <v>5450</v>
      </c>
      <c r="E3781" s="22" t="s">
        <v>103</v>
      </c>
      <c r="F3781" s="23" t="str">
        <f>HYPERLINK("https://www.spark-marketing.ru/Card/Lot/72455856", "Оказание услуг по техническому обслуживанию системы видеонаблюдения")</f>
        <v>Оказание услуг по техническому обслуживанию системы видеонаблюдения</v>
      </c>
      <c r="G3781" s="22" t="s">
        <v>72</v>
      </c>
      <c r="H3781" s="22" t="s">
        <v>3332</v>
      </c>
      <c r="I3781" s="26">
        <v>43675.380451388897</v>
      </c>
      <c r="J3781" s="23" t="str">
        <f>HYPERLINK("https://www.spark-marketing.ru/Card/Person/797349", "ООО ""ПОЖЗАЩИТА-НТ""")</f>
        <v>ООО "ПОЖЗАЩИТА-НТ"</v>
      </c>
      <c r="K3781" s="24" t="s">
        <v>3826</v>
      </c>
      <c r="L3781" s="22" t="s">
        <v>10</v>
      </c>
      <c r="M3781" s="25">
        <v>30060</v>
      </c>
      <c r="N3781" s="27">
        <v>0.16500000000000001</v>
      </c>
    </row>
    <row r="3782" spans="1:14" x14ac:dyDescent="0.15">
      <c r="A3782" s="23" t="str">
        <f>HYPERLINK("https://www.spark-marketing.ru/Card/Person/33992", "ГБУЗ РБ ГДКБ № 17 Г.УФА")</f>
        <v>ГБУЗ РБ ГДКБ № 17 Г.УФА</v>
      </c>
      <c r="B3782" s="24" t="s">
        <v>1300</v>
      </c>
      <c r="C3782" s="25">
        <v>132000</v>
      </c>
      <c r="D3782" s="22" t="s">
        <v>5452</v>
      </c>
      <c r="E3782" s="22" t="s">
        <v>68</v>
      </c>
      <c r="F3782" s="23" t="str">
        <f>HYPERLINK("https://www.spark-marketing.ru/Card/Lot/72433978", "Услуги по пультовой охране.")</f>
        <v>Услуги по пультовой охране.</v>
      </c>
      <c r="G3782" s="22" t="s">
        <v>100</v>
      </c>
      <c r="H3782" s="22" t="s">
        <v>373</v>
      </c>
      <c r="I3782" s="26">
        <v>43675.368425925903</v>
      </c>
      <c r="J3782" s="23" t="str">
        <f>HYPERLINK("https://www.spark-marketing.ru/Card/Person/288624", "ООО ЧОП ""ДАН""")</f>
        <v>ООО ЧОП "ДАН"</v>
      </c>
      <c r="K3782" s="24" t="s">
        <v>5453</v>
      </c>
      <c r="L3782" s="22" t="s">
        <v>10</v>
      </c>
      <c r="M3782" s="28" t="s">
        <v>52</v>
      </c>
      <c r="N3782" s="28" t="s">
        <v>52</v>
      </c>
    </row>
    <row r="3783" spans="1:14" x14ac:dyDescent="0.15">
      <c r="A3783" s="23" t="str">
        <f>HYPERLINK("https://www.spark-marketing.ru/Card/Person/820516", "МБУ ""ЦЕНТР КУЛЬТУРЫ""")</f>
        <v>МБУ "ЦЕНТР КУЛЬТУРЫ"</v>
      </c>
      <c r="B3783" s="24" t="s">
        <v>5454</v>
      </c>
      <c r="C3783" s="25">
        <v>5000000</v>
      </c>
      <c r="D3783" s="22" t="s">
        <v>5455</v>
      </c>
      <c r="E3783" s="22" t="s">
        <v>194</v>
      </c>
      <c r="F3783" s="23" t="str">
        <f>HYPERLINK("https://www.spark-marketing.ru/Card/Lot/72447063", "поставка и установка комплекта звукового и видеооборудования для нужд МБУ ""Центр культуры Ковылкинского муниципального района""")</f>
        <v>поставка и установка комплекта звукового и видеооборудования для нужд МБУ "Центр культуры Ковылкинского муниципального района"</v>
      </c>
      <c r="G3783" s="22" t="s">
        <v>331</v>
      </c>
      <c r="H3783" s="22" t="s">
        <v>5456</v>
      </c>
      <c r="I3783" s="26">
        <v>43675.373090277797</v>
      </c>
      <c r="J3783" s="23" t="str">
        <f>HYPERLINK("https://www.spark-marketing.ru/Card/Person/6428350", "Белов Владислав Викторович")</f>
        <v>Белов Владислав Викторович</v>
      </c>
      <c r="K3783" s="24" t="s">
        <v>5457</v>
      </c>
      <c r="L3783" s="22" t="s">
        <v>10</v>
      </c>
      <c r="M3783" s="28" t="s">
        <v>52</v>
      </c>
      <c r="N3783" s="28" t="s">
        <v>52</v>
      </c>
    </row>
    <row r="3784" spans="1:14" x14ac:dyDescent="0.15">
      <c r="A3784" s="23" t="str">
        <f>HYPERLINK("https://www.spark-marketing.ru/Card/Person/6052008", "ООО ""САПЛ-БИЗ""")</f>
        <v>ООО "САПЛ-БИЗ"</v>
      </c>
      <c r="B3784" s="24" t="s">
        <v>3500</v>
      </c>
      <c r="C3784" s="28" t="s">
        <v>52</v>
      </c>
      <c r="D3784" s="22" t="s">
        <v>5458</v>
      </c>
      <c r="E3784" s="22" t="s">
        <v>53</v>
      </c>
      <c r="F3784" s="23" t="str">
        <f>HYPERLINK("https://www.spark-marketing.ru/Card/Lot/72434976", "Требуется стол-стойка ""Ресепция"", модуль обеспечивает рабочее место администратора или сотрудника охраны, учтены места для установки не только устройств видео-мониторинга и подводки соответствующего оборудования, но и функциональность стола-стойки,...")</f>
        <v>Требуется стол-стойка "Ресепция", модуль обеспечивает рабочее место администратора или сотрудника охраны, учтены места для установки не только устройств видео-мониторинга и подводки соответствующего оборудования, но и функциональность стола-стойки,...</v>
      </c>
      <c r="G3784" s="22" t="s">
        <v>150</v>
      </c>
      <c r="H3784" s="22" t="s">
        <v>1656</v>
      </c>
      <c r="I3784" s="26">
        <v>43675.336666666699</v>
      </c>
      <c r="J3784" s="28" t="s">
        <v>52</v>
      </c>
      <c r="K3784" s="28" t="s">
        <v>52</v>
      </c>
      <c r="L3784" s="28" t="s">
        <v>52</v>
      </c>
      <c r="M3784" s="28" t="s">
        <v>52</v>
      </c>
      <c r="N3784" s="28" t="s">
        <v>52</v>
      </c>
    </row>
    <row r="3785" spans="1:14" x14ac:dyDescent="0.15">
      <c r="A3785" s="23" t="str">
        <f>HYPERLINK("https://www.spark-marketing.ru/Card/Person/82368", "МБОУ ""ШКОЛА № 161""")</f>
        <v>МБОУ "ШКОЛА № 161"</v>
      </c>
      <c r="B3785" s="24" t="s">
        <v>5459</v>
      </c>
      <c r="C3785" s="25">
        <v>9000</v>
      </c>
      <c r="D3785" s="22" t="s">
        <v>5460</v>
      </c>
      <c r="E3785" s="22" t="s">
        <v>53</v>
      </c>
      <c r="F3785" s="23" t="str">
        <f>HYPERLINK("https://www.spark-marketing.ru/Card/Lot/73775361", "Установка тревожной кнопки (сигнализации)")</f>
        <v>Установка тревожной кнопки (сигнализации)</v>
      </c>
      <c r="G3785" s="22" t="s">
        <v>204</v>
      </c>
      <c r="H3785" s="22" t="s">
        <v>303</v>
      </c>
      <c r="I3785" s="26">
        <v>43675.685416666704</v>
      </c>
      <c r="J3785" s="28" t="s">
        <v>52</v>
      </c>
      <c r="K3785" s="28" t="s">
        <v>52</v>
      </c>
      <c r="L3785" s="28" t="s">
        <v>52</v>
      </c>
      <c r="M3785" s="28" t="s">
        <v>52</v>
      </c>
      <c r="N3785" s="28" t="s">
        <v>52</v>
      </c>
    </row>
    <row r="3786" spans="1:14" x14ac:dyDescent="0.15">
      <c r="A3786" s="23" t="str">
        <f>HYPERLINK("https://www.spark-marketing.ru/Card/Person/30759", "ПАО ""МТС""")</f>
        <v>ПАО "МТС"</v>
      </c>
      <c r="B3786" s="24" t="s">
        <v>1834</v>
      </c>
      <c r="C3786" s="28" t="s">
        <v>52</v>
      </c>
      <c r="D3786" s="28" t="s">
        <v>52</v>
      </c>
      <c r="E3786" s="22" t="s">
        <v>53</v>
      </c>
      <c r="F3786" s="23" t="str">
        <f>HYPERLINK("https://www.spark-marketing.ru/Card/Lot/72437761", "Уведомление о проведении открытого запроса предложений на монтаж, ТО и ремонтно восстановительные работы систем видеонаблюдения на объектах СБ регионов АО РТК (Торги № 99709)")</f>
        <v>Уведомление о проведении открытого запроса предложений на монтаж, ТО и ремонтно восстановительные работы систем видеонаблюдения на объектах СБ регионов АО РТК (Торги № 99709)</v>
      </c>
      <c r="G3786" s="22" t="s">
        <v>55</v>
      </c>
      <c r="H3786" s="22" t="s">
        <v>55</v>
      </c>
      <c r="I3786" s="26">
        <v>43675</v>
      </c>
      <c r="J3786" s="28" t="s">
        <v>52</v>
      </c>
      <c r="K3786" s="28" t="s">
        <v>52</v>
      </c>
      <c r="L3786" s="28" t="s">
        <v>52</v>
      </c>
      <c r="M3786" s="28" t="s">
        <v>52</v>
      </c>
      <c r="N3786" s="28" t="s">
        <v>52</v>
      </c>
    </row>
    <row r="3787" spans="1:14" x14ac:dyDescent="0.15">
      <c r="A3787" s="23" t="str">
        <f>HYPERLINK("https://www.spark-marketing.ru/Card/Person/540586", "МОМВД РОССИИ ""САСОВСКИЙ""")</f>
        <v>МОМВД РОССИИ "САСОВСКИЙ"</v>
      </c>
      <c r="B3787" s="24" t="s">
        <v>5408</v>
      </c>
      <c r="C3787" s="25">
        <v>11892.72</v>
      </c>
      <c r="D3787" s="22" t="s">
        <v>5461</v>
      </c>
      <c r="E3787" s="22" t="s">
        <v>68</v>
      </c>
      <c r="F3787" s="23" t="str">
        <f>HYPERLINK("https://www.spark-marketing.ru/Card/Lot/72382131", "Централизованная охрана объектов, 7 усл. ед")</f>
        <v>Централизованная охрана объектов, 7 усл. ед</v>
      </c>
      <c r="G3787" s="22" t="s">
        <v>186</v>
      </c>
      <c r="H3787" s="22" t="s">
        <v>5410</v>
      </c>
      <c r="I3787" s="26">
        <v>43672.730011574102</v>
      </c>
      <c r="J3787" s="28" t="s">
        <v>52</v>
      </c>
      <c r="K3787" s="28" t="s">
        <v>52</v>
      </c>
      <c r="L3787" s="28" t="s">
        <v>52</v>
      </c>
      <c r="M3787" s="28" t="s">
        <v>52</v>
      </c>
      <c r="N3787" s="28" t="s">
        <v>52</v>
      </c>
    </row>
    <row r="3788" spans="1:14" x14ac:dyDescent="0.15">
      <c r="A3788" s="23" t="str">
        <f>HYPERLINK("https://www.spark-marketing.ru/Card/Person/139043", "КАРБДТ ИМЕНИ В.И.КАЧАЛОВА")</f>
        <v>КАРБДТ ИМЕНИ В.И.КАЧАЛОВА</v>
      </c>
      <c r="B3788" s="24" t="s">
        <v>5462</v>
      </c>
      <c r="C3788" s="25">
        <v>68750</v>
      </c>
      <c r="D3788" s="22" t="s">
        <v>5463</v>
      </c>
      <c r="E3788" s="22" t="s">
        <v>107</v>
      </c>
      <c r="F3788" s="23" t="str">
        <f>HYPERLINK("https://www.spark-marketing.ru/Card/Lot/72379222", "оказание услуг по техническому обслуживанию систем охранной сигнализации")</f>
        <v>оказание услуг по техническому обслуживанию систем охранной сигнализации</v>
      </c>
      <c r="G3788" s="22" t="s">
        <v>204</v>
      </c>
      <c r="H3788" s="22" t="s">
        <v>303</v>
      </c>
      <c r="I3788" s="26">
        <v>43672.670532407399</v>
      </c>
      <c r="J3788" s="28" t="s">
        <v>52</v>
      </c>
      <c r="K3788" s="28" t="s">
        <v>52</v>
      </c>
      <c r="L3788" s="28" t="s">
        <v>52</v>
      </c>
      <c r="M3788" s="28" t="s">
        <v>52</v>
      </c>
      <c r="N3788" s="28" t="s">
        <v>52</v>
      </c>
    </row>
    <row r="3789" spans="1:14" hidden="1" outlineLevel="1" x14ac:dyDescent="0.2">
      <c r="A3789" s="23" t="str">
        <f>HYPERLINK("https://www.spark-marketing.ru/Card/Person/139043", "КАРБДТ ИМЕНИ В.И.КАЧАЛОВА")</f>
        <v>КАРБДТ ИМЕНИ В.И.КАЧАЛОВА</v>
      </c>
      <c r="B3789" s="24" t="s">
        <v>5462</v>
      </c>
      <c r="C3789" s="25">
        <v>68750</v>
      </c>
      <c r="D3789" s="22" t="s">
        <v>5463</v>
      </c>
      <c r="E3789" s="22" t="s">
        <v>107</v>
      </c>
      <c r="F3789" s="23" t="str">
        <f>HYPERLINK("https://www.spark-marketing.ru/Card/Lot/72379222", "оказание услуг по техническому обслуживанию систем охранной сигнализации")</f>
        <v>оказание услуг по техническому обслуживанию систем охранной сигнализации</v>
      </c>
      <c r="G3789" s="22" t="s">
        <v>204</v>
      </c>
      <c r="H3789" s="22" t="s">
        <v>303</v>
      </c>
      <c r="I3789" s="26">
        <v>43672.670532407399</v>
      </c>
      <c r="J3789" s="23" t="str">
        <f>HYPERLINK("https://www.spark-marketing.ru/Card/Person/371074", "ООО ""СПМ""")</f>
        <v>ООО "СПМ"</v>
      </c>
      <c r="K3789" s="24" t="s">
        <v>5464</v>
      </c>
      <c r="L3789" s="28" t="s">
        <v>52</v>
      </c>
      <c r="M3789" s="25">
        <v>68406.25</v>
      </c>
      <c r="N3789" s="27">
        <v>5.0000000000000001E-3</v>
      </c>
    </row>
    <row r="3790" spans="1:14" hidden="1" outlineLevel="1" x14ac:dyDescent="0.2">
      <c r="A3790" s="23" t="str">
        <f>HYPERLINK("https://www.spark-marketing.ru/Card/Person/139043", "КАРБДТ ИМЕНИ В.И.КАЧАЛОВА")</f>
        <v>КАРБДТ ИМЕНИ В.И.КАЧАЛОВА</v>
      </c>
      <c r="B3790" s="24" t="s">
        <v>5462</v>
      </c>
      <c r="C3790" s="25">
        <v>68750</v>
      </c>
      <c r="D3790" s="22" t="s">
        <v>5463</v>
      </c>
      <c r="E3790" s="22" t="s">
        <v>107</v>
      </c>
      <c r="F3790" s="23" t="str">
        <f>HYPERLINK("https://www.spark-marketing.ru/Card/Lot/72379222", "оказание услуг по техническому обслуживанию систем охранной сигнализации")</f>
        <v>оказание услуг по техническому обслуживанию систем охранной сигнализации</v>
      </c>
      <c r="G3790" s="22" t="s">
        <v>204</v>
      </c>
      <c r="H3790" s="22" t="s">
        <v>303</v>
      </c>
      <c r="I3790" s="26">
        <v>43672.670532407399</v>
      </c>
      <c r="J3790" s="23" t="str">
        <f>HYPERLINK("https://www.spark-marketing.ru/Card/Person/6147630", "Титов Евгений Сергеевич")</f>
        <v>Титов Евгений Сергеевич</v>
      </c>
      <c r="K3790" s="24" t="s">
        <v>5465</v>
      </c>
      <c r="L3790" s="28" t="s">
        <v>52</v>
      </c>
      <c r="M3790" s="25">
        <v>33000</v>
      </c>
      <c r="N3790" s="27">
        <v>0.52</v>
      </c>
    </row>
    <row r="3791" spans="1:14" ht="12.75" hidden="1" outlineLevel="1" x14ac:dyDescent="0.2">
      <c r="A3791" s="23" t="str">
        <f>HYPERLINK("https://www.spark-marketing.ru/Card/Person/139043", "КАРБДТ ИМЕНИ В.И.КАЧАЛОВА")</f>
        <v>КАРБДТ ИМЕНИ В.И.КАЧАЛОВА</v>
      </c>
      <c r="B3791" s="24" t="s">
        <v>5462</v>
      </c>
      <c r="C3791" s="25">
        <v>68750</v>
      </c>
      <c r="D3791" s="22" t="s">
        <v>5463</v>
      </c>
      <c r="E3791" s="22" t="s">
        <v>107</v>
      </c>
      <c r="F3791" s="23" t="str">
        <f>HYPERLINK("https://www.spark-marketing.ru/Card/Lot/72379222", "оказание услуг по техническому обслуживанию систем охранной сигнализации")</f>
        <v>оказание услуг по техническому обслуживанию систем охранной сигнализации</v>
      </c>
      <c r="G3791" s="22" t="s">
        <v>204</v>
      </c>
      <c r="H3791" s="22" t="s">
        <v>303</v>
      </c>
      <c r="I3791" s="26">
        <v>43672.670532407399</v>
      </c>
      <c r="J3791" s="23" t="str">
        <f>HYPERLINK("https://www.spark-marketing.ru/Card/Person/122053", "ООО ""СТЭЛ""")</f>
        <v>ООО "СТЭЛ"</v>
      </c>
      <c r="K3791" s="24" t="s">
        <v>5466</v>
      </c>
      <c r="L3791" s="22" t="s">
        <v>10</v>
      </c>
      <c r="M3791" s="25">
        <v>32656.25</v>
      </c>
      <c r="N3791" s="27">
        <v>0.52500000000000002</v>
      </c>
    </row>
    <row r="3792" spans="1:14" hidden="1" outlineLevel="1" x14ac:dyDescent="0.2">
      <c r="A3792" s="23" t="str">
        <f>HYPERLINK("https://www.spark-marketing.ru/Card/Person/139043", "КАРБДТ ИМЕНИ В.И.КАЧАЛОВА")</f>
        <v>КАРБДТ ИМЕНИ В.И.КАЧАЛОВА</v>
      </c>
      <c r="B3792" s="24" t="s">
        <v>5462</v>
      </c>
      <c r="C3792" s="25">
        <v>68750</v>
      </c>
      <c r="D3792" s="22" t="s">
        <v>5463</v>
      </c>
      <c r="E3792" s="22" t="s">
        <v>107</v>
      </c>
      <c r="F3792" s="23" t="str">
        <f>HYPERLINK("https://www.spark-marketing.ru/Card/Lot/72379222", "оказание услуг по техническому обслуживанию систем охранной сигнализации")</f>
        <v>оказание услуг по техническому обслуживанию систем охранной сигнализации</v>
      </c>
      <c r="G3792" s="22" t="s">
        <v>204</v>
      </c>
      <c r="H3792" s="22" t="s">
        <v>303</v>
      </c>
      <c r="I3792" s="26">
        <v>43672.670532407399</v>
      </c>
      <c r="J3792" s="23" t="str">
        <f>HYPERLINK("https://www.spark-marketing.ru/Card/Person/99676", "АО ""КНПО ВТИ""")</f>
        <v>АО "КНПО ВТИ"</v>
      </c>
      <c r="K3792" s="24" t="s">
        <v>5467</v>
      </c>
      <c r="L3792" s="28" t="s">
        <v>52</v>
      </c>
      <c r="M3792" s="25">
        <v>60156.25</v>
      </c>
      <c r="N3792" s="27">
        <v>0.125</v>
      </c>
    </row>
    <row r="3793" spans="1:14" x14ac:dyDescent="0.15">
      <c r="A3793" s="23" t="str">
        <f>HYPERLINK("https://www.spark-marketing.ru/Card/Person/134358", "ГБПОУ МО ""МОСКОВСКИЙ ОБЛАСТНОЙ МЕДИЦИНСКИЙ КОЛЛЕДЖ № 4""")</f>
        <v>ГБПОУ МО "МОСКОВСКИЙ ОБЛАСТНОЙ МЕДИЦИНСКИЙ КОЛЛЕДЖ № 4"</v>
      </c>
      <c r="B3793" s="24" t="s">
        <v>5468</v>
      </c>
      <c r="C3793" s="25">
        <v>30000</v>
      </c>
      <c r="D3793" s="22" t="s">
        <v>5469</v>
      </c>
      <c r="E3793" s="22" t="s">
        <v>194</v>
      </c>
      <c r="F3793" s="23" t="str">
        <f>HYPERLINK("https://www.spark-marketing.ru/Card/Lot/72374782", "Установка дополнительной камеры видеонаблюдения в Дмитрове")</f>
        <v>Установка дополнительной камеры видеонаблюдения в Дмитрове</v>
      </c>
      <c r="G3793" s="22" t="s">
        <v>50</v>
      </c>
      <c r="H3793" s="22" t="s">
        <v>504</v>
      </c>
      <c r="I3793" s="26">
        <v>43672.680925925903</v>
      </c>
      <c r="J3793" s="28" t="s">
        <v>52</v>
      </c>
      <c r="K3793" s="28" t="s">
        <v>52</v>
      </c>
      <c r="L3793" s="28" t="s">
        <v>52</v>
      </c>
      <c r="M3793" s="28" t="s">
        <v>52</v>
      </c>
      <c r="N3793" s="28" t="s">
        <v>52</v>
      </c>
    </row>
    <row r="3794" spans="1:14" x14ac:dyDescent="0.15">
      <c r="A3794" s="23" t="str">
        <f>HYPERLINK("https://www.spark-marketing.ru/Card/Person/4375402", "ОТДЕЛ ГФС РОССИИ В Г. КАЛИНИНГРАДЕ")</f>
        <v>ОТДЕЛ ГФС РОССИИ В Г. КАЛИНИНГРАДЕ</v>
      </c>
      <c r="B3794" s="24" t="s">
        <v>5470</v>
      </c>
      <c r="C3794" s="25">
        <v>2935.02</v>
      </c>
      <c r="D3794" s="22" t="s">
        <v>5471</v>
      </c>
      <c r="E3794" s="22" t="s">
        <v>107</v>
      </c>
      <c r="F3794" s="23" t="str">
        <f>HYPERLINK("https://www.spark-marketing.ru/Card/Lot/72377596", "Техническое обслуживание инженерно-технических средств охраны, 1 шт")</f>
        <v>Техническое обслуживание инженерно-технических средств охраны, 1 шт</v>
      </c>
      <c r="G3794" s="22" t="s">
        <v>247</v>
      </c>
      <c r="H3794" s="22" t="s">
        <v>576</v>
      </c>
      <c r="I3794" s="26">
        <v>43672.707847222198</v>
      </c>
      <c r="J3794" s="28" t="s">
        <v>52</v>
      </c>
      <c r="K3794" s="28" t="s">
        <v>52</v>
      </c>
      <c r="L3794" s="28" t="s">
        <v>52</v>
      </c>
      <c r="M3794" s="28" t="s">
        <v>52</v>
      </c>
      <c r="N3794" s="28" t="s">
        <v>52</v>
      </c>
    </row>
    <row r="3795" spans="1:14" x14ac:dyDescent="0.15">
      <c r="A3795" s="23" t="str">
        <f>HYPERLINK("https://www.spark-marketing.ru/Card/Person/246263", "ОТДЕЛ МВД РОССИИ ПО БОГОРОДСКОМУ РАЙОНУ")</f>
        <v>ОТДЕЛ МВД РОССИИ ПО БОГОРОДСКОМУ РАЙОНУ</v>
      </c>
      <c r="B3795" s="24" t="s">
        <v>5472</v>
      </c>
      <c r="C3795" s="25">
        <v>125640</v>
      </c>
      <c r="D3795" s="22" t="s">
        <v>5473</v>
      </c>
      <c r="E3795" s="22" t="s">
        <v>84</v>
      </c>
      <c r="F3795" s="23" t="str">
        <f>HYPERLINK("https://www.spark-marketing.ru/Card/Lot/72373246", "установка систем охранного видеонаблюдения 16 каналов, 2 шт")</f>
        <v>установка систем охранного видеонаблюдения 16 каналов, 2 шт</v>
      </c>
      <c r="G3795" s="22" t="s">
        <v>64</v>
      </c>
      <c r="H3795" s="22" t="s">
        <v>5474</v>
      </c>
      <c r="I3795" s="26">
        <v>43672.645810185197</v>
      </c>
      <c r="J3795" s="28" t="s">
        <v>52</v>
      </c>
      <c r="K3795" s="28" t="s">
        <v>52</v>
      </c>
      <c r="L3795" s="28" t="s">
        <v>52</v>
      </c>
      <c r="M3795" s="28" t="s">
        <v>52</v>
      </c>
      <c r="N3795" s="28" t="s">
        <v>52</v>
      </c>
    </row>
    <row r="3796" spans="1:14" x14ac:dyDescent="0.15">
      <c r="A3796" s="23" t="str">
        <f t="shared" ref="A3796:A3801" si="165">HYPERLINK("https://www.spark-marketing.ru/Card/Person/52184", "ХАБАРОВСКАЯ ТАМОЖНЯ")</f>
        <v>ХАБАРОВСКАЯ ТАМОЖНЯ</v>
      </c>
      <c r="B3796" s="24" t="s">
        <v>5475</v>
      </c>
      <c r="C3796" s="25">
        <v>3932163.81</v>
      </c>
      <c r="D3796" s="22" t="s">
        <v>5476</v>
      </c>
      <c r="E3796" s="22" t="s">
        <v>68</v>
      </c>
      <c r="F3796" s="23" t="str">
        <f>HYPERLINK("https://www.spark-marketing.ru/Card/Lot/72363298", "Оказание услуг по охране объекта")</f>
        <v>Оказание услуг по охране объекта</v>
      </c>
      <c r="G3796" s="22" t="s">
        <v>138</v>
      </c>
      <c r="H3796" s="22" t="s">
        <v>5477</v>
      </c>
      <c r="I3796" s="26">
        <v>43672.631064814799</v>
      </c>
      <c r="J3796" s="28" t="s">
        <v>52</v>
      </c>
      <c r="K3796" s="28" t="s">
        <v>52</v>
      </c>
      <c r="L3796" s="28" t="s">
        <v>52</v>
      </c>
      <c r="M3796" s="28" t="s">
        <v>52</v>
      </c>
      <c r="N3796" s="28" t="s">
        <v>52</v>
      </c>
    </row>
    <row r="3797" spans="1:14" ht="12.75" hidden="1" outlineLevel="1" x14ac:dyDescent="0.2">
      <c r="A3797" s="23" t="str">
        <f t="shared" si="165"/>
        <v>ХАБАРОВСКАЯ ТАМОЖНЯ</v>
      </c>
      <c r="B3797" s="24" t="s">
        <v>5475</v>
      </c>
      <c r="C3797" s="25">
        <v>3932163.81</v>
      </c>
      <c r="D3797" s="22" t="s">
        <v>5476</v>
      </c>
      <c r="E3797" s="22" t="s">
        <v>68</v>
      </c>
      <c r="F3797" s="23" t="str">
        <f>HYPERLINK("https://www.spark-marketing.ru/Card/Lot/72363298", "Оказание услуг по охране объекта")</f>
        <v>Оказание услуг по охране объекта</v>
      </c>
      <c r="G3797" s="22" t="s">
        <v>138</v>
      </c>
      <c r="H3797" s="22" t="s">
        <v>5477</v>
      </c>
      <c r="I3797" s="26">
        <v>43672.631064814799</v>
      </c>
      <c r="J3797" s="23" t="str">
        <f>HYPERLINK("https://www.spark-marketing.ru/Card/Person/10487", "ФГУП ""ОХРАНА"" РОСГВАРДИИ")</f>
        <v>ФГУП "ОХРАНА" РОСГВАРДИИ</v>
      </c>
      <c r="K3797" s="24" t="s">
        <v>779</v>
      </c>
      <c r="L3797" s="22" t="s">
        <v>10</v>
      </c>
      <c r="M3797" s="25">
        <v>3638794.5</v>
      </c>
      <c r="N3797" s="27">
        <v>7.4607601355244663E-2</v>
      </c>
    </row>
    <row r="3798" spans="1:14" hidden="1" outlineLevel="1" x14ac:dyDescent="0.2">
      <c r="A3798" s="23" t="str">
        <f t="shared" si="165"/>
        <v>ХАБАРОВСКАЯ ТАМОЖНЯ</v>
      </c>
      <c r="B3798" s="24" t="s">
        <v>5475</v>
      </c>
      <c r="C3798" s="25">
        <v>3932163.81</v>
      </c>
      <c r="D3798" s="22" t="s">
        <v>5476</v>
      </c>
      <c r="E3798" s="22" t="s">
        <v>68</v>
      </c>
      <c r="F3798" s="23" t="str">
        <f>HYPERLINK("https://www.spark-marketing.ru/Card/Lot/72363298", "Оказание услуг по охране объекта")</f>
        <v>Оказание услуг по охране объекта</v>
      </c>
      <c r="G3798" s="22" t="s">
        <v>138</v>
      </c>
      <c r="H3798" s="22" t="s">
        <v>5477</v>
      </c>
      <c r="I3798" s="26">
        <v>43672.631064814799</v>
      </c>
      <c r="J3798" s="23" t="str">
        <f>HYPERLINK("https://www.spark-marketing.ru/Card/Person/558731", "филиал ФГП ВО ЖДТ России на ДВЖД")</f>
        <v>филиал ФГП ВО ЖДТ России на ДВЖД</v>
      </c>
      <c r="K3798" s="24" t="s">
        <v>1269</v>
      </c>
      <c r="L3798" s="28" t="s">
        <v>52</v>
      </c>
      <c r="M3798" s="25">
        <v>3682931.31</v>
      </c>
      <c r="N3798" s="27">
        <v>6.3383041003065438E-2</v>
      </c>
    </row>
    <row r="3799" spans="1:14" x14ac:dyDescent="0.15">
      <c r="A3799" s="23" t="str">
        <f t="shared" si="165"/>
        <v>ХАБАРОВСКАЯ ТАМОЖНЯ</v>
      </c>
      <c r="B3799" s="24" t="s">
        <v>5475</v>
      </c>
      <c r="C3799" s="25">
        <v>118616.13</v>
      </c>
      <c r="D3799" s="22" t="s">
        <v>5478</v>
      </c>
      <c r="E3799" s="22" t="s">
        <v>68</v>
      </c>
      <c r="F3799" s="23" t="str">
        <f>HYPERLINK("https://www.spark-marketing.ru/Card/Lot/72432048", "Оказание услуг по централизованной охране объекта")</f>
        <v>Оказание услуг по централизованной охране объекта</v>
      </c>
      <c r="G3799" s="22" t="s">
        <v>138</v>
      </c>
      <c r="H3799" s="22" t="s">
        <v>139</v>
      </c>
      <c r="I3799" s="26">
        <v>43672.646168981497</v>
      </c>
      <c r="J3799" s="28" t="s">
        <v>52</v>
      </c>
      <c r="K3799" s="28" t="s">
        <v>52</v>
      </c>
      <c r="L3799" s="28" t="s">
        <v>52</v>
      </c>
      <c r="M3799" s="28" t="s">
        <v>52</v>
      </c>
      <c r="N3799" s="28" t="s">
        <v>52</v>
      </c>
    </row>
    <row r="3800" spans="1:14" ht="12.75" hidden="1" outlineLevel="1" x14ac:dyDescent="0.2">
      <c r="A3800" s="23" t="str">
        <f t="shared" si="165"/>
        <v>ХАБАРОВСКАЯ ТАМОЖНЯ</v>
      </c>
      <c r="B3800" s="24" t="s">
        <v>5475</v>
      </c>
      <c r="C3800" s="25">
        <v>118616.13</v>
      </c>
      <c r="D3800" s="22" t="s">
        <v>5478</v>
      </c>
      <c r="E3800" s="22" t="s">
        <v>68</v>
      </c>
      <c r="F3800" s="23" t="str">
        <f>HYPERLINK("https://www.spark-marketing.ru/Card/Lot/72432048", "Оказание услуг по централизованной охране объекта")</f>
        <v>Оказание услуг по централизованной охране объекта</v>
      </c>
      <c r="G3800" s="22" t="s">
        <v>138</v>
      </c>
      <c r="H3800" s="22" t="s">
        <v>139</v>
      </c>
      <c r="I3800" s="26">
        <v>43672.646168981497</v>
      </c>
      <c r="J3800" s="23" t="str">
        <f>HYPERLINK("https://www.spark-marketing.ru/Card/Person/10487", "ФГУП ""ОХРАНА"" РОСГВАРДИИ")</f>
        <v>ФГУП "ОХРАНА" РОСГВАРДИИ</v>
      </c>
      <c r="K3800" s="24" t="s">
        <v>779</v>
      </c>
      <c r="L3800" s="22" t="s">
        <v>10</v>
      </c>
      <c r="M3800" s="25">
        <v>55078.8</v>
      </c>
      <c r="N3800" s="27">
        <v>0.53565505804311775</v>
      </c>
    </row>
    <row r="3801" spans="1:14" hidden="1" outlineLevel="1" x14ac:dyDescent="0.2">
      <c r="A3801" s="23" t="str">
        <f t="shared" si="165"/>
        <v>ХАБАРОВСКАЯ ТАМОЖНЯ</v>
      </c>
      <c r="B3801" s="24" t="s">
        <v>5475</v>
      </c>
      <c r="C3801" s="25">
        <v>118616.13</v>
      </c>
      <c r="D3801" s="22" t="s">
        <v>5478</v>
      </c>
      <c r="E3801" s="22" t="s">
        <v>68</v>
      </c>
      <c r="F3801" s="23" t="str">
        <f>HYPERLINK("https://www.spark-marketing.ru/Card/Lot/72432048", "Оказание услуг по централизованной охране объекта")</f>
        <v>Оказание услуг по централизованной охране объекта</v>
      </c>
      <c r="G3801" s="22" t="s">
        <v>138</v>
      </c>
      <c r="H3801" s="22" t="s">
        <v>139</v>
      </c>
      <c r="I3801" s="26">
        <v>43672.646168981497</v>
      </c>
      <c r="J3801" s="23" t="str">
        <f>HYPERLINK("https://www.spark-marketing.ru/Card/Person/4347150", "ФГКУ ""УВО ВНГ РОССИИ ПО ХАБАРОВСКОМУ КРАЮ""")</f>
        <v>ФГКУ "УВО ВНГ РОССИИ ПО ХАБАРОВСКОМУ КРАЮ"</v>
      </c>
      <c r="K3801" s="24" t="s">
        <v>5479</v>
      </c>
      <c r="L3801" s="28" t="s">
        <v>52</v>
      </c>
      <c r="M3801" s="25">
        <v>55078.8</v>
      </c>
      <c r="N3801" s="27">
        <v>0.53565505804311775</v>
      </c>
    </row>
    <row r="3802" spans="1:14" x14ac:dyDescent="0.15">
      <c r="A3802" s="23" t="str">
        <f>HYPERLINK("https://www.spark-marketing.ru/Card/Person/5861430", "УПФР В Г. ИШИМЕ ТЮМЕНСКОЙ ОБЛАСТИ (МЕЖРАЙОННОЕ)")</f>
        <v>УПФР В Г. ИШИМЕ ТЮМЕНСКОЙ ОБЛАСТИ (МЕЖРАЙОННОЕ)</v>
      </c>
      <c r="B3802" s="24" t="s">
        <v>2219</v>
      </c>
      <c r="C3802" s="25">
        <v>39400</v>
      </c>
      <c r="D3802" s="22" t="s">
        <v>5480</v>
      </c>
      <c r="E3802" s="22" t="s">
        <v>103</v>
      </c>
      <c r="F3802" s="23" t="str">
        <f>HYPERLINK("https://www.spark-marketing.ru/Card/Lot/72370853", "Услуги по техническому обслуживанию систем видеонаблюдения")</f>
        <v>Услуги по техническому обслуживанию систем видеонаблюдения</v>
      </c>
      <c r="G3802" s="22" t="s">
        <v>893</v>
      </c>
      <c r="H3802" s="22" t="s">
        <v>5481</v>
      </c>
      <c r="I3802" s="26">
        <v>43672.612962963001</v>
      </c>
      <c r="J3802" s="28" t="s">
        <v>52</v>
      </c>
      <c r="K3802" s="28" t="s">
        <v>52</v>
      </c>
      <c r="L3802" s="28" t="s">
        <v>52</v>
      </c>
      <c r="M3802" s="28" t="s">
        <v>52</v>
      </c>
      <c r="N3802" s="28" t="s">
        <v>52</v>
      </c>
    </row>
    <row r="3803" spans="1:14" hidden="1" outlineLevel="1" x14ac:dyDescent="0.2">
      <c r="A3803" s="23" t="str">
        <f>HYPERLINK("https://www.spark-marketing.ru/Card/Person/5861430", "УПФР В Г. ИШИМЕ ТЮМЕНСКОЙ ОБЛАСТИ (МЕЖРАЙОННОЕ)")</f>
        <v>УПФР В Г. ИШИМЕ ТЮМЕНСКОЙ ОБЛАСТИ (МЕЖРАЙОННОЕ)</v>
      </c>
      <c r="B3803" s="24" t="s">
        <v>2219</v>
      </c>
      <c r="C3803" s="25">
        <v>39400</v>
      </c>
      <c r="D3803" s="22" t="s">
        <v>5480</v>
      </c>
      <c r="E3803" s="22" t="s">
        <v>103</v>
      </c>
      <c r="F3803" s="23" t="str">
        <f>HYPERLINK("https://www.spark-marketing.ru/Card/Lot/72370853", "Услуги по техническому обслуживанию систем видеонаблюдения")</f>
        <v>Услуги по техническому обслуживанию систем видеонаблюдения</v>
      </c>
      <c r="G3803" s="22" t="s">
        <v>893</v>
      </c>
      <c r="H3803" s="22" t="s">
        <v>5481</v>
      </c>
      <c r="I3803" s="26">
        <v>43672.612962963001</v>
      </c>
      <c r="J3803" s="23" t="str">
        <f>HYPERLINK("https://www.spark-marketing.ru/Card/Person/151920", "ООО ""МЕРИДИАН""")</f>
        <v>ООО "МЕРИДИАН"</v>
      </c>
      <c r="K3803" s="24" t="s">
        <v>5482</v>
      </c>
      <c r="L3803" s="28" t="s">
        <v>52</v>
      </c>
      <c r="M3803" s="25">
        <v>18803</v>
      </c>
      <c r="N3803" s="27">
        <v>0.52276649746192894</v>
      </c>
    </row>
    <row r="3804" spans="1:14" hidden="1" outlineLevel="1" x14ac:dyDescent="0.2">
      <c r="A3804" s="23" t="str">
        <f>HYPERLINK("https://www.spark-marketing.ru/Card/Person/5861430", "УПФР В Г. ИШИМЕ ТЮМЕНСКОЙ ОБЛАСТИ (МЕЖРАЙОННОЕ)")</f>
        <v>УПФР В Г. ИШИМЕ ТЮМЕНСКОЙ ОБЛАСТИ (МЕЖРАЙОННОЕ)</v>
      </c>
      <c r="B3804" s="24" t="s">
        <v>2219</v>
      </c>
      <c r="C3804" s="25">
        <v>39400</v>
      </c>
      <c r="D3804" s="22" t="s">
        <v>5480</v>
      </c>
      <c r="E3804" s="22" t="s">
        <v>103</v>
      </c>
      <c r="F3804" s="23" t="str">
        <f>HYPERLINK("https://www.spark-marketing.ru/Card/Lot/72370853", "Услуги по техническому обслуживанию систем видеонаблюдения")</f>
        <v>Услуги по техническому обслуживанию систем видеонаблюдения</v>
      </c>
      <c r="G3804" s="22" t="s">
        <v>893</v>
      </c>
      <c r="H3804" s="22" t="s">
        <v>5481</v>
      </c>
      <c r="I3804" s="26">
        <v>43672.612962963001</v>
      </c>
      <c r="J3804" s="23" t="str">
        <f>HYPERLINK("https://www.spark-marketing.ru/Card/Person/553345", "ООО ""ЦСТ ""ЛИДЕР""")</f>
        <v>ООО "ЦСТ "ЛИДЕР"</v>
      </c>
      <c r="K3804" s="24" t="s">
        <v>5483</v>
      </c>
      <c r="L3804" s="28" t="s">
        <v>52</v>
      </c>
      <c r="M3804" s="25">
        <v>23800</v>
      </c>
      <c r="N3804" s="27">
        <v>0.39593908629441626</v>
      </c>
    </row>
    <row r="3805" spans="1:14" ht="12.75" hidden="1" outlineLevel="1" x14ac:dyDescent="0.2">
      <c r="A3805" s="23" t="str">
        <f>HYPERLINK("https://www.spark-marketing.ru/Card/Person/5861430", "УПФР В Г. ИШИМЕ ТЮМЕНСКОЙ ОБЛАСТИ (МЕЖРАЙОННОЕ)")</f>
        <v>УПФР В Г. ИШИМЕ ТЮМЕНСКОЙ ОБЛАСТИ (МЕЖРАЙОННОЕ)</v>
      </c>
      <c r="B3805" s="24" t="s">
        <v>2219</v>
      </c>
      <c r="C3805" s="25">
        <v>39400</v>
      </c>
      <c r="D3805" s="22" t="s">
        <v>5480</v>
      </c>
      <c r="E3805" s="22" t="s">
        <v>103</v>
      </c>
      <c r="F3805" s="23" t="str">
        <f>HYPERLINK("https://www.spark-marketing.ru/Card/Lot/72370853", "Услуги по техническому обслуживанию систем видеонаблюдения")</f>
        <v>Услуги по техническому обслуживанию систем видеонаблюдения</v>
      </c>
      <c r="G3805" s="22" t="s">
        <v>893</v>
      </c>
      <c r="H3805" s="22" t="s">
        <v>5481</v>
      </c>
      <c r="I3805" s="26">
        <v>43672.612962963001</v>
      </c>
      <c r="J3805" s="23" t="str">
        <f>HYPERLINK("https://www.spark-marketing.ru/Card/Person/546686", "ООО ЧОО ""ЗАЩИТНИК""")</f>
        <v>ООО ЧОО "ЗАЩИТНИК"</v>
      </c>
      <c r="K3805" s="24" t="s">
        <v>2223</v>
      </c>
      <c r="L3805" s="22" t="s">
        <v>10</v>
      </c>
      <c r="M3805" s="25">
        <v>18000</v>
      </c>
      <c r="N3805" s="27">
        <v>0.54314720812182737</v>
      </c>
    </row>
    <row r="3806" spans="1:14" x14ac:dyDescent="0.15">
      <c r="A3806" s="23" t="str">
        <f>HYPERLINK("https://www.spark-marketing.ru/Card/Person/1683079", "ООО ""ЧОП ""КЕННАРД""")</f>
        <v>ООО "ЧОП "КЕННАРД"</v>
      </c>
      <c r="B3806" s="24" t="s">
        <v>1949</v>
      </c>
      <c r="C3806" s="25">
        <v>6075</v>
      </c>
      <c r="D3806" s="22" t="s">
        <v>5484</v>
      </c>
      <c r="E3806" s="22" t="s">
        <v>53</v>
      </c>
      <c r="F3806" s="23" t="str">
        <f>HYPERLINK("https://www.spark-marketing.ru/Card/Lot/72418245", "Тревожная кнопка Альтоника RS-201 ТК 01")</f>
        <v>Тревожная кнопка Альтоника RS-201 ТК 01</v>
      </c>
      <c r="G3806" s="22" t="s">
        <v>204</v>
      </c>
      <c r="H3806" s="22" t="s">
        <v>303</v>
      </c>
      <c r="I3806" s="26">
        <v>43672.604687500003</v>
      </c>
      <c r="J3806" s="28" t="s">
        <v>52</v>
      </c>
      <c r="K3806" s="28" t="s">
        <v>52</v>
      </c>
      <c r="L3806" s="28" t="s">
        <v>52</v>
      </c>
      <c r="M3806" s="28" t="s">
        <v>52</v>
      </c>
      <c r="N3806" s="28" t="s">
        <v>52</v>
      </c>
    </row>
    <row r="3807" spans="1:14" x14ac:dyDescent="0.15">
      <c r="A3807" s="23" t="str">
        <f>HYPERLINK("https://www.spark-marketing.ru/Card/Person/1076373", "МБДОУ ДЕТСКИЙ САД ""МЕДВЕЖОНОК""")</f>
        <v>МБДОУ ДЕТСКИЙ САД "МЕДВЕЖОНОК"</v>
      </c>
      <c r="B3807" s="24" t="s">
        <v>5485</v>
      </c>
      <c r="C3807" s="25">
        <v>919250.98</v>
      </c>
      <c r="D3807" s="22" t="s">
        <v>5486</v>
      </c>
      <c r="E3807" s="22" t="s">
        <v>59</v>
      </c>
      <c r="F3807" s="23" t="str">
        <f>HYPERLINK("https://www.spark-marketing.ru/Card/Lot/72367585", "Выполнение работ по монтажу системы охранного видеонаблюдения")</f>
        <v>Выполнение работ по монтажу системы охранного видеонаблюдения</v>
      </c>
      <c r="G3807" s="22" t="s">
        <v>119</v>
      </c>
      <c r="H3807" s="22" t="s">
        <v>416</v>
      </c>
      <c r="I3807" s="26">
        <v>43672.520636574103</v>
      </c>
      <c r="J3807" s="28" t="s">
        <v>52</v>
      </c>
      <c r="K3807" s="28" t="s">
        <v>52</v>
      </c>
      <c r="L3807" s="28" t="s">
        <v>52</v>
      </c>
      <c r="M3807" s="28" t="s">
        <v>52</v>
      </c>
      <c r="N3807" s="28" t="s">
        <v>52</v>
      </c>
    </row>
    <row r="3808" spans="1:14" hidden="1" outlineLevel="1" x14ac:dyDescent="0.2">
      <c r="A3808" s="23" t="str">
        <f>HYPERLINK("https://www.spark-marketing.ru/Card/Person/1076373", "МБДОУ ДЕТСКИЙ САД ""МЕДВЕЖОНОК""")</f>
        <v>МБДОУ ДЕТСКИЙ САД "МЕДВЕЖОНОК"</v>
      </c>
      <c r="B3808" s="24" t="s">
        <v>5485</v>
      </c>
      <c r="C3808" s="25">
        <v>919250.98</v>
      </c>
      <c r="D3808" s="22" t="s">
        <v>5486</v>
      </c>
      <c r="E3808" s="22" t="s">
        <v>59</v>
      </c>
      <c r="F3808" s="23" t="str">
        <f>HYPERLINK("https://www.spark-marketing.ru/Card/Lot/72367585", "Выполнение работ по монтажу системы охранного видеонаблюдения")</f>
        <v>Выполнение работ по монтажу системы охранного видеонаблюдения</v>
      </c>
      <c r="G3808" s="22" t="s">
        <v>119</v>
      </c>
      <c r="H3808" s="22" t="s">
        <v>416</v>
      </c>
      <c r="I3808" s="26">
        <v>43672.520636574103</v>
      </c>
      <c r="J3808" s="23" t="str">
        <f>HYPERLINK("https://www.spark-marketing.ru/Card/Person/6578982", "Родичев Максим Юрьевич")</f>
        <v>Родичев Максим Юрьевич</v>
      </c>
      <c r="K3808" s="24" t="s">
        <v>1478</v>
      </c>
      <c r="L3808" s="28" t="s">
        <v>52</v>
      </c>
      <c r="M3808" s="25">
        <v>450432.64</v>
      </c>
      <c r="N3808" s="27">
        <v>0.5100003700839133</v>
      </c>
    </row>
    <row r="3809" spans="1:14" hidden="1" outlineLevel="1" x14ac:dyDescent="0.2">
      <c r="A3809" s="23" t="str">
        <f>HYPERLINK("https://www.spark-marketing.ru/Card/Person/1076373", "МБДОУ ДЕТСКИЙ САД ""МЕДВЕЖОНОК""")</f>
        <v>МБДОУ ДЕТСКИЙ САД "МЕДВЕЖОНОК"</v>
      </c>
      <c r="B3809" s="24" t="s">
        <v>5485</v>
      </c>
      <c r="C3809" s="25">
        <v>919250.98</v>
      </c>
      <c r="D3809" s="22" t="s">
        <v>5486</v>
      </c>
      <c r="E3809" s="22" t="s">
        <v>59</v>
      </c>
      <c r="F3809" s="23" t="str">
        <f>HYPERLINK("https://www.spark-marketing.ru/Card/Lot/72367585", "Выполнение работ по монтажу системы охранного видеонаблюдения")</f>
        <v>Выполнение работ по монтажу системы охранного видеонаблюдения</v>
      </c>
      <c r="G3809" s="22" t="s">
        <v>119</v>
      </c>
      <c r="H3809" s="22" t="s">
        <v>416</v>
      </c>
      <c r="I3809" s="26">
        <v>43672.520636574103</v>
      </c>
      <c r="J3809" s="23" t="str">
        <f>HYPERLINK("https://www.spark-marketing.ru/Card/Person/4568019", "Старенький Александр Анатольевич")</f>
        <v>Старенький Александр Анатольевич</v>
      </c>
      <c r="K3809" s="24" t="s">
        <v>5392</v>
      </c>
      <c r="L3809" s="28" t="s">
        <v>52</v>
      </c>
      <c r="M3809" s="25">
        <v>905462.2</v>
      </c>
      <c r="N3809" s="27">
        <v>1.5000016643985519E-2</v>
      </c>
    </row>
    <row r="3810" spans="1:14" ht="12.75" hidden="1" outlineLevel="1" x14ac:dyDescent="0.2">
      <c r="A3810" s="23" t="str">
        <f>HYPERLINK("https://www.spark-marketing.ru/Card/Person/1076373", "МБДОУ ДЕТСКИЙ САД ""МЕДВЕЖОНОК""")</f>
        <v>МБДОУ ДЕТСКИЙ САД "МЕДВЕЖОНОК"</v>
      </c>
      <c r="B3810" s="24" t="s">
        <v>5485</v>
      </c>
      <c r="C3810" s="25">
        <v>919250.98</v>
      </c>
      <c r="D3810" s="22" t="s">
        <v>5486</v>
      </c>
      <c r="E3810" s="22" t="s">
        <v>59</v>
      </c>
      <c r="F3810" s="23" t="str">
        <f>HYPERLINK("https://www.spark-marketing.ru/Card/Lot/72367585", "Выполнение работ по монтажу системы охранного видеонаблюдения")</f>
        <v>Выполнение работ по монтажу системы охранного видеонаблюдения</v>
      </c>
      <c r="G3810" s="22" t="s">
        <v>119</v>
      </c>
      <c r="H3810" s="22" t="s">
        <v>416</v>
      </c>
      <c r="I3810" s="26">
        <v>43672.520636574103</v>
      </c>
      <c r="J3810" s="23" t="str">
        <f>HYPERLINK("https://www.spark-marketing.ru/Card/Person/5853123", "Ершов Андрей Алексеевич")</f>
        <v>Ершов Андрей Алексеевич</v>
      </c>
      <c r="K3810" s="24" t="s">
        <v>1063</v>
      </c>
      <c r="L3810" s="22" t="s">
        <v>10</v>
      </c>
      <c r="M3810" s="25">
        <v>445836.38</v>
      </c>
      <c r="N3810" s="27">
        <v>0.51500037563190848</v>
      </c>
    </row>
    <row r="3811" spans="1:14" x14ac:dyDescent="0.15">
      <c r="A3811" s="23" t="str">
        <f>HYPERLINK("https://www.spark-marketing.ru/Card/Person/55852", "КОГБУЗ ""СЛОБОДСКАЯ ЦРБ ИМ.АК.А.Н.БАКУЛЕВА"", КОГБУЗ ""СЛОБОДСКАЯ ЦРБ""")</f>
        <v>КОГБУЗ "СЛОБОДСКАЯ ЦРБ ИМ.АК.А.Н.БАКУЛЕВА", КОГБУЗ "СЛОБОДСКАЯ ЦРБ"</v>
      </c>
      <c r="B3811" s="24" t="s">
        <v>5487</v>
      </c>
      <c r="C3811" s="25">
        <v>77952</v>
      </c>
      <c r="D3811" s="22" t="s">
        <v>5488</v>
      </c>
      <c r="E3811" s="22" t="s">
        <v>1130</v>
      </c>
      <c r="F3811" s="23" t="str">
        <f>HYPERLINK("https://www.spark-marketing.ru/Card/Lot/72370732", "Оказание услуг видеонаблюдения")</f>
        <v>Оказание услуг видеонаблюдения</v>
      </c>
      <c r="G3811" s="22" t="s">
        <v>556</v>
      </c>
      <c r="H3811" s="22" t="s">
        <v>5489</v>
      </c>
      <c r="I3811" s="26">
        <v>43672.517939814803</v>
      </c>
      <c r="J3811" s="23" t="str">
        <f>HYPERLINK("https://www.spark-marketing.ru/Card/Person/10991", "ПАО ""РОСТЕЛЕКОМ""")</f>
        <v>ПАО "РОСТЕЛЕКОМ"</v>
      </c>
      <c r="K3811" s="24" t="s">
        <v>607</v>
      </c>
      <c r="L3811" s="22" t="s">
        <v>10</v>
      </c>
      <c r="M3811" s="28" t="s">
        <v>52</v>
      </c>
      <c r="N3811" s="28" t="s">
        <v>52</v>
      </c>
    </row>
    <row r="3812" spans="1:14" x14ac:dyDescent="0.15">
      <c r="A3812" s="23" t="str">
        <f>HYPERLINK("https://www.spark-marketing.ru/Card/Person/88904", "МБОУ ""СОШ №6"" Г.ЧЕБОКСАРЫ")</f>
        <v>МБОУ "СОШ №6" Г.ЧЕБОКСАРЫ</v>
      </c>
      <c r="B3812" s="24" t="s">
        <v>5490</v>
      </c>
      <c r="C3812" s="25">
        <v>13000</v>
      </c>
      <c r="D3812" s="22" t="s">
        <v>5491</v>
      </c>
      <c r="E3812" s="22" t="s">
        <v>107</v>
      </c>
      <c r="F3812" s="23" t="str">
        <f>HYPERLINK("https://www.spark-marketing.ru/Card/Lot/72368054", "Оказание услуг по техническому обслуживанию систем автоматической противопожарной сигнализации и речевого оповещения")</f>
        <v>Оказание услуг по техническому обслуживанию систем автоматической противопожарной сигнализации и речевого оповещения</v>
      </c>
      <c r="G3812" s="22" t="s">
        <v>1137</v>
      </c>
      <c r="H3812" s="22" t="s">
        <v>1138</v>
      </c>
      <c r="I3812" s="26">
        <v>43672.532638888901</v>
      </c>
      <c r="J3812" s="28" t="s">
        <v>52</v>
      </c>
      <c r="K3812" s="28" t="s">
        <v>52</v>
      </c>
      <c r="L3812" s="28" t="s">
        <v>52</v>
      </c>
      <c r="M3812" s="28" t="s">
        <v>52</v>
      </c>
      <c r="N3812" s="28" t="s">
        <v>52</v>
      </c>
    </row>
    <row r="3813" spans="1:14" x14ac:dyDescent="0.15">
      <c r="A3813" s="23" t="str">
        <f>HYPERLINK("https://www.spark-marketing.ru/Card/Person/116103", "ОБЛАСТНОЕ ГОСУДАРСТВЕННОЕ КАЗЁННОЕ ОБЩЕОБРАЗОВАТЕЛЬНОЕ УЧРЕЖДЕНИЕ ДЛЯ ДЕТЕЙ-СИРОТ И ДЕТЕЙ, ОСТАВШИХСЯ БЕЗ ПОПЕЧЕНИЯ РОДИТЕЛЕЙ, ""РЕШЕМСКАЯ СПЕЦИАЛЬНАЯ (КОРРЕКЦИОННАЯ) ШКОЛА-ИНТЕРНАТ ДЛЯ ДЕТЕЙ-СИРОТ И ДЕТЕЙ, ОСТАВШИХСЯ БЕЗ ПОПЕЧЕНИЯ РОДИТЕЛЕЙ, С ОГРАН...")</f>
        <v>ОБЛАСТНОЕ ГОСУДАРСТВЕННОЕ КАЗЁННОЕ ОБЩЕОБРАЗОВАТЕЛЬНОЕ УЧРЕЖДЕНИЕ ДЛЯ ДЕТЕЙ-СИРОТ И ДЕТЕЙ, ОСТАВШИХСЯ БЕЗ ПОПЕЧЕНИЯ РОДИТЕЛЕЙ, "РЕШЕМСКАЯ СПЕЦИАЛЬНАЯ (КОРРЕКЦИОННАЯ) ШКОЛА-ИНТЕРНАТ ДЛЯ ДЕТЕЙ-СИРОТ И ДЕТЕЙ, ОСТАВШИХСЯ БЕЗ ПОПЕЧЕНИЯ РОДИТЕЛЕЙ, С ОГРАН...</v>
      </c>
      <c r="B3813" s="24" t="s">
        <v>5492</v>
      </c>
      <c r="C3813" s="25">
        <v>417240</v>
      </c>
      <c r="D3813" s="22" t="s">
        <v>5493</v>
      </c>
      <c r="E3813" s="22" t="s">
        <v>52</v>
      </c>
      <c r="F3813" s="23" t="str">
        <f>HYPERLINK("https://www.spark-marketing.ru/Card/Lot/72371897", "Оказание охранных услуг(физическая охрана).")</f>
        <v>Оказание охранных услуг(физическая охрана).</v>
      </c>
      <c r="G3813" s="22" t="s">
        <v>340</v>
      </c>
      <c r="H3813" s="22" t="s">
        <v>5494</v>
      </c>
      <c r="I3813" s="26">
        <v>43672.487696759301</v>
      </c>
      <c r="J3813" s="28" t="s">
        <v>52</v>
      </c>
      <c r="K3813" s="28" t="s">
        <v>52</v>
      </c>
      <c r="L3813" s="28" t="s">
        <v>52</v>
      </c>
      <c r="M3813" s="28" t="s">
        <v>52</v>
      </c>
      <c r="N3813" s="28" t="s">
        <v>52</v>
      </c>
    </row>
    <row r="3814" spans="1:14" hidden="1" outlineLevel="1" x14ac:dyDescent="0.2">
      <c r="A3814" s="23" t="str">
        <f>HYPERLINK("https://www.spark-marketing.ru/Card/Person/116103", "ОБЛАСТНОЕ ГОСУДАРСТВЕННОЕ КАЗЁННОЕ ОБЩЕОБРАЗОВАТЕЛЬНОЕ УЧРЕЖДЕНИЕ ДЛЯ ДЕТЕЙ-СИРОТ И ДЕТЕЙ, ОСТАВШИХСЯ БЕЗ ПОПЕЧЕНИЯ РОДИТЕЛЕЙ, ""РЕШЕМСКАЯ СПЕЦИАЛЬНАЯ (КОРРЕКЦИОННАЯ) ШКОЛА-ИНТЕРНАТ ДЛЯ ДЕТЕЙ-СИРОТ И ДЕТЕЙ, ОСТАВШИХСЯ БЕЗ ПОПЕЧЕНИЯ РОДИТЕЛЕЙ, С ОГРАН...")</f>
        <v>ОБЛАСТНОЕ ГОСУДАРСТВЕННОЕ КАЗЁННОЕ ОБЩЕОБРАЗОВАТЕЛЬНОЕ УЧРЕЖДЕНИЕ ДЛЯ ДЕТЕЙ-СИРОТ И ДЕТЕЙ, ОСТАВШИХСЯ БЕЗ ПОПЕЧЕНИЯ РОДИТЕЛЕЙ, "РЕШЕМСКАЯ СПЕЦИАЛЬНАЯ (КОРРЕКЦИОННАЯ) ШКОЛА-ИНТЕРНАТ ДЛЯ ДЕТЕЙ-СИРОТ И ДЕТЕЙ, ОСТАВШИХСЯ БЕЗ ПОПЕЧЕНИЯ РОДИТЕЛЕЙ, С ОГРАН...</v>
      </c>
      <c r="B3814" s="24" t="s">
        <v>5492</v>
      </c>
      <c r="C3814" s="25">
        <v>417240</v>
      </c>
      <c r="D3814" s="22" t="s">
        <v>5493</v>
      </c>
      <c r="E3814" s="22" t="s">
        <v>52</v>
      </c>
      <c r="F3814" s="23" t="str">
        <f>HYPERLINK("https://www.spark-marketing.ru/Card/Lot/72371897", "Оказание охранных услуг(физическая охрана).")</f>
        <v>Оказание охранных услуг(физическая охрана).</v>
      </c>
      <c r="G3814" s="22" t="s">
        <v>340</v>
      </c>
      <c r="H3814" s="22" t="s">
        <v>5494</v>
      </c>
      <c r="I3814" s="26">
        <v>43672.487696759301</v>
      </c>
      <c r="J3814" s="23" t="str">
        <f>HYPERLINK("https://www.spark-marketing.ru/Card/Person/288128", "ООО ОП ""МЕДВЕДЬ""")</f>
        <v>ООО ОП "МЕДВЕДЬ"</v>
      </c>
      <c r="K3814" s="24" t="s">
        <v>5495</v>
      </c>
      <c r="L3814" s="28" t="s">
        <v>52</v>
      </c>
      <c r="M3814" s="25">
        <v>417240</v>
      </c>
      <c r="N3814" s="27">
        <v>0</v>
      </c>
    </row>
    <row r="3815" spans="1:14" ht="12.75" hidden="1" outlineLevel="1" x14ac:dyDescent="0.2">
      <c r="A3815" s="23" t="str">
        <f>HYPERLINK("https://www.spark-marketing.ru/Card/Person/116103", "ОБЛАСТНОЕ ГОСУДАРСТВЕННОЕ КАЗЁННОЕ ОБЩЕОБРАЗОВАТЕЛЬНОЕ УЧРЕЖДЕНИЕ ДЛЯ ДЕТЕЙ-СИРОТ И ДЕТЕЙ, ОСТАВШИХСЯ БЕЗ ПОПЕЧЕНИЯ РОДИТЕЛЕЙ, ""РЕШЕМСКАЯ СПЕЦИАЛЬНАЯ (КОРРЕКЦИОННАЯ) ШКОЛА-ИНТЕРНАТ ДЛЯ ДЕТЕЙ-СИРОТ И ДЕТЕЙ, ОСТАВШИХСЯ БЕЗ ПОПЕЧЕНИЯ РОДИТЕЛЕЙ, С ОГРАН...")</f>
        <v>ОБЛАСТНОЕ ГОСУДАРСТВЕННОЕ КАЗЁННОЕ ОБЩЕОБРАЗОВАТЕЛЬНОЕ УЧРЕЖДЕНИЕ ДЛЯ ДЕТЕЙ-СИРОТ И ДЕТЕЙ, ОСТАВШИХСЯ БЕЗ ПОПЕЧЕНИЯ РОДИТЕЛЕЙ, "РЕШЕМСКАЯ СПЕЦИАЛЬНАЯ (КОРРЕКЦИОННАЯ) ШКОЛА-ИНТЕРНАТ ДЛЯ ДЕТЕЙ-СИРОТ И ДЕТЕЙ, ОСТАВШИХСЯ БЕЗ ПОПЕЧЕНИЯ РОДИТЕЛЕЙ, С ОГРАН...</v>
      </c>
      <c r="B3815" s="24" t="s">
        <v>5492</v>
      </c>
      <c r="C3815" s="25">
        <v>417240</v>
      </c>
      <c r="D3815" s="22" t="s">
        <v>5493</v>
      </c>
      <c r="E3815" s="22" t="s">
        <v>52</v>
      </c>
      <c r="F3815" s="23" t="str">
        <f>HYPERLINK("https://www.spark-marketing.ru/Card/Lot/72371897", "Оказание охранных услуг(физическая охрана).")</f>
        <v>Оказание охранных услуг(физическая охрана).</v>
      </c>
      <c r="G3815" s="22" t="s">
        <v>340</v>
      </c>
      <c r="H3815" s="22" t="s">
        <v>5494</v>
      </c>
      <c r="I3815" s="26">
        <v>43672.487696759301</v>
      </c>
      <c r="J3815" s="23" t="str">
        <f>HYPERLINK("https://www.spark-marketing.ru/Card/Person/310040", "ООО ""ВЕТЕРАН-2000-СБ""")</f>
        <v>ООО "ВЕТЕРАН-2000-СБ"</v>
      </c>
      <c r="K3815" s="24" t="s">
        <v>5496</v>
      </c>
      <c r="L3815" s="22" t="s">
        <v>10</v>
      </c>
      <c r="M3815" s="25">
        <v>412848</v>
      </c>
      <c r="N3815" s="27">
        <v>1.0526315789473684E-2</v>
      </c>
    </row>
    <row r="3816" spans="1:14" x14ac:dyDescent="0.15">
      <c r="A3816" s="23" t="str">
        <f>HYPERLINK("https://www.spark-marketing.ru/Card/Person/34482", "ОБУЗ ""КОКОД""")</f>
        <v>ОБУЗ "КОКОД"</v>
      </c>
      <c r="B3816" s="24" t="s">
        <v>5497</v>
      </c>
      <c r="C3816" s="25">
        <v>165000</v>
      </c>
      <c r="D3816" s="22" t="s">
        <v>5498</v>
      </c>
      <c r="E3816" s="22" t="s">
        <v>52</v>
      </c>
      <c r="F3816" s="23" t="str">
        <f>HYPERLINK("https://www.spark-marketing.ru/Card/Lot/72369759", "Оказание услуг по охране объектов средствами тревожной и охранной сигнализации зданий и сооружений (комнат хранения наркотиков)")</f>
        <v>Оказание услуг по охране объектов средствами тревожной и охранной сигнализации зданий и сооружений (комнат хранения наркотиков)</v>
      </c>
      <c r="G3816" s="22" t="s">
        <v>3128</v>
      </c>
      <c r="H3816" s="22" t="s">
        <v>3129</v>
      </c>
      <c r="I3816" s="26">
        <v>43672.488518518498</v>
      </c>
      <c r="J3816" s="23" t="str">
        <f>HYPERLINK("https://www.spark-marketing.ru/Card/Person/113234", "ООО ""ЧОП ""ФЭД+""")</f>
        <v>ООО "ЧОП "ФЭД+"</v>
      </c>
      <c r="K3816" s="24" t="s">
        <v>5499</v>
      </c>
      <c r="L3816" s="22" t="s">
        <v>10</v>
      </c>
      <c r="M3816" s="28" t="s">
        <v>52</v>
      </c>
      <c r="N3816" s="28" t="s">
        <v>52</v>
      </c>
    </row>
    <row r="3817" spans="1:14" x14ac:dyDescent="0.15">
      <c r="A3817" s="23" t="str">
        <f>HYPERLINK("https://www.spark-marketing.ru/Card/Person/5904509", "ЛОВД на ст.Калуга УТ МВД России по ЦФО")</f>
        <v>ЛОВД на ст.Калуга УТ МВД России по ЦФО</v>
      </c>
      <c r="B3817" s="24" t="s">
        <v>5500</v>
      </c>
      <c r="C3817" s="25">
        <v>20000</v>
      </c>
      <c r="D3817" s="22" t="s">
        <v>5501</v>
      </c>
      <c r="E3817" s="22" t="s">
        <v>107</v>
      </c>
      <c r="F3817" s="23" t="str">
        <f>HYPERLINK("https://www.spark-marketing.ru/Card/Lot/72364613", "Техническое обслуживание видеодомофона, 1 мес")</f>
        <v>Техническое обслуживание видеодомофона, 1 мес</v>
      </c>
      <c r="G3817" s="22" t="s">
        <v>658</v>
      </c>
      <c r="H3817" s="22" t="s">
        <v>741</v>
      </c>
      <c r="I3817" s="26">
        <v>43672.4682523148</v>
      </c>
      <c r="J3817" s="28" t="s">
        <v>52</v>
      </c>
      <c r="K3817" s="28" t="s">
        <v>52</v>
      </c>
      <c r="L3817" s="28" t="s">
        <v>52</v>
      </c>
      <c r="M3817" s="28" t="s">
        <v>52</v>
      </c>
      <c r="N3817" s="28" t="s">
        <v>52</v>
      </c>
    </row>
    <row r="3818" spans="1:14" x14ac:dyDescent="0.15">
      <c r="A3818" s="23" t="str">
        <f>HYPERLINK("https://www.spark-marketing.ru/Card/Person/1030070", "МДОУ ДЕТСКИЙ САД ОБЩЕРАЗВИВАЮЩЕГО ВИДА № 28 ""ЛАСТОЧКА""")</f>
        <v>МДОУ ДЕТСКИЙ САД ОБЩЕРАЗВИВАЮЩЕГО ВИДА № 28 "ЛАСТОЧКА"</v>
      </c>
      <c r="B3818" s="24" t="s">
        <v>5502</v>
      </c>
      <c r="C3818" s="25">
        <v>236000</v>
      </c>
      <c r="D3818" s="22" t="s">
        <v>5503</v>
      </c>
      <c r="E3818" s="22" t="s">
        <v>84</v>
      </c>
      <c r="F3818" s="23" t="str">
        <f>HYPERLINK("https://www.spark-marketing.ru/Card/Lot/72367189", "Оказание услуг по согласованию, 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технологического обеспечения региональной общественной безопасно...")</f>
        <v>Оказание услуг по согласованию, 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технологического обеспечения региональной общественной безопасно...</v>
      </c>
      <c r="G3818" s="22" t="s">
        <v>50</v>
      </c>
      <c r="H3818" s="22" t="s">
        <v>682</v>
      </c>
      <c r="I3818" s="26">
        <v>43672.471921296303</v>
      </c>
      <c r="J3818" s="28" t="s">
        <v>52</v>
      </c>
      <c r="K3818" s="28" t="s">
        <v>52</v>
      </c>
      <c r="L3818" s="28" t="s">
        <v>52</v>
      </c>
      <c r="M3818" s="28" t="s">
        <v>52</v>
      </c>
      <c r="N3818" s="28" t="s">
        <v>52</v>
      </c>
    </row>
    <row r="3819" spans="1:14" x14ac:dyDescent="0.2">
      <c r="A3819" s="23" t="str">
        <f>HYPERLINK("https://www.spark-marketing.ru/Card/Person/1759680", "МАДОУ ДС № 16 ""СНЕЖИНКА""")</f>
        <v>МАДОУ ДС № 16 "СНЕЖИНКА"</v>
      </c>
      <c r="B3819" s="24" t="s">
        <v>5504</v>
      </c>
      <c r="C3819" s="25">
        <v>237168</v>
      </c>
      <c r="D3819" s="22" t="s">
        <v>5505</v>
      </c>
      <c r="E3819" s="22" t="s">
        <v>144</v>
      </c>
      <c r="F3819" s="23" t="str">
        <f>HYPERLINK("https://www.spark-marketing.ru/Card/Lot/72416219", "Оказание услуг по физическое охране объекта, осуществление пропускного режима")</f>
        <v>Оказание услуг по физическое охране объекта, осуществление пропускного режима</v>
      </c>
      <c r="G3819" s="22" t="s">
        <v>119</v>
      </c>
      <c r="H3819" s="22" t="s">
        <v>119</v>
      </c>
      <c r="I3819" s="26">
        <v>43672.405138888898</v>
      </c>
      <c r="J3819" s="28" t="s">
        <v>52</v>
      </c>
      <c r="K3819" s="28" t="s">
        <v>52</v>
      </c>
      <c r="L3819" s="22" t="s">
        <v>10</v>
      </c>
      <c r="M3819" s="25">
        <v>237168</v>
      </c>
      <c r="N3819" s="27">
        <v>0</v>
      </c>
    </row>
    <row r="3820" spans="1:14" x14ac:dyDescent="0.2">
      <c r="A3820" s="23" t="str">
        <f>HYPERLINK("https://www.spark-marketing.ru/Card/Person/1762077", "МАДОУ ДС № 15 ""РОСИНКА""")</f>
        <v>МАДОУ ДС № 15 "РОСИНКА"</v>
      </c>
      <c r="B3820" s="24" t="s">
        <v>5506</v>
      </c>
      <c r="C3820" s="25">
        <v>237168</v>
      </c>
      <c r="D3820" s="22" t="s">
        <v>5507</v>
      </c>
      <c r="E3820" s="22" t="s">
        <v>144</v>
      </c>
      <c r="F3820" s="23" t="str">
        <f>HYPERLINK("https://www.spark-marketing.ru/Card/Lot/72416218", "Оказание услуг по физическое охране объекта, осуществление пропускного режима")</f>
        <v>Оказание услуг по физическое охране объекта, осуществление пропускного режима</v>
      </c>
      <c r="G3820" s="22" t="s">
        <v>119</v>
      </c>
      <c r="H3820" s="22" t="s">
        <v>119</v>
      </c>
      <c r="I3820" s="26">
        <v>43672.398090277798</v>
      </c>
      <c r="J3820" s="28" t="s">
        <v>52</v>
      </c>
      <c r="K3820" s="28" t="s">
        <v>52</v>
      </c>
      <c r="L3820" s="22" t="s">
        <v>10</v>
      </c>
      <c r="M3820" s="25">
        <v>237168</v>
      </c>
      <c r="N3820" s="27">
        <v>0</v>
      </c>
    </row>
    <row r="3821" spans="1:14" x14ac:dyDescent="0.15">
      <c r="A3821" s="23" t="str">
        <f t="shared" ref="A3821:A3827" si="166">HYPERLINK("https://www.spark-marketing.ru/Card/Person/128952", "ФКУ ""ГБ МСЭ ПО ТЮМЕНСКОЙ ОБЛАСТИ"" МИНТРУДА РОССИИ")</f>
        <v>ФКУ "ГБ МСЭ ПО ТЮМЕНСКОЙ ОБЛАСТИ" МИНТРУДА РОССИИ</v>
      </c>
      <c r="B3821" s="24" t="s">
        <v>5508</v>
      </c>
      <c r="C3821" s="25">
        <v>299600</v>
      </c>
      <c r="D3821" s="22" t="s">
        <v>5509</v>
      </c>
      <c r="E3821" s="22" t="s">
        <v>107</v>
      </c>
      <c r="F3821" s="23" t="str">
        <f t="shared" ref="F3821:F3827" si="167">HYPERLINK("https://www.spark-marketing.ru/Card/Lot/72360905", "Услуги по техническому обслуживанию систем видеонаблюдения")</f>
        <v>Услуги по техническому обслуживанию систем видеонаблюдения</v>
      </c>
      <c r="G3821" s="22" t="s">
        <v>893</v>
      </c>
      <c r="H3821" s="22" t="s">
        <v>893</v>
      </c>
      <c r="I3821" s="26">
        <v>43672.3901273148</v>
      </c>
      <c r="J3821" s="28" t="s">
        <v>52</v>
      </c>
      <c r="K3821" s="28" t="s">
        <v>52</v>
      </c>
      <c r="L3821" s="28" t="s">
        <v>52</v>
      </c>
      <c r="M3821" s="28" t="s">
        <v>52</v>
      </c>
      <c r="N3821" s="28" t="s">
        <v>52</v>
      </c>
    </row>
    <row r="3822" spans="1:14" hidden="1" outlineLevel="1" x14ac:dyDescent="0.2">
      <c r="A3822" s="23" t="str">
        <f t="shared" si="166"/>
        <v>ФКУ "ГБ МСЭ ПО ТЮМЕНСКОЙ ОБЛАСТИ" МИНТРУДА РОССИИ</v>
      </c>
      <c r="B3822" s="24" t="s">
        <v>5508</v>
      </c>
      <c r="C3822" s="25">
        <v>299600</v>
      </c>
      <c r="D3822" s="22" t="s">
        <v>5509</v>
      </c>
      <c r="E3822" s="22" t="s">
        <v>107</v>
      </c>
      <c r="F3822" s="23" t="str">
        <f t="shared" si="167"/>
        <v>Услуги по техническому обслуживанию систем видеонаблюдения</v>
      </c>
      <c r="G3822" s="22" t="s">
        <v>893</v>
      </c>
      <c r="H3822" s="22" t="s">
        <v>893</v>
      </c>
      <c r="I3822" s="26">
        <v>43672.3901273148</v>
      </c>
      <c r="J3822" s="23" t="str">
        <f>HYPERLINK("https://www.spark-marketing.ru/Card/Person/4586905", "ООО ""ПОЖСПЕЦОХРАНСИСТЕМ""")</f>
        <v>ООО "ПОЖСПЕЦОХРАНСИСТЕМ"</v>
      </c>
      <c r="K3822" s="24" t="s">
        <v>5510</v>
      </c>
      <c r="L3822" s="28" t="s">
        <v>52</v>
      </c>
      <c r="M3822" s="25">
        <v>149268.16</v>
      </c>
      <c r="N3822" s="27">
        <v>0.50177516688918555</v>
      </c>
    </row>
    <row r="3823" spans="1:14" hidden="1" outlineLevel="1" x14ac:dyDescent="0.2">
      <c r="A3823" s="23" t="str">
        <f t="shared" si="166"/>
        <v>ФКУ "ГБ МСЭ ПО ТЮМЕНСКОЙ ОБЛАСТИ" МИНТРУДА РОССИИ</v>
      </c>
      <c r="B3823" s="24" t="s">
        <v>5508</v>
      </c>
      <c r="C3823" s="25">
        <v>299600</v>
      </c>
      <c r="D3823" s="22" t="s">
        <v>5509</v>
      </c>
      <c r="E3823" s="22" t="s">
        <v>107</v>
      </c>
      <c r="F3823" s="23" t="str">
        <f t="shared" si="167"/>
        <v>Услуги по техническому обслуживанию систем видеонаблюдения</v>
      </c>
      <c r="G3823" s="22" t="s">
        <v>893</v>
      </c>
      <c r="H3823" s="22" t="s">
        <v>893</v>
      </c>
      <c r="I3823" s="26">
        <v>43672.3901273148</v>
      </c>
      <c r="J3823" s="23" t="str">
        <f>HYPERLINK("https://www.spark-marketing.ru/Card/Person/857536", "Маматуллин Антон Альбрусович")</f>
        <v>Маматуллин Антон Альбрусович</v>
      </c>
      <c r="K3823" s="24" t="s">
        <v>5511</v>
      </c>
      <c r="L3823" s="28" t="s">
        <v>52</v>
      </c>
      <c r="M3823" s="25">
        <v>185752</v>
      </c>
      <c r="N3823" s="27">
        <v>0.38</v>
      </c>
    </row>
    <row r="3824" spans="1:14" hidden="1" outlineLevel="1" x14ac:dyDescent="0.2">
      <c r="A3824" s="23" t="str">
        <f t="shared" si="166"/>
        <v>ФКУ "ГБ МСЭ ПО ТЮМЕНСКОЙ ОБЛАСТИ" МИНТРУДА РОССИИ</v>
      </c>
      <c r="B3824" s="24" t="s">
        <v>5508</v>
      </c>
      <c r="C3824" s="25">
        <v>299600</v>
      </c>
      <c r="D3824" s="22" t="s">
        <v>5509</v>
      </c>
      <c r="E3824" s="22" t="s">
        <v>107</v>
      </c>
      <c r="F3824" s="23" t="str">
        <f t="shared" si="167"/>
        <v>Услуги по техническому обслуживанию систем видеонаблюдения</v>
      </c>
      <c r="G3824" s="22" t="s">
        <v>893</v>
      </c>
      <c r="H3824" s="22" t="s">
        <v>893</v>
      </c>
      <c r="I3824" s="26">
        <v>43672.3901273148</v>
      </c>
      <c r="J3824" s="23" t="str">
        <f>HYPERLINK("https://www.spark-marketing.ru/Card/Person/6365469", "Долин Михаил Юрьевич")</f>
        <v>Долин Михаил Юрьевич</v>
      </c>
      <c r="K3824" s="24" t="s">
        <v>5512</v>
      </c>
      <c r="L3824" s="28" t="s">
        <v>52</v>
      </c>
      <c r="M3824" s="25">
        <v>163282</v>
      </c>
      <c r="N3824" s="27">
        <v>0.45500000000000002</v>
      </c>
    </row>
    <row r="3825" spans="1:14" ht="12.75" hidden="1" outlineLevel="1" x14ac:dyDescent="0.2">
      <c r="A3825" s="23" t="str">
        <f t="shared" si="166"/>
        <v>ФКУ "ГБ МСЭ ПО ТЮМЕНСКОЙ ОБЛАСТИ" МИНТРУДА РОССИИ</v>
      </c>
      <c r="B3825" s="24" t="s">
        <v>5508</v>
      </c>
      <c r="C3825" s="25">
        <v>299600</v>
      </c>
      <c r="D3825" s="22" t="s">
        <v>5509</v>
      </c>
      <c r="E3825" s="22" t="s">
        <v>107</v>
      </c>
      <c r="F3825" s="23" t="str">
        <f t="shared" si="167"/>
        <v>Услуги по техническому обслуживанию систем видеонаблюдения</v>
      </c>
      <c r="G3825" s="22" t="s">
        <v>893</v>
      </c>
      <c r="H3825" s="22" t="s">
        <v>893</v>
      </c>
      <c r="I3825" s="26">
        <v>43672.3901273148</v>
      </c>
      <c r="J3825" s="23" t="str">
        <f>HYPERLINK("https://www.spark-marketing.ru/Card/Person/5888347", "ООО ""ЭВЕРЛИНК""")</f>
        <v>ООО "ЭВЕРЛИНК"</v>
      </c>
      <c r="K3825" s="24" t="s">
        <v>5513</v>
      </c>
      <c r="L3825" s="22" t="s">
        <v>10</v>
      </c>
      <c r="M3825" s="25">
        <v>94852.36</v>
      </c>
      <c r="N3825" s="27">
        <v>0.68340333778371165</v>
      </c>
    </row>
    <row r="3826" spans="1:14" hidden="1" outlineLevel="1" x14ac:dyDescent="0.2">
      <c r="A3826" s="23" t="str">
        <f t="shared" si="166"/>
        <v>ФКУ "ГБ МСЭ ПО ТЮМЕНСКОЙ ОБЛАСТИ" МИНТРУДА РОССИИ</v>
      </c>
      <c r="B3826" s="24" t="s">
        <v>5508</v>
      </c>
      <c r="C3826" s="25">
        <v>299600</v>
      </c>
      <c r="D3826" s="22" t="s">
        <v>5509</v>
      </c>
      <c r="E3826" s="22" t="s">
        <v>107</v>
      </c>
      <c r="F3826" s="23" t="str">
        <f t="shared" si="167"/>
        <v>Услуги по техническому обслуживанию систем видеонаблюдения</v>
      </c>
      <c r="G3826" s="22" t="s">
        <v>893</v>
      </c>
      <c r="H3826" s="22" t="s">
        <v>893</v>
      </c>
      <c r="I3826" s="26">
        <v>43672.3901273148</v>
      </c>
      <c r="J3826" s="23" t="str">
        <f>HYPERLINK("https://www.spark-marketing.ru/Card/Person/6448349", "Олейник Александр Игоревич")</f>
        <v>Олейник Александр Игоревич</v>
      </c>
      <c r="K3826" s="24" t="s">
        <v>5514</v>
      </c>
      <c r="L3826" s="28" t="s">
        <v>52</v>
      </c>
      <c r="M3826" s="25">
        <v>96350.36</v>
      </c>
      <c r="N3826" s="27">
        <v>0.67840333778371165</v>
      </c>
    </row>
    <row r="3827" spans="1:14" hidden="1" outlineLevel="1" x14ac:dyDescent="0.2">
      <c r="A3827" s="23" t="str">
        <f t="shared" si="166"/>
        <v>ФКУ "ГБ МСЭ ПО ТЮМЕНСКОЙ ОБЛАСТИ" МИНТРУДА РОССИИ</v>
      </c>
      <c r="B3827" s="24" t="s">
        <v>5508</v>
      </c>
      <c r="C3827" s="25">
        <v>299600</v>
      </c>
      <c r="D3827" s="22" t="s">
        <v>5509</v>
      </c>
      <c r="E3827" s="22" t="s">
        <v>107</v>
      </c>
      <c r="F3827" s="23" t="str">
        <f t="shared" si="167"/>
        <v>Услуги по техническому обслуживанию систем видеонаблюдения</v>
      </c>
      <c r="G3827" s="22" t="s">
        <v>893</v>
      </c>
      <c r="H3827" s="22" t="s">
        <v>893</v>
      </c>
      <c r="I3827" s="26">
        <v>43672.3901273148</v>
      </c>
      <c r="J3827" s="23" t="str">
        <f>HYPERLINK("https://www.spark-marketing.ru/Card/Person/5770152", "Васильев Виталий Владимирович")</f>
        <v>Васильев Виталий Владимирович</v>
      </c>
      <c r="K3827" s="24" t="s">
        <v>5515</v>
      </c>
      <c r="L3827" s="28" t="s">
        <v>52</v>
      </c>
      <c r="M3827" s="25">
        <v>218708</v>
      </c>
      <c r="N3827" s="27">
        <v>0.27</v>
      </c>
    </row>
    <row r="3828" spans="1:14" x14ac:dyDescent="0.15">
      <c r="A3828" s="23" t="str">
        <f>HYPERLINK("https://www.spark-marketing.ru/Card/Person/26971", "УПРАВЛЕНИЕ РОСРЕЕСТРА ПО КРАСНОДАРСКОМУ КРАЮ")</f>
        <v>УПРАВЛЕНИЕ РОСРЕЕСТРА ПО КРАСНОДАРСКОМУ КРАЮ</v>
      </c>
      <c r="B3828" s="24" t="s">
        <v>5125</v>
      </c>
      <c r="C3828" s="25">
        <v>5381.97</v>
      </c>
      <c r="D3828" s="22" t="s">
        <v>5516</v>
      </c>
      <c r="E3828" s="22" t="s">
        <v>53</v>
      </c>
      <c r="F3828" s="23" t="str">
        <f>HYPERLINK("https://www.spark-marketing.ru/Card/Lot/72362375", "Пультовая охрана, 1 ч")</f>
        <v>Пультовая охрана, 1 ч</v>
      </c>
      <c r="G3828" s="22" t="s">
        <v>132</v>
      </c>
      <c r="H3828" s="22" t="s">
        <v>5517</v>
      </c>
      <c r="I3828" s="26">
        <v>43672.407245370399</v>
      </c>
      <c r="J3828" s="28" t="s">
        <v>52</v>
      </c>
      <c r="K3828" s="28" t="s">
        <v>52</v>
      </c>
      <c r="L3828" s="28" t="s">
        <v>52</v>
      </c>
      <c r="M3828" s="28" t="s">
        <v>52</v>
      </c>
      <c r="N3828" s="28" t="s">
        <v>52</v>
      </c>
    </row>
    <row r="3829" spans="1:14" x14ac:dyDescent="0.15">
      <c r="A3829" s="23" t="str">
        <f>HYPERLINK("https://www.spark-marketing.ru/Card/Person/562342", "СЮН")</f>
        <v>СЮН</v>
      </c>
      <c r="B3829" s="24" t="s">
        <v>5518</v>
      </c>
      <c r="C3829" s="25">
        <v>144206</v>
      </c>
      <c r="D3829" s="22" t="s">
        <v>5519</v>
      </c>
      <c r="E3829" s="22" t="s">
        <v>194</v>
      </c>
      <c r="F3829" s="23" t="str">
        <f>HYPERLINK("https://www.spark-marketing.ru/Card/Lot/72362169", "услуга по установке оборудования системы видеонаблюдения")</f>
        <v>услуга по установке оборудования системы видеонаблюдения</v>
      </c>
      <c r="G3829" s="22" t="s">
        <v>402</v>
      </c>
      <c r="H3829" s="22" t="s">
        <v>5520</v>
      </c>
      <c r="I3829" s="26">
        <v>43672.410416666702</v>
      </c>
      <c r="J3829" s="28" t="s">
        <v>52</v>
      </c>
      <c r="K3829" s="28" t="s">
        <v>52</v>
      </c>
      <c r="L3829" s="28" t="s">
        <v>52</v>
      </c>
      <c r="M3829" s="28" t="s">
        <v>52</v>
      </c>
      <c r="N3829" s="28" t="s">
        <v>52</v>
      </c>
    </row>
    <row r="3830" spans="1:14" x14ac:dyDescent="0.15">
      <c r="A3830" s="23" t="str">
        <f>HYPERLINK("https://www.spark-marketing.ru/Card/Person/4348562", "АО ""АТОМТЕХЭНЕРГО""")</f>
        <v>АО "АТОМТЕХЭНЕРГО"</v>
      </c>
      <c r="B3830" s="24" t="s">
        <v>4449</v>
      </c>
      <c r="C3830" s="28" t="s">
        <v>52</v>
      </c>
      <c r="D3830" s="22" t="s">
        <v>5521</v>
      </c>
      <c r="E3830" s="22" t="s">
        <v>53</v>
      </c>
      <c r="F3830" s="23" t="str">
        <f>HYPERLINK("https://www.spark-marketing.ru/Card/Lot/72365467", "Оказание услуг по физической и пультовой охране Объектов и территории Балаковского филиала «Балаковоатомтехэнерго» АО «Атомтехэнерго». (1307011)")</f>
        <v>Оказание услуг по физической и пультовой охране Объектов и территории Балаковского филиала «Балаковоатомтехэнерго» АО «Атомтехэнерго». (1307011)</v>
      </c>
      <c r="G3830" s="22" t="s">
        <v>55</v>
      </c>
      <c r="H3830" s="22" t="s">
        <v>55</v>
      </c>
      <c r="I3830" s="26">
        <v>43672.339398148099</v>
      </c>
      <c r="J3830" s="28" t="s">
        <v>52</v>
      </c>
      <c r="K3830" s="28" t="s">
        <v>52</v>
      </c>
      <c r="L3830" s="28" t="s">
        <v>52</v>
      </c>
      <c r="M3830" s="28" t="s">
        <v>52</v>
      </c>
      <c r="N3830" s="28" t="s">
        <v>52</v>
      </c>
    </row>
    <row r="3831" spans="1:14" x14ac:dyDescent="0.15">
      <c r="A3831" s="23" t="str">
        <f>HYPERLINK("https://www.spark-marketing.ru/Card/Person/4348562", "АО ""АТОМТЕХЭНЕРГО""")</f>
        <v>АО "АТОМТЕХЭНЕРГО"</v>
      </c>
      <c r="B3831" s="24" t="s">
        <v>4449</v>
      </c>
      <c r="C3831" s="25">
        <v>0</v>
      </c>
      <c r="D3831" s="22" t="s">
        <v>5522</v>
      </c>
      <c r="E3831" s="22" t="s">
        <v>53</v>
      </c>
      <c r="F3831" s="23" t="str">
        <f>HYPERLINK("https://www.spark-marketing.ru/Card/Lot/72415579", "мониторинг цен в электронной форме на Оказание услуг по физической и пультовой охране Объектов и территории Балаковского филиала «Балаковоатомтехэнерго» АО «Атомтехэнерго».")</f>
        <v>мониторинг цен в электронной форме на Оказание услуг по физической и пультовой охране Объектов и территории Балаковского филиала «Балаковоатомтехэнерго» АО «Атомтехэнерго».</v>
      </c>
      <c r="G3831" s="22" t="s">
        <v>55</v>
      </c>
      <c r="H3831" s="22" t="s">
        <v>55</v>
      </c>
      <c r="I3831" s="26">
        <v>43672.339409722197</v>
      </c>
      <c r="J3831" s="28" t="s">
        <v>52</v>
      </c>
      <c r="K3831" s="28" t="s">
        <v>52</v>
      </c>
      <c r="L3831" s="28" t="s">
        <v>52</v>
      </c>
      <c r="M3831" s="28" t="s">
        <v>52</v>
      </c>
      <c r="N3831" s="28" t="s">
        <v>52</v>
      </c>
    </row>
    <row r="3832" spans="1:14" x14ac:dyDescent="0.15">
      <c r="A3832" s="23" t="str">
        <f>HYPERLINK("https://www.spark-marketing.ru/Card/Person/1004694", "КУ ЦЗН АЗОВСКОГО РАЙОНА")</f>
        <v>КУ ЦЗН АЗОВСКОГО РАЙОНА</v>
      </c>
      <c r="B3832" s="24" t="s">
        <v>5523</v>
      </c>
      <c r="C3832" s="25">
        <v>114550.33</v>
      </c>
      <c r="D3832" s="22" t="s">
        <v>5524</v>
      </c>
      <c r="E3832" s="22" t="s">
        <v>194</v>
      </c>
      <c r="F3832" s="23" t="str">
        <f>HYPERLINK("https://www.spark-marketing.ru/Card/Lot/72361382", "Приобретение системы видеонаблюдения включая его установку в административном здании и по наружному периметру КУ ЦЗН Азовского района")</f>
        <v>Приобретение системы видеонаблюдения включая его установку в административном здании и по наружному периметру КУ ЦЗН Азовского района</v>
      </c>
      <c r="G3832" s="22" t="s">
        <v>521</v>
      </c>
      <c r="H3832" s="22" t="s">
        <v>5525</v>
      </c>
      <c r="I3832" s="26">
        <v>43672.341666666704</v>
      </c>
      <c r="J3832" s="28" t="s">
        <v>52</v>
      </c>
      <c r="K3832" s="28" t="s">
        <v>52</v>
      </c>
      <c r="L3832" s="28" t="s">
        <v>52</v>
      </c>
      <c r="M3832" s="28" t="s">
        <v>52</v>
      </c>
      <c r="N3832" s="28" t="s">
        <v>52</v>
      </c>
    </row>
    <row r="3833" spans="1:14" x14ac:dyDescent="0.15">
      <c r="A3833" s="23" t="str">
        <f>HYPERLINK("https://www.spark-marketing.ru/Card/Person/6052008", "ООО ""САПЛ-БИЗ""")</f>
        <v>ООО "САПЛ-БИЗ"</v>
      </c>
      <c r="B3833" s="24" t="s">
        <v>3500</v>
      </c>
      <c r="C3833" s="28" t="s">
        <v>52</v>
      </c>
      <c r="D3833" s="22" t="s">
        <v>5526</v>
      </c>
      <c r="E3833" s="22" t="s">
        <v>53</v>
      </c>
      <c r="F3833" s="23" t="str">
        <f>HYPERLINK("https://www.spark-marketing.ru/Card/Lot/72360062", "Требуется следующие позиции: 1. Завеса тепловая ""BALLU"" ВНС-9SR - 1 шт.; 2. Кабель связи оптический: ОПС-004Е04-1 - 50 м.; 3. Кнопка тревожной сигнализации Астра-322 - 2 шт. Предложения интересны по г. Тюмень")</f>
        <v>Требуется следующие позиции: 1. Завеса тепловая "BALLU" ВНС-9SR - 1 шт.; 2. Кабель связи оптический: ОПС-004Е04-1 - 50 м.; 3. Кнопка тревожной сигнализации Астра-322 - 2 шт. Предложения интересны по г. Тюмень</v>
      </c>
      <c r="G3833" s="22" t="s">
        <v>150</v>
      </c>
      <c r="H3833" s="22" t="s">
        <v>1656</v>
      </c>
      <c r="I3833" s="26">
        <v>43672.295231481497</v>
      </c>
      <c r="J3833" s="28" t="s">
        <v>52</v>
      </c>
      <c r="K3833" s="28" t="s">
        <v>52</v>
      </c>
      <c r="L3833" s="28" t="s">
        <v>52</v>
      </c>
      <c r="M3833" s="28" t="s">
        <v>52</v>
      </c>
      <c r="N3833" s="28" t="s">
        <v>52</v>
      </c>
    </row>
    <row r="3834" spans="1:14" x14ac:dyDescent="0.15">
      <c r="A3834" s="23" t="str">
        <f>HYPERLINK("https://www.spark-marketing.ru/Card/Person/997049", "МУ ""ЦБС""")</f>
        <v>МУ "ЦБС"</v>
      </c>
      <c r="B3834" s="24" t="s">
        <v>5527</v>
      </c>
      <c r="C3834" s="25">
        <v>1892.5</v>
      </c>
      <c r="D3834" s="22" t="s">
        <v>5528</v>
      </c>
      <c r="E3834" s="22" t="s">
        <v>5442</v>
      </c>
      <c r="F3834" s="23" t="str">
        <f>HYPERLINK("https://www.spark-marketing.ru/Card/Lot/72360395", "Приобретение литературы в рамках МП «Обеспечение общественного порядка и противодействие преступности в КГО» п/п «Проведение на базе музеев и библиотек выставок, тематических акций, направленных на развитие межконфессионального и межнационального сог...")</f>
        <v>Приобретение литературы в рамках МП «Обеспечение общественного порядка и противодействие преступности в КГО» п/п «Проведение на базе музеев и библиотек выставок, тематических акций, направленных на развитие межконфессионального и межнационального сог...</v>
      </c>
      <c r="G3834" s="22" t="s">
        <v>60</v>
      </c>
      <c r="H3834" s="22" t="s">
        <v>5529</v>
      </c>
      <c r="I3834" s="26">
        <v>43672.328472222202</v>
      </c>
      <c r="J3834" s="28" t="s">
        <v>52</v>
      </c>
      <c r="K3834" s="28" t="s">
        <v>52</v>
      </c>
      <c r="L3834" s="28" t="s">
        <v>52</v>
      </c>
      <c r="M3834" s="28" t="s">
        <v>52</v>
      </c>
      <c r="N3834" s="28" t="s">
        <v>52</v>
      </c>
    </row>
    <row r="3835" spans="1:14" x14ac:dyDescent="0.15">
      <c r="A3835" s="23" t="str">
        <f>HYPERLINK("https://www.spark-marketing.ru/Card/Person/10487", "ФГУП ""ОХРАНА"" РОСГВАРДИИ")</f>
        <v>ФГУП "ОХРАНА" РОСГВАРДИИ</v>
      </c>
      <c r="B3835" s="24" t="s">
        <v>779</v>
      </c>
      <c r="C3835" s="25">
        <v>1262789.3899999999</v>
      </c>
      <c r="D3835" s="22" t="s">
        <v>5530</v>
      </c>
      <c r="E3835" s="22" t="s">
        <v>5531</v>
      </c>
      <c r="F3835" s="23" t="str">
        <f>HYPERLINK("https://www.spark-marketing.ru/Card/Lot/72377897", "Поставка полиграфической продукции для нужд Управления по приволжскому федеральному округу Центра охраны объектов промышленности")</f>
        <v>Поставка полиграфической продукции для нужд Управления по приволжскому федеральному округу Центра охраны объектов промышленности</v>
      </c>
      <c r="G3835" s="22" t="s">
        <v>204</v>
      </c>
      <c r="H3835" s="22" t="s">
        <v>204</v>
      </c>
      <c r="I3835" s="26">
        <v>43672</v>
      </c>
      <c r="J3835" s="28" t="s">
        <v>52</v>
      </c>
      <c r="K3835" s="28" t="s">
        <v>52</v>
      </c>
      <c r="L3835" s="28" t="s">
        <v>52</v>
      </c>
      <c r="M3835" s="28" t="s">
        <v>52</v>
      </c>
      <c r="N3835" s="28" t="s">
        <v>52</v>
      </c>
    </row>
    <row r="3836" spans="1:14" x14ac:dyDescent="0.15">
      <c r="A3836" s="23" t="str">
        <f>HYPERLINK("https://www.spark-marketing.ru/Card/Person/4348164", "ГУП ""ПЕТЕРБУРГСКИЙ МЕТРОПОЛИТЕН """)</f>
        <v>ГУП "ПЕТЕРБУРГСКИЙ МЕТРОПОЛИТЕН "</v>
      </c>
      <c r="B3836" s="24" t="s">
        <v>5532</v>
      </c>
      <c r="C3836" s="25">
        <v>63784637.880000003</v>
      </c>
      <c r="D3836" s="22" t="s">
        <v>5533</v>
      </c>
      <c r="E3836" s="22" t="s">
        <v>144</v>
      </c>
      <c r="F3836" s="23" t="str">
        <f>HYPERLINK("https://www.spark-marketing.ru/Card/Lot/72388917", "Оказание услуг по обеспечению транспортной безопасности объекта (электродепо «Южное») ГУП «Петербургский метрополитен»")</f>
        <v>Оказание услуг по обеспечению транспортной безопасности объекта (электродепо «Южное») ГУП «Петербургский метрополитен»</v>
      </c>
      <c r="G3836" s="22" t="s">
        <v>89</v>
      </c>
      <c r="H3836" s="22" t="s">
        <v>89</v>
      </c>
      <c r="I3836" s="26">
        <v>43672</v>
      </c>
      <c r="J3836" s="28" t="s">
        <v>52</v>
      </c>
      <c r="K3836" s="28" t="s">
        <v>52</v>
      </c>
      <c r="L3836" s="28" t="s">
        <v>52</v>
      </c>
      <c r="M3836" s="28" t="s">
        <v>52</v>
      </c>
      <c r="N3836" s="28" t="s">
        <v>52</v>
      </c>
    </row>
    <row r="3837" spans="1:14" x14ac:dyDescent="0.15">
      <c r="A3837" s="23" t="str">
        <f>HYPERLINK("https://www.spark-marketing.ru/Card/Person/123422", "ПАО ""МОСКОВСКАЯ ОБЪЕДИНЕННАЯ ЭЛЕКТРОСЕТЕВАЯ КОМПАНИЯ"" ПАО ""МОЭСК""")</f>
        <v>ПАО "МОСКОВСКАЯ ОБЪЕДИНЕННАЯ ЭЛЕКТРОСЕТЕВАЯ КОМПАНИЯ" ПАО "МОЭСК"</v>
      </c>
      <c r="B3837" s="24" t="s">
        <v>2579</v>
      </c>
      <c r="C3837" s="25">
        <v>2485553</v>
      </c>
      <c r="D3837" s="22" t="s">
        <v>5534</v>
      </c>
      <c r="E3837" s="22" t="s">
        <v>2581</v>
      </c>
      <c r="F3837" s="23" t="str">
        <f>HYPERLINK("https://www.spark-marketing.ru/Card/Lot/72375506", "Определение подрядчика на выполнение работ по техническому обслуживанию комплекса на базе видеостены на ДП ВЭС - филиала ПАО «МОЭСК» по адресу: МО,г.Ногинск, ул.Радченко, д.13 в 2019-2020 гг.")</f>
        <v>Определение подрядчика на выполнение работ по техническому обслуживанию комплекса на базе видеостены на ДП ВЭС - филиала ПАО «МОЭСК» по адресу: МО,г.Ногинск, ул.Радченко, д.13 в 2019-2020 гг.</v>
      </c>
      <c r="G3837" s="22" t="s">
        <v>55</v>
      </c>
      <c r="H3837" s="22" t="s">
        <v>55</v>
      </c>
      <c r="I3837" s="26">
        <v>43672</v>
      </c>
      <c r="J3837" s="28" t="s">
        <v>52</v>
      </c>
      <c r="K3837" s="28" t="s">
        <v>52</v>
      </c>
      <c r="L3837" s="28" t="s">
        <v>52</v>
      </c>
      <c r="M3837" s="28" t="s">
        <v>52</v>
      </c>
      <c r="N3837" s="28" t="s">
        <v>52</v>
      </c>
    </row>
    <row r="3838" spans="1:14" x14ac:dyDescent="0.2">
      <c r="A3838" s="23" t="str">
        <f>HYPERLINK("https://www.spark-marketing.ru/Card/Person/4343563", "РТРС")</f>
        <v>РТРС</v>
      </c>
      <c r="B3838" s="24" t="s">
        <v>1414</v>
      </c>
      <c r="C3838" s="25">
        <v>2785321.3</v>
      </c>
      <c r="D3838" s="22" t="s">
        <v>5535</v>
      </c>
      <c r="E3838" s="22" t="s">
        <v>144</v>
      </c>
      <c r="F3838" s="23" t="str">
        <f>HYPERLINK("https://www.spark-marketing.ru/Card/Lot/72380128", "Физическая охрана объекта и осуществление контрольно-пропускного режима")</f>
        <v>Физическая охрана объекта и осуществление контрольно-пропускного режима</v>
      </c>
      <c r="G3838" s="22" t="s">
        <v>55</v>
      </c>
      <c r="H3838" s="22" t="s">
        <v>55</v>
      </c>
      <c r="I3838" s="26">
        <v>43672</v>
      </c>
      <c r="J3838" s="28" t="s">
        <v>52</v>
      </c>
      <c r="K3838" s="28" t="s">
        <v>52</v>
      </c>
      <c r="L3838" s="22" t="s">
        <v>10</v>
      </c>
      <c r="M3838" s="25">
        <v>2785248</v>
      </c>
      <c r="N3838" s="27">
        <v>2.6316533033370335E-5</v>
      </c>
    </row>
    <row r="3839" spans="1:14" x14ac:dyDescent="0.15">
      <c r="A3839" s="23" t="str">
        <f>HYPERLINK("https://www.spark-marketing.ru/Card/Person/294736", "АО ""ОМСК РТС""")</f>
        <v>АО "ОМСК РТС"</v>
      </c>
      <c r="B3839" s="24" t="s">
        <v>518</v>
      </c>
      <c r="C3839" s="25">
        <v>2696174.27</v>
      </c>
      <c r="D3839" s="22" t="s">
        <v>5536</v>
      </c>
      <c r="E3839" s="22" t="s">
        <v>533</v>
      </c>
      <c r="F3839" s="23" t="str">
        <f>HYPERLINK("https://www.spark-marketing.ru/Card/Lot/72378235", "Установка системы видеоконференцсвязи для нужд АО ОРТС")</f>
        <v>Установка системы видеоконференцсвязи для нужд АО ОРТС</v>
      </c>
      <c r="G3839" s="22" t="s">
        <v>521</v>
      </c>
      <c r="H3839" s="22" t="s">
        <v>522</v>
      </c>
      <c r="I3839" s="26">
        <v>43672</v>
      </c>
      <c r="J3839" s="28" t="s">
        <v>52</v>
      </c>
      <c r="K3839" s="28" t="s">
        <v>52</v>
      </c>
      <c r="L3839" s="28" t="s">
        <v>52</v>
      </c>
      <c r="M3839" s="28" t="s">
        <v>52</v>
      </c>
      <c r="N3839" s="28" t="s">
        <v>52</v>
      </c>
    </row>
    <row r="3840" spans="1:14" x14ac:dyDescent="0.15">
      <c r="A3840" s="23" t="str">
        <f>HYPERLINK("https://www.spark-marketing.ru/Card/Person/4413901", "АО ""ПКТ""")</f>
        <v>АО "ПКТ"</v>
      </c>
      <c r="B3840" s="24" t="s">
        <v>791</v>
      </c>
      <c r="C3840" s="25">
        <v>47868000</v>
      </c>
      <c r="D3840" s="22" t="s">
        <v>5537</v>
      </c>
      <c r="E3840" s="22" t="s">
        <v>49</v>
      </c>
      <c r="F3840" s="23" t="str">
        <f>HYPERLINK("https://www.spark-marketing.ru/Card/Lot/72381037", "Выполнение работ по реализации мероприятий повышения безопасности объекта транспортной инфраструктуры 4-й категории АО ""ПКТ""")</f>
        <v>Выполнение работ по реализации мероприятий повышения безопасности объекта транспортной инфраструктуры 4-й категории АО "ПКТ"</v>
      </c>
      <c r="G3840" s="22" t="s">
        <v>89</v>
      </c>
      <c r="H3840" s="22" t="s">
        <v>89</v>
      </c>
      <c r="I3840" s="26">
        <v>43672</v>
      </c>
      <c r="J3840" s="28" t="s">
        <v>52</v>
      </c>
      <c r="K3840" s="28" t="s">
        <v>52</v>
      </c>
      <c r="L3840" s="28" t="s">
        <v>52</v>
      </c>
      <c r="M3840" s="28" t="s">
        <v>52</v>
      </c>
      <c r="N3840" s="28" t="s">
        <v>52</v>
      </c>
    </row>
    <row r="3841" spans="1:14" x14ac:dyDescent="0.15">
      <c r="A3841" s="23" t="str">
        <f>HYPERLINK("https://www.spark-marketing.ru/Card/Person/3504", "ФКУ УПРДОР ""КАСПИЙ""")</f>
        <v>ФКУ УПРДОР "КАСПИЙ"</v>
      </c>
      <c r="B3841" s="24" t="s">
        <v>1277</v>
      </c>
      <c r="C3841" s="25">
        <v>45871650</v>
      </c>
      <c r="D3841" s="22" t="s">
        <v>5538</v>
      </c>
      <c r="E3841" s="22" t="s">
        <v>84</v>
      </c>
      <c r="F3841" s="23" t="str">
        <f>HYPERLINK("https://www.spark-marketing.ru/Card/Lot/72365786", "Установка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дорожного движения) в Республике Дагестан.")</f>
        <v>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дорожного движения) в Республике Дагестан.</v>
      </c>
      <c r="G3841" s="22" t="s">
        <v>595</v>
      </c>
      <c r="H3841" s="22" t="s">
        <v>595</v>
      </c>
      <c r="I3841" s="26">
        <v>43671.797557870399</v>
      </c>
      <c r="J3841" s="23" t="str">
        <f>HYPERLINK("https://www.spark-marketing.ru/Card/Person/1354238", "ООО ""ЛАБОРАТОРИЯ ЦИФРОВОГО ЗРЕНИЯ""")</f>
        <v>ООО "ЛАБОРАТОРИЯ ЦИФРОВОГО ЗРЕНИЯ"</v>
      </c>
      <c r="K3841" s="24" t="s">
        <v>1191</v>
      </c>
      <c r="L3841" s="28" t="s">
        <v>52</v>
      </c>
      <c r="M3841" s="28" t="s">
        <v>52</v>
      </c>
      <c r="N3841" s="28" t="s">
        <v>52</v>
      </c>
    </row>
    <row r="3842" spans="1:14" ht="12.75" hidden="1" outlineLevel="1" x14ac:dyDescent="0.2">
      <c r="A3842" s="23" t="str">
        <f>HYPERLINK("https://www.spark-marketing.ru/Card/Person/3504", "ФКУ УПРДОР ""КАСПИЙ""")</f>
        <v>ФКУ УПРДОР "КАСПИЙ"</v>
      </c>
      <c r="B3842" s="24" t="s">
        <v>1277</v>
      </c>
      <c r="C3842" s="25">
        <v>45871650</v>
      </c>
      <c r="D3842" s="22" t="s">
        <v>5538</v>
      </c>
      <c r="E3842" s="22" t="s">
        <v>84</v>
      </c>
      <c r="F3842" s="23" t="str">
        <f>HYPERLINK("https://www.spark-marketing.ru/Card/Lot/72365786", "Установка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дорожного движения) в Республике Дагестан.")</f>
        <v>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дорожного движения) в Республике Дагестан.</v>
      </c>
      <c r="G3842" s="22" t="s">
        <v>595</v>
      </c>
      <c r="H3842" s="22" t="s">
        <v>595</v>
      </c>
      <c r="I3842" s="26">
        <v>43671.797557870399</v>
      </c>
      <c r="J3842" s="23" t="str">
        <f>HYPERLINK("https://www.spark-marketing.ru/Card/Person/1354238", "ООО ""ЛАБОРАТОРИЯ ЦИФРОВОГО ЗРЕНИЯ""")</f>
        <v>ООО "ЛАБОРАТОРИЯ ЦИФРОВОГО ЗРЕНИЯ"</v>
      </c>
      <c r="K3842" s="24" t="s">
        <v>1191</v>
      </c>
      <c r="L3842" s="22" t="s">
        <v>10</v>
      </c>
      <c r="M3842" s="25">
        <v>45642291.75</v>
      </c>
      <c r="N3842" s="27">
        <v>5.0000000000000001E-3</v>
      </c>
    </row>
    <row r="3843" spans="1:14" x14ac:dyDescent="0.15">
      <c r="A3843" s="23" t="str">
        <f>HYPERLINK("https://www.spark-marketing.ru/Card/Person/1023368", "МОУ СОШ №26")</f>
        <v>МОУ СОШ №26</v>
      </c>
      <c r="B3843" s="24" t="s">
        <v>2721</v>
      </c>
      <c r="C3843" s="25">
        <v>18000</v>
      </c>
      <c r="D3843" s="22" t="s">
        <v>5539</v>
      </c>
      <c r="E3843" s="22" t="s">
        <v>103</v>
      </c>
      <c r="F3843" s="23" t="str">
        <f>HYPERLINK("https://www.spark-marketing.ru/Card/Lot/72348710", "Оказание услуг по техническому обслуживанию систем видеонаблюдения")</f>
        <v>Оказание услуг по техническому обслуживанию систем видеонаблюдения</v>
      </c>
      <c r="G3843" s="22" t="s">
        <v>50</v>
      </c>
      <c r="H3843" s="22" t="s">
        <v>104</v>
      </c>
      <c r="I3843" s="26">
        <v>43671.742465277799</v>
      </c>
      <c r="J3843" s="28" t="s">
        <v>52</v>
      </c>
      <c r="K3843" s="28" t="s">
        <v>52</v>
      </c>
      <c r="L3843" s="28" t="s">
        <v>52</v>
      </c>
      <c r="M3843" s="28" t="s">
        <v>52</v>
      </c>
      <c r="N3843" s="28" t="s">
        <v>52</v>
      </c>
    </row>
    <row r="3844" spans="1:14" x14ac:dyDescent="0.15">
      <c r="A3844" s="23" t="str">
        <f>HYPERLINK("https://www.spark-marketing.ru/Card/Person/10834", "ГКУ КО ""ДИРЕКЦИЯ АВТОДОРОГ КУЗБАССА""")</f>
        <v>ГКУ КО "ДИРЕКЦИЯ АВТОДОРОГ КУЗБАССА"</v>
      </c>
      <c r="B3844" s="24" t="s">
        <v>1499</v>
      </c>
      <c r="C3844" s="25">
        <v>5635881.2000000002</v>
      </c>
      <c r="D3844" s="22" t="s">
        <v>5540</v>
      </c>
      <c r="E3844" s="22" t="s">
        <v>723</v>
      </c>
      <c r="F3844" s="23" t="str">
        <f>HYPERLINK("https://www.spark-marketing.ru/Card/Lot/72359266",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v>
      </c>
      <c r="G3844" s="22" t="s">
        <v>367</v>
      </c>
      <c r="H3844" s="22" t="s">
        <v>881</v>
      </c>
      <c r="I3844" s="26">
        <v>43671.7414699074</v>
      </c>
      <c r="J3844" s="23" t="str">
        <f>HYPERLINK("https://www.spark-marketing.ru/Card/Person/127397", "ООО ""ИНФОСЕРВИС""")</f>
        <v>ООО "ИНФОСЕРВИС"</v>
      </c>
      <c r="K3844" s="24" t="s">
        <v>1503</v>
      </c>
      <c r="L3844" s="22" t="s">
        <v>10</v>
      </c>
      <c r="M3844" s="28" t="s">
        <v>52</v>
      </c>
      <c r="N3844" s="28" t="s">
        <v>52</v>
      </c>
    </row>
    <row r="3845" spans="1:14" x14ac:dyDescent="0.15">
      <c r="A3845" s="23" t="str">
        <f>HYPERLINK("https://www.spark-marketing.ru/Card/Person/1046457", "МБУ ""ГМЦ ""ГЕЛИОС""")</f>
        <v>МБУ "ГМЦ "ГЕЛИОС"</v>
      </c>
      <c r="B3845" s="24" t="s">
        <v>3182</v>
      </c>
      <c r="C3845" s="25">
        <v>150000</v>
      </c>
      <c r="D3845" s="22" t="s">
        <v>5541</v>
      </c>
      <c r="E3845" s="22" t="s">
        <v>84</v>
      </c>
      <c r="F3845" s="23" t="str">
        <f>HYPERLINK("https://www.spark-marketing.ru/Card/Lot/72347850", "Установка системы видеонаблюдения")</f>
        <v>Установка системы видеонаблюдения</v>
      </c>
      <c r="G3845" s="22" t="s">
        <v>3128</v>
      </c>
      <c r="H3845" s="22" t="s">
        <v>3184</v>
      </c>
      <c r="I3845" s="26">
        <v>43671.666979166701</v>
      </c>
      <c r="J3845" s="28" t="s">
        <v>52</v>
      </c>
      <c r="K3845" s="28" t="s">
        <v>52</v>
      </c>
      <c r="L3845" s="28" t="s">
        <v>52</v>
      </c>
      <c r="M3845" s="28" t="s">
        <v>52</v>
      </c>
      <c r="N3845" s="28" t="s">
        <v>52</v>
      </c>
    </row>
    <row r="3846" spans="1:14" x14ac:dyDescent="0.15">
      <c r="A3846" s="23" t="str">
        <f>HYPERLINK("https://www.spark-marketing.ru/Card/Person/88454", "МКУ ""УМХ И ОДОМС""")</f>
        <v>МКУ "УМХ И ОДОМС"</v>
      </c>
      <c r="B3846" s="24" t="s">
        <v>5542</v>
      </c>
      <c r="C3846" s="25">
        <v>2549338.7799999998</v>
      </c>
      <c r="D3846" s="22" t="s">
        <v>5543</v>
      </c>
      <c r="E3846" s="22" t="s">
        <v>84</v>
      </c>
      <c r="F3846" s="23" t="str">
        <f>HYPERLINK("https://www.spark-marketing.ru/Card/Lot/72349434", "Выполнение работ по установке системы видеонаблюдения на общественной территории ""Парковая зона в районе Церкви в п. Пурпе"" включая поставку и монтаж.")</f>
        <v>Выполнение работ по установке системы видеонаблюдения на общественной территории "Парковая зона в районе Церкви в п. Пурпе" включая поставку и монтаж.</v>
      </c>
      <c r="G3846" s="22" t="s">
        <v>311</v>
      </c>
      <c r="H3846" s="22" t="s">
        <v>311</v>
      </c>
      <c r="I3846" s="26">
        <v>43671.683263888903</v>
      </c>
      <c r="J3846" s="23" t="str">
        <f>HYPERLINK("https://www.spark-marketing.ru/Card/Person/650204", "Олексеенко Ростислав Юрьевич")</f>
        <v>Олексеенко Ростислав Юрьевич</v>
      </c>
      <c r="K3846" s="24" t="s">
        <v>5544</v>
      </c>
      <c r="L3846" s="22" t="s">
        <v>10</v>
      </c>
      <c r="M3846" s="28" t="s">
        <v>52</v>
      </c>
      <c r="N3846" s="28" t="s">
        <v>52</v>
      </c>
    </row>
    <row r="3847" spans="1:14" ht="12.75" x14ac:dyDescent="0.2">
      <c r="A3847" s="23" t="str">
        <f>HYPERLINK("https://www.spark-marketing.ru/Card/Person/5888558", "ГБХР ФКУ ""ЦОУМТС МВД России""")</f>
        <v>ГБХР ФКУ "ЦОУМТС МВД России"</v>
      </c>
      <c r="B3847" s="24" t="s">
        <v>954</v>
      </c>
      <c r="C3847" s="25">
        <v>412562.88</v>
      </c>
      <c r="D3847" s="22" t="s">
        <v>5545</v>
      </c>
      <c r="E3847" s="22" t="s">
        <v>68</v>
      </c>
      <c r="F3847" s="23" t="str">
        <f>HYPERLINK("https://www.spark-marketing.ru/Card/Lot/72367598", "Военизированная охрана объектов")</f>
        <v>Военизированная охрана объектов</v>
      </c>
      <c r="G3847" s="22" t="s">
        <v>956</v>
      </c>
      <c r="H3847" s="22" t="s">
        <v>956</v>
      </c>
      <c r="I3847" s="26">
        <v>43671.662141203698</v>
      </c>
      <c r="J3847" s="23" t="str">
        <f>HYPERLINK("https://www.spark-marketing.ru/Card/Person/594031", "Фл ФГУП ""Охрана"" Росгвардии по Смоленской области")</f>
        <v>Фл ФГУП "Охрана" Росгвардии по Смоленской области</v>
      </c>
      <c r="K3847" s="24" t="s">
        <v>779</v>
      </c>
      <c r="L3847" s="22" t="s">
        <v>10</v>
      </c>
      <c r="M3847" s="25">
        <v>412562.88</v>
      </c>
      <c r="N3847" s="27">
        <v>0</v>
      </c>
    </row>
    <row r="3848" spans="1:14" x14ac:dyDescent="0.15">
      <c r="A3848" s="23" t="str">
        <f>HYPERLINK("https://www.spark-marketing.ru/Card/Person/1003491", "МБОУ ""КРАСНОПОЛЯНСКАЯ ООШ""")</f>
        <v>МБОУ "КРАСНОПОЛЯНСКАЯ ООШ"</v>
      </c>
      <c r="B3848" s="24" t="s">
        <v>5546</v>
      </c>
      <c r="C3848" s="25">
        <v>158018</v>
      </c>
      <c r="D3848" s="22" t="s">
        <v>5547</v>
      </c>
      <c r="E3848" s="22" t="s">
        <v>59</v>
      </c>
      <c r="F3848" s="23" t="str">
        <f>HYPERLINK("https://www.spark-marketing.ru/Card/Lot/72342808", "выполнение работ по установке системы видеонаблюдения")</f>
        <v>выполнение работ по установке системы видеонаблюдения</v>
      </c>
      <c r="G3848" s="22" t="s">
        <v>176</v>
      </c>
      <c r="H3848" s="22" t="s">
        <v>572</v>
      </c>
      <c r="I3848" s="26">
        <v>43671.653472222199</v>
      </c>
      <c r="J3848" s="28" t="s">
        <v>52</v>
      </c>
      <c r="K3848" s="28" t="s">
        <v>52</v>
      </c>
      <c r="L3848" s="28" t="s">
        <v>52</v>
      </c>
      <c r="M3848" s="28" t="s">
        <v>52</v>
      </c>
      <c r="N3848" s="28" t="s">
        <v>52</v>
      </c>
    </row>
    <row r="3849" spans="1:14" x14ac:dyDescent="0.15">
      <c r="A3849" s="23" t="str">
        <f>HYPERLINK("https://www.spark-marketing.ru/Card/Person/14005", "КОМИТЕТ ИВАНОВСКОЙ ОБЛАСТИ ПО ОБЕСПЕЧЕНИЮ ДЕЯТЕЛЬНОСТИ МИРОВЫХ СУДЕЙ И ГРАЖДАНСКОЙ ЗАЩИТЫ НАСЕЛЕНИЯ")</f>
        <v>КОМИТЕТ ИВАНОВСКОЙ ОБЛАСТИ ПО ОБЕСПЕЧЕНИЮ ДЕЯТЕЛЬНОСТИ МИРОВЫХ СУДЕЙ И ГРАЖДАНСКОЙ ЗАЩИТЫ НАСЕЛЕНИЯ</v>
      </c>
      <c r="B3849" s="24" t="s">
        <v>5548</v>
      </c>
      <c r="C3849" s="25">
        <v>371800</v>
      </c>
      <c r="D3849" s="22" t="s">
        <v>5549</v>
      </c>
      <c r="E3849" s="22" t="s">
        <v>2623</v>
      </c>
      <c r="F3849" s="23" t="str">
        <f>HYPERLINK("https://www.spark-marketing.ru/Card/Lot/72346480", "Оказание услуг по установке и настройке программно-аппаратных средств аудио-видео-фиксации хода судебного заседания на судебных участках мировых судей Ивановской области")</f>
        <v>Оказание услуг по установке и настройке программно-аппаратных средств аудио-видео-фиксации хода судебного заседания на судебных участках мировых судей Ивановской области</v>
      </c>
      <c r="G3849" s="22" t="s">
        <v>340</v>
      </c>
      <c r="H3849" s="22" t="s">
        <v>1030</v>
      </c>
      <c r="I3849" s="26">
        <v>43671.634467592601</v>
      </c>
      <c r="J3849" s="23" t="str">
        <f>HYPERLINK("https://www.spark-marketing.ru/Card/Person/4898557", "Облов Алексей Геннадьевич")</f>
        <v>Облов Алексей Геннадьевич</v>
      </c>
      <c r="K3849" s="24" t="s">
        <v>5550</v>
      </c>
      <c r="L3849" s="22" t="s">
        <v>10</v>
      </c>
      <c r="M3849" s="28" t="s">
        <v>52</v>
      </c>
      <c r="N3849" s="28" t="s">
        <v>52</v>
      </c>
    </row>
    <row r="3850" spans="1:14" x14ac:dyDescent="0.15">
      <c r="A3850" s="23" t="str">
        <f>HYPERLINK("https://www.spark-marketing.ru/Card/Person/4415454", "ПАО ""СТЗ""")</f>
        <v>ПАО "СТЗ"</v>
      </c>
      <c r="B3850" s="24" t="s">
        <v>2517</v>
      </c>
      <c r="C3850" s="25">
        <v>2306332.7999999998</v>
      </c>
      <c r="D3850" s="22" t="s">
        <v>5551</v>
      </c>
      <c r="E3850" s="22" t="s">
        <v>53</v>
      </c>
      <c r="F3850" s="23" t="str">
        <f>HYPERLINK("https://www.spark-marketing.ru/Card/Lot/72413771", "Выполнение работ по объекту ""ТЭСЦ-2. Установка системы видеонаблюдения с подключением к видеосервисам"".")</f>
        <v>Выполнение работ по объекту "ТЭСЦ-2. Установка системы видеонаблюдения с подключением к видеосервисам".</v>
      </c>
      <c r="G3850" s="22" t="s">
        <v>72</v>
      </c>
      <c r="H3850" s="22" t="s">
        <v>2519</v>
      </c>
      <c r="I3850" s="26">
        <v>43671.583333333299</v>
      </c>
      <c r="J3850" s="28" t="s">
        <v>52</v>
      </c>
      <c r="K3850" s="28" t="s">
        <v>52</v>
      </c>
      <c r="L3850" s="28" t="s">
        <v>52</v>
      </c>
      <c r="M3850" s="28" t="s">
        <v>52</v>
      </c>
      <c r="N3850" s="28" t="s">
        <v>52</v>
      </c>
    </row>
    <row r="3851" spans="1:14" x14ac:dyDescent="0.15">
      <c r="A3851" s="23" t="str">
        <f>HYPERLINK("https://www.spark-marketing.ru/Card/Person/1754206", "ООО ""НК ""РОСНЕФТЬ""- НТЦ""")</f>
        <v>ООО "НК "РОСНЕФТЬ"- НТЦ"</v>
      </c>
      <c r="B3851" s="24" t="s">
        <v>5552</v>
      </c>
      <c r="C3851" s="25">
        <v>763645.91</v>
      </c>
      <c r="D3851" s="22" t="s">
        <v>5553</v>
      </c>
      <c r="E3851" s="22" t="s">
        <v>5554</v>
      </c>
      <c r="F3851" s="23" t="str">
        <f>HYPERLINK("https://www.spark-marketing.ru/Card/Lot/72341210", "Разработка документации по разделу «Интегрированная система безопасности» по объектам «Техническое перевооружение инженерно-технических средств охраны объектов АО «Ванкорнефть» Ванкорского месторождения» и «Техническое перевооружение инженерно-технич...")</f>
        <v>Разработка документации по разделу «Интегрированная система безопасности» по объектам «Техническое перевооружение инженерно-технических средств охраны объектов АО «Ванкорнефть» Ванкорского месторождения» и «Техническое перевооружение инженерно-технич...</v>
      </c>
      <c r="G3851" s="22" t="s">
        <v>132</v>
      </c>
      <c r="H3851" s="22" t="s">
        <v>652</v>
      </c>
      <c r="I3851" s="26">
        <v>43671.588194444397</v>
      </c>
      <c r="J3851" s="28" t="s">
        <v>52</v>
      </c>
      <c r="K3851" s="28" t="s">
        <v>52</v>
      </c>
      <c r="L3851" s="28" t="s">
        <v>52</v>
      </c>
      <c r="M3851" s="28" t="s">
        <v>52</v>
      </c>
      <c r="N3851" s="28" t="s">
        <v>52</v>
      </c>
    </row>
    <row r="3852" spans="1:14" x14ac:dyDescent="0.15">
      <c r="A3852" s="23" t="str">
        <f>HYPERLINK("https://www.spark-marketing.ru/Card/Person/6218324", "ГКУ ""УДМС""")</f>
        <v>ГКУ "УДМС"</v>
      </c>
      <c r="B3852" s="24" t="s">
        <v>5555</v>
      </c>
      <c r="C3852" s="25">
        <v>5896.44</v>
      </c>
      <c r="D3852" s="22" t="s">
        <v>5556</v>
      </c>
      <c r="E3852" s="22" t="s">
        <v>5557</v>
      </c>
      <c r="F3852" s="23" t="str">
        <f>HYPERLINK("https://www.spark-marketing.ru/Card/Lot/72343375", "Закупка у единственного поставщика на выполнение работ по осуществлению подключения (технологического присоединения) к централизованной системе водоотведения объекта: Пункт управления транспортной безопасности (ПУТБ) по объекту: «Строительство мостов...")</f>
        <v>Закупка у единственного поставщика на выполнение работ по осуществлению подключения (технологического присоединения) к централизованной системе водоотведения объекта: Пункт управления транспортной безопасности (ПУТБ) по объекту: «Строительство мостов...</v>
      </c>
      <c r="G3852" s="22" t="s">
        <v>55</v>
      </c>
      <c r="H3852" s="22" t="s">
        <v>55</v>
      </c>
      <c r="I3852" s="26">
        <v>43671.600648148102</v>
      </c>
      <c r="J3852" s="28" t="s">
        <v>52</v>
      </c>
      <c r="K3852" s="28" t="s">
        <v>52</v>
      </c>
      <c r="L3852" s="28" t="s">
        <v>52</v>
      </c>
      <c r="M3852" s="28" t="s">
        <v>52</v>
      </c>
      <c r="N3852" s="28" t="s">
        <v>52</v>
      </c>
    </row>
    <row r="3853" spans="1:14" x14ac:dyDescent="0.15">
      <c r="A3853" s="23" t="str">
        <f>HYPERLINK("https://www.spark-marketing.ru/Card/Person/154474", "ГКУ РХ ЦЗН")</f>
        <v>ГКУ РХ ЦЗН</v>
      </c>
      <c r="B3853" s="24" t="s">
        <v>5558</v>
      </c>
      <c r="C3853" s="25">
        <v>50000</v>
      </c>
      <c r="D3853" s="22" t="s">
        <v>5559</v>
      </c>
      <c r="E3853" s="22" t="s">
        <v>59</v>
      </c>
      <c r="F3853" s="23" t="str">
        <f>HYPERLINK("https://www.spark-marketing.ru/Card/Lot/72333710", "Выполнение работ по установке системы видеонаблюдения")</f>
        <v>Выполнение работ по установке системы видеонаблюдения</v>
      </c>
      <c r="G3853" s="22" t="s">
        <v>1041</v>
      </c>
      <c r="H3853" s="22" t="s">
        <v>4311</v>
      </c>
      <c r="I3853" s="26">
        <v>43671.590243055602</v>
      </c>
      <c r="J3853" s="23" t="str">
        <f>HYPERLINK("https://www.spark-marketing.ru/Card/Person/408512", "ООО ""ИТЕЛИНК""")</f>
        <v>ООО "ИТЕЛИНК"</v>
      </c>
      <c r="K3853" s="24" t="s">
        <v>5560</v>
      </c>
      <c r="L3853" s="22" t="s">
        <v>10</v>
      </c>
      <c r="M3853" s="28" t="s">
        <v>52</v>
      </c>
      <c r="N3853" s="28" t="s">
        <v>52</v>
      </c>
    </row>
    <row r="3854" spans="1:14" x14ac:dyDescent="0.15">
      <c r="A3854" s="23" t="str">
        <f>HYPERLINK("https://www.spark-marketing.ru/Card/Person/5904509", "ЛОВД на ст.Калуга УТ МВД России по ЦФО")</f>
        <v>ЛОВД на ст.Калуга УТ МВД России по ЦФО</v>
      </c>
      <c r="B3854" s="24" t="s">
        <v>5500</v>
      </c>
      <c r="C3854" s="25">
        <v>20000</v>
      </c>
      <c r="D3854" s="22" t="s">
        <v>5561</v>
      </c>
      <c r="E3854" s="22" t="s">
        <v>107</v>
      </c>
      <c r="F3854" s="23" t="str">
        <f>HYPERLINK("https://www.spark-marketing.ru/Card/Lot/72335175", "Техническое обслуживание видеодомофона, 1 мес")</f>
        <v>Техническое обслуживание видеодомофона, 1 мес</v>
      </c>
      <c r="G3854" s="22" t="s">
        <v>658</v>
      </c>
      <c r="H3854" s="22" t="s">
        <v>741</v>
      </c>
      <c r="I3854" s="26">
        <v>43671.520011574103</v>
      </c>
      <c r="J3854" s="28" t="s">
        <v>52</v>
      </c>
      <c r="K3854" s="28" t="s">
        <v>52</v>
      </c>
      <c r="L3854" s="28" t="s">
        <v>52</v>
      </c>
      <c r="M3854" s="28" t="s">
        <v>52</v>
      </c>
      <c r="N3854" s="28" t="s">
        <v>52</v>
      </c>
    </row>
    <row r="3855" spans="1:14" x14ac:dyDescent="0.15">
      <c r="A3855" s="23" t="str">
        <f>HYPERLINK("https://www.spark-marketing.ru/Card/Person/18481", "ФГУП ""РОСРАО""")</f>
        <v>ФГУП "РОСРАО"</v>
      </c>
      <c r="B3855" s="24" t="s">
        <v>1615</v>
      </c>
      <c r="C3855" s="25">
        <v>48161772.229999997</v>
      </c>
      <c r="D3855" s="22" t="s">
        <v>5562</v>
      </c>
      <c r="E3855" s="22" t="s">
        <v>1013</v>
      </c>
      <c r="F3855" s="23" t="str">
        <f>HYPERLINK("https://www.spark-marketing.ru/Card/Lot/72343267", "Оказание услуг по охране объектов Самарского отделения филиала «Приволжский территориальный округ» ФГУП «РосРАО»")</f>
        <v>Оказание услуг по охране объектов Самарского отделения филиала «Приволжский территориальный округ» ФГУП «РосРАО»</v>
      </c>
      <c r="G3855" s="22" t="s">
        <v>760</v>
      </c>
      <c r="H3855" s="22" t="s">
        <v>1709</v>
      </c>
      <c r="I3855" s="26">
        <v>43671.518587963001</v>
      </c>
      <c r="J3855" s="23" t="str">
        <f>HYPERLINK("https://www.spark-marketing.ru/Card/Person/6616557", "ФЛ ФГУП ОХРАНА ФЕДЕРАЛЬНОЙ СЛУЖБЫ ВОЙСК НАЦИОНАЛЬНОЙ ГВАРДИИ РФ ПО САМАРСКОЙ ОБЛ")</f>
        <v>ФЛ ФГУП ОХРАНА ФЕДЕРАЛЬНОЙ СЛУЖБЫ ВОЙСК НАЦИОНАЛЬНОЙ ГВАРДИИ РФ ПО САМАРСКОЙ ОБЛ</v>
      </c>
      <c r="K3855" s="24" t="s">
        <v>779</v>
      </c>
      <c r="L3855" s="28" t="s">
        <v>52</v>
      </c>
      <c r="M3855" s="28" t="s">
        <v>52</v>
      </c>
      <c r="N3855" s="28" t="s">
        <v>52</v>
      </c>
    </row>
    <row r="3856" spans="1:14" x14ac:dyDescent="0.15">
      <c r="A3856" s="23" t="str">
        <f>HYPERLINK("https://www.spark-marketing.ru/Card/Person/18481", "ФГУП ""РОСРАО""")</f>
        <v>ФГУП "РОСРАО"</v>
      </c>
      <c r="B3856" s="24" t="s">
        <v>1615</v>
      </c>
      <c r="C3856" s="25">
        <v>29980047.18</v>
      </c>
      <c r="D3856" s="22" t="s">
        <v>5563</v>
      </c>
      <c r="E3856" s="22" t="s">
        <v>1013</v>
      </c>
      <c r="F3856" s="23" t="str">
        <f>HYPERLINK("https://www.spark-marketing.ru/Card/Lot/72342961", "Оказание услуг по охране объектов Благовещенского отделения филиала «Приволжский территориальный округ» ФГУП «РосРАО»")</f>
        <v>Оказание услуг по охране объектов Благовещенского отделения филиала «Приволжский территориальный округ» ФГУП «РосРАО»</v>
      </c>
      <c r="G3856" s="22" t="s">
        <v>100</v>
      </c>
      <c r="H3856" s="22" t="s">
        <v>231</v>
      </c>
      <c r="I3856" s="26">
        <v>43671.511203703703</v>
      </c>
      <c r="J3856" s="28" t="s">
        <v>52</v>
      </c>
      <c r="K3856" s="28" t="s">
        <v>52</v>
      </c>
      <c r="L3856" s="28" t="s">
        <v>52</v>
      </c>
      <c r="M3856" s="28" t="s">
        <v>52</v>
      </c>
      <c r="N3856" s="28" t="s">
        <v>52</v>
      </c>
    </row>
    <row r="3857" spans="1:14" x14ac:dyDescent="0.15">
      <c r="A3857" s="23" t="str">
        <f>HYPERLINK("https://www.spark-marketing.ru/Card/Person/18481", "ФГУП ""РОСРАО""")</f>
        <v>ФГУП "РОСРАО"</v>
      </c>
      <c r="B3857" s="24" t="s">
        <v>1615</v>
      </c>
      <c r="C3857" s="25">
        <v>47252585.590000004</v>
      </c>
      <c r="D3857" s="22" t="s">
        <v>5564</v>
      </c>
      <c r="E3857" s="22" t="s">
        <v>1013</v>
      </c>
      <c r="F3857" s="23" t="str">
        <f>HYPERLINK("https://www.spark-marketing.ru/Card/Lot/72343262", "Оказание услуг по охране объектов Кирово-Чепецкого отделения филиала «Приволжский территориальный округ» ФГУП «РосРАО»")</f>
        <v>Оказание услуг по охране объектов Кирово-Чепецкого отделения филиала «Приволжский территориальный округ» ФГУП «РосРАО»</v>
      </c>
      <c r="G3857" s="22" t="s">
        <v>55</v>
      </c>
      <c r="H3857" s="22" t="s">
        <v>55</v>
      </c>
      <c r="I3857" s="26">
        <v>43671.503946759301</v>
      </c>
      <c r="J3857" s="23" t="str">
        <f>HYPERLINK("https://www.spark-marketing.ru/Card/Person/10487", "ФГУП ""ОХРАНА"" РОСГВАРДИИ")</f>
        <v>ФГУП "ОХРАНА" РОСГВАРДИИ</v>
      </c>
      <c r="K3857" s="24" t="s">
        <v>779</v>
      </c>
      <c r="L3857" s="28" t="s">
        <v>52</v>
      </c>
      <c r="M3857" s="28" t="s">
        <v>52</v>
      </c>
      <c r="N3857" s="28" t="s">
        <v>52</v>
      </c>
    </row>
    <row r="3858" spans="1:14" x14ac:dyDescent="0.15">
      <c r="A3858" s="23" t="str">
        <f>HYPERLINK("https://www.spark-marketing.ru/Card/Person/4365683", "ГОРОДСКАЯ АДМИНИСТРАЦИЯ")</f>
        <v>ГОРОДСКАЯ АДМИНИСТРАЦИЯ</v>
      </c>
      <c r="B3858" s="24" t="s">
        <v>5565</v>
      </c>
      <c r="C3858" s="25">
        <v>425963</v>
      </c>
      <c r="D3858" s="22" t="s">
        <v>5566</v>
      </c>
      <c r="E3858" s="22" t="s">
        <v>84</v>
      </c>
      <c r="F3858" s="23" t="str">
        <f>HYPERLINK("https://www.spark-marketing.ru/Card/Lot/72336093", "Выполнение работ по установке системы видеонаблюдения в г. Северобайкальск (Балюстрада проезд пляжный, и Площадка у спуска с пешеходного виадука со стороны Байкала) для нужд Администрации муниципального образования «город Северобайкальск»")</f>
        <v>Выполнение работ по установке системы видеонаблюдения в г. Северобайкальск (Балюстрада проезд пляжный, и Площадка у спуска с пешеходного виадука со стороны Байкала) для нужд Администрации муниципального образования «город Северобайкальск»</v>
      </c>
      <c r="G3858" s="22" t="s">
        <v>354</v>
      </c>
      <c r="H3858" s="22" t="s">
        <v>5567</v>
      </c>
      <c r="I3858" s="26">
        <v>43671.532314814802</v>
      </c>
      <c r="J3858" s="28" t="s">
        <v>52</v>
      </c>
      <c r="K3858" s="28" t="s">
        <v>52</v>
      </c>
      <c r="L3858" s="28" t="s">
        <v>52</v>
      </c>
      <c r="M3858" s="28" t="s">
        <v>52</v>
      </c>
      <c r="N3858" s="28" t="s">
        <v>52</v>
      </c>
    </row>
    <row r="3859" spans="1:14" x14ac:dyDescent="0.15">
      <c r="A3859" s="23" t="str">
        <f>HYPERLINK("https://www.spark-marketing.ru/Card/Person/6474612", "МАУ ""ДКМ""")</f>
        <v>МАУ "ДКМ"</v>
      </c>
      <c r="B3859" s="24" t="s">
        <v>1843</v>
      </c>
      <c r="C3859" s="25">
        <v>139276.79999999999</v>
      </c>
      <c r="D3859" s="22" t="s">
        <v>5568</v>
      </c>
      <c r="E3859" s="22" t="s">
        <v>789</v>
      </c>
      <c r="F3859" s="23" t="str">
        <f>HYPERLINK("https://www.spark-marketing.ru/Card/Lot/72352537", "Оказание охранных услуг")</f>
        <v>Оказание охранных услуг</v>
      </c>
      <c r="G3859" s="22" t="s">
        <v>72</v>
      </c>
      <c r="H3859" s="22" t="s">
        <v>72</v>
      </c>
      <c r="I3859" s="26">
        <v>43671.510659722197</v>
      </c>
      <c r="J3859" s="28" t="s">
        <v>52</v>
      </c>
      <c r="K3859" s="28" t="s">
        <v>52</v>
      </c>
      <c r="L3859" s="28" t="s">
        <v>52</v>
      </c>
      <c r="M3859" s="28" t="s">
        <v>52</v>
      </c>
      <c r="N3859" s="28" t="s">
        <v>52</v>
      </c>
    </row>
    <row r="3860" spans="1:14" x14ac:dyDescent="0.15">
      <c r="A3860" s="23" t="str">
        <f>HYPERLINK("https://www.spark-marketing.ru/Card/Person/136778", "УПРАВЛЕНИЕ МИНЮСТА РОССИИ ПО КРАСНОДАРСКОМУ КРАЮ")</f>
        <v>УПРАВЛЕНИЕ МИНЮСТА РОССИИ ПО КРАСНОДАРСКОМУ КРАЮ</v>
      </c>
      <c r="B3860" s="24" t="s">
        <v>5569</v>
      </c>
      <c r="C3860" s="25">
        <v>15350</v>
      </c>
      <c r="D3860" s="22" t="s">
        <v>5570</v>
      </c>
      <c r="E3860" s="22" t="s">
        <v>53</v>
      </c>
      <c r="F3860" s="23" t="str">
        <f>HYPERLINK("https://www.spark-marketing.ru/Card/Lot/72336235", "Установка дополнительного оборудования автомобиля")</f>
        <v>Установка дополнительного оборудования автомобиля</v>
      </c>
      <c r="G3860" s="22" t="s">
        <v>132</v>
      </c>
      <c r="H3860" s="22" t="s">
        <v>652</v>
      </c>
      <c r="I3860" s="26">
        <v>43671.5296759259</v>
      </c>
      <c r="J3860" s="28" t="s">
        <v>52</v>
      </c>
      <c r="K3860" s="28" t="s">
        <v>52</v>
      </c>
      <c r="L3860" s="28" t="s">
        <v>52</v>
      </c>
      <c r="M3860" s="28" t="s">
        <v>52</v>
      </c>
      <c r="N3860" s="28" t="s">
        <v>52</v>
      </c>
    </row>
    <row r="3861" spans="1:14" x14ac:dyDescent="0.15">
      <c r="A3861" s="23" t="str">
        <f>HYPERLINK("https://www.spark-marketing.ru/Card/Person/5817010", "ОМВД РОССИИ ПО КИРОВСКОМУ ГОРОДСКОМУ РАЙОНУ")</f>
        <v>ОМВД РОССИИ ПО КИРОВСКОМУ ГОРОДСКОМУ РАЙОНУ</v>
      </c>
      <c r="B3861" s="24" t="s">
        <v>5571</v>
      </c>
      <c r="C3861" s="25">
        <v>99000</v>
      </c>
      <c r="D3861" s="22" t="s">
        <v>5572</v>
      </c>
      <c r="E3861" s="22" t="s">
        <v>84</v>
      </c>
      <c r="F3861" s="23" t="str">
        <f>HYPERLINK("https://www.spark-marketing.ru/Card/Lot/72333920", "Монтаж, установка, сборка систем видеонаблюдения, 1 шт")</f>
        <v>Монтаж, установка, сборка систем видеонаблюдения, 1 шт</v>
      </c>
      <c r="G3861" s="22" t="s">
        <v>155</v>
      </c>
      <c r="H3861" s="22" t="s">
        <v>156</v>
      </c>
      <c r="I3861" s="26">
        <v>43671.500891203701</v>
      </c>
      <c r="J3861" s="28" t="s">
        <v>52</v>
      </c>
      <c r="K3861" s="28" t="s">
        <v>52</v>
      </c>
      <c r="L3861" s="28" t="s">
        <v>52</v>
      </c>
      <c r="M3861" s="28" t="s">
        <v>52</v>
      </c>
      <c r="N3861" s="28" t="s">
        <v>52</v>
      </c>
    </row>
    <row r="3862" spans="1:14" x14ac:dyDescent="0.15">
      <c r="A3862" s="23" t="str">
        <f>HYPERLINK("https://www.spark-marketing.ru/Card/Person/6482036", "ДЕТСКИЙ САД № 4 ГОРОДА КОСТРОМЫ")</f>
        <v>ДЕТСКИЙ САД № 4 ГОРОДА КОСТРОМЫ</v>
      </c>
      <c r="B3862" s="24" t="s">
        <v>5573</v>
      </c>
      <c r="C3862" s="25">
        <v>17165</v>
      </c>
      <c r="D3862" s="22" t="s">
        <v>5574</v>
      </c>
      <c r="E3862" s="22" t="s">
        <v>79</v>
      </c>
      <c r="F3862" s="23" t="str">
        <f>HYPERLINK("https://www.spark-marketing.ru/Card/Lot/72333807", "МОНТАЖ ТРЕВОЖНОЙ КНОПКИ")</f>
        <v>МОНТАЖ ТРЕВОЖНОЙ КНОПКИ</v>
      </c>
      <c r="G3862" s="22" t="s">
        <v>1104</v>
      </c>
      <c r="H3862" s="22" t="s">
        <v>1105</v>
      </c>
      <c r="I3862" s="26">
        <v>43671.484722222202</v>
      </c>
      <c r="J3862" s="28" t="s">
        <v>52</v>
      </c>
      <c r="K3862" s="28" t="s">
        <v>52</v>
      </c>
      <c r="L3862" s="28" t="s">
        <v>52</v>
      </c>
      <c r="M3862" s="28" t="s">
        <v>52</v>
      </c>
      <c r="N3862" s="28" t="s">
        <v>52</v>
      </c>
    </row>
    <row r="3863" spans="1:14" x14ac:dyDescent="0.15">
      <c r="A3863" s="23" t="str">
        <f>HYPERLINK("https://www.spark-marketing.ru/Card/Person/1286130", "МУП ""ТЕПЛОСЕТЬ""")</f>
        <v>МУП "ТЕПЛОСЕТЬ"</v>
      </c>
      <c r="B3863" s="24" t="s">
        <v>5575</v>
      </c>
      <c r="C3863" s="25">
        <v>2051104.24</v>
      </c>
      <c r="D3863" s="22" t="s">
        <v>5576</v>
      </c>
      <c r="E3863" s="22" t="s">
        <v>144</v>
      </c>
      <c r="F3863" s="23" t="str">
        <f>HYPERLINK("https://www.spark-marketing.ru/Card/Lot/72355130", "Оказание услг по пультовой централизованной охране с направлением группы реагирования, переоборудование и техническое обслуживание комплекса технических средств охраны (ТСО) в структурных подразделениях МУП «Теплосеть» ( 11 объектов) на 24 месяца.")</f>
        <v>Оказание услг по пультовой централизованной охране с направлением группы реагирования, переоборудование и техническое обслуживание комплекса технических средств охраны (ТСО) в структурных подразделениях МУП «Теплосеть» ( 11 объектов) на 24 месяца.</v>
      </c>
      <c r="G3863" s="22" t="s">
        <v>50</v>
      </c>
      <c r="H3863" s="22" t="s">
        <v>50</v>
      </c>
      <c r="I3863" s="26">
        <v>43671.489652777796</v>
      </c>
      <c r="J3863" s="28" t="s">
        <v>52</v>
      </c>
      <c r="K3863" s="28" t="s">
        <v>52</v>
      </c>
      <c r="L3863" s="28" t="s">
        <v>52</v>
      </c>
      <c r="M3863" s="28" t="s">
        <v>52</v>
      </c>
      <c r="N3863" s="28" t="s">
        <v>52</v>
      </c>
    </row>
    <row r="3864" spans="1:14" x14ac:dyDescent="0.15">
      <c r="A3864" s="23" t="str">
        <f>HYPERLINK("https://www.spark-marketing.ru/Card/Person/262237", "ОМВД РОССИИ ПО Г. ГУБКИНУ")</f>
        <v>ОМВД РОССИИ ПО Г. ГУБКИНУ</v>
      </c>
      <c r="B3864" s="24" t="s">
        <v>5577</v>
      </c>
      <c r="C3864" s="25">
        <v>576463.19999999995</v>
      </c>
      <c r="D3864" s="22" t="s">
        <v>5578</v>
      </c>
      <c r="E3864" s="22" t="s">
        <v>68</v>
      </c>
      <c r="F3864" s="23" t="str">
        <f>HYPERLINK("https://www.spark-marketing.ru/Card/Lot/72338836", "Оказание услуг по круглосуточной постовой охране служебных помещений ОМВД России по г. Губкину")</f>
        <v>Оказание услуг по круглосуточной постовой охране служебных помещений ОМВД России по г. Губкину</v>
      </c>
      <c r="G3864" s="22" t="s">
        <v>176</v>
      </c>
      <c r="H3864" s="22" t="s">
        <v>4687</v>
      </c>
      <c r="I3864" s="26">
        <v>43671.4477430556</v>
      </c>
      <c r="J3864" s="23" t="str">
        <f>HYPERLINK("https://www.spark-marketing.ru/Card/Person/4371401", "ФГКУ ""УВО ВНГ РОССИИ ПО БЕЛГОРОДСКОЙ ОБЛАСТИ""")</f>
        <v>ФГКУ "УВО ВНГ РОССИИ ПО БЕЛГОРОДСКОЙ ОБЛАСТИ"</v>
      </c>
      <c r="K3864" s="24" t="s">
        <v>5579</v>
      </c>
      <c r="L3864" s="22" t="s">
        <v>10</v>
      </c>
      <c r="M3864" s="28" t="s">
        <v>52</v>
      </c>
      <c r="N3864" s="28" t="s">
        <v>52</v>
      </c>
    </row>
    <row r="3865" spans="1:14" x14ac:dyDescent="0.15">
      <c r="A3865" s="23" t="str">
        <f>HYPERLINK("https://www.spark-marketing.ru/Card/Person/57947", "КГКУЗ ""МИАЦ"" МЗ ХК")</f>
        <v>КГКУЗ "МИАЦ" МЗ ХК</v>
      </c>
      <c r="B3865" s="24" t="s">
        <v>5580</v>
      </c>
      <c r="C3865" s="25">
        <v>84820</v>
      </c>
      <c r="D3865" s="22" t="s">
        <v>5581</v>
      </c>
      <c r="E3865" s="22" t="s">
        <v>59</v>
      </c>
      <c r="F3865" s="23" t="str">
        <f>HYPERLINK("https://www.spark-marketing.ru/Card/Lot/72330937", "монтаж, техническое обслуживание систем видеонаблюдения, 1 шт")</f>
        <v>монтаж, техническое обслуживание систем видеонаблюдения, 1 шт</v>
      </c>
      <c r="G3865" s="22" t="s">
        <v>138</v>
      </c>
      <c r="H3865" s="22" t="s">
        <v>255</v>
      </c>
      <c r="I3865" s="26">
        <v>43671.405624999999</v>
      </c>
      <c r="J3865" s="28" t="s">
        <v>52</v>
      </c>
      <c r="K3865" s="28" t="s">
        <v>52</v>
      </c>
      <c r="L3865" s="28" t="s">
        <v>52</v>
      </c>
      <c r="M3865" s="28" t="s">
        <v>52</v>
      </c>
      <c r="N3865" s="28" t="s">
        <v>52</v>
      </c>
    </row>
    <row r="3866" spans="1:14" x14ac:dyDescent="0.15">
      <c r="A3866" s="23" t="str">
        <f>HYPERLINK("https://www.spark-marketing.ru/Card/Person/1045742", "МБОУ ГИМНАЗИЯ ""ПУЩИНО""")</f>
        <v>МБОУ ГИМНАЗИЯ "ПУЩИНО"</v>
      </c>
      <c r="B3866" s="24" t="s">
        <v>5582</v>
      </c>
      <c r="C3866" s="25">
        <v>283700</v>
      </c>
      <c r="D3866" s="22" t="s">
        <v>5583</v>
      </c>
      <c r="E3866" s="22" t="s">
        <v>84</v>
      </c>
      <c r="F3866" s="23" t="str">
        <f>HYPERLINK("https://www.spark-marketing.ru/Card/Lot/72331866", "Выполнение работ по монтажу и техническому обслуживанию системы видеонаблюдения на территории Гимназии ""Пущино"" городского округа Пущино Московской области по адресу: Московская область, г. Пущино, микрорайон ""АБ"", д. 24а")</f>
        <v>Выполнение работ по монтажу и техническому обслуживанию системы видеонаблюдения на территории Гимназии "Пущино" городского округа Пущино Московской области по адресу: Московская область, г. Пущино, микрорайон "АБ", д. 24а</v>
      </c>
      <c r="G3866" s="22" t="s">
        <v>50</v>
      </c>
      <c r="H3866" s="22" t="s">
        <v>1968</v>
      </c>
      <c r="I3866" s="26">
        <v>43671.377928240698</v>
      </c>
      <c r="J3866" s="28" t="s">
        <v>52</v>
      </c>
      <c r="K3866" s="28" t="s">
        <v>52</v>
      </c>
      <c r="L3866" s="28" t="s">
        <v>52</v>
      </c>
      <c r="M3866" s="28" t="s">
        <v>52</v>
      </c>
      <c r="N3866" s="28" t="s">
        <v>52</v>
      </c>
    </row>
    <row r="3867" spans="1:14" ht="12.75" x14ac:dyDescent="0.2">
      <c r="A3867" s="23" t="str">
        <f>HYPERLINK("https://www.spark-marketing.ru/Card/Person/19787", "ГБУЗ ""МЦ ДИНАСТИЯ""")</f>
        <v>ГБУЗ "МЦ ДИНАСТИЯ"</v>
      </c>
      <c r="B3867" s="24" t="s">
        <v>5584</v>
      </c>
      <c r="C3867" s="25">
        <v>280586</v>
      </c>
      <c r="D3867" s="22" t="s">
        <v>5585</v>
      </c>
      <c r="E3867" s="22" t="s">
        <v>842</v>
      </c>
      <c r="F3867" s="23" t="str">
        <f>HYPERLINK("https://www.spark-marketing.ru/Card/Lot/72338807", "Выполнение электромонтажных работ в серверной комнате, системы ограничения доступа и аварийной сигнализации, холодильных установок для нужд ГБУЗ ""МЦ Династия""")</f>
        <v>Выполнение электромонтажных работ в серверной комнате, системы ограничения доступа и аварийной сигнализации, холодильных установок для нужд ГБУЗ "МЦ Династия"</v>
      </c>
      <c r="G3867" s="22" t="s">
        <v>760</v>
      </c>
      <c r="H3867" s="22" t="s">
        <v>1709</v>
      </c>
      <c r="I3867" s="26">
        <v>43671.405648148102</v>
      </c>
      <c r="J3867" s="23" t="str">
        <f>HYPERLINK("https://www.spark-marketing.ru/Card/Person/1839832", "ООО ""МДС КОНТРОЛ-СИСТЕМС""")</f>
        <v>ООО "МДС КОНТРОЛ-СИСТЕМС"</v>
      </c>
      <c r="K3867" s="24" t="s">
        <v>5586</v>
      </c>
      <c r="L3867" s="22" t="s">
        <v>10</v>
      </c>
      <c r="M3867" s="25">
        <v>272000</v>
      </c>
      <c r="N3867" s="27">
        <v>3.0600243775526934E-2</v>
      </c>
    </row>
    <row r="3868" spans="1:14" x14ac:dyDescent="0.15">
      <c r="A3868" s="23" t="str">
        <f>HYPERLINK("https://www.spark-marketing.ru/Card/Person/87752", "АО ""НПП ""АЛМАЗ""")</f>
        <v>АО "НПП "АЛМАЗ"</v>
      </c>
      <c r="B3868" s="24" t="s">
        <v>5587</v>
      </c>
      <c r="C3868" s="25">
        <v>465466.67</v>
      </c>
      <c r="D3868" s="22" t="s">
        <v>5588</v>
      </c>
      <c r="E3868" s="22" t="s">
        <v>5589</v>
      </c>
      <c r="F3868" s="23" t="str">
        <f>HYPERLINK("https://www.spark-marketing.ru/Card/Lot/72354734", "0570-2019-00209 Оказание услуг по техническому обслуживанию системы видеонаблюдения")</f>
        <v>0570-2019-00209 Оказание услуг по техническому обслуживанию системы видеонаблюдения</v>
      </c>
      <c r="G3868" s="22" t="s">
        <v>80</v>
      </c>
      <c r="H3868" s="22" t="s">
        <v>81</v>
      </c>
      <c r="I3868" s="26">
        <v>43671.344618055598</v>
      </c>
      <c r="J3868" s="28" t="s">
        <v>52</v>
      </c>
      <c r="K3868" s="28" t="s">
        <v>52</v>
      </c>
      <c r="L3868" s="28" t="s">
        <v>52</v>
      </c>
      <c r="M3868" s="28" t="s">
        <v>52</v>
      </c>
      <c r="N3868" s="28" t="s">
        <v>52</v>
      </c>
    </row>
    <row r="3869" spans="1:14" x14ac:dyDescent="0.15">
      <c r="A3869" s="23" t="str">
        <f>HYPERLINK("https://www.spark-marketing.ru/Card/Person/118646", "АДМИНИСТРАЦИЯ КРАСНОХОЛМСКОГО РАЙОНА")</f>
        <v>АДМИНИСТРАЦИЯ КРАСНОХОЛМСКОГО РАЙОНА</v>
      </c>
      <c r="B3869" s="24" t="s">
        <v>4239</v>
      </c>
      <c r="C3869" s="25">
        <v>100484</v>
      </c>
      <c r="D3869" s="22" t="s">
        <v>5590</v>
      </c>
      <c r="E3869" s="22" t="s">
        <v>84</v>
      </c>
      <c r="F3869" s="23" t="str">
        <f>HYPERLINK("https://www.spark-marketing.ru/Card/Lot/72331249", "Установка видеокамеры в г.Красный Холм на перекрестке ул.Мясникова и 3-й пер. ул.Льва Толстого в целях дооснащения существующей системы видеонаблюдения ""Безопасный город""")</f>
        <v>Установка видеокамеры в г.Красный Холм на перекрестке ул.Мясникова и 3-й пер. ул.Льва Толстого в целях дооснащения существующей системы видеонаблюдения "Безопасный город"</v>
      </c>
      <c r="G3869" s="22" t="s">
        <v>251</v>
      </c>
      <c r="H3869" s="22" t="s">
        <v>251</v>
      </c>
      <c r="I3869" s="26">
        <v>43671.3456365741</v>
      </c>
      <c r="J3869" s="28" t="s">
        <v>52</v>
      </c>
      <c r="K3869" s="28" t="s">
        <v>52</v>
      </c>
      <c r="L3869" s="28" t="s">
        <v>52</v>
      </c>
      <c r="M3869" s="28" t="s">
        <v>52</v>
      </c>
      <c r="N3869" s="28" t="s">
        <v>52</v>
      </c>
    </row>
    <row r="3870" spans="1:14" x14ac:dyDescent="0.15">
      <c r="A3870" s="23" t="str">
        <f>HYPERLINK("https://www.spark-marketing.ru/Card/Person/81655", "МЕЖРАЙОННАЯ ИФНС РОССИИ № 2 ПО АМУРСКОЙ ОБЛАСТИ")</f>
        <v>МЕЖРАЙОННАЯ ИФНС РОССИИ № 2 ПО АМУРСКОЙ ОБЛАСТИ</v>
      </c>
      <c r="B3870" s="24" t="s">
        <v>5591</v>
      </c>
      <c r="C3870" s="25">
        <v>4000</v>
      </c>
      <c r="D3870" s="22" t="s">
        <v>5592</v>
      </c>
      <c r="E3870" s="22" t="s">
        <v>103</v>
      </c>
      <c r="F3870" s="23" t="str">
        <f>HYPERLINK("https://www.spark-marketing.ru/Card/Lot/72329287", "Оказание услуг по техническому обслуживанию системы видеонаблюдения, 1 усл. ед")</f>
        <v>Оказание услуг по техническому обслуживанию системы видеонаблюдения, 1 усл. ед</v>
      </c>
      <c r="G3870" s="22" t="s">
        <v>230</v>
      </c>
      <c r="H3870" s="22" t="s">
        <v>5593</v>
      </c>
      <c r="I3870" s="26">
        <v>43671.3727083333</v>
      </c>
      <c r="J3870" s="28" t="s">
        <v>52</v>
      </c>
      <c r="K3870" s="28" t="s">
        <v>52</v>
      </c>
      <c r="L3870" s="28" t="s">
        <v>52</v>
      </c>
      <c r="M3870" s="28" t="s">
        <v>52</v>
      </c>
      <c r="N3870" s="28" t="s">
        <v>52</v>
      </c>
    </row>
    <row r="3871" spans="1:14" x14ac:dyDescent="0.15">
      <c r="A3871" s="23" t="str">
        <f>HYPERLINK("https://www.spark-marketing.ru/Card/Person/5816", "МКУ ""УКС"" ГОРОДА ЮЖНО-САХАЛИНСКА")</f>
        <v>МКУ "УКС" ГОРОДА ЮЖНО-САХАЛИНСКА</v>
      </c>
      <c r="B3871" s="24" t="s">
        <v>970</v>
      </c>
      <c r="C3871" s="25">
        <v>630208.80000000005</v>
      </c>
      <c r="D3871" s="22" t="s">
        <v>5594</v>
      </c>
      <c r="E3871" s="22" t="s">
        <v>972</v>
      </c>
      <c r="F3871" s="23" t="str">
        <f>HYPERLINK("https://www.spark-marketing.ru/Card/Lot/72329049", "разработка проекта организации зон санитарной охраны по объекту: Реконструкция и строительство объектов коммунальной инфраструктуры (Реконструкция очистных сооружений ОСК-7 в г.Южно-Сахалинске) (2 очередь)")</f>
        <v>разработка проекта организации зон санитарной охраны по объекту: Реконструкция и строительство объектов коммунальной инфраструктуры (Реконструкция очистных сооружений ОСК-7 в г.Южно-Сахалинске) (2 очередь)</v>
      </c>
      <c r="G3871" s="22" t="s">
        <v>69</v>
      </c>
      <c r="H3871" s="22" t="s">
        <v>973</v>
      </c>
      <c r="I3871" s="26">
        <v>43671.6381944444</v>
      </c>
      <c r="J3871" s="28" t="s">
        <v>52</v>
      </c>
      <c r="K3871" s="28" t="s">
        <v>52</v>
      </c>
      <c r="L3871" s="28" t="s">
        <v>52</v>
      </c>
      <c r="M3871" s="28" t="s">
        <v>52</v>
      </c>
      <c r="N3871" s="28" t="s">
        <v>52</v>
      </c>
    </row>
    <row r="3872" spans="1:14" x14ac:dyDescent="0.15">
      <c r="A3872" s="23" t="str">
        <f>HYPERLINK("https://www.spark-marketing.ru/Card/Person/6450322", "ЗАКАЗЧИК РП БЕЛАРУСЬ")</f>
        <v>ЗАКАЗЧИК РП БЕЛАРУСЬ</v>
      </c>
      <c r="B3872" s="28" t="s">
        <v>52</v>
      </c>
      <c r="C3872" s="28" t="s">
        <v>52</v>
      </c>
      <c r="D3872" s="22" t="s">
        <v>5595</v>
      </c>
      <c r="E3872" s="22" t="s">
        <v>53</v>
      </c>
      <c r="F3872" s="23" t="str">
        <f>HYPERLINK("https://www.spark-marketing.ru/Card/Lot/72332618", "Видеорегистраторы на подвижной состав предприятия (автобусы «МАЗ»)")</f>
        <v>Видеорегистраторы на подвижной состав предприятия (автобусы «МАЗ»)</v>
      </c>
      <c r="G3872" s="22" t="s">
        <v>52</v>
      </c>
      <c r="H3872" s="22" t="s">
        <v>52</v>
      </c>
      <c r="I3872" s="26">
        <v>43671</v>
      </c>
      <c r="J3872" s="28" t="s">
        <v>52</v>
      </c>
      <c r="K3872" s="28" t="s">
        <v>52</v>
      </c>
      <c r="L3872" s="28" t="s">
        <v>52</v>
      </c>
      <c r="M3872" s="28" t="s">
        <v>52</v>
      </c>
      <c r="N3872" s="28" t="s">
        <v>52</v>
      </c>
    </row>
    <row r="3873" spans="1:14" x14ac:dyDescent="0.15">
      <c r="A3873" s="23" t="str">
        <f>HYPERLINK("https://www.spark-marketing.ru/Card/Person/6506125", "ООО ""СМАРТ КОНСТРАКШН""")</f>
        <v>ООО "СМАРТ КОНСТРАКШН"</v>
      </c>
      <c r="B3873" s="24" t="s">
        <v>5596</v>
      </c>
      <c r="C3873" s="25">
        <v>2422250</v>
      </c>
      <c r="D3873" s="22" t="s">
        <v>5597</v>
      </c>
      <c r="E3873" s="22" t="s">
        <v>53</v>
      </c>
      <c r="F3873" s="23" t="str">
        <f>HYPERLINK("https://www.spark-marketing.ru/Card/Lot/72318114", "Выполнение работ по лабораторному сопровождению реконструкции Здания Центра обработки данных (ЦОД)")</f>
        <v>Выполнение работ по лабораторному сопровождению реконструкции Здания Центра обработки данных (ЦОД)</v>
      </c>
      <c r="G3873" s="22" t="s">
        <v>55</v>
      </c>
      <c r="H3873" s="22" t="s">
        <v>55</v>
      </c>
      <c r="I3873" s="26">
        <v>43670.7590277778</v>
      </c>
      <c r="J3873" s="28" t="s">
        <v>52</v>
      </c>
      <c r="K3873" s="28" t="s">
        <v>52</v>
      </c>
      <c r="L3873" s="28" t="s">
        <v>52</v>
      </c>
      <c r="M3873" s="28" t="s">
        <v>52</v>
      </c>
      <c r="N3873" s="28" t="s">
        <v>52</v>
      </c>
    </row>
    <row r="3874" spans="1:14" x14ac:dyDescent="0.15">
      <c r="A3874" s="23" t="str">
        <f>HYPERLINK("https://www.spark-marketing.ru/Card/Person/6506125", "ООО ""СМАРТ КОНСТРАКШН""")</f>
        <v>ООО "СМАРТ КОНСТРАКШН"</v>
      </c>
      <c r="B3874" s="24" t="s">
        <v>5596</v>
      </c>
      <c r="C3874" s="25">
        <v>7338500</v>
      </c>
      <c r="D3874" s="22" t="s">
        <v>5597</v>
      </c>
      <c r="E3874" s="22" t="s">
        <v>53</v>
      </c>
      <c r="F3874" s="23" t="str">
        <f>HYPERLINK("https://www.spark-marketing.ru/Card/Lot/72318113", "Выполнение работ по лабораторному сопровождению строительства по объекту Технопарк ПАО Сбербанк")</f>
        <v>Выполнение работ по лабораторному сопровождению строительства по объекту Технопарк ПАО Сбербанк</v>
      </c>
      <c r="G3874" s="22" t="s">
        <v>55</v>
      </c>
      <c r="H3874" s="22" t="s">
        <v>55</v>
      </c>
      <c r="I3874" s="26">
        <v>43670.7590277778</v>
      </c>
      <c r="J3874" s="28" t="s">
        <v>52</v>
      </c>
      <c r="K3874" s="28" t="s">
        <v>52</v>
      </c>
      <c r="L3874" s="28" t="s">
        <v>52</v>
      </c>
      <c r="M3874" s="28" t="s">
        <v>52</v>
      </c>
      <c r="N3874" s="28" t="s">
        <v>52</v>
      </c>
    </row>
    <row r="3875" spans="1:14" x14ac:dyDescent="0.15">
      <c r="A3875" s="23" t="str">
        <f>HYPERLINK("https://www.spark-marketing.ru/Card/Person/17923", "СПБГУТ")</f>
        <v>СПБГУТ</v>
      </c>
      <c r="B3875" s="24" t="s">
        <v>5598</v>
      </c>
      <c r="C3875" s="25">
        <v>2066362</v>
      </c>
      <c r="D3875" s="22" t="s">
        <v>5599</v>
      </c>
      <c r="E3875" s="22" t="s">
        <v>533</v>
      </c>
      <c r="F3875" s="23" t="str">
        <f>HYPERLINK("https://www.spark-marketing.ru/Card/Lot/72320923", "Выполнение работ по установке системы видеонаблюдения на объектах АКТ (ф) СПбГУТ")</f>
        <v>Выполнение работ по установке системы видеонаблюдения на объектах АКТ (ф) СПбГУТ</v>
      </c>
      <c r="G3875" s="22" t="s">
        <v>674</v>
      </c>
      <c r="H3875" s="22" t="s">
        <v>674</v>
      </c>
      <c r="I3875" s="26">
        <v>43670.783796296302</v>
      </c>
      <c r="J3875" s="28" t="s">
        <v>52</v>
      </c>
      <c r="K3875" s="28" t="s">
        <v>52</v>
      </c>
      <c r="L3875" s="28" t="s">
        <v>52</v>
      </c>
      <c r="M3875" s="28" t="s">
        <v>52</v>
      </c>
      <c r="N3875" s="28" t="s">
        <v>52</v>
      </c>
    </row>
    <row r="3876" spans="1:14" x14ac:dyDescent="0.15">
      <c r="A3876" s="23" t="str">
        <f>HYPERLINK("https://www.spark-marketing.ru/Card/Person/10834", "ГКУ КО ""ДИРЕКЦИЯ АВТОДОРОГ КУЗБАССА""")</f>
        <v>ГКУ КО "ДИРЕКЦИЯ АВТОДОРОГ КУЗБАССА"</v>
      </c>
      <c r="B3876" s="24" t="s">
        <v>1499</v>
      </c>
      <c r="C3876" s="25">
        <v>5660658.8300000001</v>
      </c>
      <c r="D3876" s="22" t="s">
        <v>5600</v>
      </c>
      <c r="E3876" s="22" t="s">
        <v>723</v>
      </c>
      <c r="F3876" s="23" t="str">
        <f>HYPERLINK("https://www.spark-marketing.ru/Card/Lot/72327979",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v>
      </c>
      <c r="G3876" s="22" t="s">
        <v>367</v>
      </c>
      <c r="H3876" s="22" t="s">
        <v>881</v>
      </c>
      <c r="I3876" s="26">
        <v>43670.721620370401</v>
      </c>
      <c r="J3876" s="23" t="str">
        <f>HYPERLINK("https://www.spark-marketing.ru/Card/Person/127397", "ООО ""ИНФОСЕРВИС""")</f>
        <v>ООО "ИНФОСЕРВИС"</v>
      </c>
      <c r="K3876" s="24" t="s">
        <v>1503</v>
      </c>
      <c r="L3876" s="22" t="s">
        <v>10</v>
      </c>
      <c r="M3876" s="28" t="s">
        <v>52</v>
      </c>
      <c r="N3876" s="28" t="s">
        <v>52</v>
      </c>
    </row>
    <row r="3877" spans="1:14" x14ac:dyDescent="0.15">
      <c r="A3877" s="23" t="str">
        <f>HYPERLINK("https://www.spark-marketing.ru/Card/Person/10834", "ГКУ КО ""ДИРЕКЦИЯ АВТОДОРОГ КУЗБАССА""")</f>
        <v>ГКУ КО "ДИРЕКЦИЯ АВТОДОРОГ КУЗБАССА"</v>
      </c>
      <c r="B3877" s="24" t="s">
        <v>1499</v>
      </c>
      <c r="C3877" s="25">
        <v>5658786.3200000003</v>
      </c>
      <c r="D3877" s="22" t="s">
        <v>5601</v>
      </c>
      <c r="E3877" s="22" t="s">
        <v>723</v>
      </c>
      <c r="F3877" s="23" t="str">
        <f>HYPERLINK("https://www.spark-marketing.ru/Card/Lot/72327978",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v>
      </c>
      <c r="G3877" s="22" t="s">
        <v>367</v>
      </c>
      <c r="H3877" s="22" t="s">
        <v>881</v>
      </c>
      <c r="I3877" s="26">
        <v>43670.721516203703</v>
      </c>
      <c r="J3877" s="23" t="str">
        <f>HYPERLINK("https://www.spark-marketing.ru/Card/Person/127397", "ООО ""ИНФОСЕРВИС""")</f>
        <v>ООО "ИНФОСЕРВИС"</v>
      </c>
      <c r="K3877" s="24" t="s">
        <v>1503</v>
      </c>
      <c r="L3877" s="22" t="s">
        <v>10</v>
      </c>
      <c r="M3877" s="28" t="s">
        <v>52</v>
      </c>
      <c r="N3877" s="28" t="s">
        <v>52</v>
      </c>
    </row>
    <row r="3878" spans="1:14" x14ac:dyDescent="0.15">
      <c r="A3878" s="23" t="str">
        <f>HYPERLINK("https://www.spark-marketing.ru/Card/Person/257514", "МОУ ""СРЕДНЯЯ ШКОЛА № 36""")</f>
        <v>МОУ "СРЕДНЯЯ ШКОЛА № 36"</v>
      </c>
      <c r="B3878" s="24" t="s">
        <v>5602</v>
      </c>
      <c r="C3878" s="25">
        <v>10000</v>
      </c>
      <c r="D3878" s="28" t="s">
        <v>52</v>
      </c>
      <c r="E3878" s="22" t="s">
        <v>84</v>
      </c>
      <c r="F3878" s="23" t="str">
        <f>HYPERLINK("https://www.spark-marketing.ru/Card/Lot/72429664", "№005131201922422 Установка трех дополнительных камер видеонаблюдения")</f>
        <v>№005131201922422 Установка трех дополнительных камер видеонаблюдения</v>
      </c>
      <c r="G3878" s="22" t="s">
        <v>435</v>
      </c>
      <c r="H3878" s="22" t="s">
        <v>436</v>
      </c>
      <c r="I3878" s="26">
        <v>43670.730868055602</v>
      </c>
      <c r="J3878" s="28" t="s">
        <v>52</v>
      </c>
      <c r="K3878" s="28" t="s">
        <v>52</v>
      </c>
      <c r="L3878" s="28" t="s">
        <v>52</v>
      </c>
      <c r="M3878" s="28" t="s">
        <v>52</v>
      </c>
      <c r="N3878" s="28" t="s">
        <v>52</v>
      </c>
    </row>
    <row r="3879" spans="1:14" x14ac:dyDescent="0.15">
      <c r="A3879" s="23" t="str">
        <f>HYPERLINK("https://www.spark-marketing.ru/Card/Person/10834", "ГКУ КО ""ДИРЕКЦИЯ АВТОДОРОГ КУЗБАССА""")</f>
        <v>ГКУ КО "ДИРЕКЦИЯ АВТОДОРОГ КУЗБАССА"</v>
      </c>
      <c r="B3879" s="24" t="s">
        <v>1499</v>
      </c>
      <c r="C3879" s="25">
        <v>5644520.9000000004</v>
      </c>
      <c r="D3879" s="22" t="s">
        <v>5603</v>
      </c>
      <c r="E3879" s="22" t="s">
        <v>723</v>
      </c>
      <c r="F3879" s="23" t="str">
        <f>HYPERLINK("https://www.spark-marketing.ru/Card/Lot/72327977",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v>
      </c>
      <c r="G3879" s="22" t="s">
        <v>367</v>
      </c>
      <c r="H3879" s="22" t="s">
        <v>881</v>
      </c>
      <c r="I3879" s="26">
        <v>43670.721203703702</v>
      </c>
      <c r="J3879" s="23" t="str">
        <f>HYPERLINK("https://www.spark-marketing.ru/Card/Person/127397", "ООО ""ИНФОСЕРВИС""")</f>
        <v>ООО "ИНФОСЕРВИС"</v>
      </c>
      <c r="K3879" s="24" t="s">
        <v>1503</v>
      </c>
      <c r="L3879" s="22" t="s">
        <v>10</v>
      </c>
      <c r="M3879" s="28" t="s">
        <v>52</v>
      </c>
      <c r="N3879" s="28" t="s">
        <v>52</v>
      </c>
    </row>
    <row r="3880" spans="1:14" x14ac:dyDescent="0.15">
      <c r="A3880" s="23" t="str">
        <f>HYPERLINK("https://www.spark-marketing.ru/Card/Person/163598", "ОТДЕЛ МВД РОССИИ ПО ГЕОРГИЕВСКОМУ ГОРОДСКОМУ ОКРУГУ")</f>
        <v>ОТДЕЛ МВД РОССИИ ПО ГЕОРГИЕВСКОМУ ГОРОДСКОМУ ОКРУГУ</v>
      </c>
      <c r="B3880" s="24" t="s">
        <v>4022</v>
      </c>
      <c r="C3880" s="25">
        <v>20380.98</v>
      </c>
      <c r="D3880" s="22" t="s">
        <v>5604</v>
      </c>
      <c r="E3880" s="22" t="s">
        <v>53</v>
      </c>
      <c r="F3880" s="23" t="str">
        <f>HYPERLINK("https://www.spark-marketing.ru/Card/Lot/72310810", "Оказание услуг по техническому обслуживанию комплекса технических средств охраны на объектах ОМВД России по Георгиевскому городскому округу")</f>
        <v>Оказание услуг по техническому обслуживанию комплекса технических средств охраны на объектах ОМВД России по Георгиевскому городскому округу</v>
      </c>
      <c r="G3880" s="22" t="s">
        <v>258</v>
      </c>
      <c r="H3880" s="22" t="s">
        <v>4024</v>
      </c>
      <c r="I3880" s="26">
        <v>43670.669479166703</v>
      </c>
      <c r="J3880" s="28" t="s">
        <v>52</v>
      </c>
      <c r="K3880" s="28" t="s">
        <v>52</v>
      </c>
      <c r="L3880" s="28" t="s">
        <v>52</v>
      </c>
      <c r="M3880" s="28" t="s">
        <v>52</v>
      </c>
      <c r="N3880" s="28" t="s">
        <v>52</v>
      </c>
    </row>
    <row r="3881" spans="1:14" x14ac:dyDescent="0.15">
      <c r="A3881" s="23" t="str">
        <f>HYPERLINK("https://www.spark-marketing.ru/Card/Person/651534", "ОТДЕЛ ГФС РОССИИ В Г. СЕВАСТОПОЛЕ")</f>
        <v>ОТДЕЛ ГФС РОССИИ В Г. СЕВАСТОПОЛЕ</v>
      </c>
      <c r="B3881" s="24" t="s">
        <v>4594</v>
      </c>
      <c r="C3881" s="25">
        <v>2700.76</v>
      </c>
      <c r="D3881" s="22" t="s">
        <v>5605</v>
      </c>
      <c r="E3881" s="22" t="s">
        <v>107</v>
      </c>
      <c r="F3881" s="23" t="str">
        <f>HYPERLINK("https://www.spark-marketing.ru/Card/Lot/72310873", "Техническое обслуживание системы видеонаблюдения, 1 шт")</f>
        <v>Техническое обслуживание системы видеонаблюдения, 1 шт</v>
      </c>
      <c r="G3881" s="22" t="s">
        <v>714</v>
      </c>
      <c r="H3881" s="22" t="s">
        <v>714</v>
      </c>
      <c r="I3881" s="26">
        <v>43670.669421296298</v>
      </c>
      <c r="J3881" s="28" t="s">
        <v>52</v>
      </c>
      <c r="K3881" s="28" t="s">
        <v>52</v>
      </c>
      <c r="L3881" s="28" t="s">
        <v>52</v>
      </c>
      <c r="M3881" s="28" t="s">
        <v>52</v>
      </c>
      <c r="N3881" s="28" t="s">
        <v>52</v>
      </c>
    </row>
    <row r="3882" spans="1:14" x14ac:dyDescent="0.15">
      <c r="A3882" s="23" t="str">
        <f>HYPERLINK("https://www.spark-marketing.ru/Card/Person/242768", "МАДОУ ДЕТСКИЙ САД №15")</f>
        <v>МАДОУ ДЕТСКИЙ САД №15</v>
      </c>
      <c r="B3882" s="24" t="s">
        <v>5606</v>
      </c>
      <c r="C3882" s="25">
        <v>179879</v>
      </c>
      <c r="D3882" s="22" t="s">
        <v>5607</v>
      </c>
      <c r="E3882" s="22" t="s">
        <v>49</v>
      </c>
      <c r="F3882" s="23" t="str">
        <f>HYPERLINK("https://www.spark-marketing.ru/Card/Lot/72319649", "Установка видеодомофонной системы")</f>
        <v>Установка видеодомофонной системы</v>
      </c>
      <c r="G3882" s="22" t="s">
        <v>72</v>
      </c>
      <c r="H3882" s="22" t="s">
        <v>72</v>
      </c>
      <c r="I3882" s="26">
        <v>43670.589097222197</v>
      </c>
      <c r="J3882" s="28" t="s">
        <v>52</v>
      </c>
      <c r="K3882" s="28" t="s">
        <v>52</v>
      </c>
      <c r="L3882" s="28" t="s">
        <v>52</v>
      </c>
      <c r="M3882" s="28" t="s">
        <v>52</v>
      </c>
      <c r="N3882" s="28" t="s">
        <v>52</v>
      </c>
    </row>
    <row r="3883" spans="1:14" x14ac:dyDescent="0.15">
      <c r="A3883" s="23" t="str">
        <f>HYPERLINK("https://www.spark-marketing.ru/Card/Person/58573", "КГКУ ""УАЗ ПРАВИТЕЛЬСТВА ХК""")</f>
        <v>КГКУ "УАЗ ПРАВИТЕЛЬСТВА ХК"</v>
      </c>
      <c r="B3883" s="24" t="s">
        <v>5608</v>
      </c>
      <c r="C3883" s="25">
        <v>190000</v>
      </c>
      <c r="D3883" s="22" t="s">
        <v>5609</v>
      </c>
      <c r="E3883" s="22" t="s">
        <v>68</v>
      </c>
      <c r="F3883" s="23" t="str">
        <f>HYPERLINK("https://www.spark-marketing.ru/Card/Lot/72300801", "Оказание услуг по охране объектов с помощью пульта централизованной охраны")</f>
        <v>Оказание услуг по охране объектов с помощью пульта централизованной охраны</v>
      </c>
      <c r="G3883" s="22" t="s">
        <v>138</v>
      </c>
      <c r="H3883" s="22" t="s">
        <v>255</v>
      </c>
      <c r="I3883" s="26">
        <v>43670.599340277797</v>
      </c>
      <c r="J3883" s="28" t="s">
        <v>52</v>
      </c>
      <c r="K3883" s="28" t="s">
        <v>52</v>
      </c>
      <c r="L3883" s="28" t="s">
        <v>52</v>
      </c>
      <c r="M3883" s="28" t="s">
        <v>52</v>
      </c>
      <c r="N3883" s="28" t="s">
        <v>52</v>
      </c>
    </row>
    <row r="3884" spans="1:14" ht="12.75" hidden="1" outlineLevel="1" x14ac:dyDescent="0.2">
      <c r="A3884" s="23" t="str">
        <f>HYPERLINK("https://www.spark-marketing.ru/Card/Person/58573", "КГКУ ""УАЗ ПРАВИТЕЛЬСТВА ХК""")</f>
        <v>КГКУ "УАЗ ПРАВИТЕЛЬСТВА ХК"</v>
      </c>
      <c r="B3884" s="24" t="s">
        <v>5608</v>
      </c>
      <c r="C3884" s="25">
        <v>190000</v>
      </c>
      <c r="D3884" s="22" t="s">
        <v>5609</v>
      </c>
      <c r="E3884" s="22" t="s">
        <v>68</v>
      </c>
      <c r="F3884" s="23" t="str">
        <f>HYPERLINK("https://www.spark-marketing.ru/Card/Lot/72300801", "Оказание услуг по охране объектов с помощью пульта централизованной охраны")</f>
        <v>Оказание услуг по охране объектов с помощью пульта централизованной охраны</v>
      </c>
      <c r="G3884" s="22" t="s">
        <v>138</v>
      </c>
      <c r="H3884" s="22" t="s">
        <v>255</v>
      </c>
      <c r="I3884" s="26">
        <v>43670.599340277797</v>
      </c>
      <c r="J3884" s="23" t="str">
        <f>HYPERLINK("https://www.spark-marketing.ru/Card/Person/51969", "ООО ""ЧОП ""КОРДОН ХАБАРОВСК""")</f>
        <v>ООО "ЧОП "КОРДОН ХАБАРОВСК"</v>
      </c>
      <c r="K3884" s="24" t="s">
        <v>5610</v>
      </c>
      <c r="L3884" s="22" t="s">
        <v>10</v>
      </c>
      <c r="M3884" s="25">
        <v>45000</v>
      </c>
      <c r="N3884" s="27">
        <v>0.76315789473684215</v>
      </c>
    </row>
    <row r="3885" spans="1:14" hidden="1" outlineLevel="1" x14ac:dyDescent="0.2">
      <c r="A3885" s="23" t="str">
        <f>HYPERLINK("https://www.spark-marketing.ru/Card/Person/58573", "КГКУ ""УАЗ ПРАВИТЕЛЬСТВА ХК""")</f>
        <v>КГКУ "УАЗ ПРАВИТЕЛЬСТВА ХК"</v>
      </c>
      <c r="B3885" s="24" t="s">
        <v>5608</v>
      </c>
      <c r="C3885" s="25">
        <v>190000</v>
      </c>
      <c r="D3885" s="22" t="s">
        <v>5609</v>
      </c>
      <c r="E3885" s="22" t="s">
        <v>68</v>
      </c>
      <c r="F3885" s="23" t="str">
        <f>HYPERLINK("https://www.spark-marketing.ru/Card/Lot/72300801", "Оказание услуг по охране объектов с помощью пульта централизованной охраны")</f>
        <v>Оказание услуг по охране объектов с помощью пульта централизованной охраны</v>
      </c>
      <c r="G3885" s="22" t="s">
        <v>138</v>
      </c>
      <c r="H3885" s="22" t="s">
        <v>255</v>
      </c>
      <c r="I3885" s="26">
        <v>43670.599340277797</v>
      </c>
      <c r="J3885" s="23" t="str">
        <f>HYPERLINK("https://www.spark-marketing.ru/Card/Person/170170", "ООО ""ЧОО АЛЬФА""")</f>
        <v>ООО "ЧОО АЛЬФА"</v>
      </c>
      <c r="K3885" s="24" t="s">
        <v>5611</v>
      </c>
      <c r="L3885" s="28" t="s">
        <v>52</v>
      </c>
      <c r="M3885" s="25">
        <v>80000</v>
      </c>
      <c r="N3885" s="27">
        <v>0.57894736842105265</v>
      </c>
    </row>
    <row r="3886" spans="1:14" hidden="1" outlineLevel="1" x14ac:dyDescent="0.2">
      <c r="A3886" s="23" t="str">
        <f>HYPERLINK("https://www.spark-marketing.ru/Card/Person/58573", "КГКУ ""УАЗ ПРАВИТЕЛЬСТВА ХК""")</f>
        <v>КГКУ "УАЗ ПРАВИТЕЛЬСТВА ХК"</v>
      </c>
      <c r="B3886" s="24" t="s">
        <v>5608</v>
      </c>
      <c r="C3886" s="25">
        <v>190000</v>
      </c>
      <c r="D3886" s="22" t="s">
        <v>5609</v>
      </c>
      <c r="E3886" s="22" t="s">
        <v>68</v>
      </c>
      <c r="F3886" s="23" t="str">
        <f>HYPERLINK("https://www.spark-marketing.ru/Card/Lot/72300801", "Оказание услуг по охране объектов с помощью пульта централизованной охраны")</f>
        <v>Оказание услуг по охране объектов с помощью пульта централизованной охраны</v>
      </c>
      <c r="G3886" s="22" t="s">
        <v>138</v>
      </c>
      <c r="H3886" s="22" t="s">
        <v>255</v>
      </c>
      <c r="I3886" s="26">
        <v>43670.599340277797</v>
      </c>
      <c r="J3886" s="23" t="str">
        <f>HYPERLINK("https://www.spark-marketing.ru/Card/Person/1799821", "ООО ""ЧОО ""КЕДР-К""")</f>
        <v>ООО "ЧОО "КЕДР-К"</v>
      </c>
      <c r="K3886" s="24" t="s">
        <v>5612</v>
      </c>
      <c r="L3886" s="28" t="s">
        <v>52</v>
      </c>
      <c r="M3886" s="25">
        <v>140000</v>
      </c>
      <c r="N3886" s="27">
        <v>0.26315789473684209</v>
      </c>
    </row>
    <row r="3887" spans="1:14" hidden="1" outlineLevel="1" x14ac:dyDescent="0.2">
      <c r="A3887" s="23" t="str">
        <f>HYPERLINK("https://www.spark-marketing.ru/Card/Person/58573", "КГКУ ""УАЗ ПРАВИТЕЛЬСТВА ХК""")</f>
        <v>КГКУ "УАЗ ПРАВИТЕЛЬСТВА ХК"</v>
      </c>
      <c r="B3887" s="24" t="s">
        <v>5608</v>
      </c>
      <c r="C3887" s="25">
        <v>190000</v>
      </c>
      <c r="D3887" s="22" t="s">
        <v>5609</v>
      </c>
      <c r="E3887" s="22" t="s">
        <v>68</v>
      </c>
      <c r="F3887" s="23" t="str">
        <f>HYPERLINK("https://www.spark-marketing.ru/Card/Lot/72300801", "Оказание услуг по охране объектов с помощью пульта централизованной охраны")</f>
        <v>Оказание услуг по охране объектов с помощью пульта централизованной охраны</v>
      </c>
      <c r="G3887" s="22" t="s">
        <v>138</v>
      </c>
      <c r="H3887" s="22" t="s">
        <v>255</v>
      </c>
      <c r="I3887" s="26">
        <v>43670.599340277797</v>
      </c>
      <c r="J3887" s="23" t="str">
        <f>HYPERLINK("https://www.spark-marketing.ru/Card/Person/488768", "ООО ОП ""ГРАНИТ-ХАБАРОВСК""")</f>
        <v>ООО ОП "ГРАНИТ-ХАБАРОВСК"</v>
      </c>
      <c r="K3887" s="24" t="s">
        <v>5613</v>
      </c>
      <c r="L3887" s="28" t="s">
        <v>52</v>
      </c>
      <c r="M3887" s="25">
        <v>160000</v>
      </c>
      <c r="N3887" s="27">
        <v>0.15789473684210525</v>
      </c>
    </row>
    <row r="3888" spans="1:14" x14ac:dyDescent="0.15">
      <c r="A3888" s="23" t="str">
        <f>HYPERLINK("https://www.spark-marketing.ru/Card/Person/5904509", "ЛОВД на ст.Калуга УТ МВД России по ЦФО")</f>
        <v>ЛОВД на ст.Калуга УТ МВД России по ЦФО</v>
      </c>
      <c r="B3888" s="24" t="s">
        <v>5500</v>
      </c>
      <c r="C3888" s="25">
        <v>20000</v>
      </c>
      <c r="D3888" s="22" t="s">
        <v>5614</v>
      </c>
      <c r="E3888" s="22" t="s">
        <v>107</v>
      </c>
      <c r="F3888" s="23" t="str">
        <f>HYPERLINK("https://www.spark-marketing.ru/Card/Lot/72308443", "Техническое обслуживание видеодомофона, 1 мес")</f>
        <v>Техническое обслуживание видеодомофона, 1 мес</v>
      </c>
      <c r="G3888" s="22" t="s">
        <v>658</v>
      </c>
      <c r="H3888" s="22" t="s">
        <v>741</v>
      </c>
      <c r="I3888" s="26">
        <v>43670.618912037004</v>
      </c>
      <c r="J3888" s="28" t="s">
        <v>52</v>
      </c>
      <c r="K3888" s="28" t="s">
        <v>52</v>
      </c>
      <c r="L3888" s="28" t="s">
        <v>52</v>
      </c>
      <c r="M3888" s="28" t="s">
        <v>52</v>
      </c>
      <c r="N3888" s="28" t="s">
        <v>52</v>
      </c>
    </row>
    <row r="3889" spans="1:14" x14ac:dyDescent="0.15">
      <c r="A3889" s="23" t="str">
        <f>HYPERLINK("https://www.spark-marketing.ru/Card/Person/54121", "ФГУП ""ППП""")</f>
        <v>ФГУП "ППП"</v>
      </c>
      <c r="B3889" s="24" t="s">
        <v>5615</v>
      </c>
      <c r="C3889" s="25">
        <v>2725529.12</v>
      </c>
      <c r="D3889" s="22" t="s">
        <v>5616</v>
      </c>
      <c r="E3889" s="22" t="s">
        <v>5617</v>
      </c>
      <c r="F3889" s="23" t="str">
        <f>HYPERLINK("https://www.spark-marketing.ru/Card/Lot/72319670", "Оказание услуг по техническому обслуживанию автоматизированной системы управления технологическими процессами инженерного оборудования (АСУТПИО) НПП, СТЗ; ИТП НПП, СТЗ; снегоплавильного пункта; систем сигнализации загазованности и диспетчерского упра...")</f>
        <v>Оказание услуг по техническому обслуживанию автоматизированной системы управления технологическими процессами инженерного оборудования (АСУТПИО) НПП, СТЗ; ИТП НПП, СТЗ; снегоплавильного пункта; систем сигнализации загазованности и диспетчерского упра...</v>
      </c>
      <c r="G3889" s="22" t="s">
        <v>55</v>
      </c>
      <c r="H3889" s="22" t="s">
        <v>55</v>
      </c>
      <c r="I3889" s="26">
        <v>43670.610347222202</v>
      </c>
      <c r="J3889" s="28" t="s">
        <v>52</v>
      </c>
      <c r="K3889" s="28" t="s">
        <v>52</v>
      </c>
      <c r="L3889" s="28" t="s">
        <v>52</v>
      </c>
      <c r="M3889" s="28" t="s">
        <v>52</v>
      </c>
      <c r="N3889" s="28" t="s">
        <v>52</v>
      </c>
    </row>
    <row r="3890" spans="1:14" x14ac:dyDescent="0.15">
      <c r="A3890" s="23" t="str">
        <f>HYPERLINK("https://www.spark-marketing.ru/Card/Person/20814", "СРЕДНЕВОЛЖСКОЕ ТУ РОСРЫБОЛОВСТВА")</f>
        <v>СРЕДНЕВОЛЖСКОЕ ТУ РОСРЫБОЛОВСТВА</v>
      </c>
      <c r="B3890" s="24" t="s">
        <v>5618</v>
      </c>
      <c r="C3890" s="25">
        <v>21384</v>
      </c>
      <c r="D3890" s="22" t="s">
        <v>5619</v>
      </c>
      <c r="E3890" s="22" t="s">
        <v>53</v>
      </c>
      <c r="F3890" s="23" t="str">
        <f>HYPERLINK("https://www.spark-marketing.ru/Card/Lot/72308412", "Оказание услуг по техническому обслуживанию комплекса технических средств охраны")</f>
        <v>Оказание услуг по техническому обслуживанию комплекса технических средств охраны</v>
      </c>
      <c r="G3890" s="22" t="s">
        <v>760</v>
      </c>
      <c r="H3890" s="22" t="s">
        <v>1709</v>
      </c>
      <c r="I3890" s="26">
        <v>43670.614062499997</v>
      </c>
      <c r="J3890" s="28" t="s">
        <v>52</v>
      </c>
      <c r="K3890" s="28" t="s">
        <v>52</v>
      </c>
      <c r="L3890" s="28" t="s">
        <v>52</v>
      </c>
      <c r="M3890" s="28" t="s">
        <v>52</v>
      </c>
      <c r="N3890" s="28" t="s">
        <v>52</v>
      </c>
    </row>
    <row r="3891" spans="1:14" x14ac:dyDescent="0.15">
      <c r="A3891" s="23" t="str">
        <f>HYPERLINK("https://www.spark-marketing.ru/Card/Person/15420", "УПРАВЛЕНИЕ РОСПОТРЕБНАДЗОРА ПО САМАРСКОЙ ОБЛАСТИ")</f>
        <v>УПРАВЛЕНИЕ РОСПОТРЕБНАДЗОРА ПО САМАРСКОЙ ОБЛАСТИ</v>
      </c>
      <c r="B3891" s="24" t="s">
        <v>5620</v>
      </c>
      <c r="C3891" s="25">
        <v>24500</v>
      </c>
      <c r="D3891" s="22" t="s">
        <v>5621</v>
      </c>
      <c r="E3891" s="22" t="s">
        <v>103</v>
      </c>
      <c r="F3891" s="23" t="str">
        <f>HYPERLINK("https://www.spark-marketing.ru/Card/Lot/72306870", "Обслуживание системы контроля и управления доступом, 1 усл. ед")</f>
        <v>Обслуживание системы контроля и управления доступом, 1 усл. ед</v>
      </c>
      <c r="G3891" s="22" t="s">
        <v>760</v>
      </c>
      <c r="H3891" s="22" t="s">
        <v>5622</v>
      </c>
      <c r="I3891" s="26">
        <v>43670.572650463</v>
      </c>
      <c r="J3891" s="28" t="s">
        <v>52</v>
      </c>
      <c r="K3891" s="28" t="s">
        <v>52</v>
      </c>
      <c r="L3891" s="28" t="s">
        <v>52</v>
      </c>
      <c r="M3891" s="28" t="s">
        <v>52</v>
      </c>
      <c r="N3891" s="28" t="s">
        <v>52</v>
      </c>
    </row>
    <row r="3892" spans="1:14" x14ac:dyDescent="0.2">
      <c r="A3892" s="23" t="str">
        <f>HYPERLINK("https://www.spark-marketing.ru/Card/Person/106987", "АО ""КОРПОРАЦИЯ ""СПУ-ЦКБ ТМ""")</f>
        <v>АО "КОРПОРАЦИЯ "СПУ-ЦКБ ТМ"</v>
      </c>
      <c r="B3892" s="24" t="s">
        <v>5623</v>
      </c>
      <c r="C3892" s="25">
        <v>126540</v>
      </c>
      <c r="D3892" s="22" t="s">
        <v>5624</v>
      </c>
      <c r="E3892" s="22" t="s">
        <v>144</v>
      </c>
      <c r="F3892" s="23" t="str">
        <f>HYPERLINK("https://www.spark-marketing.ru/Card/Lot/72322869", "Оказание услуг по охране объекта")</f>
        <v>Оказание услуг по охране объекта</v>
      </c>
      <c r="G3892" s="22" t="s">
        <v>89</v>
      </c>
      <c r="H3892" s="22" t="s">
        <v>89</v>
      </c>
      <c r="I3892" s="26">
        <v>43670.530671296299</v>
      </c>
      <c r="J3892" s="28" t="s">
        <v>52</v>
      </c>
      <c r="K3892" s="28" t="s">
        <v>52</v>
      </c>
      <c r="L3892" s="28" t="s">
        <v>52</v>
      </c>
      <c r="M3892" s="25">
        <v>126540</v>
      </c>
      <c r="N3892" s="27">
        <v>0</v>
      </c>
    </row>
    <row r="3893" spans="1:14" x14ac:dyDescent="0.15">
      <c r="A3893" s="23" t="str">
        <f>HYPERLINK("https://www.spark-marketing.ru/Card/Person/3312", "АДМИНИСТРАЦИЯ ВЕРХНЕСАЛДИНСКОГО ГОРОДСКОГО ОКРУГА")</f>
        <v>АДМИНИСТРАЦИЯ ВЕРХНЕСАЛДИНСКОГО ГОРОДСКОГО ОКРУГА</v>
      </c>
      <c r="B3893" s="24" t="s">
        <v>5625</v>
      </c>
      <c r="C3893" s="25">
        <v>200000</v>
      </c>
      <c r="D3893" s="22" t="s">
        <v>5626</v>
      </c>
      <c r="E3893" s="22" t="s">
        <v>52</v>
      </c>
      <c r="F3893" s="23" t="str">
        <f>HYPERLINK("https://www.spark-marketing.ru/Card/Lot/72308614", "Поставка и установка систем видеонаблюдения с целью отслеживания несанкционированных размещений отходов")</f>
        <v>Поставка и установка систем видеонаблюдения с целью отслеживания несанкционированных размещений отходов</v>
      </c>
      <c r="G3893" s="22" t="s">
        <v>72</v>
      </c>
      <c r="H3893" s="22" t="s">
        <v>5321</v>
      </c>
      <c r="I3893" s="26">
        <v>43670.525208333303</v>
      </c>
      <c r="J3893" s="23" t="str">
        <f>HYPERLINK("https://www.spark-marketing.ru/Card/Person/12789", "АО ""ЭР-ТЕЛЕКОМ ХОЛДИНГ""")</f>
        <v>АО "ЭР-ТЕЛЕКОМ ХОЛДИНГ"</v>
      </c>
      <c r="K3893" s="24" t="s">
        <v>3100</v>
      </c>
      <c r="L3893" s="22" t="s">
        <v>10</v>
      </c>
      <c r="M3893" s="28" t="s">
        <v>52</v>
      </c>
      <c r="N3893" s="28" t="s">
        <v>52</v>
      </c>
    </row>
    <row r="3894" spans="1:14" x14ac:dyDescent="0.15">
      <c r="A3894" s="23" t="str">
        <f>HYPERLINK("https://www.spark-marketing.ru/Card/Person/8126", "ТФОМС ИРКУТСКОЙ ОБЛАСТИ")</f>
        <v>ТФОМС ИРКУТСКОЙ ОБЛАСТИ</v>
      </c>
      <c r="B3894" s="24" t="s">
        <v>2807</v>
      </c>
      <c r="C3894" s="25">
        <v>43446.64</v>
      </c>
      <c r="D3894" s="22" t="s">
        <v>5627</v>
      </c>
      <c r="E3894" s="22" t="s">
        <v>52</v>
      </c>
      <c r="F3894" s="23" t="str">
        <f>HYPERLINK("https://www.spark-marketing.ru/Card/Lot/72307574", "Услуги охраны с помощью сигнализации офиса Шелеховского филиала с 01.10.2019 г. по 31.08.2020 г.")</f>
        <v>Услуги охраны с помощью сигнализации офиса Шелеховского филиала с 01.10.2019 г. по 31.08.2020 г.</v>
      </c>
      <c r="G3894" s="22" t="s">
        <v>281</v>
      </c>
      <c r="H3894" s="22" t="s">
        <v>281</v>
      </c>
      <c r="I3894" s="26">
        <v>43670.505590277797</v>
      </c>
      <c r="J3894" s="28" t="s">
        <v>52</v>
      </c>
      <c r="K3894" s="28" t="s">
        <v>52</v>
      </c>
      <c r="L3894" s="28" t="s">
        <v>52</v>
      </c>
      <c r="M3894" s="28" t="s">
        <v>52</v>
      </c>
      <c r="N3894" s="28" t="s">
        <v>52</v>
      </c>
    </row>
    <row r="3895" spans="1:14" ht="12.75" hidden="1" outlineLevel="1" x14ac:dyDescent="0.2">
      <c r="A3895" s="23" t="str">
        <f>HYPERLINK("https://www.spark-marketing.ru/Card/Person/8126", "ТФОМС ИРКУТСКОЙ ОБЛАСТИ")</f>
        <v>ТФОМС ИРКУТСКОЙ ОБЛАСТИ</v>
      </c>
      <c r="B3895" s="24" t="s">
        <v>2807</v>
      </c>
      <c r="C3895" s="25">
        <v>43446.64</v>
      </c>
      <c r="D3895" s="22" t="s">
        <v>5627</v>
      </c>
      <c r="E3895" s="22" t="s">
        <v>52</v>
      </c>
      <c r="F3895" s="23" t="str">
        <f>HYPERLINK("https://www.spark-marketing.ru/Card/Lot/72307574", "Услуги охраны с помощью сигнализации офиса Шелеховского филиала с 01.10.2019 г. по 31.08.2020 г.")</f>
        <v>Услуги охраны с помощью сигнализации офиса Шелеховского филиала с 01.10.2019 г. по 31.08.2020 г.</v>
      </c>
      <c r="G3895" s="22" t="s">
        <v>281</v>
      </c>
      <c r="H3895" s="22" t="s">
        <v>281</v>
      </c>
      <c r="I3895" s="26">
        <v>43670.505590277797</v>
      </c>
      <c r="J3895" s="23" t="str">
        <f>HYPERLINK("https://www.spark-marketing.ru/Card/Person/584762", "ООО ОА ""АТЭКС""")</f>
        <v>ООО ОА "АТЭКС"</v>
      </c>
      <c r="K3895" s="24" t="s">
        <v>5628</v>
      </c>
      <c r="L3895" s="22" t="s">
        <v>10</v>
      </c>
      <c r="M3895" s="25">
        <v>36248.720000000001</v>
      </c>
      <c r="N3895" s="27">
        <v>0.16567265040518669</v>
      </c>
    </row>
    <row r="3896" spans="1:14" hidden="1" outlineLevel="1" x14ac:dyDescent="0.2">
      <c r="A3896" s="23" t="str">
        <f>HYPERLINK("https://www.spark-marketing.ru/Card/Person/8126", "ТФОМС ИРКУТСКОЙ ОБЛАСТИ")</f>
        <v>ТФОМС ИРКУТСКОЙ ОБЛАСТИ</v>
      </c>
      <c r="B3896" s="24" t="s">
        <v>2807</v>
      </c>
      <c r="C3896" s="25">
        <v>43446.64</v>
      </c>
      <c r="D3896" s="22" t="s">
        <v>5627</v>
      </c>
      <c r="E3896" s="22" t="s">
        <v>52</v>
      </c>
      <c r="F3896" s="23" t="str">
        <f>HYPERLINK("https://www.spark-marketing.ru/Card/Lot/72307574", "Услуги охраны с помощью сигнализации офиса Шелеховского филиала с 01.10.2019 г. по 31.08.2020 г.")</f>
        <v>Услуги охраны с помощью сигнализации офиса Шелеховского филиала с 01.10.2019 г. по 31.08.2020 г.</v>
      </c>
      <c r="G3896" s="22" t="s">
        <v>281</v>
      </c>
      <c r="H3896" s="22" t="s">
        <v>281</v>
      </c>
      <c r="I3896" s="26">
        <v>43670.505590277797</v>
      </c>
      <c r="J3896" s="23" t="str">
        <f>HYPERLINK("https://www.spark-marketing.ru/Card/Person/270948", "ФЛ ФГУП ""ОХРАНА"" РОСГВАРДИИ ПО ИРКУТСКОЙ ОБЛАСТИ")</f>
        <v>ФЛ ФГУП "ОХРАНА" РОСГВАРДИИ ПО ИРКУТСКОЙ ОБЛАСТИ</v>
      </c>
      <c r="K3896" s="24" t="s">
        <v>779</v>
      </c>
      <c r="L3896" s="28" t="s">
        <v>52</v>
      </c>
      <c r="M3896" s="25">
        <v>36465.96</v>
      </c>
      <c r="N3896" s="27">
        <v>0.16067249389135729</v>
      </c>
    </row>
    <row r="3897" spans="1:14" x14ac:dyDescent="0.15">
      <c r="A3897" s="23" t="str">
        <f>HYPERLINK("https://www.spark-marketing.ru/Card/Person/4373441", "ФКУ ЦИТОВ УФСИН РОССИИ ПО КАЛУЖСКОЙ ОБЛАСТИ")</f>
        <v>ФКУ ЦИТОВ УФСИН РОССИИ ПО КАЛУЖСКОЙ ОБЛАСТИ</v>
      </c>
      <c r="B3897" s="24" t="s">
        <v>5629</v>
      </c>
      <c r="C3897" s="25">
        <v>15495</v>
      </c>
      <c r="D3897" s="22" t="s">
        <v>5630</v>
      </c>
      <c r="E3897" s="22" t="s">
        <v>53</v>
      </c>
      <c r="F3897" s="23" t="str">
        <f>HYPERLINK("https://www.spark-marketing.ru/Card/Lot/72302928", "Кнопка тревожной сигнализации RS-201TK, 5 шт")</f>
        <v>Кнопка тревожной сигнализации RS-201TK, 5 шт</v>
      </c>
      <c r="G3897" s="22" t="s">
        <v>658</v>
      </c>
      <c r="H3897" s="22" t="s">
        <v>741</v>
      </c>
      <c r="I3897" s="26">
        <v>43670.471678240698</v>
      </c>
      <c r="J3897" s="28" t="s">
        <v>52</v>
      </c>
      <c r="K3897" s="28" t="s">
        <v>52</v>
      </c>
      <c r="L3897" s="28" t="s">
        <v>52</v>
      </c>
      <c r="M3897" s="28" t="s">
        <v>52</v>
      </c>
      <c r="N3897" s="28" t="s">
        <v>52</v>
      </c>
    </row>
    <row r="3898" spans="1:14" x14ac:dyDescent="0.15">
      <c r="A3898" s="23" t="str">
        <f>HYPERLINK("https://www.spark-marketing.ru/Card/Person/1070194", "МКУК ""ЕРМАКОВСКОЕ СКО ""МОЛОДЕЖНЫЙ""")</f>
        <v>МКУК "ЕРМАКОВСКОЕ СКО "МОЛОДЕЖНЫЙ"</v>
      </c>
      <c r="B3898" s="24" t="s">
        <v>5631</v>
      </c>
      <c r="C3898" s="25">
        <v>40000</v>
      </c>
      <c r="D3898" s="22" t="s">
        <v>5632</v>
      </c>
      <c r="E3898" s="22" t="s">
        <v>59</v>
      </c>
      <c r="F3898" s="23" t="str">
        <f>HYPERLINK("https://www.spark-marketing.ru/Card/Lot/72302785", "услуг по установке и монтажу системы видеонаблюдения, по адресу 632499 Новосибирская область, Кочковский район, п. Ермаковский, ул. Ленина д. 30")</f>
        <v>услуг по установке и монтажу системы видеонаблюдения, по адресу 632499 Новосибирская область, Кочковский район, п. Ермаковский, ул. Ленина д. 30</v>
      </c>
      <c r="G3898" s="22" t="s">
        <v>209</v>
      </c>
      <c r="H3898" s="22" t="s">
        <v>5633</v>
      </c>
      <c r="I3898" s="26">
        <v>43670.491666666698</v>
      </c>
      <c r="J3898" s="28" t="s">
        <v>52</v>
      </c>
      <c r="K3898" s="28" t="s">
        <v>52</v>
      </c>
      <c r="L3898" s="28" t="s">
        <v>52</v>
      </c>
      <c r="M3898" s="28" t="s">
        <v>52</v>
      </c>
      <c r="N3898" s="28" t="s">
        <v>52</v>
      </c>
    </row>
    <row r="3899" spans="1:14" x14ac:dyDescent="0.15">
      <c r="A3899" s="23" t="str">
        <f>HYPERLINK("https://www.spark-marketing.ru/Card/Person/5904509", "ЛОВД на ст.Калуга УТ МВД России по ЦФО")</f>
        <v>ЛОВД на ст.Калуга УТ МВД России по ЦФО</v>
      </c>
      <c r="B3899" s="24" t="s">
        <v>5500</v>
      </c>
      <c r="C3899" s="25">
        <v>20000</v>
      </c>
      <c r="D3899" s="22" t="s">
        <v>5634</v>
      </c>
      <c r="E3899" s="22" t="s">
        <v>107</v>
      </c>
      <c r="F3899" s="23" t="str">
        <f>HYPERLINK("https://www.spark-marketing.ru/Card/Lot/72301282", "Техническое обслуживание видеодомофона, 1 мес")</f>
        <v>Техническое обслуживание видеодомофона, 1 мес</v>
      </c>
      <c r="G3899" s="22" t="s">
        <v>658</v>
      </c>
      <c r="H3899" s="22" t="s">
        <v>741</v>
      </c>
      <c r="I3899" s="26">
        <v>43670.4586921296</v>
      </c>
      <c r="J3899" s="28" t="s">
        <v>52</v>
      </c>
      <c r="K3899" s="28" t="s">
        <v>52</v>
      </c>
      <c r="L3899" s="28" t="s">
        <v>52</v>
      </c>
      <c r="M3899" s="28" t="s">
        <v>52</v>
      </c>
      <c r="N3899" s="28" t="s">
        <v>52</v>
      </c>
    </row>
    <row r="3900" spans="1:14" x14ac:dyDescent="0.15">
      <c r="A3900" s="23" t="str">
        <f>HYPERLINK("https://www.spark-marketing.ru/Card/Person/261480", "ОТДЕЛ ГФС РОССИИ В Г. БРЯНСКЕ")</f>
        <v>ОТДЕЛ ГФС РОССИИ В Г. БРЯНСКЕ</v>
      </c>
      <c r="B3900" s="24" t="s">
        <v>5635</v>
      </c>
      <c r="C3900" s="25">
        <v>8000</v>
      </c>
      <c r="D3900" s="22" t="s">
        <v>5636</v>
      </c>
      <c r="E3900" s="22" t="s">
        <v>107</v>
      </c>
      <c r="F3900" s="23" t="str">
        <f>HYPERLINK("https://www.spark-marketing.ru/Card/Lot/72303013", "Техническое обслуживание комплекса технических средств охраны, 1 шт")</f>
        <v>Техническое обслуживание комплекса технических средств охраны, 1 шт</v>
      </c>
      <c r="G3900" s="22" t="s">
        <v>215</v>
      </c>
      <c r="H3900" s="22" t="s">
        <v>406</v>
      </c>
      <c r="I3900" s="26">
        <v>43670.496261574102</v>
      </c>
      <c r="J3900" s="28" t="s">
        <v>52</v>
      </c>
      <c r="K3900" s="28" t="s">
        <v>52</v>
      </c>
      <c r="L3900" s="28" t="s">
        <v>52</v>
      </c>
      <c r="M3900" s="28" t="s">
        <v>52</v>
      </c>
      <c r="N3900" s="28" t="s">
        <v>52</v>
      </c>
    </row>
    <row r="3901" spans="1:14" x14ac:dyDescent="0.15">
      <c r="A3901" s="23" t="s">
        <v>121</v>
      </c>
      <c r="B3901" s="28" t="s">
        <v>52</v>
      </c>
      <c r="C3901" s="25">
        <v>1598523</v>
      </c>
      <c r="D3901" s="22" t="s">
        <v>5637</v>
      </c>
      <c r="E3901" s="22" t="s">
        <v>59</v>
      </c>
      <c r="F3901" s="23" t="str">
        <f t="shared" ref="F3901:F3913" si="168">HYPERLINK("https://www.spark-marketing.ru/Card/Lot/72305078", "Выполнение работ по установке системы видеонаблюдения")</f>
        <v>Выполнение работ по установке системы видеонаблюдения</v>
      </c>
      <c r="G3901" s="22" t="s">
        <v>52</v>
      </c>
      <c r="H3901" s="22" t="s">
        <v>52</v>
      </c>
      <c r="I3901" s="26">
        <v>43670.457152777803</v>
      </c>
      <c r="J3901" s="28" t="s">
        <v>52</v>
      </c>
      <c r="K3901" s="28" t="s">
        <v>52</v>
      </c>
      <c r="L3901" s="28" t="s">
        <v>52</v>
      </c>
      <c r="M3901" s="28" t="s">
        <v>52</v>
      </c>
      <c r="N3901" s="28" t="s">
        <v>52</v>
      </c>
    </row>
    <row r="3902" spans="1:14" hidden="1" outlineLevel="1" x14ac:dyDescent="0.15">
      <c r="A3902" s="23" t="str">
        <f>HYPERLINK("https://www.spark-marketing.ru/Card/Person/84882", "МДОУ ""ДЕТСКИЙ САД № 36""")</f>
        <v>МДОУ "ДЕТСКИЙ САД № 36"</v>
      </c>
      <c r="B3902" s="24" t="s">
        <v>5638</v>
      </c>
      <c r="C3902" s="25">
        <v>236134</v>
      </c>
      <c r="D3902" s="22" t="s">
        <v>5637</v>
      </c>
      <c r="E3902" s="22" t="s">
        <v>59</v>
      </c>
      <c r="F3902" s="23" t="str">
        <f t="shared" si="168"/>
        <v>Выполнение работ по установке системы видеонаблюдения</v>
      </c>
      <c r="G3902" s="22" t="s">
        <v>340</v>
      </c>
      <c r="H3902" s="22" t="s">
        <v>340</v>
      </c>
      <c r="I3902" s="26">
        <v>43670.457152777803</v>
      </c>
      <c r="J3902" s="28" t="s">
        <v>52</v>
      </c>
      <c r="K3902" s="28" t="s">
        <v>52</v>
      </c>
      <c r="L3902" s="28" t="s">
        <v>52</v>
      </c>
      <c r="M3902" s="28" t="s">
        <v>52</v>
      </c>
      <c r="N3902" s="28" t="s">
        <v>52</v>
      </c>
    </row>
    <row r="3903" spans="1:14" hidden="1" outlineLevel="1" x14ac:dyDescent="0.15">
      <c r="A3903" s="23" t="str">
        <f>HYPERLINK("https://www.spark-marketing.ru/Card/Person/144358", "МДОУ ""ДЕТСКИЙ САД № 38""")</f>
        <v>МДОУ "ДЕТСКИЙ САД № 38"</v>
      </c>
      <c r="B3903" s="24" t="s">
        <v>5639</v>
      </c>
      <c r="C3903" s="25">
        <v>148867</v>
      </c>
      <c r="D3903" s="22" t="s">
        <v>5637</v>
      </c>
      <c r="E3903" s="22" t="s">
        <v>59</v>
      </c>
      <c r="F3903" s="23" t="str">
        <f t="shared" si="168"/>
        <v>Выполнение работ по установке системы видеонаблюдения</v>
      </c>
      <c r="G3903" s="22" t="s">
        <v>340</v>
      </c>
      <c r="H3903" s="22" t="s">
        <v>340</v>
      </c>
      <c r="I3903" s="26">
        <v>43670.457152777803</v>
      </c>
      <c r="J3903" s="28" t="s">
        <v>52</v>
      </c>
      <c r="K3903" s="28" t="s">
        <v>52</v>
      </c>
      <c r="L3903" s="28" t="s">
        <v>52</v>
      </c>
      <c r="M3903" s="28" t="s">
        <v>52</v>
      </c>
      <c r="N3903" s="28" t="s">
        <v>52</v>
      </c>
    </row>
    <row r="3904" spans="1:14" hidden="1" outlineLevel="1" x14ac:dyDescent="0.15">
      <c r="A3904" s="23" t="str">
        <f>HYPERLINK("https://www.spark-marketing.ru/Card/Person/233491", "МОУ ""СОШ № 4""")</f>
        <v>МОУ "СОШ № 4"</v>
      </c>
      <c r="B3904" s="24" t="s">
        <v>5640</v>
      </c>
      <c r="C3904" s="25">
        <v>152974</v>
      </c>
      <c r="D3904" s="22" t="s">
        <v>5637</v>
      </c>
      <c r="E3904" s="22" t="s">
        <v>59</v>
      </c>
      <c r="F3904" s="23" t="str">
        <f t="shared" si="168"/>
        <v>Выполнение работ по установке системы видеонаблюдения</v>
      </c>
      <c r="G3904" s="22" t="s">
        <v>340</v>
      </c>
      <c r="H3904" s="22" t="s">
        <v>340</v>
      </c>
      <c r="I3904" s="26">
        <v>43670.457152777803</v>
      </c>
      <c r="J3904" s="28" t="s">
        <v>52</v>
      </c>
      <c r="K3904" s="28" t="s">
        <v>52</v>
      </c>
      <c r="L3904" s="28" t="s">
        <v>52</v>
      </c>
      <c r="M3904" s="28" t="s">
        <v>52</v>
      </c>
      <c r="N3904" s="28" t="s">
        <v>52</v>
      </c>
    </row>
    <row r="3905" spans="1:14" hidden="1" outlineLevel="1" x14ac:dyDescent="0.15">
      <c r="A3905" s="23" t="str">
        <f>HYPERLINK("https://www.spark-marketing.ru/Card/Person/233770", "МДОУ № 37")</f>
        <v>МДОУ № 37</v>
      </c>
      <c r="B3905" s="24" t="s">
        <v>5641</v>
      </c>
      <c r="C3905" s="25">
        <v>148867</v>
      </c>
      <c r="D3905" s="22" t="s">
        <v>5637</v>
      </c>
      <c r="E3905" s="22" t="s">
        <v>59</v>
      </c>
      <c r="F3905" s="23" t="str">
        <f t="shared" si="168"/>
        <v>Выполнение работ по установке системы видеонаблюдения</v>
      </c>
      <c r="G3905" s="22" t="s">
        <v>340</v>
      </c>
      <c r="H3905" s="22" t="s">
        <v>340</v>
      </c>
      <c r="I3905" s="26">
        <v>43670.457152777803</v>
      </c>
      <c r="J3905" s="28" t="s">
        <v>52</v>
      </c>
      <c r="K3905" s="28" t="s">
        <v>52</v>
      </c>
      <c r="L3905" s="28" t="s">
        <v>52</v>
      </c>
      <c r="M3905" s="28" t="s">
        <v>52</v>
      </c>
      <c r="N3905" s="28" t="s">
        <v>52</v>
      </c>
    </row>
    <row r="3906" spans="1:14" hidden="1" outlineLevel="1" x14ac:dyDescent="0.15">
      <c r="A3906" s="23" t="str">
        <f>HYPERLINK("https://www.spark-marketing.ru/Card/Person/233772", "МОУ СОШ № 20")</f>
        <v>МОУ СОШ № 20</v>
      </c>
      <c r="B3906" s="24" t="s">
        <v>5642</v>
      </c>
      <c r="C3906" s="25">
        <v>151947</v>
      </c>
      <c r="D3906" s="22" t="s">
        <v>5637</v>
      </c>
      <c r="E3906" s="22" t="s">
        <v>59</v>
      </c>
      <c r="F3906" s="23" t="str">
        <f t="shared" si="168"/>
        <v>Выполнение работ по установке системы видеонаблюдения</v>
      </c>
      <c r="G3906" s="22" t="s">
        <v>340</v>
      </c>
      <c r="H3906" s="22" t="s">
        <v>340</v>
      </c>
      <c r="I3906" s="26">
        <v>43670.457152777803</v>
      </c>
      <c r="J3906" s="28" t="s">
        <v>52</v>
      </c>
      <c r="K3906" s="28" t="s">
        <v>52</v>
      </c>
      <c r="L3906" s="28" t="s">
        <v>52</v>
      </c>
      <c r="M3906" s="28" t="s">
        <v>52</v>
      </c>
      <c r="N3906" s="28" t="s">
        <v>52</v>
      </c>
    </row>
    <row r="3907" spans="1:14" hidden="1" outlineLevel="1" x14ac:dyDescent="0.15">
      <c r="A3907" s="23" t="str">
        <f>HYPERLINK("https://www.spark-marketing.ru/Card/Person/1060331", "МОУ СОШ № 9")</f>
        <v>МОУ СОШ № 9</v>
      </c>
      <c r="B3907" s="24" t="s">
        <v>5643</v>
      </c>
      <c r="C3907" s="25">
        <v>157080</v>
      </c>
      <c r="D3907" s="22" t="s">
        <v>5637</v>
      </c>
      <c r="E3907" s="22" t="s">
        <v>59</v>
      </c>
      <c r="F3907" s="23" t="str">
        <f t="shared" si="168"/>
        <v>Выполнение работ по установке системы видеонаблюдения</v>
      </c>
      <c r="G3907" s="22" t="s">
        <v>340</v>
      </c>
      <c r="H3907" s="22" t="s">
        <v>340</v>
      </c>
      <c r="I3907" s="26">
        <v>43670.457152777803</v>
      </c>
      <c r="J3907" s="28" t="s">
        <v>52</v>
      </c>
      <c r="K3907" s="28" t="s">
        <v>52</v>
      </c>
      <c r="L3907" s="28" t="s">
        <v>52</v>
      </c>
      <c r="M3907" s="28" t="s">
        <v>52</v>
      </c>
      <c r="N3907" s="28" t="s">
        <v>52</v>
      </c>
    </row>
    <row r="3908" spans="1:14" hidden="1" outlineLevel="1" x14ac:dyDescent="0.15">
      <c r="A3908" s="23" t="str">
        <f>HYPERLINK("https://www.spark-marketing.ru/Card/Person/1061016", "МДОУ ""ДЕТСКИЙ САД № 1""")</f>
        <v>МДОУ "ДЕТСКИЙ САД № 1"</v>
      </c>
      <c r="B3908" s="24" t="s">
        <v>5644</v>
      </c>
      <c r="C3908" s="25">
        <v>147840</v>
      </c>
      <c r="D3908" s="22" t="s">
        <v>5637</v>
      </c>
      <c r="E3908" s="22" t="s">
        <v>59</v>
      </c>
      <c r="F3908" s="23" t="str">
        <f t="shared" si="168"/>
        <v>Выполнение работ по установке системы видеонаблюдения</v>
      </c>
      <c r="G3908" s="22" t="s">
        <v>340</v>
      </c>
      <c r="H3908" s="22" t="s">
        <v>340</v>
      </c>
      <c r="I3908" s="26">
        <v>43670.457152777803</v>
      </c>
      <c r="J3908" s="28" t="s">
        <v>52</v>
      </c>
      <c r="K3908" s="28" t="s">
        <v>52</v>
      </c>
      <c r="L3908" s="28" t="s">
        <v>52</v>
      </c>
      <c r="M3908" s="28" t="s">
        <v>52</v>
      </c>
      <c r="N3908" s="28" t="s">
        <v>52</v>
      </c>
    </row>
    <row r="3909" spans="1:14" hidden="1" outlineLevel="1" x14ac:dyDescent="0.15">
      <c r="A3909" s="23" t="str">
        <f>HYPERLINK("https://www.spark-marketing.ru/Card/Person/1064451", "МОУ ""СРЕДНЯЯ ШКОЛА № 8""")</f>
        <v>МОУ "СРЕДНЯЯ ШКОЛА № 8"</v>
      </c>
      <c r="B3909" s="24" t="s">
        <v>5645</v>
      </c>
      <c r="C3909" s="25">
        <v>158107</v>
      </c>
      <c r="D3909" s="22" t="s">
        <v>5637</v>
      </c>
      <c r="E3909" s="22" t="s">
        <v>59</v>
      </c>
      <c r="F3909" s="23" t="str">
        <f t="shared" si="168"/>
        <v>Выполнение работ по установке системы видеонаблюдения</v>
      </c>
      <c r="G3909" s="22" t="s">
        <v>340</v>
      </c>
      <c r="H3909" s="22" t="s">
        <v>340</v>
      </c>
      <c r="I3909" s="26">
        <v>43670.457152777803</v>
      </c>
      <c r="J3909" s="28" t="s">
        <v>52</v>
      </c>
      <c r="K3909" s="28" t="s">
        <v>52</v>
      </c>
      <c r="L3909" s="28" t="s">
        <v>52</v>
      </c>
      <c r="M3909" s="28" t="s">
        <v>52</v>
      </c>
      <c r="N3909" s="28" t="s">
        <v>52</v>
      </c>
    </row>
    <row r="3910" spans="1:14" hidden="1" outlineLevel="1" x14ac:dyDescent="0.15">
      <c r="A3910" s="23" t="str">
        <f>HYPERLINK("https://www.spark-marketing.ru/Card/Person/1064747", "МДОУ № 39")</f>
        <v>МДОУ № 39</v>
      </c>
      <c r="B3910" s="24" t="s">
        <v>5646</v>
      </c>
      <c r="C3910" s="25">
        <v>147840</v>
      </c>
      <c r="D3910" s="22" t="s">
        <v>5637</v>
      </c>
      <c r="E3910" s="22" t="s">
        <v>59</v>
      </c>
      <c r="F3910" s="23" t="str">
        <f t="shared" si="168"/>
        <v>Выполнение работ по установке системы видеонаблюдения</v>
      </c>
      <c r="G3910" s="22" t="s">
        <v>340</v>
      </c>
      <c r="H3910" s="22" t="s">
        <v>340</v>
      </c>
      <c r="I3910" s="26">
        <v>43670.457152777803</v>
      </c>
      <c r="J3910" s="28" t="s">
        <v>52</v>
      </c>
      <c r="K3910" s="28" t="s">
        <v>52</v>
      </c>
      <c r="L3910" s="28" t="s">
        <v>52</v>
      </c>
      <c r="M3910" s="28" t="s">
        <v>52</v>
      </c>
      <c r="N3910" s="28" t="s">
        <v>52</v>
      </c>
    </row>
    <row r="3911" spans="1:14" hidden="1" outlineLevel="1" x14ac:dyDescent="0.15">
      <c r="A3911" s="23" t="str">
        <f>HYPERLINK("https://www.spark-marketing.ru/Card/Person/1066361", "МДОУ №34")</f>
        <v>МДОУ №34</v>
      </c>
      <c r="B3911" s="24" t="s">
        <v>5647</v>
      </c>
      <c r="C3911" s="25">
        <v>148867</v>
      </c>
      <c r="D3911" s="22" t="s">
        <v>5637</v>
      </c>
      <c r="E3911" s="22" t="s">
        <v>59</v>
      </c>
      <c r="F3911" s="23" t="str">
        <f t="shared" si="168"/>
        <v>Выполнение работ по установке системы видеонаблюдения</v>
      </c>
      <c r="G3911" s="22" t="s">
        <v>340</v>
      </c>
      <c r="H3911" s="22" t="s">
        <v>340</v>
      </c>
      <c r="I3911" s="26">
        <v>43670.457152777803</v>
      </c>
      <c r="J3911" s="28" t="s">
        <v>52</v>
      </c>
      <c r="K3911" s="28" t="s">
        <v>52</v>
      </c>
      <c r="L3911" s="28" t="s">
        <v>52</v>
      </c>
      <c r="M3911" s="28" t="s">
        <v>52</v>
      </c>
      <c r="N3911" s="28" t="s">
        <v>52</v>
      </c>
    </row>
    <row r="3912" spans="1:14" hidden="1" outlineLevel="1" x14ac:dyDescent="0.2">
      <c r="A3912" s="28" t="s">
        <v>52</v>
      </c>
      <c r="B3912" s="28" t="s">
        <v>52</v>
      </c>
      <c r="C3912" s="28" t="s">
        <v>52</v>
      </c>
      <c r="D3912" s="22" t="s">
        <v>5637</v>
      </c>
      <c r="E3912" s="22" t="s">
        <v>59</v>
      </c>
      <c r="F3912" s="23" t="str">
        <f t="shared" si="168"/>
        <v>Выполнение работ по установке системы видеонаблюдения</v>
      </c>
      <c r="G3912" s="22" t="s">
        <v>52</v>
      </c>
      <c r="H3912" s="22" t="s">
        <v>52</v>
      </c>
      <c r="I3912" s="26">
        <v>43670.457152777803</v>
      </c>
      <c r="J3912" s="23" t="str">
        <f>HYPERLINK("https://www.spark-marketing.ru/Card/Person/272421", "ООО ""СИГНАЛ""")</f>
        <v>ООО "СИГНАЛ"</v>
      </c>
      <c r="K3912" s="24" t="s">
        <v>5648</v>
      </c>
      <c r="L3912" s="28" t="s">
        <v>52</v>
      </c>
      <c r="M3912" s="25">
        <v>1494618.94</v>
      </c>
      <c r="N3912" s="27">
        <v>6.5000040662536604E-2</v>
      </c>
    </row>
    <row r="3913" spans="1:14" hidden="1" outlineLevel="1" x14ac:dyDescent="0.2">
      <c r="A3913" s="28" t="s">
        <v>52</v>
      </c>
      <c r="B3913" s="28" t="s">
        <v>52</v>
      </c>
      <c r="C3913" s="28" t="s">
        <v>52</v>
      </c>
      <c r="D3913" s="22" t="s">
        <v>5637</v>
      </c>
      <c r="E3913" s="22" t="s">
        <v>59</v>
      </c>
      <c r="F3913" s="23" t="str">
        <f t="shared" si="168"/>
        <v>Выполнение работ по установке системы видеонаблюдения</v>
      </c>
      <c r="G3913" s="22" t="s">
        <v>52</v>
      </c>
      <c r="H3913" s="22" t="s">
        <v>52</v>
      </c>
      <c r="I3913" s="26">
        <v>43670.457152777803</v>
      </c>
      <c r="J3913" s="23" t="str">
        <f>HYPERLINK("https://www.spark-marketing.ru/Card/Person/587288", "ООО ""ЭКСВ""")</f>
        <v>ООО "ЭКСВ"</v>
      </c>
      <c r="K3913" s="24" t="s">
        <v>5649</v>
      </c>
      <c r="L3913" s="22" t="s">
        <v>10</v>
      </c>
      <c r="M3913" s="25">
        <v>1486626.32</v>
      </c>
      <c r="N3913" s="27">
        <v>7.000004379042403E-2</v>
      </c>
    </row>
    <row r="3914" spans="1:14" x14ac:dyDescent="0.15">
      <c r="A3914" s="23" t="str">
        <f t="shared" ref="A3914:A3919" si="169">HYPERLINK("https://www.spark-marketing.ru/Card/Person/59030", "ГБУК КО ""КОНБ ИМ. В.Г.БЕЛИНСКОГО""")</f>
        <v>ГБУК КО "КОНБ ИМ. В.Г.БЕЛИНСКОГО"</v>
      </c>
      <c r="B3914" s="24" t="s">
        <v>5650</v>
      </c>
      <c r="C3914" s="25">
        <v>395292</v>
      </c>
      <c r="D3914" s="22" t="s">
        <v>5651</v>
      </c>
      <c r="E3914" s="22" t="s">
        <v>84</v>
      </c>
      <c r="F3914" s="23" t="str">
        <f t="shared" ref="F3914:F3919" si="170">HYPERLINK("https://www.spark-marketing.ru/Card/Lot/72300838", "Оказание услуг по установке системы видеонаблюдения в государственном бюджетном учреждении культуры Калужской области ""Калужская областная научная библиотека им. В.Г. Белинского""")</f>
        <v>Оказание услуг по установке системы видеонаблюдения в государственном бюджетном учреждении культуры Калужской области "Калужская областная научная библиотека им. В.Г. Белинского"</v>
      </c>
      <c r="G3914" s="22" t="s">
        <v>658</v>
      </c>
      <c r="H3914" s="22" t="s">
        <v>741</v>
      </c>
      <c r="I3914" s="26">
        <v>43670.382488425901</v>
      </c>
      <c r="J3914" s="28" t="s">
        <v>52</v>
      </c>
      <c r="K3914" s="28" t="s">
        <v>52</v>
      </c>
      <c r="L3914" s="28" t="s">
        <v>52</v>
      </c>
      <c r="M3914" s="28" t="s">
        <v>52</v>
      </c>
      <c r="N3914" s="28" t="s">
        <v>52</v>
      </c>
    </row>
    <row r="3915" spans="1:14" hidden="1" outlineLevel="1" x14ac:dyDescent="0.2">
      <c r="A3915" s="23" t="str">
        <f t="shared" si="169"/>
        <v>ГБУК КО "КОНБ ИМ. В.Г.БЕЛИНСКОГО"</v>
      </c>
      <c r="B3915" s="24" t="s">
        <v>5650</v>
      </c>
      <c r="C3915" s="25">
        <v>395292</v>
      </c>
      <c r="D3915" s="22" t="s">
        <v>5651</v>
      </c>
      <c r="E3915" s="22" t="s">
        <v>84</v>
      </c>
      <c r="F3915" s="23" t="str">
        <f t="shared" si="170"/>
        <v>Оказание услуг по установке системы видеонаблюдения в государственном бюджетном учреждении культуры Калужской области "Калужская областная научная библиотека им. В.Г. Белинского"</v>
      </c>
      <c r="G3915" s="22" t="s">
        <v>658</v>
      </c>
      <c r="H3915" s="22" t="s">
        <v>741</v>
      </c>
      <c r="I3915" s="26">
        <v>43670.382488425901</v>
      </c>
      <c r="J3915" s="23" t="str">
        <f>HYPERLINK("https://www.spark-marketing.ru/Card/Person/4945067", "ООО ""ССК ""КОРОНА""")</f>
        <v>ООО "ССК "КОРОНА"</v>
      </c>
      <c r="K3915" s="24" t="s">
        <v>5652</v>
      </c>
      <c r="L3915" s="28" t="s">
        <v>52</v>
      </c>
      <c r="M3915" s="25">
        <v>298141.24</v>
      </c>
      <c r="N3915" s="27">
        <v>0.24576960828956823</v>
      </c>
    </row>
    <row r="3916" spans="1:14" hidden="1" outlineLevel="1" x14ac:dyDescent="0.2">
      <c r="A3916" s="23" t="str">
        <f t="shared" si="169"/>
        <v>ГБУК КО "КОНБ ИМ. В.Г.БЕЛИНСКОГО"</v>
      </c>
      <c r="B3916" s="24" t="s">
        <v>5650</v>
      </c>
      <c r="C3916" s="25">
        <v>395292</v>
      </c>
      <c r="D3916" s="22" t="s">
        <v>5651</v>
      </c>
      <c r="E3916" s="22" t="s">
        <v>84</v>
      </c>
      <c r="F3916" s="23" t="str">
        <f t="shared" si="170"/>
        <v>Оказание услуг по установке системы видеонаблюдения в государственном бюджетном учреждении культуры Калужской области "Калужская областная научная библиотека им. В.Г. Белинского"</v>
      </c>
      <c r="G3916" s="22" t="s">
        <v>658</v>
      </c>
      <c r="H3916" s="22" t="s">
        <v>741</v>
      </c>
      <c r="I3916" s="26">
        <v>43670.382488425901</v>
      </c>
      <c r="J3916" s="23" t="str">
        <f>HYPERLINK("https://www.spark-marketing.ru/Card/Person/282437", "ООО ""АПГРЕЙД СЕРВИС""")</f>
        <v>ООО "АПГРЕЙД СЕРВИС"</v>
      </c>
      <c r="K3916" s="24" t="s">
        <v>5653</v>
      </c>
      <c r="L3916" s="28" t="s">
        <v>52</v>
      </c>
      <c r="M3916" s="25">
        <v>310000</v>
      </c>
      <c r="N3916" s="27">
        <v>0.2157696082895682</v>
      </c>
    </row>
    <row r="3917" spans="1:14" hidden="1" outlineLevel="1" x14ac:dyDescent="0.2">
      <c r="A3917" s="23" t="str">
        <f t="shared" si="169"/>
        <v>ГБУК КО "КОНБ ИМ. В.Г.БЕЛИНСКОГО"</v>
      </c>
      <c r="B3917" s="24" t="s">
        <v>5650</v>
      </c>
      <c r="C3917" s="25">
        <v>395292</v>
      </c>
      <c r="D3917" s="22" t="s">
        <v>5651</v>
      </c>
      <c r="E3917" s="22" t="s">
        <v>84</v>
      </c>
      <c r="F3917" s="23" t="str">
        <f t="shared" si="170"/>
        <v>Оказание услуг по установке системы видеонаблюдения в государственном бюджетном учреждении культуры Калужской области "Калужская областная научная библиотека им. В.Г. Белинского"</v>
      </c>
      <c r="G3917" s="22" t="s">
        <v>658</v>
      </c>
      <c r="H3917" s="22" t="s">
        <v>741</v>
      </c>
      <c r="I3917" s="26">
        <v>43670.382488425901</v>
      </c>
      <c r="J3917" s="23" t="str">
        <f>HYPERLINK("https://www.spark-marketing.ru/Card/Person/27340", "ВДПО КАЛУЖСКОЙ ОБЛАСТИ")</f>
        <v>ВДПО КАЛУЖСКОЙ ОБЛАСТИ</v>
      </c>
      <c r="K3917" s="24" t="s">
        <v>3264</v>
      </c>
      <c r="L3917" s="28" t="s">
        <v>52</v>
      </c>
      <c r="M3917" s="25">
        <v>274423.71999999997</v>
      </c>
      <c r="N3917" s="27">
        <v>0.30576960828956823</v>
      </c>
    </row>
    <row r="3918" spans="1:14" hidden="1" outlineLevel="1" x14ac:dyDescent="0.2">
      <c r="A3918" s="23" t="str">
        <f t="shared" si="169"/>
        <v>ГБУК КО "КОНБ ИМ. В.Г.БЕЛИНСКОГО"</v>
      </c>
      <c r="B3918" s="24" t="s">
        <v>5650</v>
      </c>
      <c r="C3918" s="25">
        <v>395292</v>
      </c>
      <c r="D3918" s="22" t="s">
        <v>5651</v>
      </c>
      <c r="E3918" s="22" t="s">
        <v>84</v>
      </c>
      <c r="F3918" s="23" t="str">
        <f t="shared" si="170"/>
        <v>Оказание услуг по установке системы видеонаблюдения в государственном бюджетном учреждении культуры Калужской области "Калужская областная научная библиотека им. В.Г. Белинского"</v>
      </c>
      <c r="G3918" s="22" t="s">
        <v>658</v>
      </c>
      <c r="H3918" s="22" t="s">
        <v>741</v>
      </c>
      <c r="I3918" s="26">
        <v>43670.382488425901</v>
      </c>
      <c r="J3918" s="23" t="str">
        <f>HYPERLINK("https://www.spark-marketing.ru/Card/Person/5884491", "ООО ""СТЭЛС""")</f>
        <v>ООО "СТЭЛС"</v>
      </c>
      <c r="K3918" s="24" t="s">
        <v>5654</v>
      </c>
      <c r="L3918" s="28" t="s">
        <v>52</v>
      </c>
      <c r="M3918" s="25">
        <v>345743.76</v>
      </c>
      <c r="N3918" s="27">
        <v>0.12534592149600801</v>
      </c>
    </row>
    <row r="3919" spans="1:14" ht="12.75" hidden="1" outlineLevel="1" x14ac:dyDescent="0.2">
      <c r="A3919" s="23" t="str">
        <f t="shared" si="169"/>
        <v>ГБУК КО "КОНБ ИМ. В.Г.БЕЛИНСКОГО"</v>
      </c>
      <c r="B3919" s="24" t="s">
        <v>5650</v>
      </c>
      <c r="C3919" s="25">
        <v>395292</v>
      </c>
      <c r="D3919" s="22" t="s">
        <v>5651</v>
      </c>
      <c r="E3919" s="22" t="s">
        <v>84</v>
      </c>
      <c r="F3919" s="23" t="str">
        <f t="shared" si="170"/>
        <v>Оказание услуг по установке системы видеонаблюдения в государственном бюджетном учреждении культуры Калужской области "Калужская областная научная библиотека им. В.Г. Белинского"</v>
      </c>
      <c r="G3919" s="22" t="s">
        <v>658</v>
      </c>
      <c r="H3919" s="22" t="s">
        <v>741</v>
      </c>
      <c r="I3919" s="26">
        <v>43670.382488425901</v>
      </c>
      <c r="J3919" s="23" t="str">
        <f>HYPERLINK("https://www.spark-marketing.ru/Card/Person/304414", "ООО ""ВЗГЛЯД""")</f>
        <v>ООО "ВЗГЛЯД"</v>
      </c>
      <c r="K3919" s="24" t="s">
        <v>3265</v>
      </c>
      <c r="L3919" s="22" t="s">
        <v>10</v>
      </c>
      <c r="M3919" s="25">
        <v>272447.26</v>
      </c>
      <c r="N3919" s="27">
        <v>0.31076960828956823</v>
      </c>
    </row>
    <row r="3920" spans="1:14" x14ac:dyDescent="0.15">
      <c r="A3920" s="23" t="str">
        <f>HYPERLINK("https://www.spark-marketing.ru/Card/Person/10888", "ГБУЗ ""ГКБ № 31 ДЗМ""")</f>
        <v>ГБУЗ "ГКБ № 31 ДЗМ"</v>
      </c>
      <c r="B3920" s="24" t="s">
        <v>5655</v>
      </c>
      <c r="C3920" s="25">
        <v>98189.6</v>
      </c>
      <c r="D3920" s="22" t="s">
        <v>5656</v>
      </c>
      <c r="E3920" s="22" t="s">
        <v>1242</v>
      </c>
      <c r="F3920" s="23" t="str">
        <f>HYPERLINK("https://www.spark-marketing.ru/Card/Lot/72319706", "Закупка у единственного поставщика на оказание услуг пультовой охраны объекта для нужд Государственного бюджетного учреждения здравоохранения города Москвы «Городской клинической больницы № 31 Департамента здравоохранения города Москвы»")</f>
        <v>Закупка у единственного поставщика на оказание услуг пультовой охраны объекта для нужд Государственного бюджетного учреждения здравоохранения города Москвы «Городской клинической больницы № 31 Департамента здравоохранения города Москвы»</v>
      </c>
      <c r="G3920" s="22" t="s">
        <v>55</v>
      </c>
      <c r="H3920" s="22" t="s">
        <v>55</v>
      </c>
      <c r="I3920" s="26">
        <v>43670.355891203697</v>
      </c>
      <c r="J3920" s="28" t="s">
        <v>52</v>
      </c>
      <c r="K3920" s="28" t="s">
        <v>52</v>
      </c>
      <c r="L3920" s="28" t="s">
        <v>52</v>
      </c>
      <c r="M3920" s="28" t="s">
        <v>52</v>
      </c>
      <c r="N3920" s="28" t="s">
        <v>52</v>
      </c>
    </row>
    <row r="3921" spans="1:14" x14ac:dyDescent="0.15">
      <c r="A3921" s="23" t="str">
        <f>HYPERLINK("https://www.spark-marketing.ru/Card/Person/1085205", "ИВАНОВСКИЙ ЛО МВД РОССИИ НА ТРАНСПОРТЕ")</f>
        <v>ИВАНОВСКИЙ ЛО МВД РОССИИ НА ТРАНСПОРТЕ</v>
      </c>
      <c r="B3921" s="24" t="s">
        <v>1028</v>
      </c>
      <c r="C3921" s="25">
        <v>14900</v>
      </c>
      <c r="D3921" s="22" t="s">
        <v>5657</v>
      </c>
      <c r="E3921" s="22" t="s">
        <v>107</v>
      </c>
      <c r="F3921" s="23" t="str">
        <f>HYPERLINK("https://www.spark-marketing.ru/Card/Lot/72297192", "Техническое обслуживание комплекса технических средств охраны, 1 шт")</f>
        <v>Техническое обслуживание комплекса технических средств охраны, 1 шт</v>
      </c>
      <c r="G3921" s="22" t="s">
        <v>340</v>
      </c>
      <c r="H3921" s="22" t="s">
        <v>1030</v>
      </c>
      <c r="I3921" s="26">
        <v>43670.324456018498</v>
      </c>
      <c r="J3921" s="28" t="s">
        <v>52</v>
      </c>
      <c r="K3921" s="28" t="s">
        <v>52</v>
      </c>
      <c r="L3921" s="28" t="s">
        <v>52</v>
      </c>
      <c r="M3921" s="28" t="s">
        <v>52</v>
      </c>
      <c r="N3921" s="28" t="s">
        <v>52</v>
      </c>
    </row>
    <row r="3922" spans="1:14" x14ac:dyDescent="0.15">
      <c r="A3922" s="23" t="str">
        <f>HYPERLINK("https://www.spark-marketing.ru/Card/Person/4361105", "АО ""БЭТ""")</f>
        <v>АО "БЭТ"</v>
      </c>
      <c r="B3922" s="24" t="s">
        <v>4253</v>
      </c>
      <c r="C3922" s="28" t="s">
        <v>52</v>
      </c>
      <c r="D3922" s="22" t="s">
        <v>5658</v>
      </c>
      <c r="E3922" s="22" t="s">
        <v>52</v>
      </c>
      <c r="F3922" s="23" t="str">
        <f>HYPERLINK("https://www.spark-marketing.ru/Card/Lot/72301382", "Оказание услуг по охране объектов и имущества Горновского завода спецжелезобетона - филиала АО ""БЭТ"", обеспечению внутриобъектового и пропускного режимов на объектах охраны")</f>
        <v>Оказание услуг по охране объектов и имущества Горновского завода спецжелезобетона - филиала АО "БЭТ", обеспечению внутриобъектового и пропускного режимов на объектах охраны</v>
      </c>
      <c r="G3922" s="22" t="s">
        <v>55</v>
      </c>
      <c r="H3922" s="22" t="s">
        <v>55</v>
      </c>
      <c r="I3922" s="26">
        <v>43670.300173611096</v>
      </c>
      <c r="J3922" s="28" t="s">
        <v>52</v>
      </c>
      <c r="K3922" s="28" t="s">
        <v>52</v>
      </c>
      <c r="L3922" s="28" t="s">
        <v>52</v>
      </c>
      <c r="M3922" s="28" t="s">
        <v>52</v>
      </c>
      <c r="N3922" s="28" t="s">
        <v>52</v>
      </c>
    </row>
    <row r="3923" spans="1:14" x14ac:dyDescent="0.15">
      <c r="A3923" s="23" t="str">
        <f>HYPERLINK("https://www.spark-marketing.ru/Card/Person/130109", "ПАО БАНК ""ФК ОТКРЫТИЕ""")</f>
        <v>ПАО БАНК "ФК ОТКРЫТИЕ"</v>
      </c>
      <c r="B3923" s="24" t="s">
        <v>693</v>
      </c>
      <c r="C3923" s="25">
        <v>7435738.4000000004</v>
      </c>
      <c r="D3923" s="22" t="s">
        <v>5659</v>
      </c>
      <c r="E3923" s="22" t="s">
        <v>53</v>
      </c>
      <c r="F3923" s="23" t="str">
        <f>HYPERLINK("https://www.spark-marketing.ru/Card/Lot/72319458", "Оказание услуг по охране жизни и здоровья граждан, охране объекта и имущества, находящихся в собственности, во владении, в пользовании, хозяйственном ведении, оперативном управлении или доверительном управлении, обеспечение внутриобъектового режима н...")</f>
        <v>Оказание услуг по охране жизни и здоровья граждан, охране объекта и имущества, находящихся в собственности, во владении, в пользовании, хозяйственном ведении, оперативном управлении или доверительном управлении, обеспечение внутриобъектового режима н...</v>
      </c>
      <c r="G3923" s="22" t="s">
        <v>55</v>
      </c>
      <c r="H3923" s="22" t="s">
        <v>55</v>
      </c>
      <c r="I3923" s="26">
        <v>43669.958333333299</v>
      </c>
      <c r="J3923" s="28" t="s">
        <v>52</v>
      </c>
      <c r="K3923" s="28" t="s">
        <v>52</v>
      </c>
      <c r="L3923" s="28" t="s">
        <v>52</v>
      </c>
      <c r="M3923" s="28" t="s">
        <v>52</v>
      </c>
      <c r="N3923" s="28" t="s">
        <v>52</v>
      </c>
    </row>
    <row r="3924" spans="1:14" x14ac:dyDescent="0.15">
      <c r="A3924" s="23" t="str">
        <f>HYPERLINK("https://www.spark-marketing.ru/Card/Person/148070", "МБДОУ ЦРР №7 ""БЕРЕЖОК""")</f>
        <v>МБДОУ ЦРР №7 "БЕРЕЖОК"</v>
      </c>
      <c r="B3924" s="24" t="s">
        <v>5660</v>
      </c>
      <c r="C3924" s="25">
        <v>26000</v>
      </c>
      <c r="D3924" s="22" t="s">
        <v>5661</v>
      </c>
      <c r="E3924" s="22" t="s">
        <v>5662</v>
      </c>
      <c r="F3924" s="23" t="str">
        <f>HYPERLINK("https://www.spark-marketing.ru/Card/Lot/72289374", "Поставка видеорегистратора и жесткого диска с монтажом для нужд МБДОУ ЦРР №7 «Бережок»")</f>
        <v>Поставка видеорегистратора и жесткого диска с монтажом для нужд МБДОУ ЦРР №7 «Бережок»</v>
      </c>
      <c r="G3924" s="22" t="s">
        <v>50</v>
      </c>
      <c r="H3924" s="22" t="s">
        <v>1960</v>
      </c>
      <c r="I3924" s="26">
        <v>43669.877893518496</v>
      </c>
      <c r="J3924" s="28" t="s">
        <v>52</v>
      </c>
      <c r="K3924" s="28" t="s">
        <v>52</v>
      </c>
      <c r="L3924" s="28" t="s">
        <v>52</v>
      </c>
      <c r="M3924" s="28" t="s">
        <v>52</v>
      </c>
      <c r="N3924" s="28" t="s">
        <v>52</v>
      </c>
    </row>
    <row r="3925" spans="1:14" x14ac:dyDescent="0.15">
      <c r="A3925" s="23" t="str">
        <f>HYPERLINK("https://www.spark-marketing.ru/Card/Person/6446513", "МБДОУ ""Д/С № 27 ""БОБРЕНОК""")</f>
        <v>МБДОУ "Д/С № 27 "БОБРЕНОК"</v>
      </c>
      <c r="B3925" s="24" t="s">
        <v>5663</v>
      </c>
      <c r="C3925" s="25">
        <v>14000</v>
      </c>
      <c r="D3925" s="22" t="s">
        <v>5664</v>
      </c>
      <c r="E3925" s="22" t="s">
        <v>1293</v>
      </c>
      <c r="F3925" s="23" t="str">
        <f>HYPERLINK("https://www.spark-marketing.ru/Card/Lot/72289119", "Оказание услуг по техническому обслуживанию работоспособности каналов передачи сообщений комплекса технических средств охраны - тревожной сигнализации и объектовой приемо-передающей аппаратуры")</f>
        <v>Оказание услуг по техническому обслуживанию работоспособности каналов передачи сообщений комплекса технических средств охраны - тревожной сигнализации и объектовой приемо-передающей аппаратуры</v>
      </c>
      <c r="G3925" s="22" t="s">
        <v>50</v>
      </c>
      <c r="H3925" s="22" t="s">
        <v>2391</v>
      </c>
      <c r="I3925" s="26">
        <v>43669.846701388902</v>
      </c>
      <c r="J3925" s="28" t="s">
        <v>52</v>
      </c>
      <c r="K3925" s="28" t="s">
        <v>52</v>
      </c>
      <c r="L3925" s="28" t="s">
        <v>52</v>
      </c>
      <c r="M3925" s="28" t="s">
        <v>52</v>
      </c>
      <c r="N3925" s="28" t="s">
        <v>52</v>
      </c>
    </row>
    <row r="3926" spans="1:14" x14ac:dyDescent="0.15">
      <c r="A3926" s="23" t="str">
        <f t="shared" ref="A3926:A3931" si="171">HYPERLINK("https://www.spark-marketing.ru/Card/Person/1967344", "МБУК ""ДК ЗАТО ЗВЕЗДНЫЙ""")</f>
        <v>МБУК "ДК ЗАТО ЗВЕЗДНЫЙ"</v>
      </c>
      <c r="B3926" s="24" t="s">
        <v>3592</v>
      </c>
      <c r="C3926" s="25">
        <v>22250</v>
      </c>
      <c r="D3926" s="22" t="s">
        <v>5665</v>
      </c>
      <c r="E3926" s="22" t="s">
        <v>84</v>
      </c>
      <c r="F3926" s="23" t="str">
        <f>HYPERLINK("https://www.spark-marketing.ru/Card/Lot/72297905", "Монтаж, установка, сборка (Монтаж охранной сигнализации запасных выходов в здании МБУК ""ДК ЗАТО Звёздный"" по адресу п.Звёздный, ул.Ленина, дом 1 б")</f>
        <v>Монтаж, установка, сборка (Монтаж охранной сигнализации запасных выходов в здании МБУК "ДК ЗАТО Звёздный" по адресу п.Звёздный, ул.Ленина, дом 1 б</v>
      </c>
      <c r="G3926" s="22" t="s">
        <v>391</v>
      </c>
      <c r="H3926" s="22" t="s">
        <v>391</v>
      </c>
      <c r="I3926" s="26">
        <v>43669.752395833297</v>
      </c>
      <c r="J3926" s="28" t="s">
        <v>52</v>
      </c>
      <c r="K3926" s="28" t="s">
        <v>52</v>
      </c>
      <c r="L3926" s="28" t="s">
        <v>52</v>
      </c>
      <c r="M3926" s="28" t="s">
        <v>52</v>
      </c>
      <c r="N3926" s="28" t="s">
        <v>52</v>
      </c>
    </row>
    <row r="3927" spans="1:14" hidden="1" outlineLevel="1" x14ac:dyDescent="0.2">
      <c r="A3927" s="23" t="str">
        <f t="shared" si="171"/>
        <v>МБУК "ДК ЗАТО ЗВЕЗДНЫЙ"</v>
      </c>
      <c r="B3927" s="24" t="s">
        <v>3592</v>
      </c>
      <c r="C3927" s="25">
        <v>22250</v>
      </c>
      <c r="D3927" s="22" t="s">
        <v>5665</v>
      </c>
      <c r="E3927" s="22" t="s">
        <v>84</v>
      </c>
      <c r="F3927" s="23" t="str">
        <f>HYPERLINK("https://www.spark-marketing.ru/Card/Lot/72297905", "Монтаж, установка, сборка (Монтаж охранной сигнализации запасных выходов в здании МБУК ""ДК ЗАТО Звёздный"" по адресу п.Звёздный, ул.Ленина, дом 1 б")</f>
        <v>Монтаж, установка, сборка (Монтаж охранной сигнализации запасных выходов в здании МБУК "ДК ЗАТО Звёздный" по адресу п.Звёздный, ул.Ленина, дом 1 б</v>
      </c>
      <c r="G3927" s="22" t="s">
        <v>391</v>
      </c>
      <c r="H3927" s="22" t="s">
        <v>391</v>
      </c>
      <c r="I3927" s="26">
        <v>43669.752395833297</v>
      </c>
      <c r="J3927" s="23" t="str">
        <f>HYPERLINK("https://www.spark-marketing.ru/Card/Person/6443823", "ООО ""СВН""")</f>
        <v>ООО "СВН"</v>
      </c>
      <c r="K3927" s="24" t="s">
        <v>3594</v>
      </c>
      <c r="L3927" s="28" t="s">
        <v>52</v>
      </c>
      <c r="M3927" s="25">
        <v>10882.09</v>
      </c>
      <c r="N3927" s="27">
        <v>0.51091730337078656</v>
      </c>
    </row>
    <row r="3928" spans="1:14" ht="12.75" hidden="1" outlineLevel="1" x14ac:dyDescent="0.2">
      <c r="A3928" s="23" t="str">
        <f t="shared" si="171"/>
        <v>МБУК "ДК ЗАТО ЗВЕЗДНЫЙ"</v>
      </c>
      <c r="B3928" s="24" t="s">
        <v>3592</v>
      </c>
      <c r="C3928" s="25">
        <v>22250</v>
      </c>
      <c r="D3928" s="22" t="s">
        <v>5665</v>
      </c>
      <c r="E3928" s="22" t="s">
        <v>84</v>
      </c>
      <c r="F3928" s="23" t="str">
        <f>HYPERLINK("https://www.spark-marketing.ru/Card/Lot/72297905", "Монтаж, установка, сборка (Монтаж охранной сигнализации запасных выходов в здании МБУК ""ДК ЗАТО Звёздный"" по адресу п.Звёздный, ул.Ленина, дом 1 б")</f>
        <v>Монтаж, установка, сборка (Монтаж охранной сигнализации запасных выходов в здании МБУК "ДК ЗАТО Звёздный" по адресу п.Звёздный, ул.Ленина, дом 1 б</v>
      </c>
      <c r="G3928" s="22" t="s">
        <v>391</v>
      </c>
      <c r="H3928" s="22" t="s">
        <v>391</v>
      </c>
      <c r="I3928" s="26">
        <v>43669.752395833297</v>
      </c>
      <c r="J3928" s="23" t="str">
        <f>HYPERLINK("https://www.spark-marketing.ru/Card/Person/424573", "Пентегов Александр Алексеевич")</f>
        <v>Пентегов Александр Алексеевич</v>
      </c>
      <c r="K3928" s="24" t="s">
        <v>5666</v>
      </c>
      <c r="L3928" s="22" t="s">
        <v>10</v>
      </c>
      <c r="M3928" s="25">
        <v>10882.09</v>
      </c>
      <c r="N3928" s="27">
        <v>0.51091730337078656</v>
      </c>
    </row>
    <row r="3929" spans="1:14" hidden="1" outlineLevel="1" x14ac:dyDescent="0.2">
      <c r="A3929" s="23" t="str">
        <f t="shared" si="171"/>
        <v>МБУК "ДК ЗАТО ЗВЕЗДНЫЙ"</v>
      </c>
      <c r="B3929" s="24" t="s">
        <v>3592</v>
      </c>
      <c r="C3929" s="25">
        <v>22250</v>
      </c>
      <c r="D3929" s="22" t="s">
        <v>5665</v>
      </c>
      <c r="E3929" s="22" t="s">
        <v>84</v>
      </c>
      <c r="F3929" s="23" t="str">
        <f>HYPERLINK("https://www.spark-marketing.ru/Card/Lot/72297905", "Монтаж, установка, сборка (Монтаж охранной сигнализации запасных выходов в здании МБУК ""ДК ЗАТО Звёздный"" по адресу п.Звёздный, ул.Ленина, дом 1 б")</f>
        <v>Монтаж, установка, сборка (Монтаж охранной сигнализации запасных выходов в здании МБУК "ДК ЗАТО Звёздный" по адресу п.Звёздный, ул.Ленина, дом 1 б</v>
      </c>
      <c r="G3929" s="22" t="s">
        <v>391</v>
      </c>
      <c r="H3929" s="22" t="s">
        <v>391</v>
      </c>
      <c r="I3929" s="26">
        <v>43669.752395833297</v>
      </c>
      <c r="J3929" s="23" t="str">
        <f>HYPERLINK("https://www.spark-marketing.ru/Card/Person/5853123", "Ершов Андрей Алексеевич")</f>
        <v>Ершов Андрей Алексеевич</v>
      </c>
      <c r="K3929" s="24" t="s">
        <v>1063</v>
      </c>
      <c r="L3929" s="28" t="s">
        <v>52</v>
      </c>
      <c r="M3929" s="25">
        <v>21805</v>
      </c>
      <c r="N3929" s="27">
        <v>0.02</v>
      </c>
    </row>
    <row r="3930" spans="1:14" x14ac:dyDescent="0.15">
      <c r="A3930" s="23" t="str">
        <f t="shared" si="171"/>
        <v>МБУК "ДК ЗАТО ЗВЕЗДНЫЙ"</v>
      </c>
      <c r="B3930" s="24" t="s">
        <v>3592</v>
      </c>
      <c r="C3930" s="25">
        <v>72025</v>
      </c>
      <c r="D3930" s="22" t="s">
        <v>5667</v>
      </c>
      <c r="E3930" s="22" t="s">
        <v>84</v>
      </c>
      <c r="F3930" s="23" t="str">
        <f>HYPERLINK("https://www.spark-marketing.ru/Card/Lot/72298999", "Монтаж, установка, сборка (Монтаж системы охранного видеонаблюдения на здании МБУК ""ДК ЗАТО Звёздный""")</f>
        <v>Монтаж, установка, сборка (Монтаж системы охранного видеонаблюдения на здании МБУК "ДК ЗАТО Звёздный"</v>
      </c>
      <c r="G3930" s="22" t="s">
        <v>391</v>
      </c>
      <c r="H3930" s="22" t="s">
        <v>391</v>
      </c>
      <c r="I3930" s="26">
        <v>43669.757754629602</v>
      </c>
      <c r="J3930" s="23" t="str">
        <f>HYPERLINK("https://www.spark-marketing.ru/Card/Person/6443823", "ООО ""СВН""")</f>
        <v>ООО "СВН"</v>
      </c>
      <c r="K3930" s="24" t="s">
        <v>3594</v>
      </c>
      <c r="L3930" s="28" t="s">
        <v>52</v>
      </c>
      <c r="M3930" s="28" t="s">
        <v>52</v>
      </c>
      <c r="N3930" s="28" t="s">
        <v>52</v>
      </c>
    </row>
    <row r="3931" spans="1:14" ht="12.75" hidden="1" outlineLevel="1" x14ac:dyDescent="0.2">
      <c r="A3931" s="23" t="str">
        <f t="shared" si="171"/>
        <v>МБУК "ДК ЗАТО ЗВЕЗДНЫЙ"</v>
      </c>
      <c r="B3931" s="24" t="s">
        <v>3592</v>
      </c>
      <c r="C3931" s="25">
        <v>72025</v>
      </c>
      <c r="D3931" s="22" t="s">
        <v>5667</v>
      </c>
      <c r="E3931" s="22" t="s">
        <v>84</v>
      </c>
      <c r="F3931" s="23" t="str">
        <f>HYPERLINK("https://www.spark-marketing.ru/Card/Lot/72298999", "Монтаж, установка, сборка (Монтаж системы охранного видеонаблюдения на здании МБУК ""ДК ЗАТО Звёздный""")</f>
        <v>Монтаж, установка, сборка (Монтаж системы охранного видеонаблюдения на здании МБУК "ДК ЗАТО Звёздный"</v>
      </c>
      <c r="G3931" s="22" t="s">
        <v>391</v>
      </c>
      <c r="H3931" s="22" t="s">
        <v>391</v>
      </c>
      <c r="I3931" s="26">
        <v>43669.757754629602</v>
      </c>
      <c r="J3931" s="23" t="str">
        <f>HYPERLINK("https://www.spark-marketing.ru/Card/Person/6443823", "ООО ""СВН""")</f>
        <v>ООО "СВН"</v>
      </c>
      <c r="K3931" s="24" t="s">
        <v>3594</v>
      </c>
      <c r="L3931" s="22" t="s">
        <v>10</v>
      </c>
      <c r="M3931" s="25">
        <v>68423.75</v>
      </c>
      <c r="N3931" s="27">
        <v>0.05</v>
      </c>
    </row>
    <row r="3932" spans="1:14" x14ac:dyDescent="0.15">
      <c r="A3932" s="23" t="str">
        <f>HYPERLINK("https://www.spark-marketing.ru/Card/Person/4377645", "ФКУ ЦИТОВ УФСИН РОССИИ ПО РЕСПУБЛИКЕ СЕВЕРНАЯ ОСЕТИЯ - АЛАНИЯ")</f>
        <v>ФКУ ЦИТОВ УФСИН РОССИИ ПО РЕСПУБЛИКЕ СЕВЕРНАЯ ОСЕТИЯ - АЛАНИЯ</v>
      </c>
      <c r="B3932" s="24" t="s">
        <v>5668</v>
      </c>
      <c r="C3932" s="25">
        <v>84000</v>
      </c>
      <c r="D3932" s="22" t="s">
        <v>5669</v>
      </c>
      <c r="E3932" s="22" t="s">
        <v>53</v>
      </c>
      <c r="F3932" s="23" t="str">
        <f>HYPERLINK("https://www.spark-marketing.ru/Card/Lot/72285621", "Средства беспроводной тревожной сигнализации")</f>
        <v>Средства беспроводной тревожной сигнализации</v>
      </c>
      <c r="G3932" s="22" t="s">
        <v>833</v>
      </c>
      <c r="H3932" s="22" t="s">
        <v>834</v>
      </c>
      <c r="I3932" s="26">
        <v>43669.727337962999</v>
      </c>
      <c r="J3932" s="28" t="s">
        <v>52</v>
      </c>
      <c r="K3932" s="28" t="s">
        <v>52</v>
      </c>
      <c r="L3932" s="28" t="s">
        <v>52</v>
      </c>
      <c r="M3932" s="28" t="s">
        <v>52</v>
      </c>
      <c r="N3932" s="28" t="s">
        <v>52</v>
      </c>
    </row>
    <row r="3933" spans="1:14" x14ac:dyDescent="0.15">
      <c r="A3933" s="23" t="str">
        <f>HYPERLINK("https://www.spark-marketing.ru/Card/Person/1049349", "МБДОУ ""ДЕТСКИЙ САД № 24""")</f>
        <v>МБДОУ "ДЕТСКИЙ САД № 24"</v>
      </c>
      <c r="B3933" s="24" t="s">
        <v>5670</v>
      </c>
      <c r="C3933" s="25">
        <v>46604</v>
      </c>
      <c r="D3933" s="22" t="s">
        <v>5671</v>
      </c>
      <c r="E3933" s="22" t="s">
        <v>84</v>
      </c>
      <c r="F3933" s="23" t="str">
        <f>HYPERLINK("https://www.spark-marketing.ru/Card/Lot/72286450", "Услуги по установке системы видеонаблюдения")</f>
        <v>Услуги по установке системы видеонаблюдения</v>
      </c>
      <c r="G3933" s="22" t="s">
        <v>50</v>
      </c>
      <c r="H3933" s="22" t="s">
        <v>432</v>
      </c>
      <c r="I3933" s="26">
        <v>43669.721736111103</v>
      </c>
      <c r="J3933" s="28" t="s">
        <v>52</v>
      </c>
      <c r="K3933" s="28" t="s">
        <v>52</v>
      </c>
      <c r="L3933" s="28" t="s">
        <v>52</v>
      </c>
      <c r="M3933" s="28" t="s">
        <v>52</v>
      </c>
      <c r="N3933" s="28" t="s">
        <v>52</v>
      </c>
    </row>
    <row r="3934" spans="1:14" x14ac:dyDescent="0.15">
      <c r="A3934" s="23" t="str">
        <f>HYPERLINK("https://www.spark-marketing.ru/Card/Person/20814", "СРЕДНЕВОЛЖСКОЕ ТУ РОСРЫБОЛОВСТВА")</f>
        <v>СРЕДНЕВОЛЖСКОЕ ТУ РОСРЫБОЛОВСТВА</v>
      </c>
      <c r="B3934" s="24" t="s">
        <v>5618</v>
      </c>
      <c r="C3934" s="25">
        <v>21384</v>
      </c>
      <c r="D3934" s="22" t="s">
        <v>5672</v>
      </c>
      <c r="E3934" s="22" t="s">
        <v>53</v>
      </c>
      <c r="F3934" s="23" t="str">
        <f>HYPERLINK("https://www.spark-marketing.ru/Card/Lot/72283676", "Оказание услуг по техническому обслуживанию комплекса технических средств охраны")</f>
        <v>Оказание услуг по техническому обслуживанию комплекса технических средств охраны</v>
      </c>
      <c r="G3934" s="22" t="s">
        <v>760</v>
      </c>
      <c r="H3934" s="22" t="s">
        <v>1709</v>
      </c>
      <c r="I3934" s="26">
        <v>43669.698159722197</v>
      </c>
      <c r="J3934" s="28" t="s">
        <v>52</v>
      </c>
      <c r="K3934" s="28" t="s">
        <v>52</v>
      </c>
      <c r="L3934" s="28" t="s">
        <v>52</v>
      </c>
      <c r="M3934" s="28" t="s">
        <v>52</v>
      </c>
      <c r="N3934" s="28" t="s">
        <v>52</v>
      </c>
    </row>
    <row r="3935" spans="1:14" x14ac:dyDescent="0.15">
      <c r="A3935" s="23" t="str">
        <f>HYPERLINK("https://www.spark-marketing.ru/Card/Person/2794", "ГБУ ""АВТОМОБИЛЬНЫЕ ДОРОГИ ЮАО""")</f>
        <v>ГБУ "АВТОМОБИЛЬНЫЕ ДОРОГИ ЮАО"</v>
      </c>
      <c r="B3935" s="24" t="s">
        <v>5673</v>
      </c>
      <c r="C3935" s="25">
        <v>472006.45</v>
      </c>
      <c r="D3935" s="22" t="s">
        <v>5674</v>
      </c>
      <c r="E3935" s="22" t="s">
        <v>103</v>
      </c>
      <c r="F3935" s="23" t="str">
        <f>HYPERLINK("https://www.spark-marketing.ru/Card/Lot/72286815", "Оказание услуг по техническому обслуживанию системы видеонаблюдения, установленной на объекте парк «Братеевская пойма».")</f>
        <v>Оказание услуг по техническому обслуживанию системы видеонаблюдения, установленной на объекте парк «Братеевская пойма».</v>
      </c>
      <c r="G3935" s="22" t="s">
        <v>55</v>
      </c>
      <c r="H3935" s="22" t="s">
        <v>55</v>
      </c>
      <c r="I3935" s="26">
        <v>43669.6882638889</v>
      </c>
      <c r="J3935" s="28" t="s">
        <v>52</v>
      </c>
      <c r="K3935" s="28" t="s">
        <v>52</v>
      </c>
      <c r="L3935" s="28" t="s">
        <v>52</v>
      </c>
      <c r="M3935" s="28" t="s">
        <v>52</v>
      </c>
      <c r="N3935" s="28" t="s">
        <v>52</v>
      </c>
    </row>
    <row r="3936" spans="1:14" ht="12.75" hidden="1" outlineLevel="1" x14ac:dyDescent="0.2">
      <c r="A3936" s="23" t="str">
        <f>HYPERLINK("https://www.spark-marketing.ru/Card/Person/2794", "ГБУ ""АВТОМОБИЛЬНЫЕ ДОРОГИ ЮАО""")</f>
        <v>ГБУ "АВТОМОБИЛЬНЫЕ ДОРОГИ ЮАО"</v>
      </c>
      <c r="B3936" s="24" t="s">
        <v>5673</v>
      </c>
      <c r="C3936" s="25">
        <v>472006.45</v>
      </c>
      <c r="D3936" s="22" t="s">
        <v>5674</v>
      </c>
      <c r="E3936" s="22" t="s">
        <v>103</v>
      </c>
      <c r="F3936" s="23" t="str">
        <f>HYPERLINK("https://www.spark-marketing.ru/Card/Lot/72286815", "Оказание услуг по техническому обслуживанию системы видеонаблюдения, установленной на объекте парк «Братеевская пойма».")</f>
        <v>Оказание услуг по техническому обслуживанию системы видеонаблюдения, установленной на объекте парк «Братеевская пойма».</v>
      </c>
      <c r="G3936" s="22" t="s">
        <v>55</v>
      </c>
      <c r="H3936" s="22" t="s">
        <v>55</v>
      </c>
      <c r="I3936" s="26">
        <v>43669.6882638889</v>
      </c>
      <c r="J3936" s="23" t="str">
        <f>HYPERLINK("https://www.spark-marketing.ru/Card/Person/6634445", "ООО ""АКТ.РУ""")</f>
        <v>ООО "АКТ.РУ"</v>
      </c>
      <c r="K3936" s="24" t="s">
        <v>1582</v>
      </c>
      <c r="L3936" s="22" t="s">
        <v>10</v>
      </c>
      <c r="M3936" s="25">
        <v>449000</v>
      </c>
      <c r="N3936" s="27">
        <v>4.8741812744296183E-2</v>
      </c>
    </row>
    <row r="3937" spans="1:14" hidden="1" outlineLevel="1" x14ac:dyDescent="0.2">
      <c r="A3937" s="23" t="str">
        <f>HYPERLINK("https://www.spark-marketing.ru/Card/Person/2794", "ГБУ ""АВТОМОБИЛЬНЫЕ ДОРОГИ ЮАО""")</f>
        <v>ГБУ "АВТОМОБИЛЬНЫЕ ДОРОГИ ЮАО"</v>
      </c>
      <c r="B3937" s="24" t="s">
        <v>5673</v>
      </c>
      <c r="C3937" s="25">
        <v>472006.45</v>
      </c>
      <c r="D3937" s="22" t="s">
        <v>5674</v>
      </c>
      <c r="E3937" s="22" t="s">
        <v>103</v>
      </c>
      <c r="F3937" s="23" t="str">
        <f>HYPERLINK("https://www.spark-marketing.ru/Card/Lot/72286815", "Оказание услуг по техническому обслуживанию системы видеонаблюдения, установленной на объекте парк «Братеевская пойма».")</f>
        <v>Оказание услуг по техническому обслуживанию системы видеонаблюдения, установленной на объекте парк «Братеевская пойма».</v>
      </c>
      <c r="G3937" s="22" t="s">
        <v>55</v>
      </c>
      <c r="H3937" s="22" t="s">
        <v>55</v>
      </c>
      <c r="I3937" s="26">
        <v>43669.6882638889</v>
      </c>
      <c r="J3937" s="23" t="str">
        <f>HYPERLINK("https://www.spark-marketing.ru/Card/Person/6392706", "ООО ""МОСОБЛКОМ""")</f>
        <v>ООО "МОСОБЛКОМ"</v>
      </c>
      <c r="K3937" s="24" t="s">
        <v>5675</v>
      </c>
      <c r="L3937" s="28" t="s">
        <v>52</v>
      </c>
      <c r="M3937" s="25">
        <v>470000</v>
      </c>
      <c r="N3937" s="27">
        <v>4.2508953002654941E-3</v>
      </c>
    </row>
    <row r="3938" spans="1:14" x14ac:dyDescent="0.15">
      <c r="A3938" s="23" t="str">
        <f>HYPERLINK("https://www.spark-marketing.ru/Card/Person/15420", "УПРАВЛЕНИЕ РОСПОТРЕБНАДЗОРА ПО САМАРСКОЙ ОБЛАСТИ")</f>
        <v>УПРАВЛЕНИЕ РОСПОТРЕБНАДЗОРА ПО САМАРСКОЙ ОБЛАСТИ</v>
      </c>
      <c r="B3938" s="24" t="s">
        <v>5620</v>
      </c>
      <c r="C3938" s="25">
        <v>36000</v>
      </c>
      <c r="D3938" s="22" t="s">
        <v>5676</v>
      </c>
      <c r="E3938" s="22" t="s">
        <v>59</v>
      </c>
      <c r="F3938" s="23" t="str">
        <f>HYPERLINK("https://www.spark-marketing.ru/Card/Lot/72281699", "услуги по проведению экспертизы, 1 шт")</f>
        <v>услуги по проведению экспертизы, 1 шт</v>
      </c>
      <c r="G3938" s="22" t="s">
        <v>760</v>
      </c>
      <c r="H3938" s="22" t="s">
        <v>3010</v>
      </c>
      <c r="I3938" s="26">
        <v>43669.643703703703</v>
      </c>
      <c r="J3938" s="28" t="s">
        <v>52</v>
      </c>
      <c r="K3938" s="28" t="s">
        <v>52</v>
      </c>
      <c r="L3938" s="28" t="s">
        <v>52</v>
      </c>
      <c r="M3938" s="28" t="s">
        <v>52</v>
      </c>
      <c r="N3938" s="28" t="s">
        <v>52</v>
      </c>
    </row>
    <row r="3939" spans="1:14" x14ac:dyDescent="0.15">
      <c r="A3939" s="23" t="str">
        <f>HYPERLINK("https://www.spark-marketing.ru/Card/Person/267588", "ООО ""СПЕЦЭКОТРАНС""")</f>
        <v>ООО "СПЕЦЭКОТРАНС"</v>
      </c>
      <c r="B3939" s="24" t="s">
        <v>5677</v>
      </c>
      <c r="C3939" s="25">
        <v>0</v>
      </c>
      <c r="D3939" s="22" t="s">
        <v>5678</v>
      </c>
      <c r="E3939" s="22" t="s">
        <v>5679</v>
      </c>
      <c r="F3939" s="23" t="str">
        <f>HYPERLINK("https://www.spark-marketing.ru/Card/Lot/72292199", "Поставка фото/видео и навигационного оборудования и оказание услуг по обслуживанию данного оборудования (подразделение «Транспортирование твердых коммунальных отходов»)")</f>
        <v>Поставка фото/видео и навигационного оборудования и оказание услуг по обслуживанию данного оборудования (подразделение «Транспортирование твердых коммунальных отходов»)</v>
      </c>
      <c r="G3939" s="22" t="s">
        <v>176</v>
      </c>
      <c r="H3939" s="22" t="s">
        <v>176</v>
      </c>
      <c r="I3939" s="26">
        <v>43669.634606481501</v>
      </c>
      <c r="J3939" s="28" t="s">
        <v>52</v>
      </c>
      <c r="K3939" s="28" t="s">
        <v>52</v>
      </c>
      <c r="L3939" s="28" t="s">
        <v>52</v>
      </c>
      <c r="M3939" s="28" t="s">
        <v>52</v>
      </c>
      <c r="N3939" s="28" t="s">
        <v>52</v>
      </c>
    </row>
    <row r="3940" spans="1:14" x14ac:dyDescent="0.15">
      <c r="A3940" s="23" t="str">
        <f>HYPERLINK("https://www.spark-marketing.ru/Card/Person/4350652", "МКУ ""АДМИНИСТРАТИВНО-ХОЗЯЙСТВЕННОЕ УПРАВЛЕНИЕ""")</f>
        <v>МКУ "АДМИНИСТРАТИВНО-ХОЗЯЙСТВЕННОЕ УПРАВЛЕНИЕ"</v>
      </c>
      <c r="B3940" s="24" t="s">
        <v>5680</v>
      </c>
      <c r="C3940" s="25">
        <v>494486.67</v>
      </c>
      <c r="D3940" s="22" t="s">
        <v>5681</v>
      </c>
      <c r="E3940" s="22" t="s">
        <v>194</v>
      </c>
      <c r="F3940" s="23" t="str">
        <f>HYPERLINK("https://www.spark-marketing.ru/Card/Lot/72281201", "Приобретение и установка системы видеонаблюдения в 2019 году.")</f>
        <v>Приобретение и установка системы видеонаблюдения в 2019 году.</v>
      </c>
      <c r="G3940" s="22" t="s">
        <v>72</v>
      </c>
      <c r="H3940" s="22" t="s">
        <v>5226</v>
      </c>
      <c r="I3940" s="26">
        <v>43669.638831018499</v>
      </c>
      <c r="J3940" s="28" t="s">
        <v>52</v>
      </c>
      <c r="K3940" s="28" t="s">
        <v>52</v>
      </c>
      <c r="L3940" s="28" t="s">
        <v>52</v>
      </c>
      <c r="M3940" s="28" t="s">
        <v>52</v>
      </c>
      <c r="N3940" s="28" t="s">
        <v>52</v>
      </c>
    </row>
    <row r="3941" spans="1:14" hidden="1" outlineLevel="1" x14ac:dyDescent="0.2">
      <c r="A3941" s="23" t="str">
        <f>HYPERLINK("https://www.spark-marketing.ru/Card/Person/4350652", "МКУ ""АДМИНИСТРАТИВНО-ХОЗЯЙСТВЕННОЕ УПРАВЛЕНИЕ""")</f>
        <v>МКУ "АДМИНИСТРАТИВНО-ХОЗЯЙСТВЕННОЕ УПРАВЛЕНИЕ"</v>
      </c>
      <c r="B3941" s="24" t="s">
        <v>5680</v>
      </c>
      <c r="C3941" s="25">
        <v>494486.67</v>
      </c>
      <c r="D3941" s="22" t="s">
        <v>5681</v>
      </c>
      <c r="E3941" s="22" t="s">
        <v>194</v>
      </c>
      <c r="F3941" s="23" t="str">
        <f>HYPERLINK("https://www.spark-marketing.ru/Card/Lot/72281201", "Приобретение и установка системы видеонаблюдения в 2019 году.")</f>
        <v>Приобретение и установка системы видеонаблюдения в 2019 году.</v>
      </c>
      <c r="G3941" s="22" t="s">
        <v>72</v>
      </c>
      <c r="H3941" s="22" t="s">
        <v>5226</v>
      </c>
      <c r="I3941" s="26">
        <v>43669.638831018499</v>
      </c>
      <c r="J3941" s="23" t="str">
        <f>HYPERLINK("https://www.spark-marketing.ru/Card/Person/1481183", "ООО ""ГЕРКОН""")</f>
        <v>ООО "ГЕРКОН"</v>
      </c>
      <c r="K3941" s="24" t="s">
        <v>5682</v>
      </c>
      <c r="L3941" s="28" t="s">
        <v>52</v>
      </c>
      <c r="M3941" s="25">
        <v>390644.61</v>
      </c>
      <c r="N3941" s="27">
        <v>0.20999971546250176</v>
      </c>
    </row>
    <row r="3942" spans="1:14" hidden="1" outlineLevel="1" x14ac:dyDescent="0.2">
      <c r="A3942" s="23" t="str">
        <f>HYPERLINK("https://www.spark-marketing.ru/Card/Person/4350652", "МКУ ""АДМИНИСТРАТИВНО-ХОЗЯЙСТВЕННОЕ УПРАВЛЕНИЕ""")</f>
        <v>МКУ "АДМИНИСТРАТИВНО-ХОЗЯЙСТВЕННОЕ УПРАВЛЕНИЕ"</v>
      </c>
      <c r="B3942" s="24" t="s">
        <v>5680</v>
      </c>
      <c r="C3942" s="25">
        <v>494486.67</v>
      </c>
      <c r="D3942" s="22" t="s">
        <v>5681</v>
      </c>
      <c r="E3942" s="22" t="s">
        <v>194</v>
      </c>
      <c r="F3942" s="23" t="str">
        <f>HYPERLINK("https://www.spark-marketing.ru/Card/Lot/72281201", "Приобретение и установка системы видеонаблюдения в 2019 году.")</f>
        <v>Приобретение и установка системы видеонаблюдения в 2019 году.</v>
      </c>
      <c r="G3942" s="22" t="s">
        <v>72</v>
      </c>
      <c r="H3942" s="22" t="s">
        <v>5226</v>
      </c>
      <c r="I3942" s="26">
        <v>43669.638831018499</v>
      </c>
      <c r="J3942" s="23" t="str">
        <f>HYPERLINK("https://www.spark-marketing.ru/Card/Person/803106", "Лунегов Алексей Евгеньевич")</f>
        <v>Лунегов Алексей Евгеньевич</v>
      </c>
      <c r="K3942" s="24" t="s">
        <v>2506</v>
      </c>
      <c r="L3942" s="28" t="s">
        <v>52</v>
      </c>
      <c r="M3942" s="25">
        <v>313999</v>
      </c>
      <c r="N3942" s="27">
        <v>0.36500007169050686</v>
      </c>
    </row>
    <row r="3943" spans="1:14" ht="12.75" hidden="1" outlineLevel="1" x14ac:dyDescent="0.2">
      <c r="A3943" s="23" t="str">
        <f>HYPERLINK("https://www.spark-marketing.ru/Card/Person/4350652", "МКУ ""АДМИНИСТРАТИВНО-ХОЗЯЙСТВЕННОЕ УПРАВЛЕНИЕ""")</f>
        <v>МКУ "АДМИНИСТРАТИВНО-ХОЗЯЙСТВЕННОЕ УПРАВЛЕНИЕ"</v>
      </c>
      <c r="B3943" s="24" t="s">
        <v>5680</v>
      </c>
      <c r="C3943" s="25">
        <v>494486.67</v>
      </c>
      <c r="D3943" s="22" t="s">
        <v>5681</v>
      </c>
      <c r="E3943" s="22" t="s">
        <v>194</v>
      </c>
      <c r="F3943" s="23" t="str">
        <f>HYPERLINK("https://www.spark-marketing.ru/Card/Lot/72281201", "Приобретение и установка системы видеонаблюдения в 2019 году.")</f>
        <v>Приобретение и установка системы видеонаблюдения в 2019 году.</v>
      </c>
      <c r="G3943" s="22" t="s">
        <v>72</v>
      </c>
      <c r="H3943" s="22" t="s">
        <v>5226</v>
      </c>
      <c r="I3943" s="26">
        <v>43669.638831018499</v>
      </c>
      <c r="J3943" s="23" t="str">
        <f>HYPERLINK("https://www.spark-marketing.ru/Card/Person/2476828", "ООО ""ВВК""")</f>
        <v>ООО "ВВК"</v>
      </c>
      <c r="K3943" s="24" t="s">
        <v>5683</v>
      </c>
      <c r="L3943" s="22" t="s">
        <v>10</v>
      </c>
      <c r="M3943" s="25">
        <v>311526.57</v>
      </c>
      <c r="N3943" s="27">
        <v>0.37000006491580451</v>
      </c>
    </row>
    <row r="3944" spans="1:14" hidden="1" outlineLevel="1" x14ac:dyDescent="0.2">
      <c r="A3944" s="23" t="str">
        <f>HYPERLINK("https://www.spark-marketing.ru/Card/Person/4350652", "МКУ ""АДМИНИСТРАТИВНО-ХОЗЯЙСТВЕННОЕ УПРАВЛЕНИЕ""")</f>
        <v>МКУ "АДМИНИСТРАТИВНО-ХОЗЯЙСТВЕННОЕ УПРАВЛЕНИЕ"</v>
      </c>
      <c r="B3944" s="24" t="s">
        <v>5680</v>
      </c>
      <c r="C3944" s="25">
        <v>494486.67</v>
      </c>
      <c r="D3944" s="22" t="s">
        <v>5681</v>
      </c>
      <c r="E3944" s="22" t="s">
        <v>194</v>
      </c>
      <c r="F3944" s="23" t="str">
        <f>HYPERLINK("https://www.spark-marketing.ru/Card/Lot/72281201", "Приобретение и установка системы видеонаблюдения в 2019 году.")</f>
        <v>Приобретение и установка системы видеонаблюдения в 2019 году.</v>
      </c>
      <c r="G3944" s="22" t="s">
        <v>72</v>
      </c>
      <c r="H3944" s="22" t="s">
        <v>5226</v>
      </c>
      <c r="I3944" s="26">
        <v>43669.638831018499</v>
      </c>
      <c r="J3944" s="23" t="str">
        <f>HYPERLINK("https://www.spark-marketing.ru/Card/Person/2584937", "ООО ""ОТК""")</f>
        <v>ООО "ОТК"</v>
      </c>
      <c r="K3944" s="24" t="s">
        <v>5684</v>
      </c>
      <c r="L3944" s="28" t="s">
        <v>52</v>
      </c>
      <c r="M3944" s="25">
        <v>403006.76</v>
      </c>
      <c r="N3944" s="27">
        <v>0.18499974933601346</v>
      </c>
    </row>
    <row r="3945" spans="1:14" x14ac:dyDescent="0.15">
      <c r="A3945" s="23" t="str">
        <f>HYPERLINK("https://www.spark-marketing.ru/Card/Person/4343797", "ФКУ ""ЦХИСО ГУ МВД РОССИИ ПО МОСКОВСКОЙ ОБЛАСТИ""")</f>
        <v>ФКУ "ЦХИСО ГУ МВД РОССИИ ПО МОСКОВСКОЙ ОБЛАСТИ"</v>
      </c>
      <c r="B3945" s="24" t="s">
        <v>5090</v>
      </c>
      <c r="C3945" s="25">
        <v>43200</v>
      </c>
      <c r="D3945" s="22" t="s">
        <v>5685</v>
      </c>
      <c r="E3945" s="22" t="s">
        <v>107</v>
      </c>
      <c r="F3945" s="23" t="str">
        <f>HYPERLINK("https://www.spark-marketing.ru/Card/Lot/72278959", "техническое обслуживание системы сигнализации газовой безопасности и газоиспользующего оборудования, 1 усл. ед")</f>
        <v>техническое обслуживание системы сигнализации газовой безопасности и газоиспользующего оборудования, 1 усл. ед</v>
      </c>
      <c r="G3945" s="22" t="s">
        <v>50</v>
      </c>
      <c r="H3945" s="22" t="s">
        <v>2088</v>
      </c>
      <c r="I3945" s="26">
        <v>43669.597349536998</v>
      </c>
      <c r="J3945" s="28" t="s">
        <v>52</v>
      </c>
      <c r="K3945" s="28" t="s">
        <v>52</v>
      </c>
      <c r="L3945" s="28" t="s">
        <v>52</v>
      </c>
      <c r="M3945" s="28" t="s">
        <v>52</v>
      </c>
      <c r="N3945" s="28" t="s">
        <v>52</v>
      </c>
    </row>
    <row r="3946" spans="1:14" ht="12.75" x14ac:dyDescent="0.2">
      <c r="A3946" s="23" t="str">
        <f>HYPERLINK("https://www.spark-marketing.ru/Card/Person/160752", "КОМИТЕТ ПРАВИТЕЛЬСТВА КРАЯ ПО ОБЕСПЕЧЕНИЮ ДЕЯТЕЛЬНОСТИ МИРОВЫХ СУДЕЙ, ГОСУДАРСТВЕННЫХ НОТАРИУСОВ И АДМИНИСТРАТИВНЫХ КОМИССИЙ")</f>
        <v>КОМИТЕТ ПРАВИТЕЛЬСТВА КРАЯ ПО ОБЕСПЕЧЕНИЮ ДЕЯТЕЛЬНОСТИ МИРОВЫХ СУДЕЙ, ГОСУДАРСТВЕННЫХ НОТАРИУСОВ И АДМИНИСТРАТИВНЫХ КОМИССИЙ</v>
      </c>
      <c r="B3946" s="24" t="s">
        <v>5686</v>
      </c>
      <c r="C3946" s="25">
        <v>140525</v>
      </c>
      <c r="D3946" s="22" t="s">
        <v>5687</v>
      </c>
      <c r="E3946" s="22" t="s">
        <v>103</v>
      </c>
      <c r="F3946" s="23" t="str">
        <f>HYPERLINK("https://www.spark-marketing.ru/Card/Lot/72274437", "Оказание услуг по техническому обслуживанию систем видеонаблюдения")</f>
        <v>Оказание услуг по техническому обслуживанию систем видеонаблюдения</v>
      </c>
      <c r="G3946" s="22" t="s">
        <v>138</v>
      </c>
      <c r="H3946" s="22" t="s">
        <v>255</v>
      </c>
      <c r="I3946" s="26">
        <v>43669.590706018498</v>
      </c>
      <c r="J3946" s="23" t="str">
        <f>HYPERLINK("https://www.spark-marketing.ru/Card/Person/65903", "ООО ""ДЕЛЬТА ТЕЛЕКОМ""")</f>
        <v>ООО "ДЕЛЬТА ТЕЛЕКОМ"</v>
      </c>
      <c r="K3946" s="24" t="s">
        <v>5688</v>
      </c>
      <c r="L3946" s="22" t="s">
        <v>10</v>
      </c>
      <c r="M3946" s="25">
        <v>140525</v>
      </c>
      <c r="N3946" s="27">
        <v>0</v>
      </c>
    </row>
    <row r="3947" spans="1:14" x14ac:dyDescent="0.15">
      <c r="A3947" s="23" t="str">
        <f>HYPERLINK("https://www.spark-marketing.ru/Card/Person/4365836", "ЗАО ""ТЗК ШЕРЕМЕТЬЕВО""")</f>
        <v>ЗАО "ТЗК ШЕРЕМЕТЬЕВО"</v>
      </c>
      <c r="B3947" s="24" t="s">
        <v>5689</v>
      </c>
      <c r="C3947" s="28" t="s">
        <v>52</v>
      </c>
      <c r="D3947" s="22" t="s">
        <v>5690</v>
      </c>
      <c r="E3947" s="22" t="s">
        <v>5691</v>
      </c>
      <c r="F3947" s="23" t="str">
        <f>HYPERLINK("https://www.spark-marketing.ru/Card/Lot/72280323", "Сертификация соответствия технических средств обеспечения транспортной безопасности ЗАО ""ТЗК Шереметьево""")</f>
        <v>Сертификация соответствия технических средств обеспечения транспортной безопасности ЗАО "ТЗК Шереметьево"</v>
      </c>
      <c r="G3947" s="22" t="s">
        <v>50</v>
      </c>
      <c r="H3947" s="22" t="s">
        <v>938</v>
      </c>
      <c r="I3947" s="26">
        <v>43669.586111111101</v>
      </c>
      <c r="J3947" s="28" t="s">
        <v>52</v>
      </c>
      <c r="K3947" s="28" t="s">
        <v>52</v>
      </c>
      <c r="L3947" s="28" t="s">
        <v>52</v>
      </c>
      <c r="M3947" s="28" t="s">
        <v>52</v>
      </c>
      <c r="N3947" s="28" t="s">
        <v>52</v>
      </c>
    </row>
    <row r="3948" spans="1:14" x14ac:dyDescent="0.15">
      <c r="A3948" s="23" t="str">
        <f>HYPERLINK("https://www.spark-marketing.ru/Card/Person/530405", "ДЕПАРТАМЕНТ ОБРАЗОВАНИЯ АДМИНИСТРАЦИИ ГОРОДА ТОМСКА")</f>
        <v>ДЕПАРТАМЕНТ ОБРАЗОВАНИЯ АДМИНИСТРАЦИИ ГОРОДА ТОМСКА</v>
      </c>
      <c r="B3948" s="24" t="s">
        <v>5692</v>
      </c>
      <c r="C3948" s="25">
        <v>370900</v>
      </c>
      <c r="D3948" s="22" t="s">
        <v>5693</v>
      </c>
      <c r="E3948" s="22" t="s">
        <v>59</v>
      </c>
      <c r="F3948" s="23" t="str">
        <f>HYPERLINK("https://www.spark-marketing.ru/Card/Lot/72271956", "выполнение работ по монтажу, установке и наладке системы видеонаблюдения")</f>
        <v>выполнение работ по монтажу, установке и наладке системы видеонаблюдения</v>
      </c>
      <c r="G3948" s="22" t="s">
        <v>150</v>
      </c>
      <c r="H3948" s="22" t="s">
        <v>1656</v>
      </c>
      <c r="I3948" s="26">
        <v>43669.604525463001</v>
      </c>
      <c r="J3948" s="28" t="s">
        <v>52</v>
      </c>
      <c r="K3948" s="28" t="s">
        <v>52</v>
      </c>
      <c r="L3948" s="28" t="s">
        <v>52</v>
      </c>
      <c r="M3948" s="28" t="s">
        <v>52</v>
      </c>
      <c r="N3948" s="28" t="s">
        <v>52</v>
      </c>
    </row>
    <row r="3949" spans="1:14" hidden="1" outlineLevel="1" x14ac:dyDescent="0.2">
      <c r="A3949" s="23" t="str">
        <f>HYPERLINK("https://www.spark-marketing.ru/Card/Person/530405", "ДЕПАРТАМЕНТ ОБРАЗОВАНИЯ АДМИНИСТРАЦИИ ГОРОДА ТОМСКА")</f>
        <v>ДЕПАРТАМЕНТ ОБРАЗОВАНИЯ АДМИНИСТРАЦИИ ГОРОДА ТОМСКА</v>
      </c>
      <c r="B3949" s="24" t="s">
        <v>5692</v>
      </c>
      <c r="C3949" s="25">
        <v>370900</v>
      </c>
      <c r="D3949" s="22" t="s">
        <v>5693</v>
      </c>
      <c r="E3949" s="22" t="s">
        <v>59</v>
      </c>
      <c r="F3949" s="23" t="str">
        <f>HYPERLINK("https://www.spark-marketing.ru/Card/Lot/72271956", "выполнение работ по монтажу, установке и наладке системы видеонаблюдения")</f>
        <v>выполнение работ по монтажу, установке и наладке системы видеонаблюдения</v>
      </c>
      <c r="G3949" s="22" t="s">
        <v>150</v>
      </c>
      <c r="H3949" s="22" t="s">
        <v>1656</v>
      </c>
      <c r="I3949" s="26">
        <v>43669.604525463001</v>
      </c>
      <c r="J3949" s="23" t="str">
        <f>HYPERLINK("https://www.spark-marketing.ru/Card/Person/288812", "ООО ""КСБ ""АТАКА""")</f>
        <v>ООО "КСБ "АТАКА"</v>
      </c>
      <c r="K3949" s="24" t="s">
        <v>5694</v>
      </c>
      <c r="L3949" s="28" t="s">
        <v>52</v>
      </c>
      <c r="M3949" s="25">
        <v>294865.5</v>
      </c>
      <c r="N3949" s="27">
        <v>0.20499999999999999</v>
      </c>
    </row>
    <row r="3950" spans="1:14" ht="12.75" hidden="1" outlineLevel="1" x14ac:dyDescent="0.2">
      <c r="A3950" s="23" t="str">
        <f>HYPERLINK("https://www.spark-marketing.ru/Card/Person/530405", "ДЕПАРТАМЕНТ ОБРАЗОВАНИЯ АДМИНИСТРАЦИИ ГОРОДА ТОМСКА")</f>
        <v>ДЕПАРТАМЕНТ ОБРАЗОВАНИЯ АДМИНИСТРАЦИИ ГОРОДА ТОМСКА</v>
      </c>
      <c r="B3950" s="24" t="s">
        <v>5692</v>
      </c>
      <c r="C3950" s="25">
        <v>370900</v>
      </c>
      <c r="D3950" s="22" t="s">
        <v>5693</v>
      </c>
      <c r="E3950" s="22" t="s">
        <v>59</v>
      </c>
      <c r="F3950" s="23" t="str">
        <f>HYPERLINK("https://www.spark-marketing.ru/Card/Lot/72271956", "выполнение работ по монтажу, установке и наладке системы видеонаблюдения")</f>
        <v>выполнение работ по монтажу, установке и наладке системы видеонаблюдения</v>
      </c>
      <c r="G3950" s="22" t="s">
        <v>150</v>
      </c>
      <c r="H3950" s="22" t="s">
        <v>1656</v>
      </c>
      <c r="I3950" s="26">
        <v>43669.604525463001</v>
      </c>
      <c r="J3950" s="23" t="str">
        <f>HYPERLINK("https://www.spark-marketing.ru/Card/Person/2568861", "ООО ""ФАЙБЕРНЕТ""")</f>
        <v>ООО "ФАЙБЕРНЕТ"</v>
      </c>
      <c r="K3950" s="24" t="s">
        <v>5695</v>
      </c>
      <c r="L3950" s="22" t="s">
        <v>10</v>
      </c>
      <c r="M3950" s="25">
        <v>254891.5</v>
      </c>
      <c r="N3950" s="27">
        <v>0.3127756807764896</v>
      </c>
    </row>
    <row r="3951" spans="1:14" hidden="1" outlineLevel="1" x14ac:dyDescent="0.2">
      <c r="A3951" s="23" t="str">
        <f>HYPERLINK("https://www.spark-marketing.ru/Card/Person/530405", "ДЕПАРТАМЕНТ ОБРАЗОВАНИЯ АДМИНИСТРАЦИИ ГОРОДА ТОМСКА")</f>
        <v>ДЕПАРТАМЕНТ ОБРАЗОВАНИЯ АДМИНИСТРАЦИИ ГОРОДА ТОМСКА</v>
      </c>
      <c r="B3951" s="24" t="s">
        <v>5692</v>
      </c>
      <c r="C3951" s="25">
        <v>370900</v>
      </c>
      <c r="D3951" s="22" t="s">
        <v>5693</v>
      </c>
      <c r="E3951" s="22" t="s">
        <v>59</v>
      </c>
      <c r="F3951" s="23" t="str">
        <f>HYPERLINK("https://www.spark-marketing.ru/Card/Lot/72271956", "выполнение работ по монтажу, установке и наладке системы видеонаблюдения")</f>
        <v>выполнение работ по монтажу, установке и наладке системы видеонаблюдения</v>
      </c>
      <c r="G3951" s="22" t="s">
        <v>150</v>
      </c>
      <c r="H3951" s="22" t="s">
        <v>1656</v>
      </c>
      <c r="I3951" s="26">
        <v>43669.604525463001</v>
      </c>
      <c r="J3951" s="23" t="str">
        <f>HYPERLINK("https://www.spark-marketing.ru/Card/Person/4955049", "Темников Максим Анатольевич")</f>
        <v>Темников Максим Анатольевич</v>
      </c>
      <c r="K3951" s="24" t="s">
        <v>5430</v>
      </c>
      <c r="L3951" s="28" t="s">
        <v>52</v>
      </c>
      <c r="M3951" s="25">
        <v>256746</v>
      </c>
      <c r="N3951" s="27">
        <v>0.30777568077648965</v>
      </c>
    </row>
    <row r="3952" spans="1:14" hidden="1" outlineLevel="1" x14ac:dyDescent="0.2">
      <c r="A3952" s="23" t="str">
        <f>HYPERLINK("https://www.spark-marketing.ru/Card/Person/530405", "ДЕПАРТАМЕНТ ОБРАЗОВАНИЯ АДМИНИСТРАЦИИ ГОРОДА ТОМСКА")</f>
        <v>ДЕПАРТАМЕНТ ОБРАЗОВАНИЯ АДМИНИСТРАЦИИ ГОРОДА ТОМСКА</v>
      </c>
      <c r="B3952" s="24" t="s">
        <v>5692</v>
      </c>
      <c r="C3952" s="25">
        <v>370900</v>
      </c>
      <c r="D3952" s="22" t="s">
        <v>5693</v>
      </c>
      <c r="E3952" s="22" t="s">
        <v>59</v>
      </c>
      <c r="F3952" s="23" t="str">
        <f>HYPERLINK("https://www.spark-marketing.ru/Card/Lot/72271956", "выполнение работ по монтажу, установке и наладке системы видеонаблюдения")</f>
        <v>выполнение работ по монтажу, установке и наладке системы видеонаблюдения</v>
      </c>
      <c r="G3952" s="22" t="s">
        <v>150</v>
      </c>
      <c r="H3952" s="22" t="s">
        <v>1656</v>
      </c>
      <c r="I3952" s="26">
        <v>43669.604525463001</v>
      </c>
      <c r="J3952" s="23" t="str">
        <f>HYPERLINK("https://www.spark-marketing.ru/Card/Person/6576202", "ООО ""ПРОМСИБСТРОЙТОМСК""")</f>
        <v>ООО "ПРОМСИБСТРОЙТОМСК"</v>
      </c>
      <c r="K3952" s="24" t="s">
        <v>5696</v>
      </c>
      <c r="L3952" s="28" t="s">
        <v>52</v>
      </c>
      <c r="M3952" s="25">
        <v>330101</v>
      </c>
      <c r="N3952" s="27">
        <v>0.11</v>
      </c>
    </row>
    <row r="3953" spans="1:14" x14ac:dyDescent="0.15">
      <c r="A3953" s="23" t="str">
        <f>HYPERLINK("https://www.spark-marketing.ru/Card/Person/4343797", "ФКУ ""ЦХИСО ГУ МВД РОССИИ ПО МОСКОВСКОЙ ОБЛАСТИ""")</f>
        <v>ФКУ "ЦХИСО ГУ МВД РОССИИ ПО МОСКОВСКОЙ ОБЛАСТИ"</v>
      </c>
      <c r="B3953" s="24" t="s">
        <v>5090</v>
      </c>
      <c r="C3953" s="25">
        <v>47520</v>
      </c>
      <c r="D3953" s="22" t="s">
        <v>5697</v>
      </c>
      <c r="E3953" s="22" t="s">
        <v>107</v>
      </c>
      <c r="F3953" s="23" t="str">
        <f>HYPERLINK("https://www.spark-marketing.ru/Card/Lot/72278966", "Техническое обслуживание сигнализации газовой безопасности и газоиспользующего оборудования на 2021г, 1 усл. ед")</f>
        <v>Техническое обслуживание сигнализации газовой безопасности и газоиспользующего оборудования на 2021г, 1 усл. ед</v>
      </c>
      <c r="G3953" s="22" t="s">
        <v>50</v>
      </c>
      <c r="H3953" s="22" t="s">
        <v>2088</v>
      </c>
      <c r="I3953" s="26">
        <v>43669.599189814799</v>
      </c>
      <c r="J3953" s="28" t="s">
        <v>52</v>
      </c>
      <c r="K3953" s="28" t="s">
        <v>52</v>
      </c>
      <c r="L3953" s="28" t="s">
        <v>52</v>
      </c>
      <c r="M3953" s="28" t="s">
        <v>52</v>
      </c>
      <c r="N3953" s="28" t="s">
        <v>52</v>
      </c>
    </row>
    <row r="3954" spans="1:14" x14ac:dyDescent="0.15">
      <c r="A3954" s="23" t="str">
        <f>HYPERLINK("https://www.spark-marketing.ru/Card/Person/17655", "ФКУ УПРДОР ""ПРИБАЙКАЛЬЕ""")</f>
        <v>ФКУ УПРДОР "ПРИБАЙКАЛЬЕ"</v>
      </c>
      <c r="B3954" s="24" t="s">
        <v>4586</v>
      </c>
      <c r="C3954" s="25">
        <v>47500</v>
      </c>
      <c r="D3954" s="22" t="s">
        <v>5698</v>
      </c>
      <c r="E3954" s="22" t="s">
        <v>107</v>
      </c>
      <c r="F3954" s="23" t="str">
        <f>HYPERLINK("https://www.spark-marketing.ru/Card/Lot/72277992", "Техническое обслуживание средств ОС, ОПС, ТС, видеонаблюдения и СКУД, 3 шт")</f>
        <v>Техническое обслуживание средств ОС, ОПС, ТС, видеонаблюдения и СКУД, 3 шт</v>
      </c>
      <c r="G3954" s="22" t="s">
        <v>281</v>
      </c>
      <c r="H3954" s="22" t="s">
        <v>2008</v>
      </c>
      <c r="I3954" s="26">
        <v>43669.5525694444</v>
      </c>
      <c r="J3954" s="28" t="s">
        <v>52</v>
      </c>
      <c r="K3954" s="28" t="s">
        <v>52</v>
      </c>
      <c r="L3954" s="28" t="s">
        <v>52</v>
      </c>
      <c r="M3954" s="28" t="s">
        <v>52</v>
      </c>
      <c r="N3954" s="28" t="s">
        <v>52</v>
      </c>
    </row>
    <row r="3955" spans="1:14" x14ac:dyDescent="0.15">
      <c r="A3955" s="23" t="str">
        <f>HYPERLINK("https://www.spark-marketing.ru/Card/Person/906491", "АО ПЛЕМРЕПРОДУКТОР ""ЧИСТЮНЬСКИЙ""")</f>
        <v>АО ПЛЕМРЕПРОДУКТОР "ЧИСТЮНЬСКИЙ"</v>
      </c>
      <c r="B3955" s="24" t="s">
        <v>5699</v>
      </c>
      <c r="C3955" s="25">
        <v>222000</v>
      </c>
      <c r="D3955" s="22" t="s">
        <v>5700</v>
      </c>
      <c r="E3955" s="22" t="s">
        <v>5701</v>
      </c>
      <c r="F3955" s="23" t="str">
        <f>HYPERLINK("https://www.spark-marketing.ru/Card/Lot/72291775", "установка системы видеонаблюдения")</f>
        <v>установка системы видеонаблюдения</v>
      </c>
      <c r="G3955" s="22" t="s">
        <v>428</v>
      </c>
      <c r="H3955" s="22" t="s">
        <v>428</v>
      </c>
      <c r="I3955" s="26">
        <v>43669.566944444399</v>
      </c>
      <c r="J3955" s="28" t="s">
        <v>52</v>
      </c>
      <c r="K3955" s="28" t="s">
        <v>52</v>
      </c>
      <c r="L3955" s="28" t="s">
        <v>52</v>
      </c>
      <c r="M3955" s="28" t="s">
        <v>52</v>
      </c>
      <c r="N3955" s="28" t="s">
        <v>52</v>
      </c>
    </row>
    <row r="3956" spans="1:14" x14ac:dyDescent="0.15">
      <c r="A3956" s="23" t="str">
        <f>HYPERLINK("https://www.spark-marketing.ru/Card/Person/4348562", "АО ""АТОМТЕХЭНЕРГО""")</f>
        <v>АО "АТОМТЕХЭНЕРГО"</v>
      </c>
      <c r="B3956" s="24" t="s">
        <v>4449</v>
      </c>
      <c r="C3956" s="25">
        <v>0</v>
      </c>
      <c r="D3956" s="22" t="s">
        <v>5702</v>
      </c>
      <c r="E3956" s="22" t="s">
        <v>53</v>
      </c>
      <c r="F3956" s="23" t="str">
        <f>HYPERLINK("https://www.spark-marketing.ru/Card/Lot/72289851", "мониторинг цен в электронной форме на Оказание услуг по физической и пультовой охране Объектов и территории Балаковского филиала «Балаковоатомтехэнерго» АО «Атомтехэнерго».")</f>
        <v>мониторинг цен в электронной форме на Оказание услуг по физической и пультовой охране Объектов и территории Балаковского филиала «Балаковоатомтехэнерго» АО «Атомтехэнерго».</v>
      </c>
      <c r="G3956" s="22" t="s">
        <v>55</v>
      </c>
      <c r="H3956" s="22" t="s">
        <v>55</v>
      </c>
      <c r="I3956" s="26">
        <v>43669.541736111103</v>
      </c>
      <c r="J3956" s="28" t="s">
        <v>52</v>
      </c>
      <c r="K3956" s="28" t="s">
        <v>52</v>
      </c>
      <c r="L3956" s="28" t="s">
        <v>52</v>
      </c>
      <c r="M3956" s="28" t="s">
        <v>52</v>
      </c>
      <c r="N3956" s="28" t="s">
        <v>52</v>
      </c>
    </row>
    <row r="3957" spans="1:14" x14ac:dyDescent="0.15">
      <c r="A3957" s="23" t="str">
        <f>HYPERLINK("https://www.spark-marketing.ru/Card/Person/1029730", "МДОУ №5 Г. МОЖАЙСКА")</f>
        <v>МДОУ №5 Г. МОЖАЙСКА</v>
      </c>
      <c r="B3957" s="24" t="s">
        <v>1286</v>
      </c>
      <c r="C3957" s="25">
        <v>25000</v>
      </c>
      <c r="D3957" s="22" t="s">
        <v>5703</v>
      </c>
      <c r="E3957" s="22" t="s">
        <v>103</v>
      </c>
      <c r="F3957" s="23" t="str">
        <f>HYPERLINK("https://www.spark-marketing.ru/Card/Lot/72276286", "Оказание услуг по техническому обслуживанию системы видеонаблюдения")</f>
        <v>Оказание услуг по техническому обслуживанию системы видеонаблюдения</v>
      </c>
      <c r="G3957" s="22" t="s">
        <v>50</v>
      </c>
      <c r="H3957" s="22" t="s">
        <v>946</v>
      </c>
      <c r="I3957" s="26">
        <v>43669.513414351903</v>
      </c>
      <c r="J3957" s="28" t="s">
        <v>52</v>
      </c>
      <c r="K3957" s="28" t="s">
        <v>52</v>
      </c>
      <c r="L3957" s="28" t="s">
        <v>52</v>
      </c>
      <c r="M3957" s="28" t="s">
        <v>52</v>
      </c>
      <c r="N3957" s="28" t="s">
        <v>52</v>
      </c>
    </row>
    <row r="3958" spans="1:14" x14ac:dyDescent="0.15">
      <c r="A3958" s="23" t="str">
        <f>HYPERLINK("https://www.spark-marketing.ru/Card/Person/1044179", "МБУ ""КСШ ""ЛИДЕР-ЭЛЕКТРОСТАЛЬ""")</f>
        <v>МБУ "КСШ "ЛИДЕР-ЭЛЕКТРОСТАЛЬ"</v>
      </c>
      <c r="B3958" s="24" t="s">
        <v>5704</v>
      </c>
      <c r="C3958" s="25">
        <v>54000</v>
      </c>
      <c r="D3958" s="22" t="s">
        <v>5705</v>
      </c>
      <c r="E3958" s="22" t="s">
        <v>59</v>
      </c>
      <c r="F3958" s="23" t="str">
        <f>HYPERLINK("https://www.spark-marketing.ru/Card/Lot/72276306", "Выполнение работ по установке систем охранной сигнализации")</f>
        <v>Выполнение работ по установке систем охранной сигнализации</v>
      </c>
      <c r="G3958" s="22" t="s">
        <v>50</v>
      </c>
      <c r="H3958" s="22" t="s">
        <v>747</v>
      </c>
      <c r="I3958" s="26">
        <v>43669.5237962963</v>
      </c>
      <c r="J3958" s="28" t="s">
        <v>52</v>
      </c>
      <c r="K3958" s="28" t="s">
        <v>52</v>
      </c>
      <c r="L3958" s="28" t="s">
        <v>52</v>
      </c>
      <c r="M3958" s="28" t="s">
        <v>52</v>
      </c>
      <c r="N3958" s="28" t="s">
        <v>52</v>
      </c>
    </row>
    <row r="3959" spans="1:14" x14ac:dyDescent="0.15">
      <c r="A3959" s="23" t="str">
        <f>HYPERLINK("https://www.spark-marketing.ru/Card/Person/4348562", "АО ""АТОМТЕХЭНЕРГО""")</f>
        <v>АО "АТОМТЕХЭНЕРГО"</v>
      </c>
      <c r="B3959" s="24" t="s">
        <v>4449</v>
      </c>
      <c r="C3959" s="28" t="s">
        <v>52</v>
      </c>
      <c r="D3959" s="22" t="s">
        <v>5706</v>
      </c>
      <c r="E3959" s="22" t="s">
        <v>53</v>
      </c>
      <c r="F3959" s="23" t="str">
        <f>HYPERLINK("https://www.spark-marketing.ru/Card/Lot/72285082", "Оказание услуг по физической и пультовой охране Объектов и территории Балаковского филиала «Балаковоатомтехэнерго» АО «Атомтехэнерго». (1304484)")</f>
        <v>Оказание услуг по физической и пультовой охране Объектов и территории Балаковского филиала «Балаковоатомтехэнерго» АО «Атомтехэнерго». (1304484)</v>
      </c>
      <c r="G3959" s="22" t="s">
        <v>55</v>
      </c>
      <c r="H3959" s="22" t="s">
        <v>55</v>
      </c>
      <c r="I3959" s="26">
        <v>43669.541550925896</v>
      </c>
      <c r="J3959" s="28" t="s">
        <v>52</v>
      </c>
      <c r="K3959" s="28" t="s">
        <v>52</v>
      </c>
      <c r="L3959" s="28" t="s">
        <v>52</v>
      </c>
      <c r="M3959" s="28" t="s">
        <v>52</v>
      </c>
      <c r="N3959" s="28" t="s">
        <v>52</v>
      </c>
    </row>
    <row r="3960" spans="1:14" x14ac:dyDescent="0.15">
      <c r="A3960" s="23" t="str">
        <f>HYPERLINK("https://www.spark-marketing.ru/Card/Person/1005855", "ЧЕРЕПАНОВСКАЯ С(К)ШИ")</f>
        <v>ЧЕРЕПАНОВСКАЯ С(К)ШИ</v>
      </c>
      <c r="B3960" s="24" t="s">
        <v>5707</v>
      </c>
      <c r="C3960" s="25">
        <v>370628</v>
      </c>
      <c r="D3960" s="22" t="s">
        <v>5708</v>
      </c>
      <c r="E3960" s="22" t="s">
        <v>59</v>
      </c>
      <c r="F3960" s="23" t="str">
        <f>HYPERLINK("https://www.spark-marketing.ru/Card/Lot/72275409", "Выполнение монтажных и пусконаладочных работ системы видеонаблюдения в помещениях спального корпуса и прилегающей территории.")</f>
        <v>Выполнение монтажных и пусконаладочных работ системы видеонаблюдения в помещениях спального корпуса и прилегающей территории.</v>
      </c>
      <c r="G3960" s="22" t="s">
        <v>209</v>
      </c>
      <c r="H3960" s="22" t="s">
        <v>4605</v>
      </c>
      <c r="I3960" s="26">
        <v>43669.523611111101</v>
      </c>
      <c r="J3960" s="28" t="s">
        <v>52</v>
      </c>
      <c r="K3960" s="28" t="s">
        <v>52</v>
      </c>
      <c r="L3960" s="28" t="s">
        <v>52</v>
      </c>
      <c r="M3960" s="28" t="s">
        <v>52</v>
      </c>
      <c r="N3960" s="28" t="s">
        <v>52</v>
      </c>
    </row>
    <row r="3961" spans="1:14" x14ac:dyDescent="0.15">
      <c r="A3961" s="23" t="str">
        <f>HYPERLINK("https://www.spark-marketing.ru/Card/Person/1070040", "ГБУ ""РОДИЛЬНЫЙ ДОМ""")</f>
        <v>ГБУ "РОДИЛЬНЫЙ ДОМ"</v>
      </c>
      <c r="B3961" s="24" t="s">
        <v>5709</v>
      </c>
      <c r="C3961" s="25">
        <v>721067</v>
      </c>
      <c r="D3961" s="22" t="s">
        <v>5710</v>
      </c>
      <c r="E3961" s="22" t="s">
        <v>107</v>
      </c>
      <c r="F3961" s="23" t="str">
        <f>HYPERLINK("https://www.spark-marketing.ru/Card/Lot/72275028", "Техническое обслуживание видеонаблюдения")</f>
        <v>Техническое обслуживание видеонаблюдения</v>
      </c>
      <c r="G3961" s="22" t="s">
        <v>724</v>
      </c>
      <c r="H3961" s="22" t="s">
        <v>5711</v>
      </c>
      <c r="I3961" s="26">
        <v>43669.473067129598</v>
      </c>
      <c r="J3961" s="23" t="str">
        <f>HYPERLINK("https://www.spark-marketing.ru/Card/Person/4522877", "ООО ""ИНЖИНИРИНГ ЭЛЕКТРИК""")</f>
        <v>ООО "ИНЖИНИРИНГ ЭЛЕКТРИК"</v>
      </c>
      <c r="K3961" s="24" t="s">
        <v>5712</v>
      </c>
      <c r="L3961" s="22" t="s">
        <v>10</v>
      </c>
      <c r="M3961" s="28" t="s">
        <v>52</v>
      </c>
      <c r="N3961" s="28" t="s">
        <v>52</v>
      </c>
    </row>
    <row r="3962" spans="1:14" x14ac:dyDescent="0.15">
      <c r="A3962" s="23" t="str">
        <f>HYPERLINK("https://www.spark-marketing.ru/Card/Person/65504", "ФКУ ""ЦВСИГ ""ДОН"" МВД РОССИИ")</f>
        <v>ФКУ "ЦВСИГ "ДОН" МВД РОССИИ</v>
      </c>
      <c r="B3962" s="24" t="s">
        <v>3919</v>
      </c>
      <c r="C3962" s="25">
        <v>72000</v>
      </c>
      <c r="D3962" s="22" t="s">
        <v>5713</v>
      </c>
      <c r="E3962" s="22" t="s">
        <v>294</v>
      </c>
      <c r="F3962" s="23" t="str">
        <f>HYPERLINK("https://www.spark-marketing.ru/Card/Lot/72285806", "закупка услуг по техническому обслуживанию систем видеонаблюдения")</f>
        <v>закупка услуг по техническому обслуживанию систем видеонаблюдения</v>
      </c>
      <c r="G3962" s="22" t="s">
        <v>402</v>
      </c>
      <c r="H3962" s="22" t="s">
        <v>3921</v>
      </c>
      <c r="I3962" s="26">
        <v>43669.496608796297</v>
      </c>
      <c r="J3962" s="28" t="s">
        <v>52</v>
      </c>
      <c r="K3962" s="28" t="s">
        <v>52</v>
      </c>
      <c r="L3962" s="28" t="s">
        <v>52</v>
      </c>
      <c r="M3962" s="28" t="s">
        <v>52</v>
      </c>
      <c r="N3962" s="28" t="s">
        <v>52</v>
      </c>
    </row>
    <row r="3963" spans="1:14" ht="12.75" hidden="1" outlineLevel="1" x14ac:dyDescent="0.2">
      <c r="A3963" s="23" t="str">
        <f>HYPERLINK("https://www.spark-marketing.ru/Card/Person/65504", "ФКУ ""ЦВСИГ ""ДОН"" МВД РОССИИ")</f>
        <v>ФКУ "ЦВСИГ "ДОН" МВД РОССИИ</v>
      </c>
      <c r="B3963" s="24" t="s">
        <v>3919</v>
      </c>
      <c r="C3963" s="25">
        <v>72000</v>
      </c>
      <c r="D3963" s="22" t="s">
        <v>5713</v>
      </c>
      <c r="E3963" s="22" t="s">
        <v>294</v>
      </c>
      <c r="F3963" s="23" t="str">
        <f>HYPERLINK("https://www.spark-marketing.ru/Card/Lot/72285806", "закупка услуг по техническому обслуживанию систем видеонаблюдения")</f>
        <v>закупка услуг по техническому обслуживанию систем видеонаблюдения</v>
      </c>
      <c r="G3963" s="22" t="s">
        <v>402</v>
      </c>
      <c r="H3963" s="22" t="s">
        <v>3921</v>
      </c>
      <c r="I3963" s="26">
        <v>43669.496608796297</v>
      </c>
      <c r="J3963" s="23" t="str">
        <f>HYPERLINK("https://www.spark-marketing.ru/Card/Person/404659", "Яковлев Андрей Викторович")</f>
        <v>Яковлев Андрей Викторович</v>
      </c>
      <c r="K3963" s="24" t="s">
        <v>5714</v>
      </c>
      <c r="L3963" s="22" t="s">
        <v>10</v>
      </c>
      <c r="M3963" s="25">
        <v>72000</v>
      </c>
      <c r="N3963" s="27">
        <v>0</v>
      </c>
    </row>
    <row r="3964" spans="1:14" hidden="1" outlineLevel="1" x14ac:dyDescent="0.2">
      <c r="A3964" s="23" t="str">
        <f>HYPERLINK("https://www.spark-marketing.ru/Card/Person/65504", "ФКУ ""ЦВСИГ ""ДОН"" МВД РОССИИ")</f>
        <v>ФКУ "ЦВСИГ "ДОН" МВД РОССИИ</v>
      </c>
      <c r="B3964" s="24" t="s">
        <v>3919</v>
      </c>
      <c r="C3964" s="25">
        <v>72000</v>
      </c>
      <c r="D3964" s="22" t="s">
        <v>5713</v>
      </c>
      <c r="E3964" s="22" t="s">
        <v>294</v>
      </c>
      <c r="F3964" s="23" t="str">
        <f>HYPERLINK("https://www.spark-marketing.ru/Card/Lot/72285806", "закупка услуг по техническому обслуживанию систем видеонаблюдения")</f>
        <v>закупка услуг по техническому обслуживанию систем видеонаблюдения</v>
      </c>
      <c r="G3964" s="22" t="s">
        <v>402</v>
      </c>
      <c r="H3964" s="22" t="s">
        <v>3921</v>
      </c>
      <c r="I3964" s="26">
        <v>43669.496608796297</v>
      </c>
      <c r="J3964" s="23" t="str">
        <f>HYPERLINK("https://www.spark-marketing.ru/Card/Person/65010", "ООО ""АЛЕКССТРОЙ""")</f>
        <v>ООО "АЛЕКССТРОЙ"</v>
      </c>
      <c r="K3964" s="24" t="s">
        <v>5715</v>
      </c>
      <c r="L3964" s="28" t="s">
        <v>52</v>
      </c>
      <c r="M3964" s="25">
        <v>72000</v>
      </c>
      <c r="N3964" s="27">
        <v>0</v>
      </c>
    </row>
    <row r="3965" spans="1:14" hidden="1" outlineLevel="1" x14ac:dyDescent="0.15">
      <c r="A3965" s="23" t="str">
        <f>HYPERLINK("https://www.spark-marketing.ru/Card/Person/65504", "ФКУ ""ЦВСИГ ""ДОН"" МВД РОССИИ")</f>
        <v>ФКУ "ЦВСИГ "ДОН" МВД РОССИИ</v>
      </c>
      <c r="B3965" s="24" t="s">
        <v>3919</v>
      </c>
      <c r="C3965" s="25">
        <v>72000</v>
      </c>
      <c r="D3965" s="22" t="s">
        <v>5713</v>
      </c>
      <c r="E3965" s="22" t="s">
        <v>294</v>
      </c>
      <c r="F3965" s="23" t="str">
        <f>HYPERLINK("https://www.spark-marketing.ru/Card/Lot/72285806", "закупка услуг по техническому обслуживанию систем видеонаблюдения")</f>
        <v>закупка услуг по техническому обслуживанию систем видеонаблюдения</v>
      </c>
      <c r="G3965" s="22" t="s">
        <v>402</v>
      </c>
      <c r="H3965" s="22" t="s">
        <v>3921</v>
      </c>
      <c r="I3965" s="26">
        <v>43669.496608796297</v>
      </c>
      <c r="J3965" s="23" t="str">
        <f>HYPERLINK("https://www.spark-marketing.ru/Card/Person/10928", "ООО ""РОСТОВСКИЙ-НА-ДОНУ ЦЕНТР ""АКРА""")</f>
        <v>ООО "РОСТОВСКИЙ-НА-ДОНУ ЦЕНТР "АКРА"</v>
      </c>
      <c r="K3965" s="24" t="s">
        <v>5716</v>
      </c>
      <c r="L3965" s="28" t="s">
        <v>52</v>
      </c>
      <c r="M3965" s="28" t="s">
        <v>52</v>
      </c>
      <c r="N3965" s="28" t="s">
        <v>52</v>
      </c>
    </row>
    <row r="3966" spans="1:14" hidden="1" outlineLevel="1" x14ac:dyDescent="0.15">
      <c r="A3966" s="23" t="str">
        <f>HYPERLINK("https://www.spark-marketing.ru/Card/Person/65504", "ФКУ ""ЦВСИГ ""ДОН"" МВД РОССИИ")</f>
        <v>ФКУ "ЦВСИГ "ДОН" МВД РОССИИ</v>
      </c>
      <c r="B3966" s="24" t="s">
        <v>3919</v>
      </c>
      <c r="C3966" s="25">
        <v>72000</v>
      </c>
      <c r="D3966" s="22" t="s">
        <v>5713</v>
      </c>
      <c r="E3966" s="22" t="s">
        <v>294</v>
      </c>
      <c r="F3966" s="23" t="str">
        <f>HYPERLINK("https://www.spark-marketing.ru/Card/Lot/72285806", "закупка услуг по техническому обслуживанию систем видеонаблюдения")</f>
        <v>закупка услуг по техническому обслуживанию систем видеонаблюдения</v>
      </c>
      <c r="G3966" s="22" t="s">
        <v>402</v>
      </c>
      <c r="H3966" s="22" t="s">
        <v>3921</v>
      </c>
      <c r="I3966" s="26">
        <v>43669.496608796297</v>
      </c>
      <c r="J3966" s="23" t="str">
        <f>HYPERLINK("https://www.spark-marketing.ru/Card/Person/379845", "ООО ""МОДУЛЬ""")</f>
        <v>ООО "МОДУЛЬ"</v>
      </c>
      <c r="K3966" s="24" t="s">
        <v>5717</v>
      </c>
      <c r="L3966" s="28" t="s">
        <v>52</v>
      </c>
      <c r="M3966" s="28" t="s">
        <v>52</v>
      </c>
      <c r="N3966" s="28" t="s">
        <v>52</v>
      </c>
    </row>
    <row r="3967" spans="1:14" x14ac:dyDescent="0.15">
      <c r="A3967" s="23" t="str">
        <f>HYPERLINK("https://www.spark-marketing.ru/Card/Person/87301", "ГБУЗ ЯО ""РОСТОВСКАЯ ЦРБ""")</f>
        <v>ГБУЗ ЯО "РОСТОВСКАЯ ЦРБ"</v>
      </c>
      <c r="B3967" s="24" t="s">
        <v>5718</v>
      </c>
      <c r="C3967" s="25">
        <v>150000</v>
      </c>
      <c r="D3967" s="22" t="s">
        <v>5719</v>
      </c>
      <c r="E3967" s="22" t="s">
        <v>52</v>
      </c>
      <c r="F3967" s="23" t="str">
        <f>HYPERLINK("https://www.spark-marketing.ru/Card/Lot/72274278", "Оказание услуг по осуществлению мониторинга средств охранной сигнализации и выезд наряда охраны по сигналу «Тревога» на объекты Заказчика")</f>
        <v>Оказание услуг по осуществлению мониторинга средств охранной сигнализации и выезд наряда охраны по сигналу «Тревога» на объекты Заказчика</v>
      </c>
      <c r="G3967" s="22" t="s">
        <v>155</v>
      </c>
      <c r="H3967" s="22" t="s">
        <v>5720</v>
      </c>
      <c r="I3967" s="26">
        <v>43669.462962963</v>
      </c>
      <c r="J3967" s="23" t="str">
        <f>HYPERLINK("https://www.spark-marketing.ru/Card/Person/4358268", "ФЛ ФГУП ""ОХРАНА"" РОСГВАРДИИ ПО ЯРОСЛАВСКОЙ ОБЛАСТИ")</f>
        <v>ФЛ ФГУП "ОХРАНА" РОСГВАРДИИ ПО ЯРОСЛАВСКОЙ ОБЛАСТИ</v>
      </c>
      <c r="K3967" s="24" t="s">
        <v>779</v>
      </c>
      <c r="L3967" s="22" t="s">
        <v>10</v>
      </c>
      <c r="M3967" s="28" t="s">
        <v>52</v>
      </c>
      <c r="N3967" s="28" t="s">
        <v>52</v>
      </c>
    </row>
    <row r="3968" spans="1:14" x14ac:dyDescent="0.15">
      <c r="A3968" s="23" t="str">
        <f>HYPERLINK("https://www.spark-marketing.ru/Card/Person/124319", "МЕЖРАЙОННАЯ ИФНС РОССИИ № 7 ПО КРАСНОДАРСКОМУ КРАЮ")</f>
        <v>МЕЖРАЙОННАЯ ИФНС РОССИИ № 7 ПО КРАСНОДАРСКОМУ КРАЮ</v>
      </c>
      <c r="B3968" s="24" t="s">
        <v>5721</v>
      </c>
      <c r="C3968" s="25">
        <v>23298</v>
      </c>
      <c r="D3968" s="22" t="s">
        <v>5722</v>
      </c>
      <c r="E3968" s="22" t="s">
        <v>53</v>
      </c>
      <c r="F3968" s="23" t="str">
        <f>HYPERLINK("https://www.spark-marketing.ru/Card/Lot/72273566", "пультовая охрана и техническое обслуживание объекта")</f>
        <v>пультовая охрана и техническое обслуживание объекта</v>
      </c>
      <c r="G3968" s="22" t="s">
        <v>132</v>
      </c>
      <c r="H3968" s="22" t="s">
        <v>1126</v>
      </c>
      <c r="I3968" s="26">
        <v>43669.488298611097</v>
      </c>
      <c r="J3968" s="28" t="s">
        <v>52</v>
      </c>
      <c r="K3968" s="28" t="s">
        <v>52</v>
      </c>
      <c r="L3968" s="28" t="s">
        <v>52</v>
      </c>
      <c r="M3968" s="28" t="s">
        <v>52</v>
      </c>
      <c r="N3968" s="28" t="s">
        <v>52</v>
      </c>
    </row>
    <row r="3969" spans="1:14" x14ac:dyDescent="0.15">
      <c r="A3969" s="23" t="str">
        <f>HYPERLINK("https://www.spark-marketing.ru/Card/Person/4373158", "МБДОУ ДЕТСКИЙ САД № 27 ""ТОПОЛЁК""")</f>
        <v>МБДОУ ДЕТСКИЙ САД № 27 "ТОПОЛЁК"</v>
      </c>
      <c r="B3969" s="24" t="s">
        <v>5723</v>
      </c>
      <c r="C3969" s="25">
        <v>283000</v>
      </c>
      <c r="D3969" s="22" t="s">
        <v>5724</v>
      </c>
      <c r="E3969" s="22" t="s">
        <v>84</v>
      </c>
      <c r="F3969" s="23" t="str">
        <f>HYPERLINK("https://www.spark-marketing.ru/Card/Lot/72271483", "Оказание услуг по согласованию паспортов и мест размещения камер видеонаблюдения, 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технологическо...")</f>
        <v>Оказание услуг по согласованию паспортов и мест размещения камер видеонаблюдения, 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технологическо...</v>
      </c>
      <c r="G3969" s="22" t="s">
        <v>50</v>
      </c>
      <c r="H3969" s="22" t="s">
        <v>682</v>
      </c>
      <c r="I3969" s="26">
        <v>43669.461493055598</v>
      </c>
      <c r="J3969" s="28" t="s">
        <v>52</v>
      </c>
      <c r="K3969" s="28" t="s">
        <v>52</v>
      </c>
      <c r="L3969" s="28" t="s">
        <v>52</v>
      </c>
      <c r="M3969" s="28" t="s">
        <v>52</v>
      </c>
      <c r="N3969" s="28" t="s">
        <v>52</v>
      </c>
    </row>
    <row r="3970" spans="1:14" x14ac:dyDescent="0.15">
      <c r="A3970" s="23" t="str">
        <f>HYPERLINK("https://www.spark-marketing.ru/Card/Person/1027201", "МКУ ""АДМИНИСТРАТИВНО-ХОЗЯЙСТВЕННАЯ ЧАСТЬ""")</f>
        <v>МКУ "АДМИНИСТРАТИВНО-ХОЗЯЙСТВЕННАЯ ЧАСТЬ"</v>
      </c>
      <c r="B3970" s="24" t="s">
        <v>5725</v>
      </c>
      <c r="C3970" s="25">
        <v>27040</v>
      </c>
      <c r="D3970" s="22" t="s">
        <v>5726</v>
      </c>
      <c r="E3970" s="22" t="s">
        <v>5727</v>
      </c>
      <c r="F3970" s="23" t="str">
        <f>HYPERLINK("https://www.spark-marketing.ru/Card/Lot/72270380", "поставка кабеля для установки систем оповещения и видеонаблюдения")</f>
        <v>поставка кабеля для установки систем оповещения и видеонаблюдения</v>
      </c>
      <c r="G3970" s="22" t="s">
        <v>343</v>
      </c>
      <c r="H3970" s="22" t="s">
        <v>5728</v>
      </c>
      <c r="I3970" s="26">
        <v>43669.428449074097</v>
      </c>
      <c r="J3970" s="23" t="str">
        <f>HYPERLINK("https://www.spark-marketing.ru/Card/Person/6069863", "Яковенко Вадим Сергеевич")</f>
        <v>Яковенко Вадим Сергеевич</v>
      </c>
      <c r="K3970" s="24" t="s">
        <v>5729</v>
      </c>
      <c r="L3970" s="22" t="s">
        <v>10</v>
      </c>
      <c r="M3970" s="28" t="s">
        <v>52</v>
      </c>
      <c r="N3970" s="28" t="s">
        <v>52</v>
      </c>
    </row>
    <row r="3971" spans="1:14" x14ac:dyDescent="0.15">
      <c r="A3971" s="23" t="str">
        <f>HYPERLINK("https://www.spark-marketing.ru/Card/Person/1059112", "ФГКУ ""СПСЧ ФПС ПО БЕЛГОРОДСКОЙ ОБЛАСТИ""")</f>
        <v>ФГКУ "СПСЧ ФПС ПО БЕЛГОРОДСКОЙ ОБЛАСТИ"</v>
      </c>
      <c r="B3971" s="24" t="s">
        <v>5730</v>
      </c>
      <c r="C3971" s="25">
        <v>34915</v>
      </c>
      <c r="D3971" s="22" t="s">
        <v>5731</v>
      </c>
      <c r="E3971" s="22" t="s">
        <v>53</v>
      </c>
      <c r="F3971" s="23" t="str">
        <f>HYPERLINK("https://www.spark-marketing.ru/Card/Lot/72270673", "Изготовление стендов")</f>
        <v>Изготовление стендов</v>
      </c>
      <c r="G3971" s="22" t="s">
        <v>176</v>
      </c>
      <c r="H3971" s="22" t="s">
        <v>318</v>
      </c>
      <c r="I3971" s="26">
        <v>43669.420879629601</v>
      </c>
      <c r="J3971" s="28" t="s">
        <v>52</v>
      </c>
      <c r="K3971" s="28" t="s">
        <v>52</v>
      </c>
      <c r="L3971" s="28" t="s">
        <v>52</v>
      </c>
      <c r="M3971" s="28" t="s">
        <v>52</v>
      </c>
      <c r="N3971" s="28" t="s">
        <v>52</v>
      </c>
    </row>
    <row r="3972" spans="1:14" x14ac:dyDescent="0.15">
      <c r="A3972" s="23" t="str">
        <f>HYPERLINK("https://www.spark-marketing.ru/Card/Person/1085205", "ИВАНОВСКИЙ ЛО МВД РОССИИ НА ТРАНСПОРТЕ")</f>
        <v>ИВАНОВСКИЙ ЛО МВД РОССИИ НА ТРАНСПОРТЕ</v>
      </c>
      <c r="B3972" s="24" t="s">
        <v>1028</v>
      </c>
      <c r="C3972" s="25">
        <v>14900</v>
      </c>
      <c r="D3972" s="22" t="s">
        <v>5732</v>
      </c>
      <c r="E3972" s="22" t="s">
        <v>107</v>
      </c>
      <c r="F3972" s="23" t="str">
        <f>HYPERLINK("https://www.spark-marketing.ru/Card/Lot/72270172", "Техническое обслуживание комплекса технических средств охраны, 1 шт")</f>
        <v>Техническое обслуживание комплекса технических средств охраны, 1 шт</v>
      </c>
      <c r="G3972" s="22" t="s">
        <v>340</v>
      </c>
      <c r="H3972" s="22" t="s">
        <v>1030</v>
      </c>
      <c r="I3972" s="26">
        <v>43669.447708333297</v>
      </c>
      <c r="J3972" s="28" t="s">
        <v>52</v>
      </c>
      <c r="K3972" s="28" t="s">
        <v>52</v>
      </c>
      <c r="L3972" s="28" t="s">
        <v>52</v>
      </c>
      <c r="M3972" s="28" t="s">
        <v>52</v>
      </c>
      <c r="N3972" s="28" t="s">
        <v>52</v>
      </c>
    </row>
    <row r="3973" spans="1:14" ht="12.75" x14ac:dyDescent="0.2">
      <c r="A3973" s="23" t="str">
        <f>HYPERLINK("https://www.spark-marketing.ru/Card/Person/19478", "МИНЮСТ РД")</f>
        <v>МИНЮСТ РД</v>
      </c>
      <c r="B3973" s="24" t="s">
        <v>5733</v>
      </c>
      <c r="C3973" s="25">
        <v>290000</v>
      </c>
      <c r="D3973" s="22" t="s">
        <v>5734</v>
      </c>
      <c r="E3973" s="22" t="s">
        <v>68</v>
      </c>
      <c r="F3973" s="23" t="str">
        <f>HYPERLINK("https://www.spark-marketing.ru/Card/Lot/72283398", "Оказание услуг по обеспечению общественной безопасности, безопасности и сохранности имущества (охрана объекта) Министерства юстиции Республики Дагестан")</f>
        <v>Оказание услуг по обеспечению общественной безопасности, безопасности и сохранности имущества (охрана объекта) Министерства юстиции Республики Дагестан</v>
      </c>
      <c r="G3973" s="22" t="s">
        <v>595</v>
      </c>
      <c r="H3973" s="22" t="s">
        <v>595</v>
      </c>
      <c r="I3973" s="26">
        <v>43669.430972222202</v>
      </c>
      <c r="J3973" s="23" t="str">
        <f>HYPERLINK("https://www.spark-marketing.ru/Card/Person/4880107", "ООО ЧОО ""АЛЬФА-М""")</f>
        <v>ООО ЧОО "АЛЬФА-М"</v>
      </c>
      <c r="K3973" s="24" t="s">
        <v>5735</v>
      </c>
      <c r="L3973" s="22" t="s">
        <v>10</v>
      </c>
      <c r="M3973" s="25">
        <v>289000</v>
      </c>
      <c r="N3973" s="27">
        <v>3.4482758620689655E-3</v>
      </c>
    </row>
    <row r="3974" spans="1:14" x14ac:dyDescent="0.15">
      <c r="A3974" s="23" t="str">
        <f>HYPERLINK("https://www.spark-marketing.ru/Card/Person/4344001", "АДМИНИСТРАЦИЯ ПОСЕЛЕНИЯ ""МОСРЕНТГЕН""")</f>
        <v>АДМИНИСТРАЦИЯ ПОСЕЛЕНИЯ "МОСРЕНТГЕН"</v>
      </c>
      <c r="B3974" s="24" t="s">
        <v>5736</v>
      </c>
      <c r="C3974" s="25">
        <v>1770000</v>
      </c>
      <c r="D3974" s="22" t="s">
        <v>5737</v>
      </c>
      <c r="E3974" s="22" t="s">
        <v>103</v>
      </c>
      <c r="F3974" s="23" t="str">
        <f>HYPERLINK("https://www.spark-marketing.ru/Card/Lot/72274204", "Выполнение работ по установке и монтажу систем видеонаблюдения на территории поселения ""Мосрентген"", с подключением к ЕЦХД г. Москвы (среди СМП)")</f>
        <v>Выполнение работ по установке и монтажу систем видеонаблюдения на территории поселения "Мосрентген", с подключением к ЕЦХД г. Москвы (среди СМП)</v>
      </c>
      <c r="G3974" s="22" t="s">
        <v>55</v>
      </c>
      <c r="H3974" s="22" t="s">
        <v>55</v>
      </c>
      <c r="I3974" s="26">
        <v>43669.411030092597</v>
      </c>
      <c r="J3974" s="28" t="s">
        <v>52</v>
      </c>
      <c r="K3974" s="28" t="s">
        <v>52</v>
      </c>
      <c r="L3974" s="28" t="s">
        <v>52</v>
      </c>
      <c r="M3974" s="28" t="s">
        <v>52</v>
      </c>
      <c r="N3974" s="28" t="s">
        <v>52</v>
      </c>
    </row>
    <row r="3975" spans="1:14" ht="12.75" hidden="1" outlineLevel="1" x14ac:dyDescent="0.2">
      <c r="A3975" s="23" t="str">
        <f>HYPERLINK("https://www.spark-marketing.ru/Card/Person/4344001", "АДМИНИСТРАЦИЯ ПОСЕЛЕНИЯ ""МОСРЕНТГЕН""")</f>
        <v>АДМИНИСТРАЦИЯ ПОСЕЛЕНИЯ "МОСРЕНТГЕН"</v>
      </c>
      <c r="B3975" s="24" t="s">
        <v>5736</v>
      </c>
      <c r="C3975" s="25">
        <v>1770000</v>
      </c>
      <c r="D3975" s="22" t="s">
        <v>5737</v>
      </c>
      <c r="E3975" s="22" t="s">
        <v>103</v>
      </c>
      <c r="F3975" s="23" t="str">
        <f>HYPERLINK("https://www.spark-marketing.ru/Card/Lot/72274204", "Выполнение работ по установке и монтажу систем видеонаблюдения на территории поселения ""Мосрентген"", с подключением к ЕЦХД г. Москвы (среди СМП)")</f>
        <v>Выполнение работ по установке и монтажу систем видеонаблюдения на территории поселения "Мосрентген", с подключением к ЕЦХД г. Москвы (среди СМП)</v>
      </c>
      <c r="G3975" s="22" t="s">
        <v>55</v>
      </c>
      <c r="H3975" s="22" t="s">
        <v>55</v>
      </c>
      <c r="I3975" s="26">
        <v>43669.411030092597</v>
      </c>
      <c r="J3975" s="23" t="str">
        <f>HYPERLINK("https://www.spark-marketing.ru/Card/Person/5791294", "ООО ""К-ОПТИК""")</f>
        <v>ООО "К-ОПТИК"</v>
      </c>
      <c r="K3975" s="24" t="s">
        <v>5738</v>
      </c>
      <c r="L3975" s="22" t="s">
        <v>10</v>
      </c>
      <c r="M3975" s="25">
        <v>1734600</v>
      </c>
      <c r="N3975" s="27">
        <v>0.02</v>
      </c>
    </row>
    <row r="3976" spans="1:14" hidden="1" outlineLevel="1" x14ac:dyDescent="0.2">
      <c r="A3976" s="23" t="str">
        <f>HYPERLINK("https://www.spark-marketing.ru/Card/Person/4344001", "АДМИНИСТРАЦИЯ ПОСЕЛЕНИЯ ""МОСРЕНТГЕН""")</f>
        <v>АДМИНИСТРАЦИЯ ПОСЕЛЕНИЯ "МОСРЕНТГЕН"</v>
      </c>
      <c r="B3976" s="24" t="s">
        <v>5736</v>
      </c>
      <c r="C3976" s="25">
        <v>1770000</v>
      </c>
      <c r="D3976" s="22" t="s">
        <v>5737</v>
      </c>
      <c r="E3976" s="22" t="s">
        <v>103</v>
      </c>
      <c r="F3976" s="23" t="str">
        <f>HYPERLINK("https://www.spark-marketing.ru/Card/Lot/72274204", "Выполнение работ по установке и монтажу систем видеонаблюдения на территории поселения ""Мосрентген"", с подключением к ЕЦХД г. Москвы (среди СМП)")</f>
        <v>Выполнение работ по установке и монтажу систем видеонаблюдения на территории поселения "Мосрентген", с подключением к ЕЦХД г. Москвы (среди СМП)</v>
      </c>
      <c r="G3976" s="22" t="s">
        <v>55</v>
      </c>
      <c r="H3976" s="22" t="s">
        <v>55</v>
      </c>
      <c r="I3976" s="26">
        <v>43669.411030092597</v>
      </c>
      <c r="J3976" s="23" t="str">
        <f>HYPERLINK("https://www.spark-marketing.ru/Card/Person/6677707", "Кочеткова Наталья Олеговна")</f>
        <v>Кочеткова Наталья Олеговна</v>
      </c>
      <c r="K3976" s="24" t="s">
        <v>5739</v>
      </c>
      <c r="L3976" s="28" t="s">
        <v>52</v>
      </c>
      <c r="M3976" s="25">
        <v>1761150</v>
      </c>
      <c r="N3976" s="27">
        <v>5.0000000000000001E-3</v>
      </c>
    </row>
    <row r="3977" spans="1:14" hidden="1" outlineLevel="1" x14ac:dyDescent="0.2">
      <c r="A3977" s="23" t="str">
        <f>HYPERLINK("https://www.spark-marketing.ru/Card/Person/4344001", "АДМИНИСТРАЦИЯ ПОСЕЛЕНИЯ ""МОСРЕНТГЕН""")</f>
        <v>АДМИНИСТРАЦИЯ ПОСЕЛЕНИЯ "МОСРЕНТГЕН"</v>
      </c>
      <c r="B3977" s="24" t="s">
        <v>5736</v>
      </c>
      <c r="C3977" s="25">
        <v>1770000</v>
      </c>
      <c r="D3977" s="22" t="s">
        <v>5737</v>
      </c>
      <c r="E3977" s="22" t="s">
        <v>103</v>
      </c>
      <c r="F3977" s="23" t="str">
        <f>HYPERLINK("https://www.spark-marketing.ru/Card/Lot/72274204", "Выполнение работ по установке и монтажу систем видеонаблюдения на территории поселения ""Мосрентген"", с подключением к ЕЦХД г. Москвы (среди СМП)")</f>
        <v>Выполнение работ по установке и монтажу систем видеонаблюдения на территории поселения "Мосрентген", с подключением к ЕЦХД г. Москвы (среди СМП)</v>
      </c>
      <c r="G3977" s="22" t="s">
        <v>55</v>
      </c>
      <c r="H3977" s="22" t="s">
        <v>55</v>
      </c>
      <c r="I3977" s="26">
        <v>43669.411030092597</v>
      </c>
      <c r="J3977" s="23" t="str">
        <f>HYPERLINK("https://www.spark-marketing.ru/Card/Person/5859193", "ООО ""ПЕРСПЕКТИВА""")</f>
        <v>ООО "ПЕРСПЕКТИВА"</v>
      </c>
      <c r="K3977" s="24" t="s">
        <v>5740</v>
      </c>
      <c r="L3977" s="28" t="s">
        <v>52</v>
      </c>
      <c r="M3977" s="25">
        <v>1743450</v>
      </c>
      <c r="N3977" s="27">
        <v>1.4999999999999999E-2</v>
      </c>
    </row>
    <row r="3978" spans="1:14" x14ac:dyDescent="0.15">
      <c r="A3978" s="23" t="str">
        <f>HYPERLINK("https://www.spark-marketing.ru/Card/Person/87882", "МБОУ ""НОГИНСКАЯ СПЕЦИАЛЬНАЯ (КОРРЕКЦИОННАЯ) ШКОЛА-ИНТЕРНАТ ДЛЯ ОБУЧАЮЩИХСЯ С ОГРАНИЧЕННЫМИ ВОЗМОЖНОСТЯМИ ЗДОРОВЬЯ""")</f>
        <v>МБОУ "НОГИНСКАЯ СПЕЦИАЛЬНАЯ (КОРРЕКЦИОННАЯ) ШКОЛА-ИНТЕРНАТ ДЛЯ ОБУЧАЮЩИХСЯ С ОГРАНИЧЕННЫМИ ВОЗМОЖНОСТЯМИ ЗДОРОВЬЯ"</v>
      </c>
      <c r="B3978" s="24" t="s">
        <v>5741</v>
      </c>
      <c r="C3978" s="25">
        <v>359682.02</v>
      </c>
      <c r="D3978" s="22" t="s">
        <v>5742</v>
      </c>
      <c r="E3978" s="22" t="s">
        <v>5743</v>
      </c>
      <c r="F3978" s="23" t="str">
        <f>HYPERLINK("https://www.spark-marketing.ru/Card/Lot/72288797", "Комплект оборудования для дополнительного образования обучающихся с ограниченными возможностями здоровья (фото/видео студия) в рамках федерального проекта ""Современная школа"" национального проекта ""Образование""")</f>
        <v>Комплект оборудования для дополнительного образования обучающихся с ограниченными возможностями здоровья (фото/видео студия) в рамках федерального проекта "Современная школа" национального проекта "Образование"</v>
      </c>
      <c r="G3978" s="22" t="s">
        <v>50</v>
      </c>
      <c r="H3978" s="22" t="s">
        <v>5744</v>
      </c>
      <c r="I3978" s="26">
        <v>43669.4077777778</v>
      </c>
      <c r="J3978" s="28" t="s">
        <v>52</v>
      </c>
      <c r="K3978" s="28" t="s">
        <v>52</v>
      </c>
      <c r="L3978" s="28" t="s">
        <v>52</v>
      </c>
      <c r="M3978" s="28" t="s">
        <v>52</v>
      </c>
      <c r="N3978" s="28" t="s">
        <v>52</v>
      </c>
    </row>
    <row r="3979" spans="1:14" ht="12.75" hidden="1" outlineLevel="1" x14ac:dyDescent="0.2">
      <c r="A3979" s="23" t="str">
        <f>HYPERLINK("https://www.spark-marketing.ru/Card/Person/87882", "МБОУ ""НОГИНСКАЯ СПЕЦИАЛЬНАЯ (КОРРЕКЦИОННАЯ) ШКОЛА-ИНТЕРНАТ ДЛЯ ОБУЧАЮЩИХСЯ С ОГРАНИЧЕННЫМИ ВОЗМОЖНОСТЯМИ ЗДОРОВЬЯ""")</f>
        <v>МБОУ "НОГИНСКАЯ СПЕЦИАЛЬНАЯ (КОРРЕКЦИОННАЯ) ШКОЛА-ИНТЕРНАТ ДЛЯ ОБУЧАЮЩИХСЯ С ОГРАНИЧЕННЫМИ ВОЗМОЖНОСТЯМИ ЗДОРОВЬЯ"</v>
      </c>
      <c r="B3979" s="24" t="s">
        <v>5741</v>
      </c>
      <c r="C3979" s="25">
        <v>359682.02</v>
      </c>
      <c r="D3979" s="22" t="s">
        <v>5742</v>
      </c>
      <c r="E3979" s="22" t="s">
        <v>5743</v>
      </c>
      <c r="F3979" s="23" t="str">
        <f>HYPERLINK("https://www.spark-marketing.ru/Card/Lot/72288797", "Комплект оборудования для дополнительного образования обучающихся с ограниченными возможностями здоровья (фото/видео студия) в рамках федерального проекта ""Современная школа"" национального проекта ""Образование""")</f>
        <v>Комплект оборудования для дополнительного образования обучающихся с ограниченными возможностями здоровья (фото/видео студия) в рамках федерального проекта "Современная школа" национального проекта "Образование"</v>
      </c>
      <c r="G3979" s="22" t="s">
        <v>50</v>
      </c>
      <c r="H3979" s="22" t="s">
        <v>5744</v>
      </c>
      <c r="I3979" s="26">
        <v>43669.4077777778</v>
      </c>
      <c r="J3979" s="23" t="str">
        <f>HYPERLINK("https://www.spark-marketing.ru/Card/Person/4736434", "Тилк Наталья Игоревна")</f>
        <v>Тилк Наталья Игоревна</v>
      </c>
      <c r="K3979" s="24" t="s">
        <v>5745</v>
      </c>
      <c r="L3979" s="22" t="s">
        <v>10</v>
      </c>
      <c r="M3979" s="25">
        <v>178042.13</v>
      </c>
      <c r="N3979" s="27">
        <v>0.50500130643171992</v>
      </c>
    </row>
    <row r="3980" spans="1:14" hidden="1" outlineLevel="1" x14ac:dyDescent="0.2">
      <c r="A3980" s="23" t="str">
        <f>HYPERLINK("https://www.spark-marketing.ru/Card/Person/87882", "МБОУ ""НОГИНСКАЯ СПЕЦИАЛЬНАЯ (КОРРЕКЦИОННАЯ) ШКОЛА-ИНТЕРНАТ ДЛЯ ОБУЧАЮЩИХСЯ С ОГРАНИЧЕННЫМИ ВОЗМОЖНОСТЯМИ ЗДОРОВЬЯ""")</f>
        <v>МБОУ "НОГИНСКАЯ СПЕЦИАЛЬНАЯ (КОРРЕКЦИОННАЯ) ШКОЛА-ИНТЕРНАТ ДЛЯ ОБУЧАЮЩИХСЯ С ОГРАНИЧЕННЫМИ ВОЗМОЖНОСТЯМИ ЗДОРОВЬЯ"</v>
      </c>
      <c r="B3980" s="24" t="s">
        <v>5741</v>
      </c>
      <c r="C3980" s="25">
        <v>359682.02</v>
      </c>
      <c r="D3980" s="22" t="s">
        <v>5742</v>
      </c>
      <c r="E3980" s="22" t="s">
        <v>5743</v>
      </c>
      <c r="F3980" s="23" t="str">
        <f>HYPERLINK("https://www.spark-marketing.ru/Card/Lot/72288797", "Комплект оборудования для дополнительного образования обучающихся с ограниченными возможностями здоровья (фото/видео студия) в рамках федерального проекта ""Современная школа"" национального проекта ""Образование""")</f>
        <v>Комплект оборудования для дополнительного образования обучающихся с ограниченными возможностями здоровья (фото/видео студия) в рамках федерального проекта "Современная школа" национального проекта "Образование"</v>
      </c>
      <c r="G3980" s="22" t="s">
        <v>50</v>
      </c>
      <c r="H3980" s="22" t="s">
        <v>5744</v>
      </c>
      <c r="I3980" s="26">
        <v>43669.4077777778</v>
      </c>
      <c r="J3980" s="23" t="str">
        <f>HYPERLINK("https://www.spark-marketing.ru/Card/Person/4763570", "Мирзакбаров Андрей Андреевич")</f>
        <v>Мирзакбаров Андрей Андреевич</v>
      </c>
      <c r="K3980" s="24" t="s">
        <v>5746</v>
      </c>
      <c r="L3980" s="28" t="s">
        <v>52</v>
      </c>
      <c r="M3980" s="25">
        <v>179840.54</v>
      </c>
      <c r="N3980" s="27">
        <v>0.50000130670974319</v>
      </c>
    </row>
    <row r="3981" spans="1:14" x14ac:dyDescent="0.15">
      <c r="A3981" s="23" t="str">
        <f>HYPERLINK("https://www.spark-marketing.ru/Card/Person/579762", "ГАУ ТО ""ОЦПР""")</f>
        <v>ГАУ ТО "ОЦПР"</v>
      </c>
      <c r="B3981" s="24" t="s">
        <v>5747</v>
      </c>
      <c r="C3981" s="28" t="s">
        <v>52</v>
      </c>
      <c r="D3981" s="22" t="s">
        <v>5748</v>
      </c>
      <c r="E3981" s="22" t="s">
        <v>363</v>
      </c>
      <c r="F3981" s="23" t="str">
        <f>HYPERLINK("https://www.spark-marketing.ru/Card/Lot/72267851", "Оказание охранных услуг")</f>
        <v>Оказание охранных услуг</v>
      </c>
      <c r="G3981" s="22" t="s">
        <v>893</v>
      </c>
      <c r="H3981" s="22" t="s">
        <v>5749</v>
      </c>
      <c r="I3981" s="26">
        <v>43669.370833333298</v>
      </c>
      <c r="J3981" s="28" t="s">
        <v>52</v>
      </c>
      <c r="K3981" s="28" t="s">
        <v>52</v>
      </c>
      <c r="L3981" s="28" t="s">
        <v>52</v>
      </c>
      <c r="M3981" s="28" t="s">
        <v>52</v>
      </c>
      <c r="N3981" s="28" t="s">
        <v>52</v>
      </c>
    </row>
    <row r="3982" spans="1:14" x14ac:dyDescent="0.15">
      <c r="A3982" s="23" t="str">
        <f>HYPERLINK("https://www.spark-marketing.ru/Card/Person/86949", "ПРОКУРАТУРА ЧУКОТСКОГО АВТОНОМНОГО ОКРУГА")</f>
        <v>ПРОКУРАТУРА ЧУКОТСКОГО АВТОНОМНОГО ОКРУГА</v>
      </c>
      <c r="B3982" s="24" t="s">
        <v>5750</v>
      </c>
      <c r="C3982" s="25">
        <v>306542.15999999997</v>
      </c>
      <c r="D3982" s="22" t="s">
        <v>5751</v>
      </c>
      <c r="E3982" s="22" t="s">
        <v>68</v>
      </c>
      <c r="F3982" s="23" t="str">
        <f>HYPERLINK("https://www.spark-marketing.ru/Card/Lot/72260318", "услуги по охране объектов 47 Эгвекинот")</f>
        <v>услуги по охране объектов 47 Эгвекинот</v>
      </c>
      <c r="G3982" s="22" t="s">
        <v>1544</v>
      </c>
      <c r="H3982" s="22" t="s">
        <v>1544</v>
      </c>
      <c r="I3982" s="26">
        <v>43669.370162036997</v>
      </c>
      <c r="J3982" s="28" t="s">
        <v>52</v>
      </c>
      <c r="K3982" s="28" t="s">
        <v>52</v>
      </c>
      <c r="L3982" s="28" t="s">
        <v>52</v>
      </c>
      <c r="M3982" s="28" t="s">
        <v>52</v>
      </c>
      <c r="N3982" s="28" t="s">
        <v>52</v>
      </c>
    </row>
    <row r="3983" spans="1:14" x14ac:dyDescent="0.15">
      <c r="A3983" s="23" t="str">
        <f>HYPERLINK("https://www.spark-marketing.ru/Card/Person/1744231", "МУП ""УЭ""")</f>
        <v>МУП "УЭ"</v>
      </c>
      <c r="B3983" s="24" t="s">
        <v>5752</v>
      </c>
      <c r="C3983" s="25">
        <v>120309</v>
      </c>
      <c r="D3983" s="22" t="s">
        <v>5753</v>
      </c>
      <c r="E3983" s="22" t="s">
        <v>137</v>
      </c>
      <c r="F3983" s="23" t="str">
        <f>HYPERLINK("https://www.spark-marketing.ru/Card/Lot/72292118", "Оказание услуг по техническому обслуживанию системы видеонаблюдения")</f>
        <v>Оказание услуг по техническому обслуживанию системы видеонаблюдения</v>
      </c>
      <c r="G3983" s="22" t="s">
        <v>50</v>
      </c>
      <c r="H3983" s="22" t="s">
        <v>50</v>
      </c>
      <c r="I3983" s="26">
        <v>43669.338298611103</v>
      </c>
      <c r="J3983" s="28" t="s">
        <v>52</v>
      </c>
      <c r="K3983" s="28" t="s">
        <v>52</v>
      </c>
      <c r="L3983" s="28" t="s">
        <v>52</v>
      </c>
      <c r="M3983" s="28" t="s">
        <v>52</v>
      </c>
      <c r="N3983" s="28" t="s">
        <v>52</v>
      </c>
    </row>
    <row r="3984" spans="1:14" x14ac:dyDescent="0.15">
      <c r="A3984" s="23" t="str">
        <f>HYPERLINK("https://www.spark-marketing.ru/Card/Person/144961", "МОУ КОЛОМЕНСКАЯ СОШ")</f>
        <v>МОУ КОЛОМЕНСКАЯ СОШ</v>
      </c>
      <c r="B3984" s="24" t="s">
        <v>5754</v>
      </c>
      <c r="C3984" s="25">
        <v>300000</v>
      </c>
      <c r="D3984" s="22" t="s">
        <v>5755</v>
      </c>
      <c r="E3984" s="22" t="s">
        <v>84</v>
      </c>
      <c r="F3984" s="23" t="str">
        <f>HYPERLINK("https://www.spark-marketing.ru/Card/Lot/72268013", "Услуги по согласованию паспортов и мест размещения камер видеонаблюдения, 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технологического обесп...")</f>
        <v>Услуги по согласованию паспортов и мест размещения камер видеонаблюдения, 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технологического обесп...</v>
      </c>
      <c r="G3984" s="22" t="s">
        <v>50</v>
      </c>
      <c r="H3984" s="22" t="s">
        <v>682</v>
      </c>
      <c r="I3984" s="26">
        <v>43669.357025463003</v>
      </c>
      <c r="J3984" s="28" t="s">
        <v>52</v>
      </c>
      <c r="K3984" s="28" t="s">
        <v>52</v>
      </c>
      <c r="L3984" s="28" t="s">
        <v>52</v>
      </c>
      <c r="M3984" s="28" t="s">
        <v>52</v>
      </c>
      <c r="N3984" s="28" t="s">
        <v>52</v>
      </c>
    </row>
    <row r="3985" spans="1:14" x14ac:dyDescent="0.15">
      <c r="A3985" s="23" t="str">
        <f>HYPERLINK("https://www.spark-marketing.ru/Card/Person/1077427", "МБОУ СОШ №187")</f>
        <v>МБОУ СОШ №187</v>
      </c>
      <c r="B3985" s="24" t="s">
        <v>5756</v>
      </c>
      <c r="C3985" s="25">
        <v>123480</v>
      </c>
      <c r="D3985" s="22" t="s">
        <v>5757</v>
      </c>
      <c r="E3985" s="22" t="s">
        <v>68</v>
      </c>
      <c r="F3985" s="23" t="str">
        <f>HYPERLINK("https://www.spark-marketing.ru/Card/Lot/72265491", "Услуги физической охраны объекта")</f>
        <v>Услуги физической охраны объекта</v>
      </c>
      <c r="G3985" s="22" t="s">
        <v>209</v>
      </c>
      <c r="H3985" s="22" t="s">
        <v>210</v>
      </c>
      <c r="I3985" s="26">
        <v>43669.216666666704</v>
      </c>
      <c r="J3985" s="28" t="s">
        <v>52</v>
      </c>
      <c r="K3985" s="28" t="s">
        <v>52</v>
      </c>
      <c r="L3985" s="28" t="s">
        <v>52</v>
      </c>
      <c r="M3985" s="28" t="s">
        <v>52</v>
      </c>
      <c r="N3985" s="28" t="s">
        <v>52</v>
      </c>
    </row>
    <row r="3986" spans="1:14" x14ac:dyDescent="0.15">
      <c r="A3986" s="23" t="str">
        <f>HYPERLINK("https://www.spark-marketing.ru/Card/Person/14186", "ФКУ ""ЦХИСО МВД ПО РЕСПУБЛИКЕ БУРЯТИЯ""")</f>
        <v>ФКУ "ЦХИСО МВД ПО РЕСПУБЛИКЕ БУРЯТИЯ"</v>
      </c>
      <c r="B3986" s="24" t="s">
        <v>5758</v>
      </c>
      <c r="C3986" s="25">
        <v>74400</v>
      </c>
      <c r="D3986" s="22" t="s">
        <v>5759</v>
      </c>
      <c r="E3986" s="22" t="s">
        <v>53</v>
      </c>
      <c r="F3986" s="23" t="str">
        <f>HYPERLINK("https://www.spark-marketing.ru/Card/Lot/72263996", "Оказание услуг по охране объекта МВД по Республике Бурятия")</f>
        <v>Оказание услуг по охране объекта МВД по Республике Бурятия</v>
      </c>
      <c r="G3986" s="22" t="s">
        <v>354</v>
      </c>
      <c r="H3986" s="22" t="s">
        <v>355</v>
      </c>
      <c r="I3986" s="26">
        <v>43669.167523148099</v>
      </c>
      <c r="J3986" s="28" t="s">
        <v>52</v>
      </c>
      <c r="K3986" s="28" t="s">
        <v>52</v>
      </c>
      <c r="L3986" s="28" t="s">
        <v>52</v>
      </c>
      <c r="M3986" s="28" t="s">
        <v>52</v>
      </c>
      <c r="N3986" s="28" t="s">
        <v>52</v>
      </c>
    </row>
    <row r="3987" spans="1:14" x14ac:dyDescent="0.15">
      <c r="A3987" s="23" t="str">
        <f>HYPERLINK("https://www.spark-marketing.ru/Card/Person/58897", "МБУ ""ИНФРАСТРУКТУРНЫЙ ЦЕНТР - СЛУЖБА ЗАКАЗЧИКА""")</f>
        <v>МБУ "ИНФРАСТРУКТУРНЫЙ ЦЕНТР - СЛУЖБА ЗАКАЗЧИКА"</v>
      </c>
      <c r="B3987" s="24" t="s">
        <v>5760</v>
      </c>
      <c r="C3987" s="25">
        <v>529800</v>
      </c>
      <c r="D3987" s="22" t="s">
        <v>5761</v>
      </c>
      <c r="E3987" s="22" t="s">
        <v>5762</v>
      </c>
      <c r="F3987" s="23" t="str">
        <f>HYPERLINK("https://www.spark-marketing.ru/Card/Lot/72266618", "Приобретение камер видеонаблюдения и проведение монтажных работ по их установке (в том числе приобретение комплектующих компонентов, кабельной продукции)")</f>
        <v>Приобретение камер видеонаблюдения и проведение монтажных работ по их установке (в том числе приобретение комплектующих компонентов, кабельной продукции)</v>
      </c>
      <c r="G3987" s="22" t="s">
        <v>354</v>
      </c>
      <c r="H3987" s="22" t="s">
        <v>5763</v>
      </c>
      <c r="I3987" s="26">
        <v>43668.967662037001</v>
      </c>
      <c r="J3987" s="23" t="str">
        <f>HYPERLINK("https://www.spark-marketing.ru/Card/Person/6618380", "ООО ""ПРОЛАН""")</f>
        <v>ООО "ПРОЛАН"</v>
      </c>
      <c r="K3987" s="24" t="s">
        <v>5764</v>
      </c>
      <c r="L3987" s="28" t="s">
        <v>52</v>
      </c>
      <c r="M3987" s="28" t="s">
        <v>52</v>
      </c>
      <c r="N3987" s="28" t="s">
        <v>52</v>
      </c>
    </row>
    <row r="3988" spans="1:14" ht="12.75" hidden="1" outlineLevel="1" x14ac:dyDescent="0.2">
      <c r="A3988" s="23" t="str">
        <f>HYPERLINK("https://www.spark-marketing.ru/Card/Person/58897", "МБУ ""ИНФРАСТРУКТУРНЫЙ ЦЕНТР - СЛУЖБА ЗАКАЗЧИКА""")</f>
        <v>МБУ "ИНФРАСТРУКТУРНЫЙ ЦЕНТР - СЛУЖБА ЗАКАЗЧИКА"</v>
      </c>
      <c r="B3988" s="24" t="s">
        <v>5760</v>
      </c>
      <c r="C3988" s="25">
        <v>529800</v>
      </c>
      <c r="D3988" s="22" t="s">
        <v>5761</v>
      </c>
      <c r="E3988" s="22" t="s">
        <v>5762</v>
      </c>
      <c r="F3988" s="23" t="str">
        <f>HYPERLINK("https://www.spark-marketing.ru/Card/Lot/72266618", "Приобретение камер видеонаблюдения и проведение монтажных работ по их установке (в том числе приобретение комплектующих компонентов, кабельной продукции)")</f>
        <v>Приобретение камер видеонаблюдения и проведение монтажных работ по их установке (в том числе приобретение комплектующих компонентов, кабельной продукции)</v>
      </c>
      <c r="G3988" s="22" t="s">
        <v>354</v>
      </c>
      <c r="H3988" s="22" t="s">
        <v>5763</v>
      </c>
      <c r="I3988" s="26">
        <v>43668.967662037001</v>
      </c>
      <c r="J3988" s="23" t="str">
        <f>HYPERLINK("https://www.spark-marketing.ru/Card/Person/6618380", "ООО ""ПРОЛАН""")</f>
        <v>ООО "ПРОЛАН"</v>
      </c>
      <c r="K3988" s="24" t="s">
        <v>5764</v>
      </c>
      <c r="L3988" s="22" t="s">
        <v>10</v>
      </c>
      <c r="M3988" s="25">
        <v>527151</v>
      </c>
      <c r="N3988" s="27">
        <v>5.0000000000000001E-3</v>
      </c>
    </row>
    <row r="3989" spans="1:14" x14ac:dyDescent="0.15">
      <c r="A3989" s="23" t="str">
        <f>HYPERLINK("https://www.spark-marketing.ru/Card/Person/173164", "ОТДЕЛ МВД РОССИИ ПО КАВКАЗСКОМУ РАЙОНУ")</f>
        <v>ОТДЕЛ МВД РОССИИ ПО КАВКАЗСКОМУ РАЙОНУ</v>
      </c>
      <c r="B3989" s="24" t="s">
        <v>4627</v>
      </c>
      <c r="C3989" s="25">
        <v>87837.24</v>
      </c>
      <c r="D3989" s="22" t="s">
        <v>5765</v>
      </c>
      <c r="E3989" s="22" t="s">
        <v>53</v>
      </c>
      <c r="F3989" s="23" t="str">
        <f>HYPERLINK("https://www.spark-marketing.ru/Card/Lot/72259655", "Услуги по техобслуживанию средств охраны")</f>
        <v>Услуги по техобслуживанию средств охраны</v>
      </c>
      <c r="G3989" s="22" t="s">
        <v>132</v>
      </c>
      <c r="H3989" s="22" t="s">
        <v>4629</v>
      </c>
      <c r="I3989" s="26">
        <v>43668.965150463002</v>
      </c>
      <c r="J3989" s="28" t="s">
        <v>52</v>
      </c>
      <c r="K3989" s="28" t="s">
        <v>52</v>
      </c>
      <c r="L3989" s="28" t="s">
        <v>52</v>
      </c>
      <c r="M3989" s="28" t="s">
        <v>52</v>
      </c>
      <c r="N3989" s="28" t="s">
        <v>52</v>
      </c>
    </row>
    <row r="3990" spans="1:14" x14ac:dyDescent="0.15">
      <c r="A3990" s="23" t="str">
        <f>HYPERLINK("https://www.spark-marketing.ru/Card/Person/139336", "МУЗЕЙ-ЗАПОВЕДНИК А.П. ЧЕХОВА ""МЕЛИХОВО""")</f>
        <v>МУЗЕЙ-ЗАПОВЕДНИК А.П. ЧЕХОВА "МЕЛИХОВО"</v>
      </c>
      <c r="B3990" s="24" t="s">
        <v>5766</v>
      </c>
      <c r="C3990" s="25">
        <v>900000</v>
      </c>
      <c r="D3990" s="22" t="s">
        <v>5767</v>
      </c>
      <c r="E3990" s="22" t="s">
        <v>49</v>
      </c>
      <c r="F3990" s="23" t="str">
        <f>HYPERLINK("https://www.spark-marketing.ru/Card/Lot/72260831", "Выполнение монтажных работ по оснащению элементами технической охраны объектов Музея-заповедника А.П. Чехова ""Мелихово""")</f>
        <v>Выполнение монтажных работ по оснащению элементами технической охраны объектов Музея-заповедника А.П. Чехова "Мелихово"</v>
      </c>
      <c r="G3990" s="22" t="s">
        <v>50</v>
      </c>
      <c r="H3990" s="22" t="s">
        <v>50</v>
      </c>
      <c r="I3990" s="26">
        <v>43668.790775463</v>
      </c>
      <c r="J3990" s="28" t="s">
        <v>52</v>
      </c>
      <c r="K3990" s="28" t="s">
        <v>52</v>
      </c>
      <c r="L3990" s="28" t="s">
        <v>52</v>
      </c>
      <c r="M3990" s="28" t="s">
        <v>52</v>
      </c>
      <c r="N3990" s="28" t="s">
        <v>52</v>
      </c>
    </row>
    <row r="3991" spans="1:14" x14ac:dyDescent="0.15">
      <c r="A3991" s="23" t="str">
        <f>HYPERLINK("https://www.spark-marketing.ru/Card/Person/1033402", "ГБУ ""КАББАЛКЛЕСХОЗ И ЛЕСНАЯ ОХРАНА""")</f>
        <v>ГБУ "КАББАЛКЛЕСХОЗ И ЛЕСНАЯ ОХРАНА"</v>
      </c>
      <c r="B3991" s="24" t="s">
        <v>2456</v>
      </c>
      <c r="C3991" s="25">
        <v>3910000</v>
      </c>
      <c r="D3991" s="22" t="s">
        <v>5768</v>
      </c>
      <c r="E3991" s="22" t="s">
        <v>2458</v>
      </c>
      <c r="F3991" s="23" t="str">
        <f>HYPERLINK("https://www.spark-marketing.ru/Card/Lot/72273298", "Приобретение специализированной лесопожарной техники для нужд ГБУ ""Каббалклесхоз и лесная охрана"" в 2019 году")</f>
        <v>Приобретение специализированной лесопожарной техники для нужд ГБУ "Каббалклесхоз и лесная охрана" в 2019 году</v>
      </c>
      <c r="G3991" s="22" t="s">
        <v>110</v>
      </c>
      <c r="H3991" s="22" t="s">
        <v>111</v>
      </c>
      <c r="I3991" s="26">
        <v>43668.773587962998</v>
      </c>
      <c r="J3991" s="23" t="str">
        <f>HYPERLINK("https://www.spark-marketing.ru/Card/Person/6577444", "Теппеева София Ильясовна")</f>
        <v>Теппеева София Ильясовна</v>
      </c>
      <c r="K3991" s="24" t="s">
        <v>5769</v>
      </c>
      <c r="L3991" s="22" t="s">
        <v>10</v>
      </c>
      <c r="M3991" s="28" t="s">
        <v>52</v>
      </c>
      <c r="N3991" s="28" t="s">
        <v>52</v>
      </c>
    </row>
    <row r="3992" spans="1:14" x14ac:dyDescent="0.15">
      <c r="A3992" s="23" t="str">
        <f>HYPERLINK("https://www.spark-marketing.ru/Card/Person/1044616", "ГПОУ АСПЕДК")</f>
        <v>ГПОУ АСПЕДК</v>
      </c>
      <c r="B3992" s="24" t="s">
        <v>5770</v>
      </c>
      <c r="C3992" s="25">
        <v>625000</v>
      </c>
      <c r="D3992" s="22" t="s">
        <v>5771</v>
      </c>
      <c r="E3992" s="22" t="s">
        <v>84</v>
      </c>
      <c r="F3992" s="23" t="str">
        <f>HYPERLINK("https://www.spark-marketing.ru/Card/Lot/72265392", "Выполнение работ по установке системы видеонаблюдения в здании учебного корпуса")</f>
        <v>Выполнение работ по установке системы видеонаблюдения в здании учебного корпуса</v>
      </c>
      <c r="G3992" s="22" t="s">
        <v>367</v>
      </c>
      <c r="H3992" s="22" t="s">
        <v>1213</v>
      </c>
      <c r="I3992" s="26">
        <v>43668.750706018502</v>
      </c>
      <c r="J3992" s="28" t="s">
        <v>52</v>
      </c>
      <c r="K3992" s="28" t="s">
        <v>52</v>
      </c>
      <c r="L3992" s="28" t="s">
        <v>52</v>
      </c>
      <c r="M3992" s="28" t="s">
        <v>52</v>
      </c>
      <c r="N3992" s="28" t="s">
        <v>52</v>
      </c>
    </row>
    <row r="3993" spans="1:14" hidden="1" outlineLevel="1" x14ac:dyDescent="0.2">
      <c r="A3993" s="23" t="str">
        <f>HYPERLINK("https://www.spark-marketing.ru/Card/Person/1044616", "ГПОУ АСПЕДК")</f>
        <v>ГПОУ АСПЕДК</v>
      </c>
      <c r="B3993" s="24" t="s">
        <v>5770</v>
      </c>
      <c r="C3993" s="25">
        <v>625000</v>
      </c>
      <c r="D3993" s="22" t="s">
        <v>5771</v>
      </c>
      <c r="E3993" s="22" t="s">
        <v>84</v>
      </c>
      <c r="F3993" s="23" t="str">
        <f>HYPERLINK("https://www.spark-marketing.ru/Card/Lot/72265392", "Выполнение работ по установке системы видеонаблюдения в здании учебного корпуса")</f>
        <v>Выполнение работ по установке системы видеонаблюдения в здании учебного корпуса</v>
      </c>
      <c r="G3993" s="22" t="s">
        <v>367</v>
      </c>
      <c r="H3993" s="22" t="s">
        <v>1213</v>
      </c>
      <c r="I3993" s="26">
        <v>43668.750706018502</v>
      </c>
      <c r="J3993" s="23" t="str">
        <f>HYPERLINK("https://www.spark-marketing.ru/Card/Person/1244598", "ООО ""АРГУС""")</f>
        <v>ООО "АРГУС"</v>
      </c>
      <c r="K3993" s="24" t="s">
        <v>5772</v>
      </c>
      <c r="L3993" s="28" t="s">
        <v>52</v>
      </c>
      <c r="M3993" s="25">
        <v>602500</v>
      </c>
      <c r="N3993" s="27">
        <v>3.5999999999999997E-2</v>
      </c>
    </row>
    <row r="3994" spans="1:14" hidden="1" outlineLevel="1" x14ac:dyDescent="0.2">
      <c r="A3994" s="23" t="str">
        <f>HYPERLINK("https://www.spark-marketing.ru/Card/Person/1044616", "ГПОУ АСПЕДК")</f>
        <v>ГПОУ АСПЕДК</v>
      </c>
      <c r="B3994" s="24" t="s">
        <v>5770</v>
      </c>
      <c r="C3994" s="25">
        <v>625000</v>
      </c>
      <c r="D3994" s="22" t="s">
        <v>5771</v>
      </c>
      <c r="E3994" s="22" t="s">
        <v>84</v>
      </c>
      <c r="F3994" s="23" t="str">
        <f>HYPERLINK("https://www.spark-marketing.ru/Card/Lot/72265392", "Выполнение работ по установке системы видеонаблюдения в здании учебного корпуса")</f>
        <v>Выполнение работ по установке системы видеонаблюдения в здании учебного корпуса</v>
      </c>
      <c r="G3994" s="22" t="s">
        <v>367</v>
      </c>
      <c r="H3994" s="22" t="s">
        <v>1213</v>
      </c>
      <c r="I3994" s="26">
        <v>43668.750706018502</v>
      </c>
      <c r="J3994" s="23" t="str">
        <f>HYPERLINK("https://www.spark-marketing.ru/Card/Person/6584228", "ООО ""НОВИТЕХ""")</f>
        <v>ООО "НОВИТЕХ"</v>
      </c>
      <c r="K3994" s="24" t="s">
        <v>5773</v>
      </c>
      <c r="L3994" s="28" t="s">
        <v>52</v>
      </c>
      <c r="M3994" s="25">
        <v>580625</v>
      </c>
      <c r="N3994" s="27">
        <v>7.0999999999999994E-2</v>
      </c>
    </row>
    <row r="3995" spans="1:14" hidden="1" outlineLevel="1" x14ac:dyDescent="0.2">
      <c r="A3995" s="23" t="str">
        <f>HYPERLINK("https://www.spark-marketing.ru/Card/Person/1044616", "ГПОУ АСПЕДК")</f>
        <v>ГПОУ АСПЕДК</v>
      </c>
      <c r="B3995" s="24" t="s">
        <v>5770</v>
      </c>
      <c r="C3995" s="25">
        <v>625000</v>
      </c>
      <c r="D3995" s="22" t="s">
        <v>5771</v>
      </c>
      <c r="E3995" s="22" t="s">
        <v>84</v>
      </c>
      <c r="F3995" s="23" t="str">
        <f>HYPERLINK("https://www.spark-marketing.ru/Card/Lot/72265392", "Выполнение работ по установке системы видеонаблюдения в здании учебного корпуса")</f>
        <v>Выполнение работ по установке системы видеонаблюдения в здании учебного корпуса</v>
      </c>
      <c r="G3995" s="22" t="s">
        <v>367</v>
      </c>
      <c r="H3995" s="22" t="s">
        <v>1213</v>
      </c>
      <c r="I3995" s="26">
        <v>43668.750706018502</v>
      </c>
      <c r="J3995" s="23" t="str">
        <f>HYPERLINK("https://www.spark-marketing.ru/Card/Person/6580376", "Кеньщак Кристина Максимовна")</f>
        <v>Кеньщак Кристина Максимовна</v>
      </c>
      <c r="K3995" s="24" t="s">
        <v>5774</v>
      </c>
      <c r="L3995" s="28" t="s">
        <v>52</v>
      </c>
      <c r="M3995" s="25">
        <v>524375</v>
      </c>
      <c r="N3995" s="27">
        <v>0.161</v>
      </c>
    </row>
    <row r="3996" spans="1:14" ht="12.75" hidden="1" outlineLevel="1" x14ac:dyDescent="0.2">
      <c r="A3996" s="23" t="str">
        <f>HYPERLINK("https://www.spark-marketing.ru/Card/Person/1044616", "ГПОУ АСПЕДК")</f>
        <v>ГПОУ АСПЕДК</v>
      </c>
      <c r="B3996" s="24" t="s">
        <v>5770</v>
      </c>
      <c r="C3996" s="25">
        <v>625000</v>
      </c>
      <c r="D3996" s="22" t="s">
        <v>5771</v>
      </c>
      <c r="E3996" s="22" t="s">
        <v>84</v>
      </c>
      <c r="F3996" s="23" t="str">
        <f>HYPERLINK("https://www.spark-marketing.ru/Card/Lot/72265392", "Выполнение работ по установке системы видеонаблюдения в здании учебного корпуса")</f>
        <v>Выполнение работ по установке системы видеонаблюдения в здании учебного корпуса</v>
      </c>
      <c r="G3996" s="22" t="s">
        <v>367</v>
      </c>
      <c r="H3996" s="22" t="s">
        <v>1213</v>
      </c>
      <c r="I3996" s="26">
        <v>43668.750706018502</v>
      </c>
      <c r="J3996" s="23" t="str">
        <f>HYPERLINK("https://www.spark-marketing.ru/Card/Person/6682795", "Корчуганов Павел Сергеевич")</f>
        <v>Корчуганов Павел Сергеевич</v>
      </c>
      <c r="K3996" s="24" t="s">
        <v>5775</v>
      </c>
      <c r="L3996" s="22" t="s">
        <v>10</v>
      </c>
      <c r="M3996" s="25">
        <v>521250</v>
      </c>
      <c r="N3996" s="27">
        <v>0.16600000000000001</v>
      </c>
    </row>
    <row r="3997" spans="1:14" x14ac:dyDescent="0.15">
      <c r="A3997" s="23" t="str">
        <f>HYPERLINK("https://www.spark-marketing.ru/Card/Person/388149", "ПАО ""ГРУППА КОМПАНИЙ ПИК""")</f>
        <v>ПАО "ГРУППА КОМПАНИЙ ПИК"</v>
      </c>
      <c r="B3997" s="24" t="s">
        <v>5776</v>
      </c>
      <c r="C3997" s="25">
        <v>0</v>
      </c>
      <c r="D3997" s="22" t="s">
        <v>5777</v>
      </c>
      <c r="E3997" s="22" t="s">
        <v>585</v>
      </c>
      <c r="F3997" s="23" t="str">
        <f>HYPERLINK("https://www.spark-marketing.ru/Card/Lot/72259364", "Лабораторное сопровождение объектов строительства")</f>
        <v>Лабораторное сопровождение объектов строительства</v>
      </c>
      <c r="G3997" s="22" t="s">
        <v>55</v>
      </c>
      <c r="H3997" s="22" t="s">
        <v>55</v>
      </c>
      <c r="I3997" s="26">
        <v>43668.754016203697</v>
      </c>
      <c r="J3997" s="28" t="s">
        <v>52</v>
      </c>
      <c r="K3997" s="28" t="s">
        <v>52</v>
      </c>
      <c r="L3997" s="28" t="s">
        <v>52</v>
      </c>
      <c r="M3997" s="28" t="s">
        <v>52</v>
      </c>
      <c r="N3997" s="28" t="s">
        <v>52</v>
      </c>
    </row>
    <row r="3998" spans="1:14" x14ac:dyDescent="0.15">
      <c r="A3998" s="23" t="str">
        <f>HYPERLINK("https://www.spark-marketing.ru/Card/Person/1744970", "КП ""ВДНХ""")</f>
        <v>КП "ВДНХ"</v>
      </c>
      <c r="B3998" s="24" t="s">
        <v>5778</v>
      </c>
      <c r="C3998" s="25">
        <v>9259938</v>
      </c>
      <c r="D3998" s="22" t="s">
        <v>5779</v>
      </c>
      <c r="E3998" s="22" t="s">
        <v>5780</v>
      </c>
      <c r="F3998" s="23" t="str">
        <f>HYPERLINK("https://www.spark-marketing.ru/Card/Lot/72258320", "Оказание услуг по организации мероприятий проводимых на территории ВДНХ и парка Останкино в части обеспечения сценическим, звуковым, светотехническим, видео ограждающим оборудованием, включая доставку/вывоз, монтаж/демонтаж, настройку-наладку, технич...")</f>
        <v>Оказание услуг по организации мероприятий проводимых на территории ВДНХ и парка Останкино в части обеспечения сценическим, звуковым, светотехническим, видео ограждающим оборудованием, включая доставку/вывоз, монтаж/демонтаж, настройку-наладку, технич...</v>
      </c>
      <c r="G3998" s="22" t="s">
        <v>55</v>
      </c>
      <c r="H3998" s="22" t="s">
        <v>55</v>
      </c>
      <c r="I3998" s="26">
        <v>43668.782638888901</v>
      </c>
      <c r="J3998" s="28" t="s">
        <v>52</v>
      </c>
      <c r="K3998" s="28" t="s">
        <v>52</v>
      </c>
      <c r="L3998" s="28" t="s">
        <v>52</v>
      </c>
      <c r="M3998" s="28" t="s">
        <v>52</v>
      </c>
      <c r="N3998" s="28" t="s">
        <v>52</v>
      </c>
    </row>
    <row r="3999" spans="1:14" ht="12.75" hidden="1" outlineLevel="1" x14ac:dyDescent="0.2">
      <c r="A3999" s="23" t="str">
        <f>HYPERLINK("https://www.spark-marketing.ru/Card/Person/1744970", "КП ""ВДНХ""")</f>
        <v>КП "ВДНХ"</v>
      </c>
      <c r="B3999" s="24" t="s">
        <v>5778</v>
      </c>
      <c r="C3999" s="25">
        <v>9259938</v>
      </c>
      <c r="D3999" s="22" t="s">
        <v>5779</v>
      </c>
      <c r="E3999" s="22" t="s">
        <v>5780</v>
      </c>
      <c r="F3999" s="23" t="str">
        <f>HYPERLINK("https://www.spark-marketing.ru/Card/Lot/72258320", "Оказание услуг по организации мероприятий проводимых на территории ВДНХ и парка Останкино в части обеспечения сценическим, звуковым, светотехническим, видео ограждающим оборудованием, включая доставку/вывоз, монтаж/демонтаж, настройку-наладку, технич...")</f>
        <v>Оказание услуг по организации мероприятий проводимых на территории ВДНХ и парка Останкино в части обеспечения сценическим, звуковым, светотехническим, видео ограждающим оборудованием, включая доставку/вывоз, монтаж/демонтаж, настройку-наладку, технич...</v>
      </c>
      <c r="G3999" s="22" t="s">
        <v>55</v>
      </c>
      <c r="H3999" s="22" t="s">
        <v>55</v>
      </c>
      <c r="I3999" s="26">
        <v>43668.782638888901</v>
      </c>
      <c r="J3999" s="23" t="str">
        <f>HYPERLINK("https://www.spark-marketing.ru/Card/Person/31978", "ООО ""ОЛДИ"" КОНЦЕРТ")</f>
        <v>ООО "ОЛДИ" КОНЦЕРТ</v>
      </c>
      <c r="K3999" s="24" t="s">
        <v>5781</v>
      </c>
      <c r="L3999" s="22" t="s">
        <v>10</v>
      </c>
      <c r="M3999" s="25">
        <v>8796941</v>
      </c>
      <c r="N3999" s="27">
        <v>5.0000010799208378E-2</v>
      </c>
    </row>
    <row r="4000" spans="1:14" hidden="1" outlineLevel="1" x14ac:dyDescent="0.2">
      <c r="A4000" s="23" t="str">
        <f>HYPERLINK("https://www.spark-marketing.ru/Card/Person/1744970", "КП ""ВДНХ""")</f>
        <v>КП "ВДНХ"</v>
      </c>
      <c r="B4000" s="24" t="s">
        <v>5778</v>
      </c>
      <c r="C4000" s="25">
        <v>9259938</v>
      </c>
      <c r="D4000" s="22" t="s">
        <v>5779</v>
      </c>
      <c r="E4000" s="22" t="s">
        <v>5780</v>
      </c>
      <c r="F4000" s="23" t="str">
        <f>HYPERLINK("https://www.spark-marketing.ru/Card/Lot/72258320", "Оказание услуг по организации мероприятий проводимых на территории ВДНХ и парка Останкино в части обеспечения сценическим, звуковым, светотехническим, видео ограждающим оборудованием, включая доставку/вывоз, монтаж/демонтаж, настройку-наладку, технич...")</f>
        <v>Оказание услуг по организации мероприятий проводимых на территории ВДНХ и парка Останкино в части обеспечения сценическим, звуковым, светотехническим, видео ограждающим оборудованием, включая доставку/вывоз, монтаж/демонтаж, настройку-наладку, технич...</v>
      </c>
      <c r="G4000" s="22" t="s">
        <v>55</v>
      </c>
      <c r="H4000" s="22" t="s">
        <v>55</v>
      </c>
      <c r="I4000" s="26">
        <v>43668.782638888901</v>
      </c>
      <c r="J4000" s="23" t="str">
        <f>HYPERLINK("https://www.spark-marketing.ru/Card/Person/6353426", "ООО ""ФАЛЬКОН ИНВЕСТ ГРУПП""")</f>
        <v>ООО "ФАЛЬКОН ИНВЕСТ ГРУПП"</v>
      </c>
      <c r="K4000" s="24" t="s">
        <v>5782</v>
      </c>
      <c r="L4000" s="28" t="s">
        <v>52</v>
      </c>
      <c r="M4000" s="25">
        <v>8500000</v>
      </c>
      <c r="N4000" s="27">
        <v>8.2067288139510225E-2</v>
      </c>
    </row>
    <row r="4001" spans="1:14" hidden="1" outlineLevel="1" x14ac:dyDescent="0.2">
      <c r="A4001" s="23" t="str">
        <f>HYPERLINK("https://www.spark-marketing.ru/Card/Person/1744970", "КП ""ВДНХ""")</f>
        <v>КП "ВДНХ"</v>
      </c>
      <c r="B4001" s="24" t="s">
        <v>5778</v>
      </c>
      <c r="C4001" s="25">
        <v>9259938</v>
      </c>
      <c r="D4001" s="22" t="s">
        <v>5779</v>
      </c>
      <c r="E4001" s="22" t="s">
        <v>5780</v>
      </c>
      <c r="F4001" s="23" t="str">
        <f>HYPERLINK("https://www.spark-marketing.ru/Card/Lot/72258320", "Оказание услуг по организации мероприятий проводимых на территории ВДНХ и парка Останкино в части обеспечения сценическим, звуковым, светотехническим, видео ограждающим оборудованием, включая доставку/вывоз, монтаж/демонтаж, настройку-наладку, технич...")</f>
        <v>Оказание услуг по организации мероприятий проводимых на территории ВДНХ и парка Останкино в части обеспечения сценическим, звуковым, светотехническим, видео ограждающим оборудованием, включая доставку/вывоз, монтаж/демонтаж, настройку-наладку, технич...</v>
      </c>
      <c r="G4001" s="22" t="s">
        <v>55</v>
      </c>
      <c r="H4001" s="22" t="s">
        <v>55</v>
      </c>
      <c r="I4001" s="26">
        <v>43668.782638888901</v>
      </c>
      <c r="J4001" s="23" t="str">
        <f>HYPERLINK("https://www.spark-marketing.ru/Card/Person/4756645", "ООО ""СТАРСАУНДС""")</f>
        <v>ООО "СТАРСАУНДС"</v>
      </c>
      <c r="K4001" s="24" t="s">
        <v>5783</v>
      </c>
      <c r="L4001" s="28" t="s">
        <v>52</v>
      </c>
      <c r="M4001" s="25">
        <v>7980000</v>
      </c>
      <c r="N4001" s="27">
        <v>0.13822317168862253</v>
      </c>
    </row>
    <row r="4002" spans="1:14" hidden="1" outlineLevel="1" x14ac:dyDescent="0.2">
      <c r="A4002" s="23" t="str">
        <f>HYPERLINK("https://www.spark-marketing.ru/Card/Person/1744970", "КП ""ВДНХ""")</f>
        <v>КП "ВДНХ"</v>
      </c>
      <c r="B4002" s="24" t="s">
        <v>5778</v>
      </c>
      <c r="C4002" s="25">
        <v>9259938</v>
      </c>
      <c r="D4002" s="22" t="s">
        <v>5779</v>
      </c>
      <c r="E4002" s="22" t="s">
        <v>5780</v>
      </c>
      <c r="F4002" s="23" t="str">
        <f>HYPERLINK("https://www.spark-marketing.ru/Card/Lot/72258320", "Оказание услуг по организации мероприятий проводимых на территории ВДНХ и парка Останкино в части обеспечения сценическим, звуковым, светотехническим, видео ограждающим оборудованием, включая доставку/вывоз, монтаж/демонтаж, настройку-наладку, технич...")</f>
        <v>Оказание услуг по организации мероприятий проводимых на территории ВДНХ и парка Останкино в части обеспечения сценическим, звуковым, светотехническим, видео ограждающим оборудованием, включая доставку/вывоз, монтаж/демонтаж, настройку-наладку, технич...</v>
      </c>
      <c r="G4002" s="22" t="s">
        <v>55</v>
      </c>
      <c r="H4002" s="22" t="s">
        <v>55</v>
      </c>
      <c r="I4002" s="26">
        <v>43668.782638888901</v>
      </c>
      <c r="J4002" s="23" t="str">
        <f>HYPERLINK("https://www.spark-marketing.ru/Card/Person/103484", "ООО ""МУЛЬТСОЮЗ""")</f>
        <v>ООО "МУЛЬТСОЮЗ"</v>
      </c>
      <c r="K4002" s="24" t="s">
        <v>5784</v>
      </c>
      <c r="L4002" s="28" t="s">
        <v>52</v>
      </c>
      <c r="M4002" s="25">
        <v>8448000</v>
      </c>
      <c r="N4002" s="27">
        <v>8.7682876494421455E-2</v>
      </c>
    </row>
    <row r="4003" spans="1:14" x14ac:dyDescent="0.15">
      <c r="A4003" s="23" t="str">
        <f>HYPERLINK("https://www.spark-marketing.ru/Card/Person/553317", "МОМВД РОССИИ ""РЯЖСКИЙ""")</f>
        <v>МОМВД РОССИИ "РЯЖСКИЙ"</v>
      </c>
      <c r="B4003" s="24" t="s">
        <v>5785</v>
      </c>
      <c r="C4003" s="25">
        <v>22768.92</v>
      </c>
      <c r="D4003" s="22" t="s">
        <v>5786</v>
      </c>
      <c r="E4003" s="22" t="s">
        <v>53</v>
      </c>
      <c r="F4003" s="23" t="str">
        <f>HYPERLINK("https://www.spark-marketing.ru/Card/Lot/72256309", "оказание услуг по техническому обслуживанию комплекса технических средств охраны, 4 усл. ед")</f>
        <v>оказание услуг по техническому обслуживанию комплекса технических средств охраны, 4 усл. ед</v>
      </c>
      <c r="G4003" s="22" t="s">
        <v>186</v>
      </c>
      <c r="H4003" s="22" t="s">
        <v>5787</v>
      </c>
      <c r="I4003" s="26">
        <v>43668.711365740703</v>
      </c>
      <c r="J4003" s="28" t="s">
        <v>52</v>
      </c>
      <c r="K4003" s="28" t="s">
        <v>52</v>
      </c>
      <c r="L4003" s="28" t="s">
        <v>52</v>
      </c>
      <c r="M4003" s="28" t="s">
        <v>52</v>
      </c>
      <c r="N4003" s="28" t="s">
        <v>52</v>
      </c>
    </row>
    <row r="4004" spans="1:14" x14ac:dyDescent="0.15">
      <c r="A4004" s="23" t="str">
        <f>HYPERLINK("https://www.spark-marketing.ru/Card/Person/5904509", "ЛОВД на ст.Калуга УТ МВД России по ЦФО")</f>
        <v>ЛОВД на ст.Калуга УТ МВД России по ЦФО</v>
      </c>
      <c r="B4004" s="24" t="s">
        <v>5500</v>
      </c>
      <c r="C4004" s="25">
        <v>20000</v>
      </c>
      <c r="D4004" s="22" t="s">
        <v>5788</v>
      </c>
      <c r="E4004" s="22" t="s">
        <v>107</v>
      </c>
      <c r="F4004" s="23" t="str">
        <f>HYPERLINK("https://www.spark-marketing.ru/Card/Lot/72255519", "Техническое обслуживание видеодомофона, 1 мес")</f>
        <v>Техническое обслуживание видеодомофона, 1 мес</v>
      </c>
      <c r="G4004" s="22" t="s">
        <v>658</v>
      </c>
      <c r="H4004" s="22" t="s">
        <v>741</v>
      </c>
      <c r="I4004" s="26">
        <v>43668.728009259299</v>
      </c>
      <c r="J4004" s="28" t="s">
        <v>52</v>
      </c>
      <c r="K4004" s="28" t="s">
        <v>52</v>
      </c>
      <c r="L4004" s="28" t="s">
        <v>52</v>
      </c>
      <c r="M4004" s="28" t="s">
        <v>52</v>
      </c>
      <c r="N4004" s="28" t="s">
        <v>52</v>
      </c>
    </row>
    <row r="4005" spans="1:14" x14ac:dyDescent="0.15">
      <c r="A4005" s="23" t="str">
        <f>HYPERLINK("https://www.spark-marketing.ru/Card/Person/33071", "ГБПОУ МО ""СТУПИНСКИЙ ТЕХНИКУМ ИМ. А.Т. ТУМАНОВА""")</f>
        <v>ГБПОУ МО "СТУПИНСКИЙ ТЕХНИКУМ ИМ. А.Т. ТУМАНОВА"</v>
      </c>
      <c r="B4005" s="24" t="s">
        <v>5789</v>
      </c>
      <c r="C4005" s="25">
        <v>68733.97</v>
      </c>
      <c r="D4005" s="22" t="s">
        <v>5790</v>
      </c>
      <c r="E4005" s="22" t="s">
        <v>59</v>
      </c>
      <c r="F4005" s="23" t="str">
        <f>HYPERLINK("https://www.spark-marketing.ru/Card/Lot/72255104", "Демонтаж и монтаж оборудования АПС при проведении ремонтных работ")</f>
        <v>Демонтаж и монтаж оборудования АПС при проведении ремонтных работ</v>
      </c>
      <c r="G4005" s="22" t="s">
        <v>50</v>
      </c>
      <c r="H4005" s="22" t="s">
        <v>5791</v>
      </c>
      <c r="I4005" s="26">
        <v>43668.711643518502</v>
      </c>
      <c r="J4005" s="28" t="s">
        <v>52</v>
      </c>
      <c r="K4005" s="28" t="s">
        <v>52</v>
      </c>
      <c r="L4005" s="28" t="s">
        <v>52</v>
      </c>
      <c r="M4005" s="28" t="s">
        <v>52</v>
      </c>
      <c r="N4005" s="28" t="s">
        <v>52</v>
      </c>
    </row>
    <row r="4006" spans="1:14" x14ac:dyDescent="0.15">
      <c r="A4006" s="23" t="str">
        <f t="shared" ref="A4006:A4012" si="172">HYPERLINK("https://www.spark-marketing.ru/Card/Person/5816972", "ОКУ ""ЛИПЕЦКАВТОДОР""")</f>
        <v>ОКУ "ЛИПЕЦКАВТОДОР"</v>
      </c>
      <c r="B4006" s="24" t="s">
        <v>2869</v>
      </c>
      <c r="C4006" s="25">
        <v>4440000</v>
      </c>
      <c r="D4006" s="22" t="s">
        <v>5792</v>
      </c>
      <c r="E4006" s="22" t="s">
        <v>491</v>
      </c>
      <c r="F4006" s="23" t="str">
        <f t="shared" ref="F4006:F4012" si="173">HYPERLINK("https://www.spark-marketing.ru/Card/Lot/72268264", "Разработка планов обеспечения транспортной безопасности объектов транспортной инфраструктуры на автомобильных дорогах общего пользования регионального значения в Липецком, Лебедянском, Хлевенском, Добровском, Задонском, Грязинском, Данковском, Долгор...")</f>
        <v>Разработка планов обеспечения транспортной безопасности объектов транспортной инфраструктуры на автомобильных дорогах общего пользования регионального значения в Липецком, Лебедянском, Хлевенском, Добровском, Задонском, Грязинском, Данковском, Долгор...</v>
      </c>
      <c r="G4006" s="22" t="s">
        <v>629</v>
      </c>
      <c r="H4006" s="22" t="s">
        <v>629</v>
      </c>
      <c r="I4006" s="26">
        <v>43668.728113425903</v>
      </c>
      <c r="J4006" s="28" t="s">
        <v>52</v>
      </c>
      <c r="K4006" s="28" t="s">
        <v>52</v>
      </c>
      <c r="L4006" s="28" t="s">
        <v>52</v>
      </c>
      <c r="M4006" s="28" t="s">
        <v>52</v>
      </c>
      <c r="N4006" s="28" t="s">
        <v>52</v>
      </c>
    </row>
    <row r="4007" spans="1:14" hidden="1" outlineLevel="1" x14ac:dyDescent="0.2">
      <c r="A4007" s="23" t="str">
        <f t="shared" si="172"/>
        <v>ОКУ "ЛИПЕЦКАВТОДОР"</v>
      </c>
      <c r="B4007" s="24" t="s">
        <v>2869</v>
      </c>
      <c r="C4007" s="25">
        <v>4440000</v>
      </c>
      <c r="D4007" s="22" t="s">
        <v>5792</v>
      </c>
      <c r="E4007" s="22" t="s">
        <v>491</v>
      </c>
      <c r="F4007" s="23" t="str">
        <f t="shared" si="173"/>
        <v>Разработка планов обеспечения транспортной безопасности объектов транспортной инфраструктуры на автомобильных дорогах общего пользования регионального значения в Липецком, Лебедянском, Хлевенском, Добровском, Задонском, Грязинском, Данковском, Долгор...</v>
      </c>
      <c r="G4007" s="22" t="s">
        <v>629</v>
      </c>
      <c r="H4007" s="22" t="s">
        <v>629</v>
      </c>
      <c r="I4007" s="26">
        <v>43668.728113425903</v>
      </c>
      <c r="J4007" s="23" t="str">
        <f>HYPERLINK("https://www.spark-marketing.ru/Card/Person/6110146", "ООО ""ИЦ ТЕХНОБЕЗОПАСНОСТЬ""")</f>
        <v>ООО "ИЦ ТЕХНОБЕЗОПАСНОСТЬ"</v>
      </c>
      <c r="K4007" s="24" t="s">
        <v>2240</v>
      </c>
      <c r="L4007" s="28" t="s">
        <v>52</v>
      </c>
      <c r="M4007" s="25">
        <v>2153400</v>
      </c>
      <c r="N4007" s="27">
        <v>0.51500000000000001</v>
      </c>
    </row>
    <row r="4008" spans="1:14" hidden="1" outlineLevel="1" x14ac:dyDescent="0.2">
      <c r="A4008" s="23" t="str">
        <f t="shared" si="172"/>
        <v>ОКУ "ЛИПЕЦКАВТОДОР"</v>
      </c>
      <c r="B4008" s="24" t="s">
        <v>2869</v>
      </c>
      <c r="C4008" s="25">
        <v>4440000</v>
      </c>
      <c r="D4008" s="22" t="s">
        <v>5792</v>
      </c>
      <c r="E4008" s="22" t="s">
        <v>491</v>
      </c>
      <c r="F4008" s="23" t="str">
        <f t="shared" si="173"/>
        <v>Разработка планов обеспечения транспортной безопасности объектов транспортной инфраструктуры на автомобильных дорогах общего пользования регионального значения в Липецком, Лебедянском, Хлевенском, Добровском, Задонском, Грязинском, Данковском, Долгор...</v>
      </c>
      <c r="G4008" s="22" t="s">
        <v>629</v>
      </c>
      <c r="H4008" s="22" t="s">
        <v>629</v>
      </c>
      <c r="I4008" s="26">
        <v>43668.728113425903</v>
      </c>
      <c r="J4008" s="23" t="str">
        <f>HYPERLINK("https://www.spark-marketing.ru/Card/Person/77204", "ООО ""ИНФОРМ-АЛЬЯНС""")</f>
        <v>ООО "ИНФОРМ-АЛЬЯНС"</v>
      </c>
      <c r="K4008" s="24" t="s">
        <v>2499</v>
      </c>
      <c r="L4008" s="28" t="s">
        <v>52</v>
      </c>
      <c r="M4008" s="25">
        <v>1711600</v>
      </c>
      <c r="N4008" s="27">
        <v>0.61450450450450456</v>
      </c>
    </row>
    <row r="4009" spans="1:14" hidden="1" outlineLevel="1" x14ac:dyDescent="0.2">
      <c r="A4009" s="23" t="str">
        <f t="shared" si="172"/>
        <v>ОКУ "ЛИПЕЦКАВТОДОР"</v>
      </c>
      <c r="B4009" s="24" t="s">
        <v>2869</v>
      </c>
      <c r="C4009" s="25">
        <v>4440000</v>
      </c>
      <c r="D4009" s="22" t="s">
        <v>5792</v>
      </c>
      <c r="E4009" s="22" t="s">
        <v>491</v>
      </c>
      <c r="F4009" s="23" t="str">
        <f t="shared" si="173"/>
        <v>Разработка планов обеспечения транспортной безопасности объектов транспортной инфраструктуры на автомобильных дорогах общего пользования регионального значения в Липецком, Лебедянском, Хлевенском, Добровском, Задонском, Грязинском, Данковском, Долгор...</v>
      </c>
      <c r="G4009" s="22" t="s">
        <v>629</v>
      </c>
      <c r="H4009" s="22" t="s">
        <v>629</v>
      </c>
      <c r="I4009" s="26">
        <v>43668.728113425903</v>
      </c>
      <c r="J4009" s="23" t="str">
        <f>HYPERLINK("https://www.spark-marketing.ru/Card/Person/5966443", "ООО ""НАО""")</f>
        <v>ООО "НАО"</v>
      </c>
      <c r="K4009" s="24" t="s">
        <v>2873</v>
      </c>
      <c r="L4009" s="28" t="s">
        <v>52</v>
      </c>
      <c r="M4009" s="25">
        <v>1911400</v>
      </c>
      <c r="N4009" s="27">
        <v>0.56950450450450452</v>
      </c>
    </row>
    <row r="4010" spans="1:14" ht="12.75" hidden="1" outlineLevel="1" x14ac:dyDescent="0.2">
      <c r="A4010" s="23" t="str">
        <f t="shared" si="172"/>
        <v>ОКУ "ЛИПЕЦКАВТОДОР"</v>
      </c>
      <c r="B4010" s="24" t="s">
        <v>2869</v>
      </c>
      <c r="C4010" s="25">
        <v>4440000</v>
      </c>
      <c r="D4010" s="22" t="s">
        <v>5792</v>
      </c>
      <c r="E4010" s="22" t="s">
        <v>491</v>
      </c>
      <c r="F4010" s="23" t="str">
        <f t="shared" si="173"/>
        <v>Разработка планов обеспечения транспортной безопасности объектов транспортной инфраструктуры на автомобильных дорогах общего пользования регионального значения в Липецком, Лебедянском, Хлевенском, Добровском, Задонском, Грязинском, Данковском, Долгор...</v>
      </c>
      <c r="G4010" s="22" t="s">
        <v>629</v>
      </c>
      <c r="H4010" s="22" t="s">
        <v>629</v>
      </c>
      <c r="I4010" s="26">
        <v>43668.728113425903</v>
      </c>
      <c r="J4010" s="23" t="str">
        <f>HYPERLINK("https://www.spark-marketing.ru/Card/Person/51128", "ООО ""КБ УСЛУГ""")</f>
        <v>ООО "КБ УСЛУГ"</v>
      </c>
      <c r="K4010" s="24" t="s">
        <v>5793</v>
      </c>
      <c r="L4010" s="22" t="s">
        <v>10</v>
      </c>
      <c r="M4010" s="25">
        <v>868000</v>
      </c>
      <c r="N4010" s="27">
        <v>0.8045045045045045</v>
      </c>
    </row>
    <row r="4011" spans="1:14" hidden="1" outlineLevel="1" x14ac:dyDescent="0.2">
      <c r="A4011" s="23" t="str">
        <f t="shared" si="172"/>
        <v>ОКУ "ЛИПЕЦКАВТОДОР"</v>
      </c>
      <c r="B4011" s="24" t="s">
        <v>2869</v>
      </c>
      <c r="C4011" s="25">
        <v>4440000</v>
      </c>
      <c r="D4011" s="22" t="s">
        <v>5792</v>
      </c>
      <c r="E4011" s="22" t="s">
        <v>491</v>
      </c>
      <c r="F4011" s="23" t="str">
        <f t="shared" si="173"/>
        <v>Разработка планов обеспечения транспортной безопасности объектов транспортной инфраструктуры на автомобильных дорогах общего пользования регионального значения в Липецком, Лебедянском, Хлевенском, Добровском, Задонском, Грязинском, Данковском, Долгор...</v>
      </c>
      <c r="G4011" s="22" t="s">
        <v>629</v>
      </c>
      <c r="H4011" s="22" t="s">
        <v>629</v>
      </c>
      <c r="I4011" s="26">
        <v>43668.728113425903</v>
      </c>
      <c r="J4011" s="23" t="str">
        <f>HYPERLINK("https://www.spark-marketing.ru/Card/Person/6619275", "ООО ""ОТБ-ПРОЕКТ""")</f>
        <v>ООО "ОТБ-ПРОЕКТ"</v>
      </c>
      <c r="K4011" s="24" t="s">
        <v>5794</v>
      </c>
      <c r="L4011" s="28" t="s">
        <v>52</v>
      </c>
      <c r="M4011" s="25">
        <v>890200</v>
      </c>
      <c r="N4011" s="27">
        <v>0.7995045045045045</v>
      </c>
    </row>
    <row r="4012" spans="1:14" hidden="1" outlineLevel="1" x14ac:dyDescent="0.2">
      <c r="A4012" s="23" t="str">
        <f t="shared" si="172"/>
        <v>ОКУ "ЛИПЕЦКАВТОДОР"</v>
      </c>
      <c r="B4012" s="24" t="s">
        <v>2869</v>
      </c>
      <c r="C4012" s="25">
        <v>4440000</v>
      </c>
      <c r="D4012" s="22" t="s">
        <v>5792</v>
      </c>
      <c r="E4012" s="22" t="s">
        <v>491</v>
      </c>
      <c r="F4012" s="23" t="str">
        <f t="shared" si="173"/>
        <v>Разработка планов обеспечения транспортной безопасности объектов транспортной инфраструктуры на автомобильных дорогах общего пользования регионального значения в Липецком, Лебедянском, Хлевенском, Добровском, Задонском, Грязинском, Данковском, Долгор...</v>
      </c>
      <c r="G4012" s="22" t="s">
        <v>629</v>
      </c>
      <c r="H4012" s="22" t="s">
        <v>629</v>
      </c>
      <c r="I4012" s="26">
        <v>43668.728113425903</v>
      </c>
      <c r="J4012" s="23" t="str">
        <f>HYPERLINK("https://www.spark-marketing.ru/Card/Person/244248", "ООО ""ДАЛЬЦЕНТРАВИА""")</f>
        <v>ООО "ДАЛЬЦЕНТРАВИА"</v>
      </c>
      <c r="K4012" s="24" t="s">
        <v>5795</v>
      </c>
      <c r="L4012" s="28" t="s">
        <v>52</v>
      </c>
      <c r="M4012" s="25">
        <v>4040400</v>
      </c>
      <c r="N4012" s="27">
        <v>0.09</v>
      </c>
    </row>
    <row r="4013" spans="1:14" x14ac:dyDescent="0.15">
      <c r="A4013" s="23" t="str">
        <f>HYPERLINK("https://www.spark-marketing.ru/Card/Person/553317", "МОМВД РОССИИ ""РЯЖСКИЙ""")</f>
        <v>МОМВД РОССИИ "РЯЖСКИЙ"</v>
      </c>
      <c r="B4013" s="24" t="s">
        <v>5785</v>
      </c>
      <c r="C4013" s="25">
        <v>22768.92</v>
      </c>
      <c r="D4013" s="22" t="s">
        <v>5796</v>
      </c>
      <c r="E4013" s="22" t="s">
        <v>53</v>
      </c>
      <c r="F4013" s="23" t="str">
        <f>HYPERLINK("https://www.spark-marketing.ru/Card/Lot/72253988", "оказание услуг по техническому обслуживанию комплекса технических средств охраны, 4 усл. ед")</f>
        <v>оказание услуг по техническому обслуживанию комплекса технических средств охраны, 4 усл. ед</v>
      </c>
      <c r="G4013" s="22" t="s">
        <v>186</v>
      </c>
      <c r="H4013" s="22" t="s">
        <v>5787</v>
      </c>
      <c r="I4013" s="26">
        <v>43668.708680555603</v>
      </c>
      <c r="J4013" s="28" t="s">
        <v>52</v>
      </c>
      <c r="K4013" s="28" t="s">
        <v>52</v>
      </c>
      <c r="L4013" s="28" t="s">
        <v>52</v>
      </c>
      <c r="M4013" s="28" t="s">
        <v>52</v>
      </c>
      <c r="N4013" s="28" t="s">
        <v>52</v>
      </c>
    </row>
    <row r="4014" spans="1:14" x14ac:dyDescent="0.15">
      <c r="A4014" s="23" t="str">
        <f t="shared" ref="A4014:A4020" si="174">HYPERLINK("https://www.spark-marketing.ru/Card/Person/37070", "СПБ ГКУЗ ""ДЕТСКИЙ ТУБЕРКУЛЕЗНЫЙ САНАТОРИЙ ""ЖЕМЧУЖИНА""")</f>
        <v>СПБ ГКУЗ "ДЕТСКИЙ ТУБЕРКУЛЕЗНЫЙ САНАТОРИЙ "ЖЕМЧУЖИНА"</v>
      </c>
      <c r="B4014" s="24" t="s">
        <v>5797</v>
      </c>
      <c r="C4014" s="25">
        <v>357720.01</v>
      </c>
      <c r="D4014" s="22" t="s">
        <v>5798</v>
      </c>
      <c r="E4014" s="22" t="s">
        <v>5799</v>
      </c>
      <c r="F4014" s="23" t="str">
        <f t="shared" ref="F4014:F4020" si="175">HYPERLINK("https://www.spark-marketing.ru/Card/Lot/72255818", "Оказание услуг по физической охране объектов и имущества санатория")</f>
        <v>Оказание услуг по физической охране объектов и имущества санатория</v>
      </c>
      <c r="G4014" s="22" t="s">
        <v>89</v>
      </c>
      <c r="H4014" s="22" t="s">
        <v>89</v>
      </c>
      <c r="I4014" s="26">
        <v>43668.670983796299</v>
      </c>
      <c r="J4014" s="28" t="s">
        <v>52</v>
      </c>
      <c r="K4014" s="28" t="s">
        <v>52</v>
      </c>
      <c r="L4014" s="28" t="s">
        <v>52</v>
      </c>
      <c r="M4014" s="28" t="s">
        <v>52</v>
      </c>
      <c r="N4014" s="28" t="s">
        <v>52</v>
      </c>
    </row>
    <row r="4015" spans="1:14" ht="12.75" hidden="1" outlineLevel="1" x14ac:dyDescent="0.2">
      <c r="A4015" s="23" t="str">
        <f t="shared" si="174"/>
        <v>СПБ ГКУЗ "ДЕТСКИЙ ТУБЕРКУЛЕЗНЫЙ САНАТОРИЙ "ЖЕМЧУЖИНА"</v>
      </c>
      <c r="B4015" s="24" t="s">
        <v>5797</v>
      </c>
      <c r="C4015" s="25">
        <v>357720.01</v>
      </c>
      <c r="D4015" s="22" t="s">
        <v>5798</v>
      </c>
      <c r="E4015" s="22" t="s">
        <v>5799</v>
      </c>
      <c r="F4015" s="23" t="str">
        <f t="shared" si="175"/>
        <v>Оказание услуг по физической охране объектов и имущества санатория</v>
      </c>
      <c r="G4015" s="22" t="s">
        <v>89</v>
      </c>
      <c r="H4015" s="22" t="s">
        <v>89</v>
      </c>
      <c r="I4015" s="26">
        <v>43668.670983796299</v>
      </c>
      <c r="J4015" s="23" t="str">
        <f>HYPERLINK("https://www.spark-marketing.ru/Card/Person/5908317", "ООО ""ОО ""АДМИРАЛ-БЕЗОПАСНОСТЬ""")</f>
        <v>ООО "ОО "АДМИРАЛ-БЕЗОПАСНОСТЬ"</v>
      </c>
      <c r="K4015" s="24" t="s">
        <v>5800</v>
      </c>
      <c r="L4015" s="22" t="s">
        <v>10</v>
      </c>
      <c r="M4015" s="25">
        <v>237000</v>
      </c>
      <c r="N4015" s="27">
        <v>0.33747066595463865</v>
      </c>
    </row>
    <row r="4016" spans="1:14" hidden="1" outlineLevel="1" x14ac:dyDescent="0.2">
      <c r="A4016" s="23" t="str">
        <f t="shared" si="174"/>
        <v>СПБ ГКУЗ "ДЕТСКИЙ ТУБЕРКУЛЕЗНЫЙ САНАТОРИЙ "ЖЕМЧУЖИНА"</v>
      </c>
      <c r="B4016" s="24" t="s">
        <v>5797</v>
      </c>
      <c r="C4016" s="25">
        <v>357720.01</v>
      </c>
      <c r="D4016" s="22" t="s">
        <v>5798</v>
      </c>
      <c r="E4016" s="22" t="s">
        <v>5799</v>
      </c>
      <c r="F4016" s="23" t="str">
        <f t="shared" si="175"/>
        <v>Оказание услуг по физической охране объектов и имущества санатория</v>
      </c>
      <c r="G4016" s="22" t="s">
        <v>89</v>
      </c>
      <c r="H4016" s="22" t="s">
        <v>89</v>
      </c>
      <c r="I4016" s="26">
        <v>43668.670983796299</v>
      </c>
      <c r="J4016" s="23" t="str">
        <f>HYPERLINK("https://www.spark-marketing.ru/Card/Person/78646", "ООО ""ОП ""ВЕЛЬБОТ""")</f>
        <v>ООО "ОП "ВЕЛЬБОТ"</v>
      </c>
      <c r="K4016" s="24" t="s">
        <v>5801</v>
      </c>
      <c r="L4016" s="28" t="s">
        <v>52</v>
      </c>
      <c r="M4016" s="25">
        <v>238500</v>
      </c>
      <c r="N4016" s="27">
        <v>0.33327744232144019</v>
      </c>
    </row>
    <row r="4017" spans="1:14" hidden="1" outlineLevel="1" x14ac:dyDescent="0.2">
      <c r="A4017" s="23" t="str">
        <f t="shared" si="174"/>
        <v>СПБ ГКУЗ "ДЕТСКИЙ ТУБЕРКУЛЕЗНЫЙ САНАТОРИЙ "ЖЕМЧУЖИНА"</v>
      </c>
      <c r="B4017" s="24" t="s">
        <v>5797</v>
      </c>
      <c r="C4017" s="25">
        <v>357720.01</v>
      </c>
      <c r="D4017" s="22" t="s">
        <v>5798</v>
      </c>
      <c r="E4017" s="22" t="s">
        <v>5799</v>
      </c>
      <c r="F4017" s="23" t="str">
        <f t="shared" si="175"/>
        <v>Оказание услуг по физической охране объектов и имущества санатория</v>
      </c>
      <c r="G4017" s="22" t="s">
        <v>89</v>
      </c>
      <c r="H4017" s="22" t="s">
        <v>89</v>
      </c>
      <c r="I4017" s="26">
        <v>43668.670983796299</v>
      </c>
      <c r="J4017" s="23" t="str">
        <f>HYPERLINK("https://www.spark-marketing.ru/Card/Person/1957699", "ООО ""ОП ""ТРАНС-СЕКЬЮРИТИ""""")</f>
        <v>ООО "ОП "ТРАНС-СЕКЬЮРИТИ""</v>
      </c>
      <c r="K4017" s="24" t="s">
        <v>4138</v>
      </c>
      <c r="L4017" s="28" t="s">
        <v>52</v>
      </c>
      <c r="M4017" s="25">
        <v>264960</v>
      </c>
      <c r="N4017" s="27">
        <v>0.2593089774318188</v>
      </c>
    </row>
    <row r="4018" spans="1:14" hidden="1" outlineLevel="1" x14ac:dyDescent="0.2">
      <c r="A4018" s="23" t="str">
        <f t="shared" si="174"/>
        <v>СПБ ГКУЗ "ДЕТСКИЙ ТУБЕРКУЛЕЗНЫЙ САНАТОРИЙ "ЖЕМЧУЖИНА"</v>
      </c>
      <c r="B4018" s="24" t="s">
        <v>5797</v>
      </c>
      <c r="C4018" s="25">
        <v>357720.01</v>
      </c>
      <c r="D4018" s="22" t="s">
        <v>5798</v>
      </c>
      <c r="E4018" s="22" t="s">
        <v>5799</v>
      </c>
      <c r="F4018" s="23" t="str">
        <f t="shared" si="175"/>
        <v>Оказание услуг по физической охране объектов и имущества санатория</v>
      </c>
      <c r="G4018" s="22" t="s">
        <v>89</v>
      </c>
      <c r="H4018" s="22" t="s">
        <v>89</v>
      </c>
      <c r="I4018" s="26">
        <v>43668.670983796299</v>
      </c>
      <c r="J4018" s="23" t="str">
        <f>HYPERLINK("https://www.spark-marketing.ru/Card/Person/6596829", "ООО ""ОО ""ИНСАР-К""")</f>
        <v>ООО "ОО "ИНСАР-К"</v>
      </c>
      <c r="K4018" s="24" t="s">
        <v>5802</v>
      </c>
      <c r="L4018" s="28" t="s">
        <v>52</v>
      </c>
      <c r="M4018" s="25">
        <v>266700</v>
      </c>
      <c r="N4018" s="27">
        <v>0.25444483801730855</v>
      </c>
    </row>
    <row r="4019" spans="1:14" hidden="1" outlineLevel="1" x14ac:dyDescent="0.2">
      <c r="A4019" s="23" t="str">
        <f t="shared" si="174"/>
        <v>СПБ ГКУЗ "ДЕТСКИЙ ТУБЕРКУЛЕЗНЫЙ САНАТОРИЙ "ЖЕМЧУЖИНА"</v>
      </c>
      <c r="B4019" s="24" t="s">
        <v>5797</v>
      </c>
      <c r="C4019" s="25">
        <v>357720.01</v>
      </c>
      <c r="D4019" s="22" t="s">
        <v>5798</v>
      </c>
      <c r="E4019" s="22" t="s">
        <v>5799</v>
      </c>
      <c r="F4019" s="23" t="str">
        <f t="shared" si="175"/>
        <v>Оказание услуг по физической охране объектов и имущества санатория</v>
      </c>
      <c r="G4019" s="22" t="s">
        <v>89</v>
      </c>
      <c r="H4019" s="22" t="s">
        <v>89</v>
      </c>
      <c r="I4019" s="26">
        <v>43668.670983796299</v>
      </c>
      <c r="J4019" s="23" t="str">
        <f>HYPERLINK("https://www.spark-marketing.ru/Card/Person/1556862", "ООО ""ОО ""СПРИНТ-ОХРАНА""")</f>
        <v>ООО "ОО "СПРИНТ-ОХРАНА"</v>
      </c>
      <c r="K4019" s="24" t="s">
        <v>5803</v>
      </c>
      <c r="L4019" s="28" t="s">
        <v>52</v>
      </c>
      <c r="M4019" s="25">
        <v>300000</v>
      </c>
      <c r="N4019" s="27">
        <v>0.16135527336030209</v>
      </c>
    </row>
    <row r="4020" spans="1:14" hidden="1" outlineLevel="1" x14ac:dyDescent="0.2">
      <c r="A4020" s="23" t="str">
        <f t="shared" si="174"/>
        <v>СПБ ГКУЗ "ДЕТСКИЙ ТУБЕРКУЛЕЗНЫЙ САНАТОРИЙ "ЖЕМЧУЖИНА"</v>
      </c>
      <c r="B4020" s="24" t="s">
        <v>5797</v>
      </c>
      <c r="C4020" s="25">
        <v>357720.01</v>
      </c>
      <c r="D4020" s="22" t="s">
        <v>5798</v>
      </c>
      <c r="E4020" s="22" t="s">
        <v>5799</v>
      </c>
      <c r="F4020" s="23" t="str">
        <f t="shared" si="175"/>
        <v>Оказание услуг по физической охране объектов и имущества санатория</v>
      </c>
      <c r="G4020" s="22" t="s">
        <v>89</v>
      </c>
      <c r="H4020" s="22" t="s">
        <v>89</v>
      </c>
      <c r="I4020" s="26">
        <v>43668.670983796299</v>
      </c>
      <c r="J4020" s="23" t="str">
        <f>HYPERLINK("https://www.spark-marketing.ru/Card/Person/4349928", "ООО ОП ""ЦИТАДЕЛЬ""")</f>
        <v>ООО ОП "ЦИТАДЕЛЬ"</v>
      </c>
      <c r="K4020" s="24" t="s">
        <v>5804</v>
      </c>
      <c r="L4020" s="28" t="s">
        <v>52</v>
      </c>
      <c r="M4020" s="25">
        <v>356720.01</v>
      </c>
      <c r="N4020" s="27">
        <v>2.7954824221323262E-3</v>
      </c>
    </row>
    <row r="4021" spans="1:14" x14ac:dyDescent="0.2">
      <c r="A4021" s="23" t="str">
        <f>HYPERLINK("https://www.spark-marketing.ru/Card/Person/4387999", "ЛИЦЕЙ № 9")</f>
        <v>ЛИЦЕЙ № 9</v>
      </c>
      <c r="B4021" s="24" t="s">
        <v>5805</v>
      </c>
      <c r="C4021" s="25">
        <v>396400</v>
      </c>
      <c r="D4021" s="22" t="s">
        <v>5806</v>
      </c>
      <c r="E4021" s="22" t="s">
        <v>2204</v>
      </c>
      <c r="F4021" s="23" t="str">
        <f>HYPERLINK("https://www.spark-marketing.ru/Card/Lot/72260356", "Установка (модернизация имеющегося) внутреннего и наружного видеонаблюдения")</f>
        <v>Установка (модернизация имеющегося) внутреннего и наружного видеонаблюдения</v>
      </c>
      <c r="G4021" s="22" t="s">
        <v>72</v>
      </c>
      <c r="H4021" s="22" t="s">
        <v>72</v>
      </c>
      <c r="I4021" s="26">
        <v>43668.686817129601</v>
      </c>
      <c r="J4021" s="28" t="s">
        <v>52</v>
      </c>
      <c r="K4021" s="28" t="s">
        <v>52</v>
      </c>
      <c r="L4021" s="28" t="s">
        <v>52</v>
      </c>
      <c r="M4021" s="25">
        <v>396000</v>
      </c>
      <c r="N4021" s="27">
        <v>1.0090817356205853E-3</v>
      </c>
    </row>
    <row r="4022" spans="1:14" x14ac:dyDescent="0.15">
      <c r="A4022" s="23" t="str">
        <f>HYPERLINK("https://www.spark-marketing.ru/Card/Person/11896", "АДМИНИСТРАЦИЯ ЛУЖСКОГО МУНИЦИПАЛЬНОГО РАЙОНА")</f>
        <v>АДМИНИСТРАЦИЯ ЛУЖСКОГО МУНИЦИПАЛЬНОГО РАЙОНА</v>
      </c>
      <c r="B4022" s="24" t="s">
        <v>5192</v>
      </c>
      <c r="C4022" s="25">
        <v>958747</v>
      </c>
      <c r="D4022" s="22" t="s">
        <v>5807</v>
      </c>
      <c r="E4022" s="22" t="s">
        <v>52</v>
      </c>
      <c r="F4022" s="23" t="str">
        <f>HYPERLINK("https://www.spark-marketing.ru/Card/Lot/72257215", "Поставка дорожного ограждения барьерного типа на автомобильных дорогах общего пользования местного значения Лужского городского поселения Лужского муниципального района Ленинградской области")</f>
        <v>Поставка дорожного ограждения барьерного типа на автомобильных дорогах общего пользования местного значения Лужского городского поселения Лужского муниципального района Ленинградской области</v>
      </c>
      <c r="G4022" s="22" t="s">
        <v>861</v>
      </c>
      <c r="H4022" s="22" t="s">
        <v>5194</v>
      </c>
      <c r="I4022" s="26">
        <v>43668.672442129602</v>
      </c>
      <c r="J4022" s="23" t="str">
        <f>HYPERLINK("https://www.spark-marketing.ru/Card/Person/1324282", "Игнатьева Наталья Михайловна")</f>
        <v>Игнатьева Наталья Михайловна</v>
      </c>
      <c r="K4022" s="24" t="s">
        <v>5197</v>
      </c>
      <c r="L4022" s="28" t="s">
        <v>52</v>
      </c>
      <c r="M4022" s="28" t="s">
        <v>52</v>
      </c>
      <c r="N4022" s="28" t="s">
        <v>52</v>
      </c>
    </row>
    <row r="4023" spans="1:14" hidden="1" outlineLevel="1" x14ac:dyDescent="0.15">
      <c r="A4023" s="23" t="str">
        <f>HYPERLINK("https://www.spark-marketing.ru/Card/Person/11896", "АДМИНИСТРАЦИЯ ЛУЖСКОГО МУНИЦИПАЛЬНОГО РАЙОНА")</f>
        <v>АДМИНИСТРАЦИЯ ЛУЖСКОГО МУНИЦИПАЛЬНОГО РАЙОНА</v>
      </c>
      <c r="B4023" s="24" t="s">
        <v>5192</v>
      </c>
      <c r="C4023" s="25">
        <v>958747</v>
      </c>
      <c r="D4023" s="22" t="s">
        <v>5807</v>
      </c>
      <c r="E4023" s="22" t="s">
        <v>52</v>
      </c>
      <c r="F4023" s="23" t="str">
        <f>HYPERLINK("https://www.spark-marketing.ru/Card/Lot/72257215", "Поставка дорожного ограждения барьерного типа на автомобильных дорогах общего пользования местного значения Лужского городского поселения Лужского муниципального района Ленинградской области")</f>
        <v>Поставка дорожного ограждения барьерного типа на автомобильных дорогах общего пользования местного значения Лужского городского поселения Лужского муниципального района Ленинградской области</v>
      </c>
      <c r="G4023" s="22" t="s">
        <v>861</v>
      </c>
      <c r="H4023" s="22" t="s">
        <v>5194</v>
      </c>
      <c r="I4023" s="26">
        <v>43668.672442129602</v>
      </c>
      <c r="J4023" s="23" t="str">
        <f>HYPERLINK("https://www.spark-marketing.ru/Card/Person/1324282", "Игнатьева Наталья Михайловна")</f>
        <v>Игнатьева Наталья Михайловна</v>
      </c>
      <c r="K4023" s="24" t="s">
        <v>5197</v>
      </c>
      <c r="L4023" s="22" t="s">
        <v>10</v>
      </c>
      <c r="M4023" s="28" t="s">
        <v>52</v>
      </c>
      <c r="N4023" s="28" t="s">
        <v>52</v>
      </c>
    </row>
    <row r="4024" spans="1:14" x14ac:dyDescent="0.15">
      <c r="A4024" s="23" t="str">
        <f>HYPERLINK("https://www.spark-marketing.ru/Card/Person/553317", "МОМВД РОССИИ ""РЯЖСКИЙ""")</f>
        <v>МОМВД РОССИИ "РЯЖСКИЙ"</v>
      </c>
      <c r="B4024" s="24" t="s">
        <v>5785</v>
      </c>
      <c r="C4024" s="25">
        <v>22768.92</v>
      </c>
      <c r="D4024" s="22" t="s">
        <v>5808</v>
      </c>
      <c r="E4024" s="22" t="s">
        <v>53</v>
      </c>
      <c r="F4024" s="23" t="str">
        <f>HYPERLINK("https://www.spark-marketing.ru/Card/Lot/72253982", "оказание услуг по техническому обслуживанию комплекса технических средств охраны, 4 усл. ед")</f>
        <v>оказание услуг по техническому обслуживанию комплекса технических средств охраны, 4 усл. ед</v>
      </c>
      <c r="G4024" s="22" t="s">
        <v>186</v>
      </c>
      <c r="H4024" s="22" t="s">
        <v>5787</v>
      </c>
      <c r="I4024" s="26">
        <v>43668.705775463</v>
      </c>
      <c r="J4024" s="28" t="s">
        <v>52</v>
      </c>
      <c r="K4024" s="28" t="s">
        <v>52</v>
      </c>
      <c r="L4024" s="28" t="s">
        <v>52</v>
      </c>
      <c r="M4024" s="28" t="s">
        <v>52</v>
      </c>
      <c r="N4024" s="28" t="s">
        <v>52</v>
      </c>
    </row>
    <row r="4025" spans="1:14" x14ac:dyDescent="0.15">
      <c r="A4025" s="23" t="str">
        <f>HYPERLINK("https://www.spark-marketing.ru/Card/Person/1758220", "ГАУСОН РГЦ ""ИМЕНЛЕК""")</f>
        <v>ГАУСОН РГЦ "ИМЕНЛЕК"</v>
      </c>
      <c r="B4025" s="24" t="s">
        <v>5809</v>
      </c>
      <c r="C4025" s="25">
        <v>621902</v>
      </c>
      <c r="D4025" s="22" t="s">
        <v>5810</v>
      </c>
      <c r="E4025" s="22" t="s">
        <v>396</v>
      </c>
      <c r="F4025" s="23" t="str">
        <f>HYPERLINK("https://www.spark-marketing.ru/Card/Lot/72261727", "Монтаж системы видеонаблюдения в отделении стационарного социального обслуживания граждан пожилого возраста и инвалидов в Орджоникидзевском районе по адресу: г.Уфа, ул. Богдана Хмельницкого, 68/1.")</f>
        <v>Монтаж системы видеонаблюдения в отделении стационарного социального обслуживания граждан пожилого возраста и инвалидов в Орджоникидзевском районе по адресу: г.Уфа, ул. Богдана Хмельницкого, 68/1.</v>
      </c>
      <c r="G4025" s="22" t="s">
        <v>100</v>
      </c>
      <c r="H4025" s="22" t="s">
        <v>100</v>
      </c>
      <c r="I4025" s="26">
        <v>43668.631481481498</v>
      </c>
      <c r="J4025" s="28" t="s">
        <v>52</v>
      </c>
      <c r="K4025" s="28" t="s">
        <v>52</v>
      </c>
      <c r="L4025" s="28" t="s">
        <v>52</v>
      </c>
      <c r="M4025" s="28" t="s">
        <v>52</v>
      </c>
      <c r="N4025" s="28" t="s">
        <v>52</v>
      </c>
    </row>
    <row r="4026" spans="1:14" x14ac:dyDescent="0.2">
      <c r="A4026" s="23" t="str">
        <f>HYPERLINK("https://www.spark-marketing.ru/Card/Person/1605394", "МАОУ ""СОШ № 4""")</f>
        <v>МАОУ "СОШ № 4"</v>
      </c>
      <c r="B4026" s="24" t="s">
        <v>5811</v>
      </c>
      <c r="C4026" s="25">
        <v>745006.2</v>
      </c>
      <c r="D4026" s="22" t="s">
        <v>5812</v>
      </c>
      <c r="E4026" s="22" t="s">
        <v>396</v>
      </c>
      <c r="F4026" s="23" t="str">
        <f>HYPERLINK("https://www.spark-marketing.ru/Card/Lot/72263354", "Установка системы видеонаблюдения в МАОУ «СОШ №4»")</f>
        <v>Установка системы видеонаблюдения в МАОУ «СОШ №4»</v>
      </c>
      <c r="G4026" s="22" t="s">
        <v>72</v>
      </c>
      <c r="H4026" s="22" t="s">
        <v>72</v>
      </c>
      <c r="I4026" s="26">
        <v>43668.626689814802</v>
      </c>
      <c r="J4026" s="28" t="s">
        <v>52</v>
      </c>
      <c r="K4026" s="28" t="s">
        <v>52</v>
      </c>
      <c r="L4026" s="28" t="s">
        <v>52</v>
      </c>
      <c r="M4026" s="25">
        <v>745006.2</v>
      </c>
      <c r="N4026" s="27">
        <v>0</v>
      </c>
    </row>
    <row r="4027" spans="1:14" x14ac:dyDescent="0.15">
      <c r="A4027" s="23" t="str">
        <f>HYPERLINK("https://www.spark-marketing.ru/Card/Person/5904509", "ЛОВД на ст.Калуга УТ МВД России по ЦФО")</f>
        <v>ЛОВД на ст.Калуга УТ МВД России по ЦФО</v>
      </c>
      <c r="B4027" s="24" t="s">
        <v>5500</v>
      </c>
      <c r="C4027" s="25">
        <v>20000</v>
      </c>
      <c r="D4027" s="22" t="s">
        <v>5813</v>
      </c>
      <c r="E4027" s="22" t="s">
        <v>107</v>
      </c>
      <c r="F4027" s="23" t="str">
        <f>HYPERLINK("https://www.spark-marketing.ru/Card/Lot/72249433", "Техническое обслуживание видеодомофона, 1 мес")</f>
        <v>Техническое обслуживание видеодомофона, 1 мес</v>
      </c>
      <c r="G4027" s="22" t="s">
        <v>658</v>
      </c>
      <c r="H4027" s="22" t="s">
        <v>741</v>
      </c>
      <c r="I4027" s="26">
        <v>43668.615821759297</v>
      </c>
      <c r="J4027" s="28" t="s">
        <v>52</v>
      </c>
      <c r="K4027" s="28" t="s">
        <v>52</v>
      </c>
      <c r="L4027" s="28" t="s">
        <v>52</v>
      </c>
      <c r="M4027" s="28" t="s">
        <v>52</v>
      </c>
      <c r="N4027" s="28" t="s">
        <v>52</v>
      </c>
    </row>
    <row r="4028" spans="1:14" x14ac:dyDescent="0.15">
      <c r="A4028" s="23" t="str">
        <f>HYPERLINK("https://www.spark-marketing.ru/Card/Person/456138", "КГАУ ""ЦСП""")</f>
        <v>КГАУ "ЦСП"</v>
      </c>
      <c r="B4028" s="24" t="s">
        <v>2031</v>
      </c>
      <c r="C4028" s="25">
        <v>476160</v>
      </c>
      <c r="D4028" s="22" t="s">
        <v>5814</v>
      </c>
      <c r="E4028" s="22" t="s">
        <v>363</v>
      </c>
      <c r="F4028" s="23" t="str">
        <f>HYPERLINK("https://www.spark-marketing.ru/Card/Lot/72261320", "Услуги по охране объекта и имущества")</f>
        <v>Услуги по охране объекта и имущества</v>
      </c>
      <c r="G4028" s="22" t="s">
        <v>640</v>
      </c>
      <c r="H4028" s="22" t="s">
        <v>640</v>
      </c>
      <c r="I4028" s="26">
        <v>43668.599108796298</v>
      </c>
      <c r="J4028" s="28" t="s">
        <v>52</v>
      </c>
      <c r="K4028" s="28" t="s">
        <v>52</v>
      </c>
      <c r="L4028" s="28" t="s">
        <v>52</v>
      </c>
      <c r="M4028" s="28" t="s">
        <v>52</v>
      </c>
      <c r="N4028" s="28" t="s">
        <v>52</v>
      </c>
    </row>
    <row r="4029" spans="1:14" x14ac:dyDescent="0.15">
      <c r="A4029" s="23" t="str">
        <f>HYPERLINK("https://www.spark-marketing.ru/Card/Person/4860083", "ГАПОУ ПО ПКСТПБ")</f>
        <v>ГАПОУ ПО ПКСТПБ</v>
      </c>
      <c r="B4029" s="24" t="s">
        <v>5815</v>
      </c>
      <c r="C4029" s="25">
        <v>205000</v>
      </c>
      <c r="D4029" s="22" t="s">
        <v>5816</v>
      </c>
      <c r="E4029" s="22" t="s">
        <v>2026</v>
      </c>
      <c r="F4029" s="23" t="str">
        <f>HYPERLINK("https://www.spark-marketing.ru/Card/Lot/72263059", "Поставка системы видеонаблюдения с установкой в здании общежития ГАПОУ ПО ПКСТПБ, г. Пенза, ул. Аустрина, 129а")</f>
        <v>Поставка системы видеонаблюдения с установкой в здании общежития ГАПОУ ПО ПКСТПБ, г. Пенза, ул. Аустрина, 129а</v>
      </c>
      <c r="G4029" s="22" t="s">
        <v>514</v>
      </c>
      <c r="H4029" s="22" t="s">
        <v>514</v>
      </c>
      <c r="I4029" s="26">
        <v>43668.621006944399</v>
      </c>
      <c r="J4029" s="28" t="s">
        <v>52</v>
      </c>
      <c r="K4029" s="28" t="s">
        <v>52</v>
      </c>
      <c r="L4029" s="28" t="s">
        <v>52</v>
      </c>
      <c r="M4029" s="28" t="s">
        <v>52</v>
      </c>
      <c r="N4029" s="28" t="s">
        <v>52</v>
      </c>
    </row>
    <row r="4030" spans="1:14" x14ac:dyDescent="0.15">
      <c r="A4030" s="23" t="str">
        <f>HYPERLINK("https://www.spark-marketing.ru/Card/Person/6193789", "Гос. инспекция пробирн надзора по г.Москве и МО")</f>
        <v>Гос. инспекция пробирн надзора по г.Москве и МО</v>
      </c>
      <c r="B4030" s="24" t="s">
        <v>5817</v>
      </c>
      <c r="C4030" s="25">
        <v>32349.119999999999</v>
      </c>
      <c r="D4030" s="22" t="s">
        <v>5818</v>
      </c>
      <c r="E4030" s="22" t="s">
        <v>53</v>
      </c>
      <c r="F4030" s="23" t="str">
        <f>HYPERLINK("https://www.spark-marketing.ru/Card/Lot/72249404", "Услуги систем обеспечения безопасности, 1 усл. ед")</f>
        <v>Услуги систем обеспечения безопасности, 1 усл. ед</v>
      </c>
      <c r="G4030" s="22" t="s">
        <v>55</v>
      </c>
      <c r="H4030" s="22" t="s">
        <v>55</v>
      </c>
      <c r="I4030" s="26">
        <v>43668.615324074097</v>
      </c>
      <c r="J4030" s="28" t="s">
        <v>52</v>
      </c>
      <c r="K4030" s="28" t="s">
        <v>52</v>
      </c>
      <c r="L4030" s="28" t="s">
        <v>52</v>
      </c>
      <c r="M4030" s="28" t="s">
        <v>52</v>
      </c>
      <c r="N4030" s="28" t="s">
        <v>52</v>
      </c>
    </row>
    <row r="4031" spans="1:14" x14ac:dyDescent="0.15">
      <c r="A4031" s="23" t="str">
        <f>HYPERLINK("https://www.spark-marketing.ru/Card/Person/811991", "МБДОУ ""ДЕТСКИЙ САД № 95"" Г. ЧЕБОКСАРЫ")</f>
        <v>МБДОУ "ДЕТСКИЙ САД № 95" Г. ЧЕБОКСАРЫ</v>
      </c>
      <c r="B4031" s="24" t="s">
        <v>5819</v>
      </c>
      <c r="C4031" s="25">
        <v>111830</v>
      </c>
      <c r="D4031" s="22" t="s">
        <v>5820</v>
      </c>
      <c r="E4031" s="22" t="s">
        <v>194</v>
      </c>
      <c r="F4031" s="23" t="str">
        <f>HYPERLINK("https://www.spark-marketing.ru/Card/Lot/72246169", "Поставка и установка системы видеонаблюдения для нужд МБДОУ ""Детский сад №95"" г.Чебоксары")</f>
        <v>Поставка и установка системы видеонаблюдения для нужд МБДОУ "Детский сад №95" г.Чебоксары</v>
      </c>
      <c r="G4031" s="22" t="s">
        <v>1137</v>
      </c>
      <c r="H4031" s="22" t="s">
        <v>1138</v>
      </c>
      <c r="I4031" s="26">
        <v>43668.545833333301</v>
      </c>
      <c r="J4031" s="28" t="s">
        <v>52</v>
      </c>
      <c r="K4031" s="28" t="s">
        <v>52</v>
      </c>
      <c r="L4031" s="28" t="s">
        <v>52</v>
      </c>
      <c r="M4031" s="28" t="s">
        <v>52</v>
      </c>
      <c r="N4031" s="28" t="s">
        <v>52</v>
      </c>
    </row>
    <row r="4032" spans="1:14" x14ac:dyDescent="0.15">
      <c r="A4032" s="23" t="str">
        <f t="shared" ref="A4032:A4039" si="176">HYPERLINK("https://www.spark-marketing.ru/Card/Person/1070231", "БОУ ВО ""СПЕЦИАЛЬНОЕ УЧЕБНО-ВОСПИТАТЕЛЬНОЕ УЧРЕЖДЕНИЕ""")</f>
        <v>БОУ ВО "СПЕЦИАЛЬНОЕ УЧЕБНО-ВОСПИТАТЕЛЬНОЕ УЧРЕЖДЕНИЕ"</v>
      </c>
      <c r="B4032" s="24" t="s">
        <v>5821</v>
      </c>
      <c r="C4032" s="25">
        <v>3650000</v>
      </c>
      <c r="D4032" s="22" t="s">
        <v>5822</v>
      </c>
      <c r="E4032" s="22" t="s">
        <v>59</v>
      </c>
      <c r="F4032" s="23" t="str">
        <f t="shared" ref="F4032:F4039" si="177">HYPERLINK("https://www.spark-marketing.ru/Card/Lot/72251481", "Выполнение работ по установке системы видеонаблюдения в зданиях и на территории Заказчика;")</f>
        <v>Выполнение работ по установке системы видеонаблюдения в зданиях и на территории Заказчика;</v>
      </c>
      <c r="G4032" s="22" t="s">
        <v>902</v>
      </c>
      <c r="H4032" s="22" t="s">
        <v>5823</v>
      </c>
      <c r="I4032" s="26">
        <v>43668.569062499999</v>
      </c>
      <c r="J4032" s="28" t="s">
        <v>52</v>
      </c>
      <c r="K4032" s="28" t="s">
        <v>52</v>
      </c>
      <c r="L4032" s="28" t="s">
        <v>52</v>
      </c>
      <c r="M4032" s="28" t="s">
        <v>52</v>
      </c>
      <c r="N4032" s="28" t="s">
        <v>52</v>
      </c>
    </row>
    <row r="4033" spans="1:14" hidden="1" outlineLevel="1" x14ac:dyDescent="0.2">
      <c r="A4033" s="23" t="str">
        <f t="shared" si="176"/>
        <v>БОУ ВО "СПЕЦИАЛЬНОЕ УЧЕБНО-ВОСПИТАТЕЛЬНОЕ УЧРЕЖДЕНИЕ"</v>
      </c>
      <c r="B4033" s="24" t="s">
        <v>5821</v>
      </c>
      <c r="C4033" s="25">
        <v>3650000</v>
      </c>
      <c r="D4033" s="22" t="s">
        <v>5822</v>
      </c>
      <c r="E4033" s="22" t="s">
        <v>59</v>
      </c>
      <c r="F4033" s="23" t="str">
        <f t="shared" si="177"/>
        <v>Выполнение работ по установке системы видеонаблюдения в зданиях и на территории Заказчика;</v>
      </c>
      <c r="G4033" s="22" t="s">
        <v>902</v>
      </c>
      <c r="H4033" s="22" t="s">
        <v>5823</v>
      </c>
      <c r="I4033" s="26">
        <v>43668.569062499999</v>
      </c>
      <c r="J4033" s="23" t="str">
        <f>HYPERLINK("https://www.spark-marketing.ru/Card/Person/6682770", "Соловьева Нина Николаевна")</f>
        <v>Соловьева Нина Николаевна</v>
      </c>
      <c r="K4033" s="24" t="s">
        <v>5824</v>
      </c>
      <c r="L4033" s="28" t="s">
        <v>52</v>
      </c>
      <c r="M4033" s="25">
        <v>2908337.28</v>
      </c>
      <c r="N4033" s="27">
        <v>0.20319526575342467</v>
      </c>
    </row>
    <row r="4034" spans="1:14" hidden="1" outlineLevel="1" x14ac:dyDescent="0.2">
      <c r="A4034" s="23" t="str">
        <f t="shared" si="176"/>
        <v>БОУ ВО "СПЕЦИАЛЬНОЕ УЧЕБНО-ВОСПИТАТЕЛЬНОЕ УЧРЕЖДЕНИЕ"</v>
      </c>
      <c r="B4034" s="24" t="s">
        <v>5821</v>
      </c>
      <c r="C4034" s="25">
        <v>3650000</v>
      </c>
      <c r="D4034" s="22" t="s">
        <v>5822</v>
      </c>
      <c r="E4034" s="22" t="s">
        <v>59</v>
      </c>
      <c r="F4034" s="23" t="str">
        <f t="shared" si="177"/>
        <v>Выполнение работ по установке системы видеонаблюдения в зданиях и на территории Заказчика;</v>
      </c>
      <c r="G4034" s="22" t="s">
        <v>902</v>
      </c>
      <c r="H4034" s="22" t="s">
        <v>5823</v>
      </c>
      <c r="I4034" s="26">
        <v>43668.569062499999</v>
      </c>
      <c r="J4034" s="23" t="str">
        <f>HYPERLINK("https://www.spark-marketing.ru/Card/Person/6448657", "Гончар Григорий Леонидович")</f>
        <v>Гончар Григорий Леонидович</v>
      </c>
      <c r="K4034" s="24" t="s">
        <v>5825</v>
      </c>
      <c r="L4034" s="28" t="s">
        <v>52</v>
      </c>
      <c r="M4034" s="25">
        <v>2368504.4500000002</v>
      </c>
      <c r="N4034" s="27">
        <v>0.35109467123287669</v>
      </c>
    </row>
    <row r="4035" spans="1:14" hidden="1" outlineLevel="1" x14ac:dyDescent="0.2">
      <c r="A4035" s="23" t="str">
        <f t="shared" si="176"/>
        <v>БОУ ВО "СПЕЦИАЛЬНОЕ УЧЕБНО-ВОСПИТАТЕЛЬНОЕ УЧРЕЖДЕНИЕ"</v>
      </c>
      <c r="B4035" s="24" t="s">
        <v>5821</v>
      </c>
      <c r="C4035" s="25">
        <v>3650000</v>
      </c>
      <c r="D4035" s="22" t="s">
        <v>5822</v>
      </c>
      <c r="E4035" s="22" t="s">
        <v>59</v>
      </c>
      <c r="F4035" s="23" t="str">
        <f t="shared" si="177"/>
        <v>Выполнение работ по установке системы видеонаблюдения в зданиях и на территории Заказчика;</v>
      </c>
      <c r="G4035" s="22" t="s">
        <v>902</v>
      </c>
      <c r="H4035" s="22" t="s">
        <v>5823</v>
      </c>
      <c r="I4035" s="26">
        <v>43668.569062499999</v>
      </c>
      <c r="J4035" s="23" t="str">
        <f>HYPERLINK("https://www.spark-marketing.ru/Card/Person/518923", "ООО ""ВИКОНТ""")</f>
        <v>ООО "ВИКОНТ"</v>
      </c>
      <c r="K4035" s="24" t="s">
        <v>5826</v>
      </c>
      <c r="L4035" s="28" t="s">
        <v>52</v>
      </c>
      <c r="M4035" s="25">
        <v>3485750</v>
      </c>
      <c r="N4035" s="27">
        <v>4.4999999999999998E-2</v>
      </c>
    </row>
    <row r="4036" spans="1:14" hidden="1" outlineLevel="1" x14ac:dyDescent="0.2">
      <c r="A4036" s="23" t="str">
        <f t="shared" si="176"/>
        <v>БОУ ВО "СПЕЦИАЛЬНОЕ УЧЕБНО-ВОСПИТАТЕЛЬНОЕ УЧРЕЖДЕНИЕ"</v>
      </c>
      <c r="B4036" s="24" t="s">
        <v>5821</v>
      </c>
      <c r="C4036" s="25">
        <v>3650000</v>
      </c>
      <c r="D4036" s="22" t="s">
        <v>5822</v>
      </c>
      <c r="E4036" s="22" t="s">
        <v>59</v>
      </c>
      <c r="F4036" s="23" t="str">
        <f t="shared" si="177"/>
        <v>Выполнение работ по установке системы видеонаблюдения в зданиях и на территории Заказчика;</v>
      </c>
      <c r="G4036" s="22" t="s">
        <v>902</v>
      </c>
      <c r="H4036" s="22" t="s">
        <v>5823</v>
      </c>
      <c r="I4036" s="26">
        <v>43668.569062499999</v>
      </c>
      <c r="J4036" s="23" t="str">
        <f>HYPERLINK("https://www.spark-marketing.ru/Card/Person/803106", "Лунегов Алексей Евгеньевич")</f>
        <v>Лунегов Алексей Евгеньевич</v>
      </c>
      <c r="K4036" s="24" t="s">
        <v>2506</v>
      </c>
      <c r="L4036" s="28" t="s">
        <v>52</v>
      </c>
      <c r="M4036" s="25">
        <v>2332004.4500000002</v>
      </c>
      <c r="N4036" s="27">
        <v>0.3610946712328767</v>
      </c>
    </row>
    <row r="4037" spans="1:14" hidden="1" outlineLevel="1" x14ac:dyDescent="0.2">
      <c r="A4037" s="23" t="str">
        <f t="shared" si="176"/>
        <v>БОУ ВО "СПЕЦИАЛЬНОЕ УЧЕБНО-ВОСПИТАТЕЛЬНОЕ УЧРЕЖДЕНИЕ"</v>
      </c>
      <c r="B4037" s="24" t="s">
        <v>5821</v>
      </c>
      <c r="C4037" s="25">
        <v>3650000</v>
      </c>
      <c r="D4037" s="22" t="s">
        <v>5822</v>
      </c>
      <c r="E4037" s="22" t="s">
        <v>59</v>
      </c>
      <c r="F4037" s="23" t="str">
        <f t="shared" si="177"/>
        <v>Выполнение работ по установке системы видеонаблюдения в зданиях и на территории Заказчика;</v>
      </c>
      <c r="G4037" s="22" t="s">
        <v>902</v>
      </c>
      <c r="H4037" s="22" t="s">
        <v>5823</v>
      </c>
      <c r="I4037" s="26">
        <v>43668.569062499999</v>
      </c>
      <c r="J4037" s="23" t="str">
        <f>HYPERLINK("https://www.spark-marketing.ru/Card/Person/2476828", "ООО ""ВВК""")</f>
        <v>ООО "ВВК"</v>
      </c>
      <c r="K4037" s="24" t="s">
        <v>5683</v>
      </c>
      <c r="L4037" s="28" t="s">
        <v>52</v>
      </c>
      <c r="M4037" s="25">
        <v>2527786.9900000002</v>
      </c>
      <c r="N4037" s="27">
        <v>0.30745561917808217</v>
      </c>
    </row>
    <row r="4038" spans="1:14" hidden="1" outlineLevel="1" x14ac:dyDescent="0.2">
      <c r="A4038" s="23" t="str">
        <f t="shared" si="176"/>
        <v>БОУ ВО "СПЕЦИАЛЬНОЕ УЧЕБНО-ВОСПИТАТЕЛЬНОЕ УЧРЕЖДЕНИЕ"</v>
      </c>
      <c r="B4038" s="24" t="s">
        <v>5821</v>
      </c>
      <c r="C4038" s="25">
        <v>3650000</v>
      </c>
      <c r="D4038" s="22" t="s">
        <v>5822</v>
      </c>
      <c r="E4038" s="22" t="s">
        <v>59</v>
      </c>
      <c r="F4038" s="23" t="str">
        <f t="shared" si="177"/>
        <v>Выполнение работ по установке системы видеонаблюдения в зданиях и на территории Заказчика;</v>
      </c>
      <c r="G4038" s="22" t="s">
        <v>902</v>
      </c>
      <c r="H4038" s="22" t="s">
        <v>5823</v>
      </c>
      <c r="I4038" s="26">
        <v>43668.569062499999</v>
      </c>
      <c r="J4038" s="23" t="str">
        <f>HYPERLINK("https://www.spark-marketing.ru/Card/Person/491712", "ООО ""БЛИСС""")</f>
        <v>ООО "БЛИСС"</v>
      </c>
      <c r="K4038" s="24" t="s">
        <v>5827</v>
      </c>
      <c r="L4038" s="28" t="s">
        <v>52</v>
      </c>
      <c r="M4038" s="25">
        <v>2295504.4500000002</v>
      </c>
      <c r="N4038" s="27">
        <v>0.3710946712328767</v>
      </c>
    </row>
    <row r="4039" spans="1:14" ht="12.75" hidden="1" outlineLevel="1" x14ac:dyDescent="0.2">
      <c r="A4039" s="23" t="str">
        <f t="shared" si="176"/>
        <v>БОУ ВО "СПЕЦИАЛЬНОЕ УЧЕБНО-ВОСПИТАТЕЛЬНОЕ УЧРЕЖДЕНИЕ"</v>
      </c>
      <c r="B4039" s="24" t="s">
        <v>5821</v>
      </c>
      <c r="C4039" s="25">
        <v>3650000</v>
      </c>
      <c r="D4039" s="22" t="s">
        <v>5822</v>
      </c>
      <c r="E4039" s="22" t="s">
        <v>59</v>
      </c>
      <c r="F4039" s="23" t="str">
        <f t="shared" si="177"/>
        <v>Выполнение работ по установке системы видеонаблюдения в зданиях и на территории Заказчика;</v>
      </c>
      <c r="G4039" s="22" t="s">
        <v>902</v>
      </c>
      <c r="H4039" s="22" t="s">
        <v>5823</v>
      </c>
      <c r="I4039" s="26">
        <v>43668.569062499999</v>
      </c>
      <c r="J4039" s="23" t="str">
        <f>HYPERLINK("https://www.spark-marketing.ru/Card/Person/6454067", "ООО ""БИТРЕЙД""")</f>
        <v>ООО "БИТРЕЙД"</v>
      </c>
      <c r="K4039" s="24" t="s">
        <v>5828</v>
      </c>
      <c r="L4039" s="22" t="s">
        <v>10</v>
      </c>
      <c r="M4039" s="25">
        <v>2255872.79</v>
      </c>
      <c r="N4039" s="27">
        <v>0.38195266027397262</v>
      </c>
    </row>
    <row r="4040" spans="1:14" x14ac:dyDescent="0.15">
      <c r="A4040" s="23" t="str">
        <f>HYPERLINK("https://www.spark-marketing.ru/Card/Person/4348972", "АО ""ЦТСС""")</f>
        <v>АО "ЦТСС"</v>
      </c>
      <c r="B4040" s="24" t="s">
        <v>5829</v>
      </c>
      <c r="C4040" s="25">
        <v>367334</v>
      </c>
      <c r="D4040" s="22" t="s">
        <v>5830</v>
      </c>
      <c r="E4040" s="22" t="s">
        <v>5831</v>
      </c>
      <c r="F4040" s="23" t="str">
        <f>HYPERLINK("https://www.spark-marketing.ru/Card/Lot/72261634", "Геотехническое обоснование строительства объекта «Здание караула ведомственной охраны №2 (объект 97.1)» по мероприятию «Строительство комбинированных камер очистки и окраски АО «Производственное объединение «Северное машиностроительное предприятие», ...")</f>
        <v>Геотехническое обоснование строительства объекта «Здание караула ведомственной охраны №2 (объект 97.1)» по мероприятию «Строительство комбинированных камер очистки и окраски АО «Производственное объединение «Северное машиностроительное предприятие», ...</v>
      </c>
      <c r="G4040" s="22" t="s">
        <v>89</v>
      </c>
      <c r="H4040" s="22" t="s">
        <v>89</v>
      </c>
      <c r="I4040" s="26">
        <v>43668.550937499997</v>
      </c>
      <c r="J4040" s="28" t="s">
        <v>52</v>
      </c>
      <c r="K4040" s="28" t="s">
        <v>52</v>
      </c>
      <c r="L4040" s="28" t="s">
        <v>52</v>
      </c>
      <c r="M4040" s="28" t="s">
        <v>52</v>
      </c>
      <c r="N4040" s="28" t="s">
        <v>52</v>
      </c>
    </row>
    <row r="4041" spans="1:14" x14ac:dyDescent="0.15">
      <c r="A4041" s="23" t="str">
        <f>HYPERLINK("https://www.spark-marketing.ru/Card/Person/183697", "УПРАВЛЕНИЕ РОСПРИРОДНАДЗОРА ПО РЕСПУБЛИКЕ ХАКАСИЯ")</f>
        <v>УПРАВЛЕНИЕ РОСПРИРОДНАДЗОРА ПО РЕСПУБЛИКЕ ХАКАСИЯ</v>
      </c>
      <c r="B4041" s="24" t="s">
        <v>5832</v>
      </c>
      <c r="C4041" s="25">
        <v>99786.28</v>
      </c>
      <c r="D4041" s="22" t="s">
        <v>5833</v>
      </c>
      <c r="E4041" s="22" t="s">
        <v>59</v>
      </c>
      <c r="F4041" s="23" t="str">
        <f>HYPERLINK("https://www.spark-marketing.ru/Card/Lot/72245387", "Работы по установке комплекса охранной сигнализации, 1 шт")</f>
        <v>Работы по установке комплекса охранной сигнализации, 1 шт</v>
      </c>
      <c r="G4041" s="22" t="s">
        <v>1041</v>
      </c>
      <c r="H4041" s="22" t="s">
        <v>4311</v>
      </c>
      <c r="I4041" s="26">
        <v>43668.523634259298</v>
      </c>
      <c r="J4041" s="28" t="s">
        <v>52</v>
      </c>
      <c r="K4041" s="28" t="s">
        <v>52</v>
      </c>
      <c r="L4041" s="28" t="s">
        <v>52</v>
      </c>
      <c r="M4041" s="28" t="s">
        <v>52</v>
      </c>
      <c r="N4041" s="28" t="s">
        <v>52</v>
      </c>
    </row>
    <row r="4042" spans="1:14" x14ac:dyDescent="0.15">
      <c r="A4042" s="23" t="str">
        <f>HYPERLINK("https://www.spark-marketing.ru/Card/Person/253470", "ООО ""ПХК ЦСКА""")</f>
        <v>ООО "ПХК ЦСКА"</v>
      </c>
      <c r="B4042" s="24" t="s">
        <v>5834</v>
      </c>
      <c r="C4042" s="25">
        <v>7817950.2699999996</v>
      </c>
      <c r="D4042" s="22" t="s">
        <v>5835</v>
      </c>
      <c r="E4042" s="22" t="s">
        <v>53</v>
      </c>
      <c r="F4042" s="23" t="str">
        <f>HYPERLINK("https://www.spark-marketing.ru/Card/Lot/72252495", "Номер закупки 42. Оказание услуг по обеспечению общественного порядка и организации контрольно-пропускного режима")</f>
        <v>Номер закупки 42. Оказание услуг по обеспечению общественного порядка и организации контрольно-пропускного режима</v>
      </c>
      <c r="G4042" s="22" t="s">
        <v>55</v>
      </c>
      <c r="H4042" s="22" t="s">
        <v>55</v>
      </c>
      <c r="I4042" s="26">
        <v>43668.534722222197</v>
      </c>
      <c r="J4042" s="28" t="s">
        <v>52</v>
      </c>
      <c r="K4042" s="28" t="s">
        <v>52</v>
      </c>
      <c r="L4042" s="28" t="s">
        <v>52</v>
      </c>
      <c r="M4042" s="28" t="s">
        <v>52</v>
      </c>
      <c r="N4042" s="28" t="s">
        <v>52</v>
      </c>
    </row>
    <row r="4043" spans="1:14" x14ac:dyDescent="0.15">
      <c r="A4043" s="23" t="str">
        <f>HYPERLINK("https://www.spark-marketing.ru/Card/Person/8126", "ТФОМС ИРКУТСКОЙ ОБЛАСТИ")</f>
        <v>ТФОМС ИРКУТСКОЙ ОБЛАСТИ</v>
      </c>
      <c r="B4043" s="24" t="s">
        <v>2807</v>
      </c>
      <c r="C4043" s="25">
        <v>95752.47</v>
      </c>
      <c r="D4043" s="22" t="s">
        <v>5836</v>
      </c>
      <c r="E4043" s="22" t="s">
        <v>52</v>
      </c>
      <c r="F4043" s="23" t="str">
        <f>HYPERLINK("https://www.spark-marketing.ru/Card/Lot/72239334", "Услуги охраны с помощью сигнализации офиса и гаража Нижнеудинского филиала с 01.10.2019 г. по 31.08.2020 г.")</f>
        <v>Услуги охраны с помощью сигнализации офиса и гаража Нижнеудинского филиала с 01.10.2019 г. по 31.08.2020 г.</v>
      </c>
      <c r="G4043" s="22" t="s">
        <v>281</v>
      </c>
      <c r="H4043" s="22" t="s">
        <v>281</v>
      </c>
      <c r="I4043" s="26">
        <v>43668.427430555603</v>
      </c>
      <c r="J4043" s="28" t="s">
        <v>52</v>
      </c>
      <c r="K4043" s="28" t="s">
        <v>52</v>
      </c>
      <c r="L4043" s="28" t="s">
        <v>52</v>
      </c>
      <c r="M4043" s="28" t="s">
        <v>52</v>
      </c>
      <c r="N4043" s="28" t="s">
        <v>52</v>
      </c>
    </row>
    <row r="4044" spans="1:14" ht="12.75" hidden="1" outlineLevel="1" x14ac:dyDescent="0.2">
      <c r="A4044" s="23" t="str">
        <f>HYPERLINK("https://www.spark-marketing.ru/Card/Person/8126", "ТФОМС ИРКУТСКОЙ ОБЛАСТИ")</f>
        <v>ТФОМС ИРКУТСКОЙ ОБЛАСТИ</v>
      </c>
      <c r="B4044" s="24" t="s">
        <v>2807</v>
      </c>
      <c r="C4044" s="25">
        <v>95752.47</v>
      </c>
      <c r="D4044" s="22" t="s">
        <v>5836</v>
      </c>
      <c r="E4044" s="22" t="s">
        <v>52</v>
      </c>
      <c r="F4044" s="23" t="str">
        <f>HYPERLINK("https://www.spark-marketing.ru/Card/Lot/72239334", "Услуги охраны с помощью сигнализации офиса и гаража Нижнеудинского филиала с 01.10.2019 г. по 31.08.2020 г.")</f>
        <v>Услуги охраны с помощью сигнализации офиса и гаража Нижнеудинского филиала с 01.10.2019 г. по 31.08.2020 г.</v>
      </c>
      <c r="G4044" s="22" t="s">
        <v>281</v>
      </c>
      <c r="H4044" s="22" t="s">
        <v>281</v>
      </c>
      <c r="I4044" s="26">
        <v>43668.427430555603</v>
      </c>
      <c r="J4044" s="23" t="str">
        <f>HYPERLINK("https://www.spark-marketing.ru/Card/Person/300214", "ООО ""ОХРАННОЕ АГЕНТСТВО ""СОБОЛЬ""")</f>
        <v>ООО "ОХРАННОЕ АГЕНТСТВО "СОБОЛЬ"</v>
      </c>
      <c r="K4044" s="24" t="s">
        <v>5837</v>
      </c>
      <c r="L4044" s="22" t="s">
        <v>10</v>
      </c>
      <c r="M4044" s="25">
        <v>72771.509999999995</v>
      </c>
      <c r="N4044" s="27">
        <v>0.24000383488801907</v>
      </c>
    </row>
    <row r="4045" spans="1:14" hidden="1" outlineLevel="1" x14ac:dyDescent="0.2">
      <c r="A4045" s="23" t="str">
        <f>HYPERLINK("https://www.spark-marketing.ru/Card/Person/8126", "ТФОМС ИРКУТСКОЙ ОБЛАСТИ")</f>
        <v>ТФОМС ИРКУТСКОЙ ОБЛАСТИ</v>
      </c>
      <c r="B4045" s="24" t="s">
        <v>2807</v>
      </c>
      <c r="C4045" s="25">
        <v>95752.47</v>
      </c>
      <c r="D4045" s="22" t="s">
        <v>5836</v>
      </c>
      <c r="E4045" s="22" t="s">
        <v>52</v>
      </c>
      <c r="F4045" s="23" t="str">
        <f>HYPERLINK("https://www.spark-marketing.ru/Card/Lot/72239334", "Услуги охраны с помощью сигнализации офиса и гаража Нижнеудинского филиала с 01.10.2019 г. по 31.08.2020 г.")</f>
        <v>Услуги охраны с помощью сигнализации офиса и гаража Нижнеудинского филиала с 01.10.2019 г. по 31.08.2020 г.</v>
      </c>
      <c r="G4045" s="22" t="s">
        <v>281</v>
      </c>
      <c r="H4045" s="22" t="s">
        <v>281</v>
      </c>
      <c r="I4045" s="26">
        <v>43668.427430555603</v>
      </c>
      <c r="J4045" s="23" t="str">
        <f>HYPERLINK("https://www.spark-marketing.ru/Card/Person/270948", "ФЛ ФГУП ""ОХРАНА"" РОСГВАРДИИ ПО ИРКУТСКОЙ ОБЛАСТИ")</f>
        <v>ФЛ ФГУП "ОХРАНА" РОСГВАРДИИ ПО ИРКУТСКОЙ ОБЛАСТИ</v>
      </c>
      <c r="K4045" s="24" t="s">
        <v>779</v>
      </c>
      <c r="L4045" s="28" t="s">
        <v>52</v>
      </c>
      <c r="M4045" s="25">
        <v>73250.28</v>
      </c>
      <c r="N4045" s="27">
        <v>0.23500375499451867</v>
      </c>
    </row>
    <row r="4046" spans="1:14" x14ac:dyDescent="0.15">
      <c r="A4046" s="23" t="str">
        <f>HYPERLINK("https://www.spark-marketing.ru/Card/Person/126373", "МБОУ ""СОШ №8""")</f>
        <v>МБОУ "СОШ №8"</v>
      </c>
      <c r="B4046" s="24" t="s">
        <v>5838</v>
      </c>
      <c r="C4046" s="25">
        <v>64873.2</v>
      </c>
      <c r="D4046" s="22" t="s">
        <v>5839</v>
      </c>
      <c r="E4046" s="22" t="s">
        <v>84</v>
      </c>
      <c r="F4046" s="23" t="str">
        <f>HYPERLINK("https://www.spark-marketing.ru/Card/Lot/72241890", "Выполнение работ по установке и монтажу системы видеонаблюдения для нужд МБОУ «Средняя школа №8»")</f>
        <v>Выполнение работ по установке и монтажу системы видеонаблюдения для нужд МБОУ «Средняя школа №8»</v>
      </c>
      <c r="G4046" s="22" t="s">
        <v>50</v>
      </c>
      <c r="H4046" s="22" t="s">
        <v>1960</v>
      </c>
      <c r="I4046" s="26">
        <v>43668.4515046296</v>
      </c>
      <c r="J4046" s="28" t="s">
        <v>52</v>
      </c>
      <c r="K4046" s="28" t="s">
        <v>52</v>
      </c>
      <c r="L4046" s="28" t="s">
        <v>52</v>
      </c>
      <c r="M4046" s="28" t="s">
        <v>52</v>
      </c>
      <c r="N4046" s="28" t="s">
        <v>52</v>
      </c>
    </row>
    <row r="4047" spans="1:14" x14ac:dyDescent="0.15">
      <c r="A4047" s="23" t="str">
        <f>HYPERLINK("https://www.spark-marketing.ru/Card/Person/8126", "ТФОМС ИРКУТСКОЙ ОБЛАСТИ")</f>
        <v>ТФОМС ИРКУТСКОЙ ОБЛАСТИ</v>
      </c>
      <c r="B4047" s="24" t="s">
        <v>2807</v>
      </c>
      <c r="C4047" s="25">
        <v>50400</v>
      </c>
      <c r="D4047" s="22" t="s">
        <v>5840</v>
      </c>
      <c r="E4047" s="22" t="s">
        <v>52</v>
      </c>
      <c r="F4047" s="23" t="str">
        <f>HYPERLINK("https://www.spark-marketing.ru/Card/Lot/72239339", "Услуги охраны с помощью сигнализации офиса Братского филиала с 01.01.2020 г. по 31.12.2021 г.")</f>
        <v>Услуги охраны с помощью сигнализации офиса Братского филиала с 01.01.2020 г. по 31.12.2021 г.</v>
      </c>
      <c r="G4047" s="22" t="s">
        <v>281</v>
      </c>
      <c r="H4047" s="22" t="s">
        <v>281</v>
      </c>
      <c r="I4047" s="26">
        <v>43668.440856481502</v>
      </c>
      <c r="J4047" s="23" t="str">
        <f>HYPERLINK("https://www.spark-marketing.ru/Card/Person/263655", "ООО ""ФАВОРИТ-Х""")</f>
        <v>ООО "ФАВОРИТ-Х"</v>
      </c>
      <c r="K4047" s="24" t="s">
        <v>1475</v>
      </c>
      <c r="L4047" s="22" t="s">
        <v>10</v>
      </c>
      <c r="M4047" s="28" t="s">
        <v>52</v>
      </c>
      <c r="N4047" s="28" t="s">
        <v>52</v>
      </c>
    </row>
    <row r="4048" spans="1:14" x14ac:dyDescent="0.15">
      <c r="A4048" s="23" t="str">
        <f>HYPERLINK("https://www.spark-marketing.ru/Card/Person/81323", "АО ""МПЗ""")</f>
        <v>АО "МПЗ"</v>
      </c>
      <c r="B4048" s="24" t="s">
        <v>5841</v>
      </c>
      <c r="C4048" s="25">
        <v>325759.46999999997</v>
      </c>
      <c r="D4048" s="22" t="s">
        <v>5842</v>
      </c>
      <c r="E4048" s="22" t="s">
        <v>5843</v>
      </c>
      <c r="F4048" s="23" t="str">
        <f>HYPERLINK("https://www.spark-marketing.ru/Card/Lot/72263534", "0829-2019-00589. Оказание услуг по централизованной охране объектов и реагированию на сигналы «Тревога» с объектов")</f>
        <v>0829-2019-00589. Оказание услуг по централизованной охране объектов и реагированию на сигналы «Тревога» с объектов</v>
      </c>
      <c r="G4048" s="22" t="s">
        <v>145</v>
      </c>
      <c r="H4048" s="22" t="s">
        <v>5844</v>
      </c>
      <c r="I4048" s="26">
        <v>43668.382928240702</v>
      </c>
      <c r="J4048" s="28" t="s">
        <v>52</v>
      </c>
      <c r="K4048" s="28" t="s">
        <v>52</v>
      </c>
      <c r="L4048" s="28" t="s">
        <v>52</v>
      </c>
      <c r="M4048" s="28" t="s">
        <v>52</v>
      </c>
      <c r="N4048" s="28" t="s">
        <v>52</v>
      </c>
    </row>
    <row r="4049" spans="1:14" x14ac:dyDescent="0.15">
      <c r="A4049" s="23" t="str">
        <f>HYPERLINK("https://www.spark-marketing.ru/Card/Person/647295", "ТЕРРИТОРИАЛЬНЫЙ ОРГАН РОСЗДРАВНАДЗОРА ПО РЕСПУБЛИКЕ ХАКАСИЯ")</f>
        <v>ТЕРРИТОРИАЛЬНЫЙ ОРГАН РОСЗДРАВНАДЗОРА ПО РЕСПУБЛИКЕ ХАКАСИЯ</v>
      </c>
      <c r="B4049" s="24" t="s">
        <v>5845</v>
      </c>
      <c r="C4049" s="25">
        <v>59935.55</v>
      </c>
      <c r="D4049" s="22" t="s">
        <v>5846</v>
      </c>
      <c r="E4049" s="22" t="s">
        <v>59</v>
      </c>
      <c r="F4049" s="23" t="str">
        <f>HYPERLINK("https://www.spark-marketing.ru/Card/Lot/72237765", "Работы по установке комплекса охранной сигнализации, 1 шт")</f>
        <v>Работы по установке комплекса охранной сигнализации, 1 шт</v>
      </c>
      <c r="G4049" s="22" t="s">
        <v>1041</v>
      </c>
      <c r="H4049" s="22" t="s">
        <v>4311</v>
      </c>
      <c r="I4049" s="26">
        <v>43668.367037037002</v>
      </c>
      <c r="J4049" s="28" t="s">
        <v>52</v>
      </c>
      <c r="K4049" s="28" t="s">
        <v>52</v>
      </c>
      <c r="L4049" s="28" t="s">
        <v>52</v>
      </c>
      <c r="M4049" s="28" t="s">
        <v>52</v>
      </c>
      <c r="N4049" s="28" t="s">
        <v>52</v>
      </c>
    </row>
    <row r="4050" spans="1:14" x14ac:dyDescent="0.15">
      <c r="A4050" s="23" t="str">
        <f>HYPERLINK("https://www.spark-marketing.ru/Card/Person/6654352", "ЗАПАДНО–СИБИРСКАЯ ДИРЕКЦИЯ ПАССАЖИРСКИХ ОБУСТРОЙСТВ – СТРУКТУРНОЕ ПОДРАЗДЕЛЕНИЕ ЦЕНТРАЛЬНОЙ ДИРЕКЦИИ ПАССАЖИРСКИХ ОБУСТРОЙСТВ – ФЛ ОАО РЖД")</f>
        <v>ЗАПАДНО–СИБИРСКАЯ ДИРЕКЦИЯ ПАССАЖИРСКИХ ОБУСТРОЙСТВ – СТРУКТУРНОЕ ПОДРАЗДЕЛЕНИЕ ЦЕНТРАЛЬНОЙ ДИРЕКЦИИ ПАССАЖИРСКИХ ОБУСТРОЙСТВ – ФЛ ОАО РЖД</v>
      </c>
      <c r="B4050" s="24" t="s">
        <v>163</v>
      </c>
      <c r="C4050" s="25">
        <v>386588.15999999997</v>
      </c>
      <c r="D4050" s="28" t="s">
        <v>52</v>
      </c>
      <c r="E4050" s="22" t="s">
        <v>68</v>
      </c>
      <c r="F4050" s="23" t="str">
        <f>HYPERLINK("https://www.spark-marketing.ru/Card/Lot/72430057", "№22122 Оказание услуг по охране имущества ОАО ""РЖД"" - вокзал на ст. Усть- Тальменская")</f>
        <v>№22122 Оказание услуг по охране имущества ОАО "РЖД" - вокзал на ст. Усть- Тальменская</v>
      </c>
      <c r="G4050" s="22" t="s">
        <v>52</v>
      </c>
      <c r="H4050" s="22" t="s">
        <v>52</v>
      </c>
      <c r="I4050" s="26">
        <v>43668.289351851898</v>
      </c>
      <c r="J4050" s="28" t="s">
        <v>52</v>
      </c>
      <c r="K4050" s="28" t="s">
        <v>52</v>
      </c>
      <c r="L4050" s="28" t="s">
        <v>52</v>
      </c>
      <c r="M4050" s="28" t="s">
        <v>52</v>
      </c>
      <c r="N4050" s="28" t="s">
        <v>52</v>
      </c>
    </row>
    <row r="4051" spans="1:14" x14ac:dyDescent="0.15">
      <c r="A4051" s="23" t="str">
        <f>HYPERLINK("https://www.spark-marketing.ru/Card/Person/9697", "УПРАВЛЕНИЕ РОССЕЛЬХОЗНАДЗОРА ПО ПРИМОРСКОМУ КРАЮ И САХАЛИНСКОЙ ОБЛАСТИ")</f>
        <v>УПРАВЛЕНИЕ РОССЕЛЬХОЗНАДЗОРА ПО ПРИМОРСКОМУ КРАЮ И САХАЛИНСКОЙ ОБЛАСТИ</v>
      </c>
      <c r="B4051" s="24" t="s">
        <v>5847</v>
      </c>
      <c r="C4051" s="25">
        <v>68796</v>
      </c>
      <c r="D4051" s="22" t="s">
        <v>5848</v>
      </c>
      <c r="E4051" s="22" t="s">
        <v>53</v>
      </c>
      <c r="F4051" s="23" t="str">
        <f>HYPERLINK("https://www.spark-marketing.ru/Card/Lot/72236192", "Централизованная охрана объектов (п. Пограничный)")</f>
        <v>Централизованная охрана объектов (п. Пограничный)</v>
      </c>
      <c r="G4051" s="22" t="s">
        <v>409</v>
      </c>
      <c r="H4051" s="22" t="s">
        <v>878</v>
      </c>
      <c r="I4051" s="26">
        <v>43668.229664351798</v>
      </c>
      <c r="J4051" s="28" t="s">
        <v>52</v>
      </c>
      <c r="K4051" s="28" t="s">
        <v>52</v>
      </c>
      <c r="L4051" s="28" t="s">
        <v>52</v>
      </c>
      <c r="M4051" s="28" t="s">
        <v>52</v>
      </c>
      <c r="N4051" s="28" t="s">
        <v>52</v>
      </c>
    </row>
    <row r="4052" spans="1:14" x14ac:dyDescent="0.15">
      <c r="A4052" s="23" t="str">
        <f>HYPERLINK("https://www.spark-marketing.ru/Card/Person/148302", "МБДОУ ""ДЕТСКИЙ САД ОБЩЕРАЗВИВАЮЩЕГО ВИДА № 50"" НМРРТ")</f>
        <v>МБДОУ "ДЕТСКИЙ САД ОБЩЕРАЗВИВАЮЩЕГО ВИДА № 50" НМРРТ</v>
      </c>
      <c r="B4052" s="24" t="s">
        <v>5849</v>
      </c>
      <c r="C4052" s="25">
        <v>8025</v>
      </c>
      <c r="D4052" s="22" t="s">
        <v>5850</v>
      </c>
      <c r="E4052" s="22" t="s">
        <v>53</v>
      </c>
      <c r="F4052" s="23" t="str">
        <f>HYPERLINK("https://www.spark-marketing.ru/Card/Lot/73772447", "Техническое обслуживание системы видеонаблюдения")</f>
        <v>Техническое обслуживание системы видеонаблюдения</v>
      </c>
      <c r="G4052" s="22" t="s">
        <v>204</v>
      </c>
      <c r="H4052" s="22" t="s">
        <v>824</v>
      </c>
      <c r="I4052" s="26">
        <v>43668.699305555601</v>
      </c>
      <c r="J4052" s="28" t="s">
        <v>52</v>
      </c>
      <c r="K4052" s="28" t="s">
        <v>52</v>
      </c>
      <c r="L4052" s="28" t="s">
        <v>52</v>
      </c>
      <c r="M4052" s="28" t="s">
        <v>52</v>
      </c>
      <c r="N4052" s="28" t="s">
        <v>52</v>
      </c>
    </row>
    <row r="4053" spans="1:14" x14ac:dyDescent="0.15">
      <c r="A4053" s="23" t="str">
        <f>HYPERLINK("https://www.spark-marketing.ru/Card/Person/5904509", "ЛОВД на ст.Калуга УТ МВД России по ЦФО")</f>
        <v>ЛОВД на ст.Калуга УТ МВД России по ЦФО</v>
      </c>
      <c r="B4053" s="24" t="s">
        <v>5500</v>
      </c>
      <c r="C4053" s="25">
        <v>20000</v>
      </c>
      <c r="D4053" s="22" t="s">
        <v>5851</v>
      </c>
      <c r="E4053" s="22" t="s">
        <v>107</v>
      </c>
      <c r="F4053" s="23" t="str">
        <f>HYPERLINK("https://www.spark-marketing.ru/Card/Lot/72234610", "Техническое обслуживание видеодомофона, 1 мес")</f>
        <v>Техническое обслуживание видеодомофона, 1 мес</v>
      </c>
      <c r="G4053" s="22" t="s">
        <v>658</v>
      </c>
      <c r="H4053" s="22" t="s">
        <v>741</v>
      </c>
      <c r="I4053" s="26">
        <v>43667.528240740699</v>
      </c>
      <c r="J4053" s="28" t="s">
        <v>52</v>
      </c>
      <c r="K4053" s="28" t="s">
        <v>52</v>
      </c>
      <c r="L4053" s="28" t="s">
        <v>52</v>
      </c>
      <c r="M4053" s="28" t="s">
        <v>52</v>
      </c>
      <c r="N4053" s="28" t="s">
        <v>52</v>
      </c>
    </row>
    <row r="4054" spans="1:14" x14ac:dyDescent="0.15">
      <c r="A4054" s="23" t="str">
        <f>HYPERLINK("https://www.spark-marketing.ru/Card/Person/1001358", "МБДОУ № 77")</f>
        <v>МБДОУ № 77</v>
      </c>
      <c r="B4054" s="24" t="s">
        <v>5852</v>
      </c>
      <c r="C4054" s="25">
        <v>31000</v>
      </c>
      <c r="D4054" s="22" t="s">
        <v>5853</v>
      </c>
      <c r="E4054" s="22" t="s">
        <v>208</v>
      </c>
      <c r="F4054" s="23" t="str">
        <f>HYPERLINK("https://www.spark-marketing.ru/Card/Lot/72233964", "Охрана")</f>
        <v>Охрана</v>
      </c>
      <c r="G4054" s="22" t="s">
        <v>50</v>
      </c>
      <c r="H4054" s="22" t="s">
        <v>265</v>
      </c>
      <c r="I4054" s="26">
        <v>43666.898738425902</v>
      </c>
      <c r="J4054" s="28" t="s">
        <v>52</v>
      </c>
      <c r="K4054" s="28" t="s">
        <v>52</v>
      </c>
      <c r="L4054" s="28" t="s">
        <v>52</v>
      </c>
      <c r="M4054" s="28" t="s">
        <v>52</v>
      </c>
      <c r="N4054" s="28" t="s">
        <v>52</v>
      </c>
    </row>
    <row r="4055" spans="1:14" x14ac:dyDescent="0.15">
      <c r="A4055" s="23" t="str">
        <f>HYPERLINK("https://www.spark-marketing.ru/Card/Person/127214", "УПРАВЛЕНИЕ РОССЕЛЬХОЗНАДЗОРА ПО ВЛАДИМИРСКОЙ ОБЛАСТИ")</f>
        <v>УПРАВЛЕНИЕ РОССЕЛЬХОЗНАДЗОРА ПО ВЛАДИМИРСКОЙ ОБЛАСТИ</v>
      </c>
      <c r="B4055" s="24" t="s">
        <v>5854</v>
      </c>
      <c r="C4055" s="25">
        <v>665065.5</v>
      </c>
      <c r="D4055" s="22" t="s">
        <v>5855</v>
      </c>
      <c r="E4055" s="22" t="s">
        <v>68</v>
      </c>
      <c r="F4055" s="23" t="str">
        <f>HYPERLINK("https://www.spark-marketing.ru/Card/Lot/72238928", "Услуги по охране объекта")</f>
        <v>Услуги по охране объекта</v>
      </c>
      <c r="G4055" s="22" t="s">
        <v>145</v>
      </c>
      <c r="H4055" s="22" t="s">
        <v>146</v>
      </c>
      <c r="I4055" s="26">
        <v>43665.912118055603</v>
      </c>
      <c r="J4055" s="28" t="s">
        <v>52</v>
      </c>
      <c r="K4055" s="28" t="s">
        <v>52</v>
      </c>
      <c r="L4055" s="28" t="s">
        <v>52</v>
      </c>
      <c r="M4055" s="28" t="s">
        <v>52</v>
      </c>
      <c r="N4055" s="28" t="s">
        <v>52</v>
      </c>
    </row>
    <row r="4056" spans="1:14" x14ac:dyDescent="0.15">
      <c r="A4056" s="23" t="str">
        <f>HYPERLINK("https://www.spark-marketing.ru/Card/Person/16528", "ЯИВТ (филиал) ФГБОУ ВО ""СГУВТ""")</f>
        <v>ЯИВТ (филиал) ФГБОУ ВО "СГУВТ"</v>
      </c>
      <c r="B4056" s="24" t="s">
        <v>5856</v>
      </c>
      <c r="C4056" s="25">
        <v>310566.40999999997</v>
      </c>
      <c r="D4056" s="22" t="s">
        <v>5857</v>
      </c>
      <c r="E4056" s="22" t="s">
        <v>59</v>
      </c>
      <c r="F4056" s="23" t="str">
        <f>HYPERLINK("https://www.spark-marketing.ru/Card/Lot/72236096", "Выполнение работ по монтажу системы видеонаблюдения")</f>
        <v>Выполнение работ по монтажу системы видеонаблюдения</v>
      </c>
      <c r="G4056" s="22" t="s">
        <v>424</v>
      </c>
      <c r="H4056" s="22" t="s">
        <v>1186</v>
      </c>
      <c r="I4056" s="26">
        <v>43665.863437499997</v>
      </c>
      <c r="J4056" s="28" t="s">
        <v>52</v>
      </c>
      <c r="K4056" s="28" t="s">
        <v>52</v>
      </c>
      <c r="L4056" s="28" t="s">
        <v>52</v>
      </c>
      <c r="M4056" s="28" t="s">
        <v>52</v>
      </c>
      <c r="N4056" s="28" t="s">
        <v>52</v>
      </c>
    </row>
    <row r="4057" spans="1:14" ht="12.75" hidden="1" outlineLevel="1" x14ac:dyDescent="0.2">
      <c r="A4057" s="23" t="str">
        <f>HYPERLINK("https://www.spark-marketing.ru/Card/Person/16528", "ЯИВТ (филиал) ФГБОУ ВО ""СГУВТ""")</f>
        <v>ЯИВТ (филиал) ФГБОУ ВО "СГУВТ"</v>
      </c>
      <c r="B4057" s="24" t="s">
        <v>5856</v>
      </c>
      <c r="C4057" s="25">
        <v>310566.40999999997</v>
      </c>
      <c r="D4057" s="22" t="s">
        <v>5857</v>
      </c>
      <c r="E4057" s="22" t="s">
        <v>59</v>
      </c>
      <c r="F4057" s="23" t="str">
        <f>HYPERLINK("https://www.spark-marketing.ru/Card/Lot/72236096", "Выполнение работ по монтажу системы видеонаблюдения")</f>
        <v>Выполнение работ по монтажу системы видеонаблюдения</v>
      </c>
      <c r="G4057" s="22" t="s">
        <v>424</v>
      </c>
      <c r="H4057" s="22" t="s">
        <v>1186</v>
      </c>
      <c r="I4057" s="26">
        <v>43665.863437499997</v>
      </c>
      <c r="J4057" s="23" t="str">
        <f>HYPERLINK("https://www.spark-marketing.ru/Card/Person/4543539", "ООО ""ТМК ""ПЕРИМЕТР""")</f>
        <v>ООО "ТМК "ПЕРИМЕТР"</v>
      </c>
      <c r="K4057" s="24" t="s">
        <v>5858</v>
      </c>
      <c r="L4057" s="22" t="s">
        <v>10</v>
      </c>
      <c r="M4057" s="25">
        <v>234477.33</v>
      </c>
      <c r="N4057" s="27">
        <v>0.24500099672723782</v>
      </c>
    </row>
    <row r="4058" spans="1:14" hidden="1" outlineLevel="1" x14ac:dyDescent="0.2">
      <c r="A4058" s="23" t="str">
        <f>HYPERLINK("https://www.spark-marketing.ru/Card/Person/16528", "ЯИВТ (филиал) ФГБОУ ВО ""СГУВТ""")</f>
        <v>ЯИВТ (филиал) ФГБОУ ВО "СГУВТ"</v>
      </c>
      <c r="B4058" s="24" t="s">
        <v>5856</v>
      </c>
      <c r="C4058" s="25">
        <v>310566.40999999997</v>
      </c>
      <c r="D4058" s="22" t="s">
        <v>5857</v>
      </c>
      <c r="E4058" s="22" t="s">
        <v>59</v>
      </c>
      <c r="F4058" s="23" t="str">
        <f>HYPERLINK("https://www.spark-marketing.ru/Card/Lot/72236096", "Выполнение работ по монтажу системы видеонаблюдения")</f>
        <v>Выполнение работ по монтажу системы видеонаблюдения</v>
      </c>
      <c r="G4058" s="22" t="s">
        <v>424</v>
      </c>
      <c r="H4058" s="22" t="s">
        <v>1186</v>
      </c>
      <c r="I4058" s="26">
        <v>43665.863437499997</v>
      </c>
      <c r="J4058" s="23" t="str">
        <f>HYPERLINK("https://www.spark-marketing.ru/Card/Person/6677597", "Негнюров Виталий Васильевич")</f>
        <v>Негнюров Виталий Васильевич</v>
      </c>
      <c r="K4058" s="24" t="s">
        <v>2212</v>
      </c>
      <c r="L4058" s="28" t="s">
        <v>52</v>
      </c>
      <c r="M4058" s="25">
        <v>232924.49</v>
      </c>
      <c r="N4058" s="27">
        <v>0.25000102232562754</v>
      </c>
    </row>
    <row r="4059" spans="1:14" hidden="1" outlineLevel="1" x14ac:dyDescent="0.2">
      <c r="A4059" s="23" t="str">
        <f>HYPERLINK("https://www.spark-marketing.ru/Card/Person/16528", "ЯИВТ (филиал) ФГБОУ ВО ""СГУВТ""")</f>
        <v>ЯИВТ (филиал) ФГБОУ ВО "СГУВТ"</v>
      </c>
      <c r="B4059" s="24" t="s">
        <v>5856</v>
      </c>
      <c r="C4059" s="25">
        <v>310566.40999999997</v>
      </c>
      <c r="D4059" s="22" t="s">
        <v>5857</v>
      </c>
      <c r="E4059" s="22" t="s">
        <v>59</v>
      </c>
      <c r="F4059" s="23" t="str">
        <f>HYPERLINK("https://www.spark-marketing.ru/Card/Lot/72236096", "Выполнение работ по монтажу системы видеонаблюдения")</f>
        <v>Выполнение работ по монтажу системы видеонаблюдения</v>
      </c>
      <c r="G4059" s="22" t="s">
        <v>424</v>
      </c>
      <c r="H4059" s="22" t="s">
        <v>1186</v>
      </c>
      <c r="I4059" s="26">
        <v>43665.863437499997</v>
      </c>
      <c r="J4059" s="23" t="str">
        <f>HYPERLINK("https://www.spark-marketing.ru/Card/Person/16587", "ООО ""НС - БЕЗОПАСНОСТЬ""")</f>
        <v>ООО "НС - БЕЗОПАСНОСТЬ"</v>
      </c>
      <c r="K4059" s="24" t="s">
        <v>5859</v>
      </c>
      <c r="L4059" s="28" t="s">
        <v>52</v>
      </c>
      <c r="M4059" s="25">
        <v>277956.84999999998</v>
      </c>
      <c r="N4059" s="27">
        <v>0.1050002799723254</v>
      </c>
    </row>
    <row r="4060" spans="1:14" x14ac:dyDescent="0.15">
      <c r="A4060" s="23" t="str">
        <f>HYPERLINK("https://www.spark-marketing.ru/Card/Person/5904509", "ЛОВД на ст.Калуга УТ МВД России по ЦФО")</f>
        <v>ЛОВД на ст.Калуга УТ МВД России по ЦФО</v>
      </c>
      <c r="B4060" s="24" t="s">
        <v>5500</v>
      </c>
      <c r="C4060" s="25">
        <v>20000</v>
      </c>
      <c r="D4060" s="22" t="s">
        <v>5860</v>
      </c>
      <c r="E4060" s="22" t="s">
        <v>107</v>
      </c>
      <c r="F4060" s="23" t="str">
        <f>HYPERLINK("https://www.spark-marketing.ru/Card/Lot/72224171", "Техническое обслуживание видеодомофона, 1 мес")</f>
        <v>Техническое обслуживание видеодомофона, 1 мес</v>
      </c>
      <c r="G4060" s="22" t="s">
        <v>658</v>
      </c>
      <c r="H4060" s="22" t="s">
        <v>741</v>
      </c>
      <c r="I4060" s="26">
        <v>43665.7245833333</v>
      </c>
      <c r="J4060" s="28" t="s">
        <v>52</v>
      </c>
      <c r="K4060" s="28" t="s">
        <v>52</v>
      </c>
      <c r="L4060" s="28" t="s">
        <v>52</v>
      </c>
      <c r="M4060" s="28" t="s">
        <v>52</v>
      </c>
      <c r="N4060" s="28" t="s">
        <v>52</v>
      </c>
    </row>
    <row r="4061" spans="1:14" x14ac:dyDescent="0.15">
      <c r="A4061" s="23" t="str">
        <f>HYPERLINK("https://www.spark-marketing.ru/Card/Person/253470", "ООО ""ПХК ЦСКА""")</f>
        <v>ООО "ПХК ЦСКА"</v>
      </c>
      <c r="B4061" s="24" t="s">
        <v>5834</v>
      </c>
      <c r="C4061" s="25">
        <v>21352614.25</v>
      </c>
      <c r="D4061" s="22" t="s">
        <v>5861</v>
      </c>
      <c r="E4061" s="22" t="s">
        <v>53</v>
      </c>
      <c r="F4061" s="23" t="str">
        <f>HYPERLINK("https://www.spark-marketing.ru/Card/Lot/72225694", "Номер закупки 41. Оказание охранных услуг")</f>
        <v>Номер закупки 41. Оказание охранных услуг</v>
      </c>
      <c r="G4061" s="22" t="s">
        <v>55</v>
      </c>
      <c r="H4061" s="22" t="s">
        <v>55</v>
      </c>
      <c r="I4061" s="26">
        <v>43665.721527777801</v>
      </c>
      <c r="J4061" s="28" t="s">
        <v>52</v>
      </c>
      <c r="K4061" s="28" t="s">
        <v>52</v>
      </c>
      <c r="L4061" s="28" t="s">
        <v>52</v>
      </c>
      <c r="M4061" s="28" t="s">
        <v>52</v>
      </c>
      <c r="N4061" s="28" t="s">
        <v>52</v>
      </c>
    </row>
    <row r="4062" spans="1:14" x14ac:dyDescent="0.15">
      <c r="A4062" s="23" t="str">
        <f>HYPERLINK("https://www.spark-marketing.ru/Card/Person/1083343", "МКУ ""УПРАВЛЕНИЕ АДМИНИСТРАТИВНЫМИ ЗДАНИЯМИ""")</f>
        <v>МКУ "УПРАВЛЕНИЕ АДМИНИСТРАТИВНЫМИ ЗДАНИЯМИ"</v>
      </c>
      <c r="B4062" s="24" t="s">
        <v>5862</v>
      </c>
      <c r="C4062" s="25">
        <v>596250</v>
      </c>
      <c r="D4062" s="22" t="s">
        <v>5863</v>
      </c>
      <c r="E4062" s="22" t="s">
        <v>52</v>
      </c>
      <c r="F4062" s="23" t="str">
        <f>HYPERLINK("https://www.spark-marketing.ru/Card/Lot/72233811", "Оказание услуг по охране Курильск Охотская 5 А")</f>
        <v>Оказание услуг по охране Курильск Охотская 5 А</v>
      </c>
      <c r="G4062" s="22" t="s">
        <v>69</v>
      </c>
      <c r="H4062" s="22" t="s">
        <v>5864</v>
      </c>
      <c r="I4062" s="26">
        <v>43665.707372685203</v>
      </c>
      <c r="J4062" s="28" t="s">
        <v>52</v>
      </c>
      <c r="K4062" s="28" t="s">
        <v>52</v>
      </c>
      <c r="L4062" s="28" t="s">
        <v>52</v>
      </c>
      <c r="M4062" s="28" t="s">
        <v>52</v>
      </c>
      <c r="N4062" s="28" t="s">
        <v>52</v>
      </c>
    </row>
    <row r="4063" spans="1:14" hidden="1" outlineLevel="1" x14ac:dyDescent="0.2">
      <c r="A4063" s="23" t="str">
        <f>HYPERLINK("https://www.spark-marketing.ru/Card/Person/1083343", "МКУ ""УПРАВЛЕНИЕ АДМИНИСТРАТИВНЫМИ ЗДАНИЯМИ""")</f>
        <v>МКУ "УПРАВЛЕНИЕ АДМИНИСТРАТИВНЫМИ ЗДАНИЯМИ"</v>
      </c>
      <c r="B4063" s="24" t="s">
        <v>5862</v>
      </c>
      <c r="C4063" s="25">
        <v>596250</v>
      </c>
      <c r="D4063" s="22" t="s">
        <v>5863</v>
      </c>
      <c r="E4063" s="22" t="s">
        <v>52</v>
      </c>
      <c r="F4063" s="23" t="str">
        <f>HYPERLINK("https://www.spark-marketing.ru/Card/Lot/72233811", "Оказание услуг по охране Курильск Охотская 5 А")</f>
        <v>Оказание услуг по охране Курильск Охотская 5 А</v>
      </c>
      <c r="G4063" s="22" t="s">
        <v>69</v>
      </c>
      <c r="H4063" s="22" t="s">
        <v>5864</v>
      </c>
      <c r="I4063" s="26">
        <v>43665.707372685203</v>
      </c>
      <c r="J4063" s="23" t="str">
        <f>HYPERLINK("https://www.spark-marketing.ru/Card/Person/2592248", "ООО ""ФОРТУНА-С""")</f>
        <v>ООО "ФОРТУНА-С"</v>
      </c>
      <c r="K4063" s="24" t="s">
        <v>5865</v>
      </c>
      <c r="L4063" s="28" t="s">
        <v>52</v>
      </c>
      <c r="M4063" s="25">
        <v>590287.5</v>
      </c>
      <c r="N4063" s="27">
        <v>0.01</v>
      </c>
    </row>
    <row r="4064" spans="1:14" ht="12.75" hidden="1" outlineLevel="1" x14ac:dyDescent="0.2">
      <c r="A4064" s="23" t="str">
        <f>HYPERLINK("https://www.spark-marketing.ru/Card/Person/1083343", "МКУ ""УПРАВЛЕНИЕ АДМИНИСТРАТИВНЫМИ ЗДАНИЯМИ""")</f>
        <v>МКУ "УПРАВЛЕНИЕ АДМИНИСТРАТИВНЫМИ ЗДАНИЯМИ"</v>
      </c>
      <c r="B4064" s="24" t="s">
        <v>5862</v>
      </c>
      <c r="C4064" s="25">
        <v>596250</v>
      </c>
      <c r="D4064" s="22" t="s">
        <v>5863</v>
      </c>
      <c r="E4064" s="22" t="s">
        <v>52</v>
      </c>
      <c r="F4064" s="23" t="str">
        <f>HYPERLINK("https://www.spark-marketing.ru/Card/Lot/72233811", "Оказание услуг по охране Курильск Охотская 5 А")</f>
        <v>Оказание услуг по охране Курильск Охотская 5 А</v>
      </c>
      <c r="G4064" s="22" t="s">
        <v>69</v>
      </c>
      <c r="H4064" s="22" t="s">
        <v>5864</v>
      </c>
      <c r="I4064" s="26">
        <v>43665.707372685203</v>
      </c>
      <c r="J4064" s="23" t="str">
        <f>HYPERLINK("https://www.spark-marketing.ru/Card/Person/804697", "ООО ""ОХРАННОЕ АГЕНТСТВО ""ФОРТ""")</f>
        <v>ООО "ОХРАННОЕ АГЕНТСТВО "ФОРТ"</v>
      </c>
      <c r="K4064" s="24" t="s">
        <v>5866</v>
      </c>
      <c r="L4064" s="22" t="s">
        <v>10</v>
      </c>
      <c r="M4064" s="25">
        <v>572400</v>
      </c>
      <c r="N4064" s="27">
        <v>0.04</v>
      </c>
    </row>
    <row r="4065" spans="1:14" hidden="1" outlineLevel="1" x14ac:dyDescent="0.2">
      <c r="A4065" s="23" t="str">
        <f>HYPERLINK("https://www.spark-marketing.ru/Card/Person/1083343", "МКУ ""УПРАВЛЕНИЕ АДМИНИСТРАТИВНЫМИ ЗДАНИЯМИ""")</f>
        <v>МКУ "УПРАВЛЕНИЕ АДМИНИСТРАТИВНЫМИ ЗДАНИЯМИ"</v>
      </c>
      <c r="B4065" s="24" t="s">
        <v>5862</v>
      </c>
      <c r="C4065" s="25">
        <v>596250</v>
      </c>
      <c r="D4065" s="22" t="s">
        <v>5863</v>
      </c>
      <c r="E4065" s="22" t="s">
        <v>52</v>
      </c>
      <c r="F4065" s="23" t="str">
        <f>HYPERLINK("https://www.spark-marketing.ru/Card/Lot/72233811", "Оказание услуг по охране Курильск Охотская 5 А")</f>
        <v>Оказание услуг по охране Курильск Охотская 5 А</v>
      </c>
      <c r="G4065" s="22" t="s">
        <v>69</v>
      </c>
      <c r="H4065" s="22" t="s">
        <v>5864</v>
      </c>
      <c r="I4065" s="26">
        <v>43665.707372685203</v>
      </c>
      <c r="J4065" s="23" t="str">
        <f>HYPERLINK("https://www.spark-marketing.ru/Card/Person/804585", "ООО ""ЧОО ""ЗАСТАВА-С""")</f>
        <v>ООО "ЧОО "ЗАСТАВА-С"</v>
      </c>
      <c r="K4065" s="24" t="s">
        <v>5867</v>
      </c>
      <c r="L4065" s="28" t="s">
        <v>52</v>
      </c>
      <c r="M4065" s="25">
        <v>581343.74</v>
      </c>
      <c r="N4065" s="27">
        <v>2.500001677148847E-2</v>
      </c>
    </row>
    <row r="4066" spans="1:14" hidden="1" outlineLevel="1" x14ac:dyDescent="0.2">
      <c r="A4066" s="23" t="str">
        <f>HYPERLINK("https://www.spark-marketing.ru/Card/Person/1083343", "МКУ ""УПРАВЛЕНИЕ АДМИНИСТРАТИВНЫМИ ЗДАНИЯМИ""")</f>
        <v>МКУ "УПРАВЛЕНИЕ АДМИНИСТРАТИВНЫМИ ЗДАНИЯМИ"</v>
      </c>
      <c r="B4066" s="24" t="s">
        <v>5862</v>
      </c>
      <c r="C4066" s="25">
        <v>596250</v>
      </c>
      <c r="D4066" s="22" t="s">
        <v>5863</v>
      </c>
      <c r="E4066" s="22" t="s">
        <v>52</v>
      </c>
      <c r="F4066" s="23" t="str">
        <f>HYPERLINK("https://www.spark-marketing.ru/Card/Lot/72233811", "Оказание услуг по охране Курильск Охотская 5 А")</f>
        <v>Оказание услуг по охране Курильск Охотская 5 А</v>
      </c>
      <c r="G4066" s="22" t="s">
        <v>69</v>
      </c>
      <c r="H4066" s="22" t="s">
        <v>5864</v>
      </c>
      <c r="I4066" s="26">
        <v>43665.707372685203</v>
      </c>
      <c r="J4066" s="23" t="str">
        <f>HYPERLINK("https://www.spark-marketing.ru/Card/Person/6109351", "ООО ""ВТ""")</f>
        <v>ООО "ВТ"</v>
      </c>
      <c r="K4066" s="24" t="s">
        <v>5868</v>
      </c>
      <c r="L4066" s="28" t="s">
        <v>52</v>
      </c>
      <c r="M4066" s="25">
        <v>575381.25</v>
      </c>
      <c r="N4066" s="27">
        <v>3.5000000000000003E-2</v>
      </c>
    </row>
    <row r="4067" spans="1:14" x14ac:dyDescent="0.15">
      <c r="A4067" s="23" t="str">
        <f>HYPERLINK("https://www.spark-marketing.ru/Card/Person/4858274", "ООО ""СБ ДЕВЕЛОПМЕНТ""")</f>
        <v>ООО "СБ ДЕВЕЛОПМЕНТ"</v>
      </c>
      <c r="B4067" s="24" t="s">
        <v>5869</v>
      </c>
      <c r="C4067" s="25">
        <v>3300000</v>
      </c>
      <c r="D4067" s="22" t="s">
        <v>5870</v>
      </c>
      <c r="E4067" s="22" t="s">
        <v>53</v>
      </c>
      <c r="F4067" s="23" t="str">
        <f>HYPERLINK("https://www.spark-marketing.ru/Card/Lot/72222616", "Выбор подрядной организации на выполнение комплекса работ по геодезическому сопровождению строительства Объекта «Реконструкция Здания Центра обработки данных (ЦОД), Технологический модуль № 6», расположенного по адресу: г. Москва, территория инноваци...")</f>
        <v>Выбор подрядной организации на выполнение комплекса работ по геодезическому сопровождению строительства Объекта «Реконструкция Здания Центра обработки данных (ЦОД), Технологический модуль № 6», расположенного по адресу: г. Москва, территория инноваци...</v>
      </c>
      <c r="G4067" s="22" t="s">
        <v>55</v>
      </c>
      <c r="H4067" s="22" t="s">
        <v>55</v>
      </c>
      <c r="I4067" s="26">
        <v>43665.673611111102</v>
      </c>
      <c r="J4067" s="28" t="s">
        <v>52</v>
      </c>
      <c r="K4067" s="28" t="s">
        <v>52</v>
      </c>
      <c r="L4067" s="28" t="s">
        <v>52</v>
      </c>
      <c r="M4067" s="28" t="s">
        <v>52</v>
      </c>
      <c r="N4067" s="28" t="s">
        <v>52</v>
      </c>
    </row>
    <row r="4068" spans="1:14" x14ac:dyDescent="0.15">
      <c r="A4068" s="23" t="str">
        <f>HYPERLINK("https://www.spark-marketing.ru/Card/Person/1083343", "МКУ ""УПРАВЛЕНИЕ АДМИНИСТРАТИВНЫМИ ЗДАНИЯМИ""")</f>
        <v>МКУ "УПРАВЛЕНИЕ АДМИНИСТРАТИВНЫМИ ЗДАНИЯМИ"</v>
      </c>
      <c r="B4068" s="24" t="s">
        <v>5862</v>
      </c>
      <c r="C4068" s="25">
        <v>967250</v>
      </c>
      <c r="D4068" s="22" t="s">
        <v>5871</v>
      </c>
      <c r="E4068" s="22" t="s">
        <v>52</v>
      </c>
      <c r="F4068" s="23" t="str">
        <f>HYPERLINK("https://www.spark-marketing.ru/Card/Lot/72233810", "Оказание услуг по охране Курильск Приморское шоссе 5")</f>
        <v>Оказание услуг по охране Курильск Приморское шоссе 5</v>
      </c>
      <c r="G4068" s="22" t="s">
        <v>69</v>
      </c>
      <c r="H4068" s="22" t="s">
        <v>5864</v>
      </c>
      <c r="I4068" s="26">
        <v>43665.706643518497</v>
      </c>
      <c r="J4068" s="28" t="s">
        <v>52</v>
      </c>
      <c r="K4068" s="28" t="s">
        <v>52</v>
      </c>
      <c r="L4068" s="28" t="s">
        <v>52</v>
      </c>
      <c r="M4068" s="28" t="s">
        <v>52</v>
      </c>
      <c r="N4068" s="28" t="s">
        <v>52</v>
      </c>
    </row>
    <row r="4069" spans="1:14" hidden="1" outlineLevel="1" x14ac:dyDescent="0.2">
      <c r="A4069" s="23" t="str">
        <f>HYPERLINK("https://www.spark-marketing.ru/Card/Person/1083343", "МКУ ""УПРАВЛЕНИЕ АДМИНИСТРАТИВНЫМИ ЗДАНИЯМИ""")</f>
        <v>МКУ "УПРАВЛЕНИЕ АДМИНИСТРАТИВНЫМИ ЗДАНИЯМИ"</v>
      </c>
      <c r="B4069" s="24" t="s">
        <v>5862</v>
      </c>
      <c r="C4069" s="25">
        <v>967250</v>
      </c>
      <c r="D4069" s="22" t="s">
        <v>5871</v>
      </c>
      <c r="E4069" s="22" t="s">
        <v>52</v>
      </c>
      <c r="F4069" s="23" t="str">
        <f>HYPERLINK("https://www.spark-marketing.ru/Card/Lot/72233810", "Оказание услуг по охране Курильск Приморское шоссе 5")</f>
        <v>Оказание услуг по охране Курильск Приморское шоссе 5</v>
      </c>
      <c r="G4069" s="22" t="s">
        <v>69</v>
      </c>
      <c r="H4069" s="22" t="s">
        <v>5864</v>
      </c>
      <c r="I4069" s="26">
        <v>43665.706643518497</v>
      </c>
      <c r="J4069" s="23" t="str">
        <f>HYPERLINK("https://www.spark-marketing.ru/Card/Person/2592248", "ООО ""ФОРТУНА-С""")</f>
        <v>ООО "ФОРТУНА-С"</v>
      </c>
      <c r="K4069" s="24" t="s">
        <v>5865</v>
      </c>
      <c r="L4069" s="28" t="s">
        <v>52</v>
      </c>
      <c r="M4069" s="25">
        <v>836671.25</v>
      </c>
      <c r="N4069" s="27">
        <v>0.13500000000000001</v>
      </c>
    </row>
    <row r="4070" spans="1:14" hidden="1" outlineLevel="1" x14ac:dyDescent="0.2">
      <c r="A4070" s="23" t="str">
        <f>HYPERLINK("https://www.spark-marketing.ru/Card/Person/1083343", "МКУ ""УПРАВЛЕНИЕ АДМИНИСТРАТИВНЫМИ ЗДАНИЯМИ""")</f>
        <v>МКУ "УПРАВЛЕНИЕ АДМИНИСТРАТИВНЫМИ ЗДАНИЯМИ"</v>
      </c>
      <c r="B4070" s="24" t="s">
        <v>5862</v>
      </c>
      <c r="C4070" s="25">
        <v>967250</v>
      </c>
      <c r="D4070" s="22" t="s">
        <v>5871</v>
      </c>
      <c r="E4070" s="22" t="s">
        <v>52</v>
      </c>
      <c r="F4070" s="23" t="str">
        <f>HYPERLINK("https://www.spark-marketing.ru/Card/Lot/72233810", "Оказание услуг по охране Курильск Приморское шоссе 5")</f>
        <v>Оказание услуг по охране Курильск Приморское шоссе 5</v>
      </c>
      <c r="G4070" s="22" t="s">
        <v>69</v>
      </c>
      <c r="H4070" s="22" t="s">
        <v>5864</v>
      </c>
      <c r="I4070" s="26">
        <v>43665.706643518497</v>
      </c>
      <c r="J4070" s="23" t="str">
        <f>HYPERLINK("https://www.spark-marketing.ru/Card/Person/804697", "ООО ""ОХРАННОЕ АГЕНТСТВО ""ФОРТ""")</f>
        <v>ООО "ОХРАННОЕ АГЕНТСТВО "ФОРТ"</v>
      </c>
      <c r="K4070" s="24" t="s">
        <v>5866</v>
      </c>
      <c r="L4070" s="28" t="s">
        <v>52</v>
      </c>
      <c r="M4070" s="25">
        <v>856016.25</v>
      </c>
      <c r="N4070" s="27">
        <v>0.115</v>
      </c>
    </row>
    <row r="4071" spans="1:14" ht="12.75" hidden="1" outlineLevel="1" x14ac:dyDescent="0.2">
      <c r="A4071" s="23" t="str">
        <f>HYPERLINK("https://www.spark-marketing.ru/Card/Person/1083343", "МКУ ""УПРАВЛЕНИЕ АДМИНИСТРАТИВНЫМИ ЗДАНИЯМИ""")</f>
        <v>МКУ "УПРАВЛЕНИЕ АДМИНИСТРАТИВНЫМИ ЗДАНИЯМИ"</v>
      </c>
      <c r="B4071" s="24" t="s">
        <v>5862</v>
      </c>
      <c r="C4071" s="25">
        <v>967250</v>
      </c>
      <c r="D4071" s="22" t="s">
        <v>5871</v>
      </c>
      <c r="E4071" s="22" t="s">
        <v>52</v>
      </c>
      <c r="F4071" s="23" t="str">
        <f>HYPERLINK("https://www.spark-marketing.ru/Card/Lot/72233810", "Оказание услуг по охране Курильск Приморское шоссе 5")</f>
        <v>Оказание услуг по охране Курильск Приморское шоссе 5</v>
      </c>
      <c r="G4071" s="22" t="s">
        <v>69</v>
      </c>
      <c r="H4071" s="22" t="s">
        <v>5864</v>
      </c>
      <c r="I4071" s="26">
        <v>43665.706643518497</v>
      </c>
      <c r="J4071" s="23" t="str">
        <f>HYPERLINK("https://www.spark-marketing.ru/Card/Person/804585", "ООО ""ЧОО ""ЗАСТАВА-С""")</f>
        <v>ООО "ЧОО "ЗАСТАВА-С"</v>
      </c>
      <c r="K4071" s="24" t="s">
        <v>5867</v>
      </c>
      <c r="L4071" s="22" t="s">
        <v>10</v>
      </c>
      <c r="M4071" s="25">
        <v>851179.99</v>
      </c>
      <c r="N4071" s="27">
        <v>0.12000001033858879</v>
      </c>
    </row>
    <row r="4072" spans="1:14" hidden="1" outlineLevel="1" x14ac:dyDescent="0.2">
      <c r="A4072" s="23" t="str">
        <f>HYPERLINK("https://www.spark-marketing.ru/Card/Person/1083343", "МКУ ""УПРАВЛЕНИЕ АДМИНИСТРАТИВНЫМИ ЗДАНИЯМИ""")</f>
        <v>МКУ "УПРАВЛЕНИЕ АДМИНИСТРАТИВНЫМИ ЗДАНИЯМИ"</v>
      </c>
      <c r="B4072" s="24" t="s">
        <v>5862</v>
      </c>
      <c r="C4072" s="25">
        <v>967250</v>
      </c>
      <c r="D4072" s="22" t="s">
        <v>5871</v>
      </c>
      <c r="E4072" s="22" t="s">
        <v>52</v>
      </c>
      <c r="F4072" s="23" t="str">
        <f>HYPERLINK("https://www.spark-marketing.ru/Card/Lot/72233810", "Оказание услуг по охране Курильск Приморское шоссе 5")</f>
        <v>Оказание услуг по охране Курильск Приморское шоссе 5</v>
      </c>
      <c r="G4072" s="22" t="s">
        <v>69</v>
      </c>
      <c r="H4072" s="22" t="s">
        <v>5864</v>
      </c>
      <c r="I4072" s="26">
        <v>43665.706643518497</v>
      </c>
      <c r="J4072" s="23" t="str">
        <f>HYPERLINK("https://www.spark-marketing.ru/Card/Person/6109351", "ООО ""ВТ""")</f>
        <v>ООО "ВТ"</v>
      </c>
      <c r="K4072" s="24" t="s">
        <v>5868</v>
      </c>
      <c r="L4072" s="28" t="s">
        <v>52</v>
      </c>
      <c r="M4072" s="25">
        <v>841507.5</v>
      </c>
      <c r="N4072" s="27">
        <v>0.13</v>
      </c>
    </row>
    <row r="4073" spans="1:14" x14ac:dyDescent="0.15">
      <c r="A4073" s="23" t="str">
        <f>HYPERLINK("https://www.spark-marketing.ru/Card/Person/44316", "ГУЗ ""СГКБ № 9""")</f>
        <v>ГУЗ "СГКБ № 9"</v>
      </c>
      <c r="B4073" s="24" t="s">
        <v>5872</v>
      </c>
      <c r="C4073" s="25">
        <v>687923</v>
      </c>
      <c r="D4073" s="22" t="s">
        <v>5873</v>
      </c>
      <c r="E4073" s="22" t="s">
        <v>996</v>
      </c>
      <c r="F4073" s="23" t="str">
        <f>HYPERLINK("https://www.spark-marketing.ru/Card/Lot/72230951", "Выполнение работ по установке системы видеоконференцсвязи")</f>
        <v>Выполнение работ по установке системы видеоконференцсвязи</v>
      </c>
      <c r="G4073" s="22" t="s">
        <v>80</v>
      </c>
      <c r="H4073" s="22" t="s">
        <v>80</v>
      </c>
      <c r="I4073" s="26">
        <v>43665.7030324074</v>
      </c>
      <c r="J4073" s="28" t="s">
        <v>52</v>
      </c>
      <c r="K4073" s="28" t="s">
        <v>52</v>
      </c>
      <c r="L4073" s="22" t="s">
        <v>10</v>
      </c>
      <c r="M4073" s="28" t="s">
        <v>52</v>
      </c>
      <c r="N4073" s="28" t="s">
        <v>52</v>
      </c>
    </row>
    <row r="4074" spans="1:14" x14ac:dyDescent="0.15">
      <c r="A4074" s="23" t="str">
        <f>HYPERLINK("https://www.spark-marketing.ru/Card/Person/1022899", "СПБ ГБ ПОУ КПМ")</f>
        <v>СПБ ГБ ПОУ КПМ</v>
      </c>
      <c r="B4074" s="24" t="s">
        <v>3190</v>
      </c>
      <c r="C4074" s="25">
        <v>4601545.4400000004</v>
      </c>
      <c r="D4074" s="22" t="s">
        <v>5874</v>
      </c>
      <c r="E4074" s="22" t="s">
        <v>842</v>
      </c>
      <c r="F4074" s="23" t="str">
        <f>HYPERLINK("https://www.spark-marketing.ru/Card/Lot/72221915", "Выполнение работ по установке системы контроля и управления доступом, системы видеонаблюдения, структурированной кабельной системы, системы охранной сигнализации в здании Санкт-Петербургского государственного бюджетного профессионального общеобразова...")</f>
        <v>Выполнение работ по установке системы контроля и управления доступом, системы видеонаблюдения, структурированной кабельной системы, системы охранной сигнализации в здании Санкт-Петербургского государственного бюджетного профессионального общеобразова...</v>
      </c>
      <c r="G4074" s="22" t="s">
        <v>89</v>
      </c>
      <c r="H4074" s="22" t="s">
        <v>89</v>
      </c>
      <c r="I4074" s="26">
        <v>43665.629641203697</v>
      </c>
      <c r="J4074" s="28" t="s">
        <v>52</v>
      </c>
      <c r="K4074" s="28" t="s">
        <v>52</v>
      </c>
      <c r="L4074" s="28" t="s">
        <v>52</v>
      </c>
      <c r="M4074" s="28" t="s">
        <v>52</v>
      </c>
      <c r="N4074" s="28" t="s">
        <v>52</v>
      </c>
    </row>
    <row r="4075" spans="1:14" hidden="1" outlineLevel="1" x14ac:dyDescent="0.2">
      <c r="A4075" s="23" t="str">
        <f>HYPERLINK("https://www.spark-marketing.ru/Card/Person/1022899", "СПБ ГБ ПОУ КПМ")</f>
        <v>СПБ ГБ ПОУ КПМ</v>
      </c>
      <c r="B4075" s="24" t="s">
        <v>3190</v>
      </c>
      <c r="C4075" s="25">
        <v>4601545.4400000004</v>
      </c>
      <c r="D4075" s="22" t="s">
        <v>5874</v>
      </c>
      <c r="E4075" s="22" t="s">
        <v>842</v>
      </c>
      <c r="F4075" s="23" t="str">
        <f>HYPERLINK("https://www.spark-marketing.ru/Card/Lot/72221915", "Выполнение работ по установке системы контроля и управления доступом, системы видеонаблюдения, структурированной кабельной системы, системы охранной сигнализации в здании Санкт-Петербургского государственного бюджетного профессионального общеобразова...")</f>
        <v>Выполнение работ по установке системы контроля и управления доступом, системы видеонаблюдения, структурированной кабельной системы, системы охранной сигнализации в здании Санкт-Петербургского государственного бюджетного профессионального общеобразова...</v>
      </c>
      <c r="G4075" s="22" t="s">
        <v>89</v>
      </c>
      <c r="H4075" s="22" t="s">
        <v>89</v>
      </c>
      <c r="I4075" s="26">
        <v>43665.629641203697</v>
      </c>
      <c r="J4075" s="23" t="str">
        <f>HYPERLINK("https://www.spark-marketing.ru/Card/Person/6458113", "ООО ""НООТЭК""")</f>
        <v>ООО "НООТЭК"</v>
      </c>
      <c r="K4075" s="24" t="s">
        <v>5875</v>
      </c>
      <c r="L4075" s="28" t="s">
        <v>52</v>
      </c>
      <c r="M4075" s="25">
        <v>4555529.9800000004</v>
      </c>
      <c r="N4075" s="27">
        <v>1.000000121698244E-2</v>
      </c>
    </row>
    <row r="4076" spans="1:14" ht="12.75" hidden="1" outlineLevel="1" x14ac:dyDescent="0.2">
      <c r="A4076" s="23" t="str">
        <f>HYPERLINK("https://www.spark-marketing.ru/Card/Person/1022899", "СПБ ГБ ПОУ КПМ")</f>
        <v>СПБ ГБ ПОУ КПМ</v>
      </c>
      <c r="B4076" s="24" t="s">
        <v>3190</v>
      </c>
      <c r="C4076" s="25">
        <v>4601545.4400000004</v>
      </c>
      <c r="D4076" s="22" t="s">
        <v>5874</v>
      </c>
      <c r="E4076" s="22" t="s">
        <v>842</v>
      </c>
      <c r="F4076" s="23" t="str">
        <f>HYPERLINK("https://www.spark-marketing.ru/Card/Lot/72221915", "Выполнение работ по установке системы контроля и управления доступом, системы видеонаблюдения, структурированной кабельной системы, системы охранной сигнализации в здании Санкт-Петербургского государственного бюджетного профессионального общеобразова...")</f>
        <v>Выполнение работ по установке системы контроля и управления доступом, системы видеонаблюдения, структурированной кабельной системы, системы охранной сигнализации в здании Санкт-Петербургского государственного бюджетного профессионального общеобразова...</v>
      </c>
      <c r="G4076" s="22" t="s">
        <v>89</v>
      </c>
      <c r="H4076" s="22" t="s">
        <v>89</v>
      </c>
      <c r="I4076" s="26">
        <v>43665.629641203697</v>
      </c>
      <c r="J4076" s="23" t="str">
        <f>HYPERLINK("https://www.spark-marketing.ru/Card/Person/1626532", "ООО ""ИНТЕРН""")</f>
        <v>ООО "ИНТЕРН"</v>
      </c>
      <c r="K4076" s="24" t="s">
        <v>5876</v>
      </c>
      <c r="L4076" s="22" t="s">
        <v>10</v>
      </c>
      <c r="M4076" s="25">
        <v>4532522.25</v>
      </c>
      <c r="N4076" s="27">
        <v>1.5000001825473661E-2</v>
      </c>
    </row>
    <row r="4077" spans="1:14" x14ac:dyDescent="0.2">
      <c r="A4077" s="23" t="str">
        <f>HYPERLINK("https://www.spark-marketing.ru/Card/Person/1760468", "МАУ ДО ДД(Ю)Т Г. ЮЖНО-САХАЛИНСКА")</f>
        <v>МАУ ДО ДД(Ю)Т Г. ЮЖНО-САХАЛИНСКА</v>
      </c>
      <c r="B4077" s="24" t="s">
        <v>5877</v>
      </c>
      <c r="C4077" s="25">
        <v>390131</v>
      </c>
      <c r="D4077" s="22" t="s">
        <v>5878</v>
      </c>
      <c r="E4077" s="22" t="s">
        <v>691</v>
      </c>
      <c r="F4077" s="23" t="str">
        <f>HYPERLINK("https://www.spark-marketing.ru/Card/Lot/72230802", "Установка видеонаблюдения на территории детского оздоровительного лагеря в п.Таранай при МАУ ДО ДД(Ю)Т г.Южно-Сахалинска")</f>
        <v>Установка видеонаблюдения на территории детского оздоровительного лагеря в п.Таранай при МАУ ДО ДД(Ю)Т г.Южно-Сахалинска</v>
      </c>
      <c r="G4077" s="22" t="s">
        <v>69</v>
      </c>
      <c r="H4077" s="22" t="s">
        <v>69</v>
      </c>
      <c r="I4077" s="26">
        <v>43665.622164351902</v>
      </c>
      <c r="J4077" s="28" t="s">
        <v>52</v>
      </c>
      <c r="K4077" s="28" t="s">
        <v>52</v>
      </c>
      <c r="L4077" s="22" t="s">
        <v>10</v>
      </c>
      <c r="M4077" s="25">
        <v>390131</v>
      </c>
      <c r="N4077" s="27">
        <v>0</v>
      </c>
    </row>
    <row r="4078" spans="1:14" x14ac:dyDescent="0.15">
      <c r="A4078" s="23" t="str">
        <f>HYPERLINK("https://www.spark-marketing.ru/Card/Person/254893", "ГБУ ""КЦСОН В АЛЕКСЕЕВСКОМ МУНИЦИПАЛЬНОМ РАЙОНЕ""")</f>
        <v>ГБУ "КЦСОН В АЛЕКСЕЕВСКОМ МУНИЦИПАЛЬНОМ РАЙОНЕ"</v>
      </c>
      <c r="B4078" s="24" t="s">
        <v>5879</v>
      </c>
      <c r="C4078" s="25">
        <v>97119</v>
      </c>
      <c r="D4078" s="22" t="s">
        <v>5880</v>
      </c>
      <c r="E4078" s="22" t="s">
        <v>52</v>
      </c>
      <c r="F4078" s="23" t="str">
        <f>HYPERLINK("https://www.spark-marketing.ru/Card/Lot/72223125", "Монтажныеработы по установке видеонаблюдения")</f>
        <v>Монтажныеработы по установке видеонаблюдения</v>
      </c>
      <c r="G4078" s="22" t="s">
        <v>204</v>
      </c>
      <c r="H4078" s="22" t="s">
        <v>5881</v>
      </c>
      <c r="I4078" s="26">
        <v>43665.6230671296</v>
      </c>
      <c r="J4078" s="28" t="s">
        <v>52</v>
      </c>
      <c r="K4078" s="28" t="s">
        <v>52</v>
      </c>
      <c r="L4078" s="28" t="s">
        <v>52</v>
      </c>
      <c r="M4078" s="28" t="s">
        <v>52</v>
      </c>
      <c r="N4078" s="28" t="s">
        <v>52</v>
      </c>
    </row>
    <row r="4079" spans="1:14" hidden="1" outlineLevel="1" x14ac:dyDescent="0.2">
      <c r="A4079" s="23" t="str">
        <f>HYPERLINK("https://www.spark-marketing.ru/Card/Person/254893", "ГБУ ""КЦСОН В АЛЕКСЕЕВСКОМ МУНИЦИПАЛЬНОМ РАЙОНЕ""")</f>
        <v>ГБУ "КЦСОН В АЛЕКСЕЕВСКОМ МУНИЦИПАЛЬНОМ РАЙОНЕ"</v>
      </c>
      <c r="B4079" s="24" t="s">
        <v>5879</v>
      </c>
      <c r="C4079" s="25">
        <v>97119</v>
      </c>
      <c r="D4079" s="22" t="s">
        <v>5880</v>
      </c>
      <c r="E4079" s="22" t="s">
        <v>52</v>
      </c>
      <c r="F4079" s="23" t="str">
        <f>HYPERLINK("https://www.spark-marketing.ru/Card/Lot/72223125", "Монтажныеработы по установке видеонаблюдения")</f>
        <v>Монтажныеработы по установке видеонаблюдения</v>
      </c>
      <c r="G4079" s="22" t="s">
        <v>204</v>
      </c>
      <c r="H4079" s="22" t="s">
        <v>5881</v>
      </c>
      <c r="I4079" s="26">
        <v>43665.6230671296</v>
      </c>
      <c r="J4079" s="23" t="str">
        <f>HYPERLINK("https://www.spark-marketing.ru/Card/Person/34725", "ООО ""КОМПЬЮСЕРВИС - НК""")</f>
        <v>ООО "КОМПЬЮСЕРВИС - НК"</v>
      </c>
      <c r="K4079" s="24" t="s">
        <v>3468</v>
      </c>
      <c r="L4079" s="28" t="s">
        <v>52</v>
      </c>
      <c r="M4079" s="25">
        <v>56310</v>
      </c>
      <c r="N4079" s="27">
        <v>0.42019584221419082</v>
      </c>
    </row>
    <row r="4080" spans="1:14" hidden="1" outlineLevel="1" x14ac:dyDescent="0.2">
      <c r="A4080" s="23" t="str">
        <f>HYPERLINK("https://www.spark-marketing.ru/Card/Person/254893", "ГБУ ""КЦСОН В АЛЕКСЕЕВСКОМ МУНИЦИПАЛЬНОМ РАЙОНЕ""")</f>
        <v>ГБУ "КЦСОН В АЛЕКСЕЕВСКОМ МУНИЦИПАЛЬНОМ РАЙОНЕ"</v>
      </c>
      <c r="B4080" s="24" t="s">
        <v>5879</v>
      </c>
      <c r="C4080" s="25">
        <v>97119</v>
      </c>
      <c r="D4080" s="22" t="s">
        <v>5880</v>
      </c>
      <c r="E4080" s="22" t="s">
        <v>52</v>
      </c>
      <c r="F4080" s="23" t="str">
        <f>HYPERLINK("https://www.spark-marketing.ru/Card/Lot/72223125", "Монтажныеработы по установке видеонаблюдения")</f>
        <v>Монтажныеработы по установке видеонаблюдения</v>
      </c>
      <c r="G4080" s="22" t="s">
        <v>204</v>
      </c>
      <c r="H4080" s="22" t="s">
        <v>5881</v>
      </c>
      <c r="I4080" s="26">
        <v>43665.6230671296</v>
      </c>
      <c r="J4080" s="23" t="str">
        <f>HYPERLINK("https://www.spark-marketing.ru/Card/Person/5794489", "Зиадиев Анвар Хамитович")</f>
        <v>Зиадиев Анвар Хамитович</v>
      </c>
      <c r="K4080" s="24" t="s">
        <v>4129</v>
      </c>
      <c r="L4080" s="28" t="s">
        <v>52</v>
      </c>
      <c r="M4080" s="25">
        <v>71375.8</v>
      </c>
      <c r="N4080" s="27">
        <v>0.26506862714813784</v>
      </c>
    </row>
    <row r="4081" spans="1:14" ht="12.75" hidden="1" outlineLevel="1" x14ac:dyDescent="0.2">
      <c r="A4081" s="23" t="str">
        <f>HYPERLINK("https://www.spark-marketing.ru/Card/Person/254893", "ГБУ ""КЦСОН В АЛЕКСЕЕВСКОМ МУНИЦИПАЛЬНОМ РАЙОНЕ""")</f>
        <v>ГБУ "КЦСОН В АЛЕКСЕЕВСКОМ МУНИЦИПАЛЬНОМ РАЙОНЕ"</v>
      </c>
      <c r="B4081" s="24" t="s">
        <v>5879</v>
      </c>
      <c r="C4081" s="25">
        <v>97119</v>
      </c>
      <c r="D4081" s="22" t="s">
        <v>5880</v>
      </c>
      <c r="E4081" s="22" t="s">
        <v>52</v>
      </c>
      <c r="F4081" s="23" t="str">
        <f>HYPERLINK("https://www.spark-marketing.ru/Card/Lot/72223125", "Монтажныеработы по установке видеонаблюдения")</f>
        <v>Монтажныеработы по установке видеонаблюдения</v>
      </c>
      <c r="G4081" s="22" t="s">
        <v>204</v>
      </c>
      <c r="H4081" s="22" t="s">
        <v>5881</v>
      </c>
      <c r="I4081" s="26">
        <v>43665.6230671296</v>
      </c>
      <c r="J4081" s="23" t="str">
        <f>HYPERLINK("https://www.spark-marketing.ru/Card/Person/4896142", "ООО ""ПРОФМАСТЕР""")</f>
        <v>ООО "ПРОФМАСТЕР"</v>
      </c>
      <c r="K4081" s="24" t="s">
        <v>5882</v>
      </c>
      <c r="L4081" s="22" t="s">
        <v>10</v>
      </c>
      <c r="M4081" s="25">
        <v>55824.4</v>
      </c>
      <c r="N4081" s="27">
        <v>0.42519589369742272</v>
      </c>
    </row>
    <row r="4082" spans="1:14" x14ac:dyDescent="0.15">
      <c r="A4082" s="23" t="str">
        <f>HYPERLINK("https://www.spark-marketing.ru/Card/Person/5592", "НОВОСИБИРСКИЙ ГОСУДАРСТВЕННЫЙ УНИВЕРСИТЕТ, НГУ")</f>
        <v>НОВОСИБИРСКИЙ ГОСУДАРСТВЕННЫЙ УНИВЕРСИТЕТ, НГУ</v>
      </c>
      <c r="B4082" s="24" t="s">
        <v>5883</v>
      </c>
      <c r="C4082" s="25">
        <v>226800</v>
      </c>
      <c r="D4082" s="22" t="s">
        <v>5884</v>
      </c>
      <c r="E4082" s="22" t="s">
        <v>137</v>
      </c>
      <c r="F4082" s="23" t="str">
        <f>HYPERLINK("https://www.spark-marketing.ru/Card/Lot/72228301", "Оказание услуг по техническому обслуживанию (ТО) системы охранной сигнализации и охранной системы безопасности «Орион»")</f>
        <v>Оказание услуг по техническому обслуживанию (ТО) системы охранной сигнализации и охранной системы безопасности «Орион»</v>
      </c>
      <c r="G4082" s="22" t="s">
        <v>209</v>
      </c>
      <c r="H4082" s="22" t="s">
        <v>209</v>
      </c>
      <c r="I4082" s="26">
        <v>43665.6116666667</v>
      </c>
      <c r="J4082" s="28" t="s">
        <v>52</v>
      </c>
      <c r="K4082" s="28" t="s">
        <v>52</v>
      </c>
      <c r="L4082" s="28" t="s">
        <v>52</v>
      </c>
      <c r="M4082" s="28" t="s">
        <v>52</v>
      </c>
      <c r="N4082" s="28" t="s">
        <v>52</v>
      </c>
    </row>
    <row r="4083" spans="1:14" x14ac:dyDescent="0.15">
      <c r="A4083" s="23" t="str">
        <f>HYPERLINK("https://www.spark-marketing.ru/Card/Person/5817042", "ГБУЗ ПК ""КФМЦ""")</f>
        <v>ГБУЗ ПК "КФМЦ"</v>
      </c>
      <c r="B4083" s="24" t="s">
        <v>5885</v>
      </c>
      <c r="C4083" s="25">
        <v>168000</v>
      </c>
      <c r="D4083" s="22" t="s">
        <v>5886</v>
      </c>
      <c r="E4083" s="22" t="s">
        <v>349</v>
      </c>
      <c r="F4083" s="23" t="str">
        <f>HYPERLINK("https://www.spark-marketing.ru/Card/Lot/72216358", "Техническое обслуживание системы видеонаблюдения г. Соликамск")</f>
        <v>Техническое обслуживание системы видеонаблюдения г. Соликамск</v>
      </c>
      <c r="G4083" s="22" t="s">
        <v>391</v>
      </c>
      <c r="H4083" s="22" t="s">
        <v>391</v>
      </c>
      <c r="I4083" s="26">
        <v>43665.598043981503</v>
      </c>
      <c r="J4083" s="28" t="s">
        <v>52</v>
      </c>
      <c r="K4083" s="28" t="s">
        <v>52</v>
      </c>
      <c r="L4083" s="28" t="s">
        <v>52</v>
      </c>
      <c r="M4083" s="28" t="s">
        <v>52</v>
      </c>
      <c r="N4083" s="28" t="s">
        <v>52</v>
      </c>
    </row>
    <row r="4084" spans="1:14" hidden="1" outlineLevel="1" x14ac:dyDescent="0.2">
      <c r="A4084" s="23" t="str">
        <f>HYPERLINK("https://www.spark-marketing.ru/Card/Person/5817042", "ГБУЗ ПК ""КФМЦ""")</f>
        <v>ГБУЗ ПК "КФМЦ"</v>
      </c>
      <c r="B4084" s="24" t="s">
        <v>5885</v>
      </c>
      <c r="C4084" s="25">
        <v>168000</v>
      </c>
      <c r="D4084" s="22" t="s">
        <v>5886</v>
      </c>
      <c r="E4084" s="22" t="s">
        <v>349</v>
      </c>
      <c r="F4084" s="23" t="str">
        <f>HYPERLINK("https://www.spark-marketing.ru/Card/Lot/72216358", "Техническое обслуживание системы видеонаблюдения г. Соликамск")</f>
        <v>Техническое обслуживание системы видеонаблюдения г. Соликамск</v>
      </c>
      <c r="G4084" s="22" t="s">
        <v>391</v>
      </c>
      <c r="H4084" s="22" t="s">
        <v>391</v>
      </c>
      <c r="I4084" s="26">
        <v>43665.598043981503</v>
      </c>
      <c r="J4084" s="23" t="str">
        <f>HYPERLINK("https://www.spark-marketing.ru/Card/Person/6468483", "ООО ""ГРУППА РАДУГА""")</f>
        <v>ООО "ГРУППА РАДУГА"</v>
      </c>
      <c r="K4084" s="24" t="s">
        <v>2354</v>
      </c>
      <c r="L4084" s="28" t="s">
        <v>52</v>
      </c>
      <c r="M4084" s="25">
        <v>148680</v>
      </c>
      <c r="N4084" s="27">
        <v>0.115</v>
      </c>
    </row>
    <row r="4085" spans="1:14" ht="12.75" hidden="1" outlineLevel="1" x14ac:dyDescent="0.2">
      <c r="A4085" s="23" t="str">
        <f>HYPERLINK("https://www.spark-marketing.ru/Card/Person/5817042", "ГБУЗ ПК ""КФМЦ""")</f>
        <v>ГБУЗ ПК "КФМЦ"</v>
      </c>
      <c r="B4085" s="24" t="s">
        <v>5885</v>
      </c>
      <c r="C4085" s="25">
        <v>168000</v>
      </c>
      <c r="D4085" s="22" t="s">
        <v>5886</v>
      </c>
      <c r="E4085" s="22" t="s">
        <v>349</v>
      </c>
      <c r="F4085" s="23" t="str">
        <f>HYPERLINK("https://www.spark-marketing.ru/Card/Lot/72216358", "Техническое обслуживание системы видеонаблюдения г. Соликамск")</f>
        <v>Техническое обслуживание системы видеонаблюдения г. Соликамск</v>
      </c>
      <c r="G4085" s="22" t="s">
        <v>391</v>
      </c>
      <c r="H4085" s="22" t="s">
        <v>391</v>
      </c>
      <c r="I4085" s="26">
        <v>43665.598043981503</v>
      </c>
      <c r="J4085" s="23" t="str">
        <f>HYPERLINK("https://www.spark-marketing.ru/Card/Person/6431462", "ООО ""СПП""")</f>
        <v>ООО "СПП"</v>
      </c>
      <c r="K4085" s="24" t="s">
        <v>5887</v>
      </c>
      <c r="L4085" s="22" t="s">
        <v>10</v>
      </c>
      <c r="M4085" s="25">
        <v>148680</v>
      </c>
      <c r="N4085" s="27">
        <v>0.115</v>
      </c>
    </row>
    <row r="4086" spans="1:14" x14ac:dyDescent="0.15">
      <c r="A4086" s="23" t="str">
        <f>HYPERLINK("https://www.spark-marketing.ru/Card/Person/391772", "МУП ""ЖПЭТ №2"" Г.О. ПОДОЛЬСК")</f>
        <v>МУП "ЖПЭТ №2" Г.О. ПОДОЛЬСК</v>
      </c>
      <c r="B4086" s="24" t="s">
        <v>5888</v>
      </c>
      <c r="C4086" s="25">
        <v>2880000</v>
      </c>
      <c r="D4086" s="22" t="s">
        <v>5889</v>
      </c>
      <c r="E4086" s="22" t="s">
        <v>691</v>
      </c>
      <c r="F4086" s="23" t="str">
        <f>HYPERLINK("https://www.spark-marketing.ru/Card/Lot/72229596", "Выполнение работ по установке видеокамер и предоставлению канала связи до Муниципального узла связи (МУС) Г.о. Подольск")</f>
        <v>Выполнение работ по установке видеокамер и предоставлению канала связи до Муниципального узла связи (МУС) Г.о. Подольск</v>
      </c>
      <c r="G4086" s="22" t="s">
        <v>50</v>
      </c>
      <c r="H4086" s="22" t="s">
        <v>50</v>
      </c>
      <c r="I4086" s="26">
        <v>43665.596527777801</v>
      </c>
      <c r="J4086" s="28" t="s">
        <v>52</v>
      </c>
      <c r="K4086" s="28" t="s">
        <v>52</v>
      </c>
      <c r="L4086" s="22" t="s">
        <v>10</v>
      </c>
      <c r="M4086" s="28" t="s">
        <v>52</v>
      </c>
      <c r="N4086" s="28" t="s">
        <v>52</v>
      </c>
    </row>
    <row r="4087" spans="1:14" x14ac:dyDescent="0.15">
      <c r="A4087" s="23" t="str">
        <f>HYPERLINK("https://www.spark-marketing.ru/Card/Person/1849128", "УФПС САМАРСКОЙ ОБЛ – ФЛ ФГУП ПОЧТА РОССИИ")</f>
        <v>УФПС САМАРСКОЙ ОБЛ – ФЛ ФГУП ПОЧТА РОССИИ</v>
      </c>
      <c r="B4087" s="24" t="s">
        <v>1424</v>
      </c>
      <c r="C4087" s="25">
        <v>489748.47</v>
      </c>
      <c r="D4087" s="22" t="s">
        <v>5890</v>
      </c>
      <c r="E4087" s="22" t="s">
        <v>53</v>
      </c>
      <c r="F4087" s="23" t="str">
        <f>HYPERLINK("https://www.spark-marketing.ru/Card/Lot/72218214", "Оказание услуг по охране объектов почтовой связи с применением технических средств охраны для нужд УФПС Самарской области - филиала ФГУП ""Почта России""")</f>
        <v>Оказание услуг по охране объектов почтовой связи с применением технических средств охраны для нужд УФПС Самарской области - филиала ФГУП "Почта России"</v>
      </c>
      <c r="G4087" s="22" t="s">
        <v>760</v>
      </c>
      <c r="H4087" s="22" t="s">
        <v>760</v>
      </c>
      <c r="I4087" s="26">
        <v>43665.5847222222</v>
      </c>
      <c r="J4087" s="28" t="s">
        <v>52</v>
      </c>
      <c r="K4087" s="28" t="s">
        <v>52</v>
      </c>
      <c r="L4087" s="28" t="s">
        <v>52</v>
      </c>
      <c r="M4087" s="28" t="s">
        <v>52</v>
      </c>
      <c r="N4087" s="28" t="s">
        <v>52</v>
      </c>
    </row>
    <row r="4088" spans="1:14" x14ac:dyDescent="0.15">
      <c r="A4088" s="23" t="str">
        <f>HYPERLINK("https://www.spark-marketing.ru/Card/Person/76421", "МБОУ ЯСИНОВСКАЯ СОШ")</f>
        <v>МБОУ ЯСИНОВСКАЯ СОШ</v>
      </c>
      <c r="B4088" s="24" t="s">
        <v>5891</v>
      </c>
      <c r="C4088" s="25">
        <v>6000</v>
      </c>
      <c r="D4088" s="22" t="s">
        <v>5892</v>
      </c>
      <c r="E4088" s="22" t="s">
        <v>2623</v>
      </c>
      <c r="F4088" s="23" t="str">
        <f>HYPERLINK("https://www.spark-marketing.ru/Card/Lot/72216842", "Работы по техническому обслуживанию системы видеонаблюдения")</f>
        <v>Работы по техническому обслуживанию системы видеонаблюдения</v>
      </c>
      <c r="G4088" s="22" t="s">
        <v>402</v>
      </c>
      <c r="H4088" s="22" t="s">
        <v>5893</v>
      </c>
      <c r="I4088" s="26">
        <v>43665.555555555598</v>
      </c>
      <c r="J4088" s="28" t="s">
        <v>52</v>
      </c>
      <c r="K4088" s="28" t="s">
        <v>52</v>
      </c>
      <c r="L4088" s="28" t="s">
        <v>52</v>
      </c>
      <c r="M4088" s="28" t="s">
        <v>52</v>
      </c>
      <c r="N4088" s="28" t="s">
        <v>52</v>
      </c>
    </row>
    <row r="4089" spans="1:14" x14ac:dyDescent="0.15">
      <c r="A4089" s="23" t="str">
        <f>HYPERLINK("https://www.spark-marketing.ru/Card/Person/38899", "КГУ ИМ. К.Э. ЦИОЛКОВСКОГО, КАЛУЖСКИЙ ГОСУДАРСТВЕННЫЙ УНИВЕРСИТЕТ ИМ. К.Э. ЦИОЛКОВСКОГО")</f>
        <v>КГУ ИМ. К.Э. ЦИОЛКОВСКОГО, КАЛУЖСКИЙ ГОСУДАРСТВЕННЫЙ УНИВЕРСИТЕТ ИМ. К.Э. ЦИОЛКОВСКОГО</v>
      </c>
      <c r="B4089" s="24" t="s">
        <v>4412</v>
      </c>
      <c r="C4089" s="25">
        <v>323862</v>
      </c>
      <c r="D4089" s="22" t="s">
        <v>5894</v>
      </c>
      <c r="E4089" s="22" t="s">
        <v>84</v>
      </c>
      <c r="F4089" s="23" t="str">
        <f>HYPERLINK("https://www.spark-marketing.ru/Card/Lot/72216049", "Монтаж, установка, сборка систем видеонаблюдения, 1 шт")</f>
        <v>Монтаж, установка, сборка систем видеонаблюдения, 1 шт</v>
      </c>
      <c r="G4089" s="22" t="s">
        <v>658</v>
      </c>
      <c r="H4089" s="22" t="s">
        <v>741</v>
      </c>
      <c r="I4089" s="26">
        <v>43665.573125000003</v>
      </c>
      <c r="J4089" s="28" t="s">
        <v>52</v>
      </c>
      <c r="K4089" s="28" t="s">
        <v>52</v>
      </c>
      <c r="L4089" s="28" t="s">
        <v>52</v>
      </c>
      <c r="M4089" s="28" t="s">
        <v>52</v>
      </c>
      <c r="N4089" s="28" t="s">
        <v>52</v>
      </c>
    </row>
    <row r="4090" spans="1:14" x14ac:dyDescent="0.15">
      <c r="A4090" s="23" t="str">
        <f>HYPERLINK("https://www.spark-marketing.ru/Card/Person/813505", "КАЗАНСКОЕ ЛУ МВД РОССИИ НА ТРАНСПОРТЕ")</f>
        <v>КАЗАНСКОЕ ЛУ МВД РОССИИ НА ТРАНСПОРТЕ</v>
      </c>
      <c r="B4090" s="24" t="s">
        <v>5895</v>
      </c>
      <c r="C4090" s="25">
        <v>40000</v>
      </c>
      <c r="D4090" s="22" t="s">
        <v>5896</v>
      </c>
      <c r="E4090" s="22" t="s">
        <v>53</v>
      </c>
      <c r="F4090" s="23" t="str">
        <f>HYPERLINK("https://www.spark-marketing.ru/Card/Lot/72216065", "техническое обслуживание систем видеонаблюдения")</f>
        <v>техническое обслуживание систем видеонаблюдения</v>
      </c>
      <c r="G4090" s="22" t="s">
        <v>204</v>
      </c>
      <c r="H4090" s="22" t="s">
        <v>303</v>
      </c>
      <c r="I4090" s="26">
        <v>43665.580636574101</v>
      </c>
      <c r="J4090" s="28" t="s">
        <v>52</v>
      </c>
      <c r="K4090" s="28" t="s">
        <v>52</v>
      </c>
      <c r="L4090" s="28" t="s">
        <v>52</v>
      </c>
      <c r="M4090" s="28" t="s">
        <v>52</v>
      </c>
      <c r="N4090" s="28" t="s">
        <v>52</v>
      </c>
    </row>
    <row r="4091" spans="1:14" x14ac:dyDescent="0.15">
      <c r="A4091" s="23" t="str">
        <f>HYPERLINK("https://www.spark-marketing.ru/Card/Person/38899", "КГУ ИМ. К.Э. ЦИОЛКОВСКОГО, КАЛУЖСКИЙ ГОСУДАРСТВЕННЫЙ УНИВЕРСИТЕТ ИМ. К.Э. ЦИОЛКОВСКОГО")</f>
        <v>КГУ ИМ. К.Э. ЦИОЛКОВСКОГО, КАЛУЖСКИЙ ГОСУДАРСТВЕННЫЙ УНИВЕРСИТЕТ ИМ. К.Э. ЦИОЛКОВСКОГО</v>
      </c>
      <c r="B4091" s="24" t="s">
        <v>4412</v>
      </c>
      <c r="C4091" s="25">
        <v>322781</v>
      </c>
      <c r="D4091" s="22" t="s">
        <v>5897</v>
      </c>
      <c r="E4091" s="22" t="s">
        <v>84</v>
      </c>
      <c r="F4091" s="23" t="str">
        <f>HYPERLINK("https://www.spark-marketing.ru/Card/Lot/72216047", "Монтаж, установка, сборка систем видеонаблюдения, 1 шт")</f>
        <v>Монтаж, установка, сборка систем видеонаблюдения, 1 шт</v>
      </c>
      <c r="G4091" s="22" t="s">
        <v>658</v>
      </c>
      <c r="H4091" s="22" t="s">
        <v>741</v>
      </c>
      <c r="I4091" s="26">
        <v>43665.571828703702</v>
      </c>
      <c r="J4091" s="28" t="s">
        <v>52</v>
      </c>
      <c r="K4091" s="28" t="s">
        <v>52</v>
      </c>
      <c r="L4091" s="28" t="s">
        <v>52</v>
      </c>
      <c r="M4091" s="28" t="s">
        <v>52</v>
      </c>
      <c r="N4091" s="28" t="s">
        <v>52</v>
      </c>
    </row>
    <row r="4092" spans="1:14" x14ac:dyDescent="0.15">
      <c r="A4092" s="23" t="str">
        <f>HYPERLINK("https://www.spark-marketing.ru/Card/Person/363882", "АО ""ДИКСИ ЮГ""")</f>
        <v>АО "ДИКСИ ЮГ"</v>
      </c>
      <c r="B4092" s="24" t="s">
        <v>5898</v>
      </c>
      <c r="C4092" s="28" t="s">
        <v>52</v>
      </c>
      <c r="D4092" s="22" t="s">
        <v>5899</v>
      </c>
      <c r="E4092" s="22" t="s">
        <v>53</v>
      </c>
      <c r="F4092" s="23" t="str">
        <f>HYPERLINK("https://www.spark-marketing.ru/Card/Lot/72214521", "ОЧИСТКА ВНУТРЕННИХ ПОВЕРХНОСТЕЙ ВОЗДУХОВОДОВ СИСТЕМ ВЕНТИЛЯЦИИ")</f>
        <v>ОЧИСТКА ВНУТРЕННИХ ПОВЕРХНОСТЕЙ ВОЗДУХОВОДОВ СИСТЕМ ВЕНТИЛЯЦИИ</v>
      </c>
      <c r="G4092" s="22" t="s">
        <v>50</v>
      </c>
      <c r="H4092" s="22" t="s">
        <v>50</v>
      </c>
      <c r="I4092" s="26">
        <v>43665.532638888901</v>
      </c>
      <c r="J4092" s="28" t="s">
        <v>52</v>
      </c>
      <c r="K4092" s="28" t="s">
        <v>52</v>
      </c>
      <c r="L4092" s="28" t="s">
        <v>52</v>
      </c>
      <c r="M4092" s="28" t="s">
        <v>52</v>
      </c>
      <c r="N4092" s="28" t="s">
        <v>52</v>
      </c>
    </row>
    <row r="4093" spans="1:14" x14ac:dyDescent="0.15">
      <c r="A4093" s="23" t="str">
        <f>HYPERLINK("https://www.spark-marketing.ru/Card/Person/1023304", "ОМВД РОССИИ ПО ЗАТО П. ВИДЯЕВО")</f>
        <v>ОМВД РОССИИ ПО ЗАТО П. ВИДЯЕВО</v>
      </c>
      <c r="B4093" s="24" t="s">
        <v>5900</v>
      </c>
      <c r="C4093" s="25">
        <v>96000</v>
      </c>
      <c r="D4093" s="22" t="s">
        <v>5901</v>
      </c>
      <c r="E4093" s="22" t="s">
        <v>107</v>
      </c>
      <c r="F4093" s="23" t="str">
        <f>HYPERLINK("https://www.spark-marketing.ru/Card/Lot/72211347", "Техническое обслуживание и ППР технических средств охраны, 48 шт")</f>
        <v>Техническое обслуживание и ППР технических средств охраны, 48 шт</v>
      </c>
      <c r="G4093" s="22" t="s">
        <v>190</v>
      </c>
      <c r="H4093" s="22" t="s">
        <v>5902</v>
      </c>
      <c r="I4093" s="26">
        <v>43665.488368055601</v>
      </c>
      <c r="J4093" s="28" t="s">
        <v>52</v>
      </c>
      <c r="K4093" s="28" t="s">
        <v>52</v>
      </c>
      <c r="L4093" s="28" t="s">
        <v>52</v>
      </c>
      <c r="M4093" s="28" t="s">
        <v>52</v>
      </c>
      <c r="N4093" s="28" t="s">
        <v>52</v>
      </c>
    </row>
    <row r="4094" spans="1:14" x14ac:dyDescent="0.15">
      <c r="A4094" s="23" t="str">
        <f>HYPERLINK("https://www.spark-marketing.ru/Card/Person/202801", "ООО ""ГАЗПРОМ ГАЗОРАСПРЕДЕЛЕНИЕ ВЛАДИКАВКАЗ""")</f>
        <v>ООО "ГАЗПРОМ ГАЗОРАСПРЕДЕЛЕНИЕ ВЛАДИКАВКАЗ"</v>
      </c>
      <c r="B4094" s="24" t="s">
        <v>5903</v>
      </c>
      <c r="C4094" s="25">
        <v>288000</v>
      </c>
      <c r="D4094" s="22" t="s">
        <v>5904</v>
      </c>
      <c r="E4094" s="22" t="s">
        <v>1923</v>
      </c>
      <c r="F4094" s="23" t="str">
        <f>HYPERLINK("https://www.spark-marketing.ru/Card/Lot/72227554", "ОКАЗАНИЕ УСЛУГ ПО ПРОВЕДЕНИЮ ПРОВЕРКИ ТЕХНИЧЕСКОГО СОСТОЯНИЯ ТРАНСПОРТНЫХ СРЕДСТВ С ИСПОЛЬЗОВАНИЕМ СРЕДСТВ ТЕХНИЧЕСКОГО ДИАГНОСТИРОВАНИЯ НА ПРЕДМЕТ ИХ СООТВЕТСВИЯ ОБЯЗАТЕЛЬНЫМ ТРЕБОВАНИЯМ БЕЗОПАСНОСТИ ТРАНСПОРТНЫХ СРЕДСТВ.")</f>
        <v>ОКАЗАНИЕ УСЛУГ ПО ПРОВЕДЕНИЮ ПРОВЕРКИ ТЕХНИЧЕСКОГО СОСТОЯНИЯ ТРАНСПОРТНЫХ СРЕДСТВ С ИСПОЛЬЗОВАНИЕМ СРЕДСТВ ТЕХНИЧЕСКОГО ДИАГНОСТИРОВАНИЯ НА ПРЕДМЕТ ИХ СООТВЕТСВИЯ ОБЯЗАТЕЛЬНЫМ ТРЕБОВАНИЯМ БЕЗОПАСНОСТИ ТРАНСПОРТНЫХ СРЕДСТВ.</v>
      </c>
      <c r="G4094" s="22" t="s">
        <v>833</v>
      </c>
      <c r="H4094" s="22" t="s">
        <v>834</v>
      </c>
      <c r="I4094" s="26">
        <v>43665.479432870401</v>
      </c>
      <c r="J4094" s="28" t="s">
        <v>52</v>
      </c>
      <c r="K4094" s="28" t="s">
        <v>52</v>
      </c>
      <c r="L4094" s="28" t="s">
        <v>52</v>
      </c>
      <c r="M4094" s="28" t="s">
        <v>52</v>
      </c>
      <c r="N4094" s="28" t="s">
        <v>52</v>
      </c>
    </row>
    <row r="4095" spans="1:14" x14ac:dyDescent="0.15">
      <c r="A4095" s="23" t="str">
        <f>HYPERLINK("https://www.spark-marketing.ru/Card/Person/6078605", "ПРОЕКТНО КОНСТРУКТОРСКО ТЕХНОЛОГИЧЕСКОЕ БЮРО ПО СИСТЕМАМ ИНФОРМАТИЗАЦИИ – ФЛ ОАО РЖД")</f>
        <v>ПРОЕКТНО КОНСТРУКТОРСКО ТЕХНОЛОГИЧЕСКОЕ БЮРО ПО СИСТЕМАМ ИНФОРМАТИЗАЦИИ – ФЛ ОАО РЖД</v>
      </c>
      <c r="B4095" s="24" t="s">
        <v>163</v>
      </c>
      <c r="C4095" s="25">
        <v>128974.17</v>
      </c>
      <c r="D4095" s="28" t="s">
        <v>52</v>
      </c>
      <c r="E4095" s="22" t="s">
        <v>183</v>
      </c>
      <c r="F4095" s="23" t="str">
        <f>HYPERLINK("https://www.spark-marketing.ru/Card/Lot/72429852", "№22010 Поставка видеорегистратора гибридного типа")</f>
        <v>№22010 Поставка видеорегистратора гибридного типа</v>
      </c>
      <c r="G4095" s="22" t="s">
        <v>52</v>
      </c>
      <c r="H4095" s="22" t="s">
        <v>52</v>
      </c>
      <c r="I4095" s="26">
        <v>43665.439259259299</v>
      </c>
      <c r="J4095" s="28" t="s">
        <v>52</v>
      </c>
      <c r="K4095" s="28" t="s">
        <v>52</v>
      </c>
      <c r="L4095" s="28" t="s">
        <v>52</v>
      </c>
      <c r="M4095" s="28" t="s">
        <v>52</v>
      </c>
      <c r="N4095" s="28" t="s">
        <v>52</v>
      </c>
    </row>
    <row r="4096" spans="1:14" x14ac:dyDescent="0.15">
      <c r="A4096" s="23" t="str">
        <f>HYPERLINK("https://www.spark-marketing.ru/Card/Person/8106", "КГБУЗ КРАЕВАЯ КЛИНИЧЕСКАЯ БОЛЬНИЦА")</f>
        <v>КГБУЗ КРАЕВАЯ КЛИНИЧЕСКАЯ БОЛЬНИЦА</v>
      </c>
      <c r="B4096" s="24" t="s">
        <v>5905</v>
      </c>
      <c r="C4096" s="25">
        <v>41500</v>
      </c>
      <c r="D4096" s="22" t="s">
        <v>5906</v>
      </c>
      <c r="E4096" s="22" t="s">
        <v>349</v>
      </c>
      <c r="F4096" s="23" t="str">
        <f>HYPERLINK("https://www.spark-marketing.ru/Card/Lot/72211080", "Товары, работы или услуги на сумму, не превышающую 100 тыс. руб. (п.4 ч.1 ст.93 Федерального закона №44-ФЗ)")</f>
        <v>Товары, работы или услуги на сумму, не превышающую 100 тыс. руб. (п.4 ч.1 ст.93 Федерального закона №44-ФЗ)</v>
      </c>
      <c r="G4096" s="22" t="s">
        <v>428</v>
      </c>
      <c r="H4096" s="22" t="s">
        <v>429</v>
      </c>
      <c r="I4096" s="26">
        <v>43665.452777777798</v>
      </c>
      <c r="J4096" s="28" t="s">
        <v>52</v>
      </c>
      <c r="K4096" s="28" t="s">
        <v>52</v>
      </c>
      <c r="L4096" s="28" t="s">
        <v>52</v>
      </c>
      <c r="M4096" s="28" t="s">
        <v>52</v>
      </c>
      <c r="N4096" s="28" t="s">
        <v>52</v>
      </c>
    </row>
    <row r="4097" spans="1:14" x14ac:dyDescent="0.15">
      <c r="A4097" s="23" t="str">
        <f>HYPERLINK("https://www.spark-marketing.ru/Card/Person/112630", "МЕЖРАЙОННАЯ ИФНС РОССИИ № 6 ПО КУРГАНСКОЙ ОБЛАСТИ")</f>
        <v>МЕЖРАЙОННАЯ ИФНС РОССИИ № 6 ПО КУРГАНСКОЙ ОБЛАСТИ</v>
      </c>
      <c r="B4097" s="24" t="s">
        <v>1407</v>
      </c>
      <c r="C4097" s="25">
        <v>219450</v>
      </c>
      <c r="D4097" s="22" t="s">
        <v>5907</v>
      </c>
      <c r="E4097" s="22" t="s">
        <v>107</v>
      </c>
      <c r="F4097" s="23" t="str">
        <f>HYPERLINK("https://www.spark-marketing.ru/Card/Lot/72208884", "Техническое обслуживание комплекса технических средств охраны, 21 шт")</f>
        <v>Техническое обслуживание комплекса технических средств охраны, 21 шт</v>
      </c>
      <c r="G4097" s="22" t="s">
        <v>626</v>
      </c>
      <c r="H4097" s="22" t="s">
        <v>5908</v>
      </c>
      <c r="I4097" s="26">
        <v>43665.457997685196</v>
      </c>
      <c r="J4097" s="28" t="s">
        <v>52</v>
      </c>
      <c r="K4097" s="28" t="s">
        <v>52</v>
      </c>
      <c r="L4097" s="28" t="s">
        <v>52</v>
      </c>
      <c r="M4097" s="28" t="s">
        <v>52</v>
      </c>
      <c r="N4097" s="28" t="s">
        <v>52</v>
      </c>
    </row>
    <row r="4098" spans="1:14" x14ac:dyDescent="0.15">
      <c r="A4098" s="23" t="str">
        <f t="shared" ref="A4098:A4106" si="178">HYPERLINK("https://www.spark-marketing.ru/Card/Person/8126", "ТФОМС ИРКУТСКОЙ ОБЛАСТИ")</f>
        <v>ТФОМС ИРКУТСКОЙ ОБЛАСТИ</v>
      </c>
      <c r="B4098" s="24" t="s">
        <v>2807</v>
      </c>
      <c r="C4098" s="25">
        <v>339472.32</v>
      </c>
      <c r="D4098" s="22" t="s">
        <v>5909</v>
      </c>
      <c r="E4098" s="22" t="s">
        <v>52</v>
      </c>
      <c r="F4098" s="23" t="str">
        <f>HYPERLINK("https://www.spark-marketing.ru/Card/Lot/72204836", "Услуги охраны с помощью сигнализации офиса и гаража Саянского филиала с 01.01.2020 г. по 31.12.2021 г.")</f>
        <v>Услуги охраны с помощью сигнализации офиса и гаража Саянского филиала с 01.01.2020 г. по 31.12.2021 г.</v>
      </c>
      <c r="G4098" s="22" t="s">
        <v>281</v>
      </c>
      <c r="H4098" s="22" t="s">
        <v>281</v>
      </c>
      <c r="I4098" s="26">
        <v>43665.408981481502</v>
      </c>
      <c r="J4098" s="28" t="s">
        <v>52</v>
      </c>
      <c r="K4098" s="28" t="s">
        <v>52</v>
      </c>
      <c r="L4098" s="28" t="s">
        <v>52</v>
      </c>
      <c r="M4098" s="28" t="s">
        <v>52</v>
      </c>
      <c r="N4098" s="28" t="s">
        <v>52</v>
      </c>
    </row>
    <row r="4099" spans="1:14" ht="12.75" hidden="1" outlineLevel="1" x14ac:dyDescent="0.2">
      <c r="A4099" s="23" t="str">
        <f t="shared" si="178"/>
        <v>ТФОМС ИРКУТСКОЙ ОБЛАСТИ</v>
      </c>
      <c r="B4099" s="24" t="s">
        <v>2807</v>
      </c>
      <c r="C4099" s="25">
        <v>339472.32</v>
      </c>
      <c r="D4099" s="22" t="s">
        <v>5909</v>
      </c>
      <c r="E4099" s="22" t="s">
        <v>52</v>
      </c>
      <c r="F4099" s="23" t="str">
        <f>HYPERLINK("https://www.spark-marketing.ru/Card/Lot/72204836", "Услуги охраны с помощью сигнализации офиса и гаража Саянского филиала с 01.01.2020 г. по 31.12.2021 г.")</f>
        <v>Услуги охраны с помощью сигнализации офиса и гаража Саянского филиала с 01.01.2020 г. по 31.12.2021 г.</v>
      </c>
      <c r="G4099" s="22" t="s">
        <v>281</v>
      </c>
      <c r="H4099" s="22" t="s">
        <v>281</v>
      </c>
      <c r="I4099" s="26">
        <v>43665.408981481502</v>
      </c>
      <c r="J4099" s="23" t="str">
        <f>HYPERLINK("https://www.spark-marketing.ru/Card/Person/270948", "ФЛ ФГУП ""ОХРАНА"" РОСГВАРДИИ ПО ИРКУТСКОЙ ОБЛАСТИ")</f>
        <v>ФЛ ФГУП "ОХРАНА" РОСГВАРДИИ ПО ИРКУТСКОЙ ОБЛАСТИ</v>
      </c>
      <c r="K4099" s="24" t="s">
        <v>779</v>
      </c>
      <c r="L4099" s="22" t="s">
        <v>10</v>
      </c>
      <c r="M4099" s="25">
        <v>286832.63</v>
      </c>
      <c r="N4099" s="27">
        <v>0.15506327585117985</v>
      </c>
    </row>
    <row r="4100" spans="1:14" hidden="1" outlineLevel="1" x14ac:dyDescent="0.2">
      <c r="A4100" s="23" t="str">
        <f t="shared" si="178"/>
        <v>ТФОМС ИРКУТСКОЙ ОБЛАСТИ</v>
      </c>
      <c r="B4100" s="24" t="s">
        <v>2807</v>
      </c>
      <c r="C4100" s="25">
        <v>339472.32</v>
      </c>
      <c r="D4100" s="22" t="s">
        <v>5909</v>
      </c>
      <c r="E4100" s="22" t="s">
        <v>52</v>
      </c>
      <c r="F4100" s="23" t="str">
        <f>HYPERLINK("https://www.spark-marketing.ru/Card/Lot/72204836", "Услуги охраны с помощью сигнализации офиса и гаража Саянского филиала с 01.01.2020 г. по 31.12.2021 г.")</f>
        <v>Услуги охраны с помощью сигнализации офиса и гаража Саянского филиала с 01.01.2020 г. по 31.12.2021 г.</v>
      </c>
      <c r="G4100" s="22" t="s">
        <v>281</v>
      </c>
      <c r="H4100" s="22" t="s">
        <v>281</v>
      </c>
      <c r="I4100" s="26">
        <v>43665.408981481502</v>
      </c>
      <c r="J4100" s="23" t="str">
        <f>HYPERLINK("https://www.spark-marketing.ru/Card/Person/260283", "ООО ""ОА ""БАЙКАЛ-ОХРАНА""")</f>
        <v>ООО "ОА "БАЙКАЛ-ОХРАНА"</v>
      </c>
      <c r="K4100" s="24" t="s">
        <v>5910</v>
      </c>
      <c r="L4100" s="28" t="s">
        <v>52</v>
      </c>
      <c r="M4100" s="25">
        <v>288530</v>
      </c>
      <c r="N4100" s="27">
        <v>0.15006325110689436</v>
      </c>
    </row>
    <row r="4101" spans="1:14" x14ac:dyDescent="0.15">
      <c r="A4101" s="23" t="str">
        <f t="shared" si="178"/>
        <v>ТФОМС ИРКУТСКОЙ ОБЛАСТИ</v>
      </c>
      <c r="B4101" s="24" t="s">
        <v>2807</v>
      </c>
      <c r="C4101" s="25">
        <v>139166.75</v>
      </c>
      <c r="D4101" s="22" t="s">
        <v>5911</v>
      </c>
      <c r="E4101" s="22" t="s">
        <v>52</v>
      </c>
      <c r="F4101" s="23" t="str">
        <f>HYPERLINK("https://www.spark-marketing.ru/Card/Lot/72204831", "Услуги охраны с помощью сигнализации офиса Усть-Илимского филиала с 01.12.2019 г. по 31.12.2021 г.")</f>
        <v>Услуги охраны с помощью сигнализации офиса Усть-Илимского филиала с 01.12.2019 г. по 31.12.2021 г.</v>
      </c>
      <c r="G4101" s="22" t="s">
        <v>281</v>
      </c>
      <c r="H4101" s="22" t="s">
        <v>281</v>
      </c>
      <c r="I4101" s="26">
        <v>43665.404479166697</v>
      </c>
      <c r="J4101" s="28" t="s">
        <v>52</v>
      </c>
      <c r="K4101" s="28" t="s">
        <v>52</v>
      </c>
      <c r="L4101" s="28" t="s">
        <v>52</v>
      </c>
      <c r="M4101" s="28" t="s">
        <v>52</v>
      </c>
      <c r="N4101" s="28" t="s">
        <v>52</v>
      </c>
    </row>
    <row r="4102" spans="1:14" ht="12.75" hidden="1" outlineLevel="1" x14ac:dyDescent="0.2">
      <c r="A4102" s="23" t="str">
        <f t="shared" si="178"/>
        <v>ТФОМС ИРКУТСКОЙ ОБЛАСТИ</v>
      </c>
      <c r="B4102" s="24" t="s">
        <v>2807</v>
      </c>
      <c r="C4102" s="25">
        <v>139166.75</v>
      </c>
      <c r="D4102" s="22" t="s">
        <v>5911</v>
      </c>
      <c r="E4102" s="22" t="s">
        <v>52</v>
      </c>
      <c r="F4102" s="23" t="str">
        <f>HYPERLINK("https://www.spark-marketing.ru/Card/Lot/72204831", "Услуги охраны с помощью сигнализации офиса Усть-Илимского филиала с 01.12.2019 г. по 31.12.2021 г.")</f>
        <v>Услуги охраны с помощью сигнализации офиса Усть-Илимского филиала с 01.12.2019 г. по 31.12.2021 г.</v>
      </c>
      <c r="G4102" s="22" t="s">
        <v>281</v>
      </c>
      <c r="H4102" s="22" t="s">
        <v>281</v>
      </c>
      <c r="I4102" s="26">
        <v>43665.404479166697</v>
      </c>
      <c r="J4102" s="23" t="str">
        <f>HYPERLINK("https://www.spark-marketing.ru/Card/Person/589564", "ООО ""ГАРД""")</f>
        <v>ООО "ГАРД"</v>
      </c>
      <c r="K4102" s="24" t="s">
        <v>5912</v>
      </c>
      <c r="L4102" s="22" t="s">
        <v>10</v>
      </c>
      <c r="M4102" s="25">
        <v>98808.03</v>
      </c>
      <c r="N4102" s="27">
        <v>0.29000260478885942</v>
      </c>
    </row>
    <row r="4103" spans="1:14" hidden="1" outlineLevel="1" x14ac:dyDescent="0.2">
      <c r="A4103" s="23" t="str">
        <f t="shared" si="178"/>
        <v>ТФОМС ИРКУТСКОЙ ОБЛАСТИ</v>
      </c>
      <c r="B4103" s="24" t="s">
        <v>2807</v>
      </c>
      <c r="C4103" s="25">
        <v>139166.75</v>
      </c>
      <c r="D4103" s="22" t="s">
        <v>5911</v>
      </c>
      <c r="E4103" s="22" t="s">
        <v>52</v>
      </c>
      <c r="F4103" s="23" t="str">
        <f>HYPERLINK("https://www.spark-marketing.ru/Card/Lot/72204831", "Услуги охраны с помощью сигнализации офиса Усть-Илимского филиала с 01.12.2019 г. по 31.12.2021 г.")</f>
        <v>Услуги охраны с помощью сигнализации офиса Усть-Илимского филиала с 01.12.2019 г. по 31.12.2021 г.</v>
      </c>
      <c r="G4103" s="22" t="s">
        <v>281</v>
      </c>
      <c r="H4103" s="22" t="s">
        <v>281</v>
      </c>
      <c r="I4103" s="26">
        <v>43665.404479166697</v>
      </c>
      <c r="J4103" s="23" t="str">
        <f>HYPERLINK("https://www.spark-marketing.ru/Card/Person/270948", "ФЛ ФГУП ""ОХРАНА"" РОСГВАРДИИ ПО ИРКУТСКОЙ ОБЛАСТИ")</f>
        <v>ФЛ ФГУП "ОХРАНА" РОСГВАРДИИ ПО ИРКУТСКОЙ ОБЛАСТИ</v>
      </c>
      <c r="K4103" s="24" t="s">
        <v>779</v>
      </c>
      <c r="L4103" s="28" t="s">
        <v>52</v>
      </c>
      <c r="M4103" s="25">
        <v>99503.87</v>
      </c>
      <c r="N4103" s="27">
        <v>0.28500255987870665</v>
      </c>
    </row>
    <row r="4104" spans="1:14" x14ac:dyDescent="0.15">
      <c r="A4104" s="23" t="str">
        <f t="shared" si="178"/>
        <v>ТФОМС ИРКУТСКОЙ ОБЛАСТИ</v>
      </c>
      <c r="B4104" s="24" t="s">
        <v>2807</v>
      </c>
      <c r="C4104" s="25">
        <v>36483.370000000003</v>
      </c>
      <c r="D4104" s="22" t="s">
        <v>5913</v>
      </c>
      <c r="E4104" s="22" t="s">
        <v>52</v>
      </c>
      <c r="F4104" s="23" t="str">
        <f>HYPERLINK("https://www.spark-marketing.ru/Card/Lot/72204615", "Услуги охраны с помощью сигнализации офиса Тайшетского филиала с 01.10.2019 г. по 31.08.2020 г.")</f>
        <v>Услуги охраны с помощью сигнализации офиса Тайшетского филиала с 01.10.2019 г. по 31.08.2020 г.</v>
      </c>
      <c r="G4104" s="22" t="s">
        <v>281</v>
      </c>
      <c r="H4104" s="22" t="s">
        <v>281</v>
      </c>
      <c r="I4104" s="26">
        <v>43665.400138888901</v>
      </c>
      <c r="J4104" s="28" t="s">
        <v>52</v>
      </c>
      <c r="K4104" s="28" t="s">
        <v>52</v>
      </c>
      <c r="L4104" s="28" t="s">
        <v>52</v>
      </c>
      <c r="M4104" s="28" t="s">
        <v>52</v>
      </c>
      <c r="N4104" s="28" t="s">
        <v>52</v>
      </c>
    </row>
    <row r="4105" spans="1:14" ht="12.75" hidden="1" outlineLevel="1" x14ac:dyDescent="0.2">
      <c r="A4105" s="23" t="str">
        <f t="shared" si="178"/>
        <v>ТФОМС ИРКУТСКОЙ ОБЛАСТИ</v>
      </c>
      <c r="B4105" s="24" t="s">
        <v>2807</v>
      </c>
      <c r="C4105" s="25">
        <v>36483.370000000003</v>
      </c>
      <c r="D4105" s="22" t="s">
        <v>5913</v>
      </c>
      <c r="E4105" s="22" t="s">
        <v>52</v>
      </c>
      <c r="F4105" s="23" t="str">
        <f>HYPERLINK("https://www.spark-marketing.ru/Card/Lot/72204615", "Услуги охраны с помощью сигнализации офиса Тайшетского филиала с 01.10.2019 г. по 31.08.2020 г.")</f>
        <v>Услуги охраны с помощью сигнализации офиса Тайшетского филиала с 01.10.2019 г. по 31.08.2020 г.</v>
      </c>
      <c r="G4105" s="22" t="s">
        <v>281</v>
      </c>
      <c r="H4105" s="22" t="s">
        <v>281</v>
      </c>
      <c r="I4105" s="26">
        <v>43665.400138888901</v>
      </c>
      <c r="J4105" s="23" t="str">
        <f>HYPERLINK("https://www.spark-marketing.ru/Card/Person/4389781", "ООО ""ЧОП""ОМЕГА""")</f>
        <v>ООО "ЧОП"ОМЕГА"</v>
      </c>
      <c r="K4105" s="24" t="s">
        <v>5914</v>
      </c>
      <c r="L4105" s="22" t="s">
        <v>10</v>
      </c>
      <c r="M4105" s="25">
        <v>36300</v>
      </c>
      <c r="N4105" s="27">
        <v>5.0261256018838173E-3</v>
      </c>
    </row>
    <row r="4106" spans="1:14" hidden="1" outlineLevel="1" x14ac:dyDescent="0.2">
      <c r="A4106" s="23" t="str">
        <f t="shared" si="178"/>
        <v>ТФОМС ИРКУТСКОЙ ОБЛАСТИ</v>
      </c>
      <c r="B4106" s="24" t="s">
        <v>2807</v>
      </c>
      <c r="C4106" s="25">
        <v>36483.370000000003</v>
      </c>
      <c r="D4106" s="22" t="s">
        <v>5913</v>
      </c>
      <c r="E4106" s="22" t="s">
        <v>52</v>
      </c>
      <c r="F4106" s="23" t="str">
        <f>HYPERLINK("https://www.spark-marketing.ru/Card/Lot/72204615", "Услуги охраны с помощью сигнализации офиса Тайшетского филиала с 01.10.2019 г. по 31.08.2020 г.")</f>
        <v>Услуги охраны с помощью сигнализации офиса Тайшетского филиала с 01.10.2019 г. по 31.08.2020 г.</v>
      </c>
      <c r="G4106" s="22" t="s">
        <v>281</v>
      </c>
      <c r="H4106" s="22" t="s">
        <v>281</v>
      </c>
      <c r="I4106" s="26">
        <v>43665.400138888901</v>
      </c>
      <c r="J4106" s="23" t="str">
        <f>HYPERLINK("https://www.spark-marketing.ru/Card/Person/53937", "ООО ОФ ""КОДЕКС""")</f>
        <v>ООО ОФ "КОДЕКС"</v>
      </c>
      <c r="K4106" s="24" t="s">
        <v>5915</v>
      </c>
      <c r="L4106" s="28" t="s">
        <v>52</v>
      </c>
      <c r="M4106" s="25">
        <v>36300</v>
      </c>
      <c r="N4106" s="27">
        <v>5.0261256018838173E-3</v>
      </c>
    </row>
    <row r="4107" spans="1:14" x14ac:dyDescent="0.15">
      <c r="A4107" s="23" t="str">
        <f>HYPERLINK("https://www.spark-marketing.ru/Card/Person/533517", "ОТДЕЛ ГФС РОССИИ В Г. ЧЕЛЯБИНСКЕ")</f>
        <v>ОТДЕЛ ГФС РОССИИ В Г. ЧЕЛЯБИНСКЕ</v>
      </c>
      <c r="B4107" s="24" t="s">
        <v>5916</v>
      </c>
      <c r="C4107" s="25">
        <v>4175.88</v>
      </c>
      <c r="D4107" s="22" t="s">
        <v>5917</v>
      </c>
      <c r="E4107" s="22" t="s">
        <v>53</v>
      </c>
      <c r="F4107" s="23" t="str">
        <f>HYPERLINK("https://www.spark-marketing.ru/Card/Lot/72206936", "Оказание услуг по техническому обслуживанию комплекса технических средств охраны, установленных на объекте")</f>
        <v>Оказание услуг по техническому обслуживанию комплекса технических средств охраны, установленных на объекте</v>
      </c>
      <c r="G4107" s="22" t="s">
        <v>60</v>
      </c>
      <c r="H4107" s="22" t="s">
        <v>1683</v>
      </c>
      <c r="I4107" s="26">
        <v>43665.401875000003</v>
      </c>
      <c r="J4107" s="28" t="s">
        <v>52</v>
      </c>
      <c r="K4107" s="28" t="s">
        <v>52</v>
      </c>
      <c r="L4107" s="28" t="s">
        <v>52</v>
      </c>
      <c r="M4107" s="28" t="s">
        <v>52</v>
      </c>
      <c r="N4107" s="28" t="s">
        <v>52</v>
      </c>
    </row>
    <row r="4108" spans="1:14" x14ac:dyDescent="0.15">
      <c r="A4108" s="23" t="str">
        <f>HYPERLINK("https://www.spark-marketing.ru/Card/Person/23", "КЕМЕРОВСКОЕ УФАС РОССИИ")</f>
        <v>КЕМЕРОВСКОЕ УФАС РОССИИ</v>
      </c>
      <c r="B4108" s="24" t="s">
        <v>5918</v>
      </c>
      <c r="C4108" s="25">
        <v>67320</v>
      </c>
      <c r="D4108" s="22" t="s">
        <v>5919</v>
      </c>
      <c r="E4108" s="22" t="s">
        <v>53</v>
      </c>
      <c r="F4108" s="23" t="str">
        <f>HYPERLINK("https://www.spark-marketing.ru/Card/Lot/72204100", "оказание охранных услуг")</f>
        <v>оказание охранных услуг</v>
      </c>
      <c r="G4108" s="22" t="s">
        <v>367</v>
      </c>
      <c r="H4108" s="22" t="s">
        <v>881</v>
      </c>
      <c r="I4108" s="26">
        <v>43665.265451388899</v>
      </c>
      <c r="J4108" s="28" t="s">
        <v>52</v>
      </c>
      <c r="K4108" s="28" t="s">
        <v>52</v>
      </c>
      <c r="L4108" s="28" t="s">
        <v>52</v>
      </c>
      <c r="M4108" s="28" t="s">
        <v>52</v>
      </c>
      <c r="N4108" s="28" t="s">
        <v>52</v>
      </c>
    </row>
    <row r="4109" spans="1:14" x14ac:dyDescent="0.15">
      <c r="A4109" s="23" t="str">
        <f>HYPERLINK("https://www.spark-marketing.ru/Card/Person/108703", "САХАЛИНСТАТ")</f>
        <v>САХАЛИНСТАТ</v>
      </c>
      <c r="B4109" s="24" t="s">
        <v>3096</v>
      </c>
      <c r="C4109" s="25">
        <v>30406.799999999999</v>
      </c>
      <c r="D4109" s="22" t="s">
        <v>5920</v>
      </c>
      <c r="E4109" s="22" t="s">
        <v>53</v>
      </c>
      <c r="F4109" s="23" t="str">
        <f>HYPERLINK("https://www.spark-marketing.ru/Card/Lot/72202291", "Оказание услуг по техническому обслуживанию технических средств охраны")</f>
        <v>Оказание услуг по техническому обслуживанию технических средств охраны</v>
      </c>
      <c r="G4109" s="22" t="s">
        <v>69</v>
      </c>
      <c r="H4109" s="22" t="s">
        <v>973</v>
      </c>
      <c r="I4109" s="26">
        <v>43665.184826388897</v>
      </c>
      <c r="J4109" s="28" t="s">
        <v>52</v>
      </c>
      <c r="K4109" s="28" t="s">
        <v>52</v>
      </c>
      <c r="L4109" s="28" t="s">
        <v>52</v>
      </c>
      <c r="M4109" s="28" t="s">
        <v>52</v>
      </c>
      <c r="N4109" s="28" t="s">
        <v>52</v>
      </c>
    </row>
    <row r="4110" spans="1:14" x14ac:dyDescent="0.15">
      <c r="A4110" s="23" t="str">
        <f>HYPERLINK("https://www.spark-marketing.ru/Card/Person/6710800", "ФЛ КРАСНОДАР БУРЕНИЕ ООО ГАЗПРОМ БУРЕНИЕ")</f>
        <v>ФЛ КРАСНОДАР БУРЕНИЕ ООО ГАЗПРОМ БУРЕНИЕ</v>
      </c>
      <c r="B4110" s="28" t="s">
        <v>52</v>
      </c>
      <c r="C4110" s="28" t="s">
        <v>52</v>
      </c>
      <c r="D4110" s="22" t="s">
        <v>5921</v>
      </c>
      <c r="E4110" s="22" t="s">
        <v>53</v>
      </c>
      <c r="F4110" s="23" t="str">
        <f>HYPERLINK("https://www.spark-marketing.ru/Card/Lot/73987043", "Оказание услуг по охране объектов База ВЗиС ЧНГКМ")</f>
        <v>Оказание услуг по охране объектов База ВЗиС ЧНГКМ</v>
      </c>
      <c r="G4110" s="22" t="s">
        <v>52</v>
      </c>
      <c r="H4110" s="22" t="s">
        <v>52</v>
      </c>
      <c r="I4110" s="26">
        <v>43665</v>
      </c>
      <c r="J4110" s="28" t="s">
        <v>52</v>
      </c>
      <c r="K4110" s="28" t="s">
        <v>52</v>
      </c>
      <c r="L4110" s="28" t="s">
        <v>52</v>
      </c>
      <c r="M4110" s="28" t="s">
        <v>52</v>
      </c>
      <c r="N4110" s="28" t="s">
        <v>52</v>
      </c>
    </row>
    <row r="4111" spans="1:14" x14ac:dyDescent="0.15">
      <c r="A4111" s="23" t="str">
        <f>HYPERLINK("https://www.spark-marketing.ru/Card/Person/9655", "УМВД РОССИИ ПО Г.МАГНИТОГОРСКУ ЧЕЛЯБИНСКОЙ ОБЛАСТИ")</f>
        <v>УМВД РОССИИ ПО Г.МАГНИТОГОРСКУ ЧЕЛЯБИНСКОЙ ОБЛАСТИ</v>
      </c>
      <c r="B4111" s="24" t="s">
        <v>232</v>
      </c>
      <c r="C4111" s="25">
        <v>45000</v>
      </c>
      <c r="D4111" s="22" t="s">
        <v>5922</v>
      </c>
      <c r="E4111" s="22" t="s">
        <v>234</v>
      </c>
      <c r="F4111" s="23" t="str">
        <f>HYPERLINK("https://www.spark-marketing.ru/Card/Lot/72204539", "Оказание услуг по проведению планового технического обслуживания систем видеонаблюдения для нужд УМВД России по г. Магнитогорску Челябинской области")</f>
        <v>Оказание услуг по проведению планового технического обслуживания систем видеонаблюдения для нужд УМВД России по г. Магнитогорску Челябинской области</v>
      </c>
      <c r="G4111" s="22" t="s">
        <v>60</v>
      </c>
      <c r="H4111" s="22" t="s">
        <v>221</v>
      </c>
      <c r="I4111" s="26">
        <v>43664.791828703703</v>
      </c>
      <c r="J4111" s="28" t="s">
        <v>52</v>
      </c>
      <c r="K4111" s="28" t="s">
        <v>52</v>
      </c>
      <c r="L4111" s="28" t="s">
        <v>52</v>
      </c>
      <c r="M4111" s="28" t="s">
        <v>52</v>
      </c>
      <c r="N4111" s="28" t="s">
        <v>52</v>
      </c>
    </row>
    <row r="4112" spans="1:14" x14ac:dyDescent="0.15">
      <c r="A4112" s="23" t="str">
        <f>HYPERLINK("https://www.spark-marketing.ru/Card/Person/6218324", "ГКУ ""УДМС""")</f>
        <v>ГКУ "УДМС"</v>
      </c>
      <c r="B4112" s="24" t="s">
        <v>5555</v>
      </c>
      <c r="C4112" s="25">
        <v>5014.7700000000004</v>
      </c>
      <c r="D4112" s="22" t="s">
        <v>5923</v>
      </c>
      <c r="E4112" s="22" t="s">
        <v>5924</v>
      </c>
      <c r="F4112" s="23" t="str">
        <f>HYPERLINK("https://www.spark-marketing.ru/Card/Lot/72195049", "Закупка у единственного поставщика на выполнение работ по осуществлению технологического присоединения к электрическим сетям объекта: ВРУ системы видеонаблюдения ОРП по объекту: «Строительство путепровода для транспортного обслуживания территории ТПУ...")</f>
        <v>Закупка у единственного поставщика на выполнение работ по осуществлению технологического присоединения к электрическим сетям объекта: ВРУ системы видеонаблюдения ОРП по объекту: «Строительство путепровода для транспортного обслуживания территории ТПУ...</v>
      </c>
      <c r="G4112" s="22" t="s">
        <v>55</v>
      </c>
      <c r="H4112" s="22" t="s">
        <v>55</v>
      </c>
      <c r="I4112" s="26">
        <v>43664.731585648202</v>
      </c>
      <c r="J4112" s="28" t="s">
        <v>52</v>
      </c>
      <c r="K4112" s="28" t="s">
        <v>52</v>
      </c>
      <c r="L4112" s="28" t="s">
        <v>52</v>
      </c>
      <c r="M4112" s="28" t="s">
        <v>52</v>
      </c>
      <c r="N4112" s="28" t="s">
        <v>52</v>
      </c>
    </row>
    <row r="4113" spans="1:14" x14ac:dyDescent="0.15">
      <c r="A4113" s="23" t="str">
        <f>HYPERLINK("https://www.spark-marketing.ru/Card/Person/24963", "УРГЮУ, ФГБОУ ВО ""УРАЛЬСКИЙ ГОСУДАРСТВЕННЫЙ ЮРИДИЧЕСКИЙ УНИВЕРСИТЕТ"", УРАЛЬСКИЙ ГОСУДАРСТВЕННЫЙ ЮРИДИЧЕСКИЙ УНИВЕРСИТЕТ, ФГБОУ ВО ""УРГЮУ""")</f>
        <v>УРГЮУ, ФГБОУ ВО "УРАЛЬСКИЙ ГОСУДАРСТВЕННЫЙ ЮРИДИЧЕСКИЙ УНИВЕРСИТЕТ", УРАЛЬСКИЙ ГОСУДАРСТВЕННЫЙ ЮРИДИЧЕСКИЙ УНИВЕРСИТЕТ, ФГБОУ ВО "УРГЮУ"</v>
      </c>
      <c r="B4113" s="24" t="s">
        <v>5059</v>
      </c>
      <c r="C4113" s="25">
        <v>194765.2</v>
      </c>
      <c r="D4113" s="22" t="s">
        <v>5925</v>
      </c>
      <c r="E4113" s="22" t="s">
        <v>5061</v>
      </c>
      <c r="F4113" s="23" t="str">
        <f>HYPERLINK("https://www.spark-marketing.ru/Card/Lot/72200392", "Выполнение работ по установке единой функционирующей системы адресной охранной сигнализации в учебном корпусе №2 по ул. Колмогорова, 54 (1 этап) в соответствии с прикрепленным извещением.")</f>
        <v>Выполнение работ по установке единой функционирующей системы адресной охранной сигнализации в учебном корпусе №2 по ул. Колмогорова, 54 (1 этап) в соответствии с прикрепленным извещением.</v>
      </c>
      <c r="G4113" s="22" t="s">
        <v>72</v>
      </c>
      <c r="H4113" s="22" t="s">
        <v>949</v>
      </c>
      <c r="I4113" s="26">
        <v>43664.688321759299</v>
      </c>
      <c r="J4113" s="28" t="s">
        <v>52</v>
      </c>
      <c r="K4113" s="28" t="s">
        <v>52</v>
      </c>
      <c r="L4113" s="28" t="s">
        <v>52</v>
      </c>
      <c r="M4113" s="28" t="s">
        <v>52</v>
      </c>
      <c r="N4113" s="28" t="s">
        <v>52</v>
      </c>
    </row>
    <row r="4114" spans="1:14" x14ac:dyDescent="0.15">
      <c r="A4114" s="23" t="str">
        <f>HYPERLINK("https://www.spark-marketing.ru/Card/Person/139815", "УПРАВЛЕНИЕ РОСКОМНАДЗОРА ПО ВОЛГОГРАДСКОЙ ОБЛАСТИ И РЕСПУБЛИКЕ КАЛМЫКИЯ")</f>
        <v>УПРАВЛЕНИЕ РОСКОМНАДЗОРА ПО ВОЛГОГРАДСКОЙ ОБЛАСТИ И РЕСПУБЛИКЕ КАЛМЫКИЯ</v>
      </c>
      <c r="B4114" s="24" t="s">
        <v>4119</v>
      </c>
      <c r="C4114" s="25">
        <v>7607.53</v>
      </c>
      <c r="D4114" s="22" t="s">
        <v>5926</v>
      </c>
      <c r="E4114" s="22" t="s">
        <v>53</v>
      </c>
      <c r="F4114" s="23" t="str">
        <f>HYPERLINK("https://www.spark-marketing.ru/Card/Lot/72189293", "техническое обслуживание средств охраны")</f>
        <v>техническое обслуживание средств охраны</v>
      </c>
      <c r="G4114" s="22" t="s">
        <v>343</v>
      </c>
      <c r="H4114" s="22" t="s">
        <v>344</v>
      </c>
      <c r="I4114" s="26">
        <v>43664.667002314804</v>
      </c>
      <c r="J4114" s="28" t="s">
        <v>52</v>
      </c>
      <c r="K4114" s="28" t="s">
        <v>52</v>
      </c>
      <c r="L4114" s="28" t="s">
        <v>52</v>
      </c>
      <c r="M4114" s="28" t="s">
        <v>52</v>
      </c>
      <c r="N4114" s="28" t="s">
        <v>52</v>
      </c>
    </row>
    <row r="4115" spans="1:14" x14ac:dyDescent="0.15">
      <c r="A4115" s="23" t="str">
        <f>HYPERLINK("https://www.spark-marketing.ru/Card/Person/1043592", "МАДОУ Г. НИЖНЕВАРТОВСКА ДС №86 ""БЫЛИНУШКА""")</f>
        <v>МАДОУ Г. НИЖНЕВАРТОВСКА ДС №86 "БЫЛИНУШКА"</v>
      </c>
      <c r="B4115" s="24" t="s">
        <v>5927</v>
      </c>
      <c r="C4115" s="25">
        <v>216108.27</v>
      </c>
      <c r="D4115" s="22" t="s">
        <v>5928</v>
      </c>
      <c r="E4115" s="22" t="s">
        <v>691</v>
      </c>
      <c r="F4115" s="23" t="str">
        <f>HYPERLINK("https://www.spark-marketing.ru/Card/Lot/72199986", "выполнение работ по модернизации технических средств безопасности объектов через установку системы видеонаблюдения и организацию беспроводной системы вызова помощника для инвалидов и других маломобильных групп граждан")</f>
        <v>выполнение работ по модернизации технических средств безопасности объектов через установку системы видеонаблюдения и организацию беспроводной системы вызова помощника для инвалидов и других маломобильных групп граждан</v>
      </c>
      <c r="G4115" s="22" t="s">
        <v>119</v>
      </c>
      <c r="H4115" s="22" t="s">
        <v>119</v>
      </c>
      <c r="I4115" s="26">
        <v>43664.680625000001</v>
      </c>
      <c r="J4115" s="28" t="s">
        <v>52</v>
      </c>
      <c r="K4115" s="28" t="s">
        <v>52</v>
      </c>
      <c r="L4115" s="28" t="s">
        <v>52</v>
      </c>
      <c r="M4115" s="28" t="s">
        <v>52</v>
      </c>
      <c r="N4115" s="28" t="s">
        <v>52</v>
      </c>
    </row>
    <row r="4116" spans="1:14" x14ac:dyDescent="0.15">
      <c r="A4116" s="23" t="str">
        <f>HYPERLINK("https://www.spark-marketing.ru/Card/Person/24963", "УРГЮУ, ФГБОУ ВО ""УРАЛЬСКИЙ ГОСУДАРСТВЕННЫЙ ЮРИДИЧЕСКИЙ УНИВЕРСИТЕТ"", УРАЛЬСКИЙ ГОСУДАРСТВЕННЫЙ ЮРИДИЧЕСКИЙ УНИВЕРСИТЕТ, ФГБОУ ВО ""УРГЮУ""")</f>
        <v>УРГЮУ, ФГБОУ ВО "УРАЛЬСКИЙ ГОСУДАРСТВЕННЫЙ ЮРИДИЧЕСКИЙ УНИВЕРСИТЕТ", УРАЛЬСКИЙ ГОСУДАРСТВЕННЫЙ ЮРИДИЧЕСКИЙ УНИВЕРСИТЕТ, ФГБОУ ВО "УРГЮУ"</v>
      </c>
      <c r="B4116" s="24" t="s">
        <v>5059</v>
      </c>
      <c r="C4116" s="25">
        <v>299118.07</v>
      </c>
      <c r="D4116" s="22" t="s">
        <v>5929</v>
      </c>
      <c r="E4116" s="22" t="s">
        <v>5061</v>
      </c>
      <c r="F4116" s="23" t="str">
        <f>HYPERLINK("https://www.spark-marketing.ru/Card/Lot/72200393", "Выполнение работ по установке единой функционирующей системы адресной охранной сигнализации в учебном корпусе №3 по ул. Комсомольская, 23, главном учебном корпусе по ул. Комсомольская, 21 в соответствии с прикрепленным извещением.")</f>
        <v>Выполнение работ по установке единой функционирующей системы адресной охранной сигнализации в учебном корпусе №3 по ул. Комсомольская, 23, главном учебном корпусе по ул. Комсомольская, 21 в соответствии с прикрепленным извещением.</v>
      </c>
      <c r="G4116" s="22" t="s">
        <v>72</v>
      </c>
      <c r="H4116" s="22" t="s">
        <v>949</v>
      </c>
      <c r="I4116" s="26">
        <v>43664.688935185201</v>
      </c>
      <c r="J4116" s="28" t="s">
        <v>52</v>
      </c>
      <c r="K4116" s="28" t="s">
        <v>52</v>
      </c>
      <c r="L4116" s="28" t="s">
        <v>52</v>
      </c>
      <c r="M4116" s="28" t="s">
        <v>52</v>
      </c>
      <c r="N4116" s="28" t="s">
        <v>52</v>
      </c>
    </row>
    <row r="4117" spans="1:14" x14ac:dyDescent="0.15">
      <c r="A4117" s="23" t="str">
        <f>HYPERLINK("https://www.spark-marketing.ru/Card/Person/1600", "ФКУ ""СИБУПРАВТОДОР""")</f>
        <v>ФКУ "СИБУПРАВТОДОР"</v>
      </c>
      <c r="B4117" s="24" t="s">
        <v>5930</v>
      </c>
      <c r="C4117" s="25">
        <v>123254000</v>
      </c>
      <c r="D4117" s="22" t="s">
        <v>5931</v>
      </c>
      <c r="E4117" s="22" t="s">
        <v>723</v>
      </c>
      <c r="F4117" s="23" t="str">
        <f>HYPERLINK("https://www.spark-marketing.ru/Card/Lot/72181594", "Установка систем видеоконтроля (камер фото-видеофиксации нарушений правил дорожного движения), Новосибирская область")</f>
        <v>Установка систем видеоконтроля (камер фото-видеофиксации нарушений правил дорожного движения), Новосибирская область</v>
      </c>
      <c r="G4117" s="22" t="s">
        <v>209</v>
      </c>
      <c r="H4117" s="22" t="s">
        <v>209</v>
      </c>
      <c r="I4117" s="26">
        <v>43664.601446759298</v>
      </c>
      <c r="J4117" s="28" t="s">
        <v>52</v>
      </c>
      <c r="K4117" s="28" t="s">
        <v>52</v>
      </c>
      <c r="L4117" s="28" t="s">
        <v>52</v>
      </c>
      <c r="M4117" s="28" t="s">
        <v>52</v>
      </c>
      <c r="N4117" s="28" t="s">
        <v>52</v>
      </c>
    </row>
    <row r="4118" spans="1:14" hidden="1" outlineLevel="1" x14ac:dyDescent="0.2">
      <c r="A4118" s="23" t="str">
        <f>HYPERLINK("https://www.spark-marketing.ru/Card/Person/1600", "ФКУ ""СИБУПРАВТОДОР""")</f>
        <v>ФКУ "СИБУПРАВТОДОР"</v>
      </c>
      <c r="B4118" s="24" t="s">
        <v>5930</v>
      </c>
      <c r="C4118" s="25">
        <v>123254000</v>
      </c>
      <c r="D4118" s="22" t="s">
        <v>5931</v>
      </c>
      <c r="E4118" s="22" t="s">
        <v>723</v>
      </c>
      <c r="F4118" s="23" t="str">
        <f>HYPERLINK("https://www.spark-marketing.ru/Card/Lot/72181594", "Установка систем видеоконтроля (камер фото-видеофиксации нарушений правил дорожного движения), Новосибирская область")</f>
        <v>Установка систем видеоконтроля (камер фото-видеофиксации нарушений правил дорожного движения), Новосибирская область</v>
      </c>
      <c r="G4118" s="22" t="s">
        <v>209</v>
      </c>
      <c r="H4118" s="22" t="s">
        <v>209</v>
      </c>
      <c r="I4118" s="26">
        <v>43664.601446759298</v>
      </c>
      <c r="J4118" s="23" t="str">
        <f>HYPERLINK("https://www.spark-marketing.ru/Card/Person/10991", "ПАО ""РОСТЕЛЕКОМ""")</f>
        <v>ПАО "РОСТЕЛЕКОМ"</v>
      </c>
      <c r="K4118" s="24" t="s">
        <v>607</v>
      </c>
      <c r="L4118" s="28" t="s">
        <v>52</v>
      </c>
      <c r="M4118" s="25">
        <v>123254000</v>
      </c>
      <c r="N4118" s="27">
        <v>0</v>
      </c>
    </row>
    <row r="4119" spans="1:14" ht="12.75" hidden="1" outlineLevel="1" x14ac:dyDescent="0.2">
      <c r="A4119" s="23" t="str">
        <f>HYPERLINK("https://www.spark-marketing.ru/Card/Person/1600", "ФКУ ""СИБУПРАВТОДОР""")</f>
        <v>ФКУ "СИБУПРАВТОДОР"</v>
      </c>
      <c r="B4119" s="24" t="s">
        <v>5930</v>
      </c>
      <c r="C4119" s="25">
        <v>123254000</v>
      </c>
      <c r="D4119" s="22" t="s">
        <v>5931</v>
      </c>
      <c r="E4119" s="22" t="s">
        <v>723</v>
      </c>
      <c r="F4119" s="23" t="str">
        <f>HYPERLINK("https://www.spark-marketing.ru/Card/Lot/72181594", "Установка систем видеоконтроля (камер фото-видеофиксации нарушений правил дорожного движения), Новосибирская область")</f>
        <v>Установка систем видеоконтроля (камер фото-видеофиксации нарушений правил дорожного движения), Новосибирская область</v>
      </c>
      <c r="G4119" s="22" t="s">
        <v>209</v>
      </c>
      <c r="H4119" s="22" t="s">
        <v>209</v>
      </c>
      <c r="I4119" s="26">
        <v>43664.601446759298</v>
      </c>
      <c r="J4119" s="23" t="str">
        <f>HYPERLINK("https://www.spark-marketing.ru/Card/Person/126187", "ООО ""ИТС-СИБИРЬ""")</f>
        <v>ООО "ИТС-СИБИРЬ"</v>
      </c>
      <c r="K4119" s="24" t="s">
        <v>5932</v>
      </c>
      <c r="L4119" s="22" t="s">
        <v>10</v>
      </c>
      <c r="M4119" s="25">
        <v>123254000</v>
      </c>
      <c r="N4119" s="27">
        <v>0</v>
      </c>
    </row>
    <row r="4120" spans="1:14" x14ac:dyDescent="0.15">
      <c r="A4120" s="23" t="str">
        <f>HYPERLINK("https://www.spark-marketing.ru/Card/Person/1600", "ФКУ ""СИБУПРАВТОДОР""")</f>
        <v>ФКУ "СИБУПРАВТОДОР"</v>
      </c>
      <c r="B4120" s="24" t="s">
        <v>5930</v>
      </c>
      <c r="C4120" s="25">
        <v>69630000</v>
      </c>
      <c r="D4120" s="22" t="s">
        <v>5933</v>
      </c>
      <c r="E4120" s="22" t="s">
        <v>723</v>
      </c>
      <c r="F4120" s="23" t="str">
        <f>HYPERLINK("https://www.spark-marketing.ru/Card/Lot/72181489", "Установка систем видеоконтроля (камер фото-видеофиксации нарушений правил дорожного движения), Кемеровская область")</f>
        <v>Установка систем видеоконтроля (камер фото-видеофиксации нарушений правил дорожного движения), Кемеровская область</v>
      </c>
      <c r="G4120" s="22" t="s">
        <v>367</v>
      </c>
      <c r="H4120" s="22" t="s">
        <v>367</v>
      </c>
      <c r="I4120" s="26">
        <v>43664.528564814798</v>
      </c>
      <c r="J4120" s="23" t="str">
        <f>HYPERLINK("https://www.spark-marketing.ru/Card/Person/10991", "ПАО ""РОСТЕЛЕКОМ""")</f>
        <v>ПАО "РОСТЕЛЕКОМ"</v>
      </c>
      <c r="K4120" s="24" t="s">
        <v>607</v>
      </c>
      <c r="L4120" s="28" t="s">
        <v>52</v>
      </c>
      <c r="M4120" s="28" t="s">
        <v>52</v>
      </c>
      <c r="N4120" s="28" t="s">
        <v>52</v>
      </c>
    </row>
    <row r="4121" spans="1:14" hidden="1" outlineLevel="1" x14ac:dyDescent="0.15">
      <c r="A4121" s="23" t="str">
        <f>HYPERLINK("https://www.spark-marketing.ru/Card/Person/1600", "ФКУ ""СИБУПРАВТОДОР""")</f>
        <v>ФКУ "СИБУПРАВТОДОР"</v>
      </c>
      <c r="B4121" s="24" t="s">
        <v>5930</v>
      </c>
      <c r="C4121" s="25">
        <v>69630000</v>
      </c>
      <c r="D4121" s="22" t="s">
        <v>5933</v>
      </c>
      <c r="E4121" s="22" t="s">
        <v>723</v>
      </c>
      <c r="F4121" s="23" t="str">
        <f>HYPERLINK("https://www.spark-marketing.ru/Card/Lot/72181489", "Установка систем видеоконтроля (камер фото-видеофиксации нарушений правил дорожного движения), Кемеровская область")</f>
        <v>Установка систем видеоконтроля (камер фото-видеофиксации нарушений правил дорожного движения), Кемеровская область</v>
      </c>
      <c r="G4121" s="22" t="s">
        <v>367</v>
      </c>
      <c r="H4121" s="22" t="s">
        <v>367</v>
      </c>
      <c r="I4121" s="26">
        <v>43664.528564814798</v>
      </c>
      <c r="J4121" s="23" t="str">
        <f>HYPERLINK("https://www.spark-marketing.ru/Card/Person/10991", "ПАО ""РОСТЕЛЕКОМ""")</f>
        <v>ПАО "РОСТЕЛЕКОМ"</v>
      </c>
      <c r="K4121" s="24" t="s">
        <v>607</v>
      </c>
      <c r="L4121" s="22" t="s">
        <v>10</v>
      </c>
      <c r="M4121" s="28" t="s">
        <v>52</v>
      </c>
      <c r="N4121" s="28" t="s">
        <v>52</v>
      </c>
    </row>
    <row r="4122" spans="1:14" x14ac:dyDescent="0.15">
      <c r="A4122" s="23" t="str">
        <f>HYPERLINK("https://www.spark-marketing.ru/Card/Person/9462", "УФССП РОССИИ ПО БРЯНСКОЙ ОБЛАСТИ")</f>
        <v>УФССП РОССИИ ПО БРЯНСКОЙ ОБЛАСТИ</v>
      </c>
      <c r="B4122" s="24" t="s">
        <v>5934</v>
      </c>
      <c r="C4122" s="25">
        <v>29753.8</v>
      </c>
      <c r="D4122" s="22" t="s">
        <v>5935</v>
      </c>
      <c r="E4122" s="22" t="s">
        <v>53</v>
      </c>
      <c r="F4122" s="23" t="str">
        <f>HYPERLINK("https://www.spark-marketing.ru/Card/Lot/72189120", "Охрана объекта техническими средствами охраны")</f>
        <v>Охрана объекта техническими средствами охраны</v>
      </c>
      <c r="G4122" s="22" t="s">
        <v>215</v>
      </c>
      <c r="H4122" s="22" t="s">
        <v>406</v>
      </c>
      <c r="I4122" s="26">
        <v>43664.652685185203</v>
      </c>
      <c r="J4122" s="28" t="s">
        <v>52</v>
      </c>
      <c r="K4122" s="28" t="s">
        <v>52</v>
      </c>
      <c r="L4122" s="28" t="s">
        <v>52</v>
      </c>
      <c r="M4122" s="28" t="s">
        <v>52</v>
      </c>
      <c r="N4122" s="28" t="s">
        <v>52</v>
      </c>
    </row>
    <row r="4123" spans="1:14" x14ac:dyDescent="0.15">
      <c r="A4123" s="23" t="str">
        <f>HYPERLINK("https://www.spark-marketing.ru/Card/Person/112283", "АО ""КАЛИНИНСКОЕ СПХ"", АО ""КАЛИНИНСКОЕ САДОВО-ПАРКОВОЕ ХОЗЯЙСТВО""")</f>
        <v>АО "КАЛИНИНСКОЕ СПХ", АО "КАЛИНИНСКОЕ САДОВО-ПАРКОВОЕ ХОЗЯЙСТВО"</v>
      </c>
      <c r="B4123" s="24" t="s">
        <v>5936</v>
      </c>
      <c r="C4123" s="25">
        <v>1850000</v>
      </c>
      <c r="D4123" s="22" t="s">
        <v>5937</v>
      </c>
      <c r="E4123" s="22" t="s">
        <v>4747</v>
      </c>
      <c r="F4123" s="23" t="str">
        <f>HYPERLINK("https://www.spark-marketing.ru/Card/Lot/72200846", "Оказание услуг по охране объекта")</f>
        <v>Оказание услуг по охране объекта</v>
      </c>
      <c r="G4123" s="22" t="s">
        <v>89</v>
      </c>
      <c r="H4123" s="22" t="s">
        <v>89</v>
      </c>
      <c r="I4123" s="26">
        <v>43664.651643518497</v>
      </c>
      <c r="J4123" s="28" t="s">
        <v>52</v>
      </c>
      <c r="K4123" s="28" t="s">
        <v>52</v>
      </c>
      <c r="L4123" s="28" t="s">
        <v>52</v>
      </c>
      <c r="M4123" s="28" t="s">
        <v>52</v>
      </c>
      <c r="N4123" s="28" t="s">
        <v>52</v>
      </c>
    </row>
    <row r="4124" spans="1:14" x14ac:dyDescent="0.15">
      <c r="A4124" s="23" t="str">
        <f>HYPERLINK("https://www.spark-marketing.ru/Card/Person/141060", "МУ ""ДЮОЦ ""РОМАШКА""")</f>
        <v>МУ "ДЮОЦ "РОМАШКА"</v>
      </c>
      <c r="B4124" s="24" t="s">
        <v>5938</v>
      </c>
      <c r="C4124" s="25">
        <v>35000</v>
      </c>
      <c r="D4124" s="22" t="s">
        <v>5939</v>
      </c>
      <c r="E4124" s="22" t="s">
        <v>103</v>
      </c>
      <c r="F4124" s="23" t="str">
        <f>HYPERLINK("https://www.spark-marketing.ru/Card/Lot/72190347", "Оказание услуг по техническому обслуживанию системы видеонаблюдения")</f>
        <v>Оказание услуг по техническому обслуживанию системы видеонаблюдения</v>
      </c>
      <c r="G4124" s="22" t="s">
        <v>50</v>
      </c>
      <c r="H4124" s="22" t="s">
        <v>569</v>
      </c>
      <c r="I4124" s="26">
        <v>43664.648634259298</v>
      </c>
      <c r="J4124" s="28" t="s">
        <v>52</v>
      </c>
      <c r="K4124" s="28" t="s">
        <v>52</v>
      </c>
      <c r="L4124" s="28" t="s">
        <v>52</v>
      </c>
      <c r="M4124" s="28" t="s">
        <v>52</v>
      </c>
      <c r="N4124" s="28" t="s">
        <v>52</v>
      </c>
    </row>
    <row r="4125" spans="1:14" x14ac:dyDescent="0.15">
      <c r="A4125" s="23" t="str">
        <f>HYPERLINK("https://www.spark-marketing.ru/Card/Person/420444", "ООО ""КУРСКАЯ АЭС-СЕРВИС""")</f>
        <v>ООО "КУРСКАЯ АЭС-СЕРВИС"</v>
      </c>
      <c r="B4125" s="24" t="s">
        <v>5940</v>
      </c>
      <c r="C4125" s="28" t="s">
        <v>52</v>
      </c>
      <c r="D4125" s="22" t="s">
        <v>5941</v>
      </c>
      <c r="E4125" s="22" t="s">
        <v>194</v>
      </c>
      <c r="F4125" s="23" t="str">
        <f>HYPERLINK("https://www.spark-marketing.ru/Card/Lot/72190437", "Техническое обслуживание системы видеонаблюдения санитарно-обмывочного пункта")</f>
        <v>Техническое обслуживание системы видеонаблюдения санитарно-обмывочного пункта</v>
      </c>
      <c r="G4125" s="22" t="s">
        <v>3128</v>
      </c>
      <c r="H4125" s="22" t="s">
        <v>5942</v>
      </c>
      <c r="I4125" s="26">
        <v>43664.593101851897</v>
      </c>
      <c r="J4125" s="28" t="s">
        <v>52</v>
      </c>
      <c r="K4125" s="28" t="s">
        <v>52</v>
      </c>
      <c r="L4125" s="28" t="s">
        <v>52</v>
      </c>
      <c r="M4125" s="28" t="s">
        <v>52</v>
      </c>
      <c r="N4125" s="28" t="s">
        <v>52</v>
      </c>
    </row>
    <row r="4126" spans="1:14" x14ac:dyDescent="0.15">
      <c r="A4126" s="23" t="str">
        <f>HYPERLINK("https://www.spark-marketing.ru/Card/Person/77", "ВЛАДИМИРСКОЕ УФАС РОССИИ")</f>
        <v>ВЛАДИМИРСКОЕ УФАС РОССИИ</v>
      </c>
      <c r="B4126" s="24" t="s">
        <v>5943</v>
      </c>
      <c r="C4126" s="25">
        <v>11100</v>
      </c>
      <c r="D4126" s="22" t="s">
        <v>5944</v>
      </c>
      <c r="E4126" s="22" t="s">
        <v>53</v>
      </c>
      <c r="F4126" s="23" t="str">
        <f>HYPERLINK("https://www.spark-marketing.ru/Card/Lot/72185393", "Комплект видеодомофона FALCON EYE FE-4CHP2 + вызывная панель AVP-505, 1 шт")</f>
        <v>Комплект видеодомофона FALCON EYE FE-4CHP2 + вызывная панель AVP-505, 1 шт</v>
      </c>
      <c r="G4126" s="22" t="s">
        <v>145</v>
      </c>
      <c r="H4126" s="22" t="s">
        <v>146</v>
      </c>
      <c r="I4126" s="26">
        <v>43664.616226851896</v>
      </c>
      <c r="J4126" s="28" t="s">
        <v>52</v>
      </c>
      <c r="K4126" s="28" t="s">
        <v>52</v>
      </c>
      <c r="L4126" s="28" t="s">
        <v>52</v>
      </c>
      <c r="M4126" s="28" t="s">
        <v>52</v>
      </c>
      <c r="N4126" s="28" t="s">
        <v>52</v>
      </c>
    </row>
    <row r="4127" spans="1:14" x14ac:dyDescent="0.15">
      <c r="A4127" s="23" t="str">
        <f>HYPERLINK("https://www.spark-marketing.ru/Card/Person/420444", "ООО ""КУРСКАЯ АЭС-СЕРВИС""")</f>
        <v>ООО "КУРСКАЯ АЭС-СЕРВИС"</v>
      </c>
      <c r="B4127" s="24" t="s">
        <v>5940</v>
      </c>
      <c r="C4127" s="25">
        <v>0</v>
      </c>
      <c r="D4127" s="22" t="s">
        <v>5945</v>
      </c>
      <c r="E4127" s="22" t="s">
        <v>53</v>
      </c>
      <c r="F4127" s="23" t="str">
        <f>HYPERLINK("https://www.spark-marketing.ru/Card/Lot/72197568", "мониторинг цен в электронной форме на Техническое обслуживание системы видеонаблюдения санитарно-обмывочного пункта")</f>
        <v>мониторинг цен в электронной форме на Техническое обслуживание системы видеонаблюдения санитарно-обмывочного пункта</v>
      </c>
      <c r="G4127" s="22" t="s">
        <v>3128</v>
      </c>
      <c r="H4127" s="22" t="s">
        <v>5942</v>
      </c>
      <c r="I4127" s="26">
        <v>43664.5929398148</v>
      </c>
      <c r="J4127" s="28" t="s">
        <v>52</v>
      </c>
      <c r="K4127" s="28" t="s">
        <v>52</v>
      </c>
      <c r="L4127" s="28" t="s">
        <v>52</v>
      </c>
      <c r="M4127" s="28" t="s">
        <v>52</v>
      </c>
      <c r="N4127" s="28" t="s">
        <v>52</v>
      </c>
    </row>
    <row r="4128" spans="1:14" x14ac:dyDescent="0.15">
      <c r="A4128" s="23" t="str">
        <f>HYPERLINK("https://www.spark-marketing.ru/Card/Person/420444", "ООО ""КУРСКАЯ АЭС-СЕРВИС""")</f>
        <v>ООО "КУРСКАЯ АЭС-СЕРВИС"</v>
      </c>
      <c r="B4128" s="24" t="s">
        <v>5940</v>
      </c>
      <c r="C4128" s="28" t="s">
        <v>52</v>
      </c>
      <c r="D4128" s="22" t="s">
        <v>5946</v>
      </c>
      <c r="E4128" s="22" t="s">
        <v>53</v>
      </c>
      <c r="F4128" s="23" t="str">
        <f>HYPERLINK("https://www.spark-marketing.ru/Card/Lot/72192510", "Техническое обслуживание системы видеонаблюдения санитарно-обмывочного пункта (1301403)")</f>
        <v>Техническое обслуживание системы видеонаблюдения санитарно-обмывочного пункта (1301403)</v>
      </c>
      <c r="G4128" s="22" t="s">
        <v>3128</v>
      </c>
      <c r="H4128" s="22" t="s">
        <v>5942</v>
      </c>
      <c r="I4128" s="26">
        <v>43664.592951388899</v>
      </c>
      <c r="J4128" s="28" t="s">
        <v>52</v>
      </c>
      <c r="K4128" s="28" t="s">
        <v>52</v>
      </c>
      <c r="L4128" s="28" t="s">
        <v>52</v>
      </c>
      <c r="M4128" s="28" t="s">
        <v>52</v>
      </c>
      <c r="N4128" s="28" t="s">
        <v>52</v>
      </c>
    </row>
    <row r="4129" spans="1:14" x14ac:dyDescent="0.15">
      <c r="A4129" s="23" t="str">
        <f>HYPERLINK("https://www.spark-marketing.ru/Card/Person/137510", "МБДОУ ДЕТСКИЙ САД ""ТЕРЕМОК""")</f>
        <v>МБДОУ ДЕТСКИЙ САД "ТЕРЕМОК"</v>
      </c>
      <c r="B4129" s="24" t="s">
        <v>5947</v>
      </c>
      <c r="C4129" s="25">
        <v>4000</v>
      </c>
      <c r="D4129" s="22" t="s">
        <v>5948</v>
      </c>
      <c r="E4129" s="22" t="s">
        <v>2623</v>
      </c>
      <c r="F4129" s="23" t="str">
        <f>HYPERLINK("https://www.spark-marketing.ru/Card/Lot/72184513", "Техническое обслуживание системы видеонаблюдения")</f>
        <v>Техническое обслуживание системы видеонаблюдения</v>
      </c>
      <c r="G4129" s="22" t="s">
        <v>402</v>
      </c>
      <c r="H4129" s="22" t="s">
        <v>5893</v>
      </c>
      <c r="I4129" s="26">
        <v>43664.588888888902</v>
      </c>
      <c r="J4129" s="28" t="s">
        <v>52</v>
      </c>
      <c r="K4129" s="28" t="s">
        <v>52</v>
      </c>
      <c r="L4129" s="28" t="s">
        <v>52</v>
      </c>
      <c r="M4129" s="28" t="s">
        <v>52</v>
      </c>
      <c r="N4129" s="28" t="s">
        <v>52</v>
      </c>
    </row>
    <row r="4130" spans="1:14" x14ac:dyDescent="0.15">
      <c r="A4130" s="23" t="str">
        <f>HYPERLINK("https://www.spark-marketing.ru/Card/Person/1024061", "МБОУ «ШКОЛА № 65»")</f>
        <v>МБОУ «ШКОЛА № 65»</v>
      </c>
      <c r="B4130" s="24" t="s">
        <v>5949</v>
      </c>
      <c r="C4130" s="25">
        <v>36240</v>
      </c>
      <c r="D4130" s="22" t="s">
        <v>5950</v>
      </c>
      <c r="E4130" s="22" t="s">
        <v>103</v>
      </c>
      <c r="F4130" s="23" t="str">
        <f>HYPERLINK("https://www.spark-marketing.ru/Card/Lot/72184498", "Тех.обслуживание системы видеонаблюдения")</f>
        <v>Тех.обслуживание системы видеонаблюдения</v>
      </c>
      <c r="G4130" s="22" t="s">
        <v>402</v>
      </c>
      <c r="H4130" s="22" t="s">
        <v>403</v>
      </c>
      <c r="I4130" s="26">
        <v>43664.5847222222</v>
      </c>
      <c r="J4130" s="28" t="s">
        <v>52</v>
      </c>
      <c r="K4130" s="28" t="s">
        <v>52</v>
      </c>
      <c r="L4130" s="28" t="s">
        <v>52</v>
      </c>
      <c r="M4130" s="28" t="s">
        <v>52</v>
      </c>
      <c r="N4130" s="28" t="s">
        <v>52</v>
      </c>
    </row>
    <row r="4131" spans="1:14" x14ac:dyDescent="0.15">
      <c r="A4131" s="23" t="str">
        <f>HYPERLINK("https://www.spark-marketing.ru/Card/Person/1027815", "МБДОУ ЦРР-ДС №28")</f>
        <v>МБДОУ ЦРР-ДС №28</v>
      </c>
      <c r="B4131" s="24" t="s">
        <v>5951</v>
      </c>
      <c r="C4131" s="25">
        <v>100000</v>
      </c>
      <c r="D4131" s="22" t="s">
        <v>5952</v>
      </c>
      <c r="E4131" s="22" t="s">
        <v>84</v>
      </c>
      <c r="F4131" s="23" t="str">
        <f>HYPERLINK("https://www.spark-marketing.ru/Card/Lot/72186456", "Приобретение и установка видеонаблюдения")</f>
        <v>Приобретение и установка видеонаблюдения</v>
      </c>
      <c r="G4131" s="22" t="s">
        <v>50</v>
      </c>
      <c r="H4131" s="22" t="s">
        <v>432</v>
      </c>
      <c r="I4131" s="26">
        <v>43664.618009259299</v>
      </c>
      <c r="J4131" s="28" t="s">
        <v>52</v>
      </c>
      <c r="K4131" s="28" t="s">
        <v>52</v>
      </c>
      <c r="L4131" s="28" t="s">
        <v>52</v>
      </c>
      <c r="M4131" s="28" t="s">
        <v>52</v>
      </c>
      <c r="N4131" s="28" t="s">
        <v>52</v>
      </c>
    </row>
    <row r="4132" spans="1:14" x14ac:dyDescent="0.15">
      <c r="A4132" s="23" t="str">
        <f>HYPERLINK("https://www.spark-marketing.ru/Card/Person/1067911", "МБДОУ № 2 ""ИВУШКА"" П. ГИГАНТ")</f>
        <v>МБДОУ № 2 "ИВУШКА" П. ГИГАНТ</v>
      </c>
      <c r="B4132" s="24" t="s">
        <v>5953</v>
      </c>
      <c r="C4132" s="25">
        <v>40000</v>
      </c>
      <c r="D4132" s="22" t="s">
        <v>5954</v>
      </c>
      <c r="E4132" s="22" t="s">
        <v>1297</v>
      </c>
      <c r="F4132" s="23" t="str">
        <f>HYPERLINK("https://www.spark-marketing.ru/Card/Lot/72183807", "установка и монтаж системы видеонаблюдения")</f>
        <v>установка и монтаж системы видеонаблюдения</v>
      </c>
      <c r="G4132" s="22" t="s">
        <v>402</v>
      </c>
      <c r="H4132" s="22" t="s">
        <v>4954</v>
      </c>
      <c r="I4132" s="26">
        <v>43664.577777777798</v>
      </c>
      <c r="J4132" s="28" t="s">
        <v>52</v>
      </c>
      <c r="K4132" s="28" t="s">
        <v>52</v>
      </c>
      <c r="L4132" s="28" t="s">
        <v>52</v>
      </c>
      <c r="M4132" s="28" t="s">
        <v>52</v>
      </c>
      <c r="N4132" s="28" t="s">
        <v>52</v>
      </c>
    </row>
    <row r="4133" spans="1:14" x14ac:dyDescent="0.15">
      <c r="A4133" s="23" t="str">
        <f>HYPERLINK("https://www.spark-marketing.ru/Card/Person/52288", "МО МВД РОССИИ ""КАМЕНСК - УРАЛЬСКИЙ""")</f>
        <v>МО МВД РОССИИ "КАМЕНСК - УРАЛЬСКИЙ"</v>
      </c>
      <c r="B4133" s="24" t="s">
        <v>5955</v>
      </c>
      <c r="C4133" s="25">
        <v>130000</v>
      </c>
      <c r="D4133" s="22" t="s">
        <v>5956</v>
      </c>
      <c r="E4133" s="22" t="s">
        <v>84</v>
      </c>
      <c r="F4133" s="23" t="str">
        <f>HYPERLINK("https://www.spark-marketing.ru/Card/Lot/72181725", "Монтаж, установка, сборка систем охранного видеонаблюдения, 3 шт")</f>
        <v>Монтаж, установка, сборка систем охранного видеонаблюдения, 3 шт</v>
      </c>
      <c r="G4133" s="22" t="s">
        <v>72</v>
      </c>
      <c r="H4133" s="22" t="s">
        <v>1423</v>
      </c>
      <c r="I4133" s="26">
        <v>43664.527708333299</v>
      </c>
      <c r="J4133" s="28" t="s">
        <v>52</v>
      </c>
      <c r="K4133" s="28" t="s">
        <v>52</v>
      </c>
      <c r="L4133" s="28" t="s">
        <v>52</v>
      </c>
      <c r="M4133" s="28" t="s">
        <v>52</v>
      </c>
      <c r="N4133" s="28" t="s">
        <v>52</v>
      </c>
    </row>
    <row r="4134" spans="1:14" x14ac:dyDescent="0.15">
      <c r="A4134" s="23" t="str">
        <f>HYPERLINK("https://www.spark-marketing.ru/Card/Person/132323", "ОПТД")</f>
        <v>ОПТД</v>
      </c>
      <c r="B4134" s="24" t="s">
        <v>5957</v>
      </c>
      <c r="C4134" s="25">
        <v>5000000</v>
      </c>
      <c r="D4134" s="22" t="s">
        <v>5958</v>
      </c>
      <c r="E4134" s="22" t="s">
        <v>52</v>
      </c>
      <c r="F4134" s="23" t="str">
        <f>HYPERLINK("https://www.spark-marketing.ru/Card/Lot/72189917", "Оказание услуг охраны и технического обслуживания средств охраны")</f>
        <v>Оказание услуг охраны и технического обслуживания средств охраны</v>
      </c>
      <c r="G4134" s="22" t="s">
        <v>340</v>
      </c>
      <c r="H4134" s="22" t="s">
        <v>1030</v>
      </c>
      <c r="I4134" s="26">
        <v>43664.526030092602</v>
      </c>
      <c r="J4134" s="28" t="s">
        <v>52</v>
      </c>
      <c r="K4134" s="28" t="s">
        <v>52</v>
      </c>
      <c r="L4134" s="28" t="s">
        <v>52</v>
      </c>
      <c r="M4134" s="28" t="s">
        <v>52</v>
      </c>
      <c r="N4134" s="28" t="s">
        <v>52</v>
      </c>
    </row>
    <row r="4135" spans="1:14" hidden="1" outlineLevel="1" x14ac:dyDescent="0.2">
      <c r="A4135" s="23" t="str">
        <f>HYPERLINK("https://www.spark-marketing.ru/Card/Person/132323", "ОПТД")</f>
        <v>ОПТД</v>
      </c>
      <c r="B4135" s="24" t="s">
        <v>5957</v>
      </c>
      <c r="C4135" s="25">
        <v>5000000</v>
      </c>
      <c r="D4135" s="22" t="s">
        <v>5958</v>
      </c>
      <c r="E4135" s="22" t="s">
        <v>52</v>
      </c>
      <c r="F4135" s="23" t="str">
        <f>HYPERLINK("https://www.spark-marketing.ru/Card/Lot/72189917", "Оказание услуг охраны и технического обслуживания средств охраны")</f>
        <v>Оказание услуг охраны и технического обслуживания средств охраны</v>
      </c>
      <c r="G4135" s="22" t="s">
        <v>340</v>
      </c>
      <c r="H4135" s="22" t="s">
        <v>1030</v>
      </c>
      <c r="I4135" s="26">
        <v>43664.526030092602</v>
      </c>
      <c r="J4135" s="23" t="str">
        <f>HYPERLINK("https://www.spark-marketing.ru/Card/Person/127442", "ООО ОА ""ГАРАНТ БЕЗОПАСНОСТИ""")</f>
        <v>ООО ОА "ГАРАНТ БЕЗОПАСНОСТИ"</v>
      </c>
      <c r="K4135" s="24" t="s">
        <v>5959</v>
      </c>
      <c r="L4135" s="28" t="s">
        <v>52</v>
      </c>
      <c r="M4135" s="25">
        <v>4975000</v>
      </c>
      <c r="N4135" s="27">
        <v>5.0000000000000001E-3</v>
      </c>
    </row>
    <row r="4136" spans="1:14" ht="12.75" hidden="1" outlineLevel="1" x14ac:dyDescent="0.2">
      <c r="A4136" s="23" t="str">
        <f>HYPERLINK("https://www.spark-marketing.ru/Card/Person/132323", "ОПТД")</f>
        <v>ОПТД</v>
      </c>
      <c r="B4136" s="24" t="s">
        <v>5957</v>
      </c>
      <c r="C4136" s="25">
        <v>5000000</v>
      </c>
      <c r="D4136" s="22" t="s">
        <v>5958</v>
      </c>
      <c r="E4136" s="22" t="s">
        <v>52</v>
      </c>
      <c r="F4136" s="23" t="str">
        <f>HYPERLINK("https://www.spark-marketing.ru/Card/Lot/72189917", "Оказание услуг охраны и технического обслуживания средств охраны")</f>
        <v>Оказание услуг охраны и технического обслуживания средств охраны</v>
      </c>
      <c r="G4136" s="22" t="s">
        <v>340</v>
      </c>
      <c r="H4136" s="22" t="s">
        <v>1030</v>
      </c>
      <c r="I4136" s="26">
        <v>43664.526030092602</v>
      </c>
      <c r="J4136" s="23" t="str">
        <f>HYPERLINK("https://www.spark-marketing.ru/Card/Person/335095", "ООО ОП ""ГЕФЕСТ""")</f>
        <v>ООО ОП "ГЕФЕСТ"</v>
      </c>
      <c r="K4136" s="24" t="s">
        <v>5960</v>
      </c>
      <c r="L4136" s="22" t="s">
        <v>10</v>
      </c>
      <c r="M4136" s="25">
        <v>4950000</v>
      </c>
      <c r="N4136" s="27">
        <v>0.01</v>
      </c>
    </row>
    <row r="4137" spans="1:14" x14ac:dyDescent="0.15">
      <c r="A4137" s="23" t="str">
        <f>HYPERLINK("https://www.spark-marketing.ru/Card/Person/1683079", "ООО ""ЧОП ""КЕННАРД""")</f>
        <v>ООО "ЧОП "КЕННАРД"</v>
      </c>
      <c r="B4137" s="24" t="s">
        <v>1949</v>
      </c>
      <c r="C4137" s="25">
        <v>1329152.54</v>
      </c>
      <c r="D4137" s="22" t="s">
        <v>5961</v>
      </c>
      <c r="E4137" s="22" t="s">
        <v>53</v>
      </c>
      <c r="F4137" s="23" t="str">
        <f>HYPERLINK("https://www.spark-marketing.ru/Card/Lot/72202815", "Автомобиль Chevrolet Niva 212300-55 Бензиновый 80л.с. Комплектация L (без кондиционера), Цвет - темно серо-зеленый металл, квапц, мокрый асфальт. Дополнительное оборудование с установкой: Сигнализация с автозапуском, Комплект зимней резины с дисками,...")</f>
        <v>Автомобиль Chevrolet Niva 212300-55 Бензиновый 80л.с. Комплектация L (без кондиционера), Цвет - темно серо-зеленый металл, квапц, мокрый асфальт. Дополнительное оборудование с установкой: Сигнализация с автозапуском, Комплект зимней резины с дисками,...</v>
      </c>
      <c r="G4137" s="22" t="s">
        <v>204</v>
      </c>
      <c r="H4137" s="22" t="s">
        <v>303</v>
      </c>
      <c r="I4137" s="26">
        <v>43664.507106481498</v>
      </c>
      <c r="J4137" s="28" t="s">
        <v>52</v>
      </c>
      <c r="K4137" s="28" t="s">
        <v>52</v>
      </c>
      <c r="L4137" s="28" t="s">
        <v>52</v>
      </c>
      <c r="M4137" s="28" t="s">
        <v>52</v>
      </c>
      <c r="N4137" s="28" t="s">
        <v>52</v>
      </c>
    </row>
    <row r="4138" spans="1:14" x14ac:dyDescent="0.15">
      <c r="A4138" s="23" t="str">
        <f>HYPERLINK("https://www.spark-marketing.ru/Card/Person/1043592", "МАДОУ Г. НИЖНЕВАРТОВСКА ДС №86 ""БЫЛИНУШКА""")</f>
        <v>МАДОУ Г. НИЖНЕВАРТОВСКА ДС №86 "БЫЛИНУШКА"</v>
      </c>
      <c r="B4138" s="24" t="s">
        <v>5927</v>
      </c>
      <c r="C4138" s="25">
        <v>223291.02</v>
      </c>
      <c r="D4138" s="22" t="s">
        <v>5962</v>
      </c>
      <c r="E4138" s="22" t="s">
        <v>691</v>
      </c>
      <c r="F4138" s="23" t="str">
        <f>HYPERLINK("https://www.spark-marketing.ru/Card/Lot/72199693", "выполнение работ по модернизации технических средств безопасности объектов через установку системы видеонаблюдения и организацию беспроводной системы вызова помощника для инвалидов и других маломобильных групп граждан")</f>
        <v>выполнение работ по модернизации технических средств безопасности объектов через установку системы видеонаблюдения и организацию беспроводной системы вызова помощника для инвалидов и других маломобильных групп граждан</v>
      </c>
      <c r="G4138" s="22" t="s">
        <v>119</v>
      </c>
      <c r="H4138" s="22" t="s">
        <v>119</v>
      </c>
      <c r="I4138" s="26">
        <v>43664.462164351899</v>
      </c>
      <c r="J4138" s="28" t="s">
        <v>52</v>
      </c>
      <c r="K4138" s="28" t="s">
        <v>52</v>
      </c>
      <c r="L4138" s="28" t="s">
        <v>52</v>
      </c>
      <c r="M4138" s="28" t="s">
        <v>52</v>
      </c>
      <c r="N4138" s="28" t="s">
        <v>52</v>
      </c>
    </row>
    <row r="4139" spans="1:14" x14ac:dyDescent="0.15">
      <c r="A4139" s="23" t="str">
        <f>HYPERLINK("https://www.spark-marketing.ru/Card/Person/76820", "ФКПОУ ""НТТИ"" МИНТРУДА РОССИИ")</f>
        <v>ФКПОУ "НТТИ" МИНТРУДА РОССИИ</v>
      </c>
      <c r="B4139" s="24" t="s">
        <v>5963</v>
      </c>
      <c r="C4139" s="25">
        <v>69922</v>
      </c>
      <c r="D4139" s="22" t="s">
        <v>5964</v>
      </c>
      <c r="E4139" s="22" t="s">
        <v>53</v>
      </c>
      <c r="F4139" s="23" t="str">
        <f>HYPERLINK("https://www.spark-marketing.ru/Card/Lot/72179624", "Охранные услуги на июль 2019 года")</f>
        <v>Охранные услуги на июль 2019 года</v>
      </c>
      <c r="G4139" s="22" t="s">
        <v>402</v>
      </c>
      <c r="H4139" s="22" t="s">
        <v>2663</v>
      </c>
      <c r="I4139" s="26">
        <v>43664.4710416667</v>
      </c>
      <c r="J4139" s="28" t="s">
        <v>52</v>
      </c>
      <c r="K4139" s="28" t="s">
        <v>52</v>
      </c>
      <c r="L4139" s="28" t="s">
        <v>52</v>
      </c>
      <c r="M4139" s="28" t="s">
        <v>52</v>
      </c>
      <c r="N4139" s="28" t="s">
        <v>52</v>
      </c>
    </row>
    <row r="4140" spans="1:14" x14ac:dyDescent="0.15">
      <c r="A4140" s="23" t="str">
        <f>HYPERLINK("https://www.spark-marketing.ru/Card/Person/162155", "ОТДЕЛ МВД РОССИИ ПО ИПАТОВСКОМУ ГОРОДСКОМУ ОКРУГУ")</f>
        <v>ОТДЕЛ МВД РОССИИ ПО ИПАТОВСКОМУ ГОРОДСКОМУ ОКРУГУ</v>
      </c>
      <c r="B4140" s="24" t="s">
        <v>5965</v>
      </c>
      <c r="C4140" s="25">
        <v>15292.32</v>
      </c>
      <c r="D4140" s="22" t="s">
        <v>5966</v>
      </c>
      <c r="E4140" s="22" t="s">
        <v>53</v>
      </c>
      <c r="F4140" s="23" t="str">
        <f>HYPERLINK("https://www.spark-marketing.ru/Card/Lot/72179826", "Предоставление услуг по техническому обслуживанию комплекса технических средств охраны Отдела МВД России по Ипатовскому городскому округу на 2021 год")</f>
        <v>Предоставление услуг по техническому обслуживанию комплекса технических средств охраны Отдела МВД России по Ипатовскому городскому округу на 2021 год</v>
      </c>
      <c r="G4140" s="22" t="s">
        <v>258</v>
      </c>
      <c r="H4140" s="22" t="s">
        <v>5967</v>
      </c>
      <c r="I4140" s="26">
        <v>43664.490694444401</v>
      </c>
      <c r="J4140" s="28" t="s">
        <v>52</v>
      </c>
      <c r="K4140" s="28" t="s">
        <v>52</v>
      </c>
      <c r="L4140" s="28" t="s">
        <v>52</v>
      </c>
      <c r="M4140" s="28" t="s">
        <v>52</v>
      </c>
      <c r="N4140" s="28" t="s">
        <v>52</v>
      </c>
    </row>
    <row r="4141" spans="1:14" x14ac:dyDescent="0.15">
      <c r="A4141" s="23" t="str">
        <f>HYPERLINK("https://www.spark-marketing.ru/Card/Person/162155", "ОТДЕЛ МВД РОССИИ ПО ИПАТОВСКОМУ ГОРОДСКОМУ ОКРУГУ")</f>
        <v>ОТДЕЛ МВД РОССИИ ПО ИПАТОВСКОМУ ГОРОДСКОМУ ОКРУГУ</v>
      </c>
      <c r="B4141" s="24" t="s">
        <v>5965</v>
      </c>
      <c r="C4141" s="25">
        <v>15292.32</v>
      </c>
      <c r="D4141" s="22" t="s">
        <v>5968</v>
      </c>
      <c r="E4141" s="22" t="s">
        <v>53</v>
      </c>
      <c r="F4141" s="23" t="str">
        <f>HYPERLINK("https://www.spark-marketing.ru/Card/Lot/72179818", "Предоставление услуг по техническому обслуживанию комплекса технических средств охраны Отдела МВД России по Ипатовскому городскому округу на 2020 год")</f>
        <v>Предоставление услуг по техническому обслуживанию комплекса технических средств охраны Отдела МВД России по Ипатовскому городскому округу на 2020 год</v>
      </c>
      <c r="G4141" s="22" t="s">
        <v>258</v>
      </c>
      <c r="H4141" s="22" t="s">
        <v>5967</v>
      </c>
      <c r="I4141" s="26">
        <v>43664.488842592596</v>
      </c>
      <c r="J4141" s="28" t="s">
        <v>52</v>
      </c>
      <c r="K4141" s="28" t="s">
        <v>52</v>
      </c>
      <c r="L4141" s="28" t="s">
        <v>52</v>
      </c>
      <c r="M4141" s="28" t="s">
        <v>52</v>
      </c>
      <c r="N4141" s="28" t="s">
        <v>52</v>
      </c>
    </row>
    <row r="4142" spans="1:14" x14ac:dyDescent="0.15">
      <c r="A4142" s="23" t="str">
        <f>HYPERLINK("https://www.spark-marketing.ru/Card/Person/4343797", "ФКУ ""ЦХИСО ГУ МВД РОССИИ ПО МОСКОВСКОЙ ОБЛАСТИ""")</f>
        <v>ФКУ "ЦХИСО ГУ МВД РОССИИ ПО МОСКОВСКОЙ ОБЛАСТИ"</v>
      </c>
      <c r="B4142" s="24" t="s">
        <v>5090</v>
      </c>
      <c r="C4142" s="25">
        <v>22900.44</v>
      </c>
      <c r="D4142" s="22" t="s">
        <v>5969</v>
      </c>
      <c r="E4142" s="22" t="s">
        <v>107</v>
      </c>
      <c r="F4142" s="23" t="str">
        <f>HYPERLINK("https://www.spark-marketing.ru/Card/Lot/72176122", "Техническое обслуживание инженерно-технических средств охраны, 12 шт")</f>
        <v>Техническое обслуживание инженерно-технических средств охраны, 12 шт</v>
      </c>
      <c r="G4142" s="22" t="s">
        <v>50</v>
      </c>
      <c r="H4142" s="22" t="s">
        <v>2088</v>
      </c>
      <c r="I4142" s="26">
        <v>43664.466284722199</v>
      </c>
      <c r="J4142" s="28" t="s">
        <v>52</v>
      </c>
      <c r="K4142" s="28" t="s">
        <v>52</v>
      </c>
      <c r="L4142" s="28" t="s">
        <v>52</v>
      </c>
      <c r="M4142" s="28" t="s">
        <v>52</v>
      </c>
      <c r="N4142" s="28" t="s">
        <v>52</v>
      </c>
    </row>
    <row r="4143" spans="1:14" x14ac:dyDescent="0.15">
      <c r="A4143" s="23" t="str">
        <f t="shared" ref="A4143:A4152" si="179">HYPERLINK("https://www.spark-marketing.ru/Card/Person/81504", "ГБОУ СОШ № 608 ИМЕНИ ГЕРОЯ СОВЕТСКОГО СОЮЗА ЗИНЫ ПОРТНОВОЙ КИРОВСКОГО РАЙОНА САНКТ-ПЕТЕРБУРГА")</f>
        <v>ГБОУ СОШ № 608 ИМЕНИ ГЕРОЯ СОВЕТСКОГО СОЮЗА ЗИНЫ ПОРТНОВОЙ КИРОВСКОГО РАЙОНА САНКТ-ПЕТЕРБУРГА</v>
      </c>
      <c r="B4143" s="24" t="s">
        <v>728</v>
      </c>
      <c r="C4143" s="25">
        <v>2177697.77</v>
      </c>
      <c r="D4143" s="22" t="s">
        <v>5970</v>
      </c>
      <c r="E4143" s="22" t="s">
        <v>84</v>
      </c>
      <c r="F4143" s="23" t="str">
        <f t="shared" ref="F4143:F4152" si="180">HYPERLINK("https://www.spark-marketing.ru/Card/Lot/72181948", "Выполнение работ по установке системы видеонаблюдения для ГБОУ СОШ № 608 в 2019 г.")</f>
        <v>Выполнение работ по установке системы видеонаблюдения для ГБОУ СОШ № 608 в 2019 г.</v>
      </c>
      <c r="G4143" s="22" t="s">
        <v>89</v>
      </c>
      <c r="H4143" s="22" t="s">
        <v>89</v>
      </c>
      <c r="I4143" s="26">
        <v>43664.482604166697</v>
      </c>
      <c r="J4143" s="28" t="s">
        <v>52</v>
      </c>
      <c r="K4143" s="28" t="s">
        <v>52</v>
      </c>
      <c r="L4143" s="28" t="s">
        <v>52</v>
      </c>
      <c r="M4143" s="28" t="s">
        <v>52</v>
      </c>
      <c r="N4143" s="28" t="s">
        <v>52</v>
      </c>
    </row>
    <row r="4144" spans="1:14" hidden="1" outlineLevel="1" x14ac:dyDescent="0.2">
      <c r="A4144" s="23" t="str">
        <f t="shared" si="179"/>
        <v>ГБОУ СОШ № 608 ИМЕНИ ГЕРОЯ СОВЕТСКОГО СОЮЗА ЗИНЫ ПОРТНОВОЙ КИРОВСКОГО РАЙОНА САНКТ-ПЕТЕРБУРГА</v>
      </c>
      <c r="B4144" s="24" t="s">
        <v>728</v>
      </c>
      <c r="C4144" s="25">
        <v>2177697.77</v>
      </c>
      <c r="D4144" s="22" t="s">
        <v>5970</v>
      </c>
      <c r="E4144" s="22" t="s">
        <v>84</v>
      </c>
      <c r="F4144" s="23" t="str">
        <f t="shared" si="180"/>
        <v>Выполнение работ по установке системы видеонаблюдения для ГБОУ СОШ № 608 в 2019 г.</v>
      </c>
      <c r="G4144" s="22" t="s">
        <v>89</v>
      </c>
      <c r="H4144" s="22" t="s">
        <v>89</v>
      </c>
      <c r="I4144" s="26">
        <v>43664.482604166697</v>
      </c>
      <c r="J4144" s="23" t="str">
        <f>HYPERLINK("https://www.spark-marketing.ru/Card/Person/803106", "Лунегов Алексей Евгеньевич")</f>
        <v>Лунегов Алексей Евгеньевич</v>
      </c>
      <c r="K4144" s="24" t="s">
        <v>2506</v>
      </c>
      <c r="L4144" s="28" t="s">
        <v>52</v>
      </c>
      <c r="M4144" s="25">
        <v>1154178.73</v>
      </c>
      <c r="N4144" s="27">
        <v>0.47000049965611163</v>
      </c>
    </row>
    <row r="4145" spans="1:14" ht="12.75" hidden="1" outlineLevel="1" x14ac:dyDescent="0.2">
      <c r="A4145" s="23" t="str">
        <f t="shared" si="179"/>
        <v>ГБОУ СОШ № 608 ИМЕНИ ГЕРОЯ СОВЕТСКОГО СОЮЗА ЗИНЫ ПОРТНОВОЙ КИРОВСКОГО РАЙОНА САНКТ-ПЕТЕРБУРГА</v>
      </c>
      <c r="B4145" s="24" t="s">
        <v>728</v>
      </c>
      <c r="C4145" s="25">
        <v>2177697.77</v>
      </c>
      <c r="D4145" s="22" t="s">
        <v>5970</v>
      </c>
      <c r="E4145" s="22" t="s">
        <v>84</v>
      </c>
      <c r="F4145" s="23" t="str">
        <f t="shared" si="180"/>
        <v>Выполнение работ по установке системы видеонаблюдения для ГБОУ СОШ № 608 в 2019 г.</v>
      </c>
      <c r="G4145" s="22" t="s">
        <v>89</v>
      </c>
      <c r="H4145" s="22" t="s">
        <v>89</v>
      </c>
      <c r="I4145" s="26">
        <v>43664.482604166697</v>
      </c>
      <c r="J4145" s="23" t="str">
        <f>HYPERLINK("https://www.spark-marketing.ru/Card/Person/6444745", "ООО ""РАЗУМНОЕ БУДУЩЕЕ""")</f>
        <v>ООО "РАЗУМНОЕ БУДУЩЕЕ"</v>
      </c>
      <c r="K4145" s="24" t="s">
        <v>5971</v>
      </c>
      <c r="L4145" s="22" t="s">
        <v>10</v>
      </c>
      <c r="M4145" s="25">
        <v>1143290.24</v>
      </c>
      <c r="N4145" s="27">
        <v>0.47500050018419221</v>
      </c>
    </row>
    <row r="4146" spans="1:14" hidden="1" outlineLevel="1" x14ac:dyDescent="0.2">
      <c r="A4146" s="23" t="str">
        <f t="shared" si="179"/>
        <v>ГБОУ СОШ № 608 ИМЕНИ ГЕРОЯ СОВЕТСКОГО СОЮЗА ЗИНЫ ПОРТНОВОЙ КИРОВСКОГО РАЙОНА САНКТ-ПЕТЕРБУРГА</v>
      </c>
      <c r="B4146" s="24" t="s">
        <v>728</v>
      </c>
      <c r="C4146" s="25">
        <v>2177697.77</v>
      </c>
      <c r="D4146" s="22" t="s">
        <v>5970</v>
      </c>
      <c r="E4146" s="22" t="s">
        <v>84</v>
      </c>
      <c r="F4146" s="23" t="str">
        <f t="shared" si="180"/>
        <v>Выполнение работ по установке системы видеонаблюдения для ГБОУ СОШ № 608 в 2019 г.</v>
      </c>
      <c r="G4146" s="22" t="s">
        <v>89</v>
      </c>
      <c r="H4146" s="22" t="s">
        <v>89</v>
      </c>
      <c r="I4146" s="26">
        <v>43664.482604166697</v>
      </c>
      <c r="J4146" s="23" t="str">
        <f>HYPERLINK("https://www.spark-marketing.ru/Card/Person/5897511", "Романов Максим Александрович")</f>
        <v>Романов Максим Александрович</v>
      </c>
      <c r="K4146" s="24" t="s">
        <v>4769</v>
      </c>
      <c r="L4146" s="28" t="s">
        <v>52</v>
      </c>
      <c r="M4146" s="25">
        <v>2003481.94</v>
      </c>
      <c r="N4146" s="27">
        <v>8.0000003857284563E-2</v>
      </c>
    </row>
    <row r="4147" spans="1:14" hidden="1" outlineLevel="1" x14ac:dyDescent="0.2">
      <c r="A4147" s="23" t="str">
        <f t="shared" si="179"/>
        <v>ГБОУ СОШ № 608 ИМЕНИ ГЕРОЯ СОВЕТСКОГО СОЮЗА ЗИНЫ ПОРТНОВОЙ КИРОВСКОГО РАЙОНА САНКТ-ПЕТЕРБУРГА</v>
      </c>
      <c r="B4147" s="24" t="s">
        <v>728</v>
      </c>
      <c r="C4147" s="25">
        <v>2177697.77</v>
      </c>
      <c r="D4147" s="22" t="s">
        <v>5970</v>
      </c>
      <c r="E4147" s="22" t="s">
        <v>84</v>
      </c>
      <c r="F4147" s="23" t="str">
        <f t="shared" si="180"/>
        <v>Выполнение работ по установке системы видеонаблюдения для ГБОУ СОШ № 608 в 2019 г.</v>
      </c>
      <c r="G4147" s="22" t="s">
        <v>89</v>
      </c>
      <c r="H4147" s="22" t="s">
        <v>89</v>
      </c>
      <c r="I4147" s="26">
        <v>43664.482604166697</v>
      </c>
      <c r="J4147" s="23" t="str">
        <f>HYPERLINK("https://www.spark-marketing.ru/Card/Person/83460", "ООО ""КСУ""")</f>
        <v>ООО "КСУ"</v>
      </c>
      <c r="K4147" s="24" t="s">
        <v>5972</v>
      </c>
      <c r="L4147" s="28" t="s">
        <v>52</v>
      </c>
      <c r="M4147" s="25">
        <v>1600607.82</v>
      </c>
      <c r="N4147" s="27">
        <v>0.26500001880426227</v>
      </c>
    </row>
    <row r="4148" spans="1:14" hidden="1" outlineLevel="1" x14ac:dyDescent="0.2">
      <c r="A4148" s="23" t="str">
        <f t="shared" si="179"/>
        <v>ГБОУ СОШ № 608 ИМЕНИ ГЕРОЯ СОВЕТСКОГО СОЮЗА ЗИНЫ ПОРТНОВОЙ КИРОВСКОГО РАЙОНА САНКТ-ПЕТЕРБУРГА</v>
      </c>
      <c r="B4148" s="24" t="s">
        <v>728</v>
      </c>
      <c r="C4148" s="25">
        <v>2177697.77</v>
      </c>
      <c r="D4148" s="22" t="s">
        <v>5970</v>
      </c>
      <c r="E4148" s="22" t="s">
        <v>84</v>
      </c>
      <c r="F4148" s="23" t="str">
        <f t="shared" si="180"/>
        <v>Выполнение работ по установке системы видеонаблюдения для ГБОУ СОШ № 608 в 2019 г.</v>
      </c>
      <c r="G4148" s="22" t="s">
        <v>89</v>
      </c>
      <c r="H4148" s="22" t="s">
        <v>89</v>
      </c>
      <c r="I4148" s="26">
        <v>43664.482604166697</v>
      </c>
      <c r="J4148" s="23" t="str">
        <f>HYPERLINK("https://www.spark-marketing.ru/Card/Person/62135", "ООО ""АРСС""ИЦ""")</f>
        <v>ООО "АРСС"ИЦ"</v>
      </c>
      <c r="K4148" s="24" t="s">
        <v>5973</v>
      </c>
      <c r="L4148" s="28" t="s">
        <v>52</v>
      </c>
      <c r="M4148" s="25">
        <v>2155920.79</v>
      </c>
      <c r="N4148" s="27">
        <v>1.0000001056161251E-2</v>
      </c>
    </row>
    <row r="4149" spans="1:14" hidden="1" outlineLevel="1" x14ac:dyDescent="0.2">
      <c r="A4149" s="23" t="str">
        <f t="shared" si="179"/>
        <v>ГБОУ СОШ № 608 ИМЕНИ ГЕРОЯ СОВЕТСКОГО СОЮЗА ЗИНЫ ПОРТНОВОЙ КИРОВСКОГО РАЙОНА САНКТ-ПЕТЕРБУРГА</v>
      </c>
      <c r="B4149" s="24" t="s">
        <v>728</v>
      </c>
      <c r="C4149" s="25">
        <v>2177697.77</v>
      </c>
      <c r="D4149" s="22" t="s">
        <v>5970</v>
      </c>
      <c r="E4149" s="22" t="s">
        <v>84</v>
      </c>
      <c r="F4149" s="23" t="str">
        <f t="shared" si="180"/>
        <v>Выполнение работ по установке системы видеонаблюдения для ГБОУ СОШ № 608 в 2019 г.</v>
      </c>
      <c r="G4149" s="22" t="s">
        <v>89</v>
      </c>
      <c r="H4149" s="22" t="s">
        <v>89</v>
      </c>
      <c r="I4149" s="26">
        <v>43664.482604166697</v>
      </c>
      <c r="J4149" s="23" t="str">
        <f>HYPERLINK("https://www.spark-marketing.ru/Card/Person/6479257", "ООО СПК ""ЭНКЕЙ""")</f>
        <v>ООО СПК "ЭНКЕЙ"</v>
      </c>
      <c r="K4149" s="24" t="s">
        <v>5974</v>
      </c>
      <c r="L4149" s="28" t="s">
        <v>52</v>
      </c>
      <c r="M4149" s="25">
        <v>1513499.9</v>
      </c>
      <c r="N4149" s="27">
        <v>0.30500002302890727</v>
      </c>
    </row>
    <row r="4150" spans="1:14" hidden="1" outlineLevel="1" x14ac:dyDescent="0.2">
      <c r="A4150" s="23" t="str">
        <f t="shared" si="179"/>
        <v>ГБОУ СОШ № 608 ИМЕНИ ГЕРОЯ СОВЕТСКОГО СОЮЗА ЗИНЫ ПОРТНОВОЙ КИРОВСКОГО РАЙОНА САНКТ-ПЕТЕРБУРГА</v>
      </c>
      <c r="B4150" s="24" t="s">
        <v>728</v>
      </c>
      <c r="C4150" s="25">
        <v>2177697.77</v>
      </c>
      <c r="D4150" s="22" t="s">
        <v>5970</v>
      </c>
      <c r="E4150" s="22" t="s">
        <v>84</v>
      </c>
      <c r="F4150" s="23" t="str">
        <f t="shared" si="180"/>
        <v>Выполнение работ по установке системы видеонаблюдения для ГБОУ СОШ № 608 в 2019 г.</v>
      </c>
      <c r="G4150" s="22" t="s">
        <v>89</v>
      </c>
      <c r="H4150" s="22" t="s">
        <v>89</v>
      </c>
      <c r="I4150" s="26">
        <v>43664.482604166697</v>
      </c>
      <c r="J4150" s="23" t="str">
        <f>HYPERLINK("https://www.spark-marketing.ru/Card/Person/501911", "ООО ""АВТОРЕМТЕХ""")</f>
        <v>ООО "АВТОРЕМТЕХ"</v>
      </c>
      <c r="K4150" s="24" t="s">
        <v>5975</v>
      </c>
      <c r="L4150" s="28" t="s">
        <v>52</v>
      </c>
      <c r="M4150" s="25">
        <v>1840154.6</v>
      </c>
      <c r="N4150" s="27">
        <v>0.15500000718648851</v>
      </c>
    </row>
    <row r="4151" spans="1:14" hidden="1" outlineLevel="1" x14ac:dyDescent="0.2">
      <c r="A4151" s="23" t="str">
        <f t="shared" si="179"/>
        <v>ГБОУ СОШ № 608 ИМЕНИ ГЕРОЯ СОВЕТСКОГО СОЮЗА ЗИНЫ ПОРТНОВОЙ КИРОВСКОГО РАЙОНА САНКТ-ПЕТЕРБУРГА</v>
      </c>
      <c r="B4151" s="24" t="s">
        <v>728</v>
      </c>
      <c r="C4151" s="25">
        <v>2177697.77</v>
      </c>
      <c r="D4151" s="22" t="s">
        <v>5970</v>
      </c>
      <c r="E4151" s="22" t="s">
        <v>84</v>
      </c>
      <c r="F4151" s="23" t="str">
        <f t="shared" si="180"/>
        <v>Выполнение работ по установке системы видеонаблюдения для ГБОУ СОШ № 608 в 2019 г.</v>
      </c>
      <c r="G4151" s="22" t="s">
        <v>89</v>
      </c>
      <c r="H4151" s="22" t="s">
        <v>89</v>
      </c>
      <c r="I4151" s="26">
        <v>43664.482604166697</v>
      </c>
      <c r="J4151" s="23" t="str">
        <f>HYPERLINK("https://www.spark-marketing.ru/Card/Person/4867026", "ООО ""НЕОН""")</f>
        <v>ООО "НЕОН"</v>
      </c>
      <c r="K4151" s="24" t="s">
        <v>2804</v>
      </c>
      <c r="L4151" s="28" t="s">
        <v>52</v>
      </c>
      <c r="M4151" s="25">
        <v>1241286.6499999999</v>
      </c>
      <c r="N4151" s="27">
        <v>0.43000049543146662</v>
      </c>
    </row>
    <row r="4152" spans="1:14" hidden="1" outlineLevel="1" x14ac:dyDescent="0.2">
      <c r="A4152" s="23" t="str">
        <f t="shared" si="179"/>
        <v>ГБОУ СОШ № 608 ИМЕНИ ГЕРОЯ СОВЕТСКОГО СОЮЗА ЗИНЫ ПОРТНОВОЙ КИРОВСКОГО РАЙОНА САНКТ-ПЕТЕРБУРГА</v>
      </c>
      <c r="B4152" s="24" t="s">
        <v>728</v>
      </c>
      <c r="C4152" s="25">
        <v>2177697.77</v>
      </c>
      <c r="D4152" s="22" t="s">
        <v>5970</v>
      </c>
      <c r="E4152" s="22" t="s">
        <v>84</v>
      </c>
      <c r="F4152" s="23" t="str">
        <f t="shared" si="180"/>
        <v>Выполнение работ по установке системы видеонаблюдения для ГБОУ СОШ № 608 в 2019 г.</v>
      </c>
      <c r="G4152" s="22" t="s">
        <v>89</v>
      </c>
      <c r="H4152" s="22" t="s">
        <v>89</v>
      </c>
      <c r="I4152" s="26">
        <v>43664.482604166697</v>
      </c>
      <c r="J4152" s="23" t="str">
        <f>HYPERLINK("https://www.spark-marketing.ru/Card/Person/877770", "ООО ""СИЯНИЕ""")</f>
        <v>ООО "СИЯНИЕ"</v>
      </c>
      <c r="K4152" s="24" t="s">
        <v>5976</v>
      </c>
      <c r="L4152" s="28" t="s">
        <v>52</v>
      </c>
      <c r="M4152" s="25">
        <v>1600000</v>
      </c>
      <c r="N4152" s="27">
        <v>0.26527913007873449</v>
      </c>
    </row>
    <row r="4153" spans="1:14" x14ac:dyDescent="0.15">
      <c r="A4153" s="23" t="str">
        <f>HYPERLINK("https://www.spark-marketing.ru/Card/Person/4373441", "ФКУ ЦИТОВ УФСИН РОССИИ ПО КАЛУЖСКОЙ ОБЛАСТИ")</f>
        <v>ФКУ ЦИТОВ УФСИН РОССИИ ПО КАЛУЖСКОЙ ОБЛАСТИ</v>
      </c>
      <c r="B4153" s="24" t="s">
        <v>5629</v>
      </c>
      <c r="C4153" s="25">
        <v>16000</v>
      </c>
      <c r="D4153" s="22" t="s">
        <v>5977</v>
      </c>
      <c r="E4153" s="22" t="s">
        <v>208</v>
      </c>
      <c r="F4153" s="23" t="str">
        <f>HYPERLINK("https://www.spark-marketing.ru/Card/Lot/72176192", "Кнопка тревожной сигнализации RS-201TK, 5 шт")</f>
        <v>Кнопка тревожной сигнализации RS-201TK, 5 шт</v>
      </c>
      <c r="G4153" s="22" t="s">
        <v>658</v>
      </c>
      <c r="H4153" s="22" t="s">
        <v>741</v>
      </c>
      <c r="I4153" s="26">
        <v>43664.459976851896</v>
      </c>
      <c r="J4153" s="28" t="s">
        <v>52</v>
      </c>
      <c r="K4153" s="28" t="s">
        <v>52</v>
      </c>
      <c r="L4153" s="28" t="s">
        <v>52</v>
      </c>
      <c r="M4153" s="28" t="s">
        <v>52</v>
      </c>
      <c r="N4153" s="28" t="s">
        <v>52</v>
      </c>
    </row>
    <row r="4154" spans="1:14" x14ac:dyDescent="0.15">
      <c r="A4154" s="23" t="str">
        <f>HYPERLINK("https://www.spark-marketing.ru/Card/Person/15420", "УПРАВЛЕНИЕ РОСПОТРЕБНАДЗОРА ПО САМАРСКОЙ ОБЛАСТИ")</f>
        <v>УПРАВЛЕНИЕ РОСПОТРЕБНАДЗОРА ПО САМАРСКОЙ ОБЛАСТИ</v>
      </c>
      <c r="B4154" s="24" t="s">
        <v>5620</v>
      </c>
      <c r="C4154" s="25">
        <v>40000</v>
      </c>
      <c r="D4154" s="22" t="s">
        <v>5978</v>
      </c>
      <c r="E4154" s="22" t="s">
        <v>103</v>
      </c>
      <c r="F4154" s="23" t="str">
        <f>HYPERLINK("https://www.spark-marketing.ru/Card/Lot/72176112", "Обслуживание систем видеонаблюдения, 1 усл. ед")</f>
        <v>Обслуживание систем видеонаблюдения, 1 усл. ед</v>
      </c>
      <c r="G4154" s="22" t="s">
        <v>760</v>
      </c>
      <c r="H4154" s="22" t="s">
        <v>1709</v>
      </c>
      <c r="I4154" s="26">
        <v>43664.465532407397</v>
      </c>
      <c r="J4154" s="28" t="s">
        <v>52</v>
      </c>
      <c r="K4154" s="28" t="s">
        <v>52</v>
      </c>
      <c r="L4154" s="28" t="s">
        <v>52</v>
      </c>
      <c r="M4154" s="28" t="s">
        <v>52</v>
      </c>
      <c r="N4154" s="28" t="s">
        <v>52</v>
      </c>
    </row>
    <row r="4155" spans="1:14" x14ac:dyDescent="0.15">
      <c r="A4155" s="23" t="str">
        <f>HYPERLINK("https://www.spark-marketing.ru/Card/Person/4347180", "Калининградский филиал Санкт-Петербургского Университета МВД России")</f>
        <v>Калининградский филиал Санкт-Петербургского Университета МВД России</v>
      </c>
      <c r="B4155" s="24" t="s">
        <v>5979</v>
      </c>
      <c r="C4155" s="25">
        <v>91588</v>
      </c>
      <c r="D4155" s="22" t="s">
        <v>5980</v>
      </c>
      <c r="E4155" s="22" t="s">
        <v>103</v>
      </c>
      <c r="F4155" s="23" t="str">
        <f>HYPERLINK("https://www.spark-marketing.ru/Card/Lot/72179647", "Техническое обслуживание видеонаблюдения, 1 усл. ед")</f>
        <v>Техническое обслуживание видеонаблюдения, 1 усл. ед</v>
      </c>
      <c r="G4155" s="22" t="s">
        <v>247</v>
      </c>
      <c r="H4155" s="22" t="s">
        <v>576</v>
      </c>
      <c r="I4155" s="26">
        <v>43664.464259259301</v>
      </c>
      <c r="J4155" s="28" t="s">
        <v>52</v>
      </c>
      <c r="K4155" s="28" t="s">
        <v>52</v>
      </c>
      <c r="L4155" s="28" t="s">
        <v>52</v>
      </c>
      <c r="M4155" s="28" t="s">
        <v>52</v>
      </c>
      <c r="N4155" s="28" t="s">
        <v>52</v>
      </c>
    </row>
    <row r="4156" spans="1:14" x14ac:dyDescent="0.15">
      <c r="A4156" s="23" t="str">
        <f>HYPERLINK("https://www.spark-marketing.ru/Card/Person/78998", "ФГКУ КОМБИНАТ ""ПАТРИОТ"" РОСРЕЗЕРВА")</f>
        <v>ФГКУ КОМБИНАТ "ПАТРИОТ" РОСРЕЗЕРВА</v>
      </c>
      <c r="B4156" s="24" t="s">
        <v>3279</v>
      </c>
      <c r="C4156" s="25">
        <v>51328.26</v>
      </c>
      <c r="D4156" s="22" t="s">
        <v>5981</v>
      </c>
      <c r="E4156" s="22" t="s">
        <v>3281</v>
      </c>
      <c r="F4156" s="23" t="str">
        <f>HYPERLINK("https://www.spark-marketing.ru/Card/Lot/72182337", "Поставка обуви для сотрудников ведомственной охраны")</f>
        <v>Поставка обуви для сотрудников ведомственной охраны</v>
      </c>
      <c r="G4156" s="22" t="s">
        <v>956</v>
      </c>
      <c r="H4156" s="22" t="s">
        <v>1451</v>
      </c>
      <c r="I4156" s="26">
        <v>43664.475636574098</v>
      </c>
      <c r="J4156" s="28" t="s">
        <v>52</v>
      </c>
      <c r="K4156" s="28" t="s">
        <v>52</v>
      </c>
      <c r="L4156" s="28" t="s">
        <v>52</v>
      </c>
      <c r="M4156" s="28" t="s">
        <v>52</v>
      </c>
      <c r="N4156" s="28" t="s">
        <v>52</v>
      </c>
    </row>
    <row r="4157" spans="1:14" hidden="1" outlineLevel="1" x14ac:dyDescent="0.2">
      <c r="A4157" s="23" t="str">
        <f>HYPERLINK("https://www.spark-marketing.ru/Card/Person/78998", "ФГКУ КОМБИНАТ ""ПАТРИОТ"" РОСРЕЗЕРВА")</f>
        <v>ФГКУ КОМБИНАТ "ПАТРИОТ" РОСРЕЗЕРВА</v>
      </c>
      <c r="B4157" s="24" t="s">
        <v>3279</v>
      </c>
      <c r="C4157" s="25">
        <v>51328.26</v>
      </c>
      <c r="D4157" s="22" t="s">
        <v>5981</v>
      </c>
      <c r="E4157" s="22" t="s">
        <v>3281</v>
      </c>
      <c r="F4157" s="23" t="str">
        <f>HYPERLINK("https://www.spark-marketing.ru/Card/Lot/72182337", "Поставка обуви для сотрудников ведомственной охраны")</f>
        <v>Поставка обуви для сотрудников ведомственной охраны</v>
      </c>
      <c r="G4157" s="22" t="s">
        <v>956</v>
      </c>
      <c r="H4157" s="22" t="s">
        <v>1451</v>
      </c>
      <c r="I4157" s="26">
        <v>43664.475636574098</v>
      </c>
      <c r="J4157" s="23" t="str">
        <f>HYPERLINK("https://www.spark-marketing.ru/Card/Person/5424", "ООО ""ЮНИКС""")</f>
        <v>ООО "ЮНИКС"</v>
      </c>
      <c r="K4157" s="24" t="s">
        <v>3283</v>
      </c>
      <c r="L4157" s="28" t="s">
        <v>52</v>
      </c>
      <c r="M4157" s="25">
        <v>37726.18</v>
      </c>
      <c r="N4157" s="27">
        <v>0.26500177485073523</v>
      </c>
    </row>
    <row r="4158" spans="1:14" hidden="1" outlineLevel="1" x14ac:dyDescent="0.2">
      <c r="A4158" s="23" t="str">
        <f>HYPERLINK("https://www.spark-marketing.ru/Card/Person/78998", "ФГКУ КОМБИНАТ ""ПАТРИОТ"" РОСРЕЗЕРВА")</f>
        <v>ФГКУ КОМБИНАТ "ПАТРИОТ" РОСРЕЗЕРВА</v>
      </c>
      <c r="B4158" s="24" t="s">
        <v>3279</v>
      </c>
      <c r="C4158" s="25">
        <v>51328.26</v>
      </c>
      <c r="D4158" s="22" t="s">
        <v>5981</v>
      </c>
      <c r="E4158" s="22" t="s">
        <v>3281</v>
      </c>
      <c r="F4158" s="23" t="str">
        <f>HYPERLINK("https://www.spark-marketing.ru/Card/Lot/72182337", "Поставка обуви для сотрудников ведомственной охраны")</f>
        <v>Поставка обуви для сотрудников ведомственной охраны</v>
      </c>
      <c r="G4158" s="22" t="s">
        <v>956</v>
      </c>
      <c r="H4158" s="22" t="s">
        <v>1451</v>
      </c>
      <c r="I4158" s="26">
        <v>43664.475636574098</v>
      </c>
      <c r="J4158" s="23" t="str">
        <f>HYPERLINK("https://www.spark-marketing.ru/Card/Person/468862", "ООО ""ОБУВЬОМСК""")</f>
        <v>ООО "ОБУВЬОМСК"</v>
      </c>
      <c r="K4158" s="24" t="s">
        <v>5982</v>
      </c>
      <c r="L4158" s="28" t="s">
        <v>52</v>
      </c>
      <c r="M4158" s="25">
        <v>34133.21</v>
      </c>
      <c r="N4158" s="27">
        <v>0.33500161509468662</v>
      </c>
    </row>
    <row r="4159" spans="1:14" ht="12.75" hidden="1" outlineLevel="1" x14ac:dyDescent="0.2">
      <c r="A4159" s="23" t="str">
        <f>HYPERLINK("https://www.spark-marketing.ru/Card/Person/78998", "ФГКУ КОМБИНАТ ""ПАТРИОТ"" РОСРЕЗЕРВА")</f>
        <v>ФГКУ КОМБИНАТ "ПАТРИОТ" РОСРЕЗЕРВА</v>
      </c>
      <c r="B4159" s="24" t="s">
        <v>3279</v>
      </c>
      <c r="C4159" s="25">
        <v>51328.26</v>
      </c>
      <c r="D4159" s="22" t="s">
        <v>5981</v>
      </c>
      <c r="E4159" s="22" t="s">
        <v>3281</v>
      </c>
      <c r="F4159" s="23" t="str">
        <f>HYPERLINK("https://www.spark-marketing.ru/Card/Lot/72182337", "Поставка обуви для сотрудников ведомственной охраны")</f>
        <v>Поставка обуви для сотрудников ведомственной охраны</v>
      </c>
      <c r="G4159" s="22" t="s">
        <v>956</v>
      </c>
      <c r="H4159" s="22" t="s">
        <v>1451</v>
      </c>
      <c r="I4159" s="26">
        <v>43664.475636574098</v>
      </c>
      <c r="J4159" s="23" t="str">
        <f>HYPERLINK("https://www.spark-marketing.ru/Card/Person/4863702", "ООО ""СНАБСЕРВИС""")</f>
        <v>ООО "СНАБСЕРВИС"</v>
      </c>
      <c r="K4159" s="24" t="s">
        <v>3284</v>
      </c>
      <c r="L4159" s="22" t="s">
        <v>10</v>
      </c>
      <c r="M4159" s="25">
        <v>33876.57</v>
      </c>
      <c r="N4159" s="27">
        <v>0.34000158976750822</v>
      </c>
    </row>
    <row r="4160" spans="1:14" x14ac:dyDescent="0.15">
      <c r="A4160" s="23" t="str">
        <f>HYPERLINK("https://www.spark-marketing.ru/Card/Person/62862", "СУ СК РОССИИ ПО РЕСПУБЛИКЕ КОМИ")</f>
        <v>СУ СК РОССИИ ПО РЕСПУБЛИКЕ КОМИ</v>
      </c>
      <c r="B4160" s="24" t="s">
        <v>2531</v>
      </c>
      <c r="C4160" s="25">
        <v>80524.53</v>
      </c>
      <c r="D4160" s="22" t="s">
        <v>5983</v>
      </c>
      <c r="E4160" s="22" t="s">
        <v>68</v>
      </c>
      <c r="F4160" s="23" t="str">
        <f>HYPERLINK("https://www.spark-marketing.ru/Card/Lot/72185952", "Оказание услуг по охране объектов с помощью пульта централизованного наблюдения")</f>
        <v>Оказание услуг по охране объектов с помощью пульта централизованного наблюдения</v>
      </c>
      <c r="G4160" s="22" t="s">
        <v>538</v>
      </c>
      <c r="H4160" s="22" t="s">
        <v>707</v>
      </c>
      <c r="I4160" s="26">
        <v>43664.430370370399</v>
      </c>
      <c r="J4160" s="28" t="s">
        <v>52</v>
      </c>
      <c r="K4160" s="28" t="s">
        <v>52</v>
      </c>
      <c r="L4160" s="28" t="s">
        <v>52</v>
      </c>
      <c r="M4160" s="28" t="s">
        <v>52</v>
      </c>
      <c r="N4160" s="28" t="s">
        <v>52</v>
      </c>
    </row>
    <row r="4161" spans="1:14" x14ac:dyDescent="0.15">
      <c r="A4161" s="23" t="str">
        <f>HYPERLINK("https://www.spark-marketing.ru/Card/Person/240511", "НРМОБУ ""СЕНТЯБРЬСКАЯ СОШ""")</f>
        <v>НРМОБУ "СЕНТЯБРЬСКАЯ СОШ"</v>
      </c>
      <c r="B4161" s="24" t="s">
        <v>5984</v>
      </c>
      <c r="C4161" s="25">
        <v>229884.48</v>
      </c>
      <c r="D4161" s="22" t="s">
        <v>5985</v>
      </c>
      <c r="E4161" s="22" t="s">
        <v>52</v>
      </c>
      <c r="F4161" s="23" t="str">
        <f>HYPERLINK("https://www.spark-marketing.ru/Card/Lot/72173766", "Услуги частных охранных служб")</f>
        <v>Услуги частных охранных служб</v>
      </c>
      <c r="G4161" s="22" t="s">
        <v>119</v>
      </c>
      <c r="H4161" s="22" t="s">
        <v>119</v>
      </c>
      <c r="I4161" s="26">
        <v>43664.417256944398</v>
      </c>
      <c r="J4161" s="28" t="s">
        <v>52</v>
      </c>
      <c r="K4161" s="28" t="s">
        <v>52</v>
      </c>
      <c r="L4161" s="28" t="s">
        <v>52</v>
      </c>
      <c r="M4161" s="28" t="s">
        <v>52</v>
      </c>
      <c r="N4161" s="28" t="s">
        <v>52</v>
      </c>
    </row>
    <row r="4162" spans="1:14" ht="12.75" hidden="1" outlineLevel="1" x14ac:dyDescent="0.2">
      <c r="A4162" s="23" t="str">
        <f>HYPERLINK("https://www.spark-marketing.ru/Card/Person/240511", "НРМОБУ ""СЕНТЯБРЬСКАЯ СОШ""")</f>
        <v>НРМОБУ "СЕНТЯБРЬСКАЯ СОШ"</v>
      </c>
      <c r="B4162" s="24" t="s">
        <v>5984</v>
      </c>
      <c r="C4162" s="25">
        <v>229884.48</v>
      </c>
      <c r="D4162" s="22" t="s">
        <v>5985</v>
      </c>
      <c r="E4162" s="22" t="s">
        <v>52</v>
      </c>
      <c r="F4162" s="23" t="str">
        <f>HYPERLINK("https://www.spark-marketing.ru/Card/Lot/72173766", "Услуги частных охранных служб")</f>
        <v>Услуги частных охранных служб</v>
      </c>
      <c r="G4162" s="22" t="s">
        <v>119</v>
      </c>
      <c r="H4162" s="22" t="s">
        <v>119</v>
      </c>
      <c r="I4162" s="26">
        <v>43664.417256944398</v>
      </c>
      <c r="J4162" s="23" t="str">
        <f>HYPERLINK("https://www.spark-marketing.ru/Card/Person/66528", "ООО ЧОП ""СОБР""")</f>
        <v>ООО ЧОП "СОБР"</v>
      </c>
      <c r="K4162" s="24" t="s">
        <v>5986</v>
      </c>
      <c r="L4162" s="22" t="s">
        <v>10</v>
      </c>
      <c r="M4162" s="25">
        <v>208045.5</v>
      </c>
      <c r="N4162" s="27">
        <v>9.4999801639501724E-2</v>
      </c>
    </row>
    <row r="4163" spans="1:14" hidden="1" outlineLevel="1" x14ac:dyDescent="0.2">
      <c r="A4163" s="23" t="str">
        <f>HYPERLINK("https://www.spark-marketing.ru/Card/Person/240511", "НРМОБУ ""СЕНТЯБРЬСКАЯ СОШ""")</f>
        <v>НРМОБУ "СЕНТЯБРЬСКАЯ СОШ"</v>
      </c>
      <c r="B4163" s="24" t="s">
        <v>5984</v>
      </c>
      <c r="C4163" s="25">
        <v>229884.48</v>
      </c>
      <c r="D4163" s="22" t="s">
        <v>5985</v>
      </c>
      <c r="E4163" s="22" t="s">
        <v>52</v>
      </c>
      <c r="F4163" s="23" t="str">
        <f>HYPERLINK("https://www.spark-marketing.ru/Card/Lot/72173766", "Услуги частных охранных служб")</f>
        <v>Услуги частных охранных служб</v>
      </c>
      <c r="G4163" s="22" t="s">
        <v>119</v>
      </c>
      <c r="H4163" s="22" t="s">
        <v>119</v>
      </c>
      <c r="I4163" s="26">
        <v>43664.417256944398</v>
      </c>
      <c r="J4163" s="23" t="str">
        <f>HYPERLINK("https://www.spark-marketing.ru/Card/Person/4343858", "ООО ЧОО ""СПРУТ""")</f>
        <v>ООО ЧОО "СПРУТ"</v>
      </c>
      <c r="K4163" s="24" t="s">
        <v>1389</v>
      </c>
      <c r="L4163" s="28" t="s">
        <v>52</v>
      </c>
      <c r="M4163" s="25">
        <v>209193.92</v>
      </c>
      <c r="N4163" s="27">
        <v>9.000416209045517E-2</v>
      </c>
    </row>
    <row r="4164" spans="1:14" hidden="1" outlineLevel="1" x14ac:dyDescent="0.2">
      <c r="A4164" s="23" t="str">
        <f>HYPERLINK("https://www.spark-marketing.ru/Card/Person/240511", "НРМОБУ ""СЕНТЯБРЬСКАЯ СОШ""")</f>
        <v>НРМОБУ "СЕНТЯБРЬСКАЯ СОШ"</v>
      </c>
      <c r="B4164" s="24" t="s">
        <v>5984</v>
      </c>
      <c r="C4164" s="25">
        <v>229884.48</v>
      </c>
      <c r="D4164" s="22" t="s">
        <v>5985</v>
      </c>
      <c r="E4164" s="22" t="s">
        <v>52</v>
      </c>
      <c r="F4164" s="23" t="str">
        <f>HYPERLINK("https://www.spark-marketing.ru/Card/Lot/72173766", "Услуги частных охранных служб")</f>
        <v>Услуги частных охранных служб</v>
      </c>
      <c r="G4164" s="22" t="s">
        <v>119</v>
      </c>
      <c r="H4164" s="22" t="s">
        <v>119</v>
      </c>
      <c r="I4164" s="26">
        <v>43664.417256944398</v>
      </c>
      <c r="J4164" s="23" t="str">
        <f>HYPERLINK("https://www.spark-marketing.ru/Card/Person/4877052", "ООО АГЕНТСТВО ОХРАНЫ ""АРСЕНАЛ""")</f>
        <v>ООО АГЕНТСТВО ОХРАНЫ "АРСЕНАЛ"</v>
      </c>
      <c r="K4164" s="24" t="s">
        <v>5987</v>
      </c>
      <c r="L4164" s="28" t="s">
        <v>52</v>
      </c>
      <c r="M4164" s="25">
        <v>209194.92</v>
      </c>
      <c r="N4164" s="27">
        <v>8.9999812079527938E-2</v>
      </c>
    </row>
    <row r="4165" spans="1:14" x14ac:dyDescent="0.15">
      <c r="A4165" s="23" t="str">
        <f>HYPERLINK("https://www.spark-marketing.ru/Card/Person/420107", "ПРЕДСТАВИТЕЛЬСТВО МИД РОССИИ В Г. ОМСКЕ")</f>
        <v>ПРЕДСТАВИТЕЛЬСТВО МИД РОССИИ В Г. ОМСКЕ</v>
      </c>
      <c r="B4165" s="24" t="s">
        <v>5988</v>
      </c>
      <c r="C4165" s="25">
        <v>69217.5</v>
      </c>
      <c r="D4165" s="22" t="s">
        <v>5989</v>
      </c>
      <c r="E4165" s="22" t="s">
        <v>53</v>
      </c>
      <c r="F4165" s="23" t="str">
        <f>HYPERLINK("https://www.spark-marketing.ru/Card/Lot/72172952", "услуги по охране имущества «Заказчика» путем наблюдения за средствами охранной сигнализации, установленных с выводом на пульт централизованной охраны (далее - ПЦО)")</f>
        <v>услуги по охране имущества «Заказчика» путем наблюдения за средствами охранной сигнализации, установленных с выводом на пульт централизованной охраны (далее - ПЦО)</v>
      </c>
      <c r="G4165" s="22" t="s">
        <v>521</v>
      </c>
      <c r="H4165" s="22" t="s">
        <v>522</v>
      </c>
      <c r="I4165" s="26">
        <v>43664.3355324074</v>
      </c>
      <c r="J4165" s="28" t="s">
        <v>52</v>
      </c>
      <c r="K4165" s="28" t="s">
        <v>52</v>
      </c>
      <c r="L4165" s="28" t="s">
        <v>52</v>
      </c>
      <c r="M4165" s="28" t="s">
        <v>52</v>
      </c>
      <c r="N4165" s="28" t="s">
        <v>52</v>
      </c>
    </row>
    <row r="4166" spans="1:14" x14ac:dyDescent="0.15">
      <c r="A4166" s="23" t="str">
        <f>HYPERLINK("https://www.spark-marketing.ru/Card/Person/81655", "МЕЖРАЙОННАЯ ИФНС РОССИИ № 2 ПО АМУРСКОЙ ОБЛАСТИ")</f>
        <v>МЕЖРАЙОННАЯ ИФНС РОССИИ № 2 ПО АМУРСКОЙ ОБЛАСТИ</v>
      </c>
      <c r="B4166" s="24" t="s">
        <v>5591</v>
      </c>
      <c r="C4166" s="25">
        <v>24000</v>
      </c>
      <c r="D4166" s="22" t="s">
        <v>5990</v>
      </c>
      <c r="E4166" s="22" t="s">
        <v>103</v>
      </c>
      <c r="F4166" s="23" t="str">
        <f>HYPERLINK("https://www.spark-marketing.ru/Card/Lot/72168954", "Оказание услуг по техническому обслуживанию системы видеонаблюдения, 1 усл. ед")</f>
        <v>Оказание услуг по техническому обслуживанию системы видеонаблюдения, 1 усл. ед</v>
      </c>
      <c r="G4166" s="22" t="s">
        <v>230</v>
      </c>
      <c r="H4166" s="22" t="s">
        <v>5593</v>
      </c>
      <c r="I4166" s="26">
        <v>43664.188472222202</v>
      </c>
      <c r="J4166" s="28" t="s">
        <v>52</v>
      </c>
      <c r="K4166" s="28" t="s">
        <v>52</v>
      </c>
      <c r="L4166" s="28" t="s">
        <v>52</v>
      </c>
      <c r="M4166" s="28" t="s">
        <v>52</v>
      </c>
      <c r="N4166" s="28" t="s">
        <v>52</v>
      </c>
    </row>
    <row r="4167" spans="1:14" x14ac:dyDescent="0.2">
      <c r="A4167" s="23" t="str">
        <f>HYPERLINK("https://www.spark-marketing.ru/Card/Person/4348526", "ПАО ""КАМЧАТСКЭНЕРГО""")</f>
        <v>ПАО "КАМЧАТСКЭНЕРГО"</v>
      </c>
      <c r="B4167" s="24" t="s">
        <v>5991</v>
      </c>
      <c r="C4167" s="25">
        <v>4521500</v>
      </c>
      <c r="D4167" s="22" t="s">
        <v>5992</v>
      </c>
      <c r="E4167" s="22" t="s">
        <v>854</v>
      </c>
      <c r="F4167" s="23" t="str">
        <f>HYPERLINK("https://www.spark-marketing.ru/Card/Lot/72201402", "Установка инженерно-технических средств охраны объектов филиала Камчатские ТЭЦ")</f>
        <v>Установка инженерно-технических средств охраны объектов филиала Камчатские ТЭЦ</v>
      </c>
      <c r="G4167" s="22" t="s">
        <v>1141</v>
      </c>
      <c r="H4167" s="22" t="s">
        <v>1142</v>
      </c>
      <c r="I4167" s="26">
        <v>43664.6235185185</v>
      </c>
      <c r="J4167" s="28" t="s">
        <v>52</v>
      </c>
      <c r="K4167" s="28" t="s">
        <v>52</v>
      </c>
      <c r="L4167" s="22" t="s">
        <v>10</v>
      </c>
      <c r="M4167" s="25">
        <v>4476200</v>
      </c>
      <c r="N4167" s="27">
        <v>1.0018799071104721E-2</v>
      </c>
    </row>
    <row r="4168" spans="1:14" x14ac:dyDescent="0.15">
      <c r="A4168" s="23" t="str">
        <f>HYPERLINK("https://www.spark-marketing.ru/Card/Person/6450322", "ЗАКАЗЧИК РП БЕЛАРУСЬ")</f>
        <v>ЗАКАЗЧИК РП БЕЛАРУСЬ</v>
      </c>
      <c r="B4168" s="28" t="s">
        <v>52</v>
      </c>
      <c r="C4168" s="28" t="s">
        <v>52</v>
      </c>
      <c r="D4168" s="22" t="s">
        <v>5993</v>
      </c>
      <c r="E4168" s="22" t="s">
        <v>53</v>
      </c>
      <c r="F4168" s="23" t="str">
        <f>HYPERLINK("https://www.spark-marketing.ru/Card/Lot/72184241", "услуга по обеспечению пропускного режима и охране объекта")</f>
        <v>услуга по обеспечению пропускного режима и охране объекта</v>
      </c>
      <c r="G4168" s="22" t="s">
        <v>52</v>
      </c>
      <c r="H4168" s="22" t="s">
        <v>52</v>
      </c>
      <c r="I4168" s="26">
        <v>43664</v>
      </c>
      <c r="J4168" s="28" t="s">
        <v>52</v>
      </c>
      <c r="K4168" s="28" t="s">
        <v>52</v>
      </c>
      <c r="L4168" s="28" t="s">
        <v>52</v>
      </c>
      <c r="M4168" s="28" t="s">
        <v>52</v>
      </c>
      <c r="N4168" s="28" t="s">
        <v>52</v>
      </c>
    </row>
    <row r="4169" spans="1:14" x14ac:dyDescent="0.15">
      <c r="A4169" s="23" t="str">
        <f>HYPERLINK("https://www.spark-marketing.ru/Card/Person/6450322", "ЗАКАЗЧИК РП БЕЛАРУСЬ")</f>
        <v>ЗАКАЗЧИК РП БЕЛАРУСЬ</v>
      </c>
      <c r="B4169" s="28" t="s">
        <v>52</v>
      </c>
      <c r="C4169" s="28" t="s">
        <v>52</v>
      </c>
      <c r="D4169" s="22" t="s">
        <v>5994</v>
      </c>
      <c r="E4169" s="22" t="s">
        <v>53</v>
      </c>
      <c r="F4169" s="23" t="str">
        <f>HYPERLINK("https://www.spark-marketing.ru/Card/Lot/72189734", "Строительно-монтажные работы по объекту: ""ЭСПЦ-2. Установка дополнительной видеокамеры шлакового проема ДСП-3""")</f>
        <v>Строительно-монтажные работы по объекту: "ЭСПЦ-2. Установка дополнительной видеокамеры шлакового проема ДСП-3"</v>
      </c>
      <c r="G4169" s="22" t="s">
        <v>52</v>
      </c>
      <c r="H4169" s="22" t="s">
        <v>52</v>
      </c>
      <c r="I4169" s="26">
        <v>43664</v>
      </c>
      <c r="J4169" s="28" t="s">
        <v>52</v>
      </c>
      <c r="K4169" s="28" t="s">
        <v>52</v>
      </c>
      <c r="L4169" s="28" t="s">
        <v>52</v>
      </c>
      <c r="M4169" s="28" t="s">
        <v>52</v>
      </c>
      <c r="N4169" s="28" t="s">
        <v>52</v>
      </c>
    </row>
    <row r="4170" spans="1:14" x14ac:dyDescent="0.15">
      <c r="A4170" s="23" t="str">
        <f>HYPERLINK("https://www.spark-marketing.ru/Card/Person/13210", "ФКУЗ «САНАТОРИЙ «БУРЕВЕСТНИК» МВД РОССИИ»")</f>
        <v>ФКУЗ «САНАТОРИЙ «БУРЕВЕСТНИК» МВД РОССИИ»</v>
      </c>
      <c r="B4170" s="24" t="s">
        <v>5995</v>
      </c>
      <c r="C4170" s="25">
        <v>33398.54</v>
      </c>
      <c r="D4170" s="22" t="s">
        <v>5996</v>
      </c>
      <c r="E4170" s="22" t="s">
        <v>53</v>
      </c>
      <c r="F4170" s="23" t="str">
        <f>HYPERLINK("https://www.spark-marketing.ru/Card/Lot/72162095", "Оказание услуг по техническому обслуживанию средств охраны")</f>
        <v>Оказание услуг по техническому обслуживанию средств охраны</v>
      </c>
      <c r="G4170" s="22" t="s">
        <v>1053</v>
      </c>
      <c r="H4170" s="22" t="s">
        <v>5997</v>
      </c>
      <c r="I4170" s="26">
        <v>43663.867719907401</v>
      </c>
      <c r="J4170" s="28" t="s">
        <v>52</v>
      </c>
      <c r="K4170" s="28" t="s">
        <v>52</v>
      </c>
      <c r="L4170" s="28" t="s">
        <v>52</v>
      </c>
      <c r="M4170" s="28" t="s">
        <v>52</v>
      </c>
      <c r="N4170" s="28" t="s">
        <v>52</v>
      </c>
    </row>
    <row r="4171" spans="1:14" x14ac:dyDescent="0.15">
      <c r="A4171" s="23" t="str">
        <f>HYPERLINK("https://www.spark-marketing.ru/Card/Person/1278053", "АО ""МЗП""")</f>
        <v>АО "МЗП"</v>
      </c>
      <c r="B4171" s="24" t="s">
        <v>5998</v>
      </c>
      <c r="C4171" s="25">
        <v>0</v>
      </c>
      <c r="D4171" s="22" t="s">
        <v>5999</v>
      </c>
      <c r="E4171" s="22" t="s">
        <v>53</v>
      </c>
      <c r="F4171" s="23" t="str">
        <f>HYPERLINK("https://www.spark-marketing.ru/Card/Lot/72197922", "мониторинг цен в электронной форме на Техническое обслуживание комплекса технических средств системы охранной сигнализации")</f>
        <v>мониторинг цен в электронной форме на Техническое обслуживание комплекса технических средств системы охранной сигнализации</v>
      </c>
      <c r="G4171" s="22" t="s">
        <v>55</v>
      </c>
      <c r="H4171" s="22" t="s">
        <v>55</v>
      </c>
      <c r="I4171" s="26">
        <v>43663.821597222202</v>
      </c>
      <c r="J4171" s="28" t="s">
        <v>52</v>
      </c>
      <c r="K4171" s="28" t="s">
        <v>52</v>
      </c>
      <c r="L4171" s="28" t="s">
        <v>52</v>
      </c>
      <c r="M4171" s="28" t="s">
        <v>52</v>
      </c>
      <c r="N4171" s="28" t="s">
        <v>52</v>
      </c>
    </row>
    <row r="4172" spans="1:14" x14ac:dyDescent="0.15">
      <c r="A4172" s="23" t="str">
        <f>HYPERLINK("https://www.spark-marketing.ru/Card/Person/1278053", "АО ""МЗП""")</f>
        <v>АО "МЗП"</v>
      </c>
      <c r="B4172" s="24" t="s">
        <v>5998</v>
      </c>
      <c r="C4172" s="28" t="s">
        <v>52</v>
      </c>
      <c r="D4172" s="22" t="s">
        <v>6000</v>
      </c>
      <c r="E4172" s="22" t="s">
        <v>53</v>
      </c>
      <c r="F4172" s="23" t="str">
        <f>HYPERLINK("https://www.spark-marketing.ru/Card/Lot/72164210", "Техническое обслуживание комплекса технических средств системы охранной сигнализации (1300699)")</f>
        <v>Техническое обслуживание комплекса технических средств системы охранной сигнализации (1300699)</v>
      </c>
      <c r="G4172" s="22" t="s">
        <v>55</v>
      </c>
      <c r="H4172" s="22" t="s">
        <v>55</v>
      </c>
      <c r="I4172" s="26">
        <v>43663.821550925903</v>
      </c>
      <c r="J4172" s="28" t="s">
        <v>52</v>
      </c>
      <c r="K4172" s="28" t="s">
        <v>52</v>
      </c>
      <c r="L4172" s="28" t="s">
        <v>52</v>
      </c>
      <c r="M4172" s="28" t="s">
        <v>52</v>
      </c>
      <c r="N4172" s="28" t="s">
        <v>52</v>
      </c>
    </row>
    <row r="4173" spans="1:14" x14ac:dyDescent="0.15">
      <c r="A4173" s="23" t="str">
        <f>HYPERLINK("https://www.spark-marketing.ru/Card/Person/1278053", "АО ""МЗП""")</f>
        <v>АО "МЗП"</v>
      </c>
      <c r="B4173" s="24" t="s">
        <v>5998</v>
      </c>
      <c r="C4173" s="28" t="s">
        <v>52</v>
      </c>
      <c r="D4173" s="22" t="s">
        <v>6001</v>
      </c>
      <c r="E4173" s="22" t="s">
        <v>208</v>
      </c>
      <c r="F4173" s="23" t="str">
        <f>HYPERLINK("https://www.spark-marketing.ru/Card/Lot/72160568", "Техническое обслуживание комплекса технических средств системы охранной сигнализации")</f>
        <v>Техническое обслуживание комплекса технических средств системы охранной сигнализации</v>
      </c>
      <c r="G4173" s="22" t="s">
        <v>55</v>
      </c>
      <c r="H4173" s="22" t="s">
        <v>55</v>
      </c>
      <c r="I4173" s="26">
        <v>43663.821736111102</v>
      </c>
      <c r="J4173" s="28" t="s">
        <v>52</v>
      </c>
      <c r="K4173" s="28" t="s">
        <v>52</v>
      </c>
      <c r="L4173" s="28" t="s">
        <v>52</v>
      </c>
      <c r="M4173" s="28" t="s">
        <v>52</v>
      </c>
      <c r="N4173" s="28" t="s">
        <v>52</v>
      </c>
    </row>
    <row r="4174" spans="1:14" x14ac:dyDescent="0.15">
      <c r="A4174" s="23" t="str">
        <f>HYPERLINK("https://www.spark-marketing.ru/Card/Person/128977", "КГАУ ХКСШОР")</f>
        <v>КГАУ ХКСШОР</v>
      </c>
      <c r="B4174" s="24" t="s">
        <v>6002</v>
      </c>
      <c r="C4174" s="25">
        <v>995000</v>
      </c>
      <c r="D4174" s="22" t="s">
        <v>6003</v>
      </c>
      <c r="E4174" s="22" t="s">
        <v>691</v>
      </c>
      <c r="F4174" s="23" t="str">
        <f>HYPERLINK("https://www.spark-marketing.ru/Card/Lot/72166187", "Оказание услуг по монтажу системы видеоидентификации на объекте заказчика по адресу: г. Хабаровск ул. Шатова 2/1")</f>
        <v>Оказание услуг по монтажу системы видеоидентификации на объекте заказчика по адресу: г. Хабаровск ул. Шатова 2/1</v>
      </c>
      <c r="G4174" s="22" t="s">
        <v>138</v>
      </c>
      <c r="H4174" s="22" t="s">
        <v>138</v>
      </c>
      <c r="I4174" s="26">
        <v>43663.769108796303</v>
      </c>
      <c r="J4174" s="28" t="s">
        <v>52</v>
      </c>
      <c r="K4174" s="28" t="s">
        <v>52</v>
      </c>
      <c r="L4174" s="28" t="s">
        <v>52</v>
      </c>
      <c r="M4174" s="28" t="s">
        <v>52</v>
      </c>
      <c r="N4174" s="28" t="s">
        <v>52</v>
      </c>
    </row>
    <row r="4175" spans="1:14" x14ac:dyDescent="0.15">
      <c r="A4175" s="23" t="str">
        <f>HYPERLINK("https://www.spark-marketing.ru/Card/Person/1298051", "МАДОУ ""ДЕТСКИЙ САД № 33 ЦРР""")</f>
        <v>МАДОУ "ДЕТСКИЙ САД № 33 ЦРР"</v>
      </c>
      <c r="B4175" s="24" t="s">
        <v>6004</v>
      </c>
      <c r="C4175" s="25">
        <v>326015</v>
      </c>
      <c r="D4175" s="22" t="s">
        <v>6005</v>
      </c>
      <c r="E4175" s="22" t="s">
        <v>144</v>
      </c>
      <c r="F4175" s="23" t="str">
        <f>HYPERLINK("https://www.spark-marketing.ru/Card/Lot/72168006", "Оказание услуг по обеспечению пропускного и внутриобъектового режимов на территории МАДОУ «Детский сад № 33 ЦРР»")</f>
        <v>Оказание услуг по обеспечению пропускного и внутриобъектового режимов на территории МАДОУ «Детский сад № 33 ЦРР»</v>
      </c>
      <c r="G4175" s="22" t="s">
        <v>50</v>
      </c>
      <c r="H4175" s="22" t="s">
        <v>50</v>
      </c>
      <c r="I4175" s="26">
        <v>43663.781944444403</v>
      </c>
      <c r="J4175" s="28" t="s">
        <v>52</v>
      </c>
      <c r="K4175" s="28" t="s">
        <v>52</v>
      </c>
      <c r="L4175" s="28" t="s">
        <v>52</v>
      </c>
      <c r="M4175" s="28" t="s">
        <v>52</v>
      </c>
      <c r="N4175" s="28" t="s">
        <v>52</v>
      </c>
    </row>
    <row r="4176" spans="1:14" x14ac:dyDescent="0.15">
      <c r="A4176" s="23" t="str">
        <f>HYPERLINK("https://www.spark-marketing.ru/Card/Person/33712", "УСРДИС АДМИНИСТРАЦИИ Г.УФЫ")</f>
        <v>УСРДИС АДМИНИСТРАЦИИ Г.УФЫ</v>
      </c>
      <c r="B4176" s="24" t="s">
        <v>6006</v>
      </c>
      <c r="C4176" s="25">
        <v>19999896.84</v>
      </c>
      <c r="D4176" s="22" t="s">
        <v>6007</v>
      </c>
      <c r="E4176" s="22" t="s">
        <v>84</v>
      </c>
      <c r="F4176" s="23" t="str">
        <f>HYPERLINK("https://www.spark-marketing.ru/Card/Lot/72164110", "Установка видеосистем автоматической фото- и видеофиксации нарушений ПДД на улично-дорожной сети городского округа город Уфа Республики Башкортостан")</f>
        <v>Установка видеосистем автоматической фото- и видеофиксации нарушений ПДД на улично-дорожной сети городского округа город Уфа Республики Башкортостан</v>
      </c>
      <c r="G4176" s="22" t="s">
        <v>100</v>
      </c>
      <c r="H4176" s="22" t="s">
        <v>373</v>
      </c>
      <c r="I4176" s="26">
        <v>43663.754675925898</v>
      </c>
      <c r="J4176" s="28" t="s">
        <v>52</v>
      </c>
      <c r="K4176" s="28" t="s">
        <v>52</v>
      </c>
      <c r="L4176" s="28" t="s">
        <v>52</v>
      </c>
      <c r="M4176" s="28" t="s">
        <v>52</v>
      </c>
      <c r="N4176" s="28" t="s">
        <v>52</v>
      </c>
    </row>
    <row r="4177" spans="1:14" hidden="1" outlineLevel="1" x14ac:dyDescent="0.2">
      <c r="A4177" s="23" t="str">
        <f>HYPERLINK("https://www.spark-marketing.ru/Card/Person/33712", "УСРДИС АДМИНИСТРАЦИИ Г.УФЫ")</f>
        <v>УСРДИС АДМИНИСТРАЦИИ Г.УФЫ</v>
      </c>
      <c r="B4177" s="24" t="s">
        <v>6006</v>
      </c>
      <c r="C4177" s="25">
        <v>19999896.84</v>
      </c>
      <c r="D4177" s="22" t="s">
        <v>6007</v>
      </c>
      <c r="E4177" s="22" t="s">
        <v>84</v>
      </c>
      <c r="F4177" s="23" t="str">
        <f>HYPERLINK("https://www.spark-marketing.ru/Card/Lot/72164110", "Установка видеосистем автоматической фото- и видеофиксации нарушений ПДД на улично-дорожной сети городского округа город Уфа Республики Башкортостан")</f>
        <v>Установка видеосистем автоматической фото- и видеофиксации нарушений ПДД на улично-дорожной сети городского округа город Уфа Республики Башкортостан</v>
      </c>
      <c r="G4177" s="22" t="s">
        <v>100</v>
      </c>
      <c r="H4177" s="22" t="s">
        <v>373</v>
      </c>
      <c r="I4177" s="26">
        <v>43663.754675925898</v>
      </c>
      <c r="J4177" s="23" t="str">
        <f>HYPERLINK("https://www.spark-marketing.ru/Card/Person/4422", "ООО ""СКАЙСОФТ ВИКТОРИ""")</f>
        <v>ООО "СКАЙСОФТ ВИКТОРИ"</v>
      </c>
      <c r="K4177" s="24" t="s">
        <v>3188</v>
      </c>
      <c r="L4177" s="28" t="s">
        <v>52</v>
      </c>
      <c r="M4177" s="25">
        <v>19499899.440000001</v>
      </c>
      <c r="N4177" s="27">
        <v>2.4999998949994585E-2</v>
      </c>
    </row>
    <row r="4178" spans="1:14" ht="12.75" hidden="1" outlineLevel="1" x14ac:dyDescent="0.2">
      <c r="A4178" s="23" t="str">
        <f>HYPERLINK("https://www.spark-marketing.ru/Card/Person/33712", "УСРДИС АДМИНИСТРАЦИИ Г.УФЫ")</f>
        <v>УСРДИС АДМИНИСТРАЦИИ Г.УФЫ</v>
      </c>
      <c r="B4178" s="24" t="s">
        <v>6006</v>
      </c>
      <c r="C4178" s="25">
        <v>19999896.84</v>
      </c>
      <c r="D4178" s="22" t="s">
        <v>6007</v>
      </c>
      <c r="E4178" s="22" t="s">
        <v>84</v>
      </c>
      <c r="F4178" s="23" t="str">
        <f>HYPERLINK("https://www.spark-marketing.ru/Card/Lot/72164110", "Установка видеосистем автоматической фото- и видеофиксации нарушений ПДД на улично-дорожной сети городского округа город Уфа Республики Башкортостан")</f>
        <v>Установка видеосистем автоматической фото- и видеофиксации нарушений ПДД на улично-дорожной сети городского округа город Уфа Республики Башкортостан</v>
      </c>
      <c r="G4178" s="22" t="s">
        <v>100</v>
      </c>
      <c r="H4178" s="22" t="s">
        <v>373</v>
      </c>
      <c r="I4178" s="26">
        <v>43663.754675925898</v>
      </c>
      <c r="J4178" s="23" t="str">
        <f>HYPERLINK("https://www.spark-marketing.ru/Card/Person/223093", "АО ""ТНЦ""")</f>
        <v>АО "ТНЦ"</v>
      </c>
      <c r="K4178" s="24" t="s">
        <v>4804</v>
      </c>
      <c r="L4178" s="22" t="s">
        <v>10</v>
      </c>
      <c r="M4178" s="25">
        <v>19399899.960000001</v>
      </c>
      <c r="N4178" s="27">
        <v>2.99999987399935E-2</v>
      </c>
    </row>
    <row r="4179" spans="1:14" x14ac:dyDescent="0.2">
      <c r="A4179" s="23" t="str">
        <f>HYPERLINK("https://www.spark-marketing.ru/Card/Person/102441", "АО ""ГАРНИЗОН""")</f>
        <v>АО "ГАРНИЗОН"</v>
      </c>
      <c r="B4179" s="24" t="s">
        <v>6008</v>
      </c>
      <c r="C4179" s="25">
        <v>142576</v>
      </c>
      <c r="D4179" s="22" t="s">
        <v>6009</v>
      </c>
      <c r="E4179" s="22" t="s">
        <v>2204</v>
      </c>
      <c r="F4179" s="23" t="str">
        <f>HYPERLINK("https://www.spark-marketing.ru/Card/Lot/72168385", "Установка системы видеонаблюдения")</f>
        <v>Установка системы видеонаблюдения</v>
      </c>
      <c r="G4179" s="22" t="s">
        <v>55</v>
      </c>
      <c r="H4179" s="22" t="s">
        <v>55</v>
      </c>
      <c r="I4179" s="26">
        <v>43663.731574074103</v>
      </c>
      <c r="J4179" s="28" t="s">
        <v>52</v>
      </c>
      <c r="K4179" s="28" t="s">
        <v>52</v>
      </c>
      <c r="L4179" s="28" t="s">
        <v>52</v>
      </c>
      <c r="M4179" s="25">
        <v>142576</v>
      </c>
      <c r="N4179" s="27">
        <v>0</v>
      </c>
    </row>
    <row r="4180" spans="1:14" x14ac:dyDescent="0.2">
      <c r="A4180" s="23" t="str">
        <f>HYPERLINK("https://www.spark-marketing.ru/Card/Person/372489", "ГАУ МО ""РЕУТОВСКОЕ ИНФОРМАГЕНТСТВО""")</f>
        <v>ГАУ МО "РЕУТОВСКОЕ ИНФОРМАГЕНТСТВО"</v>
      </c>
      <c r="B4180" s="24" t="s">
        <v>6010</v>
      </c>
      <c r="C4180" s="25">
        <v>30000</v>
      </c>
      <c r="D4180" s="22" t="s">
        <v>6011</v>
      </c>
      <c r="E4180" s="22" t="s">
        <v>144</v>
      </c>
      <c r="F4180" s="23" t="str">
        <f>HYPERLINK("https://www.spark-marketing.ru/Card/Lot/72167709", "Оказание охранных услуг в помещениях, их частях или комбинациях, оборудованных действующим комплексом технических средств охраны.")</f>
        <v>Оказание охранных услуг в помещениях, их частях или комбинациях, оборудованных действующим комплексом технических средств охраны.</v>
      </c>
      <c r="G4180" s="22" t="s">
        <v>50</v>
      </c>
      <c r="H4180" s="22" t="s">
        <v>50</v>
      </c>
      <c r="I4180" s="26">
        <v>43663.718958333302</v>
      </c>
      <c r="J4180" s="28" t="s">
        <v>52</v>
      </c>
      <c r="K4180" s="28" t="s">
        <v>52</v>
      </c>
      <c r="L4180" s="22" t="s">
        <v>10</v>
      </c>
      <c r="M4180" s="25">
        <v>30000</v>
      </c>
      <c r="N4180" s="27">
        <v>0</v>
      </c>
    </row>
    <row r="4181" spans="1:14" x14ac:dyDescent="0.2">
      <c r="A4181" s="23" t="str">
        <f>HYPERLINK("https://www.spark-marketing.ru/Card/Person/372489", "ГАУ МО ""РЕУТОВСКОЕ ИНФОРМАГЕНТСТВО""")</f>
        <v>ГАУ МО "РЕУТОВСКОЕ ИНФОРМАГЕНТСТВО"</v>
      </c>
      <c r="B4181" s="24" t="s">
        <v>6010</v>
      </c>
      <c r="C4181" s="25">
        <v>12000</v>
      </c>
      <c r="D4181" s="22" t="s">
        <v>6012</v>
      </c>
      <c r="E4181" s="22" t="s">
        <v>144</v>
      </c>
      <c r="F4181" s="23" t="str">
        <f>HYPERLINK("https://www.spark-marketing.ru/Card/Lot/72167712", "Оказание услуг по техническому обслуживанию комплекса технических средств охраны для ГАУ МО ""Реутовское информагентство""")</f>
        <v>Оказание услуг по техническому обслуживанию комплекса технических средств охраны для ГАУ МО "Реутовское информагентство"</v>
      </c>
      <c r="G4181" s="22" t="s">
        <v>50</v>
      </c>
      <c r="H4181" s="22" t="s">
        <v>50</v>
      </c>
      <c r="I4181" s="26">
        <v>43663.7192476852</v>
      </c>
      <c r="J4181" s="28" t="s">
        <v>52</v>
      </c>
      <c r="K4181" s="28" t="s">
        <v>52</v>
      </c>
      <c r="L4181" s="22" t="s">
        <v>10</v>
      </c>
      <c r="M4181" s="25">
        <v>12000</v>
      </c>
      <c r="N4181" s="27">
        <v>0</v>
      </c>
    </row>
    <row r="4182" spans="1:14" x14ac:dyDescent="0.15">
      <c r="A4182" s="23" t="str">
        <f>HYPERLINK("https://www.spark-marketing.ru/Card/Person/117435", "МБОУ ""АЗОВСКАЯ СОШ № 2""")</f>
        <v>МБОУ "АЗОВСКАЯ СОШ № 2"</v>
      </c>
      <c r="B4182" s="24" t="s">
        <v>6013</v>
      </c>
      <c r="C4182" s="25">
        <v>57573</v>
      </c>
      <c r="D4182" s="22" t="s">
        <v>6014</v>
      </c>
      <c r="E4182" s="22" t="s">
        <v>59</v>
      </c>
      <c r="F4182" s="23" t="str">
        <f>HYPERLINK("https://www.spark-marketing.ru/Card/Lot/72151134", "Выполнение работ по установке видеонаблюдения в МБОУ ""Азовская СОШ № 2""")</f>
        <v>Выполнение работ по установке видеонаблюдения в МБОУ "Азовская СОШ № 2"</v>
      </c>
      <c r="G4182" s="22" t="s">
        <v>521</v>
      </c>
      <c r="H4182" s="22" t="s">
        <v>5525</v>
      </c>
      <c r="I4182" s="26">
        <v>43663.691539351901</v>
      </c>
      <c r="J4182" s="23" t="str">
        <f>HYPERLINK("https://www.spark-marketing.ru/Card/Person/1415973", "Масловец Сергей Владимирович")</f>
        <v>Масловец Сергей Владимирович</v>
      </c>
      <c r="K4182" s="24" t="s">
        <v>6015</v>
      </c>
      <c r="L4182" s="22" t="s">
        <v>10</v>
      </c>
      <c r="M4182" s="28" t="s">
        <v>52</v>
      </c>
      <c r="N4182" s="28" t="s">
        <v>52</v>
      </c>
    </row>
    <row r="4183" spans="1:14" x14ac:dyDescent="0.15">
      <c r="A4183" s="23" t="str">
        <f>HYPERLINK("https://www.spark-marketing.ru/Card/Person/28138", "АДМИНИСТРАЦИЯ КОМСОМОЛЬСКОГО МУНИЦИПАЛЬНОГО РАЙОНА ИВАНОВСКОЙ ОБЛАСТИ")</f>
        <v>АДМИНИСТРАЦИЯ КОМСОМОЛЬСКОГО МУНИЦИПАЛЬНОГО РАЙОНА ИВАНОВСКОЙ ОБЛАСТИ</v>
      </c>
      <c r="B4183" s="24" t="s">
        <v>5259</v>
      </c>
      <c r="C4183" s="25">
        <v>26701</v>
      </c>
      <c r="D4183" s="22" t="s">
        <v>6016</v>
      </c>
      <c r="E4183" s="22" t="s">
        <v>59</v>
      </c>
      <c r="F4183" s="23" t="str">
        <f>HYPERLINK("https://www.spark-marketing.ru/Card/Lot/72157748", "Установка дополнительных прожекторов для системы видеонаблюдения на территории Комсомольского городского поселения")</f>
        <v>Установка дополнительных прожекторов для системы видеонаблюдения на территории Комсомольского городского поселения</v>
      </c>
      <c r="G4183" s="22" t="s">
        <v>340</v>
      </c>
      <c r="H4183" s="22" t="s">
        <v>340</v>
      </c>
      <c r="I4183" s="26">
        <v>43663.653645833299</v>
      </c>
      <c r="J4183" s="28" t="s">
        <v>52</v>
      </c>
      <c r="K4183" s="28" t="s">
        <v>52</v>
      </c>
      <c r="L4183" s="28" t="s">
        <v>52</v>
      </c>
      <c r="M4183" s="28" t="s">
        <v>52</v>
      </c>
      <c r="N4183" s="28" t="s">
        <v>52</v>
      </c>
    </row>
    <row r="4184" spans="1:14" x14ac:dyDescent="0.15">
      <c r="A4184" s="23" t="str">
        <f>HYPERLINK("https://www.spark-marketing.ru/Card/Person/1046457", "МБУ ""ГМЦ ""ГЕЛИОС""")</f>
        <v>МБУ "ГМЦ "ГЕЛИОС"</v>
      </c>
      <c r="B4184" s="24" t="s">
        <v>3182</v>
      </c>
      <c r="C4184" s="25">
        <v>150000</v>
      </c>
      <c r="D4184" s="22" t="s">
        <v>6017</v>
      </c>
      <c r="E4184" s="22" t="s">
        <v>84</v>
      </c>
      <c r="F4184" s="23" t="str">
        <f>HYPERLINK("https://www.spark-marketing.ru/Card/Lot/72154736", "Установка системы видеонаблюдения")</f>
        <v>Установка системы видеонаблюдения</v>
      </c>
      <c r="G4184" s="22" t="s">
        <v>3128</v>
      </c>
      <c r="H4184" s="22" t="s">
        <v>3184</v>
      </c>
      <c r="I4184" s="26">
        <v>43663.638749999998</v>
      </c>
      <c r="J4184" s="28" t="s">
        <v>52</v>
      </c>
      <c r="K4184" s="28" t="s">
        <v>52</v>
      </c>
      <c r="L4184" s="28" t="s">
        <v>52</v>
      </c>
      <c r="M4184" s="28" t="s">
        <v>52</v>
      </c>
      <c r="N4184" s="28" t="s">
        <v>52</v>
      </c>
    </row>
    <row r="4185" spans="1:14" x14ac:dyDescent="0.15">
      <c r="A4185" s="23" t="str">
        <f>HYPERLINK("https://www.spark-marketing.ru/Card/Person/15420", "УПРАВЛЕНИЕ РОСПОТРЕБНАДЗОРА ПО САМАРСКОЙ ОБЛАСТИ")</f>
        <v>УПРАВЛЕНИЕ РОСПОТРЕБНАДЗОРА ПО САМАРСКОЙ ОБЛАСТИ</v>
      </c>
      <c r="B4185" s="24" t="s">
        <v>5620</v>
      </c>
      <c r="C4185" s="25">
        <v>99800</v>
      </c>
      <c r="D4185" s="22" t="s">
        <v>6018</v>
      </c>
      <c r="E4185" s="22" t="s">
        <v>59</v>
      </c>
      <c r="F4185" s="23" t="str">
        <f>HYPERLINK("https://www.spark-marketing.ru/Card/Lot/72150583", "Работы по установке комплекса охранной сигнализации, 1 шт")</f>
        <v>Работы по установке комплекса охранной сигнализации, 1 шт</v>
      </c>
      <c r="G4185" s="22" t="s">
        <v>760</v>
      </c>
      <c r="H4185" s="22" t="s">
        <v>1709</v>
      </c>
      <c r="I4185" s="26">
        <v>43663.604247685202</v>
      </c>
      <c r="J4185" s="28" t="s">
        <v>52</v>
      </c>
      <c r="K4185" s="28" t="s">
        <v>52</v>
      </c>
      <c r="L4185" s="28" t="s">
        <v>52</v>
      </c>
      <c r="M4185" s="28" t="s">
        <v>52</v>
      </c>
      <c r="N4185" s="28" t="s">
        <v>52</v>
      </c>
    </row>
    <row r="4186" spans="1:14" x14ac:dyDescent="0.15">
      <c r="A4186" s="23" t="str">
        <f>HYPERLINK("https://www.spark-marketing.ru/Card/Person/1423", "ФГБУ ""СЛО ""РОССИЯ""")</f>
        <v>ФГБУ "СЛО "РОССИЯ"</v>
      </c>
      <c r="B4186" s="24" t="s">
        <v>6019</v>
      </c>
      <c r="C4186" s="25">
        <v>2725529.12</v>
      </c>
      <c r="D4186" s="22" t="s">
        <v>6020</v>
      </c>
      <c r="E4186" s="22" t="s">
        <v>107</v>
      </c>
      <c r="F4186" s="23" t="str">
        <f>HYPERLINK("https://www.spark-marketing.ru/Card/Lot/72193570", "Оказание услуг на техническое обслуживание автоматизированной системы управления технологическими процессами инженерного оборудования (АСУТПИО) НПП, СТЗ; ИТП НПП, СТЗ; снегосплавного пункта;  систем сигнализации загазованности и диспетчерского управл...")</f>
        <v>Оказание услуг на техническое обслуживание автоматизированной системы управления технологическими процессами инженерного оборудования (АСУТПИО) НПП, СТЗ; ИТП НПП, СТЗ; снегосплавного пункта;  систем сигнализации загазованности и диспетчерского управл...</v>
      </c>
      <c r="G4186" s="22" t="s">
        <v>55</v>
      </c>
      <c r="H4186" s="22" t="s">
        <v>55</v>
      </c>
      <c r="I4186" s="26">
        <v>43663.609120370398</v>
      </c>
      <c r="J4186" s="28" t="s">
        <v>52</v>
      </c>
      <c r="K4186" s="28" t="s">
        <v>52</v>
      </c>
      <c r="L4186" s="28" t="s">
        <v>52</v>
      </c>
      <c r="M4186" s="28" t="s">
        <v>52</v>
      </c>
      <c r="N4186" s="28" t="s">
        <v>52</v>
      </c>
    </row>
    <row r="4187" spans="1:14" x14ac:dyDescent="0.15">
      <c r="A4187" s="23" t="str">
        <f t="shared" ref="A4187:A4193" si="181">HYPERLINK("https://www.spark-marketing.ru/Card/Person/52097", "ГБУЗ СК ""КИСЛОВОДСКИЙ МРД""")</f>
        <v>ГБУЗ СК "КИСЛОВОДСКИЙ МРД"</v>
      </c>
      <c r="B4187" s="24" t="s">
        <v>6021</v>
      </c>
      <c r="C4187" s="25">
        <v>92600.04</v>
      </c>
      <c r="D4187" s="22" t="s">
        <v>6022</v>
      </c>
      <c r="E4187" s="22" t="s">
        <v>349</v>
      </c>
      <c r="F4187" s="23" t="str">
        <f t="shared" ref="F4187:F4193" si="182">HYPERLINK("https://www.spark-marketing.ru/Card/Lot/72158400", "техническое обслуживание системы видеонаблюдения и шлагбаума")</f>
        <v>техническое обслуживание системы видеонаблюдения и шлагбаума</v>
      </c>
      <c r="G4187" s="22" t="s">
        <v>258</v>
      </c>
      <c r="H4187" s="22" t="s">
        <v>259</v>
      </c>
      <c r="I4187" s="26">
        <v>43663.610486111102</v>
      </c>
      <c r="J4187" s="28" t="s">
        <v>52</v>
      </c>
      <c r="K4187" s="28" t="s">
        <v>52</v>
      </c>
      <c r="L4187" s="28" t="s">
        <v>52</v>
      </c>
      <c r="M4187" s="28" t="s">
        <v>52</v>
      </c>
      <c r="N4187" s="28" t="s">
        <v>52</v>
      </c>
    </row>
    <row r="4188" spans="1:14" ht="12.75" hidden="1" outlineLevel="1" x14ac:dyDescent="0.2">
      <c r="A4188" s="23" t="str">
        <f t="shared" si="181"/>
        <v>ГБУЗ СК "КИСЛОВОДСКИЙ МРД"</v>
      </c>
      <c r="B4188" s="24" t="s">
        <v>6021</v>
      </c>
      <c r="C4188" s="25">
        <v>92600.04</v>
      </c>
      <c r="D4188" s="22" t="s">
        <v>6022</v>
      </c>
      <c r="E4188" s="22" t="s">
        <v>349</v>
      </c>
      <c r="F4188" s="23" t="str">
        <f t="shared" si="182"/>
        <v>техническое обслуживание системы видеонаблюдения и шлагбаума</v>
      </c>
      <c r="G4188" s="22" t="s">
        <v>258</v>
      </c>
      <c r="H4188" s="22" t="s">
        <v>259</v>
      </c>
      <c r="I4188" s="26">
        <v>43663.610486111102</v>
      </c>
      <c r="J4188" s="23" t="str">
        <f>HYPERLINK("https://www.spark-marketing.ru/Card/Person/6674567", "Верченко Александр Сергеевич")</f>
        <v>Верченко Александр Сергеевич</v>
      </c>
      <c r="K4188" s="24" t="s">
        <v>6023</v>
      </c>
      <c r="L4188" s="22" t="s">
        <v>10</v>
      </c>
      <c r="M4188" s="25">
        <v>24074</v>
      </c>
      <c r="N4188" s="27">
        <v>0.74002171057377508</v>
      </c>
    </row>
    <row r="4189" spans="1:14" hidden="1" outlineLevel="1" x14ac:dyDescent="0.2">
      <c r="A4189" s="23" t="str">
        <f t="shared" si="181"/>
        <v>ГБУЗ СК "КИСЛОВОДСКИЙ МРД"</v>
      </c>
      <c r="B4189" s="24" t="s">
        <v>6021</v>
      </c>
      <c r="C4189" s="25">
        <v>92600.04</v>
      </c>
      <c r="D4189" s="22" t="s">
        <v>6022</v>
      </c>
      <c r="E4189" s="22" t="s">
        <v>349</v>
      </c>
      <c r="F4189" s="23" t="str">
        <f t="shared" si="182"/>
        <v>техническое обслуживание системы видеонаблюдения и шлагбаума</v>
      </c>
      <c r="G4189" s="22" t="s">
        <v>258</v>
      </c>
      <c r="H4189" s="22" t="s">
        <v>259</v>
      </c>
      <c r="I4189" s="26">
        <v>43663.610486111102</v>
      </c>
      <c r="J4189" s="23" t="str">
        <f>HYPERLINK("https://www.spark-marketing.ru/Card/Person/4890981", "ООО ""МАШУК-ТЕЛЕКОМ""")</f>
        <v>ООО "МАШУК-ТЕЛЕКОМ"</v>
      </c>
      <c r="K4189" s="24" t="s">
        <v>6024</v>
      </c>
      <c r="L4189" s="28" t="s">
        <v>52</v>
      </c>
      <c r="M4189" s="25">
        <v>30092</v>
      </c>
      <c r="N4189" s="27">
        <v>0.67503253778292105</v>
      </c>
    </row>
    <row r="4190" spans="1:14" hidden="1" outlineLevel="1" x14ac:dyDescent="0.2">
      <c r="A4190" s="23" t="str">
        <f t="shared" si="181"/>
        <v>ГБУЗ СК "КИСЛОВОДСКИЙ МРД"</v>
      </c>
      <c r="B4190" s="24" t="s">
        <v>6021</v>
      </c>
      <c r="C4190" s="25">
        <v>92600.04</v>
      </c>
      <c r="D4190" s="22" t="s">
        <v>6022</v>
      </c>
      <c r="E4190" s="22" t="s">
        <v>349</v>
      </c>
      <c r="F4190" s="23" t="str">
        <f t="shared" si="182"/>
        <v>техническое обслуживание системы видеонаблюдения и шлагбаума</v>
      </c>
      <c r="G4190" s="22" t="s">
        <v>258</v>
      </c>
      <c r="H4190" s="22" t="s">
        <v>259</v>
      </c>
      <c r="I4190" s="26">
        <v>43663.610486111102</v>
      </c>
      <c r="J4190" s="23" t="str">
        <f>HYPERLINK("https://www.spark-marketing.ru/Card/Person/470113", "ООО ""АЛАРМ СЕРВИС""")</f>
        <v>ООО "АЛАРМ СЕРВИС"</v>
      </c>
      <c r="K4190" s="24" t="s">
        <v>6025</v>
      </c>
      <c r="L4190" s="28" t="s">
        <v>52</v>
      </c>
      <c r="M4190" s="25">
        <v>91674</v>
      </c>
      <c r="N4190" s="27">
        <v>1.0000427645603608E-2</v>
      </c>
    </row>
    <row r="4191" spans="1:14" hidden="1" outlineLevel="1" x14ac:dyDescent="0.2">
      <c r="A4191" s="23" t="str">
        <f t="shared" si="181"/>
        <v>ГБУЗ СК "КИСЛОВОДСКИЙ МРД"</v>
      </c>
      <c r="B4191" s="24" t="s">
        <v>6021</v>
      </c>
      <c r="C4191" s="25">
        <v>92600.04</v>
      </c>
      <c r="D4191" s="22" t="s">
        <v>6022</v>
      </c>
      <c r="E4191" s="22" t="s">
        <v>349</v>
      </c>
      <c r="F4191" s="23" t="str">
        <f t="shared" si="182"/>
        <v>техническое обслуживание системы видеонаблюдения и шлагбаума</v>
      </c>
      <c r="G4191" s="22" t="s">
        <v>258</v>
      </c>
      <c r="H4191" s="22" t="s">
        <v>259</v>
      </c>
      <c r="I4191" s="26">
        <v>43663.610486111102</v>
      </c>
      <c r="J4191" s="23" t="str">
        <f>HYPERLINK("https://www.spark-marketing.ru/Card/Person/6674568", "Сметанников Юрий Витальевич")</f>
        <v>Сметанников Юрий Витальевич</v>
      </c>
      <c r="K4191" s="24" t="s">
        <v>6026</v>
      </c>
      <c r="L4191" s="28" t="s">
        <v>52</v>
      </c>
      <c r="M4191" s="25">
        <v>24537</v>
      </c>
      <c r="N4191" s="27">
        <v>0.7350217127336014</v>
      </c>
    </row>
    <row r="4192" spans="1:14" hidden="1" outlineLevel="1" x14ac:dyDescent="0.2">
      <c r="A4192" s="23" t="str">
        <f t="shared" si="181"/>
        <v>ГБУЗ СК "КИСЛОВОДСКИЙ МРД"</v>
      </c>
      <c r="B4192" s="24" t="s">
        <v>6021</v>
      </c>
      <c r="C4192" s="25">
        <v>92600.04</v>
      </c>
      <c r="D4192" s="22" t="s">
        <v>6022</v>
      </c>
      <c r="E4192" s="22" t="s">
        <v>349</v>
      </c>
      <c r="F4192" s="23" t="str">
        <f t="shared" si="182"/>
        <v>техническое обслуживание системы видеонаблюдения и шлагбаума</v>
      </c>
      <c r="G4192" s="22" t="s">
        <v>258</v>
      </c>
      <c r="H4192" s="22" t="s">
        <v>259</v>
      </c>
      <c r="I4192" s="26">
        <v>43663.610486111102</v>
      </c>
      <c r="J4192" s="23" t="str">
        <f>HYPERLINK("https://www.spark-marketing.ru/Card/Person/6633169", "Андриянов Антон Владимирович")</f>
        <v>Андриянов Антон Владимирович</v>
      </c>
      <c r="K4192" s="24" t="s">
        <v>1987</v>
      </c>
      <c r="L4192" s="28" t="s">
        <v>52</v>
      </c>
      <c r="M4192" s="25">
        <v>42591</v>
      </c>
      <c r="N4192" s="27">
        <v>0.54005419436103919</v>
      </c>
    </row>
    <row r="4193" spans="1:14" hidden="1" outlineLevel="1" x14ac:dyDescent="0.2">
      <c r="A4193" s="23" t="str">
        <f t="shared" si="181"/>
        <v>ГБУЗ СК "КИСЛОВОДСКИЙ МРД"</v>
      </c>
      <c r="B4193" s="24" t="s">
        <v>6021</v>
      </c>
      <c r="C4193" s="25">
        <v>92600.04</v>
      </c>
      <c r="D4193" s="22" t="s">
        <v>6022</v>
      </c>
      <c r="E4193" s="22" t="s">
        <v>349</v>
      </c>
      <c r="F4193" s="23" t="str">
        <f t="shared" si="182"/>
        <v>техническое обслуживание системы видеонаблюдения и шлагбаума</v>
      </c>
      <c r="G4193" s="22" t="s">
        <v>258</v>
      </c>
      <c r="H4193" s="22" t="s">
        <v>259</v>
      </c>
      <c r="I4193" s="26">
        <v>43663.610486111102</v>
      </c>
      <c r="J4193" s="23" t="str">
        <f>HYPERLINK("https://www.spark-marketing.ru/Card/Person/780600", "ООО ""КОНТИНЕНТ""")</f>
        <v>ООО "КОНТИНЕНТ"</v>
      </c>
      <c r="K4193" s="24" t="s">
        <v>1600</v>
      </c>
      <c r="L4193" s="28" t="s">
        <v>52</v>
      </c>
      <c r="M4193" s="25">
        <v>63683</v>
      </c>
      <c r="N4193" s="27">
        <v>0.31227891478232622</v>
      </c>
    </row>
    <row r="4194" spans="1:14" x14ac:dyDescent="0.2">
      <c r="A4194" s="23" t="str">
        <f>HYPERLINK("https://www.spark-marketing.ru/Card/Person/30851", "ДОНСКОЙ ГОСУДАРСТВЕННЫЙ ТЕХНИЧЕСКИЙ УНИВЕРСИТЕТ; ДГТУ")</f>
        <v>ДОНСКОЙ ГОСУДАРСТВЕННЫЙ ТЕХНИЧЕСКИЙ УНИВЕРСИТЕТ; ДГТУ</v>
      </c>
      <c r="B4194" s="24" t="s">
        <v>6027</v>
      </c>
      <c r="C4194" s="25">
        <v>43770</v>
      </c>
      <c r="D4194" s="22" t="s">
        <v>6028</v>
      </c>
      <c r="E4194" s="22" t="s">
        <v>6029</v>
      </c>
      <c r="F4194" s="23" t="str">
        <f>HYPERLINK("https://www.spark-marketing.ru/Card/Lot/72166809", "Установка видеонаблюдения")</f>
        <v>Установка видеонаблюдения</v>
      </c>
      <c r="G4194" s="22" t="s">
        <v>402</v>
      </c>
      <c r="H4194" s="22" t="s">
        <v>402</v>
      </c>
      <c r="I4194" s="26">
        <v>43663.594120370399</v>
      </c>
      <c r="J4194" s="28" t="s">
        <v>52</v>
      </c>
      <c r="K4194" s="28" t="s">
        <v>52</v>
      </c>
      <c r="L4194" s="22" t="s">
        <v>10</v>
      </c>
      <c r="M4194" s="25">
        <v>43770</v>
      </c>
      <c r="N4194" s="27">
        <v>0</v>
      </c>
    </row>
    <row r="4195" spans="1:14" x14ac:dyDescent="0.15">
      <c r="A4195" s="23" t="str">
        <f>HYPERLINK("https://www.spark-marketing.ru/Card/Person/4343405", "ФГУП ""ГОСКОРПОРАЦИЯ ПО ОРВД""")</f>
        <v>ФГУП "ГОСКОРПОРАЦИЯ ПО ОРВД"</v>
      </c>
      <c r="B4195" s="24" t="s">
        <v>801</v>
      </c>
      <c r="C4195" s="25">
        <v>928531.09</v>
      </c>
      <c r="D4195" s="22" t="s">
        <v>6030</v>
      </c>
      <c r="E4195" s="22" t="s">
        <v>49</v>
      </c>
      <c r="F4195" s="23" t="str">
        <f>HYPERLINK("https://www.spark-marketing.ru/Card/Lot/72177327", "Выполнение работ по монтажу системы охранной сигнализации периметра объекта радиомаяк азимутальный, совмещенный с радиомаяком дальномерным, расположенного по адресу: Архангельская область, г.Котлас, Аэропорт, строение 43 в целях обеспечения транспорт...")</f>
        <v>Выполнение работ по монтажу системы охранной сигнализации периметра объекта радиомаяк азимутальный, совмещенный с радиомаяком дальномерным, расположенного по адресу: Архангельская область, г.Котлас, Аэропорт, строение 43 в целях обеспечения транспорт...</v>
      </c>
      <c r="G4195" s="22" t="s">
        <v>674</v>
      </c>
      <c r="H4195" s="22" t="s">
        <v>674</v>
      </c>
      <c r="I4195" s="26">
        <v>43663.614085648202</v>
      </c>
      <c r="J4195" s="28" t="s">
        <v>52</v>
      </c>
      <c r="K4195" s="28" t="s">
        <v>52</v>
      </c>
      <c r="L4195" s="28" t="s">
        <v>52</v>
      </c>
      <c r="M4195" s="28" t="s">
        <v>52</v>
      </c>
      <c r="N4195" s="28" t="s">
        <v>52</v>
      </c>
    </row>
    <row r="4196" spans="1:14" x14ac:dyDescent="0.15">
      <c r="A4196" s="23" t="str">
        <f>HYPERLINK("https://www.spark-marketing.ru/Card/Person/65418", "УМВД РОССИИ ПО Г.КОСТРОМЕ")</f>
        <v>УМВД РОССИИ ПО Г.КОСТРОМЕ</v>
      </c>
      <c r="B4196" s="24" t="s">
        <v>6031</v>
      </c>
      <c r="C4196" s="25">
        <v>85565</v>
      </c>
      <c r="D4196" s="22" t="s">
        <v>6032</v>
      </c>
      <c r="E4196" s="22" t="s">
        <v>53</v>
      </c>
      <c r="F4196" s="23" t="str">
        <f>HYPERLINK("https://www.spark-marketing.ru/Card/Lot/72148198", "Охрана объектов, подключенных на пульт централизованного наблюдения и экстренному вызову наряда полиции")</f>
        <v>Охрана объектов, подключенных на пульт централизованного наблюдения и экстренному вызову наряда полиции</v>
      </c>
      <c r="G4196" s="22" t="s">
        <v>1104</v>
      </c>
      <c r="H4196" s="22" t="s">
        <v>1105</v>
      </c>
      <c r="I4196" s="26">
        <v>43663.528287036999</v>
      </c>
      <c r="J4196" s="28" t="s">
        <v>52</v>
      </c>
      <c r="K4196" s="28" t="s">
        <v>52</v>
      </c>
      <c r="L4196" s="28" t="s">
        <v>52</v>
      </c>
      <c r="M4196" s="28" t="s">
        <v>52</v>
      </c>
      <c r="N4196" s="28" t="s">
        <v>52</v>
      </c>
    </row>
    <row r="4197" spans="1:14" x14ac:dyDescent="0.15">
      <c r="A4197" s="23" t="str">
        <f>HYPERLINK("https://www.spark-marketing.ru/Card/Person/91876", "МБОУ ""СОШ №55"" Г.ЧЕБОКСАРЫ")</f>
        <v>МБОУ "СОШ №55" Г.ЧЕБОКСАРЫ</v>
      </c>
      <c r="B4197" s="24" t="s">
        <v>6033</v>
      </c>
      <c r="C4197" s="25">
        <v>131580</v>
      </c>
      <c r="D4197" s="22" t="s">
        <v>6034</v>
      </c>
      <c r="E4197" s="22" t="s">
        <v>79</v>
      </c>
      <c r="F4197" s="23" t="str">
        <f>HYPERLINK("https://www.spark-marketing.ru/Card/Lot/72147206", "выполнение работ по установке и наладке средств автоматического открывания и закрывания откатных ворот с жесткой фиксацией в закрытом положении с видеонаблюдением на объекте МБОУ «СОШ № 55» г. Чебоксары")</f>
        <v>выполнение работ по установке и наладке средств автоматического открывания и закрывания откатных ворот с жесткой фиксацией в закрытом положении с видеонаблюдением на объекте МБОУ «СОШ № 55» г. Чебоксары</v>
      </c>
      <c r="G4197" s="22" t="s">
        <v>1137</v>
      </c>
      <c r="H4197" s="22" t="s">
        <v>1138</v>
      </c>
      <c r="I4197" s="26">
        <v>43663.507638888899</v>
      </c>
      <c r="J4197" s="28" t="s">
        <v>52</v>
      </c>
      <c r="K4197" s="28" t="s">
        <v>52</v>
      </c>
      <c r="L4197" s="28" t="s">
        <v>52</v>
      </c>
      <c r="M4197" s="28" t="s">
        <v>52</v>
      </c>
      <c r="N4197" s="28" t="s">
        <v>52</v>
      </c>
    </row>
    <row r="4198" spans="1:14" x14ac:dyDescent="0.15">
      <c r="A4198" s="23" t="str">
        <f>HYPERLINK("https://www.spark-marketing.ru/Card/Person/49965", "УСД В Г. САНКТ-ПЕТЕРБУРГЕ")</f>
        <v>УСД В Г. САНКТ-ПЕТЕРБУРГЕ</v>
      </c>
      <c r="B4198" s="24" t="s">
        <v>6035</v>
      </c>
      <c r="C4198" s="25">
        <v>1294811.3999999999</v>
      </c>
      <c r="D4198" s="22" t="s">
        <v>6036</v>
      </c>
      <c r="E4198" s="22" t="s">
        <v>68</v>
      </c>
      <c r="F4198" s="23" t="str">
        <f>HYPERLINK("https://www.spark-marketing.ru/Card/Lot/72161503", "Оказание услуг по охране имущества объектов ФРС и ГВС")</f>
        <v>Оказание услуг по охране имущества объектов ФРС и ГВС</v>
      </c>
      <c r="G4198" s="22" t="s">
        <v>89</v>
      </c>
      <c r="H4198" s="22" t="s">
        <v>89</v>
      </c>
      <c r="I4198" s="26">
        <v>43663.512534722198</v>
      </c>
      <c r="J4198" s="28" t="s">
        <v>52</v>
      </c>
      <c r="K4198" s="28" t="s">
        <v>52</v>
      </c>
      <c r="L4198" s="28" t="s">
        <v>52</v>
      </c>
      <c r="M4198" s="28" t="s">
        <v>52</v>
      </c>
      <c r="N4198" s="28" t="s">
        <v>52</v>
      </c>
    </row>
    <row r="4199" spans="1:14" x14ac:dyDescent="0.15">
      <c r="A4199" s="23" t="str">
        <f>HYPERLINK("https://www.spark-marketing.ru/Card/Person/65418", "УМВД РОССИИ ПО Г.КОСТРОМЕ")</f>
        <v>УМВД РОССИИ ПО Г.КОСТРОМЕ</v>
      </c>
      <c r="B4199" s="24" t="s">
        <v>6031</v>
      </c>
      <c r="C4199" s="25">
        <v>85565</v>
      </c>
      <c r="D4199" s="22" t="s">
        <v>6037</v>
      </c>
      <c r="E4199" s="22" t="s">
        <v>53</v>
      </c>
      <c r="F4199" s="23" t="str">
        <f>HYPERLINK("https://www.spark-marketing.ru/Card/Lot/72148203", "Охрана объектов, подключенных на пульт централизованного наблюдения и экстренному вызову наряда полиции")</f>
        <v>Охрана объектов, подключенных на пульт централизованного наблюдения и экстренному вызову наряда полиции</v>
      </c>
      <c r="G4199" s="22" t="s">
        <v>1104</v>
      </c>
      <c r="H4199" s="22" t="s">
        <v>1105</v>
      </c>
      <c r="I4199" s="26">
        <v>43663.531840277799</v>
      </c>
      <c r="J4199" s="28" t="s">
        <v>52</v>
      </c>
      <c r="K4199" s="28" t="s">
        <v>52</v>
      </c>
      <c r="L4199" s="28" t="s">
        <v>52</v>
      </c>
      <c r="M4199" s="28" t="s">
        <v>52</v>
      </c>
      <c r="N4199" s="28" t="s">
        <v>52</v>
      </c>
    </row>
    <row r="4200" spans="1:14" x14ac:dyDescent="0.15">
      <c r="A4200" s="23" t="str">
        <f t="shared" ref="A4200:A4207" si="183">HYPERLINK("https://www.spark-marketing.ru/Card/Person/1781069", "ООО ""БУРГЕР РУС""")</f>
        <v>ООО "БУРГЕР РУС"</v>
      </c>
      <c r="B4200" s="24" t="s">
        <v>3106</v>
      </c>
      <c r="C4200" s="25">
        <v>0</v>
      </c>
      <c r="D4200" s="22" t="s">
        <v>6038</v>
      </c>
      <c r="E4200" s="22" t="s">
        <v>208</v>
      </c>
      <c r="F4200" s="23" t="str">
        <f>HYPERLINK("https://www.spark-marketing.ru/Card/Lot/72152458", "Сервер TRASSIR anyip 4")</f>
        <v>Сервер TRASSIR anyip 4</v>
      </c>
      <c r="G4200" s="22" t="s">
        <v>55</v>
      </c>
      <c r="H4200" s="22" t="s">
        <v>55</v>
      </c>
      <c r="I4200" s="26">
        <v>43663.498495370397</v>
      </c>
      <c r="J4200" s="28" t="s">
        <v>52</v>
      </c>
      <c r="K4200" s="28" t="s">
        <v>52</v>
      </c>
      <c r="L4200" s="28" t="s">
        <v>52</v>
      </c>
      <c r="M4200" s="28" t="s">
        <v>52</v>
      </c>
      <c r="N4200" s="28" t="s">
        <v>52</v>
      </c>
    </row>
    <row r="4201" spans="1:14" x14ac:dyDescent="0.15">
      <c r="A4201" s="23" t="str">
        <f t="shared" si="183"/>
        <v>ООО "БУРГЕР РУС"</v>
      </c>
      <c r="B4201" s="24" t="s">
        <v>3106</v>
      </c>
      <c r="C4201" s="25">
        <v>0</v>
      </c>
      <c r="D4201" s="22" t="s">
        <v>6038</v>
      </c>
      <c r="E4201" s="22" t="s">
        <v>208</v>
      </c>
      <c r="F4201" s="23" t="str">
        <f>HYPERLINK("https://www.spark-marketing.ru/Card/Lot/72152465", "Блок питания АТ-12/15")</f>
        <v>Блок питания АТ-12/15</v>
      </c>
      <c r="G4201" s="22" t="s">
        <v>55</v>
      </c>
      <c r="H4201" s="22" t="s">
        <v>55</v>
      </c>
      <c r="I4201" s="26">
        <v>43663.498495370397</v>
      </c>
      <c r="J4201" s="28" t="s">
        <v>52</v>
      </c>
      <c r="K4201" s="28" t="s">
        <v>52</v>
      </c>
      <c r="L4201" s="28" t="s">
        <v>52</v>
      </c>
      <c r="M4201" s="28" t="s">
        <v>52</v>
      </c>
      <c r="N4201" s="28" t="s">
        <v>52</v>
      </c>
    </row>
    <row r="4202" spans="1:14" x14ac:dyDescent="0.15">
      <c r="A4202" s="23" t="str">
        <f t="shared" si="183"/>
        <v>ООО "БУРГЕР РУС"</v>
      </c>
      <c r="B4202" s="24" t="s">
        <v>3106</v>
      </c>
      <c r="C4202" s="25">
        <v>0</v>
      </c>
      <c r="D4202" s="22" t="s">
        <v>6038</v>
      </c>
      <c r="E4202" s="22" t="s">
        <v>208</v>
      </c>
      <c r="F4202" s="23" t="str">
        <f>HYPERLINK("https://www.spark-marketing.ru/Card/Lot/72152450", "Камера Hikvision ds-2cd2122fwd-is_t_1 c флеш картой на 128 Гб")</f>
        <v>Камера Hikvision ds-2cd2122fwd-is_t_1 c флеш картой на 128 Гб</v>
      </c>
      <c r="G4202" s="22" t="s">
        <v>55</v>
      </c>
      <c r="H4202" s="22" t="s">
        <v>55</v>
      </c>
      <c r="I4202" s="26">
        <v>43663.498495370397</v>
      </c>
      <c r="J4202" s="28" t="s">
        <v>52</v>
      </c>
      <c r="K4202" s="28" t="s">
        <v>52</v>
      </c>
      <c r="L4202" s="28" t="s">
        <v>52</v>
      </c>
      <c r="M4202" s="28" t="s">
        <v>52</v>
      </c>
      <c r="N4202" s="28" t="s">
        <v>52</v>
      </c>
    </row>
    <row r="4203" spans="1:14" x14ac:dyDescent="0.15">
      <c r="A4203" s="23" t="str">
        <f t="shared" si="183"/>
        <v>ООО "БУРГЕР РУС"</v>
      </c>
      <c r="B4203" s="24" t="s">
        <v>3106</v>
      </c>
      <c r="C4203" s="25">
        <v>0</v>
      </c>
      <c r="D4203" s="22" t="s">
        <v>6038</v>
      </c>
      <c r="E4203" s="22" t="s">
        <v>208</v>
      </c>
      <c r="F4203" s="23" t="str">
        <f>HYPERLINK("https://www.spark-marketing.ru/Card/Lot/72152452", "Камера Hikvision ds-2cd2522fwd-is_1")</f>
        <v>Камера Hikvision ds-2cd2522fwd-is_1</v>
      </c>
      <c r="G4203" s="22" t="s">
        <v>55</v>
      </c>
      <c r="H4203" s="22" t="s">
        <v>55</v>
      </c>
      <c r="I4203" s="26">
        <v>43663.498495370397</v>
      </c>
      <c r="J4203" s="28" t="s">
        <v>52</v>
      </c>
      <c r="K4203" s="28" t="s">
        <v>52</v>
      </c>
      <c r="L4203" s="28" t="s">
        <v>52</v>
      </c>
      <c r="M4203" s="28" t="s">
        <v>52</v>
      </c>
      <c r="N4203" s="28" t="s">
        <v>52</v>
      </c>
    </row>
    <row r="4204" spans="1:14" x14ac:dyDescent="0.15">
      <c r="A4204" s="23" t="str">
        <f t="shared" si="183"/>
        <v>ООО "БУРГЕР РУС"</v>
      </c>
      <c r="B4204" s="24" t="s">
        <v>3106</v>
      </c>
      <c r="C4204" s="25">
        <v>0</v>
      </c>
      <c r="D4204" s="22" t="s">
        <v>6038</v>
      </c>
      <c r="E4204" s="22" t="s">
        <v>208</v>
      </c>
      <c r="F4204" s="23" t="str">
        <f>HYPERLINK("https://www.spark-marketing.ru/Card/Lot/72152456", "Сервер TRASSIR_MiniNVR_AF_AnyIP_passport_E8 на 16 камер")</f>
        <v>Сервер TRASSIR_MiniNVR_AF_AnyIP_passport_E8 на 16 камер</v>
      </c>
      <c r="G4204" s="22" t="s">
        <v>55</v>
      </c>
      <c r="H4204" s="22" t="s">
        <v>55</v>
      </c>
      <c r="I4204" s="26">
        <v>43663.498495370397</v>
      </c>
      <c r="J4204" s="28" t="s">
        <v>52</v>
      </c>
      <c r="K4204" s="28" t="s">
        <v>52</v>
      </c>
      <c r="L4204" s="28" t="s">
        <v>52</v>
      </c>
      <c r="M4204" s="28" t="s">
        <v>52</v>
      </c>
      <c r="N4204" s="28" t="s">
        <v>52</v>
      </c>
    </row>
    <row r="4205" spans="1:14" x14ac:dyDescent="0.15">
      <c r="A4205" s="23" t="str">
        <f t="shared" si="183"/>
        <v>ООО "БУРГЕР РУС"</v>
      </c>
      <c r="B4205" s="24" t="s">
        <v>3106</v>
      </c>
      <c r="C4205" s="25">
        <v>0</v>
      </c>
      <c r="D4205" s="22" t="s">
        <v>6038</v>
      </c>
      <c r="E4205" s="22" t="s">
        <v>208</v>
      </c>
      <c r="F4205" s="23" t="str">
        <f>HYPERLINK("https://www.spark-marketing.ru/Card/Lot/72152471", "Настройка (программирование) СКУД")</f>
        <v>Настройка (программирование) СКУД</v>
      </c>
      <c r="G4205" s="22" t="s">
        <v>55</v>
      </c>
      <c r="H4205" s="22" t="s">
        <v>55</v>
      </c>
      <c r="I4205" s="26">
        <v>43663.498495370397</v>
      </c>
      <c r="J4205" s="28" t="s">
        <v>52</v>
      </c>
      <c r="K4205" s="28" t="s">
        <v>52</v>
      </c>
      <c r="L4205" s="28" t="s">
        <v>52</v>
      </c>
      <c r="M4205" s="28" t="s">
        <v>52</v>
      </c>
      <c r="N4205" s="28" t="s">
        <v>52</v>
      </c>
    </row>
    <row r="4206" spans="1:14" x14ac:dyDescent="0.15">
      <c r="A4206" s="23" t="str">
        <f t="shared" si="183"/>
        <v>ООО "БУРГЕР РУС"</v>
      </c>
      <c r="B4206" s="24" t="s">
        <v>3106</v>
      </c>
      <c r="C4206" s="25">
        <v>0</v>
      </c>
      <c r="D4206" s="22" t="s">
        <v>6038</v>
      </c>
      <c r="E4206" s="22" t="s">
        <v>208</v>
      </c>
      <c r="F4206" s="23" t="str">
        <f>HYPERLINK("https://www.spark-marketing.ru/Card/Lot/72152460", "Прокладка кабеля (метр)")</f>
        <v>Прокладка кабеля (метр)</v>
      </c>
      <c r="G4206" s="22" t="s">
        <v>55</v>
      </c>
      <c r="H4206" s="22" t="s">
        <v>55</v>
      </c>
      <c r="I4206" s="26">
        <v>43663.498495370397</v>
      </c>
      <c r="J4206" s="28" t="s">
        <v>52</v>
      </c>
      <c r="K4206" s="28" t="s">
        <v>52</v>
      </c>
      <c r="L4206" s="28" t="s">
        <v>52</v>
      </c>
      <c r="M4206" s="28" t="s">
        <v>52</v>
      </c>
      <c r="N4206" s="28" t="s">
        <v>52</v>
      </c>
    </row>
    <row r="4207" spans="1:14" x14ac:dyDescent="0.15">
      <c r="A4207" s="23" t="str">
        <f t="shared" si="183"/>
        <v>ООО "БУРГЕР РУС"</v>
      </c>
      <c r="B4207" s="24" t="s">
        <v>3106</v>
      </c>
      <c r="C4207" s="25">
        <v>0</v>
      </c>
      <c r="D4207" s="22" t="s">
        <v>6038</v>
      </c>
      <c r="E4207" s="22" t="s">
        <v>208</v>
      </c>
      <c r="F4207" s="23" t="str">
        <f>HYPERLINK("https://www.spark-marketing.ru/Card/Lot/72309603", "Стоимость дополнительного выезда (тех.поддержка видеонаблюдение)")</f>
        <v>Стоимость дополнительного выезда (тех.поддержка видеонаблюдение)</v>
      </c>
      <c r="G4207" s="22" t="s">
        <v>55</v>
      </c>
      <c r="H4207" s="22" t="s">
        <v>55</v>
      </c>
      <c r="I4207" s="26">
        <v>43663.498495370397</v>
      </c>
      <c r="J4207" s="28" t="s">
        <v>52</v>
      </c>
      <c r="K4207" s="28" t="s">
        <v>52</v>
      </c>
      <c r="L4207" s="28" t="s">
        <v>52</v>
      </c>
      <c r="M4207" s="28" t="s">
        <v>52</v>
      </c>
      <c r="N4207" s="28" t="s">
        <v>52</v>
      </c>
    </row>
    <row r="4208" spans="1:14" x14ac:dyDescent="0.15">
      <c r="A4208" s="23" t="str">
        <f>HYPERLINK("https://www.spark-marketing.ru/Card/Person/1683079", "ООО ""ЧОП ""КЕННАРД""")</f>
        <v>ООО "ЧОП "КЕННАРД"</v>
      </c>
      <c r="B4208" s="24" t="s">
        <v>1949</v>
      </c>
      <c r="C4208" s="25">
        <v>33046.67</v>
      </c>
      <c r="D4208" s="22" t="s">
        <v>6039</v>
      </c>
      <c r="E4208" s="22" t="s">
        <v>53</v>
      </c>
      <c r="F4208" s="23" t="str">
        <f>HYPERLINK("https://www.spark-marketing.ru/Card/Lot/72169540", "Блок питания для видеосервера хранилища данных PRO CASE, модель IR21200, 1200Вт")</f>
        <v>Блок питания для видеосервера хранилища данных PRO CASE, модель IR21200, 1200Вт</v>
      </c>
      <c r="G4208" s="22" t="s">
        <v>204</v>
      </c>
      <c r="H4208" s="22" t="s">
        <v>303</v>
      </c>
      <c r="I4208" s="26">
        <v>43663.483692129601</v>
      </c>
      <c r="J4208" s="28" t="s">
        <v>52</v>
      </c>
      <c r="K4208" s="28" t="s">
        <v>52</v>
      </c>
      <c r="L4208" s="28" t="s">
        <v>52</v>
      </c>
      <c r="M4208" s="28" t="s">
        <v>52</v>
      </c>
      <c r="N4208" s="28" t="s">
        <v>52</v>
      </c>
    </row>
    <row r="4209" spans="1:14" x14ac:dyDescent="0.15">
      <c r="A4209" s="23" t="str">
        <f>HYPERLINK("https://www.spark-marketing.ru/Card/Person/1781069", "ООО ""БУРГЕР РУС""")</f>
        <v>ООО "БУРГЕР РУС"</v>
      </c>
      <c r="B4209" s="24" t="s">
        <v>3106</v>
      </c>
      <c r="C4209" s="25">
        <v>0</v>
      </c>
      <c r="D4209" s="22" t="s">
        <v>6038</v>
      </c>
      <c r="E4209" s="22" t="s">
        <v>208</v>
      </c>
      <c r="F4209" s="23" t="str">
        <f>HYPERLINK("https://www.spark-marketing.ru/Card/Lot/72152454", "Камера Hikvision ds-i250")</f>
        <v>Камера Hikvision ds-i250</v>
      </c>
      <c r="G4209" s="22" t="s">
        <v>55</v>
      </c>
      <c r="H4209" s="22" t="s">
        <v>55</v>
      </c>
      <c r="I4209" s="26">
        <v>43663.498495370397</v>
      </c>
      <c r="J4209" s="28" t="s">
        <v>52</v>
      </c>
      <c r="K4209" s="28" t="s">
        <v>52</v>
      </c>
      <c r="L4209" s="28" t="s">
        <v>52</v>
      </c>
      <c r="M4209" s="28" t="s">
        <v>52</v>
      </c>
      <c r="N4209" s="28" t="s">
        <v>52</v>
      </c>
    </row>
    <row r="4210" spans="1:14" x14ac:dyDescent="0.15">
      <c r="A4210" s="23" t="str">
        <f>HYPERLINK("https://www.spark-marketing.ru/Card/Person/1781069", "ООО ""БУРГЕР РУС""")</f>
        <v>ООО "БУРГЕР РУС"</v>
      </c>
      <c r="B4210" s="24" t="s">
        <v>3106</v>
      </c>
      <c r="C4210" s="25">
        <v>0</v>
      </c>
      <c r="D4210" s="22" t="s">
        <v>6038</v>
      </c>
      <c r="E4210" s="22" t="s">
        <v>208</v>
      </c>
      <c r="F4210" s="23" t="str">
        <f>HYPERLINK("https://www.spark-marketing.ru/Card/Lot/72152462", "Запуск системы видеонаблюдения на 1 ресторане")</f>
        <v>Запуск системы видеонаблюдения на 1 ресторане</v>
      </c>
      <c r="G4210" s="22" t="s">
        <v>55</v>
      </c>
      <c r="H4210" s="22" t="s">
        <v>55</v>
      </c>
      <c r="I4210" s="26">
        <v>43663.498495370397</v>
      </c>
      <c r="J4210" s="28" t="s">
        <v>52</v>
      </c>
      <c r="K4210" s="28" t="s">
        <v>52</v>
      </c>
      <c r="L4210" s="28" t="s">
        <v>52</v>
      </c>
      <c r="M4210" s="28" t="s">
        <v>52</v>
      </c>
      <c r="N4210" s="28" t="s">
        <v>52</v>
      </c>
    </row>
    <row r="4211" spans="1:14" x14ac:dyDescent="0.15">
      <c r="A4211" s="23" t="str">
        <f>HYPERLINK("https://www.spark-marketing.ru/Card/Person/1781069", "ООО ""БУРГЕР РУС""")</f>
        <v>ООО "БУРГЕР РУС"</v>
      </c>
      <c r="B4211" s="24" t="s">
        <v>3106</v>
      </c>
      <c r="C4211" s="25">
        <v>0</v>
      </c>
      <c r="D4211" s="22" t="s">
        <v>6038</v>
      </c>
      <c r="E4211" s="22" t="s">
        <v>208</v>
      </c>
      <c r="F4211" s="23" t="str">
        <f>HYPERLINK("https://www.spark-marketing.ru/Card/Lot/72152469", "Установка СКУД")</f>
        <v>Установка СКУД</v>
      </c>
      <c r="G4211" s="22" t="s">
        <v>55</v>
      </c>
      <c r="H4211" s="22" t="s">
        <v>55</v>
      </c>
      <c r="I4211" s="26">
        <v>43663.498495370397</v>
      </c>
      <c r="J4211" s="28" t="s">
        <v>52</v>
      </c>
      <c r="K4211" s="28" t="s">
        <v>52</v>
      </c>
      <c r="L4211" s="28" t="s">
        <v>52</v>
      </c>
      <c r="M4211" s="28" t="s">
        <v>52</v>
      </c>
      <c r="N4211" s="28" t="s">
        <v>52</v>
      </c>
    </row>
    <row r="4212" spans="1:14" x14ac:dyDescent="0.15">
      <c r="A4212" s="23" t="str">
        <f>HYPERLINK("https://www.spark-marketing.ru/Card/Person/1781069", "ООО ""БУРГЕР РУС""")</f>
        <v>ООО "БУРГЕР РУС"</v>
      </c>
      <c r="B4212" s="24" t="s">
        <v>3106</v>
      </c>
      <c r="C4212" s="25">
        <v>0</v>
      </c>
      <c r="D4212" s="22" t="s">
        <v>6038</v>
      </c>
      <c r="E4212" s="22" t="s">
        <v>208</v>
      </c>
      <c r="F4212" s="23" t="str">
        <f>HYPERLINK("https://www.spark-marketing.ru/Card/Lot/72152457", "Жёсткий диск WD Puple WD80PURX 8000GB")</f>
        <v>Жёсткий диск WD Puple WD80PURX 8000GB</v>
      </c>
      <c r="G4212" s="22" t="s">
        <v>55</v>
      </c>
      <c r="H4212" s="22" t="s">
        <v>55</v>
      </c>
      <c r="I4212" s="26">
        <v>43663.498495370397</v>
      </c>
      <c r="J4212" s="28" t="s">
        <v>52</v>
      </c>
      <c r="K4212" s="28" t="s">
        <v>52</v>
      </c>
      <c r="L4212" s="28" t="s">
        <v>52</v>
      </c>
      <c r="M4212" s="28" t="s">
        <v>52</v>
      </c>
      <c r="N4212" s="28" t="s">
        <v>52</v>
      </c>
    </row>
    <row r="4213" spans="1:14" x14ac:dyDescent="0.15">
      <c r="A4213" s="23" t="str">
        <f>HYPERLINK("https://www.spark-marketing.ru/Card/Person/15070", "АДМИНИСТРАЦИЯ МУНИЦИПАЛЬНОГО ОБРАЗОВАНИЯ ""ГОРОДСКОЙ ОКРУГ ЧЕРНОГОЛОВКА""")</f>
        <v>АДМИНИСТРАЦИЯ МУНИЦИПАЛЬНОГО ОБРАЗОВАНИЯ "ГОРОДСКОЙ ОКРУГ ЧЕРНОГОЛОВКА"</v>
      </c>
      <c r="B4213" s="24" t="s">
        <v>5421</v>
      </c>
      <c r="C4213" s="25">
        <v>216300</v>
      </c>
      <c r="D4213" s="22" t="s">
        <v>6040</v>
      </c>
      <c r="E4213" s="22" t="s">
        <v>6041</v>
      </c>
      <c r="F4213" s="23" t="str">
        <f>HYPERLINK("https://www.spark-marketing.ru/Card/Lot/72147392", "Оказание услуг по установке и обслуживанию системы видеонаблюдения в здании Администрации г.о.Черноголовка Московской области")</f>
        <v>Оказание услуг по установке и обслуживанию системы видеонаблюдения в здании Администрации г.о.Черноголовка Московской области</v>
      </c>
      <c r="G4213" s="22" t="s">
        <v>50</v>
      </c>
      <c r="H4213" s="22" t="s">
        <v>2545</v>
      </c>
      <c r="I4213" s="26">
        <v>43663.4714930556</v>
      </c>
      <c r="J4213" s="28" t="s">
        <v>52</v>
      </c>
      <c r="K4213" s="28" t="s">
        <v>52</v>
      </c>
      <c r="L4213" s="28" t="s">
        <v>52</v>
      </c>
      <c r="M4213" s="28" t="s">
        <v>52</v>
      </c>
      <c r="N4213" s="28" t="s">
        <v>52</v>
      </c>
    </row>
    <row r="4214" spans="1:14" x14ac:dyDescent="0.15">
      <c r="A4214" s="23" t="str">
        <f>HYPERLINK("https://www.spark-marketing.ru/Card/Person/1781069", "ООО ""БУРГЕР РУС""")</f>
        <v>ООО "БУРГЕР РУС"</v>
      </c>
      <c r="B4214" s="24" t="s">
        <v>3106</v>
      </c>
      <c r="C4214" s="25">
        <v>0</v>
      </c>
      <c r="D4214" s="22" t="s">
        <v>6038</v>
      </c>
      <c r="E4214" s="22" t="s">
        <v>208</v>
      </c>
      <c r="F4214" s="23" t="str">
        <f>HYPERLINK("https://www.spark-marketing.ru/Card/Lot/72152453", "Камера Hikvision ds-i202")</f>
        <v>Камера Hikvision ds-i202</v>
      </c>
      <c r="G4214" s="22" t="s">
        <v>55</v>
      </c>
      <c r="H4214" s="22" t="s">
        <v>55</v>
      </c>
      <c r="I4214" s="26">
        <v>43663.498495370397</v>
      </c>
      <c r="J4214" s="28" t="s">
        <v>52</v>
      </c>
      <c r="K4214" s="28" t="s">
        <v>52</v>
      </c>
      <c r="L4214" s="28" t="s">
        <v>52</v>
      </c>
      <c r="M4214" s="28" t="s">
        <v>52</v>
      </c>
      <c r="N4214" s="28" t="s">
        <v>52</v>
      </c>
    </row>
    <row r="4215" spans="1:14" x14ac:dyDescent="0.15">
      <c r="A4215" s="23" t="str">
        <f>HYPERLINK("https://www.spark-marketing.ru/Card/Person/1781069", "ООО ""БУРГЕР РУС""")</f>
        <v>ООО "БУРГЕР РУС"</v>
      </c>
      <c r="B4215" s="24" t="s">
        <v>3106</v>
      </c>
      <c r="C4215" s="25">
        <v>0</v>
      </c>
      <c r="D4215" s="22" t="s">
        <v>6038</v>
      </c>
      <c r="E4215" s="22" t="s">
        <v>208</v>
      </c>
      <c r="F4215" s="23" t="str">
        <f>HYPERLINK("https://www.spark-marketing.ru/Card/Lot/72152468", "Уголок «L» образный")</f>
        <v>Уголок «L» образный</v>
      </c>
      <c r="G4215" s="22" t="s">
        <v>55</v>
      </c>
      <c r="H4215" s="22" t="s">
        <v>55</v>
      </c>
      <c r="I4215" s="26">
        <v>43663.498495370397</v>
      </c>
      <c r="J4215" s="28" t="s">
        <v>52</v>
      </c>
      <c r="K4215" s="28" t="s">
        <v>52</v>
      </c>
      <c r="L4215" s="28" t="s">
        <v>52</v>
      </c>
      <c r="M4215" s="28" t="s">
        <v>52</v>
      </c>
      <c r="N4215" s="28" t="s">
        <v>52</v>
      </c>
    </row>
    <row r="4216" spans="1:14" x14ac:dyDescent="0.15">
      <c r="A4216" s="23" t="str">
        <f>HYPERLINK("https://www.spark-marketing.ru/Card/Person/1781069", "ООО ""БУРГЕР РУС""")</f>
        <v>ООО "БУРГЕР РУС"</v>
      </c>
      <c r="B4216" s="24" t="s">
        <v>3106</v>
      </c>
      <c r="C4216" s="25">
        <v>0</v>
      </c>
      <c r="D4216" s="22" t="s">
        <v>6038</v>
      </c>
      <c r="E4216" s="22" t="s">
        <v>208</v>
      </c>
      <c r="F4216" s="23" t="str">
        <f>HYPERLINK("https://www.spark-marketing.ru/Card/Lot/72152451", "Камера Hikvision ds-2cd2142fwd-is_1")</f>
        <v>Камера Hikvision ds-2cd2142fwd-is_1</v>
      </c>
      <c r="G4216" s="22" t="s">
        <v>55</v>
      </c>
      <c r="H4216" s="22" t="s">
        <v>55</v>
      </c>
      <c r="I4216" s="26">
        <v>43663.498495370397</v>
      </c>
      <c r="J4216" s="28" t="s">
        <v>52</v>
      </c>
      <c r="K4216" s="28" t="s">
        <v>52</v>
      </c>
      <c r="L4216" s="28" t="s">
        <v>52</v>
      </c>
      <c r="M4216" s="28" t="s">
        <v>52</v>
      </c>
      <c r="N4216" s="28" t="s">
        <v>52</v>
      </c>
    </row>
    <row r="4217" spans="1:14" x14ac:dyDescent="0.15">
      <c r="A4217" s="23" t="str">
        <f>HYPERLINK("https://www.spark-marketing.ru/Card/Person/1781069", "ООО ""БУРГЕР РУС""")</f>
        <v>ООО "БУРГЕР РУС"</v>
      </c>
      <c r="B4217" s="24" t="s">
        <v>3106</v>
      </c>
      <c r="C4217" s="25">
        <v>0</v>
      </c>
      <c r="D4217" s="22" t="s">
        <v>6038</v>
      </c>
      <c r="E4217" s="22" t="s">
        <v>208</v>
      </c>
      <c r="F4217" s="23" t="str">
        <f>HYPERLINK("https://www.spark-marketing.ru/Card/Lot/72152466", "ЭМЗ Шериф-1 лайт (НО-К)")</f>
        <v>ЭМЗ Шериф-1 лайт (НО-К)</v>
      </c>
      <c r="G4217" s="22" t="s">
        <v>55</v>
      </c>
      <c r="H4217" s="22" t="s">
        <v>55</v>
      </c>
      <c r="I4217" s="26">
        <v>43663.498495370397</v>
      </c>
      <c r="J4217" s="28" t="s">
        <v>52</v>
      </c>
      <c r="K4217" s="28" t="s">
        <v>52</v>
      </c>
      <c r="L4217" s="28" t="s">
        <v>52</v>
      </c>
      <c r="M4217" s="28" t="s">
        <v>52</v>
      </c>
      <c r="N4217" s="28" t="s">
        <v>52</v>
      </c>
    </row>
    <row r="4218" spans="1:14" x14ac:dyDescent="0.15">
      <c r="A4218" s="23" t="str">
        <f>HYPERLINK("https://www.spark-marketing.ru/Card/Person/143522", "КЕМЕРОВСКАЯ ТАМОЖНЯ")</f>
        <v>КЕМЕРОВСКАЯ ТАМОЖНЯ</v>
      </c>
      <c r="B4218" s="24" t="s">
        <v>2841</v>
      </c>
      <c r="C4218" s="25">
        <v>150492.96</v>
      </c>
      <c r="D4218" s="22" t="s">
        <v>6042</v>
      </c>
      <c r="E4218" s="22" t="s">
        <v>68</v>
      </c>
      <c r="F4218" s="23" t="str">
        <f>HYPERLINK("https://www.spark-marketing.ru/Card/Lot/72148812", "Охрана объектов Кемеровской таможни")</f>
        <v>Охрана объектов Кемеровской таможни</v>
      </c>
      <c r="G4218" s="22" t="s">
        <v>367</v>
      </c>
      <c r="H4218" s="22" t="s">
        <v>881</v>
      </c>
      <c r="I4218" s="26">
        <v>43663.490162037</v>
      </c>
      <c r="J4218" s="28" t="s">
        <v>52</v>
      </c>
      <c r="K4218" s="28" t="s">
        <v>52</v>
      </c>
      <c r="L4218" s="28" t="s">
        <v>52</v>
      </c>
      <c r="M4218" s="28" t="s">
        <v>52</v>
      </c>
      <c r="N4218" s="28" t="s">
        <v>52</v>
      </c>
    </row>
    <row r="4219" spans="1:14" hidden="1" outlineLevel="1" x14ac:dyDescent="0.2">
      <c r="A4219" s="23" t="str">
        <f>HYPERLINK("https://www.spark-marketing.ru/Card/Person/143522", "КЕМЕРОВСКАЯ ТАМОЖНЯ")</f>
        <v>КЕМЕРОВСКАЯ ТАМОЖНЯ</v>
      </c>
      <c r="B4219" s="24" t="s">
        <v>2841</v>
      </c>
      <c r="C4219" s="25">
        <v>150492.96</v>
      </c>
      <c r="D4219" s="22" t="s">
        <v>6042</v>
      </c>
      <c r="E4219" s="22" t="s">
        <v>68</v>
      </c>
      <c r="F4219" s="23" t="str">
        <f>HYPERLINK("https://www.spark-marketing.ru/Card/Lot/72148812", "Охрана объектов Кемеровской таможни")</f>
        <v>Охрана объектов Кемеровской таможни</v>
      </c>
      <c r="G4219" s="22" t="s">
        <v>367</v>
      </c>
      <c r="H4219" s="22" t="s">
        <v>881</v>
      </c>
      <c r="I4219" s="26">
        <v>43663.490162037</v>
      </c>
      <c r="J4219" s="23" t="str">
        <f>HYPERLINK("https://www.spark-marketing.ru/Card/Person/4536004", "ФЛ ФГУП ""ОХРАНА"" РОСГВАРДИИ ПО КЕМЕРОВСКОЙ ОБЛАСТИ")</f>
        <v>ФЛ ФГУП "ОХРАНА" РОСГВАРДИИ ПО КЕМЕРОВСКОЙ ОБЛАСТИ</v>
      </c>
      <c r="K4219" s="24" t="s">
        <v>779</v>
      </c>
      <c r="L4219" s="28" t="s">
        <v>52</v>
      </c>
      <c r="M4219" s="25">
        <v>142968.35999999999</v>
      </c>
      <c r="N4219" s="27">
        <v>4.9999681048203182E-2</v>
      </c>
    </row>
    <row r="4220" spans="1:14" ht="12.75" hidden="1" outlineLevel="1" x14ac:dyDescent="0.2">
      <c r="A4220" s="23" t="str">
        <f>HYPERLINK("https://www.spark-marketing.ru/Card/Person/143522", "КЕМЕРОВСКАЯ ТАМОЖНЯ")</f>
        <v>КЕМЕРОВСКАЯ ТАМОЖНЯ</v>
      </c>
      <c r="B4220" s="24" t="s">
        <v>2841</v>
      </c>
      <c r="C4220" s="25">
        <v>150492.96</v>
      </c>
      <c r="D4220" s="22" t="s">
        <v>6042</v>
      </c>
      <c r="E4220" s="22" t="s">
        <v>68</v>
      </c>
      <c r="F4220" s="23" t="str">
        <f>HYPERLINK("https://www.spark-marketing.ru/Card/Lot/72148812", "Охрана объектов Кемеровской таможни")</f>
        <v>Охрана объектов Кемеровской таможни</v>
      </c>
      <c r="G4220" s="22" t="s">
        <v>367</v>
      </c>
      <c r="H4220" s="22" t="s">
        <v>881</v>
      </c>
      <c r="I4220" s="26">
        <v>43663.490162037</v>
      </c>
      <c r="J4220" s="23" t="str">
        <f>HYPERLINK("https://www.spark-marketing.ru/Card/Person/2151557", "КУЗБАССКИЙ ОТРЯД ВО ФИЛИАЛА ФГП ВО ЖДТ РОССИИ")</f>
        <v>КУЗБАССКИЙ ОТРЯД ВО ФИЛИАЛА ФГП ВО ЖДТ РОССИИ</v>
      </c>
      <c r="K4220" s="24" t="s">
        <v>1269</v>
      </c>
      <c r="L4220" s="22" t="s">
        <v>10</v>
      </c>
      <c r="M4220" s="25">
        <v>142215.9</v>
      </c>
      <c r="N4220" s="27">
        <v>5.4999649153023501E-2</v>
      </c>
    </row>
    <row r="4221" spans="1:14" x14ac:dyDescent="0.15">
      <c r="A4221" s="23" t="str">
        <f>HYPERLINK("https://www.spark-marketing.ru/Card/Person/1781069", "ООО ""БУРГЕР РУС""")</f>
        <v>ООО "БУРГЕР РУС"</v>
      </c>
      <c r="B4221" s="24" t="s">
        <v>3106</v>
      </c>
      <c r="C4221" s="25">
        <v>0</v>
      </c>
      <c r="D4221" s="22" t="s">
        <v>6038</v>
      </c>
      <c r="E4221" s="22" t="s">
        <v>208</v>
      </c>
      <c r="F4221" s="23" t="str">
        <f>HYPERLINK("https://www.spark-marketing.ru/Card/Lot/72152459", "Установка и настройка камеры (включая прокидывание витой пары и маркировка)")</f>
        <v>Установка и настройка камеры (включая прокидывание витой пары и маркировка)</v>
      </c>
      <c r="G4221" s="22" t="s">
        <v>55</v>
      </c>
      <c r="H4221" s="22" t="s">
        <v>55</v>
      </c>
      <c r="I4221" s="26">
        <v>43663.498495370397</v>
      </c>
      <c r="J4221" s="28" t="s">
        <v>52</v>
      </c>
      <c r="K4221" s="28" t="s">
        <v>52</v>
      </c>
      <c r="L4221" s="28" t="s">
        <v>52</v>
      </c>
      <c r="M4221" s="28" t="s">
        <v>52</v>
      </c>
      <c r="N4221" s="28" t="s">
        <v>52</v>
      </c>
    </row>
    <row r="4222" spans="1:14" x14ac:dyDescent="0.15">
      <c r="A4222" s="23" t="str">
        <f>HYPERLINK("https://www.spark-marketing.ru/Card/Person/1781069", "ООО ""БУРГЕР РУС""")</f>
        <v>ООО "БУРГЕР РУС"</v>
      </c>
      <c r="B4222" s="24" t="s">
        <v>3106</v>
      </c>
      <c r="C4222" s="25">
        <v>0</v>
      </c>
      <c r="D4222" s="22" t="s">
        <v>6038</v>
      </c>
      <c r="E4222" s="22" t="s">
        <v>208</v>
      </c>
      <c r="F4222" s="23" t="str">
        <f>HYPERLINK("https://www.spark-marketing.ru/Card/Lot/72152467", "Блок питания БП-1А")</f>
        <v>Блок питания БП-1А</v>
      </c>
      <c r="G4222" s="22" t="s">
        <v>55</v>
      </c>
      <c r="H4222" s="22" t="s">
        <v>55</v>
      </c>
      <c r="I4222" s="26">
        <v>43663.498495370397</v>
      </c>
      <c r="J4222" s="28" t="s">
        <v>52</v>
      </c>
      <c r="K4222" s="28" t="s">
        <v>52</v>
      </c>
      <c r="L4222" s="28" t="s">
        <v>52</v>
      </c>
      <c r="M4222" s="28" t="s">
        <v>52</v>
      </c>
      <c r="N4222" s="28" t="s">
        <v>52</v>
      </c>
    </row>
    <row r="4223" spans="1:14" x14ac:dyDescent="0.15">
      <c r="A4223" s="23" t="str">
        <f>HYPERLINK("https://www.spark-marketing.ru/Card/Person/1781069", "ООО ""БУРГЕР РУС""")</f>
        <v>ООО "БУРГЕР РУС"</v>
      </c>
      <c r="B4223" s="24" t="s">
        <v>3106</v>
      </c>
      <c r="C4223" s="25">
        <v>0</v>
      </c>
      <c r="D4223" s="22" t="s">
        <v>6038</v>
      </c>
      <c r="E4223" s="22" t="s">
        <v>208</v>
      </c>
      <c r="F4223" s="23" t="str">
        <f>HYPERLINK("https://www.spark-marketing.ru/Card/Lot/72152455", "Сервер TRASSIR_MiniNVR_16_2_32_passport_E10 на 32 камеры")</f>
        <v>Сервер TRASSIR_MiniNVR_16_2_32_passport_E10 на 32 камеры</v>
      </c>
      <c r="G4223" s="22" t="s">
        <v>55</v>
      </c>
      <c r="H4223" s="22" t="s">
        <v>55</v>
      </c>
      <c r="I4223" s="26">
        <v>43663.498495370397</v>
      </c>
      <c r="J4223" s="28" t="s">
        <v>52</v>
      </c>
      <c r="K4223" s="28" t="s">
        <v>52</v>
      </c>
      <c r="L4223" s="28" t="s">
        <v>52</v>
      </c>
      <c r="M4223" s="28" t="s">
        <v>52</v>
      </c>
      <c r="N4223" s="28" t="s">
        <v>52</v>
      </c>
    </row>
    <row r="4224" spans="1:14" x14ac:dyDescent="0.15">
      <c r="A4224" s="23" t="str">
        <f>HYPERLINK("https://www.spark-marketing.ru/Card/Person/12134", "ФКУ ""ЦХИСО ГУ МВД РОССИИ ПО КРАСНОЯРСКОМУ КРАЮ""")</f>
        <v>ФКУ "ЦХИСО ГУ МВД РОССИИ ПО КРАСНОЯРСКОМУ КРАЮ"</v>
      </c>
      <c r="B4224" s="24" t="s">
        <v>1522</v>
      </c>
      <c r="C4224" s="25">
        <v>49973.04</v>
      </c>
      <c r="D4224" s="22" t="s">
        <v>6043</v>
      </c>
      <c r="E4224" s="22" t="s">
        <v>53</v>
      </c>
      <c r="F4224" s="23" t="str">
        <f>HYPERLINK("https://www.spark-marketing.ru/Card/Lot/72146931", "Оказание услуг по техническому обслуживанию автоматических систем противопожарной защиты и охранной сигнализации")</f>
        <v>Оказание услуг по техническому обслуживанию автоматических систем противопожарной защиты и охранной сигнализации</v>
      </c>
      <c r="G4224" s="22" t="s">
        <v>640</v>
      </c>
      <c r="H4224" s="22" t="s">
        <v>1524</v>
      </c>
      <c r="I4224" s="26">
        <v>43663.4992824074</v>
      </c>
      <c r="J4224" s="28" t="s">
        <v>52</v>
      </c>
      <c r="K4224" s="28" t="s">
        <v>52</v>
      </c>
      <c r="L4224" s="28" t="s">
        <v>52</v>
      </c>
      <c r="M4224" s="28" t="s">
        <v>52</v>
      </c>
      <c r="N4224" s="28" t="s">
        <v>52</v>
      </c>
    </row>
    <row r="4225" spans="1:14" x14ac:dyDescent="0.15">
      <c r="A4225" s="23" t="str">
        <f>HYPERLINK("https://www.spark-marketing.ru/Card/Person/78998", "ФГКУ КОМБИНАТ ""ПАТРИОТ"" РОСРЕЗЕРВА")</f>
        <v>ФГКУ КОМБИНАТ "ПАТРИОТ" РОСРЕЗЕРВА</v>
      </c>
      <c r="B4225" s="24" t="s">
        <v>3279</v>
      </c>
      <c r="C4225" s="25">
        <v>70933.45</v>
      </c>
      <c r="D4225" s="22" t="s">
        <v>6044</v>
      </c>
      <c r="E4225" s="22" t="s">
        <v>6045</v>
      </c>
      <c r="F4225" s="23" t="str">
        <f>HYPERLINK("https://www.spark-marketing.ru/Card/Lot/72151544", "Поставка форменной одежды и кобуры пистолетной для сотрудников ведомственной охраны")</f>
        <v>Поставка форменной одежды и кобуры пистолетной для сотрудников ведомственной охраны</v>
      </c>
      <c r="G4225" s="22" t="s">
        <v>956</v>
      </c>
      <c r="H4225" s="22" t="s">
        <v>1451</v>
      </c>
      <c r="I4225" s="26">
        <v>43663.488506944399</v>
      </c>
      <c r="J4225" s="28" t="s">
        <v>52</v>
      </c>
      <c r="K4225" s="28" t="s">
        <v>52</v>
      </c>
      <c r="L4225" s="28" t="s">
        <v>52</v>
      </c>
      <c r="M4225" s="28" t="s">
        <v>52</v>
      </c>
      <c r="N4225" s="28" t="s">
        <v>52</v>
      </c>
    </row>
    <row r="4226" spans="1:14" ht="12.75" hidden="1" outlineLevel="1" x14ac:dyDescent="0.2">
      <c r="A4226" s="23" t="str">
        <f>HYPERLINK("https://www.spark-marketing.ru/Card/Person/78998", "ФГКУ КОМБИНАТ ""ПАТРИОТ"" РОСРЕЗЕРВА")</f>
        <v>ФГКУ КОМБИНАТ "ПАТРИОТ" РОСРЕЗЕРВА</v>
      </c>
      <c r="B4226" s="24" t="s">
        <v>3279</v>
      </c>
      <c r="C4226" s="25">
        <v>70933.45</v>
      </c>
      <c r="D4226" s="22" t="s">
        <v>6044</v>
      </c>
      <c r="E4226" s="22" t="s">
        <v>6045</v>
      </c>
      <c r="F4226" s="23" t="str">
        <f>HYPERLINK("https://www.spark-marketing.ru/Card/Lot/72151544", "Поставка форменной одежды и кобуры пистолетной для сотрудников ведомственной охраны")</f>
        <v>Поставка форменной одежды и кобуры пистолетной для сотрудников ведомственной охраны</v>
      </c>
      <c r="G4226" s="22" t="s">
        <v>956</v>
      </c>
      <c r="H4226" s="22" t="s">
        <v>1451</v>
      </c>
      <c r="I4226" s="26">
        <v>43663.488506944399</v>
      </c>
      <c r="J4226" s="23" t="str">
        <f>HYPERLINK("https://www.spark-marketing.ru/Card/Person/5786935", "ООО ТПК ""СНН-ОРЕЛ""")</f>
        <v>ООО ТПК "СНН-ОРЕЛ"</v>
      </c>
      <c r="K4226" s="24" t="s">
        <v>6046</v>
      </c>
      <c r="L4226" s="22" t="s">
        <v>10</v>
      </c>
      <c r="M4226" s="25">
        <v>54618.63</v>
      </c>
      <c r="N4226" s="27">
        <v>0.2300017833617285</v>
      </c>
    </row>
    <row r="4227" spans="1:14" hidden="1" outlineLevel="1" x14ac:dyDescent="0.2">
      <c r="A4227" s="23" t="str">
        <f>HYPERLINK("https://www.spark-marketing.ru/Card/Person/78998", "ФГКУ КОМБИНАТ ""ПАТРИОТ"" РОСРЕЗЕРВА")</f>
        <v>ФГКУ КОМБИНАТ "ПАТРИОТ" РОСРЕЗЕРВА</v>
      </c>
      <c r="B4227" s="24" t="s">
        <v>3279</v>
      </c>
      <c r="C4227" s="25">
        <v>70933.45</v>
      </c>
      <c r="D4227" s="22" t="s">
        <v>6044</v>
      </c>
      <c r="E4227" s="22" t="s">
        <v>6045</v>
      </c>
      <c r="F4227" s="23" t="str">
        <f>HYPERLINK("https://www.spark-marketing.ru/Card/Lot/72151544", "Поставка форменной одежды и кобуры пистолетной для сотрудников ведомственной охраны")</f>
        <v>Поставка форменной одежды и кобуры пистолетной для сотрудников ведомственной охраны</v>
      </c>
      <c r="G4227" s="22" t="s">
        <v>956</v>
      </c>
      <c r="H4227" s="22" t="s">
        <v>1451</v>
      </c>
      <c r="I4227" s="26">
        <v>43663.488506944399</v>
      </c>
      <c r="J4227" s="23" t="str">
        <f>HYPERLINK("https://www.spark-marketing.ru/Card/Person/5424", "ООО ""ЮНИКС""")</f>
        <v>ООО "ЮНИКС"</v>
      </c>
      <c r="K4227" s="24" t="s">
        <v>3283</v>
      </c>
      <c r="L4227" s="28" t="s">
        <v>52</v>
      </c>
      <c r="M4227" s="25">
        <v>54973.3</v>
      </c>
      <c r="N4227" s="27">
        <v>0.22500174459299527</v>
      </c>
    </row>
    <row r="4228" spans="1:14" hidden="1" outlineLevel="1" x14ac:dyDescent="0.2">
      <c r="A4228" s="23" t="str">
        <f>HYPERLINK("https://www.spark-marketing.ru/Card/Person/78998", "ФГКУ КОМБИНАТ ""ПАТРИОТ"" РОСРЕЗЕРВА")</f>
        <v>ФГКУ КОМБИНАТ "ПАТРИОТ" РОСРЕЗЕРВА</v>
      </c>
      <c r="B4228" s="24" t="s">
        <v>3279</v>
      </c>
      <c r="C4228" s="25">
        <v>70933.45</v>
      </c>
      <c r="D4228" s="22" t="s">
        <v>6044</v>
      </c>
      <c r="E4228" s="22" t="s">
        <v>6045</v>
      </c>
      <c r="F4228" s="23" t="str">
        <f>HYPERLINK("https://www.spark-marketing.ru/Card/Lot/72151544", "Поставка форменной одежды и кобуры пистолетной для сотрудников ведомственной охраны")</f>
        <v>Поставка форменной одежды и кобуры пистолетной для сотрудников ведомственной охраны</v>
      </c>
      <c r="G4228" s="22" t="s">
        <v>956</v>
      </c>
      <c r="H4228" s="22" t="s">
        <v>1451</v>
      </c>
      <c r="I4228" s="26">
        <v>43663.488506944399</v>
      </c>
      <c r="J4228" s="23" t="str">
        <f>HYPERLINK("https://www.spark-marketing.ru/Card/Person/460874", "ООО ""ОКРУГ""")</f>
        <v>ООО "ОКРУГ"</v>
      </c>
      <c r="K4228" s="24" t="s">
        <v>6047</v>
      </c>
      <c r="L4228" s="28" t="s">
        <v>52</v>
      </c>
      <c r="M4228" s="25">
        <v>68450.759999999995</v>
      </c>
      <c r="N4228" s="27">
        <v>3.5000271381132597E-2</v>
      </c>
    </row>
    <row r="4229" spans="1:14" hidden="1" outlineLevel="1" x14ac:dyDescent="0.2">
      <c r="A4229" s="23" t="str">
        <f>HYPERLINK("https://www.spark-marketing.ru/Card/Person/78998", "ФГКУ КОМБИНАТ ""ПАТРИОТ"" РОСРЕЗЕРВА")</f>
        <v>ФГКУ КОМБИНАТ "ПАТРИОТ" РОСРЕЗЕРВА</v>
      </c>
      <c r="B4229" s="24" t="s">
        <v>3279</v>
      </c>
      <c r="C4229" s="25">
        <v>70933.45</v>
      </c>
      <c r="D4229" s="22" t="s">
        <v>6044</v>
      </c>
      <c r="E4229" s="22" t="s">
        <v>6045</v>
      </c>
      <c r="F4229" s="23" t="str">
        <f>HYPERLINK("https://www.spark-marketing.ru/Card/Lot/72151544", "Поставка форменной одежды и кобуры пистолетной для сотрудников ведомственной охраны")</f>
        <v>Поставка форменной одежды и кобуры пистолетной для сотрудников ведомственной охраны</v>
      </c>
      <c r="G4229" s="22" t="s">
        <v>956</v>
      </c>
      <c r="H4229" s="22" t="s">
        <v>1451</v>
      </c>
      <c r="I4229" s="26">
        <v>43663.488506944399</v>
      </c>
      <c r="J4229" s="23" t="str">
        <f>HYPERLINK("https://www.spark-marketing.ru/Card/Person/6493571", "ООО ""АНТИГАН""")</f>
        <v>ООО "АНТИГАН"</v>
      </c>
      <c r="K4229" s="24" t="s">
        <v>6048</v>
      </c>
      <c r="L4229" s="28" t="s">
        <v>52</v>
      </c>
      <c r="M4229" s="25">
        <v>62066.7</v>
      </c>
      <c r="N4229" s="27">
        <v>0.1250009692183307</v>
      </c>
    </row>
    <row r="4230" spans="1:14" x14ac:dyDescent="0.15">
      <c r="A4230" s="23" t="str">
        <f>HYPERLINK("https://www.spark-marketing.ru/Card/Person/1781069", "ООО ""БУРГЕР РУС""")</f>
        <v>ООО "БУРГЕР РУС"</v>
      </c>
      <c r="B4230" s="24" t="s">
        <v>3106</v>
      </c>
      <c r="C4230" s="25">
        <v>0</v>
      </c>
      <c r="D4230" s="22" t="s">
        <v>6038</v>
      </c>
      <c r="E4230" s="22" t="s">
        <v>208</v>
      </c>
      <c r="F4230" s="23" t="str">
        <f>HYPERLINK("https://www.spark-marketing.ru/Card/Lot/72152463", "Техническая поддержка Видеонаблюдения за 1 ресторан")</f>
        <v>Техническая поддержка Видеонаблюдения за 1 ресторан</v>
      </c>
      <c r="G4230" s="22" t="s">
        <v>55</v>
      </c>
      <c r="H4230" s="22" t="s">
        <v>55</v>
      </c>
      <c r="I4230" s="26">
        <v>43663.498495370397</v>
      </c>
      <c r="J4230" s="28" t="s">
        <v>52</v>
      </c>
      <c r="K4230" s="28" t="s">
        <v>52</v>
      </c>
      <c r="L4230" s="28" t="s">
        <v>52</v>
      </c>
      <c r="M4230" s="28" t="s">
        <v>52</v>
      </c>
      <c r="N4230" s="28" t="s">
        <v>52</v>
      </c>
    </row>
    <row r="4231" spans="1:14" x14ac:dyDescent="0.15">
      <c r="A4231" s="23" t="str">
        <f>HYPERLINK("https://www.spark-marketing.ru/Card/Person/1781069", "ООО ""БУРГЕР РУС""")</f>
        <v>ООО "БУРГЕР РУС"</v>
      </c>
      <c r="B4231" s="24" t="s">
        <v>3106</v>
      </c>
      <c r="C4231" s="25">
        <v>0</v>
      </c>
      <c r="D4231" s="22" t="s">
        <v>6038</v>
      </c>
      <c r="E4231" s="22" t="s">
        <v>208</v>
      </c>
      <c r="F4231" s="23" t="str">
        <f>HYPERLINK("https://www.spark-marketing.ru/Card/Lot/72152464", "Кнопка выхода SB 1")</f>
        <v>Кнопка выхода SB 1</v>
      </c>
      <c r="G4231" s="22" t="s">
        <v>55</v>
      </c>
      <c r="H4231" s="22" t="s">
        <v>55</v>
      </c>
      <c r="I4231" s="26">
        <v>43663.498495370397</v>
      </c>
      <c r="J4231" s="28" t="s">
        <v>52</v>
      </c>
      <c r="K4231" s="28" t="s">
        <v>52</v>
      </c>
      <c r="L4231" s="28" t="s">
        <v>52</v>
      </c>
      <c r="M4231" s="28" t="s">
        <v>52</v>
      </c>
      <c r="N4231" s="28" t="s">
        <v>52</v>
      </c>
    </row>
    <row r="4232" spans="1:14" x14ac:dyDescent="0.2">
      <c r="A4232" s="23" t="str">
        <f>HYPERLINK("https://www.spark-marketing.ru/Card/Person/1027643", "МУ ДО ""ДМШ №2""")</f>
        <v>МУ ДО "ДМШ №2"</v>
      </c>
      <c r="B4232" s="24" t="s">
        <v>2425</v>
      </c>
      <c r="C4232" s="25">
        <v>199900</v>
      </c>
      <c r="D4232" s="22" t="s">
        <v>6049</v>
      </c>
      <c r="E4232" s="22" t="s">
        <v>691</v>
      </c>
      <c r="F4232" s="23" t="str">
        <f>HYPERLINK("https://www.spark-marketing.ru/Card/Lot/72166357", "Выполнение работ по установке системы видеонаблюдения в здании МУ ДО ""ДМШ № 2"" по адресу: Московская обл., Г.о. Подольск, г. Подольск, ул. Быковская, д. 10")</f>
        <v>Выполнение работ по установке системы видеонаблюдения в здании МУ ДО "ДМШ № 2" по адресу: Московская обл., Г.о. Подольск, г. Подольск, ул. Быковская, д. 10</v>
      </c>
      <c r="G4232" s="22" t="s">
        <v>50</v>
      </c>
      <c r="H4232" s="22" t="s">
        <v>50</v>
      </c>
      <c r="I4232" s="26">
        <v>43663.452928240702</v>
      </c>
      <c r="J4232" s="28" t="s">
        <v>52</v>
      </c>
      <c r="K4232" s="28" t="s">
        <v>52</v>
      </c>
      <c r="L4232" s="22" t="s">
        <v>10</v>
      </c>
      <c r="M4232" s="25">
        <v>196000</v>
      </c>
      <c r="N4232" s="27">
        <v>1.950975487743872E-2</v>
      </c>
    </row>
    <row r="4233" spans="1:14" x14ac:dyDescent="0.15">
      <c r="A4233" s="23" t="str">
        <f>HYPERLINK("https://www.spark-marketing.ru/Card/Person/1898335", "УФПС КУРГАНСКОЙ ОБЛ – ФЛ ФГУП ПОЧТА РОССИИ")</f>
        <v>УФПС КУРГАНСКОЙ ОБЛ – ФЛ ФГУП ПОЧТА РОССИИ</v>
      </c>
      <c r="B4233" s="24" t="s">
        <v>1424</v>
      </c>
      <c r="C4233" s="25">
        <v>499824</v>
      </c>
      <c r="D4233" s="22" t="s">
        <v>6050</v>
      </c>
      <c r="E4233" s="22" t="s">
        <v>53</v>
      </c>
      <c r="F4233" s="23" t="str">
        <f>HYPERLINK("https://www.spark-marketing.ru/Card/Lot/72146269", "Оказание услуг по техническому обслуживанию охранной и тревожной сигнализаций, системы видеонаблюдения и системы контроля и управления доступом на объектах УФПС Курганской области- филиала ФГУП ""Почта России"".")</f>
        <v>Оказание услуг по техническому обслуживанию охранной и тревожной сигнализаций, системы видеонаблюдения и системы контроля и управления доступом на объектах УФПС Курганской области- филиала ФГУП "Почта России".</v>
      </c>
      <c r="G4233" s="22" t="s">
        <v>626</v>
      </c>
      <c r="H4233" s="22" t="s">
        <v>626</v>
      </c>
      <c r="I4233" s="26">
        <v>43663.441666666702</v>
      </c>
      <c r="J4233" s="28" t="s">
        <v>52</v>
      </c>
      <c r="K4233" s="28" t="s">
        <v>52</v>
      </c>
      <c r="L4233" s="28" t="s">
        <v>52</v>
      </c>
      <c r="M4233" s="28" t="s">
        <v>52</v>
      </c>
      <c r="N4233" s="28" t="s">
        <v>52</v>
      </c>
    </row>
    <row r="4234" spans="1:14" x14ac:dyDescent="0.15">
      <c r="A4234" s="23" t="str">
        <f>HYPERLINK("https://www.spark-marketing.ru/Card/Person/940541", "ГУП ""СЕВЭЛЕКТРОАВТОТРАНС ИМ. А.С.КРУПОДЁРОВА""")</f>
        <v>ГУП "СЕВЭЛЕКТРОАВТОТРАНС ИМ. А.С.КРУПОДЁРОВА"</v>
      </c>
      <c r="B4234" s="24" t="s">
        <v>4562</v>
      </c>
      <c r="C4234" s="25">
        <v>2847480</v>
      </c>
      <c r="D4234" s="22" t="s">
        <v>6051</v>
      </c>
      <c r="E4234" s="22" t="s">
        <v>491</v>
      </c>
      <c r="F4234" s="23" t="str">
        <f>HYPERLINK("https://www.spark-marketing.ru/Card/Lot/72162231", "На оказание услуг по защите транспортных средств от актов незаконного вмешательства с привлечением подразделений транспортной безопасности")</f>
        <v>На оказание услуг по защите транспортных средств от актов незаконного вмешательства с привлечением подразделений транспортной безопасности</v>
      </c>
      <c r="G4234" s="22" t="s">
        <v>714</v>
      </c>
      <c r="H4234" s="22" t="s">
        <v>714</v>
      </c>
      <c r="I4234" s="26">
        <v>43663.447326388901</v>
      </c>
      <c r="J4234" s="23" t="str">
        <f>HYPERLINK("https://www.spark-marketing.ru/Card/Person/6489238", "ООО ПТБ ""ОРИОН""")</f>
        <v>ООО ПТБ "ОРИОН"</v>
      </c>
      <c r="K4234" s="24" t="s">
        <v>5118</v>
      </c>
      <c r="L4234" s="28" t="s">
        <v>52</v>
      </c>
      <c r="M4234" s="28" t="s">
        <v>52</v>
      </c>
      <c r="N4234" s="28" t="s">
        <v>52</v>
      </c>
    </row>
    <row r="4235" spans="1:14" ht="12.75" hidden="1" outlineLevel="1" x14ac:dyDescent="0.2">
      <c r="A4235" s="23" t="str">
        <f>HYPERLINK("https://www.spark-marketing.ru/Card/Person/940541", "ГУП ""СЕВЭЛЕКТРОАВТОТРАНС ИМ. А.С.КРУПОДЁРОВА""")</f>
        <v>ГУП "СЕВЭЛЕКТРОАВТОТРАНС ИМ. А.С.КРУПОДЁРОВА"</v>
      </c>
      <c r="B4235" s="24" t="s">
        <v>4562</v>
      </c>
      <c r="C4235" s="25">
        <v>2847480</v>
      </c>
      <c r="D4235" s="22" t="s">
        <v>6051</v>
      </c>
      <c r="E4235" s="22" t="s">
        <v>491</v>
      </c>
      <c r="F4235" s="23" t="str">
        <f>HYPERLINK("https://www.spark-marketing.ru/Card/Lot/72162231", "На оказание услуг по защите транспортных средств от актов незаконного вмешательства с привлечением подразделений транспортной безопасности")</f>
        <v>На оказание услуг по защите транспортных средств от актов незаконного вмешательства с привлечением подразделений транспортной безопасности</v>
      </c>
      <c r="G4235" s="22" t="s">
        <v>714</v>
      </c>
      <c r="H4235" s="22" t="s">
        <v>714</v>
      </c>
      <c r="I4235" s="26">
        <v>43663.447326388901</v>
      </c>
      <c r="J4235" s="23" t="str">
        <f>HYPERLINK("https://www.spark-marketing.ru/Card/Person/6489238", "ООО ПТБ ""ОРИОН""")</f>
        <v>ООО ПТБ "ОРИОН"</v>
      </c>
      <c r="K4235" s="24" t="s">
        <v>5118</v>
      </c>
      <c r="L4235" s="22" t="s">
        <v>10</v>
      </c>
      <c r="M4235" s="25">
        <v>2833242.6</v>
      </c>
      <c r="N4235" s="27">
        <v>5.0000000000000001E-3</v>
      </c>
    </row>
    <row r="4236" spans="1:14" x14ac:dyDescent="0.15">
      <c r="A4236" s="23" t="str">
        <f>HYPERLINK("https://www.spark-marketing.ru/Card/Person/4355245", "ГКУ ""КУРГАНАВТОДОР""")</f>
        <v>ГКУ "КУРГАНАВТОДОР"</v>
      </c>
      <c r="B4236" s="24" t="s">
        <v>6052</v>
      </c>
      <c r="C4236" s="25">
        <v>6699033</v>
      </c>
      <c r="D4236" s="22" t="s">
        <v>6053</v>
      </c>
      <c r="E4236" s="22" t="s">
        <v>52</v>
      </c>
      <c r="F4236" s="23" t="str">
        <f>HYPERLINK("https://www.spark-marketing.ru/Card/Lot/72157494", "оказание услуг по разработке планов обеспечения транспортной безопасности объектов транспортной инфраструктуры")</f>
        <v>оказание услуг по разработке планов обеспечения транспортной безопасности объектов транспортной инфраструктуры</v>
      </c>
      <c r="G4236" s="22" t="s">
        <v>626</v>
      </c>
      <c r="H4236" s="22" t="s">
        <v>1508</v>
      </c>
      <c r="I4236" s="26">
        <v>43663.436111111099</v>
      </c>
      <c r="J4236" s="28" t="s">
        <v>52</v>
      </c>
      <c r="K4236" s="28" t="s">
        <v>52</v>
      </c>
      <c r="L4236" s="28" t="s">
        <v>52</v>
      </c>
      <c r="M4236" s="28" t="s">
        <v>52</v>
      </c>
      <c r="N4236" s="28" t="s">
        <v>52</v>
      </c>
    </row>
    <row r="4237" spans="1:14" hidden="1" outlineLevel="1" x14ac:dyDescent="0.2">
      <c r="A4237" s="23" t="str">
        <f>HYPERLINK("https://www.spark-marketing.ru/Card/Person/4355245", "ГКУ ""КУРГАНАВТОДОР""")</f>
        <v>ГКУ "КУРГАНАВТОДОР"</v>
      </c>
      <c r="B4237" s="24" t="s">
        <v>6052</v>
      </c>
      <c r="C4237" s="25">
        <v>6699033</v>
      </c>
      <c r="D4237" s="22" t="s">
        <v>6053</v>
      </c>
      <c r="E4237" s="22" t="s">
        <v>52</v>
      </c>
      <c r="F4237" s="23" t="str">
        <f>HYPERLINK("https://www.spark-marketing.ru/Card/Lot/72157494", "оказание услуг по разработке планов обеспечения транспортной безопасности объектов транспортной инфраструктуры")</f>
        <v>оказание услуг по разработке планов обеспечения транспортной безопасности объектов транспортной инфраструктуры</v>
      </c>
      <c r="G4237" s="22" t="s">
        <v>626</v>
      </c>
      <c r="H4237" s="22" t="s">
        <v>1508</v>
      </c>
      <c r="I4237" s="26">
        <v>43663.436111111099</v>
      </c>
      <c r="J4237" s="23" t="str">
        <f>HYPERLINK("https://www.spark-marketing.ru/Card/Person/4361397", "ООО ""ТРАНСБЕЗСАМАРА""")</f>
        <v>ООО "ТРАНСБЕЗСАМАРА"</v>
      </c>
      <c r="K4237" s="24" t="s">
        <v>6054</v>
      </c>
      <c r="L4237" s="28" t="s">
        <v>52</v>
      </c>
      <c r="M4237" s="25">
        <v>6699033</v>
      </c>
      <c r="N4237" s="27">
        <v>0</v>
      </c>
    </row>
    <row r="4238" spans="1:14" hidden="1" outlineLevel="1" x14ac:dyDescent="0.2">
      <c r="A4238" s="23" t="str">
        <f>HYPERLINK("https://www.spark-marketing.ru/Card/Person/4355245", "ГКУ ""КУРГАНАВТОДОР""")</f>
        <v>ГКУ "КУРГАНАВТОДОР"</v>
      </c>
      <c r="B4238" s="24" t="s">
        <v>6052</v>
      </c>
      <c r="C4238" s="25">
        <v>6699033</v>
      </c>
      <c r="D4238" s="22" t="s">
        <v>6053</v>
      </c>
      <c r="E4238" s="22" t="s">
        <v>52</v>
      </c>
      <c r="F4238" s="23" t="str">
        <f>HYPERLINK("https://www.spark-marketing.ru/Card/Lot/72157494", "оказание услуг по разработке планов обеспечения транспортной безопасности объектов транспортной инфраструктуры")</f>
        <v>оказание услуг по разработке планов обеспечения транспортной безопасности объектов транспортной инфраструктуры</v>
      </c>
      <c r="G4238" s="22" t="s">
        <v>626</v>
      </c>
      <c r="H4238" s="22" t="s">
        <v>1508</v>
      </c>
      <c r="I4238" s="26">
        <v>43663.436111111099</v>
      </c>
      <c r="J4238" s="23" t="str">
        <f>HYPERLINK("https://www.spark-marketing.ru/Card/Person/2003773", "ООО ""СЗИТЦ""")</f>
        <v>ООО "СЗИТЦ"</v>
      </c>
      <c r="K4238" s="24" t="s">
        <v>6055</v>
      </c>
      <c r="L4238" s="28" t="s">
        <v>52</v>
      </c>
      <c r="M4238" s="25">
        <v>6699000</v>
      </c>
      <c r="N4238" s="27">
        <v>4.9260841079600595E-6</v>
      </c>
    </row>
    <row r="4239" spans="1:14" ht="12.75" hidden="1" outlineLevel="1" x14ac:dyDescent="0.2">
      <c r="A4239" s="23" t="str">
        <f>HYPERLINK("https://www.spark-marketing.ru/Card/Person/4355245", "ГКУ ""КУРГАНАВТОДОР""")</f>
        <v>ГКУ "КУРГАНАВТОДОР"</v>
      </c>
      <c r="B4239" s="24" t="s">
        <v>6052</v>
      </c>
      <c r="C4239" s="25">
        <v>6699033</v>
      </c>
      <c r="D4239" s="22" t="s">
        <v>6053</v>
      </c>
      <c r="E4239" s="22" t="s">
        <v>52</v>
      </c>
      <c r="F4239" s="23" t="str">
        <f>HYPERLINK("https://www.spark-marketing.ru/Card/Lot/72157494", "оказание услуг по разработке планов обеспечения транспортной безопасности объектов транспортной инфраструктуры")</f>
        <v>оказание услуг по разработке планов обеспечения транспортной безопасности объектов транспортной инфраструктуры</v>
      </c>
      <c r="G4239" s="22" t="s">
        <v>626</v>
      </c>
      <c r="H4239" s="22" t="s">
        <v>1508</v>
      </c>
      <c r="I4239" s="26">
        <v>43663.436111111099</v>
      </c>
      <c r="J4239" s="23" t="str">
        <f>HYPERLINK("https://www.spark-marketing.ru/Card/Person/2038990", "ООО ""СТБ""")</f>
        <v>ООО "СТБ"</v>
      </c>
      <c r="K4239" s="24" t="s">
        <v>2244</v>
      </c>
      <c r="L4239" s="22" t="s">
        <v>10</v>
      </c>
      <c r="M4239" s="25">
        <v>6699000</v>
      </c>
      <c r="N4239" s="27">
        <v>4.9260841079600595E-6</v>
      </c>
    </row>
    <row r="4240" spans="1:14" hidden="1" outlineLevel="1" x14ac:dyDescent="0.2">
      <c r="A4240" s="23" t="str">
        <f>HYPERLINK("https://www.spark-marketing.ru/Card/Person/4355245", "ГКУ ""КУРГАНАВТОДОР""")</f>
        <v>ГКУ "КУРГАНАВТОДОР"</v>
      </c>
      <c r="B4240" s="24" t="s">
        <v>6052</v>
      </c>
      <c r="C4240" s="25">
        <v>6699033</v>
      </c>
      <c r="D4240" s="22" t="s">
        <v>6053</v>
      </c>
      <c r="E4240" s="22" t="s">
        <v>52</v>
      </c>
      <c r="F4240" s="23" t="str">
        <f>HYPERLINK("https://www.spark-marketing.ru/Card/Lot/72157494", "оказание услуг по разработке планов обеспечения транспортной безопасности объектов транспортной инфраструктуры")</f>
        <v>оказание услуг по разработке планов обеспечения транспортной безопасности объектов транспортной инфраструктуры</v>
      </c>
      <c r="G4240" s="22" t="s">
        <v>626</v>
      </c>
      <c r="H4240" s="22" t="s">
        <v>1508</v>
      </c>
      <c r="I4240" s="26">
        <v>43663.436111111099</v>
      </c>
      <c r="J4240" s="23" t="str">
        <f>HYPERLINK("https://www.spark-marketing.ru/Card/Person/6110146", "ООО ""ИЦ ТЕХНОБЕЗОПАСНОСТЬ""")</f>
        <v>ООО "ИЦ ТЕХНОБЕЗОПАСНОСТЬ"</v>
      </c>
      <c r="K4240" s="24" t="s">
        <v>2240</v>
      </c>
      <c r="L4240" s="28" t="s">
        <v>52</v>
      </c>
      <c r="M4240" s="25">
        <v>3900000</v>
      </c>
      <c r="N4240" s="27">
        <v>0.41782642360472028</v>
      </c>
    </row>
    <row r="4241" spans="1:14" x14ac:dyDescent="0.15">
      <c r="A4241" s="23" t="str">
        <f>HYPERLINK("https://www.spark-marketing.ru/Card/Person/74408", "ФБУЗ ""ЦЕНТР ГИГИЕНЫ И ЭПИДЕМИОЛОГИИ В ИРКУТСКОЙ ОБЛАСТИ""")</f>
        <v>ФБУЗ "ЦЕНТР ГИГИЕНЫ И ЭПИДЕМИОЛОГИИ В ИРКУТСКОЙ ОБЛАСТИ"</v>
      </c>
      <c r="B4241" s="24" t="s">
        <v>6056</v>
      </c>
      <c r="C4241" s="25">
        <v>575720</v>
      </c>
      <c r="D4241" s="22" t="s">
        <v>6057</v>
      </c>
      <c r="E4241" s="22" t="s">
        <v>6058</v>
      </c>
      <c r="F4241" s="23" t="str">
        <f>HYPERLINK("https://www.spark-marketing.ru/Card/Lot/72166901", "Оказание услуг по охране объектов с помощью технических средств охранной сигнализации (радиоохрана) для нужд Восточно-Сибирского Дорожного филиала по железнодорожному транспорту ФБУЗ «Центр гигиены и эпидемиологии в Иркутской области»")</f>
        <v>Оказание услуг по охране объектов с помощью технических средств охранной сигнализации (радиоохрана) для нужд Восточно-Сибирского Дорожного филиала по железнодорожному транспорту ФБУЗ «Центр гигиены и эпидемиологии в Иркутской области»</v>
      </c>
      <c r="G4241" s="22" t="s">
        <v>281</v>
      </c>
      <c r="H4241" s="22" t="s">
        <v>281</v>
      </c>
      <c r="I4241" s="26">
        <v>43663.428356481498</v>
      </c>
      <c r="J4241" s="28" t="s">
        <v>52</v>
      </c>
      <c r="K4241" s="28" t="s">
        <v>52</v>
      </c>
      <c r="L4241" s="28" t="s">
        <v>52</v>
      </c>
      <c r="M4241" s="28" t="s">
        <v>52</v>
      </c>
      <c r="N4241" s="28" t="s">
        <v>52</v>
      </c>
    </row>
    <row r="4242" spans="1:14" x14ac:dyDescent="0.15">
      <c r="A4242" s="23" t="str">
        <f>HYPERLINK("https://www.spark-marketing.ru/Card/Person/1051135", "МБУ ГДК Г. ГУКОВО")</f>
        <v>МБУ ГДК Г. ГУКОВО</v>
      </c>
      <c r="B4242" s="24" t="s">
        <v>6059</v>
      </c>
      <c r="C4242" s="25">
        <v>28082</v>
      </c>
      <c r="D4242" s="22" t="s">
        <v>6060</v>
      </c>
      <c r="E4242" s="22" t="s">
        <v>59</v>
      </c>
      <c r="F4242" s="23" t="str">
        <f>HYPERLINK("https://www.spark-marketing.ru/Card/Lot/72142657", "выполнение работ по дополнительной установке блока системы видеонаблюдения")</f>
        <v>выполнение работ по дополнительной установке блока системы видеонаблюдения</v>
      </c>
      <c r="G4242" s="22" t="s">
        <v>402</v>
      </c>
      <c r="H4242" s="22" t="s">
        <v>6061</v>
      </c>
      <c r="I4242" s="26">
        <v>43663.380555555603</v>
      </c>
      <c r="J4242" s="28" t="s">
        <v>52</v>
      </c>
      <c r="K4242" s="28" t="s">
        <v>52</v>
      </c>
      <c r="L4242" s="28" t="s">
        <v>52</v>
      </c>
      <c r="M4242" s="28" t="s">
        <v>52</v>
      </c>
      <c r="N4242" s="28" t="s">
        <v>52</v>
      </c>
    </row>
    <row r="4243" spans="1:14" x14ac:dyDescent="0.15">
      <c r="A4243" s="23" t="str">
        <f t="shared" ref="A4243:A4250" si="184">HYPERLINK("https://www.spark-marketing.ru/Card/Person/4351400", "ГБПОУ СО ""БОГДАНОВИЧСКИЙ ПОЛИТЕХНИКУМ""")</f>
        <v>ГБПОУ СО "БОГДАНОВИЧСКИЙ ПОЛИТЕХНИКУМ"</v>
      </c>
      <c r="B4243" s="24" t="s">
        <v>6062</v>
      </c>
      <c r="C4243" s="25">
        <v>889821.97</v>
      </c>
      <c r="D4243" s="22" t="s">
        <v>6063</v>
      </c>
      <c r="E4243" s="22" t="s">
        <v>84</v>
      </c>
      <c r="F4243" s="23" t="str">
        <f t="shared" ref="F4243:F4250" si="185">HYPERLINK("https://www.spark-marketing.ru/Card/Lot/72172078", "Оказание услуг по установке видеонаблюдения")</f>
        <v>Оказание услуг по установке видеонаблюдения</v>
      </c>
      <c r="G4243" s="22" t="s">
        <v>72</v>
      </c>
      <c r="H4243" s="22" t="s">
        <v>6064</v>
      </c>
      <c r="I4243" s="26">
        <v>43663.413020833301</v>
      </c>
      <c r="J4243" s="28" t="s">
        <v>52</v>
      </c>
      <c r="K4243" s="28" t="s">
        <v>52</v>
      </c>
      <c r="L4243" s="28" t="s">
        <v>52</v>
      </c>
      <c r="M4243" s="28" t="s">
        <v>52</v>
      </c>
      <c r="N4243" s="28" t="s">
        <v>52</v>
      </c>
    </row>
    <row r="4244" spans="1:14" hidden="1" outlineLevel="1" x14ac:dyDescent="0.2">
      <c r="A4244" s="23" t="str">
        <f t="shared" si="184"/>
        <v>ГБПОУ СО "БОГДАНОВИЧСКИЙ ПОЛИТЕХНИКУМ"</v>
      </c>
      <c r="B4244" s="24" t="s">
        <v>6062</v>
      </c>
      <c r="C4244" s="25">
        <v>889821.97</v>
      </c>
      <c r="D4244" s="22" t="s">
        <v>6063</v>
      </c>
      <c r="E4244" s="22" t="s">
        <v>84</v>
      </c>
      <c r="F4244" s="23" t="str">
        <f t="shared" si="185"/>
        <v>Оказание услуг по установке видеонаблюдения</v>
      </c>
      <c r="G4244" s="22" t="s">
        <v>72</v>
      </c>
      <c r="H4244" s="22" t="s">
        <v>6064</v>
      </c>
      <c r="I4244" s="26">
        <v>43663.413020833301</v>
      </c>
      <c r="J4244" s="23" t="str">
        <f>HYPERLINK("https://www.spark-marketing.ru/Card/Person/802084", "ООО ""ГЕФЕСТ""")</f>
        <v>ООО "ГЕФЕСТ"</v>
      </c>
      <c r="K4244" s="24" t="s">
        <v>3414</v>
      </c>
      <c r="L4244" s="28" t="s">
        <v>52</v>
      </c>
      <c r="M4244" s="25">
        <v>594000</v>
      </c>
      <c r="N4244" s="27">
        <v>0.33245073730872254</v>
      </c>
    </row>
    <row r="4245" spans="1:14" hidden="1" outlineLevel="1" x14ac:dyDescent="0.2">
      <c r="A4245" s="23" t="str">
        <f t="shared" si="184"/>
        <v>ГБПОУ СО "БОГДАНОВИЧСКИЙ ПОЛИТЕХНИКУМ"</v>
      </c>
      <c r="B4245" s="24" t="s">
        <v>6062</v>
      </c>
      <c r="C4245" s="25">
        <v>889821.97</v>
      </c>
      <c r="D4245" s="22" t="s">
        <v>6063</v>
      </c>
      <c r="E4245" s="22" t="s">
        <v>84</v>
      </c>
      <c r="F4245" s="23" t="str">
        <f t="shared" si="185"/>
        <v>Оказание услуг по установке видеонаблюдения</v>
      </c>
      <c r="G4245" s="22" t="s">
        <v>72</v>
      </c>
      <c r="H4245" s="22" t="s">
        <v>6064</v>
      </c>
      <c r="I4245" s="26">
        <v>43663.413020833301</v>
      </c>
      <c r="J4245" s="23" t="str">
        <f>HYPERLINK("https://www.spark-marketing.ru/Card/Person/2584937", "ООО ""ОТК""")</f>
        <v>ООО "ОТК"</v>
      </c>
      <c r="K4245" s="24" t="s">
        <v>5684</v>
      </c>
      <c r="L4245" s="28" t="s">
        <v>52</v>
      </c>
      <c r="M4245" s="25">
        <v>823085.32</v>
      </c>
      <c r="N4245" s="27">
        <v>7.5000002528595691E-2</v>
      </c>
    </row>
    <row r="4246" spans="1:14" hidden="1" outlineLevel="1" x14ac:dyDescent="0.2">
      <c r="A4246" s="23" t="str">
        <f t="shared" si="184"/>
        <v>ГБПОУ СО "БОГДАНОВИЧСКИЙ ПОЛИТЕХНИКУМ"</v>
      </c>
      <c r="B4246" s="24" t="s">
        <v>6062</v>
      </c>
      <c r="C4246" s="25">
        <v>889821.97</v>
      </c>
      <c r="D4246" s="22" t="s">
        <v>6063</v>
      </c>
      <c r="E4246" s="22" t="s">
        <v>84</v>
      </c>
      <c r="F4246" s="23" t="str">
        <f t="shared" si="185"/>
        <v>Оказание услуг по установке видеонаблюдения</v>
      </c>
      <c r="G4246" s="22" t="s">
        <v>72</v>
      </c>
      <c r="H4246" s="22" t="s">
        <v>6064</v>
      </c>
      <c r="I4246" s="26">
        <v>43663.413020833301</v>
      </c>
      <c r="J4246" s="23" t="str">
        <f>HYPERLINK("https://www.spark-marketing.ru/Card/Person/6473031", "ОБЩЕСТВО С ОГРАНИЧЕННОЙ ОТВЕТСТВЕННОСТЬЮ КРОНОС")</f>
        <v>ОБЩЕСТВО С ОГРАНИЧЕННОЙ ОТВЕТСТВЕННОСТЬЮ КРОНОС</v>
      </c>
      <c r="K4246" s="24" t="s">
        <v>6065</v>
      </c>
      <c r="L4246" s="28" t="s">
        <v>52</v>
      </c>
      <c r="M4246" s="25">
        <v>603305.34</v>
      </c>
      <c r="N4246" s="27">
        <v>0.32199320724796221</v>
      </c>
    </row>
    <row r="4247" spans="1:14" hidden="1" outlineLevel="1" x14ac:dyDescent="0.2">
      <c r="A4247" s="23" t="str">
        <f t="shared" si="184"/>
        <v>ГБПОУ СО "БОГДАНОВИЧСКИЙ ПОЛИТЕХНИКУМ"</v>
      </c>
      <c r="B4247" s="24" t="s">
        <v>6062</v>
      </c>
      <c r="C4247" s="25">
        <v>889821.97</v>
      </c>
      <c r="D4247" s="22" t="s">
        <v>6063</v>
      </c>
      <c r="E4247" s="22" t="s">
        <v>84</v>
      </c>
      <c r="F4247" s="23" t="str">
        <f t="shared" si="185"/>
        <v>Оказание услуг по установке видеонаблюдения</v>
      </c>
      <c r="G4247" s="22" t="s">
        <v>72</v>
      </c>
      <c r="H4247" s="22" t="s">
        <v>6064</v>
      </c>
      <c r="I4247" s="26">
        <v>43663.413020833301</v>
      </c>
      <c r="J4247" s="23" t="str">
        <f>HYPERLINK("https://www.spark-marketing.ru/Card/Person/803106", "Лунегов Алексей Евгеньевич")</f>
        <v>Лунегов Алексей Евгеньевич</v>
      </c>
      <c r="K4247" s="24" t="s">
        <v>2506</v>
      </c>
      <c r="L4247" s="28" t="s">
        <v>52</v>
      </c>
      <c r="M4247" s="25">
        <v>512203.56</v>
      </c>
      <c r="N4247" s="27">
        <v>0.42437523766692342</v>
      </c>
    </row>
    <row r="4248" spans="1:14" ht="12.75" hidden="1" outlineLevel="1" x14ac:dyDescent="0.2">
      <c r="A4248" s="23" t="str">
        <f t="shared" si="184"/>
        <v>ГБПОУ СО "БОГДАНОВИЧСКИЙ ПОЛИТЕХНИКУМ"</v>
      </c>
      <c r="B4248" s="24" t="s">
        <v>6062</v>
      </c>
      <c r="C4248" s="25">
        <v>889821.97</v>
      </c>
      <c r="D4248" s="22" t="s">
        <v>6063</v>
      </c>
      <c r="E4248" s="22" t="s">
        <v>84</v>
      </c>
      <c r="F4248" s="23" t="str">
        <f t="shared" si="185"/>
        <v>Оказание услуг по установке видеонаблюдения</v>
      </c>
      <c r="G4248" s="22" t="s">
        <v>72</v>
      </c>
      <c r="H4248" s="22" t="s">
        <v>6064</v>
      </c>
      <c r="I4248" s="26">
        <v>43663.413020833301</v>
      </c>
      <c r="J4248" s="23" t="str">
        <f>HYPERLINK("https://www.spark-marketing.ru/Card/Person/4707357", "Бритнер Андрей Владимирович")</f>
        <v>Бритнер Андрей Владимирович</v>
      </c>
      <c r="K4248" s="24" t="s">
        <v>3409</v>
      </c>
      <c r="L4248" s="22" t="s">
        <v>10</v>
      </c>
      <c r="M4248" s="25">
        <v>507754.45</v>
      </c>
      <c r="N4248" s="27">
        <v>0.42937523783549647</v>
      </c>
    </row>
    <row r="4249" spans="1:14" hidden="1" outlineLevel="1" x14ac:dyDescent="0.2">
      <c r="A4249" s="23" t="str">
        <f t="shared" si="184"/>
        <v>ГБПОУ СО "БОГДАНОВИЧСКИЙ ПОЛИТЕХНИКУМ"</v>
      </c>
      <c r="B4249" s="24" t="s">
        <v>6062</v>
      </c>
      <c r="C4249" s="25">
        <v>889821.97</v>
      </c>
      <c r="D4249" s="22" t="s">
        <v>6063</v>
      </c>
      <c r="E4249" s="22" t="s">
        <v>84</v>
      </c>
      <c r="F4249" s="23" t="str">
        <f t="shared" si="185"/>
        <v>Оказание услуг по установке видеонаблюдения</v>
      </c>
      <c r="G4249" s="22" t="s">
        <v>72</v>
      </c>
      <c r="H4249" s="22" t="s">
        <v>6064</v>
      </c>
      <c r="I4249" s="26">
        <v>43663.413020833301</v>
      </c>
      <c r="J4249" s="23" t="str">
        <f>HYPERLINK("https://www.spark-marketing.ru/Card/Person/6581660", "ООО ""ВИДЕОСИСТЕМЫ""")</f>
        <v>ООО "ВИДЕОСИСТЕМЫ"</v>
      </c>
      <c r="K4249" s="24" t="s">
        <v>3415</v>
      </c>
      <c r="L4249" s="28" t="s">
        <v>52</v>
      </c>
      <c r="M4249" s="25">
        <v>525550.89</v>
      </c>
      <c r="N4249" s="27">
        <v>0.40937523716120428</v>
      </c>
    </row>
    <row r="4250" spans="1:14" hidden="1" outlineLevel="1" x14ac:dyDescent="0.2">
      <c r="A4250" s="23" t="str">
        <f t="shared" si="184"/>
        <v>ГБПОУ СО "БОГДАНОВИЧСКИЙ ПОЛИТЕХНИКУМ"</v>
      </c>
      <c r="B4250" s="24" t="s">
        <v>6062</v>
      </c>
      <c r="C4250" s="25">
        <v>889821.97</v>
      </c>
      <c r="D4250" s="22" t="s">
        <v>6063</v>
      </c>
      <c r="E4250" s="22" t="s">
        <v>84</v>
      </c>
      <c r="F4250" s="23" t="str">
        <f t="shared" si="185"/>
        <v>Оказание услуг по установке видеонаблюдения</v>
      </c>
      <c r="G4250" s="22" t="s">
        <v>72</v>
      </c>
      <c r="H4250" s="22" t="s">
        <v>6064</v>
      </c>
      <c r="I4250" s="26">
        <v>43663.413020833301</v>
      </c>
      <c r="J4250" s="23" t="str">
        <f>HYPERLINK("https://www.spark-marketing.ru/Card/Person/5853123", "Ершов Андрей Алексеевич")</f>
        <v>Ершов Андрей Алексеевич</v>
      </c>
      <c r="K4250" s="24" t="s">
        <v>1063</v>
      </c>
      <c r="L4250" s="28" t="s">
        <v>52</v>
      </c>
      <c r="M4250" s="25">
        <v>820000</v>
      </c>
      <c r="N4250" s="27">
        <v>7.8467347799920026E-2</v>
      </c>
    </row>
    <row r="4251" spans="1:14" x14ac:dyDescent="0.15">
      <c r="A4251" s="23" t="str">
        <f>HYPERLINK("https://www.spark-marketing.ru/Card/Person/677716", "МП ТПАТП №3")</f>
        <v>МП ТПАТП №3</v>
      </c>
      <c r="B4251" s="24" t="s">
        <v>1803</v>
      </c>
      <c r="C4251" s="25">
        <v>290720</v>
      </c>
      <c r="D4251" s="22" t="s">
        <v>6066</v>
      </c>
      <c r="E4251" s="22" t="s">
        <v>107</v>
      </c>
      <c r="F4251" s="23" t="str">
        <f>HYPERLINK("https://www.spark-marketing.ru/Card/Lot/72141983", "Оказание услуг по техническому обслуживанию  блоков навигационных и видеорегистраторов RVI-RM08 (с комплектом видеокамер)")</f>
        <v>Оказание услуг по техническому обслуживанию  блоков навигационных и видеорегистраторов RVI-RM08 (с комплектом видеокамер)</v>
      </c>
      <c r="G4251" s="22" t="s">
        <v>760</v>
      </c>
      <c r="H4251" s="22" t="s">
        <v>760</v>
      </c>
      <c r="I4251" s="26">
        <v>43663.366122685198</v>
      </c>
      <c r="J4251" s="23" t="str">
        <f>HYPERLINK("https://www.spark-marketing.ru/Card/Person/1936744", "ООО ""ТЕХНАРЬ""")</f>
        <v>ООО "ТЕХНАРЬ"</v>
      </c>
      <c r="K4251" s="24" t="s">
        <v>1806</v>
      </c>
      <c r="L4251" s="22" t="s">
        <v>10</v>
      </c>
      <c r="M4251" s="28" t="s">
        <v>52</v>
      </c>
      <c r="N4251" s="28" t="s">
        <v>52</v>
      </c>
    </row>
    <row r="4252" spans="1:14" x14ac:dyDescent="0.15">
      <c r="A4252" s="23" t="str">
        <f>HYPERLINK("https://www.spark-marketing.ru/Card/Person/4347812", "АДМИНИСТРАЦИЯ ГОРОДСКОГО ОКРУГА ЗВЁЗДНЫЙ ГОРОДОК МОСКОВСКОЙ ОБЛАСТИ")</f>
        <v>АДМИНИСТРАЦИЯ ГОРОДСКОГО ОКРУГА ЗВЁЗДНЫЙ ГОРОДОК МОСКОВСКОЙ ОБЛАСТИ</v>
      </c>
      <c r="B4252" s="24" t="s">
        <v>6067</v>
      </c>
      <c r="C4252" s="25">
        <v>532792.56000000006</v>
      </c>
      <c r="D4252" s="22" t="s">
        <v>6068</v>
      </c>
      <c r="E4252" s="22" t="s">
        <v>59</v>
      </c>
      <c r="F4252" s="23" t="str">
        <f>HYPERLINK("https://www.spark-marketing.ru/Card/Lot/72144744", "Выполнение работ по установке светофоров на дорогах общего пользования в соответствии с утвержденным проектом организации движения")</f>
        <v>Выполнение работ по установке светофоров на дорогах общего пользования в соответствии с утвержденным проектом организации движения</v>
      </c>
      <c r="G4252" s="22" t="s">
        <v>50</v>
      </c>
      <c r="H4252" s="22" t="s">
        <v>6069</v>
      </c>
      <c r="I4252" s="26">
        <v>43663.370659722197</v>
      </c>
      <c r="J4252" s="28" t="s">
        <v>52</v>
      </c>
      <c r="K4252" s="28" t="s">
        <v>52</v>
      </c>
      <c r="L4252" s="28" t="s">
        <v>52</v>
      </c>
      <c r="M4252" s="28" t="s">
        <v>52</v>
      </c>
      <c r="N4252" s="28" t="s">
        <v>52</v>
      </c>
    </row>
    <row r="4253" spans="1:14" hidden="1" outlineLevel="1" x14ac:dyDescent="0.2">
      <c r="A4253" s="23" t="str">
        <f>HYPERLINK("https://www.spark-marketing.ru/Card/Person/4347812", "АДМИНИСТРАЦИЯ ГОРОДСКОГО ОКРУГА ЗВЁЗДНЫЙ ГОРОДОК МОСКОВСКОЙ ОБЛАСТИ")</f>
        <v>АДМИНИСТРАЦИЯ ГОРОДСКОГО ОКРУГА ЗВЁЗДНЫЙ ГОРОДОК МОСКОВСКОЙ ОБЛАСТИ</v>
      </c>
      <c r="B4253" s="24" t="s">
        <v>6067</v>
      </c>
      <c r="C4253" s="25">
        <v>532792.56000000006</v>
      </c>
      <c r="D4253" s="22" t="s">
        <v>6068</v>
      </c>
      <c r="E4253" s="22" t="s">
        <v>59</v>
      </c>
      <c r="F4253" s="23" t="str">
        <f>HYPERLINK("https://www.spark-marketing.ru/Card/Lot/72144744", "Выполнение работ по установке светофоров на дорогах общего пользования в соответствии с утвержденным проектом организации движения")</f>
        <v>Выполнение работ по установке светофоров на дорогах общего пользования в соответствии с утвержденным проектом организации движения</v>
      </c>
      <c r="G4253" s="22" t="s">
        <v>50</v>
      </c>
      <c r="H4253" s="22" t="s">
        <v>6069</v>
      </c>
      <c r="I4253" s="26">
        <v>43663.370659722197</v>
      </c>
      <c r="J4253" s="23" t="str">
        <f>HYPERLINK("https://www.spark-marketing.ru/Card/Person/6171263", "ООО ""МЕРКУРИЙ""")</f>
        <v>ООО "МЕРКУРИЙ"</v>
      </c>
      <c r="K4253" s="24" t="s">
        <v>6070</v>
      </c>
      <c r="L4253" s="28" t="s">
        <v>52</v>
      </c>
      <c r="M4253" s="25">
        <v>490169.04</v>
      </c>
      <c r="N4253" s="27">
        <v>8.000021621923549E-2</v>
      </c>
    </row>
    <row r="4254" spans="1:14" ht="12.75" hidden="1" outlineLevel="1" x14ac:dyDescent="0.2">
      <c r="A4254" s="23" t="str">
        <f>HYPERLINK("https://www.spark-marketing.ru/Card/Person/4347812", "АДМИНИСТРАЦИЯ ГОРОДСКОГО ОКРУГА ЗВЁЗДНЫЙ ГОРОДОК МОСКОВСКОЙ ОБЛАСТИ")</f>
        <v>АДМИНИСТРАЦИЯ ГОРОДСКОГО ОКРУГА ЗВЁЗДНЫЙ ГОРОДОК МОСКОВСКОЙ ОБЛАСТИ</v>
      </c>
      <c r="B4254" s="24" t="s">
        <v>6067</v>
      </c>
      <c r="C4254" s="25">
        <v>532792.56000000006</v>
      </c>
      <c r="D4254" s="22" t="s">
        <v>6068</v>
      </c>
      <c r="E4254" s="22" t="s">
        <v>59</v>
      </c>
      <c r="F4254" s="23" t="str">
        <f>HYPERLINK("https://www.spark-marketing.ru/Card/Lot/72144744", "Выполнение работ по установке светофоров на дорогах общего пользования в соответствии с утвержденным проектом организации движения")</f>
        <v>Выполнение работ по установке светофоров на дорогах общего пользования в соответствии с утвержденным проектом организации движения</v>
      </c>
      <c r="G4254" s="22" t="s">
        <v>50</v>
      </c>
      <c r="H4254" s="22" t="s">
        <v>6069</v>
      </c>
      <c r="I4254" s="26">
        <v>43663.370659722197</v>
      </c>
      <c r="J4254" s="23" t="str">
        <f>HYPERLINK("https://www.spark-marketing.ru/Card/Person/29497", "ООО ""СТОПМОБИЛЬ""")</f>
        <v>ООО "СТОПМОБИЛЬ"</v>
      </c>
      <c r="K4254" s="24" t="s">
        <v>4740</v>
      </c>
      <c r="L4254" s="22" t="s">
        <v>10</v>
      </c>
      <c r="M4254" s="25">
        <v>487505.07</v>
      </c>
      <c r="N4254" s="27">
        <v>8.5000229732937707E-2</v>
      </c>
    </row>
    <row r="4255" spans="1:14" x14ac:dyDescent="0.15">
      <c r="A4255" s="23" t="str">
        <f>HYPERLINK("https://www.spark-marketing.ru/Card/Person/8106", "КГБУЗ КРАЕВАЯ КЛИНИЧЕСКАЯ БОЛЬНИЦА")</f>
        <v>КГБУЗ КРАЕВАЯ КЛИНИЧЕСКАЯ БОЛЬНИЦА</v>
      </c>
      <c r="B4255" s="24" t="s">
        <v>5905</v>
      </c>
      <c r="C4255" s="25">
        <v>44872.9</v>
      </c>
      <c r="D4255" s="22" t="s">
        <v>6071</v>
      </c>
      <c r="E4255" s="22" t="s">
        <v>349</v>
      </c>
      <c r="F4255" s="23" t="str">
        <f>HYPERLINK("https://www.spark-marketing.ru/Card/Lot/72141271", "Товары, работы или услуги на сумму, не превышающую 100 тыс. руб. (п.4 ч.1 ст.93 Федерального закона №44-ФЗ)")</f>
        <v>Товары, работы или услуги на сумму, не превышающую 100 тыс. руб. (п.4 ч.1 ст.93 Федерального закона №44-ФЗ)</v>
      </c>
      <c r="G4255" s="22" t="s">
        <v>428</v>
      </c>
      <c r="H4255" s="22" t="s">
        <v>429</v>
      </c>
      <c r="I4255" s="26">
        <v>43663.286805555603</v>
      </c>
      <c r="J4255" s="28" t="s">
        <v>52</v>
      </c>
      <c r="K4255" s="28" t="s">
        <v>52</v>
      </c>
      <c r="L4255" s="28" t="s">
        <v>52</v>
      </c>
      <c r="M4255" s="28" t="s">
        <v>52</v>
      </c>
      <c r="N4255" s="28" t="s">
        <v>52</v>
      </c>
    </row>
    <row r="4256" spans="1:14" x14ac:dyDescent="0.15">
      <c r="A4256" s="23" t="str">
        <f>HYPERLINK("https://www.spark-marketing.ru/Card/Person/6654352", "ЗАПАДНО–СИБИРСКАЯ ДИРЕКЦИЯ ПАССАЖИРСКИХ ОБУСТРОЙСТВ – СТРУКТУРНОЕ ПОДРАЗДЕЛЕНИЕ ЦЕНТРАЛЬНОЙ ДИРЕКЦИИ ПАССАЖИРСКИХ ОБУСТРОЙСТВ – ФЛ ОАО РЖД")</f>
        <v>ЗАПАДНО–СИБИРСКАЯ ДИРЕКЦИЯ ПАССАЖИРСКИХ ОБУСТРОЙСТВ – СТРУКТУРНОЕ ПОДРАЗДЕЛЕНИЕ ЦЕНТРАЛЬНОЙ ДИРЕКЦИИ ПАССАЖИРСКИХ ОБУСТРОЙСТВ – ФЛ ОАО РЖД</v>
      </c>
      <c r="B4256" s="24" t="s">
        <v>163</v>
      </c>
      <c r="C4256" s="25">
        <v>386588.15999999997</v>
      </c>
      <c r="D4256" s="28" t="s">
        <v>52</v>
      </c>
      <c r="E4256" s="22" t="s">
        <v>68</v>
      </c>
      <c r="F4256" s="23" t="str">
        <f>HYPERLINK("https://www.spark-marketing.ru/Card/Lot/72429475", "№21716 Оказание услуг по охране имущества ОАО ""РЖД"" - вокзал на ст. Усть- Тальменская")</f>
        <v>№21716 Оказание услуг по охране имущества ОАО "РЖД" - вокзал на ст. Усть- Тальменская</v>
      </c>
      <c r="G4256" s="22" t="s">
        <v>209</v>
      </c>
      <c r="H4256" s="22" t="s">
        <v>210</v>
      </c>
      <c r="I4256" s="26">
        <v>43663.280821759297</v>
      </c>
      <c r="J4256" s="28" t="s">
        <v>52</v>
      </c>
      <c r="K4256" s="28" t="s">
        <v>52</v>
      </c>
      <c r="L4256" s="28" t="s">
        <v>52</v>
      </c>
      <c r="M4256" s="28" t="s">
        <v>52</v>
      </c>
      <c r="N4256" s="28" t="s">
        <v>52</v>
      </c>
    </row>
    <row r="4257" spans="1:14" x14ac:dyDescent="0.15">
      <c r="A4257" s="23" t="str">
        <f>HYPERLINK("https://www.spark-marketing.ru/Card/Person/2097942", "АО ""КОНЦЕРН РОСЭНЕРГОАТОМ""")</f>
        <v>АО "КОНЦЕРН РОСЭНЕРГОАТОМ"</v>
      </c>
      <c r="B4257" s="24" t="s">
        <v>211</v>
      </c>
      <c r="C4257" s="25">
        <v>120000</v>
      </c>
      <c r="D4257" s="22" t="s">
        <v>6072</v>
      </c>
      <c r="E4257" s="22" t="s">
        <v>53</v>
      </c>
      <c r="F4257" s="23" t="str">
        <f>HYPERLINK("https://www.spark-marketing.ru/Card/Lot/72147036", "Право заключения договора на Поставка плавсредства для охраны водных объектов")</f>
        <v>Право заключения договора на Поставка плавсредства для охраны водных объектов</v>
      </c>
      <c r="G4257" s="22" t="s">
        <v>55</v>
      </c>
      <c r="H4257" s="22" t="s">
        <v>55</v>
      </c>
      <c r="I4257" s="26">
        <v>43663</v>
      </c>
      <c r="J4257" s="28" t="s">
        <v>52</v>
      </c>
      <c r="K4257" s="28" t="s">
        <v>52</v>
      </c>
      <c r="L4257" s="28" t="s">
        <v>52</v>
      </c>
      <c r="M4257" s="28" t="s">
        <v>52</v>
      </c>
      <c r="N4257" s="28" t="s">
        <v>52</v>
      </c>
    </row>
    <row r="4258" spans="1:14" x14ac:dyDescent="0.15">
      <c r="A4258" s="23" t="str">
        <f>HYPERLINK("https://www.spark-marketing.ru/Card/Person/6450322", "ЗАКАЗЧИК РП БЕЛАРУСЬ")</f>
        <v>ЗАКАЗЧИК РП БЕЛАРУСЬ</v>
      </c>
      <c r="B4258" s="28" t="s">
        <v>52</v>
      </c>
      <c r="C4258" s="28" t="s">
        <v>52</v>
      </c>
      <c r="D4258" s="22" t="s">
        <v>6073</v>
      </c>
      <c r="E4258" s="22" t="s">
        <v>53</v>
      </c>
      <c r="F4258" s="23" t="str">
        <f>HYPERLINK("https://www.spark-marketing.ru/Card/Lot/72157168", "Техническое задание на закупку: Система ВД1 КРОВ 61-071-ДУ600-Н-00750/04-У1 (или аналог) кол-во Характеристики Вентилятор дымоудаления крышный в комплекте с: - стакан монтажный дымоудаления со встроенным клапаном на вытяжку СТАМ 402-71-Н 1 шт. Вентил...")</f>
        <v>Техническое задание на закупку: Система ВД1 КРОВ 61-071-ДУ600-Н-00750/04-У1 (или аналог) кол-во Характеристики Вентилятор дымоудаления крышный в комплекте с: - стакан монтажный дымоудаления со встроенным клапаном на вытяжку СТАМ 402-71-Н 1 шт. Вентил...</v>
      </c>
      <c r="G4258" s="22" t="s">
        <v>52</v>
      </c>
      <c r="H4258" s="22" t="s">
        <v>52</v>
      </c>
      <c r="I4258" s="26">
        <v>43663</v>
      </c>
      <c r="J4258" s="28" t="s">
        <v>52</v>
      </c>
      <c r="K4258" s="28" t="s">
        <v>52</v>
      </c>
      <c r="L4258" s="28" t="s">
        <v>52</v>
      </c>
      <c r="M4258" s="28" t="s">
        <v>52</v>
      </c>
      <c r="N4258" s="28" t="s">
        <v>52</v>
      </c>
    </row>
    <row r="4259" spans="1:14" x14ac:dyDescent="0.2">
      <c r="A4259" s="23" t="str">
        <f>HYPERLINK("https://www.spark-marketing.ru/Card/Person/402263", "ГАУ МО ""РИЦ МОСКОВСКОЙ ОБЛАСТИ""")</f>
        <v>ГАУ МО "РИЦ МОСКОВСКОЙ ОБЛАСТИ"</v>
      </c>
      <c r="B4259" s="24" t="s">
        <v>5364</v>
      </c>
      <c r="C4259" s="25">
        <v>11885097</v>
      </c>
      <c r="D4259" s="22" t="s">
        <v>6074</v>
      </c>
      <c r="E4259" s="22" t="s">
        <v>4085</v>
      </c>
      <c r="F4259" s="23" t="str">
        <f>HYPERLINK("https://www.spark-marketing.ru/Card/Lot/72138777", "оказание комплекса услуг по информированию населения Московской области по вопросам развития дорожно-транспортной инфраструктуры и безопасности дорожного движения Московской области электронных средствах массовой информации Московской области (телека...")</f>
        <v>оказание комплекса услуг по информированию населения Московской области по вопросам развития дорожно-транспортной инфраструктуры и безопасности дорожного движения Московской области электронных средствах массовой информации Московской области (телека...</v>
      </c>
      <c r="G4259" s="22" t="s">
        <v>50</v>
      </c>
      <c r="H4259" s="22" t="s">
        <v>50</v>
      </c>
      <c r="I4259" s="26">
        <v>43662.769004629597</v>
      </c>
      <c r="J4259" s="28" t="s">
        <v>52</v>
      </c>
      <c r="K4259" s="28" t="s">
        <v>52</v>
      </c>
      <c r="L4259" s="22" t="s">
        <v>10</v>
      </c>
      <c r="M4259" s="25">
        <v>11885097</v>
      </c>
      <c r="N4259" s="27">
        <v>0</v>
      </c>
    </row>
    <row r="4260" spans="1:14" x14ac:dyDescent="0.15">
      <c r="A4260" s="23" t="str">
        <f>HYPERLINK("https://www.spark-marketing.ru/Card/Person/1056231", "МБУ ""ДЕЗЗ"" ГО ""ГОРОД ДАГЕСТАНСКИЕ ОГНИ""")</f>
        <v>МБУ "ДЕЗЗ" ГО "ГОРОД ДАГЕСТАНСКИЕ ОГНИ"</v>
      </c>
      <c r="B4260" s="24" t="s">
        <v>6075</v>
      </c>
      <c r="C4260" s="25">
        <v>1000000</v>
      </c>
      <c r="D4260" s="22" t="s">
        <v>6076</v>
      </c>
      <c r="E4260" s="22" t="s">
        <v>59</v>
      </c>
      <c r="F4260" s="23" t="str">
        <f>HYPERLINK("https://www.spark-marketing.ru/Card/Lot/72160662", "выполнение работ по установке камер  видеонаблюдения на территории г. Дагестанские Огни")</f>
        <v>выполнение работ по установке камер  видеонаблюдения на территории г. Дагестанские Огни</v>
      </c>
      <c r="G4260" s="22" t="s">
        <v>595</v>
      </c>
      <c r="H4260" s="22" t="s">
        <v>6077</v>
      </c>
      <c r="I4260" s="26">
        <v>43662.739513888897</v>
      </c>
      <c r="J4260" s="23" t="str">
        <f>HYPERLINK("https://www.spark-marketing.ru/Card/Person/6623226", "ООО ""ТОРГОВО-МОНТАЖНАЯ КОМПАНИЯ ""СПЕЦПРОЕКТ""")</f>
        <v>ООО "ТОРГОВО-МОНТАЖНАЯ КОМПАНИЯ "СПЕЦПРОЕКТ"</v>
      </c>
      <c r="K4260" s="24" t="s">
        <v>6078</v>
      </c>
      <c r="L4260" s="28" t="s">
        <v>52</v>
      </c>
      <c r="M4260" s="28" t="s">
        <v>52</v>
      </c>
      <c r="N4260" s="28" t="s">
        <v>52</v>
      </c>
    </row>
    <row r="4261" spans="1:14" hidden="1" outlineLevel="1" x14ac:dyDescent="0.15">
      <c r="A4261" s="23" t="str">
        <f>HYPERLINK("https://www.spark-marketing.ru/Card/Person/1056231", "МБУ ""ДЕЗЗ"" ГО ""ГОРОД ДАГЕСТАНСКИЕ ОГНИ""")</f>
        <v>МБУ "ДЕЗЗ" ГО "ГОРОД ДАГЕСТАНСКИЕ ОГНИ"</v>
      </c>
      <c r="B4261" s="24" t="s">
        <v>6075</v>
      </c>
      <c r="C4261" s="25">
        <v>1000000</v>
      </c>
      <c r="D4261" s="22" t="s">
        <v>6076</v>
      </c>
      <c r="E4261" s="22" t="s">
        <v>59</v>
      </c>
      <c r="F4261" s="23" t="str">
        <f>HYPERLINK("https://www.spark-marketing.ru/Card/Lot/72160662", "выполнение работ по установке камер  видеонаблюдения на территории г. Дагестанские Огни")</f>
        <v>выполнение работ по установке камер  видеонаблюдения на территории г. Дагестанские Огни</v>
      </c>
      <c r="G4261" s="22" t="s">
        <v>595</v>
      </c>
      <c r="H4261" s="22" t="s">
        <v>6077</v>
      </c>
      <c r="I4261" s="26">
        <v>43662.739513888897</v>
      </c>
      <c r="J4261" s="23" t="str">
        <f>HYPERLINK("https://www.spark-marketing.ru/Card/Person/6623226", "ООО ""ТОРГОВО-МОНТАЖНАЯ КОМПАНИЯ ""СПЕЦПРОЕКТ""")</f>
        <v>ООО "ТОРГОВО-МОНТАЖНАЯ КОМПАНИЯ "СПЕЦПРОЕКТ"</v>
      </c>
      <c r="K4261" s="24" t="s">
        <v>6078</v>
      </c>
      <c r="L4261" s="22" t="s">
        <v>10</v>
      </c>
      <c r="M4261" s="28" t="s">
        <v>52</v>
      </c>
      <c r="N4261" s="28" t="s">
        <v>52</v>
      </c>
    </row>
    <row r="4262" spans="1:14" x14ac:dyDescent="0.15">
      <c r="A4262" s="23" t="str">
        <f>HYPERLINK("https://www.spark-marketing.ru/Card/Person/1833772", "УФПС БЕЛГОРОДСКОЙ ОБЛ ФЛ ФГУП ПОЧТА РОССИИ")</f>
        <v>УФПС БЕЛГОРОДСКОЙ ОБЛ ФЛ ФГУП ПОЧТА РОССИИ</v>
      </c>
      <c r="B4262" s="24" t="s">
        <v>1424</v>
      </c>
      <c r="C4262" s="25">
        <v>240480</v>
      </c>
      <c r="D4262" s="22" t="s">
        <v>6079</v>
      </c>
      <c r="E4262" s="22" t="s">
        <v>53</v>
      </c>
      <c r="F4262" s="23" t="str">
        <f>HYPERLINK("https://www.spark-marketing.ru/Card/Lot/72127856", "Оказание услуг с помощью технических средств охраны объектов Алексеевского почтамта, подключенных на пульт централизованного наблюдения для нужд УФПС Белгородской области - филиала ФГУП ""Почта России""")</f>
        <v>Оказание услуг с помощью технических средств охраны объектов Алексеевского почтамта, подключенных на пульт централизованного наблюдения для нужд УФПС Белгородской области - филиала ФГУП "Почта России"</v>
      </c>
      <c r="G4262" s="22" t="s">
        <v>176</v>
      </c>
      <c r="H4262" s="22" t="s">
        <v>176</v>
      </c>
      <c r="I4262" s="26">
        <v>43662.738888888904</v>
      </c>
      <c r="J4262" s="28" t="s">
        <v>52</v>
      </c>
      <c r="K4262" s="28" t="s">
        <v>52</v>
      </c>
      <c r="L4262" s="28" t="s">
        <v>52</v>
      </c>
      <c r="M4262" s="28" t="s">
        <v>52</v>
      </c>
      <c r="N4262" s="28" t="s">
        <v>52</v>
      </c>
    </row>
    <row r="4263" spans="1:14" x14ac:dyDescent="0.15">
      <c r="A4263" s="23" t="str">
        <f>HYPERLINK("https://www.spark-marketing.ru/Card/Person/4347180", "Калининградский филиал Санкт-Петербургского Университета МВД России")</f>
        <v>Калининградский филиал Санкт-Петербургского Университета МВД России</v>
      </c>
      <c r="B4263" s="24" t="s">
        <v>5979</v>
      </c>
      <c r="C4263" s="25">
        <v>81588</v>
      </c>
      <c r="D4263" s="22" t="s">
        <v>6080</v>
      </c>
      <c r="E4263" s="22" t="s">
        <v>103</v>
      </c>
      <c r="F4263" s="23" t="str">
        <f>HYPERLINK("https://www.spark-marketing.ru/Card/Lot/72126859", "Техническое обслуживание видеонаблюдения, 1 усл. ед")</f>
        <v>Техническое обслуживание видеонаблюдения, 1 усл. ед</v>
      </c>
      <c r="G4263" s="22" t="s">
        <v>247</v>
      </c>
      <c r="H4263" s="22" t="s">
        <v>576</v>
      </c>
      <c r="I4263" s="26">
        <v>43662.744085648097</v>
      </c>
      <c r="J4263" s="28" t="s">
        <v>52</v>
      </c>
      <c r="K4263" s="28" t="s">
        <v>52</v>
      </c>
      <c r="L4263" s="28" t="s">
        <v>52</v>
      </c>
      <c r="M4263" s="28" t="s">
        <v>52</v>
      </c>
      <c r="N4263" s="28" t="s">
        <v>52</v>
      </c>
    </row>
    <row r="4264" spans="1:14" x14ac:dyDescent="0.15">
      <c r="A4264" s="23" t="str">
        <f>HYPERLINK("https://www.spark-marketing.ru/Card/Person/4352364", "ГБОУ СО ""ЕКАТЕРИНБУРГСКАЯ ШКОЛА-ИНТЕРНАТ № 9, РЕАЛИЗУЮЩАЯ АДАПТИРОВАННЫЕ ОСНОВНЫЕ ОБЩЕОБРАЗОВАТЕЛЬНЫЕ ПРОГРАММЫ""")</f>
        <v>ГБОУ СО "ЕКАТЕРИНБУРГСКАЯ ШКОЛА-ИНТЕРНАТ № 9, РЕАЛИЗУЮЩАЯ АДАПТИРОВАННЫЕ ОСНОВНЫЕ ОБЩЕОБРАЗОВАТЕЛЬНЫЕ ПРОГРАММЫ"</v>
      </c>
      <c r="B4264" s="24" t="s">
        <v>6081</v>
      </c>
      <c r="C4264" s="25">
        <v>91681.21</v>
      </c>
      <c r="D4264" s="22" t="s">
        <v>6082</v>
      </c>
      <c r="E4264" s="22" t="s">
        <v>59</v>
      </c>
      <c r="F4264" s="23" t="str">
        <f>HYPERLINK("https://www.spark-marketing.ru/Card/Lot/72144092", "Установка системы охранной сигнализации")</f>
        <v>Установка системы охранной сигнализации</v>
      </c>
      <c r="G4264" s="22" t="s">
        <v>72</v>
      </c>
      <c r="H4264" s="22" t="s">
        <v>949</v>
      </c>
      <c r="I4264" s="26">
        <v>43662.7366203704</v>
      </c>
      <c r="J4264" s="28" t="s">
        <v>52</v>
      </c>
      <c r="K4264" s="28" t="s">
        <v>52</v>
      </c>
      <c r="L4264" s="28" t="s">
        <v>52</v>
      </c>
      <c r="M4264" s="28" t="s">
        <v>52</v>
      </c>
      <c r="N4264" s="28" t="s">
        <v>52</v>
      </c>
    </row>
    <row r="4265" spans="1:14" ht="12.75" hidden="1" outlineLevel="1" x14ac:dyDescent="0.2">
      <c r="A4265" s="23" t="str">
        <f>HYPERLINK("https://www.spark-marketing.ru/Card/Person/4352364", "ГБОУ СО ""ЕКАТЕРИНБУРГСКАЯ ШКОЛА-ИНТЕРНАТ № 9, РЕАЛИЗУЮЩАЯ АДАПТИРОВАННЫЕ ОСНОВНЫЕ ОБЩЕОБРАЗОВАТЕЛЬНЫЕ ПРОГРАММЫ""")</f>
        <v>ГБОУ СО "ЕКАТЕРИНБУРГСКАЯ ШКОЛА-ИНТЕРНАТ № 9, РЕАЛИЗУЮЩАЯ АДАПТИРОВАННЫЕ ОСНОВНЫЕ ОБЩЕОБРАЗОВАТЕЛЬНЫЕ ПРОГРАММЫ"</v>
      </c>
      <c r="B4265" s="24" t="s">
        <v>6081</v>
      </c>
      <c r="C4265" s="25">
        <v>91681.21</v>
      </c>
      <c r="D4265" s="22" t="s">
        <v>6082</v>
      </c>
      <c r="E4265" s="22" t="s">
        <v>59</v>
      </c>
      <c r="F4265" s="23" t="str">
        <f>HYPERLINK("https://www.spark-marketing.ru/Card/Lot/72144092", "Установка системы охранной сигнализации")</f>
        <v>Установка системы охранной сигнализации</v>
      </c>
      <c r="G4265" s="22" t="s">
        <v>72</v>
      </c>
      <c r="H4265" s="22" t="s">
        <v>949</v>
      </c>
      <c r="I4265" s="26">
        <v>43662.7366203704</v>
      </c>
      <c r="J4265" s="23" t="str">
        <f>HYPERLINK("https://www.spark-marketing.ru/Card/Person/6602091", "ООО ""ББЛ-СЕРВИС""")</f>
        <v>ООО "ББЛ-СЕРВИС"</v>
      </c>
      <c r="K4265" s="24" t="s">
        <v>6083</v>
      </c>
      <c r="L4265" s="22" t="s">
        <v>10</v>
      </c>
      <c r="M4265" s="25">
        <v>78845.81</v>
      </c>
      <c r="N4265" s="27">
        <v>0.14000033376522844</v>
      </c>
    </row>
    <row r="4266" spans="1:14" hidden="1" outlineLevel="1" x14ac:dyDescent="0.2">
      <c r="A4266" s="23" t="str">
        <f>HYPERLINK("https://www.spark-marketing.ru/Card/Person/4352364", "ГБОУ СО ""ЕКАТЕРИНБУРГСКАЯ ШКОЛА-ИНТЕРНАТ № 9, РЕАЛИЗУЮЩАЯ АДАПТИРОВАННЫЕ ОСНОВНЫЕ ОБЩЕОБРАЗОВАТЕЛЬНЫЕ ПРОГРАММЫ""")</f>
        <v>ГБОУ СО "ЕКАТЕРИНБУРГСКАЯ ШКОЛА-ИНТЕРНАТ № 9, РЕАЛИЗУЮЩАЯ АДАПТИРОВАННЫЕ ОСНОВНЫЕ ОБЩЕОБРАЗОВАТЕЛЬНЫЕ ПРОГРАММЫ"</v>
      </c>
      <c r="B4266" s="24" t="s">
        <v>6081</v>
      </c>
      <c r="C4266" s="25">
        <v>91681.21</v>
      </c>
      <c r="D4266" s="22" t="s">
        <v>6082</v>
      </c>
      <c r="E4266" s="22" t="s">
        <v>59</v>
      </c>
      <c r="F4266" s="23" t="str">
        <f>HYPERLINK("https://www.spark-marketing.ru/Card/Lot/72144092", "Установка системы охранной сигнализации")</f>
        <v>Установка системы охранной сигнализации</v>
      </c>
      <c r="G4266" s="22" t="s">
        <v>72</v>
      </c>
      <c r="H4266" s="22" t="s">
        <v>949</v>
      </c>
      <c r="I4266" s="26">
        <v>43662.7366203704</v>
      </c>
      <c r="J4266" s="23" t="str">
        <f>HYPERLINK("https://www.spark-marketing.ru/Card/Person/5505768", "ООО ""ПАРИТЕТ-УРАЛ""")</f>
        <v>ООО "ПАРИТЕТ-УРАЛ"</v>
      </c>
      <c r="K4266" s="24" t="s">
        <v>6084</v>
      </c>
      <c r="L4266" s="28" t="s">
        <v>52</v>
      </c>
      <c r="M4266" s="25">
        <v>83000</v>
      </c>
      <c r="N4266" s="27">
        <v>9.4689086236972655E-2</v>
      </c>
    </row>
    <row r="4267" spans="1:14" x14ac:dyDescent="0.15">
      <c r="A4267" s="23" t="str">
        <f>HYPERLINK("https://www.spark-marketing.ru/Card/Person/59300", "БУ ""СУРГУТСКАЯ РАЙОННАЯ ПОЛИКЛИНИКА""")</f>
        <v>БУ "СУРГУТСКАЯ РАЙОННАЯ ПОЛИКЛИНИКА"</v>
      </c>
      <c r="B4267" s="24" t="s">
        <v>6085</v>
      </c>
      <c r="C4267" s="25">
        <v>252591.67</v>
      </c>
      <c r="D4267" s="22" t="s">
        <v>6086</v>
      </c>
      <c r="E4267" s="22" t="s">
        <v>59</v>
      </c>
      <c r="F4267" s="23" t="str">
        <f>HYPERLINK("https://www.spark-marketing.ru/Card/Lot/72129941", "Выполнение работ по установке (монтажу) внутренней и наружной системы видеонаблюдения")</f>
        <v>Выполнение работ по установке (монтажу) внутренней и наружной системы видеонаблюдения</v>
      </c>
      <c r="G4267" s="22" t="s">
        <v>119</v>
      </c>
      <c r="H4267" s="22" t="s">
        <v>416</v>
      </c>
      <c r="I4267" s="26">
        <v>43662.675358796303</v>
      </c>
      <c r="J4267" s="28" t="s">
        <v>52</v>
      </c>
      <c r="K4267" s="28" t="s">
        <v>52</v>
      </c>
      <c r="L4267" s="28" t="s">
        <v>52</v>
      </c>
      <c r="M4267" s="28" t="s">
        <v>52</v>
      </c>
      <c r="N4267" s="28" t="s">
        <v>52</v>
      </c>
    </row>
    <row r="4268" spans="1:14" ht="12.75" hidden="1" outlineLevel="1" x14ac:dyDescent="0.2">
      <c r="A4268" s="23" t="str">
        <f>HYPERLINK("https://www.spark-marketing.ru/Card/Person/59300", "БУ ""СУРГУТСКАЯ РАЙОННАЯ ПОЛИКЛИНИКА""")</f>
        <v>БУ "СУРГУТСКАЯ РАЙОННАЯ ПОЛИКЛИНИКА"</v>
      </c>
      <c r="B4268" s="24" t="s">
        <v>6085</v>
      </c>
      <c r="C4268" s="25">
        <v>252591.67</v>
      </c>
      <c r="D4268" s="22" t="s">
        <v>6086</v>
      </c>
      <c r="E4268" s="22" t="s">
        <v>59</v>
      </c>
      <c r="F4268" s="23" t="str">
        <f>HYPERLINK("https://www.spark-marketing.ru/Card/Lot/72129941", "Выполнение работ по установке (монтажу) внутренней и наружной системы видеонаблюдения")</f>
        <v>Выполнение работ по установке (монтажу) внутренней и наружной системы видеонаблюдения</v>
      </c>
      <c r="G4268" s="22" t="s">
        <v>119</v>
      </c>
      <c r="H4268" s="22" t="s">
        <v>416</v>
      </c>
      <c r="I4268" s="26">
        <v>43662.675358796303</v>
      </c>
      <c r="J4268" s="23" t="str">
        <f>HYPERLINK("https://www.spark-marketing.ru/Card/Person/944581", "Порохняк Роман Юрьевич")</f>
        <v>Порохняк Роман Юрьевич</v>
      </c>
      <c r="K4268" s="24" t="s">
        <v>6087</v>
      </c>
      <c r="L4268" s="22" t="s">
        <v>10</v>
      </c>
      <c r="M4268" s="25">
        <v>135000</v>
      </c>
      <c r="N4268" s="27">
        <v>0.46554056988498471</v>
      </c>
    </row>
    <row r="4269" spans="1:14" hidden="1" outlineLevel="1" x14ac:dyDescent="0.2">
      <c r="A4269" s="23" t="str">
        <f>HYPERLINK("https://www.spark-marketing.ru/Card/Person/59300", "БУ ""СУРГУТСКАЯ РАЙОННАЯ ПОЛИКЛИНИКА""")</f>
        <v>БУ "СУРГУТСКАЯ РАЙОННАЯ ПОЛИКЛИНИКА"</v>
      </c>
      <c r="B4269" s="24" t="s">
        <v>6085</v>
      </c>
      <c r="C4269" s="25">
        <v>252591.67</v>
      </c>
      <c r="D4269" s="22" t="s">
        <v>6086</v>
      </c>
      <c r="E4269" s="22" t="s">
        <v>59</v>
      </c>
      <c r="F4269" s="23" t="str">
        <f>HYPERLINK("https://www.spark-marketing.ru/Card/Lot/72129941", "Выполнение работ по установке (монтажу) внутренней и наружной системы видеонаблюдения")</f>
        <v>Выполнение работ по установке (монтажу) внутренней и наружной системы видеонаблюдения</v>
      </c>
      <c r="G4269" s="22" t="s">
        <v>119</v>
      </c>
      <c r="H4269" s="22" t="s">
        <v>416</v>
      </c>
      <c r="I4269" s="26">
        <v>43662.675358796303</v>
      </c>
      <c r="J4269" s="23" t="str">
        <f>HYPERLINK("https://www.spark-marketing.ru/Card/Person/932332", "ООО ""ВСС""")</f>
        <v>ООО "ВСС"</v>
      </c>
      <c r="K4269" s="24" t="s">
        <v>1331</v>
      </c>
      <c r="L4269" s="28" t="s">
        <v>52</v>
      </c>
      <c r="M4269" s="25">
        <v>157869.79</v>
      </c>
      <c r="N4269" s="27">
        <v>0.3750000148460953</v>
      </c>
    </row>
    <row r="4270" spans="1:14" hidden="1" outlineLevel="1" x14ac:dyDescent="0.2">
      <c r="A4270" s="23" t="str">
        <f>HYPERLINK("https://www.spark-marketing.ru/Card/Person/59300", "БУ ""СУРГУТСКАЯ РАЙОННАЯ ПОЛИКЛИНИКА""")</f>
        <v>БУ "СУРГУТСКАЯ РАЙОННАЯ ПОЛИКЛИНИКА"</v>
      </c>
      <c r="B4270" s="24" t="s">
        <v>6085</v>
      </c>
      <c r="C4270" s="25">
        <v>252591.67</v>
      </c>
      <c r="D4270" s="22" t="s">
        <v>6086</v>
      </c>
      <c r="E4270" s="22" t="s">
        <v>59</v>
      </c>
      <c r="F4270" s="23" t="str">
        <f>HYPERLINK("https://www.spark-marketing.ru/Card/Lot/72129941", "Выполнение работ по установке (монтажу) внутренней и наружной системы видеонаблюдения")</f>
        <v>Выполнение работ по установке (монтажу) внутренней и наружной системы видеонаблюдения</v>
      </c>
      <c r="G4270" s="22" t="s">
        <v>119</v>
      </c>
      <c r="H4270" s="22" t="s">
        <v>416</v>
      </c>
      <c r="I4270" s="26">
        <v>43662.675358796303</v>
      </c>
      <c r="J4270" s="23" t="str">
        <f>HYPERLINK("https://www.spark-marketing.ru/Card/Person/4863542", "ООО ""ЮЭР""")</f>
        <v>ООО "ЮЭР"</v>
      </c>
      <c r="K4270" s="24" t="s">
        <v>6088</v>
      </c>
      <c r="L4270" s="28" t="s">
        <v>52</v>
      </c>
      <c r="M4270" s="25">
        <v>173025.29</v>
      </c>
      <c r="N4270" s="27">
        <v>0.31500001563788704</v>
      </c>
    </row>
    <row r="4271" spans="1:14" hidden="1" outlineLevel="1" x14ac:dyDescent="0.2">
      <c r="A4271" s="23" t="str">
        <f>HYPERLINK("https://www.spark-marketing.ru/Card/Person/59300", "БУ ""СУРГУТСКАЯ РАЙОННАЯ ПОЛИКЛИНИКА""")</f>
        <v>БУ "СУРГУТСКАЯ РАЙОННАЯ ПОЛИКЛИНИКА"</v>
      </c>
      <c r="B4271" s="24" t="s">
        <v>6085</v>
      </c>
      <c r="C4271" s="25">
        <v>252591.67</v>
      </c>
      <c r="D4271" s="22" t="s">
        <v>6086</v>
      </c>
      <c r="E4271" s="22" t="s">
        <v>59</v>
      </c>
      <c r="F4271" s="23" t="str">
        <f>HYPERLINK("https://www.spark-marketing.ru/Card/Lot/72129941", "Выполнение работ по установке (монтажу) внутренней и наружной системы видеонаблюдения")</f>
        <v>Выполнение работ по установке (монтажу) внутренней и наружной системы видеонаблюдения</v>
      </c>
      <c r="G4271" s="22" t="s">
        <v>119</v>
      </c>
      <c r="H4271" s="22" t="s">
        <v>416</v>
      </c>
      <c r="I4271" s="26">
        <v>43662.675358796303</v>
      </c>
      <c r="J4271" s="23" t="str">
        <f>HYPERLINK("https://www.spark-marketing.ru/Card/Person/6452955", "ООО ""ЛИДЕР""")</f>
        <v>ООО "ЛИДЕР"</v>
      </c>
      <c r="K4271" s="24" t="s">
        <v>1358</v>
      </c>
      <c r="L4271" s="28" t="s">
        <v>52</v>
      </c>
      <c r="M4271" s="25">
        <v>136737.04</v>
      </c>
      <c r="N4271" s="27">
        <v>0.45866370019248853</v>
      </c>
    </row>
    <row r="4272" spans="1:14" x14ac:dyDescent="0.15">
      <c r="A4272" s="23" t="str">
        <f>HYPERLINK("https://www.spark-marketing.ru/Card/Person/144244", "ГКОУ МО ""ПРЕОБРАЖЕНИЕ""")</f>
        <v>ГКОУ МО "ПРЕОБРАЖЕНИЕ"</v>
      </c>
      <c r="B4272" s="24" t="s">
        <v>6089</v>
      </c>
      <c r="C4272" s="25">
        <v>57000</v>
      </c>
      <c r="D4272" s="22" t="s">
        <v>6090</v>
      </c>
      <c r="E4272" s="22" t="s">
        <v>2271</v>
      </c>
      <c r="F4272" s="23" t="str">
        <f>HYPERLINK("https://www.spark-marketing.ru/Card/Lot/72125908", "Закупка, установка охранной сигнализации")</f>
        <v>Закупка, установка охранной сигнализации</v>
      </c>
      <c r="G4272" s="22" t="s">
        <v>50</v>
      </c>
      <c r="H4272" s="22" t="s">
        <v>3526</v>
      </c>
      <c r="I4272" s="26">
        <v>43662.700972222199</v>
      </c>
      <c r="J4272" s="28" t="s">
        <v>52</v>
      </c>
      <c r="K4272" s="28" t="s">
        <v>52</v>
      </c>
      <c r="L4272" s="28" t="s">
        <v>52</v>
      </c>
      <c r="M4272" s="28" t="s">
        <v>52</v>
      </c>
      <c r="N4272" s="28" t="s">
        <v>52</v>
      </c>
    </row>
    <row r="4273" spans="1:14" x14ac:dyDescent="0.15">
      <c r="A4273" s="23" t="str">
        <f>HYPERLINK("https://www.spark-marketing.ru/Card/Person/1761832", "ОАО ""РЫНОЧНЫЙ КОМПЛЕКС ""ЦАРИЦЫНСКИЙ""")</f>
        <v>ОАО "РЫНОЧНЫЙ КОМПЛЕКС "ЦАРИЦЫНСКИЙ"</v>
      </c>
      <c r="B4273" s="24" t="s">
        <v>613</v>
      </c>
      <c r="C4273" s="25">
        <v>293832</v>
      </c>
      <c r="D4273" s="22" t="s">
        <v>6091</v>
      </c>
      <c r="E4273" s="22" t="s">
        <v>615</v>
      </c>
      <c r="F4273" s="23" t="str">
        <f>HYPERLINK("https://www.spark-marketing.ru/Card/Lot/72138511", "оказание услуг по охране объекта")</f>
        <v>оказание услуг по охране объекта</v>
      </c>
      <c r="G4273" s="22" t="s">
        <v>55</v>
      </c>
      <c r="H4273" s="22" t="s">
        <v>55</v>
      </c>
      <c r="I4273" s="26">
        <v>43662.680219907401</v>
      </c>
      <c r="J4273" s="28" t="s">
        <v>52</v>
      </c>
      <c r="K4273" s="28" t="s">
        <v>52</v>
      </c>
      <c r="L4273" s="28" t="s">
        <v>52</v>
      </c>
      <c r="M4273" s="28" t="s">
        <v>52</v>
      </c>
      <c r="N4273" s="28" t="s">
        <v>52</v>
      </c>
    </row>
    <row r="4274" spans="1:14" x14ac:dyDescent="0.15">
      <c r="A4274" s="23" t="str">
        <f>HYPERLINK("https://www.spark-marketing.ru/Card/Person/45054", "ТЕРРИТОРИАЛЬНОЕ УПРАВЛЕНИЕ БОЛЬШИЕ ВЯЗЕМЫ")</f>
        <v>ТЕРРИТОРИАЛЬНОЕ УПРАВЛЕНИЕ БОЛЬШИЕ ВЯЗЕМЫ</v>
      </c>
      <c r="B4274" s="24" t="s">
        <v>6092</v>
      </c>
      <c r="C4274" s="25">
        <v>144000</v>
      </c>
      <c r="D4274" s="22" t="s">
        <v>6093</v>
      </c>
      <c r="E4274" s="22" t="s">
        <v>59</v>
      </c>
      <c r="F4274" s="23" t="str">
        <f>HYPERLINK("https://www.spark-marketing.ru/Card/Lot/72125849", "Закупка в 2019 г работ по оборудованию охранной сигнализацией здания Администрации городского поселения Большие Вяземы Одинцовского района Московской области, подлежащего принятию под охрану ПЦО Одинцовского ОВО филиала ФГКУ «УВО ВНГ России по Москов...")</f>
        <v>Закупка в 2019 г работ по оборудованию охранной сигнализацией здания Администрации городского поселения Большие Вяземы Одинцовского района Московской области, подлежащего принятию под охрану ПЦО Одинцовского ОВО филиала ФГКУ «УВО ВНГ России по Москов...</v>
      </c>
      <c r="G4274" s="22" t="s">
        <v>50</v>
      </c>
      <c r="H4274" s="22" t="s">
        <v>1045</v>
      </c>
      <c r="I4274" s="26">
        <v>43662.690277777801</v>
      </c>
      <c r="J4274" s="28" t="s">
        <v>52</v>
      </c>
      <c r="K4274" s="28" t="s">
        <v>52</v>
      </c>
      <c r="L4274" s="28" t="s">
        <v>52</v>
      </c>
      <c r="M4274" s="28" t="s">
        <v>52</v>
      </c>
      <c r="N4274" s="28" t="s">
        <v>52</v>
      </c>
    </row>
    <row r="4275" spans="1:14" x14ac:dyDescent="0.15">
      <c r="A4275" s="23" t="str">
        <f>HYPERLINK("https://www.spark-marketing.ru/Card/Person/65536", "АРБИТРАЖНЫЙ СУД СВЕРДЛОВСКОЙ ОБЛАСТИ")</f>
        <v>АРБИТРАЖНЫЙ СУД СВЕРДЛОВСКОЙ ОБЛАСТИ</v>
      </c>
      <c r="B4275" s="24" t="s">
        <v>6094</v>
      </c>
      <c r="C4275" s="25">
        <v>202355</v>
      </c>
      <c r="D4275" s="22" t="s">
        <v>6095</v>
      </c>
      <c r="E4275" s="22" t="s">
        <v>4889</v>
      </c>
      <c r="F4275" s="23" t="str">
        <f>HYPERLINK("https://www.spark-marketing.ru/Card/Lot/72129415", "Модернизация системы видеоконференцсвязи с поставкой, установкой и интеграцией беспроводной конференцсвязи")</f>
        <v>Модернизация системы видеоконференцсвязи с поставкой, установкой и интеграцией беспроводной конференцсвязи</v>
      </c>
      <c r="G4275" s="22" t="s">
        <v>72</v>
      </c>
      <c r="H4275" s="22" t="s">
        <v>949</v>
      </c>
      <c r="I4275" s="26">
        <v>43662.671458333301</v>
      </c>
      <c r="J4275" s="23" t="str">
        <f>HYPERLINK("https://www.spark-marketing.ru/Card/Person/122454", "ООО ""КАТЕНА""")</f>
        <v>ООО "КАТЕНА"</v>
      </c>
      <c r="K4275" s="24" t="s">
        <v>6096</v>
      </c>
      <c r="L4275" s="22" t="s">
        <v>10</v>
      </c>
      <c r="M4275" s="28" t="s">
        <v>52</v>
      </c>
      <c r="N4275" s="28" t="s">
        <v>52</v>
      </c>
    </row>
    <row r="4276" spans="1:14" x14ac:dyDescent="0.15">
      <c r="A4276" s="23" t="str">
        <f>HYPERLINK("https://www.spark-marketing.ru/Card/Person/87522", "ГКОУ РО МАТВЕЕВО-КУРГАНСКАЯ ШКОЛА-ИНТЕРНАТ")</f>
        <v>ГКОУ РО МАТВЕЕВО-КУРГАНСКАЯ ШКОЛА-ИНТЕРНАТ</v>
      </c>
      <c r="B4276" s="24" t="s">
        <v>6097</v>
      </c>
      <c r="C4276" s="25">
        <v>127700</v>
      </c>
      <c r="D4276" s="22" t="s">
        <v>6098</v>
      </c>
      <c r="E4276" s="22" t="s">
        <v>194</v>
      </c>
      <c r="F4276" s="23" t="str">
        <f>HYPERLINK("https://www.spark-marketing.ru/Card/Lot/72124146", "Выполнение монтажных работ по установке системы видеонаблюдения и контроля доступа на объекте: ГКОУ РО Матвеево-Курганская школа-интернат, по адресу: п.Матвеев-Курган, ул. 40 лет Пионерии, 3")</f>
        <v>Выполнение монтажных работ по установке системы видеонаблюдения и контроля доступа на объекте: ГКОУ РО Матвеево-Курганская школа-интернат, по адресу: п.Матвеев-Курган, ул. 40 лет Пионерии, 3</v>
      </c>
      <c r="G4276" s="22" t="s">
        <v>402</v>
      </c>
      <c r="H4276" s="22" t="s">
        <v>6099</v>
      </c>
      <c r="I4276" s="26">
        <v>43662.662499999999</v>
      </c>
      <c r="J4276" s="28" t="s">
        <v>52</v>
      </c>
      <c r="K4276" s="28" t="s">
        <v>52</v>
      </c>
      <c r="L4276" s="28" t="s">
        <v>52</v>
      </c>
      <c r="M4276" s="28" t="s">
        <v>52</v>
      </c>
      <c r="N4276" s="28" t="s">
        <v>52</v>
      </c>
    </row>
    <row r="4277" spans="1:14" ht="12.75" x14ac:dyDescent="0.2">
      <c r="A4277" s="23" t="str">
        <f>HYPERLINK("https://www.spark-marketing.ru/Card/Person/1455194", "МБУЗ ЦРБ ОБЛИВСКОГО РАЙОНА")</f>
        <v>МБУЗ ЦРБ ОБЛИВСКОГО РАЙОНА</v>
      </c>
      <c r="B4277" s="24" t="s">
        <v>6100</v>
      </c>
      <c r="C4277" s="25">
        <v>20500</v>
      </c>
      <c r="D4277" s="22" t="s">
        <v>6101</v>
      </c>
      <c r="E4277" s="22" t="s">
        <v>349</v>
      </c>
      <c r="F4277" s="23" t="str">
        <f>HYPERLINK("https://www.spark-marketing.ru/Card/Lot/72126645", "Оказание услуг по техническому обслуживанию систем видеонаблюдения объектов МБУЗ ЦРБ Обливского района")</f>
        <v>Оказание услуг по техническому обслуживанию систем видеонаблюдения объектов МБУЗ ЦРБ Обливского района</v>
      </c>
      <c r="G4277" s="22" t="s">
        <v>402</v>
      </c>
      <c r="H4277" s="22" t="s">
        <v>6102</v>
      </c>
      <c r="I4277" s="26">
        <v>43662.6325462963</v>
      </c>
      <c r="J4277" s="23" t="str">
        <f>HYPERLINK("https://www.spark-marketing.ru/Card/Person/423209", "ООО ""ПРОФЕССИОНАЛ СБ""")</f>
        <v>ООО "ПРОФЕССИОНАЛ СБ"</v>
      </c>
      <c r="K4277" s="24" t="s">
        <v>1785</v>
      </c>
      <c r="L4277" s="22" t="s">
        <v>10</v>
      </c>
      <c r="M4277" s="25">
        <v>15000</v>
      </c>
      <c r="N4277" s="27">
        <v>0.26829268292682928</v>
      </c>
    </row>
    <row r="4278" spans="1:14" x14ac:dyDescent="0.15">
      <c r="A4278" s="23" t="str">
        <f>HYPERLINK("https://www.spark-marketing.ru/Card/Person/35497", "ГОБУЗ ""МОКБ ИМ. П.А. БАЯНДИНА""")</f>
        <v>ГОБУЗ "МОКБ ИМ. П.А. БАЯНДИНА"</v>
      </c>
      <c r="B4278" s="24" t="s">
        <v>6103</v>
      </c>
      <c r="C4278" s="25">
        <v>3575000</v>
      </c>
      <c r="D4278" s="22" t="s">
        <v>6104</v>
      </c>
      <c r="E4278" s="22" t="s">
        <v>84</v>
      </c>
      <c r="F4278" s="23" t="str">
        <f>HYPERLINK("https://www.spark-marketing.ru/Card/Lot/72133684", "Выполнение работ по замене и установке систем видеонаблюдения")</f>
        <v>Выполнение работ по замене и установке систем видеонаблюдения</v>
      </c>
      <c r="G4278" s="22" t="s">
        <v>190</v>
      </c>
      <c r="H4278" s="22" t="s">
        <v>191</v>
      </c>
      <c r="I4278" s="26">
        <v>43662.645173611098</v>
      </c>
      <c r="J4278" s="28" t="s">
        <v>52</v>
      </c>
      <c r="K4278" s="28" t="s">
        <v>52</v>
      </c>
      <c r="L4278" s="28" t="s">
        <v>52</v>
      </c>
      <c r="M4278" s="28" t="s">
        <v>52</v>
      </c>
      <c r="N4278" s="28" t="s">
        <v>52</v>
      </c>
    </row>
    <row r="4279" spans="1:14" hidden="1" outlineLevel="1" x14ac:dyDescent="0.2">
      <c r="A4279" s="23" t="str">
        <f>HYPERLINK("https://www.spark-marketing.ru/Card/Person/35497", "ГОБУЗ ""МОКБ ИМ. П.А. БАЯНДИНА""")</f>
        <v>ГОБУЗ "МОКБ ИМ. П.А. БАЯНДИНА"</v>
      </c>
      <c r="B4279" s="24" t="s">
        <v>6103</v>
      </c>
      <c r="C4279" s="25">
        <v>3575000</v>
      </c>
      <c r="D4279" s="22" t="s">
        <v>6104</v>
      </c>
      <c r="E4279" s="22" t="s">
        <v>84</v>
      </c>
      <c r="F4279" s="23" t="str">
        <f>HYPERLINK("https://www.spark-marketing.ru/Card/Lot/72133684", "Выполнение работ по замене и установке систем видеонаблюдения")</f>
        <v>Выполнение работ по замене и установке систем видеонаблюдения</v>
      </c>
      <c r="G4279" s="22" t="s">
        <v>190</v>
      </c>
      <c r="H4279" s="22" t="s">
        <v>191</v>
      </c>
      <c r="I4279" s="26">
        <v>43662.645173611098</v>
      </c>
      <c r="J4279" s="23" t="str">
        <f>HYPERLINK("https://www.spark-marketing.ru/Card/Person/19798", "ООО ""НЭТ БАЙ НЭТ ХОЛДИНГ""")</f>
        <v>ООО "НЭТ БАЙ НЭТ ХОЛДИНГ"</v>
      </c>
      <c r="K4279" s="24" t="s">
        <v>4805</v>
      </c>
      <c r="L4279" s="28" t="s">
        <v>52</v>
      </c>
      <c r="M4279" s="25">
        <v>3046125</v>
      </c>
      <c r="N4279" s="27">
        <v>0.14793706293706294</v>
      </c>
    </row>
    <row r="4280" spans="1:14" hidden="1" outlineLevel="1" x14ac:dyDescent="0.2">
      <c r="A4280" s="23" t="str">
        <f>HYPERLINK("https://www.spark-marketing.ru/Card/Person/35497", "ГОБУЗ ""МОКБ ИМ. П.А. БАЯНДИНА""")</f>
        <v>ГОБУЗ "МОКБ ИМ. П.А. БАЯНДИНА"</v>
      </c>
      <c r="B4280" s="24" t="s">
        <v>6103</v>
      </c>
      <c r="C4280" s="25">
        <v>3575000</v>
      </c>
      <c r="D4280" s="22" t="s">
        <v>6104</v>
      </c>
      <c r="E4280" s="22" t="s">
        <v>84</v>
      </c>
      <c r="F4280" s="23" t="str">
        <f>HYPERLINK("https://www.spark-marketing.ru/Card/Lot/72133684", "Выполнение работ по замене и установке систем видеонаблюдения")</f>
        <v>Выполнение работ по замене и установке систем видеонаблюдения</v>
      </c>
      <c r="G4280" s="22" t="s">
        <v>190</v>
      </c>
      <c r="H4280" s="22" t="s">
        <v>191</v>
      </c>
      <c r="I4280" s="26">
        <v>43662.645173611098</v>
      </c>
      <c r="J4280" s="23" t="str">
        <f>HYPERLINK("https://www.spark-marketing.ru/Card/Person/24781", "ООО ""МАРТ ПОЛАР""")</f>
        <v>ООО "МАРТ ПОЛАР"</v>
      </c>
      <c r="K4280" s="24" t="s">
        <v>6105</v>
      </c>
      <c r="L4280" s="28" t="s">
        <v>52</v>
      </c>
      <c r="M4280" s="25">
        <v>3000000</v>
      </c>
      <c r="N4280" s="27">
        <v>0.16083916083916083</v>
      </c>
    </row>
    <row r="4281" spans="1:14" ht="12.75" hidden="1" outlineLevel="1" x14ac:dyDescent="0.2">
      <c r="A4281" s="23" t="str">
        <f>HYPERLINK("https://www.spark-marketing.ru/Card/Person/35497", "ГОБУЗ ""МОКБ ИМ. П.А. БАЯНДИНА""")</f>
        <v>ГОБУЗ "МОКБ ИМ. П.А. БАЯНДИНА"</v>
      </c>
      <c r="B4281" s="24" t="s">
        <v>6103</v>
      </c>
      <c r="C4281" s="25">
        <v>3575000</v>
      </c>
      <c r="D4281" s="22" t="s">
        <v>6104</v>
      </c>
      <c r="E4281" s="22" t="s">
        <v>84</v>
      </c>
      <c r="F4281" s="23" t="str">
        <f>HYPERLINK("https://www.spark-marketing.ru/Card/Lot/72133684", "Выполнение работ по замене и установке систем видеонаблюдения")</f>
        <v>Выполнение работ по замене и установке систем видеонаблюдения</v>
      </c>
      <c r="G4281" s="22" t="s">
        <v>190</v>
      </c>
      <c r="H4281" s="22" t="s">
        <v>191</v>
      </c>
      <c r="I4281" s="26">
        <v>43662.645173611098</v>
      </c>
      <c r="J4281" s="23" t="str">
        <f>HYPERLINK("https://www.spark-marketing.ru/Card/Person/6618488", "ООО «БГК»")</f>
        <v>ООО «БГК»</v>
      </c>
      <c r="K4281" s="24" t="s">
        <v>6106</v>
      </c>
      <c r="L4281" s="22" t="s">
        <v>10</v>
      </c>
      <c r="M4281" s="25">
        <v>2982000</v>
      </c>
      <c r="N4281" s="27">
        <v>0.16587412587412587</v>
      </c>
    </row>
    <row r="4282" spans="1:14" x14ac:dyDescent="0.15">
      <c r="A4282" s="23" t="str">
        <f>HYPERLINK("https://www.spark-marketing.ru/Card/Person/4415898", "АО ""ВТЗ""")</f>
        <v>АО "ВТЗ"</v>
      </c>
      <c r="B4282" s="24" t="s">
        <v>2597</v>
      </c>
      <c r="C4282" s="25">
        <v>364994</v>
      </c>
      <c r="D4282" s="22" t="s">
        <v>6107</v>
      </c>
      <c r="E4282" s="22" t="s">
        <v>53</v>
      </c>
      <c r="F4282" s="23" t="str">
        <f>HYPERLINK("https://www.spark-marketing.ru/Card/Lot/72413636", "Закупка фильтровентиляционного агрегата и вытяжных устройств (пр-ва ЗАО ""СовПлим"").")</f>
        <v>Закупка фильтровентиляционного агрегата и вытяжных устройств (пр-ва ЗАО "СовПлим").</v>
      </c>
      <c r="G4282" s="22" t="s">
        <v>343</v>
      </c>
      <c r="H4282" s="22" t="s">
        <v>2599</v>
      </c>
      <c r="I4282" s="26">
        <v>43662.594039351898</v>
      </c>
      <c r="J4282" s="28" t="s">
        <v>52</v>
      </c>
      <c r="K4282" s="28" t="s">
        <v>52</v>
      </c>
      <c r="L4282" s="28" t="s">
        <v>52</v>
      </c>
      <c r="M4282" s="28" t="s">
        <v>52</v>
      </c>
      <c r="N4282" s="28" t="s">
        <v>52</v>
      </c>
    </row>
    <row r="4283" spans="1:14" x14ac:dyDescent="0.15">
      <c r="A4283" s="23" t="str">
        <f>HYPERLINK("https://www.spark-marketing.ru/Card/Person/193888", "ПАО ""САХАЛИНЭНЕРГО""")</f>
        <v>ПАО "САХАЛИНЭНЕРГО"</v>
      </c>
      <c r="B4283" s="24" t="s">
        <v>6108</v>
      </c>
      <c r="C4283" s="25">
        <v>5608868.5800000001</v>
      </c>
      <c r="D4283" s="22" t="s">
        <v>6109</v>
      </c>
      <c r="E4283" s="22" t="s">
        <v>6110</v>
      </c>
      <c r="F4283" s="23" t="str">
        <f>HYPERLINK("https://www.spark-marketing.ru/Card/Lot/72137811", "Противотеррористические мероприятия -установка системы охранного освещения, систем охранной сигнализации, систем охранного телевидения на подстанциях в ЮССР")</f>
        <v>Противотеррористические мероприятия -установка системы охранного освещения, систем охранной сигнализации, систем охранного телевидения на подстанциях в ЮССР</v>
      </c>
      <c r="G4283" s="22" t="s">
        <v>69</v>
      </c>
      <c r="H4283" s="22" t="s">
        <v>973</v>
      </c>
      <c r="I4283" s="26">
        <v>43662.608854166698</v>
      </c>
      <c r="J4283" s="28" t="s">
        <v>52</v>
      </c>
      <c r="K4283" s="28" t="s">
        <v>52</v>
      </c>
      <c r="L4283" s="28" t="s">
        <v>52</v>
      </c>
      <c r="M4283" s="28" t="s">
        <v>52</v>
      </c>
      <c r="N4283" s="28" t="s">
        <v>52</v>
      </c>
    </row>
    <row r="4284" spans="1:14" x14ac:dyDescent="0.15">
      <c r="A4284" s="23" t="str">
        <f>HYPERLINK("https://www.spark-marketing.ru/Card/Person/111422", "ГБУ ""ЦКС ""ИЗМАЙЛОВО""")</f>
        <v>ГБУ "ЦКС "ИЗМАЙЛОВО"</v>
      </c>
      <c r="B4284" s="24" t="s">
        <v>6111</v>
      </c>
      <c r="C4284" s="25">
        <v>352960.16</v>
      </c>
      <c r="D4284" s="22" t="s">
        <v>6112</v>
      </c>
      <c r="E4284" s="22" t="s">
        <v>84</v>
      </c>
      <c r="F4284" s="23" t="str">
        <f>HYPERLINK("https://www.spark-marketing.ru/Card/Lot/72129798", "Проведение работ по установке системы охранного видеонаблюдения для нужд ГБУ ""ЦКС ""Измайлово"" в 2019 г")</f>
        <v>Проведение работ по установке системы охранного видеонаблюдения для нужд ГБУ "ЦКС "Измайлово" в 2019 г</v>
      </c>
      <c r="G4284" s="22" t="s">
        <v>55</v>
      </c>
      <c r="H4284" s="22" t="s">
        <v>55</v>
      </c>
      <c r="I4284" s="26">
        <v>43662.618935185201</v>
      </c>
      <c r="J4284" s="23" t="str">
        <f>HYPERLINK("https://www.spark-marketing.ru/Card/Person/6407297", "Бодрова Вера Юрьевна")</f>
        <v>Бодрова Вера Юрьевна</v>
      </c>
      <c r="K4284" s="24" t="s">
        <v>2694</v>
      </c>
      <c r="L4284" s="28" t="s">
        <v>52</v>
      </c>
      <c r="M4284" s="28" t="s">
        <v>52</v>
      </c>
      <c r="N4284" s="28" t="s">
        <v>52</v>
      </c>
    </row>
    <row r="4285" spans="1:14" ht="12.75" hidden="1" outlineLevel="1" x14ac:dyDescent="0.2">
      <c r="A4285" s="23" t="str">
        <f>HYPERLINK("https://www.spark-marketing.ru/Card/Person/111422", "ГБУ ""ЦКС ""ИЗМАЙЛОВО""")</f>
        <v>ГБУ "ЦКС "ИЗМАЙЛОВО"</v>
      </c>
      <c r="B4285" s="24" t="s">
        <v>6111</v>
      </c>
      <c r="C4285" s="25">
        <v>352960.16</v>
      </c>
      <c r="D4285" s="22" t="s">
        <v>6112</v>
      </c>
      <c r="E4285" s="22" t="s">
        <v>84</v>
      </c>
      <c r="F4285" s="23" t="str">
        <f>HYPERLINK("https://www.spark-marketing.ru/Card/Lot/72129798", "Проведение работ по установке системы охранного видеонаблюдения для нужд ГБУ ""ЦКС ""Измайлово"" в 2019 г")</f>
        <v>Проведение работ по установке системы охранного видеонаблюдения для нужд ГБУ "ЦКС "Измайлово" в 2019 г</v>
      </c>
      <c r="G4285" s="22" t="s">
        <v>55</v>
      </c>
      <c r="H4285" s="22" t="s">
        <v>55</v>
      </c>
      <c r="I4285" s="26">
        <v>43662.618935185201</v>
      </c>
      <c r="J4285" s="23" t="str">
        <f>HYPERLINK("https://www.spark-marketing.ru/Card/Person/6407297", "Бодрова Вера Юрьевна")</f>
        <v>Бодрова Вера Юрьевна</v>
      </c>
      <c r="K4285" s="24" t="s">
        <v>2694</v>
      </c>
      <c r="L4285" s="22" t="s">
        <v>10</v>
      </c>
      <c r="M4285" s="25">
        <v>350960.16</v>
      </c>
      <c r="N4285" s="27">
        <v>5.6663618919483719E-3</v>
      </c>
    </row>
    <row r="4286" spans="1:14" x14ac:dyDescent="0.15">
      <c r="A4286" s="23" t="str">
        <f>HYPERLINK("https://www.spark-marketing.ru/Card/Person/62402", "МАУ ""ЦГКБ № 23""")</f>
        <v>МАУ "ЦГКБ № 23"</v>
      </c>
      <c r="B4286" s="24" t="s">
        <v>2202</v>
      </c>
      <c r="C4286" s="25">
        <v>42058.66</v>
      </c>
      <c r="D4286" s="22" t="s">
        <v>6113</v>
      </c>
      <c r="E4286" s="22" t="s">
        <v>2204</v>
      </c>
      <c r="F4286" s="23" t="str">
        <f>HYPERLINK("https://www.spark-marketing.ru/Card/Lot/72138317", "Приобретение, установка и настройка системы видеонаблюдения в травмпункте МАУ «ЦГКБ № 23»")</f>
        <v>Приобретение, установка и настройка системы видеонаблюдения в травмпункте МАУ «ЦГКБ № 23»</v>
      </c>
      <c r="G4286" s="22" t="s">
        <v>72</v>
      </c>
      <c r="H4286" s="22" t="s">
        <v>949</v>
      </c>
      <c r="I4286" s="26">
        <v>43662.609097222201</v>
      </c>
      <c r="J4286" s="28" t="s">
        <v>52</v>
      </c>
      <c r="K4286" s="28" t="s">
        <v>52</v>
      </c>
      <c r="L4286" s="28" t="s">
        <v>52</v>
      </c>
      <c r="M4286" s="28" t="s">
        <v>52</v>
      </c>
      <c r="N4286" s="28" t="s">
        <v>52</v>
      </c>
    </row>
    <row r="4287" spans="1:14" x14ac:dyDescent="0.15">
      <c r="A4287" s="23" t="str">
        <f>HYPERLINK("https://www.spark-marketing.ru/Card/Person/237993", "МБОУ ""УСАДОВСКАЯ СОШ""")</f>
        <v>МБОУ "УСАДОВСКАЯ СОШ"</v>
      </c>
      <c r="B4287" s="24" t="s">
        <v>6114</v>
      </c>
      <c r="C4287" s="25">
        <v>27100</v>
      </c>
      <c r="D4287" s="22" t="s">
        <v>6115</v>
      </c>
      <c r="E4287" s="22" t="s">
        <v>103</v>
      </c>
      <c r="F4287" s="23" t="str">
        <f>HYPERLINK("https://www.spark-marketing.ru/Card/Lot/72122164", "Выполнение работ по переносу приемно-контрольного прибора на поста охраны на объекте МБОУ ""Усадовская СОШ"".")</f>
        <v>Выполнение работ по переносу приемно-контрольного прибора на поста охраны на объекте МБОУ "Усадовская СОШ".</v>
      </c>
      <c r="G4287" s="22" t="s">
        <v>50</v>
      </c>
      <c r="H4287" s="22" t="s">
        <v>5791</v>
      </c>
      <c r="I4287" s="26">
        <v>43662.596539351798</v>
      </c>
      <c r="J4287" s="28" t="s">
        <v>52</v>
      </c>
      <c r="K4287" s="28" t="s">
        <v>52</v>
      </c>
      <c r="L4287" s="28" t="s">
        <v>52</v>
      </c>
      <c r="M4287" s="28" t="s">
        <v>52</v>
      </c>
      <c r="N4287" s="28" t="s">
        <v>52</v>
      </c>
    </row>
    <row r="4288" spans="1:14" x14ac:dyDescent="0.15">
      <c r="A4288" s="23" t="str">
        <f>HYPERLINK("https://www.spark-marketing.ru/Card/Person/30033", "ФГКУ КОМБИНАТ ""ИСКРОВЕЦ"" РОСРЕЗЕРВА")</f>
        <v>ФГКУ КОМБИНАТ "ИСКРОВЕЦ" РОСРЕЗЕРВА</v>
      </c>
      <c r="B4288" s="24" t="s">
        <v>5288</v>
      </c>
      <c r="C4288" s="25">
        <v>36664.32</v>
      </c>
      <c r="D4288" s="22" t="s">
        <v>6116</v>
      </c>
      <c r="E4288" s="22" t="s">
        <v>53</v>
      </c>
      <c r="F4288" s="23" t="str">
        <f>HYPERLINK("https://www.spark-marketing.ru/Card/Lot/72121658", "Техническое обслуживание тревожной кнопки")</f>
        <v>Техническое обслуживание тревожной кнопки</v>
      </c>
      <c r="G4288" s="22" t="s">
        <v>50</v>
      </c>
      <c r="H4288" s="22" t="s">
        <v>5291</v>
      </c>
      <c r="I4288" s="26">
        <v>43662.620324074102</v>
      </c>
      <c r="J4288" s="28" t="s">
        <v>52</v>
      </c>
      <c r="K4288" s="28" t="s">
        <v>52</v>
      </c>
      <c r="L4288" s="28" t="s">
        <v>52</v>
      </c>
      <c r="M4288" s="28" t="s">
        <v>52</v>
      </c>
      <c r="N4288" s="28" t="s">
        <v>52</v>
      </c>
    </row>
    <row r="4289" spans="1:14" x14ac:dyDescent="0.15">
      <c r="A4289" s="23" t="str">
        <f>HYPERLINK("https://www.spark-marketing.ru/Card/Person/8769", "АДМИНИСТРАЦИЯ ГО ЗАТО СВОБОДНЫЙ")</f>
        <v>АДМИНИСТРАЦИЯ ГО ЗАТО СВОБОДНЫЙ</v>
      </c>
      <c r="B4289" s="24" t="s">
        <v>3233</v>
      </c>
      <c r="C4289" s="25">
        <v>158229.6</v>
      </c>
      <c r="D4289" s="22" t="s">
        <v>6117</v>
      </c>
      <c r="E4289" s="22" t="s">
        <v>59</v>
      </c>
      <c r="F4289" s="23" t="str">
        <f>HYPERLINK("https://www.spark-marketing.ru/Card/Lot/72121300", "Выполнение работ по приобретению и установке светофора Т 7.1")</f>
        <v>Выполнение работ по приобретению и установке светофора Т 7.1</v>
      </c>
      <c r="G4289" s="22" t="s">
        <v>72</v>
      </c>
      <c r="H4289" s="22" t="s">
        <v>72</v>
      </c>
      <c r="I4289" s="26">
        <v>43662.572083333303</v>
      </c>
      <c r="J4289" s="28" t="s">
        <v>52</v>
      </c>
      <c r="K4289" s="28" t="s">
        <v>52</v>
      </c>
      <c r="L4289" s="28" t="s">
        <v>52</v>
      </c>
      <c r="M4289" s="28" t="s">
        <v>52</v>
      </c>
      <c r="N4289" s="28" t="s">
        <v>52</v>
      </c>
    </row>
    <row r="4290" spans="1:14" x14ac:dyDescent="0.2">
      <c r="A4290" s="23" t="str">
        <f>HYPERLINK("https://www.spark-marketing.ru/Card/Person/141388", "ГАУЗ РБ УЧАЛИНСКАЯ ЦГБ")</f>
        <v>ГАУЗ РБ УЧАЛИНСКАЯ ЦГБ</v>
      </c>
      <c r="B4290" s="24" t="s">
        <v>6118</v>
      </c>
      <c r="C4290" s="25">
        <v>495097.59999999998</v>
      </c>
      <c r="D4290" s="22" t="s">
        <v>6119</v>
      </c>
      <c r="E4290" s="22" t="s">
        <v>6120</v>
      </c>
      <c r="F4290" s="23" t="str">
        <f>HYPERLINK("https://www.spark-marketing.ru/Card/Lot/72136545", "Бесплатное обеспечение лекарственными средствами, выписанными беременным женщинам по рецептам врачей ГАУЗ РБ Учалинская ЦГБ")</f>
        <v>Бесплатное обеспечение лекарственными средствами, выписанными беременным женщинам по рецептам врачей ГАУЗ РБ Учалинская ЦГБ</v>
      </c>
      <c r="G4290" s="22" t="s">
        <v>100</v>
      </c>
      <c r="H4290" s="22" t="s">
        <v>6121</v>
      </c>
      <c r="I4290" s="26">
        <v>43662.578738425902</v>
      </c>
      <c r="J4290" s="28" t="s">
        <v>52</v>
      </c>
      <c r="K4290" s="28" t="s">
        <v>52</v>
      </c>
      <c r="L4290" s="22" t="s">
        <v>10</v>
      </c>
      <c r="M4290" s="25">
        <v>492027.6</v>
      </c>
      <c r="N4290" s="27">
        <v>6.2007975801134964E-3</v>
      </c>
    </row>
    <row r="4291" spans="1:14" x14ac:dyDescent="0.15">
      <c r="A4291" s="23" t="str">
        <f>HYPERLINK("https://www.spark-marketing.ru/Card/Person/48849", "ГБУЗ НО ""ГКБ № 30 МОСКОВСКОГО РАЙОНА""")</f>
        <v>ГБУЗ НО "ГКБ № 30 МОСКОВСКОГО РАЙОНА"</v>
      </c>
      <c r="B4291" s="24" t="s">
        <v>6122</v>
      </c>
      <c r="C4291" s="25">
        <v>42103.8</v>
      </c>
      <c r="D4291" s="22" t="s">
        <v>6123</v>
      </c>
      <c r="E4291" s="22" t="s">
        <v>68</v>
      </c>
      <c r="F4291" s="23" t="str">
        <f>HYPERLINK("https://www.spark-marketing.ru/Card/Lot/72124913", "Оказание охранных услуг")</f>
        <v>Оказание охранных услуг</v>
      </c>
      <c r="G4291" s="22" t="s">
        <v>64</v>
      </c>
      <c r="H4291" s="22" t="s">
        <v>65</v>
      </c>
      <c r="I4291" s="26">
        <v>43662.567222222198</v>
      </c>
      <c r="J4291" s="28" t="s">
        <v>52</v>
      </c>
      <c r="K4291" s="28" t="s">
        <v>52</v>
      </c>
      <c r="L4291" s="28" t="s">
        <v>52</v>
      </c>
      <c r="M4291" s="28" t="s">
        <v>52</v>
      </c>
      <c r="N4291" s="28" t="s">
        <v>52</v>
      </c>
    </row>
    <row r="4292" spans="1:14" x14ac:dyDescent="0.15">
      <c r="A4292" s="23" t="str">
        <f>HYPERLINK("https://www.spark-marketing.ru/Card/Person/4348801", "ВЕРХОВНЫЙ СУД РСО-АЛАНИЯ")</f>
        <v>ВЕРХОВНЫЙ СУД РСО-АЛАНИЯ</v>
      </c>
      <c r="B4292" s="24" t="s">
        <v>3889</v>
      </c>
      <c r="C4292" s="25">
        <v>276717.48</v>
      </c>
      <c r="D4292" s="22" t="s">
        <v>6124</v>
      </c>
      <c r="E4292" s="22" t="s">
        <v>103</v>
      </c>
      <c r="F4292" s="23" t="str">
        <f>HYPERLINK("https://www.spark-marketing.ru/Card/Lot/72129716", "Обслуживание технических средств защиты (охраны).")</f>
        <v>Обслуживание технических средств защиты (охраны).</v>
      </c>
      <c r="G4292" s="22" t="s">
        <v>833</v>
      </c>
      <c r="H4292" s="22" t="s">
        <v>834</v>
      </c>
      <c r="I4292" s="26">
        <v>43662.558425925898</v>
      </c>
      <c r="J4292" s="28" t="s">
        <v>52</v>
      </c>
      <c r="K4292" s="28" t="s">
        <v>52</v>
      </c>
      <c r="L4292" s="28" t="s">
        <v>52</v>
      </c>
      <c r="M4292" s="28" t="s">
        <v>52</v>
      </c>
      <c r="N4292" s="28" t="s">
        <v>52</v>
      </c>
    </row>
    <row r="4293" spans="1:14" x14ac:dyDescent="0.15">
      <c r="A4293" s="23" t="str">
        <f>HYPERLINK("https://www.spark-marketing.ru/Card/Person/65466", "ГБУЗ РК ""УХТИНСКАЯ СТАНЦИЯ СКОРОЙ МЕДИЦИНСКОЙ ПОМОЩИ""")</f>
        <v>ГБУЗ РК "УХТИНСКАЯ СТАНЦИЯ СКОРОЙ МЕДИЦИНСКОЙ ПОМОЩИ"</v>
      </c>
      <c r="B4293" s="24" t="s">
        <v>6125</v>
      </c>
      <c r="C4293" s="25">
        <v>16800</v>
      </c>
      <c r="D4293" s="22" t="s">
        <v>6126</v>
      </c>
      <c r="E4293" s="22" t="s">
        <v>107</v>
      </c>
      <c r="F4293" s="23" t="str">
        <f>HYPERLINK("https://www.spark-marketing.ru/Card/Lot/72124937", "Оказание услуг по техническому обслуживанию видеодомофона, мини АТС, системы громкоговорящей связи")</f>
        <v>Оказание услуг по техническому обслуживанию видеодомофона, мини АТС, системы громкоговорящей связи</v>
      </c>
      <c r="G4293" s="22" t="s">
        <v>538</v>
      </c>
      <c r="H4293" s="22" t="s">
        <v>4493</v>
      </c>
      <c r="I4293" s="26">
        <v>43662.526458333297</v>
      </c>
      <c r="J4293" s="23" t="str">
        <f>HYPERLINK("https://www.spark-marketing.ru/Card/Person/2594821", "ООО ""ПРОМСВЯЗЬ""")</f>
        <v>ООО "ПРОМСВЯЗЬ"</v>
      </c>
      <c r="K4293" s="24" t="s">
        <v>6127</v>
      </c>
      <c r="L4293" s="28" t="s">
        <v>52</v>
      </c>
      <c r="M4293" s="28" t="s">
        <v>52</v>
      </c>
      <c r="N4293" s="28" t="s">
        <v>52</v>
      </c>
    </row>
    <row r="4294" spans="1:14" ht="12.75" hidden="1" outlineLevel="1" x14ac:dyDescent="0.2">
      <c r="A4294" s="23" t="str">
        <f>HYPERLINK("https://www.spark-marketing.ru/Card/Person/65466", "ГБУЗ РК ""УХТИНСКАЯ СТАНЦИЯ СКОРОЙ МЕДИЦИНСКОЙ ПОМОЩИ""")</f>
        <v>ГБУЗ РК "УХТИНСКАЯ СТАНЦИЯ СКОРОЙ МЕДИЦИНСКОЙ ПОМОЩИ"</v>
      </c>
      <c r="B4294" s="24" t="s">
        <v>6125</v>
      </c>
      <c r="C4294" s="25">
        <v>16800</v>
      </c>
      <c r="D4294" s="22" t="s">
        <v>6126</v>
      </c>
      <c r="E4294" s="22" t="s">
        <v>107</v>
      </c>
      <c r="F4294" s="23" t="str">
        <f>HYPERLINK("https://www.spark-marketing.ru/Card/Lot/72124937", "Оказание услуг по техническому обслуживанию видеодомофона, мини АТС, системы громкоговорящей связи")</f>
        <v>Оказание услуг по техническому обслуживанию видеодомофона, мини АТС, системы громкоговорящей связи</v>
      </c>
      <c r="G4294" s="22" t="s">
        <v>538</v>
      </c>
      <c r="H4294" s="22" t="s">
        <v>4493</v>
      </c>
      <c r="I4294" s="26">
        <v>43662.526458333297</v>
      </c>
      <c r="J4294" s="23" t="str">
        <f>HYPERLINK("https://www.spark-marketing.ru/Card/Person/2594821", "ООО ""ПРОМСВЯЗЬ""")</f>
        <v>ООО "ПРОМСВЯЗЬ"</v>
      </c>
      <c r="K4294" s="24" t="s">
        <v>6127</v>
      </c>
      <c r="L4294" s="22" t="s">
        <v>10</v>
      </c>
      <c r="M4294" s="25">
        <v>16716</v>
      </c>
      <c r="N4294" s="27">
        <v>5.0000000000000001E-3</v>
      </c>
    </row>
    <row r="4295" spans="1:14" x14ac:dyDescent="0.15">
      <c r="A4295" s="23" t="str">
        <f>HYPERLINK("https://www.spark-marketing.ru/Card/Person/1031792", "МОУ ГИМНАЗИЯ №10")</f>
        <v>МОУ ГИМНАЗИЯ №10</v>
      </c>
      <c r="B4295" s="24" t="s">
        <v>6128</v>
      </c>
      <c r="C4295" s="25">
        <v>21000</v>
      </c>
      <c r="D4295" s="22" t="s">
        <v>6129</v>
      </c>
      <c r="E4295" s="22" t="s">
        <v>294</v>
      </c>
      <c r="F4295" s="23" t="str">
        <f>HYPERLINK("https://www.spark-marketing.ru/Card/Lot/72117510", "Техническое обслуживание системы видеонаблюдения")</f>
        <v>Техническое обслуживание системы видеонаблюдения</v>
      </c>
      <c r="G4295" s="22" t="s">
        <v>50</v>
      </c>
      <c r="H4295" s="22" t="s">
        <v>239</v>
      </c>
      <c r="I4295" s="26">
        <v>43662.503009259301</v>
      </c>
      <c r="J4295" s="28" t="s">
        <v>52</v>
      </c>
      <c r="K4295" s="28" t="s">
        <v>52</v>
      </c>
      <c r="L4295" s="28" t="s">
        <v>52</v>
      </c>
      <c r="M4295" s="28" t="s">
        <v>52</v>
      </c>
      <c r="N4295" s="28" t="s">
        <v>52</v>
      </c>
    </row>
    <row r="4296" spans="1:14" x14ac:dyDescent="0.15">
      <c r="A4296" s="23" t="str">
        <f>HYPERLINK("https://www.spark-marketing.ru/Card/Person/35626", "МКУ ""СЛУЖБА ЭКСТРЕННОГО РЕАГИРОВАНИЯ""")</f>
        <v>МКУ "СЛУЖБА ЭКСТРЕННОГО РЕАГИРОВАНИЯ"</v>
      </c>
      <c r="B4296" s="24" t="s">
        <v>6130</v>
      </c>
      <c r="C4296" s="25">
        <v>250000</v>
      </c>
      <c r="D4296" s="22" t="s">
        <v>6131</v>
      </c>
      <c r="E4296" s="22" t="s">
        <v>84</v>
      </c>
      <c r="F4296" s="23" t="str">
        <f>HYPERLINK("https://www.spark-marketing.ru/Card/Lot/72121900", "Оказание услуг по установке камер наружного видеонаблюдения АПК «Безопасный город», а также сопутствующего оборудования")</f>
        <v>Оказание услуг по установке камер наружного видеонаблюдения АПК «Безопасный город», а также сопутствующего оборудования</v>
      </c>
      <c r="G4296" s="22" t="s">
        <v>311</v>
      </c>
      <c r="H4296" s="22" t="s">
        <v>4513</v>
      </c>
      <c r="I4296" s="26">
        <v>43662.512291666702</v>
      </c>
      <c r="J4296" s="28" t="s">
        <v>52</v>
      </c>
      <c r="K4296" s="28" t="s">
        <v>52</v>
      </c>
      <c r="L4296" s="28" t="s">
        <v>52</v>
      </c>
      <c r="M4296" s="28" t="s">
        <v>52</v>
      </c>
      <c r="N4296" s="28" t="s">
        <v>52</v>
      </c>
    </row>
    <row r="4297" spans="1:14" ht="12.75" hidden="1" outlineLevel="1" x14ac:dyDescent="0.2">
      <c r="A4297" s="23" t="str">
        <f>HYPERLINK("https://www.spark-marketing.ru/Card/Person/35626", "МКУ ""СЛУЖБА ЭКСТРЕННОГО РЕАГИРОВАНИЯ""")</f>
        <v>МКУ "СЛУЖБА ЭКСТРЕННОГО РЕАГИРОВАНИЯ"</v>
      </c>
      <c r="B4297" s="24" t="s">
        <v>6130</v>
      </c>
      <c r="C4297" s="25">
        <v>250000</v>
      </c>
      <c r="D4297" s="22" t="s">
        <v>6131</v>
      </c>
      <c r="E4297" s="22" t="s">
        <v>84</v>
      </c>
      <c r="F4297" s="23" t="str">
        <f>HYPERLINK("https://www.spark-marketing.ru/Card/Lot/72121900", "Оказание услуг по установке камер наружного видеонаблюдения АПК «Безопасный город», а также сопутствующего оборудования")</f>
        <v>Оказание услуг по установке камер наружного видеонаблюдения АПК «Безопасный город», а также сопутствующего оборудования</v>
      </c>
      <c r="G4297" s="22" t="s">
        <v>311</v>
      </c>
      <c r="H4297" s="22" t="s">
        <v>4513</v>
      </c>
      <c r="I4297" s="26">
        <v>43662.512291666702</v>
      </c>
      <c r="J4297" s="23" t="str">
        <f>HYPERLINK("https://www.spark-marketing.ru/Card/Person/650204", "Олексеенко Ростислав Юрьевич")</f>
        <v>Олексеенко Ростислав Юрьевич</v>
      </c>
      <c r="K4297" s="24" t="s">
        <v>5544</v>
      </c>
      <c r="L4297" s="22" t="s">
        <v>10</v>
      </c>
      <c r="M4297" s="25">
        <v>250000</v>
      </c>
      <c r="N4297" s="27">
        <v>0</v>
      </c>
    </row>
    <row r="4298" spans="1:14" hidden="1" outlineLevel="1" x14ac:dyDescent="0.2">
      <c r="A4298" s="23" t="str">
        <f>HYPERLINK("https://www.spark-marketing.ru/Card/Person/35626", "МКУ ""СЛУЖБА ЭКСТРЕННОГО РЕАГИРОВАНИЯ""")</f>
        <v>МКУ "СЛУЖБА ЭКСТРЕННОГО РЕАГИРОВАНИЯ"</v>
      </c>
      <c r="B4298" s="24" t="s">
        <v>6130</v>
      </c>
      <c r="C4298" s="25">
        <v>250000</v>
      </c>
      <c r="D4298" s="22" t="s">
        <v>6131</v>
      </c>
      <c r="E4298" s="22" t="s">
        <v>84</v>
      </c>
      <c r="F4298" s="23" t="str">
        <f>HYPERLINK("https://www.spark-marketing.ru/Card/Lot/72121900", "Оказание услуг по установке камер наружного видеонаблюдения АПК «Безопасный город», а также сопутствующего оборудования")</f>
        <v>Оказание услуг по установке камер наружного видеонаблюдения АПК «Безопасный город», а также сопутствующего оборудования</v>
      </c>
      <c r="G4298" s="22" t="s">
        <v>311</v>
      </c>
      <c r="H4298" s="22" t="s">
        <v>4513</v>
      </c>
      <c r="I4298" s="26">
        <v>43662.512291666702</v>
      </c>
      <c r="J4298" s="23" t="str">
        <f>HYPERLINK("https://www.spark-marketing.ru/Card/Person/38675", "ООО ""РАДИАЛСБ""")</f>
        <v>ООО "РАДИАЛСБ"</v>
      </c>
      <c r="K4298" s="24" t="s">
        <v>6132</v>
      </c>
      <c r="L4298" s="28" t="s">
        <v>52</v>
      </c>
      <c r="M4298" s="25">
        <v>250000</v>
      </c>
      <c r="N4298" s="27">
        <v>0</v>
      </c>
    </row>
    <row r="4299" spans="1:14" hidden="1" outlineLevel="1" x14ac:dyDescent="0.15">
      <c r="A4299" s="23" t="str">
        <f>HYPERLINK("https://www.spark-marketing.ru/Card/Person/35626", "МКУ ""СЛУЖБА ЭКСТРЕННОГО РЕАГИРОВАНИЯ""")</f>
        <v>МКУ "СЛУЖБА ЭКСТРЕННОГО РЕАГИРОВАНИЯ"</v>
      </c>
      <c r="B4299" s="24" t="s">
        <v>6130</v>
      </c>
      <c r="C4299" s="25">
        <v>250000</v>
      </c>
      <c r="D4299" s="22" t="s">
        <v>6131</v>
      </c>
      <c r="E4299" s="22" t="s">
        <v>84</v>
      </c>
      <c r="F4299" s="23" t="str">
        <f>HYPERLINK("https://www.spark-marketing.ru/Card/Lot/72121900", "Оказание услуг по установке камер наружного видеонаблюдения АПК «Безопасный город», а также сопутствующего оборудования")</f>
        <v>Оказание услуг по установке камер наружного видеонаблюдения АПК «Безопасный город», а также сопутствующего оборудования</v>
      </c>
      <c r="G4299" s="22" t="s">
        <v>311</v>
      </c>
      <c r="H4299" s="22" t="s">
        <v>4513</v>
      </c>
      <c r="I4299" s="26">
        <v>43662.512291666702</v>
      </c>
      <c r="J4299" s="23" t="str">
        <f>HYPERLINK("https://www.spark-marketing.ru/Card/Person/5946017", "ООО ""12 БИТ""")</f>
        <v>ООО "12 БИТ"</v>
      </c>
      <c r="K4299" s="24" t="s">
        <v>6133</v>
      </c>
      <c r="L4299" s="28" t="s">
        <v>52</v>
      </c>
      <c r="M4299" s="28" t="s">
        <v>52</v>
      </c>
      <c r="N4299" s="28" t="s">
        <v>52</v>
      </c>
    </row>
    <row r="4300" spans="1:14" hidden="1" outlineLevel="1" x14ac:dyDescent="0.15">
      <c r="A4300" s="23" t="str">
        <f>HYPERLINK("https://www.spark-marketing.ru/Card/Person/35626", "МКУ ""СЛУЖБА ЭКСТРЕННОГО РЕАГИРОВАНИЯ""")</f>
        <v>МКУ "СЛУЖБА ЭКСТРЕННОГО РЕАГИРОВАНИЯ"</v>
      </c>
      <c r="B4300" s="24" t="s">
        <v>6130</v>
      </c>
      <c r="C4300" s="25">
        <v>250000</v>
      </c>
      <c r="D4300" s="22" t="s">
        <v>6131</v>
      </c>
      <c r="E4300" s="22" t="s">
        <v>84</v>
      </c>
      <c r="F4300" s="23" t="str">
        <f>HYPERLINK("https://www.spark-marketing.ru/Card/Lot/72121900", "Оказание услуг по установке камер наружного видеонаблюдения АПК «Безопасный город», а также сопутствующего оборудования")</f>
        <v>Оказание услуг по установке камер наружного видеонаблюдения АПК «Безопасный город», а также сопутствующего оборудования</v>
      </c>
      <c r="G4300" s="22" t="s">
        <v>311</v>
      </c>
      <c r="H4300" s="22" t="s">
        <v>4513</v>
      </c>
      <c r="I4300" s="26">
        <v>43662.512291666702</v>
      </c>
      <c r="J4300" s="23" t="str">
        <f>HYPERLINK("https://www.spark-marketing.ru/Card/Person/90156", "ООО ""ПАРИТЕТ""")</f>
        <v>ООО "ПАРИТЕТ"</v>
      </c>
      <c r="K4300" s="24" t="s">
        <v>6134</v>
      </c>
      <c r="L4300" s="28" t="s">
        <v>52</v>
      </c>
      <c r="M4300" s="28" t="s">
        <v>52</v>
      </c>
      <c r="N4300" s="28" t="s">
        <v>52</v>
      </c>
    </row>
    <row r="4301" spans="1:14" x14ac:dyDescent="0.15">
      <c r="A4301" s="23" t="str">
        <f>HYPERLINK("https://www.spark-marketing.ru/Card/Person/21942", "ЛИХОВСКОЙ ЛО МВД РОССИИ НА ТРАНСПОРТЕ")</f>
        <v>ЛИХОВСКОЙ ЛО МВД РОССИИ НА ТРАНСПОРТЕ</v>
      </c>
      <c r="B4301" s="24" t="s">
        <v>6135</v>
      </c>
      <c r="C4301" s="25">
        <v>215000</v>
      </c>
      <c r="D4301" s="22" t="s">
        <v>6136</v>
      </c>
      <c r="E4301" s="22" t="s">
        <v>59</v>
      </c>
      <c r="F4301" s="23" t="str">
        <f>HYPERLINK("https://www.spark-marketing.ru/Card/Lot/72129625", "установка охранной сигнализации")</f>
        <v>установка охранной сигнализации</v>
      </c>
      <c r="G4301" s="22" t="s">
        <v>402</v>
      </c>
      <c r="H4301" s="22" t="s">
        <v>6137</v>
      </c>
      <c r="I4301" s="26">
        <v>43662.479918981502</v>
      </c>
      <c r="J4301" s="28" t="s">
        <v>52</v>
      </c>
      <c r="K4301" s="28" t="s">
        <v>52</v>
      </c>
      <c r="L4301" s="28" t="s">
        <v>52</v>
      </c>
      <c r="M4301" s="28" t="s">
        <v>52</v>
      </c>
      <c r="N4301" s="28" t="s">
        <v>52</v>
      </c>
    </row>
    <row r="4302" spans="1:14" hidden="1" outlineLevel="1" x14ac:dyDescent="0.2">
      <c r="A4302" s="23" t="str">
        <f>HYPERLINK("https://www.spark-marketing.ru/Card/Person/21942", "ЛИХОВСКОЙ ЛО МВД РОССИИ НА ТРАНСПОРТЕ")</f>
        <v>ЛИХОВСКОЙ ЛО МВД РОССИИ НА ТРАНСПОРТЕ</v>
      </c>
      <c r="B4302" s="24" t="s">
        <v>6135</v>
      </c>
      <c r="C4302" s="25">
        <v>215000</v>
      </c>
      <c r="D4302" s="22" t="s">
        <v>6136</v>
      </c>
      <c r="E4302" s="22" t="s">
        <v>59</v>
      </c>
      <c r="F4302" s="23" t="str">
        <f>HYPERLINK("https://www.spark-marketing.ru/Card/Lot/72129625", "установка охранной сигнализации")</f>
        <v>установка охранной сигнализации</v>
      </c>
      <c r="G4302" s="22" t="s">
        <v>402</v>
      </c>
      <c r="H4302" s="22" t="s">
        <v>6137</v>
      </c>
      <c r="I4302" s="26">
        <v>43662.479918981502</v>
      </c>
      <c r="J4302" s="23" t="str">
        <f>HYPERLINK("https://www.spark-marketing.ru/Card/Person/392146", "Твардовский Павел Константинович")</f>
        <v>Твардовский Павел Константинович</v>
      </c>
      <c r="K4302" s="24" t="s">
        <v>6138</v>
      </c>
      <c r="L4302" s="28" t="s">
        <v>52</v>
      </c>
      <c r="M4302" s="25">
        <v>199400</v>
      </c>
      <c r="N4302" s="27">
        <v>7.2558139534883714E-2</v>
      </c>
    </row>
    <row r="4303" spans="1:14" ht="12.75" hidden="1" outlineLevel="1" x14ac:dyDescent="0.2">
      <c r="A4303" s="23" t="str">
        <f>HYPERLINK("https://www.spark-marketing.ru/Card/Person/21942", "ЛИХОВСКОЙ ЛО МВД РОССИИ НА ТРАНСПОРТЕ")</f>
        <v>ЛИХОВСКОЙ ЛО МВД РОССИИ НА ТРАНСПОРТЕ</v>
      </c>
      <c r="B4303" s="24" t="s">
        <v>6135</v>
      </c>
      <c r="C4303" s="25">
        <v>215000</v>
      </c>
      <c r="D4303" s="22" t="s">
        <v>6136</v>
      </c>
      <c r="E4303" s="22" t="s">
        <v>59</v>
      </c>
      <c r="F4303" s="23" t="str">
        <f>HYPERLINK("https://www.spark-marketing.ru/Card/Lot/72129625", "установка охранной сигнализации")</f>
        <v>установка охранной сигнализации</v>
      </c>
      <c r="G4303" s="22" t="s">
        <v>402</v>
      </c>
      <c r="H4303" s="22" t="s">
        <v>6137</v>
      </c>
      <c r="I4303" s="26">
        <v>43662.479918981502</v>
      </c>
      <c r="J4303" s="23" t="str">
        <f>HYPERLINK("https://www.spark-marketing.ru/Card/Person/465761", "Кривченко Валерий Валерьевич")</f>
        <v>Кривченко Валерий Валерьевич</v>
      </c>
      <c r="K4303" s="24" t="s">
        <v>6139</v>
      </c>
      <c r="L4303" s="22" t="s">
        <v>10</v>
      </c>
      <c r="M4303" s="25">
        <v>154000</v>
      </c>
      <c r="N4303" s="27">
        <v>0.28372093023255812</v>
      </c>
    </row>
    <row r="4304" spans="1:14" hidden="1" outlineLevel="1" x14ac:dyDescent="0.2">
      <c r="A4304" s="23" t="str">
        <f>HYPERLINK("https://www.spark-marketing.ru/Card/Person/21942", "ЛИХОВСКОЙ ЛО МВД РОССИИ НА ТРАНСПОРТЕ")</f>
        <v>ЛИХОВСКОЙ ЛО МВД РОССИИ НА ТРАНСПОРТЕ</v>
      </c>
      <c r="B4304" s="24" t="s">
        <v>6135</v>
      </c>
      <c r="C4304" s="25">
        <v>215000</v>
      </c>
      <c r="D4304" s="22" t="s">
        <v>6136</v>
      </c>
      <c r="E4304" s="22" t="s">
        <v>59</v>
      </c>
      <c r="F4304" s="23" t="str">
        <f>HYPERLINK("https://www.spark-marketing.ru/Card/Lot/72129625", "установка охранной сигнализации")</f>
        <v>установка охранной сигнализации</v>
      </c>
      <c r="G4304" s="22" t="s">
        <v>402</v>
      </c>
      <c r="H4304" s="22" t="s">
        <v>6137</v>
      </c>
      <c r="I4304" s="26">
        <v>43662.479918981502</v>
      </c>
      <c r="J4304" s="23" t="str">
        <f>HYPERLINK("https://www.spark-marketing.ru/Card/Person/306288", "ООО ""ГЕФЕСТ""")</f>
        <v>ООО "ГЕФЕСТ"</v>
      </c>
      <c r="K4304" s="24" t="s">
        <v>6140</v>
      </c>
      <c r="L4304" s="28" t="s">
        <v>52</v>
      </c>
      <c r="M4304" s="25">
        <v>180000</v>
      </c>
      <c r="N4304" s="27">
        <v>0.16279069767441862</v>
      </c>
    </row>
    <row r="4305" spans="1:14" x14ac:dyDescent="0.2">
      <c r="A4305" s="23" t="str">
        <f>HYPERLINK("https://www.spark-marketing.ru/Card/Person/9471", "ФГБОУ ВО ПСПБГМУ ИМ. И.П. ПАВЛОВА МИНЗДРАВА РОССИИ")</f>
        <v>ФГБОУ ВО ПСПБГМУ ИМ. И.П. ПАВЛОВА МИНЗДРАВА РОССИИ</v>
      </c>
      <c r="B4305" s="24" t="s">
        <v>437</v>
      </c>
      <c r="C4305" s="25">
        <v>153940</v>
      </c>
      <c r="D4305" s="22" t="s">
        <v>6141</v>
      </c>
      <c r="E4305" s="22" t="s">
        <v>2577</v>
      </c>
      <c r="F4305" s="23" t="str">
        <f>HYPERLINK("https://www.spark-marketing.ru/Card/Lot/72138549", "Выполнение работ по установке видеонаблюдения и переносе автоматического шлагбаума")</f>
        <v>Выполнение работ по установке видеонаблюдения и переносе автоматического шлагбаума</v>
      </c>
      <c r="G4305" s="22" t="s">
        <v>89</v>
      </c>
      <c r="H4305" s="22" t="s">
        <v>89</v>
      </c>
      <c r="I4305" s="26">
        <v>43662.464594907397</v>
      </c>
      <c r="J4305" s="28" t="s">
        <v>52</v>
      </c>
      <c r="K4305" s="28" t="s">
        <v>52</v>
      </c>
      <c r="L4305" s="22" t="s">
        <v>10</v>
      </c>
      <c r="M4305" s="25">
        <v>153940</v>
      </c>
      <c r="N4305" s="27">
        <v>0</v>
      </c>
    </row>
    <row r="4306" spans="1:14" x14ac:dyDescent="0.15">
      <c r="A4306" s="23" t="str">
        <f>HYPERLINK("https://www.spark-marketing.ru/Card/Person/15104", "МЕЖРАЙОННАЯ ИФНС РОССИИ № 9 ПО ПЕРМСКОМУ КРАЮ")</f>
        <v>МЕЖРАЙОННАЯ ИФНС РОССИИ № 9 ПО ПЕРМСКОМУ КРАЮ</v>
      </c>
      <c r="B4306" s="24" t="s">
        <v>6142</v>
      </c>
      <c r="C4306" s="25">
        <v>56826</v>
      </c>
      <c r="D4306" s="22" t="s">
        <v>6143</v>
      </c>
      <c r="E4306" s="22" t="s">
        <v>53</v>
      </c>
      <c r="F4306" s="23" t="str">
        <f>HYPERLINK("https://www.spark-marketing.ru/Card/Lot/72114131", "Физическая охрана объекта по адресу: г Пермь, ул. Александра Щербакова, 35")</f>
        <v>Физическая охрана объекта по адресу: г Пермь, ул. Александра Щербакова, 35</v>
      </c>
      <c r="G4306" s="22" t="s">
        <v>391</v>
      </c>
      <c r="H4306" s="22" t="s">
        <v>392</v>
      </c>
      <c r="I4306" s="26">
        <v>43662.4483680556</v>
      </c>
      <c r="J4306" s="28" t="s">
        <v>52</v>
      </c>
      <c r="K4306" s="28" t="s">
        <v>52</v>
      </c>
      <c r="L4306" s="28" t="s">
        <v>52</v>
      </c>
      <c r="M4306" s="28" t="s">
        <v>52</v>
      </c>
      <c r="N4306" s="28" t="s">
        <v>52</v>
      </c>
    </row>
    <row r="4307" spans="1:14" x14ac:dyDescent="0.15">
      <c r="A4307" s="23" t="str">
        <f>HYPERLINK("https://www.spark-marketing.ru/Card/Person/15104", "МЕЖРАЙОННАЯ ИФНС РОССИИ № 9 ПО ПЕРМСКОМУ КРАЮ")</f>
        <v>МЕЖРАЙОННАЯ ИФНС РОССИИ № 9 ПО ПЕРМСКОМУ КРАЮ</v>
      </c>
      <c r="B4307" s="24" t="s">
        <v>6142</v>
      </c>
      <c r="C4307" s="25">
        <v>30258</v>
      </c>
      <c r="D4307" s="22" t="s">
        <v>6144</v>
      </c>
      <c r="E4307" s="22" t="s">
        <v>53</v>
      </c>
      <c r="F4307" s="23" t="str">
        <f>HYPERLINK("https://www.spark-marketing.ru/Card/Lot/72114050", "Физическая охрана объекта по адресу: г Пермь, ул. Александра Щербакова, 35")</f>
        <v>Физическая охрана объекта по адресу: г Пермь, ул. Александра Щербакова, 35</v>
      </c>
      <c r="G4307" s="22" t="s">
        <v>391</v>
      </c>
      <c r="H4307" s="22" t="s">
        <v>392</v>
      </c>
      <c r="I4307" s="26">
        <v>43662.424826388902</v>
      </c>
      <c r="J4307" s="28" t="s">
        <v>52</v>
      </c>
      <c r="K4307" s="28" t="s">
        <v>52</v>
      </c>
      <c r="L4307" s="28" t="s">
        <v>52</v>
      </c>
      <c r="M4307" s="28" t="s">
        <v>52</v>
      </c>
      <c r="N4307" s="28" t="s">
        <v>52</v>
      </c>
    </row>
    <row r="4308" spans="1:14" x14ac:dyDescent="0.15">
      <c r="A4308" s="23" t="str">
        <f>HYPERLINK("https://www.spark-marketing.ru/Card/Person/1001105", "МО МВД РОССИИ ""ПЕРЕВОЗСКИЙ""")</f>
        <v>МО МВД РОССИИ "ПЕРЕВОЗСКИЙ"</v>
      </c>
      <c r="B4308" s="24" t="s">
        <v>6145</v>
      </c>
      <c r="C4308" s="25">
        <v>6228</v>
      </c>
      <c r="D4308" s="22" t="s">
        <v>6146</v>
      </c>
      <c r="E4308" s="22" t="s">
        <v>107</v>
      </c>
      <c r="F4308" s="23" t="str">
        <f>HYPERLINK("https://www.spark-marketing.ru/Card/Lot/72112672", "Услуги по техническому обслуживанию комплекса технических средств охранной сигнализации")</f>
        <v>Услуги по техническому обслуживанию комплекса технических средств охранной сигнализации</v>
      </c>
      <c r="G4308" s="22" t="s">
        <v>64</v>
      </c>
      <c r="H4308" s="22" t="s">
        <v>6147</v>
      </c>
      <c r="I4308" s="26">
        <v>43662.3996064815</v>
      </c>
      <c r="J4308" s="28" t="s">
        <v>52</v>
      </c>
      <c r="K4308" s="28" t="s">
        <v>52</v>
      </c>
      <c r="L4308" s="28" t="s">
        <v>52</v>
      </c>
      <c r="M4308" s="28" t="s">
        <v>52</v>
      </c>
      <c r="N4308" s="28" t="s">
        <v>52</v>
      </c>
    </row>
    <row r="4309" spans="1:14" x14ac:dyDescent="0.15">
      <c r="A4309" s="23" t="str">
        <f>HYPERLINK("https://www.spark-marketing.ru/Card/Person/996259", "МАОУ ""СОШ № 134"" Г.ПЕРМИ")</f>
        <v>МАОУ "СОШ № 134" Г.ПЕРМИ</v>
      </c>
      <c r="B4309" s="24" t="s">
        <v>6148</v>
      </c>
      <c r="C4309" s="25">
        <v>587880</v>
      </c>
      <c r="D4309" s="22" t="s">
        <v>6149</v>
      </c>
      <c r="E4309" s="22" t="s">
        <v>144</v>
      </c>
      <c r="F4309" s="23" t="str">
        <f>HYPERLINK("https://www.spark-marketing.ru/Card/Lot/72136884", "Оказание охранных услуг в МАОУ ""СОШ № 134"" г.Перми")</f>
        <v>Оказание охранных услуг в МАОУ "СОШ № 134" г.Перми</v>
      </c>
      <c r="G4309" s="22" t="s">
        <v>391</v>
      </c>
      <c r="H4309" s="22" t="s">
        <v>391</v>
      </c>
      <c r="I4309" s="26">
        <v>43662.3904861111</v>
      </c>
      <c r="J4309" s="28" t="s">
        <v>52</v>
      </c>
      <c r="K4309" s="28" t="s">
        <v>52</v>
      </c>
      <c r="L4309" s="28" t="s">
        <v>52</v>
      </c>
      <c r="M4309" s="28" t="s">
        <v>52</v>
      </c>
      <c r="N4309" s="28" t="s">
        <v>52</v>
      </c>
    </row>
    <row r="4310" spans="1:14" x14ac:dyDescent="0.15">
      <c r="A4310" s="23" t="str">
        <f>HYPERLINK("https://www.spark-marketing.ru/Card/Person/1020806", "МО МВД РОССИИ ""НЕФТЕГОРСКИЙ""")</f>
        <v>МО МВД РОССИИ "НЕФТЕГОРСКИЙ"</v>
      </c>
      <c r="B4310" s="24" t="s">
        <v>6150</v>
      </c>
      <c r="C4310" s="25">
        <v>56000</v>
      </c>
      <c r="D4310" s="22" t="s">
        <v>6151</v>
      </c>
      <c r="E4310" s="22" t="s">
        <v>53</v>
      </c>
      <c r="F4310" s="23" t="str">
        <f>HYPERLINK("https://www.spark-marketing.ru/Card/Lot/72111526", "Техническое обслуживание охранно-тревожной сигнализации")</f>
        <v>Техническое обслуживание охранно-тревожной сигнализации</v>
      </c>
      <c r="G4310" s="22" t="s">
        <v>760</v>
      </c>
      <c r="H4310" s="22" t="s">
        <v>6152</v>
      </c>
      <c r="I4310" s="26">
        <v>43662.376689814802</v>
      </c>
      <c r="J4310" s="28" t="s">
        <v>52</v>
      </c>
      <c r="K4310" s="28" t="s">
        <v>52</v>
      </c>
      <c r="L4310" s="28" t="s">
        <v>52</v>
      </c>
      <c r="M4310" s="28" t="s">
        <v>52</v>
      </c>
      <c r="N4310" s="28" t="s">
        <v>52</v>
      </c>
    </row>
    <row r="4311" spans="1:14" x14ac:dyDescent="0.15">
      <c r="A4311" s="23" t="str">
        <f>HYPERLINK("https://www.spark-marketing.ru/Card/Person/1020806", "МО МВД РОССИИ ""НЕФТЕГОРСКИЙ""")</f>
        <v>МО МВД РОССИИ "НЕФТЕГОРСКИЙ"</v>
      </c>
      <c r="B4311" s="24" t="s">
        <v>6150</v>
      </c>
      <c r="C4311" s="25">
        <v>56000</v>
      </c>
      <c r="D4311" s="22" t="s">
        <v>6153</v>
      </c>
      <c r="E4311" s="22" t="s">
        <v>53</v>
      </c>
      <c r="F4311" s="23" t="str">
        <f>HYPERLINK("https://www.spark-marketing.ru/Card/Lot/72112784", "Техническое обслуживание охранно-тревожной сигнализации")</f>
        <v>Техническое обслуживание охранно-тревожной сигнализации</v>
      </c>
      <c r="G4311" s="22" t="s">
        <v>760</v>
      </c>
      <c r="H4311" s="22" t="s">
        <v>6152</v>
      </c>
      <c r="I4311" s="26">
        <v>43662.379965277803</v>
      </c>
      <c r="J4311" s="28" t="s">
        <v>52</v>
      </c>
      <c r="K4311" s="28" t="s">
        <v>52</v>
      </c>
      <c r="L4311" s="28" t="s">
        <v>52</v>
      </c>
      <c r="M4311" s="28" t="s">
        <v>52</v>
      </c>
      <c r="N4311" s="28" t="s">
        <v>52</v>
      </c>
    </row>
    <row r="4312" spans="1:14" x14ac:dyDescent="0.15">
      <c r="A4312" s="23" t="str">
        <f>HYPERLINK("https://www.spark-marketing.ru/Card/Person/25535", "МЕЖМУНИЦИПАЛЬНЫЙ ОТДЕЛ МВД РОССИИ ""БОГОТОЛЬСКИЙ""")</f>
        <v>МЕЖМУНИЦИПАЛЬНЫЙ ОТДЕЛ МВД РОССИИ "БОГОТОЛЬСКИЙ"</v>
      </c>
      <c r="B4312" s="24" t="s">
        <v>2683</v>
      </c>
      <c r="C4312" s="25">
        <v>64953.599999999999</v>
      </c>
      <c r="D4312" s="22" t="s">
        <v>6154</v>
      </c>
      <c r="E4312" s="22" t="s">
        <v>107</v>
      </c>
      <c r="F4312" s="23" t="str">
        <f>HYPERLINK("https://www.spark-marketing.ru/Card/Lot/72112684", "Техническое обслуживание комплекса технических средств охраны, 7 шт")</f>
        <v>Техническое обслуживание комплекса технических средств охраны, 7 шт</v>
      </c>
      <c r="G4312" s="22" t="s">
        <v>640</v>
      </c>
      <c r="H4312" s="22" t="s">
        <v>2685</v>
      </c>
      <c r="I4312" s="26">
        <v>43662.402025463001</v>
      </c>
      <c r="J4312" s="28" t="s">
        <v>52</v>
      </c>
      <c r="K4312" s="28" t="s">
        <v>52</v>
      </c>
      <c r="L4312" s="28" t="s">
        <v>52</v>
      </c>
      <c r="M4312" s="28" t="s">
        <v>52</v>
      </c>
      <c r="N4312" s="28" t="s">
        <v>52</v>
      </c>
    </row>
    <row r="4313" spans="1:14" x14ac:dyDescent="0.15">
      <c r="A4313" s="23" t="str">
        <f>HYPERLINK("https://www.spark-marketing.ru/Card/Person/6450322", "ЗАКАЗЧИК РП БЕЛАРУСЬ")</f>
        <v>ЗАКАЗЧИК РП БЕЛАРУСЬ</v>
      </c>
      <c r="B4313" s="28" t="s">
        <v>52</v>
      </c>
      <c r="C4313" s="25">
        <v>597449.74800000002</v>
      </c>
      <c r="D4313" s="22" t="s">
        <v>6155</v>
      </c>
      <c r="E4313" s="22" t="s">
        <v>53</v>
      </c>
      <c r="F4313" s="23" t="str">
        <f>HYPERLINK("https://www.spark-marketing.ru/Card/Lot/72128120", "Приборы приемно-контрольные охранные 16-ти шлейфные, работающие по двум активным каналам связи: Ethernet и GSM (поддержка 3G, 2 sim-карты), для работы в составе РСПИ «Новатех РДО» или АСОС «Алеся».")</f>
        <v>Приборы приемно-контрольные охранные 16-ти шлейфные, работающие по двум активным каналам связи: Ethernet и GSM (поддержка 3G, 2 sim-карты), для работы в составе РСПИ «Новатех РДО» или АСОС «Алеся».</v>
      </c>
      <c r="G4313" s="22" t="s">
        <v>52</v>
      </c>
      <c r="H4313" s="22" t="s">
        <v>52</v>
      </c>
      <c r="I4313" s="26">
        <v>43662</v>
      </c>
      <c r="J4313" s="28" t="s">
        <v>52</v>
      </c>
      <c r="K4313" s="28" t="s">
        <v>52</v>
      </c>
      <c r="L4313" s="28" t="s">
        <v>52</v>
      </c>
      <c r="M4313" s="28" t="s">
        <v>52</v>
      </c>
      <c r="N4313" s="28" t="s">
        <v>52</v>
      </c>
    </row>
    <row r="4314" spans="1:14" x14ac:dyDescent="0.15">
      <c r="A4314" s="23" t="str">
        <f>HYPERLINK("https://www.spark-marketing.ru/Card/Person/6450322", "ЗАКАЗЧИК РП БЕЛАРУСЬ")</f>
        <v>ЗАКАЗЧИК РП БЕЛАРУСЬ</v>
      </c>
      <c r="B4314" s="28" t="s">
        <v>52</v>
      </c>
      <c r="C4314" s="25">
        <v>194202.092</v>
      </c>
      <c r="D4314" s="22" t="s">
        <v>6155</v>
      </c>
      <c r="E4314" s="22" t="s">
        <v>53</v>
      </c>
      <c r="F4314" s="23" t="str">
        <f>HYPERLINK("https://www.spark-marketing.ru/Card/Lot/72128119", "Приборы приемно-контрольные охранные 32-х шлейфные, работающие по двум активным каналам связи: Ethernet и GSM (поддержка 3G, 2 sim-карты), для работы в составе АСОС «Алеся».")</f>
        <v>Приборы приемно-контрольные охранные 32-х шлейфные, работающие по двум активным каналам связи: Ethernet и GSM (поддержка 3G, 2 sim-карты), для работы в составе АСОС «Алеся».</v>
      </c>
      <c r="G4314" s="22" t="s">
        <v>52</v>
      </c>
      <c r="H4314" s="22" t="s">
        <v>52</v>
      </c>
      <c r="I4314" s="26">
        <v>43662</v>
      </c>
      <c r="J4314" s="28" t="s">
        <v>52</v>
      </c>
      <c r="K4314" s="28" t="s">
        <v>52</v>
      </c>
      <c r="L4314" s="28" t="s">
        <v>52</v>
      </c>
      <c r="M4314" s="28" t="s">
        <v>52</v>
      </c>
      <c r="N4314" s="28" t="s">
        <v>52</v>
      </c>
    </row>
    <row r="4315" spans="1:14" x14ac:dyDescent="0.15">
      <c r="A4315" s="23" t="str">
        <f>HYPERLINK("https://www.spark-marketing.ru/Card/Person/6450322", "ЗАКАЗЧИК РП БЕЛАРУСЬ")</f>
        <v>ЗАКАЗЧИК РП БЕЛАРУСЬ</v>
      </c>
      <c r="B4315" s="28" t="s">
        <v>52</v>
      </c>
      <c r="C4315" s="25">
        <v>252462.71960000001</v>
      </c>
      <c r="D4315" s="22" t="s">
        <v>6155</v>
      </c>
      <c r="E4315" s="22" t="s">
        <v>53</v>
      </c>
      <c r="F4315" s="23" t="str">
        <f>HYPERLINK("https://www.spark-marketing.ru/Card/Lot/72128121", "Приборы приемно-контрольные охранные 32-х шлейфные, работающие по двум активным каналам связи: Ethernet и GSM (поддержка 3G, 2 sim-карты), для работы в составе РСПИ «Новатех РДО» или АСОС «Алеся».")</f>
        <v>Приборы приемно-контрольные охранные 32-х шлейфные, работающие по двум активным каналам связи: Ethernet и GSM (поддержка 3G, 2 sim-карты), для работы в составе РСПИ «Новатех РДО» или АСОС «Алеся».</v>
      </c>
      <c r="G4315" s="22" t="s">
        <v>52</v>
      </c>
      <c r="H4315" s="22" t="s">
        <v>52</v>
      </c>
      <c r="I4315" s="26">
        <v>43662</v>
      </c>
      <c r="J4315" s="28" t="s">
        <v>52</v>
      </c>
      <c r="K4315" s="28" t="s">
        <v>52</v>
      </c>
      <c r="L4315" s="28" t="s">
        <v>52</v>
      </c>
      <c r="M4315" s="28" t="s">
        <v>52</v>
      </c>
      <c r="N4315" s="28" t="s">
        <v>52</v>
      </c>
    </row>
    <row r="4316" spans="1:14" x14ac:dyDescent="0.15">
      <c r="A4316" s="23" t="str">
        <f>HYPERLINK("https://www.spark-marketing.ru/Card/Person/6455259", "ФОНД ""НАЦИОНАЛЬНОЕ КУЛЬТУРНОЕ НАСЛЕДИЕ""")</f>
        <v>ФОНД "НАЦИОНАЛЬНОЕ КУЛЬТУРНОЕ НАСЛЕДИЕ"</v>
      </c>
      <c r="B4316" s="24" t="s">
        <v>6156</v>
      </c>
      <c r="C4316" s="25">
        <v>810000</v>
      </c>
      <c r="D4316" s="22" t="s">
        <v>6157</v>
      </c>
      <c r="E4316" s="22" t="s">
        <v>53</v>
      </c>
      <c r="F4316" s="23" t="str">
        <f>HYPERLINK("https://www.spark-marketing.ru/Card/Lot/72134767", "Оказание охранных услуг по обеспечению комплекса мер, направленных на защиту и охрану материального имущества объекта, обеспечение внутриобъектового и пропускного режима на объекте - офисном здании")</f>
        <v>Оказание охранных услуг по обеспечению комплекса мер, направленных на защиту и охрану материального имущества объекта, обеспечение внутриобъектового и пропускного режима на объекте - офисном здании</v>
      </c>
      <c r="G4316" s="22" t="s">
        <v>55</v>
      </c>
      <c r="H4316" s="22" t="s">
        <v>55</v>
      </c>
      <c r="I4316" s="26">
        <v>43662</v>
      </c>
      <c r="J4316" s="28" t="s">
        <v>52</v>
      </c>
      <c r="K4316" s="28" t="s">
        <v>52</v>
      </c>
      <c r="L4316" s="28" t="s">
        <v>52</v>
      </c>
      <c r="M4316" s="28" t="s">
        <v>52</v>
      </c>
      <c r="N4316" s="28" t="s">
        <v>52</v>
      </c>
    </row>
    <row r="4317" spans="1:14" x14ac:dyDescent="0.15">
      <c r="A4317" s="23" t="str">
        <f>HYPERLINK("https://www.spark-marketing.ru/Card/Person/6450322", "ЗАКАЗЧИК РП БЕЛАРУСЬ")</f>
        <v>ЗАКАЗЧИК РП БЕЛАРУСЬ</v>
      </c>
      <c r="B4317" s="28" t="s">
        <v>52</v>
      </c>
      <c r="C4317" s="25">
        <v>71124.97</v>
      </c>
      <c r="D4317" s="22" t="s">
        <v>6155</v>
      </c>
      <c r="E4317" s="22" t="s">
        <v>53</v>
      </c>
      <c r="F4317" s="23" t="str">
        <f>HYPERLINK("https://www.spark-marketing.ru/Card/Lot/72128171", "Приборы приемно-контрольные охранные 16-ти шлейфные, работающие по двум активным каналам связи: Ethernet и GSM (поддержка 3G, 2 sim-карты), для работы в составе АСОС «Алеся».")</f>
        <v>Приборы приемно-контрольные охранные 16-ти шлейфные, работающие по двум активным каналам связи: Ethernet и GSM (поддержка 3G, 2 sim-карты), для работы в составе АСОС «Алеся».</v>
      </c>
      <c r="G4317" s="22" t="s">
        <v>52</v>
      </c>
      <c r="H4317" s="22" t="s">
        <v>52</v>
      </c>
      <c r="I4317" s="26">
        <v>43662</v>
      </c>
      <c r="J4317" s="28" t="s">
        <v>52</v>
      </c>
      <c r="K4317" s="28" t="s">
        <v>52</v>
      </c>
      <c r="L4317" s="28" t="s">
        <v>52</v>
      </c>
      <c r="M4317" s="28" t="s">
        <v>52</v>
      </c>
      <c r="N4317" s="28" t="s">
        <v>52</v>
      </c>
    </row>
    <row r="4318" spans="1:14" x14ac:dyDescent="0.2">
      <c r="A4318" s="23" t="str">
        <f>HYPERLINK("https://www.spark-marketing.ru/Card/Person/535323", "ГАУ СО ""УПРАВЛЕНИЕ ГОСУДАРСТВЕННОЙ ЭКСПЕРТИЗЫ """)</f>
        <v>ГАУ СО "УПРАВЛЕНИЕ ГОСУДАРСТВЕННОЙ ЭКСПЕРТИЗЫ "</v>
      </c>
      <c r="B4318" s="24" t="s">
        <v>6158</v>
      </c>
      <c r="C4318" s="25">
        <v>974492</v>
      </c>
      <c r="D4318" s="22" t="s">
        <v>6159</v>
      </c>
      <c r="E4318" s="22" t="s">
        <v>6160</v>
      </c>
      <c r="F4318" s="23" t="str">
        <f>HYPERLINK("https://www.spark-marketing.ru/Card/Lot/72106069", "Поставка и установка видеоконференцсвязи")</f>
        <v>Поставка и установка видеоконференцсвязи</v>
      </c>
      <c r="G4318" s="22" t="s">
        <v>72</v>
      </c>
      <c r="H4318" s="22" t="s">
        <v>72</v>
      </c>
      <c r="I4318" s="26">
        <v>43661.737465277802</v>
      </c>
      <c r="J4318" s="28" t="s">
        <v>52</v>
      </c>
      <c r="K4318" s="28" t="s">
        <v>52</v>
      </c>
      <c r="L4318" s="22" t="s">
        <v>10</v>
      </c>
      <c r="M4318" s="25">
        <v>974492</v>
      </c>
      <c r="N4318" s="27">
        <v>0</v>
      </c>
    </row>
    <row r="4319" spans="1:14" x14ac:dyDescent="0.15">
      <c r="A4319" s="23" t="str">
        <f>HYPERLINK("https://www.spark-marketing.ru/Card/Person/4346873", "РОСЛЕСХОЗ")</f>
        <v>РОСЛЕСХОЗ</v>
      </c>
      <c r="B4319" s="24" t="s">
        <v>6161</v>
      </c>
      <c r="C4319" s="25">
        <v>15468.24</v>
      </c>
      <c r="D4319" s="22" t="s">
        <v>6162</v>
      </c>
      <c r="E4319" s="22" t="s">
        <v>53</v>
      </c>
      <c r="F4319" s="23" t="str">
        <f>HYPERLINK("https://www.spark-marketing.ru/Card/Lot/72095806", "Оказание услуг по техническому обслуживанию комплекса технических средств охраны и технологическому обеспечению работоспособности оконечного устройства систем передачи извещений")</f>
        <v>Оказание услуг по техническому обслуживанию комплекса технических средств охраны и технологическому обеспечению работоспособности оконечного устройства систем передачи извещений</v>
      </c>
      <c r="G4319" s="22" t="s">
        <v>55</v>
      </c>
      <c r="H4319" s="22" t="s">
        <v>55</v>
      </c>
      <c r="I4319" s="26">
        <v>43661.708784722199</v>
      </c>
      <c r="J4319" s="28" t="s">
        <v>52</v>
      </c>
      <c r="K4319" s="28" t="s">
        <v>52</v>
      </c>
      <c r="L4319" s="28" t="s">
        <v>52</v>
      </c>
      <c r="M4319" s="28" t="s">
        <v>52</v>
      </c>
      <c r="N4319" s="28" t="s">
        <v>52</v>
      </c>
    </row>
    <row r="4320" spans="1:14" x14ac:dyDescent="0.15">
      <c r="A4320" s="23" t="str">
        <f>HYPERLINK("https://www.spark-marketing.ru/Card/Person/61040", "СУ СК РОССИИ ПО ПРИМОРСКОМУ КРАЮ")</f>
        <v>СУ СК РОССИИ ПО ПРИМОРСКОМУ КРАЮ</v>
      </c>
      <c r="B4320" s="24" t="s">
        <v>6163</v>
      </c>
      <c r="C4320" s="25">
        <v>282429.40000000002</v>
      </c>
      <c r="D4320" s="22" t="s">
        <v>6164</v>
      </c>
      <c r="E4320" s="22" t="s">
        <v>68</v>
      </c>
      <c r="F4320" s="23" t="str">
        <f>HYPERLINK("https://www.spark-marketing.ru/Card/Lot/72107627", "Оказание услуг охраны имущества и объектов путем обеспечения оперативного реагирования на сообщения о срабатывании тревожной сигнализации на подключенных к пультам централизованного наблюдения объектах")</f>
        <v>Оказание услуг охраны имущества и объектов путем обеспечения оперативного реагирования на сообщения о срабатывании тревожной сигнализации на подключенных к пультам централизованного наблюдения объектах</v>
      </c>
      <c r="G4320" s="22" t="s">
        <v>409</v>
      </c>
      <c r="H4320" s="22" t="s">
        <v>878</v>
      </c>
      <c r="I4320" s="26">
        <v>43661.744016203702</v>
      </c>
      <c r="J4320" s="23" t="str">
        <f>HYPERLINK("https://www.spark-marketing.ru/Card/Person/24928", "ФГКУ ""УВО ВНГ РОССИИ ПО ПРИМОРСКОМУ КРАЮ""")</f>
        <v>ФГКУ "УВО ВНГ РОССИИ ПО ПРИМОРСКОМУ КРАЮ"</v>
      </c>
      <c r="K4320" s="24" t="s">
        <v>6165</v>
      </c>
      <c r="L4320" s="22" t="s">
        <v>10</v>
      </c>
      <c r="M4320" s="28" t="s">
        <v>52</v>
      </c>
      <c r="N4320" s="28" t="s">
        <v>52</v>
      </c>
    </row>
    <row r="4321" spans="1:14" x14ac:dyDescent="0.15">
      <c r="A4321" s="23" t="str">
        <f>HYPERLINK("https://www.spark-marketing.ru/Card/Person/63258", "ФКУ ""ГБ МСЭ ПО РЕСПУБЛИКЕ АДЫГЕЯ (АДЫГЕЯ)"" МИНТРУДА РОССИИ")</f>
        <v>ФКУ "ГБ МСЭ ПО РЕСПУБЛИКЕ АДЫГЕЯ (АДЫГЕЯ)" МИНТРУДА РОССИИ</v>
      </c>
      <c r="B4321" s="24" t="s">
        <v>5010</v>
      </c>
      <c r="C4321" s="25">
        <v>6000</v>
      </c>
      <c r="D4321" s="22" t="s">
        <v>6166</v>
      </c>
      <c r="E4321" s="22" t="s">
        <v>84</v>
      </c>
      <c r="F4321" s="23" t="str">
        <f>HYPERLINK("https://www.spark-marketing.ru/Card/Lot/72095353", "Техническое обслуживание систем видеонаблюдения, 1 шт")</f>
        <v>Техническое обслуживание систем видеонаблюдения, 1 шт</v>
      </c>
      <c r="G4321" s="22" t="s">
        <v>1547</v>
      </c>
      <c r="H4321" s="22" t="s">
        <v>1983</v>
      </c>
      <c r="I4321" s="26">
        <v>43661.676111111097</v>
      </c>
      <c r="J4321" s="28" t="s">
        <v>52</v>
      </c>
      <c r="K4321" s="28" t="s">
        <v>52</v>
      </c>
      <c r="L4321" s="28" t="s">
        <v>52</v>
      </c>
      <c r="M4321" s="28" t="s">
        <v>52</v>
      </c>
      <c r="N4321" s="28" t="s">
        <v>52</v>
      </c>
    </row>
    <row r="4322" spans="1:14" x14ac:dyDescent="0.15">
      <c r="A4322" s="23" t="str">
        <f>HYPERLINK("https://www.spark-marketing.ru/Card/Person/3626", "АДМИНИСТРАЦИЯ ШЕЛЕХОВСКОГО МУНИЦИПАЛЬНОГО РАЙОНА")</f>
        <v>АДМИНИСТРАЦИЯ ШЕЛЕХОВСКОГО МУНИЦИПАЛЬНОГО РАЙОНА</v>
      </c>
      <c r="B4322" s="24" t="s">
        <v>6167</v>
      </c>
      <c r="C4322" s="25">
        <v>214551.35</v>
      </c>
      <c r="D4322" s="22" t="s">
        <v>6168</v>
      </c>
      <c r="E4322" s="22" t="s">
        <v>84</v>
      </c>
      <c r="F4322" s="23" t="str">
        <f>HYPERLINK("https://www.spark-marketing.ru/Card/Lot/72094508", "Оказание услуг по подключению видеокамер для видеонаблюдения,  техническому  обслуживанию  и предоставлению видеоизображения с мест нахождения видеокамер")</f>
        <v>Оказание услуг по подключению видеокамер для видеонаблюдения,  техническому  обслуживанию  и предоставлению видеоизображения с мест нахождения видеокамер</v>
      </c>
      <c r="G4322" s="22" t="s">
        <v>281</v>
      </c>
      <c r="H4322" s="22" t="s">
        <v>281</v>
      </c>
      <c r="I4322" s="26">
        <v>43661.666875000003</v>
      </c>
      <c r="J4322" s="23" t="str">
        <f>HYPERLINK("https://www.spark-marketing.ru/Card/Person/2199684", "ООО ""АЛЬПАРИ""")</f>
        <v>ООО "АЛЬПАРИ"</v>
      </c>
      <c r="K4322" s="24" t="s">
        <v>6169</v>
      </c>
      <c r="L4322" s="22" t="s">
        <v>10</v>
      </c>
      <c r="M4322" s="28" t="s">
        <v>52</v>
      </c>
      <c r="N4322" s="28" t="s">
        <v>52</v>
      </c>
    </row>
    <row r="4323" spans="1:14" x14ac:dyDescent="0.2">
      <c r="A4323" s="23" t="str">
        <f>HYPERLINK("https://www.spark-marketing.ru/Card/Person/4345953", "МИНТРАНС РОССИИ")</f>
        <v>МИНТРАНС РОССИИ</v>
      </c>
      <c r="B4323" s="24" t="s">
        <v>6170</v>
      </c>
      <c r="C4323" s="25">
        <v>15013682.17</v>
      </c>
      <c r="D4323" s="22" t="s">
        <v>6171</v>
      </c>
      <c r="E4323" s="22" t="s">
        <v>6172</v>
      </c>
      <c r="F4323" s="23" t="str">
        <f>HYPERLINK("https://www.spark-marketing.ru/Card/Lot/72103443", "Выполнение научно-исследовательской работы по теме «Разработка научно обоснованных предложений по созданию комплексной технологии сбора и обработки данных о биометрической идентификации пассажиров и персонала транспортных средств в целях обеспечения ...")</f>
        <v>Выполнение научно-исследовательской работы по теме «Разработка научно обоснованных предложений по созданию комплексной технологии сбора и обработки данных о биометрической идентификации пассажиров и персонала транспортных средств в целях обеспечения ...</v>
      </c>
      <c r="G4323" s="22" t="s">
        <v>55</v>
      </c>
      <c r="H4323" s="22" t="s">
        <v>55</v>
      </c>
      <c r="I4323" s="26">
        <v>43661.702199074098</v>
      </c>
      <c r="J4323" s="23" t="str">
        <f>HYPERLINK("https://www.spark-marketing.ru/Card/Person/52399", "ФГУП ""ЗАЩИТАИНФОТРАНС""")</f>
        <v>ФГУП "ЗАЩИТАИНФОТРАНС"</v>
      </c>
      <c r="K4323" s="24" t="s">
        <v>6173</v>
      </c>
      <c r="L4323" s="28" t="s">
        <v>52</v>
      </c>
      <c r="M4323" s="25">
        <v>15000000</v>
      </c>
      <c r="N4323" s="27">
        <v>9.113134169936941E-4</v>
      </c>
    </row>
    <row r="4324" spans="1:14" x14ac:dyDescent="0.15">
      <c r="A4324" s="23" t="str">
        <f>HYPERLINK("https://www.spark-marketing.ru/Card/Person/1001105", "МО МВД РОССИИ ""ПЕРЕВОЗСКИЙ""")</f>
        <v>МО МВД РОССИИ "ПЕРЕВОЗСКИЙ"</v>
      </c>
      <c r="B4324" s="24" t="s">
        <v>6145</v>
      </c>
      <c r="C4324" s="25">
        <v>6228</v>
      </c>
      <c r="D4324" s="22" t="s">
        <v>6174</v>
      </c>
      <c r="E4324" s="22" t="s">
        <v>6175</v>
      </c>
      <c r="F4324" s="23" t="str">
        <f>HYPERLINK("https://www.spark-marketing.ru/Card/Lot/72095358", "услуги по техническому обслуживанию комплекса технических средств охранной сигнализации")</f>
        <v>услуги по техническому обслуживанию комплекса технических средств охранной сигнализации</v>
      </c>
      <c r="G4324" s="22" t="s">
        <v>64</v>
      </c>
      <c r="H4324" s="22" t="s">
        <v>6147</v>
      </c>
      <c r="I4324" s="26">
        <v>43661.677962962996</v>
      </c>
      <c r="J4324" s="28" t="s">
        <v>52</v>
      </c>
      <c r="K4324" s="28" t="s">
        <v>52</v>
      </c>
      <c r="L4324" s="28" t="s">
        <v>52</v>
      </c>
      <c r="M4324" s="28" t="s">
        <v>52</v>
      </c>
      <c r="N4324" s="28" t="s">
        <v>52</v>
      </c>
    </row>
    <row r="4325" spans="1:14" x14ac:dyDescent="0.15">
      <c r="A4325" s="23" t="str">
        <f>HYPERLINK("https://www.spark-marketing.ru/Card/Person/136227", "КГАУ ""ЕЛИЗОВСКИЙ ЦЕНТР СОЦИАЛЬНОГО ОБСЛУЖИВАНИЯ НАСЕЛЕНИЯ""")</f>
        <v>КГАУ "ЕЛИЗОВСКИЙ ЦЕНТР СОЦИАЛЬНОГО ОБСЛУЖИВАНИЯ НАСЕЛЕНИЯ"</v>
      </c>
      <c r="B4325" s="24" t="s">
        <v>6176</v>
      </c>
      <c r="C4325" s="25">
        <v>342325</v>
      </c>
      <c r="D4325" s="22" t="s">
        <v>6177</v>
      </c>
      <c r="E4325" s="22" t="s">
        <v>6178</v>
      </c>
      <c r="F4325" s="23" t="str">
        <f>HYPERLINK("https://www.spark-marketing.ru/Card/Lot/72104795", "Установка видеонаблюдения")</f>
        <v>Установка видеонаблюдения</v>
      </c>
      <c r="G4325" s="22" t="s">
        <v>1141</v>
      </c>
      <c r="H4325" s="22" t="s">
        <v>1141</v>
      </c>
      <c r="I4325" s="26">
        <v>43661.648356481499</v>
      </c>
      <c r="J4325" s="28" t="s">
        <v>52</v>
      </c>
      <c r="K4325" s="28" t="s">
        <v>52</v>
      </c>
      <c r="L4325" s="28" t="s">
        <v>52</v>
      </c>
      <c r="M4325" s="28" t="s">
        <v>52</v>
      </c>
      <c r="N4325" s="28" t="s">
        <v>52</v>
      </c>
    </row>
    <row r="4326" spans="1:14" x14ac:dyDescent="0.15">
      <c r="A4326" s="23" t="str">
        <f>HYPERLINK("https://www.spark-marketing.ru/Card/Person/6441023", "АНО ""КВЦ ИНВЕСТ""")</f>
        <v>АНО "КВЦ ИНВЕСТ"</v>
      </c>
      <c r="B4326" s="24" t="s">
        <v>6179</v>
      </c>
      <c r="C4326" s="25">
        <v>480000</v>
      </c>
      <c r="D4326" s="22" t="s">
        <v>6180</v>
      </c>
      <c r="E4326" s="22" t="s">
        <v>993</v>
      </c>
      <c r="F4326" s="23" t="str">
        <f>HYPERLINK("https://www.spark-marketing.ru/Card/Lot/72106366", "Оказание охранных услуг на объекте - Павильон, для презентации инвестиционного потенциала Камчатского края, на выставке «Улица Дальнего Востока» в рамках Восточного Экономического Форума 2019 в г. Владивостоке (о. Русский)")</f>
        <v>Оказание охранных услуг на объекте - Павильон, для презентации инвестиционного потенциала Камчатского края, на выставке «Улица Дальнего Востока» в рамках Восточного Экономического Форума 2019 в г. Владивостоке (о. Русский)</v>
      </c>
      <c r="G4326" s="22" t="s">
        <v>409</v>
      </c>
      <c r="H4326" s="22" t="s">
        <v>409</v>
      </c>
      <c r="I4326" s="26">
        <v>43661.652303240699</v>
      </c>
      <c r="J4326" s="28" t="s">
        <v>52</v>
      </c>
      <c r="K4326" s="28" t="s">
        <v>52</v>
      </c>
      <c r="L4326" s="28" t="s">
        <v>52</v>
      </c>
      <c r="M4326" s="28" t="s">
        <v>52</v>
      </c>
      <c r="N4326" s="28" t="s">
        <v>52</v>
      </c>
    </row>
    <row r="4327" spans="1:14" x14ac:dyDescent="0.15">
      <c r="A4327" s="23" t="str">
        <f>HYPERLINK("https://www.spark-marketing.ru/Card/Person/6654352", "ЗАПАДНО–СИБИРСКАЯ ДИРЕКЦИЯ ПАССАЖИРСКИХ ОБУСТРОЙСТВ – СТРУКТУРНОЕ ПОДРАЗДЕЛЕНИЕ ЦЕНТРАЛЬНОЙ ДИРЕКЦИИ ПАССАЖИРСКИХ ОБУСТРОЙСТВ – ФЛ ОАО РЖД")</f>
        <v>ЗАПАДНО–СИБИРСКАЯ ДИРЕКЦИЯ ПАССАЖИРСКИХ ОБУСТРОЙСТВ – СТРУКТУРНОЕ ПОДРАЗДЕЛЕНИЕ ЦЕНТРАЛЬНОЙ ДИРЕКЦИИ ПАССАЖИРСКИХ ОБУСТРОЙСТВ – ФЛ ОАО РЖД</v>
      </c>
      <c r="B4327" s="24" t="s">
        <v>163</v>
      </c>
      <c r="C4327" s="25">
        <v>386588.15999999997</v>
      </c>
      <c r="D4327" s="28" t="s">
        <v>52</v>
      </c>
      <c r="E4327" s="22" t="s">
        <v>68</v>
      </c>
      <c r="F4327" s="23" t="str">
        <f>HYPERLINK("https://www.spark-marketing.ru/Card/Lot/72428799", "№21459 Оказание услуг по охране имущества ОАО ""РЖД"" - вокзал на ст. Усть- Тальменская")</f>
        <v>№21459 Оказание услуг по охране имущества ОАО "РЖД" - вокзал на ст. Усть- Тальменская</v>
      </c>
      <c r="G4327" s="22" t="s">
        <v>209</v>
      </c>
      <c r="H4327" s="22" t="s">
        <v>210</v>
      </c>
      <c r="I4327" s="26">
        <v>43661.585567129601</v>
      </c>
      <c r="J4327" s="28" t="s">
        <v>52</v>
      </c>
      <c r="K4327" s="28" t="s">
        <v>52</v>
      </c>
      <c r="L4327" s="28" t="s">
        <v>52</v>
      </c>
      <c r="M4327" s="28" t="s">
        <v>52</v>
      </c>
      <c r="N4327" s="28" t="s">
        <v>52</v>
      </c>
    </row>
    <row r="4328" spans="1:14" x14ac:dyDescent="0.15">
      <c r="A4328" s="23" t="str">
        <f>HYPERLINK("https://www.spark-marketing.ru/Card/Person/18506", "СУ СК РОССИИ ПО ТОМСКОЙ ОБЛАСТИ")</f>
        <v>СУ СК РОССИИ ПО ТОМСКОЙ ОБЛАСТИ</v>
      </c>
      <c r="B4328" s="24" t="s">
        <v>1654</v>
      </c>
      <c r="C4328" s="25">
        <v>231756.72</v>
      </c>
      <c r="D4328" s="22" t="s">
        <v>6181</v>
      </c>
      <c r="E4328" s="22" t="s">
        <v>68</v>
      </c>
      <c r="F4328" s="23" t="str">
        <f>HYPERLINK("https://www.spark-marketing.ru/Card/Lot/72088984", "Военизированная охрана объекта следственного управления Следственного комитета Российской Федерации по Томской области")</f>
        <v>Военизированная охрана объекта следственного управления Следственного комитета Российской Федерации по Томской области</v>
      </c>
      <c r="G4328" s="22" t="s">
        <v>150</v>
      </c>
      <c r="H4328" s="22" t="s">
        <v>150</v>
      </c>
      <c r="I4328" s="26">
        <v>43661.5960416667</v>
      </c>
      <c r="J4328" s="23" t="str">
        <f>HYPERLINK("https://www.spark-marketing.ru/Card/Person/4344524", "ФГКУ ""УВО ВНГ РОССИИ ПО ТОМСКОЙ ОБЛАСТИ""")</f>
        <v>ФГКУ "УВО ВНГ РОССИИ ПО ТОМСКОЙ ОБЛАСТИ"</v>
      </c>
      <c r="K4328" s="24" t="s">
        <v>1657</v>
      </c>
      <c r="L4328" s="22" t="s">
        <v>10</v>
      </c>
      <c r="M4328" s="28" t="s">
        <v>52</v>
      </c>
      <c r="N4328" s="28" t="s">
        <v>52</v>
      </c>
    </row>
    <row r="4329" spans="1:14" x14ac:dyDescent="0.15">
      <c r="A4329" s="23" t="str">
        <f>HYPERLINK("https://www.spark-marketing.ru/Card/Person/430530", "МАОО ""СОШ №3 Г.РУЗЫ""")</f>
        <v>МАОО "СОШ №3 Г.РУЗЫ"</v>
      </c>
      <c r="B4329" s="24" t="s">
        <v>6182</v>
      </c>
      <c r="C4329" s="25">
        <v>652060</v>
      </c>
      <c r="D4329" s="22" t="s">
        <v>6183</v>
      </c>
      <c r="E4329" s="22" t="s">
        <v>144</v>
      </c>
      <c r="F4329" s="23" t="str">
        <f>HYPERLINK("https://www.spark-marketing.ru/Card/Lot/72105765", "Оказание услуг по обеспечению пропускного и внутриобъектового режимов и осуществление контроля за их функционированием в МАОО ""СОШ №3 г. Рузы""")</f>
        <v>Оказание услуг по обеспечению пропускного и внутриобъектового режимов и осуществление контроля за их функционированием в МАОО "СОШ №3 г. Рузы"</v>
      </c>
      <c r="G4329" s="22" t="s">
        <v>50</v>
      </c>
      <c r="H4329" s="22" t="s">
        <v>50</v>
      </c>
      <c r="I4329" s="26">
        <v>43661.603148148097</v>
      </c>
      <c r="J4329" s="28" t="s">
        <v>52</v>
      </c>
      <c r="K4329" s="28" t="s">
        <v>52</v>
      </c>
      <c r="L4329" s="28" t="s">
        <v>52</v>
      </c>
      <c r="M4329" s="28" t="s">
        <v>52</v>
      </c>
      <c r="N4329" s="28" t="s">
        <v>52</v>
      </c>
    </row>
    <row r="4330" spans="1:14" x14ac:dyDescent="0.15">
      <c r="A4330" s="23" t="str">
        <f>HYPERLINK("https://www.spark-marketing.ru/Card/Person/1277", "СУ СК РОССИИ ПО РЕСПУБЛИКЕ БАШКОРТОСТАН")</f>
        <v>СУ СК РОССИИ ПО РЕСПУБЛИКЕ БАШКОРТОСТАН</v>
      </c>
      <c r="B4330" s="24" t="s">
        <v>6184</v>
      </c>
      <c r="C4330" s="25">
        <v>1083974.3999999999</v>
      </c>
      <c r="D4330" s="22" t="s">
        <v>6185</v>
      </c>
      <c r="E4330" s="22" t="s">
        <v>68</v>
      </c>
      <c r="F4330" s="23" t="str">
        <f>HYPERLINK("https://www.spark-marketing.ru/Card/Lot/72100612", "Охрана объектов следственных органов")</f>
        <v>Охрана объектов следственных органов</v>
      </c>
      <c r="G4330" s="22" t="s">
        <v>100</v>
      </c>
      <c r="H4330" s="22" t="s">
        <v>100</v>
      </c>
      <c r="I4330" s="26">
        <v>43661.614224536999</v>
      </c>
      <c r="J4330" s="28" t="s">
        <v>52</v>
      </c>
      <c r="K4330" s="28" t="s">
        <v>52</v>
      </c>
      <c r="L4330" s="28" t="s">
        <v>52</v>
      </c>
      <c r="M4330" s="28" t="s">
        <v>52</v>
      </c>
      <c r="N4330" s="28" t="s">
        <v>52</v>
      </c>
    </row>
    <row r="4331" spans="1:14" x14ac:dyDescent="0.15">
      <c r="A4331" s="23" t="str">
        <f>HYPERLINK("https://www.spark-marketing.ru/Card/Person/4343559", "ГКУ ""ДИРЕКЦИЯ ТДФ""")</f>
        <v>ГКУ "ДИРЕКЦИЯ ТДФ"</v>
      </c>
      <c r="B4331" s="24" t="s">
        <v>6186</v>
      </c>
      <c r="C4331" s="25">
        <v>646666.69999999995</v>
      </c>
      <c r="D4331" s="22" t="s">
        <v>6187</v>
      </c>
      <c r="E4331" s="22" t="s">
        <v>585</v>
      </c>
      <c r="F4331" s="23" t="str">
        <f>HYPERLINK("https://www.spark-marketing.ru/Card/Lot/72105153", "Оказание услуг разработке планов обеспечения транспортной безопасности объектов транспортной инфрастуктуры на автомобильных дорогах общего пользования регионального и межмуниципального значения в Зубцовском. Калининском, Калязинском, Конаковском, Рже...")</f>
        <v>Оказание услуг разработке планов обеспечения транспортной безопасности объектов транспортной инфрастуктуры на автомобильных дорогах общего пользования регионального и межмуниципального значения в Зубцовском. Калининском, Калязинском, Конаковском, Рже...</v>
      </c>
      <c r="G4331" s="22" t="s">
        <v>251</v>
      </c>
      <c r="H4331" s="22" t="s">
        <v>252</v>
      </c>
      <c r="I4331" s="26">
        <v>43661.572407407402</v>
      </c>
      <c r="J4331" s="28" t="s">
        <v>52</v>
      </c>
      <c r="K4331" s="28" t="s">
        <v>52</v>
      </c>
      <c r="L4331" s="28" t="s">
        <v>52</v>
      </c>
      <c r="M4331" s="28" t="s">
        <v>52</v>
      </c>
      <c r="N4331" s="28" t="s">
        <v>52</v>
      </c>
    </row>
    <row r="4332" spans="1:14" ht="12.75" hidden="1" outlineLevel="1" x14ac:dyDescent="0.2">
      <c r="A4332" s="23" t="str">
        <f>HYPERLINK("https://www.spark-marketing.ru/Card/Person/4343559", "ГКУ ""ДИРЕКЦИЯ ТДФ""")</f>
        <v>ГКУ "ДИРЕКЦИЯ ТДФ"</v>
      </c>
      <c r="B4332" s="24" t="s">
        <v>6186</v>
      </c>
      <c r="C4332" s="25">
        <v>646666.69999999995</v>
      </c>
      <c r="D4332" s="22" t="s">
        <v>6187</v>
      </c>
      <c r="E4332" s="22" t="s">
        <v>585</v>
      </c>
      <c r="F4332" s="23" t="str">
        <f>HYPERLINK("https://www.spark-marketing.ru/Card/Lot/72105153", "Оказание услуг разработке планов обеспечения транспортной безопасности объектов транспортной инфрастуктуры на автомобильных дорогах общего пользования регионального и межмуниципального значения в Зубцовском. Калининском, Калязинском, Конаковском, Рже...")</f>
        <v>Оказание услуг разработке планов обеспечения транспортной безопасности объектов транспортной инфрастуктуры на автомобильных дорогах общего пользования регионального и межмуниципального значения в Зубцовском. Калининском, Калязинском, Конаковском, Рже...</v>
      </c>
      <c r="G4332" s="22" t="s">
        <v>251</v>
      </c>
      <c r="H4332" s="22" t="s">
        <v>252</v>
      </c>
      <c r="I4332" s="26">
        <v>43661.572407407402</v>
      </c>
      <c r="J4332" s="23" t="str">
        <f>HYPERLINK("https://www.spark-marketing.ru/Card/Person/2038990", "ООО ""СТБ""")</f>
        <v>ООО "СТБ"</v>
      </c>
      <c r="K4332" s="24" t="s">
        <v>2244</v>
      </c>
      <c r="L4332" s="22" t="s">
        <v>10</v>
      </c>
      <c r="M4332" s="25">
        <v>646666.69999999995</v>
      </c>
      <c r="N4332" s="27">
        <v>0</v>
      </c>
    </row>
    <row r="4333" spans="1:14" hidden="1" outlineLevel="1" x14ac:dyDescent="0.2">
      <c r="A4333" s="23" t="str">
        <f>HYPERLINK("https://www.spark-marketing.ru/Card/Person/4343559", "ГКУ ""ДИРЕКЦИЯ ТДФ""")</f>
        <v>ГКУ "ДИРЕКЦИЯ ТДФ"</v>
      </c>
      <c r="B4333" s="24" t="s">
        <v>6186</v>
      </c>
      <c r="C4333" s="25">
        <v>646666.69999999995</v>
      </c>
      <c r="D4333" s="22" t="s">
        <v>6187</v>
      </c>
      <c r="E4333" s="22" t="s">
        <v>585</v>
      </c>
      <c r="F4333" s="23" t="str">
        <f>HYPERLINK("https://www.spark-marketing.ru/Card/Lot/72105153", "Оказание услуг разработке планов обеспечения транспортной безопасности объектов транспортной инфрастуктуры на автомобильных дорогах общего пользования регионального и межмуниципального значения в Зубцовском. Калининском, Калязинском, Конаковском, Рже...")</f>
        <v>Оказание услуг разработке планов обеспечения транспортной безопасности объектов транспортной инфрастуктуры на автомобильных дорогах общего пользования регионального и межмуниципального значения в Зубцовском. Калининском, Калязинском, Конаковском, Рже...</v>
      </c>
      <c r="G4333" s="22" t="s">
        <v>251</v>
      </c>
      <c r="H4333" s="22" t="s">
        <v>252</v>
      </c>
      <c r="I4333" s="26">
        <v>43661.572407407402</v>
      </c>
      <c r="J4333" s="23" t="str">
        <f>HYPERLINK("https://www.spark-marketing.ru/Card/Person/81571", "ООО ""СО ""АНТИТЕРРОР""")</f>
        <v>ООО "СО "АНТИТЕРРОР"</v>
      </c>
      <c r="K4333" s="24" t="s">
        <v>3384</v>
      </c>
      <c r="L4333" s="28" t="s">
        <v>52</v>
      </c>
      <c r="M4333" s="25">
        <v>614333</v>
      </c>
      <c r="N4333" s="27">
        <v>5.0000564432960595E-2</v>
      </c>
    </row>
    <row r="4334" spans="1:14" x14ac:dyDescent="0.15">
      <c r="A4334" s="23" t="str">
        <f>HYPERLINK("https://www.spark-marketing.ru/Card/Person/4346563", "ПАО ""ГАЗПРОМ""")</f>
        <v>ПАО "ГАЗПРОМ"</v>
      </c>
      <c r="B4334" s="24" t="s">
        <v>1548</v>
      </c>
      <c r="C4334" s="25">
        <v>588954</v>
      </c>
      <c r="D4334" s="22" t="s">
        <v>6188</v>
      </c>
      <c r="E4334" s="22" t="s">
        <v>6189</v>
      </c>
      <c r="F4334" s="23" t="str">
        <f>HYPERLINK("https://www.spark-marketing.ru/Card/Lot/72105673", "Оказание услуг авторского надзора за строительством объектов ""Комплекс инженерно-технических средств охраны УКПГ-1 и УКПГ-2 Оренбургского НГКМ"", входящих в состав стройки ""Техническое перевооружение и реконструкция объектов добычи газа ОНГКМ"" (ОИ...")</f>
        <v>Оказание услуг авторского надзора за строительством объектов "Комплекс инженерно-технических средств охраны УКПГ-1 и УКПГ-2 Оренбургского НГКМ", входящих в состав стройки "Техническое перевооружение и реконструкция объектов добычи газа ОНГКМ" (ОИ...</v>
      </c>
      <c r="G4334" s="22" t="s">
        <v>55</v>
      </c>
      <c r="H4334" s="22" t="s">
        <v>55</v>
      </c>
      <c r="I4334" s="26">
        <v>43661.579189814802</v>
      </c>
      <c r="J4334" s="28" t="s">
        <v>52</v>
      </c>
      <c r="K4334" s="28" t="s">
        <v>52</v>
      </c>
      <c r="L4334" s="28" t="s">
        <v>52</v>
      </c>
      <c r="M4334" s="28" t="s">
        <v>52</v>
      </c>
      <c r="N4334" s="28" t="s">
        <v>52</v>
      </c>
    </row>
    <row r="4335" spans="1:14" x14ac:dyDescent="0.15">
      <c r="A4335" s="23" t="str">
        <f>HYPERLINK("https://www.spark-marketing.ru/Card/Person/551225", "ООО ""ДОРОГОБУЖСКАЯ ТЭЦ""")</f>
        <v>ООО "ДОРОГОБУЖСКАЯ ТЭЦ"</v>
      </c>
      <c r="B4335" s="24" t="s">
        <v>6190</v>
      </c>
      <c r="C4335" s="25">
        <v>500000</v>
      </c>
      <c r="D4335" s="22" t="s">
        <v>6191</v>
      </c>
      <c r="E4335" s="22" t="s">
        <v>390</v>
      </c>
      <c r="F4335" s="23" t="str">
        <f>HYPERLINK("https://www.spark-marketing.ru/Card/Lot/72104665", "Оказание услуг по охране опасных производственных объектов ООО ""Дорогобужская ТЭЦ""")</f>
        <v>Оказание услуг по охране опасных производственных объектов ООО "Дорогобужская ТЭЦ"</v>
      </c>
      <c r="G4335" s="22" t="s">
        <v>956</v>
      </c>
      <c r="H4335" s="22" t="s">
        <v>956</v>
      </c>
      <c r="I4335" s="26">
        <v>43661.5030555556</v>
      </c>
      <c r="J4335" s="28" t="s">
        <v>52</v>
      </c>
      <c r="K4335" s="28" t="s">
        <v>52</v>
      </c>
      <c r="L4335" s="28" t="s">
        <v>52</v>
      </c>
      <c r="M4335" s="28" t="s">
        <v>52</v>
      </c>
      <c r="N4335" s="28" t="s">
        <v>52</v>
      </c>
    </row>
    <row r="4336" spans="1:14" x14ac:dyDescent="0.15">
      <c r="A4336" s="23" t="str">
        <f>HYPERLINK("https://www.spark-marketing.ru/Card/Person/15703", "ОГБУЗ ОБ КО №1")</f>
        <v>ОГБУЗ ОБ КО №1</v>
      </c>
      <c r="B4336" s="24" t="s">
        <v>6192</v>
      </c>
      <c r="C4336" s="25">
        <v>228000</v>
      </c>
      <c r="D4336" s="22" t="s">
        <v>6193</v>
      </c>
      <c r="E4336" s="22" t="s">
        <v>68</v>
      </c>
      <c r="F4336" s="23" t="str">
        <f>HYPERLINK("https://www.spark-marketing.ru/Card/Lot/72097583", "Оказание услуг по охране объектов (помещений), относящихся к 3 и 4 категории (категория объектов (помещений) в соответствии с Постановлением Правительства РФ от 31 декабря 2009 г. N 1148 ""О порядке хранения наркотических средств, психотропных вещест...")</f>
        <v>Оказание услуг по охране объектов (помещений), относящихся к 3 и 4 категории (категория объектов (помещений) в соответствии с Постановлением Правительства РФ от 31 декабря 2009 г. N 1148 "О порядке хранения наркотических средств, психотропных вещест...</v>
      </c>
      <c r="G4336" s="22" t="s">
        <v>1104</v>
      </c>
      <c r="H4336" s="22" t="s">
        <v>1104</v>
      </c>
      <c r="I4336" s="26">
        <v>43661.484791666699</v>
      </c>
      <c r="J4336" s="28" t="s">
        <v>52</v>
      </c>
      <c r="K4336" s="28" t="s">
        <v>52</v>
      </c>
      <c r="L4336" s="28" t="s">
        <v>52</v>
      </c>
      <c r="M4336" s="28" t="s">
        <v>52</v>
      </c>
      <c r="N4336" s="28" t="s">
        <v>52</v>
      </c>
    </row>
    <row r="4337" spans="1:14" hidden="1" outlineLevel="1" x14ac:dyDescent="0.2">
      <c r="A4337" s="23" t="str">
        <f>HYPERLINK("https://www.spark-marketing.ru/Card/Person/15703", "ОГБУЗ ОБ КО №1")</f>
        <v>ОГБУЗ ОБ КО №1</v>
      </c>
      <c r="B4337" s="24" t="s">
        <v>6192</v>
      </c>
      <c r="C4337" s="25">
        <v>228000</v>
      </c>
      <c r="D4337" s="22" t="s">
        <v>6193</v>
      </c>
      <c r="E4337" s="22" t="s">
        <v>68</v>
      </c>
      <c r="F4337" s="23" t="str">
        <f>HYPERLINK("https://www.spark-marketing.ru/Card/Lot/72097583", "Оказание услуг по охране объектов (помещений), относящихся к 3 и 4 категории (категория объектов (помещений) в соответствии с Постановлением Правительства РФ от 31 декабря 2009 г. N 1148 ""О порядке хранения наркотических средств, психотропных вещест...")</f>
        <v>Оказание услуг по охране объектов (помещений), относящихся к 3 и 4 категории (категория объектов (помещений) в соответствии с Постановлением Правительства РФ от 31 декабря 2009 г. N 1148 "О порядке хранения наркотических средств, психотропных вещест...</v>
      </c>
      <c r="G4337" s="22" t="s">
        <v>1104</v>
      </c>
      <c r="H4337" s="22" t="s">
        <v>1104</v>
      </c>
      <c r="I4337" s="26">
        <v>43661.484791666699</v>
      </c>
      <c r="J4337" s="23" t="str">
        <f>HYPERLINK("https://www.spark-marketing.ru/Card/Person/411083", "ООО ОФ ""ПАТРУЛЬ БЕЗОПАСНОСТИ""")</f>
        <v>ООО ОФ "ПАТРУЛЬ БЕЗОПАСНОСТИ"</v>
      </c>
      <c r="K4337" s="24" t="s">
        <v>6194</v>
      </c>
      <c r="L4337" s="28" t="s">
        <v>52</v>
      </c>
      <c r="M4337" s="25">
        <v>109440</v>
      </c>
      <c r="N4337" s="27">
        <v>0.52</v>
      </c>
    </row>
    <row r="4338" spans="1:14" ht="12.75" hidden="1" outlineLevel="1" x14ac:dyDescent="0.2">
      <c r="A4338" s="23" t="str">
        <f>HYPERLINK("https://www.spark-marketing.ru/Card/Person/15703", "ОГБУЗ ОБ КО №1")</f>
        <v>ОГБУЗ ОБ КО №1</v>
      </c>
      <c r="B4338" s="24" t="s">
        <v>6192</v>
      </c>
      <c r="C4338" s="25">
        <v>228000</v>
      </c>
      <c r="D4338" s="22" t="s">
        <v>6193</v>
      </c>
      <c r="E4338" s="22" t="s">
        <v>68</v>
      </c>
      <c r="F4338" s="23" t="str">
        <f>HYPERLINK("https://www.spark-marketing.ru/Card/Lot/72097583", "Оказание услуг по охране объектов (помещений), относящихся к 3 и 4 категории (категория объектов (помещений) в соответствии с Постановлением Правительства РФ от 31 декабря 2009 г. N 1148 ""О порядке хранения наркотических средств, психотропных вещест...")</f>
        <v>Оказание услуг по охране объектов (помещений), относящихся к 3 и 4 категории (категория объектов (помещений) в соответствии с Постановлением Правительства РФ от 31 декабря 2009 г. N 1148 "О порядке хранения наркотических средств, психотропных вещест...</v>
      </c>
      <c r="G4338" s="22" t="s">
        <v>1104</v>
      </c>
      <c r="H4338" s="22" t="s">
        <v>1104</v>
      </c>
      <c r="I4338" s="26">
        <v>43661.484791666699</v>
      </c>
      <c r="J4338" s="23" t="str">
        <f>HYPERLINK("https://www.spark-marketing.ru/Card/Person/1230416", "ООО ЧОП ""ТЕХНОЛОГИИ БЕЗОПАСНОСТИ""")</f>
        <v>ООО ЧОП "ТЕХНОЛОГИИ БЕЗОПАСНОСТИ"</v>
      </c>
      <c r="K4338" s="24" t="s">
        <v>6195</v>
      </c>
      <c r="L4338" s="22" t="s">
        <v>10</v>
      </c>
      <c r="M4338" s="25">
        <v>70620</v>
      </c>
      <c r="N4338" s="27">
        <v>0.6902631578947368</v>
      </c>
    </row>
    <row r="4339" spans="1:14" hidden="1" outlineLevel="1" x14ac:dyDescent="0.2">
      <c r="A4339" s="23" t="str">
        <f>HYPERLINK("https://www.spark-marketing.ru/Card/Person/15703", "ОГБУЗ ОБ КО №1")</f>
        <v>ОГБУЗ ОБ КО №1</v>
      </c>
      <c r="B4339" s="24" t="s">
        <v>6192</v>
      </c>
      <c r="C4339" s="25">
        <v>228000</v>
      </c>
      <c r="D4339" s="22" t="s">
        <v>6193</v>
      </c>
      <c r="E4339" s="22" t="s">
        <v>68</v>
      </c>
      <c r="F4339" s="23" t="str">
        <f>HYPERLINK("https://www.spark-marketing.ru/Card/Lot/72097583", "Оказание услуг по охране объектов (помещений), относящихся к 3 и 4 категории (категория объектов (помещений) в соответствии с Постановлением Правительства РФ от 31 декабря 2009 г. N 1148 ""О порядке хранения наркотических средств, психотропных вещест...")</f>
        <v>Оказание услуг по охране объектов (помещений), относящихся к 3 и 4 категории (категория объектов (помещений) в соответствии с Постановлением Правительства РФ от 31 декабря 2009 г. N 1148 "О порядке хранения наркотических средств, психотропных вещест...</v>
      </c>
      <c r="G4339" s="22" t="s">
        <v>1104</v>
      </c>
      <c r="H4339" s="22" t="s">
        <v>1104</v>
      </c>
      <c r="I4339" s="26">
        <v>43661.484791666699</v>
      </c>
      <c r="J4339" s="23" t="str">
        <f>HYPERLINK("https://www.spark-marketing.ru/Card/Person/635931", "ООО ""ОХРАННАЯ ФИРМА ""РУБЕЖ-ВЛ""")</f>
        <v>ООО "ОХРАННАЯ ФИРМА "РУБЕЖ-ВЛ"</v>
      </c>
      <c r="K4339" s="24" t="s">
        <v>6196</v>
      </c>
      <c r="L4339" s="28" t="s">
        <v>52</v>
      </c>
      <c r="M4339" s="25">
        <v>70620</v>
      </c>
      <c r="N4339" s="27">
        <v>0.6902631578947368</v>
      </c>
    </row>
    <row r="4340" spans="1:14" x14ac:dyDescent="0.15">
      <c r="A4340" s="23" t="str">
        <f t="shared" ref="A4340:A4348" si="186">HYPERLINK("https://www.spark-marketing.ru/Card/Person/4343559", "ГКУ ""ДИРЕКЦИЯ ТДФ""")</f>
        <v>ГКУ "ДИРЕКЦИЯ ТДФ"</v>
      </c>
      <c r="B4340" s="24" t="s">
        <v>6186</v>
      </c>
      <c r="C4340" s="25">
        <v>1875333.43</v>
      </c>
      <c r="D4340" s="22" t="s">
        <v>6197</v>
      </c>
      <c r="E4340" s="22" t="s">
        <v>585</v>
      </c>
      <c r="F4340" s="23" t="str">
        <f>HYPERLINK("https://www.spark-marketing.ru/Card/Lot/72105017", "Оказание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Калязинском, Кимрском районах и Кашинском городско...")</f>
        <v>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Калязинском, Кимрском районах и Кашинском городско...</v>
      </c>
      <c r="G4340" s="22" t="s">
        <v>251</v>
      </c>
      <c r="H4340" s="22" t="s">
        <v>252</v>
      </c>
      <c r="I4340" s="26">
        <v>43661.4609837963</v>
      </c>
      <c r="J4340" s="28" t="s">
        <v>52</v>
      </c>
      <c r="K4340" s="28" t="s">
        <v>52</v>
      </c>
      <c r="L4340" s="28" t="s">
        <v>52</v>
      </c>
      <c r="M4340" s="28" t="s">
        <v>52</v>
      </c>
      <c r="N4340" s="28" t="s">
        <v>52</v>
      </c>
    </row>
    <row r="4341" spans="1:14" ht="12.75" hidden="1" outlineLevel="1" x14ac:dyDescent="0.2">
      <c r="A4341" s="23" t="str">
        <f t="shared" si="186"/>
        <v>ГКУ "ДИРЕКЦИЯ ТДФ"</v>
      </c>
      <c r="B4341" s="24" t="s">
        <v>6186</v>
      </c>
      <c r="C4341" s="25">
        <v>1875333.43</v>
      </c>
      <c r="D4341" s="22" t="s">
        <v>6197</v>
      </c>
      <c r="E4341" s="22" t="s">
        <v>585</v>
      </c>
      <c r="F4341" s="23" t="str">
        <f>HYPERLINK("https://www.spark-marketing.ru/Card/Lot/72105017", "Оказание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Калязинском, Кимрском районах и Кашинском городско...")</f>
        <v>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Калязинском, Кимрском районах и Кашинском городско...</v>
      </c>
      <c r="G4341" s="22" t="s">
        <v>251</v>
      </c>
      <c r="H4341" s="22" t="s">
        <v>252</v>
      </c>
      <c r="I4341" s="26">
        <v>43661.4609837963</v>
      </c>
      <c r="J4341" s="23" t="str">
        <f>HYPERLINK("https://www.spark-marketing.ru/Card/Person/2038990", "ООО ""СТБ""")</f>
        <v>ООО "СТБ"</v>
      </c>
      <c r="K4341" s="24" t="s">
        <v>2244</v>
      </c>
      <c r="L4341" s="22" t="s">
        <v>10</v>
      </c>
      <c r="M4341" s="25">
        <v>1875333.43</v>
      </c>
      <c r="N4341" s="27">
        <v>0</v>
      </c>
    </row>
    <row r="4342" spans="1:14" hidden="1" outlineLevel="1" x14ac:dyDescent="0.2">
      <c r="A4342" s="23" t="str">
        <f t="shared" si="186"/>
        <v>ГКУ "ДИРЕКЦИЯ ТДФ"</v>
      </c>
      <c r="B4342" s="24" t="s">
        <v>6186</v>
      </c>
      <c r="C4342" s="25">
        <v>1875333.43</v>
      </c>
      <c r="D4342" s="22" t="s">
        <v>6197</v>
      </c>
      <c r="E4342" s="22" t="s">
        <v>585</v>
      </c>
      <c r="F4342" s="23" t="str">
        <f>HYPERLINK("https://www.spark-marketing.ru/Card/Lot/72105017", "Оказание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Калязинском, Кимрском районах и Кашинском городско...")</f>
        <v>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Калязинском, Кимрском районах и Кашинском городско...</v>
      </c>
      <c r="G4342" s="22" t="s">
        <v>251</v>
      </c>
      <c r="H4342" s="22" t="s">
        <v>252</v>
      </c>
      <c r="I4342" s="26">
        <v>43661.4609837963</v>
      </c>
      <c r="J4342" s="23" t="str">
        <f>HYPERLINK("https://www.spark-marketing.ru/Card/Person/81571", "ООО ""СО ""АНТИТЕРРОР""")</f>
        <v>ООО "СО "АНТИТЕРРОР"</v>
      </c>
      <c r="K4342" s="24" t="s">
        <v>3384</v>
      </c>
      <c r="L4342" s="28" t="s">
        <v>52</v>
      </c>
      <c r="M4342" s="25">
        <v>1781566</v>
      </c>
      <c r="N4342" s="27">
        <v>5.0000404461408229E-2</v>
      </c>
    </row>
    <row r="4343" spans="1:14" x14ac:dyDescent="0.15">
      <c r="A4343" s="23" t="str">
        <f t="shared" si="186"/>
        <v>ГКУ "ДИРЕКЦИЯ ТДФ"</v>
      </c>
      <c r="B4343" s="24" t="s">
        <v>6186</v>
      </c>
      <c r="C4343" s="25">
        <v>1228666.73</v>
      </c>
      <c r="D4343" s="22" t="s">
        <v>6198</v>
      </c>
      <c r="E4343" s="22" t="s">
        <v>585</v>
      </c>
      <c r="F4343" s="23" t="str">
        <f>HYPERLINK("https://www.spark-marketing.ru/Card/Lot/72104995", "Оказание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Спировском районе и Удомельском городском округе Т...")</f>
        <v>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Спировском районе и Удомельском городском округе Т...</v>
      </c>
      <c r="G4343" s="22" t="s">
        <v>251</v>
      </c>
      <c r="H4343" s="22" t="s">
        <v>252</v>
      </c>
      <c r="I4343" s="26">
        <v>43661.4597685185</v>
      </c>
      <c r="J4343" s="28" t="s">
        <v>52</v>
      </c>
      <c r="K4343" s="28" t="s">
        <v>52</v>
      </c>
      <c r="L4343" s="28" t="s">
        <v>52</v>
      </c>
      <c r="M4343" s="28" t="s">
        <v>52</v>
      </c>
      <c r="N4343" s="28" t="s">
        <v>52</v>
      </c>
    </row>
    <row r="4344" spans="1:14" ht="12.75" hidden="1" outlineLevel="1" x14ac:dyDescent="0.2">
      <c r="A4344" s="23" t="str">
        <f t="shared" si="186"/>
        <v>ГКУ "ДИРЕКЦИЯ ТДФ"</v>
      </c>
      <c r="B4344" s="24" t="s">
        <v>6186</v>
      </c>
      <c r="C4344" s="25">
        <v>1228666.73</v>
      </c>
      <c r="D4344" s="22" t="s">
        <v>6198</v>
      </c>
      <c r="E4344" s="22" t="s">
        <v>585</v>
      </c>
      <c r="F4344" s="23" t="str">
        <f>HYPERLINK("https://www.spark-marketing.ru/Card/Lot/72104995", "Оказание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Спировском районе и Удомельском городском округе Т...")</f>
        <v>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Спировском районе и Удомельском городском округе Т...</v>
      </c>
      <c r="G4344" s="22" t="s">
        <v>251</v>
      </c>
      <c r="H4344" s="22" t="s">
        <v>252</v>
      </c>
      <c r="I4344" s="26">
        <v>43661.4597685185</v>
      </c>
      <c r="J4344" s="23" t="str">
        <f>HYPERLINK("https://www.spark-marketing.ru/Card/Person/2038990", "ООО ""СТБ""")</f>
        <v>ООО "СТБ"</v>
      </c>
      <c r="K4344" s="24" t="s">
        <v>2244</v>
      </c>
      <c r="L4344" s="22" t="s">
        <v>10</v>
      </c>
      <c r="M4344" s="25">
        <v>1228666.73</v>
      </c>
      <c r="N4344" s="27">
        <v>0</v>
      </c>
    </row>
    <row r="4345" spans="1:14" hidden="1" outlineLevel="1" x14ac:dyDescent="0.2">
      <c r="A4345" s="23" t="str">
        <f t="shared" si="186"/>
        <v>ГКУ "ДИРЕКЦИЯ ТДФ"</v>
      </c>
      <c r="B4345" s="24" t="s">
        <v>6186</v>
      </c>
      <c r="C4345" s="25">
        <v>1228666.73</v>
      </c>
      <c r="D4345" s="22" t="s">
        <v>6198</v>
      </c>
      <c r="E4345" s="22" t="s">
        <v>585</v>
      </c>
      <c r="F4345" s="23" t="str">
        <f>HYPERLINK("https://www.spark-marketing.ru/Card/Lot/72104995", "Оказание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Спировском районе и Удомельском городском округе Т...")</f>
        <v>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Спировском районе и Удомельском городском округе Т...</v>
      </c>
      <c r="G4345" s="22" t="s">
        <v>251</v>
      </c>
      <c r="H4345" s="22" t="s">
        <v>252</v>
      </c>
      <c r="I4345" s="26">
        <v>43661.4597685185</v>
      </c>
      <c r="J4345" s="23" t="str">
        <f>HYPERLINK("https://www.spark-marketing.ru/Card/Person/81571", "ООО ""СО ""АНТИТЕРРОР""")</f>
        <v>ООО "СО "АНТИТЕРРОР"</v>
      </c>
      <c r="K4345" s="24" t="s">
        <v>3384</v>
      </c>
      <c r="L4345" s="28" t="s">
        <v>52</v>
      </c>
      <c r="M4345" s="25">
        <v>1167232</v>
      </c>
      <c r="N4345" s="27">
        <v>5.0001134156208493E-2</v>
      </c>
    </row>
    <row r="4346" spans="1:14" x14ac:dyDescent="0.15">
      <c r="A4346" s="23" t="str">
        <f t="shared" si="186"/>
        <v>ГКУ "ДИРЕКЦИЯ ТДФ"</v>
      </c>
      <c r="B4346" s="24" t="s">
        <v>6186</v>
      </c>
      <c r="C4346" s="25">
        <v>1940000.1</v>
      </c>
      <c r="D4346" s="22" t="s">
        <v>6199</v>
      </c>
      <c r="E4346" s="22" t="s">
        <v>585</v>
      </c>
      <c r="F4346" s="23" t="str">
        <f>HYPERLINK("https://www.spark-marketing.ru/Card/Lot/72105014", "Оказание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Лихославльском и Торжокском районах Тверской облас...")</f>
        <v>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Лихославльском и Торжокском районах Тверской облас...</v>
      </c>
      <c r="G4346" s="22" t="s">
        <v>251</v>
      </c>
      <c r="H4346" s="22" t="s">
        <v>252</v>
      </c>
      <c r="I4346" s="26">
        <v>43661.459803240701</v>
      </c>
      <c r="J4346" s="28" t="s">
        <v>52</v>
      </c>
      <c r="K4346" s="28" t="s">
        <v>52</v>
      </c>
      <c r="L4346" s="28" t="s">
        <v>52</v>
      </c>
      <c r="M4346" s="28" t="s">
        <v>52</v>
      </c>
      <c r="N4346" s="28" t="s">
        <v>52</v>
      </c>
    </row>
    <row r="4347" spans="1:14" ht="12.75" hidden="1" outlineLevel="1" x14ac:dyDescent="0.2">
      <c r="A4347" s="23" t="str">
        <f t="shared" si="186"/>
        <v>ГКУ "ДИРЕКЦИЯ ТДФ"</v>
      </c>
      <c r="B4347" s="24" t="s">
        <v>6186</v>
      </c>
      <c r="C4347" s="25">
        <v>1940000.1</v>
      </c>
      <c r="D4347" s="22" t="s">
        <v>6199</v>
      </c>
      <c r="E4347" s="22" t="s">
        <v>585</v>
      </c>
      <c r="F4347" s="23" t="str">
        <f>HYPERLINK("https://www.spark-marketing.ru/Card/Lot/72105014", "Оказание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Лихославльском и Торжокском районах Тверской облас...")</f>
        <v>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Лихославльском и Торжокском районах Тверской облас...</v>
      </c>
      <c r="G4347" s="22" t="s">
        <v>251</v>
      </c>
      <c r="H4347" s="22" t="s">
        <v>252</v>
      </c>
      <c r="I4347" s="26">
        <v>43661.459803240701</v>
      </c>
      <c r="J4347" s="23" t="str">
        <f>HYPERLINK("https://www.spark-marketing.ru/Card/Person/2038990", "ООО ""СТБ""")</f>
        <v>ООО "СТБ"</v>
      </c>
      <c r="K4347" s="24" t="s">
        <v>2244</v>
      </c>
      <c r="L4347" s="22" t="s">
        <v>10</v>
      </c>
      <c r="M4347" s="25">
        <v>1940000.1</v>
      </c>
      <c r="N4347" s="27">
        <v>0</v>
      </c>
    </row>
    <row r="4348" spans="1:14" hidden="1" outlineLevel="1" x14ac:dyDescent="0.2">
      <c r="A4348" s="23" t="str">
        <f t="shared" si="186"/>
        <v>ГКУ "ДИРЕКЦИЯ ТДФ"</v>
      </c>
      <c r="B4348" s="24" t="s">
        <v>6186</v>
      </c>
      <c r="C4348" s="25">
        <v>1940000.1</v>
      </c>
      <c r="D4348" s="22" t="s">
        <v>6199</v>
      </c>
      <c r="E4348" s="22" t="s">
        <v>585</v>
      </c>
      <c r="F4348" s="23" t="str">
        <f>HYPERLINK("https://www.spark-marketing.ru/Card/Lot/72105014", "Оказание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Лихославльском и Торжокском районах Тверской облас...")</f>
        <v>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Лихославльском и Торжокском районах Тверской облас...</v>
      </c>
      <c r="G4348" s="22" t="s">
        <v>251</v>
      </c>
      <c r="H4348" s="22" t="s">
        <v>252</v>
      </c>
      <c r="I4348" s="26">
        <v>43661.459803240701</v>
      </c>
      <c r="J4348" s="23" t="str">
        <f>HYPERLINK("https://www.spark-marketing.ru/Card/Person/81571", "ООО ""СО ""АНТИТЕРРОР""")</f>
        <v>ООО "СО "АНТИТЕРРОР"</v>
      </c>
      <c r="K4348" s="24" t="s">
        <v>3384</v>
      </c>
      <c r="L4348" s="28" t="s">
        <v>52</v>
      </c>
      <c r="M4348" s="25">
        <v>1843000</v>
      </c>
      <c r="N4348" s="27">
        <v>5.0000048969069642E-2</v>
      </c>
    </row>
    <row r="4349" spans="1:14" x14ac:dyDescent="0.15">
      <c r="A4349" s="23" t="str">
        <f>HYPERLINK("https://www.spark-marketing.ru/Card/Person/57833", "МБОУ АНДРЕЕВСКАЯ СОШ")</f>
        <v>МБОУ АНДРЕЕВСКАЯ СОШ</v>
      </c>
      <c r="B4349" s="24" t="s">
        <v>6200</v>
      </c>
      <c r="C4349" s="25">
        <v>287200</v>
      </c>
      <c r="D4349" s="22" t="s">
        <v>6201</v>
      </c>
      <c r="E4349" s="22" t="s">
        <v>6202</v>
      </c>
      <c r="F4349" s="23" t="str">
        <f>HYPERLINK("https://www.spark-marketing.ru/Card/Lot/72088410", "мультимедийное оборудование")</f>
        <v>мультимедийное оборудование</v>
      </c>
      <c r="G4349" s="22" t="s">
        <v>50</v>
      </c>
      <c r="H4349" s="22" t="s">
        <v>265</v>
      </c>
      <c r="I4349" s="26">
        <v>43661.471886574102</v>
      </c>
      <c r="J4349" s="28" t="s">
        <v>52</v>
      </c>
      <c r="K4349" s="28" t="s">
        <v>52</v>
      </c>
      <c r="L4349" s="28" t="s">
        <v>52</v>
      </c>
      <c r="M4349" s="28" t="s">
        <v>52</v>
      </c>
      <c r="N4349" s="28" t="s">
        <v>52</v>
      </c>
    </row>
    <row r="4350" spans="1:14" x14ac:dyDescent="0.15">
      <c r="A4350" s="23" t="str">
        <f>HYPERLINK("https://www.spark-marketing.ru/Card/Person/4343559", "ГКУ ""ДИРЕКЦИЯ ТДФ""")</f>
        <v>ГКУ "ДИРЕКЦИЯ ТДФ"</v>
      </c>
      <c r="B4350" s="24" t="s">
        <v>6186</v>
      </c>
      <c r="C4350" s="25">
        <v>1164000.06</v>
      </c>
      <c r="D4350" s="22" t="s">
        <v>6203</v>
      </c>
      <c r="E4350" s="22" t="s">
        <v>585</v>
      </c>
      <c r="F4350" s="23" t="str">
        <f>HYPERLINK("https://www.spark-marketing.ru/Card/Lot/72105054", "Оказание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Лесном и Максатихинском районах Тверской области")</f>
        <v>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Лесном и Максатихинском районах Тверской области</v>
      </c>
      <c r="G4350" s="22" t="s">
        <v>251</v>
      </c>
      <c r="H4350" s="22" t="s">
        <v>252</v>
      </c>
      <c r="I4350" s="26">
        <v>43661.462754629603</v>
      </c>
      <c r="J4350" s="28" t="s">
        <v>52</v>
      </c>
      <c r="K4350" s="28" t="s">
        <v>52</v>
      </c>
      <c r="L4350" s="28" t="s">
        <v>52</v>
      </c>
      <c r="M4350" s="28" t="s">
        <v>52</v>
      </c>
      <c r="N4350" s="28" t="s">
        <v>52</v>
      </c>
    </row>
    <row r="4351" spans="1:14" ht="12.75" hidden="1" outlineLevel="1" x14ac:dyDescent="0.2">
      <c r="A4351" s="23" t="str">
        <f>HYPERLINK("https://www.spark-marketing.ru/Card/Person/4343559", "ГКУ ""ДИРЕКЦИЯ ТДФ""")</f>
        <v>ГКУ "ДИРЕКЦИЯ ТДФ"</v>
      </c>
      <c r="B4351" s="24" t="s">
        <v>6186</v>
      </c>
      <c r="C4351" s="25">
        <v>1164000.06</v>
      </c>
      <c r="D4351" s="22" t="s">
        <v>6203</v>
      </c>
      <c r="E4351" s="22" t="s">
        <v>585</v>
      </c>
      <c r="F4351" s="23" t="str">
        <f>HYPERLINK("https://www.spark-marketing.ru/Card/Lot/72105054", "Оказание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Лесном и Максатихинском районах Тверской области")</f>
        <v>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Лесном и Максатихинском районах Тверской области</v>
      </c>
      <c r="G4351" s="22" t="s">
        <v>251</v>
      </c>
      <c r="H4351" s="22" t="s">
        <v>252</v>
      </c>
      <c r="I4351" s="26">
        <v>43661.462754629603</v>
      </c>
      <c r="J4351" s="23" t="str">
        <f>HYPERLINK("https://www.spark-marketing.ru/Card/Person/2038990", "ООО ""СТБ""")</f>
        <v>ООО "СТБ"</v>
      </c>
      <c r="K4351" s="24" t="s">
        <v>2244</v>
      </c>
      <c r="L4351" s="22" t="s">
        <v>10</v>
      </c>
      <c r="M4351" s="25">
        <v>1164000.06</v>
      </c>
      <c r="N4351" s="27">
        <v>0</v>
      </c>
    </row>
    <row r="4352" spans="1:14" hidden="1" outlineLevel="1" x14ac:dyDescent="0.2">
      <c r="A4352" s="23" t="str">
        <f>HYPERLINK("https://www.spark-marketing.ru/Card/Person/4343559", "ГКУ ""ДИРЕКЦИЯ ТДФ""")</f>
        <v>ГКУ "ДИРЕКЦИЯ ТДФ"</v>
      </c>
      <c r="B4352" s="24" t="s">
        <v>6186</v>
      </c>
      <c r="C4352" s="25">
        <v>1164000.06</v>
      </c>
      <c r="D4352" s="22" t="s">
        <v>6203</v>
      </c>
      <c r="E4352" s="22" t="s">
        <v>585</v>
      </c>
      <c r="F4352" s="23" t="str">
        <f>HYPERLINK("https://www.spark-marketing.ru/Card/Lot/72105054", "Оказание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Лесном и Максатихинском районах Тверской области")</f>
        <v>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Лесном и Максатихинском районах Тверской области</v>
      </c>
      <c r="G4352" s="22" t="s">
        <v>251</v>
      </c>
      <c r="H4352" s="22" t="s">
        <v>252</v>
      </c>
      <c r="I4352" s="26">
        <v>43661.462754629603</v>
      </c>
      <c r="J4352" s="23" t="str">
        <f>HYPERLINK("https://www.spark-marketing.ru/Card/Person/81571", "ООО ""СО ""АНТИТЕРРОР""")</f>
        <v>ООО "СО "АНТИТЕРРОР"</v>
      </c>
      <c r="K4352" s="24" t="s">
        <v>3384</v>
      </c>
      <c r="L4352" s="28" t="s">
        <v>52</v>
      </c>
      <c r="M4352" s="25">
        <v>1105800</v>
      </c>
      <c r="N4352" s="27">
        <v>5.0000048969069642E-2</v>
      </c>
    </row>
    <row r="4353" spans="1:14" x14ac:dyDescent="0.15">
      <c r="A4353" s="23" t="str">
        <f>HYPERLINK("https://www.spark-marketing.ru/Card/Person/255009", "МОУ ""СРЕДНЯЯ ШКОЛА №33""")</f>
        <v>МОУ "СРЕДНЯЯ ШКОЛА №33"</v>
      </c>
      <c r="B4353" s="24" t="s">
        <v>6204</v>
      </c>
      <c r="C4353" s="25">
        <v>40000</v>
      </c>
      <c r="D4353" s="28" t="s">
        <v>52</v>
      </c>
      <c r="E4353" s="22" t="s">
        <v>6205</v>
      </c>
      <c r="F4353" s="23" t="str">
        <f>HYPERLINK("https://www.spark-marketing.ru/Card/Lot/72087586", "№005128201917696 Установка и обслуживание системы IP-видеонаблюдения")</f>
        <v>№005128201917696 Установка и обслуживание системы IP-видеонаблюдения</v>
      </c>
      <c r="G4353" s="22" t="s">
        <v>435</v>
      </c>
      <c r="H4353" s="22" t="s">
        <v>436</v>
      </c>
      <c r="I4353" s="26">
        <v>43661.496562499997</v>
      </c>
      <c r="J4353" s="28" t="s">
        <v>52</v>
      </c>
      <c r="K4353" s="28" t="s">
        <v>52</v>
      </c>
      <c r="L4353" s="28" t="s">
        <v>52</v>
      </c>
      <c r="M4353" s="28" t="s">
        <v>52</v>
      </c>
      <c r="N4353" s="28" t="s">
        <v>52</v>
      </c>
    </row>
    <row r="4354" spans="1:14" x14ac:dyDescent="0.15">
      <c r="A4354" s="23" t="str">
        <f t="shared" ref="A4354:A4359" si="187">HYPERLINK("https://www.spark-marketing.ru/Card/Person/4343559", "ГКУ ""ДИРЕКЦИЯ ТДФ""")</f>
        <v>ГКУ "ДИРЕКЦИЯ ТДФ"</v>
      </c>
      <c r="B4354" s="24" t="s">
        <v>6186</v>
      </c>
      <c r="C4354" s="25">
        <v>1940000.1</v>
      </c>
      <c r="D4354" s="22" t="s">
        <v>6206</v>
      </c>
      <c r="E4354" s="22" t="s">
        <v>585</v>
      </c>
      <c r="F4354" s="23" t="str">
        <f>HYPERLINK("https://www.spark-marketing.ru/Card/Lot/72104997", "Оказание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Зубцовском, Ржевском и Старицком районах Тверской ...")</f>
        <v>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Зубцовском, Ржевском и Старицком районах Тверской ...</v>
      </c>
      <c r="G4354" s="22" t="s">
        <v>251</v>
      </c>
      <c r="H4354" s="22" t="s">
        <v>252</v>
      </c>
      <c r="I4354" s="26">
        <v>43661.459791666697</v>
      </c>
      <c r="J4354" s="28" t="s">
        <v>52</v>
      </c>
      <c r="K4354" s="28" t="s">
        <v>52</v>
      </c>
      <c r="L4354" s="28" t="s">
        <v>52</v>
      </c>
      <c r="M4354" s="28" t="s">
        <v>52</v>
      </c>
      <c r="N4354" s="28" t="s">
        <v>52</v>
      </c>
    </row>
    <row r="4355" spans="1:14" ht="12.75" hidden="1" outlineLevel="1" x14ac:dyDescent="0.2">
      <c r="A4355" s="23" t="str">
        <f t="shared" si="187"/>
        <v>ГКУ "ДИРЕКЦИЯ ТДФ"</v>
      </c>
      <c r="B4355" s="24" t="s">
        <v>6186</v>
      </c>
      <c r="C4355" s="25">
        <v>1940000.1</v>
      </c>
      <c r="D4355" s="22" t="s">
        <v>6206</v>
      </c>
      <c r="E4355" s="22" t="s">
        <v>585</v>
      </c>
      <c r="F4355" s="23" t="str">
        <f>HYPERLINK("https://www.spark-marketing.ru/Card/Lot/72104997", "Оказание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Зубцовском, Ржевском и Старицком районах Тверской ...")</f>
        <v>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Зубцовском, Ржевском и Старицком районах Тверской ...</v>
      </c>
      <c r="G4355" s="22" t="s">
        <v>251</v>
      </c>
      <c r="H4355" s="22" t="s">
        <v>252</v>
      </c>
      <c r="I4355" s="26">
        <v>43661.459791666697</v>
      </c>
      <c r="J4355" s="23" t="str">
        <f>HYPERLINK("https://www.spark-marketing.ru/Card/Person/2038990", "ООО ""СТБ""")</f>
        <v>ООО "СТБ"</v>
      </c>
      <c r="K4355" s="24" t="s">
        <v>2244</v>
      </c>
      <c r="L4355" s="22" t="s">
        <v>10</v>
      </c>
      <c r="M4355" s="25">
        <v>1940000.1</v>
      </c>
      <c r="N4355" s="27">
        <v>0</v>
      </c>
    </row>
    <row r="4356" spans="1:14" hidden="1" outlineLevel="1" x14ac:dyDescent="0.2">
      <c r="A4356" s="23" t="str">
        <f t="shared" si="187"/>
        <v>ГКУ "ДИРЕКЦИЯ ТДФ"</v>
      </c>
      <c r="B4356" s="24" t="s">
        <v>6186</v>
      </c>
      <c r="C4356" s="25">
        <v>1940000.1</v>
      </c>
      <c r="D4356" s="22" t="s">
        <v>6206</v>
      </c>
      <c r="E4356" s="22" t="s">
        <v>585</v>
      </c>
      <c r="F4356" s="23" t="str">
        <f>HYPERLINK("https://www.spark-marketing.ru/Card/Lot/72104997", "Оказание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Зубцовском, Ржевском и Старицком районах Тверской ...")</f>
        <v>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Зубцовском, Ржевском и Старицком районах Тверской ...</v>
      </c>
      <c r="G4356" s="22" t="s">
        <v>251</v>
      </c>
      <c r="H4356" s="22" t="s">
        <v>252</v>
      </c>
      <c r="I4356" s="26">
        <v>43661.459791666697</v>
      </c>
      <c r="J4356" s="23" t="str">
        <f>HYPERLINK("https://www.spark-marketing.ru/Card/Person/81571", "ООО ""СО ""АНТИТЕРРОР""")</f>
        <v>ООО "СО "АНТИТЕРРОР"</v>
      </c>
      <c r="K4356" s="24" t="s">
        <v>3384</v>
      </c>
      <c r="L4356" s="28" t="s">
        <v>52</v>
      </c>
      <c r="M4356" s="25">
        <v>1843000</v>
      </c>
      <c r="N4356" s="27">
        <v>5.0000048969069642E-2</v>
      </c>
    </row>
    <row r="4357" spans="1:14" x14ac:dyDescent="0.15">
      <c r="A4357" s="23" t="str">
        <f t="shared" si="187"/>
        <v>ГКУ "ДИРЕКЦИЯ ТДФ"</v>
      </c>
      <c r="B4357" s="24" t="s">
        <v>6186</v>
      </c>
      <c r="C4357" s="25">
        <v>1422666.74</v>
      </c>
      <c r="D4357" s="22" t="s">
        <v>6207</v>
      </c>
      <c r="E4357" s="22" t="s">
        <v>585</v>
      </c>
      <c r="F4357" s="23" t="str">
        <f>HYPERLINK("https://www.spark-marketing.ru/Card/Lot/72104996", "Оказание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Бежецком, Кесовогорском, Краснохолмском и Сонковск...")</f>
        <v>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Бежецком, Кесовогорском, Краснохолмском и Сонковск...</v>
      </c>
      <c r="G4357" s="22" t="s">
        <v>251</v>
      </c>
      <c r="H4357" s="22" t="s">
        <v>252</v>
      </c>
      <c r="I4357" s="26">
        <v>43661.4597685185</v>
      </c>
      <c r="J4357" s="28" t="s">
        <v>52</v>
      </c>
      <c r="K4357" s="28" t="s">
        <v>52</v>
      </c>
      <c r="L4357" s="28" t="s">
        <v>52</v>
      </c>
      <c r="M4357" s="28" t="s">
        <v>52</v>
      </c>
      <c r="N4357" s="28" t="s">
        <v>52</v>
      </c>
    </row>
    <row r="4358" spans="1:14" hidden="1" outlineLevel="1" x14ac:dyDescent="0.2">
      <c r="A4358" s="23" t="str">
        <f t="shared" si="187"/>
        <v>ГКУ "ДИРЕКЦИЯ ТДФ"</v>
      </c>
      <c r="B4358" s="24" t="s">
        <v>6186</v>
      </c>
      <c r="C4358" s="25">
        <v>1422666.74</v>
      </c>
      <c r="D4358" s="22" t="s">
        <v>6207</v>
      </c>
      <c r="E4358" s="22" t="s">
        <v>585</v>
      </c>
      <c r="F4358" s="23" t="str">
        <f>HYPERLINK("https://www.spark-marketing.ru/Card/Lot/72104996", "Оказание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Бежецком, Кесовогорском, Краснохолмском и Сонковск...")</f>
        <v>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Бежецком, Кесовогорском, Краснохолмском и Сонковск...</v>
      </c>
      <c r="G4358" s="22" t="s">
        <v>251</v>
      </c>
      <c r="H4358" s="22" t="s">
        <v>252</v>
      </c>
      <c r="I4358" s="26">
        <v>43661.4597685185</v>
      </c>
      <c r="J4358" s="23" t="str">
        <f>HYPERLINK("https://www.spark-marketing.ru/Card/Person/81571", "ООО ""СО ""АНТИТЕРРОР""")</f>
        <v>ООО "СО "АНТИТЕРРОР"</v>
      </c>
      <c r="K4358" s="24" t="s">
        <v>3384</v>
      </c>
      <c r="L4358" s="28" t="s">
        <v>52</v>
      </c>
      <c r="M4358" s="25">
        <v>1351533</v>
      </c>
      <c r="N4358" s="27">
        <v>5.0000283270838254E-2</v>
      </c>
    </row>
    <row r="4359" spans="1:14" ht="12.75" hidden="1" outlineLevel="1" x14ac:dyDescent="0.2">
      <c r="A4359" s="23" t="str">
        <f t="shared" si="187"/>
        <v>ГКУ "ДИРЕКЦИЯ ТДФ"</v>
      </c>
      <c r="B4359" s="24" t="s">
        <v>6186</v>
      </c>
      <c r="C4359" s="25">
        <v>1422666.74</v>
      </c>
      <c r="D4359" s="22" t="s">
        <v>6207</v>
      </c>
      <c r="E4359" s="22" t="s">
        <v>585</v>
      </c>
      <c r="F4359" s="23" t="str">
        <f>HYPERLINK("https://www.spark-marketing.ru/Card/Lot/72104996", "Оказание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Бежецком, Кесовогорском, Краснохолмском и Сонковск...")</f>
        <v>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Бежецком, Кесовогорском, Краснохолмском и Сонковск...</v>
      </c>
      <c r="G4359" s="22" t="s">
        <v>251</v>
      </c>
      <c r="H4359" s="22" t="s">
        <v>252</v>
      </c>
      <c r="I4359" s="26">
        <v>43661.4597685185</v>
      </c>
      <c r="J4359" s="23" t="str">
        <f>HYPERLINK("https://www.spark-marketing.ru/Card/Person/2038990", "ООО ""СТБ""")</f>
        <v>ООО "СТБ"</v>
      </c>
      <c r="K4359" s="24" t="s">
        <v>2244</v>
      </c>
      <c r="L4359" s="22" t="s">
        <v>10</v>
      </c>
      <c r="M4359" s="25">
        <v>1422666.74</v>
      </c>
      <c r="N4359" s="27">
        <v>0</v>
      </c>
    </row>
    <row r="4360" spans="1:14" x14ac:dyDescent="0.15">
      <c r="A4360" s="23" t="str">
        <f>HYPERLINK("https://www.spark-marketing.ru/Card/Person/7316", "ФКУ ""ЦХИСО УМВД РОССИИ ПО ПЕНЗЕНСКОЙ ОБЛАСТИ""")</f>
        <v>ФКУ "ЦХИСО УМВД РОССИИ ПО ПЕНЗЕНСКОЙ ОБЛАСТИ"</v>
      </c>
      <c r="B4360" s="24" t="s">
        <v>6208</v>
      </c>
      <c r="C4360" s="25">
        <v>2800</v>
      </c>
      <c r="D4360" s="22" t="s">
        <v>6209</v>
      </c>
      <c r="E4360" s="22" t="s">
        <v>53</v>
      </c>
      <c r="F4360" s="23" t="str">
        <f>HYPERLINK("https://www.spark-marketing.ru/Card/Lot/72086297", "Услуги по установке дополнительного оборудования (сигнализация, радиоаппаратура и т.п.), 1 усл. ед")</f>
        <v>Услуги по установке дополнительного оборудования (сигнализация, радиоаппаратура и т.п.), 1 усл. ед</v>
      </c>
      <c r="G4360" s="22" t="s">
        <v>514</v>
      </c>
      <c r="H4360" s="22" t="s">
        <v>2167</v>
      </c>
      <c r="I4360" s="26">
        <v>43661.4229976852</v>
      </c>
      <c r="J4360" s="28" t="s">
        <v>52</v>
      </c>
      <c r="K4360" s="28" t="s">
        <v>52</v>
      </c>
      <c r="L4360" s="28" t="s">
        <v>52</v>
      </c>
      <c r="M4360" s="28" t="s">
        <v>52</v>
      </c>
      <c r="N4360" s="28" t="s">
        <v>52</v>
      </c>
    </row>
    <row r="4361" spans="1:14" x14ac:dyDescent="0.15">
      <c r="A4361" s="23" t="str">
        <f t="shared" ref="A4361:A4366" si="188">HYPERLINK("https://www.spark-marketing.ru/Card/Person/4343559", "ГКУ ""ДИРЕКЦИЯ ТДФ""")</f>
        <v>ГКУ "ДИРЕКЦИЯ ТДФ"</v>
      </c>
      <c r="B4361" s="24" t="s">
        <v>6186</v>
      </c>
      <c r="C4361" s="25">
        <v>1746000.09</v>
      </c>
      <c r="D4361" s="22" t="s">
        <v>6210</v>
      </c>
      <c r="E4361" s="22" t="s">
        <v>585</v>
      </c>
      <c r="F4361" s="23" t="str">
        <f>HYPERLINK("https://www.spark-marketing.ru/Card/Lot/72104667", "Оказание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Жарковском, Западнодвинском районах и Нелидовском ...")</f>
        <v>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Жарковском, Западнодвинском районах и Нелидовском ...</v>
      </c>
      <c r="G4361" s="22" t="s">
        <v>251</v>
      </c>
      <c r="H4361" s="22" t="s">
        <v>252</v>
      </c>
      <c r="I4361" s="26">
        <v>43661.453946759299</v>
      </c>
      <c r="J4361" s="28" t="s">
        <v>52</v>
      </c>
      <c r="K4361" s="28" t="s">
        <v>52</v>
      </c>
      <c r="L4361" s="28" t="s">
        <v>52</v>
      </c>
      <c r="M4361" s="28" t="s">
        <v>52</v>
      </c>
      <c r="N4361" s="28" t="s">
        <v>52</v>
      </c>
    </row>
    <row r="4362" spans="1:14" ht="12.75" hidden="1" outlineLevel="1" x14ac:dyDescent="0.2">
      <c r="A4362" s="23" t="str">
        <f t="shared" si="188"/>
        <v>ГКУ "ДИРЕКЦИЯ ТДФ"</v>
      </c>
      <c r="B4362" s="24" t="s">
        <v>6186</v>
      </c>
      <c r="C4362" s="25">
        <v>1746000.09</v>
      </c>
      <c r="D4362" s="22" t="s">
        <v>6210</v>
      </c>
      <c r="E4362" s="22" t="s">
        <v>585</v>
      </c>
      <c r="F4362" s="23" t="str">
        <f>HYPERLINK("https://www.spark-marketing.ru/Card/Lot/72104667", "Оказание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Жарковском, Западнодвинском районах и Нелидовском ...")</f>
        <v>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Жарковском, Западнодвинском районах и Нелидовском ...</v>
      </c>
      <c r="G4362" s="22" t="s">
        <v>251</v>
      </c>
      <c r="H4362" s="22" t="s">
        <v>252</v>
      </c>
      <c r="I4362" s="26">
        <v>43661.453946759299</v>
      </c>
      <c r="J4362" s="23" t="str">
        <f>HYPERLINK("https://www.spark-marketing.ru/Card/Person/2038990", "ООО ""СТБ""")</f>
        <v>ООО "СТБ"</v>
      </c>
      <c r="K4362" s="24" t="s">
        <v>2244</v>
      </c>
      <c r="L4362" s="22" t="s">
        <v>10</v>
      </c>
      <c r="M4362" s="25">
        <v>1746000.09</v>
      </c>
      <c r="N4362" s="27">
        <v>0</v>
      </c>
    </row>
    <row r="4363" spans="1:14" hidden="1" outlineLevel="1" x14ac:dyDescent="0.2">
      <c r="A4363" s="23" t="str">
        <f t="shared" si="188"/>
        <v>ГКУ "ДИРЕКЦИЯ ТДФ"</v>
      </c>
      <c r="B4363" s="24" t="s">
        <v>6186</v>
      </c>
      <c r="C4363" s="25">
        <v>1746000.09</v>
      </c>
      <c r="D4363" s="22" t="s">
        <v>6210</v>
      </c>
      <c r="E4363" s="22" t="s">
        <v>585</v>
      </c>
      <c r="F4363" s="23" t="str">
        <f>HYPERLINK("https://www.spark-marketing.ru/Card/Lot/72104667", "Оказание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Жарковском, Западнодвинском районах и Нелидовском ...")</f>
        <v>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Жарковском, Западнодвинском районах и Нелидовском ...</v>
      </c>
      <c r="G4363" s="22" t="s">
        <v>251</v>
      </c>
      <c r="H4363" s="22" t="s">
        <v>252</v>
      </c>
      <c r="I4363" s="26">
        <v>43661.453946759299</v>
      </c>
      <c r="J4363" s="23" t="str">
        <f>HYPERLINK("https://www.spark-marketing.ru/Card/Person/81571", "ООО ""СО ""АНТИТЕРРОР""")</f>
        <v>ООО "СО "АНТИТЕРРОР"</v>
      </c>
      <c r="K4363" s="24" t="s">
        <v>3384</v>
      </c>
      <c r="L4363" s="28" t="s">
        <v>52</v>
      </c>
      <c r="M4363" s="25">
        <v>1658700</v>
      </c>
      <c r="N4363" s="27">
        <v>5.0000048969069642E-2</v>
      </c>
    </row>
    <row r="4364" spans="1:14" x14ac:dyDescent="0.15">
      <c r="A4364" s="23" t="str">
        <f t="shared" si="188"/>
        <v>ГКУ "ДИРЕКЦИЯ ТДФ"</v>
      </c>
      <c r="B4364" s="24" t="s">
        <v>6186</v>
      </c>
      <c r="C4364" s="25">
        <v>1552000.08</v>
      </c>
      <c r="D4364" s="22" t="s">
        <v>6211</v>
      </c>
      <c r="E4364" s="22" t="s">
        <v>585</v>
      </c>
      <c r="F4364" s="23" t="str">
        <f>HYPERLINK("https://www.spark-marketing.ru/Card/Lot/72104668", "Оказание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Весьегонском, Молоковском и Сандовском районах Тве...")</f>
        <v>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Весьегонском, Молоковском и Сандовском районах Тве...</v>
      </c>
      <c r="G4364" s="22" t="s">
        <v>251</v>
      </c>
      <c r="H4364" s="22" t="s">
        <v>252</v>
      </c>
      <c r="I4364" s="26">
        <v>43661.453958333303</v>
      </c>
      <c r="J4364" s="28" t="s">
        <v>52</v>
      </c>
      <c r="K4364" s="28" t="s">
        <v>52</v>
      </c>
      <c r="L4364" s="28" t="s">
        <v>52</v>
      </c>
      <c r="M4364" s="28" t="s">
        <v>52</v>
      </c>
      <c r="N4364" s="28" t="s">
        <v>52</v>
      </c>
    </row>
    <row r="4365" spans="1:14" ht="12.75" hidden="1" outlineLevel="1" x14ac:dyDescent="0.2">
      <c r="A4365" s="23" t="str">
        <f t="shared" si="188"/>
        <v>ГКУ "ДИРЕКЦИЯ ТДФ"</v>
      </c>
      <c r="B4365" s="24" t="s">
        <v>6186</v>
      </c>
      <c r="C4365" s="25">
        <v>1552000.08</v>
      </c>
      <c r="D4365" s="22" t="s">
        <v>6211</v>
      </c>
      <c r="E4365" s="22" t="s">
        <v>585</v>
      </c>
      <c r="F4365" s="23" t="str">
        <f>HYPERLINK("https://www.spark-marketing.ru/Card/Lot/72104668", "Оказание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Весьегонском, Молоковском и Сандовском районах Тве...")</f>
        <v>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Весьегонском, Молоковском и Сандовском районах Тве...</v>
      </c>
      <c r="G4365" s="22" t="s">
        <v>251</v>
      </c>
      <c r="H4365" s="22" t="s">
        <v>252</v>
      </c>
      <c r="I4365" s="26">
        <v>43661.453958333303</v>
      </c>
      <c r="J4365" s="23" t="str">
        <f>HYPERLINK("https://www.spark-marketing.ru/Card/Person/2038990", "ООО ""СТБ""")</f>
        <v>ООО "СТБ"</v>
      </c>
      <c r="K4365" s="24" t="s">
        <v>2244</v>
      </c>
      <c r="L4365" s="22" t="s">
        <v>10</v>
      </c>
      <c r="M4365" s="25">
        <v>1552000.08</v>
      </c>
      <c r="N4365" s="27">
        <v>0</v>
      </c>
    </row>
    <row r="4366" spans="1:14" hidden="1" outlineLevel="1" x14ac:dyDescent="0.2">
      <c r="A4366" s="23" t="str">
        <f t="shared" si="188"/>
        <v>ГКУ "ДИРЕКЦИЯ ТДФ"</v>
      </c>
      <c r="B4366" s="24" t="s">
        <v>6186</v>
      </c>
      <c r="C4366" s="25">
        <v>1552000.08</v>
      </c>
      <c r="D4366" s="22" t="s">
        <v>6211</v>
      </c>
      <c r="E4366" s="22" t="s">
        <v>585</v>
      </c>
      <c r="F4366" s="23" t="str">
        <f>HYPERLINK("https://www.spark-marketing.ru/Card/Lot/72104668", "Оказание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Весьегонском, Молоковском и Сандовском районах Тве...")</f>
        <v>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Весьегонском, Молоковском и Сандовском районах Тве...</v>
      </c>
      <c r="G4366" s="22" t="s">
        <v>251</v>
      </c>
      <c r="H4366" s="22" t="s">
        <v>252</v>
      </c>
      <c r="I4366" s="26">
        <v>43661.453958333303</v>
      </c>
      <c r="J4366" s="23" t="str">
        <f>HYPERLINK("https://www.spark-marketing.ru/Card/Person/81571", "ООО ""СО ""АНТИТЕРРОР""")</f>
        <v>ООО "СО "АНТИТЕРРОР"</v>
      </c>
      <c r="K4366" s="24" t="s">
        <v>3384</v>
      </c>
      <c r="L4366" s="28" t="s">
        <v>52</v>
      </c>
      <c r="M4366" s="25">
        <v>1474400</v>
      </c>
      <c r="N4366" s="27">
        <v>5.0000048969069642E-2</v>
      </c>
    </row>
    <row r="4367" spans="1:14" x14ac:dyDescent="0.15">
      <c r="A4367" s="23" t="str">
        <f t="shared" ref="A4367:A4376" si="189">HYPERLINK("https://www.spark-marketing.ru/Card/Person/91911", "ГБОУ СОШ №381 КИРОВСКОГО РАЙОНА САНКТ-ПЕТЕРБУРГА")</f>
        <v>ГБОУ СОШ №381 КИРОВСКОГО РАЙОНА САНКТ-ПЕТЕРБУРГА</v>
      </c>
      <c r="B4367" s="24" t="s">
        <v>6212</v>
      </c>
      <c r="C4367" s="25">
        <v>829136</v>
      </c>
      <c r="D4367" s="22" t="s">
        <v>6213</v>
      </c>
      <c r="E4367" s="22" t="s">
        <v>59</v>
      </c>
      <c r="F4367" s="23" t="str">
        <f t="shared" ref="F4367:F4376" si="190">HYPERLINK("https://www.spark-marketing.ru/Card/Lot/72089154", "Выполнение работ по монтажу системы внутреннего видеонаблюдения.")</f>
        <v>Выполнение работ по монтажу системы внутреннего видеонаблюдения.</v>
      </c>
      <c r="G4367" s="22" t="s">
        <v>89</v>
      </c>
      <c r="H4367" s="22" t="s">
        <v>89</v>
      </c>
      <c r="I4367" s="26">
        <v>43661.428449074097</v>
      </c>
      <c r="J4367" s="28" t="s">
        <v>52</v>
      </c>
      <c r="K4367" s="28" t="s">
        <v>52</v>
      </c>
      <c r="L4367" s="28" t="s">
        <v>52</v>
      </c>
      <c r="M4367" s="28" t="s">
        <v>52</v>
      </c>
      <c r="N4367" s="28" t="s">
        <v>52</v>
      </c>
    </row>
    <row r="4368" spans="1:14" hidden="1" outlineLevel="1" x14ac:dyDescent="0.2">
      <c r="A4368" s="23" t="str">
        <f t="shared" si="189"/>
        <v>ГБОУ СОШ №381 КИРОВСКОГО РАЙОНА САНКТ-ПЕТЕРБУРГА</v>
      </c>
      <c r="B4368" s="24" t="s">
        <v>6212</v>
      </c>
      <c r="C4368" s="25">
        <v>829136</v>
      </c>
      <c r="D4368" s="22" t="s">
        <v>6213</v>
      </c>
      <c r="E4368" s="22" t="s">
        <v>59</v>
      </c>
      <c r="F4368" s="23" t="str">
        <f t="shared" si="190"/>
        <v>Выполнение работ по монтажу системы внутреннего видеонаблюдения.</v>
      </c>
      <c r="G4368" s="22" t="s">
        <v>89</v>
      </c>
      <c r="H4368" s="22" t="s">
        <v>89</v>
      </c>
      <c r="I4368" s="26">
        <v>43661.428449074097</v>
      </c>
      <c r="J4368" s="23" t="str">
        <f>HYPERLINK("https://www.spark-marketing.ru/Card/Person/4867026", "ООО ""НЕОН""")</f>
        <v>ООО "НЕОН"</v>
      </c>
      <c r="K4368" s="24" t="s">
        <v>2804</v>
      </c>
      <c r="L4368" s="28" t="s">
        <v>52</v>
      </c>
      <c r="M4368" s="25">
        <v>632768.14</v>
      </c>
      <c r="N4368" s="27">
        <v>0.236834319098435</v>
      </c>
    </row>
    <row r="4369" spans="1:14" hidden="1" outlineLevel="1" x14ac:dyDescent="0.2">
      <c r="A4369" s="23" t="str">
        <f t="shared" si="189"/>
        <v>ГБОУ СОШ №381 КИРОВСКОГО РАЙОНА САНКТ-ПЕТЕРБУРГА</v>
      </c>
      <c r="B4369" s="24" t="s">
        <v>6212</v>
      </c>
      <c r="C4369" s="25">
        <v>829136</v>
      </c>
      <c r="D4369" s="22" t="s">
        <v>6213</v>
      </c>
      <c r="E4369" s="22" t="s">
        <v>59</v>
      </c>
      <c r="F4369" s="23" t="str">
        <f t="shared" si="190"/>
        <v>Выполнение работ по монтажу системы внутреннего видеонаблюдения.</v>
      </c>
      <c r="G4369" s="22" t="s">
        <v>89</v>
      </c>
      <c r="H4369" s="22" t="s">
        <v>89</v>
      </c>
      <c r="I4369" s="26">
        <v>43661.428449074097</v>
      </c>
      <c r="J4369" s="23" t="str">
        <f>HYPERLINK("https://www.spark-marketing.ru/Card/Person/5964684", "ООО ""УПРАВЛЯЮЩАЯ КОМПАНИЯ ""ОРИОН""")</f>
        <v>ООО "УПРАВЛЯЮЩАЯ КОМПАНИЯ "ОРИОН"</v>
      </c>
      <c r="K4369" s="24" t="s">
        <v>6214</v>
      </c>
      <c r="L4369" s="28" t="s">
        <v>52</v>
      </c>
      <c r="M4369" s="25">
        <v>450000</v>
      </c>
      <c r="N4369" s="27">
        <v>0.45726635919800851</v>
      </c>
    </row>
    <row r="4370" spans="1:14" hidden="1" outlineLevel="1" x14ac:dyDescent="0.2">
      <c r="A4370" s="23" t="str">
        <f t="shared" si="189"/>
        <v>ГБОУ СОШ №381 КИРОВСКОГО РАЙОНА САНКТ-ПЕТЕРБУРГА</v>
      </c>
      <c r="B4370" s="24" t="s">
        <v>6212</v>
      </c>
      <c r="C4370" s="25">
        <v>829136</v>
      </c>
      <c r="D4370" s="22" t="s">
        <v>6213</v>
      </c>
      <c r="E4370" s="22" t="s">
        <v>59</v>
      </c>
      <c r="F4370" s="23" t="str">
        <f t="shared" si="190"/>
        <v>Выполнение работ по монтажу системы внутреннего видеонаблюдения.</v>
      </c>
      <c r="G4370" s="22" t="s">
        <v>89</v>
      </c>
      <c r="H4370" s="22" t="s">
        <v>89</v>
      </c>
      <c r="I4370" s="26">
        <v>43661.428449074097</v>
      </c>
      <c r="J4370" s="23" t="str">
        <f>HYPERLINK("https://www.spark-marketing.ru/Card/Person/99764", "ООО ""ОП ""СИСТЕМА""")</f>
        <v>ООО "ОП "СИСТЕМА"</v>
      </c>
      <c r="K4370" s="24" t="s">
        <v>1717</v>
      </c>
      <c r="L4370" s="28" t="s">
        <v>52</v>
      </c>
      <c r="M4370" s="25">
        <v>789365</v>
      </c>
      <c r="N4370" s="27">
        <v>4.7966799174080005E-2</v>
      </c>
    </row>
    <row r="4371" spans="1:14" ht="12.75" hidden="1" outlineLevel="1" x14ac:dyDescent="0.2">
      <c r="A4371" s="23" t="str">
        <f t="shared" si="189"/>
        <v>ГБОУ СОШ №381 КИРОВСКОГО РАЙОНА САНКТ-ПЕТЕРБУРГА</v>
      </c>
      <c r="B4371" s="24" t="s">
        <v>6212</v>
      </c>
      <c r="C4371" s="25">
        <v>829136</v>
      </c>
      <c r="D4371" s="22" t="s">
        <v>6213</v>
      </c>
      <c r="E4371" s="22" t="s">
        <v>59</v>
      </c>
      <c r="F4371" s="23" t="str">
        <f t="shared" si="190"/>
        <v>Выполнение работ по монтажу системы внутреннего видеонаблюдения.</v>
      </c>
      <c r="G4371" s="22" t="s">
        <v>89</v>
      </c>
      <c r="H4371" s="22" t="s">
        <v>89</v>
      </c>
      <c r="I4371" s="26">
        <v>43661.428449074097</v>
      </c>
      <c r="J4371" s="23" t="str">
        <f>HYPERLINK("https://www.spark-marketing.ru/Card/Person/242027", "ООО ""ПИМ""")</f>
        <v>ООО "ПИМ"</v>
      </c>
      <c r="K4371" s="24" t="s">
        <v>6215</v>
      </c>
      <c r="L4371" s="22" t="s">
        <v>10</v>
      </c>
      <c r="M4371" s="25">
        <v>423963.04</v>
      </c>
      <c r="N4371" s="27">
        <v>0.48866887941182147</v>
      </c>
    </row>
    <row r="4372" spans="1:14" hidden="1" outlineLevel="1" x14ac:dyDescent="0.2">
      <c r="A4372" s="23" t="str">
        <f t="shared" si="189"/>
        <v>ГБОУ СОШ №381 КИРОВСКОГО РАЙОНА САНКТ-ПЕТЕРБУРГА</v>
      </c>
      <c r="B4372" s="24" t="s">
        <v>6212</v>
      </c>
      <c r="C4372" s="25">
        <v>829136</v>
      </c>
      <c r="D4372" s="22" t="s">
        <v>6213</v>
      </c>
      <c r="E4372" s="22" t="s">
        <v>59</v>
      </c>
      <c r="F4372" s="23" t="str">
        <f t="shared" si="190"/>
        <v>Выполнение работ по монтажу системы внутреннего видеонаблюдения.</v>
      </c>
      <c r="G4372" s="22" t="s">
        <v>89</v>
      </c>
      <c r="H4372" s="22" t="s">
        <v>89</v>
      </c>
      <c r="I4372" s="26">
        <v>43661.428449074097</v>
      </c>
      <c r="J4372" s="23" t="str">
        <f>HYPERLINK("https://www.spark-marketing.ru/Card/Person/5897511", "Романов Максим Александрович")</f>
        <v>Романов Максим Александрович</v>
      </c>
      <c r="K4372" s="24" t="s">
        <v>4769</v>
      </c>
      <c r="L4372" s="28" t="s">
        <v>52</v>
      </c>
      <c r="M4372" s="25">
        <v>436400.08</v>
      </c>
      <c r="N4372" s="27">
        <v>0.47366887941182145</v>
      </c>
    </row>
    <row r="4373" spans="1:14" hidden="1" outlineLevel="1" x14ac:dyDescent="0.2">
      <c r="A4373" s="23" t="str">
        <f t="shared" si="189"/>
        <v>ГБОУ СОШ №381 КИРОВСКОГО РАЙОНА САНКТ-ПЕТЕРБУРГА</v>
      </c>
      <c r="B4373" s="24" t="s">
        <v>6212</v>
      </c>
      <c r="C4373" s="25">
        <v>829136</v>
      </c>
      <c r="D4373" s="22" t="s">
        <v>6213</v>
      </c>
      <c r="E4373" s="22" t="s">
        <v>59</v>
      </c>
      <c r="F4373" s="23" t="str">
        <f t="shared" si="190"/>
        <v>Выполнение работ по монтажу системы внутреннего видеонаблюдения.</v>
      </c>
      <c r="G4373" s="22" t="s">
        <v>89</v>
      </c>
      <c r="H4373" s="22" t="s">
        <v>89</v>
      </c>
      <c r="I4373" s="26">
        <v>43661.428449074097</v>
      </c>
      <c r="J4373" s="23" t="str">
        <f>HYPERLINK("https://www.spark-marketing.ru/Card/Person/6444745", "ООО ""РАЗУМНОЕ БУДУЩЕЕ""")</f>
        <v>ООО "РАЗУМНОЕ БУДУЩЕЕ"</v>
      </c>
      <c r="K4373" s="24" t="s">
        <v>5971</v>
      </c>
      <c r="L4373" s="28" t="s">
        <v>52</v>
      </c>
      <c r="M4373" s="25">
        <v>428108.72</v>
      </c>
      <c r="N4373" s="27">
        <v>0.48366887941182146</v>
      </c>
    </row>
    <row r="4374" spans="1:14" hidden="1" outlineLevel="1" x14ac:dyDescent="0.2">
      <c r="A4374" s="23" t="str">
        <f t="shared" si="189"/>
        <v>ГБОУ СОШ №381 КИРОВСКОГО РАЙОНА САНКТ-ПЕТЕРБУРГА</v>
      </c>
      <c r="B4374" s="24" t="s">
        <v>6212</v>
      </c>
      <c r="C4374" s="25">
        <v>829136</v>
      </c>
      <c r="D4374" s="22" t="s">
        <v>6213</v>
      </c>
      <c r="E4374" s="22" t="s">
        <v>59</v>
      </c>
      <c r="F4374" s="23" t="str">
        <f t="shared" si="190"/>
        <v>Выполнение работ по монтажу системы внутреннего видеонаблюдения.</v>
      </c>
      <c r="G4374" s="22" t="s">
        <v>89</v>
      </c>
      <c r="H4374" s="22" t="s">
        <v>89</v>
      </c>
      <c r="I4374" s="26">
        <v>43661.428449074097</v>
      </c>
      <c r="J4374" s="23" t="str">
        <f>HYPERLINK("https://www.spark-marketing.ru/Card/Person/61615", "ООО ""ТИТАН-МОНТАЖ""")</f>
        <v>ООО "ТИТАН-МОНТАЖ"</v>
      </c>
      <c r="K4374" s="24" t="s">
        <v>6216</v>
      </c>
      <c r="L4374" s="28" t="s">
        <v>52</v>
      </c>
      <c r="M4374" s="25">
        <v>670667.99</v>
      </c>
      <c r="N4374" s="27">
        <v>0.19112426670654753</v>
      </c>
    </row>
    <row r="4375" spans="1:14" hidden="1" outlineLevel="1" x14ac:dyDescent="0.2">
      <c r="A4375" s="23" t="str">
        <f t="shared" si="189"/>
        <v>ГБОУ СОШ №381 КИРОВСКОГО РАЙОНА САНКТ-ПЕТЕРБУРГА</v>
      </c>
      <c r="B4375" s="24" t="s">
        <v>6212</v>
      </c>
      <c r="C4375" s="25">
        <v>829136</v>
      </c>
      <c r="D4375" s="22" t="s">
        <v>6213</v>
      </c>
      <c r="E4375" s="22" t="s">
        <v>59</v>
      </c>
      <c r="F4375" s="23" t="str">
        <f t="shared" si="190"/>
        <v>Выполнение работ по монтажу системы внутреннего видеонаблюдения.</v>
      </c>
      <c r="G4375" s="22" t="s">
        <v>89</v>
      </c>
      <c r="H4375" s="22" t="s">
        <v>89</v>
      </c>
      <c r="I4375" s="26">
        <v>43661.428449074097</v>
      </c>
      <c r="J4375" s="23" t="str">
        <f>HYPERLINK("https://www.spark-marketing.ru/Card/Person/5799815", "ООО ""ТДФ""")</f>
        <v>ООО "ТДФ"</v>
      </c>
      <c r="K4375" s="24" t="s">
        <v>6217</v>
      </c>
      <c r="L4375" s="28" t="s">
        <v>52</v>
      </c>
      <c r="M4375" s="25">
        <v>824990.32</v>
      </c>
      <c r="N4375" s="27">
        <v>5.0000000000000001E-3</v>
      </c>
    </row>
    <row r="4376" spans="1:14" hidden="1" outlineLevel="1" x14ac:dyDescent="0.2">
      <c r="A4376" s="23" t="str">
        <f t="shared" si="189"/>
        <v>ГБОУ СОШ №381 КИРОВСКОГО РАЙОНА САНКТ-ПЕТЕРБУРГА</v>
      </c>
      <c r="B4376" s="24" t="s">
        <v>6212</v>
      </c>
      <c r="C4376" s="25">
        <v>829136</v>
      </c>
      <c r="D4376" s="22" t="s">
        <v>6213</v>
      </c>
      <c r="E4376" s="22" t="s">
        <v>59</v>
      </c>
      <c r="F4376" s="23" t="str">
        <f t="shared" si="190"/>
        <v>Выполнение работ по монтажу системы внутреннего видеонаблюдения.</v>
      </c>
      <c r="G4376" s="22" t="s">
        <v>89</v>
      </c>
      <c r="H4376" s="22" t="s">
        <v>89</v>
      </c>
      <c r="I4376" s="26">
        <v>43661.428449074097</v>
      </c>
      <c r="J4376" s="23" t="str">
        <f>HYPERLINK("https://www.spark-marketing.ru/Card/Person/6584242", "ООО ""КОМПАНИЯ ФАЙВ ПОИНТ""")</f>
        <v>ООО "КОМПАНИЯ ФАЙВ ПОИНТ"</v>
      </c>
      <c r="K4376" s="24" t="s">
        <v>6218</v>
      </c>
      <c r="L4376" s="28" t="s">
        <v>52</v>
      </c>
      <c r="M4376" s="25">
        <v>452982.8</v>
      </c>
      <c r="N4376" s="27">
        <v>0.45366887941182144</v>
      </c>
    </row>
    <row r="4377" spans="1:14" x14ac:dyDescent="0.15">
      <c r="A4377" s="23" t="str">
        <f>HYPERLINK("https://www.spark-marketing.ru/Card/Person/2097942", "АО ""КОНЦЕРН РОСЭНЕРГОАТОМ""")</f>
        <v>АО "КОНЦЕРН РОСЭНЕРГОАТОМ"</v>
      </c>
      <c r="B4377" s="24" t="s">
        <v>211</v>
      </c>
      <c r="C4377" s="28" t="s">
        <v>52</v>
      </c>
      <c r="D4377" s="22" t="s">
        <v>6219</v>
      </c>
      <c r="E4377" s="22" t="s">
        <v>103</v>
      </c>
      <c r="F4377" s="23" t="str">
        <f>HYPERLINK("https://www.spark-marketing.ru/Card/Lot/72088521", "Техническое обслуживание инженерно-технических средств охраны объектов Курской АЭС")</f>
        <v>Техническое обслуживание инженерно-технических средств охраны объектов Курской АЭС</v>
      </c>
      <c r="G4377" s="22" t="s">
        <v>55</v>
      </c>
      <c r="H4377" s="22" t="s">
        <v>55</v>
      </c>
      <c r="I4377" s="26">
        <v>43661.381990740701</v>
      </c>
      <c r="J4377" s="28" t="s">
        <v>52</v>
      </c>
      <c r="K4377" s="28" t="s">
        <v>52</v>
      </c>
      <c r="L4377" s="28" t="s">
        <v>52</v>
      </c>
      <c r="M4377" s="28" t="s">
        <v>52</v>
      </c>
      <c r="N4377" s="28" t="s">
        <v>52</v>
      </c>
    </row>
    <row r="4378" spans="1:14" x14ac:dyDescent="0.15">
      <c r="A4378" s="23" t="str">
        <f t="shared" ref="A4378:A4384" si="191">HYPERLINK("https://www.spark-marketing.ru/Card/Person/651065", "УПФР В СОВЕТСКОМ РАЙОНЕ Г. НОВОСИБИРСКА (МЕЖРАЙОННОЕ)")</f>
        <v>УПФР В СОВЕТСКОМ РАЙОНЕ Г. НОВОСИБИРСКА (МЕЖРАЙОННОЕ)</v>
      </c>
      <c r="B4378" s="24" t="s">
        <v>6220</v>
      </c>
      <c r="C4378" s="25">
        <v>143041</v>
      </c>
      <c r="D4378" s="22" t="s">
        <v>6221</v>
      </c>
      <c r="E4378" s="22" t="s">
        <v>59</v>
      </c>
      <c r="F4378" s="23" t="str">
        <f t="shared" ref="F4378:F4384" si="192">HYPERLINK("https://www.spark-marketing.ru/Card/Lot/72084547", "Монтаж видеонаблюдения")</f>
        <v>Монтаж видеонаблюдения</v>
      </c>
      <c r="G4378" s="22" t="s">
        <v>209</v>
      </c>
      <c r="H4378" s="22" t="s">
        <v>210</v>
      </c>
      <c r="I4378" s="26">
        <v>43661.413935185199</v>
      </c>
      <c r="J4378" s="28" t="s">
        <v>52</v>
      </c>
      <c r="K4378" s="28" t="s">
        <v>52</v>
      </c>
      <c r="L4378" s="28" t="s">
        <v>52</v>
      </c>
      <c r="M4378" s="28" t="s">
        <v>52</v>
      </c>
      <c r="N4378" s="28" t="s">
        <v>52</v>
      </c>
    </row>
    <row r="4379" spans="1:14" ht="12.75" hidden="1" outlineLevel="1" x14ac:dyDescent="0.2">
      <c r="A4379" s="23" t="str">
        <f t="shared" si="191"/>
        <v>УПФР В СОВЕТСКОМ РАЙОНЕ Г. НОВОСИБИРСКА (МЕЖРАЙОННОЕ)</v>
      </c>
      <c r="B4379" s="24" t="s">
        <v>6220</v>
      </c>
      <c r="C4379" s="25">
        <v>143041</v>
      </c>
      <c r="D4379" s="22" t="s">
        <v>6221</v>
      </c>
      <c r="E4379" s="22" t="s">
        <v>59</v>
      </c>
      <c r="F4379" s="23" t="str">
        <f t="shared" si="192"/>
        <v>Монтаж видеонаблюдения</v>
      </c>
      <c r="G4379" s="22" t="s">
        <v>209</v>
      </c>
      <c r="H4379" s="22" t="s">
        <v>210</v>
      </c>
      <c r="I4379" s="26">
        <v>43661.413935185199</v>
      </c>
      <c r="J4379" s="23" t="str">
        <f>HYPERLINK("https://www.spark-marketing.ru/Card/Person/447752", "ООО ""АЛТАЙ СБ""")</f>
        <v>ООО "АЛТАЙ СБ"</v>
      </c>
      <c r="K4379" s="24" t="s">
        <v>2654</v>
      </c>
      <c r="L4379" s="22" t="s">
        <v>10</v>
      </c>
      <c r="M4379" s="25">
        <v>89284</v>
      </c>
      <c r="N4379" s="27">
        <v>0.37581532567585518</v>
      </c>
    </row>
    <row r="4380" spans="1:14" hidden="1" outlineLevel="1" x14ac:dyDescent="0.2">
      <c r="A4380" s="23" t="str">
        <f t="shared" si="191"/>
        <v>УПФР В СОВЕТСКОМ РАЙОНЕ Г. НОВОСИБИРСКА (МЕЖРАЙОННОЕ)</v>
      </c>
      <c r="B4380" s="24" t="s">
        <v>6220</v>
      </c>
      <c r="C4380" s="25">
        <v>143041</v>
      </c>
      <c r="D4380" s="22" t="s">
        <v>6221</v>
      </c>
      <c r="E4380" s="22" t="s">
        <v>59</v>
      </c>
      <c r="F4380" s="23" t="str">
        <f t="shared" si="192"/>
        <v>Монтаж видеонаблюдения</v>
      </c>
      <c r="G4380" s="22" t="s">
        <v>209</v>
      </c>
      <c r="H4380" s="22" t="s">
        <v>210</v>
      </c>
      <c r="I4380" s="26">
        <v>43661.413935185199</v>
      </c>
      <c r="J4380" s="23" t="str">
        <f>HYPERLINK("https://www.spark-marketing.ru/Card/Person/6509766", "ООО ""ЭВЕРЕСТ""")</f>
        <v>ООО "ЭВЕРЕСТ"</v>
      </c>
      <c r="K4380" s="24" t="s">
        <v>6222</v>
      </c>
      <c r="L4380" s="28" t="s">
        <v>52</v>
      </c>
      <c r="M4380" s="25">
        <v>119000</v>
      </c>
      <c r="N4380" s="27">
        <v>0.16807069301808572</v>
      </c>
    </row>
    <row r="4381" spans="1:14" hidden="1" outlineLevel="1" x14ac:dyDescent="0.2">
      <c r="A4381" s="23" t="str">
        <f t="shared" si="191"/>
        <v>УПФР В СОВЕТСКОМ РАЙОНЕ Г. НОВОСИБИРСКА (МЕЖРАЙОННОЕ)</v>
      </c>
      <c r="B4381" s="24" t="s">
        <v>6220</v>
      </c>
      <c r="C4381" s="25">
        <v>143041</v>
      </c>
      <c r="D4381" s="22" t="s">
        <v>6221</v>
      </c>
      <c r="E4381" s="22" t="s">
        <v>59</v>
      </c>
      <c r="F4381" s="23" t="str">
        <f t="shared" si="192"/>
        <v>Монтаж видеонаблюдения</v>
      </c>
      <c r="G4381" s="22" t="s">
        <v>209</v>
      </c>
      <c r="H4381" s="22" t="s">
        <v>210</v>
      </c>
      <c r="I4381" s="26">
        <v>43661.413935185199</v>
      </c>
      <c r="J4381" s="23" t="str">
        <f>HYPERLINK("https://www.spark-marketing.ru/Card/Person/727249", "ООО ЧОП ""НЕОКОМ-СБ""")</f>
        <v>ООО ЧОП "НЕОКОМ-СБ"</v>
      </c>
      <c r="K4381" s="24" t="s">
        <v>6223</v>
      </c>
      <c r="L4381" s="28" t="s">
        <v>52</v>
      </c>
      <c r="M4381" s="25">
        <v>90000</v>
      </c>
      <c r="N4381" s="27">
        <v>0.37080976782880432</v>
      </c>
    </row>
    <row r="4382" spans="1:14" hidden="1" outlineLevel="1" x14ac:dyDescent="0.2">
      <c r="A4382" s="23" t="str">
        <f t="shared" si="191"/>
        <v>УПФР В СОВЕТСКОМ РАЙОНЕ Г. НОВОСИБИРСКА (МЕЖРАЙОННОЕ)</v>
      </c>
      <c r="B4382" s="24" t="s">
        <v>6220</v>
      </c>
      <c r="C4382" s="25">
        <v>143041</v>
      </c>
      <c r="D4382" s="22" t="s">
        <v>6221</v>
      </c>
      <c r="E4382" s="22" t="s">
        <v>59</v>
      </c>
      <c r="F4382" s="23" t="str">
        <f t="shared" si="192"/>
        <v>Монтаж видеонаблюдения</v>
      </c>
      <c r="G4382" s="22" t="s">
        <v>209</v>
      </c>
      <c r="H4382" s="22" t="s">
        <v>210</v>
      </c>
      <c r="I4382" s="26">
        <v>43661.413935185199</v>
      </c>
      <c r="J4382" s="23" t="str">
        <f>HYPERLINK("https://www.spark-marketing.ru/Card/Person/612309", "ООО ""АЙТИ-СЕРВИС""")</f>
        <v>ООО "АЙТИ-СЕРВИС"</v>
      </c>
      <c r="K4382" s="24" t="s">
        <v>6224</v>
      </c>
      <c r="L4382" s="28" t="s">
        <v>52</v>
      </c>
      <c r="M4382" s="25">
        <v>110702.32</v>
      </c>
      <c r="N4382" s="27">
        <v>0.22607979530344446</v>
      </c>
    </row>
    <row r="4383" spans="1:14" hidden="1" outlineLevel="1" x14ac:dyDescent="0.2">
      <c r="A4383" s="23" t="str">
        <f t="shared" si="191"/>
        <v>УПФР В СОВЕТСКОМ РАЙОНЕ Г. НОВОСИБИРСКА (МЕЖРАЙОННОЕ)</v>
      </c>
      <c r="B4383" s="24" t="s">
        <v>6220</v>
      </c>
      <c r="C4383" s="25">
        <v>143041</v>
      </c>
      <c r="D4383" s="22" t="s">
        <v>6221</v>
      </c>
      <c r="E4383" s="22" t="s">
        <v>59</v>
      </c>
      <c r="F4383" s="23" t="str">
        <f t="shared" si="192"/>
        <v>Монтаж видеонаблюдения</v>
      </c>
      <c r="G4383" s="22" t="s">
        <v>209</v>
      </c>
      <c r="H4383" s="22" t="s">
        <v>210</v>
      </c>
      <c r="I4383" s="26">
        <v>43661.413935185199</v>
      </c>
      <c r="J4383" s="23" t="str">
        <f>HYPERLINK("https://www.spark-marketing.ru/Card/Person/6631754", "ООО ""АТМОСФЕРА-СИБИРЬ""")</f>
        <v>ООО "АТМОСФЕРА-СИБИРЬ"</v>
      </c>
      <c r="K4383" s="24" t="s">
        <v>6225</v>
      </c>
      <c r="L4383" s="28" t="s">
        <v>52</v>
      </c>
      <c r="M4383" s="25">
        <v>98568.79</v>
      </c>
      <c r="N4383" s="27">
        <v>0.31090533483406857</v>
      </c>
    </row>
    <row r="4384" spans="1:14" hidden="1" outlineLevel="1" x14ac:dyDescent="0.2">
      <c r="A4384" s="23" t="str">
        <f t="shared" si="191"/>
        <v>УПФР В СОВЕТСКОМ РАЙОНЕ Г. НОВОСИБИРСКА (МЕЖРАЙОННОЕ)</v>
      </c>
      <c r="B4384" s="24" t="s">
        <v>6220</v>
      </c>
      <c r="C4384" s="25">
        <v>143041</v>
      </c>
      <c r="D4384" s="22" t="s">
        <v>6221</v>
      </c>
      <c r="E4384" s="22" t="s">
        <v>59</v>
      </c>
      <c r="F4384" s="23" t="str">
        <f t="shared" si="192"/>
        <v>Монтаж видеонаблюдения</v>
      </c>
      <c r="G4384" s="22" t="s">
        <v>209</v>
      </c>
      <c r="H4384" s="22" t="s">
        <v>210</v>
      </c>
      <c r="I4384" s="26">
        <v>43661.413935185199</v>
      </c>
      <c r="J4384" s="23" t="str">
        <f>HYPERLINK("https://www.spark-marketing.ru/Card/Person/6499927", "ООО ""ПРОФСБ""")</f>
        <v>ООО "ПРОФСБ"</v>
      </c>
      <c r="K4384" s="24" t="s">
        <v>3199</v>
      </c>
      <c r="L4384" s="28" t="s">
        <v>52</v>
      </c>
      <c r="M4384" s="25">
        <v>132339.16</v>
      </c>
      <c r="N4384" s="27">
        <v>7.4816591047322092E-2</v>
      </c>
    </row>
    <row r="4385" spans="1:14" x14ac:dyDescent="0.15">
      <c r="A4385" s="23" t="str">
        <f>HYPERLINK("https://www.spark-marketing.ru/Card/Person/1298936", "ООО ""СЕРВИСНЫЙ ЦЕНТР ""ПРОГРЕСС""")</f>
        <v>ООО "СЕРВИСНЫЙ ЦЕНТР "ПРОГРЕСС"</v>
      </c>
      <c r="B4385" s="24" t="s">
        <v>6226</v>
      </c>
      <c r="C4385" s="25">
        <v>0</v>
      </c>
      <c r="D4385" s="22" t="s">
        <v>6227</v>
      </c>
      <c r="E4385" s="22" t="s">
        <v>53</v>
      </c>
      <c r="F4385" s="23" t="str">
        <f>HYPERLINK("https://www.spark-marketing.ru/Card/Lot/72103263", "мониторинг цен в электронной форме на Оказание охранных услуг")</f>
        <v>мониторинг цен в электронной форме на Оказание охранных услуг</v>
      </c>
      <c r="G4385" s="22" t="s">
        <v>281</v>
      </c>
      <c r="H4385" s="22" t="s">
        <v>2890</v>
      </c>
      <c r="I4385" s="26">
        <v>43661.255891203698</v>
      </c>
      <c r="J4385" s="28" t="s">
        <v>52</v>
      </c>
      <c r="K4385" s="28" t="s">
        <v>52</v>
      </c>
      <c r="L4385" s="28" t="s">
        <v>52</v>
      </c>
      <c r="M4385" s="28" t="s">
        <v>52</v>
      </c>
      <c r="N4385" s="28" t="s">
        <v>52</v>
      </c>
    </row>
    <row r="4386" spans="1:14" x14ac:dyDescent="0.15">
      <c r="A4386" s="23" t="str">
        <f>HYPERLINK("https://www.spark-marketing.ru/Card/Person/3925665", "АО ""ОРГАНИЗАТОР СТРОИТЕЛЬСТВА БОГУЧАНСКОГО АЛЮМИНИЕВОГО ЗАВОДА""")</f>
        <v>АО "ОРГАНИЗАТОР СТРОИТЕЛЬСТВА БОГУЧАНСКОГО АЛЮМИНИЕВОГО ЗАВОДА"</v>
      </c>
      <c r="B4386" s="24" t="s">
        <v>6228</v>
      </c>
      <c r="C4386" s="28" t="s">
        <v>52</v>
      </c>
      <c r="D4386" s="22" t="s">
        <v>6229</v>
      </c>
      <c r="E4386" s="22" t="s">
        <v>52</v>
      </c>
      <c r="F4386" s="23" t="str">
        <f>HYPERLINK("https://www.spark-marketing.ru/Card/Lot/72102898", "Выполнение строительно-монтажных работ по Контрактному пакету № 10-S069 «Охрана объектов строительства БоАЗ 2019-2020»")</f>
        <v>Выполнение строительно-монтажных работ по Контрактному пакету № 10-S069 «Охрана объектов строительства БоАЗ 2019-2020»</v>
      </c>
      <c r="G4386" s="22" t="s">
        <v>640</v>
      </c>
      <c r="H4386" s="22" t="s">
        <v>2291</v>
      </c>
      <c r="I4386" s="26">
        <v>43661.282800925903</v>
      </c>
      <c r="J4386" s="28" t="s">
        <v>52</v>
      </c>
      <c r="K4386" s="28" t="s">
        <v>52</v>
      </c>
      <c r="L4386" s="28" t="s">
        <v>52</v>
      </c>
      <c r="M4386" s="28" t="s">
        <v>52</v>
      </c>
      <c r="N4386" s="28" t="s">
        <v>52</v>
      </c>
    </row>
    <row r="4387" spans="1:14" x14ac:dyDescent="0.15">
      <c r="A4387" s="23" t="str">
        <f>HYPERLINK("https://www.spark-marketing.ru/Card/Person/1298936", "ООО ""СЕРВИСНЫЙ ЦЕНТР ""ПРОГРЕСС""")</f>
        <v>ООО "СЕРВИСНЫЙ ЦЕНТР "ПРОГРЕСС"</v>
      </c>
      <c r="B4387" s="24" t="s">
        <v>6226</v>
      </c>
      <c r="C4387" s="28" t="s">
        <v>52</v>
      </c>
      <c r="D4387" s="22" t="s">
        <v>6230</v>
      </c>
      <c r="E4387" s="22" t="s">
        <v>53</v>
      </c>
      <c r="F4387" s="23" t="str">
        <f>HYPERLINK("https://www.spark-marketing.ru/Card/Lot/72085105", "Оказание охранных услуг (1297684)")</f>
        <v>Оказание охранных услуг (1297684)</v>
      </c>
      <c r="G4387" s="22" t="s">
        <v>281</v>
      </c>
      <c r="H4387" s="22" t="s">
        <v>2890</v>
      </c>
      <c r="I4387" s="26">
        <v>43661.256064814799</v>
      </c>
      <c r="J4387" s="28" t="s">
        <v>52</v>
      </c>
      <c r="K4387" s="28" t="s">
        <v>52</v>
      </c>
      <c r="L4387" s="28" t="s">
        <v>52</v>
      </c>
      <c r="M4387" s="28" t="s">
        <v>52</v>
      </c>
      <c r="N4387" s="28" t="s">
        <v>52</v>
      </c>
    </row>
    <row r="4388" spans="1:14" x14ac:dyDescent="0.15">
      <c r="A4388" s="23" t="str">
        <f>HYPERLINK("https://www.spark-marketing.ru/Card/Person/1077427", "МБОУ СОШ №187")</f>
        <v>МБОУ СОШ №187</v>
      </c>
      <c r="B4388" s="24" t="s">
        <v>5756</v>
      </c>
      <c r="C4388" s="25">
        <v>111720</v>
      </c>
      <c r="D4388" s="22" t="s">
        <v>6231</v>
      </c>
      <c r="E4388" s="22" t="s">
        <v>68</v>
      </c>
      <c r="F4388" s="23" t="str">
        <f>HYPERLINK("https://www.spark-marketing.ru/Card/Lot/72083642", "Услуги физической охраны объекта")</f>
        <v>Услуги физической охраны объекта</v>
      </c>
      <c r="G4388" s="22" t="s">
        <v>209</v>
      </c>
      <c r="H4388" s="22" t="s">
        <v>210</v>
      </c>
      <c r="I4388" s="26">
        <v>43661.224999999999</v>
      </c>
      <c r="J4388" s="28" t="s">
        <v>52</v>
      </c>
      <c r="K4388" s="28" t="s">
        <v>52</v>
      </c>
      <c r="L4388" s="28" t="s">
        <v>52</v>
      </c>
      <c r="M4388" s="28" t="s">
        <v>52</v>
      </c>
      <c r="N4388" s="28" t="s">
        <v>52</v>
      </c>
    </row>
    <row r="4389" spans="1:14" x14ac:dyDescent="0.15">
      <c r="A4389" s="23" t="str">
        <f>HYPERLINK("https://www.spark-marketing.ru/Card/Person/141097", "ФКУ ""ЦУКС ГУ МЧС РОССИИ ПО ЗАБАЙКАЛЬСКОМУ КРАЮ""")</f>
        <v>ФКУ "ЦУКС ГУ МЧС РОССИИ ПО ЗАБАЙКАЛЬСКОМУ КРАЮ"</v>
      </c>
      <c r="B4389" s="24" t="s">
        <v>6232</v>
      </c>
      <c r="C4389" s="25">
        <v>26670</v>
      </c>
      <c r="D4389" s="22" t="s">
        <v>6233</v>
      </c>
      <c r="E4389" s="22" t="s">
        <v>59</v>
      </c>
      <c r="F4389" s="23" t="str">
        <f>HYPERLINK("https://www.spark-marketing.ru/Card/Lot/72083083", "Установка охранной сигнализации, 1 шт")</f>
        <v>Установка охранной сигнализации, 1 шт</v>
      </c>
      <c r="G4389" s="22" t="s">
        <v>473</v>
      </c>
      <c r="H4389" s="22" t="s">
        <v>473</v>
      </c>
      <c r="I4389" s="26">
        <v>43661.184594907398</v>
      </c>
      <c r="J4389" s="28" t="s">
        <v>52</v>
      </c>
      <c r="K4389" s="28" t="s">
        <v>52</v>
      </c>
      <c r="L4389" s="28" t="s">
        <v>52</v>
      </c>
      <c r="M4389" s="28" t="s">
        <v>52</v>
      </c>
      <c r="N4389" s="28" t="s">
        <v>52</v>
      </c>
    </row>
    <row r="4390" spans="1:14" x14ac:dyDescent="0.15">
      <c r="A4390" s="23" t="str">
        <f>HYPERLINK("https://www.spark-marketing.ru/Card/Person/4069266", "ООО ""РУССКАЯ РЫБОПРОМЫШЛЕННАЯ КОМПАНИЯ""")</f>
        <v>ООО "РУССКАЯ РЫБОПРОМЫШЛЕННАЯ КОМПАНИЯ"</v>
      </c>
      <c r="B4390" s="24" t="s">
        <v>6234</v>
      </c>
      <c r="C4390" s="28" t="s">
        <v>52</v>
      </c>
      <c r="D4390" s="28" t="s">
        <v>52</v>
      </c>
      <c r="E4390" s="22" t="s">
        <v>53</v>
      </c>
      <c r="F4390" s="23" t="str">
        <f>HYPERLINK("https://www.spark-marketing.ru/Card/Lot/72085626", "Тендер на услуги по оборудованию судов Компании системами видеонаблюдения с целью выполнения требований по обеспечению транспортной безопасности")</f>
        <v>Тендер на услуги по оборудованию судов Компании системами видеонаблюдения с целью выполнения требований по обеспечению транспортной безопасности</v>
      </c>
      <c r="G4390" s="22" t="s">
        <v>55</v>
      </c>
      <c r="H4390" s="22" t="s">
        <v>55</v>
      </c>
      <c r="I4390" s="26">
        <v>43661</v>
      </c>
      <c r="J4390" s="28" t="s">
        <v>52</v>
      </c>
      <c r="K4390" s="28" t="s">
        <v>52</v>
      </c>
      <c r="L4390" s="28" t="s">
        <v>52</v>
      </c>
      <c r="M4390" s="28" t="s">
        <v>52</v>
      </c>
      <c r="N4390" s="28" t="s">
        <v>52</v>
      </c>
    </row>
    <row r="4391" spans="1:14" x14ac:dyDescent="0.15">
      <c r="A4391" s="23" t="str">
        <f>HYPERLINK("https://www.spark-marketing.ru/Card/Person/139491", "МБОУ ""ПРОЛЕТАРСКАЯ СОШ""")</f>
        <v>МБОУ "ПРОЛЕТАРСКАЯ СОШ"</v>
      </c>
      <c r="B4391" s="24" t="s">
        <v>6235</v>
      </c>
      <c r="C4391" s="25">
        <v>64000</v>
      </c>
      <c r="D4391" s="22" t="s">
        <v>6236</v>
      </c>
      <c r="E4391" s="22" t="s">
        <v>84</v>
      </c>
      <c r="F4391" s="23" t="str">
        <f>HYPERLINK("https://www.spark-marketing.ru/Card/Lot/72077039", "Услуги по поставке и установке видеодомофона")</f>
        <v>Услуги по поставке и установке видеодомофона</v>
      </c>
      <c r="G4391" s="22" t="s">
        <v>50</v>
      </c>
      <c r="H4391" s="22" t="s">
        <v>5160</v>
      </c>
      <c r="I4391" s="26">
        <v>43658.961099537002</v>
      </c>
      <c r="J4391" s="28" t="s">
        <v>52</v>
      </c>
      <c r="K4391" s="28" t="s">
        <v>52</v>
      </c>
      <c r="L4391" s="28" t="s">
        <v>52</v>
      </c>
      <c r="M4391" s="28" t="s">
        <v>52</v>
      </c>
      <c r="N4391" s="28" t="s">
        <v>52</v>
      </c>
    </row>
    <row r="4392" spans="1:14" x14ac:dyDescent="0.15">
      <c r="A4392" s="23" t="str">
        <f>HYPERLINK("https://www.spark-marketing.ru/Card/Person/13307", "УПРАВЛЕНИЕ МВД РОССИИ ПО ГОРОДУ КРАСНОДАРУ")</f>
        <v>УПРАВЛЕНИЕ МВД РОССИИ ПО ГОРОДУ КРАСНОДАРУ</v>
      </c>
      <c r="B4392" s="24" t="s">
        <v>6237</v>
      </c>
      <c r="C4392" s="25">
        <v>15122.76</v>
      </c>
      <c r="D4392" s="22" t="s">
        <v>6238</v>
      </c>
      <c r="E4392" s="22" t="s">
        <v>53</v>
      </c>
      <c r="F4392" s="23" t="str">
        <f>HYPERLINK("https://www.spark-marketing.ru/Card/Lot/72075116", "Техническое обслуживание прочего оборудования, 54 шт")</f>
        <v>Техническое обслуживание прочего оборудования, 54 шт</v>
      </c>
      <c r="G4392" s="22" t="s">
        <v>132</v>
      </c>
      <c r="H4392" s="22" t="s">
        <v>652</v>
      </c>
      <c r="I4392" s="26">
        <v>43658.836504629602</v>
      </c>
      <c r="J4392" s="28" t="s">
        <v>52</v>
      </c>
      <c r="K4392" s="28" t="s">
        <v>52</v>
      </c>
      <c r="L4392" s="28" t="s">
        <v>52</v>
      </c>
      <c r="M4392" s="28" t="s">
        <v>52</v>
      </c>
      <c r="N4392" s="28" t="s">
        <v>52</v>
      </c>
    </row>
    <row r="4393" spans="1:14" x14ac:dyDescent="0.15">
      <c r="A4393" s="23" t="str">
        <f>HYPERLINK("https://www.spark-marketing.ru/Card/Person/4348416", "ООО ""РТ-ИНФОРМ""")</f>
        <v>ООО "РТ-ИНФОРМ"</v>
      </c>
      <c r="B4393" s="24" t="s">
        <v>6239</v>
      </c>
      <c r="C4393" s="25">
        <v>162939675</v>
      </c>
      <c r="D4393" s="22" t="s">
        <v>6240</v>
      </c>
      <c r="E4393" s="22" t="s">
        <v>4223</v>
      </c>
      <c r="F4393" s="23" t="str">
        <f>HYPERLINK("https://www.spark-marketing.ru/Card/Lot/72074981", "1179-2019-00155. Выполнение работ по разработке и внедрению модуля Автоматизированной Системы Финансово-Закупочной деятельности ""Управление промышленной безопасностью, охраной труда, охраной окружающей среды организаций и транспортной безопасности Г...")</f>
        <v>1179-2019-00155. Выполнение работ по разработке и внедрению модуля Автоматизированной Системы Финансово-Закупочной деятельности "Управление промышленной безопасностью, охраной труда, охраной окружающей среды организаций и транспортной безопасности Г...</v>
      </c>
      <c r="G4393" s="22" t="s">
        <v>55</v>
      </c>
      <c r="H4393" s="22" t="s">
        <v>55</v>
      </c>
      <c r="I4393" s="26">
        <v>43658.772453703699</v>
      </c>
      <c r="J4393" s="28" t="s">
        <v>52</v>
      </c>
      <c r="K4393" s="28" t="s">
        <v>52</v>
      </c>
      <c r="L4393" s="28" t="s">
        <v>52</v>
      </c>
      <c r="M4393" s="28" t="s">
        <v>52</v>
      </c>
      <c r="N4393" s="28" t="s">
        <v>52</v>
      </c>
    </row>
    <row r="4394" spans="1:14" x14ac:dyDescent="0.15">
      <c r="A4394" s="23" t="str">
        <f>HYPERLINK("https://www.spark-marketing.ru/Card/Person/10292", "АДМИНИСТРАЦИЯ ГОРОДСКОГО ОКРУГА ГОРОД СТЕРЛИТАМАК РЕСПУБЛИКИ БАШКОРТОСТАН")</f>
        <v>АДМИНИСТРАЦИЯ ГОРОДСКОГО ОКРУГА ГОРОД СТЕРЛИТАМАК РЕСПУБЛИКИ БАШКОРТОСТАН</v>
      </c>
      <c r="B4394" s="24" t="s">
        <v>6241</v>
      </c>
      <c r="C4394" s="25">
        <v>870000</v>
      </c>
      <c r="D4394" s="22" t="s">
        <v>6242</v>
      </c>
      <c r="E4394" s="22" t="s">
        <v>585</v>
      </c>
      <c r="F4394" s="23" t="str">
        <f>HYPERLINK("https://www.spark-marketing.ru/Card/Lot/72076199", "Оказание услуг по осуществлению строительного контроля (технического надзора) за выполнением работ по установке технических средств организации дорожного движения и камер фото-видео фиксации нарушений правил дорожного движения на территории городског...")</f>
        <v>Оказание услуг по осуществлению строительного контроля (технического надзора) за выполнением работ по установке технических средств организации дорожного движения и камер фото-видео фиксации нарушений правил дорожного движения на территории городског...</v>
      </c>
      <c r="G4394" s="22" t="s">
        <v>100</v>
      </c>
      <c r="H4394" s="22" t="s">
        <v>2799</v>
      </c>
      <c r="I4394" s="26">
        <v>43658.7554282407</v>
      </c>
      <c r="J4394" s="28" t="s">
        <v>52</v>
      </c>
      <c r="K4394" s="28" t="s">
        <v>52</v>
      </c>
      <c r="L4394" s="28" t="s">
        <v>52</v>
      </c>
      <c r="M4394" s="28" t="s">
        <v>52</v>
      </c>
      <c r="N4394" s="28" t="s">
        <v>52</v>
      </c>
    </row>
    <row r="4395" spans="1:14" ht="12.75" hidden="1" outlineLevel="1" x14ac:dyDescent="0.2">
      <c r="A4395" s="23" t="str">
        <f>HYPERLINK("https://www.spark-marketing.ru/Card/Person/10292", "АДМИНИСТРАЦИЯ ГОРОДСКОГО ОКРУГА ГОРОД СТЕРЛИТАМАК РЕСПУБЛИКИ БАШКОРТОСТАН")</f>
        <v>АДМИНИСТРАЦИЯ ГОРОДСКОГО ОКРУГА ГОРОД СТЕРЛИТАМАК РЕСПУБЛИКИ БАШКОРТОСТАН</v>
      </c>
      <c r="B4395" s="24" t="s">
        <v>6241</v>
      </c>
      <c r="C4395" s="25">
        <v>870000</v>
      </c>
      <c r="D4395" s="22" t="s">
        <v>6242</v>
      </c>
      <c r="E4395" s="22" t="s">
        <v>585</v>
      </c>
      <c r="F4395" s="23" t="str">
        <f>HYPERLINK("https://www.spark-marketing.ru/Card/Lot/72076199", "Оказание услуг по осуществлению строительного контроля (технического надзора) за выполнением работ по установке технических средств организации дорожного движения и камер фото-видео фиксации нарушений правил дорожного движения на территории городског...")</f>
        <v>Оказание услуг по осуществлению строительного контроля (технического надзора) за выполнением работ по установке технических средств организации дорожного движения и камер фото-видео фиксации нарушений правил дорожного движения на территории городског...</v>
      </c>
      <c r="G4395" s="22" t="s">
        <v>100</v>
      </c>
      <c r="H4395" s="22" t="s">
        <v>2799</v>
      </c>
      <c r="I4395" s="26">
        <v>43658.7554282407</v>
      </c>
      <c r="J4395" s="23" t="str">
        <f>HYPERLINK("https://www.spark-marketing.ru/Card/Person/107640", "ООО ""НЕЗАВИСИМЫЙ ЦЕНТР ДОРОЖНОЙ ЭКСПЕРТИЗЫ""")</f>
        <v>ООО "НЕЗАВИСИМЫЙ ЦЕНТР ДОРОЖНОЙ ЭКСПЕРТИЗЫ"</v>
      </c>
      <c r="K4395" s="24" t="s">
        <v>6243</v>
      </c>
      <c r="L4395" s="22" t="s">
        <v>10</v>
      </c>
      <c r="M4395" s="25">
        <v>464523.37</v>
      </c>
      <c r="N4395" s="27">
        <v>0.46606509195402301</v>
      </c>
    </row>
    <row r="4396" spans="1:14" hidden="1" outlineLevel="1" x14ac:dyDescent="0.2">
      <c r="A4396" s="23" t="str">
        <f>HYPERLINK("https://www.spark-marketing.ru/Card/Person/10292", "АДМИНИСТРАЦИЯ ГОРОДСКОГО ОКРУГА ГОРОД СТЕРЛИТАМАК РЕСПУБЛИКИ БАШКОРТОСТАН")</f>
        <v>АДМИНИСТРАЦИЯ ГОРОДСКОГО ОКРУГА ГОРОД СТЕРЛИТАМАК РЕСПУБЛИКИ БАШКОРТОСТАН</v>
      </c>
      <c r="B4396" s="24" t="s">
        <v>6241</v>
      </c>
      <c r="C4396" s="25">
        <v>870000</v>
      </c>
      <c r="D4396" s="22" t="s">
        <v>6242</v>
      </c>
      <c r="E4396" s="22" t="s">
        <v>585</v>
      </c>
      <c r="F4396" s="23" t="str">
        <f>HYPERLINK("https://www.spark-marketing.ru/Card/Lot/72076199", "Оказание услуг по осуществлению строительного контроля (технического надзора) за выполнением работ по установке технических средств организации дорожного движения и камер фото-видео фиксации нарушений правил дорожного движения на территории городског...")</f>
        <v>Оказание услуг по осуществлению строительного контроля (технического надзора) за выполнением работ по установке технических средств организации дорожного движения и камер фото-видео фиксации нарушений правил дорожного движения на территории городског...</v>
      </c>
      <c r="G4396" s="22" t="s">
        <v>100</v>
      </c>
      <c r="H4396" s="22" t="s">
        <v>2799</v>
      </c>
      <c r="I4396" s="26">
        <v>43658.7554282407</v>
      </c>
      <c r="J4396" s="23" t="str">
        <f>HYPERLINK("https://www.spark-marketing.ru/Card/Person/6444346", "ООО ""ПРОГРЕСС""")</f>
        <v>ООО "ПРОГРЕСС"</v>
      </c>
      <c r="K4396" s="24" t="s">
        <v>6244</v>
      </c>
      <c r="L4396" s="28" t="s">
        <v>52</v>
      </c>
      <c r="M4396" s="25">
        <v>508023.37</v>
      </c>
      <c r="N4396" s="27">
        <v>0.41606509195402297</v>
      </c>
    </row>
    <row r="4397" spans="1:14" x14ac:dyDescent="0.15">
      <c r="A4397" s="23" t="str">
        <f>HYPERLINK("https://www.spark-marketing.ru/Card/Person/736029", "МАУ ЦБС Г. УЛАН-УДЭ")</f>
        <v>МАУ ЦБС Г. УЛАН-УДЭ</v>
      </c>
      <c r="B4397" s="24" t="s">
        <v>6245</v>
      </c>
      <c r="C4397" s="25">
        <v>244755.42</v>
      </c>
      <c r="D4397" s="22" t="s">
        <v>6246</v>
      </c>
      <c r="E4397" s="22" t="s">
        <v>144</v>
      </c>
      <c r="F4397" s="23" t="str">
        <f>HYPERLINK("https://www.spark-marketing.ru/Card/Lot/72062249", "Оказание услуг по охране объектов с помощью пультов централизованного наблюдения")</f>
        <v>Оказание услуг по охране объектов с помощью пультов централизованного наблюдения</v>
      </c>
      <c r="G4397" s="22" t="s">
        <v>354</v>
      </c>
      <c r="H4397" s="22" t="s">
        <v>354</v>
      </c>
      <c r="I4397" s="26">
        <v>43658.734097222201</v>
      </c>
      <c r="J4397" s="28" t="s">
        <v>52</v>
      </c>
      <c r="K4397" s="28" t="s">
        <v>52</v>
      </c>
      <c r="L4397" s="28" t="s">
        <v>52</v>
      </c>
      <c r="M4397" s="28" t="s">
        <v>52</v>
      </c>
      <c r="N4397" s="28" t="s">
        <v>52</v>
      </c>
    </row>
    <row r="4398" spans="1:14" x14ac:dyDescent="0.15">
      <c r="A4398" s="23" t="str">
        <f>HYPERLINK("https://www.spark-marketing.ru/Card/Person/4347180", "Калининградский филиал Санкт-Петербургского Университета МВД России")</f>
        <v>Калининградский филиал Санкт-Петербургского Университета МВД России</v>
      </c>
      <c r="B4398" s="24" t="s">
        <v>5979</v>
      </c>
      <c r="C4398" s="25">
        <v>91588</v>
      </c>
      <c r="D4398" s="22" t="s">
        <v>6247</v>
      </c>
      <c r="E4398" s="22" t="s">
        <v>103</v>
      </c>
      <c r="F4398" s="23" t="str">
        <f>HYPERLINK("https://www.spark-marketing.ru/Card/Lot/72070368", "Техническое обслуживание видеонаблюдения, 1 усл. ед")</f>
        <v>Техническое обслуживание видеонаблюдения, 1 усл. ед</v>
      </c>
      <c r="G4398" s="22" t="s">
        <v>89</v>
      </c>
      <c r="H4398" s="22" t="s">
        <v>89</v>
      </c>
      <c r="I4398" s="26">
        <v>43658.698634259301</v>
      </c>
      <c r="J4398" s="28" t="s">
        <v>52</v>
      </c>
      <c r="K4398" s="28" t="s">
        <v>52</v>
      </c>
      <c r="L4398" s="28" t="s">
        <v>52</v>
      </c>
      <c r="M4398" s="28" t="s">
        <v>52</v>
      </c>
      <c r="N4398" s="28" t="s">
        <v>52</v>
      </c>
    </row>
    <row r="4399" spans="1:14" x14ac:dyDescent="0.15">
      <c r="A4399" s="23" t="str">
        <f>HYPERLINK("https://www.spark-marketing.ru/Card/Person/1770162", "МАДОУ Д/С №31 ""ОДУВАНЧИК""")</f>
        <v>МАДОУ Д/С №31 "ОДУВАНЧИК"</v>
      </c>
      <c r="B4399" s="24" t="s">
        <v>6248</v>
      </c>
      <c r="C4399" s="25">
        <v>12500</v>
      </c>
      <c r="D4399" s="22" t="s">
        <v>6249</v>
      </c>
      <c r="E4399" s="22" t="s">
        <v>103</v>
      </c>
      <c r="F4399" s="23" t="str">
        <f>HYPERLINK("https://www.spark-marketing.ru/Card/Lot/72069381", "Оказание услуг по техническому обслуживанию системы видеонаблюдения")</f>
        <v>Оказание услуг по техническому обслуживанию системы видеонаблюдения</v>
      </c>
      <c r="G4399" s="22" t="s">
        <v>50</v>
      </c>
      <c r="H4399" s="22" t="s">
        <v>4782</v>
      </c>
      <c r="I4399" s="26">
        <v>43658.669710648202</v>
      </c>
      <c r="J4399" s="28" t="s">
        <v>52</v>
      </c>
      <c r="K4399" s="28" t="s">
        <v>52</v>
      </c>
      <c r="L4399" s="28" t="s">
        <v>52</v>
      </c>
      <c r="M4399" s="28" t="s">
        <v>52</v>
      </c>
      <c r="N4399" s="28" t="s">
        <v>52</v>
      </c>
    </row>
    <row r="4400" spans="1:14" x14ac:dyDescent="0.15">
      <c r="A4400" s="23" t="str">
        <f>HYPERLINK("https://www.spark-marketing.ru/Card/Person/84503", "МУ ""АДМИНИСТРАЦИЯ МУНИЦИПАЛЬНОГО ОБРАЗОВАНИЯ ""СЕЛЬСКОЕ ПОСЕЛЕНИЕ ФЕДИНСКОЕ"" ВОСКРЕСЕНСКОГО МУНИЦИПАЛЬНОГО РАЙОНА МОСКОВСКОЙ ОБЛАСТИ""")</f>
        <v>МУ "АДМИНИСТРАЦИЯ МУНИЦИПАЛЬНОГО ОБРАЗОВАНИЯ "СЕЛЬСКОЕ ПОСЕЛЕНИЕ ФЕДИНСКОЕ" ВОСКРЕСЕНСКОГО МУНИЦИПАЛЬНОГО РАЙОНА МОСКОВСКОЙ ОБЛАСТИ"</v>
      </c>
      <c r="B4400" s="24" t="s">
        <v>6250</v>
      </c>
      <c r="C4400" s="25">
        <v>71000</v>
      </c>
      <c r="D4400" s="22" t="s">
        <v>6251</v>
      </c>
      <c r="E4400" s="22" t="s">
        <v>59</v>
      </c>
      <c r="F4400" s="23" t="str">
        <f>HYPERLINK("https://www.spark-marketing.ru/Card/Lot/72068539", "Поставка и установка видеосистемы и передачи сигнала в систему «Безопасный регион»")</f>
        <v>Поставка и установка видеосистемы и передачи сигнала в систему «Безопасный регион»</v>
      </c>
      <c r="G4400" s="22" t="s">
        <v>50</v>
      </c>
      <c r="H4400" s="22" t="s">
        <v>2463</v>
      </c>
      <c r="I4400" s="26">
        <v>43658.649189814802</v>
      </c>
      <c r="J4400" s="28" t="s">
        <v>52</v>
      </c>
      <c r="K4400" s="28" t="s">
        <v>52</v>
      </c>
      <c r="L4400" s="28" t="s">
        <v>52</v>
      </c>
      <c r="M4400" s="28" t="s">
        <v>52</v>
      </c>
      <c r="N4400" s="28" t="s">
        <v>52</v>
      </c>
    </row>
    <row r="4401" spans="1:14" x14ac:dyDescent="0.15">
      <c r="A4401" s="23" t="str">
        <f t="shared" ref="A4401:A4408" si="193">HYPERLINK("https://www.spark-marketing.ru/Card/Person/2102", "ГБПОУ НСО ""НСМК""")</f>
        <v>ГБПОУ НСО "НСМК"</v>
      </c>
      <c r="B4401" s="24" t="s">
        <v>6252</v>
      </c>
      <c r="C4401" s="25">
        <v>2569320</v>
      </c>
      <c r="D4401" s="22" t="s">
        <v>6253</v>
      </c>
      <c r="E4401" s="22" t="s">
        <v>52</v>
      </c>
      <c r="F4401" s="23" t="str">
        <f t="shared" ref="F4401:F4408" si="194">HYPERLINK("https://www.spark-marketing.ru/Card/Lot/72075712", "Оказание услуг по охране территории, зданий, строений и сооружений ГБПОУ НСО ""НСМК""")</f>
        <v>Оказание услуг по охране территории, зданий, строений и сооружений ГБПОУ НСО "НСМК"</v>
      </c>
      <c r="G4401" s="22" t="s">
        <v>209</v>
      </c>
      <c r="H4401" s="22" t="s">
        <v>210</v>
      </c>
      <c r="I4401" s="26">
        <v>43658.629583333299</v>
      </c>
      <c r="J4401" s="28" t="s">
        <v>52</v>
      </c>
      <c r="K4401" s="28" t="s">
        <v>52</v>
      </c>
      <c r="L4401" s="28" t="s">
        <v>52</v>
      </c>
      <c r="M4401" s="28" t="s">
        <v>52</v>
      </c>
      <c r="N4401" s="28" t="s">
        <v>52</v>
      </c>
    </row>
    <row r="4402" spans="1:14" hidden="1" outlineLevel="1" x14ac:dyDescent="0.2">
      <c r="A4402" s="23" t="str">
        <f t="shared" si="193"/>
        <v>ГБПОУ НСО "НСМК"</v>
      </c>
      <c r="B4402" s="24" t="s">
        <v>6252</v>
      </c>
      <c r="C4402" s="25">
        <v>2569320</v>
      </c>
      <c r="D4402" s="22" t="s">
        <v>6253</v>
      </c>
      <c r="E4402" s="22" t="s">
        <v>52</v>
      </c>
      <c r="F4402" s="23" t="str">
        <f t="shared" si="194"/>
        <v>Оказание услуг по охране территории, зданий, строений и сооружений ГБПОУ НСО "НСМК"</v>
      </c>
      <c r="G4402" s="22" t="s">
        <v>209</v>
      </c>
      <c r="H4402" s="22" t="s">
        <v>210</v>
      </c>
      <c r="I4402" s="26">
        <v>43658.629583333299</v>
      </c>
      <c r="J4402" s="23" t="str">
        <f>HYPERLINK("https://www.spark-marketing.ru/Card/Person/113297", "ООО ЧОП "" БОГДАН""")</f>
        <v>ООО ЧОП " БОГДАН"</v>
      </c>
      <c r="K4402" s="24" t="s">
        <v>6254</v>
      </c>
      <c r="L4402" s="28" t="s">
        <v>52</v>
      </c>
      <c r="M4402" s="25">
        <v>2530780.2000000002</v>
      </c>
      <c r="N4402" s="27">
        <v>1.4999999999999999E-2</v>
      </c>
    </row>
    <row r="4403" spans="1:14" hidden="1" outlineLevel="1" x14ac:dyDescent="0.2">
      <c r="A4403" s="23" t="str">
        <f t="shared" si="193"/>
        <v>ГБПОУ НСО "НСМК"</v>
      </c>
      <c r="B4403" s="24" t="s">
        <v>6252</v>
      </c>
      <c r="C4403" s="25">
        <v>2569320</v>
      </c>
      <c r="D4403" s="22" t="s">
        <v>6253</v>
      </c>
      <c r="E4403" s="22" t="s">
        <v>52</v>
      </c>
      <c r="F4403" s="23" t="str">
        <f t="shared" si="194"/>
        <v>Оказание услуг по охране территории, зданий, строений и сооружений ГБПОУ НСО "НСМК"</v>
      </c>
      <c r="G4403" s="22" t="s">
        <v>209</v>
      </c>
      <c r="H4403" s="22" t="s">
        <v>210</v>
      </c>
      <c r="I4403" s="26">
        <v>43658.629583333299</v>
      </c>
      <c r="J4403" s="23" t="str">
        <f>HYPERLINK("https://www.spark-marketing.ru/Card/Person/2284047", "ООО ОП ""ЛИГАРД-СБ""")</f>
        <v>ООО ОП "ЛИГАРД-СБ"</v>
      </c>
      <c r="K4403" s="24" t="s">
        <v>6255</v>
      </c>
      <c r="L4403" s="28" t="s">
        <v>52</v>
      </c>
      <c r="M4403" s="25">
        <v>2415160.7999999998</v>
      </c>
      <c r="N4403" s="27">
        <v>0.06</v>
      </c>
    </row>
    <row r="4404" spans="1:14" hidden="1" outlineLevel="1" x14ac:dyDescent="0.2">
      <c r="A4404" s="23" t="str">
        <f t="shared" si="193"/>
        <v>ГБПОУ НСО "НСМК"</v>
      </c>
      <c r="B4404" s="24" t="s">
        <v>6252</v>
      </c>
      <c r="C4404" s="25">
        <v>2569320</v>
      </c>
      <c r="D4404" s="22" t="s">
        <v>6253</v>
      </c>
      <c r="E4404" s="22" t="s">
        <v>52</v>
      </c>
      <c r="F4404" s="23" t="str">
        <f t="shared" si="194"/>
        <v>Оказание услуг по охране территории, зданий, строений и сооружений ГБПОУ НСО "НСМК"</v>
      </c>
      <c r="G4404" s="22" t="s">
        <v>209</v>
      </c>
      <c r="H4404" s="22" t="s">
        <v>210</v>
      </c>
      <c r="I4404" s="26">
        <v>43658.629583333299</v>
      </c>
      <c r="J4404" s="23" t="str">
        <f>HYPERLINK("https://www.spark-marketing.ru/Card/Person/727249", "ООО ЧОП ""НЕОКОМ-СБ""")</f>
        <v>ООО ЧОП "НЕОКОМ-СБ"</v>
      </c>
      <c r="K4404" s="24" t="s">
        <v>6223</v>
      </c>
      <c r="L4404" s="28" t="s">
        <v>52</v>
      </c>
      <c r="M4404" s="25">
        <v>2000000</v>
      </c>
      <c r="N4404" s="27">
        <v>0.22158392103747296</v>
      </c>
    </row>
    <row r="4405" spans="1:14" hidden="1" outlineLevel="1" x14ac:dyDescent="0.2">
      <c r="A4405" s="23" t="str">
        <f t="shared" si="193"/>
        <v>ГБПОУ НСО "НСМК"</v>
      </c>
      <c r="B4405" s="24" t="s">
        <v>6252</v>
      </c>
      <c r="C4405" s="25">
        <v>2569320</v>
      </c>
      <c r="D4405" s="22" t="s">
        <v>6253</v>
      </c>
      <c r="E4405" s="22" t="s">
        <v>52</v>
      </c>
      <c r="F4405" s="23" t="str">
        <f t="shared" si="194"/>
        <v>Оказание услуг по охране территории, зданий, строений и сооружений ГБПОУ НСО "НСМК"</v>
      </c>
      <c r="G4405" s="22" t="s">
        <v>209</v>
      </c>
      <c r="H4405" s="22" t="s">
        <v>210</v>
      </c>
      <c r="I4405" s="26">
        <v>43658.629583333299</v>
      </c>
      <c r="J4405" s="23" t="str">
        <f>HYPERLINK("https://www.spark-marketing.ru/Card/Person/4482764", "ООО ОП ""КАЗАЧЬЯ ДРУЖИНА""")</f>
        <v>ООО ОП "КАЗАЧЬЯ ДРУЖИНА"</v>
      </c>
      <c r="K4405" s="24" t="s">
        <v>6256</v>
      </c>
      <c r="L4405" s="28" t="s">
        <v>52</v>
      </c>
      <c r="M4405" s="25">
        <v>1845840.8</v>
      </c>
      <c r="N4405" s="27">
        <v>0.28158392103747293</v>
      </c>
    </row>
    <row r="4406" spans="1:14" hidden="1" outlineLevel="1" x14ac:dyDescent="0.2">
      <c r="A4406" s="23" t="str">
        <f t="shared" si="193"/>
        <v>ГБПОУ НСО "НСМК"</v>
      </c>
      <c r="B4406" s="24" t="s">
        <v>6252</v>
      </c>
      <c r="C4406" s="25">
        <v>2569320</v>
      </c>
      <c r="D4406" s="22" t="s">
        <v>6253</v>
      </c>
      <c r="E4406" s="22" t="s">
        <v>52</v>
      </c>
      <c r="F4406" s="23" t="str">
        <f t="shared" si="194"/>
        <v>Оказание услуг по охране территории, зданий, строений и сооружений ГБПОУ НСО "НСМК"</v>
      </c>
      <c r="G4406" s="22" t="s">
        <v>209</v>
      </c>
      <c r="H4406" s="22" t="s">
        <v>210</v>
      </c>
      <c r="I4406" s="26">
        <v>43658.629583333299</v>
      </c>
      <c r="J4406" s="23" t="str">
        <f>HYPERLINK("https://www.spark-marketing.ru/Card/Person/5930274", "ООО ОА ""ЗВЕЗДА""")</f>
        <v>ООО ОА "ЗВЕЗДА"</v>
      </c>
      <c r="K4406" s="24" t="s">
        <v>6257</v>
      </c>
      <c r="L4406" s="28" t="s">
        <v>52</v>
      </c>
      <c r="M4406" s="25">
        <v>2556473.4</v>
      </c>
      <c r="N4406" s="27">
        <v>5.0000000000000001E-3</v>
      </c>
    </row>
    <row r="4407" spans="1:14" ht="12.75" hidden="1" outlineLevel="1" x14ac:dyDescent="0.2">
      <c r="A4407" s="23" t="str">
        <f t="shared" si="193"/>
        <v>ГБПОУ НСО "НСМК"</v>
      </c>
      <c r="B4407" s="24" t="s">
        <v>6252</v>
      </c>
      <c r="C4407" s="25">
        <v>2569320</v>
      </c>
      <c r="D4407" s="22" t="s">
        <v>6253</v>
      </c>
      <c r="E4407" s="22" t="s">
        <v>52</v>
      </c>
      <c r="F4407" s="23" t="str">
        <f t="shared" si="194"/>
        <v>Оказание услуг по охране территории, зданий, строений и сооружений ГБПОУ НСО "НСМК"</v>
      </c>
      <c r="G4407" s="22" t="s">
        <v>209</v>
      </c>
      <c r="H4407" s="22" t="s">
        <v>210</v>
      </c>
      <c r="I4407" s="26">
        <v>43658.629583333299</v>
      </c>
      <c r="J4407" s="23" t="str">
        <f>HYPERLINK("https://www.spark-marketing.ru/Card/Person/87686", "ООО ОА ""ПЕРЕСВЕТ""")</f>
        <v>ООО ОА "ПЕРЕСВЕТ"</v>
      </c>
      <c r="K4407" s="24" t="s">
        <v>2992</v>
      </c>
      <c r="L4407" s="22" t="s">
        <v>10</v>
      </c>
      <c r="M4407" s="25">
        <v>1511829.2</v>
      </c>
      <c r="N4407" s="27">
        <v>0.41158392103747293</v>
      </c>
    </row>
    <row r="4408" spans="1:14" hidden="1" outlineLevel="1" x14ac:dyDescent="0.2">
      <c r="A4408" s="23" t="str">
        <f t="shared" si="193"/>
        <v>ГБПОУ НСО "НСМК"</v>
      </c>
      <c r="B4408" s="24" t="s">
        <v>6252</v>
      </c>
      <c r="C4408" s="25">
        <v>2569320</v>
      </c>
      <c r="D4408" s="22" t="s">
        <v>6253</v>
      </c>
      <c r="E4408" s="22" t="s">
        <v>52</v>
      </c>
      <c r="F4408" s="23" t="str">
        <f t="shared" si="194"/>
        <v>Оказание услуг по охране территории, зданий, строений и сооружений ГБПОУ НСО "НСМК"</v>
      </c>
      <c r="G4408" s="22" t="s">
        <v>209</v>
      </c>
      <c r="H4408" s="22" t="s">
        <v>210</v>
      </c>
      <c r="I4408" s="26">
        <v>43658.629583333299</v>
      </c>
      <c r="J4408" s="23" t="str">
        <f>HYPERLINK("https://www.spark-marketing.ru/Card/Person/4866964", "ООО ЧОО ""ПАТРИОТ""")</f>
        <v>ООО ЧОО "ПАТРИОТ"</v>
      </c>
      <c r="K4408" s="24" t="s">
        <v>6258</v>
      </c>
      <c r="L4408" s="28" t="s">
        <v>52</v>
      </c>
      <c r="M4408" s="25">
        <v>1498982.6</v>
      </c>
      <c r="N4408" s="27">
        <v>0.41658392103747294</v>
      </c>
    </row>
    <row r="4409" spans="1:14" x14ac:dyDescent="0.15">
      <c r="A4409" s="23" t="str">
        <f>HYPERLINK("https://www.spark-marketing.ru/Card/Person/10139", "ФГБОУ ВО ""ВГПУ""")</f>
        <v>ФГБОУ ВО "ВГПУ"</v>
      </c>
      <c r="B4409" s="24" t="s">
        <v>6259</v>
      </c>
      <c r="C4409" s="25">
        <v>2223039.96</v>
      </c>
      <c r="D4409" s="22" t="s">
        <v>6260</v>
      </c>
      <c r="E4409" s="22" t="s">
        <v>606</v>
      </c>
      <c r="F4409" s="23" t="str">
        <f>HYPERLINK("https://www.spark-marketing.ru/Card/Lot/72069963", "Оказание услуг по обеспечению контрольно-пропускного и внутриобъектового режимов на объектах ВГПУ")</f>
        <v>Оказание услуг по обеспечению контрольно-пропускного и внутриобъектового режимов на объектах ВГПУ</v>
      </c>
      <c r="G4409" s="22" t="s">
        <v>552</v>
      </c>
      <c r="H4409" s="22" t="s">
        <v>886</v>
      </c>
      <c r="I4409" s="26">
        <v>43658.646979166697</v>
      </c>
      <c r="J4409" s="28" t="s">
        <v>52</v>
      </c>
      <c r="K4409" s="28" t="s">
        <v>52</v>
      </c>
      <c r="L4409" s="28" t="s">
        <v>52</v>
      </c>
      <c r="M4409" s="28" t="s">
        <v>52</v>
      </c>
      <c r="N4409" s="28" t="s">
        <v>52</v>
      </c>
    </row>
    <row r="4410" spans="1:14" x14ac:dyDescent="0.15">
      <c r="A4410" s="23" t="str">
        <f>HYPERLINK("https://www.spark-marketing.ru/Card/Person/806864", "ГАУ СО СОЦ ""УДАРНИК""")</f>
        <v>ГАУ СО СОЦ "УДАРНИК"</v>
      </c>
      <c r="B4410" s="24" t="s">
        <v>6261</v>
      </c>
      <c r="C4410" s="25">
        <v>400000</v>
      </c>
      <c r="D4410" s="22" t="s">
        <v>6262</v>
      </c>
      <c r="E4410" s="22" t="s">
        <v>691</v>
      </c>
      <c r="F4410" s="23" t="str">
        <f>HYPERLINK("https://www.spark-marketing.ru/Card/Lot/72070889", "Выполнение работ по установке систем видеонаблюдения")</f>
        <v>Выполнение работ по установке систем видеонаблюдения</v>
      </c>
      <c r="G4410" s="22" t="s">
        <v>80</v>
      </c>
      <c r="H4410" s="22" t="s">
        <v>6263</v>
      </c>
      <c r="I4410" s="26">
        <v>43658.661493055602</v>
      </c>
      <c r="J4410" s="28" t="s">
        <v>52</v>
      </c>
      <c r="K4410" s="28" t="s">
        <v>52</v>
      </c>
      <c r="L4410" s="28" t="s">
        <v>52</v>
      </c>
      <c r="M4410" s="28" t="s">
        <v>52</v>
      </c>
      <c r="N4410" s="28" t="s">
        <v>52</v>
      </c>
    </row>
    <row r="4411" spans="1:14" x14ac:dyDescent="0.15">
      <c r="A4411" s="23" t="str">
        <f>HYPERLINK("https://www.spark-marketing.ru/Card/Person/2202972", "АО ""КОРДИАНТ""")</f>
        <v>АО "КОРДИАНТ"</v>
      </c>
      <c r="B4411" s="24" t="s">
        <v>286</v>
      </c>
      <c r="C4411" s="25">
        <v>0</v>
      </c>
      <c r="D4411" s="22" t="s">
        <v>6264</v>
      </c>
      <c r="E4411" s="22" t="s">
        <v>194</v>
      </c>
      <c r="F4411" s="23" t="str">
        <f>HYPERLINK("https://www.spark-marketing.ru/Card/Lot/72071656", "Установка камер видеонаблюдения")</f>
        <v>Установка камер видеонаблюдения</v>
      </c>
      <c r="G4411" s="22" t="s">
        <v>155</v>
      </c>
      <c r="H4411" s="22" t="s">
        <v>156</v>
      </c>
      <c r="I4411" s="26">
        <v>43658.590671296297</v>
      </c>
      <c r="J4411" s="28" t="s">
        <v>52</v>
      </c>
      <c r="K4411" s="28" t="s">
        <v>52</v>
      </c>
      <c r="L4411" s="28" t="s">
        <v>52</v>
      </c>
      <c r="M4411" s="28" t="s">
        <v>52</v>
      </c>
      <c r="N4411" s="28" t="s">
        <v>52</v>
      </c>
    </row>
    <row r="4412" spans="1:14" x14ac:dyDescent="0.15">
      <c r="A4412" s="23" t="str">
        <f>HYPERLINK("https://www.spark-marketing.ru/Card/Person/53599", "АДМИНИСТРАЦИЯ ГОРОДСКОГО ОКРУГА КОТЕЛЬНИКИ М.О.")</f>
        <v>АДМИНИСТРАЦИЯ ГОРОДСКОГО ОКРУГА КОТЕЛЬНИКИ М.О.</v>
      </c>
      <c r="B4412" s="24" t="s">
        <v>6265</v>
      </c>
      <c r="C4412" s="25">
        <v>3344075.32</v>
      </c>
      <c r="D4412" s="22" t="s">
        <v>6266</v>
      </c>
      <c r="E4412" s="22" t="s">
        <v>59</v>
      </c>
      <c r="F4412" s="23" t="str">
        <f>HYPERLINK("https://www.spark-marketing.ru/Card/Lot/72075688", "Выполнение работ по монтажу системы видеонаблюдения в местах установки контейнерных площадок для нужд городского округа Котельники Московской области")</f>
        <v>Выполнение работ по монтажу системы видеонаблюдения в местах установки контейнерных площадок для нужд городского округа Котельники Московской области</v>
      </c>
      <c r="G4412" s="22" t="s">
        <v>50</v>
      </c>
      <c r="H4412" s="22" t="s">
        <v>6267</v>
      </c>
      <c r="I4412" s="26">
        <v>43658.583668981497</v>
      </c>
      <c r="J4412" s="28" t="s">
        <v>52</v>
      </c>
      <c r="K4412" s="28" t="s">
        <v>52</v>
      </c>
      <c r="L4412" s="28" t="s">
        <v>52</v>
      </c>
      <c r="M4412" s="28" t="s">
        <v>52</v>
      </c>
      <c r="N4412" s="28" t="s">
        <v>52</v>
      </c>
    </row>
    <row r="4413" spans="1:14" hidden="1" outlineLevel="1" x14ac:dyDescent="0.2">
      <c r="A4413" s="23" t="str">
        <f>HYPERLINK("https://www.spark-marketing.ru/Card/Person/53599", "АДМИНИСТРАЦИЯ ГОРОДСКОГО ОКРУГА КОТЕЛЬНИКИ М.О.")</f>
        <v>АДМИНИСТРАЦИЯ ГОРОДСКОГО ОКРУГА КОТЕЛЬНИКИ М.О.</v>
      </c>
      <c r="B4413" s="24" t="s">
        <v>6265</v>
      </c>
      <c r="C4413" s="25">
        <v>3344075.32</v>
      </c>
      <c r="D4413" s="22" t="s">
        <v>6266</v>
      </c>
      <c r="E4413" s="22" t="s">
        <v>59</v>
      </c>
      <c r="F4413" s="23" t="str">
        <f>HYPERLINK("https://www.spark-marketing.ru/Card/Lot/72075688", "Выполнение работ по монтажу системы видеонаблюдения в местах установки контейнерных площадок для нужд городского округа Котельники Московской области")</f>
        <v>Выполнение работ по монтажу системы видеонаблюдения в местах установки контейнерных площадок для нужд городского округа Котельники Московской области</v>
      </c>
      <c r="G4413" s="22" t="s">
        <v>50</v>
      </c>
      <c r="H4413" s="22" t="s">
        <v>6267</v>
      </c>
      <c r="I4413" s="26">
        <v>43658.583668981497</v>
      </c>
      <c r="J4413" s="23" t="str">
        <f>HYPERLINK("https://www.spark-marketing.ru/Card/Person/4369086", "ООО ""АВК-КОННЕКТ""")</f>
        <v>ООО "АВК-КОННЕКТ"</v>
      </c>
      <c r="K4413" s="24" t="s">
        <v>6268</v>
      </c>
      <c r="L4413" s="28" t="s">
        <v>52</v>
      </c>
      <c r="M4413" s="25">
        <v>3277193.8</v>
      </c>
      <c r="N4413" s="27">
        <v>2.0000004066894044E-2</v>
      </c>
    </row>
    <row r="4414" spans="1:14" ht="12.75" hidden="1" outlineLevel="1" x14ac:dyDescent="0.2">
      <c r="A4414" s="23" t="str">
        <f>HYPERLINK("https://www.spark-marketing.ru/Card/Person/53599", "АДМИНИСТРАЦИЯ ГОРОДСКОГО ОКРУГА КОТЕЛЬНИКИ М.О.")</f>
        <v>АДМИНИСТРАЦИЯ ГОРОДСКОГО ОКРУГА КОТЕЛЬНИКИ М.О.</v>
      </c>
      <c r="B4414" s="24" t="s">
        <v>6265</v>
      </c>
      <c r="C4414" s="25">
        <v>3344075.32</v>
      </c>
      <c r="D4414" s="22" t="s">
        <v>6266</v>
      </c>
      <c r="E4414" s="22" t="s">
        <v>59</v>
      </c>
      <c r="F4414" s="23" t="str">
        <f>HYPERLINK("https://www.spark-marketing.ru/Card/Lot/72075688", "Выполнение работ по монтажу системы видеонаблюдения в местах установки контейнерных площадок для нужд городского округа Котельники Московской области")</f>
        <v>Выполнение работ по монтажу системы видеонаблюдения в местах установки контейнерных площадок для нужд городского округа Котельники Московской области</v>
      </c>
      <c r="G4414" s="22" t="s">
        <v>50</v>
      </c>
      <c r="H4414" s="22" t="s">
        <v>6267</v>
      </c>
      <c r="I4414" s="26">
        <v>43658.583668981497</v>
      </c>
      <c r="J4414" s="23" t="str">
        <f>HYPERLINK("https://www.spark-marketing.ru/Card/Person/128414", "ООО ""АВК-ВЕЛЛКОМСТРОЙ""")</f>
        <v>ООО "АВК-ВЕЛЛКОМСТРОЙ"</v>
      </c>
      <c r="K4414" s="24" t="s">
        <v>6269</v>
      </c>
      <c r="L4414" s="22" t="s">
        <v>10</v>
      </c>
      <c r="M4414" s="25">
        <v>3260473.42</v>
      </c>
      <c r="N4414" s="27">
        <v>2.5000005083617556E-2</v>
      </c>
    </row>
    <row r="4415" spans="1:14" x14ac:dyDescent="0.15">
      <c r="A4415" s="23" t="str">
        <f>HYPERLINK("https://www.spark-marketing.ru/Card/Person/3925", "ГБПОУ РО ""ДПК""")</f>
        <v>ГБПОУ РО "ДПК"</v>
      </c>
      <c r="B4415" s="24" t="s">
        <v>6270</v>
      </c>
      <c r="C4415" s="25">
        <v>358000</v>
      </c>
      <c r="D4415" s="22" t="s">
        <v>6271</v>
      </c>
      <c r="E4415" s="22" t="s">
        <v>103</v>
      </c>
      <c r="F4415" s="23" t="str">
        <f>HYPERLINK("https://www.spark-marketing.ru/Card/Lot/72064213", "выполнение работ для нужд ГБПОУ РО «ДПК» по объекту: Дооборудование видеонаблюдения для ГБПОУ РО «ДПК» по адресу: г. Ростов-на-Дону, пр. Ленина,92. из материала исполнителя, с последующим обслуживанием.")</f>
        <v>выполнение работ для нужд ГБПОУ РО «ДПК» по объекту: Дооборудование видеонаблюдения для ГБПОУ РО «ДПК» по адресу: г. Ростов-на-Дону, пр. Ленина,92. из материала исполнителя, с последующим обслуживанием.</v>
      </c>
      <c r="G4415" s="22" t="s">
        <v>402</v>
      </c>
      <c r="H4415" s="22" t="s">
        <v>403</v>
      </c>
      <c r="I4415" s="26">
        <v>43658.556250000001</v>
      </c>
      <c r="J4415" s="28" t="s">
        <v>52</v>
      </c>
      <c r="K4415" s="28" t="s">
        <v>52</v>
      </c>
      <c r="L4415" s="28" t="s">
        <v>52</v>
      </c>
      <c r="M4415" s="28" t="s">
        <v>52</v>
      </c>
      <c r="N4415" s="28" t="s">
        <v>52</v>
      </c>
    </row>
    <row r="4416" spans="1:14" x14ac:dyDescent="0.15">
      <c r="A4416" s="23" t="str">
        <f>HYPERLINK("https://www.spark-marketing.ru/Card/Person/2994", "ГКУ ""ЦРВС ЯНАО""")</f>
        <v>ГКУ "ЦРВС ЯНАО"</v>
      </c>
      <c r="B4416" s="24" t="s">
        <v>6272</v>
      </c>
      <c r="C4416" s="25">
        <v>789480</v>
      </c>
      <c r="D4416" s="22" t="s">
        <v>6273</v>
      </c>
      <c r="E4416" s="22" t="s">
        <v>52</v>
      </c>
      <c r="F4416" s="23" t="str">
        <f>HYPERLINK("https://www.spark-marketing.ru/Card/Lot/72072344", "Оказание услуг по физической охране")</f>
        <v>Оказание услуг по физической охране</v>
      </c>
      <c r="G4416" s="22" t="s">
        <v>311</v>
      </c>
      <c r="H4416" s="22" t="s">
        <v>312</v>
      </c>
      <c r="I4416" s="26">
        <v>43658.573726851799</v>
      </c>
      <c r="J4416" s="28" t="s">
        <v>52</v>
      </c>
      <c r="K4416" s="28" t="s">
        <v>52</v>
      </c>
      <c r="L4416" s="28" t="s">
        <v>52</v>
      </c>
      <c r="M4416" s="28" t="s">
        <v>52</v>
      </c>
      <c r="N4416" s="28" t="s">
        <v>52</v>
      </c>
    </row>
    <row r="4417" spans="1:14" hidden="1" outlineLevel="1" x14ac:dyDescent="0.2">
      <c r="A4417" s="23" t="str">
        <f>HYPERLINK("https://www.spark-marketing.ru/Card/Person/2994", "ГКУ ""ЦРВС ЯНАО""")</f>
        <v>ГКУ "ЦРВС ЯНАО"</v>
      </c>
      <c r="B4417" s="24" t="s">
        <v>6272</v>
      </c>
      <c r="C4417" s="25">
        <v>789480</v>
      </c>
      <c r="D4417" s="22" t="s">
        <v>6273</v>
      </c>
      <c r="E4417" s="22" t="s">
        <v>52</v>
      </c>
      <c r="F4417" s="23" t="str">
        <f>HYPERLINK("https://www.spark-marketing.ru/Card/Lot/72072344", "Оказание услуг по физической охране")</f>
        <v>Оказание услуг по физической охране</v>
      </c>
      <c r="G4417" s="22" t="s">
        <v>311</v>
      </c>
      <c r="H4417" s="22" t="s">
        <v>312</v>
      </c>
      <c r="I4417" s="26">
        <v>43658.573726851799</v>
      </c>
      <c r="J4417" s="23" t="str">
        <f>HYPERLINK("https://www.spark-marketing.ru/Card/Person/4897750", "ООО ЧАСТНОЕ ОХРАННОЕ ПРЕДПРИЯТИЕ ""ПОЛЯРНАЯ ЗВЕЗДА""")</f>
        <v>ООО ЧАСТНОЕ ОХРАННОЕ ПРЕДПРИЯТИЕ "ПОЛЯРНАЯ ЗВЕЗДА"</v>
      </c>
      <c r="K4417" s="24" t="s">
        <v>6274</v>
      </c>
      <c r="L4417" s="28" t="s">
        <v>52</v>
      </c>
      <c r="M4417" s="25">
        <v>572373</v>
      </c>
      <c r="N4417" s="27">
        <v>0.27500000000000002</v>
      </c>
    </row>
    <row r="4418" spans="1:14" hidden="1" outlineLevel="1" x14ac:dyDescent="0.2">
      <c r="A4418" s="23" t="str">
        <f>HYPERLINK("https://www.spark-marketing.ru/Card/Person/2994", "ГКУ ""ЦРВС ЯНАО""")</f>
        <v>ГКУ "ЦРВС ЯНАО"</v>
      </c>
      <c r="B4418" s="24" t="s">
        <v>6272</v>
      </c>
      <c r="C4418" s="25">
        <v>789480</v>
      </c>
      <c r="D4418" s="22" t="s">
        <v>6273</v>
      </c>
      <c r="E4418" s="22" t="s">
        <v>52</v>
      </c>
      <c r="F4418" s="23" t="str">
        <f>HYPERLINK("https://www.spark-marketing.ru/Card/Lot/72072344", "Оказание услуг по физической охране")</f>
        <v>Оказание услуг по физической охране</v>
      </c>
      <c r="G4418" s="22" t="s">
        <v>311</v>
      </c>
      <c r="H4418" s="22" t="s">
        <v>312</v>
      </c>
      <c r="I4418" s="26">
        <v>43658.573726851799</v>
      </c>
      <c r="J4418" s="23" t="str">
        <f>HYPERLINK("https://www.spark-marketing.ru/Card/Person/973489", "ООО ЧОО ""РАТНИК""")</f>
        <v>ООО ЧОО "РАТНИК"</v>
      </c>
      <c r="K4418" s="24" t="s">
        <v>3685</v>
      </c>
      <c r="L4418" s="28" t="s">
        <v>52</v>
      </c>
      <c r="M4418" s="25">
        <v>442108.8</v>
      </c>
      <c r="N4418" s="27">
        <v>0.44</v>
      </c>
    </row>
    <row r="4419" spans="1:14" ht="12.75" hidden="1" outlineLevel="1" x14ac:dyDescent="0.2">
      <c r="A4419" s="23" t="str">
        <f>HYPERLINK("https://www.spark-marketing.ru/Card/Person/2994", "ГКУ ""ЦРВС ЯНАО""")</f>
        <v>ГКУ "ЦРВС ЯНАО"</v>
      </c>
      <c r="B4419" s="24" t="s">
        <v>6272</v>
      </c>
      <c r="C4419" s="25">
        <v>789480</v>
      </c>
      <c r="D4419" s="22" t="s">
        <v>6273</v>
      </c>
      <c r="E4419" s="22" t="s">
        <v>52</v>
      </c>
      <c r="F4419" s="23" t="str">
        <f>HYPERLINK("https://www.spark-marketing.ru/Card/Lot/72072344", "Оказание услуг по физической охране")</f>
        <v>Оказание услуг по физической охране</v>
      </c>
      <c r="G4419" s="22" t="s">
        <v>311</v>
      </c>
      <c r="H4419" s="22" t="s">
        <v>312</v>
      </c>
      <c r="I4419" s="26">
        <v>43658.573726851799</v>
      </c>
      <c r="J4419" s="23" t="str">
        <f>HYPERLINK("https://www.spark-marketing.ru/Card/Person/6623450", "ООО ""ЧОО""")</f>
        <v>ООО "ЧОО"</v>
      </c>
      <c r="K4419" s="24" t="s">
        <v>6275</v>
      </c>
      <c r="L4419" s="22" t="s">
        <v>10</v>
      </c>
      <c r="M4419" s="25">
        <v>438161.1</v>
      </c>
      <c r="N4419" s="27">
        <v>0.44500037999696002</v>
      </c>
    </row>
    <row r="4420" spans="1:14" hidden="1" outlineLevel="1" x14ac:dyDescent="0.2">
      <c r="A4420" s="23" t="str">
        <f>HYPERLINK("https://www.spark-marketing.ru/Card/Person/2994", "ГКУ ""ЦРВС ЯНАО""")</f>
        <v>ГКУ "ЦРВС ЯНАО"</v>
      </c>
      <c r="B4420" s="24" t="s">
        <v>6272</v>
      </c>
      <c r="C4420" s="25">
        <v>789480</v>
      </c>
      <c r="D4420" s="22" t="s">
        <v>6273</v>
      </c>
      <c r="E4420" s="22" t="s">
        <v>52</v>
      </c>
      <c r="F4420" s="23" t="str">
        <f>HYPERLINK("https://www.spark-marketing.ru/Card/Lot/72072344", "Оказание услуг по физической охране")</f>
        <v>Оказание услуг по физической охране</v>
      </c>
      <c r="G4420" s="22" t="s">
        <v>311</v>
      </c>
      <c r="H4420" s="22" t="s">
        <v>312</v>
      </c>
      <c r="I4420" s="26">
        <v>43658.573726851799</v>
      </c>
      <c r="J4420" s="23" t="str">
        <f>HYPERLINK("https://www.spark-marketing.ru/Card/Person/4877052", "ООО АГЕНТСТВО ОХРАНЫ ""АРСЕНАЛ""")</f>
        <v>ООО АГЕНТСТВО ОХРАНЫ "АРСЕНАЛ"</v>
      </c>
      <c r="K4420" s="24" t="s">
        <v>5987</v>
      </c>
      <c r="L4420" s="28" t="s">
        <v>52</v>
      </c>
      <c r="M4420" s="25">
        <v>485530.2</v>
      </c>
      <c r="N4420" s="27">
        <v>0.38500000000000001</v>
      </c>
    </row>
    <row r="4421" spans="1:14" x14ac:dyDescent="0.15">
      <c r="A4421" s="23" t="str">
        <f>HYPERLINK("https://www.spark-marketing.ru/Card/Person/1069977", "МАДОУ ДЕТСКИЙ САД № 23")</f>
        <v>МАДОУ ДЕТСКИЙ САД № 23</v>
      </c>
      <c r="B4421" s="24" t="s">
        <v>6276</v>
      </c>
      <c r="C4421" s="25">
        <v>183000</v>
      </c>
      <c r="D4421" s="22" t="s">
        <v>6277</v>
      </c>
      <c r="E4421" s="22" t="s">
        <v>691</v>
      </c>
      <c r="F4421" s="23" t="str">
        <f>HYPERLINK("https://www.spark-marketing.ru/Card/Lot/72060097", "монтаж и установка системы контроля и управления доступом с заменой пяти металлических дверей")</f>
        <v>монтаж и установка системы контроля и управления доступом с заменой пяти металлических дверей</v>
      </c>
      <c r="G4421" s="22" t="s">
        <v>72</v>
      </c>
      <c r="H4421" s="22" t="s">
        <v>72</v>
      </c>
      <c r="I4421" s="26">
        <v>43658.579236111102</v>
      </c>
      <c r="J4421" s="28" t="s">
        <v>52</v>
      </c>
      <c r="K4421" s="28" t="s">
        <v>52</v>
      </c>
      <c r="L4421" s="28" t="s">
        <v>52</v>
      </c>
      <c r="M4421" s="28" t="s">
        <v>52</v>
      </c>
      <c r="N4421" s="28" t="s">
        <v>52</v>
      </c>
    </row>
    <row r="4422" spans="1:14" x14ac:dyDescent="0.15">
      <c r="A4422" s="23" t="str">
        <f>HYPERLINK("https://www.spark-marketing.ru/Card/Person/11916", "ГОУП ""УСЦ""")</f>
        <v>ГОУП "УСЦ"</v>
      </c>
      <c r="B4422" s="24" t="s">
        <v>6278</v>
      </c>
      <c r="C4422" s="25">
        <v>152800.07999999999</v>
      </c>
      <c r="D4422" s="22" t="s">
        <v>6279</v>
      </c>
      <c r="E4422" s="22" t="s">
        <v>6280</v>
      </c>
      <c r="F4422" s="23" t="str">
        <f>HYPERLINK("https://www.spark-marketing.ru/Card/Lot/72060076", "Оказание услуг по абонентскому техническому и ремонтно-эксплуатационному обслуживанию системы видеонаблюдения, установленной на объекте ГОУП «УСЦ» Плавательный бассейн")</f>
        <v>Оказание услуг по абонентскому техническому и ремонтно-эксплуатационному обслуживанию системы видеонаблюдения, установленной на объекте ГОУП «УСЦ» Плавательный бассейн</v>
      </c>
      <c r="G4422" s="22" t="s">
        <v>190</v>
      </c>
      <c r="H4422" s="22" t="s">
        <v>190</v>
      </c>
      <c r="I4422" s="26">
        <v>43658.506273148101</v>
      </c>
      <c r="J4422" s="28" t="s">
        <v>52</v>
      </c>
      <c r="K4422" s="28" t="s">
        <v>52</v>
      </c>
      <c r="L4422" s="28" t="s">
        <v>52</v>
      </c>
      <c r="M4422" s="28" t="s">
        <v>52</v>
      </c>
      <c r="N4422" s="28" t="s">
        <v>52</v>
      </c>
    </row>
    <row r="4423" spans="1:14" x14ac:dyDescent="0.15">
      <c r="A4423" s="23" t="str">
        <f>HYPERLINK("https://www.spark-marketing.ru/Card/Person/1045287", "МБОУ ДО ""ДМШ № 3""")</f>
        <v>МБОУ ДО "ДМШ № 3"</v>
      </c>
      <c r="B4423" s="24" t="s">
        <v>6281</v>
      </c>
      <c r="C4423" s="25">
        <v>100043.7</v>
      </c>
      <c r="D4423" s="22" t="s">
        <v>6282</v>
      </c>
      <c r="E4423" s="22" t="s">
        <v>194</v>
      </c>
      <c r="F4423" s="23" t="str">
        <f>HYPERLINK("https://www.spark-marketing.ru/Card/Lot/72061820", "Оказание услуг по установке системы видеонаблюдения")</f>
        <v>Оказание услуг по установке системы видеонаблюдения</v>
      </c>
      <c r="G4423" s="22" t="s">
        <v>50</v>
      </c>
      <c r="H4423" s="22" t="s">
        <v>299</v>
      </c>
      <c r="I4423" s="26">
        <v>43658.534074074101</v>
      </c>
      <c r="J4423" s="28" t="s">
        <v>52</v>
      </c>
      <c r="K4423" s="28" t="s">
        <v>52</v>
      </c>
      <c r="L4423" s="28" t="s">
        <v>52</v>
      </c>
      <c r="M4423" s="28" t="s">
        <v>52</v>
      </c>
      <c r="N4423" s="28" t="s">
        <v>52</v>
      </c>
    </row>
    <row r="4424" spans="1:14" x14ac:dyDescent="0.15">
      <c r="A4424" s="23" t="str">
        <f>HYPERLINK("https://www.spark-marketing.ru/Card/Person/56322", "ГКОУ МО ""ДОВЕРИЕ""")</f>
        <v>ГКОУ МО "ДОВЕРИЕ"</v>
      </c>
      <c r="B4424" s="24" t="s">
        <v>6283</v>
      </c>
      <c r="C4424" s="25">
        <v>15000</v>
      </c>
      <c r="D4424" s="22" t="s">
        <v>6284</v>
      </c>
      <c r="E4424" s="22" t="s">
        <v>208</v>
      </c>
      <c r="F4424" s="23" t="str">
        <f>HYPERLINK("https://www.spark-marketing.ru/Card/Lot/72061822", "Закупка и установка охранной сигнализации в двух кабинетах ГКОУ МО ""Доверие"" по адресу Московская область, Щелковский район, д. Алмазово")</f>
        <v>Закупка и установка охранной сигнализации в двух кабинетах ГКОУ МО "Доверие" по адресу Московская область, Щелковский район, д. Алмазово</v>
      </c>
      <c r="G4424" s="22" t="s">
        <v>50</v>
      </c>
      <c r="H4424" s="22" t="s">
        <v>326</v>
      </c>
      <c r="I4424" s="26">
        <v>43658.534108796302</v>
      </c>
      <c r="J4424" s="28" t="s">
        <v>52</v>
      </c>
      <c r="K4424" s="28" t="s">
        <v>52</v>
      </c>
      <c r="L4424" s="28" t="s">
        <v>52</v>
      </c>
      <c r="M4424" s="28" t="s">
        <v>52</v>
      </c>
      <c r="N4424" s="28" t="s">
        <v>52</v>
      </c>
    </row>
    <row r="4425" spans="1:14" x14ac:dyDescent="0.15">
      <c r="A4425" s="23" t="str">
        <f>HYPERLINK("https://www.spark-marketing.ru/Card/Person/105186", "БАРЕНЦЕВО-БЕЛОМОРСКОЕ ТУ РОСРЫБОЛОВСТВА")</f>
        <v>БАРЕНЦЕВО-БЕЛОМОРСКОЕ ТУ РОСРЫБОЛОВСТВА</v>
      </c>
      <c r="B4425" s="24" t="s">
        <v>6285</v>
      </c>
      <c r="C4425" s="25">
        <v>36000</v>
      </c>
      <c r="D4425" s="22" t="s">
        <v>6286</v>
      </c>
      <c r="E4425" s="22" t="s">
        <v>53</v>
      </c>
      <c r="F4425" s="23" t="str">
        <f>HYPERLINK("https://www.spark-marketing.ru/Card/Lot/72060638", "Оказание охранных услуг")</f>
        <v>Оказание охранных услуг</v>
      </c>
      <c r="G4425" s="22" t="s">
        <v>190</v>
      </c>
      <c r="H4425" s="22" t="s">
        <v>6287</v>
      </c>
      <c r="I4425" s="26">
        <v>43658.515844907401</v>
      </c>
      <c r="J4425" s="28" t="s">
        <v>52</v>
      </c>
      <c r="K4425" s="28" t="s">
        <v>52</v>
      </c>
      <c r="L4425" s="28" t="s">
        <v>52</v>
      </c>
      <c r="M4425" s="28" t="s">
        <v>52</v>
      </c>
      <c r="N4425" s="28" t="s">
        <v>52</v>
      </c>
    </row>
    <row r="4426" spans="1:14" x14ac:dyDescent="0.15">
      <c r="A4426" s="23" t="str">
        <f>HYPERLINK("https://www.spark-marketing.ru/Card/Person/812467", "ИЖЕВСКИЙ ЛО МВД РОССИИ НА ТРАНСПОРТЕ")</f>
        <v>ИЖЕВСКИЙ ЛО МВД РОССИИ НА ТРАНСПОРТЕ</v>
      </c>
      <c r="B4426" s="24" t="s">
        <v>4517</v>
      </c>
      <c r="C4426" s="25">
        <v>15000</v>
      </c>
      <c r="D4426" s="22" t="s">
        <v>6288</v>
      </c>
      <c r="E4426" s="22" t="s">
        <v>103</v>
      </c>
      <c r="F4426" s="23" t="str">
        <f>HYPERLINK("https://www.spark-marketing.ru/Card/Lot/72060267", "Обслуживание систем видеонаблюдения, 1 усл. ед")</f>
        <v>Обслуживание систем видеонаблюдения, 1 усл. ед</v>
      </c>
      <c r="G4426" s="22" t="s">
        <v>96</v>
      </c>
      <c r="H4426" s="22" t="s">
        <v>1342</v>
      </c>
      <c r="I4426" s="26">
        <v>43658.530266203699</v>
      </c>
      <c r="J4426" s="28" t="s">
        <v>52</v>
      </c>
      <c r="K4426" s="28" t="s">
        <v>52</v>
      </c>
      <c r="L4426" s="28" t="s">
        <v>52</v>
      </c>
      <c r="M4426" s="28" t="s">
        <v>52</v>
      </c>
      <c r="N4426" s="28" t="s">
        <v>52</v>
      </c>
    </row>
    <row r="4427" spans="1:14" x14ac:dyDescent="0.15">
      <c r="A4427" s="23" t="str">
        <f t="shared" ref="A4427:A4432" si="195">HYPERLINK("https://www.spark-marketing.ru/Card/Person/4375516", "БНУ ""ЧГИГН""")</f>
        <v>БНУ "ЧГИГН"</v>
      </c>
      <c r="B4427" s="24" t="s">
        <v>6289</v>
      </c>
      <c r="C4427" s="25">
        <v>662400</v>
      </c>
      <c r="D4427" s="22" t="s">
        <v>6290</v>
      </c>
      <c r="E4427" s="22" t="s">
        <v>52</v>
      </c>
      <c r="F4427" s="23" t="str">
        <f t="shared" ref="F4427:F4432" si="196">HYPERLINK("https://www.spark-marketing.ru/Card/Lot/72072221", "Услуги частных охранных служб")</f>
        <v>Услуги частных охранных служб</v>
      </c>
      <c r="G4427" s="22" t="s">
        <v>1137</v>
      </c>
      <c r="H4427" s="22" t="s">
        <v>1137</v>
      </c>
      <c r="I4427" s="26">
        <v>43658.537627314799</v>
      </c>
      <c r="J4427" s="28" t="s">
        <v>52</v>
      </c>
      <c r="K4427" s="28" t="s">
        <v>52</v>
      </c>
      <c r="L4427" s="28" t="s">
        <v>52</v>
      </c>
      <c r="M4427" s="28" t="s">
        <v>52</v>
      </c>
      <c r="N4427" s="28" t="s">
        <v>52</v>
      </c>
    </row>
    <row r="4428" spans="1:14" hidden="1" outlineLevel="1" x14ac:dyDescent="0.2">
      <c r="A4428" s="23" t="str">
        <f t="shared" si="195"/>
        <v>БНУ "ЧГИГН"</v>
      </c>
      <c r="B4428" s="24" t="s">
        <v>6289</v>
      </c>
      <c r="C4428" s="25">
        <v>662400</v>
      </c>
      <c r="D4428" s="22" t="s">
        <v>6290</v>
      </c>
      <c r="E4428" s="22" t="s">
        <v>52</v>
      </c>
      <c r="F4428" s="23" t="str">
        <f t="shared" si="196"/>
        <v>Услуги частных охранных служб</v>
      </c>
      <c r="G4428" s="22" t="s">
        <v>1137</v>
      </c>
      <c r="H4428" s="22" t="s">
        <v>1137</v>
      </c>
      <c r="I4428" s="26">
        <v>43658.537627314799</v>
      </c>
      <c r="J4428" s="23" t="str">
        <f>HYPERLINK("https://www.spark-marketing.ru/Card/Person/367681", "ООО ЧОП ""ФЕМИДА-2""")</f>
        <v>ООО ЧОП "ФЕМИДА-2"</v>
      </c>
      <c r="K4428" s="24" t="s">
        <v>6291</v>
      </c>
      <c r="L4428" s="28" t="s">
        <v>52</v>
      </c>
      <c r="M4428" s="25">
        <v>308000</v>
      </c>
      <c r="N4428" s="27">
        <v>0.53502415458937203</v>
      </c>
    </row>
    <row r="4429" spans="1:14" ht="12.75" hidden="1" outlineLevel="1" x14ac:dyDescent="0.2">
      <c r="A4429" s="23" t="str">
        <f t="shared" si="195"/>
        <v>БНУ "ЧГИГН"</v>
      </c>
      <c r="B4429" s="24" t="s">
        <v>6289</v>
      </c>
      <c r="C4429" s="25">
        <v>662400</v>
      </c>
      <c r="D4429" s="22" t="s">
        <v>6290</v>
      </c>
      <c r="E4429" s="22" t="s">
        <v>52</v>
      </c>
      <c r="F4429" s="23" t="str">
        <f t="shared" si="196"/>
        <v>Услуги частных охранных служб</v>
      </c>
      <c r="G4429" s="22" t="s">
        <v>1137</v>
      </c>
      <c r="H4429" s="22" t="s">
        <v>1137</v>
      </c>
      <c r="I4429" s="26">
        <v>43658.537627314799</v>
      </c>
      <c r="J4429" s="23" t="str">
        <f>HYPERLINK("https://www.spark-marketing.ru/Card/Person/6313190", "ООО ""ЧОО ""ТАЙПАН""""")</f>
        <v>ООО "ЧОО "ТАЙПАН""</v>
      </c>
      <c r="K4429" s="24" t="s">
        <v>6292</v>
      </c>
      <c r="L4429" s="22" t="s">
        <v>10</v>
      </c>
      <c r="M4429" s="25">
        <v>304704</v>
      </c>
      <c r="N4429" s="27">
        <v>0.54</v>
      </c>
    </row>
    <row r="4430" spans="1:14" hidden="1" outlineLevel="1" x14ac:dyDescent="0.2">
      <c r="A4430" s="23" t="str">
        <f t="shared" si="195"/>
        <v>БНУ "ЧГИГН"</v>
      </c>
      <c r="B4430" s="24" t="s">
        <v>6289</v>
      </c>
      <c r="C4430" s="25">
        <v>662400</v>
      </c>
      <c r="D4430" s="22" t="s">
        <v>6290</v>
      </c>
      <c r="E4430" s="22" t="s">
        <v>52</v>
      </c>
      <c r="F4430" s="23" t="str">
        <f t="shared" si="196"/>
        <v>Услуги частных охранных служб</v>
      </c>
      <c r="G4430" s="22" t="s">
        <v>1137</v>
      </c>
      <c r="H4430" s="22" t="s">
        <v>1137</v>
      </c>
      <c r="I4430" s="26">
        <v>43658.537627314799</v>
      </c>
      <c r="J4430" s="23" t="str">
        <f>HYPERLINK("https://www.spark-marketing.ru/Card/Person/63539", "ООО ""ЧОО ""ЦЕРБЕР""")</f>
        <v>ООО "ЧОО "ЦЕРБЕР"</v>
      </c>
      <c r="K4430" s="24" t="s">
        <v>1434</v>
      </c>
      <c r="L4430" s="28" t="s">
        <v>52</v>
      </c>
      <c r="M4430" s="25">
        <v>404064</v>
      </c>
      <c r="N4430" s="27">
        <v>0.39</v>
      </c>
    </row>
    <row r="4431" spans="1:14" hidden="1" outlineLevel="1" x14ac:dyDescent="0.2">
      <c r="A4431" s="23" t="str">
        <f t="shared" si="195"/>
        <v>БНУ "ЧГИГН"</v>
      </c>
      <c r="B4431" s="24" t="s">
        <v>6289</v>
      </c>
      <c r="C4431" s="25">
        <v>662400</v>
      </c>
      <c r="D4431" s="22" t="s">
        <v>6290</v>
      </c>
      <c r="E4431" s="22" t="s">
        <v>52</v>
      </c>
      <c r="F4431" s="23" t="str">
        <f t="shared" si="196"/>
        <v>Услуги частных охранных служб</v>
      </c>
      <c r="G4431" s="22" t="s">
        <v>1137</v>
      </c>
      <c r="H4431" s="22" t="s">
        <v>1137</v>
      </c>
      <c r="I4431" s="26">
        <v>43658.537627314799</v>
      </c>
      <c r="J4431" s="23" t="str">
        <f>HYPERLINK("https://www.spark-marketing.ru/Card/Person/456132", "ООО ""ЧОО ""АЛЬФА""")</f>
        <v>ООО "ЧОО "АЛЬФА"</v>
      </c>
      <c r="K4431" s="24" t="s">
        <v>6293</v>
      </c>
      <c r="L4431" s="28" t="s">
        <v>52</v>
      </c>
      <c r="M4431" s="25">
        <v>308016</v>
      </c>
      <c r="N4431" s="27">
        <v>0.53500000000000003</v>
      </c>
    </row>
    <row r="4432" spans="1:14" hidden="1" outlineLevel="1" x14ac:dyDescent="0.2">
      <c r="A4432" s="23" t="str">
        <f t="shared" si="195"/>
        <v>БНУ "ЧГИГН"</v>
      </c>
      <c r="B4432" s="24" t="s">
        <v>6289</v>
      </c>
      <c r="C4432" s="25">
        <v>662400</v>
      </c>
      <c r="D4432" s="22" t="s">
        <v>6290</v>
      </c>
      <c r="E4432" s="22" t="s">
        <v>52</v>
      </c>
      <c r="F4432" s="23" t="str">
        <f t="shared" si="196"/>
        <v>Услуги частных охранных служб</v>
      </c>
      <c r="G4432" s="22" t="s">
        <v>1137</v>
      </c>
      <c r="H4432" s="22" t="s">
        <v>1137</v>
      </c>
      <c r="I4432" s="26">
        <v>43658.537627314799</v>
      </c>
      <c r="J4432" s="23" t="str">
        <f>HYPERLINK("https://www.spark-marketing.ru/Card/Person/1131214", "ООО ""ЧОО ""ДИС""")</f>
        <v>ООО "ЧОО "ДИС"</v>
      </c>
      <c r="K4432" s="24" t="s">
        <v>6294</v>
      </c>
      <c r="L4432" s="28" t="s">
        <v>52</v>
      </c>
      <c r="M4432" s="25">
        <v>394128</v>
      </c>
      <c r="N4432" s="27">
        <v>0.40500000000000003</v>
      </c>
    </row>
    <row r="4433" spans="1:14" x14ac:dyDescent="0.15">
      <c r="A4433" s="23" t="str">
        <f>HYPERLINK("https://www.spark-marketing.ru/Card/Person/4369400", "ООО АВИАПРЕДПРИЯТИЕ ""ГАЗПРОМ АВИА""")</f>
        <v>ООО АВИАПРЕДПРИЯТИЕ "ГАЗПРОМ АВИА"</v>
      </c>
      <c r="B4433" s="24" t="s">
        <v>6295</v>
      </c>
      <c r="C4433" s="25">
        <v>499983.12</v>
      </c>
      <c r="D4433" s="22" t="s">
        <v>6296</v>
      </c>
      <c r="E4433" s="22" t="s">
        <v>144</v>
      </c>
      <c r="F4433" s="23" t="str">
        <f>HYPERLINK("https://www.spark-marketing.ru/Card/Lot/72061092", "Услуги по охране объекта «Основания и временные пристроенные производственно-бытовые помещения для хранения и технического обслуживания вертолетов в аэропорту Надым»")</f>
        <v>Услуги по охране объекта «Основания и временные пристроенные производственно-бытовые помещения для хранения и технического обслуживания вертолетов в аэропорту Надым»</v>
      </c>
      <c r="G4433" s="22" t="s">
        <v>55</v>
      </c>
      <c r="H4433" s="22" t="s">
        <v>55</v>
      </c>
      <c r="I4433" s="26">
        <v>43658.4927314815</v>
      </c>
      <c r="J4433" s="28" t="s">
        <v>52</v>
      </c>
      <c r="K4433" s="28" t="s">
        <v>52</v>
      </c>
      <c r="L4433" s="28" t="s">
        <v>52</v>
      </c>
      <c r="M4433" s="28" t="s">
        <v>52</v>
      </c>
      <c r="N4433" s="28" t="s">
        <v>52</v>
      </c>
    </row>
    <row r="4434" spans="1:14" x14ac:dyDescent="0.15">
      <c r="A4434" s="23" t="str">
        <f>HYPERLINK("https://www.spark-marketing.ru/Card/Person/53903", "БУ ""МЕГИОНСКАЯ ГОРОДСКАЯ БОЛЬНИЦА № 2""")</f>
        <v>БУ "МЕГИОНСКАЯ ГОРОДСКАЯ БОЛЬНИЦА № 2"</v>
      </c>
      <c r="B4434" s="24" t="s">
        <v>6297</v>
      </c>
      <c r="C4434" s="28" t="s">
        <v>52</v>
      </c>
      <c r="D4434" s="22" t="s">
        <v>6298</v>
      </c>
      <c r="E4434" s="22" t="s">
        <v>52</v>
      </c>
      <c r="F4434" s="23" t="str">
        <f>HYPERLINK("https://www.spark-marketing.ru/Card/Lot/72059753", "Оказание услуг по обслуживанию систем видеонаблюдения")</f>
        <v>Оказание услуг по обслуживанию систем видеонаблюдения</v>
      </c>
      <c r="G4434" s="22" t="s">
        <v>119</v>
      </c>
      <c r="H4434" s="22" t="s">
        <v>2371</v>
      </c>
      <c r="I4434" s="26">
        <v>43658.489583333299</v>
      </c>
      <c r="J4434" s="28" t="s">
        <v>52</v>
      </c>
      <c r="K4434" s="28" t="s">
        <v>52</v>
      </c>
      <c r="L4434" s="28" t="s">
        <v>52</v>
      </c>
      <c r="M4434" s="28" t="s">
        <v>52</v>
      </c>
      <c r="N4434" s="28" t="s">
        <v>52</v>
      </c>
    </row>
    <row r="4435" spans="1:14" x14ac:dyDescent="0.15">
      <c r="A4435" s="23" t="str">
        <f>HYPERLINK("https://www.spark-marketing.ru/Card/Person/115809", "ГЛАВНОЕ УПРАВЛЕНИЕ МЧС РОССИИ ПО АЛТАЙСКОМУ КРАЮ")</f>
        <v>ГЛАВНОЕ УПРАВЛЕНИЕ МЧС РОССИИ ПО АЛТАЙСКОМУ КРАЮ</v>
      </c>
      <c r="B4435" s="24" t="s">
        <v>4383</v>
      </c>
      <c r="C4435" s="25">
        <v>3266.67</v>
      </c>
      <c r="D4435" s="22" t="s">
        <v>6299</v>
      </c>
      <c r="E4435" s="22" t="s">
        <v>84</v>
      </c>
      <c r="F4435" s="23" t="str">
        <f>HYPERLINK("https://www.spark-marketing.ru/Card/Lot/72057907", "Установка камер видео-наблюдения, 1 шт")</f>
        <v>Установка камер видео-наблюдения, 1 шт</v>
      </c>
      <c r="G4435" s="22" t="s">
        <v>428</v>
      </c>
      <c r="H4435" s="22" t="s">
        <v>429</v>
      </c>
      <c r="I4435" s="26">
        <v>43658.488321759301</v>
      </c>
      <c r="J4435" s="28" t="s">
        <v>52</v>
      </c>
      <c r="K4435" s="28" t="s">
        <v>52</v>
      </c>
      <c r="L4435" s="28" t="s">
        <v>52</v>
      </c>
      <c r="M4435" s="28" t="s">
        <v>52</v>
      </c>
      <c r="N4435" s="28" t="s">
        <v>52</v>
      </c>
    </row>
    <row r="4436" spans="1:14" x14ac:dyDescent="0.15">
      <c r="A4436" s="23" t="str">
        <f>HYPERLINK("https://www.spark-marketing.ru/Card/Person/4352215", "ГБПОУ МО ""ПУШКИНСКИЙ ЛЕСО-ТЕХНИЧЕСКИЙ ТЕХНИКУМ""")</f>
        <v>ГБПОУ МО "ПУШКИНСКИЙ ЛЕСО-ТЕХНИЧЕСКИЙ ТЕХНИКУМ"</v>
      </c>
      <c r="B4436" s="24" t="s">
        <v>6300</v>
      </c>
      <c r="C4436" s="25">
        <v>268600</v>
      </c>
      <c r="D4436" s="22" t="s">
        <v>6301</v>
      </c>
      <c r="E4436" s="22" t="s">
        <v>59</v>
      </c>
      <c r="F4436" s="23" t="str">
        <f>HYPERLINK("https://www.spark-marketing.ru/Card/Lot/72057277", "Услуги по монтажу и установке охранной сигнализации, противопожарной двери и домофонов")</f>
        <v>Услуги по монтажу и установке охранной сигнализации, противопожарной двери и домофонов</v>
      </c>
      <c r="G4436" s="22" t="s">
        <v>50</v>
      </c>
      <c r="H4436" s="22" t="s">
        <v>76</v>
      </c>
      <c r="I4436" s="26">
        <v>43658.461666666699</v>
      </c>
      <c r="J4436" s="28" t="s">
        <v>52</v>
      </c>
      <c r="K4436" s="28" t="s">
        <v>52</v>
      </c>
      <c r="L4436" s="28" t="s">
        <v>52</v>
      </c>
      <c r="M4436" s="28" t="s">
        <v>52</v>
      </c>
      <c r="N4436" s="28" t="s">
        <v>52</v>
      </c>
    </row>
    <row r="4437" spans="1:14" x14ac:dyDescent="0.15">
      <c r="A4437" s="23" t="str">
        <f>HYPERLINK("https://www.spark-marketing.ru/Card/Person/3668", "АДМИНИСТРАЦИЯ ГОРОДА РУБЦОВСКА")</f>
        <v>АДМИНИСТРАЦИЯ ГОРОДА РУБЦОВСКА</v>
      </c>
      <c r="B4437" s="24" t="s">
        <v>6302</v>
      </c>
      <c r="C4437" s="25">
        <v>732000</v>
      </c>
      <c r="D4437" s="22" t="s">
        <v>6303</v>
      </c>
      <c r="E4437" s="22" t="s">
        <v>376</v>
      </c>
      <c r="F4437" s="23" t="str">
        <f>HYPERLINK("https://www.spark-marketing.ru/Card/Lot/72053276", "Приобретение и установка светофорных объектов на территории города Рубцовска в 2019 году.")</f>
        <v>Приобретение и установка светофорных объектов на территории города Рубцовска в 2019 году.</v>
      </c>
      <c r="G4437" s="22" t="s">
        <v>428</v>
      </c>
      <c r="H4437" s="22" t="s">
        <v>6304</v>
      </c>
      <c r="I4437" s="26">
        <v>43658.485347222202</v>
      </c>
      <c r="J4437" s="28" t="s">
        <v>52</v>
      </c>
      <c r="K4437" s="28" t="s">
        <v>52</v>
      </c>
      <c r="L4437" s="28" t="s">
        <v>52</v>
      </c>
      <c r="M4437" s="28" t="s">
        <v>52</v>
      </c>
      <c r="N4437" s="28" t="s">
        <v>52</v>
      </c>
    </row>
    <row r="4438" spans="1:14" hidden="1" outlineLevel="1" x14ac:dyDescent="0.2">
      <c r="A4438" s="23" t="str">
        <f>HYPERLINK("https://www.spark-marketing.ru/Card/Person/3668", "АДМИНИСТРАЦИЯ ГОРОДА РУБЦОВСКА")</f>
        <v>АДМИНИСТРАЦИЯ ГОРОДА РУБЦОВСКА</v>
      </c>
      <c r="B4438" s="24" t="s">
        <v>6302</v>
      </c>
      <c r="C4438" s="25">
        <v>732000</v>
      </c>
      <c r="D4438" s="22" t="s">
        <v>6303</v>
      </c>
      <c r="E4438" s="22" t="s">
        <v>376</v>
      </c>
      <c r="F4438" s="23" t="str">
        <f>HYPERLINK("https://www.spark-marketing.ru/Card/Lot/72053276", "Приобретение и установка светофорных объектов на территории города Рубцовска в 2019 году.")</f>
        <v>Приобретение и установка светофорных объектов на территории города Рубцовска в 2019 году.</v>
      </c>
      <c r="G4438" s="22" t="s">
        <v>428</v>
      </c>
      <c r="H4438" s="22" t="s">
        <v>6304</v>
      </c>
      <c r="I4438" s="26">
        <v>43658.485347222202</v>
      </c>
      <c r="J4438" s="23" t="str">
        <f>HYPERLINK("https://www.spark-marketing.ru/Card/Person/249439", "ООО ""НАРУЖНАЯ РЕКЛАМА""")</f>
        <v>ООО "НАРУЖНАЯ РЕКЛАМА"</v>
      </c>
      <c r="K4438" s="24" t="s">
        <v>6305</v>
      </c>
      <c r="L4438" s="28" t="s">
        <v>52</v>
      </c>
      <c r="M4438" s="25">
        <v>680760</v>
      </c>
      <c r="N4438" s="27">
        <v>7.0000000000000007E-2</v>
      </c>
    </row>
    <row r="4439" spans="1:14" hidden="1" outlineLevel="1" x14ac:dyDescent="0.2">
      <c r="A4439" s="23" t="str">
        <f>HYPERLINK("https://www.spark-marketing.ru/Card/Person/3668", "АДМИНИСТРАЦИЯ ГОРОДА РУБЦОВСКА")</f>
        <v>АДМИНИСТРАЦИЯ ГОРОДА РУБЦОВСКА</v>
      </c>
      <c r="B4439" s="24" t="s">
        <v>6302</v>
      </c>
      <c r="C4439" s="25">
        <v>732000</v>
      </c>
      <c r="D4439" s="22" t="s">
        <v>6303</v>
      </c>
      <c r="E4439" s="22" t="s">
        <v>376</v>
      </c>
      <c r="F4439" s="23" t="str">
        <f>HYPERLINK("https://www.spark-marketing.ru/Card/Lot/72053276", "Приобретение и установка светофорных объектов на территории города Рубцовска в 2019 году.")</f>
        <v>Приобретение и установка светофорных объектов на территории города Рубцовска в 2019 году.</v>
      </c>
      <c r="G4439" s="22" t="s">
        <v>428</v>
      </c>
      <c r="H4439" s="22" t="s">
        <v>6304</v>
      </c>
      <c r="I4439" s="26">
        <v>43658.485347222202</v>
      </c>
      <c r="J4439" s="23" t="str">
        <f>HYPERLINK("https://www.spark-marketing.ru/Card/Person/6509697", "ООО ""АЛТАЙСВЕТСТРОЙ""")</f>
        <v>ООО "АЛТАЙСВЕТСТРОЙ"</v>
      </c>
      <c r="K4439" s="24" t="s">
        <v>6306</v>
      </c>
      <c r="L4439" s="28" t="s">
        <v>52</v>
      </c>
      <c r="M4439" s="25">
        <v>522680</v>
      </c>
      <c r="N4439" s="27">
        <v>0.28595628415300545</v>
      </c>
    </row>
    <row r="4440" spans="1:14" ht="12.75" hidden="1" outlineLevel="1" x14ac:dyDescent="0.2">
      <c r="A4440" s="23" t="str">
        <f>HYPERLINK("https://www.spark-marketing.ru/Card/Person/3668", "АДМИНИСТРАЦИЯ ГОРОДА РУБЦОВСКА")</f>
        <v>АДМИНИСТРАЦИЯ ГОРОДА РУБЦОВСКА</v>
      </c>
      <c r="B4440" s="24" t="s">
        <v>6302</v>
      </c>
      <c r="C4440" s="25">
        <v>732000</v>
      </c>
      <c r="D4440" s="22" t="s">
        <v>6303</v>
      </c>
      <c r="E4440" s="22" t="s">
        <v>376</v>
      </c>
      <c r="F4440" s="23" t="str">
        <f>HYPERLINK("https://www.spark-marketing.ru/Card/Lot/72053276", "Приобретение и установка светофорных объектов на территории города Рубцовска в 2019 году.")</f>
        <v>Приобретение и установка светофорных объектов на территории города Рубцовска в 2019 году.</v>
      </c>
      <c r="G4440" s="22" t="s">
        <v>428</v>
      </c>
      <c r="H4440" s="22" t="s">
        <v>6304</v>
      </c>
      <c r="I4440" s="26">
        <v>43658.485347222202</v>
      </c>
      <c r="J4440" s="23" t="str">
        <f>HYPERLINK("https://www.spark-marketing.ru/Card/Person/5913698", "ООО ""ПРОМЕТЕЙ""")</f>
        <v>ООО "ПРОМЕТЕЙ"</v>
      </c>
      <c r="K4440" s="24" t="s">
        <v>6307</v>
      </c>
      <c r="L4440" s="22" t="s">
        <v>10</v>
      </c>
      <c r="M4440" s="25">
        <v>519020</v>
      </c>
      <c r="N4440" s="27">
        <v>0.29095628415300545</v>
      </c>
    </row>
    <row r="4441" spans="1:14" x14ac:dyDescent="0.15">
      <c r="A4441" s="23" t="str">
        <f>HYPERLINK("https://www.spark-marketing.ru/Card/Person/22772", "СПБ ГБУ ""ЦЕНТР СОДЕЙСТВИЯ СЕМЕЙНОМУ ВОСПИТАНИЮ № 2""")</f>
        <v>СПБ ГБУ "ЦЕНТР СОДЕЙСТВИЯ СЕМЕЙНОМУ ВОСПИТАНИЮ № 2"</v>
      </c>
      <c r="B4441" s="24" t="s">
        <v>6308</v>
      </c>
      <c r="C4441" s="25">
        <v>3947013.91</v>
      </c>
      <c r="D4441" s="22" t="s">
        <v>6309</v>
      </c>
      <c r="E4441" s="22" t="s">
        <v>59</v>
      </c>
      <c r="F4441" s="23" t="str">
        <f>HYPERLINK("https://www.spark-marketing.ru/Card/Lot/72075640", "Выполнение работ первого этапа по установке системы видеонаблюдения в здании и на территории Санкт-Петербургского государственного бюджетного учреждения центра для детей-сирот и детей, оставшихся без попечения родителей ""Центр содействия семейному в...")</f>
        <v>Выполнение работ первого этапа по установке системы видеонаблюдения в здании и на территории Санкт-Петербургского государственного бюджетного учреждения центра для детей-сирот и детей, оставшихся без попечения родителей "Центр содействия семейному в...</v>
      </c>
      <c r="G4441" s="22" t="s">
        <v>89</v>
      </c>
      <c r="H4441" s="22" t="s">
        <v>89</v>
      </c>
      <c r="I4441" s="26">
        <v>43658.481215277803</v>
      </c>
      <c r="J4441" s="23" t="str">
        <f>HYPERLINK("https://www.spark-marketing.ru/Card/Person/4710714", "ООО ""СПМ""")</f>
        <v>ООО "СПМ"</v>
      </c>
      <c r="K4441" s="24" t="s">
        <v>6310</v>
      </c>
      <c r="L4441" s="28" t="s">
        <v>52</v>
      </c>
      <c r="M4441" s="28" t="s">
        <v>52</v>
      </c>
      <c r="N4441" s="28" t="s">
        <v>52</v>
      </c>
    </row>
    <row r="4442" spans="1:14" ht="12.75" hidden="1" outlineLevel="1" x14ac:dyDescent="0.2">
      <c r="A4442" s="23" t="str">
        <f>HYPERLINK("https://www.spark-marketing.ru/Card/Person/22772", "СПБ ГБУ ""ЦЕНТР СОДЕЙСТВИЯ СЕМЕЙНОМУ ВОСПИТАНИЮ № 2""")</f>
        <v>СПБ ГБУ "ЦЕНТР СОДЕЙСТВИЯ СЕМЕЙНОМУ ВОСПИТАНИЮ № 2"</v>
      </c>
      <c r="B4442" s="24" t="s">
        <v>6308</v>
      </c>
      <c r="C4442" s="25">
        <v>3947013.91</v>
      </c>
      <c r="D4442" s="22" t="s">
        <v>6309</v>
      </c>
      <c r="E4442" s="22" t="s">
        <v>59</v>
      </c>
      <c r="F4442" s="23" t="str">
        <f>HYPERLINK("https://www.spark-marketing.ru/Card/Lot/72075640", "Выполнение работ первого этапа по установке системы видеонаблюдения в здании и на территории Санкт-Петербургского государственного бюджетного учреждения центра для детей-сирот и детей, оставшихся без попечения родителей ""Центр содействия семейному в...")</f>
        <v>Выполнение работ первого этапа по установке системы видеонаблюдения в здании и на территории Санкт-Петербургского государственного бюджетного учреждения центра для детей-сирот и детей, оставшихся без попечения родителей "Центр содействия семейному в...</v>
      </c>
      <c r="G4442" s="22" t="s">
        <v>89</v>
      </c>
      <c r="H4442" s="22" t="s">
        <v>89</v>
      </c>
      <c r="I4442" s="26">
        <v>43658.481215277803</v>
      </c>
      <c r="J4442" s="23" t="str">
        <f>HYPERLINK("https://www.spark-marketing.ru/Card/Person/4710714", "ООО ""СПМ""")</f>
        <v>ООО "СПМ"</v>
      </c>
      <c r="K4442" s="24" t="s">
        <v>6310</v>
      </c>
      <c r="L4442" s="22" t="s">
        <v>10</v>
      </c>
      <c r="M4442" s="25">
        <v>3927278.84</v>
      </c>
      <c r="N4442" s="27">
        <v>5.0000001140102389E-3</v>
      </c>
    </row>
    <row r="4443" spans="1:14" x14ac:dyDescent="0.15">
      <c r="A4443" s="23" t="str">
        <f>HYPERLINK("https://www.spark-marketing.ru/Card/Person/1011361", "МЕЖРАЙОННАЯ ИФНС РОССИИ № 10 ПО КИРОВСКОЙ ОБЛАСТИ")</f>
        <v>МЕЖРАЙОННАЯ ИФНС РОССИИ № 10 ПО КИРОВСКОЙ ОБЛАСТИ</v>
      </c>
      <c r="B4443" s="24" t="s">
        <v>6311</v>
      </c>
      <c r="C4443" s="25">
        <v>6555.42</v>
      </c>
      <c r="D4443" s="22" t="s">
        <v>6312</v>
      </c>
      <c r="E4443" s="22" t="s">
        <v>53</v>
      </c>
      <c r="F4443" s="23" t="str">
        <f>HYPERLINK("https://www.spark-marketing.ru/Card/Lot/72056240", "Охрана объектов с помощью технических средств охраны и безопасности")</f>
        <v>Охрана объектов с помощью технических средств охраны и безопасности</v>
      </c>
      <c r="G4443" s="22" t="s">
        <v>556</v>
      </c>
      <c r="H4443" s="22" t="s">
        <v>6313</v>
      </c>
      <c r="I4443" s="26">
        <v>43658.430960648097</v>
      </c>
      <c r="J4443" s="28" t="s">
        <v>52</v>
      </c>
      <c r="K4443" s="28" t="s">
        <v>52</v>
      </c>
      <c r="L4443" s="28" t="s">
        <v>52</v>
      </c>
      <c r="M4443" s="28" t="s">
        <v>52</v>
      </c>
      <c r="N4443" s="28" t="s">
        <v>52</v>
      </c>
    </row>
    <row r="4444" spans="1:14" x14ac:dyDescent="0.15">
      <c r="A4444" s="23" t="str">
        <f>HYPERLINK("https://www.spark-marketing.ru/Card/Person/1011361", "МЕЖРАЙОННАЯ ИФНС РОССИИ № 10 ПО КИРОВСКОЙ ОБЛАСТИ")</f>
        <v>МЕЖРАЙОННАЯ ИФНС РОССИИ № 10 ПО КИРОВСКОЙ ОБЛАСТИ</v>
      </c>
      <c r="B4444" s="24" t="s">
        <v>6311</v>
      </c>
      <c r="C4444" s="25">
        <v>49809.9</v>
      </c>
      <c r="D4444" s="22" t="s">
        <v>6314</v>
      </c>
      <c r="E4444" s="22" t="s">
        <v>53</v>
      </c>
      <c r="F4444" s="23" t="str">
        <f>HYPERLINK("https://www.spark-marketing.ru/Card/Lot/72056441", "Централизованная охрана объектов и обособленных помещений с помощью технических средств охраны")</f>
        <v>Централизованная охрана объектов и обособленных помещений с помощью технических средств охраны</v>
      </c>
      <c r="G4444" s="22" t="s">
        <v>556</v>
      </c>
      <c r="H4444" s="22" t="s">
        <v>6313</v>
      </c>
      <c r="I4444" s="26">
        <v>43658.440486111103</v>
      </c>
      <c r="J4444" s="28" t="s">
        <v>52</v>
      </c>
      <c r="K4444" s="28" t="s">
        <v>52</v>
      </c>
      <c r="L4444" s="28" t="s">
        <v>52</v>
      </c>
      <c r="M4444" s="28" t="s">
        <v>52</v>
      </c>
      <c r="N4444" s="28" t="s">
        <v>52</v>
      </c>
    </row>
    <row r="4445" spans="1:14" x14ac:dyDescent="0.15">
      <c r="A4445" s="23" t="str">
        <f>HYPERLINK("https://www.spark-marketing.ru/Card/Person/1011361", "МЕЖРАЙОННАЯ ИФНС РОССИИ № 10 ПО КИРОВСКОЙ ОБЛАСТИ")</f>
        <v>МЕЖРАЙОННАЯ ИФНС РОССИИ № 10 ПО КИРОВСКОЙ ОБЛАСТИ</v>
      </c>
      <c r="B4445" s="24" t="s">
        <v>6311</v>
      </c>
      <c r="C4445" s="25">
        <v>29057.279999999999</v>
      </c>
      <c r="D4445" s="22" t="s">
        <v>6315</v>
      </c>
      <c r="E4445" s="22" t="s">
        <v>53</v>
      </c>
      <c r="F4445" s="23" t="str">
        <f>HYPERLINK("https://www.spark-marketing.ru/Card/Lot/72056228", "Обеспечние централизованной охраны объектов и обособленных помещений")</f>
        <v>Обеспечние централизованной охраны объектов и обособленных помещений</v>
      </c>
      <c r="G4445" s="22" t="s">
        <v>556</v>
      </c>
      <c r="H4445" s="22" t="s">
        <v>6313</v>
      </c>
      <c r="I4445" s="26">
        <v>43658.427071759303</v>
      </c>
      <c r="J4445" s="28" t="s">
        <v>52</v>
      </c>
      <c r="K4445" s="28" t="s">
        <v>52</v>
      </c>
      <c r="L4445" s="28" t="s">
        <v>52</v>
      </c>
      <c r="M4445" s="28" t="s">
        <v>52</v>
      </c>
      <c r="N4445" s="28" t="s">
        <v>52</v>
      </c>
    </row>
    <row r="4446" spans="1:14" x14ac:dyDescent="0.15">
      <c r="A4446" s="23" t="str">
        <f>HYPERLINK("https://www.spark-marketing.ru/Card/Person/1011361", "МЕЖРАЙОННАЯ ИФНС РОССИИ № 10 ПО КИРОВСКОЙ ОБЛАСТИ")</f>
        <v>МЕЖРАЙОННАЯ ИФНС РОССИИ № 10 ПО КИРОВСКОЙ ОБЛАСТИ</v>
      </c>
      <c r="B4446" s="24" t="s">
        <v>6311</v>
      </c>
      <c r="C4446" s="25">
        <v>12188.94</v>
      </c>
      <c r="D4446" s="22" t="s">
        <v>6316</v>
      </c>
      <c r="E4446" s="22" t="s">
        <v>53</v>
      </c>
      <c r="F4446" s="23" t="str">
        <f>HYPERLINK("https://www.spark-marketing.ru/Card/Lot/72056255", "Охрана объектов с помощью технических средств охраны и безопасности")</f>
        <v>Охрана объектов с помощью технических средств охраны и безопасности</v>
      </c>
      <c r="G4446" s="22" t="s">
        <v>556</v>
      </c>
      <c r="H4446" s="22" t="s">
        <v>6313</v>
      </c>
      <c r="I4446" s="26">
        <v>43658.4375462963</v>
      </c>
      <c r="J4446" s="28" t="s">
        <v>52</v>
      </c>
      <c r="K4446" s="28" t="s">
        <v>52</v>
      </c>
      <c r="L4446" s="28" t="s">
        <v>52</v>
      </c>
      <c r="M4446" s="28" t="s">
        <v>52</v>
      </c>
      <c r="N4446" s="28" t="s">
        <v>52</v>
      </c>
    </row>
    <row r="4447" spans="1:14" x14ac:dyDescent="0.15">
      <c r="A4447" s="23" t="str">
        <f>HYPERLINK("https://www.spark-marketing.ru/Card/Person/742531", "ГОСТРУДИНСПЕКЦИЯ В КАБАРДИНО-БАЛКАРСКОЙ РЕСПУБЛИКЕ")</f>
        <v>ГОСТРУДИНСПЕКЦИЯ В КАБАРДИНО-БАЛКАРСКОЙ РЕСПУБЛИКЕ</v>
      </c>
      <c r="B4447" s="24" t="s">
        <v>6317</v>
      </c>
      <c r="C4447" s="25">
        <v>500</v>
      </c>
      <c r="D4447" s="22" t="s">
        <v>6318</v>
      </c>
      <c r="E4447" s="22" t="s">
        <v>107</v>
      </c>
      <c r="F4447" s="23" t="str">
        <f>HYPERLINK("https://www.spark-marketing.ru/Card/Lot/72056177", "Техническое обслуживание видеодомофона, 1 мес")</f>
        <v>Техническое обслуживание видеодомофона, 1 мес</v>
      </c>
      <c r="G4447" s="22" t="s">
        <v>110</v>
      </c>
      <c r="H4447" s="22" t="s">
        <v>111</v>
      </c>
      <c r="I4447" s="26">
        <v>43658.457627314798</v>
      </c>
      <c r="J4447" s="28" t="s">
        <v>52</v>
      </c>
      <c r="K4447" s="28" t="s">
        <v>52</v>
      </c>
      <c r="L4447" s="28" t="s">
        <v>52</v>
      </c>
      <c r="M4447" s="28" t="s">
        <v>52</v>
      </c>
      <c r="N4447" s="28" t="s">
        <v>52</v>
      </c>
    </row>
    <row r="4448" spans="1:14" x14ac:dyDescent="0.15">
      <c r="A4448" s="23" t="str">
        <f>HYPERLINK("https://www.spark-marketing.ru/Card/Person/23018", "УПРАВЛЕНИЕ РОСПОТРЕБНАДЗОРА ПО НОВОСИБИРСКОЙ ОБЛАСТИ")</f>
        <v>УПРАВЛЕНИЕ РОСПОТРЕБНАДЗОРА ПО НОВОСИБИРСКОЙ ОБЛАСТИ</v>
      </c>
      <c r="B4448" s="24" t="s">
        <v>6319</v>
      </c>
      <c r="C4448" s="25">
        <v>52729.440000000002</v>
      </c>
      <c r="D4448" s="22" t="s">
        <v>6320</v>
      </c>
      <c r="E4448" s="22" t="s">
        <v>53</v>
      </c>
      <c r="F4448" s="23" t="str">
        <f>HYPERLINK("https://www.spark-marketing.ru/Card/Lot/72052822", "Услуги пультовой охраны, мониторинг систем охранной и аварийной сигнализации, 1 шт")</f>
        <v>Услуги пультовой охраны, мониторинг систем охранной и аварийной сигнализации, 1 шт</v>
      </c>
      <c r="G4448" s="22" t="s">
        <v>209</v>
      </c>
      <c r="H4448" s="22" t="s">
        <v>210</v>
      </c>
      <c r="I4448" s="26">
        <v>43658.380486111098</v>
      </c>
      <c r="J4448" s="28" t="s">
        <v>52</v>
      </c>
      <c r="K4448" s="28" t="s">
        <v>52</v>
      </c>
      <c r="L4448" s="28" t="s">
        <v>52</v>
      </c>
      <c r="M4448" s="28" t="s">
        <v>52</v>
      </c>
      <c r="N4448" s="28" t="s">
        <v>52</v>
      </c>
    </row>
    <row r="4449" spans="1:14" x14ac:dyDescent="0.15">
      <c r="A4449" s="23" t="str">
        <f>HYPERLINK("https://www.spark-marketing.ru/Card/Person/3925", "ГБПОУ РО ""ДПК""")</f>
        <v>ГБПОУ РО "ДПК"</v>
      </c>
      <c r="B4449" s="24" t="s">
        <v>6270</v>
      </c>
      <c r="C4449" s="25">
        <v>358000</v>
      </c>
      <c r="D4449" s="22" t="s">
        <v>6321</v>
      </c>
      <c r="E4449" s="22" t="s">
        <v>103</v>
      </c>
      <c r="F4449" s="23" t="str">
        <f>HYPERLINK("https://www.spark-marketing.ru/Card/Lot/72055311", "работы для нужд ГБПОУ РО «ДПК» по объекту: Дооборудование видеонаблюдения для ГБПОУ РО «ДПК» по адресу: г. Ростов-на-Дону, пр. Ленина,92. из материала исполнителя, с последующим обслуживанием.")</f>
        <v>работы для нужд ГБПОУ РО «ДПК» по объекту: Дооборудование видеонаблюдения для ГБПОУ РО «ДПК» по адресу: г. Ростов-на-Дону, пр. Ленина,92. из материала исполнителя, с последующим обслуживанием.</v>
      </c>
      <c r="G4449" s="22" t="s">
        <v>402</v>
      </c>
      <c r="H4449" s="22" t="s">
        <v>403</v>
      </c>
      <c r="I4449" s="26">
        <v>43658.399305555598</v>
      </c>
      <c r="J4449" s="28" t="s">
        <v>52</v>
      </c>
      <c r="K4449" s="28" t="s">
        <v>52</v>
      </c>
      <c r="L4449" s="28" t="s">
        <v>52</v>
      </c>
      <c r="M4449" s="28" t="s">
        <v>52</v>
      </c>
      <c r="N4449" s="28" t="s">
        <v>52</v>
      </c>
    </row>
    <row r="4450" spans="1:14" x14ac:dyDescent="0.15">
      <c r="A4450" s="23" t="str">
        <f>HYPERLINK("https://www.spark-marketing.ru/Card/Person/6684537", "ЗАКАЗЧИК С ПЛОЩАДКИ CISLINK")</f>
        <v>ЗАКАЗЧИК С ПЛОЩАДКИ CISLINK</v>
      </c>
      <c r="B4450" s="28" t="s">
        <v>52</v>
      </c>
      <c r="C4450" s="28" t="s">
        <v>52</v>
      </c>
      <c r="D4450" s="22" t="s">
        <v>6322</v>
      </c>
      <c r="E4450" s="22" t="s">
        <v>53</v>
      </c>
      <c r="F4450" s="23" t="str">
        <f>HYPERLINK("https://www.spark-marketing.ru/Card/Lot/72855347", "Монтаж охранной сигнализации и КТС. Оказание услуг по пультовой охране. (Этап 1)")</f>
        <v>Монтаж охранной сигнализации и КТС. Оказание услуг по пультовой охране. (Этап 1)</v>
      </c>
      <c r="G4450" s="22" t="s">
        <v>52</v>
      </c>
      <c r="H4450" s="22" t="s">
        <v>52</v>
      </c>
      <c r="I4450" s="26">
        <v>43658.3930555556</v>
      </c>
      <c r="J4450" s="28" t="s">
        <v>52</v>
      </c>
      <c r="K4450" s="28" t="s">
        <v>52</v>
      </c>
      <c r="L4450" s="28" t="s">
        <v>52</v>
      </c>
      <c r="M4450" s="28" t="s">
        <v>52</v>
      </c>
      <c r="N4450" s="28" t="s">
        <v>52</v>
      </c>
    </row>
    <row r="4451" spans="1:14" x14ac:dyDescent="0.15">
      <c r="A4451" s="23" t="str">
        <f>HYPERLINK("https://www.spark-marketing.ru/Card/Person/6624181", "ООО ""ИНТЕХХАУС""")</f>
        <v>ООО "ИНТЕХХАУС"</v>
      </c>
      <c r="B4451" s="24" t="s">
        <v>6323</v>
      </c>
      <c r="C4451" s="25">
        <v>750</v>
      </c>
      <c r="D4451" s="22" t="s">
        <v>6324</v>
      </c>
      <c r="E4451" s="22" t="s">
        <v>53</v>
      </c>
      <c r="F4451" s="23" t="str">
        <f>HYPERLINK("https://www.spark-marketing.ru/Card/Lot/72078763", "Установка микрофона")</f>
        <v>Установка микрофона</v>
      </c>
      <c r="G4451" s="22" t="s">
        <v>204</v>
      </c>
      <c r="H4451" s="22" t="s">
        <v>303</v>
      </c>
      <c r="I4451" s="26">
        <v>43658.354988425897</v>
      </c>
      <c r="J4451" s="28" t="s">
        <v>52</v>
      </c>
      <c r="K4451" s="28" t="s">
        <v>52</v>
      </c>
      <c r="L4451" s="28" t="s">
        <v>52</v>
      </c>
      <c r="M4451" s="28" t="s">
        <v>52</v>
      </c>
      <c r="N4451" s="28" t="s">
        <v>52</v>
      </c>
    </row>
    <row r="4452" spans="1:14" x14ac:dyDescent="0.15">
      <c r="A4452" s="23" t="str">
        <f>HYPERLINK("https://www.spark-marketing.ru/Card/Person/4354773", "КГБПОУ ""КАНСКИЙ ТЕХНОЛОГИЧЕСКИЙ КОЛЛЕДЖ""")</f>
        <v>КГБПОУ "КАНСКИЙ ТЕХНОЛОГИЧЕСКИЙ КОЛЛЕДЖ"</v>
      </c>
      <c r="B4452" s="24" t="s">
        <v>6325</v>
      </c>
      <c r="C4452" s="25">
        <v>567835.19999999995</v>
      </c>
      <c r="D4452" s="22" t="s">
        <v>6326</v>
      </c>
      <c r="E4452" s="22" t="s">
        <v>194</v>
      </c>
      <c r="F4452" s="23" t="str">
        <f>HYPERLINK("https://www.spark-marketing.ru/Card/Lot/72050924", "№ ЭА 44864/19 «Поставка системы видеонаблюдения с установкой и введением в эксплуатацию для нужд КГБПОУ ""Канский технологический колледж"" субъектами малого предпринимательства, социально ориентированными некоммерческими организациями»")</f>
        <v>№ ЭА 44864/19 «Поставка системы видеонаблюдения с установкой и введением в эксплуатацию для нужд КГБПОУ "Канский технологический колледж" субъектами малого предпринимательства, социально ориентированными некоммерческими организациями»</v>
      </c>
      <c r="G4452" s="22" t="s">
        <v>640</v>
      </c>
      <c r="H4452" s="22" t="s">
        <v>6327</v>
      </c>
      <c r="I4452" s="26">
        <v>43658.3511574074</v>
      </c>
      <c r="J4452" s="28" t="s">
        <v>52</v>
      </c>
      <c r="K4452" s="28" t="s">
        <v>52</v>
      </c>
      <c r="L4452" s="28" t="s">
        <v>52</v>
      </c>
      <c r="M4452" s="28" t="s">
        <v>52</v>
      </c>
      <c r="N4452" s="28" t="s">
        <v>52</v>
      </c>
    </row>
    <row r="4453" spans="1:14" ht="12.75" hidden="1" outlineLevel="1" x14ac:dyDescent="0.2">
      <c r="A4453" s="23" t="str">
        <f>HYPERLINK("https://www.spark-marketing.ru/Card/Person/4354773", "КГБПОУ ""КАНСКИЙ ТЕХНОЛОГИЧЕСКИЙ КОЛЛЕДЖ""")</f>
        <v>КГБПОУ "КАНСКИЙ ТЕХНОЛОГИЧЕСКИЙ КОЛЛЕДЖ"</v>
      </c>
      <c r="B4453" s="24" t="s">
        <v>6325</v>
      </c>
      <c r="C4453" s="25">
        <v>567835.19999999995</v>
      </c>
      <c r="D4453" s="22" t="s">
        <v>6326</v>
      </c>
      <c r="E4453" s="22" t="s">
        <v>194</v>
      </c>
      <c r="F4453" s="23" t="str">
        <f>HYPERLINK("https://www.spark-marketing.ru/Card/Lot/72050924", "№ ЭА 44864/19 «Поставка системы видеонаблюдения с установкой и введением в эксплуатацию для нужд КГБПОУ ""Канский технологический колледж"" субъектами малого предпринимательства, социально ориентированными некоммерческими организациями»")</f>
        <v>№ ЭА 44864/19 «Поставка системы видеонаблюдения с установкой и введением в эксплуатацию для нужд КГБПОУ "Канский технологический колледж" субъектами малого предпринимательства, социально ориентированными некоммерческими организациями»</v>
      </c>
      <c r="G4453" s="22" t="s">
        <v>640</v>
      </c>
      <c r="H4453" s="22" t="s">
        <v>6327</v>
      </c>
      <c r="I4453" s="26">
        <v>43658.3511574074</v>
      </c>
      <c r="J4453" s="23" t="str">
        <f>HYPERLINK("https://www.spark-marketing.ru/Card/Person/6307069", "ООО ""ВИДЕО ГОРИЗОНТ""")</f>
        <v>ООО "ВИДЕО ГОРИЗОНТ"</v>
      </c>
      <c r="K4453" s="24" t="s">
        <v>6328</v>
      </c>
      <c r="L4453" s="22" t="s">
        <v>10</v>
      </c>
      <c r="M4453" s="25">
        <v>279956.26</v>
      </c>
      <c r="N4453" s="27">
        <v>0.50697621422553585</v>
      </c>
    </row>
    <row r="4454" spans="1:14" hidden="1" outlineLevel="1" x14ac:dyDescent="0.2">
      <c r="A4454" s="23" t="str">
        <f>HYPERLINK("https://www.spark-marketing.ru/Card/Person/4354773", "КГБПОУ ""КАНСКИЙ ТЕХНОЛОГИЧЕСКИЙ КОЛЛЕДЖ""")</f>
        <v>КГБПОУ "КАНСКИЙ ТЕХНОЛОГИЧЕСКИЙ КОЛЛЕДЖ"</v>
      </c>
      <c r="B4454" s="24" t="s">
        <v>6325</v>
      </c>
      <c r="C4454" s="25">
        <v>567835.19999999995</v>
      </c>
      <c r="D4454" s="22" t="s">
        <v>6326</v>
      </c>
      <c r="E4454" s="22" t="s">
        <v>194</v>
      </c>
      <c r="F4454" s="23" t="str">
        <f>HYPERLINK("https://www.spark-marketing.ru/Card/Lot/72050924", "№ ЭА 44864/19 «Поставка системы видеонаблюдения с установкой и введением в эксплуатацию для нужд КГБПОУ ""Канский технологический колледж"" субъектами малого предпринимательства, социально ориентированными некоммерческими организациями»")</f>
        <v>№ ЭА 44864/19 «Поставка системы видеонаблюдения с установкой и введением в эксплуатацию для нужд КГБПОУ "Канский технологический колледж" субъектами малого предпринимательства, социально ориентированными некоммерческими организациями»</v>
      </c>
      <c r="G4454" s="22" t="s">
        <v>640</v>
      </c>
      <c r="H4454" s="22" t="s">
        <v>6327</v>
      </c>
      <c r="I4454" s="26">
        <v>43658.3511574074</v>
      </c>
      <c r="J4454" s="23" t="str">
        <f>HYPERLINK("https://www.spark-marketing.ru/Card/Person/6517497", "ООО ""ГРОУ""")</f>
        <v>ООО "ГРОУ"</v>
      </c>
      <c r="K4454" s="24" t="s">
        <v>4312</v>
      </c>
      <c r="L4454" s="28" t="s">
        <v>52</v>
      </c>
      <c r="M4454" s="25">
        <v>430432.8</v>
      </c>
      <c r="N4454" s="27">
        <v>0.24197584087777579</v>
      </c>
    </row>
    <row r="4455" spans="1:14" hidden="1" outlineLevel="1" x14ac:dyDescent="0.2">
      <c r="A4455" s="23" t="str">
        <f>HYPERLINK("https://www.spark-marketing.ru/Card/Person/4354773", "КГБПОУ ""КАНСКИЙ ТЕХНОЛОГИЧЕСКИЙ КОЛЛЕДЖ""")</f>
        <v>КГБПОУ "КАНСКИЙ ТЕХНОЛОГИЧЕСКИЙ КОЛЛЕДЖ"</v>
      </c>
      <c r="B4455" s="24" t="s">
        <v>6325</v>
      </c>
      <c r="C4455" s="25">
        <v>567835.19999999995</v>
      </c>
      <c r="D4455" s="22" t="s">
        <v>6326</v>
      </c>
      <c r="E4455" s="22" t="s">
        <v>194</v>
      </c>
      <c r="F4455" s="23" t="str">
        <f>HYPERLINK("https://www.spark-marketing.ru/Card/Lot/72050924", "№ ЭА 44864/19 «Поставка системы видеонаблюдения с установкой и введением в эксплуатацию для нужд КГБПОУ ""Канский технологический колледж"" субъектами малого предпринимательства, социально ориентированными некоммерческими организациями»")</f>
        <v>№ ЭА 44864/19 «Поставка системы видеонаблюдения с установкой и введением в эксплуатацию для нужд КГБПОУ "Канский технологический колледж" субъектами малого предпринимательства, социально ориентированными некоммерческими организациями»</v>
      </c>
      <c r="G4455" s="22" t="s">
        <v>640</v>
      </c>
      <c r="H4455" s="22" t="s">
        <v>6327</v>
      </c>
      <c r="I4455" s="26">
        <v>43658.3511574074</v>
      </c>
      <c r="J4455" s="23" t="str">
        <f>HYPERLINK("https://www.spark-marketing.ru/Card/Person/2121217", "ООО ""ГК ФОРТОН""")</f>
        <v>ООО "ГК ФОРТОН"</v>
      </c>
      <c r="K4455" s="24" t="s">
        <v>6329</v>
      </c>
      <c r="L4455" s="28" t="s">
        <v>52</v>
      </c>
      <c r="M4455" s="25">
        <v>402041</v>
      </c>
      <c r="N4455" s="27">
        <v>0.2919759113207494</v>
      </c>
    </row>
    <row r="4456" spans="1:14" hidden="1" outlineLevel="1" x14ac:dyDescent="0.2">
      <c r="A4456" s="23" t="str">
        <f>HYPERLINK("https://www.spark-marketing.ru/Card/Person/4354773", "КГБПОУ ""КАНСКИЙ ТЕХНОЛОГИЧЕСКИЙ КОЛЛЕДЖ""")</f>
        <v>КГБПОУ "КАНСКИЙ ТЕХНОЛОГИЧЕСКИЙ КОЛЛЕДЖ"</v>
      </c>
      <c r="B4456" s="24" t="s">
        <v>6325</v>
      </c>
      <c r="C4456" s="25">
        <v>567835.19999999995</v>
      </c>
      <c r="D4456" s="22" t="s">
        <v>6326</v>
      </c>
      <c r="E4456" s="22" t="s">
        <v>194</v>
      </c>
      <c r="F4456" s="23" t="str">
        <f>HYPERLINK("https://www.spark-marketing.ru/Card/Lot/72050924", "№ ЭА 44864/19 «Поставка системы видеонаблюдения с установкой и введением в эксплуатацию для нужд КГБПОУ ""Канский технологический колледж"" субъектами малого предпринимательства, социально ориентированными некоммерческими организациями»")</f>
        <v>№ ЭА 44864/19 «Поставка системы видеонаблюдения с установкой и введением в эксплуатацию для нужд КГБПОУ "Канский технологический колледж" субъектами малого предпринимательства, социально ориентированными некоммерческими организациями»</v>
      </c>
      <c r="G4456" s="22" t="s">
        <v>640</v>
      </c>
      <c r="H4456" s="22" t="s">
        <v>6327</v>
      </c>
      <c r="I4456" s="26">
        <v>43658.3511574074</v>
      </c>
      <c r="J4456" s="23" t="str">
        <f>HYPERLINK("https://www.spark-marketing.ru/Card/Person/455161", "ООО ""ЭЛМА""")</f>
        <v>ООО "ЭЛМА"</v>
      </c>
      <c r="K4456" s="24" t="s">
        <v>6330</v>
      </c>
      <c r="L4456" s="28" t="s">
        <v>52</v>
      </c>
      <c r="M4456" s="25">
        <v>282795.44</v>
      </c>
      <c r="N4456" s="27">
        <v>0.50197620718123848</v>
      </c>
    </row>
    <row r="4457" spans="1:14" x14ac:dyDescent="0.15">
      <c r="A4457" s="23" t="str">
        <f>HYPERLINK("https://www.spark-marketing.ru/Card/Person/4989", "ОМВД РОССИИ ПО АЛТАЙСКОМУ РАЙОНУ")</f>
        <v>ОМВД РОССИИ ПО АЛТАЙСКОМУ РАЙОНУ</v>
      </c>
      <c r="B4457" s="24" t="s">
        <v>3101</v>
      </c>
      <c r="C4457" s="25">
        <v>60400</v>
      </c>
      <c r="D4457" s="22" t="s">
        <v>6331</v>
      </c>
      <c r="E4457" s="22" t="s">
        <v>107</v>
      </c>
      <c r="F4457" s="23" t="str">
        <f>HYPERLINK("https://www.spark-marketing.ru/Card/Lot/72051781", "Техническое обслуживание средств ОС, ОПС, ТС, видеонаблюдения и СКУД, 1 шт")</f>
        <v>Техническое обслуживание средств ОС, ОПС, ТС, видеонаблюдения и СКУД, 1 шт</v>
      </c>
      <c r="G4457" s="22" t="s">
        <v>1041</v>
      </c>
      <c r="H4457" s="22" t="s">
        <v>3520</v>
      </c>
      <c r="I4457" s="26">
        <v>43658.333495370403</v>
      </c>
      <c r="J4457" s="28" t="s">
        <v>52</v>
      </c>
      <c r="K4457" s="28" t="s">
        <v>52</v>
      </c>
      <c r="L4457" s="28" t="s">
        <v>52</v>
      </c>
      <c r="M4457" s="28" t="s">
        <v>52</v>
      </c>
      <c r="N4457" s="28" t="s">
        <v>52</v>
      </c>
    </row>
    <row r="4458" spans="1:14" x14ac:dyDescent="0.15">
      <c r="A4458" s="23" t="str">
        <f>HYPERLINK("https://www.spark-marketing.ru/Card/Person/4343850", "ГУ ""ГУДХОО""")</f>
        <v>ГУ "ГУДХОО"</v>
      </c>
      <c r="B4458" s="24" t="s">
        <v>6332</v>
      </c>
      <c r="C4458" s="25">
        <v>15811200</v>
      </c>
      <c r="D4458" s="22" t="s">
        <v>6333</v>
      </c>
      <c r="E4458" s="22" t="s">
        <v>68</v>
      </c>
      <c r="F4458" s="23" t="str">
        <f>HYPERLINK("https://www.spark-marketing.ru/Card/Lot/72078003", "Выполнение работ по разработке планов обеспечения транспортной безопасности на объектах транспортной инфраструктуры от актов незаконного вмешательства в сфере дорожного хозяйства Оренбургской области")</f>
        <v>Выполнение работ по разработке планов обеспечения транспортной безопасности на объектах транспортной инфраструктуры от актов незаконного вмешательства в сфере дорожного хозяйства Оренбургской области</v>
      </c>
      <c r="G4458" s="22" t="s">
        <v>384</v>
      </c>
      <c r="H4458" s="22" t="s">
        <v>696</v>
      </c>
      <c r="I4458" s="26">
        <v>43658.317118055602</v>
      </c>
      <c r="J4458" s="28" t="s">
        <v>52</v>
      </c>
      <c r="K4458" s="28" t="s">
        <v>52</v>
      </c>
      <c r="L4458" s="28" t="s">
        <v>52</v>
      </c>
      <c r="M4458" s="28" t="s">
        <v>52</v>
      </c>
      <c r="N4458" s="28" t="s">
        <v>52</v>
      </c>
    </row>
    <row r="4459" spans="1:14" ht="12.75" hidden="1" outlineLevel="1" x14ac:dyDescent="0.2">
      <c r="A4459" s="23" t="str">
        <f>HYPERLINK("https://www.spark-marketing.ru/Card/Person/4343850", "ГУ ""ГУДХОО""")</f>
        <v>ГУ "ГУДХОО"</v>
      </c>
      <c r="B4459" s="24" t="s">
        <v>6332</v>
      </c>
      <c r="C4459" s="25">
        <v>15811200</v>
      </c>
      <c r="D4459" s="22" t="s">
        <v>6333</v>
      </c>
      <c r="E4459" s="22" t="s">
        <v>68</v>
      </c>
      <c r="F4459" s="23" t="str">
        <f>HYPERLINK("https://www.spark-marketing.ru/Card/Lot/72078003", "Выполнение работ по разработке планов обеспечения транспортной безопасности на объектах транспортной инфраструктуры от актов незаконного вмешательства в сфере дорожного хозяйства Оренбургской области")</f>
        <v>Выполнение работ по разработке планов обеспечения транспортной безопасности на объектах транспортной инфраструктуры от актов незаконного вмешательства в сфере дорожного хозяйства Оренбургской области</v>
      </c>
      <c r="G4459" s="22" t="s">
        <v>384</v>
      </c>
      <c r="H4459" s="22" t="s">
        <v>696</v>
      </c>
      <c r="I4459" s="26">
        <v>43658.317118055602</v>
      </c>
      <c r="J4459" s="23" t="str">
        <f>HYPERLINK("https://www.spark-marketing.ru/Card/Person/2038990", "ООО ""СТБ""")</f>
        <v>ООО "СТБ"</v>
      </c>
      <c r="K4459" s="24" t="s">
        <v>2244</v>
      </c>
      <c r="L4459" s="22" t="s">
        <v>10</v>
      </c>
      <c r="M4459" s="25">
        <v>15811000</v>
      </c>
      <c r="N4459" s="27">
        <v>1.2649261283141065E-5</v>
      </c>
    </row>
    <row r="4460" spans="1:14" hidden="1" outlineLevel="1" x14ac:dyDescent="0.2">
      <c r="A4460" s="23" t="str">
        <f>HYPERLINK("https://www.spark-marketing.ru/Card/Person/4343850", "ГУ ""ГУДХОО""")</f>
        <v>ГУ "ГУДХОО"</v>
      </c>
      <c r="B4460" s="24" t="s">
        <v>6332</v>
      </c>
      <c r="C4460" s="25">
        <v>15811200</v>
      </c>
      <c r="D4460" s="22" t="s">
        <v>6333</v>
      </c>
      <c r="E4460" s="22" t="s">
        <v>68</v>
      </c>
      <c r="F4460" s="23" t="str">
        <f>HYPERLINK("https://www.spark-marketing.ru/Card/Lot/72078003", "Выполнение работ по разработке планов обеспечения транспортной безопасности на объектах транспортной инфраструктуры от актов незаконного вмешательства в сфере дорожного хозяйства Оренбургской области")</f>
        <v>Выполнение работ по разработке планов обеспечения транспортной безопасности на объектах транспортной инфраструктуры от актов незаконного вмешательства в сфере дорожного хозяйства Оренбургской области</v>
      </c>
      <c r="G4460" s="22" t="s">
        <v>384</v>
      </c>
      <c r="H4460" s="22" t="s">
        <v>696</v>
      </c>
      <c r="I4460" s="26">
        <v>43658.317118055602</v>
      </c>
      <c r="J4460" s="23" t="str">
        <f>HYPERLINK("https://www.spark-marketing.ru/Card/Person/81571", "ООО ""СО ""АНТИТЕРРОР""")</f>
        <v>ООО "СО "АНТИТЕРРОР"</v>
      </c>
      <c r="K4460" s="24" t="s">
        <v>3384</v>
      </c>
      <c r="L4460" s="28" t="s">
        <v>52</v>
      </c>
      <c r="M4460" s="25">
        <v>15811200</v>
      </c>
      <c r="N4460" s="27">
        <v>0</v>
      </c>
    </row>
    <row r="4461" spans="1:14" x14ac:dyDescent="0.15">
      <c r="A4461" s="23" t="str">
        <f>HYPERLINK("https://www.spark-marketing.ru/Card/Person/1036250", "КГКУ ДЕТСКИЙ ДОМ 27")</f>
        <v>КГКУ ДЕТСКИЙ ДОМ 27</v>
      </c>
      <c r="B4461" s="24" t="s">
        <v>6334</v>
      </c>
      <c r="C4461" s="25">
        <v>169849</v>
      </c>
      <c r="D4461" s="22" t="s">
        <v>6335</v>
      </c>
      <c r="E4461" s="22" t="s">
        <v>84</v>
      </c>
      <c r="F4461" s="23" t="str">
        <f>HYPERLINK("https://www.spark-marketing.ru/Card/Lot/72049055", "Монтаж, установка, сборка систем охранного видеонаблюдения, 2 шт")</f>
        <v>Монтаж, установка, сборка систем охранного видеонаблюдения, 2 шт</v>
      </c>
      <c r="G4461" s="22" t="s">
        <v>138</v>
      </c>
      <c r="H4461" s="22" t="s">
        <v>6336</v>
      </c>
      <c r="I4461" s="26">
        <v>43658.076990740701</v>
      </c>
      <c r="J4461" s="28" t="s">
        <v>52</v>
      </c>
      <c r="K4461" s="28" t="s">
        <v>52</v>
      </c>
      <c r="L4461" s="28" t="s">
        <v>52</v>
      </c>
      <c r="M4461" s="28" t="s">
        <v>52</v>
      </c>
      <c r="N4461" s="28" t="s">
        <v>52</v>
      </c>
    </row>
    <row r="4462" spans="1:14" x14ac:dyDescent="0.15">
      <c r="A4462" s="23" t="str">
        <f>HYPERLINK("https://www.spark-marketing.ru/Card/Person/5898201", "ЗАО ГОРОДСКОЕ ОСВЕЩЕНИЕ")</f>
        <v>ЗАО ГОРОДСКОЕ ОСВЕЩЕНИЕ</v>
      </c>
      <c r="B4462" s="28" t="s">
        <v>52</v>
      </c>
      <c r="C4462" s="28" t="s">
        <v>52</v>
      </c>
      <c r="D4462" s="28" t="s">
        <v>52</v>
      </c>
      <c r="E4462" s="22" t="s">
        <v>53</v>
      </c>
      <c r="F4462" s="23" t="str">
        <f>HYPERLINK("https://www.spark-marketing.ru/Card/Lot/72052080", "Извещение № ОС057 от «12» июля 2019 года. о проведении Открытый запрос предложений на право заключения договора на услуги по охране объекта: «Строительная площадка «Котельная в квартале В-5» г. Нижневартовск».")</f>
        <v>Извещение № ОС057 от «12» июля 2019 года. о проведении Открытый запрос предложений на право заключения договора на услуги по охране объекта: «Строительная площадка «Котельная в квартале В-5» г. Нижневартовск».</v>
      </c>
      <c r="G4462" s="22" t="s">
        <v>52</v>
      </c>
      <c r="H4462" s="22" t="s">
        <v>52</v>
      </c>
      <c r="I4462" s="26">
        <v>43658</v>
      </c>
      <c r="J4462" s="28" t="s">
        <v>52</v>
      </c>
      <c r="K4462" s="28" t="s">
        <v>52</v>
      </c>
      <c r="L4462" s="28" t="s">
        <v>52</v>
      </c>
      <c r="M4462" s="28" t="s">
        <v>52</v>
      </c>
      <c r="N4462" s="28" t="s">
        <v>52</v>
      </c>
    </row>
    <row r="4463" spans="1:14" x14ac:dyDescent="0.15">
      <c r="A4463" s="23" t="str">
        <f>HYPERLINK("https://www.spark-marketing.ru/Card/Person/6450322", "ЗАКАЗЧИК РП БЕЛАРУСЬ")</f>
        <v>ЗАКАЗЧИК РП БЕЛАРУСЬ</v>
      </c>
      <c r="B4463" s="28" t="s">
        <v>52</v>
      </c>
      <c r="C4463" s="25">
        <v>1579969.8</v>
      </c>
      <c r="D4463" s="22" t="s">
        <v>6337</v>
      </c>
      <c r="E4463" s="22" t="s">
        <v>53</v>
      </c>
      <c r="F4463" s="23" t="str">
        <f>HYPERLINK("https://www.spark-marketing.ru/Card/Lot/72068804", "Услуги по переоборудованию автомобилей для аварийной газовой службы на базе УАЗ-236324 в количестве 4-х единиц. Перечень выполняемых работ 1. Нанесение специальной цветографической окраски и надписей на автомобиль в соответствии с СТБ 1738-2007 «Тран...")</f>
        <v>Услуги по переоборудованию автомобилей для аварийной газовой службы на базе УАЗ-236324 в количестве 4-х единиц. Перечень выполняемых работ 1. Нанесение специальной цветографической окраски и надписей на автомобиль в соответствии с СТБ 1738-2007 «Тран...</v>
      </c>
      <c r="G4463" s="22" t="s">
        <v>52</v>
      </c>
      <c r="H4463" s="22" t="s">
        <v>52</v>
      </c>
      <c r="I4463" s="26">
        <v>43658</v>
      </c>
      <c r="J4463" s="28" t="s">
        <v>52</v>
      </c>
      <c r="K4463" s="28" t="s">
        <v>52</v>
      </c>
      <c r="L4463" s="28" t="s">
        <v>52</v>
      </c>
      <c r="M4463" s="28" t="s">
        <v>52</v>
      </c>
      <c r="N4463" s="28" t="s">
        <v>52</v>
      </c>
    </row>
    <row r="4464" spans="1:14" x14ac:dyDescent="0.15">
      <c r="A4464" s="23" t="str">
        <f>HYPERLINK("https://www.spark-marketing.ru/Card/Person/874381", "ГБУ СО КК ""НОВОРОССИЙСКИЙ ДИПИ""")</f>
        <v>ГБУ СО КК "НОВОРОССИЙСКИЙ ДИПИ"</v>
      </c>
      <c r="B4464" s="24" t="s">
        <v>6338</v>
      </c>
      <c r="C4464" s="25">
        <v>63833.3</v>
      </c>
      <c r="D4464" s="22" t="s">
        <v>6339</v>
      </c>
      <c r="E4464" s="22" t="s">
        <v>370</v>
      </c>
      <c r="F4464" s="23" t="str">
        <f>HYPERLINK("https://www.spark-marketing.ru/Card/Lot/72045614", "Техническое обслуживание системы видеонаблюдения")</f>
        <v>Техническое обслуживание системы видеонаблюдения</v>
      </c>
      <c r="G4464" s="22" t="s">
        <v>132</v>
      </c>
      <c r="H4464" s="22" t="s">
        <v>132</v>
      </c>
      <c r="I4464" s="26">
        <v>43657.893935185202</v>
      </c>
      <c r="J4464" s="28" t="s">
        <v>52</v>
      </c>
      <c r="K4464" s="28" t="s">
        <v>52</v>
      </c>
      <c r="L4464" s="28" t="s">
        <v>52</v>
      </c>
      <c r="M4464" s="28" t="s">
        <v>52</v>
      </c>
      <c r="N4464" s="28" t="s">
        <v>52</v>
      </c>
    </row>
    <row r="4465" spans="1:14" x14ac:dyDescent="0.15">
      <c r="A4465" s="23" t="str">
        <f>HYPERLINK("https://www.spark-marketing.ru/Card/Person/4349131", "ОТДЕЛЕНИЕ МВД РОССИИ ПО ЧЕСМЕНСКОМУ РАЙОНУ ЧЕЛЯБИНСКОЙ ОБЛАСТИ")</f>
        <v>ОТДЕЛЕНИЕ МВД РОССИИ ПО ЧЕСМЕНСКОМУ РАЙОНУ ЧЕЛЯБИНСКОЙ ОБЛАСТИ</v>
      </c>
      <c r="B4465" s="24" t="s">
        <v>6340</v>
      </c>
      <c r="C4465" s="25">
        <v>41800</v>
      </c>
      <c r="D4465" s="22" t="s">
        <v>6341</v>
      </c>
      <c r="E4465" s="22" t="s">
        <v>294</v>
      </c>
      <c r="F4465" s="23" t="str">
        <f>HYPERLINK("https://www.spark-marketing.ru/Card/Lot/72044363", "техническое обслуживание установленной на территории ОМВД России по Чесменскому району Челябинской области системы видеонаблюдения")</f>
        <v>техническое обслуживание установленной на территории ОМВД России по Чесменскому району Челябинской области системы видеонаблюдения</v>
      </c>
      <c r="G4465" s="22" t="s">
        <v>60</v>
      </c>
      <c r="H4465" s="22" t="s">
        <v>60</v>
      </c>
      <c r="I4465" s="26">
        <v>43657.847997685203</v>
      </c>
      <c r="J4465" s="28" t="s">
        <v>52</v>
      </c>
      <c r="K4465" s="28" t="s">
        <v>52</v>
      </c>
      <c r="L4465" s="28" t="s">
        <v>52</v>
      </c>
      <c r="M4465" s="28" t="s">
        <v>52</v>
      </c>
      <c r="N4465" s="28" t="s">
        <v>52</v>
      </c>
    </row>
    <row r="4466" spans="1:14" x14ac:dyDescent="0.15">
      <c r="A4466" s="23" t="str">
        <f>HYPERLINK("https://www.spark-marketing.ru/Card/Person/1030816", "МДОУ ДЕТСКИЙ САД ОБЩЕРАЗВИВАЮЩЕГО ВИДА № 25 ""ЧЕБУРАШКА""")</f>
        <v>МДОУ ДЕТСКИЙ САД ОБЩЕРАЗВИВАЮЩЕГО ВИДА № 25 "ЧЕБУРАШКА"</v>
      </c>
      <c r="B4466" s="24" t="s">
        <v>736</v>
      </c>
      <c r="C4466" s="25">
        <v>72000</v>
      </c>
      <c r="D4466" s="22" t="s">
        <v>6342</v>
      </c>
      <c r="E4466" s="22" t="s">
        <v>84</v>
      </c>
      <c r="F4466" s="23" t="str">
        <f>HYPERLINK("https://www.spark-marketing.ru/Card/Lot/72044205", "Услуги по согласованию паспортов и мест размещения камер видеонаблюдения, установке и подключения оборудования системы видеонаблюдения в соответствии с общими техническими требованиями к системам видеонаблюдения технологического обеспечения региональ...")</f>
        <v>Услуги по согласованию паспортов и мест размещения камер видеонаблюдения, установке и подключения оборудования системы видеонаблюдения в соответствии с общими техническими требованиями к системам видеонаблюдения технологического обеспечения региональ...</v>
      </c>
      <c r="G4466" s="22" t="s">
        <v>50</v>
      </c>
      <c r="H4466" s="22" t="s">
        <v>738</v>
      </c>
      <c r="I4466" s="26">
        <v>43657.805740740703</v>
      </c>
      <c r="J4466" s="28" t="s">
        <v>52</v>
      </c>
      <c r="K4466" s="28" t="s">
        <v>52</v>
      </c>
      <c r="L4466" s="28" t="s">
        <v>52</v>
      </c>
      <c r="M4466" s="28" t="s">
        <v>52</v>
      </c>
      <c r="N4466" s="28" t="s">
        <v>52</v>
      </c>
    </row>
    <row r="4467" spans="1:14" x14ac:dyDescent="0.15">
      <c r="A4467" s="23" t="str">
        <f>HYPERLINK("https://www.spark-marketing.ru/Card/Person/1000614", "МДОУ ДЕТСКИЙ САД ОБЩЕРАЗВИВАЮЩЕГО ВИДА №16 ""БЕРЕЗКА""")</f>
        <v>МДОУ ДЕТСКИЙ САД ОБЩЕРАЗВИВАЮЩЕГО ВИДА №16 "БЕРЕЗКА"</v>
      </c>
      <c r="B4467" s="24" t="s">
        <v>6343</v>
      </c>
      <c r="C4467" s="25">
        <v>199000</v>
      </c>
      <c r="D4467" s="22" t="s">
        <v>6344</v>
      </c>
      <c r="E4467" s="22" t="s">
        <v>84</v>
      </c>
      <c r="F4467" s="23" t="str">
        <f>HYPERLINK("https://www.spark-marketing.ru/Card/Lot/72042849", "Услуги по согласованию паспортов и мест размещения камер видеонаблюдения, установке и подключения оборудования системы видеонаблюдения в соответствии с общими техническими требованиями к системам видеонаблюдения технологического обеспечения региональ...")</f>
        <v>Услуги по согласованию паспортов и мест размещения камер видеонаблюдения, установке и подключения оборудования системы видеонаблюдения в соответствии с общими техническими требованиями к системам видеонаблюдения технологического обеспечения региональ...</v>
      </c>
      <c r="G4467" s="22" t="s">
        <v>50</v>
      </c>
      <c r="H4467" s="22" t="s">
        <v>738</v>
      </c>
      <c r="I4467" s="26">
        <v>43657.794513888897</v>
      </c>
      <c r="J4467" s="28" t="s">
        <v>52</v>
      </c>
      <c r="K4467" s="28" t="s">
        <v>52</v>
      </c>
      <c r="L4467" s="28" t="s">
        <v>52</v>
      </c>
      <c r="M4467" s="28" t="s">
        <v>52</v>
      </c>
      <c r="N4467" s="28" t="s">
        <v>52</v>
      </c>
    </row>
    <row r="4468" spans="1:14" x14ac:dyDescent="0.15">
      <c r="A4468" s="23" t="str">
        <f>HYPERLINK("https://www.spark-marketing.ru/Card/Person/39965", "Поволжский банк ПАО Сбербанк")</f>
        <v>Поволжский банк ПАО Сбербанк</v>
      </c>
      <c r="B4468" s="24" t="s">
        <v>5406</v>
      </c>
      <c r="C4468" s="25">
        <v>143304480</v>
      </c>
      <c r="D4468" s="22" t="s">
        <v>6345</v>
      </c>
      <c r="E4468" s="22" t="s">
        <v>53</v>
      </c>
      <c r="F4468" s="23" t="str">
        <f>HYPERLINK("https://www.spark-marketing.ru/Card/Lot/72042887", "ЗП - 81018663 (оказание охранных услуг)")</f>
        <v>ЗП - 81018663 (оказание охранных услуг)</v>
      </c>
      <c r="G4468" s="22" t="s">
        <v>55</v>
      </c>
      <c r="H4468" s="22" t="s">
        <v>55</v>
      </c>
      <c r="I4468" s="26">
        <v>43657.769444444399</v>
      </c>
      <c r="J4468" s="28" t="s">
        <v>52</v>
      </c>
      <c r="K4468" s="28" t="s">
        <v>52</v>
      </c>
      <c r="L4468" s="28" t="s">
        <v>52</v>
      </c>
      <c r="M4468" s="28" t="s">
        <v>52</v>
      </c>
      <c r="N4468" s="28" t="s">
        <v>52</v>
      </c>
    </row>
    <row r="4469" spans="1:14" hidden="1" outlineLevel="1" x14ac:dyDescent="0.2">
      <c r="A4469" s="23" t="str">
        <f>HYPERLINK("https://www.spark-marketing.ru/Card/Person/39965", "Поволжский банк ПАО Сбербанк")</f>
        <v>Поволжский банк ПАО Сбербанк</v>
      </c>
      <c r="B4469" s="24" t="s">
        <v>5406</v>
      </c>
      <c r="C4469" s="25">
        <v>143304480</v>
      </c>
      <c r="D4469" s="22" t="s">
        <v>6345</v>
      </c>
      <c r="E4469" s="22" t="s">
        <v>53</v>
      </c>
      <c r="F4469" s="23" t="str">
        <f>HYPERLINK("https://www.spark-marketing.ru/Card/Lot/72042887", "ЗП - 81018663 (оказание охранных услуг)")</f>
        <v>ЗП - 81018663 (оказание охранных услуг)</v>
      </c>
      <c r="G4469" s="22" t="s">
        <v>55</v>
      </c>
      <c r="H4469" s="22" t="s">
        <v>55</v>
      </c>
      <c r="I4469" s="26">
        <v>43657.769444444399</v>
      </c>
      <c r="J4469" s="23" t="str">
        <f>HYPERLINK("https://www.spark-marketing.ru/Card/Person/236676", "ООО ""ЧОП ""БАЯРД-ПУЛЬТОВАЯ ОХРАНА""")</f>
        <v>ООО "ЧОП "БАЯРД-ПУЛЬТОВАЯ ОХРАНА"</v>
      </c>
      <c r="K4469" s="24" t="s">
        <v>6346</v>
      </c>
      <c r="L4469" s="28" t="s">
        <v>52</v>
      </c>
      <c r="M4469" s="25">
        <v>126626400</v>
      </c>
      <c r="N4469" s="27">
        <v>0.11638212566697147</v>
      </c>
    </row>
    <row r="4470" spans="1:14" ht="12.75" hidden="1" outlineLevel="1" x14ac:dyDescent="0.2">
      <c r="A4470" s="23" t="str">
        <f>HYPERLINK("https://www.spark-marketing.ru/Card/Person/39965", "Поволжский банк ПАО Сбербанк")</f>
        <v>Поволжский банк ПАО Сбербанк</v>
      </c>
      <c r="B4470" s="24" t="s">
        <v>5406</v>
      </c>
      <c r="C4470" s="25">
        <v>143304480</v>
      </c>
      <c r="D4470" s="22" t="s">
        <v>6345</v>
      </c>
      <c r="E4470" s="22" t="s">
        <v>53</v>
      </c>
      <c r="F4470" s="23" t="str">
        <f>HYPERLINK("https://www.spark-marketing.ru/Card/Lot/72042887", "ЗП - 81018663 (оказание охранных услуг)")</f>
        <v>ЗП - 81018663 (оказание охранных услуг)</v>
      </c>
      <c r="G4470" s="22" t="s">
        <v>55</v>
      </c>
      <c r="H4470" s="22" t="s">
        <v>55</v>
      </c>
      <c r="I4470" s="26">
        <v>43657.769444444399</v>
      </c>
      <c r="J4470" s="23" t="str">
        <f>HYPERLINK("https://www.spark-marketing.ru/Card/Person/1713756", "ООО ЧОО ""ГОЛЬФСТРИМ ОХРАННЫЕ СИСТЕМЫ""")</f>
        <v>ООО ЧОО "ГОЛЬФСТРИМ ОХРАННЫЕ СИСТЕМЫ"</v>
      </c>
      <c r="K4470" s="24" t="s">
        <v>6347</v>
      </c>
      <c r="L4470" s="22" t="s">
        <v>10</v>
      </c>
      <c r="M4470" s="25">
        <v>136797600</v>
      </c>
      <c r="N4470" s="27">
        <v>4.5405977538176059E-2</v>
      </c>
    </row>
    <row r="4471" spans="1:14" x14ac:dyDescent="0.15">
      <c r="A4471" s="23" t="str">
        <f>HYPERLINK("https://www.spark-marketing.ru/Card/Person/72753", "ГУП ЯНАО ""АЭРОПОРТ ТАРКО-САЛЕ""")</f>
        <v>ГУП ЯНАО "АЭРОПОРТ ТАРКО-САЛЕ"</v>
      </c>
      <c r="B4471" s="24" t="s">
        <v>6348</v>
      </c>
      <c r="C4471" s="25">
        <v>316000</v>
      </c>
      <c r="D4471" s="22" t="s">
        <v>6349</v>
      </c>
      <c r="E4471" s="22" t="s">
        <v>2577</v>
      </c>
      <c r="F4471" s="23" t="str">
        <f>HYPERLINK("https://www.spark-marketing.ru/Card/Lot/72036586", "Оказание услуг по внесению изменений (дополнений) в план обеспечения транспортной безопасности с разработкой организационно-распорядительных документов объекта транспортной инфраструктуры аэропорт Уренгой в соответствии с законодательством Российской...")</f>
        <v>Оказание услуг по внесению изменений (дополнений) в план обеспечения транспортной безопасности с разработкой организационно-распорядительных документов объекта транспортной инфраструктуры аэропорт Уренгой в соответствии с законодательством Российской...</v>
      </c>
      <c r="G4471" s="22" t="s">
        <v>311</v>
      </c>
      <c r="H4471" s="22" t="s">
        <v>311</v>
      </c>
      <c r="I4471" s="26">
        <v>43657.709837962997</v>
      </c>
      <c r="J4471" s="28" t="s">
        <v>52</v>
      </c>
      <c r="K4471" s="28" t="s">
        <v>52</v>
      </c>
      <c r="L4471" s="28" t="s">
        <v>52</v>
      </c>
      <c r="M4471" s="28" t="s">
        <v>52</v>
      </c>
      <c r="N4471" s="28" t="s">
        <v>52</v>
      </c>
    </row>
    <row r="4472" spans="1:14" x14ac:dyDescent="0.15">
      <c r="A4472" s="23" t="str">
        <f t="shared" ref="A4472:A4478" si="197">HYPERLINK("https://www.spark-marketing.ru/Card/Person/116239", "КОУ ""ПОРЕЦКИЙ ДЕТСКИЙ ДОМ ИМЕНИ И.Н. УЛЬЯНОВА"" МИНОБРАЗОВАНИЯ ЧУВАШИИ")</f>
        <v>КОУ "ПОРЕЦКИЙ ДЕТСКИЙ ДОМ ИМЕНИ И.Н. УЛЬЯНОВА" МИНОБРАЗОВАНИЯ ЧУВАШИИ</v>
      </c>
      <c r="B4472" s="24" t="s">
        <v>6350</v>
      </c>
      <c r="C4472" s="25">
        <v>662400</v>
      </c>
      <c r="D4472" s="22" t="s">
        <v>6351</v>
      </c>
      <c r="E4472" s="22" t="s">
        <v>52</v>
      </c>
      <c r="F4472" s="23" t="str">
        <f t="shared" ref="F4472:F4478" si="198">HYPERLINK("https://www.spark-marketing.ru/Card/Lot/72056422", "Услуги охраны")</f>
        <v>Услуги охраны</v>
      </c>
      <c r="G4472" s="22" t="s">
        <v>1137</v>
      </c>
      <c r="H4472" s="22" t="s">
        <v>1137</v>
      </c>
      <c r="I4472" s="26">
        <v>43657.734525462998</v>
      </c>
      <c r="J4472" s="28" t="s">
        <v>52</v>
      </c>
      <c r="K4472" s="28" t="s">
        <v>52</v>
      </c>
      <c r="L4472" s="28" t="s">
        <v>52</v>
      </c>
      <c r="M4472" s="28" t="s">
        <v>52</v>
      </c>
      <c r="N4472" s="28" t="s">
        <v>52</v>
      </c>
    </row>
    <row r="4473" spans="1:14" hidden="1" outlineLevel="1" x14ac:dyDescent="0.2">
      <c r="A4473" s="23" t="str">
        <f t="shared" si="197"/>
        <v>КОУ "ПОРЕЦКИЙ ДЕТСКИЙ ДОМ ИМЕНИ И.Н. УЛЬЯНОВА" МИНОБРАЗОВАНИЯ ЧУВАШИИ</v>
      </c>
      <c r="B4473" s="24" t="s">
        <v>6350</v>
      </c>
      <c r="C4473" s="25">
        <v>662400</v>
      </c>
      <c r="D4473" s="22" t="s">
        <v>6351</v>
      </c>
      <c r="E4473" s="22" t="s">
        <v>52</v>
      </c>
      <c r="F4473" s="23" t="str">
        <f t="shared" si="198"/>
        <v>Услуги охраны</v>
      </c>
      <c r="G4473" s="22" t="s">
        <v>1137</v>
      </c>
      <c r="H4473" s="22" t="s">
        <v>1137</v>
      </c>
      <c r="I4473" s="26">
        <v>43657.734525462998</v>
      </c>
      <c r="J4473" s="23" t="str">
        <f>HYPERLINK("https://www.spark-marketing.ru/Card/Person/93873", "ООО ""ЧОО ""ЩИТ-1""")</f>
        <v>ООО "ЧОО "ЩИТ-1"</v>
      </c>
      <c r="K4473" s="24" t="s">
        <v>6352</v>
      </c>
      <c r="L4473" s="28" t="s">
        <v>52</v>
      </c>
      <c r="M4473" s="25">
        <v>328544</v>
      </c>
      <c r="N4473" s="27">
        <v>0.5040096618357488</v>
      </c>
    </row>
    <row r="4474" spans="1:14" hidden="1" outlineLevel="1" x14ac:dyDescent="0.2">
      <c r="A4474" s="23" t="str">
        <f t="shared" si="197"/>
        <v>КОУ "ПОРЕЦКИЙ ДЕТСКИЙ ДОМ ИМЕНИ И.Н. УЛЬЯНОВА" МИНОБРАЗОВАНИЯ ЧУВАШИИ</v>
      </c>
      <c r="B4474" s="24" t="s">
        <v>6350</v>
      </c>
      <c r="C4474" s="25">
        <v>662400</v>
      </c>
      <c r="D4474" s="22" t="s">
        <v>6351</v>
      </c>
      <c r="E4474" s="22" t="s">
        <v>52</v>
      </c>
      <c r="F4474" s="23" t="str">
        <f t="shared" si="198"/>
        <v>Услуги охраны</v>
      </c>
      <c r="G4474" s="22" t="s">
        <v>1137</v>
      </c>
      <c r="H4474" s="22" t="s">
        <v>1137</v>
      </c>
      <c r="I4474" s="26">
        <v>43657.734525462998</v>
      </c>
      <c r="J4474" s="23" t="str">
        <f>HYPERLINK("https://www.spark-marketing.ru/Card/Person/456132", "ООО ""ЧОО ""АЛЬФА""")</f>
        <v>ООО "ЧОО "АЛЬФА"</v>
      </c>
      <c r="K4474" s="24" t="s">
        <v>6293</v>
      </c>
      <c r="L4474" s="28" t="s">
        <v>52</v>
      </c>
      <c r="M4474" s="25">
        <v>232496</v>
      </c>
      <c r="N4474" s="27">
        <v>0.64900966183574882</v>
      </c>
    </row>
    <row r="4475" spans="1:14" hidden="1" outlineLevel="1" x14ac:dyDescent="0.2">
      <c r="A4475" s="23" t="str">
        <f t="shared" si="197"/>
        <v>КОУ "ПОРЕЦКИЙ ДЕТСКИЙ ДОМ ИМЕНИ И.Н. УЛЬЯНОВА" МИНОБРАЗОВАНИЯ ЧУВАШИИ</v>
      </c>
      <c r="B4475" s="24" t="s">
        <v>6350</v>
      </c>
      <c r="C4475" s="25">
        <v>662400</v>
      </c>
      <c r="D4475" s="22" t="s">
        <v>6351</v>
      </c>
      <c r="E4475" s="22" t="s">
        <v>52</v>
      </c>
      <c r="F4475" s="23" t="str">
        <f t="shared" si="198"/>
        <v>Услуги охраны</v>
      </c>
      <c r="G4475" s="22" t="s">
        <v>1137</v>
      </c>
      <c r="H4475" s="22" t="s">
        <v>1137</v>
      </c>
      <c r="I4475" s="26">
        <v>43657.734525462998</v>
      </c>
      <c r="J4475" s="23" t="str">
        <f>HYPERLINK("https://www.spark-marketing.ru/Card/Person/6313190", "ООО ""ЧОО ""ТАЙПАН""""")</f>
        <v>ООО "ЧОО "ТАЙПАН""</v>
      </c>
      <c r="K4475" s="24" t="s">
        <v>6292</v>
      </c>
      <c r="L4475" s="28" t="s">
        <v>52</v>
      </c>
      <c r="M4475" s="25">
        <v>355040</v>
      </c>
      <c r="N4475" s="27">
        <v>0.46400966183574877</v>
      </c>
    </row>
    <row r="4476" spans="1:14" hidden="1" outlineLevel="1" x14ac:dyDescent="0.2">
      <c r="A4476" s="23" t="str">
        <f t="shared" si="197"/>
        <v>КОУ "ПОРЕЦКИЙ ДЕТСКИЙ ДОМ ИМЕНИ И.Н. УЛЬЯНОВА" МИНОБРАЗОВАНИЯ ЧУВАШИИ</v>
      </c>
      <c r="B4476" s="24" t="s">
        <v>6350</v>
      </c>
      <c r="C4476" s="25">
        <v>662400</v>
      </c>
      <c r="D4476" s="22" t="s">
        <v>6351</v>
      </c>
      <c r="E4476" s="22" t="s">
        <v>52</v>
      </c>
      <c r="F4476" s="23" t="str">
        <f t="shared" si="198"/>
        <v>Услуги охраны</v>
      </c>
      <c r="G4476" s="22" t="s">
        <v>1137</v>
      </c>
      <c r="H4476" s="22" t="s">
        <v>1137</v>
      </c>
      <c r="I4476" s="26">
        <v>43657.734525462998</v>
      </c>
      <c r="J4476" s="23" t="str">
        <f>HYPERLINK("https://www.spark-marketing.ru/Card/Person/63254", "ООО ЧОО ""ТАЙГА""")</f>
        <v>ООО ЧОО "ТАЙГА"</v>
      </c>
      <c r="K4476" s="24" t="s">
        <v>6353</v>
      </c>
      <c r="L4476" s="28" t="s">
        <v>52</v>
      </c>
      <c r="M4476" s="25">
        <v>225872</v>
      </c>
      <c r="N4476" s="27">
        <v>0.65900966183574883</v>
      </c>
    </row>
    <row r="4477" spans="1:14" hidden="1" outlineLevel="1" x14ac:dyDescent="0.2">
      <c r="A4477" s="23" t="str">
        <f t="shared" si="197"/>
        <v>КОУ "ПОРЕЦКИЙ ДЕТСКИЙ ДОМ ИМЕНИ И.Н. УЛЬЯНОВА" МИНОБРАЗОВАНИЯ ЧУВАШИИ</v>
      </c>
      <c r="B4477" s="24" t="s">
        <v>6350</v>
      </c>
      <c r="C4477" s="25">
        <v>662400</v>
      </c>
      <c r="D4477" s="22" t="s">
        <v>6351</v>
      </c>
      <c r="E4477" s="22" t="s">
        <v>52</v>
      </c>
      <c r="F4477" s="23" t="str">
        <f t="shared" si="198"/>
        <v>Услуги охраны</v>
      </c>
      <c r="G4477" s="22" t="s">
        <v>1137</v>
      </c>
      <c r="H4477" s="22" t="s">
        <v>1137</v>
      </c>
      <c r="I4477" s="26">
        <v>43657.734525462998</v>
      </c>
      <c r="J4477" s="23" t="str">
        <f>HYPERLINK("https://www.spark-marketing.ru/Card/Person/624671", "ООО ""ЧОО ""КАРАТ-М""")</f>
        <v>ООО "ЧОО "КАРАТ-М"</v>
      </c>
      <c r="K4477" s="24" t="s">
        <v>6354</v>
      </c>
      <c r="L4477" s="28" t="s">
        <v>52</v>
      </c>
      <c r="M4477" s="25">
        <v>659088</v>
      </c>
      <c r="N4477" s="27">
        <v>5.0000000000000001E-3</v>
      </c>
    </row>
    <row r="4478" spans="1:14" ht="12.75" hidden="1" outlineLevel="1" x14ac:dyDescent="0.2">
      <c r="A4478" s="23" t="str">
        <f t="shared" si="197"/>
        <v>КОУ "ПОРЕЦКИЙ ДЕТСКИЙ ДОМ ИМЕНИ И.Н. УЛЬЯНОВА" МИНОБРАЗОВАНИЯ ЧУВАШИИ</v>
      </c>
      <c r="B4478" s="24" t="s">
        <v>6350</v>
      </c>
      <c r="C4478" s="25">
        <v>662400</v>
      </c>
      <c r="D4478" s="22" t="s">
        <v>6351</v>
      </c>
      <c r="E4478" s="22" t="s">
        <v>52</v>
      </c>
      <c r="F4478" s="23" t="str">
        <f t="shared" si="198"/>
        <v>Услуги охраны</v>
      </c>
      <c r="G4478" s="22" t="s">
        <v>1137</v>
      </c>
      <c r="H4478" s="22" t="s">
        <v>1137</v>
      </c>
      <c r="I4478" s="26">
        <v>43657.734525462998</v>
      </c>
      <c r="J4478" s="23" t="str">
        <f>HYPERLINK("https://www.spark-marketing.ru/Card/Person/63695", "ООО ""ЧОО ""ПАНТЕРА""")</f>
        <v>ООО "ЧОО "ПАНТЕРА"</v>
      </c>
      <c r="K4478" s="24" t="s">
        <v>6355</v>
      </c>
      <c r="L4478" s="22" t="s">
        <v>10</v>
      </c>
      <c r="M4478" s="25">
        <v>222560</v>
      </c>
      <c r="N4478" s="27">
        <v>0.66400966183574883</v>
      </c>
    </row>
    <row r="4479" spans="1:14" x14ac:dyDescent="0.15">
      <c r="A4479" s="23" t="str">
        <f>HYPERLINK("https://www.spark-marketing.ru/Card/Person/45094", "МКУ ""УКС Г. ХАНТЫ-МАНСИЙСКА""")</f>
        <v>МКУ "УКС Г. ХАНТЫ-МАНСИЙСКА"</v>
      </c>
      <c r="B4479" s="24" t="s">
        <v>6356</v>
      </c>
      <c r="C4479" s="25">
        <v>360000</v>
      </c>
      <c r="D4479" s="22" t="s">
        <v>6357</v>
      </c>
      <c r="E4479" s="22" t="s">
        <v>1130</v>
      </c>
      <c r="F4479" s="23" t="str">
        <f>HYPERLINK("https://www.spark-marketing.ru/Card/Lot/72043064", "Оказание услуг по видеонаблюдению для охраны муниципального имущества")</f>
        <v>Оказание услуг по видеонаблюдению для охраны муниципального имущества</v>
      </c>
      <c r="G4479" s="22" t="s">
        <v>119</v>
      </c>
      <c r="H4479" s="22" t="s">
        <v>2563</v>
      </c>
      <c r="I4479" s="26">
        <v>43657.711111111101</v>
      </c>
      <c r="J4479" s="28" t="s">
        <v>52</v>
      </c>
      <c r="K4479" s="28" t="s">
        <v>52</v>
      </c>
      <c r="L4479" s="28" t="s">
        <v>52</v>
      </c>
      <c r="M4479" s="28" t="s">
        <v>52</v>
      </c>
      <c r="N4479" s="28" t="s">
        <v>52</v>
      </c>
    </row>
    <row r="4480" spans="1:14" ht="12.75" hidden="1" outlineLevel="1" x14ac:dyDescent="0.2">
      <c r="A4480" s="23" t="str">
        <f>HYPERLINK("https://www.spark-marketing.ru/Card/Person/45094", "МКУ ""УКС Г. ХАНТЫ-МАНСИЙСКА""")</f>
        <v>МКУ "УКС Г. ХАНТЫ-МАНСИЙСКА"</v>
      </c>
      <c r="B4480" s="24" t="s">
        <v>6356</v>
      </c>
      <c r="C4480" s="25">
        <v>360000</v>
      </c>
      <c r="D4480" s="22" t="s">
        <v>6357</v>
      </c>
      <c r="E4480" s="22" t="s">
        <v>1130</v>
      </c>
      <c r="F4480" s="23" t="str">
        <f>HYPERLINK("https://www.spark-marketing.ru/Card/Lot/72043064", "Оказание услуг по видеонаблюдению для охраны муниципального имущества")</f>
        <v>Оказание услуг по видеонаблюдению для охраны муниципального имущества</v>
      </c>
      <c r="G4480" s="22" t="s">
        <v>119</v>
      </c>
      <c r="H4480" s="22" t="s">
        <v>2563</v>
      </c>
      <c r="I4480" s="26">
        <v>43657.711111111101</v>
      </c>
      <c r="J4480" s="23" t="str">
        <f>HYPERLINK("https://www.spark-marketing.ru/Card/Person/10991", "ПАО ""РОСТЕЛЕКОМ""")</f>
        <v>ПАО "РОСТЕЛЕКОМ"</v>
      </c>
      <c r="K4480" s="24" t="s">
        <v>607</v>
      </c>
      <c r="L4480" s="22" t="s">
        <v>10</v>
      </c>
      <c r="M4480" s="25">
        <v>359900</v>
      </c>
      <c r="N4480" s="27">
        <v>2.7777777777777778E-4</v>
      </c>
    </row>
    <row r="4481" spans="1:14" hidden="1" outlineLevel="1" x14ac:dyDescent="0.2">
      <c r="A4481" s="23" t="str">
        <f>HYPERLINK("https://www.spark-marketing.ru/Card/Person/45094", "МКУ ""УКС Г. ХАНТЫ-МАНСИЙСКА""")</f>
        <v>МКУ "УКС Г. ХАНТЫ-МАНСИЙСКА"</v>
      </c>
      <c r="B4481" s="24" t="s">
        <v>6356</v>
      </c>
      <c r="C4481" s="25">
        <v>360000</v>
      </c>
      <c r="D4481" s="22" t="s">
        <v>6357</v>
      </c>
      <c r="E4481" s="22" t="s">
        <v>1130</v>
      </c>
      <c r="F4481" s="23" t="str">
        <f>HYPERLINK("https://www.spark-marketing.ru/Card/Lot/72043064", "Оказание услуг по видеонаблюдению для охраны муниципального имущества")</f>
        <v>Оказание услуг по видеонаблюдению для охраны муниципального имущества</v>
      </c>
      <c r="G4481" s="22" t="s">
        <v>119</v>
      </c>
      <c r="H4481" s="22" t="s">
        <v>2563</v>
      </c>
      <c r="I4481" s="26">
        <v>43657.711111111101</v>
      </c>
      <c r="J4481" s="23" t="str">
        <f>HYPERLINK("https://www.spark-marketing.ru/Card/Person/118050", "ООО ""БОСО""")</f>
        <v>ООО "БОСО"</v>
      </c>
      <c r="K4481" s="24" t="s">
        <v>6358</v>
      </c>
      <c r="L4481" s="28" t="s">
        <v>52</v>
      </c>
      <c r="M4481" s="25">
        <v>360000</v>
      </c>
      <c r="N4481" s="27">
        <v>0</v>
      </c>
    </row>
    <row r="4482" spans="1:14" x14ac:dyDescent="0.15">
      <c r="A4482" s="23" t="str">
        <f t="shared" ref="A4482:A4491" si="199">HYPERLINK("https://www.spark-marketing.ru/Card/Person/34858", "ТФОМС РС(Я)")</f>
        <v>ТФОМС РС(Я)</v>
      </c>
      <c r="B4482" s="24" t="s">
        <v>6359</v>
      </c>
      <c r="C4482" s="25">
        <v>149743.32999999999</v>
      </c>
      <c r="D4482" s="22" t="s">
        <v>6360</v>
      </c>
      <c r="E4482" s="22" t="s">
        <v>194</v>
      </c>
      <c r="F4482" s="23" t="str">
        <f t="shared" ref="F4482:F4491" si="200">HYPERLINK("https://www.spark-marketing.ru/Card/Lot/72029637", "Техническое обслуживание системы видеонаблюдения в ТФОМС РС(Я)")</f>
        <v>Техническое обслуживание системы видеонаблюдения в ТФОМС РС(Я)</v>
      </c>
      <c r="G4482" s="22" t="s">
        <v>424</v>
      </c>
      <c r="H4482" s="22" t="s">
        <v>1186</v>
      </c>
      <c r="I4482" s="26">
        <v>43657.667361111096</v>
      </c>
      <c r="J4482" s="28" t="s">
        <v>52</v>
      </c>
      <c r="K4482" s="28" t="s">
        <v>52</v>
      </c>
      <c r="L4482" s="28" t="s">
        <v>52</v>
      </c>
      <c r="M4482" s="28" t="s">
        <v>52</v>
      </c>
      <c r="N4482" s="28" t="s">
        <v>52</v>
      </c>
    </row>
    <row r="4483" spans="1:14" hidden="1" outlineLevel="1" x14ac:dyDescent="0.2">
      <c r="A4483" s="23" t="str">
        <f t="shared" si="199"/>
        <v>ТФОМС РС(Я)</v>
      </c>
      <c r="B4483" s="24" t="s">
        <v>6359</v>
      </c>
      <c r="C4483" s="25">
        <v>149743.32999999999</v>
      </c>
      <c r="D4483" s="22" t="s">
        <v>6360</v>
      </c>
      <c r="E4483" s="22" t="s">
        <v>194</v>
      </c>
      <c r="F4483" s="23" t="str">
        <f t="shared" si="200"/>
        <v>Техническое обслуживание системы видеонаблюдения в ТФОМС РС(Я)</v>
      </c>
      <c r="G4483" s="22" t="s">
        <v>424</v>
      </c>
      <c r="H4483" s="22" t="s">
        <v>1186</v>
      </c>
      <c r="I4483" s="26">
        <v>43657.667361111096</v>
      </c>
      <c r="J4483" s="23" t="str">
        <f>HYPERLINK("https://www.spark-marketing.ru/Card/Person/5853361", "ООО ""НОВА""")</f>
        <v>ООО "НОВА"</v>
      </c>
      <c r="K4483" s="24" t="s">
        <v>6361</v>
      </c>
      <c r="L4483" s="28" t="s">
        <v>52</v>
      </c>
      <c r="M4483" s="25">
        <v>72417.070000000007</v>
      </c>
      <c r="N4483" s="27">
        <v>0.51639201559094483</v>
      </c>
    </row>
    <row r="4484" spans="1:14" hidden="1" outlineLevel="1" x14ac:dyDescent="0.2">
      <c r="A4484" s="23" t="str">
        <f t="shared" si="199"/>
        <v>ТФОМС РС(Я)</v>
      </c>
      <c r="B4484" s="24" t="s">
        <v>6359</v>
      </c>
      <c r="C4484" s="25">
        <v>149743.32999999999</v>
      </c>
      <c r="D4484" s="22" t="s">
        <v>6360</v>
      </c>
      <c r="E4484" s="22" t="s">
        <v>194</v>
      </c>
      <c r="F4484" s="23" t="str">
        <f t="shared" si="200"/>
        <v>Техническое обслуживание системы видеонаблюдения в ТФОМС РС(Я)</v>
      </c>
      <c r="G4484" s="22" t="s">
        <v>424</v>
      </c>
      <c r="H4484" s="22" t="s">
        <v>1186</v>
      </c>
      <c r="I4484" s="26">
        <v>43657.667361111096</v>
      </c>
      <c r="J4484" s="23" t="str">
        <f>HYPERLINK("https://www.spark-marketing.ru/Card/Person/216089", "Михайлов Николай Николаевич")</f>
        <v>Михайлов Николай Николаевич</v>
      </c>
      <c r="K4484" s="24" t="s">
        <v>6362</v>
      </c>
      <c r="L4484" s="28" t="s">
        <v>52</v>
      </c>
      <c r="M4484" s="25">
        <v>131087.17000000001</v>
      </c>
      <c r="N4484" s="27">
        <v>0.12458758597127498</v>
      </c>
    </row>
    <row r="4485" spans="1:14" hidden="1" outlineLevel="1" x14ac:dyDescent="0.2">
      <c r="A4485" s="23" t="str">
        <f t="shared" si="199"/>
        <v>ТФОМС РС(Я)</v>
      </c>
      <c r="B4485" s="24" t="s">
        <v>6359</v>
      </c>
      <c r="C4485" s="25">
        <v>149743.32999999999</v>
      </c>
      <c r="D4485" s="22" t="s">
        <v>6360</v>
      </c>
      <c r="E4485" s="22" t="s">
        <v>194</v>
      </c>
      <c r="F4485" s="23" t="str">
        <f t="shared" si="200"/>
        <v>Техническое обслуживание системы видеонаблюдения в ТФОМС РС(Я)</v>
      </c>
      <c r="G4485" s="22" t="s">
        <v>424</v>
      </c>
      <c r="H4485" s="22" t="s">
        <v>1186</v>
      </c>
      <c r="I4485" s="26">
        <v>43657.667361111096</v>
      </c>
      <c r="J4485" s="23" t="str">
        <f>HYPERLINK("https://www.spark-marketing.ru/Card/Person/448975", "ООО ЧОО ""ФЕНИКС""")</f>
        <v>ООО ЧОО "ФЕНИКС"</v>
      </c>
      <c r="K4485" s="24" t="s">
        <v>6363</v>
      </c>
      <c r="L4485" s="28" t="s">
        <v>52</v>
      </c>
      <c r="M4485" s="25">
        <v>108116.23</v>
      </c>
      <c r="N4485" s="27">
        <v>0.27798967740332742</v>
      </c>
    </row>
    <row r="4486" spans="1:14" hidden="1" outlineLevel="1" x14ac:dyDescent="0.2">
      <c r="A4486" s="23" t="str">
        <f t="shared" si="199"/>
        <v>ТФОМС РС(Я)</v>
      </c>
      <c r="B4486" s="24" t="s">
        <v>6359</v>
      </c>
      <c r="C4486" s="25">
        <v>149743.32999999999</v>
      </c>
      <c r="D4486" s="22" t="s">
        <v>6360</v>
      </c>
      <c r="E4486" s="22" t="s">
        <v>194</v>
      </c>
      <c r="F4486" s="23" t="str">
        <f t="shared" si="200"/>
        <v>Техническое обслуживание системы видеонаблюдения в ТФОМС РС(Я)</v>
      </c>
      <c r="G4486" s="22" t="s">
        <v>424</v>
      </c>
      <c r="H4486" s="22" t="s">
        <v>1186</v>
      </c>
      <c r="I4486" s="26">
        <v>43657.667361111096</v>
      </c>
      <c r="J4486" s="23" t="str">
        <f>HYPERLINK("https://www.spark-marketing.ru/Card/Person/112165", "ООО ""САНАКЭТ""")</f>
        <v>ООО "САНАКЭТ"</v>
      </c>
      <c r="K4486" s="24" t="s">
        <v>6364</v>
      </c>
      <c r="L4486" s="28" t="s">
        <v>52</v>
      </c>
      <c r="M4486" s="25">
        <v>72417.070000000007</v>
      </c>
      <c r="N4486" s="27">
        <v>0.51639201559094483</v>
      </c>
    </row>
    <row r="4487" spans="1:14" hidden="1" outlineLevel="1" x14ac:dyDescent="0.2">
      <c r="A4487" s="23" t="str">
        <f t="shared" si="199"/>
        <v>ТФОМС РС(Я)</v>
      </c>
      <c r="B4487" s="24" t="s">
        <v>6359</v>
      </c>
      <c r="C4487" s="25">
        <v>149743.32999999999</v>
      </c>
      <c r="D4487" s="22" t="s">
        <v>6360</v>
      </c>
      <c r="E4487" s="22" t="s">
        <v>194</v>
      </c>
      <c r="F4487" s="23" t="str">
        <f t="shared" si="200"/>
        <v>Техническое обслуживание системы видеонаблюдения в ТФОМС РС(Я)</v>
      </c>
      <c r="G4487" s="22" t="s">
        <v>424</v>
      </c>
      <c r="H4487" s="22" t="s">
        <v>1186</v>
      </c>
      <c r="I4487" s="26">
        <v>43657.667361111096</v>
      </c>
      <c r="J4487" s="23" t="str">
        <f>HYPERLINK("https://www.spark-marketing.ru/Card/Person/450845", "ООО ""НИКОР""")</f>
        <v>ООО "НИКОР"</v>
      </c>
      <c r="K4487" s="24" t="s">
        <v>6365</v>
      </c>
      <c r="L4487" s="28" t="s">
        <v>52</v>
      </c>
      <c r="M4487" s="25">
        <v>30317.89</v>
      </c>
      <c r="N4487" s="27">
        <v>0.79753428750382405</v>
      </c>
    </row>
    <row r="4488" spans="1:14" hidden="1" outlineLevel="1" x14ac:dyDescent="0.2">
      <c r="A4488" s="23" t="str">
        <f t="shared" si="199"/>
        <v>ТФОМС РС(Я)</v>
      </c>
      <c r="B4488" s="24" t="s">
        <v>6359</v>
      </c>
      <c r="C4488" s="25">
        <v>149743.32999999999</v>
      </c>
      <c r="D4488" s="22" t="s">
        <v>6360</v>
      </c>
      <c r="E4488" s="22" t="s">
        <v>194</v>
      </c>
      <c r="F4488" s="23" t="str">
        <f t="shared" si="200"/>
        <v>Техническое обслуживание системы видеонаблюдения в ТФОМС РС(Я)</v>
      </c>
      <c r="G4488" s="22" t="s">
        <v>424</v>
      </c>
      <c r="H4488" s="22" t="s">
        <v>1186</v>
      </c>
      <c r="I4488" s="26">
        <v>43657.667361111096</v>
      </c>
      <c r="J4488" s="23" t="str">
        <f>HYPERLINK("https://www.spark-marketing.ru/Card/Person/449843", "ООО ""РОПЦ""")</f>
        <v>ООО "РОПЦ"</v>
      </c>
      <c r="K4488" s="24" t="s">
        <v>6366</v>
      </c>
      <c r="L4488" s="28" t="s">
        <v>52</v>
      </c>
      <c r="M4488" s="25">
        <v>59517.94</v>
      </c>
      <c r="N4488" s="27">
        <v>0.60253361535368555</v>
      </c>
    </row>
    <row r="4489" spans="1:14" hidden="1" outlineLevel="1" x14ac:dyDescent="0.2">
      <c r="A4489" s="23" t="str">
        <f t="shared" si="199"/>
        <v>ТФОМС РС(Я)</v>
      </c>
      <c r="B4489" s="24" t="s">
        <v>6359</v>
      </c>
      <c r="C4489" s="25">
        <v>149743.32999999999</v>
      </c>
      <c r="D4489" s="22" t="s">
        <v>6360</v>
      </c>
      <c r="E4489" s="22" t="s">
        <v>194</v>
      </c>
      <c r="F4489" s="23" t="str">
        <f t="shared" si="200"/>
        <v>Техническое обслуживание системы видеонаблюдения в ТФОМС РС(Я)</v>
      </c>
      <c r="G4489" s="22" t="s">
        <v>424</v>
      </c>
      <c r="H4489" s="22" t="s">
        <v>1186</v>
      </c>
      <c r="I4489" s="26">
        <v>43657.667361111096</v>
      </c>
      <c r="J4489" s="23" t="str">
        <f>HYPERLINK("https://www.spark-marketing.ru/Card/Person/2226", "ООО ""ЦЕНТР БЕЗОПАСНОСТИ""")</f>
        <v>ООО "ЦЕНТР БЕЗОПАСНОСТИ"</v>
      </c>
      <c r="K4489" s="24" t="s">
        <v>6367</v>
      </c>
      <c r="L4489" s="28" t="s">
        <v>52</v>
      </c>
      <c r="M4489" s="25">
        <v>148994.60999999999</v>
      </c>
      <c r="N4489" s="27">
        <v>5.0000223716141481E-3</v>
      </c>
    </row>
    <row r="4490" spans="1:14" hidden="1" outlineLevel="1" x14ac:dyDescent="0.2">
      <c r="A4490" s="23" t="str">
        <f t="shared" si="199"/>
        <v>ТФОМС РС(Я)</v>
      </c>
      <c r="B4490" s="24" t="s">
        <v>6359</v>
      </c>
      <c r="C4490" s="25">
        <v>149743.32999999999</v>
      </c>
      <c r="D4490" s="22" t="s">
        <v>6360</v>
      </c>
      <c r="E4490" s="22" t="s">
        <v>194</v>
      </c>
      <c r="F4490" s="23" t="str">
        <f t="shared" si="200"/>
        <v>Техническое обслуживание системы видеонаблюдения в ТФОМС РС(Я)</v>
      </c>
      <c r="G4490" s="22" t="s">
        <v>424</v>
      </c>
      <c r="H4490" s="22" t="s">
        <v>1186</v>
      </c>
      <c r="I4490" s="26">
        <v>43657.667361111096</v>
      </c>
      <c r="J4490" s="23" t="str">
        <f>HYPERLINK("https://www.spark-marketing.ru/Card/Person/2555394", "ООО ""ВОСТОК""")</f>
        <v>ООО "ВОСТОК"</v>
      </c>
      <c r="K4490" s="24" t="s">
        <v>6368</v>
      </c>
      <c r="L4490" s="28" t="s">
        <v>52</v>
      </c>
      <c r="M4490" s="25">
        <v>51282.05</v>
      </c>
      <c r="N4490" s="27">
        <v>0.65753366109862788</v>
      </c>
    </row>
    <row r="4491" spans="1:14" ht="12.75" hidden="1" outlineLevel="1" x14ac:dyDescent="0.2">
      <c r="A4491" s="23" t="str">
        <f t="shared" si="199"/>
        <v>ТФОМС РС(Я)</v>
      </c>
      <c r="B4491" s="24" t="s">
        <v>6359</v>
      </c>
      <c r="C4491" s="25">
        <v>149743.32999999999</v>
      </c>
      <c r="D4491" s="22" t="s">
        <v>6360</v>
      </c>
      <c r="E4491" s="22" t="s">
        <v>194</v>
      </c>
      <c r="F4491" s="23" t="str">
        <f t="shared" si="200"/>
        <v>Техническое обслуживание системы видеонаблюдения в ТФОМС РС(Я)</v>
      </c>
      <c r="G4491" s="22" t="s">
        <v>424</v>
      </c>
      <c r="H4491" s="22" t="s">
        <v>1186</v>
      </c>
      <c r="I4491" s="26">
        <v>43657.667361111096</v>
      </c>
      <c r="J4491" s="23" t="str">
        <f>HYPERLINK("https://www.spark-marketing.ru/Card/Person/4543539", "ООО ""ТМК ""ПЕРИМЕТР""")</f>
        <v>ООО "ТМК "ПЕРИМЕТР"</v>
      </c>
      <c r="K4491" s="24" t="s">
        <v>5858</v>
      </c>
      <c r="L4491" s="22" t="s">
        <v>10</v>
      </c>
      <c r="M4491" s="25">
        <v>29569.17</v>
      </c>
      <c r="N4491" s="27">
        <v>0.80253430987543817</v>
      </c>
    </row>
    <row r="4492" spans="1:14" x14ac:dyDescent="0.15">
      <c r="A4492" s="23" t="str">
        <f>HYPERLINK("https://www.spark-marketing.ru/Card/Person/24322", "АУ КО ""МФЦ""")</f>
        <v>АУ КО "МФЦ"</v>
      </c>
      <c r="B4492" s="24" t="s">
        <v>6369</v>
      </c>
      <c r="C4492" s="25">
        <v>580000</v>
      </c>
      <c r="D4492" s="22" t="s">
        <v>6370</v>
      </c>
      <c r="E4492" s="22" t="s">
        <v>49</v>
      </c>
      <c r="F4492" s="23" t="str">
        <f>HYPERLINK("https://www.spark-marketing.ru/Card/Lot/72038626", "Установка системы видео наблюдения, установка системы аудио оповещения в филиале АУ КО ""МФЦ"" №5 по г. Курску и Курскому району")</f>
        <v>Установка системы видео наблюдения, установка системы аудио оповещения в филиале АУ КО "МФЦ" №5 по г. Курску и Курскому району</v>
      </c>
      <c r="G4492" s="22" t="s">
        <v>3128</v>
      </c>
      <c r="H4492" s="22" t="s">
        <v>3128</v>
      </c>
      <c r="I4492" s="26">
        <v>43657.706296296303</v>
      </c>
      <c r="J4492" s="28" t="s">
        <v>52</v>
      </c>
      <c r="K4492" s="28" t="s">
        <v>52</v>
      </c>
      <c r="L4492" s="28" t="s">
        <v>52</v>
      </c>
      <c r="M4492" s="28" t="s">
        <v>52</v>
      </c>
      <c r="N4492" s="28" t="s">
        <v>52</v>
      </c>
    </row>
    <row r="4493" spans="1:14" x14ac:dyDescent="0.15">
      <c r="A4493" s="23" t="str">
        <f>HYPERLINK("https://www.spark-marketing.ru/Card/Person/80341", "МУ МВД РОССИИ ""СЫЗРАНСКОЕ""")</f>
        <v>МУ МВД РОССИИ "СЫЗРАНСКОЕ"</v>
      </c>
      <c r="B4493" s="24" t="s">
        <v>6371</v>
      </c>
      <c r="C4493" s="25">
        <v>84000</v>
      </c>
      <c r="D4493" s="22" t="s">
        <v>6372</v>
      </c>
      <c r="E4493" s="22" t="s">
        <v>183</v>
      </c>
      <c r="F4493" s="23" t="str">
        <f>HYPERLINK("https://www.spark-marketing.ru/Card/Lot/72052792", "ТО охранно-тревожной сигнализации")</f>
        <v>ТО охранно-тревожной сигнализации</v>
      </c>
      <c r="G4493" s="22" t="s">
        <v>760</v>
      </c>
      <c r="H4493" s="22" t="s">
        <v>5622</v>
      </c>
      <c r="I4493" s="26">
        <v>43657.699988425898</v>
      </c>
      <c r="J4493" s="28" t="s">
        <v>52</v>
      </c>
      <c r="K4493" s="28" t="s">
        <v>52</v>
      </c>
      <c r="L4493" s="28" t="s">
        <v>52</v>
      </c>
      <c r="M4493" s="28" t="s">
        <v>52</v>
      </c>
      <c r="N4493" s="28" t="s">
        <v>52</v>
      </c>
    </row>
    <row r="4494" spans="1:14" hidden="1" outlineLevel="1" x14ac:dyDescent="0.2">
      <c r="A4494" s="23" t="str">
        <f>HYPERLINK("https://www.spark-marketing.ru/Card/Person/80341", "МУ МВД РОССИИ ""СЫЗРАНСКОЕ""")</f>
        <v>МУ МВД РОССИИ "СЫЗРАНСКОЕ"</v>
      </c>
      <c r="B4494" s="24" t="s">
        <v>6371</v>
      </c>
      <c r="C4494" s="25">
        <v>84000</v>
      </c>
      <c r="D4494" s="22" t="s">
        <v>6372</v>
      </c>
      <c r="E4494" s="22" t="s">
        <v>183</v>
      </c>
      <c r="F4494" s="23" t="str">
        <f>HYPERLINK("https://www.spark-marketing.ru/Card/Lot/72052792", "ТО охранно-тревожной сигнализации")</f>
        <v>ТО охранно-тревожной сигнализации</v>
      </c>
      <c r="G4494" s="22" t="s">
        <v>760</v>
      </c>
      <c r="H4494" s="22" t="s">
        <v>5622</v>
      </c>
      <c r="I4494" s="26">
        <v>43657.699988425898</v>
      </c>
      <c r="J4494" s="23" t="str">
        <f>HYPERLINK("https://www.spark-marketing.ru/Card/Person/657045", "ООО ""ЦЕНТР ОХРАННЫХ ТЕХНОЛОГИЙ""")</f>
        <v>ООО "ЦЕНТР ОХРАННЫХ ТЕХНОЛОГИЙ"</v>
      </c>
      <c r="K4494" s="24" t="s">
        <v>6373</v>
      </c>
      <c r="L4494" s="28" t="s">
        <v>52</v>
      </c>
      <c r="M4494" s="25">
        <v>60060</v>
      </c>
      <c r="N4494" s="27">
        <v>0.28499999999999998</v>
      </c>
    </row>
    <row r="4495" spans="1:14" ht="12.75" hidden="1" outlineLevel="1" x14ac:dyDescent="0.2">
      <c r="A4495" s="23" t="str">
        <f>HYPERLINK("https://www.spark-marketing.ru/Card/Person/80341", "МУ МВД РОССИИ ""СЫЗРАНСКОЕ""")</f>
        <v>МУ МВД РОССИИ "СЫЗРАНСКОЕ"</v>
      </c>
      <c r="B4495" s="24" t="s">
        <v>6371</v>
      </c>
      <c r="C4495" s="25">
        <v>84000</v>
      </c>
      <c r="D4495" s="22" t="s">
        <v>6372</v>
      </c>
      <c r="E4495" s="22" t="s">
        <v>183</v>
      </c>
      <c r="F4495" s="23" t="str">
        <f>HYPERLINK("https://www.spark-marketing.ru/Card/Lot/72052792", "ТО охранно-тревожной сигнализации")</f>
        <v>ТО охранно-тревожной сигнализации</v>
      </c>
      <c r="G4495" s="22" t="s">
        <v>760</v>
      </c>
      <c r="H4495" s="22" t="s">
        <v>5622</v>
      </c>
      <c r="I4495" s="26">
        <v>43657.699988425898</v>
      </c>
      <c r="J4495" s="23" t="str">
        <f>HYPERLINK("https://www.spark-marketing.ru/Card/Person/373096", "ООО ""ОСКАР 01""")</f>
        <v>ООО "ОСКАР 01"</v>
      </c>
      <c r="K4495" s="24" t="s">
        <v>6374</v>
      </c>
      <c r="L4495" s="22" t="s">
        <v>10</v>
      </c>
      <c r="M4495" s="25">
        <v>59640</v>
      </c>
      <c r="N4495" s="27">
        <v>0.28999999999999998</v>
      </c>
    </row>
    <row r="4496" spans="1:14" hidden="1" outlineLevel="1" x14ac:dyDescent="0.2">
      <c r="A4496" s="23" t="str">
        <f>HYPERLINK("https://www.spark-marketing.ru/Card/Person/80341", "МУ МВД РОССИИ ""СЫЗРАНСКОЕ""")</f>
        <v>МУ МВД РОССИИ "СЫЗРАНСКОЕ"</v>
      </c>
      <c r="B4496" s="24" t="s">
        <v>6371</v>
      </c>
      <c r="C4496" s="25">
        <v>84000</v>
      </c>
      <c r="D4496" s="22" t="s">
        <v>6372</v>
      </c>
      <c r="E4496" s="22" t="s">
        <v>183</v>
      </c>
      <c r="F4496" s="23" t="str">
        <f>HYPERLINK("https://www.spark-marketing.ru/Card/Lot/72052792", "ТО охранно-тревожной сигнализации")</f>
        <v>ТО охранно-тревожной сигнализации</v>
      </c>
      <c r="G4496" s="22" t="s">
        <v>760</v>
      </c>
      <c r="H4496" s="22" t="s">
        <v>5622</v>
      </c>
      <c r="I4496" s="26">
        <v>43657.699988425898</v>
      </c>
      <c r="J4496" s="23" t="str">
        <f>HYPERLINK("https://www.spark-marketing.ru/Card/Person/53497", "ООО ""АЛЬФА-ПОЖАРНАЯ БЕЗОПАСНОСТЬ""")</f>
        <v>ООО "АЛЬФА-ПОЖАРНАЯ БЕЗОПАСНОСТЬ"</v>
      </c>
      <c r="K4496" s="24" t="s">
        <v>6375</v>
      </c>
      <c r="L4496" s="28" t="s">
        <v>52</v>
      </c>
      <c r="M4496" s="25">
        <v>80640</v>
      </c>
      <c r="N4496" s="27">
        <v>0.04</v>
      </c>
    </row>
    <row r="4497" spans="1:14" x14ac:dyDescent="0.15">
      <c r="A4497" s="23" t="str">
        <f>HYPERLINK("https://www.spark-marketing.ru/Card/Person/1512", "ОБУЗ ""КИНЕШЕМСКАЯ ЦРБ""")</f>
        <v>ОБУЗ "КИНЕШЕМСКАЯ ЦРБ"</v>
      </c>
      <c r="B4497" s="24" t="s">
        <v>6376</v>
      </c>
      <c r="C4497" s="25">
        <v>450000</v>
      </c>
      <c r="D4497" s="22" t="s">
        <v>6377</v>
      </c>
      <c r="E4497" s="22" t="s">
        <v>68</v>
      </c>
      <c r="F4497" s="23" t="str">
        <f>HYPERLINK("https://www.spark-marketing.ru/Card/Lot/72043860", "Оказание услуг охраны, осуществляемых по сигналам тревоги, поступающих от технических средств охраны (пультовая охрана), установленных на объектах ОБУЗ ""Кинешемская ЦРБ""")</f>
        <v>Оказание услуг охраны, осуществляемых по сигналам тревоги, поступающих от технических средств охраны (пультовая охрана), установленных на объектах ОБУЗ "Кинешемская ЦРБ"</v>
      </c>
      <c r="G4497" s="22" t="s">
        <v>340</v>
      </c>
      <c r="H4497" s="22" t="s">
        <v>2755</v>
      </c>
      <c r="I4497" s="26">
        <v>43657.677083333299</v>
      </c>
      <c r="J4497" s="28" t="s">
        <v>52</v>
      </c>
      <c r="K4497" s="28" t="s">
        <v>52</v>
      </c>
      <c r="L4497" s="28" t="s">
        <v>52</v>
      </c>
      <c r="M4497" s="28" t="s">
        <v>52</v>
      </c>
      <c r="N4497" s="28" t="s">
        <v>52</v>
      </c>
    </row>
    <row r="4498" spans="1:14" ht="12.75" hidden="1" outlineLevel="1" x14ac:dyDescent="0.2">
      <c r="A4498" s="23" t="str">
        <f>HYPERLINK("https://www.spark-marketing.ru/Card/Person/1512", "ОБУЗ ""КИНЕШЕМСКАЯ ЦРБ""")</f>
        <v>ОБУЗ "КИНЕШЕМСКАЯ ЦРБ"</v>
      </c>
      <c r="B4498" s="24" t="s">
        <v>6376</v>
      </c>
      <c r="C4498" s="25">
        <v>450000</v>
      </c>
      <c r="D4498" s="22" t="s">
        <v>6377</v>
      </c>
      <c r="E4498" s="22" t="s">
        <v>68</v>
      </c>
      <c r="F4498" s="23" t="str">
        <f>HYPERLINK("https://www.spark-marketing.ru/Card/Lot/72043860", "Оказание услуг охраны, осуществляемых по сигналам тревоги, поступающих от технических средств охраны (пультовая охрана), установленных на объектах ОБУЗ ""Кинешемская ЦРБ""")</f>
        <v>Оказание услуг охраны, осуществляемых по сигналам тревоги, поступающих от технических средств охраны (пультовая охрана), установленных на объектах ОБУЗ "Кинешемская ЦРБ"</v>
      </c>
      <c r="G4498" s="22" t="s">
        <v>340</v>
      </c>
      <c r="H4498" s="22" t="s">
        <v>2755</v>
      </c>
      <c r="I4498" s="26">
        <v>43657.677083333299</v>
      </c>
      <c r="J4498" s="23" t="str">
        <f>HYPERLINK("https://www.spark-marketing.ru/Card/Person/310040", "ООО ""ВЕТЕРАН-2000-СБ""")</f>
        <v>ООО "ВЕТЕРАН-2000-СБ"</v>
      </c>
      <c r="K4498" s="24" t="s">
        <v>5496</v>
      </c>
      <c r="L4498" s="22" t="s">
        <v>10</v>
      </c>
      <c r="M4498" s="25">
        <v>441000</v>
      </c>
      <c r="N4498" s="27">
        <v>0.02</v>
      </c>
    </row>
    <row r="4499" spans="1:14" hidden="1" outlineLevel="1" x14ac:dyDescent="0.2">
      <c r="A4499" s="23" t="str">
        <f>HYPERLINK("https://www.spark-marketing.ru/Card/Person/1512", "ОБУЗ ""КИНЕШЕМСКАЯ ЦРБ""")</f>
        <v>ОБУЗ "КИНЕШЕМСКАЯ ЦРБ"</v>
      </c>
      <c r="B4499" s="24" t="s">
        <v>6376</v>
      </c>
      <c r="C4499" s="25">
        <v>450000</v>
      </c>
      <c r="D4499" s="22" t="s">
        <v>6377</v>
      </c>
      <c r="E4499" s="22" t="s">
        <v>68</v>
      </c>
      <c r="F4499" s="23" t="str">
        <f>HYPERLINK("https://www.spark-marketing.ru/Card/Lot/72043860", "Оказание услуг охраны, осуществляемых по сигналам тревоги, поступающих от технических средств охраны (пультовая охрана), установленных на объектах ОБУЗ ""Кинешемская ЦРБ""")</f>
        <v>Оказание услуг охраны, осуществляемых по сигналам тревоги, поступающих от технических средств охраны (пультовая охрана), установленных на объектах ОБУЗ "Кинешемская ЦРБ"</v>
      </c>
      <c r="G4499" s="22" t="s">
        <v>340</v>
      </c>
      <c r="H4499" s="22" t="s">
        <v>2755</v>
      </c>
      <c r="I4499" s="26">
        <v>43657.677083333299</v>
      </c>
      <c r="J4499" s="23" t="str">
        <f>HYPERLINK("https://www.spark-marketing.ru/Card/Person/37310", "ООО ""ОХРАННОЕ АГЕНТСТВО ""КРИСТАЛЛ""")</f>
        <v>ООО "ОХРАННОЕ АГЕНТСТВО "КРИСТАЛЛ"</v>
      </c>
      <c r="K4499" s="24" t="s">
        <v>6378</v>
      </c>
      <c r="L4499" s="28" t="s">
        <v>52</v>
      </c>
      <c r="M4499" s="25">
        <v>445200</v>
      </c>
      <c r="N4499" s="27">
        <v>1.0666666666666666E-2</v>
      </c>
    </row>
    <row r="4500" spans="1:14" x14ac:dyDescent="0.15">
      <c r="A4500" s="23" t="str">
        <f>HYPERLINK("https://www.spark-marketing.ru/Card/Person/24322", "АУ КО ""МФЦ""")</f>
        <v>АУ КО "МФЦ"</v>
      </c>
      <c r="B4500" s="24" t="s">
        <v>6369</v>
      </c>
      <c r="C4500" s="25">
        <v>325000</v>
      </c>
      <c r="D4500" s="22" t="s">
        <v>6379</v>
      </c>
      <c r="E4500" s="22" t="s">
        <v>49</v>
      </c>
      <c r="F4500" s="23" t="str">
        <f>HYPERLINK("https://www.spark-marketing.ru/Card/Lot/72041022", "Установка системы видео наблюдения, установка системы аудио оповещения в филиале АУ КО ""МФЦ"" №4 по г. Курску и Курскому району")</f>
        <v>Установка системы видео наблюдения, установка системы аудио оповещения в филиале АУ КО "МФЦ" №4 по г. Курску и Курскому району</v>
      </c>
      <c r="G4500" s="22" t="s">
        <v>3128</v>
      </c>
      <c r="H4500" s="22" t="s">
        <v>3128</v>
      </c>
      <c r="I4500" s="26">
        <v>43657.703310185199</v>
      </c>
      <c r="J4500" s="28" t="s">
        <v>52</v>
      </c>
      <c r="K4500" s="28" t="s">
        <v>52</v>
      </c>
      <c r="L4500" s="28" t="s">
        <v>52</v>
      </c>
      <c r="M4500" s="28" t="s">
        <v>52</v>
      </c>
      <c r="N4500" s="28" t="s">
        <v>52</v>
      </c>
    </row>
    <row r="4501" spans="1:14" x14ac:dyDescent="0.15">
      <c r="A4501" s="23" t="str">
        <f>HYPERLINK("https://www.spark-marketing.ru/Card/Person/1661477", "ПАО ""ДЕТСКИЙ МИР""")</f>
        <v>ПАО "ДЕТСКИЙ МИР"</v>
      </c>
      <c r="B4501" s="24" t="s">
        <v>667</v>
      </c>
      <c r="C4501" s="28" t="s">
        <v>52</v>
      </c>
      <c r="D4501" s="22" t="s">
        <v>6380</v>
      </c>
      <c r="E4501" s="22" t="s">
        <v>53</v>
      </c>
      <c r="F4501" s="23" t="str">
        <f>HYPERLINK("https://www.spark-marketing.ru/Card/Lot/72037293", "Оказание услуг по физической охране объектов ПАО «Детский мир» РО Сибирь сроком на 1 (Один) год по лотам: Лот №1 - Физическая охрана в г. Красноярск, г. Ачинск, г. Железногорск, г. Зеленогорск, Лот №2 - Физическая охрана в г. Хабаровск, Лот №3 - Физи...")</f>
        <v>Оказание услуг по физической охране объектов ПАО «Детский мир» РО Сибирь сроком на 1 (Один) год по лотам: Лот №1 - Физическая охрана в г. Красноярск, г. Ачинск, г. Железногорск, г. Зеленогорск, Лот №2 - Физическая охрана в г. Хабаровск, Лот №3 - Физи...</v>
      </c>
      <c r="G4501" s="22" t="s">
        <v>640</v>
      </c>
      <c r="H4501" s="22" t="s">
        <v>640</v>
      </c>
      <c r="I4501" s="26">
        <v>43657.644444444399</v>
      </c>
      <c r="J4501" s="28" t="s">
        <v>52</v>
      </c>
      <c r="K4501" s="28" t="s">
        <v>52</v>
      </c>
      <c r="L4501" s="28" t="s">
        <v>52</v>
      </c>
      <c r="M4501" s="28" t="s">
        <v>52</v>
      </c>
      <c r="N4501" s="28" t="s">
        <v>52</v>
      </c>
    </row>
    <row r="4502" spans="1:14" x14ac:dyDescent="0.2">
      <c r="A4502" s="23" t="str">
        <f>HYPERLINK("https://www.spark-marketing.ru/Card/Person/4382607", "ВОЛГО ВЯТСКИЙ БАНК ПАО СБЕРБАНК")</f>
        <v>ВОЛГО ВЯТСКИЙ БАНК ПАО СБЕРБАНК</v>
      </c>
      <c r="B4502" s="28" t="s">
        <v>52</v>
      </c>
      <c r="C4502" s="25">
        <v>5597669.2000000002</v>
      </c>
      <c r="D4502" s="22" t="s">
        <v>6381</v>
      </c>
      <c r="E4502" s="22" t="s">
        <v>53</v>
      </c>
      <c r="F4502" s="23" t="str">
        <f>HYPERLINK("https://www.spark-marketing.ru/Card/Lot/72039770", "Оказание услуг по охране объектов на территории Республики Татарстан с помощью Комплекса технических средств охраны")</f>
        <v>Оказание услуг по охране объектов на территории Республики Татарстан с помощью Комплекса технических средств охраны</v>
      </c>
      <c r="G4502" s="22" t="s">
        <v>52</v>
      </c>
      <c r="H4502" s="22" t="s">
        <v>52</v>
      </c>
      <c r="I4502" s="26">
        <v>43657.643750000003</v>
      </c>
      <c r="J4502" s="23" t="str">
        <f>HYPERLINK("https://www.spark-marketing.ru/Card/Person/93249", "ООО ""ЗАЩИТА И НАДЕЖНОСТЬ""")</f>
        <v>ООО "ЗАЩИТА И НАДЕЖНОСТЬ"</v>
      </c>
      <c r="K4502" s="24" t="s">
        <v>6382</v>
      </c>
      <c r="L4502" s="22" t="s">
        <v>10</v>
      </c>
      <c r="M4502" s="25">
        <v>5500000</v>
      </c>
      <c r="N4502" s="27">
        <v>1.7448190757681788E-2</v>
      </c>
    </row>
    <row r="4503" spans="1:14" x14ac:dyDescent="0.2">
      <c r="A4503" s="23" t="str">
        <f>HYPERLINK("https://www.spark-marketing.ru/Card/Person/2577242", "МАДОУ ""ДЕТСКИЙ САД ""ТЕРЕМОК"", ДЕТСКИЙ САД ""ТЕРЕМОК""")</f>
        <v>МАДОУ "ДЕТСКИЙ САД "ТЕРЕМОК", ДЕТСКИЙ САД "ТЕРЕМОК"</v>
      </c>
      <c r="B4503" s="24" t="s">
        <v>689</v>
      </c>
      <c r="C4503" s="25">
        <v>38907.5</v>
      </c>
      <c r="D4503" s="22" t="s">
        <v>6383</v>
      </c>
      <c r="E4503" s="22" t="s">
        <v>533</v>
      </c>
      <c r="F4503" s="23" t="str">
        <f>HYPERLINK("https://www.spark-marketing.ru/Card/Lot/72031969", "Установка дополнительного оборудования для видеодомофона")</f>
        <v>Установка дополнительного оборудования для видеодомофона</v>
      </c>
      <c r="G4503" s="22" t="s">
        <v>72</v>
      </c>
      <c r="H4503" s="22" t="s">
        <v>692</v>
      </c>
      <c r="I4503" s="26">
        <v>43657.636597222197</v>
      </c>
      <c r="J4503" s="28" t="s">
        <v>52</v>
      </c>
      <c r="K4503" s="28" t="s">
        <v>52</v>
      </c>
      <c r="L4503" s="22" t="s">
        <v>10</v>
      </c>
      <c r="M4503" s="25">
        <v>38907</v>
      </c>
      <c r="N4503" s="27">
        <v>1.2850992739189103E-5</v>
      </c>
    </row>
    <row r="4504" spans="1:14" x14ac:dyDescent="0.15">
      <c r="A4504" s="23" t="str">
        <f>HYPERLINK("https://www.spark-marketing.ru/Card/Person/1484145", "ГАПОУ СО ""НТК""")</f>
        <v>ГАПОУ СО "НТК"</v>
      </c>
      <c r="B4504" s="24" t="s">
        <v>6384</v>
      </c>
      <c r="C4504" s="25">
        <v>1471840</v>
      </c>
      <c r="D4504" s="22" t="s">
        <v>6385</v>
      </c>
      <c r="E4504" s="22" t="s">
        <v>691</v>
      </c>
      <c r="F4504" s="23" t="str">
        <f>HYPERLINK("https://www.spark-marketing.ru/Card/Lot/72035042", "выполнение работ по установке системы видеонаблюдения на территории Новоуральского технологического колледжа по адресу: г.Новоуральск, МКР-15, корпус 2")</f>
        <v>выполнение работ по установке системы видеонаблюдения на территории Новоуральского технологического колледжа по адресу: г.Новоуральск, МКР-15, корпус 2</v>
      </c>
      <c r="G4504" s="22" t="s">
        <v>72</v>
      </c>
      <c r="H4504" s="22" t="s">
        <v>2527</v>
      </c>
      <c r="I4504" s="26">
        <v>43657.6415277778</v>
      </c>
      <c r="J4504" s="28" t="s">
        <v>52</v>
      </c>
      <c r="K4504" s="28" t="s">
        <v>52</v>
      </c>
      <c r="L4504" s="28" t="s">
        <v>52</v>
      </c>
      <c r="M4504" s="28" t="s">
        <v>52</v>
      </c>
      <c r="N4504" s="28" t="s">
        <v>52</v>
      </c>
    </row>
    <row r="4505" spans="1:14" x14ac:dyDescent="0.15">
      <c r="A4505" s="23" t="str">
        <f>HYPERLINK("https://www.spark-marketing.ru/Card/Person/2577242", "МАДОУ ""ДЕТСКИЙ САД ""ТЕРЕМОК"", ДЕТСКИЙ САД ""ТЕРЕМОК""")</f>
        <v>МАДОУ "ДЕТСКИЙ САД "ТЕРЕМОК", ДЕТСКИЙ САД "ТЕРЕМОК"</v>
      </c>
      <c r="B4505" s="24" t="s">
        <v>689</v>
      </c>
      <c r="C4505" s="25">
        <v>68293.33</v>
      </c>
      <c r="D4505" s="22" t="s">
        <v>6386</v>
      </c>
      <c r="E4505" s="22" t="s">
        <v>691</v>
      </c>
      <c r="F4505" s="23" t="str">
        <f>HYPERLINK("https://www.spark-marketing.ru/Card/Lot/72031967", "Установка (модернизация имеющегося) внутреннего и наружного видеонаблюдения")</f>
        <v>Установка (модернизация имеющегося) внутреннего и наружного видеонаблюдения</v>
      </c>
      <c r="G4505" s="22" t="s">
        <v>72</v>
      </c>
      <c r="H4505" s="22" t="s">
        <v>692</v>
      </c>
      <c r="I4505" s="26">
        <v>43657.631898148102</v>
      </c>
      <c r="J4505" s="28" t="s">
        <v>52</v>
      </c>
      <c r="K4505" s="28" t="s">
        <v>52</v>
      </c>
      <c r="L4505" s="28" t="s">
        <v>52</v>
      </c>
      <c r="M4505" s="28" t="s">
        <v>52</v>
      </c>
      <c r="N4505" s="28" t="s">
        <v>52</v>
      </c>
    </row>
    <row r="4506" spans="1:14" x14ac:dyDescent="0.15">
      <c r="A4506" s="23" t="str">
        <f>HYPERLINK("https://www.spark-marketing.ru/Card/Person/29398", "АДМИНИСТРАЦИЯ БОКОВСКОГО РАЙОНА")</f>
        <v>АДМИНИСТРАЦИЯ БОКОВСКОГО РАЙОНА</v>
      </c>
      <c r="B4506" s="24" t="s">
        <v>6387</v>
      </c>
      <c r="C4506" s="25">
        <v>10000</v>
      </c>
      <c r="D4506" s="22" t="s">
        <v>6388</v>
      </c>
      <c r="E4506" s="22" t="s">
        <v>1293</v>
      </c>
      <c r="F4506" s="23" t="str">
        <f>HYPERLINK("https://www.spark-marketing.ru/Card/Lot/72033215", "Закупка товаров (призы для награждения участников мероприятия, предусмотренного муниципальной программой Боковского района «Обеспечение общественного порядка и профилактика правонарушений) для муниципальных нужд Администрации Боковского района.")</f>
        <v>Закупка товаров (призы для награждения участников мероприятия, предусмотренного муниципальной программой Боковского района «Обеспечение общественного порядка и профилактика правонарушений) для муниципальных нужд Администрации Боковского района.</v>
      </c>
      <c r="G4506" s="22" t="s">
        <v>402</v>
      </c>
      <c r="H4506" s="22" t="s">
        <v>6389</v>
      </c>
      <c r="I4506" s="26">
        <v>43657.588194444397</v>
      </c>
      <c r="J4506" s="28" t="s">
        <v>52</v>
      </c>
      <c r="K4506" s="28" t="s">
        <v>52</v>
      </c>
      <c r="L4506" s="28" t="s">
        <v>52</v>
      </c>
      <c r="M4506" s="28" t="s">
        <v>52</v>
      </c>
      <c r="N4506" s="28" t="s">
        <v>52</v>
      </c>
    </row>
    <row r="4507" spans="1:14" x14ac:dyDescent="0.15">
      <c r="A4507" s="23" t="str">
        <f>HYPERLINK("https://www.spark-marketing.ru/Card/Person/120877", "ПАО АНК ""БАШНЕФТЬ""")</f>
        <v>ПАО АНК "БАШНЕФТЬ"</v>
      </c>
      <c r="B4507" s="24" t="s">
        <v>6390</v>
      </c>
      <c r="C4507" s="25">
        <v>2296669.73</v>
      </c>
      <c r="D4507" s="22" t="s">
        <v>6391</v>
      </c>
      <c r="E4507" s="22" t="s">
        <v>370</v>
      </c>
      <c r="F4507" s="23" t="str">
        <f>HYPERLINK("https://www.spark-marketing.ru/Card/Lot/72033188", "Услуги по техническому обслуживанию систем видеонаблюдения на объектах филиалов ПАО АНК ""Башнефть"" ""Башнефть-Уфанефтехим"", ""Башнефть-Новойл"", ""Башнефть-УНПЗ"" на 2020 г.")</f>
        <v>Услуги по техническому обслуживанию систем видеонаблюдения на объектах филиалов ПАО АНК "Башнефть" "Башнефть-Уфанефтехим", "Башнефть-Новойл", "Башнефть-УНПЗ" на 2020 г.</v>
      </c>
      <c r="G4507" s="22" t="s">
        <v>100</v>
      </c>
      <c r="H4507" s="22" t="s">
        <v>100</v>
      </c>
      <c r="I4507" s="26">
        <v>43657.612719907404</v>
      </c>
      <c r="J4507" s="28" t="s">
        <v>52</v>
      </c>
      <c r="K4507" s="28" t="s">
        <v>52</v>
      </c>
      <c r="L4507" s="28" t="s">
        <v>52</v>
      </c>
      <c r="M4507" s="28" t="s">
        <v>52</v>
      </c>
      <c r="N4507" s="28" t="s">
        <v>52</v>
      </c>
    </row>
    <row r="4508" spans="1:14" x14ac:dyDescent="0.15">
      <c r="A4508" s="23" t="str">
        <f>HYPERLINK("https://www.spark-marketing.ru/Card/Person/261462", "АДМИНИСТРАЦИЯ БЕРЕГОВСКОГО СЕЛЬСКОГО ПОСЕЛЕНИЯ")</f>
        <v>АДМИНИСТРАЦИЯ БЕРЕГОВСКОГО СЕЛЬСКОГО ПОСЕЛЕНИЯ</v>
      </c>
      <c r="B4508" s="24" t="s">
        <v>6392</v>
      </c>
      <c r="C4508" s="25">
        <v>97002</v>
      </c>
      <c r="D4508" s="22" t="s">
        <v>6393</v>
      </c>
      <c r="E4508" s="22" t="s">
        <v>1297</v>
      </c>
      <c r="F4508" s="23" t="str">
        <f>HYPERLINK("https://www.spark-marketing.ru/Card/Lot/72032587", "Установка комплекта видеонаблюдения")</f>
        <v>Установка комплекта видеонаблюдения</v>
      </c>
      <c r="G4508" s="22" t="s">
        <v>176</v>
      </c>
      <c r="H4508" s="22" t="s">
        <v>6394</v>
      </c>
      <c r="I4508" s="26">
        <v>43657.591666666704</v>
      </c>
      <c r="J4508" s="28" t="s">
        <v>52</v>
      </c>
      <c r="K4508" s="28" t="s">
        <v>52</v>
      </c>
      <c r="L4508" s="28" t="s">
        <v>52</v>
      </c>
      <c r="M4508" s="28" t="s">
        <v>52</v>
      </c>
      <c r="N4508" s="28" t="s">
        <v>52</v>
      </c>
    </row>
    <row r="4509" spans="1:14" x14ac:dyDescent="0.15">
      <c r="A4509" s="23" t="str">
        <f>HYPERLINK("https://www.spark-marketing.ru/Card/Person/137454", "ГБУ РС(Я) ЧУРАПЧИНСКАЯ ЦРБ")</f>
        <v>ГБУ РС(Я) ЧУРАПЧИНСКАЯ ЦРБ</v>
      </c>
      <c r="B4509" s="24" t="s">
        <v>5269</v>
      </c>
      <c r="C4509" s="25">
        <v>568569.78</v>
      </c>
      <c r="D4509" s="22" t="s">
        <v>6395</v>
      </c>
      <c r="E4509" s="22" t="s">
        <v>68</v>
      </c>
      <c r="F4509" s="23" t="str">
        <f>HYPERLINK("https://www.spark-marketing.ru/Card/Lot/72044797", "Оказание услуг централизованной пультовой охраны с помощью КЭВП и ПЦО объектов ГБУ РС(Я) Чурапчинская ЦРБ")</f>
        <v>Оказание услуг централизованной пультовой охраны с помощью КЭВП и ПЦО объектов ГБУ РС(Я) Чурапчинская ЦРБ</v>
      </c>
      <c r="G4509" s="22" t="s">
        <v>424</v>
      </c>
      <c r="H4509" s="22" t="s">
        <v>5271</v>
      </c>
      <c r="I4509" s="26">
        <v>43657.621192129598</v>
      </c>
      <c r="J4509" s="28" t="s">
        <v>52</v>
      </c>
      <c r="K4509" s="28" t="s">
        <v>52</v>
      </c>
      <c r="L4509" s="28" t="s">
        <v>52</v>
      </c>
      <c r="M4509" s="28" t="s">
        <v>52</v>
      </c>
      <c r="N4509" s="28" t="s">
        <v>52</v>
      </c>
    </row>
    <row r="4510" spans="1:14" x14ac:dyDescent="0.15">
      <c r="A4510" s="23" t="str">
        <f>HYPERLINK("https://www.spark-marketing.ru/Card/Person/268718", "ОМВД РОССИИ ПО ВОЛОКОНОВСКОМУ РАЙОНУ")</f>
        <v>ОМВД РОССИИ ПО ВОЛОКОНОВСКОМУ РАЙОНУ</v>
      </c>
      <c r="B4510" s="24" t="s">
        <v>6396</v>
      </c>
      <c r="C4510" s="25">
        <v>100000</v>
      </c>
      <c r="D4510" s="22" t="s">
        <v>6397</v>
      </c>
      <c r="E4510" s="22" t="s">
        <v>84</v>
      </c>
      <c r="F4510" s="23" t="str">
        <f>HYPERLINK("https://www.spark-marketing.ru/Card/Lot/72032559", "Монтаж, установка, сборка видеонаблюдения, 1 шт")</f>
        <v>Монтаж, установка, сборка видеонаблюдения, 1 шт</v>
      </c>
      <c r="G4510" s="22" t="s">
        <v>176</v>
      </c>
      <c r="H4510" s="22" t="s">
        <v>6398</v>
      </c>
      <c r="I4510" s="26">
        <v>43657.5800578704</v>
      </c>
      <c r="J4510" s="28" t="s">
        <v>52</v>
      </c>
      <c r="K4510" s="28" t="s">
        <v>52</v>
      </c>
      <c r="L4510" s="28" t="s">
        <v>52</v>
      </c>
      <c r="M4510" s="28" t="s">
        <v>52</v>
      </c>
      <c r="N4510" s="28" t="s">
        <v>52</v>
      </c>
    </row>
    <row r="4511" spans="1:14" x14ac:dyDescent="0.15">
      <c r="A4511" s="23" t="str">
        <f>HYPERLINK("https://www.spark-marketing.ru/Card/Person/18932", "ФКУ УПРДОР ""ЕНИСЕЙ""")</f>
        <v>ФКУ УПРДОР "ЕНИСЕЙ"</v>
      </c>
      <c r="B4511" s="24" t="s">
        <v>2313</v>
      </c>
      <c r="C4511" s="25">
        <v>34153984</v>
      </c>
      <c r="D4511" s="22" t="s">
        <v>6399</v>
      </c>
      <c r="E4511" s="22" t="s">
        <v>59</v>
      </c>
      <c r="F4511" s="23" t="str">
        <f>HYPERLINK("https://www.spark-marketing.ru/Card/Lot/72047368", "Выполнение работ по расходам на оснащение дорожного хозяйства инженерно-техническими средствами (системами) обеспечения транспортной безопасности. Оснащение категорированных объектов транспортной инфраструктуры ""Мост через реку Старый Абакан (левый)...")</f>
        <v>Выполнение работ по расходам на оснащение дорожного хозяйства инженерно-техническими средствами (системами) обеспечения транспортной безопасности. Оснащение категорированных объектов транспортной инфраструктуры "Мост через реку Старый Абакан (левый)...</v>
      </c>
      <c r="G4511" s="22" t="s">
        <v>1041</v>
      </c>
      <c r="H4511" s="22" t="s">
        <v>1041</v>
      </c>
      <c r="I4511" s="26">
        <v>43657.550949074102</v>
      </c>
      <c r="J4511" s="23" t="str">
        <f>HYPERLINK("https://www.spark-marketing.ru/Card/Person/4259585", "ООО ""ЭЛИКОМ ТБ""")</f>
        <v>ООО "ЭЛИКОМ ТБ"</v>
      </c>
      <c r="K4511" s="24" t="s">
        <v>6400</v>
      </c>
      <c r="L4511" s="22" t="s">
        <v>10</v>
      </c>
      <c r="M4511" s="28" t="s">
        <v>52</v>
      </c>
      <c r="N4511" s="28" t="s">
        <v>52</v>
      </c>
    </row>
    <row r="4512" spans="1:14" ht="12.75" x14ac:dyDescent="0.2">
      <c r="A4512" s="23" t="str">
        <f>HYPERLINK("https://www.spark-marketing.ru/Card/Person/940541", "ГУП ""СЕВЭЛЕКТРОАВТОТРАНС ИМ. А.С.КРУПОДЁРОВА""")</f>
        <v>ГУП "СЕВЭЛЕКТРОАВТОТРАНС ИМ. А.С.КРУПОДЁРОВА"</v>
      </c>
      <c r="B4512" s="24" t="s">
        <v>4562</v>
      </c>
      <c r="C4512" s="25">
        <v>168782.41</v>
      </c>
      <c r="D4512" s="22" t="s">
        <v>6401</v>
      </c>
      <c r="E4512" s="22" t="s">
        <v>1293</v>
      </c>
      <c r="F4512" s="23" t="str">
        <f>HYPERLINK("https://www.spark-marketing.ru/Card/Lot/72036601", "На поставку вычислительной техники и оргтехники для сотрудников транспортной безопасности на 2019 год")</f>
        <v>На поставку вычислительной техники и оргтехники для сотрудников транспортной безопасности на 2019 год</v>
      </c>
      <c r="G4512" s="22" t="s">
        <v>714</v>
      </c>
      <c r="H4512" s="22" t="s">
        <v>714</v>
      </c>
      <c r="I4512" s="26">
        <v>43657.581944444399</v>
      </c>
      <c r="J4512" s="23" t="str">
        <f>HYPERLINK("https://www.spark-marketing.ru/Card/Person/3991208", "ООО ""ОС КОМПОНЕНТ""")</f>
        <v>ООО "ОС КОМПОНЕНТ"</v>
      </c>
      <c r="K4512" s="24" t="s">
        <v>6402</v>
      </c>
      <c r="L4512" s="22" t="s">
        <v>10</v>
      </c>
      <c r="M4512" s="25">
        <v>168782.41</v>
      </c>
      <c r="N4512" s="27">
        <v>0</v>
      </c>
    </row>
    <row r="4513" spans="1:14" x14ac:dyDescent="0.15">
      <c r="A4513" s="23" t="str">
        <f>HYPERLINK("https://www.spark-marketing.ru/Card/Person/18932", "ФКУ УПРДОР ""ЕНИСЕЙ""")</f>
        <v>ФКУ УПРДОР "ЕНИСЕЙ"</v>
      </c>
      <c r="B4513" s="24" t="s">
        <v>2313</v>
      </c>
      <c r="C4513" s="25">
        <v>20401446</v>
      </c>
      <c r="D4513" s="22" t="s">
        <v>6403</v>
      </c>
      <c r="E4513" s="22" t="s">
        <v>59</v>
      </c>
      <c r="F4513" s="23" t="str">
        <f>HYPERLINK("https://www.spark-marketing.ru/Card/Lot/72047376", "Выполнение работ по расходам на оснащение дорожного хозяйства инженерно-техническими средствами (системами) обеспечения транспортной безопасности. Оснащение категорированных объектов транспортной инфраструктуры ""Мост через реку Новый Абакан (левый) ...")</f>
        <v>Выполнение работ по расходам на оснащение дорожного хозяйства инженерно-техническими средствами (системами) обеспечения транспортной безопасности. Оснащение категорированных объектов транспортной инфраструктуры "Мост через реку Новый Абакан (левый) ...</v>
      </c>
      <c r="G4513" s="22" t="s">
        <v>1041</v>
      </c>
      <c r="H4513" s="22" t="s">
        <v>1041</v>
      </c>
      <c r="I4513" s="26">
        <v>43657.561944444402</v>
      </c>
      <c r="J4513" s="23" t="str">
        <f>HYPERLINK("https://www.spark-marketing.ru/Card/Person/4259585", "ООО ""ЭЛИКОМ ТБ""")</f>
        <v>ООО "ЭЛИКОМ ТБ"</v>
      </c>
      <c r="K4513" s="24" t="s">
        <v>6400</v>
      </c>
      <c r="L4513" s="28" t="s">
        <v>52</v>
      </c>
      <c r="M4513" s="28" t="s">
        <v>52</v>
      </c>
      <c r="N4513" s="28" t="s">
        <v>52</v>
      </c>
    </row>
    <row r="4514" spans="1:14" hidden="1" outlineLevel="1" x14ac:dyDescent="0.15">
      <c r="A4514" s="23" t="str">
        <f>HYPERLINK("https://www.spark-marketing.ru/Card/Person/18932", "ФКУ УПРДОР ""ЕНИСЕЙ""")</f>
        <v>ФКУ УПРДОР "ЕНИСЕЙ"</v>
      </c>
      <c r="B4514" s="24" t="s">
        <v>2313</v>
      </c>
      <c r="C4514" s="25">
        <v>20401446</v>
      </c>
      <c r="D4514" s="22" t="s">
        <v>6403</v>
      </c>
      <c r="E4514" s="22" t="s">
        <v>59</v>
      </c>
      <c r="F4514" s="23" t="str">
        <f>HYPERLINK("https://www.spark-marketing.ru/Card/Lot/72047376", "Выполнение работ по расходам на оснащение дорожного хозяйства инженерно-техническими средствами (системами) обеспечения транспортной безопасности. Оснащение категорированных объектов транспортной инфраструктуры ""Мост через реку Новый Абакан (левый) ...")</f>
        <v>Выполнение работ по расходам на оснащение дорожного хозяйства инженерно-техническими средствами (системами) обеспечения транспортной безопасности. Оснащение категорированных объектов транспортной инфраструктуры "Мост через реку Новый Абакан (левый) ...</v>
      </c>
      <c r="G4514" s="22" t="s">
        <v>1041</v>
      </c>
      <c r="H4514" s="22" t="s">
        <v>1041</v>
      </c>
      <c r="I4514" s="26">
        <v>43657.561944444402</v>
      </c>
      <c r="J4514" s="23" t="str">
        <f>HYPERLINK("https://www.spark-marketing.ru/Card/Person/4259585", "ООО ""ЭЛИКОМ ТБ""")</f>
        <v>ООО "ЭЛИКОМ ТБ"</v>
      </c>
      <c r="K4514" s="24" t="s">
        <v>6400</v>
      </c>
      <c r="L4514" s="22" t="s">
        <v>10</v>
      </c>
      <c r="M4514" s="28" t="s">
        <v>52</v>
      </c>
      <c r="N4514" s="28" t="s">
        <v>52</v>
      </c>
    </row>
    <row r="4515" spans="1:14" x14ac:dyDescent="0.15">
      <c r="A4515" s="23" t="str">
        <f>HYPERLINK("https://www.spark-marketing.ru/Card/Person/4688408", "ФЛ ПАО АНК БАШНЕФТЬ БАШНЕФТЬ УФАНЕФТЕХИМ")</f>
        <v>ФЛ ПАО АНК БАШНЕФТЬ БАШНЕФТЬ УФАНЕФТЕХИМ</v>
      </c>
      <c r="B4515" s="28" t="s">
        <v>52</v>
      </c>
      <c r="C4515" s="25">
        <v>2296669.73</v>
      </c>
      <c r="D4515" s="22" t="s">
        <v>6404</v>
      </c>
      <c r="E4515" s="22" t="s">
        <v>53</v>
      </c>
      <c r="F4515" s="23" t="str">
        <f>HYPERLINK("https://www.spark-marketing.ru/Card/Lot/72032693", "Номер закупки УНХ-К-0504-2019. Услуги по техническому обслуживанию систем видеонаблюдения на объектах филиалов ПАО АНК ""Башнефть"" ""Башнефть-Уфанефтехим"", ""Башнефть-Новойл"", ""Башнефть-УНПЗ"" на 2020 г.")</f>
        <v>Номер закупки УНХ-К-0504-2019. Услуги по техническому обслуживанию систем видеонаблюдения на объектах филиалов ПАО АНК "Башнефть" "Башнефть-Уфанефтехим", "Башнефть-Новойл", "Башнефть-УНПЗ" на 2020 г.</v>
      </c>
      <c r="G4515" s="22" t="s">
        <v>52</v>
      </c>
      <c r="H4515" s="22" t="s">
        <v>52</v>
      </c>
      <c r="I4515" s="26">
        <v>43657.548611111102</v>
      </c>
      <c r="J4515" s="28" t="s">
        <v>52</v>
      </c>
      <c r="K4515" s="28" t="s">
        <v>52</v>
      </c>
      <c r="L4515" s="28" t="s">
        <v>52</v>
      </c>
      <c r="M4515" s="28" t="s">
        <v>52</v>
      </c>
      <c r="N4515" s="28" t="s">
        <v>52</v>
      </c>
    </row>
    <row r="4516" spans="1:14" x14ac:dyDescent="0.15">
      <c r="A4516" s="23" t="str">
        <f>HYPERLINK("https://www.spark-marketing.ru/Card/Person/1482931", "МАОУ СОШ № 11")</f>
        <v>МАОУ СОШ № 11</v>
      </c>
      <c r="B4516" s="24" t="s">
        <v>6405</v>
      </c>
      <c r="C4516" s="25">
        <v>200000</v>
      </c>
      <c r="D4516" s="22" t="s">
        <v>6406</v>
      </c>
      <c r="E4516" s="22" t="s">
        <v>49</v>
      </c>
      <c r="F4516" s="23" t="str">
        <f>HYPERLINK("https://www.spark-marketing.ru/Card/Lot/72028817", "Установка комплекса охранной сигнализации")</f>
        <v>Установка комплекса охранной сигнализации</v>
      </c>
      <c r="G4516" s="22" t="s">
        <v>72</v>
      </c>
      <c r="H4516" s="22" t="s">
        <v>72</v>
      </c>
      <c r="I4516" s="26">
        <v>43657.569884259297</v>
      </c>
      <c r="J4516" s="28" t="s">
        <v>52</v>
      </c>
      <c r="K4516" s="28" t="s">
        <v>52</v>
      </c>
      <c r="L4516" s="28" t="s">
        <v>52</v>
      </c>
      <c r="M4516" s="28" t="s">
        <v>52</v>
      </c>
      <c r="N4516" s="28" t="s">
        <v>52</v>
      </c>
    </row>
    <row r="4517" spans="1:14" x14ac:dyDescent="0.2">
      <c r="A4517" s="23" t="str">
        <f>HYPERLINK("https://www.spark-marketing.ru/Card/Person/57885", "ФГБОУ ВО ""ПГУ ИМ. ШОЛОМ-АЛЕЙХЕМА""")</f>
        <v>ФГБОУ ВО "ПГУ ИМ. ШОЛОМ-АЛЕЙХЕМА"</v>
      </c>
      <c r="B4517" s="24" t="s">
        <v>6407</v>
      </c>
      <c r="C4517" s="25">
        <v>715499.4</v>
      </c>
      <c r="D4517" s="22" t="s">
        <v>6408</v>
      </c>
      <c r="E4517" s="22" t="s">
        <v>1837</v>
      </c>
      <c r="F4517" s="23" t="str">
        <f>HYPERLINK("https://www.spark-marketing.ru/Card/Lot/72021656", "Выполнение работ по установке охранной сигнализации в учебном корпусе №2, ул.Пушкина, 7")</f>
        <v>Выполнение работ по установке охранной сигнализации в учебном корпусе №2, ул.Пушкина, 7</v>
      </c>
      <c r="G4517" s="22" t="s">
        <v>6409</v>
      </c>
      <c r="H4517" s="22" t="s">
        <v>6410</v>
      </c>
      <c r="I4517" s="26">
        <v>43657.525601851798</v>
      </c>
      <c r="J4517" s="28" t="s">
        <v>52</v>
      </c>
      <c r="K4517" s="28" t="s">
        <v>52</v>
      </c>
      <c r="L4517" s="22" t="s">
        <v>10</v>
      </c>
      <c r="M4517" s="25">
        <v>0</v>
      </c>
      <c r="N4517" s="27">
        <v>1</v>
      </c>
    </row>
    <row r="4518" spans="1:14" x14ac:dyDescent="0.15">
      <c r="A4518" s="23" t="str">
        <f>HYPERLINK("https://www.spark-marketing.ru/Card/Person/67400", "АДМИНИСТРАЦИЯ СЕЛЬСКОГО ПОСЕЛЕНИЯ КУТУЗОВСКОЕ")</f>
        <v>АДМИНИСТРАЦИЯ СЕЛЬСКОГО ПОСЕЛЕНИЯ КУТУЗОВСКОЕ</v>
      </c>
      <c r="B4518" s="24" t="s">
        <v>6411</v>
      </c>
      <c r="C4518" s="25">
        <v>97560</v>
      </c>
      <c r="D4518" s="22" t="s">
        <v>6412</v>
      </c>
      <c r="E4518" s="22" t="s">
        <v>218</v>
      </c>
      <c r="F4518" s="23" t="str">
        <f>HYPERLINK("https://www.spark-marketing.ru/Card/Lot/72030270", "оказание услуг по техническому обслуживанию систем видеонаблюдения и структурированной кабельной сети")</f>
        <v>оказание услуг по техническому обслуживанию систем видеонаблюдения и структурированной кабельной сети</v>
      </c>
      <c r="G4518" s="22" t="s">
        <v>50</v>
      </c>
      <c r="H4518" s="22" t="s">
        <v>265</v>
      </c>
      <c r="I4518" s="26">
        <v>43657.534467592603</v>
      </c>
      <c r="J4518" s="28" t="s">
        <v>52</v>
      </c>
      <c r="K4518" s="28" t="s">
        <v>52</v>
      </c>
      <c r="L4518" s="28" t="s">
        <v>52</v>
      </c>
      <c r="M4518" s="28" t="s">
        <v>52</v>
      </c>
      <c r="N4518" s="28" t="s">
        <v>52</v>
      </c>
    </row>
    <row r="4519" spans="1:14" x14ac:dyDescent="0.15">
      <c r="A4519" s="23" t="str">
        <f>HYPERLINK("https://www.spark-marketing.ru/Card/Person/531043", "ОГАУ ""ТОМСКЛЕСХОЗ""")</f>
        <v>ОГАУ "ТОМСКЛЕСХОЗ"</v>
      </c>
      <c r="B4519" s="24" t="s">
        <v>6413</v>
      </c>
      <c r="C4519" s="25">
        <v>37000</v>
      </c>
      <c r="D4519" s="22" t="s">
        <v>6414</v>
      </c>
      <c r="E4519" s="22" t="s">
        <v>6415</v>
      </c>
      <c r="F4519" s="23" t="str">
        <f>HYPERLINK("https://www.spark-marketing.ru/Card/Lot/72026973", "Поставка цифрового тахографа")</f>
        <v>Поставка цифрового тахографа</v>
      </c>
      <c r="G4519" s="22" t="s">
        <v>150</v>
      </c>
      <c r="H4519" s="22" t="s">
        <v>1656</v>
      </c>
      <c r="I4519" s="26">
        <v>43657.461805555598</v>
      </c>
      <c r="J4519" s="28" t="s">
        <v>52</v>
      </c>
      <c r="K4519" s="28" t="s">
        <v>52</v>
      </c>
      <c r="L4519" s="28" t="s">
        <v>52</v>
      </c>
      <c r="M4519" s="28" t="s">
        <v>52</v>
      </c>
      <c r="N4519" s="28" t="s">
        <v>52</v>
      </c>
    </row>
    <row r="4520" spans="1:14" x14ac:dyDescent="0.15">
      <c r="A4520" s="23" t="str">
        <f>HYPERLINK("https://www.spark-marketing.ru/Card/Person/76468", "ГБПОУ МО ""КОЛЛЕДЖ ""ПОДМОСКОВЬЕ""")</f>
        <v>ГБПОУ МО "КОЛЛЕДЖ "ПОДМОСКОВЬЕ"</v>
      </c>
      <c r="B4520" s="24" t="s">
        <v>6416</v>
      </c>
      <c r="C4520" s="25">
        <v>996666.67</v>
      </c>
      <c r="D4520" s="22" t="s">
        <v>6417</v>
      </c>
      <c r="E4520" s="22" t="s">
        <v>208</v>
      </c>
      <c r="F4520" s="23" t="str">
        <f>HYPERLINK("https://www.spark-marketing.ru/Card/Lot/72045398", "Поставка и установка системы контроля и управления доступом для нужд ГБПОУ МО ""Колледж ""Подмосковье""")</f>
        <v>Поставка и установка системы контроля и управления доступом для нужд ГБПОУ МО "Колледж "Подмосковье"</v>
      </c>
      <c r="G4520" s="22" t="s">
        <v>50</v>
      </c>
      <c r="H4520" s="22" t="s">
        <v>265</v>
      </c>
      <c r="I4520" s="26">
        <v>43657.483275462997</v>
      </c>
      <c r="J4520" s="28" t="s">
        <v>52</v>
      </c>
      <c r="K4520" s="28" t="s">
        <v>52</v>
      </c>
      <c r="L4520" s="28" t="s">
        <v>52</v>
      </c>
      <c r="M4520" s="28" t="s">
        <v>52</v>
      </c>
      <c r="N4520" s="28" t="s">
        <v>52</v>
      </c>
    </row>
    <row r="4521" spans="1:14" hidden="1" outlineLevel="1" x14ac:dyDescent="0.2">
      <c r="A4521" s="23" t="str">
        <f>HYPERLINK("https://www.spark-marketing.ru/Card/Person/76468", "ГБПОУ МО ""КОЛЛЕДЖ ""ПОДМОСКОВЬЕ""")</f>
        <v>ГБПОУ МО "КОЛЛЕДЖ "ПОДМОСКОВЬЕ"</v>
      </c>
      <c r="B4521" s="24" t="s">
        <v>6416</v>
      </c>
      <c r="C4521" s="25">
        <v>996666.67</v>
      </c>
      <c r="D4521" s="22" t="s">
        <v>6417</v>
      </c>
      <c r="E4521" s="22" t="s">
        <v>208</v>
      </c>
      <c r="F4521" s="23" t="str">
        <f>HYPERLINK("https://www.spark-marketing.ru/Card/Lot/72045398", "Поставка и установка системы контроля и управления доступом для нужд ГБПОУ МО ""Колледж ""Подмосковье""")</f>
        <v>Поставка и установка системы контроля и управления доступом для нужд ГБПОУ МО "Колледж "Подмосковье"</v>
      </c>
      <c r="G4521" s="22" t="s">
        <v>50</v>
      </c>
      <c r="H4521" s="22" t="s">
        <v>265</v>
      </c>
      <c r="I4521" s="26">
        <v>43657.483275462997</v>
      </c>
      <c r="J4521" s="23" t="str">
        <f>HYPERLINK("https://www.spark-marketing.ru/Card/Person/6365169", "ООО ""ГПБ ЕДИНСТВО""")</f>
        <v>ООО "ГПБ ЕДИНСТВО"</v>
      </c>
      <c r="K4521" s="24" t="s">
        <v>6418</v>
      </c>
      <c r="L4521" s="28" t="s">
        <v>52</v>
      </c>
      <c r="M4521" s="25">
        <v>906966.62</v>
      </c>
      <c r="N4521" s="27">
        <v>9.0000049866220566E-2</v>
      </c>
    </row>
    <row r="4522" spans="1:14" ht="12.75" hidden="1" outlineLevel="1" x14ac:dyDescent="0.2">
      <c r="A4522" s="23" t="str">
        <f>HYPERLINK("https://www.spark-marketing.ru/Card/Person/76468", "ГБПОУ МО ""КОЛЛЕДЖ ""ПОДМОСКОВЬЕ""")</f>
        <v>ГБПОУ МО "КОЛЛЕДЖ "ПОДМОСКОВЬЕ"</v>
      </c>
      <c r="B4522" s="24" t="s">
        <v>6416</v>
      </c>
      <c r="C4522" s="25">
        <v>996666.67</v>
      </c>
      <c r="D4522" s="22" t="s">
        <v>6417</v>
      </c>
      <c r="E4522" s="22" t="s">
        <v>208</v>
      </c>
      <c r="F4522" s="23" t="str">
        <f>HYPERLINK("https://www.spark-marketing.ru/Card/Lot/72045398", "Поставка и установка системы контроля и управления доступом для нужд ГБПОУ МО ""Колледж ""Подмосковье""")</f>
        <v>Поставка и установка системы контроля и управления доступом для нужд ГБПОУ МО "Колледж "Подмосковье"</v>
      </c>
      <c r="G4522" s="22" t="s">
        <v>50</v>
      </c>
      <c r="H4522" s="22" t="s">
        <v>265</v>
      </c>
      <c r="I4522" s="26">
        <v>43657.483275462997</v>
      </c>
      <c r="J4522" s="23" t="str">
        <f>HYPERLINK("https://www.spark-marketing.ru/Card/Person/6445825", "Судариков Михаил Геннадьевич")</f>
        <v>Судариков Михаил Геннадьевич</v>
      </c>
      <c r="K4522" s="24" t="s">
        <v>1219</v>
      </c>
      <c r="L4522" s="22" t="s">
        <v>10</v>
      </c>
      <c r="M4522" s="25">
        <v>792349.94</v>
      </c>
      <c r="N4522" s="27">
        <v>0.20500006285953157</v>
      </c>
    </row>
    <row r="4523" spans="1:14" hidden="1" outlineLevel="1" x14ac:dyDescent="0.2">
      <c r="A4523" s="23" t="str">
        <f>HYPERLINK("https://www.spark-marketing.ru/Card/Person/76468", "ГБПОУ МО ""КОЛЛЕДЖ ""ПОДМОСКОВЬЕ""")</f>
        <v>ГБПОУ МО "КОЛЛЕДЖ "ПОДМОСКОВЬЕ"</v>
      </c>
      <c r="B4523" s="24" t="s">
        <v>6416</v>
      </c>
      <c r="C4523" s="25">
        <v>996666.67</v>
      </c>
      <c r="D4523" s="22" t="s">
        <v>6417</v>
      </c>
      <c r="E4523" s="22" t="s">
        <v>208</v>
      </c>
      <c r="F4523" s="23" t="str">
        <f>HYPERLINK("https://www.spark-marketing.ru/Card/Lot/72045398", "Поставка и установка системы контроля и управления доступом для нужд ГБПОУ МО ""Колледж ""Подмосковье""")</f>
        <v>Поставка и установка системы контроля и управления доступом для нужд ГБПОУ МО "Колледж "Подмосковье"</v>
      </c>
      <c r="G4523" s="22" t="s">
        <v>50</v>
      </c>
      <c r="H4523" s="22" t="s">
        <v>265</v>
      </c>
      <c r="I4523" s="26">
        <v>43657.483275462997</v>
      </c>
      <c r="J4523" s="23" t="str">
        <f>HYPERLINK("https://www.spark-marketing.ru/Card/Person/721252", "ООО ""СЭЙФЕР""")</f>
        <v>ООО "СЭЙФЕР"</v>
      </c>
      <c r="K4523" s="24" t="s">
        <v>6419</v>
      </c>
      <c r="L4523" s="28" t="s">
        <v>52</v>
      </c>
      <c r="M4523" s="25">
        <v>797333.28</v>
      </c>
      <c r="N4523" s="27">
        <v>0.20000005618729078</v>
      </c>
    </row>
    <row r="4524" spans="1:14" x14ac:dyDescent="0.15">
      <c r="A4524" s="23" t="str">
        <f>HYPERLINK("https://www.spark-marketing.ru/Card/Person/4352883", "АДМИНИСТРАЦИЯ ЛЕНИНСКОГО СЕЛЬСКОГО ПОСЕЛЕНИЯ")</f>
        <v>АДМИНИСТРАЦИЯ ЛЕНИНСКОГО СЕЛЬСКОГО ПОСЕЛЕНИЯ</v>
      </c>
      <c r="B4524" s="24" t="s">
        <v>6420</v>
      </c>
      <c r="C4524" s="25">
        <v>197699</v>
      </c>
      <c r="D4524" s="22" t="s">
        <v>6421</v>
      </c>
      <c r="E4524" s="22" t="s">
        <v>194</v>
      </c>
      <c r="F4524" s="23" t="str">
        <f>HYPERLINK("https://www.spark-marketing.ru/Card/Lot/72027121", "поставка и установка систем видеонаблюдения")</f>
        <v>поставка и установка систем видеонаблюдения</v>
      </c>
      <c r="G4524" s="22" t="s">
        <v>402</v>
      </c>
      <c r="H4524" s="22" t="s">
        <v>6422</v>
      </c>
      <c r="I4524" s="26">
        <v>43657.476388888899</v>
      </c>
      <c r="J4524" s="28" t="s">
        <v>52</v>
      </c>
      <c r="K4524" s="28" t="s">
        <v>52</v>
      </c>
      <c r="L4524" s="28" t="s">
        <v>52</v>
      </c>
      <c r="M4524" s="28" t="s">
        <v>52</v>
      </c>
      <c r="N4524" s="28" t="s">
        <v>52</v>
      </c>
    </row>
    <row r="4525" spans="1:14" x14ac:dyDescent="0.15">
      <c r="A4525" s="23" t="str">
        <f>HYPERLINK("https://www.spark-marketing.ru/Card/Person/4350891", "ДАЛЬНЕВОСТОЧНОЕ СУТ СК РОССИИ")</f>
        <v>ДАЛЬНЕВОСТОЧНОЕ СУТ СК РОССИИ</v>
      </c>
      <c r="B4525" s="24" t="s">
        <v>6423</v>
      </c>
      <c r="C4525" s="25">
        <v>22848</v>
      </c>
      <c r="D4525" s="22" t="s">
        <v>6424</v>
      </c>
      <c r="E4525" s="22" t="s">
        <v>68</v>
      </c>
      <c r="F4525" s="23" t="str">
        <f>HYPERLINK("https://www.spark-marketing.ru/Card/Lot/72021072", "Оказание услуг по централизованной пультовой охраны объектов в г. Комсомольск-на-Амуре")</f>
        <v>Оказание услуг по централизованной пультовой охраны объектов в г. Комсомольск-на-Амуре</v>
      </c>
      <c r="G4525" s="22" t="s">
        <v>138</v>
      </c>
      <c r="H4525" s="22" t="s">
        <v>139</v>
      </c>
      <c r="I4525" s="26">
        <v>43657.46875</v>
      </c>
      <c r="J4525" s="28" t="s">
        <v>52</v>
      </c>
      <c r="K4525" s="28" t="s">
        <v>52</v>
      </c>
      <c r="L4525" s="28" t="s">
        <v>52</v>
      </c>
      <c r="M4525" s="28" t="s">
        <v>52</v>
      </c>
      <c r="N4525" s="28" t="s">
        <v>52</v>
      </c>
    </row>
    <row r="4526" spans="1:14" x14ac:dyDescent="0.15">
      <c r="A4526" s="23" t="str">
        <f>HYPERLINK("https://www.spark-marketing.ru/Card/Person/139777", "УПРАВЛЕНИЕ РОСКОМНАДЗОРА ПО КАЛУЖСКОЙ ОБЛАСТИ")</f>
        <v>УПРАВЛЕНИЕ РОСКОМНАДЗОРА ПО КАЛУЖСКОЙ ОБЛАСТИ</v>
      </c>
      <c r="B4526" s="24" t="s">
        <v>6425</v>
      </c>
      <c r="C4526" s="25">
        <v>45320</v>
      </c>
      <c r="D4526" s="22" t="s">
        <v>6426</v>
      </c>
      <c r="E4526" s="22" t="s">
        <v>53</v>
      </c>
      <c r="F4526" s="23" t="str">
        <f>HYPERLINK("https://www.spark-marketing.ru/Card/Lot/72026599", "Услуги частной охраны, 1 ч")</f>
        <v>Услуги частной охраны, 1 ч</v>
      </c>
      <c r="G4526" s="22" t="s">
        <v>658</v>
      </c>
      <c r="H4526" s="22" t="s">
        <v>741</v>
      </c>
      <c r="I4526" s="26">
        <v>43657.457951388897</v>
      </c>
      <c r="J4526" s="28" t="s">
        <v>52</v>
      </c>
      <c r="K4526" s="28" t="s">
        <v>52</v>
      </c>
      <c r="L4526" s="28" t="s">
        <v>52</v>
      </c>
      <c r="M4526" s="28" t="s">
        <v>52</v>
      </c>
      <c r="N4526" s="28" t="s">
        <v>52</v>
      </c>
    </row>
    <row r="4527" spans="1:14" x14ac:dyDescent="0.15">
      <c r="A4527" s="23" t="str">
        <f>HYPERLINK("https://www.spark-marketing.ru/Card/Person/57896", "ГБПОУ СО ""УРГЗК""")</f>
        <v>ГБПОУ СО "УРГЗК"</v>
      </c>
      <c r="B4527" s="24" t="s">
        <v>410</v>
      </c>
      <c r="C4527" s="25">
        <v>47315.25</v>
      </c>
      <c r="D4527" s="22" t="s">
        <v>6427</v>
      </c>
      <c r="E4527" s="22" t="s">
        <v>59</v>
      </c>
      <c r="F4527" s="23" t="str">
        <f>HYPERLINK("https://www.spark-marketing.ru/Card/Lot/72066867", "Выполнение работ по установке системы охранной сигнализации")</f>
        <v>Выполнение работ по установке системы охранной сигнализации</v>
      </c>
      <c r="G4527" s="22" t="s">
        <v>72</v>
      </c>
      <c r="H4527" s="22" t="s">
        <v>412</v>
      </c>
      <c r="I4527" s="26">
        <v>43657.4305902778</v>
      </c>
      <c r="J4527" s="28" t="s">
        <v>52</v>
      </c>
      <c r="K4527" s="28" t="s">
        <v>52</v>
      </c>
      <c r="L4527" s="28" t="s">
        <v>52</v>
      </c>
      <c r="M4527" s="28" t="s">
        <v>52</v>
      </c>
      <c r="N4527" s="28" t="s">
        <v>52</v>
      </c>
    </row>
    <row r="4528" spans="1:14" x14ac:dyDescent="0.15">
      <c r="A4528" s="23" t="str">
        <f>HYPERLINK("https://www.spark-marketing.ru/Card/Person/1020806", "МО МВД РОССИИ ""НЕФТЕГОРСКИЙ""")</f>
        <v>МО МВД РОССИИ "НЕФТЕГОРСКИЙ"</v>
      </c>
      <c r="B4528" s="24" t="s">
        <v>6150</v>
      </c>
      <c r="C4528" s="25">
        <v>4459.1000000000004</v>
      </c>
      <c r="D4528" s="22" t="s">
        <v>6428</v>
      </c>
      <c r="E4528" s="22" t="s">
        <v>107</v>
      </c>
      <c r="F4528" s="23" t="str">
        <f>HYPERLINK("https://www.spark-marketing.ru/Card/Lot/72023573", "Техническое обслуживание сигнализации, 17 шт")</f>
        <v>Техническое обслуживание сигнализации, 17 шт</v>
      </c>
      <c r="G4528" s="22" t="s">
        <v>760</v>
      </c>
      <c r="H4528" s="22" t="s">
        <v>6152</v>
      </c>
      <c r="I4528" s="26">
        <v>43657.389918981498</v>
      </c>
      <c r="J4528" s="28" t="s">
        <v>52</v>
      </c>
      <c r="K4528" s="28" t="s">
        <v>52</v>
      </c>
      <c r="L4528" s="28" t="s">
        <v>52</v>
      </c>
      <c r="M4528" s="28" t="s">
        <v>52</v>
      </c>
      <c r="N4528" s="28" t="s">
        <v>52</v>
      </c>
    </row>
    <row r="4529" spans="1:14" x14ac:dyDescent="0.15">
      <c r="A4529" s="23" t="str">
        <f>HYPERLINK("https://www.spark-marketing.ru/Card/Person/1017877", "ФГКУ ""СПЕЦИАЛЬНОЕ УПРАВЛЕНИЕ ФПС № 51 МЧС РОССИИ""")</f>
        <v>ФГКУ "СПЕЦИАЛЬНОЕ УПРАВЛЕНИЕ ФПС № 51 МЧС РОССИИ"</v>
      </c>
      <c r="B4529" s="24" t="s">
        <v>4644</v>
      </c>
      <c r="C4529" s="25">
        <v>10047</v>
      </c>
      <c r="D4529" s="22" t="s">
        <v>6429</v>
      </c>
      <c r="E4529" s="22" t="s">
        <v>107</v>
      </c>
      <c r="F4529" s="23" t="str">
        <f>HYPERLINK("https://www.spark-marketing.ru/Card/Lot/72024541", "Техническое обслуживание камер видеонаблюдения, 1 шт")</f>
        <v>Техническое обслуживание камер видеонаблюдения, 1 шт</v>
      </c>
      <c r="G4529" s="22" t="s">
        <v>521</v>
      </c>
      <c r="H4529" s="22" t="s">
        <v>522</v>
      </c>
      <c r="I4529" s="26">
        <v>43657.395196759302</v>
      </c>
      <c r="J4529" s="28" t="s">
        <v>52</v>
      </c>
      <c r="K4529" s="28" t="s">
        <v>52</v>
      </c>
      <c r="L4529" s="28" t="s">
        <v>52</v>
      </c>
      <c r="M4529" s="28" t="s">
        <v>52</v>
      </c>
      <c r="N4529" s="28" t="s">
        <v>52</v>
      </c>
    </row>
    <row r="4530" spans="1:14" x14ac:dyDescent="0.15">
      <c r="A4530" s="23" t="str">
        <f>HYPERLINK("https://www.spark-marketing.ru/Card/Person/400972", "МО МВД РОССИИ ""ГАЛИЧСКИЙ""")</f>
        <v>МО МВД РОССИИ "ГАЛИЧСКИЙ"</v>
      </c>
      <c r="B4530" s="24" t="s">
        <v>6430</v>
      </c>
      <c r="C4530" s="25">
        <v>87967.679999999993</v>
      </c>
      <c r="D4530" s="22" t="s">
        <v>6431</v>
      </c>
      <c r="E4530" s="22" t="s">
        <v>4116</v>
      </c>
      <c r="F4530" s="23" t="str">
        <f>HYPERLINK("https://www.spark-marketing.ru/Card/Lot/72027696", "Услуги по централизованной охране объектов")</f>
        <v>Услуги по централизованной охране объектов</v>
      </c>
      <c r="G4530" s="22" t="s">
        <v>1104</v>
      </c>
      <c r="H4530" s="22" t="s">
        <v>1104</v>
      </c>
      <c r="I4530" s="26">
        <v>43657.415972222203</v>
      </c>
      <c r="J4530" s="28" t="s">
        <v>52</v>
      </c>
      <c r="K4530" s="28" t="s">
        <v>52</v>
      </c>
      <c r="L4530" s="28" t="s">
        <v>52</v>
      </c>
      <c r="M4530" s="28" t="s">
        <v>52</v>
      </c>
      <c r="N4530" s="28" t="s">
        <v>52</v>
      </c>
    </row>
    <row r="4531" spans="1:14" x14ac:dyDescent="0.15">
      <c r="A4531" s="23" t="str">
        <f>HYPERLINK("https://www.spark-marketing.ru/Card/Person/1020806", "МО МВД РОССИИ ""НЕФТЕГОРСКИЙ""")</f>
        <v>МО МВД РОССИИ "НЕФТЕГОРСКИЙ"</v>
      </c>
      <c r="B4531" s="24" t="s">
        <v>6150</v>
      </c>
      <c r="C4531" s="25">
        <v>4459.1000000000004</v>
      </c>
      <c r="D4531" s="22" t="s">
        <v>6432</v>
      </c>
      <c r="E4531" s="22" t="s">
        <v>107</v>
      </c>
      <c r="F4531" s="23" t="str">
        <f>HYPERLINK("https://www.spark-marketing.ru/Card/Lot/72023584", "Техническое обслуживание сигнализации, 17 шт")</f>
        <v>Техническое обслуживание сигнализации, 17 шт</v>
      </c>
      <c r="G4531" s="22" t="s">
        <v>760</v>
      </c>
      <c r="H4531" s="22" t="s">
        <v>6152</v>
      </c>
      <c r="I4531" s="26">
        <v>43657.3927430556</v>
      </c>
      <c r="J4531" s="28" t="s">
        <v>52</v>
      </c>
      <c r="K4531" s="28" t="s">
        <v>52</v>
      </c>
      <c r="L4531" s="28" t="s">
        <v>52</v>
      </c>
      <c r="M4531" s="28" t="s">
        <v>52</v>
      </c>
      <c r="N4531" s="28" t="s">
        <v>52</v>
      </c>
    </row>
    <row r="4532" spans="1:14" x14ac:dyDescent="0.15">
      <c r="A4532" s="23" t="str">
        <f>HYPERLINK("https://www.spark-marketing.ru/Card/Person/132323", "ОПТД")</f>
        <v>ОПТД</v>
      </c>
      <c r="B4532" s="24" t="s">
        <v>5957</v>
      </c>
      <c r="C4532" s="25">
        <v>300000</v>
      </c>
      <c r="D4532" s="22" t="s">
        <v>6433</v>
      </c>
      <c r="E4532" s="22" t="s">
        <v>52</v>
      </c>
      <c r="F4532" s="23" t="str">
        <f>HYPERLINK("https://www.spark-marketing.ru/Card/Lot/72036813", "Оказание услуг охраны и технического обслуживания средств охраны")</f>
        <v>Оказание услуг охраны и технического обслуживания средств охраны</v>
      </c>
      <c r="G4532" s="22" t="s">
        <v>340</v>
      </c>
      <c r="H4532" s="22" t="s">
        <v>1030</v>
      </c>
      <c r="I4532" s="26">
        <v>43657.413194444402</v>
      </c>
      <c r="J4532" s="28" t="s">
        <v>52</v>
      </c>
      <c r="K4532" s="28" t="s">
        <v>52</v>
      </c>
      <c r="L4532" s="28" t="s">
        <v>52</v>
      </c>
      <c r="M4532" s="28" t="s">
        <v>52</v>
      </c>
      <c r="N4532" s="28" t="s">
        <v>52</v>
      </c>
    </row>
    <row r="4533" spans="1:14" ht="12.75" hidden="1" outlineLevel="1" x14ac:dyDescent="0.2">
      <c r="A4533" s="23" t="str">
        <f>HYPERLINK("https://www.spark-marketing.ru/Card/Person/132323", "ОПТД")</f>
        <v>ОПТД</v>
      </c>
      <c r="B4533" s="24" t="s">
        <v>5957</v>
      </c>
      <c r="C4533" s="25">
        <v>300000</v>
      </c>
      <c r="D4533" s="22" t="s">
        <v>6433</v>
      </c>
      <c r="E4533" s="22" t="s">
        <v>52</v>
      </c>
      <c r="F4533" s="23" t="str">
        <f>HYPERLINK("https://www.spark-marketing.ru/Card/Lot/72036813", "Оказание услуг охраны и технического обслуживания средств охраны")</f>
        <v>Оказание услуг охраны и технического обслуживания средств охраны</v>
      </c>
      <c r="G4533" s="22" t="s">
        <v>340</v>
      </c>
      <c r="H4533" s="22" t="s">
        <v>1030</v>
      </c>
      <c r="I4533" s="26">
        <v>43657.413194444402</v>
      </c>
      <c r="J4533" s="23" t="str">
        <f>HYPERLINK("https://www.spark-marketing.ru/Card/Person/335095", "ООО ОП ""ГЕФЕСТ""")</f>
        <v>ООО ОП "ГЕФЕСТ"</v>
      </c>
      <c r="K4533" s="24" t="s">
        <v>5960</v>
      </c>
      <c r="L4533" s="22" t="s">
        <v>10</v>
      </c>
      <c r="M4533" s="25">
        <v>295000</v>
      </c>
      <c r="N4533" s="27">
        <v>1.6666666666666666E-2</v>
      </c>
    </row>
    <row r="4534" spans="1:14" hidden="1" outlineLevel="1" x14ac:dyDescent="0.2">
      <c r="A4534" s="23" t="str">
        <f>HYPERLINK("https://www.spark-marketing.ru/Card/Person/132323", "ОПТД")</f>
        <v>ОПТД</v>
      </c>
      <c r="B4534" s="24" t="s">
        <v>5957</v>
      </c>
      <c r="C4534" s="25">
        <v>300000</v>
      </c>
      <c r="D4534" s="22" t="s">
        <v>6433</v>
      </c>
      <c r="E4534" s="22" t="s">
        <v>52</v>
      </c>
      <c r="F4534" s="23" t="str">
        <f>HYPERLINK("https://www.spark-marketing.ru/Card/Lot/72036813", "Оказание услуг охраны и технического обслуживания средств охраны")</f>
        <v>Оказание услуг охраны и технического обслуживания средств охраны</v>
      </c>
      <c r="G4534" s="22" t="s">
        <v>340</v>
      </c>
      <c r="H4534" s="22" t="s">
        <v>1030</v>
      </c>
      <c r="I4534" s="26">
        <v>43657.413194444402</v>
      </c>
      <c r="J4534" s="23" t="str">
        <f>HYPERLINK("https://www.spark-marketing.ru/Card/Person/127442", "ООО ОА ""ГАРАНТ БЕЗОПАСНОСТИ""")</f>
        <v>ООО ОА "ГАРАНТ БЕЗОПАСНОСТИ"</v>
      </c>
      <c r="K4534" s="24" t="s">
        <v>5959</v>
      </c>
      <c r="L4534" s="28" t="s">
        <v>52</v>
      </c>
      <c r="M4534" s="25">
        <v>300000</v>
      </c>
      <c r="N4534" s="27">
        <v>0</v>
      </c>
    </row>
    <row r="4535" spans="1:14" x14ac:dyDescent="0.15">
      <c r="A4535" s="23" t="str">
        <f>HYPERLINK("https://www.spark-marketing.ru/Card/Person/31591", "МЕЖРАЙОННАЯ ИФНС РОССИИ № 7 ПО МОСКОВСКОЙ ОБЛАСТИ")</f>
        <v>МЕЖРАЙОННАЯ ИФНС РОССИИ № 7 ПО МОСКОВСКОЙ ОБЛАСТИ</v>
      </c>
      <c r="B4535" s="24" t="s">
        <v>6434</v>
      </c>
      <c r="C4535" s="25">
        <v>67500</v>
      </c>
      <c r="D4535" s="22" t="s">
        <v>6435</v>
      </c>
      <c r="E4535" s="22" t="s">
        <v>1013</v>
      </c>
      <c r="F4535" s="23" t="str">
        <f>HYPERLINK("https://www.spark-marketing.ru/Card/Lot/72024486", "Техническое обслуживание систем АПС и СОУЭ, ОС, СКУД, видеонаблюдения, 5 усл. ед")</f>
        <v>Техническое обслуживание систем АПС и СОУЭ, ОС, СКУД, видеонаблюдения, 5 усл. ед</v>
      </c>
      <c r="G4535" s="22" t="s">
        <v>50</v>
      </c>
      <c r="H4535" s="22" t="s">
        <v>682</v>
      </c>
      <c r="I4535" s="26">
        <v>43657.410578703697</v>
      </c>
      <c r="J4535" s="28" t="s">
        <v>52</v>
      </c>
      <c r="K4535" s="28" t="s">
        <v>52</v>
      </c>
      <c r="L4535" s="28" t="s">
        <v>52</v>
      </c>
      <c r="M4535" s="28" t="s">
        <v>52</v>
      </c>
      <c r="N4535" s="28" t="s">
        <v>52</v>
      </c>
    </row>
    <row r="4536" spans="1:14" x14ac:dyDescent="0.15">
      <c r="A4536" s="23" t="str">
        <f>HYPERLINK("https://www.spark-marketing.ru/Card/Person/18123", "ГКУСО ""УЗПСО""")</f>
        <v>ГКУСО "УЗПСО"</v>
      </c>
      <c r="B4536" s="24" t="s">
        <v>6436</v>
      </c>
      <c r="C4536" s="25">
        <v>753936</v>
      </c>
      <c r="D4536" s="22" t="s">
        <v>6437</v>
      </c>
      <c r="E4536" s="22" t="s">
        <v>52</v>
      </c>
      <c r="F4536" s="23" t="str">
        <f>HYPERLINK("https://www.spark-marketing.ru/Card/Lot/72045059", "Круглосуточная охрана территории объекта ГКУСО «Управление зданиями Правительства Свердловской области»")</f>
        <v>Круглосуточная охрана территории объекта ГКУСО «Управление зданиями Правительства Свердловской области»</v>
      </c>
      <c r="G4536" s="22" t="s">
        <v>72</v>
      </c>
      <c r="H4536" s="22" t="s">
        <v>6438</v>
      </c>
      <c r="I4536" s="26">
        <v>43657.405520833301</v>
      </c>
      <c r="J4536" s="23" t="str">
        <f>HYPERLINK("https://www.spark-marketing.ru/Card/Person/58845", "ООО ЧОП ""АГЕНТСТВО БИЗНЕС-БЕЗОПАСНОСТЬ""")</f>
        <v>ООО ЧОП "АГЕНТСТВО БИЗНЕС-БЕЗОПАСНОСТЬ"</v>
      </c>
      <c r="K4536" s="24" t="s">
        <v>1177</v>
      </c>
      <c r="L4536" s="22" t="s">
        <v>10</v>
      </c>
      <c r="M4536" s="28" t="s">
        <v>52</v>
      </c>
      <c r="N4536" s="28" t="s">
        <v>52</v>
      </c>
    </row>
    <row r="4537" spans="1:14" x14ac:dyDescent="0.15">
      <c r="A4537" s="23" t="str">
        <f>HYPERLINK("https://www.spark-marketing.ru/Card/Person/1005588", "МБДОУ ДЕТСКИЙ САД № 40 ""СОЛНЫШКО""")</f>
        <v>МБДОУ ДЕТСКИЙ САД № 40 "СОЛНЫШКО"</v>
      </c>
      <c r="B4537" s="24" t="s">
        <v>6439</v>
      </c>
      <c r="C4537" s="25">
        <v>111000</v>
      </c>
      <c r="D4537" s="22" t="s">
        <v>6440</v>
      </c>
      <c r="E4537" s="22" t="s">
        <v>84</v>
      </c>
      <c r="F4537" s="23" t="str">
        <f>HYPERLINK("https://www.spark-marketing.ru/Card/Lot/72023509", "Оказание услуг по согласованию, установке и подключения устанавливаемого оборудования системы видеонаблюдения в соответствии с общими техническими требованиями к системам видеонаблюдения технологического обеспечения региональной общественной безопасн...")</f>
        <v>Оказание услуг по согласованию, установке и подключения устанавливаемого оборудования системы видеонаблюдения в соответствии с общими техническими требованиями к системам видеонаблюдения технологического обеспечения региональной общественной безопасн...</v>
      </c>
      <c r="G4537" s="22" t="s">
        <v>50</v>
      </c>
      <c r="H4537" s="22" t="s">
        <v>682</v>
      </c>
      <c r="I4537" s="26">
        <v>43657.356932870403</v>
      </c>
      <c r="J4537" s="28" t="s">
        <v>52</v>
      </c>
      <c r="K4537" s="28" t="s">
        <v>52</v>
      </c>
      <c r="L4537" s="28" t="s">
        <v>52</v>
      </c>
      <c r="M4537" s="28" t="s">
        <v>52</v>
      </c>
      <c r="N4537" s="28" t="s">
        <v>52</v>
      </c>
    </row>
    <row r="4538" spans="1:14" x14ac:dyDescent="0.15">
      <c r="A4538" s="23" t="str">
        <f>HYPERLINK("https://www.spark-marketing.ru/Card/Person/1719126", "ООО ""СЛАВНЕФТЬ-КРАСНОЯРСКНЕФТЕГАЗ""")</f>
        <v>ООО "СЛАВНЕФТЬ-КРАСНОЯРСКНЕФТЕГАЗ"</v>
      </c>
      <c r="B4538" s="24" t="s">
        <v>6441</v>
      </c>
      <c r="C4538" s="28" t="s">
        <v>52</v>
      </c>
      <c r="D4538" s="22" t="s">
        <v>6442</v>
      </c>
      <c r="E4538" s="22" t="s">
        <v>6443</v>
      </c>
      <c r="F4538" s="23" t="str">
        <f>HYPERLINK("https://www.spark-marketing.ru/Card/Lot/72023282", "Оказание услуг по инженерно-технологическому сопровождению буровых растворов на объектах ООО «Славнефть-Красноярскнефтегаз")</f>
        <v>Оказание услуг по инженерно-технологическому сопровождению буровых растворов на объектах ООО «Славнефть-Красноярскнефтегаз</v>
      </c>
      <c r="G4538" s="22" t="s">
        <v>640</v>
      </c>
      <c r="H4538" s="22" t="s">
        <v>1524</v>
      </c>
      <c r="I4538" s="26">
        <v>43657.361111111102</v>
      </c>
      <c r="J4538" s="28" t="s">
        <v>52</v>
      </c>
      <c r="K4538" s="28" t="s">
        <v>52</v>
      </c>
      <c r="L4538" s="28" t="s">
        <v>52</v>
      </c>
      <c r="M4538" s="28" t="s">
        <v>52</v>
      </c>
      <c r="N4538" s="28" t="s">
        <v>52</v>
      </c>
    </row>
    <row r="4539" spans="1:14" x14ac:dyDescent="0.15">
      <c r="A4539" s="23" t="str">
        <f>HYPERLINK("https://www.spark-marketing.ru/Card/Person/370376", "ООО ""ВОДОКАНАЛ""")</f>
        <v>ООО "ВОДОКАНАЛ"</v>
      </c>
      <c r="B4539" s="24" t="s">
        <v>6444</v>
      </c>
      <c r="C4539" s="25">
        <v>1109870.1000000001</v>
      </c>
      <c r="D4539" s="22" t="s">
        <v>6445</v>
      </c>
      <c r="E4539" s="22" t="s">
        <v>144</v>
      </c>
      <c r="F4539" s="23" t="str">
        <f>HYPERLINK("https://www.spark-marketing.ru/Card/Lot/72020977", "Оказание услуг по охране объектов военизированными подразделениями")</f>
        <v>Оказание услуг по охране объектов военизированными подразделениями</v>
      </c>
      <c r="G4539" s="22" t="s">
        <v>209</v>
      </c>
      <c r="H4539" s="22" t="s">
        <v>209</v>
      </c>
      <c r="I4539" s="26">
        <v>43657.364826388897</v>
      </c>
      <c r="J4539" s="28" t="s">
        <v>52</v>
      </c>
      <c r="K4539" s="28" t="s">
        <v>52</v>
      </c>
      <c r="L4539" s="28" t="s">
        <v>52</v>
      </c>
      <c r="M4539" s="28" t="s">
        <v>52</v>
      </c>
      <c r="N4539" s="28" t="s">
        <v>52</v>
      </c>
    </row>
    <row r="4540" spans="1:14" x14ac:dyDescent="0.15">
      <c r="A4540" s="23" t="str">
        <f t="shared" ref="A4540:A4546" si="201">HYPERLINK("https://www.spark-marketing.ru/Card/Person/263580", "АОУ ДО ВО ""ДООЦ ""ЛЕСНАЯ СКАЗКА""")</f>
        <v>АОУ ДО ВО "ДООЦ "ЛЕСНАЯ СКАЗКА"</v>
      </c>
      <c r="B4540" s="24" t="s">
        <v>1566</v>
      </c>
      <c r="C4540" s="25">
        <v>7623496.7999999998</v>
      </c>
      <c r="D4540" s="22" t="s">
        <v>6446</v>
      </c>
      <c r="E4540" s="22" t="s">
        <v>84</v>
      </c>
      <c r="F4540" s="23" t="str">
        <f t="shared" ref="F4540:F4546" si="202">HYPERLINK("https://www.spark-marketing.ru/Card/Lot/72025240", "Установка системы наружного видеонаблюдения на территории АОУ ДО ВО «ДООЦ «Лесная сказка»")</f>
        <v>Установка системы наружного видеонаблюдения на территории АОУ ДО ВО «ДООЦ «Лесная сказка»</v>
      </c>
      <c r="G4540" s="22" t="s">
        <v>902</v>
      </c>
      <c r="H4540" s="22" t="s">
        <v>6447</v>
      </c>
      <c r="I4540" s="26">
        <v>43657.344444444403</v>
      </c>
      <c r="J4540" s="28" t="s">
        <v>52</v>
      </c>
      <c r="K4540" s="28" t="s">
        <v>52</v>
      </c>
      <c r="L4540" s="28" t="s">
        <v>52</v>
      </c>
      <c r="M4540" s="28" t="s">
        <v>52</v>
      </c>
      <c r="N4540" s="28" t="s">
        <v>52</v>
      </c>
    </row>
    <row r="4541" spans="1:14" ht="12.75" hidden="1" outlineLevel="1" x14ac:dyDescent="0.2">
      <c r="A4541" s="23" t="str">
        <f t="shared" si="201"/>
        <v>АОУ ДО ВО "ДООЦ "ЛЕСНАЯ СКАЗКА"</v>
      </c>
      <c r="B4541" s="24" t="s">
        <v>1566</v>
      </c>
      <c r="C4541" s="25">
        <v>7623496.7999999998</v>
      </c>
      <c r="D4541" s="22" t="s">
        <v>6446</v>
      </c>
      <c r="E4541" s="22" t="s">
        <v>84</v>
      </c>
      <c r="F4541" s="23" t="str">
        <f t="shared" si="202"/>
        <v>Установка системы наружного видеонаблюдения на территории АОУ ДО ВО «ДООЦ «Лесная сказка»</v>
      </c>
      <c r="G4541" s="22" t="s">
        <v>902</v>
      </c>
      <c r="H4541" s="22" t="s">
        <v>6447</v>
      </c>
      <c r="I4541" s="26">
        <v>43657.344444444403</v>
      </c>
      <c r="J4541" s="23" t="str">
        <f>HYPERLINK("https://www.spark-marketing.ru/Card/Person/6448657", "Гончар Григорий Леонидович")</f>
        <v>Гончар Григорий Леонидович</v>
      </c>
      <c r="K4541" s="24" t="s">
        <v>5825</v>
      </c>
      <c r="L4541" s="22" t="s">
        <v>10</v>
      </c>
      <c r="M4541" s="25">
        <v>4289185.6399999997</v>
      </c>
      <c r="N4541" s="27">
        <v>0.43737293363853713</v>
      </c>
    </row>
    <row r="4542" spans="1:14" hidden="1" outlineLevel="1" x14ac:dyDescent="0.2">
      <c r="A4542" s="23" t="str">
        <f t="shared" si="201"/>
        <v>АОУ ДО ВО "ДООЦ "ЛЕСНАЯ СКАЗКА"</v>
      </c>
      <c r="B4542" s="24" t="s">
        <v>1566</v>
      </c>
      <c r="C4542" s="25">
        <v>7623496.7999999998</v>
      </c>
      <c r="D4542" s="22" t="s">
        <v>6446</v>
      </c>
      <c r="E4542" s="22" t="s">
        <v>84</v>
      </c>
      <c r="F4542" s="23" t="str">
        <f t="shared" si="202"/>
        <v>Установка системы наружного видеонаблюдения на территории АОУ ДО ВО «ДООЦ «Лесная сказка»</v>
      </c>
      <c r="G4542" s="22" t="s">
        <v>902</v>
      </c>
      <c r="H4542" s="22" t="s">
        <v>6447</v>
      </c>
      <c r="I4542" s="26">
        <v>43657.344444444403</v>
      </c>
      <c r="J4542" s="23" t="str">
        <f>HYPERLINK("https://www.spark-marketing.ru/Card/Person/6419206", "ООО ""КОНСТРУКТОР""")</f>
        <v>ООО "КОНСТРУКТОР"</v>
      </c>
      <c r="K4542" s="24" t="s">
        <v>6448</v>
      </c>
      <c r="L4542" s="28" t="s">
        <v>52</v>
      </c>
      <c r="M4542" s="25">
        <v>6500000</v>
      </c>
      <c r="N4542" s="27">
        <v>0.14737289586059774</v>
      </c>
    </row>
    <row r="4543" spans="1:14" hidden="1" outlineLevel="1" x14ac:dyDescent="0.2">
      <c r="A4543" s="23" t="str">
        <f t="shared" si="201"/>
        <v>АОУ ДО ВО "ДООЦ "ЛЕСНАЯ СКАЗКА"</v>
      </c>
      <c r="B4543" s="24" t="s">
        <v>1566</v>
      </c>
      <c r="C4543" s="25">
        <v>7623496.7999999998</v>
      </c>
      <c r="D4543" s="22" t="s">
        <v>6446</v>
      </c>
      <c r="E4543" s="22" t="s">
        <v>84</v>
      </c>
      <c r="F4543" s="23" t="str">
        <f t="shared" si="202"/>
        <v>Установка системы наружного видеонаблюдения на территории АОУ ДО ВО «ДООЦ «Лесная сказка»</v>
      </c>
      <c r="G4543" s="22" t="s">
        <v>902</v>
      </c>
      <c r="H4543" s="22" t="s">
        <v>6447</v>
      </c>
      <c r="I4543" s="26">
        <v>43657.344444444403</v>
      </c>
      <c r="J4543" s="23" t="str">
        <f>HYPERLINK("https://www.spark-marketing.ru/Card/Person/889568", "ООО ЧОО ""ЗВЕЗДА""")</f>
        <v>ООО ЧОО "ЗВЕЗДА"</v>
      </c>
      <c r="K4543" s="24" t="s">
        <v>3392</v>
      </c>
      <c r="L4543" s="28" t="s">
        <v>52</v>
      </c>
      <c r="M4543" s="25">
        <v>4327303.13</v>
      </c>
      <c r="N4543" s="27">
        <v>0.43237293285149669</v>
      </c>
    </row>
    <row r="4544" spans="1:14" hidden="1" outlineLevel="1" x14ac:dyDescent="0.2">
      <c r="A4544" s="23" t="str">
        <f t="shared" si="201"/>
        <v>АОУ ДО ВО "ДООЦ "ЛЕСНАЯ СКАЗКА"</v>
      </c>
      <c r="B4544" s="24" t="s">
        <v>1566</v>
      </c>
      <c r="C4544" s="25">
        <v>7623496.7999999998</v>
      </c>
      <c r="D4544" s="22" t="s">
        <v>6446</v>
      </c>
      <c r="E4544" s="22" t="s">
        <v>84</v>
      </c>
      <c r="F4544" s="23" t="str">
        <f t="shared" si="202"/>
        <v>Установка системы наружного видеонаблюдения на территории АОУ ДО ВО «ДООЦ «Лесная сказка»</v>
      </c>
      <c r="G4544" s="22" t="s">
        <v>902</v>
      </c>
      <c r="H4544" s="22" t="s">
        <v>6447</v>
      </c>
      <c r="I4544" s="26">
        <v>43657.344444444403</v>
      </c>
      <c r="J4544" s="23" t="str">
        <f>HYPERLINK("https://www.spark-marketing.ru/Card/Person/491712", "ООО ""БЛИСС""")</f>
        <v>ООО "БЛИСС"</v>
      </c>
      <c r="K4544" s="24" t="s">
        <v>5827</v>
      </c>
      <c r="L4544" s="28" t="s">
        <v>52</v>
      </c>
      <c r="M4544" s="25">
        <v>5850002.7199999997</v>
      </c>
      <c r="N4544" s="27">
        <v>0.23263524948288822</v>
      </c>
    </row>
    <row r="4545" spans="1:14" hidden="1" outlineLevel="1" x14ac:dyDescent="0.2">
      <c r="A4545" s="23" t="str">
        <f t="shared" si="201"/>
        <v>АОУ ДО ВО "ДООЦ "ЛЕСНАЯ СКАЗКА"</v>
      </c>
      <c r="B4545" s="24" t="s">
        <v>1566</v>
      </c>
      <c r="C4545" s="25">
        <v>7623496.7999999998</v>
      </c>
      <c r="D4545" s="22" t="s">
        <v>6446</v>
      </c>
      <c r="E4545" s="22" t="s">
        <v>84</v>
      </c>
      <c r="F4545" s="23" t="str">
        <f t="shared" si="202"/>
        <v>Установка системы наружного видеонаблюдения на территории АОУ ДО ВО «ДООЦ «Лесная сказка»</v>
      </c>
      <c r="G4545" s="22" t="s">
        <v>902</v>
      </c>
      <c r="H4545" s="22" t="s">
        <v>6447</v>
      </c>
      <c r="I4545" s="26">
        <v>43657.344444444403</v>
      </c>
      <c r="J4545" s="23" t="str">
        <f>HYPERLINK("https://www.spark-marketing.ru/Card/Person/515850", "ООО ""ИНКОМ""")</f>
        <v>ООО "ИНКОМ"</v>
      </c>
      <c r="K4545" s="24" t="s">
        <v>6449</v>
      </c>
      <c r="L4545" s="28" t="s">
        <v>52</v>
      </c>
      <c r="M4545" s="25">
        <v>7500496.79</v>
      </c>
      <c r="N4545" s="27">
        <v>1.6134329590064233E-2</v>
      </c>
    </row>
    <row r="4546" spans="1:14" hidden="1" outlineLevel="1" x14ac:dyDescent="0.2">
      <c r="A4546" s="23" t="str">
        <f t="shared" si="201"/>
        <v>АОУ ДО ВО "ДООЦ "ЛЕСНАЯ СКАЗКА"</v>
      </c>
      <c r="B4546" s="24" t="s">
        <v>1566</v>
      </c>
      <c r="C4546" s="25">
        <v>7623496.7999999998</v>
      </c>
      <c r="D4546" s="22" t="s">
        <v>6446</v>
      </c>
      <c r="E4546" s="22" t="s">
        <v>84</v>
      </c>
      <c r="F4546" s="23" t="str">
        <f t="shared" si="202"/>
        <v>Установка системы наружного видеонаблюдения на территории АОУ ДО ВО «ДООЦ «Лесная сказка»</v>
      </c>
      <c r="G4546" s="22" t="s">
        <v>902</v>
      </c>
      <c r="H4546" s="22" t="s">
        <v>6447</v>
      </c>
      <c r="I4546" s="26">
        <v>43657.344444444403</v>
      </c>
      <c r="J4546" s="23" t="str">
        <f>HYPERLINK("https://www.spark-marketing.ru/Card/Person/6454067", "ООО ""БИТРЕЙД""")</f>
        <v>ООО "БИТРЕЙД"</v>
      </c>
      <c r="K4546" s="24" t="s">
        <v>5828</v>
      </c>
      <c r="L4546" s="28" t="s">
        <v>52</v>
      </c>
      <c r="M4546" s="25">
        <v>5547062.8099999996</v>
      </c>
      <c r="N4546" s="27">
        <v>0.27237290766620376</v>
      </c>
    </row>
    <row r="4547" spans="1:14" x14ac:dyDescent="0.15">
      <c r="A4547" s="23" t="str">
        <f>HYPERLINK("https://www.spark-marketing.ru/Card/Person/530301", "МЕЖРЕГИОНАЛЬНОЕ УПРАВЛЕНИЕ № 81 ФМБА РОССИИ")</f>
        <v>МЕЖРЕГИОНАЛЬНОЕ УПРАВЛЕНИЕ № 81 ФМБА РОССИИ</v>
      </c>
      <c r="B4547" s="24" t="s">
        <v>6450</v>
      </c>
      <c r="C4547" s="25">
        <v>8033.55</v>
      </c>
      <c r="D4547" s="22" t="s">
        <v>6451</v>
      </c>
      <c r="E4547" s="22" t="s">
        <v>53</v>
      </c>
      <c r="F4547" s="23" t="str">
        <f>HYPERLINK("https://www.spark-marketing.ru/Card/Lot/72020907", "Централизованная охрана имущества Заказчика")</f>
        <v>Централизованная охрана имущества Заказчика</v>
      </c>
      <c r="G4547" s="22" t="s">
        <v>150</v>
      </c>
      <c r="H4547" s="22" t="s">
        <v>161</v>
      </c>
      <c r="I4547" s="26">
        <v>43657.199004629598</v>
      </c>
      <c r="J4547" s="28" t="s">
        <v>52</v>
      </c>
      <c r="K4547" s="28" t="s">
        <v>52</v>
      </c>
      <c r="L4547" s="28" t="s">
        <v>52</v>
      </c>
      <c r="M4547" s="28" t="s">
        <v>52</v>
      </c>
      <c r="N4547" s="28" t="s">
        <v>52</v>
      </c>
    </row>
    <row r="4548" spans="1:14" x14ac:dyDescent="0.15">
      <c r="A4548" s="23" t="str">
        <f>HYPERLINK("https://www.spark-marketing.ru/Card/Person/913866", "АО ""НПП ""СТАРТ"" ИМ.А.И.ЯСКИНА""")</f>
        <v>АО "НПП "СТАРТ" ИМ.А.И.ЯСКИНА"</v>
      </c>
      <c r="B4548" s="24" t="s">
        <v>6452</v>
      </c>
      <c r="C4548" s="25">
        <v>2986000</v>
      </c>
      <c r="D4548" s="22" t="s">
        <v>6453</v>
      </c>
      <c r="E4548" s="22" t="s">
        <v>691</v>
      </c>
      <c r="F4548" s="23" t="str">
        <f>HYPERLINK("https://www.spark-marketing.ru/Card/Lot/72039029", "1217-2019-00421 Поставка и установка системы видеонаблюдения, системы контроля управления доступом в сборочном цехе № 8а, 8б, с АБК")</f>
        <v>1217-2019-00421 Поставка и установка системы видеонаблюдения, системы контроля управления доступом в сборочном цехе № 8а, 8б, с АБК</v>
      </c>
      <c r="G4548" s="22" t="s">
        <v>72</v>
      </c>
      <c r="H4548" s="22" t="s">
        <v>949</v>
      </c>
      <c r="I4548" s="26">
        <v>43657</v>
      </c>
      <c r="J4548" s="28" t="s">
        <v>52</v>
      </c>
      <c r="K4548" s="28" t="s">
        <v>52</v>
      </c>
      <c r="L4548" s="28" t="s">
        <v>52</v>
      </c>
      <c r="M4548" s="28" t="s">
        <v>52</v>
      </c>
      <c r="N4548" s="28" t="s">
        <v>52</v>
      </c>
    </row>
    <row r="4549" spans="1:14" x14ac:dyDescent="0.15">
      <c r="A4549" s="23" t="str">
        <f>HYPERLINK("https://www.spark-marketing.ru/Card/Person/4349894", "ФГБУ ""КАМЧАТСКАЯ МВЛ""")</f>
        <v>ФГБУ "КАМЧАТСКАЯ МВЛ"</v>
      </c>
      <c r="B4549" s="24" t="s">
        <v>6454</v>
      </c>
      <c r="C4549" s="25">
        <v>332300</v>
      </c>
      <c r="D4549" s="22" t="s">
        <v>6455</v>
      </c>
      <c r="E4549" s="22" t="s">
        <v>49</v>
      </c>
      <c r="F4549" s="23" t="str">
        <f>HYPERLINK("https://www.spark-marketing.ru/Card/Lot/72000697", "Выполнение монтажно-наладочных работ по установке технических средств охраны в здании котельной по адресу: г. Елизово, ул. Новая, 8")</f>
        <v>Выполнение монтажно-наладочных работ по установке технических средств охраны в здании котельной по адресу: г. Елизово, ул. Новая, 8</v>
      </c>
      <c r="G4549" s="22" t="s">
        <v>1141</v>
      </c>
      <c r="H4549" s="22" t="s">
        <v>1141</v>
      </c>
      <c r="I4549" s="26">
        <v>43656.793275463002</v>
      </c>
      <c r="J4549" s="28" t="s">
        <v>52</v>
      </c>
      <c r="K4549" s="28" t="s">
        <v>52</v>
      </c>
      <c r="L4549" s="28" t="s">
        <v>52</v>
      </c>
      <c r="M4549" s="28" t="s">
        <v>52</v>
      </c>
      <c r="N4549" s="28" t="s">
        <v>52</v>
      </c>
    </row>
    <row r="4550" spans="1:14" x14ac:dyDescent="0.15">
      <c r="A4550" s="23" t="str">
        <f>HYPERLINK("https://www.spark-marketing.ru/Card/Person/114631", "МБДОУ ДЕТСКИЙ САД № 16")</f>
        <v>МБДОУ ДЕТСКИЙ САД № 16</v>
      </c>
      <c r="B4550" s="24" t="s">
        <v>6456</v>
      </c>
      <c r="C4550" s="25">
        <v>77560</v>
      </c>
      <c r="D4550" s="22" t="s">
        <v>6457</v>
      </c>
      <c r="E4550" s="22" t="s">
        <v>84</v>
      </c>
      <c r="F4550" s="23" t="str">
        <f>HYPERLINK("https://www.spark-marketing.ru/Card/Lot/72013219", "Выполнение работ по монтажу системы видеонаблюдения.")</f>
        <v>Выполнение работ по монтажу системы видеонаблюдения.</v>
      </c>
      <c r="G4550" s="22" t="s">
        <v>50</v>
      </c>
      <c r="H4550" s="22" t="s">
        <v>3866</v>
      </c>
      <c r="I4550" s="26">
        <v>43656.752754629597</v>
      </c>
      <c r="J4550" s="28" t="s">
        <v>52</v>
      </c>
      <c r="K4550" s="28" t="s">
        <v>52</v>
      </c>
      <c r="L4550" s="28" t="s">
        <v>52</v>
      </c>
      <c r="M4550" s="28" t="s">
        <v>52</v>
      </c>
      <c r="N4550" s="28" t="s">
        <v>52</v>
      </c>
    </row>
    <row r="4551" spans="1:14" x14ac:dyDescent="0.15">
      <c r="A4551" s="23" t="str">
        <f>HYPERLINK("https://www.spark-marketing.ru/Card/Person/150460", "ООО ""ЗБМ""")</f>
        <v>ООО "ЗБМ"</v>
      </c>
      <c r="B4551" s="24" t="s">
        <v>6458</v>
      </c>
      <c r="C4551" s="25">
        <v>180540</v>
      </c>
      <c r="D4551" s="22" t="s">
        <v>6459</v>
      </c>
      <c r="E4551" s="22" t="s">
        <v>996</v>
      </c>
      <c r="F4551" s="23" t="str">
        <f>HYPERLINK("https://www.spark-marketing.ru/Card/Lot/72004462", "Заключение договора по установке камер видеонаблюдения на объекте «Спортивный комплекс с универсальным залом и плавательным бассейном в п. Нижний Бестях Мегино-Кангаласского улуса»")</f>
        <v>Заключение договора по установке камер видеонаблюдения на объекте «Спортивный комплекс с универсальным залом и плавательным бассейном в п. Нижний Бестях Мегино-Кангаласского улуса»</v>
      </c>
      <c r="G4551" s="22" t="s">
        <v>424</v>
      </c>
      <c r="H4551" s="22" t="s">
        <v>424</v>
      </c>
      <c r="I4551" s="26">
        <v>43656.785879629599</v>
      </c>
      <c r="J4551" s="28" t="s">
        <v>52</v>
      </c>
      <c r="K4551" s="28" t="s">
        <v>52</v>
      </c>
      <c r="L4551" s="28" t="s">
        <v>52</v>
      </c>
      <c r="M4551" s="28" t="s">
        <v>52</v>
      </c>
      <c r="N4551" s="28" t="s">
        <v>52</v>
      </c>
    </row>
    <row r="4552" spans="1:14" x14ac:dyDescent="0.15">
      <c r="A4552" s="23" t="str">
        <f>HYPERLINK("https://www.spark-marketing.ru/Card/Person/1002283", "ГКУ РО ""ЦДНИРО""")</f>
        <v>ГКУ РО "ЦДНИРО"</v>
      </c>
      <c r="B4552" s="24" t="s">
        <v>6460</v>
      </c>
      <c r="C4552" s="25">
        <v>20280</v>
      </c>
      <c r="D4552" s="22" t="s">
        <v>6461</v>
      </c>
      <c r="E4552" s="22" t="s">
        <v>208</v>
      </c>
      <c r="F4552" s="23" t="str">
        <f>HYPERLINK("https://www.spark-marketing.ru/Card/Lot/72010369", "закупка и установка видеорегистратора")</f>
        <v>закупка и установка видеорегистратора</v>
      </c>
      <c r="G4552" s="22" t="s">
        <v>402</v>
      </c>
      <c r="H4552" s="22" t="s">
        <v>403</v>
      </c>
      <c r="I4552" s="26">
        <v>43656.716666666704</v>
      </c>
      <c r="J4552" s="28" t="s">
        <v>52</v>
      </c>
      <c r="K4552" s="28" t="s">
        <v>52</v>
      </c>
      <c r="L4552" s="28" t="s">
        <v>52</v>
      </c>
      <c r="M4552" s="28" t="s">
        <v>52</v>
      </c>
      <c r="N4552" s="28" t="s">
        <v>52</v>
      </c>
    </row>
    <row r="4553" spans="1:14" x14ac:dyDescent="0.15">
      <c r="A4553" s="23" t="str">
        <f>HYPERLINK("https://www.spark-marketing.ru/Card/Person/145073", "УПРАВЛЕНИЕ ДЕЛАМИ")</f>
        <v>УПРАВЛЕНИЕ ДЕЛАМИ</v>
      </c>
      <c r="B4553" s="24" t="s">
        <v>6462</v>
      </c>
      <c r="C4553" s="25">
        <v>806000</v>
      </c>
      <c r="D4553" s="22" t="s">
        <v>6463</v>
      </c>
      <c r="E4553" s="22" t="s">
        <v>6464</v>
      </c>
      <c r="F4553" s="23" t="str">
        <f>HYPERLINK("https://www.spark-marketing.ru/Card/Lot/72016892", "Установка системы видеонаблюдения на территории Елизовского городского поселения")</f>
        <v>Установка системы видеонаблюдения на территории Елизовского городского поселения</v>
      </c>
      <c r="G4553" s="22" t="s">
        <v>1141</v>
      </c>
      <c r="H4553" s="22" t="s">
        <v>1141</v>
      </c>
      <c r="I4553" s="26">
        <v>43656.729861111096</v>
      </c>
      <c r="J4553" s="23" t="str">
        <f>HYPERLINK("https://www.spark-marketing.ru/Card/Person/6479203", "Аргунов Сергей Викторович")</f>
        <v>Аргунов Сергей Викторович</v>
      </c>
      <c r="K4553" s="24" t="s">
        <v>6465</v>
      </c>
      <c r="L4553" s="22" t="s">
        <v>10</v>
      </c>
      <c r="M4553" s="28" t="s">
        <v>52</v>
      </c>
      <c r="N4553" s="28" t="s">
        <v>52</v>
      </c>
    </row>
    <row r="4554" spans="1:14" x14ac:dyDescent="0.15">
      <c r="A4554" s="23" t="str">
        <f>HYPERLINK("https://www.spark-marketing.ru/Card/Person/946992", "МАОУ СОШ № 71")</f>
        <v>МАОУ СОШ № 71</v>
      </c>
      <c r="B4554" s="24" t="s">
        <v>6466</v>
      </c>
      <c r="C4554" s="25">
        <v>260000</v>
      </c>
      <c r="D4554" s="22" t="s">
        <v>6467</v>
      </c>
      <c r="E4554" s="22" t="s">
        <v>49</v>
      </c>
      <c r="F4554" s="23" t="str">
        <f>HYPERLINK("https://www.spark-marketing.ru/Card/Lot/72013074", "Установка системы видеонаблюдения в МАОУ СОШ №71 адресу г.Краснодар, ул. им. Байбакова Н.К., д.17")</f>
        <v>Установка системы видеонаблюдения в МАОУ СОШ №71 адресу г.Краснодар, ул. им. Байбакова Н.К., д.17</v>
      </c>
      <c r="G4554" s="22" t="s">
        <v>132</v>
      </c>
      <c r="H4554" s="22" t="s">
        <v>132</v>
      </c>
      <c r="I4554" s="26">
        <v>43656.727407407401</v>
      </c>
      <c r="J4554" s="28" t="s">
        <v>52</v>
      </c>
      <c r="K4554" s="28" t="s">
        <v>52</v>
      </c>
      <c r="L4554" s="28" t="s">
        <v>52</v>
      </c>
      <c r="M4554" s="28" t="s">
        <v>52</v>
      </c>
      <c r="N4554" s="28" t="s">
        <v>52</v>
      </c>
    </row>
    <row r="4555" spans="1:14" x14ac:dyDescent="0.15">
      <c r="A4555" s="23" t="str">
        <f>HYPERLINK("https://www.spark-marketing.ru/Card/Person/263105", "АО ""ПЕРВАЯ ОБРАЗЦОВАЯ ТИПОГРАФИЯ""")</f>
        <v>АО "ПЕРВАЯ ОБРАЗЦОВАЯ ТИПОГРАФИЯ"</v>
      </c>
      <c r="B4555" s="24" t="s">
        <v>6468</v>
      </c>
      <c r="C4555" s="25">
        <v>12510000</v>
      </c>
      <c r="D4555" s="22" t="s">
        <v>6469</v>
      </c>
      <c r="E4555" s="22" t="s">
        <v>144</v>
      </c>
      <c r="F4555" s="23" t="str">
        <f>HYPERLINK("https://www.spark-marketing.ru/Card/Lot/72013589", "Оказание охранных услуг филиалу «Нижполиграф» АО «Первая Образцовая типография» по адресам: г. Нижний Новгород, ул. Варварская, д. 32, г. Нижний Новгород, ул. Республиканская, д. 24 «А», г. Нижний Новгород, ул. Коновалова, д. 18»»")</f>
        <v>Оказание охранных услуг филиалу «Нижполиграф» АО «Первая Образцовая типография» по адресам: г. Нижний Новгород, ул. Варварская, д. 32, г. Нижний Новгород, ул. Республиканская, д. 24 «А», г. Нижний Новгород, ул. Коновалова, д. 18»»</v>
      </c>
      <c r="G4555" s="22" t="s">
        <v>64</v>
      </c>
      <c r="H4555" s="22" t="s">
        <v>64</v>
      </c>
      <c r="I4555" s="26">
        <v>43656.749710648102</v>
      </c>
      <c r="J4555" s="28" t="s">
        <v>52</v>
      </c>
      <c r="K4555" s="28" t="s">
        <v>52</v>
      </c>
      <c r="L4555" s="28" t="s">
        <v>52</v>
      </c>
      <c r="M4555" s="28" t="s">
        <v>52</v>
      </c>
      <c r="N4555" s="28" t="s">
        <v>52</v>
      </c>
    </row>
    <row r="4556" spans="1:14" x14ac:dyDescent="0.15">
      <c r="A4556" s="23" t="str">
        <f>HYPERLINK("https://www.spark-marketing.ru/Card/Person/4386319", "МУП ""НОВОСИБИРСКИЙ МЕТРОПОЛИТЕН""")</f>
        <v>МУП "НОВОСИБИРСКИЙ МЕТРОПОЛИТЕН"</v>
      </c>
      <c r="B4556" s="24" t="s">
        <v>6470</v>
      </c>
      <c r="C4556" s="25">
        <v>1943368.41</v>
      </c>
      <c r="D4556" s="22" t="s">
        <v>6471</v>
      </c>
      <c r="E4556" s="22" t="s">
        <v>144</v>
      </c>
      <c r="F4556" s="23" t="str">
        <f>HYPERLINK("https://www.spark-marketing.ru/Card/Lot/72003378", "Оказание услуг по разработке и утверждению планов обеспечения транспортной безопасности")</f>
        <v>Оказание услуг по разработке и утверждению планов обеспечения транспортной безопасности</v>
      </c>
      <c r="G4556" s="22" t="s">
        <v>209</v>
      </c>
      <c r="H4556" s="22" t="s">
        <v>209</v>
      </c>
      <c r="I4556" s="26">
        <v>43656.713379629597</v>
      </c>
      <c r="J4556" s="28" t="s">
        <v>52</v>
      </c>
      <c r="K4556" s="28" t="s">
        <v>52</v>
      </c>
      <c r="L4556" s="28" t="s">
        <v>52</v>
      </c>
      <c r="M4556" s="28" t="s">
        <v>52</v>
      </c>
      <c r="N4556" s="28" t="s">
        <v>52</v>
      </c>
    </row>
    <row r="4557" spans="1:14" x14ac:dyDescent="0.15">
      <c r="A4557" s="23" t="str">
        <f>HYPERLINK("https://www.spark-marketing.ru/Card/Person/998503", "КОМИТЕТ ПО КУЛЬТУРЕ")</f>
        <v>КОМИТЕТ ПО КУЛЬТУРЕ</v>
      </c>
      <c r="B4557" s="24" t="s">
        <v>6472</v>
      </c>
      <c r="C4557" s="25">
        <v>100000</v>
      </c>
      <c r="D4557" s="22" t="s">
        <v>6473</v>
      </c>
      <c r="E4557" s="22" t="s">
        <v>298</v>
      </c>
      <c r="F4557" s="23" t="str">
        <f>HYPERLINK("https://www.spark-marketing.ru/Card/Lot/72009001", "Закупка в 2019 году услуг по администрированию и техническому обслуживанию системы видеофиксации для нужд Комитета по делам культуры, туризму и молодежной политике Администрации Одинцовского муниципального района")</f>
        <v>Закупка в 2019 году услуг по администрированию и техническому обслуживанию системы видеофиксации для нужд Комитета по делам культуры, туризму и молодежной политике Администрации Одинцовского муниципального района</v>
      </c>
      <c r="G4557" s="22" t="s">
        <v>50</v>
      </c>
      <c r="H4557" s="22" t="s">
        <v>1045</v>
      </c>
      <c r="I4557" s="26">
        <v>43656.6698958333</v>
      </c>
      <c r="J4557" s="28" t="s">
        <v>52</v>
      </c>
      <c r="K4557" s="28" t="s">
        <v>52</v>
      </c>
      <c r="L4557" s="28" t="s">
        <v>52</v>
      </c>
      <c r="M4557" s="28" t="s">
        <v>52</v>
      </c>
      <c r="N4557" s="28" t="s">
        <v>52</v>
      </c>
    </row>
    <row r="4558" spans="1:14" x14ac:dyDescent="0.15">
      <c r="A4558" s="23" t="str">
        <f>HYPERLINK("https://www.spark-marketing.ru/Card/Person/3217", "АО ""НИКИЭТ""")</f>
        <v>АО "НИКИЭТ"</v>
      </c>
      <c r="B4558" s="24" t="s">
        <v>6474</v>
      </c>
      <c r="C4558" s="25">
        <v>796000</v>
      </c>
      <c r="D4558" s="22" t="s">
        <v>6475</v>
      </c>
      <c r="E4558" s="22" t="s">
        <v>2847</v>
      </c>
      <c r="F4558" s="23" t="str">
        <f>HYPERLINK("https://www.spark-marketing.ru/Card/Lot/72010972", "техническое обслуживание и устранение неисправностей средств охраны и инженерных средств на площадках АО ""НИКИЭТ"" (площадка ПТБ ""Калошино"")")</f>
        <v>техническое обслуживание и устранение неисправностей средств охраны и инженерных средств на площадках АО "НИКИЭТ" (площадка ПТБ "Калошино")</v>
      </c>
      <c r="G4558" s="22" t="s">
        <v>55</v>
      </c>
      <c r="H4558" s="22" t="s">
        <v>55</v>
      </c>
      <c r="I4558" s="26">
        <v>43656.678680555597</v>
      </c>
      <c r="J4558" s="28" t="s">
        <v>52</v>
      </c>
      <c r="K4558" s="28" t="s">
        <v>52</v>
      </c>
      <c r="L4558" s="28" t="s">
        <v>52</v>
      </c>
      <c r="M4558" s="28" t="s">
        <v>52</v>
      </c>
      <c r="N4558" s="28" t="s">
        <v>52</v>
      </c>
    </row>
    <row r="4559" spans="1:14" x14ac:dyDescent="0.15">
      <c r="A4559" s="23" t="str">
        <f>HYPERLINK("https://www.spark-marketing.ru/Card/Person/102199", "ПОСЕЛКОВАЯ АДМИНИСТРАЦИЯ СЕРЕБРЯНЫЙ БОР")</f>
        <v>ПОСЕЛКОВАЯ АДМИНИСТРАЦИЯ СЕРЕБРЯНЫЙ БОР</v>
      </c>
      <c r="B4559" s="24" t="s">
        <v>6476</v>
      </c>
      <c r="C4559" s="25">
        <v>380000</v>
      </c>
      <c r="D4559" s="22" t="s">
        <v>6477</v>
      </c>
      <c r="E4559" s="22" t="s">
        <v>84</v>
      </c>
      <c r="F4559" s="23" t="str">
        <f>HYPERLINK("https://www.spark-marketing.ru/Card/Lot/72015088", "Выполнению работ по установке и обслуживание видеокамер на территории муниципального образования городское поселение «Поселок Серебряный Бор»")</f>
        <v>Выполнению работ по установке и обслуживание видеокамер на территории муниципального образования городское поселение «Поселок Серебряный Бор»</v>
      </c>
      <c r="G4559" s="22" t="s">
        <v>424</v>
      </c>
      <c r="H4559" s="22" t="s">
        <v>6478</v>
      </c>
      <c r="I4559" s="26">
        <v>43656.684722222199</v>
      </c>
      <c r="J4559" s="28" t="s">
        <v>52</v>
      </c>
      <c r="K4559" s="28" t="s">
        <v>52</v>
      </c>
      <c r="L4559" s="28" t="s">
        <v>52</v>
      </c>
      <c r="M4559" s="28" t="s">
        <v>52</v>
      </c>
      <c r="N4559" s="28" t="s">
        <v>52</v>
      </c>
    </row>
    <row r="4560" spans="1:14" x14ac:dyDescent="0.15">
      <c r="A4560" s="23" t="str">
        <f>HYPERLINK("https://www.spark-marketing.ru/Card/Person/5458", "УПРАВЛЕНИЕ РОСРЕЕСТРА ПО ПЕНЗЕНСКОЙ ОБЛАСТИ")</f>
        <v>УПРАВЛЕНИЕ РОСРЕЕСТРА ПО ПЕНЗЕНСКОЙ ОБЛАСТИ</v>
      </c>
      <c r="B4560" s="24" t="s">
        <v>6479</v>
      </c>
      <c r="C4560" s="25">
        <v>1302825.6000000001</v>
      </c>
      <c r="D4560" s="22" t="s">
        <v>6480</v>
      </c>
      <c r="E4560" s="22" t="s">
        <v>52</v>
      </c>
      <c r="F4560" s="23" t="str">
        <f>HYPERLINK("https://www.spark-marketing.ru/Card/Lot/72017776", "Услуги по охране помещений")</f>
        <v>Услуги по охране помещений</v>
      </c>
      <c r="G4560" s="22" t="s">
        <v>514</v>
      </c>
      <c r="H4560" s="22" t="s">
        <v>2167</v>
      </c>
      <c r="I4560" s="26">
        <v>43656.677777777797</v>
      </c>
      <c r="J4560" s="28" t="s">
        <v>52</v>
      </c>
      <c r="K4560" s="28" t="s">
        <v>52</v>
      </c>
      <c r="L4560" s="28" t="s">
        <v>52</v>
      </c>
      <c r="M4560" s="28" t="s">
        <v>52</v>
      </c>
      <c r="N4560" s="28" t="s">
        <v>52</v>
      </c>
    </row>
    <row r="4561" spans="1:14" ht="12.75" hidden="1" outlineLevel="1" x14ac:dyDescent="0.2">
      <c r="A4561" s="23" t="str">
        <f>HYPERLINK("https://www.spark-marketing.ru/Card/Person/5458", "УПРАВЛЕНИЕ РОСРЕЕСТРА ПО ПЕНЗЕНСКОЙ ОБЛАСТИ")</f>
        <v>УПРАВЛЕНИЕ РОСРЕЕСТРА ПО ПЕНЗЕНСКОЙ ОБЛАСТИ</v>
      </c>
      <c r="B4561" s="24" t="s">
        <v>6479</v>
      </c>
      <c r="C4561" s="25">
        <v>1302825.6000000001</v>
      </c>
      <c r="D4561" s="22" t="s">
        <v>6480</v>
      </c>
      <c r="E4561" s="22" t="s">
        <v>52</v>
      </c>
      <c r="F4561" s="23" t="str">
        <f>HYPERLINK("https://www.spark-marketing.ru/Card/Lot/72017776", "Услуги по охране помещений")</f>
        <v>Услуги по охране помещений</v>
      </c>
      <c r="G4561" s="22" t="s">
        <v>514</v>
      </c>
      <c r="H4561" s="22" t="s">
        <v>2167</v>
      </c>
      <c r="I4561" s="26">
        <v>43656.677777777797</v>
      </c>
      <c r="J4561" s="23" t="str">
        <f>HYPERLINK("https://www.spark-marketing.ru/Card/Person/397163", "ФЛ ФГУП ""ОХРАНА"" РОСГВАРДИИ ПО ПЕНЗЕНСКОЙ ОБЛАСТИ")</f>
        <v>ФЛ ФГУП "ОХРАНА" РОСГВАРДИИ ПО ПЕНЗЕНСКОЙ ОБЛАСТИ</v>
      </c>
      <c r="K4561" s="24" t="s">
        <v>779</v>
      </c>
      <c r="L4561" s="22" t="s">
        <v>10</v>
      </c>
      <c r="M4561" s="25">
        <v>1296311.47</v>
      </c>
      <c r="N4561" s="27">
        <v>5.0000015351248858E-3</v>
      </c>
    </row>
    <row r="4562" spans="1:14" hidden="1" outlineLevel="1" x14ac:dyDescent="0.2">
      <c r="A4562" s="23" t="str">
        <f>HYPERLINK("https://www.spark-marketing.ru/Card/Person/5458", "УПРАВЛЕНИЕ РОСРЕЕСТРА ПО ПЕНЗЕНСКОЙ ОБЛАСТИ")</f>
        <v>УПРАВЛЕНИЕ РОСРЕЕСТРА ПО ПЕНЗЕНСКОЙ ОБЛАСТИ</v>
      </c>
      <c r="B4562" s="24" t="s">
        <v>6479</v>
      </c>
      <c r="C4562" s="25">
        <v>1302825.6000000001</v>
      </c>
      <c r="D4562" s="22" t="s">
        <v>6480</v>
      </c>
      <c r="E4562" s="22" t="s">
        <v>52</v>
      </c>
      <c r="F4562" s="23" t="str">
        <f>HYPERLINK("https://www.spark-marketing.ru/Card/Lot/72017776", "Услуги по охране помещений")</f>
        <v>Услуги по охране помещений</v>
      </c>
      <c r="G4562" s="22" t="s">
        <v>514</v>
      </c>
      <c r="H4562" s="22" t="s">
        <v>2167</v>
      </c>
      <c r="I4562" s="26">
        <v>43656.677777777797</v>
      </c>
      <c r="J4562" s="23" t="str">
        <f>HYPERLINK("https://www.spark-marketing.ru/Card/Person/4355019", "ООО ЧОО ""КОНДОР""")</f>
        <v>ООО ЧОО "КОНДОР"</v>
      </c>
      <c r="K4562" s="24" t="s">
        <v>6481</v>
      </c>
      <c r="L4562" s="28" t="s">
        <v>52</v>
      </c>
      <c r="M4562" s="25">
        <v>1289797.3400000001</v>
      </c>
      <c r="N4562" s="27">
        <v>1.0000003070249772E-2</v>
      </c>
    </row>
    <row r="4563" spans="1:14" x14ac:dyDescent="0.15">
      <c r="A4563" s="23" t="str">
        <f>HYPERLINK("https://www.spark-marketing.ru/Card/Person/32732", "ГБУ ""АЛЬМЕНЕВСКАЯ ЦРБ""")</f>
        <v>ГБУ "АЛЬМЕНЕВСКАЯ ЦРБ"</v>
      </c>
      <c r="B4563" s="24" t="s">
        <v>6482</v>
      </c>
      <c r="C4563" s="25">
        <v>48000</v>
      </c>
      <c r="D4563" s="22" t="s">
        <v>6483</v>
      </c>
      <c r="E4563" s="22" t="s">
        <v>52</v>
      </c>
      <c r="F4563" s="23" t="str">
        <f>HYPERLINK("https://www.spark-marketing.ru/Card/Lot/72005528", "Оказание услуг по пультовой охране")</f>
        <v>Оказание услуг по пультовой охране</v>
      </c>
      <c r="G4563" s="22" t="s">
        <v>626</v>
      </c>
      <c r="H4563" s="22" t="s">
        <v>6484</v>
      </c>
      <c r="I4563" s="26">
        <v>43656.646527777797</v>
      </c>
      <c r="J4563" s="28" t="s">
        <v>52</v>
      </c>
      <c r="K4563" s="28" t="s">
        <v>52</v>
      </c>
      <c r="L4563" s="28" t="s">
        <v>52</v>
      </c>
      <c r="M4563" s="28" t="s">
        <v>52</v>
      </c>
      <c r="N4563" s="28" t="s">
        <v>52</v>
      </c>
    </row>
    <row r="4564" spans="1:14" x14ac:dyDescent="0.2">
      <c r="A4564" s="23" t="str">
        <f>HYPERLINK("https://www.spark-marketing.ru/Card/Person/1238", "ФГБУ ""ВНИИКР""")</f>
        <v>ФГБУ "ВНИИКР"</v>
      </c>
      <c r="B4564" s="24" t="s">
        <v>6485</v>
      </c>
      <c r="C4564" s="25">
        <v>51800.04</v>
      </c>
      <c r="D4564" s="22" t="s">
        <v>6486</v>
      </c>
      <c r="E4564" s="22" t="s">
        <v>6487</v>
      </c>
      <c r="F4564" s="23" t="str">
        <f>HYPERLINK("https://www.spark-marketing.ru/Card/Lot/72008857", "Оказание услуг по техническому обслуживанию системы видеонаблюдения административного здания Приморского филиала ФГБУ «ВНИИКР»")</f>
        <v>Оказание услуг по техническому обслуживанию системы видеонаблюдения административного здания Приморского филиала ФГБУ «ВНИИКР»</v>
      </c>
      <c r="G4564" s="22" t="s">
        <v>50</v>
      </c>
      <c r="H4564" s="22" t="s">
        <v>244</v>
      </c>
      <c r="I4564" s="26">
        <v>43656.632303240702</v>
      </c>
      <c r="J4564" s="28" t="s">
        <v>52</v>
      </c>
      <c r="K4564" s="28" t="s">
        <v>52</v>
      </c>
      <c r="L4564" s="22" t="s">
        <v>10</v>
      </c>
      <c r="M4564" s="25">
        <v>24900</v>
      </c>
      <c r="N4564" s="27">
        <v>0.51930539049776792</v>
      </c>
    </row>
    <row r="4565" spans="1:14" x14ac:dyDescent="0.15">
      <c r="A4565" s="23" t="str">
        <f>HYPERLINK("https://www.spark-marketing.ru/Card/Person/59752", "МБДОУ № 54")</f>
        <v>МБДОУ № 54</v>
      </c>
      <c r="B4565" s="24" t="s">
        <v>263</v>
      </c>
      <c r="C4565" s="25">
        <v>28000</v>
      </c>
      <c r="D4565" s="22" t="s">
        <v>6488</v>
      </c>
      <c r="E4565" s="22" t="s">
        <v>59</v>
      </c>
      <c r="F4565" s="23" t="str">
        <f>HYPERLINK("https://www.spark-marketing.ru/Card/Lot/72005133", "Монтаж и пусконаладочные работы системы тревожной сигнализации")</f>
        <v>Монтаж и пусконаладочные работы системы тревожной сигнализации</v>
      </c>
      <c r="G4565" s="22" t="s">
        <v>50</v>
      </c>
      <c r="H4565" s="22" t="s">
        <v>265</v>
      </c>
      <c r="I4565" s="26">
        <v>43656.586909722202</v>
      </c>
      <c r="J4565" s="28" t="s">
        <v>52</v>
      </c>
      <c r="K4565" s="28" t="s">
        <v>52</v>
      </c>
      <c r="L4565" s="28" t="s">
        <v>52</v>
      </c>
      <c r="M4565" s="28" t="s">
        <v>52</v>
      </c>
      <c r="N4565" s="28" t="s">
        <v>52</v>
      </c>
    </row>
    <row r="4566" spans="1:14" x14ac:dyDescent="0.15">
      <c r="A4566" s="23" t="str">
        <f>HYPERLINK("https://www.spark-marketing.ru/Card/Person/4348646", "ООО ""БЕЛОЯРСКАЯ АЭС- АВТО""")</f>
        <v>ООО "БЕЛОЯРСКАЯ АЭС- АВТО"</v>
      </c>
      <c r="B4566" s="24" t="s">
        <v>4642</v>
      </c>
      <c r="C4566" s="28" t="s">
        <v>52</v>
      </c>
      <c r="D4566" s="22" t="s">
        <v>6489</v>
      </c>
      <c r="E4566" s="22" t="s">
        <v>59</v>
      </c>
      <c r="F4566" s="23" t="str">
        <f>HYPERLINK("https://www.spark-marketing.ru/Card/Lot/72009762", "Оказание услуг по поставке и установке комплекта видеодомофона и магнитного замка для нужд транспортного подразделения")</f>
        <v>Оказание услуг по поставке и установке комплекта видеодомофона и магнитного замка для нужд транспортного подразделения</v>
      </c>
      <c r="G4566" s="22" t="s">
        <v>72</v>
      </c>
      <c r="H4566" s="22" t="s">
        <v>846</v>
      </c>
      <c r="I4566" s="26">
        <v>43656.607199074097</v>
      </c>
      <c r="J4566" s="28" t="s">
        <v>52</v>
      </c>
      <c r="K4566" s="28" t="s">
        <v>52</v>
      </c>
      <c r="L4566" s="28" t="s">
        <v>52</v>
      </c>
      <c r="M4566" s="28" t="s">
        <v>52</v>
      </c>
      <c r="N4566" s="28" t="s">
        <v>52</v>
      </c>
    </row>
    <row r="4567" spans="1:14" x14ac:dyDescent="0.15">
      <c r="A4567" s="23" t="str">
        <f>HYPERLINK("https://www.spark-marketing.ru/Card/Person/4348646", "ООО ""БЕЛОЯРСКАЯ АЭС- АВТО""")</f>
        <v>ООО "БЕЛОЯРСКАЯ АЭС- АВТО"</v>
      </c>
      <c r="B4567" s="24" t="s">
        <v>4642</v>
      </c>
      <c r="C4567" s="25">
        <v>0</v>
      </c>
      <c r="D4567" s="22" t="s">
        <v>6490</v>
      </c>
      <c r="E4567" s="22" t="s">
        <v>53</v>
      </c>
      <c r="F4567" s="23" t="str">
        <f>HYPERLINK("https://www.spark-marketing.ru/Card/Lot/72019108", "мониторинг цен в электронной форме на Оказание услуг по поставке и установке комплекта видеодомофона и магнитного замка для нужд транспортного подразделения")</f>
        <v>мониторинг цен в электронной форме на Оказание услуг по поставке и установке комплекта видеодомофона и магнитного замка для нужд транспортного подразделения</v>
      </c>
      <c r="G4567" s="22" t="s">
        <v>72</v>
      </c>
      <c r="H4567" s="22" t="s">
        <v>846</v>
      </c>
      <c r="I4567" s="26">
        <v>43656.604872685202</v>
      </c>
      <c r="J4567" s="28" t="s">
        <v>52</v>
      </c>
      <c r="K4567" s="28" t="s">
        <v>52</v>
      </c>
      <c r="L4567" s="28" t="s">
        <v>52</v>
      </c>
      <c r="M4567" s="28" t="s">
        <v>52</v>
      </c>
      <c r="N4567" s="28" t="s">
        <v>52</v>
      </c>
    </row>
    <row r="4568" spans="1:14" x14ac:dyDescent="0.15">
      <c r="A4568" s="23" t="str">
        <f>HYPERLINK("https://www.spark-marketing.ru/Card/Person/4348646", "ООО ""БЕЛОЯРСКАЯ АЭС- АВТО""")</f>
        <v>ООО "БЕЛОЯРСКАЯ АЭС- АВТО"</v>
      </c>
      <c r="B4568" s="24" t="s">
        <v>4642</v>
      </c>
      <c r="C4568" s="28" t="s">
        <v>52</v>
      </c>
      <c r="D4568" s="22" t="s">
        <v>6491</v>
      </c>
      <c r="E4568" s="22" t="s">
        <v>53</v>
      </c>
      <c r="F4568" s="23" t="str">
        <f>HYPERLINK("https://www.spark-marketing.ru/Card/Lot/72011245", "Оказание услуг по поставке и установке комплекта видеодомофона и магнитного замка для нужд транспортного подразделения (1294958)")</f>
        <v>Оказание услуг по поставке и установке комплекта видеодомофона и магнитного замка для нужд транспортного подразделения (1294958)</v>
      </c>
      <c r="G4568" s="22" t="s">
        <v>72</v>
      </c>
      <c r="H4568" s="22" t="s">
        <v>846</v>
      </c>
      <c r="I4568" s="26">
        <v>43656.604976851799</v>
      </c>
      <c r="J4568" s="28" t="s">
        <v>52</v>
      </c>
      <c r="K4568" s="28" t="s">
        <v>52</v>
      </c>
      <c r="L4568" s="28" t="s">
        <v>52</v>
      </c>
      <c r="M4568" s="28" t="s">
        <v>52</v>
      </c>
      <c r="N4568" s="28" t="s">
        <v>52</v>
      </c>
    </row>
    <row r="4569" spans="1:14" x14ac:dyDescent="0.15">
      <c r="A4569" s="23" t="str">
        <f>HYPERLINK("https://www.spark-marketing.ru/Card/Person/18239", "ТУ РОСИМУЩЕСТВА В ОРЕНБУРГСКОЙ ОБЛАСТИ")</f>
        <v>ТУ РОСИМУЩЕСТВА В ОРЕНБУРГСКОЙ ОБЛАСТИ</v>
      </c>
      <c r="B4569" s="24" t="s">
        <v>6492</v>
      </c>
      <c r="C4569" s="25">
        <v>65500</v>
      </c>
      <c r="D4569" s="22" t="s">
        <v>6493</v>
      </c>
      <c r="E4569" s="22" t="s">
        <v>84</v>
      </c>
      <c r="F4569" s="23" t="str">
        <f>HYPERLINK("https://www.spark-marketing.ru/Card/Lot/72005362", "Монтаж, установка, модернизация систем видеонаблюдения, 1 шт")</f>
        <v>Монтаж, установка, модернизация систем видеонаблюдения, 1 шт</v>
      </c>
      <c r="G4569" s="22" t="s">
        <v>384</v>
      </c>
      <c r="H4569" s="22" t="s">
        <v>696</v>
      </c>
      <c r="I4569" s="26">
        <v>43656.605636574102</v>
      </c>
      <c r="J4569" s="28" t="s">
        <v>52</v>
      </c>
      <c r="K4569" s="28" t="s">
        <v>52</v>
      </c>
      <c r="L4569" s="28" t="s">
        <v>52</v>
      </c>
      <c r="M4569" s="28" t="s">
        <v>52</v>
      </c>
      <c r="N4569" s="28" t="s">
        <v>52</v>
      </c>
    </row>
    <row r="4570" spans="1:14" x14ac:dyDescent="0.15">
      <c r="A4570" s="23" t="str">
        <f>HYPERLINK("https://www.spark-marketing.ru/Card/Person/1297375", "МОУ ДМИТРОВСКАЯ СРЕДНЯЯ ОБЩЕОБРАЗОВАТЕЛЬНАЯ ШКОЛА №3 С УГЛУБЛЕННЫМ ИЗУЧЕНИЕМ ОТДЕЛЬНЫХ ПРЕДМЕТОВ")</f>
        <v>МОУ ДМИТРОВСКАЯ СРЕДНЯЯ ОБЩЕОБРАЗОВАТЕЛЬНАЯ ШКОЛА №3 С УГЛУБЛЕННЫМ ИЗУЧЕНИЕМ ОТДЕЛЬНЫХ ПРЕДМЕТОВ</v>
      </c>
      <c r="B4570" s="24" t="s">
        <v>6494</v>
      </c>
      <c r="C4570" s="25">
        <v>125000</v>
      </c>
      <c r="D4570" s="22" t="s">
        <v>6495</v>
      </c>
      <c r="E4570" s="22" t="s">
        <v>194</v>
      </c>
      <c r="F4570" s="23" t="str">
        <f>HYPERLINK("https://www.spark-marketing.ru/Card/Lot/72003122", "Приобретение и установка видеонаблюдения")</f>
        <v>Приобретение и установка видеонаблюдения</v>
      </c>
      <c r="G4570" s="22" t="s">
        <v>50</v>
      </c>
      <c r="H4570" s="22" t="s">
        <v>504</v>
      </c>
      <c r="I4570" s="26">
        <v>43656.5447569444</v>
      </c>
      <c r="J4570" s="28" t="s">
        <v>52</v>
      </c>
      <c r="K4570" s="28" t="s">
        <v>52</v>
      </c>
      <c r="L4570" s="28" t="s">
        <v>52</v>
      </c>
      <c r="M4570" s="28" t="s">
        <v>52</v>
      </c>
      <c r="N4570" s="28" t="s">
        <v>52</v>
      </c>
    </row>
    <row r="4571" spans="1:14" x14ac:dyDescent="0.15">
      <c r="A4571" s="23" t="str">
        <f>HYPERLINK("https://www.spark-marketing.ru/Card/Person/2270654", "МУП ""ОХААВТОТРАНС""")</f>
        <v>МУП "ОХААВТОТРАНС"</v>
      </c>
      <c r="B4571" s="24" t="s">
        <v>6496</v>
      </c>
      <c r="C4571" s="25">
        <v>738733.33</v>
      </c>
      <c r="D4571" s="22" t="s">
        <v>6497</v>
      </c>
      <c r="E4571" s="22" t="s">
        <v>84</v>
      </c>
      <c r="F4571" s="23" t="str">
        <f>HYPERLINK("https://www.spark-marketing.ru/Card/Lot/71994381", "Система видеонаблюдения в пассажирских автобусах (транспортная безопасность) в рамках освоения муниципальной субсидии")</f>
        <v>Система видеонаблюдения в пассажирских автобусах (транспортная безопасность) в рамках освоения муниципальной субсидии</v>
      </c>
      <c r="G4571" s="22" t="s">
        <v>69</v>
      </c>
      <c r="H4571" s="22" t="s">
        <v>6498</v>
      </c>
      <c r="I4571" s="26">
        <v>43656.529861111099</v>
      </c>
      <c r="J4571" s="28" t="s">
        <v>52</v>
      </c>
      <c r="K4571" s="28" t="s">
        <v>52</v>
      </c>
      <c r="L4571" s="28" t="s">
        <v>52</v>
      </c>
      <c r="M4571" s="28" t="s">
        <v>52</v>
      </c>
      <c r="N4571" s="28" t="s">
        <v>52</v>
      </c>
    </row>
    <row r="4572" spans="1:14" hidden="1" outlineLevel="1" x14ac:dyDescent="0.2">
      <c r="A4572" s="23" t="str">
        <f>HYPERLINK("https://www.spark-marketing.ru/Card/Person/2270654", "МУП ""ОХААВТОТРАНС""")</f>
        <v>МУП "ОХААВТОТРАНС"</v>
      </c>
      <c r="B4572" s="24" t="s">
        <v>6496</v>
      </c>
      <c r="C4572" s="25">
        <v>738733.33</v>
      </c>
      <c r="D4572" s="22" t="s">
        <v>6497</v>
      </c>
      <c r="E4572" s="22" t="s">
        <v>84</v>
      </c>
      <c r="F4572" s="23" t="str">
        <f>HYPERLINK("https://www.spark-marketing.ru/Card/Lot/71994381", "Система видеонаблюдения в пассажирских автобусах (транспортная безопасность) в рамках освоения муниципальной субсидии")</f>
        <v>Система видеонаблюдения в пассажирских автобусах (транспортная безопасность) в рамках освоения муниципальной субсидии</v>
      </c>
      <c r="G4572" s="22" t="s">
        <v>69</v>
      </c>
      <c r="H4572" s="22" t="s">
        <v>6498</v>
      </c>
      <c r="I4572" s="26">
        <v>43656.529861111099</v>
      </c>
      <c r="J4572" s="23" t="str">
        <f>HYPERLINK("https://www.spark-marketing.ru/Card/Person/6202649", "ООО ""КЛЕВЕР""")</f>
        <v>ООО "КЛЕВЕР"</v>
      </c>
      <c r="K4572" s="24" t="s">
        <v>4548</v>
      </c>
      <c r="L4572" s="28" t="s">
        <v>52</v>
      </c>
      <c r="M4572" s="25">
        <v>590000</v>
      </c>
      <c r="N4572" s="27">
        <v>0.20133561592516747</v>
      </c>
    </row>
    <row r="4573" spans="1:14" hidden="1" outlineLevel="1" x14ac:dyDescent="0.2">
      <c r="A4573" s="23" t="str">
        <f>HYPERLINK("https://www.spark-marketing.ru/Card/Person/2270654", "МУП ""ОХААВТОТРАНС""")</f>
        <v>МУП "ОХААВТОТРАНС"</v>
      </c>
      <c r="B4573" s="24" t="s">
        <v>6496</v>
      </c>
      <c r="C4573" s="25">
        <v>738733.33</v>
      </c>
      <c r="D4573" s="22" t="s">
        <v>6497</v>
      </c>
      <c r="E4573" s="22" t="s">
        <v>84</v>
      </c>
      <c r="F4573" s="23" t="str">
        <f>HYPERLINK("https://www.spark-marketing.ru/Card/Lot/71994381", "Система видеонаблюдения в пассажирских автобусах (транспортная безопасность) в рамках освоения муниципальной субсидии")</f>
        <v>Система видеонаблюдения в пассажирских автобусах (транспортная безопасность) в рамках освоения муниципальной субсидии</v>
      </c>
      <c r="G4573" s="22" t="s">
        <v>69</v>
      </c>
      <c r="H4573" s="22" t="s">
        <v>6498</v>
      </c>
      <c r="I4573" s="26">
        <v>43656.529861111099</v>
      </c>
      <c r="J4573" s="23" t="str">
        <f>HYPERLINK("https://www.spark-marketing.ru/Card/Person/89877", "ООО ""СТ ТЕХНОЛОДЖИ""")</f>
        <v>ООО "СТ ТЕХНОЛОДЖИ"</v>
      </c>
      <c r="K4573" s="24" t="s">
        <v>6499</v>
      </c>
      <c r="L4573" s="28" t="s">
        <v>52</v>
      </c>
      <c r="M4573" s="25">
        <v>664000</v>
      </c>
      <c r="N4573" s="27">
        <v>0.10116415080391729</v>
      </c>
    </row>
    <row r="4574" spans="1:14" ht="12.75" hidden="1" outlineLevel="1" x14ac:dyDescent="0.2">
      <c r="A4574" s="23" t="str">
        <f>HYPERLINK("https://www.spark-marketing.ru/Card/Person/2270654", "МУП ""ОХААВТОТРАНС""")</f>
        <v>МУП "ОХААВТОТРАНС"</v>
      </c>
      <c r="B4574" s="24" t="s">
        <v>6496</v>
      </c>
      <c r="C4574" s="25">
        <v>738733.33</v>
      </c>
      <c r="D4574" s="22" t="s">
        <v>6497</v>
      </c>
      <c r="E4574" s="22" t="s">
        <v>84</v>
      </c>
      <c r="F4574" s="23" t="str">
        <f>HYPERLINK("https://www.spark-marketing.ru/Card/Lot/71994381", "Система видеонаблюдения в пассажирских автобусах (транспортная безопасность) в рамках освоения муниципальной субсидии")</f>
        <v>Система видеонаблюдения в пассажирских автобусах (транспортная безопасность) в рамках освоения муниципальной субсидии</v>
      </c>
      <c r="G4574" s="22" t="s">
        <v>69</v>
      </c>
      <c r="H4574" s="22" t="s">
        <v>6498</v>
      </c>
      <c r="I4574" s="26">
        <v>43656.529861111099</v>
      </c>
      <c r="J4574" s="23" t="str">
        <f>HYPERLINK("https://www.spark-marketing.ru/Card/Person/4712621", "Демидова Светлана Мингалеевна")</f>
        <v>Демидова Светлана Мингалеевна</v>
      </c>
      <c r="K4574" s="24" t="s">
        <v>6500</v>
      </c>
      <c r="L4574" s="22" t="s">
        <v>10</v>
      </c>
      <c r="M4574" s="25">
        <v>586432.93000000005</v>
      </c>
      <c r="N4574" s="27">
        <v>0.20616424603449257</v>
      </c>
    </row>
    <row r="4575" spans="1:14" x14ac:dyDescent="0.15">
      <c r="A4575" s="23" t="str">
        <f>HYPERLINK("https://www.spark-marketing.ru/Card/Person/86536", "ФКПОУ ""КТТИ"" МИНТРУДА РОССИИ")</f>
        <v>ФКПОУ "КТТИ" МИНТРУДА РОССИИ</v>
      </c>
      <c r="B4575" s="24" t="s">
        <v>6501</v>
      </c>
      <c r="C4575" s="25">
        <v>21000</v>
      </c>
      <c r="D4575" s="22" t="s">
        <v>6502</v>
      </c>
      <c r="E4575" s="22" t="s">
        <v>103</v>
      </c>
      <c r="F4575" s="23" t="str">
        <f>HYPERLINK("https://www.spark-marketing.ru/Card/Lot/72002329", "Техническое обслуживание системы видеонаблюдения, 42 усл. ед")</f>
        <v>Техническое обслуживание системы видеонаблюдения, 42 усл. ед</v>
      </c>
      <c r="G4575" s="22" t="s">
        <v>340</v>
      </c>
      <c r="H4575" s="22" t="s">
        <v>2755</v>
      </c>
      <c r="I4575" s="26">
        <v>43656.526990740698</v>
      </c>
      <c r="J4575" s="28" t="s">
        <v>52</v>
      </c>
      <c r="K4575" s="28" t="s">
        <v>52</v>
      </c>
      <c r="L4575" s="28" t="s">
        <v>52</v>
      </c>
      <c r="M4575" s="28" t="s">
        <v>52</v>
      </c>
      <c r="N4575" s="28" t="s">
        <v>52</v>
      </c>
    </row>
    <row r="4576" spans="1:14" x14ac:dyDescent="0.15">
      <c r="A4576" s="23" t="str">
        <f>HYPERLINK("https://www.spark-marketing.ru/Card/Person/11733", "РТУ МИРЭА")</f>
        <v>РТУ МИРЭА</v>
      </c>
      <c r="B4576" s="24" t="s">
        <v>3855</v>
      </c>
      <c r="C4576" s="25">
        <v>1698650.4</v>
      </c>
      <c r="D4576" s="22" t="s">
        <v>6503</v>
      </c>
      <c r="E4576" s="22" t="s">
        <v>59</v>
      </c>
      <c r="F4576" s="23" t="str">
        <f>HYPERLINK("https://www.spark-marketing.ru/Card/Lot/72046226", "Выполнение работ по установке системы видеонаблюдения в коридоре здания РТУ МИРЭА")</f>
        <v>Выполнение работ по установке системы видеонаблюдения в коридоре здания РТУ МИРЭА</v>
      </c>
      <c r="G4576" s="22" t="s">
        <v>55</v>
      </c>
      <c r="H4576" s="22" t="s">
        <v>55</v>
      </c>
      <c r="I4576" s="26">
        <v>43656.500439814801</v>
      </c>
      <c r="J4576" s="28" t="s">
        <v>52</v>
      </c>
      <c r="K4576" s="28" t="s">
        <v>52</v>
      </c>
      <c r="L4576" s="28" t="s">
        <v>52</v>
      </c>
      <c r="M4576" s="28" t="s">
        <v>52</v>
      </c>
      <c r="N4576" s="28" t="s">
        <v>52</v>
      </c>
    </row>
    <row r="4577" spans="1:14" ht="12.75" hidden="1" outlineLevel="1" x14ac:dyDescent="0.2">
      <c r="A4577" s="23" t="str">
        <f>HYPERLINK("https://www.spark-marketing.ru/Card/Person/11733", "РТУ МИРЭА")</f>
        <v>РТУ МИРЭА</v>
      </c>
      <c r="B4577" s="24" t="s">
        <v>3855</v>
      </c>
      <c r="C4577" s="25">
        <v>1698650.4</v>
      </c>
      <c r="D4577" s="22" t="s">
        <v>6503</v>
      </c>
      <c r="E4577" s="22" t="s">
        <v>59</v>
      </c>
      <c r="F4577" s="23" t="str">
        <f>HYPERLINK("https://www.spark-marketing.ru/Card/Lot/72046226", "Выполнение работ по установке системы видеонаблюдения в коридоре здания РТУ МИРЭА")</f>
        <v>Выполнение работ по установке системы видеонаблюдения в коридоре здания РТУ МИРЭА</v>
      </c>
      <c r="G4577" s="22" t="s">
        <v>55</v>
      </c>
      <c r="H4577" s="22" t="s">
        <v>55</v>
      </c>
      <c r="I4577" s="26">
        <v>43656.500439814801</v>
      </c>
      <c r="J4577" s="23" t="str">
        <f>HYPERLINK("https://www.spark-marketing.ru/Card/Person/44991", "ООО ""ГРАН ПРИ ТЕЛЕКОМ""")</f>
        <v>ООО "ГРАН ПРИ ТЕЛЕКОМ"</v>
      </c>
      <c r="K4577" s="24" t="s">
        <v>6504</v>
      </c>
      <c r="L4577" s="22" t="s">
        <v>10</v>
      </c>
      <c r="M4577" s="25">
        <v>1681663.9</v>
      </c>
      <c r="N4577" s="27">
        <v>9.9999976451893811E-3</v>
      </c>
    </row>
    <row r="4578" spans="1:14" hidden="1" outlineLevel="1" x14ac:dyDescent="0.2">
      <c r="A4578" s="23" t="str">
        <f>HYPERLINK("https://www.spark-marketing.ru/Card/Person/11733", "РТУ МИРЭА")</f>
        <v>РТУ МИРЭА</v>
      </c>
      <c r="B4578" s="24" t="s">
        <v>3855</v>
      </c>
      <c r="C4578" s="25">
        <v>1698650.4</v>
      </c>
      <c r="D4578" s="22" t="s">
        <v>6503</v>
      </c>
      <c r="E4578" s="22" t="s">
        <v>59</v>
      </c>
      <c r="F4578" s="23" t="str">
        <f>HYPERLINK("https://www.spark-marketing.ru/Card/Lot/72046226", "Выполнение работ по установке системы видеонаблюдения в коридоре здания РТУ МИРЭА")</f>
        <v>Выполнение работ по установке системы видеонаблюдения в коридоре здания РТУ МИРЭА</v>
      </c>
      <c r="G4578" s="22" t="s">
        <v>55</v>
      </c>
      <c r="H4578" s="22" t="s">
        <v>55</v>
      </c>
      <c r="I4578" s="26">
        <v>43656.500439814801</v>
      </c>
      <c r="J4578" s="23" t="str">
        <f>HYPERLINK("https://www.spark-marketing.ru/Card/Person/2584515", "ООО ""ЛЕГЕ АРТИС ФАРМ""")</f>
        <v>ООО "ЛЕГЕ АРТИС ФАРМ"</v>
      </c>
      <c r="K4578" s="24" t="s">
        <v>6505</v>
      </c>
      <c r="L4578" s="28" t="s">
        <v>52</v>
      </c>
      <c r="M4578" s="25">
        <v>1690157.15</v>
      </c>
      <c r="N4578" s="27">
        <v>4.9999988225946906E-3</v>
      </c>
    </row>
    <row r="4579" spans="1:14" x14ac:dyDescent="0.15">
      <c r="A4579" s="23" t="str">
        <f>HYPERLINK("https://www.spark-marketing.ru/Card/Person/4413901", "АО ""ПКТ""")</f>
        <v>АО "ПКТ"</v>
      </c>
      <c r="B4579" s="24" t="s">
        <v>791</v>
      </c>
      <c r="C4579" s="25">
        <v>47868000</v>
      </c>
      <c r="D4579" s="22" t="s">
        <v>6506</v>
      </c>
      <c r="E4579" s="22" t="s">
        <v>49</v>
      </c>
      <c r="F4579" s="23" t="str">
        <f>HYPERLINK("https://www.spark-marketing.ru/Card/Lot/72003182", "Выполнение работ по реализации мероприятий повышения безопасности объекта транспортной инфраструктуры 4-й категории АО «ПКТ»")</f>
        <v>Выполнение работ по реализации мероприятий повышения безопасности объекта транспортной инфраструктуры 4-й категории АО «ПКТ»</v>
      </c>
      <c r="G4579" s="22" t="s">
        <v>89</v>
      </c>
      <c r="H4579" s="22" t="s">
        <v>89</v>
      </c>
      <c r="I4579" s="26">
        <v>43656.509861111103</v>
      </c>
      <c r="J4579" s="28" t="s">
        <v>52</v>
      </c>
      <c r="K4579" s="28" t="s">
        <v>52</v>
      </c>
      <c r="L4579" s="28" t="s">
        <v>52</v>
      </c>
      <c r="M4579" s="28" t="s">
        <v>52</v>
      </c>
      <c r="N4579" s="28" t="s">
        <v>52</v>
      </c>
    </row>
    <row r="4580" spans="1:14" x14ac:dyDescent="0.15">
      <c r="A4580" s="23" t="str">
        <f>HYPERLINK("https://www.spark-marketing.ru/Card/Person/50549", "КГБУЗ ""ККЦО""")</f>
        <v>КГБУЗ "ККЦО"</v>
      </c>
      <c r="B4580" s="24" t="s">
        <v>6507</v>
      </c>
      <c r="C4580" s="25">
        <v>360000</v>
      </c>
      <c r="D4580" s="22" t="s">
        <v>6508</v>
      </c>
      <c r="E4580" s="22" t="s">
        <v>107</v>
      </c>
      <c r="F4580" s="23" t="str">
        <f>HYPERLINK("https://www.spark-marketing.ru/Card/Lot/71994731", "Оказание услуг по техническому обслуживанию систем охранной сигнализации, контролю доступа, видеонаблюдения, палатно-вызывной сигнализации, переговорных устройств")</f>
        <v>Оказание услуг по техническому обслуживанию систем охранной сигнализации, контролю доступа, видеонаблюдения, палатно-вызывной сигнализации, переговорных устройств</v>
      </c>
      <c r="G4580" s="22" t="s">
        <v>138</v>
      </c>
      <c r="H4580" s="22" t="s">
        <v>255</v>
      </c>
      <c r="I4580" s="26">
        <v>43656.5131944444</v>
      </c>
      <c r="J4580" s="28" t="s">
        <v>52</v>
      </c>
      <c r="K4580" s="28" t="s">
        <v>52</v>
      </c>
      <c r="L4580" s="28" t="s">
        <v>52</v>
      </c>
      <c r="M4580" s="28" t="s">
        <v>52</v>
      </c>
      <c r="N4580" s="28" t="s">
        <v>52</v>
      </c>
    </row>
    <row r="4581" spans="1:14" hidden="1" outlineLevel="1" x14ac:dyDescent="0.2">
      <c r="A4581" s="23" t="str">
        <f>HYPERLINK("https://www.spark-marketing.ru/Card/Person/50549", "КГБУЗ ""ККЦО""")</f>
        <v>КГБУЗ "ККЦО"</v>
      </c>
      <c r="B4581" s="24" t="s">
        <v>6507</v>
      </c>
      <c r="C4581" s="25">
        <v>360000</v>
      </c>
      <c r="D4581" s="22" t="s">
        <v>6508</v>
      </c>
      <c r="E4581" s="22" t="s">
        <v>107</v>
      </c>
      <c r="F4581" s="23" t="str">
        <f>HYPERLINK("https://www.spark-marketing.ru/Card/Lot/71994731", "Оказание услуг по техническому обслуживанию систем охранной сигнализации, контролю доступа, видеонаблюдения, палатно-вызывной сигнализации, переговорных устройств")</f>
        <v>Оказание услуг по техническому обслуживанию систем охранной сигнализации, контролю доступа, видеонаблюдения, палатно-вызывной сигнализации, переговорных устройств</v>
      </c>
      <c r="G4581" s="22" t="s">
        <v>138</v>
      </c>
      <c r="H4581" s="22" t="s">
        <v>255</v>
      </c>
      <c r="I4581" s="26">
        <v>43656.5131944444</v>
      </c>
      <c r="J4581" s="23" t="str">
        <f>HYPERLINK("https://www.spark-marketing.ru/Card/Person/472936", "ООО ""СТЭМ""")</f>
        <v>ООО "СТЭМ"</v>
      </c>
      <c r="K4581" s="24" t="s">
        <v>6509</v>
      </c>
      <c r="L4581" s="28" t="s">
        <v>52</v>
      </c>
      <c r="M4581" s="25">
        <v>324000</v>
      </c>
      <c r="N4581" s="27">
        <v>0.1</v>
      </c>
    </row>
    <row r="4582" spans="1:14" ht="12.75" hidden="1" outlineLevel="1" x14ac:dyDescent="0.2">
      <c r="A4582" s="23" t="str">
        <f>HYPERLINK("https://www.spark-marketing.ru/Card/Person/50549", "КГБУЗ ""ККЦО""")</f>
        <v>КГБУЗ "ККЦО"</v>
      </c>
      <c r="B4582" s="24" t="s">
        <v>6507</v>
      </c>
      <c r="C4582" s="25">
        <v>360000</v>
      </c>
      <c r="D4582" s="22" t="s">
        <v>6508</v>
      </c>
      <c r="E4582" s="22" t="s">
        <v>107</v>
      </c>
      <c r="F4582" s="23" t="str">
        <f>HYPERLINK("https://www.spark-marketing.ru/Card/Lot/71994731", "Оказание услуг по техническому обслуживанию систем охранной сигнализации, контролю доступа, видеонаблюдения, палатно-вызывной сигнализации, переговорных устройств")</f>
        <v>Оказание услуг по техническому обслуживанию систем охранной сигнализации, контролю доступа, видеонаблюдения, палатно-вызывной сигнализации, переговорных устройств</v>
      </c>
      <c r="G4582" s="22" t="s">
        <v>138</v>
      </c>
      <c r="H4582" s="22" t="s">
        <v>255</v>
      </c>
      <c r="I4582" s="26">
        <v>43656.5131944444</v>
      </c>
      <c r="J4582" s="23" t="str">
        <f>HYPERLINK("https://www.spark-marketing.ru/Card/Person/473820", "ООО ""ИЗОТОП ДВ""")</f>
        <v>ООО "ИЗОТОП ДВ"</v>
      </c>
      <c r="K4582" s="24" t="s">
        <v>6510</v>
      </c>
      <c r="L4582" s="22" t="s">
        <v>10</v>
      </c>
      <c r="M4582" s="25">
        <v>254546.52</v>
      </c>
      <c r="N4582" s="27">
        <v>0.29292633333333334</v>
      </c>
    </row>
    <row r="4583" spans="1:14" hidden="1" outlineLevel="1" x14ac:dyDescent="0.2">
      <c r="A4583" s="23" t="str">
        <f>HYPERLINK("https://www.spark-marketing.ru/Card/Person/50549", "КГБУЗ ""ККЦО""")</f>
        <v>КГБУЗ "ККЦО"</v>
      </c>
      <c r="B4583" s="24" t="s">
        <v>6507</v>
      </c>
      <c r="C4583" s="25">
        <v>360000</v>
      </c>
      <c r="D4583" s="22" t="s">
        <v>6508</v>
      </c>
      <c r="E4583" s="22" t="s">
        <v>107</v>
      </c>
      <c r="F4583" s="23" t="str">
        <f>HYPERLINK("https://www.spark-marketing.ru/Card/Lot/71994731", "Оказание услуг по техническому обслуживанию систем охранной сигнализации, контролю доступа, видеонаблюдения, палатно-вызывной сигнализации, переговорных устройств")</f>
        <v>Оказание услуг по техническому обслуживанию систем охранной сигнализации, контролю доступа, видеонаблюдения, палатно-вызывной сигнализации, переговорных устройств</v>
      </c>
      <c r="G4583" s="22" t="s">
        <v>138</v>
      </c>
      <c r="H4583" s="22" t="s">
        <v>255</v>
      </c>
      <c r="I4583" s="26">
        <v>43656.5131944444</v>
      </c>
      <c r="J4583" s="23" t="str">
        <f>HYPERLINK("https://www.spark-marketing.ru/Card/Person/2595628", "ООО ""ЧОО ""ГАРТ""")</f>
        <v>ООО "ЧОО "ГАРТ"</v>
      </c>
      <c r="K4583" s="24" t="s">
        <v>2984</v>
      </c>
      <c r="L4583" s="28" t="s">
        <v>52</v>
      </c>
      <c r="M4583" s="25">
        <v>324000</v>
      </c>
      <c r="N4583" s="27">
        <v>0.1</v>
      </c>
    </row>
    <row r="4584" spans="1:14" x14ac:dyDescent="0.15">
      <c r="A4584" s="23" t="str">
        <f>HYPERLINK("https://www.spark-marketing.ru/Card/Person/19787", "ГБУЗ ""МЦ ДИНАСТИЯ""")</f>
        <v>ГБУЗ "МЦ ДИНАСТИЯ"</v>
      </c>
      <c r="B4584" s="24" t="s">
        <v>5584</v>
      </c>
      <c r="C4584" s="25">
        <v>280586</v>
      </c>
      <c r="D4584" s="22" t="s">
        <v>6511</v>
      </c>
      <c r="E4584" s="22" t="s">
        <v>842</v>
      </c>
      <c r="F4584" s="23" t="str">
        <f>HYPERLINK("https://www.spark-marketing.ru/Card/Lot/71999569", "Выполнение электромонтажных работ в серверной комнате, системы ограничения доступа и аварийной сигнализации, холодильных установок для нужд ГБУЗ ""МЦ Династия""")</f>
        <v>Выполнение электромонтажных работ в серверной комнате, системы ограничения доступа и аварийной сигнализации, холодильных установок для нужд ГБУЗ "МЦ Династия"</v>
      </c>
      <c r="G4584" s="22" t="s">
        <v>760</v>
      </c>
      <c r="H4584" s="22" t="s">
        <v>1709</v>
      </c>
      <c r="I4584" s="26">
        <v>43656.471527777801</v>
      </c>
      <c r="J4584" s="28" t="s">
        <v>52</v>
      </c>
      <c r="K4584" s="28" t="s">
        <v>52</v>
      </c>
      <c r="L4584" s="28" t="s">
        <v>52</v>
      </c>
      <c r="M4584" s="28" t="s">
        <v>52</v>
      </c>
      <c r="N4584" s="28" t="s">
        <v>52</v>
      </c>
    </row>
    <row r="4585" spans="1:14" hidden="1" outlineLevel="1" x14ac:dyDescent="0.15">
      <c r="A4585" s="23" t="str">
        <f>HYPERLINK("https://www.spark-marketing.ru/Card/Person/19787", "ГБУЗ ""МЦ ДИНАСТИЯ""")</f>
        <v>ГБУЗ "МЦ ДИНАСТИЯ"</v>
      </c>
      <c r="B4585" s="24" t="s">
        <v>5584</v>
      </c>
      <c r="C4585" s="25">
        <v>280586</v>
      </c>
      <c r="D4585" s="22" t="s">
        <v>6511</v>
      </c>
      <c r="E4585" s="22" t="s">
        <v>842</v>
      </c>
      <c r="F4585" s="23" t="str">
        <f>HYPERLINK("https://www.spark-marketing.ru/Card/Lot/71999569", "Выполнение электромонтажных работ в серверной комнате, системы ограничения доступа и аварийной сигнализации, холодильных установок для нужд ГБУЗ ""МЦ Династия""")</f>
        <v>Выполнение электромонтажных работ в серверной комнате, системы ограничения доступа и аварийной сигнализации, холодильных установок для нужд ГБУЗ "МЦ Династия"</v>
      </c>
      <c r="G4585" s="22" t="s">
        <v>760</v>
      </c>
      <c r="H4585" s="22" t="s">
        <v>1709</v>
      </c>
      <c r="I4585" s="26">
        <v>43656.471527777801</v>
      </c>
      <c r="J4585" s="23" t="str">
        <f>HYPERLINK("https://www.spark-marketing.ru/Card/Person/6228363", "Рыжов Александр Владимирович")</f>
        <v>Рыжов Александр Владимирович</v>
      </c>
      <c r="K4585" s="24" t="s">
        <v>6512</v>
      </c>
      <c r="L4585" s="28" t="s">
        <v>52</v>
      </c>
      <c r="M4585" s="28" t="s">
        <v>52</v>
      </c>
      <c r="N4585" s="28" t="s">
        <v>52</v>
      </c>
    </row>
    <row r="4586" spans="1:14" hidden="1" outlineLevel="1" x14ac:dyDescent="0.15">
      <c r="A4586" s="23" t="str">
        <f>HYPERLINK("https://www.spark-marketing.ru/Card/Person/19787", "ГБУЗ ""МЦ ДИНАСТИЯ""")</f>
        <v>ГБУЗ "МЦ ДИНАСТИЯ"</v>
      </c>
      <c r="B4586" s="24" t="s">
        <v>5584</v>
      </c>
      <c r="C4586" s="25">
        <v>280586</v>
      </c>
      <c r="D4586" s="22" t="s">
        <v>6511</v>
      </c>
      <c r="E4586" s="22" t="s">
        <v>842</v>
      </c>
      <c r="F4586" s="23" t="str">
        <f>HYPERLINK("https://www.spark-marketing.ru/Card/Lot/71999569", "Выполнение электромонтажных работ в серверной комнате, системы ограничения доступа и аварийной сигнализации, холодильных установок для нужд ГБУЗ ""МЦ Династия""")</f>
        <v>Выполнение электромонтажных работ в серверной комнате, системы ограничения доступа и аварийной сигнализации, холодильных установок для нужд ГБУЗ "МЦ Династия"</v>
      </c>
      <c r="G4586" s="22" t="s">
        <v>760</v>
      </c>
      <c r="H4586" s="22" t="s">
        <v>1709</v>
      </c>
      <c r="I4586" s="26">
        <v>43656.471527777801</v>
      </c>
      <c r="J4586" s="23" t="str">
        <f>HYPERLINK("https://www.spark-marketing.ru/Card/Person/5850365", "ООО СК ""СЭМ""")</f>
        <v>ООО СК "СЭМ"</v>
      </c>
      <c r="K4586" s="24" t="s">
        <v>6513</v>
      </c>
      <c r="L4586" s="28" t="s">
        <v>52</v>
      </c>
      <c r="M4586" s="28" t="s">
        <v>52</v>
      </c>
      <c r="N4586" s="28" t="s">
        <v>52</v>
      </c>
    </row>
    <row r="4587" spans="1:14" hidden="1" outlineLevel="1" x14ac:dyDescent="0.15">
      <c r="A4587" s="23" t="str">
        <f>HYPERLINK("https://www.spark-marketing.ru/Card/Person/19787", "ГБУЗ ""МЦ ДИНАСТИЯ""")</f>
        <v>ГБУЗ "МЦ ДИНАСТИЯ"</v>
      </c>
      <c r="B4587" s="24" t="s">
        <v>5584</v>
      </c>
      <c r="C4587" s="25">
        <v>280586</v>
      </c>
      <c r="D4587" s="22" t="s">
        <v>6511</v>
      </c>
      <c r="E4587" s="22" t="s">
        <v>842</v>
      </c>
      <c r="F4587" s="23" t="str">
        <f>HYPERLINK("https://www.spark-marketing.ru/Card/Lot/71999569", "Выполнение электромонтажных работ в серверной комнате, системы ограничения доступа и аварийной сигнализации, холодильных установок для нужд ГБУЗ ""МЦ Династия""")</f>
        <v>Выполнение электромонтажных работ в серверной комнате, системы ограничения доступа и аварийной сигнализации, холодильных установок для нужд ГБУЗ "МЦ Династия"</v>
      </c>
      <c r="G4587" s="22" t="s">
        <v>760</v>
      </c>
      <c r="H4587" s="22" t="s">
        <v>1709</v>
      </c>
      <c r="I4587" s="26">
        <v>43656.471527777801</v>
      </c>
      <c r="J4587" s="23" t="str">
        <f>HYPERLINK("https://www.spark-marketing.ru/Card/Person/1839832", "ООО ""МДС КОНТРОЛ-СИСТЕМС""")</f>
        <v>ООО "МДС КОНТРОЛ-СИСТЕМС"</v>
      </c>
      <c r="K4587" s="24" t="s">
        <v>5586</v>
      </c>
      <c r="L4587" s="28" t="s">
        <v>52</v>
      </c>
      <c r="M4587" s="28" t="s">
        <v>52</v>
      </c>
      <c r="N4587" s="28" t="s">
        <v>52</v>
      </c>
    </row>
    <row r="4588" spans="1:14" x14ac:dyDescent="0.15">
      <c r="A4588" s="23" t="str">
        <f>HYPERLINK("https://www.spark-marketing.ru/Card/Person/4345940", "ПАО ""АК БАРС"" БАНК")</f>
        <v>ПАО "АК БАРС" БАНК</v>
      </c>
      <c r="B4588" s="24" t="s">
        <v>1108</v>
      </c>
      <c r="C4588" s="25">
        <v>0</v>
      </c>
      <c r="D4588" s="22" t="s">
        <v>6514</v>
      </c>
      <c r="E4588" s="22" t="s">
        <v>53</v>
      </c>
      <c r="F4588" s="23" t="str">
        <f>HYPERLINK("https://www.spark-marketing.ru/Card/Lot/72746171", "Установка (монтаж) системы передачи звука для малых комнат")</f>
        <v>Установка (монтаж) системы передачи звука для малых комнат</v>
      </c>
      <c r="G4588" s="22" t="s">
        <v>204</v>
      </c>
      <c r="H4588" s="22" t="s">
        <v>303</v>
      </c>
      <c r="I4588" s="26">
        <v>43656.463622685202</v>
      </c>
      <c r="J4588" s="28" t="s">
        <v>52</v>
      </c>
      <c r="K4588" s="28" t="s">
        <v>52</v>
      </c>
      <c r="L4588" s="28" t="s">
        <v>52</v>
      </c>
      <c r="M4588" s="28" t="s">
        <v>52</v>
      </c>
      <c r="N4588" s="28" t="s">
        <v>52</v>
      </c>
    </row>
    <row r="4589" spans="1:14" x14ac:dyDescent="0.15">
      <c r="A4589" s="23" t="str">
        <f>HYPERLINK("https://www.spark-marketing.ru/Card/Person/1055957", "ГБДОУ НАО ""ДЕТСКИЙ САД ""КОРАБЛИК""")</f>
        <v>ГБДОУ НАО "ДЕТСКИЙ САД "КОРАБЛИК"</v>
      </c>
      <c r="B4589" s="24" t="s">
        <v>6515</v>
      </c>
      <c r="C4589" s="25">
        <v>25000</v>
      </c>
      <c r="D4589" s="22" t="s">
        <v>6516</v>
      </c>
      <c r="E4589" s="22" t="s">
        <v>349</v>
      </c>
      <c r="F4589" s="23" t="str">
        <f>HYPERLINK("https://www.spark-marketing.ru/Card/Lot/72000321", "Установка и приобретение видеорегистратора")</f>
        <v>Установка и приобретение видеорегистратора</v>
      </c>
      <c r="G4589" s="22" t="s">
        <v>1014</v>
      </c>
      <c r="H4589" s="22" t="s">
        <v>1015</v>
      </c>
      <c r="I4589" s="26">
        <v>43656.491666666698</v>
      </c>
      <c r="J4589" s="28" t="s">
        <v>52</v>
      </c>
      <c r="K4589" s="28" t="s">
        <v>52</v>
      </c>
      <c r="L4589" s="28" t="s">
        <v>52</v>
      </c>
      <c r="M4589" s="28" t="s">
        <v>52</v>
      </c>
      <c r="N4589" s="28" t="s">
        <v>52</v>
      </c>
    </row>
    <row r="4590" spans="1:14" x14ac:dyDescent="0.15">
      <c r="A4590" s="23" t="str">
        <f>HYPERLINK("https://www.spark-marketing.ru/Card/Person/4345940", "ПАО ""АК БАРС"" БАНК")</f>
        <v>ПАО "АК БАРС" БАНК</v>
      </c>
      <c r="B4590" s="24" t="s">
        <v>1108</v>
      </c>
      <c r="C4590" s="25">
        <v>0</v>
      </c>
      <c r="D4590" s="22" t="s">
        <v>6514</v>
      </c>
      <c r="E4590" s="22" t="s">
        <v>53</v>
      </c>
      <c r="F4590" s="23" t="str">
        <f>HYPERLINK("https://www.spark-marketing.ru/Card/Lot/72746169", "Установка (монтаж) системы передачи звука для большой комнаты")</f>
        <v>Установка (монтаж) системы передачи звука для большой комнаты</v>
      </c>
      <c r="G4590" s="22" t="s">
        <v>204</v>
      </c>
      <c r="H4590" s="22" t="s">
        <v>303</v>
      </c>
      <c r="I4590" s="26">
        <v>43656.463622685202</v>
      </c>
      <c r="J4590" s="28" t="s">
        <v>52</v>
      </c>
      <c r="K4590" s="28" t="s">
        <v>52</v>
      </c>
      <c r="L4590" s="28" t="s">
        <v>52</v>
      </c>
      <c r="M4590" s="28" t="s">
        <v>52</v>
      </c>
      <c r="N4590" s="28" t="s">
        <v>52</v>
      </c>
    </row>
    <row r="4591" spans="1:14" x14ac:dyDescent="0.15">
      <c r="A4591" s="23" t="str">
        <f>HYPERLINK("https://www.spark-marketing.ru/Card/Person/754324", "ГАПОУ ПО ""ПЕНЗЕНСКИЙ КОЛЛЕДЖ ИНФОРМАЦИОННЫХ И ПРОМЫШЛЕННЫХ ТЕХНОЛОГИЙ (ИТ-КОЛЛЕДЖ)""; ГАПОУ ПО ПКИПТ(ИТ-КОЛЛЕДЖ)")</f>
        <v>ГАПОУ ПО "ПЕНЗЕНСКИЙ КОЛЛЕДЖ ИНФОРМАЦИОННЫХ И ПРОМЫШЛЕННЫХ ТЕХНОЛОГИЙ (ИТ-КОЛЛЕДЖ)"; ГАПОУ ПО ПКИПТ(ИТ-КОЛЛЕДЖ)</v>
      </c>
      <c r="B4591" s="24" t="s">
        <v>6517</v>
      </c>
      <c r="C4591" s="25">
        <v>713118</v>
      </c>
      <c r="D4591" s="22" t="s">
        <v>6518</v>
      </c>
      <c r="E4591" s="22" t="s">
        <v>6519</v>
      </c>
      <c r="F4591" s="23" t="str">
        <f>HYPERLINK("https://www.spark-marketing.ru/Card/Lot/72001633", "Приобретение и установка видеонаблюдения")</f>
        <v>Приобретение и установка видеонаблюдения</v>
      </c>
      <c r="G4591" s="22" t="s">
        <v>514</v>
      </c>
      <c r="H4591" s="22" t="s">
        <v>514</v>
      </c>
      <c r="I4591" s="26">
        <v>43656.463981481502</v>
      </c>
      <c r="J4591" s="28" t="s">
        <v>52</v>
      </c>
      <c r="K4591" s="28" t="s">
        <v>52</v>
      </c>
      <c r="L4591" s="28" t="s">
        <v>52</v>
      </c>
      <c r="M4591" s="28" t="s">
        <v>52</v>
      </c>
      <c r="N4591" s="28" t="s">
        <v>52</v>
      </c>
    </row>
    <row r="4592" spans="1:14" x14ac:dyDescent="0.15">
      <c r="A4592" s="23" t="str">
        <f>HYPERLINK("https://www.spark-marketing.ru/Card/Person/20873", "СПБ ГБУЗ ""ДГП №62""")</f>
        <v>СПБ ГБУЗ "ДГП №62"</v>
      </c>
      <c r="B4592" s="24" t="s">
        <v>6520</v>
      </c>
      <c r="C4592" s="25">
        <v>25000</v>
      </c>
      <c r="D4592" s="22" t="s">
        <v>6521</v>
      </c>
      <c r="E4592" s="22" t="s">
        <v>194</v>
      </c>
      <c r="F4592" s="23" t="str">
        <f>HYPERLINK("https://www.spark-marketing.ru/Card/Lot/72002449", "Поставка, установка, пуско-наладка, веб-камеры в регистратуру")</f>
        <v>Поставка, установка, пуско-наладка, веб-камеры в регистратуру</v>
      </c>
      <c r="G4592" s="22" t="s">
        <v>89</v>
      </c>
      <c r="H4592" s="22" t="s">
        <v>89</v>
      </c>
      <c r="I4592" s="26">
        <v>43656.436111111099</v>
      </c>
      <c r="J4592" s="28" t="s">
        <v>52</v>
      </c>
      <c r="K4592" s="28" t="s">
        <v>52</v>
      </c>
      <c r="L4592" s="28" t="s">
        <v>52</v>
      </c>
      <c r="M4592" s="28" t="s">
        <v>52</v>
      </c>
      <c r="N4592" s="28" t="s">
        <v>52</v>
      </c>
    </row>
    <row r="4593" spans="1:14" hidden="1" outlineLevel="1" x14ac:dyDescent="0.2">
      <c r="A4593" s="23" t="str">
        <f>HYPERLINK("https://www.spark-marketing.ru/Card/Person/20873", "СПБ ГБУЗ ""ДГП №62""")</f>
        <v>СПБ ГБУЗ "ДГП №62"</v>
      </c>
      <c r="B4593" s="24" t="s">
        <v>6520</v>
      </c>
      <c r="C4593" s="25">
        <v>25000</v>
      </c>
      <c r="D4593" s="22" t="s">
        <v>6521</v>
      </c>
      <c r="E4593" s="22" t="s">
        <v>194</v>
      </c>
      <c r="F4593" s="23" t="str">
        <f>HYPERLINK("https://www.spark-marketing.ru/Card/Lot/72002449", "Поставка, установка, пуско-наладка, веб-камеры в регистратуру")</f>
        <v>Поставка, установка, пуско-наладка, веб-камеры в регистратуру</v>
      </c>
      <c r="G4593" s="22" t="s">
        <v>89</v>
      </c>
      <c r="H4593" s="22" t="s">
        <v>89</v>
      </c>
      <c r="I4593" s="26">
        <v>43656.436111111099</v>
      </c>
      <c r="J4593" s="23" t="str">
        <f>HYPERLINK("https://www.spark-marketing.ru/Card/Person/6398591", "Панченко Евгений Олегович")</f>
        <v>Панченко Евгений Олегович</v>
      </c>
      <c r="K4593" s="24" t="s">
        <v>6522</v>
      </c>
      <c r="L4593" s="28" t="s">
        <v>52</v>
      </c>
      <c r="M4593" s="25">
        <v>24625</v>
      </c>
      <c r="N4593" s="27">
        <v>1.4999999999999999E-2</v>
      </c>
    </row>
    <row r="4594" spans="1:14" ht="12.75" hidden="1" outlineLevel="1" x14ac:dyDescent="0.2">
      <c r="A4594" s="23" t="str">
        <f>HYPERLINK("https://www.spark-marketing.ru/Card/Person/20873", "СПБ ГБУЗ ""ДГП №62""")</f>
        <v>СПБ ГБУЗ "ДГП №62"</v>
      </c>
      <c r="B4594" s="24" t="s">
        <v>6520</v>
      </c>
      <c r="C4594" s="25">
        <v>25000</v>
      </c>
      <c r="D4594" s="22" t="s">
        <v>6521</v>
      </c>
      <c r="E4594" s="22" t="s">
        <v>194</v>
      </c>
      <c r="F4594" s="23" t="str">
        <f>HYPERLINK("https://www.spark-marketing.ru/Card/Lot/72002449", "Поставка, установка, пуско-наладка, веб-камеры в регистратуру")</f>
        <v>Поставка, установка, пуско-наладка, веб-камеры в регистратуру</v>
      </c>
      <c r="G4594" s="22" t="s">
        <v>89</v>
      </c>
      <c r="H4594" s="22" t="s">
        <v>89</v>
      </c>
      <c r="I4594" s="26">
        <v>43656.436111111099</v>
      </c>
      <c r="J4594" s="23" t="str">
        <f>HYPERLINK("https://www.spark-marketing.ru/Card/Person/6499691", "Богачев Данила Алексеевич")</f>
        <v>Богачев Данила Алексеевич</v>
      </c>
      <c r="K4594" s="24" t="s">
        <v>6523</v>
      </c>
      <c r="L4594" s="22" t="s">
        <v>10</v>
      </c>
      <c r="M4594" s="25">
        <v>24500</v>
      </c>
      <c r="N4594" s="27">
        <v>0.02</v>
      </c>
    </row>
    <row r="4595" spans="1:14" x14ac:dyDescent="0.15">
      <c r="A4595" s="23" t="str">
        <f>HYPERLINK("https://www.spark-marketing.ru/Card/Person/33274", "ГБПОУ МО ""ОРЕХОВО-ЗУЕВСКИЙ ЖЕЛЕЗНОДОРОЖНЫЙ ТЕХНИКУМ ИМЕНИ В.И. БОНДАРЕНКО""")</f>
        <v>ГБПОУ МО "ОРЕХОВО-ЗУЕВСКИЙ ЖЕЛЕЗНОДОРОЖНЫЙ ТЕХНИКУМ ИМЕНИ В.И. БОНДАРЕНКО"</v>
      </c>
      <c r="B4595" s="24" t="s">
        <v>6524</v>
      </c>
      <c r="C4595" s="25">
        <v>96728.38</v>
      </c>
      <c r="D4595" s="22" t="s">
        <v>6525</v>
      </c>
      <c r="E4595" s="22" t="s">
        <v>59</v>
      </c>
      <c r="F4595" s="23" t="str">
        <f>HYPERLINK("https://www.spark-marketing.ru/Card/Lot/71999199", "Установка, обслуживание сигнализации на объекте ГБПОУ МО ""Орехово-Зуевский железнодорожный техникум имени В.И.Бондаренко"" по адресам:Московская область, г. Орехово-Зуево, ул. Коминтерна, 39; Московская область, г. Орехово-Зуево, ул. Красина, д.1")</f>
        <v>Установка, обслуживание сигнализации на объекте ГБПОУ МО "Орехово-Зуевский железнодорожный техникум имени В.И.Бондаренко" по адресам:Московская область, г. Орехово-Зуево, ул. Коминтерна, 39; Московская область, г. Орехово-Зуево, ул. Красина, д.1</v>
      </c>
      <c r="G4595" s="22" t="s">
        <v>50</v>
      </c>
      <c r="H4595" s="22" t="s">
        <v>104</v>
      </c>
      <c r="I4595" s="26">
        <v>43656.429965277799</v>
      </c>
      <c r="J4595" s="28" t="s">
        <v>52</v>
      </c>
      <c r="K4595" s="28" t="s">
        <v>52</v>
      </c>
      <c r="L4595" s="28" t="s">
        <v>52</v>
      </c>
      <c r="M4595" s="28" t="s">
        <v>52</v>
      </c>
      <c r="N4595" s="28" t="s">
        <v>52</v>
      </c>
    </row>
    <row r="4596" spans="1:14" x14ac:dyDescent="0.15">
      <c r="A4596" s="23" t="str">
        <f>HYPERLINK("https://www.spark-marketing.ru/Card/Person/115960", "МОУ ""ЛИЦЕЙ"" Г.ДЕДОВСК")</f>
        <v>МОУ "ЛИЦЕЙ" Г.ДЕДОВСК</v>
      </c>
      <c r="B4596" s="24" t="s">
        <v>6526</v>
      </c>
      <c r="C4596" s="25">
        <v>918433.41</v>
      </c>
      <c r="D4596" s="22" t="s">
        <v>6527</v>
      </c>
      <c r="E4596" s="22" t="s">
        <v>194</v>
      </c>
      <c r="F4596" s="23" t="str">
        <f>HYPERLINK("https://www.spark-marketing.ru/Card/Lot/72017379", "Поставка камер (с установкой) системы видеонаблюдения в пункты приема экзаменов (ППЭ) ""МОУ Лицей"" г. Дедовск")</f>
        <v>Поставка камер (с установкой) системы видеонаблюдения в пункты приема экзаменов (ППЭ) "МОУ Лицей" г. Дедовск</v>
      </c>
      <c r="G4596" s="22" t="s">
        <v>50</v>
      </c>
      <c r="H4596" s="22" t="s">
        <v>295</v>
      </c>
      <c r="I4596" s="26">
        <v>43656.416666666701</v>
      </c>
      <c r="J4596" s="28" t="s">
        <v>52</v>
      </c>
      <c r="K4596" s="28" t="s">
        <v>52</v>
      </c>
      <c r="L4596" s="28" t="s">
        <v>52</v>
      </c>
      <c r="M4596" s="28" t="s">
        <v>52</v>
      </c>
      <c r="N4596" s="28" t="s">
        <v>52</v>
      </c>
    </row>
    <row r="4597" spans="1:14" ht="12.75" hidden="1" outlineLevel="1" x14ac:dyDescent="0.2">
      <c r="A4597" s="23" t="str">
        <f>HYPERLINK("https://www.spark-marketing.ru/Card/Person/115960", "МОУ ""ЛИЦЕЙ"" Г.ДЕДОВСК")</f>
        <v>МОУ "ЛИЦЕЙ" Г.ДЕДОВСК</v>
      </c>
      <c r="B4597" s="24" t="s">
        <v>6526</v>
      </c>
      <c r="C4597" s="25">
        <v>918433.41</v>
      </c>
      <c r="D4597" s="22" t="s">
        <v>6527</v>
      </c>
      <c r="E4597" s="22" t="s">
        <v>194</v>
      </c>
      <c r="F4597" s="23" t="str">
        <f>HYPERLINK("https://www.spark-marketing.ru/Card/Lot/72017379", "Поставка камер (с установкой) системы видеонаблюдения в пункты приема экзаменов (ППЭ) ""МОУ Лицей"" г. Дедовск")</f>
        <v>Поставка камер (с установкой) системы видеонаблюдения в пункты приема экзаменов (ППЭ) "МОУ Лицей" г. Дедовск</v>
      </c>
      <c r="G4597" s="22" t="s">
        <v>50</v>
      </c>
      <c r="H4597" s="22" t="s">
        <v>295</v>
      </c>
      <c r="I4597" s="26">
        <v>43656.416666666701</v>
      </c>
      <c r="J4597" s="23" t="str">
        <f>HYPERLINK("https://www.spark-marketing.ru/Card/Person/76451", "ООО ""БИС""")</f>
        <v>ООО "БИС"</v>
      </c>
      <c r="K4597" s="24" t="s">
        <v>6528</v>
      </c>
      <c r="L4597" s="22" t="s">
        <v>10</v>
      </c>
      <c r="M4597" s="25">
        <v>909249</v>
      </c>
      <c r="N4597" s="27">
        <v>1.0000082640721879E-2</v>
      </c>
    </row>
    <row r="4598" spans="1:14" hidden="1" outlineLevel="1" x14ac:dyDescent="0.2">
      <c r="A4598" s="23" t="str">
        <f>HYPERLINK("https://www.spark-marketing.ru/Card/Person/115960", "МОУ ""ЛИЦЕЙ"" Г.ДЕДОВСК")</f>
        <v>МОУ "ЛИЦЕЙ" Г.ДЕДОВСК</v>
      </c>
      <c r="B4598" s="24" t="s">
        <v>6526</v>
      </c>
      <c r="C4598" s="25">
        <v>918433.41</v>
      </c>
      <c r="D4598" s="22" t="s">
        <v>6527</v>
      </c>
      <c r="E4598" s="22" t="s">
        <v>194</v>
      </c>
      <c r="F4598" s="23" t="str">
        <f>HYPERLINK("https://www.spark-marketing.ru/Card/Lot/72017379", "Поставка камер (с установкой) системы видеонаблюдения в пункты приема экзаменов (ППЭ) ""МОУ Лицей"" г. Дедовск")</f>
        <v>Поставка камер (с установкой) системы видеонаблюдения в пункты приема экзаменов (ППЭ) "МОУ Лицей" г. Дедовск</v>
      </c>
      <c r="G4598" s="22" t="s">
        <v>50</v>
      </c>
      <c r="H4598" s="22" t="s">
        <v>295</v>
      </c>
      <c r="I4598" s="26">
        <v>43656.416666666701</v>
      </c>
      <c r="J4598" s="23" t="str">
        <f>HYPERLINK("https://www.spark-marketing.ru/Card/Person/5912290", "ООО ""ЛАБОРАТОРИЯ ЗАЩИТЫ ИНФОРМАЦИИ""")</f>
        <v>ООО "ЛАБОРАТОРИЯ ЗАЩИТЫ ИНФОРМАЦИИ"</v>
      </c>
      <c r="K4598" s="24" t="s">
        <v>6529</v>
      </c>
      <c r="L4598" s="28" t="s">
        <v>52</v>
      </c>
      <c r="M4598" s="25">
        <v>913841.24</v>
      </c>
      <c r="N4598" s="27">
        <v>5.0000032119911662E-3</v>
      </c>
    </row>
    <row r="4599" spans="1:14" x14ac:dyDescent="0.15">
      <c r="A4599" s="23" t="str">
        <f>HYPERLINK("https://www.spark-marketing.ru/Card/Person/17246", "УСД В ТВЕРСКОЙ ОБЛАСТИ")</f>
        <v>УСД В ТВЕРСКОЙ ОБЛАСТИ</v>
      </c>
      <c r="B4599" s="24" t="s">
        <v>6530</v>
      </c>
      <c r="C4599" s="25">
        <v>392284.4</v>
      </c>
      <c r="D4599" s="22" t="s">
        <v>6531</v>
      </c>
      <c r="E4599" s="22" t="s">
        <v>68</v>
      </c>
      <c r="F4599" s="23" t="str">
        <f>HYPERLINK("https://www.spark-marketing.ru/Card/Lot/71998295", "Мониторинг технических средств охраны на объектах")</f>
        <v>Мониторинг технических средств охраны на объектах</v>
      </c>
      <c r="G4599" s="22" t="s">
        <v>251</v>
      </c>
      <c r="H4599" s="22" t="s">
        <v>251</v>
      </c>
      <c r="I4599" s="26">
        <v>43656.382638888899</v>
      </c>
      <c r="J4599" s="28" t="s">
        <v>52</v>
      </c>
      <c r="K4599" s="28" t="s">
        <v>52</v>
      </c>
      <c r="L4599" s="28" t="s">
        <v>52</v>
      </c>
      <c r="M4599" s="28" t="s">
        <v>52</v>
      </c>
      <c r="N4599" s="28" t="s">
        <v>52</v>
      </c>
    </row>
    <row r="4600" spans="1:14" x14ac:dyDescent="0.15">
      <c r="A4600" s="23" t="str">
        <f>HYPERLINK("https://www.spark-marketing.ru/Card/Person/1037543", "КГКУ ЦЗН ВАНИНСКОГО РАЙОНА")</f>
        <v>КГКУ ЦЗН ВАНИНСКОГО РАЙОНА</v>
      </c>
      <c r="B4600" s="24" t="s">
        <v>6532</v>
      </c>
      <c r="C4600" s="25">
        <v>65236.5</v>
      </c>
      <c r="D4600" s="22" t="s">
        <v>6533</v>
      </c>
      <c r="E4600" s="22" t="s">
        <v>53</v>
      </c>
      <c r="F4600" s="23" t="str">
        <f>HYPERLINK("https://www.spark-marketing.ru/Card/Lot/71997233", "Оказание услуг по централизованной охране объектов")</f>
        <v>Оказание услуг по централизованной охране объектов</v>
      </c>
      <c r="G4600" s="22" t="s">
        <v>138</v>
      </c>
      <c r="H4600" s="22" t="s">
        <v>138</v>
      </c>
      <c r="I4600" s="26">
        <v>43656.398692129602</v>
      </c>
      <c r="J4600" s="28" t="s">
        <v>52</v>
      </c>
      <c r="K4600" s="28" t="s">
        <v>52</v>
      </c>
      <c r="L4600" s="28" t="s">
        <v>52</v>
      </c>
      <c r="M4600" s="28" t="s">
        <v>52</v>
      </c>
      <c r="N4600" s="28" t="s">
        <v>52</v>
      </c>
    </row>
    <row r="4601" spans="1:14" x14ac:dyDescent="0.15">
      <c r="A4601" s="23" t="str">
        <f>HYPERLINK("https://www.spark-marketing.ru/Card/Person/4352638", "ФНЦ ""ВНИТИП"" РАН")</f>
        <v>ФНЦ "ВНИТИП" РАН</v>
      </c>
      <c r="B4601" s="24" t="s">
        <v>2200</v>
      </c>
      <c r="C4601" s="25">
        <v>600000</v>
      </c>
      <c r="D4601" s="22" t="s">
        <v>6534</v>
      </c>
      <c r="E4601" s="22" t="s">
        <v>789</v>
      </c>
      <c r="F4601" s="23" t="str">
        <f>HYPERLINK("https://www.spark-marketing.ru/Card/Lot/72000578", "на оказание услуг по обеспечению безопасности частных лиц и имущества для нужд «Всероссийский научно-исследовательский институт птицеперерабатывающей промышленности» (ВНИИПП) - филиала Федерального государственного бюджетного научного учреждения Феде...")</f>
        <v>на оказание услуг по обеспечению безопасности частных лиц и имущества для нужд «Всероссийский научно-исследовательский институт птицеперерабатывающей промышленности» (ВНИИПП) - филиала Федерального государственного бюджетного научного учреждения Феде...</v>
      </c>
      <c r="G4601" s="22" t="s">
        <v>50</v>
      </c>
      <c r="H4601" s="22" t="s">
        <v>326</v>
      </c>
      <c r="I4601" s="26">
        <v>43656.407488425903</v>
      </c>
      <c r="J4601" s="28" t="s">
        <v>52</v>
      </c>
      <c r="K4601" s="28" t="s">
        <v>52</v>
      </c>
      <c r="L4601" s="28" t="s">
        <v>52</v>
      </c>
      <c r="M4601" s="28" t="s">
        <v>52</v>
      </c>
      <c r="N4601" s="28" t="s">
        <v>52</v>
      </c>
    </row>
    <row r="4602" spans="1:14" x14ac:dyDescent="0.15">
      <c r="A4602" s="23" t="str">
        <f>HYPERLINK("https://www.spark-marketing.ru/Card/Person/91149", "АДМИНИСТРАЦИЯ КАМЕНСКОГО РАЙОНА")</f>
        <v>АДМИНИСТРАЦИЯ КАМЕНСКОГО РАЙОНА</v>
      </c>
      <c r="B4602" s="24" t="s">
        <v>6535</v>
      </c>
      <c r="C4602" s="25">
        <v>131553.32999999999</v>
      </c>
      <c r="D4602" s="22" t="s">
        <v>6536</v>
      </c>
      <c r="E4602" s="22" t="s">
        <v>84</v>
      </c>
      <c r="F4602" s="23" t="str">
        <f>HYPERLINK("https://www.spark-marketing.ru/Card/Lot/71997938", "Выполнение работ по установке системы видеонаблюдения по адресу: Ростовская область Каменский район, р.п. Глубокий, пер. Чкалова, 22")</f>
        <v>Выполнение работ по установке системы видеонаблюдения по адресу: Ростовская область Каменский район, р.п. Глубокий, пер. Чкалова, 22</v>
      </c>
      <c r="G4602" s="22" t="s">
        <v>402</v>
      </c>
      <c r="H4602" s="22" t="s">
        <v>2328</v>
      </c>
      <c r="I4602" s="26">
        <v>43656.370138888902</v>
      </c>
      <c r="J4602" s="28" t="s">
        <v>52</v>
      </c>
      <c r="K4602" s="28" t="s">
        <v>52</v>
      </c>
      <c r="L4602" s="28" t="s">
        <v>52</v>
      </c>
      <c r="M4602" s="28" t="s">
        <v>52</v>
      </c>
      <c r="N4602" s="28" t="s">
        <v>52</v>
      </c>
    </row>
    <row r="4603" spans="1:14" ht="12.75" hidden="1" outlineLevel="1" x14ac:dyDescent="0.2">
      <c r="A4603" s="23" t="str">
        <f>HYPERLINK("https://www.spark-marketing.ru/Card/Person/91149", "АДМИНИСТРАЦИЯ КАМЕНСКОГО РАЙОНА")</f>
        <v>АДМИНИСТРАЦИЯ КАМЕНСКОГО РАЙОНА</v>
      </c>
      <c r="B4603" s="24" t="s">
        <v>6535</v>
      </c>
      <c r="C4603" s="25">
        <v>131553.32999999999</v>
      </c>
      <c r="D4603" s="22" t="s">
        <v>6536</v>
      </c>
      <c r="E4603" s="22" t="s">
        <v>84</v>
      </c>
      <c r="F4603" s="23" t="str">
        <f>HYPERLINK("https://www.spark-marketing.ru/Card/Lot/71997938", "Выполнение работ по установке системы видеонаблюдения по адресу: Ростовская область Каменский район, р.п. Глубокий, пер. Чкалова, 22")</f>
        <v>Выполнение работ по установке системы видеонаблюдения по адресу: Ростовская область Каменский район, р.п. Глубокий, пер. Чкалова, 22</v>
      </c>
      <c r="G4603" s="22" t="s">
        <v>402</v>
      </c>
      <c r="H4603" s="22" t="s">
        <v>2328</v>
      </c>
      <c r="I4603" s="26">
        <v>43656.370138888902</v>
      </c>
      <c r="J4603" s="23" t="str">
        <f>HYPERLINK("https://www.spark-marketing.ru/Card/Person/413028", "Гаевой Александр Николаевич")</f>
        <v>Гаевой Александр Николаевич</v>
      </c>
      <c r="K4603" s="24" t="s">
        <v>6537</v>
      </c>
      <c r="L4603" s="22" t="s">
        <v>10</v>
      </c>
      <c r="M4603" s="25">
        <v>131553.32999999999</v>
      </c>
      <c r="N4603" s="27">
        <v>0</v>
      </c>
    </row>
    <row r="4604" spans="1:14" hidden="1" outlineLevel="1" x14ac:dyDescent="0.2">
      <c r="A4604" s="23" t="str">
        <f>HYPERLINK("https://www.spark-marketing.ru/Card/Person/91149", "АДМИНИСТРАЦИЯ КАМЕНСКОГО РАЙОНА")</f>
        <v>АДМИНИСТРАЦИЯ КАМЕНСКОГО РАЙОНА</v>
      </c>
      <c r="B4604" s="24" t="s">
        <v>6535</v>
      </c>
      <c r="C4604" s="25">
        <v>131553.32999999999</v>
      </c>
      <c r="D4604" s="22" t="s">
        <v>6536</v>
      </c>
      <c r="E4604" s="22" t="s">
        <v>84</v>
      </c>
      <c r="F4604" s="23" t="str">
        <f>HYPERLINK("https://www.spark-marketing.ru/Card/Lot/71997938", "Выполнение работ по установке системы видеонаблюдения по адресу: Ростовская область Каменский район, р.п. Глубокий, пер. Чкалова, 22")</f>
        <v>Выполнение работ по установке системы видеонаблюдения по адресу: Ростовская область Каменский район, р.п. Глубокий, пер. Чкалова, 22</v>
      </c>
      <c r="G4604" s="22" t="s">
        <v>402</v>
      </c>
      <c r="H4604" s="22" t="s">
        <v>2328</v>
      </c>
      <c r="I4604" s="26">
        <v>43656.370138888902</v>
      </c>
      <c r="J4604" s="23" t="str">
        <f>HYPERLINK("https://www.spark-marketing.ru/Card/Person/10928", "ООО ""РОСТОВСКИЙ-НА-ДОНУ ЦЕНТР ""АКРА""")</f>
        <v>ООО "РОСТОВСКИЙ-НА-ДОНУ ЦЕНТР "АКРА"</v>
      </c>
      <c r="K4604" s="24" t="s">
        <v>5716</v>
      </c>
      <c r="L4604" s="28" t="s">
        <v>52</v>
      </c>
      <c r="M4604" s="25">
        <v>131553.32999999999</v>
      </c>
      <c r="N4604" s="27">
        <v>0</v>
      </c>
    </row>
    <row r="4605" spans="1:14" x14ac:dyDescent="0.15">
      <c r="A4605" s="23" t="str">
        <f>HYPERLINK("https://www.spark-marketing.ru/Card/Person/66838", "АДМИНИСТРАЦИЯ ГОРОДСКОГО ПОСЕЛЕНИЯ ГОРОД ДАНКОВ")</f>
        <v>АДМИНИСТРАЦИЯ ГОРОДСКОГО ПОСЕЛЕНИЯ ГОРОД ДАНКОВ</v>
      </c>
      <c r="B4605" s="24" t="s">
        <v>6538</v>
      </c>
      <c r="C4605" s="25">
        <v>1460542.5</v>
      </c>
      <c r="D4605" s="22" t="s">
        <v>6539</v>
      </c>
      <c r="E4605" s="22" t="s">
        <v>59</v>
      </c>
      <c r="F4605" s="23" t="str">
        <f>HYPERLINK("https://www.spark-marketing.ru/Card/Lot/71996298", "Выполнение работ по установке  технических средств организации дорожного движения (светофоры Т7 с солнечной электростанцией) в городе Данкове")</f>
        <v>Выполнение работ по установке  технических средств организации дорожного движения (светофоры Т7 с солнечной электростанцией) в городе Данкове</v>
      </c>
      <c r="G4605" s="22" t="s">
        <v>629</v>
      </c>
      <c r="H4605" s="22" t="s">
        <v>6540</v>
      </c>
      <c r="I4605" s="26">
        <v>43656.332638888904</v>
      </c>
      <c r="J4605" s="28" t="s">
        <v>52</v>
      </c>
      <c r="K4605" s="28" t="s">
        <v>52</v>
      </c>
      <c r="L4605" s="28" t="s">
        <v>52</v>
      </c>
      <c r="M4605" s="28" t="s">
        <v>52</v>
      </c>
      <c r="N4605" s="28" t="s">
        <v>52</v>
      </c>
    </row>
    <row r="4606" spans="1:14" hidden="1" outlineLevel="1" x14ac:dyDescent="0.2">
      <c r="A4606" s="23" t="str">
        <f>HYPERLINK("https://www.spark-marketing.ru/Card/Person/66838", "АДМИНИСТРАЦИЯ ГОРОДСКОГО ПОСЕЛЕНИЯ ГОРОД ДАНКОВ")</f>
        <v>АДМИНИСТРАЦИЯ ГОРОДСКОГО ПОСЕЛЕНИЯ ГОРОД ДАНКОВ</v>
      </c>
      <c r="B4606" s="24" t="s">
        <v>6538</v>
      </c>
      <c r="C4606" s="25">
        <v>1460542.5</v>
      </c>
      <c r="D4606" s="22" t="s">
        <v>6539</v>
      </c>
      <c r="E4606" s="22" t="s">
        <v>59</v>
      </c>
      <c r="F4606" s="23" t="str">
        <f>HYPERLINK("https://www.spark-marketing.ru/Card/Lot/71996298", "Выполнение работ по установке  технических средств организации дорожного движения (светофоры Т7 с солнечной электростанцией) в городе Данкове")</f>
        <v>Выполнение работ по установке  технических средств организации дорожного движения (светофоры Т7 с солнечной электростанцией) в городе Данкове</v>
      </c>
      <c r="G4606" s="22" t="s">
        <v>629</v>
      </c>
      <c r="H4606" s="22" t="s">
        <v>6540</v>
      </c>
      <c r="I4606" s="26">
        <v>43656.332638888904</v>
      </c>
      <c r="J4606" s="23" t="str">
        <f>HYPERLINK("https://www.spark-marketing.ru/Card/Person/6512973", "ООО ""РАЗМЕТКА-48""")</f>
        <v>ООО "РАЗМЕТКА-48"</v>
      </c>
      <c r="K4606" s="24" t="s">
        <v>6541</v>
      </c>
      <c r="L4606" s="28" t="s">
        <v>52</v>
      </c>
      <c r="M4606" s="25">
        <v>1049221.31</v>
      </c>
      <c r="N4606" s="27">
        <v>0.28162219860086235</v>
      </c>
    </row>
    <row r="4607" spans="1:14" ht="12.75" hidden="1" outlineLevel="1" x14ac:dyDescent="0.2">
      <c r="A4607" s="23" t="str">
        <f>HYPERLINK("https://www.spark-marketing.ru/Card/Person/66838", "АДМИНИСТРАЦИЯ ГОРОДСКОГО ПОСЕЛЕНИЯ ГОРОД ДАНКОВ")</f>
        <v>АДМИНИСТРАЦИЯ ГОРОДСКОГО ПОСЕЛЕНИЯ ГОРОД ДАНКОВ</v>
      </c>
      <c r="B4607" s="24" t="s">
        <v>6538</v>
      </c>
      <c r="C4607" s="25">
        <v>1460542.5</v>
      </c>
      <c r="D4607" s="22" t="s">
        <v>6539</v>
      </c>
      <c r="E4607" s="22" t="s">
        <v>59</v>
      </c>
      <c r="F4607" s="23" t="str">
        <f>HYPERLINK("https://www.spark-marketing.ru/Card/Lot/71996298", "Выполнение работ по установке  технических средств организации дорожного движения (светофоры Т7 с солнечной электростанцией) в городе Данкове")</f>
        <v>Выполнение работ по установке  технических средств организации дорожного движения (светофоры Т7 с солнечной электростанцией) в городе Данкове</v>
      </c>
      <c r="G4607" s="22" t="s">
        <v>629</v>
      </c>
      <c r="H4607" s="22" t="s">
        <v>6540</v>
      </c>
      <c r="I4607" s="26">
        <v>43656.332638888904</v>
      </c>
      <c r="J4607" s="23" t="str">
        <f>HYPERLINK("https://www.spark-marketing.ru/Card/Person/51247", "ООО ""ТЕХЦЕНТР ОДД №2""")</f>
        <v>ООО "ТЕХЦЕНТР ОДД №2"</v>
      </c>
      <c r="K4607" s="24" t="s">
        <v>6542</v>
      </c>
      <c r="L4607" s="22" t="s">
        <v>10</v>
      </c>
      <c r="M4607" s="25">
        <v>1041918.6</v>
      </c>
      <c r="N4607" s="27">
        <v>0.28662219688916962</v>
      </c>
    </row>
    <row r="4608" spans="1:14" hidden="1" outlineLevel="1" x14ac:dyDescent="0.2">
      <c r="A4608" s="23" t="str">
        <f>HYPERLINK("https://www.spark-marketing.ru/Card/Person/66838", "АДМИНИСТРАЦИЯ ГОРОДСКОГО ПОСЕЛЕНИЯ ГОРОД ДАНКОВ")</f>
        <v>АДМИНИСТРАЦИЯ ГОРОДСКОГО ПОСЕЛЕНИЯ ГОРОД ДАНКОВ</v>
      </c>
      <c r="B4608" s="24" t="s">
        <v>6538</v>
      </c>
      <c r="C4608" s="25">
        <v>1460542.5</v>
      </c>
      <c r="D4608" s="22" t="s">
        <v>6539</v>
      </c>
      <c r="E4608" s="22" t="s">
        <v>59</v>
      </c>
      <c r="F4608" s="23" t="str">
        <f>HYPERLINK("https://www.spark-marketing.ru/Card/Lot/71996298", "Выполнение работ по установке  технических средств организации дорожного движения (светофоры Т7 с солнечной электростанцией) в городе Данкове")</f>
        <v>Выполнение работ по установке  технических средств организации дорожного движения (светофоры Т7 с солнечной электростанцией) в городе Данкове</v>
      </c>
      <c r="G4608" s="22" t="s">
        <v>629</v>
      </c>
      <c r="H4608" s="22" t="s">
        <v>6540</v>
      </c>
      <c r="I4608" s="26">
        <v>43656.332638888904</v>
      </c>
      <c r="J4608" s="23" t="str">
        <f>HYPERLINK("https://www.spark-marketing.ru/Card/Person/4730883", "ООО ""ИНТЕРТЕК""")</f>
        <v>ООО "ИНТЕРТЕК"</v>
      </c>
      <c r="K4608" s="24" t="s">
        <v>6543</v>
      </c>
      <c r="L4608" s="28" t="s">
        <v>52</v>
      </c>
      <c r="M4608" s="25">
        <v>1034615.89</v>
      </c>
      <c r="N4608" s="27">
        <v>0.29162219517747684</v>
      </c>
    </row>
    <row r="4609" spans="1:14" x14ac:dyDescent="0.15">
      <c r="A4609" s="23" t="str">
        <f>HYPERLINK("https://www.spark-marketing.ru/Card/Person/647295", "ТЕРРИТОРИАЛЬНЫЙ ОРГАН РОСЗДРАВНАДЗОРА ПО РЕСПУБЛИКЕ ХАКАСИЯ")</f>
        <v>ТЕРРИТОРИАЛЬНЫЙ ОРГАН РОСЗДРАВНАДЗОРА ПО РЕСПУБЛИКЕ ХАКАСИЯ</v>
      </c>
      <c r="B4609" s="24" t="s">
        <v>5845</v>
      </c>
      <c r="C4609" s="25">
        <v>59935.55</v>
      </c>
      <c r="D4609" s="22" t="s">
        <v>6544</v>
      </c>
      <c r="E4609" s="22" t="s">
        <v>59</v>
      </c>
      <c r="F4609" s="23" t="str">
        <f>HYPERLINK("https://www.spark-marketing.ru/Card/Lot/71994474", "Работы по установке комплекса охранной сигнализации, 1 шт")</f>
        <v>Работы по установке комплекса охранной сигнализации, 1 шт</v>
      </c>
      <c r="G4609" s="22" t="s">
        <v>1041</v>
      </c>
      <c r="H4609" s="22" t="s">
        <v>4311</v>
      </c>
      <c r="I4609" s="26">
        <v>43656.266689814802</v>
      </c>
      <c r="J4609" s="28" t="s">
        <v>52</v>
      </c>
      <c r="K4609" s="28" t="s">
        <v>52</v>
      </c>
      <c r="L4609" s="28" t="s">
        <v>52</v>
      </c>
      <c r="M4609" s="28" t="s">
        <v>52</v>
      </c>
      <c r="N4609" s="28" t="s">
        <v>52</v>
      </c>
    </row>
    <row r="4610" spans="1:14" x14ac:dyDescent="0.15">
      <c r="A4610" s="23" t="str">
        <f>HYPERLINK("https://www.spark-marketing.ru/Card/Person/261006", "УПРАВЛЕНИЕ РОСРЕЕСТРА ПО КАМЧАТСКОМУ КРАЮ")</f>
        <v>УПРАВЛЕНИЕ РОСРЕЕСТРА ПО КАМЧАТСКОМУ КРАЮ</v>
      </c>
      <c r="B4610" s="24" t="s">
        <v>6545</v>
      </c>
      <c r="C4610" s="25">
        <v>35967.800000000003</v>
      </c>
      <c r="D4610" s="22" t="s">
        <v>6546</v>
      </c>
      <c r="E4610" s="22" t="s">
        <v>53</v>
      </c>
      <c r="F4610" s="23" t="str">
        <f>HYPERLINK("https://www.spark-marketing.ru/Card/Lot/71994817", "Техническое обслуживание комплекса технических средств охраны")</f>
        <v>Техническое обслуживание комплекса технических средств охраны</v>
      </c>
      <c r="G4610" s="22" t="s">
        <v>1141</v>
      </c>
      <c r="H4610" s="22" t="s">
        <v>1142</v>
      </c>
      <c r="I4610" s="26">
        <v>43656.261076388902</v>
      </c>
      <c r="J4610" s="28" t="s">
        <v>52</v>
      </c>
      <c r="K4610" s="28" t="s">
        <v>52</v>
      </c>
      <c r="L4610" s="28" t="s">
        <v>52</v>
      </c>
      <c r="M4610" s="28" t="s">
        <v>52</v>
      </c>
      <c r="N4610" s="28" t="s">
        <v>52</v>
      </c>
    </row>
    <row r="4611" spans="1:14" x14ac:dyDescent="0.15">
      <c r="A4611" s="23" t="str">
        <f>HYPERLINK("https://www.spark-marketing.ru/Card/Person/4735350", "САРАТОВОРГСИНТЕЗ")</f>
        <v>САРАТОВОРГСИНТЕЗ</v>
      </c>
      <c r="B4611" s="28" t="s">
        <v>52</v>
      </c>
      <c r="C4611" s="28" t="s">
        <v>52</v>
      </c>
      <c r="D4611" s="28" t="s">
        <v>52</v>
      </c>
      <c r="E4611" s="22" t="s">
        <v>53</v>
      </c>
      <c r="F4611" s="23" t="str">
        <f>HYPERLINK("https://www.spark-marketing.ru/Card/Lot/71966685", "Внедрение системы технологического видеонаблюдения на установках цеха СК и НАК для ООО ""Саратоворгсинтез""")</f>
        <v>Внедрение системы технологического видеонаблюдения на установках цеха СК и НАК для ООО "Саратоворгсинтез"</v>
      </c>
      <c r="G4611" s="22" t="s">
        <v>52</v>
      </c>
      <c r="H4611" s="22" t="s">
        <v>52</v>
      </c>
      <c r="I4611" s="26">
        <v>43656</v>
      </c>
      <c r="J4611" s="28" t="s">
        <v>52</v>
      </c>
      <c r="K4611" s="28" t="s">
        <v>52</v>
      </c>
      <c r="L4611" s="28" t="s">
        <v>52</v>
      </c>
      <c r="M4611" s="28" t="s">
        <v>52</v>
      </c>
      <c r="N4611" s="28" t="s">
        <v>52</v>
      </c>
    </row>
    <row r="4612" spans="1:14" x14ac:dyDescent="0.2">
      <c r="A4612" s="23" t="str">
        <f>HYPERLINK("https://www.spark-marketing.ru/Card/Person/1759410", "МАДОУ Д/С № 119")</f>
        <v>МАДОУ Д/С № 119</v>
      </c>
      <c r="B4612" s="24" t="s">
        <v>6547</v>
      </c>
      <c r="C4612" s="25">
        <v>170950</v>
      </c>
      <c r="D4612" s="22" t="s">
        <v>6548</v>
      </c>
      <c r="E4612" s="22" t="s">
        <v>2026</v>
      </c>
      <c r="F4612" s="23" t="str">
        <f>HYPERLINK("https://www.spark-marketing.ru/Card/Lot/71985591", "Приобретение и установка системы видеонаблюдения")</f>
        <v>Приобретение и установка системы видеонаблюдения</v>
      </c>
      <c r="G4612" s="22" t="s">
        <v>247</v>
      </c>
      <c r="H4612" s="22" t="s">
        <v>247</v>
      </c>
      <c r="I4612" s="26">
        <v>43655.814305555599</v>
      </c>
      <c r="J4612" s="28" t="s">
        <v>52</v>
      </c>
      <c r="K4612" s="28" t="s">
        <v>52</v>
      </c>
      <c r="L4612" s="22" t="s">
        <v>10</v>
      </c>
      <c r="M4612" s="25">
        <v>0</v>
      </c>
      <c r="N4612" s="27">
        <v>1</v>
      </c>
    </row>
    <row r="4613" spans="1:14" x14ac:dyDescent="0.15">
      <c r="A4613" s="23" t="str">
        <f>HYPERLINK("https://www.spark-marketing.ru/Card/Person/172281", "ФГУСХП ""УЛЬЯНОВСКОЕ"" ФСИН РОССИИ")</f>
        <v>ФГУСХП "УЛЬЯНОВСКОЕ" ФСИН РОССИИ</v>
      </c>
      <c r="B4613" s="24" t="s">
        <v>6549</v>
      </c>
      <c r="C4613" s="25">
        <v>160800</v>
      </c>
      <c r="D4613" s="22" t="s">
        <v>6550</v>
      </c>
      <c r="E4613" s="22" t="s">
        <v>6551</v>
      </c>
      <c r="F4613" s="23" t="str">
        <f>HYPERLINK("https://www.spark-marketing.ru/Card/Lot/71983621", "Поставка и установка системы видеонаблюдения для нужд ФГУСХП ""Ульяновское"" ФСИН России")</f>
        <v>Поставка и установка системы видеонаблюдения для нужд ФГУСХП "Ульяновское" ФСИН России</v>
      </c>
      <c r="G4613" s="22" t="s">
        <v>446</v>
      </c>
      <c r="H4613" s="22" t="s">
        <v>446</v>
      </c>
      <c r="I4613" s="26">
        <v>43655.788379629601</v>
      </c>
      <c r="J4613" s="28" t="s">
        <v>52</v>
      </c>
      <c r="K4613" s="28" t="s">
        <v>52</v>
      </c>
      <c r="L4613" s="28" t="s">
        <v>52</v>
      </c>
      <c r="M4613" s="28" t="s">
        <v>52</v>
      </c>
      <c r="N4613" s="28" t="s">
        <v>52</v>
      </c>
    </row>
    <row r="4614" spans="1:14" x14ac:dyDescent="0.15">
      <c r="A4614" s="23" t="str">
        <f>HYPERLINK("https://www.spark-marketing.ru/Card/Person/1048468", "МБУ ""МЕНДЮКИНСКИЙ СДК""")</f>
        <v>МБУ "МЕНДЮКИНСКИЙ СДК"</v>
      </c>
      <c r="B4614" s="24" t="s">
        <v>6552</v>
      </c>
      <c r="C4614" s="25">
        <v>111670</v>
      </c>
      <c r="D4614" s="22" t="s">
        <v>6553</v>
      </c>
      <c r="E4614" s="22" t="s">
        <v>84</v>
      </c>
      <c r="F4614" s="23" t="str">
        <f>HYPERLINK("https://www.spark-marketing.ru/Card/Lot/71984169", "Установка системы видеонаблюдения")</f>
        <v>Установка системы видеонаблюдения</v>
      </c>
      <c r="G4614" s="22" t="s">
        <v>50</v>
      </c>
      <c r="H4614" s="22" t="s">
        <v>1056</v>
      </c>
      <c r="I4614" s="26">
        <v>43655.784004629597</v>
      </c>
      <c r="J4614" s="28" t="s">
        <v>52</v>
      </c>
      <c r="K4614" s="28" t="s">
        <v>52</v>
      </c>
      <c r="L4614" s="28" t="s">
        <v>52</v>
      </c>
      <c r="M4614" s="28" t="s">
        <v>52</v>
      </c>
      <c r="N4614" s="28" t="s">
        <v>52</v>
      </c>
    </row>
    <row r="4615" spans="1:14" x14ac:dyDescent="0.15">
      <c r="A4615" s="23" t="str">
        <f t="shared" ref="A4615:A4620" si="203">HYPERLINK("https://www.spark-marketing.ru/Card/Person/29364", "УСЗН СЗАО ГОРОДА МОСКВЫ")</f>
        <v>УСЗН СЗАО ГОРОДА МОСКВЫ</v>
      </c>
      <c r="B4615" s="24" t="s">
        <v>6554</v>
      </c>
      <c r="C4615" s="25">
        <v>1075654.18</v>
      </c>
      <c r="D4615" s="22" t="s">
        <v>6555</v>
      </c>
      <c r="E4615" s="22" t="s">
        <v>84</v>
      </c>
      <c r="F4615" s="23" t="str">
        <f t="shared" ref="F4615:F4620" si="204">HYPERLINK("https://www.spark-marketing.ru/Card/Lot/71990853", "Выполнение работ по монтажу Охранно-тревожной сигнализации, Системы контроля и управления доступом, Системы видеонаблюдения в Управлении социальной защиты населения Северо-Западного административного округа города Москвы по адресу: город Москва, улиц...")</f>
        <v>Выполнение работ по монтажу Охранно-тревожной сигнализации, Системы контроля и управления доступом, Системы видеонаблюдения в Управлении социальной защиты населения Северо-Западного административного округа города Москвы по адресу: город Москва, улиц...</v>
      </c>
      <c r="G4615" s="22" t="s">
        <v>55</v>
      </c>
      <c r="H4615" s="22" t="s">
        <v>55</v>
      </c>
      <c r="I4615" s="26">
        <v>43655.767002314802</v>
      </c>
      <c r="J4615" s="28" t="s">
        <v>52</v>
      </c>
      <c r="K4615" s="28" t="s">
        <v>52</v>
      </c>
      <c r="L4615" s="28" t="s">
        <v>52</v>
      </c>
      <c r="M4615" s="28" t="s">
        <v>52</v>
      </c>
      <c r="N4615" s="28" t="s">
        <v>52</v>
      </c>
    </row>
    <row r="4616" spans="1:14" hidden="1" outlineLevel="1" x14ac:dyDescent="0.2">
      <c r="A4616" s="23" t="str">
        <f t="shared" si="203"/>
        <v>УСЗН СЗАО ГОРОДА МОСКВЫ</v>
      </c>
      <c r="B4616" s="24" t="s">
        <v>6554</v>
      </c>
      <c r="C4616" s="25">
        <v>1075654.18</v>
      </c>
      <c r="D4616" s="22" t="s">
        <v>6555</v>
      </c>
      <c r="E4616" s="22" t="s">
        <v>84</v>
      </c>
      <c r="F4616" s="23" t="str">
        <f t="shared" si="204"/>
        <v>Выполнение работ по монтажу Охранно-тревожной сигнализации, Системы контроля и управления доступом, Системы видеонаблюдения в Управлении социальной защиты населения Северо-Западного административного округа города Москвы по адресу: город Москва, улиц...</v>
      </c>
      <c r="G4616" s="22" t="s">
        <v>55</v>
      </c>
      <c r="H4616" s="22" t="s">
        <v>55</v>
      </c>
      <c r="I4616" s="26">
        <v>43655.767002314802</v>
      </c>
      <c r="J4616" s="23" t="str">
        <f>HYPERLINK("https://www.spark-marketing.ru/Card/Person/6262263", "ООО ""АЛЫЙ ПАРУС ТЕХНО ПРО""")</f>
        <v>ООО "АЛЫЙ ПАРУС ТЕХНО ПРО"</v>
      </c>
      <c r="K4616" s="24" t="s">
        <v>1749</v>
      </c>
      <c r="L4616" s="28" t="s">
        <v>52</v>
      </c>
      <c r="M4616" s="25">
        <v>779849.3</v>
      </c>
      <c r="N4616" s="27">
        <v>0.27499998187149705</v>
      </c>
    </row>
    <row r="4617" spans="1:14" hidden="1" outlineLevel="1" x14ac:dyDescent="0.2">
      <c r="A4617" s="23" t="str">
        <f t="shared" si="203"/>
        <v>УСЗН СЗАО ГОРОДА МОСКВЫ</v>
      </c>
      <c r="B4617" s="24" t="s">
        <v>6554</v>
      </c>
      <c r="C4617" s="25">
        <v>1075654.18</v>
      </c>
      <c r="D4617" s="22" t="s">
        <v>6555</v>
      </c>
      <c r="E4617" s="22" t="s">
        <v>84</v>
      </c>
      <c r="F4617" s="23" t="str">
        <f t="shared" si="204"/>
        <v>Выполнение работ по монтажу Охранно-тревожной сигнализации, Системы контроля и управления доступом, Системы видеонаблюдения в Управлении социальной защиты населения Северо-Западного административного округа города Москвы по адресу: город Москва, улиц...</v>
      </c>
      <c r="G4617" s="22" t="s">
        <v>55</v>
      </c>
      <c r="H4617" s="22" t="s">
        <v>55</v>
      </c>
      <c r="I4617" s="26">
        <v>43655.767002314802</v>
      </c>
      <c r="J4617" s="23" t="str">
        <f>HYPERLINK("https://www.spark-marketing.ru/Card/Person/6453970", "ООО ""АСБ""")</f>
        <v>ООО "АСБ"</v>
      </c>
      <c r="K4617" s="24" t="s">
        <v>3158</v>
      </c>
      <c r="L4617" s="28" t="s">
        <v>52</v>
      </c>
      <c r="M4617" s="25">
        <v>699175.25</v>
      </c>
      <c r="N4617" s="27">
        <v>0.34999996932099497</v>
      </c>
    </row>
    <row r="4618" spans="1:14" ht="12.75" hidden="1" outlineLevel="1" x14ac:dyDescent="0.2">
      <c r="A4618" s="23" t="str">
        <f t="shared" si="203"/>
        <v>УСЗН СЗАО ГОРОДА МОСКВЫ</v>
      </c>
      <c r="B4618" s="24" t="s">
        <v>6554</v>
      </c>
      <c r="C4618" s="25">
        <v>1075654.18</v>
      </c>
      <c r="D4618" s="22" t="s">
        <v>6555</v>
      </c>
      <c r="E4618" s="22" t="s">
        <v>84</v>
      </c>
      <c r="F4618" s="23" t="str">
        <f t="shared" si="204"/>
        <v>Выполнение работ по монтажу Охранно-тревожной сигнализации, Системы контроля и управления доступом, Системы видеонаблюдения в Управлении социальной защиты населения Северо-Западного административного округа города Москвы по адресу: город Москва, улиц...</v>
      </c>
      <c r="G4618" s="22" t="s">
        <v>55</v>
      </c>
      <c r="H4618" s="22" t="s">
        <v>55</v>
      </c>
      <c r="I4618" s="26">
        <v>43655.767002314802</v>
      </c>
      <c r="J4618" s="23" t="str">
        <f>HYPERLINK("https://www.spark-marketing.ru/Card/Person/14846", "ООО ""ФЭЗЕРА""")</f>
        <v>ООО "ФЭЗЕРА"</v>
      </c>
      <c r="K4618" s="24" t="s">
        <v>1216</v>
      </c>
      <c r="L4618" s="22" t="s">
        <v>10</v>
      </c>
      <c r="M4618" s="25">
        <v>677662.17</v>
      </c>
      <c r="N4618" s="27">
        <v>0.36999996597419443</v>
      </c>
    </row>
    <row r="4619" spans="1:14" hidden="1" outlineLevel="1" x14ac:dyDescent="0.2">
      <c r="A4619" s="23" t="str">
        <f t="shared" si="203"/>
        <v>УСЗН СЗАО ГОРОДА МОСКВЫ</v>
      </c>
      <c r="B4619" s="24" t="s">
        <v>6554</v>
      </c>
      <c r="C4619" s="25">
        <v>1075654.18</v>
      </c>
      <c r="D4619" s="22" t="s">
        <v>6555</v>
      </c>
      <c r="E4619" s="22" t="s">
        <v>84</v>
      </c>
      <c r="F4619" s="23" t="str">
        <f t="shared" si="204"/>
        <v>Выполнение работ по монтажу Охранно-тревожной сигнализации, Системы контроля и управления доступом, Системы видеонаблюдения в Управлении социальной защиты населения Северо-Западного административного округа города Москвы по адресу: город Москва, улиц...</v>
      </c>
      <c r="G4619" s="22" t="s">
        <v>55</v>
      </c>
      <c r="H4619" s="22" t="s">
        <v>55</v>
      </c>
      <c r="I4619" s="26">
        <v>43655.767002314802</v>
      </c>
      <c r="J4619" s="23" t="str">
        <f>HYPERLINK("https://www.spark-marketing.ru/Card/Person/715741", "ООО ""ТЕХНОКРАТ""")</f>
        <v>ООО "ТЕХНОКРАТ"</v>
      </c>
      <c r="K4619" s="24" t="s">
        <v>6556</v>
      </c>
      <c r="L4619" s="28" t="s">
        <v>52</v>
      </c>
      <c r="M4619" s="25">
        <v>683040.44</v>
      </c>
      <c r="N4619" s="27">
        <v>0.36499996681089458</v>
      </c>
    </row>
    <row r="4620" spans="1:14" hidden="1" outlineLevel="1" x14ac:dyDescent="0.2">
      <c r="A4620" s="23" t="str">
        <f t="shared" si="203"/>
        <v>УСЗН СЗАО ГОРОДА МОСКВЫ</v>
      </c>
      <c r="B4620" s="24" t="s">
        <v>6554</v>
      </c>
      <c r="C4620" s="25">
        <v>1075654.18</v>
      </c>
      <c r="D4620" s="22" t="s">
        <v>6555</v>
      </c>
      <c r="E4620" s="22" t="s">
        <v>84</v>
      </c>
      <c r="F4620" s="23" t="str">
        <f t="shared" si="204"/>
        <v>Выполнение работ по монтажу Охранно-тревожной сигнализации, Системы контроля и управления доступом, Системы видеонаблюдения в Управлении социальной защиты населения Северо-Западного административного округа города Москвы по адресу: город Москва, улиц...</v>
      </c>
      <c r="G4620" s="22" t="s">
        <v>55</v>
      </c>
      <c r="H4620" s="22" t="s">
        <v>55</v>
      </c>
      <c r="I4620" s="26">
        <v>43655.767002314802</v>
      </c>
      <c r="J4620" s="23" t="str">
        <f>HYPERLINK("https://www.spark-marketing.ru/Card/Person/413815", "ООО ""ИТ-ЗАВОД""")</f>
        <v>ООО "ИТ-ЗАВОД"</v>
      </c>
      <c r="K4620" s="24" t="s">
        <v>6557</v>
      </c>
      <c r="L4620" s="28" t="s">
        <v>52</v>
      </c>
      <c r="M4620" s="25">
        <v>1048762.83</v>
      </c>
      <c r="N4620" s="27">
        <v>2.4999995816499313E-2</v>
      </c>
    </row>
    <row r="4621" spans="1:14" x14ac:dyDescent="0.15">
      <c r="A4621" s="23" t="str">
        <f>HYPERLINK("https://www.spark-marketing.ru/Card/Person/1062525", "МКУ ""ЕДДС-112 КРАСНЕНСКОГО РАЙОНА""")</f>
        <v>МКУ "ЕДДС-112 КРАСНЕНСКОГО РАЙОНА"</v>
      </c>
      <c r="B4621" s="24" t="s">
        <v>6558</v>
      </c>
      <c r="C4621" s="25">
        <v>96000</v>
      </c>
      <c r="D4621" s="22" t="s">
        <v>6559</v>
      </c>
      <c r="E4621" s="22" t="s">
        <v>103</v>
      </c>
      <c r="F4621" s="23" t="str">
        <f>HYPERLINK("https://www.spark-marketing.ru/Card/Lot/71981881", "Техническое обслуживание систем телевизионного видеонаблюдения АПК Безопасный город село Красное, Красненского района, Белгородской области")</f>
        <v>Техническое обслуживание систем телевизионного видеонаблюдения АПК Безопасный город село Красное, Красненского района, Белгородской области</v>
      </c>
      <c r="G4621" s="22" t="s">
        <v>176</v>
      </c>
      <c r="H4621" s="22" t="s">
        <v>6560</v>
      </c>
      <c r="I4621" s="26">
        <v>43655.734722222202</v>
      </c>
      <c r="J4621" s="28" t="s">
        <v>52</v>
      </c>
      <c r="K4621" s="28" t="s">
        <v>52</v>
      </c>
      <c r="L4621" s="28" t="s">
        <v>52</v>
      </c>
      <c r="M4621" s="28" t="s">
        <v>52</v>
      </c>
      <c r="N4621" s="28" t="s">
        <v>52</v>
      </c>
    </row>
    <row r="4622" spans="1:14" x14ac:dyDescent="0.15">
      <c r="A4622" s="23" t="str">
        <f>HYPERLINK("https://www.spark-marketing.ru/Card/Person/5458", "УПРАВЛЕНИЕ РОСРЕЕСТРА ПО ПЕНЗЕНСКОЙ ОБЛАСТИ")</f>
        <v>УПРАВЛЕНИЕ РОСРЕЕСТРА ПО ПЕНЗЕНСКОЙ ОБЛАСТИ</v>
      </c>
      <c r="B4622" s="24" t="s">
        <v>6479</v>
      </c>
      <c r="C4622" s="25">
        <v>203000</v>
      </c>
      <c r="D4622" s="22" t="s">
        <v>6561</v>
      </c>
      <c r="E4622" s="22" t="s">
        <v>68</v>
      </c>
      <c r="F4622" s="23" t="str">
        <f>HYPERLINK("https://www.spark-marketing.ru/Card/Lot/71978955", "Услуги, связанные с обеспечением общественного порядка и безопасности прочие, 1 усл. ед")</f>
        <v>Услуги, связанные с обеспечением общественного порядка и безопасности прочие, 1 усл. ед</v>
      </c>
      <c r="G4622" s="22" t="s">
        <v>514</v>
      </c>
      <c r="H4622" s="22" t="s">
        <v>2167</v>
      </c>
      <c r="I4622" s="26">
        <v>43655.683634259301</v>
      </c>
      <c r="J4622" s="28" t="s">
        <v>52</v>
      </c>
      <c r="K4622" s="28" t="s">
        <v>52</v>
      </c>
      <c r="L4622" s="28" t="s">
        <v>52</v>
      </c>
      <c r="M4622" s="28" t="s">
        <v>52</v>
      </c>
      <c r="N4622" s="28" t="s">
        <v>52</v>
      </c>
    </row>
    <row r="4623" spans="1:14" x14ac:dyDescent="0.15">
      <c r="A4623" s="23" t="str">
        <f>HYPERLINK("https://www.spark-marketing.ru/Card/Person/67877", "АДМИНИСТРАЦИЯ МО ""ТУНКИНСКИЙ РАЙОН""")</f>
        <v>АДМИНИСТРАЦИЯ МО "ТУНКИНСКИЙ РАЙОН"</v>
      </c>
      <c r="B4623" s="24" t="s">
        <v>6562</v>
      </c>
      <c r="C4623" s="25">
        <v>167900</v>
      </c>
      <c r="D4623" s="22" t="s">
        <v>6563</v>
      </c>
      <c r="E4623" s="22" t="s">
        <v>208</v>
      </c>
      <c r="F4623" s="23" t="str">
        <f>HYPERLINK("https://www.spark-marketing.ru/Card/Lot/71984734", "Приобретение камер видеонаблюдения и проведение монтажных работ по установке камер видеонаблюдения (в том числе приобретение комплектующих компонентов и кабельной продукции).")</f>
        <v>Приобретение камер видеонаблюдения и проведение монтажных работ по установке камер видеонаблюдения (в том числе приобретение комплектующих компонентов и кабельной продукции).</v>
      </c>
      <c r="G4623" s="22" t="s">
        <v>354</v>
      </c>
      <c r="H4623" s="22" t="s">
        <v>6564</v>
      </c>
      <c r="I4623" s="26">
        <v>43655.704861111102</v>
      </c>
      <c r="J4623" s="23" t="str">
        <f>HYPERLINK("https://www.spark-marketing.ru/Card/Person/5886157", "Цыбиков Иван Юрьевич")</f>
        <v>Цыбиков Иван Юрьевич</v>
      </c>
      <c r="K4623" s="24" t="s">
        <v>6565</v>
      </c>
      <c r="L4623" s="22" t="s">
        <v>10</v>
      </c>
      <c r="M4623" s="28" t="s">
        <v>52</v>
      </c>
      <c r="N4623" s="28" t="s">
        <v>52</v>
      </c>
    </row>
    <row r="4624" spans="1:14" x14ac:dyDescent="0.15">
      <c r="A4624" s="23" t="str">
        <f>HYPERLINK("https://www.spark-marketing.ru/Card/Person/561137", "УПРАВЛЕНИЕ МИНЮСТА РОССИИ ПО СМОЛЕНСКОЙ ОБЛАСТИ")</f>
        <v>УПРАВЛЕНИЕ МИНЮСТА РОССИИ ПО СМОЛЕНСКОЙ ОБЛАСТИ</v>
      </c>
      <c r="B4624" s="24" t="s">
        <v>6566</v>
      </c>
      <c r="C4624" s="25">
        <v>14210.06</v>
      </c>
      <c r="D4624" s="22" t="s">
        <v>6567</v>
      </c>
      <c r="E4624" s="22" t="s">
        <v>107</v>
      </c>
      <c r="F4624" s="23" t="str">
        <f>HYPERLINK("https://www.spark-marketing.ru/Card/Lot/71977516", "Техническое обслуживание сигнализации, 8 шт")</f>
        <v>Техническое обслуживание сигнализации, 8 шт</v>
      </c>
      <c r="G4624" s="22" t="s">
        <v>956</v>
      </c>
      <c r="H4624" s="22" t="s">
        <v>1451</v>
      </c>
      <c r="I4624" s="26">
        <v>43655.653530092597</v>
      </c>
      <c r="J4624" s="28" t="s">
        <v>52</v>
      </c>
      <c r="K4624" s="28" t="s">
        <v>52</v>
      </c>
      <c r="L4624" s="28" t="s">
        <v>52</v>
      </c>
      <c r="M4624" s="28" t="s">
        <v>52</v>
      </c>
      <c r="N4624" s="28" t="s">
        <v>52</v>
      </c>
    </row>
    <row r="4625" spans="1:14" x14ac:dyDescent="0.15">
      <c r="A4625" s="23" t="str">
        <f>HYPERLINK("https://www.spark-marketing.ru/Card/Person/58939", "МКУ ""УЖКХ Г. СТЕРЛИТАМАК""")</f>
        <v>МКУ "УЖКХ Г. СТЕРЛИТАМАК"</v>
      </c>
      <c r="B4625" s="24" t="s">
        <v>6568</v>
      </c>
      <c r="C4625" s="25">
        <v>1412150</v>
      </c>
      <c r="D4625" s="22" t="s">
        <v>6569</v>
      </c>
      <c r="E4625" s="22" t="s">
        <v>59</v>
      </c>
      <c r="F4625" s="23" t="str">
        <f>HYPERLINK("https://www.spark-marketing.ru/Card/Lot/71990363", "Установка системы видеонаблюдения на территории многоквартирных домов городского округа г. Стерлитамак")</f>
        <v>Установка системы видеонаблюдения на территории многоквартирных домов городского округа г. Стерлитамак</v>
      </c>
      <c r="G4625" s="22" t="s">
        <v>100</v>
      </c>
      <c r="H4625" s="22" t="s">
        <v>2799</v>
      </c>
      <c r="I4625" s="26">
        <v>43655.652592592603</v>
      </c>
      <c r="J4625" s="28" t="s">
        <v>52</v>
      </c>
      <c r="K4625" s="28" t="s">
        <v>52</v>
      </c>
      <c r="L4625" s="28" t="s">
        <v>52</v>
      </c>
      <c r="M4625" s="28" t="s">
        <v>52</v>
      </c>
      <c r="N4625" s="28" t="s">
        <v>52</v>
      </c>
    </row>
    <row r="4626" spans="1:14" hidden="1" outlineLevel="1" x14ac:dyDescent="0.2">
      <c r="A4626" s="23" t="str">
        <f>HYPERLINK("https://www.spark-marketing.ru/Card/Person/58939", "МКУ ""УЖКХ Г. СТЕРЛИТАМАК""")</f>
        <v>МКУ "УЖКХ Г. СТЕРЛИТАМАК"</v>
      </c>
      <c r="B4626" s="24" t="s">
        <v>6568</v>
      </c>
      <c r="C4626" s="25">
        <v>1412150</v>
      </c>
      <c r="D4626" s="22" t="s">
        <v>6569</v>
      </c>
      <c r="E4626" s="22" t="s">
        <v>59</v>
      </c>
      <c r="F4626" s="23" t="str">
        <f>HYPERLINK("https://www.spark-marketing.ru/Card/Lot/71990363", "Установка системы видеонаблюдения на территории многоквартирных домов городского округа г. Стерлитамак")</f>
        <v>Установка системы видеонаблюдения на территории многоквартирных домов городского округа г. Стерлитамак</v>
      </c>
      <c r="G4626" s="22" t="s">
        <v>100</v>
      </c>
      <c r="H4626" s="22" t="s">
        <v>2799</v>
      </c>
      <c r="I4626" s="26">
        <v>43655.652592592603</v>
      </c>
      <c r="J4626" s="23" t="str">
        <f>HYPERLINK("https://www.spark-marketing.ru/Card/Person/6275307", "ООО ""БАСТИОН""")</f>
        <v>ООО "БАСТИОН"</v>
      </c>
      <c r="K4626" s="24" t="s">
        <v>3667</v>
      </c>
      <c r="L4626" s="28" t="s">
        <v>52</v>
      </c>
      <c r="M4626" s="25">
        <v>1120000</v>
      </c>
      <c r="N4626" s="27">
        <v>0.20688312148142904</v>
      </c>
    </row>
    <row r="4627" spans="1:14" ht="12.75" hidden="1" outlineLevel="1" x14ac:dyDescent="0.2">
      <c r="A4627" s="23" t="str">
        <f>HYPERLINK("https://www.spark-marketing.ru/Card/Person/58939", "МКУ ""УЖКХ Г. СТЕРЛИТАМАК""")</f>
        <v>МКУ "УЖКХ Г. СТЕРЛИТАМАК"</v>
      </c>
      <c r="B4627" s="24" t="s">
        <v>6568</v>
      </c>
      <c r="C4627" s="25">
        <v>1412150</v>
      </c>
      <c r="D4627" s="22" t="s">
        <v>6569</v>
      </c>
      <c r="E4627" s="22" t="s">
        <v>59</v>
      </c>
      <c r="F4627" s="23" t="str">
        <f>HYPERLINK("https://www.spark-marketing.ru/Card/Lot/71990363", "Установка системы видеонаблюдения на территории многоквартирных домов городского округа г. Стерлитамак")</f>
        <v>Установка системы видеонаблюдения на территории многоквартирных домов городского округа г. Стерлитамак</v>
      </c>
      <c r="G4627" s="22" t="s">
        <v>100</v>
      </c>
      <c r="H4627" s="22" t="s">
        <v>2799</v>
      </c>
      <c r="I4627" s="26">
        <v>43655.652592592603</v>
      </c>
      <c r="J4627" s="23" t="str">
        <f>HYPERLINK("https://www.spark-marketing.ru/Card/Person/90342", "АО ""УФАНЕТ""")</f>
        <v>АО "УФАНЕТ"</v>
      </c>
      <c r="K4627" s="24" t="s">
        <v>6570</v>
      </c>
      <c r="L4627" s="22" t="s">
        <v>10</v>
      </c>
      <c r="M4627" s="25">
        <v>984759.48</v>
      </c>
      <c r="N4627" s="27">
        <v>0.30265235279538294</v>
      </c>
    </row>
    <row r="4628" spans="1:14" hidden="1" outlineLevel="1" x14ac:dyDescent="0.2">
      <c r="A4628" s="23" t="str">
        <f>HYPERLINK("https://www.spark-marketing.ru/Card/Person/58939", "МКУ ""УЖКХ Г. СТЕРЛИТАМАК""")</f>
        <v>МКУ "УЖКХ Г. СТЕРЛИТАМАК"</v>
      </c>
      <c r="B4628" s="24" t="s">
        <v>6568</v>
      </c>
      <c r="C4628" s="25">
        <v>1412150</v>
      </c>
      <c r="D4628" s="22" t="s">
        <v>6569</v>
      </c>
      <c r="E4628" s="22" t="s">
        <v>59</v>
      </c>
      <c r="F4628" s="23" t="str">
        <f>HYPERLINK("https://www.spark-marketing.ru/Card/Lot/71990363", "Установка системы видеонаблюдения на территории многоквартирных домов городского округа г. Стерлитамак")</f>
        <v>Установка системы видеонаблюдения на территории многоквартирных домов городского округа г. Стерлитамак</v>
      </c>
      <c r="G4628" s="22" t="s">
        <v>100</v>
      </c>
      <c r="H4628" s="22" t="s">
        <v>2799</v>
      </c>
      <c r="I4628" s="26">
        <v>43655.652592592603</v>
      </c>
      <c r="J4628" s="23" t="str">
        <f>HYPERLINK("https://www.spark-marketing.ru/Card/Person/277809", "ООО ""МОБИЛСЕРВИС""")</f>
        <v>ООО "МОБИЛСЕРВИС"</v>
      </c>
      <c r="K4628" s="24" t="s">
        <v>6571</v>
      </c>
      <c r="L4628" s="28" t="s">
        <v>52</v>
      </c>
      <c r="M4628" s="25">
        <v>1035271</v>
      </c>
      <c r="N4628" s="27">
        <v>0.26688312148142901</v>
      </c>
    </row>
    <row r="4629" spans="1:14" hidden="1" outlineLevel="1" x14ac:dyDescent="0.2">
      <c r="A4629" s="23" t="str">
        <f>HYPERLINK("https://www.spark-marketing.ru/Card/Person/58939", "МКУ ""УЖКХ Г. СТЕРЛИТАМАК""")</f>
        <v>МКУ "УЖКХ Г. СТЕРЛИТАМАК"</v>
      </c>
      <c r="B4629" s="24" t="s">
        <v>6568</v>
      </c>
      <c r="C4629" s="25">
        <v>1412150</v>
      </c>
      <c r="D4629" s="22" t="s">
        <v>6569</v>
      </c>
      <c r="E4629" s="22" t="s">
        <v>59</v>
      </c>
      <c r="F4629" s="23" t="str">
        <f>HYPERLINK("https://www.spark-marketing.ru/Card/Lot/71990363", "Установка системы видеонаблюдения на территории многоквартирных домов городского округа г. Стерлитамак")</f>
        <v>Установка системы видеонаблюдения на территории многоквартирных домов городского округа г. Стерлитамак</v>
      </c>
      <c r="G4629" s="22" t="s">
        <v>100</v>
      </c>
      <c r="H4629" s="22" t="s">
        <v>2799</v>
      </c>
      <c r="I4629" s="26">
        <v>43655.652592592603</v>
      </c>
      <c r="J4629" s="23" t="str">
        <f>HYPERLINK("https://www.spark-marketing.ru/Card/Person/4354389", "ПАО ""БАШИНФОРМСВЯЗЬ""")</f>
        <v>ПАО "БАШИНФОРМСВЯЗЬ"</v>
      </c>
      <c r="K4629" s="24" t="s">
        <v>6572</v>
      </c>
      <c r="L4629" s="28" t="s">
        <v>52</v>
      </c>
      <c r="M4629" s="25">
        <v>991820.23</v>
      </c>
      <c r="N4629" s="27">
        <v>0.29765235279538294</v>
      </c>
    </row>
    <row r="4630" spans="1:14" x14ac:dyDescent="0.15">
      <c r="A4630" s="23" t="str">
        <f t="shared" ref="A4630:A4640" si="205">HYPERLINK("https://www.spark-marketing.ru/Card/Person/33421", "МИ ФНС РОССИИ ПО КРУПНЕЙШИМ НАЛОГОПЛАТЕЛЬЩИКАМ № 5")</f>
        <v>МИ ФНС РОССИИ ПО КРУПНЕЙШИМ НАЛОГОПЛАТЕЛЬЩИКАМ № 5</v>
      </c>
      <c r="B4630" s="24" t="s">
        <v>6573</v>
      </c>
      <c r="C4630" s="25">
        <v>4893616.49</v>
      </c>
      <c r="D4630" s="22" t="s">
        <v>6574</v>
      </c>
      <c r="E4630" s="22" t="s">
        <v>68</v>
      </c>
      <c r="F4630" s="23" t="str">
        <f t="shared" ref="F4630:F4640" si="206">HYPERLINK("https://www.spark-marketing.ru/Card/Lot/71990052", "Оказание услуг по охране зданий")</f>
        <v>Оказание услуг по охране зданий</v>
      </c>
      <c r="G4630" s="22" t="s">
        <v>55</v>
      </c>
      <c r="H4630" s="22" t="s">
        <v>55</v>
      </c>
      <c r="I4630" s="26">
        <v>43655.588587963</v>
      </c>
      <c r="J4630" s="28" t="s">
        <v>52</v>
      </c>
      <c r="K4630" s="28" t="s">
        <v>52</v>
      </c>
      <c r="L4630" s="28" t="s">
        <v>52</v>
      </c>
      <c r="M4630" s="28" t="s">
        <v>52</v>
      </c>
      <c r="N4630" s="28" t="s">
        <v>52</v>
      </c>
    </row>
    <row r="4631" spans="1:14" hidden="1" outlineLevel="1" x14ac:dyDescent="0.2">
      <c r="A4631" s="23" t="str">
        <f t="shared" si="205"/>
        <v>МИ ФНС РОССИИ ПО КРУПНЕЙШИМ НАЛОГОПЛАТЕЛЬЩИКАМ № 5</v>
      </c>
      <c r="B4631" s="24" t="s">
        <v>6573</v>
      </c>
      <c r="C4631" s="25">
        <v>4893616.49</v>
      </c>
      <c r="D4631" s="22" t="s">
        <v>6574</v>
      </c>
      <c r="E4631" s="22" t="s">
        <v>68</v>
      </c>
      <c r="F4631" s="23" t="str">
        <f t="shared" si="206"/>
        <v>Оказание услуг по охране зданий</v>
      </c>
      <c r="G4631" s="22" t="s">
        <v>55</v>
      </c>
      <c r="H4631" s="22" t="s">
        <v>55</v>
      </c>
      <c r="I4631" s="26">
        <v>43655.588587963</v>
      </c>
      <c r="J4631" s="23" t="str">
        <f>HYPERLINK("https://www.spark-marketing.ru/Card/Person/132383", "ООО ЧОП ""АГЕНТСТВО БЕЗОПАСНОСТИ ""ЗАЩИТА РАН-II""")</f>
        <v>ООО ЧОП "АГЕНТСТВО БЕЗОПАСНОСТИ "ЗАЩИТА РАН-II"</v>
      </c>
      <c r="K4631" s="24" t="s">
        <v>6575</v>
      </c>
      <c r="L4631" s="28" t="s">
        <v>52</v>
      </c>
      <c r="M4631" s="25">
        <v>1940000</v>
      </c>
      <c r="N4631" s="27">
        <v>0.60356517435227131</v>
      </c>
    </row>
    <row r="4632" spans="1:14" hidden="1" outlineLevel="1" x14ac:dyDescent="0.2">
      <c r="A4632" s="23" t="str">
        <f t="shared" si="205"/>
        <v>МИ ФНС РОССИИ ПО КРУПНЕЙШИМ НАЛОГОПЛАТЕЛЬЩИКАМ № 5</v>
      </c>
      <c r="B4632" s="24" t="s">
        <v>6573</v>
      </c>
      <c r="C4632" s="25">
        <v>4893616.49</v>
      </c>
      <c r="D4632" s="22" t="s">
        <v>6574</v>
      </c>
      <c r="E4632" s="22" t="s">
        <v>68</v>
      </c>
      <c r="F4632" s="23" t="str">
        <f t="shared" si="206"/>
        <v>Оказание услуг по охране зданий</v>
      </c>
      <c r="G4632" s="22" t="s">
        <v>55</v>
      </c>
      <c r="H4632" s="22" t="s">
        <v>55</v>
      </c>
      <c r="I4632" s="26">
        <v>43655.588587963</v>
      </c>
      <c r="J4632" s="23" t="str">
        <f>HYPERLINK("https://www.spark-marketing.ru/Card/Person/4961116", "ООО СКБ ""ФЛАГМАН""")</f>
        <v>ООО СКБ "ФЛАГМАН"</v>
      </c>
      <c r="K4632" s="24" t="s">
        <v>6576</v>
      </c>
      <c r="L4632" s="28" t="s">
        <v>52</v>
      </c>
      <c r="M4632" s="25">
        <v>2655000</v>
      </c>
      <c r="N4632" s="27">
        <v>0.45745646283777336</v>
      </c>
    </row>
    <row r="4633" spans="1:14" ht="12.75" hidden="1" outlineLevel="1" x14ac:dyDescent="0.2">
      <c r="A4633" s="23" t="str">
        <f t="shared" si="205"/>
        <v>МИ ФНС РОССИИ ПО КРУПНЕЙШИМ НАЛОГОПЛАТЕЛЬЩИКАМ № 5</v>
      </c>
      <c r="B4633" s="24" t="s">
        <v>6573</v>
      </c>
      <c r="C4633" s="25">
        <v>4893616.49</v>
      </c>
      <c r="D4633" s="22" t="s">
        <v>6574</v>
      </c>
      <c r="E4633" s="22" t="s">
        <v>68</v>
      </c>
      <c r="F4633" s="23" t="str">
        <f t="shared" si="206"/>
        <v>Оказание услуг по охране зданий</v>
      </c>
      <c r="G4633" s="22" t="s">
        <v>55</v>
      </c>
      <c r="H4633" s="22" t="s">
        <v>55</v>
      </c>
      <c r="I4633" s="26">
        <v>43655.588587963</v>
      </c>
      <c r="J4633" s="23" t="str">
        <f>HYPERLINK("https://www.spark-marketing.ru/Card/Person/79790", "ООО ""ЧОО ""ЦЕНТУРИОН""")</f>
        <v>ООО "ЧОО "ЦЕНТУРИОН"</v>
      </c>
      <c r="K4633" s="24" t="s">
        <v>4681</v>
      </c>
      <c r="L4633" s="22" t="s">
        <v>10</v>
      </c>
      <c r="M4633" s="25">
        <v>1483404.19</v>
      </c>
      <c r="N4633" s="27">
        <v>0.69686954565579373</v>
      </c>
    </row>
    <row r="4634" spans="1:14" hidden="1" outlineLevel="1" x14ac:dyDescent="0.2">
      <c r="A4634" s="23" t="str">
        <f t="shared" si="205"/>
        <v>МИ ФНС РОССИИ ПО КРУПНЕЙШИМ НАЛОГОПЛАТЕЛЬЩИКАМ № 5</v>
      </c>
      <c r="B4634" s="24" t="s">
        <v>6573</v>
      </c>
      <c r="C4634" s="25">
        <v>4893616.49</v>
      </c>
      <c r="D4634" s="22" t="s">
        <v>6574</v>
      </c>
      <c r="E4634" s="22" t="s">
        <v>68</v>
      </c>
      <c r="F4634" s="23" t="str">
        <f t="shared" si="206"/>
        <v>Оказание услуг по охране зданий</v>
      </c>
      <c r="G4634" s="22" t="s">
        <v>55</v>
      </c>
      <c r="H4634" s="22" t="s">
        <v>55</v>
      </c>
      <c r="I4634" s="26">
        <v>43655.588587963</v>
      </c>
      <c r="J4634" s="23" t="str">
        <f>HYPERLINK("https://www.spark-marketing.ru/Card/Person/4945578", "ООО ЧОО ""Р1-МСК""")</f>
        <v>ООО ЧОО "Р1-МСК"</v>
      </c>
      <c r="K4634" s="24" t="s">
        <v>6577</v>
      </c>
      <c r="L4634" s="28" t="s">
        <v>52</v>
      </c>
      <c r="M4634" s="25">
        <v>4281914.47</v>
      </c>
      <c r="N4634" s="27">
        <v>0.12499999157065125</v>
      </c>
    </row>
    <row r="4635" spans="1:14" hidden="1" outlineLevel="1" x14ac:dyDescent="0.2">
      <c r="A4635" s="23" t="str">
        <f t="shared" si="205"/>
        <v>МИ ФНС РОССИИ ПО КРУПНЕЙШИМ НАЛОГОПЛАТЕЛЬЩИКАМ № 5</v>
      </c>
      <c r="B4635" s="24" t="s">
        <v>6573</v>
      </c>
      <c r="C4635" s="25">
        <v>4893616.49</v>
      </c>
      <c r="D4635" s="22" t="s">
        <v>6574</v>
      </c>
      <c r="E4635" s="22" t="s">
        <v>68</v>
      </c>
      <c r="F4635" s="23" t="str">
        <f t="shared" si="206"/>
        <v>Оказание услуг по охране зданий</v>
      </c>
      <c r="G4635" s="22" t="s">
        <v>55</v>
      </c>
      <c r="H4635" s="22" t="s">
        <v>55</v>
      </c>
      <c r="I4635" s="26">
        <v>43655.588587963</v>
      </c>
      <c r="J4635" s="23" t="str">
        <f>HYPERLINK("https://www.spark-marketing.ru/Card/Person/4510469", "ООО ОП ""РУССКАЯ ОХРАНА""")</f>
        <v>ООО ОП "РУССКАЯ ОХРАНА"</v>
      </c>
      <c r="K4635" s="24" t="s">
        <v>6578</v>
      </c>
      <c r="L4635" s="28" t="s">
        <v>52</v>
      </c>
      <c r="M4635" s="25">
        <v>3768084.77</v>
      </c>
      <c r="N4635" s="27">
        <v>0.22999998514391143</v>
      </c>
    </row>
    <row r="4636" spans="1:14" hidden="1" outlineLevel="1" x14ac:dyDescent="0.2">
      <c r="A4636" s="23" t="str">
        <f t="shared" si="205"/>
        <v>МИ ФНС РОССИИ ПО КРУПНЕЙШИМ НАЛОГОПЛАТЕЛЬЩИКАМ № 5</v>
      </c>
      <c r="B4636" s="24" t="s">
        <v>6573</v>
      </c>
      <c r="C4636" s="25">
        <v>4893616.49</v>
      </c>
      <c r="D4636" s="22" t="s">
        <v>6574</v>
      </c>
      <c r="E4636" s="22" t="s">
        <v>68</v>
      </c>
      <c r="F4636" s="23" t="str">
        <f t="shared" si="206"/>
        <v>Оказание услуг по охране зданий</v>
      </c>
      <c r="G4636" s="22" t="s">
        <v>55</v>
      </c>
      <c r="H4636" s="22" t="s">
        <v>55</v>
      </c>
      <c r="I4636" s="26">
        <v>43655.588587963</v>
      </c>
      <c r="J4636" s="23" t="str">
        <f>HYPERLINK("https://www.spark-marketing.ru/Card/Person/5871103", "ООО ЧОП ""ОСБ""")</f>
        <v>ООО ЧОП "ОСБ"</v>
      </c>
      <c r="K4636" s="24" t="s">
        <v>6579</v>
      </c>
      <c r="L4636" s="28" t="s">
        <v>52</v>
      </c>
      <c r="M4636" s="25">
        <v>1507872.27</v>
      </c>
      <c r="N4636" s="27">
        <v>0.69186954615644591</v>
      </c>
    </row>
    <row r="4637" spans="1:14" hidden="1" outlineLevel="1" x14ac:dyDescent="0.2">
      <c r="A4637" s="23" t="str">
        <f t="shared" si="205"/>
        <v>МИ ФНС РОССИИ ПО КРУПНЕЙШИМ НАЛОГОПЛАТЕЛЬЩИКАМ № 5</v>
      </c>
      <c r="B4637" s="24" t="s">
        <v>6573</v>
      </c>
      <c r="C4637" s="25">
        <v>4893616.49</v>
      </c>
      <c r="D4637" s="22" t="s">
        <v>6574</v>
      </c>
      <c r="E4637" s="22" t="s">
        <v>68</v>
      </c>
      <c r="F4637" s="23" t="str">
        <f t="shared" si="206"/>
        <v>Оказание услуг по охране зданий</v>
      </c>
      <c r="G4637" s="22" t="s">
        <v>55</v>
      </c>
      <c r="H4637" s="22" t="s">
        <v>55</v>
      </c>
      <c r="I4637" s="26">
        <v>43655.588587963</v>
      </c>
      <c r="J4637" s="23" t="str">
        <f>HYPERLINK("https://www.spark-marketing.ru/Card/Person/64910", "ООО ЧОО ""СТАНДАРТ""")</f>
        <v>ООО ЧОО "СТАНДАРТ"</v>
      </c>
      <c r="K4637" s="24" t="s">
        <v>6580</v>
      </c>
      <c r="L4637" s="28" t="s">
        <v>52</v>
      </c>
      <c r="M4637" s="25">
        <v>1834499.42</v>
      </c>
      <c r="N4637" s="27">
        <v>0.62512399086672199</v>
      </c>
    </row>
    <row r="4638" spans="1:14" hidden="1" outlineLevel="1" x14ac:dyDescent="0.2">
      <c r="A4638" s="23" t="str">
        <f t="shared" si="205"/>
        <v>МИ ФНС РОССИИ ПО КРУПНЕЙШИМ НАЛОГОПЛАТЕЛЬЩИКАМ № 5</v>
      </c>
      <c r="B4638" s="24" t="s">
        <v>6573</v>
      </c>
      <c r="C4638" s="25">
        <v>4893616.49</v>
      </c>
      <c r="D4638" s="22" t="s">
        <v>6574</v>
      </c>
      <c r="E4638" s="22" t="s">
        <v>68</v>
      </c>
      <c r="F4638" s="23" t="str">
        <f t="shared" si="206"/>
        <v>Оказание услуг по охране зданий</v>
      </c>
      <c r="G4638" s="22" t="s">
        <v>55</v>
      </c>
      <c r="H4638" s="22" t="s">
        <v>55</v>
      </c>
      <c r="I4638" s="26">
        <v>43655.588587963</v>
      </c>
      <c r="J4638" s="23" t="str">
        <f>HYPERLINK("https://www.spark-marketing.ru/Card/Person/33690", "ООО ЧОП ""АРГО К""")</f>
        <v>ООО ЧОП "АРГО К"</v>
      </c>
      <c r="K4638" s="24" t="s">
        <v>6581</v>
      </c>
      <c r="L4638" s="28" t="s">
        <v>52</v>
      </c>
      <c r="M4638" s="25">
        <v>1532340.35</v>
      </c>
      <c r="N4638" s="27">
        <v>0.68686954665709821</v>
      </c>
    </row>
    <row r="4639" spans="1:14" hidden="1" outlineLevel="1" x14ac:dyDescent="0.2">
      <c r="A4639" s="23" t="str">
        <f t="shared" si="205"/>
        <v>МИ ФНС РОССИИ ПО КРУПНЕЙШИМ НАЛОГОПЛАТЕЛЬЩИКАМ № 5</v>
      </c>
      <c r="B4639" s="24" t="s">
        <v>6573</v>
      </c>
      <c r="C4639" s="25">
        <v>4893616.49</v>
      </c>
      <c r="D4639" s="22" t="s">
        <v>6574</v>
      </c>
      <c r="E4639" s="22" t="s">
        <v>68</v>
      </c>
      <c r="F4639" s="23" t="str">
        <f t="shared" si="206"/>
        <v>Оказание услуг по охране зданий</v>
      </c>
      <c r="G4639" s="22" t="s">
        <v>55</v>
      </c>
      <c r="H4639" s="22" t="s">
        <v>55</v>
      </c>
      <c r="I4639" s="26">
        <v>43655.588587963</v>
      </c>
      <c r="J4639" s="23" t="str">
        <f>HYPERLINK("https://www.spark-marketing.ru/Card/Person/6142536", "ООО ""ЧОО ""АЛЬФА""")</f>
        <v>ООО "ЧОО "АЛЬФА"</v>
      </c>
      <c r="K4639" s="24" t="s">
        <v>6582</v>
      </c>
      <c r="L4639" s="28" t="s">
        <v>52</v>
      </c>
      <c r="M4639" s="25">
        <v>1948297.71</v>
      </c>
      <c r="N4639" s="27">
        <v>0.60186955516818608</v>
      </c>
    </row>
    <row r="4640" spans="1:14" hidden="1" outlineLevel="1" x14ac:dyDescent="0.2">
      <c r="A4640" s="23" t="str">
        <f t="shared" si="205"/>
        <v>МИ ФНС РОССИИ ПО КРУПНЕЙШИМ НАЛОГОПЛАТЕЛЬЩИКАМ № 5</v>
      </c>
      <c r="B4640" s="24" t="s">
        <v>6573</v>
      </c>
      <c r="C4640" s="25">
        <v>4893616.49</v>
      </c>
      <c r="D4640" s="22" t="s">
        <v>6574</v>
      </c>
      <c r="E4640" s="22" t="s">
        <v>68</v>
      </c>
      <c r="F4640" s="23" t="str">
        <f t="shared" si="206"/>
        <v>Оказание услуг по охране зданий</v>
      </c>
      <c r="G4640" s="22" t="s">
        <v>55</v>
      </c>
      <c r="H4640" s="22" t="s">
        <v>55</v>
      </c>
      <c r="I4640" s="26">
        <v>43655.588587963</v>
      </c>
      <c r="J4640" s="23" t="str">
        <f>HYPERLINK("https://www.spark-marketing.ru/Card/Person/2573816", "ООО ЧОО ""ЛИОН""")</f>
        <v>ООО ЧОО "ЛИОН"</v>
      </c>
      <c r="K4640" s="24" t="s">
        <v>6583</v>
      </c>
      <c r="L4640" s="28" t="s">
        <v>52</v>
      </c>
      <c r="M4640" s="25">
        <v>1835512.88</v>
      </c>
      <c r="N4640" s="27">
        <v>0.62491689249641225</v>
      </c>
    </row>
    <row r="4641" spans="1:14" x14ac:dyDescent="0.15">
      <c r="A4641" s="23" t="str">
        <f>HYPERLINK("https://www.spark-marketing.ru/Card/Person/1760584", "МАУ ДК ""ОКТЯБРЬ""")</f>
        <v>МАУ ДК "ОКТЯБРЬ"</v>
      </c>
      <c r="B4641" s="24" t="s">
        <v>6584</v>
      </c>
      <c r="C4641" s="25">
        <v>120000</v>
      </c>
      <c r="D4641" s="22" t="s">
        <v>6585</v>
      </c>
      <c r="E4641" s="22" t="s">
        <v>84</v>
      </c>
      <c r="F4641" s="23" t="str">
        <f>HYPERLINK("https://www.spark-marketing.ru/Card/Lot/71976097", "Выполнение работ по установке и монтажу систем видеонаблюдения «Безопасный регион»")</f>
        <v>Выполнение работ по установке и монтажу систем видеонаблюдения «Безопасный регион»</v>
      </c>
      <c r="G4641" s="22" t="s">
        <v>50</v>
      </c>
      <c r="H4641" s="22" t="s">
        <v>2012</v>
      </c>
      <c r="I4641" s="26">
        <v>43655.596608796302</v>
      </c>
      <c r="J4641" s="28" t="s">
        <v>52</v>
      </c>
      <c r="K4641" s="28" t="s">
        <v>52</v>
      </c>
      <c r="L4641" s="28" t="s">
        <v>52</v>
      </c>
      <c r="M4641" s="28" t="s">
        <v>52</v>
      </c>
      <c r="N4641" s="28" t="s">
        <v>52</v>
      </c>
    </row>
    <row r="4642" spans="1:14" x14ac:dyDescent="0.15">
      <c r="A4642" s="23" t="str">
        <f>HYPERLINK("https://www.spark-marketing.ru/Card/Person/23018", "УПРАВЛЕНИЕ РОСПОТРЕБНАДЗОРА ПО НОВОСИБИРСКОЙ ОБЛАСТИ")</f>
        <v>УПРАВЛЕНИЕ РОСПОТРЕБНАДЗОРА ПО НОВОСИБИРСКОЙ ОБЛАСТИ</v>
      </c>
      <c r="B4642" s="24" t="s">
        <v>6319</v>
      </c>
      <c r="C4642" s="25">
        <v>41700</v>
      </c>
      <c r="D4642" s="22" t="s">
        <v>6586</v>
      </c>
      <c r="E4642" s="22" t="s">
        <v>84</v>
      </c>
      <c r="F4642" s="23" t="str">
        <f>HYPERLINK("https://www.spark-marketing.ru/Card/Lot/71975555", "установка дополнительной кнопки открывания двери, монитора видеонаблюдения на дополнительном посту охраны в существующей системе контроля управления доступом, установка дополнительной камеры видеонаблюдения")</f>
        <v>установка дополнительной кнопки открывания двери, монитора видеонаблюдения на дополнительном посту охраны в существующей системе контроля управления доступом, установка дополнительной камеры видеонаблюдения</v>
      </c>
      <c r="G4642" s="22" t="s">
        <v>209</v>
      </c>
      <c r="H4642" s="22" t="s">
        <v>210</v>
      </c>
      <c r="I4642" s="26">
        <v>43655.619826388902</v>
      </c>
      <c r="J4642" s="28" t="s">
        <v>52</v>
      </c>
      <c r="K4642" s="28" t="s">
        <v>52</v>
      </c>
      <c r="L4642" s="28" t="s">
        <v>52</v>
      </c>
      <c r="M4642" s="28" t="s">
        <v>52</v>
      </c>
      <c r="N4642" s="28" t="s">
        <v>52</v>
      </c>
    </row>
    <row r="4643" spans="1:14" x14ac:dyDescent="0.15">
      <c r="A4643" s="23" t="str">
        <f t="shared" ref="A4643:A4654" si="207">HYPERLINK("https://www.spark-marketing.ru/Card/Person/1008232", "МБДОУ№ 20")</f>
        <v>МБДОУ№ 20</v>
      </c>
      <c r="B4643" s="24" t="s">
        <v>6587</v>
      </c>
      <c r="C4643" s="25">
        <v>137248.32999999999</v>
      </c>
      <c r="D4643" s="22" t="s">
        <v>6588</v>
      </c>
      <c r="E4643" s="22" t="s">
        <v>59</v>
      </c>
      <c r="F4643" s="23" t="str">
        <f t="shared" ref="F4643:F4654" si="208">HYPERLINK("https://www.spark-marketing.ru/Card/Lot/71983957", "Приобретение системы видеонаблюдения")</f>
        <v>Приобретение системы видеонаблюдения</v>
      </c>
      <c r="G4643" s="22" t="s">
        <v>402</v>
      </c>
      <c r="H4643" s="22" t="s">
        <v>403</v>
      </c>
      <c r="I4643" s="26">
        <v>43655.592361111099</v>
      </c>
      <c r="J4643" s="28" t="s">
        <v>52</v>
      </c>
      <c r="K4643" s="28" t="s">
        <v>52</v>
      </c>
      <c r="L4643" s="28" t="s">
        <v>52</v>
      </c>
      <c r="M4643" s="28" t="s">
        <v>52</v>
      </c>
      <c r="N4643" s="28" t="s">
        <v>52</v>
      </c>
    </row>
    <row r="4644" spans="1:14" hidden="1" outlineLevel="1" x14ac:dyDescent="0.2">
      <c r="A4644" s="23" t="str">
        <f t="shared" si="207"/>
        <v>МБДОУ№ 20</v>
      </c>
      <c r="B4644" s="24" t="s">
        <v>6587</v>
      </c>
      <c r="C4644" s="25">
        <v>137248.32999999999</v>
      </c>
      <c r="D4644" s="22" t="s">
        <v>6588</v>
      </c>
      <c r="E4644" s="22" t="s">
        <v>59</v>
      </c>
      <c r="F4644" s="23" t="str">
        <f t="shared" si="208"/>
        <v>Приобретение системы видеонаблюдения</v>
      </c>
      <c r="G4644" s="22" t="s">
        <v>402</v>
      </c>
      <c r="H4644" s="22" t="s">
        <v>403</v>
      </c>
      <c r="I4644" s="26">
        <v>43655.592361111099</v>
      </c>
      <c r="J4644" s="23" t="str">
        <f>HYPERLINK("https://www.spark-marketing.ru/Card/Person/6207365", "Божко Дмитрий Юрьевич")</f>
        <v>Божко Дмитрий Юрьевич</v>
      </c>
      <c r="K4644" s="24" t="s">
        <v>6589</v>
      </c>
      <c r="L4644" s="28" t="s">
        <v>52</v>
      </c>
      <c r="M4644" s="25">
        <v>113800</v>
      </c>
      <c r="N4644" s="27">
        <v>0.17084601320832102</v>
      </c>
    </row>
    <row r="4645" spans="1:14" hidden="1" outlineLevel="1" x14ac:dyDescent="0.2">
      <c r="A4645" s="23" t="str">
        <f t="shared" si="207"/>
        <v>МБДОУ№ 20</v>
      </c>
      <c r="B4645" s="24" t="s">
        <v>6587</v>
      </c>
      <c r="C4645" s="25">
        <v>137248.32999999999</v>
      </c>
      <c r="D4645" s="22" t="s">
        <v>6588</v>
      </c>
      <c r="E4645" s="22" t="s">
        <v>59</v>
      </c>
      <c r="F4645" s="23" t="str">
        <f t="shared" si="208"/>
        <v>Приобретение системы видеонаблюдения</v>
      </c>
      <c r="G4645" s="22" t="s">
        <v>402</v>
      </c>
      <c r="H4645" s="22" t="s">
        <v>403</v>
      </c>
      <c r="I4645" s="26">
        <v>43655.592361111099</v>
      </c>
      <c r="J4645" s="23" t="str">
        <f>HYPERLINK("https://www.spark-marketing.ru/Card/Person/2177199", "Дратов Денис Васильевич")</f>
        <v>Дратов Денис Васильевич</v>
      </c>
      <c r="K4645" s="24" t="s">
        <v>6590</v>
      </c>
      <c r="L4645" s="28" t="s">
        <v>52</v>
      </c>
      <c r="M4645" s="25">
        <v>125000</v>
      </c>
      <c r="N4645" s="27">
        <v>8.9242105896661914E-2</v>
      </c>
    </row>
    <row r="4646" spans="1:14" hidden="1" outlineLevel="1" x14ac:dyDescent="0.2">
      <c r="A4646" s="23" t="str">
        <f t="shared" si="207"/>
        <v>МБДОУ№ 20</v>
      </c>
      <c r="B4646" s="24" t="s">
        <v>6587</v>
      </c>
      <c r="C4646" s="25">
        <v>137248.32999999999</v>
      </c>
      <c r="D4646" s="22" t="s">
        <v>6588</v>
      </c>
      <c r="E4646" s="22" t="s">
        <v>59</v>
      </c>
      <c r="F4646" s="23" t="str">
        <f t="shared" si="208"/>
        <v>Приобретение системы видеонаблюдения</v>
      </c>
      <c r="G4646" s="22" t="s">
        <v>402</v>
      </c>
      <c r="H4646" s="22" t="s">
        <v>403</v>
      </c>
      <c r="I4646" s="26">
        <v>43655.592361111099</v>
      </c>
      <c r="J4646" s="23" t="str">
        <f>HYPERLINK("https://www.spark-marketing.ru/Card/Person/4715617", "Стромова Юлия Михайловна")</f>
        <v>Стромова Юлия Михайловна</v>
      </c>
      <c r="K4646" s="24" t="s">
        <v>3887</v>
      </c>
      <c r="L4646" s="28" t="s">
        <v>52</v>
      </c>
      <c r="M4646" s="25">
        <v>118770</v>
      </c>
      <c r="N4646" s="27">
        <v>0.13463427933877228</v>
      </c>
    </row>
    <row r="4647" spans="1:14" ht="12.75" hidden="1" outlineLevel="1" x14ac:dyDescent="0.2">
      <c r="A4647" s="23" t="str">
        <f t="shared" si="207"/>
        <v>МБДОУ№ 20</v>
      </c>
      <c r="B4647" s="24" t="s">
        <v>6587</v>
      </c>
      <c r="C4647" s="25">
        <v>137248.32999999999</v>
      </c>
      <c r="D4647" s="22" t="s">
        <v>6588</v>
      </c>
      <c r="E4647" s="22" t="s">
        <v>59</v>
      </c>
      <c r="F4647" s="23" t="str">
        <f t="shared" si="208"/>
        <v>Приобретение системы видеонаблюдения</v>
      </c>
      <c r="G4647" s="22" t="s">
        <v>402</v>
      </c>
      <c r="H4647" s="22" t="s">
        <v>403</v>
      </c>
      <c r="I4647" s="26">
        <v>43655.592361111099</v>
      </c>
      <c r="J4647" s="23" t="str">
        <f>HYPERLINK("https://www.spark-marketing.ru/Card/Person/5964605", "Колесников Андрей Викторович")</f>
        <v>Колесников Андрей Викторович</v>
      </c>
      <c r="K4647" s="24" t="s">
        <v>6591</v>
      </c>
      <c r="L4647" s="22" t="s">
        <v>10</v>
      </c>
      <c r="M4647" s="25">
        <v>98400</v>
      </c>
      <c r="N4647" s="27">
        <v>0.28305138576185224</v>
      </c>
    </row>
    <row r="4648" spans="1:14" hidden="1" outlineLevel="1" x14ac:dyDescent="0.2">
      <c r="A4648" s="23" t="str">
        <f t="shared" si="207"/>
        <v>МБДОУ№ 20</v>
      </c>
      <c r="B4648" s="24" t="s">
        <v>6587</v>
      </c>
      <c r="C4648" s="25">
        <v>137248.32999999999</v>
      </c>
      <c r="D4648" s="22" t="s">
        <v>6588</v>
      </c>
      <c r="E4648" s="22" t="s">
        <v>59</v>
      </c>
      <c r="F4648" s="23" t="str">
        <f t="shared" si="208"/>
        <v>Приобретение системы видеонаблюдения</v>
      </c>
      <c r="G4648" s="22" t="s">
        <v>402</v>
      </c>
      <c r="H4648" s="22" t="s">
        <v>403</v>
      </c>
      <c r="I4648" s="26">
        <v>43655.592361111099</v>
      </c>
      <c r="J4648" s="23" t="str">
        <f>HYPERLINK("https://www.spark-marketing.ru/Card/Person/6349963", "Тирацуян Евгений Ованесович")</f>
        <v>Тирацуян Евгений Ованесович</v>
      </c>
      <c r="K4648" s="24" t="s">
        <v>1488</v>
      </c>
      <c r="L4648" s="28" t="s">
        <v>52</v>
      </c>
      <c r="M4648" s="25">
        <v>107947</v>
      </c>
      <c r="N4648" s="27">
        <v>0.2134913408418157</v>
      </c>
    </row>
    <row r="4649" spans="1:14" hidden="1" outlineLevel="1" x14ac:dyDescent="0.2">
      <c r="A4649" s="23" t="str">
        <f t="shared" si="207"/>
        <v>МБДОУ№ 20</v>
      </c>
      <c r="B4649" s="24" t="s">
        <v>6587</v>
      </c>
      <c r="C4649" s="25">
        <v>137248.32999999999</v>
      </c>
      <c r="D4649" s="22" t="s">
        <v>6588</v>
      </c>
      <c r="E4649" s="22" t="s">
        <v>59</v>
      </c>
      <c r="F4649" s="23" t="str">
        <f t="shared" si="208"/>
        <v>Приобретение системы видеонаблюдения</v>
      </c>
      <c r="G4649" s="22" t="s">
        <v>402</v>
      </c>
      <c r="H4649" s="22" t="s">
        <v>403</v>
      </c>
      <c r="I4649" s="26">
        <v>43655.592361111099</v>
      </c>
      <c r="J4649" s="23" t="str">
        <f>HYPERLINK("https://www.spark-marketing.ru/Card/Person/6051342", "Бокарев Александр Романович")</f>
        <v>Бокарев Александр Романович</v>
      </c>
      <c r="K4649" s="24" t="s">
        <v>3296</v>
      </c>
      <c r="L4649" s="28" t="s">
        <v>52</v>
      </c>
      <c r="M4649" s="25">
        <v>80809.039999999994</v>
      </c>
      <c r="N4649" s="27">
        <v>0.41122023124070073</v>
      </c>
    </row>
    <row r="4650" spans="1:14" hidden="1" outlineLevel="1" x14ac:dyDescent="0.2">
      <c r="A4650" s="23" t="str">
        <f t="shared" si="207"/>
        <v>МБДОУ№ 20</v>
      </c>
      <c r="B4650" s="24" t="s">
        <v>6587</v>
      </c>
      <c r="C4650" s="25">
        <v>137248.32999999999</v>
      </c>
      <c r="D4650" s="22" t="s">
        <v>6588</v>
      </c>
      <c r="E4650" s="22" t="s">
        <v>59</v>
      </c>
      <c r="F4650" s="23" t="str">
        <f t="shared" si="208"/>
        <v>Приобретение системы видеонаблюдения</v>
      </c>
      <c r="G4650" s="22" t="s">
        <v>402</v>
      </c>
      <c r="H4650" s="22" t="s">
        <v>403</v>
      </c>
      <c r="I4650" s="26">
        <v>43655.592361111099</v>
      </c>
      <c r="J4650" s="23" t="str">
        <f>HYPERLINK("https://www.spark-marketing.ru/Card/Person/357394", "ООО ""ИНТЕГРАЛ-ВИДЕО""")</f>
        <v>ООО "ИНТЕГРАЛ-ВИДЕО"</v>
      </c>
      <c r="K4650" s="24" t="s">
        <v>6592</v>
      </c>
      <c r="L4650" s="28" t="s">
        <v>52</v>
      </c>
      <c r="M4650" s="25">
        <v>122300</v>
      </c>
      <c r="N4650" s="27">
        <v>0.10891447640929401</v>
      </c>
    </row>
    <row r="4651" spans="1:14" hidden="1" outlineLevel="1" x14ac:dyDescent="0.2">
      <c r="A4651" s="23" t="str">
        <f t="shared" si="207"/>
        <v>МБДОУ№ 20</v>
      </c>
      <c r="B4651" s="24" t="s">
        <v>6587</v>
      </c>
      <c r="C4651" s="25">
        <v>137248.32999999999</v>
      </c>
      <c r="D4651" s="22" t="s">
        <v>6588</v>
      </c>
      <c r="E4651" s="22" t="s">
        <v>59</v>
      </c>
      <c r="F4651" s="23" t="str">
        <f t="shared" si="208"/>
        <v>Приобретение системы видеонаблюдения</v>
      </c>
      <c r="G4651" s="22" t="s">
        <v>402</v>
      </c>
      <c r="H4651" s="22" t="s">
        <v>403</v>
      </c>
      <c r="I4651" s="26">
        <v>43655.592361111099</v>
      </c>
      <c r="J4651" s="23" t="str">
        <f>HYPERLINK("https://www.spark-marketing.ru/Card/Person/6631998", "ООО ""КИТ""")</f>
        <v>ООО "КИТ"</v>
      </c>
      <c r="K4651" s="24" t="s">
        <v>6593</v>
      </c>
      <c r="L4651" s="28" t="s">
        <v>52</v>
      </c>
      <c r="M4651" s="25">
        <v>123523</v>
      </c>
      <c r="N4651" s="27">
        <v>0.10000362117338696</v>
      </c>
    </row>
    <row r="4652" spans="1:14" hidden="1" outlineLevel="1" x14ac:dyDescent="0.2">
      <c r="A4652" s="23" t="str">
        <f t="shared" si="207"/>
        <v>МБДОУ№ 20</v>
      </c>
      <c r="B4652" s="24" t="s">
        <v>6587</v>
      </c>
      <c r="C4652" s="25">
        <v>137248.32999999999</v>
      </c>
      <c r="D4652" s="22" t="s">
        <v>6588</v>
      </c>
      <c r="E4652" s="22" t="s">
        <v>59</v>
      </c>
      <c r="F4652" s="23" t="str">
        <f t="shared" si="208"/>
        <v>Приобретение системы видеонаблюдения</v>
      </c>
      <c r="G4652" s="22" t="s">
        <v>402</v>
      </c>
      <c r="H4652" s="22" t="s">
        <v>403</v>
      </c>
      <c r="I4652" s="26">
        <v>43655.592361111099</v>
      </c>
      <c r="J4652" s="23" t="str">
        <f>HYPERLINK("https://www.spark-marketing.ru/Card/Person/787069", "ООО ""ПАРАДОКС""")</f>
        <v>ООО "ПАРАДОКС"</v>
      </c>
      <c r="K4652" s="24" t="s">
        <v>6594</v>
      </c>
      <c r="L4652" s="28" t="s">
        <v>52</v>
      </c>
      <c r="M4652" s="25">
        <v>131680</v>
      </c>
      <c r="N4652" s="27">
        <v>4.0571204035779525E-2</v>
      </c>
    </row>
    <row r="4653" spans="1:14" hidden="1" outlineLevel="1" x14ac:dyDescent="0.2">
      <c r="A4653" s="23" t="str">
        <f t="shared" si="207"/>
        <v>МБДОУ№ 20</v>
      </c>
      <c r="B4653" s="24" t="s">
        <v>6587</v>
      </c>
      <c r="C4653" s="25">
        <v>137248.32999999999</v>
      </c>
      <c r="D4653" s="22" t="s">
        <v>6588</v>
      </c>
      <c r="E4653" s="22" t="s">
        <v>59</v>
      </c>
      <c r="F4653" s="23" t="str">
        <f t="shared" si="208"/>
        <v>Приобретение системы видеонаблюдения</v>
      </c>
      <c r="G4653" s="22" t="s">
        <v>402</v>
      </c>
      <c r="H4653" s="22" t="s">
        <v>403</v>
      </c>
      <c r="I4653" s="26">
        <v>43655.592361111099</v>
      </c>
      <c r="J4653" s="23" t="str">
        <f>HYPERLINK("https://www.spark-marketing.ru/Card/Person/465761", "Кривченко Валерий Валерьевич")</f>
        <v>Кривченко Валерий Валерьевич</v>
      </c>
      <c r="K4653" s="24" t="s">
        <v>6139</v>
      </c>
      <c r="L4653" s="28" t="s">
        <v>52</v>
      </c>
      <c r="M4653" s="25">
        <v>99000</v>
      </c>
      <c r="N4653" s="27">
        <v>0.27867974787015626</v>
      </c>
    </row>
    <row r="4654" spans="1:14" hidden="1" outlineLevel="1" x14ac:dyDescent="0.2">
      <c r="A4654" s="23" t="str">
        <f t="shared" si="207"/>
        <v>МБДОУ№ 20</v>
      </c>
      <c r="B4654" s="24" t="s">
        <v>6587</v>
      </c>
      <c r="C4654" s="25">
        <v>137248.32999999999</v>
      </c>
      <c r="D4654" s="22" t="s">
        <v>6588</v>
      </c>
      <c r="E4654" s="22" t="s">
        <v>59</v>
      </c>
      <c r="F4654" s="23" t="str">
        <f t="shared" si="208"/>
        <v>Приобретение системы видеонаблюдения</v>
      </c>
      <c r="G4654" s="22" t="s">
        <v>402</v>
      </c>
      <c r="H4654" s="22" t="s">
        <v>403</v>
      </c>
      <c r="I4654" s="26">
        <v>43655.592361111099</v>
      </c>
      <c r="J4654" s="23" t="str">
        <f>HYPERLINK("https://www.spark-marketing.ru/Card/Person/4954405", "ООО ""АНГАРЕЙОН-СБ""")</f>
        <v>ООО "АНГАРЕЙОН-СБ"</v>
      </c>
      <c r="K4654" s="24" t="s">
        <v>3508</v>
      </c>
      <c r="L4654" s="28" t="s">
        <v>52</v>
      </c>
      <c r="M4654" s="25">
        <v>117300</v>
      </c>
      <c r="N4654" s="27">
        <v>0.14534479217342755</v>
      </c>
    </row>
    <row r="4655" spans="1:14" x14ac:dyDescent="0.15">
      <c r="A4655" s="23" t="str">
        <f>HYPERLINK("https://www.spark-marketing.ru/Card/Person/6768", "АДМИНИСТРАЦИЯ ГОРОДСКОГО ОКРУГА")</f>
        <v>АДМИНИСТРАЦИЯ ГОРОДСКОГО ОКРУГА</v>
      </c>
      <c r="B4655" s="24" t="s">
        <v>6595</v>
      </c>
      <c r="C4655" s="25">
        <v>591000</v>
      </c>
      <c r="D4655" s="22" t="s">
        <v>6596</v>
      </c>
      <c r="E4655" s="22" t="s">
        <v>59</v>
      </c>
      <c r="F4655" s="23" t="str">
        <f>HYPERLINK("https://www.spark-marketing.ru/Card/Lot/71988411", "Выполнение работ по монтажу системы видеонаблюдения")</f>
        <v>Выполнение работ по монтажу системы видеонаблюдения</v>
      </c>
      <c r="G4655" s="22" t="s">
        <v>552</v>
      </c>
      <c r="H4655" s="22" t="s">
        <v>552</v>
      </c>
      <c r="I4655" s="26">
        <v>43655.563194444403</v>
      </c>
      <c r="J4655" s="28" t="s">
        <v>52</v>
      </c>
      <c r="K4655" s="28" t="s">
        <v>52</v>
      </c>
      <c r="L4655" s="28" t="s">
        <v>52</v>
      </c>
      <c r="M4655" s="28" t="s">
        <v>52</v>
      </c>
      <c r="N4655" s="28" t="s">
        <v>52</v>
      </c>
    </row>
    <row r="4656" spans="1:14" ht="12.75" hidden="1" outlineLevel="1" x14ac:dyDescent="0.2">
      <c r="A4656" s="23" t="str">
        <f>HYPERLINK("https://www.spark-marketing.ru/Card/Person/6768", "АДМИНИСТРАЦИЯ ГОРОДСКОГО ОКРУГА")</f>
        <v>АДМИНИСТРАЦИЯ ГОРОДСКОГО ОКРУГА</v>
      </c>
      <c r="B4656" s="24" t="s">
        <v>6595</v>
      </c>
      <c r="C4656" s="25">
        <v>591000</v>
      </c>
      <c r="D4656" s="22" t="s">
        <v>6596</v>
      </c>
      <c r="E4656" s="22" t="s">
        <v>59</v>
      </c>
      <c r="F4656" s="23" t="str">
        <f>HYPERLINK("https://www.spark-marketing.ru/Card/Lot/71988411", "Выполнение работ по монтажу системы видеонаблюдения")</f>
        <v>Выполнение работ по монтажу системы видеонаблюдения</v>
      </c>
      <c r="G4656" s="22" t="s">
        <v>552</v>
      </c>
      <c r="H4656" s="22" t="s">
        <v>552</v>
      </c>
      <c r="I4656" s="26">
        <v>43655.563194444403</v>
      </c>
      <c r="J4656" s="23" t="str">
        <f>HYPERLINK("https://www.spark-marketing.ru/Card/Person/304226", "ООО ""СТАРКОМ ПЛЮС""")</f>
        <v>ООО "СТАРКОМ ПЛЮС"</v>
      </c>
      <c r="K4656" s="24" t="s">
        <v>6597</v>
      </c>
      <c r="L4656" s="22" t="s">
        <v>10</v>
      </c>
      <c r="M4656" s="25">
        <v>547045</v>
      </c>
      <c r="N4656" s="27">
        <v>7.4373942470389171E-2</v>
      </c>
    </row>
    <row r="4657" spans="1:14" hidden="1" outlineLevel="1" x14ac:dyDescent="0.2">
      <c r="A4657" s="23" t="str">
        <f>HYPERLINK("https://www.spark-marketing.ru/Card/Person/6768", "АДМИНИСТРАЦИЯ ГОРОДСКОГО ОКРУГА")</f>
        <v>АДМИНИСТРАЦИЯ ГОРОДСКОГО ОКРУГА</v>
      </c>
      <c r="B4657" s="24" t="s">
        <v>6595</v>
      </c>
      <c r="C4657" s="25">
        <v>591000</v>
      </c>
      <c r="D4657" s="22" t="s">
        <v>6596</v>
      </c>
      <c r="E4657" s="22" t="s">
        <v>59</v>
      </c>
      <c r="F4657" s="23" t="str">
        <f>HYPERLINK("https://www.spark-marketing.ru/Card/Lot/71988411", "Выполнение работ по монтажу системы видеонаблюдения")</f>
        <v>Выполнение работ по монтажу системы видеонаблюдения</v>
      </c>
      <c r="G4657" s="22" t="s">
        <v>552</v>
      </c>
      <c r="H4657" s="22" t="s">
        <v>552</v>
      </c>
      <c r="I4657" s="26">
        <v>43655.563194444403</v>
      </c>
      <c r="J4657" s="23" t="str">
        <f>HYPERLINK("https://www.spark-marketing.ru/Card/Person/516257", "Гуторов Михаил Сергеевич")</f>
        <v>Гуторов Михаил Сергеевич</v>
      </c>
      <c r="K4657" s="24" t="s">
        <v>6598</v>
      </c>
      <c r="L4657" s="28" t="s">
        <v>52</v>
      </c>
      <c r="M4657" s="25">
        <v>550000</v>
      </c>
      <c r="N4657" s="27">
        <v>6.9373942470389166E-2</v>
      </c>
    </row>
    <row r="4658" spans="1:14" x14ac:dyDescent="0.15">
      <c r="A4658" s="23" t="str">
        <f t="shared" ref="A4658:A4664" si="209">HYPERLINK("https://www.spark-marketing.ru/Card/Person/4374534", "МБОУ ООШ П.ТАВАТУЙ НГО")</f>
        <v>МБОУ ООШ П.ТАВАТУЙ НГО</v>
      </c>
      <c r="B4658" s="24" t="s">
        <v>6599</v>
      </c>
      <c r="C4658" s="25">
        <v>665787.54</v>
      </c>
      <c r="D4658" s="22" t="s">
        <v>6600</v>
      </c>
      <c r="E4658" s="22" t="s">
        <v>84</v>
      </c>
      <c r="F4658" s="23" t="str">
        <f t="shared" ref="F4658:F4664" si="210">HYPERLINK("https://www.spark-marketing.ru/Card/Lot/71988778", "Выполнение работ по установке системы контроля управления доступом и системы видеонаблюдения с использованием материалов подрядчика")</f>
        <v>Выполнение работ по установке системы контроля управления доступом и системы видеонаблюдения с использованием материалов подрядчика</v>
      </c>
      <c r="G4658" s="22" t="s">
        <v>72</v>
      </c>
      <c r="H4658" s="22" t="s">
        <v>6601</v>
      </c>
      <c r="I4658" s="26">
        <v>43655.568749999999</v>
      </c>
      <c r="J4658" s="28" t="s">
        <v>52</v>
      </c>
      <c r="K4658" s="28" t="s">
        <v>52</v>
      </c>
      <c r="L4658" s="28" t="s">
        <v>52</v>
      </c>
      <c r="M4658" s="28" t="s">
        <v>52</v>
      </c>
      <c r="N4658" s="28" t="s">
        <v>52</v>
      </c>
    </row>
    <row r="4659" spans="1:14" ht="12.75" hidden="1" outlineLevel="1" x14ac:dyDescent="0.2">
      <c r="A4659" s="23" t="str">
        <f t="shared" si="209"/>
        <v>МБОУ ООШ П.ТАВАТУЙ НГО</v>
      </c>
      <c r="B4659" s="24" t="s">
        <v>6599</v>
      </c>
      <c r="C4659" s="25">
        <v>665787.54</v>
      </c>
      <c r="D4659" s="22" t="s">
        <v>6600</v>
      </c>
      <c r="E4659" s="22" t="s">
        <v>84</v>
      </c>
      <c r="F4659" s="23" t="str">
        <f t="shared" si="210"/>
        <v>Выполнение работ по установке системы контроля управления доступом и системы видеонаблюдения с использованием материалов подрядчика</v>
      </c>
      <c r="G4659" s="22" t="s">
        <v>72</v>
      </c>
      <c r="H4659" s="22" t="s">
        <v>6601</v>
      </c>
      <c r="I4659" s="26">
        <v>43655.568749999999</v>
      </c>
      <c r="J4659" s="23" t="str">
        <f>HYPERLINK("https://www.spark-marketing.ru/Card/Person/803924", "Третьяков Илья Владимирович")</f>
        <v>Третьяков Илья Владимирович</v>
      </c>
      <c r="K4659" s="24" t="s">
        <v>1954</v>
      </c>
      <c r="L4659" s="22" t="s">
        <v>10</v>
      </c>
      <c r="M4659" s="25">
        <v>459393.28000000003</v>
      </c>
      <c r="N4659" s="27">
        <v>0.31000018414282732</v>
      </c>
    </row>
    <row r="4660" spans="1:14" hidden="1" outlineLevel="1" x14ac:dyDescent="0.2">
      <c r="A4660" s="23" t="str">
        <f t="shared" si="209"/>
        <v>МБОУ ООШ П.ТАВАТУЙ НГО</v>
      </c>
      <c r="B4660" s="24" t="s">
        <v>6599</v>
      </c>
      <c r="C4660" s="25">
        <v>665787.54</v>
      </c>
      <c r="D4660" s="22" t="s">
        <v>6600</v>
      </c>
      <c r="E4660" s="22" t="s">
        <v>84</v>
      </c>
      <c r="F4660" s="23" t="str">
        <f t="shared" si="210"/>
        <v>Выполнение работ по установке системы контроля управления доступом и системы видеонаблюдения с использованием материалов подрядчика</v>
      </c>
      <c r="G4660" s="22" t="s">
        <v>72</v>
      </c>
      <c r="H4660" s="22" t="s">
        <v>6601</v>
      </c>
      <c r="I4660" s="26">
        <v>43655.568749999999</v>
      </c>
      <c r="J4660" s="23" t="str">
        <f>HYPERLINK("https://www.spark-marketing.ru/Card/Person/50495", "ООО ""МСП БИЗНЕС МИР""")</f>
        <v>ООО "МСП БИЗНЕС МИР"</v>
      </c>
      <c r="K4660" s="24" t="s">
        <v>6602</v>
      </c>
      <c r="L4660" s="28" t="s">
        <v>52</v>
      </c>
      <c r="M4660" s="25">
        <v>645813.9</v>
      </c>
      <c r="N4660" s="27">
        <v>3.0000020727332925E-2</v>
      </c>
    </row>
    <row r="4661" spans="1:14" hidden="1" outlineLevel="1" x14ac:dyDescent="0.2">
      <c r="A4661" s="23" t="str">
        <f t="shared" si="209"/>
        <v>МБОУ ООШ П.ТАВАТУЙ НГО</v>
      </c>
      <c r="B4661" s="24" t="s">
        <v>6599</v>
      </c>
      <c r="C4661" s="25">
        <v>665787.54</v>
      </c>
      <c r="D4661" s="22" t="s">
        <v>6600</v>
      </c>
      <c r="E4661" s="22" t="s">
        <v>84</v>
      </c>
      <c r="F4661" s="23" t="str">
        <f t="shared" si="210"/>
        <v>Выполнение работ по установке системы контроля управления доступом и системы видеонаблюдения с использованием материалов подрядчика</v>
      </c>
      <c r="G4661" s="22" t="s">
        <v>72</v>
      </c>
      <c r="H4661" s="22" t="s">
        <v>6601</v>
      </c>
      <c r="I4661" s="26">
        <v>43655.568749999999</v>
      </c>
      <c r="J4661" s="23" t="str">
        <f>HYPERLINK("https://www.spark-marketing.ru/Card/Person/30892", "Каплун Матвей Владимирович")</f>
        <v>Каплун Матвей Владимирович</v>
      </c>
      <c r="K4661" s="24" t="s">
        <v>6603</v>
      </c>
      <c r="L4661" s="28" t="s">
        <v>52</v>
      </c>
      <c r="M4661" s="25">
        <v>482695.86</v>
      </c>
      <c r="N4661" s="27">
        <v>0.27500015996093891</v>
      </c>
    </row>
    <row r="4662" spans="1:14" hidden="1" outlineLevel="1" x14ac:dyDescent="0.2">
      <c r="A4662" s="23" t="str">
        <f t="shared" si="209"/>
        <v>МБОУ ООШ П.ТАВАТУЙ НГО</v>
      </c>
      <c r="B4662" s="24" t="s">
        <v>6599</v>
      </c>
      <c r="C4662" s="25">
        <v>665787.54</v>
      </c>
      <c r="D4662" s="22" t="s">
        <v>6600</v>
      </c>
      <c r="E4662" s="22" t="s">
        <v>84</v>
      </c>
      <c r="F4662" s="23" t="str">
        <f t="shared" si="210"/>
        <v>Выполнение работ по установке системы контроля управления доступом и системы видеонаблюдения с использованием материалов подрядчика</v>
      </c>
      <c r="G4662" s="22" t="s">
        <v>72</v>
      </c>
      <c r="H4662" s="22" t="s">
        <v>6601</v>
      </c>
      <c r="I4662" s="26">
        <v>43655.568749999999</v>
      </c>
      <c r="J4662" s="23" t="str">
        <f>HYPERLINK("https://www.spark-marketing.ru/Card/Person/6431788", "ООО ""БИТБУК""")</f>
        <v>ООО "БИТБУК"</v>
      </c>
      <c r="K4662" s="24" t="s">
        <v>3438</v>
      </c>
      <c r="L4662" s="28" t="s">
        <v>52</v>
      </c>
      <c r="M4662" s="25">
        <v>569248.30000000005</v>
      </c>
      <c r="N4662" s="27">
        <v>0.14500007014249622</v>
      </c>
    </row>
    <row r="4663" spans="1:14" hidden="1" outlineLevel="1" x14ac:dyDescent="0.2">
      <c r="A4663" s="23" t="str">
        <f t="shared" si="209"/>
        <v>МБОУ ООШ П.ТАВАТУЙ НГО</v>
      </c>
      <c r="B4663" s="24" t="s">
        <v>6599</v>
      </c>
      <c r="C4663" s="25">
        <v>665787.54</v>
      </c>
      <c r="D4663" s="22" t="s">
        <v>6600</v>
      </c>
      <c r="E4663" s="22" t="s">
        <v>84</v>
      </c>
      <c r="F4663" s="23" t="str">
        <f t="shared" si="210"/>
        <v>Выполнение работ по установке системы контроля управления доступом и системы видеонаблюдения с использованием материалов подрядчика</v>
      </c>
      <c r="G4663" s="22" t="s">
        <v>72</v>
      </c>
      <c r="H4663" s="22" t="s">
        <v>6601</v>
      </c>
      <c r="I4663" s="26">
        <v>43655.568749999999</v>
      </c>
      <c r="J4663" s="23" t="str">
        <f>HYPERLINK("https://www.spark-marketing.ru/Card/Person/6228198", "ООО ""ИНТЕЛЛЕКТ""")</f>
        <v>ООО "ИНТЕЛЛЕКТ"</v>
      </c>
      <c r="K4663" s="24" t="s">
        <v>6604</v>
      </c>
      <c r="L4663" s="28" t="s">
        <v>52</v>
      </c>
      <c r="M4663" s="25">
        <v>462722.22</v>
      </c>
      <c r="N4663" s="27">
        <v>0.30500018068827184</v>
      </c>
    </row>
    <row r="4664" spans="1:14" hidden="1" outlineLevel="1" x14ac:dyDescent="0.2">
      <c r="A4664" s="23" t="str">
        <f t="shared" si="209"/>
        <v>МБОУ ООШ П.ТАВАТУЙ НГО</v>
      </c>
      <c r="B4664" s="24" t="s">
        <v>6599</v>
      </c>
      <c r="C4664" s="25">
        <v>665787.54</v>
      </c>
      <c r="D4664" s="22" t="s">
        <v>6600</v>
      </c>
      <c r="E4664" s="22" t="s">
        <v>84</v>
      </c>
      <c r="F4664" s="23" t="str">
        <f t="shared" si="210"/>
        <v>Выполнение работ по установке системы контроля управления доступом и системы видеонаблюдения с использованием материалов подрядчика</v>
      </c>
      <c r="G4664" s="22" t="s">
        <v>72</v>
      </c>
      <c r="H4664" s="22" t="s">
        <v>6601</v>
      </c>
      <c r="I4664" s="26">
        <v>43655.568749999999</v>
      </c>
      <c r="J4664" s="23" t="str">
        <f>HYPERLINK("https://www.spark-marketing.ru/Card/Person/2135250", "Юдин Павел Алексеевич")</f>
        <v>Юдин Павел Алексеевич</v>
      </c>
      <c r="K4664" s="24" t="s">
        <v>6605</v>
      </c>
      <c r="L4664" s="28" t="s">
        <v>52</v>
      </c>
      <c r="M4664" s="25">
        <v>602537.69999999995</v>
      </c>
      <c r="N4664" s="27">
        <v>9.5000035596941326E-2</v>
      </c>
    </row>
    <row r="4665" spans="1:14" x14ac:dyDescent="0.15">
      <c r="A4665" s="23" t="str">
        <f>HYPERLINK("https://www.spark-marketing.ru/Card/Person/79420", "ФГКУ КОМБИНАТ ""КРАСНОЕ ЗНАМЯ"" РОСРЕЗЕРВА")</f>
        <v>ФГКУ КОМБИНАТ "КРАСНОЕ ЗНАМЯ" РОСРЕЗЕРВА</v>
      </c>
      <c r="B4665" s="24" t="s">
        <v>6606</v>
      </c>
      <c r="C4665" s="25">
        <v>8892</v>
      </c>
      <c r="D4665" s="22" t="s">
        <v>6607</v>
      </c>
      <c r="E4665" s="22" t="s">
        <v>68</v>
      </c>
      <c r="F4665" s="23" t="str">
        <f>HYPERLINK("https://www.spark-marketing.ru/Card/Lot/71974977", "Оказание услуг по охране грузов на железнодорожных путях необщего пользования")</f>
        <v>Оказание услуг по охране грузов на железнодорожных путях необщего пользования</v>
      </c>
      <c r="G4665" s="22" t="s">
        <v>552</v>
      </c>
      <c r="H4665" s="22" t="s">
        <v>552</v>
      </c>
      <c r="I4665" s="26">
        <v>43655.570138888899</v>
      </c>
      <c r="J4665" s="28" t="s">
        <v>52</v>
      </c>
      <c r="K4665" s="28" t="s">
        <v>52</v>
      </c>
      <c r="L4665" s="28" t="s">
        <v>52</v>
      </c>
      <c r="M4665" s="28" t="s">
        <v>52</v>
      </c>
      <c r="N4665" s="28" t="s">
        <v>52</v>
      </c>
    </row>
    <row r="4666" spans="1:14" x14ac:dyDescent="0.2">
      <c r="A4666" s="23" t="str">
        <f>HYPERLINK("https://www.spark-marketing.ru/Card/Person/4415706", "МА ДОУ ""ДЕТСКИЙ САД КОМБИНИРОВАННОГО ВИДА № 56"" АГО, ДЕТСКИЙ САД № 56")</f>
        <v>МА ДОУ "ДЕТСКИЙ САД КОМБИНИРОВАННОГО ВИДА № 56" АГО, ДЕТСКИЙ САД № 56</v>
      </c>
      <c r="B4666" s="24" t="s">
        <v>6608</v>
      </c>
      <c r="C4666" s="25">
        <v>200000</v>
      </c>
      <c r="D4666" s="22" t="s">
        <v>6609</v>
      </c>
      <c r="E4666" s="22" t="s">
        <v>49</v>
      </c>
      <c r="F4666" s="23" t="str">
        <f>HYPERLINK("https://www.spark-marketing.ru/Card/Lot/71972192", "Выполнение работ по установке комплекса охранной сигнализации")</f>
        <v>Выполнение работ по установке комплекса охранной сигнализации</v>
      </c>
      <c r="G4666" s="22" t="s">
        <v>72</v>
      </c>
      <c r="H4666" s="22" t="s">
        <v>72</v>
      </c>
      <c r="I4666" s="26">
        <v>43655.5765509259</v>
      </c>
      <c r="J4666" s="28" t="s">
        <v>52</v>
      </c>
      <c r="K4666" s="28" t="s">
        <v>52</v>
      </c>
      <c r="L4666" s="22" t="s">
        <v>10</v>
      </c>
      <c r="M4666" s="25">
        <v>199000</v>
      </c>
      <c r="N4666" s="27">
        <v>5.0000000000000001E-3</v>
      </c>
    </row>
    <row r="4667" spans="1:14" x14ac:dyDescent="0.15">
      <c r="A4667" s="23" t="str">
        <f>HYPERLINK("https://www.spark-marketing.ru/Card/Person/4343365", "ФКУ ""УРАЛУПРАВТОДОР""")</f>
        <v>ФКУ "УРАЛУПРАВТОДОР"</v>
      </c>
      <c r="B4667" s="24" t="s">
        <v>2437</v>
      </c>
      <c r="C4667" s="25">
        <v>249696</v>
      </c>
      <c r="D4667" s="22" t="s">
        <v>6610</v>
      </c>
      <c r="E4667" s="22" t="s">
        <v>53</v>
      </c>
      <c r="F4667" s="23" t="str">
        <f>HYPERLINK("https://www.spark-marketing.ru/Card/Lot/71971918", "Оказание охранных услуг")</f>
        <v>Оказание охранных услуг</v>
      </c>
      <c r="G4667" s="22" t="s">
        <v>72</v>
      </c>
      <c r="H4667" s="22" t="s">
        <v>949</v>
      </c>
      <c r="I4667" s="26">
        <v>43655.517465277801</v>
      </c>
      <c r="J4667" s="28" t="s">
        <v>52</v>
      </c>
      <c r="K4667" s="28" t="s">
        <v>52</v>
      </c>
      <c r="L4667" s="28" t="s">
        <v>52</v>
      </c>
      <c r="M4667" s="28" t="s">
        <v>52</v>
      </c>
      <c r="N4667" s="28" t="s">
        <v>52</v>
      </c>
    </row>
    <row r="4668" spans="1:14" x14ac:dyDescent="0.15">
      <c r="A4668" s="23" t="str">
        <f>HYPERLINK("https://www.spark-marketing.ru/Card/Person/20988", "УТ МВД РОССИИ ПО СКФО")</f>
        <v>УТ МВД РОССИИ ПО СКФО</v>
      </c>
      <c r="B4668" s="24" t="s">
        <v>6611</v>
      </c>
      <c r="C4668" s="25">
        <v>20500.48</v>
      </c>
      <c r="D4668" s="22" t="s">
        <v>6612</v>
      </c>
      <c r="E4668" s="22" t="s">
        <v>53</v>
      </c>
      <c r="F4668" s="23" t="str">
        <f>HYPERLINK("https://www.spark-marketing.ru/Card/Lot/71970291", "на выполнение работ по обустройству тревожной кнопки")</f>
        <v>на выполнение работ по обустройству тревожной кнопки</v>
      </c>
      <c r="G4668" s="22" t="s">
        <v>402</v>
      </c>
      <c r="H4668" s="22" t="s">
        <v>403</v>
      </c>
      <c r="I4668" s="26">
        <v>43655.5075</v>
      </c>
      <c r="J4668" s="28" t="s">
        <v>52</v>
      </c>
      <c r="K4668" s="28" t="s">
        <v>52</v>
      </c>
      <c r="L4668" s="28" t="s">
        <v>52</v>
      </c>
      <c r="M4668" s="28" t="s">
        <v>52</v>
      </c>
      <c r="N4668" s="28" t="s">
        <v>52</v>
      </c>
    </row>
    <row r="4669" spans="1:14" x14ac:dyDescent="0.15">
      <c r="A4669" s="23" t="str">
        <f>HYPERLINK("https://www.spark-marketing.ru/Card/Person/4346941", "ФГБОУ ВО АЛТАЙСКИЙ ГАУ")</f>
        <v>ФГБОУ ВО АЛТАЙСКИЙ ГАУ</v>
      </c>
      <c r="B4669" s="24" t="s">
        <v>6613</v>
      </c>
      <c r="C4669" s="25">
        <v>2303748.6</v>
      </c>
      <c r="D4669" s="22" t="s">
        <v>6614</v>
      </c>
      <c r="E4669" s="22" t="s">
        <v>68</v>
      </c>
      <c r="F4669" s="23" t="str">
        <f>HYPERLINK("https://www.spark-marketing.ru/Card/Lot/71990048", "Оказание  услуг по  охране  объекта")</f>
        <v>Оказание  услуг по  охране  объекта</v>
      </c>
      <c r="G4669" s="22" t="s">
        <v>428</v>
      </c>
      <c r="H4669" s="22" t="s">
        <v>429</v>
      </c>
      <c r="I4669" s="26">
        <v>43655.520567129599</v>
      </c>
      <c r="J4669" s="28" t="s">
        <v>52</v>
      </c>
      <c r="K4669" s="28" t="s">
        <v>52</v>
      </c>
      <c r="L4669" s="28" t="s">
        <v>52</v>
      </c>
      <c r="M4669" s="28" t="s">
        <v>52</v>
      </c>
      <c r="N4669" s="28" t="s">
        <v>52</v>
      </c>
    </row>
    <row r="4670" spans="1:14" x14ac:dyDescent="0.15">
      <c r="A4670" s="23" t="str">
        <f>HYPERLINK("https://www.spark-marketing.ru/Card/Person/1986432", "ПАО СНГЕО")</f>
        <v>ПАО СНГЕО</v>
      </c>
      <c r="B4670" s="24" t="s">
        <v>6615</v>
      </c>
      <c r="C4670" s="25">
        <v>1131069.6000000001</v>
      </c>
      <c r="D4670" s="22" t="s">
        <v>6616</v>
      </c>
      <c r="E4670" s="22" t="s">
        <v>52</v>
      </c>
      <c r="F4670" s="23" t="str">
        <f>HYPERLINK("https://www.spark-marketing.ru/Card/Lot/71972641", "Оказание услуг военизированной охраны объектов ПАО СНГЕО на территории Самарской области (СП7)")</f>
        <v>Оказание услуг военизированной охраны объектов ПАО СНГЕО на территории Самарской области (СП7)</v>
      </c>
      <c r="G4670" s="22" t="s">
        <v>760</v>
      </c>
      <c r="H4670" s="22" t="s">
        <v>1709</v>
      </c>
      <c r="I4670" s="26">
        <v>43655.540972222203</v>
      </c>
      <c r="J4670" s="28" t="s">
        <v>52</v>
      </c>
      <c r="K4670" s="28" t="s">
        <v>52</v>
      </c>
      <c r="L4670" s="28" t="s">
        <v>52</v>
      </c>
      <c r="M4670" s="28" t="s">
        <v>52</v>
      </c>
      <c r="N4670" s="28" t="s">
        <v>52</v>
      </c>
    </row>
    <row r="4671" spans="1:14" x14ac:dyDescent="0.15">
      <c r="A4671" s="23" t="str">
        <f>HYPERLINK("https://www.spark-marketing.ru/Card/Person/27863", "ГБУЗ ""РКПТД""")</f>
        <v>ГБУЗ "РКПТД"</v>
      </c>
      <c r="B4671" s="24" t="s">
        <v>6617</v>
      </c>
      <c r="C4671" s="25">
        <v>171031.5</v>
      </c>
      <c r="D4671" s="22" t="s">
        <v>6618</v>
      </c>
      <c r="E4671" s="22" t="s">
        <v>376</v>
      </c>
      <c r="F4671" s="23" t="str">
        <f>HYPERLINK("https://www.spark-marketing.ru/Card/Lot/71984945", "Поставка с установкой электромагнитных замков и их комплектующих")</f>
        <v>Поставка с установкой электромагнитных замков и их комплектующих</v>
      </c>
      <c r="G4671" s="22" t="s">
        <v>354</v>
      </c>
      <c r="H4671" s="22" t="s">
        <v>355</v>
      </c>
      <c r="I4671" s="26">
        <v>43655.529861111099</v>
      </c>
      <c r="J4671" s="28" t="s">
        <v>52</v>
      </c>
      <c r="K4671" s="28" t="s">
        <v>52</v>
      </c>
      <c r="L4671" s="28" t="s">
        <v>52</v>
      </c>
      <c r="M4671" s="28" t="s">
        <v>52</v>
      </c>
      <c r="N4671" s="28" t="s">
        <v>52</v>
      </c>
    </row>
    <row r="4672" spans="1:14" hidden="1" outlineLevel="1" x14ac:dyDescent="0.15">
      <c r="A4672" s="23" t="str">
        <f>HYPERLINK("https://www.spark-marketing.ru/Card/Person/27863", "ГБУЗ ""РКПТД""")</f>
        <v>ГБУЗ "РКПТД"</v>
      </c>
      <c r="B4672" s="24" t="s">
        <v>6617</v>
      </c>
      <c r="C4672" s="25">
        <v>171031.5</v>
      </c>
      <c r="D4672" s="22" t="s">
        <v>6618</v>
      </c>
      <c r="E4672" s="22" t="s">
        <v>376</v>
      </c>
      <c r="F4672" s="23" t="str">
        <f>HYPERLINK("https://www.spark-marketing.ru/Card/Lot/71984945", "Поставка с установкой электромагнитных замков и их комплектующих")</f>
        <v>Поставка с установкой электромагнитных замков и их комплектующих</v>
      </c>
      <c r="G4672" s="22" t="s">
        <v>354</v>
      </c>
      <c r="H4672" s="22" t="s">
        <v>355</v>
      </c>
      <c r="I4672" s="26">
        <v>43655.529861111099</v>
      </c>
      <c r="J4672" s="23" t="str">
        <f>HYPERLINK("https://www.spark-marketing.ru/Card/Person/286416", "ООО ""КОНТУР""")</f>
        <v>ООО "КОНТУР"</v>
      </c>
      <c r="K4672" s="24" t="s">
        <v>6619</v>
      </c>
      <c r="L4672" s="28" t="s">
        <v>52</v>
      </c>
      <c r="M4672" s="28" t="s">
        <v>52</v>
      </c>
      <c r="N4672" s="28" t="s">
        <v>52</v>
      </c>
    </row>
    <row r="4673" spans="1:14" hidden="1" outlineLevel="1" x14ac:dyDescent="0.15">
      <c r="A4673" s="23" t="str">
        <f>HYPERLINK("https://www.spark-marketing.ru/Card/Person/27863", "ГБУЗ ""РКПТД""")</f>
        <v>ГБУЗ "РКПТД"</v>
      </c>
      <c r="B4673" s="24" t="s">
        <v>6617</v>
      </c>
      <c r="C4673" s="25">
        <v>171031.5</v>
      </c>
      <c r="D4673" s="22" t="s">
        <v>6618</v>
      </c>
      <c r="E4673" s="22" t="s">
        <v>376</v>
      </c>
      <c r="F4673" s="23" t="str">
        <f>HYPERLINK("https://www.spark-marketing.ru/Card/Lot/71984945", "Поставка с установкой электромагнитных замков и их комплектующих")</f>
        <v>Поставка с установкой электромагнитных замков и их комплектующих</v>
      </c>
      <c r="G4673" s="22" t="s">
        <v>354</v>
      </c>
      <c r="H4673" s="22" t="s">
        <v>355</v>
      </c>
      <c r="I4673" s="26">
        <v>43655.529861111099</v>
      </c>
      <c r="J4673" s="23" t="str">
        <f>HYPERLINK("https://www.spark-marketing.ru/Card/Person/278298", "ООО ""ПО ""РУБИН""")</f>
        <v>ООО "ПО "РУБИН"</v>
      </c>
      <c r="K4673" s="24" t="s">
        <v>6620</v>
      </c>
      <c r="L4673" s="28" t="s">
        <v>52</v>
      </c>
      <c r="M4673" s="28" t="s">
        <v>52</v>
      </c>
      <c r="N4673" s="28" t="s">
        <v>52</v>
      </c>
    </row>
    <row r="4674" spans="1:14" x14ac:dyDescent="0.15">
      <c r="A4674" s="23" t="str">
        <f>HYPERLINK("https://www.spark-marketing.ru/Card/Person/12510", "УФНС РОССИИ ПО РЕСПУБЛИКЕ СЕВЕРНАЯ ОСЕТИЯ - АЛАНИЯ")</f>
        <v>УФНС РОССИИ ПО РЕСПУБЛИКЕ СЕВЕРНАЯ ОСЕТИЯ - АЛАНИЯ</v>
      </c>
      <c r="B4674" s="24" t="s">
        <v>6621</v>
      </c>
      <c r="C4674" s="25">
        <v>61800</v>
      </c>
      <c r="D4674" s="22" t="s">
        <v>6622</v>
      </c>
      <c r="E4674" s="22" t="s">
        <v>53</v>
      </c>
      <c r="F4674" s="23" t="str">
        <f>HYPERLINK("https://www.spark-marketing.ru/Card/Lot/71970286", "Услуги по техническому обслуживанию системы охранного видеонаблюдения и системы контроля и управления доступом")</f>
        <v>Услуги по техническому обслуживанию системы охранного видеонаблюдения и системы контроля и управления доступом</v>
      </c>
      <c r="G4674" s="22" t="s">
        <v>833</v>
      </c>
      <c r="H4674" s="22" t="s">
        <v>834</v>
      </c>
      <c r="I4674" s="26">
        <v>43655.506041666697</v>
      </c>
      <c r="J4674" s="28" t="s">
        <v>52</v>
      </c>
      <c r="K4674" s="28" t="s">
        <v>52</v>
      </c>
      <c r="L4674" s="28" t="s">
        <v>52</v>
      </c>
      <c r="M4674" s="28" t="s">
        <v>52</v>
      </c>
      <c r="N4674" s="28" t="s">
        <v>52</v>
      </c>
    </row>
    <row r="4675" spans="1:14" x14ac:dyDescent="0.15">
      <c r="A4675" s="23" t="str">
        <f>HYPERLINK("https://www.spark-marketing.ru/Card/Person/6078605", "ПРОЕКТНО КОНСТРУКТОРСКО ТЕХНОЛОГИЧЕСКОЕ БЮРО ПО СИСТЕМАМ ИНФОРМАТИЗАЦИИ – ФЛ ОАО РЖД")</f>
        <v>ПРОЕКТНО КОНСТРУКТОРСКО ТЕХНОЛОГИЧЕСКОЕ БЮРО ПО СИСТЕМАМ ИНФОРМАТИЗАЦИИ – ФЛ ОАО РЖД</v>
      </c>
      <c r="B4675" s="24" t="s">
        <v>163</v>
      </c>
      <c r="C4675" s="25">
        <v>128974.17</v>
      </c>
      <c r="D4675" s="28" t="s">
        <v>52</v>
      </c>
      <c r="E4675" s="22" t="s">
        <v>183</v>
      </c>
      <c r="F4675" s="23" t="str">
        <f>HYPERLINK("https://www.spark-marketing.ru/Card/Lot/71972616", "№20712 Поставка видеорегистратора гибридного типа")</f>
        <v>№20712 Поставка видеорегистратора гибридного типа</v>
      </c>
      <c r="G4675" s="22" t="s">
        <v>52</v>
      </c>
      <c r="H4675" s="22" t="s">
        <v>52</v>
      </c>
      <c r="I4675" s="26">
        <v>43655.479479166701</v>
      </c>
      <c r="J4675" s="28" t="s">
        <v>52</v>
      </c>
      <c r="K4675" s="28" t="s">
        <v>52</v>
      </c>
      <c r="L4675" s="28" t="s">
        <v>52</v>
      </c>
      <c r="M4675" s="28" t="s">
        <v>52</v>
      </c>
      <c r="N4675" s="28" t="s">
        <v>52</v>
      </c>
    </row>
    <row r="4676" spans="1:14" x14ac:dyDescent="0.15">
      <c r="A4676" s="23" t="str">
        <f>HYPERLINK("https://www.spark-marketing.ru/Card/Person/360581", "ООО ""ТЕПЛОСЕТИ""")</f>
        <v>ООО "ТЕПЛОСЕТИ"</v>
      </c>
      <c r="B4676" s="24" t="s">
        <v>6623</v>
      </c>
      <c r="C4676" s="25">
        <v>2867200</v>
      </c>
      <c r="D4676" s="22" t="s">
        <v>6624</v>
      </c>
      <c r="E4676" s="22" t="s">
        <v>144</v>
      </c>
      <c r="F4676" s="23" t="str">
        <f>HYPERLINK("https://www.spark-marketing.ru/Card/Lot/71972104", "Оказание услуг по пультовой централизованной охране с направлением наряда быстрого реагирования, переоборудованиеи техническое обслуживание комплекса технических средств охраны (ТСО) в структурных подразделениях ООО ""Теплосети г. Железнодорожный"" (...")</f>
        <v>Оказание услуг по пультовой централизованной охране с направлением наряда быстрого реагирования, переоборудованиеи техническое обслуживание комплекса технических средств охраны (ТСО) в структурных подразделениях ООО "Теплосети г. Железнодорожный" (...</v>
      </c>
      <c r="G4676" s="22" t="s">
        <v>50</v>
      </c>
      <c r="H4676" s="22" t="s">
        <v>50</v>
      </c>
      <c r="I4676" s="26">
        <v>43655.491597222201</v>
      </c>
      <c r="J4676" s="28" t="s">
        <v>52</v>
      </c>
      <c r="K4676" s="28" t="s">
        <v>52</v>
      </c>
      <c r="L4676" s="28" t="s">
        <v>52</v>
      </c>
      <c r="M4676" s="28" t="s">
        <v>52</v>
      </c>
      <c r="N4676" s="28" t="s">
        <v>52</v>
      </c>
    </row>
    <row r="4677" spans="1:14" x14ac:dyDescent="0.15">
      <c r="A4677" s="23" t="str">
        <f>HYPERLINK("https://www.spark-marketing.ru/Card/Person/4453826", "ПАО ""САРАТОВСКИЙ НПЗ""")</f>
        <v>ПАО "САРАТОВСКИЙ НПЗ"</v>
      </c>
      <c r="B4677" s="24" t="s">
        <v>2100</v>
      </c>
      <c r="C4677" s="28" t="s">
        <v>52</v>
      </c>
      <c r="D4677" s="22" t="s">
        <v>6625</v>
      </c>
      <c r="E4677" s="22" t="s">
        <v>2102</v>
      </c>
      <c r="F4677" s="23" t="str">
        <f>HYPERLINK("https://www.spark-marketing.ru/Card/Lot/71970424", "Оказание услуг по техническому обслуживанию схемы электроснабжения систем охранной сигнализации, видеонаблюдения и инженерно-технического оборудования ИСБ периметра ПАО «Саратовский НПЗ» в 2020-2022 годах")</f>
        <v>Оказание услуг по техническому обслуживанию схемы электроснабжения систем охранной сигнализации, видеонаблюдения и инженерно-технического оборудования ИСБ периметра ПАО «Саратовский НПЗ» в 2020-2022 годах</v>
      </c>
      <c r="G4677" s="22" t="s">
        <v>80</v>
      </c>
      <c r="H4677" s="22" t="s">
        <v>81</v>
      </c>
      <c r="I4677" s="26">
        <v>43655.477083333302</v>
      </c>
      <c r="J4677" s="28" t="s">
        <v>52</v>
      </c>
      <c r="K4677" s="28" t="s">
        <v>52</v>
      </c>
      <c r="L4677" s="28" t="s">
        <v>52</v>
      </c>
      <c r="M4677" s="28" t="s">
        <v>52</v>
      </c>
      <c r="N4677" s="28" t="s">
        <v>52</v>
      </c>
    </row>
    <row r="4678" spans="1:14" x14ac:dyDescent="0.15">
      <c r="A4678" s="23" t="str">
        <f>HYPERLINK("https://www.spark-marketing.ru/Card/Person/1781080", "АО ""ПРОМЫШЛЕННЫЕ ИННОВАЦИИ""")</f>
        <v>АО "ПРОМЫШЛЕННЫЕ ИННОВАЦИИ"</v>
      </c>
      <c r="B4678" s="24" t="s">
        <v>6626</v>
      </c>
      <c r="C4678" s="25">
        <v>1517116.42</v>
      </c>
      <c r="D4678" s="22" t="s">
        <v>6627</v>
      </c>
      <c r="E4678" s="22" t="s">
        <v>218</v>
      </c>
      <c r="F4678" s="23" t="str">
        <f>HYPERLINK("https://www.spark-marketing.ru/Card/Lot/71976700", "Разработка рабочей документации для объектов ПАО «НЗХК»: Зд.631. Узел приема и выдачи 36% соляной кислоты; Зд.648. Система контроля, сигнализации, охлаждения установки «Г»; Организация слива с умывальников зданий 631А и 631 на участок ОСВ зд.631.")</f>
        <v>Разработка рабочей документации для объектов ПАО «НЗХК»: Зд.631. Узел приема и выдачи 36% соляной кислоты; Зд.648. Система контроля, сигнализации, охлаждения установки «Г»; Организация слива с умывальников зданий 631А и 631 на участок ОСВ зд.631.</v>
      </c>
      <c r="G4678" s="22" t="s">
        <v>55</v>
      </c>
      <c r="H4678" s="22" t="s">
        <v>55</v>
      </c>
      <c r="I4678" s="26">
        <v>43655.465115740699</v>
      </c>
      <c r="J4678" s="28" t="s">
        <v>52</v>
      </c>
      <c r="K4678" s="28" t="s">
        <v>52</v>
      </c>
      <c r="L4678" s="28" t="s">
        <v>52</v>
      </c>
      <c r="M4678" s="28" t="s">
        <v>52</v>
      </c>
      <c r="N4678" s="28" t="s">
        <v>52</v>
      </c>
    </row>
    <row r="4679" spans="1:14" x14ac:dyDescent="0.15">
      <c r="A4679" s="23" t="str">
        <f>HYPERLINK("https://www.spark-marketing.ru/Card/Person/4958", "ФКУ УПРДОР ""ЛЕНА""")</f>
        <v>ФКУ УПРДОР "ЛЕНА"</v>
      </c>
      <c r="B4679" s="24" t="s">
        <v>600</v>
      </c>
      <c r="C4679" s="25">
        <v>20160</v>
      </c>
      <c r="D4679" s="22" t="s">
        <v>6628</v>
      </c>
      <c r="E4679" s="22" t="s">
        <v>103</v>
      </c>
      <c r="F4679" s="23" t="str">
        <f>HYPERLINK("https://www.spark-marketing.ru/Card/Lot/71967407", "Техническое обслуживание системы видеонаблюдения, 72 усл. ед")</f>
        <v>Техническое обслуживание системы видеонаблюдения, 72 усл. ед</v>
      </c>
      <c r="G4679" s="22" t="s">
        <v>424</v>
      </c>
      <c r="H4679" s="22" t="s">
        <v>602</v>
      </c>
      <c r="I4679" s="26">
        <v>43655.422291666699</v>
      </c>
      <c r="J4679" s="28" t="s">
        <v>52</v>
      </c>
      <c r="K4679" s="28" t="s">
        <v>52</v>
      </c>
      <c r="L4679" s="28" t="s">
        <v>52</v>
      </c>
      <c r="M4679" s="28" t="s">
        <v>52</v>
      </c>
      <c r="N4679" s="28" t="s">
        <v>52</v>
      </c>
    </row>
    <row r="4680" spans="1:14" x14ac:dyDescent="0.15">
      <c r="A4680" s="23" t="str">
        <f>HYPERLINK("https://www.spark-marketing.ru/Card/Person/1006896", "МДОУ-Д/С ""МАЛЫШ""")</f>
        <v>МДОУ-Д/С "МАЛЫШ"</v>
      </c>
      <c r="B4680" s="24" t="s">
        <v>6629</v>
      </c>
      <c r="C4680" s="25">
        <v>15635.45</v>
      </c>
      <c r="D4680" s="22" t="s">
        <v>6630</v>
      </c>
      <c r="E4680" s="22" t="s">
        <v>59</v>
      </c>
      <c r="F4680" s="23" t="str">
        <f>HYPERLINK("https://www.spark-marketing.ru/Card/Lot/71969173", "выполнение работ по монтажу тревожной кнопки вызова")</f>
        <v>выполнение работ по монтажу тревожной кнопки вызова</v>
      </c>
      <c r="G4680" s="22" t="s">
        <v>209</v>
      </c>
      <c r="H4680" s="22" t="s">
        <v>4605</v>
      </c>
      <c r="I4680" s="26">
        <v>43655.456944444399</v>
      </c>
      <c r="J4680" s="28" t="s">
        <v>52</v>
      </c>
      <c r="K4680" s="28" t="s">
        <v>52</v>
      </c>
      <c r="L4680" s="28" t="s">
        <v>52</v>
      </c>
      <c r="M4680" s="28" t="s">
        <v>52</v>
      </c>
      <c r="N4680" s="28" t="s">
        <v>52</v>
      </c>
    </row>
    <row r="4681" spans="1:14" x14ac:dyDescent="0.15">
      <c r="A4681" s="23" t="str">
        <f>HYPERLINK("https://www.spark-marketing.ru/Card/Person/10585", "ФКУ ""СМОЛЕНСКАЯ ПБСТИН"" МИНЗДРАВА РОССИИ")</f>
        <v>ФКУ "СМОЛЕНСКАЯ ПБСТИН" МИНЗДРАВА РОССИИ</v>
      </c>
      <c r="B4681" s="24" t="s">
        <v>6631</v>
      </c>
      <c r="C4681" s="25">
        <v>66265.02</v>
      </c>
      <c r="D4681" s="22" t="s">
        <v>6632</v>
      </c>
      <c r="E4681" s="22" t="s">
        <v>53</v>
      </c>
      <c r="F4681" s="23" t="str">
        <f>HYPERLINK("https://www.spark-marketing.ru/Card/Lot/71968570", "Охрана имущества")</f>
        <v>Охрана имущества</v>
      </c>
      <c r="G4681" s="22" t="s">
        <v>956</v>
      </c>
      <c r="H4681" s="22" t="s">
        <v>6633</v>
      </c>
      <c r="I4681" s="26">
        <v>43655.450196759302</v>
      </c>
      <c r="J4681" s="28" t="s">
        <v>52</v>
      </c>
      <c r="K4681" s="28" t="s">
        <v>52</v>
      </c>
      <c r="L4681" s="28" t="s">
        <v>52</v>
      </c>
      <c r="M4681" s="28" t="s">
        <v>52</v>
      </c>
      <c r="N4681" s="28" t="s">
        <v>52</v>
      </c>
    </row>
    <row r="4682" spans="1:14" x14ac:dyDescent="0.15">
      <c r="A4682" s="23" t="str">
        <f>HYPERLINK("https://www.spark-marketing.ru/Card/Person/4958", "ФКУ УПРДОР ""ЛЕНА""")</f>
        <v>ФКУ УПРДОР "ЛЕНА"</v>
      </c>
      <c r="B4682" s="24" t="s">
        <v>600</v>
      </c>
      <c r="C4682" s="25">
        <v>20160</v>
      </c>
      <c r="D4682" s="22" t="s">
        <v>6634</v>
      </c>
      <c r="E4682" s="22" t="s">
        <v>103</v>
      </c>
      <c r="F4682" s="23" t="str">
        <f>HYPERLINK("https://www.spark-marketing.ru/Card/Lot/71968713", "Техническое обслуживание системы видеонаблюдения, 72 усл. ед")</f>
        <v>Техническое обслуживание системы видеонаблюдения, 72 усл. ед</v>
      </c>
      <c r="G4682" s="22" t="s">
        <v>424</v>
      </c>
      <c r="H4682" s="22" t="s">
        <v>602</v>
      </c>
      <c r="I4682" s="26">
        <v>43655.425104166701</v>
      </c>
      <c r="J4682" s="28" t="s">
        <v>52</v>
      </c>
      <c r="K4682" s="28" t="s">
        <v>52</v>
      </c>
      <c r="L4682" s="28" t="s">
        <v>52</v>
      </c>
      <c r="M4682" s="28" t="s">
        <v>52</v>
      </c>
      <c r="N4682" s="28" t="s">
        <v>52</v>
      </c>
    </row>
    <row r="4683" spans="1:14" x14ac:dyDescent="0.15">
      <c r="A4683" s="23" t="str">
        <f>HYPERLINK("https://www.spark-marketing.ru/Card/Person/80341", "МУ МВД РОССИИ ""СЫЗРАНСКОЕ""")</f>
        <v>МУ МВД РОССИИ "СЫЗРАНСКОЕ"</v>
      </c>
      <c r="B4683" s="24" t="s">
        <v>6371</v>
      </c>
      <c r="C4683" s="25">
        <v>84000</v>
      </c>
      <c r="D4683" s="22" t="s">
        <v>6635</v>
      </c>
      <c r="E4683" s="22" t="s">
        <v>183</v>
      </c>
      <c r="F4683" s="23" t="str">
        <f>HYPERLINK("https://www.spark-marketing.ru/Card/Lot/71978620", "ТО охранно-тревожной сигнализации")</f>
        <v>ТО охранно-тревожной сигнализации</v>
      </c>
      <c r="G4683" s="22" t="s">
        <v>760</v>
      </c>
      <c r="H4683" s="22" t="s">
        <v>6636</v>
      </c>
      <c r="I4683" s="26">
        <v>43655.378472222197</v>
      </c>
      <c r="J4683" s="28" t="s">
        <v>52</v>
      </c>
      <c r="K4683" s="28" t="s">
        <v>52</v>
      </c>
      <c r="L4683" s="28" t="s">
        <v>52</v>
      </c>
      <c r="M4683" s="28" t="s">
        <v>52</v>
      </c>
      <c r="N4683" s="28" t="s">
        <v>52</v>
      </c>
    </row>
    <row r="4684" spans="1:14" ht="12.75" hidden="1" outlineLevel="1" x14ac:dyDescent="0.2">
      <c r="A4684" s="23" t="str">
        <f>HYPERLINK("https://www.spark-marketing.ru/Card/Person/80341", "МУ МВД РОССИИ ""СЫЗРАНСКОЕ""")</f>
        <v>МУ МВД РОССИИ "СЫЗРАНСКОЕ"</v>
      </c>
      <c r="B4684" s="24" t="s">
        <v>6371</v>
      </c>
      <c r="C4684" s="25">
        <v>84000</v>
      </c>
      <c r="D4684" s="22" t="s">
        <v>6635</v>
      </c>
      <c r="E4684" s="22" t="s">
        <v>183</v>
      </c>
      <c r="F4684" s="23" t="str">
        <f>HYPERLINK("https://www.spark-marketing.ru/Card/Lot/71978620", "ТО охранно-тревожной сигнализации")</f>
        <v>ТО охранно-тревожной сигнализации</v>
      </c>
      <c r="G4684" s="22" t="s">
        <v>760</v>
      </c>
      <c r="H4684" s="22" t="s">
        <v>6636</v>
      </c>
      <c r="I4684" s="26">
        <v>43655.378472222197</v>
      </c>
      <c r="J4684" s="23" t="str">
        <f>HYPERLINK("https://www.spark-marketing.ru/Card/Person/373096", "ООО ""ОСКАР 01""")</f>
        <v>ООО "ОСКАР 01"</v>
      </c>
      <c r="K4684" s="24" t="s">
        <v>6374</v>
      </c>
      <c r="L4684" s="22" t="s">
        <v>10</v>
      </c>
      <c r="M4684" s="25">
        <v>80220</v>
      </c>
      <c r="N4684" s="27">
        <v>4.4999999999999998E-2</v>
      </c>
    </row>
    <row r="4685" spans="1:14" hidden="1" outlineLevel="1" x14ac:dyDescent="0.2">
      <c r="A4685" s="23" t="str">
        <f>HYPERLINK("https://www.spark-marketing.ru/Card/Person/80341", "МУ МВД РОССИИ ""СЫЗРАНСКОЕ""")</f>
        <v>МУ МВД РОССИИ "СЫЗРАНСКОЕ"</v>
      </c>
      <c r="B4685" s="24" t="s">
        <v>6371</v>
      </c>
      <c r="C4685" s="25">
        <v>84000</v>
      </c>
      <c r="D4685" s="22" t="s">
        <v>6635</v>
      </c>
      <c r="E4685" s="22" t="s">
        <v>183</v>
      </c>
      <c r="F4685" s="23" t="str">
        <f>HYPERLINK("https://www.spark-marketing.ru/Card/Lot/71978620", "ТО охранно-тревожной сигнализации")</f>
        <v>ТО охранно-тревожной сигнализации</v>
      </c>
      <c r="G4685" s="22" t="s">
        <v>760</v>
      </c>
      <c r="H4685" s="22" t="s">
        <v>6636</v>
      </c>
      <c r="I4685" s="26">
        <v>43655.378472222197</v>
      </c>
      <c r="J4685" s="23" t="str">
        <f>HYPERLINK("https://www.spark-marketing.ru/Card/Person/53497", "ООО ""АЛЬФА-ПОЖАРНАЯ БЕЗОПАСНОСТЬ""")</f>
        <v>ООО "АЛЬФА-ПОЖАРНАЯ БЕЗОПАСНОСТЬ"</v>
      </c>
      <c r="K4685" s="24" t="s">
        <v>6375</v>
      </c>
      <c r="L4685" s="28" t="s">
        <v>52</v>
      </c>
      <c r="M4685" s="25">
        <v>80640</v>
      </c>
      <c r="N4685" s="27">
        <v>0.04</v>
      </c>
    </row>
    <row r="4686" spans="1:14" x14ac:dyDescent="0.2">
      <c r="A4686" s="23" t="str">
        <f>HYPERLINK("https://www.spark-marketing.ru/Card/Person/1479430", "СРЕДНЯЯ ШКОЛА № 21, МАОУ ""СОШ № 21""")</f>
        <v>СРЕДНЯЯ ШКОЛА № 21, МАОУ "СОШ № 21"</v>
      </c>
      <c r="B4686" s="24" t="s">
        <v>6637</v>
      </c>
      <c r="C4686" s="25">
        <v>65000</v>
      </c>
      <c r="D4686" s="22" t="s">
        <v>6638</v>
      </c>
      <c r="E4686" s="22" t="s">
        <v>691</v>
      </c>
      <c r="F4686" s="23" t="str">
        <f>HYPERLINK("https://www.spark-marketing.ru/Card/Lot/71966510", "Установка (модернизация) внутреннего и наружного видеонаблюдения")</f>
        <v>Установка (модернизация) внутреннего и наружного видеонаблюдения</v>
      </c>
      <c r="G4686" s="22" t="s">
        <v>72</v>
      </c>
      <c r="H4686" s="22" t="s">
        <v>72</v>
      </c>
      <c r="I4686" s="26">
        <v>43655.410787036999</v>
      </c>
      <c r="J4686" s="28" t="s">
        <v>52</v>
      </c>
      <c r="K4686" s="28" t="s">
        <v>52</v>
      </c>
      <c r="L4686" s="28" t="s">
        <v>52</v>
      </c>
      <c r="M4686" s="25">
        <v>65000</v>
      </c>
      <c r="N4686" s="27">
        <v>0</v>
      </c>
    </row>
    <row r="4687" spans="1:14" x14ac:dyDescent="0.15">
      <c r="A4687" s="23" t="str">
        <f>HYPERLINK("https://www.spark-marketing.ru/Card/Person/4353300", "КГКУ ""ПРИМГОСАВТОНАДЗОР""")</f>
        <v>КГКУ "ПРИМГОСАВТОНАДЗОР"</v>
      </c>
      <c r="B4687" s="24" t="s">
        <v>407</v>
      </c>
      <c r="C4687" s="25">
        <v>13124361.560000001</v>
      </c>
      <c r="D4687" s="22" t="s">
        <v>6639</v>
      </c>
      <c r="E4687" s="22" t="s">
        <v>107</v>
      </c>
      <c r="F4687" s="23" t="str">
        <f>HYPERLINK("https://www.spark-marketing.ru/Card/Lot/71992214", "Оказание услуг по эксплуатационно-техническому обслуживанию системы видеонаблюдения и автоматической фиксации нарушений Правил дорожного движения в городе Владивостоке и Приморском крае")</f>
        <v>Оказание услуг по эксплуатационно-техническому обслуживанию системы видеонаблюдения и автоматической фиксации нарушений Правил дорожного движения в городе Владивостоке и Приморском крае</v>
      </c>
      <c r="G4687" s="22" t="s">
        <v>409</v>
      </c>
      <c r="H4687" s="22" t="s">
        <v>409</v>
      </c>
      <c r="I4687" s="26">
        <v>43655.391562500001</v>
      </c>
      <c r="J4687" s="28" t="s">
        <v>52</v>
      </c>
      <c r="K4687" s="28" t="s">
        <v>52</v>
      </c>
      <c r="L4687" s="28" t="s">
        <v>52</v>
      </c>
      <c r="M4687" s="28" t="s">
        <v>52</v>
      </c>
      <c r="N4687" s="28" t="s">
        <v>52</v>
      </c>
    </row>
    <row r="4688" spans="1:14" ht="12.75" hidden="1" outlineLevel="1" x14ac:dyDescent="0.2">
      <c r="A4688" s="23" t="str">
        <f>HYPERLINK("https://www.spark-marketing.ru/Card/Person/4353300", "КГКУ ""ПРИМГОСАВТОНАДЗОР""")</f>
        <v>КГКУ "ПРИМГОСАВТОНАДЗОР"</v>
      </c>
      <c r="B4688" s="24" t="s">
        <v>407</v>
      </c>
      <c r="C4688" s="25">
        <v>13124361.560000001</v>
      </c>
      <c r="D4688" s="22" t="s">
        <v>6639</v>
      </c>
      <c r="E4688" s="22" t="s">
        <v>107</v>
      </c>
      <c r="F4688" s="23" t="str">
        <f>HYPERLINK("https://www.spark-marketing.ru/Card/Lot/71992214", "Оказание услуг по эксплуатационно-техническому обслуживанию системы видеонаблюдения и автоматической фиксации нарушений Правил дорожного движения в городе Владивостоке и Приморском крае")</f>
        <v>Оказание услуг по эксплуатационно-техническому обслуживанию системы видеонаблюдения и автоматической фиксации нарушений Правил дорожного движения в городе Владивостоке и Приморском крае</v>
      </c>
      <c r="G4688" s="22" t="s">
        <v>409</v>
      </c>
      <c r="H4688" s="22" t="s">
        <v>409</v>
      </c>
      <c r="I4688" s="26">
        <v>43655.391562500001</v>
      </c>
      <c r="J4688" s="23" t="str">
        <f>HYPERLINK("https://www.spark-marketing.ru/Card/Person/137479", "ООО ""ПГИ""")</f>
        <v>ООО "ПГИ"</v>
      </c>
      <c r="K4688" s="24" t="s">
        <v>6640</v>
      </c>
      <c r="L4688" s="22" t="s">
        <v>10</v>
      </c>
      <c r="M4688" s="25">
        <v>13058739.75</v>
      </c>
      <c r="N4688" s="27">
        <v>5.0000001676272013E-3</v>
      </c>
    </row>
    <row r="4689" spans="1:14" hidden="1" outlineLevel="1" x14ac:dyDescent="0.2">
      <c r="A4689" s="23" t="str">
        <f>HYPERLINK("https://www.spark-marketing.ru/Card/Person/4353300", "КГКУ ""ПРИМГОСАВТОНАДЗОР""")</f>
        <v>КГКУ "ПРИМГОСАВТОНАДЗОР"</v>
      </c>
      <c r="B4689" s="24" t="s">
        <v>407</v>
      </c>
      <c r="C4689" s="25">
        <v>13124361.560000001</v>
      </c>
      <c r="D4689" s="22" t="s">
        <v>6639</v>
      </c>
      <c r="E4689" s="22" t="s">
        <v>107</v>
      </c>
      <c r="F4689" s="23" t="str">
        <f>HYPERLINK("https://www.spark-marketing.ru/Card/Lot/71992214", "Оказание услуг по эксплуатационно-техническому обслуживанию системы видеонаблюдения и автоматической фиксации нарушений Правил дорожного движения в городе Владивостоке и Приморском крае")</f>
        <v>Оказание услуг по эксплуатационно-техническому обслуживанию системы видеонаблюдения и автоматической фиксации нарушений Правил дорожного движения в городе Владивостоке и Приморском крае</v>
      </c>
      <c r="G4689" s="22" t="s">
        <v>409</v>
      </c>
      <c r="H4689" s="22" t="s">
        <v>409</v>
      </c>
      <c r="I4689" s="26">
        <v>43655.391562500001</v>
      </c>
      <c r="J4689" s="23" t="str">
        <f>HYPERLINK("https://www.spark-marketing.ru/Card/Person/5961756", "ООО ""РЕГИОН ВЛ""")</f>
        <v>ООО "РЕГИОН ВЛ"</v>
      </c>
      <c r="K4689" s="24" t="s">
        <v>6641</v>
      </c>
      <c r="L4689" s="28" t="s">
        <v>52</v>
      </c>
      <c r="M4689" s="25">
        <v>12402521.67</v>
      </c>
      <c r="N4689" s="27">
        <v>5.500000032001557E-2</v>
      </c>
    </row>
    <row r="4690" spans="1:14" x14ac:dyDescent="0.15">
      <c r="A4690" s="23" t="str">
        <f>HYPERLINK("https://www.spark-marketing.ru/Card/Person/3565", "МО МВД РОССИИ ""ДАЛЬНЕРЕЧЕНСКИЙ""")</f>
        <v>МО МВД РОССИИ "ДАЛЬНЕРЕЧЕНСКИЙ"</v>
      </c>
      <c r="B4690" s="24" t="s">
        <v>6642</v>
      </c>
      <c r="C4690" s="25">
        <v>9037.4</v>
      </c>
      <c r="D4690" s="22" t="s">
        <v>6643</v>
      </c>
      <c r="E4690" s="22" t="s">
        <v>68</v>
      </c>
      <c r="F4690" s="23" t="str">
        <f>HYPERLINK("https://www.spark-marketing.ru/Card/Lot/71971154", "Оказание услуг по охраны объекта")</f>
        <v>Оказание услуг по охраны объекта</v>
      </c>
      <c r="G4690" s="22" t="s">
        <v>409</v>
      </c>
      <c r="H4690" s="22" t="s">
        <v>6644</v>
      </c>
      <c r="I4690" s="26">
        <v>43655.379166666702</v>
      </c>
      <c r="J4690" s="28" t="s">
        <v>52</v>
      </c>
      <c r="K4690" s="28" t="s">
        <v>52</v>
      </c>
      <c r="L4690" s="28" t="s">
        <v>52</v>
      </c>
      <c r="M4690" s="28" t="s">
        <v>52</v>
      </c>
      <c r="N4690" s="28" t="s">
        <v>52</v>
      </c>
    </row>
    <row r="4691" spans="1:14" x14ac:dyDescent="0.15">
      <c r="A4691" s="23" t="str">
        <f>HYPERLINK("https://www.spark-marketing.ru/Card/Person/27018", "КГКУ ""СЛУЖБА ЗАКАЗЧИКА ТЭК И ЖКХ КРАЯ""")</f>
        <v>КГКУ "СЛУЖБА ЗАКАЗЧИКА ТЭК И ЖКХ КРАЯ"</v>
      </c>
      <c r="B4691" s="24" t="s">
        <v>6645</v>
      </c>
      <c r="C4691" s="25">
        <v>26880</v>
      </c>
      <c r="D4691" s="22" t="s">
        <v>6646</v>
      </c>
      <c r="E4691" s="22" t="s">
        <v>103</v>
      </c>
      <c r="F4691" s="23" t="str">
        <f>HYPERLINK("https://www.spark-marketing.ru/Card/Lot/71966446", "Оказание услуг по техническому обслуживанию системы видеонаблюдения, 1 усл. ед")</f>
        <v>Оказание услуг по техническому обслуживанию системы видеонаблюдения, 1 усл. ед</v>
      </c>
      <c r="G4691" s="22" t="s">
        <v>138</v>
      </c>
      <c r="H4691" s="22" t="s">
        <v>255</v>
      </c>
      <c r="I4691" s="26">
        <v>43655.353668981501</v>
      </c>
      <c r="J4691" s="28" t="s">
        <v>52</v>
      </c>
      <c r="K4691" s="28" t="s">
        <v>52</v>
      </c>
      <c r="L4691" s="28" t="s">
        <v>52</v>
      </c>
      <c r="M4691" s="28" t="s">
        <v>52</v>
      </c>
      <c r="N4691" s="28" t="s">
        <v>52</v>
      </c>
    </row>
    <row r="4692" spans="1:14" x14ac:dyDescent="0.15">
      <c r="A4692" s="23" t="str">
        <f>HYPERLINK("https://www.spark-marketing.ru/Card/Person/9134", "ФБУ ""АДМИНИСТРАЦИЯ ""ВОЛГО-ДОН""")</f>
        <v>ФБУ "АДМИНИСТРАЦИЯ "ВОЛГО-ДОН"</v>
      </c>
      <c r="B4692" s="24" t="s">
        <v>3717</v>
      </c>
      <c r="C4692" s="25">
        <v>2100000</v>
      </c>
      <c r="D4692" s="22" t="s">
        <v>6647</v>
      </c>
      <c r="E4692" s="22" t="s">
        <v>585</v>
      </c>
      <c r="F4692" s="23" t="str">
        <f>HYPERLINK("https://www.spark-marketing.ru/Card/Lot/71990084", "Проведение сертификации инженерно-технических систем обеспечения транспортной безопасности объектов транспортной инфраструктуры")</f>
        <v>Проведение сертификации инженерно-технических систем обеспечения транспортной безопасности объектов транспортной инфраструктуры</v>
      </c>
      <c r="G4692" s="22" t="s">
        <v>402</v>
      </c>
      <c r="H4692" s="22" t="s">
        <v>402</v>
      </c>
      <c r="I4692" s="26">
        <v>43655.348634259302</v>
      </c>
      <c r="J4692" s="23" t="str">
        <f>HYPERLINK("https://www.spark-marketing.ru/Card/Person/64313", "АО ""ОРКК""")</f>
        <v>АО "ОРКК"</v>
      </c>
      <c r="K4692" s="24" t="s">
        <v>6648</v>
      </c>
      <c r="L4692" s="22" t="s">
        <v>10</v>
      </c>
      <c r="M4692" s="28" t="s">
        <v>52</v>
      </c>
      <c r="N4692" s="28" t="s">
        <v>52</v>
      </c>
    </row>
    <row r="4693" spans="1:14" x14ac:dyDescent="0.15">
      <c r="A4693" s="23" t="str">
        <f>HYPERLINK("https://www.spark-marketing.ru/Card/Person/94821", "МЕЖРАЙОННАЯ ИФНС РОССИИ № 3 ПО АМУРСКОЙ ОБЛАСТИ")</f>
        <v>МЕЖРАЙОННАЯ ИФНС РОССИИ № 3 ПО АМУРСКОЙ ОБЛАСТИ</v>
      </c>
      <c r="B4693" s="24" t="s">
        <v>6649</v>
      </c>
      <c r="C4693" s="25">
        <v>230493.48</v>
      </c>
      <c r="D4693" s="22" t="s">
        <v>6650</v>
      </c>
      <c r="E4693" s="22" t="s">
        <v>68</v>
      </c>
      <c r="F4693" s="23" t="str">
        <f>HYPERLINK("https://www.spark-marketing.ru/Card/Lot/71985838", "Охрана имущества с помощью ТСО сигнализации")</f>
        <v>Охрана имущества с помощью ТСО сигнализации</v>
      </c>
      <c r="G4693" s="22" t="s">
        <v>230</v>
      </c>
      <c r="H4693" s="22" t="s">
        <v>6651</v>
      </c>
      <c r="I4693" s="26">
        <v>43655.373611111099</v>
      </c>
      <c r="J4693" s="28" t="s">
        <v>52</v>
      </c>
      <c r="K4693" s="28" t="s">
        <v>52</v>
      </c>
      <c r="L4693" s="28" t="s">
        <v>52</v>
      </c>
      <c r="M4693" s="28" t="s">
        <v>52</v>
      </c>
      <c r="N4693" s="28" t="s">
        <v>52</v>
      </c>
    </row>
    <row r="4694" spans="1:14" x14ac:dyDescent="0.15">
      <c r="A4694" s="23" t="str">
        <f>HYPERLINK("https://www.spark-marketing.ru/Card/Person/1006305", "МДОУ ДЕТСКИЙ САД ""МАЛЫШ""")</f>
        <v>МДОУ ДЕТСКИЙ САД "МАЛЫШ"</v>
      </c>
      <c r="B4694" s="24" t="s">
        <v>6652</v>
      </c>
      <c r="C4694" s="25">
        <v>15635.45</v>
      </c>
      <c r="D4694" s="22" t="s">
        <v>6653</v>
      </c>
      <c r="E4694" s="22" t="s">
        <v>59</v>
      </c>
      <c r="F4694" s="23" t="str">
        <f>HYPERLINK("https://www.spark-marketing.ru/Card/Lot/71954189", "Выполнение работ по монтажу тревожной кнопки вызова")</f>
        <v>Выполнение работ по монтажу тревожной кнопки вызова</v>
      </c>
      <c r="G4694" s="22" t="s">
        <v>209</v>
      </c>
      <c r="H4694" s="22" t="s">
        <v>4605</v>
      </c>
      <c r="I4694" s="26">
        <v>43654.815972222197</v>
      </c>
      <c r="J4694" s="28" t="s">
        <v>52</v>
      </c>
      <c r="K4694" s="28" t="s">
        <v>52</v>
      </c>
      <c r="L4694" s="28" t="s">
        <v>52</v>
      </c>
      <c r="M4694" s="28" t="s">
        <v>52</v>
      </c>
      <c r="N4694" s="28" t="s">
        <v>52</v>
      </c>
    </row>
    <row r="4695" spans="1:14" x14ac:dyDescent="0.15">
      <c r="A4695" s="23" t="str">
        <f>HYPERLINK("https://www.spark-marketing.ru/Card/Person/143441", "МБУ ДОЛ ""РОСИНКА""")</f>
        <v>МБУ ДОЛ "РОСИНКА"</v>
      </c>
      <c r="B4695" s="24" t="s">
        <v>6654</v>
      </c>
      <c r="C4695" s="25">
        <v>918000</v>
      </c>
      <c r="D4695" s="22" t="s">
        <v>6655</v>
      </c>
      <c r="E4695" s="22" t="s">
        <v>52</v>
      </c>
      <c r="F4695" s="23" t="str">
        <f>HYPERLINK("https://www.spark-marketing.ru/Card/Lot/71961331", "Приобретение видеокамер с установкой для системы видеонаблюдения МБУ ДОЛ ""Росинка""")</f>
        <v>Приобретение видеокамер с установкой для системы видеонаблюдения МБУ ДОЛ "Росинка"</v>
      </c>
      <c r="G4695" s="22" t="s">
        <v>100</v>
      </c>
      <c r="H4695" s="22" t="s">
        <v>6656</v>
      </c>
      <c r="I4695" s="26">
        <v>43654.746840277803</v>
      </c>
      <c r="J4695" s="28" t="s">
        <v>52</v>
      </c>
      <c r="K4695" s="28" t="s">
        <v>52</v>
      </c>
      <c r="L4695" s="28" t="s">
        <v>52</v>
      </c>
      <c r="M4695" s="28" t="s">
        <v>52</v>
      </c>
      <c r="N4695" s="28" t="s">
        <v>52</v>
      </c>
    </row>
    <row r="4696" spans="1:14" hidden="1" outlineLevel="1" x14ac:dyDescent="0.2">
      <c r="A4696" s="23" t="str">
        <f>HYPERLINK("https://www.spark-marketing.ru/Card/Person/143441", "МБУ ДОЛ ""РОСИНКА""")</f>
        <v>МБУ ДОЛ "РОСИНКА"</v>
      </c>
      <c r="B4696" s="24" t="s">
        <v>6654</v>
      </c>
      <c r="C4696" s="25">
        <v>918000</v>
      </c>
      <c r="D4696" s="22" t="s">
        <v>6655</v>
      </c>
      <c r="E4696" s="22" t="s">
        <v>52</v>
      </c>
      <c r="F4696" s="23" t="str">
        <f>HYPERLINK("https://www.spark-marketing.ru/Card/Lot/71961331", "Приобретение видеокамер с установкой для системы видеонаблюдения МБУ ДОЛ ""Росинка""")</f>
        <v>Приобретение видеокамер с установкой для системы видеонаблюдения МБУ ДОЛ "Росинка"</v>
      </c>
      <c r="G4696" s="22" t="s">
        <v>100</v>
      </c>
      <c r="H4696" s="22" t="s">
        <v>6656</v>
      </c>
      <c r="I4696" s="26">
        <v>43654.746840277803</v>
      </c>
      <c r="J4696" s="23" t="str">
        <f>HYPERLINK("https://www.spark-marketing.ru/Card/Person/975119", "Буляккулов Марсель Илюсович")</f>
        <v>Буляккулов Марсель Илюсович</v>
      </c>
      <c r="K4696" s="24" t="s">
        <v>6657</v>
      </c>
      <c r="L4696" s="28" t="s">
        <v>52</v>
      </c>
      <c r="M4696" s="25">
        <v>798190</v>
      </c>
      <c r="N4696" s="27">
        <v>0.1305119825708061</v>
      </c>
    </row>
    <row r="4697" spans="1:14" hidden="1" outlineLevel="1" x14ac:dyDescent="0.2">
      <c r="A4697" s="23" t="str">
        <f>HYPERLINK("https://www.spark-marketing.ru/Card/Person/143441", "МБУ ДОЛ ""РОСИНКА""")</f>
        <v>МБУ ДОЛ "РОСИНКА"</v>
      </c>
      <c r="B4697" s="24" t="s">
        <v>6654</v>
      </c>
      <c r="C4697" s="25">
        <v>918000</v>
      </c>
      <c r="D4697" s="22" t="s">
        <v>6655</v>
      </c>
      <c r="E4697" s="22" t="s">
        <v>52</v>
      </c>
      <c r="F4697" s="23" t="str">
        <f>HYPERLINK("https://www.spark-marketing.ru/Card/Lot/71961331", "Приобретение видеокамер с установкой для системы видеонаблюдения МБУ ДОЛ ""Росинка""")</f>
        <v>Приобретение видеокамер с установкой для системы видеонаблюдения МБУ ДОЛ "Росинка"</v>
      </c>
      <c r="G4697" s="22" t="s">
        <v>100</v>
      </c>
      <c r="H4697" s="22" t="s">
        <v>6656</v>
      </c>
      <c r="I4697" s="26">
        <v>43654.746840277803</v>
      </c>
      <c r="J4697" s="23" t="str">
        <f>HYPERLINK("https://www.spark-marketing.ru/Card/Person/802084", "ООО ""ГЕФЕСТ""")</f>
        <v>ООО "ГЕФЕСТ"</v>
      </c>
      <c r="K4697" s="24" t="s">
        <v>3414</v>
      </c>
      <c r="L4697" s="28" t="s">
        <v>52</v>
      </c>
      <c r="M4697" s="25">
        <v>818000</v>
      </c>
      <c r="N4697" s="27">
        <v>0.10893246187363835</v>
      </c>
    </row>
    <row r="4698" spans="1:14" hidden="1" outlineLevel="1" x14ac:dyDescent="0.2">
      <c r="A4698" s="23" t="str">
        <f>HYPERLINK("https://www.spark-marketing.ru/Card/Person/143441", "МБУ ДОЛ ""РОСИНКА""")</f>
        <v>МБУ ДОЛ "РОСИНКА"</v>
      </c>
      <c r="B4698" s="24" t="s">
        <v>6654</v>
      </c>
      <c r="C4698" s="25">
        <v>918000</v>
      </c>
      <c r="D4698" s="22" t="s">
        <v>6655</v>
      </c>
      <c r="E4698" s="22" t="s">
        <v>52</v>
      </c>
      <c r="F4698" s="23" t="str">
        <f>HYPERLINK("https://www.spark-marketing.ru/Card/Lot/71961331", "Приобретение видеокамер с установкой для системы видеонаблюдения МБУ ДОЛ ""Росинка""")</f>
        <v>Приобретение видеокамер с установкой для системы видеонаблюдения МБУ ДОЛ "Росинка"</v>
      </c>
      <c r="G4698" s="22" t="s">
        <v>100</v>
      </c>
      <c r="H4698" s="22" t="s">
        <v>6656</v>
      </c>
      <c r="I4698" s="26">
        <v>43654.746840277803</v>
      </c>
      <c r="J4698" s="23" t="str">
        <f>HYPERLINK("https://www.spark-marketing.ru/Card/Person/484468", "ООО ""АЛГОРИТМ""")</f>
        <v>ООО "АЛГОРИТМ"</v>
      </c>
      <c r="K4698" s="24" t="s">
        <v>6658</v>
      </c>
      <c r="L4698" s="28" t="s">
        <v>52</v>
      </c>
      <c r="M4698" s="25">
        <v>762120</v>
      </c>
      <c r="N4698" s="27">
        <v>0.16980392156862745</v>
      </c>
    </row>
    <row r="4699" spans="1:14" ht="12.75" hidden="1" outlineLevel="1" x14ac:dyDescent="0.2">
      <c r="A4699" s="23" t="str">
        <f>HYPERLINK("https://www.spark-marketing.ru/Card/Person/143441", "МБУ ДОЛ ""РОСИНКА""")</f>
        <v>МБУ ДОЛ "РОСИНКА"</v>
      </c>
      <c r="B4699" s="24" t="s">
        <v>6654</v>
      </c>
      <c r="C4699" s="25">
        <v>918000</v>
      </c>
      <c r="D4699" s="22" t="s">
        <v>6655</v>
      </c>
      <c r="E4699" s="22" t="s">
        <v>52</v>
      </c>
      <c r="F4699" s="23" t="str">
        <f>HYPERLINK("https://www.spark-marketing.ru/Card/Lot/71961331", "Приобретение видеокамер с установкой для системы видеонаблюдения МБУ ДОЛ ""Росинка""")</f>
        <v>Приобретение видеокамер с установкой для системы видеонаблюдения МБУ ДОЛ "Росинка"</v>
      </c>
      <c r="G4699" s="22" t="s">
        <v>100</v>
      </c>
      <c r="H4699" s="22" t="s">
        <v>6656</v>
      </c>
      <c r="I4699" s="26">
        <v>43654.746840277803</v>
      </c>
      <c r="J4699" s="23" t="str">
        <f>HYPERLINK("https://www.spark-marketing.ru/Card/Person/6633903", "ООО ""МАК СИМ""")</f>
        <v>ООО "МАК СИМ"</v>
      </c>
      <c r="K4699" s="24" t="s">
        <v>6659</v>
      </c>
      <c r="L4699" s="22" t="s">
        <v>10</v>
      </c>
      <c r="M4699" s="25">
        <v>757530</v>
      </c>
      <c r="N4699" s="27">
        <v>0.17480392156862745</v>
      </c>
    </row>
    <row r="4700" spans="1:14" x14ac:dyDescent="0.15">
      <c r="A4700" s="23" t="str">
        <f>HYPERLINK("https://www.spark-marketing.ru/Card/Person/1025054", "ГБПОУ МО ""АВИАЦИОННЫЙ ТЕХНИКУМ ИМЕНИ В.А. КАЗАКОВА""")</f>
        <v>ГБПОУ МО "АВИАЦИОННЫЙ ТЕХНИКУМ ИМЕНИ В.А. КАЗАКОВА"</v>
      </c>
      <c r="B4700" s="24" t="s">
        <v>2922</v>
      </c>
      <c r="C4700" s="25">
        <v>192000</v>
      </c>
      <c r="D4700" s="22" t="s">
        <v>6660</v>
      </c>
      <c r="E4700" s="22" t="s">
        <v>59</v>
      </c>
      <c r="F4700" s="23" t="str">
        <f>HYPERLINK("https://www.spark-marketing.ru/Card/Lot/71950550", "Установка охранной сигнализации по адресу Московская обл., г. Жуковский, ул. Кирова, д. 3, корп. 4")</f>
        <v>Установка охранной сигнализации по адресу Московская обл., г. Жуковский, ул. Кирова, д. 3, корп. 4</v>
      </c>
      <c r="G4700" s="22" t="s">
        <v>50</v>
      </c>
      <c r="H4700" s="22" t="s">
        <v>6661</v>
      </c>
      <c r="I4700" s="26">
        <v>43654.711331018501</v>
      </c>
      <c r="J4700" s="28" t="s">
        <v>52</v>
      </c>
      <c r="K4700" s="28" t="s">
        <v>52</v>
      </c>
      <c r="L4700" s="28" t="s">
        <v>52</v>
      </c>
      <c r="M4700" s="28" t="s">
        <v>52</v>
      </c>
      <c r="N4700" s="28" t="s">
        <v>52</v>
      </c>
    </row>
    <row r="4701" spans="1:14" x14ac:dyDescent="0.15">
      <c r="A4701" s="23" t="str">
        <f>HYPERLINK("https://www.spark-marketing.ru/Card/Person/4778177", "ООО ""ТМК ""ЗАЩИТА""")</f>
        <v>ООО "ТМК "ЗАЩИТА"</v>
      </c>
      <c r="B4701" s="24" t="s">
        <v>1106</v>
      </c>
      <c r="C4701" s="25">
        <v>0</v>
      </c>
      <c r="D4701" s="22" t="s">
        <v>6662</v>
      </c>
      <c r="E4701" s="22" t="s">
        <v>53</v>
      </c>
      <c r="F4701" s="23" t="str">
        <f>HYPERLINK("https://www.spark-marketing.ru/Card/Lot/71964313", "Сервер СКУД (4U, размеры 546х430х176 мм, Windows Server 2016 standard 64 bit (OEM), Набор микросхем Intel® C246 для работы 24/7, Intel Core i7-8700, Оперативная память 8GB, DDR4, Контроллер int. 8 SAТА, Жесткий диск (для установки ОС) 1x120Gb, 2x240G...")</f>
        <v>Сервер СКУД (4U, размеры 546х430х176 мм, Windows Server 2016 standard 64 bit (OEM), Набор микросхем Intel® C246 для работы 24/7, Intel Core i7-8700, Оперативная память 8GB, DDR4, Контроллер int. 8 SAТА, Жесткий диск (для установки ОС) 1x120Gb, 2x240G...</v>
      </c>
      <c r="G4701" s="22" t="s">
        <v>204</v>
      </c>
      <c r="H4701" s="22" t="s">
        <v>303</v>
      </c>
      <c r="I4701" s="26">
        <v>43654.683935185203</v>
      </c>
      <c r="J4701" s="28" t="s">
        <v>52</v>
      </c>
      <c r="K4701" s="28" t="s">
        <v>52</v>
      </c>
      <c r="L4701" s="28" t="s">
        <v>52</v>
      </c>
      <c r="M4701" s="28" t="s">
        <v>52</v>
      </c>
      <c r="N4701" s="28" t="s">
        <v>52</v>
      </c>
    </row>
    <row r="4702" spans="1:14" x14ac:dyDescent="0.2">
      <c r="A4702" s="23" t="str">
        <f>HYPERLINK("https://www.spark-marketing.ru/Card/Person/1753508", "АО ""ДАЛЬТРАНСУГОЛЬ""")</f>
        <v>АО "ДАЛЬТРАНСУГОЛЬ"</v>
      </c>
      <c r="B4702" s="24" t="s">
        <v>6663</v>
      </c>
      <c r="C4702" s="25">
        <v>1080000</v>
      </c>
      <c r="D4702" s="22" t="s">
        <v>6664</v>
      </c>
      <c r="E4702" s="22" t="s">
        <v>3344</v>
      </c>
      <c r="F4702" s="23" t="str">
        <f>HYPERLINK("https://www.spark-marketing.ru/Card/Lot/71940205", "Ремонтные работы на объектах: Контейнер охраны (Инв. 00000120), Периметральное ограждение (инв. 8100-800000101811-0000), Постоянные дороги и проезды (инв. 000001969) на территории АО «Дальтрансуголь»")</f>
        <v>Ремонтные работы на объектах: Контейнер охраны (Инв. 00000120), Периметральное ограждение (инв. 8100-800000101811-0000), Постоянные дороги и проезды (инв. 000001969) на территории АО «Дальтрансуголь»</v>
      </c>
      <c r="G4702" s="22" t="s">
        <v>138</v>
      </c>
      <c r="H4702" s="22" t="s">
        <v>138</v>
      </c>
      <c r="I4702" s="26">
        <v>43654.688182870399</v>
      </c>
      <c r="J4702" s="28" t="s">
        <v>52</v>
      </c>
      <c r="K4702" s="28" t="s">
        <v>52</v>
      </c>
      <c r="L4702" s="22" t="s">
        <v>10</v>
      </c>
      <c r="M4702" s="25">
        <v>1080000</v>
      </c>
      <c r="N4702" s="27">
        <v>0</v>
      </c>
    </row>
    <row r="4703" spans="1:14" x14ac:dyDescent="0.15">
      <c r="A4703" s="23" t="str">
        <f>HYPERLINK("https://www.spark-marketing.ru/Card/Person/28664", "ГБУЗ СО ""ВЕРХНЕСАЛДИНСКАЯ ЦГБ""")</f>
        <v>ГБУЗ СО "ВЕРХНЕСАЛДИНСКАЯ ЦГБ"</v>
      </c>
      <c r="B4703" s="24" t="s">
        <v>6665</v>
      </c>
      <c r="C4703" s="25">
        <v>363049.98</v>
      </c>
      <c r="D4703" s="22" t="s">
        <v>6666</v>
      </c>
      <c r="E4703" s="22" t="s">
        <v>107</v>
      </c>
      <c r="F4703" s="23" t="str">
        <f>HYPERLINK("https://www.spark-marketing.ru/Card/Lot/71963444", "оказание услуг по техническому обслуживанию сигнализации и систем видеонаблюдения")</f>
        <v>оказание услуг по техническому обслуживанию сигнализации и систем видеонаблюдения</v>
      </c>
      <c r="G4703" s="22" t="s">
        <v>72</v>
      </c>
      <c r="H4703" s="22" t="s">
        <v>6667</v>
      </c>
      <c r="I4703" s="26">
        <v>43654.702013888898</v>
      </c>
      <c r="J4703" s="28" t="s">
        <v>52</v>
      </c>
      <c r="K4703" s="28" t="s">
        <v>52</v>
      </c>
      <c r="L4703" s="28" t="s">
        <v>52</v>
      </c>
      <c r="M4703" s="28" t="s">
        <v>52</v>
      </c>
      <c r="N4703" s="28" t="s">
        <v>52</v>
      </c>
    </row>
    <row r="4704" spans="1:14" ht="12.75" hidden="1" outlineLevel="1" x14ac:dyDescent="0.2">
      <c r="A4704" s="23" t="str">
        <f>HYPERLINK("https://www.spark-marketing.ru/Card/Person/28664", "ГБУЗ СО ""ВЕРХНЕСАЛДИНСКАЯ ЦГБ""")</f>
        <v>ГБУЗ СО "ВЕРХНЕСАЛДИНСКАЯ ЦГБ"</v>
      </c>
      <c r="B4704" s="24" t="s">
        <v>6665</v>
      </c>
      <c r="C4704" s="25">
        <v>363049.98</v>
      </c>
      <c r="D4704" s="22" t="s">
        <v>6666</v>
      </c>
      <c r="E4704" s="22" t="s">
        <v>107</v>
      </c>
      <c r="F4704" s="23" t="str">
        <f>HYPERLINK("https://www.spark-marketing.ru/Card/Lot/71963444", "оказание услуг по техническому обслуживанию сигнализации и систем видеонаблюдения")</f>
        <v>оказание услуг по техническому обслуживанию сигнализации и систем видеонаблюдения</v>
      </c>
      <c r="G4704" s="22" t="s">
        <v>72</v>
      </c>
      <c r="H4704" s="22" t="s">
        <v>6667</v>
      </c>
      <c r="I4704" s="26">
        <v>43654.702013888898</v>
      </c>
      <c r="J4704" s="23" t="str">
        <f>HYPERLINK("https://www.spark-marketing.ru/Card/Person/797349", "ООО ""ПОЖЗАЩИТА-НТ""")</f>
        <v>ООО "ПОЖЗАЩИТА-НТ"</v>
      </c>
      <c r="K4704" s="24" t="s">
        <v>3826</v>
      </c>
      <c r="L4704" s="22" t="s">
        <v>10</v>
      </c>
      <c r="M4704" s="25">
        <v>295885.73</v>
      </c>
      <c r="N4704" s="27">
        <v>0.18500001019143425</v>
      </c>
    </row>
    <row r="4705" spans="1:14" hidden="1" outlineLevel="1" x14ac:dyDescent="0.2">
      <c r="A4705" s="23" t="str">
        <f>HYPERLINK("https://www.spark-marketing.ru/Card/Person/28664", "ГБУЗ СО ""ВЕРХНЕСАЛДИНСКАЯ ЦГБ""")</f>
        <v>ГБУЗ СО "ВЕРХНЕСАЛДИНСКАЯ ЦГБ"</v>
      </c>
      <c r="B4705" s="24" t="s">
        <v>6665</v>
      </c>
      <c r="C4705" s="25">
        <v>363049.98</v>
      </c>
      <c r="D4705" s="22" t="s">
        <v>6666</v>
      </c>
      <c r="E4705" s="22" t="s">
        <v>107</v>
      </c>
      <c r="F4705" s="23" t="str">
        <f>HYPERLINK("https://www.spark-marketing.ru/Card/Lot/71963444", "оказание услуг по техническому обслуживанию сигнализации и систем видеонаблюдения")</f>
        <v>оказание услуг по техническому обслуживанию сигнализации и систем видеонаблюдения</v>
      </c>
      <c r="G4705" s="22" t="s">
        <v>72</v>
      </c>
      <c r="H4705" s="22" t="s">
        <v>6667</v>
      </c>
      <c r="I4705" s="26">
        <v>43654.702013888898</v>
      </c>
      <c r="J4705" s="23" t="str">
        <f>HYPERLINK("https://www.spark-marketing.ru/Card/Person/557236", "ООО ""ГРАНИТ-Т""")</f>
        <v>ООО "ГРАНИТ-Т"</v>
      </c>
      <c r="K4705" s="24" t="s">
        <v>6668</v>
      </c>
      <c r="L4705" s="28" t="s">
        <v>52</v>
      </c>
      <c r="M4705" s="25">
        <v>297700.98</v>
      </c>
      <c r="N4705" s="27">
        <v>0.18000000991599008</v>
      </c>
    </row>
    <row r="4706" spans="1:14" x14ac:dyDescent="0.15">
      <c r="A4706" s="23" t="str">
        <f>HYPERLINK("https://www.spark-marketing.ru/Card/Person/1051755", "МАОУ СОШ № 20")</f>
        <v>МАОУ СОШ № 20</v>
      </c>
      <c r="B4706" s="24" t="s">
        <v>6669</v>
      </c>
      <c r="C4706" s="25">
        <v>465662.4</v>
      </c>
      <c r="D4706" s="22" t="s">
        <v>6670</v>
      </c>
      <c r="E4706" s="22" t="s">
        <v>79</v>
      </c>
      <c r="F4706" s="23" t="str">
        <f>HYPERLINK("https://www.spark-marketing.ru/Card/Lot/71963121", "Монтаж системы видеонаблюдения и системы контроля и управления доступом.")</f>
        <v>Монтаж системы видеонаблюдения и системы контроля и управления доступом.</v>
      </c>
      <c r="G4706" s="22" t="s">
        <v>72</v>
      </c>
      <c r="H4706" s="22" t="s">
        <v>2918</v>
      </c>
      <c r="I4706" s="26">
        <v>43654.643807870401</v>
      </c>
      <c r="J4706" s="23" t="str">
        <f>HYPERLINK("https://www.spark-marketing.ru/Card/Person/802084", "ООО ""ГЕФЕСТ""")</f>
        <v>ООО "ГЕФЕСТ"</v>
      </c>
      <c r="K4706" s="24" t="s">
        <v>3414</v>
      </c>
      <c r="L4706" s="28" t="s">
        <v>52</v>
      </c>
      <c r="M4706" s="28" t="s">
        <v>52</v>
      </c>
      <c r="N4706" s="28" t="s">
        <v>52</v>
      </c>
    </row>
    <row r="4707" spans="1:14" ht="12.75" hidden="1" outlineLevel="1" x14ac:dyDescent="0.2">
      <c r="A4707" s="23" t="str">
        <f>HYPERLINK("https://www.spark-marketing.ru/Card/Person/1051755", "МАОУ СОШ № 20")</f>
        <v>МАОУ СОШ № 20</v>
      </c>
      <c r="B4707" s="24" t="s">
        <v>6669</v>
      </c>
      <c r="C4707" s="25">
        <v>465662.4</v>
      </c>
      <c r="D4707" s="22" t="s">
        <v>6670</v>
      </c>
      <c r="E4707" s="22" t="s">
        <v>79</v>
      </c>
      <c r="F4707" s="23" t="str">
        <f>HYPERLINK("https://www.spark-marketing.ru/Card/Lot/71963121", "Монтаж системы видеонаблюдения и системы контроля и управления доступом.")</f>
        <v>Монтаж системы видеонаблюдения и системы контроля и управления доступом.</v>
      </c>
      <c r="G4707" s="22" t="s">
        <v>72</v>
      </c>
      <c r="H4707" s="22" t="s">
        <v>2918</v>
      </c>
      <c r="I4707" s="26">
        <v>43654.643807870401</v>
      </c>
      <c r="J4707" s="23" t="str">
        <f>HYPERLINK("https://www.spark-marketing.ru/Card/Person/802084", "ООО ""ГЕФЕСТ""")</f>
        <v>ООО "ГЕФЕСТ"</v>
      </c>
      <c r="K4707" s="24" t="s">
        <v>3414</v>
      </c>
      <c r="L4707" s="22" t="s">
        <v>10</v>
      </c>
      <c r="M4707" s="25">
        <v>463333.4</v>
      </c>
      <c r="N4707" s="27">
        <v>5.0014774652194383E-3</v>
      </c>
    </row>
    <row r="4708" spans="1:14" x14ac:dyDescent="0.15">
      <c r="A4708" s="23" t="str">
        <f>HYPERLINK("https://www.spark-marketing.ru/Card/Person/7441", "ГБУ ""АВТОМОБИЛЬНЫЕ ДОРОГИ""")</f>
        <v>ГБУ "АВТОМОБИЛЬНЫЕ ДОРОГИ"</v>
      </c>
      <c r="B4708" s="24" t="s">
        <v>5064</v>
      </c>
      <c r="C4708" s="25">
        <v>997548.42</v>
      </c>
      <c r="D4708" s="22" t="s">
        <v>6671</v>
      </c>
      <c r="E4708" s="22" t="s">
        <v>370</v>
      </c>
      <c r="F4708" s="23" t="str">
        <f>HYPERLINK("https://www.spark-marketing.ru/Card/Lot/71949005", "Запрос предложений в электронной форме на право заключения контракта на оказание услуг по комплексному эксплуатационно-техническому обслуживанию систем периметральной охранной сигнализации и охранной сигнализации")</f>
        <v>Запрос предложений в электронной форме на право заключения контракта на оказание услуг по комплексному эксплуатационно-техническому обслуживанию систем периметральной охранной сигнализации и охранной сигнализации</v>
      </c>
      <c r="G4708" s="22" t="s">
        <v>55</v>
      </c>
      <c r="H4708" s="22" t="s">
        <v>55</v>
      </c>
      <c r="I4708" s="26">
        <v>43654.637696759302</v>
      </c>
      <c r="J4708" s="28" t="s">
        <v>52</v>
      </c>
      <c r="K4708" s="28" t="s">
        <v>52</v>
      </c>
      <c r="L4708" s="28" t="s">
        <v>52</v>
      </c>
      <c r="M4708" s="28" t="s">
        <v>52</v>
      </c>
      <c r="N4708" s="28" t="s">
        <v>52</v>
      </c>
    </row>
    <row r="4709" spans="1:14" x14ac:dyDescent="0.15">
      <c r="A4709" s="23" t="str">
        <f t="shared" ref="A4709:A4714" si="211">HYPERLINK("https://www.spark-marketing.ru/Card/Person/9918", "БУЗОО ""ТЦМК""")</f>
        <v>БУЗОО "ТЦМК"</v>
      </c>
      <c r="B4709" s="24" t="s">
        <v>2180</v>
      </c>
      <c r="C4709" s="25">
        <v>178124.88</v>
      </c>
      <c r="D4709" s="22" t="s">
        <v>6672</v>
      </c>
      <c r="E4709" s="22" t="s">
        <v>52</v>
      </c>
      <c r="F4709" s="23" t="str">
        <f t="shared" ref="F4709:F4714" si="212">HYPERLINK("https://www.spark-marketing.ru/Card/Lot/71957694", "Услуги частных охранных служб")</f>
        <v>Услуги частных охранных служб</v>
      </c>
      <c r="G4709" s="22" t="s">
        <v>521</v>
      </c>
      <c r="H4709" s="22" t="s">
        <v>522</v>
      </c>
      <c r="I4709" s="26">
        <v>43654.6652777778</v>
      </c>
      <c r="J4709" s="28" t="s">
        <v>52</v>
      </c>
      <c r="K4709" s="28" t="s">
        <v>52</v>
      </c>
      <c r="L4709" s="28" t="s">
        <v>52</v>
      </c>
      <c r="M4709" s="28" t="s">
        <v>52</v>
      </c>
      <c r="N4709" s="28" t="s">
        <v>52</v>
      </c>
    </row>
    <row r="4710" spans="1:14" hidden="1" outlineLevel="1" x14ac:dyDescent="0.2">
      <c r="A4710" s="23" t="str">
        <f t="shared" si="211"/>
        <v>БУЗОО "ТЦМК"</v>
      </c>
      <c r="B4710" s="24" t="s">
        <v>2180</v>
      </c>
      <c r="C4710" s="25">
        <v>178124.88</v>
      </c>
      <c r="D4710" s="22" t="s">
        <v>6672</v>
      </c>
      <c r="E4710" s="22" t="s">
        <v>52</v>
      </c>
      <c r="F4710" s="23" t="str">
        <f t="shared" si="212"/>
        <v>Услуги частных охранных служб</v>
      </c>
      <c r="G4710" s="22" t="s">
        <v>521</v>
      </c>
      <c r="H4710" s="22" t="s">
        <v>522</v>
      </c>
      <c r="I4710" s="26">
        <v>43654.6652777778</v>
      </c>
      <c r="J4710" s="23" t="str">
        <f>HYPERLINK("https://www.spark-marketing.ru/Card/Person/55519", "ООО ЧОП ""ЗЕНИТ-М""")</f>
        <v>ООО ЧОП "ЗЕНИТ-М"</v>
      </c>
      <c r="K4710" s="24" t="s">
        <v>6673</v>
      </c>
      <c r="L4710" s="28" t="s">
        <v>52</v>
      </c>
      <c r="M4710" s="25">
        <v>175452.99</v>
      </c>
      <c r="N4710" s="27">
        <v>1.5000094315853012E-2</v>
      </c>
    </row>
    <row r="4711" spans="1:14" hidden="1" outlineLevel="1" x14ac:dyDescent="0.2">
      <c r="A4711" s="23" t="str">
        <f t="shared" si="211"/>
        <v>БУЗОО "ТЦМК"</v>
      </c>
      <c r="B4711" s="24" t="s">
        <v>2180</v>
      </c>
      <c r="C4711" s="25">
        <v>178124.88</v>
      </c>
      <c r="D4711" s="22" t="s">
        <v>6672</v>
      </c>
      <c r="E4711" s="22" t="s">
        <v>52</v>
      </c>
      <c r="F4711" s="23" t="str">
        <f t="shared" si="212"/>
        <v>Услуги частных охранных служб</v>
      </c>
      <c r="G4711" s="22" t="s">
        <v>521</v>
      </c>
      <c r="H4711" s="22" t="s">
        <v>522</v>
      </c>
      <c r="I4711" s="26">
        <v>43654.6652777778</v>
      </c>
      <c r="J4711" s="23" t="str">
        <f>HYPERLINK("https://www.spark-marketing.ru/Card/Person/115222", "ООО ЧОП ""КРИСТАЛЛ""")</f>
        <v>ООО ЧОП "КРИСТАЛЛ"</v>
      </c>
      <c r="K4711" s="24" t="s">
        <v>6674</v>
      </c>
      <c r="L4711" s="28" t="s">
        <v>52</v>
      </c>
      <c r="M4711" s="25">
        <v>110780</v>
      </c>
      <c r="N4711" s="27">
        <v>0.37807677400259865</v>
      </c>
    </row>
    <row r="4712" spans="1:14" hidden="1" outlineLevel="1" x14ac:dyDescent="0.2">
      <c r="A4712" s="23" t="str">
        <f t="shared" si="211"/>
        <v>БУЗОО "ТЦМК"</v>
      </c>
      <c r="B4712" s="24" t="s">
        <v>2180</v>
      </c>
      <c r="C4712" s="25">
        <v>178124.88</v>
      </c>
      <c r="D4712" s="22" t="s">
        <v>6672</v>
      </c>
      <c r="E4712" s="22" t="s">
        <v>52</v>
      </c>
      <c r="F4712" s="23" t="str">
        <f t="shared" si="212"/>
        <v>Услуги частных охранных служб</v>
      </c>
      <c r="G4712" s="22" t="s">
        <v>521</v>
      </c>
      <c r="H4712" s="22" t="s">
        <v>522</v>
      </c>
      <c r="I4712" s="26">
        <v>43654.6652777778</v>
      </c>
      <c r="J4712" s="23" t="str">
        <f>HYPERLINK("https://www.spark-marketing.ru/Card/Person/4485266", "ООО ЧОО ""СВОИ""")</f>
        <v>ООО ЧОО "СВОИ"</v>
      </c>
      <c r="K4712" s="24" t="s">
        <v>6675</v>
      </c>
      <c r="L4712" s="28" t="s">
        <v>52</v>
      </c>
      <c r="M4712" s="25">
        <v>89405.66</v>
      </c>
      <c r="N4712" s="27">
        <v>0.49807314957910426</v>
      </c>
    </row>
    <row r="4713" spans="1:14" ht="12.75" hidden="1" outlineLevel="1" x14ac:dyDescent="0.2">
      <c r="A4713" s="23" t="str">
        <f t="shared" si="211"/>
        <v>БУЗОО "ТЦМК"</v>
      </c>
      <c r="B4713" s="24" t="s">
        <v>2180</v>
      </c>
      <c r="C4713" s="25">
        <v>178124.88</v>
      </c>
      <c r="D4713" s="22" t="s">
        <v>6672</v>
      </c>
      <c r="E4713" s="22" t="s">
        <v>52</v>
      </c>
      <c r="F4713" s="23" t="str">
        <f t="shared" si="212"/>
        <v>Услуги частных охранных служб</v>
      </c>
      <c r="G4713" s="22" t="s">
        <v>521</v>
      </c>
      <c r="H4713" s="22" t="s">
        <v>522</v>
      </c>
      <c r="I4713" s="26">
        <v>43654.6652777778</v>
      </c>
      <c r="J4713" s="23" t="str">
        <f>HYPERLINK("https://www.spark-marketing.ru/Card/Person/1710392", "ООО ""ЧОП ""УСО""")</f>
        <v>ООО "ЧОП "УСО"</v>
      </c>
      <c r="K4713" s="24" t="s">
        <v>2182</v>
      </c>
      <c r="L4713" s="22" t="s">
        <v>10</v>
      </c>
      <c r="M4713" s="25">
        <v>88515.03</v>
      </c>
      <c r="N4713" s="27">
        <v>0.50307318101772192</v>
      </c>
    </row>
    <row r="4714" spans="1:14" hidden="1" outlineLevel="1" x14ac:dyDescent="0.2">
      <c r="A4714" s="23" t="str">
        <f t="shared" si="211"/>
        <v>БУЗОО "ТЦМК"</v>
      </c>
      <c r="B4714" s="24" t="s">
        <v>2180</v>
      </c>
      <c r="C4714" s="25">
        <v>178124.88</v>
      </c>
      <c r="D4714" s="22" t="s">
        <v>6672</v>
      </c>
      <c r="E4714" s="22" t="s">
        <v>52</v>
      </c>
      <c r="F4714" s="23" t="str">
        <f t="shared" si="212"/>
        <v>Услуги частных охранных служб</v>
      </c>
      <c r="G4714" s="22" t="s">
        <v>521</v>
      </c>
      <c r="H4714" s="22" t="s">
        <v>522</v>
      </c>
      <c r="I4714" s="26">
        <v>43654.6652777778</v>
      </c>
      <c r="J4714" s="23" t="str">
        <f>HYPERLINK("https://www.spark-marketing.ru/Card/Person/87686", "ООО ОА ""ПЕРЕСВЕТ""")</f>
        <v>ООО ОА "ПЕРЕСВЕТ"</v>
      </c>
      <c r="K4714" s="24" t="s">
        <v>2992</v>
      </c>
      <c r="L4714" s="28" t="s">
        <v>52</v>
      </c>
      <c r="M4714" s="25">
        <v>110780.78</v>
      </c>
      <c r="N4714" s="27">
        <v>0.37807239505228019</v>
      </c>
    </row>
    <row r="4715" spans="1:14" x14ac:dyDescent="0.15">
      <c r="A4715" s="23" t="str">
        <f>HYPERLINK("https://www.spark-marketing.ru/Card/Person/6464427", "МКУК ""ОСТАШЕВСКИЙ КДЦ""")</f>
        <v>МКУК "ОСТАШЕВСКИЙ КДЦ"</v>
      </c>
      <c r="B4715" s="24" t="s">
        <v>6676</v>
      </c>
      <c r="C4715" s="25">
        <v>99500</v>
      </c>
      <c r="D4715" s="22" t="s">
        <v>6677</v>
      </c>
      <c r="E4715" s="22" t="s">
        <v>59</v>
      </c>
      <c r="F4715" s="23" t="str">
        <f>HYPERLINK("https://www.spark-marketing.ru/Card/Lot/71946866", "Выполнение работы на доустановку в беспроводной охранной сигнализации")</f>
        <v>Выполнение работы на доустановку в беспроводной охранной сигнализации</v>
      </c>
      <c r="G4715" s="22" t="s">
        <v>50</v>
      </c>
      <c r="H4715" s="22" t="s">
        <v>2382</v>
      </c>
      <c r="I4715" s="26">
        <v>43654.608553240701</v>
      </c>
      <c r="J4715" s="28" t="s">
        <v>52</v>
      </c>
      <c r="K4715" s="28" t="s">
        <v>52</v>
      </c>
      <c r="L4715" s="28" t="s">
        <v>52</v>
      </c>
      <c r="M4715" s="28" t="s">
        <v>52</v>
      </c>
      <c r="N4715" s="28" t="s">
        <v>52</v>
      </c>
    </row>
    <row r="4716" spans="1:14" x14ac:dyDescent="0.15">
      <c r="A4716" s="23" t="str">
        <f>HYPERLINK("https://www.spark-marketing.ru/Card/Person/4389657", "ФГУП «КЖД»")</f>
        <v>ФГУП «КЖД»</v>
      </c>
      <c r="B4716" s="24" t="s">
        <v>1313</v>
      </c>
      <c r="C4716" s="25">
        <v>10189803.689999999</v>
      </c>
      <c r="D4716" s="22" t="s">
        <v>6678</v>
      </c>
      <c r="E4716" s="22" t="s">
        <v>491</v>
      </c>
      <c r="F4716" s="23" t="str">
        <f>HYPERLINK("https://www.spark-marketing.ru/Card/Lot/71961674", "Оказание  услуг по авторскому надзору за разработкой рабочей документации и выполнением строительно-монтажных работ в рамках реализации инвестиционного проекта «Технические средства обеспечения транспортной безопасности при строительстве железнодорож...")</f>
        <v>Оказание  услуг по авторскому надзору за разработкой рабочей документации и выполнением строительно-монтажных работ в рамках реализации инвестиционного проекта «Технические средства обеспечения транспортной безопасности при строительстве железнодорож...</v>
      </c>
      <c r="G4716" s="22" t="s">
        <v>1053</v>
      </c>
      <c r="H4716" s="22" t="s">
        <v>1053</v>
      </c>
      <c r="I4716" s="26">
        <v>43654.613831018498</v>
      </c>
      <c r="J4716" s="28" t="s">
        <v>52</v>
      </c>
      <c r="K4716" s="28" t="s">
        <v>52</v>
      </c>
      <c r="L4716" s="28" t="s">
        <v>52</v>
      </c>
      <c r="M4716" s="28" t="s">
        <v>52</v>
      </c>
      <c r="N4716" s="28" t="s">
        <v>52</v>
      </c>
    </row>
    <row r="4717" spans="1:14" x14ac:dyDescent="0.15">
      <c r="A4717" s="23" t="str">
        <f>HYPERLINK("https://www.spark-marketing.ru/Card/Person/735251", "УПРАВЛЕНИЕ МИНИСТЕРСТВА ЮСТИЦИИ РОССИЙСКОЙ ФЕДЕРАЦИИ ПО РЕСПУБЛИКЕ ДАГЕСТАН")</f>
        <v>УПРАВЛЕНИЕ МИНИСТЕРСТВА ЮСТИЦИИ РОССИЙСКОЙ ФЕДЕРАЦИИ ПО РЕСПУБЛИКЕ ДАГЕСТАН</v>
      </c>
      <c r="B4717" s="24" t="s">
        <v>5080</v>
      </c>
      <c r="C4717" s="25">
        <v>1670906.8799999999</v>
      </c>
      <c r="D4717" s="22" t="s">
        <v>6679</v>
      </c>
      <c r="E4717" s="22" t="s">
        <v>68</v>
      </c>
      <c r="F4717" s="23" t="str">
        <f>HYPERLINK("https://www.spark-marketing.ru/Card/Lot/71958492", "Услуги охраны")</f>
        <v>Услуги охраны</v>
      </c>
      <c r="G4717" s="22" t="s">
        <v>595</v>
      </c>
      <c r="H4717" s="22" t="s">
        <v>3766</v>
      </c>
      <c r="I4717" s="26">
        <v>43654.605520833298</v>
      </c>
      <c r="J4717" s="23" t="str">
        <f>HYPERLINK("https://www.spark-marketing.ru/Card/Person/6441119", "ООО ""БРАТЕЕВО""")</f>
        <v>ООО "БРАТЕЕВО"</v>
      </c>
      <c r="K4717" s="24" t="s">
        <v>6680</v>
      </c>
      <c r="L4717" s="28" t="s">
        <v>52</v>
      </c>
      <c r="M4717" s="28" t="s">
        <v>52</v>
      </c>
      <c r="N4717" s="28" t="s">
        <v>52</v>
      </c>
    </row>
    <row r="4718" spans="1:14" hidden="1" outlineLevel="1" x14ac:dyDescent="0.2">
      <c r="A4718" s="23" t="str">
        <f>HYPERLINK("https://www.spark-marketing.ru/Card/Person/735251", "УПРАВЛЕНИЕ МИНИСТЕРСТВА ЮСТИЦИИ РОССИЙСКОЙ ФЕДЕРАЦИИ ПО РЕСПУБЛИКЕ ДАГЕСТАН")</f>
        <v>УПРАВЛЕНИЕ МИНИСТЕРСТВА ЮСТИЦИИ РОССИЙСКОЙ ФЕДЕРАЦИИ ПО РЕСПУБЛИКЕ ДАГЕСТАН</v>
      </c>
      <c r="B4718" s="24" t="s">
        <v>5080</v>
      </c>
      <c r="C4718" s="25">
        <v>1670906.8799999999</v>
      </c>
      <c r="D4718" s="22" t="s">
        <v>6679</v>
      </c>
      <c r="E4718" s="22" t="s">
        <v>68</v>
      </c>
      <c r="F4718" s="23" t="str">
        <f>HYPERLINK("https://www.spark-marketing.ru/Card/Lot/71958492", "Услуги охраны")</f>
        <v>Услуги охраны</v>
      </c>
      <c r="G4718" s="22" t="s">
        <v>595</v>
      </c>
      <c r="H4718" s="22" t="s">
        <v>3766</v>
      </c>
      <c r="I4718" s="26">
        <v>43654.605520833298</v>
      </c>
      <c r="J4718" s="23" t="str">
        <f>HYPERLINK("https://www.spark-marketing.ru/Card/Person/6441119", "ООО ""БРАТЕЕВО""")</f>
        <v>ООО "БРАТЕЕВО"</v>
      </c>
      <c r="K4718" s="24" t="s">
        <v>6680</v>
      </c>
      <c r="L4718" s="28" t="s">
        <v>52</v>
      </c>
      <c r="M4718" s="25">
        <v>1662552.35</v>
      </c>
      <c r="N4718" s="27">
        <v>4.9999973666994537E-3</v>
      </c>
    </row>
    <row r="4719" spans="1:14" x14ac:dyDescent="0.15">
      <c r="A4719" s="23" t="str">
        <f>HYPERLINK("https://www.spark-marketing.ru/Card/Person/19353", "ГАУСО ""НОВО-ЧУРИЛИНСКИЙ ПСИХОНЕВРОЛОГИЧЕСКИЙ ИНТЕРНАТ"" МТЗ И СЗ РТ")</f>
        <v>ГАУСО "НОВО-ЧУРИЛИНСКИЙ ПСИХОНЕВРОЛОГИЧЕСКИЙ ИНТЕРНАТ" МТЗ И СЗ РТ</v>
      </c>
      <c r="B4719" s="24" t="s">
        <v>6681</v>
      </c>
      <c r="C4719" s="25">
        <v>297326</v>
      </c>
      <c r="D4719" s="22" t="s">
        <v>6682</v>
      </c>
      <c r="E4719" s="22" t="s">
        <v>84</v>
      </c>
      <c r="F4719" s="23" t="str">
        <f>HYPERLINK("https://www.spark-marketing.ru/Card/Lot/71961833", "Выполнение работ на установку и монтаж системы видеонаблюдения с удаленным доступом")</f>
        <v>Выполнение работ на установку и монтаж системы видеонаблюдения с удаленным доступом</v>
      </c>
      <c r="G4719" s="22" t="s">
        <v>204</v>
      </c>
      <c r="H4719" s="22" t="s">
        <v>6683</v>
      </c>
      <c r="I4719" s="26">
        <v>43654.6069444444</v>
      </c>
      <c r="J4719" s="28" t="s">
        <v>52</v>
      </c>
      <c r="K4719" s="28" t="s">
        <v>52</v>
      </c>
      <c r="L4719" s="28" t="s">
        <v>52</v>
      </c>
      <c r="M4719" s="28" t="s">
        <v>52</v>
      </c>
      <c r="N4719" s="28" t="s">
        <v>52</v>
      </c>
    </row>
    <row r="4720" spans="1:14" x14ac:dyDescent="0.15">
      <c r="A4720" s="23" t="str">
        <f>HYPERLINK("https://www.spark-marketing.ru/Card/Person/83858", "МДОУ ДЕТСКИЙ САД КОМБИНИРОВАННОГО ВИДА №29 ""ВОЛШЕБНАЯ СКАЗКА""")</f>
        <v>МДОУ ДЕТСКИЙ САД КОМБИНИРОВАННОГО ВИДА №29 "ВОЛШЕБНАЯ СКАЗКА"</v>
      </c>
      <c r="B4720" s="24" t="s">
        <v>6684</v>
      </c>
      <c r="C4720" s="25">
        <v>6500</v>
      </c>
      <c r="D4720" s="22" t="s">
        <v>6685</v>
      </c>
      <c r="E4720" s="22" t="s">
        <v>294</v>
      </c>
      <c r="F4720" s="23" t="str">
        <f>HYPERLINK("https://www.spark-marketing.ru/Card/Lot/71946862", "Услуги по техническому обслуживанию видеодомофона")</f>
        <v>Услуги по техническому обслуживанию видеодомофона</v>
      </c>
      <c r="G4720" s="22" t="s">
        <v>50</v>
      </c>
      <c r="H4720" s="22" t="s">
        <v>2463</v>
      </c>
      <c r="I4720" s="26">
        <v>43654.608217592599</v>
      </c>
      <c r="J4720" s="28" t="s">
        <v>52</v>
      </c>
      <c r="K4720" s="28" t="s">
        <v>52</v>
      </c>
      <c r="L4720" s="28" t="s">
        <v>52</v>
      </c>
      <c r="M4720" s="28" t="s">
        <v>52</v>
      </c>
      <c r="N4720" s="28" t="s">
        <v>52</v>
      </c>
    </row>
    <row r="4721" spans="1:14" x14ac:dyDescent="0.15">
      <c r="A4721" s="23" t="str">
        <f>HYPERLINK("https://www.spark-marketing.ru/Card/Person/20635", "ФГБУ ""ФКП РОСРЕЕСТРА""")</f>
        <v>ФГБУ "ФКП РОСРЕЕСТРА"</v>
      </c>
      <c r="B4721" s="24" t="s">
        <v>6686</v>
      </c>
      <c r="C4721" s="25">
        <v>174333.3</v>
      </c>
      <c r="D4721" s="22" t="s">
        <v>6687</v>
      </c>
      <c r="E4721" s="22" t="s">
        <v>52</v>
      </c>
      <c r="F4721" s="23" t="str">
        <f>HYPERLINK("https://www.spark-marketing.ru/Card/Lot/71957783", "Оказание услуг по охране административного здания для нужд филиала ФГБУ ""ФКП Росреестра"" по Липецкой области")</f>
        <v>Оказание услуг по охране административного здания для нужд филиала ФГБУ "ФКП Росреестра" по Липецкой области</v>
      </c>
      <c r="G4721" s="22" t="s">
        <v>629</v>
      </c>
      <c r="H4721" s="22" t="s">
        <v>629</v>
      </c>
      <c r="I4721" s="26">
        <v>43654.6069444444</v>
      </c>
      <c r="J4721" s="23" t="str">
        <f>HYPERLINK("https://www.spark-marketing.ru/Card/Person/4536377", "ФИЛИАЛ ФГУП ""ОХРАНА"" РОСГВАРДИИ")</f>
        <v>ФИЛИАЛ ФГУП "ОХРАНА" РОСГВАРДИИ</v>
      </c>
      <c r="K4721" s="24" t="s">
        <v>779</v>
      </c>
      <c r="L4721" s="28" t="s">
        <v>52</v>
      </c>
      <c r="M4721" s="28" t="s">
        <v>52</v>
      </c>
      <c r="N4721" s="28" t="s">
        <v>52</v>
      </c>
    </row>
    <row r="4722" spans="1:14" ht="12.75" hidden="1" outlineLevel="1" x14ac:dyDescent="0.2">
      <c r="A4722" s="23" t="str">
        <f>HYPERLINK("https://www.spark-marketing.ru/Card/Person/20635", "ФГБУ ""ФКП РОСРЕЕСТРА""")</f>
        <v>ФГБУ "ФКП РОСРЕЕСТРА"</v>
      </c>
      <c r="B4722" s="24" t="s">
        <v>6686</v>
      </c>
      <c r="C4722" s="25">
        <v>174333.3</v>
      </c>
      <c r="D4722" s="22" t="s">
        <v>6687</v>
      </c>
      <c r="E4722" s="22" t="s">
        <v>52</v>
      </c>
      <c r="F4722" s="23" t="str">
        <f>HYPERLINK("https://www.spark-marketing.ru/Card/Lot/71957783", "Оказание услуг по охране административного здания для нужд филиала ФГБУ ""ФКП Росреестра"" по Липецкой области")</f>
        <v>Оказание услуг по охране административного здания для нужд филиала ФГБУ "ФКП Росреестра" по Липецкой области</v>
      </c>
      <c r="G4722" s="22" t="s">
        <v>629</v>
      </c>
      <c r="H4722" s="22" t="s">
        <v>629</v>
      </c>
      <c r="I4722" s="26">
        <v>43654.6069444444</v>
      </c>
      <c r="J4722" s="23" t="str">
        <f>HYPERLINK("https://www.spark-marketing.ru/Card/Person/4536377", "ФИЛИАЛ ФГУП ""ОХРАНА"" РОСГВАРДИИ")</f>
        <v>ФИЛИАЛ ФГУП "ОХРАНА" РОСГВАРДИИ</v>
      </c>
      <c r="K4722" s="24" t="s">
        <v>779</v>
      </c>
      <c r="L4722" s="22" t="s">
        <v>10</v>
      </c>
      <c r="M4722" s="25">
        <v>173461.63</v>
      </c>
      <c r="N4722" s="27">
        <v>5.0000200764856746E-3</v>
      </c>
    </row>
    <row r="4723" spans="1:14" x14ac:dyDescent="0.2">
      <c r="A4723" s="23" t="str">
        <f>HYPERLINK("https://www.spark-marketing.ru/Card/Person/1760516", "МАУ ""СШ ИМЕНИ АЛЕКСАНДРА КОЗИЦЫНА""")</f>
        <v>МАУ "СШ ИМЕНИ АЛЕКСАНДРА КОЗИЦЫНА"</v>
      </c>
      <c r="B4723" s="24" t="s">
        <v>6688</v>
      </c>
      <c r="C4723" s="25">
        <v>400000</v>
      </c>
      <c r="D4723" s="22" t="s">
        <v>6689</v>
      </c>
      <c r="E4723" s="22" t="s">
        <v>533</v>
      </c>
      <c r="F4723" s="23" t="str">
        <f>HYPERLINK("https://www.spark-marketing.ru/Card/Lot/71944064", "Оборудование для установки системы видеонаблюдения")</f>
        <v>Оборудование для установки системы видеонаблюдения</v>
      </c>
      <c r="G4723" s="22" t="s">
        <v>72</v>
      </c>
      <c r="H4723" s="22" t="s">
        <v>72</v>
      </c>
      <c r="I4723" s="26">
        <v>43654.575775463003</v>
      </c>
      <c r="J4723" s="28" t="s">
        <v>52</v>
      </c>
      <c r="K4723" s="28" t="s">
        <v>52</v>
      </c>
      <c r="L4723" s="22" t="s">
        <v>10</v>
      </c>
      <c r="M4723" s="25">
        <v>400000</v>
      </c>
      <c r="N4723" s="27">
        <v>0</v>
      </c>
    </row>
    <row r="4724" spans="1:14" x14ac:dyDescent="0.15">
      <c r="A4724" s="23" t="str">
        <f>HYPERLINK("https://www.spark-marketing.ru/Card/Person/130677", "ФГБУ ""ОК ""СНЕГИРИ""")</f>
        <v>ФГБУ "ОК "СНЕГИРИ"</v>
      </c>
      <c r="B4724" s="24" t="s">
        <v>6690</v>
      </c>
      <c r="C4724" s="25">
        <v>385700</v>
      </c>
      <c r="D4724" s="22" t="s">
        <v>6691</v>
      </c>
      <c r="E4724" s="22" t="s">
        <v>6692</v>
      </c>
      <c r="F4724" s="23" t="str">
        <f>HYPERLINK("https://www.spark-marketing.ru/Card/Lot/71945835", "Разработка проектов зон санитарной охраны артезианских скважин для объектов ФГБУ ""ОК ""Снегири""")</f>
        <v>Разработка проектов зон санитарной охраны артезианских скважин для объектов ФГБУ "ОК "Снегири"</v>
      </c>
      <c r="G4724" s="22" t="s">
        <v>50</v>
      </c>
      <c r="H4724" s="22" t="s">
        <v>295</v>
      </c>
      <c r="I4724" s="26">
        <v>43654.576631944401</v>
      </c>
      <c r="J4724" s="28" t="s">
        <v>52</v>
      </c>
      <c r="K4724" s="28" t="s">
        <v>52</v>
      </c>
      <c r="L4724" s="28" t="s">
        <v>52</v>
      </c>
      <c r="M4724" s="28" t="s">
        <v>52</v>
      </c>
      <c r="N4724" s="28" t="s">
        <v>52</v>
      </c>
    </row>
    <row r="4725" spans="1:14" x14ac:dyDescent="0.2">
      <c r="A4725" s="23" t="str">
        <f>HYPERLINK("https://www.spark-marketing.ru/Card/Person/2577242", "МАДОУ ""ДЕТСКИЙ САД ""ТЕРЕМОК"", ДЕТСКИЙ САД ""ТЕРЕМОК""")</f>
        <v>МАДОУ "ДЕТСКИЙ САД "ТЕРЕМОК", ДЕТСКИЙ САД "ТЕРЕМОК"</v>
      </c>
      <c r="B4725" s="24" t="s">
        <v>689</v>
      </c>
      <c r="C4725" s="25">
        <v>200000</v>
      </c>
      <c r="D4725" s="22" t="s">
        <v>6693</v>
      </c>
      <c r="E4725" s="22" t="s">
        <v>49</v>
      </c>
      <c r="F4725" s="23" t="str">
        <f>HYPERLINK("https://www.spark-marketing.ru/Card/Lot/71944067", "Установка комплекса охранной сигнализации")</f>
        <v>Установка комплекса охранной сигнализации</v>
      </c>
      <c r="G4725" s="22" t="s">
        <v>72</v>
      </c>
      <c r="H4725" s="22" t="s">
        <v>72</v>
      </c>
      <c r="I4725" s="26">
        <v>43654.577141203699</v>
      </c>
      <c r="J4725" s="28" t="s">
        <v>52</v>
      </c>
      <c r="K4725" s="28" t="s">
        <v>52</v>
      </c>
      <c r="L4725" s="22" t="s">
        <v>10</v>
      </c>
      <c r="M4725" s="25">
        <v>200000</v>
      </c>
      <c r="N4725" s="27">
        <v>0</v>
      </c>
    </row>
    <row r="4726" spans="1:14" x14ac:dyDescent="0.15">
      <c r="A4726" s="23" t="str">
        <f>HYPERLINK("https://www.spark-marketing.ru/Card/Person/18377", "ГБУ ""ЖИЛИЩНИК РАЙОНА ЗЮЗИНО""")</f>
        <v>ГБУ "ЖИЛИЩНИК РАЙОНА ЗЮЗИНО"</v>
      </c>
      <c r="B4726" s="24" t="s">
        <v>6694</v>
      </c>
      <c r="C4726" s="25">
        <v>578166.02</v>
      </c>
      <c r="D4726" s="22" t="s">
        <v>6695</v>
      </c>
      <c r="E4726" s="22" t="s">
        <v>107</v>
      </c>
      <c r="F4726" s="23" t="str">
        <f>HYPERLINK("https://www.spark-marketing.ru/Card/Lot/71958280", "Техническое обслуживание платформ подъемных для инвалидов, систем визуализации (видеонаблюдения) и диспетчерского контроля за работой платформ подъемных для инвалидов, установленных в жилых домах в 2019 году в районе Зюзино")</f>
        <v>Техническое обслуживание платформ подъемных для инвалидов, систем визуализации (видеонаблюдения) и диспетчерского контроля за работой платформ подъемных для инвалидов, установленных в жилых домах в 2019 году в районе Зюзино</v>
      </c>
      <c r="G4726" s="22" t="s">
        <v>55</v>
      </c>
      <c r="H4726" s="22" t="s">
        <v>55</v>
      </c>
      <c r="I4726" s="26">
        <v>43654.513888888898</v>
      </c>
      <c r="J4726" s="28" t="s">
        <v>52</v>
      </c>
      <c r="K4726" s="28" t="s">
        <v>52</v>
      </c>
      <c r="L4726" s="28" t="s">
        <v>52</v>
      </c>
      <c r="M4726" s="28" t="s">
        <v>52</v>
      </c>
      <c r="N4726" s="28" t="s">
        <v>52</v>
      </c>
    </row>
    <row r="4727" spans="1:14" ht="12.75" hidden="1" outlineLevel="1" x14ac:dyDescent="0.2">
      <c r="A4727" s="23" t="str">
        <f>HYPERLINK("https://www.spark-marketing.ru/Card/Person/18377", "ГБУ ""ЖИЛИЩНИК РАЙОНА ЗЮЗИНО""")</f>
        <v>ГБУ "ЖИЛИЩНИК РАЙОНА ЗЮЗИНО"</v>
      </c>
      <c r="B4727" s="24" t="s">
        <v>6694</v>
      </c>
      <c r="C4727" s="25">
        <v>578166.02</v>
      </c>
      <c r="D4727" s="22" t="s">
        <v>6695</v>
      </c>
      <c r="E4727" s="22" t="s">
        <v>107</v>
      </c>
      <c r="F4727" s="23" t="str">
        <f>HYPERLINK("https://www.spark-marketing.ru/Card/Lot/71958280", "Техническое обслуживание платформ подъемных для инвалидов, систем визуализации (видеонаблюдения) и диспетчерского контроля за работой платформ подъемных для инвалидов, установленных в жилых домах в 2019 году в районе Зюзино")</f>
        <v>Техническое обслуживание платформ подъемных для инвалидов, систем визуализации (видеонаблюдения) и диспетчерского контроля за работой платформ подъемных для инвалидов, установленных в жилых домах в 2019 году в районе Зюзино</v>
      </c>
      <c r="G4727" s="22" t="s">
        <v>55</v>
      </c>
      <c r="H4727" s="22" t="s">
        <v>55</v>
      </c>
      <c r="I4727" s="26">
        <v>43654.513888888898</v>
      </c>
      <c r="J4727" s="23" t="str">
        <f>HYPERLINK("https://www.spark-marketing.ru/Card/Person/88264", "ООО ""ЮНИЛИФТ""")</f>
        <v>ООО "ЮНИЛИФТ"</v>
      </c>
      <c r="K4727" s="24" t="s">
        <v>6696</v>
      </c>
      <c r="L4727" s="22" t="s">
        <v>10</v>
      </c>
      <c r="M4727" s="25">
        <v>283301.36</v>
      </c>
      <c r="N4727" s="27">
        <v>0.50999998235800847</v>
      </c>
    </row>
    <row r="4728" spans="1:14" hidden="1" outlineLevel="1" x14ac:dyDescent="0.2">
      <c r="A4728" s="23" t="str">
        <f>HYPERLINK("https://www.spark-marketing.ru/Card/Person/18377", "ГБУ ""ЖИЛИЩНИК РАЙОНА ЗЮЗИНО""")</f>
        <v>ГБУ "ЖИЛИЩНИК РАЙОНА ЗЮЗИНО"</v>
      </c>
      <c r="B4728" s="24" t="s">
        <v>6694</v>
      </c>
      <c r="C4728" s="25">
        <v>578166.02</v>
      </c>
      <c r="D4728" s="22" t="s">
        <v>6695</v>
      </c>
      <c r="E4728" s="22" t="s">
        <v>107</v>
      </c>
      <c r="F4728" s="23" t="str">
        <f>HYPERLINK("https://www.spark-marketing.ru/Card/Lot/71958280", "Техническое обслуживание платформ подъемных для инвалидов, систем визуализации (видеонаблюдения) и диспетчерского контроля за работой платформ подъемных для инвалидов, установленных в жилых домах в 2019 году в районе Зюзино")</f>
        <v>Техническое обслуживание платформ подъемных для инвалидов, систем визуализации (видеонаблюдения) и диспетчерского контроля за работой платформ подъемных для инвалидов, установленных в жилых домах в 2019 году в районе Зюзино</v>
      </c>
      <c r="G4728" s="22" t="s">
        <v>55</v>
      </c>
      <c r="H4728" s="22" t="s">
        <v>55</v>
      </c>
      <c r="I4728" s="26">
        <v>43654.513888888898</v>
      </c>
      <c r="J4728" s="23" t="str">
        <f>HYPERLINK("https://www.spark-marketing.ru/Card/Person/505015", "ООО УК ""ДОМСЕРВИС""")</f>
        <v>ООО УК "ДОМСЕРВИС"</v>
      </c>
      <c r="K4728" s="24" t="s">
        <v>3878</v>
      </c>
      <c r="L4728" s="28" t="s">
        <v>52</v>
      </c>
      <c r="M4728" s="25">
        <v>286192.19</v>
      </c>
      <c r="N4728" s="27">
        <v>0.50499998253096923</v>
      </c>
    </row>
    <row r="4729" spans="1:14" x14ac:dyDescent="0.15">
      <c r="A4729" s="23" t="str">
        <f>HYPERLINK("https://www.spark-marketing.ru/Card/Person/1034467", "ГБУСОН РО ""СРЦ КАШАРСКОГО РАЙОНА""")</f>
        <v>ГБУСОН РО "СРЦ КАШАРСКОГО РАЙОНА"</v>
      </c>
      <c r="B4729" s="24" t="s">
        <v>6697</v>
      </c>
      <c r="C4729" s="25">
        <v>22000</v>
      </c>
      <c r="D4729" s="22" t="s">
        <v>6698</v>
      </c>
      <c r="E4729" s="22" t="s">
        <v>84</v>
      </c>
      <c r="F4729" s="23" t="str">
        <f>HYPERLINK("https://www.spark-marketing.ru/Card/Lot/71942235", "монтаж и установка видеодомофона")</f>
        <v>монтаж и установка видеодомофона</v>
      </c>
      <c r="G4729" s="22" t="s">
        <v>402</v>
      </c>
      <c r="H4729" s="22" t="s">
        <v>6699</v>
      </c>
      <c r="I4729" s="26">
        <v>43654.502083333296</v>
      </c>
      <c r="J4729" s="28" t="s">
        <v>52</v>
      </c>
      <c r="K4729" s="28" t="s">
        <v>52</v>
      </c>
      <c r="L4729" s="28" t="s">
        <v>52</v>
      </c>
      <c r="M4729" s="28" t="s">
        <v>52</v>
      </c>
      <c r="N4729" s="28" t="s">
        <v>52</v>
      </c>
    </row>
    <row r="4730" spans="1:14" x14ac:dyDescent="0.15">
      <c r="A4730" s="23" t="str">
        <f>HYPERLINK("https://www.spark-marketing.ru/Card/Person/1026039", "ГАУ СО ""ПРОФИЛАКТОРИЙ ""ЮБИЛЕЙНЫЙ""")</f>
        <v>ГАУ СО "ПРОФИЛАКТОРИЙ "ЮБИЛЕЙНЫЙ"</v>
      </c>
      <c r="B4730" s="24" t="s">
        <v>6700</v>
      </c>
      <c r="C4730" s="25">
        <v>128099</v>
      </c>
      <c r="D4730" s="22" t="s">
        <v>6701</v>
      </c>
      <c r="E4730" s="22" t="s">
        <v>691</v>
      </c>
      <c r="F4730" s="23" t="str">
        <f>HYPERLINK("https://www.spark-marketing.ru/Card/Lot/71940429", "Установка системы комплексного управления доступа в здании по адресу: Свердловская обл., Артемовский р-он, пос. Буланаш, ул. М. Горького, 31")</f>
        <v>Установка системы комплексного управления доступа в здании по адресу: Свердловская обл., Артемовский р-он, пос. Буланаш, ул. М. Горького, 31</v>
      </c>
      <c r="G4730" s="22" t="s">
        <v>72</v>
      </c>
      <c r="H4730" s="22" t="s">
        <v>72</v>
      </c>
      <c r="I4730" s="26">
        <v>43654.505856481497</v>
      </c>
      <c r="J4730" s="28" t="s">
        <v>52</v>
      </c>
      <c r="K4730" s="28" t="s">
        <v>52</v>
      </c>
      <c r="L4730" s="28" t="s">
        <v>52</v>
      </c>
      <c r="M4730" s="28" t="s">
        <v>52</v>
      </c>
      <c r="N4730" s="28" t="s">
        <v>52</v>
      </c>
    </row>
    <row r="4731" spans="1:14" x14ac:dyDescent="0.15">
      <c r="A4731" s="23" t="str">
        <f>HYPERLINK("https://www.spark-marketing.ru/Card/Person/28878", "ФГКУ КОМБИНАТ ""БОЛЬШЕВИЧКА"" РОСРЕЗЕРВА")</f>
        <v>ФГКУ КОМБИНАТ "БОЛЬШЕВИЧКА" РОСРЕЗЕРВА</v>
      </c>
      <c r="B4731" s="24" t="s">
        <v>6702</v>
      </c>
      <c r="C4731" s="25">
        <v>16800</v>
      </c>
      <c r="D4731" s="22" t="s">
        <v>6703</v>
      </c>
      <c r="E4731" s="22" t="s">
        <v>53</v>
      </c>
      <c r="F4731" s="23" t="str">
        <f>HYPERLINK("https://www.spark-marketing.ru/Card/Lot/71941829", "Оказание услуг по проведению периодических проверок и тренировочных занятий по огневой подготовке с сотрудниками охраны ФГКУ комбинат ""Большквичка"" Росрезерва")</f>
        <v>Оказание услуг по проведению периодических проверок и тренировочных занятий по огневой подготовке с сотрудниками охраны ФГКУ комбинат "Большквичка" Росрезерва</v>
      </c>
      <c r="G4731" s="22" t="s">
        <v>626</v>
      </c>
      <c r="H4731" s="22" t="s">
        <v>1508</v>
      </c>
      <c r="I4731" s="26">
        <v>43654.504178240699</v>
      </c>
      <c r="J4731" s="28" t="s">
        <v>52</v>
      </c>
      <c r="K4731" s="28" t="s">
        <v>52</v>
      </c>
      <c r="L4731" s="28" t="s">
        <v>52</v>
      </c>
      <c r="M4731" s="28" t="s">
        <v>52</v>
      </c>
      <c r="N4731" s="28" t="s">
        <v>52</v>
      </c>
    </row>
    <row r="4732" spans="1:14" x14ac:dyDescent="0.15">
      <c r="A4732" s="23" t="str">
        <f>HYPERLINK("https://www.spark-marketing.ru/Card/Person/104926", "ГБУ ""КАТАЙСКАЯ ЦРБ""")</f>
        <v>ГБУ "КАТАЙСКАЯ ЦРБ"</v>
      </c>
      <c r="B4732" s="24" t="s">
        <v>6704</v>
      </c>
      <c r="C4732" s="25">
        <v>367985.28</v>
      </c>
      <c r="D4732" s="22" t="s">
        <v>6705</v>
      </c>
      <c r="E4732" s="22" t="s">
        <v>52</v>
      </c>
      <c r="F4732" s="23" t="str">
        <f>HYPERLINK("https://www.spark-marketing.ru/Card/Lot/71960819", "Оказание услуг охраны на второе полугодие 2019 года")</f>
        <v>Оказание услуг охраны на второе полугодие 2019 года</v>
      </c>
      <c r="G4732" s="22" t="s">
        <v>626</v>
      </c>
      <c r="H4732" s="22" t="s">
        <v>6706</v>
      </c>
      <c r="I4732" s="26">
        <v>43654.482002314799</v>
      </c>
      <c r="J4732" s="23" t="str">
        <f>HYPERLINK("https://www.spark-marketing.ru/Card/Person/674296", "ООО ЧОО ""ЦЕРБЕР""")</f>
        <v>ООО ЧОО "ЦЕРБЕР"</v>
      </c>
      <c r="K4732" s="24" t="s">
        <v>6707</v>
      </c>
      <c r="L4732" s="22" t="s">
        <v>10</v>
      </c>
      <c r="M4732" s="28" t="s">
        <v>52</v>
      </c>
      <c r="N4732" s="28" t="s">
        <v>52</v>
      </c>
    </row>
    <row r="4733" spans="1:14" x14ac:dyDescent="0.15">
      <c r="A4733" s="23" t="str">
        <f>HYPERLINK("https://www.spark-marketing.ru/Card/Person/1027113", "МАДОУ № 38")</f>
        <v>МАДОУ № 38</v>
      </c>
      <c r="B4733" s="24" t="s">
        <v>6708</v>
      </c>
      <c r="C4733" s="25">
        <v>1416752.6</v>
      </c>
      <c r="D4733" s="22" t="s">
        <v>6709</v>
      </c>
      <c r="E4733" s="22" t="s">
        <v>49</v>
      </c>
      <c r="F4733" s="23" t="str">
        <f>HYPERLINK("https://www.spark-marketing.ru/Card/Lot/71940114", "установка охранной сигнализации с выводом сигнала «Тревога» на ПЦО ОВО")</f>
        <v>установка охранной сигнализации с выводом сигнала «Тревога» на ПЦО ОВО</v>
      </c>
      <c r="G4733" s="22" t="s">
        <v>72</v>
      </c>
      <c r="H4733" s="22" t="s">
        <v>72</v>
      </c>
      <c r="I4733" s="26">
        <v>43654.465057870402</v>
      </c>
      <c r="J4733" s="28" t="s">
        <v>52</v>
      </c>
      <c r="K4733" s="28" t="s">
        <v>52</v>
      </c>
      <c r="L4733" s="28" t="s">
        <v>52</v>
      </c>
      <c r="M4733" s="28" t="s">
        <v>52</v>
      </c>
      <c r="N4733" s="28" t="s">
        <v>52</v>
      </c>
    </row>
    <row r="4734" spans="1:14" x14ac:dyDescent="0.15">
      <c r="A4734" s="23" t="str">
        <f>HYPERLINK("https://www.spark-marketing.ru/Card/Person/16910", "УСД В НОВГОРОДСКОЙ ОБЛАСТИ")</f>
        <v>УСД В НОВГОРОДСКОЙ ОБЛАСТИ</v>
      </c>
      <c r="B4734" s="24" t="s">
        <v>1482</v>
      </c>
      <c r="C4734" s="25">
        <v>129225.79</v>
      </c>
      <c r="D4734" s="22" t="s">
        <v>6710</v>
      </c>
      <c r="E4734" s="22" t="s">
        <v>208</v>
      </c>
      <c r="F4734" s="23" t="str">
        <f>HYPERLINK("https://www.spark-marketing.ru/Card/Lot/71956760", "Дооборудование охранной системы кнопками тревожной сигнализации в Пестовском районном суде (г. Пестово), в Валдайском районном суде (г. Валдай, г. Демянск, с. Марево), в  Солецком районном суде (г. Сольцы, п. Батецкий, п. Волот, р.п. Шимск),  в Боров...")</f>
        <v>Дооборудование охранной системы кнопками тревожной сигнализации в Пестовском районном суде (г. Пестово), в Валдайском районном суде (г. Валдай, г. Демянск, с. Марево), в  Солецком районном суде (г. Сольцы, п. Батецкий, п. Волот, р.п. Шимск),  в Боров...</v>
      </c>
      <c r="G4734" s="22" t="s">
        <v>959</v>
      </c>
      <c r="H4734" s="22" t="s">
        <v>959</v>
      </c>
      <c r="I4734" s="26">
        <v>43654.484027777798</v>
      </c>
      <c r="J4734" s="28" t="s">
        <v>52</v>
      </c>
      <c r="K4734" s="28" t="s">
        <v>52</v>
      </c>
      <c r="L4734" s="28" t="s">
        <v>52</v>
      </c>
      <c r="M4734" s="28" t="s">
        <v>52</v>
      </c>
      <c r="N4734" s="28" t="s">
        <v>52</v>
      </c>
    </row>
    <row r="4735" spans="1:14" hidden="1" outlineLevel="1" x14ac:dyDescent="0.2">
      <c r="A4735" s="23" t="str">
        <f>HYPERLINK("https://www.spark-marketing.ru/Card/Person/16910", "УСД В НОВГОРОДСКОЙ ОБЛАСТИ")</f>
        <v>УСД В НОВГОРОДСКОЙ ОБЛАСТИ</v>
      </c>
      <c r="B4735" s="24" t="s">
        <v>1482</v>
      </c>
      <c r="C4735" s="25">
        <v>129225.79</v>
      </c>
      <c r="D4735" s="22" t="s">
        <v>6710</v>
      </c>
      <c r="E4735" s="22" t="s">
        <v>208</v>
      </c>
      <c r="F4735" s="23" t="str">
        <f>HYPERLINK("https://www.spark-marketing.ru/Card/Lot/71956760", "Дооборудование охранной системы кнопками тревожной сигнализации в Пестовском районном суде (г. Пестово), в Валдайском районном суде (г. Валдай, г. Демянск, с. Марево), в  Солецком районном суде (г. Сольцы, п. Батецкий, п. Волот, р.п. Шимск),  в Боров...")</f>
        <v>Дооборудование охранной системы кнопками тревожной сигнализации в Пестовском районном суде (г. Пестово), в Валдайском районном суде (г. Валдай, г. Демянск, с. Марево), в  Солецком районном суде (г. Сольцы, п. Батецкий, п. Волот, р.п. Шимск),  в Боров...</v>
      </c>
      <c r="G4735" s="22" t="s">
        <v>959</v>
      </c>
      <c r="H4735" s="22" t="s">
        <v>959</v>
      </c>
      <c r="I4735" s="26">
        <v>43654.484027777798</v>
      </c>
      <c r="J4735" s="23" t="str">
        <f>HYPERLINK("https://www.spark-marketing.ru/Card/Person/6328694", "ООО ""НСБ""")</f>
        <v>ООО "НСБ"</v>
      </c>
      <c r="K4735" s="24" t="s">
        <v>6711</v>
      </c>
      <c r="L4735" s="28" t="s">
        <v>52</v>
      </c>
      <c r="M4735" s="25">
        <v>50690.92</v>
      </c>
      <c r="N4735" s="27">
        <v>0.60773371940693877</v>
      </c>
    </row>
    <row r="4736" spans="1:14" ht="12.75" hidden="1" outlineLevel="1" x14ac:dyDescent="0.2">
      <c r="A4736" s="23" t="str">
        <f>HYPERLINK("https://www.spark-marketing.ru/Card/Person/16910", "УСД В НОВГОРОДСКОЙ ОБЛАСТИ")</f>
        <v>УСД В НОВГОРОДСКОЙ ОБЛАСТИ</v>
      </c>
      <c r="B4736" s="24" t="s">
        <v>1482</v>
      </c>
      <c r="C4736" s="25">
        <v>129225.79</v>
      </c>
      <c r="D4736" s="22" t="s">
        <v>6710</v>
      </c>
      <c r="E4736" s="22" t="s">
        <v>208</v>
      </c>
      <c r="F4736" s="23" t="str">
        <f>HYPERLINK("https://www.spark-marketing.ru/Card/Lot/71956760", "Дооборудование охранной системы кнопками тревожной сигнализации в Пестовском районном суде (г. Пестово), в Валдайском районном суде (г. Валдай, г. Демянск, с. Марево), в  Солецком районном суде (г. Сольцы, п. Батецкий, п. Волот, р.п. Шимск),  в Боров...")</f>
        <v>Дооборудование охранной системы кнопками тревожной сигнализации в Пестовском районном суде (г. Пестово), в Валдайском районном суде (г. Валдай, г. Демянск, с. Марево), в  Солецком районном суде (г. Сольцы, п. Батецкий, п. Волот, р.п. Шимск),  в Боров...</v>
      </c>
      <c r="G4736" s="22" t="s">
        <v>959</v>
      </c>
      <c r="H4736" s="22" t="s">
        <v>959</v>
      </c>
      <c r="I4736" s="26">
        <v>43654.484027777798</v>
      </c>
      <c r="J4736" s="23" t="str">
        <f>HYPERLINK("https://www.spark-marketing.ru/Card/Person/100032", "ООО ""ОА ""ВИТЯЗИ""")</f>
        <v>ООО "ОА "ВИТЯЗИ"</v>
      </c>
      <c r="K4736" s="24" t="s">
        <v>6712</v>
      </c>
      <c r="L4736" s="22" t="s">
        <v>10</v>
      </c>
      <c r="M4736" s="25">
        <v>50044.79</v>
      </c>
      <c r="N4736" s="27">
        <v>0.61273372753225186</v>
      </c>
    </row>
    <row r="4737" spans="1:14" hidden="1" outlineLevel="1" x14ac:dyDescent="0.2">
      <c r="A4737" s="23" t="str">
        <f>HYPERLINK("https://www.spark-marketing.ru/Card/Person/16910", "УСД В НОВГОРОДСКОЙ ОБЛАСТИ")</f>
        <v>УСД В НОВГОРОДСКОЙ ОБЛАСТИ</v>
      </c>
      <c r="B4737" s="24" t="s">
        <v>1482</v>
      </c>
      <c r="C4737" s="25">
        <v>129225.79</v>
      </c>
      <c r="D4737" s="22" t="s">
        <v>6710</v>
      </c>
      <c r="E4737" s="22" t="s">
        <v>208</v>
      </c>
      <c r="F4737" s="23" t="str">
        <f>HYPERLINK("https://www.spark-marketing.ru/Card/Lot/71956760", "Дооборудование охранной системы кнопками тревожной сигнализации в Пестовском районном суде (г. Пестово), в Валдайском районном суде (г. Валдай, г. Демянск, с. Марево), в  Солецком районном суде (г. Сольцы, п. Батецкий, п. Волот, р.п. Шимск),  в Боров...")</f>
        <v>Дооборудование охранной системы кнопками тревожной сигнализации в Пестовском районном суде (г. Пестово), в Валдайском районном суде (г. Валдай, г. Демянск, с. Марево), в  Солецком районном суде (г. Сольцы, п. Батецкий, п. Волот, р.п. Шимск),  в Боров...</v>
      </c>
      <c r="G4737" s="22" t="s">
        <v>959</v>
      </c>
      <c r="H4737" s="22" t="s">
        <v>959</v>
      </c>
      <c r="I4737" s="26">
        <v>43654.484027777798</v>
      </c>
      <c r="J4737" s="23" t="str">
        <f>HYPERLINK("https://www.spark-marketing.ru/Card/Person/55651", "ООО ""ЭЛЕКТРА-Н""")</f>
        <v>ООО "ЭЛЕКТРА-Н"</v>
      </c>
      <c r="K4737" s="24" t="s">
        <v>1484</v>
      </c>
      <c r="L4737" s="28" t="s">
        <v>52</v>
      </c>
      <c r="M4737" s="25">
        <v>104670.15</v>
      </c>
      <c r="N4737" s="27">
        <v>0.1900212024240672</v>
      </c>
    </row>
    <row r="4738" spans="1:14" hidden="1" outlineLevel="1" x14ac:dyDescent="0.2">
      <c r="A4738" s="23" t="str">
        <f>HYPERLINK("https://www.spark-marketing.ru/Card/Person/16910", "УСД В НОВГОРОДСКОЙ ОБЛАСТИ")</f>
        <v>УСД В НОВГОРОДСКОЙ ОБЛАСТИ</v>
      </c>
      <c r="B4738" s="24" t="s">
        <v>1482</v>
      </c>
      <c r="C4738" s="25">
        <v>129225.79</v>
      </c>
      <c r="D4738" s="22" t="s">
        <v>6710</v>
      </c>
      <c r="E4738" s="22" t="s">
        <v>208</v>
      </c>
      <c r="F4738" s="23" t="str">
        <f>HYPERLINK("https://www.spark-marketing.ru/Card/Lot/71956760", "Дооборудование охранной системы кнопками тревожной сигнализации в Пестовском районном суде (г. Пестово), в Валдайском районном суде (г. Валдай, г. Демянск, с. Марево), в  Солецком районном суде (г. Сольцы, п. Батецкий, п. Волот, р.п. Шимск),  в Боров...")</f>
        <v>Дооборудование охранной системы кнопками тревожной сигнализации в Пестовском районном суде (г. Пестово), в Валдайском районном суде (г. Валдай, г. Демянск, с. Марево), в  Солецком районном суде (г. Сольцы, п. Батецкий, п. Волот, р.п. Шимск),  в Боров...</v>
      </c>
      <c r="G4738" s="22" t="s">
        <v>959</v>
      </c>
      <c r="H4738" s="22" t="s">
        <v>959</v>
      </c>
      <c r="I4738" s="26">
        <v>43654.484027777798</v>
      </c>
      <c r="J4738" s="23" t="str">
        <f>HYPERLINK("https://www.spark-marketing.ru/Card/Person/397860", "ООО ""РАТИБОР СПЕЦСИСТЕМЫ""")</f>
        <v>ООО "РАТИБОР СПЕЦСИСТЕМЫ"</v>
      </c>
      <c r="K4738" s="24" t="s">
        <v>2767</v>
      </c>
      <c r="L4738" s="28" t="s">
        <v>52</v>
      </c>
      <c r="M4738" s="25">
        <v>74605.53</v>
      </c>
      <c r="N4738" s="27">
        <v>0.42267305930186228</v>
      </c>
    </row>
    <row r="4739" spans="1:14" x14ac:dyDescent="0.15">
      <c r="A4739" s="23" t="str">
        <f>HYPERLINK("https://www.spark-marketing.ru/Card/Person/4948730", "МАДОУ «Д/С № 21 «ГНОМИК»")</f>
        <v>МАДОУ «Д/С № 21 «ГНОМИК»</v>
      </c>
      <c r="B4739" s="24" t="s">
        <v>6713</v>
      </c>
      <c r="C4739" s="25">
        <v>30000</v>
      </c>
      <c r="D4739" s="22" t="s">
        <v>6714</v>
      </c>
      <c r="E4739" s="22" t="s">
        <v>103</v>
      </c>
      <c r="F4739" s="23" t="str">
        <f>HYPERLINK("https://www.spark-marketing.ru/Card/Lot/71940981", "Оказание услуг по техническому обслуживанию системы видеонаблюдения 2 полугодие")</f>
        <v>Оказание услуг по техническому обслуживанию системы видеонаблюдения 2 полугодие</v>
      </c>
      <c r="G4739" s="22" t="s">
        <v>50</v>
      </c>
      <c r="H4739" s="22" t="s">
        <v>2391</v>
      </c>
      <c r="I4739" s="26">
        <v>43654.451030092598</v>
      </c>
      <c r="J4739" s="28" t="s">
        <v>52</v>
      </c>
      <c r="K4739" s="28" t="s">
        <v>52</v>
      </c>
      <c r="L4739" s="28" t="s">
        <v>52</v>
      </c>
      <c r="M4739" s="28" t="s">
        <v>52</v>
      </c>
      <c r="N4739" s="28" t="s">
        <v>52</v>
      </c>
    </row>
    <row r="4740" spans="1:14" x14ac:dyDescent="0.15">
      <c r="A4740" s="23" t="str">
        <f>HYPERLINK("https://www.spark-marketing.ru/Card/Person/76468", "ГБПОУ МО ""КОЛЛЕДЖ ""ПОДМОСКОВЬЕ""")</f>
        <v>ГБПОУ МО "КОЛЛЕДЖ "ПОДМОСКОВЬЕ"</v>
      </c>
      <c r="B4740" s="24" t="s">
        <v>6416</v>
      </c>
      <c r="C4740" s="25">
        <v>86000</v>
      </c>
      <c r="D4740" s="22" t="s">
        <v>6715</v>
      </c>
      <c r="E4740" s="22" t="s">
        <v>59</v>
      </c>
      <c r="F4740" s="23" t="str">
        <f>HYPERLINK("https://www.spark-marketing.ru/Card/Lot/71939686", "Оказание услуг по установке и обслуживанию охранной сигнализации для нужд ГБПОУ МО «Колледж «Подмосковье»")</f>
        <v>Оказание услуг по установке и обслуживанию охранной сигнализации для нужд ГБПОУ МО «Колледж «Подмосковье»</v>
      </c>
      <c r="G4740" s="22" t="s">
        <v>50</v>
      </c>
      <c r="H4740" s="22" t="s">
        <v>265</v>
      </c>
      <c r="I4740" s="26">
        <v>43654.419965277797</v>
      </c>
      <c r="J4740" s="28" t="s">
        <v>52</v>
      </c>
      <c r="K4740" s="28" t="s">
        <v>52</v>
      </c>
      <c r="L4740" s="28" t="s">
        <v>52</v>
      </c>
      <c r="M4740" s="28" t="s">
        <v>52</v>
      </c>
      <c r="N4740" s="28" t="s">
        <v>52</v>
      </c>
    </row>
    <row r="4741" spans="1:14" x14ac:dyDescent="0.15">
      <c r="A4741" s="23" t="str">
        <f>HYPERLINK("https://www.spark-marketing.ru/Card/Person/5458", "УПРАВЛЕНИЕ РОСРЕЕСТРА ПО ПЕНЗЕНСКОЙ ОБЛАСТИ")</f>
        <v>УПРАВЛЕНИЕ РОСРЕЕСТРА ПО ПЕНЗЕНСКОЙ ОБЛАСТИ</v>
      </c>
      <c r="B4741" s="24" t="s">
        <v>6479</v>
      </c>
      <c r="C4741" s="25">
        <v>203000</v>
      </c>
      <c r="D4741" s="22" t="s">
        <v>6716</v>
      </c>
      <c r="E4741" s="22" t="s">
        <v>68</v>
      </c>
      <c r="F4741" s="23" t="str">
        <f>HYPERLINK("https://www.spark-marketing.ru/Card/Lot/71940356", "Услуги, связанные с обеспечением общественного порядка и безопасности прочие, 1 усл. ед")</f>
        <v>Услуги, связанные с обеспечением общественного порядка и безопасности прочие, 1 усл. ед</v>
      </c>
      <c r="G4741" s="22" t="s">
        <v>514</v>
      </c>
      <c r="H4741" s="22" t="s">
        <v>2167</v>
      </c>
      <c r="I4741" s="26">
        <v>43654.449571759302</v>
      </c>
      <c r="J4741" s="28" t="s">
        <v>52</v>
      </c>
      <c r="K4741" s="28" t="s">
        <v>52</v>
      </c>
      <c r="L4741" s="28" t="s">
        <v>52</v>
      </c>
      <c r="M4741" s="28" t="s">
        <v>52</v>
      </c>
      <c r="N4741" s="28" t="s">
        <v>52</v>
      </c>
    </row>
    <row r="4742" spans="1:14" x14ac:dyDescent="0.15">
      <c r="A4742" s="23" t="str">
        <f>HYPERLINK("https://www.spark-marketing.ru/Card/Person/134090", "МБУЗ ""ГОРОДСКАЯ ПОЛИКЛИНИКА""")</f>
        <v>МБУЗ "ГОРОДСКАЯ ПОЛИКЛИНИКА"</v>
      </c>
      <c r="B4742" s="24" t="s">
        <v>6717</v>
      </c>
      <c r="C4742" s="25">
        <v>90516.67</v>
      </c>
      <c r="D4742" s="22" t="s">
        <v>6718</v>
      </c>
      <c r="E4742" s="22" t="s">
        <v>84</v>
      </c>
      <c r="F4742" s="23" t="str">
        <f>HYPERLINK("https://www.spark-marketing.ru/Card/Lot/71955748", "Установка систем видеовизуализации, трансляционной системы с оборудованием исполнителя оповещения пациентов рентгенологического и флюорографического кабинетов МБУЗ «Городская поликлиника», расположенного по адресу:г. Новочеркасск, ул. Александровская...")</f>
        <v>Установка систем видеовизуализации, трансляционной системы с оборудованием исполнителя оповещения пациентов рентгенологического и флюорографического кабинетов МБУЗ «Городская поликлиника», расположенного по адресу:г. Новочеркасск, ул. Александровская...</v>
      </c>
      <c r="G4742" s="22" t="s">
        <v>402</v>
      </c>
      <c r="H4742" s="22" t="s">
        <v>2663</v>
      </c>
      <c r="I4742" s="26">
        <v>43654.4284722222</v>
      </c>
      <c r="J4742" s="28" t="s">
        <v>52</v>
      </c>
      <c r="K4742" s="28" t="s">
        <v>52</v>
      </c>
      <c r="L4742" s="28" t="s">
        <v>52</v>
      </c>
      <c r="M4742" s="28" t="s">
        <v>52</v>
      </c>
      <c r="N4742" s="28" t="s">
        <v>52</v>
      </c>
    </row>
    <row r="4743" spans="1:14" hidden="1" outlineLevel="1" x14ac:dyDescent="0.2">
      <c r="A4743" s="23" t="str">
        <f>HYPERLINK("https://www.spark-marketing.ru/Card/Person/134090", "МБУЗ ""ГОРОДСКАЯ ПОЛИКЛИНИКА""")</f>
        <v>МБУЗ "ГОРОДСКАЯ ПОЛИКЛИНИКА"</v>
      </c>
      <c r="B4743" s="24" t="s">
        <v>6717</v>
      </c>
      <c r="C4743" s="25">
        <v>90516.67</v>
      </c>
      <c r="D4743" s="22" t="s">
        <v>6718</v>
      </c>
      <c r="E4743" s="22" t="s">
        <v>84</v>
      </c>
      <c r="F4743" s="23" t="str">
        <f>HYPERLINK("https://www.spark-marketing.ru/Card/Lot/71955748", "Установка систем видеовизуализации, трансляционной системы с оборудованием исполнителя оповещения пациентов рентгенологического и флюорографического кабинетов МБУЗ «Городская поликлиника», расположенного по адресу:г. Новочеркасск, ул. Александровская...")</f>
        <v>Установка систем видеовизуализации, трансляционной системы с оборудованием исполнителя оповещения пациентов рентгенологического и флюорографического кабинетов МБУЗ «Городская поликлиника», расположенного по адресу:г. Новочеркасск, ул. Александровская...</v>
      </c>
      <c r="G4743" s="22" t="s">
        <v>402</v>
      </c>
      <c r="H4743" s="22" t="s">
        <v>2663</v>
      </c>
      <c r="I4743" s="26">
        <v>43654.4284722222</v>
      </c>
      <c r="J4743" s="23" t="str">
        <f>HYPERLINK("https://www.spark-marketing.ru/Card/Person/429470", "ООО ""ОХРАНА-СЕРВИС""")</f>
        <v>ООО "ОХРАНА-СЕРВИС"</v>
      </c>
      <c r="K4743" s="24" t="s">
        <v>6719</v>
      </c>
      <c r="L4743" s="28" t="s">
        <v>52</v>
      </c>
      <c r="M4743" s="25">
        <v>57478.18</v>
      </c>
      <c r="N4743" s="27">
        <v>0.3649989554410254</v>
      </c>
    </row>
    <row r="4744" spans="1:14" ht="12.75" hidden="1" outlineLevel="1" x14ac:dyDescent="0.2">
      <c r="A4744" s="23" t="str">
        <f>HYPERLINK("https://www.spark-marketing.ru/Card/Person/134090", "МБУЗ ""ГОРОДСКАЯ ПОЛИКЛИНИКА""")</f>
        <v>МБУЗ "ГОРОДСКАЯ ПОЛИКЛИНИКА"</v>
      </c>
      <c r="B4744" s="24" t="s">
        <v>6717</v>
      </c>
      <c r="C4744" s="25">
        <v>90516.67</v>
      </c>
      <c r="D4744" s="22" t="s">
        <v>6718</v>
      </c>
      <c r="E4744" s="22" t="s">
        <v>84</v>
      </c>
      <c r="F4744" s="23" t="str">
        <f>HYPERLINK("https://www.spark-marketing.ru/Card/Lot/71955748", "Установка систем видеовизуализации, трансляционной системы с оборудованием исполнителя оповещения пациентов рентгенологического и флюорографического кабинетов МБУЗ «Городская поликлиника», расположенного по адресу:г. Новочеркасск, ул. Александровская...")</f>
        <v>Установка систем видеовизуализации, трансляционной системы с оборудованием исполнителя оповещения пациентов рентгенологического и флюорографического кабинетов МБУЗ «Городская поликлиника», расположенного по адресу:г. Новочеркасск, ул. Александровская...</v>
      </c>
      <c r="G4744" s="22" t="s">
        <v>402</v>
      </c>
      <c r="H4744" s="22" t="s">
        <v>2663</v>
      </c>
      <c r="I4744" s="26">
        <v>43654.4284722222</v>
      </c>
      <c r="J4744" s="23" t="str">
        <f>HYPERLINK("https://www.spark-marketing.ru/Card/Person/465761", "Кривченко Валерий Валерьевич")</f>
        <v>Кривченко Валерий Валерьевич</v>
      </c>
      <c r="K4744" s="24" t="s">
        <v>6139</v>
      </c>
      <c r="L4744" s="22" t="s">
        <v>10</v>
      </c>
      <c r="M4744" s="25">
        <v>57025.599999999999</v>
      </c>
      <c r="N4744" s="27">
        <v>0.36999891843126798</v>
      </c>
    </row>
    <row r="4745" spans="1:14" x14ac:dyDescent="0.15">
      <c r="A4745" s="23" t="str">
        <f>HYPERLINK("https://www.spark-marketing.ru/Card/Person/4373054", "МКОУ ""БУРАНОВСКАЯ ООШ""")</f>
        <v>МКОУ "БУРАНОВСКАЯ ООШ"</v>
      </c>
      <c r="B4745" s="24" t="s">
        <v>6720</v>
      </c>
      <c r="C4745" s="25">
        <v>10800</v>
      </c>
      <c r="D4745" s="22" t="s">
        <v>6721</v>
      </c>
      <c r="E4745" s="22" t="s">
        <v>208</v>
      </c>
      <c r="F4745" s="23" t="str">
        <f>HYPERLINK("https://www.spark-marketing.ru/Card/Lot/71939562", "Услуги «Об экстренном вызове вневедомственной охраны на объект, в случае срабатывания средств тревожной сигнализации»")</f>
        <v>Услуги «Об экстренном вызове вневедомственной охраны на объект, в случае срабатывания средств тревожной сигнализации»</v>
      </c>
      <c r="G4745" s="22" t="s">
        <v>209</v>
      </c>
      <c r="H4745" s="22" t="s">
        <v>4605</v>
      </c>
      <c r="I4745" s="26">
        <v>43654.4194444444</v>
      </c>
      <c r="J4745" s="28" t="s">
        <v>52</v>
      </c>
      <c r="K4745" s="28" t="s">
        <v>52</v>
      </c>
      <c r="L4745" s="28" t="s">
        <v>52</v>
      </c>
      <c r="M4745" s="28" t="s">
        <v>52</v>
      </c>
      <c r="N4745" s="28" t="s">
        <v>52</v>
      </c>
    </row>
    <row r="4746" spans="1:14" x14ac:dyDescent="0.15">
      <c r="A4746" s="23" t="str">
        <f>HYPERLINK("https://www.spark-marketing.ru/Card/Person/1035182", "МКОУ СОКУРСКАЯ СОШ № 19")</f>
        <v>МКОУ СОКУРСКАЯ СОШ № 19</v>
      </c>
      <c r="B4746" s="24" t="s">
        <v>6722</v>
      </c>
      <c r="C4746" s="25">
        <v>5081.22</v>
      </c>
      <c r="D4746" s="22" t="s">
        <v>6723</v>
      </c>
      <c r="E4746" s="22" t="s">
        <v>107</v>
      </c>
      <c r="F4746" s="23" t="str">
        <f>HYPERLINK("https://www.spark-marketing.ru/Card/Lot/71937994", "Техническое обслуживание комплекса технических средств охраны")</f>
        <v>Техническое обслуживание комплекса технических средств охраны</v>
      </c>
      <c r="G4746" s="22" t="s">
        <v>209</v>
      </c>
      <c r="H4746" s="22" t="s">
        <v>2739</v>
      </c>
      <c r="I4746" s="26">
        <v>43654.453472222202</v>
      </c>
      <c r="J4746" s="28" t="s">
        <v>52</v>
      </c>
      <c r="K4746" s="28" t="s">
        <v>52</v>
      </c>
      <c r="L4746" s="28" t="s">
        <v>52</v>
      </c>
      <c r="M4746" s="28" t="s">
        <v>52</v>
      </c>
      <c r="N4746" s="28" t="s">
        <v>52</v>
      </c>
    </row>
    <row r="4747" spans="1:14" x14ac:dyDescent="0.15">
      <c r="A4747" s="23" t="str">
        <f>HYPERLINK("https://www.spark-marketing.ru/Card/Person/1080995", "МБОУ ""КАБАНОВСКАЯ СОШ""")</f>
        <v>МБОУ "КАБАНОВСКАЯ СОШ"</v>
      </c>
      <c r="B4747" s="24" t="s">
        <v>6724</v>
      </c>
      <c r="C4747" s="25">
        <v>79868.55</v>
      </c>
      <c r="D4747" s="22" t="s">
        <v>6725</v>
      </c>
      <c r="E4747" s="22" t="s">
        <v>84</v>
      </c>
      <c r="F4747" s="23" t="str">
        <f>HYPERLINK("https://www.spark-marketing.ru/Card/Lot/71939654", "Установка системы видеонаблюдения")</f>
        <v>Установка системы видеонаблюдения</v>
      </c>
      <c r="G4747" s="22" t="s">
        <v>50</v>
      </c>
      <c r="H4747" s="22" t="s">
        <v>50</v>
      </c>
      <c r="I4747" s="26">
        <v>43654.398946759298</v>
      </c>
      <c r="J4747" s="28" t="s">
        <v>52</v>
      </c>
      <c r="K4747" s="28" t="s">
        <v>52</v>
      </c>
      <c r="L4747" s="28" t="s">
        <v>52</v>
      </c>
      <c r="M4747" s="28" t="s">
        <v>52</v>
      </c>
      <c r="N4747" s="28" t="s">
        <v>52</v>
      </c>
    </row>
    <row r="4748" spans="1:14" x14ac:dyDescent="0.15">
      <c r="A4748" s="23" t="str">
        <f>HYPERLINK("https://www.spark-marketing.ru/Card/Person/120295", "БУЗ ВО ""ВЦОЗСИР""")</f>
        <v>БУЗ ВО "ВЦОЗСИР"</v>
      </c>
      <c r="B4748" s="24" t="s">
        <v>6726</v>
      </c>
      <c r="C4748" s="25">
        <v>344448</v>
      </c>
      <c r="D4748" s="22" t="s">
        <v>6727</v>
      </c>
      <c r="E4748" s="22" t="s">
        <v>52</v>
      </c>
      <c r="F4748" s="23" t="str">
        <f>HYPERLINK("https://www.spark-marketing.ru/Card/Lot/71961989", "Оказание услуг охраны помещений бюджетного учреждения здравоохранения Воронежской области ""Воронежский центр охраны здоровья семьи и репродукции""")</f>
        <v>Оказание услуг охраны помещений бюджетного учреждения здравоохранения Воронежской области "Воронежский центр охраны здоровья семьи и репродукции"</v>
      </c>
      <c r="G4748" s="22" t="s">
        <v>552</v>
      </c>
      <c r="H4748" s="22" t="s">
        <v>886</v>
      </c>
      <c r="I4748" s="26">
        <v>43654.385416666701</v>
      </c>
      <c r="J4748" s="28" t="s">
        <v>52</v>
      </c>
      <c r="K4748" s="28" t="s">
        <v>52</v>
      </c>
      <c r="L4748" s="28" t="s">
        <v>52</v>
      </c>
      <c r="M4748" s="28" t="s">
        <v>52</v>
      </c>
      <c r="N4748" s="28" t="s">
        <v>52</v>
      </c>
    </row>
    <row r="4749" spans="1:14" ht="12.75" hidden="1" outlineLevel="1" x14ac:dyDescent="0.2">
      <c r="A4749" s="23" t="str">
        <f>HYPERLINK("https://www.spark-marketing.ru/Card/Person/120295", "БУЗ ВО ""ВЦОЗСИР""")</f>
        <v>БУЗ ВО "ВЦОЗСИР"</v>
      </c>
      <c r="B4749" s="24" t="s">
        <v>6726</v>
      </c>
      <c r="C4749" s="25">
        <v>344448</v>
      </c>
      <c r="D4749" s="22" t="s">
        <v>6727</v>
      </c>
      <c r="E4749" s="22" t="s">
        <v>52</v>
      </c>
      <c r="F4749" s="23" t="str">
        <f>HYPERLINK("https://www.spark-marketing.ru/Card/Lot/71961989", "Оказание услуг охраны помещений бюджетного учреждения здравоохранения Воронежской области ""Воронежский центр охраны здоровья семьи и репродукции""")</f>
        <v>Оказание услуг охраны помещений бюджетного учреждения здравоохранения Воронежской области "Воронежский центр охраны здоровья семьи и репродукции"</v>
      </c>
      <c r="G4749" s="22" t="s">
        <v>552</v>
      </c>
      <c r="H4749" s="22" t="s">
        <v>886</v>
      </c>
      <c r="I4749" s="26">
        <v>43654.385416666701</v>
      </c>
      <c r="J4749" s="23" t="str">
        <f>HYPERLINK("https://www.spark-marketing.ru/Card/Person/520609", "ООО ""ВИТЯЗЬ""")</f>
        <v>ООО "ВИТЯЗЬ"</v>
      </c>
      <c r="K4749" s="24" t="s">
        <v>6728</v>
      </c>
      <c r="L4749" s="22" t="s">
        <v>10</v>
      </c>
      <c r="M4749" s="25">
        <v>282000</v>
      </c>
      <c r="N4749" s="27">
        <v>0.18129877369007805</v>
      </c>
    </row>
    <row r="4750" spans="1:14" hidden="1" outlineLevel="1" x14ac:dyDescent="0.2">
      <c r="A4750" s="23" t="str">
        <f>HYPERLINK("https://www.spark-marketing.ru/Card/Person/120295", "БУЗ ВО ""ВЦОЗСИР""")</f>
        <v>БУЗ ВО "ВЦОЗСИР"</v>
      </c>
      <c r="B4750" s="24" t="s">
        <v>6726</v>
      </c>
      <c r="C4750" s="25">
        <v>344448</v>
      </c>
      <c r="D4750" s="22" t="s">
        <v>6727</v>
      </c>
      <c r="E4750" s="22" t="s">
        <v>52</v>
      </c>
      <c r="F4750" s="23" t="str">
        <f>HYPERLINK("https://www.spark-marketing.ru/Card/Lot/71961989", "Оказание услуг охраны помещений бюджетного учреждения здравоохранения Воронежской области ""Воронежский центр охраны здоровья семьи и репродукции""")</f>
        <v>Оказание услуг охраны помещений бюджетного учреждения здравоохранения Воронежской области "Воронежский центр охраны здоровья семьи и репродукции"</v>
      </c>
      <c r="G4750" s="22" t="s">
        <v>552</v>
      </c>
      <c r="H4750" s="22" t="s">
        <v>886</v>
      </c>
      <c r="I4750" s="26">
        <v>43654.385416666701</v>
      </c>
      <c r="J4750" s="23" t="str">
        <f>HYPERLINK("https://www.spark-marketing.ru/Card/Person/2558870", "ООО ЧОО ""ТИТАН""")</f>
        <v>ООО ЧОО "ТИТАН"</v>
      </c>
      <c r="K4750" s="24" t="s">
        <v>6729</v>
      </c>
      <c r="L4750" s="28" t="s">
        <v>52</v>
      </c>
      <c r="M4750" s="25">
        <v>304704</v>
      </c>
      <c r="N4750" s="27">
        <v>0.11538461538461539</v>
      </c>
    </row>
    <row r="4751" spans="1:14" hidden="1" outlineLevel="1" x14ac:dyDescent="0.2">
      <c r="A4751" s="23" t="str">
        <f>HYPERLINK("https://www.spark-marketing.ru/Card/Person/120295", "БУЗ ВО ""ВЦОЗСИР""")</f>
        <v>БУЗ ВО "ВЦОЗСИР"</v>
      </c>
      <c r="B4751" s="24" t="s">
        <v>6726</v>
      </c>
      <c r="C4751" s="25">
        <v>344448</v>
      </c>
      <c r="D4751" s="22" t="s">
        <v>6727</v>
      </c>
      <c r="E4751" s="22" t="s">
        <v>52</v>
      </c>
      <c r="F4751" s="23" t="str">
        <f>HYPERLINK("https://www.spark-marketing.ru/Card/Lot/71961989", "Оказание услуг охраны помещений бюджетного учреждения здравоохранения Воронежской области ""Воронежский центр охраны здоровья семьи и репродукции""")</f>
        <v>Оказание услуг охраны помещений бюджетного учреждения здравоохранения Воронежской области "Воронежский центр охраны здоровья семьи и репродукции"</v>
      </c>
      <c r="G4751" s="22" t="s">
        <v>552</v>
      </c>
      <c r="H4751" s="22" t="s">
        <v>886</v>
      </c>
      <c r="I4751" s="26">
        <v>43654.385416666701</v>
      </c>
      <c r="J4751" s="23" t="str">
        <f>HYPERLINK("https://www.spark-marketing.ru/Card/Person/6505165", "ООО ОО ""ПАРИТЕТ""")</f>
        <v>ООО ОО "ПАРИТЕТ"</v>
      </c>
      <c r="K4751" s="24" t="s">
        <v>6730</v>
      </c>
      <c r="L4751" s="28" t="s">
        <v>52</v>
      </c>
      <c r="M4751" s="25">
        <v>334000</v>
      </c>
      <c r="N4751" s="27">
        <v>3.0332590115198812E-2</v>
      </c>
    </row>
    <row r="4752" spans="1:14" x14ac:dyDescent="0.15">
      <c r="A4752" s="23" t="str">
        <f>HYPERLINK("https://www.spark-marketing.ru/Card/Person/56420", "ОТДЕЛ МВД РОССИИ ПО ГОРОДУ АНАПЕ")</f>
        <v>ОТДЕЛ МВД РОССИИ ПО ГОРОДУ АНАПЕ</v>
      </c>
      <c r="B4752" s="24" t="s">
        <v>6731</v>
      </c>
      <c r="C4752" s="25">
        <v>80010</v>
      </c>
      <c r="D4752" s="22" t="s">
        <v>6732</v>
      </c>
      <c r="E4752" s="22" t="s">
        <v>84</v>
      </c>
      <c r="F4752" s="23" t="str">
        <f>HYPERLINK("https://www.spark-marketing.ru/Card/Lot/71939291", "Монтаж, установка, модернизация систем видеонаблюдения, 1 шт")</f>
        <v>Монтаж, установка, модернизация систем видеонаблюдения, 1 шт</v>
      </c>
      <c r="G4752" s="22" t="s">
        <v>132</v>
      </c>
      <c r="H4752" s="22" t="s">
        <v>6733</v>
      </c>
      <c r="I4752" s="26">
        <v>43654.384097222202</v>
      </c>
      <c r="J4752" s="28" t="s">
        <v>52</v>
      </c>
      <c r="K4752" s="28" t="s">
        <v>52</v>
      </c>
      <c r="L4752" s="28" t="s">
        <v>52</v>
      </c>
      <c r="M4752" s="28" t="s">
        <v>52</v>
      </c>
      <c r="N4752" s="28" t="s">
        <v>52</v>
      </c>
    </row>
    <row r="4753" spans="1:14" x14ac:dyDescent="0.15">
      <c r="A4753" s="23" t="str">
        <f>HYPERLINK("https://www.spark-marketing.ru/Card/Person/1029237", "МДОУ ДЕТСКИЙ САД ОБЩЕРАЗВИВАЮЩЕГО ВИДА №18 ""КОЛОСОК""")</f>
        <v>МДОУ ДЕТСКИЙ САД ОБЩЕРАЗВИВАЮЩЕГО ВИДА №18 "КОЛОСОК"</v>
      </c>
      <c r="B4753" s="24" t="s">
        <v>6734</v>
      </c>
      <c r="C4753" s="25">
        <v>286000</v>
      </c>
      <c r="D4753" s="22" t="s">
        <v>6735</v>
      </c>
      <c r="E4753" s="22" t="s">
        <v>84</v>
      </c>
      <c r="F4753" s="23" t="str">
        <f>HYPERLINK("https://www.spark-marketing.ru/Card/Lot/71939651", "Оказание услуг по согласованию паспортов и мест размещения камер видеонаблюдения, 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технологическо...")</f>
        <v>Оказание услуг по согласованию паспортов и мест размещения камер видеонаблюдения, 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технологическо...</v>
      </c>
      <c r="G4753" s="22" t="s">
        <v>50</v>
      </c>
      <c r="H4753" s="22" t="s">
        <v>682</v>
      </c>
      <c r="I4753" s="26">
        <v>43654.398715277799</v>
      </c>
      <c r="J4753" s="28" t="s">
        <v>52</v>
      </c>
      <c r="K4753" s="28" t="s">
        <v>52</v>
      </c>
      <c r="L4753" s="28" t="s">
        <v>52</v>
      </c>
      <c r="M4753" s="28" t="s">
        <v>52</v>
      </c>
      <c r="N4753" s="28" t="s">
        <v>52</v>
      </c>
    </row>
    <row r="4754" spans="1:14" x14ac:dyDescent="0.15">
      <c r="A4754" s="23" t="str">
        <f>HYPERLINK("https://www.spark-marketing.ru/Card/Person/4344165", "ПРАВИТЕЛЬСТВО КРАЯ")</f>
        <v>ПРАВИТЕЛЬСТВО КРАЯ</v>
      </c>
      <c r="B4754" s="24" t="s">
        <v>271</v>
      </c>
      <c r="C4754" s="25">
        <v>5370</v>
      </c>
      <c r="D4754" s="22" t="s">
        <v>6736</v>
      </c>
      <c r="E4754" s="22" t="s">
        <v>53</v>
      </c>
      <c r="F4754" s="23" t="str">
        <f>HYPERLINK("https://www.spark-marketing.ru/Card/Lot/71939256", "Услуги пультовой охраны, мониторинг систем охранной сигнализации, 537 шт")</f>
        <v>Услуги пультовой охраны, мониторинг систем охранной сигнализации, 537 шт</v>
      </c>
      <c r="G4754" s="22" t="s">
        <v>89</v>
      </c>
      <c r="H4754" s="22" t="s">
        <v>89</v>
      </c>
      <c r="I4754" s="26">
        <v>43654.409201388902</v>
      </c>
      <c r="J4754" s="28" t="s">
        <v>52</v>
      </c>
      <c r="K4754" s="28" t="s">
        <v>52</v>
      </c>
      <c r="L4754" s="28" t="s">
        <v>52</v>
      </c>
      <c r="M4754" s="28" t="s">
        <v>52</v>
      </c>
      <c r="N4754" s="28" t="s">
        <v>52</v>
      </c>
    </row>
    <row r="4755" spans="1:14" x14ac:dyDescent="0.2">
      <c r="A4755" s="23" t="str">
        <f>HYPERLINK("https://www.spark-marketing.ru/Card/Person/1763488", "МАДОУ ЖИЛЁВСКИЙ Д/С КОМБИНИРОВАННОГО ВИДА ""АЛЁНУШКА""")</f>
        <v>МАДОУ ЖИЛЁВСКИЙ Д/С КОМБИНИРОВАННОГО ВИДА "АЛЁНУШКА"</v>
      </c>
      <c r="B4755" s="24" t="s">
        <v>6737</v>
      </c>
      <c r="C4755" s="25">
        <v>226800</v>
      </c>
      <c r="D4755" s="22" t="s">
        <v>6738</v>
      </c>
      <c r="E4755" s="22" t="s">
        <v>144</v>
      </c>
      <c r="F4755" s="23" t="str">
        <f>HYPERLINK("https://www.spark-marketing.ru/Card/Lot/71939382", "охранные услуги")</f>
        <v>охранные услуги</v>
      </c>
      <c r="G4755" s="22" t="s">
        <v>50</v>
      </c>
      <c r="H4755" s="22" t="s">
        <v>50</v>
      </c>
      <c r="I4755" s="26">
        <v>43654.353842592602</v>
      </c>
      <c r="J4755" s="28" t="s">
        <v>52</v>
      </c>
      <c r="K4755" s="28" t="s">
        <v>52</v>
      </c>
      <c r="L4755" s="22" t="s">
        <v>10</v>
      </c>
      <c r="M4755" s="25">
        <v>226800</v>
      </c>
      <c r="N4755" s="27">
        <v>0</v>
      </c>
    </row>
    <row r="4756" spans="1:14" x14ac:dyDescent="0.15">
      <c r="A4756" s="23" t="str">
        <f>HYPERLINK("https://www.spark-marketing.ru/Card/Person/1762516", "ООО ""ПРЭХ ГХК""")</f>
        <v>ООО "ПРЭХ ГХК"</v>
      </c>
      <c r="B4756" s="24" t="s">
        <v>6739</v>
      </c>
      <c r="C4756" s="25">
        <v>128060</v>
      </c>
      <c r="D4756" s="22" t="s">
        <v>6740</v>
      </c>
      <c r="E4756" s="22" t="s">
        <v>144</v>
      </c>
      <c r="F4756" s="23" t="str">
        <f>HYPERLINK("https://www.spark-marketing.ru/Card/Lot/71936653", "Оказание услуг по обеспечение охраны на объектах ООО «ПРЭХ ГХК»")</f>
        <v>Оказание услуг по обеспечение охраны на объектах ООО «ПРЭХ ГХК»</v>
      </c>
      <c r="G4756" s="22" t="s">
        <v>640</v>
      </c>
      <c r="H4756" s="22" t="s">
        <v>4700</v>
      </c>
      <c r="I4756" s="26">
        <v>43654.367511574099</v>
      </c>
      <c r="J4756" s="28" t="s">
        <v>52</v>
      </c>
      <c r="K4756" s="28" t="s">
        <v>52</v>
      </c>
      <c r="L4756" s="28" t="s">
        <v>52</v>
      </c>
      <c r="M4756" s="28" t="s">
        <v>52</v>
      </c>
      <c r="N4756" s="28" t="s">
        <v>52</v>
      </c>
    </row>
    <row r="4757" spans="1:14" x14ac:dyDescent="0.2">
      <c r="A4757" s="23" t="str">
        <f>HYPERLINK("https://www.spark-marketing.ru/Card/Person/107173", "ФГУП ""УВО МИНТРАНСА РОССИИ""")</f>
        <v>ФГУП "УВО МИНТРАНСА РОССИИ"</v>
      </c>
      <c r="B4757" s="24" t="s">
        <v>1472</v>
      </c>
      <c r="C4757" s="25">
        <v>146029.20000000001</v>
      </c>
      <c r="D4757" s="22" t="s">
        <v>6741</v>
      </c>
      <c r="E4757" s="22" t="s">
        <v>144</v>
      </c>
      <c r="F4757" s="23" t="str">
        <f>HYPERLINK("https://www.spark-marketing.ru/Card/Lot/71938165", "Оказание услуг по выезду тревожной группы при получении сигнала ""Тревога"" с кнопки тревожной сигнализации на объекте Благовещенского центра ОВД филиала ""Аэронавигация Дальнего Востока"", для нужд Приморского филиала ФГУП ""УВО Минтранса России""")</f>
        <v>Оказание услуг по выезду тревожной группы при получении сигнала "Тревога" с кнопки тревожной сигнализации на объекте Благовещенского центра ОВД филиала "Аэронавигация Дальнего Востока", для нужд Приморского филиала ФГУП "УВО Минтранса России"</v>
      </c>
      <c r="G4757" s="22" t="s">
        <v>230</v>
      </c>
      <c r="H4757" s="22" t="s">
        <v>230</v>
      </c>
      <c r="I4757" s="26">
        <v>43654.320775462998</v>
      </c>
      <c r="J4757" s="28" t="s">
        <v>52</v>
      </c>
      <c r="K4757" s="28" t="s">
        <v>52</v>
      </c>
      <c r="L4757" s="22" t="s">
        <v>10</v>
      </c>
      <c r="M4757" s="25">
        <v>146029.20000000001</v>
      </c>
      <c r="N4757" s="27">
        <v>0</v>
      </c>
    </row>
    <row r="4758" spans="1:14" x14ac:dyDescent="0.15">
      <c r="A4758" s="23" t="str">
        <f>HYPERLINK("https://www.spark-marketing.ru/Card/Person/4348435", "ООО ""ТД ПОЛИМЕТАЛЛ""")</f>
        <v>ООО "ТД ПОЛИМЕТАЛЛ"</v>
      </c>
      <c r="B4758" s="24" t="s">
        <v>374</v>
      </c>
      <c r="C4758" s="25">
        <v>9000</v>
      </c>
      <c r="D4758" s="22" t="s">
        <v>6742</v>
      </c>
      <c r="E4758" s="22" t="s">
        <v>1622</v>
      </c>
      <c r="F4758" s="23" t="str">
        <f>HYPERLINK("https://www.spark-marketing.ru/Card/Lot/71965810", "Знак запрещающий 3.22 ""Обгон грузовым автомобилям запрещен"" на флуоресцентной подкладке 900х900мм")</f>
        <v>Знак запрещающий 3.22 "Обгон грузовым автомобилям запрещен" на флуоресцентной подкладке 900х900мм</v>
      </c>
      <c r="G4758" s="22" t="s">
        <v>89</v>
      </c>
      <c r="H4758" s="22" t="s">
        <v>89</v>
      </c>
      <c r="I4758" s="26">
        <v>43654.151967592603</v>
      </c>
      <c r="J4758" s="28" t="s">
        <v>52</v>
      </c>
      <c r="K4758" s="28" t="s">
        <v>52</v>
      </c>
      <c r="L4758" s="28" t="s">
        <v>52</v>
      </c>
      <c r="M4758" s="28" t="s">
        <v>52</v>
      </c>
      <c r="N4758" s="28" t="s">
        <v>52</v>
      </c>
    </row>
    <row r="4759" spans="1:14" x14ac:dyDescent="0.15">
      <c r="A4759" s="23" t="str">
        <f>HYPERLINK("https://www.spark-marketing.ru/Card/Person/4695732", "ТС МОНЕТКА")</f>
        <v>ТС МОНЕТКА</v>
      </c>
      <c r="B4759" s="28" t="s">
        <v>52</v>
      </c>
      <c r="C4759" s="28" t="s">
        <v>52</v>
      </c>
      <c r="D4759" s="22" t="s">
        <v>6743</v>
      </c>
      <c r="E4759" s="22" t="s">
        <v>53</v>
      </c>
      <c r="F4759" s="23" t="str">
        <f>HYPERLINK("https://www.spark-marketing.ru/Card/Lot/71943655", "Тендер 2264 на оказание услуг пультовой охраны на магазинах в Республике Башкортостан")</f>
        <v>Тендер 2264 на оказание услуг пультовой охраны на магазинах в Республике Башкортостан</v>
      </c>
      <c r="G4759" s="22" t="s">
        <v>52</v>
      </c>
      <c r="H4759" s="22" t="s">
        <v>52</v>
      </c>
      <c r="I4759" s="26">
        <v>43654</v>
      </c>
      <c r="J4759" s="28" t="s">
        <v>52</v>
      </c>
      <c r="K4759" s="28" t="s">
        <v>52</v>
      </c>
      <c r="L4759" s="28" t="s">
        <v>52</v>
      </c>
      <c r="M4759" s="28" t="s">
        <v>52</v>
      </c>
      <c r="N4759" s="28" t="s">
        <v>52</v>
      </c>
    </row>
    <row r="4760" spans="1:14" x14ac:dyDescent="0.15">
      <c r="A4760" s="23" t="str">
        <f>HYPERLINK("https://www.spark-marketing.ru/Card/Person/4346781", "ПАО ""МСЗ""")</f>
        <v>ПАО "МСЗ"</v>
      </c>
      <c r="B4760" s="24" t="s">
        <v>744</v>
      </c>
      <c r="C4760" s="25">
        <v>398425.38</v>
      </c>
      <c r="D4760" s="22" t="s">
        <v>6744</v>
      </c>
      <c r="E4760" s="22" t="s">
        <v>53</v>
      </c>
      <c r="F4760" s="23" t="str">
        <f>HYPERLINK("https://www.spark-marketing.ru/Card/Lot/71945139", "Право заключения договора на техническое обслуживание систем радиоканальной охранно-тревожной сигнализации и видеонаблюдения")</f>
        <v>Право заключения договора на техническое обслуживание систем радиоканальной охранно-тревожной сигнализации и видеонаблюдения</v>
      </c>
      <c r="G4760" s="22" t="s">
        <v>50</v>
      </c>
      <c r="H4760" s="22" t="s">
        <v>747</v>
      </c>
      <c r="I4760" s="26">
        <v>43654</v>
      </c>
      <c r="J4760" s="28" t="s">
        <v>52</v>
      </c>
      <c r="K4760" s="28" t="s">
        <v>52</v>
      </c>
      <c r="L4760" s="28" t="s">
        <v>52</v>
      </c>
      <c r="M4760" s="28" t="s">
        <v>52</v>
      </c>
      <c r="N4760" s="28" t="s">
        <v>52</v>
      </c>
    </row>
    <row r="4761" spans="1:14" x14ac:dyDescent="0.15">
      <c r="A4761" s="23" t="str">
        <f>HYPERLINK("https://www.spark-marketing.ru/Card/Person/134216", "МБОУ ""ГИМНАЗИЯ № 2"" НМР РТ")</f>
        <v>МБОУ "ГИМНАЗИЯ № 2" НМР РТ</v>
      </c>
      <c r="B4761" s="24" t="s">
        <v>6745</v>
      </c>
      <c r="C4761" s="25">
        <v>31350.3</v>
      </c>
      <c r="D4761" s="22" t="s">
        <v>6746</v>
      </c>
      <c r="E4761" s="22" t="s">
        <v>53</v>
      </c>
      <c r="F4761" s="23" t="str">
        <f>HYPERLINK("https://www.spark-marketing.ru/Card/Lot/73767112", "Техническое обслуживание системы видеонаблюдения")</f>
        <v>Техническое обслуживание системы видеонаблюдения</v>
      </c>
      <c r="G4761" s="22" t="s">
        <v>204</v>
      </c>
      <c r="H4761" s="22" t="s">
        <v>824</v>
      </c>
      <c r="I4761" s="26">
        <v>43654.000694444403</v>
      </c>
      <c r="J4761" s="28" t="s">
        <v>52</v>
      </c>
      <c r="K4761" s="28" t="s">
        <v>52</v>
      </c>
      <c r="L4761" s="28" t="s">
        <v>52</v>
      </c>
      <c r="M4761" s="28" t="s">
        <v>52</v>
      </c>
      <c r="N4761" s="28" t="s">
        <v>52</v>
      </c>
    </row>
    <row r="4762" spans="1:14" x14ac:dyDescent="0.15">
      <c r="A4762" s="23" t="str">
        <f>HYPERLINK("https://www.spark-marketing.ru/Card/Person/456138", "КГАУ ""ЦСП""")</f>
        <v>КГАУ "ЦСП"</v>
      </c>
      <c r="B4762" s="24" t="s">
        <v>2031</v>
      </c>
      <c r="C4762" s="25">
        <v>476160</v>
      </c>
      <c r="D4762" s="22" t="s">
        <v>6747</v>
      </c>
      <c r="E4762" s="22" t="s">
        <v>363</v>
      </c>
      <c r="F4762" s="23" t="str">
        <f>HYPERLINK("https://www.spark-marketing.ru/Card/Lot/71934367", "Обеспечение порядка во время массового мероприятия")</f>
        <v>Обеспечение порядка во время массового мероприятия</v>
      </c>
      <c r="G4762" s="22" t="s">
        <v>640</v>
      </c>
      <c r="H4762" s="22" t="s">
        <v>640</v>
      </c>
      <c r="I4762" s="26">
        <v>43653.597060185202</v>
      </c>
      <c r="J4762" s="28" t="s">
        <v>52</v>
      </c>
      <c r="K4762" s="28" t="s">
        <v>52</v>
      </c>
      <c r="L4762" s="28" t="s">
        <v>52</v>
      </c>
      <c r="M4762" s="28" t="s">
        <v>52</v>
      </c>
      <c r="N4762" s="28" t="s">
        <v>52</v>
      </c>
    </row>
    <row r="4763" spans="1:14" x14ac:dyDescent="0.15">
      <c r="A4763" s="23" t="str">
        <f>HYPERLINK("https://www.spark-marketing.ru/Card/Person/4414733", "АО ""КХЗ""")</f>
        <v>АО "КХЗ"</v>
      </c>
      <c r="B4763" s="24" t="s">
        <v>6748</v>
      </c>
      <c r="C4763" s="25">
        <v>230000</v>
      </c>
      <c r="D4763" s="22" t="s">
        <v>6749</v>
      </c>
      <c r="E4763" s="22" t="s">
        <v>2577</v>
      </c>
      <c r="F4763" s="23" t="str">
        <f>HYPERLINK("https://www.spark-marketing.ru/Card/Lot/71918824", "0849-2019-00142 Оказание услуг по разработке проектов: Планов обеспечения транспортной безопасности транпортных средств АО ""КХЗ""")</f>
        <v>0849-2019-00142 Оказание услуг по разработке проектов: Планов обеспечения транспортной безопасности транпортных средств АО "КХЗ"</v>
      </c>
      <c r="G4763" s="22" t="s">
        <v>72</v>
      </c>
      <c r="H4763" s="22" t="s">
        <v>6601</v>
      </c>
      <c r="I4763" s="26">
        <v>43651.752604166701</v>
      </c>
      <c r="J4763" s="28" t="s">
        <v>52</v>
      </c>
      <c r="K4763" s="28" t="s">
        <v>52</v>
      </c>
      <c r="L4763" s="28" t="s">
        <v>52</v>
      </c>
      <c r="M4763" s="28" t="s">
        <v>52</v>
      </c>
      <c r="N4763" s="28" t="s">
        <v>52</v>
      </c>
    </row>
    <row r="4764" spans="1:14" x14ac:dyDescent="0.15">
      <c r="A4764" s="23" t="str">
        <f>HYPERLINK("https://www.spark-marketing.ru/Card/Person/4343405", "ФГУП ""ГОСКОРПОРАЦИЯ ПО ОРВД""")</f>
        <v>ФГУП "ГОСКОРПОРАЦИЯ ПО ОРВД"</v>
      </c>
      <c r="B4764" s="24" t="s">
        <v>801</v>
      </c>
      <c r="C4764" s="25">
        <v>1349000</v>
      </c>
      <c r="D4764" s="22" t="s">
        <v>6750</v>
      </c>
      <c r="E4764" s="22" t="s">
        <v>2577</v>
      </c>
      <c r="F4764" s="23" t="str">
        <f>HYPERLINK("https://www.spark-marketing.ru/Card/Lot/71920101", "Оказание услуг по разработке планов обеспечения транспортной безопасности объектов транспортной инфраструктуры и проектов организационно-распределительных документов Филиала «Аэронавигация Северо-Запада» ФГУП «Госкорпорация по ОрВД»")</f>
        <v>Оказание услуг по разработке планов обеспечения транспортной безопасности объектов транспортной инфраструктуры и проектов организационно-распределительных документов Филиала «Аэронавигация Северо-Запада» ФГУП «Госкорпорация по ОрВД»</v>
      </c>
      <c r="G4764" s="22" t="s">
        <v>55</v>
      </c>
      <c r="H4764" s="22" t="s">
        <v>55</v>
      </c>
      <c r="I4764" s="26">
        <v>43651.733773148102</v>
      </c>
      <c r="J4764" s="28" t="s">
        <v>52</v>
      </c>
      <c r="K4764" s="28" t="s">
        <v>52</v>
      </c>
      <c r="L4764" s="28" t="s">
        <v>52</v>
      </c>
      <c r="M4764" s="28" t="s">
        <v>52</v>
      </c>
      <c r="N4764" s="28" t="s">
        <v>52</v>
      </c>
    </row>
    <row r="4765" spans="1:14" x14ac:dyDescent="0.15">
      <c r="A4765" s="23" t="str">
        <f>HYPERLINK("https://www.spark-marketing.ru/Card/Person/3494", "ОГКУ ""УПРАВЛЕНИЕ ДЕЛАМИ УЛЬЯНОВСКОЙ ОБЛАСТИ""")</f>
        <v>ОГКУ "УПРАВЛЕНИЕ ДЕЛАМИ УЛЬЯНОВСКОЙ ОБЛАСТИ"</v>
      </c>
      <c r="B4765" s="24" t="s">
        <v>6751</v>
      </c>
      <c r="C4765" s="25">
        <v>6225969.2999999998</v>
      </c>
      <c r="D4765" s="22" t="s">
        <v>6752</v>
      </c>
      <c r="E4765" s="22" t="s">
        <v>68</v>
      </c>
      <c r="F4765" s="23" t="str">
        <f>HYPERLINK("https://www.spark-marketing.ru/Card/Lot/71930745", "Оказание услуг по охране объектов,занимаемых государственными органами Ульяновской области")</f>
        <v>Оказание услуг по охране объектов,занимаемых государственными органами Ульяновской области</v>
      </c>
      <c r="G4765" s="22" t="s">
        <v>446</v>
      </c>
      <c r="H4765" s="22" t="s">
        <v>3996</v>
      </c>
      <c r="I4765" s="26">
        <v>43651.673368055599</v>
      </c>
      <c r="J4765" s="28" t="s">
        <v>52</v>
      </c>
      <c r="K4765" s="28" t="s">
        <v>52</v>
      </c>
      <c r="L4765" s="28" t="s">
        <v>52</v>
      </c>
      <c r="M4765" s="28" t="s">
        <v>52</v>
      </c>
      <c r="N4765" s="28" t="s">
        <v>52</v>
      </c>
    </row>
    <row r="4766" spans="1:14" x14ac:dyDescent="0.15">
      <c r="A4766" s="23" t="str">
        <f>HYPERLINK("https://www.spark-marketing.ru/Card/Person/4679235", "АО ""СИБНЕФТЕГАЗ""")</f>
        <v>АО "СИБНЕФТЕГАЗ"</v>
      </c>
      <c r="B4766" s="24" t="s">
        <v>6753</v>
      </c>
      <c r="C4766" s="28" t="s">
        <v>52</v>
      </c>
      <c r="D4766" s="22" t="s">
        <v>6754</v>
      </c>
      <c r="E4766" s="22" t="s">
        <v>6755</v>
      </c>
      <c r="F4766" s="23" t="str">
        <f>HYPERLINK("https://www.spark-marketing.ru/Card/Lot/71920268", "Оказание услуг по сопровождению строительного процесса по объектам деятельности заказчика")</f>
        <v>Оказание услуг по сопровождению строительного процесса по объектам деятельности заказчика</v>
      </c>
      <c r="G4766" s="22" t="s">
        <v>311</v>
      </c>
      <c r="H4766" s="22" t="s">
        <v>4513</v>
      </c>
      <c r="I4766" s="26">
        <v>43651.702777777798</v>
      </c>
      <c r="J4766" s="28" t="s">
        <v>52</v>
      </c>
      <c r="K4766" s="28" t="s">
        <v>52</v>
      </c>
      <c r="L4766" s="28" t="s">
        <v>52</v>
      </c>
      <c r="M4766" s="28" t="s">
        <v>52</v>
      </c>
      <c r="N4766" s="28" t="s">
        <v>52</v>
      </c>
    </row>
    <row r="4767" spans="1:14" x14ac:dyDescent="0.15">
      <c r="A4767" s="23" t="str">
        <f>HYPERLINK("https://www.spark-marketing.ru/Card/Person/6125328", "КФ АО ""АПАТИТ""")</f>
        <v>КФ АО "АПАТИТ"</v>
      </c>
      <c r="B4767" s="24" t="s">
        <v>6756</v>
      </c>
      <c r="C4767" s="28" t="s">
        <v>52</v>
      </c>
      <c r="D4767" s="22" t="s">
        <v>6757</v>
      </c>
      <c r="E4767" s="22" t="s">
        <v>53</v>
      </c>
      <c r="F4767" s="23" t="str">
        <f>HYPERLINK("https://www.spark-marketing.ru/Card/Lot/71934465", "Оборудование видеонаблюдением пункта обслуживания самоходной техники 3, 8, 14 уч")</f>
        <v>Оборудование видеонаблюдением пункта обслуживания самоходной техники 3, 8, 14 уч</v>
      </c>
      <c r="G4767" s="22" t="s">
        <v>902</v>
      </c>
      <c r="H4767" s="22" t="s">
        <v>4598</v>
      </c>
      <c r="I4767" s="26">
        <v>43651.704861111102</v>
      </c>
      <c r="J4767" s="28" t="s">
        <v>52</v>
      </c>
      <c r="K4767" s="28" t="s">
        <v>52</v>
      </c>
      <c r="L4767" s="28" t="s">
        <v>52</v>
      </c>
      <c r="M4767" s="28" t="s">
        <v>52</v>
      </c>
      <c r="N4767" s="28" t="s">
        <v>52</v>
      </c>
    </row>
    <row r="4768" spans="1:14" x14ac:dyDescent="0.15">
      <c r="A4768" s="23" t="str">
        <f>HYPERLINK("https://www.spark-marketing.ru/Card/Person/64202", "УПРАВЛЕНИЕ РОСРЕЕСТРА ПО ТУЛЬСКОЙ ОБЛАСТИ")</f>
        <v>УПРАВЛЕНИЕ РОСРЕЕСТРА ПО ТУЛЬСКОЙ ОБЛАСТИ</v>
      </c>
      <c r="B4768" s="24" t="s">
        <v>6758</v>
      </c>
      <c r="C4768" s="25">
        <v>98201.52</v>
      </c>
      <c r="D4768" s="22" t="s">
        <v>6759</v>
      </c>
      <c r="E4768" s="22" t="s">
        <v>53</v>
      </c>
      <c r="F4768" s="23" t="str">
        <f>HYPERLINK("https://www.spark-marketing.ru/Card/Lot/71918511", "обеспечению внутриобъектового и пропускного режимов здания")</f>
        <v>обеспечению внутриобъектового и пропускного режимов здания</v>
      </c>
      <c r="G4768" s="22" t="s">
        <v>818</v>
      </c>
      <c r="H4768" s="22" t="s">
        <v>819</v>
      </c>
      <c r="I4768" s="26">
        <v>43651.672986111102</v>
      </c>
      <c r="J4768" s="28" t="s">
        <v>52</v>
      </c>
      <c r="K4768" s="28" t="s">
        <v>52</v>
      </c>
      <c r="L4768" s="28" t="s">
        <v>52</v>
      </c>
      <c r="M4768" s="28" t="s">
        <v>52</v>
      </c>
      <c r="N4768" s="28" t="s">
        <v>52</v>
      </c>
    </row>
    <row r="4769" spans="1:14" x14ac:dyDescent="0.2">
      <c r="A4769" s="23" t="str">
        <f>HYPERLINK("https://www.spark-marketing.ru/Card/Person/182125", "ГУП АМУРСКОЙ ОБЛАСТИ ""АЭРОПОРТ БЛАГОВЕЩЕНСК""")</f>
        <v>ГУП АМУРСКОЙ ОБЛАСТИ "АЭРОПОРТ БЛАГОВЕЩЕНСК"</v>
      </c>
      <c r="B4769" s="24" t="s">
        <v>6760</v>
      </c>
      <c r="C4769" s="25">
        <v>438758.01</v>
      </c>
      <c r="D4769" s="22" t="s">
        <v>6761</v>
      </c>
      <c r="E4769" s="22" t="s">
        <v>49</v>
      </c>
      <c r="F4769" s="23" t="str">
        <f>HYPERLINK("https://www.spark-marketing.ru/Card/Lot/71909564", "Выполнение работ по установке аудио/видео системы")</f>
        <v>Выполнение работ по установке аудио/видео системы</v>
      </c>
      <c r="G4769" s="22" t="s">
        <v>230</v>
      </c>
      <c r="H4769" s="22" t="s">
        <v>230</v>
      </c>
      <c r="I4769" s="26">
        <v>43651.637511574103</v>
      </c>
      <c r="J4769" s="28" t="s">
        <v>52</v>
      </c>
      <c r="K4769" s="28" t="s">
        <v>52</v>
      </c>
      <c r="L4769" s="28" t="s">
        <v>52</v>
      </c>
      <c r="M4769" s="25">
        <v>380000</v>
      </c>
      <c r="N4769" s="27">
        <v>0.13391894543418137</v>
      </c>
    </row>
    <row r="4770" spans="1:14" x14ac:dyDescent="0.15">
      <c r="A4770" s="23" t="str">
        <f>HYPERLINK("https://www.spark-marketing.ru/Card/Person/59803", "ГУТО ""ТУЛЬСКИЙ ПСИХОНЕВРОЛОГИЧЕСКИЙ ИНТЕРНАТ""")</f>
        <v>ГУТО "ТУЛЬСКИЙ ПСИХОНЕВРОЛОГИЧЕСКИЙ ИНТЕРНАТ"</v>
      </c>
      <c r="B4770" s="24" t="s">
        <v>6762</v>
      </c>
      <c r="C4770" s="25">
        <v>336720</v>
      </c>
      <c r="D4770" s="22" t="s">
        <v>6763</v>
      </c>
      <c r="E4770" s="22" t="s">
        <v>52</v>
      </c>
      <c r="F4770" s="23" t="str">
        <f>HYPERLINK("https://www.spark-marketing.ru/Card/Lot/71930965", "Оказание охранных услуг")</f>
        <v>Оказание охранных услуг</v>
      </c>
      <c r="G4770" s="22" t="s">
        <v>818</v>
      </c>
      <c r="H4770" s="22" t="s">
        <v>2391</v>
      </c>
      <c r="I4770" s="26">
        <v>43651.645543981504</v>
      </c>
      <c r="J4770" s="28" t="s">
        <v>52</v>
      </c>
      <c r="K4770" s="28" t="s">
        <v>52</v>
      </c>
      <c r="L4770" s="28" t="s">
        <v>52</v>
      </c>
      <c r="M4770" s="28" t="s">
        <v>52</v>
      </c>
      <c r="N4770" s="28" t="s">
        <v>52</v>
      </c>
    </row>
    <row r="4771" spans="1:14" hidden="1" outlineLevel="1" x14ac:dyDescent="0.2">
      <c r="A4771" s="23" t="str">
        <f>HYPERLINK("https://www.spark-marketing.ru/Card/Person/59803", "ГУТО ""ТУЛЬСКИЙ ПСИХОНЕВРОЛОГИЧЕСКИЙ ИНТЕРНАТ""")</f>
        <v>ГУТО "ТУЛЬСКИЙ ПСИХОНЕВРОЛОГИЧЕСКИЙ ИНТЕРНАТ"</v>
      </c>
      <c r="B4771" s="24" t="s">
        <v>6762</v>
      </c>
      <c r="C4771" s="25">
        <v>336720</v>
      </c>
      <c r="D4771" s="22" t="s">
        <v>6763</v>
      </c>
      <c r="E4771" s="22" t="s">
        <v>52</v>
      </c>
      <c r="F4771" s="23" t="str">
        <f>HYPERLINK("https://www.spark-marketing.ru/Card/Lot/71930965", "Оказание охранных услуг")</f>
        <v>Оказание охранных услуг</v>
      </c>
      <c r="G4771" s="22" t="s">
        <v>818</v>
      </c>
      <c r="H4771" s="22" t="s">
        <v>2391</v>
      </c>
      <c r="I4771" s="26">
        <v>43651.645543981504</v>
      </c>
      <c r="J4771" s="23" t="str">
        <f>HYPERLINK("https://www.spark-marketing.ru/Card/Person/4419750", "ООО ""ЧОП ЗВЕЗДА""")</f>
        <v>ООО "ЧОП ЗВЕЗДА"</v>
      </c>
      <c r="K4771" s="24" t="s">
        <v>6764</v>
      </c>
      <c r="L4771" s="28" t="s">
        <v>52</v>
      </c>
      <c r="M4771" s="25">
        <v>335036.40000000002</v>
      </c>
      <c r="N4771" s="27">
        <v>5.0000000000000001E-3</v>
      </c>
    </row>
    <row r="4772" spans="1:14" ht="12.75" hidden="1" outlineLevel="1" x14ac:dyDescent="0.2">
      <c r="A4772" s="23" t="str">
        <f>HYPERLINK("https://www.spark-marketing.ru/Card/Person/59803", "ГУТО ""ТУЛЬСКИЙ ПСИХОНЕВРОЛОГИЧЕСКИЙ ИНТЕРНАТ""")</f>
        <v>ГУТО "ТУЛЬСКИЙ ПСИХОНЕВРОЛОГИЧЕСКИЙ ИНТЕРНАТ"</v>
      </c>
      <c r="B4772" s="24" t="s">
        <v>6762</v>
      </c>
      <c r="C4772" s="25">
        <v>336720</v>
      </c>
      <c r="D4772" s="22" t="s">
        <v>6763</v>
      </c>
      <c r="E4772" s="22" t="s">
        <v>52</v>
      </c>
      <c r="F4772" s="23" t="str">
        <f>HYPERLINK("https://www.spark-marketing.ru/Card/Lot/71930965", "Оказание охранных услуг")</f>
        <v>Оказание охранных услуг</v>
      </c>
      <c r="G4772" s="22" t="s">
        <v>818</v>
      </c>
      <c r="H4772" s="22" t="s">
        <v>2391</v>
      </c>
      <c r="I4772" s="26">
        <v>43651.645543981504</v>
      </c>
      <c r="J4772" s="23" t="str">
        <f>HYPERLINK("https://www.spark-marketing.ru/Card/Person/88216", "ООО ЧОО ""ПРАЙД""")</f>
        <v>ООО ЧОО "ПРАЙД"</v>
      </c>
      <c r="K4772" s="24" t="s">
        <v>1328</v>
      </c>
      <c r="L4772" s="22" t="s">
        <v>10</v>
      </c>
      <c r="M4772" s="25">
        <v>335036.40000000002</v>
      </c>
      <c r="N4772" s="27">
        <v>5.0000000000000001E-3</v>
      </c>
    </row>
    <row r="4773" spans="1:14" x14ac:dyDescent="0.15">
      <c r="A4773" s="23" t="str">
        <f>HYPERLINK("https://www.spark-marketing.ru/Card/Person/1781173", "ООО «СМИКОМ»")</f>
        <v>ООО «СМИКОМ»</v>
      </c>
      <c r="B4773" s="24" t="s">
        <v>6765</v>
      </c>
      <c r="C4773" s="25">
        <v>0</v>
      </c>
      <c r="D4773" s="22" t="s">
        <v>6766</v>
      </c>
      <c r="E4773" s="22" t="s">
        <v>6767</v>
      </c>
      <c r="F4773" s="23" t="str">
        <f>HYPERLINK("https://www.spark-marketing.ru/Card/Lot/71920385", "Мачта для размещения оборудования освещения и видеонаблюдения, с площадкой для обслуживания и лестницей")</f>
        <v>Мачта для размещения оборудования освещения и видеонаблюдения, с площадкой для обслуживания и лестницей</v>
      </c>
      <c r="G4773" s="22" t="s">
        <v>186</v>
      </c>
      <c r="H4773" s="22" t="s">
        <v>6768</v>
      </c>
      <c r="I4773" s="26">
        <v>43651.629016203697</v>
      </c>
      <c r="J4773" s="28" t="s">
        <v>52</v>
      </c>
      <c r="K4773" s="28" t="s">
        <v>52</v>
      </c>
      <c r="L4773" s="28" t="s">
        <v>52</v>
      </c>
      <c r="M4773" s="28" t="s">
        <v>52</v>
      </c>
      <c r="N4773" s="28" t="s">
        <v>52</v>
      </c>
    </row>
    <row r="4774" spans="1:14" x14ac:dyDescent="0.15">
      <c r="A4774" s="23" t="str">
        <f>HYPERLINK("https://www.spark-marketing.ru/Card/Person/283255", "МЕЖРАЙОННАЯ ИФНС РОССИИ № 1 ПО НИЖЕГОРОДСКОЙ ОБЛАСТИ")</f>
        <v>МЕЖРАЙОННАЯ ИФНС РОССИИ № 1 ПО НИЖЕГОРОДСКОЙ ОБЛАСТИ</v>
      </c>
      <c r="B4774" s="24" t="s">
        <v>2971</v>
      </c>
      <c r="C4774" s="25">
        <v>26040.76</v>
      </c>
      <c r="D4774" s="22" t="s">
        <v>6769</v>
      </c>
      <c r="E4774" s="22" t="s">
        <v>53</v>
      </c>
      <c r="F4774" s="23" t="str">
        <f>HYPERLINK("https://www.spark-marketing.ru/Card/Lot/71917509", "Охрана имущества припомощи средств охранной сигнализации, выдающих по каналам связи информацию на системы ЦНП охраны, путем прибытия группы задержания охраны")</f>
        <v>Охрана имущества припомощи средств охранной сигнализации, выдающих по каналам связи информацию на системы ЦНП охраны, путем прибытия группы задержания охраны</v>
      </c>
      <c r="G4774" s="22" t="s">
        <v>64</v>
      </c>
      <c r="H4774" s="22" t="s">
        <v>2973</v>
      </c>
      <c r="I4774" s="26">
        <v>43651.659201388902</v>
      </c>
      <c r="J4774" s="28" t="s">
        <v>52</v>
      </c>
      <c r="K4774" s="28" t="s">
        <v>52</v>
      </c>
      <c r="L4774" s="28" t="s">
        <v>52</v>
      </c>
      <c r="M4774" s="28" t="s">
        <v>52</v>
      </c>
      <c r="N4774" s="28" t="s">
        <v>52</v>
      </c>
    </row>
    <row r="4775" spans="1:14" x14ac:dyDescent="0.15">
      <c r="A4775" s="23" t="str">
        <f>HYPERLINK("https://www.spark-marketing.ru/Card/Person/741795", "МАОУ ГИМНАЗИЯ № 17 Г.БЕЛОРЕЦК")</f>
        <v>МАОУ ГИМНАЗИЯ № 17 Г.БЕЛОРЕЦК</v>
      </c>
      <c r="B4775" s="24" t="s">
        <v>849</v>
      </c>
      <c r="C4775" s="25">
        <v>777600</v>
      </c>
      <c r="D4775" s="22" t="s">
        <v>6770</v>
      </c>
      <c r="E4775" s="22" t="s">
        <v>144</v>
      </c>
      <c r="F4775" s="23" t="str">
        <f>HYPERLINK("https://www.spark-marketing.ru/Card/Lot/71915563", "Услуги по физической охране объектов Заказчика.")</f>
        <v>Услуги по физической охране объектов Заказчика.</v>
      </c>
      <c r="G4775" s="22" t="s">
        <v>100</v>
      </c>
      <c r="H4775" s="22" t="s">
        <v>100</v>
      </c>
      <c r="I4775" s="26">
        <v>43651.6417476852</v>
      </c>
      <c r="J4775" s="28" t="s">
        <v>52</v>
      </c>
      <c r="K4775" s="28" t="s">
        <v>52</v>
      </c>
      <c r="L4775" s="28" t="s">
        <v>52</v>
      </c>
      <c r="M4775" s="28" t="s">
        <v>52</v>
      </c>
      <c r="N4775" s="28" t="s">
        <v>52</v>
      </c>
    </row>
    <row r="4776" spans="1:14" x14ac:dyDescent="0.15">
      <c r="A4776" s="23" t="str">
        <f>HYPERLINK("https://www.spark-marketing.ru/Card/Person/4347919", "МИНЮСТ ЧУВАШИИ")</f>
        <v>МИНЮСТ ЧУВАШИИ</v>
      </c>
      <c r="B4776" s="24" t="s">
        <v>6771</v>
      </c>
      <c r="C4776" s="25">
        <v>18649956</v>
      </c>
      <c r="D4776" s="22" t="s">
        <v>6772</v>
      </c>
      <c r="E4776" s="22" t="s">
        <v>1293</v>
      </c>
      <c r="F4776" s="23" t="str">
        <f>HYPERLINK("https://www.spark-marketing.ru/Card/Lot/71926742", "Поставка, установка и настройка системы аудио-видео фиксации и протоколирования судебных заседаний на судебных участках мировых судей Чувашской Республики")</f>
        <v>Поставка, установка и настройка системы аудио-видео фиксации и протоколирования судебных заседаний на судебных участках мировых судей Чувашской Республики</v>
      </c>
      <c r="G4776" s="22" t="s">
        <v>1137</v>
      </c>
      <c r="H4776" s="22" t="s">
        <v>1138</v>
      </c>
      <c r="I4776" s="26">
        <v>43651.652187500003</v>
      </c>
      <c r="J4776" s="23" t="str">
        <f>HYPERLINK("https://www.spark-marketing.ru/Card/Person/60217", "ООО ""ОРБИТА-СЕРВИС""")</f>
        <v>ООО "ОРБИТА-СЕРВИС"</v>
      </c>
      <c r="K4776" s="24" t="s">
        <v>6773</v>
      </c>
      <c r="L4776" s="22" t="s">
        <v>10</v>
      </c>
      <c r="M4776" s="28" t="s">
        <v>52</v>
      </c>
      <c r="N4776" s="28" t="s">
        <v>52</v>
      </c>
    </row>
    <row r="4777" spans="1:14" x14ac:dyDescent="0.15">
      <c r="A4777" s="23" t="str">
        <f t="shared" ref="A4777:A4785" si="213">HYPERLINK("https://www.spark-marketing.ru/Card/Person/38313", "ГБУ ""ЖИЛИЩНИК РАЙОНА СОЛНЦЕВО""")</f>
        <v>ГБУ "ЖИЛИЩНИК РАЙОНА СОЛНЦЕВО"</v>
      </c>
      <c r="B4777" s="24" t="s">
        <v>5349</v>
      </c>
      <c r="C4777" s="25">
        <v>4850606.3600000003</v>
      </c>
      <c r="D4777" s="22" t="s">
        <v>6774</v>
      </c>
      <c r="E4777" s="22" t="s">
        <v>84</v>
      </c>
      <c r="F4777" s="23" t="str">
        <f t="shared" ref="F4777:F4785" si="214">HYPERLINK("https://www.spark-marketing.ru/Card/Lot/71923959", "Установка камер видеонаблюдения")</f>
        <v>Установка камер видеонаблюдения</v>
      </c>
      <c r="G4777" s="22" t="s">
        <v>55</v>
      </c>
      <c r="H4777" s="22" t="s">
        <v>55</v>
      </c>
      <c r="I4777" s="26">
        <v>43651.645300925898</v>
      </c>
      <c r="J4777" s="28" t="s">
        <v>52</v>
      </c>
      <c r="K4777" s="28" t="s">
        <v>52</v>
      </c>
      <c r="L4777" s="28" t="s">
        <v>52</v>
      </c>
      <c r="M4777" s="28" t="s">
        <v>52</v>
      </c>
      <c r="N4777" s="28" t="s">
        <v>52</v>
      </c>
    </row>
    <row r="4778" spans="1:14" ht="12.75" hidden="1" outlineLevel="1" x14ac:dyDescent="0.2">
      <c r="A4778" s="23" t="str">
        <f t="shared" si="213"/>
        <v>ГБУ "ЖИЛИЩНИК РАЙОНА СОЛНЦЕВО"</v>
      </c>
      <c r="B4778" s="24" t="s">
        <v>5349</v>
      </c>
      <c r="C4778" s="25">
        <v>4850606.3600000003</v>
      </c>
      <c r="D4778" s="22" t="s">
        <v>6774</v>
      </c>
      <c r="E4778" s="22" t="s">
        <v>84</v>
      </c>
      <c r="F4778" s="23" t="str">
        <f t="shared" si="214"/>
        <v>Установка камер видеонаблюдения</v>
      </c>
      <c r="G4778" s="22" t="s">
        <v>55</v>
      </c>
      <c r="H4778" s="22" t="s">
        <v>55</v>
      </c>
      <c r="I4778" s="26">
        <v>43651.645300925898</v>
      </c>
      <c r="J4778" s="23" t="str">
        <f>HYPERLINK("https://www.spark-marketing.ru/Card/Person/1661952", "ООО ЧОО ""МИР БЕЗОПАСНОСТИ""")</f>
        <v>ООО ЧОО "МИР БЕЗОПАСНОСТИ"</v>
      </c>
      <c r="K4778" s="24" t="s">
        <v>3370</v>
      </c>
      <c r="L4778" s="22" t="s">
        <v>10</v>
      </c>
      <c r="M4778" s="25">
        <v>1572409.1</v>
      </c>
      <c r="N4778" s="27">
        <v>0.67583246643827843</v>
      </c>
    </row>
    <row r="4779" spans="1:14" hidden="1" outlineLevel="1" x14ac:dyDescent="0.2">
      <c r="A4779" s="23" t="str">
        <f t="shared" si="213"/>
        <v>ГБУ "ЖИЛИЩНИК РАЙОНА СОЛНЦЕВО"</v>
      </c>
      <c r="B4779" s="24" t="s">
        <v>5349</v>
      </c>
      <c r="C4779" s="25">
        <v>4850606.3600000003</v>
      </c>
      <c r="D4779" s="22" t="s">
        <v>6774</v>
      </c>
      <c r="E4779" s="22" t="s">
        <v>84</v>
      </c>
      <c r="F4779" s="23" t="str">
        <f t="shared" si="214"/>
        <v>Установка камер видеонаблюдения</v>
      </c>
      <c r="G4779" s="22" t="s">
        <v>55</v>
      </c>
      <c r="H4779" s="22" t="s">
        <v>55</v>
      </c>
      <c r="I4779" s="26">
        <v>43651.645300925898</v>
      </c>
      <c r="J4779" s="23" t="str">
        <f>HYPERLINK("https://www.spark-marketing.ru/Card/Person/6260794", "ООО ""МОБИЛЬ СВЯЗЬ""")</f>
        <v>ООО "МОБИЛЬ СВЯЗЬ"</v>
      </c>
      <c r="K4779" s="24" t="s">
        <v>6775</v>
      </c>
      <c r="L4779" s="28" t="s">
        <v>52</v>
      </c>
      <c r="M4779" s="25">
        <v>2130228.79</v>
      </c>
      <c r="N4779" s="27">
        <v>0.5608324749732938</v>
      </c>
    </row>
    <row r="4780" spans="1:14" hidden="1" outlineLevel="1" x14ac:dyDescent="0.2">
      <c r="A4780" s="23" t="str">
        <f t="shared" si="213"/>
        <v>ГБУ "ЖИЛИЩНИК РАЙОНА СОЛНЦЕВО"</v>
      </c>
      <c r="B4780" s="24" t="s">
        <v>5349</v>
      </c>
      <c r="C4780" s="25">
        <v>4850606.3600000003</v>
      </c>
      <c r="D4780" s="22" t="s">
        <v>6774</v>
      </c>
      <c r="E4780" s="22" t="s">
        <v>84</v>
      </c>
      <c r="F4780" s="23" t="str">
        <f t="shared" si="214"/>
        <v>Установка камер видеонаблюдения</v>
      </c>
      <c r="G4780" s="22" t="s">
        <v>55</v>
      </c>
      <c r="H4780" s="22" t="s">
        <v>55</v>
      </c>
      <c r="I4780" s="26">
        <v>43651.645300925898</v>
      </c>
      <c r="J4780" s="23" t="str">
        <f>HYPERLINK("https://www.spark-marketing.ru/Card/Person/4703308", "Малштейн Владимир Николаевич")</f>
        <v>Малштейн Владимир Николаевич</v>
      </c>
      <c r="K4780" s="24" t="s">
        <v>5353</v>
      </c>
      <c r="L4780" s="28" t="s">
        <v>52</v>
      </c>
      <c r="M4780" s="25">
        <v>1596662.13</v>
      </c>
      <c r="N4780" s="27">
        <v>0.67083246680936603</v>
      </c>
    </row>
    <row r="4781" spans="1:14" hidden="1" outlineLevel="1" x14ac:dyDescent="0.2">
      <c r="A4781" s="23" t="str">
        <f t="shared" si="213"/>
        <v>ГБУ "ЖИЛИЩНИК РАЙОНА СОЛНЦЕВО"</v>
      </c>
      <c r="B4781" s="24" t="s">
        <v>5349</v>
      </c>
      <c r="C4781" s="25">
        <v>4850606.3600000003</v>
      </c>
      <c r="D4781" s="22" t="s">
        <v>6774</v>
      </c>
      <c r="E4781" s="22" t="s">
        <v>84</v>
      </c>
      <c r="F4781" s="23" t="str">
        <f t="shared" si="214"/>
        <v>Установка камер видеонаблюдения</v>
      </c>
      <c r="G4781" s="22" t="s">
        <v>55</v>
      </c>
      <c r="H4781" s="22" t="s">
        <v>55</v>
      </c>
      <c r="I4781" s="26">
        <v>43651.645300925898</v>
      </c>
      <c r="J4781" s="23" t="str">
        <f>HYPERLINK("https://www.spark-marketing.ru/Card/Person/5857886", "ООО ""МИРКОН""")</f>
        <v>ООО "МИРКОН"</v>
      </c>
      <c r="K4781" s="24" t="s">
        <v>6776</v>
      </c>
      <c r="L4781" s="28" t="s">
        <v>52</v>
      </c>
      <c r="M4781" s="25">
        <v>2154481.8199999998</v>
      </c>
      <c r="N4781" s="27">
        <v>0.55583247534438152</v>
      </c>
    </row>
    <row r="4782" spans="1:14" hidden="1" outlineLevel="1" x14ac:dyDescent="0.2">
      <c r="A4782" s="23" t="str">
        <f t="shared" si="213"/>
        <v>ГБУ "ЖИЛИЩНИК РАЙОНА СОЛНЦЕВО"</v>
      </c>
      <c r="B4782" s="24" t="s">
        <v>5349</v>
      </c>
      <c r="C4782" s="25">
        <v>4850606.3600000003</v>
      </c>
      <c r="D4782" s="22" t="s">
        <v>6774</v>
      </c>
      <c r="E4782" s="22" t="s">
        <v>84</v>
      </c>
      <c r="F4782" s="23" t="str">
        <f t="shared" si="214"/>
        <v>Установка камер видеонаблюдения</v>
      </c>
      <c r="G4782" s="22" t="s">
        <v>55</v>
      </c>
      <c r="H4782" s="22" t="s">
        <v>55</v>
      </c>
      <c r="I4782" s="26">
        <v>43651.645300925898</v>
      </c>
      <c r="J4782" s="23" t="str">
        <f>HYPERLINK("https://www.spark-marketing.ru/Card/Person/4954405", "ООО ""АНГАРЕЙОН-СБ""")</f>
        <v>ООО "АНГАРЕЙОН-СБ"</v>
      </c>
      <c r="K4782" s="24" t="s">
        <v>3508</v>
      </c>
      <c r="L4782" s="28" t="s">
        <v>52</v>
      </c>
      <c r="M4782" s="25">
        <v>1814939.4</v>
      </c>
      <c r="N4782" s="27">
        <v>0.62583247014915466</v>
      </c>
    </row>
    <row r="4783" spans="1:14" hidden="1" outlineLevel="1" x14ac:dyDescent="0.2">
      <c r="A4783" s="23" t="str">
        <f t="shared" si="213"/>
        <v>ГБУ "ЖИЛИЩНИК РАЙОНА СОЛНЦЕВО"</v>
      </c>
      <c r="B4783" s="24" t="s">
        <v>5349</v>
      </c>
      <c r="C4783" s="25">
        <v>4850606.3600000003</v>
      </c>
      <c r="D4783" s="22" t="s">
        <v>6774</v>
      </c>
      <c r="E4783" s="22" t="s">
        <v>84</v>
      </c>
      <c r="F4783" s="23" t="str">
        <f t="shared" si="214"/>
        <v>Установка камер видеонаблюдения</v>
      </c>
      <c r="G4783" s="22" t="s">
        <v>55</v>
      </c>
      <c r="H4783" s="22" t="s">
        <v>55</v>
      </c>
      <c r="I4783" s="26">
        <v>43651.645300925898</v>
      </c>
      <c r="J4783" s="23" t="str">
        <f>HYPERLINK("https://www.spark-marketing.ru/Card/Person/103183", "ООО КОМПАНИЯ ""ИНТЕГРАТОР""")</f>
        <v>ООО КОМПАНИЯ "ИНТЕГРАТОР"</v>
      </c>
      <c r="K4783" s="24" t="s">
        <v>6777</v>
      </c>
      <c r="L4783" s="28" t="s">
        <v>52</v>
      </c>
      <c r="M4783" s="25">
        <v>4001750.31</v>
      </c>
      <c r="N4783" s="27">
        <v>0.17499998701193309</v>
      </c>
    </row>
    <row r="4784" spans="1:14" hidden="1" outlineLevel="1" x14ac:dyDescent="0.2">
      <c r="A4784" s="23" t="str">
        <f t="shared" si="213"/>
        <v>ГБУ "ЖИЛИЩНИК РАЙОНА СОЛНЦЕВО"</v>
      </c>
      <c r="B4784" s="24" t="s">
        <v>5349</v>
      </c>
      <c r="C4784" s="25">
        <v>4850606.3600000003</v>
      </c>
      <c r="D4784" s="22" t="s">
        <v>6774</v>
      </c>
      <c r="E4784" s="22" t="s">
        <v>84</v>
      </c>
      <c r="F4784" s="23" t="str">
        <f t="shared" si="214"/>
        <v>Установка камер видеонаблюдения</v>
      </c>
      <c r="G4784" s="22" t="s">
        <v>55</v>
      </c>
      <c r="H4784" s="22" t="s">
        <v>55</v>
      </c>
      <c r="I4784" s="26">
        <v>43651.645300925898</v>
      </c>
      <c r="J4784" s="23" t="str">
        <f>HYPERLINK("https://www.spark-marketing.ru/Card/Person/715741", "ООО ""ТЕХНОКРАТ""")</f>
        <v>ООО "ТЕХНОКРАТ"</v>
      </c>
      <c r="K4784" s="24" t="s">
        <v>6556</v>
      </c>
      <c r="L4784" s="28" t="s">
        <v>52</v>
      </c>
      <c r="M4784" s="25">
        <v>2033216.67</v>
      </c>
      <c r="N4784" s="27">
        <v>0.5808324734889434</v>
      </c>
    </row>
    <row r="4785" spans="1:14" hidden="1" outlineLevel="1" x14ac:dyDescent="0.2">
      <c r="A4785" s="23" t="str">
        <f t="shared" si="213"/>
        <v>ГБУ "ЖИЛИЩНИК РАЙОНА СОЛНЦЕВО"</v>
      </c>
      <c r="B4785" s="24" t="s">
        <v>5349</v>
      </c>
      <c r="C4785" s="25">
        <v>4850606.3600000003</v>
      </c>
      <c r="D4785" s="22" t="s">
        <v>6774</v>
      </c>
      <c r="E4785" s="22" t="s">
        <v>84</v>
      </c>
      <c r="F4785" s="23" t="str">
        <f t="shared" si="214"/>
        <v>Установка камер видеонаблюдения</v>
      </c>
      <c r="G4785" s="22" t="s">
        <v>55</v>
      </c>
      <c r="H4785" s="22" t="s">
        <v>55</v>
      </c>
      <c r="I4785" s="26">
        <v>43651.645300925898</v>
      </c>
      <c r="J4785" s="23" t="str">
        <f>HYPERLINK("https://www.spark-marketing.ru/Card/Person/1396486", "ООО ""ВЫМПЕЛ-СБ""")</f>
        <v>ООО "ВЫМПЕЛ-СБ"</v>
      </c>
      <c r="K4785" s="24" t="s">
        <v>6778</v>
      </c>
      <c r="L4785" s="28" t="s">
        <v>52</v>
      </c>
      <c r="M4785" s="25">
        <v>2475746.9700000002</v>
      </c>
      <c r="N4785" s="27">
        <v>0.48960051872772459</v>
      </c>
    </row>
    <row r="4786" spans="1:14" x14ac:dyDescent="0.15">
      <c r="A4786" s="23" t="str">
        <f>HYPERLINK("https://www.spark-marketing.ru/Card/Person/1067849", "МБОУ ""ГИМНАЗИЯ ИМ. А.П.ЧЕХОВА""")</f>
        <v>МБОУ "ГИМНАЗИЯ ИМ. А.П.ЧЕХОВА"</v>
      </c>
      <c r="B4786" s="24" t="s">
        <v>6779</v>
      </c>
      <c r="C4786" s="25">
        <v>352000</v>
      </c>
      <c r="D4786" s="22" t="s">
        <v>6780</v>
      </c>
      <c r="E4786" s="22" t="s">
        <v>294</v>
      </c>
      <c r="F4786" s="23" t="str">
        <f>HYPERLINK("https://www.spark-marketing.ru/Card/Lot/71915448", "выполнение монтажных работ по установке системы видеонаблюдения для проведения ГИА в МБОУ ""Гимназия им. А.П. Чехова""")</f>
        <v>выполнение монтажных работ по установке системы видеонаблюдения для проведения ГИА в МБОУ "Гимназия им. А.П. Чехова"</v>
      </c>
      <c r="G4786" s="22" t="s">
        <v>402</v>
      </c>
      <c r="H4786" s="22" t="s">
        <v>6781</v>
      </c>
      <c r="I4786" s="26">
        <v>43651.601388888899</v>
      </c>
      <c r="J4786" s="28" t="s">
        <v>52</v>
      </c>
      <c r="K4786" s="28" t="s">
        <v>52</v>
      </c>
      <c r="L4786" s="28" t="s">
        <v>52</v>
      </c>
      <c r="M4786" s="28" t="s">
        <v>52</v>
      </c>
      <c r="N4786" s="28" t="s">
        <v>52</v>
      </c>
    </row>
    <row r="4787" spans="1:14" x14ac:dyDescent="0.15">
      <c r="A4787" s="23" t="str">
        <f>HYPERLINK("https://www.spark-marketing.ru/Card/Person/1781080", "АО ""ПРОМЫШЛЕННЫЕ ИННОВАЦИИ""")</f>
        <v>АО "ПРОМЫШЛЕННЫЕ ИННОВАЦИИ"</v>
      </c>
      <c r="B4787" s="24" t="s">
        <v>6626</v>
      </c>
      <c r="C4787" s="25">
        <v>18754205.59</v>
      </c>
      <c r="D4787" s="22" t="s">
        <v>6782</v>
      </c>
      <c r="E4787" s="22" t="s">
        <v>842</v>
      </c>
      <c r="F4787" s="23" t="str">
        <f>HYPERLINK("https://www.spark-marketing.ru/Card/Lot/71919781", "Выполнение работ по монтажу технологического оборудования установки плазмохимической конверсии фторидов, систем контроля, сигнализации, вентиляции")</f>
        <v>Выполнение работ по монтажу технологического оборудования установки плазмохимической конверсии фторидов, систем контроля, сигнализации, вентиляции</v>
      </c>
      <c r="G4787" s="22" t="s">
        <v>55</v>
      </c>
      <c r="H4787" s="22" t="s">
        <v>55</v>
      </c>
      <c r="I4787" s="26">
        <v>43651.586319444403</v>
      </c>
      <c r="J4787" s="28" t="s">
        <v>52</v>
      </c>
      <c r="K4787" s="28" t="s">
        <v>52</v>
      </c>
      <c r="L4787" s="28" t="s">
        <v>52</v>
      </c>
      <c r="M4787" s="28" t="s">
        <v>52</v>
      </c>
      <c r="N4787" s="28" t="s">
        <v>52</v>
      </c>
    </row>
    <row r="4788" spans="1:14" x14ac:dyDescent="0.2">
      <c r="A4788" s="23" t="str">
        <f>HYPERLINK("https://www.spark-marketing.ru/Card/Person/138022", "ГУ ""КПАТ""")</f>
        <v>ГУ "КПАТ"</v>
      </c>
      <c r="B4788" s="24" t="s">
        <v>2862</v>
      </c>
      <c r="C4788" s="25">
        <v>4252334.4000000004</v>
      </c>
      <c r="D4788" s="22" t="s">
        <v>6783</v>
      </c>
      <c r="E4788" s="22" t="s">
        <v>5223</v>
      </c>
      <c r="F4788" s="23" t="str">
        <f>HYPERLINK("https://www.spark-marketing.ru/Card/Lot/71909975", "Оказание услуг по физической охране объекта")</f>
        <v>Оказание услуг по физической охране объекта</v>
      </c>
      <c r="G4788" s="22" t="s">
        <v>367</v>
      </c>
      <c r="H4788" s="22" t="s">
        <v>367</v>
      </c>
      <c r="I4788" s="26">
        <v>43651.551030092603</v>
      </c>
      <c r="J4788" s="28" t="s">
        <v>52</v>
      </c>
      <c r="K4788" s="28" t="s">
        <v>52</v>
      </c>
      <c r="L4788" s="28" t="s">
        <v>52</v>
      </c>
      <c r="M4788" s="25">
        <v>3399115.2</v>
      </c>
      <c r="N4788" s="27">
        <v>0.20064724919093851</v>
      </c>
    </row>
    <row r="4789" spans="1:14" x14ac:dyDescent="0.2">
      <c r="A4789" s="23" t="str">
        <f>HYPERLINK("https://www.spark-marketing.ru/Card/Person/138022", "ГУ ""КПАТ""")</f>
        <v>ГУ "КПАТ"</v>
      </c>
      <c r="B4789" s="24" t="s">
        <v>2862</v>
      </c>
      <c r="C4789" s="25">
        <v>1085702.3999999999</v>
      </c>
      <c r="D4789" s="22" t="s">
        <v>6783</v>
      </c>
      <c r="E4789" s="22" t="s">
        <v>5223</v>
      </c>
      <c r="F4789" s="23" t="str">
        <f>HYPERLINK("https://www.spark-marketing.ru/Card/Lot/71909979", "Оказание услуг по физической охране объекта")</f>
        <v>Оказание услуг по физической охране объекта</v>
      </c>
      <c r="G4789" s="22" t="s">
        <v>367</v>
      </c>
      <c r="H4789" s="22" t="s">
        <v>367</v>
      </c>
      <c r="I4789" s="26">
        <v>43651.551030092603</v>
      </c>
      <c r="J4789" s="28" t="s">
        <v>52</v>
      </c>
      <c r="K4789" s="28" t="s">
        <v>52</v>
      </c>
      <c r="L4789" s="28" t="s">
        <v>52</v>
      </c>
      <c r="M4789" s="25">
        <v>867859.2</v>
      </c>
      <c r="N4789" s="27">
        <v>0.20064724919093851</v>
      </c>
    </row>
    <row r="4790" spans="1:14" x14ac:dyDescent="0.2">
      <c r="A4790" s="23" t="str">
        <f>HYPERLINK("https://www.spark-marketing.ru/Card/Person/138022", "ГУ ""КПАТ""")</f>
        <v>ГУ "КПАТ"</v>
      </c>
      <c r="B4790" s="24" t="s">
        <v>2862</v>
      </c>
      <c r="C4790" s="25">
        <v>2804731.2</v>
      </c>
      <c r="D4790" s="22" t="s">
        <v>6783</v>
      </c>
      <c r="E4790" s="22" t="s">
        <v>5223</v>
      </c>
      <c r="F4790" s="23" t="str">
        <f>HYPERLINK("https://www.spark-marketing.ru/Card/Lot/71909974", "Оказание услуг по физической охране объекта")</f>
        <v>Оказание услуг по физической охране объекта</v>
      </c>
      <c r="G4790" s="22" t="s">
        <v>367</v>
      </c>
      <c r="H4790" s="22" t="s">
        <v>367</v>
      </c>
      <c r="I4790" s="26">
        <v>43651.551030092603</v>
      </c>
      <c r="J4790" s="28" t="s">
        <v>52</v>
      </c>
      <c r="K4790" s="28" t="s">
        <v>52</v>
      </c>
      <c r="L4790" s="28" t="s">
        <v>52</v>
      </c>
      <c r="M4790" s="25">
        <v>2241969.6</v>
      </c>
      <c r="N4790" s="27">
        <v>0.20064724919093851</v>
      </c>
    </row>
    <row r="4791" spans="1:14" x14ac:dyDescent="0.2">
      <c r="A4791" s="23" t="str">
        <f>HYPERLINK("https://www.spark-marketing.ru/Card/Person/138022", "ГУ ""КПАТ""")</f>
        <v>ГУ "КПАТ"</v>
      </c>
      <c r="B4791" s="24" t="s">
        <v>2862</v>
      </c>
      <c r="C4791" s="25">
        <v>1628553.6</v>
      </c>
      <c r="D4791" s="22" t="s">
        <v>6783</v>
      </c>
      <c r="E4791" s="22" t="s">
        <v>5223</v>
      </c>
      <c r="F4791" s="23" t="str">
        <f>HYPERLINK("https://www.spark-marketing.ru/Card/Lot/71909978", "Оказание услуг по физической охране объекта")</f>
        <v>Оказание услуг по физической охране объекта</v>
      </c>
      <c r="G4791" s="22" t="s">
        <v>367</v>
      </c>
      <c r="H4791" s="22" t="s">
        <v>367</v>
      </c>
      <c r="I4791" s="26">
        <v>43651.551030092603</v>
      </c>
      <c r="J4791" s="28" t="s">
        <v>52</v>
      </c>
      <c r="K4791" s="28" t="s">
        <v>52</v>
      </c>
      <c r="L4791" s="28" t="s">
        <v>52</v>
      </c>
      <c r="M4791" s="25">
        <v>1301788.8</v>
      </c>
      <c r="N4791" s="27">
        <v>0.20064724919093851</v>
      </c>
    </row>
    <row r="4792" spans="1:14" x14ac:dyDescent="0.2">
      <c r="A4792" s="23" t="str">
        <f>HYPERLINK("https://www.spark-marketing.ru/Card/Person/138022", "ГУ ""КПАТ""")</f>
        <v>ГУ "КПАТ"</v>
      </c>
      <c r="B4792" s="24" t="s">
        <v>2862</v>
      </c>
      <c r="C4792" s="25">
        <v>1719028.8</v>
      </c>
      <c r="D4792" s="22" t="s">
        <v>6783</v>
      </c>
      <c r="E4792" s="22" t="s">
        <v>5223</v>
      </c>
      <c r="F4792" s="23" t="str">
        <f>HYPERLINK("https://www.spark-marketing.ru/Card/Lot/71909976", "Оказание услуг по физической охране объекта")</f>
        <v>Оказание услуг по физической охране объекта</v>
      </c>
      <c r="G4792" s="22" t="s">
        <v>367</v>
      </c>
      <c r="H4792" s="22" t="s">
        <v>367</v>
      </c>
      <c r="I4792" s="26">
        <v>43651.551030092603</v>
      </c>
      <c r="J4792" s="28" t="s">
        <v>52</v>
      </c>
      <c r="K4792" s="28" t="s">
        <v>52</v>
      </c>
      <c r="L4792" s="28" t="s">
        <v>52</v>
      </c>
      <c r="M4792" s="25">
        <v>1374110.4</v>
      </c>
      <c r="N4792" s="27">
        <v>0.20064724919093851</v>
      </c>
    </row>
    <row r="4793" spans="1:14" x14ac:dyDescent="0.15">
      <c r="A4793" s="23" t="str">
        <f>HYPERLINK("https://www.spark-marketing.ru/Card/Person/561137", "УПРАВЛЕНИЕ МИНЮСТА РОССИИ ПО СМОЛЕНСКОЙ ОБЛАСТИ")</f>
        <v>УПРАВЛЕНИЕ МИНЮСТА РОССИИ ПО СМОЛЕНСКОЙ ОБЛАСТИ</v>
      </c>
      <c r="B4793" s="24" t="s">
        <v>6566</v>
      </c>
      <c r="C4793" s="25">
        <v>2460.96</v>
      </c>
      <c r="D4793" s="22" t="s">
        <v>6784</v>
      </c>
      <c r="E4793" s="22" t="s">
        <v>107</v>
      </c>
      <c r="F4793" s="23" t="str">
        <f>HYPERLINK("https://www.spark-marketing.ru/Card/Lot/71913457", "Техническое обслуживание сигнализации, 8 шт")</f>
        <v>Техническое обслуживание сигнализации, 8 шт</v>
      </c>
      <c r="G4793" s="22" t="s">
        <v>956</v>
      </c>
      <c r="H4793" s="22" t="s">
        <v>1451</v>
      </c>
      <c r="I4793" s="26">
        <v>43651.551840277803</v>
      </c>
      <c r="J4793" s="28" t="s">
        <v>52</v>
      </c>
      <c r="K4793" s="28" t="s">
        <v>52</v>
      </c>
      <c r="L4793" s="28" t="s">
        <v>52</v>
      </c>
      <c r="M4793" s="28" t="s">
        <v>52</v>
      </c>
      <c r="N4793" s="28" t="s">
        <v>52</v>
      </c>
    </row>
    <row r="4794" spans="1:14" x14ac:dyDescent="0.15">
      <c r="A4794" s="23" t="str">
        <f>HYPERLINK("https://www.spark-marketing.ru/Card/Person/71889", "ФГУП ""ГУО МИД РОССИИ""")</f>
        <v>ФГУП "ГУО МИД РОССИИ"</v>
      </c>
      <c r="B4794" s="24" t="s">
        <v>6785</v>
      </c>
      <c r="C4794" s="25">
        <v>305617</v>
      </c>
      <c r="D4794" s="22" t="s">
        <v>6786</v>
      </c>
      <c r="E4794" s="22" t="s">
        <v>999</v>
      </c>
      <c r="F4794" s="23" t="str">
        <f>HYPERLINK("https://www.spark-marketing.ru/Card/Lot/71915198", "Оборудование транспортных средств тахографами с блоком Средства Криптографической Защиты Информации (СКЗИ) и изготовление карт водителей")</f>
        <v>Оборудование транспортных средств тахографами с блоком Средства Криптографической Защиты Информации (СКЗИ) и изготовление карт водителей</v>
      </c>
      <c r="G4794" s="22" t="s">
        <v>55</v>
      </c>
      <c r="H4794" s="22" t="s">
        <v>55</v>
      </c>
      <c r="I4794" s="26">
        <v>43651.549780092602</v>
      </c>
      <c r="J4794" s="28" t="s">
        <v>52</v>
      </c>
      <c r="K4794" s="28" t="s">
        <v>52</v>
      </c>
      <c r="L4794" s="28" t="s">
        <v>52</v>
      </c>
      <c r="M4794" s="28" t="s">
        <v>52</v>
      </c>
      <c r="N4794" s="28" t="s">
        <v>52</v>
      </c>
    </row>
    <row r="4795" spans="1:14" x14ac:dyDescent="0.2">
      <c r="A4795" s="23" t="str">
        <f>HYPERLINK("https://www.spark-marketing.ru/Card/Person/138022", "ГУ ""КПАТ""")</f>
        <v>ГУ "КПАТ"</v>
      </c>
      <c r="B4795" s="24" t="s">
        <v>2862</v>
      </c>
      <c r="C4795" s="25">
        <v>1583316</v>
      </c>
      <c r="D4795" s="22" t="s">
        <v>6783</v>
      </c>
      <c r="E4795" s="22" t="s">
        <v>5223</v>
      </c>
      <c r="F4795" s="23" t="str">
        <f>HYPERLINK("https://www.spark-marketing.ru/Card/Lot/71909977", "Оказание услуг по физической охране объекта")</f>
        <v>Оказание услуг по физической охране объекта</v>
      </c>
      <c r="G4795" s="22" t="s">
        <v>367</v>
      </c>
      <c r="H4795" s="22" t="s">
        <v>367</v>
      </c>
      <c r="I4795" s="26">
        <v>43651.551030092603</v>
      </c>
      <c r="J4795" s="28" t="s">
        <v>52</v>
      </c>
      <c r="K4795" s="28" t="s">
        <v>52</v>
      </c>
      <c r="L4795" s="28" t="s">
        <v>52</v>
      </c>
      <c r="M4795" s="25">
        <v>1265628</v>
      </c>
      <c r="N4795" s="27">
        <v>0.20064724919093851</v>
      </c>
    </row>
    <row r="4796" spans="1:14" x14ac:dyDescent="0.2">
      <c r="A4796" s="23" t="str">
        <f>HYPERLINK("https://www.spark-marketing.ru/Card/Person/138022", "ГУ ""КПАТ""")</f>
        <v>ГУ "КПАТ"</v>
      </c>
      <c r="B4796" s="24" t="s">
        <v>2862</v>
      </c>
      <c r="C4796" s="25">
        <v>995227.2</v>
      </c>
      <c r="D4796" s="22" t="s">
        <v>6783</v>
      </c>
      <c r="E4796" s="22" t="s">
        <v>5223</v>
      </c>
      <c r="F4796" s="23" t="str">
        <f>HYPERLINK("https://www.spark-marketing.ru/Card/Lot/71909980", "Оказание услуг по физической охране объекта")</f>
        <v>Оказание услуг по физической охране объекта</v>
      </c>
      <c r="G4796" s="22" t="s">
        <v>367</v>
      </c>
      <c r="H4796" s="22" t="s">
        <v>367</v>
      </c>
      <c r="I4796" s="26">
        <v>43651.551030092603</v>
      </c>
      <c r="J4796" s="28" t="s">
        <v>52</v>
      </c>
      <c r="K4796" s="28" t="s">
        <v>52</v>
      </c>
      <c r="L4796" s="28" t="s">
        <v>52</v>
      </c>
      <c r="M4796" s="25">
        <v>795537.6</v>
      </c>
      <c r="N4796" s="27">
        <v>0.20064724919093851</v>
      </c>
    </row>
    <row r="4797" spans="1:14" x14ac:dyDescent="0.15">
      <c r="A4797" s="23" t="str">
        <f>HYPERLINK("https://www.spark-marketing.ru/Card/Person/1754074", "АО РОСЭКСИМБАНК")</f>
        <v>АО РОСЭКСИМБАНК</v>
      </c>
      <c r="B4797" s="24" t="s">
        <v>6787</v>
      </c>
      <c r="C4797" s="25">
        <v>1500000</v>
      </c>
      <c r="D4797" s="22" t="s">
        <v>6788</v>
      </c>
      <c r="E4797" s="22" t="s">
        <v>137</v>
      </c>
      <c r="F4797" s="23" t="str">
        <f>HYPERLINK("https://www.spark-marketing.ru/Card/Lot/71912996", "Услуги по техническому обслуживанию системы видеонаблюдения")</f>
        <v>Услуги по техническому обслуживанию системы видеонаблюдения</v>
      </c>
      <c r="G4797" s="22" t="s">
        <v>55</v>
      </c>
      <c r="H4797" s="22" t="s">
        <v>55</v>
      </c>
      <c r="I4797" s="26">
        <v>43651.503078703703</v>
      </c>
      <c r="J4797" s="28" t="s">
        <v>52</v>
      </c>
      <c r="K4797" s="28" t="s">
        <v>52</v>
      </c>
      <c r="L4797" s="28" t="s">
        <v>52</v>
      </c>
      <c r="M4797" s="28" t="s">
        <v>52</v>
      </c>
      <c r="N4797" s="28" t="s">
        <v>52</v>
      </c>
    </row>
    <row r="4798" spans="1:14" x14ac:dyDescent="0.15">
      <c r="A4798" s="23" t="str">
        <f t="shared" ref="A4798:A4805" si="215">HYPERLINK("https://www.spark-marketing.ru/Card/Person/4353300", "КГКУ ""ПРИМГОСАВТОНАДЗОР""")</f>
        <v>КГКУ "ПРИМГОСАВТОНАДЗОР"</v>
      </c>
      <c r="B4798" s="24" t="s">
        <v>407</v>
      </c>
      <c r="C4798" s="25">
        <v>50000000</v>
      </c>
      <c r="D4798" s="22" t="s">
        <v>6789</v>
      </c>
      <c r="E4798" s="22" t="s">
        <v>194</v>
      </c>
      <c r="F4798" s="23" t="str">
        <f t="shared" ref="F4798:F4805" si="216">HYPERLINK("https://www.spark-marketing.ru/Card/Lot/71928851", "поставка автоматизированных комплексов фото- и видеофиксации нарушений правил дорожного движения с проведением монтажных работ, электромонтажных работ, установкой и пуско-наладкой оборудования, интеграцией в информационную систему ЦАФАП УГИБДД УМВД Р...")</f>
        <v>поставка автоматизированных комплексов фото- и видеофиксации нарушений правил дорожного движения с проведением монтажных работ, электромонтажных работ, установкой и пуско-наладкой оборудования, интеграцией в информационную систему ЦАФАП УГИБДД УМВД Р...</v>
      </c>
      <c r="G4798" s="22" t="s">
        <v>409</v>
      </c>
      <c r="H4798" s="22" t="s">
        <v>409</v>
      </c>
      <c r="I4798" s="26">
        <v>43651.5327777778</v>
      </c>
      <c r="J4798" s="28" t="s">
        <v>52</v>
      </c>
      <c r="K4798" s="28" t="s">
        <v>52</v>
      </c>
      <c r="L4798" s="28" t="s">
        <v>52</v>
      </c>
      <c r="M4798" s="28" t="s">
        <v>52</v>
      </c>
      <c r="N4798" s="28" t="s">
        <v>52</v>
      </c>
    </row>
    <row r="4799" spans="1:14" hidden="1" outlineLevel="1" x14ac:dyDescent="0.2">
      <c r="A4799" s="23" t="str">
        <f t="shared" si="215"/>
        <v>КГКУ "ПРИМГОСАВТОНАДЗОР"</v>
      </c>
      <c r="B4799" s="24" t="s">
        <v>407</v>
      </c>
      <c r="C4799" s="25">
        <v>50000000</v>
      </c>
      <c r="D4799" s="22" t="s">
        <v>6789</v>
      </c>
      <c r="E4799" s="22" t="s">
        <v>194</v>
      </c>
      <c r="F4799" s="23" t="str">
        <f t="shared" si="216"/>
        <v>поставка автоматизированных комплексов фото- и видеофиксации нарушений правил дорожного движения с проведением монтажных работ, электромонтажных работ, установкой и пуско-наладкой оборудования, интеграцией в информационную систему ЦАФАП УГИБДД УМВД Р...</v>
      </c>
      <c r="G4799" s="22" t="s">
        <v>409</v>
      </c>
      <c r="H4799" s="22" t="s">
        <v>409</v>
      </c>
      <c r="I4799" s="26">
        <v>43651.5327777778</v>
      </c>
      <c r="J4799" s="23" t="str">
        <f>HYPERLINK("https://www.spark-marketing.ru/Card/Person/48512", "ООО ""КОРДА ГРУПП""")</f>
        <v>ООО "КОРДА ГРУПП"</v>
      </c>
      <c r="K4799" s="24" t="s">
        <v>4092</v>
      </c>
      <c r="L4799" s="28" t="s">
        <v>52</v>
      </c>
      <c r="M4799" s="25">
        <v>46750000</v>
      </c>
      <c r="N4799" s="27">
        <v>6.5000000000000002E-2</v>
      </c>
    </row>
    <row r="4800" spans="1:14" ht="12.75" hidden="1" outlineLevel="1" x14ac:dyDescent="0.2">
      <c r="A4800" s="23" t="str">
        <f t="shared" si="215"/>
        <v>КГКУ "ПРИМГОСАВТОНАДЗОР"</v>
      </c>
      <c r="B4800" s="24" t="s">
        <v>407</v>
      </c>
      <c r="C4800" s="25">
        <v>50000000</v>
      </c>
      <c r="D4800" s="22" t="s">
        <v>6789</v>
      </c>
      <c r="E4800" s="22" t="s">
        <v>194</v>
      </c>
      <c r="F4800" s="23" t="str">
        <f t="shared" si="216"/>
        <v>поставка автоматизированных комплексов фото- и видеофиксации нарушений правил дорожного движения с проведением монтажных работ, электромонтажных работ, установкой и пуско-наладкой оборудования, интеграцией в информационную систему ЦАФАП УГИБДД УМВД Р...</v>
      </c>
      <c r="G4800" s="22" t="s">
        <v>409</v>
      </c>
      <c r="H4800" s="22" t="s">
        <v>409</v>
      </c>
      <c r="I4800" s="26">
        <v>43651.5327777778</v>
      </c>
      <c r="J4800" s="23" t="str">
        <f>HYPERLINK("https://www.spark-marketing.ru/Card/Person/1354238", "ООО ""ЛАБОРАТОРИЯ ЦИФРОВОГО ЗРЕНИЯ""")</f>
        <v>ООО "ЛАБОРАТОРИЯ ЦИФРОВОГО ЗРЕНИЯ"</v>
      </c>
      <c r="K4800" s="24" t="s">
        <v>1191</v>
      </c>
      <c r="L4800" s="22" t="s">
        <v>10</v>
      </c>
      <c r="M4800" s="25">
        <v>24000000</v>
      </c>
      <c r="N4800" s="27">
        <v>0.52</v>
      </c>
    </row>
    <row r="4801" spans="1:14" hidden="1" outlineLevel="1" x14ac:dyDescent="0.2">
      <c r="A4801" s="23" t="str">
        <f t="shared" si="215"/>
        <v>КГКУ "ПРИМГОСАВТОНАДЗОР"</v>
      </c>
      <c r="B4801" s="24" t="s">
        <v>407</v>
      </c>
      <c r="C4801" s="25">
        <v>50000000</v>
      </c>
      <c r="D4801" s="22" t="s">
        <v>6789</v>
      </c>
      <c r="E4801" s="22" t="s">
        <v>194</v>
      </c>
      <c r="F4801" s="23" t="str">
        <f t="shared" si="216"/>
        <v>поставка автоматизированных комплексов фото- и видеофиксации нарушений правил дорожного движения с проведением монтажных работ, электромонтажных работ, установкой и пуско-наладкой оборудования, интеграцией в информационную систему ЦАФАП УГИБДД УМВД Р...</v>
      </c>
      <c r="G4801" s="22" t="s">
        <v>409</v>
      </c>
      <c r="H4801" s="22" t="s">
        <v>409</v>
      </c>
      <c r="I4801" s="26">
        <v>43651.5327777778</v>
      </c>
      <c r="J4801" s="23" t="str">
        <f>HYPERLINK("https://www.spark-marketing.ru/Card/Person/27162", "ООО ""ПРОФ-ИТ ГРУПП""")</f>
        <v>ООО "ПРОФ-ИТ ГРУПП"</v>
      </c>
      <c r="K4801" s="24" t="s">
        <v>5180</v>
      </c>
      <c r="L4801" s="28" t="s">
        <v>52</v>
      </c>
      <c r="M4801" s="25">
        <v>24250000</v>
      </c>
      <c r="N4801" s="27">
        <v>0.51500000000000001</v>
      </c>
    </row>
    <row r="4802" spans="1:14" hidden="1" outlineLevel="1" x14ac:dyDescent="0.2">
      <c r="A4802" s="23" t="str">
        <f t="shared" si="215"/>
        <v>КГКУ "ПРИМГОСАВТОНАДЗОР"</v>
      </c>
      <c r="B4802" s="24" t="s">
        <v>407</v>
      </c>
      <c r="C4802" s="25">
        <v>50000000</v>
      </c>
      <c r="D4802" s="22" t="s">
        <v>6789</v>
      </c>
      <c r="E4802" s="22" t="s">
        <v>194</v>
      </c>
      <c r="F4802" s="23" t="str">
        <f t="shared" si="216"/>
        <v>поставка автоматизированных комплексов фото- и видеофиксации нарушений правил дорожного движения с проведением монтажных работ, электромонтажных работ, установкой и пуско-наладкой оборудования, интеграцией в информационную систему ЦАФАП УГИБДД УМВД Р...</v>
      </c>
      <c r="G4802" s="22" t="s">
        <v>409</v>
      </c>
      <c r="H4802" s="22" t="s">
        <v>409</v>
      </c>
      <c r="I4802" s="26">
        <v>43651.5327777778</v>
      </c>
      <c r="J4802" s="23" t="str">
        <f>HYPERLINK("https://www.spark-marketing.ru/Card/Person/1548946", "ООО ""МАСТЕР ГРУПП""")</f>
        <v>ООО "МАСТЕР ГРУПП"</v>
      </c>
      <c r="K4802" s="24" t="s">
        <v>4091</v>
      </c>
      <c r="L4802" s="28" t="s">
        <v>52</v>
      </c>
      <c r="M4802" s="25">
        <v>30050000</v>
      </c>
      <c r="N4802" s="27">
        <v>0.39900000000000002</v>
      </c>
    </row>
    <row r="4803" spans="1:14" hidden="1" outlineLevel="1" x14ac:dyDescent="0.2">
      <c r="A4803" s="23" t="str">
        <f t="shared" si="215"/>
        <v>КГКУ "ПРИМГОСАВТОНАДЗОР"</v>
      </c>
      <c r="B4803" s="24" t="s">
        <v>407</v>
      </c>
      <c r="C4803" s="25">
        <v>50000000</v>
      </c>
      <c r="D4803" s="22" t="s">
        <v>6789</v>
      </c>
      <c r="E4803" s="22" t="s">
        <v>194</v>
      </c>
      <c r="F4803" s="23" t="str">
        <f t="shared" si="216"/>
        <v>поставка автоматизированных комплексов фото- и видеофиксации нарушений правил дорожного движения с проведением монтажных работ, электромонтажных работ, установкой и пуско-наладкой оборудования, интеграцией в информационную систему ЦАФАП УГИБДД УМВД Р...</v>
      </c>
      <c r="G4803" s="22" t="s">
        <v>409</v>
      </c>
      <c r="H4803" s="22" t="s">
        <v>409</v>
      </c>
      <c r="I4803" s="26">
        <v>43651.5327777778</v>
      </c>
      <c r="J4803" s="23" t="str">
        <f>HYPERLINK("https://www.spark-marketing.ru/Card/Person/236655", "ООО ""ТМЦ -НН""")</f>
        <v>ООО "ТМЦ -НН"</v>
      </c>
      <c r="K4803" s="24" t="s">
        <v>4899</v>
      </c>
      <c r="L4803" s="28" t="s">
        <v>52</v>
      </c>
      <c r="M4803" s="25">
        <v>33750000</v>
      </c>
      <c r="N4803" s="27">
        <v>0.32500000000000001</v>
      </c>
    </row>
    <row r="4804" spans="1:14" ht="12.75" hidden="1" outlineLevel="1" x14ac:dyDescent="0.2">
      <c r="A4804" s="23" t="str">
        <f t="shared" si="215"/>
        <v>КГКУ "ПРИМГОСАВТОНАДЗОР"</v>
      </c>
      <c r="B4804" s="24" t="s">
        <v>407</v>
      </c>
      <c r="C4804" s="25">
        <v>50000000</v>
      </c>
      <c r="D4804" s="22" t="s">
        <v>6789</v>
      </c>
      <c r="E4804" s="22" t="s">
        <v>194</v>
      </c>
      <c r="F4804" s="23" t="str">
        <f t="shared" si="216"/>
        <v>поставка автоматизированных комплексов фото- и видеофиксации нарушений правил дорожного движения с проведением монтажных работ, электромонтажных работ, установкой и пуско-наладкой оборудования, интеграцией в информационную систему ЦАФАП УГИБДД УМВД Р...</v>
      </c>
      <c r="G4804" s="22" t="s">
        <v>409</v>
      </c>
      <c r="H4804" s="22" t="s">
        <v>409</v>
      </c>
      <c r="I4804" s="26">
        <v>43651.5327777778</v>
      </c>
      <c r="J4804" s="23" t="str">
        <f>HYPERLINK("https://www.spark-marketing.ru/Card/Person/27162", "ООО ""ПРОФ-ИТ ГРУПП""")</f>
        <v>ООО "ПРОФ-ИТ ГРУПП"</v>
      </c>
      <c r="K4804" s="24" t="s">
        <v>5180</v>
      </c>
      <c r="L4804" s="22" t="s">
        <v>10</v>
      </c>
      <c r="M4804" s="25">
        <v>25500000</v>
      </c>
      <c r="N4804" s="27">
        <v>0.49</v>
      </c>
    </row>
    <row r="4805" spans="1:14" hidden="1" outlineLevel="1" x14ac:dyDescent="0.2">
      <c r="A4805" s="23" t="str">
        <f t="shared" si="215"/>
        <v>КГКУ "ПРИМГОСАВТОНАДЗОР"</v>
      </c>
      <c r="B4805" s="24" t="s">
        <v>407</v>
      </c>
      <c r="C4805" s="25">
        <v>50000000</v>
      </c>
      <c r="D4805" s="22" t="s">
        <v>6789</v>
      </c>
      <c r="E4805" s="22" t="s">
        <v>194</v>
      </c>
      <c r="F4805" s="23" t="str">
        <f t="shared" si="216"/>
        <v>поставка автоматизированных комплексов фото- и видеофиксации нарушений правил дорожного движения с проведением монтажных работ, электромонтажных работ, установкой и пуско-наладкой оборудования, интеграцией в информационную систему ЦАФАП УГИБДД УМВД Р...</v>
      </c>
      <c r="G4805" s="22" t="s">
        <v>409</v>
      </c>
      <c r="H4805" s="22" t="s">
        <v>409</v>
      </c>
      <c r="I4805" s="26">
        <v>43651.5327777778</v>
      </c>
      <c r="J4805" s="23" t="str">
        <f>HYPERLINK("https://www.spark-marketing.ru/Card/Person/1354238", "ООО ""ЛАБОРАТОРИЯ ЦИФРОВОГО ЗРЕНИЯ""")</f>
        <v>ООО "ЛАБОРАТОРИЯ ЦИФРОВОГО ЗРЕНИЯ"</v>
      </c>
      <c r="K4805" s="24" t="s">
        <v>1191</v>
      </c>
      <c r="L4805" s="28" t="s">
        <v>52</v>
      </c>
      <c r="M4805" s="25">
        <v>25750000</v>
      </c>
      <c r="N4805" s="27">
        <v>0.48499999999999999</v>
      </c>
    </row>
    <row r="4806" spans="1:14" x14ac:dyDescent="0.15">
      <c r="A4806" s="23" t="str">
        <f>HYPERLINK("https://www.spark-marketing.ru/Card/Person/1043608", "ГБПОУПУ № 49")</f>
        <v>ГБПОУПУ № 49</v>
      </c>
      <c r="B4806" s="24" t="s">
        <v>6790</v>
      </c>
      <c r="C4806" s="25">
        <v>185590</v>
      </c>
      <c r="D4806" s="22" t="s">
        <v>6791</v>
      </c>
      <c r="E4806" s="22" t="s">
        <v>691</v>
      </c>
      <c r="F4806" s="23" t="str">
        <f>HYPERLINK("https://www.spark-marketing.ru/Card/Lot/71912064", "Выполнение услуг по установке, монтажу системы видеонаблюдения")</f>
        <v>Выполнение услуг по установке, монтажу системы видеонаблюдения</v>
      </c>
      <c r="G4806" s="22" t="s">
        <v>343</v>
      </c>
      <c r="H4806" s="22" t="s">
        <v>343</v>
      </c>
      <c r="I4806" s="26">
        <v>43651.506481481498</v>
      </c>
      <c r="J4806" s="28" t="s">
        <v>52</v>
      </c>
      <c r="K4806" s="28" t="s">
        <v>52</v>
      </c>
      <c r="L4806" s="28" t="s">
        <v>52</v>
      </c>
      <c r="M4806" s="28" t="s">
        <v>52</v>
      </c>
      <c r="N4806" s="28" t="s">
        <v>52</v>
      </c>
    </row>
    <row r="4807" spans="1:14" x14ac:dyDescent="0.15">
      <c r="A4807" s="23" t="str">
        <f>HYPERLINK("https://www.spark-marketing.ru/Card/Person/1085348", "ПРЕДСТАВИТЕЛЬСТВО МИД РОССИИ В Г. МУРМАНСКЕ")</f>
        <v>ПРЕДСТАВИТЕЛЬСТВО МИД РОССИИ В Г. МУРМАНСКЕ</v>
      </c>
      <c r="B4807" s="24" t="s">
        <v>6792</v>
      </c>
      <c r="C4807" s="25">
        <v>68373.460000000006</v>
      </c>
      <c r="D4807" s="22" t="s">
        <v>6793</v>
      </c>
      <c r="E4807" s="22" t="s">
        <v>53</v>
      </c>
      <c r="F4807" s="23" t="str">
        <f>HYPERLINK("https://www.spark-marketing.ru/Card/Lot/71913632", "Охрана объектов, на которые частная охранная деятельность не распространяется, 1 усл. ед")</f>
        <v>Охрана объектов, на которые частная охранная деятельность не распространяется, 1 усл. ед</v>
      </c>
      <c r="G4807" s="22" t="s">
        <v>190</v>
      </c>
      <c r="H4807" s="22" t="s">
        <v>191</v>
      </c>
      <c r="I4807" s="26">
        <v>43651.518333333297</v>
      </c>
      <c r="J4807" s="28" t="s">
        <v>52</v>
      </c>
      <c r="K4807" s="28" t="s">
        <v>52</v>
      </c>
      <c r="L4807" s="28" t="s">
        <v>52</v>
      </c>
      <c r="M4807" s="28" t="s">
        <v>52</v>
      </c>
      <c r="N4807" s="28" t="s">
        <v>52</v>
      </c>
    </row>
    <row r="4808" spans="1:14" x14ac:dyDescent="0.15">
      <c r="A4808" s="23" t="str">
        <f>HYPERLINK("https://www.spark-marketing.ru/Card/Person/107532", "ГБУЗ СО ""АРАМИЛЬСКАЯ ГБ""")</f>
        <v>ГБУЗ СО "АРАМИЛЬСКАЯ ГБ"</v>
      </c>
      <c r="B4808" s="24" t="s">
        <v>6794</v>
      </c>
      <c r="C4808" s="25">
        <v>258332.4</v>
      </c>
      <c r="D4808" s="22" t="s">
        <v>6795</v>
      </c>
      <c r="E4808" s="22" t="s">
        <v>68</v>
      </c>
      <c r="F4808" s="23" t="str">
        <f>HYPERLINK("https://www.spark-marketing.ru/Card/Lot/71930175", "Оказание охранных услуг с помощью пульта централизованного наблюдения")</f>
        <v>Оказание охранных услуг с помощью пульта централизованного наблюдения</v>
      </c>
      <c r="G4808" s="22" t="s">
        <v>72</v>
      </c>
      <c r="H4808" s="22" t="s">
        <v>6438</v>
      </c>
      <c r="I4808" s="26">
        <v>43651.515104166698</v>
      </c>
      <c r="J4808" s="28" t="s">
        <v>52</v>
      </c>
      <c r="K4808" s="28" t="s">
        <v>52</v>
      </c>
      <c r="L4808" s="28" t="s">
        <v>52</v>
      </c>
      <c r="M4808" s="28" t="s">
        <v>52</v>
      </c>
      <c r="N4808" s="28" t="s">
        <v>52</v>
      </c>
    </row>
    <row r="4809" spans="1:14" x14ac:dyDescent="0.2">
      <c r="A4809" s="23" t="str">
        <f>HYPERLINK("https://www.spark-marketing.ru/Card/Person/1744524", "АО ""КЦТЛ""")</f>
        <v>АО "КЦТЛ"</v>
      </c>
      <c r="B4809" s="24" t="s">
        <v>5228</v>
      </c>
      <c r="C4809" s="25">
        <v>828956</v>
      </c>
      <c r="D4809" s="22" t="s">
        <v>6796</v>
      </c>
      <c r="E4809" s="22" t="s">
        <v>6797</v>
      </c>
      <c r="F4809" s="23" t="str">
        <f>HYPERLINK("https://www.spark-marketing.ru/Card/Lot/71914098", "Выполнение работ по установке системы видеонаблюдения на причалах СВ1, СВ2, СВ3 и СВ7 с оконечным выведением видеосигнала в место постоянной дислокации 3 опк кпп «Санкт-Петербург морской порт грузовой")</f>
        <v>Выполнение работ по установке системы видеонаблюдения на причалах СВ1, СВ2, СВ3 и СВ7 с оконечным выведением видеосигнала в место постоянной дислокации 3 опк кпп «Санкт-Петербург морской порт грузовой</v>
      </c>
      <c r="G4809" s="22" t="s">
        <v>89</v>
      </c>
      <c r="H4809" s="22" t="s">
        <v>89</v>
      </c>
      <c r="I4809" s="26">
        <v>43651.521030092597</v>
      </c>
      <c r="J4809" s="28" t="s">
        <v>52</v>
      </c>
      <c r="K4809" s="28" t="s">
        <v>52</v>
      </c>
      <c r="L4809" s="28" t="s">
        <v>52</v>
      </c>
      <c r="M4809" s="25">
        <v>828956</v>
      </c>
      <c r="N4809" s="27">
        <v>0</v>
      </c>
    </row>
    <row r="4810" spans="1:14" x14ac:dyDescent="0.15">
      <c r="A4810" s="23" t="str">
        <f>HYPERLINK("https://www.spark-marketing.ru/Card/Person/8050", "МКУ ""ТОИЭЗ""")</f>
        <v>МКУ "ТОИЭЗ"</v>
      </c>
      <c r="B4810" s="24" t="s">
        <v>4919</v>
      </c>
      <c r="C4810" s="25">
        <v>482877.5</v>
      </c>
      <c r="D4810" s="22" t="s">
        <v>6798</v>
      </c>
      <c r="E4810" s="22" t="s">
        <v>84</v>
      </c>
      <c r="F4810" s="23" t="str">
        <f>HYPERLINK("https://www.spark-marketing.ru/Card/Lot/71928587", "Услуги по монтажу (установке) системы видеонаблюдения в зданиях СПДС г.о.Жигулевск")</f>
        <v>Услуги по монтажу (установке) системы видеонаблюдения в зданиях СПДС г.о.Жигулевск</v>
      </c>
      <c r="G4810" s="22" t="s">
        <v>760</v>
      </c>
      <c r="H4810" s="22" t="s">
        <v>4921</v>
      </c>
      <c r="I4810" s="26">
        <v>43651.461423611101</v>
      </c>
      <c r="J4810" s="28" t="s">
        <v>52</v>
      </c>
      <c r="K4810" s="28" t="s">
        <v>52</v>
      </c>
      <c r="L4810" s="28" t="s">
        <v>52</v>
      </c>
      <c r="M4810" s="28" t="s">
        <v>52</v>
      </c>
      <c r="N4810" s="28" t="s">
        <v>52</v>
      </c>
    </row>
    <row r="4811" spans="1:14" x14ac:dyDescent="0.15">
      <c r="A4811" s="23" t="str">
        <f>HYPERLINK("https://www.spark-marketing.ru/Card/Person/261425", "МО МВД РОССИИ ""НАВЛИНСКИЙ""")</f>
        <v>МО МВД РОССИИ "НАВЛИНСКИЙ"</v>
      </c>
      <c r="B4811" s="24" t="s">
        <v>6799</v>
      </c>
      <c r="C4811" s="25">
        <v>33000</v>
      </c>
      <c r="D4811" s="22" t="s">
        <v>6800</v>
      </c>
      <c r="E4811" s="22" t="s">
        <v>103</v>
      </c>
      <c r="F4811" s="23" t="str">
        <f>HYPERLINK("https://www.spark-marketing.ru/Card/Lot/71911786", "Оказание услуг по техническому обслуживанию системы видеонаблюденя, 6 усл. ед")</f>
        <v>Оказание услуг по техническому обслуживанию системы видеонаблюденя, 6 усл. ед</v>
      </c>
      <c r="G4811" s="22" t="s">
        <v>215</v>
      </c>
      <c r="H4811" s="22" t="s">
        <v>6801</v>
      </c>
      <c r="I4811" s="26">
        <v>43651.484930555598</v>
      </c>
      <c r="J4811" s="28" t="s">
        <v>52</v>
      </c>
      <c r="K4811" s="28" t="s">
        <v>52</v>
      </c>
      <c r="L4811" s="28" t="s">
        <v>52</v>
      </c>
      <c r="M4811" s="28" t="s">
        <v>52</v>
      </c>
      <c r="N4811" s="28" t="s">
        <v>52</v>
      </c>
    </row>
    <row r="4812" spans="1:14" x14ac:dyDescent="0.15">
      <c r="A4812" s="23" t="str">
        <f>HYPERLINK("https://www.spark-marketing.ru/Card/Person/81090", "МАГАДАНСКАЯ ТАМОЖНЯ")</f>
        <v>МАГАДАНСКАЯ ТАМОЖНЯ</v>
      </c>
      <c r="B4812" s="24" t="s">
        <v>6802</v>
      </c>
      <c r="C4812" s="25">
        <v>69984</v>
      </c>
      <c r="D4812" s="22" t="s">
        <v>6803</v>
      </c>
      <c r="E4812" s="22" t="s">
        <v>68</v>
      </c>
      <c r="F4812" s="23" t="str">
        <f>HYPERLINK("https://www.spark-marketing.ru/Card/Lot/71924507", "Оказание  услуг по охране объекта с помощью охранной сигнализации (объект: Гаражные боксы Магаданской таможни, расположенные по адресу: Магаданская область, г. Магадан, ул. Пролетарская, д. 39)")</f>
        <v>Оказание  услуг по охране объекта с помощью охранной сигнализации (объект: Гаражные боксы Магаданской таможни, расположенные по адресу: Магаданская область, г. Магадан, ул. Пролетарская, д. 39)</v>
      </c>
      <c r="G4812" s="22" t="s">
        <v>808</v>
      </c>
      <c r="H4812" s="22" t="s">
        <v>809</v>
      </c>
      <c r="I4812" s="26">
        <v>43651.441585648201</v>
      </c>
      <c r="J4812" s="23" t="str">
        <f>HYPERLINK("https://www.spark-marketing.ru/Card/Person/1274508", "ФГКУ ""ОВО ВНГ РОССИИ ПО МАГАДАНСКОЙ ОБЛАСТИ""")</f>
        <v>ФГКУ "ОВО ВНГ РОССИИ ПО МАГАДАНСКОЙ ОБЛАСТИ"</v>
      </c>
      <c r="K4812" s="24" t="s">
        <v>1390</v>
      </c>
      <c r="L4812" s="22" t="s">
        <v>10</v>
      </c>
      <c r="M4812" s="28" t="s">
        <v>52</v>
      </c>
      <c r="N4812" s="28" t="s">
        <v>52</v>
      </c>
    </row>
    <row r="4813" spans="1:14" x14ac:dyDescent="0.15">
      <c r="A4813" s="23" t="str">
        <f>HYPERLINK("https://www.spark-marketing.ru/Card/Person/263900", "МЕЖРАЙОННАЯ ИФНС РОССИИ № 4 ПО ВОЛОГОДСКОЙ ОБЛАСТИ")</f>
        <v>МЕЖРАЙОННАЯ ИФНС РОССИИ № 4 ПО ВОЛОГОДСКОЙ ОБЛАСТИ</v>
      </c>
      <c r="B4813" s="24" t="s">
        <v>6804</v>
      </c>
      <c r="C4813" s="25">
        <v>34197</v>
      </c>
      <c r="D4813" s="22" t="s">
        <v>6805</v>
      </c>
      <c r="E4813" s="22" t="s">
        <v>53</v>
      </c>
      <c r="F4813" s="23" t="str">
        <f>HYPERLINK("https://www.spark-marketing.ru/Card/Lot/71908372", "Монтаж, установка, сборка систем охранного видеонаблюдения, 1 шт")</f>
        <v>Монтаж, установка, сборка систем охранного видеонаблюдения, 1 шт</v>
      </c>
      <c r="G4813" s="22" t="s">
        <v>902</v>
      </c>
      <c r="H4813" s="22" t="s">
        <v>6806</v>
      </c>
      <c r="I4813" s="26">
        <v>43651.414895833303</v>
      </c>
      <c r="J4813" s="28" t="s">
        <v>52</v>
      </c>
      <c r="K4813" s="28" t="s">
        <v>52</v>
      </c>
      <c r="L4813" s="28" t="s">
        <v>52</v>
      </c>
      <c r="M4813" s="28" t="s">
        <v>52</v>
      </c>
      <c r="N4813" s="28" t="s">
        <v>52</v>
      </c>
    </row>
    <row r="4814" spans="1:14" x14ac:dyDescent="0.15">
      <c r="A4814" s="23" t="str">
        <f>HYPERLINK("https://www.spark-marketing.ru/Card/Person/916089", "ГАОУ ДПО ЦПМ")</f>
        <v>ГАОУ ДПО ЦПМ</v>
      </c>
      <c r="B4814" s="24" t="s">
        <v>5103</v>
      </c>
      <c r="C4814" s="25">
        <v>530637.94999999995</v>
      </c>
      <c r="D4814" s="22" t="s">
        <v>6807</v>
      </c>
      <c r="E4814" s="22" t="s">
        <v>6808</v>
      </c>
      <c r="F4814" s="23" t="str">
        <f>HYPERLINK("https://www.spark-marketing.ru/Card/Lot/71909397", "Поставка информационно-технологических товаров (комплектующие для установки систем видеонаблюдения) для нужд ГАОУ ДПО ЦПМ")</f>
        <v>Поставка информационно-технологических товаров (комплектующие для установки систем видеонаблюдения) для нужд ГАОУ ДПО ЦПМ</v>
      </c>
      <c r="G4814" s="22" t="s">
        <v>55</v>
      </c>
      <c r="H4814" s="22" t="s">
        <v>55</v>
      </c>
      <c r="I4814" s="26">
        <v>43651.393148148098</v>
      </c>
      <c r="J4814" s="28" t="s">
        <v>52</v>
      </c>
      <c r="K4814" s="28" t="s">
        <v>52</v>
      </c>
      <c r="L4814" s="28" t="s">
        <v>52</v>
      </c>
      <c r="M4814" s="28" t="s">
        <v>52</v>
      </c>
      <c r="N4814" s="28" t="s">
        <v>52</v>
      </c>
    </row>
    <row r="4815" spans="1:14" x14ac:dyDescent="0.15">
      <c r="A4815" s="23" t="str">
        <f>HYPERLINK("https://www.spark-marketing.ru/Card/Person/13997", "ГБУЗ РК ""КНЯЖПОГОСТСКАЯ ЦРБ""")</f>
        <v>ГБУЗ РК "КНЯЖПОГОСТСКАЯ ЦРБ"</v>
      </c>
      <c r="B4815" s="24" t="s">
        <v>6809</v>
      </c>
      <c r="C4815" s="25">
        <v>76387.199999999997</v>
      </c>
      <c r="D4815" s="22" t="s">
        <v>6810</v>
      </c>
      <c r="E4815" s="22" t="s">
        <v>68</v>
      </c>
      <c r="F4815" s="23" t="str">
        <f>HYPERLINK("https://www.spark-marketing.ru/Card/Lot/71925685", "Оказание услуг по предупреждению и пресечению правонарушений и преступлений с помощью кнопкой тревожной сигнализации")</f>
        <v>Оказание услуг по предупреждению и пресечению правонарушений и преступлений с помощью кнопкой тревожной сигнализации</v>
      </c>
      <c r="G4815" s="22" t="s">
        <v>538</v>
      </c>
      <c r="H4815" s="22" t="s">
        <v>6811</v>
      </c>
      <c r="I4815" s="26">
        <v>43651.378321759301</v>
      </c>
      <c r="J4815" s="28" t="s">
        <v>52</v>
      </c>
      <c r="K4815" s="28" t="s">
        <v>52</v>
      </c>
      <c r="L4815" s="28" t="s">
        <v>52</v>
      </c>
      <c r="M4815" s="28" t="s">
        <v>52</v>
      </c>
      <c r="N4815" s="28" t="s">
        <v>52</v>
      </c>
    </row>
    <row r="4816" spans="1:14" x14ac:dyDescent="0.15">
      <c r="A4816" s="23" t="str">
        <f>HYPERLINK("https://www.spark-marketing.ru/Card/Person/13997", "ГБУЗ РК ""КНЯЖПОГОСТСКАЯ ЦРБ""")</f>
        <v>ГБУЗ РК "КНЯЖПОГОСТСКАЯ ЦРБ"</v>
      </c>
      <c r="B4816" s="24" t="s">
        <v>6809</v>
      </c>
      <c r="C4816" s="25">
        <v>91147.8</v>
      </c>
      <c r="D4816" s="22" t="s">
        <v>6812</v>
      </c>
      <c r="E4816" s="22" t="s">
        <v>68</v>
      </c>
      <c r="F4816" s="23" t="str">
        <f>HYPERLINK("https://www.spark-marketing.ru/Card/Lot/71925667", "Оказание услуг по охране объектов с помощью пульта централизованного наблюдения")</f>
        <v>Оказание услуг по охране объектов с помощью пульта централизованного наблюдения</v>
      </c>
      <c r="G4816" s="22" t="s">
        <v>538</v>
      </c>
      <c r="H4816" s="22" t="s">
        <v>6811</v>
      </c>
      <c r="I4816" s="26">
        <v>43651.378101851798</v>
      </c>
      <c r="J4816" s="28" t="s">
        <v>52</v>
      </c>
      <c r="K4816" s="28" t="s">
        <v>52</v>
      </c>
      <c r="L4816" s="28" t="s">
        <v>52</v>
      </c>
      <c r="M4816" s="28" t="s">
        <v>52</v>
      </c>
      <c r="N4816" s="28" t="s">
        <v>52</v>
      </c>
    </row>
    <row r="4817" spans="1:14" x14ac:dyDescent="0.15">
      <c r="A4817" s="23" t="str">
        <f>HYPERLINK("https://www.spark-marketing.ru/Card/Person/4358496", "ООО ""ЛЕНИНГРАДСКАЯ АЭС-АВТО""")</f>
        <v>ООО "ЛЕНИНГРАДСКАЯ АЭС-АВТО"</v>
      </c>
      <c r="B4817" s="24" t="s">
        <v>2163</v>
      </c>
      <c r="C4817" s="25">
        <v>3037509.17</v>
      </c>
      <c r="D4817" s="22" t="s">
        <v>6813</v>
      </c>
      <c r="E4817" s="22" t="s">
        <v>103</v>
      </c>
      <c r="F4817" s="23" t="str">
        <f>HYPERLINK("https://www.spark-marketing.ru/Card/Lot/71911170", "Оказание комплексных мероприятий по обслуживанию технических средств контроля со средствами криптографической защиты информации (включающих СКЗИ) обеспечивающих непрерывную, некорректируемую регистрацию информации о скорости и маршруте движения тран")</f>
        <v>Оказание комплексных мероприятий по обслуживанию технических средств контроля со средствами криптографической защиты информации (включающих СКЗИ) обеспечивающих непрерывную, некорректируемую регистрацию информации о скорости и маршруте движения тран</v>
      </c>
      <c r="G4817" s="22" t="s">
        <v>861</v>
      </c>
      <c r="H4817" s="22" t="s">
        <v>1920</v>
      </c>
      <c r="I4817" s="26">
        <v>43651.356898148202</v>
      </c>
      <c r="J4817" s="28" t="s">
        <v>52</v>
      </c>
      <c r="K4817" s="28" t="s">
        <v>52</v>
      </c>
      <c r="L4817" s="28" t="s">
        <v>52</v>
      </c>
      <c r="M4817" s="28" t="s">
        <v>52</v>
      </c>
      <c r="N4817" s="28" t="s">
        <v>52</v>
      </c>
    </row>
    <row r="4818" spans="1:14" x14ac:dyDescent="0.15">
      <c r="A4818" s="23" t="str">
        <f>HYPERLINK("https://www.spark-marketing.ru/Card/Person/4358496", "ООО ""ЛЕНИНГРАДСКАЯ АЭС-АВТО""")</f>
        <v>ООО "ЛЕНИНГРАДСКАЯ АЭС-АВТО"</v>
      </c>
      <c r="B4818" s="24" t="s">
        <v>2163</v>
      </c>
      <c r="C4818" s="25">
        <v>3037509.17</v>
      </c>
      <c r="D4818" s="22" t="s">
        <v>6814</v>
      </c>
      <c r="E4818" s="22" t="s">
        <v>137</v>
      </c>
      <c r="F4818" s="23" t="str">
        <f>HYPERLINK("https://www.spark-marketing.ru/Card/Lot/71907179", "Право заключения договора на Оказание комплексных мероприятий по обслуживанию технических средств контроля со средствами криптографической защиты информации (включающих СКЗИ) обеспечивающих непрерывную, некорректируемую регистрацию информации о скоро...")</f>
        <v>Право заключения договора на Оказание комплексных мероприятий по обслуживанию технических средств контроля со средствами криптографической защиты информации (включающих СКЗИ) обеспечивающих непрерывную, некорректируемую регистрацию информации о скоро...</v>
      </c>
      <c r="G4818" s="22" t="s">
        <v>861</v>
      </c>
      <c r="H4818" s="22" t="s">
        <v>1920</v>
      </c>
      <c r="I4818" s="26">
        <v>43651.347731481503</v>
      </c>
      <c r="J4818" s="28" t="s">
        <v>52</v>
      </c>
      <c r="K4818" s="28" t="s">
        <v>52</v>
      </c>
      <c r="L4818" s="28" t="s">
        <v>52</v>
      </c>
      <c r="M4818" s="28" t="s">
        <v>52</v>
      </c>
      <c r="N4818" s="28" t="s">
        <v>52</v>
      </c>
    </row>
    <row r="4819" spans="1:14" x14ac:dyDescent="0.15">
      <c r="A4819" s="23" t="str">
        <f>HYPERLINK("https://www.spark-marketing.ru/Card/Person/1021790", "КГКУ ДЕТСКИЙ ДОМ 17")</f>
        <v>КГКУ ДЕТСКИЙ ДОМ 17</v>
      </c>
      <c r="B4819" s="24" t="s">
        <v>4817</v>
      </c>
      <c r="C4819" s="25">
        <v>8300</v>
      </c>
      <c r="D4819" s="22" t="s">
        <v>6815</v>
      </c>
      <c r="E4819" s="22" t="s">
        <v>103</v>
      </c>
      <c r="F4819" s="23" t="str">
        <f>HYPERLINK("https://www.spark-marketing.ru/Card/Lot/71904407", "Оказание услуг по техническому обслуживанию системы видеонаблюденя, 1 усл. ед")</f>
        <v>Оказание услуг по техническому обслуживанию системы видеонаблюденя, 1 усл. ед</v>
      </c>
      <c r="G4819" s="22" t="s">
        <v>138</v>
      </c>
      <c r="H4819" s="22" t="s">
        <v>4819</v>
      </c>
      <c r="I4819" s="26">
        <v>43651.212696759299</v>
      </c>
      <c r="J4819" s="28" t="s">
        <v>52</v>
      </c>
      <c r="K4819" s="28" t="s">
        <v>52</v>
      </c>
      <c r="L4819" s="28" t="s">
        <v>52</v>
      </c>
      <c r="M4819" s="28" t="s">
        <v>52</v>
      </c>
      <c r="N4819" s="28" t="s">
        <v>52</v>
      </c>
    </row>
    <row r="4820" spans="1:14" x14ac:dyDescent="0.15">
      <c r="A4820" s="23" t="str">
        <f>HYPERLINK("https://www.spark-marketing.ru/Card/Person/27018", "КГКУ ""СЛУЖБА ЗАКАЗЧИКА ТЭК И ЖКХ КРАЯ""")</f>
        <v>КГКУ "СЛУЖБА ЗАКАЗЧИКА ТЭК И ЖКХ КРАЯ"</v>
      </c>
      <c r="B4820" s="24" t="s">
        <v>6645</v>
      </c>
      <c r="C4820" s="25">
        <v>26880</v>
      </c>
      <c r="D4820" s="22" t="s">
        <v>6816</v>
      </c>
      <c r="E4820" s="22" t="s">
        <v>103</v>
      </c>
      <c r="F4820" s="23" t="str">
        <f>HYPERLINK("https://www.spark-marketing.ru/Card/Lot/71904173", "Оказание услуг по техническому обслуживанию системы видеонаблюдения, 1 усл. ед")</f>
        <v>Оказание услуг по техническому обслуживанию системы видеонаблюдения, 1 усл. ед</v>
      </c>
      <c r="G4820" s="22" t="s">
        <v>138</v>
      </c>
      <c r="H4820" s="22" t="s">
        <v>255</v>
      </c>
      <c r="I4820" s="26">
        <v>43651.186180555596</v>
      </c>
      <c r="J4820" s="28" t="s">
        <v>52</v>
      </c>
      <c r="K4820" s="28" t="s">
        <v>52</v>
      </c>
      <c r="L4820" s="28" t="s">
        <v>52</v>
      </c>
      <c r="M4820" s="28" t="s">
        <v>52</v>
      </c>
      <c r="N4820" s="28" t="s">
        <v>52</v>
      </c>
    </row>
    <row r="4821" spans="1:14" x14ac:dyDescent="0.15">
      <c r="A4821" s="23" t="str">
        <f>HYPERLINK("https://www.spark-marketing.ru/Card/Person/6450322", "ЗАКАЗЧИК РП БЕЛАРУСЬ")</f>
        <v>ЗАКАЗЧИК РП БЕЛАРУСЬ</v>
      </c>
      <c r="B4821" s="28" t="s">
        <v>52</v>
      </c>
      <c r="C4821" s="28" t="s">
        <v>52</v>
      </c>
      <c r="D4821" s="22" t="s">
        <v>6817</v>
      </c>
      <c r="E4821" s="22" t="s">
        <v>53</v>
      </c>
      <c r="F4821" s="23" t="str">
        <f>HYPERLINK("https://www.spark-marketing.ru/Card/Lot/71934927", "№ п/п Наименование и техническая характеристика (или аналог) Количество Ед. изм. Примечания Оборудование: Школа 1 32-х канальный IP-видеорегистратор (4К &amp; Н.265+), видеовыход: 1 VGA до 1080Р, 1 HDMI до 4К; аудиовыход: 1 канал RCA. Входящий поток 256М...")</f>
        <v>№ п/п Наименование и техническая характеристика (или аналог) Количество Ед. изм. Примечания Оборудование: Школа 1 32-х канальный IP-видеорегистратор (4К &amp; Н.265+), видеовыход: 1 VGA до 1080Р, 1 HDMI до 4К; аудиовыход: 1 канал RCA. Входящий поток 256М...</v>
      </c>
      <c r="G4821" s="22" t="s">
        <v>52</v>
      </c>
      <c r="H4821" s="22" t="s">
        <v>52</v>
      </c>
      <c r="I4821" s="26">
        <v>43651</v>
      </c>
      <c r="J4821" s="28" t="s">
        <v>52</v>
      </c>
      <c r="K4821" s="28" t="s">
        <v>52</v>
      </c>
      <c r="L4821" s="28" t="s">
        <v>52</v>
      </c>
      <c r="M4821" s="28" t="s">
        <v>52</v>
      </c>
      <c r="N4821" s="28" t="s">
        <v>52</v>
      </c>
    </row>
    <row r="4822" spans="1:14" x14ac:dyDescent="0.15">
      <c r="A4822" s="23" t="str">
        <f>HYPERLINK("https://www.spark-marketing.ru/Card/Person/6500375", "ООО ""УК ТРАСТ-ПА""")</f>
        <v>ООО "УК ТРАСТ-ПА"</v>
      </c>
      <c r="B4822" s="24" t="s">
        <v>6818</v>
      </c>
      <c r="C4822" s="28" t="s">
        <v>52</v>
      </c>
      <c r="D4822" s="22" t="s">
        <v>6819</v>
      </c>
      <c r="E4822" s="22" t="s">
        <v>53</v>
      </c>
      <c r="F4822" s="23" t="str">
        <f>HYPERLINK("https://www.spark-marketing.ru/Card/Lot/71910232", "Оказание охранных услуг для ГК ""Здоровая Ферма"" (id387303)")</f>
        <v>Оказание охранных услуг для ГК "Здоровая Ферма" (id387303)</v>
      </c>
      <c r="G4822" s="22" t="s">
        <v>55</v>
      </c>
      <c r="H4822" s="22" t="s">
        <v>55</v>
      </c>
      <c r="I4822" s="26">
        <v>43651</v>
      </c>
      <c r="J4822" s="28" t="s">
        <v>52</v>
      </c>
      <c r="K4822" s="28" t="s">
        <v>52</v>
      </c>
      <c r="L4822" s="28" t="s">
        <v>52</v>
      </c>
      <c r="M4822" s="28" t="s">
        <v>52</v>
      </c>
      <c r="N4822" s="28" t="s">
        <v>52</v>
      </c>
    </row>
    <row r="4823" spans="1:14" x14ac:dyDescent="0.15">
      <c r="A4823" s="23" t="str">
        <f>HYPERLINK("https://www.spark-marketing.ru/Card/Person/1029091", "МОУ СЕЛЬНИКОВСКАЯ НАЧАЛЬНАЯ ШКОЛА-ДЕТСКИЙ САД")</f>
        <v>МОУ СЕЛЬНИКОВСКАЯ НАЧАЛЬНАЯ ШКОЛА-ДЕТСКИЙ САД</v>
      </c>
      <c r="B4823" s="24" t="s">
        <v>6820</v>
      </c>
      <c r="C4823" s="25">
        <v>236000</v>
      </c>
      <c r="D4823" s="22" t="s">
        <v>6821</v>
      </c>
      <c r="E4823" s="22" t="s">
        <v>84</v>
      </c>
      <c r="F4823" s="23" t="str">
        <f>HYPERLINK("https://www.spark-marketing.ru/Card/Lot/71897495", "Оказание услуг по согласованию, 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технологического обеспечения региональной общественной безопасно...")</f>
        <v>Оказание услуг по согласованию, 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технологического обеспечения региональной общественной безопасно...</v>
      </c>
      <c r="G4823" s="22" t="s">
        <v>50</v>
      </c>
      <c r="H4823" s="22" t="s">
        <v>738</v>
      </c>
      <c r="I4823" s="26">
        <v>43650.888518518499</v>
      </c>
      <c r="J4823" s="28" t="s">
        <v>52</v>
      </c>
      <c r="K4823" s="28" t="s">
        <v>52</v>
      </c>
      <c r="L4823" s="28" t="s">
        <v>52</v>
      </c>
      <c r="M4823" s="28" t="s">
        <v>52</v>
      </c>
      <c r="N4823" s="28" t="s">
        <v>52</v>
      </c>
    </row>
    <row r="4824" spans="1:14" x14ac:dyDescent="0.15">
      <c r="A4824" s="23" t="str">
        <f>HYPERLINK("https://www.spark-marketing.ru/Card/Person/160292", "УПРАВЛЕНИЕ ФСТЭК РОССИИ ПО ДАЛЬНЕВОСТОЧНОМУ ФЕДЕРАЛЬНОМУ ОКРУГУ")</f>
        <v>УПРАВЛЕНИЕ ФСТЭК РОССИИ ПО ДАЛЬНЕВОСТОЧНОМУ ФЕДЕРАЛЬНОМУ ОКРУГУ</v>
      </c>
      <c r="B4824" s="24" t="s">
        <v>6822</v>
      </c>
      <c r="C4824" s="25">
        <v>556767</v>
      </c>
      <c r="D4824" s="22" t="s">
        <v>6823</v>
      </c>
      <c r="E4824" s="22" t="s">
        <v>52</v>
      </c>
      <c r="F4824" s="23" t="str">
        <f>HYPERLINK("https://www.spark-marketing.ru/Card/Lot/71901233", "Услуги по обеспечению общественного порядка и безопасности")</f>
        <v>Услуги по обеспечению общественного порядка и безопасности</v>
      </c>
      <c r="G4824" s="22" t="s">
        <v>138</v>
      </c>
      <c r="H4824" s="22" t="s">
        <v>255</v>
      </c>
      <c r="I4824" s="26">
        <v>43650.7499537037</v>
      </c>
      <c r="J4824" s="28" t="s">
        <v>52</v>
      </c>
      <c r="K4824" s="28" t="s">
        <v>52</v>
      </c>
      <c r="L4824" s="28" t="s">
        <v>52</v>
      </c>
      <c r="M4824" s="28" t="s">
        <v>52</v>
      </c>
      <c r="N4824" s="28" t="s">
        <v>52</v>
      </c>
    </row>
    <row r="4825" spans="1:14" x14ac:dyDescent="0.15">
      <c r="A4825" s="23" t="str">
        <f>HYPERLINK("https://www.spark-marketing.ru/Card/Person/139198", "ОГКУЗ МЕДИЦИНСКИЙ ЦЕНТР ""РЕЗЕРВ""")</f>
        <v>ОГКУЗ МЕДИЦИНСКИЙ ЦЕНТР "РЕЗЕРВ"</v>
      </c>
      <c r="B4825" s="24" t="s">
        <v>6824</v>
      </c>
      <c r="C4825" s="25">
        <v>1257821.28</v>
      </c>
      <c r="D4825" s="22" t="s">
        <v>6825</v>
      </c>
      <c r="E4825" s="22" t="s">
        <v>68</v>
      </c>
      <c r="F4825" s="23" t="str">
        <f>HYPERLINK("https://www.spark-marketing.ru/Card/Lot/71901334", "Услуги охранников")</f>
        <v>Услуги охранников</v>
      </c>
      <c r="G4825" s="22" t="s">
        <v>281</v>
      </c>
      <c r="H4825" s="22" t="s">
        <v>2008</v>
      </c>
      <c r="I4825" s="26">
        <v>43650.732349537</v>
      </c>
      <c r="J4825" s="28" t="s">
        <v>52</v>
      </c>
      <c r="K4825" s="28" t="s">
        <v>52</v>
      </c>
      <c r="L4825" s="28" t="s">
        <v>52</v>
      </c>
      <c r="M4825" s="28" t="s">
        <v>52</v>
      </c>
      <c r="N4825" s="28" t="s">
        <v>52</v>
      </c>
    </row>
    <row r="4826" spans="1:14" x14ac:dyDescent="0.15">
      <c r="A4826" s="23" t="str">
        <f>HYPERLINK("https://www.spark-marketing.ru/Card/Person/21855", "ФКУ УПРДОР ""ЮЖНЫЙ БАЙКАЛ""")</f>
        <v>ФКУ УПРДОР "ЮЖНЫЙ БАЙКАЛ"</v>
      </c>
      <c r="B4826" s="24" t="s">
        <v>358</v>
      </c>
      <c r="C4826" s="25">
        <v>29535000</v>
      </c>
      <c r="D4826" s="22" t="s">
        <v>6826</v>
      </c>
      <c r="E4826" s="22" t="s">
        <v>59</v>
      </c>
      <c r="F4826" s="23" t="str">
        <f>HYPERLINK("https://www.spark-marketing.ru/Card/Lot/71900590", "Установка систем видеоконтроля (камер фото-видеофиксации нарушений правил дорожного движения)")</f>
        <v>Установка систем видеоконтроля (камер фото-видеофиксации нарушений правил дорожного движения)</v>
      </c>
      <c r="G4826" s="22" t="s">
        <v>354</v>
      </c>
      <c r="H4826" s="22" t="s">
        <v>355</v>
      </c>
      <c r="I4826" s="26">
        <v>43650.693599537</v>
      </c>
      <c r="J4826" s="23" t="str">
        <f>HYPERLINK("https://www.spark-marketing.ru/Card/Person/46949", "ООО ""АВТОДОРИЯ""")</f>
        <v>ООО "АВТОДОРИЯ"</v>
      </c>
      <c r="K4826" s="24" t="s">
        <v>3272</v>
      </c>
      <c r="L4826" s="28" t="s">
        <v>52</v>
      </c>
      <c r="M4826" s="28" t="s">
        <v>52</v>
      </c>
      <c r="N4826" s="28" t="s">
        <v>52</v>
      </c>
    </row>
    <row r="4827" spans="1:14" hidden="1" outlineLevel="1" x14ac:dyDescent="0.15">
      <c r="A4827" s="23" t="str">
        <f>HYPERLINK("https://www.spark-marketing.ru/Card/Person/21855", "ФКУ УПРДОР ""ЮЖНЫЙ БАЙКАЛ""")</f>
        <v>ФКУ УПРДОР "ЮЖНЫЙ БАЙКАЛ"</v>
      </c>
      <c r="B4827" s="24" t="s">
        <v>358</v>
      </c>
      <c r="C4827" s="25">
        <v>29535000</v>
      </c>
      <c r="D4827" s="22" t="s">
        <v>6826</v>
      </c>
      <c r="E4827" s="22" t="s">
        <v>59</v>
      </c>
      <c r="F4827" s="23" t="str">
        <f>HYPERLINK("https://www.spark-marketing.ru/Card/Lot/71900590", "Установка систем видеоконтроля (камер фото-видеофиксации нарушений правил дорожного движения)")</f>
        <v>Установка систем видеоконтроля (камер фото-видеофиксации нарушений правил дорожного движения)</v>
      </c>
      <c r="G4827" s="22" t="s">
        <v>354</v>
      </c>
      <c r="H4827" s="22" t="s">
        <v>355</v>
      </c>
      <c r="I4827" s="26">
        <v>43650.693599537</v>
      </c>
      <c r="J4827" s="23" t="str">
        <f>HYPERLINK("https://www.spark-marketing.ru/Card/Person/46949", "ООО ""АВТОДОРИЯ""")</f>
        <v>ООО "АВТОДОРИЯ"</v>
      </c>
      <c r="K4827" s="24" t="s">
        <v>3272</v>
      </c>
      <c r="L4827" s="22" t="s">
        <v>10</v>
      </c>
      <c r="M4827" s="28" t="s">
        <v>52</v>
      </c>
      <c r="N4827" s="28" t="s">
        <v>52</v>
      </c>
    </row>
    <row r="4828" spans="1:14" x14ac:dyDescent="0.15">
      <c r="A4828" s="23" t="str">
        <f t="shared" ref="A4828:A4833" si="217">HYPERLINK("https://www.spark-marketing.ru/Card/Person/5960722", "МКУ ""ЕДДС ГОРОДСКОГО ОКРУГА ЕГОРЬЕВСК""")</f>
        <v>МКУ "ЕДДС ГОРОДСКОГО ОКРУГА ЕГОРЬЕВСК"</v>
      </c>
      <c r="B4828" s="24" t="s">
        <v>288</v>
      </c>
      <c r="C4828" s="25">
        <v>1070642.81</v>
      </c>
      <c r="D4828" s="22" t="s">
        <v>6827</v>
      </c>
      <c r="E4828" s="22" t="s">
        <v>84</v>
      </c>
      <c r="F4828" s="23" t="str">
        <f t="shared" ref="F4828:F4833" si="218">HYPERLINK("https://www.spark-marketing.ru/Card/Lot/71903046", "Определение исполнителя по замене устаревших видеокамер и установке видеонаблюдения на социальных объектах Г.О. Егорьевск с подключением к системе ""Безопасный регион""")</f>
        <v>Определение исполнителя по замене устаревших видеокамер и установке видеонаблюдения на социальных объектах Г.О. Егорьевск с подключением к системе "Безопасный регион"</v>
      </c>
      <c r="G4828" s="22" t="s">
        <v>50</v>
      </c>
      <c r="H4828" s="22" t="s">
        <v>239</v>
      </c>
      <c r="I4828" s="26">
        <v>43650.699872685203</v>
      </c>
      <c r="J4828" s="28" t="s">
        <v>52</v>
      </c>
      <c r="K4828" s="28" t="s">
        <v>52</v>
      </c>
      <c r="L4828" s="28" t="s">
        <v>52</v>
      </c>
      <c r="M4828" s="28" t="s">
        <v>52</v>
      </c>
      <c r="N4828" s="28" t="s">
        <v>52</v>
      </c>
    </row>
    <row r="4829" spans="1:14" ht="12.75" hidden="1" outlineLevel="1" x14ac:dyDescent="0.2">
      <c r="A4829" s="23" t="str">
        <f t="shared" si="217"/>
        <v>МКУ "ЕДДС ГОРОДСКОГО ОКРУГА ЕГОРЬЕВСК"</v>
      </c>
      <c r="B4829" s="24" t="s">
        <v>288</v>
      </c>
      <c r="C4829" s="25">
        <v>1070642.81</v>
      </c>
      <c r="D4829" s="22" t="s">
        <v>6827</v>
      </c>
      <c r="E4829" s="22" t="s">
        <v>84</v>
      </c>
      <c r="F4829" s="23" t="str">
        <f t="shared" si="218"/>
        <v>Определение исполнителя по замене устаревших видеокамер и установке видеонаблюдения на социальных объектах Г.О. Егорьевск с подключением к системе "Безопасный регион"</v>
      </c>
      <c r="G4829" s="22" t="s">
        <v>50</v>
      </c>
      <c r="H4829" s="22" t="s">
        <v>239</v>
      </c>
      <c r="I4829" s="26">
        <v>43650.699872685203</v>
      </c>
      <c r="J4829" s="23" t="str">
        <f>HYPERLINK("https://www.spark-marketing.ru/Card/Person/2125716", "Сафронов Сергей Александрович")</f>
        <v>Сафронов Сергей Александрович</v>
      </c>
      <c r="K4829" s="24" t="s">
        <v>4303</v>
      </c>
      <c r="L4829" s="22" t="s">
        <v>10</v>
      </c>
      <c r="M4829" s="25">
        <v>733940.37</v>
      </c>
      <c r="N4829" s="27">
        <v>0.31448624775241335</v>
      </c>
    </row>
    <row r="4830" spans="1:14" hidden="1" outlineLevel="1" x14ac:dyDescent="0.2">
      <c r="A4830" s="23" t="str">
        <f t="shared" si="217"/>
        <v>МКУ "ЕДДС ГОРОДСКОГО ОКРУГА ЕГОРЬЕВСК"</v>
      </c>
      <c r="B4830" s="24" t="s">
        <v>288</v>
      </c>
      <c r="C4830" s="25">
        <v>1070642.81</v>
      </c>
      <c r="D4830" s="22" t="s">
        <v>6827</v>
      </c>
      <c r="E4830" s="22" t="s">
        <v>84</v>
      </c>
      <c r="F4830" s="23" t="str">
        <f t="shared" si="218"/>
        <v>Определение исполнителя по замене устаревших видеокамер и установке видеонаблюдения на социальных объектах Г.О. Егорьевск с подключением к системе "Безопасный регион"</v>
      </c>
      <c r="G4830" s="22" t="s">
        <v>50</v>
      </c>
      <c r="H4830" s="22" t="s">
        <v>239</v>
      </c>
      <c r="I4830" s="26">
        <v>43650.699872685203</v>
      </c>
      <c r="J4830" s="23" t="str">
        <f>HYPERLINK("https://www.spark-marketing.ru/Card/Person/4855697", "Перебейносов Алексей Игоревич")</f>
        <v>Перебейносов Алексей Игоревич</v>
      </c>
      <c r="K4830" s="24" t="s">
        <v>2716</v>
      </c>
      <c r="L4830" s="28" t="s">
        <v>52</v>
      </c>
      <c r="M4830" s="25">
        <v>750000</v>
      </c>
      <c r="N4830" s="27">
        <v>0.29948625910073595</v>
      </c>
    </row>
    <row r="4831" spans="1:14" hidden="1" outlineLevel="1" x14ac:dyDescent="0.2">
      <c r="A4831" s="23" t="str">
        <f t="shared" si="217"/>
        <v>МКУ "ЕДДС ГОРОДСКОГО ОКРУГА ЕГОРЬЕВСК"</v>
      </c>
      <c r="B4831" s="24" t="s">
        <v>288</v>
      </c>
      <c r="C4831" s="25">
        <v>1070642.81</v>
      </c>
      <c r="D4831" s="22" t="s">
        <v>6827</v>
      </c>
      <c r="E4831" s="22" t="s">
        <v>84</v>
      </c>
      <c r="F4831" s="23" t="str">
        <f t="shared" si="218"/>
        <v>Определение исполнителя по замене устаревших видеокамер и установке видеонаблюдения на социальных объектах Г.О. Егорьевск с подключением к системе "Безопасный регион"</v>
      </c>
      <c r="G4831" s="22" t="s">
        <v>50</v>
      </c>
      <c r="H4831" s="22" t="s">
        <v>239</v>
      </c>
      <c r="I4831" s="26">
        <v>43650.699872685203</v>
      </c>
      <c r="J4831" s="23" t="str">
        <f>HYPERLINK("https://www.spark-marketing.ru/Card/Person/6436168", "ООО ""СОЮЗ""")</f>
        <v>ООО "СОЮЗ"</v>
      </c>
      <c r="K4831" s="24" t="s">
        <v>6828</v>
      </c>
      <c r="L4831" s="28" t="s">
        <v>52</v>
      </c>
      <c r="M4831" s="25">
        <v>739293.58</v>
      </c>
      <c r="N4831" s="27">
        <v>0.30948625153518755</v>
      </c>
    </row>
    <row r="4832" spans="1:14" hidden="1" outlineLevel="1" x14ac:dyDescent="0.2">
      <c r="A4832" s="23" t="str">
        <f t="shared" si="217"/>
        <v>МКУ "ЕДДС ГОРОДСКОГО ОКРУГА ЕГОРЬЕВСК"</v>
      </c>
      <c r="B4832" s="24" t="s">
        <v>288</v>
      </c>
      <c r="C4832" s="25">
        <v>1070642.81</v>
      </c>
      <c r="D4832" s="22" t="s">
        <v>6827</v>
      </c>
      <c r="E4832" s="22" t="s">
        <v>84</v>
      </c>
      <c r="F4832" s="23" t="str">
        <f t="shared" si="218"/>
        <v>Определение исполнителя по замене устаревших видеокамер и установке видеонаблюдения на социальных объектах Г.О. Егорьевск с подключением к системе "Безопасный регион"</v>
      </c>
      <c r="G4832" s="22" t="s">
        <v>50</v>
      </c>
      <c r="H4832" s="22" t="s">
        <v>239</v>
      </c>
      <c r="I4832" s="26">
        <v>43650.699872685203</v>
      </c>
      <c r="J4832" s="23" t="str">
        <f>HYPERLINK("https://www.spark-marketing.ru/Card/Person/1989976", "ООО ""ПЛЕЙ-ТЕЛЕКОМ""")</f>
        <v>ООО "ПЛЕЙ-ТЕЛЕКОМ"</v>
      </c>
      <c r="K4832" s="24" t="s">
        <v>6829</v>
      </c>
      <c r="L4832" s="28" t="s">
        <v>52</v>
      </c>
      <c r="M4832" s="25">
        <v>958225.4</v>
      </c>
      <c r="N4832" s="27">
        <v>0.10499992056174179</v>
      </c>
    </row>
    <row r="4833" spans="1:14" hidden="1" outlineLevel="1" x14ac:dyDescent="0.2">
      <c r="A4833" s="23" t="str">
        <f t="shared" si="217"/>
        <v>МКУ "ЕДДС ГОРОДСКОГО ОКРУГА ЕГОРЬЕВСК"</v>
      </c>
      <c r="B4833" s="24" t="s">
        <v>288</v>
      </c>
      <c r="C4833" s="25">
        <v>1070642.81</v>
      </c>
      <c r="D4833" s="22" t="s">
        <v>6827</v>
      </c>
      <c r="E4833" s="22" t="s">
        <v>84</v>
      </c>
      <c r="F4833" s="23" t="str">
        <f t="shared" si="218"/>
        <v>Определение исполнителя по замене устаревших видеокамер и установке видеонаблюдения на социальных объектах Г.О. Егорьевск с подключением к системе "Безопасный регион"</v>
      </c>
      <c r="G4833" s="22" t="s">
        <v>50</v>
      </c>
      <c r="H4833" s="22" t="s">
        <v>239</v>
      </c>
      <c r="I4833" s="26">
        <v>43650.699872685203</v>
      </c>
      <c r="J4833" s="23" t="str">
        <f>HYPERLINK("https://www.spark-marketing.ru/Card/Person/1688612", "ООО ""СПЕЦСВЯЗЬ-МО""")</f>
        <v>ООО "СПЕЦСВЯЗЬ-МО"</v>
      </c>
      <c r="K4833" s="24" t="s">
        <v>4304</v>
      </c>
      <c r="L4833" s="28" t="s">
        <v>52</v>
      </c>
      <c r="M4833" s="25">
        <v>841514.61</v>
      </c>
      <c r="N4833" s="27">
        <v>0.214009936703353</v>
      </c>
    </row>
    <row r="4834" spans="1:14" x14ac:dyDescent="0.15">
      <c r="A4834" s="23" t="str">
        <f>HYPERLINK("https://www.spark-marketing.ru/Card/Person/1081498", "МДОУ Д/С № 50 ""ДЕФЕКТОЛОГ""")</f>
        <v>МДОУ Д/С № 50 "ДЕФЕКТОЛОГ"</v>
      </c>
      <c r="B4834" s="24" t="s">
        <v>6830</v>
      </c>
      <c r="C4834" s="25">
        <v>250608.3</v>
      </c>
      <c r="D4834" s="22" t="s">
        <v>6831</v>
      </c>
      <c r="E4834" s="22" t="s">
        <v>84</v>
      </c>
      <c r="F4834" s="23" t="str">
        <f>HYPERLINK("https://www.spark-marketing.ru/Card/Lot/71893461", "Оказание услуг по установке системы видеонаблюдения на территории МДОУ д/с № 50 ""Дефектолог""")</f>
        <v>Оказание услуг по установке системы видеонаблюдения на территории МДОУ д/с № 50 "Дефектолог"</v>
      </c>
      <c r="G4834" s="22" t="s">
        <v>50</v>
      </c>
      <c r="H4834" s="22" t="s">
        <v>827</v>
      </c>
      <c r="I4834" s="26">
        <v>43650.681238425903</v>
      </c>
      <c r="J4834" s="28" t="s">
        <v>52</v>
      </c>
      <c r="K4834" s="28" t="s">
        <v>52</v>
      </c>
      <c r="L4834" s="28" t="s">
        <v>52</v>
      </c>
      <c r="M4834" s="28" t="s">
        <v>52</v>
      </c>
      <c r="N4834" s="28" t="s">
        <v>52</v>
      </c>
    </row>
    <row r="4835" spans="1:14" x14ac:dyDescent="0.15">
      <c r="A4835" s="23" t="str">
        <f>HYPERLINK("https://www.spark-marketing.ru/Card/Person/6529866", "МБУК ""ЦРК""")</f>
        <v>МБУК "ЦРК"</v>
      </c>
      <c r="B4835" s="24" t="s">
        <v>6832</v>
      </c>
      <c r="C4835" s="25">
        <v>3229871.05</v>
      </c>
      <c r="D4835" s="22" t="s">
        <v>6833</v>
      </c>
      <c r="E4835" s="22" t="s">
        <v>5251</v>
      </c>
      <c r="F4835" s="23" t="str">
        <f>HYPERLINK("https://www.spark-marketing.ru/Card/Lot/71902193", "Поставка, установка и ввод в эксплуатацию оборудования сцены")</f>
        <v>Поставка, установка и ввод в эксплуатацию оборудования сцены</v>
      </c>
      <c r="G4835" s="22" t="s">
        <v>384</v>
      </c>
      <c r="H4835" s="22" t="s">
        <v>6834</v>
      </c>
      <c r="I4835" s="26">
        <v>43650.652916666702</v>
      </c>
      <c r="J4835" s="28" t="s">
        <v>52</v>
      </c>
      <c r="K4835" s="28" t="s">
        <v>52</v>
      </c>
      <c r="L4835" s="28" t="s">
        <v>52</v>
      </c>
      <c r="M4835" s="28" t="s">
        <v>52</v>
      </c>
      <c r="N4835" s="28" t="s">
        <v>52</v>
      </c>
    </row>
    <row r="4836" spans="1:14" ht="12.75" hidden="1" outlineLevel="1" x14ac:dyDescent="0.2">
      <c r="A4836" s="23" t="str">
        <f>HYPERLINK("https://www.spark-marketing.ru/Card/Person/6529866", "МБУК ""ЦРК""")</f>
        <v>МБУК "ЦРК"</v>
      </c>
      <c r="B4836" s="24" t="s">
        <v>6832</v>
      </c>
      <c r="C4836" s="25">
        <v>3229871.05</v>
      </c>
      <c r="D4836" s="22" t="s">
        <v>6833</v>
      </c>
      <c r="E4836" s="22" t="s">
        <v>5251</v>
      </c>
      <c r="F4836" s="23" t="str">
        <f>HYPERLINK("https://www.spark-marketing.ru/Card/Lot/71902193", "Поставка, установка и ввод в эксплуатацию оборудования сцены")</f>
        <v>Поставка, установка и ввод в эксплуатацию оборудования сцены</v>
      </c>
      <c r="G4836" s="22" t="s">
        <v>384</v>
      </c>
      <c r="H4836" s="22" t="s">
        <v>6834</v>
      </c>
      <c r="I4836" s="26">
        <v>43650.652916666702</v>
      </c>
      <c r="J4836" s="23" t="str">
        <f>HYPERLINK("https://www.spark-marketing.ru/Card/Person/6578992", "Захарова Сания Тазиевна")</f>
        <v>Захарова Сания Тазиевна</v>
      </c>
      <c r="K4836" s="24" t="s">
        <v>6835</v>
      </c>
      <c r="L4836" s="22" t="s">
        <v>10</v>
      </c>
      <c r="M4836" s="25">
        <v>3068377.5</v>
      </c>
      <c r="N4836" s="27">
        <v>4.999999922597529E-2</v>
      </c>
    </row>
    <row r="4837" spans="1:14" hidden="1" outlineLevel="1" x14ac:dyDescent="0.2">
      <c r="A4837" s="23" t="str">
        <f>HYPERLINK("https://www.spark-marketing.ru/Card/Person/6529866", "МБУК ""ЦРК""")</f>
        <v>МБУК "ЦРК"</v>
      </c>
      <c r="B4837" s="24" t="s">
        <v>6832</v>
      </c>
      <c r="C4837" s="25">
        <v>3229871.05</v>
      </c>
      <c r="D4837" s="22" t="s">
        <v>6833</v>
      </c>
      <c r="E4837" s="22" t="s">
        <v>5251</v>
      </c>
      <c r="F4837" s="23" t="str">
        <f>HYPERLINK("https://www.spark-marketing.ru/Card/Lot/71902193", "Поставка, установка и ввод в эксплуатацию оборудования сцены")</f>
        <v>Поставка, установка и ввод в эксплуатацию оборудования сцены</v>
      </c>
      <c r="G4837" s="22" t="s">
        <v>384</v>
      </c>
      <c r="H4837" s="22" t="s">
        <v>6834</v>
      </c>
      <c r="I4837" s="26">
        <v>43650.652916666702</v>
      </c>
      <c r="J4837" s="23" t="str">
        <f>HYPERLINK("https://www.spark-marketing.ru/Card/Person/70303", "ООО ""МАКРОЗВУК""")</f>
        <v>ООО "МАКРОЗВУК"</v>
      </c>
      <c r="K4837" s="24" t="s">
        <v>6836</v>
      </c>
      <c r="L4837" s="28" t="s">
        <v>52</v>
      </c>
      <c r="M4837" s="25">
        <v>3068377.5</v>
      </c>
      <c r="N4837" s="27">
        <v>4.999999922597529E-2</v>
      </c>
    </row>
    <row r="4838" spans="1:14" x14ac:dyDescent="0.15">
      <c r="A4838" s="23" t="str">
        <f>HYPERLINK("https://www.spark-marketing.ru/Card/Person/570072", "АО ""БИЗНЕС-НЕДВИЖИМОСТЬ""")</f>
        <v>АО "БИЗНЕС-НЕДВИЖИМОСТЬ"</v>
      </c>
      <c r="B4838" s="24" t="s">
        <v>6837</v>
      </c>
      <c r="C4838" s="28" t="s">
        <v>52</v>
      </c>
      <c r="D4838" s="22" t="s">
        <v>6838</v>
      </c>
      <c r="E4838" s="22" t="s">
        <v>53</v>
      </c>
      <c r="F4838" s="23" t="str">
        <f>HYPERLINK("https://www.spark-marketing.ru/Card/Lot/71893302", "Оказание услуг по охране объектов ПАО «ИНТУРАВТОСЕРВИС», расположенных по адресам: г. Санкт-Петербург, ул. Седова, д. 5 и г. Санкт-Петербург, ул. Седова, д.1.")</f>
        <v>Оказание услуг по охране объектов ПАО «ИНТУРАВТОСЕРВИС», расположенных по адресам: г. Санкт-Петербург, ул. Седова, д. 5 и г. Санкт-Петербург, ул. Седова, д.1.</v>
      </c>
      <c r="G4838" s="22" t="s">
        <v>89</v>
      </c>
      <c r="H4838" s="22" t="s">
        <v>89</v>
      </c>
      <c r="I4838" s="26">
        <v>43650.663194444402</v>
      </c>
      <c r="J4838" s="28" t="s">
        <v>52</v>
      </c>
      <c r="K4838" s="28" t="s">
        <v>52</v>
      </c>
      <c r="L4838" s="28" t="s">
        <v>52</v>
      </c>
      <c r="M4838" s="28" t="s">
        <v>52</v>
      </c>
      <c r="N4838" s="28" t="s">
        <v>52</v>
      </c>
    </row>
    <row r="4839" spans="1:14" x14ac:dyDescent="0.15">
      <c r="A4839" s="23" t="str">
        <f>HYPERLINK("https://www.spark-marketing.ru/Card/Person/6218324", "ГКУ ""УДМС""")</f>
        <v>ГКУ "УДМС"</v>
      </c>
      <c r="B4839" s="24" t="s">
        <v>5555</v>
      </c>
      <c r="C4839" s="25">
        <v>379.25</v>
      </c>
      <c r="D4839" s="22" t="s">
        <v>6839</v>
      </c>
      <c r="E4839" s="22" t="s">
        <v>5924</v>
      </c>
      <c r="F4839" s="23" t="str">
        <f>HYPERLINK("https://www.spark-marketing.ru/Card/Lot/71894392", "Закупка у единственного поставщика на выполнение работ по осуществлению технологического присоединения к электрическим сетям объекта: Видеонаблюдение подмостового пространства по объекту: «Развитие улично-дорожной сети для транспортного обслуживания ...")</f>
        <v>Закупка у единственного поставщика на выполнение работ по осуществлению технологического присоединения к электрическим сетям объекта: Видеонаблюдение подмостового пространства по объекту: «Развитие улично-дорожной сети для транспортного обслуживания ...</v>
      </c>
      <c r="G4839" s="22" t="s">
        <v>55</v>
      </c>
      <c r="H4839" s="22" t="s">
        <v>55</v>
      </c>
      <c r="I4839" s="26">
        <v>43650.598611111098</v>
      </c>
      <c r="J4839" s="28" t="s">
        <v>52</v>
      </c>
      <c r="K4839" s="28" t="s">
        <v>52</v>
      </c>
      <c r="L4839" s="28" t="s">
        <v>52</v>
      </c>
      <c r="M4839" s="28" t="s">
        <v>52</v>
      </c>
      <c r="N4839" s="28" t="s">
        <v>52</v>
      </c>
    </row>
    <row r="4840" spans="1:14" x14ac:dyDescent="0.15">
      <c r="A4840" s="23" t="str">
        <f>HYPERLINK("https://www.spark-marketing.ru/Card/Person/13630", "ФКУ ""ЦХИСО ГУ МВД РОССИИ ПО НИЖЕГОРОДСКОЙ ОБЛАСТИ""")</f>
        <v>ФКУ "ЦХИСО ГУ МВД РОССИИ ПО НИЖЕГОРОДСКОЙ ОБЛАСТИ"</v>
      </c>
      <c r="B4840" s="24" t="s">
        <v>2566</v>
      </c>
      <c r="C4840" s="25">
        <v>1635000</v>
      </c>
      <c r="D4840" s="22" t="s">
        <v>6840</v>
      </c>
      <c r="E4840" s="22" t="s">
        <v>2568</v>
      </c>
      <c r="F4840" s="23" t="str">
        <f>HYPERLINK("https://www.spark-marketing.ru/Card/Lot/71902270", "Оказание услуг по организации питания несовершеннолетних правонарушителей, содержащихся в ЦВСНП ГУ МВД России по Нижегородской области")</f>
        <v>Оказание услуг по организации питания несовершеннолетних правонарушителей, содержащихся в ЦВСНП ГУ МВД России по Нижегородской области</v>
      </c>
      <c r="G4840" s="22" t="s">
        <v>64</v>
      </c>
      <c r="H4840" s="22" t="s">
        <v>64</v>
      </c>
      <c r="I4840" s="26">
        <v>43650.613645833299</v>
      </c>
      <c r="J4840" s="23" t="str">
        <f>HYPERLINK("https://www.spark-marketing.ru/Card/Person/1177901", "Лебедева Анастасия Ананьевна")</f>
        <v>Лебедева Анастасия Ананьевна</v>
      </c>
      <c r="K4840" s="24" t="s">
        <v>2569</v>
      </c>
      <c r="L4840" s="22" t="s">
        <v>10</v>
      </c>
      <c r="M4840" s="28" t="s">
        <v>52</v>
      </c>
      <c r="N4840" s="28" t="s">
        <v>52</v>
      </c>
    </row>
    <row r="4841" spans="1:14" x14ac:dyDescent="0.15">
      <c r="A4841" s="23" t="str">
        <f>HYPERLINK("https://www.spark-marketing.ru/Card/Person/47466", "МОУ ГИМНАЗИЯ № 16")</f>
        <v>МОУ ГИМНАЗИЯ № 16</v>
      </c>
      <c r="B4841" s="24" t="s">
        <v>6841</v>
      </c>
      <c r="C4841" s="25">
        <v>330480</v>
      </c>
      <c r="D4841" s="22" t="s">
        <v>6842</v>
      </c>
      <c r="E4841" s="22" t="s">
        <v>52</v>
      </c>
      <c r="F4841" s="23" t="str">
        <f>HYPERLINK("https://www.spark-marketing.ru/Card/Lot/71900597", "услуги частных  охранных  служб")</f>
        <v>услуги частных  охранных  служб</v>
      </c>
      <c r="G4841" s="22" t="s">
        <v>132</v>
      </c>
      <c r="H4841" s="22" t="s">
        <v>1126</v>
      </c>
      <c r="I4841" s="26">
        <v>43650.589409722197</v>
      </c>
      <c r="J4841" s="28" t="s">
        <v>52</v>
      </c>
      <c r="K4841" s="28" t="s">
        <v>52</v>
      </c>
      <c r="L4841" s="28" t="s">
        <v>52</v>
      </c>
      <c r="M4841" s="28" t="s">
        <v>52</v>
      </c>
      <c r="N4841" s="28" t="s">
        <v>52</v>
      </c>
    </row>
    <row r="4842" spans="1:14" ht="12.75" hidden="1" outlineLevel="1" x14ac:dyDescent="0.2">
      <c r="A4842" s="23" t="str">
        <f>HYPERLINK("https://www.spark-marketing.ru/Card/Person/47466", "МОУ ГИМНАЗИЯ № 16")</f>
        <v>МОУ ГИМНАЗИЯ № 16</v>
      </c>
      <c r="B4842" s="24" t="s">
        <v>6841</v>
      </c>
      <c r="C4842" s="25">
        <v>330480</v>
      </c>
      <c r="D4842" s="22" t="s">
        <v>6842</v>
      </c>
      <c r="E4842" s="22" t="s">
        <v>52</v>
      </c>
      <c r="F4842" s="23" t="str">
        <f>HYPERLINK("https://www.spark-marketing.ru/Card/Lot/71900597", "услуги частных  охранных  служб")</f>
        <v>услуги частных  охранных  служб</v>
      </c>
      <c r="G4842" s="22" t="s">
        <v>132</v>
      </c>
      <c r="H4842" s="22" t="s">
        <v>1126</v>
      </c>
      <c r="I4842" s="26">
        <v>43650.589409722197</v>
      </c>
      <c r="J4842" s="23" t="str">
        <f>HYPERLINK("https://www.spark-marketing.ru/Card/Person/461410", "ООО ""ОСА ""СКОРПИОН""")</f>
        <v>ООО "ОСА "СКОРПИОН"</v>
      </c>
      <c r="K4842" s="24" t="s">
        <v>6843</v>
      </c>
      <c r="L4842" s="22" t="s">
        <v>10</v>
      </c>
      <c r="M4842" s="25">
        <v>310500</v>
      </c>
      <c r="N4842" s="27">
        <v>6.0457516339869281E-2</v>
      </c>
    </row>
    <row r="4843" spans="1:14" hidden="1" outlineLevel="1" x14ac:dyDescent="0.2">
      <c r="A4843" s="23" t="str">
        <f>HYPERLINK("https://www.spark-marketing.ru/Card/Person/47466", "МОУ ГИМНАЗИЯ № 16")</f>
        <v>МОУ ГИМНАЗИЯ № 16</v>
      </c>
      <c r="B4843" s="24" t="s">
        <v>6841</v>
      </c>
      <c r="C4843" s="25">
        <v>330480</v>
      </c>
      <c r="D4843" s="22" t="s">
        <v>6842</v>
      </c>
      <c r="E4843" s="22" t="s">
        <v>52</v>
      </c>
      <c r="F4843" s="23" t="str">
        <f>HYPERLINK("https://www.spark-marketing.ru/Card/Lot/71900597", "услуги частных  охранных  служб")</f>
        <v>услуги частных  охранных  служб</v>
      </c>
      <c r="G4843" s="22" t="s">
        <v>132</v>
      </c>
      <c r="H4843" s="22" t="s">
        <v>1126</v>
      </c>
      <c r="I4843" s="26">
        <v>43650.589409722197</v>
      </c>
      <c r="J4843" s="23" t="str">
        <f>HYPERLINK("https://www.spark-marketing.ru/Card/Person/124509", "ООО ""ЧАСТНАЯ ОХРАННАЯ ОРГАНИЗАЦИЯ ""РУБИКОН""")</f>
        <v>ООО "ЧАСТНАЯ ОХРАННАЯ ОРГАНИЗАЦИЯ "РУБИКОН"</v>
      </c>
      <c r="K4843" s="24" t="s">
        <v>6844</v>
      </c>
      <c r="L4843" s="28" t="s">
        <v>52</v>
      </c>
      <c r="M4843" s="25">
        <v>317628</v>
      </c>
      <c r="N4843" s="27">
        <v>3.888888888888889E-2</v>
      </c>
    </row>
    <row r="4844" spans="1:14" x14ac:dyDescent="0.15">
      <c r="A4844" s="23" t="str">
        <f>HYPERLINK("https://www.spark-marketing.ru/Card/Person/139198", "ОГКУЗ МЕДИЦИНСКИЙ ЦЕНТР ""РЕЗЕРВ""")</f>
        <v>ОГКУЗ МЕДИЦИНСКИЙ ЦЕНТР "РЕЗЕРВ"</v>
      </c>
      <c r="B4844" s="24" t="s">
        <v>6824</v>
      </c>
      <c r="C4844" s="25">
        <v>16826.400000000001</v>
      </c>
      <c r="D4844" s="22" t="s">
        <v>6845</v>
      </c>
      <c r="E4844" s="22" t="s">
        <v>68</v>
      </c>
      <c r="F4844" s="23" t="str">
        <f>HYPERLINK("https://www.spark-marketing.ru/Card/Lot/71897591", "Услуги по охране объектов с помощью тревожной кнопки")</f>
        <v>Услуги по охране объектов с помощью тревожной кнопки</v>
      </c>
      <c r="G4844" s="22" t="s">
        <v>281</v>
      </c>
      <c r="H4844" s="22" t="s">
        <v>6846</v>
      </c>
      <c r="I4844" s="26">
        <v>43650.601388888899</v>
      </c>
      <c r="J4844" s="28" t="s">
        <v>52</v>
      </c>
      <c r="K4844" s="28" t="s">
        <v>52</v>
      </c>
      <c r="L4844" s="28" t="s">
        <v>52</v>
      </c>
      <c r="M4844" s="28" t="s">
        <v>52</v>
      </c>
      <c r="N4844" s="28" t="s">
        <v>52</v>
      </c>
    </row>
    <row r="4845" spans="1:14" x14ac:dyDescent="0.15">
      <c r="A4845" s="23" t="str">
        <f>HYPERLINK("https://www.spark-marketing.ru/Card/Person/139198", "ОГКУЗ МЕДИЦИНСКИЙ ЦЕНТР ""РЕЗЕРВ""")</f>
        <v>ОГКУЗ МЕДИЦИНСКИЙ ЦЕНТР "РЕЗЕРВ"</v>
      </c>
      <c r="B4845" s="24" t="s">
        <v>6824</v>
      </c>
      <c r="C4845" s="25">
        <v>7329.2</v>
      </c>
      <c r="D4845" s="22" t="s">
        <v>6847</v>
      </c>
      <c r="E4845" s="22" t="s">
        <v>68</v>
      </c>
      <c r="F4845" s="23" t="str">
        <f>HYPERLINK("https://www.spark-marketing.ru/Card/Lot/71896630", "Услуги охранников")</f>
        <v>Услуги охранников</v>
      </c>
      <c r="G4845" s="22" t="s">
        <v>281</v>
      </c>
      <c r="H4845" s="22" t="s">
        <v>2890</v>
      </c>
      <c r="I4845" s="26">
        <v>43650.600694444402</v>
      </c>
      <c r="J4845" s="28" t="s">
        <v>52</v>
      </c>
      <c r="K4845" s="28" t="s">
        <v>52</v>
      </c>
      <c r="L4845" s="28" t="s">
        <v>52</v>
      </c>
      <c r="M4845" s="28" t="s">
        <v>52</v>
      </c>
      <c r="N4845" s="28" t="s">
        <v>52</v>
      </c>
    </row>
    <row r="4846" spans="1:14" x14ac:dyDescent="0.15">
      <c r="A4846" s="23" t="str">
        <f>HYPERLINK("https://www.spark-marketing.ru/Card/Person/77930", "ОТДЕЛ МВД РОССИИ ПО БЕЛОВСКОМУ РАЙОНУ")</f>
        <v>ОТДЕЛ МВД РОССИИ ПО БЕЛОВСКОМУ РАЙОНУ</v>
      </c>
      <c r="B4846" s="24" t="s">
        <v>6848</v>
      </c>
      <c r="C4846" s="25">
        <v>14824.8</v>
      </c>
      <c r="D4846" s="22" t="s">
        <v>6849</v>
      </c>
      <c r="E4846" s="22" t="s">
        <v>107</v>
      </c>
      <c r="F4846" s="23" t="str">
        <f>HYPERLINK("https://www.spark-marketing.ru/Card/Lot/71888480", "Техническое обслуживание инженерно-технических средств охраны, 14 шт")</f>
        <v>Техническое обслуживание инженерно-технических средств охраны, 14 шт</v>
      </c>
      <c r="G4846" s="22" t="s">
        <v>367</v>
      </c>
      <c r="H4846" s="22" t="s">
        <v>6850</v>
      </c>
      <c r="I4846" s="26">
        <v>43650.562615740702</v>
      </c>
      <c r="J4846" s="28" t="s">
        <v>52</v>
      </c>
      <c r="K4846" s="28" t="s">
        <v>52</v>
      </c>
      <c r="L4846" s="28" t="s">
        <v>52</v>
      </c>
      <c r="M4846" s="28" t="s">
        <v>52</v>
      </c>
      <c r="N4846" s="28" t="s">
        <v>52</v>
      </c>
    </row>
    <row r="4847" spans="1:14" x14ac:dyDescent="0.15">
      <c r="A4847" s="23" t="str">
        <f>HYPERLINK("https://www.spark-marketing.ru/Card/Person/5898258", "ФЛ АЗОТ АО ОХК УРАЛХИМ В Г БЕРЕЗНИКИ")</f>
        <v>ФЛ АЗОТ АО ОХК УРАЛХИМ В Г БЕРЕЗНИКИ</v>
      </c>
      <c r="B4847" s="28" t="s">
        <v>52</v>
      </c>
      <c r="C4847" s="28" t="s">
        <v>52</v>
      </c>
      <c r="D4847" s="28" t="s">
        <v>52</v>
      </c>
      <c r="E4847" s="22" t="s">
        <v>53</v>
      </c>
      <c r="F4847" s="23" t="str">
        <f>HYPERLINK("https://www.spark-marketing.ru/Card/Lot/71889160", "Уведомление о проведении закупочной процедуры в форме запроса предложений с переторжкой на выполнение работ «Установка доп. средств видеонаблюдения в цехах 3А, Карбамид, ННС (отд. ННС, отд КС), 3, КрАК"" для филиала «Азот» АО «ОХК «УРАЛХИМ» в г. Бере...")</f>
        <v>Уведомление о проведении закупочной процедуры в форме запроса предложений с переторжкой на выполнение работ «Установка доп. средств видеонаблюдения в цехах 3А, Карбамид, ННС (отд. ННС, отд КС), 3, КрАК" для филиала «Азот» АО «ОХК «УРАЛХИМ» в г. Бере...</v>
      </c>
      <c r="G4847" s="22" t="s">
        <v>52</v>
      </c>
      <c r="H4847" s="22" t="s">
        <v>52</v>
      </c>
      <c r="I4847" s="26">
        <v>43650.574305555601</v>
      </c>
      <c r="J4847" s="28" t="s">
        <v>52</v>
      </c>
      <c r="K4847" s="28" t="s">
        <v>52</v>
      </c>
      <c r="L4847" s="28" t="s">
        <v>52</v>
      </c>
      <c r="M4847" s="28" t="s">
        <v>52</v>
      </c>
      <c r="N4847" s="28" t="s">
        <v>52</v>
      </c>
    </row>
    <row r="4848" spans="1:14" x14ac:dyDescent="0.15">
      <c r="A4848" s="23" t="str">
        <f>HYPERLINK("https://www.spark-marketing.ru/Card/Person/135456", "ПРИВОЛЖСКИЙ ОКРУЖНОЙ ВОЕННЫЙ СУД")</f>
        <v>ПРИВОЛЖСКИЙ ОКРУЖНОЙ ВОЕННЫЙ СУД</v>
      </c>
      <c r="B4848" s="24" t="s">
        <v>6851</v>
      </c>
      <c r="C4848" s="25">
        <v>30030.240000000002</v>
      </c>
      <c r="D4848" s="22" t="s">
        <v>6852</v>
      </c>
      <c r="E4848" s="22" t="s">
        <v>68</v>
      </c>
      <c r="F4848" s="23" t="str">
        <f>HYPERLINK("https://www.spark-marketing.ru/Card/Lot/71898279", "Оказание услуг по технической охране и реагировании на КТС")</f>
        <v>Оказание услуг по технической охране и реагировании на КТС</v>
      </c>
      <c r="G4848" s="22" t="s">
        <v>760</v>
      </c>
      <c r="H4848" s="22" t="s">
        <v>1709</v>
      </c>
      <c r="I4848" s="26">
        <v>43650.508333333302</v>
      </c>
      <c r="J4848" s="28" t="s">
        <v>52</v>
      </c>
      <c r="K4848" s="28" t="s">
        <v>52</v>
      </c>
      <c r="L4848" s="28" t="s">
        <v>52</v>
      </c>
      <c r="M4848" s="28" t="s">
        <v>52</v>
      </c>
      <c r="N4848" s="28" t="s">
        <v>52</v>
      </c>
    </row>
    <row r="4849" spans="1:14" x14ac:dyDescent="0.15">
      <c r="A4849" s="23" t="str">
        <f>HYPERLINK("https://www.spark-marketing.ru/Card/Person/73499", "УФНС РОССИИ ПО РОСТОВСКОЙ ОБЛАСТИ")</f>
        <v>УФНС РОССИИ ПО РОСТОВСКОЙ ОБЛАСТИ</v>
      </c>
      <c r="B4849" s="24" t="s">
        <v>6853</v>
      </c>
      <c r="C4849" s="25">
        <v>28407.35</v>
      </c>
      <c r="D4849" s="22" t="s">
        <v>6854</v>
      </c>
      <c r="E4849" s="22" t="s">
        <v>53</v>
      </c>
      <c r="F4849" s="23" t="str">
        <f>HYPERLINK("https://www.spark-marketing.ru/Card/Lot/71887696", "Пультовая охрана (МРИ 12), 2 шт")</f>
        <v>Пультовая охрана (МРИ 12), 2 шт</v>
      </c>
      <c r="G4849" s="22" t="s">
        <v>402</v>
      </c>
      <c r="H4849" s="22" t="s">
        <v>403</v>
      </c>
      <c r="I4849" s="26">
        <v>43650.525069444397</v>
      </c>
      <c r="J4849" s="28" t="s">
        <v>52</v>
      </c>
      <c r="K4849" s="28" t="s">
        <v>52</v>
      </c>
      <c r="L4849" s="28" t="s">
        <v>52</v>
      </c>
      <c r="M4849" s="28" t="s">
        <v>52</v>
      </c>
      <c r="N4849" s="28" t="s">
        <v>52</v>
      </c>
    </row>
    <row r="4850" spans="1:14" x14ac:dyDescent="0.15">
      <c r="A4850" s="23" t="str">
        <f>HYPERLINK("https://www.spark-marketing.ru/Card/Person/104714", """ОТДЕЛ МВД РОССИИ ПО ТАХТАМУКАЙСКОМУ РАЙОНУ""")</f>
        <v>"ОТДЕЛ МВД РОССИИ ПО ТАХТАМУКАЙСКОМУ РАЙОНУ"</v>
      </c>
      <c r="B4850" s="24" t="s">
        <v>6855</v>
      </c>
      <c r="C4850" s="25">
        <v>35000</v>
      </c>
      <c r="D4850" s="22" t="s">
        <v>6856</v>
      </c>
      <c r="E4850" s="22" t="s">
        <v>103</v>
      </c>
      <c r="F4850" s="23" t="str">
        <f>HYPERLINK("https://www.spark-marketing.ru/Card/Lot/71887646", "Обслуживание систем видеонаблюдения, 1 усл. ед")</f>
        <v>Обслуживание систем видеонаблюдения, 1 усл. ед</v>
      </c>
      <c r="G4850" s="22" t="s">
        <v>1547</v>
      </c>
      <c r="H4850" s="22" t="s">
        <v>1547</v>
      </c>
      <c r="I4850" s="26">
        <v>43650.508125</v>
      </c>
      <c r="J4850" s="28" t="s">
        <v>52</v>
      </c>
      <c r="K4850" s="28" t="s">
        <v>52</v>
      </c>
      <c r="L4850" s="28" t="s">
        <v>52</v>
      </c>
      <c r="M4850" s="28" t="s">
        <v>52</v>
      </c>
      <c r="N4850" s="28" t="s">
        <v>52</v>
      </c>
    </row>
    <row r="4851" spans="1:14" x14ac:dyDescent="0.15">
      <c r="A4851" s="23" t="str">
        <f>HYPERLINK("https://www.spark-marketing.ru/Card/Person/27034", "АДМИНИСТРАЦИЯ ГОРОДСКОГО ОКРУГА ЛОБНЯ")</f>
        <v>АДМИНИСТРАЦИЯ ГОРОДСКОГО ОКРУГА ЛОБНЯ</v>
      </c>
      <c r="B4851" s="24" t="s">
        <v>2305</v>
      </c>
      <c r="C4851" s="25">
        <v>115486</v>
      </c>
      <c r="D4851" s="22" t="s">
        <v>6857</v>
      </c>
      <c r="E4851" s="22" t="s">
        <v>234</v>
      </c>
      <c r="F4851" s="23" t="str">
        <f>HYPERLINK("https://www.spark-marketing.ru/Card/Lot/71899718", "Оказание услуг по техническому обслуживанию, содержанию и передаче видеоизображений с мест нахождения видеокамер территориально-распределенной системы видеонаблюдения города Лобня, обслуживание серверов существующей системы технологического обеспечен...")</f>
        <v>Оказание услуг по техническому обслуживанию, содержанию и передаче видеоизображений с мест нахождения видеокамер территориально-распределенной системы видеонаблюдения города Лобня, обслуживание серверов существующей системы технологического обеспечен...</v>
      </c>
      <c r="G4851" s="22" t="s">
        <v>50</v>
      </c>
      <c r="H4851" s="22" t="s">
        <v>2307</v>
      </c>
      <c r="I4851" s="26">
        <v>43650.505555555603</v>
      </c>
      <c r="J4851" s="28" t="s">
        <v>52</v>
      </c>
      <c r="K4851" s="28" t="s">
        <v>52</v>
      </c>
      <c r="L4851" s="28" t="s">
        <v>52</v>
      </c>
      <c r="M4851" s="28" t="s">
        <v>52</v>
      </c>
      <c r="N4851" s="28" t="s">
        <v>52</v>
      </c>
    </row>
    <row r="4852" spans="1:14" hidden="1" outlineLevel="1" x14ac:dyDescent="0.2">
      <c r="A4852" s="23" t="str">
        <f>HYPERLINK("https://www.spark-marketing.ru/Card/Person/27034", "АДМИНИСТРАЦИЯ ГОРОДСКОГО ОКРУГА ЛОБНЯ")</f>
        <v>АДМИНИСТРАЦИЯ ГОРОДСКОГО ОКРУГА ЛОБНЯ</v>
      </c>
      <c r="B4852" s="24" t="s">
        <v>2305</v>
      </c>
      <c r="C4852" s="25">
        <v>115486</v>
      </c>
      <c r="D4852" s="22" t="s">
        <v>6857</v>
      </c>
      <c r="E4852" s="22" t="s">
        <v>234</v>
      </c>
      <c r="F4852" s="23" t="str">
        <f>HYPERLINK("https://www.spark-marketing.ru/Card/Lot/71899718", "Оказание услуг по техническому обслуживанию, содержанию и передаче видеоизображений с мест нахождения видеокамер территориально-распределенной системы видеонаблюдения города Лобня, обслуживание серверов существующей системы технологического обеспечен...")</f>
        <v>Оказание услуг по техническому обслуживанию, содержанию и передаче видеоизображений с мест нахождения видеокамер территориально-распределенной системы видеонаблюдения города Лобня, обслуживание серверов существующей системы технологического обеспечен...</v>
      </c>
      <c r="G4852" s="22" t="s">
        <v>50</v>
      </c>
      <c r="H4852" s="22" t="s">
        <v>2307</v>
      </c>
      <c r="I4852" s="26">
        <v>43650.505555555603</v>
      </c>
      <c r="J4852" s="23" t="str">
        <f>HYPERLINK("https://www.spark-marketing.ru/Card/Person/6336503", "Гандилян Веспасион Ардавазтович")</f>
        <v>Гандилян Веспасион Ардавазтович</v>
      </c>
      <c r="K4852" s="24" t="s">
        <v>2308</v>
      </c>
      <c r="L4852" s="28" t="s">
        <v>52</v>
      </c>
      <c r="M4852" s="25">
        <v>114908.57</v>
      </c>
      <c r="N4852" s="27">
        <v>5.0000000000000001E-3</v>
      </c>
    </row>
    <row r="4853" spans="1:14" ht="12.75" hidden="1" outlineLevel="1" x14ac:dyDescent="0.2">
      <c r="A4853" s="23" t="str">
        <f>HYPERLINK("https://www.spark-marketing.ru/Card/Person/27034", "АДМИНИСТРАЦИЯ ГОРОДСКОГО ОКРУГА ЛОБНЯ")</f>
        <v>АДМИНИСТРАЦИЯ ГОРОДСКОГО ОКРУГА ЛОБНЯ</v>
      </c>
      <c r="B4853" s="24" t="s">
        <v>2305</v>
      </c>
      <c r="C4853" s="25">
        <v>115486</v>
      </c>
      <c r="D4853" s="22" t="s">
        <v>6857</v>
      </c>
      <c r="E4853" s="22" t="s">
        <v>234</v>
      </c>
      <c r="F4853" s="23" t="str">
        <f>HYPERLINK("https://www.spark-marketing.ru/Card/Lot/71899718", "Оказание услуг по техническому обслуживанию, содержанию и передаче видеоизображений с мест нахождения видеокамер территориально-распределенной системы видеонаблюдения города Лобня, обслуживание серверов существующей системы технологического обеспечен...")</f>
        <v>Оказание услуг по техническому обслуживанию, содержанию и передаче видеоизображений с мест нахождения видеокамер территориально-распределенной системы видеонаблюдения города Лобня, обслуживание серверов существующей системы технологического обеспечен...</v>
      </c>
      <c r="G4853" s="22" t="s">
        <v>50</v>
      </c>
      <c r="H4853" s="22" t="s">
        <v>2307</v>
      </c>
      <c r="I4853" s="26">
        <v>43650.505555555603</v>
      </c>
      <c r="J4853" s="23" t="str">
        <f>HYPERLINK("https://www.spark-marketing.ru/Card/Person/70278", "ООО ""ГОРОДСКИЕ СЕТИ""")</f>
        <v>ООО "ГОРОДСКИЕ СЕТИ"</v>
      </c>
      <c r="K4853" s="24" t="s">
        <v>2309</v>
      </c>
      <c r="L4853" s="22" t="s">
        <v>10</v>
      </c>
      <c r="M4853" s="25">
        <v>114331.14</v>
      </c>
      <c r="N4853" s="27">
        <v>0.01</v>
      </c>
    </row>
    <row r="4854" spans="1:14" x14ac:dyDescent="0.15">
      <c r="A4854" s="23" t="str">
        <f>HYPERLINK("https://www.spark-marketing.ru/Card/Person/73499", "УФНС РОССИИ ПО РОСТОВСКОЙ ОБЛАСТИ")</f>
        <v>УФНС РОССИИ ПО РОСТОВСКОЙ ОБЛАСТИ</v>
      </c>
      <c r="B4854" s="24" t="s">
        <v>6853</v>
      </c>
      <c r="C4854" s="25">
        <v>12075</v>
      </c>
      <c r="D4854" s="22" t="s">
        <v>6858</v>
      </c>
      <c r="E4854" s="22" t="s">
        <v>53</v>
      </c>
      <c r="F4854" s="23" t="str">
        <f>HYPERLINK("https://www.spark-marketing.ru/Card/Lot/71887592", "Услуги пультовой охраны с использованием тревожной кнопки (МРИ 22), 2 шт")</f>
        <v>Услуги пультовой охраны с использованием тревожной кнопки (МРИ 22), 2 шт</v>
      </c>
      <c r="G4854" s="22" t="s">
        <v>402</v>
      </c>
      <c r="H4854" s="22" t="s">
        <v>4623</v>
      </c>
      <c r="I4854" s="26">
        <v>43650.539571759298</v>
      </c>
      <c r="J4854" s="28" t="s">
        <v>52</v>
      </c>
      <c r="K4854" s="28" t="s">
        <v>52</v>
      </c>
      <c r="L4854" s="28" t="s">
        <v>52</v>
      </c>
      <c r="M4854" s="28" t="s">
        <v>52</v>
      </c>
      <c r="N4854" s="28" t="s">
        <v>52</v>
      </c>
    </row>
    <row r="4855" spans="1:14" x14ac:dyDescent="0.15">
      <c r="A4855" s="23" t="str">
        <f>HYPERLINK("https://www.spark-marketing.ru/Card/Person/1760065", "ООО ЧОП ""РН-ОХРАНА-УФА""")</f>
        <v>ООО ЧОП "РН-ОХРАНА-УФА"</v>
      </c>
      <c r="B4855" s="24" t="s">
        <v>6859</v>
      </c>
      <c r="C4855" s="28" t="s">
        <v>52</v>
      </c>
      <c r="D4855" s="22" t="s">
        <v>6860</v>
      </c>
      <c r="E4855" s="22" t="s">
        <v>6861</v>
      </c>
      <c r="F4855" s="23" t="str">
        <f>HYPERLINK("https://www.spark-marketing.ru/Card/Lot/71890113", "Приобретение автомобилей Шевроле Нива GL для нужд ООО ЧОП ""РН-Охрана-Уфа""")</f>
        <v>Приобретение автомобилей Шевроле Нива GL для нужд ООО ЧОП "РН-Охрана-Уфа"</v>
      </c>
      <c r="G4855" s="22" t="s">
        <v>100</v>
      </c>
      <c r="H4855" s="22" t="s">
        <v>373</v>
      </c>
      <c r="I4855" s="26">
        <v>43650.536111111098</v>
      </c>
      <c r="J4855" s="28" t="s">
        <v>52</v>
      </c>
      <c r="K4855" s="28" t="s">
        <v>52</v>
      </c>
      <c r="L4855" s="28" t="s">
        <v>52</v>
      </c>
      <c r="M4855" s="28" t="s">
        <v>52</v>
      </c>
      <c r="N4855" s="28" t="s">
        <v>52</v>
      </c>
    </row>
    <row r="4856" spans="1:14" x14ac:dyDescent="0.15">
      <c r="A4856" s="23" t="str">
        <f>HYPERLINK("https://www.spark-marketing.ru/Card/Person/1082738", "ОМВД РОССИИ ПО МУРОМЦЕВСКОМУ РАЙОНУ")</f>
        <v>ОМВД РОССИИ ПО МУРОМЦЕВСКОМУ РАЙОНУ</v>
      </c>
      <c r="B4856" s="24" t="s">
        <v>6862</v>
      </c>
      <c r="C4856" s="25">
        <v>7000</v>
      </c>
      <c r="D4856" s="22" t="s">
        <v>6863</v>
      </c>
      <c r="E4856" s="22" t="s">
        <v>53</v>
      </c>
      <c r="F4856" s="23" t="str">
        <f>HYPERLINK("https://www.spark-marketing.ru/Card/Lot/71886530", "Кнопка тревожной сигнализации RS-201TK2, 2 шт")</f>
        <v>Кнопка тревожной сигнализации RS-201TK2, 2 шт</v>
      </c>
      <c r="G4856" s="22" t="s">
        <v>521</v>
      </c>
      <c r="H4856" s="22" t="s">
        <v>521</v>
      </c>
      <c r="I4856" s="26">
        <v>43650.488194444399</v>
      </c>
      <c r="J4856" s="28" t="s">
        <v>52</v>
      </c>
      <c r="K4856" s="28" t="s">
        <v>52</v>
      </c>
      <c r="L4856" s="28" t="s">
        <v>52</v>
      </c>
      <c r="M4856" s="28" t="s">
        <v>52</v>
      </c>
      <c r="N4856" s="28" t="s">
        <v>52</v>
      </c>
    </row>
    <row r="4857" spans="1:14" x14ac:dyDescent="0.15">
      <c r="A4857" s="23" t="str">
        <f>HYPERLINK("https://www.spark-marketing.ru/Card/Person/64547", "МБОУ СОШ № 17")</f>
        <v>МБОУ СОШ № 17</v>
      </c>
      <c r="B4857" s="24" t="s">
        <v>6864</v>
      </c>
      <c r="C4857" s="25">
        <v>74000</v>
      </c>
      <c r="D4857" s="22" t="s">
        <v>6865</v>
      </c>
      <c r="E4857" s="22" t="s">
        <v>84</v>
      </c>
      <c r="F4857" s="23" t="str">
        <f>HYPERLINK("https://www.spark-marketing.ru/Card/Lot/71886664", "Оказание услуг по установке камер видеонаблюдения - ""Безопасный регион""")</f>
        <v>Оказание услуг по установке камер видеонаблюдения - "Безопасный регион"</v>
      </c>
      <c r="G4857" s="22" t="s">
        <v>50</v>
      </c>
      <c r="H4857" s="22" t="s">
        <v>682</v>
      </c>
      <c r="I4857" s="26">
        <v>43650.482326388897</v>
      </c>
      <c r="J4857" s="28" t="s">
        <v>52</v>
      </c>
      <c r="K4857" s="28" t="s">
        <v>52</v>
      </c>
      <c r="L4857" s="28" t="s">
        <v>52</v>
      </c>
      <c r="M4857" s="28" t="s">
        <v>52</v>
      </c>
      <c r="N4857" s="28" t="s">
        <v>52</v>
      </c>
    </row>
    <row r="4858" spans="1:14" x14ac:dyDescent="0.15">
      <c r="A4858" s="23" t="str">
        <f>HYPERLINK("https://www.spark-marketing.ru/Card/Person/951163", "МАОУ ЛИЦЕЙ № 64")</f>
        <v>МАОУ ЛИЦЕЙ № 64</v>
      </c>
      <c r="B4858" s="24" t="s">
        <v>6866</v>
      </c>
      <c r="C4858" s="25">
        <v>156000</v>
      </c>
      <c r="D4858" s="22" t="s">
        <v>6867</v>
      </c>
      <c r="E4858" s="22" t="s">
        <v>691</v>
      </c>
      <c r="F4858" s="23" t="str">
        <f>HYPERLINK("https://www.spark-marketing.ru/Card/Lot/71887047", "Установка системы внутреннего и наружного видеонаблюдения")</f>
        <v>Установка системы внутреннего и наружного видеонаблюдения</v>
      </c>
      <c r="G4858" s="22" t="s">
        <v>132</v>
      </c>
      <c r="H4858" s="22" t="s">
        <v>132</v>
      </c>
      <c r="I4858" s="26">
        <v>43650.479837963001</v>
      </c>
      <c r="J4858" s="28" t="s">
        <v>52</v>
      </c>
      <c r="K4858" s="28" t="s">
        <v>52</v>
      </c>
      <c r="L4858" s="28" t="s">
        <v>52</v>
      </c>
      <c r="M4858" s="28" t="s">
        <v>52</v>
      </c>
      <c r="N4858" s="28" t="s">
        <v>52</v>
      </c>
    </row>
    <row r="4859" spans="1:14" x14ac:dyDescent="0.15">
      <c r="A4859" s="23" t="str">
        <f>HYPERLINK("https://www.spark-marketing.ru/Card/Person/999032", "МБДОУ ""РОВЕНЬСКИЙ ДЕТСКИЙ САД ""РАДУГА""")</f>
        <v>МБДОУ "РОВЕНЬСКИЙ ДЕТСКИЙ САД "РАДУГА"</v>
      </c>
      <c r="B4859" s="24" t="s">
        <v>6868</v>
      </c>
      <c r="C4859" s="25">
        <v>6800</v>
      </c>
      <c r="D4859" s="22" t="s">
        <v>6869</v>
      </c>
      <c r="E4859" s="22" t="s">
        <v>349</v>
      </c>
      <c r="F4859" s="23" t="str">
        <f>HYPERLINK("https://www.spark-marketing.ru/Card/Lot/71884890", "Техническое обслуживание системы видеонаблюдения")</f>
        <v>Техническое обслуживание системы видеонаблюдения</v>
      </c>
      <c r="G4859" s="22" t="s">
        <v>176</v>
      </c>
      <c r="H4859" s="22" t="s">
        <v>177</v>
      </c>
      <c r="I4859" s="26">
        <v>43650.440972222197</v>
      </c>
      <c r="J4859" s="28" t="s">
        <v>52</v>
      </c>
      <c r="K4859" s="28" t="s">
        <v>52</v>
      </c>
      <c r="L4859" s="28" t="s">
        <v>52</v>
      </c>
      <c r="M4859" s="28" t="s">
        <v>52</v>
      </c>
      <c r="N4859" s="28" t="s">
        <v>52</v>
      </c>
    </row>
    <row r="4860" spans="1:14" x14ac:dyDescent="0.15">
      <c r="A4860" s="23" t="str">
        <f>HYPERLINK("https://www.spark-marketing.ru/Card/Person/35198", "ФКУ ""ДЕЗ СКИТР""")</f>
        <v>ФКУ "ДЕЗ СКИТР"</v>
      </c>
      <c r="B4860" s="24" t="s">
        <v>2310</v>
      </c>
      <c r="C4860" s="25">
        <v>99999</v>
      </c>
      <c r="D4860" s="22" t="s">
        <v>6870</v>
      </c>
      <c r="E4860" s="22" t="s">
        <v>53</v>
      </c>
      <c r="F4860" s="23" t="str">
        <f>HYPERLINK("https://www.spark-marketing.ru/Card/Lot/71884918", "Оказание охранных услуг на возмездной основе")</f>
        <v>Оказание охранных услуг на возмездной основе</v>
      </c>
      <c r="G4860" s="22" t="s">
        <v>55</v>
      </c>
      <c r="H4860" s="22" t="s">
        <v>55</v>
      </c>
      <c r="I4860" s="26">
        <v>43650.430335648103</v>
      </c>
      <c r="J4860" s="28" t="s">
        <v>52</v>
      </c>
      <c r="K4860" s="28" t="s">
        <v>52</v>
      </c>
      <c r="L4860" s="28" t="s">
        <v>52</v>
      </c>
      <c r="M4860" s="28" t="s">
        <v>52</v>
      </c>
      <c r="N4860" s="28" t="s">
        <v>52</v>
      </c>
    </row>
    <row r="4861" spans="1:14" x14ac:dyDescent="0.15">
      <c r="A4861" s="23" t="str">
        <f>HYPERLINK("https://www.spark-marketing.ru/Card/Person/6563", "ФГБУ ""ЦЕНТР ГЕОДЕЗИИ, КАРТОГРАФИИ И ИПД""")</f>
        <v>ФГБУ "ЦЕНТР ГЕОДЕЗИИ, КАРТОГРАФИИ И ИПД"</v>
      </c>
      <c r="B4861" s="24" t="s">
        <v>6871</v>
      </c>
      <c r="C4861" s="25">
        <v>2416117.2400000002</v>
      </c>
      <c r="D4861" s="22" t="s">
        <v>6872</v>
      </c>
      <c r="E4861" s="22" t="s">
        <v>68</v>
      </c>
      <c r="F4861" s="23" t="str">
        <f>HYPERLINK("https://www.spark-marketing.ru/Card/Lot/71903789", "на оказание услуг по охране имущества и осуществлению внутриобъектового и пропускного режимов в помещениях ФГБУ «Центр геодезии, картографии и ИПД» по адресам: г. Москва, ул. Онежская, д.26, стр.1-стр.5 и Волгоградский пр-т, д.45, стр.1")</f>
        <v>на оказание услуг по охране имущества и осуществлению внутриобъектового и пропускного режимов в помещениях ФГБУ «Центр геодезии, картографии и ИПД» по адресам: г. Москва, ул. Онежская, д.26, стр.1-стр.5 и Волгоградский пр-т, д.45, стр.1</v>
      </c>
      <c r="G4861" s="22" t="s">
        <v>55</v>
      </c>
      <c r="H4861" s="22" t="s">
        <v>55</v>
      </c>
      <c r="I4861" s="26">
        <v>43650.457905092597</v>
      </c>
      <c r="J4861" s="28" t="s">
        <v>52</v>
      </c>
      <c r="K4861" s="28" t="s">
        <v>52</v>
      </c>
      <c r="L4861" s="28" t="s">
        <v>52</v>
      </c>
      <c r="M4861" s="28" t="s">
        <v>52</v>
      </c>
      <c r="N4861" s="28" t="s">
        <v>52</v>
      </c>
    </row>
    <row r="4862" spans="1:14" x14ac:dyDescent="0.15">
      <c r="A4862" s="23" t="str">
        <f>HYPERLINK("https://www.spark-marketing.ru/Card/Person/6563", "ФГБУ ""ЦЕНТР ГЕОДЕЗИИ, КАРТОГРАФИИ И ИПД""")</f>
        <v>ФГБУ "ЦЕНТР ГЕОДЕЗИИ, КАРТОГРАФИИ И ИПД"</v>
      </c>
      <c r="B4862" s="24" t="s">
        <v>6871</v>
      </c>
      <c r="C4862" s="25">
        <v>2212469</v>
      </c>
      <c r="D4862" s="22" t="s">
        <v>6873</v>
      </c>
      <c r="E4862" s="22" t="s">
        <v>68</v>
      </c>
      <c r="F4862" s="23" t="str">
        <f>HYPERLINK("https://www.spark-marketing.ru/Card/Lot/71903649", "На оказание услуг по охране имущества и осуществлению внутриобъектового режима и пропускного режима в помещениях ФГБУ ""Центр геодезии, картографии и ИПД"", по адресу: г. Магадан, ул. Берзина, д.11")</f>
        <v>На оказание услуг по охране имущества и осуществлению внутриобъектового режима и пропускного режима в помещениях ФГБУ "Центр геодезии, картографии и ИПД", по адресу: г. Магадан, ул. Берзина, д.11</v>
      </c>
      <c r="G4862" s="22" t="s">
        <v>808</v>
      </c>
      <c r="H4862" s="22" t="s">
        <v>808</v>
      </c>
      <c r="I4862" s="26">
        <v>43650.443576388898</v>
      </c>
      <c r="J4862" s="28" t="s">
        <v>52</v>
      </c>
      <c r="K4862" s="28" t="s">
        <v>52</v>
      </c>
      <c r="L4862" s="28" t="s">
        <v>52</v>
      </c>
      <c r="M4862" s="28" t="s">
        <v>52</v>
      </c>
      <c r="N4862" s="28" t="s">
        <v>52</v>
      </c>
    </row>
    <row r="4863" spans="1:14" x14ac:dyDescent="0.15">
      <c r="A4863" s="23" t="str">
        <f>HYPERLINK("https://www.spark-marketing.ru/Card/Person/4371540", "МБДОУ ""РОВЕНЬСКИЙ ДЕТСКИЙ САД № 3 КОМБИНИРОВАННОГО ВИДА БЕЛГОРОДСКОЙ ОБЛАСТИ""")</f>
        <v>МБДОУ "РОВЕНЬСКИЙ ДЕТСКИЙ САД № 3 КОМБИНИРОВАННОГО ВИДА БЕЛГОРОДСКОЙ ОБЛАСТИ"</v>
      </c>
      <c r="B4863" s="24" t="s">
        <v>6874</v>
      </c>
      <c r="C4863" s="25">
        <v>6800</v>
      </c>
      <c r="D4863" s="22" t="s">
        <v>6875</v>
      </c>
      <c r="E4863" s="22" t="s">
        <v>349</v>
      </c>
      <c r="F4863" s="23" t="str">
        <f>HYPERLINK("https://www.spark-marketing.ru/Card/Lot/71884867", "Техническое обслуживание системы видеонаблюдения")</f>
        <v>Техническое обслуживание системы видеонаблюдения</v>
      </c>
      <c r="G4863" s="22" t="s">
        <v>176</v>
      </c>
      <c r="H4863" s="22" t="s">
        <v>177</v>
      </c>
      <c r="I4863" s="26">
        <v>43650.438194444403</v>
      </c>
      <c r="J4863" s="28" t="s">
        <v>52</v>
      </c>
      <c r="K4863" s="28" t="s">
        <v>52</v>
      </c>
      <c r="L4863" s="28" t="s">
        <v>52</v>
      </c>
      <c r="M4863" s="28" t="s">
        <v>52</v>
      </c>
      <c r="N4863" s="28" t="s">
        <v>52</v>
      </c>
    </row>
    <row r="4864" spans="1:14" x14ac:dyDescent="0.15">
      <c r="A4864" s="23" t="str">
        <f>HYPERLINK("https://www.spark-marketing.ru/Card/Person/4371795", "МБДОУ ""РОВЕНЬСКИЙ ДЕТСКИЙ САД №5""")</f>
        <v>МБДОУ "РОВЕНЬСКИЙ ДЕТСКИЙ САД №5"</v>
      </c>
      <c r="B4864" s="24" t="s">
        <v>6876</v>
      </c>
      <c r="C4864" s="25">
        <v>6800</v>
      </c>
      <c r="D4864" s="22" t="s">
        <v>6877</v>
      </c>
      <c r="E4864" s="22" t="s">
        <v>349</v>
      </c>
      <c r="F4864" s="23" t="str">
        <f>HYPERLINK("https://www.spark-marketing.ru/Card/Lot/71884392", "Техническое обслуживание системы видеонаблюдения")</f>
        <v>Техническое обслуживание системы видеонаблюдения</v>
      </c>
      <c r="G4864" s="22" t="s">
        <v>176</v>
      </c>
      <c r="H4864" s="22" t="s">
        <v>177</v>
      </c>
      <c r="I4864" s="26">
        <v>43650.433333333298</v>
      </c>
      <c r="J4864" s="28" t="s">
        <v>52</v>
      </c>
      <c r="K4864" s="28" t="s">
        <v>52</v>
      </c>
      <c r="L4864" s="28" t="s">
        <v>52</v>
      </c>
      <c r="M4864" s="28" t="s">
        <v>52</v>
      </c>
      <c r="N4864" s="28" t="s">
        <v>52</v>
      </c>
    </row>
    <row r="4865" spans="1:14" x14ac:dyDescent="0.15">
      <c r="A4865" s="23" t="str">
        <f>HYPERLINK("https://www.spark-marketing.ru/Card/Person/35198", "ФКУ ""ДЕЗ СКИТР""")</f>
        <v>ФКУ "ДЕЗ СКИТР"</v>
      </c>
      <c r="B4865" s="24" t="s">
        <v>2310</v>
      </c>
      <c r="C4865" s="25">
        <v>99999</v>
      </c>
      <c r="D4865" s="22" t="s">
        <v>6878</v>
      </c>
      <c r="E4865" s="22" t="s">
        <v>53</v>
      </c>
      <c r="F4865" s="23" t="str">
        <f>HYPERLINK("https://www.spark-marketing.ru/Card/Lot/71884923", "Оказание охранных услуг на возмездной основе")</f>
        <v>Оказание охранных услуг на возмездной основе</v>
      </c>
      <c r="G4865" s="22" t="s">
        <v>55</v>
      </c>
      <c r="H4865" s="22" t="s">
        <v>55</v>
      </c>
      <c r="I4865" s="26">
        <v>43650.431226851899</v>
      </c>
      <c r="J4865" s="28" t="s">
        <v>52</v>
      </c>
      <c r="K4865" s="28" t="s">
        <v>52</v>
      </c>
      <c r="L4865" s="28" t="s">
        <v>52</v>
      </c>
      <c r="M4865" s="28" t="s">
        <v>52</v>
      </c>
      <c r="N4865" s="28" t="s">
        <v>52</v>
      </c>
    </row>
    <row r="4866" spans="1:14" x14ac:dyDescent="0.15">
      <c r="A4866" s="23" t="str">
        <f>HYPERLINK("https://www.spark-marketing.ru/Card/Person/997599", "МБДОУ ""ЛАДОМИРОВСКИЙ ДЕТСКИЙ САД""")</f>
        <v>МБДОУ "ЛАДОМИРОВСКИЙ ДЕТСКИЙ САД"</v>
      </c>
      <c r="B4866" s="24" t="s">
        <v>6879</v>
      </c>
      <c r="C4866" s="25">
        <v>6800</v>
      </c>
      <c r="D4866" s="22" t="s">
        <v>6880</v>
      </c>
      <c r="E4866" s="22" t="s">
        <v>349</v>
      </c>
      <c r="F4866" s="23" t="str">
        <f>HYPERLINK("https://www.spark-marketing.ru/Card/Lot/71884752", "Техническое обслуживание системы видеонаблюдения")</f>
        <v>Техническое обслуживание системы видеонаблюдения</v>
      </c>
      <c r="G4866" s="22" t="s">
        <v>176</v>
      </c>
      <c r="H4866" s="22" t="s">
        <v>177</v>
      </c>
      <c r="I4866" s="26">
        <v>43650.445138888899</v>
      </c>
      <c r="J4866" s="28" t="s">
        <v>52</v>
      </c>
      <c r="K4866" s="28" t="s">
        <v>52</v>
      </c>
      <c r="L4866" s="28" t="s">
        <v>52</v>
      </c>
      <c r="M4866" s="28" t="s">
        <v>52</v>
      </c>
      <c r="N4866" s="28" t="s">
        <v>52</v>
      </c>
    </row>
    <row r="4867" spans="1:14" x14ac:dyDescent="0.15">
      <c r="A4867" s="23" t="str">
        <f>HYPERLINK("https://www.spark-marketing.ru/Card/Person/1065867", "МБДОУ ""РОВЕНЬСКИЙ ДЕТСКИЙ САД ""СКАЗКА""")</f>
        <v>МБДОУ "РОВЕНЬСКИЙ ДЕТСКИЙ САД "СКАЗКА"</v>
      </c>
      <c r="B4867" s="24" t="s">
        <v>6881</v>
      </c>
      <c r="C4867" s="25">
        <v>6800</v>
      </c>
      <c r="D4867" s="22" t="s">
        <v>6882</v>
      </c>
      <c r="E4867" s="22" t="s">
        <v>349</v>
      </c>
      <c r="F4867" s="23" t="str">
        <f>HYPERLINK("https://www.spark-marketing.ru/Card/Lot/71884789", "Техническое обслуживание системы видеонаблюдения")</f>
        <v>Техническое обслуживание системы видеонаблюдения</v>
      </c>
      <c r="G4867" s="22" t="s">
        <v>176</v>
      </c>
      <c r="H4867" s="22" t="s">
        <v>177</v>
      </c>
      <c r="I4867" s="26">
        <v>43650.447916666701</v>
      </c>
      <c r="J4867" s="28" t="s">
        <v>52</v>
      </c>
      <c r="K4867" s="28" t="s">
        <v>52</v>
      </c>
      <c r="L4867" s="28" t="s">
        <v>52</v>
      </c>
      <c r="M4867" s="28" t="s">
        <v>52</v>
      </c>
      <c r="N4867" s="28" t="s">
        <v>52</v>
      </c>
    </row>
    <row r="4868" spans="1:14" x14ac:dyDescent="0.15">
      <c r="A4868" s="23" t="str">
        <f>HYPERLINK("https://www.spark-marketing.ru/Card/Person/4371619", "МБДОУ ""РОВЕНЬСКИЙ ДЕТСКИЙ САД №1 КОМБИНИРОВАННОГО ВИДА БЕЛГОРОДСКОЙ ОБЛАСТИ""")</f>
        <v>МБДОУ "РОВЕНЬСКИЙ ДЕТСКИЙ САД №1 КОМБИНИРОВАННОГО ВИДА БЕЛГОРОДСКОЙ ОБЛАСТИ"</v>
      </c>
      <c r="B4868" s="24" t="s">
        <v>6883</v>
      </c>
      <c r="C4868" s="25">
        <v>6800</v>
      </c>
      <c r="D4868" s="22" t="s">
        <v>6884</v>
      </c>
      <c r="E4868" s="22" t="s">
        <v>349</v>
      </c>
      <c r="F4868" s="23" t="str">
        <f>HYPERLINK("https://www.spark-marketing.ru/Card/Lot/71884859", "Техническое обслуживание системы видеонаблюдения")</f>
        <v>Техническое обслуживание системы видеонаблюдения</v>
      </c>
      <c r="G4868" s="22" t="s">
        <v>176</v>
      </c>
      <c r="H4868" s="22" t="s">
        <v>177</v>
      </c>
      <c r="I4868" s="26">
        <v>43650.436111111099</v>
      </c>
      <c r="J4868" s="28" t="s">
        <v>52</v>
      </c>
      <c r="K4868" s="28" t="s">
        <v>52</v>
      </c>
      <c r="L4868" s="28" t="s">
        <v>52</v>
      </c>
      <c r="M4868" s="28" t="s">
        <v>52</v>
      </c>
      <c r="N4868" s="28" t="s">
        <v>52</v>
      </c>
    </row>
    <row r="4869" spans="1:14" x14ac:dyDescent="0.15">
      <c r="A4869" s="23" t="str">
        <f>HYPERLINK("https://www.spark-marketing.ru/Card/Person/996654", "МБДОУ ""ЖАБСКИЙ ДЕТСКИЙ САД""")</f>
        <v>МБДОУ "ЖАБСКИЙ ДЕТСКИЙ САД"</v>
      </c>
      <c r="B4869" s="24" t="s">
        <v>6885</v>
      </c>
      <c r="C4869" s="25">
        <v>6800</v>
      </c>
      <c r="D4869" s="22" t="s">
        <v>6886</v>
      </c>
      <c r="E4869" s="22" t="s">
        <v>349</v>
      </c>
      <c r="F4869" s="23" t="str">
        <f>HYPERLINK("https://www.spark-marketing.ru/Card/Lot/71884897", "Техническое обслуживание системы видеонаблюдения")</f>
        <v>Техническое обслуживание системы видеонаблюдения</v>
      </c>
      <c r="G4869" s="22" t="s">
        <v>176</v>
      </c>
      <c r="H4869" s="22" t="s">
        <v>177</v>
      </c>
      <c r="I4869" s="26">
        <v>43650.443055555603</v>
      </c>
      <c r="J4869" s="28" t="s">
        <v>52</v>
      </c>
      <c r="K4869" s="28" t="s">
        <v>52</v>
      </c>
      <c r="L4869" s="28" t="s">
        <v>52</v>
      </c>
      <c r="M4869" s="28" t="s">
        <v>52</v>
      </c>
      <c r="N4869" s="28" t="s">
        <v>52</v>
      </c>
    </row>
    <row r="4870" spans="1:14" x14ac:dyDescent="0.15">
      <c r="A4870" s="23" t="str">
        <f>HYPERLINK("https://www.spark-marketing.ru/Card/Person/148305", "ГКОУ ЛО ""КИРОВСКАЯ ШКОЛА-ИНТЕРНАТ""")</f>
        <v>ГКОУ ЛО "КИРОВСКАЯ ШКОЛА-ИНТЕРНАТ"</v>
      </c>
      <c r="B4870" s="24" t="s">
        <v>6887</v>
      </c>
      <c r="C4870" s="25">
        <v>454991.16</v>
      </c>
      <c r="D4870" s="22" t="s">
        <v>6888</v>
      </c>
      <c r="E4870" s="22" t="s">
        <v>68</v>
      </c>
      <c r="F4870" s="23" t="str">
        <f>HYPERLINK("https://www.spark-marketing.ru/Card/Lot/71901970", "Охрана объекта по адресу: Ленинградская область, г.Кировск, ул. Краснофлотская,д.24")</f>
        <v>Охрана объекта по адресу: Ленинградская область, г.Кировск, ул. Краснофлотская,д.24</v>
      </c>
      <c r="G4870" s="22" t="s">
        <v>861</v>
      </c>
      <c r="H4870" s="22" t="s">
        <v>6889</v>
      </c>
      <c r="I4870" s="26">
        <v>43650.3835763889</v>
      </c>
      <c r="J4870" s="28" t="s">
        <v>52</v>
      </c>
      <c r="K4870" s="28" t="s">
        <v>52</v>
      </c>
      <c r="L4870" s="28" t="s">
        <v>52</v>
      </c>
      <c r="M4870" s="28" t="s">
        <v>52</v>
      </c>
      <c r="N4870" s="28" t="s">
        <v>52</v>
      </c>
    </row>
    <row r="4871" spans="1:14" ht="12.75" hidden="1" outlineLevel="1" x14ac:dyDescent="0.2">
      <c r="A4871" s="23" t="str">
        <f>HYPERLINK("https://www.spark-marketing.ru/Card/Person/148305", "ГКОУ ЛО ""КИРОВСКАЯ ШКОЛА-ИНТЕРНАТ""")</f>
        <v>ГКОУ ЛО "КИРОВСКАЯ ШКОЛА-ИНТЕРНАТ"</v>
      </c>
      <c r="B4871" s="24" t="s">
        <v>6887</v>
      </c>
      <c r="C4871" s="25">
        <v>454991.16</v>
      </c>
      <c r="D4871" s="22" t="s">
        <v>6888</v>
      </c>
      <c r="E4871" s="22" t="s">
        <v>68</v>
      </c>
      <c r="F4871" s="23" t="str">
        <f>HYPERLINK("https://www.spark-marketing.ru/Card/Lot/71901970", "Охрана объекта по адресу: Ленинградская область, г.Кировск, ул. Краснофлотская,д.24")</f>
        <v>Охрана объекта по адресу: Ленинградская область, г.Кировск, ул. Краснофлотская,д.24</v>
      </c>
      <c r="G4871" s="22" t="s">
        <v>861</v>
      </c>
      <c r="H4871" s="22" t="s">
        <v>6889</v>
      </c>
      <c r="I4871" s="26">
        <v>43650.3835763889</v>
      </c>
      <c r="J4871" s="23" t="str">
        <f>HYPERLINK("https://www.spark-marketing.ru/Card/Person/27570", "ООО ""ОО ""ИНСАР""")</f>
        <v>ООО "ОО "ИНСАР"</v>
      </c>
      <c r="K4871" s="24" t="s">
        <v>6890</v>
      </c>
      <c r="L4871" s="22" t="s">
        <v>10</v>
      </c>
      <c r="M4871" s="25">
        <v>450441.24</v>
      </c>
      <c r="N4871" s="27">
        <v>1.000001846189715E-2</v>
      </c>
    </row>
    <row r="4872" spans="1:14" hidden="1" outlineLevel="1" x14ac:dyDescent="0.2">
      <c r="A4872" s="23" t="str">
        <f>HYPERLINK("https://www.spark-marketing.ru/Card/Person/148305", "ГКОУ ЛО ""КИРОВСКАЯ ШКОЛА-ИНТЕРНАТ""")</f>
        <v>ГКОУ ЛО "КИРОВСКАЯ ШКОЛА-ИНТЕРНАТ"</v>
      </c>
      <c r="B4872" s="24" t="s">
        <v>6887</v>
      </c>
      <c r="C4872" s="25">
        <v>454991.16</v>
      </c>
      <c r="D4872" s="22" t="s">
        <v>6888</v>
      </c>
      <c r="E4872" s="22" t="s">
        <v>68</v>
      </c>
      <c r="F4872" s="23" t="str">
        <f>HYPERLINK("https://www.spark-marketing.ru/Card/Lot/71901970", "Охрана объекта по адресу: Ленинградская область, г.Кировск, ул. Краснофлотская,д.24")</f>
        <v>Охрана объекта по адресу: Ленинградская область, г.Кировск, ул. Краснофлотская,д.24</v>
      </c>
      <c r="G4872" s="22" t="s">
        <v>861</v>
      </c>
      <c r="H4872" s="22" t="s">
        <v>6889</v>
      </c>
      <c r="I4872" s="26">
        <v>43650.3835763889</v>
      </c>
      <c r="J4872" s="23" t="str">
        <f>HYPERLINK("https://www.spark-marketing.ru/Card/Person/4346077", "ООО ""ОХРАННОЕ ПРЕДПРИЯТИЕ ""ЛИДЕР""")</f>
        <v>ООО "ОХРАННОЕ ПРЕДПРИЯТИЕ "ЛИДЕР"</v>
      </c>
      <c r="K4872" s="24" t="s">
        <v>6891</v>
      </c>
      <c r="L4872" s="28" t="s">
        <v>52</v>
      </c>
      <c r="M4872" s="25">
        <v>452716.2</v>
      </c>
      <c r="N4872" s="27">
        <v>5.0000092309485751E-3</v>
      </c>
    </row>
    <row r="4873" spans="1:14" x14ac:dyDescent="0.15">
      <c r="A4873" s="23" t="str">
        <f>HYPERLINK("https://www.spark-marketing.ru/Card/Person/1026179", "ОКУ ЦЗН Г. ОЗЁРСКА")</f>
        <v>ОКУ ЦЗН Г. ОЗЁРСКА</v>
      </c>
      <c r="B4873" s="24" t="s">
        <v>6892</v>
      </c>
      <c r="C4873" s="25">
        <v>48690</v>
      </c>
      <c r="D4873" s="22" t="s">
        <v>6893</v>
      </c>
      <c r="E4873" s="22" t="s">
        <v>53</v>
      </c>
      <c r="F4873" s="23" t="str">
        <f>HYPERLINK("https://www.spark-marketing.ru/Card/Lot/71883873", "оказание услуг по централизованной охране объектов заказчика")</f>
        <v>оказание услуг по централизованной охране объектов заказчика</v>
      </c>
      <c r="G4873" s="22" t="s">
        <v>60</v>
      </c>
      <c r="H4873" s="22" t="s">
        <v>588</v>
      </c>
      <c r="I4873" s="26">
        <v>43650.394467592603</v>
      </c>
      <c r="J4873" s="28" t="s">
        <v>52</v>
      </c>
      <c r="K4873" s="28" t="s">
        <v>52</v>
      </c>
      <c r="L4873" s="28" t="s">
        <v>52</v>
      </c>
      <c r="M4873" s="28" t="s">
        <v>52</v>
      </c>
      <c r="N4873" s="28" t="s">
        <v>52</v>
      </c>
    </row>
    <row r="4874" spans="1:14" x14ac:dyDescent="0.15">
      <c r="A4874" s="23" t="str">
        <f>HYPERLINK("https://www.spark-marketing.ru/Card/Person/26648", "ГКУЗ ЛО ""ТБ ""ДРУЖНОСЕЛЬЕ""")</f>
        <v>ГКУЗ ЛО "ТБ "ДРУЖНОСЕЛЬЕ"</v>
      </c>
      <c r="B4874" s="24" t="s">
        <v>6894</v>
      </c>
      <c r="C4874" s="25">
        <v>22374.48</v>
      </c>
      <c r="D4874" s="22" t="s">
        <v>6895</v>
      </c>
      <c r="E4874" s="22" t="s">
        <v>68</v>
      </c>
      <c r="F4874" s="23" t="str">
        <f>HYPERLINK("https://www.spark-marketing.ru/Card/Lot/71897994", "Экстренный вызов наряда вневедомственной охраны на объекты ГКУЗ ЛО ""ТБ ""Дружноселье""")</f>
        <v>Экстренный вызов наряда вневедомственной охраны на объекты ГКУЗ ЛО "ТБ "Дружноселье"</v>
      </c>
      <c r="G4874" s="22" t="s">
        <v>861</v>
      </c>
      <c r="H4874" s="22" t="s">
        <v>6896</v>
      </c>
      <c r="I4874" s="26">
        <v>43650.413194444402</v>
      </c>
      <c r="J4874" s="28" t="s">
        <v>52</v>
      </c>
      <c r="K4874" s="28" t="s">
        <v>52</v>
      </c>
      <c r="L4874" s="28" t="s">
        <v>52</v>
      </c>
      <c r="M4874" s="28" t="s">
        <v>52</v>
      </c>
      <c r="N4874" s="28" t="s">
        <v>52</v>
      </c>
    </row>
    <row r="4875" spans="1:14" x14ac:dyDescent="0.15">
      <c r="A4875" s="23" t="str">
        <f>HYPERLINK("https://www.spark-marketing.ru/Card/Person/1890", "МТУ РОСИМУЩЕСТВА В КЕМЕРОВСКОЙ И ТОМСКОЙ ОБЛАСТЯХ")</f>
        <v>МТУ РОСИМУЩЕСТВА В КЕМЕРОВСКОЙ И ТОМСКОЙ ОБЛАСТЯХ</v>
      </c>
      <c r="B4875" s="24" t="s">
        <v>1817</v>
      </c>
      <c r="C4875" s="25">
        <v>55230</v>
      </c>
      <c r="D4875" s="22" t="s">
        <v>6897</v>
      </c>
      <c r="E4875" s="22" t="s">
        <v>53</v>
      </c>
      <c r="F4875" s="23" t="str">
        <f>HYPERLINK("https://www.spark-marketing.ru/Card/Lot/71883915", "охрана объектов, 1 шт")</f>
        <v>охрана объектов, 1 шт</v>
      </c>
      <c r="G4875" s="22" t="s">
        <v>367</v>
      </c>
      <c r="H4875" s="22" t="s">
        <v>367</v>
      </c>
      <c r="I4875" s="26">
        <v>43650.382199074098</v>
      </c>
      <c r="J4875" s="28" t="s">
        <v>52</v>
      </c>
      <c r="K4875" s="28" t="s">
        <v>52</v>
      </c>
      <c r="L4875" s="28" t="s">
        <v>52</v>
      </c>
      <c r="M4875" s="28" t="s">
        <v>52</v>
      </c>
      <c r="N4875" s="28" t="s">
        <v>52</v>
      </c>
    </row>
    <row r="4876" spans="1:14" x14ac:dyDescent="0.15">
      <c r="A4876" s="23" t="str">
        <f t="shared" ref="A4876:A4881" si="219">HYPERLINK("https://www.spark-marketing.ru/Card/Person/78553", "БУ ""СУРГУТСКАЯ ГОРОДСКАЯ КЛИНИЧЕСКАЯ ПОЛИКЛИНИКА № 5""")</f>
        <v>БУ "СУРГУТСКАЯ ГОРОДСКАЯ КЛИНИЧЕСКАЯ ПОЛИКЛИНИКА № 5"</v>
      </c>
      <c r="B4876" s="24" t="s">
        <v>6898</v>
      </c>
      <c r="C4876" s="25">
        <v>440640</v>
      </c>
      <c r="D4876" s="22" t="s">
        <v>6899</v>
      </c>
      <c r="E4876" s="22" t="s">
        <v>52</v>
      </c>
      <c r="F4876" s="23" t="str">
        <f t="shared" ref="F4876:F4881" si="220">HYPERLINK("https://www.spark-marketing.ru/Card/Lot/71885403", "Оказание услуг по охране объектов")</f>
        <v>Оказание услуг по охране объектов</v>
      </c>
      <c r="G4876" s="22" t="s">
        <v>119</v>
      </c>
      <c r="H4876" s="22" t="s">
        <v>463</v>
      </c>
      <c r="I4876" s="26">
        <v>43650.395833333299</v>
      </c>
      <c r="J4876" s="28" t="s">
        <v>52</v>
      </c>
      <c r="K4876" s="28" t="s">
        <v>52</v>
      </c>
      <c r="L4876" s="28" t="s">
        <v>52</v>
      </c>
      <c r="M4876" s="28" t="s">
        <v>52</v>
      </c>
      <c r="N4876" s="28" t="s">
        <v>52</v>
      </c>
    </row>
    <row r="4877" spans="1:14" hidden="1" outlineLevel="1" x14ac:dyDescent="0.2">
      <c r="A4877" s="23" t="str">
        <f t="shared" si="219"/>
        <v>БУ "СУРГУТСКАЯ ГОРОДСКАЯ КЛИНИЧЕСКАЯ ПОЛИКЛИНИКА № 5"</v>
      </c>
      <c r="B4877" s="24" t="s">
        <v>6898</v>
      </c>
      <c r="C4877" s="25">
        <v>440640</v>
      </c>
      <c r="D4877" s="22" t="s">
        <v>6899</v>
      </c>
      <c r="E4877" s="22" t="s">
        <v>52</v>
      </c>
      <c r="F4877" s="23" t="str">
        <f t="shared" si="220"/>
        <v>Оказание услуг по охране объектов</v>
      </c>
      <c r="G4877" s="22" t="s">
        <v>119</v>
      </c>
      <c r="H4877" s="22" t="s">
        <v>463</v>
      </c>
      <c r="I4877" s="26">
        <v>43650.395833333299</v>
      </c>
      <c r="J4877" s="23" t="str">
        <f>HYPERLINK("https://www.spark-marketing.ru/Card/Person/58845", "ООО ЧОП ""АГЕНТСТВО БИЗНЕС-БЕЗОПАСНОСТЬ""")</f>
        <v>ООО ЧОП "АГЕНТСТВО БИЗНЕС-БЕЗОПАСНОСТЬ"</v>
      </c>
      <c r="K4877" s="24" t="s">
        <v>1177</v>
      </c>
      <c r="L4877" s="28" t="s">
        <v>52</v>
      </c>
      <c r="M4877" s="25">
        <v>369403.2</v>
      </c>
      <c r="N4877" s="27">
        <v>0.16166666666666665</v>
      </c>
    </row>
    <row r="4878" spans="1:14" hidden="1" outlineLevel="1" x14ac:dyDescent="0.2">
      <c r="A4878" s="23" t="str">
        <f t="shared" si="219"/>
        <v>БУ "СУРГУТСКАЯ ГОРОДСКАЯ КЛИНИЧЕСКАЯ ПОЛИКЛИНИКА № 5"</v>
      </c>
      <c r="B4878" s="24" t="s">
        <v>6898</v>
      </c>
      <c r="C4878" s="25">
        <v>440640</v>
      </c>
      <c r="D4878" s="22" t="s">
        <v>6899</v>
      </c>
      <c r="E4878" s="22" t="s">
        <v>52</v>
      </c>
      <c r="F4878" s="23" t="str">
        <f t="shared" si="220"/>
        <v>Оказание услуг по охране объектов</v>
      </c>
      <c r="G4878" s="22" t="s">
        <v>119</v>
      </c>
      <c r="H4878" s="22" t="s">
        <v>463</v>
      </c>
      <c r="I4878" s="26">
        <v>43650.395833333299</v>
      </c>
      <c r="J4878" s="23" t="str">
        <f>HYPERLINK("https://www.spark-marketing.ru/Card/Person/87686", "ООО ОА ""ПЕРЕСВЕТ""")</f>
        <v>ООО ОА "ПЕРЕСВЕТ"</v>
      </c>
      <c r="K4878" s="24" t="s">
        <v>2992</v>
      </c>
      <c r="L4878" s="28" t="s">
        <v>52</v>
      </c>
      <c r="M4878" s="25">
        <v>367200</v>
      </c>
      <c r="N4878" s="27">
        <v>0.16666666666666666</v>
      </c>
    </row>
    <row r="4879" spans="1:14" hidden="1" outlineLevel="1" x14ac:dyDescent="0.2">
      <c r="A4879" s="23" t="str">
        <f t="shared" si="219"/>
        <v>БУ "СУРГУТСКАЯ ГОРОДСКАЯ КЛИНИЧЕСКАЯ ПОЛИКЛИНИКА № 5"</v>
      </c>
      <c r="B4879" s="24" t="s">
        <v>6898</v>
      </c>
      <c r="C4879" s="25">
        <v>440640</v>
      </c>
      <c r="D4879" s="22" t="s">
        <v>6899</v>
      </c>
      <c r="E4879" s="22" t="s">
        <v>52</v>
      </c>
      <c r="F4879" s="23" t="str">
        <f t="shared" si="220"/>
        <v>Оказание услуг по охране объектов</v>
      </c>
      <c r="G4879" s="22" t="s">
        <v>119</v>
      </c>
      <c r="H4879" s="22" t="s">
        <v>463</v>
      </c>
      <c r="I4879" s="26">
        <v>43650.395833333299</v>
      </c>
      <c r="J4879" s="23" t="str">
        <f>HYPERLINK("https://www.spark-marketing.ru/Card/Person/92083", "ООО ЧОО ""СЕВЕР-С""")</f>
        <v>ООО ЧОО "СЕВЕР-С"</v>
      </c>
      <c r="K4879" s="24" t="s">
        <v>1964</v>
      </c>
      <c r="L4879" s="28" t="s">
        <v>52</v>
      </c>
      <c r="M4879" s="25">
        <v>373809.6</v>
      </c>
      <c r="N4879" s="27">
        <v>0.15166666666666667</v>
      </c>
    </row>
    <row r="4880" spans="1:14" hidden="1" outlineLevel="1" x14ac:dyDescent="0.2">
      <c r="A4880" s="23" t="str">
        <f t="shared" si="219"/>
        <v>БУ "СУРГУТСКАЯ ГОРОДСКАЯ КЛИНИЧЕСКАЯ ПОЛИКЛИНИКА № 5"</v>
      </c>
      <c r="B4880" s="24" t="s">
        <v>6898</v>
      </c>
      <c r="C4880" s="25">
        <v>440640</v>
      </c>
      <c r="D4880" s="22" t="s">
        <v>6899</v>
      </c>
      <c r="E4880" s="22" t="s">
        <v>52</v>
      </c>
      <c r="F4880" s="23" t="str">
        <f t="shared" si="220"/>
        <v>Оказание услуг по охране объектов</v>
      </c>
      <c r="G4880" s="22" t="s">
        <v>119</v>
      </c>
      <c r="H4880" s="22" t="s">
        <v>463</v>
      </c>
      <c r="I4880" s="26">
        <v>43650.395833333299</v>
      </c>
      <c r="J4880" s="23" t="str">
        <f>HYPERLINK("https://www.spark-marketing.ru/Card/Person/4851642", "ООО ЧОО ""ОЛИМП-БЕЗОПАСНОСТЬ""")</f>
        <v>ООО ЧОО "ОЛИМП-БЕЗОПАСНОСТЬ"</v>
      </c>
      <c r="K4880" s="24" t="s">
        <v>5255</v>
      </c>
      <c r="L4880" s="28" t="s">
        <v>52</v>
      </c>
      <c r="M4880" s="25">
        <v>436233.6</v>
      </c>
      <c r="N4880" s="27">
        <v>0.01</v>
      </c>
    </row>
    <row r="4881" spans="1:14" ht="12.75" hidden="1" outlineLevel="1" x14ac:dyDescent="0.2">
      <c r="A4881" s="23" t="str">
        <f t="shared" si="219"/>
        <v>БУ "СУРГУТСКАЯ ГОРОДСКАЯ КЛИНИЧЕСКАЯ ПОЛИКЛИНИКА № 5"</v>
      </c>
      <c r="B4881" s="24" t="s">
        <v>6898</v>
      </c>
      <c r="C4881" s="25">
        <v>440640</v>
      </c>
      <c r="D4881" s="22" t="s">
        <v>6899</v>
      </c>
      <c r="E4881" s="22" t="s">
        <v>52</v>
      </c>
      <c r="F4881" s="23" t="str">
        <f t="shared" si="220"/>
        <v>Оказание услуг по охране объектов</v>
      </c>
      <c r="G4881" s="22" t="s">
        <v>119</v>
      </c>
      <c r="H4881" s="22" t="s">
        <v>463</v>
      </c>
      <c r="I4881" s="26">
        <v>43650.395833333299</v>
      </c>
      <c r="J4881" s="23" t="str">
        <f>HYPERLINK("https://www.spark-marketing.ru/Card/Person/5926044", "ООО ЧОП ""МАКСИМУМ-ОХРАНА""")</f>
        <v>ООО ЧОП "МАКСИМУМ-ОХРАНА"</v>
      </c>
      <c r="K4881" s="24" t="s">
        <v>6900</v>
      </c>
      <c r="L4881" s="22" t="s">
        <v>10</v>
      </c>
      <c r="M4881" s="25">
        <v>367200</v>
      </c>
      <c r="N4881" s="27">
        <v>0.16666666666666666</v>
      </c>
    </row>
    <row r="4882" spans="1:14" x14ac:dyDescent="0.15">
      <c r="A4882" s="23" t="str">
        <f>HYPERLINK("https://www.spark-marketing.ru/Card/Person/1026179", "ОКУ ЦЗН Г. ОЗЁРСКА")</f>
        <v>ОКУ ЦЗН Г. ОЗЁРСКА</v>
      </c>
      <c r="B4882" s="24" t="s">
        <v>6892</v>
      </c>
      <c r="C4882" s="25">
        <v>30000</v>
      </c>
      <c r="D4882" s="22" t="s">
        <v>6901</v>
      </c>
      <c r="E4882" s="22" t="s">
        <v>53</v>
      </c>
      <c r="F4882" s="23" t="str">
        <f>HYPERLINK("https://www.spark-marketing.ru/Card/Lot/71883884", "выполнение работ по техническому обслуживанию средств охранной сигнализации, тревожной сигнализации и системы видеонаблюдения")</f>
        <v>выполнение работ по техническому обслуживанию средств охранной сигнализации, тревожной сигнализации и системы видеонаблюдения</v>
      </c>
      <c r="G4882" s="22" t="s">
        <v>60</v>
      </c>
      <c r="H4882" s="22" t="s">
        <v>588</v>
      </c>
      <c r="I4882" s="26">
        <v>43650.396655092598</v>
      </c>
      <c r="J4882" s="28" t="s">
        <v>52</v>
      </c>
      <c r="K4882" s="28" t="s">
        <v>52</v>
      </c>
      <c r="L4882" s="28" t="s">
        <v>52</v>
      </c>
      <c r="M4882" s="28" t="s">
        <v>52</v>
      </c>
      <c r="N4882" s="28" t="s">
        <v>52</v>
      </c>
    </row>
    <row r="4883" spans="1:14" x14ac:dyDescent="0.15">
      <c r="A4883" s="23" t="str">
        <f>HYPERLINK("https://www.spark-marketing.ru/Card/Person/18575", "ГБУЗ ""ГП № 109 ДЗМ""")</f>
        <v>ГБУЗ "ГП № 109 ДЗМ"</v>
      </c>
      <c r="B4883" s="24" t="s">
        <v>6902</v>
      </c>
      <c r="C4883" s="25">
        <v>488380.23</v>
      </c>
      <c r="D4883" s="22" t="s">
        <v>6903</v>
      </c>
      <c r="E4883" s="22" t="s">
        <v>349</v>
      </c>
      <c r="F4883" s="23" t="str">
        <f>HYPERLINK("https://www.spark-marketing.ru/Card/Lot/71903307", "Техническое обслуживание оптико-электронных устройств предназначенных для визуального контроля или автоматического анализа изображений")</f>
        <v>Техническое обслуживание оптико-электронных устройств предназначенных для визуального контроля или автоматического анализа изображений</v>
      </c>
      <c r="G4883" s="22" t="s">
        <v>55</v>
      </c>
      <c r="H4883" s="22" t="s">
        <v>55</v>
      </c>
      <c r="I4883" s="26">
        <v>43650.393495370401</v>
      </c>
      <c r="J4883" s="28" t="s">
        <v>52</v>
      </c>
      <c r="K4883" s="28" t="s">
        <v>52</v>
      </c>
      <c r="L4883" s="28" t="s">
        <v>52</v>
      </c>
      <c r="M4883" s="28" t="s">
        <v>52</v>
      </c>
      <c r="N4883" s="28" t="s">
        <v>52</v>
      </c>
    </row>
    <row r="4884" spans="1:14" hidden="1" outlineLevel="1" x14ac:dyDescent="0.2">
      <c r="A4884" s="23" t="str">
        <f>HYPERLINK("https://www.spark-marketing.ru/Card/Person/18575", "ГБУЗ ""ГП № 109 ДЗМ""")</f>
        <v>ГБУЗ "ГП № 109 ДЗМ"</v>
      </c>
      <c r="B4884" s="24" t="s">
        <v>6902</v>
      </c>
      <c r="C4884" s="25">
        <v>488380.23</v>
      </c>
      <c r="D4884" s="22" t="s">
        <v>6903</v>
      </c>
      <c r="E4884" s="22" t="s">
        <v>349</v>
      </c>
      <c r="F4884" s="23" t="str">
        <f>HYPERLINK("https://www.spark-marketing.ru/Card/Lot/71903307", "Техническое обслуживание оптико-электронных устройств предназначенных для визуального контроля или автоматического анализа изображений")</f>
        <v>Техническое обслуживание оптико-электронных устройств предназначенных для визуального контроля или автоматического анализа изображений</v>
      </c>
      <c r="G4884" s="22" t="s">
        <v>55</v>
      </c>
      <c r="H4884" s="22" t="s">
        <v>55</v>
      </c>
      <c r="I4884" s="26">
        <v>43650.393495370401</v>
      </c>
      <c r="J4884" s="23" t="str">
        <f>HYPERLINK("https://www.spark-marketing.ru/Card/Person/58054", "ООО ""СПЕКТР-АПС""")</f>
        <v>ООО "СПЕКТР-АПС"</v>
      </c>
      <c r="K4884" s="24" t="s">
        <v>4808</v>
      </c>
      <c r="L4884" s="28" t="s">
        <v>52</v>
      </c>
      <c r="M4884" s="25">
        <v>485938.33</v>
      </c>
      <c r="N4884" s="27">
        <v>4.999997645277328E-3</v>
      </c>
    </row>
    <row r="4885" spans="1:14" ht="12.75" hidden="1" outlineLevel="1" x14ac:dyDescent="0.2">
      <c r="A4885" s="23" t="str">
        <f>HYPERLINK("https://www.spark-marketing.ru/Card/Person/18575", "ГБУЗ ""ГП № 109 ДЗМ""")</f>
        <v>ГБУЗ "ГП № 109 ДЗМ"</v>
      </c>
      <c r="B4885" s="24" t="s">
        <v>6902</v>
      </c>
      <c r="C4885" s="25">
        <v>488380.23</v>
      </c>
      <c r="D4885" s="22" t="s">
        <v>6903</v>
      </c>
      <c r="E4885" s="22" t="s">
        <v>349</v>
      </c>
      <c r="F4885" s="23" t="str">
        <f>HYPERLINK("https://www.spark-marketing.ru/Card/Lot/71903307", "Техническое обслуживание оптико-электронных устройств предназначенных для визуального контроля или автоматического анализа изображений")</f>
        <v>Техническое обслуживание оптико-электронных устройств предназначенных для визуального контроля или автоматического анализа изображений</v>
      </c>
      <c r="G4885" s="22" t="s">
        <v>55</v>
      </c>
      <c r="H4885" s="22" t="s">
        <v>55</v>
      </c>
      <c r="I4885" s="26">
        <v>43650.393495370401</v>
      </c>
      <c r="J4885" s="23" t="str">
        <f>HYPERLINK("https://www.spark-marketing.ru/Card/Person/5885640", "ООО ""ПОЖСПЕЦСВЯЗЬ""")</f>
        <v>ООО "ПОЖСПЕЦСВЯЗЬ"</v>
      </c>
      <c r="K4885" s="24" t="s">
        <v>4809</v>
      </c>
      <c r="L4885" s="22" t="s">
        <v>10</v>
      </c>
      <c r="M4885" s="25">
        <v>483496.43</v>
      </c>
      <c r="N4885" s="27">
        <v>9.9999952905546561E-3</v>
      </c>
    </row>
    <row r="4886" spans="1:14" x14ac:dyDescent="0.15">
      <c r="A4886" s="23" t="str">
        <f>HYPERLINK("https://www.spark-marketing.ru/Card/Person/4586249", "АО ""РУСАЛ АЧИНСК""")</f>
        <v>АО "РУСАЛ АЧИНСК"</v>
      </c>
      <c r="B4886" s="24" t="s">
        <v>4723</v>
      </c>
      <c r="C4886" s="25">
        <v>0</v>
      </c>
      <c r="D4886" s="22" t="s">
        <v>6904</v>
      </c>
      <c r="E4886" s="22" t="s">
        <v>4725</v>
      </c>
      <c r="F4886" s="23" t="str">
        <f>HYPERLINK("https://www.spark-marketing.ru/Card/Lot/71886050", "Вагончик бытовой для проживания сотрудников охраны (доставка до п. Горячегорск)")</f>
        <v>Вагончик бытовой для проживания сотрудников охраны (доставка до п. Горячегорск)</v>
      </c>
      <c r="G4886" s="22" t="s">
        <v>640</v>
      </c>
      <c r="H4886" s="22" t="s">
        <v>4726</v>
      </c>
      <c r="I4886" s="26">
        <v>43650.336018518501</v>
      </c>
      <c r="J4886" s="28" t="s">
        <v>52</v>
      </c>
      <c r="K4886" s="28" t="s">
        <v>52</v>
      </c>
      <c r="L4886" s="28" t="s">
        <v>52</v>
      </c>
      <c r="M4886" s="28" t="s">
        <v>52</v>
      </c>
      <c r="N4886" s="28" t="s">
        <v>52</v>
      </c>
    </row>
    <row r="4887" spans="1:14" x14ac:dyDescent="0.15">
      <c r="A4887" s="23" t="str">
        <f>HYPERLINK("https://www.spark-marketing.ru/Card/Person/117690", "ДЕПАРТАМЕНТ ОБЩЕСТВЕННЫХ ОТНОШЕНИЙ И СОЦИАЛЬНОЙ ПОЛИТИКИ АДМИНИСТРАЦИИ ГОРОДА ОМСКА")</f>
        <v>ДЕПАРТАМЕНТ ОБЩЕСТВЕННЫХ ОТНОШЕНИЙ И СОЦИАЛЬНОЙ ПОЛИТИКИ АДМИНИСТРАЦИИ ГОРОДА ОМСКА</v>
      </c>
      <c r="B4887" s="24" t="s">
        <v>6905</v>
      </c>
      <c r="C4887" s="25">
        <v>37800</v>
      </c>
      <c r="D4887" s="22" t="s">
        <v>6906</v>
      </c>
      <c r="E4887" s="22" t="s">
        <v>68</v>
      </c>
      <c r="F4887" s="23" t="str">
        <f>HYPERLINK("https://www.spark-marketing.ru/Card/Lot/71882722", "Оказание услуг по обеспечения охраны общественного порядка и безопасности граждан в период проведения городского мероприятия «ДЕНЬ ОМИЧА-2019»")</f>
        <v>Оказание услуг по обеспечения охраны общественного порядка и безопасности граждан в период проведения городского мероприятия «ДЕНЬ ОМИЧА-2019»</v>
      </c>
      <c r="G4887" s="22" t="s">
        <v>521</v>
      </c>
      <c r="H4887" s="22" t="s">
        <v>522</v>
      </c>
      <c r="I4887" s="26">
        <v>43650.318749999999</v>
      </c>
      <c r="J4887" s="28" t="s">
        <v>52</v>
      </c>
      <c r="K4887" s="28" t="s">
        <v>52</v>
      </c>
      <c r="L4887" s="28" t="s">
        <v>52</v>
      </c>
      <c r="M4887" s="28" t="s">
        <v>52</v>
      </c>
      <c r="N4887" s="28" t="s">
        <v>52</v>
      </c>
    </row>
    <row r="4888" spans="1:14" x14ac:dyDescent="0.15">
      <c r="A4888" s="23" t="str">
        <f>HYPERLINK("https://www.spark-marketing.ru/Card/Person/1781338", "АО ""ПОЛЮС КРАСНОЯРСК""")</f>
        <v>АО "ПОЛЮС КРАСНОЯРСК"</v>
      </c>
      <c r="B4888" s="24" t="s">
        <v>6907</v>
      </c>
      <c r="C4888" s="28" t="s">
        <v>52</v>
      </c>
      <c r="D4888" s="22" t="s">
        <v>6908</v>
      </c>
      <c r="E4888" s="22" t="s">
        <v>53</v>
      </c>
      <c r="F4888" s="23" t="str">
        <f>HYPERLINK("https://www.spark-marketing.ru/Card/Lot/71887877", "Выполнение работ по оптимизации документооборота по обеспечению пропускного режима")</f>
        <v>Выполнение работ по оптимизации документооборота по обеспечению пропускного режима</v>
      </c>
      <c r="G4888" s="22" t="s">
        <v>640</v>
      </c>
      <c r="H4888" s="22" t="s">
        <v>6909</v>
      </c>
      <c r="I4888" s="26">
        <v>43650</v>
      </c>
      <c r="J4888" s="28" t="s">
        <v>52</v>
      </c>
      <c r="K4888" s="28" t="s">
        <v>52</v>
      </c>
      <c r="L4888" s="28" t="s">
        <v>52</v>
      </c>
      <c r="M4888" s="28" t="s">
        <v>52</v>
      </c>
      <c r="N4888" s="28" t="s">
        <v>52</v>
      </c>
    </row>
    <row r="4889" spans="1:14" x14ac:dyDescent="0.15">
      <c r="A4889" s="23" t="str">
        <f>HYPERLINK("https://www.spark-marketing.ru/Card/Person/1340009", "АО ""ПАНСИОНАТ ""БЫЛИНА""")</f>
        <v>АО "ПАНСИОНАТ "БЫЛИНА"</v>
      </c>
      <c r="B4889" s="24" t="s">
        <v>6910</v>
      </c>
      <c r="C4889" s="25">
        <v>900000</v>
      </c>
      <c r="D4889" s="22" t="s">
        <v>6911</v>
      </c>
      <c r="E4889" s="22" t="s">
        <v>53</v>
      </c>
      <c r="F4889" s="23" t="str">
        <f>HYPERLINK("https://www.spark-marketing.ru/Card/Lot/71888924", "Право заключения договора на 907-U010-19/1 Охрана и защита объектов")</f>
        <v>Право заключения договора на 907-U010-19/1 Охрана и защита объектов</v>
      </c>
      <c r="G4889" s="22" t="s">
        <v>209</v>
      </c>
      <c r="H4889" s="22" t="s">
        <v>6912</v>
      </c>
      <c r="I4889" s="26">
        <v>43650</v>
      </c>
      <c r="J4889" s="28" t="s">
        <v>52</v>
      </c>
      <c r="K4889" s="28" t="s">
        <v>52</v>
      </c>
      <c r="L4889" s="28" t="s">
        <v>52</v>
      </c>
      <c r="M4889" s="28" t="s">
        <v>52</v>
      </c>
      <c r="N4889" s="28" t="s">
        <v>52</v>
      </c>
    </row>
    <row r="4890" spans="1:14" x14ac:dyDescent="0.15">
      <c r="A4890" s="23" t="str">
        <f>HYPERLINK("https://www.spark-marketing.ru/Card/Person/37215", "АО ""УПКБ ""ДЕТАЛЬ""")</f>
        <v>АО "УПКБ "ДЕТАЛЬ"</v>
      </c>
      <c r="B4890" s="24" t="s">
        <v>1420</v>
      </c>
      <c r="C4890" s="25">
        <v>202207.7</v>
      </c>
      <c r="D4890" s="22" t="s">
        <v>6913</v>
      </c>
      <c r="E4890" s="22" t="s">
        <v>1422</v>
      </c>
      <c r="F4890" s="23" t="str">
        <f>HYPERLINK("https://www.spark-marketing.ru/Card/Lot/71878285", "Реконструкция инженерно-технических средств охраны (ИТСО) на объектах АО «УПКБ «Деталь»")</f>
        <v>Реконструкция инженерно-технических средств охраны (ИТСО) на объектах АО «УПКБ «Деталь»</v>
      </c>
      <c r="G4890" s="22" t="s">
        <v>72</v>
      </c>
      <c r="H4890" s="22" t="s">
        <v>1423</v>
      </c>
      <c r="I4890" s="26">
        <v>43649.947916666701</v>
      </c>
      <c r="J4890" s="28" t="s">
        <v>52</v>
      </c>
      <c r="K4890" s="28" t="s">
        <v>52</v>
      </c>
      <c r="L4890" s="28" t="s">
        <v>52</v>
      </c>
      <c r="M4890" s="28" t="s">
        <v>52</v>
      </c>
      <c r="N4890" s="28" t="s">
        <v>52</v>
      </c>
    </row>
    <row r="4891" spans="1:14" x14ac:dyDescent="0.15">
      <c r="A4891" s="23" t="str">
        <f>HYPERLINK("https://www.spark-marketing.ru/Card/Person/268718", "ОМВД РОССИИ ПО ВОЛОКОНОВСКОМУ РАЙОНУ")</f>
        <v>ОМВД РОССИИ ПО ВОЛОКОНОВСКОМУ РАЙОНУ</v>
      </c>
      <c r="B4891" s="24" t="s">
        <v>6396</v>
      </c>
      <c r="C4891" s="25">
        <v>100000</v>
      </c>
      <c r="D4891" s="22" t="s">
        <v>6914</v>
      </c>
      <c r="E4891" s="22" t="s">
        <v>84</v>
      </c>
      <c r="F4891" s="23" t="str">
        <f>HYPERLINK("https://www.spark-marketing.ru/Card/Lot/71878272", "Монтаж, установка, сборка видеонаблюдения, 1 шт")</f>
        <v>Монтаж, установка, сборка видеонаблюдения, 1 шт</v>
      </c>
      <c r="G4891" s="22" t="s">
        <v>176</v>
      </c>
      <c r="H4891" s="22" t="s">
        <v>6398</v>
      </c>
      <c r="I4891" s="26">
        <v>43649.899675925903</v>
      </c>
      <c r="J4891" s="28" t="s">
        <v>52</v>
      </c>
      <c r="K4891" s="28" t="s">
        <v>52</v>
      </c>
      <c r="L4891" s="28" t="s">
        <v>52</v>
      </c>
      <c r="M4891" s="28" t="s">
        <v>52</v>
      </c>
      <c r="N4891" s="28" t="s">
        <v>52</v>
      </c>
    </row>
    <row r="4892" spans="1:14" x14ac:dyDescent="0.15">
      <c r="A4892" s="23" t="str">
        <f>HYPERLINK("https://www.spark-marketing.ru/Card/Person/1781044", "ОАО ""ЖИРОВОЙ КОМБИНАТ""")</f>
        <v>ОАО "ЖИРОВОЙ КОМБИНАТ"</v>
      </c>
      <c r="B4892" s="24" t="s">
        <v>6915</v>
      </c>
      <c r="C4892" s="25">
        <v>0</v>
      </c>
      <c r="D4892" s="22" t="s">
        <v>6916</v>
      </c>
      <c r="E4892" s="22" t="s">
        <v>208</v>
      </c>
      <c r="F4892" s="23" t="str">
        <f>HYPERLINK("https://www.spark-marketing.ru/Card/Lot/71880111", "Обслуживание системы видеонаблюдения и системы контроля доступа")</f>
        <v>Обслуживание системы видеонаблюдения и системы контроля доступа</v>
      </c>
      <c r="G4892" s="22" t="s">
        <v>72</v>
      </c>
      <c r="H4892" s="22" t="s">
        <v>949</v>
      </c>
      <c r="I4892" s="26">
        <v>43649.910879629599</v>
      </c>
      <c r="J4892" s="28" t="s">
        <v>52</v>
      </c>
      <c r="K4892" s="28" t="s">
        <v>52</v>
      </c>
      <c r="L4892" s="28" t="s">
        <v>52</v>
      </c>
      <c r="M4892" s="28" t="s">
        <v>52</v>
      </c>
      <c r="N4892" s="28" t="s">
        <v>52</v>
      </c>
    </row>
    <row r="4893" spans="1:14" x14ac:dyDescent="0.15">
      <c r="A4893" s="23" t="str">
        <f>HYPERLINK("https://www.spark-marketing.ru/Card/Person/283255", "МЕЖРАЙОННАЯ ИФНС РОССИИ № 1 ПО НИЖЕГОРОДСКОЙ ОБЛАСТИ")</f>
        <v>МЕЖРАЙОННАЯ ИФНС РОССИИ № 1 ПО НИЖЕГОРОДСКОЙ ОБЛАСТИ</v>
      </c>
      <c r="B4893" s="24" t="s">
        <v>2971</v>
      </c>
      <c r="C4893" s="25">
        <v>34718.959999999999</v>
      </c>
      <c r="D4893" s="22" t="s">
        <v>6917</v>
      </c>
      <c r="E4893" s="22" t="s">
        <v>53</v>
      </c>
      <c r="F4893" s="23" t="str">
        <f>HYPERLINK("https://www.spark-marketing.ru/Card/Lot/71875151", "Охранные услуги в зданиях, помещениях налоговых органов, оборудованных действующим комплексом технических средств охраны, предаваемых под охрану на ПЦН")</f>
        <v>Охранные услуги в зданиях, помещениях налоговых органов, оборудованных действующим комплексом технических средств охраны, предаваемых под охрану на ПЦН</v>
      </c>
      <c r="G4893" s="22" t="s">
        <v>64</v>
      </c>
      <c r="H4893" s="22" t="s">
        <v>2973</v>
      </c>
      <c r="I4893" s="26">
        <v>43649.7562384259</v>
      </c>
      <c r="J4893" s="28" t="s">
        <v>52</v>
      </c>
      <c r="K4893" s="28" t="s">
        <v>52</v>
      </c>
      <c r="L4893" s="28" t="s">
        <v>52</v>
      </c>
      <c r="M4893" s="28" t="s">
        <v>52</v>
      </c>
      <c r="N4893" s="28" t="s">
        <v>52</v>
      </c>
    </row>
    <row r="4894" spans="1:14" x14ac:dyDescent="0.15">
      <c r="A4894" s="23" t="str">
        <f>HYPERLINK("https://www.spark-marketing.ru/Card/Person/150638", "МЕЖМУНИЦИПАЛЬНЫЙ ОТДЕЛ МВД РОССИИ ""МОРОЗОВСКИЙ""")</f>
        <v>МЕЖМУНИЦИПАЛЬНЫЙ ОТДЕЛ МВД РОССИИ "МОРОЗОВСКИЙ"</v>
      </c>
      <c r="B4894" s="24" t="s">
        <v>6918</v>
      </c>
      <c r="C4894" s="25">
        <v>11710</v>
      </c>
      <c r="D4894" s="22" t="s">
        <v>6919</v>
      </c>
      <c r="E4894" s="22" t="s">
        <v>53</v>
      </c>
      <c r="F4894" s="23" t="str">
        <f>HYPERLINK("https://www.spark-marketing.ru/Card/Lot/71873744", "Услуги по поверке технического состояния транспортных средств на предмет его соответствия обяязательным требованиям безопасности транспортных средств")</f>
        <v>Услуги по поверке технического состояния транспортных средств на предмет его соответствия обяязательным требованиям безопасности транспортных средств</v>
      </c>
      <c r="G4894" s="22" t="s">
        <v>402</v>
      </c>
      <c r="H4894" s="22" t="s">
        <v>3705</v>
      </c>
      <c r="I4894" s="26">
        <v>43649.751087962999</v>
      </c>
      <c r="J4894" s="28" t="s">
        <v>52</v>
      </c>
      <c r="K4894" s="28" t="s">
        <v>52</v>
      </c>
      <c r="L4894" s="28" t="s">
        <v>52</v>
      </c>
      <c r="M4894" s="28" t="s">
        <v>52</v>
      </c>
      <c r="N4894" s="28" t="s">
        <v>52</v>
      </c>
    </row>
    <row r="4895" spans="1:14" x14ac:dyDescent="0.15">
      <c r="A4895" s="23" t="str">
        <f>HYPERLINK("https://www.spark-marketing.ru/Card/Person/4347180", "Калининградский филиал Санкт-Петербургского Университета МВД России")</f>
        <v>Калининградский филиал Санкт-Петербургского Университета МВД России</v>
      </c>
      <c r="B4895" s="24" t="s">
        <v>5979</v>
      </c>
      <c r="C4895" s="25">
        <v>81588</v>
      </c>
      <c r="D4895" s="22" t="s">
        <v>6920</v>
      </c>
      <c r="E4895" s="22" t="s">
        <v>103</v>
      </c>
      <c r="F4895" s="23" t="str">
        <f>HYPERLINK("https://www.spark-marketing.ru/Card/Lot/71874997", "Техническое обслуживание видеонаблюдения, 1 усл. ед")</f>
        <v>Техническое обслуживание видеонаблюдения, 1 усл. ед</v>
      </c>
      <c r="G4895" s="22" t="s">
        <v>247</v>
      </c>
      <c r="H4895" s="22" t="s">
        <v>576</v>
      </c>
      <c r="I4895" s="26">
        <v>43649.779074074097</v>
      </c>
      <c r="J4895" s="28" t="s">
        <v>52</v>
      </c>
      <c r="K4895" s="28" t="s">
        <v>52</v>
      </c>
      <c r="L4895" s="28" t="s">
        <v>52</v>
      </c>
      <c r="M4895" s="28" t="s">
        <v>52</v>
      </c>
      <c r="N4895" s="28" t="s">
        <v>52</v>
      </c>
    </row>
    <row r="4896" spans="1:14" x14ac:dyDescent="0.15">
      <c r="A4896" s="23" t="str">
        <f>HYPERLINK("https://www.spark-marketing.ru/Card/Person/283255", "МЕЖРАЙОННАЯ ИФНС РОССИИ № 1 ПО НИЖЕГОРОДСКОЙ ОБЛАСТИ")</f>
        <v>МЕЖРАЙОННАЯ ИФНС РОССИИ № 1 ПО НИЖЕГОРОДСКОЙ ОБЛАСТИ</v>
      </c>
      <c r="B4896" s="24" t="s">
        <v>2971</v>
      </c>
      <c r="C4896" s="25">
        <v>13952.4</v>
      </c>
      <c r="D4896" s="22" t="s">
        <v>6921</v>
      </c>
      <c r="E4896" s="22" t="s">
        <v>53</v>
      </c>
      <c r="F4896" s="23" t="str">
        <f>HYPERLINK("https://www.spark-marketing.ru/Card/Lot/71875159", "Охрана имущества при помощи средств охранной сигнализации, выдающих по каналам связи информацию на системы ЦНПР охраны")</f>
        <v>Охрана имущества при помощи средств охранной сигнализации, выдающих по каналам связи информацию на системы ЦНПР охраны</v>
      </c>
      <c r="G4896" s="22" t="s">
        <v>64</v>
      </c>
      <c r="H4896" s="22" t="s">
        <v>2973</v>
      </c>
      <c r="I4896" s="26">
        <v>43649.762523148202</v>
      </c>
      <c r="J4896" s="28" t="s">
        <v>52</v>
      </c>
      <c r="K4896" s="28" t="s">
        <v>52</v>
      </c>
      <c r="L4896" s="28" t="s">
        <v>52</v>
      </c>
      <c r="M4896" s="28" t="s">
        <v>52</v>
      </c>
      <c r="N4896" s="28" t="s">
        <v>52</v>
      </c>
    </row>
    <row r="4897" spans="1:14" x14ac:dyDescent="0.15">
      <c r="A4897" s="23" t="str">
        <f>HYPERLINK("https://www.spark-marketing.ru/Card/Person/9479", "ГБУЗ АО ""АОПТД""")</f>
        <v>ГБУЗ АО "АОПТД"</v>
      </c>
      <c r="B4897" s="24" t="s">
        <v>6922</v>
      </c>
      <c r="C4897" s="25">
        <v>1185066</v>
      </c>
      <c r="D4897" s="22" t="s">
        <v>6923</v>
      </c>
      <c r="E4897" s="22" t="s">
        <v>84</v>
      </c>
      <c r="F4897" s="23" t="str">
        <f>HYPERLINK("https://www.spark-marketing.ru/Card/Lot/71878751", "Оказание услуг по установке цифровой системы видеонаблюдения")</f>
        <v>Оказание услуг по установке цифровой системы видеонаблюдения</v>
      </c>
      <c r="G4897" s="22" t="s">
        <v>230</v>
      </c>
      <c r="H4897" s="22" t="s">
        <v>231</v>
      </c>
      <c r="I4897" s="26">
        <v>43649.769444444399</v>
      </c>
      <c r="J4897" s="23" t="str">
        <f>HYPERLINK("https://www.spark-marketing.ru/Card/Person/269374", "ООО ""СТЭЛС""")</f>
        <v>ООО "СТЭЛС"</v>
      </c>
      <c r="K4897" s="24" t="s">
        <v>6924</v>
      </c>
      <c r="L4897" s="22" t="s">
        <v>10</v>
      </c>
      <c r="M4897" s="28" t="s">
        <v>52</v>
      </c>
      <c r="N4897" s="28" t="s">
        <v>52</v>
      </c>
    </row>
    <row r="4898" spans="1:14" x14ac:dyDescent="0.15">
      <c r="A4898" s="23" t="str">
        <f>HYPERLINK("https://www.spark-marketing.ru/Card/Person/530301", "МЕЖРЕГИОНАЛЬНОЕ УПРАВЛЕНИЕ № 81 ФМБА РОССИИ")</f>
        <v>МЕЖРЕГИОНАЛЬНОЕ УПРАВЛЕНИЕ № 81 ФМБА РОССИИ</v>
      </c>
      <c r="B4898" s="24" t="s">
        <v>6450</v>
      </c>
      <c r="C4898" s="25">
        <v>40436.550000000003</v>
      </c>
      <c r="D4898" s="22" t="s">
        <v>6925</v>
      </c>
      <c r="E4898" s="22" t="s">
        <v>68</v>
      </c>
      <c r="F4898" s="23" t="str">
        <f>HYPERLINK("https://www.spark-marketing.ru/Card/Lot/71874952", "Оказание услуг централизованной охраны имущества Заказчика посредством использования радиоканальной связи")</f>
        <v>Оказание услуг централизованной охраны имущества Заказчика посредством использования радиоканальной связи</v>
      </c>
      <c r="G4898" s="22" t="s">
        <v>150</v>
      </c>
      <c r="H4898" s="22" t="s">
        <v>161</v>
      </c>
      <c r="I4898" s="26">
        <v>43649.711805555598</v>
      </c>
      <c r="J4898" s="23" t="str">
        <f>HYPERLINK("https://www.spark-marketing.ru/Card/Person/4344524", "ФГКУ ""УВО ВНГ РОССИИ ПО ТОМСКОЙ ОБЛАСТИ""")</f>
        <v>ФГКУ "УВО ВНГ РОССИИ ПО ТОМСКОЙ ОБЛАСТИ"</v>
      </c>
      <c r="K4898" s="24" t="s">
        <v>1657</v>
      </c>
      <c r="L4898" s="22" t="s">
        <v>10</v>
      </c>
      <c r="M4898" s="28" t="s">
        <v>52</v>
      </c>
      <c r="N4898" s="28" t="s">
        <v>52</v>
      </c>
    </row>
    <row r="4899" spans="1:14" x14ac:dyDescent="0.15">
      <c r="A4899" s="23" t="str">
        <f>HYPERLINK("https://www.spark-marketing.ru/Card/Person/5204", "УПРАВЛЕНИЕ СУДЕБНОГО ДЕПАРТАМЕНТА В АРХАНГЕЛЬСКОЙ ОБЛАСТИ И НЕНЕЦКОМ АВТОНОМНОМ ОКРУГЕ")</f>
        <v>УПРАВЛЕНИЕ СУДЕБНОГО ДЕПАРТАМЕНТА В АРХАНГЕЛЬСКОЙ ОБЛАСТИ И НЕНЕЦКОМ АВТОНОМНОМ ОКРУГЕ</v>
      </c>
      <c r="B4899" s="24" t="s">
        <v>6926</v>
      </c>
      <c r="C4899" s="25">
        <v>76456.56</v>
      </c>
      <c r="D4899" s="22" t="s">
        <v>6927</v>
      </c>
      <c r="E4899" s="22" t="s">
        <v>68</v>
      </c>
      <c r="F4899" s="23" t="str">
        <f>HYPERLINK("https://www.spark-marketing.ru/Card/Lot/71875443", "Оказание услуг по охране здания Архангельского гарнизонного военного суда для обеспечения государственных нужд")</f>
        <v>Оказание услуг по охране здания Архангельского гарнизонного военного суда для обеспечения государственных нужд</v>
      </c>
      <c r="G4899" s="22" t="s">
        <v>674</v>
      </c>
      <c r="H4899" s="22" t="s">
        <v>674</v>
      </c>
      <c r="I4899" s="26">
        <v>43649.695833333302</v>
      </c>
      <c r="J4899" s="28" t="s">
        <v>52</v>
      </c>
      <c r="K4899" s="28" t="s">
        <v>52</v>
      </c>
      <c r="L4899" s="28" t="s">
        <v>52</v>
      </c>
      <c r="M4899" s="28" t="s">
        <v>52</v>
      </c>
      <c r="N4899" s="28" t="s">
        <v>52</v>
      </c>
    </row>
    <row r="4900" spans="1:14" x14ac:dyDescent="0.15">
      <c r="A4900" s="23" t="str">
        <f>HYPERLINK("https://www.spark-marketing.ru/Card/Person/6208488", "БАЙКАЛЬСКАЯ МЕЖРЕГИОНАЛЬНАЯ ПРИРОДООХРАННАЯ ПРОКУРАТУРА")</f>
        <v>БАЙКАЛЬСКАЯ МЕЖРЕГИОНАЛЬНАЯ ПРИРОДООХРАННАЯ ПРОКУРАТУРА</v>
      </c>
      <c r="B4900" s="24" t="s">
        <v>6928</v>
      </c>
      <c r="C4900" s="25">
        <v>49042.5</v>
      </c>
      <c r="D4900" s="22" t="s">
        <v>6929</v>
      </c>
      <c r="E4900" s="22" t="s">
        <v>68</v>
      </c>
      <c r="F4900" s="23" t="str">
        <f>HYPERLINK("https://www.spark-marketing.ru/Card/Lot/71864171", "Охрана объектов путем применения систем централизованного наблюдения")</f>
        <v>Охрана объектов путем применения систем централизованного наблюдения</v>
      </c>
      <c r="G4900" s="22" t="s">
        <v>281</v>
      </c>
      <c r="H4900" s="22" t="s">
        <v>281</v>
      </c>
      <c r="I4900" s="26">
        <v>43649.690277777801</v>
      </c>
      <c r="J4900" s="28" t="s">
        <v>52</v>
      </c>
      <c r="K4900" s="28" t="s">
        <v>52</v>
      </c>
      <c r="L4900" s="28" t="s">
        <v>52</v>
      </c>
      <c r="M4900" s="28" t="s">
        <v>52</v>
      </c>
      <c r="N4900" s="28" t="s">
        <v>52</v>
      </c>
    </row>
    <row r="4901" spans="1:14" x14ac:dyDescent="0.15">
      <c r="A4901" s="23" t="str">
        <f>HYPERLINK("https://www.spark-marketing.ru/Card/Person/570532", "СПБ ГБУК ""САНКТ-ПЕТЕРБУРГСКИЙ ТЕАТР ИМ. В.Ф. КОМИССАРЖЕВСКОЙ""")</f>
        <v>СПБ ГБУК "САНКТ-ПЕТЕРБУРГСКИЙ ТЕАТР ИМ. В.Ф. КОМИССАРЖЕВСКОЙ"</v>
      </c>
      <c r="B4901" s="24" t="s">
        <v>6930</v>
      </c>
      <c r="C4901" s="25">
        <v>400000</v>
      </c>
      <c r="D4901" s="22" t="s">
        <v>6931</v>
      </c>
      <c r="E4901" s="22" t="s">
        <v>144</v>
      </c>
      <c r="F4901" s="23" t="str">
        <f>HYPERLINK("https://www.spark-marketing.ru/Card/Lot/71874024", "Оказание услуг по охране объекта, расположенного по адресам: ул. Итальянская, д.17,19, ул. Садовая 7-9-11")</f>
        <v>Оказание услуг по охране объекта, расположенного по адресам: ул. Итальянская, д.17,19, ул. Садовая 7-9-11</v>
      </c>
      <c r="G4901" s="22" t="s">
        <v>89</v>
      </c>
      <c r="H4901" s="22" t="s">
        <v>89</v>
      </c>
      <c r="I4901" s="26">
        <v>43649.683865740699</v>
      </c>
      <c r="J4901" s="28" t="s">
        <v>52</v>
      </c>
      <c r="K4901" s="28" t="s">
        <v>52</v>
      </c>
      <c r="L4901" s="28" t="s">
        <v>52</v>
      </c>
      <c r="M4901" s="28" t="s">
        <v>52</v>
      </c>
      <c r="N4901" s="28" t="s">
        <v>52</v>
      </c>
    </row>
    <row r="4902" spans="1:14" x14ac:dyDescent="0.15">
      <c r="A4902" s="23" t="str">
        <f>HYPERLINK("https://www.spark-marketing.ru/Card/Person/106230", "ФГБУ ""УЭБСК""")</f>
        <v>ФГБУ "УЭБСК"</v>
      </c>
      <c r="B4902" s="24" t="s">
        <v>6932</v>
      </c>
      <c r="C4902" s="25">
        <v>5584854</v>
      </c>
      <c r="D4902" s="22" t="s">
        <v>6933</v>
      </c>
      <c r="E4902" s="22" t="s">
        <v>68</v>
      </c>
      <c r="F4902" s="23" t="str">
        <f>HYPERLINK("https://www.spark-marketing.ru/Card/Lot/71879537", "Оказание услуг по охране объектов и территорий ФГБУ ""УЭБСК""")</f>
        <v>Оказание услуг по охране объектов и территорий ФГБУ "УЭБСК"</v>
      </c>
      <c r="G4902" s="22" t="s">
        <v>3936</v>
      </c>
      <c r="H4902" s="22" t="s">
        <v>6934</v>
      </c>
      <c r="I4902" s="26">
        <v>43649.686805555597</v>
      </c>
      <c r="J4902" s="23" t="str">
        <f>HYPERLINK("https://www.spark-marketing.ru/Card/Person/10487", "ФГУП ""ОХРАНА"" РОСГВАРДИИ")</f>
        <v>ФГУП "ОХРАНА" РОСГВАРДИИ</v>
      </c>
      <c r="K4902" s="24" t="s">
        <v>779</v>
      </c>
      <c r="L4902" s="22" t="s">
        <v>10</v>
      </c>
      <c r="M4902" s="28" t="s">
        <v>52</v>
      </c>
      <c r="N4902" s="28" t="s">
        <v>52</v>
      </c>
    </row>
    <row r="4903" spans="1:14" x14ac:dyDescent="0.15">
      <c r="A4903" s="23" t="str">
        <f>HYPERLINK("https://www.spark-marketing.ru/Card/Person/4346340", "УМВД РОССИИ ПО ЯРОСЛАВСКОЙ ОБЛАСТИ")</f>
        <v>УМВД РОССИИ ПО ЯРОСЛАВСКОЙ ОБЛАСТИ</v>
      </c>
      <c r="B4903" s="24" t="s">
        <v>6935</v>
      </c>
      <c r="C4903" s="25">
        <v>99600</v>
      </c>
      <c r="D4903" s="22" t="s">
        <v>6936</v>
      </c>
      <c r="E4903" s="22" t="s">
        <v>84</v>
      </c>
      <c r="F4903" s="23" t="str">
        <f>HYPERLINK("https://www.spark-marketing.ru/Card/Lot/71872240", "Монтаж, установка, сборка систем охранного видеонаблюдения, 8 шт")</f>
        <v>Монтаж, установка, сборка систем охранного видеонаблюдения, 8 шт</v>
      </c>
      <c r="G4903" s="22" t="s">
        <v>155</v>
      </c>
      <c r="H4903" s="22" t="s">
        <v>156</v>
      </c>
      <c r="I4903" s="26">
        <v>43649.682939814797</v>
      </c>
      <c r="J4903" s="28" t="s">
        <v>52</v>
      </c>
      <c r="K4903" s="28" t="s">
        <v>52</v>
      </c>
      <c r="L4903" s="28" t="s">
        <v>52</v>
      </c>
      <c r="M4903" s="28" t="s">
        <v>52</v>
      </c>
      <c r="N4903" s="28" t="s">
        <v>52</v>
      </c>
    </row>
    <row r="4904" spans="1:14" x14ac:dyDescent="0.15">
      <c r="A4904" s="23" t="str">
        <f>HYPERLINK("https://www.spark-marketing.ru/Card/Person/241020", "О МВД РОССИИ ПО Г.ЖИГУЛЕВСКУ")</f>
        <v>О МВД РОССИИ ПО Г.ЖИГУЛЕВСКУ</v>
      </c>
      <c r="B4904" s="24" t="s">
        <v>6937</v>
      </c>
      <c r="C4904" s="25">
        <v>45000</v>
      </c>
      <c r="D4904" s="22" t="s">
        <v>6938</v>
      </c>
      <c r="E4904" s="22" t="s">
        <v>53</v>
      </c>
      <c r="F4904" s="23" t="str">
        <f>HYPERLINK("https://www.spark-marketing.ru/Card/Lot/71871986", "услуги по техническому обслуживанию комплекса технических средств охраны")</f>
        <v>услуги по техническому обслуживанию комплекса технических средств охраны</v>
      </c>
      <c r="G4904" s="22" t="s">
        <v>760</v>
      </c>
      <c r="H4904" s="22" t="s">
        <v>4921</v>
      </c>
      <c r="I4904" s="26">
        <v>43649.706168981502</v>
      </c>
      <c r="J4904" s="28" t="s">
        <v>52</v>
      </c>
      <c r="K4904" s="28" t="s">
        <v>52</v>
      </c>
      <c r="L4904" s="28" t="s">
        <v>52</v>
      </c>
      <c r="M4904" s="28" t="s">
        <v>52</v>
      </c>
      <c r="N4904" s="28" t="s">
        <v>52</v>
      </c>
    </row>
    <row r="4905" spans="1:14" x14ac:dyDescent="0.15">
      <c r="A4905" s="23" t="str">
        <f>HYPERLINK("https://www.spark-marketing.ru/Card/Person/104714", """ОТДЕЛ МВД РОССИИ ПО ТАХТАМУКАЙСКОМУ РАЙОНУ""")</f>
        <v>"ОТДЕЛ МВД РОССИИ ПО ТАХТАМУКАЙСКОМУ РАЙОНУ"</v>
      </c>
      <c r="B4905" s="24" t="s">
        <v>6855</v>
      </c>
      <c r="C4905" s="25">
        <v>35000</v>
      </c>
      <c r="D4905" s="22" t="s">
        <v>6939</v>
      </c>
      <c r="E4905" s="22" t="s">
        <v>103</v>
      </c>
      <c r="F4905" s="23" t="str">
        <f>HYPERLINK("https://www.spark-marketing.ru/Card/Lot/71868446", "Обслуживание систем видеонаблюдения, 1 усл. ед")</f>
        <v>Обслуживание систем видеонаблюдения, 1 усл. ед</v>
      </c>
      <c r="G4905" s="22" t="s">
        <v>1547</v>
      </c>
      <c r="H4905" s="22" t="s">
        <v>6940</v>
      </c>
      <c r="I4905" s="26">
        <v>43649.644166666701</v>
      </c>
      <c r="J4905" s="28" t="s">
        <v>52</v>
      </c>
      <c r="K4905" s="28" t="s">
        <v>52</v>
      </c>
      <c r="L4905" s="28" t="s">
        <v>52</v>
      </c>
      <c r="M4905" s="28" t="s">
        <v>52</v>
      </c>
      <c r="N4905" s="28" t="s">
        <v>52</v>
      </c>
    </row>
    <row r="4906" spans="1:14" x14ac:dyDescent="0.15">
      <c r="A4906" s="23" t="str">
        <f>HYPERLINK("https://www.spark-marketing.ru/Card/Person/4350020", "ПАО ""КУЗБАССЭНЕРГОСБЫТ""")</f>
        <v>ПАО "КУЗБАССЭНЕРГОСБЫТ"</v>
      </c>
      <c r="B4906" s="24" t="s">
        <v>6941</v>
      </c>
      <c r="C4906" s="25">
        <v>1606000</v>
      </c>
      <c r="D4906" s="22" t="s">
        <v>6942</v>
      </c>
      <c r="E4906" s="22" t="s">
        <v>144</v>
      </c>
      <c r="F4906" s="23" t="str">
        <f>HYPERLINK("https://www.spark-marketing.ru/Card/Lot/71864996", "Оказание охранных услуг")</f>
        <v>Оказание охранных услуг</v>
      </c>
      <c r="G4906" s="22" t="s">
        <v>367</v>
      </c>
      <c r="H4906" s="22" t="s">
        <v>881</v>
      </c>
      <c r="I4906" s="26">
        <v>43649.651145833297</v>
      </c>
      <c r="J4906" s="28" t="s">
        <v>52</v>
      </c>
      <c r="K4906" s="28" t="s">
        <v>52</v>
      </c>
      <c r="L4906" s="28" t="s">
        <v>52</v>
      </c>
      <c r="M4906" s="28" t="s">
        <v>52</v>
      </c>
      <c r="N4906" s="28" t="s">
        <v>52</v>
      </c>
    </row>
    <row r="4907" spans="1:14" x14ac:dyDescent="0.15">
      <c r="A4907" s="23" t="str">
        <f>HYPERLINK("https://www.spark-marketing.ru/Card/Person/26903", "ОТДЕЛ МВД РОССИИ ПО ГОРОДУ НЕВИННОМЫССКУ")</f>
        <v>ОТДЕЛ МВД РОССИИ ПО ГОРОДУ НЕВИННОМЫССКУ</v>
      </c>
      <c r="B4907" s="24" t="s">
        <v>6943</v>
      </c>
      <c r="C4907" s="25">
        <v>100000</v>
      </c>
      <c r="D4907" s="22" t="s">
        <v>6944</v>
      </c>
      <c r="E4907" s="22" t="s">
        <v>84</v>
      </c>
      <c r="F4907" s="23" t="str">
        <f>HYPERLINK("https://www.spark-marketing.ru/Card/Lot/71870660", "Монтаж, установка, сборка видеонаблюдения, 1 шт")</f>
        <v>Монтаж, установка, сборка видеонаблюдения, 1 шт</v>
      </c>
      <c r="G4907" s="22" t="s">
        <v>258</v>
      </c>
      <c r="H4907" s="22" t="s">
        <v>6945</v>
      </c>
      <c r="I4907" s="26">
        <v>43649.656863425902</v>
      </c>
      <c r="J4907" s="28" t="s">
        <v>52</v>
      </c>
      <c r="K4907" s="28" t="s">
        <v>52</v>
      </c>
      <c r="L4907" s="28" t="s">
        <v>52</v>
      </c>
      <c r="M4907" s="28" t="s">
        <v>52</v>
      </c>
      <c r="N4907" s="28" t="s">
        <v>52</v>
      </c>
    </row>
    <row r="4908" spans="1:14" x14ac:dyDescent="0.15">
      <c r="A4908" s="23" t="str">
        <f>HYPERLINK("https://www.spark-marketing.ru/Card/Person/154446", "ОБУЗ ""ОБЛАСТНОЙ ДЕТСКИЙ САНАТОРИЙ""")</f>
        <v>ОБУЗ "ОБЛАСТНОЙ ДЕТСКИЙ САНАТОРИЙ"</v>
      </c>
      <c r="B4908" s="24" t="s">
        <v>6946</v>
      </c>
      <c r="C4908" s="25">
        <v>420517.44</v>
      </c>
      <c r="D4908" s="22" t="s">
        <v>6947</v>
      </c>
      <c r="E4908" s="22" t="s">
        <v>68</v>
      </c>
      <c r="F4908" s="23" t="str">
        <f>HYPERLINK("https://www.spark-marketing.ru/Card/Lot/71877855", "Оказание охранных услуг")</f>
        <v>Оказание охранных услуг</v>
      </c>
      <c r="G4908" s="22" t="s">
        <v>3128</v>
      </c>
      <c r="H4908" s="22" t="s">
        <v>3128</v>
      </c>
      <c r="I4908" s="26">
        <v>43649.627777777801</v>
      </c>
      <c r="J4908" s="28" t="s">
        <v>52</v>
      </c>
      <c r="K4908" s="28" t="s">
        <v>52</v>
      </c>
      <c r="L4908" s="28" t="s">
        <v>52</v>
      </c>
      <c r="M4908" s="28" t="s">
        <v>52</v>
      </c>
      <c r="N4908" s="28" t="s">
        <v>52</v>
      </c>
    </row>
    <row r="4909" spans="1:14" ht="12.75" hidden="1" outlineLevel="1" x14ac:dyDescent="0.2">
      <c r="A4909" s="23" t="str">
        <f>HYPERLINK("https://www.spark-marketing.ru/Card/Person/154446", "ОБУЗ ""ОБЛАСТНОЙ ДЕТСКИЙ САНАТОРИЙ""")</f>
        <v>ОБУЗ "ОБЛАСТНОЙ ДЕТСКИЙ САНАТОРИЙ"</v>
      </c>
      <c r="B4909" s="24" t="s">
        <v>6946</v>
      </c>
      <c r="C4909" s="25">
        <v>420517.44</v>
      </c>
      <c r="D4909" s="22" t="s">
        <v>6947</v>
      </c>
      <c r="E4909" s="22" t="s">
        <v>68</v>
      </c>
      <c r="F4909" s="23" t="str">
        <f>HYPERLINK("https://www.spark-marketing.ru/Card/Lot/71877855", "Оказание охранных услуг")</f>
        <v>Оказание охранных услуг</v>
      </c>
      <c r="G4909" s="22" t="s">
        <v>3128</v>
      </c>
      <c r="H4909" s="22" t="s">
        <v>3128</v>
      </c>
      <c r="I4909" s="26">
        <v>43649.627777777801</v>
      </c>
      <c r="J4909" s="23" t="str">
        <f>HYPERLINK("https://www.spark-marketing.ru/Card/Person/673138", "ООО ""ЧОП ""ЗАЩИТА""")</f>
        <v>ООО "ЧОП "ЗАЩИТА"</v>
      </c>
      <c r="K4909" s="24" t="s">
        <v>6948</v>
      </c>
      <c r="L4909" s="22" t="s">
        <v>10</v>
      </c>
      <c r="M4909" s="25">
        <v>418414.85</v>
      </c>
      <c r="N4909" s="27">
        <v>5.0000066584634396E-3</v>
      </c>
    </row>
    <row r="4910" spans="1:14" ht="12.75" hidden="1" outlineLevel="1" x14ac:dyDescent="0.2">
      <c r="A4910" s="23" t="str">
        <f>HYPERLINK("https://www.spark-marketing.ru/Card/Person/154446", "ОБУЗ ""ОБЛАСТНОЙ ДЕТСКИЙ САНАТОРИЙ""")</f>
        <v>ОБУЗ "ОБЛАСТНОЙ ДЕТСКИЙ САНАТОРИЙ"</v>
      </c>
      <c r="B4910" s="24" t="s">
        <v>6946</v>
      </c>
      <c r="C4910" s="25">
        <v>420517.44</v>
      </c>
      <c r="D4910" s="22" t="s">
        <v>6947</v>
      </c>
      <c r="E4910" s="22" t="s">
        <v>68</v>
      </c>
      <c r="F4910" s="23" t="str">
        <f>HYPERLINK("https://www.spark-marketing.ru/Card/Lot/71877855", "Оказание охранных услуг")</f>
        <v>Оказание охранных услуг</v>
      </c>
      <c r="G4910" s="22" t="s">
        <v>3128</v>
      </c>
      <c r="H4910" s="22" t="s">
        <v>3128</v>
      </c>
      <c r="I4910" s="26">
        <v>43649.627777777801</v>
      </c>
      <c r="J4910" s="23" t="str">
        <f>HYPERLINK("https://www.spark-marketing.ru/Card/Person/6582267", "ООО ЧОП ""ТИТАН-Д""")</f>
        <v>ООО ЧОП "ТИТАН-Д"</v>
      </c>
      <c r="K4910" s="24" t="s">
        <v>6949</v>
      </c>
      <c r="L4910" s="22" t="s">
        <v>10</v>
      </c>
      <c r="M4910" s="25">
        <v>220000</v>
      </c>
      <c r="N4910" s="27">
        <v>0.47683501545144003</v>
      </c>
    </row>
    <row r="4911" spans="1:14" hidden="1" outlineLevel="1" x14ac:dyDescent="0.2">
      <c r="A4911" s="23" t="str">
        <f>HYPERLINK("https://www.spark-marketing.ru/Card/Person/154446", "ОБУЗ ""ОБЛАСТНОЙ ДЕТСКИЙ САНАТОРИЙ""")</f>
        <v>ОБУЗ "ОБЛАСТНОЙ ДЕТСКИЙ САНАТОРИЙ"</v>
      </c>
      <c r="B4911" s="24" t="s">
        <v>6946</v>
      </c>
      <c r="C4911" s="25">
        <v>420517.44</v>
      </c>
      <c r="D4911" s="22" t="s">
        <v>6947</v>
      </c>
      <c r="E4911" s="22" t="s">
        <v>68</v>
      </c>
      <c r="F4911" s="23" t="str">
        <f>HYPERLINK("https://www.spark-marketing.ru/Card/Lot/71877855", "Оказание охранных услуг")</f>
        <v>Оказание охранных услуг</v>
      </c>
      <c r="G4911" s="22" t="s">
        <v>3128</v>
      </c>
      <c r="H4911" s="22" t="s">
        <v>3128</v>
      </c>
      <c r="I4911" s="26">
        <v>43649.627777777801</v>
      </c>
      <c r="J4911" s="23" t="str">
        <f>HYPERLINK("https://www.spark-marketing.ru/Card/Person/673138", "ООО ""ЧОП ""ЗАЩИТА""")</f>
        <v>ООО "ЧОП "ЗАЩИТА"</v>
      </c>
      <c r="K4911" s="24" t="s">
        <v>6948</v>
      </c>
      <c r="L4911" s="28" t="s">
        <v>52</v>
      </c>
      <c r="M4911" s="25">
        <v>237897.41</v>
      </c>
      <c r="N4911" s="27">
        <v>0.43427456896912525</v>
      </c>
    </row>
    <row r="4912" spans="1:14" hidden="1" outlineLevel="1" x14ac:dyDescent="0.2">
      <c r="A4912" s="23" t="str">
        <f>HYPERLINK("https://www.spark-marketing.ru/Card/Person/154446", "ОБУЗ ""ОБЛАСТНОЙ ДЕТСКИЙ САНАТОРИЙ""")</f>
        <v>ОБУЗ "ОБЛАСТНОЙ ДЕТСКИЙ САНАТОРИЙ"</v>
      </c>
      <c r="B4912" s="24" t="s">
        <v>6946</v>
      </c>
      <c r="C4912" s="25">
        <v>420517.44</v>
      </c>
      <c r="D4912" s="22" t="s">
        <v>6947</v>
      </c>
      <c r="E4912" s="22" t="s">
        <v>68</v>
      </c>
      <c r="F4912" s="23" t="str">
        <f>HYPERLINK("https://www.spark-marketing.ru/Card/Lot/71877855", "Оказание охранных услуг")</f>
        <v>Оказание охранных услуг</v>
      </c>
      <c r="G4912" s="22" t="s">
        <v>3128</v>
      </c>
      <c r="H4912" s="22" t="s">
        <v>3128</v>
      </c>
      <c r="I4912" s="26">
        <v>43649.627777777801</v>
      </c>
      <c r="J4912" s="23" t="str">
        <f>HYPERLINK("https://www.spark-marketing.ru/Card/Person/624005", "ООО ЧОО ""АМЕГА""")</f>
        <v>ООО ЧОО "АМЕГА"</v>
      </c>
      <c r="K4912" s="24" t="s">
        <v>6950</v>
      </c>
      <c r="L4912" s="28" t="s">
        <v>52</v>
      </c>
      <c r="M4912" s="25">
        <v>297897.40999999997</v>
      </c>
      <c r="N4912" s="27">
        <v>0.29159320954679074</v>
      </c>
    </row>
    <row r="4913" spans="1:14" x14ac:dyDescent="0.15">
      <c r="A4913" s="23" t="str">
        <f>HYPERLINK("https://www.spark-marketing.ru/Card/Person/947126", "МКУ ""АХ МФУ СМР""")</f>
        <v>МКУ "АХ МФУ СМР"</v>
      </c>
      <c r="B4913" s="24" t="s">
        <v>6951</v>
      </c>
      <c r="C4913" s="25">
        <v>74517.240000000005</v>
      </c>
      <c r="D4913" s="22" t="s">
        <v>6952</v>
      </c>
      <c r="E4913" s="22" t="s">
        <v>68</v>
      </c>
      <c r="F4913" s="23" t="str">
        <f>HYPERLINK("https://www.spark-marketing.ru/Card/Lot/71860413", "Централизованная охрана объектов")</f>
        <v>Централизованная охрана объектов</v>
      </c>
      <c r="G4913" s="22" t="s">
        <v>409</v>
      </c>
      <c r="H4913" s="22" t="s">
        <v>409</v>
      </c>
      <c r="I4913" s="26">
        <v>43649.6430555556</v>
      </c>
      <c r="J4913" s="28" t="s">
        <v>52</v>
      </c>
      <c r="K4913" s="28" t="s">
        <v>52</v>
      </c>
      <c r="L4913" s="28" t="s">
        <v>52</v>
      </c>
      <c r="M4913" s="28" t="s">
        <v>52</v>
      </c>
      <c r="N4913" s="28" t="s">
        <v>52</v>
      </c>
    </row>
    <row r="4914" spans="1:14" x14ac:dyDescent="0.2">
      <c r="A4914" s="23" t="str">
        <f>HYPERLINK("https://www.spark-marketing.ru/Card/Person/10487", "ФГУП ""ОХРАНА"" РОСГВАРДИИ")</f>
        <v>ФГУП "ОХРАНА" РОСГВАРДИИ</v>
      </c>
      <c r="B4914" s="24" t="s">
        <v>779</v>
      </c>
      <c r="C4914" s="25">
        <v>135270.35</v>
      </c>
      <c r="D4914" s="22" t="s">
        <v>6953</v>
      </c>
      <c r="E4914" s="22" t="s">
        <v>1149</v>
      </c>
      <c r="F4914" s="23" t="str">
        <f>HYPERLINK("https://www.spark-marketing.ru/Card/Lot/71868788", "Поставка офисной техники для нужд Управления по Дальневосточному Федеральному округу Центра охраны объектов промышленности (г. Владивосток)")</f>
        <v>Поставка офисной техники для нужд Управления по Дальневосточному Федеральному округу Центра охраны объектов промышленности (г. Владивосток)</v>
      </c>
      <c r="G4914" s="22" t="s">
        <v>409</v>
      </c>
      <c r="H4914" s="22" t="s">
        <v>409</v>
      </c>
      <c r="I4914" s="26">
        <v>43649.612453703703</v>
      </c>
      <c r="J4914" s="28" t="s">
        <v>52</v>
      </c>
      <c r="K4914" s="28" t="s">
        <v>52</v>
      </c>
      <c r="L4914" s="22" t="s">
        <v>10</v>
      </c>
      <c r="M4914" s="25">
        <v>126000</v>
      </c>
      <c r="N4914" s="27">
        <v>6.8532017548561086E-2</v>
      </c>
    </row>
    <row r="4915" spans="1:14" x14ac:dyDescent="0.15">
      <c r="A4915" s="23" t="str">
        <f>HYPERLINK("https://www.spark-marketing.ru/Card/Person/129739", "МЕЖРАЙОННАЯ ИФНС РОССИИ № 7 ПО АМУРСКОЙ ОБЛАСТИ")</f>
        <v>МЕЖРАЙОННАЯ ИФНС РОССИИ № 7 ПО АМУРСКОЙ ОБЛАСТИ</v>
      </c>
      <c r="B4915" s="24" t="s">
        <v>6954</v>
      </c>
      <c r="C4915" s="25">
        <v>383070</v>
      </c>
      <c r="D4915" s="22" t="s">
        <v>6955</v>
      </c>
      <c r="E4915" s="22" t="s">
        <v>68</v>
      </c>
      <c r="F4915" s="23" t="str">
        <f>HYPERLINK("https://www.spark-marketing.ru/Card/Lot/71860293", "Услуги физической охраны")</f>
        <v>Услуги физической охраны</v>
      </c>
      <c r="G4915" s="22" t="s">
        <v>230</v>
      </c>
      <c r="H4915" s="22" t="s">
        <v>6956</v>
      </c>
      <c r="I4915" s="26">
        <v>43649.6118055556</v>
      </c>
      <c r="J4915" s="28" t="s">
        <v>52</v>
      </c>
      <c r="K4915" s="28" t="s">
        <v>52</v>
      </c>
      <c r="L4915" s="28" t="s">
        <v>52</v>
      </c>
      <c r="M4915" s="28" t="s">
        <v>52</v>
      </c>
      <c r="N4915" s="28" t="s">
        <v>52</v>
      </c>
    </row>
    <row r="4916" spans="1:14" ht="12.75" hidden="1" outlineLevel="1" x14ac:dyDescent="0.2">
      <c r="A4916" s="23" t="str">
        <f>HYPERLINK("https://www.spark-marketing.ru/Card/Person/129739", "МЕЖРАЙОННАЯ ИФНС РОССИИ № 7 ПО АМУРСКОЙ ОБЛАСТИ")</f>
        <v>МЕЖРАЙОННАЯ ИФНС РОССИИ № 7 ПО АМУРСКОЙ ОБЛАСТИ</v>
      </c>
      <c r="B4916" s="24" t="s">
        <v>6954</v>
      </c>
      <c r="C4916" s="25">
        <v>383070</v>
      </c>
      <c r="D4916" s="22" t="s">
        <v>6955</v>
      </c>
      <c r="E4916" s="22" t="s">
        <v>68</v>
      </c>
      <c r="F4916" s="23" t="str">
        <f>HYPERLINK("https://www.spark-marketing.ru/Card/Lot/71860293", "Услуги физической охраны")</f>
        <v>Услуги физической охраны</v>
      </c>
      <c r="G4916" s="22" t="s">
        <v>230</v>
      </c>
      <c r="H4916" s="22" t="s">
        <v>6956</v>
      </c>
      <c r="I4916" s="26">
        <v>43649.6118055556</v>
      </c>
      <c r="J4916" s="23" t="str">
        <f>HYPERLINK("https://www.spark-marketing.ru/Card/Person/293883", "ООО ""ЧОА ""ГАРАНТ""")</f>
        <v>ООО "ЧОА "ГАРАНТ"</v>
      </c>
      <c r="K4916" s="24" t="s">
        <v>6957</v>
      </c>
      <c r="L4916" s="22" t="s">
        <v>10</v>
      </c>
      <c r="M4916" s="25">
        <v>305000</v>
      </c>
      <c r="N4916" s="27">
        <v>0.20380087190330748</v>
      </c>
    </row>
    <row r="4917" spans="1:14" hidden="1" outlineLevel="1" x14ac:dyDescent="0.2">
      <c r="A4917" s="23" t="str">
        <f>HYPERLINK("https://www.spark-marketing.ru/Card/Person/129739", "МЕЖРАЙОННАЯ ИФНС РОССИИ № 7 ПО АМУРСКОЙ ОБЛАСТИ")</f>
        <v>МЕЖРАЙОННАЯ ИФНС РОССИИ № 7 ПО АМУРСКОЙ ОБЛАСТИ</v>
      </c>
      <c r="B4917" s="24" t="s">
        <v>6954</v>
      </c>
      <c r="C4917" s="25">
        <v>383070</v>
      </c>
      <c r="D4917" s="22" t="s">
        <v>6955</v>
      </c>
      <c r="E4917" s="22" t="s">
        <v>68</v>
      </c>
      <c r="F4917" s="23" t="str">
        <f>HYPERLINK("https://www.spark-marketing.ru/Card/Lot/71860293", "Услуги физической охраны")</f>
        <v>Услуги физической охраны</v>
      </c>
      <c r="G4917" s="22" t="s">
        <v>230</v>
      </c>
      <c r="H4917" s="22" t="s">
        <v>6956</v>
      </c>
      <c r="I4917" s="26">
        <v>43649.6118055556</v>
      </c>
      <c r="J4917" s="23" t="str">
        <f>HYPERLINK("https://www.spark-marketing.ru/Card/Person/5930274", "ООО ОА ""ЗВЕЗДА""")</f>
        <v>ООО ОА "ЗВЕЗДА"</v>
      </c>
      <c r="K4917" s="24" t="s">
        <v>6257</v>
      </c>
      <c r="L4917" s="28" t="s">
        <v>52</v>
      </c>
      <c r="M4917" s="25">
        <v>324084.65000000002</v>
      </c>
      <c r="N4917" s="27">
        <v>0.15398060406714179</v>
      </c>
    </row>
    <row r="4918" spans="1:14" hidden="1" outlineLevel="1" x14ac:dyDescent="0.2">
      <c r="A4918" s="23" t="str">
        <f>HYPERLINK("https://www.spark-marketing.ru/Card/Person/129739", "МЕЖРАЙОННАЯ ИФНС РОССИИ № 7 ПО АМУРСКОЙ ОБЛАСТИ")</f>
        <v>МЕЖРАЙОННАЯ ИФНС РОССИИ № 7 ПО АМУРСКОЙ ОБЛАСТИ</v>
      </c>
      <c r="B4918" s="24" t="s">
        <v>6954</v>
      </c>
      <c r="C4918" s="25">
        <v>383070</v>
      </c>
      <c r="D4918" s="22" t="s">
        <v>6955</v>
      </c>
      <c r="E4918" s="22" t="s">
        <v>68</v>
      </c>
      <c r="F4918" s="23" t="str">
        <f>HYPERLINK("https://www.spark-marketing.ru/Card/Lot/71860293", "Услуги физической охраны")</f>
        <v>Услуги физической охраны</v>
      </c>
      <c r="G4918" s="22" t="s">
        <v>230</v>
      </c>
      <c r="H4918" s="22" t="s">
        <v>6956</v>
      </c>
      <c r="I4918" s="26">
        <v>43649.6118055556</v>
      </c>
      <c r="J4918" s="23" t="str">
        <f>HYPERLINK("https://www.spark-marketing.ru/Card/Person/965553", "ООО ЧОП ""ИНТЕРЛОК-АМУР""")</f>
        <v>ООО ЧОП "ИНТЕРЛОК-АМУР"</v>
      </c>
      <c r="K4918" s="24" t="s">
        <v>6958</v>
      </c>
      <c r="L4918" s="28" t="s">
        <v>52</v>
      </c>
      <c r="M4918" s="25">
        <v>369662.25</v>
      </c>
      <c r="N4918" s="27">
        <v>3.5000783146683374E-2</v>
      </c>
    </row>
    <row r="4919" spans="1:14" x14ac:dyDescent="0.15">
      <c r="A4919" s="23" t="str">
        <f>HYPERLINK("https://www.spark-marketing.ru/Card/Person/378676", "МЕЖРАЙОННАЯ ИФНС РОССИИ № 1 ПО ЛИПЕЦКОЙ ОБЛАСТИ")</f>
        <v>МЕЖРАЙОННАЯ ИФНС РОССИИ № 1 ПО ЛИПЕЦКОЙ ОБЛАСТИ</v>
      </c>
      <c r="B4919" s="24" t="s">
        <v>3576</v>
      </c>
      <c r="C4919" s="25">
        <v>13862</v>
      </c>
      <c r="D4919" s="22" t="s">
        <v>6959</v>
      </c>
      <c r="E4919" s="22" t="s">
        <v>53</v>
      </c>
      <c r="F4919" s="23" t="str">
        <f>HYPERLINK("https://www.spark-marketing.ru/Card/Lot/71868035", "Монтаж, установка, модернизация систем видеонаблюдения, 1 шт")</f>
        <v>Монтаж, установка, модернизация систем видеонаблюдения, 1 шт</v>
      </c>
      <c r="G4919" s="22" t="s">
        <v>629</v>
      </c>
      <c r="H4919" s="22" t="s">
        <v>3578</v>
      </c>
      <c r="I4919" s="26">
        <v>43649.616226851896</v>
      </c>
      <c r="J4919" s="28" t="s">
        <v>52</v>
      </c>
      <c r="K4919" s="28" t="s">
        <v>52</v>
      </c>
      <c r="L4919" s="28" t="s">
        <v>52</v>
      </c>
      <c r="M4919" s="28" t="s">
        <v>52</v>
      </c>
      <c r="N4919" s="28" t="s">
        <v>52</v>
      </c>
    </row>
    <row r="4920" spans="1:14" x14ac:dyDescent="0.15">
      <c r="A4920" s="23" t="str">
        <f>HYPERLINK("https://www.spark-marketing.ru/Card/Person/108151", "ГАУЗ ""АССМП""")</f>
        <v>ГАУЗ "АССМП"</v>
      </c>
      <c r="B4920" s="24" t="s">
        <v>6960</v>
      </c>
      <c r="C4920" s="25">
        <v>58202.879999999997</v>
      </c>
      <c r="D4920" s="22" t="s">
        <v>6961</v>
      </c>
      <c r="E4920" s="22" t="s">
        <v>68</v>
      </c>
      <c r="F4920" s="23" t="str">
        <f>HYPERLINK("https://www.spark-marketing.ru/Card/Lot/71874798", "Услуги по охране объектов посредством комплекса технических средств охраны и осуществление экстренного выезда наряда полиции")</f>
        <v>Услуги по охране объектов посредством комплекса технических средств охраны и осуществление экстренного выезда наряда полиции</v>
      </c>
      <c r="G4920" s="22" t="s">
        <v>204</v>
      </c>
      <c r="H4920" s="22" t="s">
        <v>308</v>
      </c>
      <c r="I4920" s="26">
        <v>43649.590972222199</v>
      </c>
      <c r="J4920" s="28" t="s">
        <v>52</v>
      </c>
      <c r="K4920" s="28" t="s">
        <v>52</v>
      </c>
      <c r="L4920" s="28" t="s">
        <v>52</v>
      </c>
      <c r="M4920" s="28" t="s">
        <v>52</v>
      </c>
      <c r="N4920" s="28" t="s">
        <v>52</v>
      </c>
    </row>
    <row r="4921" spans="1:14" x14ac:dyDescent="0.15">
      <c r="A4921" s="23" t="str">
        <f>HYPERLINK("https://www.spark-marketing.ru/Card/Person/330016", "КУРСКАЯ АЭС - ФИЛИАЛ ОАО ""КОНЦЕРН РОСЭНЕРГОАТОМ""")</f>
        <v>КУРСКАЯ АЭС - ФИЛИАЛ ОАО "КОНЦЕРН РОСЭНЕРГОАТОМ"</v>
      </c>
      <c r="B4921" s="24" t="s">
        <v>211</v>
      </c>
      <c r="C4921" s="25">
        <v>0</v>
      </c>
      <c r="D4921" s="22" t="s">
        <v>6962</v>
      </c>
      <c r="E4921" s="22" t="s">
        <v>53</v>
      </c>
      <c r="F4921" s="23" t="str">
        <f>HYPERLINK("https://www.spark-marketing.ru/Card/Lot/71879790", "мониторинг цен в электронной форме на Охрана объекта Смоленской АЭС")</f>
        <v>мониторинг цен в электронной форме на Охрана объекта Смоленской АЭС</v>
      </c>
      <c r="G4921" s="22" t="s">
        <v>55</v>
      </c>
      <c r="H4921" s="22" t="s">
        <v>55</v>
      </c>
      <c r="I4921" s="26">
        <v>43649.587222222202</v>
      </c>
      <c r="J4921" s="28" t="s">
        <v>52</v>
      </c>
      <c r="K4921" s="28" t="s">
        <v>52</v>
      </c>
      <c r="L4921" s="28" t="s">
        <v>52</v>
      </c>
      <c r="M4921" s="28" t="s">
        <v>52</v>
      </c>
      <c r="N4921" s="28" t="s">
        <v>52</v>
      </c>
    </row>
    <row r="4922" spans="1:14" x14ac:dyDescent="0.15">
      <c r="A4922" s="23" t="str">
        <f>HYPERLINK("https://www.spark-marketing.ru/Card/Person/80567", "ФКПОУ ""СТИБ"" МИНТРУДА РОССИИ")</f>
        <v>ФКПОУ "СТИБ" МИНТРУДА РОССИИ</v>
      </c>
      <c r="B4922" s="24" t="s">
        <v>6963</v>
      </c>
      <c r="C4922" s="25">
        <v>348911.63</v>
      </c>
      <c r="D4922" s="22" t="s">
        <v>6964</v>
      </c>
      <c r="E4922" s="22" t="s">
        <v>84</v>
      </c>
      <c r="F4922" s="23" t="str">
        <f>HYPERLINK("https://www.spark-marketing.ru/Card/Lot/71867094", "Установка систем видеонаблюдения, 1 шт")</f>
        <v>Установка систем видеонаблюдения, 1 шт</v>
      </c>
      <c r="G4922" s="22" t="s">
        <v>861</v>
      </c>
      <c r="H4922" s="22" t="s">
        <v>6896</v>
      </c>
      <c r="I4922" s="26">
        <v>43649.591550925899</v>
      </c>
      <c r="J4922" s="28" t="s">
        <v>52</v>
      </c>
      <c r="K4922" s="28" t="s">
        <v>52</v>
      </c>
      <c r="L4922" s="28" t="s">
        <v>52</v>
      </c>
      <c r="M4922" s="28" t="s">
        <v>52</v>
      </c>
      <c r="N4922" s="28" t="s">
        <v>52</v>
      </c>
    </row>
    <row r="4923" spans="1:14" x14ac:dyDescent="0.15">
      <c r="A4923" s="23" t="str">
        <f>HYPERLINK("https://www.spark-marketing.ru/Card/Person/4434852", "МАУ ""КЦСОНКР""")</f>
        <v>МАУ "КЦСОНКР"</v>
      </c>
      <c r="B4923" s="24" t="s">
        <v>6965</v>
      </c>
      <c r="C4923" s="25">
        <v>362898.64</v>
      </c>
      <c r="D4923" s="22" t="s">
        <v>6966</v>
      </c>
      <c r="E4923" s="22" t="s">
        <v>6967</v>
      </c>
      <c r="F4923" s="23" t="str">
        <f>HYPERLINK("https://www.spark-marketing.ru/Card/Lot/71864489", "Обеспечение пропускного режима в административном здании МАУ «КЦСОНКР»")</f>
        <v>Обеспечение пропускного режима в административном здании МАУ «КЦСОНКР»</v>
      </c>
      <c r="G4923" s="22" t="s">
        <v>893</v>
      </c>
      <c r="H4923" s="22" t="s">
        <v>893</v>
      </c>
      <c r="I4923" s="26">
        <v>43649.575624999998</v>
      </c>
      <c r="J4923" s="28" t="s">
        <v>52</v>
      </c>
      <c r="K4923" s="28" t="s">
        <v>52</v>
      </c>
      <c r="L4923" s="28" t="s">
        <v>52</v>
      </c>
      <c r="M4923" s="28" t="s">
        <v>52</v>
      </c>
      <c r="N4923" s="28" t="s">
        <v>52</v>
      </c>
    </row>
    <row r="4924" spans="1:14" x14ac:dyDescent="0.15">
      <c r="A4924" s="23" t="str">
        <f>HYPERLINK("https://www.spark-marketing.ru/Card/Person/77924", "ГБПОУ МО ""НАРО-ФОМИНСКИЙ ТЕХНИКУМ""")</f>
        <v>ГБПОУ МО "НАРО-ФОМИНСКИЙ ТЕХНИКУМ"</v>
      </c>
      <c r="B4924" s="24" t="s">
        <v>6968</v>
      </c>
      <c r="C4924" s="25">
        <v>90000</v>
      </c>
      <c r="D4924" s="22" t="s">
        <v>6969</v>
      </c>
      <c r="E4924" s="22" t="s">
        <v>732</v>
      </c>
      <c r="F4924" s="23" t="str">
        <f>HYPERLINK("https://www.spark-marketing.ru/Card/Lot/71865162", "Услуги по установке видеодомофона")</f>
        <v>Услуги по установке видеодомофона</v>
      </c>
      <c r="G4924" s="22" t="s">
        <v>50</v>
      </c>
      <c r="H4924" s="22" t="s">
        <v>2332</v>
      </c>
      <c r="I4924" s="26">
        <v>43649.524328703701</v>
      </c>
      <c r="J4924" s="28" t="s">
        <v>52</v>
      </c>
      <c r="K4924" s="28" t="s">
        <v>52</v>
      </c>
      <c r="L4924" s="28" t="s">
        <v>52</v>
      </c>
      <c r="M4924" s="28" t="s">
        <v>52</v>
      </c>
      <c r="N4924" s="28" t="s">
        <v>52</v>
      </c>
    </row>
    <row r="4925" spans="1:14" x14ac:dyDescent="0.15">
      <c r="A4925" s="23" t="str">
        <f>HYPERLINK("https://www.spark-marketing.ru/Card/Person/261425", "МО МВД РОССИИ ""НАВЛИНСКИЙ""")</f>
        <v>МО МВД РОССИИ "НАВЛИНСКИЙ"</v>
      </c>
      <c r="B4925" s="24" t="s">
        <v>6799</v>
      </c>
      <c r="C4925" s="25">
        <v>36000</v>
      </c>
      <c r="D4925" s="22" t="s">
        <v>6970</v>
      </c>
      <c r="E4925" s="22" t="s">
        <v>103</v>
      </c>
      <c r="F4925" s="23" t="str">
        <f>HYPERLINK("https://www.spark-marketing.ru/Card/Lot/71863874", "Оказание услуг по техническому обслуживанию системы видеонаблюденя, 6 усл. ед")</f>
        <v>Оказание услуг по техническому обслуживанию системы видеонаблюденя, 6 усл. ед</v>
      </c>
      <c r="G4925" s="22" t="s">
        <v>215</v>
      </c>
      <c r="H4925" s="22" t="s">
        <v>6801</v>
      </c>
      <c r="I4925" s="26">
        <v>43649.507152777798</v>
      </c>
      <c r="J4925" s="28" t="s">
        <v>52</v>
      </c>
      <c r="K4925" s="28" t="s">
        <v>52</v>
      </c>
      <c r="L4925" s="28" t="s">
        <v>52</v>
      </c>
      <c r="M4925" s="28" t="s">
        <v>52</v>
      </c>
      <c r="N4925" s="28" t="s">
        <v>52</v>
      </c>
    </row>
    <row r="4926" spans="1:14" x14ac:dyDescent="0.15">
      <c r="A4926" s="23" t="str">
        <f>HYPERLINK("https://www.spark-marketing.ru/Card/Person/52288", "МО МВД РОССИИ ""КАМЕНСК - УРАЛЬСКИЙ""")</f>
        <v>МО МВД РОССИИ "КАМЕНСК - УРАЛЬСКИЙ"</v>
      </c>
      <c r="B4926" s="24" t="s">
        <v>5955</v>
      </c>
      <c r="C4926" s="25">
        <v>130000</v>
      </c>
      <c r="D4926" s="22" t="s">
        <v>6971</v>
      </c>
      <c r="E4926" s="22" t="s">
        <v>84</v>
      </c>
      <c r="F4926" s="23" t="str">
        <f>HYPERLINK("https://www.spark-marketing.ru/Card/Lot/71864828", "Монтаж, установка, сборка систем охранного видеонаблюдения, 3 шт")</f>
        <v>Монтаж, установка, сборка систем охранного видеонаблюдения, 3 шт</v>
      </c>
      <c r="G4926" s="22" t="s">
        <v>72</v>
      </c>
      <c r="H4926" s="22" t="s">
        <v>1423</v>
      </c>
      <c r="I4926" s="26">
        <v>43649.539351851898</v>
      </c>
      <c r="J4926" s="28" t="s">
        <v>52</v>
      </c>
      <c r="K4926" s="28" t="s">
        <v>52</v>
      </c>
      <c r="L4926" s="28" t="s">
        <v>52</v>
      </c>
      <c r="M4926" s="28" t="s">
        <v>52</v>
      </c>
      <c r="N4926" s="28" t="s">
        <v>52</v>
      </c>
    </row>
    <row r="4927" spans="1:14" x14ac:dyDescent="0.15">
      <c r="A4927" s="23" t="str">
        <f>HYPERLINK("https://www.spark-marketing.ru/Card/Person/330018", "ФЛ Калининская АЭС")</f>
        <v>ФЛ Калининская АЭС</v>
      </c>
      <c r="B4927" s="24" t="s">
        <v>211</v>
      </c>
      <c r="C4927" s="25">
        <v>0</v>
      </c>
      <c r="D4927" s="22" t="s">
        <v>6972</v>
      </c>
      <c r="E4927" s="22" t="s">
        <v>53</v>
      </c>
      <c r="F4927" s="23" t="str">
        <f>HYPERLINK("https://www.spark-marketing.ru/Card/Lot/71879928", "мониторинг цен в электронной форме на Оказание услуг по охране объекта пультом централизованного наблюдения")</f>
        <v>мониторинг цен в электронной форме на Оказание услуг по охране объекта пультом централизованного наблюдения</v>
      </c>
      <c r="G4927" s="22" t="s">
        <v>55</v>
      </c>
      <c r="H4927" s="22" t="s">
        <v>55</v>
      </c>
      <c r="I4927" s="26">
        <v>43649.540625000001</v>
      </c>
      <c r="J4927" s="28" t="s">
        <v>52</v>
      </c>
      <c r="K4927" s="28" t="s">
        <v>52</v>
      </c>
      <c r="L4927" s="28" t="s">
        <v>52</v>
      </c>
      <c r="M4927" s="28" t="s">
        <v>52</v>
      </c>
      <c r="N4927" s="28" t="s">
        <v>52</v>
      </c>
    </row>
    <row r="4928" spans="1:14" x14ac:dyDescent="0.15">
      <c r="A4928" s="23" t="str">
        <f>HYPERLINK("https://www.spark-marketing.ru/Card/Person/183697", "УПРАВЛЕНИЕ РОСПРИРОДНАДЗОРА ПО РЕСПУБЛИКЕ ХАКАСИЯ")</f>
        <v>УПРАВЛЕНИЕ РОСПРИРОДНАДЗОРА ПО РЕСПУБЛИКЕ ХАКАСИЯ</v>
      </c>
      <c r="B4928" s="24" t="s">
        <v>5832</v>
      </c>
      <c r="C4928" s="25">
        <v>99786.28</v>
      </c>
      <c r="D4928" s="22" t="s">
        <v>6973</v>
      </c>
      <c r="E4928" s="22" t="s">
        <v>59</v>
      </c>
      <c r="F4928" s="23" t="str">
        <f>HYPERLINK("https://www.spark-marketing.ru/Card/Lot/71862849", "Работы по установке комплекса охранной сигнализации, 1 шт")</f>
        <v>Работы по установке комплекса охранной сигнализации, 1 шт</v>
      </c>
      <c r="G4928" s="22" t="s">
        <v>1041</v>
      </c>
      <c r="H4928" s="22" t="s">
        <v>4311</v>
      </c>
      <c r="I4928" s="26">
        <v>43649.481354166703</v>
      </c>
      <c r="J4928" s="28" t="s">
        <v>52</v>
      </c>
      <c r="K4928" s="28" t="s">
        <v>52</v>
      </c>
      <c r="L4928" s="28" t="s">
        <v>52</v>
      </c>
      <c r="M4928" s="28" t="s">
        <v>52</v>
      </c>
      <c r="N4928" s="28" t="s">
        <v>52</v>
      </c>
    </row>
    <row r="4929" spans="1:14" x14ac:dyDescent="0.15">
      <c r="A4929" s="23" t="str">
        <f>HYPERLINK("https://www.spark-marketing.ru/Card/Person/1309922", "ГАУССО НСО ""БОЛОТНИНСКИЙ ПСИХОНЕВРОЛОГИЧЕСКИЙ ИНТЕРНАТ""")</f>
        <v>ГАУССО НСО "БОЛОТНИНСКИЙ ПСИХОНЕВРОЛОГИЧЕСКИЙ ИНТЕРНАТ"</v>
      </c>
      <c r="B4929" s="24" t="s">
        <v>6974</v>
      </c>
      <c r="C4929" s="25">
        <v>308902.8</v>
      </c>
      <c r="D4929" s="22" t="s">
        <v>6975</v>
      </c>
      <c r="E4929" s="22" t="s">
        <v>107</v>
      </c>
      <c r="F4929" s="23" t="str">
        <f>HYPERLINK("https://www.spark-marketing.ru/Card/Lot/71862082", "Установка противопожарной сигнализации")</f>
        <v>Установка противопожарной сигнализации</v>
      </c>
      <c r="G4929" s="22" t="s">
        <v>209</v>
      </c>
      <c r="H4929" s="22" t="s">
        <v>6976</v>
      </c>
      <c r="I4929" s="26">
        <v>43649.461111111101</v>
      </c>
      <c r="J4929" s="28" t="s">
        <v>52</v>
      </c>
      <c r="K4929" s="28" t="s">
        <v>52</v>
      </c>
      <c r="L4929" s="28" t="s">
        <v>52</v>
      </c>
      <c r="M4929" s="28" t="s">
        <v>52</v>
      </c>
      <c r="N4929" s="28" t="s">
        <v>52</v>
      </c>
    </row>
    <row r="4930" spans="1:14" x14ac:dyDescent="0.15">
      <c r="A4930" s="23" t="str">
        <f>HYPERLINK("https://www.spark-marketing.ru/Card/Person/66042", "ФКУ ИК-9 УФСИН РОССИИ ПО ТВЕРСКОЙ ОБЛАСТИ")</f>
        <v>ФКУ ИК-9 УФСИН РОССИИ ПО ТВЕРСКОЙ ОБЛАСТИ</v>
      </c>
      <c r="B4930" s="24" t="s">
        <v>6977</v>
      </c>
      <c r="C4930" s="25">
        <v>10000</v>
      </c>
      <c r="D4930" s="22" t="s">
        <v>6978</v>
      </c>
      <c r="E4930" s="22" t="s">
        <v>208</v>
      </c>
      <c r="F4930" s="23" t="str">
        <f>HYPERLINK("https://www.spark-marketing.ru/Card/Lot/71862993", "Кнопка тревожной сигнализации RS-201TK, 4 шт")</f>
        <v>Кнопка тревожной сигнализации RS-201TK, 4 шт</v>
      </c>
      <c r="G4930" s="22" t="s">
        <v>251</v>
      </c>
      <c r="H4930" s="22" t="s">
        <v>6979</v>
      </c>
      <c r="I4930" s="26">
        <v>43649.490393518499</v>
      </c>
      <c r="J4930" s="28" t="s">
        <v>52</v>
      </c>
      <c r="K4930" s="28" t="s">
        <v>52</v>
      </c>
      <c r="L4930" s="28" t="s">
        <v>52</v>
      </c>
      <c r="M4930" s="28" t="s">
        <v>52</v>
      </c>
      <c r="N4930" s="28" t="s">
        <v>52</v>
      </c>
    </row>
    <row r="4931" spans="1:14" x14ac:dyDescent="0.2">
      <c r="A4931" s="23" t="str">
        <f>HYPERLINK("https://www.spark-marketing.ru/Card/Person/4361014", "АО ""ЭК ""ВОСТОК""")</f>
        <v>АО "ЭК "ВОСТОК"</v>
      </c>
      <c r="B4931" s="24" t="s">
        <v>6980</v>
      </c>
      <c r="C4931" s="25">
        <v>882600</v>
      </c>
      <c r="D4931" s="22" t="s">
        <v>6981</v>
      </c>
      <c r="E4931" s="22" t="s">
        <v>6982</v>
      </c>
      <c r="F4931" s="23" t="str">
        <f>HYPERLINK("https://www.spark-marketing.ru/Card/Lot/71864839", "Выполнение работ по внедрению системы видеоаналитики распознавания очередей на основе имеющейся системы видеонаблюдения в Центрах Обслуживания Клиентов (ЦОК) для нужд АО «ЭК «Восток»")</f>
        <v>Выполнение работ по внедрению системы видеоаналитики распознавания очередей на основе имеющейся системы видеонаблюдения в Центрах Обслуживания Клиентов (ЦОК) для нужд АО «ЭК «Восток»</v>
      </c>
      <c r="G4931" s="22" t="s">
        <v>893</v>
      </c>
      <c r="H4931" s="22" t="s">
        <v>893</v>
      </c>
      <c r="I4931" s="26">
        <v>43649.491203703699</v>
      </c>
      <c r="J4931" s="28" t="s">
        <v>52</v>
      </c>
      <c r="K4931" s="28" t="s">
        <v>52</v>
      </c>
      <c r="L4931" s="22" t="s">
        <v>10</v>
      </c>
      <c r="M4931" s="25">
        <v>882500</v>
      </c>
      <c r="N4931" s="27">
        <v>1.1330160888284614E-4</v>
      </c>
    </row>
    <row r="4932" spans="1:14" x14ac:dyDescent="0.15">
      <c r="A4932" s="23" t="str">
        <f>HYPERLINK("https://www.spark-marketing.ru/Card/Person/64067", "ТУЛЬСКИЙ ОБЛАСТНОЙ СУД")</f>
        <v>ТУЛЬСКИЙ ОБЛАСТНОЙ СУД</v>
      </c>
      <c r="B4932" s="24" t="s">
        <v>6983</v>
      </c>
      <c r="C4932" s="25">
        <v>534728.57999999996</v>
      </c>
      <c r="D4932" s="22" t="s">
        <v>6984</v>
      </c>
      <c r="E4932" s="22" t="s">
        <v>68</v>
      </c>
      <c r="F4932" s="23" t="str">
        <f>HYPERLINK("https://www.spark-marketing.ru/Card/Lot/71878208", "Оказание услуг по охране объекта военизированным подразделением")</f>
        <v>Оказание услуг по охране объекта военизированным подразделением</v>
      </c>
      <c r="G4932" s="22" t="s">
        <v>818</v>
      </c>
      <c r="H4932" s="22" t="s">
        <v>819</v>
      </c>
      <c r="I4932" s="26">
        <v>43649.482638888898</v>
      </c>
      <c r="J4932" s="23" t="str">
        <f>HYPERLINK("https://www.spark-marketing.ru/Card/Person/4498725", "ФЛ ФГУП ""Охрана"" Росгвардии по Тульской области")</f>
        <v>ФЛ ФГУП "Охрана" Росгвардии по Тульской области</v>
      </c>
      <c r="K4932" s="24" t="s">
        <v>779</v>
      </c>
      <c r="L4932" s="22" t="s">
        <v>10</v>
      </c>
      <c r="M4932" s="28" t="s">
        <v>52</v>
      </c>
      <c r="N4932" s="28" t="s">
        <v>52</v>
      </c>
    </row>
    <row r="4933" spans="1:14" x14ac:dyDescent="0.15">
      <c r="A4933" s="23" t="str">
        <f>HYPERLINK("https://www.spark-marketing.ru/Card/Person/1077427", "МБОУ СОШ №187")</f>
        <v>МБОУ СОШ №187</v>
      </c>
      <c r="B4933" s="24" t="s">
        <v>5756</v>
      </c>
      <c r="C4933" s="25">
        <v>111720</v>
      </c>
      <c r="D4933" s="22" t="s">
        <v>6985</v>
      </c>
      <c r="E4933" s="22" t="s">
        <v>68</v>
      </c>
      <c r="F4933" s="23" t="str">
        <f>HYPERLINK("https://www.spark-marketing.ru/Card/Lot/71860652", "Услуги физической охраны объекта")</f>
        <v>Услуги физической охраны объекта</v>
      </c>
      <c r="G4933" s="22" t="s">
        <v>209</v>
      </c>
      <c r="H4933" s="22" t="s">
        <v>210</v>
      </c>
      <c r="I4933" s="26">
        <v>43649.4194444444</v>
      </c>
      <c r="J4933" s="28" t="s">
        <v>52</v>
      </c>
      <c r="K4933" s="28" t="s">
        <v>52</v>
      </c>
      <c r="L4933" s="28" t="s">
        <v>52</v>
      </c>
      <c r="M4933" s="28" t="s">
        <v>52</v>
      </c>
      <c r="N4933" s="28" t="s">
        <v>52</v>
      </c>
    </row>
    <row r="4934" spans="1:14" x14ac:dyDescent="0.15">
      <c r="A4934" s="23" t="str">
        <f>HYPERLINK("https://www.spark-marketing.ru/Card/Person/124319", "МЕЖРАЙОННАЯ ИФНС РОССИИ № 7 ПО КРАСНОДАРСКОМУ КРАЮ")</f>
        <v>МЕЖРАЙОННАЯ ИФНС РОССИИ № 7 ПО КРАСНОДАРСКОМУ КРАЮ</v>
      </c>
      <c r="B4934" s="24" t="s">
        <v>5721</v>
      </c>
      <c r="C4934" s="25">
        <v>27958</v>
      </c>
      <c r="D4934" s="22" t="s">
        <v>6986</v>
      </c>
      <c r="E4934" s="22" t="s">
        <v>53</v>
      </c>
      <c r="F4934" s="23" t="str">
        <f>HYPERLINK("https://www.spark-marketing.ru/Card/Lot/71861549", "пультовая охрана и техническое обслуживание объекта")</f>
        <v>пультовая охрана и техническое обслуживание объекта</v>
      </c>
      <c r="G4934" s="22" t="s">
        <v>132</v>
      </c>
      <c r="H4934" s="22" t="s">
        <v>1126</v>
      </c>
      <c r="I4934" s="26">
        <v>43649.452199074098</v>
      </c>
      <c r="J4934" s="28" t="s">
        <v>52</v>
      </c>
      <c r="K4934" s="28" t="s">
        <v>52</v>
      </c>
      <c r="L4934" s="28" t="s">
        <v>52</v>
      </c>
      <c r="M4934" s="28" t="s">
        <v>52</v>
      </c>
      <c r="N4934" s="28" t="s">
        <v>52</v>
      </c>
    </row>
    <row r="4935" spans="1:14" x14ac:dyDescent="0.15">
      <c r="A4935" s="23" t="str">
        <f>HYPERLINK("https://www.spark-marketing.ru/Card/Person/1017901", "БОУ Г. ОМСКА ""СРЕДНЯЯ ОБЩЕОБРАЗОВАТЕЛЬНАЯ ШКОЛА № 40 С УГЛУБЛЕННЫМ ИЗУЧЕНИЕМ ОТДЕЛЬНЫХ ПРЕДМЕТОВ""")</f>
        <v>БОУ Г. ОМСКА "СРЕДНЯЯ ОБЩЕОБРАЗОВАТЕЛЬНАЯ ШКОЛА № 40 С УГЛУБЛЕННЫМ ИЗУЧЕНИЕМ ОТДЕЛЬНЫХ ПРЕДМЕТОВ"</v>
      </c>
      <c r="B4935" s="24" t="s">
        <v>6987</v>
      </c>
      <c r="C4935" s="25">
        <v>10999.2</v>
      </c>
      <c r="D4935" s="22" t="s">
        <v>6988</v>
      </c>
      <c r="E4935" s="22" t="s">
        <v>84</v>
      </c>
      <c r="F4935" s="23" t="str">
        <f>HYPERLINK("https://www.spark-marketing.ru/Card/Lot/71858976", "Дополнительные работы системы видеонаблюдения")</f>
        <v>Дополнительные работы системы видеонаблюдения</v>
      </c>
      <c r="G4935" s="22" t="s">
        <v>521</v>
      </c>
      <c r="H4935" s="22" t="s">
        <v>522</v>
      </c>
      <c r="I4935" s="26">
        <v>43649.388888888898</v>
      </c>
      <c r="J4935" s="28" t="s">
        <v>52</v>
      </c>
      <c r="K4935" s="28" t="s">
        <v>52</v>
      </c>
      <c r="L4935" s="28" t="s">
        <v>52</v>
      </c>
      <c r="M4935" s="28" t="s">
        <v>52</v>
      </c>
      <c r="N4935" s="28" t="s">
        <v>52</v>
      </c>
    </row>
    <row r="4936" spans="1:14" x14ac:dyDescent="0.15">
      <c r="A4936" s="23" t="str">
        <f>HYPERLINK("https://www.spark-marketing.ru/Card/Person/5224", "ФКУ ""ЦХИСО ГУ МВД РОССИИ ПО РОСТОВСКОЙ ОБЛАСТИ""")</f>
        <v>ФКУ "ЦХИСО ГУ МВД РОССИИ ПО РОСТОВСКОЙ ОБЛАСТИ"</v>
      </c>
      <c r="B4936" s="24" t="s">
        <v>4377</v>
      </c>
      <c r="C4936" s="25">
        <v>62820</v>
      </c>
      <c r="D4936" s="22" t="s">
        <v>6989</v>
      </c>
      <c r="E4936" s="22" t="s">
        <v>84</v>
      </c>
      <c r="F4936" s="23" t="str">
        <f>HYPERLINK("https://www.spark-marketing.ru/Card/Lot/71859559", "установка систем охранного видеонаблюдения 16 каналов, 1 шт")</f>
        <v>установка систем охранного видеонаблюдения 16 каналов, 1 шт</v>
      </c>
      <c r="G4936" s="22" t="s">
        <v>402</v>
      </c>
      <c r="H4936" s="22" t="s">
        <v>403</v>
      </c>
      <c r="I4936" s="26">
        <v>43649.398958333302</v>
      </c>
      <c r="J4936" s="28" t="s">
        <v>52</v>
      </c>
      <c r="K4936" s="28" t="s">
        <v>52</v>
      </c>
      <c r="L4936" s="28" t="s">
        <v>52</v>
      </c>
      <c r="M4936" s="28" t="s">
        <v>52</v>
      </c>
      <c r="N4936" s="28" t="s">
        <v>52</v>
      </c>
    </row>
    <row r="4937" spans="1:14" x14ac:dyDescent="0.15">
      <c r="A4937" s="23" t="str">
        <f>HYPERLINK("https://www.spark-marketing.ru/Card/Person/4365836", "ЗАО ""ТЗК ШЕРЕМЕТЬЕВО""")</f>
        <v>ЗАО "ТЗК ШЕРЕМЕТЬЕВО"</v>
      </c>
      <c r="B4937" s="24" t="s">
        <v>5689</v>
      </c>
      <c r="C4937" s="28" t="s">
        <v>52</v>
      </c>
      <c r="D4937" s="22" t="s">
        <v>6990</v>
      </c>
      <c r="E4937" s="22" t="s">
        <v>5691</v>
      </c>
      <c r="F4937" s="23" t="str">
        <f>HYPERLINK("https://www.spark-marketing.ru/Card/Lot/71860575", "Сертификация соответствия технических средств обеспечения транспортной безопасности ЗАО ""ТЗК Шереметьево""")</f>
        <v>Сертификация соответствия технических средств обеспечения транспортной безопасности ЗАО "ТЗК Шереметьево"</v>
      </c>
      <c r="G4937" s="22" t="s">
        <v>50</v>
      </c>
      <c r="H4937" s="22" t="s">
        <v>938</v>
      </c>
      <c r="I4937" s="26">
        <v>43649.377083333296</v>
      </c>
      <c r="J4937" s="28" t="s">
        <v>52</v>
      </c>
      <c r="K4937" s="28" t="s">
        <v>52</v>
      </c>
      <c r="L4937" s="28" t="s">
        <v>52</v>
      </c>
      <c r="M4937" s="28" t="s">
        <v>52</v>
      </c>
      <c r="N4937" s="28" t="s">
        <v>52</v>
      </c>
    </row>
    <row r="4938" spans="1:14" x14ac:dyDescent="0.15">
      <c r="A4938" s="23" t="str">
        <f>HYPERLINK("https://www.spark-marketing.ru/Card/Person/1753464", "ОАО "" ГРОЗНЕФТЕГАЗ""")</f>
        <v>ОАО " ГРОЗНЕФТЕГАЗ"</v>
      </c>
      <c r="B4938" s="24" t="s">
        <v>6991</v>
      </c>
      <c r="C4938" s="25">
        <v>1831881.36</v>
      </c>
      <c r="D4938" s="22" t="s">
        <v>6992</v>
      </c>
      <c r="E4938" s="22" t="s">
        <v>53</v>
      </c>
      <c r="F4938" s="23" t="str">
        <f>HYPERLINK("https://www.spark-marketing.ru/Card/Lot/71862119", "Техническое обслуживание инженерно-технических средств охраны")</f>
        <v>Техническое обслуживание инженерно-технических средств охраны</v>
      </c>
      <c r="G4938" s="22" t="s">
        <v>724</v>
      </c>
      <c r="H4938" s="22" t="s">
        <v>5711</v>
      </c>
      <c r="I4938" s="26">
        <v>43649.351388888899</v>
      </c>
      <c r="J4938" s="28" t="s">
        <v>52</v>
      </c>
      <c r="K4938" s="28" t="s">
        <v>52</v>
      </c>
      <c r="L4938" s="28" t="s">
        <v>52</v>
      </c>
      <c r="M4938" s="28" t="s">
        <v>52</v>
      </c>
      <c r="N4938" s="28" t="s">
        <v>52</v>
      </c>
    </row>
    <row r="4939" spans="1:14" x14ac:dyDescent="0.15">
      <c r="A4939" s="23" t="str">
        <f>HYPERLINK("https://www.spark-marketing.ru/Card/Person/23018", "УПРАВЛЕНИЕ РОСПОТРЕБНАДЗОРА ПО НОВОСИБИРСКОЙ ОБЛАСТИ")</f>
        <v>УПРАВЛЕНИЕ РОСПОТРЕБНАДЗОРА ПО НОВОСИБИРСКОЙ ОБЛАСТИ</v>
      </c>
      <c r="B4939" s="24" t="s">
        <v>6319</v>
      </c>
      <c r="C4939" s="25">
        <v>34020</v>
      </c>
      <c r="D4939" s="22" t="s">
        <v>6993</v>
      </c>
      <c r="E4939" s="22" t="s">
        <v>53</v>
      </c>
      <c r="F4939" s="23" t="str">
        <f>HYPERLINK("https://www.spark-marketing.ru/Card/Lot/71858582", "Услуги по установке дополнительного оборудования (сигнализация, радиоаппаратура и т.п.), 1 усл. ед")</f>
        <v>Услуги по установке дополнительного оборудования (сигнализация, радиоаппаратура и т.п.), 1 усл. ед</v>
      </c>
      <c r="G4939" s="22" t="s">
        <v>209</v>
      </c>
      <c r="H4939" s="22" t="s">
        <v>210</v>
      </c>
      <c r="I4939" s="26">
        <v>43649.345613425903</v>
      </c>
      <c r="J4939" s="28" t="s">
        <v>52</v>
      </c>
      <c r="K4939" s="28" t="s">
        <v>52</v>
      </c>
      <c r="L4939" s="28" t="s">
        <v>52</v>
      </c>
      <c r="M4939" s="28" t="s">
        <v>52</v>
      </c>
      <c r="N4939" s="28" t="s">
        <v>52</v>
      </c>
    </row>
    <row r="4940" spans="1:14" x14ac:dyDescent="0.15">
      <c r="A4940" s="23" t="str">
        <f>HYPERLINK("https://www.spark-marketing.ru/Card/Person/367573", "УПРАВЛЕНИЕ РОСРЕЗЕРВА ПО СИБИРСКОМУ ФЕДЕРАЛЬНОМУ ОКРУГУ")</f>
        <v>УПРАВЛЕНИЕ РОСРЕЗЕРВА ПО СИБИРСКОМУ ФЕДЕРАЛЬНОМУ ОКРУГУ</v>
      </c>
      <c r="B4940" s="24" t="s">
        <v>6994</v>
      </c>
      <c r="C4940" s="25">
        <v>52309.5</v>
      </c>
      <c r="D4940" s="22" t="s">
        <v>6995</v>
      </c>
      <c r="E4940" s="22" t="s">
        <v>53</v>
      </c>
      <c r="F4940" s="23" t="str">
        <f>HYPERLINK("https://www.spark-marketing.ru/Card/Lot/71856264", "Охрана объектов, на которые частная охранная деятельность не распространяется, 1 усл. ед")</f>
        <v>Охрана объектов, на которые частная охранная деятельность не распространяется, 1 усл. ед</v>
      </c>
      <c r="G4940" s="22" t="s">
        <v>209</v>
      </c>
      <c r="H4940" s="22" t="s">
        <v>210</v>
      </c>
      <c r="I4940" s="26">
        <v>43649.207129629598</v>
      </c>
      <c r="J4940" s="28" t="s">
        <v>52</v>
      </c>
      <c r="K4940" s="28" t="s">
        <v>52</v>
      </c>
      <c r="L4940" s="28" t="s">
        <v>52</v>
      </c>
      <c r="M4940" s="28" t="s">
        <v>52</v>
      </c>
      <c r="N4940" s="28" t="s">
        <v>52</v>
      </c>
    </row>
    <row r="4941" spans="1:14" x14ac:dyDescent="0.15">
      <c r="A4941" s="23" t="str">
        <f>HYPERLINK("https://www.spark-marketing.ru/Card/Person/57947", "КГКУЗ ""МИАЦ"" МЗ ХК")</f>
        <v>КГКУЗ "МИАЦ" МЗ ХК</v>
      </c>
      <c r="B4941" s="24" t="s">
        <v>5580</v>
      </c>
      <c r="C4941" s="25">
        <v>84820</v>
      </c>
      <c r="D4941" s="22" t="s">
        <v>6996</v>
      </c>
      <c r="E4941" s="22" t="s">
        <v>59</v>
      </c>
      <c r="F4941" s="23" t="str">
        <f>HYPERLINK("https://www.spark-marketing.ru/Card/Lot/71856162", "монтаж, техническое обслуживание систем видеонаблюдения, 1 шт")</f>
        <v>монтаж, техническое обслуживание систем видеонаблюдения, 1 шт</v>
      </c>
      <c r="G4941" s="22" t="s">
        <v>138</v>
      </c>
      <c r="H4941" s="22" t="s">
        <v>255</v>
      </c>
      <c r="I4941" s="26">
        <v>43649.153032407397</v>
      </c>
      <c r="J4941" s="28" t="s">
        <v>52</v>
      </c>
      <c r="K4941" s="28" t="s">
        <v>52</v>
      </c>
      <c r="L4941" s="28" t="s">
        <v>52</v>
      </c>
      <c r="M4941" s="28" t="s">
        <v>52</v>
      </c>
      <c r="N4941" s="28" t="s">
        <v>52</v>
      </c>
    </row>
    <row r="4942" spans="1:14" x14ac:dyDescent="0.15">
      <c r="A4942" s="23" t="str">
        <f>HYPERLINK("https://www.spark-marketing.ru/Card/Person/5310037", "ОАО НПП АЛМАЗ")</f>
        <v>ОАО НПП АЛМАЗ</v>
      </c>
      <c r="B4942" s="28" t="s">
        <v>52</v>
      </c>
      <c r="C4942" s="28" t="s">
        <v>52</v>
      </c>
      <c r="D4942" s="28" t="s">
        <v>52</v>
      </c>
      <c r="E4942" s="22" t="s">
        <v>53</v>
      </c>
      <c r="F4942" s="23" t="str">
        <f>HYPERLINK("https://www.spark-marketing.ru/Card/Lot/72085630", "Запрос котировок в электронной форме на оказание услуг по техническому обслуживанию системы видеонаблюдения")</f>
        <v>Запрос котировок в электронной форме на оказание услуг по техническому обслуживанию системы видеонаблюдения</v>
      </c>
      <c r="G4942" s="22" t="s">
        <v>52</v>
      </c>
      <c r="H4942" s="22" t="s">
        <v>52</v>
      </c>
      <c r="I4942" s="26">
        <v>43649</v>
      </c>
      <c r="J4942" s="28" t="s">
        <v>52</v>
      </c>
      <c r="K4942" s="28" t="s">
        <v>52</v>
      </c>
      <c r="L4942" s="28" t="s">
        <v>52</v>
      </c>
      <c r="M4942" s="28" t="s">
        <v>52</v>
      </c>
      <c r="N4942" s="28" t="s">
        <v>52</v>
      </c>
    </row>
    <row r="4943" spans="1:14" x14ac:dyDescent="0.15">
      <c r="A4943" s="23" t="str">
        <f>HYPERLINK("https://www.spark-marketing.ru/Card/Person/4351400", "ГБПОУ СО ""БОГДАНОВИЧСКИЙ ПОЛИТЕХНИКУМ""")</f>
        <v>ГБПОУ СО "БОГДАНОВИЧСКИЙ ПОЛИТЕХНИКУМ"</v>
      </c>
      <c r="B4943" s="24" t="s">
        <v>6062</v>
      </c>
      <c r="C4943" s="25">
        <v>889821.97</v>
      </c>
      <c r="D4943" s="22" t="s">
        <v>6997</v>
      </c>
      <c r="E4943" s="22" t="s">
        <v>84</v>
      </c>
      <c r="F4943" s="23" t="str">
        <f>HYPERLINK("https://www.spark-marketing.ru/Card/Lot/71855501", "Оказание услуг по установке видеонаблюдения")</f>
        <v>Оказание услуг по установке видеонаблюдения</v>
      </c>
      <c r="G4943" s="22" t="s">
        <v>72</v>
      </c>
      <c r="H4943" s="22" t="s">
        <v>6064</v>
      </c>
      <c r="I4943" s="26">
        <v>43649.015277777798</v>
      </c>
      <c r="J4943" s="28" t="s">
        <v>52</v>
      </c>
      <c r="K4943" s="28" t="s">
        <v>52</v>
      </c>
      <c r="L4943" s="28" t="s">
        <v>52</v>
      </c>
      <c r="M4943" s="28" t="s">
        <v>52</v>
      </c>
      <c r="N4943" s="28" t="s">
        <v>52</v>
      </c>
    </row>
    <row r="4944" spans="1:14" x14ac:dyDescent="0.15">
      <c r="A4944" s="23" t="str">
        <f>HYPERLINK("https://www.spark-marketing.ru/Card/Person/1781044", "ОАО ""ЖИРОВОЙ КОМБИНАТ""")</f>
        <v>ОАО "ЖИРОВОЙ КОМБИНАТ"</v>
      </c>
      <c r="B4944" s="24" t="s">
        <v>6915</v>
      </c>
      <c r="C4944" s="25">
        <v>0</v>
      </c>
      <c r="D4944" s="22" t="s">
        <v>6998</v>
      </c>
      <c r="E4944" s="22" t="s">
        <v>208</v>
      </c>
      <c r="F4944" s="23" t="str">
        <f>HYPERLINK("https://www.spark-marketing.ru/Card/Lot/71880107", "Автоматизация средств защиты транспортных линий (Саратовская обл: Самойловка,Калининск)")</f>
        <v>Автоматизация средств защиты транспортных линий (Саратовская обл: Самойловка,Калининск)</v>
      </c>
      <c r="G4944" s="22" t="s">
        <v>72</v>
      </c>
      <c r="H4944" s="22" t="s">
        <v>949</v>
      </c>
      <c r="I4944" s="26">
        <v>43649.886770833298</v>
      </c>
      <c r="J4944" s="28" t="s">
        <v>52</v>
      </c>
      <c r="K4944" s="28" t="s">
        <v>52</v>
      </c>
      <c r="L4944" s="28" t="s">
        <v>52</v>
      </c>
      <c r="M4944" s="28" t="s">
        <v>52</v>
      </c>
      <c r="N4944" s="28" t="s">
        <v>52</v>
      </c>
    </row>
    <row r="4945" spans="1:14" x14ac:dyDescent="0.15">
      <c r="A4945" s="23" t="str">
        <f t="shared" ref="A4945:A4976" si="221">HYPERLINK("https://www.spark-marketing.ru/Card/Person/1887298", "АО ""ТОРГОВЫЙ ДОМ ""ПЕРЕКРЕСТОК""")</f>
        <v>АО "ТОРГОВЫЙ ДОМ "ПЕРЕКРЕСТОК"</v>
      </c>
      <c r="B4945" s="24" t="s">
        <v>6999</v>
      </c>
      <c r="C4945" s="25">
        <v>0</v>
      </c>
      <c r="D4945" s="22" t="s">
        <v>7000</v>
      </c>
      <c r="E4945" s="22" t="s">
        <v>208</v>
      </c>
      <c r="F4945" s="23" t="str">
        <f>HYPERLINK("https://www.spark-marketing.ru/Card/Lot/71850248", "LTV CTM-110 22. Видеокамера TVI, купольная поворотная, 720P, DWDR, 23-x трансфокатор, внутренняя, IP40, -10°С +50°C, 24В АС")</f>
        <v>LTV CTM-110 22. Видеокамера TVI, купольная поворотная, 720P, DWDR, 23-x трансфокатор, внутренняя, IP40, -10°С +50°C, 24В АС</v>
      </c>
      <c r="G4945" s="22" t="s">
        <v>55</v>
      </c>
      <c r="H4945" s="22" t="s">
        <v>55</v>
      </c>
      <c r="I4945" s="26">
        <v>43648.7443055556</v>
      </c>
      <c r="J4945" s="28" t="s">
        <v>52</v>
      </c>
      <c r="K4945" s="28" t="s">
        <v>52</v>
      </c>
      <c r="L4945" s="28" t="s">
        <v>52</v>
      </c>
      <c r="M4945" s="28" t="s">
        <v>52</v>
      </c>
      <c r="N4945" s="28" t="s">
        <v>52</v>
      </c>
    </row>
    <row r="4946" spans="1:14" x14ac:dyDescent="0.15">
      <c r="A4946" s="23" t="str">
        <f t="shared" si="221"/>
        <v>АО "ТОРГОВЫЙ ДОМ "ПЕРЕКРЕСТОК"</v>
      </c>
      <c r="B4946" s="24" t="s">
        <v>6999</v>
      </c>
      <c r="C4946" s="25">
        <v>0</v>
      </c>
      <c r="D4946" s="22" t="s">
        <v>7001</v>
      </c>
      <c r="E4946" s="22" t="s">
        <v>208</v>
      </c>
      <c r="F4946" s="23" t="str">
        <f>HYPERLINK("https://www.spark-marketing.ru/Card/Lot/71853512", "Монтаж, подключение, настройка видеокамеры, уличной")</f>
        <v>Монтаж, подключение, настройка видеокамеры, уличной</v>
      </c>
      <c r="G4946" s="22" t="s">
        <v>55</v>
      </c>
      <c r="H4946" s="22" t="s">
        <v>55</v>
      </c>
      <c r="I4946" s="26">
        <v>43648.7449305556</v>
      </c>
      <c r="J4946" s="28" t="s">
        <v>52</v>
      </c>
      <c r="K4946" s="28" t="s">
        <v>52</v>
      </c>
      <c r="L4946" s="28" t="s">
        <v>52</v>
      </c>
      <c r="M4946" s="28" t="s">
        <v>52</v>
      </c>
      <c r="N4946" s="28" t="s">
        <v>52</v>
      </c>
    </row>
    <row r="4947" spans="1:14" x14ac:dyDescent="0.15">
      <c r="A4947" s="23" t="str">
        <f t="shared" si="221"/>
        <v>АО "ТОРГОВЫЙ ДОМ "ПЕРЕКРЕСТОК"</v>
      </c>
      <c r="B4947" s="24" t="s">
        <v>6999</v>
      </c>
      <c r="C4947" s="25">
        <v>0</v>
      </c>
      <c r="D4947" s="22" t="s">
        <v>7001</v>
      </c>
      <c r="E4947" s="22" t="s">
        <v>208</v>
      </c>
      <c r="F4947" s="23" t="str">
        <f>HYPERLINK("https://www.spark-marketing.ru/Card/Lot/71853636", "Демонтаж Системы видеонаблюдения (включая кабельные трассы)")</f>
        <v>Демонтаж Системы видеонаблюдения (включая кабельные трассы)</v>
      </c>
      <c r="G4947" s="22" t="s">
        <v>55</v>
      </c>
      <c r="H4947" s="22" t="s">
        <v>55</v>
      </c>
      <c r="I4947" s="26">
        <v>43648.7449305556</v>
      </c>
      <c r="J4947" s="28" t="s">
        <v>52</v>
      </c>
      <c r="K4947" s="28" t="s">
        <v>52</v>
      </c>
      <c r="L4947" s="28" t="s">
        <v>52</v>
      </c>
      <c r="M4947" s="28" t="s">
        <v>52</v>
      </c>
      <c r="N4947" s="28" t="s">
        <v>52</v>
      </c>
    </row>
    <row r="4948" spans="1:14" x14ac:dyDescent="0.15">
      <c r="A4948" s="23" t="str">
        <f t="shared" si="221"/>
        <v>АО "ТОРГОВЫЙ ДОМ "ПЕРЕКРЕСТОК"</v>
      </c>
      <c r="B4948" s="24" t="s">
        <v>6999</v>
      </c>
      <c r="C4948" s="25">
        <v>0</v>
      </c>
      <c r="D4948" s="22" t="s">
        <v>7002</v>
      </c>
      <c r="E4948" s="22" t="s">
        <v>208</v>
      </c>
      <c r="F4948" s="23" t="str">
        <f>HYPERLINK("https://www.spark-marketing.ru/Card/Lot/71851416", "LTV-BMW-147 (GL-213), кронштейн для корпусных видеокамер, белый, пластиковый, длина 147 мм")</f>
        <v>LTV-BMW-147 (GL-213), кронштейн для корпусных видеокамер, белый, пластиковый, длина 147 мм</v>
      </c>
      <c r="G4948" s="22" t="s">
        <v>55</v>
      </c>
      <c r="H4948" s="22" t="s">
        <v>55</v>
      </c>
      <c r="I4948" s="26">
        <v>43648.744641203702</v>
      </c>
      <c r="J4948" s="28" t="s">
        <v>52</v>
      </c>
      <c r="K4948" s="28" t="s">
        <v>52</v>
      </c>
      <c r="L4948" s="28" t="s">
        <v>52</v>
      </c>
      <c r="M4948" s="28" t="s">
        <v>52</v>
      </c>
      <c r="N4948" s="28" t="s">
        <v>52</v>
      </c>
    </row>
    <row r="4949" spans="1:14" x14ac:dyDescent="0.15">
      <c r="A4949" s="23" t="str">
        <f t="shared" si="221"/>
        <v>АО "ТОРГОВЫЙ ДОМ "ПЕРЕКРЕСТОК"</v>
      </c>
      <c r="B4949" s="24" t="s">
        <v>6999</v>
      </c>
      <c r="C4949" s="25">
        <v>0</v>
      </c>
      <c r="D4949" s="22" t="s">
        <v>7003</v>
      </c>
      <c r="E4949" s="22" t="s">
        <v>208</v>
      </c>
      <c r="F4949" s="23" t="str">
        <f>HYPERLINK("https://www.spark-marketing.ru/Card/Lot/71851817", "Камера видеонаблюдения HikVision DS-2CD2155FWD-IS (2.8mm) купол")</f>
        <v>Камера видеонаблюдения HikVision DS-2CD2155FWD-IS (2.8mm) купол</v>
      </c>
      <c r="G4949" s="22" t="s">
        <v>55</v>
      </c>
      <c r="H4949" s="22" t="s">
        <v>55</v>
      </c>
      <c r="I4949" s="26">
        <v>43648.744791666701</v>
      </c>
      <c r="J4949" s="28" t="s">
        <v>52</v>
      </c>
      <c r="K4949" s="28" t="s">
        <v>52</v>
      </c>
      <c r="L4949" s="28" t="s">
        <v>52</v>
      </c>
      <c r="M4949" s="28" t="s">
        <v>52</v>
      </c>
      <c r="N4949" s="28" t="s">
        <v>52</v>
      </c>
    </row>
    <row r="4950" spans="1:14" x14ac:dyDescent="0.15">
      <c r="A4950" s="23" t="str">
        <f t="shared" si="221"/>
        <v>АО "ТОРГОВЫЙ ДОМ "ПЕРЕКРЕСТОК"</v>
      </c>
      <c r="B4950" s="24" t="s">
        <v>6999</v>
      </c>
      <c r="C4950" s="25">
        <v>0</v>
      </c>
      <c r="D4950" s="22" t="s">
        <v>7004</v>
      </c>
      <c r="E4950" s="22" t="s">
        <v>208</v>
      </c>
      <c r="F4950" s="23" t="str">
        <f>HYPERLINK("https://www.spark-marketing.ru/Card/Lot/71852650", "Камера видеонаблюдения HikVision DS-2CE16D8T-IT3ZE HD-TVI motor-zoom")</f>
        <v>Камера видеонаблюдения HikVision DS-2CE16D8T-IT3ZE HD-TVI motor-zoom</v>
      </c>
      <c r="G4950" s="22" t="s">
        <v>55</v>
      </c>
      <c r="H4950" s="22" t="s">
        <v>55</v>
      </c>
      <c r="I4950" s="26">
        <v>43648.745347222197</v>
      </c>
      <c r="J4950" s="28" t="s">
        <v>52</v>
      </c>
      <c r="K4950" s="28" t="s">
        <v>52</v>
      </c>
      <c r="L4950" s="28" t="s">
        <v>52</v>
      </c>
      <c r="M4950" s="28" t="s">
        <v>52</v>
      </c>
      <c r="N4950" s="28" t="s">
        <v>52</v>
      </c>
    </row>
    <row r="4951" spans="1:14" x14ac:dyDescent="0.15">
      <c r="A4951" s="23" t="str">
        <f t="shared" si="221"/>
        <v>АО "ТОРГОВЫЙ ДОМ "ПЕРЕКРЕСТОК"</v>
      </c>
      <c r="B4951" s="24" t="s">
        <v>6999</v>
      </c>
      <c r="C4951" s="25">
        <v>0</v>
      </c>
      <c r="D4951" s="22" t="s">
        <v>7005</v>
      </c>
      <c r="E4951" s="22" t="s">
        <v>208</v>
      </c>
      <c r="F4951" s="23" t="str">
        <f>HYPERLINK("https://www.spark-marketing.ru/Card/Lot/71854246", "LTV RTM-162 00 16-канальный TVI/AHD/CVBS/IP видеорегистратор, 720p: 400 к/c, 1080p: 200 к/c, вых. BNC/VGA/HDMI")</f>
        <v>LTV RTM-162 00 16-канальный TVI/AHD/CVBS/IP видеорегистратор, 720p: 400 к/c, 1080p: 200 к/c, вых. BNC/VGA/HDMI</v>
      </c>
      <c r="G4951" s="22" t="s">
        <v>55</v>
      </c>
      <c r="H4951" s="22" t="s">
        <v>55</v>
      </c>
      <c r="I4951" s="26">
        <v>43648.745069444398</v>
      </c>
      <c r="J4951" s="28" t="s">
        <v>52</v>
      </c>
      <c r="K4951" s="28" t="s">
        <v>52</v>
      </c>
      <c r="L4951" s="28" t="s">
        <v>52</v>
      </c>
      <c r="M4951" s="28" t="s">
        <v>52</v>
      </c>
      <c r="N4951" s="28" t="s">
        <v>52</v>
      </c>
    </row>
    <row r="4952" spans="1:14" x14ac:dyDescent="0.15">
      <c r="A4952" s="23" t="str">
        <f t="shared" si="221"/>
        <v>АО "ТОРГОВЫЙ ДОМ "ПЕРЕКРЕСТОК"</v>
      </c>
      <c r="B4952" s="24" t="s">
        <v>6999</v>
      </c>
      <c r="C4952" s="25">
        <v>0</v>
      </c>
      <c r="D4952" s="22" t="s">
        <v>7002</v>
      </c>
      <c r="E4952" s="22" t="s">
        <v>208</v>
      </c>
      <c r="F4952" s="23" t="str">
        <f>HYPERLINK("https://www.spark-marketing.ru/Card/Lot/71851247", "DH-HAC-HDPW1200RP-0360B-S3A объектив 3.6 мм с апертурой F/1.85, угл обзора по горизонтали - 89.9? HD-CVI, HD-TVI, AHD: транслирует по коаксиальному кабелю видеосигнал на расстояние 1200 м при разрешении 1 Мп и 800 м - при 2 Мп; по неэкранированной ви...")</f>
        <v>DH-HAC-HDPW1200RP-0360B-S3A объектив 3.6 мм с апертурой F/1.85, угл обзора по горизонтали - 89.9? HD-CVI, HD-TVI, AHD: транслирует по коаксиальному кабелю видеосигнал на расстояние 1200 м при разрешении 1 Мп и 800 м - при 2 Мп; по неэкранированной ви...</v>
      </c>
      <c r="G4952" s="22" t="s">
        <v>55</v>
      </c>
      <c r="H4952" s="22" t="s">
        <v>55</v>
      </c>
      <c r="I4952" s="26">
        <v>43648.744641203702</v>
      </c>
      <c r="J4952" s="28" t="s">
        <v>52</v>
      </c>
      <c r="K4952" s="28" t="s">
        <v>52</v>
      </c>
      <c r="L4952" s="28" t="s">
        <v>52</v>
      </c>
      <c r="M4952" s="28" t="s">
        <v>52</v>
      </c>
      <c r="N4952" s="28" t="s">
        <v>52</v>
      </c>
    </row>
    <row r="4953" spans="1:14" x14ac:dyDescent="0.15">
      <c r="A4953" s="23" t="str">
        <f t="shared" si="221"/>
        <v>АО "ТОРГОВЫЙ ДОМ "ПЕРЕКРЕСТОК"</v>
      </c>
      <c r="B4953" s="24" t="s">
        <v>6999</v>
      </c>
      <c r="C4953" s="25">
        <v>0</v>
      </c>
      <c r="D4953" s="22" t="s">
        <v>7001</v>
      </c>
      <c r="E4953" s="22" t="s">
        <v>208</v>
      </c>
      <c r="F4953" s="23" t="str">
        <f>HYPERLINK("https://www.spark-marketing.ru/Card/Lot/71852231", "Камера видеонаблюдения HikVision DS-2CD2623G0-IZS (2.8-12mm) motor-zoom")</f>
        <v>Камера видеонаблюдения HikVision DS-2CD2623G0-IZS (2.8-12mm) motor-zoom</v>
      </c>
      <c r="G4953" s="22" t="s">
        <v>55</v>
      </c>
      <c r="H4953" s="22" t="s">
        <v>55</v>
      </c>
      <c r="I4953" s="26">
        <v>43648.7449305556</v>
      </c>
      <c r="J4953" s="28" t="s">
        <v>52</v>
      </c>
      <c r="K4953" s="28" t="s">
        <v>52</v>
      </c>
      <c r="L4953" s="28" t="s">
        <v>52</v>
      </c>
      <c r="M4953" s="28" t="s">
        <v>52</v>
      </c>
      <c r="N4953" s="28" t="s">
        <v>52</v>
      </c>
    </row>
    <row r="4954" spans="1:14" x14ac:dyDescent="0.15">
      <c r="A4954" s="23" t="str">
        <f t="shared" si="221"/>
        <v>АО "ТОРГОВЫЙ ДОМ "ПЕРЕКРЕСТОК"</v>
      </c>
      <c r="B4954" s="24" t="s">
        <v>6999</v>
      </c>
      <c r="C4954" s="25">
        <v>0</v>
      </c>
      <c r="D4954" s="22" t="s">
        <v>7001</v>
      </c>
      <c r="E4954" s="22" t="s">
        <v>208</v>
      </c>
      <c r="F4954" s="23" t="str">
        <f>HYPERLINK("https://www.spark-marketing.ru/Card/Lot/71852225", "Камера видеонаблюдения HikVision DS-2CD2125FWD-IS")</f>
        <v>Камера видеонаблюдения HikVision DS-2CD2125FWD-IS</v>
      </c>
      <c r="G4954" s="22" t="s">
        <v>55</v>
      </c>
      <c r="H4954" s="22" t="s">
        <v>55</v>
      </c>
      <c r="I4954" s="26">
        <v>43648.7449305556</v>
      </c>
      <c r="J4954" s="28" t="s">
        <v>52</v>
      </c>
      <c r="K4954" s="28" t="s">
        <v>52</v>
      </c>
      <c r="L4954" s="28" t="s">
        <v>52</v>
      </c>
      <c r="M4954" s="28" t="s">
        <v>52</v>
      </c>
      <c r="N4954" s="28" t="s">
        <v>52</v>
      </c>
    </row>
    <row r="4955" spans="1:14" x14ac:dyDescent="0.15">
      <c r="A4955" s="23" t="str">
        <f t="shared" si="221"/>
        <v>АО "ТОРГОВЫЙ ДОМ "ПЕРЕКРЕСТОК"</v>
      </c>
      <c r="B4955" s="24" t="s">
        <v>6999</v>
      </c>
      <c r="C4955" s="25">
        <v>0</v>
      </c>
      <c r="D4955" s="22" t="s">
        <v>7003</v>
      </c>
      <c r="E4955" s="22" t="s">
        <v>208</v>
      </c>
      <c r="F4955" s="23" t="str">
        <f>HYPERLINK("https://www.spark-marketing.ru/Card/Lot/71851814", "Камера видеонаблюдения HikVision DS-2CD2623G0-IZS (2.8-12mm) motor-zoom")</f>
        <v>Камера видеонаблюдения HikVision DS-2CD2623G0-IZS (2.8-12mm) motor-zoom</v>
      </c>
      <c r="G4955" s="22" t="s">
        <v>55</v>
      </c>
      <c r="H4955" s="22" t="s">
        <v>55</v>
      </c>
      <c r="I4955" s="26">
        <v>43648.744791666701</v>
      </c>
      <c r="J4955" s="28" t="s">
        <v>52</v>
      </c>
      <c r="K4955" s="28" t="s">
        <v>52</v>
      </c>
      <c r="L4955" s="28" t="s">
        <v>52</v>
      </c>
      <c r="M4955" s="28" t="s">
        <v>52</v>
      </c>
      <c r="N4955" s="28" t="s">
        <v>52</v>
      </c>
    </row>
    <row r="4956" spans="1:14" x14ac:dyDescent="0.15">
      <c r="A4956" s="23" t="str">
        <f t="shared" si="221"/>
        <v>АО "ТОРГОВЫЙ ДОМ "ПЕРЕКРЕСТОК"</v>
      </c>
      <c r="B4956" s="24" t="s">
        <v>6999</v>
      </c>
      <c r="C4956" s="25">
        <v>0</v>
      </c>
      <c r="D4956" s="22" t="s">
        <v>7006</v>
      </c>
      <c r="E4956" s="22" t="s">
        <v>208</v>
      </c>
      <c r="F4956" s="23" t="str">
        <f>HYPERLINK("https://www.spark-marketing.ru/Card/Lot/71850655", "Камера видеонаблюдения HikVision DS-2CD2723G0-IZS (2.8-12mm) купол")</f>
        <v>Камера видеонаблюдения HikVision DS-2CD2723G0-IZS (2.8-12mm) купол</v>
      </c>
      <c r="G4956" s="22" t="s">
        <v>55</v>
      </c>
      <c r="H4956" s="22" t="s">
        <v>55</v>
      </c>
      <c r="I4956" s="26">
        <v>43648.744490740697</v>
      </c>
      <c r="J4956" s="28" t="s">
        <v>52</v>
      </c>
      <c r="K4956" s="28" t="s">
        <v>52</v>
      </c>
      <c r="L4956" s="28" t="s">
        <v>52</v>
      </c>
      <c r="M4956" s="28" t="s">
        <v>52</v>
      </c>
      <c r="N4956" s="28" t="s">
        <v>52</v>
      </c>
    </row>
    <row r="4957" spans="1:14" x14ac:dyDescent="0.15">
      <c r="A4957" s="23" t="str">
        <f t="shared" si="221"/>
        <v>АО "ТОРГОВЫЙ ДОМ "ПЕРЕКРЕСТОК"</v>
      </c>
      <c r="B4957" s="24" t="s">
        <v>6999</v>
      </c>
      <c r="C4957" s="25">
        <v>0</v>
      </c>
      <c r="D4957" s="22" t="s">
        <v>7000</v>
      </c>
      <c r="E4957" s="22" t="s">
        <v>208</v>
      </c>
      <c r="F4957" s="23" t="str">
        <f>HYPERLINK("https://www.spark-marketing.ru/Card/Lot/71849986", "Камера видеонаблюдения HikVision DS-2CD2822F (B)")</f>
        <v>Камера видеонаблюдения HikVision DS-2CD2822F (B)</v>
      </c>
      <c r="G4957" s="22" t="s">
        <v>55</v>
      </c>
      <c r="H4957" s="22" t="s">
        <v>55</v>
      </c>
      <c r="I4957" s="26">
        <v>43648.7443055556</v>
      </c>
      <c r="J4957" s="28" t="s">
        <v>52</v>
      </c>
      <c r="K4957" s="28" t="s">
        <v>52</v>
      </c>
      <c r="L4957" s="28" t="s">
        <v>52</v>
      </c>
      <c r="M4957" s="28" t="s">
        <v>52</v>
      </c>
      <c r="N4957" s="28" t="s">
        <v>52</v>
      </c>
    </row>
    <row r="4958" spans="1:14" x14ac:dyDescent="0.15">
      <c r="A4958" s="23" t="str">
        <f t="shared" si="221"/>
        <v>АО "ТОРГОВЫЙ ДОМ "ПЕРЕКРЕСТОК"</v>
      </c>
      <c r="B4958" s="24" t="s">
        <v>6999</v>
      </c>
      <c r="C4958" s="25">
        <v>0</v>
      </c>
      <c r="D4958" s="22" t="s">
        <v>7001</v>
      </c>
      <c r="E4958" s="22" t="s">
        <v>208</v>
      </c>
      <c r="F4958" s="23" t="str">
        <f>HYPERLINK("https://www.spark-marketing.ru/Card/Lot/71852447", "LTV-KBD-02-HV (NEW) Пульт управления видеор.LTV серии LTV-DVR-xxxx-HV, возможно прямое управление PTZ камерами, RS-485, 12В (DC)")</f>
        <v>LTV-KBD-02-HV (NEW) Пульт управления видеор.LTV серии LTV-DVR-xxxx-HV, возможно прямое управление PTZ камерами, RS-485, 12В (DC)</v>
      </c>
      <c r="G4958" s="22" t="s">
        <v>55</v>
      </c>
      <c r="H4958" s="22" t="s">
        <v>55</v>
      </c>
      <c r="I4958" s="26">
        <v>43648.7449305556</v>
      </c>
      <c r="J4958" s="28" t="s">
        <v>52</v>
      </c>
      <c r="K4958" s="28" t="s">
        <v>52</v>
      </c>
      <c r="L4958" s="28" t="s">
        <v>52</v>
      </c>
      <c r="M4958" s="28" t="s">
        <v>52</v>
      </c>
      <c r="N4958" s="28" t="s">
        <v>52</v>
      </c>
    </row>
    <row r="4959" spans="1:14" x14ac:dyDescent="0.15">
      <c r="A4959" s="23" t="str">
        <f t="shared" si="221"/>
        <v>АО "ТОРГОВЫЙ ДОМ "ПЕРЕКРЕСТОК"</v>
      </c>
      <c r="B4959" s="24" t="s">
        <v>6999</v>
      </c>
      <c r="C4959" s="25">
        <v>0</v>
      </c>
      <c r="D4959" s="22" t="s">
        <v>7001</v>
      </c>
      <c r="E4959" s="22" t="s">
        <v>208</v>
      </c>
      <c r="F4959" s="23" t="str">
        <f>HYPERLINK("https://www.spark-marketing.ru/Card/Lot/71852456", "AC-TA261IR2 Бюджетная уличная 1МП TVI видеокамера в компактном кожухе. Разрешение 720P, матрица 1/4"" CMOS, Цвет: 0.1 Лк (F1.8) / ЧБ: 0 Лк (ИК вкл.), объектив 3.6мм, режим «День/Ночь», механический ИК-фильтр, питание 12В DC, потребляемый ток 500мА, -...")</f>
        <v>AC-TA261IR2 Бюджетная уличная 1МП TVI видеокамера в компактном кожухе. Разрешение 720P, матрица 1/4" CMOS, Цвет: 0.1 Лк (F1.8) / ЧБ: 0 Лк (ИК вкл.), объектив 3.6мм, режим «День/Ночь», механический ИК-фильтр, питание 12В DC, потребляемый ток 500мА, -...</v>
      </c>
      <c r="G4959" s="22" t="s">
        <v>55</v>
      </c>
      <c r="H4959" s="22" t="s">
        <v>55</v>
      </c>
      <c r="I4959" s="26">
        <v>43648.7449305556</v>
      </c>
      <c r="J4959" s="28" t="s">
        <v>52</v>
      </c>
      <c r="K4959" s="28" t="s">
        <v>52</v>
      </c>
      <c r="L4959" s="28" t="s">
        <v>52</v>
      </c>
      <c r="M4959" s="28" t="s">
        <v>52</v>
      </c>
      <c r="N4959" s="28" t="s">
        <v>52</v>
      </c>
    </row>
    <row r="4960" spans="1:14" x14ac:dyDescent="0.15">
      <c r="A4960" s="23" t="str">
        <f t="shared" si="221"/>
        <v>АО "ТОРГОВЫЙ ДОМ "ПЕРЕКРЕСТОК"</v>
      </c>
      <c r="B4960" s="24" t="s">
        <v>6999</v>
      </c>
      <c r="C4960" s="25">
        <v>0</v>
      </c>
      <c r="D4960" s="22" t="s">
        <v>7007</v>
      </c>
      <c r="E4960" s="22" t="s">
        <v>208</v>
      </c>
      <c r="F4960" s="23" t="str">
        <f>HYPERLINK("https://www.spark-marketing.ru/Card/Lot/71852634", "LTV CTM-110 22, Видеокамера TVI внутреняя, купольная поворотная, 720P, DWDR, 23-x трансфокатор, внутреняя, IP40, -10°С+50°C, 24В")</f>
        <v>LTV CTM-110 22, Видеокамера TVI внутреняя, купольная поворотная, 720P, DWDR, 23-x трансфокатор, внутреняя, IP40, -10°С+50°C, 24В</v>
      </c>
      <c r="G4960" s="22" t="s">
        <v>55</v>
      </c>
      <c r="H4960" s="22" t="s">
        <v>55</v>
      </c>
      <c r="I4960" s="26">
        <v>43648.745219907403</v>
      </c>
      <c r="J4960" s="28" t="s">
        <v>52</v>
      </c>
      <c r="K4960" s="28" t="s">
        <v>52</v>
      </c>
      <c r="L4960" s="28" t="s">
        <v>52</v>
      </c>
      <c r="M4960" s="28" t="s">
        <v>52</v>
      </c>
      <c r="N4960" s="28" t="s">
        <v>52</v>
      </c>
    </row>
    <row r="4961" spans="1:14" x14ac:dyDescent="0.15">
      <c r="A4961" s="23" t="str">
        <f t="shared" si="221"/>
        <v>АО "ТОРГОВЫЙ ДОМ "ПЕРЕКРЕСТОК"</v>
      </c>
      <c r="B4961" s="24" t="s">
        <v>6999</v>
      </c>
      <c r="C4961" s="25">
        <v>0</v>
      </c>
      <c r="D4961" s="22" t="s">
        <v>7006</v>
      </c>
      <c r="E4961" s="22" t="s">
        <v>208</v>
      </c>
      <c r="F4961" s="23" t="str">
        <f>HYPERLINK("https://www.spark-marketing.ru/Card/Lot/71850660", "Камера видеонаблюдения HikVision DS-2CE16D8T-IT3ZE HD-TVI motor-zoom")</f>
        <v>Камера видеонаблюдения HikVision DS-2CE16D8T-IT3ZE HD-TVI motor-zoom</v>
      </c>
      <c r="G4961" s="22" t="s">
        <v>55</v>
      </c>
      <c r="H4961" s="22" t="s">
        <v>55</v>
      </c>
      <c r="I4961" s="26">
        <v>43648.744490740697</v>
      </c>
      <c r="J4961" s="28" t="s">
        <v>52</v>
      </c>
      <c r="K4961" s="28" t="s">
        <v>52</v>
      </c>
      <c r="L4961" s="28" t="s">
        <v>52</v>
      </c>
      <c r="M4961" s="28" t="s">
        <v>52</v>
      </c>
      <c r="N4961" s="28" t="s">
        <v>52</v>
      </c>
    </row>
    <row r="4962" spans="1:14" x14ac:dyDescent="0.15">
      <c r="A4962" s="23" t="str">
        <f t="shared" si="221"/>
        <v>АО "ТОРГОВЫЙ ДОМ "ПЕРЕКРЕСТОК"</v>
      </c>
      <c r="B4962" s="24" t="s">
        <v>6999</v>
      </c>
      <c r="C4962" s="25">
        <v>0</v>
      </c>
      <c r="D4962" s="22" t="s">
        <v>7001</v>
      </c>
      <c r="E4962" s="22" t="s">
        <v>208</v>
      </c>
      <c r="F4962" s="23" t="str">
        <f>HYPERLINK("https://www.spark-marketing.ru/Card/Lot/71852429", "LTV CXM-220 64 Видеокамера TVI/AHD/CVI, PTZ уличная, 1080p, WDR, 3D DNR, BLC, EIS, объектив 4.8-153mm х30, ИК до 150м, IP66, -40°С+65°C, 24В (AC)")</f>
        <v>LTV CXM-220 64 Видеокамера TVI/AHD/CVI, PTZ уличная, 1080p, WDR, 3D DNR, BLC, EIS, объектив 4.8-153mm х30, ИК до 150м, IP66, -40°С+65°C, 24В (AC)</v>
      </c>
      <c r="G4962" s="22" t="s">
        <v>55</v>
      </c>
      <c r="H4962" s="22" t="s">
        <v>55</v>
      </c>
      <c r="I4962" s="26">
        <v>43648.7449305556</v>
      </c>
      <c r="J4962" s="28" t="s">
        <v>52</v>
      </c>
      <c r="K4962" s="28" t="s">
        <v>52</v>
      </c>
      <c r="L4962" s="28" t="s">
        <v>52</v>
      </c>
      <c r="M4962" s="28" t="s">
        <v>52</v>
      </c>
      <c r="N4962" s="28" t="s">
        <v>52</v>
      </c>
    </row>
    <row r="4963" spans="1:14" x14ac:dyDescent="0.15">
      <c r="A4963" s="23" t="str">
        <f t="shared" si="221"/>
        <v>АО "ТОРГОВЫЙ ДОМ "ПЕРЕКРЕСТОК"</v>
      </c>
      <c r="B4963" s="24" t="s">
        <v>6999</v>
      </c>
      <c r="C4963" s="25">
        <v>0</v>
      </c>
      <c r="D4963" s="22" t="s">
        <v>7001</v>
      </c>
      <c r="E4963" s="22" t="s">
        <v>208</v>
      </c>
      <c r="F4963" s="23" t="str">
        <f>HYPERLINK("https://www.spark-marketing.ru/Card/Lot/71852538", "Разъем питания видеокамеры")</f>
        <v>Разъем питания видеокамеры</v>
      </c>
      <c r="G4963" s="22" t="s">
        <v>55</v>
      </c>
      <c r="H4963" s="22" t="s">
        <v>55</v>
      </c>
      <c r="I4963" s="26">
        <v>43648.7449305556</v>
      </c>
      <c r="J4963" s="28" t="s">
        <v>52</v>
      </c>
      <c r="K4963" s="28" t="s">
        <v>52</v>
      </c>
      <c r="L4963" s="28" t="s">
        <v>52</v>
      </c>
      <c r="M4963" s="28" t="s">
        <v>52</v>
      </c>
      <c r="N4963" s="28" t="s">
        <v>52</v>
      </c>
    </row>
    <row r="4964" spans="1:14" x14ac:dyDescent="0.15">
      <c r="A4964" s="23" t="str">
        <f t="shared" si="221"/>
        <v>АО "ТОРГОВЫЙ ДОМ "ПЕРЕКРЕСТОК"</v>
      </c>
      <c r="B4964" s="24" t="s">
        <v>6999</v>
      </c>
      <c r="C4964" s="25">
        <v>0</v>
      </c>
      <c r="D4964" s="22" t="s">
        <v>7004</v>
      </c>
      <c r="E4964" s="22" t="s">
        <v>208</v>
      </c>
      <c r="F4964" s="23" t="str">
        <f>HYPERLINK("https://www.spark-marketing.ru/Card/Lot/71852745", "Камера видеонаблюдения HikVision DS-2CD2623G0-IZS (2.8-12mm) motor-zoom")</f>
        <v>Камера видеонаблюдения HikVision DS-2CD2623G0-IZS (2.8-12mm) motor-zoom</v>
      </c>
      <c r="G4964" s="22" t="s">
        <v>55</v>
      </c>
      <c r="H4964" s="22" t="s">
        <v>55</v>
      </c>
      <c r="I4964" s="26">
        <v>43648.745347222197</v>
      </c>
      <c r="J4964" s="28" t="s">
        <v>52</v>
      </c>
      <c r="K4964" s="28" t="s">
        <v>52</v>
      </c>
      <c r="L4964" s="28" t="s">
        <v>52</v>
      </c>
      <c r="M4964" s="28" t="s">
        <v>52</v>
      </c>
      <c r="N4964" s="28" t="s">
        <v>52</v>
      </c>
    </row>
    <row r="4965" spans="1:14" x14ac:dyDescent="0.15">
      <c r="A4965" s="23" t="str">
        <f t="shared" si="221"/>
        <v>АО "ТОРГОВЫЙ ДОМ "ПЕРЕКРЕСТОК"</v>
      </c>
      <c r="B4965" s="24" t="s">
        <v>6999</v>
      </c>
      <c r="C4965" s="25">
        <v>0</v>
      </c>
      <c r="D4965" s="22" t="s">
        <v>7005</v>
      </c>
      <c r="E4965" s="22" t="s">
        <v>208</v>
      </c>
      <c r="F4965" s="23" t="str">
        <f>HYPERLINK("https://www.spark-marketing.ru/Card/Lot/71854019", "TRASSIR NeiroStation 2V (Сервер видеоналитики, 2*GPU)")</f>
        <v>TRASSIR NeiroStation 2V (Сервер видеоналитики, 2*GPU)</v>
      </c>
      <c r="G4965" s="22" t="s">
        <v>55</v>
      </c>
      <c r="H4965" s="22" t="s">
        <v>55</v>
      </c>
      <c r="I4965" s="26">
        <v>43648.745069444398</v>
      </c>
      <c r="J4965" s="28" t="s">
        <v>52</v>
      </c>
      <c r="K4965" s="28" t="s">
        <v>52</v>
      </c>
      <c r="L4965" s="28" t="s">
        <v>52</v>
      </c>
      <c r="M4965" s="28" t="s">
        <v>52</v>
      </c>
      <c r="N4965" s="28" t="s">
        <v>52</v>
      </c>
    </row>
    <row r="4966" spans="1:14" x14ac:dyDescent="0.15">
      <c r="A4966" s="23" t="str">
        <f t="shared" si="221"/>
        <v>АО "ТОРГОВЫЙ ДОМ "ПЕРЕКРЕСТОК"</v>
      </c>
      <c r="B4966" s="24" t="s">
        <v>6999</v>
      </c>
      <c r="C4966" s="25">
        <v>0</v>
      </c>
      <c r="D4966" s="22" t="s">
        <v>7007</v>
      </c>
      <c r="E4966" s="22" t="s">
        <v>208</v>
      </c>
      <c r="F4966" s="23" t="str">
        <f>HYPERLINK("https://www.spark-marketing.ru/Card/Lot/71852849", "AC-TA381IR2 Компактная купольная 2МП TVI видеокамера. Разрешение 1080P, матрица 1/2.8"" CMOS SONY, Цвет: 0.05 Лк (F1.8) / ЧБ: 0 Лк (ИК вкл.), объектив 3.6мм, режим «День/Ночь», механический ИК-фильтр, 3D-NR, DWDR, OSD, питание 12В DC, потребляемый то...")</f>
        <v>AC-TA381IR2 Компактная купольная 2МП TVI видеокамера. Разрешение 1080P, матрица 1/2.8" CMOS SONY, Цвет: 0.05 Лк (F1.8) / ЧБ: 0 Лк (ИК вкл.), объектив 3.6мм, режим «День/Ночь», механический ИК-фильтр, 3D-NR, DWDR, OSD, питание 12В DC, потребляемый то...</v>
      </c>
      <c r="G4966" s="22" t="s">
        <v>55</v>
      </c>
      <c r="H4966" s="22" t="s">
        <v>55</v>
      </c>
      <c r="I4966" s="26">
        <v>43648.745219907403</v>
      </c>
      <c r="J4966" s="28" t="s">
        <v>52</v>
      </c>
      <c r="K4966" s="28" t="s">
        <v>52</v>
      </c>
      <c r="L4966" s="28" t="s">
        <v>52</v>
      </c>
      <c r="M4966" s="28" t="s">
        <v>52</v>
      </c>
      <c r="N4966" s="28" t="s">
        <v>52</v>
      </c>
    </row>
    <row r="4967" spans="1:14" x14ac:dyDescent="0.15">
      <c r="A4967" s="23" t="str">
        <f t="shared" si="221"/>
        <v>АО "ТОРГОВЫЙ ДОМ "ПЕРЕКРЕСТОК"</v>
      </c>
      <c r="B4967" s="24" t="s">
        <v>6999</v>
      </c>
      <c r="C4967" s="25">
        <v>0</v>
      </c>
      <c r="D4967" s="22" t="s">
        <v>7001</v>
      </c>
      <c r="E4967" s="22" t="s">
        <v>208</v>
      </c>
      <c r="F4967" s="23" t="str">
        <f>HYPERLINK("https://www.spark-marketing.ru/Card/Lot/71852428", "LTV CTM-110 22. Видеокамера TVI, купольная поворотная, 720P, DWDR, 23-x трансфокатор, внутренняя, IP40, -10°С +50°C, 24В АС")</f>
        <v>LTV CTM-110 22. Видеокамера TVI, купольная поворотная, 720P, DWDR, 23-x трансфокатор, внутренняя, IP40, -10°С +50°C, 24В АС</v>
      </c>
      <c r="G4967" s="22" t="s">
        <v>55</v>
      </c>
      <c r="H4967" s="22" t="s">
        <v>55</v>
      </c>
      <c r="I4967" s="26">
        <v>43648.7449305556</v>
      </c>
      <c r="J4967" s="28" t="s">
        <v>52</v>
      </c>
      <c r="K4967" s="28" t="s">
        <v>52</v>
      </c>
      <c r="L4967" s="28" t="s">
        <v>52</v>
      </c>
      <c r="M4967" s="28" t="s">
        <v>52</v>
      </c>
      <c r="N4967" s="28" t="s">
        <v>52</v>
      </c>
    </row>
    <row r="4968" spans="1:14" x14ac:dyDescent="0.15">
      <c r="A4968" s="23" t="str">
        <f t="shared" si="221"/>
        <v>АО "ТОРГОВЫЙ ДОМ "ПЕРЕКРЕСТОК"</v>
      </c>
      <c r="B4968" s="24" t="s">
        <v>6999</v>
      </c>
      <c r="C4968" s="25">
        <v>0</v>
      </c>
      <c r="D4968" s="22" t="s">
        <v>7004</v>
      </c>
      <c r="E4968" s="22" t="s">
        <v>208</v>
      </c>
      <c r="F4968" s="23" t="str">
        <f>HYPERLINK("https://www.spark-marketing.ru/Card/Lot/71852801", "Демонтаж Системы видеонаблюдения (включая кабельные трассы)")</f>
        <v>Демонтаж Системы видеонаблюдения (включая кабельные трассы)</v>
      </c>
      <c r="G4968" s="22" t="s">
        <v>55</v>
      </c>
      <c r="H4968" s="22" t="s">
        <v>55</v>
      </c>
      <c r="I4968" s="26">
        <v>43648.745347222197</v>
      </c>
      <c r="J4968" s="28" t="s">
        <v>52</v>
      </c>
      <c r="K4968" s="28" t="s">
        <v>52</v>
      </c>
      <c r="L4968" s="28" t="s">
        <v>52</v>
      </c>
      <c r="M4968" s="28" t="s">
        <v>52</v>
      </c>
      <c r="N4968" s="28" t="s">
        <v>52</v>
      </c>
    </row>
    <row r="4969" spans="1:14" x14ac:dyDescent="0.15">
      <c r="A4969" s="23" t="str">
        <f t="shared" si="221"/>
        <v>АО "ТОРГОВЫЙ ДОМ "ПЕРЕКРЕСТОК"</v>
      </c>
      <c r="B4969" s="24" t="s">
        <v>6999</v>
      </c>
      <c r="C4969" s="25">
        <v>0</v>
      </c>
      <c r="D4969" s="22" t="s">
        <v>7006</v>
      </c>
      <c r="E4969" s="22" t="s">
        <v>208</v>
      </c>
      <c r="F4969" s="23" t="str">
        <f>HYPERLINK("https://www.spark-marketing.ru/Card/Lot/71851165", "Монтаж, подключение, настройка видеокамеры")</f>
        <v>Монтаж, подключение, настройка видеокамеры</v>
      </c>
      <c r="G4969" s="22" t="s">
        <v>55</v>
      </c>
      <c r="H4969" s="22" t="s">
        <v>55</v>
      </c>
      <c r="I4969" s="26">
        <v>43648.744490740697</v>
      </c>
      <c r="J4969" s="28" t="s">
        <v>52</v>
      </c>
      <c r="K4969" s="28" t="s">
        <v>52</v>
      </c>
      <c r="L4969" s="28" t="s">
        <v>52</v>
      </c>
      <c r="M4969" s="28" t="s">
        <v>52</v>
      </c>
      <c r="N4969" s="28" t="s">
        <v>52</v>
      </c>
    </row>
    <row r="4970" spans="1:14" x14ac:dyDescent="0.15">
      <c r="A4970" s="23" t="str">
        <f t="shared" si="221"/>
        <v>АО "ТОРГОВЫЙ ДОМ "ПЕРЕКРЕСТОК"</v>
      </c>
      <c r="B4970" s="24" t="s">
        <v>6999</v>
      </c>
      <c r="C4970" s="25">
        <v>0</v>
      </c>
      <c r="D4970" s="22" t="s">
        <v>7005</v>
      </c>
      <c r="E4970" s="22" t="s">
        <v>208</v>
      </c>
      <c r="F4970" s="23" t="str">
        <f>HYPERLINK("https://www.spark-marketing.ru/Card/Lot/71854238", "ПО ВидеоМаркет (сервер)")</f>
        <v>ПО ВидеоМаркет (сервер)</v>
      </c>
      <c r="G4970" s="22" t="s">
        <v>55</v>
      </c>
      <c r="H4970" s="22" t="s">
        <v>55</v>
      </c>
      <c r="I4970" s="26">
        <v>43648.745069444398</v>
      </c>
      <c r="J4970" s="28" t="s">
        <v>52</v>
      </c>
      <c r="K4970" s="28" t="s">
        <v>52</v>
      </c>
      <c r="L4970" s="28" t="s">
        <v>52</v>
      </c>
      <c r="M4970" s="28" t="s">
        <v>52</v>
      </c>
      <c r="N4970" s="28" t="s">
        <v>52</v>
      </c>
    </row>
    <row r="4971" spans="1:14" x14ac:dyDescent="0.15">
      <c r="A4971" s="23" t="str">
        <f t="shared" si="221"/>
        <v>АО "ТОРГОВЫЙ ДОМ "ПЕРЕКРЕСТОК"</v>
      </c>
      <c r="B4971" s="24" t="s">
        <v>6999</v>
      </c>
      <c r="C4971" s="25">
        <v>0</v>
      </c>
      <c r="D4971" s="22" t="s">
        <v>7005</v>
      </c>
      <c r="E4971" s="22" t="s">
        <v>208</v>
      </c>
      <c r="F4971" s="23" t="str">
        <f>HYPERLINK("https://www.spark-marketing.ru/Card/Lot/71852836", "Разъем питания видеокамеры")</f>
        <v>Разъем питания видеокамеры</v>
      </c>
      <c r="G4971" s="22" t="s">
        <v>55</v>
      </c>
      <c r="H4971" s="22" t="s">
        <v>55</v>
      </c>
      <c r="I4971" s="26">
        <v>43648.745069444398</v>
      </c>
      <c r="J4971" s="28" t="s">
        <v>52</v>
      </c>
      <c r="K4971" s="28" t="s">
        <v>52</v>
      </c>
      <c r="L4971" s="28" t="s">
        <v>52</v>
      </c>
      <c r="M4971" s="28" t="s">
        <v>52</v>
      </c>
      <c r="N4971" s="28" t="s">
        <v>52</v>
      </c>
    </row>
    <row r="4972" spans="1:14" x14ac:dyDescent="0.15">
      <c r="A4972" s="23" t="str">
        <f t="shared" si="221"/>
        <v>АО "ТОРГОВЫЙ ДОМ "ПЕРЕКРЕСТОК"</v>
      </c>
      <c r="B4972" s="24" t="s">
        <v>6999</v>
      </c>
      <c r="C4972" s="25">
        <v>0</v>
      </c>
      <c r="D4972" s="22" t="s">
        <v>7008</v>
      </c>
      <c r="E4972" s="22" t="s">
        <v>208</v>
      </c>
      <c r="F4972" s="23" t="str">
        <f>HYPERLINK("https://www.spark-marketing.ru/Card/Lot/71854726", "Сервер контроля кассовых операций Видеомаркет (Core i5/8192Mb/250Gb/Lan 1000/4xUSB 2.0/CardReader 4x1/Mb+Kb, ОС Win 7/10 pro, Видеокарта NVIDIA GeForce GT 730) комплект ""клавиатура-""мышь""")</f>
        <v>Сервер контроля кассовых операций Видеомаркет (Core i5/8192Mb/250Gb/Lan 1000/4xUSB 2.0/CardReader 4x1/Mb+Kb, ОС Win 7/10 pro, Видеокарта NVIDIA GeForce GT 730) комплект "клавиатура-"мышь"</v>
      </c>
      <c r="G4972" s="22" t="s">
        <v>55</v>
      </c>
      <c r="H4972" s="22" t="s">
        <v>55</v>
      </c>
      <c r="I4972" s="26">
        <v>43648.745509259301</v>
      </c>
      <c r="J4972" s="28" t="s">
        <v>52</v>
      </c>
      <c r="K4972" s="28" t="s">
        <v>52</v>
      </c>
      <c r="L4972" s="28" t="s">
        <v>52</v>
      </c>
      <c r="M4972" s="28" t="s">
        <v>52</v>
      </c>
      <c r="N4972" s="28" t="s">
        <v>52</v>
      </c>
    </row>
    <row r="4973" spans="1:14" x14ac:dyDescent="0.15">
      <c r="A4973" s="23" t="str">
        <f t="shared" si="221"/>
        <v>АО "ТОРГОВЫЙ ДОМ "ПЕРЕКРЕСТОК"</v>
      </c>
      <c r="B4973" s="24" t="s">
        <v>6999</v>
      </c>
      <c r="C4973" s="25">
        <v>0</v>
      </c>
      <c r="D4973" s="22" t="s">
        <v>7002</v>
      </c>
      <c r="E4973" s="22" t="s">
        <v>208</v>
      </c>
      <c r="F4973" s="23" t="str">
        <f>HYPERLINK("https://www.spark-marketing.ru/Card/Lot/71851240", "AC-TA283IR3 Уличная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OSD,...")</f>
        <v>AC-TA283IR3 Уличная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OSD,...</v>
      </c>
      <c r="G4973" s="22" t="s">
        <v>55</v>
      </c>
      <c r="H4973" s="22" t="s">
        <v>55</v>
      </c>
      <c r="I4973" s="26">
        <v>43648.744641203702</v>
      </c>
      <c r="J4973" s="28" t="s">
        <v>52</v>
      </c>
      <c r="K4973" s="28" t="s">
        <v>52</v>
      </c>
      <c r="L4973" s="28" t="s">
        <v>52</v>
      </c>
      <c r="M4973" s="28" t="s">
        <v>52</v>
      </c>
      <c r="N4973" s="28" t="s">
        <v>52</v>
      </c>
    </row>
    <row r="4974" spans="1:14" x14ac:dyDescent="0.15">
      <c r="A4974" s="23" t="str">
        <f t="shared" si="221"/>
        <v>АО "ТОРГОВЫЙ ДОМ "ПЕРЕКРЕСТОК"</v>
      </c>
      <c r="B4974" s="24" t="s">
        <v>6999</v>
      </c>
      <c r="C4974" s="25">
        <v>0</v>
      </c>
      <c r="D4974" s="22" t="s">
        <v>7007</v>
      </c>
      <c r="E4974" s="22" t="s">
        <v>208</v>
      </c>
      <c r="F4974" s="23" t="str">
        <f>HYPERLINK("https://www.spark-marketing.ru/Card/Lot/71853701", "Видеокамера бытовая, с перезаписываемой памятью (Flash), Full HD 1080p, Режим ночной съемки, Поддержка карт памяти, SD, SDHC, SDXC")</f>
        <v>Видеокамера бытовая, с перезаписываемой памятью (Flash), Full HD 1080p, Режим ночной съемки, Поддержка карт памяти, SD, SDHC, SDXC</v>
      </c>
      <c r="G4974" s="22" t="s">
        <v>55</v>
      </c>
      <c r="H4974" s="22" t="s">
        <v>55</v>
      </c>
      <c r="I4974" s="26">
        <v>43648.745219907403</v>
      </c>
      <c r="J4974" s="28" t="s">
        <v>52</v>
      </c>
      <c r="K4974" s="28" t="s">
        <v>52</v>
      </c>
      <c r="L4974" s="28" t="s">
        <v>52</v>
      </c>
      <c r="M4974" s="28" t="s">
        <v>52</v>
      </c>
      <c r="N4974" s="28" t="s">
        <v>52</v>
      </c>
    </row>
    <row r="4975" spans="1:14" x14ac:dyDescent="0.15">
      <c r="A4975" s="23" t="str">
        <f t="shared" si="221"/>
        <v>АО "ТОРГОВЫЙ ДОМ "ПЕРЕКРЕСТОК"</v>
      </c>
      <c r="B4975" s="24" t="s">
        <v>6999</v>
      </c>
      <c r="C4975" s="25">
        <v>0</v>
      </c>
      <c r="D4975" s="22" t="s">
        <v>7005</v>
      </c>
      <c r="E4975" s="22" t="s">
        <v>208</v>
      </c>
      <c r="F4975" s="23" t="str">
        <f>HYPERLINK("https://www.spark-marketing.ru/Card/Lot/71854363", "LTV-KBD-02-HV (NEW) Пульт управления видеор.LTV серии LTV-DVR-xxxx-HV, возможно прямое управление PTZ камерами, RS-485, 12В (DC)")</f>
        <v>LTV-KBD-02-HV (NEW) Пульт управления видеор.LTV серии LTV-DVR-xxxx-HV, возможно прямое управление PTZ камерами, RS-485, 12В (DC)</v>
      </c>
      <c r="G4975" s="22" t="s">
        <v>55</v>
      </c>
      <c r="H4975" s="22" t="s">
        <v>55</v>
      </c>
      <c r="I4975" s="26">
        <v>43648.745069444398</v>
      </c>
      <c r="J4975" s="28" t="s">
        <v>52</v>
      </c>
      <c r="K4975" s="28" t="s">
        <v>52</v>
      </c>
      <c r="L4975" s="28" t="s">
        <v>52</v>
      </c>
      <c r="M4975" s="28" t="s">
        <v>52</v>
      </c>
      <c r="N4975" s="28" t="s">
        <v>52</v>
      </c>
    </row>
    <row r="4976" spans="1:14" x14ac:dyDescent="0.15">
      <c r="A4976" s="23" t="str">
        <f t="shared" si="221"/>
        <v>АО "ТОРГОВЫЙ ДОМ "ПЕРЕКРЕСТОК"</v>
      </c>
      <c r="B4976" s="24" t="s">
        <v>6999</v>
      </c>
      <c r="C4976" s="25">
        <v>0</v>
      </c>
      <c r="D4976" s="22" t="s">
        <v>7003</v>
      </c>
      <c r="E4976" s="22" t="s">
        <v>208</v>
      </c>
      <c r="F4976" s="23" t="str">
        <f>HYPERLINK("https://www.spark-marketing.ru/Card/Lot/71851739", "AC-TA281IR2 Уличная 2МП TVI видеокамера в компактном кожухе. Разрешение 1080P, матрица 1/2.8"" CMOS SONY, Цвет: 0.05 Лк (F1.8) / ЧБ: 0 Лк (ИК вкл.), объектив 3.6мм, режим «День/Ночь», механический ИК-фильтр, 3D-NR, DWDR, OSD, питание 12В DC, потребля...")</f>
        <v>AC-TA281IR2 Уличная 2МП TVI видеокамера в компактном кожухе. Разрешение 1080P, матрица 1/2.8" CMOS SONY, Цвет: 0.05 Лк (F1.8) / ЧБ: 0 Лк (ИК вкл.), объектив 3.6мм, режим «День/Ночь», механический ИК-фильтр, 3D-NR, DWDR, OSD, питание 12В DC, потребля...</v>
      </c>
      <c r="G4976" s="22" t="s">
        <v>55</v>
      </c>
      <c r="H4976" s="22" t="s">
        <v>55</v>
      </c>
      <c r="I4976" s="26">
        <v>43648.744791666701</v>
      </c>
      <c r="J4976" s="28" t="s">
        <v>52</v>
      </c>
      <c r="K4976" s="28" t="s">
        <v>52</v>
      </c>
      <c r="L4976" s="28" t="s">
        <v>52</v>
      </c>
      <c r="M4976" s="28" t="s">
        <v>52</v>
      </c>
      <c r="N4976" s="28" t="s">
        <v>52</v>
      </c>
    </row>
    <row r="4977" spans="1:14" x14ac:dyDescent="0.15">
      <c r="A4977" s="23" t="str">
        <f t="shared" ref="A4977:A5008" si="222">HYPERLINK("https://www.spark-marketing.ru/Card/Person/1887298", "АО ""ТОРГОВЫЙ ДОМ ""ПЕРЕКРЕСТОК""")</f>
        <v>АО "ТОРГОВЫЙ ДОМ "ПЕРЕКРЕСТОК"</v>
      </c>
      <c r="B4977" s="24" t="s">
        <v>6999</v>
      </c>
      <c r="C4977" s="25">
        <v>0</v>
      </c>
      <c r="D4977" s="22" t="s">
        <v>7005</v>
      </c>
      <c r="E4977" s="22" t="s">
        <v>208</v>
      </c>
      <c r="F4977" s="23" t="str">
        <f>HYPERLINK("https://www.spark-marketing.ru/Card/Lot/71852590", "AC-TA383IR2 Купольная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f>
        <v>AC-TA383IR2 Купольная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v>
      </c>
      <c r="G4977" s="22" t="s">
        <v>55</v>
      </c>
      <c r="H4977" s="22" t="s">
        <v>55</v>
      </c>
      <c r="I4977" s="26">
        <v>43648.745069444398</v>
      </c>
      <c r="J4977" s="28" t="s">
        <v>52</v>
      </c>
      <c r="K4977" s="28" t="s">
        <v>52</v>
      </c>
      <c r="L4977" s="28" t="s">
        <v>52</v>
      </c>
      <c r="M4977" s="28" t="s">
        <v>52</v>
      </c>
      <c r="N4977" s="28" t="s">
        <v>52</v>
      </c>
    </row>
    <row r="4978" spans="1:14" x14ac:dyDescent="0.15">
      <c r="A4978" s="23" t="str">
        <f t="shared" si="222"/>
        <v>АО "ТОРГОВЫЙ ДОМ "ПЕРЕКРЕСТОК"</v>
      </c>
      <c r="B4978" s="24" t="s">
        <v>6999</v>
      </c>
      <c r="C4978" s="25">
        <v>0</v>
      </c>
      <c r="D4978" s="22" t="s">
        <v>7006</v>
      </c>
      <c r="E4978" s="22" t="s">
        <v>208</v>
      </c>
      <c r="F4978" s="23" t="str">
        <f>HYPERLINK("https://www.spark-marketing.ru/Card/Lot/71850664", "Камера видеонаблюдения HikVision DS-2CD2125FWD-IS")</f>
        <v>Камера видеонаблюдения HikVision DS-2CD2125FWD-IS</v>
      </c>
      <c r="G4978" s="22" t="s">
        <v>55</v>
      </c>
      <c r="H4978" s="22" t="s">
        <v>55</v>
      </c>
      <c r="I4978" s="26">
        <v>43648.744490740697</v>
      </c>
      <c r="J4978" s="28" t="s">
        <v>52</v>
      </c>
      <c r="K4978" s="28" t="s">
        <v>52</v>
      </c>
      <c r="L4978" s="28" t="s">
        <v>52</v>
      </c>
      <c r="M4978" s="28" t="s">
        <v>52</v>
      </c>
      <c r="N4978" s="28" t="s">
        <v>52</v>
      </c>
    </row>
    <row r="4979" spans="1:14" x14ac:dyDescent="0.15">
      <c r="A4979" s="23" t="str">
        <f t="shared" si="222"/>
        <v>АО "ТОРГОВЫЙ ДОМ "ПЕРЕКРЕСТОК"</v>
      </c>
      <c r="B4979" s="24" t="s">
        <v>6999</v>
      </c>
      <c r="C4979" s="25">
        <v>0</v>
      </c>
      <c r="D4979" s="22" t="s">
        <v>7005</v>
      </c>
      <c r="E4979" s="22" t="s">
        <v>208</v>
      </c>
      <c r="F4979" s="23" t="str">
        <f>HYPERLINK("https://www.spark-marketing.ru/Card/Lot/71852819", "Кнопка тревожная, для ручной подачи сигнала тревоги.С2000-КТ")</f>
        <v>Кнопка тревожная, для ручной подачи сигнала тревоги.С2000-КТ</v>
      </c>
      <c r="G4979" s="22" t="s">
        <v>55</v>
      </c>
      <c r="H4979" s="22" t="s">
        <v>55</v>
      </c>
      <c r="I4979" s="26">
        <v>43648.745069444398</v>
      </c>
      <c r="J4979" s="28" t="s">
        <v>52</v>
      </c>
      <c r="K4979" s="28" t="s">
        <v>52</v>
      </c>
      <c r="L4979" s="28" t="s">
        <v>52</v>
      </c>
      <c r="M4979" s="28" t="s">
        <v>52</v>
      </c>
      <c r="N4979" s="28" t="s">
        <v>52</v>
      </c>
    </row>
    <row r="4980" spans="1:14" x14ac:dyDescent="0.15">
      <c r="A4980" s="23" t="str">
        <f t="shared" si="222"/>
        <v>АО "ТОРГОВЫЙ ДОМ "ПЕРЕКРЕСТОК"</v>
      </c>
      <c r="B4980" s="24" t="s">
        <v>6999</v>
      </c>
      <c r="C4980" s="25">
        <v>0</v>
      </c>
      <c r="D4980" s="22" t="s">
        <v>7001</v>
      </c>
      <c r="E4980" s="22" t="s">
        <v>208</v>
      </c>
      <c r="F4980" s="23" t="str">
        <f>HYPERLINK("https://www.spark-marketing.ru/Card/Lot/71852462", "AC-TA283IR3 Уличная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OSD,...")</f>
        <v>AC-TA283IR3 Уличная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OSD,...</v>
      </c>
      <c r="G4980" s="22" t="s">
        <v>55</v>
      </c>
      <c r="H4980" s="22" t="s">
        <v>55</v>
      </c>
      <c r="I4980" s="26">
        <v>43648.7449305556</v>
      </c>
      <c r="J4980" s="28" t="s">
        <v>52</v>
      </c>
      <c r="K4980" s="28" t="s">
        <v>52</v>
      </c>
      <c r="L4980" s="28" t="s">
        <v>52</v>
      </c>
      <c r="M4980" s="28" t="s">
        <v>52</v>
      </c>
      <c r="N4980" s="28" t="s">
        <v>52</v>
      </c>
    </row>
    <row r="4981" spans="1:14" x14ac:dyDescent="0.15">
      <c r="A4981" s="23" t="str">
        <f t="shared" si="222"/>
        <v>АО "ТОРГОВЫЙ ДОМ "ПЕРЕКРЕСТОК"</v>
      </c>
      <c r="B4981" s="24" t="s">
        <v>6999</v>
      </c>
      <c r="C4981" s="25">
        <v>0</v>
      </c>
      <c r="D4981" s="22" t="s">
        <v>7007</v>
      </c>
      <c r="E4981" s="22" t="s">
        <v>208</v>
      </c>
      <c r="F4981" s="23" t="str">
        <f>HYPERLINK("https://www.spark-marketing.ru/Card/Lot/71852720", "LTV CTM-220 64, Видеокамера TVI, PTZ уличная, 1080p, DWDR, 3D DNR, BLC, EIS , объектив 4-120mm х30, ИК до 120м, IP66, -30°С+65°C, 24В (AC)")</f>
        <v>LTV CTM-220 64, Видеокамера TVI, PTZ уличная, 1080p, DWDR, 3D DNR, BLC, EIS , объектив 4-120mm х30, ИК до 120м, IP66, -30°С+65°C, 24В (AC)</v>
      </c>
      <c r="G4981" s="22" t="s">
        <v>55</v>
      </c>
      <c r="H4981" s="22" t="s">
        <v>55</v>
      </c>
      <c r="I4981" s="26">
        <v>43648.745219907403</v>
      </c>
      <c r="J4981" s="28" t="s">
        <v>52</v>
      </c>
      <c r="K4981" s="28" t="s">
        <v>52</v>
      </c>
      <c r="L4981" s="28" t="s">
        <v>52</v>
      </c>
      <c r="M4981" s="28" t="s">
        <v>52</v>
      </c>
      <c r="N4981" s="28" t="s">
        <v>52</v>
      </c>
    </row>
    <row r="4982" spans="1:14" x14ac:dyDescent="0.15">
      <c r="A4982" s="23" t="str">
        <f t="shared" si="222"/>
        <v>АО "ТОРГОВЫЙ ДОМ "ПЕРЕКРЕСТОК"</v>
      </c>
      <c r="B4982" s="24" t="s">
        <v>6999</v>
      </c>
      <c r="C4982" s="25">
        <v>0</v>
      </c>
      <c r="D4982" s="22" t="s">
        <v>7006</v>
      </c>
      <c r="E4982" s="22" t="s">
        <v>208</v>
      </c>
      <c r="F4982" s="23" t="str">
        <f>HYPERLINK("https://www.spark-marketing.ru/Card/Lot/71850722", "TRASSIR NeiroStation 1V (Сервер видеоналитики, 1*GPU)")</f>
        <v>TRASSIR NeiroStation 1V (Сервер видеоналитики, 1*GPU)</v>
      </c>
      <c r="G4982" s="22" t="s">
        <v>55</v>
      </c>
      <c r="H4982" s="22" t="s">
        <v>55</v>
      </c>
      <c r="I4982" s="26">
        <v>43648.744490740697</v>
      </c>
      <c r="J4982" s="28" t="s">
        <v>52</v>
      </c>
      <c r="K4982" s="28" t="s">
        <v>52</v>
      </c>
      <c r="L4982" s="28" t="s">
        <v>52</v>
      </c>
      <c r="M4982" s="28" t="s">
        <v>52</v>
      </c>
      <c r="N4982" s="28" t="s">
        <v>52</v>
      </c>
    </row>
    <row r="4983" spans="1:14" x14ac:dyDescent="0.15">
      <c r="A4983" s="23" t="str">
        <f t="shared" si="222"/>
        <v>АО "ТОРГОВЫЙ ДОМ "ПЕРЕКРЕСТОК"</v>
      </c>
      <c r="B4983" s="24" t="s">
        <v>6999</v>
      </c>
      <c r="C4983" s="25">
        <v>0</v>
      </c>
      <c r="D4983" s="22" t="s">
        <v>7006</v>
      </c>
      <c r="E4983" s="22" t="s">
        <v>208</v>
      </c>
      <c r="F4983" s="23" t="str">
        <f>HYPERLINK("https://www.spark-marketing.ru/Card/Lot/71850766", "Сервер контроля кассовых операций Видеомаркет ( Intel Core i7 1150; Материнская плата ASUS H81M-K 1150; ОЗУ 2х4Gb DDR3; SSD 240Gb; Сетевая карта 10/100/1000Mbps х2; Корпус RackMount 550W; OS Windows 7/8/10 PRO-64 bit, Russian; MS SQL 2012) комплект ...")</f>
        <v>Сервер контроля кассовых операций Видеомаркет ( Intel Core i7 1150; Материнская плата ASUS H81M-K 1150; ОЗУ 2х4Gb DDR3; SSD 240Gb; Сетевая карта 10/100/1000Mbps х2; Корпус RackMount 550W; OS Windows 7/8/10 PRO-64 bit, Russian; MS SQL 2012) комплект ...</v>
      </c>
      <c r="G4983" s="22" t="s">
        <v>55</v>
      </c>
      <c r="H4983" s="22" t="s">
        <v>55</v>
      </c>
      <c r="I4983" s="26">
        <v>43648.744490740697</v>
      </c>
      <c r="J4983" s="28" t="s">
        <v>52</v>
      </c>
      <c r="K4983" s="28" t="s">
        <v>52</v>
      </c>
      <c r="L4983" s="28" t="s">
        <v>52</v>
      </c>
      <c r="M4983" s="28" t="s">
        <v>52</v>
      </c>
      <c r="N4983" s="28" t="s">
        <v>52</v>
      </c>
    </row>
    <row r="4984" spans="1:14" x14ac:dyDescent="0.15">
      <c r="A4984" s="23" t="str">
        <f t="shared" si="222"/>
        <v>АО "ТОРГОВЫЙ ДОМ "ПЕРЕКРЕСТОК"</v>
      </c>
      <c r="B4984" s="24" t="s">
        <v>6999</v>
      </c>
      <c r="C4984" s="25">
        <v>0</v>
      </c>
      <c r="D4984" s="22" t="s">
        <v>7006</v>
      </c>
      <c r="E4984" s="22" t="s">
        <v>208</v>
      </c>
      <c r="F4984" s="23" t="str">
        <f>HYPERLINK("https://www.spark-marketing.ru/Card/Lot/71851199", "Юстировка стационарной видеокамеры")</f>
        <v>Юстировка стационарной видеокамеры</v>
      </c>
      <c r="G4984" s="22" t="s">
        <v>55</v>
      </c>
      <c r="H4984" s="22" t="s">
        <v>55</v>
      </c>
      <c r="I4984" s="26">
        <v>43648.744490740697</v>
      </c>
      <c r="J4984" s="28" t="s">
        <v>52</v>
      </c>
      <c r="K4984" s="28" t="s">
        <v>52</v>
      </c>
      <c r="L4984" s="28" t="s">
        <v>52</v>
      </c>
      <c r="M4984" s="28" t="s">
        <v>52</v>
      </c>
      <c r="N4984" s="28" t="s">
        <v>52</v>
      </c>
    </row>
    <row r="4985" spans="1:14" x14ac:dyDescent="0.15">
      <c r="A4985" s="23" t="str">
        <f t="shared" si="222"/>
        <v>АО "ТОРГОВЫЙ ДОМ "ПЕРЕКРЕСТОК"</v>
      </c>
      <c r="B4985" s="24" t="s">
        <v>6999</v>
      </c>
      <c r="C4985" s="25">
        <v>0</v>
      </c>
      <c r="D4985" s="22" t="s">
        <v>7004</v>
      </c>
      <c r="E4985" s="22" t="s">
        <v>208</v>
      </c>
      <c r="F4985" s="23" t="str">
        <f>HYPERLINK("https://www.spark-marketing.ru/Card/Lot/71853113", "LTV CTM-110 22. Видеокамера TVI, купольная поворотная, 720P, DWDR, 23-x трансфокатор, внутренняя, IP40, -10°С +50°C, 24В АС")</f>
        <v>LTV CTM-110 22. Видеокамера TVI, купольная поворотная, 720P, DWDR, 23-x трансфокатор, внутренняя, IP40, -10°С +50°C, 24В АС</v>
      </c>
      <c r="G4985" s="22" t="s">
        <v>55</v>
      </c>
      <c r="H4985" s="22" t="s">
        <v>55</v>
      </c>
      <c r="I4985" s="26">
        <v>43648.745347222197</v>
      </c>
      <c r="J4985" s="28" t="s">
        <v>52</v>
      </c>
      <c r="K4985" s="28" t="s">
        <v>52</v>
      </c>
      <c r="L4985" s="28" t="s">
        <v>52</v>
      </c>
      <c r="M4985" s="28" t="s">
        <v>52</v>
      </c>
      <c r="N4985" s="28" t="s">
        <v>52</v>
      </c>
    </row>
    <row r="4986" spans="1:14" x14ac:dyDescent="0.15">
      <c r="A4986" s="23" t="str">
        <f t="shared" si="222"/>
        <v>АО "ТОРГОВЫЙ ДОМ "ПЕРЕКРЕСТОК"</v>
      </c>
      <c r="B4986" s="24" t="s">
        <v>6999</v>
      </c>
      <c r="C4986" s="25">
        <v>0</v>
      </c>
      <c r="D4986" s="22" t="s">
        <v>7002</v>
      </c>
      <c r="E4986" s="22" t="s">
        <v>208</v>
      </c>
      <c r="F4986" s="23" t="str">
        <f>HYPERLINK("https://www.spark-marketing.ru/Card/Lot/71851227", "Камера видеонаблюдения HikVision DS-2CE16D8T-IT3ZE HD-TVI motor-zoom")</f>
        <v>Камера видеонаблюдения HikVision DS-2CE16D8T-IT3ZE HD-TVI motor-zoom</v>
      </c>
      <c r="G4986" s="22" t="s">
        <v>55</v>
      </c>
      <c r="H4986" s="22" t="s">
        <v>55</v>
      </c>
      <c r="I4986" s="26">
        <v>43648.744641203702</v>
      </c>
      <c r="J4986" s="28" t="s">
        <v>52</v>
      </c>
      <c r="K4986" s="28" t="s">
        <v>52</v>
      </c>
      <c r="L4986" s="28" t="s">
        <v>52</v>
      </c>
      <c r="M4986" s="28" t="s">
        <v>52</v>
      </c>
      <c r="N4986" s="28" t="s">
        <v>52</v>
      </c>
    </row>
    <row r="4987" spans="1:14" x14ac:dyDescent="0.15">
      <c r="A4987" s="23" t="str">
        <f t="shared" si="222"/>
        <v>АО "ТОРГОВЫЙ ДОМ "ПЕРЕКРЕСТОК"</v>
      </c>
      <c r="B4987" s="24" t="s">
        <v>6999</v>
      </c>
      <c r="C4987" s="25">
        <v>0</v>
      </c>
      <c r="D4987" s="22" t="s">
        <v>7005</v>
      </c>
      <c r="E4987" s="22" t="s">
        <v>208</v>
      </c>
      <c r="F4987" s="23" t="str">
        <f>HYPERLINK("https://www.spark-marketing.ru/Card/Lot/71854373", "AC-TA363IR2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f>
        <v>AC-TA363IR2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v>
      </c>
      <c r="G4987" s="22" t="s">
        <v>55</v>
      </c>
      <c r="H4987" s="22" t="s">
        <v>55</v>
      </c>
      <c r="I4987" s="26">
        <v>43648.745069444398</v>
      </c>
      <c r="J4987" s="28" t="s">
        <v>52</v>
      </c>
      <c r="K4987" s="28" t="s">
        <v>52</v>
      </c>
      <c r="L4987" s="28" t="s">
        <v>52</v>
      </c>
      <c r="M4987" s="28" t="s">
        <v>52</v>
      </c>
      <c r="N4987" s="28" t="s">
        <v>52</v>
      </c>
    </row>
    <row r="4988" spans="1:14" x14ac:dyDescent="0.15">
      <c r="A4988" s="23" t="str">
        <f t="shared" si="222"/>
        <v>АО "ТОРГОВЫЙ ДОМ "ПЕРЕКРЕСТОК"</v>
      </c>
      <c r="B4988" s="24" t="s">
        <v>6999</v>
      </c>
      <c r="C4988" s="25">
        <v>0</v>
      </c>
      <c r="D4988" s="22" t="s">
        <v>7007</v>
      </c>
      <c r="E4988" s="22" t="s">
        <v>208</v>
      </c>
      <c r="F4988" s="23" t="str">
        <f>HYPERLINK("https://www.spark-marketing.ru/Card/Lot/71854300", "Демонтаж Системы видеонаблюдения (включая кабельные трассы)")</f>
        <v>Демонтаж Системы видеонаблюдения (включая кабельные трассы)</v>
      </c>
      <c r="G4988" s="22" t="s">
        <v>55</v>
      </c>
      <c r="H4988" s="22" t="s">
        <v>55</v>
      </c>
      <c r="I4988" s="26">
        <v>43648.745219907403</v>
      </c>
      <c r="J4988" s="28" t="s">
        <v>52</v>
      </c>
      <c r="K4988" s="28" t="s">
        <v>52</v>
      </c>
      <c r="L4988" s="28" t="s">
        <v>52</v>
      </c>
      <c r="M4988" s="28" t="s">
        <v>52</v>
      </c>
      <c r="N4988" s="28" t="s">
        <v>52</v>
      </c>
    </row>
    <row r="4989" spans="1:14" x14ac:dyDescent="0.15">
      <c r="A4989" s="23" t="str">
        <f t="shared" si="222"/>
        <v>АО "ТОРГОВЫЙ ДОМ "ПЕРЕКРЕСТОК"</v>
      </c>
      <c r="B4989" s="24" t="s">
        <v>6999</v>
      </c>
      <c r="C4989" s="25">
        <v>0</v>
      </c>
      <c r="D4989" s="22" t="s">
        <v>7006</v>
      </c>
      <c r="E4989" s="22" t="s">
        <v>208</v>
      </c>
      <c r="F4989" s="23" t="str">
        <f>HYPERLINK("https://www.spark-marketing.ru/Card/Lot/71850873", "D-link USB 3.0 (DUB-1312/A1A) Дополнительная USB 3.0 сетевая карта для видеорегистраторов: TRASSIR MiniClient, TRASSIR MiniNVR, TRASSIR MiniNVR RE, TRASSIR DuoStation, TRASSIR DuoStation RE, TRASSIR QuattroStation, TRASSIR QuattroStation Pro")</f>
        <v>D-link USB 3.0 (DUB-1312/A1A) Дополнительная USB 3.0 сетевая карта для видеорегистраторов: TRASSIR MiniClient, TRASSIR MiniNVR, TRASSIR MiniNVR RE, TRASSIR DuoStation, TRASSIR DuoStation RE, TRASSIR QuattroStation, TRASSIR QuattroStation Pro</v>
      </c>
      <c r="G4989" s="22" t="s">
        <v>55</v>
      </c>
      <c r="H4989" s="22" t="s">
        <v>55</v>
      </c>
      <c r="I4989" s="26">
        <v>43648.744490740697</v>
      </c>
      <c r="J4989" s="28" t="s">
        <v>52</v>
      </c>
      <c r="K4989" s="28" t="s">
        <v>52</v>
      </c>
      <c r="L4989" s="28" t="s">
        <v>52</v>
      </c>
      <c r="M4989" s="28" t="s">
        <v>52</v>
      </c>
      <c r="N4989" s="28" t="s">
        <v>52</v>
      </c>
    </row>
    <row r="4990" spans="1:14" x14ac:dyDescent="0.15">
      <c r="A4990" s="23" t="str">
        <f t="shared" si="222"/>
        <v>АО "ТОРГОВЫЙ ДОМ "ПЕРЕКРЕСТОК"</v>
      </c>
      <c r="B4990" s="24" t="s">
        <v>6999</v>
      </c>
      <c r="C4990" s="25">
        <v>0</v>
      </c>
      <c r="D4990" s="22" t="s">
        <v>7005</v>
      </c>
      <c r="E4990" s="22" t="s">
        <v>208</v>
      </c>
      <c r="F4990" s="23" t="str">
        <f>HYPERLINK("https://www.spark-marketing.ru/Card/Lot/71852589", "AC-TA281IR2 Уличная 2МП TVI видеокамера в компактном кожухе. Разрешение 1080P, матрица 1/2.8"" CMOS SONY, Цвет: 0.05 Лк (F1.8) / ЧБ: 0 Лк (ИК вкл.), объектив 3.6мм, режим «День/Ночь», механический ИК-фильтр, 3D-NR, DWDR, OSD, питание 12В DC, потребля...")</f>
        <v>AC-TA281IR2 Уличная 2МП TVI видеокамера в компактном кожухе. Разрешение 1080P, матрица 1/2.8" CMOS SONY, Цвет: 0.05 Лк (F1.8) / ЧБ: 0 Лк (ИК вкл.), объектив 3.6мм, режим «День/Ночь», механический ИК-фильтр, 3D-NR, DWDR, OSD, питание 12В DC, потребля...</v>
      </c>
      <c r="G4990" s="22" t="s">
        <v>55</v>
      </c>
      <c r="H4990" s="22" t="s">
        <v>55</v>
      </c>
      <c r="I4990" s="26">
        <v>43648.745069444398</v>
      </c>
      <c r="J4990" s="28" t="s">
        <v>52</v>
      </c>
      <c r="K4990" s="28" t="s">
        <v>52</v>
      </c>
      <c r="L4990" s="28" t="s">
        <v>52</v>
      </c>
      <c r="M4990" s="28" t="s">
        <v>52</v>
      </c>
      <c r="N4990" s="28" t="s">
        <v>52</v>
      </c>
    </row>
    <row r="4991" spans="1:14" x14ac:dyDescent="0.15">
      <c r="A4991" s="23" t="str">
        <f t="shared" si="222"/>
        <v>АО "ТОРГОВЫЙ ДОМ "ПЕРЕКРЕСТОК"</v>
      </c>
      <c r="B4991" s="24" t="s">
        <v>6999</v>
      </c>
      <c r="C4991" s="25">
        <v>0</v>
      </c>
      <c r="D4991" s="22" t="s">
        <v>7004</v>
      </c>
      <c r="E4991" s="22" t="s">
        <v>208</v>
      </c>
      <c r="F4991" s="23" t="str">
        <f>HYPERLINK("https://www.spark-marketing.ru/Card/Lot/71853108", "LTV RTB-081 00, 8-канальный TVI/AHD видеорегистратор, 720P: 200 к/c, Ethernet, VGA/HDMI, 1 канал Audio, 1 HDD до 6Тб")</f>
        <v>LTV RTB-081 00, 8-канальный TVI/AHD видеорегистратор, 720P: 200 к/c, Ethernet, VGA/HDMI, 1 канал Audio, 1 HDD до 6Тб</v>
      </c>
      <c r="G4991" s="22" t="s">
        <v>55</v>
      </c>
      <c r="H4991" s="22" t="s">
        <v>55</v>
      </c>
      <c r="I4991" s="26">
        <v>43648.745347222197</v>
      </c>
      <c r="J4991" s="28" t="s">
        <v>52</v>
      </c>
      <c r="K4991" s="28" t="s">
        <v>52</v>
      </c>
      <c r="L4991" s="28" t="s">
        <v>52</v>
      </c>
      <c r="M4991" s="28" t="s">
        <v>52</v>
      </c>
      <c r="N4991" s="28" t="s">
        <v>52</v>
      </c>
    </row>
    <row r="4992" spans="1:14" x14ac:dyDescent="0.15">
      <c r="A4992" s="23" t="str">
        <f t="shared" si="222"/>
        <v>АО "ТОРГОВЫЙ ДОМ "ПЕРЕКРЕСТОК"</v>
      </c>
      <c r="B4992" s="24" t="s">
        <v>6999</v>
      </c>
      <c r="C4992" s="25">
        <v>0</v>
      </c>
      <c r="D4992" s="22" t="s">
        <v>7004</v>
      </c>
      <c r="E4992" s="22" t="s">
        <v>208</v>
      </c>
      <c r="F4992" s="23" t="str">
        <f>HYPERLINK("https://www.spark-marketing.ru/Card/Lot/71853112", "LTV RTB-081 00, 8-канальный TVI/AHD видеорегистратор, 720P: 200 к/c, Ethernet, VGA/HDMI, 1 канал Audio, поддержка 1 HDD")</f>
        <v>LTV RTB-081 00, 8-канальный TVI/AHD видеорегистратор, 720P: 200 к/c, Ethernet, VGA/HDMI, 1 канал Audio, поддержка 1 HDD</v>
      </c>
      <c r="G4992" s="22" t="s">
        <v>55</v>
      </c>
      <c r="H4992" s="22" t="s">
        <v>55</v>
      </c>
      <c r="I4992" s="26">
        <v>43648.745347222197</v>
      </c>
      <c r="J4992" s="28" t="s">
        <v>52</v>
      </c>
      <c r="K4992" s="28" t="s">
        <v>52</v>
      </c>
      <c r="L4992" s="28" t="s">
        <v>52</v>
      </c>
      <c r="M4992" s="28" t="s">
        <v>52</v>
      </c>
      <c r="N4992" s="28" t="s">
        <v>52</v>
      </c>
    </row>
    <row r="4993" spans="1:14" x14ac:dyDescent="0.15">
      <c r="A4993" s="23" t="str">
        <f t="shared" si="222"/>
        <v>АО "ТОРГОВЫЙ ДОМ "ПЕРЕКРЕСТОК"</v>
      </c>
      <c r="B4993" s="24" t="s">
        <v>6999</v>
      </c>
      <c r="C4993" s="25">
        <v>0</v>
      </c>
      <c r="D4993" s="22" t="s">
        <v>7001</v>
      </c>
      <c r="E4993" s="22" t="s">
        <v>208</v>
      </c>
      <c r="F4993" s="23" t="str">
        <f>HYPERLINK("https://www.spark-marketing.ru/Card/Lot/71853637", "Демонтаж Системы охранной сигнализации (включая кабельные трассы)")</f>
        <v>Демонтаж Системы охранной сигнализации (включая кабельные трассы)</v>
      </c>
      <c r="G4993" s="22" t="s">
        <v>55</v>
      </c>
      <c r="H4993" s="22" t="s">
        <v>55</v>
      </c>
      <c r="I4993" s="26">
        <v>43648.7449305556</v>
      </c>
      <c r="J4993" s="28" t="s">
        <v>52</v>
      </c>
      <c r="K4993" s="28" t="s">
        <v>52</v>
      </c>
      <c r="L4993" s="28" t="s">
        <v>52</v>
      </c>
      <c r="M4993" s="28" t="s">
        <v>52</v>
      </c>
      <c r="N4993" s="28" t="s">
        <v>52</v>
      </c>
    </row>
    <row r="4994" spans="1:14" x14ac:dyDescent="0.15">
      <c r="A4994" s="23" t="str">
        <f t="shared" si="222"/>
        <v>АО "ТОРГОВЫЙ ДОМ "ПЕРЕКРЕСТОК"</v>
      </c>
      <c r="B4994" s="24" t="s">
        <v>6999</v>
      </c>
      <c r="C4994" s="25">
        <v>0</v>
      </c>
      <c r="D4994" s="22" t="s">
        <v>7001</v>
      </c>
      <c r="E4994" s="22" t="s">
        <v>208</v>
      </c>
      <c r="F4994" s="23" t="str">
        <f>HYPERLINK("https://www.spark-marketing.ru/Card/Lot/71852232", "Камера видеонаблюдения HikVision DS-2CD2543G0-IWS (2.8mm) купол")</f>
        <v>Камера видеонаблюдения HikVision DS-2CD2543G0-IWS (2.8mm) купол</v>
      </c>
      <c r="G4994" s="22" t="s">
        <v>55</v>
      </c>
      <c r="H4994" s="22" t="s">
        <v>55</v>
      </c>
      <c r="I4994" s="26">
        <v>43648.7449305556</v>
      </c>
      <c r="J4994" s="28" t="s">
        <v>52</v>
      </c>
      <c r="K4994" s="28" t="s">
        <v>52</v>
      </c>
      <c r="L4994" s="28" t="s">
        <v>52</v>
      </c>
      <c r="M4994" s="28" t="s">
        <v>52</v>
      </c>
      <c r="N4994" s="28" t="s">
        <v>52</v>
      </c>
    </row>
    <row r="4995" spans="1:14" x14ac:dyDescent="0.15">
      <c r="A4995" s="23" t="str">
        <f t="shared" si="222"/>
        <v>АО "ТОРГОВЫЙ ДОМ "ПЕРЕКРЕСТОК"</v>
      </c>
      <c r="B4995" s="24" t="s">
        <v>6999</v>
      </c>
      <c r="C4995" s="25">
        <v>0</v>
      </c>
      <c r="D4995" s="22" t="s">
        <v>7000</v>
      </c>
      <c r="E4995" s="22" t="s">
        <v>208</v>
      </c>
      <c r="F4995" s="23" t="str">
        <f>HYPERLINK("https://www.spark-marketing.ru/Card/Lot/71850486", "УРМ (Core i5/8000Mb/250Gb/DVD-RW/Lan 1000/4xUSB 2.0/CardReader 4x1/Mb+Kb, ОС Win 7 pro, Видеокарта NVIDIA GeForce GT 730) - двухмониторный")</f>
        <v>УРМ (Core i5/8000Mb/250Gb/DVD-RW/Lan 1000/4xUSB 2.0/CardReader 4x1/Mb+Kb, ОС Win 7 pro, Видеокарта NVIDIA GeForce GT 730) - двухмониторный</v>
      </c>
      <c r="G4995" s="22" t="s">
        <v>55</v>
      </c>
      <c r="H4995" s="22" t="s">
        <v>55</v>
      </c>
      <c r="I4995" s="26">
        <v>43648.7443055556</v>
      </c>
      <c r="J4995" s="28" t="s">
        <v>52</v>
      </c>
      <c r="K4995" s="28" t="s">
        <v>52</v>
      </c>
      <c r="L4995" s="28" t="s">
        <v>52</v>
      </c>
      <c r="M4995" s="28" t="s">
        <v>52</v>
      </c>
      <c r="N4995" s="28" t="s">
        <v>52</v>
      </c>
    </row>
    <row r="4996" spans="1:14" x14ac:dyDescent="0.15">
      <c r="A4996" s="23" t="str">
        <f t="shared" si="222"/>
        <v>АО "ТОРГОВЫЙ ДОМ "ПЕРЕКРЕСТОК"</v>
      </c>
      <c r="B4996" s="24" t="s">
        <v>6999</v>
      </c>
      <c r="C4996" s="25">
        <v>0</v>
      </c>
      <c r="D4996" s="22" t="s">
        <v>7006</v>
      </c>
      <c r="E4996" s="22" t="s">
        <v>208</v>
      </c>
      <c r="F4996" s="23" t="str">
        <f>HYPERLINK("https://www.spark-marketing.ru/Card/Lot/71850554", "LTV RTB-081 00, 8-канальный TVI/AHD видеорегистратор, 720P: 200 к/c, Ethernet, VGA/HDMI, 1 канал Audio, поддержка 1 HDD")</f>
        <v>LTV RTB-081 00, 8-канальный TVI/AHD видеорегистратор, 720P: 200 к/c, Ethernet, VGA/HDMI, 1 канал Audio, поддержка 1 HDD</v>
      </c>
      <c r="G4996" s="22" t="s">
        <v>55</v>
      </c>
      <c r="H4996" s="22" t="s">
        <v>55</v>
      </c>
      <c r="I4996" s="26">
        <v>43648.744490740697</v>
      </c>
      <c r="J4996" s="28" t="s">
        <v>52</v>
      </c>
      <c r="K4996" s="28" t="s">
        <v>52</v>
      </c>
      <c r="L4996" s="28" t="s">
        <v>52</v>
      </c>
      <c r="M4996" s="28" t="s">
        <v>52</v>
      </c>
      <c r="N4996" s="28" t="s">
        <v>52</v>
      </c>
    </row>
    <row r="4997" spans="1:14" x14ac:dyDescent="0.15">
      <c r="A4997" s="23" t="str">
        <f t="shared" si="222"/>
        <v>АО "ТОРГОВЫЙ ДОМ "ПЕРЕКРЕСТОК"</v>
      </c>
      <c r="B4997" s="24" t="s">
        <v>6999</v>
      </c>
      <c r="C4997" s="25">
        <v>0</v>
      </c>
      <c r="D4997" s="22" t="s">
        <v>7004</v>
      </c>
      <c r="E4997" s="22" t="s">
        <v>208</v>
      </c>
      <c r="F4997" s="23" t="str">
        <f>HYPERLINK("https://www.spark-marketing.ru/Card/Lot/71852686", "Монтаж, подключение, настройка видеокамеры")</f>
        <v>Монтаж, подключение, настройка видеокамеры</v>
      </c>
      <c r="G4997" s="22" t="s">
        <v>55</v>
      </c>
      <c r="H4997" s="22" t="s">
        <v>55</v>
      </c>
      <c r="I4997" s="26">
        <v>43648.745347222197</v>
      </c>
      <c r="J4997" s="28" t="s">
        <v>52</v>
      </c>
      <c r="K4997" s="28" t="s">
        <v>52</v>
      </c>
      <c r="L4997" s="28" t="s">
        <v>52</v>
      </c>
      <c r="M4997" s="28" t="s">
        <v>52</v>
      </c>
      <c r="N4997" s="28" t="s">
        <v>52</v>
      </c>
    </row>
    <row r="4998" spans="1:14" x14ac:dyDescent="0.15">
      <c r="A4998" s="23" t="str">
        <f t="shared" si="222"/>
        <v>АО "ТОРГОВЫЙ ДОМ "ПЕРЕКРЕСТОК"</v>
      </c>
      <c r="B4998" s="24" t="s">
        <v>6999</v>
      </c>
      <c r="C4998" s="25">
        <v>0</v>
      </c>
      <c r="D4998" s="22" t="s">
        <v>7007</v>
      </c>
      <c r="E4998" s="22" t="s">
        <v>208</v>
      </c>
      <c r="F4998" s="23" t="str">
        <f>HYPERLINK("https://www.spark-marketing.ru/Card/Lot/71852722", "LTV RTB-081 00, 8-канальный TVI/AHD видеорегистратор, 720P: 200 к/c, Ethernet, VGA/HDMI, 1 канал Audio, поддержка 1 HDD")</f>
        <v>LTV RTB-081 00, 8-канальный TVI/AHD видеорегистратор, 720P: 200 к/c, Ethernet, VGA/HDMI, 1 канал Audio, поддержка 1 HDD</v>
      </c>
      <c r="G4998" s="22" t="s">
        <v>55</v>
      </c>
      <c r="H4998" s="22" t="s">
        <v>55</v>
      </c>
      <c r="I4998" s="26">
        <v>43648.745219907403</v>
      </c>
      <c r="J4998" s="28" t="s">
        <v>52</v>
      </c>
      <c r="K4998" s="28" t="s">
        <v>52</v>
      </c>
      <c r="L4998" s="28" t="s">
        <v>52</v>
      </c>
      <c r="M4998" s="28" t="s">
        <v>52</v>
      </c>
      <c r="N4998" s="28" t="s">
        <v>52</v>
      </c>
    </row>
    <row r="4999" spans="1:14" x14ac:dyDescent="0.15">
      <c r="A4999" s="23" t="str">
        <f t="shared" si="222"/>
        <v>АО "ТОРГОВЫЙ ДОМ "ПЕРЕКРЕСТОК"</v>
      </c>
      <c r="B4999" s="24" t="s">
        <v>6999</v>
      </c>
      <c r="C4999" s="25">
        <v>0</v>
      </c>
      <c r="D4999" s="22" t="s">
        <v>7004</v>
      </c>
      <c r="E4999" s="22" t="s">
        <v>208</v>
      </c>
      <c r="F4999" s="23" t="str">
        <f>HYPERLINK("https://www.spark-marketing.ru/Card/Lot/71853346", "DH-HAC-HDPW1200RP-0360B-S3A объектив 3.6 мм с апертурой F/1.85, угл обзора по горизонтали - 89.9? HD-CVI, HD-TVI, AHD: транслирует по коаксиальному кабелю видеосигнал на расстояние 1200 м при разрешении 1 Мп и 800 м - при 2 Мп; по неэкранированной ви...")</f>
        <v>DH-HAC-HDPW1200RP-0360B-S3A объектив 3.6 мм с апертурой F/1.85, угл обзора по горизонтали - 89.9? HD-CVI, HD-TVI, AHD: транслирует по коаксиальному кабелю видеосигнал на расстояние 1200 м при разрешении 1 Мп и 800 м - при 2 Мп; по неэкранированной ви...</v>
      </c>
      <c r="G4999" s="22" t="s">
        <v>55</v>
      </c>
      <c r="H4999" s="22" t="s">
        <v>55</v>
      </c>
      <c r="I4999" s="26">
        <v>43648.745347222197</v>
      </c>
      <c r="J4999" s="28" t="s">
        <v>52</v>
      </c>
      <c r="K4999" s="28" t="s">
        <v>52</v>
      </c>
      <c r="L4999" s="28" t="s">
        <v>52</v>
      </c>
      <c r="M4999" s="28" t="s">
        <v>52</v>
      </c>
      <c r="N4999" s="28" t="s">
        <v>52</v>
      </c>
    </row>
    <row r="5000" spans="1:14" x14ac:dyDescent="0.15">
      <c r="A5000" s="23" t="str">
        <f t="shared" si="222"/>
        <v>АО "ТОРГОВЫЙ ДОМ "ПЕРЕКРЕСТОК"</v>
      </c>
      <c r="B5000" s="24" t="s">
        <v>6999</v>
      </c>
      <c r="C5000" s="25">
        <v>0</v>
      </c>
      <c r="D5000" s="22" t="s">
        <v>7001</v>
      </c>
      <c r="E5000" s="22" t="s">
        <v>208</v>
      </c>
      <c r="F5000" s="23" t="str">
        <f>HYPERLINK("https://www.spark-marketing.ru/Card/Lot/71853641", "Юстировка стационарной видеокамеры")</f>
        <v>Юстировка стационарной видеокамеры</v>
      </c>
      <c r="G5000" s="22" t="s">
        <v>55</v>
      </c>
      <c r="H5000" s="22" t="s">
        <v>55</v>
      </c>
      <c r="I5000" s="26">
        <v>43648.7449305556</v>
      </c>
      <c r="J5000" s="28" t="s">
        <v>52</v>
      </c>
      <c r="K5000" s="28" t="s">
        <v>52</v>
      </c>
      <c r="L5000" s="28" t="s">
        <v>52</v>
      </c>
      <c r="M5000" s="28" t="s">
        <v>52</v>
      </c>
      <c r="N5000" s="28" t="s">
        <v>52</v>
      </c>
    </row>
    <row r="5001" spans="1:14" x14ac:dyDescent="0.15">
      <c r="A5001" s="23" t="str">
        <f t="shared" si="222"/>
        <v>АО "ТОРГОВЫЙ ДОМ "ПЕРЕКРЕСТОК"</v>
      </c>
      <c r="B5001" s="24" t="s">
        <v>6999</v>
      </c>
      <c r="C5001" s="25">
        <v>0</v>
      </c>
      <c r="D5001" s="22" t="s">
        <v>7007</v>
      </c>
      <c r="E5001" s="22" t="s">
        <v>208</v>
      </c>
      <c r="F5001" s="23" t="str">
        <f>HYPERLINK("https://www.spark-marketing.ru/Card/Lot/71854301", "Демонтаж Системы охранной сигнализации (включая кабельные трассы)")</f>
        <v>Демонтаж Системы охранной сигнализации (включая кабельные трассы)</v>
      </c>
      <c r="G5001" s="22" t="s">
        <v>55</v>
      </c>
      <c r="H5001" s="22" t="s">
        <v>55</v>
      </c>
      <c r="I5001" s="26">
        <v>43648.745219907403</v>
      </c>
      <c r="J5001" s="28" t="s">
        <v>52</v>
      </c>
      <c r="K5001" s="28" t="s">
        <v>52</v>
      </c>
      <c r="L5001" s="28" t="s">
        <v>52</v>
      </c>
      <c r="M5001" s="28" t="s">
        <v>52</v>
      </c>
      <c r="N5001" s="28" t="s">
        <v>52</v>
      </c>
    </row>
    <row r="5002" spans="1:14" x14ac:dyDescent="0.15">
      <c r="A5002" s="23" t="str">
        <f t="shared" si="222"/>
        <v>АО "ТОРГОВЫЙ ДОМ "ПЕРЕКРЕСТОК"</v>
      </c>
      <c r="B5002" s="24" t="s">
        <v>6999</v>
      </c>
      <c r="C5002" s="25">
        <v>0</v>
      </c>
      <c r="D5002" s="22" t="s">
        <v>7003</v>
      </c>
      <c r="E5002" s="22" t="s">
        <v>208</v>
      </c>
      <c r="F5002" s="23" t="str">
        <f>HYPERLINK("https://www.spark-marketing.ru/Card/Lot/71851681", "TRASSIR NeiroStation 1V (Сервер видеоналитики, 1*GPU)")</f>
        <v>TRASSIR NeiroStation 1V (Сервер видеоналитики, 1*GPU)</v>
      </c>
      <c r="G5002" s="22" t="s">
        <v>55</v>
      </c>
      <c r="H5002" s="22" t="s">
        <v>55</v>
      </c>
      <c r="I5002" s="26">
        <v>43648.744791666701</v>
      </c>
      <c r="J5002" s="28" t="s">
        <v>52</v>
      </c>
      <c r="K5002" s="28" t="s">
        <v>52</v>
      </c>
      <c r="L5002" s="28" t="s">
        <v>52</v>
      </c>
      <c r="M5002" s="28" t="s">
        <v>52</v>
      </c>
      <c r="N5002" s="28" t="s">
        <v>52</v>
      </c>
    </row>
    <row r="5003" spans="1:14" x14ac:dyDescent="0.15">
      <c r="A5003" s="23" t="str">
        <f t="shared" si="222"/>
        <v>АО "ТОРГОВЫЙ ДОМ "ПЕРЕКРЕСТОК"</v>
      </c>
      <c r="B5003" s="24" t="s">
        <v>6999</v>
      </c>
      <c r="C5003" s="25">
        <v>0</v>
      </c>
      <c r="D5003" s="22" t="s">
        <v>7000</v>
      </c>
      <c r="E5003" s="22" t="s">
        <v>208</v>
      </c>
      <c r="F5003" s="23" t="str">
        <f>HYPERLINK("https://www.spark-marketing.ru/Card/Lot/71850134", "Приемопередатчики видеосигнала по витой паре")</f>
        <v>Приемопередатчики видеосигнала по витой паре</v>
      </c>
      <c r="G5003" s="22" t="s">
        <v>55</v>
      </c>
      <c r="H5003" s="22" t="s">
        <v>55</v>
      </c>
      <c r="I5003" s="26">
        <v>43648.7443055556</v>
      </c>
      <c r="J5003" s="28" t="s">
        <v>52</v>
      </c>
      <c r="K5003" s="28" t="s">
        <v>52</v>
      </c>
      <c r="L5003" s="28" t="s">
        <v>52</v>
      </c>
      <c r="M5003" s="28" t="s">
        <v>52</v>
      </c>
      <c r="N5003" s="28" t="s">
        <v>52</v>
      </c>
    </row>
    <row r="5004" spans="1:14" x14ac:dyDescent="0.15">
      <c r="A5004" s="23" t="str">
        <f t="shared" si="222"/>
        <v>АО "ТОРГОВЫЙ ДОМ "ПЕРЕКРЕСТОК"</v>
      </c>
      <c r="B5004" s="24" t="s">
        <v>6999</v>
      </c>
      <c r="C5004" s="25">
        <v>0</v>
      </c>
      <c r="D5004" s="22" t="s">
        <v>7002</v>
      </c>
      <c r="E5004" s="22" t="s">
        <v>208</v>
      </c>
      <c r="F5004" s="23" t="str">
        <f>HYPERLINK("https://www.spark-marketing.ru/Card/Lot/71851456", "Монтаж, подключение, настройка видеокамеры, уличной")</f>
        <v>Монтаж, подключение, настройка видеокамеры, уличной</v>
      </c>
      <c r="G5004" s="22" t="s">
        <v>55</v>
      </c>
      <c r="H5004" s="22" t="s">
        <v>55</v>
      </c>
      <c r="I5004" s="26">
        <v>43648.744641203702</v>
      </c>
      <c r="J5004" s="28" t="s">
        <v>52</v>
      </c>
      <c r="K5004" s="28" t="s">
        <v>52</v>
      </c>
      <c r="L5004" s="28" t="s">
        <v>52</v>
      </c>
      <c r="M5004" s="28" t="s">
        <v>52</v>
      </c>
      <c r="N5004" s="28" t="s">
        <v>52</v>
      </c>
    </row>
    <row r="5005" spans="1:14" x14ac:dyDescent="0.15">
      <c r="A5005" s="23" t="str">
        <f t="shared" si="222"/>
        <v>АО "ТОРГОВЫЙ ДОМ "ПЕРЕКРЕСТОК"</v>
      </c>
      <c r="B5005" s="24" t="s">
        <v>6999</v>
      </c>
      <c r="C5005" s="25">
        <v>0</v>
      </c>
      <c r="D5005" s="22" t="s">
        <v>7002</v>
      </c>
      <c r="E5005" s="22" t="s">
        <v>208</v>
      </c>
      <c r="F5005" s="23" t="str">
        <f>HYPERLINK("https://www.spark-marketing.ru/Card/Lot/71851228", "Камера видеонаблюдения HikVision DS-2DE4225W-DE PTZ")</f>
        <v>Камера видеонаблюдения HikVision DS-2DE4225W-DE PTZ</v>
      </c>
      <c r="G5005" s="22" t="s">
        <v>55</v>
      </c>
      <c r="H5005" s="22" t="s">
        <v>55</v>
      </c>
      <c r="I5005" s="26">
        <v>43648.744641203702</v>
      </c>
      <c r="J5005" s="28" t="s">
        <v>52</v>
      </c>
      <c r="K5005" s="28" t="s">
        <v>52</v>
      </c>
      <c r="L5005" s="28" t="s">
        <v>52</v>
      </c>
      <c r="M5005" s="28" t="s">
        <v>52</v>
      </c>
      <c r="N5005" s="28" t="s">
        <v>52</v>
      </c>
    </row>
    <row r="5006" spans="1:14" x14ac:dyDescent="0.15">
      <c r="A5006" s="23" t="str">
        <f t="shared" si="222"/>
        <v>АО "ТОРГОВЫЙ ДОМ "ПЕРЕКРЕСТОК"</v>
      </c>
      <c r="B5006" s="24" t="s">
        <v>6999</v>
      </c>
      <c r="C5006" s="25">
        <v>0</v>
      </c>
      <c r="D5006" s="22" t="s">
        <v>7008</v>
      </c>
      <c r="E5006" s="22" t="s">
        <v>208</v>
      </c>
      <c r="F5006" s="23" t="str">
        <f>HYPERLINK("https://www.spark-marketing.ru/Card/Lot/71854927", "Разъем питания видеокамеры")</f>
        <v>Разъем питания видеокамеры</v>
      </c>
      <c r="G5006" s="22" t="s">
        <v>55</v>
      </c>
      <c r="H5006" s="22" t="s">
        <v>55</v>
      </c>
      <c r="I5006" s="26">
        <v>43648.745509259301</v>
      </c>
      <c r="J5006" s="28" t="s">
        <v>52</v>
      </c>
      <c r="K5006" s="28" t="s">
        <v>52</v>
      </c>
      <c r="L5006" s="28" t="s">
        <v>52</v>
      </c>
      <c r="M5006" s="28" t="s">
        <v>52</v>
      </c>
      <c r="N5006" s="28" t="s">
        <v>52</v>
      </c>
    </row>
    <row r="5007" spans="1:14" x14ac:dyDescent="0.15">
      <c r="A5007" s="23" t="str">
        <f t="shared" si="222"/>
        <v>АО "ТОРГОВЫЙ ДОМ "ПЕРЕКРЕСТОК"</v>
      </c>
      <c r="B5007" s="24" t="s">
        <v>6999</v>
      </c>
      <c r="C5007" s="25">
        <v>0</v>
      </c>
      <c r="D5007" s="22" t="s">
        <v>7002</v>
      </c>
      <c r="E5007" s="22" t="s">
        <v>208</v>
      </c>
      <c r="F5007" s="23" t="str">
        <f>HYPERLINK("https://www.spark-marketing.ru/Card/Lot/71851222", "Камера видеонаблюдения HikVision DS-2CD2723G0-IZS (2.8-12mm) купол")</f>
        <v>Камера видеонаблюдения HikVision DS-2CD2723G0-IZS (2.8-12mm) купол</v>
      </c>
      <c r="G5007" s="22" t="s">
        <v>55</v>
      </c>
      <c r="H5007" s="22" t="s">
        <v>55</v>
      </c>
      <c r="I5007" s="26">
        <v>43648.744641203702</v>
      </c>
      <c r="J5007" s="28" t="s">
        <v>52</v>
      </c>
      <c r="K5007" s="28" t="s">
        <v>52</v>
      </c>
      <c r="L5007" s="28" t="s">
        <v>52</v>
      </c>
      <c r="M5007" s="28" t="s">
        <v>52</v>
      </c>
      <c r="N5007" s="28" t="s">
        <v>52</v>
      </c>
    </row>
    <row r="5008" spans="1:14" x14ac:dyDescent="0.15">
      <c r="A5008" s="23" t="str">
        <f t="shared" si="222"/>
        <v>АО "ТОРГОВЫЙ ДОМ "ПЕРЕКРЕСТОК"</v>
      </c>
      <c r="B5008" s="24" t="s">
        <v>6999</v>
      </c>
      <c r="C5008" s="25">
        <v>0</v>
      </c>
      <c r="D5008" s="22" t="s">
        <v>7004</v>
      </c>
      <c r="E5008" s="22" t="s">
        <v>208</v>
      </c>
      <c r="F5008" s="23" t="str">
        <f>HYPERLINK("https://www.spark-marketing.ru/Card/Lot/71853589", "Кнопка тревожная, для ручной подачи сигнала тревоги.С2000-КТ")</f>
        <v>Кнопка тревожная, для ручной подачи сигнала тревоги.С2000-КТ</v>
      </c>
      <c r="G5008" s="22" t="s">
        <v>55</v>
      </c>
      <c r="H5008" s="22" t="s">
        <v>55</v>
      </c>
      <c r="I5008" s="26">
        <v>43648.745347222197</v>
      </c>
      <c r="J5008" s="28" t="s">
        <v>52</v>
      </c>
      <c r="K5008" s="28" t="s">
        <v>52</v>
      </c>
      <c r="L5008" s="28" t="s">
        <v>52</v>
      </c>
      <c r="M5008" s="28" t="s">
        <v>52</v>
      </c>
      <c r="N5008" s="28" t="s">
        <v>52</v>
      </c>
    </row>
    <row r="5009" spans="1:14" x14ac:dyDescent="0.15">
      <c r="A5009" s="23" t="str">
        <f t="shared" ref="A5009:A5038" si="223">HYPERLINK("https://www.spark-marketing.ru/Card/Person/1887298", "АО ""ТОРГОВЫЙ ДОМ ""ПЕРЕКРЕСТОК""")</f>
        <v>АО "ТОРГОВЫЙ ДОМ "ПЕРЕКРЕСТОК"</v>
      </c>
      <c r="B5009" s="24" t="s">
        <v>6999</v>
      </c>
      <c r="C5009" s="25">
        <v>0</v>
      </c>
      <c r="D5009" s="22" t="s">
        <v>7001</v>
      </c>
      <c r="E5009" s="22" t="s">
        <v>208</v>
      </c>
      <c r="F5009" s="23" t="str">
        <f>HYPERLINK("https://www.spark-marketing.ru/Card/Lot/71852521", "Кнопка тревожная, для ручной подачи сигнала тревоги.С2000-КТ")</f>
        <v>Кнопка тревожная, для ручной подачи сигнала тревоги.С2000-КТ</v>
      </c>
      <c r="G5009" s="22" t="s">
        <v>55</v>
      </c>
      <c r="H5009" s="22" t="s">
        <v>55</v>
      </c>
      <c r="I5009" s="26">
        <v>43648.7449305556</v>
      </c>
      <c r="J5009" s="28" t="s">
        <v>52</v>
      </c>
      <c r="K5009" s="28" t="s">
        <v>52</v>
      </c>
      <c r="L5009" s="28" t="s">
        <v>52</v>
      </c>
      <c r="M5009" s="28" t="s">
        <v>52</v>
      </c>
      <c r="N5009" s="28" t="s">
        <v>52</v>
      </c>
    </row>
    <row r="5010" spans="1:14" x14ac:dyDescent="0.15">
      <c r="A5010" s="23" t="str">
        <f t="shared" si="223"/>
        <v>АО "ТОРГОВЫЙ ДОМ "ПЕРЕКРЕСТОК"</v>
      </c>
      <c r="B5010" s="24" t="s">
        <v>6999</v>
      </c>
      <c r="C5010" s="25">
        <v>0</v>
      </c>
      <c r="D5010" s="22" t="s">
        <v>7007</v>
      </c>
      <c r="E5010" s="22" t="s">
        <v>208</v>
      </c>
      <c r="F5010" s="23" t="str">
        <f>HYPERLINK("https://www.spark-marketing.ru/Card/Lot/71854143", "Камера видеонаблюдения HikVision DS-2CD2723G0-IZS (2.8-12mm) купол")</f>
        <v>Камера видеонаблюдения HikVision DS-2CD2723G0-IZS (2.8-12mm) купол</v>
      </c>
      <c r="G5010" s="22" t="s">
        <v>55</v>
      </c>
      <c r="H5010" s="22" t="s">
        <v>55</v>
      </c>
      <c r="I5010" s="26">
        <v>43648.745219907403</v>
      </c>
      <c r="J5010" s="28" t="s">
        <v>52</v>
      </c>
      <c r="K5010" s="28" t="s">
        <v>52</v>
      </c>
      <c r="L5010" s="28" t="s">
        <v>52</v>
      </c>
      <c r="M5010" s="28" t="s">
        <v>52</v>
      </c>
      <c r="N5010" s="28" t="s">
        <v>52</v>
      </c>
    </row>
    <row r="5011" spans="1:14" x14ac:dyDescent="0.15">
      <c r="A5011" s="23" t="str">
        <f t="shared" si="223"/>
        <v>АО "ТОРГОВЫЙ ДОМ "ПЕРЕКРЕСТОК"</v>
      </c>
      <c r="B5011" s="24" t="s">
        <v>6999</v>
      </c>
      <c r="C5011" s="25">
        <v>0</v>
      </c>
      <c r="D5011" s="22" t="s">
        <v>7008</v>
      </c>
      <c r="E5011" s="22" t="s">
        <v>208</v>
      </c>
      <c r="F5011" s="23" t="str">
        <f>HYPERLINK("https://www.spark-marketing.ru/Card/Lot/71854781", "LTV-BMW-175 (GL-203E) Кронштейн 175мм для видеокамер, белый, металлический")</f>
        <v>LTV-BMW-175 (GL-203E) Кронштейн 175мм для видеокамер, белый, металлический</v>
      </c>
      <c r="G5011" s="22" t="s">
        <v>55</v>
      </c>
      <c r="H5011" s="22" t="s">
        <v>55</v>
      </c>
      <c r="I5011" s="26">
        <v>43648.745509259301</v>
      </c>
      <c r="J5011" s="28" t="s">
        <v>52</v>
      </c>
      <c r="K5011" s="28" t="s">
        <v>52</v>
      </c>
      <c r="L5011" s="28" t="s">
        <v>52</v>
      </c>
      <c r="M5011" s="28" t="s">
        <v>52</v>
      </c>
      <c r="N5011" s="28" t="s">
        <v>52</v>
      </c>
    </row>
    <row r="5012" spans="1:14" x14ac:dyDescent="0.15">
      <c r="A5012" s="23" t="str">
        <f t="shared" si="223"/>
        <v>АО "ТОРГОВЫЙ ДОМ "ПЕРЕКРЕСТОК"</v>
      </c>
      <c r="B5012" s="24" t="s">
        <v>6999</v>
      </c>
      <c r="C5012" s="25">
        <v>0</v>
      </c>
      <c r="D5012" s="22" t="s">
        <v>7004</v>
      </c>
      <c r="E5012" s="22" t="s">
        <v>208</v>
      </c>
      <c r="F5012" s="23" t="str">
        <f>HYPERLINK("https://www.spark-marketing.ru/Card/Lot/71852646", "Камера видеонаблюдения HikVision DS-2CD2123G0-IS (2.8mm) купол")</f>
        <v>Камера видеонаблюдения HikVision DS-2CD2123G0-IS (2.8mm) купол</v>
      </c>
      <c r="G5012" s="22" t="s">
        <v>55</v>
      </c>
      <c r="H5012" s="22" t="s">
        <v>55</v>
      </c>
      <c r="I5012" s="26">
        <v>43648.745347222197</v>
      </c>
      <c r="J5012" s="28" t="s">
        <v>52</v>
      </c>
      <c r="K5012" s="28" t="s">
        <v>52</v>
      </c>
      <c r="L5012" s="28" t="s">
        <v>52</v>
      </c>
      <c r="M5012" s="28" t="s">
        <v>52</v>
      </c>
      <c r="N5012" s="28" t="s">
        <v>52</v>
      </c>
    </row>
    <row r="5013" spans="1:14" x14ac:dyDescent="0.15">
      <c r="A5013" s="23" t="str">
        <f t="shared" si="223"/>
        <v>АО "ТОРГОВЫЙ ДОМ "ПЕРЕКРЕСТОК"</v>
      </c>
      <c r="B5013" s="24" t="s">
        <v>6999</v>
      </c>
      <c r="C5013" s="25">
        <v>0</v>
      </c>
      <c r="D5013" s="22" t="s">
        <v>7008</v>
      </c>
      <c r="E5013" s="22" t="s">
        <v>208</v>
      </c>
      <c r="F5013" s="23" t="str">
        <f>HYPERLINK("https://www.spark-marketing.ru/Card/Lot/71854531", "Камера видеонаблюдения HikVision DS-2CD2125FWD-IS")</f>
        <v>Камера видеонаблюдения HikVision DS-2CD2125FWD-IS</v>
      </c>
      <c r="G5013" s="22" t="s">
        <v>55</v>
      </c>
      <c r="H5013" s="22" t="s">
        <v>55</v>
      </c>
      <c r="I5013" s="26">
        <v>43648.745509259301</v>
      </c>
      <c r="J5013" s="28" t="s">
        <v>52</v>
      </c>
      <c r="K5013" s="28" t="s">
        <v>52</v>
      </c>
      <c r="L5013" s="28" t="s">
        <v>52</v>
      </c>
      <c r="M5013" s="28" t="s">
        <v>52</v>
      </c>
      <c r="N5013" s="28" t="s">
        <v>52</v>
      </c>
    </row>
    <row r="5014" spans="1:14" x14ac:dyDescent="0.15">
      <c r="A5014" s="23" t="str">
        <f t="shared" si="223"/>
        <v>АО "ТОРГОВЫЙ ДОМ "ПЕРЕКРЕСТОК"</v>
      </c>
      <c r="B5014" s="24" t="s">
        <v>6999</v>
      </c>
      <c r="C5014" s="25">
        <v>0</v>
      </c>
      <c r="D5014" s="22" t="s">
        <v>7007</v>
      </c>
      <c r="E5014" s="22" t="s">
        <v>208</v>
      </c>
      <c r="F5014" s="23" t="str">
        <f>HYPERLINK("https://www.spark-marketing.ru/Card/Lot/71853435", "УРМ (Core i5/8000Mb/250Gb/DVD-RW/Lan 1000/4xUSB 2.0/CardReader 4x1/Mb+Kb, ОС Win 7 pro, Видеокарта NVIDIA GeForce GT 730) - двухмониторный")</f>
        <v>УРМ (Core i5/8000Mb/250Gb/DVD-RW/Lan 1000/4xUSB 2.0/CardReader 4x1/Mb+Kb, ОС Win 7 pro, Видеокарта NVIDIA GeForce GT 730) - двухмониторный</v>
      </c>
      <c r="G5014" s="22" t="s">
        <v>55</v>
      </c>
      <c r="H5014" s="22" t="s">
        <v>55</v>
      </c>
      <c r="I5014" s="26">
        <v>43648.745219907403</v>
      </c>
      <c r="J5014" s="28" t="s">
        <v>52</v>
      </c>
      <c r="K5014" s="28" t="s">
        <v>52</v>
      </c>
      <c r="L5014" s="28" t="s">
        <v>52</v>
      </c>
      <c r="M5014" s="28" t="s">
        <v>52</v>
      </c>
      <c r="N5014" s="28" t="s">
        <v>52</v>
      </c>
    </row>
    <row r="5015" spans="1:14" x14ac:dyDescent="0.15">
      <c r="A5015" s="23" t="str">
        <f t="shared" si="223"/>
        <v>АО "ТОРГОВЫЙ ДОМ "ПЕРЕКРЕСТОК"</v>
      </c>
      <c r="B5015" s="24" t="s">
        <v>6999</v>
      </c>
      <c r="C5015" s="25">
        <v>0</v>
      </c>
      <c r="D5015" s="22" t="s">
        <v>7008</v>
      </c>
      <c r="E5015" s="22" t="s">
        <v>208</v>
      </c>
      <c r="F5015" s="23" t="str">
        <f>HYPERLINK("https://www.spark-marketing.ru/Card/Lot/71854824", "AC-TA383IR2 Купольная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f>
        <v>AC-TA383IR2 Купольная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v>
      </c>
      <c r="G5015" s="22" t="s">
        <v>55</v>
      </c>
      <c r="H5015" s="22" t="s">
        <v>55</v>
      </c>
      <c r="I5015" s="26">
        <v>43648.745509259301</v>
      </c>
      <c r="J5015" s="28" t="s">
        <v>52</v>
      </c>
      <c r="K5015" s="28" t="s">
        <v>52</v>
      </c>
      <c r="L5015" s="28" t="s">
        <v>52</v>
      </c>
      <c r="M5015" s="28" t="s">
        <v>52</v>
      </c>
      <c r="N5015" s="28" t="s">
        <v>52</v>
      </c>
    </row>
    <row r="5016" spans="1:14" x14ac:dyDescent="0.15">
      <c r="A5016" s="23" t="str">
        <f t="shared" si="223"/>
        <v>АО "ТОРГОВЫЙ ДОМ "ПЕРЕКРЕСТОК"</v>
      </c>
      <c r="B5016" s="24" t="s">
        <v>6999</v>
      </c>
      <c r="C5016" s="25">
        <v>0</v>
      </c>
      <c r="D5016" s="22" t="s">
        <v>7004</v>
      </c>
      <c r="E5016" s="22" t="s">
        <v>208</v>
      </c>
      <c r="F5016" s="23" t="str">
        <f>HYPERLINK("https://www.spark-marketing.ru/Card/Lot/71852880", "TRASSIR NeiroStation 1V (Сервер видеоналитики, 1*GPU)")</f>
        <v>TRASSIR NeiroStation 1V (Сервер видеоналитики, 1*GPU)</v>
      </c>
      <c r="G5016" s="22" t="s">
        <v>55</v>
      </c>
      <c r="H5016" s="22" t="s">
        <v>55</v>
      </c>
      <c r="I5016" s="26">
        <v>43648.745347222197</v>
      </c>
      <c r="J5016" s="28" t="s">
        <v>52</v>
      </c>
      <c r="K5016" s="28" t="s">
        <v>52</v>
      </c>
      <c r="L5016" s="28" t="s">
        <v>52</v>
      </c>
      <c r="M5016" s="28" t="s">
        <v>52</v>
      </c>
      <c r="N5016" s="28" t="s">
        <v>52</v>
      </c>
    </row>
    <row r="5017" spans="1:14" x14ac:dyDescent="0.15">
      <c r="A5017" s="23" t="str">
        <f t="shared" si="223"/>
        <v>АО "ТОРГОВЫЙ ДОМ "ПЕРЕКРЕСТОК"</v>
      </c>
      <c r="B5017" s="24" t="s">
        <v>6999</v>
      </c>
      <c r="C5017" s="25">
        <v>0</v>
      </c>
      <c r="D5017" s="22" t="s">
        <v>7004</v>
      </c>
      <c r="E5017" s="22" t="s">
        <v>208</v>
      </c>
      <c r="F5017" s="23" t="str">
        <f>HYPERLINK("https://www.spark-marketing.ru/Card/Lot/71853338", "AC-TA383IR2 Купольная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f>
        <v>AC-TA383IR2 Купольная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v>
      </c>
      <c r="G5017" s="22" t="s">
        <v>55</v>
      </c>
      <c r="H5017" s="22" t="s">
        <v>55</v>
      </c>
      <c r="I5017" s="26">
        <v>43648.745347222197</v>
      </c>
      <c r="J5017" s="28" t="s">
        <v>52</v>
      </c>
      <c r="K5017" s="28" t="s">
        <v>52</v>
      </c>
      <c r="L5017" s="28" t="s">
        <v>52</v>
      </c>
      <c r="M5017" s="28" t="s">
        <v>52</v>
      </c>
      <c r="N5017" s="28" t="s">
        <v>52</v>
      </c>
    </row>
    <row r="5018" spans="1:14" x14ac:dyDescent="0.15">
      <c r="A5018" s="23" t="str">
        <f t="shared" si="223"/>
        <v>АО "ТОРГОВЫЙ ДОМ "ПЕРЕКРЕСТОК"</v>
      </c>
      <c r="B5018" s="24" t="s">
        <v>6999</v>
      </c>
      <c r="C5018" s="25">
        <v>0</v>
      </c>
      <c r="D5018" s="22" t="s">
        <v>7004</v>
      </c>
      <c r="E5018" s="22" t="s">
        <v>208</v>
      </c>
      <c r="F5018" s="23" t="str">
        <f>HYPERLINK("https://www.spark-marketing.ru/Card/Lot/71852653", "Камера видеонаблюдения HikVision DS-2CD2822F (B)")</f>
        <v>Камера видеонаблюдения HikVision DS-2CD2822F (B)</v>
      </c>
      <c r="G5018" s="22" t="s">
        <v>55</v>
      </c>
      <c r="H5018" s="22" t="s">
        <v>55</v>
      </c>
      <c r="I5018" s="26">
        <v>43648.745347222197</v>
      </c>
      <c r="J5018" s="28" t="s">
        <v>52</v>
      </c>
      <c r="K5018" s="28" t="s">
        <v>52</v>
      </c>
      <c r="L5018" s="28" t="s">
        <v>52</v>
      </c>
      <c r="M5018" s="28" t="s">
        <v>52</v>
      </c>
      <c r="N5018" s="28" t="s">
        <v>52</v>
      </c>
    </row>
    <row r="5019" spans="1:14" x14ac:dyDescent="0.15">
      <c r="A5019" s="23" t="str">
        <f t="shared" si="223"/>
        <v>АО "ТОРГОВЫЙ ДОМ "ПЕРЕКРЕСТОК"</v>
      </c>
      <c r="B5019" s="24" t="s">
        <v>6999</v>
      </c>
      <c r="C5019" s="25">
        <v>0</v>
      </c>
      <c r="D5019" s="22" t="s">
        <v>7006</v>
      </c>
      <c r="E5019" s="22" t="s">
        <v>208</v>
      </c>
      <c r="F5019" s="23" t="str">
        <f>HYPERLINK("https://www.spark-marketing.ru/Card/Lot/71850670", "Камера видеонаблюдения HikVision DS-2CD2623G0-IZS (2.8-12mm) motor-zoom")</f>
        <v>Камера видеонаблюдения HikVision DS-2CD2623G0-IZS (2.8-12mm) motor-zoom</v>
      </c>
      <c r="G5019" s="22" t="s">
        <v>55</v>
      </c>
      <c r="H5019" s="22" t="s">
        <v>55</v>
      </c>
      <c r="I5019" s="26">
        <v>43648.744490740697</v>
      </c>
      <c r="J5019" s="28" t="s">
        <v>52</v>
      </c>
      <c r="K5019" s="28" t="s">
        <v>52</v>
      </c>
      <c r="L5019" s="28" t="s">
        <v>52</v>
      </c>
      <c r="M5019" s="28" t="s">
        <v>52</v>
      </c>
      <c r="N5019" s="28" t="s">
        <v>52</v>
      </c>
    </row>
    <row r="5020" spans="1:14" x14ac:dyDescent="0.15">
      <c r="A5020" s="23" t="str">
        <f t="shared" si="223"/>
        <v>АО "ТОРГОВЫЙ ДОМ "ПЕРЕКРЕСТОК"</v>
      </c>
      <c r="B5020" s="24" t="s">
        <v>6999</v>
      </c>
      <c r="C5020" s="25">
        <v>0</v>
      </c>
      <c r="D5020" s="22" t="s">
        <v>7007</v>
      </c>
      <c r="E5020" s="22" t="s">
        <v>208</v>
      </c>
      <c r="F5020" s="23" t="str">
        <f>HYPERLINK("https://www.spark-marketing.ru/Card/Lot/71854385", "TRASSIR NeiroStation 2V (Сервер видеоналитики, 2*GPU)")</f>
        <v>TRASSIR NeiroStation 2V (Сервер видеоналитики, 2*GPU)</v>
      </c>
      <c r="G5020" s="22" t="s">
        <v>55</v>
      </c>
      <c r="H5020" s="22" t="s">
        <v>55</v>
      </c>
      <c r="I5020" s="26">
        <v>43648.745219907403</v>
      </c>
      <c r="J5020" s="28" t="s">
        <v>52</v>
      </c>
      <c r="K5020" s="28" t="s">
        <v>52</v>
      </c>
      <c r="L5020" s="28" t="s">
        <v>52</v>
      </c>
      <c r="M5020" s="28" t="s">
        <v>52</v>
      </c>
      <c r="N5020" s="28" t="s">
        <v>52</v>
      </c>
    </row>
    <row r="5021" spans="1:14" x14ac:dyDescent="0.15">
      <c r="A5021" s="23" t="str">
        <f t="shared" si="223"/>
        <v>АО "ТОРГОВЫЙ ДОМ "ПЕРЕКРЕСТОК"</v>
      </c>
      <c r="B5021" s="24" t="s">
        <v>6999</v>
      </c>
      <c r="C5021" s="25">
        <v>0</v>
      </c>
      <c r="D5021" s="22" t="s">
        <v>7005</v>
      </c>
      <c r="E5021" s="22" t="s">
        <v>208</v>
      </c>
      <c r="F5021" s="23" t="str">
        <f>HYPERLINK("https://www.spark-marketing.ru/Card/Lot/71854024", "Демонтаж Системы охранной сигнализации (включая кабельные трассы)")</f>
        <v>Демонтаж Системы охранной сигнализации (включая кабельные трассы)</v>
      </c>
      <c r="G5021" s="22" t="s">
        <v>55</v>
      </c>
      <c r="H5021" s="22" t="s">
        <v>55</v>
      </c>
      <c r="I5021" s="26">
        <v>43648.745069444398</v>
      </c>
      <c r="J5021" s="28" t="s">
        <v>52</v>
      </c>
      <c r="K5021" s="28" t="s">
        <v>52</v>
      </c>
      <c r="L5021" s="28" t="s">
        <v>52</v>
      </c>
      <c r="M5021" s="28" t="s">
        <v>52</v>
      </c>
      <c r="N5021" s="28" t="s">
        <v>52</v>
      </c>
    </row>
    <row r="5022" spans="1:14" x14ac:dyDescent="0.15">
      <c r="A5022" s="23" t="str">
        <f t="shared" si="223"/>
        <v>АО "ТОРГОВЫЙ ДОМ "ПЕРЕКРЕСТОК"</v>
      </c>
      <c r="B5022" s="24" t="s">
        <v>6999</v>
      </c>
      <c r="C5022" s="25">
        <v>0</v>
      </c>
      <c r="D5022" s="22" t="s">
        <v>7006</v>
      </c>
      <c r="E5022" s="22" t="s">
        <v>208</v>
      </c>
      <c r="F5022" s="23" t="str">
        <f>HYPERLINK("https://www.spark-marketing.ru/Card/Lot/71850587", "AC-TA281IR2 Уличная 2МП TVI видеокамера в компактном кожухе. Разрешение 1080P, матрица 1/2.8"" CMOS SONY, Цвет: 0.05 Лк (F1.8) / ЧБ: 0 Лк (ИК вкл.), объектив 3.6мм, режим «День/Ночь», механический ИК-фильтр, 3D-NR, DWDR, OSD, питание 12В DC, потребля...")</f>
        <v>AC-TA281IR2 Уличная 2МП TVI видеокамера в компактном кожухе. Разрешение 1080P, матрица 1/2.8" CMOS SONY, Цвет: 0.05 Лк (F1.8) / ЧБ: 0 Лк (ИК вкл.), объектив 3.6мм, режим «День/Ночь», механический ИК-фильтр, 3D-NR, DWDR, OSD, питание 12В DC, потребля...</v>
      </c>
      <c r="G5022" s="22" t="s">
        <v>55</v>
      </c>
      <c r="H5022" s="22" t="s">
        <v>55</v>
      </c>
      <c r="I5022" s="26">
        <v>43648.744490740697</v>
      </c>
      <c r="J5022" s="28" t="s">
        <v>52</v>
      </c>
      <c r="K5022" s="28" t="s">
        <v>52</v>
      </c>
      <c r="L5022" s="28" t="s">
        <v>52</v>
      </c>
      <c r="M5022" s="28" t="s">
        <v>52</v>
      </c>
      <c r="N5022" s="28" t="s">
        <v>52</v>
      </c>
    </row>
    <row r="5023" spans="1:14" x14ac:dyDescent="0.15">
      <c r="A5023" s="23" t="str">
        <f t="shared" si="223"/>
        <v>АО "ТОРГОВЫЙ ДОМ "ПЕРЕКРЕСТОК"</v>
      </c>
      <c r="B5023" s="24" t="s">
        <v>6999</v>
      </c>
      <c r="C5023" s="25">
        <v>0</v>
      </c>
      <c r="D5023" s="22" t="s">
        <v>7002</v>
      </c>
      <c r="E5023" s="22" t="s">
        <v>208</v>
      </c>
      <c r="F5023" s="23" t="str">
        <f>HYPERLINK("https://www.spark-marketing.ru/Card/Lot/71851229", "Камера видеонаблюдения HikVision DS-2DE4225W-DE3 PTZ")</f>
        <v>Камера видеонаблюдения HikVision DS-2DE4225W-DE3 PTZ</v>
      </c>
      <c r="G5023" s="22" t="s">
        <v>55</v>
      </c>
      <c r="H5023" s="22" t="s">
        <v>55</v>
      </c>
      <c r="I5023" s="26">
        <v>43648.744641203702</v>
      </c>
      <c r="J5023" s="28" t="s">
        <v>52</v>
      </c>
      <c r="K5023" s="28" t="s">
        <v>52</v>
      </c>
      <c r="L5023" s="28" t="s">
        <v>52</v>
      </c>
      <c r="M5023" s="28" t="s">
        <v>52</v>
      </c>
      <c r="N5023" s="28" t="s">
        <v>52</v>
      </c>
    </row>
    <row r="5024" spans="1:14" x14ac:dyDescent="0.15">
      <c r="A5024" s="23" t="str">
        <f t="shared" si="223"/>
        <v>АО "ТОРГОВЫЙ ДОМ "ПЕРЕКРЕСТОК"</v>
      </c>
      <c r="B5024" s="24" t="s">
        <v>6999</v>
      </c>
      <c r="C5024" s="25">
        <v>0</v>
      </c>
      <c r="D5024" s="22" t="s">
        <v>7000</v>
      </c>
      <c r="E5024" s="22" t="s">
        <v>208</v>
      </c>
      <c r="F5024" s="23" t="str">
        <f>HYPERLINK("https://www.spark-marketing.ru/Card/Lot/71850628", "Демонтаж Системы охранной сигнализации (включая кабельные трассы)")</f>
        <v>Демонтаж Системы охранной сигнализации (включая кабельные трассы)</v>
      </c>
      <c r="G5024" s="22" t="s">
        <v>55</v>
      </c>
      <c r="H5024" s="22" t="s">
        <v>55</v>
      </c>
      <c r="I5024" s="26">
        <v>43648.7443055556</v>
      </c>
      <c r="J5024" s="28" t="s">
        <v>52</v>
      </c>
      <c r="K5024" s="28" t="s">
        <v>52</v>
      </c>
      <c r="L5024" s="28" t="s">
        <v>52</v>
      </c>
      <c r="M5024" s="28" t="s">
        <v>52</v>
      </c>
      <c r="N5024" s="28" t="s">
        <v>52</v>
      </c>
    </row>
    <row r="5025" spans="1:14" x14ac:dyDescent="0.15">
      <c r="A5025" s="23" t="str">
        <f t="shared" si="223"/>
        <v>АО "ТОРГОВЫЙ ДОМ "ПЕРЕКРЕСТОК"</v>
      </c>
      <c r="B5025" s="24" t="s">
        <v>6999</v>
      </c>
      <c r="C5025" s="25">
        <v>0</v>
      </c>
      <c r="D5025" s="22" t="s">
        <v>7003</v>
      </c>
      <c r="E5025" s="22" t="s">
        <v>208</v>
      </c>
      <c r="F5025" s="23" t="str">
        <f>HYPERLINK("https://www.spark-marketing.ru/Card/Lot/71851806", "Камера видеонаблюдения HikVision DS-2DE4225W-DE3 PTZ")</f>
        <v>Камера видеонаблюдения HikVision DS-2DE4225W-DE3 PTZ</v>
      </c>
      <c r="G5025" s="22" t="s">
        <v>55</v>
      </c>
      <c r="H5025" s="22" t="s">
        <v>55</v>
      </c>
      <c r="I5025" s="26">
        <v>43648.744791666701</v>
      </c>
      <c r="J5025" s="28" t="s">
        <v>52</v>
      </c>
      <c r="K5025" s="28" t="s">
        <v>52</v>
      </c>
      <c r="L5025" s="28" t="s">
        <v>52</v>
      </c>
      <c r="M5025" s="28" t="s">
        <v>52</v>
      </c>
      <c r="N5025" s="28" t="s">
        <v>52</v>
      </c>
    </row>
    <row r="5026" spans="1:14" x14ac:dyDescent="0.15">
      <c r="A5026" s="23" t="str">
        <f t="shared" si="223"/>
        <v>АО "ТОРГОВЫЙ ДОМ "ПЕРЕКРЕСТОК"</v>
      </c>
      <c r="B5026" s="24" t="s">
        <v>6999</v>
      </c>
      <c r="C5026" s="25">
        <v>0</v>
      </c>
      <c r="D5026" s="22" t="s">
        <v>7007</v>
      </c>
      <c r="E5026" s="22" t="s">
        <v>208</v>
      </c>
      <c r="F5026" s="23" t="str">
        <f>HYPERLINK("https://www.spark-marketing.ru/Card/Lot/71853097", "Кнопка тревожная, для ручной подачи сигнала тревоги.С2000-КТ")</f>
        <v>Кнопка тревожная, для ручной подачи сигнала тревоги.С2000-КТ</v>
      </c>
      <c r="G5026" s="22" t="s">
        <v>55</v>
      </c>
      <c r="H5026" s="22" t="s">
        <v>55</v>
      </c>
      <c r="I5026" s="26">
        <v>43648.745219907403</v>
      </c>
      <c r="J5026" s="28" t="s">
        <v>52</v>
      </c>
      <c r="K5026" s="28" t="s">
        <v>52</v>
      </c>
      <c r="L5026" s="28" t="s">
        <v>52</v>
      </c>
      <c r="M5026" s="28" t="s">
        <v>52</v>
      </c>
      <c r="N5026" s="28" t="s">
        <v>52</v>
      </c>
    </row>
    <row r="5027" spans="1:14" x14ac:dyDescent="0.15">
      <c r="A5027" s="23" t="str">
        <f t="shared" si="223"/>
        <v>АО "ТОРГОВЫЙ ДОМ "ПЕРЕКРЕСТОК"</v>
      </c>
      <c r="B5027" s="24" t="s">
        <v>6999</v>
      </c>
      <c r="C5027" s="25">
        <v>0</v>
      </c>
      <c r="D5027" s="22" t="s">
        <v>7004</v>
      </c>
      <c r="E5027" s="22" t="s">
        <v>208</v>
      </c>
      <c r="F5027" s="23" t="str">
        <f>HYPERLINK("https://www.spark-marketing.ru/Card/Lot/71852654", "Камера видеонаблюдения HikVision DS-2CD2125FWD-IS")</f>
        <v>Камера видеонаблюдения HikVision DS-2CD2125FWD-IS</v>
      </c>
      <c r="G5027" s="22" t="s">
        <v>55</v>
      </c>
      <c r="H5027" s="22" t="s">
        <v>55</v>
      </c>
      <c r="I5027" s="26">
        <v>43648.745347222197</v>
      </c>
      <c r="J5027" s="28" t="s">
        <v>52</v>
      </c>
      <c r="K5027" s="28" t="s">
        <v>52</v>
      </c>
      <c r="L5027" s="28" t="s">
        <v>52</v>
      </c>
      <c r="M5027" s="28" t="s">
        <v>52</v>
      </c>
      <c r="N5027" s="28" t="s">
        <v>52</v>
      </c>
    </row>
    <row r="5028" spans="1:14" x14ac:dyDescent="0.15">
      <c r="A5028" s="23" t="str">
        <f t="shared" si="223"/>
        <v>АО "ТОРГОВЫЙ ДОМ "ПЕРЕКРЕСТОК"</v>
      </c>
      <c r="B5028" s="24" t="s">
        <v>6999</v>
      </c>
      <c r="C5028" s="25">
        <v>0</v>
      </c>
      <c r="D5028" s="22" t="s">
        <v>7007</v>
      </c>
      <c r="E5028" s="22" t="s">
        <v>208</v>
      </c>
      <c r="F5028" s="23" t="str">
        <f>HYPERLINK("https://www.spark-marketing.ru/Card/Lot/71854147", "Камера видеонаблюдения HikVision DS-2CD2643G0-IZS (2.8-12mm) 4 Mp motor-zoom")</f>
        <v>Камера видеонаблюдения HikVision DS-2CD2643G0-IZS (2.8-12mm) 4 Mp motor-zoom</v>
      </c>
      <c r="G5028" s="22" t="s">
        <v>55</v>
      </c>
      <c r="H5028" s="22" t="s">
        <v>55</v>
      </c>
      <c r="I5028" s="26">
        <v>43648.745219907403</v>
      </c>
      <c r="J5028" s="28" t="s">
        <v>52</v>
      </c>
      <c r="K5028" s="28" t="s">
        <v>52</v>
      </c>
      <c r="L5028" s="28" t="s">
        <v>52</v>
      </c>
      <c r="M5028" s="28" t="s">
        <v>52</v>
      </c>
      <c r="N5028" s="28" t="s">
        <v>52</v>
      </c>
    </row>
    <row r="5029" spans="1:14" x14ac:dyDescent="0.15">
      <c r="A5029" s="23" t="str">
        <f t="shared" si="223"/>
        <v>АО "ТОРГОВЫЙ ДОМ "ПЕРЕКРЕСТОК"</v>
      </c>
      <c r="B5029" s="24" t="s">
        <v>6999</v>
      </c>
      <c r="C5029" s="25">
        <v>0</v>
      </c>
      <c r="D5029" s="22" t="s">
        <v>7000</v>
      </c>
      <c r="E5029" s="22" t="s">
        <v>208</v>
      </c>
      <c r="F5029" s="23" t="str">
        <f>HYPERLINK("https://www.spark-marketing.ru/Card/Lot/71849979", "Камера видеонаблюдения HikVision DS-2CD2123G0-IS (2.8mm) купол")</f>
        <v>Камера видеонаблюдения HikVision DS-2CD2123G0-IS (2.8mm) купол</v>
      </c>
      <c r="G5029" s="22" t="s">
        <v>55</v>
      </c>
      <c r="H5029" s="22" t="s">
        <v>55</v>
      </c>
      <c r="I5029" s="26">
        <v>43648.7443055556</v>
      </c>
      <c r="J5029" s="28" t="s">
        <v>52</v>
      </c>
      <c r="K5029" s="28" t="s">
        <v>52</v>
      </c>
      <c r="L5029" s="28" t="s">
        <v>52</v>
      </c>
      <c r="M5029" s="28" t="s">
        <v>52</v>
      </c>
      <c r="N5029" s="28" t="s">
        <v>52</v>
      </c>
    </row>
    <row r="5030" spans="1:14" x14ac:dyDescent="0.15">
      <c r="A5030" s="23" t="str">
        <f t="shared" si="223"/>
        <v>АО "ТОРГОВЫЙ ДОМ "ПЕРЕКРЕСТОК"</v>
      </c>
      <c r="B5030" s="24" t="s">
        <v>6999</v>
      </c>
      <c r="C5030" s="25">
        <v>0</v>
      </c>
      <c r="D5030" s="22" t="s">
        <v>7006</v>
      </c>
      <c r="E5030" s="22" t="s">
        <v>208</v>
      </c>
      <c r="F5030" s="23" t="str">
        <f>HYPERLINK("https://www.spark-marketing.ru/Card/Lot/71850659", "Камера видеонаблюдения HikVision DS-2CD2643G0-IZS (2.8-12mm) 4 Mp motor-zoom")</f>
        <v>Камера видеонаблюдения HikVision DS-2CD2643G0-IZS (2.8-12mm) 4 Mp motor-zoom</v>
      </c>
      <c r="G5030" s="22" t="s">
        <v>55</v>
      </c>
      <c r="H5030" s="22" t="s">
        <v>55</v>
      </c>
      <c r="I5030" s="26">
        <v>43648.744490740697</v>
      </c>
      <c r="J5030" s="28" t="s">
        <v>52</v>
      </c>
      <c r="K5030" s="28" t="s">
        <v>52</v>
      </c>
      <c r="L5030" s="28" t="s">
        <v>52</v>
      </c>
      <c r="M5030" s="28" t="s">
        <v>52</v>
      </c>
      <c r="N5030" s="28" t="s">
        <v>52</v>
      </c>
    </row>
    <row r="5031" spans="1:14" x14ac:dyDescent="0.15">
      <c r="A5031" s="23" t="str">
        <f t="shared" si="223"/>
        <v>АО "ТОРГОВЫЙ ДОМ "ПЕРЕКРЕСТОК"</v>
      </c>
      <c r="B5031" s="24" t="s">
        <v>6999</v>
      </c>
      <c r="C5031" s="25">
        <v>0</v>
      </c>
      <c r="D5031" s="22" t="s">
        <v>7007</v>
      </c>
      <c r="E5031" s="22" t="s">
        <v>208</v>
      </c>
      <c r="F5031" s="23" t="str">
        <f>HYPERLINK("https://www.spark-marketing.ru/Card/Lot/71854384", "TRASSIR NeiroStation 1V (Сервер видеоналитики, 1*GPU)")</f>
        <v>TRASSIR NeiroStation 1V (Сервер видеоналитики, 1*GPU)</v>
      </c>
      <c r="G5031" s="22" t="s">
        <v>55</v>
      </c>
      <c r="H5031" s="22" t="s">
        <v>55</v>
      </c>
      <c r="I5031" s="26">
        <v>43648.745219907403</v>
      </c>
      <c r="J5031" s="28" t="s">
        <v>52</v>
      </c>
      <c r="K5031" s="28" t="s">
        <v>52</v>
      </c>
      <c r="L5031" s="28" t="s">
        <v>52</v>
      </c>
      <c r="M5031" s="28" t="s">
        <v>52</v>
      </c>
      <c r="N5031" s="28" t="s">
        <v>52</v>
      </c>
    </row>
    <row r="5032" spans="1:14" x14ac:dyDescent="0.15">
      <c r="A5032" s="23" t="str">
        <f t="shared" si="223"/>
        <v>АО "ТОРГОВЫЙ ДОМ "ПЕРЕКРЕСТОК"</v>
      </c>
      <c r="B5032" s="24" t="s">
        <v>6999</v>
      </c>
      <c r="C5032" s="25">
        <v>0</v>
      </c>
      <c r="D5032" s="22" t="s">
        <v>7004</v>
      </c>
      <c r="E5032" s="22" t="s">
        <v>208</v>
      </c>
      <c r="F5032" s="23" t="str">
        <f>HYPERLINK("https://www.spark-marketing.ru/Card/Lot/71852649", "Камера видеонаблюдения HikVision DS-2CD2643G0-IZS (2.8-12mm) 4 Mp motor-zoom")</f>
        <v>Камера видеонаблюдения HikVision DS-2CD2643G0-IZS (2.8-12mm) 4 Mp motor-zoom</v>
      </c>
      <c r="G5032" s="22" t="s">
        <v>55</v>
      </c>
      <c r="H5032" s="22" t="s">
        <v>55</v>
      </c>
      <c r="I5032" s="26">
        <v>43648.745347222197</v>
      </c>
      <c r="J5032" s="28" t="s">
        <v>52</v>
      </c>
      <c r="K5032" s="28" t="s">
        <v>52</v>
      </c>
      <c r="L5032" s="28" t="s">
        <v>52</v>
      </c>
      <c r="M5032" s="28" t="s">
        <v>52</v>
      </c>
      <c r="N5032" s="28" t="s">
        <v>52</v>
      </c>
    </row>
    <row r="5033" spans="1:14" x14ac:dyDescent="0.15">
      <c r="A5033" s="23" t="str">
        <f t="shared" si="223"/>
        <v>АО "ТОРГОВЫЙ ДОМ "ПЕРЕКРЕСТОК"</v>
      </c>
      <c r="B5033" s="24" t="s">
        <v>6999</v>
      </c>
      <c r="C5033" s="25">
        <v>0</v>
      </c>
      <c r="D5033" s="22" t="s">
        <v>7005</v>
      </c>
      <c r="E5033" s="22" t="s">
        <v>208</v>
      </c>
      <c r="F5033" s="23" t="str">
        <f>HYPERLINK("https://www.spark-marketing.ru/Card/Lot/71853762", "Камера видеонаблюдения HikVision DS-2CD2023G0-I (4mm) булет")</f>
        <v>Камера видеонаблюдения HikVision DS-2CD2023G0-I (4mm) булет</v>
      </c>
      <c r="G5033" s="22" t="s">
        <v>55</v>
      </c>
      <c r="H5033" s="22" t="s">
        <v>55</v>
      </c>
      <c r="I5033" s="26">
        <v>43648.745069444398</v>
      </c>
      <c r="J5033" s="28" t="s">
        <v>52</v>
      </c>
      <c r="K5033" s="28" t="s">
        <v>52</v>
      </c>
      <c r="L5033" s="28" t="s">
        <v>52</v>
      </c>
      <c r="M5033" s="28" t="s">
        <v>52</v>
      </c>
      <c r="N5033" s="28" t="s">
        <v>52</v>
      </c>
    </row>
    <row r="5034" spans="1:14" x14ac:dyDescent="0.15">
      <c r="A5034" s="23" t="str">
        <f t="shared" si="223"/>
        <v>АО "ТОРГОВЫЙ ДОМ "ПЕРЕКРЕСТОК"</v>
      </c>
      <c r="B5034" s="24" t="s">
        <v>6999</v>
      </c>
      <c r="C5034" s="25">
        <v>0</v>
      </c>
      <c r="D5034" s="22" t="s">
        <v>7007</v>
      </c>
      <c r="E5034" s="22" t="s">
        <v>208</v>
      </c>
      <c r="F5034" s="23" t="str">
        <f>HYPERLINK("https://www.spark-marketing.ru/Card/Lot/71854148", "Камера видеонаблюдения HikVision DS-2CE16D8T-IT3ZE HD-TVI motor-zoom")</f>
        <v>Камера видеонаблюдения HikVision DS-2CE16D8T-IT3ZE HD-TVI motor-zoom</v>
      </c>
      <c r="G5034" s="22" t="s">
        <v>55</v>
      </c>
      <c r="H5034" s="22" t="s">
        <v>55</v>
      </c>
      <c r="I5034" s="26">
        <v>43648.745219907403</v>
      </c>
      <c r="J5034" s="28" t="s">
        <v>52</v>
      </c>
      <c r="K5034" s="28" t="s">
        <v>52</v>
      </c>
      <c r="L5034" s="28" t="s">
        <v>52</v>
      </c>
      <c r="M5034" s="28" t="s">
        <v>52</v>
      </c>
      <c r="N5034" s="28" t="s">
        <v>52</v>
      </c>
    </row>
    <row r="5035" spans="1:14" x14ac:dyDescent="0.15">
      <c r="A5035" s="23" t="str">
        <f t="shared" si="223"/>
        <v>АО "ТОРГОВЫЙ ДОМ "ПЕРЕКРЕСТОК"</v>
      </c>
      <c r="B5035" s="24" t="s">
        <v>6999</v>
      </c>
      <c r="C5035" s="25">
        <v>0</v>
      </c>
      <c r="D5035" s="22" t="s">
        <v>7001</v>
      </c>
      <c r="E5035" s="22" t="s">
        <v>208</v>
      </c>
      <c r="F5035" s="23" t="str">
        <f>HYPERLINK("https://www.spark-marketing.ru/Card/Lot/71852450", "LTV-BMW-305-HV, кронштейн настенный для видеокамер LTV-SDNO36-HV, LTV-SDNO36L-HV, LTV-ISDNO20-EM2, вылет 305мм")</f>
        <v>LTV-BMW-305-HV, кронштейн настенный для видеокамер LTV-SDNO36-HV, LTV-SDNO36L-HV, LTV-ISDNO20-EM2, вылет 305мм</v>
      </c>
      <c r="G5035" s="22" t="s">
        <v>55</v>
      </c>
      <c r="H5035" s="22" t="s">
        <v>55</v>
      </c>
      <c r="I5035" s="26">
        <v>43648.7449305556</v>
      </c>
      <c r="J5035" s="28" t="s">
        <v>52</v>
      </c>
      <c r="K5035" s="28" t="s">
        <v>52</v>
      </c>
      <c r="L5035" s="28" t="s">
        <v>52</v>
      </c>
      <c r="M5035" s="28" t="s">
        <v>52</v>
      </c>
      <c r="N5035" s="28" t="s">
        <v>52</v>
      </c>
    </row>
    <row r="5036" spans="1:14" x14ac:dyDescent="0.15">
      <c r="A5036" s="23" t="str">
        <f t="shared" si="223"/>
        <v>АО "ТОРГОВЫЙ ДОМ "ПЕРЕКРЕСТОК"</v>
      </c>
      <c r="B5036" s="24" t="s">
        <v>6999</v>
      </c>
      <c r="C5036" s="25">
        <v>0</v>
      </c>
      <c r="D5036" s="22" t="s">
        <v>7004</v>
      </c>
      <c r="E5036" s="22" t="s">
        <v>208</v>
      </c>
      <c r="F5036" s="23" t="str">
        <f>HYPERLINK("https://www.spark-marketing.ru/Card/Lot/71853472", "Видеодомофон монохромный, с трубкой, AC 110-240В.")</f>
        <v>Видеодомофон монохромный, с трубкой, AC 110-240В.</v>
      </c>
      <c r="G5036" s="22" t="s">
        <v>55</v>
      </c>
      <c r="H5036" s="22" t="s">
        <v>55</v>
      </c>
      <c r="I5036" s="26">
        <v>43648.745347222197</v>
      </c>
      <c r="J5036" s="28" t="s">
        <v>52</v>
      </c>
      <c r="K5036" s="28" t="s">
        <v>52</v>
      </c>
      <c r="L5036" s="28" t="s">
        <v>52</v>
      </c>
      <c r="M5036" s="28" t="s">
        <v>52</v>
      </c>
      <c r="N5036" s="28" t="s">
        <v>52</v>
      </c>
    </row>
    <row r="5037" spans="1:14" x14ac:dyDescent="0.15">
      <c r="A5037" s="23" t="str">
        <f t="shared" si="223"/>
        <v>АО "ТОРГОВЫЙ ДОМ "ПЕРЕКРЕСТОК"</v>
      </c>
      <c r="B5037" s="24" t="s">
        <v>6999</v>
      </c>
      <c r="C5037" s="25">
        <v>0</v>
      </c>
      <c r="D5037" s="22" t="s">
        <v>7006</v>
      </c>
      <c r="E5037" s="22" t="s">
        <v>208</v>
      </c>
      <c r="F5037" s="23" t="str">
        <f>HYPERLINK("https://www.spark-marketing.ru/Card/Lot/71851194", "Демонтаж Системы видеонаблюдения (включая кабельные трассы)")</f>
        <v>Демонтаж Системы видеонаблюдения (включая кабельные трассы)</v>
      </c>
      <c r="G5037" s="22" t="s">
        <v>55</v>
      </c>
      <c r="H5037" s="22" t="s">
        <v>55</v>
      </c>
      <c r="I5037" s="26">
        <v>43648.744490740697</v>
      </c>
      <c r="J5037" s="28" t="s">
        <v>52</v>
      </c>
      <c r="K5037" s="28" t="s">
        <v>52</v>
      </c>
      <c r="L5037" s="28" t="s">
        <v>52</v>
      </c>
      <c r="M5037" s="28" t="s">
        <v>52</v>
      </c>
      <c r="N5037" s="28" t="s">
        <v>52</v>
      </c>
    </row>
    <row r="5038" spans="1:14" x14ac:dyDescent="0.15">
      <c r="A5038" s="23" t="str">
        <f t="shared" si="223"/>
        <v>АО "ТОРГОВЫЙ ДОМ "ПЕРЕКРЕСТОК"</v>
      </c>
      <c r="B5038" s="24" t="s">
        <v>6999</v>
      </c>
      <c r="C5038" s="25">
        <v>0</v>
      </c>
      <c r="D5038" s="22" t="s">
        <v>7008</v>
      </c>
      <c r="E5038" s="22" t="s">
        <v>208</v>
      </c>
      <c r="F5038" s="23" t="str">
        <f>HYPERLINK("https://www.spark-marketing.ru/Card/Lot/71854678", "HASP ключ для системы Видеомаркет")</f>
        <v>HASP ключ для системы Видеомаркет</v>
      </c>
      <c r="G5038" s="22" t="s">
        <v>55</v>
      </c>
      <c r="H5038" s="22" t="s">
        <v>55</v>
      </c>
      <c r="I5038" s="26">
        <v>43648.745509259301</v>
      </c>
      <c r="J5038" s="28" t="s">
        <v>52</v>
      </c>
      <c r="K5038" s="28" t="s">
        <v>52</v>
      </c>
      <c r="L5038" s="28" t="s">
        <v>52</v>
      </c>
      <c r="M5038" s="28" t="s">
        <v>52</v>
      </c>
      <c r="N5038" s="28" t="s">
        <v>52</v>
      </c>
    </row>
    <row r="5039" spans="1:14" x14ac:dyDescent="0.15">
      <c r="A5039" s="23" t="str">
        <f>HYPERLINK("https://www.spark-marketing.ru/Card/Person/953783", "КГАУ ""ЦМИ ""ФОРУМ""")</f>
        <v>КГАУ "ЦМИ "ФОРУМ"</v>
      </c>
      <c r="B5039" s="24" t="s">
        <v>7009</v>
      </c>
      <c r="C5039" s="25">
        <v>1104386.67</v>
      </c>
      <c r="D5039" s="22" t="s">
        <v>7010</v>
      </c>
      <c r="E5039" s="22" t="s">
        <v>5223</v>
      </c>
      <c r="F5039" s="23" t="str">
        <f>HYPERLINK("https://www.spark-marketing.ru/Card/Lot/71843322", "услуг по физической охране объекта Заказчика: имущества, здания и сооружений и прилегающей к зданию территории, обеспечение правопорядка на вверенных объектах")</f>
        <v>услуг по физической охране объекта Заказчика: имущества, здания и сооружений и прилегающей к зданию территории, обеспечение правопорядка на вверенных объектах</v>
      </c>
      <c r="G5039" s="22" t="s">
        <v>640</v>
      </c>
      <c r="H5039" s="22" t="s">
        <v>640</v>
      </c>
      <c r="I5039" s="26">
        <v>43648.715740740699</v>
      </c>
      <c r="J5039" s="28" t="s">
        <v>52</v>
      </c>
      <c r="K5039" s="28" t="s">
        <v>52</v>
      </c>
      <c r="L5039" s="28" t="s">
        <v>52</v>
      </c>
      <c r="M5039" s="28" t="s">
        <v>52</v>
      </c>
      <c r="N5039" s="28" t="s">
        <v>52</v>
      </c>
    </row>
    <row r="5040" spans="1:14" x14ac:dyDescent="0.15">
      <c r="A5040" s="23" t="str">
        <f t="shared" ref="A5040:A5071" si="224">HYPERLINK("https://www.spark-marketing.ru/Card/Person/1887298", "АО ""ТОРГОВЫЙ ДОМ ""ПЕРЕКРЕСТОК""")</f>
        <v>АО "ТОРГОВЫЙ ДОМ "ПЕРЕКРЕСТОК"</v>
      </c>
      <c r="B5040" s="24" t="s">
        <v>6999</v>
      </c>
      <c r="C5040" s="25">
        <v>0</v>
      </c>
      <c r="D5040" s="22" t="s">
        <v>7002</v>
      </c>
      <c r="E5040" s="22" t="s">
        <v>208</v>
      </c>
      <c r="F5040" s="23" t="str">
        <f>HYPERLINK("https://www.spark-marketing.ru/Card/Lot/71851427", "AC-TA281IR2 Уличная 2МП TVI видеокамера в компактном кожухе. Разрешение 1080P, матрица 1/2.8"" CMOS SONY, Цвет: 0.05 Лк (F1.8) / ЧБ: 0 Лк (ИК вкл.), объектив 3.6мм, режим «День/Ночь», механический ИК-фильтр, 3D-NR, DWDR, OSD, питание 12В DC, потребля...")</f>
        <v>AC-TA281IR2 Уличная 2МП TVI видеокамера в компактном кожухе. Разрешение 1080P, матрица 1/2.8" CMOS SONY, Цвет: 0.05 Лк (F1.8) / ЧБ: 0 Лк (ИК вкл.), объектив 3.6мм, режим «День/Ночь», механический ИК-фильтр, 3D-NR, DWDR, OSD, питание 12В DC, потребля...</v>
      </c>
      <c r="G5040" s="22" t="s">
        <v>55</v>
      </c>
      <c r="H5040" s="22" t="s">
        <v>55</v>
      </c>
      <c r="I5040" s="26">
        <v>43648.744641203702</v>
      </c>
      <c r="J5040" s="28" t="s">
        <v>52</v>
      </c>
      <c r="K5040" s="28" t="s">
        <v>52</v>
      </c>
      <c r="L5040" s="28" t="s">
        <v>52</v>
      </c>
      <c r="M5040" s="28" t="s">
        <v>52</v>
      </c>
      <c r="N5040" s="28" t="s">
        <v>52</v>
      </c>
    </row>
    <row r="5041" spans="1:14" x14ac:dyDescent="0.15">
      <c r="A5041" s="23" t="str">
        <f t="shared" si="224"/>
        <v>АО "ТОРГОВЫЙ ДОМ "ПЕРЕКРЕСТОК"</v>
      </c>
      <c r="B5041" s="24" t="s">
        <v>6999</v>
      </c>
      <c r="C5041" s="25">
        <v>0</v>
      </c>
      <c r="D5041" s="22" t="s">
        <v>7002</v>
      </c>
      <c r="E5041" s="22" t="s">
        <v>208</v>
      </c>
      <c r="F5041" s="23" t="str">
        <f>HYPERLINK("https://www.spark-marketing.ru/Card/Lot/71851039", "TRASSIR NeiroStation 2V (Сервер видеоналитики, 2*GPU)")</f>
        <v>TRASSIR NeiroStation 2V (Сервер видеоналитики, 2*GPU)</v>
      </c>
      <c r="G5041" s="22" t="s">
        <v>55</v>
      </c>
      <c r="H5041" s="22" t="s">
        <v>55</v>
      </c>
      <c r="I5041" s="26">
        <v>43648.744641203702</v>
      </c>
      <c r="J5041" s="28" t="s">
        <v>52</v>
      </c>
      <c r="K5041" s="28" t="s">
        <v>52</v>
      </c>
      <c r="L5041" s="28" t="s">
        <v>52</v>
      </c>
      <c r="M5041" s="28" t="s">
        <v>52</v>
      </c>
      <c r="N5041" s="28" t="s">
        <v>52</v>
      </c>
    </row>
    <row r="5042" spans="1:14" x14ac:dyDescent="0.15">
      <c r="A5042" s="23" t="str">
        <f t="shared" si="224"/>
        <v>АО "ТОРГОВЫЙ ДОМ "ПЕРЕКРЕСТОК"</v>
      </c>
      <c r="B5042" s="24" t="s">
        <v>6999</v>
      </c>
      <c r="C5042" s="25">
        <v>0</v>
      </c>
      <c r="D5042" s="22" t="s">
        <v>7008</v>
      </c>
      <c r="E5042" s="22" t="s">
        <v>208</v>
      </c>
      <c r="F5042" s="23" t="str">
        <f>HYPERLINK("https://www.spark-marketing.ru/Card/Lot/71854489", "Камера видеонаблюдения HikVision DS-2CD2723G0-IZS (2.8-12mm) купол")</f>
        <v>Камера видеонаблюдения HikVision DS-2CD2723G0-IZS (2.8-12mm) купол</v>
      </c>
      <c r="G5042" s="22" t="s">
        <v>55</v>
      </c>
      <c r="H5042" s="22" t="s">
        <v>55</v>
      </c>
      <c r="I5042" s="26">
        <v>43648.745509259301</v>
      </c>
      <c r="J5042" s="28" t="s">
        <v>52</v>
      </c>
      <c r="K5042" s="28" t="s">
        <v>52</v>
      </c>
      <c r="L5042" s="28" t="s">
        <v>52</v>
      </c>
      <c r="M5042" s="28" t="s">
        <v>52</v>
      </c>
      <c r="N5042" s="28" t="s">
        <v>52</v>
      </c>
    </row>
    <row r="5043" spans="1:14" x14ac:dyDescent="0.15">
      <c r="A5043" s="23" t="str">
        <f t="shared" si="224"/>
        <v>АО "ТОРГОВЫЙ ДОМ "ПЕРЕКРЕСТОК"</v>
      </c>
      <c r="B5043" s="24" t="s">
        <v>6999</v>
      </c>
      <c r="C5043" s="25">
        <v>0</v>
      </c>
      <c r="D5043" s="22" t="s">
        <v>7000</v>
      </c>
      <c r="E5043" s="22" t="s">
        <v>208</v>
      </c>
      <c r="F5043" s="23" t="str">
        <f>HYPERLINK("https://www.spark-marketing.ru/Card/Lot/71850277", "AC-TA363IR2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f>
        <v>AC-TA363IR2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v>
      </c>
      <c r="G5043" s="22" t="s">
        <v>55</v>
      </c>
      <c r="H5043" s="22" t="s">
        <v>55</v>
      </c>
      <c r="I5043" s="26">
        <v>43648.7443055556</v>
      </c>
      <c r="J5043" s="28" t="s">
        <v>52</v>
      </c>
      <c r="K5043" s="28" t="s">
        <v>52</v>
      </c>
      <c r="L5043" s="28" t="s">
        <v>52</v>
      </c>
      <c r="M5043" s="28" t="s">
        <v>52</v>
      </c>
      <c r="N5043" s="28" t="s">
        <v>52</v>
      </c>
    </row>
    <row r="5044" spans="1:14" x14ac:dyDescent="0.15">
      <c r="A5044" s="23" t="str">
        <f t="shared" si="224"/>
        <v>АО "ТОРГОВЫЙ ДОМ "ПЕРЕКРЕСТОК"</v>
      </c>
      <c r="B5044" s="24" t="s">
        <v>6999</v>
      </c>
      <c r="C5044" s="25">
        <v>0</v>
      </c>
      <c r="D5044" s="22" t="s">
        <v>7005</v>
      </c>
      <c r="E5044" s="22" t="s">
        <v>208</v>
      </c>
      <c r="F5044" s="23" t="str">
        <f>HYPERLINK("https://www.spark-marketing.ru/Card/Lot/71854241", "Сервер контроля кассовых операций Видеомаркет ( Intel Core i7 1150; Материнская плата ASUS H81M-K 1150; ОЗУ 2х4Gb DDR3; SSD 240Gb; Сетевая карта 10/100/1000Mbps х2; Корпус RackMount 550W; OS Windows 7/8/10 PRO-64 bit, Russian; MS SQL 2012) комплект ...")</f>
        <v>Сервер контроля кассовых операций Видеомаркет ( Intel Core i7 1150; Материнская плата ASUS H81M-K 1150; ОЗУ 2х4Gb DDR3; SSD 240Gb; Сетевая карта 10/100/1000Mbps х2; Корпус RackMount 550W; OS Windows 7/8/10 PRO-64 bit, Russian; MS SQL 2012) комплект ...</v>
      </c>
      <c r="G5044" s="22" t="s">
        <v>55</v>
      </c>
      <c r="H5044" s="22" t="s">
        <v>55</v>
      </c>
      <c r="I5044" s="26">
        <v>43648.745069444398</v>
      </c>
      <c r="J5044" s="28" t="s">
        <v>52</v>
      </c>
      <c r="K5044" s="28" t="s">
        <v>52</v>
      </c>
      <c r="L5044" s="28" t="s">
        <v>52</v>
      </c>
      <c r="M5044" s="28" t="s">
        <v>52</v>
      </c>
      <c r="N5044" s="28" t="s">
        <v>52</v>
      </c>
    </row>
    <row r="5045" spans="1:14" x14ac:dyDescent="0.15">
      <c r="A5045" s="23" t="str">
        <f t="shared" si="224"/>
        <v>АО "ТОРГОВЫЙ ДОМ "ПЕРЕКРЕСТОК"</v>
      </c>
      <c r="B5045" s="24" t="s">
        <v>6999</v>
      </c>
      <c r="C5045" s="25">
        <v>0</v>
      </c>
      <c r="D5045" s="22" t="s">
        <v>7008</v>
      </c>
      <c r="E5045" s="22" t="s">
        <v>208</v>
      </c>
      <c r="F5045" s="23" t="str">
        <f>HYPERLINK("https://www.spark-marketing.ru/Card/Lot/71854690", "Демонтаж Системы охранной сигнализации (включая кабельные трассы)")</f>
        <v>Демонтаж Системы охранной сигнализации (включая кабельные трассы)</v>
      </c>
      <c r="G5045" s="22" t="s">
        <v>55</v>
      </c>
      <c r="H5045" s="22" t="s">
        <v>55</v>
      </c>
      <c r="I5045" s="26">
        <v>43648.745509259301</v>
      </c>
      <c r="J5045" s="28" t="s">
        <v>52</v>
      </c>
      <c r="K5045" s="28" t="s">
        <v>52</v>
      </c>
      <c r="L5045" s="28" t="s">
        <v>52</v>
      </c>
      <c r="M5045" s="28" t="s">
        <v>52</v>
      </c>
      <c r="N5045" s="28" t="s">
        <v>52</v>
      </c>
    </row>
    <row r="5046" spans="1:14" x14ac:dyDescent="0.15">
      <c r="A5046" s="23" t="str">
        <f t="shared" si="224"/>
        <v>АО "ТОРГОВЫЙ ДОМ "ПЕРЕКРЕСТОК"</v>
      </c>
      <c r="B5046" s="24" t="s">
        <v>6999</v>
      </c>
      <c r="C5046" s="25">
        <v>0</v>
      </c>
      <c r="D5046" s="22" t="s">
        <v>7008</v>
      </c>
      <c r="E5046" s="22" t="s">
        <v>208</v>
      </c>
      <c r="F5046" s="23" t="str">
        <f>HYPERLINK("https://www.spark-marketing.ru/Card/Lot/71854885", "Видеодомофон монохромный, с трубкой, AC 110-240В.")</f>
        <v>Видеодомофон монохромный, с трубкой, AC 110-240В.</v>
      </c>
      <c r="G5046" s="22" t="s">
        <v>55</v>
      </c>
      <c r="H5046" s="22" t="s">
        <v>55</v>
      </c>
      <c r="I5046" s="26">
        <v>43648.745509259301</v>
      </c>
      <c r="J5046" s="28" t="s">
        <v>52</v>
      </c>
      <c r="K5046" s="28" t="s">
        <v>52</v>
      </c>
      <c r="L5046" s="28" t="s">
        <v>52</v>
      </c>
      <c r="M5046" s="28" t="s">
        <v>52</v>
      </c>
      <c r="N5046" s="28" t="s">
        <v>52</v>
      </c>
    </row>
    <row r="5047" spans="1:14" x14ac:dyDescent="0.15">
      <c r="A5047" s="23" t="str">
        <f t="shared" si="224"/>
        <v>АО "ТОРГОВЫЙ ДОМ "ПЕРЕКРЕСТОК"</v>
      </c>
      <c r="B5047" s="24" t="s">
        <v>6999</v>
      </c>
      <c r="C5047" s="25">
        <v>0</v>
      </c>
      <c r="D5047" s="22" t="s">
        <v>7008</v>
      </c>
      <c r="E5047" s="22" t="s">
        <v>208</v>
      </c>
      <c r="F5047" s="23" t="str">
        <f>HYPERLINK("https://www.spark-marketing.ru/Card/Lot/71854529", "Камера видеонаблюдения HikVision DS-2DE4225W-DE3 PTZ")</f>
        <v>Камера видеонаблюдения HikVision DS-2DE4225W-DE3 PTZ</v>
      </c>
      <c r="G5047" s="22" t="s">
        <v>55</v>
      </c>
      <c r="H5047" s="22" t="s">
        <v>55</v>
      </c>
      <c r="I5047" s="26">
        <v>43648.745509259301</v>
      </c>
      <c r="J5047" s="28" t="s">
        <v>52</v>
      </c>
      <c r="K5047" s="28" t="s">
        <v>52</v>
      </c>
      <c r="L5047" s="28" t="s">
        <v>52</v>
      </c>
      <c r="M5047" s="28" t="s">
        <v>52</v>
      </c>
      <c r="N5047" s="28" t="s">
        <v>52</v>
      </c>
    </row>
    <row r="5048" spans="1:14" x14ac:dyDescent="0.15">
      <c r="A5048" s="23" t="str">
        <f t="shared" si="224"/>
        <v>АО "ТОРГОВЫЙ ДОМ "ПЕРЕКРЕСТОК"</v>
      </c>
      <c r="B5048" s="24" t="s">
        <v>6999</v>
      </c>
      <c r="C5048" s="25">
        <v>0</v>
      </c>
      <c r="D5048" s="22" t="s">
        <v>7004</v>
      </c>
      <c r="E5048" s="22" t="s">
        <v>208</v>
      </c>
      <c r="F5048" s="23" t="str">
        <f>HYPERLINK("https://www.spark-marketing.ru/Card/Lot/71852995", "HASP ключ для системы Видеомаркет")</f>
        <v>HASP ключ для системы Видеомаркет</v>
      </c>
      <c r="G5048" s="22" t="s">
        <v>55</v>
      </c>
      <c r="H5048" s="22" t="s">
        <v>55</v>
      </c>
      <c r="I5048" s="26">
        <v>43648.745347222197</v>
      </c>
      <c r="J5048" s="28" t="s">
        <v>52</v>
      </c>
      <c r="K5048" s="28" t="s">
        <v>52</v>
      </c>
      <c r="L5048" s="28" t="s">
        <v>52</v>
      </c>
      <c r="M5048" s="28" t="s">
        <v>52</v>
      </c>
      <c r="N5048" s="28" t="s">
        <v>52</v>
      </c>
    </row>
    <row r="5049" spans="1:14" x14ac:dyDescent="0.15">
      <c r="A5049" s="23" t="str">
        <f t="shared" si="224"/>
        <v>АО "ТОРГОВЫЙ ДОМ "ПЕРЕКРЕСТОК"</v>
      </c>
      <c r="B5049" s="24" t="s">
        <v>6999</v>
      </c>
      <c r="C5049" s="25">
        <v>0</v>
      </c>
      <c r="D5049" s="22" t="s">
        <v>7007</v>
      </c>
      <c r="E5049" s="22" t="s">
        <v>208</v>
      </c>
      <c r="F5049" s="23" t="str">
        <f>HYPERLINK("https://www.spark-marketing.ru/Card/Lot/71853200", "Приемопередатчики видеосигнала по витой паре")</f>
        <v>Приемопередатчики видеосигнала по витой паре</v>
      </c>
      <c r="G5049" s="22" t="s">
        <v>55</v>
      </c>
      <c r="H5049" s="22" t="s">
        <v>55</v>
      </c>
      <c r="I5049" s="26">
        <v>43648.745219907403</v>
      </c>
      <c r="J5049" s="28" t="s">
        <v>52</v>
      </c>
      <c r="K5049" s="28" t="s">
        <v>52</v>
      </c>
      <c r="L5049" s="28" t="s">
        <v>52</v>
      </c>
      <c r="M5049" s="28" t="s">
        <v>52</v>
      </c>
      <c r="N5049" s="28" t="s">
        <v>52</v>
      </c>
    </row>
    <row r="5050" spans="1:14" x14ac:dyDescent="0.15">
      <c r="A5050" s="23" t="str">
        <f t="shared" si="224"/>
        <v>АО "ТОРГОВЫЙ ДОМ "ПЕРЕКРЕСТОК"</v>
      </c>
      <c r="B5050" s="24" t="s">
        <v>6999</v>
      </c>
      <c r="C5050" s="25">
        <v>0</v>
      </c>
      <c r="D5050" s="22" t="s">
        <v>7008</v>
      </c>
      <c r="E5050" s="22" t="s">
        <v>208</v>
      </c>
      <c r="F5050" s="23" t="str">
        <f>HYPERLINK("https://www.spark-marketing.ru/Card/Lot/71854525", "Камера видеонаблюдения HikVision DS-2CD2023G0-I (4mm) булет")</f>
        <v>Камера видеонаблюдения HikVision DS-2CD2023G0-I (4mm) булет</v>
      </c>
      <c r="G5050" s="22" t="s">
        <v>55</v>
      </c>
      <c r="H5050" s="22" t="s">
        <v>55</v>
      </c>
      <c r="I5050" s="26">
        <v>43648.745509259301</v>
      </c>
      <c r="J5050" s="28" t="s">
        <v>52</v>
      </c>
      <c r="K5050" s="28" t="s">
        <v>52</v>
      </c>
      <c r="L5050" s="28" t="s">
        <v>52</v>
      </c>
      <c r="M5050" s="28" t="s">
        <v>52</v>
      </c>
      <c r="N5050" s="28" t="s">
        <v>52</v>
      </c>
    </row>
    <row r="5051" spans="1:14" x14ac:dyDescent="0.15">
      <c r="A5051" s="23" t="str">
        <f t="shared" si="224"/>
        <v>АО "ТОРГОВЫЙ ДОМ "ПЕРЕКРЕСТОК"</v>
      </c>
      <c r="B5051" s="24" t="s">
        <v>6999</v>
      </c>
      <c r="C5051" s="25">
        <v>0</v>
      </c>
      <c r="D5051" s="22" t="s">
        <v>7000</v>
      </c>
      <c r="E5051" s="22" t="s">
        <v>208</v>
      </c>
      <c r="F5051" s="23" t="str">
        <f>HYPERLINK("https://www.spark-marketing.ru/Card/Lot/71850245", "LTV CTM-220 64, Видеокамера TVI, PTZ уличная, 1080p, DWDR, 3D DNR, BLC, EIS , объектив 4-120mm х30, ИК до 120м, IP66, -30°С+65°C, 24В (AC)")</f>
        <v>LTV CTM-220 64, Видеокамера TVI, PTZ уличная, 1080p, DWDR, 3D DNR, BLC, EIS , объектив 4-120mm х30, ИК до 120м, IP66, -30°С+65°C, 24В (AC)</v>
      </c>
      <c r="G5051" s="22" t="s">
        <v>55</v>
      </c>
      <c r="H5051" s="22" t="s">
        <v>55</v>
      </c>
      <c r="I5051" s="26">
        <v>43648.7443055556</v>
      </c>
      <c r="J5051" s="28" t="s">
        <v>52</v>
      </c>
      <c r="K5051" s="28" t="s">
        <v>52</v>
      </c>
      <c r="L5051" s="28" t="s">
        <v>52</v>
      </c>
      <c r="M5051" s="28" t="s">
        <v>52</v>
      </c>
      <c r="N5051" s="28" t="s">
        <v>52</v>
      </c>
    </row>
    <row r="5052" spans="1:14" x14ac:dyDescent="0.15">
      <c r="A5052" s="23" t="str">
        <f t="shared" si="224"/>
        <v>АО "ТОРГОВЫЙ ДОМ "ПЕРЕКРЕСТОК"</v>
      </c>
      <c r="B5052" s="24" t="s">
        <v>6999</v>
      </c>
      <c r="C5052" s="25">
        <v>0</v>
      </c>
      <c r="D5052" s="22" t="s">
        <v>7006</v>
      </c>
      <c r="E5052" s="22" t="s">
        <v>208</v>
      </c>
      <c r="F5052" s="23" t="str">
        <f>HYPERLINK("https://www.spark-marketing.ru/Card/Lot/71850965", "Приемопередатчики видеосигнала по витой паре")</f>
        <v>Приемопередатчики видеосигнала по витой паре</v>
      </c>
      <c r="G5052" s="22" t="s">
        <v>55</v>
      </c>
      <c r="H5052" s="22" t="s">
        <v>55</v>
      </c>
      <c r="I5052" s="26">
        <v>43648.744490740697</v>
      </c>
      <c r="J5052" s="28" t="s">
        <v>52</v>
      </c>
      <c r="K5052" s="28" t="s">
        <v>52</v>
      </c>
      <c r="L5052" s="28" t="s">
        <v>52</v>
      </c>
      <c r="M5052" s="28" t="s">
        <v>52</v>
      </c>
      <c r="N5052" s="28" t="s">
        <v>52</v>
      </c>
    </row>
    <row r="5053" spans="1:14" x14ac:dyDescent="0.15">
      <c r="A5053" s="23" t="str">
        <f t="shared" si="224"/>
        <v>АО "ТОРГОВЫЙ ДОМ "ПЕРЕКРЕСТОК"</v>
      </c>
      <c r="B5053" s="24" t="s">
        <v>6999</v>
      </c>
      <c r="C5053" s="25">
        <v>0</v>
      </c>
      <c r="D5053" s="22" t="s">
        <v>7003</v>
      </c>
      <c r="E5053" s="22" t="s">
        <v>208</v>
      </c>
      <c r="F5053" s="23" t="str">
        <f>HYPERLINK("https://www.spark-marketing.ru/Card/Lot/71851878", "Видеокамера бытовая, с перезаписываемой памятью (Flash), Full HD 1080p, Режим ночной съемки, Поддержка карт памяти, SD, SDHC, SDXC")</f>
        <v>Видеокамера бытовая, с перезаписываемой памятью (Flash), Full HD 1080p, Режим ночной съемки, Поддержка карт памяти, SD, SDHC, SDXC</v>
      </c>
      <c r="G5053" s="22" t="s">
        <v>55</v>
      </c>
      <c r="H5053" s="22" t="s">
        <v>55</v>
      </c>
      <c r="I5053" s="26">
        <v>43648.744791666701</v>
      </c>
      <c r="J5053" s="28" t="s">
        <v>52</v>
      </c>
      <c r="K5053" s="28" t="s">
        <v>52</v>
      </c>
      <c r="L5053" s="28" t="s">
        <v>52</v>
      </c>
      <c r="M5053" s="28" t="s">
        <v>52</v>
      </c>
      <c r="N5053" s="28" t="s">
        <v>52</v>
      </c>
    </row>
    <row r="5054" spans="1:14" x14ac:dyDescent="0.15">
      <c r="A5054" s="23" t="str">
        <f t="shared" si="224"/>
        <v>АО "ТОРГОВЫЙ ДОМ "ПЕРЕКРЕСТОК"</v>
      </c>
      <c r="B5054" s="24" t="s">
        <v>6999</v>
      </c>
      <c r="C5054" s="25">
        <v>0</v>
      </c>
      <c r="D5054" s="22" t="s">
        <v>7003</v>
      </c>
      <c r="E5054" s="22" t="s">
        <v>208</v>
      </c>
      <c r="F5054" s="23" t="str">
        <f>HYPERLINK("https://www.spark-marketing.ru/Card/Lot/71852128", "Юстировка стационарной видеокамеры")</f>
        <v>Юстировка стационарной видеокамеры</v>
      </c>
      <c r="G5054" s="22" t="s">
        <v>55</v>
      </c>
      <c r="H5054" s="22" t="s">
        <v>55</v>
      </c>
      <c r="I5054" s="26">
        <v>43648.744791666701</v>
      </c>
      <c r="J5054" s="28" t="s">
        <v>52</v>
      </c>
      <c r="K5054" s="28" t="s">
        <v>52</v>
      </c>
      <c r="L5054" s="28" t="s">
        <v>52</v>
      </c>
      <c r="M5054" s="28" t="s">
        <v>52</v>
      </c>
      <c r="N5054" s="28" t="s">
        <v>52</v>
      </c>
    </row>
    <row r="5055" spans="1:14" x14ac:dyDescent="0.15">
      <c r="A5055" s="23" t="str">
        <f t="shared" si="224"/>
        <v>АО "ТОРГОВЫЙ ДОМ "ПЕРЕКРЕСТОК"</v>
      </c>
      <c r="B5055" s="24" t="s">
        <v>6999</v>
      </c>
      <c r="C5055" s="25">
        <v>0</v>
      </c>
      <c r="D5055" s="22" t="s">
        <v>7008</v>
      </c>
      <c r="E5055" s="22" t="s">
        <v>208</v>
      </c>
      <c r="F5055" s="23" t="str">
        <f>HYPERLINK("https://www.spark-marketing.ru/Card/Lot/71854538", "Камера видеонаблюдения HikVision DS-2CD2543G0-IWS (2.8mm) купол")</f>
        <v>Камера видеонаблюдения HikVision DS-2CD2543G0-IWS (2.8mm) купол</v>
      </c>
      <c r="G5055" s="22" t="s">
        <v>55</v>
      </c>
      <c r="H5055" s="22" t="s">
        <v>55</v>
      </c>
      <c r="I5055" s="26">
        <v>43648.745509259301</v>
      </c>
      <c r="J5055" s="28" t="s">
        <v>52</v>
      </c>
      <c r="K5055" s="28" t="s">
        <v>52</v>
      </c>
      <c r="L5055" s="28" t="s">
        <v>52</v>
      </c>
      <c r="M5055" s="28" t="s">
        <v>52</v>
      </c>
      <c r="N5055" s="28" t="s">
        <v>52</v>
      </c>
    </row>
    <row r="5056" spans="1:14" x14ac:dyDescent="0.15">
      <c r="A5056" s="23" t="str">
        <f t="shared" si="224"/>
        <v>АО "ТОРГОВЫЙ ДОМ "ПЕРЕКРЕСТОК"</v>
      </c>
      <c r="B5056" s="24" t="s">
        <v>6999</v>
      </c>
      <c r="C5056" s="25">
        <v>0</v>
      </c>
      <c r="D5056" s="22" t="s">
        <v>7000</v>
      </c>
      <c r="E5056" s="22" t="s">
        <v>208</v>
      </c>
      <c r="F5056" s="23" t="str">
        <f>HYPERLINK("https://www.spark-marketing.ru/Card/Lot/71849995", "Камера видеонаблюдения HikVision DS-2CD2043G0-I (4mm) булет")</f>
        <v>Камера видеонаблюдения HikVision DS-2CD2043G0-I (4mm) булет</v>
      </c>
      <c r="G5056" s="22" t="s">
        <v>55</v>
      </c>
      <c r="H5056" s="22" t="s">
        <v>55</v>
      </c>
      <c r="I5056" s="26">
        <v>43648.7443055556</v>
      </c>
      <c r="J5056" s="28" t="s">
        <v>52</v>
      </c>
      <c r="K5056" s="28" t="s">
        <v>52</v>
      </c>
      <c r="L5056" s="28" t="s">
        <v>52</v>
      </c>
      <c r="M5056" s="28" t="s">
        <v>52</v>
      </c>
      <c r="N5056" s="28" t="s">
        <v>52</v>
      </c>
    </row>
    <row r="5057" spans="1:14" x14ac:dyDescent="0.15">
      <c r="A5057" s="23" t="str">
        <f t="shared" si="224"/>
        <v>АО "ТОРГОВЫЙ ДОМ "ПЕРЕКРЕСТОК"</v>
      </c>
      <c r="B5057" s="24" t="s">
        <v>6999</v>
      </c>
      <c r="C5057" s="25">
        <v>0</v>
      </c>
      <c r="D5057" s="22" t="s">
        <v>7002</v>
      </c>
      <c r="E5057" s="22" t="s">
        <v>208</v>
      </c>
      <c r="F5057" s="23" t="str">
        <f>HYPERLINK("https://www.spark-marketing.ru/Card/Lot/71851390", "LTV RTB-081 00, 8-канальный TVI/AHD видеорегистратор, 720P: 200 к/c, Ethernet, VGA/HDMI, 1 канал Audio, 1 HDD до 6Тб")</f>
        <v>LTV RTB-081 00, 8-канальный TVI/AHD видеорегистратор, 720P: 200 к/c, Ethernet, VGA/HDMI, 1 канал Audio, 1 HDD до 6Тб</v>
      </c>
      <c r="G5057" s="22" t="s">
        <v>55</v>
      </c>
      <c r="H5057" s="22" t="s">
        <v>55</v>
      </c>
      <c r="I5057" s="26">
        <v>43648.744641203702</v>
      </c>
      <c r="J5057" s="28" t="s">
        <v>52</v>
      </c>
      <c r="K5057" s="28" t="s">
        <v>52</v>
      </c>
      <c r="L5057" s="28" t="s">
        <v>52</v>
      </c>
      <c r="M5057" s="28" t="s">
        <v>52</v>
      </c>
      <c r="N5057" s="28" t="s">
        <v>52</v>
      </c>
    </row>
    <row r="5058" spans="1:14" x14ac:dyDescent="0.15">
      <c r="A5058" s="23" t="str">
        <f t="shared" si="224"/>
        <v>АО "ТОРГОВЫЙ ДОМ "ПЕРЕКРЕСТОК"</v>
      </c>
      <c r="B5058" s="24" t="s">
        <v>6999</v>
      </c>
      <c r="C5058" s="25">
        <v>0</v>
      </c>
      <c r="D5058" s="22" t="s">
        <v>7001</v>
      </c>
      <c r="E5058" s="22" t="s">
        <v>208</v>
      </c>
      <c r="F5058" s="23" t="str">
        <f>HYPERLINK("https://www.spark-marketing.ru/Card/Lot/71852223", "Камера видеонаблюдения HikVision DS-2DE4225W-DE3 PTZ")</f>
        <v>Камера видеонаблюдения HikVision DS-2DE4225W-DE3 PTZ</v>
      </c>
      <c r="G5058" s="22" t="s">
        <v>55</v>
      </c>
      <c r="H5058" s="22" t="s">
        <v>55</v>
      </c>
      <c r="I5058" s="26">
        <v>43648.7449305556</v>
      </c>
      <c r="J5058" s="28" t="s">
        <v>52</v>
      </c>
      <c r="K5058" s="28" t="s">
        <v>52</v>
      </c>
      <c r="L5058" s="28" t="s">
        <v>52</v>
      </c>
      <c r="M5058" s="28" t="s">
        <v>52</v>
      </c>
      <c r="N5058" s="28" t="s">
        <v>52</v>
      </c>
    </row>
    <row r="5059" spans="1:14" x14ac:dyDescent="0.15">
      <c r="A5059" s="23" t="str">
        <f t="shared" si="224"/>
        <v>АО "ТОРГОВЫЙ ДОМ "ПЕРЕКРЕСТОК"</v>
      </c>
      <c r="B5059" s="24" t="s">
        <v>6999</v>
      </c>
      <c r="C5059" s="25">
        <v>0</v>
      </c>
      <c r="D5059" s="22" t="s">
        <v>7001</v>
      </c>
      <c r="E5059" s="22" t="s">
        <v>208</v>
      </c>
      <c r="F5059" s="23" t="str">
        <f>HYPERLINK("https://www.spark-marketing.ru/Card/Lot/71852418", "ПО ВидеоМаркет (сервер)")</f>
        <v>ПО ВидеоМаркет (сервер)</v>
      </c>
      <c r="G5059" s="22" t="s">
        <v>55</v>
      </c>
      <c r="H5059" s="22" t="s">
        <v>55</v>
      </c>
      <c r="I5059" s="26">
        <v>43648.7449305556</v>
      </c>
      <c r="J5059" s="28" t="s">
        <v>52</v>
      </c>
      <c r="K5059" s="28" t="s">
        <v>52</v>
      </c>
      <c r="L5059" s="28" t="s">
        <v>52</v>
      </c>
      <c r="M5059" s="28" t="s">
        <v>52</v>
      </c>
      <c r="N5059" s="28" t="s">
        <v>52</v>
      </c>
    </row>
    <row r="5060" spans="1:14" x14ac:dyDescent="0.15">
      <c r="A5060" s="23" t="str">
        <f t="shared" si="224"/>
        <v>АО "ТОРГОВЫЙ ДОМ "ПЕРЕКРЕСТОК"</v>
      </c>
      <c r="B5060" s="24" t="s">
        <v>6999</v>
      </c>
      <c r="C5060" s="25">
        <v>0</v>
      </c>
      <c r="D5060" s="22" t="s">
        <v>7006</v>
      </c>
      <c r="E5060" s="22" t="s">
        <v>208</v>
      </c>
      <c r="F5060" s="23" t="str">
        <f>HYPERLINK("https://www.spark-marketing.ru/Card/Lot/71850575", "LTV-BMW-175 (GL-203E) Кронштейн 175мм для видеокамер, белый, металлический")</f>
        <v>LTV-BMW-175 (GL-203E) Кронштейн 175мм для видеокамер, белый, металлический</v>
      </c>
      <c r="G5060" s="22" t="s">
        <v>55</v>
      </c>
      <c r="H5060" s="22" t="s">
        <v>55</v>
      </c>
      <c r="I5060" s="26">
        <v>43648.744490740697</v>
      </c>
      <c r="J5060" s="28" t="s">
        <v>52</v>
      </c>
      <c r="K5060" s="28" t="s">
        <v>52</v>
      </c>
      <c r="L5060" s="28" t="s">
        <v>52</v>
      </c>
      <c r="M5060" s="28" t="s">
        <v>52</v>
      </c>
      <c r="N5060" s="28" t="s">
        <v>52</v>
      </c>
    </row>
    <row r="5061" spans="1:14" x14ac:dyDescent="0.15">
      <c r="A5061" s="23" t="str">
        <f t="shared" si="224"/>
        <v>АО "ТОРГОВЫЙ ДОМ "ПЕРЕКРЕСТОК"</v>
      </c>
      <c r="B5061" s="24" t="s">
        <v>6999</v>
      </c>
      <c r="C5061" s="25">
        <v>0</v>
      </c>
      <c r="D5061" s="22" t="s">
        <v>7001</v>
      </c>
      <c r="E5061" s="22" t="s">
        <v>208</v>
      </c>
      <c r="F5061" s="23" t="str">
        <f>HYPERLINK("https://www.spark-marketing.ru/Card/Lot/71852421", "Сервер контроля кассовых операций Видеомаркет ( Intel Core i7 1150; Материнская плата ASUS H81M-K 1150; ОЗУ 2х4Gb DDR3; SSD 240Gb; Сетевая карта 10/100/1000Mbps х2; Корпус RackMount 550W; OS Windows 7/8/10 PRO-64 bit, Russian; MS SQL 2012) комплект ...")</f>
        <v>Сервер контроля кассовых операций Видеомаркет ( Intel Core i7 1150; Материнская плата ASUS H81M-K 1150; ОЗУ 2х4Gb DDR3; SSD 240Gb; Сетевая карта 10/100/1000Mbps х2; Корпус RackMount 550W; OS Windows 7/8/10 PRO-64 bit, Russian; MS SQL 2012) комплект ...</v>
      </c>
      <c r="G5061" s="22" t="s">
        <v>55</v>
      </c>
      <c r="H5061" s="22" t="s">
        <v>55</v>
      </c>
      <c r="I5061" s="26">
        <v>43648.7449305556</v>
      </c>
      <c r="J5061" s="28" t="s">
        <v>52</v>
      </c>
      <c r="K5061" s="28" t="s">
        <v>52</v>
      </c>
      <c r="L5061" s="28" t="s">
        <v>52</v>
      </c>
      <c r="M5061" s="28" t="s">
        <v>52</v>
      </c>
      <c r="N5061" s="28" t="s">
        <v>52</v>
      </c>
    </row>
    <row r="5062" spans="1:14" x14ac:dyDescent="0.15">
      <c r="A5062" s="23" t="str">
        <f t="shared" si="224"/>
        <v>АО "ТОРГОВЫЙ ДОМ "ПЕРЕКРЕСТОК"</v>
      </c>
      <c r="B5062" s="24" t="s">
        <v>6999</v>
      </c>
      <c r="C5062" s="25">
        <v>0</v>
      </c>
      <c r="D5062" s="22" t="s">
        <v>7002</v>
      </c>
      <c r="E5062" s="22" t="s">
        <v>208</v>
      </c>
      <c r="F5062" s="23" t="str">
        <f>HYPERLINK("https://www.spark-marketing.ru/Card/Lot/71851238", "Камера видеонаблюдения HikVision DS-2CD2543G0-IWS (2.8mm) купол")</f>
        <v>Камера видеонаблюдения HikVision DS-2CD2543G0-IWS (2.8mm) купол</v>
      </c>
      <c r="G5062" s="22" t="s">
        <v>55</v>
      </c>
      <c r="H5062" s="22" t="s">
        <v>55</v>
      </c>
      <c r="I5062" s="26">
        <v>43648.744641203702</v>
      </c>
      <c r="J5062" s="28" t="s">
        <v>52</v>
      </c>
      <c r="K5062" s="28" t="s">
        <v>52</v>
      </c>
      <c r="L5062" s="28" t="s">
        <v>52</v>
      </c>
      <c r="M5062" s="28" t="s">
        <v>52</v>
      </c>
      <c r="N5062" s="28" t="s">
        <v>52</v>
      </c>
    </row>
    <row r="5063" spans="1:14" x14ac:dyDescent="0.15">
      <c r="A5063" s="23" t="str">
        <f t="shared" si="224"/>
        <v>АО "ТОРГОВЫЙ ДОМ "ПЕРЕКРЕСТОК"</v>
      </c>
      <c r="B5063" s="24" t="s">
        <v>6999</v>
      </c>
      <c r="C5063" s="25">
        <v>0</v>
      </c>
      <c r="D5063" s="22" t="s">
        <v>7002</v>
      </c>
      <c r="E5063" s="22" t="s">
        <v>208</v>
      </c>
      <c r="F5063" s="23" t="str">
        <f>HYPERLINK("https://www.spark-marketing.ru/Card/Lot/71851387", "Сервер контроля кассовых операций Видеомаркет (Core i5/8192Mb/250Gb/Lan 1000/4xUSB 2.0/CardReader 4x1/Mb+Kb, ОС Win 7/10 pro, Видеокарта NVIDIA GeForce GT 730) комплект ""клавиатура-""мышь""")</f>
        <v>Сервер контроля кассовых операций Видеомаркет (Core i5/8192Mb/250Gb/Lan 1000/4xUSB 2.0/CardReader 4x1/Mb+Kb, ОС Win 7/10 pro, Видеокарта NVIDIA GeForce GT 730) комплект "клавиатура-"мышь"</v>
      </c>
      <c r="G5063" s="22" t="s">
        <v>55</v>
      </c>
      <c r="H5063" s="22" t="s">
        <v>55</v>
      </c>
      <c r="I5063" s="26">
        <v>43648.744641203702</v>
      </c>
      <c r="J5063" s="28" t="s">
        <v>52</v>
      </c>
      <c r="K5063" s="28" t="s">
        <v>52</v>
      </c>
      <c r="L5063" s="28" t="s">
        <v>52</v>
      </c>
      <c r="M5063" s="28" t="s">
        <v>52</v>
      </c>
      <c r="N5063" s="28" t="s">
        <v>52</v>
      </c>
    </row>
    <row r="5064" spans="1:14" x14ac:dyDescent="0.15">
      <c r="A5064" s="23" t="str">
        <f t="shared" si="224"/>
        <v>АО "ТОРГОВЫЙ ДОМ "ПЕРЕКРЕСТОК"</v>
      </c>
      <c r="B5064" s="24" t="s">
        <v>6999</v>
      </c>
      <c r="C5064" s="25">
        <v>0</v>
      </c>
      <c r="D5064" s="22" t="s">
        <v>7001</v>
      </c>
      <c r="E5064" s="22" t="s">
        <v>208</v>
      </c>
      <c r="F5064" s="23" t="str">
        <f>HYPERLINK("https://www.spark-marketing.ru/Card/Lot/71852458", "AC-TA263IR3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f>
        <v>AC-TA263IR3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v>
      </c>
      <c r="G5064" s="22" t="s">
        <v>55</v>
      </c>
      <c r="H5064" s="22" t="s">
        <v>55</v>
      </c>
      <c r="I5064" s="26">
        <v>43648.7449305556</v>
      </c>
      <c r="J5064" s="28" t="s">
        <v>52</v>
      </c>
      <c r="K5064" s="28" t="s">
        <v>52</v>
      </c>
      <c r="L5064" s="28" t="s">
        <v>52</v>
      </c>
      <c r="M5064" s="28" t="s">
        <v>52</v>
      </c>
      <c r="N5064" s="28" t="s">
        <v>52</v>
      </c>
    </row>
    <row r="5065" spans="1:14" x14ac:dyDescent="0.15">
      <c r="A5065" s="23" t="str">
        <f t="shared" si="224"/>
        <v>АО "ТОРГОВЫЙ ДОМ "ПЕРЕКРЕСТОК"</v>
      </c>
      <c r="B5065" s="24" t="s">
        <v>6999</v>
      </c>
      <c r="C5065" s="25">
        <v>0</v>
      </c>
      <c r="D5065" s="22" t="s">
        <v>7005</v>
      </c>
      <c r="E5065" s="22" t="s">
        <v>208</v>
      </c>
      <c r="F5065" s="23" t="str">
        <f>HYPERLINK("https://www.spark-marketing.ru/Card/Lot/71853862", "Камера видеонаблюдения HikVision DS-2CD2125FWD-IS")</f>
        <v>Камера видеонаблюдения HikVision DS-2CD2125FWD-IS</v>
      </c>
      <c r="G5065" s="22" t="s">
        <v>55</v>
      </c>
      <c r="H5065" s="22" t="s">
        <v>55</v>
      </c>
      <c r="I5065" s="26">
        <v>43648.745069444398</v>
      </c>
      <c r="J5065" s="28" t="s">
        <v>52</v>
      </c>
      <c r="K5065" s="28" t="s">
        <v>52</v>
      </c>
      <c r="L5065" s="28" t="s">
        <v>52</v>
      </c>
      <c r="M5065" s="28" t="s">
        <v>52</v>
      </c>
      <c r="N5065" s="28" t="s">
        <v>52</v>
      </c>
    </row>
    <row r="5066" spans="1:14" x14ac:dyDescent="0.15">
      <c r="A5066" s="23" t="str">
        <f t="shared" si="224"/>
        <v>АО "ТОРГОВЫЙ ДОМ "ПЕРЕКРЕСТОК"</v>
      </c>
      <c r="B5066" s="24" t="s">
        <v>6999</v>
      </c>
      <c r="C5066" s="25">
        <v>0</v>
      </c>
      <c r="D5066" s="22" t="s">
        <v>7008</v>
      </c>
      <c r="E5066" s="22" t="s">
        <v>208</v>
      </c>
      <c r="F5066" s="23" t="str">
        <f>HYPERLINK("https://www.spark-marketing.ru/Card/Lot/71854524", "Камера видеонаблюдения HikVision DS-2CD2143G0-IS (6mm) купол")</f>
        <v>Камера видеонаблюдения HikVision DS-2CD2143G0-IS (6mm) купол</v>
      </c>
      <c r="G5066" s="22" t="s">
        <v>55</v>
      </c>
      <c r="H5066" s="22" t="s">
        <v>55</v>
      </c>
      <c r="I5066" s="26">
        <v>43648.745509259301</v>
      </c>
      <c r="J5066" s="28" t="s">
        <v>52</v>
      </c>
      <c r="K5066" s="28" t="s">
        <v>52</v>
      </c>
      <c r="L5066" s="28" t="s">
        <v>52</v>
      </c>
      <c r="M5066" s="28" t="s">
        <v>52</v>
      </c>
      <c r="N5066" s="28" t="s">
        <v>52</v>
      </c>
    </row>
    <row r="5067" spans="1:14" x14ac:dyDescent="0.15">
      <c r="A5067" s="23" t="str">
        <f t="shared" si="224"/>
        <v>АО "ТОРГОВЫЙ ДОМ "ПЕРЕКРЕСТОК"</v>
      </c>
      <c r="B5067" s="24" t="s">
        <v>6999</v>
      </c>
      <c r="C5067" s="25">
        <v>0</v>
      </c>
      <c r="D5067" s="22" t="s">
        <v>7000</v>
      </c>
      <c r="E5067" s="22" t="s">
        <v>208</v>
      </c>
      <c r="F5067" s="23" t="str">
        <f>HYPERLINK("https://www.spark-marketing.ru/Card/Lot/71850278", "AC-TA263IR3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f>
        <v>AC-TA263IR3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v>
      </c>
      <c r="G5067" s="22" t="s">
        <v>55</v>
      </c>
      <c r="H5067" s="22" t="s">
        <v>55</v>
      </c>
      <c r="I5067" s="26">
        <v>43648.7443055556</v>
      </c>
      <c r="J5067" s="28" t="s">
        <v>52</v>
      </c>
      <c r="K5067" s="28" t="s">
        <v>52</v>
      </c>
      <c r="L5067" s="28" t="s">
        <v>52</v>
      </c>
      <c r="M5067" s="28" t="s">
        <v>52</v>
      </c>
      <c r="N5067" s="28" t="s">
        <v>52</v>
      </c>
    </row>
    <row r="5068" spans="1:14" x14ac:dyDescent="0.15">
      <c r="A5068" s="23" t="str">
        <f t="shared" si="224"/>
        <v>АО "ТОРГОВЫЙ ДОМ "ПЕРЕКРЕСТОК"</v>
      </c>
      <c r="B5068" s="24" t="s">
        <v>6999</v>
      </c>
      <c r="C5068" s="25">
        <v>0</v>
      </c>
      <c r="D5068" s="22" t="s">
        <v>7004</v>
      </c>
      <c r="E5068" s="22" t="s">
        <v>208</v>
      </c>
      <c r="F5068" s="23" t="str">
        <f>HYPERLINK("https://www.spark-marketing.ru/Card/Lot/71853111", "LTV RTM-162 00 16-канальный TVI/AHD/CVBS/IP видеорегистратор, 720p: 400 к/c, 1080p: 200 к/c, вых. BNC/VGA/HDMI")</f>
        <v>LTV RTM-162 00 16-канальный TVI/AHD/CVBS/IP видеорегистратор, 720p: 400 к/c, 1080p: 200 к/c, вых. BNC/VGA/HDMI</v>
      </c>
      <c r="G5068" s="22" t="s">
        <v>55</v>
      </c>
      <c r="H5068" s="22" t="s">
        <v>55</v>
      </c>
      <c r="I5068" s="26">
        <v>43648.745347222197</v>
      </c>
      <c r="J5068" s="28" t="s">
        <v>52</v>
      </c>
      <c r="K5068" s="28" t="s">
        <v>52</v>
      </c>
      <c r="L5068" s="28" t="s">
        <v>52</v>
      </c>
      <c r="M5068" s="28" t="s">
        <v>52</v>
      </c>
      <c r="N5068" s="28" t="s">
        <v>52</v>
      </c>
    </row>
    <row r="5069" spans="1:14" x14ac:dyDescent="0.15">
      <c r="A5069" s="23" t="str">
        <f t="shared" si="224"/>
        <v>АО "ТОРГОВЫЙ ДОМ "ПЕРЕКРЕСТОК"</v>
      </c>
      <c r="B5069" s="24" t="s">
        <v>6999</v>
      </c>
      <c r="C5069" s="25">
        <v>0</v>
      </c>
      <c r="D5069" s="22" t="s">
        <v>7001</v>
      </c>
      <c r="E5069" s="22" t="s">
        <v>208</v>
      </c>
      <c r="F5069" s="23" t="str">
        <f>HYPERLINK("https://www.spark-marketing.ru/Card/Lot/71852217", "Камера видеонаблюдения HikVision DS-2CD2123G0-IS (2.8mm) купол")</f>
        <v>Камера видеонаблюдения HikVision DS-2CD2123G0-IS (2.8mm) купол</v>
      </c>
      <c r="G5069" s="22" t="s">
        <v>55</v>
      </c>
      <c r="H5069" s="22" t="s">
        <v>55</v>
      </c>
      <c r="I5069" s="26">
        <v>43648.7449305556</v>
      </c>
      <c r="J5069" s="28" t="s">
        <v>52</v>
      </c>
      <c r="K5069" s="28" t="s">
        <v>52</v>
      </c>
      <c r="L5069" s="28" t="s">
        <v>52</v>
      </c>
      <c r="M5069" s="28" t="s">
        <v>52</v>
      </c>
      <c r="N5069" s="28" t="s">
        <v>52</v>
      </c>
    </row>
    <row r="5070" spans="1:14" x14ac:dyDescent="0.15">
      <c r="A5070" s="23" t="str">
        <f t="shared" si="224"/>
        <v>АО "ТОРГОВЫЙ ДОМ "ПЕРЕКРЕСТОК"</v>
      </c>
      <c r="B5070" s="24" t="s">
        <v>6999</v>
      </c>
      <c r="C5070" s="25">
        <v>0</v>
      </c>
      <c r="D5070" s="22" t="s">
        <v>7000</v>
      </c>
      <c r="E5070" s="22" t="s">
        <v>208</v>
      </c>
      <c r="F5070" s="23" t="str">
        <f>HYPERLINK("https://www.spark-marketing.ru/Card/Lot/71850279", "AC-TA381IR2 Компактная купольная 2МП TVI видеокамера. Разрешение 1080P, матрица 1/2.8"" CMOS SONY, Цвет: 0.05 Лк (F1.8) / ЧБ: 0 Лк (ИК вкл.), объектив 3.6мм, режим «День/Ночь», механический ИК-фильтр, 3D-NR, DWDR, OSD, питание 12В DC, потребляемый то...")</f>
        <v>AC-TA381IR2 Компактная купольная 2МП TVI видеокамера. Разрешение 1080P, матрица 1/2.8" CMOS SONY, Цвет: 0.05 Лк (F1.8) / ЧБ: 0 Лк (ИК вкл.), объектив 3.6мм, режим «День/Ночь», механический ИК-фильтр, 3D-NR, DWDR, OSD, питание 12В DC, потребляемый то...</v>
      </c>
      <c r="G5070" s="22" t="s">
        <v>55</v>
      </c>
      <c r="H5070" s="22" t="s">
        <v>55</v>
      </c>
      <c r="I5070" s="26">
        <v>43648.7443055556</v>
      </c>
      <c r="J5070" s="28" t="s">
        <v>52</v>
      </c>
      <c r="K5070" s="28" t="s">
        <v>52</v>
      </c>
      <c r="L5070" s="28" t="s">
        <v>52</v>
      </c>
      <c r="M5070" s="28" t="s">
        <v>52</v>
      </c>
      <c r="N5070" s="28" t="s">
        <v>52</v>
      </c>
    </row>
    <row r="5071" spans="1:14" x14ac:dyDescent="0.15">
      <c r="A5071" s="23" t="str">
        <f t="shared" si="224"/>
        <v>АО "ТОРГОВЫЙ ДОМ "ПЕРЕКРЕСТОК"</v>
      </c>
      <c r="B5071" s="24" t="s">
        <v>6999</v>
      </c>
      <c r="C5071" s="25">
        <v>0</v>
      </c>
      <c r="D5071" s="22" t="s">
        <v>7008</v>
      </c>
      <c r="E5071" s="22" t="s">
        <v>208</v>
      </c>
      <c r="F5071" s="23" t="str">
        <f>HYPERLINK("https://www.spark-marketing.ru/Card/Lot/71854886", "Видеопанель вызывная монохромная, 400 ТВЛ, ИК подсвет.; 122х40х24mm. Activision.")</f>
        <v>Видеопанель вызывная монохромная, 400 ТВЛ, ИК подсвет.; 122х40х24mm. Activision.</v>
      </c>
      <c r="G5071" s="22" t="s">
        <v>55</v>
      </c>
      <c r="H5071" s="22" t="s">
        <v>55</v>
      </c>
      <c r="I5071" s="26">
        <v>43648.745509259301</v>
      </c>
      <c r="J5071" s="28" t="s">
        <v>52</v>
      </c>
      <c r="K5071" s="28" t="s">
        <v>52</v>
      </c>
      <c r="L5071" s="28" t="s">
        <v>52</v>
      </c>
      <c r="M5071" s="28" t="s">
        <v>52</v>
      </c>
      <c r="N5071" s="28" t="s">
        <v>52</v>
      </c>
    </row>
    <row r="5072" spans="1:14" x14ac:dyDescent="0.15">
      <c r="A5072" s="23" t="str">
        <f t="shared" ref="A5072:A5101" si="225">HYPERLINK("https://www.spark-marketing.ru/Card/Person/1887298", "АО ""ТОРГОВЫЙ ДОМ ""ПЕРЕКРЕСТОК""")</f>
        <v>АО "ТОРГОВЫЙ ДОМ "ПЕРЕКРЕСТОК"</v>
      </c>
      <c r="B5072" s="24" t="s">
        <v>6999</v>
      </c>
      <c r="C5072" s="25">
        <v>0</v>
      </c>
      <c r="D5072" s="22" t="s">
        <v>7007</v>
      </c>
      <c r="E5072" s="22" t="s">
        <v>208</v>
      </c>
      <c r="F5072" s="23" t="str">
        <f>HYPERLINK("https://www.spark-marketing.ru/Card/Lot/71852956", "DH-HAC-HDPW1200RP-0360B-S3A объектив 3.6 мм с апертурой F/1.85, угл обзора по горизонтали - 89.9? HD-CVI, HD-TVI, AHD: транслирует по коаксиальному кабелю видеосигнал на расстояние 1200 м при разрешении 1 Мп и 800 м - при 2 Мп; по неэкранированной ви...")</f>
        <v>DH-HAC-HDPW1200RP-0360B-S3A объектив 3.6 мм с апертурой F/1.85, угл обзора по горизонтали - 89.9? HD-CVI, HD-TVI, AHD: транслирует по коаксиальному кабелю видеосигнал на расстояние 1200 м при разрешении 1 Мп и 800 м - при 2 Мп; по неэкранированной ви...</v>
      </c>
      <c r="G5072" s="22" t="s">
        <v>55</v>
      </c>
      <c r="H5072" s="22" t="s">
        <v>55</v>
      </c>
      <c r="I5072" s="26">
        <v>43648.745219907403</v>
      </c>
      <c r="J5072" s="28" t="s">
        <v>52</v>
      </c>
      <c r="K5072" s="28" t="s">
        <v>52</v>
      </c>
      <c r="L5072" s="28" t="s">
        <v>52</v>
      </c>
      <c r="M5072" s="28" t="s">
        <v>52</v>
      </c>
      <c r="N5072" s="28" t="s">
        <v>52</v>
      </c>
    </row>
    <row r="5073" spans="1:14" x14ac:dyDescent="0.15">
      <c r="A5073" s="23" t="str">
        <f t="shared" si="225"/>
        <v>АО "ТОРГОВЫЙ ДОМ "ПЕРЕКРЕСТОК"</v>
      </c>
      <c r="B5073" s="24" t="s">
        <v>6999</v>
      </c>
      <c r="C5073" s="25">
        <v>0</v>
      </c>
      <c r="D5073" s="22" t="s">
        <v>7002</v>
      </c>
      <c r="E5073" s="22" t="s">
        <v>208</v>
      </c>
      <c r="F5073" s="23" t="str">
        <f>HYPERLINK("https://www.spark-marketing.ru/Card/Lot/71851368", "HASP ключ для системы Видеомаркет")</f>
        <v>HASP ключ для системы Видеомаркет</v>
      </c>
      <c r="G5073" s="22" t="s">
        <v>55</v>
      </c>
      <c r="H5073" s="22" t="s">
        <v>55</v>
      </c>
      <c r="I5073" s="26">
        <v>43648.744641203702</v>
      </c>
      <c r="J5073" s="28" t="s">
        <v>52</v>
      </c>
      <c r="K5073" s="28" t="s">
        <v>52</v>
      </c>
      <c r="L5073" s="28" t="s">
        <v>52</v>
      </c>
      <c r="M5073" s="28" t="s">
        <v>52</v>
      </c>
      <c r="N5073" s="28" t="s">
        <v>52</v>
      </c>
    </row>
    <row r="5074" spans="1:14" x14ac:dyDescent="0.15">
      <c r="A5074" s="23" t="str">
        <f t="shared" si="225"/>
        <v>АО "ТОРГОВЫЙ ДОМ "ПЕРЕКРЕСТОК"</v>
      </c>
      <c r="B5074" s="24" t="s">
        <v>6999</v>
      </c>
      <c r="C5074" s="25">
        <v>0</v>
      </c>
      <c r="D5074" s="22" t="s">
        <v>7000</v>
      </c>
      <c r="E5074" s="22" t="s">
        <v>208</v>
      </c>
      <c r="F5074" s="23" t="str">
        <f>HYPERLINK("https://www.spark-marketing.ru/Card/Lot/71849987", "Камера видеонаблюдения HikVision DS-2CD2125FWD-IS")</f>
        <v>Камера видеонаблюдения HikVision DS-2CD2125FWD-IS</v>
      </c>
      <c r="G5074" s="22" t="s">
        <v>55</v>
      </c>
      <c r="H5074" s="22" t="s">
        <v>55</v>
      </c>
      <c r="I5074" s="26">
        <v>43648.7443055556</v>
      </c>
      <c r="J5074" s="28" t="s">
        <v>52</v>
      </c>
      <c r="K5074" s="28" t="s">
        <v>52</v>
      </c>
      <c r="L5074" s="28" t="s">
        <v>52</v>
      </c>
      <c r="M5074" s="28" t="s">
        <v>52</v>
      </c>
      <c r="N5074" s="28" t="s">
        <v>52</v>
      </c>
    </row>
    <row r="5075" spans="1:14" x14ac:dyDescent="0.15">
      <c r="A5075" s="23" t="str">
        <f t="shared" si="225"/>
        <v>АО "ТОРГОВЫЙ ДОМ "ПЕРЕКРЕСТОК"</v>
      </c>
      <c r="B5075" s="24" t="s">
        <v>6999</v>
      </c>
      <c r="C5075" s="25">
        <v>0</v>
      </c>
      <c r="D5075" s="22" t="s">
        <v>7000</v>
      </c>
      <c r="E5075" s="22" t="s">
        <v>208</v>
      </c>
      <c r="F5075" s="23" t="str">
        <f>HYPERLINK("https://www.spark-marketing.ru/Card/Lot/71850282", "AC-TA283IR3 Уличная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OSD,...")</f>
        <v>AC-TA283IR3 Уличная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OSD,...</v>
      </c>
      <c r="G5075" s="22" t="s">
        <v>55</v>
      </c>
      <c r="H5075" s="22" t="s">
        <v>55</v>
      </c>
      <c r="I5075" s="26">
        <v>43648.7443055556</v>
      </c>
      <c r="J5075" s="28" t="s">
        <v>52</v>
      </c>
      <c r="K5075" s="28" t="s">
        <v>52</v>
      </c>
      <c r="L5075" s="28" t="s">
        <v>52</v>
      </c>
      <c r="M5075" s="28" t="s">
        <v>52</v>
      </c>
      <c r="N5075" s="28" t="s">
        <v>52</v>
      </c>
    </row>
    <row r="5076" spans="1:14" x14ac:dyDescent="0.15">
      <c r="A5076" s="23" t="str">
        <f t="shared" si="225"/>
        <v>АО "ТОРГОВЫЙ ДОМ "ПЕРЕКРЕСТОК"</v>
      </c>
      <c r="B5076" s="24" t="s">
        <v>6999</v>
      </c>
      <c r="C5076" s="25">
        <v>0</v>
      </c>
      <c r="D5076" s="22" t="s">
        <v>7003</v>
      </c>
      <c r="E5076" s="22" t="s">
        <v>208</v>
      </c>
      <c r="F5076" s="23" t="str">
        <f>HYPERLINK("https://www.spark-marketing.ru/Card/Lot/71851799", "Камера видеонаблюдения HikVision DS-2CD2723G0-IZS (2.8-12mm) купол")</f>
        <v>Камера видеонаблюдения HikVision DS-2CD2723G0-IZS (2.8-12mm) купол</v>
      </c>
      <c r="G5076" s="22" t="s">
        <v>55</v>
      </c>
      <c r="H5076" s="22" t="s">
        <v>55</v>
      </c>
      <c r="I5076" s="26">
        <v>43648.744791666701</v>
      </c>
      <c r="J5076" s="28" t="s">
        <v>52</v>
      </c>
      <c r="K5076" s="28" t="s">
        <v>52</v>
      </c>
      <c r="L5076" s="28" t="s">
        <v>52</v>
      </c>
      <c r="M5076" s="28" t="s">
        <v>52</v>
      </c>
      <c r="N5076" s="28" t="s">
        <v>52</v>
      </c>
    </row>
    <row r="5077" spans="1:14" x14ac:dyDescent="0.15">
      <c r="A5077" s="23" t="str">
        <f t="shared" si="225"/>
        <v>АО "ТОРГОВЫЙ ДОМ "ПЕРЕКРЕСТОК"</v>
      </c>
      <c r="B5077" s="24" t="s">
        <v>6999</v>
      </c>
      <c r="C5077" s="25">
        <v>0</v>
      </c>
      <c r="D5077" s="22" t="s">
        <v>7006</v>
      </c>
      <c r="E5077" s="22" t="s">
        <v>208</v>
      </c>
      <c r="F5077" s="23" t="str">
        <f>HYPERLINK("https://www.spark-marketing.ru/Card/Lot/71850672", "Камера видеонаблюдения HikVision DS-2CD2043G0-I (4mm) булет")</f>
        <v>Камера видеонаблюдения HikVision DS-2CD2043G0-I (4mm) булет</v>
      </c>
      <c r="G5077" s="22" t="s">
        <v>55</v>
      </c>
      <c r="H5077" s="22" t="s">
        <v>55</v>
      </c>
      <c r="I5077" s="26">
        <v>43648.744490740697</v>
      </c>
      <c r="J5077" s="28" t="s">
        <v>52</v>
      </c>
      <c r="K5077" s="28" t="s">
        <v>52</v>
      </c>
      <c r="L5077" s="28" t="s">
        <v>52</v>
      </c>
      <c r="M5077" s="28" t="s">
        <v>52</v>
      </c>
      <c r="N5077" s="28" t="s">
        <v>52</v>
      </c>
    </row>
    <row r="5078" spans="1:14" x14ac:dyDescent="0.15">
      <c r="A5078" s="23" t="str">
        <f t="shared" si="225"/>
        <v>АО "ТОРГОВЫЙ ДОМ "ПЕРЕКРЕСТОК"</v>
      </c>
      <c r="B5078" s="24" t="s">
        <v>6999</v>
      </c>
      <c r="C5078" s="25">
        <v>0</v>
      </c>
      <c r="D5078" s="22" t="s">
        <v>7006</v>
      </c>
      <c r="E5078" s="22" t="s">
        <v>208</v>
      </c>
      <c r="F5078" s="23" t="str">
        <f>HYPERLINK("https://www.spark-marketing.ru/Card/Lot/71850872", "УРМ (Core i5/8000Mb/250Gb/DVD-RW/Lan 1000/4xUSB 2.0/CardReader 4x1/Mb+Kb, ОС Win 7 pro, Видеокарта NVIDIA GeForce GT 730) - двухмониторный")</f>
        <v>УРМ (Core i5/8000Mb/250Gb/DVD-RW/Lan 1000/4xUSB 2.0/CardReader 4x1/Mb+Kb, ОС Win 7 pro, Видеокарта NVIDIA GeForce GT 730) - двухмониторный</v>
      </c>
      <c r="G5078" s="22" t="s">
        <v>55</v>
      </c>
      <c r="H5078" s="22" t="s">
        <v>55</v>
      </c>
      <c r="I5078" s="26">
        <v>43648.744490740697</v>
      </c>
      <c r="J5078" s="28" t="s">
        <v>52</v>
      </c>
      <c r="K5078" s="28" t="s">
        <v>52</v>
      </c>
      <c r="L5078" s="28" t="s">
        <v>52</v>
      </c>
      <c r="M5078" s="28" t="s">
        <v>52</v>
      </c>
      <c r="N5078" s="28" t="s">
        <v>52</v>
      </c>
    </row>
    <row r="5079" spans="1:14" x14ac:dyDescent="0.15">
      <c r="A5079" s="23" t="str">
        <f t="shared" si="225"/>
        <v>АО "ТОРГОВЫЙ ДОМ "ПЕРЕКРЕСТОК"</v>
      </c>
      <c r="B5079" s="24" t="s">
        <v>6999</v>
      </c>
      <c r="C5079" s="25">
        <v>0</v>
      </c>
      <c r="D5079" s="22" t="s">
        <v>7005</v>
      </c>
      <c r="E5079" s="22" t="s">
        <v>208</v>
      </c>
      <c r="F5079" s="23" t="str">
        <f>HYPERLINK("https://www.spark-marketing.ru/Card/Lot/71854028", "Юстировка стационарной видеокамеры")</f>
        <v>Юстировка стационарной видеокамеры</v>
      </c>
      <c r="G5079" s="22" t="s">
        <v>55</v>
      </c>
      <c r="H5079" s="22" t="s">
        <v>55</v>
      </c>
      <c r="I5079" s="26">
        <v>43648.745069444398</v>
      </c>
      <c r="J5079" s="28" t="s">
        <v>52</v>
      </c>
      <c r="K5079" s="28" t="s">
        <v>52</v>
      </c>
      <c r="L5079" s="28" t="s">
        <v>52</v>
      </c>
      <c r="M5079" s="28" t="s">
        <v>52</v>
      </c>
      <c r="N5079" s="28" t="s">
        <v>52</v>
      </c>
    </row>
    <row r="5080" spans="1:14" x14ac:dyDescent="0.15">
      <c r="A5080" s="23" t="str">
        <f t="shared" si="225"/>
        <v>АО "ТОРГОВЫЙ ДОМ "ПЕРЕКРЕСТОК"</v>
      </c>
      <c r="B5080" s="24" t="s">
        <v>6999</v>
      </c>
      <c r="C5080" s="25">
        <v>0</v>
      </c>
      <c r="D5080" s="22" t="s">
        <v>7005</v>
      </c>
      <c r="E5080" s="22" t="s">
        <v>208</v>
      </c>
      <c r="F5080" s="23" t="str">
        <f>HYPERLINK("https://www.spark-marketing.ru/Card/Lot/71853071", "D-link USB 3.0 (DUB-1312/A1A) Дополнительная USB 3.0 сетевая карта для видеорегистраторов: TRASSIR MiniClient, TRASSIR MiniNVR, TRASSIR MiniNVR RE, TRASSIR DuoStation, TRASSIR DuoStation RE, TRASSIR QuattroStation, TRASSIR QuattroStation Pro")</f>
        <v>D-link USB 3.0 (DUB-1312/A1A) Дополнительная USB 3.0 сетевая карта для видеорегистраторов: TRASSIR MiniClient, TRASSIR MiniNVR, TRASSIR MiniNVR RE, TRASSIR DuoStation, TRASSIR DuoStation RE, TRASSIR QuattroStation, TRASSIR QuattroStation Pro</v>
      </c>
      <c r="G5080" s="22" t="s">
        <v>55</v>
      </c>
      <c r="H5080" s="22" t="s">
        <v>55</v>
      </c>
      <c r="I5080" s="26">
        <v>43648.745069444398</v>
      </c>
      <c r="J5080" s="28" t="s">
        <v>52</v>
      </c>
      <c r="K5080" s="28" t="s">
        <v>52</v>
      </c>
      <c r="L5080" s="28" t="s">
        <v>52</v>
      </c>
      <c r="M5080" s="28" t="s">
        <v>52</v>
      </c>
      <c r="N5080" s="28" t="s">
        <v>52</v>
      </c>
    </row>
    <row r="5081" spans="1:14" x14ac:dyDescent="0.15">
      <c r="A5081" s="23" t="str">
        <f t="shared" si="225"/>
        <v>АО "ТОРГОВЫЙ ДОМ "ПЕРЕКРЕСТОК"</v>
      </c>
      <c r="B5081" s="24" t="s">
        <v>6999</v>
      </c>
      <c r="C5081" s="25">
        <v>0</v>
      </c>
      <c r="D5081" s="22" t="s">
        <v>7008</v>
      </c>
      <c r="E5081" s="22" t="s">
        <v>208</v>
      </c>
      <c r="F5081" s="23" t="str">
        <f>HYPERLINK("https://www.spark-marketing.ru/Card/Lot/71854490", "Камера видеонаблюдения HikVision DS-2CD2123G0-IS (2.8mm) купол")</f>
        <v>Камера видеонаблюдения HikVision DS-2CD2123G0-IS (2.8mm) купол</v>
      </c>
      <c r="G5081" s="22" t="s">
        <v>55</v>
      </c>
      <c r="H5081" s="22" t="s">
        <v>55</v>
      </c>
      <c r="I5081" s="26">
        <v>43648.745509259301</v>
      </c>
      <c r="J5081" s="28" t="s">
        <v>52</v>
      </c>
      <c r="K5081" s="28" t="s">
        <v>52</v>
      </c>
      <c r="L5081" s="28" t="s">
        <v>52</v>
      </c>
      <c r="M5081" s="28" t="s">
        <v>52</v>
      </c>
      <c r="N5081" s="28" t="s">
        <v>52</v>
      </c>
    </row>
    <row r="5082" spans="1:14" x14ac:dyDescent="0.15">
      <c r="A5082" s="23" t="str">
        <f t="shared" si="225"/>
        <v>АО "ТОРГОВЫЙ ДОМ "ПЕРЕКРЕСТОК"</v>
      </c>
      <c r="B5082" s="24" t="s">
        <v>6999</v>
      </c>
      <c r="C5082" s="25">
        <v>0</v>
      </c>
      <c r="D5082" s="22" t="s">
        <v>7003</v>
      </c>
      <c r="E5082" s="22" t="s">
        <v>208</v>
      </c>
      <c r="F5082" s="23" t="str">
        <f>HYPERLINK("https://www.spark-marketing.ru/Card/Lot/71851803", "Камера видеонаблюдения HikVision DS-2CD2643G0-IZS (2.8-12mm) 4 Mp motor-zoom")</f>
        <v>Камера видеонаблюдения HikVision DS-2CD2643G0-IZS (2.8-12mm) 4 Mp motor-zoom</v>
      </c>
      <c r="G5082" s="22" t="s">
        <v>55</v>
      </c>
      <c r="H5082" s="22" t="s">
        <v>55</v>
      </c>
      <c r="I5082" s="26">
        <v>43648.744791666701</v>
      </c>
      <c r="J5082" s="28" t="s">
        <v>52</v>
      </c>
      <c r="K5082" s="28" t="s">
        <v>52</v>
      </c>
      <c r="L5082" s="28" t="s">
        <v>52</v>
      </c>
      <c r="M5082" s="28" t="s">
        <v>52</v>
      </c>
      <c r="N5082" s="28" t="s">
        <v>52</v>
      </c>
    </row>
    <row r="5083" spans="1:14" x14ac:dyDescent="0.15">
      <c r="A5083" s="23" t="str">
        <f t="shared" si="225"/>
        <v>АО "ТОРГОВЫЙ ДОМ "ПЕРЕКРЕСТОК"</v>
      </c>
      <c r="B5083" s="24" t="s">
        <v>6999</v>
      </c>
      <c r="C5083" s="25">
        <v>0</v>
      </c>
      <c r="D5083" s="22" t="s">
        <v>7005</v>
      </c>
      <c r="E5083" s="22" t="s">
        <v>208</v>
      </c>
      <c r="F5083" s="23" t="str">
        <f>HYPERLINK("https://www.spark-marketing.ru/Card/Lot/71852712", "Видеопанель вызывная монохромная, 400 ТВЛ, ИК подсвет.; 122х40х24mm. Activision.")</f>
        <v>Видеопанель вызывная монохромная, 400 ТВЛ, ИК подсвет.; 122х40х24mm. Activision.</v>
      </c>
      <c r="G5083" s="22" t="s">
        <v>55</v>
      </c>
      <c r="H5083" s="22" t="s">
        <v>55</v>
      </c>
      <c r="I5083" s="26">
        <v>43648.745069444398</v>
      </c>
      <c r="J5083" s="28" t="s">
        <v>52</v>
      </c>
      <c r="K5083" s="28" t="s">
        <v>52</v>
      </c>
      <c r="L5083" s="28" t="s">
        <v>52</v>
      </c>
      <c r="M5083" s="28" t="s">
        <v>52</v>
      </c>
      <c r="N5083" s="28" t="s">
        <v>52</v>
      </c>
    </row>
    <row r="5084" spans="1:14" x14ac:dyDescent="0.15">
      <c r="A5084" s="23" t="str">
        <f t="shared" si="225"/>
        <v>АО "ТОРГОВЫЙ ДОМ "ПЕРЕКРЕСТОК"</v>
      </c>
      <c r="B5084" s="24" t="s">
        <v>6999</v>
      </c>
      <c r="C5084" s="25">
        <v>0</v>
      </c>
      <c r="D5084" s="22" t="s">
        <v>7008</v>
      </c>
      <c r="E5084" s="22" t="s">
        <v>208</v>
      </c>
      <c r="F5084" s="23" t="str">
        <f>HYPERLINK("https://www.spark-marketing.ru/Card/Lot/71854528", "Камера видеонаблюдения HikVision DS-2DE4225W-DE PTZ")</f>
        <v>Камера видеонаблюдения HikVision DS-2DE4225W-DE PTZ</v>
      </c>
      <c r="G5084" s="22" t="s">
        <v>55</v>
      </c>
      <c r="H5084" s="22" t="s">
        <v>55</v>
      </c>
      <c r="I5084" s="26">
        <v>43648.745509259301</v>
      </c>
      <c r="J5084" s="28" t="s">
        <v>52</v>
      </c>
      <c r="K5084" s="28" t="s">
        <v>52</v>
      </c>
      <c r="L5084" s="28" t="s">
        <v>52</v>
      </c>
      <c r="M5084" s="28" t="s">
        <v>52</v>
      </c>
      <c r="N5084" s="28" t="s">
        <v>52</v>
      </c>
    </row>
    <row r="5085" spans="1:14" x14ac:dyDescent="0.15">
      <c r="A5085" s="23" t="str">
        <f t="shared" si="225"/>
        <v>АО "ТОРГОВЫЙ ДОМ "ПЕРЕКРЕСТОК"</v>
      </c>
      <c r="B5085" s="24" t="s">
        <v>6999</v>
      </c>
      <c r="C5085" s="25">
        <v>0</v>
      </c>
      <c r="D5085" s="22" t="s">
        <v>7000</v>
      </c>
      <c r="E5085" s="22" t="s">
        <v>208</v>
      </c>
      <c r="F5085" s="23" t="str">
        <f>HYPERLINK("https://www.spark-marketing.ru/Card/Lot/71849981", "Камера видеонаблюдения HikVision DS-2CD2023G0-I (4mm) булет")</f>
        <v>Камера видеонаблюдения HikVision DS-2CD2023G0-I (4mm) булет</v>
      </c>
      <c r="G5085" s="22" t="s">
        <v>55</v>
      </c>
      <c r="H5085" s="22" t="s">
        <v>55</v>
      </c>
      <c r="I5085" s="26">
        <v>43648.7443055556</v>
      </c>
      <c r="J5085" s="28" t="s">
        <v>52</v>
      </c>
      <c r="K5085" s="28" t="s">
        <v>52</v>
      </c>
      <c r="L5085" s="28" t="s">
        <v>52</v>
      </c>
      <c r="M5085" s="28" t="s">
        <v>52</v>
      </c>
      <c r="N5085" s="28" t="s">
        <v>52</v>
      </c>
    </row>
    <row r="5086" spans="1:14" x14ac:dyDescent="0.15">
      <c r="A5086" s="23" t="str">
        <f t="shared" si="225"/>
        <v>АО "ТОРГОВЫЙ ДОМ "ПЕРЕКРЕСТОК"</v>
      </c>
      <c r="B5086" s="24" t="s">
        <v>6999</v>
      </c>
      <c r="C5086" s="25">
        <v>0</v>
      </c>
      <c r="D5086" s="22" t="s">
        <v>7005</v>
      </c>
      <c r="E5086" s="22" t="s">
        <v>208</v>
      </c>
      <c r="F5086" s="23" t="str">
        <f>HYPERLINK("https://www.spark-marketing.ru/Card/Lot/71853761", "Камера видеонаблюдения HikVision DS-2CD2143G0-IS (6mm) купол")</f>
        <v>Камера видеонаблюдения HikVision DS-2CD2143G0-IS (6mm) купол</v>
      </c>
      <c r="G5086" s="22" t="s">
        <v>55</v>
      </c>
      <c r="H5086" s="22" t="s">
        <v>55</v>
      </c>
      <c r="I5086" s="26">
        <v>43648.745069444398</v>
      </c>
      <c r="J5086" s="28" t="s">
        <v>52</v>
      </c>
      <c r="K5086" s="28" t="s">
        <v>52</v>
      </c>
      <c r="L5086" s="28" t="s">
        <v>52</v>
      </c>
      <c r="M5086" s="28" t="s">
        <v>52</v>
      </c>
      <c r="N5086" s="28" t="s">
        <v>52</v>
      </c>
    </row>
    <row r="5087" spans="1:14" x14ac:dyDescent="0.15">
      <c r="A5087" s="23" t="str">
        <f t="shared" si="225"/>
        <v>АО "ТОРГОВЫЙ ДОМ "ПЕРЕКРЕСТОК"</v>
      </c>
      <c r="B5087" s="24" t="s">
        <v>6999</v>
      </c>
      <c r="C5087" s="25">
        <v>0</v>
      </c>
      <c r="D5087" s="22" t="s">
        <v>7002</v>
      </c>
      <c r="E5087" s="22" t="s">
        <v>208</v>
      </c>
      <c r="F5087" s="23" t="str">
        <f>HYPERLINK("https://www.spark-marketing.ru/Card/Lot/71851489", "Юстировка стационарной видеокамеры")</f>
        <v>Юстировка стационарной видеокамеры</v>
      </c>
      <c r="G5087" s="22" t="s">
        <v>55</v>
      </c>
      <c r="H5087" s="22" t="s">
        <v>55</v>
      </c>
      <c r="I5087" s="26">
        <v>43648.744641203702</v>
      </c>
      <c r="J5087" s="28" t="s">
        <v>52</v>
      </c>
      <c r="K5087" s="28" t="s">
        <v>52</v>
      </c>
      <c r="L5087" s="28" t="s">
        <v>52</v>
      </c>
      <c r="M5087" s="28" t="s">
        <v>52</v>
      </c>
      <c r="N5087" s="28" t="s">
        <v>52</v>
      </c>
    </row>
    <row r="5088" spans="1:14" x14ac:dyDescent="0.15">
      <c r="A5088" s="23" t="str">
        <f t="shared" si="225"/>
        <v>АО "ТОРГОВЫЙ ДОМ "ПЕРЕКРЕСТОК"</v>
      </c>
      <c r="B5088" s="24" t="s">
        <v>6999</v>
      </c>
      <c r="C5088" s="25">
        <v>0</v>
      </c>
      <c r="D5088" s="22" t="s">
        <v>7002</v>
      </c>
      <c r="E5088" s="22" t="s">
        <v>208</v>
      </c>
      <c r="F5088" s="23" t="str">
        <f>HYPERLINK("https://www.spark-marketing.ru/Card/Lot/71851426", "AC-TA381IR2 Компактная купольная 2МП TVI видеокамера. Разрешение 1080P, матрица 1/2.8"" CMOS SONY, Цвет: 0.05 Лк (F1.8) / ЧБ: 0 Лк (ИК вкл.), объектив 3.6мм, режим «День/Ночь», механический ИК-фильтр, 3D-NR, DWDR, OSD, питание 12В DC, потребляемый то...")</f>
        <v>AC-TA381IR2 Компактная купольная 2МП TVI видеокамера. Разрешение 1080P, матрица 1/2.8" CMOS SONY, Цвет: 0.05 Лк (F1.8) / ЧБ: 0 Лк (ИК вкл.), объектив 3.6мм, режим «День/Ночь», механический ИК-фильтр, 3D-NR, DWDR, OSD, питание 12В DC, потребляемый то...</v>
      </c>
      <c r="G5088" s="22" t="s">
        <v>55</v>
      </c>
      <c r="H5088" s="22" t="s">
        <v>55</v>
      </c>
      <c r="I5088" s="26">
        <v>43648.744641203702</v>
      </c>
      <c r="J5088" s="28" t="s">
        <v>52</v>
      </c>
      <c r="K5088" s="28" t="s">
        <v>52</v>
      </c>
      <c r="L5088" s="28" t="s">
        <v>52</v>
      </c>
      <c r="M5088" s="28" t="s">
        <v>52</v>
      </c>
      <c r="N5088" s="28" t="s">
        <v>52</v>
      </c>
    </row>
    <row r="5089" spans="1:14" x14ac:dyDescent="0.15">
      <c r="A5089" s="23" t="str">
        <f t="shared" si="225"/>
        <v>АО "ТОРГОВЫЙ ДОМ "ПЕРЕКРЕСТОК"</v>
      </c>
      <c r="B5089" s="24" t="s">
        <v>6999</v>
      </c>
      <c r="C5089" s="25">
        <v>0</v>
      </c>
      <c r="D5089" s="22" t="s">
        <v>7002</v>
      </c>
      <c r="E5089" s="22" t="s">
        <v>208</v>
      </c>
      <c r="F5089" s="23" t="str">
        <f>HYPERLINK("https://www.spark-marketing.ru/Card/Lot/71851342", "Видеопанель вызывная монохромная, 400 ТВЛ, ИК подсвет.; 122х40х24mm. Activision.")</f>
        <v>Видеопанель вызывная монохромная, 400 ТВЛ, ИК подсвет.; 122х40х24mm. Activision.</v>
      </c>
      <c r="G5089" s="22" t="s">
        <v>55</v>
      </c>
      <c r="H5089" s="22" t="s">
        <v>55</v>
      </c>
      <c r="I5089" s="26">
        <v>43648.744641203702</v>
      </c>
      <c r="J5089" s="28" t="s">
        <v>52</v>
      </c>
      <c r="K5089" s="28" t="s">
        <v>52</v>
      </c>
      <c r="L5089" s="28" t="s">
        <v>52</v>
      </c>
      <c r="M5089" s="28" t="s">
        <v>52</v>
      </c>
      <c r="N5089" s="28" t="s">
        <v>52</v>
      </c>
    </row>
    <row r="5090" spans="1:14" x14ac:dyDescent="0.15">
      <c r="A5090" s="23" t="str">
        <f t="shared" si="225"/>
        <v>АО "ТОРГОВЫЙ ДОМ "ПЕРЕКРЕСТОК"</v>
      </c>
      <c r="B5090" s="24" t="s">
        <v>6999</v>
      </c>
      <c r="C5090" s="25">
        <v>0</v>
      </c>
      <c r="D5090" s="22" t="s">
        <v>7002</v>
      </c>
      <c r="E5090" s="22" t="s">
        <v>208</v>
      </c>
      <c r="F5090" s="23" t="str">
        <f>HYPERLINK("https://www.spark-marketing.ru/Card/Lot/71851230", "Камера видеонаблюдения HikVision DS-2CD2822F (B)")</f>
        <v>Камера видеонаблюдения HikVision DS-2CD2822F (B)</v>
      </c>
      <c r="G5090" s="22" t="s">
        <v>55</v>
      </c>
      <c r="H5090" s="22" t="s">
        <v>55</v>
      </c>
      <c r="I5090" s="26">
        <v>43648.744641203702</v>
      </c>
      <c r="J5090" s="28" t="s">
        <v>52</v>
      </c>
      <c r="K5090" s="28" t="s">
        <v>52</v>
      </c>
      <c r="L5090" s="28" t="s">
        <v>52</v>
      </c>
      <c r="M5090" s="28" t="s">
        <v>52</v>
      </c>
      <c r="N5090" s="28" t="s">
        <v>52</v>
      </c>
    </row>
    <row r="5091" spans="1:14" x14ac:dyDescent="0.15">
      <c r="A5091" s="23" t="str">
        <f t="shared" si="225"/>
        <v>АО "ТОРГОВЫЙ ДОМ "ПЕРЕКРЕСТОК"</v>
      </c>
      <c r="B5091" s="24" t="s">
        <v>6999</v>
      </c>
      <c r="C5091" s="25">
        <v>0</v>
      </c>
      <c r="D5091" s="22" t="s">
        <v>7000</v>
      </c>
      <c r="E5091" s="22" t="s">
        <v>208</v>
      </c>
      <c r="F5091" s="23" t="str">
        <f>HYPERLINK("https://www.spark-marketing.ru/Card/Lot/71850487", "D-link USB 3.0 (DUB-1312/A1A) Дополнительная USB 3.0 сетевая карта для видеорегистраторов: TRASSIR MiniClient, TRASSIR MiniNVR, TRASSIR MiniNVR RE, TRASSIR DuoStation, TRASSIR DuoStation RE, TRASSIR QuattroStation, TRASSIR QuattroStation Pro")</f>
        <v>D-link USB 3.0 (DUB-1312/A1A) Дополнительная USB 3.0 сетевая карта для видеорегистраторов: TRASSIR MiniClient, TRASSIR MiniNVR, TRASSIR MiniNVR RE, TRASSIR DuoStation, TRASSIR DuoStation RE, TRASSIR QuattroStation, TRASSIR QuattroStation Pro</v>
      </c>
      <c r="G5091" s="22" t="s">
        <v>55</v>
      </c>
      <c r="H5091" s="22" t="s">
        <v>55</v>
      </c>
      <c r="I5091" s="26">
        <v>43648.7443055556</v>
      </c>
      <c r="J5091" s="28" t="s">
        <v>52</v>
      </c>
      <c r="K5091" s="28" t="s">
        <v>52</v>
      </c>
      <c r="L5091" s="28" t="s">
        <v>52</v>
      </c>
      <c r="M5091" s="28" t="s">
        <v>52</v>
      </c>
      <c r="N5091" s="28" t="s">
        <v>52</v>
      </c>
    </row>
    <row r="5092" spans="1:14" x14ac:dyDescent="0.15">
      <c r="A5092" s="23" t="str">
        <f t="shared" si="225"/>
        <v>АО "ТОРГОВЫЙ ДОМ "ПЕРЕКРЕСТОК"</v>
      </c>
      <c r="B5092" s="24" t="s">
        <v>6999</v>
      </c>
      <c r="C5092" s="25">
        <v>0</v>
      </c>
      <c r="D5092" s="22" t="s">
        <v>7000</v>
      </c>
      <c r="E5092" s="22" t="s">
        <v>208</v>
      </c>
      <c r="F5092" s="23" t="str">
        <f>HYPERLINK("https://www.spark-marketing.ru/Card/Lot/71849980", "Камера видеонаблюдения HikVision DS-2CD2143G0-IS (6mm) купол")</f>
        <v>Камера видеонаблюдения HikVision DS-2CD2143G0-IS (6mm) купол</v>
      </c>
      <c r="G5092" s="22" t="s">
        <v>55</v>
      </c>
      <c r="H5092" s="22" t="s">
        <v>55</v>
      </c>
      <c r="I5092" s="26">
        <v>43648.7443055556</v>
      </c>
      <c r="J5092" s="28" t="s">
        <v>52</v>
      </c>
      <c r="K5092" s="28" t="s">
        <v>52</v>
      </c>
      <c r="L5092" s="28" t="s">
        <v>52</v>
      </c>
      <c r="M5092" s="28" t="s">
        <v>52</v>
      </c>
      <c r="N5092" s="28" t="s">
        <v>52</v>
      </c>
    </row>
    <row r="5093" spans="1:14" x14ac:dyDescent="0.15">
      <c r="A5093" s="23" t="str">
        <f t="shared" si="225"/>
        <v>АО "ТОРГОВЫЙ ДОМ "ПЕРЕКРЕСТОК"</v>
      </c>
      <c r="B5093" s="24" t="s">
        <v>6999</v>
      </c>
      <c r="C5093" s="25">
        <v>0</v>
      </c>
      <c r="D5093" s="22" t="s">
        <v>7002</v>
      </c>
      <c r="E5093" s="22" t="s">
        <v>208</v>
      </c>
      <c r="F5093" s="23" t="str">
        <f>HYPERLINK("https://www.spark-marketing.ru/Card/Lot/71851391", "LTV CTM-110 22, Видеокамера TVI внутреняя, купольная поворотная, 720P, DWDR, 23-x трансфокатор, внутреняя, IP40, -10°С+50°C, 24В")</f>
        <v>LTV CTM-110 22, Видеокамера TVI внутреняя, купольная поворотная, 720P, DWDR, 23-x трансфокатор, внутреняя, IP40, -10°С+50°C, 24В</v>
      </c>
      <c r="G5093" s="22" t="s">
        <v>55</v>
      </c>
      <c r="H5093" s="22" t="s">
        <v>55</v>
      </c>
      <c r="I5093" s="26">
        <v>43648.744641203702</v>
      </c>
      <c r="J5093" s="28" t="s">
        <v>52</v>
      </c>
      <c r="K5093" s="28" t="s">
        <v>52</v>
      </c>
      <c r="L5093" s="28" t="s">
        <v>52</v>
      </c>
      <c r="M5093" s="28" t="s">
        <v>52</v>
      </c>
      <c r="N5093" s="28" t="s">
        <v>52</v>
      </c>
    </row>
    <row r="5094" spans="1:14" x14ac:dyDescent="0.15">
      <c r="A5094" s="23" t="str">
        <f t="shared" si="225"/>
        <v>АО "ТОРГОВЫЙ ДОМ "ПЕРЕКРЕСТОК"</v>
      </c>
      <c r="B5094" s="24" t="s">
        <v>6999</v>
      </c>
      <c r="C5094" s="25">
        <v>0</v>
      </c>
      <c r="D5094" s="22" t="s">
        <v>7006</v>
      </c>
      <c r="E5094" s="22" t="s">
        <v>208</v>
      </c>
      <c r="F5094" s="23" t="str">
        <f>HYPERLINK("https://www.spark-marketing.ru/Card/Lot/71850583", "AC-TA261IR2 Бюджетная уличная 1МП TVI видеокамера в компактном кожухе. Разрешение 720P, матрица 1/4"" CMOS, Цвет: 0.1 Лк (F1.8) / ЧБ: 0 Лк (ИК вкл.), объектив 3.6мм, режим «День/Ночь», механический ИК-фильтр, питание 12В DC, потребляемый ток 500мА, -...")</f>
        <v>AC-TA261IR2 Бюджетная уличная 1МП TVI видеокамера в компактном кожухе. Разрешение 720P, матрица 1/4" CMOS, Цвет: 0.1 Лк (F1.8) / ЧБ: 0 Лк (ИК вкл.), объектив 3.6мм, режим «День/Ночь», механический ИК-фильтр, питание 12В DC, потребляемый ток 500мА, -...</v>
      </c>
      <c r="G5094" s="22" t="s">
        <v>55</v>
      </c>
      <c r="H5094" s="22" t="s">
        <v>55</v>
      </c>
      <c r="I5094" s="26">
        <v>43648.744490740697</v>
      </c>
      <c r="J5094" s="28" t="s">
        <v>52</v>
      </c>
      <c r="K5094" s="28" t="s">
        <v>52</v>
      </c>
      <c r="L5094" s="28" t="s">
        <v>52</v>
      </c>
      <c r="M5094" s="28" t="s">
        <v>52</v>
      </c>
      <c r="N5094" s="28" t="s">
        <v>52</v>
      </c>
    </row>
    <row r="5095" spans="1:14" x14ac:dyDescent="0.15">
      <c r="A5095" s="23" t="str">
        <f t="shared" si="225"/>
        <v>АО "ТОРГОВЫЙ ДОМ "ПЕРЕКРЕСТОК"</v>
      </c>
      <c r="B5095" s="24" t="s">
        <v>6999</v>
      </c>
      <c r="C5095" s="25">
        <v>0</v>
      </c>
      <c r="D5095" s="22" t="s">
        <v>7002</v>
      </c>
      <c r="E5095" s="22" t="s">
        <v>208</v>
      </c>
      <c r="F5095" s="23" t="str">
        <f>HYPERLINK("https://www.spark-marketing.ru/Card/Lot/71851385", "ПО ВидеоМаркет (сервер)")</f>
        <v>ПО ВидеоМаркет (сервер)</v>
      </c>
      <c r="G5095" s="22" t="s">
        <v>55</v>
      </c>
      <c r="H5095" s="22" t="s">
        <v>55</v>
      </c>
      <c r="I5095" s="26">
        <v>43648.744641203702</v>
      </c>
      <c r="J5095" s="28" t="s">
        <v>52</v>
      </c>
      <c r="K5095" s="28" t="s">
        <v>52</v>
      </c>
      <c r="L5095" s="28" t="s">
        <v>52</v>
      </c>
      <c r="M5095" s="28" t="s">
        <v>52</v>
      </c>
      <c r="N5095" s="28" t="s">
        <v>52</v>
      </c>
    </row>
    <row r="5096" spans="1:14" x14ac:dyDescent="0.15">
      <c r="A5096" s="23" t="str">
        <f t="shared" si="225"/>
        <v>АО "ТОРГОВЫЙ ДОМ "ПЕРЕКРЕСТОК"</v>
      </c>
      <c r="B5096" s="24" t="s">
        <v>6999</v>
      </c>
      <c r="C5096" s="25">
        <v>0</v>
      </c>
      <c r="D5096" s="22" t="s">
        <v>7008</v>
      </c>
      <c r="E5096" s="22" t="s">
        <v>208</v>
      </c>
      <c r="F5096" s="23" t="str">
        <f>HYPERLINK("https://www.spark-marketing.ru/Card/Lot/71854819", "AC-TA261IR2 Бюджетная уличная 1МП TVI видеокамера в компактном кожухе. Разрешение 720P, матрица 1/4"" CMOS, Цвет: 0.1 Лк (F1.8) / ЧБ: 0 Лк (ИК вкл.), объектив 3.6мм, режим «День/Ночь», механический ИК-фильтр, питание 12В DC, потребляемый ток 500мА, -...")</f>
        <v>AC-TA261IR2 Бюджетная уличная 1МП TVI видеокамера в компактном кожухе. Разрешение 720P, матрица 1/4" CMOS, Цвет: 0.1 Лк (F1.8) / ЧБ: 0 Лк (ИК вкл.), объектив 3.6мм, режим «День/Ночь», механический ИК-фильтр, питание 12В DC, потребляемый ток 500мА, -...</v>
      </c>
      <c r="G5096" s="22" t="s">
        <v>55</v>
      </c>
      <c r="H5096" s="22" t="s">
        <v>55</v>
      </c>
      <c r="I5096" s="26">
        <v>43648.745509259301</v>
      </c>
      <c r="J5096" s="28" t="s">
        <v>52</v>
      </c>
      <c r="K5096" s="28" t="s">
        <v>52</v>
      </c>
      <c r="L5096" s="28" t="s">
        <v>52</v>
      </c>
      <c r="M5096" s="28" t="s">
        <v>52</v>
      </c>
      <c r="N5096" s="28" t="s">
        <v>52</v>
      </c>
    </row>
    <row r="5097" spans="1:14" x14ac:dyDescent="0.15">
      <c r="A5097" s="23" t="str">
        <f t="shared" si="225"/>
        <v>АО "ТОРГОВЫЙ ДОМ "ПЕРЕКРЕСТОК"</v>
      </c>
      <c r="B5097" s="24" t="s">
        <v>6999</v>
      </c>
      <c r="C5097" s="25">
        <v>0</v>
      </c>
      <c r="D5097" s="22" t="s">
        <v>7003</v>
      </c>
      <c r="E5097" s="22" t="s">
        <v>208</v>
      </c>
      <c r="F5097" s="23" t="str">
        <f>HYPERLINK("https://www.spark-marketing.ru/Card/Lot/71851741", "AC-TA283IR3 Уличная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OSD,...")</f>
        <v>AC-TA283IR3 Уличная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OSD,...</v>
      </c>
      <c r="G5097" s="22" t="s">
        <v>55</v>
      </c>
      <c r="H5097" s="22" t="s">
        <v>55</v>
      </c>
      <c r="I5097" s="26">
        <v>43648.744791666701</v>
      </c>
      <c r="J5097" s="28" t="s">
        <v>52</v>
      </c>
      <c r="K5097" s="28" t="s">
        <v>52</v>
      </c>
      <c r="L5097" s="28" t="s">
        <v>52</v>
      </c>
      <c r="M5097" s="28" t="s">
        <v>52</v>
      </c>
      <c r="N5097" s="28" t="s">
        <v>52</v>
      </c>
    </row>
    <row r="5098" spans="1:14" x14ac:dyDescent="0.15">
      <c r="A5098" s="23" t="str">
        <f t="shared" si="225"/>
        <v>АО "ТОРГОВЫЙ ДОМ "ПЕРЕКРЕСТОК"</v>
      </c>
      <c r="B5098" s="24" t="s">
        <v>6999</v>
      </c>
      <c r="C5098" s="25">
        <v>0</v>
      </c>
      <c r="D5098" s="22" t="s">
        <v>7004</v>
      </c>
      <c r="E5098" s="22" t="s">
        <v>208</v>
      </c>
      <c r="F5098" s="23" t="str">
        <f>HYPERLINK("https://www.spark-marketing.ru/Card/Lot/71853230", "LTV-BMW-305-HV, кронштейн настенный для видеокамер LTV-SDNO36-HV, LTV-SDNO36L-HV, LTV-ISDNO20-EM2, вылет 305мм")</f>
        <v>LTV-BMW-305-HV, кронштейн настенный для видеокамер LTV-SDNO36-HV, LTV-SDNO36L-HV, LTV-ISDNO20-EM2, вылет 305мм</v>
      </c>
      <c r="G5098" s="22" t="s">
        <v>55</v>
      </c>
      <c r="H5098" s="22" t="s">
        <v>55</v>
      </c>
      <c r="I5098" s="26">
        <v>43648.745347222197</v>
      </c>
      <c r="J5098" s="28" t="s">
        <v>52</v>
      </c>
      <c r="K5098" s="28" t="s">
        <v>52</v>
      </c>
      <c r="L5098" s="28" t="s">
        <v>52</v>
      </c>
      <c r="M5098" s="28" t="s">
        <v>52</v>
      </c>
      <c r="N5098" s="28" t="s">
        <v>52</v>
      </c>
    </row>
    <row r="5099" spans="1:14" x14ac:dyDescent="0.15">
      <c r="A5099" s="23" t="str">
        <f t="shared" si="225"/>
        <v>АО "ТОРГОВЫЙ ДОМ "ПЕРЕКРЕСТОК"</v>
      </c>
      <c r="B5099" s="24" t="s">
        <v>6999</v>
      </c>
      <c r="C5099" s="25">
        <v>0</v>
      </c>
      <c r="D5099" s="22" t="s">
        <v>7008</v>
      </c>
      <c r="E5099" s="22" t="s">
        <v>208</v>
      </c>
      <c r="F5099" s="23" t="str">
        <f>HYPERLINK("https://www.spark-marketing.ru/Card/Lot/71854526", "Камера видеонаблюдения HikVision DS-2CD2643G0-IZS (2.8-12mm) 4 Mp motor-zoom")</f>
        <v>Камера видеонаблюдения HikVision DS-2CD2643G0-IZS (2.8-12mm) 4 Mp motor-zoom</v>
      </c>
      <c r="G5099" s="22" t="s">
        <v>55</v>
      </c>
      <c r="H5099" s="22" t="s">
        <v>55</v>
      </c>
      <c r="I5099" s="26">
        <v>43648.745509259301</v>
      </c>
      <c r="J5099" s="28" t="s">
        <v>52</v>
      </c>
      <c r="K5099" s="28" t="s">
        <v>52</v>
      </c>
      <c r="L5099" s="28" t="s">
        <v>52</v>
      </c>
      <c r="M5099" s="28" t="s">
        <v>52</v>
      </c>
      <c r="N5099" s="28" t="s">
        <v>52</v>
      </c>
    </row>
    <row r="5100" spans="1:14" x14ac:dyDescent="0.15">
      <c r="A5100" s="23" t="str">
        <f t="shared" si="225"/>
        <v>АО "ТОРГОВЫЙ ДОМ "ПЕРЕКРЕСТОК"</v>
      </c>
      <c r="B5100" s="24" t="s">
        <v>6999</v>
      </c>
      <c r="C5100" s="25">
        <v>0</v>
      </c>
      <c r="D5100" s="22" t="s">
        <v>7006</v>
      </c>
      <c r="E5100" s="22" t="s">
        <v>208</v>
      </c>
      <c r="F5100" s="23" t="str">
        <f>HYPERLINK("https://www.spark-marketing.ru/Card/Lot/71850658", "Камера видеонаблюдения HikVision DS-2CD2023G0-I (4mm) булет")</f>
        <v>Камера видеонаблюдения HikVision DS-2CD2023G0-I (4mm) булет</v>
      </c>
      <c r="G5100" s="22" t="s">
        <v>55</v>
      </c>
      <c r="H5100" s="22" t="s">
        <v>55</v>
      </c>
      <c r="I5100" s="26">
        <v>43648.744490740697</v>
      </c>
      <c r="J5100" s="28" t="s">
        <v>52</v>
      </c>
      <c r="K5100" s="28" t="s">
        <v>52</v>
      </c>
      <c r="L5100" s="28" t="s">
        <v>52</v>
      </c>
      <c r="M5100" s="28" t="s">
        <v>52</v>
      </c>
      <c r="N5100" s="28" t="s">
        <v>52</v>
      </c>
    </row>
    <row r="5101" spans="1:14" x14ac:dyDescent="0.15">
      <c r="A5101" s="23" t="str">
        <f t="shared" si="225"/>
        <v>АО "ТОРГОВЫЙ ДОМ "ПЕРЕКРЕСТОК"</v>
      </c>
      <c r="B5101" s="24" t="s">
        <v>6999</v>
      </c>
      <c r="C5101" s="25">
        <v>0</v>
      </c>
      <c r="D5101" s="22" t="s">
        <v>7004</v>
      </c>
      <c r="E5101" s="22" t="s">
        <v>208</v>
      </c>
      <c r="F5101" s="23" t="str">
        <f>HYPERLINK("https://www.spark-marketing.ru/Card/Lot/71853237", "AC-TA363IR2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f>
        <v>AC-TA363IR2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v>
      </c>
      <c r="G5101" s="22" t="s">
        <v>55</v>
      </c>
      <c r="H5101" s="22" t="s">
        <v>55</v>
      </c>
      <c r="I5101" s="26">
        <v>43648.745347222197</v>
      </c>
      <c r="J5101" s="28" t="s">
        <v>52</v>
      </c>
      <c r="K5101" s="28" t="s">
        <v>52</v>
      </c>
      <c r="L5101" s="28" t="s">
        <v>52</v>
      </c>
      <c r="M5101" s="28" t="s">
        <v>52</v>
      </c>
      <c r="N5101" s="28" t="s">
        <v>52</v>
      </c>
    </row>
    <row r="5102" spans="1:14" x14ac:dyDescent="0.15">
      <c r="A5102" s="23" t="str">
        <f>HYPERLINK("https://www.spark-marketing.ru/Card/Person/160078", "УПРАВЛЕНИЕ МИНЮСТА РОССИИ ПО РЕСПУБЛИКЕ МАРИЙ ЭЛ")</f>
        <v>УПРАВЛЕНИЕ МИНЮСТА РОССИИ ПО РЕСПУБЛИКЕ МАРИЙ ЭЛ</v>
      </c>
      <c r="B5102" s="24" t="s">
        <v>7011</v>
      </c>
      <c r="C5102" s="25">
        <v>77411.039999999994</v>
      </c>
      <c r="D5102" s="22" t="s">
        <v>7012</v>
      </c>
      <c r="E5102" s="22" t="s">
        <v>107</v>
      </c>
      <c r="F5102" s="23" t="str">
        <f>HYPERLINK("https://www.spark-marketing.ru/Card/Lot/71847143", "Техническое обслуживание инженерно-технических средств охраны, 1 шт")</f>
        <v>Техническое обслуживание инженерно-технических средств охраны, 1 шт</v>
      </c>
      <c r="G5102" s="22" t="s">
        <v>2514</v>
      </c>
      <c r="H5102" s="22" t="s">
        <v>4189</v>
      </c>
      <c r="I5102" s="26">
        <v>43648.744837963</v>
      </c>
      <c r="J5102" s="28" t="s">
        <v>52</v>
      </c>
      <c r="K5102" s="28" t="s">
        <v>52</v>
      </c>
      <c r="L5102" s="28" t="s">
        <v>52</v>
      </c>
      <c r="M5102" s="28" t="s">
        <v>52</v>
      </c>
      <c r="N5102" s="28" t="s">
        <v>52</v>
      </c>
    </row>
    <row r="5103" spans="1:14" x14ac:dyDescent="0.15">
      <c r="A5103" s="23" t="str">
        <f t="shared" ref="A5103:A5109" si="226">HYPERLINK("https://www.spark-marketing.ru/Card/Person/1887298", "АО ""ТОРГОВЫЙ ДОМ ""ПЕРЕКРЕСТОК""")</f>
        <v>АО "ТОРГОВЫЙ ДОМ "ПЕРЕКРЕСТОК"</v>
      </c>
      <c r="B5103" s="24" t="s">
        <v>6999</v>
      </c>
      <c r="C5103" s="25">
        <v>0</v>
      </c>
      <c r="D5103" s="22" t="s">
        <v>7008</v>
      </c>
      <c r="E5103" s="22" t="s">
        <v>208</v>
      </c>
      <c r="F5103" s="23" t="str">
        <f>HYPERLINK("https://www.spark-marketing.ru/Card/Lot/71854783", "LTV-BMW-305-HV, кронштейн настенный для видеокамер LTV-SDNO36-HV, LTV-SDNO36L-HV, LTV-ISDNO20-EM2, вылет 305мм")</f>
        <v>LTV-BMW-305-HV, кронштейн настенный для видеокамер LTV-SDNO36-HV, LTV-SDNO36L-HV, LTV-ISDNO20-EM2, вылет 305мм</v>
      </c>
      <c r="G5103" s="22" t="s">
        <v>55</v>
      </c>
      <c r="H5103" s="22" t="s">
        <v>55</v>
      </c>
      <c r="I5103" s="26">
        <v>43648.745509259301</v>
      </c>
      <c r="J5103" s="28" t="s">
        <v>52</v>
      </c>
      <c r="K5103" s="28" t="s">
        <v>52</v>
      </c>
      <c r="L5103" s="28" t="s">
        <v>52</v>
      </c>
      <c r="M5103" s="28" t="s">
        <v>52</v>
      </c>
      <c r="N5103" s="28" t="s">
        <v>52</v>
      </c>
    </row>
    <row r="5104" spans="1:14" x14ac:dyDescent="0.15">
      <c r="A5104" s="23" t="str">
        <f t="shared" si="226"/>
        <v>АО "ТОРГОВЫЙ ДОМ "ПЕРЕКРЕСТОК"</v>
      </c>
      <c r="B5104" s="24" t="s">
        <v>6999</v>
      </c>
      <c r="C5104" s="25">
        <v>0</v>
      </c>
      <c r="D5104" s="22" t="s">
        <v>7005</v>
      </c>
      <c r="E5104" s="22" t="s">
        <v>208</v>
      </c>
      <c r="F5104" s="23" t="str">
        <f>HYPERLINK("https://www.spark-marketing.ru/Card/Lot/71852835", "Приемопередатчики видеосигнала по витой паре")</f>
        <v>Приемопередатчики видеосигнала по витой паре</v>
      </c>
      <c r="G5104" s="22" t="s">
        <v>55</v>
      </c>
      <c r="H5104" s="22" t="s">
        <v>55</v>
      </c>
      <c r="I5104" s="26">
        <v>43648.745069444398</v>
      </c>
      <c r="J5104" s="28" t="s">
        <v>52</v>
      </c>
      <c r="K5104" s="28" t="s">
        <v>52</v>
      </c>
      <c r="L5104" s="28" t="s">
        <v>52</v>
      </c>
      <c r="M5104" s="28" t="s">
        <v>52</v>
      </c>
      <c r="N5104" s="28" t="s">
        <v>52</v>
      </c>
    </row>
    <row r="5105" spans="1:14" x14ac:dyDescent="0.15">
      <c r="A5105" s="23" t="str">
        <f t="shared" si="226"/>
        <v>АО "ТОРГОВЫЙ ДОМ "ПЕРЕКРЕСТОК"</v>
      </c>
      <c r="B5105" s="24" t="s">
        <v>6999</v>
      </c>
      <c r="C5105" s="25">
        <v>0</v>
      </c>
      <c r="D5105" s="22" t="s">
        <v>7001</v>
      </c>
      <c r="E5105" s="22" t="s">
        <v>208</v>
      </c>
      <c r="F5105" s="23" t="str">
        <f>HYPERLINK("https://www.spark-marketing.ru/Card/Lot/71852219", "Камера видеонаблюдения HikVision DS-2CD2023G0-I (4mm) булет")</f>
        <v>Камера видеонаблюдения HikVision DS-2CD2023G0-I (4mm) булет</v>
      </c>
      <c r="G5105" s="22" t="s">
        <v>55</v>
      </c>
      <c r="H5105" s="22" t="s">
        <v>55</v>
      </c>
      <c r="I5105" s="26">
        <v>43648.7449305556</v>
      </c>
      <c r="J5105" s="28" t="s">
        <v>52</v>
      </c>
      <c r="K5105" s="28" t="s">
        <v>52</v>
      </c>
      <c r="L5105" s="28" t="s">
        <v>52</v>
      </c>
      <c r="M5105" s="28" t="s">
        <v>52</v>
      </c>
      <c r="N5105" s="28" t="s">
        <v>52</v>
      </c>
    </row>
    <row r="5106" spans="1:14" x14ac:dyDescent="0.15">
      <c r="A5106" s="23" t="str">
        <f t="shared" si="226"/>
        <v>АО "ТОРГОВЫЙ ДОМ "ПЕРЕКРЕСТОК"</v>
      </c>
      <c r="B5106" s="24" t="s">
        <v>6999</v>
      </c>
      <c r="C5106" s="25">
        <v>0</v>
      </c>
      <c r="D5106" s="22" t="s">
        <v>7003</v>
      </c>
      <c r="E5106" s="22" t="s">
        <v>208</v>
      </c>
      <c r="F5106" s="23" t="str">
        <f>HYPERLINK("https://www.spark-marketing.ru/Card/Lot/71852123", "Демонтаж Системы видеонаблюдения (включая кабельные трассы)")</f>
        <v>Демонтаж Системы видеонаблюдения (включая кабельные трассы)</v>
      </c>
      <c r="G5106" s="22" t="s">
        <v>55</v>
      </c>
      <c r="H5106" s="22" t="s">
        <v>55</v>
      </c>
      <c r="I5106" s="26">
        <v>43648.744791666701</v>
      </c>
      <c r="J5106" s="28" t="s">
        <v>52</v>
      </c>
      <c r="K5106" s="28" t="s">
        <v>52</v>
      </c>
      <c r="L5106" s="28" t="s">
        <v>52</v>
      </c>
      <c r="M5106" s="28" t="s">
        <v>52</v>
      </c>
      <c r="N5106" s="28" t="s">
        <v>52</v>
      </c>
    </row>
    <row r="5107" spans="1:14" x14ac:dyDescent="0.15">
      <c r="A5107" s="23" t="str">
        <f t="shared" si="226"/>
        <v>АО "ТОРГОВЫЙ ДОМ "ПЕРЕКРЕСТОК"</v>
      </c>
      <c r="B5107" s="24" t="s">
        <v>6999</v>
      </c>
      <c r="C5107" s="25">
        <v>0</v>
      </c>
      <c r="D5107" s="22" t="s">
        <v>7004</v>
      </c>
      <c r="E5107" s="22" t="s">
        <v>208</v>
      </c>
      <c r="F5107" s="23" t="str">
        <f>HYPERLINK("https://www.spark-marketing.ru/Card/Lot/71852651", "Камера видеонаблюдения HikVision DS-2DE4225W-DE PTZ")</f>
        <v>Камера видеонаблюдения HikVision DS-2DE4225W-DE PTZ</v>
      </c>
      <c r="G5107" s="22" t="s">
        <v>55</v>
      </c>
      <c r="H5107" s="22" t="s">
        <v>55</v>
      </c>
      <c r="I5107" s="26">
        <v>43648.745347222197</v>
      </c>
      <c r="J5107" s="28" t="s">
        <v>52</v>
      </c>
      <c r="K5107" s="28" t="s">
        <v>52</v>
      </c>
      <c r="L5107" s="28" t="s">
        <v>52</v>
      </c>
      <c r="M5107" s="28" t="s">
        <v>52</v>
      </c>
      <c r="N5107" s="28" t="s">
        <v>52</v>
      </c>
    </row>
    <row r="5108" spans="1:14" x14ac:dyDescent="0.15">
      <c r="A5108" s="23" t="str">
        <f t="shared" si="226"/>
        <v>АО "ТОРГОВЫЙ ДОМ "ПЕРЕКРЕСТОК"</v>
      </c>
      <c r="B5108" s="24" t="s">
        <v>6999</v>
      </c>
      <c r="C5108" s="25">
        <v>0</v>
      </c>
      <c r="D5108" s="22" t="s">
        <v>7007</v>
      </c>
      <c r="E5108" s="22" t="s">
        <v>208</v>
      </c>
      <c r="F5108" s="23" t="str">
        <f>HYPERLINK("https://www.spark-marketing.ru/Card/Lot/71852723", "LTV CTM-110 22. Видеокамера TVI, купольная поворотная, 720P, DWDR, 23-x трансфокатор, внутренняя, IP40, -10°С +50°C, 24В АС")</f>
        <v>LTV CTM-110 22. Видеокамера TVI, купольная поворотная, 720P, DWDR, 23-x трансфокатор, внутренняя, IP40, -10°С +50°C, 24В АС</v>
      </c>
      <c r="G5108" s="22" t="s">
        <v>55</v>
      </c>
      <c r="H5108" s="22" t="s">
        <v>55</v>
      </c>
      <c r="I5108" s="26">
        <v>43648.745219907403</v>
      </c>
      <c r="J5108" s="28" t="s">
        <v>52</v>
      </c>
      <c r="K5108" s="28" t="s">
        <v>52</v>
      </c>
      <c r="L5108" s="28" t="s">
        <v>52</v>
      </c>
      <c r="M5108" s="28" t="s">
        <v>52</v>
      </c>
      <c r="N5108" s="28" t="s">
        <v>52</v>
      </c>
    </row>
    <row r="5109" spans="1:14" x14ac:dyDescent="0.15">
      <c r="A5109" s="23" t="str">
        <f t="shared" si="226"/>
        <v>АО "ТОРГОВЫЙ ДОМ "ПЕРЕКРЕСТОК"</v>
      </c>
      <c r="B5109" s="24" t="s">
        <v>6999</v>
      </c>
      <c r="C5109" s="25">
        <v>0</v>
      </c>
      <c r="D5109" s="22" t="s">
        <v>7002</v>
      </c>
      <c r="E5109" s="22" t="s">
        <v>208</v>
      </c>
      <c r="F5109" s="23" t="str">
        <f>HYPERLINK("https://www.spark-marketing.ru/Card/Lot/71850989", "Камера видеонаблюдения HikVision DS-2CD2155FWD-IS (2.8mm) купол")</f>
        <v>Камера видеонаблюдения HikVision DS-2CD2155FWD-IS (2.8mm) купол</v>
      </c>
      <c r="G5109" s="22" t="s">
        <v>55</v>
      </c>
      <c r="H5109" s="22" t="s">
        <v>55</v>
      </c>
      <c r="I5109" s="26">
        <v>43648.744641203702</v>
      </c>
      <c r="J5109" s="28" t="s">
        <v>52</v>
      </c>
      <c r="K5109" s="28" t="s">
        <v>52</v>
      </c>
      <c r="L5109" s="28" t="s">
        <v>52</v>
      </c>
      <c r="M5109" s="28" t="s">
        <v>52</v>
      </c>
      <c r="N5109" s="28" t="s">
        <v>52</v>
      </c>
    </row>
    <row r="5110" spans="1:14" x14ac:dyDescent="0.15">
      <c r="A5110" s="23" t="str">
        <f>HYPERLINK("https://www.spark-marketing.ru/Card/Person/34969", "МЕЖРАЙОННАЯ ИФНС РОССИИ № 18 ПО МОСКОВСКОЙ ОБЛАСТИ")</f>
        <v>МЕЖРАЙОННАЯ ИФНС РОССИИ № 18 ПО МОСКОВСКОЙ ОБЛАСТИ</v>
      </c>
      <c r="B5110" s="24" t="s">
        <v>7013</v>
      </c>
      <c r="C5110" s="25">
        <v>67498.559999999998</v>
      </c>
      <c r="D5110" s="22" t="s">
        <v>7014</v>
      </c>
      <c r="E5110" s="22" t="s">
        <v>53</v>
      </c>
      <c r="F5110" s="23" t="str">
        <f>HYPERLINK("https://www.spark-marketing.ru/Card/Lot/71847147", "Охрана объектов, на которые частная охранная деятельность не распространяется, 1 усл. ед")</f>
        <v>Охрана объектов, на которые частная охранная деятельность не распространяется, 1 усл. ед</v>
      </c>
      <c r="G5110" s="22" t="s">
        <v>50</v>
      </c>
      <c r="H5110" s="22" t="s">
        <v>2283</v>
      </c>
      <c r="I5110" s="26">
        <v>43648.747337963003</v>
      </c>
      <c r="J5110" s="28" t="s">
        <v>52</v>
      </c>
      <c r="K5110" s="28" t="s">
        <v>52</v>
      </c>
      <c r="L5110" s="28" t="s">
        <v>52</v>
      </c>
      <c r="M5110" s="28" t="s">
        <v>52</v>
      </c>
      <c r="N5110" s="28" t="s">
        <v>52</v>
      </c>
    </row>
    <row r="5111" spans="1:14" x14ac:dyDescent="0.15">
      <c r="A5111" s="23" t="str">
        <f t="shared" ref="A5111:A5142" si="227">HYPERLINK("https://www.spark-marketing.ru/Card/Person/1887298", "АО ""ТОРГОВЫЙ ДОМ ""ПЕРЕКРЕСТОК""")</f>
        <v>АО "ТОРГОВЫЙ ДОМ "ПЕРЕКРЕСТОК"</v>
      </c>
      <c r="B5111" s="24" t="s">
        <v>6999</v>
      </c>
      <c r="C5111" s="25">
        <v>0</v>
      </c>
      <c r="D5111" s="22" t="s">
        <v>7000</v>
      </c>
      <c r="E5111" s="22" t="s">
        <v>208</v>
      </c>
      <c r="F5111" s="23" t="str">
        <f>HYPERLINK("https://www.spark-marketing.ru/Card/Lot/71850598", "Монтаж, подключение, настройка видеокамеры")</f>
        <v>Монтаж, подключение, настройка видеокамеры</v>
      </c>
      <c r="G5111" s="22" t="s">
        <v>55</v>
      </c>
      <c r="H5111" s="22" t="s">
        <v>55</v>
      </c>
      <c r="I5111" s="26">
        <v>43648.7443055556</v>
      </c>
      <c r="J5111" s="28" t="s">
        <v>52</v>
      </c>
      <c r="K5111" s="28" t="s">
        <v>52</v>
      </c>
      <c r="L5111" s="28" t="s">
        <v>52</v>
      </c>
      <c r="M5111" s="28" t="s">
        <v>52</v>
      </c>
      <c r="N5111" s="28" t="s">
        <v>52</v>
      </c>
    </row>
    <row r="5112" spans="1:14" x14ac:dyDescent="0.15">
      <c r="A5112" s="23" t="str">
        <f t="shared" si="227"/>
        <v>АО "ТОРГОВЫЙ ДОМ "ПЕРЕКРЕСТОК"</v>
      </c>
      <c r="B5112" s="24" t="s">
        <v>6999</v>
      </c>
      <c r="C5112" s="25">
        <v>0</v>
      </c>
      <c r="D5112" s="22" t="s">
        <v>7000</v>
      </c>
      <c r="E5112" s="22" t="s">
        <v>208</v>
      </c>
      <c r="F5112" s="23" t="str">
        <f>HYPERLINK("https://www.spark-marketing.ru/Card/Lot/71849996", "Камера видеонаблюдения HikVision DS-2CD2155FWD-IS (2.8mm) купол")</f>
        <v>Камера видеонаблюдения HikVision DS-2CD2155FWD-IS (2.8mm) купол</v>
      </c>
      <c r="G5112" s="22" t="s">
        <v>55</v>
      </c>
      <c r="H5112" s="22" t="s">
        <v>55</v>
      </c>
      <c r="I5112" s="26">
        <v>43648.7443055556</v>
      </c>
      <c r="J5112" s="28" t="s">
        <v>52</v>
      </c>
      <c r="K5112" s="28" t="s">
        <v>52</v>
      </c>
      <c r="L5112" s="28" t="s">
        <v>52</v>
      </c>
      <c r="M5112" s="28" t="s">
        <v>52</v>
      </c>
      <c r="N5112" s="28" t="s">
        <v>52</v>
      </c>
    </row>
    <row r="5113" spans="1:14" x14ac:dyDescent="0.15">
      <c r="A5113" s="23" t="str">
        <f t="shared" si="227"/>
        <v>АО "ТОРГОВЫЙ ДОМ "ПЕРЕКРЕСТОК"</v>
      </c>
      <c r="B5113" s="24" t="s">
        <v>6999</v>
      </c>
      <c r="C5113" s="25">
        <v>0</v>
      </c>
      <c r="D5113" s="22" t="s">
        <v>7006</v>
      </c>
      <c r="E5113" s="22" t="s">
        <v>208</v>
      </c>
      <c r="F5113" s="23" t="str">
        <f>HYPERLINK("https://www.spark-marketing.ru/Card/Lot/71850723", "TRASSIR NeiroStation 2V (Сервер видеоналитики, 2*GPU)")</f>
        <v>TRASSIR NeiroStation 2V (Сервер видеоналитики, 2*GPU)</v>
      </c>
      <c r="G5113" s="22" t="s">
        <v>55</v>
      </c>
      <c r="H5113" s="22" t="s">
        <v>55</v>
      </c>
      <c r="I5113" s="26">
        <v>43648.744490740697</v>
      </c>
      <c r="J5113" s="28" t="s">
        <v>52</v>
      </c>
      <c r="K5113" s="28" t="s">
        <v>52</v>
      </c>
      <c r="L5113" s="28" t="s">
        <v>52</v>
      </c>
      <c r="M5113" s="28" t="s">
        <v>52</v>
      </c>
      <c r="N5113" s="28" t="s">
        <v>52</v>
      </c>
    </row>
    <row r="5114" spans="1:14" x14ac:dyDescent="0.15">
      <c r="A5114" s="23" t="str">
        <f t="shared" si="227"/>
        <v>АО "ТОРГОВЫЙ ДОМ "ПЕРЕКРЕСТОК"</v>
      </c>
      <c r="B5114" s="24" t="s">
        <v>6999</v>
      </c>
      <c r="C5114" s="25">
        <v>0</v>
      </c>
      <c r="D5114" s="22" t="s">
        <v>7001</v>
      </c>
      <c r="E5114" s="22" t="s">
        <v>208</v>
      </c>
      <c r="F5114" s="23" t="str">
        <f>HYPERLINK("https://www.spark-marketing.ru/Card/Lot/71852426", "LTV RTM-162 00 16-канальный TVI/AHD/CVBS/IP видеорегистратор, 720p: 400 к/c, 1080p: 200 к/c, вых. BNC/VGA/HDMI")</f>
        <v>LTV RTM-162 00 16-канальный TVI/AHD/CVBS/IP видеорегистратор, 720p: 400 к/c, 1080p: 200 к/c, вых. BNC/VGA/HDMI</v>
      </c>
      <c r="G5114" s="22" t="s">
        <v>55</v>
      </c>
      <c r="H5114" s="22" t="s">
        <v>55</v>
      </c>
      <c r="I5114" s="26">
        <v>43648.7449305556</v>
      </c>
      <c r="J5114" s="28" t="s">
        <v>52</v>
      </c>
      <c r="K5114" s="28" t="s">
        <v>52</v>
      </c>
      <c r="L5114" s="28" t="s">
        <v>52</v>
      </c>
      <c r="M5114" s="28" t="s">
        <v>52</v>
      </c>
      <c r="N5114" s="28" t="s">
        <v>52</v>
      </c>
    </row>
    <row r="5115" spans="1:14" x14ac:dyDescent="0.15">
      <c r="A5115" s="23" t="str">
        <f t="shared" si="227"/>
        <v>АО "ТОРГОВЫЙ ДОМ "ПЕРЕКРЕСТОК"</v>
      </c>
      <c r="B5115" s="24" t="s">
        <v>6999</v>
      </c>
      <c r="C5115" s="25">
        <v>0</v>
      </c>
      <c r="D5115" s="22" t="s">
        <v>7005</v>
      </c>
      <c r="E5115" s="22" t="s">
        <v>208</v>
      </c>
      <c r="F5115" s="23" t="str">
        <f>HYPERLINK("https://www.spark-marketing.ru/Card/Lot/71854371", "AC-TA361IR2 Бюджетная компактная купольная 1МП TVI видеокамера. Разрешение 720P, матрица 1/4"" CMOS, Цвет: 0.1 Лк (F1.8) / ЧБ: 0 Лк (ИК вкл.), объектив 3.6мм, режим «День/Ночь», механический ИК-фильтр, питание 12В DC, потребляемый ток 500мА, -10…+5°С...")</f>
        <v>AC-TA361IR2 Бюджетная компактная купольная 1МП TVI видеокамера. Разрешение 720P, матрица 1/4" CMOS, Цвет: 0.1 Лк (F1.8) / ЧБ: 0 Лк (ИК вкл.), объектив 3.6мм, режим «День/Ночь», механический ИК-фильтр, питание 12В DC, потребляемый ток 500мА, -10…+5°С...</v>
      </c>
      <c r="G5115" s="22" t="s">
        <v>55</v>
      </c>
      <c r="H5115" s="22" t="s">
        <v>55</v>
      </c>
      <c r="I5115" s="26">
        <v>43648.745069444398</v>
      </c>
      <c r="J5115" s="28" t="s">
        <v>52</v>
      </c>
      <c r="K5115" s="28" t="s">
        <v>52</v>
      </c>
      <c r="L5115" s="28" t="s">
        <v>52</v>
      </c>
      <c r="M5115" s="28" t="s">
        <v>52</v>
      </c>
      <c r="N5115" s="28" t="s">
        <v>52</v>
      </c>
    </row>
    <row r="5116" spans="1:14" x14ac:dyDescent="0.15">
      <c r="A5116" s="23" t="str">
        <f t="shared" si="227"/>
        <v>АО "ТОРГОВЫЙ ДОМ "ПЕРЕКРЕСТОК"</v>
      </c>
      <c r="B5116" s="24" t="s">
        <v>6999</v>
      </c>
      <c r="C5116" s="25">
        <v>0</v>
      </c>
      <c r="D5116" s="22" t="s">
        <v>7000</v>
      </c>
      <c r="E5116" s="22" t="s">
        <v>208</v>
      </c>
      <c r="F5116" s="23" t="str">
        <f>HYPERLINK("https://www.spark-marketing.ru/Card/Lot/71850240", "Сервер контроля кассовых операций Видеомаркет (Core i5/8192Mb/250Gb/Lan 1000/4xUSB 2.0/CardReader 4x1/Mb+Kb, ОС Win 7/10 pro, Видеокарта NVIDIA GeForce GT 730) комплект ""клавиатура-""мышь""")</f>
        <v>Сервер контроля кассовых операций Видеомаркет (Core i5/8192Mb/250Gb/Lan 1000/4xUSB 2.0/CardReader 4x1/Mb+Kb, ОС Win 7/10 pro, Видеокарта NVIDIA GeForce GT 730) комплект "клавиатура-"мышь"</v>
      </c>
      <c r="G5116" s="22" t="s">
        <v>55</v>
      </c>
      <c r="H5116" s="22" t="s">
        <v>55</v>
      </c>
      <c r="I5116" s="26">
        <v>43648.7443055556</v>
      </c>
      <c r="J5116" s="28" t="s">
        <v>52</v>
      </c>
      <c r="K5116" s="28" t="s">
        <v>52</v>
      </c>
      <c r="L5116" s="28" t="s">
        <v>52</v>
      </c>
      <c r="M5116" s="28" t="s">
        <v>52</v>
      </c>
      <c r="N5116" s="28" t="s">
        <v>52</v>
      </c>
    </row>
    <row r="5117" spans="1:14" x14ac:dyDescent="0.15">
      <c r="A5117" s="23" t="str">
        <f t="shared" si="227"/>
        <v>АО "ТОРГОВЫЙ ДОМ "ПЕРЕКРЕСТОК"</v>
      </c>
      <c r="B5117" s="24" t="s">
        <v>6999</v>
      </c>
      <c r="C5117" s="25">
        <v>0</v>
      </c>
      <c r="D5117" s="22" t="s">
        <v>7004</v>
      </c>
      <c r="E5117" s="22" t="s">
        <v>208</v>
      </c>
      <c r="F5117" s="23" t="str">
        <f>HYPERLINK("https://www.spark-marketing.ru/Card/Lot/71853000", "Опустошение полок (на одну видеокамеру камеру)")</f>
        <v>Опустошение полок (на одну видеокамеру камеру)</v>
      </c>
      <c r="G5117" s="22" t="s">
        <v>55</v>
      </c>
      <c r="H5117" s="22" t="s">
        <v>55</v>
      </c>
      <c r="I5117" s="26">
        <v>43648.745347222197</v>
      </c>
      <c r="J5117" s="28" t="s">
        <v>52</v>
      </c>
      <c r="K5117" s="28" t="s">
        <v>52</v>
      </c>
      <c r="L5117" s="28" t="s">
        <v>52</v>
      </c>
      <c r="M5117" s="28" t="s">
        <v>52</v>
      </c>
      <c r="N5117" s="28" t="s">
        <v>52</v>
      </c>
    </row>
    <row r="5118" spans="1:14" x14ac:dyDescent="0.15">
      <c r="A5118" s="23" t="str">
        <f t="shared" si="227"/>
        <v>АО "ТОРГОВЫЙ ДОМ "ПЕРЕКРЕСТОК"</v>
      </c>
      <c r="B5118" s="24" t="s">
        <v>6999</v>
      </c>
      <c r="C5118" s="25">
        <v>0</v>
      </c>
      <c r="D5118" s="22" t="s">
        <v>7008</v>
      </c>
      <c r="E5118" s="22" t="s">
        <v>208</v>
      </c>
      <c r="F5118" s="23" t="str">
        <f>HYPERLINK("https://www.spark-marketing.ru/Card/Lot/71854731", "LTV CTM-220 64, Видеокамера TVI, PTZ уличная, 1080p, DWDR, 3D DNR, BLC, EIS , объектив 4-120mm х30, ИК до 120м, IP66, -30°С+65°C, 24В (AC)")</f>
        <v>LTV CTM-220 64, Видеокамера TVI, PTZ уличная, 1080p, DWDR, 3D DNR, BLC, EIS , объектив 4-120mm х30, ИК до 120м, IP66, -30°С+65°C, 24В (AC)</v>
      </c>
      <c r="G5118" s="22" t="s">
        <v>55</v>
      </c>
      <c r="H5118" s="22" t="s">
        <v>55</v>
      </c>
      <c r="I5118" s="26">
        <v>43648.745509259301</v>
      </c>
      <c r="J5118" s="28" t="s">
        <v>52</v>
      </c>
      <c r="K5118" s="28" t="s">
        <v>52</v>
      </c>
      <c r="L5118" s="28" t="s">
        <v>52</v>
      </c>
      <c r="M5118" s="28" t="s">
        <v>52</v>
      </c>
      <c r="N5118" s="28" t="s">
        <v>52</v>
      </c>
    </row>
    <row r="5119" spans="1:14" x14ac:dyDescent="0.15">
      <c r="A5119" s="23" t="str">
        <f t="shared" si="227"/>
        <v>АО "ТОРГОВЫЙ ДОМ "ПЕРЕКРЕСТОК"</v>
      </c>
      <c r="B5119" s="24" t="s">
        <v>6999</v>
      </c>
      <c r="C5119" s="25">
        <v>0</v>
      </c>
      <c r="D5119" s="22" t="s">
        <v>7004</v>
      </c>
      <c r="E5119" s="22" t="s">
        <v>208</v>
      </c>
      <c r="F5119" s="23" t="str">
        <f>HYPERLINK("https://www.spark-marketing.ru/Card/Lot/71853236", "AC-TA261IR2 Бюджетная уличная 1МП TVI видеокамера в компактном кожухе. Разрешение 720P, матрица 1/4"" CMOS, Цвет: 0.1 Лк (F1.8) / ЧБ: 0 Лк (ИК вкл.), объектив 3.6мм, режим «День/Ночь», механический ИК-фильтр, питание 12В DC, потребляемый ток 500мА, -...")</f>
        <v>AC-TA261IR2 Бюджетная уличная 1МП TVI видеокамера в компактном кожухе. Разрешение 720P, матрица 1/4" CMOS, Цвет: 0.1 Лк (F1.8) / ЧБ: 0 Лк (ИК вкл.), объектив 3.6мм, режим «День/Ночь», механический ИК-фильтр, питание 12В DC, потребляемый ток 500мА, -...</v>
      </c>
      <c r="G5119" s="22" t="s">
        <v>55</v>
      </c>
      <c r="H5119" s="22" t="s">
        <v>55</v>
      </c>
      <c r="I5119" s="26">
        <v>43648.745347222197</v>
      </c>
      <c r="J5119" s="28" t="s">
        <v>52</v>
      </c>
      <c r="K5119" s="28" t="s">
        <v>52</v>
      </c>
      <c r="L5119" s="28" t="s">
        <v>52</v>
      </c>
      <c r="M5119" s="28" t="s">
        <v>52</v>
      </c>
      <c r="N5119" s="28" t="s">
        <v>52</v>
      </c>
    </row>
    <row r="5120" spans="1:14" x14ac:dyDescent="0.15">
      <c r="A5120" s="23" t="str">
        <f t="shared" si="227"/>
        <v>АО "ТОРГОВЫЙ ДОМ "ПЕРЕКРЕСТОК"</v>
      </c>
      <c r="B5120" s="24" t="s">
        <v>6999</v>
      </c>
      <c r="C5120" s="25">
        <v>0</v>
      </c>
      <c r="D5120" s="22" t="s">
        <v>7005</v>
      </c>
      <c r="E5120" s="22" t="s">
        <v>208</v>
      </c>
      <c r="F5120" s="23" t="str">
        <f>HYPERLINK("https://www.spark-marketing.ru/Card/Lot/71852711", "Видеодомофон монохромный, с трубкой, AC 110-240В.")</f>
        <v>Видеодомофон монохромный, с трубкой, AC 110-240В.</v>
      </c>
      <c r="G5120" s="22" t="s">
        <v>55</v>
      </c>
      <c r="H5120" s="22" t="s">
        <v>55</v>
      </c>
      <c r="I5120" s="26">
        <v>43648.745069444398</v>
      </c>
      <c r="J5120" s="28" t="s">
        <v>52</v>
      </c>
      <c r="K5120" s="28" t="s">
        <v>52</v>
      </c>
      <c r="L5120" s="28" t="s">
        <v>52</v>
      </c>
      <c r="M5120" s="28" t="s">
        <v>52</v>
      </c>
      <c r="N5120" s="28" t="s">
        <v>52</v>
      </c>
    </row>
    <row r="5121" spans="1:14" x14ac:dyDescent="0.15">
      <c r="A5121" s="23" t="str">
        <f t="shared" si="227"/>
        <v>АО "ТОРГОВЫЙ ДОМ "ПЕРЕКРЕСТОК"</v>
      </c>
      <c r="B5121" s="24" t="s">
        <v>6999</v>
      </c>
      <c r="C5121" s="25">
        <v>0</v>
      </c>
      <c r="D5121" s="22" t="s">
        <v>7002</v>
      </c>
      <c r="E5121" s="22" t="s">
        <v>208</v>
      </c>
      <c r="F5121" s="23" t="str">
        <f>HYPERLINK("https://www.spark-marketing.ru/Card/Lot/71851396", "LTV CXM-220 64 Видеокамера TVI/AHD/CVI, PTZ уличная, 1080p, WDR, 3D DNR, BLC, EIS, объектив 4.8-153mm х30, ИК до 150м, IP66, -40°С+65°C, 24В (AC)")</f>
        <v>LTV CXM-220 64 Видеокамера TVI/AHD/CVI, PTZ уличная, 1080p, WDR, 3D DNR, BLC, EIS, объектив 4.8-153mm х30, ИК до 150м, IP66, -40°С+65°C, 24В (AC)</v>
      </c>
      <c r="G5121" s="22" t="s">
        <v>55</v>
      </c>
      <c r="H5121" s="22" t="s">
        <v>55</v>
      </c>
      <c r="I5121" s="26">
        <v>43648.744641203702</v>
      </c>
      <c r="J5121" s="28" t="s">
        <v>52</v>
      </c>
      <c r="K5121" s="28" t="s">
        <v>52</v>
      </c>
      <c r="L5121" s="28" t="s">
        <v>52</v>
      </c>
      <c r="M5121" s="28" t="s">
        <v>52</v>
      </c>
      <c r="N5121" s="28" t="s">
        <v>52</v>
      </c>
    </row>
    <row r="5122" spans="1:14" x14ac:dyDescent="0.15">
      <c r="A5122" s="23" t="str">
        <f t="shared" si="227"/>
        <v>АО "ТОРГОВЫЙ ДОМ "ПЕРЕКРЕСТОК"</v>
      </c>
      <c r="B5122" s="24" t="s">
        <v>6999</v>
      </c>
      <c r="C5122" s="25">
        <v>0</v>
      </c>
      <c r="D5122" s="22" t="s">
        <v>7008</v>
      </c>
      <c r="E5122" s="22" t="s">
        <v>208</v>
      </c>
      <c r="F5122" s="23" t="str">
        <f>HYPERLINK("https://www.spark-marketing.ru/Card/Lot/71854926", "Приемопередатчики видеосигнала по витой паре")</f>
        <v>Приемопередатчики видеосигнала по витой паре</v>
      </c>
      <c r="G5122" s="22" t="s">
        <v>55</v>
      </c>
      <c r="H5122" s="22" t="s">
        <v>55</v>
      </c>
      <c r="I5122" s="26">
        <v>43648.745509259301</v>
      </c>
      <c r="J5122" s="28" t="s">
        <v>52</v>
      </c>
      <c r="K5122" s="28" t="s">
        <v>52</v>
      </c>
      <c r="L5122" s="28" t="s">
        <v>52</v>
      </c>
      <c r="M5122" s="28" t="s">
        <v>52</v>
      </c>
      <c r="N5122" s="28" t="s">
        <v>52</v>
      </c>
    </row>
    <row r="5123" spans="1:14" x14ac:dyDescent="0.15">
      <c r="A5123" s="23" t="str">
        <f t="shared" si="227"/>
        <v>АО "ТОРГОВЫЙ ДОМ "ПЕРЕКРЕСТОК"</v>
      </c>
      <c r="B5123" s="24" t="s">
        <v>6999</v>
      </c>
      <c r="C5123" s="25">
        <v>0</v>
      </c>
      <c r="D5123" s="22" t="s">
        <v>7007</v>
      </c>
      <c r="E5123" s="22" t="s">
        <v>208</v>
      </c>
      <c r="F5123" s="23" t="str">
        <f>HYPERLINK("https://www.spark-marketing.ru/Card/Lot/71854184", "Монтаж, подключение, настройка видеокамеры")</f>
        <v>Монтаж, подключение, настройка видеокамеры</v>
      </c>
      <c r="G5123" s="22" t="s">
        <v>55</v>
      </c>
      <c r="H5123" s="22" t="s">
        <v>55</v>
      </c>
      <c r="I5123" s="26">
        <v>43648.745219907403</v>
      </c>
      <c r="J5123" s="28" t="s">
        <v>52</v>
      </c>
      <c r="K5123" s="28" t="s">
        <v>52</v>
      </c>
      <c r="L5123" s="28" t="s">
        <v>52</v>
      </c>
      <c r="M5123" s="28" t="s">
        <v>52</v>
      </c>
      <c r="N5123" s="28" t="s">
        <v>52</v>
      </c>
    </row>
    <row r="5124" spans="1:14" x14ac:dyDescent="0.15">
      <c r="A5124" s="23" t="str">
        <f t="shared" si="227"/>
        <v>АО "ТОРГОВЫЙ ДОМ "ПЕРЕКРЕСТОК"</v>
      </c>
      <c r="B5124" s="24" t="s">
        <v>6999</v>
      </c>
      <c r="C5124" s="25">
        <v>0</v>
      </c>
      <c r="D5124" s="22" t="s">
        <v>7008</v>
      </c>
      <c r="E5124" s="22" t="s">
        <v>208</v>
      </c>
      <c r="F5124" s="23" t="str">
        <f>HYPERLINK("https://www.spark-marketing.ru/Card/Lot/71854631", "Монтаж, подключение, настройка видеокамеры, уличной")</f>
        <v>Монтаж, подключение, настройка видеокамеры, уличной</v>
      </c>
      <c r="G5124" s="22" t="s">
        <v>55</v>
      </c>
      <c r="H5124" s="22" t="s">
        <v>55</v>
      </c>
      <c r="I5124" s="26">
        <v>43648.745509259301</v>
      </c>
      <c r="J5124" s="28" t="s">
        <v>52</v>
      </c>
      <c r="K5124" s="28" t="s">
        <v>52</v>
      </c>
      <c r="L5124" s="28" t="s">
        <v>52</v>
      </c>
      <c r="M5124" s="28" t="s">
        <v>52</v>
      </c>
      <c r="N5124" s="28" t="s">
        <v>52</v>
      </c>
    </row>
    <row r="5125" spans="1:14" x14ac:dyDescent="0.15">
      <c r="A5125" s="23" t="str">
        <f t="shared" si="227"/>
        <v>АО "ТОРГОВЫЙ ДОМ "ПЕРЕКРЕСТОК"</v>
      </c>
      <c r="B5125" s="24" t="s">
        <v>6999</v>
      </c>
      <c r="C5125" s="25">
        <v>0</v>
      </c>
      <c r="D5125" s="22" t="s">
        <v>7001</v>
      </c>
      <c r="E5125" s="22" t="s">
        <v>208</v>
      </c>
      <c r="F5125" s="23" t="str">
        <f>HYPERLINK("https://www.spark-marketing.ru/Card/Lot/71852427", "LTV RTB-081 00, 8-канальный TVI/AHD видеорегистратор, 720P: 200 к/c, Ethernet, VGA/HDMI, 1 канал Audio, поддержка 1 HDD")</f>
        <v>LTV RTB-081 00, 8-канальный TVI/AHD видеорегистратор, 720P: 200 к/c, Ethernet, VGA/HDMI, 1 канал Audio, поддержка 1 HDD</v>
      </c>
      <c r="G5125" s="22" t="s">
        <v>55</v>
      </c>
      <c r="H5125" s="22" t="s">
        <v>55</v>
      </c>
      <c r="I5125" s="26">
        <v>43648.7449305556</v>
      </c>
      <c r="J5125" s="28" t="s">
        <v>52</v>
      </c>
      <c r="K5125" s="28" t="s">
        <v>52</v>
      </c>
      <c r="L5125" s="28" t="s">
        <v>52</v>
      </c>
      <c r="M5125" s="28" t="s">
        <v>52</v>
      </c>
      <c r="N5125" s="28" t="s">
        <v>52</v>
      </c>
    </row>
    <row r="5126" spans="1:14" x14ac:dyDescent="0.15">
      <c r="A5126" s="23" t="str">
        <f t="shared" si="227"/>
        <v>АО "ТОРГОВЫЙ ДОМ "ПЕРЕКРЕСТОК"</v>
      </c>
      <c r="B5126" s="24" t="s">
        <v>6999</v>
      </c>
      <c r="C5126" s="25">
        <v>0</v>
      </c>
      <c r="D5126" s="22" t="s">
        <v>7008</v>
      </c>
      <c r="E5126" s="22" t="s">
        <v>208</v>
      </c>
      <c r="F5126" s="23" t="str">
        <f>HYPERLINK("https://www.spark-marketing.ru/Card/Lot/71854733", "LTV RTB-081 00, 8-канальный TVI/AHD видеорегистратор, 720P: 200 к/c, Ethernet, VGA/HDMI, 1 канал Audio, поддержка 1 HDD")</f>
        <v>LTV RTB-081 00, 8-канальный TVI/AHD видеорегистратор, 720P: 200 к/c, Ethernet, VGA/HDMI, 1 канал Audio, поддержка 1 HDD</v>
      </c>
      <c r="G5126" s="22" t="s">
        <v>55</v>
      </c>
      <c r="H5126" s="22" t="s">
        <v>55</v>
      </c>
      <c r="I5126" s="26">
        <v>43648.745509259301</v>
      </c>
      <c r="J5126" s="28" t="s">
        <v>52</v>
      </c>
      <c r="K5126" s="28" t="s">
        <v>52</v>
      </c>
      <c r="L5126" s="28" t="s">
        <v>52</v>
      </c>
      <c r="M5126" s="28" t="s">
        <v>52</v>
      </c>
      <c r="N5126" s="28" t="s">
        <v>52</v>
      </c>
    </row>
    <row r="5127" spans="1:14" x14ac:dyDescent="0.15">
      <c r="A5127" s="23" t="str">
        <f t="shared" si="227"/>
        <v>АО "ТОРГОВЫЙ ДОМ "ПЕРЕКРЕСТОК"</v>
      </c>
      <c r="B5127" s="24" t="s">
        <v>6999</v>
      </c>
      <c r="C5127" s="25">
        <v>0</v>
      </c>
      <c r="D5127" s="22" t="s">
        <v>7008</v>
      </c>
      <c r="E5127" s="22" t="s">
        <v>208</v>
      </c>
      <c r="F5127" s="23" t="str">
        <f>HYPERLINK("https://www.spark-marketing.ru/Card/Lot/71854537", "Камера видеонаблюдения HikVision DS-2CD2623G0-IZS (2.8-12mm) motor-zoom")</f>
        <v>Камера видеонаблюдения HikVision DS-2CD2623G0-IZS (2.8-12mm) motor-zoom</v>
      </c>
      <c r="G5127" s="22" t="s">
        <v>55</v>
      </c>
      <c r="H5127" s="22" t="s">
        <v>55</v>
      </c>
      <c r="I5127" s="26">
        <v>43648.745509259301</v>
      </c>
      <c r="J5127" s="28" t="s">
        <v>52</v>
      </c>
      <c r="K5127" s="28" t="s">
        <v>52</v>
      </c>
      <c r="L5127" s="28" t="s">
        <v>52</v>
      </c>
      <c r="M5127" s="28" t="s">
        <v>52</v>
      </c>
      <c r="N5127" s="28" t="s">
        <v>52</v>
      </c>
    </row>
    <row r="5128" spans="1:14" x14ac:dyDescent="0.15">
      <c r="A5128" s="23" t="str">
        <f t="shared" si="227"/>
        <v>АО "ТОРГОВЫЙ ДОМ "ПЕРЕКРЕСТОК"</v>
      </c>
      <c r="B5128" s="24" t="s">
        <v>6999</v>
      </c>
      <c r="C5128" s="25">
        <v>0</v>
      </c>
      <c r="D5128" s="22" t="s">
        <v>7000</v>
      </c>
      <c r="E5128" s="22" t="s">
        <v>208</v>
      </c>
      <c r="F5128" s="23" t="str">
        <f>HYPERLINK("https://www.spark-marketing.ru/Card/Lot/71850249", "LTV CXM-220 64 Видеокамера TVI/AHD/CVI, PTZ уличная, 1080p, WDR, 3D DNR, BLC, EIS, объектив 4.8-153mm х30, ИК до 150м, IP66, -40°С+65°C, 24В (AC)")</f>
        <v>LTV CXM-220 64 Видеокамера TVI/AHD/CVI, PTZ уличная, 1080p, WDR, 3D DNR, BLC, EIS, объектив 4.8-153mm х30, ИК до 150м, IP66, -40°С+65°C, 24В (AC)</v>
      </c>
      <c r="G5128" s="22" t="s">
        <v>55</v>
      </c>
      <c r="H5128" s="22" t="s">
        <v>55</v>
      </c>
      <c r="I5128" s="26">
        <v>43648.7443055556</v>
      </c>
      <c r="J5128" s="28" t="s">
        <v>52</v>
      </c>
      <c r="K5128" s="28" t="s">
        <v>52</v>
      </c>
      <c r="L5128" s="28" t="s">
        <v>52</v>
      </c>
      <c r="M5128" s="28" t="s">
        <v>52</v>
      </c>
      <c r="N5128" s="28" t="s">
        <v>52</v>
      </c>
    </row>
    <row r="5129" spans="1:14" x14ac:dyDescent="0.15">
      <c r="A5129" s="23" t="str">
        <f t="shared" si="227"/>
        <v>АО "ТОРГОВЫЙ ДОМ "ПЕРЕКРЕСТОК"</v>
      </c>
      <c r="B5129" s="24" t="s">
        <v>6999</v>
      </c>
      <c r="C5129" s="25">
        <v>0</v>
      </c>
      <c r="D5129" s="22" t="s">
        <v>7004</v>
      </c>
      <c r="E5129" s="22" t="s">
        <v>208</v>
      </c>
      <c r="F5129" s="23" t="str">
        <f>HYPERLINK("https://www.spark-marketing.ru/Card/Lot/71853227", "LTV-KBD-02-HV (NEW) Пульт управления видеор.LTV серии LTV-DVR-xxxx-HV, возможно прямое управление PTZ камерами, RS-485, 12В (DC)")</f>
        <v>LTV-KBD-02-HV (NEW) Пульт управления видеор.LTV серии LTV-DVR-xxxx-HV, возможно прямое управление PTZ камерами, RS-485, 12В (DC)</v>
      </c>
      <c r="G5129" s="22" t="s">
        <v>55</v>
      </c>
      <c r="H5129" s="22" t="s">
        <v>55</v>
      </c>
      <c r="I5129" s="26">
        <v>43648.745347222197</v>
      </c>
      <c r="J5129" s="28" t="s">
        <v>52</v>
      </c>
      <c r="K5129" s="28" t="s">
        <v>52</v>
      </c>
      <c r="L5129" s="28" t="s">
        <v>52</v>
      </c>
      <c r="M5129" s="28" t="s">
        <v>52</v>
      </c>
      <c r="N5129" s="28" t="s">
        <v>52</v>
      </c>
    </row>
    <row r="5130" spans="1:14" x14ac:dyDescent="0.15">
      <c r="A5130" s="23" t="str">
        <f t="shared" si="227"/>
        <v>АО "ТОРГОВЫЙ ДОМ "ПЕРЕКРЕСТОК"</v>
      </c>
      <c r="B5130" s="24" t="s">
        <v>6999</v>
      </c>
      <c r="C5130" s="25">
        <v>0</v>
      </c>
      <c r="D5130" s="22" t="s">
        <v>7007</v>
      </c>
      <c r="E5130" s="22" t="s">
        <v>208</v>
      </c>
      <c r="F5130" s="23" t="str">
        <f>HYPERLINK("https://www.spark-marketing.ru/Card/Lot/71854161", "Камера видеонаблюдения HikVision DS-2CD2155FWD-IS (2.8mm) купол")</f>
        <v>Камера видеонаблюдения HikVision DS-2CD2155FWD-IS (2.8mm) купол</v>
      </c>
      <c r="G5130" s="22" t="s">
        <v>55</v>
      </c>
      <c r="H5130" s="22" t="s">
        <v>55</v>
      </c>
      <c r="I5130" s="26">
        <v>43648.745219907403</v>
      </c>
      <c r="J5130" s="28" t="s">
        <v>52</v>
      </c>
      <c r="K5130" s="28" t="s">
        <v>52</v>
      </c>
      <c r="L5130" s="28" t="s">
        <v>52</v>
      </c>
      <c r="M5130" s="28" t="s">
        <v>52</v>
      </c>
      <c r="N5130" s="28" t="s">
        <v>52</v>
      </c>
    </row>
    <row r="5131" spans="1:14" x14ac:dyDescent="0.15">
      <c r="A5131" s="23" t="str">
        <f t="shared" si="227"/>
        <v>АО "ТОРГОВЫЙ ДОМ "ПЕРЕКРЕСТОК"</v>
      </c>
      <c r="B5131" s="24" t="s">
        <v>6999</v>
      </c>
      <c r="C5131" s="25">
        <v>0</v>
      </c>
      <c r="D5131" s="22" t="s">
        <v>7000</v>
      </c>
      <c r="E5131" s="22" t="s">
        <v>208</v>
      </c>
      <c r="F5131" s="23" t="str">
        <f>HYPERLINK("https://www.spark-marketing.ru/Card/Lot/71850632", "Юстировка стационарной видеокамеры")</f>
        <v>Юстировка стационарной видеокамеры</v>
      </c>
      <c r="G5131" s="22" t="s">
        <v>55</v>
      </c>
      <c r="H5131" s="22" t="s">
        <v>55</v>
      </c>
      <c r="I5131" s="26">
        <v>43648.7443055556</v>
      </c>
      <c r="J5131" s="28" t="s">
        <v>52</v>
      </c>
      <c r="K5131" s="28" t="s">
        <v>52</v>
      </c>
      <c r="L5131" s="28" t="s">
        <v>52</v>
      </c>
      <c r="M5131" s="28" t="s">
        <v>52</v>
      </c>
      <c r="N5131" s="28" t="s">
        <v>52</v>
      </c>
    </row>
    <row r="5132" spans="1:14" x14ac:dyDescent="0.15">
      <c r="A5132" s="23" t="str">
        <f t="shared" si="227"/>
        <v>АО "ТОРГОВЫЙ ДОМ "ПЕРЕКРЕСТОК"</v>
      </c>
      <c r="B5132" s="24" t="s">
        <v>6999</v>
      </c>
      <c r="C5132" s="25">
        <v>0</v>
      </c>
      <c r="D5132" s="22" t="s">
        <v>7003</v>
      </c>
      <c r="E5132" s="22" t="s">
        <v>208</v>
      </c>
      <c r="F5132" s="23" t="str">
        <f>HYPERLINK("https://www.spark-marketing.ru/Card/Lot/71851816", "Камера видеонаблюдения HikVision DS-2CD2043G0-I (4mm) булет")</f>
        <v>Камера видеонаблюдения HikVision DS-2CD2043G0-I (4mm) булет</v>
      </c>
      <c r="G5132" s="22" t="s">
        <v>55</v>
      </c>
      <c r="H5132" s="22" t="s">
        <v>55</v>
      </c>
      <c r="I5132" s="26">
        <v>43648.744791666701</v>
      </c>
      <c r="J5132" s="28" t="s">
        <v>52</v>
      </c>
      <c r="K5132" s="28" t="s">
        <v>52</v>
      </c>
      <c r="L5132" s="28" t="s">
        <v>52</v>
      </c>
      <c r="M5132" s="28" t="s">
        <v>52</v>
      </c>
      <c r="N5132" s="28" t="s">
        <v>52</v>
      </c>
    </row>
    <row r="5133" spans="1:14" x14ac:dyDescent="0.15">
      <c r="A5133" s="23" t="str">
        <f t="shared" si="227"/>
        <v>АО "ТОРГОВЫЙ ДОМ "ПЕРЕКРЕСТОК"</v>
      </c>
      <c r="B5133" s="24" t="s">
        <v>6999</v>
      </c>
      <c r="C5133" s="25">
        <v>0</v>
      </c>
      <c r="D5133" s="22" t="s">
        <v>7004</v>
      </c>
      <c r="E5133" s="22" t="s">
        <v>208</v>
      </c>
      <c r="F5133" s="23" t="str">
        <f>HYPERLINK("https://www.spark-marketing.ru/Card/Lot/71854467", "Юстировка стационарной видеокамеры, уличной")</f>
        <v>Юстировка стационарной видеокамеры, уличной</v>
      </c>
      <c r="G5133" s="22" t="s">
        <v>55</v>
      </c>
      <c r="H5133" s="22" t="s">
        <v>55</v>
      </c>
      <c r="I5133" s="26">
        <v>43648.745347222197</v>
      </c>
      <c r="J5133" s="28" t="s">
        <v>52</v>
      </c>
      <c r="K5133" s="28" t="s">
        <v>52</v>
      </c>
      <c r="L5133" s="28" t="s">
        <v>52</v>
      </c>
      <c r="M5133" s="28" t="s">
        <v>52</v>
      </c>
      <c r="N5133" s="28" t="s">
        <v>52</v>
      </c>
    </row>
    <row r="5134" spans="1:14" x14ac:dyDescent="0.15">
      <c r="A5134" s="23" t="str">
        <f t="shared" si="227"/>
        <v>АО "ТОРГОВЫЙ ДОМ "ПЕРЕКРЕСТОК"</v>
      </c>
      <c r="B5134" s="24" t="s">
        <v>6999</v>
      </c>
      <c r="C5134" s="25">
        <v>0</v>
      </c>
      <c r="D5134" s="22" t="s">
        <v>7008</v>
      </c>
      <c r="E5134" s="22" t="s">
        <v>208</v>
      </c>
      <c r="F5134" s="23" t="str">
        <f>HYPERLINK("https://www.spark-marketing.ru/Card/Lot/71854695", "Юстировка стационарной видеокамеры, уличной")</f>
        <v>Юстировка стационарной видеокамеры, уличной</v>
      </c>
      <c r="G5134" s="22" t="s">
        <v>55</v>
      </c>
      <c r="H5134" s="22" t="s">
        <v>55</v>
      </c>
      <c r="I5134" s="26">
        <v>43648.745509259301</v>
      </c>
      <c r="J5134" s="28" t="s">
        <v>52</v>
      </c>
      <c r="K5134" s="28" t="s">
        <v>52</v>
      </c>
      <c r="L5134" s="28" t="s">
        <v>52</v>
      </c>
      <c r="M5134" s="28" t="s">
        <v>52</v>
      </c>
      <c r="N5134" s="28" t="s">
        <v>52</v>
      </c>
    </row>
    <row r="5135" spans="1:14" x14ac:dyDescent="0.15">
      <c r="A5135" s="23" t="str">
        <f t="shared" si="227"/>
        <v>АО "ТОРГОВЫЙ ДОМ "ПЕРЕКРЕСТОК"</v>
      </c>
      <c r="B5135" s="24" t="s">
        <v>6999</v>
      </c>
      <c r="C5135" s="25">
        <v>0</v>
      </c>
      <c r="D5135" s="22" t="s">
        <v>7008</v>
      </c>
      <c r="E5135" s="22" t="s">
        <v>208</v>
      </c>
      <c r="F5135" s="23" t="str">
        <f>HYPERLINK("https://www.spark-marketing.ru/Card/Lot/71854694", "Юстировка стационарной видеокамеры")</f>
        <v>Юстировка стационарной видеокамеры</v>
      </c>
      <c r="G5135" s="22" t="s">
        <v>55</v>
      </c>
      <c r="H5135" s="22" t="s">
        <v>55</v>
      </c>
      <c r="I5135" s="26">
        <v>43648.745509259301</v>
      </c>
      <c r="J5135" s="28" t="s">
        <v>52</v>
      </c>
      <c r="K5135" s="28" t="s">
        <v>52</v>
      </c>
      <c r="L5135" s="28" t="s">
        <v>52</v>
      </c>
      <c r="M5135" s="28" t="s">
        <v>52</v>
      </c>
      <c r="N5135" s="28" t="s">
        <v>52</v>
      </c>
    </row>
    <row r="5136" spans="1:14" x14ac:dyDescent="0.15">
      <c r="A5136" s="23" t="str">
        <f t="shared" si="227"/>
        <v>АО "ТОРГОВЫЙ ДОМ "ПЕРЕКРЕСТОК"</v>
      </c>
      <c r="B5136" s="24" t="s">
        <v>6999</v>
      </c>
      <c r="C5136" s="25">
        <v>0</v>
      </c>
      <c r="D5136" s="22" t="s">
        <v>7005</v>
      </c>
      <c r="E5136" s="22" t="s">
        <v>208</v>
      </c>
      <c r="F5136" s="23" t="str">
        <f>HYPERLINK("https://www.spark-marketing.ru/Card/Lot/71853861", "Камера видеонаблюдения HikVision DS-2CD2822F (B)")</f>
        <v>Камера видеонаблюдения HikVision DS-2CD2822F (B)</v>
      </c>
      <c r="G5136" s="22" t="s">
        <v>55</v>
      </c>
      <c r="H5136" s="22" t="s">
        <v>55</v>
      </c>
      <c r="I5136" s="26">
        <v>43648.745069444398</v>
      </c>
      <c r="J5136" s="28" t="s">
        <v>52</v>
      </c>
      <c r="K5136" s="28" t="s">
        <v>52</v>
      </c>
      <c r="L5136" s="28" t="s">
        <v>52</v>
      </c>
      <c r="M5136" s="28" t="s">
        <v>52</v>
      </c>
      <c r="N5136" s="28" t="s">
        <v>52</v>
      </c>
    </row>
    <row r="5137" spans="1:14" x14ac:dyDescent="0.15">
      <c r="A5137" s="23" t="str">
        <f t="shared" si="227"/>
        <v>АО "ТОРГОВЫЙ ДОМ "ПЕРЕКРЕСТОК"</v>
      </c>
      <c r="B5137" s="24" t="s">
        <v>6999</v>
      </c>
      <c r="C5137" s="25">
        <v>0</v>
      </c>
      <c r="D5137" s="22" t="s">
        <v>7004</v>
      </c>
      <c r="E5137" s="22" t="s">
        <v>208</v>
      </c>
      <c r="F5137" s="23" t="str">
        <f>HYPERLINK("https://www.spark-marketing.ru/Card/Lot/71853605", "Приемопередатчики видеосигнала по витой паре")</f>
        <v>Приемопередатчики видеосигнала по витой паре</v>
      </c>
      <c r="G5137" s="22" t="s">
        <v>55</v>
      </c>
      <c r="H5137" s="22" t="s">
        <v>55</v>
      </c>
      <c r="I5137" s="26">
        <v>43648.745347222197</v>
      </c>
      <c r="J5137" s="28" t="s">
        <v>52</v>
      </c>
      <c r="K5137" s="28" t="s">
        <v>52</v>
      </c>
      <c r="L5137" s="28" t="s">
        <v>52</v>
      </c>
      <c r="M5137" s="28" t="s">
        <v>52</v>
      </c>
      <c r="N5137" s="28" t="s">
        <v>52</v>
      </c>
    </row>
    <row r="5138" spans="1:14" x14ac:dyDescent="0.15">
      <c r="A5138" s="23" t="str">
        <f t="shared" si="227"/>
        <v>АО "ТОРГОВЫЙ ДОМ "ПЕРЕКРЕСТОК"</v>
      </c>
      <c r="B5138" s="24" t="s">
        <v>6999</v>
      </c>
      <c r="C5138" s="25">
        <v>0</v>
      </c>
      <c r="D5138" s="22" t="s">
        <v>7002</v>
      </c>
      <c r="E5138" s="22" t="s">
        <v>208</v>
      </c>
      <c r="F5138" s="23" t="str">
        <f>HYPERLINK("https://www.spark-marketing.ru/Card/Lot/71851268", "Кнопка тревожная, для ручной подачи сигнала тревоги.С2000-КТ")</f>
        <v>Кнопка тревожная, для ручной подачи сигнала тревоги.С2000-КТ</v>
      </c>
      <c r="G5138" s="22" t="s">
        <v>55</v>
      </c>
      <c r="H5138" s="22" t="s">
        <v>55</v>
      </c>
      <c r="I5138" s="26">
        <v>43648.744641203702</v>
      </c>
      <c r="J5138" s="28" t="s">
        <v>52</v>
      </c>
      <c r="K5138" s="28" t="s">
        <v>52</v>
      </c>
      <c r="L5138" s="28" t="s">
        <v>52</v>
      </c>
      <c r="M5138" s="28" t="s">
        <v>52</v>
      </c>
      <c r="N5138" s="28" t="s">
        <v>52</v>
      </c>
    </row>
    <row r="5139" spans="1:14" x14ac:dyDescent="0.15">
      <c r="A5139" s="23" t="str">
        <f t="shared" si="227"/>
        <v>АО "ТОРГОВЫЙ ДОМ "ПЕРЕКРЕСТОК"</v>
      </c>
      <c r="B5139" s="24" t="s">
        <v>6999</v>
      </c>
      <c r="C5139" s="25">
        <v>0</v>
      </c>
      <c r="D5139" s="22" t="s">
        <v>7003</v>
      </c>
      <c r="E5139" s="22" t="s">
        <v>208</v>
      </c>
      <c r="F5139" s="23" t="str">
        <f>HYPERLINK("https://www.spark-marketing.ru/Card/Lot/71851705", "HASP ключ для системы Видеомаркет")</f>
        <v>HASP ключ для системы Видеомаркет</v>
      </c>
      <c r="G5139" s="22" t="s">
        <v>55</v>
      </c>
      <c r="H5139" s="22" t="s">
        <v>55</v>
      </c>
      <c r="I5139" s="26">
        <v>43648.744791666701</v>
      </c>
      <c r="J5139" s="28" t="s">
        <v>52</v>
      </c>
      <c r="K5139" s="28" t="s">
        <v>52</v>
      </c>
      <c r="L5139" s="28" t="s">
        <v>52</v>
      </c>
      <c r="M5139" s="28" t="s">
        <v>52</v>
      </c>
      <c r="N5139" s="28" t="s">
        <v>52</v>
      </c>
    </row>
    <row r="5140" spans="1:14" x14ac:dyDescent="0.15">
      <c r="A5140" s="23" t="str">
        <f t="shared" si="227"/>
        <v>АО "ТОРГОВЫЙ ДОМ "ПЕРЕКРЕСТОК"</v>
      </c>
      <c r="B5140" s="24" t="s">
        <v>6999</v>
      </c>
      <c r="C5140" s="25">
        <v>0</v>
      </c>
      <c r="D5140" s="22" t="s">
        <v>7003</v>
      </c>
      <c r="E5140" s="22" t="s">
        <v>208</v>
      </c>
      <c r="F5140" s="23" t="str">
        <f>HYPERLINK("https://www.spark-marketing.ru/Card/Lot/71851991", "Приемопередатчики видеосигнала по витой паре")</f>
        <v>Приемопередатчики видеосигнала по витой паре</v>
      </c>
      <c r="G5140" s="22" t="s">
        <v>55</v>
      </c>
      <c r="H5140" s="22" t="s">
        <v>55</v>
      </c>
      <c r="I5140" s="26">
        <v>43648.744791666701</v>
      </c>
      <c r="J5140" s="28" t="s">
        <v>52</v>
      </c>
      <c r="K5140" s="28" t="s">
        <v>52</v>
      </c>
      <c r="L5140" s="28" t="s">
        <v>52</v>
      </c>
      <c r="M5140" s="28" t="s">
        <v>52</v>
      </c>
      <c r="N5140" s="28" t="s">
        <v>52</v>
      </c>
    </row>
    <row r="5141" spans="1:14" x14ac:dyDescent="0.15">
      <c r="A5141" s="23" t="str">
        <f t="shared" si="227"/>
        <v>АО "ТОРГОВЫЙ ДОМ "ПЕРЕКРЕСТОК"</v>
      </c>
      <c r="B5141" s="24" t="s">
        <v>6999</v>
      </c>
      <c r="C5141" s="25">
        <v>0</v>
      </c>
      <c r="D5141" s="22" t="s">
        <v>7002</v>
      </c>
      <c r="E5141" s="22" t="s">
        <v>208</v>
      </c>
      <c r="F5141" s="23" t="str">
        <f>HYPERLINK("https://www.spark-marketing.ru/Card/Lot/71851285", "Разъем питания видеокамеры")</f>
        <v>Разъем питания видеокамеры</v>
      </c>
      <c r="G5141" s="22" t="s">
        <v>55</v>
      </c>
      <c r="H5141" s="22" t="s">
        <v>55</v>
      </c>
      <c r="I5141" s="26">
        <v>43648.744641203702</v>
      </c>
      <c r="J5141" s="28" t="s">
        <v>52</v>
      </c>
      <c r="K5141" s="28" t="s">
        <v>52</v>
      </c>
      <c r="L5141" s="28" t="s">
        <v>52</v>
      </c>
      <c r="M5141" s="28" t="s">
        <v>52</v>
      </c>
      <c r="N5141" s="28" t="s">
        <v>52</v>
      </c>
    </row>
    <row r="5142" spans="1:14" x14ac:dyDescent="0.15">
      <c r="A5142" s="23" t="str">
        <f t="shared" si="227"/>
        <v>АО "ТОРГОВЫЙ ДОМ "ПЕРЕКРЕСТОК"</v>
      </c>
      <c r="B5142" s="24" t="s">
        <v>6999</v>
      </c>
      <c r="C5142" s="25">
        <v>0</v>
      </c>
      <c r="D5142" s="22" t="s">
        <v>7007</v>
      </c>
      <c r="E5142" s="22" t="s">
        <v>208</v>
      </c>
      <c r="F5142" s="23" t="str">
        <f>HYPERLINK("https://www.spark-marketing.ru/Card/Lot/71852851", "AC-TA383IR2 Купольная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f>
        <v>AC-TA383IR2 Купольная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v>
      </c>
      <c r="G5142" s="22" t="s">
        <v>55</v>
      </c>
      <c r="H5142" s="22" t="s">
        <v>55</v>
      </c>
      <c r="I5142" s="26">
        <v>43648.745219907403</v>
      </c>
      <c r="J5142" s="28" t="s">
        <v>52</v>
      </c>
      <c r="K5142" s="28" t="s">
        <v>52</v>
      </c>
      <c r="L5142" s="28" t="s">
        <v>52</v>
      </c>
      <c r="M5142" s="28" t="s">
        <v>52</v>
      </c>
      <c r="N5142" s="28" t="s">
        <v>52</v>
      </c>
    </row>
    <row r="5143" spans="1:14" x14ac:dyDescent="0.15">
      <c r="A5143" s="23" t="str">
        <f t="shared" ref="A5143:A5174" si="228">HYPERLINK("https://www.spark-marketing.ru/Card/Person/1887298", "АО ""ТОРГОВЫЙ ДОМ ""ПЕРЕКРЕСТОК""")</f>
        <v>АО "ТОРГОВЫЙ ДОМ "ПЕРЕКРЕСТОК"</v>
      </c>
      <c r="B5143" s="24" t="s">
        <v>6999</v>
      </c>
      <c r="C5143" s="25">
        <v>0</v>
      </c>
      <c r="D5143" s="22" t="s">
        <v>7008</v>
      </c>
      <c r="E5143" s="22" t="s">
        <v>208</v>
      </c>
      <c r="F5143" s="23" t="str">
        <f>HYPERLINK("https://www.spark-marketing.ru/Card/Lot/71854655", "TRASSIR NeiroStation 2V (Сервер видеоналитики, 2*GPU)")</f>
        <v>TRASSIR NeiroStation 2V (Сервер видеоналитики, 2*GPU)</v>
      </c>
      <c r="G5143" s="22" t="s">
        <v>55</v>
      </c>
      <c r="H5143" s="22" t="s">
        <v>55</v>
      </c>
      <c r="I5143" s="26">
        <v>43648.745509259301</v>
      </c>
      <c r="J5143" s="28" t="s">
        <v>52</v>
      </c>
      <c r="K5143" s="28" t="s">
        <v>52</v>
      </c>
      <c r="L5143" s="28" t="s">
        <v>52</v>
      </c>
      <c r="M5143" s="28" t="s">
        <v>52</v>
      </c>
      <c r="N5143" s="28" t="s">
        <v>52</v>
      </c>
    </row>
    <row r="5144" spans="1:14" x14ac:dyDescent="0.15">
      <c r="A5144" s="23" t="str">
        <f t="shared" si="228"/>
        <v>АО "ТОРГОВЫЙ ДОМ "ПЕРЕКРЕСТОК"</v>
      </c>
      <c r="B5144" s="24" t="s">
        <v>6999</v>
      </c>
      <c r="C5144" s="25">
        <v>0</v>
      </c>
      <c r="D5144" s="22" t="s">
        <v>7008</v>
      </c>
      <c r="E5144" s="22" t="s">
        <v>208</v>
      </c>
      <c r="F5144" s="23" t="str">
        <f>HYPERLINK("https://www.spark-marketing.ru/Card/Lot/71854734", "LTV CTM-110 22. Видеокамера TVI, купольная поворотная, 720P, DWDR, 23-x трансфокатор, внутренняя, IP40, -10°С +50°C, 24В АС")</f>
        <v>LTV CTM-110 22. Видеокамера TVI, купольная поворотная, 720P, DWDR, 23-x трансфокатор, внутренняя, IP40, -10°С +50°C, 24В АС</v>
      </c>
      <c r="G5144" s="22" t="s">
        <v>55</v>
      </c>
      <c r="H5144" s="22" t="s">
        <v>55</v>
      </c>
      <c r="I5144" s="26">
        <v>43648.745509259301</v>
      </c>
      <c r="J5144" s="28" t="s">
        <v>52</v>
      </c>
      <c r="K5144" s="28" t="s">
        <v>52</v>
      </c>
      <c r="L5144" s="28" t="s">
        <v>52</v>
      </c>
      <c r="M5144" s="28" t="s">
        <v>52</v>
      </c>
      <c r="N5144" s="28" t="s">
        <v>52</v>
      </c>
    </row>
    <row r="5145" spans="1:14" x14ac:dyDescent="0.15">
      <c r="A5145" s="23" t="str">
        <f t="shared" si="228"/>
        <v>АО "ТОРГОВЫЙ ДОМ "ПЕРЕКРЕСТОК"</v>
      </c>
      <c r="B5145" s="24" t="s">
        <v>6999</v>
      </c>
      <c r="C5145" s="25">
        <v>0</v>
      </c>
      <c r="D5145" s="22" t="s">
        <v>7004</v>
      </c>
      <c r="E5145" s="22" t="s">
        <v>208</v>
      </c>
      <c r="F5145" s="23" t="str">
        <f>HYPERLINK("https://www.spark-marketing.ru/Card/Lot/71852806", "Юстировка стационарной видеокамеры")</f>
        <v>Юстировка стационарной видеокамеры</v>
      </c>
      <c r="G5145" s="22" t="s">
        <v>55</v>
      </c>
      <c r="H5145" s="22" t="s">
        <v>55</v>
      </c>
      <c r="I5145" s="26">
        <v>43648.745347222197</v>
      </c>
      <c r="J5145" s="28" t="s">
        <v>52</v>
      </c>
      <c r="K5145" s="28" t="s">
        <v>52</v>
      </c>
      <c r="L5145" s="28" t="s">
        <v>52</v>
      </c>
      <c r="M5145" s="28" t="s">
        <v>52</v>
      </c>
      <c r="N5145" s="28" t="s">
        <v>52</v>
      </c>
    </row>
    <row r="5146" spans="1:14" x14ac:dyDescent="0.15">
      <c r="A5146" s="23" t="str">
        <f t="shared" si="228"/>
        <v>АО "ТОРГОВЫЙ ДОМ "ПЕРЕКРЕСТОК"</v>
      </c>
      <c r="B5146" s="24" t="s">
        <v>6999</v>
      </c>
      <c r="C5146" s="25">
        <v>0</v>
      </c>
      <c r="D5146" s="22" t="s">
        <v>7001</v>
      </c>
      <c r="E5146" s="22" t="s">
        <v>208</v>
      </c>
      <c r="F5146" s="23" t="str">
        <f>HYPERLINK("https://www.spark-marketing.ru/Card/Lot/71852425", "LTV CTM-220 64, Видеокамера TVI, PTZ уличная, 1080p, DWDR, 3D DNR, BLC, EIS , объектив 4-120mm х30, ИК до 120м, IP66, -30°С+65°C, 24В (AC)")</f>
        <v>LTV CTM-220 64, Видеокамера TVI, PTZ уличная, 1080p, DWDR, 3D DNR, BLC, EIS , объектив 4-120mm х30, ИК до 120м, IP66, -30°С+65°C, 24В (AC)</v>
      </c>
      <c r="G5146" s="22" t="s">
        <v>55</v>
      </c>
      <c r="H5146" s="22" t="s">
        <v>55</v>
      </c>
      <c r="I5146" s="26">
        <v>43648.7449305556</v>
      </c>
      <c r="J5146" s="28" t="s">
        <v>52</v>
      </c>
      <c r="K5146" s="28" t="s">
        <v>52</v>
      </c>
      <c r="L5146" s="28" t="s">
        <v>52</v>
      </c>
      <c r="M5146" s="28" t="s">
        <v>52</v>
      </c>
      <c r="N5146" s="28" t="s">
        <v>52</v>
      </c>
    </row>
    <row r="5147" spans="1:14" x14ac:dyDescent="0.15">
      <c r="A5147" s="23" t="str">
        <f t="shared" si="228"/>
        <v>АО "ТОРГОВЫЙ ДОМ "ПЕРЕКРЕСТОК"</v>
      </c>
      <c r="B5147" s="24" t="s">
        <v>6999</v>
      </c>
      <c r="C5147" s="25">
        <v>0</v>
      </c>
      <c r="D5147" s="22" t="s">
        <v>7005</v>
      </c>
      <c r="E5147" s="22" t="s">
        <v>208</v>
      </c>
      <c r="F5147" s="23" t="str">
        <f>HYPERLINK("https://www.spark-marketing.ru/Card/Lot/71853896", "Монтаж, подключение, настройка видеокамеры, уличной")</f>
        <v>Монтаж, подключение, настройка видеокамеры, уличной</v>
      </c>
      <c r="G5147" s="22" t="s">
        <v>55</v>
      </c>
      <c r="H5147" s="22" t="s">
        <v>55</v>
      </c>
      <c r="I5147" s="26">
        <v>43648.745069444398</v>
      </c>
      <c r="J5147" s="28" t="s">
        <v>52</v>
      </c>
      <c r="K5147" s="28" t="s">
        <v>52</v>
      </c>
      <c r="L5147" s="28" t="s">
        <v>52</v>
      </c>
      <c r="M5147" s="28" t="s">
        <v>52</v>
      </c>
      <c r="N5147" s="28" t="s">
        <v>52</v>
      </c>
    </row>
    <row r="5148" spans="1:14" x14ac:dyDescent="0.15">
      <c r="A5148" s="23" t="str">
        <f t="shared" si="228"/>
        <v>АО "ТОРГОВЫЙ ДОМ "ПЕРЕКРЕСТОК"</v>
      </c>
      <c r="B5148" s="24" t="s">
        <v>6999</v>
      </c>
      <c r="C5148" s="25">
        <v>0</v>
      </c>
      <c r="D5148" s="22" t="s">
        <v>7007</v>
      </c>
      <c r="E5148" s="22" t="s">
        <v>208</v>
      </c>
      <c r="F5148" s="23" t="str">
        <f>HYPERLINK("https://www.spark-marketing.ru/Card/Lot/71853201", "Разъем питания видеокамеры")</f>
        <v>Разъем питания видеокамеры</v>
      </c>
      <c r="G5148" s="22" t="s">
        <v>55</v>
      </c>
      <c r="H5148" s="22" t="s">
        <v>55</v>
      </c>
      <c r="I5148" s="26">
        <v>43648.745219907403</v>
      </c>
      <c r="J5148" s="28" t="s">
        <v>52</v>
      </c>
      <c r="K5148" s="28" t="s">
        <v>52</v>
      </c>
      <c r="L5148" s="28" t="s">
        <v>52</v>
      </c>
      <c r="M5148" s="28" t="s">
        <v>52</v>
      </c>
      <c r="N5148" s="28" t="s">
        <v>52</v>
      </c>
    </row>
    <row r="5149" spans="1:14" x14ac:dyDescent="0.15">
      <c r="A5149" s="23" t="str">
        <f t="shared" si="228"/>
        <v>АО "ТОРГОВЫЙ ДОМ "ПЕРЕКРЕСТОК"</v>
      </c>
      <c r="B5149" s="24" t="s">
        <v>6999</v>
      </c>
      <c r="C5149" s="25">
        <v>0</v>
      </c>
      <c r="D5149" s="22" t="s">
        <v>7000</v>
      </c>
      <c r="E5149" s="22" t="s">
        <v>208</v>
      </c>
      <c r="F5149" s="23" t="str">
        <f>HYPERLINK("https://www.spark-marketing.ru/Card/Lot/71849983", "Камера видеонаблюдения HikVision DS-2CE16D8T-IT3ZE HD-TVI motor-zoom")</f>
        <v>Камера видеонаблюдения HikVision DS-2CE16D8T-IT3ZE HD-TVI motor-zoom</v>
      </c>
      <c r="G5149" s="22" t="s">
        <v>55</v>
      </c>
      <c r="H5149" s="22" t="s">
        <v>55</v>
      </c>
      <c r="I5149" s="26">
        <v>43648.7443055556</v>
      </c>
      <c r="J5149" s="28" t="s">
        <v>52</v>
      </c>
      <c r="K5149" s="28" t="s">
        <v>52</v>
      </c>
      <c r="L5149" s="28" t="s">
        <v>52</v>
      </c>
      <c r="M5149" s="28" t="s">
        <v>52</v>
      </c>
      <c r="N5149" s="28" t="s">
        <v>52</v>
      </c>
    </row>
    <row r="5150" spans="1:14" x14ac:dyDescent="0.15">
      <c r="A5150" s="23" t="str">
        <f t="shared" si="228"/>
        <v>АО "ТОРГОВЫЙ ДОМ "ПЕРЕКРЕСТОК"</v>
      </c>
      <c r="B5150" s="24" t="s">
        <v>6999</v>
      </c>
      <c r="C5150" s="25">
        <v>0</v>
      </c>
      <c r="D5150" s="22" t="s">
        <v>7003</v>
      </c>
      <c r="E5150" s="22" t="s">
        <v>208</v>
      </c>
      <c r="F5150" s="23" t="str">
        <f>HYPERLINK("https://www.spark-marketing.ru/Card/Lot/71851740", "AC-TA383IR2 Купольная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f>
        <v>AC-TA383IR2 Купольная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v>
      </c>
      <c r="G5150" s="22" t="s">
        <v>55</v>
      </c>
      <c r="H5150" s="22" t="s">
        <v>55</v>
      </c>
      <c r="I5150" s="26">
        <v>43648.744791666701</v>
      </c>
      <c r="J5150" s="28" t="s">
        <v>52</v>
      </c>
      <c r="K5150" s="28" t="s">
        <v>52</v>
      </c>
      <c r="L5150" s="28" t="s">
        <v>52</v>
      </c>
      <c r="M5150" s="28" t="s">
        <v>52</v>
      </c>
      <c r="N5150" s="28" t="s">
        <v>52</v>
      </c>
    </row>
    <row r="5151" spans="1:14" x14ac:dyDescent="0.15">
      <c r="A5151" s="23" t="str">
        <f t="shared" si="228"/>
        <v>АО "ТОРГОВЫЙ ДОМ "ПЕРЕКРЕСТОК"</v>
      </c>
      <c r="B5151" s="24" t="s">
        <v>6999</v>
      </c>
      <c r="C5151" s="25">
        <v>0</v>
      </c>
      <c r="D5151" s="22" t="s">
        <v>7002</v>
      </c>
      <c r="E5151" s="22" t="s">
        <v>208</v>
      </c>
      <c r="F5151" s="23" t="str">
        <f>HYPERLINK("https://www.spark-marketing.ru/Card/Lot/71851393", "LTV RTM-162 00 16-канальный TVI/AHD/CVBS/IP видеорегистратор, 720p: 400 к/c, 1080p: 200 к/c, вых. BNC/VGA/HDMI")</f>
        <v>LTV RTM-162 00 16-канальный TVI/AHD/CVBS/IP видеорегистратор, 720p: 400 к/c, 1080p: 200 к/c, вых. BNC/VGA/HDMI</v>
      </c>
      <c r="G5151" s="22" t="s">
        <v>55</v>
      </c>
      <c r="H5151" s="22" t="s">
        <v>55</v>
      </c>
      <c r="I5151" s="26">
        <v>43648.744641203702</v>
      </c>
      <c r="J5151" s="28" t="s">
        <v>52</v>
      </c>
      <c r="K5151" s="28" t="s">
        <v>52</v>
      </c>
      <c r="L5151" s="28" t="s">
        <v>52</v>
      </c>
      <c r="M5151" s="28" t="s">
        <v>52</v>
      </c>
      <c r="N5151" s="28" t="s">
        <v>52</v>
      </c>
    </row>
    <row r="5152" spans="1:14" x14ac:dyDescent="0.15">
      <c r="A5152" s="23" t="str">
        <f t="shared" si="228"/>
        <v>АО "ТОРГОВЫЙ ДОМ "ПЕРЕКРЕСТОК"</v>
      </c>
      <c r="B5152" s="24" t="s">
        <v>6999</v>
      </c>
      <c r="C5152" s="25">
        <v>0</v>
      </c>
      <c r="D5152" s="22" t="s">
        <v>7007</v>
      </c>
      <c r="E5152" s="22" t="s">
        <v>208</v>
      </c>
      <c r="F5152" s="23" t="str">
        <f>HYPERLINK("https://www.spark-marketing.ru/Card/Lot/71852839", "LTV-BMW-147 (GL-213), кронштейн для корпусных видеокамер, белый, пластиковый, длина 147 мм")</f>
        <v>LTV-BMW-147 (GL-213), кронштейн для корпусных видеокамер, белый, пластиковый, длина 147 мм</v>
      </c>
      <c r="G5152" s="22" t="s">
        <v>55</v>
      </c>
      <c r="H5152" s="22" t="s">
        <v>55</v>
      </c>
      <c r="I5152" s="26">
        <v>43648.745219907403</v>
      </c>
      <c r="J5152" s="28" t="s">
        <v>52</v>
      </c>
      <c r="K5152" s="28" t="s">
        <v>52</v>
      </c>
      <c r="L5152" s="28" t="s">
        <v>52</v>
      </c>
      <c r="M5152" s="28" t="s">
        <v>52</v>
      </c>
      <c r="N5152" s="28" t="s">
        <v>52</v>
      </c>
    </row>
    <row r="5153" spans="1:14" x14ac:dyDescent="0.15">
      <c r="A5153" s="23" t="str">
        <f t="shared" si="228"/>
        <v>АО "ТОРГОВЫЙ ДОМ "ПЕРЕКРЕСТОК"</v>
      </c>
      <c r="B5153" s="24" t="s">
        <v>6999</v>
      </c>
      <c r="C5153" s="25">
        <v>0</v>
      </c>
      <c r="D5153" s="22" t="s">
        <v>7003</v>
      </c>
      <c r="E5153" s="22" t="s">
        <v>208</v>
      </c>
      <c r="F5153" s="23" t="str">
        <f>HYPERLINK("https://www.spark-marketing.ru/Card/Lot/71851954", "Видеодомофон монохромный, с трубкой, AC 110-240В.")</f>
        <v>Видеодомофон монохромный, с трубкой, AC 110-240В.</v>
      </c>
      <c r="G5153" s="22" t="s">
        <v>55</v>
      </c>
      <c r="H5153" s="22" t="s">
        <v>55</v>
      </c>
      <c r="I5153" s="26">
        <v>43648.744791666701</v>
      </c>
      <c r="J5153" s="28" t="s">
        <v>52</v>
      </c>
      <c r="K5153" s="28" t="s">
        <v>52</v>
      </c>
      <c r="L5153" s="28" t="s">
        <v>52</v>
      </c>
      <c r="M5153" s="28" t="s">
        <v>52</v>
      </c>
      <c r="N5153" s="28" t="s">
        <v>52</v>
      </c>
    </row>
    <row r="5154" spans="1:14" x14ac:dyDescent="0.15">
      <c r="A5154" s="23" t="str">
        <f t="shared" si="228"/>
        <v>АО "ТОРГОВЫЙ ДОМ "ПЕРЕКРЕСТОК"</v>
      </c>
      <c r="B5154" s="24" t="s">
        <v>6999</v>
      </c>
      <c r="C5154" s="25">
        <v>0</v>
      </c>
      <c r="D5154" s="22" t="s">
        <v>7006</v>
      </c>
      <c r="E5154" s="22" t="s">
        <v>208</v>
      </c>
      <c r="F5154" s="23" t="str">
        <f>HYPERLINK("https://www.spark-marketing.ru/Card/Lot/71850929", "Видеопанель вызывная монохромная, 400 ТВЛ, ИК подсвет.; 122х40х24mm. Activision.")</f>
        <v>Видеопанель вызывная монохромная, 400 ТВЛ, ИК подсвет.; 122х40х24mm. Activision.</v>
      </c>
      <c r="G5154" s="22" t="s">
        <v>55</v>
      </c>
      <c r="H5154" s="22" t="s">
        <v>55</v>
      </c>
      <c r="I5154" s="26">
        <v>43648.744490740697</v>
      </c>
      <c r="J5154" s="28" t="s">
        <v>52</v>
      </c>
      <c r="K5154" s="28" t="s">
        <v>52</v>
      </c>
      <c r="L5154" s="28" t="s">
        <v>52</v>
      </c>
      <c r="M5154" s="28" t="s">
        <v>52</v>
      </c>
      <c r="N5154" s="28" t="s">
        <v>52</v>
      </c>
    </row>
    <row r="5155" spans="1:14" x14ac:dyDescent="0.15">
      <c r="A5155" s="23" t="str">
        <f t="shared" si="228"/>
        <v>АО "ТОРГОВЫЙ ДОМ "ПЕРЕКРЕСТОК"</v>
      </c>
      <c r="B5155" s="24" t="s">
        <v>6999</v>
      </c>
      <c r="C5155" s="25">
        <v>0</v>
      </c>
      <c r="D5155" s="22" t="s">
        <v>7005</v>
      </c>
      <c r="E5155" s="22" t="s">
        <v>208</v>
      </c>
      <c r="F5155" s="23" t="str">
        <f>HYPERLINK("https://www.spark-marketing.ru/Card/Lot/71853764", "Камера видеонаблюдения HikVision DS-2CE16D8T-IT3ZE HD-TVI motor-zoom")</f>
        <v>Камера видеонаблюдения HikVision DS-2CE16D8T-IT3ZE HD-TVI motor-zoom</v>
      </c>
      <c r="G5155" s="22" t="s">
        <v>55</v>
      </c>
      <c r="H5155" s="22" t="s">
        <v>55</v>
      </c>
      <c r="I5155" s="26">
        <v>43648.745069444398</v>
      </c>
      <c r="J5155" s="28" t="s">
        <v>52</v>
      </c>
      <c r="K5155" s="28" t="s">
        <v>52</v>
      </c>
      <c r="L5155" s="28" t="s">
        <v>52</v>
      </c>
      <c r="M5155" s="28" t="s">
        <v>52</v>
      </c>
      <c r="N5155" s="28" t="s">
        <v>52</v>
      </c>
    </row>
    <row r="5156" spans="1:14" x14ac:dyDescent="0.15">
      <c r="A5156" s="23" t="str">
        <f t="shared" si="228"/>
        <v>АО "ТОРГОВЫЙ ДОМ "ПЕРЕКРЕСТОК"</v>
      </c>
      <c r="B5156" s="24" t="s">
        <v>6999</v>
      </c>
      <c r="C5156" s="25">
        <v>0</v>
      </c>
      <c r="D5156" s="22" t="s">
        <v>7007</v>
      </c>
      <c r="E5156" s="22" t="s">
        <v>208</v>
      </c>
      <c r="F5156" s="23" t="str">
        <f>HYPERLINK("https://www.spark-marketing.ru/Card/Lot/71854306", "Юстировка стационарной видеокамеры, уличной")</f>
        <v>Юстировка стационарной видеокамеры, уличной</v>
      </c>
      <c r="G5156" s="22" t="s">
        <v>55</v>
      </c>
      <c r="H5156" s="22" t="s">
        <v>55</v>
      </c>
      <c r="I5156" s="26">
        <v>43648.745219907403</v>
      </c>
      <c r="J5156" s="28" t="s">
        <v>52</v>
      </c>
      <c r="K5156" s="28" t="s">
        <v>52</v>
      </c>
      <c r="L5156" s="28" t="s">
        <v>52</v>
      </c>
      <c r="M5156" s="28" t="s">
        <v>52</v>
      </c>
      <c r="N5156" s="28" t="s">
        <v>52</v>
      </c>
    </row>
    <row r="5157" spans="1:14" x14ac:dyDescent="0.15">
      <c r="A5157" s="23" t="str">
        <f t="shared" si="228"/>
        <v>АО "ТОРГОВЫЙ ДОМ "ПЕРЕКРЕСТОК"</v>
      </c>
      <c r="B5157" s="24" t="s">
        <v>6999</v>
      </c>
      <c r="C5157" s="25">
        <v>0</v>
      </c>
      <c r="D5157" s="22" t="s">
        <v>7003</v>
      </c>
      <c r="E5157" s="22" t="s">
        <v>208</v>
      </c>
      <c r="F5157" s="23" t="str">
        <f>HYPERLINK("https://www.spark-marketing.ru/Card/Lot/71852124", "Демонтаж Системы охранной сигнализации (включая кабельные трассы)")</f>
        <v>Демонтаж Системы охранной сигнализации (включая кабельные трассы)</v>
      </c>
      <c r="G5157" s="22" t="s">
        <v>55</v>
      </c>
      <c r="H5157" s="22" t="s">
        <v>55</v>
      </c>
      <c r="I5157" s="26">
        <v>43648.744791666701</v>
      </c>
      <c r="J5157" s="28" t="s">
        <v>52</v>
      </c>
      <c r="K5157" s="28" t="s">
        <v>52</v>
      </c>
      <c r="L5157" s="28" t="s">
        <v>52</v>
      </c>
      <c r="M5157" s="28" t="s">
        <v>52</v>
      </c>
      <c r="N5157" s="28" t="s">
        <v>52</v>
      </c>
    </row>
    <row r="5158" spans="1:14" x14ac:dyDescent="0.15">
      <c r="A5158" s="23" t="str">
        <f t="shared" si="228"/>
        <v>АО "ТОРГОВЫЙ ДОМ "ПЕРЕКРЕСТОК"</v>
      </c>
      <c r="B5158" s="24" t="s">
        <v>6999</v>
      </c>
      <c r="C5158" s="25">
        <v>0</v>
      </c>
      <c r="D5158" s="22" t="s">
        <v>7007</v>
      </c>
      <c r="E5158" s="22" t="s">
        <v>208</v>
      </c>
      <c r="F5158" s="23" t="str">
        <f>HYPERLINK("https://www.spark-marketing.ru/Card/Lot/71854185", "Монтаж, подключение, настройка видеокамеры, уличной")</f>
        <v>Монтаж, подключение, настройка видеокамеры, уличной</v>
      </c>
      <c r="G5158" s="22" t="s">
        <v>55</v>
      </c>
      <c r="H5158" s="22" t="s">
        <v>55</v>
      </c>
      <c r="I5158" s="26">
        <v>43648.745219907403</v>
      </c>
      <c r="J5158" s="28" t="s">
        <v>52</v>
      </c>
      <c r="K5158" s="28" t="s">
        <v>52</v>
      </c>
      <c r="L5158" s="28" t="s">
        <v>52</v>
      </c>
      <c r="M5158" s="28" t="s">
        <v>52</v>
      </c>
      <c r="N5158" s="28" t="s">
        <v>52</v>
      </c>
    </row>
    <row r="5159" spans="1:14" x14ac:dyDescent="0.15">
      <c r="A5159" s="23" t="str">
        <f t="shared" si="228"/>
        <v>АО "ТОРГОВЫЙ ДОМ "ПЕРЕКРЕСТОК"</v>
      </c>
      <c r="B5159" s="24" t="s">
        <v>6999</v>
      </c>
      <c r="C5159" s="25">
        <v>0</v>
      </c>
      <c r="D5159" s="22" t="s">
        <v>7005</v>
      </c>
      <c r="E5159" s="22" t="s">
        <v>208</v>
      </c>
      <c r="F5159" s="23" t="str">
        <f>HYPERLINK("https://www.spark-marketing.ru/Card/Lot/71854366", "LTV-BMW-305-HV, кронштейн настенный для видеокамер LTV-SDNO36-HV, LTV-SDNO36L-HV, LTV-ISDNO20-EM2, вылет 305мм")</f>
        <v>LTV-BMW-305-HV, кронштейн настенный для видеокамер LTV-SDNO36-HV, LTV-SDNO36L-HV, LTV-ISDNO20-EM2, вылет 305мм</v>
      </c>
      <c r="G5159" s="22" t="s">
        <v>55</v>
      </c>
      <c r="H5159" s="22" t="s">
        <v>55</v>
      </c>
      <c r="I5159" s="26">
        <v>43648.745069444398</v>
      </c>
      <c r="J5159" s="28" t="s">
        <v>52</v>
      </c>
      <c r="K5159" s="28" t="s">
        <v>52</v>
      </c>
      <c r="L5159" s="28" t="s">
        <v>52</v>
      </c>
      <c r="M5159" s="28" t="s">
        <v>52</v>
      </c>
      <c r="N5159" s="28" t="s">
        <v>52</v>
      </c>
    </row>
    <row r="5160" spans="1:14" x14ac:dyDescent="0.15">
      <c r="A5160" s="23" t="str">
        <f t="shared" si="228"/>
        <v>АО "ТОРГОВЫЙ ДОМ "ПЕРЕКРЕСТОК"</v>
      </c>
      <c r="B5160" s="24" t="s">
        <v>6999</v>
      </c>
      <c r="C5160" s="25">
        <v>0</v>
      </c>
      <c r="D5160" s="22" t="s">
        <v>7007</v>
      </c>
      <c r="E5160" s="22" t="s">
        <v>208</v>
      </c>
      <c r="F5160" s="23" t="str">
        <f>HYPERLINK("https://www.spark-marketing.ru/Card/Lot/71852630", "Сервер контроля кассовых операций Видеомаркет (Core i5/8192Mb/250Gb/Lan 1000/4xUSB 2.0/CardReader 4x1/Mb+Kb, ОС Win 7/10 pro, Видеокарта NVIDIA GeForce GT 730) комплект ""клавиатура-""мышь""")</f>
        <v>Сервер контроля кассовых операций Видеомаркет (Core i5/8192Mb/250Gb/Lan 1000/4xUSB 2.0/CardReader 4x1/Mb+Kb, ОС Win 7/10 pro, Видеокарта NVIDIA GeForce GT 730) комплект "клавиатура-"мышь"</v>
      </c>
      <c r="G5160" s="22" t="s">
        <v>55</v>
      </c>
      <c r="H5160" s="22" t="s">
        <v>55</v>
      </c>
      <c r="I5160" s="26">
        <v>43648.745219907403</v>
      </c>
      <c r="J5160" s="28" t="s">
        <v>52</v>
      </c>
      <c r="K5160" s="28" t="s">
        <v>52</v>
      </c>
      <c r="L5160" s="28" t="s">
        <v>52</v>
      </c>
      <c r="M5160" s="28" t="s">
        <v>52</v>
      </c>
      <c r="N5160" s="28" t="s">
        <v>52</v>
      </c>
    </row>
    <row r="5161" spans="1:14" x14ac:dyDescent="0.15">
      <c r="A5161" s="23" t="str">
        <f t="shared" si="228"/>
        <v>АО "ТОРГОВЫЙ ДОМ "ПЕРЕКРЕСТОК"</v>
      </c>
      <c r="B5161" s="24" t="s">
        <v>6999</v>
      </c>
      <c r="C5161" s="25">
        <v>0</v>
      </c>
      <c r="D5161" s="22" t="s">
        <v>7000</v>
      </c>
      <c r="E5161" s="22" t="s">
        <v>208</v>
      </c>
      <c r="F5161" s="23" t="str">
        <f>HYPERLINK("https://www.spark-marketing.ru/Card/Lot/71850269", "LTV-BMW-147 (GL-213), кронштейн для корпусных видеокамер, белый, пластиковый, длина 147 мм")</f>
        <v>LTV-BMW-147 (GL-213), кронштейн для корпусных видеокамер, белый, пластиковый, длина 147 мм</v>
      </c>
      <c r="G5161" s="22" t="s">
        <v>55</v>
      </c>
      <c r="H5161" s="22" t="s">
        <v>55</v>
      </c>
      <c r="I5161" s="26">
        <v>43648.7443055556</v>
      </c>
      <c r="J5161" s="28" t="s">
        <v>52</v>
      </c>
      <c r="K5161" s="28" t="s">
        <v>52</v>
      </c>
      <c r="L5161" s="28" t="s">
        <v>52</v>
      </c>
      <c r="M5161" s="28" t="s">
        <v>52</v>
      </c>
      <c r="N5161" s="28" t="s">
        <v>52</v>
      </c>
    </row>
    <row r="5162" spans="1:14" x14ac:dyDescent="0.15">
      <c r="A5162" s="23" t="str">
        <f t="shared" si="228"/>
        <v>АО "ТОРГОВЫЙ ДОМ "ПЕРЕКРЕСТОК"</v>
      </c>
      <c r="B5162" s="24" t="s">
        <v>6999</v>
      </c>
      <c r="C5162" s="25">
        <v>0</v>
      </c>
      <c r="D5162" s="22" t="s">
        <v>7004</v>
      </c>
      <c r="E5162" s="22" t="s">
        <v>208</v>
      </c>
      <c r="F5162" s="23" t="str">
        <f>HYPERLINK("https://www.spark-marketing.ru/Card/Lot/71852647", "Камера видеонаблюдения HikVision DS-2CD2143G0-IS (6mm) купол")</f>
        <v>Камера видеонаблюдения HikVision DS-2CD2143G0-IS (6mm) купол</v>
      </c>
      <c r="G5162" s="22" t="s">
        <v>55</v>
      </c>
      <c r="H5162" s="22" t="s">
        <v>55</v>
      </c>
      <c r="I5162" s="26">
        <v>43648.745347222197</v>
      </c>
      <c r="J5162" s="28" t="s">
        <v>52</v>
      </c>
      <c r="K5162" s="28" t="s">
        <v>52</v>
      </c>
      <c r="L5162" s="28" t="s">
        <v>52</v>
      </c>
      <c r="M5162" s="28" t="s">
        <v>52</v>
      </c>
      <c r="N5162" s="28" t="s">
        <v>52</v>
      </c>
    </row>
    <row r="5163" spans="1:14" x14ac:dyDescent="0.15">
      <c r="A5163" s="23" t="str">
        <f t="shared" si="228"/>
        <v>АО "ТОРГОВЫЙ ДОМ "ПЕРЕКРЕСТОК"</v>
      </c>
      <c r="B5163" s="24" t="s">
        <v>6999</v>
      </c>
      <c r="C5163" s="25">
        <v>0</v>
      </c>
      <c r="D5163" s="22" t="s">
        <v>7007</v>
      </c>
      <c r="E5163" s="22" t="s">
        <v>208</v>
      </c>
      <c r="F5163" s="23" t="str">
        <f>HYPERLINK("https://www.spark-marketing.ru/Card/Lot/71852742", "LTV-KBD-02-HV (NEW) Пульт управления видеор.LTV серии LTV-DVR-xxxx-HV, возможно прямое управление PTZ камерами, RS-485, 12В (DC)")</f>
        <v>LTV-KBD-02-HV (NEW) Пульт управления видеор.LTV серии LTV-DVR-xxxx-HV, возможно прямое управление PTZ камерами, RS-485, 12В (DC)</v>
      </c>
      <c r="G5163" s="22" t="s">
        <v>55</v>
      </c>
      <c r="H5163" s="22" t="s">
        <v>55</v>
      </c>
      <c r="I5163" s="26">
        <v>43648.745219907403</v>
      </c>
      <c r="J5163" s="28" t="s">
        <v>52</v>
      </c>
      <c r="K5163" s="28" t="s">
        <v>52</v>
      </c>
      <c r="L5163" s="28" t="s">
        <v>52</v>
      </c>
      <c r="M5163" s="28" t="s">
        <v>52</v>
      </c>
      <c r="N5163" s="28" t="s">
        <v>52</v>
      </c>
    </row>
    <row r="5164" spans="1:14" x14ac:dyDescent="0.15">
      <c r="A5164" s="23" t="str">
        <f t="shared" si="228"/>
        <v>АО "ТОРГОВЫЙ ДОМ "ПЕРЕКРЕСТОК"</v>
      </c>
      <c r="B5164" s="24" t="s">
        <v>6999</v>
      </c>
      <c r="C5164" s="25">
        <v>0</v>
      </c>
      <c r="D5164" s="22" t="s">
        <v>7002</v>
      </c>
      <c r="E5164" s="22" t="s">
        <v>208</v>
      </c>
      <c r="F5164" s="23" t="str">
        <f>HYPERLINK("https://www.spark-marketing.ru/Card/Lot/71851415", "LTV-BMW-175 (GL-203E) Кронштейн 175мм для видеокамер, белый, металлический")</f>
        <v>LTV-BMW-175 (GL-203E) Кронштейн 175мм для видеокамер, белый, металлический</v>
      </c>
      <c r="G5164" s="22" t="s">
        <v>55</v>
      </c>
      <c r="H5164" s="22" t="s">
        <v>55</v>
      </c>
      <c r="I5164" s="26">
        <v>43648.744641203702</v>
      </c>
      <c r="J5164" s="28" t="s">
        <v>52</v>
      </c>
      <c r="K5164" s="28" t="s">
        <v>52</v>
      </c>
      <c r="L5164" s="28" t="s">
        <v>52</v>
      </c>
      <c r="M5164" s="28" t="s">
        <v>52</v>
      </c>
      <c r="N5164" s="28" t="s">
        <v>52</v>
      </c>
    </row>
    <row r="5165" spans="1:14" x14ac:dyDescent="0.15">
      <c r="A5165" s="23" t="str">
        <f t="shared" si="228"/>
        <v>АО "ТОРГОВЫЙ ДОМ "ПЕРЕКРЕСТОК"</v>
      </c>
      <c r="B5165" s="24" t="s">
        <v>6999</v>
      </c>
      <c r="C5165" s="25">
        <v>0</v>
      </c>
      <c r="D5165" s="22" t="s">
        <v>7002</v>
      </c>
      <c r="E5165" s="22" t="s">
        <v>208</v>
      </c>
      <c r="F5165" s="23" t="str">
        <f>HYPERLINK("https://www.spark-marketing.ru/Card/Lot/71851239", "Камера видеонаблюдения HikVision DS-2CD2043G0-I (4mm) булет")</f>
        <v>Камера видеонаблюдения HikVision DS-2CD2043G0-I (4mm) булет</v>
      </c>
      <c r="G5165" s="22" t="s">
        <v>55</v>
      </c>
      <c r="H5165" s="22" t="s">
        <v>55</v>
      </c>
      <c r="I5165" s="26">
        <v>43648.744641203702</v>
      </c>
      <c r="J5165" s="28" t="s">
        <v>52</v>
      </c>
      <c r="K5165" s="28" t="s">
        <v>52</v>
      </c>
      <c r="L5165" s="28" t="s">
        <v>52</v>
      </c>
      <c r="M5165" s="28" t="s">
        <v>52</v>
      </c>
      <c r="N5165" s="28" t="s">
        <v>52</v>
      </c>
    </row>
    <row r="5166" spans="1:14" x14ac:dyDescent="0.15">
      <c r="A5166" s="23" t="str">
        <f t="shared" si="228"/>
        <v>АО "ТОРГОВЫЙ ДОМ "ПЕРЕКРЕСТОК"</v>
      </c>
      <c r="B5166" s="24" t="s">
        <v>6999</v>
      </c>
      <c r="C5166" s="25">
        <v>0</v>
      </c>
      <c r="D5166" s="22" t="s">
        <v>7007</v>
      </c>
      <c r="E5166" s="22" t="s">
        <v>208</v>
      </c>
      <c r="F5166" s="23" t="str">
        <f>HYPERLINK("https://www.spark-marketing.ru/Card/Lot/71852721", "LTV RTM-162 00 16-канальный TVI/AHD/CVBS/IP видеорегистратор, 720p: 400 к/c, 1080p: 200 к/c, вых. BNC/VGA/HDMI")</f>
        <v>LTV RTM-162 00 16-канальный TVI/AHD/CVBS/IP видеорегистратор, 720p: 400 к/c, 1080p: 200 к/c, вых. BNC/VGA/HDMI</v>
      </c>
      <c r="G5166" s="22" t="s">
        <v>55</v>
      </c>
      <c r="H5166" s="22" t="s">
        <v>55</v>
      </c>
      <c r="I5166" s="26">
        <v>43648.745219907403</v>
      </c>
      <c r="J5166" s="28" t="s">
        <v>52</v>
      </c>
      <c r="K5166" s="28" t="s">
        <v>52</v>
      </c>
      <c r="L5166" s="28" t="s">
        <v>52</v>
      </c>
      <c r="M5166" s="28" t="s">
        <v>52</v>
      </c>
      <c r="N5166" s="28" t="s">
        <v>52</v>
      </c>
    </row>
    <row r="5167" spans="1:14" x14ac:dyDescent="0.15">
      <c r="A5167" s="23" t="str">
        <f t="shared" si="228"/>
        <v>АО "ТОРГОВЫЙ ДОМ "ПЕРЕКРЕСТОК"</v>
      </c>
      <c r="B5167" s="24" t="s">
        <v>6999</v>
      </c>
      <c r="C5167" s="25">
        <v>0</v>
      </c>
      <c r="D5167" s="22" t="s">
        <v>7007</v>
      </c>
      <c r="E5167" s="22" t="s">
        <v>208</v>
      </c>
      <c r="F5167" s="23" t="str">
        <f>HYPERLINK("https://www.spark-marketing.ru/Card/Lot/71854146", "Камера видеонаблюдения HikVision DS-2CD2023G0-I (4mm) булет")</f>
        <v>Камера видеонаблюдения HikVision DS-2CD2023G0-I (4mm) булет</v>
      </c>
      <c r="G5167" s="22" t="s">
        <v>55</v>
      </c>
      <c r="H5167" s="22" t="s">
        <v>55</v>
      </c>
      <c r="I5167" s="26">
        <v>43648.745219907403</v>
      </c>
      <c r="J5167" s="28" t="s">
        <v>52</v>
      </c>
      <c r="K5167" s="28" t="s">
        <v>52</v>
      </c>
      <c r="L5167" s="28" t="s">
        <v>52</v>
      </c>
      <c r="M5167" s="28" t="s">
        <v>52</v>
      </c>
      <c r="N5167" s="28" t="s">
        <v>52</v>
      </c>
    </row>
    <row r="5168" spans="1:14" x14ac:dyDescent="0.15">
      <c r="A5168" s="23" t="str">
        <f t="shared" si="228"/>
        <v>АО "ТОРГОВЫЙ ДОМ "ПЕРЕКРЕСТОК"</v>
      </c>
      <c r="B5168" s="24" t="s">
        <v>6999</v>
      </c>
      <c r="C5168" s="25">
        <v>0</v>
      </c>
      <c r="D5168" s="22" t="s">
        <v>7005</v>
      </c>
      <c r="E5168" s="22" t="s">
        <v>208</v>
      </c>
      <c r="F5168" s="23" t="str">
        <f>HYPERLINK("https://www.spark-marketing.ru/Card/Lot/71854023", "Демонтаж Системы видеонаблюдения (включая кабельные трассы)")</f>
        <v>Демонтаж Системы видеонаблюдения (включая кабельные трассы)</v>
      </c>
      <c r="G5168" s="22" t="s">
        <v>55</v>
      </c>
      <c r="H5168" s="22" t="s">
        <v>55</v>
      </c>
      <c r="I5168" s="26">
        <v>43648.745069444398</v>
      </c>
      <c r="J5168" s="28" t="s">
        <v>52</v>
      </c>
      <c r="K5168" s="28" t="s">
        <v>52</v>
      </c>
      <c r="L5168" s="28" t="s">
        <v>52</v>
      </c>
      <c r="M5168" s="28" t="s">
        <v>52</v>
      </c>
      <c r="N5168" s="28" t="s">
        <v>52</v>
      </c>
    </row>
    <row r="5169" spans="1:14" x14ac:dyDescent="0.15">
      <c r="A5169" s="23" t="str">
        <f t="shared" si="228"/>
        <v>АО "ТОРГОВЫЙ ДОМ "ПЕРЕКРЕСТОК"</v>
      </c>
      <c r="B5169" s="24" t="s">
        <v>6999</v>
      </c>
      <c r="C5169" s="25">
        <v>0</v>
      </c>
      <c r="D5169" s="22" t="s">
        <v>7006</v>
      </c>
      <c r="E5169" s="22" t="s">
        <v>208</v>
      </c>
      <c r="F5169" s="23" t="str">
        <f>HYPERLINK("https://www.spark-marketing.ru/Card/Lot/71850966", "Разъем питания видеокамеры")</f>
        <v>Разъем питания видеокамеры</v>
      </c>
      <c r="G5169" s="22" t="s">
        <v>55</v>
      </c>
      <c r="H5169" s="22" t="s">
        <v>55</v>
      </c>
      <c r="I5169" s="26">
        <v>43648.744490740697</v>
      </c>
      <c r="J5169" s="28" t="s">
        <v>52</v>
      </c>
      <c r="K5169" s="28" t="s">
        <v>52</v>
      </c>
      <c r="L5169" s="28" t="s">
        <v>52</v>
      </c>
      <c r="M5169" s="28" t="s">
        <v>52</v>
      </c>
      <c r="N5169" s="28" t="s">
        <v>52</v>
      </c>
    </row>
    <row r="5170" spans="1:14" x14ac:dyDescent="0.15">
      <c r="A5170" s="23" t="str">
        <f t="shared" si="228"/>
        <v>АО "ТОРГОВЫЙ ДОМ "ПЕРЕКРЕСТОК"</v>
      </c>
      <c r="B5170" s="24" t="s">
        <v>6999</v>
      </c>
      <c r="C5170" s="25">
        <v>0</v>
      </c>
      <c r="D5170" s="22" t="s">
        <v>7000</v>
      </c>
      <c r="E5170" s="22" t="s">
        <v>208</v>
      </c>
      <c r="F5170" s="23" t="str">
        <f>HYPERLINK("https://www.spark-marketing.ru/Card/Lot/71850197", "TRASSIR NeiroStation 1V (Сервер видеоналитики, 1*GPU)")</f>
        <v>TRASSIR NeiroStation 1V (Сервер видеоналитики, 1*GPU)</v>
      </c>
      <c r="G5170" s="22" t="s">
        <v>55</v>
      </c>
      <c r="H5170" s="22" t="s">
        <v>55</v>
      </c>
      <c r="I5170" s="26">
        <v>43648.7443055556</v>
      </c>
      <c r="J5170" s="28" t="s">
        <v>52</v>
      </c>
      <c r="K5170" s="28" t="s">
        <v>52</v>
      </c>
      <c r="L5170" s="28" t="s">
        <v>52</v>
      </c>
      <c r="M5170" s="28" t="s">
        <v>52</v>
      </c>
      <c r="N5170" s="28" t="s">
        <v>52</v>
      </c>
    </row>
    <row r="5171" spans="1:14" x14ac:dyDescent="0.15">
      <c r="A5171" s="23" t="str">
        <f t="shared" si="228"/>
        <v>АО "ТОРГОВЫЙ ДОМ "ПЕРЕКРЕСТОК"</v>
      </c>
      <c r="B5171" s="24" t="s">
        <v>6999</v>
      </c>
      <c r="C5171" s="25">
        <v>0</v>
      </c>
      <c r="D5171" s="22" t="s">
        <v>7007</v>
      </c>
      <c r="E5171" s="22" t="s">
        <v>208</v>
      </c>
      <c r="F5171" s="23" t="str">
        <f>HYPERLINK("https://www.spark-marketing.ru/Card/Lot/71852611", "HASP ключ для системы Видеомаркет")</f>
        <v>HASP ключ для системы Видеомаркет</v>
      </c>
      <c r="G5171" s="22" t="s">
        <v>55</v>
      </c>
      <c r="H5171" s="22" t="s">
        <v>55</v>
      </c>
      <c r="I5171" s="26">
        <v>43648.745219907403</v>
      </c>
      <c r="J5171" s="28" t="s">
        <v>52</v>
      </c>
      <c r="K5171" s="28" t="s">
        <v>52</v>
      </c>
      <c r="L5171" s="28" t="s">
        <v>52</v>
      </c>
      <c r="M5171" s="28" t="s">
        <v>52</v>
      </c>
      <c r="N5171" s="28" t="s">
        <v>52</v>
      </c>
    </row>
    <row r="5172" spans="1:14" x14ac:dyDescent="0.15">
      <c r="A5172" s="23" t="str">
        <f t="shared" si="228"/>
        <v>АО "ТОРГОВЫЙ ДОМ "ПЕРЕКРЕСТОК"</v>
      </c>
      <c r="B5172" s="24" t="s">
        <v>6999</v>
      </c>
      <c r="C5172" s="25">
        <v>0</v>
      </c>
      <c r="D5172" s="22" t="s">
        <v>7005</v>
      </c>
      <c r="E5172" s="22" t="s">
        <v>208</v>
      </c>
      <c r="F5172" s="23" t="str">
        <f>HYPERLINK("https://www.spark-marketing.ru/Card/Lot/71853763", "Камера видеонаблюдения HikVision DS-2CD2643G0-IZS (2.8-12mm) 4 Mp motor-zoom")</f>
        <v>Камера видеонаблюдения HikVision DS-2CD2643G0-IZS (2.8-12mm) 4 Mp motor-zoom</v>
      </c>
      <c r="G5172" s="22" t="s">
        <v>55</v>
      </c>
      <c r="H5172" s="22" t="s">
        <v>55</v>
      </c>
      <c r="I5172" s="26">
        <v>43648.745069444398</v>
      </c>
      <c r="J5172" s="28" t="s">
        <v>52</v>
      </c>
      <c r="K5172" s="28" t="s">
        <v>52</v>
      </c>
      <c r="L5172" s="28" t="s">
        <v>52</v>
      </c>
      <c r="M5172" s="28" t="s">
        <v>52</v>
      </c>
      <c r="N5172" s="28" t="s">
        <v>52</v>
      </c>
    </row>
    <row r="5173" spans="1:14" x14ac:dyDescent="0.15">
      <c r="A5173" s="23" t="str">
        <f t="shared" si="228"/>
        <v>АО "ТОРГОВЫЙ ДОМ "ПЕРЕКРЕСТОК"</v>
      </c>
      <c r="B5173" s="24" t="s">
        <v>6999</v>
      </c>
      <c r="C5173" s="25">
        <v>0</v>
      </c>
      <c r="D5173" s="22" t="s">
        <v>7002</v>
      </c>
      <c r="E5173" s="22" t="s">
        <v>208</v>
      </c>
      <c r="F5173" s="23" t="str">
        <f>HYPERLINK("https://www.spark-marketing.ru/Card/Lot/71851224", "Камера видеонаблюдения HikVision DS-2CD2143G0-IS (6mm) купол")</f>
        <v>Камера видеонаблюдения HikVision DS-2CD2143G0-IS (6mm) купол</v>
      </c>
      <c r="G5173" s="22" t="s">
        <v>55</v>
      </c>
      <c r="H5173" s="22" t="s">
        <v>55</v>
      </c>
      <c r="I5173" s="26">
        <v>43648.744641203702</v>
      </c>
      <c r="J5173" s="28" t="s">
        <v>52</v>
      </c>
      <c r="K5173" s="28" t="s">
        <v>52</v>
      </c>
      <c r="L5173" s="28" t="s">
        <v>52</v>
      </c>
      <c r="M5173" s="28" t="s">
        <v>52</v>
      </c>
      <c r="N5173" s="28" t="s">
        <v>52</v>
      </c>
    </row>
    <row r="5174" spans="1:14" x14ac:dyDescent="0.15">
      <c r="A5174" s="23" t="str">
        <f t="shared" si="228"/>
        <v>АО "ТОРГОВЫЙ ДОМ "ПЕРЕКРЕСТОК"</v>
      </c>
      <c r="B5174" s="24" t="s">
        <v>6999</v>
      </c>
      <c r="C5174" s="25">
        <v>0</v>
      </c>
      <c r="D5174" s="22" t="s">
        <v>7007</v>
      </c>
      <c r="E5174" s="22" t="s">
        <v>208</v>
      </c>
      <c r="F5174" s="23" t="str">
        <f>HYPERLINK("https://www.spark-marketing.ru/Card/Lot/71852847", "AC-TA363IR2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f>
        <v>AC-TA363IR2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v>
      </c>
      <c r="G5174" s="22" t="s">
        <v>55</v>
      </c>
      <c r="H5174" s="22" t="s">
        <v>55</v>
      </c>
      <c r="I5174" s="26">
        <v>43648.745219907403</v>
      </c>
      <c r="J5174" s="28" t="s">
        <v>52</v>
      </c>
      <c r="K5174" s="28" t="s">
        <v>52</v>
      </c>
      <c r="L5174" s="28" t="s">
        <v>52</v>
      </c>
      <c r="M5174" s="28" t="s">
        <v>52</v>
      </c>
      <c r="N5174" s="28" t="s">
        <v>52</v>
      </c>
    </row>
    <row r="5175" spans="1:14" x14ac:dyDescent="0.15">
      <c r="A5175" s="23" t="str">
        <f t="shared" ref="A5175:A5186" si="229">HYPERLINK("https://www.spark-marketing.ru/Card/Person/1887298", "АО ""ТОРГОВЫЙ ДОМ ""ПЕРЕКРЕСТОК""")</f>
        <v>АО "ТОРГОВЫЙ ДОМ "ПЕРЕКРЕСТОК"</v>
      </c>
      <c r="B5175" s="24" t="s">
        <v>6999</v>
      </c>
      <c r="C5175" s="25">
        <v>0</v>
      </c>
      <c r="D5175" s="22" t="s">
        <v>7008</v>
      </c>
      <c r="E5175" s="22" t="s">
        <v>208</v>
      </c>
      <c r="F5175" s="23" t="str">
        <f>HYPERLINK("https://www.spark-marketing.ru/Card/Lot/71854654", "TRASSIR NeiroStation 1V (Сервер видеоналитики, 1*GPU)")</f>
        <v>TRASSIR NeiroStation 1V (Сервер видеоналитики, 1*GPU)</v>
      </c>
      <c r="G5175" s="22" t="s">
        <v>55</v>
      </c>
      <c r="H5175" s="22" t="s">
        <v>55</v>
      </c>
      <c r="I5175" s="26">
        <v>43648.745509259301</v>
      </c>
      <c r="J5175" s="28" t="s">
        <v>52</v>
      </c>
      <c r="K5175" s="28" t="s">
        <v>52</v>
      </c>
      <c r="L5175" s="28" t="s">
        <v>52</v>
      </c>
      <c r="M5175" s="28" t="s">
        <v>52</v>
      </c>
      <c r="N5175" s="28" t="s">
        <v>52</v>
      </c>
    </row>
    <row r="5176" spans="1:14" x14ac:dyDescent="0.15">
      <c r="A5176" s="23" t="str">
        <f t="shared" si="229"/>
        <v>АО "ТОРГОВЫЙ ДОМ "ПЕРЕКРЕСТОК"</v>
      </c>
      <c r="B5176" s="24" t="s">
        <v>6999</v>
      </c>
      <c r="C5176" s="25">
        <v>0</v>
      </c>
      <c r="D5176" s="22" t="s">
        <v>7005</v>
      </c>
      <c r="E5176" s="22" t="s">
        <v>208</v>
      </c>
      <c r="F5176" s="23" t="str">
        <f>HYPERLINK("https://www.spark-marketing.ru/Card/Lot/71854364", "LTV-BMW-175 (GL-203E) Кронштейн 175мм для видеокамер, белый, металлический")</f>
        <v>LTV-BMW-175 (GL-203E) Кронштейн 175мм для видеокамер, белый, металлический</v>
      </c>
      <c r="G5176" s="22" t="s">
        <v>55</v>
      </c>
      <c r="H5176" s="22" t="s">
        <v>55</v>
      </c>
      <c r="I5176" s="26">
        <v>43648.745069444398</v>
      </c>
      <c r="J5176" s="28" t="s">
        <v>52</v>
      </c>
      <c r="K5176" s="28" t="s">
        <v>52</v>
      </c>
      <c r="L5176" s="28" t="s">
        <v>52</v>
      </c>
      <c r="M5176" s="28" t="s">
        <v>52</v>
      </c>
      <c r="N5176" s="28" t="s">
        <v>52</v>
      </c>
    </row>
    <row r="5177" spans="1:14" x14ac:dyDescent="0.15">
      <c r="A5177" s="23" t="str">
        <f t="shared" si="229"/>
        <v>АО "ТОРГОВЫЙ ДОМ "ПЕРЕКРЕСТОК"</v>
      </c>
      <c r="B5177" s="24" t="s">
        <v>6999</v>
      </c>
      <c r="C5177" s="25">
        <v>0</v>
      </c>
      <c r="D5177" s="22" t="s">
        <v>7001</v>
      </c>
      <c r="E5177" s="22" t="s">
        <v>208</v>
      </c>
      <c r="F5177" s="23" t="str">
        <f>HYPERLINK("https://www.spark-marketing.ru/Card/Lot/71852234", "Камера видеонаблюдения HikVision DS-2CD2155FWD-IS (2.8mm) купол")</f>
        <v>Камера видеонаблюдения HikVision DS-2CD2155FWD-IS (2.8mm) купол</v>
      </c>
      <c r="G5177" s="22" t="s">
        <v>55</v>
      </c>
      <c r="H5177" s="22" t="s">
        <v>55</v>
      </c>
      <c r="I5177" s="26">
        <v>43648.7449305556</v>
      </c>
      <c r="J5177" s="28" t="s">
        <v>52</v>
      </c>
      <c r="K5177" s="28" t="s">
        <v>52</v>
      </c>
      <c r="L5177" s="28" t="s">
        <v>52</v>
      </c>
      <c r="M5177" s="28" t="s">
        <v>52</v>
      </c>
      <c r="N5177" s="28" t="s">
        <v>52</v>
      </c>
    </row>
    <row r="5178" spans="1:14" x14ac:dyDescent="0.15">
      <c r="A5178" s="23" t="str">
        <f t="shared" si="229"/>
        <v>АО "ТОРГОВЫЙ ДОМ "ПЕРЕКРЕСТОК"</v>
      </c>
      <c r="B5178" s="24" t="s">
        <v>6999</v>
      </c>
      <c r="C5178" s="25">
        <v>0</v>
      </c>
      <c r="D5178" s="22" t="s">
        <v>7003</v>
      </c>
      <c r="E5178" s="22" t="s">
        <v>208</v>
      </c>
      <c r="F5178" s="23" t="str">
        <f>HYPERLINK("https://www.spark-marketing.ru/Card/Lot/71851808", "Камера видеонаблюдения HikVision DS-2CD2125FWD-IS")</f>
        <v>Камера видеонаблюдения HikVision DS-2CD2125FWD-IS</v>
      </c>
      <c r="G5178" s="22" t="s">
        <v>55</v>
      </c>
      <c r="H5178" s="22" t="s">
        <v>55</v>
      </c>
      <c r="I5178" s="26">
        <v>43648.744791666701</v>
      </c>
      <c r="J5178" s="28" t="s">
        <v>52</v>
      </c>
      <c r="K5178" s="28" t="s">
        <v>52</v>
      </c>
      <c r="L5178" s="28" t="s">
        <v>52</v>
      </c>
      <c r="M5178" s="28" t="s">
        <v>52</v>
      </c>
      <c r="N5178" s="28" t="s">
        <v>52</v>
      </c>
    </row>
    <row r="5179" spans="1:14" x14ac:dyDescent="0.15">
      <c r="A5179" s="23" t="str">
        <f t="shared" si="229"/>
        <v>АО "ТОРГОВЫЙ ДОМ "ПЕРЕКРЕСТОК"</v>
      </c>
      <c r="B5179" s="24" t="s">
        <v>6999</v>
      </c>
      <c r="C5179" s="25">
        <v>0</v>
      </c>
      <c r="D5179" s="22" t="s">
        <v>7000</v>
      </c>
      <c r="E5179" s="22" t="s">
        <v>208</v>
      </c>
      <c r="F5179" s="23" t="str">
        <f>HYPERLINK("https://www.spark-marketing.ru/Card/Lot/71850275", "AC-TA361IR2 Бюджетная компактная купольная 1МП TVI видеокамера. Разрешение 720P, матрица 1/4"" CMOS, Цвет: 0.1 Лк (F1.8) / ЧБ: 0 Лк (ИК вкл.), объектив 3.6мм, режим «День/Ночь», механический ИК-фильтр, питание 12В DC, потребляемый ток 500мА, -10…+5°С...")</f>
        <v>AC-TA361IR2 Бюджетная компактная купольная 1МП TVI видеокамера. Разрешение 720P, матрица 1/4" CMOS, Цвет: 0.1 Лк (F1.8) / ЧБ: 0 Лк (ИК вкл.), объектив 3.6мм, режим «День/Ночь», механический ИК-фильтр, питание 12В DC, потребляемый ток 500мА, -10…+5°С...</v>
      </c>
      <c r="G5179" s="22" t="s">
        <v>55</v>
      </c>
      <c r="H5179" s="22" t="s">
        <v>55</v>
      </c>
      <c r="I5179" s="26">
        <v>43648.7443055556</v>
      </c>
      <c r="J5179" s="28" t="s">
        <v>52</v>
      </c>
      <c r="K5179" s="28" t="s">
        <v>52</v>
      </c>
      <c r="L5179" s="28" t="s">
        <v>52</v>
      </c>
      <c r="M5179" s="28" t="s">
        <v>52</v>
      </c>
      <c r="N5179" s="28" t="s">
        <v>52</v>
      </c>
    </row>
    <row r="5180" spans="1:14" x14ac:dyDescent="0.15">
      <c r="A5180" s="23" t="str">
        <f t="shared" si="229"/>
        <v>АО "ТОРГОВЫЙ ДОМ "ПЕРЕКРЕСТОК"</v>
      </c>
      <c r="B5180" s="24" t="s">
        <v>6999</v>
      </c>
      <c r="C5180" s="25">
        <v>0</v>
      </c>
      <c r="D5180" s="22" t="s">
        <v>7000</v>
      </c>
      <c r="E5180" s="22" t="s">
        <v>208</v>
      </c>
      <c r="F5180" s="23" t="str">
        <f>HYPERLINK("https://www.spark-marketing.ru/Card/Lot/71850226", "Опустошение полок (на одну видеокамеру камеру)")</f>
        <v>Опустошение полок (на одну видеокамеру камеру)</v>
      </c>
      <c r="G5180" s="22" t="s">
        <v>55</v>
      </c>
      <c r="H5180" s="22" t="s">
        <v>55</v>
      </c>
      <c r="I5180" s="26">
        <v>43648.7443055556</v>
      </c>
      <c r="J5180" s="28" t="s">
        <v>52</v>
      </c>
      <c r="K5180" s="28" t="s">
        <v>52</v>
      </c>
      <c r="L5180" s="28" t="s">
        <v>52</v>
      </c>
      <c r="M5180" s="28" t="s">
        <v>52</v>
      </c>
      <c r="N5180" s="28" t="s">
        <v>52</v>
      </c>
    </row>
    <row r="5181" spans="1:14" x14ac:dyDescent="0.15">
      <c r="A5181" s="23" t="str">
        <f t="shared" si="229"/>
        <v>АО "ТОРГОВЫЙ ДОМ "ПЕРЕКРЕСТОК"</v>
      </c>
      <c r="B5181" s="24" t="s">
        <v>6999</v>
      </c>
      <c r="C5181" s="25">
        <v>0</v>
      </c>
      <c r="D5181" s="22" t="s">
        <v>7008</v>
      </c>
      <c r="E5181" s="22" t="s">
        <v>208</v>
      </c>
      <c r="F5181" s="23" t="str">
        <f>HYPERLINK("https://www.spark-marketing.ru/Card/Lot/71854539", "Камера видеонаблюдения HikVision DS-2CD2043G0-I (4mm) булет")</f>
        <v>Камера видеонаблюдения HikVision DS-2CD2043G0-I (4mm) булет</v>
      </c>
      <c r="G5181" s="22" t="s">
        <v>55</v>
      </c>
      <c r="H5181" s="22" t="s">
        <v>55</v>
      </c>
      <c r="I5181" s="26">
        <v>43648.745509259301</v>
      </c>
      <c r="J5181" s="28" t="s">
        <v>52</v>
      </c>
      <c r="K5181" s="28" t="s">
        <v>52</v>
      </c>
      <c r="L5181" s="28" t="s">
        <v>52</v>
      </c>
      <c r="M5181" s="28" t="s">
        <v>52</v>
      </c>
      <c r="N5181" s="28" t="s">
        <v>52</v>
      </c>
    </row>
    <row r="5182" spans="1:14" x14ac:dyDescent="0.15">
      <c r="A5182" s="23" t="str">
        <f t="shared" si="229"/>
        <v>АО "ТОРГОВЫЙ ДОМ "ПЕРЕКРЕСТОК"</v>
      </c>
      <c r="B5182" s="24" t="s">
        <v>6999</v>
      </c>
      <c r="C5182" s="25">
        <v>0</v>
      </c>
      <c r="D5182" s="22" t="s">
        <v>7005</v>
      </c>
      <c r="E5182" s="22" t="s">
        <v>208</v>
      </c>
      <c r="F5182" s="23" t="str">
        <f>HYPERLINK("https://www.spark-marketing.ru/Card/Lot/71854365", "LTV-BMW-147 (GL-213), кронштейн для корпусных видеокамер, белый, пластиковый, длина 147 мм")</f>
        <v>LTV-BMW-147 (GL-213), кронштейн для корпусных видеокамер, белый, пластиковый, длина 147 мм</v>
      </c>
      <c r="G5182" s="22" t="s">
        <v>55</v>
      </c>
      <c r="H5182" s="22" t="s">
        <v>55</v>
      </c>
      <c r="I5182" s="26">
        <v>43648.745069444398</v>
      </c>
      <c r="J5182" s="28" t="s">
        <v>52</v>
      </c>
      <c r="K5182" s="28" t="s">
        <v>52</v>
      </c>
      <c r="L5182" s="28" t="s">
        <v>52</v>
      </c>
      <c r="M5182" s="28" t="s">
        <v>52</v>
      </c>
      <c r="N5182" s="28" t="s">
        <v>52</v>
      </c>
    </row>
    <row r="5183" spans="1:14" x14ac:dyDescent="0.15">
      <c r="A5183" s="23" t="str">
        <f t="shared" si="229"/>
        <v>АО "ТОРГОВЫЙ ДОМ "ПЕРЕКРЕСТОК"</v>
      </c>
      <c r="B5183" s="24" t="s">
        <v>6999</v>
      </c>
      <c r="C5183" s="25">
        <v>0</v>
      </c>
      <c r="D5183" s="22" t="s">
        <v>7001</v>
      </c>
      <c r="E5183" s="22" t="s">
        <v>208</v>
      </c>
      <c r="F5183" s="23" t="str">
        <f>HYPERLINK("https://www.spark-marketing.ru/Card/Lot/71852222", "Камера видеонаблюдения HikVision DS-2DE4225W-DE PTZ")</f>
        <v>Камера видеонаблюдения HikVision DS-2DE4225W-DE PTZ</v>
      </c>
      <c r="G5183" s="22" t="s">
        <v>55</v>
      </c>
      <c r="H5183" s="22" t="s">
        <v>55</v>
      </c>
      <c r="I5183" s="26">
        <v>43648.7449305556</v>
      </c>
      <c r="J5183" s="28" t="s">
        <v>52</v>
      </c>
      <c r="K5183" s="28" t="s">
        <v>52</v>
      </c>
      <c r="L5183" s="28" t="s">
        <v>52</v>
      </c>
      <c r="M5183" s="28" t="s">
        <v>52</v>
      </c>
      <c r="N5183" s="28" t="s">
        <v>52</v>
      </c>
    </row>
    <row r="5184" spans="1:14" x14ac:dyDescent="0.15">
      <c r="A5184" s="23" t="str">
        <f t="shared" si="229"/>
        <v>АО "ТОРГОВЫЙ ДОМ "ПЕРЕКРЕСТОК"</v>
      </c>
      <c r="B5184" s="24" t="s">
        <v>6999</v>
      </c>
      <c r="C5184" s="25">
        <v>0</v>
      </c>
      <c r="D5184" s="22" t="s">
        <v>7002</v>
      </c>
      <c r="E5184" s="22" t="s">
        <v>208</v>
      </c>
      <c r="F5184" s="23" t="str">
        <f>HYPERLINK("https://www.spark-marketing.ru/Card/Lot/71851237", "Камера видеонаблюдения HikVision DS-2CD2623G0-IZS (2.8-12mm) motor-zoom")</f>
        <v>Камера видеонаблюдения HikVision DS-2CD2623G0-IZS (2.8-12mm) motor-zoom</v>
      </c>
      <c r="G5184" s="22" t="s">
        <v>55</v>
      </c>
      <c r="H5184" s="22" t="s">
        <v>55</v>
      </c>
      <c r="I5184" s="26">
        <v>43648.744641203702</v>
      </c>
      <c r="J5184" s="28" t="s">
        <v>52</v>
      </c>
      <c r="K5184" s="28" t="s">
        <v>52</v>
      </c>
      <c r="L5184" s="28" t="s">
        <v>52</v>
      </c>
      <c r="M5184" s="28" t="s">
        <v>52</v>
      </c>
      <c r="N5184" s="28" t="s">
        <v>52</v>
      </c>
    </row>
    <row r="5185" spans="1:14" x14ac:dyDescent="0.15">
      <c r="A5185" s="23" t="str">
        <f t="shared" si="229"/>
        <v>АО "ТОРГОВЫЙ ДОМ "ПЕРЕКРЕСТОК"</v>
      </c>
      <c r="B5185" s="24" t="s">
        <v>6999</v>
      </c>
      <c r="C5185" s="25">
        <v>0</v>
      </c>
      <c r="D5185" s="22" t="s">
        <v>7000</v>
      </c>
      <c r="E5185" s="22" t="s">
        <v>208</v>
      </c>
      <c r="F5185" s="23" t="str">
        <f>HYPERLINK("https://www.spark-marketing.ru/Card/Lot/71850243", "LTV RTB-081 00, 8-канальный TVI/AHD видеорегистратор, 720P: 200 к/c, Ethernet, VGA/HDMI, 1 канал Audio, 1 HDD до 6Тб")</f>
        <v>LTV RTB-081 00, 8-канальный TVI/AHD видеорегистратор, 720P: 200 к/c, Ethernet, VGA/HDMI, 1 канал Audio, 1 HDD до 6Тб</v>
      </c>
      <c r="G5185" s="22" t="s">
        <v>55</v>
      </c>
      <c r="H5185" s="22" t="s">
        <v>55</v>
      </c>
      <c r="I5185" s="26">
        <v>43648.7443055556</v>
      </c>
      <c r="J5185" s="28" t="s">
        <v>52</v>
      </c>
      <c r="K5185" s="28" t="s">
        <v>52</v>
      </c>
      <c r="L5185" s="28" t="s">
        <v>52</v>
      </c>
      <c r="M5185" s="28" t="s">
        <v>52</v>
      </c>
      <c r="N5185" s="28" t="s">
        <v>52</v>
      </c>
    </row>
    <row r="5186" spans="1:14" x14ac:dyDescent="0.15">
      <c r="A5186" s="23" t="str">
        <f t="shared" si="229"/>
        <v>АО "ТОРГОВЫЙ ДОМ "ПЕРЕКРЕСТОК"</v>
      </c>
      <c r="B5186" s="24" t="s">
        <v>6999</v>
      </c>
      <c r="C5186" s="25">
        <v>0</v>
      </c>
      <c r="D5186" s="22" t="s">
        <v>7006</v>
      </c>
      <c r="E5186" s="22" t="s">
        <v>208</v>
      </c>
      <c r="F5186" s="23" t="str">
        <f>HYPERLINK("https://www.spark-marketing.ru/Card/Lot/71850662", "Камера видеонаблюдения HikVision DS-2DE4225W-DE3 PTZ")</f>
        <v>Камера видеонаблюдения HikVision DS-2DE4225W-DE3 PTZ</v>
      </c>
      <c r="G5186" s="22" t="s">
        <v>55</v>
      </c>
      <c r="H5186" s="22" t="s">
        <v>55</v>
      </c>
      <c r="I5186" s="26">
        <v>43648.744490740697</v>
      </c>
      <c r="J5186" s="28" t="s">
        <v>52</v>
      </c>
      <c r="K5186" s="28" t="s">
        <v>52</v>
      </c>
      <c r="L5186" s="28" t="s">
        <v>52</v>
      </c>
      <c r="M5186" s="28" t="s">
        <v>52</v>
      </c>
      <c r="N5186" s="28" t="s">
        <v>52</v>
      </c>
    </row>
    <row r="5187" spans="1:14" x14ac:dyDescent="0.15">
      <c r="A5187" s="23" t="str">
        <f>HYPERLINK("https://www.spark-marketing.ru/Card/Person/4365569", "ФГУП ""РОСМОРПОРТ""")</f>
        <v>ФГУП "РОСМОРПОРТ"</v>
      </c>
      <c r="B5187" s="24" t="s">
        <v>273</v>
      </c>
      <c r="C5187" s="25">
        <v>3000000</v>
      </c>
      <c r="D5187" s="22" t="s">
        <v>7015</v>
      </c>
      <c r="E5187" s="22" t="s">
        <v>370</v>
      </c>
      <c r="F5187" s="23" t="str">
        <f>HYPERLINK("https://www.spark-marketing.ru/Card/Lot/71848264", "Оказание услуг по техническому обслуживанию аварийно-восстановительным работам систеи по заявкам (АЧБФ-Н-208-19)")</f>
        <v>Оказание услуг по техническому обслуживанию аварийно-восстановительным работам систеи по заявкам (АЧБФ-Н-208-19)</v>
      </c>
      <c r="G5187" s="22" t="s">
        <v>132</v>
      </c>
      <c r="H5187" s="22" t="s">
        <v>132</v>
      </c>
      <c r="I5187" s="26">
        <v>43648.747187499997</v>
      </c>
      <c r="J5187" s="28" t="s">
        <v>52</v>
      </c>
      <c r="K5187" s="28" t="s">
        <v>52</v>
      </c>
      <c r="L5187" s="28" t="s">
        <v>52</v>
      </c>
      <c r="M5187" s="28" t="s">
        <v>52</v>
      </c>
      <c r="N5187" s="28" t="s">
        <v>52</v>
      </c>
    </row>
    <row r="5188" spans="1:14" x14ac:dyDescent="0.15">
      <c r="A5188" s="23" t="str">
        <f t="shared" ref="A5188:A5251" si="230">HYPERLINK("https://www.spark-marketing.ru/Card/Person/1887298", "АО ""ТОРГОВЫЙ ДОМ ""ПЕРЕКРЕСТОК""")</f>
        <v>АО "ТОРГОВЫЙ ДОМ "ПЕРЕКРЕСТОК"</v>
      </c>
      <c r="B5188" s="24" t="s">
        <v>6999</v>
      </c>
      <c r="C5188" s="25">
        <v>0</v>
      </c>
      <c r="D5188" s="22" t="s">
        <v>7008</v>
      </c>
      <c r="E5188" s="22" t="s">
        <v>208</v>
      </c>
      <c r="F5188" s="23" t="str">
        <f>HYPERLINK("https://www.spark-marketing.ru/Card/Lot/71854820", "AC-TA363IR2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f>
        <v>AC-TA363IR2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v>
      </c>
      <c r="G5188" s="22" t="s">
        <v>55</v>
      </c>
      <c r="H5188" s="22" t="s">
        <v>55</v>
      </c>
      <c r="I5188" s="26">
        <v>43648.745509259301</v>
      </c>
      <c r="J5188" s="28" t="s">
        <v>52</v>
      </c>
      <c r="K5188" s="28" t="s">
        <v>52</v>
      </c>
      <c r="L5188" s="28" t="s">
        <v>52</v>
      </c>
      <c r="M5188" s="28" t="s">
        <v>52</v>
      </c>
      <c r="N5188" s="28" t="s">
        <v>52</v>
      </c>
    </row>
    <row r="5189" spans="1:14" x14ac:dyDescent="0.15">
      <c r="A5189" s="23" t="str">
        <f t="shared" si="230"/>
        <v>АО "ТОРГОВЫЙ ДОМ "ПЕРЕКРЕСТОК"</v>
      </c>
      <c r="B5189" s="24" t="s">
        <v>6999</v>
      </c>
      <c r="C5189" s="25">
        <v>0</v>
      </c>
      <c r="D5189" s="22" t="s">
        <v>7002</v>
      </c>
      <c r="E5189" s="22" t="s">
        <v>208</v>
      </c>
      <c r="F5189" s="23" t="str">
        <f>HYPERLINK("https://www.spark-marketing.ru/Card/Lot/71851231", "Камера видеонаблюдения HikVision DS-2CD2125FWD-IS")</f>
        <v>Камера видеонаблюдения HikVision DS-2CD2125FWD-IS</v>
      </c>
      <c r="G5189" s="22" t="s">
        <v>55</v>
      </c>
      <c r="H5189" s="22" t="s">
        <v>55</v>
      </c>
      <c r="I5189" s="26">
        <v>43648.744641203702</v>
      </c>
      <c r="J5189" s="28" t="s">
        <v>52</v>
      </c>
      <c r="K5189" s="28" t="s">
        <v>52</v>
      </c>
      <c r="L5189" s="28" t="s">
        <v>52</v>
      </c>
      <c r="M5189" s="28" t="s">
        <v>52</v>
      </c>
      <c r="N5189" s="28" t="s">
        <v>52</v>
      </c>
    </row>
    <row r="5190" spans="1:14" x14ac:dyDescent="0.15">
      <c r="A5190" s="23" t="str">
        <f t="shared" si="230"/>
        <v>АО "ТОРГОВЫЙ ДОМ "ПЕРЕКРЕСТОК"</v>
      </c>
      <c r="B5190" s="24" t="s">
        <v>6999</v>
      </c>
      <c r="C5190" s="25">
        <v>0</v>
      </c>
      <c r="D5190" s="22" t="s">
        <v>7003</v>
      </c>
      <c r="E5190" s="22" t="s">
        <v>208</v>
      </c>
      <c r="F5190" s="23" t="str">
        <f>HYPERLINK("https://www.spark-marketing.ru/Card/Lot/71851815", "Камера видеонаблюдения HikVision DS-2CD2543G0-IWS (2.8mm) купол")</f>
        <v>Камера видеонаблюдения HikVision DS-2CD2543G0-IWS (2.8mm) купол</v>
      </c>
      <c r="G5190" s="22" t="s">
        <v>55</v>
      </c>
      <c r="H5190" s="22" t="s">
        <v>55</v>
      </c>
      <c r="I5190" s="26">
        <v>43648.744791666701</v>
      </c>
      <c r="J5190" s="28" t="s">
        <v>52</v>
      </c>
      <c r="K5190" s="28" t="s">
        <v>52</v>
      </c>
      <c r="L5190" s="28" t="s">
        <v>52</v>
      </c>
      <c r="M5190" s="28" t="s">
        <v>52</v>
      </c>
      <c r="N5190" s="28" t="s">
        <v>52</v>
      </c>
    </row>
    <row r="5191" spans="1:14" x14ac:dyDescent="0.15">
      <c r="A5191" s="23" t="str">
        <f t="shared" si="230"/>
        <v>АО "ТОРГОВЫЙ ДОМ "ПЕРЕКРЕСТОК"</v>
      </c>
      <c r="B5191" s="24" t="s">
        <v>6999</v>
      </c>
      <c r="C5191" s="25">
        <v>0</v>
      </c>
      <c r="D5191" s="22" t="s">
        <v>7006</v>
      </c>
      <c r="E5191" s="22" t="s">
        <v>208</v>
      </c>
      <c r="F5191" s="23" t="str">
        <f>HYPERLINK("https://www.spark-marketing.ru/Card/Lot/71850556", "LTV CXM-220 64 Видеокамера TVI/AHD/CVI, PTZ уличная, 1080p, WDR, 3D DNR, BLC, EIS, объектив 4.8-153mm х30, ИК до 150м, IP66, -40°С+65°C, 24В (AC)")</f>
        <v>LTV CXM-220 64 Видеокамера TVI/AHD/CVI, PTZ уличная, 1080p, WDR, 3D DNR, BLC, EIS, объектив 4.8-153mm х30, ИК до 150м, IP66, -40°С+65°C, 24В (AC)</v>
      </c>
      <c r="G5191" s="22" t="s">
        <v>55</v>
      </c>
      <c r="H5191" s="22" t="s">
        <v>55</v>
      </c>
      <c r="I5191" s="26">
        <v>43648.744490740697</v>
      </c>
      <c r="J5191" s="28" t="s">
        <v>52</v>
      </c>
      <c r="K5191" s="28" t="s">
        <v>52</v>
      </c>
      <c r="L5191" s="28" t="s">
        <v>52</v>
      </c>
      <c r="M5191" s="28" t="s">
        <v>52</v>
      </c>
      <c r="N5191" s="28" t="s">
        <v>52</v>
      </c>
    </row>
    <row r="5192" spans="1:14" x14ac:dyDescent="0.15">
      <c r="A5192" s="23" t="str">
        <f t="shared" si="230"/>
        <v>АО "ТОРГОВЫЙ ДОМ "ПЕРЕКРЕСТОК"</v>
      </c>
      <c r="B5192" s="24" t="s">
        <v>6999</v>
      </c>
      <c r="C5192" s="25">
        <v>0</v>
      </c>
      <c r="D5192" s="22" t="s">
        <v>7002</v>
      </c>
      <c r="E5192" s="22" t="s">
        <v>208</v>
      </c>
      <c r="F5192" s="23" t="str">
        <f>HYPERLINK("https://www.spark-marketing.ru/Card/Lot/71851414", "LTV-KBD-02-HV (NEW) Пульт управления видеор.LTV серии LTV-DVR-xxxx-HV, возможно прямое управление PTZ камерами, RS-485, 12В (DC)")</f>
        <v>LTV-KBD-02-HV (NEW) Пульт управления видеор.LTV серии LTV-DVR-xxxx-HV, возможно прямое управление PTZ камерами, RS-485, 12В (DC)</v>
      </c>
      <c r="G5192" s="22" t="s">
        <v>55</v>
      </c>
      <c r="H5192" s="22" t="s">
        <v>55</v>
      </c>
      <c r="I5192" s="26">
        <v>43648.744641203702</v>
      </c>
      <c r="J5192" s="28" t="s">
        <v>52</v>
      </c>
      <c r="K5192" s="28" t="s">
        <v>52</v>
      </c>
      <c r="L5192" s="28" t="s">
        <v>52</v>
      </c>
      <c r="M5192" s="28" t="s">
        <v>52</v>
      </c>
      <c r="N5192" s="28" t="s">
        <v>52</v>
      </c>
    </row>
    <row r="5193" spans="1:14" x14ac:dyDescent="0.15">
      <c r="A5193" s="23" t="str">
        <f t="shared" si="230"/>
        <v>АО "ТОРГОВЫЙ ДОМ "ПЕРЕКРЕСТОК"</v>
      </c>
      <c r="B5193" s="24" t="s">
        <v>6999</v>
      </c>
      <c r="C5193" s="25">
        <v>0</v>
      </c>
      <c r="D5193" s="22" t="s">
        <v>7003</v>
      </c>
      <c r="E5193" s="22" t="s">
        <v>208</v>
      </c>
      <c r="F5193" s="23" t="str">
        <f>HYPERLINK("https://www.spark-marketing.ru/Card/Lot/71852308", "Монтаж, подключение, настройка видеокамеры")</f>
        <v>Монтаж, подключение, настройка видеокамеры</v>
      </c>
      <c r="G5193" s="22" t="s">
        <v>55</v>
      </c>
      <c r="H5193" s="22" t="s">
        <v>55</v>
      </c>
      <c r="I5193" s="26">
        <v>43648.744791666701</v>
      </c>
      <c r="J5193" s="28" t="s">
        <v>52</v>
      </c>
      <c r="K5193" s="28" t="s">
        <v>52</v>
      </c>
      <c r="L5193" s="28" t="s">
        <v>52</v>
      </c>
      <c r="M5193" s="28" t="s">
        <v>52</v>
      </c>
      <c r="N5193" s="28" t="s">
        <v>52</v>
      </c>
    </row>
    <row r="5194" spans="1:14" x14ac:dyDescent="0.15">
      <c r="A5194" s="23" t="str">
        <f t="shared" si="230"/>
        <v>АО "ТОРГОВЫЙ ДОМ "ПЕРЕКРЕСТОК"</v>
      </c>
      <c r="B5194" s="24" t="s">
        <v>6999</v>
      </c>
      <c r="C5194" s="25">
        <v>0</v>
      </c>
      <c r="D5194" s="22" t="s">
        <v>7003</v>
      </c>
      <c r="E5194" s="22" t="s">
        <v>208</v>
      </c>
      <c r="F5194" s="23" t="str">
        <f>HYPERLINK("https://www.spark-marketing.ru/Card/Lot/71851772", "LTV RTM-162 00 16-канальный TVI/AHD/CVBS/IP видеорегистратор, 720p: 400 к/c, 1080p: 200 к/c, вых. BNC/VGA/HDMI")</f>
        <v>LTV RTM-162 00 16-канальный TVI/AHD/CVBS/IP видеорегистратор, 720p: 400 к/c, 1080p: 200 к/c, вых. BNC/VGA/HDMI</v>
      </c>
      <c r="G5194" s="22" t="s">
        <v>55</v>
      </c>
      <c r="H5194" s="22" t="s">
        <v>55</v>
      </c>
      <c r="I5194" s="26">
        <v>43648.744791666701</v>
      </c>
      <c r="J5194" s="28" t="s">
        <v>52</v>
      </c>
      <c r="K5194" s="28" t="s">
        <v>52</v>
      </c>
      <c r="L5194" s="28" t="s">
        <v>52</v>
      </c>
      <c r="M5194" s="28" t="s">
        <v>52</v>
      </c>
      <c r="N5194" s="28" t="s">
        <v>52</v>
      </c>
    </row>
    <row r="5195" spans="1:14" x14ac:dyDescent="0.15">
      <c r="A5195" s="23" t="str">
        <f t="shared" si="230"/>
        <v>АО "ТОРГОВЫЙ ДОМ "ПЕРЕКРЕСТОК"</v>
      </c>
      <c r="B5195" s="24" t="s">
        <v>6999</v>
      </c>
      <c r="C5195" s="25">
        <v>0</v>
      </c>
      <c r="D5195" s="22" t="s">
        <v>7007</v>
      </c>
      <c r="E5195" s="22" t="s">
        <v>208</v>
      </c>
      <c r="F5195" s="23" t="str">
        <f>HYPERLINK("https://www.spark-marketing.ru/Card/Lot/71853436", "D-link USB 3.0 (DUB-1312/A1A) Дополнительная USB 3.0 сетевая карта для видеорегистраторов: TRASSIR MiniClient, TRASSIR MiniNVR, TRASSIR MiniNVR RE, TRASSIR DuoStation, TRASSIR DuoStation RE, TRASSIR QuattroStation, TRASSIR QuattroStation Pro")</f>
        <v>D-link USB 3.0 (DUB-1312/A1A) Дополнительная USB 3.0 сетевая карта для видеорегистраторов: TRASSIR MiniClient, TRASSIR MiniNVR, TRASSIR MiniNVR RE, TRASSIR DuoStation, TRASSIR DuoStation RE, TRASSIR QuattroStation, TRASSIR QuattroStation Pro</v>
      </c>
      <c r="G5195" s="22" t="s">
        <v>55</v>
      </c>
      <c r="H5195" s="22" t="s">
        <v>55</v>
      </c>
      <c r="I5195" s="26">
        <v>43648.745219907403</v>
      </c>
      <c r="J5195" s="28" t="s">
        <v>52</v>
      </c>
      <c r="K5195" s="28" t="s">
        <v>52</v>
      </c>
      <c r="L5195" s="28" t="s">
        <v>52</v>
      </c>
      <c r="M5195" s="28" t="s">
        <v>52</v>
      </c>
      <c r="N5195" s="28" t="s">
        <v>52</v>
      </c>
    </row>
    <row r="5196" spans="1:14" x14ac:dyDescent="0.15">
      <c r="A5196" s="23" t="str">
        <f t="shared" si="230"/>
        <v>АО "ТОРГОВЫЙ ДОМ "ПЕРЕКРЕСТОК"</v>
      </c>
      <c r="B5196" s="24" t="s">
        <v>6999</v>
      </c>
      <c r="C5196" s="25">
        <v>0</v>
      </c>
      <c r="D5196" s="22" t="s">
        <v>7005</v>
      </c>
      <c r="E5196" s="22" t="s">
        <v>208</v>
      </c>
      <c r="F5196" s="23" t="str">
        <f>HYPERLINK("https://www.spark-marketing.ru/Card/Lot/71854243", "LTV RTB-081 00, 8-канальный TVI/AHD видеорегистратор, 720P: 200 к/c, Ethernet, VGA/HDMI, 1 канал Audio, 1 HDD до 6Тб")</f>
        <v>LTV RTB-081 00, 8-канальный TVI/AHD видеорегистратор, 720P: 200 к/c, Ethernet, VGA/HDMI, 1 канал Audio, 1 HDD до 6Тб</v>
      </c>
      <c r="G5196" s="22" t="s">
        <v>55</v>
      </c>
      <c r="H5196" s="22" t="s">
        <v>55</v>
      </c>
      <c r="I5196" s="26">
        <v>43648.745069444398</v>
      </c>
      <c r="J5196" s="28" t="s">
        <v>52</v>
      </c>
      <c r="K5196" s="28" t="s">
        <v>52</v>
      </c>
      <c r="L5196" s="28" t="s">
        <v>52</v>
      </c>
      <c r="M5196" s="28" t="s">
        <v>52</v>
      </c>
      <c r="N5196" s="28" t="s">
        <v>52</v>
      </c>
    </row>
    <row r="5197" spans="1:14" x14ac:dyDescent="0.15">
      <c r="A5197" s="23" t="str">
        <f t="shared" si="230"/>
        <v>АО "ТОРГОВЫЙ ДОМ "ПЕРЕКРЕСТОК"</v>
      </c>
      <c r="B5197" s="24" t="s">
        <v>6999</v>
      </c>
      <c r="C5197" s="25">
        <v>0</v>
      </c>
      <c r="D5197" s="22" t="s">
        <v>7005</v>
      </c>
      <c r="E5197" s="22" t="s">
        <v>208</v>
      </c>
      <c r="F5197" s="23" t="str">
        <f>HYPERLINK("https://www.spark-marketing.ru/Card/Lot/71854245", "LTV CTM-220 64, Видеокамера TVI, PTZ уличная, 1080p, DWDR, 3D DNR, BLC, EIS , объектив 4-120mm х30, ИК до 120м, IP66, -30°С+65°C, 24В (AC)")</f>
        <v>LTV CTM-220 64, Видеокамера TVI, PTZ уличная, 1080p, DWDR, 3D DNR, BLC, EIS , объектив 4-120mm х30, ИК до 120м, IP66, -30°С+65°C, 24В (AC)</v>
      </c>
      <c r="G5197" s="22" t="s">
        <v>55</v>
      </c>
      <c r="H5197" s="22" t="s">
        <v>55</v>
      </c>
      <c r="I5197" s="26">
        <v>43648.745069444398</v>
      </c>
      <c r="J5197" s="28" t="s">
        <v>52</v>
      </c>
      <c r="K5197" s="28" t="s">
        <v>52</v>
      </c>
      <c r="L5197" s="28" t="s">
        <v>52</v>
      </c>
      <c r="M5197" s="28" t="s">
        <v>52</v>
      </c>
      <c r="N5197" s="28" t="s">
        <v>52</v>
      </c>
    </row>
    <row r="5198" spans="1:14" x14ac:dyDescent="0.15">
      <c r="A5198" s="23" t="str">
        <f t="shared" si="230"/>
        <v>АО "ТОРГОВЫЙ ДОМ "ПЕРЕКРЕСТОК"</v>
      </c>
      <c r="B5198" s="24" t="s">
        <v>6999</v>
      </c>
      <c r="C5198" s="25">
        <v>0</v>
      </c>
      <c r="D5198" s="22" t="s">
        <v>7002</v>
      </c>
      <c r="E5198" s="22" t="s">
        <v>208</v>
      </c>
      <c r="F5198" s="23" t="str">
        <f>HYPERLINK("https://www.spark-marketing.ru/Card/Lot/71851038", "TRASSIR NeiroStation 1V (Сервер видеоналитики, 1*GPU)")</f>
        <v>TRASSIR NeiroStation 1V (Сервер видеоналитики, 1*GPU)</v>
      </c>
      <c r="G5198" s="22" t="s">
        <v>55</v>
      </c>
      <c r="H5198" s="22" t="s">
        <v>55</v>
      </c>
      <c r="I5198" s="26">
        <v>43648.744641203702</v>
      </c>
      <c r="J5198" s="28" t="s">
        <v>52</v>
      </c>
      <c r="K5198" s="28" t="s">
        <v>52</v>
      </c>
      <c r="L5198" s="28" t="s">
        <v>52</v>
      </c>
      <c r="M5198" s="28" t="s">
        <v>52</v>
      </c>
      <c r="N5198" s="28" t="s">
        <v>52</v>
      </c>
    </row>
    <row r="5199" spans="1:14" x14ac:dyDescent="0.15">
      <c r="A5199" s="23" t="str">
        <f t="shared" si="230"/>
        <v>АО "ТОРГОВЫЙ ДОМ "ПЕРЕКРЕСТОК"</v>
      </c>
      <c r="B5199" s="24" t="s">
        <v>6999</v>
      </c>
      <c r="C5199" s="25">
        <v>0</v>
      </c>
      <c r="D5199" s="22" t="s">
        <v>7004</v>
      </c>
      <c r="E5199" s="22" t="s">
        <v>208</v>
      </c>
      <c r="F5199" s="23" t="str">
        <f>HYPERLINK("https://www.spark-marketing.ru/Card/Lot/71852645", "Камера видеонаблюдения HikVision DS-2CD2723G0-IZS (2.8-12mm) купол")</f>
        <v>Камера видеонаблюдения HikVision DS-2CD2723G0-IZS (2.8-12mm) купол</v>
      </c>
      <c r="G5199" s="22" t="s">
        <v>55</v>
      </c>
      <c r="H5199" s="22" t="s">
        <v>55</v>
      </c>
      <c r="I5199" s="26">
        <v>43648.745347222197</v>
      </c>
      <c r="J5199" s="28" t="s">
        <v>52</v>
      </c>
      <c r="K5199" s="28" t="s">
        <v>52</v>
      </c>
      <c r="L5199" s="28" t="s">
        <v>52</v>
      </c>
      <c r="M5199" s="28" t="s">
        <v>52</v>
      </c>
      <c r="N5199" s="28" t="s">
        <v>52</v>
      </c>
    </row>
    <row r="5200" spans="1:14" x14ac:dyDescent="0.15">
      <c r="A5200" s="23" t="str">
        <f t="shared" si="230"/>
        <v>АО "ТОРГОВЫЙ ДОМ "ПЕРЕКРЕСТОК"</v>
      </c>
      <c r="B5200" s="24" t="s">
        <v>6999</v>
      </c>
      <c r="C5200" s="25">
        <v>0</v>
      </c>
      <c r="D5200" s="22" t="s">
        <v>7005</v>
      </c>
      <c r="E5200" s="22" t="s">
        <v>208</v>
      </c>
      <c r="F5200" s="23" t="str">
        <f>HYPERLINK("https://www.spark-marketing.ru/Card/Lot/71853895", "Монтаж, подключение, настройка видеокамеры")</f>
        <v>Монтаж, подключение, настройка видеокамеры</v>
      </c>
      <c r="G5200" s="22" t="s">
        <v>55</v>
      </c>
      <c r="H5200" s="22" t="s">
        <v>55</v>
      </c>
      <c r="I5200" s="26">
        <v>43648.745069444398</v>
      </c>
      <c r="J5200" s="28" t="s">
        <v>52</v>
      </c>
      <c r="K5200" s="28" t="s">
        <v>52</v>
      </c>
      <c r="L5200" s="28" t="s">
        <v>52</v>
      </c>
      <c r="M5200" s="28" t="s">
        <v>52</v>
      </c>
      <c r="N5200" s="28" t="s">
        <v>52</v>
      </c>
    </row>
    <row r="5201" spans="1:14" x14ac:dyDescent="0.15">
      <c r="A5201" s="23" t="str">
        <f t="shared" si="230"/>
        <v>АО "ТОРГОВЫЙ ДОМ "ПЕРЕКРЕСТОК"</v>
      </c>
      <c r="B5201" s="24" t="s">
        <v>6999</v>
      </c>
      <c r="C5201" s="25">
        <v>0</v>
      </c>
      <c r="D5201" s="22" t="s">
        <v>7007</v>
      </c>
      <c r="E5201" s="22" t="s">
        <v>208</v>
      </c>
      <c r="F5201" s="23" t="str">
        <f>HYPERLINK("https://www.spark-marketing.ru/Card/Lot/71854150", "Камера видеонаблюдения HikVision DS-2DE4225W-DE3 PTZ")</f>
        <v>Камера видеонаблюдения HikVision DS-2DE4225W-DE3 PTZ</v>
      </c>
      <c r="G5201" s="22" t="s">
        <v>55</v>
      </c>
      <c r="H5201" s="22" t="s">
        <v>55</v>
      </c>
      <c r="I5201" s="26">
        <v>43648.745219907403</v>
      </c>
      <c r="J5201" s="28" t="s">
        <v>52</v>
      </c>
      <c r="K5201" s="28" t="s">
        <v>52</v>
      </c>
      <c r="L5201" s="28" t="s">
        <v>52</v>
      </c>
      <c r="M5201" s="28" t="s">
        <v>52</v>
      </c>
      <c r="N5201" s="28" t="s">
        <v>52</v>
      </c>
    </row>
    <row r="5202" spans="1:14" x14ac:dyDescent="0.15">
      <c r="A5202" s="23" t="str">
        <f t="shared" si="230"/>
        <v>АО "ТОРГОВЫЙ ДОМ "ПЕРЕКРЕСТОК"</v>
      </c>
      <c r="B5202" s="24" t="s">
        <v>6999</v>
      </c>
      <c r="C5202" s="25">
        <v>0</v>
      </c>
      <c r="D5202" s="22" t="s">
        <v>7001</v>
      </c>
      <c r="E5202" s="22" t="s">
        <v>208</v>
      </c>
      <c r="F5202" s="23" t="str">
        <f>HYPERLINK("https://www.spark-marketing.ru/Card/Lot/71852537", "Приемопередатчики видеосигнала по витой паре")</f>
        <v>Приемопередатчики видеосигнала по витой паре</v>
      </c>
      <c r="G5202" s="22" t="s">
        <v>55</v>
      </c>
      <c r="H5202" s="22" t="s">
        <v>55</v>
      </c>
      <c r="I5202" s="26">
        <v>43648.7449305556</v>
      </c>
      <c r="J5202" s="28" t="s">
        <v>52</v>
      </c>
      <c r="K5202" s="28" t="s">
        <v>52</v>
      </c>
      <c r="L5202" s="28" t="s">
        <v>52</v>
      </c>
      <c r="M5202" s="28" t="s">
        <v>52</v>
      </c>
      <c r="N5202" s="28" t="s">
        <v>52</v>
      </c>
    </row>
    <row r="5203" spans="1:14" x14ac:dyDescent="0.15">
      <c r="A5203" s="23" t="str">
        <f t="shared" si="230"/>
        <v>АО "ТОРГОВЫЙ ДОМ "ПЕРЕКРЕСТОК"</v>
      </c>
      <c r="B5203" s="24" t="s">
        <v>6999</v>
      </c>
      <c r="C5203" s="25">
        <v>0</v>
      </c>
      <c r="D5203" s="22" t="s">
        <v>7003</v>
      </c>
      <c r="E5203" s="22" t="s">
        <v>208</v>
      </c>
      <c r="F5203" s="23" t="str">
        <f>HYPERLINK("https://www.spark-marketing.ru/Card/Lot/71852055", "D-link USB 3.0 (DUB-1312/A1A) Дополнительная USB 3.0 сетевая карта для видеорегистраторов: TRASSIR MiniClient, TRASSIR MiniNVR, TRASSIR MiniNVR RE, TRASSIR DuoStation, TRASSIR DuoStation RE, TRASSIR QuattroStation, TRASSIR QuattroStation Pro")</f>
        <v>D-link USB 3.0 (DUB-1312/A1A) Дополнительная USB 3.0 сетевая карта для видеорегистраторов: TRASSIR MiniClient, TRASSIR MiniNVR, TRASSIR MiniNVR RE, TRASSIR DuoStation, TRASSIR DuoStation RE, TRASSIR QuattroStation, TRASSIR QuattroStation Pro</v>
      </c>
      <c r="G5203" s="22" t="s">
        <v>55</v>
      </c>
      <c r="H5203" s="22" t="s">
        <v>55</v>
      </c>
      <c r="I5203" s="26">
        <v>43648.744791666701</v>
      </c>
      <c r="J5203" s="28" t="s">
        <v>52</v>
      </c>
      <c r="K5203" s="28" t="s">
        <v>52</v>
      </c>
      <c r="L5203" s="28" t="s">
        <v>52</v>
      </c>
      <c r="M5203" s="28" t="s">
        <v>52</v>
      </c>
      <c r="N5203" s="28" t="s">
        <v>52</v>
      </c>
    </row>
    <row r="5204" spans="1:14" x14ac:dyDescent="0.15">
      <c r="A5204" s="23" t="str">
        <f t="shared" si="230"/>
        <v>АО "ТОРГОВЫЙ ДОМ "ПЕРЕКРЕСТОК"</v>
      </c>
      <c r="B5204" s="24" t="s">
        <v>6999</v>
      </c>
      <c r="C5204" s="25">
        <v>0</v>
      </c>
      <c r="D5204" s="22" t="s">
        <v>7008</v>
      </c>
      <c r="E5204" s="22" t="s">
        <v>208</v>
      </c>
      <c r="F5204" s="23" t="str">
        <f>HYPERLINK("https://www.spark-marketing.ru/Card/Lot/71854724", "ПО ВидеоМаркет (сервер)")</f>
        <v>ПО ВидеоМаркет (сервер)</v>
      </c>
      <c r="G5204" s="22" t="s">
        <v>55</v>
      </c>
      <c r="H5204" s="22" t="s">
        <v>55</v>
      </c>
      <c r="I5204" s="26">
        <v>43648.745509259301</v>
      </c>
      <c r="J5204" s="28" t="s">
        <v>52</v>
      </c>
      <c r="K5204" s="28" t="s">
        <v>52</v>
      </c>
      <c r="L5204" s="28" t="s">
        <v>52</v>
      </c>
      <c r="M5204" s="28" t="s">
        <v>52</v>
      </c>
      <c r="N5204" s="28" t="s">
        <v>52</v>
      </c>
    </row>
    <row r="5205" spans="1:14" x14ac:dyDescent="0.15">
      <c r="A5205" s="23" t="str">
        <f t="shared" si="230"/>
        <v>АО "ТОРГОВЫЙ ДОМ "ПЕРЕКРЕСТОК"</v>
      </c>
      <c r="B5205" s="24" t="s">
        <v>6999</v>
      </c>
      <c r="C5205" s="25">
        <v>0</v>
      </c>
      <c r="D5205" s="22" t="s">
        <v>7004</v>
      </c>
      <c r="E5205" s="22" t="s">
        <v>208</v>
      </c>
      <c r="F5205" s="23" t="str">
        <f>HYPERLINK("https://www.spark-marketing.ru/Card/Lot/71853240", "AC-TA281IR2 Уличная 2МП TVI видеокамера в компактном кожухе. Разрешение 1080P, матрица 1/2.8"" CMOS SONY, Цвет: 0.05 Лк (F1.8) / ЧБ: 0 Лк (ИК вкл.), объектив 3.6мм, режим «День/Ночь», механический ИК-фильтр, 3D-NR, DWDR, OSD, питание 12В DC, потребля...")</f>
        <v>AC-TA281IR2 Уличная 2МП TVI видеокамера в компактном кожухе. Разрешение 1080P, матрица 1/2.8" CMOS SONY, Цвет: 0.05 Лк (F1.8) / ЧБ: 0 Лк (ИК вкл.), объектив 3.6мм, режим «День/Ночь», механический ИК-фильтр, 3D-NR, DWDR, OSD, питание 12В DC, потребля...</v>
      </c>
      <c r="G5205" s="22" t="s">
        <v>55</v>
      </c>
      <c r="H5205" s="22" t="s">
        <v>55</v>
      </c>
      <c r="I5205" s="26">
        <v>43648.745347222197</v>
      </c>
      <c r="J5205" s="28" t="s">
        <v>52</v>
      </c>
      <c r="K5205" s="28" t="s">
        <v>52</v>
      </c>
      <c r="L5205" s="28" t="s">
        <v>52</v>
      </c>
      <c r="M5205" s="28" t="s">
        <v>52</v>
      </c>
      <c r="N5205" s="28" t="s">
        <v>52</v>
      </c>
    </row>
    <row r="5206" spans="1:14" x14ac:dyDescent="0.15">
      <c r="A5206" s="23" t="str">
        <f t="shared" si="230"/>
        <v>АО "ТОРГОВЫЙ ДОМ "ПЕРЕКРЕСТОК"</v>
      </c>
      <c r="B5206" s="24" t="s">
        <v>6999</v>
      </c>
      <c r="C5206" s="25">
        <v>0</v>
      </c>
      <c r="D5206" s="22" t="s">
        <v>7001</v>
      </c>
      <c r="E5206" s="22" t="s">
        <v>208</v>
      </c>
      <c r="F5206" s="23" t="str">
        <f>HYPERLINK("https://www.spark-marketing.ru/Card/Lot/71852457", "AC-TA363IR2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f>
        <v>AC-TA363IR2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v>
      </c>
      <c r="G5206" s="22" t="s">
        <v>55</v>
      </c>
      <c r="H5206" s="22" t="s">
        <v>55</v>
      </c>
      <c r="I5206" s="26">
        <v>43648.7449305556</v>
      </c>
      <c r="J5206" s="28" t="s">
        <v>52</v>
      </c>
      <c r="K5206" s="28" t="s">
        <v>52</v>
      </c>
      <c r="L5206" s="28" t="s">
        <v>52</v>
      </c>
      <c r="M5206" s="28" t="s">
        <v>52</v>
      </c>
      <c r="N5206" s="28" t="s">
        <v>52</v>
      </c>
    </row>
    <row r="5207" spans="1:14" x14ac:dyDescent="0.15">
      <c r="A5207" s="23" t="str">
        <f t="shared" si="230"/>
        <v>АО "ТОРГОВЫЙ ДОМ "ПЕРЕКРЕСТОК"</v>
      </c>
      <c r="B5207" s="24" t="s">
        <v>6999</v>
      </c>
      <c r="C5207" s="25">
        <v>0</v>
      </c>
      <c r="D5207" s="22" t="s">
        <v>7001</v>
      </c>
      <c r="E5207" s="22" t="s">
        <v>208</v>
      </c>
      <c r="F5207" s="23" t="str">
        <f>HYPERLINK("https://www.spark-marketing.ru/Card/Lot/71852401", "HASP ключ для системы Видеомаркет")</f>
        <v>HASP ключ для системы Видеомаркет</v>
      </c>
      <c r="G5207" s="22" t="s">
        <v>55</v>
      </c>
      <c r="H5207" s="22" t="s">
        <v>55</v>
      </c>
      <c r="I5207" s="26">
        <v>43648.7449305556</v>
      </c>
      <c r="J5207" s="28" t="s">
        <v>52</v>
      </c>
      <c r="K5207" s="28" t="s">
        <v>52</v>
      </c>
      <c r="L5207" s="28" t="s">
        <v>52</v>
      </c>
      <c r="M5207" s="28" t="s">
        <v>52</v>
      </c>
      <c r="N5207" s="28" t="s">
        <v>52</v>
      </c>
    </row>
    <row r="5208" spans="1:14" x14ac:dyDescent="0.15">
      <c r="A5208" s="23" t="str">
        <f t="shared" si="230"/>
        <v>АО "ТОРГОВЫЙ ДОМ "ПЕРЕКРЕСТОК"</v>
      </c>
      <c r="B5208" s="24" t="s">
        <v>6999</v>
      </c>
      <c r="C5208" s="25">
        <v>0</v>
      </c>
      <c r="D5208" s="22" t="s">
        <v>7000</v>
      </c>
      <c r="E5208" s="22" t="s">
        <v>208</v>
      </c>
      <c r="F5208" s="23" t="str">
        <f>HYPERLINK("https://www.spark-marketing.ru/Card/Lot/71850281", "AC-TA383IR2 Купольная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f>
        <v>AC-TA383IR2 Купольная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v>
      </c>
      <c r="G5208" s="22" t="s">
        <v>55</v>
      </c>
      <c r="H5208" s="22" t="s">
        <v>55</v>
      </c>
      <c r="I5208" s="26">
        <v>43648.7443055556</v>
      </c>
      <c r="J5208" s="28" t="s">
        <v>52</v>
      </c>
      <c r="K5208" s="28" t="s">
        <v>52</v>
      </c>
      <c r="L5208" s="28" t="s">
        <v>52</v>
      </c>
      <c r="M5208" s="28" t="s">
        <v>52</v>
      </c>
      <c r="N5208" s="28" t="s">
        <v>52</v>
      </c>
    </row>
    <row r="5209" spans="1:14" x14ac:dyDescent="0.15">
      <c r="A5209" s="23" t="str">
        <f t="shared" si="230"/>
        <v>АО "ТОРГОВЫЙ ДОМ "ПЕРЕКРЕСТОК"</v>
      </c>
      <c r="B5209" s="24" t="s">
        <v>6999</v>
      </c>
      <c r="C5209" s="25">
        <v>0</v>
      </c>
      <c r="D5209" s="22" t="s">
        <v>7000</v>
      </c>
      <c r="E5209" s="22" t="s">
        <v>208</v>
      </c>
      <c r="F5209" s="23" t="str">
        <f>HYPERLINK("https://www.spark-marketing.ru/Card/Lot/71850267", "LTV-KBD-02-HV (NEW) Пульт управления видеор.LTV серии LTV-DVR-xxxx-HV, возможно прямое управление PTZ камерами, RS-485, 12В (DC)")</f>
        <v>LTV-KBD-02-HV (NEW) Пульт управления видеор.LTV серии LTV-DVR-xxxx-HV, возможно прямое управление PTZ камерами, RS-485, 12В (DC)</v>
      </c>
      <c r="G5209" s="22" t="s">
        <v>55</v>
      </c>
      <c r="H5209" s="22" t="s">
        <v>55</v>
      </c>
      <c r="I5209" s="26">
        <v>43648.7443055556</v>
      </c>
      <c r="J5209" s="28" t="s">
        <v>52</v>
      </c>
      <c r="K5209" s="28" t="s">
        <v>52</v>
      </c>
      <c r="L5209" s="28" t="s">
        <v>52</v>
      </c>
      <c r="M5209" s="28" t="s">
        <v>52</v>
      </c>
      <c r="N5209" s="28" t="s">
        <v>52</v>
      </c>
    </row>
    <row r="5210" spans="1:14" x14ac:dyDescent="0.15">
      <c r="A5210" s="23" t="str">
        <f t="shared" si="230"/>
        <v>АО "ТОРГОВЫЙ ДОМ "ПЕРЕКРЕСТОК"</v>
      </c>
      <c r="B5210" s="24" t="s">
        <v>6999</v>
      </c>
      <c r="C5210" s="25">
        <v>0</v>
      </c>
      <c r="D5210" s="22" t="s">
        <v>7003</v>
      </c>
      <c r="E5210" s="22" t="s">
        <v>208</v>
      </c>
      <c r="F5210" s="23" t="str">
        <f>HYPERLINK("https://www.spark-marketing.ru/Card/Lot/71851729", "LTV-BMW-305-HV, кронштейн настенный для видеокамер LTV-SDNO36-HV, LTV-SDNO36L-HV, LTV-ISDNO20-EM2, вылет 305мм")</f>
        <v>LTV-BMW-305-HV, кронштейн настенный для видеокамер LTV-SDNO36-HV, LTV-SDNO36L-HV, LTV-ISDNO20-EM2, вылет 305мм</v>
      </c>
      <c r="G5210" s="22" t="s">
        <v>55</v>
      </c>
      <c r="H5210" s="22" t="s">
        <v>55</v>
      </c>
      <c r="I5210" s="26">
        <v>43648.744791666701</v>
      </c>
      <c r="J5210" s="28" t="s">
        <v>52</v>
      </c>
      <c r="K5210" s="28" t="s">
        <v>52</v>
      </c>
      <c r="L5210" s="28" t="s">
        <v>52</v>
      </c>
      <c r="M5210" s="28" t="s">
        <v>52</v>
      </c>
      <c r="N5210" s="28" t="s">
        <v>52</v>
      </c>
    </row>
    <row r="5211" spans="1:14" x14ac:dyDescent="0.15">
      <c r="A5211" s="23" t="str">
        <f t="shared" si="230"/>
        <v>АО "ТОРГОВЫЙ ДОМ "ПЕРЕКРЕСТОК"</v>
      </c>
      <c r="B5211" s="24" t="s">
        <v>6999</v>
      </c>
      <c r="C5211" s="25">
        <v>0</v>
      </c>
      <c r="D5211" s="22" t="s">
        <v>7004</v>
      </c>
      <c r="E5211" s="22" t="s">
        <v>208</v>
      </c>
      <c r="F5211" s="23" t="str">
        <f>HYPERLINK("https://www.spark-marketing.ru/Card/Lot/71852802", "Демонтаж Системы охранной сигнализации (включая кабельные трассы)")</f>
        <v>Демонтаж Системы охранной сигнализации (включая кабельные трассы)</v>
      </c>
      <c r="G5211" s="22" t="s">
        <v>55</v>
      </c>
      <c r="H5211" s="22" t="s">
        <v>55</v>
      </c>
      <c r="I5211" s="26">
        <v>43648.745347222197</v>
      </c>
      <c r="J5211" s="28" t="s">
        <v>52</v>
      </c>
      <c r="K5211" s="28" t="s">
        <v>52</v>
      </c>
      <c r="L5211" s="28" t="s">
        <v>52</v>
      </c>
      <c r="M5211" s="28" t="s">
        <v>52</v>
      </c>
      <c r="N5211" s="28" t="s">
        <v>52</v>
      </c>
    </row>
    <row r="5212" spans="1:14" x14ac:dyDescent="0.15">
      <c r="A5212" s="23" t="str">
        <f t="shared" si="230"/>
        <v>АО "ТОРГОВЫЙ ДОМ "ПЕРЕКРЕСТОК"</v>
      </c>
      <c r="B5212" s="24" t="s">
        <v>6999</v>
      </c>
      <c r="C5212" s="25">
        <v>0</v>
      </c>
      <c r="D5212" s="22" t="s">
        <v>7003</v>
      </c>
      <c r="E5212" s="22" t="s">
        <v>208</v>
      </c>
      <c r="F5212" s="23" t="str">
        <f>HYPERLINK("https://www.spark-marketing.ru/Card/Lot/71851735", "AC-TA261IR2 Бюджетная уличная 1МП TVI видеокамера в компактном кожухе. Разрешение 720P, матрица 1/4"" CMOS, Цвет: 0.1 Лк (F1.8) / ЧБ: 0 Лк (ИК вкл.), объектив 3.6мм, режим «День/Ночь», механический ИК-фильтр, питание 12В DC, потребляемый ток 500мА, -...")</f>
        <v>AC-TA261IR2 Бюджетная уличная 1МП TVI видеокамера в компактном кожухе. Разрешение 720P, матрица 1/4" CMOS, Цвет: 0.1 Лк (F1.8) / ЧБ: 0 Лк (ИК вкл.), объектив 3.6мм, режим «День/Ночь», механический ИК-фильтр, питание 12В DC, потребляемый ток 500мА, -...</v>
      </c>
      <c r="G5212" s="22" t="s">
        <v>55</v>
      </c>
      <c r="H5212" s="22" t="s">
        <v>55</v>
      </c>
      <c r="I5212" s="26">
        <v>43648.744791666701</v>
      </c>
      <c r="J5212" s="28" t="s">
        <v>52</v>
      </c>
      <c r="K5212" s="28" t="s">
        <v>52</v>
      </c>
      <c r="L5212" s="28" t="s">
        <v>52</v>
      </c>
      <c r="M5212" s="28" t="s">
        <v>52</v>
      </c>
      <c r="N5212" s="28" t="s">
        <v>52</v>
      </c>
    </row>
    <row r="5213" spans="1:14" x14ac:dyDescent="0.15">
      <c r="A5213" s="23" t="str">
        <f t="shared" si="230"/>
        <v>АО "ТОРГОВЫЙ ДОМ "ПЕРЕКРЕСТОК"</v>
      </c>
      <c r="B5213" s="24" t="s">
        <v>6999</v>
      </c>
      <c r="C5213" s="25">
        <v>0</v>
      </c>
      <c r="D5213" s="22" t="s">
        <v>7005</v>
      </c>
      <c r="E5213" s="22" t="s">
        <v>208</v>
      </c>
      <c r="F5213" s="23" t="str">
        <f>HYPERLINK("https://www.spark-marketing.ru/Card/Lot/71854240", "Сервер контроля кассовых операций Видеомаркет (Core i5/8192Mb/250Gb/Lan 1000/4xUSB 2.0/CardReader 4x1/Mb+Kb, ОС Win 7/10 pro, Видеокарта NVIDIA GeForce GT 730) комплект ""клавиатура-""мышь""")</f>
        <v>Сервер контроля кассовых операций Видеомаркет (Core i5/8192Mb/250Gb/Lan 1000/4xUSB 2.0/CardReader 4x1/Mb+Kb, ОС Win 7/10 pro, Видеокарта NVIDIA GeForce GT 730) комплект "клавиатура-"мышь"</v>
      </c>
      <c r="G5213" s="22" t="s">
        <v>55</v>
      </c>
      <c r="H5213" s="22" t="s">
        <v>55</v>
      </c>
      <c r="I5213" s="26">
        <v>43648.745069444398</v>
      </c>
      <c r="J5213" s="28" t="s">
        <v>52</v>
      </c>
      <c r="K5213" s="28" t="s">
        <v>52</v>
      </c>
      <c r="L5213" s="28" t="s">
        <v>52</v>
      </c>
      <c r="M5213" s="28" t="s">
        <v>52</v>
      </c>
      <c r="N5213" s="28" t="s">
        <v>52</v>
      </c>
    </row>
    <row r="5214" spans="1:14" x14ac:dyDescent="0.15">
      <c r="A5214" s="23" t="str">
        <f t="shared" si="230"/>
        <v>АО "ТОРГОВЫЙ ДОМ "ПЕРЕКРЕСТОК"</v>
      </c>
      <c r="B5214" s="24" t="s">
        <v>6999</v>
      </c>
      <c r="C5214" s="25">
        <v>0</v>
      </c>
      <c r="D5214" s="22" t="s">
        <v>7006</v>
      </c>
      <c r="E5214" s="22" t="s">
        <v>208</v>
      </c>
      <c r="F5214" s="23" t="str">
        <f>HYPERLINK("https://www.spark-marketing.ru/Card/Lot/71850588", "AC-TA383IR2 Купольная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f>
        <v>AC-TA383IR2 Купольная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v>
      </c>
      <c r="G5214" s="22" t="s">
        <v>55</v>
      </c>
      <c r="H5214" s="22" t="s">
        <v>55</v>
      </c>
      <c r="I5214" s="26">
        <v>43648.744490740697</v>
      </c>
      <c r="J5214" s="28" t="s">
        <v>52</v>
      </c>
      <c r="K5214" s="28" t="s">
        <v>52</v>
      </c>
      <c r="L5214" s="28" t="s">
        <v>52</v>
      </c>
      <c r="M5214" s="28" t="s">
        <v>52</v>
      </c>
      <c r="N5214" s="28" t="s">
        <v>52</v>
      </c>
    </row>
    <row r="5215" spans="1:14" x14ac:dyDescent="0.15">
      <c r="A5215" s="23" t="str">
        <f t="shared" si="230"/>
        <v>АО "ТОРГОВЫЙ ДОМ "ПЕРЕКРЕСТОК"</v>
      </c>
      <c r="B5215" s="24" t="s">
        <v>6999</v>
      </c>
      <c r="C5215" s="25">
        <v>0</v>
      </c>
      <c r="D5215" s="22" t="s">
        <v>7003</v>
      </c>
      <c r="E5215" s="22" t="s">
        <v>208</v>
      </c>
      <c r="F5215" s="23" t="str">
        <f>HYPERLINK("https://www.spark-marketing.ru/Card/Lot/71851775", "LTV CXM-220 64 Видеокамера TVI/AHD/CVI, PTZ уличная, 1080p, WDR, 3D DNR, BLC, EIS, объектив 4.8-153mm х30, ИК до 150м, IP66, -40°С+65°C, 24В (AC)")</f>
        <v>LTV CXM-220 64 Видеокамера TVI/AHD/CVI, PTZ уличная, 1080p, WDR, 3D DNR, BLC, EIS, объектив 4.8-153mm х30, ИК до 150м, IP66, -40°С+65°C, 24В (AC)</v>
      </c>
      <c r="G5215" s="22" t="s">
        <v>55</v>
      </c>
      <c r="H5215" s="22" t="s">
        <v>55</v>
      </c>
      <c r="I5215" s="26">
        <v>43648.744791666701</v>
      </c>
      <c r="J5215" s="28" t="s">
        <v>52</v>
      </c>
      <c r="K5215" s="28" t="s">
        <v>52</v>
      </c>
      <c r="L5215" s="28" t="s">
        <v>52</v>
      </c>
      <c r="M5215" s="28" t="s">
        <v>52</v>
      </c>
      <c r="N5215" s="28" t="s">
        <v>52</v>
      </c>
    </row>
    <row r="5216" spans="1:14" x14ac:dyDescent="0.15">
      <c r="A5216" s="23" t="str">
        <f t="shared" si="230"/>
        <v>АО "ТОРГОВЫЙ ДОМ "ПЕРЕКРЕСТОК"</v>
      </c>
      <c r="B5216" s="24" t="s">
        <v>6999</v>
      </c>
      <c r="C5216" s="25">
        <v>0</v>
      </c>
      <c r="D5216" s="22" t="s">
        <v>7000</v>
      </c>
      <c r="E5216" s="22" t="s">
        <v>208</v>
      </c>
      <c r="F5216" s="23" t="str">
        <f>HYPERLINK("https://www.spark-marketing.ru/Card/Lot/71850321", "Видеопанель вызывная монохромная, 400 ТВЛ, ИК подсвет.; 122х40х24mm. Activision.")</f>
        <v>Видеопанель вызывная монохромная, 400 ТВЛ, ИК подсвет.; 122х40х24mm. Activision.</v>
      </c>
      <c r="G5216" s="22" t="s">
        <v>55</v>
      </c>
      <c r="H5216" s="22" t="s">
        <v>55</v>
      </c>
      <c r="I5216" s="26">
        <v>43648.7443055556</v>
      </c>
      <c r="J5216" s="28" t="s">
        <v>52</v>
      </c>
      <c r="K5216" s="28" t="s">
        <v>52</v>
      </c>
      <c r="L5216" s="28" t="s">
        <v>52</v>
      </c>
      <c r="M5216" s="28" t="s">
        <v>52</v>
      </c>
      <c r="N5216" s="28" t="s">
        <v>52</v>
      </c>
    </row>
    <row r="5217" spans="1:14" x14ac:dyDescent="0.15">
      <c r="A5217" s="23" t="str">
        <f t="shared" si="230"/>
        <v>АО "ТОРГОВЫЙ ДОМ "ПЕРЕКРЕСТОК"</v>
      </c>
      <c r="B5217" s="24" t="s">
        <v>6999</v>
      </c>
      <c r="C5217" s="25">
        <v>0</v>
      </c>
      <c r="D5217" s="22" t="s">
        <v>7004</v>
      </c>
      <c r="E5217" s="22" t="s">
        <v>208</v>
      </c>
      <c r="F5217" s="23" t="str">
        <f>HYPERLINK("https://www.spark-marketing.ru/Card/Lot/71852648", "Камера видеонаблюдения HikVision DS-2CD2023G0-I (4mm) булет")</f>
        <v>Камера видеонаблюдения HikVision DS-2CD2023G0-I (4mm) булет</v>
      </c>
      <c r="G5217" s="22" t="s">
        <v>55</v>
      </c>
      <c r="H5217" s="22" t="s">
        <v>55</v>
      </c>
      <c r="I5217" s="26">
        <v>43648.745347222197</v>
      </c>
      <c r="J5217" s="28" t="s">
        <v>52</v>
      </c>
      <c r="K5217" s="28" t="s">
        <v>52</v>
      </c>
      <c r="L5217" s="28" t="s">
        <v>52</v>
      </c>
      <c r="M5217" s="28" t="s">
        <v>52</v>
      </c>
      <c r="N5217" s="28" t="s">
        <v>52</v>
      </c>
    </row>
    <row r="5218" spans="1:14" x14ac:dyDescent="0.15">
      <c r="A5218" s="23" t="str">
        <f t="shared" si="230"/>
        <v>АО "ТОРГОВЫЙ ДОМ "ПЕРЕКРЕСТОК"</v>
      </c>
      <c r="B5218" s="24" t="s">
        <v>6999</v>
      </c>
      <c r="C5218" s="25">
        <v>0</v>
      </c>
      <c r="D5218" s="22" t="s">
        <v>7004</v>
      </c>
      <c r="E5218" s="22" t="s">
        <v>208</v>
      </c>
      <c r="F5218" s="23" t="str">
        <f>HYPERLINK("https://www.spark-marketing.ru/Card/Lot/71852748", "Камера видеонаблюдения HikVision DS-2CD2155FWD-IS (2.8mm) купол")</f>
        <v>Камера видеонаблюдения HikVision DS-2CD2155FWD-IS (2.8mm) купол</v>
      </c>
      <c r="G5218" s="22" t="s">
        <v>55</v>
      </c>
      <c r="H5218" s="22" t="s">
        <v>55</v>
      </c>
      <c r="I5218" s="26">
        <v>43648.745347222197</v>
      </c>
      <c r="J5218" s="28" t="s">
        <v>52</v>
      </c>
      <c r="K5218" s="28" t="s">
        <v>52</v>
      </c>
      <c r="L5218" s="28" t="s">
        <v>52</v>
      </c>
      <c r="M5218" s="28" t="s">
        <v>52</v>
      </c>
      <c r="N5218" s="28" t="s">
        <v>52</v>
      </c>
    </row>
    <row r="5219" spans="1:14" x14ac:dyDescent="0.15">
      <c r="A5219" s="23" t="str">
        <f t="shared" si="230"/>
        <v>АО "ТОРГОВЫЙ ДОМ "ПЕРЕКРЕСТОК"</v>
      </c>
      <c r="B5219" s="24" t="s">
        <v>6999</v>
      </c>
      <c r="C5219" s="25">
        <v>0</v>
      </c>
      <c r="D5219" s="22" t="s">
        <v>7004</v>
      </c>
      <c r="E5219" s="22" t="s">
        <v>208</v>
      </c>
      <c r="F5219" s="23" t="str">
        <f>HYPERLINK("https://www.spark-marketing.ru/Card/Lot/71853012", "ПО ВидеоМаркет (сервер)")</f>
        <v>ПО ВидеоМаркет (сервер)</v>
      </c>
      <c r="G5219" s="22" t="s">
        <v>55</v>
      </c>
      <c r="H5219" s="22" t="s">
        <v>55</v>
      </c>
      <c r="I5219" s="26">
        <v>43648.745347222197</v>
      </c>
      <c r="J5219" s="28" t="s">
        <v>52</v>
      </c>
      <c r="K5219" s="28" t="s">
        <v>52</v>
      </c>
      <c r="L5219" s="28" t="s">
        <v>52</v>
      </c>
      <c r="M5219" s="28" t="s">
        <v>52</v>
      </c>
      <c r="N5219" s="28" t="s">
        <v>52</v>
      </c>
    </row>
    <row r="5220" spans="1:14" x14ac:dyDescent="0.15">
      <c r="A5220" s="23" t="str">
        <f t="shared" si="230"/>
        <v>АО "ТОРГОВЫЙ ДОМ "ПЕРЕКРЕСТОК"</v>
      </c>
      <c r="B5220" s="24" t="s">
        <v>6999</v>
      </c>
      <c r="C5220" s="25">
        <v>0</v>
      </c>
      <c r="D5220" s="22" t="s">
        <v>7000</v>
      </c>
      <c r="E5220" s="22" t="s">
        <v>208</v>
      </c>
      <c r="F5220" s="23" t="str">
        <f>HYPERLINK("https://www.spark-marketing.ru/Card/Lot/71850289", "DH-HAC-HDPW1200RP-0360B-S3A объектив 3.6 мм с апертурой F/1.85, угл обзора по горизонтали - 89.9? HD-CVI, HD-TVI, AHD: транслирует по коаксиальному кабелю видеосигнал на расстояние 1200 м при разрешении 1 Мп и 800 м - при 2 Мп; по неэкранированной ви...")</f>
        <v>DH-HAC-HDPW1200RP-0360B-S3A объектив 3.6 мм с апертурой F/1.85, угл обзора по горизонтали - 89.9? HD-CVI, HD-TVI, AHD: транслирует по коаксиальному кабелю видеосигнал на расстояние 1200 м при разрешении 1 Мп и 800 м - при 2 Мп; по неэкранированной ви...</v>
      </c>
      <c r="G5220" s="22" t="s">
        <v>55</v>
      </c>
      <c r="H5220" s="22" t="s">
        <v>55</v>
      </c>
      <c r="I5220" s="26">
        <v>43648.7443055556</v>
      </c>
      <c r="J5220" s="28" t="s">
        <v>52</v>
      </c>
      <c r="K5220" s="28" t="s">
        <v>52</v>
      </c>
      <c r="L5220" s="28" t="s">
        <v>52</v>
      </c>
      <c r="M5220" s="28" t="s">
        <v>52</v>
      </c>
      <c r="N5220" s="28" t="s">
        <v>52</v>
      </c>
    </row>
    <row r="5221" spans="1:14" x14ac:dyDescent="0.15">
      <c r="A5221" s="23" t="str">
        <f t="shared" si="230"/>
        <v>АО "ТОРГОВЫЙ ДОМ "ПЕРЕКРЕСТОК"</v>
      </c>
      <c r="B5221" s="24" t="s">
        <v>6999</v>
      </c>
      <c r="C5221" s="25">
        <v>0</v>
      </c>
      <c r="D5221" s="22" t="s">
        <v>7002</v>
      </c>
      <c r="E5221" s="22" t="s">
        <v>208</v>
      </c>
      <c r="F5221" s="23" t="str">
        <f>HYPERLINK("https://www.spark-marketing.ru/Card/Lot/71851392", "LTV CTM-220 64, Видеокамера TVI, PTZ уличная, 1080p, DWDR, 3D DNR, BLC, EIS , объектив 4-120mm х30, ИК до 120м, IP66, -30°С+65°C, 24В (AC)")</f>
        <v>LTV CTM-220 64, Видеокамера TVI, PTZ уличная, 1080p, DWDR, 3D DNR, BLC, EIS , объектив 4-120mm х30, ИК до 120м, IP66, -30°С+65°C, 24В (AC)</v>
      </c>
      <c r="G5221" s="22" t="s">
        <v>55</v>
      </c>
      <c r="H5221" s="22" t="s">
        <v>55</v>
      </c>
      <c r="I5221" s="26">
        <v>43648.744641203702</v>
      </c>
      <c r="J5221" s="28" t="s">
        <v>52</v>
      </c>
      <c r="K5221" s="28" t="s">
        <v>52</v>
      </c>
      <c r="L5221" s="28" t="s">
        <v>52</v>
      </c>
      <c r="M5221" s="28" t="s">
        <v>52</v>
      </c>
      <c r="N5221" s="28" t="s">
        <v>52</v>
      </c>
    </row>
    <row r="5222" spans="1:14" x14ac:dyDescent="0.15">
      <c r="A5222" s="23" t="str">
        <f t="shared" si="230"/>
        <v>АО "ТОРГОВЫЙ ДОМ "ПЕРЕКРЕСТОК"</v>
      </c>
      <c r="B5222" s="24" t="s">
        <v>6999</v>
      </c>
      <c r="C5222" s="25">
        <v>0</v>
      </c>
      <c r="D5222" s="22" t="s">
        <v>7006</v>
      </c>
      <c r="E5222" s="22" t="s">
        <v>208</v>
      </c>
      <c r="F5222" s="23" t="str">
        <f>HYPERLINK("https://www.spark-marketing.ru/Card/Lot/71850585", "AC-TA263IR3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f>
        <v>AC-TA263IR3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v>
      </c>
      <c r="G5222" s="22" t="s">
        <v>55</v>
      </c>
      <c r="H5222" s="22" t="s">
        <v>55</v>
      </c>
      <c r="I5222" s="26">
        <v>43648.744490740697</v>
      </c>
      <c r="J5222" s="28" t="s">
        <v>52</v>
      </c>
      <c r="K5222" s="28" t="s">
        <v>52</v>
      </c>
      <c r="L5222" s="28" t="s">
        <v>52</v>
      </c>
      <c r="M5222" s="28" t="s">
        <v>52</v>
      </c>
      <c r="N5222" s="28" t="s">
        <v>52</v>
      </c>
    </row>
    <row r="5223" spans="1:14" x14ac:dyDescent="0.15">
      <c r="A5223" s="23" t="str">
        <f t="shared" si="230"/>
        <v>АО "ТОРГОВЫЙ ДОМ "ПЕРЕКРЕСТОК"</v>
      </c>
      <c r="B5223" s="24" t="s">
        <v>6999</v>
      </c>
      <c r="C5223" s="25">
        <v>0</v>
      </c>
      <c r="D5223" s="22" t="s">
        <v>7006</v>
      </c>
      <c r="E5223" s="22" t="s">
        <v>208</v>
      </c>
      <c r="F5223" s="23" t="str">
        <f>HYPERLINK("https://www.spark-marketing.ru/Card/Lot/71850663", "Камера видеонаблюдения HikVision DS-2CD2822F (B)")</f>
        <v>Камера видеонаблюдения HikVision DS-2CD2822F (B)</v>
      </c>
      <c r="G5223" s="22" t="s">
        <v>55</v>
      </c>
      <c r="H5223" s="22" t="s">
        <v>55</v>
      </c>
      <c r="I5223" s="26">
        <v>43648.744490740697</v>
      </c>
      <c r="J5223" s="28" t="s">
        <v>52</v>
      </c>
      <c r="K5223" s="28" t="s">
        <v>52</v>
      </c>
      <c r="L5223" s="28" t="s">
        <v>52</v>
      </c>
      <c r="M5223" s="28" t="s">
        <v>52</v>
      </c>
      <c r="N5223" s="28" t="s">
        <v>52</v>
      </c>
    </row>
    <row r="5224" spans="1:14" x14ac:dyDescent="0.15">
      <c r="A5224" s="23" t="str">
        <f t="shared" si="230"/>
        <v>АО "ТОРГОВЫЙ ДОМ "ПЕРЕКРЕСТОК"</v>
      </c>
      <c r="B5224" s="24" t="s">
        <v>6999</v>
      </c>
      <c r="C5224" s="25">
        <v>0</v>
      </c>
      <c r="D5224" s="22" t="s">
        <v>7008</v>
      </c>
      <c r="E5224" s="22" t="s">
        <v>208</v>
      </c>
      <c r="F5224" s="23" t="str">
        <f>HYPERLINK("https://www.spark-marketing.ru/Card/Lot/71854823", "AC-TA281IR2 Уличная 2МП TVI видеокамера в компактном кожухе. Разрешение 1080P, матрица 1/2.8"" CMOS SONY, Цвет: 0.05 Лк (F1.8) / ЧБ: 0 Лк (ИК вкл.), объектив 3.6мм, режим «День/Ночь», механический ИК-фильтр, 3D-NR, DWDR, OSD, питание 12В DC, потребля...")</f>
        <v>AC-TA281IR2 Уличная 2МП TVI видеокамера в компактном кожухе. Разрешение 1080P, матрица 1/2.8" CMOS SONY, Цвет: 0.05 Лк (F1.8) / ЧБ: 0 Лк (ИК вкл.), объектив 3.6мм, режим «День/Ночь», механический ИК-фильтр, 3D-NR, DWDR, OSD, питание 12В DC, потребля...</v>
      </c>
      <c r="G5224" s="22" t="s">
        <v>55</v>
      </c>
      <c r="H5224" s="22" t="s">
        <v>55</v>
      </c>
      <c r="I5224" s="26">
        <v>43648.745509259301</v>
      </c>
      <c r="J5224" s="28" t="s">
        <v>52</v>
      </c>
      <c r="K5224" s="28" t="s">
        <v>52</v>
      </c>
      <c r="L5224" s="28" t="s">
        <v>52</v>
      </c>
      <c r="M5224" s="28" t="s">
        <v>52</v>
      </c>
      <c r="N5224" s="28" t="s">
        <v>52</v>
      </c>
    </row>
    <row r="5225" spans="1:14" x14ac:dyDescent="0.15">
      <c r="A5225" s="23" t="str">
        <f t="shared" si="230"/>
        <v>АО "ТОРГОВЫЙ ДОМ "ПЕРЕКРЕСТОК"</v>
      </c>
      <c r="B5225" s="24" t="s">
        <v>6999</v>
      </c>
      <c r="C5225" s="25">
        <v>0</v>
      </c>
      <c r="D5225" s="22" t="s">
        <v>7001</v>
      </c>
      <c r="E5225" s="22" t="s">
        <v>208</v>
      </c>
      <c r="F5225" s="23" t="str">
        <f>HYPERLINK("https://www.spark-marketing.ru/Card/Lot/71852420", "Сервер контроля кассовых операций Видеомаркет (Core i5/8192Mb/250Gb/Lan 1000/4xUSB 2.0/CardReader 4x1/Mb+Kb, ОС Win 7/10 pro, Видеокарта NVIDIA GeForce GT 730) комплект ""клавиатура-""мышь""")</f>
        <v>Сервер контроля кассовых операций Видеомаркет (Core i5/8192Mb/250Gb/Lan 1000/4xUSB 2.0/CardReader 4x1/Mb+Kb, ОС Win 7/10 pro, Видеокарта NVIDIA GeForce GT 730) комплект "клавиатура-"мышь"</v>
      </c>
      <c r="G5225" s="22" t="s">
        <v>55</v>
      </c>
      <c r="H5225" s="22" t="s">
        <v>55</v>
      </c>
      <c r="I5225" s="26">
        <v>43648.7449305556</v>
      </c>
      <c r="J5225" s="28" t="s">
        <v>52</v>
      </c>
      <c r="K5225" s="28" t="s">
        <v>52</v>
      </c>
      <c r="L5225" s="28" t="s">
        <v>52</v>
      </c>
      <c r="M5225" s="28" t="s">
        <v>52</v>
      </c>
      <c r="N5225" s="28" t="s">
        <v>52</v>
      </c>
    </row>
    <row r="5226" spans="1:14" x14ac:dyDescent="0.15">
      <c r="A5226" s="23" t="str">
        <f t="shared" si="230"/>
        <v>АО "ТОРГОВЫЙ ДОМ "ПЕРЕКРЕСТОК"</v>
      </c>
      <c r="B5226" s="24" t="s">
        <v>6999</v>
      </c>
      <c r="C5226" s="25">
        <v>0</v>
      </c>
      <c r="D5226" s="22" t="s">
        <v>7004</v>
      </c>
      <c r="E5226" s="22" t="s">
        <v>208</v>
      </c>
      <c r="F5226" s="23" t="str">
        <f>HYPERLINK("https://www.spark-marketing.ru/Card/Lot/71852881", "TRASSIR NeiroStation 2V (Сервер видеоналитики, 2*GPU)")</f>
        <v>TRASSIR NeiroStation 2V (Сервер видеоналитики, 2*GPU)</v>
      </c>
      <c r="G5226" s="22" t="s">
        <v>55</v>
      </c>
      <c r="H5226" s="22" t="s">
        <v>55</v>
      </c>
      <c r="I5226" s="26">
        <v>43648.745347222197</v>
      </c>
      <c r="J5226" s="28" t="s">
        <v>52</v>
      </c>
      <c r="K5226" s="28" t="s">
        <v>52</v>
      </c>
      <c r="L5226" s="28" t="s">
        <v>52</v>
      </c>
      <c r="M5226" s="28" t="s">
        <v>52</v>
      </c>
      <c r="N5226" s="28" t="s">
        <v>52</v>
      </c>
    </row>
    <row r="5227" spans="1:14" x14ac:dyDescent="0.15">
      <c r="A5227" s="23" t="str">
        <f t="shared" si="230"/>
        <v>АО "ТОРГОВЫЙ ДОМ "ПЕРЕКРЕСТОК"</v>
      </c>
      <c r="B5227" s="24" t="s">
        <v>6999</v>
      </c>
      <c r="C5227" s="25">
        <v>0</v>
      </c>
      <c r="D5227" s="22" t="s">
        <v>7003</v>
      </c>
      <c r="E5227" s="22" t="s">
        <v>208</v>
      </c>
      <c r="F5227" s="23" t="str">
        <f>HYPERLINK("https://www.spark-marketing.ru/Card/Lot/71851804", "Камера видеонаблюдения HikVision DS-2CE16D8T-IT3ZE HD-TVI motor-zoom")</f>
        <v>Камера видеонаблюдения HikVision DS-2CE16D8T-IT3ZE HD-TVI motor-zoom</v>
      </c>
      <c r="G5227" s="22" t="s">
        <v>55</v>
      </c>
      <c r="H5227" s="22" t="s">
        <v>55</v>
      </c>
      <c r="I5227" s="26">
        <v>43648.744791666701</v>
      </c>
      <c r="J5227" s="28" t="s">
        <v>52</v>
      </c>
      <c r="K5227" s="28" t="s">
        <v>52</v>
      </c>
      <c r="L5227" s="28" t="s">
        <v>52</v>
      </c>
      <c r="M5227" s="28" t="s">
        <v>52</v>
      </c>
      <c r="N5227" s="28" t="s">
        <v>52</v>
      </c>
    </row>
    <row r="5228" spans="1:14" x14ac:dyDescent="0.15">
      <c r="A5228" s="23" t="str">
        <f t="shared" si="230"/>
        <v>АО "ТОРГОВЫЙ ДОМ "ПЕРЕКРЕСТОК"</v>
      </c>
      <c r="B5228" s="24" t="s">
        <v>6999</v>
      </c>
      <c r="C5228" s="25">
        <v>0</v>
      </c>
      <c r="D5228" s="22" t="s">
        <v>7001</v>
      </c>
      <c r="E5228" s="22" t="s">
        <v>208</v>
      </c>
      <c r="F5228" s="23" t="str">
        <f>HYPERLINK("https://www.spark-marketing.ru/Card/Lot/71852216", "Камера видеонаблюдения HikVision DS-2CD2723G0-IZS (2.8-12mm) купол")</f>
        <v>Камера видеонаблюдения HikVision DS-2CD2723G0-IZS (2.8-12mm) купол</v>
      </c>
      <c r="G5228" s="22" t="s">
        <v>55</v>
      </c>
      <c r="H5228" s="22" t="s">
        <v>55</v>
      </c>
      <c r="I5228" s="26">
        <v>43648.7449305556</v>
      </c>
      <c r="J5228" s="28" t="s">
        <v>52</v>
      </c>
      <c r="K5228" s="28" t="s">
        <v>52</v>
      </c>
      <c r="L5228" s="28" t="s">
        <v>52</v>
      </c>
      <c r="M5228" s="28" t="s">
        <v>52</v>
      </c>
      <c r="N5228" s="28" t="s">
        <v>52</v>
      </c>
    </row>
    <row r="5229" spans="1:14" x14ac:dyDescent="0.15">
      <c r="A5229" s="23" t="str">
        <f t="shared" si="230"/>
        <v>АО "ТОРГОВЫЙ ДОМ "ПЕРЕКРЕСТОК"</v>
      </c>
      <c r="B5229" s="24" t="s">
        <v>6999</v>
      </c>
      <c r="C5229" s="25">
        <v>0</v>
      </c>
      <c r="D5229" s="22" t="s">
        <v>7005</v>
      </c>
      <c r="E5229" s="22" t="s">
        <v>208</v>
      </c>
      <c r="F5229" s="23" t="str">
        <f>HYPERLINK("https://www.spark-marketing.ru/Card/Lot/71853870", "Камера видеонаблюдения HikVision DS-2CD2043G0-I (4mm) булет")</f>
        <v>Камера видеонаблюдения HikVision DS-2CD2043G0-I (4mm) булет</v>
      </c>
      <c r="G5229" s="22" t="s">
        <v>55</v>
      </c>
      <c r="H5229" s="22" t="s">
        <v>55</v>
      </c>
      <c r="I5229" s="26">
        <v>43648.745069444398</v>
      </c>
      <c r="J5229" s="28" t="s">
        <v>52</v>
      </c>
      <c r="K5229" s="28" t="s">
        <v>52</v>
      </c>
      <c r="L5229" s="28" t="s">
        <v>52</v>
      </c>
      <c r="M5229" s="28" t="s">
        <v>52</v>
      </c>
      <c r="N5229" s="28" t="s">
        <v>52</v>
      </c>
    </row>
    <row r="5230" spans="1:14" x14ac:dyDescent="0.15">
      <c r="A5230" s="23" t="str">
        <f t="shared" si="230"/>
        <v>АО "ТОРГОВЫЙ ДОМ "ПЕРЕКРЕСТОК"</v>
      </c>
      <c r="B5230" s="24" t="s">
        <v>6999</v>
      </c>
      <c r="C5230" s="25">
        <v>0</v>
      </c>
      <c r="D5230" s="22" t="s">
        <v>7006</v>
      </c>
      <c r="E5230" s="22" t="s">
        <v>208</v>
      </c>
      <c r="F5230" s="23" t="str">
        <f>HYPERLINK("https://www.spark-marketing.ru/Card/Lot/71851195", "Демонтаж Системы охранной сигнализации (включая кабельные трассы)")</f>
        <v>Демонтаж Системы охранной сигнализации (включая кабельные трассы)</v>
      </c>
      <c r="G5230" s="22" t="s">
        <v>55</v>
      </c>
      <c r="H5230" s="22" t="s">
        <v>55</v>
      </c>
      <c r="I5230" s="26">
        <v>43648.744490740697</v>
      </c>
      <c r="J5230" s="28" t="s">
        <v>52</v>
      </c>
      <c r="K5230" s="28" t="s">
        <v>52</v>
      </c>
      <c r="L5230" s="28" t="s">
        <v>52</v>
      </c>
      <c r="M5230" s="28" t="s">
        <v>52</v>
      </c>
      <c r="N5230" s="28" t="s">
        <v>52</v>
      </c>
    </row>
    <row r="5231" spans="1:14" x14ac:dyDescent="0.15">
      <c r="A5231" s="23" t="str">
        <f t="shared" si="230"/>
        <v>АО "ТОРГОВЫЙ ДОМ "ПЕРЕКРЕСТОК"</v>
      </c>
      <c r="B5231" s="24" t="s">
        <v>6999</v>
      </c>
      <c r="C5231" s="25">
        <v>0</v>
      </c>
      <c r="D5231" s="22" t="s">
        <v>7004</v>
      </c>
      <c r="E5231" s="22" t="s">
        <v>208</v>
      </c>
      <c r="F5231" s="23" t="str">
        <f>HYPERLINK("https://www.spark-marketing.ru/Card/Lot/71852652", "Камера видеонаблюдения HikVision DS-2DE4225W-DE3 PTZ")</f>
        <v>Камера видеонаблюдения HikVision DS-2DE4225W-DE3 PTZ</v>
      </c>
      <c r="G5231" s="22" t="s">
        <v>55</v>
      </c>
      <c r="H5231" s="22" t="s">
        <v>55</v>
      </c>
      <c r="I5231" s="26">
        <v>43648.745347222197</v>
      </c>
      <c r="J5231" s="28" t="s">
        <v>52</v>
      </c>
      <c r="K5231" s="28" t="s">
        <v>52</v>
      </c>
      <c r="L5231" s="28" t="s">
        <v>52</v>
      </c>
      <c r="M5231" s="28" t="s">
        <v>52</v>
      </c>
      <c r="N5231" s="28" t="s">
        <v>52</v>
      </c>
    </row>
    <row r="5232" spans="1:14" x14ac:dyDescent="0.15">
      <c r="A5232" s="23" t="str">
        <f t="shared" si="230"/>
        <v>АО "ТОРГОВЫЙ ДОМ "ПЕРЕКРЕСТОК"</v>
      </c>
      <c r="B5232" s="24" t="s">
        <v>6999</v>
      </c>
      <c r="C5232" s="25">
        <v>0</v>
      </c>
      <c r="D5232" s="22" t="s">
        <v>7000</v>
      </c>
      <c r="E5232" s="22" t="s">
        <v>208</v>
      </c>
      <c r="F5232" s="23" t="str">
        <f>HYPERLINK("https://www.spark-marketing.ru/Card/Lot/71850247", "LTV RTB-081 00, 8-канальный TVI/AHD видеорегистратор, 720P: 200 к/c, Ethernet, VGA/HDMI, 1 канал Audio, поддержка 1 HDD")</f>
        <v>LTV RTB-081 00, 8-канальный TVI/AHD видеорегистратор, 720P: 200 к/c, Ethernet, VGA/HDMI, 1 канал Audio, поддержка 1 HDD</v>
      </c>
      <c r="G5232" s="22" t="s">
        <v>55</v>
      </c>
      <c r="H5232" s="22" t="s">
        <v>55</v>
      </c>
      <c r="I5232" s="26">
        <v>43648.7443055556</v>
      </c>
      <c r="J5232" s="28" t="s">
        <v>52</v>
      </c>
      <c r="K5232" s="28" t="s">
        <v>52</v>
      </c>
      <c r="L5232" s="28" t="s">
        <v>52</v>
      </c>
      <c r="M5232" s="28" t="s">
        <v>52</v>
      </c>
      <c r="N5232" s="28" t="s">
        <v>52</v>
      </c>
    </row>
    <row r="5233" spans="1:14" x14ac:dyDescent="0.15">
      <c r="A5233" s="23" t="str">
        <f t="shared" si="230"/>
        <v>АО "ТОРГОВЫЙ ДОМ "ПЕРЕКРЕСТОК"</v>
      </c>
      <c r="B5233" s="24" t="s">
        <v>6999</v>
      </c>
      <c r="C5233" s="25">
        <v>0</v>
      </c>
      <c r="D5233" s="22" t="s">
        <v>7003</v>
      </c>
      <c r="E5233" s="22" t="s">
        <v>208</v>
      </c>
      <c r="F5233" s="23" t="str">
        <f>HYPERLINK("https://www.spark-marketing.ru/Card/Lot/71851710", "Опустошение полок (на одну видеокамеру камеру)")</f>
        <v>Опустошение полок (на одну видеокамеру камеру)</v>
      </c>
      <c r="G5233" s="22" t="s">
        <v>55</v>
      </c>
      <c r="H5233" s="22" t="s">
        <v>55</v>
      </c>
      <c r="I5233" s="26">
        <v>43648.744791666701</v>
      </c>
      <c r="J5233" s="28" t="s">
        <v>52</v>
      </c>
      <c r="K5233" s="28" t="s">
        <v>52</v>
      </c>
      <c r="L5233" s="28" t="s">
        <v>52</v>
      </c>
      <c r="M5233" s="28" t="s">
        <v>52</v>
      </c>
      <c r="N5233" s="28" t="s">
        <v>52</v>
      </c>
    </row>
    <row r="5234" spans="1:14" x14ac:dyDescent="0.15">
      <c r="A5234" s="23" t="str">
        <f t="shared" si="230"/>
        <v>АО "ТОРГОВЫЙ ДОМ "ПЕРЕКРЕСТОК"</v>
      </c>
      <c r="B5234" s="24" t="s">
        <v>6999</v>
      </c>
      <c r="C5234" s="25">
        <v>0</v>
      </c>
      <c r="D5234" s="22" t="s">
        <v>7001</v>
      </c>
      <c r="E5234" s="22" t="s">
        <v>208</v>
      </c>
      <c r="F5234" s="23" t="str">
        <f>HYPERLINK("https://www.spark-marketing.ru/Card/Lot/71852224", "Камера видеонаблюдения HikVision DS-2CD2822F (B)")</f>
        <v>Камера видеонаблюдения HikVision DS-2CD2822F (B)</v>
      </c>
      <c r="G5234" s="22" t="s">
        <v>55</v>
      </c>
      <c r="H5234" s="22" t="s">
        <v>55</v>
      </c>
      <c r="I5234" s="26">
        <v>43648.7449305556</v>
      </c>
      <c r="J5234" s="28" t="s">
        <v>52</v>
      </c>
      <c r="K5234" s="28" t="s">
        <v>52</v>
      </c>
      <c r="L5234" s="28" t="s">
        <v>52</v>
      </c>
      <c r="M5234" s="28" t="s">
        <v>52</v>
      </c>
      <c r="N5234" s="28" t="s">
        <v>52</v>
      </c>
    </row>
    <row r="5235" spans="1:14" x14ac:dyDescent="0.15">
      <c r="A5235" s="23" t="str">
        <f t="shared" si="230"/>
        <v>АО "ТОРГОВЫЙ ДОМ "ПЕРЕКРЕСТОК"</v>
      </c>
      <c r="B5235" s="24" t="s">
        <v>6999</v>
      </c>
      <c r="C5235" s="25">
        <v>0</v>
      </c>
      <c r="D5235" s="22" t="s">
        <v>7007</v>
      </c>
      <c r="E5235" s="22" t="s">
        <v>208</v>
      </c>
      <c r="F5235" s="23" t="str">
        <f>HYPERLINK("https://www.spark-marketing.ru/Card/Lot/71854144", "Камера видеонаблюдения HikVision DS-2CD2123G0-IS (2.8mm) купол")</f>
        <v>Камера видеонаблюдения HikVision DS-2CD2123G0-IS (2.8mm) купол</v>
      </c>
      <c r="G5235" s="22" t="s">
        <v>55</v>
      </c>
      <c r="H5235" s="22" t="s">
        <v>55</v>
      </c>
      <c r="I5235" s="26">
        <v>43648.745219907403</v>
      </c>
      <c r="J5235" s="28" t="s">
        <v>52</v>
      </c>
      <c r="K5235" s="28" t="s">
        <v>52</v>
      </c>
      <c r="L5235" s="28" t="s">
        <v>52</v>
      </c>
      <c r="M5235" s="28" t="s">
        <v>52</v>
      </c>
      <c r="N5235" s="28" t="s">
        <v>52</v>
      </c>
    </row>
    <row r="5236" spans="1:14" x14ac:dyDescent="0.15">
      <c r="A5236" s="23" t="str">
        <f t="shared" si="230"/>
        <v>АО "ТОРГОВЫЙ ДОМ "ПЕРЕКРЕСТОК"</v>
      </c>
      <c r="B5236" s="24" t="s">
        <v>6999</v>
      </c>
      <c r="C5236" s="25">
        <v>0</v>
      </c>
      <c r="D5236" s="22" t="s">
        <v>7006</v>
      </c>
      <c r="E5236" s="22" t="s">
        <v>208</v>
      </c>
      <c r="F5236" s="23" t="str">
        <f>HYPERLINK("https://www.spark-marketing.ru/Card/Lot/71850949", "Кнопка тревожная, для ручной подачи сигнала тревоги.С2000-КТ")</f>
        <v>Кнопка тревожная, для ручной подачи сигнала тревоги.С2000-КТ</v>
      </c>
      <c r="G5236" s="22" t="s">
        <v>55</v>
      </c>
      <c r="H5236" s="22" t="s">
        <v>55</v>
      </c>
      <c r="I5236" s="26">
        <v>43648.744490740697</v>
      </c>
      <c r="J5236" s="28" t="s">
        <v>52</v>
      </c>
      <c r="K5236" s="28" t="s">
        <v>52</v>
      </c>
      <c r="L5236" s="28" t="s">
        <v>52</v>
      </c>
      <c r="M5236" s="28" t="s">
        <v>52</v>
      </c>
      <c r="N5236" s="28" t="s">
        <v>52</v>
      </c>
    </row>
    <row r="5237" spans="1:14" x14ac:dyDescent="0.15">
      <c r="A5237" s="23" t="str">
        <f t="shared" si="230"/>
        <v>АО "ТОРГОВЫЙ ДОМ "ПЕРЕКРЕСТОК"</v>
      </c>
      <c r="B5237" s="24" t="s">
        <v>6999</v>
      </c>
      <c r="C5237" s="25">
        <v>0</v>
      </c>
      <c r="D5237" s="22" t="s">
        <v>7005</v>
      </c>
      <c r="E5237" s="22" t="s">
        <v>208</v>
      </c>
      <c r="F5237" s="23" t="str">
        <f>HYPERLINK("https://www.spark-marketing.ru/Card/Lot/71854018", "TRASSIR NeiroStation 1V (Сервер видеоналитики, 1*GPU)")</f>
        <v>TRASSIR NeiroStation 1V (Сервер видеоналитики, 1*GPU)</v>
      </c>
      <c r="G5237" s="22" t="s">
        <v>55</v>
      </c>
      <c r="H5237" s="22" t="s">
        <v>55</v>
      </c>
      <c r="I5237" s="26">
        <v>43648.745069444398</v>
      </c>
      <c r="J5237" s="28" t="s">
        <v>52</v>
      </c>
      <c r="K5237" s="28" t="s">
        <v>52</v>
      </c>
      <c r="L5237" s="28" t="s">
        <v>52</v>
      </c>
      <c r="M5237" s="28" t="s">
        <v>52</v>
      </c>
      <c r="N5237" s="28" t="s">
        <v>52</v>
      </c>
    </row>
    <row r="5238" spans="1:14" x14ac:dyDescent="0.15">
      <c r="A5238" s="23" t="str">
        <f t="shared" si="230"/>
        <v>АО "ТОРГОВЫЙ ДОМ "ПЕРЕКРЕСТОК"</v>
      </c>
      <c r="B5238" s="24" t="s">
        <v>6999</v>
      </c>
      <c r="C5238" s="25">
        <v>0</v>
      </c>
      <c r="D5238" s="22" t="s">
        <v>7006</v>
      </c>
      <c r="E5238" s="22" t="s">
        <v>208</v>
      </c>
      <c r="F5238" s="23" t="str">
        <f>HYPERLINK("https://www.spark-marketing.ru/Card/Lot/71850574", "LTV-KBD-02-HV (NEW) Пульт управления видеор.LTV серии LTV-DVR-xxxx-HV, возможно прямое управление PTZ камерами, RS-485, 12В (DC)")</f>
        <v>LTV-KBD-02-HV (NEW) Пульт управления видеор.LTV серии LTV-DVR-xxxx-HV, возможно прямое управление PTZ камерами, RS-485, 12В (DC)</v>
      </c>
      <c r="G5238" s="22" t="s">
        <v>55</v>
      </c>
      <c r="H5238" s="22" t="s">
        <v>55</v>
      </c>
      <c r="I5238" s="26">
        <v>43648.744490740697</v>
      </c>
      <c r="J5238" s="28" t="s">
        <v>52</v>
      </c>
      <c r="K5238" s="28" t="s">
        <v>52</v>
      </c>
      <c r="L5238" s="28" t="s">
        <v>52</v>
      </c>
      <c r="M5238" s="28" t="s">
        <v>52</v>
      </c>
      <c r="N5238" s="28" t="s">
        <v>52</v>
      </c>
    </row>
    <row r="5239" spans="1:14" x14ac:dyDescent="0.15">
      <c r="A5239" s="23" t="str">
        <f t="shared" si="230"/>
        <v>АО "ТОРГОВЫЙ ДОМ "ПЕРЕКРЕСТОК"</v>
      </c>
      <c r="B5239" s="24" t="s">
        <v>6999</v>
      </c>
      <c r="C5239" s="25">
        <v>0</v>
      </c>
      <c r="D5239" s="22" t="s">
        <v>7001</v>
      </c>
      <c r="E5239" s="22" t="s">
        <v>208</v>
      </c>
      <c r="F5239" s="23" t="str">
        <f>HYPERLINK("https://www.spark-marketing.ru/Card/Lot/71853039", "Видеокамера бытовая, с перезаписываемой памятью (Flash), Full HD 1080p, Режим ночной съемки, Поддержка карт памяти, SD, SDHC, SDXC")</f>
        <v>Видеокамера бытовая, с перезаписываемой памятью (Flash), Full HD 1080p, Режим ночной съемки, Поддержка карт памяти, SD, SDHC, SDXC</v>
      </c>
      <c r="G5239" s="22" t="s">
        <v>55</v>
      </c>
      <c r="H5239" s="22" t="s">
        <v>55</v>
      </c>
      <c r="I5239" s="26">
        <v>43648.7449305556</v>
      </c>
      <c r="J5239" s="28" t="s">
        <v>52</v>
      </c>
      <c r="K5239" s="28" t="s">
        <v>52</v>
      </c>
      <c r="L5239" s="28" t="s">
        <v>52</v>
      </c>
      <c r="M5239" s="28" t="s">
        <v>52</v>
      </c>
      <c r="N5239" s="28" t="s">
        <v>52</v>
      </c>
    </row>
    <row r="5240" spans="1:14" x14ac:dyDescent="0.15">
      <c r="A5240" s="23" t="str">
        <f t="shared" si="230"/>
        <v>АО "ТОРГОВЫЙ ДОМ "ПЕРЕКРЕСТОК"</v>
      </c>
      <c r="B5240" s="24" t="s">
        <v>6999</v>
      </c>
      <c r="C5240" s="25">
        <v>0</v>
      </c>
      <c r="D5240" s="22" t="s">
        <v>7003</v>
      </c>
      <c r="E5240" s="22" t="s">
        <v>208</v>
      </c>
      <c r="F5240" s="23" t="str">
        <f>HYPERLINK("https://www.spark-marketing.ru/Card/Lot/71851726", "LTV-KBD-02-HV (NEW) Пульт управления видеор.LTV серии LTV-DVR-xxxx-HV, возможно прямое управление PTZ камерами, RS-485, 12В (DC)")</f>
        <v>LTV-KBD-02-HV (NEW) Пульт управления видеор.LTV серии LTV-DVR-xxxx-HV, возможно прямое управление PTZ камерами, RS-485, 12В (DC)</v>
      </c>
      <c r="G5240" s="22" t="s">
        <v>55</v>
      </c>
      <c r="H5240" s="22" t="s">
        <v>55</v>
      </c>
      <c r="I5240" s="26">
        <v>43648.744791666701</v>
      </c>
      <c r="J5240" s="28" t="s">
        <v>52</v>
      </c>
      <c r="K5240" s="28" t="s">
        <v>52</v>
      </c>
      <c r="L5240" s="28" t="s">
        <v>52</v>
      </c>
      <c r="M5240" s="28" t="s">
        <v>52</v>
      </c>
      <c r="N5240" s="28" t="s">
        <v>52</v>
      </c>
    </row>
    <row r="5241" spans="1:14" x14ac:dyDescent="0.15">
      <c r="A5241" s="23" t="str">
        <f t="shared" si="230"/>
        <v>АО "ТОРГОВЫЙ ДОМ "ПЕРЕКРЕСТОК"</v>
      </c>
      <c r="B5241" s="24" t="s">
        <v>6999</v>
      </c>
      <c r="C5241" s="25">
        <v>0</v>
      </c>
      <c r="D5241" s="22" t="s">
        <v>7005</v>
      </c>
      <c r="E5241" s="22" t="s">
        <v>208</v>
      </c>
      <c r="F5241" s="23" t="str">
        <f>HYPERLINK("https://www.spark-marketing.ru/Card/Lot/71852591", "AC-TA283IR3 Уличная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OSD,...")</f>
        <v>AC-TA283IR3 Уличная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OSD,...</v>
      </c>
      <c r="G5241" s="22" t="s">
        <v>55</v>
      </c>
      <c r="H5241" s="22" t="s">
        <v>55</v>
      </c>
      <c r="I5241" s="26">
        <v>43648.745069444398</v>
      </c>
      <c r="J5241" s="28" t="s">
        <v>52</v>
      </c>
      <c r="K5241" s="28" t="s">
        <v>52</v>
      </c>
      <c r="L5241" s="28" t="s">
        <v>52</v>
      </c>
      <c r="M5241" s="28" t="s">
        <v>52</v>
      </c>
      <c r="N5241" s="28" t="s">
        <v>52</v>
      </c>
    </row>
    <row r="5242" spans="1:14" x14ac:dyDescent="0.15">
      <c r="A5242" s="23" t="str">
        <f t="shared" si="230"/>
        <v>АО "ТОРГОВЫЙ ДОМ "ПЕРЕКРЕСТОК"</v>
      </c>
      <c r="B5242" s="24" t="s">
        <v>6999</v>
      </c>
      <c r="C5242" s="25">
        <v>0</v>
      </c>
      <c r="D5242" s="22" t="s">
        <v>7007</v>
      </c>
      <c r="E5242" s="22" t="s">
        <v>208</v>
      </c>
      <c r="F5242" s="23" t="str">
        <f>HYPERLINK("https://www.spark-marketing.ru/Card/Lot/71852633", "LTV RTB-081 00, 8-канальный TVI/AHD видеорегистратор, 720P: 200 к/c, Ethernet, VGA/HDMI, 1 канал Audio, 1 HDD до 6Тб")</f>
        <v>LTV RTB-081 00, 8-канальный TVI/AHD видеорегистратор, 720P: 200 к/c, Ethernet, VGA/HDMI, 1 канал Audio, 1 HDD до 6Тб</v>
      </c>
      <c r="G5242" s="22" t="s">
        <v>55</v>
      </c>
      <c r="H5242" s="22" t="s">
        <v>55</v>
      </c>
      <c r="I5242" s="26">
        <v>43648.745219907403</v>
      </c>
      <c r="J5242" s="28" t="s">
        <v>52</v>
      </c>
      <c r="K5242" s="28" t="s">
        <v>52</v>
      </c>
      <c r="L5242" s="28" t="s">
        <v>52</v>
      </c>
      <c r="M5242" s="28" t="s">
        <v>52</v>
      </c>
      <c r="N5242" s="28" t="s">
        <v>52</v>
      </c>
    </row>
    <row r="5243" spans="1:14" x14ac:dyDescent="0.15">
      <c r="A5243" s="23" t="str">
        <f t="shared" si="230"/>
        <v>АО "ТОРГОВЫЙ ДОМ "ПЕРЕКРЕСТОК"</v>
      </c>
      <c r="B5243" s="24" t="s">
        <v>6999</v>
      </c>
      <c r="C5243" s="25">
        <v>0</v>
      </c>
      <c r="D5243" s="22" t="s">
        <v>7000</v>
      </c>
      <c r="E5243" s="22" t="s">
        <v>208</v>
      </c>
      <c r="F5243" s="23" t="str">
        <f>HYPERLINK("https://www.spark-marketing.ru/Card/Lot/71850270", "LTV-BMW-305-HV, кронштейн настенный для видеокамер LTV-SDNO36-HV, LTV-SDNO36L-HV, LTV-ISDNO20-EM2, вылет 305мм")</f>
        <v>LTV-BMW-305-HV, кронштейн настенный для видеокамер LTV-SDNO36-HV, LTV-SDNO36L-HV, LTV-ISDNO20-EM2, вылет 305мм</v>
      </c>
      <c r="G5243" s="22" t="s">
        <v>55</v>
      </c>
      <c r="H5243" s="22" t="s">
        <v>55</v>
      </c>
      <c r="I5243" s="26">
        <v>43648.7443055556</v>
      </c>
      <c r="J5243" s="28" t="s">
        <v>52</v>
      </c>
      <c r="K5243" s="28" t="s">
        <v>52</v>
      </c>
      <c r="L5243" s="28" t="s">
        <v>52</v>
      </c>
      <c r="M5243" s="28" t="s">
        <v>52</v>
      </c>
      <c r="N5243" s="28" t="s">
        <v>52</v>
      </c>
    </row>
    <row r="5244" spans="1:14" x14ac:dyDescent="0.15">
      <c r="A5244" s="23" t="str">
        <f t="shared" si="230"/>
        <v>АО "ТОРГОВЫЙ ДОМ "ПЕРЕКРЕСТОК"</v>
      </c>
      <c r="B5244" s="24" t="s">
        <v>6999</v>
      </c>
      <c r="C5244" s="25">
        <v>0</v>
      </c>
      <c r="D5244" s="22" t="s">
        <v>7008</v>
      </c>
      <c r="E5244" s="22" t="s">
        <v>208</v>
      </c>
      <c r="F5244" s="23" t="str">
        <f>HYPERLINK("https://www.spark-marketing.ru/Card/Lot/71854780", "LTV-KBD-02-HV (NEW) Пульт управления видеор.LTV серии LTV-DVR-xxxx-HV, возможно прямое управление PTZ камерами, RS-485, 12В (DC)")</f>
        <v>LTV-KBD-02-HV (NEW) Пульт управления видеор.LTV серии LTV-DVR-xxxx-HV, возможно прямое управление PTZ камерами, RS-485, 12В (DC)</v>
      </c>
      <c r="G5244" s="22" t="s">
        <v>55</v>
      </c>
      <c r="H5244" s="22" t="s">
        <v>55</v>
      </c>
      <c r="I5244" s="26">
        <v>43648.745509259301</v>
      </c>
      <c r="J5244" s="28" t="s">
        <v>52</v>
      </c>
      <c r="K5244" s="28" t="s">
        <v>52</v>
      </c>
      <c r="L5244" s="28" t="s">
        <v>52</v>
      </c>
      <c r="M5244" s="28" t="s">
        <v>52</v>
      </c>
      <c r="N5244" s="28" t="s">
        <v>52</v>
      </c>
    </row>
    <row r="5245" spans="1:14" x14ac:dyDescent="0.15">
      <c r="A5245" s="23" t="str">
        <f t="shared" si="230"/>
        <v>АО "ТОРГОВЫЙ ДОМ "ПЕРЕКРЕСТОК"</v>
      </c>
      <c r="B5245" s="24" t="s">
        <v>6999</v>
      </c>
      <c r="C5245" s="25">
        <v>0</v>
      </c>
      <c r="D5245" s="22" t="s">
        <v>7000</v>
      </c>
      <c r="E5245" s="22" t="s">
        <v>208</v>
      </c>
      <c r="F5245" s="23" t="str">
        <f>HYPERLINK("https://www.spark-marketing.ru/Card/Lot/71850276", "AC-TA261IR2 Бюджетная уличная 1МП TVI видеокамера в компактном кожухе. Разрешение 720P, матрица 1/4"" CMOS, Цвет: 0.1 Лк (F1.8) / ЧБ: 0 Лк (ИК вкл.), объектив 3.6мм, режим «День/Ночь», механический ИК-фильтр, питание 12В DC, потребляемый ток 500мА, -...")</f>
        <v>AC-TA261IR2 Бюджетная уличная 1МП TVI видеокамера в компактном кожухе. Разрешение 720P, матрица 1/4" CMOS, Цвет: 0.1 Лк (F1.8) / ЧБ: 0 Лк (ИК вкл.), объектив 3.6мм, режим «День/Ночь», механический ИК-фильтр, питание 12В DC, потребляемый ток 500мА, -...</v>
      </c>
      <c r="G5245" s="22" t="s">
        <v>55</v>
      </c>
      <c r="H5245" s="22" t="s">
        <v>55</v>
      </c>
      <c r="I5245" s="26">
        <v>43648.7443055556</v>
      </c>
      <c r="J5245" s="28" t="s">
        <v>52</v>
      </c>
      <c r="K5245" s="28" t="s">
        <v>52</v>
      </c>
      <c r="L5245" s="28" t="s">
        <v>52</v>
      </c>
      <c r="M5245" s="28" t="s">
        <v>52</v>
      </c>
      <c r="N5245" s="28" t="s">
        <v>52</v>
      </c>
    </row>
    <row r="5246" spans="1:14" x14ac:dyDescent="0.15">
      <c r="A5246" s="23" t="str">
        <f t="shared" si="230"/>
        <v>АО "ТОРГОВЫЙ ДОМ "ПЕРЕКРЕСТОК"</v>
      </c>
      <c r="B5246" s="24" t="s">
        <v>6999</v>
      </c>
      <c r="C5246" s="25">
        <v>0</v>
      </c>
      <c r="D5246" s="22" t="s">
        <v>7000</v>
      </c>
      <c r="E5246" s="22" t="s">
        <v>208</v>
      </c>
      <c r="F5246" s="23" t="str">
        <f>HYPERLINK("https://www.spark-marketing.ru/Card/Lot/71850221", "HASP ключ для системы Видеомаркет")</f>
        <v>HASP ключ для системы Видеомаркет</v>
      </c>
      <c r="G5246" s="22" t="s">
        <v>55</v>
      </c>
      <c r="H5246" s="22" t="s">
        <v>55</v>
      </c>
      <c r="I5246" s="26">
        <v>43648.7443055556</v>
      </c>
      <c r="J5246" s="28" t="s">
        <v>52</v>
      </c>
      <c r="K5246" s="28" t="s">
        <v>52</v>
      </c>
      <c r="L5246" s="28" t="s">
        <v>52</v>
      </c>
      <c r="M5246" s="28" t="s">
        <v>52</v>
      </c>
      <c r="N5246" s="28" t="s">
        <v>52</v>
      </c>
    </row>
    <row r="5247" spans="1:14" x14ac:dyDescent="0.15">
      <c r="A5247" s="23" t="str">
        <f t="shared" si="230"/>
        <v>АО "ТОРГОВЫЙ ДОМ "ПЕРЕКРЕСТОК"</v>
      </c>
      <c r="B5247" s="24" t="s">
        <v>6999</v>
      </c>
      <c r="C5247" s="25">
        <v>0</v>
      </c>
      <c r="D5247" s="22" t="s">
        <v>7002</v>
      </c>
      <c r="E5247" s="22" t="s">
        <v>208</v>
      </c>
      <c r="F5247" s="23" t="str">
        <f>HYPERLINK("https://www.spark-marketing.ru/Card/Lot/71851226", "Камера видеонаблюдения HikVision DS-2CD2643G0-IZS (2.8-12mm) 4 Mp motor-zoom")</f>
        <v>Камера видеонаблюдения HikVision DS-2CD2643G0-IZS (2.8-12mm) 4 Mp motor-zoom</v>
      </c>
      <c r="G5247" s="22" t="s">
        <v>55</v>
      </c>
      <c r="H5247" s="22" t="s">
        <v>55</v>
      </c>
      <c r="I5247" s="26">
        <v>43648.744641203702</v>
      </c>
      <c r="J5247" s="28" t="s">
        <v>52</v>
      </c>
      <c r="K5247" s="28" t="s">
        <v>52</v>
      </c>
      <c r="L5247" s="28" t="s">
        <v>52</v>
      </c>
      <c r="M5247" s="28" t="s">
        <v>52</v>
      </c>
      <c r="N5247" s="28" t="s">
        <v>52</v>
      </c>
    </row>
    <row r="5248" spans="1:14" x14ac:dyDescent="0.15">
      <c r="A5248" s="23" t="str">
        <f t="shared" si="230"/>
        <v>АО "ТОРГОВЫЙ ДОМ "ПЕРЕКРЕСТОК"</v>
      </c>
      <c r="B5248" s="24" t="s">
        <v>6999</v>
      </c>
      <c r="C5248" s="25">
        <v>0</v>
      </c>
      <c r="D5248" s="22" t="s">
        <v>7002</v>
      </c>
      <c r="E5248" s="22" t="s">
        <v>208</v>
      </c>
      <c r="F5248" s="23" t="str">
        <f>HYPERLINK("https://www.spark-marketing.ru/Card/Lot/71851422", "AC-TA361IR2 Бюджетная компактная купольная 1МП TVI видеокамера. Разрешение 720P, матрица 1/4"" CMOS, Цвет: 0.1 Лк (F1.8) / ЧБ: 0 Лк (ИК вкл.), объектив 3.6мм, режим «День/Ночь», механический ИК-фильтр, питание 12В DC, потребляемый ток 500мА, -10…+5°С...")</f>
        <v>AC-TA361IR2 Бюджетная компактная купольная 1МП TVI видеокамера. Разрешение 720P, матрица 1/4" CMOS, Цвет: 0.1 Лк (F1.8) / ЧБ: 0 Лк (ИК вкл.), объектив 3.6мм, режим «День/Ночь», механический ИК-фильтр, питание 12В DC, потребляемый ток 500мА, -10…+5°С...</v>
      </c>
      <c r="G5248" s="22" t="s">
        <v>55</v>
      </c>
      <c r="H5248" s="22" t="s">
        <v>55</v>
      </c>
      <c r="I5248" s="26">
        <v>43648.744641203702</v>
      </c>
      <c r="J5248" s="28" t="s">
        <v>52</v>
      </c>
      <c r="K5248" s="28" t="s">
        <v>52</v>
      </c>
      <c r="L5248" s="28" t="s">
        <v>52</v>
      </c>
      <c r="M5248" s="28" t="s">
        <v>52</v>
      </c>
      <c r="N5248" s="28" t="s">
        <v>52</v>
      </c>
    </row>
    <row r="5249" spans="1:14" x14ac:dyDescent="0.15">
      <c r="A5249" s="23" t="str">
        <f t="shared" si="230"/>
        <v>АО "ТОРГОВЫЙ ДОМ "ПЕРЕКРЕСТОК"</v>
      </c>
      <c r="B5249" s="24" t="s">
        <v>6999</v>
      </c>
      <c r="C5249" s="25">
        <v>0</v>
      </c>
      <c r="D5249" s="22" t="s">
        <v>7003</v>
      </c>
      <c r="E5249" s="22" t="s">
        <v>208</v>
      </c>
      <c r="F5249" s="23" t="str">
        <f>HYPERLINK("https://www.spark-marketing.ru/Card/Lot/71851767", "Сервер контроля кассовых операций Видеомаркет ( Intel Core i7 1150; Материнская плата ASUS H81M-K 1150; ОЗУ 2х4Gb DDR3; SSD 240Gb; Сетевая карта 10/100/1000Mbps х2; Корпус RackMount 550W; OS Windows 7/8/10 PRO-64 bit, Russian; MS SQL 2012) комплект ...")</f>
        <v>Сервер контроля кассовых операций Видеомаркет ( Intel Core i7 1150; Материнская плата ASUS H81M-K 1150; ОЗУ 2х4Gb DDR3; SSD 240Gb; Сетевая карта 10/100/1000Mbps х2; Корпус RackMount 550W; OS Windows 7/8/10 PRO-64 bit, Russian; MS SQL 2012) комплект ...</v>
      </c>
      <c r="G5249" s="22" t="s">
        <v>55</v>
      </c>
      <c r="H5249" s="22" t="s">
        <v>55</v>
      </c>
      <c r="I5249" s="26">
        <v>43648.744791666701</v>
      </c>
      <c r="J5249" s="28" t="s">
        <v>52</v>
      </c>
      <c r="K5249" s="28" t="s">
        <v>52</v>
      </c>
      <c r="L5249" s="28" t="s">
        <v>52</v>
      </c>
      <c r="M5249" s="28" t="s">
        <v>52</v>
      </c>
      <c r="N5249" s="28" t="s">
        <v>52</v>
      </c>
    </row>
    <row r="5250" spans="1:14" x14ac:dyDescent="0.15">
      <c r="A5250" s="23" t="str">
        <f t="shared" si="230"/>
        <v>АО "ТОРГОВЫЙ ДОМ "ПЕРЕКРЕСТОК"</v>
      </c>
      <c r="B5250" s="24" t="s">
        <v>6999</v>
      </c>
      <c r="C5250" s="25">
        <v>0</v>
      </c>
      <c r="D5250" s="22" t="s">
        <v>7007</v>
      </c>
      <c r="E5250" s="22" t="s">
        <v>208</v>
      </c>
      <c r="F5250" s="23" t="str">
        <f>HYPERLINK("https://www.spark-marketing.ru/Card/Lot/71854160", "Камера видеонаблюдения HikVision DS-2CD2043G0-I (4mm) булет")</f>
        <v>Камера видеонаблюдения HikVision DS-2CD2043G0-I (4mm) булет</v>
      </c>
      <c r="G5250" s="22" t="s">
        <v>55</v>
      </c>
      <c r="H5250" s="22" t="s">
        <v>55</v>
      </c>
      <c r="I5250" s="26">
        <v>43648.745219907403</v>
      </c>
      <c r="J5250" s="28" t="s">
        <v>52</v>
      </c>
      <c r="K5250" s="28" t="s">
        <v>52</v>
      </c>
      <c r="L5250" s="28" t="s">
        <v>52</v>
      </c>
      <c r="M5250" s="28" t="s">
        <v>52</v>
      </c>
      <c r="N5250" s="28" t="s">
        <v>52</v>
      </c>
    </row>
    <row r="5251" spans="1:14" x14ac:dyDescent="0.15">
      <c r="A5251" s="23" t="str">
        <f t="shared" si="230"/>
        <v>АО "ТОРГОВЫЙ ДОМ "ПЕРЕКРЕСТОК"</v>
      </c>
      <c r="B5251" s="24" t="s">
        <v>6999</v>
      </c>
      <c r="C5251" s="25">
        <v>0</v>
      </c>
      <c r="D5251" s="22" t="s">
        <v>7004</v>
      </c>
      <c r="E5251" s="22" t="s">
        <v>208</v>
      </c>
      <c r="F5251" s="23" t="str">
        <f>HYPERLINK("https://www.spark-marketing.ru/Card/Lot/71853114", "LTV CXM-220 64 Видеокамера TVI/AHD/CVI, PTZ уличная, 1080p, WDR, 3D DNR, BLC, EIS, объектив 4.8-153mm х30, ИК до 150м, IP66, -40°С+65°C, 24В (AC)")</f>
        <v>LTV CXM-220 64 Видеокамера TVI/AHD/CVI, PTZ уличная, 1080p, WDR, 3D DNR, BLC, EIS, объектив 4.8-153mm х30, ИК до 150м, IP66, -40°С+65°C, 24В (AC)</v>
      </c>
      <c r="G5251" s="22" t="s">
        <v>55</v>
      </c>
      <c r="H5251" s="22" t="s">
        <v>55</v>
      </c>
      <c r="I5251" s="26">
        <v>43648.745347222197</v>
      </c>
      <c r="J5251" s="28" t="s">
        <v>52</v>
      </c>
      <c r="K5251" s="28" t="s">
        <v>52</v>
      </c>
      <c r="L5251" s="28" t="s">
        <v>52</v>
      </c>
      <c r="M5251" s="28" t="s">
        <v>52</v>
      </c>
      <c r="N5251" s="28" t="s">
        <v>52</v>
      </c>
    </row>
    <row r="5252" spans="1:14" x14ac:dyDescent="0.15">
      <c r="A5252" s="23" t="str">
        <f t="shared" ref="A5252:A5315" si="231">HYPERLINK("https://www.spark-marketing.ru/Card/Person/1887298", "АО ""ТОРГОВЫЙ ДОМ ""ПЕРЕКРЕСТОК""")</f>
        <v>АО "ТОРГОВЫЙ ДОМ "ПЕРЕКРЕСТОК"</v>
      </c>
      <c r="B5252" s="24" t="s">
        <v>6999</v>
      </c>
      <c r="C5252" s="25">
        <v>0</v>
      </c>
      <c r="D5252" s="22" t="s">
        <v>7001</v>
      </c>
      <c r="E5252" s="22" t="s">
        <v>208</v>
      </c>
      <c r="F5252" s="23" t="str">
        <f>HYPERLINK("https://www.spark-marketing.ru/Card/Lot/71852501", "Видеопанель вызывная монохромная, 400 ТВЛ, ИК подсвет.; 122х40х24mm. Activision.")</f>
        <v>Видеопанель вызывная монохромная, 400 ТВЛ, ИК подсвет.; 122х40х24mm. Activision.</v>
      </c>
      <c r="G5252" s="22" t="s">
        <v>55</v>
      </c>
      <c r="H5252" s="22" t="s">
        <v>55</v>
      </c>
      <c r="I5252" s="26">
        <v>43648.7449305556</v>
      </c>
      <c r="J5252" s="28" t="s">
        <v>52</v>
      </c>
      <c r="K5252" s="28" t="s">
        <v>52</v>
      </c>
      <c r="L5252" s="28" t="s">
        <v>52</v>
      </c>
      <c r="M5252" s="28" t="s">
        <v>52</v>
      </c>
      <c r="N5252" s="28" t="s">
        <v>52</v>
      </c>
    </row>
    <row r="5253" spans="1:14" x14ac:dyDescent="0.15">
      <c r="A5253" s="23" t="str">
        <f t="shared" si="231"/>
        <v>АО "ТОРГОВЫЙ ДОМ "ПЕРЕКРЕСТОК"</v>
      </c>
      <c r="B5253" s="24" t="s">
        <v>6999</v>
      </c>
      <c r="C5253" s="25">
        <v>0</v>
      </c>
      <c r="D5253" s="22" t="s">
        <v>7004</v>
      </c>
      <c r="E5253" s="22" t="s">
        <v>208</v>
      </c>
      <c r="F5253" s="23" t="str">
        <f>HYPERLINK("https://www.spark-marketing.ru/Card/Lot/71852687", "Монтаж, подключение, настройка видеокамеры, уличной")</f>
        <v>Монтаж, подключение, настройка видеокамеры, уличной</v>
      </c>
      <c r="G5253" s="22" t="s">
        <v>55</v>
      </c>
      <c r="H5253" s="22" t="s">
        <v>55</v>
      </c>
      <c r="I5253" s="26">
        <v>43648.745347222197</v>
      </c>
      <c r="J5253" s="28" t="s">
        <v>52</v>
      </c>
      <c r="K5253" s="28" t="s">
        <v>52</v>
      </c>
      <c r="L5253" s="28" t="s">
        <v>52</v>
      </c>
      <c r="M5253" s="28" t="s">
        <v>52</v>
      </c>
      <c r="N5253" s="28" t="s">
        <v>52</v>
      </c>
    </row>
    <row r="5254" spans="1:14" x14ac:dyDescent="0.15">
      <c r="A5254" s="23" t="str">
        <f t="shared" si="231"/>
        <v>АО "ТОРГОВЫЙ ДОМ "ПЕРЕКРЕСТОК"</v>
      </c>
      <c r="B5254" s="24" t="s">
        <v>6999</v>
      </c>
      <c r="C5254" s="25">
        <v>0</v>
      </c>
      <c r="D5254" s="22" t="s">
        <v>7000</v>
      </c>
      <c r="E5254" s="22" t="s">
        <v>208</v>
      </c>
      <c r="F5254" s="23" t="str">
        <f>HYPERLINK("https://www.spark-marketing.ru/Card/Lot/71849985", "Камера видеонаблюдения HikVision DS-2DE4225W-DE3 PTZ")</f>
        <v>Камера видеонаблюдения HikVision DS-2DE4225W-DE3 PTZ</v>
      </c>
      <c r="G5254" s="22" t="s">
        <v>55</v>
      </c>
      <c r="H5254" s="22" t="s">
        <v>55</v>
      </c>
      <c r="I5254" s="26">
        <v>43648.7443055556</v>
      </c>
      <c r="J5254" s="28" t="s">
        <v>52</v>
      </c>
      <c r="K5254" s="28" t="s">
        <v>52</v>
      </c>
      <c r="L5254" s="28" t="s">
        <v>52</v>
      </c>
      <c r="M5254" s="28" t="s">
        <v>52</v>
      </c>
      <c r="N5254" s="28" t="s">
        <v>52</v>
      </c>
    </row>
    <row r="5255" spans="1:14" x14ac:dyDescent="0.15">
      <c r="A5255" s="23" t="str">
        <f t="shared" si="231"/>
        <v>АО "ТОРГОВЫЙ ДОМ "ПЕРЕКРЕСТОК"</v>
      </c>
      <c r="B5255" s="24" t="s">
        <v>6999</v>
      </c>
      <c r="C5255" s="25">
        <v>0</v>
      </c>
      <c r="D5255" s="22" t="s">
        <v>7003</v>
      </c>
      <c r="E5255" s="22" t="s">
        <v>208</v>
      </c>
      <c r="F5255" s="23" t="str">
        <f>HYPERLINK("https://www.spark-marketing.ru/Card/Lot/71851992", "Разъем питания видеокамеры")</f>
        <v>Разъем питания видеокамеры</v>
      </c>
      <c r="G5255" s="22" t="s">
        <v>55</v>
      </c>
      <c r="H5255" s="22" t="s">
        <v>55</v>
      </c>
      <c r="I5255" s="26">
        <v>43648.744791666701</v>
      </c>
      <c r="J5255" s="28" t="s">
        <v>52</v>
      </c>
      <c r="K5255" s="28" t="s">
        <v>52</v>
      </c>
      <c r="L5255" s="28" t="s">
        <v>52</v>
      </c>
      <c r="M5255" s="28" t="s">
        <v>52</v>
      </c>
      <c r="N5255" s="28" t="s">
        <v>52</v>
      </c>
    </row>
    <row r="5256" spans="1:14" x14ac:dyDescent="0.15">
      <c r="A5256" s="23" t="str">
        <f t="shared" si="231"/>
        <v>АО "ТОРГОВЫЙ ДОМ "ПЕРЕКРЕСТОК"</v>
      </c>
      <c r="B5256" s="24" t="s">
        <v>6999</v>
      </c>
      <c r="C5256" s="25">
        <v>0</v>
      </c>
      <c r="D5256" s="22" t="s">
        <v>7003</v>
      </c>
      <c r="E5256" s="22" t="s">
        <v>208</v>
      </c>
      <c r="F5256" s="23" t="str">
        <f>HYPERLINK("https://www.spark-marketing.ru/Card/Lot/71851748", "DH-HAC-HDPW1200RP-0360B-S3A объектив 3.6 мм с апертурой F/1.85, угл обзора по горизонтали - 89.9? HD-CVI, HD-TVI, AHD: транслирует по коаксиальному кабелю видеосигнал на расстояние 1200 м при разрешении 1 Мп и 800 м - при 2 Мп; по неэкранированной ви...")</f>
        <v>DH-HAC-HDPW1200RP-0360B-S3A объектив 3.6 мм с апертурой F/1.85, угл обзора по горизонтали - 89.9? HD-CVI, HD-TVI, AHD: транслирует по коаксиальному кабелю видеосигнал на расстояние 1200 м при разрешении 1 Мп и 800 м - при 2 Мп; по неэкранированной ви...</v>
      </c>
      <c r="G5256" s="22" t="s">
        <v>55</v>
      </c>
      <c r="H5256" s="22" t="s">
        <v>55</v>
      </c>
      <c r="I5256" s="26">
        <v>43648.744791666701</v>
      </c>
      <c r="J5256" s="28" t="s">
        <v>52</v>
      </c>
      <c r="K5256" s="28" t="s">
        <v>52</v>
      </c>
      <c r="L5256" s="28" t="s">
        <v>52</v>
      </c>
      <c r="M5256" s="28" t="s">
        <v>52</v>
      </c>
      <c r="N5256" s="28" t="s">
        <v>52</v>
      </c>
    </row>
    <row r="5257" spans="1:14" x14ac:dyDescent="0.15">
      <c r="A5257" s="23" t="str">
        <f t="shared" si="231"/>
        <v>АО "ТОРГОВЫЙ ДОМ "ПЕРЕКРЕСТОК"</v>
      </c>
      <c r="B5257" s="24" t="s">
        <v>6999</v>
      </c>
      <c r="C5257" s="25">
        <v>0</v>
      </c>
      <c r="D5257" s="22" t="s">
        <v>7006</v>
      </c>
      <c r="E5257" s="22" t="s">
        <v>208</v>
      </c>
      <c r="F5257" s="23" t="str">
        <f>HYPERLINK("https://www.spark-marketing.ru/Card/Lot/71851166", "Монтаж, подключение, настройка видеокамеры, уличной")</f>
        <v>Монтаж, подключение, настройка видеокамеры, уличной</v>
      </c>
      <c r="G5257" s="22" t="s">
        <v>55</v>
      </c>
      <c r="H5257" s="22" t="s">
        <v>55</v>
      </c>
      <c r="I5257" s="26">
        <v>43648.744490740697</v>
      </c>
      <c r="J5257" s="28" t="s">
        <v>52</v>
      </c>
      <c r="K5257" s="28" t="s">
        <v>52</v>
      </c>
      <c r="L5257" s="28" t="s">
        <v>52</v>
      </c>
      <c r="M5257" s="28" t="s">
        <v>52</v>
      </c>
      <c r="N5257" s="28" t="s">
        <v>52</v>
      </c>
    </row>
    <row r="5258" spans="1:14" x14ac:dyDescent="0.15">
      <c r="A5258" s="23" t="str">
        <f t="shared" si="231"/>
        <v>АО "ТОРГОВЫЙ ДОМ "ПЕРЕКРЕСТОК"</v>
      </c>
      <c r="B5258" s="24" t="s">
        <v>6999</v>
      </c>
      <c r="C5258" s="25">
        <v>0</v>
      </c>
      <c r="D5258" s="22" t="s">
        <v>7005</v>
      </c>
      <c r="E5258" s="22" t="s">
        <v>208</v>
      </c>
      <c r="F5258" s="23" t="str">
        <f>HYPERLINK("https://www.spark-marketing.ru/Card/Lot/71854249", "LTV CXM-220 64 Видеокамера TVI/AHD/CVI, PTZ уличная, 1080p, WDR, 3D DNR, BLC, EIS, объектив 4.8-153mm х30, ИК до 150м, IP66, -40°С+65°C, 24В (AC)")</f>
        <v>LTV CXM-220 64 Видеокамера TVI/AHD/CVI, PTZ уличная, 1080p, WDR, 3D DNR, BLC, EIS, объектив 4.8-153mm х30, ИК до 150м, IP66, -40°С+65°C, 24В (AC)</v>
      </c>
      <c r="G5258" s="22" t="s">
        <v>55</v>
      </c>
      <c r="H5258" s="22" t="s">
        <v>55</v>
      </c>
      <c r="I5258" s="26">
        <v>43648.745069444398</v>
      </c>
      <c r="J5258" s="28" t="s">
        <v>52</v>
      </c>
      <c r="K5258" s="28" t="s">
        <v>52</v>
      </c>
      <c r="L5258" s="28" t="s">
        <v>52</v>
      </c>
      <c r="M5258" s="28" t="s">
        <v>52</v>
      </c>
      <c r="N5258" s="28" t="s">
        <v>52</v>
      </c>
    </row>
    <row r="5259" spans="1:14" x14ac:dyDescent="0.15">
      <c r="A5259" s="23" t="str">
        <f t="shared" si="231"/>
        <v>АО "ТОРГОВЫЙ ДОМ "ПЕРЕКРЕСТОК"</v>
      </c>
      <c r="B5259" s="24" t="s">
        <v>6999</v>
      </c>
      <c r="C5259" s="25">
        <v>0</v>
      </c>
      <c r="D5259" s="22" t="s">
        <v>7000</v>
      </c>
      <c r="E5259" s="22" t="s">
        <v>208</v>
      </c>
      <c r="F5259" s="23" t="str">
        <f>HYPERLINK("https://www.spark-marketing.ru/Card/Lot/71850627", "Демонтаж Системы видеонаблюдения (включая кабельные трассы)")</f>
        <v>Демонтаж Системы видеонаблюдения (включая кабельные трассы)</v>
      </c>
      <c r="G5259" s="22" t="s">
        <v>55</v>
      </c>
      <c r="H5259" s="22" t="s">
        <v>55</v>
      </c>
      <c r="I5259" s="26">
        <v>43648.7443055556</v>
      </c>
      <c r="J5259" s="28" t="s">
        <v>52</v>
      </c>
      <c r="K5259" s="28" t="s">
        <v>52</v>
      </c>
      <c r="L5259" s="28" t="s">
        <v>52</v>
      </c>
      <c r="M5259" s="28" t="s">
        <v>52</v>
      </c>
      <c r="N5259" s="28" t="s">
        <v>52</v>
      </c>
    </row>
    <row r="5260" spans="1:14" x14ac:dyDescent="0.15">
      <c r="A5260" s="23" t="str">
        <f t="shared" si="231"/>
        <v>АО "ТОРГОВЫЙ ДОМ "ПЕРЕКРЕСТОК"</v>
      </c>
      <c r="B5260" s="24" t="s">
        <v>6999</v>
      </c>
      <c r="C5260" s="25">
        <v>0</v>
      </c>
      <c r="D5260" s="22" t="s">
        <v>7003</v>
      </c>
      <c r="E5260" s="22" t="s">
        <v>208</v>
      </c>
      <c r="F5260" s="23" t="str">
        <f>HYPERLINK("https://www.spark-marketing.ru/Card/Lot/71851802", "Камера видеонаблюдения HikVision DS-2CD2023G0-I (4mm) булет")</f>
        <v>Камера видеонаблюдения HikVision DS-2CD2023G0-I (4mm) булет</v>
      </c>
      <c r="G5260" s="22" t="s">
        <v>55</v>
      </c>
      <c r="H5260" s="22" t="s">
        <v>55</v>
      </c>
      <c r="I5260" s="26">
        <v>43648.744791666701</v>
      </c>
      <c r="J5260" s="28" t="s">
        <v>52</v>
      </c>
      <c r="K5260" s="28" t="s">
        <v>52</v>
      </c>
      <c r="L5260" s="28" t="s">
        <v>52</v>
      </c>
      <c r="M5260" s="28" t="s">
        <v>52</v>
      </c>
      <c r="N5260" s="28" t="s">
        <v>52</v>
      </c>
    </row>
    <row r="5261" spans="1:14" x14ac:dyDescent="0.15">
      <c r="A5261" s="23" t="str">
        <f t="shared" si="231"/>
        <v>АО "ТОРГОВЫЙ ДОМ "ПЕРЕКРЕСТОК"</v>
      </c>
      <c r="B5261" s="24" t="s">
        <v>6999</v>
      </c>
      <c r="C5261" s="25">
        <v>0</v>
      </c>
      <c r="D5261" s="22" t="s">
        <v>7006</v>
      </c>
      <c r="E5261" s="22" t="s">
        <v>208</v>
      </c>
      <c r="F5261" s="23" t="str">
        <f>HYPERLINK("https://www.spark-marketing.ru/Card/Lot/71850657", "Камера видеонаблюдения HikVision DS-2CD2143G0-IS (6mm) купол")</f>
        <v>Камера видеонаблюдения HikVision DS-2CD2143G0-IS (6mm) купол</v>
      </c>
      <c r="G5261" s="22" t="s">
        <v>55</v>
      </c>
      <c r="H5261" s="22" t="s">
        <v>55</v>
      </c>
      <c r="I5261" s="26">
        <v>43648.744490740697</v>
      </c>
      <c r="J5261" s="28" t="s">
        <v>52</v>
      </c>
      <c r="K5261" s="28" t="s">
        <v>52</v>
      </c>
      <c r="L5261" s="28" t="s">
        <v>52</v>
      </c>
      <c r="M5261" s="28" t="s">
        <v>52</v>
      </c>
      <c r="N5261" s="28" t="s">
        <v>52</v>
      </c>
    </row>
    <row r="5262" spans="1:14" x14ac:dyDescent="0.15">
      <c r="A5262" s="23" t="str">
        <f t="shared" si="231"/>
        <v>АО "ТОРГОВЫЙ ДОМ "ПЕРЕКРЕСТОК"</v>
      </c>
      <c r="B5262" s="24" t="s">
        <v>6999</v>
      </c>
      <c r="C5262" s="25">
        <v>0</v>
      </c>
      <c r="D5262" s="22" t="s">
        <v>7008</v>
      </c>
      <c r="E5262" s="22" t="s">
        <v>208</v>
      </c>
      <c r="F5262" s="23" t="str">
        <f>HYPERLINK("https://www.spark-marketing.ru/Card/Lot/71854689", "Демонтаж Системы видеонаблюдения (включая кабельные трассы)")</f>
        <v>Демонтаж Системы видеонаблюдения (включая кабельные трассы)</v>
      </c>
      <c r="G5262" s="22" t="s">
        <v>55</v>
      </c>
      <c r="H5262" s="22" t="s">
        <v>55</v>
      </c>
      <c r="I5262" s="26">
        <v>43648.745509259301</v>
      </c>
      <c r="J5262" s="28" t="s">
        <v>52</v>
      </c>
      <c r="K5262" s="28" t="s">
        <v>52</v>
      </c>
      <c r="L5262" s="28" t="s">
        <v>52</v>
      </c>
      <c r="M5262" s="28" t="s">
        <v>52</v>
      </c>
      <c r="N5262" s="28" t="s">
        <v>52</v>
      </c>
    </row>
    <row r="5263" spans="1:14" x14ac:dyDescent="0.15">
      <c r="A5263" s="23" t="str">
        <f t="shared" si="231"/>
        <v>АО "ТОРГОВЫЙ ДОМ "ПЕРЕКРЕСТОК"</v>
      </c>
      <c r="B5263" s="24" t="s">
        <v>6999</v>
      </c>
      <c r="C5263" s="25">
        <v>0</v>
      </c>
      <c r="D5263" s="22" t="s">
        <v>7001</v>
      </c>
      <c r="E5263" s="22" t="s">
        <v>208</v>
      </c>
      <c r="F5263" s="23" t="str">
        <f>HYPERLINK("https://www.spark-marketing.ru/Card/Lot/71852460", "AC-TA281IR2 Уличная 2МП TVI видеокамера в компактном кожухе. Разрешение 1080P, матрица 1/2.8"" CMOS SONY, Цвет: 0.05 Лк (F1.8) / ЧБ: 0 Лк (ИК вкл.), объектив 3.6мм, режим «День/Ночь», механический ИК-фильтр, 3D-NR, DWDR, OSD, питание 12В DC, потребля...")</f>
        <v>AC-TA281IR2 Уличная 2МП TVI видеокамера в компактном кожухе. Разрешение 1080P, матрица 1/2.8" CMOS SONY, Цвет: 0.05 Лк (F1.8) / ЧБ: 0 Лк (ИК вкл.), объектив 3.6мм, режим «День/Ночь», механический ИК-фильтр, 3D-NR, DWDR, OSD, питание 12В DC, потребля...</v>
      </c>
      <c r="G5263" s="22" t="s">
        <v>55</v>
      </c>
      <c r="H5263" s="22" t="s">
        <v>55</v>
      </c>
      <c r="I5263" s="26">
        <v>43648.7449305556</v>
      </c>
      <c r="J5263" s="28" t="s">
        <v>52</v>
      </c>
      <c r="K5263" s="28" t="s">
        <v>52</v>
      </c>
      <c r="L5263" s="28" t="s">
        <v>52</v>
      </c>
      <c r="M5263" s="28" t="s">
        <v>52</v>
      </c>
      <c r="N5263" s="28" t="s">
        <v>52</v>
      </c>
    </row>
    <row r="5264" spans="1:14" x14ac:dyDescent="0.15">
      <c r="A5264" s="23" t="str">
        <f t="shared" si="231"/>
        <v>АО "ТОРГОВЫЙ ДОМ "ПЕРЕКРЕСТОК"</v>
      </c>
      <c r="B5264" s="24" t="s">
        <v>6999</v>
      </c>
      <c r="C5264" s="25">
        <v>0</v>
      </c>
      <c r="D5264" s="22" t="s">
        <v>7008</v>
      </c>
      <c r="E5264" s="22" t="s">
        <v>208</v>
      </c>
      <c r="F5264" s="23" t="str">
        <f>HYPERLINK("https://www.spark-marketing.ru/Card/Lot/71854782", "LTV-BMW-147 (GL-213), кронштейн для корпусных видеокамер, белый, пластиковый, длина 147 мм")</f>
        <v>LTV-BMW-147 (GL-213), кронштейн для корпусных видеокамер, белый, пластиковый, длина 147 мм</v>
      </c>
      <c r="G5264" s="22" t="s">
        <v>55</v>
      </c>
      <c r="H5264" s="22" t="s">
        <v>55</v>
      </c>
      <c r="I5264" s="26">
        <v>43648.745509259301</v>
      </c>
      <c r="J5264" s="28" t="s">
        <v>52</v>
      </c>
      <c r="K5264" s="28" t="s">
        <v>52</v>
      </c>
      <c r="L5264" s="28" t="s">
        <v>52</v>
      </c>
      <c r="M5264" s="28" t="s">
        <v>52</v>
      </c>
      <c r="N5264" s="28" t="s">
        <v>52</v>
      </c>
    </row>
    <row r="5265" spans="1:14" x14ac:dyDescent="0.15">
      <c r="A5265" s="23" t="str">
        <f t="shared" si="231"/>
        <v>АО "ТОРГОВЫЙ ДОМ "ПЕРЕКРЕСТОК"</v>
      </c>
      <c r="B5265" s="24" t="s">
        <v>6999</v>
      </c>
      <c r="C5265" s="25">
        <v>0</v>
      </c>
      <c r="D5265" s="22" t="s">
        <v>7002</v>
      </c>
      <c r="E5265" s="22" t="s">
        <v>208</v>
      </c>
      <c r="F5265" s="23" t="str">
        <f>HYPERLINK("https://www.spark-marketing.ru/Card/Lot/71851485", "Демонтаж Системы охранной сигнализации (включая кабельные трассы)")</f>
        <v>Демонтаж Системы охранной сигнализации (включая кабельные трассы)</v>
      </c>
      <c r="G5265" s="22" t="s">
        <v>55</v>
      </c>
      <c r="H5265" s="22" t="s">
        <v>55</v>
      </c>
      <c r="I5265" s="26">
        <v>43648.744641203702</v>
      </c>
      <c r="J5265" s="28" t="s">
        <v>52</v>
      </c>
      <c r="K5265" s="28" t="s">
        <v>52</v>
      </c>
      <c r="L5265" s="28" t="s">
        <v>52</v>
      </c>
      <c r="M5265" s="28" t="s">
        <v>52</v>
      </c>
      <c r="N5265" s="28" t="s">
        <v>52</v>
      </c>
    </row>
    <row r="5266" spans="1:14" x14ac:dyDescent="0.15">
      <c r="A5266" s="23" t="str">
        <f t="shared" si="231"/>
        <v>АО "ТОРГОВЫЙ ДОМ "ПЕРЕКРЕСТОК"</v>
      </c>
      <c r="B5266" s="24" t="s">
        <v>6999</v>
      </c>
      <c r="C5266" s="25">
        <v>0</v>
      </c>
      <c r="D5266" s="22" t="s">
        <v>7001</v>
      </c>
      <c r="E5266" s="22" t="s">
        <v>208</v>
      </c>
      <c r="F5266" s="23" t="str">
        <f>HYPERLINK("https://www.spark-marketing.ru/Card/Lot/71852449", "LTV-BMW-147 (GL-213), кронштейн для корпусных видеокамер, белый, пластиковый, длина 147 мм")</f>
        <v>LTV-BMW-147 (GL-213), кронштейн для корпусных видеокамер, белый, пластиковый, длина 147 мм</v>
      </c>
      <c r="G5266" s="22" t="s">
        <v>55</v>
      </c>
      <c r="H5266" s="22" t="s">
        <v>55</v>
      </c>
      <c r="I5266" s="26">
        <v>43648.7449305556</v>
      </c>
      <c r="J5266" s="28" t="s">
        <v>52</v>
      </c>
      <c r="K5266" s="28" t="s">
        <v>52</v>
      </c>
      <c r="L5266" s="28" t="s">
        <v>52</v>
      </c>
      <c r="M5266" s="28" t="s">
        <v>52</v>
      </c>
      <c r="N5266" s="28" t="s">
        <v>52</v>
      </c>
    </row>
    <row r="5267" spans="1:14" x14ac:dyDescent="0.15">
      <c r="A5267" s="23" t="str">
        <f t="shared" si="231"/>
        <v>АО "ТОРГОВЫЙ ДОМ "ПЕРЕКРЕСТОК"</v>
      </c>
      <c r="B5267" s="24" t="s">
        <v>6999</v>
      </c>
      <c r="C5267" s="25">
        <v>0</v>
      </c>
      <c r="D5267" s="22" t="s">
        <v>7006</v>
      </c>
      <c r="E5267" s="22" t="s">
        <v>208</v>
      </c>
      <c r="F5267" s="23" t="str">
        <f>HYPERLINK("https://www.spark-marketing.ru/Card/Lot/71850586", "AC-TA381IR2 Компактная купольная 2МП TVI видеокамера. Разрешение 1080P, матрица 1/2.8"" CMOS SONY, Цвет: 0.05 Лк (F1.8) / ЧБ: 0 Лк (ИК вкл.), объектив 3.6мм, режим «День/Ночь», механический ИК-фильтр, 3D-NR, DWDR, OSD, питание 12В DC, потребляемый то...")</f>
        <v>AC-TA381IR2 Компактная купольная 2МП TVI видеокамера. Разрешение 1080P, матрица 1/2.8" CMOS SONY, Цвет: 0.05 Лк (F1.8) / ЧБ: 0 Лк (ИК вкл.), объектив 3.6мм, режим «День/Ночь», механический ИК-фильтр, 3D-NR, DWDR, OSD, питание 12В DC, потребляемый то...</v>
      </c>
      <c r="G5267" s="22" t="s">
        <v>55</v>
      </c>
      <c r="H5267" s="22" t="s">
        <v>55</v>
      </c>
      <c r="I5267" s="26">
        <v>43648.744490740697</v>
      </c>
      <c r="J5267" s="28" t="s">
        <v>52</v>
      </c>
      <c r="K5267" s="28" t="s">
        <v>52</v>
      </c>
      <c r="L5267" s="28" t="s">
        <v>52</v>
      </c>
      <c r="M5267" s="28" t="s">
        <v>52</v>
      </c>
      <c r="N5267" s="28" t="s">
        <v>52</v>
      </c>
    </row>
    <row r="5268" spans="1:14" x14ac:dyDescent="0.15">
      <c r="A5268" s="23" t="str">
        <f t="shared" si="231"/>
        <v>АО "ТОРГОВЫЙ ДОМ "ПЕРЕКРЕСТОК"</v>
      </c>
      <c r="B5268" s="24" t="s">
        <v>6999</v>
      </c>
      <c r="C5268" s="25">
        <v>0</v>
      </c>
      <c r="D5268" s="22" t="s">
        <v>7000</v>
      </c>
      <c r="E5268" s="22" t="s">
        <v>208</v>
      </c>
      <c r="F5268" s="23" t="str">
        <f>HYPERLINK("https://www.spark-marketing.ru/Card/Lot/71850599", "Монтаж, подключение, настройка видеокамеры, уличной")</f>
        <v>Монтаж, подключение, настройка видеокамеры, уличной</v>
      </c>
      <c r="G5268" s="22" t="s">
        <v>55</v>
      </c>
      <c r="H5268" s="22" t="s">
        <v>55</v>
      </c>
      <c r="I5268" s="26">
        <v>43648.7443055556</v>
      </c>
      <c r="J5268" s="28" t="s">
        <v>52</v>
      </c>
      <c r="K5268" s="28" t="s">
        <v>52</v>
      </c>
      <c r="L5268" s="28" t="s">
        <v>52</v>
      </c>
      <c r="M5268" s="28" t="s">
        <v>52</v>
      </c>
      <c r="N5268" s="28" t="s">
        <v>52</v>
      </c>
    </row>
    <row r="5269" spans="1:14" x14ac:dyDescent="0.15">
      <c r="A5269" s="23" t="str">
        <f t="shared" si="231"/>
        <v>АО "ТОРГОВЫЙ ДОМ "ПЕРЕКРЕСТОК"</v>
      </c>
      <c r="B5269" s="24" t="s">
        <v>6999</v>
      </c>
      <c r="C5269" s="25">
        <v>0</v>
      </c>
      <c r="D5269" s="22" t="s">
        <v>7006</v>
      </c>
      <c r="E5269" s="22" t="s">
        <v>208</v>
      </c>
      <c r="F5269" s="23" t="str">
        <f>HYPERLINK("https://www.spark-marketing.ru/Card/Lot/71850656", "Камера видеонаблюдения HikVision DS-2CD2123G0-IS (2.8mm) купол")</f>
        <v>Камера видеонаблюдения HikVision DS-2CD2123G0-IS (2.8mm) купол</v>
      </c>
      <c r="G5269" s="22" t="s">
        <v>55</v>
      </c>
      <c r="H5269" s="22" t="s">
        <v>55</v>
      </c>
      <c r="I5269" s="26">
        <v>43648.744490740697</v>
      </c>
      <c r="J5269" s="28" t="s">
        <v>52</v>
      </c>
      <c r="K5269" s="28" t="s">
        <v>52</v>
      </c>
      <c r="L5269" s="28" t="s">
        <v>52</v>
      </c>
      <c r="M5269" s="28" t="s">
        <v>52</v>
      </c>
      <c r="N5269" s="28" t="s">
        <v>52</v>
      </c>
    </row>
    <row r="5270" spans="1:14" x14ac:dyDescent="0.15">
      <c r="A5270" s="23" t="str">
        <f t="shared" si="231"/>
        <v>АО "ТОРГОВЫЙ ДОМ "ПЕРЕКРЕСТОК"</v>
      </c>
      <c r="B5270" s="24" t="s">
        <v>6999</v>
      </c>
      <c r="C5270" s="25">
        <v>0</v>
      </c>
      <c r="D5270" s="22" t="s">
        <v>7003</v>
      </c>
      <c r="E5270" s="22" t="s">
        <v>208</v>
      </c>
      <c r="F5270" s="23" t="str">
        <f>HYPERLINK("https://www.spark-marketing.ru/Card/Lot/71851769", "LTV RTB-081 00, 8-канальный TVI/AHD видеорегистратор, 720P: 200 к/c, Ethernet, VGA/HDMI, 1 канал Audio, 1 HDD до 6Тб")</f>
        <v>LTV RTB-081 00, 8-канальный TVI/AHD видеорегистратор, 720P: 200 к/c, Ethernet, VGA/HDMI, 1 канал Audio, 1 HDD до 6Тб</v>
      </c>
      <c r="G5270" s="22" t="s">
        <v>55</v>
      </c>
      <c r="H5270" s="22" t="s">
        <v>55</v>
      </c>
      <c r="I5270" s="26">
        <v>43648.744791666701</v>
      </c>
      <c r="J5270" s="28" t="s">
        <v>52</v>
      </c>
      <c r="K5270" s="28" t="s">
        <v>52</v>
      </c>
      <c r="L5270" s="28" t="s">
        <v>52</v>
      </c>
      <c r="M5270" s="28" t="s">
        <v>52</v>
      </c>
      <c r="N5270" s="28" t="s">
        <v>52</v>
      </c>
    </row>
    <row r="5271" spans="1:14" x14ac:dyDescent="0.15">
      <c r="A5271" s="23" t="str">
        <f t="shared" si="231"/>
        <v>АО "ТОРГОВЫЙ ДОМ "ПЕРЕКРЕСТОК"</v>
      </c>
      <c r="B5271" s="24" t="s">
        <v>6999</v>
      </c>
      <c r="C5271" s="25">
        <v>0</v>
      </c>
      <c r="D5271" s="22" t="s">
        <v>7004</v>
      </c>
      <c r="E5271" s="22" t="s">
        <v>208</v>
      </c>
      <c r="F5271" s="23" t="str">
        <f>HYPERLINK("https://www.spark-marketing.ru/Card/Lot/71852747", "Камера видеонаблюдения HikVision DS-2CD2043G0-I (4mm) булет")</f>
        <v>Камера видеонаблюдения HikVision DS-2CD2043G0-I (4mm) булет</v>
      </c>
      <c r="G5271" s="22" t="s">
        <v>55</v>
      </c>
      <c r="H5271" s="22" t="s">
        <v>55</v>
      </c>
      <c r="I5271" s="26">
        <v>43648.745347222197</v>
      </c>
      <c r="J5271" s="28" t="s">
        <v>52</v>
      </c>
      <c r="K5271" s="28" t="s">
        <v>52</v>
      </c>
      <c r="L5271" s="28" t="s">
        <v>52</v>
      </c>
      <c r="M5271" s="28" t="s">
        <v>52</v>
      </c>
      <c r="N5271" s="28" t="s">
        <v>52</v>
      </c>
    </row>
    <row r="5272" spans="1:14" x14ac:dyDescent="0.15">
      <c r="A5272" s="23" t="str">
        <f t="shared" si="231"/>
        <v>АО "ТОРГОВЫЙ ДОМ "ПЕРЕКРЕСТОК"</v>
      </c>
      <c r="B5272" s="24" t="s">
        <v>6999</v>
      </c>
      <c r="C5272" s="25">
        <v>0</v>
      </c>
      <c r="D5272" s="22" t="s">
        <v>7001</v>
      </c>
      <c r="E5272" s="22" t="s">
        <v>208</v>
      </c>
      <c r="F5272" s="23" t="str">
        <f>HYPERLINK("https://www.spark-marketing.ru/Card/Lot/71852406", "Опустошение полок (на одну видеокамеру камеру)")</f>
        <v>Опустошение полок (на одну видеокамеру камеру)</v>
      </c>
      <c r="G5272" s="22" t="s">
        <v>55</v>
      </c>
      <c r="H5272" s="22" t="s">
        <v>55</v>
      </c>
      <c r="I5272" s="26">
        <v>43648.7449305556</v>
      </c>
      <c r="J5272" s="28" t="s">
        <v>52</v>
      </c>
      <c r="K5272" s="28" t="s">
        <v>52</v>
      </c>
      <c r="L5272" s="28" t="s">
        <v>52</v>
      </c>
      <c r="M5272" s="28" t="s">
        <v>52</v>
      </c>
      <c r="N5272" s="28" t="s">
        <v>52</v>
      </c>
    </row>
    <row r="5273" spans="1:14" x14ac:dyDescent="0.15">
      <c r="A5273" s="23" t="str">
        <f t="shared" si="231"/>
        <v>АО "ТОРГОВЫЙ ДОМ "ПЕРЕКРЕСТОК"</v>
      </c>
      <c r="B5273" s="24" t="s">
        <v>6999</v>
      </c>
      <c r="C5273" s="25">
        <v>0</v>
      </c>
      <c r="D5273" s="22" t="s">
        <v>7003</v>
      </c>
      <c r="E5273" s="22" t="s">
        <v>208</v>
      </c>
      <c r="F5273" s="23" t="str">
        <f>HYPERLINK("https://www.spark-marketing.ru/Card/Lot/71852309", "Монтаж, подключение, настройка видеокамеры, уличной")</f>
        <v>Монтаж, подключение, настройка видеокамеры, уличной</v>
      </c>
      <c r="G5273" s="22" t="s">
        <v>55</v>
      </c>
      <c r="H5273" s="22" t="s">
        <v>55</v>
      </c>
      <c r="I5273" s="26">
        <v>43648.744791666701</v>
      </c>
      <c r="J5273" s="28" t="s">
        <v>52</v>
      </c>
      <c r="K5273" s="28" t="s">
        <v>52</v>
      </c>
      <c r="L5273" s="28" t="s">
        <v>52</v>
      </c>
      <c r="M5273" s="28" t="s">
        <v>52</v>
      </c>
      <c r="N5273" s="28" t="s">
        <v>52</v>
      </c>
    </row>
    <row r="5274" spans="1:14" x14ac:dyDescent="0.15">
      <c r="A5274" s="23" t="str">
        <f t="shared" si="231"/>
        <v>АО "ТОРГОВЫЙ ДОМ "ПЕРЕКРЕСТОК"</v>
      </c>
      <c r="B5274" s="24" t="s">
        <v>6999</v>
      </c>
      <c r="C5274" s="25">
        <v>0</v>
      </c>
      <c r="D5274" s="22" t="s">
        <v>7000</v>
      </c>
      <c r="E5274" s="22" t="s">
        <v>208</v>
      </c>
      <c r="F5274" s="23" t="str">
        <f>HYPERLINK("https://www.spark-marketing.ru/Card/Lot/71850268", "LTV-BMW-175 (GL-203E) Кронштейн 175мм для видеокамер, белый, металлический")</f>
        <v>LTV-BMW-175 (GL-203E) Кронштейн 175мм для видеокамер, белый, металлический</v>
      </c>
      <c r="G5274" s="22" t="s">
        <v>55</v>
      </c>
      <c r="H5274" s="22" t="s">
        <v>55</v>
      </c>
      <c r="I5274" s="26">
        <v>43648.7443055556</v>
      </c>
      <c r="J5274" s="28" t="s">
        <v>52</v>
      </c>
      <c r="K5274" s="28" t="s">
        <v>52</v>
      </c>
      <c r="L5274" s="28" t="s">
        <v>52</v>
      </c>
      <c r="M5274" s="28" t="s">
        <v>52</v>
      </c>
      <c r="N5274" s="28" t="s">
        <v>52</v>
      </c>
    </row>
    <row r="5275" spans="1:14" x14ac:dyDescent="0.15">
      <c r="A5275" s="23" t="str">
        <f t="shared" si="231"/>
        <v>АО "ТОРГОВЫЙ ДОМ "ПЕРЕКРЕСТОК"</v>
      </c>
      <c r="B5275" s="24" t="s">
        <v>6999</v>
      </c>
      <c r="C5275" s="25">
        <v>0</v>
      </c>
      <c r="D5275" s="22" t="s">
        <v>7003</v>
      </c>
      <c r="E5275" s="22" t="s">
        <v>208</v>
      </c>
      <c r="F5275" s="23" t="str">
        <f>HYPERLINK("https://www.spark-marketing.ru/Card/Lot/71851774", "LTV CTM-110 22. Видеокамера TVI, купольная поворотная, 720P, DWDR, 23-x трансфокатор, внутренняя, IP40, -10°С +50°C, 24В АС")</f>
        <v>LTV CTM-110 22. Видеокамера TVI, купольная поворотная, 720P, DWDR, 23-x трансфокатор, внутренняя, IP40, -10°С +50°C, 24В АС</v>
      </c>
      <c r="G5275" s="22" t="s">
        <v>55</v>
      </c>
      <c r="H5275" s="22" t="s">
        <v>55</v>
      </c>
      <c r="I5275" s="26">
        <v>43648.744791666701</v>
      </c>
      <c r="J5275" s="28" t="s">
        <v>52</v>
      </c>
      <c r="K5275" s="28" t="s">
        <v>52</v>
      </c>
      <c r="L5275" s="28" t="s">
        <v>52</v>
      </c>
      <c r="M5275" s="28" t="s">
        <v>52</v>
      </c>
      <c r="N5275" s="28" t="s">
        <v>52</v>
      </c>
    </row>
    <row r="5276" spans="1:14" x14ac:dyDescent="0.15">
      <c r="A5276" s="23" t="str">
        <f t="shared" si="231"/>
        <v>АО "ТОРГОВЫЙ ДОМ "ПЕРЕКРЕСТОК"</v>
      </c>
      <c r="B5276" s="24" t="s">
        <v>6999</v>
      </c>
      <c r="C5276" s="25">
        <v>0</v>
      </c>
      <c r="D5276" s="22" t="s">
        <v>7000</v>
      </c>
      <c r="E5276" s="22" t="s">
        <v>208</v>
      </c>
      <c r="F5276" s="23" t="str">
        <f>HYPERLINK("https://www.spark-marketing.ru/Card/Lot/71850241", "Сервер контроля кассовых операций Видеомаркет ( Intel Core i7 1150; Материнская плата ASUS H81M-K 1150; ОЗУ 2х4Gb DDR3; SSD 240Gb; Сетевая карта 10/100/1000Mbps х2; Корпус RackMount 550W; OS Windows 7/8/10 PRO-64 bit, Russian; MS SQL 2012) комплект ...")</f>
        <v>Сервер контроля кассовых операций Видеомаркет ( Intel Core i7 1150; Материнская плата ASUS H81M-K 1150; ОЗУ 2х4Gb DDR3; SSD 240Gb; Сетевая карта 10/100/1000Mbps х2; Корпус RackMount 550W; OS Windows 7/8/10 PRO-64 bit, Russian; MS SQL 2012) комплект ...</v>
      </c>
      <c r="G5276" s="22" t="s">
        <v>55</v>
      </c>
      <c r="H5276" s="22" t="s">
        <v>55</v>
      </c>
      <c r="I5276" s="26">
        <v>43648.7443055556</v>
      </c>
      <c r="J5276" s="28" t="s">
        <v>52</v>
      </c>
      <c r="K5276" s="28" t="s">
        <v>52</v>
      </c>
      <c r="L5276" s="28" t="s">
        <v>52</v>
      </c>
      <c r="M5276" s="28" t="s">
        <v>52</v>
      </c>
      <c r="N5276" s="28" t="s">
        <v>52</v>
      </c>
    </row>
    <row r="5277" spans="1:14" x14ac:dyDescent="0.15">
      <c r="A5277" s="23" t="str">
        <f t="shared" si="231"/>
        <v>АО "ТОРГОВЫЙ ДОМ "ПЕРЕКРЕСТОК"</v>
      </c>
      <c r="B5277" s="24" t="s">
        <v>6999</v>
      </c>
      <c r="C5277" s="25">
        <v>0</v>
      </c>
      <c r="D5277" s="22" t="s">
        <v>7001</v>
      </c>
      <c r="E5277" s="22" t="s">
        <v>208</v>
      </c>
      <c r="F5277" s="23" t="str">
        <f>HYPERLINK("https://www.spark-marketing.ru/Card/Lot/71852221", "Камера видеонаблюдения HikVision DS-2CE16D8T-IT3ZE HD-TVI motor-zoom")</f>
        <v>Камера видеонаблюдения HikVision DS-2CE16D8T-IT3ZE HD-TVI motor-zoom</v>
      </c>
      <c r="G5277" s="22" t="s">
        <v>55</v>
      </c>
      <c r="H5277" s="22" t="s">
        <v>55</v>
      </c>
      <c r="I5277" s="26">
        <v>43648.7449305556</v>
      </c>
      <c r="J5277" s="28" t="s">
        <v>52</v>
      </c>
      <c r="K5277" s="28" t="s">
        <v>52</v>
      </c>
      <c r="L5277" s="28" t="s">
        <v>52</v>
      </c>
      <c r="M5277" s="28" t="s">
        <v>52</v>
      </c>
      <c r="N5277" s="28" t="s">
        <v>52</v>
      </c>
    </row>
    <row r="5278" spans="1:14" x14ac:dyDescent="0.15">
      <c r="A5278" s="23" t="str">
        <f t="shared" si="231"/>
        <v>АО "ТОРГОВЫЙ ДОМ "ПЕРЕКРЕСТОК"</v>
      </c>
      <c r="B5278" s="24" t="s">
        <v>6999</v>
      </c>
      <c r="C5278" s="25">
        <v>0</v>
      </c>
      <c r="D5278" s="22" t="s">
        <v>7007</v>
      </c>
      <c r="E5278" s="22" t="s">
        <v>208</v>
      </c>
      <c r="F5278" s="23" t="str">
        <f>HYPERLINK("https://www.spark-marketing.ru/Card/Lot/71852848", "AC-TA263IR3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f>
        <v>AC-TA263IR3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v>
      </c>
      <c r="G5278" s="22" t="s">
        <v>55</v>
      </c>
      <c r="H5278" s="22" t="s">
        <v>55</v>
      </c>
      <c r="I5278" s="26">
        <v>43648.745219907403</v>
      </c>
      <c r="J5278" s="28" t="s">
        <v>52</v>
      </c>
      <c r="K5278" s="28" t="s">
        <v>52</v>
      </c>
      <c r="L5278" s="28" t="s">
        <v>52</v>
      </c>
      <c r="M5278" s="28" t="s">
        <v>52</v>
      </c>
      <c r="N5278" s="28" t="s">
        <v>52</v>
      </c>
    </row>
    <row r="5279" spans="1:14" x14ac:dyDescent="0.15">
      <c r="A5279" s="23" t="str">
        <f t="shared" si="231"/>
        <v>АО "ТОРГОВЫЙ ДОМ "ПЕРЕКРЕСТОК"</v>
      </c>
      <c r="B5279" s="24" t="s">
        <v>6999</v>
      </c>
      <c r="C5279" s="25">
        <v>0</v>
      </c>
      <c r="D5279" s="22" t="s">
        <v>7005</v>
      </c>
      <c r="E5279" s="22" t="s">
        <v>208</v>
      </c>
      <c r="F5279" s="23" t="str">
        <f>HYPERLINK("https://www.spark-marketing.ru/Card/Lot/71852588", "AC-TA381IR2 Компактная купольная 2МП TVI видеокамера. Разрешение 1080P, матрица 1/2.8"" CMOS SONY, Цвет: 0.05 Лк (F1.8) / ЧБ: 0 Лк (ИК вкл.), объектив 3.6мм, режим «День/Ночь», механический ИК-фильтр, 3D-NR, DWDR, OSD, питание 12В DC, потребляемый то...")</f>
        <v>AC-TA381IR2 Компактная купольная 2МП TVI видеокамера. Разрешение 1080P, матрица 1/2.8" CMOS SONY, Цвет: 0.05 Лк (F1.8) / ЧБ: 0 Лк (ИК вкл.), объектив 3.6мм, режим «День/Ночь», механический ИК-фильтр, 3D-NR, DWDR, OSD, питание 12В DC, потребляемый то...</v>
      </c>
      <c r="G5279" s="22" t="s">
        <v>55</v>
      </c>
      <c r="H5279" s="22" t="s">
        <v>55</v>
      </c>
      <c r="I5279" s="26">
        <v>43648.745069444398</v>
      </c>
      <c r="J5279" s="28" t="s">
        <v>52</v>
      </c>
      <c r="K5279" s="28" t="s">
        <v>52</v>
      </c>
      <c r="L5279" s="28" t="s">
        <v>52</v>
      </c>
      <c r="M5279" s="28" t="s">
        <v>52</v>
      </c>
      <c r="N5279" s="28" t="s">
        <v>52</v>
      </c>
    </row>
    <row r="5280" spans="1:14" x14ac:dyDescent="0.15">
      <c r="A5280" s="23" t="str">
        <f t="shared" si="231"/>
        <v>АО "ТОРГОВЫЙ ДОМ "ПЕРЕКРЕСТОК"</v>
      </c>
      <c r="B5280" s="24" t="s">
        <v>6999</v>
      </c>
      <c r="C5280" s="25">
        <v>0</v>
      </c>
      <c r="D5280" s="22" t="s">
        <v>7002</v>
      </c>
      <c r="E5280" s="22" t="s">
        <v>208</v>
      </c>
      <c r="F5280" s="23" t="str">
        <f>HYPERLINK("https://www.spark-marketing.ru/Card/Lot/71851455", "Монтаж, подключение, настройка видеокамеры")</f>
        <v>Монтаж, подключение, настройка видеокамеры</v>
      </c>
      <c r="G5280" s="22" t="s">
        <v>55</v>
      </c>
      <c r="H5280" s="22" t="s">
        <v>55</v>
      </c>
      <c r="I5280" s="26">
        <v>43648.744641203702</v>
      </c>
      <c r="J5280" s="28" t="s">
        <v>52</v>
      </c>
      <c r="K5280" s="28" t="s">
        <v>52</v>
      </c>
      <c r="L5280" s="28" t="s">
        <v>52</v>
      </c>
      <c r="M5280" s="28" t="s">
        <v>52</v>
      </c>
      <c r="N5280" s="28" t="s">
        <v>52</v>
      </c>
    </row>
    <row r="5281" spans="1:14" x14ac:dyDescent="0.15">
      <c r="A5281" s="23" t="str">
        <f t="shared" si="231"/>
        <v>АО "ТОРГОВЫЙ ДОМ "ПЕРЕКРЕСТОК"</v>
      </c>
      <c r="B5281" s="24" t="s">
        <v>6999</v>
      </c>
      <c r="C5281" s="25">
        <v>0</v>
      </c>
      <c r="D5281" s="22" t="s">
        <v>7006</v>
      </c>
      <c r="E5281" s="22" t="s">
        <v>208</v>
      </c>
      <c r="F5281" s="23" t="str">
        <f>HYPERLINK("https://www.spark-marketing.ru/Card/Lot/71850555", "LTV CTM-110 22. Видеокамера TVI, купольная поворотная, 720P, DWDR, 23-x трансфокатор, внутренняя, IP40, -10°С +50°C, 24В АС")</f>
        <v>LTV CTM-110 22. Видеокамера TVI, купольная поворотная, 720P, DWDR, 23-x трансфокатор, внутренняя, IP40, -10°С +50°C, 24В АС</v>
      </c>
      <c r="G5281" s="22" t="s">
        <v>55</v>
      </c>
      <c r="H5281" s="22" t="s">
        <v>55</v>
      </c>
      <c r="I5281" s="26">
        <v>43648.744490740697</v>
      </c>
      <c r="J5281" s="28" t="s">
        <v>52</v>
      </c>
      <c r="K5281" s="28" t="s">
        <v>52</v>
      </c>
      <c r="L5281" s="28" t="s">
        <v>52</v>
      </c>
      <c r="M5281" s="28" t="s">
        <v>52</v>
      </c>
      <c r="N5281" s="28" t="s">
        <v>52</v>
      </c>
    </row>
    <row r="5282" spans="1:14" x14ac:dyDescent="0.15">
      <c r="A5282" s="23" t="str">
        <f t="shared" si="231"/>
        <v>АО "ТОРГОВЫЙ ДОМ "ПЕРЕКРЕСТОК"</v>
      </c>
      <c r="B5282" s="24" t="s">
        <v>6999</v>
      </c>
      <c r="C5282" s="25">
        <v>0</v>
      </c>
      <c r="D5282" s="22" t="s">
        <v>7004</v>
      </c>
      <c r="E5282" s="22" t="s">
        <v>208</v>
      </c>
      <c r="F5282" s="23" t="str">
        <f>HYPERLINK("https://www.spark-marketing.ru/Card/Lot/71853339", "AC-TA283IR3 Уличная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OSD,...")</f>
        <v>AC-TA283IR3 Уличная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OSD,...</v>
      </c>
      <c r="G5282" s="22" t="s">
        <v>55</v>
      </c>
      <c r="H5282" s="22" t="s">
        <v>55</v>
      </c>
      <c r="I5282" s="26">
        <v>43648.745347222197</v>
      </c>
      <c r="J5282" s="28" t="s">
        <v>52</v>
      </c>
      <c r="K5282" s="28" t="s">
        <v>52</v>
      </c>
      <c r="L5282" s="28" t="s">
        <v>52</v>
      </c>
      <c r="M5282" s="28" t="s">
        <v>52</v>
      </c>
      <c r="N5282" s="28" t="s">
        <v>52</v>
      </c>
    </row>
    <row r="5283" spans="1:14" x14ac:dyDescent="0.15">
      <c r="A5283" s="23" t="str">
        <f t="shared" si="231"/>
        <v>АО "ТОРГОВЫЙ ДОМ "ПЕРЕКРЕСТОК"</v>
      </c>
      <c r="B5283" s="24" t="s">
        <v>6999</v>
      </c>
      <c r="C5283" s="25">
        <v>0</v>
      </c>
      <c r="D5283" s="22" t="s">
        <v>7007</v>
      </c>
      <c r="E5283" s="22" t="s">
        <v>208</v>
      </c>
      <c r="F5283" s="23" t="str">
        <f>HYPERLINK("https://www.spark-marketing.ru/Card/Lot/71854158", "Камера видеонаблюдения HikVision DS-2CD2623G0-IZS (2.8-12mm) motor-zoom")</f>
        <v>Камера видеонаблюдения HikVision DS-2CD2623G0-IZS (2.8-12mm) motor-zoom</v>
      </c>
      <c r="G5283" s="22" t="s">
        <v>55</v>
      </c>
      <c r="H5283" s="22" t="s">
        <v>55</v>
      </c>
      <c r="I5283" s="26">
        <v>43648.745219907403</v>
      </c>
      <c r="J5283" s="28" t="s">
        <v>52</v>
      </c>
      <c r="K5283" s="28" t="s">
        <v>52</v>
      </c>
      <c r="L5283" s="28" t="s">
        <v>52</v>
      </c>
      <c r="M5283" s="28" t="s">
        <v>52</v>
      </c>
      <c r="N5283" s="28" t="s">
        <v>52</v>
      </c>
    </row>
    <row r="5284" spans="1:14" x14ac:dyDescent="0.15">
      <c r="A5284" s="23" t="str">
        <f t="shared" si="231"/>
        <v>АО "ТОРГОВЫЙ ДОМ "ПЕРЕКРЕСТОК"</v>
      </c>
      <c r="B5284" s="24" t="s">
        <v>6999</v>
      </c>
      <c r="C5284" s="25">
        <v>0</v>
      </c>
      <c r="D5284" s="22" t="s">
        <v>7007</v>
      </c>
      <c r="E5284" s="22" t="s">
        <v>208</v>
      </c>
      <c r="F5284" s="23" t="str">
        <f>HYPERLINK("https://www.spark-marketing.ru/Card/Lot/71854152", "Камера видеонаблюдения HikVision DS-2CD2125FWD-IS")</f>
        <v>Камера видеонаблюдения HikVision DS-2CD2125FWD-IS</v>
      </c>
      <c r="G5284" s="22" t="s">
        <v>55</v>
      </c>
      <c r="H5284" s="22" t="s">
        <v>55</v>
      </c>
      <c r="I5284" s="26">
        <v>43648.745219907403</v>
      </c>
      <c r="J5284" s="28" t="s">
        <v>52</v>
      </c>
      <c r="K5284" s="28" t="s">
        <v>52</v>
      </c>
      <c r="L5284" s="28" t="s">
        <v>52</v>
      </c>
      <c r="M5284" s="28" t="s">
        <v>52</v>
      </c>
      <c r="N5284" s="28" t="s">
        <v>52</v>
      </c>
    </row>
    <row r="5285" spans="1:14" x14ac:dyDescent="0.15">
      <c r="A5285" s="23" t="str">
        <f t="shared" si="231"/>
        <v>АО "ТОРГОВЫЙ ДОМ "ПЕРЕКРЕСТОК"</v>
      </c>
      <c r="B5285" s="24" t="s">
        <v>6999</v>
      </c>
      <c r="C5285" s="25">
        <v>0</v>
      </c>
      <c r="D5285" s="22" t="s">
        <v>7003</v>
      </c>
      <c r="E5285" s="22" t="s">
        <v>208</v>
      </c>
      <c r="F5285" s="23" t="str">
        <f>HYPERLINK("https://www.spark-marketing.ru/Card/Lot/71851805", "Камера видеонаблюдения HikVision DS-2DE4225W-DE PTZ")</f>
        <v>Камера видеонаблюдения HikVision DS-2DE4225W-DE PTZ</v>
      </c>
      <c r="G5285" s="22" t="s">
        <v>55</v>
      </c>
      <c r="H5285" s="22" t="s">
        <v>55</v>
      </c>
      <c r="I5285" s="26">
        <v>43648.744791666701</v>
      </c>
      <c r="J5285" s="28" t="s">
        <v>52</v>
      </c>
      <c r="K5285" s="28" t="s">
        <v>52</v>
      </c>
      <c r="L5285" s="28" t="s">
        <v>52</v>
      </c>
      <c r="M5285" s="28" t="s">
        <v>52</v>
      </c>
      <c r="N5285" s="28" t="s">
        <v>52</v>
      </c>
    </row>
    <row r="5286" spans="1:14" x14ac:dyDescent="0.15">
      <c r="A5286" s="23" t="str">
        <f t="shared" si="231"/>
        <v>АО "ТОРГОВЫЙ ДОМ "ПЕРЕКРЕСТОК"</v>
      </c>
      <c r="B5286" s="24" t="s">
        <v>6999</v>
      </c>
      <c r="C5286" s="25">
        <v>0</v>
      </c>
      <c r="D5286" s="22" t="s">
        <v>7005</v>
      </c>
      <c r="E5286" s="22" t="s">
        <v>208</v>
      </c>
      <c r="F5286" s="23" t="str">
        <f>HYPERLINK("https://www.spark-marketing.ru/Card/Lot/71852598", "DH-HAC-HDPW1200RP-0360B-S3A объектив 3.6 мм с апертурой F/1.85, угл обзора по горизонтали - 89.9? HD-CVI, HD-TVI, AHD: транслирует по коаксиальному кабелю видеосигнал на расстояние 1200 м при разрешении 1 Мп и 800 м - при 2 Мп; по неэкранированной ви...")</f>
        <v>DH-HAC-HDPW1200RP-0360B-S3A объектив 3.6 мм с апертурой F/1.85, угл обзора по горизонтали - 89.9? HD-CVI, HD-TVI, AHD: транслирует по коаксиальному кабелю видеосигнал на расстояние 1200 м при разрешении 1 Мп и 800 м - при 2 Мп; по неэкранированной ви...</v>
      </c>
      <c r="G5286" s="22" t="s">
        <v>55</v>
      </c>
      <c r="H5286" s="22" t="s">
        <v>55</v>
      </c>
      <c r="I5286" s="26">
        <v>43648.745069444398</v>
      </c>
      <c r="J5286" s="28" t="s">
        <v>52</v>
      </c>
      <c r="K5286" s="28" t="s">
        <v>52</v>
      </c>
      <c r="L5286" s="28" t="s">
        <v>52</v>
      </c>
      <c r="M5286" s="28" t="s">
        <v>52</v>
      </c>
      <c r="N5286" s="28" t="s">
        <v>52</v>
      </c>
    </row>
    <row r="5287" spans="1:14" x14ac:dyDescent="0.15">
      <c r="A5287" s="23" t="str">
        <f t="shared" si="231"/>
        <v>АО "ТОРГОВЫЙ ДОМ "ПЕРЕКРЕСТОК"</v>
      </c>
      <c r="B5287" s="24" t="s">
        <v>6999</v>
      </c>
      <c r="C5287" s="25">
        <v>0</v>
      </c>
      <c r="D5287" s="22" t="s">
        <v>7003</v>
      </c>
      <c r="E5287" s="22" t="s">
        <v>208</v>
      </c>
      <c r="F5287" s="23" t="str">
        <f>HYPERLINK("https://www.spark-marketing.ru/Card/Lot/71851770", "LTV CTM-110 22, Видеокамера TVI внутреняя, купольная поворотная, 720P, DWDR, 23-x трансфокатор, внутреняя, IP40, -10°С+50°C, 24В")</f>
        <v>LTV CTM-110 22, Видеокамера TVI внутреняя, купольная поворотная, 720P, DWDR, 23-x трансфокатор, внутреняя, IP40, -10°С+50°C, 24В</v>
      </c>
      <c r="G5287" s="22" t="s">
        <v>55</v>
      </c>
      <c r="H5287" s="22" t="s">
        <v>55</v>
      </c>
      <c r="I5287" s="26">
        <v>43648.744791666701</v>
      </c>
      <c r="J5287" s="28" t="s">
        <v>52</v>
      </c>
      <c r="K5287" s="28" t="s">
        <v>52</v>
      </c>
      <c r="L5287" s="28" t="s">
        <v>52</v>
      </c>
      <c r="M5287" s="28" t="s">
        <v>52</v>
      </c>
      <c r="N5287" s="28" t="s">
        <v>52</v>
      </c>
    </row>
    <row r="5288" spans="1:14" x14ac:dyDescent="0.15">
      <c r="A5288" s="23" t="str">
        <f t="shared" si="231"/>
        <v>АО "ТОРГОВЫЙ ДОМ "ПЕРЕКРЕСТОК"</v>
      </c>
      <c r="B5288" s="24" t="s">
        <v>6999</v>
      </c>
      <c r="C5288" s="25">
        <v>0</v>
      </c>
      <c r="D5288" s="22" t="s">
        <v>7006</v>
      </c>
      <c r="E5288" s="22" t="s">
        <v>208</v>
      </c>
      <c r="F5288" s="23" t="str">
        <f>HYPERLINK("https://www.spark-marketing.ru/Card/Lot/71850584", "AC-TA363IR2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f>
        <v>AC-TA363IR2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v>
      </c>
      <c r="G5288" s="22" t="s">
        <v>55</v>
      </c>
      <c r="H5288" s="22" t="s">
        <v>55</v>
      </c>
      <c r="I5288" s="26">
        <v>43648.744490740697</v>
      </c>
      <c r="J5288" s="28" t="s">
        <v>52</v>
      </c>
      <c r="K5288" s="28" t="s">
        <v>52</v>
      </c>
      <c r="L5288" s="28" t="s">
        <v>52</v>
      </c>
      <c r="M5288" s="28" t="s">
        <v>52</v>
      </c>
      <c r="N5288" s="28" t="s">
        <v>52</v>
      </c>
    </row>
    <row r="5289" spans="1:14" x14ac:dyDescent="0.15">
      <c r="A5289" s="23" t="str">
        <f t="shared" si="231"/>
        <v>АО "ТОРГОВЫЙ ДОМ "ПЕРЕКРЕСТОК"</v>
      </c>
      <c r="B5289" s="24" t="s">
        <v>6999</v>
      </c>
      <c r="C5289" s="25">
        <v>0</v>
      </c>
      <c r="D5289" s="22" t="s">
        <v>7007</v>
      </c>
      <c r="E5289" s="22" t="s">
        <v>208</v>
      </c>
      <c r="F5289" s="23" t="str">
        <f>HYPERLINK("https://www.spark-marketing.ru/Card/Lot/71853076", "Видеодомофон монохромный, с трубкой, AC 110-240В.")</f>
        <v>Видеодомофон монохромный, с трубкой, AC 110-240В.</v>
      </c>
      <c r="G5289" s="22" t="s">
        <v>55</v>
      </c>
      <c r="H5289" s="22" t="s">
        <v>55</v>
      </c>
      <c r="I5289" s="26">
        <v>43648.745219907403</v>
      </c>
      <c r="J5289" s="28" t="s">
        <v>52</v>
      </c>
      <c r="K5289" s="28" t="s">
        <v>52</v>
      </c>
      <c r="L5289" s="28" t="s">
        <v>52</v>
      </c>
      <c r="M5289" s="28" t="s">
        <v>52</v>
      </c>
      <c r="N5289" s="28" t="s">
        <v>52</v>
      </c>
    </row>
    <row r="5290" spans="1:14" x14ac:dyDescent="0.15">
      <c r="A5290" s="23" t="str">
        <f t="shared" si="231"/>
        <v>АО "ТОРГОВЫЙ ДОМ "ПЕРЕКРЕСТОК"</v>
      </c>
      <c r="B5290" s="24" t="s">
        <v>6999</v>
      </c>
      <c r="C5290" s="25">
        <v>0</v>
      </c>
      <c r="D5290" s="22" t="s">
        <v>7003</v>
      </c>
      <c r="E5290" s="22" t="s">
        <v>208</v>
      </c>
      <c r="F5290" s="23" t="str">
        <f>HYPERLINK("https://www.spark-marketing.ru/Card/Lot/71851800", "Камера видеонаблюдения HikVision DS-2CD2123G0-IS (2.8mm) купол")</f>
        <v>Камера видеонаблюдения HikVision DS-2CD2123G0-IS (2.8mm) купол</v>
      </c>
      <c r="G5290" s="22" t="s">
        <v>55</v>
      </c>
      <c r="H5290" s="22" t="s">
        <v>55</v>
      </c>
      <c r="I5290" s="26">
        <v>43648.744791666701</v>
      </c>
      <c r="J5290" s="28" t="s">
        <v>52</v>
      </c>
      <c r="K5290" s="28" t="s">
        <v>52</v>
      </c>
      <c r="L5290" s="28" t="s">
        <v>52</v>
      </c>
      <c r="M5290" s="28" t="s">
        <v>52</v>
      </c>
      <c r="N5290" s="28" t="s">
        <v>52</v>
      </c>
    </row>
    <row r="5291" spans="1:14" x14ac:dyDescent="0.15">
      <c r="A5291" s="23" t="str">
        <f t="shared" si="231"/>
        <v>АО "ТОРГОВЫЙ ДОМ "ПЕРЕКРЕСТОК"</v>
      </c>
      <c r="B5291" s="24" t="s">
        <v>6999</v>
      </c>
      <c r="C5291" s="25">
        <v>0</v>
      </c>
      <c r="D5291" s="22" t="s">
        <v>7001</v>
      </c>
      <c r="E5291" s="22" t="s">
        <v>208</v>
      </c>
      <c r="F5291" s="23" t="str">
        <f>HYPERLINK("https://www.spark-marketing.ru/Card/Lot/71852461", "AC-TA383IR2 Купольная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f>
        <v>AC-TA383IR2 Купольная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v>
      </c>
      <c r="G5291" s="22" t="s">
        <v>55</v>
      </c>
      <c r="H5291" s="22" t="s">
        <v>55</v>
      </c>
      <c r="I5291" s="26">
        <v>43648.7449305556</v>
      </c>
      <c r="J5291" s="28" t="s">
        <v>52</v>
      </c>
      <c r="K5291" s="28" t="s">
        <v>52</v>
      </c>
      <c r="L5291" s="28" t="s">
        <v>52</v>
      </c>
      <c r="M5291" s="28" t="s">
        <v>52</v>
      </c>
      <c r="N5291" s="28" t="s">
        <v>52</v>
      </c>
    </row>
    <row r="5292" spans="1:14" x14ac:dyDescent="0.15">
      <c r="A5292" s="23" t="str">
        <f t="shared" si="231"/>
        <v>АО "ТОРГОВЫЙ ДОМ "ПЕРЕКРЕСТОК"</v>
      </c>
      <c r="B5292" s="24" t="s">
        <v>6999</v>
      </c>
      <c r="C5292" s="25">
        <v>0</v>
      </c>
      <c r="D5292" s="22" t="s">
        <v>7004</v>
      </c>
      <c r="E5292" s="22" t="s">
        <v>208</v>
      </c>
      <c r="F5292" s="23" t="str">
        <f>HYPERLINK("https://www.spark-marketing.ru/Card/Lot/71854202", "Видеокамера бытовая, с перезаписываемой памятью (Flash), Full HD 1080p, Режим ночной съемки, Поддержка карт памяти, SD, SDHC, SDXC")</f>
        <v>Видеокамера бытовая, с перезаписываемой памятью (Flash), Full HD 1080p, Режим ночной съемки, Поддержка карт памяти, SD, SDHC, SDXC</v>
      </c>
      <c r="G5292" s="22" t="s">
        <v>55</v>
      </c>
      <c r="H5292" s="22" t="s">
        <v>55</v>
      </c>
      <c r="I5292" s="26">
        <v>43648.745347222197</v>
      </c>
      <c r="J5292" s="28" t="s">
        <v>52</v>
      </c>
      <c r="K5292" s="28" t="s">
        <v>52</v>
      </c>
      <c r="L5292" s="28" t="s">
        <v>52</v>
      </c>
      <c r="M5292" s="28" t="s">
        <v>52</v>
      </c>
      <c r="N5292" s="28" t="s">
        <v>52</v>
      </c>
    </row>
    <row r="5293" spans="1:14" x14ac:dyDescent="0.15">
      <c r="A5293" s="23" t="str">
        <f t="shared" si="231"/>
        <v>АО "ТОРГОВЫЙ ДОМ "ПЕРЕКРЕСТОК"</v>
      </c>
      <c r="B5293" s="24" t="s">
        <v>6999</v>
      </c>
      <c r="C5293" s="25">
        <v>0</v>
      </c>
      <c r="D5293" s="22" t="s">
        <v>7002</v>
      </c>
      <c r="E5293" s="22" t="s">
        <v>208</v>
      </c>
      <c r="F5293" s="23" t="str">
        <f>HYPERLINK("https://www.spark-marketing.ru/Card/Lot/71851225", "Камера видеонаблюдения HikVision DS-2CD2023G0-I (4mm) булет")</f>
        <v>Камера видеонаблюдения HikVision DS-2CD2023G0-I (4mm) булет</v>
      </c>
      <c r="G5293" s="22" t="s">
        <v>55</v>
      </c>
      <c r="H5293" s="22" t="s">
        <v>55</v>
      </c>
      <c r="I5293" s="26">
        <v>43648.744641203702</v>
      </c>
      <c r="J5293" s="28" t="s">
        <v>52</v>
      </c>
      <c r="K5293" s="28" t="s">
        <v>52</v>
      </c>
      <c r="L5293" s="28" t="s">
        <v>52</v>
      </c>
      <c r="M5293" s="28" t="s">
        <v>52</v>
      </c>
      <c r="N5293" s="28" t="s">
        <v>52</v>
      </c>
    </row>
    <row r="5294" spans="1:14" x14ac:dyDescent="0.15">
      <c r="A5294" s="23" t="str">
        <f t="shared" si="231"/>
        <v>АО "ТОРГОВЫЙ ДОМ "ПЕРЕКРЕСТОК"</v>
      </c>
      <c r="B5294" s="24" t="s">
        <v>6999</v>
      </c>
      <c r="C5294" s="25">
        <v>0</v>
      </c>
      <c r="D5294" s="22" t="s">
        <v>7007</v>
      </c>
      <c r="E5294" s="22" t="s">
        <v>208</v>
      </c>
      <c r="F5294" s="23" t="str">
        <f>HYPERLINK("https://www.spark-marketing.ru/Card/Lot/71853077", "Видеопанель вызывная монохромная, 400 ТВЛ, ИК подсвет.; 122х40х24mm. Activision.")</f>
        <v>Видеопанель вызывная монохромная, 400 ТВЛ, ИК подсвет.; 122х40х24mm. Activision.</v>
      </c>
      <c r="G5294" s="22" t="s">
        <v>55</v>
      </c>
      <c r="H5294" s="22" t="s">
        <v>55</v>
      </c>
      <c r="I5294" s="26">
        <v>43648.745219907403</v>
      </c>
      <c r="J5294" s="28" t="s">
        <v>52</v>
      </c>
      <c r="K5294" s="28" t="s">
        <v>52</v>
      </c>
      <c r="L5294" s="28" t="s">
        <v>52</v>
      </c>
      <c r="M5294" s="28" t="s">
        <v>52</v>
      </c>
      <c r="N5294" s="28" t="s">
        <v>52</v>
      </c>
    </row>
    <row r="5295" spans="1:14" x14ac:dyDescent="0.15">
      <c r="A5295" s="23" t="str">
        <f t="shared" si="231"/>
        <v>АО "ТОРГОВЫЙ ДОМ "ПЕРЕКРЕСТОК"</v>
      </c>
      <c r="B5295" s="24" t="s">
        <v>6999</v>
      </c>
      <c r="C5295" s="25">
        <v>0</v>
      </c>
      <c r="D5295" s="22" t="s">
        <v>7000</v>
      </c>
      <c r="E5295" s="22" t="s">
        <v>208</v>
      </c>
      <c r="F5295" s="23" t="str">
        <f>HYPERLINK("https://www.spark-marketing.ru/Card/Lot/71850244", "LTV CTM-110 22, Видеокамера TVI внутреняя, купольная поворотная, 720P, DWDR, 23-x трансфокатор, внутреняя, IP40, -10°С+50°C, 24В")</f>
        <v>LTV CTM-110 22, Видеокамера TVI внутреняя, купольная поворотная, 720P, DWDR, 23-x трансфокатор, внутреняя, IP40, -10°С+50°C, 24В</v>
      </c>
      <c r="G5295" s="22" t="s">
        <v>55</v>
      </c>
      <c r="H5295" s="22" t="s">
        <v>55</v>
      </c>
      <c r="I5295" s="26">
        <v>43648.7443055556</v>
      </c>
      <c r="J5295" s="28" t="s">
        <v>52</v>
      </c>
      <c r="K5295" s="28" t="s">
        <v>52</v>
      </c>
      <c r="L5295" s="28" t="s">
        <v>52</v>
      </c>
      <c r="M5295" s="28" t="s">
        <v>52</v>
      </c>
      <c r="N5295" s="28" t="s">
        <v>52</v>
      </c>
    </row>
    <row r="5296" spans="1:14" x14ac:dyDescent="0.15">
      <c r="A5296" s="23" t="str">
        <f t="shared" si="231"/>
        <v>АО "ТОРГОВЫЙ ДОМ "ПЕРЕКРЕСТОК"</v>
      </c>
      <c r="B5296" s="24" t="s">
        <v>6999</v>
      </c>
      <c r="C5296" s="25">
        <v>0</v>
      </c>
      <c r="D5296" s="22" t="s">
        <v>7002</v>
      </c>
      <c r="E5296" s="22" t="s">
        <v>208</v>
      </c>
      <c r="F5296" s="23" t="str">
        <f>HYPERLINK("https://www.spark-marketing.ru/Card/Lot/71851341", "Видеодомофон монохромный, с трубкой, AC 110-240В.")</f>
        <v>Видеодомофон монохромный, с трубкой, AC 110-240В.</v>
      </c>
      <c r="G5296" s="22" t="s">
        <v>55</v>
      </c>
      <c r="H5296" s="22" t="s">
        <v>55</v>
      </c>
      <c r="I5296" s="26">
        <v>43648.744641203702</v>
      </c>
      <c r="J5296" s="28" t="s">
        <v>52</v>
      </c>
      <c r="K5296" s="28" t="s">
        <v>52</v>
      </c>
      <c r="L5296" s="28" t="s">
        <v>52</v>
      </c>
      <c r="M5296" s="28" t="s">
        <v>52</v>
      </c>
      <c r="N5296" s="28" t="s">
        <v>52</v>
      </c>
    </row>
    <row r="5297" spans="1:14" x14ac:dyDescent="0.15">
      <c r="A5297" s="23" t="str">
        <f t="shared" si="231"/>
        <v>АО "ТОРГОВЫЙ ДОМ "ПЕРЕКРЕСТОК"</v>
      </c>
      <c r="B5297" s="24" t="s">
        <v>6999</v>
      </c>
      <c r="C5297" s="25">
        <v>0</v>
      </c>
      <c r="D5297" s="22" t="s">
        <v>7006</v>
      </c>
      <c r="E5297" s="22" t="s">
        <v>208</v>
      </c>
      <c r="F5297" s="23" t="str">
        <f>HYPERLINK("https://www.spark-marketing.ru/Card/Lot/71850751", "Опустошение полок (на одну видеокамеру камеру)")</f>
        <v>Опустошение полок (на одну видеокамеру камеру)</v>
      </c>
      <c r="G5297" s="22" t="s">
        <v>55</v>
      </c>
      <c r="H5297" s="22" t="s">
        <v>55</v>
      </c>
      <c r="I5297" s="26">
        <v>43648.744490740697</v>
      </c>
      <c r="J5297" s="28" t="s">
        <v>52</v>
      </c>
      <c r="K5297" s="28" t="s">
        <v>52</v>
      </c>
      <c r="L5297" s="28" t="s">
        <v>52</v>
      </c>
      <c r="M5297" s="28" t="s">
        <v>52</v>
      </c>
      <c r="N5297" s="28" t="s">
        <v>52</v>
      </c>
    </row>
    <row r="5298" spans="1:14" x14ac:dyDescent="0.15">
      <c r="A5298" s="23" t="str">
        <f t="shared" si="231"/>
        <v>АО "ТОРГОВЫЙ ДОМ "ПЕРЕКРЕСТОК"</v>
      </c>
      <c r="B5298" s="24" t="s">
        <v>6999</v>
      </c>
      <c r="C5298" s="25">
        <v>0</v>
      </c>
      <c r="D5298" s="22" t="s">
        <v>7003</v>
      </c>
      <c r="E5298" s="22" t="s">
        <v>208</v>
      </c>
      <c r="F5298" s="23" t="str">
        <f>HYPERLINK("https://www.spark-marketing.ru/Card/Lot/71851955", "Видеопанель вызывная монохромная, 400 ТВЛ, ИК подсвет.; 122х40х24mm. Activision.")</f>
        <v>Видеопанель вызывная монохромная, 400 ТВЛ, ИК подсвет.; 122х40х24mm. Activision.</v>
      </c>
      <c r="G5298" s="22" t="s">
        <v>55</v>
      </c>
      <c r="H5298" s="22" t="s">
        <v>55</v>
      </c>
      <c r="I5298" s="26">
        <v>43648.744791666701</v>
      </c>
      <c r="J5298" s="28" t="s">
        <v>52</v>
      </c>
      <c r="K5298" s="28" t="s">
        <v>52</v>
      </c>
      <c r="L5298" s="28" t="s">
        <v>52</v>
      </c>
      <c r="M5298" s="28" t="s">
        <v>52</v>
      </c>
      <c r="N5298" s="28" t="s">
        <v>52</v>
      </c>
    </row>
    <row r="5299" spans="1:14" x14ac:dyDescent="0.15">
      <c r="A5299" s="23" t="str">
        <f t="shared" si="231"/>
        <v>АО "ТОРГОВЫЙ ДОМ "ПЕРЕКРЕСТОК"</v>
      </c>
      <c r="B5299" s="24" t="s">
        <v>6999</v>
      </c>
      <c r="C5299" s="25">
        <v>0</v>
      </c>
      <c r="D5299" s="22" t="s">
        <v>7005</v>
      </c>
      <c r="E5299" s="22" t="s">
        <v>208</v>
      </c>
      <c r="F5299" s="23" t="str">
        <f>HYPERLINK("https://www.spark-marketing.ru/Card/Lot/71853760", "Камера видеонаблюдения HikVision DS-2CD2123G0-IS (2.8mm) купол")</f>
        <v>Камера видеонаблюдения HikVision DS-2CD2123G0-IS (2.8mm) купол</v>
      </c>
      <c r="G5299" s="22" t="s">
        <v>55</v>
      </c>
      <c r="H5299" s="22" t="s">
        <v>55</v>
      </c>
      <c r="I5299" s="26">
        <v>43648.745069444398</v>
      </c>
      <c r="J5299" s="28" t="s">
        <v>52</v>
      </c>
      <c r="K5299" s="28" t="s">
        <v>52</v>
      </c>
      <c r="L5299" s="28" t="s">
        <v>52</v>
      </c>
      <c r="M5299" s="28" t="s">
        <v>52</v>
      </c>
      <c r="N5299" s="28" t="s">
        <v>52</v>
      </c>
    </row>
    <row r="5300" spans="1:14" x14ac:dyDescent="0.15">
      <c r="A5300" s="23" t="str">
        <f t="shared" si="231"/>
        <v>АО "ТОРГОВЫЙ ДОМ "ПЕРЕКРЕСТОК"</v>
      </c>
      <c r="B5300" s="24" t="s">
        <v>6999</v>
      </c>
      <c r="C5300" s="25">
        <v>0</v>
      </c>
      <c r="D5300" s="22" t="s">
        <v>7008</v>
      </c>
      <c r="E5300" s="22" t="s">
        <v>208</v>
      </c>
      <c r="F5300" s="23" t="str">
        <f>HYPERLINK("https://www.spark-marketing.ru/Card/Lot/71854910", "Кнопка тревожная, для ручной подачи сигнала тревоги.С2000-КТ")</f>
        <v>Кнопка тревожная, для ручной подачи сигнала тревоги.С2000-КТ</v>
      </c>
      <c r="G5300" s="22" t="s">
        <v>55</v>
      </c>
      <c r="H5300" s="22" t="s">
        <v>55</v>
      </c>
      <c r="I5300" s="26">
        <v>43648.745509259301</v>
      </c>
      <c r="J5300" s="28" t="s">
        <v>52</v>
      </c>
      <c r="K5300" s="28" t="s">
        <v>52</v>
      </c>
      <c r="L5300" s="28" t="s">
        <v>52</v>
      </c>
      <c r="M5300" s="28" t="s">
        <v>52</v>
      </c>
      <c r="N5300" s="28" t="s">
        <v>52</v>
      </c>
    </row>
    <row r="5301" spans="1:14" x14ac:dyDescent="0.15">
      <c r="A5301" s="23" t="str">
        <f t="shared" si="231"/>
        <v>АО "ТОРГОВЫЙ ДОМ "ПЕРЕКРЕСТОК"</v>
      </c>
      <c r="B5301" s="24" t="s">
        <v>6999</v>
      </c>
      <c r="C5301" s="25">
        <v>0</v>
      </c>
      <c r="D5301" s="22" t="s">
        <v>7004</v>
      </c>
      <c r="E5301" s="22" t="s">
        <v>208</v>
      </c>
      <c r="F5301" s="23" t="str">
        <f>HYPERLINK("https://www.spark-marketing.ru/Card/Lot/71852746", "Камера видеонаблюдения HikVision DS-2CD2543G0-IWS (2.8mm) купол")</f>
        <v>Камера видеонаблюдения HikVision DS-2CD2543G0-IWS (2.8mm) купол</v>
      </c>
      <c r="G5301" s="22" t="s">
        <v>55</v>
      </c>
      <c r="H5301" s="22" t="s">
        <v>55</v>
      </c>
      <c r="I5301" s="26">
        <v>43648.745347222197</v>
      </c>
      <c r="J5301" s="28" t="s">
        <v>52</v>
      </c>
      <c r="K5301" s="28" t="s">
        <v>52</v>
      </c>
      <c r="L5301" s="28" t="s">
        <v>52</v>
      </c>
      <c r="M5301" s="28" t="s">
        <v>52</v>
      </c>
      <c r="N5301" s="28" t="s">
        <v>52</v>
      </c>
    </row>
    <row r="5302" spans="1:14" x14ac:dyDescent="0.15">
      <c r="A5302" s="23" t="str">
        <f t="shared" si="231"/>
        <v>АО "ТОРГОВЫЙ ДОМ "ПЕРЕКРЕСТОК"</v>
      </c>
      <c r="B5302" s="24" t="s">
        <v>6999</v>
      </c>
      <c r="C5302" s="25">
        <v>0</v>
      </c>
      <c r="D5302" s="22" t="s">
        <v>7001</v>
      </c>
      <c r="E5302" s="22" t="s">
        <v>208</v>
      </c>
      <c r="F5302" s="23" t="str">
        <f>HYPERLINK("https://www.spark-marketing.ru/Card/Lot/71852424", "LTV CTM-110 22, Видеокамера TVI внутреняя, купольная поворотная, 720P, DWDR, 23-x трансфокатор, внутреняя, IP40, -10°С+50°C, 24В")</f>
        <v>LTV CTM-110 22, Видеокамера TVI внутреняя, купольная поворотная, 720P, DWDR, 23-x трансфокатор, внутреняя, IP40, -10°С+50°C, 24В</v>
      </c>
      <c r="G5302" s="22" t="s">
        <v>55</v>
      </c>
      <c r="H5302" s="22" t="s">
        <v>55</v>
      </c>
      <c r="I5302" s="26">
        <v>43648.7449305556</v>
      </c>
      <c r="J5302" s="28" t="s">
        <v>52</v>
      </c>
      <c r="K5302" s="28" t="s">
        <v>52</v>
      </c>
      <c r="L5302" s="28" t="s">
        <v>52</v>
      </c>
      <c r="M5302" s="28" t="s">
        <v>52</v>
      </c>
      <c r="N5302" s="28" t="s">
        <v>52</v>
      </c>
    </row>
    <row r="5303" spans="1:14" x14ac:dyDescent="0.15">
      <c r="A5303" s="23" t="str">
        <f t="shared" si="231"/>
        <v>АО "ТОРГОВЫЙ ДОМ "ПЕРЕКРЕСТОК"</v>
      </c>
      <c r="B5303" s="24" t="s">
        <v>6999</v>
      </c>
      <c r="C5303" s="25">
        <v>0</v>
      </c>
      <c r="D5303" s="22" t="s">
        <v>7001</v>
      </c>
      <c r="E5303" s="22" t="s">
        <v>208</v>
      </c>
      <c r="F5303" s="23" t="str">
        <f>HYPERLINK("https://www.spark-marketing.ru/Card/Lot/71852218", "Камера видеонаблюдения HikVision DS-2CD2143G0-IS (6mm) купол")</f>
        <v>Камера видеонаблюдения HikVision DS-2CD2143G0-IS (6mm) купол</v>
      </c>
      <c r="G5303" s="22" t="s">
        <v>55</v>
      </c>
      <c r="H5303" s="22" t="s">
        <v>55</v>
      </c>
      <c r="I5303" s="26">
        <v>43648.7449305556</v>
      </c>
      <c r="J5303" s="28" t="s">
        <v>52</v>
      </c>
      <c r="K5303" s="28" t="s">
        <v>52</v>
      </c>
      <c r="L5303" s="28" t="s">
        <v>52</v>
      </c>
      <c r="M5303" s="28" t="s">
        <v>52</v>
      </c>
      <c r="N5303" s="28" t="s">
        <v>52</v>
      </c>
    </row>
    <row r="5304" spans="1:14" x14ac:dyDescent="0.15">
      <c r="A5304" s="23" t="str">
        <f t="shared" si="231"/>
        <v>АО "ТОРГОВЫЙ ДОМ "ПЕРЕКРЕСТОК"</v>
      </c>
      <c r="B5304" s="24" t="s">
        <v>6999</v>
      </c>
      <c r="C5304" s="25">
        <v>0</v>
      </c>
      <c r="D5304" s="22" t="s">
        <v>7000</v>
      </c>
      <c r="E5304" s="22" t="s">
        <v>208</v>
      </c>
      <c r="F5304" s="23" t="str">
        <f>HYPERLINK("https://www.spark-marketing.ru/Card/Lot/71850246", "LTV RTM-162 00 16-канальный TVI/AHD/CVBS/IP видеорегистратор, 720p: 400 к/c, 1080p: 200 к/c, вых. BNC/VGA/HDMI")</f>
        <v>LTV RTM-162 00 16-канальный TVI/AHD/CVBS/IP видеорегистратор, 720p: 400 к/c, 1080p: 200 к/c, вых. BNC/VGA/HDMI</v>
      </c>
      <c r="G5304" s="22" t="s">
        <v>55</v>
      </c>
      <c r="H5304" s="22" t="s">
        <v>55</v>
      </c>
      <c r="I5304" s="26">
        <v>43648.7443055556</v>
      </c>
      <c r="J5304" s="28" t="s">
        <v>52</v>
      </c>
      <c r="K5304" s="28" t="s">
        <v>52</v>
      </c>
      <c r="L5304" s="28" t="s">
        <v>52</v>
      </c>
      <c r="M5304" s="28" t="s">
        <v>52</v>
      </c>
      <c r="N5304" s="28" t="s">
        <v>52</v>
      </c>
    </row>
    <row r="5305" spans="1:14" x14ac:dyDescent="0.15">
      <c r="A5305" s="23" t="str">
        <f t="shared" si="231"/>
        <v>АО "ТОРГОВЫЙ ДОМ "ПЕРЕКРЕСТОК"</v>
      </c>
      <c r="B5305" s="24" t="s">
        <v>6999</v>
      </c>
      <c r="C5305" s="25">
        <v>0</v>
      </c>
      <c r="D5305" s="22" t="s">
        <v>7001</v>
      </c>
      <c r="E5305" s="22" t="s">
        <v>208</v>
      </c>
      <c r="F5305" s="23" t="str">
        <f>HYPERLINK("https://www.spark-marketing.ru/Card/Lot/71852459", "AC-TA381IR2 Компактная купольная 2МП TVI видеокамера. Разрешение 1080P, матрица 1/2.8"" CMOS SONY, Цвет: 0.05 Лк (F1.8) / ЧБ: 0 Лк (ИК вкл.), объектив 3.6мм, режим «День/Ночь», механический ИК-фильтр, 3D-NR, DWDR, OSD, питание 12В DC, потребляемый то...")</f>
        <v>AC-TA381IR2 Компактная купольная 2МП TVI видеокамера. Разрешение 1080P, матрица 1/2.8" CMOS SONY, Цвет: 0.05 Лк (F1.8) / ЧБ: 0 Лк (ИК вкл.), объектив 3.6мм, режим «День/Ночь», механический ИК-фильтр, 3D-NR, DWDR, OSD, питание 12В DC, потребляемый то...</v>
      </c>
      <c r="G5305" s="22" t="s">
        <v>55</v>
      </c>
      <c r="H5305" s="22" t="s">
        <v>55</v>
      </c>
      <c r="I5305" s="26">
        <v>43648.7449305556</v>
      </c>
      <c r="J5305" s="28" t="s">
        <v>52</v>
      </c>
      <c r="K5305" s="28" t="s">
        <v>52</v>
      </c>
      <c r="L5305" s="28" t="s">
        <v>52</v>
      </c>
      <c r="M5305" s="28" t="s">
        <v>52</v>
      </c>
      <c r="N5305" s="28" t="s">
        <v>52</v>
      </c>
    </row>
    <row r="5306" spans="1:14" x14ac:dyDescent="0.15">
      <c r="A5306" s="23" t="str">
        <f t="shared" si="231"/>
        <v>АО "ТОРГОВЫЙ ДОМ "ПЕРЕКРЕСТОК"</v>
      </c>
      <c r="B5306" s="24" t="s">
        <v>6999</v>
      </c>
      <c r="C5306" s="25">
        <v>0</v>
      </c>
      <c r="D5306" s="22" t="s">
        <v>7006</v>
      </c>
      <c r="E5306" s="22" t="s">
        <v>208</v>
      </c>
      <c r="F5306" s="23" t="str">
        <f>HYPERLINK("https://www.spark-marketing.ru/Card/Lot/71850769", "LTV CTM-110 22, Видеокамера TVI внутреняя, купольная поворотная, 720P, DWDR, 23-x трансфокатор, внутреняя, IP40, -10°С+50°C, 24В")</f>
        <v>LTV CTM-110 22, Видеокамера TVI внутреняя, купольная поворотная, 720P, DWDR, 23-x трансфокатор, внутреняя, IP40, -10°С+50°C, 24В</v>
      </c>
      <c r="G5306" s="22" t="s">
        <v>55</v>
      </c>
      <c r="H5306" s="22" t="s">
        <v>55</v>
      </c>
      <c r="I5306" s="26">
        <v>43648.744490740697</v>
      </c>
      <c r="J5306" s="28" t="s">
        <v>52</v>
      </c>
      <c r="K5306" s="28" t="s">
        <v>52</v>
      </c>
      <c r="L5306" s="28" t="s">
        <v>52</v>
      </c>
      <c r="M5306" s="28" t="s">
        <v>52</v>
      </c>
      <c r="N5306" s="28" t="s">
        <v>52</v>
      </c>
    </row>
    <row r="5307" spans="1:14" x14ac:dyDescent="0.15">
      <c r="A5307" s="23" t="str">
        <f t="shared" si="231"/>
        <v>АО "ТОРГОВЫЙ ДОМ "ПЕРЕКРЕСТОК"</v>
      </c>
      <c r="B5307" s="24" t="s">
        <v>6999</v>
      </c>
      <c r="C5307" s="25">
        <v>0</v>
      </c>
      <c r="D5307" s="22" t="s">
        <v>7000</v>
      </c>
      <c r="E5307" s="22" t="s">
        <v>208</v>
      </c>
      <c r="F5307" s="23" t="str">
        <f>HYPERLINK("https://www.spark-marketing.ru/Card/Lot/71849984", "Камера видеонаблюдения HikVision DS-2DE4225W-DE PTZ")</f>
        <v>Камера видеонаблюдения HikVision DS-2DE4225W-DE PTZ</v>
      </c>
      <c r="G5307" s="22" t="s">
        <v>55</v>
      </c>
      <c r="H5307" s="22" t="s">
        <v>55</v>
      </c>
      <c r="I5307" s="26">
        <v>43648.7443055556</v>
      </c>
      <c r="J5307" s="28" t="s">
        <v>52</v>
      </c>
      <c r="K5307" s="28" t="s">
        <v>52</v>
      </c>
      <c r="L5307" s="28" t="s">
        <v>52</v>
      </c>
      <c r="M5307" s="28" t="s">
        <v>52</v>
      </c>
      <c r="N5307" s="28" t="s">
        <v>52</v>
      </c>
    </row>
    <row r="5308" spans="1:14" x14ac:dyDescent="0.15">
      <c r="A5308" s="23" t="str">
        <f t="shared" si="231"/>
        <v>АО "ТОРГОВЫЙ ДОМ "ПЕРЕКРЕСТОК"</v>
      </c>
      <c r="B5308" s="24" t="s">
        <v>6999</v>
      </c>
      <c r="C5308" s="25">
        <v>0</v>
      </c>
      <c r="D5308" s="22" t="s">
        <v>7003</v>
      </c>
      <c r="E5308" s="22" t="s">
        <v>208</v>
      </c>
      <c r="F5308" s="23" t="str">
        <f>HYPERLINK("https://www.spark-marketing.ru/Card/Lot/71851773", "LTV RTB-081 00, 8-канальный TVI/AHD видеорегистратор, 720P: 200 к/c, Ethernet, VGA/HDMI, 1 канал Audio, поддержка 1 HDD")</f>
        <v>LTV RTB-081 00, 8-канальный TVI/AHD видеорегистратор, 720P: 200 к/c, Ethernet, VGA/HDMI, 1 канал Audio, поддержка 1 HDD</v>
      </c>
      <c r="G5308" s="22" t="s">
        <v>55</v>
      </c>
      <c r="H5308" s="22" t="s">
        <v>55</v>
      </c>
      <c r="I5308" s="26">
        <v>43648.744791666701</v>
      </c>
      <c r="J5308" s="28" t="s">
        <v>52</v>
      </c>
      <c r="K5308" s="28" t="s">
        <v>52</v>
      </c>
      <c r="L5308" s="28" t="s">
        <v>52</v>
      </c>
      <c r="M5308" s="28" t="s">
        <v>52</v>
      </c>
      <c r="N5308" s="28" t="s">
        <v>52</v>
      </c>
    </row>
    <row r="5309" spans="1:14" x14ac:dyDescent="0.15">
      <c r="A5309" s="23" t="str">
        <f t="shared" si="231"/>
        <v>АО "ТОРГОВЫЙ ДОМ "ПЕРЕКРЕСТОК"</v>
      </c>
      <c r="B5309" s="24" t="s">
        <v>6999</v>
      </c>
      <c r="C5309" s="25">
        <v>0</v>
      </c>
      <c r="D5309" s="22" t="s">
        <v>7007</v>
      </c>
      <c r="E5309" s="22" t="s">
        <v>208</v>
      </c>
      <c r="F5309" s="23" t="str">
        <f>HYPERLINK("https://www.spark-marketing.ru/Card/Lot/71852743", "LTV-BMW-175 (GL-203E) Кронштейн 175мм для видеокамер, белый, металлический")</f>
        <v>LTV-BMW-175 (GL-203E) Кронштейн 175мм для видеокамер, белый, металлический</v>
      </c>
      <c r="G5309" s="22" t="s">
        <v>55</v>
      </c>
      <c r="H5309" s="22" t="s">
        <v>55</v>
      </c>
      <c r="I5309" s="26">
        <v>43648.745219907403</v>
      </c>
      <c r="J5309" s="28" t="s">
        <v>52</v>
      </c>
      <c r="K5309" s="28" t="s">
        <v>52</v>
      </c>
      <c r="L5309" s="28" t="s">
        <v>52</v>
      </c>
      <c r="M5309" s="28" t="s">
        <v>52</v>
      </c>
      <c r="N5309" s="28" t="s">
        <v>52</v>
      </c>
    </row>
    <row r="5310" spans="1:14" x14ac:dyDescent="0.15">
      <c r="A5310" s="23" t="str">
        <f t="shared" si="231"/>
        <v>АО "ТОРГОВЫЙ ДОМ "ПЕРЕКРЕСТОК"</v>
      </c>
      <c r="B5310" s="24" t="s">
        <v>6999</v>
      </c>
      <c r="C5310" s="25">
        <v>0</v>
      </c>
      <c r="D5310" s="22" t="s">
        <v>7005</v>
      </c>
      <c r="E5310" s="22" t="s">
        <v>208</v>
      </c>
      <c r="F5310" s="23" t="str">
        <f>HYPERLINK("https://www.spark-marketing.ru/Card/Lot/71854135", "Опустошение полок (на одну видеокамеру камеру)")</f>
        <v>Опустошение полок (на одну видеокамеру камеру)</v>
      </c>
      <c r="G5310" s="22" t="s">
        <v>55</v>
      </c>
      <c r="H5310" s="22" t="s">
        <v>55</v>
      </c>
      <c r="I5310" s="26">
        <v>43648.745069444398</v>
      </c>
      <c r="J5310" s="28" t="s">
        <v>52</v>
      </c>
      <c r="K5310" s="28" t="s">
        <v>52</v>
      </c>
      <c r="L5310" s="28" t="s">
        <v>52</v>
      </c>
      <c r="M5310" s="28" t="s">
        <v>52</v>
      </c>
      <c r="N5310" s="28" t="s">
        <v>52</v>
      </c>
    </row>
    <row r="5311" spans="1:14" x14ac:dyDescent="0.15">
      <c r="A5311" s="23" t="str">
        <f t="shared" si="231"/>
        <v>АО "ТОРГОВЫЙ ДОМ "ПЕРЕКРЕСТОК"</v>
      </c>
      <c r="B5311" s="24" t="s">
        <v>6999</v>
      </c>
      <c r="C5311" s="25">
        <v>0</v>
      </c>
      <c r="D5311" s="22" t="s">
        <v>7000</v>
      </c>
      <c r="E5311" s="22" t="s">
        <v>208</v>
      </c>
      <c r="F5311" s="23" t="str">
        <f>HYPERLINK("https://www.spark-marketing.ru/Card/Lot/71849993", "Камера видеонаблюдения HikVision DS-2CD2623G0-IZS (2.8-12mm) motor-zoom")</f>
        <v>Камера видеонаблюдения HikVision DS-2CD2623G0-IZS (2.8-12mm) motor-zoom</v>
      </c>
      <c r="G5311" s="22" t="s">
        <v>55</v>
      </c>
      <c r="H5311" s="22" t="s">
        <v>55</v>
      </c>
      <c r="I5311" s="26">
        <v>43648.7443055556</v>
      </c>
      <c r="J5311" s="28" t="s">
        <v>52</v>
      </c>
      <c r="K5311" s="28" t="s">
        <v>52</v>
      </c>
      <c r="L5311" s="28" t="s">
        <v>52</v>
      </c>
      <c r="M5311" s="28" t="s">
        <v>52</v>
      </c>
      <c r="N5311" s="28" t="s">
        <v>52</v>
      </c>
    </row>
    <row r="5312" spans="1:14" x14ac:dyDescent="0.15">
      <c r="A5312" s="23" t="str">
        <f t="shared" si="231"/>
        <v>АО "ТОРГОВЫЙ ДОМ "ПЕРЕКРЕСТОК"</v>
      </c>
      <c r="B5312" s="24" t="s">
        <v>6999</v>
      </c>
      <c r="C5312" s="25">
        <v>0</v>
      </c>
      <c r="D5312" s="22" t="s">
        <v>7002</v>
      </c>
      <c r="E5312" s="22" t="s">
        <v>208</v>
      </c>
      <c r="F5312" s="23" t="str">
        <f>HYPERLINK("https://www.spark-marketing.ru/Card/Lot/71851484", "Демонтаж Системы видеонаблюдения (включая кабельные трассы)")</f>
        <v>Демонтаж Системы видеонаблюдения (включая кабельные трассы)</v>
      </c>
      <c r="G5312" s="22" t="s">
        <v>55</v>
      </c>
      <c r="H5312" s="22" t="s">
        <v>55</v>
      </c>
      <c r="I5312" s="26">
        <v>43648.744641203702</v>
      </c>
      <c r="J5312" s="28" t="s">
        <v>52</v>
      </c>
      <c r="K5312" s="28" t="s">
        <v>52</v>
      </c>
      <c r="L5312" s="28" t="s">
        <v>52</v>
      </c>
      <c r="M5312" s="28" t="s">
        <v>52</v>
      </c>
      <c r="N5312" s="28" t="s">
        <v>52</v>
      </c>
    </row>
    <row r="5313" spans="1:14" x14ac:dyDescent="0.15">
      <c r="A5313" s="23" t="str">
        <f t="shared" si="231"/>
        <v>АО "ТОРГОВЫЙ ДОМ "ПЕРЕКРЕСТОК"</v>
      </c>
      <c r="B5313" s="24" t="s">
        <v>6999</v>
      </c>
      <c r="C5313" s="25">
        <v>0</v>
      </c>
      <c r="D5313" s="22" t="s">
        <v>7008</v>
      </c>
      <c r="E5313" s="22" t="s">
        <v>208</v>
      </c>
      <c r="F5313" s="23" t="str">
        <f>HYPERLINK("https://www.spark-marketing.ru/Card/Lot/71854732", "LTV RTM-162 00 16-канальный TVI/AHD/CVBS/IP видеорегистратор, 720p: 400 к/c, 1080p: 200 к/c, вых. BNC/VGA/HDMI")</f>
        <v>LTV RTM-162 00 16-канальный TVI/AHD/CVBS/IP видеорегистратор, 720p: 400 к/c, 1080p: 200 к/c, вых. BNC/VGA/HDMI</v>
      </c>
      <c r="G5313" s="22" t="s">
        <v>55</v>
      </c>
      <c r="H5313" s="22" t="s">
        <v>55</v>
      </c>
      <c r="I5313" s="26">
        <v>43648.745509259301</v>
      </c>
      <c r="J5313" s="28" t="s">
        <v>52</v>
      </c>
      <c r="K5313" s="28" t="s">
        <v>52</v>
      </c>
      <c r="L5313" s="28" t="s">
        <v>52</v>
      </c>
      <c r="M5313" s="28" t="s">
        <v>52</v>
      </c>
      <c r="N5313" s="28" t="s">
        <v>52</v>
      </c>
    </row>
    <row r="5314" spans="1:14" x14ac:dyDescent="0.15">
      <c r="A5314" s="23" t="str">
        <f t="shared" si="231"/>
        <v>АО "ТОРГОВЫЙ ДОМ "ПЕРЕКРЕСТОК"</v>
      </c>
      <c r="B5314" s="24" t="s">
        <v>6999</v>
      </c>
      <c r="C5314" s="25">
        <v>0</v>
      </c>
      <c r="D5314" s="22" t="s">
        <v>7008</v>
      </c>
      <c r="E5314" s="22" t="s">
        <v>208</v>
      </c>
      <c r="F5314" s="23" t="str">
        <f>HYPERLINK("https://www.spark-marketing.ru/Card/Lot/71854788", "AC-TA361IR2 Бюджетная компактная купольная 1МП TVI видеокамера. Разрешение 720P, матрица 1/4"" CMOS, Цвет: 0.1 Лк (F1.8) / ЧБ: 0 Лк (ИК вкл.), объектив 3.6мм, режим «День/Ночь», механический ИК-фильтр, питание 12В DC, потребляемый ток 500мА, -10…+5°С...")</f>
        <v>AC-TA361IR2 Бюджетная компактная купольная 1МП TVI видеокамера. Разрешение 720P, матрица 1/4" CMOS, Цвет: 0.1 Лк (F1.8) / ЧБ: 0 Лк (ИК вкл.), объектив 3.6мм, режим «День/Ночь», механический ИК-фильтр, питание 12В DC, потребляемый ток 500мА, -10…+5°С...</v>
      </c>
      <c r="G5314" s="22" t="s">
        <v>55</v>
      </c>
      <c r="H5314" s="22" t="s">
        <v>55</v>
      </c>
      <c r="I5314" s="26">
        <v>43648.745509259301</v>
      </c>
      <c r="J5314" s="28" t="s">
        <v>52</v>
      </c>
      <c r="K5314" s="28" t="s">
        <v>52</v>
      </c>
      <c r="L5314" s="28" t="s">
        <v>52</v>
      </c>
      <c r="M5314" s="28" t="s">
        <v>52</v>
      </c>
      <c r="N5314" s="28" t="s">
        <v>52</v>
      </c>
    </row>
    <row r="5315" spans="1:14" x14ac:dyDescent="0.15">
      <c r="A5315" s="23" t="str">
        <f t="shared" si="231"/>
        <v>АО "ТОРГОВЫЙ ДОМ "ПЕРЕКРЕСТОК"</v>
      </c>
      <c r="B5315" s="24" t="s">
        <v>6999</v>
      </c>
      <c r="C5315" s="25">
        <v>0</v>
      </c>
      <c r="D5315" s="22" t="s">
        <v>7008</v>
      </c>
      <c r="E5315" s="22" t="s">
        <v>208</v>
      </c>
      <c r="F5315" s="23" t="str">
        <f>HYPERLINK("https://www.spark-marketing.ru/Card/Lot/71854730", "LTV CTM-110 22, Видеокамера TVI внутреняя, купольная поворотная, 720P, DWDR, 23-x трансфокатор, внутреняя, IP40, -10°С+50°C, 24В")</f>
        <v>LTV CTM-110 22, Видеокамера TVI внутреняя, купольная поворотная, 720P, DWDR, 23-x трансфокатор, внутреняя, IP40, -10°С+50°C, 24В</v>
      </c>
      <c r="G5315" s="22" t="s">
        <v>55</v>
      </c>
      <c r="H5315" s="22" t="s">
        <v>55</v>
      </c>
      <c r="I5315" s="26">
        <v>43648.745509259301</v>
      </c>
      <c r="J5315" s="28" t="s">
        <v>52</v>
      </c>
      <c r="K5315" s="28" t="s">
        <v>52</v>
      </c>
      <c r="L5315" s="28" t="s">
        <v>52</v>
      </c>
      <c r="M5315" s="28" t="s">
        <v>52</v>
      </c>
      <c r="N5315" s="28" t="s">
        <v>52</v>
      </c>
    </row>
    <row r="5316" spans="1:14" x14ac:dyDescent="0.15">
      <c r="A5316" s="23" t="str">
        <f t="shared" ref="A5316:A5379" si="232">HYPERLINK("https://www.spark-marketing.ru/Card/Person/1887298", "АО ""ТОРГОВЫЙ ДОМ ""ПЕРЕКРЕСТОК""")</f>
        <v>АО "ТОРГОВЫЙ ДОМ "ПЕРЕКРЕСТОК"</v>
      </c>
      <c r="B5316" s="24" t="s">
        <v>6999</v>
      </c>
      <c r="C5316" s="25">
        <v>0</v>
      </c>
      <c r="D5316" s="22" t="s">
        <v>7001</v>
      </c>
      <c r="E5316" s="22" t="s">
        <v>208</v>
      </c>
      <c r="F5316" s="23" t="str">
        <f>HYPERLINK("https://www.spark-marketing.ru/Card/Lot/71852233", "Камера видеонаблюдения HikVision DS-2CD2043G0-I (4mm) булет")</f>
        <v>Камера видеонаблюдения HikVision DS-2CD2043G0-I (4mm) булет</v>
      </c>
      <c r="G5316" s="22" t="s">
        <v>55</v>
      </c>
      <c r="H5316" s="22" t="s">
        <v>55</v>
      </c>
      <c r="I5316" s="26">
        <v>43648.7449305556</v>
      </c>
      <c r="J5316" s="28" t="s">
        <v>52</v>
      </c>
      <c r="K5316" s="28" t="s">
        <v>52</v>
      </c>
      <c r="L5316" s="28" t="s">
        <v>52</v>
      </c>
      <c r="M5316" s="28" t="s">
        <v>52</v>
      </c>
      <c r="N5316" s="28" t="s">
        <v>52</v>
      </c>
    </row>
    <row r="5317" spans="1:14" x14ac:dyDescent="0.15">
      <c r="A5317" s="23" t="str">
        <f t="shared" si="232"/>
        <v>АО "ТОРГОВЫЙ ДОМ "ПЕРЕКРЕСТОК"</v>
      </c>
      <c r="B5317" s="24" t="s">
        <v>6999</v>
      </c>
      <c r="C5317" s="25">
        <v>0</v>
      </c>
      <c r="D5317" s="22" t="s">
        <v>7004</v>
      </c>
      <c r="E5317" s="22" t="s">
        <v>208</v>
      </c>
      <c r="F5317" s="23" t="str">
        <f>HYPERLINK("https://www.spark-marketing.ru/Card/Lot/71853238", "AC-TA263IR3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f>
        <v>AC-TA263IR3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v>
      </c>
      <c r="G5317" s="22" t="s">
        <v>55</v>
      </c>
      <c r="H5317" s="22" t="s">
        <v>55</v>
      </c>
      <c r="I5317" s="26">
        <v>43648.745347222197</v>
      </c>
      <c r="J5317" s="28" t="s">
        <v>52</v>
      </c>
      <c r="K5317" s="28" t="s">
        <v>52</v>
      </c>
      <c r="L5317" s="28" t="s">
        <v>52</v>
      </c>
      <c r="M5317" s="28" t="s">
        <v>52</v>
      </c>
      <c r="N5317" s="28" t="s">
        <v>52</v>
      </c>
    </row>
    <row r="5318" spans="1:14" x14ac:dyDescent="0.15">
      <c r="A5318" s="23" t="str">
        <f t="shared" si="232"/>
        <v>АО "ТОРГОВЫЙ ДОМ "ПЕРЕКРЕСТОК"</v>
      </c>
      <c r="B5318" s="24" t="s">
        <v>6999</v>
      </c>
      <c r="C5318" s="25">
        <v>0</v>
      </c>
      <c r="D5318" s="22" t="s">
        <v>7008</v>
      </c>
      <c r="E5318" s="22" t="s">
        <v>208</v>
      </c>
      <c r="F5318" s="23" t="str">
        <f>HYPERLINK("https://www.spark-marketing.ru/Card/Lot/71854530", "Камера видеонаблюдения HikVision DS-2CD2822F (B)")</f>
        <v>Камера видеонаблюдения HikVision DS-2CD2822F (B)</v>
      </c>
      <c r="G5318" s="22" t="s">
        <v>55</v>
      </c>
      <c r="H5318" s="22" t="s">
        <v>55</v>
      </c>
      <c r="I5318" s="26">
        <v>43648.745509259301</v>
      </c>
      <c r="J5318" s="28" t="s">
        <v>52</v>
      </c>
      <c r="K5318" s="28" t="s">
        <v>52</v>
      </c>
      <c r="L5318" s="28" t="s">
        <v>52</v>
      </c>
      <c r="M5318" s="28" t="s">
        <v>52</v>
      </c>
      <c r="N5318" s="28" t="s">
        <v>52</v>
      </c>
    </row>
    <row r="5319" spans="1:14" x14ac:dyDescent="0.15">
      <c r="A5319" s="23" t="str">
        <f t="shared" si="232"/>
        <v>АО "ТОРГОВЫЙ ДОМ "ПЕРЕКРЕСТОК"</v>
      </c>
      <c r="B5319" s="24" t="s">
        <v>6999</v>
      </c>
      <c r="C5319" s="25">
        <v>0</v>
      </c>
      <c r="D5319" s="22" t="s">
        <v>7003</v>
      </c>
      <c r="E5319" s="22" t="s">
        <v>208</v>
      </c>
      <c r="F5319" s="23" t="str">
        <f>HYPERLINK("https://www.spark-marketing.ru/Card/Lot/71851764", "ПО ВидеоМаркет (сервер)")</f>
        <v>ПО ВидеоМаркет (сервер)</v>
      </c>
      <c r="G5319" s="22" t="s">
        <v>55</v>
      </c>
      <c r="H5319" s="22" t="s">
        <v>55</v>
      </c>
      <c r="I5319" s="26">
        <v>43648.744791666701</v>
      </c>
      <c r="J5319" s="28" t="s">
        <v>52</v>
      </c>
      <c r="K5319" s="28" t="s">
        <v>52</v>
      </c>
      <c r="L5319" s="28" t="s">
        <v>52</v>
      </c>
      <c r="M5319" s="28" t="s">
        <v>52</v>
      </c>
      <c r="N5319" s="28" t="s">
        <v>52</v>
      </c>
    </row>
    <row r="5320" spans="1:14" x14ac:dyDescent="0.15">
      <c r="A5320" s="23" t="str">
        <f t="shared" si="232"/>
        <v>АО "ТОРГОВЫЙ ДОМ "ПЕРЕКРЕСТОК"</v>
      </c>
      <c r="B5320" s="24" t="s">
        <v>6999</v>
      </c>
      <c r="C5320" s="25">
        <v>0</v>
      </c>
      <c r="D5320" s="22" t="s">
        <v>7001</v>
      </c>
      <c r="E5320" s="22" t="s">
        <v>208</v>
      </c>
      <c r="F5320" s="23" t="str">
        <f>HYPERLINK("https://www.spark-marketing.ru/Card/Lot/71852423", "LTV RTB-081 00, 8-канальный TVI/AHD видеорегистратор, 720P: 200 к/c, Ethernet, VGA/HDMI, 1 канал Audio, 1 HDD до 6Тб")</f>
        <v>LTV RTB-081 00, 8-канальный TVI/AHD видеорегистратор, 720P: 200 к/c, Ethernet, VGA/HDMI, 1 канал Audio, 1 HDD до 6Тб</v>
      </c>
      <c r="G5320" s="22" t="s">
        <v>55</v>
      </c>
      <c r="H5320" s="22" t="s">
        <v>55</v>
      </c>
      <c r="I5320" s="26">
        <v>43648.7449305556</v>
      </c>
      <c r="J5320" s="28" t="s">
        <v>52</v>
      </c>
      <c r="K5320" s="28" t="s">
        <v>52</v>
      </c>
      <c r="L5320" s="28" t="s">
        <v>52</v>
      </c>
      <c r="M5320" s="28" t="s">
        <v>52</v>
      </c>
      <c r="N5320" s="28" t="s">
        <v>52</v>
      </c>
    </row>
    <row r="5321" spans="1:14" x14ac:dyDescent="0.15">
      <c r="A5321" s="23" t="str">
        <f t="shared" si="232"/>
        <v>АО "ТОРГОВЫЙ ДОМ "ПЕРЕКРЕСТОК"</v>
      </c>
      <c r="B5321" s="24" t="s">
        <v>6999</v>
      </c>
      <c r="C5321" s="25">
        <v>0</v>
      </c>
      <c r="D5321" s="22" t="s">
        <v>7001</v>
      </c>
      <c r="E5321" s="22" t="s">
        <v>208</v>
      </c>
      <c r="F5321" s="23" t="str">
        <f>HYPERLINK("https://www.spark-marketing.ru/Card/Lot/71852378", "УРМ (Core i5/8000Mb/250Gb/DVD-RW/Lan 1000/4xUSB 2.0/CardReader 4x1/Mb+Kb, ОС Win 7 pro, Видеокарта NVIDIA GeForce GT 730) - двухмониторный")</f>
        <v>УРМ (Core i5/8000Mb/250Gb/DVD-RW/Lan 1000/4xUSB 2.0/CardReader 4x1/Mb+Kb, ОС Win 7 pro, Видеокарта NVIDIA GeForce GT 730) - двухмониторный</v>
      </c>
      <c r="G5321" s="22" t="s">
        <v>55</v>
      </c>
      <c r="H5321" s="22" t="s">
        <v>55</v>
      </c>
      <c r="I5321" s="26">
        <v>43648.7449305556</v>
      </c>
      <c r="J5321" s="28" t="s">
        <v>52</v>
      </c>
      <c r="K5321" s="28" t="s">
        <v>52</v>
      </c>
      <c r="L5321" s="28" t="s">
        <v>52</v>
      </c>
      <c r="M5321" s="28" t="s">
        <v>52</v>
      </c>
      <c r="N5321" s="28" t="s">
        <v>52</v>
      </c>
    </row>
    <row r="5322" spans="1:14" x14ac:dyDescent="0.15">
      <c r="A5322" s="23" t="str">
        <f t="shared" si="232"/>
        <v>АО "ТОРГОВЫЙ ДОМ "ПЕРЕКРЕСТОК"</v>
      </c>
      <c r="B5322" s="24" t="s">
        <v>6999</v>
      </c>
      <c r="C5322" s="25">
        <v>0</v>
      </c>
      <c r="D5322" s="22" t="s">
        <v>7001</v>
      </c>
      <c r="E5322" s="22" t="s">
        <v>208</v>
      </c>
      <c r="F5322" s="23" t="str">
        <f>HYPERLINK("https://www.spark-marketing.ru/Card/Lot/71853511", "Монтаж, подключение, настройка видеокамеры")</f>
        <v>Монтаж, подключение, настройка видеокамеры</v>
      </c>
      <c r="G5322" s="22" t="s">
        <v>55</v>
      </c>
      <c r="H5322" s="22" t="s">
        <v>55</v>
      </c>
      <c r="I5322" s="26">
        <v>43648.7449305556</v>
      </c>
      <c r="J5322" s="28" t="s">
        <v>52</v>
      </c>
      <c r="K5322" s="28" t="s">
        <v>52</v>
      </c>
      <c r="L5322" s="28" t="s">
        <v>52</v>
      </c>
      <c r="M5322" s="28" t="s">
        <v>52</v>
      </c>
      <c r="N5322" s="28" t="s">
        <v>52</v>
      </c>
    </row>
    <row r="5323" spans="1:14" x14ac:dyDescent="0.15">
      <c r="A5323" s="23" t="str">
        <f t="shared" si="232"/>
        <v>АО "ТОРГОВЫЙ ДОМ "ПЕРЕКРЕСТОК"</v>
      </c>
      <c r="B5323" s="24" t="s">
        <v>6999</v>
      </c>
      <c r="C5323" s="25">
        <v>0</v>
      </c>
      <c r="D5323" s="22" t="s">
        <v>7002</v>
      </c>
      <c r="E5323" s="22" t="s">
        <v>208</v>
      </c>
      <c r="F5323" s="23" t="str">
        <f>HYPERLINK("https://www.spark-marketing.ru/Card/Lot/71851423", "AC-TA261IR2 Бюджетная уличная 1МП TVI видеокамера в компактном кожухе. Разрешение 720P, матрица 1/4"" CMOS, Цвет: 0.1 Лк (F1.8) / ЧБ: 0 Лк (ИК вкл.), объектив 3.6мм, режим «День/Ночь», механический ИК-фильтр, питание 12В DC, потребляемый ток 500мА, -...")</f>
        <v>AC-TA261IR2 Бюджетная уличная 1МП TVI видеокамера в компактном кожухе. Разрешение 720P, матрица 1/4" CMOS, Цвет: 0.1 Лк (F1.8) / ЧБ: 0 Лк (ИК вкл.), объектив 3.6мм, режим «День/Ночь», механический ИК-фильтр, питание 12В DC, потребляемый ток 500мА, -...</v>
      </c>
      <c r="G5323" s="22" t="s">
        <v>55</v>
      </c>
      <c r="H5323" s="22" t="s">
        <v>55</v>
      </c>
      <c r="I5323" s="26">
        <v>43648.744641203702</v>
      </c>
      <c r="J5323" s="28" t="s">
        <v>52</v>
      </c>
      <c r="K5323" s="28" t="s">
        <v>52</v>
      </c>
      <c r="L5323" s="28" t="s">
        <v>52</v>
      </c>
      <c r="M5323" s="28" t="s">
        <v>52</v>
      </c>
      <c r="N5323" s="28" t="s">
        <v>52</v>
      </c>
    </row>
    <row r="5324" spans="1:14" x14ac:dyDescent="0.15">
      <c r="A5324" s="23" t="str">
        <f t="shared" si="232"/>
        <v>АО "ТОРГОВЫЙ ДОМ "ПЕРЕКРЕСТОК"</v>
      </c>
      <c r="B5324" s="24" t="s">
        <v>6999</v>
      </c>
      <c r="C5324" s="25">
        <v>0</v>
      </c>
      <c r="D5324" s="22" t="s">
        <v>7002</v>
      </c>
      <c r="E5324" s="22" t="s">
        <v>208</v>
      </c>
      <c r="F5324" s="23" t="str">
        <f>HYPERLINK("https://www.spark-marketing.ru/Card/Lot/71851510", "D-link USB 3.0 (DUB-1312/A1A) Дополнительная USB 3.0 сетевая карта для видеорегистраторов: TRASSIR MiniClient, TRASSIR MiniNVR, TRASSIR MiniNVR RE, TRASSIR DuoStation, TRASSIR DuoStation RE, TRASSIR QuattroStation, TRASSIR QuattroStation Pro")</f>
        <v>D-link USB 3.0 (DUB-1312/A1A) Дополнительная USB 3.0 сетевая карта для видеорегистраторов: TRASSIR MiniClient, TRASSIR MiniNVR, TRASSIR MiniNVR RE, TRASSIR DuoStation, TRASSIR DuoStation RE, TRASSIR QuattroStation, TRASSIR QuattroStation Pro</v>
      </c>
      <c r="G5324" s="22" t="s">
        <v>55</v>
      </c>
      <c r="H5324" s="22" t="s">
        <v>55</v>
      </c>
      <c r="I5324" s="26">
        <v>43648.744641203702</v>
      </c>
      <c r="J5324" s="28" t="s">
        <v>52</v>
      </c>
      <c r="K5324" s="28" t="s">
        <v>52</v>
      </c>
      <c r="L5324" s="28" t="s">
        <v>52</v>
      </c>
      <c r="M5324" s="28" t="s">
        <v>52</v>
      </c>
      <c r="N5324" s="28" t="s">
        <v>52</v>
      </c>
    </row>
    <row r="5325" spans="1:14" x14ac:dyDescent="0.15">
      <c r="A5325" s="23" t="str">
        <f t="shared" si="232"/>
        <v>АО "ТОРГОВЫЙ ДОМ "ПЕРЕКРЕСТОК"</v>
      </c>
      <c r="B5325" s="24" t="s">
        <v>6999</v>
      </c>
      <c r="C5325" s="25">
        <v>0</v>
      </c>
      <c r="D5325" s="22" t="s">
        <v>7001</v>
      </c>
      <c r="E5325" s="22" t="s">
        <v>208</v>
      </c>
      <c r="F5325" s="23" t="str">
        <f>HYPERLINK("https://www.spark-marketing.ru/Card/Lot/71852194", "TRASSIR NeiroStation 2V (Сервер видеоналитики, 2*GPU)")</f>
        <v>TRASSIR NeiroStation 2V (Сервер видеоналитики, 2*GPU)</v>
      </c>
      <c r="G5325" s="22" t="s">
        <v>55</v>
      </c>
      <c r="H5325" s="22" t="s">
        <v>55</v>
      </c>
      <c r="I5325" s="26">
        <v>43648.7449305556</v>
      </c>
      <c r="J5325" s="28" t="s">
        <v>52</v>
      </c>
      <c r="K5325" s="28" t="s">
        <v>52</v>
      </c>
      <c r="L5325" s="28" t="s">
        <v>52</v>
      </c>
      <c r="M5325" s="28" t="s">
        <v>52</v>
      </c>
      <c r="N5325" s="28" t="s">
        <v>52</v>
      </c>
    </row>
    <row r="5326" spans="1:14" x14ac:dyDescent="0.15">
      <c r="A5326" s="23" t="str">
        <f t="shared" si="232"/>
        <v>АО "ТОРГОВЫЙ ДОМ "ПЕРЕКРЕСТОК"</v>
      </c>
      <c r="B5326" s="24" t="s">
        <v>6999</v>
      </c>
      <c r="C5326" s="25">
        <v>0</v>
      </c>
      <c r="D5326" s="22" t="s">
        <v>7003</v>
      </c>
      <c r="E5326" s="22" t="s">
        <v>208</v>
      </c>
      <c r="F5326" s="23" t="str">
        <f>HYPERLINK("https://www.spark-marketing.ru/Card/Lot/71852129", "Юстировка стационарной видеокамеры, уличной")</f>
        <v>Юстировка стационарной видеокамеры, уличной</v>
      </c>
      <c r="G5326" s="22" t="s">
        <v>55</v>
      </c>
      <c r="H5326" s="22" t="s">
        <v>55</v>
      </c>
      <c r="I5326" s="26">
        <v>43648.744791666701</v>
      </c>
      <c r="J5326" s="28" t="s">
        <v>52</v>
      </c>
      <c r="K5326" s="28" t="s">
        <v>52</v>
      </c>
      <c r="L5326" s="28" t="s">
        <v>52</v>
      </c>
      <c r="M5326" s="28" t="s">
        <v>52</v>
      </c>
      <c r="N5326" s="28" t="s">
        <v>52</v>
      </c>
    </row>
    <row r="5327" spans="1:14" x14ac:dyDescent="0.15">
      <c r="A5327" s="23" t="str">
        <f t="shared" si="232"/>
        <v>АО "ТОРГОВЫЙ ДОМ "ПЕРЕКРЕСТОК"</v>
      </c>
      <c r="B5327" s="24" t="s">
        <v>6999</v>
      </c>
      <c r="C5327" s="25">
        <v>0</v>
      </c>
      <c r="D5327" s="22" t="s">
        <v>7003</v>
      </c>
      <c r="E5327" s="22" t="s">
        <v>208</v>
      </c>
      <c r="F5327" s="23" t="str">
        <f>HYPERLINK("https://www.spark-marketing.ru/Card/Lot/71851727", "LTV-BMW-175 (GL-203E) Кронштейн 175мм для видеокамер, белый, металлический")</f>
        <v>LTV-BMW-175 (GL-203E) Кронштейн 175мм для видеокамер, белый, металлический</v>
      </c>
      <c r="G5327" s="22" t="s">
        <v>55</v>
      </c>
      <c r="H5327" s="22" t="s">
        <v>55</v>
      </c>
      <c r="I5327" s="26">
        <v>43648.744791666701</v>
      </c>
      <c r="J5327" s="28" t="s">
        <v>52</v>
      </c>
      <c r="K5327" s="28" t="s">
        <v>52</v>
      </c>
      <c r="L5327" s="28" t="s">
        <v>52</v>
      </c>
      <c r="M5327" s="28" t="s">
        <v>52</v>
      </c>
      <c r="N5327" s="28" t="s">
        <v>52</v>
      </c>
    </row>
    <row r="5328" spans="1:14" x14ac:dyDescent="0.15">
      <c r="A5328" s="23" t="str">
        <f t="shared" si="232"/>
        <v>АО "ТОРГОВЫЙ ДОМ "ПЕРЕКРЕСТОК"</v>
      </c>
      <c r="B5328" s="24" t="s">
        <v>6999</v>
      </c>
      <c r="C5328" s="25">
        <v>0</v>
      </c>
      <c r="D5328" s="22" t="s">
        <v>7002</v>
      </c>
      <c r="E5328" s="22" t="s">
        <v>208</v>
      </c>
      <c r="F5328" s="23" t="str">
        <f>HYPERLINK("https://www.spark-marketing.ru/Card/Lot/71851509", "УРМ (Core i5/8000Mb/250Gb/DVD-RW/Lan 1000/4xUSB 2.0/CardReader 4x1/Mb+Kb, ОС Win 7 pro, Видеокарта NVIDIA GeForce GT 730) - двухмониторный")</f>
        <v>УРМ (Core i5/8000Mb/250Gb/DVD-RW/Lan 1000/4xUSB 2.0/CardReader 4x1/Mb+Kb, ОС Win 7 pro, Видеокарта NVIDIA GeForce GT 730) - двухмониторный</v>
      </c>
      <c r="G5328" s="22" t="s">
        <v>55</v>
      </c>
      <c r="H5328" s="22" t="s">
        <v>55</v>
      </c>
      <c r="I5328" s="26">
        <v>43648.744641203702</v>
      </c>
      <c r="J5328" s="28" t="s">
        <v>52</v>
      </c>
      <c r="K5328" s="28" t="s">
        <v>52</v>
      </c>
      <c r="L5328" s="28" t="s">
        <v>52</v>
      </c>
      <c r="M5328" s="28" t="s">
        <v>52</v>
      </c>
      <c r="N5328" s="28" t="s">
        <v>52</v>
      </c>
    </row>
    <row r="5329" spans="1:14" x14ac:dyDescent="0.15">
      <c r="A5329" s="23" t="str">
        <f t="shared" si="232"/>
        <v>АО "ТОРГОВЫЙ ДОМ "ПЕРЕКРЕСТОК"</v>
      </c>
      <c r="B5329" s="24" t="s">
        <v>6999</v>
      </c>
      <c r="C5329" s="25">
        <v>0</v>
      </c>
      <c r="D5329" s="22" t="s">
        <v>7004</v>
      </c>
      <c r="E5329" s="22" t="s">
        <v>208</v>
      </c>
      <c r="F5329" s="23" t="str">
        <f>HYPERLINK("https://www.spark-marketing.ru/Card/Lot/71853109", "LTV CTM-110 22, Видеокамера TVI внутреняя, купольная поворотная, 720P, DWDR, 23-x трансфокатор, внутреняя, IP40, -10°С+50°C, 24В")</f>
        <v>LTV CTM-110 22, Видеокамера TVI внутреняя, купольная поворотная, 720P, DWDR, 23-x трансфокатор, внутреняя, IP40, -10°С+50°C, 24В</v>
      </c>
      <c r="G5329" s="22" t="s">
        <v>55</v>
      </c>
      <c r="H5329" s="22" t="s">
        <v>55</v>
      </c>
      <c r="I5329" s="26">
        <v>43648.745347222197</v>
      </c>
      <c r="J5329" s="28" t="s">
        <v>52</v>
      </c>
      <c r="K5329" s="28" t="s">
        <v>52</v>
      </c>
      <c r="L5329" s="28" t="s">
        <v>52</v>
      </c>
      <c r="M5329" s="28" t="s">
        <v>52</v>
      </c>
      <c r="N5329" s="28" t="s">
        <v>52</v>
      </c>
    </row>
    <row r="5330" spans="1:14" x14ac:dyDescent="0.15">
      <c r="A5330" s="23" t="str">
        <f t="shared" si="232"/>
        <v>АО "ТОРГОВЫЙ ДОМ "ПЕРЕКРЕСТОК"</v>
      </c>
      <c r="B5330" s="24" t="s">
        <v>6999</v>
      </c>
      <c r="C5330" s="25">
        <v>0</v>
      </c>
      <c r="D5330" s="22" t="s">
        <v>7006</v>
      </c>
      <c r="E5330" s="22" t="s">
        <v>208</v>
      </c>
      <c r="F5330" s="23" t="str">
        <f>HYPERLINK("https://www.spark-marketing.ru/Card/Lot/71850576", "LTV-BMW-147 (GL-213), кронштейн для корпусных видеокамер, белый, пластиковый, длина 147 мм")</f>
        <v>LTV-BMW-147 (GL-213), кронштейн для корпусных видеокамер, белый, пластиковый, длина 147 мм</v>
      </c>
      <c r="G5330" s="22" t="s">
        <v>55</v>
      </c>
      <c r="H5330" s="22" t="s">
        <v>55</v>
      </c>
      <c r="I5330" s="26">
        <v>43648.744490740697</v>
      </c>
      <c r="J5330" s="28" t="s">
        <v>52</v>
      </c>
      <c r="K5330" s="28" t="s">
        <v>52</v>
      </c>
      <c r="L5330" s="28" t="s">
        <v>52</v>
      </c>
      <c r="M5330" s="28" t="s">
        <v>52</v>
      </c>
      <c r="N5330" s="28" t="s">
        <v>52</v>
      </c>
    </row>
    <row r="5331" spans="1:14" x14ac:dyDescent="0.15">
      <c r="A5331" s="23" t="str">
        <f t="shared" si="232"/>
        <v>АО "ТОРГОВЫЙ ДОМ "ПЕРЕКРЕСТОК"</v>
      </c>
      <c r="B5331" s="24" t="s">
        <v>6999</v>
      </c>
      <c r="C5331" s="25">
        <v>0</v>
      </c>
      <c r="D5331" s="22" t="s">
        <v>7000</v>
      </c>
      <c r="E5331" s="22" t="s">
        <v>208</v>
      </c>
      <c r="F5331" s="23" t="str">
        <f>HYPERLINK("https://www.spark-marketing.ru/Card/Lot/71850633", "Юстировка стационарной видеокамеры, уличной")</f>
        <v>Юстировка стационарной видеокамеры, уличной</v>
      </c>
      <c r="G5331" s="22" t="s">
        <v>55</v>
      </c>
      <c r="H5331" s="22" t="s">
        <v>55</v>
      </c>
      <c r="I5331" s="26">
        <v>43648.7443055556</v>
      </c>
      <c r="J5331" s="28" t="s">
        <v>52</v>
      </c>
      <c r="K5331" s="28" t="s">
        <v>52</v>
      </c>
      <c r="L5331" s="28" t="s">
        <v>52</v>
      </c>
      <c r="M5331" s="28" t="s">
        <v>52</v>
      </c>
      <c r="N5331" s="28" t="s">
        <v>52</v>
      </c>
    </row>
    <row r="5332" spans="1:14" x14ac:dyDescent="0.15">
      <c r="A5332" s="23" t="str">
        <f t="shared" si="232"/>
        <v>АО "ТОРГОВЫЙ ДОМ "ПЕРЕКРЕСТОК"</v>
      </c>
      <c r="B5332" s="24" t="s">
        <v>6999</v>
      </c>
      <c r="C5332" s="25">
        <v>0</v>
      </c>
      <c r="D5332" s="22" t="s">
        <v>7005</v>
      </c>
      <c r="E5332" s="22" t="s">
        <v>208</v>
      </c>
      <c r="F5332" s="23" t="str">
        <f>HYPERLINK("https://www.spark-marketing.ru/Card/Lot/71853765", "Камера видеонаблюдения HikVision DS-2DE4225W-DE PTZ")</f>
        <v>Камера видеонаблюдения HikVision DS-2DE4225W-DE PTZ</v>
      </c>
      <c r="G5332" s="22" t="s">
        <v>55</v>
      </c>
      <c r="H5332" s="22" t="s">
        <v>55</v>
      </c>
      <c r="I5332" s="26">
        <v>43648.745069444398</v>
      </c>
      <c r="J5332" s="28" t="s">
        <v>52</v>
      </c>
      <c r="K5332" s="28" t="s">
        <v>52</v>
      </c>
      <c r="L5332" s="28" t="s">
        <v>52</v>
      </c>
      <c r="M5332" s="28" t="s">
        <v>52</v>
      </c>
      <c r="N5332" s="28" t="s">
        <v>52</v>
      </c>
    </row>
    <row r="5333" spans="1:14" x14ac:dyDescent="0.15">
      <c r="A5333" s="23" t="str">
        <f t="shared" si="232"/>
        <v>АО "ТОРГОВЫЙ ДОМ "ПЕРЕКРЕСТОК"</v>
      </c>
      <c r="B5333" s="24" t="s">
        <v>6999</v>
      </c>
      <c r="C5333" s="25">
        <v>0</v>
      </c>
      <c r="D5333" s="22" t="s">
        <v>7008</v>
      </c>
      <c r="E5333" s="22" t="s">
        <v>208</v>
      </c>
      <c r="F5333" s="23" t="str">
        <f>HYPERLINK("https://www.spark-marketing.ru/Card/Lot/71854712", "Опустошение полок (на одну видеокамеру камеру)")</f>
        <v>Опустошение полок (на одну видеокамеру камеру)</v>
      </c>
      <c r="G5333" s="22" t="s">
        <v>55</v>
      </c>
      <c r="H5333" s="22" t="s">
        <v>55</v>
      </c>
      <c r="I5333" s="26">
        <v>43648.745509259301</v>
      </c>
      <c r="J5333" s="28" t="s">
        <v>52</v>
      </c>
      <c r="K5333" s="28" t="s">
        <v>52</v>
      </c>
      <c r="L5333" s="28" t="s">
        <v>52</v>
      </c>
      <c r="M5333" s="28" t="s">
        <v>52</v>
      </c>
      <c r="N5333" s="28" t="s">
        <v>52</v>
      </c>
    </row>
    <row r="5334" spans="1:14" x14ac:dyDescent="0.15">
      <c r="A5334" s="23" t="str">
        <f t="shared" si="232"/>
        <v>АО "ТОРГОВЫЙ ДОМ "ПЕРЕКРЕСТОК"</v>
      </c>
      <c r="B5334" s="24" t="s">
        <v>6999</v>
      </c>
      <c r="C5334" s="25">
        <v>0</v>
      </c>
      <c r="D5334" s="22" t="s">
        <v>7004</v>
      </c>
      <c r="E5334" s="22" t="s">
        <v>208</v>
      </c>
      <c r="F5334" s="23" t="str">
        <f>HYPERLINK("https://www.spark-marketing.ru/Card/Lot/71853851", "D-link USB 3.0 (DUB-1312/A1A) Дополнительная USB 3.0 сетевая карта для видеорегистраторов: TRASSIR MiniClient, TRASSIR MiniNVR, TRASSIR MiniNVR RE, TRASSIR DuoStation, TRASSIR DuoStation RE, TRASSIR QuattroStation, TRASSIR QuattroStation Pro")</f>
        <v>D-link USB 3.0 (DUB-1312/A1A) Дополнительная USB 3.0 сетевая карта для видеорегистраторов: TRASSIR MiniClient, TRASSIR MiniNVR, TRASSIR MiniNVR RE, TRASSIR DuoStation, TRASSIR DuoStation RE, TRASSIR QuattroStation, TRASSIR QuattroStation Pro</v>
      </c>
      <c r="G5334" s="22" t="s">
        <v>55</v>
      </c>
      <c r="H5334" s="22" t="s">
        <v>55</v>
      </c>
      <c r="I5334" s="26">
        <v>43648.745347222197</v>
      </c>
      <c r="J5334" s="28" t="s">
        <v>52</v>
      </c>
      <c r="K5334" s="28" t="s">
        <v>52</v>
      </c>
      <c r="L5334" s="28" t="s">
        <v>52</v>
      </c>
      <c r="M5334" s="28" t="s">
        <v>52</v>
      </c>
      <c r="N5334" s="28" t="s">
        <v>52</v>
      </c>
    </row>
    <row r="5335" spans="1:14" x14ac:dyDescent="0.15">
      <c r="A5335" s="23" t="str">
        <f t="shared" si="232"/>
        <v>АО "ТОРГОВЫЙ ДОМ "ПЕРЕКРЕСТОК"</v>
      </c>
      <c r="B5335" s="24" t="s">
        <v>6999</v>
      </c>
      <c r="C5335" s="25">
        <v>0</v>
      </c>
      <c r="D5335" s="22" t="s">
        <v>7006</v>
      </c>
      <c r="E5335" s="22" t="s">
        <v>208</v>
      </c>
      <c r="F5335" s="23" t="str">
        <f>HYPERLINK("https://www.spark-marketing.ru/Card/Lot/71850661", "Камера видеонаблюдения HikVision DS-2DE4225W-DE PTZ")</f>
        <v>Камера видеонаблюдения HikVision DS-2DE4225W-DE PTZ</v>
      </c>
      <c r="G5335" s="22" t="s">
        <v>55</v>
      </c>
      <c r="H5335" s="22" t="s">
        <v>55</v>
      </c>
      <c r="I5335" s="26">
        <v>43648.744490740697</v>
      </c>
      <c r="J5335" s="28" t="s">
        <v>52</v>
      </c>
      <c r="K5335" s="28" t="s">
        <v>52</v>
      </c>
      <c r="L5335" s="28" t="s">
        <v>52</v>
      </c>
      <c r="M5335" s="28" t="s">
        <v>52</v>
      </c>
      <c r="N5335" s="28" t="s">
        <v>52</v>
      </c>
    </row>
    <row r="5336" spans="1:14" x14ac:dyDescent="0.15">
      <c r="A5336" s="23" t="str">
        <f t="shared" si="232"/>
        <v>АО "ТОРГОВЫЙ ДОМ "ПЕРЕКРЕСТОК"</v>
      </c>
      <c r="B5336" s="24" t="s">
        <v>6999</v>
      </c>
      <c r="C5336" s="25">
        <v>0</v>
      </c>
      <c r="D5336" s="22" t="s">
        <v>7006</v>
      </c>
      <c r="E5336" s="22" t="s">
        <v>208</v>
      </c>
      <c r="F5336" s="23" t="str">
        <f>HYPERLINK("https://www.spark-marketing.ru/Card/Lot/71850765", "Сервер контроля кассовых операций Видеомаркет (Core i5/8192Mb/250Gb/Lan 1000/4xUSB 2.0/CardReader 4x1/Mb+Kb, ОС Win 7/10 pro, Видеокарта NVIDIA GeForce GT 730) комплект ""клавиатура-""мышь""")</f>
        <v>Сервер контроля кассовых операций Видеомаркет (Core i5/8192Mb/250Gb/Lan 1000/4xUSB 2.0/CardReader 4x1/Mb+Kb, ОС Win 7/10 pro, Видеокарта NVIDIA GeForce GT 730) комплект "клавиатура-"мышь"</v>
      </c>
      <c r="G5336" s="22" t="s">
        <v>55</v>
      </c>
      <c r="H5336" s="22" t="s">
        <v>55</v>
      </c>
      <c r="I5336" s="26">
        <v>43648.744490740697</v>
      </c>
      <c r="J5336" s="28" t="s">
        <v>52</v>
      </c>
      <c r="K5336" s="28" t="s">
        <v>52</v>
      </c>
      <c r="L5336" s="28" t="s">
        <v>52</v>
      </c>
      <c r="M5336" s="28" t="s">
        <v>52</v>
      </c>
      <c r="N5336" s="28" t="s">
        <v>52</v>
      </c>
    </row>
    <row r="5337" spans="1:14" x14ac:dyDescent="0.15">
      <c r="A5337" s="23" t="str">
        <f t="shared" si="232"/>
        <v>АО "ТОРГОВЫЙ ДОМ "ПЕРЕКРЕСТОК"</v>
      </c>
      <c r="B5337" s="24" t="s">
        <v>6999</v>
      </c>
      <c r="C5337" s="25">
        <v>0</v>
      </c>
      <c r="D5337" s="22" t="s">
        <v>7007</v>
      </c>
      <c r="E5337" s="22" t="s">
        <v>208</v>
      </c>
      <c r="F5337" s="23" t="str">
        <f>HYPERLINK("https://www.spark-marketing.ru/Card/Lot/71854145", "Камера видеонаблюдения HikVision DS-2CD2143G0-IS (6mm) купол")</f>
        <v>Камера видеонаблюдения HikVision DS-2CD2143G0-IS (6mm) купол</v>
      </c>
      <c r="G5337" s="22" t="s">
        <v>55</v>
      </c>
      <c r="H5337" s="22" t="s">
        <v>55</v>
      </c>
      <c r="I5337" s="26">
        <v>43648.745219907403</v>
      </c>
      <c r="J5337" s="28" t="s">
        <v>52</v>
      </c>
      <c r="K5337" s="28" t="s">
        <v>52</v>
      </c>
      <c r="L5337" s="28" t="s">
        <v>52</v>
      </c>
      <c r="M5337" s="28" t="s">
        <v>52</v>
      </c>
      <c r="N5337" s="28" t="s">
        <v>52</v>
      </c>
    </row>
    <row r="5338" spans="1:14" x14ac:dyDescent="0.15">
      <c r="A5338" s="23" t="str">
        <f t="shared" si="232"/>
        <v>АО "ТОРГОВЫЙ ДОМ "ПЕРЕКРЕСТОК"</v>
      </c>
      <c r="B5338" s="24" t="s">
        <v>6999</v>
      </c>
      <c r="C5338" s="25">
        <v>0</v>
      </c>
      <c r="D5338" s="22" t="s">
        <v>7005</v>
      </c>
      <c r="E5338" s="22" t="s">
        <v>208</v>
      </c>
      <c r="F5338" s="23" t="str">
        <f>HYPERLINK("https://www.spark-marketing.ru/Card/Lot/71854244", "LTV CTM-110 22, Видеокамера TVI внутреняя, купольная поворотная, 720P, DWDR, 23-x трансфокатор, внутреняя, IP40, -10°С+50°C, 24В")</f>
        <v>LTV CTM-110 22, Видеокамера TVI внутреняя, купольная поворотная, 720P, DWDR, 23-x трансфокатор, внутреняя, IP40, -10°С+50°C, 24В</v>
      </c>
      <c r="G5338" s="22" t="s">
        <v>55</v>
      </c>
      <c r="H5338" s="22" t="s">
        <v>55</v>
      </c>
      <c r="I5338" s="26">
        <v>43648.745069444398</v>
      </c>
      <c r="J5338" s="28" t="s">
        <v>52</v>
      </c>
      <c r="K5338" s="28" t="s">
        <v>52</v>
      </c>
      <c r="L5338" s="28" t="s">
        <v>52</v>
      </c>
      <c r="M5338" s="28" t="s">
        <v>52</v>
      </c>
      <c r="N5338" s="28" t="s">
        <v>52</v>
      </c>
    </row>
    <row r="5339" spans="1:14" x14ac:dyDescent="0.15">
      <c r="A5339" s="23" t="str">
        <f t="shared" si="232"/>
        <v>АО "ТОРГОВЫЙ ДОМ "ПЕРЕКРЕСТОК"</v>
      </c>
      <c r="B5339" s="24" t="s">
        <v>6999</v>
      </c>
      <c r="C5339" s="25">
        <v>0</v>
      </c>
      <c r="D5339" s="22" t="s">
        <v>7002</v>
      </c>
      <c r="E5339" s="22" t="s">
        <v>208</v>
      </c>
      <c r="F5339" s="23" t="str">
        <f>HYPERLINK("https://www.spark-marketing.ru/Card/Lot/71851428", "AC-TA383IR2 Купольная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f>
        <v>AC-TA383IR2 Купольная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v>
      </c>
      <c r="G5339" s="22" t="s">
        <v>55</v>
      </c>
      <c r="H5339" s="22" t="s">
        <v>55</v>
      </c>
      <c r="I5339" s="26">
        <v>43648.744641203702</v>
      </c>
      <c r="J5339" s="28" t="s">
        <v>52</v>
      </c>
      <c r="K5339" s="28" t="s">
        <v>52</v>
      </c>
      <c r="L5339" s="28" t="s">
        <v>52</v>
      </c>
      <c r="M5339" s="28" t="s">
        <v>52</v>
      </c>
      <c r="N5339" s="28" t="s">
        <v>52</v>
      </c>
    </row>
    <row r="5340" spans="1:14" x14ac:dyDescent="0.15">
      <c r="A5340" s="23" t="str">
        <f t="shared" si="232"/>
        <v>АО "ТОРГОВЫЙ ДОМ "ПЕРЕКРЕСТОК"</v>
      </c>
      <c r="B5340" s="24" t="s">
        <v>6999</v>
      </c>
      <c r="C5340" s="25">
        <v>0</v>
      </c>
      <c r="D5340" s="22" t="s">
        <v>7008</v>
      </c>
      <c r="E5340" s="22" t="s">
        <v>208</v>
      </c>
      <c r="F5340" s="23" t="str">
        <f>HYPERLINK("https://www.spark-marketing.ru/Card/Lot/71854729", "LTV RTB-081 00, 8-канальный TVI/AHD видеорегистратор, 720P: 200 к/c, Ethernet, VGA/HDMI, 1 канал Audio, 1 HDD до 6Тб")</f>
        <v>LTV RTB-081 00, 8-канальный TVI/AHD видеорегистратор, 720P: 200 к/c, Ethernet, VGA/HDMI, 1 канал Audio, 1 HDD до 6Тб</v>
      </c>
      <c r="G5340" s="22" t="s">
        <v>55</v>
      </c>
      <c r="H5340" s="22" t="s">
        <v>55</v>
      </c>
      <c r="I5340" s="26">
        <v>43648.745509259301</v>
      </c>
      <c r="J5340" s="28" t="s">
        <v>52</v>
      </c>
      <c r="K5340" s="28" t="s">
        <v>52</v>
      </c>
      <c r="L5340" s="28" t="s">
        <v>52</v>
      </c>
      <c r="M5340" s="28" t="s">
        <v>52</v>
      </c>
      <c r="N5340" s="28" t="s">
        <v>52</v>
      </c>
    </row>
    <row r="5341" spans="1:14" x14ac:dyDescent="0.15">
      <c r="A5341" s="23" t="str">
        <f t="shared" si="232"/>
        <v>АО "ТОРГОВЫЙ ДОМ "ПЕРЕКРЕСТОК"</v>
      </c>
      <c r="B5341" s="24" t="s">
        <v>6999</v>
      </c>
      <c r="C5341" s="25">
        <v>0</v>
      </c>
      <c r="D5341" s="22" t="s">
        <v>7000</v>
      </c>
      <c r="E5341" s="22" t="s">
        <v>208</v>
      </c>
      <c r="F5341" s="23" t="str">
        <f>HYPERLINK("https://www.spark-marketing.ru/Card/Lot/71850338", "Видеокамера бытовая, с перезаписываемой памятью (Flash), Full HD 1080p, Режим ночной съемки, Поддержка карт памяти, SD, SDHC, SDXC")</f>
        <v>Видеокамера бытовая, с перезаписываемой памятью (Flash), Full HD 1080p, Режим ночной съемки, Поддержка карт памяти, SD, SDHC, SDXC</v>
      </c>
      <c r="G5341" s="22" t="s">
        <v>55</v>
      </c>
      <c r="H5341" s="22" t="s">
        <v>55</v>
      </c>
      <c r="I5341" s="26">
        <v>43648.7443055556</v>
      </c>
      <c r="J5341" s="28" t="s">
        <v>52</v>
      </c>
      <c r="K5341" s="28" t="s">
        <v>52</v>
      </c>
      <c r="L5341" s="28" t="s">
        <v>52</v>
      </c>
      <c r="M5341" s="28" t="s">
        <v>52</v>
      </c>
      <c r="N5341" s="28" t="s">
        <v>52</v>
      </c>
    </row>
    <row r="5342" spans="1:14" x14ac:dyDescent="0.15">
      <c r="A5342" s="23" t="str">
        <f t="shared" si="232"/>
        <v>АО "ТОРГОВЫЙ ДОМ "ПЕРЕКРЕСТОК"</v>
      </c>
      <c r="B5342" s="24" t="s">
        <v>6999</v>
      </c>
      <c r="C5342" s="25">
        <v>0</v>
      </c>
      <c r="D5342" s="22" t="s">
        <v>7006</v>
      </c>
      <c r="E5342" s="22" t="s">
        <v>208</v>
      </c>
      <c r="F5342" s="23" t="str">
        <f>HYPERLINK("https://www.spark-marketing.ru/Card/Lot/71850673", "Камера видеонаблюдения HikVision DS-2CD2155FWD-IS (2.8mm) купол")</f>
        <v>Камера видеонаблюдения HikVision DS-2CD2155FWD-IS (2.8mm) купол</v>
      </c>
      <c r="G5342" s="22" t="s">
        <v>55</v>
      </c>
      <c r="H5342" s="22" t="s">
        <v>55</v>
      </c>
      <c r="I5342" s="26">
        <v>43648.744490740697</v>
      </c>
      <c r="J5342" s="28" t="s">
        <v>52</v>
      </c>
      <c r="K5342" s="28" t="s">
        <v>52</v>
      </c>
      <c r="L5342" s="28" t="s">
        <v>52</v>
      </c>
      <c r="M5342" s="28" t="s">
        <v>52</v>
      </c>
      <c r="N5342" s="28" t="s">
        <v>52</v>
      </c>
    </row>
    <row r="5343" spans="1:14" x14ac:dyDescent="0.15">
      <c r="A5343" s="23" t="str">
        <f t="shared" si="232"/>
        <v>АО "ТОРГОВЫЙ ДОМ "ПЕРЕКРЕСТОК"</v>
      </c>
      <c r="B5343" s="24" t="s">
        <v>6999</v>
      </c>
      <c r="C5343" s="25">
        <v>0</v>
      </c>
      <c r="D5343" s="22" t="s">
        <v>7004</v>
      </c>
      <c r="E5343" s="22" t="s">
        <v>208</v>
      </c>
      <c r="F5343" s="23" t="str">
        <f>HYPERLINK("https://www.spark-marketing.ru/Card/Lot/71853239", "AC-TA381IR2 Компактная купольная 2МП TVI видеокамера. Разрешение 1080P, матрица 1/2.8"" CMOS SONY, Цвет: 0.05 Лк (F1.8) / ЧБ: 0 Лк (ИК вкл.), объектив 3.6мм, режим «День/Ночь», механический ИК-фильтр, 3D-NR, DWDR, OSD, питание 12В DC, потребляемый то...")</f>
        <v>AC-TA381IR2 Компактная купольная 2МП TVI видеокамера. Разрешение 1080P, матрица 1/2.8" CMOS SONY, Цвет: 0.05 Лк (F1.8) / ЧБ: 0 Лк (ИК вкл.), объектив 3.6мм, режим «День/Ночь», механический ИК-фильтр, 3D-NR, DWDR, OSD, питание 12В DC, потребляемый то...</v>
      </c>
      <c r="G5343" s="22" t="s">
        <v>55</v>
      </c>
      <c r="H5343" s="22" t="s">
        <v>55</v>
      </c>
      <c r="I5343" s="26">
        <v>43648.745347222197</v>
      </c>
      <c r="J5343" s="28" t="s">
        <v>52</v>
      </c>
      <c r="K5343" s="28" t="s">
        <v>52</v>
      </c>
      <c r="L5343" s="28" t="s">
        <v>52</v>
      </c>
      <c r="M5343" s="28" t="s">
        <v>52</v>
      </c>
      <c r="N5343" s="28" t="s">
        <v>52</v>
      </c>
    </row>
    <row r="5344" spans="1:14" x14ac:dyDescent="0.15">
      <c r="A5344" s="23" t="str">
        <f t="shared" si="232"/>
        <v>АО "ТОРГОВЫЙ ДОМ "ПЕРЕКРЕСТОК"</v>
      </c>
      <c r="B5344" s="24" t="s">
        <v>6999</v>
      </c>
      <c r="C5344" s="25">
        <v>0</v>
      </c>
      <c r="D5344" s="22" t="s">
        <v>7001</v>
      </c>
      <c r="E5344" s="22" t="s">
        <v>208</v>
      </c>
      <c r="F5344" s="23" t="str">
        <f>HYPERLINK("https://www.spark-marketing.ru/Card/Lot/71852448", "LTV-BMW-175 (GL-203E) Кронштейн 175мм для видеокамер, белый, металлический")</f>
        <v>LTV-BMW-175 (GL-203E) Кронштейн 175мм для видеокамер, белый, металлический</v>
      </c>
      <c r="G5344" s="22" t="s">
        <v>55</v>
      </c>
      <c r="H5344" s="22" t="s">
        <v>55</v>
      </c>
      <c r="I5344" s="26">
        <v>43648.7449305556</v>
      </c>
      <c r="J5344" s="28" t="s">
        <v>52</v>
      </c>
      <c r="K5344" s="28" t="s">
        <v>52</v>
      </c>
      <c r="L5344" s="28" t="s">
        <v>52</v>
      </c>
      <c r="M5344" s="28" t="s">
        <v>52</v>
      </c>
      <c r="N5344" s="28" t="s">
        <v>52</v>
      </c>
    </row>
    <row r="5345" spans="1:14" x14ac:dyDescent="0.15">
      <c r="A5345" s="23" t="str">
        <f t="shared" si="232"/>
        <v>АО "ТОРГОВЫЙ ДОМ "ПЕРЕКРЕСТОК"</v>
      </c>
      <c r="B5345" s="24" t="s">
        <v>6999</v>
      </c>
      <c r="C5345" s="25">
        <v>0</v>
      </c>
      <c r="D5345" s="22" t="s">
        <v>7001</v>
      </c>
      <c r="E5345" s="22" t="s">
        <v>208</v>
      </c>
      <c r="F5345" s="23" t="str">
        <f>HYPERLINK("https://www.spark-marketing.ru/Card/Lot/71852469", "DH-HAC-HDPW1200RP-0360B-S3A объектив 3.6 мм с апертурой F/1.85, угл обзора по горизонтали - 89.9? HD-CVI, HD-TVI, AHD: транслирует по коаксиальному кабелю видеосигнал на расстояние 1200 м при разрешении 1 Мп и 800 м - при 2 Мп; по неэкранированной ви...")</f>
        <v>DH-HAC-HDPW1200RP-0360B-S3A объектив 3.6 мм с апертурой F/1.85, угл обзора по горизонтали - 89.9? HD-CVI, HD-TVI, AHD: транслирует по коаксиальному кабелю видеосигнал на расстояние 1200 м при разрешении 1 Мп и 800 м - при 2 Мп; по неэкранированной ви...</v>
      </c>
      <c r="G5345" s="22" t="s">
        <v>55</v>
      </c>
      <c r="H5345" s="22" t="s">
        <v>55</v>
      </c>
      <c r="I5345" s="26">
        <v>43648.7449305556</v>
      </c>
      <c r="J5345" s="28" t="s">
        <v>52</v>
      </c>
      <c r="K5345" s="28" t="s">
        <v>52</v>
      </c>
      <c r="L5345" s="28" t="s">
        <v>52</v>
      </c>
      <c r="M5345" s="28" t="s">
        <v>52</v>
      </c>
      <c r="N5345" s="28" t="s">
        <v>52</v>
      </c>
    </row>
    <row r="5346" spans="1:14" x14ac:dyDescent="0.15">
      <c r="A5346" s="23" t="str">
        <f t="shared" si="232"/>
        <v>АО "ТОРГОВЫЙ ДОМ "ПЕРЕКРЕСТОК"</v>
      </c>
      <c r="B5346" s="24" t="s">
        <v>6999</v>
      </c>
      <c r="C5346" s="25">
        <v>0</v>
      </c>
      <c r="D5346" s="22" t="s">
        <v>7007</v>
      </c>
      <c r="E5346" s="22" t="s">
        <v>208</v>
      </c>
      <c r="F5346" s="23" t="str">
        <f>HYPERLINK("https://www.spark-marketing.ru/Card/Lot/71854159", "Камера видеонаблюдения HikVision DS-2CD2543G0-IWS (2.8mm) купол")</f>
        <v>Камера видеонаблюдения HikVision DS-2CD2543G0-IWS (2.8mm) купол</v>
      </c>
      <c r="G5346" s="22" t="s">
        <v>55</v>
      </c>
      <c r="H5346" s="22" t="s">
        <v>55</v>
      </c>
      <c r="I5346" s="26">
        <v>43648.745219907403</v>
      </c>
      <c r="J5346" s="28" t="s">
        <v>52</v>
      </c>
      <c r="K5346" s="28" t="s">
        <v>52</v>
      </c>
      <c r="L5346" s="28" t="s">
        <v>52</v>
      </c>
      <c r="M5346" s="28" t="s">
        <v>52</v>
      </c>
      <c r="N5346" s="28" t="s">
        <v>52</v>
      </c>
    </row>
    <row r="5347" spans="1:14" x14ac:dyDescent="0.15">
      <c r="A5347" s="23" t="str">
        <f t="shared" si="232"/>
        <v>АО "ТОРГОВЫЙ ДОМ "ПЕРЕКРЕСТОК"</v>
      </c>
      <c r="B5347" s="24" t="s">
        <v>6999</v>
      </c>
      <c r="C5347" s="25">
        <v>0</v>
      </c>
      <c r="D5347" s="22" t="s">
        <v>7003</v>
      </c>
      <c r="E5347" s="22" t="s">
        <v>208</v>
      </c>
      <c r="F5347" s="23" t="str">
        <f>HYPERLINK("https://www.spark-marketing.ru/Card/Lot/71851737", "AC-TA263IR3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f>
        <v>AC-TA263IR3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v>
      </c>
      <c r="G5347" s="22" t="s">
        <v>55</v>
      </c>
      <c r="H5347" s="22" t="s">
        <v>55</v>
      </c>
      <c r="I5347" s="26">
        <v>43648.744791666701</v>
      </c>
      <c r="J5347" s="28" t="s">
        <v>52</v>
      </c>
      <c r="K5347" s="28" t="s">
        <v>52</v>
      </c>
      <c r="L5347" s="28" t="s">
        <v>52</v>
      </c>
      <c r="M5347" s="28" t="s">
        <v>52</v>
      </c>
      <c r="N5347" s="28" t="s">
        <v>52</v>
      </c>
    </row>
    <row r="5348" spans="1:14" x14ac:dyDescent="0.15">
      <c r="A5348" s="23" t="str">
        <f t="shared" si="232"/>
        <v>АО "ТОРГОВЫЙ ДОМ "ПЕРЕКРЕСТОК"</v>
      </c>
      <c r="B5348" s="24" t="s">
        <v>6999</v>
      </c>
      <c r="C5348" s="25">
        <v>0</v>
      </c>
      <c r="D5348" s="22" t="s">
        <v>7001</v>
      </c>
      <c r="E5348" s="22" t="s">
        <v>208</v>
      </c>
      <c r="F5348" s="23" t="str">
        <f>HYPERLINK("https://www.spark-marketing.ru/Card/Lot/71852379", "D-link USB 3.0 (DUB-1312/A1A) Дополнительная USB 3.0 сетевая карта для видеорегистраторов: TRASSIR MiniClient, TRASSIR MiniNVR, TRASSIR MiniNVR RE, TRASSIR DuoStation, TRASSIR DuoStation RE, TRASSIR QuattroStation, TRASSIR QuattroStation Pro")</f>
        <v>D-link USB 3.0 (DUB-1312/A1A) Дополнительная USB 3.0 сетевая карта для видеорегистраторов: TRASSIR MiniClient, TRASSIR MiniNVR, TRASSIR MiniNVR RE, TRASSIR DuoStation, TRASSIR DuoStation RE, TRASSIR QuattroStation, TRASSIR QuattroStation Pro</v>
      </c>
      <c r="G5348" s="22" t="s">
        <v>55</v>
      </c>
      <c r="H5348" s="22" t="s">
        <v>55</v>
      </c>
      <c r="I5348" s="26">
        <v>43648.7449305556</v>
      </c>
      <c r="J5348" s="28" t="s">
        <v>52</v>
      </c>
      <c r="K5348" s="28" t="s">
        <v>52</v>
      </c>
      <c r="L5348" s="28" t="s">
        <v>52</v>
      </c>
      <c r="M5348" s="28" t="s">
        <v>52</v>
      </c>
      <c r="N5348" s="28" t="s">
        <v>52</v>
      </c>
    </row>
    <row r="5349" spans="1:14" x14ac:dyDescent="0.15">
      <c r="A5349" s="23" t="str">
        <f t="shared" si="232"/>
        <v>АО "ТОРГОВЫЙ ДОМ "ПЕРЕКРЕСТОК"</v>
      </c>
      <c r="B5349" s="24" t="s">
        <v>6999</v>
      </c>
      <c r="C5349" s="25">
        <v>0</v>
      </c>
      <c r="D5349" s="22" t="s">
        <v>7002</v>
      </c>
      <c r="E5349" s="22" t="s">
        <v>208</v>
      </c>
      <c r="F5349" s="23" t="str">
        <f>HYPERLINK("https://www.spark-marketing.ru/Card/Lot/71851373", "Опустошение полок (на одну видеокамеру камеру)")</f>
        <v>Опустошение полок (на одну видеокамеру камеру)</v>
      </c>
      <c r="G5349" s="22" t="s">
        <v>55</v>
      </c>
      <c r="H5349" s="22" t="s">
        <v>55</v>
      </c>
      <c r="I5349" s="26">
        <v>43648.744641203702</v>
      </c>
      <c r="J5349" s="28" t="s">
        <v>52</v>
      </c>
      <c r="K5349" s="28" t="s">
        <v>52</v>
      </c>
      <c r="L5349" s="28" t="s">
        <v>52</v>
      </c>
      <c r="M5349" s="28" t="s">
        <v>52</v>
      </c>
      <c r="N5349" s="28" t="s">
        <v>52</v>
      </c>
    </row>
    <row r="5350" spans="1:14" x14ac:dyDescent="0.15">
      <c r="A5350" s="23" t="str">
        <f t="shared" si="232"/>
        <v>АО "ТОРГОВЫЙ ДОМ "ПЕРЕКРЕСТОК"</v>
      </c>
      <c r="B5350" s="24" t="s">
        <v>6999</v>
      </c>
      <c r="C5350" s="25">
        <v>0</v>
      </c>
      <c r="D5350" s="22" t="s">
        <v>7000</v>
      </c>
      <c r="E5350" s="22" t="s">
        <v>208</v>
      </c>
      <c r="F5350" s="23" t="str">
        <f>HYPERLINK("https://www.spark-marketing.ru/Card/Lot/71850198", "TRASSIR NeiroStation 2V (Сервер видеоналитики, 2*GPU)")</f>
        <v>TRASSIR NeiroStation 2V (Сервер видеоналитики, 2*GPU)</v>
      </c>
      <c r="G5350" s="22" t="s">
        <v>55</v>
      </c>
      <c r="H5350" s="22" t="s">
        <v>55</v>
      </c>
      <c r="I5350" s="26">
        <v>43648.7443055556</v>
      </c>
      <c r="J5350" s="28" t="s">
        <v>52</v>
      </c>
      <c r="K5350" s="28" t="s">
        <v>52</v>
      </c>
      <c r="L5350" s="28" t="s">
        <v>52</v>
      </c>
      <c r="M5350" s="28" t="s">
        <v>52</v>
      </c>
      <c r="N5350" s="28" t="s">
        <v>52</v>
      </c>
    </row>
    <row r="5351" spans="1:14" x14ac:dyDescent="0.15">
      <c r="A5351" s="23" t="str">
        <f t="shared" si="232"/>
        <v>АО "ТОРГОВЫЙ ДОМ "ПЕРЕКРЕСТОК"</v>
      </c>
      <c r="B5351" s="24" t="s">
        <v>6999</v>
      </c>
      <c r="C5351" s="25">
        <v>0</v>
      </c>
      <c r="D5351" s="22" t="s">
        <v>7004</v>
      </c>
      <c r="E5351" s="22" t="s">
        <v>208</v>
      </c>
      <c r="F5351" s="23" t="str">
        <f>HYPERLINK("https://www.spark-marketing.ru/Card/Lot/71853229", "LTV-BMW-147 (GL-213), кронштейн для корпусных видеокамер, белый, пластиковый, длина 147 мм")</f>
        <v>LTV-BMW-147 (GL-213), кронштейн для корпусных видеокамер, белый, пластиковый, длина 147 мм</v>
      </c>
      <c r="G5351" s="22" t="s">
        <v>55</v>
      </c>
      <c r="H5351" s="22" t="s">
        <v>55</v>
      </c>
      <c r="I5351" s="26">
        <v>43648.745347222197</v>
      </c>
      <c r="J5351" s="28" t="s">
        <v>52</v>
      </c>
      <c r="K5351" s="28" t="s">
        <v>52</v>
      </c>
      <c r="L5351" s="28" t="s">
        <v>52</v>
      </c>
      <c r="M5351" s="28" t="s">
        <v>52</v>
      </c>
      <c r="N5351" s="28" t="s">
        <v>52</v>
      </c>
    </row>
    <row r="5352" spans="1:14" x14ac:dyDescent="0.15">
      <c r="A5352" s="23" t="str">
        <f t="shared" si="232"/>
        <v>АО "ТОРГОВЫЙ ДОМ "ПЕРЕКРЕСТОК"</v>
      </c>
      <c r="B5352" s="24" t="s">
        <v>6999</v>
      </c>
      <c r="C5352" s="25">
        <v>0</v>
      </c>
      <c r="D5352" s="22" t="s">
        <v>7001</v>
      </c>
      <c r="E5352" s="22" t="s">
        <v>208</v>
      </c>
      <c r="F5352" s="23" t="str">
        <f>HYPERLINK("https://www.spark-marketing.ru/Card/Lot/71852500", "Видеодомофон монохромный, с трубкой, AC 110-240В.")</f>
        <v>Видеодомофон монохромный, с трубкой, AC 110-240В.</v>
      </c>
      <c r="G5352" s="22" t="s">
        <v>55</v>
      </c>
      <c r="H5352" s="22" t="s">
        <v>55</v>
      </c>
      <c r="I5352" s="26">
        <v>43648.7449305556</v>
      </c>
      <c r="J5352" s="28" t="s">
        <v>52</v>
      </c>
      <c r="K5352" s="28" t="s">
        <v>52</v>
      </c>
      <c r="L5352" s="28" t="s">
        <v>52</v>
      </c>
      <c r="M5352" s="28" t="s">
        <v>52</v>
      </c>
      <c r="N5352" s="28" t="s">
        <v>52</v>
      </c>
    </row>
    <row r="5353" spans="1:14" x14ac:dyDescent="0.15">
      <c r="A5353" s="23" t="str">
        <f t="shared" si="232"/>
        <v>АО "ТОРГОВЫЙ ДОМ "ПЕРЕКРЕСТОК"</v>
      </c>
      <c r="B5353" s="24" t="s">
        <v>6999</v>
      </c>
      <c r="C5353" s="25">
        <v>0</v>
      </c>
      <c r="D5353" s="22" t="s">
        <v>7005</v>
      </c>
      <c r="E5353" s="22" t="s">
        <v>208</v>
      </c>
      <c r="F5353" s="23" t="str">
        <f>HYPERLINK("https://www.spark-marketing.ru/Card/Lot/71853871", "Камера видеонаблюдения HikVision DS-2CD2155FWD-IS (2.8mm) купол")</f>
        <v>Камера видеонаблюдения HikVision DS-2CD2155FWD-IS (2.8mm) купол</v>
      </c>
      <c r="G5353" s="22" t="s">
        <v>55</v>
      </c>
      <c r="H5353" s="22" t="s">
        <v>55</v>
      </c>
      <c r="I5353" s="26">
        <v>43648.745069444398</v>
      </c>
      <c r="J5353" s="28" t="s">
        <v>52</v>
      </c>
      <c r="K5353" s="28" t="s">
        <v>52</v>
      </c>
      <c r="L5353" s="28" t="s">
        <v>52</v>
      </c>
      <c r="M5353" s="28" t="s">
        <v>52</v>
      </c>
      <c r="N5353" s="28" t="s">
        <v>52</v>
      </c>
    </row>
    <row r="5354" spans="1:14" x14ac:dyDescent="0.15">
      <c r="A5354" s="23" t="str">
        <f t="shared" si="232"/>
        <v>АО "ТОРГОВЫЙ ДОМ "ПЕРЕКРЕСТОК"</v>
      </c>
      <c r="B5354" s="24" t="s">
        <v>6999</v>
      </c>
      <c r="C5354" s="25">
        <v>0</v>
      </c>
      <c r="D5354" s="22" t="s">
        <v>7007</v>
      </c>
      <c r="E5354" s="22" t="s">
        <v>208</v>
      </c>
      <c r="F5354" s="23" t="str">
        <f>HYPERLINK("https://www.spark-marketing.ru/Card/Lot/71854305", "Юстировка стационарной видеокамеры")</f>
        <v>Юстировка стационарной видеокамеры</v>
      </c>
      <c r="G5354" s="22" t="s">
        <v>55</v>
      </c>
      <c r="H5354" s="22" t="s">
        <v>55</v>
      </c>
      <c r="I5354" s="26">
        <v>43648.745219907403</v>
      </c>
      <c r="J5354" s="28" t="s">
        <v>52</v>
      </c>
      <c r="K5354" s="28" t="s">
        <v>52</v>
      </c>
      <c r="L5354" s="28" t="s">
        <v>52</v>
      </c>
      <c r="M5354" s="28" t="s">
        <v>52</v>
      </c>
      <c r="N5354" s="28" t="s">
        <v>52</v>
      </c>
    </row>
    <row r="5355" spans="1:14" x14ac:dyDescent="0.15">
      <c r="A5355" s="23" t="str">
        <f t="shared" si="232"/>
        <v>АО "ТОРГОВЫЙ ДОМ "ПЕРЕКРЕСТОК"</v>
      </c>
      <c r="B5355" s="24" t="s">
        <v>6999</v>
      </c>
      <c r="C5355" s="25">
        <v>0</v>
      </c>
      <c r="D5355" s="22" t="s">
        <v>7005</v>
      </c>
      <c r="E5355" s="22" t="s">
        <v>208</v>
      </c>
      <c r="F5355" s="23" t="str">
        <f>HYPERLINK("https://www.spark-marketing.ru/Card/Lot/71852587", "AC-TA263IR3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f>
        <v>AC-TA263IR3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v>
      </c>
      <c r="G5355" s="22" t="s">
        <v>55</v>
      </c>
      <c r="H5355" s="22" t="s">
        <v>55</v>
      </c>
      <c r="I5355" s="26">
        <v>43648.745069444398</v>
      </c>
      <c r="J5355" s="28" t="s">
        <v>52</v>
      </c>
      <c r="K5355" s="28" t="s">
        <v>52</v>
      </c>
      <c r="L5355" s="28" t="s">
        <v>52</v>
      </c>
      <c r="M5355" s="28" t="s">
        <v>52</v>
      </c>
      <c r="N5355" s="28" t="s">
        <v>52</v>
      </c>
    </row>
    <row r="5356" spans="1:14" x14ac:dyDescent="0.15">
      <c r="A5356" s="23" t="str">
        <f t="shared" si="232"/>
        <v>АО "ТОРГОВЫЙ ДОМ "ПЕРЕКРЕСТОК"</v>
      </c>
      <c r="B5356" s="24" t="s">
        <v>6999</v>
      </c>
      <c r="C5356" s="25">
        <v>0</v>
      </c>
      <c r="D5356" s="22" t="s">
        <v>7006</v>
      </c>
      <c r="E5356" s="22" t="s">
        <v>208</v>
      </c>
      <c r="F5356" s="23" t="str">
        <f>HYPERLINK("https://www.spark-marketing.ru/Card/Lot/71850746", "HASP ключ для системы Видеомаркет")</f>
        <v>HASP ключ для системы Видеомаркет</v>
      </c>
      <c r="G5356" s="22" t="s">
        <v>55</v>
      </c>
      <c r="H5356" s="22" t="s">
        <v>55</v>
      </c>
      <c r="I5356" s="26">
        <v>43648.744490740697</v>
      </c>
      <c r="J5356" s="28" t="s">
        <v>52</v>
      </c>
      <c r="K5356" s="28" t="s">
        <v>52</v>
      </c>
      <c r="L5356" s="28" t="s">
        <v>52</v>
      </c>
      <c r="M5356" s="28" t="s">
        <v>52</v>
      </c>
      <c r="N5356" s="28" t="s">
        <v>52</v>
      </c>
    </row>
    <row r="5357" spans="1:14" x14ac:dyDescent="0.15">
      <c r="A5357" s="23" t="str">
        <f t="shared" si="232"/>
        <v>АО "ТОРГОВЫЙ ДОМ "ПЕРЕКРЕСТОК"</v>
      </c>
      <c r="B5357" s="24" t="s">
        <v>6999</v>
      </c>
      <c r="C5357" s="25">
        <v>0</v>
      </c>
      <c r="D5357" s="22" t="s">
        <v>7006</v>
      </c>
      <c r="E5357" s="22" t="s">
        <v>208</v>
      </c>
      <c r="F5357" s="23" t="str">
        <f>HYPERLINK("https://www.spark-marketing.ru/Card/Lot/71850854", "Видеокамера бытовая, с перезаписываемой памятью (Flash), Full HD 1080p, Режим ночной съемки, Поддержка карт памяти, SD, SDHC, SDXC")</f>
        <v>Видеокамера бытовая, с перезаписываемой памятью (Flash), Full HD 1080p, Режим ночной съемки, Поддержка карт памяти, SD, SDHC, SDXC</v>
      </c>
      <c r="G5357" s="22" t="s">
        <v>55</v>
      </c>
      <c r="H5357" s="22" t="s">
        <v>55</v>
      </c>
      <c r="I5357" s="26">
        <v>43648.744490740697</v>
      </c>
      <c r="J5357" s="28" t="s">
        <v>52</v>
      </c>
      <c r="K5357" s="28" t="s">
        <v>52</v>
      </c>
      <c r="L5357" s="28" t="s">
        <v>52</v>
      </c>
      <c r="M5357" s="28" t="s">
        <v>52</v>
      </c>
      <c r="N5357" s="28" t="s">
        <v>52</v>
      </c>
    </row>
    <row r="5358" spans="1:14" x14ac:dyDescent="0.15">
      <c r="A5358" s="23" t="str">
        <f t="shared" si="232"/>
        <v>АО "ТОРГОВЫЙ ДОМ "ПЕРЕКРЕСТОК"</v>
      </c>
      <c r="B5358" s="24" t="s">
        <v>6999</v>
      </c>
      <c r="C5358" s="25">
        <v>0</v>
      </c>
      <c r="D5358" s="22" t="s">
        <v>7003</v>
      </c>
      <c r="E5358" s="22" t="s">
        <v>208</v>
      </c>
      <c r="F5358" s="23" t="str">
        <f>HYPERLINK("https://www.spark-marketing.ru/Card/Lot/71851771", "LTV CTM-220 64, Видеокамера TVI, PTZ уличная, 1080p, DWDR, 3D DNR, BLC, EIS , объектив 4-120mm х30, ИК до 120м, IP66, -30°С+65°C, 24В (AC)")</f>
        <v>LTV CTM-220 64, Видеокамера TVI, PTZ уличная, 1080p, DWDR, 3D DNR, BLC, EIS , объектив 4-120mm х30, ИК до 120м, IP66, -30°С+65°C, 24В (AC)</v>
      </c>
      <c r="G5358" s="22" t="s">
        <v>55</v>
      </c>
      <c r="H5358" s="22" t="s">
        <v>55</v>
      </c>
      <c r="I5358" s="26">
        <v>43648.744791666701</v>
      </c>
      <c r="J5358" s="28" t="s">
        <v>52</v>
      </c>
      <c r="K5358" s="28" t="s">
        <v>52</v>
      </c>
      <c r="L5358" s="28" t="s">
        <v>52</v>
      </c>
      <c r="M5358" s="28" t="s">
        <v>52</v>
      </c>
      <c r="N5358" s="28" t="s">
        <v>52</v>
      </c>
    </row>
    <row r="5359" spans="1:14" x14ac:dyDescent="0.15">
      <c r="A5359" s="23" t="str">
        <f t="shared" si="232"/>
        <v>АО "ТОРГОВЫЙ ДОМ "ПЕРЕКРЕСТОК"</v>
      </c>
      <c r="B5359" s="24" t="s">
        <v>6999</v>
      </c>
      <c r="C5359" s="25">
        <v>0</v>
      </c>
      <c r="D5359" s="22" t="s">
        <v>7008</v>
      </c>
      <c r="E5359" s="22" t="s">
        <v>208</v>
      </c>
      <c r="F5359" s="23" t="str">
        <f>HYPERLINK("https://www.spark-marketing.ru/Card/Lot/71854825", "AC-TA283IR3 Уличная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OSD,...")</f>
        <v>AC-TA283IR3 Уличная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OSD,...</v>
      </c>
      <c r="G5359" s="22" t="s">
        <v>55</v>
      </c>
      <c r="H5359" s="22" t="s">
        <v>55</v>
      </c>
      <c r="I5359" s="26">
        <v>43648.745509259301</v>
      </c>
      <c r="J5359" s="28" t="s">
        <v>52</v>
      </c>
      <c r="K5359" s="28" t="s">
        <v>52</v>
      </c>
      <c r="L5359" s="28" t="s">
        <v>52</v>
      </c>
      <c r="M5359" s="28" t="s">
        <v>52</v>
      </c>
      <c r="N5359" s="28" t="s">
        <v>52</v>
      </c>
    </row>
    <row r="5360" spans="1:14" x14ac:dyDescent="0.15">
      <c r="A5360" s="23" t="str">
        <f t="shared" si="232"/>
        <v>АО "ТОРГОВЫЙ ДОМ "ПЕРЕКРЕСТОК"</v>
      </c>
      <c r="B5360" s="24" t="s">
        <v>6999</v>
      </c>
      <c r="C5360" s="25">
        <v>0</v>
      </c>
      <c r="D5360" s="22" t="s">
        <v>7006</v>
      </c>
      <c r="E5360" s="22" t="s">
        <v>208</v>
      </c>
      <c r="F5360" s="23" t="str">
        <f>HYPERLINK("https://www.spark-marketing.ru/Card/Lot/71850928", "Видеодомофон монохромный, с трубкой, AC 110-240В.")</f>
        <v>Видеодомофон монохромный, с трубкой, AC 110-240В.</v>
      </c>
      <c r="G5360" s="22" t="s">
        <v>55</v>
      </c>
      <c r="H5360" s="22" t="s">
        <v>55</v>
      </c>
      <c r="I5360" s="26">
        <v>43648.744490740697</v>
      </c>
      <c r="J5360" s="28" t="s">
        <v>52</v>
      </c>
      <c r="K5360" s="28" t="s">
        <v>52</v>
      </c>
      <c r="L5360" s="28" t="s">
        <v>52</v>
      </c>
      <c r="M5360" s="28" t="s">
        <v>52</v>
      </c>
      <c r="N5360" s="28" t="s">
        <v>52</v>
      </c>
    </row>
    <row r="5361" spans="1:14" x14ac:dyDescent="0.15">
      <c r="A5361" s="23" t="str">
        <f t="shared" si="232"/>
        <v>АО "ТОРГОВЫЙ ДОМ "ПЕРЕКРЕСТОК"</v>
      </c>
      <c r="B5361" s="24" t="s">
        <v>6999</v>
      </c>
      <c r="C5361" s="25">
        <v>0</v>
      </c>
      <c r="D5361" s="22" t="s">
        <v>7004</v>
      </c>
      <c r="E5361" s="22" t="s">
        <v>208</v>
      </c>
      <c r="F5361" s="23" t="str">
        <f>HYPERLINK("https://www.spark-marketing.ru/Card/Lot/71853106", "Сервер контроля кассовых операций Видеомаркет ( Intel Core i7 1150; Материнская плата ASUS H81M-K 1150; ОЗУ 2х4Gb DDR3; SSD 240Gb; Сетевая карта 10/100/1000Mbps х2; Корпус RackMount 550W; OS Windows 7/8/10 PRO-64 bit, Russian; MS SQL 2012) комплект ...")</f>
        <v>Сервер контроля кассовых операций Видеомаркет ( Intel Core i7 1150; Материнская плата ASUS H81M-K 1150; ОЗУ 2х4Gb DDR3; SSD 240Gb; Сетевая карта 10/100/1000Mbps х2; Корпус RackMount 550W; OS Windows 7/8/10 PRO-64 bit, Russian; MS SQL 2012) комплект ...</v>
      </c>
      <c r="G5361" s="22" t="s">
        <v>55</v>
      </c>
      <c r="H5361" s="22" t="s">
        <v>55</v>
      </c>
      <c r="I5361" s="26">
        <v>43648.745347222197</v>
      </c>
      <c r="J5361" s="28" t="s">
        <v>52</v>
      </c>
      <c r="K5361" s="28" t="s">
        <v>52</v>
      </c>
      <c r="L5361" s="28" t="s">
        <v>52</v>
      </c>
      <c r="M5361" s="28" t="s">
        <v>52</v>
      </c>
      <c r="N5361" s="28" t="s">
        <v>52</v>
      </c>
    </row>
    <row r="5362" spans="1:14" x14ac:dyDescent="0.15">
      <c r="A5362" s="23" t="str">
        <f t="shared" si="232"/>
        <v>АО "ТОРГОВЫЙ ДОМ "ПЕРЕКРЕСТОК"</v>
      </c>
      <c r="B5362" s="24" t="s">
        <v>6999</v>
      </c>
      <c r="C5362" s="25">
        <v>0</v>
      </c>
      <c r="D5362" s="22" t="s">
        <v>7008</v>
      </c>
      <c r="E5362" s="22" t="s">
        <v>208</v>
      </c>
      <c r="F5362" s="23" t="str">
        <f>HYPERLINK("https://www.spark-marketing.ru/Card/Lot/71854735", "LTV CXM-220 64 Видеокамера TVI/AHD/CVI, PTZ уличная, 1080p, WDR, 3D DNR, BLC, EIS, объектив 4.8-153mm х30, ИК до 150м, IP66, -40°С+65°C, 24В (AC)")</f>
        <v>LTV CXM-220 64 Видеокамера TVI/AHD/CVI, PTZ уличная, 1080p, WDR, 3D DNR, BLC, EIS, объектив 4.8-153mm х30, ИК до 150м, IP66, -40°С+65°C, 24В (AC)</v>
      </c>
      <c r="G5362" s="22" t="s">
        <v>55</v>
      </c>
      <c r="H5362" s="22" t="s">
        <v>55</v>
      </c>
      <c r="I5362" s="26">
        <v>43648.745509259301</v>
      </c>
      <c r="J5362" s="28" t="s">
        <v>52</v>
      </c>
      <c r="K5362" s="28" t="s">
        <v>52</v>
      </c>
      <c r="L5362" s="28" t="s">
        <v>52</v>
      </c>
      <c r="M5362" s="28" t="s">
        <v>52</v>
      </c>
      <c r="N5362" s="28" t="s">
        <v>52</v>
      </c>
    </row>
    <row r="5363" spans="1:14" x14ac:dyDescent="0.15">
      <c r="A5363" s="23" t="str">
        <f t="shared" si="232"/>
        <v>АО "ТОРГОВЫЙ ДОМ "ПЕРЕКРЕСТОК"</v>
      </c>
      <c r="B5363" s="24" t="s">
        <v>6999</v>
      </c>
      <c r="C5363" s="25">
        <v>0</v>
      </c>
      <c r="D5363" s="22" t="s">
        <v>7002</v>
      </c>
      <c r="E5363" s="22" t="s">
        <v>208</v>
      </c>
      <c r="F5363" s="23" t="str">
        <f>HYPERLINK("https://www.spark-marketing.ru/Card/Lot/71851284", "Приемопередатчики видеосигнала по витой паре")</f>
        <v>Приемопередатчики видеосигнала по витой паре</v>
      </c>
      <c r="G5363" s="22" t="s">
        <v>55</v>
      </c>
      <c r="H5363" s="22" t="s">
        <v>55</v>
      </c>
      <c r="I5363" s="26">
        <v>43648.744641203702</v>
      </c>
      <c r="J5363" s="28" t="s">
        <v>52</v>
      </c>
      <c r="K5363" s="28" t="s">
        <v>52</v>
      </c>
      <c r="L5363" s="28" t="s">
        <v>52</v>
      </c>
      <c r="M5363" s="28" t="s">
        <v>52</v>
      </c>
      <c r="N5363" s="28" t="s">
        <v>52</v>
      </c>
    </row>
    <row r="5364" spans="1:14" x14ac:dyDescent="0.15">
      <c r="A5364" s="23" t="str">
        <f t="shared" si="232"/>
        <v>АО "ТОРГОВЫЙ ДОМ "ПЕРЕКРЕСТОК"</v>
      </c>
      <c r="B5364" s="24" t="s">
        <v>6999</v>
      </c>
      <c r="C5364" s="25">
        <v>0</v>
      </c>
      <c r="D5364" s="22" t="s">
        <v>7002</v>
      </c>
      <c r="E5364" s="22" t="s">
        <v>208</v>
      </c>
      <c r="F5364" s="23" t="str">
        <f>HYPERLINK("https://www.spark-marketing.ru/Card/Lot/71851388", "Сервер контроля кассовых операций Видеомаркет ( Intel Core i7 1150; Материнская плата ASUS H81M-K 1150; ОЗУ 2х4Gb DDR3; SSD 240Gb; Сетевая карта 10/100/1000Mbps х2; Корпус RackMount 550W; OS Windows 7/8/10 PRO-64 bit, Russian; MS SQL 2012) комплект ...")</f>
        <v>Сервер контроля кассовых операций Видеомаркет ( Intel Core i7 1150; Материнская плата ASUS H81M-K 1150; ОЗУ 2х4Gb DDR3; SSD 240Gb; Сетевая карта 10/100/1000Mbps х2; Корпус RackMount 550W; OS Windows 7/8/10 PRO-64 bit, Russian; MS SQL 2012) комплект ...</v>
      </c>
      <c r="G5364" s="22" t="s">
        <v>55</v>
      </c>
      <c r="H5364" s="22" t="s">
        <v>55</v>
      </c>
      <c r="I5364" s="26">
        <v>43648.744641203702</v>
      </c>
      <c r="J5364" s="28" t="s">
        <v>52</v>
      </c>
      <c r="K5364" s="28" t="s">
        <v>52</v>
      </c>
      <c r="L5364" s="28" t="s">
        <v>52</v>
      </c>
      <c r="M5364" s="28" t="s">
        <v>52</v>
      </c>
      <c r="N5364" s="28" t="s">
        <v>52</v>
      </c>
    </row>
    <row r="5365" spans="1:14" x14ac:dyDescent="0.15">
      <c r="A5365" s="23" t="str">
        <f t="shared" si="232"/>
        <v>АО "ТОРГОВЫЙ ДОМ "ПЕРЕКРЕСТОК"</v>
      </c>
      <c r="B5365" s="24" t="s">
        <v>6999</v>
      </c>
      <c r="C5365" s="25">
        <v>0</v>
      </c>
      <c r="D5365" s="22" t="s">
        <v>7007</v>
      </c>
      <c r="E5365" s="22" t="s">
        <v>208</v>
      </c>
      <c r="F5365" s="23" t="str">
        <f>HYPERLINK("https://www.spark-marketing.ru/Card/Lot/71852845", "AC-TA361IR2 Бюджетная компактная купольная 1МП TVI видеокамера. Разрешение 720P, матрица 1/4"" CMOS, Цвет: 0.1 Лк (F1.8) / ЧБ: 0 Лк (ИК вкл.), объектив 3.6мм, режим «День/Ночь», механический ИК-фильтр, питание 12В DC, потребляемый ток 500мА, -10…+5°С...")</f>
        <v>AC-TA361IR2 Бюджетная компактная купольная 1МП TVI видеокамера. Разрешение 720P, матрица 1/4" CMOS, Цвет: 0.1 Лк (F1.8) / ЧБ: 0 Лк (ИК вкл.), объектив 3.6мм, режим «День/Ночь», механический ИК-фильтр, питание 12В DC, потребляемый ток 500мА, -10…+5°С...</v>
      </c>
      <c r="G5365" s="22" t="s">
        <v>55</v>
      </c>
      <c r="H5365" s="22" t="s">
        <v>55</v>
      </c>
      <c r="I5365" s="26">
        <v>43648.745219907403</v>
      </c>
      <c r="J5365" s="28" t="s">
        <v>52</v>
      </c>
      <c r="K5365" s="28" t="s">
        <v>52</v>
      </c>
      <c r="L5365" s="28" t="s">
        <v>52</v>
      </c>
      <c r="M5365" s="28" t="s">
        <v>52</v>
      </c>
      <c r="N5365" s="28" t="s">
        <v>52</v>
      </c>
    </row>
    <row r="5366" spans="1:14" x14ac:dyDescent="0.15">
      <c r="A5366" s="23" t="str">
        <f t="shared" si="232"/>
        <v>АО "ТОРГОВЫЙ ДОМ "ПЕРЕКРЕСТОК"</v>
      </c>
      <c r="B5366" s="24" t="s">
        <v>6999</v>
      </c>
      <c r="C5366" s="25">
        <v>0</v>
      </c>
      <c r="D5366" s="22" t="s">
        <v>7002</v>
      </c>
      <c r="E5366" s="22" t="s">
        <v>208</v>
      </c>
      <c r="F5366" s="23" t="str">
        <f>HYPERLINK("https://www.spark-marketing.ru/Card/Lot/71851425", "AC-TA263IR3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f>
        <v>AC-TA263IR3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v>
      </c>
      <c r="G5366" s="22" t="s">
        <v>55</v>
      </c>
      <c r="H5366" s="22" t="s">
        <v>55</v>
      </c>
      <c r="I5366" s="26">
        <v>43648.744641203702</v>
      </c>
      <c r="J5366" s="28" t="s">
        <v>52</v>
      </c>
      <c r="K5366" s="28" t="s">
        <v>52</v>
      </c>
      <c r="L5366" s="28" t="s">
        <v>52</v>
      </c>
      <c r="M5366" s="28" t="s">
        <v>52</v>
      </c>
      <c r="N5366" s="28" t="s">
        <v>52</v>
      </c>
    </row>
    <row r="5367" spans="1:14" x14ac:dyDescent="0.15">
      <c r="A5367" s="23" t="str">
        <f t="shared" si="232"/>
        <v>АО "ТОРГОВЫЙ ДОМ "ПЕРЕКРЕСТОК"</v>
      </c>
      <c r="B5367" s="24" t="s">
        <v>6999</v>
      </c>
      <c r="C5367" s="25">
        <v>0</v>
      </c>
      <c r="D5367" s="22" t="s">
        <v>7002</v>
      </c>
      <c r="E5367" s="22" t="s">
        <v>208</v>
      </c>
      <c r="F5367" s="23" t="str">
        <f>HYPERLINK("https://www.spark-marketing.ru/Card/Lot/71851395", "LTV CTM-110 22. Видеокамера TVI, купольная поворотная, 720P, DWDR, 23-x трансфокатор, внутренняя, IP40, -10°С +50°C, 24В АС")</f>
        <v>LTV CTM-110 22. Видеокамера TVI, купольная поворотная, 720P, DWDR, 23-x трансфокатор, внутренняя, IP40, -10°С +50°C, 24В АС</v>
      </c>
      <c r="G5367" s="22" t="s">
        <v>55</v>
      </c>
      <c r="H5367" s="22" t="s">
        <v>55</v>
      </c>
      <c r="I5367" s="26">
        <v>43648.744641203702</v>
      </c>
      <c r="J5367" s="28" t="s">
        <v>52</v>
      </c>
      <c r="K5367" s="28" t="s">
        <v>52</v>
      </c>
      <c r="L5367" s="28" t="s">
        <v>52</v>
      </c>
      <c r="M5367" s="28" t="s">
        <v>52</v>
      </c>
      <c r="N5367" s="28" t="s">
        <v>52</v>
      </c>
    </row>
    <row r="5368" spans="1:14" x14ac:dyDescent="0.15">
      <c r="A5368" s="23" t="str">
        <f t="shared" si="232"/>
        <v>АО "ТОРГОВЫЙ ДОМ "ПЕРЕКРЕСТОК"</v>
      </c>
      <c r="B5368" s="24" t="s">
        <v>6999</v>
      </c>
      <c r="C5368" s="25">
        <v>0</v>
      </c>
      <c r="D5368" s="22" t="s">
        <v>7003</v>
      </c>
      <c r="E5368" s="22" t="s">
        <v>208</v>
      </c>
      <c r="F5368" s="23" t="str">
        <f>HYPERLINK("https://www.spark-marketing.ru/Card/Lot/71851975", "Кнопка тревожная, для ручной подачи сигнала тревоги.С2000-КТ")</f>
        <v>Кнопка тревожная, для ручной подачи сигнала тревоги.С2000-КТ</v>
      </c>
      <c r="G5368" s="22" t="s">
        <v>55</v>
      </c>
      <c r="H5368" s="22" t="s">
        <v>55</v>
      </c>
      <c r="I5368" s="26">
        <v>43648.744791666701</v>
      </c>
      <c r="J5368" s="28" t="s">
        <v>52</v>
      </c>
      <c r="K5368" s="28" t="s">
        <v>52</v>
      </c>
      <c r="L5368" s="28" t="s">
        <v>52</v>
      </c>
      <c r="M5368" s="28" t="s">
        <v>52</v>
      </c>
      <c r="N5368" s="28" t="s">
        <v>52</v>
      </c>
    </row>
    <row r="5369" spans="1:14" x14ac:dyDescent="0.15">
      <c r="A5369" s="23" t="str">
        <f t="shared" si="232"/>
        <v>АО "ТОРГОВЫЙ ДОМ "ПЕРЕКРЕСТОК"</v>
      </c>
      <c r="B5369" s="24" t="s">
        <v>6999</v>
      </c>
      <c r="C5369" s="25">
        <v>0</v>
      </c>
      <c r="D5369" s="22" t="s">
        <v>7008</v>
      </c>
      <c r="E5369" s="22" t="s">
        <v>208</v>
      </c>
      <c r="F5369" s="23" t="str">
        <f>HYPERLINK("https://www.spark-marketing.ru/Card/Lot/71854527", "Камера видеонаблюдения HikVision DS-2CE16D8T-IT3ZE HD-TVI motor-zoom")</f>
        <v>Камера видеонаблюдения HikVision DS-2CE16D8T-IT3ZE HD-TVI motor-zoom</v>
      </c>
      <c r="G5369" s="22" t="s">
        <v>55</v>
      </c>
      <c r="H5369" s="22" t="s">
        <v>55</v>
      </c>
      <c r="I5369" s="26">
        <v>43648.745509259301</v>
      </c>
      <c r="J5369" s="28" t="s">
        <v>52</v>
      </c>
      <c r="K5369" s="28" t="s">
        <v>52</v>
      </c>
      <c r="L5369" s="28" t="s">
        <v>52</v>
      </c>
      <c r="M5369" s="28" t="s">
        <v>52</v>
      </c>
      <c r="N5369" s="28" t="s">
        <v>52</v>
      </c>
    </row>
    <row r="5370" spans="1:14" x14ac:dyDescent="0.15">
      <c r="A5370" s="23" t="str">
        <f t="shared" si="232"/>
        <v>АО "ТОРГОВЫЙ ДОМ "ПЕРЕКРЕСТОК"</v>
      </c>
      <c r="B5370" s="24" t="s">
        <v>6999</v>
      </c>
      <c r="C5370" s="25">
        <v>0</v>
      </c>
      <c r="D5370" s="22" t="s">
        <v>7005</v>
      </c>
      <c r="E5370" s="22" t="s">
        <v>208</v>
      </c>
      <c r="F5370" s="23" t="str">
        <f>HYPERLINK("https://www.spark-marketing.ru/Card/Lot/71854372", "AC-TA261IR2 Бюджетная уличная 1МП TVI видеокамера в компактном кожухе. Разрешение 720P, матрица 1/4"" CMOS, Цвет: 0.1 Лк (F1.8) / ЧБ: 0 Лк (ИК вкл.), объектив 3.6мм, режим «День/Ночь», механический ИК-фильтр, питание 12В DC, потребляемый ток 500мА, -...")</f>
        <v>AC-TA261IR2 Бюджетная уличная 1МП TVI видеокамера в компактном кожухе. Разрешение 720P, матрица 1/4" CMOS, Цвет: 0.1 Лк (F1.8) / ЧБ: 0 Лк (ИК вкл.), объектив 3.6мм, режим «День/Ночь», механический ИК-фильтр, питание 12В DC, потребляемый ток 500мА, -...</v>
      </c>
      <c r="G5370" s="22" t="s">
        <v>55</v>
      </c>
      <c r="H5370" s="22" t="s">
        <v>55</v>
      </c>
      <c r="I5370" s="26">
        <v>43648.745069444398</v>
      </c>
      <c r="J5370" s="28" t="s">
        <v>52</v>
      </c>
      <c r="K5370" s="28" t="s">
        <v>52</v>
      </c>
      <c r="L5370" s="28" t="s">
        <v>52</v>
      </c>
      <c r="M5370" s="28" t="s">
        <v>52</v>
      </c>
      <c r="N5370" s="28" t="s">
        <v>52</v>
      </c>
    </row>
    <row r="5371" spans="1:14" x14ac:dyDescent="0.15">
      <c r="A5371" s="23" t="str">
        <f t="shared" si="232"/>
        <v>АО "ТОРГОВЫЙ ДОМ "ПЕРЕКРЕСТОК"</v>
      </c>
      <c r="B5371" s="24" t="s">
        <v>6999</v>
      </c>
      <c r="C5371" s="25">
        <v>0</v>
      </c>
      <c r="D5371" s="22" t="s">
        <v>7000</v>
      </c>
      <c r="E5371" s="22" t="s">
        <v>208</v>
      </c>
      <c r="F5371" s="23" t="str">
        <f>HYPERLINK("https://www.spark-marketing.ru/Card/Lot/71849982", "Камера видеонаблюдения HikVision DS-2CD2643G0-IZS (2.8-12mm) 4 Mp motor-zoom")</f>
        <v>Камера видеонаблюдения HikVision DS-2CD2643G0-IZS (2.8-12mm) 4 Mp motor-zoom</v>
      </c>
      <c r="G5371" s="22" t="s">
        <v>55</v>
      </c>
      <c r="H5371" s="22" t="s">
        <v>55</v>
      </c>
      <c r="I5371" s="26">
        <v>43648.7443055556</v>
      </c>
      <c r="J5371" s="28" t="s">
        <v>52</v>
      </c>
      <c r="K5371" s="28" t="s">
        <v>52</v>
      </c>
      <c r="L5371" s="28" t="s">
        <v>52</v>
      </c>
      <c r="M5371" s="28" t="s">
        <v>52</v>
      </c>
      <c r="N5371" s="28" t="s">
        <v>52</v>
      </c>
    </row>
    <row r="5372" spans="1:14" x14ac:dyDescent="0.15">
      <c r="A5372" s="23" t="str">
        <f t="shared" si="232"/>
        <v>АО "ТОРГОВЫЙ ДОМ "ПЕРЕКРЕСТОК"</v>
      </c>
      <c r="B5372" s="24" t="s">
        <v>6999</v>
      </c>
      <c r="C5372" s="25">
        <v>0</v>
      </c>
      <c r="D5372" s="22" t="s">
        <v>7006</v>
      </c>
      <c r="E5372" s="22" t="s">
        <v>208</v>
      </c>
      <c r="F5372" s="23" t="str">
        <f>HYPERLINK("https://www.spark-marketing.ru/Card/Lot/71850596", "DH-HAC-HDPW1200RP-0360B-S3A объектив 3.6 мм с апертурой F/1.85, угл обзора по горизонтали - 89.9? HD-CVI, HD-TVI, AHD: транслирует по коаксиальному кабелю видеосигнал на расстояние 1200 м при разрешении 1 Мп и 800 м - при 2 Мп; по неэкранированной ви...")</f>
        <v>DH-HAC-HDPW1200RP-0360B-S3A объектив 3.6 мм с апертурой F/1.85, угл обзора по горизонтали - 89.9? HD-CVI, HD-TVI, AHD: транслирует по коаксиальному кабелю видеосигнал на расстояние 1200 м при разрешении 1 Мп и 800 м - при 2 Мп; по неэкранированной ви...</v>
      </c>
      <c r="G5372" s="22" t="s">
        <v>55</v>
      </c>
      <c r="H5372" s="22" t="s">
        <v>55</v>
      </c>
      <c r="I5372" s="26">
        <v>43648.744490740697</v>
      </c>
      <c r="J5372" s="28" t="s">
        <v>52</v>
      </c>
      <c r="K5372" s="28" t="s">
        <v>52</v>
      </c>
      <c r="L5372" s="28" t="s">
        <v>52</v>
      </c>
      <c r="M5372" s="28" t="s">
        <v>52</v>
      </c>
      <c r="N5372" s="28" t="s">
        <v>52</v>
      </c>
    </row>
    <row r="5373" spans="1:14" x14ac:dyDescent="0.15">
      <c r="A5373" s="23" t="str">
        <f t="shared" si="232"/>
        <v>АО "ТОРГОВЫЙ ДОМ "ПЕРЕКРЕСТОК"</v>
      </c>
      <c r="B5373" s="24" t="s">
        <v>6999</v>
      </c>
      <c r="C5373" s="25">
        <v>0</v>
      </c>
      <c r="D5373" s="22" t="s">
        <v>7006</v>
      </c>
      <c r="E5373" s="22" t="s">
        <v>208</v>
      </c>
      <c r="F5373" s="23" t="str">
        <f>HYPERLINK("https://www.spark-marketing.ru/Card/Lot/71851200", "Юстировка стационарной видеокамеры, уличной")</f>
        <v>Юстировка стационарной видеокамеры, уличной</v>
      </c>
      <c r="G5373" s="22" t="s">
        <v>55</v>
      </c>
      <c r="H5373" s="22" t="s">
        <v>55</v>
      </c>
      <c r="I5373" s="26">
        <v>43648.744490740697</v>
      </c>
      <c r="J5373" s="28" t="s">
        <v>52</v>
      </c>
      <c r="K5373" s="28" t="s">
        <v>52</v>
      </c>
      <c r="L5373" s="28" t="s">
        <v>52</v>
      </c>
      <c r="M5373" s="28" t="s">
        <v>52</v>
      </c>
      <c r="N5373" s="28" t="s">
        <v>52</v>
      </c>
    </row>
    <row r="5374" spans="1:14" x14ac:dyDescent="0.15">
      <c r="A5374" s="23" t="str">
        <f t="shared" si="232"/>
        <v>АО "ТОРГОВЫЙ ДОМ "ПЕРЕКРЕСТОК"</v>
      </c>
      <c r="B5374" s="24" t="s">
        <v>6999</v>
      </c>
      <c r="C5374" s="25">
        <v>0</v>
      </c>
      <c r="D5374" s="22" t="s">
        <v>7007</v>
      </c>
      <c r="E5374" s="22" t="s">
        <v>208</v>
      </c>
      <c r="F5374" s="23" t="str">
        <f>HYPERLINK("https://www.spark-marketing.ru/Card/Lot/71852724", "LTV CXM-220 64 Видеокамера TVI/AHD/CVI, PTZ уличная, 1080p, WDR, 3D DNR, BLC, EIS, объектив 4.8-153mm х30, ИК до 150м, IP66, -40°С+65°C, 24В (AC)")</f>
        <v>LTV CXM-220 64 Видеокамера TVI/AHD/CVI, PTZ уличная, 1080p, WDR, 3D DNR, BLC, EIS, объектив 4.8-153mm х30, ИК до 150м, IP66, -40°С+65°C, 24В (AC)</v>
      </c>
      <c r="G5374" s="22" t="s">
        <v>55</v>
      </c>
      <c r="H5374" s="22" t="s">
        <v>55</v>
      </c>
      <c r="I5374" s="26">
        <v>43648.745219907403</v>
      </c>
      <c r="J5374" s="28" t="s">
        <v>52</v>
      </c>
      <c r="K5374" s="28" t="s">
        <v>52</v>
      </c>
      <c r="L5374" s="28" t="s">
        <v>52</v>
      </c>
      <c r="M5374" s="28" t="s">
        <v>52</v>
      </c>
      <c r="N5374" s="28" t="s">
        <v>52</v>
      </c>
    </row>
    <row r="5375" spans="1:14" x14ac:dyDescent="0.15">
      <c r="A5375" s="23" t="str">
        <f t="shared" si="232"/>
        <v>АО "ТОРГОВЫЙ ДОМ "ПЕРЕКРЕСТОК"</v>
      </c>
      <c r="B5375" s="24" t="s">
        <v>6999</v>
      </c>
      <c r="C5375" s="25">
        <v>0</v>
      </c>
      <c r="D5375" s="22" t="s">
        <v>7008</v>
      </c>
      <c r="E5375" s="22" t="s">
        <v>208</v>
      </c>
      <c r="F5375" s="23" t="str">
        <f>HYPERLINK("https://www.spark-marketing.ru/Card/Lot/71854540", "Камера видеонаблюдения HikVision DS-2CD2155FWD-IS (2.8mm) купол")</f>
        <v>Камера видеонаблюдения HikVision DS-2CD2155FWD-IS (2.8mm) купол</v>
      </c>
      <c r="G5375" s="22" t="s">
        <v>55</v>
      </c>
      <c r="H5375" s="22" t="s">
        <v>55</v>
      </c>
      <c r="I5375" s="26">
        <v>43648.745509259301</v>
      </c>
      <c r="J5375" s="28" t="s">
        <v>52</v>
      </c>
      <c r="K5375" s="28" t="s">
        <v>52</v>
      </c>
      <c r="L5375" s="28" t="s">
        <v>52</v>
      </c>
      <c r="M5375" s="28" t="s">
        <v>52</v>
      </c>
      <c r="N5375" s="28" t="s">
        <v>52</v>
      </c>
    </row>
    <row r="5376" spans="1:14" x14ac:dyDescent="0.15">
      <c r="A5376" s="23" t="str">
        <f t="shared" si="232"/>
        <v>АО "ТОРГОВЫЙ ДОМ "ПЕРЕКРЕСТОК"</v>
      </c>
      <c r="B5376" s="24" t="s">
        <v>6999</v>
      </c>
      <c r="C5376" s="25">
        <v>0</v>
      </c>
      <c r="D5376" s="22" t="s">
        <v>7000</v>
      </c>
      <c r="E5376" s="22" t="s">
        <v>208</v>
      </c>
      <c r="F5376" s="23" t="str">
        <f>HYPERLINK("https://www.spark-marketing.ru/Card/Lot/71850118", "Кнопка тревожная, для ручной подачи сигнала тревоги.С2000-КТ")</f>
        <v>Кнопка тревожная, для ручной подачи сигнала тревоги.С2000-КТ</v>
      </c>
      <c r="G5376" s="22" t="s">
        <v>55</v>
      </c>
      <c r="H5376" s="22" t="s">
        <v>55</v>
      </c>
      <c r="I5376" s="26">
        <v>43648.7443055556</v>
      </c>
      <c r="J5376" s="28" t="s">
        <v>52</v>
      </c>
      <c r="K5376" s="28" t="s">
        <v>52</v>
      </c>
      <c r="L5376" s="28" t="s">
        <v>52</v>
      </c>
      <c r="M5376" s="28" t="s">
        <v>52</v>
      </c>
      <c r="N5376" s="28" t="s">
        <v>52</v>
      </c>
    </row>
    <row r="5377" spans="1:14" x14ac:dyDescent="0.15">
      <c r="A5377" s="23" t="str">
        <f t="shared" si="232"/>
        <v>АО "ТОРГОВЫЙ ДОМ "ПЕРЕКРЕСТОК"</v>
      </c>
      <c r="B5377" s="24" t="s">
        <v>6999</v>
      </c>
      <c r="C5377" s="25">
        <v>0</v>
      </c>
      <c r="D5377" s="22" t="s">
        <v>7006</v>
      </c>
      <c r="E5377" s="22" t="s">
        <v>208</v>
      </c>
      <c r="F5377" s="23" t="str">
        <f>HYPERLINK("https://www.spark-marketing.ru/Card/Lot/71850577", "LTV-BMW-305-HV, кронштейн настенный для видеокамер LTV-SDNO36-HV, LTV-SDNO36L-HV, LTV-ISDNO20-EM2, вылет 305мм")</f>
        <v>LTV-BMW-305-HV, кронштейн настенный для видеокамер LTV-SDNO36-HV, LTV-SDNO36L-HV, LTV-ISDNO20-EM2, вылет 305мм</v>
      </c>
      <c r="G5377" s="22" t="s">
        <v>55</v>
      </c>
      <c r="H5377" s="22" t="s">
        <v>55</v>
      </c>
      <c r="I5377" s="26">
        <v>43648.744490740697</v>
      </c>
      <c r="J5377" s="28" t="s">
        <v>52</v>
      </c>
      <c r="K5377" s="28" t="s">
        <v>52</v>
      </c>
      <c r="L5377" s="28" t="s">
        <v>52</v>
      </c>
      <c r="M5377" s="28" t="s">
        <v>52</v>
      </c>
      <c r="N5377" s="28" t="s">
        <v>52</v>
      </c>
    </row>
    <row r="5378" spans="1:14" x14ac:dyDescent="0.15">
      <c r="A5378" s="23" t="str">
        <f t="shared" si="232"/>
        <v>АО "ТОРГОВЫЙ ДОМ "ПЕРЕКРЕСТОК"</v>
      </c>
      <c r="B5378" s="24" t="s">
        <v>6999</v>
      </c>
      <c r="C5378" s="25">
        <v>0</v>
      </c>
      <c r="D5378" s="22" t="s">
        <v>7007</v>
      </c>
      <c r="E5378" s="22" t="s">
        <v>208</v>
      </c>
      <c r="F5378" s="23" t="str">
        <f>HYPERLINK("https://www.spark-marketing.ru/Card/Lot/71852852", "AC-TA283IR3 Уличная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OSD,...")</f>
        <v>AC-TA283IR3 Уличная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OSD,...</v>
      </c>
      <c r="G5378" s="22" t="s">
        <v>55</v>
      </c>
      <c r="H5378" s="22" t="s">
        <v>55</v>
      </c>
      <c r="I5378" s="26">
        <v>43648.745219907403</v>
      </c>
      <c r="J5378" s="28" t="s">
        <v>52</v>
      </c>
      <c r="K5378" s="28" t="s">
        <v>52</v>
      </c>
      <c r="L5378" s="28" t="s">
        <v>52</v>
      </c>
      <c r="M5378" s="28" t="s">
        <v>52</v>
      </c>
      <c r="N5378" s="28" t="s">
        <v>52</v>
      </c>
    </row>
    <row r="5379" spans="1:14" x14ac:dyDescent="0.15">
      <c r="A5379" s="23" t="str">
        <f t="shared" si="232"/>
        <v>АО "ТОРГОВЫЙ ДОМ "ПЕРЕКРЕСТОК"</v>
      </c>
      <c r="B5379" s="24" t="s">
        <v>6999</v>
      </c>
      <c r="C5379" s="25">
        <v>0</v>
      </c>
      <c r="D5379" s="22" t="s">
        <v>7006</v>
      </c>
      <c r="E5379" s="22" t="s">
        <v>208</v>
      </c>
      <c r="F5379" s="23" t="str">
        <f>HYPERLINK("https://www.spark-marketing.ru/Card/Lot/71850582", "AC-TA361IR2 Бюджетная компактная купольная 1МП TVI видеокамера. Разрешение 720P, матрица 1/4"" CMOS, Цвет: 0.1 Лк (F1.8) / ЧБ: 0 Лк (ИК вкл.), объектив 3.6мм, режим «День/Ночь», механический ИК-фильтр, питание 12В DC, потребляемый ток 500мА, -10…+5°С...")</f>
        <v>AC-TA361IR2 Бюджетная компактная купольная 1МП TVI видеокамера. Разрешение 720P, матрица 1/4" CMOS, Цвет: 0.1 Лк (F1.8) / ЧБ: 0 Лк (ИК вкл.), объектив 3.6мм, режим «День/Ночь», механический ИК-фильтр, питание 12В DC, потребляемый ток 500мА, -10…+5°С...</v>
      </c>
      <c r="G5379" s="22" t="s">
        <v>55</v>
      </c>
      <c r="H5379" s="22" t="s">
        <v>55</v>
      </c>
      <c r="I5379" s="26">
        <v>43648.744490740697</v>
      </c>
      <c r="J5379" s="28" t="s">
        <v>52</v>
      </c>
      <c r="K5379" s="28" t="s">
        <v>52</v>
      </c>
      <c r="L5379" s="28" t="s">
        <v>52</v>
      </c>
      <c r="M5379" s="28" t="s">
        <v>52</v>
      </c>
      <c r="N5379" s="28" t="s">
        <v>52</v>
      </c>
    </row>
    <row r="5380" spans="1:14" x14ac:dyDescent="0.15">
      <c r="A5380" s="23" t="str">
        <f t="shared" ref="A5380:A5443" si="233">HYPERLINK("https://www.spark-marketing.ru/Card/Person/1887298", "АО ""ТОРГОВЫЙ ДОМ ""ПЕРЕКРЕСТОК""")</f>
        <v>АО "ТОРГОВЫЙ ДОМ "ПЕРЕКРЕСТОК"</v>
      </c>
      <c r="B5380" s="24" t="s">
        <v>6999</v>
      </c>
      <c r="C5380" s="25">
        <v>0</v>
      </c>
      <c r="D5380" s="22" t="s">
        <v>7005</v>
      </c>
      <c r="E5380" s="22" t="s">
        <v>208</v>
      </c>
      <c r="F5380" s="23" t="str">
        <f>HYPERLINK("https://www.spark-marketing.ru/Card/Lot/71854248", "LTV CTM-110 22. Видеокамера TVI, купольная поворотная, 720P, DWDR, 23-x трансфокатор, внутренняя, IP40, -10°С +50°C, 24В АС")</f>
        <v>LTV CTM-110 22. Видеокамера TVI, купольная поворотная, 720P, DWDR, 23-x трансфокатор, внутренняя, IP40, -10°С +50°C, 24В АС</v>
      </c>
      <c r="G5380" s="22" t="s">
        <v>55</v>
      </c>
      <c r="H5380" s="22" t="s">
        <v>55</v>
      </c>
      <c r="I5380" s="26">
        <v>43648.745069444398</v>
      </c>
      <c r="J5380" s="28" t="s">
        <v>52</v>
      </c>
      <c r="K5380" s="28" t="s">
        <v>52</v>
      </c>
      <c r="L5380" s="28" t="s">
        <v>52</v>
      </c>
      <c r="M5380" s="28" t="s">
        <v>52</v>
      </c>
      <c r="N5380" s="28" t="s">
        <v>52</v>
      </c>
    </row>
    <row r="5381" spans="1:14" x14ac:dyDescent="0.15">
      <c r="A5381" s="23" t="str">
        <f t="shared" si="233"/>
        <v>АО "ТОРГОВЫЙ ДОМ "ПЕРЕКРЕСТОК"</v>
      </c>
      <c r="B5381" s="24" t="s">
        <v>6999</v>
      </c>
      <c r="C5381" s="25">
        <v>0</v>
      </c>
      <c r="D5381" s="22" t="s">
        <v>7005</v>
      </c>
      <c r="E5381" s="22" t="s">
        <v>208</v>
      </c>
      <c r="F5381" s="23" t="str">
        <f>HYPERLINK("https://www.spark-marketing.ru/Card/Lot/71854130", "HASP ключ для системы Видеомаркет")</f>
        <v>HASP ключ для системы Видеомаркет</v>
      </c>
      <c r="G5381" s="22" t="s">
        <v>55</v>
      </c>
      <c r="H5381" s="22" t="s">
        <v>55</v>
      </c>
      <c r="I5381" s="26">
        <v>43648.745069444398</v>
      </c>
      <c r="J5381" s="28" t="s">
        <v>52</v>
      </c>
      <c r="K5381" s="28" t="s">
        <v>52</v>
      </c>
      <c r="L5381" s="28" t="s">
        <v>52</v>
      </c>
      <c r="M5381" s="28" t="s">
        <v>52</v>
      </c>
      <c r="N5381" s="28" t="s">
        <v>52</v>
      </c>
    </row>
    <row r="5382" spans="1:14" x14ac:dyDescent="0.15">
      <c r="A5382" s="23" t="str">
        <f t="shared" si="233"/>
        <v>АО "ТОРГОВЫЙ ДОМ "ПЕРЕКРЕСТОК"</v>
      </c>
      <c r="B5382" s="24" t="s">
        <v>6999</v>
      </c>
      <c r="C5382" s="25">
        <v>0</v>
      </c>
      <c r="D5382" s="22" t="s">
        <v>7003</v>
      </c>
      <c r="E5382" s="22" t="s">
        <v>208</v>
      </c>
      <c r="F5382" s="23" t="str">
        <f>HYPERLINK("https://www.spark-marketing.ru/Card/Lot/71852054", "УРМ (Core i5/8000Mb/250Gb/DVD-RW/Lan 1000/4xUSB 2.0/CardReader 4x1/Mb+Kb, ОС Win 7 pro, Видеокарта NVIDIA GeForce GT 730) - двухмониторный")</f>
        <v>УРМ (Core i5/8000Mb/250Gb/DVD-RW/Lan 1000/4xUSB 2.0/CardReader 4x1/Mb+Kb, ОС Win 7 pro, Видеокарта NVIDIA GeForce GT 730) - двухмониторный</v>
      </c>
      <c r="G5382" s="22" t="s">
        <v>55</v>
      </c>
      <c r="H5382" s="22" t="s">
        <v>55</v>
      </c>
      <c r="I5382" s="26">
        <v>43648.744791666701</v>
      </c>
      <c r="J5382" s="28" t="s">
        <v>52</v>
      </c>
      <c r="K5382" s="28" t="s">
        <v>52</v>
      </c>
      <c r="L5382" s="28" t="s">
        <v>52</v>
      </c>
      <c r="M5382" s="28" t="s">
        <v>52</v>
      </c>
      <c r="N5382" s="28" t="s">
        <v>52</v>
      </c>
    </row>
    <row r="5383" spans="1:14" x14ac:dyDescent="0.15">
      <c r="A5383" s="23" t="str">
        <f t="shared" si="233"/>
        <v>АО "ТОРГОВЫЙ ДОМ "ПЕРЕКРЕСТОК"</v>
      </c>
      <c r="B5383" s="24" t="s">
        <v>6999</v>
      </c>
      <c r="C5383" s="25">
        <v>0</v>
      </c>
      <c r="D5383" s="22" t="s">
        <v>7006</v>
      </c>
      <c r="E5383" s="22" t="s">
        <v>208</v>
      </c>
      <c r="F5383" s="23" t="str">
        <f>HYPERLINK("https://www.spark-marketing.ru/Card/Lot/71850770", "LTV CTM-220 64, Видеокамера TVI, PTZ уличная, 1080p, DWDR, 3D DNR, BLC, EIS , объектив 4-120mm х30, ИК до 120м, IP66, -30°С+65°C, 24В (AC)")</f>
        <v>LTV CTM-220 64, Видеокамера TVI, PTZ уличная, 1080p, DWDR, 3D DNR, BLC, EIS , объектив 4-120mm х30, ИК до 120м, IP66, -30°С+65°C, 24В (AC)</v>
      </c>
      <c r="G5383" s="22" t="s">
        <v>55</v>
      </c>
      <c r="H5383" s="22" t="s">
        <v>55</v>
      </c>
      <c r="I5383" s="26">
        <v>43648.744490740697</v>
      </c>
      <c r="J5383" s="28" t="s">
        <v>52</v>
      </c>
      <c r="K5383" s="28" t="s">
        <v>52</v>
      </c>
      <c r="L5383" s="28" t="s">
        <v>52</v>
      </c>
      <c r="M5383" s="28" t="s">
        <v>52</v>
      </c>
      <c r="N5383" s="28" t="s">
        <v>52</v>
      </c>
    </row>
    <row r="5384" spans="1:14" x14ac:dyDescent="0.15">
      <c r="A5384" s="23" t="str">
        <f t="shared" si="233"/>
        <v>АО "ТОРГОВЫЙ ДОМ "ПЕРЕКРЕСТОК"</v>
      </c>
      <c r="B5384" s="24" t="s">
        <v>6999</v>
      </c>
      <c r="C5384" s="25">
        <v>0</v>
      </c>
      <c r="D5384" s="22" t="s">
        <v>7000</v>
      </c>
      <c r="E5384" s="22" t="s">
        <v>208</v>
      </c>
      <c r="F5384" s="23" t="str">
        <f>HYPERLINK("https://www.spark-marketing.ru/Card/Lot/71850280", "AC-TA281IR2 Уличная 2МП TVI видеокамера в компактном кожухе. Разрешение 1080P, матрица 1/2.8"" CMOS SONY, Цвет: 0.05 Лк (F1.8) / ЧБ: 0 Лк (ИК вкл.), объектив 3.6мм, режим «День/Ночь», механический ИК-фильтр, 3D-NR, DWDR, OSD, питание 12В DC, потребля...")</f>
        <v>AC-TA281IR2 Уличная 2МП TVI видеокамера в компактном кожухе. Разрешение 1080P, матрица 1/2.8" CMOS SONY, Цвет: 0.05 Лк (F1.8) / ЧБ: 0 Лк (ИК вкл.), объектив 3.6мм, режим «День/Ночь», механический ИК-фильтр, 3D-NR, DWDR, OSD, питание 12В DC, потребля...</v>
      </c>
      <c r="G5384" s="22" t="s">
        <v>55</v>
      </c>
      <c r="H5384" s="22" t="s">
        <v>55</v>
      </c>
      <c r="I5384" s="26">
        <v>43648.7443055556</v>
      </c>
      <c r="J5384" s="28" t="s">
        <v>52</v>
      </c>
      <c r="K5384" s="28" t="s">
        <v>52</v>
      </c>
      <c r="L5384" s="28" t="s">
        <v>52</v>
      </c>
      <c r="M5384" s="28" t="s">
        <v>52</v>
      </c>
      <c r="N5384" s="28" t="s">
        <v>52</v>
      </c>
    </row>
    <row r="5385" spans="1:14" x14ac:dyDescent="0.15">
      <c r="A5385" s="23" t="str">
        <f t="shared" si="233"/>
        <v>АО "ТОРГОВЫЙ ДОМ "ПЕРЕКРЕСТОК"</v>
      </c>
      <c r="B5385" s="24" t="s">
        <v>6999</v>
      </c>
      <c r="C5385" s="25">
        <v>0</v>
      </c>
      <c r="D5385" s="22" t="s">
        <v>7008</v>
      </c>
      <c r="E5385" s="22" t="s">
        <v>208</v>
      </c>
      <c r="F5385" s="23" t="str">
        <f>HYPERLINK("https://www.spark-marketing.ru/Card/Lot/71855017", "D-link USB 3.0 (DUB-1312/A1A) Дополнительная USB 3.0 сетевая карта для видеорегистраторов: TRASSIR MiniClient, TRASSIR MiniNVR, TRASSIR MiniNVR RE, TRASSIR DuoStation, TRASSIR DuoStation RE, TRASSIR QuattroStation, TRASSIR QuattroStation Pro")</f>
        <v>D-link USB 3.0 (DUB-1312/A1A) Дополнительная USB 3.0 сетевая карта для видеорегистраторов: TRASSIR MiniClient, TRASSIR MiniNVR, TRASSIR MiniNVR RE, TRASSIR DuoStation, TRASSIR DuoStation RE, TRASSIR QuattroStation, TRASSIR QuattroStation Pro</v>
      </c>
      <c r="G5385" s="22" t="s">
        <v>55</v>
      </c>
      <c r="H5385" s="22" t="s">
        <v>55</v>
      </c>
      <c r="I5385" s="26">
        <v>43648.745509259301</v>
      </c>
      <c r="J5385" s="28" t="s">
        <v>52</v>
      </c>
      <c r="K5385" s="28" t="s">
        <v>52</v>
      </c>
      <c r="L5385" s="28" t="s">
        <v>52</v>
      </c>
      <c r="M5385" s="28" t="s">
        <v>52</v>
      </c>
      <c r="N5385" s="28" t="s">
        <v>52</v>
      </c>
    </row>
    <row r="5386" spans="1:14" x14ac:dyDescent="0.15">
      <c r="A5386" s="23" t="str">
        <f t="shared" si="233"/>
        <v>АО "ТОРГОВЫЙ ДОМ "ПЕРЕКРЕСТОК"</v>
      </c>
      <c r="B5386" s="24" t="s">
        <v>6999</v>
      </c>
      <c r="C5386" s="25">
        <v>0</v>
      </c>
      <c r="D5386" s="22" t="s">
        <v>7001</v>
      </c>
      <c r="E5386" s="22" t="s">
        <v>208</v>
      </c>
      <c r="F5386" s="23" t="str">
        <f>HYPERLINK("https://www.spark-marketing.ru/Card/Lot/71852193", "TRASSIR NeiroStation 1V (Сервер видеоналитики, 1*GPU)")</f>
        <v>TRASSIR NeiroStation 1V (Сервер видеоналитики, 1*GPU)</v>
      </c>
      <c r="G5386" s="22" t="s">
        <v>55</v>
      </c>
      <c r="H5386" s="22" t="s">
        <v>55</v>
      </c>
      <c r="I5386" s="26">
        <v>43648.7449305556</v>
      </c>
      <c r="J5386" s="28" t="s">
        <v>52</v>
      </c>
      <c r="K5386" s="28" t="s">
        <v>52</v>
      </c>
      <c r="L5386" s="28" t="s">
        <v>52</v>
      </c>
      <c r="M5386" s="28" t="s">
        <v>52</v>
      </c>
      <c r="N5386" s="28" t="s">
        <v>52</v>
      </c>
    </row>
    <row r="5387" spans="1:14" x14ac:dyDescent="0.15">
      <c r="A5387" s="23" t="str">
        <f t="shared" si="233"/>
        <v>АО "ТОРГОВЫЙ ДОМ "ПЕРЕКРЕСТОК"</v>
      </c>
      <c r="B5387" s="24" t="s">
        <v>6999</v>
      </c>
      <c r="C5387" s="25">
        <v>0</v>
      </c>
      <c r="D5387" s="22" t="s">
        <v>7003</v>
      </c>
      <c r="E5387" s="22" t="s">
        <v>208</v>
      </c>
      <c r="F5387" s="23" t="str">
        <f>HYPERLINK("https://www.spark-marketing.ru/Card/Lot/71851734", "AC-TA361IR2 Бюджетная компактная купольная 1МП TVI видеокамера. Разрешение 720P, матрица 1/4"" CMOS, Цвет: 0.1 Лк (F1.8) / ЧБ: 0 Лк (ИК вкл.), объектив 3.6мм, режим «День/Ночь», механический ИК-фильтр, питание 12В DC, потребляемый ток 500мА, -10…+5°С...")</f>
        <v>AC-TA361IR2 Бюджетная компактная купольная 1МП TVI видеокамера. Разрешение 720P, матрица 1/4" CMOS, Цвет: 0.1 Лк (F1.8) / ЧБ: 0 Лк (ИК вкл.), объектив 3.6мм, режим «День/Ночь», механический ИК-фильтр, питание 12В DC, потребляемый ток 500мА, -10…+5°С...</v>
      </c>
      <c r="G5387" s="22" t="s">
        <v>55</v>
      </c>
      <c r="H5387" s="22" t="s">
        <v>55</v>
      </c>
      <c r="I5387" s="26">
        <v>43648.744791666701</v>
      </c>
      <c r="J5387" s="28" t="s">
        <v>52</v>
      </c>
      <c r="K5387" s="28" t="s">
        <v>52</v>
      </c>
      <c r="L5387" s="28" t="s">
        <v>52</v>
      </c>
      <c r="M5387" s="28" t="s">
        <v>52</v>
      </c>
      <c r="N5387" s="28" t="s">
        <v>52</v>
      </c>
    </row>
    <row r="5388" spans="1:14" x14ac:dyDescent="0.15">
      <c r="A5388" s="23" t="str">
        <f t="shared" si="233"/>
        <v>АО "ТОРГОВЫЙ ДОМ "ПЕРЕКРЕСТОК"</v>
      </c>
      <c r="B5388" s="24" t="s">
        <v>6999</v>
      </c>
      <c r="C5388" s="25">
        <v>0</v>
      </c>
      <c r="D5388" s="22" t="s">
        <v>7002</v>
      </c>
      <c r="E5388" s="22" t="s">
        <v>208</v>
      </c>
      <c r="F5388" s="23" t="str">
        <f>HYPERLINK("https://www.spark-marketing.ru/Card/Lot/71851584", "Видеокамера бытовая, с перезаписываемой памятью (Flash), Full HD 1080p, Режим ночной съемки, Поддержка карт памяти, SD, SDHC, SDXC")</f>
        <v>Видеокамера бытовая, с перезаписываемой памятью (Flash), Full HD 1080p, Режим ночной съемки, Поддержка карт памяти, SD, SDHC, SDXC</v>
      </c>
      <c r="G5388" s="22" t="s">
        <v>55</v>
      </c>
      <c r="H5388" s="22" t="s">
        <v>55</v>
      </c>
      <c r="I5388" s="26">
        <v>43648.744641203702</v>
      </c>
      <c r="J5388" s="28" t="s">
        <v>52</v>
      </c>
      <c r="K5388" s="28" t="s">
        <v>52</v>
      </c>
      <c r="L5388" s="28" t="s">
        <v>52</v>
      </c>
      <c r="M5388" s="28" t="s">
        <v>52</v>
      </c>
      <c r="N5388" s="28" t="s">
        <v>52</v>
      </c>
    </row>
    <row r="5389" spans="1:14" x14ac:dyDescent="0.15">
      <c r="A5389" s="23" t="str">
        <f t="shared" si="233"/>
        <v>АО "ТОРГОВЫЙ ДОМ "ПЕРЕКРЕСТОК"</v>
      </c>
      <c r="B5389" s="24" t="s">
        <v>6999</v>
      </c>
      <c r="C5389" s="25">
        <v>0</v>
      </c>
      <c r="D5389" s="22" t="s">
        <v>7003</v>
      </c>
      <c r="E5389" s="22" t="s">
        <v>208</v>
      </c>
      <c r="F5389" s="23" t="str">
        <f>HYPERLINK("https://www.spark-marketing.ru/Card/Lot/71851807", "Камера видеонаблюдения HikVision DS-2CD2822F (B)")</f>
        <v>Камера видеонаблюдения HikVision DS-2CD2822F (B)</v>
      </c>
      <c r="G5389" s="22" t="s">
        <v>55</v>
      </c>
      <c r="H5389" s="22" t="s">
        <v>55</v>
      </c>
      <c r="I5389" s="26">
        <v>43648.744791666701</v>
      </c>
      <c r="J5389" s="28" t="s">
        <v>52</v>
      </c>
      <c r="K5389" s="28" t="s">
        <v>52</v>
      </c>
      <c r="L5389" s="28" t="s">
        <v>52</v>
      </c>
      <c r="M5389" s="28" t="s">
        <v>52</v>
      </c>
      <c r="N5389" s="28" t="s">
        <v>52</v>
      </c>
    </row>
    <row r="5390" spans="1:14" x14ac:dyDescent="0.15">
      <c r="A5390" s="23" t="str">
        <f t="shared" si="233"/>
        <v>АО "ТОРГОВЫЙ ДОМ "ПЕРЕКРЕСТОК"</v>
      </c>
      <c r="B5390" s="24" t="s">
        <v>6999</v>
      </c>
      <c r="C5390" s="25">
        <v>0</v>
      </c>
      <c r="D5390" s="22" t="s">
        <v>7007</v>
      </c>
      <c r="E5390" s="22" t="s">
        <v>208</v>
      </c>
      <c r="F5390" s="23" t="str">
        <f>HYPERLINK("https://www.spark-marketing.ru/Card/Lot/71852840", "LTV-BMW-305-HV, кронштейн настенный для видеокамер LTV-SDNO36-HV, LTV-SDNO36L-HV, LTV-ISDNO20-EM2, вылет 305мм")</f>
        <v>LTV-BMW-305-HV, кронштейн настенный для видеокамер LTV-SDNO36-HV, LTV-SDNO36L-HV, LTV-ISDNO20-EM2, вылет 305мм</v>
      </c>
      <c r="G5390" s="22" t="s">
        <v>55</v>
      </c>
      <c r="H5390" s="22" t="s">
        <v>55</v>
      </c>
      <c r="I5390" s="26">
        <v>43648.745219907403</v>
      </c>
      <c r="J5390" s="28" t="s">
        <v>52</v>
      </c>
      <c r="K5390" s="28" t="s">
        <v>52</v>
      </c>
      <c r="L5390" s="28" t="s">
        <v>52</v>
      </c>
      <c r="M5390" s="28" t="s">
        <v>52</v>
      </c>
      <c r="N5390" s="28" t="s">
        <v>52</v>
      </c>
    </row>
    <row r="5391" spans="1:14" x14ac:dyDescent="0.15">
      <c r="A5391" s="23" t="str">
        <f t="shared" si="233"/>
        <v>АО "ТОРГОВЫЙ ДОМ "ПЕРЕКРЕСТОК"</v>
      </c>
      <c r="B5391" s="24" t="s">
        <v>6999</v>
      </c>
      <c r="C5391" s="25">
        <v>0</v>
      </c>
      <c r="D5391" s="22" t="s">
        <v>7005</v>
      </c>
      <c r="E5391" s="22" t="s">
        <v>208</v>
      </c>
      <c r="F5391" s="23" t="str">
        <f>HYPERLINK("https://www.spark-marketing.ru/Card/Lot/71853405", "Видеокамера бытовая, с перезаписываемой памятью (Flash), Full HD 1080p, Режим ночной съемки, Поддержка карт памяти, SD, SDHC, SDXC")</f>
        <v>Видеокамера бытовая, с перезаписываемой памятью (Flash), Full HD 1080p, Режим ночной съемки, Поддержка карт памяти, SD, SDHC, SDXC</v>
      </c>
      <c r="G5391" s="22" t="s">
        <v>55</v>
      </c>
      <c r="H5391" s="22" t="s">
        <v>55</v>
      </c>
      <c r="I5391" s="26">
        <v>43648.745069444398</v>
      </c>
      <c r="J5391" s="28" t="s">
        <v>52</v>
      </c>
      <c r="K5391" s="28" t="s">
        <v>52</v>
      </c>
      <c r="L5391" s="28" t="s">
        <v>52</v>
      </c>
      <c r="M5391" s="28" t="s">
        <v>52</v>
      </c>
      <c r="N5391" s="28" t="s">
        <v>52</v>
      </c>
    </row>
    <row r="5392" spans="1:14" x14ac:dyDescent="0.15">
      <c r="A5392" s="23" t="str">
        <f t="shared" si="233"/>
        <v>АО "ТОРГОВЫЙ ДОМ "ПЕРЕКРЕСТОК"</v>
      </c>
      <c r="B5392" s="24" t="s">
        <v>6999</v>
      </c>
      <c r="C5392" s="25">
        <v>0</v>
      </c>
      <c r="D5392" s="22" t="s">
        <v>7007</v>
      </c>
      <c r="E5392" s="22" t="s">
        <v>208</v>
      </c>
      <c r="F5392" s="23" t="str">
        <f>HYPERLINK("https://www.spark-marketing.ru/Card/Lot/71852631", "Сервер контроля кассовых операций Видеомаркет ( Intel Core i7 1150; Материнская плата ASUS H81M-K 1150; ОЗУ 2х4Gb DDR3; SSD 240Gb; Сетевая карта 10/100/1000Mbps х2; Корпус RackMount 550W; OS Windows 7/8/10 PRO-64 bit, Russian; MS SQL 2012) комплект ...")</f>
        <v>Сервер контроля кассовых операций Видеомаркет ( Intel Core i7 1150; Материнская плата ASUS H81M-K 1150; ОЗУ 2х4Gb DDR3; SSD 240Gb; Сетевая карта 10/100/1000Mbps х2; Корпус RackMount 550W; OS Windows 7/8/10 PRO-64 bit, Russian; MS SQL 2012) комплект ...</v>
      </c>
      <c r="G5392" s="22" t="s">
        <v>55</v>
      </c>
      <c r="H5392" s="22" t="s">
        <v>55</v>
      </c>
      <c r="I5392" s="26">
        <v>43648.745219907403</v>
      </c>
      <c r="J5392" s="28" t="s">
        <v>52</v>
      </c>
      <c r="K5392" s="28" t="s">
        <v>52</v>
      </c>
      <c r="L5392" s="28" t="s">
        <v>52</v>
      </c>
      <c r="M5392" s="28" t="s">
        <v>52</v>
      </c>
      <c r="N5392" s="28" t="s">
        <v>52</v>
      </c>
    </row>
    <row r="5393" spans="1:14" x14ac:dyDescent="0.15">
      <c r="A5393" s="23" t="str">
        <f t="shared" si="233"/>
        <v>АО "ТОРГОВЫЙ ДОМ "ПЕРЕКРЕСТОК"</v>
      </c>
      <c r="B5393" s="24" t="s">
        <v>6999</v>
      </c>
      <c r="C5393" s="25">
        <v>0</v>
      </c>
      <c r="D5393" s="22" t="s">
        <v>7003</v>
      </c>
      <c r="E5393" s="22" t="s">
        <v>208</v>
      </c>
      <c r="F5393" s="23" t="str">
        <f>HYPERLINK("https://www.spark-marketing.ru/Card/Lot/71851682", "TRASSIR NeiroStation 2V (Сервер видеоналитики, 2*GPU)")</f>
        <v>TRASSIR NeiroStation 2V (Сервер видеоналитики, 2*GPU)</v>
      </c>
      <c r="G5393" s="22" t="s">
        <v>55</v>
      </c>
      <c r="H5393" s="22" t="s">
        <v>55</v>
      </c>
      <c r="I5393" s="26">
        <v>43648.744791666701</v>
      </c>
      <c r="J5393" s="28" t="s">
        <v>52</v>
      </c>
      <c r="K5393" s="28" t="s">
        <v>52</v>
      </c>
      <c r="L5393" s="28" t="s">
        <v>52</v>
      </c>
      <c r="M5393" s="28" t="s">
        <v>52</v>
      </c>
      <c r="N5393" s="28" t="s">
        <v>52</v>
      </c>
    </row>
    <row r="5394" spans="1:14" x14ac:dyDescent="0.15">
      <c r="A5394" s="23" t="str">
        <f t="shared" si="233"/>
        <v>АО "ТОРГОВЫЙ ДОМ "ПЕРЕКРЕСТОК"</v>
      </c>
      <c r="B5394" s="24" t="s">
        <v>6999</v>
      </c>
      <c r="C5394" s="25">
        <v>0</v>
      </c>
      <c r="D5394" s="22" t="s">
        <v>7004</v>
      </c>
      <c r="E5394" s="22" t="s">
        <v>208</v>
      </c>
      <c r="F5394" s="23" t="str">
        <f>HYPERLINK("https://www.spark-marketing.ru/Card/Lot/71853473", "Видеопанель вызывная монохромная, 400 ТВЛ, ИК подсвет.; 122х40х24mm. Activision.")</f>
        <v>Видеопанель вызывная монохромная, 400 ТВЛ, ИК подсвет.; 122х40х24mm. Activision.</v>
      </c>
      <c r="G5394" s="22" t="s">
        <v>55</v>
      </c>
      <c r="H5394" s="22" t="s">
        <v>55</v>
      </c>
      <c r="I5394" s="26">
        <v>43648.745347222197</v>
      </c>
      <c r="J5394" s="28" t="s">
        <v>52</v>
      </c>
      <c r="K5394" s="28" t="s">
        <v>52</v>
      </c>
      <c r="L5394" s="28" t="s">
        <v>52</v>
      </c>
      <c r="M5394" s="28" t="s">
        <v>52</v>
      </c>
      <c r="N5394" s="28" t="s">
        <v>52</v>
      </c>
    </row>
    <row r="5395" spans="1:14" x14ac:dyDescent="0.15">
      <c r="A5395" s="23" t="str">
        <f t="shared" si="233"/>
        <v>АО "ТОРГОВЫЙ ДОМ "ПЕРЕКРЕСТОК"</v>
      </c>
      <c r="B5395" s="24" t="s">
        <v>6999</v>
      </c>
      <c r="C5395" s="25">
        <v>0</v>
      </c>
      <c r="D5395" s="22" t="s">
        <v>7005</v>
      </c>
      <c r="E5395" s="22" t="s">
        <v>208</v>
      </c>
      <c r="F5395" s="23" t="str">
        <f>HYPERLINK("https://www.spark-marketing.ru/Card/Lot/71854029", "Юстировка стационарной видеокамеры, уличной")</f>
        <v>Юстировка стационарной видеокамеры, уличной</v>
      </c>
      <c r="G5395" s="22" t="s">
        <v>55</v>
      </c>
      <c r="H5395" s="22" t="s">
        <v>55</v>
      </c>
      <c r="I5395" s="26">
        <v>43648.745069444398</v>
      </c>
      <c r="J5395" s="28" t="s">
        <v>52</v>
      </c>
      <c r="K5395" s="28" t="s">
        <v>52</v>
      </c>
      <c r="L5395" s="28" t="s">
        <v>52</v>
      </c>
      <c r="M5395" s="28" t="s">
        <v>52</v>
      </c>
      <c r="N5395" s="28" t="s">
        <v>52</v>
      </c>
    </row>
    <row r="5396" spans="1:14" x14ac:dyDescent="0.15">
      <c r="A5396" s="23" t="str">
        <f t="shared" si="233"/>
        <v>АО "ТОРГОВЫЙ ДОМ "ПЕРЕКРЕСТОК"</v>
      </c>
      <c r="B5396" s="24" t="s">
        <v>6999</v>
      </c>
      <c r="C5396" s="25">
        <v>0</v>
      </c>
      <c r="D5396" s="22" t="s">
        <v>7007</v>
      </c>
      <c r="E5396" s="22" t="s">
        <v>208</v>
      </c>
      <c r="F5396" s="23" t="str">
        <f>HYPERLINK("https://www.spark-marketing.ru/Card/Lot/71852846", "AC-TA261IR2 Бюджетная уличная 1МП TVI видеокамера в компактном кожухе. Разрешение 720P, матрица 1/4"" CMOS, Цвет: 0.1 Лк (F1.8) / ЧБ: 0 Лк (ИК вкл.), объектив 3.6мм, режим «День/Ночь», механический ИК-фильтр, питание 12В DC, потребляемый ток 500мА, -...")</f>
        <v>AC-TA261IR2 Бюджетная уличная 1МП TVI видеокамера в компактном кожухе. Разрешение 720P, матрица 1/4" CMOS, Цвет: 0.1 Лк (F1.8) / ЧБ: 0 Лк (ИК вкл.), объектив 3.6мм, режим «День/Ночь», механический ИК-фильтр, питание 12В DC, потребляемый ток 500мА, -...</v>
      </c>
      <c r="G5396" s="22" t="s">
        <v>55</v>
      </c>
      <c r="H5396" s="22" t="s">
        <v>55</v>
      </c>
      <c r="I5396" s="26">
        <v>43648.745219907403</v>
      </c>
      <c r="J5396" s="28" t="s">
        <v>52</v>
      </c>
      <c r="K5396" s="28" t="s">
        <v>52</v>
      </c>
      <c r="L5396" s="28" t="s">
        <v>52</v>
      </c>
      <c r="M5396" s="28" t="s">
        <v>52</v>
      </c>
      <c r="N5396" s="28" t="s">
        <v>52</v>
      </c>
    </row>
    <row r="5397" spans="1:14" x14ac:dyDescent="0.15">
      <c r="A5397" s="23" t="str">
        <f t="shared" si="233"/>
        <v>АО "ТОРГОВЫЙ ДОМ "ПЕРЕКРЕСТОК"</v>
      </c>
      <c r="B5397" s="24" t="s">
        <v>6999</v>
      </c>
      <c r="C5397" s="25">
        <v>0</v>
      </c>
      <c r="D5397" s="22" t="s">
        <v>7002</v>
      </c>
      <c r="E5397" s="22" t="s">
        <v>208</v>
      </c>
      <c r="F5397" s="23" t="str">
        <f>HYPERLINK("https://www.spark-marketing.ru/Card/Lot/71851424", "AC-TA363IR2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f>
        <v>AC-TA363IR2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v>
      </c>
      <c r="G5397" s="22" t="s">
        <v>55</v>
      </c>
      <c r="H5397" s="22" t="s">
        <v>55</v>
      </c>
      <c r="I5397" s="26">
        <v>43648.744641203702</v>
      </c>
      <c r="J5397" s="28" t="s">
        <v>52</v>
      </c>
      <c r="K5397" s="28" t="s">
        <v>52</v>
      </c>
      <c r="L5397" s="28" t="s">
        <v>52</v>
      </c>
      <c r="M5397" s="28" t="s">
        <v>52</v>
      </c>
      <c r="N5397" s="28" t="s">
        <v>52</v>
      </c>
    </row>
    <row r="5398" spans="1:14" x14ac:dyDescent="0.15">
      <c r="A5398" s="23" t="str">
        <f t="shared" si="233"/>
        <v>АО "ТОРГОВЫЙ ДОМ "ПЕРЕКРЕСТОК"</v>
      </c>
      <c r="B5398" s="24" t="s">
        <v>6999</v>
      </c>
      <c r="C5398" s="25">
        <v>0</v>
      </c>
      <c r="D5398" s="22" t="s">
        <v>7003</v>
      </c>
      <c r="E5398" s="22" t="s">
        <v>208</v>
      </c>
      <c r="F5398" s="23" t="str">
        <f>HYPERLINK("https://www.spark-marketing.ru/Card/Lot/71851736", "AC-TA363IR2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f>
        <v>AC-TA363IR2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v>
      </c>
      <c r="G5398" s="22" t="s">
        <v>55</v>
      </c>
      <c r="H5398" s="22" t="s">
        <v>55</v>
      </c>
      <c r="I5398" s="26">
        <v>43648.744791666701</v>
      </c>
      <c r="J5398" s="28" t="s">
        <v>52</v>
      </c>
      <c r="K5398" s="28" t="s">
        <v>52</v>
      </c>
      <c r="L5398" s="28" t="s">
        <v>52</v>
      </c>
      <c r="M5398" s="28" t="s">
        <v>52</v>
      </c>
      <c r="N5398" s="28" t="s">
        <v>52</v>
      </c>
    </row>
    <row r="5399" spans="1:14" x14ac:dyDescent="0.15">
      <c r="A5399" s="23" t="str">
        <f t="shared" si="233"/>
        <v>АО "ТОРГОВЫЙ ДОМ "ПЕРЕКРЕСТОК"</v>
      </c>
      <c r="B5399" s="24" t="s">
        <v>6999</v>
      </c>
      <c r="C5399" s="25">
        <v>0</v>
      </c>
      <c r="D5399" s="22" t="s">
        <v>7005</v>
      </c>
      <c r="E5399" s="22" t="s">
        <v>208</v>
      </c>
      <c r="F5399" s="23" t="str">
        <f>HYPERLINK("https://www.spark-marketing.ru/Card/Lot/71853070", "УРМ (Core i5/8000Mb/250Gb/DVD-RW/Lan 1000/4xUSB 2.0/CardReader 4x1/Mb+Kb, ОС Win 7 pro, Видеокарта NVIDIA GeForce GT 730) - двухмониторный")</f>
        <v>УРМ (Core i5/8000Mb/250Gb/DVD-RW/Lan 1000/4xUSB 2.0/CardReader 4x1/Mb+Kb, ОС Win 7 pro, Видеокарта NVIDIA GeForce GT 730) - двухмониторный</v>
      </c>
      <c r="G5399" s="22" t="s">
        <v>55</v>
      </c>
      <c r="H5399" s="22" t="s">
        <v>55</v>
      </c>
      <c r="I5399" s="26">
        <v>43648.745069444398</v>
      </c>
      <c r="J5399" s="28" t="s">
        <v>52</v>
      </c>
      <c r="K5399" s="28" t="s">
        <v>52</v>
      </c>
      <c r="L5399" s="28" t="s">
        <v>52</v>
      </c>
      <c r="M5399" s="28" t="s">
        <v>52</v>
      </c>
      <c r="N5399" s="28" t="s">
        <v>52</v>
      </c>
    </row>
    <row r="5400" spans="1:14" x14ac:dyDescent="0.15">
      <c r="A5400" s="23" t="str">
        <f t="shared" si="233"/>
        <v>АО "ТОРГОВЫЙ ДОМ "ПЕРЕКРЕСТОК"</v>
      </c>
      <c r="B5400" s="24" t="s">
        <v>6999</v>
      </c>
      <c r="C5400" s="25">
        <v>0</v>
      </c>
      <c r="D5400" s="22" t="s">
        <v>7006</v>
      </c>
      <c r="E5400" s="22" t="s">
        <v>208</v>
      </c>
      <c r="F5400" s="23" t="str">
        <f>HYPERLINK("https://www.spark-marketing.ru/Card/Lot/71850768", "LTV RTB-081 00, 8-канальный TVI/AHD видеорегистратор, 720P: 200 к/c, Ethernet, VGA/HDMI, 1 канал Audio, 1 HDD до 6Тб")</f>
        <v>LTV RTB-081 00, 8-канальный TVI/AHD видеорегистратор, 720P: 200 к/c, Ethernet, VGA/HDMI, 1 канал Audio, 1 HDD до 6Тб</v>
      </c>
      <c r="G5400" s="22" t="s">
        <v>55</v>
      </c>
      <c r="H5400" s="22" t="s">
        <v>55</v>
      </c>
      <c r="I5400" s="26">
        <v>43648.744490740697</v>
      </c>
      <c r="J5400" s="28" t="s">
        <v>52</v>
      </c>
      <c r="K5400" s="28" t="s">
        <v>52</v>
      </c>
      <c r="L5400" s="28" t="s">
        <v>52</v>
      </c>
      <c r="M5400" s="28" t="s">
        <v>52</v>
      </c>
      <c r="N5400" s="28" t="s">
        <v>52</v>
      </c>
    </row>
    <row r="5401" spans="1:14" x14ac:dyDescent="0.15">
      <c r="A5401" s="23" t="str">
        <f t="shared" si="233"/>
        <v>АО "ТОРГОВЫЙ ДОМ "ПЕРЕКРЕСТОК"</v>
      </c>
      <c r="B5401" s="24" t="s">
        <v>6999</v>
      </c>
      <c r="C5401" s="25">
        <v>0</v>
      </c>
      <c r="D5401" s="22" t="s">
        <v>7008</v>
      </c>
      <c r="E5401" s="22" t="s">
        <v>208</v>
      </c>
      <c r="F5401" s="23" t="str">
        <f>HYPERLINK("https://www.spark-marketing.ru/Card/Lot/71854630", "Монтаж, подключение, настройка видеокамеры")</f>
        <v>Монтаж, подключение, настройка видеокамеры</v>
      </c>
      <c r="G5401" s="22" t="s">
        <v>55</v>
      </c>
      <c r="H5401" s="22" t="s">
        <v>55</v>
      </c>
      <c r="I5401" s="26">
        <v>43648.745509259301</v>
      </c>
      <c r="J5401" s="28" t="s">
        <v>52</v>
      </c>
      <c r="K5401" s="28" t="s">
        <v>52</v>
      </c>
      <c r="L5401" s="28" t="s">
        <v>52</v>
      </c>
      <c r="M5401" s="28" t="s">
        <v>52</v>
      </c>
      <c r="N5401" s="28" t="s">
        <v>52</v>
      </c>
    </row>
    <row r="5402" spans="1:14" x14ac:dyDescent="0.15">
      <c r="A5402" s="23" t="str">
        <f t="shared" si="233"/>
        <v>АО "ТОРГОВЫЙ ДОМ "ПЕРЕКРЕСТОК"</v>
      </c>
      <c r="B5402" s="24" t="s">
        <v>6999</v>
      </c>
      <c r="C5402" s="25">
        <v>0</v>
      </c>
      <c r="D5402" s="22" t="s">
        <v>7002</v>
      </c>
      <c r="E5402" s="22" t="s">
        <v>208</v>
      </c>
      <c r="F5402" s="23" t="str">
        <f>HYPERLINK("https://www.spark-marketing.ru/Card/Lot/71851417", "LTV-BMW-305-HV, кронштейн настенный для видеокамер LTV-SDNO36-HV, LTV-SDNO36L-HV, LTV-ISDNO20-EM2, вылет 305мм")</f>
        <v>LTV-BMW-305-HV, кронштейн настенный для видеокамер LTV-SDNO36-HV, LTV-SDNO36L-HV, LTV-ISDNO20-EM2, вылет 305мм</v>
      </c>
      <c r="G5402" s="22" t="s">
        <v>55</v>
      </c>
      <c r="H5402" s="22" t="s">
        <v>55</v>
      </c>
      <c r="I5402" s="26">
        <v>43648.744641203702</v>
      </c>
      <c r="J5402" s="28" t="s">
        <v>52</v>
      </c>
      <c r="K5402" s="28" t="s">
        <v>52</v>
      </c>
      <c r="L5402" s="28" t="s">
        <v>52</v>
      </c>
      <c r="M5402" s="28" t="s">
        <v>52</v>
      </c>
      <c r="N5402" s="28" t="s">
        <v>52</v>
      </c>
    </row>
    <row r="5403" spans="1:14" x14ac:dyDescent="0.15">
      <c r="A5403" s="23" t="str">
        <f t="shared" si="233"/>
        <v>АО "ТОРГОВЫЙ ДОМ "ПЕРЕКРЕСТОК"</v>
      </c>
      <c r="B5403" s="24" t="s">
        <v>6999</v>
      </c>
      <c r="C5403" s="25">
        <v>0</v>
      </c>
      <c r="D5403" s="22" t="s">
        <v>7007</v>
      </c>
      <c r="E5403" s="22" t="s">
        <v>208</v>
      </c>
      <c r="F5403" s="23" t="str">
        <f>HYPERLINK("https://www.spark-marketing.ru/Card/Lot/71852616", "Опустошение полок (на одну видеокамеру камеру)")</f>
        <v>Опустошение полок (на одну видеокамеру камеру)</v>
      </c>
      <c r="G5403" s="22" t="s">
        <v>55</v>
      </c>
      <c r="H5403" s="22" t="s">
        <v>55</v>
      </c>
      <c r="I5403" s="26">
        <v>43648.745219907403</v>
      </c>
      <c r="J5403" s="28" t="s">
        <v>52</v>
      </c>
      <c r="K5403" s="28" t="s">
        <v>52</v>
      </c>
      <c r="L5403" s="28" t="s">
        <v>52</v>
      </c>
      <c r="M5403" s="28" t="s">
        <v>52</v>
      </c>
      <c r="N5403" s="28" t="s">
        <v>52</v>
      </c>
    </row>
    <row r="5404" spans="1:14" x14ac:dyDescent="0.15">
      <c r="A5404" s="23" t="str">
        <f t="shared" si="233"/>
        <v>АО "ТОРГОВЫЙ ДОМ "ПЕРЕКРЕСТОК"</v>
      </c>
      <c r="B5404" s="24" t="s">
        <v>6999</v>
      </c>
      <c r="C5404" s="25">
        <v>0</v>
      </c>
      <c r="D5404" s="22" t="s">
        <v>7003</v>
      </c>
      <c r="E5404" s="22" t="s">
        <v>208</v>
      </c>
      <c r="F5404" s="23" t="str">
        <f>HYPERLINK("https://www.spark-marketing.ru/Card/Lot/71851801", "Камера видеонаблюдения HikVision DS-2CD2143G0-IS (6mm) купол")</f>
        <v>Камера видеонаблюдения HikVision DS-2CD2143G0-IS (6mm) купол</v>
      </c>
      <c r="G5404" s="22" t="s">
        <v>55</v>
      </c>
      <c r="H5404" s="22" t="s">
        <v>55</v>
      </c>
      <c r="I5404" s="26">
        <v>43648.744791666701</v>
      </c>
      <c r="J5404" s="28" t="s">
        <v>52</v>
      </c>
      <c r="K5404" s="28" t="s">
        <v>52</v>
      </c>
      <c r="L5404" s="28" t="s">
        <v>52</v>
      </c>
      <c r="M5404" s="28" t="s">
        <v>52</v>
      </c>
      <c r="N5404" s="28" t="s">
        <v>52</v>
      </c>
    </row>
    <row r="5405" spans="1:14" x14ac:dyDescent="0.15">
      <c r="A5405" s="23" t="str">
        <f t="shared" si="233"/>
        <v>АО "ТОРГОВЫЙ ДОМ "ПЕРЕКРЕСТОК"</v>
      </c>
      <c r="B5405" s="24" t="s">
        <v>6999</v>
      </c>
      <c r="C5405" s="25">
        <v>0</v>
      </c>
      <c r="D5405" s="22" t="s">
        <v>7000</v>
      </c>
      <c r="E5405" s="22" t="s">
        <v>208</v>
      </c>
      <c r="F5405" s="23" t="str">
        <f>HYPERLINK("https://www.spark-marketing.ru/Card/Lot/71849994", "Камера видеонаблюдения HikVision DS-2CD2543G0-IWS (2.8mm) купол")</f>
        <v>Камера видеонаблюдения HikVision DS-2CD2543G0-IWS (2.8mm) купол</v>
      </c>
      <c r="G5405" s="22" t="s">
        <v>55</v>
      </c>
      <c r="H5405" s="22" t="s">
        <v>55</v>
      </c>
      <c r="I5405" s="26">
        <v>43648.7443055556</v>
      </c>
      <c r="J5405" s="28" t="s">
        <v>52</v>
      </c>
      <c r="K5405" s="28" t="s">
        <v>52</v>
      </c>
      <c r="L5405" s="28" t="s">
        <v>52</v>
      </c>
      <c r="M5405" s="28" t="s">
        <v>52</v>
      </c>
      <c r="N5405" s="28" t="s">
        <v>52</v>
      </c>
    </row>
    <row r="5406" spans="1:14" x14ac:dyDescent="0.15">
      <c r="A5406" s="23" t="str">
        <f t="shared" si="233"/>
        <v>АО "ТОРГОВЫЙ ДОМ "ПЕРЕКРЕСТОК"</v>
      </c>
      <c r="B5406" s="24" t="s">
        <v>6999</v>
      </c>
      <c r="C5406" s="25">
        <v>0</v>
      </c>
      <c r="D5406" s="22" t="s">
        <v>7002</v>
      </c>
      <c r="E5406" s="22" t="s">
        <v>208</v>
      </c>
      <c r="F5406" s="23" t="str">
        <f>HYPERLINK("https://www.spark-marketing.ru/Card/Lot/71851394", "LTV RTB-081 00, 8-канальный TVI/AHD видеорегистратор, 720P: 200 к/c, Ethernet, VGA/HDMI, 1 канал Audio, поддержка 1 HDD")</f>
        <v>LTV RTB-081 00, 8-канальный TVI/AHD видеорегистратор, 720P: 200 к/c, Ethernet, VGA/HDMI, 1 канал Audio, поддержка 1 HDD</v>
      </c>
      <c r="G5406" s="22" t="s">
        <v>55</v>
      </c>
      <c r="H5406" s="22" t="s">
        <v>55</v>
      </c>
      <c r="I5406" s="26">
        <v>43648.744641203702</v>
      </c>
      <c r="J5406" s="28" t="s">
        <v>52</v>
      </c>
      <c r="K5406" s="28" t="s">
        <v>52</v>
      </c>
      <c r="L5406" s="28" t="s">
        <v>52</v>
      </c>
      <c r="M5406" s="28" t="s">
        <v>52</v>
      </c>
      <c r="N5406" s="28" t="s">
        <v>52</v>
      </c>
    </row>
    <row r="5407" spans="1:14" x14ac:dyDescent="0.15">
      <c r="A5407" s="23" t="str">
        <f t="shared" si="233"/>
        <v>АО "ТОРГОВЫЙ ДОМ "ПЕРЕКРЕСТОК"</v>
      </c>
      <c r="B5407" s="24" t="s">
        <v>6999</v>
      </c>
      <c r="C5407" s="25">
        <v>0</v>
      </c>
      <c r="D5407" s="22" t="s">
        <v>7004</v>
      </c>
      <c r="E5407" s="22" t="s">
        <v>208</v>
      </c>
      <c r="F5407" s="23" t="str">
        <f>HYPERLINK("https://www.spark-marketing.ru/Card/Lot/71853850", "УРМ (Core i5/8000Mb/250Gb/DVD-RW/Lan 1000/4xUSB 2.0/CardReader 4x1/Mb+Kb, ОС Win 7 pro, Видеокарта NVIDIA GeForce GT 730) - двухмониторный")</f>
        <v>УРМ (Core i5/8000Mb/250Gb/DVD-RW/Lan 1000/4xUSB 2.0/CardReader 4x1/Mb+Kb, ОС Win 7 pro, Видеокарта NVIDIA GeForce GT 730) - двухмониторный</v>
      </c>
      <c r="G5407" s="22" t="s">
        <v>55</v>
      </c>
      <c r="H5407" s="22" t="s">
        <v>55</v>
      </c>
      <c r="I5407" s="26">
        <v>43648.745347222197</v>
      </c>
      <c r="J5407" s="28" t="s">
        <v>52</v>
      </c>
      <c r="K5407" s="28" t="s">
        <v>52</v>
      </c>
      <c r="L5407" s="28" t="s">
        <v>52</v>
      </c>
      <c r="M5407" s="28" t="s">
        <v>52</v>
      </c>
      <c r="N5407" s="28" t="s">
        <v>52</v>
      </c>
    </row>
    <row r="5408" spans="1:14" x14ac:dyDescent="0.15">
      <c r="A5408" s="23" t="str">
        <f t="shared" si="233"/>
        <v>АО "ТОРГОВЫЙ ДОМ "ПЕРЕКРЕСТОК"</v>
      </c>
      <c r="B5408" s="24" t="s">
        <v>6999</v>
      </c>
      <c r="C5408" s="25">
        <v>0</v>
      </c>
      <c r="D5408" s="22" t="s">
        <v>7000</v>
      </c>
      <c r="E5408" s="22" t="s">
        <v>208</v>
      </c>
      <c r="F5408" s="23" t="str">
        <f>HYPERLINK("https://www.spark-marketing.ru/Card/Lot/71850320", "Видеодомофон монохромный, с трубкой, AC 110-240В.")</f>
        <v>Видеодомофон монохромный, с трубкой, AC 110-240В.</v>
      </c>
      <c r="G5408" s="22" t="s">
        <v>55</v>
      </c>
      <c r="H5408" s="22" t="s">
        <v>55</v>
      </c>
      <c r="I5408" s="26">
        <v>43648.7443055556</v>
      </c>
      <c r="J5408" s="28" t="s">
        <v>52</v>
      </c>
      <c r="K5408" s="28" t="s">
        <v>52</v>
      </c>
      <c r="L5408" s="28" t="s">
        <v>52</v>
      </c>
      <c r="M5408" s="28" t="s">
        <v>52</v>
      </c>
      <c r="N5408" s="28" t="s">
        <v>52</v>
      </c>
    </row>
    <row r="5409" spans="1:14" x14ac:dyDescent="0.15">
      <c r="A5409" s="23" t="str">
        <f t="shared" si="233"/>
        <v>АО "ТОРГОВЫЙ ДОМ "ПЕРЕКРЕСТОК"</v>
      </c>
      <c r="B5409" s="24" t="s">
        <v>6999</v>
      </c>
      <c r="C5409" s="25">
        <v>0</v>
      </c>
      <c r="D5409" s="22" t="s">
        <v>7005</v>
      </c>
      <c r="E5409" s="22" t="s">
        <v>208</v>
      </c>
      <c r="F5409" s="23" t="str">
        <f>HYPERLINK("https://www.spark-marketing.ru/Card/Lot/71854247", "LTV RTB-081 00, 8-канальный TVI/AHD видеорегистратор, 720P: 200 к/c, Ethernet, VGA/HDMI, 1 канал Audio, поддержка 1 HDD")</f>
        <v>LTV RTB-081 00, 8-канальный TVI/AHD видеорегистратор, 720P: 200 к/c, Ethernet, VGA/HDMI, 1 канал Audio, поддержка 1 HDD</v>
      </c>
      <c r="G5409" s="22" t="s">
        <v>55</v>
      </c>
      <c r="H5409" s="22" t="s">
        <v>55</v>
      </c>
      <c r="I5409" s="26">
        <v>43648.745069444398</v>
      </c>
      <c r="J5409" s="28" t="s">
        <v>52</v>
      </c>
      <c r="K5409" s="28" t="s">
        <v>52</v>
      </c>
      <c r="L5409" s="28" t="s">
        <v>52</v>
      </c>
      <c r="M5409" s="28" t="s">
        <v>52</v>
      </c>
      <c r="N5409" s="28" t="s">
        <v>52</v>
      </c>
    </row>
    <row r="5410" spans="1:14" x14ac:dyDescent="0.15">
      <c r="A5410" s="23" t="str">
        <f t="shared" si="233"/>
        <v>АО "ТОРГОВЫЙ ДОМ "ПЕРЕКРЕСТОК"</v>
      </c>
      <c r="B5410" s="24" t="s">
        <v>6999</v>
      </c>
      <c r="C5410" s="25">
        <v>0</v>
      </c>
      <c r="D5410" s="22" t="s">
        <v>7004</v>
      </c>
      <c r="E5410" s="22" t="s">
        <v>208</v>
      </c>
      <c r="F5410" s="23" t="str">
        <f>HYPERLINK("https://www.spark-marketing.ru/Card/Lot/71853228", "LTV-BMW-175 (GL-203E) Кронштейн 175мм для видеокамер, белый, металлический")</f>
        <v>LTV-BMW-175 (GL-203E) Кронштейн 175мм для видеокамер, белый, металлический</v>
      </c>
      <c r="G5410" s="22" t="s">
        <v>55</v>
      </c>
      <c r="H5410" s="22" t="s">
        <v>55</v>
      </c>
      <c r="I5410" s="26">
        <v>43648.745347222197</v>
      </c>
      <c r="J5410" s="28" t="s">
        <v>52</v>
      </c>
      <c r="K5410" s="28" t="s">
        <v>52</v>
      </c>
      <c r="L5410" s="28" t="s">
        <v>52</v>
      </c>
      <c r="M5410" s="28" t="s">
        <v>52</v>
      </c>
      <c r="N5410" s="28" t="s">
        <v>52</v>
      </c>
    </row>
    <row r="5411" spans="1:14" x14ac:dyDescent="0.15">
      <c r="A5411" s="23" t="str">
        <f t="shared" si="233"/>
        <v>АО "ТОРГОВЫЙ ДОМ "ПЕРЕКРЕСТОК"</v>
      </c>
      <c r="B5411" s="24" t="s">
        <v>6999</v>
      </c>
      <c r="C5411" s="25">
        <v>0</v>
      </c>
      <c r="D5411" s="22" t="s">
        <v>7006</v>
      </c>
      <c r="E5411" s="22" t="s">
        <v>208</v>
      </c>
      <c r="F5411" s="23" t="str">
        <f>HYPERLINK("https://www.spark-marketing.ru/Card/Lot/71850589", "AC-TA283IR3 Уличная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OSD,...")</f>
        <v>AC-TA283IR3 Уличная 2МП TVI видеокамера с вариофокальным объективом. Разрешение 1080P, матрица 1/2.8" CMOS SONY, Цвет: 0.03 Лк (F1.4) / ЧБ: 0 Лк (ИК вкл.), варифокальный объектив 2.8-12мм, режим «День/Ночь», механический ИК-фильтр, 3D-NR, DWDR, OSD,...</v>
      </c>
      <c r="G5411" s="22" t="s">
        <v>55</v>
      </c>
      <c r="H5411" s="22" t="s">
        <v>55</v>
      </c>
      <c r="I5411" s="26">
        <v>43648.744490740697</v>
      </c>
      <c r="J5411" s="28" t="s">
        <v>52</v>
      </c>
      <c r="K5411" s="28" t="s">
        <v>52</v>
      </c>
      <c r="L5411" s="28" t="s">
        <v>52</v>
      </c>
      <c r="M5411" s="28" t="s">
        <v>52</v>
      </c>
      <c r="N5411" s="28" t="s">
        <v>52</v>
      </c>
    </row>
    <row r="5412" spans="1:14" x14ac:dyDescent="0.15">
      <c r="A5412" s="23" t="str">
        <f t="shared" si="233"/>
        <v>АО "ТОРГОВЫЙ ДОМ "ПЕРЕКРЕСТОК"</v>
      </c>
      <c r="B5412" s="24" t="s">
        <v>6999</v>
      </c>
      <c r="C5412" s="25">
        <v>0</v>
      </c>
      <c r="D5412" s="22" t="s">
        <v>7000</v>
      </c>
      <c r="E5412" s="22" t="s">
        <v>208</v>
      </c>
      <c r="F5412" s="23" t="str">
        <f>HYPERLINK("https://www.spark-marketing.ru/Card/Lot/71849978", "Камера видеонаблюдения HikVision DS-2CD2723G0-IZS (2.8-12mm) купол")</f>
        <v>Камера видеонаблюдения HikVision DS-2CD2723G0-IZS (2.8-12mm) купол</v>
      </c>
      <c r="G5412" s="22" t="s">
        <v>55</v>
      </c>
      <c r="H5412" s="22" t="s">
        <v>55</v>
      </c>
      <c r="I5412" s="26">
        <v>43648.7443055556</v>
      </c>
      <c r="J5412" s="28" t="s">
        <v>52</v>
      </c>
      <c r="K5412" s="28" t="s">
        <v>52</v>
      </c>
      <c r="L5412" s="28" t="s">
        <v>52</v>
      </c>
      <c r="M5412" s="28" t="s">
        <v>52</v>
      </c>
      <c r="N5412" s="28" t="s">
        <v>52</v>
      </c>
    </row>
    <row r="5413" spans="1:14" x14ac:dyDescent="0.15">
      <c r="A5413" s="23" t="str">
        <f t="shared" si="233"/>
        <v>АО "ТОРГОВЫЙ ДОМ "ПЕРЕКРЕСТОК"</v>
      </c>
      <c r="B5413" s="24" t="s">
        <v>6999</v>
      </c>
      <c r="C5413" s="25">
        <v>0</v>
      </c>
      <c r="D5413" s="22" t="s">
        <v>7000</v>
      </c>
      <c r="E5413" s="22" t="s">
        <v>208</v>
      </c>
      <c r="F5413" s="23" t="str">
        <f>HYPERLINK("https://www.spark-marketing.ru/Card/Lot/71850135", "Разъем питания видеокамеры")</f>
        <v>Разъем питания видеокамеры</v>
      </c>
      <c r="G5413" s="22" t="s">
        <v>55</v>
      </c>
      <c r="H5413" s="22" t="s">
        <v>55</v>
      </c>
      <c r="I5413" s="26">
        <v>43648.7443055556</v>
      </c>
      <c r="J5413" s="28" t="s">
        <v>52</v>
      </c>
      <c r="K5413" s="28" t="s">
        <v>52</v>
      </c>
      <c r="L5413" s="28" t="s">
        <v>52</v>
      </c>
      <c r="M5413" s="28" t="s">
        <v>52</v>
      </c>
      <c r="N5413" s="28" t="s">
        <v>52</v>
      </c>
    </row>
    <row r="5414" spans="1:14" x14ac:dyDescent="0.15">
      <c r="A5414" s="23" t="str">
        <f t="shared" si="233"/>
        <v>АО "ТОРГОВЫЙ ДОМ "ПЕРЕКРЕСТОК"</v>
      </c>
      <c r="B5414" s="24" t="s">
        <v>6999</v>
      </c>
      <c r="C5414" s="25">
        <v>0</v>
      </c>
      <c r="D5414" s="22" t="s">
        <v>7001</v>
      </c>
      <c r="E5414" s="22" t="s">
        <v>208</v>
      </c>
      <c r="F5414" s="23" t="str">
        <f>HYPERLINK("https://www.spark-marketing.ru/Card/Lot/71852455", "AC-TA361IR2 Бюджетная компактная купольная 1МП TVI видеокамера. Разрешение 720P, матрица 1/4"" CMOS, Цвет: 0.1 Лк (F1.8) / ЧБ: 0 Лк (ИК вкл.), объектив 3.6мм, режим «День/Ночь», механический ИК-фильтр, питание 12В DC, потребляемый ток 500мА, -10…+5°С...")</f>
        <v>AC-TA361IR2 Бюджетная компактная купольная 1МП TVI видеокамера. Разрешение 720P, матрица 1/4" CMOS, Цвет: 0.1 Лк (F1.8) / ЧБ: 0 Лк (ИК вкл.), объектив 3.6мм, режим «День/Ночь», механический ИК-фильтр, питание 12В DC, потребляемый ток 500мА, -10…+5°С...</v>
      </c>
      <c r="G5414" s="22" t="s">
        <v>55</v>
      </c>
      <c r="H5414" s="22" t="s">
        <v>55</v>
      </c>
      <c r="I5414" s="26">
        <v>43648.7449305556</v>
      </c>
      <c r="J5414" s="28" t="s">
        <v>52</v>
      </c>
      <c r="K5414" s="28" t="s">
        <v>52</v>
      </c>
      <c r="L5414" s="28" t="s">
        <v>52</v>
      </c>
      <c r="M5414" s="28" t="s">
        <v>52</v>
      </c>
      <c r="N5414" s="28" t="s">
        <v>52</v>
      </c>
    </row>
    <row r="5415" spans="1:14" x14ac:dyDescent="0.15">
      <c r="A5415" s="23" t="str">
        <f t="shared" si="233"/>
        <v>АО "ТОРГОВЫЙ ДОМ "ПЕРЕКРЕСТОК"</v>
      </c>
      <c r="B5415" s="24" t="s">
        <v>6999</v>
      </c>
      <c r="C5415" s="25">
        <v>0</v>
      </c>
      <c r="D5415" s="22" t="s">
        <v>7005</v>
      </c>
      <c r="E5415" s="22" t="s">
        <v>208</v>
      </c>
      <c r="F5415" s="23" t="str">
        <f>HYPERLINK("https://www.spark-marketing.ru/Card/Lot/71853869", "Камера видеонаблюдения HikVision DS-2CD2543G0-IWS (2.8mm) купол")</f>
        <v>Камера видеонаблюдения HikVision DS-2CD2543G0-IWS (2.8mm) купол</v>
      </c>
      <c r="G5415" s="22" t="s">
        <v>55</v>
      </c>
      <c r="H5415" s="22" t="s">
        <v>55</v>
      </c>
      <c r="I5415" s="26">
        <v>43648.745069444398</v>
      </c>
      <c r="J5415" s="28" t="s">
        <v>52</v>
      </c>
      <c r="K5415" s="28" t="s">
        <v>52</v>
      </c>
      <c r="L5415" s="28" t="s">
        <v>52</v>
      </c>
      <c r="M5415" s="28" t="s">
        <v>52</v>
      </c>
      <c r="N5415" s="28" t="s">
        <v>52</v>
      </c>
    </row>
    <row r="5416" spans="1:14" x14ac:dyDescent="0.15">
      <c r="A5416" s="23" t="str">
        <f t="shared" si="233"/>
        <v>АО "ТОРГОВЫЙ ДОМ "ПЕРЕКРЕСТОК"</v>
      </c>
      <c r="B5416" s="24" t="s">
        <v>6999</v>
      </c>
      <c r="C5416" s="25">
        <v>0</v>
      </c>
      <c r="D5416" s="22" t="s">
        <v>7002</v>
      </c>
      <c r="E5416" s="22" t="s">
        <v>208</v>
      </c>
      <c r="F5416" s="23" t="str">
        <f>HYPERLINK("https://www.spark-marketing.ru/Card/Lot/71851490", "Юстировка стационарной видеокамеры, уличной")</f>
        <v>Юстировка стационарной видеокамеры, уличной</v>
      </c>
      <c r="G5416" s="22" t="s">
        <v>55</v>
      </c>
      <c r="H5416" s="22" t="s">
        <v>55</v>
      </c>
      <c r="I5416" s="26">
        <v>43648.744641203702</v>
      </c>
      <c r="J5416" s="28" t="s">
        <v>52</v>
      </c>
      <c r="K5416" s="28" t="s">
        <v>52</v>
      </c>
      <c r="L5416" s="28" t="s">
        <v>52</v>
      </c>
      <c r="M5416" s="28" t="s">
        <v>52</v>
      </c>
      <c r="N5416" s="28" t="s">
        <v>52</v>
      </c>
    </row>
    <row r="5417" spans="1:14" x14ac:dyDescent="0.15">
      <c r="A5417" s="23" t="str">
        <f t="shared" si="233"/>
        <v>АО "ТОРГОВЫЙ ДОМ "ПЕРЕКРЕСТОК"</v>
      </c>
      <c r="B5417" s="24" t="s">
        <v>6999</v>
      </c>
      <c r="C5417" s="25">
        <v>0</v>
      </c>
      <c r="D5417" s="22" t="s">
        <v>7007</v>
      </c>
      <c r="E5417" s="22" t="s">
        <v>208</v>
      </c>
      <c r="F5417" s="23" t="str">
        <f>HYPERLINK("https://www.spark-marketing.ru/Card/Lot/71854151", "Камера видеонаблюдения HikVision DS-2CD2822F (B)")</f>
        <v>Камера видеонаблюдения HikVision DS-2CD2822F (B)</v>
      </c>
      <c r="G5417" s="22" t="s">
        <v>55</v>
      </c>
      <c r="H5417" s="22" t="s">
        <v>55</v>
      </c>
      <c r="I5417" s="26">
        <v>43648.745219907403</v>
      </c>
      <c r="J5417" s="28" t="s">
        <v>52</v>
      </c>
      <c r="K5417" s="28" t="s">
        <v>52</v>
      </c>
      <c r="L5417" s="28" t="s">
        <v>52</v>
      </c>
      <c r="M5417" s="28" t="s">
        <v>52</v>
      </c>
      <c r="N5417" s="28" t="s">
        <v>52</v>
      </c>
    </row>
    <row r="5418" spans="1:14" x14ac:dyDescent="0.15">
      <c r="A5418" s="23" t="str">
        <f t="shared" si="233"/>
        <v>АО "ТОРГОВЫЙ ДОМ "ПЕРЕКРЕСТОК"</v>
      </c>
      <c r="B5418" s="24" t="s">
        <v>6999</v>
      </c>
      <c r="C5418" s="25">
        <v>0</v>
      </c>
      <c r="D5418" s="22" t="s">
        <v>7001</v>
      </c>
      <c r="E5418" s="22" t="s">
        <v>208</v>
      </c>
      <c r="F5418" s="23" t="str">
        <f>HYPERLINK("https://www.spark-marketing.ru/Card/Lot/71853642", "Юстировка стационарной видеокамеры, уличной")</f>
        <v>Юстировка стационарной видеокамеры, уличной</v>
      </c>
      <c r="G5418" s="22" t="s">
        <v>55</v>
      </c>
      <c r="H5418" s="22" t="s">
        <v>55</v>
      </c>
      <c r="I5418" s="26">
        <v>43648.7449305556</v>
      </c>
      <c r="J5418" s="28" t="s">
        <v>52</v>
      </c>
      <c r="K5418" s="28" t="s">
        <v>52</v>
      </c>
      <c r="L5418" s="28" t="s">
        <v>52</v>
      </c>
      <c r="M5418" s="28" t="s">
        <v>52</v>
      </c>
      <c r="N5418" s="28" t="s">
        <v>52</v>
      </c>
    </row>
    <row r="5419" spans="1:14" x14ac:dyDescent="0.15">
      <c r="A5419" s="23" t="str">
        <f t="shared" si="233"/>
        <v>АО "ТОРГОВЫЙ ДОМ "ПЕРЕКРЕСТОК"</v>
      </c>
      <c r="B5419" s="24" t="s">
        <v>6999</v>
      </c>
      <c r="C5419" s="25">
        <v>0</v>
      </c>
      <c r="D5419" s="22" t="s">
        <v>7008</v>
      </c>
      <c r="E5419" s="22" t="s">
        <v>208</v>
      </c>
      <c r="F5419" s="23" t="str">
        <f>HYPERLINK("https://www.spark-marketing.ru/Card/Lot/71854821", "AC-TA263IR3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f>
        <v>AC-TA263IR3 Купольная 1МП TVI видеокамера с вариофокальным объективом. Разрешение 720P, матрица 1/2.8" CMOS SONY, Цвет: 0.03 Лк (F1.4) / ЧБ: 0 Лк (ИК вкл.), варифокальный объектив 2.8-12мм, режим «День/Ночь», механический ИК-фильтр, 3D-NR, DWDR, OSD...</v>
      </c>
      <c r="G5419" s="22" t="s">
        <v>55</v>
      </c>
      <c r="H5419" s="22" t="s">
        <v>55</v>
      </c>
      <c r="I5419" s="26">
        <v>43648.745509259301</v>
      </c>
      <c r="J5419" s="28" t="s">
        <v>52</v>
      </c>
      <c r="K5419" s="28" t="s">
        <v>52</v>
      </c>
      <c r="L5419" s="28" t="s">
        <v>52</v>
      </c>
      <c r="M5419" s="28" t="s">
        <v>52</v>
      </c>
      <c r="N5419" s="28" t="s">
        <v>52</v>
      </c>
    </row>
    <row r="5420" spans="1:14" x14ac:dyDescent="0.15">
      <c r="A5420" s="23" t="str">
        <f t="shared" si="233"/>
        <v>АО "ТОРГОВЫЙ ДОМ "ПЕРЕКРЕСТОК"</v>
      </c>
      <c r="B5420" s="24" t="s">
        <v>6999</v>
      </c>
      <c r="C5420" s="25">
        <v>0</v>
      </c>
      <c r="D5420" s="22" t="s">
        <v>7004</v>
      </c>
      <c r="E5420" s="22" t="s">
        <v>208</v>
      </c>
      <c r="F5420" s="23" t="str">
        <f>HYPERLINK("https://www.spark-marketing.ru/Card/Lot/71853606", "Разъем питания видеокамеры")</f>
        <v>Разъем питания видеокамеры</v>
      </c>
      <c r="G5420" s="22" t="s">
        <v>55</v>
      </c>
      <c r="H5420" s="22" t="s">
        <v>55</v>
      </c>
      <c r="I5420" s="26">
        <v>43648.745347222197</v>
      </c>
      <c r="J5420" s="28" t="s">
        <v>52</v>
      </c>
      <c r="K5420" s="28" t="s">
        <v>52</v>
      </c>
      <c r="L5420" s="28" t="s">
        <v>52</v>
      </c>
      <c r="M5420" s="28" t="s">
        <v>52</v>
      </c>
      <c r="N5420" s="28" t="s">
        <v>52</v>
      </c>
    </row>
    <row r="5421" spans="1:14" x14ac:dyDescent="0.15">
      <c r="A5421" s="23" t="str">
        <f t="shared" si="233"/>
        <v>АО "ТОРГОВЫЙ ДОМ "ПЕРЕКРЕСТОК"</v>
      </c>
      <c r="B5421" s="24" t="s">
        <v>6999</v>
      </c>
      <c r="C5421" s="25">
        <v>0</v>
      </c>
      <c r="D5421" s="22" t="s">
        <v>7005</v>
      </c>
      <c r="E5421" s="22" t="s">
        <v>208</v>
      </c>
      <c r="F5421" s="23" t="str">
        <f>HYPERLINK("https://www.spark-marketing.ru/Card/Lot/71853759", "Камера видеонаблюдения HikVision DS-2CD2723G0-IZS (2.8-12mm) купол")</f>
        <v>Камера видеонаблюдения HikVision DS-2CD2723G0-IZS (2.8-12mm) купол</v>
      </c>
      <c r="G5421" s="22" t="s">
        <v>55</v>
      </c>
      <c r="H5421" s="22" t="s">
        <v>55</v>
      </c>
      <c r="I5421" s="26">
        <v>43648.745069444398</v>
      </c>
      <c r="J5421" s="28" t="s">
        <v>52</v>
      </c>
      <c r="K5421" s="28" t="s">
        <v>52</v>
      </c>
      <c r="L5421" s="28" t="s">
        <v>52</v>
      </c>
      <c r="M5421" s="28" t="s">
        <v>52</v>
      </c>
      <c r="N5421" s="28" t="s">
        <v>52</v>
      </c>
    </row>
    <row r="5422" spans="1:14" x14ac:dyDescent="0.15">
      <c r="A5422" s="23" t="str">
        <f t="shared" si="233"/>
        <v>АО "ТОРГОВЫЙ ДОМ "ПЕРЕКРЕСТОК"</v>
      </c>
      <c r="B5422" s="24" t="s">
        <v>6999</v>
      </c>
      <c r="C5422" s="25">
        <v>0</v>
      </c>
      <c r="D5422" s="22" t="s">
        <v>7003</v>
      </c>
      <c r="E5422" s="22" t="s">
        <v>208</v>
      </c>
      <c r="F5422" s="23" t="str">
        <f>HYPERLINK("https://www.spark-marketing.ru/Card/Lot/71851738", "AC-TA381IR2 Компактная купольная 2МП TVI видеокамера. Разрешение 1080P, матрица 1/2.8"" CMOS SONY, Цвет: 0.05 Лк (F1.8) / ЧБ: 0 Лк (ИК вкл.), объектив 3.6мм, режим «День/Ночь», механический ИК-фильтр, 3D-NR, DWDR, OSD, питание 12В DC, потребляемый то...")</f>
        <v>AC-TA381IR2 Компактная купольная 2МП TVI видеокамера. Разрешение 1080P, матрица 1/2.8" CMOS SONY, Цвет: 0.05 Лк (F1.8) / ЧБ: 0 Лк (ИК вкл.), объектив 3.6мм, режим «День/Ночь», механический ИК-фильтр, 3D-NR, DWDR, OSD, питание 12В DC, потребляемый то...</v>
      </c>
      <c r="G5422" s="22" t="s">
        <v>55</v>
      </c>
      <c r="H5422" s="22" t="s">
        <v>55</v>
      </c>
      <c r="I5422" s="26">
        <v>43648.744791666701</v>
      </c>
      <c r="J5422" s="28" t="s">
        <v>52</v>
      </c>
      <c r="K5422" s="28" t="s">
        <v>52</v>
      </c>
      <c r="L5422" s="28" t="s">
        <v>52</v>
      </c>
      <c r="M5422" s="28" t="s">
        <v>52</v>
      </c>
      <c r="N5422" s="28" t="s">
        <v>52</v>
      </c>
    </row>
    <row r="5423" spans="1:14" x14ac:dyDescent="0.15">
      <c r="A5423" s="23" t="str">
        <f t="shared" si="233"/>
        <v>АО "ТОРГОВЫЙ ДОМ "ПЕРЕКРЕСТОК"</v>
      </c>
      <c r="B5423" s="24" t="s">
        <v>6999</v>
      </c>
      <c r="C5423" s="25">
        <v>0</v>
      </c>
      <c r="D5423" s="22" t="s">
        <v>7007</v>
      </c>
      <c r="E5423" s="22" t="s">
        <v>208</v>
      </c>
      <c r="F5423" s="23" t="str">
        <f>HYPERLINK("https://www.spark-marketing.ru/Card/Lot/71852628", "ПО ВидеоМаркет (сервер)")</f>
        <v>ПО ВидеоМаркет (сервер)</v>
      </c>
      <c r="G5423" s="22" t="s">
        <v>55</v>
      </c>
      <c r="H5423" s="22" t="s">
        <v>55</v>
      </c>
      <c r="I5423" s="26">
        <v>43648.745219907403</v>
      </c>
      <c r="J5423" s="28" t="s">
        <v>52</v>
      </c>
      <c r="K5423" s="28" t="s">
        <v>52</v>
      </c>
      <c r="L5423" s="28" t="s">
        <v>52</v>
      </c>
      <c r="M5423" s="28" t="s">
        <v>52</v>
      </c>
      <c r="N5423" s="28" t="s">
        <v>52</v>
      </c>
    </row>
    <row r="5424" spans="1:14" x14ac:dyDescent="0.15">
      <c r="A5424" s="23" t="str">
        <f t="shared" si="233"/>
        <v>АО "ТОРГОВЫЙ ДОМ "ПЕРЕКРЕСТОК"</v>
      </c>
      <c r="B5424" s="24" t="s">
        <v>6999</v>
      </c>
      <c r="C5424" s="25">
        <v>0</v>
      </c>
      <c r="D5424" s="22" t="s">
        <v>7006</v>
      </c>
      <c r="E5424" s="22" t="s">
        <v>208</v>
      </c>
      <c r="F5424" s="23" t="str">
        <f>HYPERLINK("https://www.spark-marketing.ru/Card/Lot/71850671", "Камера видеонаблюдения HikVision DS-2CD2543G0-IWS (2.8mm) купол")</f>
        <v>Камера видеонаблюдения HikVision DS-2CD2543G0-IWS (2.8mm) купол</v>
      </c>
      <c r="G5424" s="22" t="s">
        <v>55</v>
      </c>
      <c r="H5424" s="22" t="s">
        <v>55</v>
      </c>
      <c r="I5424" s="26">
        <v>43648.744490740697</v>
      </c>
      <c r="J5424" s="28" t="s">
        <v>52</v>
      </c>
      <c r="K5424" s="28" t="s">
        <v>52</v>
      </c>
      <c r="L5424" s="28" t="s">
        <v>52</v>
      </c>
      <c r="M5424" s="28" t="s">
        <v>52</v>
      </c>
      <c r="N5424" s="28" t="s">
        <v>52</v>
      </c>
    </row>
    <row r="5425" spans="1:14" x14ac:dyDescent="0.15">
      <c r="A5425" s="23" t="str">
        <f t="shared" si="233"/>
        <v>АО "ТОРГОВЫЙ ДОМ "ПЕРЕКРЕСТОК"</v>
      </c>
      <c r="B5425" s="24" t="s">
        <v>6999</v>
      </c>
      <c r="C5425" s="25">
        <v>0</v>
      </c>
      <c r="D5425" s="22" t="s">
        <v>7008</v>
      </c>
      <c r="E5425" s="22" t="s">
        <v>208</v>
      </c>
      <c r="F5425" s="23" t="str">
        <f>HYPERLINK("https://www.spark-marketing.ru/Card/Lot/71854832", "DH-HAC-HDPW1200RP-0360B-S3A объектив 3.6 мм с апертурой F/1.85, угл обзора по горизонтали - 89.9? HD-CVI, HD-TVI, AHD: транслирует по коаксиальному кабелю видеосигнал на расстояние 1200 м при разрешении 1 Мп и 800 м - при 2 Мп; по неэкранированной ви...")</f>
        <v>DH-HAC-HDPW1200RP-0360B-S3A объектив 3.6 мм с апертурой F/1.85, угл обзора по горизонтали - 89.9? HD-CVI, HD-TVI, AHD: транслирует по коаксиальному кабелю видеосигнал на расстояние 1200 м при разрешении 1 Мп и 800 м - при 2 Мп; по неэкранированной ви...</v>
      </c>
      <c r="G5425" s="22" t="s">
        <v>55</v>
      </c>
      <c r="H5425" s="22" t="s">
        <v>55</v>
      </c>
      <c r="I5425" s="26">
        <v>43648.745509259301</v>
      </c>
      <c r="J5425" s="28" t="s">
        <v>52</v>
      </c>
      <c r="K5425" s="28" t="s">
        <v>52</v>
      </c>
      <c r="L5425" s="28" t="s">
        <v>52</v>
      </c>
      <c r="M5425" s="28" t="s">
        <v>52</v>
      </c>
      <c r="N5425" s="28" t="s">
        <v>52</v>
      </c>
    </row>
    <row r="5426" spans="1:14" x14ac:dyDescent="0.15">
      <c r="A5426" s="23" t="str">
        <f t="shared" si="233"/>
        <v>АО "ТОРГОВЫЙ ДОМ "ПЕРЕКРЕСТОК"</v>
      </c>
      <c r="B5426" s="24" t="s">
        <v>6999</v>
      </c>
      <c r="C5426" s="25">
        <v>0</v>
      </c>
      <c r="D5426" s="22" t="s">
        <v>7002</v>
      </c>
      <c r="E5426" s="22" t="s">
        <v>208</v>
      </c>
      <c r="F5426" s="23" t="str">
        <f>HYPERLINK("https://www.spark-marketing.ru/Card/Lot/71851223", "Камера видеонаблюдения HikVision DS-2CD2123G0-IS (2.8mm) купол")</f>
        <v>Камера видеонаблюдения HikVision DS-2CD2123G0-IS (2.8mm) купол</v>
      </c>
      <c r="G5426" s="22" t="s">
        <v>55</v>
      </c>
      <c r="H5426" s="22" t="s">
        <v>55</v>
      </c>
      <c r="I5426" s="26">
        <v>43648.744641203702</v>
      </c>
      <c r="J5426" s="28" t="s">
        <v>52</v>
      </c>
      <c r="K5426" s="28" t="s">
        <v>52</v>
      </c>
      <c r="L5426" s="28" t="s">
        <v>52</v>
      </c>
      <c r="M5426" s="28" t="s">
        <v>52</v>
      </c>
      <c r="N5426" s="28" t="s">
        <v>52</v>
      </c>
    </row>
    <row r="5427" spans="1:14" x14ac:dyDescent="0.15">
      <c r="A5427" s="23" t="str">
        <f t="shared" si="233"/>
        <v>АО "ТОРГОВЫЙ ДОМ "ПЕРЕКРЕСТОК"</v>
      </c>
      <c r="B5427" s="24" t="s">
        <v>6999</v>
      </c>
      <c r="C5427" s="25">
        <v>0</v>
      </c>
      <c r="D5427" s="22" t="s">
        <v>7001</v>
      </c>
      <c r="E5427" s="22" t="s">
        <v>208</v>
      </c>
      <c r="F5427" s="23" t="str">
        <f>HYPERLINK("https://www.spark-marketing.ru/Card/Lot/71852220", "Камера видеонаблюдения HikVision DS-2CD2643G0-IZS (2.8-12mm) 4 Mp motor-zoom")</f>
        <v>Камера видеонаблюдения HikVision DS-2CD2643G0-IZS (2.8-12mm) 4 Mp motor-zoom</v>
      </c>
      <c r="G5427" s="22" t="s">
        <v>55</v>
      </c>
      <c r="H5427" s="22" t="s">
        <v>55</v>
      </c>
      <c r="I5427" s="26">
        <v>43648.7449305556</v>
      </c>
      <c r="J5427" s="28" t="s">
        <v>52</v>
      </c>
      <c r="K5427" s="28" t="s">
        <v>52</v>
      </c>
      <c r="L5427" s="28" t="s">
        <v>52</v>
      </c>
      <c r="M5427" s="28" t="s">
        <v>52</v>
      </c>
      <c r="N5427" s="28" t="s">
        <v>52</v>
      </c>
    </row>
    <row r="5428" spans="1:14" x14ac:dyDescent="0.15">
      <c r="A5428" s="23" t="str">
        <f t="shared" si="233"/>
        <v>АО "ТОРГОВЫЙ ДОМ "ПЕРЕКРЕСТОК"</v>
      </c>
      <c r="B5428" s="24" t="s">
        <v>6999</v>
      </c>
      <c r="C5428" s="25">
        <v>0</v>
      </c>
      <c r="D5428" s="22" t="s">
        <v>7003</v>
      </c>
      <c r="E5428" s="22" t="s">
        <v>208</v>
      </c>
      <c r="F5428" s="23" t="str">
        <f>HYPERLINK("https://www.spark-marketing.ru/Card/Lot/71851766", "Сервер контроля кассовых операций Видеомаркет (Core i5/8192Mb/250Gb/Lan 1000/4xUSB 2.0/CardReader 4x1/Mb+Kb, ОС Win 7/10 pro, Видеокарта NVIDIA GeForce GT 730) комплект ""клавиатура-""мышь""")</f>
        <v>Сервер контроля кассовых операций Видеомаркет (Core i5/8192Mb/250Gb/Lan 1000/4xUSB 2.0/CardReader 4x1/Mb+Kb, ОС Win 7/10 pro, Видеокарта NVIDIA GeForce GT 730) комплект "клавиатура-"мышь"</v>
      </c>
      <c r="G5428" s="22" t="s">
        <v>55</v>
      </c>
      <c r="H5428" s="22" t="s">
        <v>55</v>
      </c>
      <c r="I5428" s="26">
        <v>43648.744791666701</v>
      </c>
      <c r="J5428" s="28" t="s">
        <v>52</v>
      </c>
      <c r="K5428" s="28" t="s">
        <v>52</v>
      </c>
      <c r="L5428" s="28" t="s">
        <v>52</v>
      </c>
      <c r="M5428" s="28" t="s">
        <v>52</v>
      </c>
      <c r="N5428" s="28" t="s">
        <v>52</v>
      </c>
    </row>
    <row r="5429" spans="1:14" x14ac:dyDescent="0.15">
      <c r="A5429" s="23" t="str">
        <f t="shared" si="233"/>
        <v>АО "ТОРГОВЫЙ ДОМ "ПЕРЕКРЕСТОК"</v>
      </c>
      <c r="B5429" s="24" t="s">
        <v>6999</v>
      </c>
      <c r="C5429" s="25">
        <v>0</v>
      </c>
      <c r="D5429" s="22" t="s">
        <v>7008</v>
      </c>
      <c r="E5429" s="22" t="s">
        <v>208</v>
      </c>
      <c r="F5429" s="23" t="str">
        <f>HYPERLINK("https://www.spark-marketing.ru/Card/Lot/71854420", "Видеокамера бытовая, с перезаписываемой памятью (Flash), Full HD 1080p, Режим ночной съемки, Поддержка карт памяти, SD, SDHC, SDXC")</f>
        <v>Видеокамера бытовая, с перезаписываемой памятью (Flash), Full HD 1080p, Режим ночной съемки, Поддержка карт памяти, SD, SDHC, SDXC</v>
      </c>
      <c r="G5429" s="22" t="s">
        <v>55</v>
      </c>
      <c r="H5429" s="22" t="s">
        <v>55</v>
      </c>
      <c r="I5429" s="26">
        <v>43648.745509259301</v>
      </c>
      <c r="J5429" s="28" t="s">
        <v>52</v>
      </c>
      <c r="K5429" s="28" t="s">
        <v>52</v>
      </c>
      <c r="L5429" s="28" t="s">
        <v>52</v>
      </c>
      <c r="M5429" s="28" t="s">
        <v>52</v>
      </c>
      <c r="N5429" s="28" t="s">
        <v>52</v>
      </c>
    </row>
    <row r="5430" spans="1:14" x14ac:dyDescent="0.15">
      <c r="A5430" s="23" t="str">
        <f t="shared" si="233"/>
        <v>АО "ТОРГОВЫЙ ДОМ "ПЕРЕКРЕСТОК"</v>
      </c>
      <c r="B5430" s="24" t="s">
        <v>6999</v>
      </c>
      <c r="C5430" s="25">
        <v>0</v>
      </c>
      <c r="D5430" s="22" t="s">
        <v>7006</v>
      </c>
      <c r="E5430" s="22" t="s">
        <v>208</v>
      </c>
      <c r="F5430" s="23" t="str">
        <f>HYPERLINK("https://www.spark-marketing.ru/Card/Lot/71850763", "ПО ВидеоМаркет (сервер)")</f>
        <v>ПО ВидеоМаркет (сервер)</v>
      </c>
      <c r="G5430" s="22" t="s">
        <v>55</v>
      </c>
      <c r="H5430" s="22" t="s">
        <v>55</v>
      </c>
      <c r="I5430" s="26">
        <v>43648.744490740697</v>
      </c>
      <c r="J5430" s="28" t="s">
        <v>52</v>
      </c>
      <c r="K5430" s="28" t="s">
        <v>52</v>
      </c>
      <c r="L5430" s="28" t="s">
        <v>52</v>
      </c>
      <c r="M5430" s="28" t="s">
        <v>52</v>
      </c>
      <c r="N5430" s="28" t="s">
        <v>52</v>
      </c>
    </row>
    <row r="5431" spans="1:14" x14ac:dyDescent="0.15">
      <c r="A5431" s="23" t="str">
        <f t="shared" si="233"/>
        <v>АО "ТОРГОВЫЙ ДОМ "ПЕРЕКРЕСТОК"</v>
      </c>
      <c r="B5431" s="24" t="s">
        <v>6999</v>
      </c>
      <c r="C5431" s="25">
        <v>0</v>
      </c>
      <c r="D5431" s="22" t="s">
        <v>7004</v>
      </c>
      <c r="E5431" s="22" t="s">
        <v>208</v>
      </c>
      <c r="F5431" s="23" t="str">
        <f>HYPERLINK("https://www.spark-marketing.ru/Card/Lot/71853235", "AC-TA361IR2 Бюджетная компактная купольная 1МП TVI видеокамера. Разрешение 720P, матрица 1/4"" CMOS, Цвет: 0.1 Лк (F1.8) / ЧБ: 0 Лк (ИК вкл.), объектив 3.6мм, режим «День/Ночь», механический ИК-фильтр, питание 12В DC, потребляемый ток 500мА, -10…+5°С...")</f>
        <v>AC-TA361IR2 Бюджетная компактная купольная 1МП TVI видеокамера. Разрешение 720P, матрица 1/4" CMOS, Цвет: 0.1 Лк (F1.8) / ЧБ: 0 Лк (ИК вкл.), объектив 3.6мм, режим «День/Ночь», механический ИК-фильтр, питание 12В DC, потребляемый ток 500мА, -10…+5°С...</v>
      </c>
      <c r="G5431" s="22" t="s">
        <v>55</v>
      </c>
      <c r="H5431" s="22" t="s">
        <v>55</v>
      </c>
      <c r="I5431" s="26">
        <v>43648.745347222197</v>
      </c>
      <c r="J5431" s="28" t="s">
        <v>52</v>
      </c>
      <c r="K5431" s="28" t="s">
        <v>52</v>
      </c>
      <c r="L5431" s="28" t="s">
        <v>52</v>
      </c>
      <c r="M5431" s="28" t="s">
        <v>52</v>
      </c>
      <c r="N5431" s="28" t="s">
        <v>52</v>
      </c>
    </row>
    <row r="5432" spans="1:14" x14ac:dyDescent="0.15">
      <c r="A5432" s="23" t="str">
        <f t="shared" si="233"/>
        <v>АО "ТОРГОВЫЙ ДОМ "ПЕРЕКРЕСТОК"</v>
      </c>
      <c r="B5432" s="24" t="s">
        <v>6999</v>
      </c>
      <c r="C5432" s="25">
        <v>0</v>
      </c>
      <c r="D5432" s="22" t="s">
        <v>7008</v>
      </c>
      <c r="E5432" s="22" t="s">
        <v>208</v>
      </c>
      <c r="F5432" s="23" t="str">
        <f>HYPERLINK("https://www.spark-marketing.ru/Card/Lot/71855016", "УРМ (Core i5/8000Mb/250Gb/DVD-RW/Lan 1000/4xUSB 2.0/CardReader 4x1/Mb+Kb, ОС Win 7 pro, Видеокарта NVIDIA GeForce GT 730) - двухмониторный")</f>
        <v>УРМ (Core i5/8000Mb/250Gb/DVD-RW/Lan 1000/4xUSB 2.0/CardReader 4x1/Mb+Kb, ОС Win 7 pro, Видеокарта NVIDIA GeForce GT 730) - двухмониторный</v>
      </c>
      <c r="G5432" s="22" t="s">
        <v>55</v>
      </c>
      <c r="H5432" s="22" t="s">
        <v>55</v>
      </c>
      <c r="I5432" s="26">
        <v>43648.745509259301</v>
      </c>
      <c r="J5432" s="28" t="s">
        <v>52</v>
      </c>
      <c r="K5432" s="28" t="s">
        <v>52</v>
      </c>
      <c r="L5432" s="28" t="s">
        <v>52</v>
      </c>
      <c r="M5432" s="28" t="s">
        <v>52</v>
      </c>
      <c r="N5432" s="28" t="s">
        <v>52</v>
      </c>
    </row>
    <row r="5433" spans="1:14" x14ac:dyDescent="0.15">
      <c r="A5433" s="23" t="str">
        <f t="shared" si="233"/>
        <v>АО "ТОРГОВЫЙ ДОМ "ПЕРЕКРЕСТОК"</v>
      </c>
      <c r="B5433" s="24" t="s">
        <v>6999</v>
      </c>
      <c r="C5433" s="25">
        <v>0</v>
      </c>
      <c r="D5433" s="22" t="s">
        <v>7008</v>
      </c>
      <c r="E5433" s="22" t="s">
        <v>208</v>
      </c>
      <c r="F5433" s="23" t="str">
        <f>HYPERLINK("https://www.spark-marketing.ru/Card/Lot/71854727", "Сервер контроля кассовых операций Видеомаркет ( Intel Core i7 1150; Материнская плата ASUS H81M-K 1150; ОЗУ 2х4Gb DDR3; SSD 240Gb; Сетевая карта 10/100/1000Mbps х2; Корпус RackMount 550W; OS Windows 7/8/10 PRO-64 bit, Russian; MS SQL 2012) комплект ...")</f>
        <v>Сервер контроля кассовых операций Видеомаркет ( Intel Core i7 1150; Материнская плата ASUS H81M-K 1150; ОЗУ 2х4Gb DDR3; SSD 240Gb; Сетевая карта 10/100/1000Mbps х2; Корпус RackMount 550W; OS Windows 7/8/10 PRO-64 bit, Russian; MS SQL 2012) комплект ...</v>
      </c>
      <c r="G5433" s="22" t="s">
        <v>55</v>
      </c>
      <c r="H5433" s="22" t="s">
        <v>55</v>
      </c>
      <c r="I5433" s="26">
        <v>43648.745509259301</v>
      </c>
      <c r="J5433" s="28" t="s">
        <v>52</v>
      </c>
      <c r="K5433" s="28" t="s">
        <v>52</v>
      </c>
      <c r="L5433" s="28" t="s">
        <v>52</v>
      </c>
      <c r="M5433" s="28" t="s">
        <v>52</v>
      </c>
      <c r="N5433" s="28" t="s">
        <v>52</v>
      </c>
    </row>
    <row r="5434" spans="1:14" x14ac:dyDescent="0.15">
      <c r="A5434" s="23" t="str">
        <f t="shared" si="233"/>
        <v>АО "ТОРГОВЫЙ ДОМ "ПЕРЕКРЕСТОК"</v>
      </c>
      <c r="B5434" s="24" t="s">
        <v>6999</v>
      </c>
      <c r="C5434" s="25">
        <v>0</v>
      </c>
      <c r="D5434" s="22" t="s">
        <v>7004</v>
      </c>
      <c r="E5434" s="22" t="s">
        <v>208</v>
      </c>
      <c r="F5434" s="23" t="str">
        <f>HYPERLINK("https://www.spark-marketing.ru/Card/Lot/71853105", "Сервер контроля кассовых операций Видеомаркет (Core i5/8192Mb/250Gb/Lan 1000/4xUSB 2.0/CardReader 4x1/Mb+Kb, ОС Win 7/10 pro, Видеокарта NVIDIA GeForce GT 730) комплект ""клавиатура-""мышь""")</f>
        <v>Сервер контроля кассовых операций Видеомаркет (Core i5/8192Mb/250Gb/Lan 1000/4xUSB 2.0/CardReader 4x1/Mb+Kb, ОС Win 7/10 pro, Видеокарта NVIDIA GeForce GT 730) комплект "клавиатура-"мышь"</v>
      </c>
      <c r="G5434" s="22" t="s">
        <v>55</v>
      </c>
      <c r="H5434" s="22" t="s">
        <v>55</v>
      </c>
      <c r="I5434" s="26">
        <v>43648.745347222197</v>
      </c>
      <c r="J5434" s="28" t="s">
        <v>52</v>
      </c>
      <c r="K5434" s="28" t="s">
        <v>52</v>
      </c>
      <c r="L5434" s="28" t="s">
        <v>52</v>
      </c>
      <c r="M5434" s="28" t="s">
        <v>52</v>
      </c>
      <c r="N5434" s="28" t="s">
        <v>52</v>
      </c>
    </row>
    <row r="5435" spans="1:14" x14ac:dyDescent="0.15">
      <c r="A5435" s="23" t="str">
        <f t="shared" si="233"/>
        <v>АО "ТОРГОВЫЙ ДОМ "ПЕРЕКРЕСТОК"</v>
      </c>
      <c r="B5435" s="24" t="s">
        <v>6999</v>
      </c>
      <c r="C5435" s="25">
        <v>0</v>
      </c>
      <c r="D5435" s="22" t="s">
        <v>7006</v>
      </c>
      <c r="E5435" s="22" t="s">
        <v>208</v>
      </c>
      <c r="F5435" s="23" t="str">
        <f>HYPERLINK("https://www.spark-marketing.ru/Card/Lot/71850771", "LTV RTM-162 00 16-канальный TVI/AHD/CVBS/IP видеорегистратор, 720p: 400 к/c, 1080p: 200 к/c, вых. BNC/VGA/HDMI")</f>
        <v>LTV RTM-162 00 16-канальный TVI/AHD/CVBS/IP видеорегистратор, 720p: 400 к/c, 1080p: 200 к/c, вых. BNC/VGA/HDMI</v>
      </c>
      <c r="G5435" s="22" t="s">
        <v>55</v>
      </c>
      <c r="H5435" s="22" t="s">
        <v>55</v>
      </c>
      <c r="I5435" s="26">
        <v>43648.744490740697</v>
      </c>
      <c r="J5435" s="28" t="s">
        <v>52</v>
      </c>
      <c r="K5435" s="28" t="s">
        <v>52</v>
      </c>
      <c r="L5435" s="28" t="s">
        <v>52</v>
      </c>
      <c r="M5435" s="28" t="s">
        <v>52</v>
      </c>
      <c r="N5435" s="28" t="s">
        <v>52</v>
      </c>
    </row>
    <row r="5436" spans="1:14" x14ac:dyDescent="0.15">
      <c r="A5436" s="23" t="str">
        <f t="shared" si="233"/>
        <v>АО "ТОРГОВЫЙ ДОМ "ПЕРЕКРЕСТОК"</v>
      </c>
      <c r="B5436" s="24" t="s">
        <v>6999</v>
      </c>
      <c r="C5436" s="25">
        <v>0</v>
      </c>
      <c r="D5436" s="22" t="s">
        <v>7000</v>
      </c>
      <c r="E5436" s="22" t="s">
        <v>208</v>
      </c>
      <c r="F5436" s="23" t="str">
        <f>HYPERLINK("https://www.spark-marketing.ru/Card/Lot/71850238", "ПО ВидеоМаркет (сервер)")</f>
        <v>ПО ВидеоМаркет (сервер)</v>
      </c>
      <c r="G5436" s="22" t="s">
        <v>55</v>
      </c>
      <c r="H5436" s="22" t="s">
        <v>55</v>
      </c>
      <c r="I5436" s="26">
        <v>43648.7443055556</v>
      </c>
      <c r="J5436" s="28" t="s">
        <v>52</v>
      </c>
      <c r="K5436" s="28" t="s">
        <v>52</v>
      </c>
      <c r="L5436" s="28" t="s">
        <v>52</v>
      </c>
      <c r="M5436" s="28" t="s">
        <v>52</v>
      </c>
      <c r="N5436" s="28" t="s">
        <v>52</v>
      </c>
    </row>
    <row r="5437" spans="1:14" x14ac:dyDescent="0.15">
      <c r="A5437" s="23" t="str">
        <f t="shared" si="233"/>
        <v>АО "ТОРГОВЫЙ ДОМ "ПЕРЕКРЕСТОК"</v>
      </c>
      <c r="B5437" s="24" t="s">
        <v>6999</v>
      </c>
      <c r="C5437" s="25">
        <v>0</v>
      </c>
      <c r="D5437" s="22" t="s">
        <v>7007</v>
      </c>
      <c r="E5437" s="22" t="s">
        <v>208</v>
      </c>
      <c r="F5437" s="23" t="str">
        <f>HYPERLINK("https://www.spark-marketing.ru/Card/Lot/71854149", "Камера видеонаблюдения HikVision DS-2DE4225W-DE PTZ")</f>
        <v>Камера видеонаблюдения HikVision DS-2DE4225W-DE PTZ</v>
      </c>
      <c r="G5437" s="22" t="s">
        <v>55</v>
      </c>
      <c r="H5437" s="22" t="s">
        <v>55</v>
      </c>
      <c r="I5437" s="26">
        <v>43648.745219907403</v>
      </c>
      <c r="J5437" s="28" t="s">
        <v>52</v>
      </c>
      <c r="K5437" s="28" t="s">
        <v>52</v>
      </c>
      <c r="L5437" s="28" t="s">
        <v>52</v>
      </c>
      <c r="M5437" s="28" t="s">
        <v>52</v>
      </c>
      <c r="N5437" s="28" t="s">
        <v>52</v>
      </c>
    </row>
    <row r="5438" spans="1:14" x14ac:dyDescent="0.15">
      <c r="A5438" s="23" t="str">
        <f t="shared" si="233"/>
        <v>АО "ТОРГОВЫЙ ДОМ "ПЕРЕКРЕСТОК"</v>
      </c>
      <c r="B5438" s="24" t="s">
        <v>6999</v>
      </c>
      <c r="C5438" s="25">
        <v>0</v>
      </c>
      <c r="D5438" s="22" t="s">
        <v>7005</v>
      </c>
      <c r="E5438" s="22" t="s">
        <v>208</v>
      </c>
      <c r="F5438" s="23" t="str">
        <f>HYPERLINK("https://www.spark-marketing.ru/Card/Lot/71853868", "Камера видеонаблюдения HikVision DS-2CD2623G0-IZS (2.8-12mm) motor-zoom")</f>
        <v>Камера видеонаблюдения HikVision DS-2CD2623G0-IZS (2.8-12mm) motor-zoom</v>
      </c>
      <c r="G5438" s="22" t="s">
        <v>55</v>
      </c>
      <c r="H5438" s="22" t="s">
        <v>55</v>
      </c>
      <c r="I5438" s="26">
        <v>43648.745069444398</v>
      </c>
      <c r="J5438" s="28" t="s">
        <v>52</v>
      </c>
      <c r="K5438" s="28" t="s">
        <v>52</v>
      </c>
      <c r="L5438" s="28" t="s">
        <v>52</v>
      </c>
      <c r="M5438" s="28" t="s">
        <v>52</v>
      </c>
      <c r="N5438" s="28" t="s">
        <v>52</v>
      </c>
    </row>
    <row r="5439" spans="1:14" x14ac:dyDescent="0.15">
      <c r="A5439" s="23" t="str">
        <f t="shared" si="233"/>
        <v>АО "ТОРГОВЫЙ ДОМ "ПЕРЕКРЕСТОК"</v>
      </c>
      <c r="B5439" s="24" t="s">
        <v>6999</v>
      </c>
      <c r="C5439" s="25">
        <v>0</v>
      </c>
      <c r="D5439" s="22" t="s">
        <v>7003</v>
      </c>
      <c r="E5439" s="22" t="s">
        <v>208</v>
      </c>
      <c r="F5439" s="23" t="str">
        <f>HYPERLINK("https://www.spark-marketing.ru/Card/Lot/71851728", "LTV-BMW-147 (GL-213), кронштейн для корпусных видеокамер, белый, пластиковый, длина 147 мм")</f>
        <v>LTV-BMW-147 (GL-213), кронштейн для корпусных видеокамер, белый, пластиковый, длина 147 мм</v>
      </c>
      <c r="G5439" s="22" t="s">
        <v>55</v>
      </c>
      <c r="H5439" s="22" t="s">
        <v>55</v>
      </c>
      <c r="I5439" s="26">
        <v>43648.744791666701</v>
      </c>
      <c r="J5439" s="28" t="s">
        <v>52</v>
      </c>
      <c r="K5439" s="28" t="s">
        <v>52</v>
      </c>
      <c r="L5439" s="28" t="s">
        <v>52</v>
      </c>
      <c r="M5439" s="28" t="s">
        <v>52</v>
      </c>
      <c r="N5439" s="28" t="s">
        <v>52</v>
      </c>
    </row>
    <row r="5440" spans="1:14" x14ac:dyDescent="0.15">
      <c r="A5440" s="23" t="str">
        <f t="shared" si="233"/>
        <v>АО "ТОРГОВЫЙ ДОМ "ПЕРЕКРЕСТОК"</v>
      </c>
      <c r="B5440" s="24" t="s">
        <v>6999</v>
      </c>
      <c r="C5440" s="25">
        <v>0</v>
      </c>
      <c r="D5440" s="22" t="s">
        <v>7008</v>
      </c>
      <c r="E5440" s="22" t="s">
        <v>208</v>
      </c>
      <c r="F5440" s="23" t="str">
        <f>HYPERLINK("https://www.spark-marketing.ru/Card/Lot/71854822", "AC-TA381IR2 Компактная купольная 2МП TVI видеокамера. Разрешение 1080P, матрица 1/2.8"" CMOS SONY, Цвет: 0.05 Лк (F1.8) / ЧБ: 0 Лк (ИК вкл.), объектив 3.6мм, режим «День/Ночь», механический ИК-фильтр, 3D-NR, DWDR, OSD, питание 12В DC, потребляемый то...")</f>
        <v>AC-TA381IR2 Компактная купольная 2МП TVI видеокамера. Разрешение 1080P, матрица 1/2.8" CMOS SONY, Цвет: 0.05 Лк (F1.8) / ЧБ: 0 Лк (ИК вкл.), объектив 3.6мм, режим «День/Ночь», механический ИК-фильтр, 3D-NR, DWDR, OSD, питание 12В DC, потребляемый то...</v>
      </c>
      <c r="G5440" s="22" t="s">
        <v>55</v>
      </c>
      <c r="H5440" s="22" t="s">
        <v>55</v>
      </c>
      <c r="I5440" s="26">
        <v>43648.745509259301</v>
      </c>
      <c r="J5440" s="28" t="s">
        <v>52</v>
      </c>
      <c r="K5440" s="28" t="s">
        <v>52</v>
      </c>
      <c r="L5440" s="28" t="s">
        <v>52</v>
      </c>
      <c r="M5440" s="28" t="s">
        <v>52</v>
      </c>
      <c r="N5440" s="28" t="s">
        <v>52</v>
      </c>
    </row>
    <row r="5441" spans="1:14" x14ac:dyDescent="0.15">
      <c r="A5441" s="23" t="str">
        <f t="shared" si="233"/>
        <v>АО "ТОРГОВЫЙ ДОМ "ПЕРЕКРЕСТОК"</v>
      </c>
      <c r="B5441" s="24" t="s">
        <v>6999</v>
      </c>
      <c r="C5441" s="25">
        <v>0</v>
      </c>
      <c r="D5441" s="22" t="s">
        <v>7005</v>
      </c>
      <c r="E5441" s="22" t="s">
        <v>208</v>
      </c>
      <c r="F5441" s="23" t="str">
        <f>HYPERLINK("https://www.spark-marketing.ru/Card/Lot/71853860", "Камера видеонаблюдения HikVision DS-2DE4225W-DE3 PTZ")</f>
        <v>Камера видеонаблюдения HikVision DS-2DE4225W-DE3 PTZ</v>
      </c>
      <c r="G5441" s="22" t="s">
        <v>55</v>
      </c>
      <c r="H5441" s="22" t="s">
        <v>55</v>
      </c>
      <c r="I5441" s="26">
        <v>43648.745069444398</v>
      </c>
      <c r="J5441" s="28" t="s">
        <v>52</v>
      </c>
      <c r="K5441" s="28" t="s">
        <v>52</v>
      </c>
      <c r="L5441" s="28" t="s">
        <v>52</v>
      </c>
      <c r="M5441" s="28" t="s">
        <v>52</v>
      </c>
      <c r="N5441" s="28" t="s">
        <v>52</v>
      </c>
    </row>
    <row r="5442" spans="1:14" x14ac:dyDescent="0.15">
      <c r="A5442" s="23" t="str">
        <f t="shared" si="233"/>
        <v>АО "ТОРГОВЫЙ ДОМ "ПЕРЕКРЕСТОК"</v>
      </c>
      <c r="B5442" s="24" t="s">
        <v>6999</v>
      </c>
      <c r="C5442" s="25">
        <v>0</v>
      </c>
      <c r="D5442" s="22" t="s">
        <v>7007</v>
      </c>
      <c r="E5442" s="22" t="s">
        <v>208</v>
      </c>
      <c r="F5442" s="23" t="str">
        <f>HYPERLINK("https://www.spark-marketing.ru/Card/Lot/71852850", "AC-TA281IR2 Уличная 2МП TVI видеокамера в компактном кожухе. Разрешение 1080P, матрица 1/2.8"" CMOS SONY, Цвет: 0.05 Лк (F1.8) / ЧБ: 0 Лк (ИК вкл.), объектив 3.6мм, режим «День/Ночь», механический ИК-фильтр, 3D-NR, DWDR, OSD, питание 12В DC, потребля...")</f>
        <v>AC-TA281IR2 Уличная 2МП TVI видеокамера в компактном кожухе. Разрешение 1080P, матрица 1/2.8" CMOS SONY, Цвет: 0.05 Лк (F1.8) / ЧБ: 0 Лк (ИК вкл.), объектив 3.6мм, режим «День/Ночь», механический ИК-фильтр, 3D-NR, DWDR, OSD, питание 12В DC, потребля...</v>
      </c>
      <c r="G5442" s="22" t="s">
        <v>55</v>
      </c>
      <c r="H5442" s="22" t="s">
        <v>55</v>
      </c>
      <c r="I5442" s="26">
        <v>43648.745219907403</v>
      </c>
      <c r="J5442" s="28" t="s">
        <v>52</v>
      </c>
      <c r="K5442" s="28" t="s">
        <v>52</v>
      </c>
      <c r="L5442" s="28" t="s">
        <v>52</v>
      </c>
      <c r="M5442" s="28" t="s">
        <v>52</v>
      </c>
      <c r="N5442" s="28" t="s">
        <v>52</v>
      </c>
    </row>
    <row r="5443" spans="1:14" x14ac:dyDescent="0.15">
      <c r="A5443" s="23" t="str">
        <f t="shared" si="233"/>
        <v>АО "ТОРГОВЫЙ ДОМ "ПЕРЕКРЕСТОК"</v>
      </c>
      <c r="B5443" s="24" t="s">
        <v>6999</v>
      </c>
      <c r="C5443" s="25">
        <v>0</v>
      </c>
      <c r="D5443" s="22" t="s">
        <v>7004</v>
      </c>
      <c r="E5443" s="22" t="s">
        <v>208</v>
      </c>
      <c r="F5443" s="23" t="str">
        <f>HYPERLINK("https://www.spark-marketing.ru/Card/Lot/71853110", "LTV CTM-220 64, Видеокамера TVI, PTZ уличная, 1080p, DWDR, 3D DNR, BLC, EIS , объектив 4-120mm х30, ИК до 120м, IP66, -30°С+65°C, 24В (AC)")</f>
        <v>LTV CTM-220 64, Видеокамера TVI, PTZ уличная, 1080p, DWDR, 3D DNR, BLC, EIS , объектив 4-120mm х30, ИК до 120м, IP66, -30°С+65°C, 24В (AC)</v>
      </c>
      <c r="G5443" s="22" t="s">
        <v>55</v>
      </c>
      <c r="H5443" s="22" t="s">
        <v>55</v>
      </c>
      <c r="I5443" s="26">
        <v>43648.745347222197</v>
      </c>
      <c r="J5443" s="28" t="s">
        <v>52</v>
      </c>
      <c r="K5443" s="28" t="s">
        <v>52</v>
      </c>
      <c r="L5443" s="28" t="s">
        <v>52</v>
      </c>
      <c r="M5443" s="28" t="s">
        <v>52</v>
      </c>
      <c r="N5443" s="28" t="s">
        <v>52</v>
      </c>
    </row>
    <row r="5444" spans="1:14" x14ac:dyDescent="0.15">
      <c r="A5444" s="23" t="str">
        <f>HYPERLINK("https://www.spark-marketing.ru/Card/Person/4349635", "АО ""ЦТК""")</f>
        <v>АО "ЦТК"</v>
      </c>
      <c r="B5444" s="24" t="s">
        <v>7016</v>
      </c>
      <c r="C5444" s="25">
        <v>11340000</v>
      </c>
      <c r="D5444" s="22" t="s">
        <v>7017</v>
      </c>
      <c r="E5444" s="22" t="s">
        <v>7018</v>
      </c>
      <c r="F5444" s="23" t="str">
        <f>HYPERLINK("https://www.spark-marketing.ru/Card/Lot/71846052", "Оказание услуг по охране имущества")</f>
        <v>Оказание услуг по охране имущества</v>
      </c>
      <c r="G5444" s="22" t="s">
        <v>55</v>
      </c>
      <c r="H5444" s="22" t="s">
        <v>55</v>
      </c>
      <c r="I5444" s="26">
        <v>43648.658020833303</v>
      </c>
      <c r="J5444" s="28" t="s">
        <v>52</v>
      </c>
      <c r="K5444" s="28" t="s">
        <v>52</v>
      </c>
      <c r="L5444" s="28" t="s">
        <v>52</v>
      </c>
      <c r="M5444" s="28" t="s">
        <v>52</v>
      </c>
      <c r="N5444" s="28" t="s">
        <v>52</v>
      </c>
    </row>
    <row r="5445" spans="1:14" x14ac:dyDescent="0.2">
      <c r="A5445" s="23" t="str">
        <f>HYPERLINK("https://www.spark-marketing.ru/Card/Person/124724", "ГАУЗ АО ""БЛАГОВЕЩЕНСКАЯ ГКБ""")</f>
        <v>ГАУЗ АО "БЛАГОВЕЩЕНСКАЯ ГКБ"</v>
      </c>
      <c r="B5445" s="24" t="s">
        <v>7019</v>
      </c>
      <c r="C5445" s="25">
        <v>1497004</v>
      </c>
      <c r="D5445" s="22" t="s">
        <v>7020</v>
      </c>
      <c r="E5445" s="22" t="s">
        <v>144</v>
      </c>
      <c r="F5445" s="23" t="str">
        <f>HYPERLINK("https://www.spark-marketing.ru/Card/Lot/71837203", "оказание услуг по физической охране имущества и поддержанию общественного правопорядка на объектах охраны ГАУЗ АО «Благовещенская городская клиническая больница»")</f>
        <v>оказание услуг по физической охране имущества и поддержанию общественного правопорядка на объектах охраны ГАУЗ АО «Благовещенская городская клиническая больница»</v>
      </c>
      <c r="G5445" s="22" t="s">
        <v>230</v>
      </c>
      <c r="H5445" s="22" t="s">
        <v>230</v>
      </c>
      <c r="I5445" s="26">
        <v>43648.6015162037</v>
      </c>
      <c r="J5445" s="28" t="s">
        <v>52</v>
      </c>
      <c r="K5445" s="28" t="s">
        <v>52</v>
      </c>
      <c r="L5445" s="22" t="s">
        <v>10</v>
      </c>
      <c r="M5445" s="25">
        <v>1495920</v>
      </c>
      <c r="N5445" s="27">
        <v>7.2411296162201298E-4</v>
      </c>
    </row>
    <row r="5446" spans="1:14" x14ac:dyDescent="0.15">
      <c r="A5446" s="23" t="str">
        <f>HYPERLINK("https://www.spark-marketing.ru/Card/Person/4132021", "МАДОУ Д/С ""МАРГАРИТКА""")</f>
        <v>МАДОУ Д/С "МАРГАРИТКА"</v>
      </c>
      <c r="B5446" s="24" t="s">
        <v>7021</v>
      </c>
      <c r="C5446" s="25">
        <v>75000</v>
      </c>
      <c r="D5446" s="22" t="s">
        <v>7022</v>
      </c>
      <c r="E5446" s="22" t="s">
        <v>103</v>
      </c>
      <c r="F5446" s="23" t="str">
        <f>HYPERLINK("https://www.spark-marketing.ru/Card/Lot/71839845", "Оказание услуг по техническому обслуживанию и восстановлению системы охранного телевидения (видеонаблюдения) для нужд МАДОУ д/с «Маргаритка»")</f>
        <v>Оказание услуг по техническому обслуживанию и восстановлению системы охранного телевидения (видеонаблюдения) для нужд МАДОУ д/с «Маргаритка»</v>
      </c>
      <c r="G5446" s="22" t="s">
        <v>50</v>
      </c>
      <c r="H5446" s="22" t="s">
        <v>6267</v>
      </c>
      <c r="I5446" s="26">
        <v>43648.472407407397</v>
      </c>
      <c r="J5446" s="28" t="s">
        <v>52</v>
      </c>
      <c r="K5446" s="28" t="s">
        <v>52</v>
      </c>
      <c r="L5446" s="28" t="s">
        <v>52</v>
      </c>
      <c r="M5446" s="28" t="s">
        <v>52</v>
      </c>
      <c r="N5446" s="28" t="s">
        <v>52</v>
      </c>
    </row>
    <row r="5447" spans="1:14" x14ac:dyDescent="0.15">
      <c r="A5447" s="23" t="str">
        <f>HYPERLINK("https://www.spark-marketing.ru/Card/Person/547159", "АО ""ТЮМЕНЬЭНЕРГО""")</f>
        <v>АО "ТЮМЕНЬЭНЕРГО"</v>
      </c>
      <c r="B5447" s="24" t="s">
        <v>1577</v>
      </c>
      <c r="C5447" s="25">
        <v>2418453.35</v>
      </c>
      <c r="D5447" s="22" t="s">
        <v>7023</v>
      </c>
      <c r="E5447" s="22" t="s">
        <v>996</v>
      </c>
      <c r="F5447" s="23" t="str">
        <f>HYPERLINK("https://www.spark-marketing.ru/Card/Lot/71837443", "Выполнение работ по реконструкции ПС 110/35/6 кВ КНС-3 (установка инженерно-технических средств охраны по программе ""Антитеррор"") для нужд филиала АО ""Тюменьэнерго"" Нижневартовские электрические сети")</f>
        <v>Выполнение работ по реконструкции ПС 110/35/6 кВ КНС-3 (установка инженерно-технических средств охраны по программе "Антитеррор") для нужд филиала АО "Тюменьэнерго" Нижневартовские электрические сети</v>
      </c>
      <c r="G5447" s="22" t="s">
        <v>119</v>
      </c>
      <c r="H5447" s="22" t="s">
        <v>463</v>
      </c>
      <c r="I5447" s="26">
        <v>43648.472685185203</v>
      </c>
      <c r="J5447" s="28" t="s">
        <v>52</v>
      </c>
      <c r="K5447" s="28" t="s">
        <v>52</v>
      </c>
      <c r="L5447" s="28" t="s">
        <v>52</v>
      </c>
      <c r="M5447" s="28" t="s">
        <v>52</v>
      </c>
      <c r="N5447" s="28" t="s">
        <v>52</v>
      </c>
    </row>
    <row r="5448" spans="1:14" x14ac:dyDescent="0.15">
      <c r="A5448" s="23" t="str">
        <f>HYPERLINK("https://www.spark-marketing.ru/Card/Person/15678", "САНКТ-ПЕТЕРБУРГСКИЙ УНИВЕРСИТЕТ МВД РОССИИ,ФГКОУ ВО СПБУ МВД РОССИИ,СПБУ МВД РОССИИ")</f>
        <v>САНКТ-ПЕТЕРБУРГСКИЙ УНИВЕРСИТЕТ МВД РОССИИ,ФГКОУ ВО СПБУ МВД РОССИИ,СПБУ МВД РОССИИ</v>
      </c>
      <c r="B5448" s="24" t="s">
        <v>5979</v>
      </c>
      <c r="C5448" s="25">
        <v>158417.70000000001</v>
      </c>
      <c r="D5448" s="22" t="s">
        <v>7024</v>
      </c>
      <c r="E5448" s="22" t="s">
        <v>107</v>
      </c>
      <c r="F5448" s="23" t="str">
        <f>HYPERLINK("https://www.spark-marketing.ru/Card/Lot/71848007", "Техническое обслуживание инженерно-технических средств охраны, 190 шт")</f>
        <v>Техническое обслуживание инженерно-технических средств охраны, 190 шт</v>
      </c>
      <c r="G5448" s="22" t="s">
        <v>89</v>
      </c>
      <c r="H5448" s="22" t="s">
        <v>89</v>
      </c>
      <c r="I5448" s="26">
        <v>43648.473703703698</v>
      </c>
      <c r="J5448" s="28" t="s">
        <v>52</v>
      </c>
      <c r="K5448" s="28" t="s">
        <v>52</v>
      </c>
      <c r="L5448" s="28" t="s">
        <v>52</v>
      </c>
      <c r="M5448" s="28" t="s">
        <v>52</v>
      </c>
      <c r="N5448" s="28" t="s">
        <v>52</v>
      </c>
    </row>
    <row r="5449" spans="1:14" x14ac:dyDescent="0.15">
      <c r="A5449" s="23" t="str">
        <f>HYPERLINK("https://www.spark-marketing.ru/Card/Person/1043229", "ОМВД РОССИИ ПО ЗНАМЕНСКОМУ РАЙОНУ")</f>
        <v>ОМВД РОССИИ ПО ЗНАМЕНСКОМУ РАЙОНУ</v>
      </c>
      <c r="B5449" s="24" t="s">
        <v>7025</v>
      </c>
      <c r="C5449" s="25">
        <v>24000</v>
      </c>
      <c r="D5449" s="22" t="s">
        <v>7026</v>
      </c>
      <c r="E5449" s="22" t="s">
        <v>53</v>
      </c>
      <c r="F5449" s="23" t="str">
        <f>HYPERLINK("https://www.spark-marketing.ru/Card/Lot/71848074", "выполнение работ по монтажу охранной сигнализации и кнопки тревожной сигнализации")</f>
        <v>выполнение работ по монтажу охранной сигнализации и кнопки тревожной сигнализации</v>
      </c>
      <c r="G5449" s="22" t="s">
        <v>521</v>
      </c>
      <c r="H5449" s="22" t="s">
        <v>521</v>
      </c>
      <c r="I5449" s="26">
        <v>43648.478611111103</v>
      </c>
      <c r="J5449" s="28" t="s">
        <v>52</v>
      </c>
      <c r="K5449" s="28" t="s">
        <v>52</v>
      </c>
      <c r="L5449" s="28" t="s">
        <v>52</v>
      </c>
      <c r="M5449" s="28" t="s">
        <v>52</v>
      </c>
      <c r="N5449" s="28" t="s">
        <v>52</v>
      </c>
    </row>
    <row r="5450" spans="1:14" x14ac:dyDescent="0.15">
      <c r="A5450" s="23" t="str">
        <f>HYPERLINK("https://www.spark-marketing.ru/Card/Person/268236", "МЕЖРАЙОННАЯ ИФНС РОССИИ № 4 ПО ИВАНОВСКОЙ ОБЛАСТИ")</f>
        <v>МЕЖРАЙОННАЯ ИФНС РОССИИ № 4 ПО ИВАНОВСКОЙ ОБЛАСТИ</v>
      </c>
      <c r="B5450" s="24" t="s">
        <v>7027</v>
      </c>
      <c r="C5450" s="25">
        <v>20130.86</v>
      </c>
      <c r="D5450" s="22" t="s">
        <v>7028</v>
      </c>
      <c r="E5450" s="22" t="s">
        <v>53</v>
      </c>
      <c r="F5450" s="23" t="str">
        <f>HYPERLINK("https://www.spark-marketing.ru/Card/Lot/71838541", "Техническое обслуживание комплекса технических средств охраны")</f>
        <v>Техническое обслуживание комплекса технических средств охраны</v>
      </c>
      <c r="G5450" s="22" t="s">
        <v>340</v>
      </c>
      <c r="H5450" s="22" t="s">
        <v>3051</v>
      </c>
      <c r="I5450" s="26">
        <v>43648.429039351897</v>
      </c>
      <c r="J5450" s="28" t="s">
        <v>52</v>
      </c>
      <c r="K5450" s="28" t="s">
        <v>52</v>
      </c>
      <c r="L5450" s="28" t="s">
        <v>52</v>
      </c>
      <c r="M5450" s="28" t="s">
        <v>52</v>
      </c>
      <c r="N5450" s="28" t="s">
        <v>52</v>
      </c>
    </row>
    <row r="5451" spans="1:14" x14ac:dyDescent="0.15">
      <c r="A5451" s="23" t="str">
        <f>HYPERLINK("https://www.spark-marketing.ru/Card/Person/24252", "МЕЖРАЙОННАЯ ИФНС РОССИИ № 2 ПО Г. ЧИТЕ")</f>
        <v>МЕЖРАЙОННАЯ ИФНС РОССИИ № 2 ПО Г. ЧИТЕ</v>
      </c>
      <c r="B5451" s="24" t="s">
        <v>7029</v>
      </c>
      <c r="C5451" s="25">
        <v>24000</v>
      </c>
      <c r="D5451" s="22" t="s">
        <v>7030</v>
      </c>
      <c r="E5451" s="22" t="s">
        <v>53</v>
      </c>
      <c r="F5451" s="23" t="str">
        <f>HYPERLINK("https://www.spark-marketing.ru/Card/Lot/71838533", "Усуги охраны (тревожная кнопка)")</f>
        <v>Усуги охраны (тревожная кнопка)</v>
      </c>
      <c r="G5451" s="22" t="s">
        <v>473</v>
      </c>
      <c r="H5451" s="22" t="s">
        <v>476</v>
      </c>
      <c r="I5451" s="26">
        <v>43648.427245370403</v>
      </c>
      <c r="J5451" s="28" t="s">
        <v>52</v>
      </c>
      <c r="K5451" s="28" t="s">
        <v>52</v>
      </c>
      <c r="L5451" s="28" t="s">
        <v>52</v>
      </c>
      <c r="M5451" s="28" t="s">
        <v>52</v>
      </c>
      <c r="N5451" s="28" t="s">
        <v>52</v>
      </c>
    </row>
    <row r="5452" spans="1:14" x14ac:dyDescent="0.15">
      <c r="A5452" s="23" t="str">
        <f>HYPERLINK("https://www.spark-marketing.ru/Card/Person/72957", "МЕЖРАЙОННАЯ ИФНС РОССИИ №2 ПО РЕСПУБЛИКЕ ХАКАСИЯ")</f>
        <v>МЕЖРАЙОННАЯ ИФНС РОССИИ №2 ПО РЕСПУБЛИКЕ ХАКАСИЯ</v>
      </c>
      <c r="B5452" s="24" t="s">
        <v>7031</v>
      </c>
      <c r="C5452" s="25">
        <v>64940.4</v>
      </c>
      <c r="D5452" s="22" t="s">
        <v>7032</v>
      </c>
      <c r="E5452" s="22" t="s">
        <v>53</v>
      </c>
      <c r="F5452" s="23" t="str">
        <f>HYPERLINK("https://www.spark-marketing.ru/Card/Lot/71838613", "Охранные услуги: экстренный выезд группы задержания")</f>
        <v>Охранные услуги: экстренный выезд группы задержания</v>
      </c>
      <c r="G5452" s="22" t="s">
        <v>1041</v>
      </c>
      <c r="H5452" s="22" t="s">
        <v>7033</v>
      </c>
      <c r="I5452" s="26">
        <v>43648.4466203704</v>
      </c>
      <c r="J5452" s="28" t="s">
        <v>52</v>
      </c>
      <c r="K5452" s="28" t="s">
        <v>52</v>
      </c>
      <c r="L5452" s="28" t="s">
        <v>52</v>
      </c>
      <c r="M5452" s="28" t="s">
        <v>52</v>
      </c>
      <c r="N5452" s="28" t="s">
        <v>52</v>
      </c>
    </row>
    <row r="5453" spans="1:14" x14ac:dyDescent="0.15">
      <c r="A5453" s="23" t="str">
        <f>HYPERLINK("https://www.spark-marketing.ru/Card/Person/547159", "АО ""ТЮМЕНЬЭНЕРГО""")</f>
        <v>АО "ТЮМЕНЬЭНЕРГО"</v>
      </c>
      <c r="B5453" s="24" t="s">
        <v>1577</v>
      </c>
      <c r="C5453" s="25">
        <v>3148218.89</v>
      </c>
      <c r="D5453" s="22" t="s">
        <v>7034</v>
      </c>
      <c r="E5453" s="22" t="s">
        <v>996</v>
      </c>
      <c r="F5453" s="23" t="str">
        <f>HYPERLINK("https://www.spark-marketing.ru/Card/Lot/71837403", "Выполнение работ по реконструкции ПС 35/6 кВ Стройиндустриальная (установка инженерно-технических средств охраны по программе ""Антитеррор"") для нужд филиала АО ""Тюменьэнерго"" Нижневартовские электрические сети")</f>
        <v>Выполнение работ по реконструкции ПС 35/6 кВ Стройиндустриальная (установка инженерно-технических средств охраны по программе "Антитеррор") для нужд филиала АО "Тюменьэнерго" Нижневартовские электрические сети</v>
      </c>
      <c r="G5453" s="22" t="s">
        <v>893</v>
      </c>
      <c r="H5453" s="22" t="s">
        <v>893</v>
      </c>
      <c r="I5453" s="26">
        <v>43648.396064814799</v>
      </c>
      <c r="J5453" s="28" t="s">
        <v>52</v>
      </c>
      <c r="K5453" s="28" t="s">
        <v>52</v>
      </c>
      <c r="L5453" s="28" t="s">
        <v>52</v>
      </c>
      <c r="M5453" s="28" t="s">
        <v>52</v>
      </c>
      <c r="N5453" s="28" t="s">
        <v>52</v>
      </c>
    </row>
    <row r="5454" spans="1:14" x14ac:dyDescent="0.15">
      <c r="A5454" s="23" t="str">
        <f>HYPERLINK("https://www.spark-marketing.ru/Card/Person/52288", "МО МВД РОССИИ ""КАМЕНСК - УРАЛЬСКИЙ""")</f>
        <v>МО МВД РОССИИ "КАМЕНСК - УРАЛЬСКИЙ"</v>
      </c>
      <c r="B5454" s="24" t="s">
        <v>5955</v>
      </c>
      <c r="C5454" s="25">
        <v>27200.59</v>
      </c>
      <c r="D5454" s="22" t="s">
        <v>7035</v>
      </c>
      <c r="E5454" s="22" t="s">
        <v>53</v>
      </c>
      <c r="F5454" s="23" t="str">
        <f>HYPERLINK("https://www.spark-marketing.ru/Card/Lot/71837639", "Услуги по техническому обслуживанию комплекса технических средств охраны")</f>
        <v>Услуги по техническому обслуживанию комплекса технических средств охраны</v>
      </c>
      <c r="G5454" s="22" t="s">
        <v>72</v>
      </c>
      <c r="H5454" s="22" t="s">
        <v>1423</v>
      </c>
      <c r="I5454" s="26">
        <v>43648.405567129601</v>
      </c>
      <c r="J5454" s="28" t="s">
        <v>52</v>
      </c>
      <c r="K5454" s="28" t="s">
        <v>52</v>
      </c>
      <c r="L5454" s="28" t="s">
        <v>52</v>
      </c>
      <c r="M5454" s="28" t="s">
        <v>52</v>
      </c>
      <c r="N5454" s="28" t="s">
        <v>52</v>
      </c>
    </row>
    <row r="5455" spans="1:14" x14ac:dyDescent="0.2">
      <c r="A5455" s="23" t="str">
        <f>HYPERLINK("https://www.spark-marketing.ru/Card/Person/264879", "АО ""КАСКАД-ЭНЕРГО""")</f>
        <v>АО "КАСКАД-ЭНЕРГО"</v>
      </c>
      <c r="B5455" s="24" t="s">
        <v>7036</v>
      </c>
      <c r="C5455" s="25">
        <v>530000</v>
      </c>
      <c r="D5455" s="22" t="s">
        <v>7037</v>
      </c>
      <c r="E5455" s="22" t="s">
        <v>854</v>
      </c>
      <c r="F5455" s="23" t="str">
        <f>HYPERLINK("https://www.spark-marketing.ru/Card/Lot/71835283", "Разработка рабочей и сметной документации инженерно-технических средств охраны объекта ТЭК АО ""Каскад-энерго""")</f>
        <v>Разработка рабочей и сметной документации инженерно-технических средств охраны объекта ТЭК АО "Каскад-энерго"</v>
      </c>
      <c r="G5455" s="22" t="s">
        <v>367</v>
      </c>
      <c r="H5455" s="22" t="s">
        <v>367</v>
      </c>
      <c r="I5455" s="26">
        <v>43648.388796296298</v>
      </c>
      <c r="J5455" s="28" t="s">
        <v>52</v>
      </c>
      <c r="K5455" s="28" t="s">
        <v>52</v>
      </c>
      <c r="L5455" s="22" t="s">
        <v>10</v>
      </c>
      <c r="M5455" s="25">
        <v>333000</v>
      </c>
      <c r="N5455" s="27">
        <v>0.37169811320754714</v>
      </c>
    </row>
    <row r="5456" spans="1:14" x14ac:dyDescent="0.15">
      <c r="A5456" s="23" t="str">
        <f>HYPERLINK("https://www.spark-marketing.ru/Card/Person/79654", "УПРАВЛЕНИЕ МИНЮСТА РОССИИ ПО ВЛАДИМИРСКОЙ ОБЛАСТИ")</f>
        <v>УПРАВЛЕНИЕ МИНЮСТА РОССИИ ПО ВЛАДИМИРСКОЙ ОБЛАСТИ</v>
      </c>
      <c r="B5456" s="24" t="s">
        <v>7038</v>
      </c>
      <c r="C5456" s="25">
        <v>98611.6</v>
      </c>
      <c r="D5456" s="22" t="s">
        <v>7039</v>
      </c>
      <c r="E5456" s="22" t="s">
        <v>53</v>
      </c>
      <c r="F5456" s="23" t="str">
        <f>HYPERLINK("https://www.spark-marketing.ru/Card/Lot/71837643", "Физическая охрана объекта, 577 чел.ч")</f>
        <v>Физическая охрана объекта, 577 чел.ч</v>
      </c>
      <c r="G5456" s="22" t="s">
        <v>145</v>
      </c>
      <c r="H5456" s="22" t="s">
        <v>146</v>
      </c>
      <c r="I5456" s="26">
        <v>43648.406400462998</v>
      </c>
      <c r="J5456" s="28" t="s">
        <v>52</v>
      </c>
      <c r="K5456" s="28" t="s">
        <v>52</v>
      </c>
      <c r="L5456" s="28" t="s">
        <v>52</v>
      </c>
      <c r="M5456" s="28" t="s">
        <v>52</v>
      </c>
      <c r="N5456" s="28" t="s">
        <v>52</v>
      </c>
    </row>
    <row r="5457" spans="1:14" x14ac:dyDescent="0.15">
      <c r="A5457" s="23" t="str">
        <f>HYPERLINK("https://www.spark-marketing.ru/Card/Person/51791", "ФГБУ САНАТОРИЙ ""ЮНОСТЬ"" МИНЗДРАВА РОССИИ")</f>
        <v>ФГБУ САНАТОРИЙ "ЮНОСТЬ" МИНЗДРАВА РОССИИ</v>
      </c>
      <c r="B5457" s="24" t="s">
        <v>7040</v>
      </c>
      <c r="C5457" s="25">
        <v>2023445.37</v>
      </c>
      <c r="D5457" s="22" t="s">
        <v>7041</v>
      </c>
      <c r="E5457" s="22" t="s">
        <v>84</v>
      </c>
      <c r="F5457" s="23" t="str">
        <f>HYPERLINK("https://www.spark-marketing.ru/Card/Lot/71837737", "Монтаж системы видеонаблюдения")</f>
        <v>Монтаж системы видеонаблюдения</v>
      </c>
      <c r="G5457" s="22" t="s">
        <v>132</v>
      </c>
      <c r="H5457" s="22" t="s">
        <v>1126</v>
      </c>
      <c r="I5457" s="26">
        <v>43648.368750000001</v>
      </c>
      <c r="J5457" s="28" t="s">
        <v>52</v>
      </c>
      <c r="K5457" s="28" t="s">
        <v>52</v>
      </c>
      <c r="L5457" s="28" t="s">
        <v>52</v>
      </c>
      <c r="M5457" s="28" t="s">
        <v>52</v>
      </c>
      <c r="N5457" s="28" t="s">
        <v>52</v>
      </c>
    </row>
    <row r="5458" spans="1:14" x14ac:dyDescent="0.15">
      <c r="A5458" s="23" t="str">
        <f>HYPERLINK("https://www.spark-marketing.ru/Card/Person/1049593", "ОМВД РОССИИ ПО ТЕВРИЗСКОМУ РАЙОНУ")</f>
        <v>ОМВД РОССИИ ПО ТЕВРИЗСКОМУ РАЙОНУ</v>
      </c>
      <c r="B5458" s="24" t="s">
        <v>7042</v>
      </c>
      <c r="C5458" s="25">
        <v>7000</v>
      </c>
      <c r="D5458" s="22" t="s">
        <v>7043</v>
      </c>
      <c r="E5458" s="22" t="s">
        <v>53</v>
      </c>
      <c r="F5458" s="23" t="str">
        <f>HYPERLINK("https://www.spark-marketing.ru/Card/Lot/71835597", "Услуги пультовой охраны с использованием тревожной кнопки, 2 шт")</f>
        <v>Услуги пультовой охраны с использованием тревожной кнопки, 2 шт</v>
      </c>
      <c r="G5458" s="22" t="s">
        <v>521</v>
      </c>
      <c r="H5458" s="22" t="s">
        <v>521</v>
      </c>
      <c r="I5458" s="26">
        <v>43648.319872685199</v>
      </c>
      <c r="J5458" s="28" t="s">
        <v>52</v>
      </c>
      <c r="K5458" s="28" t="s">
        <v>52</v>
      </c>
      <c r="L5458" s="28" t="s">
        <v>52</v>
      </c>
      <c r="M5458" s="28" t="s">
        <v>52</v>
      </c>
      <c r="N5458" s="28" t="s">
        <v>52</v>
      </c>
    </row>
    <row r="5459" spans="1:14" x14ac:dyDescent="0.15">
      <c r="A5459" s="23" t="str">
        <f>HYPERLINK("https://www.spark-marketing.ru/Card/Person/22327", "ГБУЗ ЛО ""РОЩИНСКАЯ МБ""")</f>
        <v>ГБУЗ ЛО "РОЩИНСКАЯ МБ"</v>
      </c>
      <c r="B5459" s="24" t="s">
        <v>7044</v>
      </c>
      <c r="C5459" s="25">
        <v>991200</v>
      </c>
      <c r="D5459" s="22" t="s">
        <v>7045</v>
      </c>
      <c r="E5459" s="22" t="s">
        <v>107</v>
      </c>
      <c r="F5459" s="23" t="str">
        <f>HYPERLINK("https://www.spark-marketing.ru/Card/Lot/71836026", "Оказание услуг по обслуживанию систем АПС, СОУЭ, видеонаблюдения")</f>
        <v>Оказание услуг по обслуживанию систем АПС, СОУЭ, видеонаблюдения</v>
      </c>
      <c r="G5459" s="22" t="s">
        <v>861</v>
      </c>
      <c r="H5459" s="22" t="s">
        <v>2792</v>
      </c>
      <c r="I5459" s="26">
        <v>43648.3</v>
      </c>
      <c r="J5459" s="23" t="str">
        <f>HYPERLINK("https://www.spark-marketing.ru/Card/Person/394730", "ООО ""СКБ""")</f>
        <v>ООО "СКБ"</v>
      </c>
      <c r="K5459" s="24" t="s">
        <v>7046</v>
      </c>
      <c r="L5459" s="22" t="s">
        <v>10</v>
      </c>
      <c r="M5459" s="28" t="s">
        <v>52</v>
      </c>
      <c r="N5459" s="28" t="s">
        <v>52</v>
      </c>
    </row>
    <row r="5460" spans="1:14" x14ac:dyDescent="0.15">
      <c r="A5460" s="23" t="str">
        <f>HYPERLINK("https://www.spark-marketing.ru/Card/Person/1007018", "ОМВД РОССИИ ПО ПАВЛОГРАДСКОМУ РАЙОНУ")</f>
        <v>ОМВД РОССИИ ПО ПАВЛОГРАДСКОМУ РАЙОНУ</v>
      </c>
      <c r="B5460" s="24" t="s">
        <v>7047</v>
      </c>
      <c r="C5460" s="25">
        <v>24000</v>
      </c>
      <c r="D5460" s="22" t="s">
        <v>7048</v>
      </c>
      <c r="E5460" s="22" t="s">
        <v>7049</v>
      </c>
      <c r="F5460" s="23" t="str">
        <f>HYPERLINK("https://www.spark-marketing.ru/Card/Lot/71834945", "Инженерное оборудование, Услуги")</f>
        <v>Инженерное оборудование, Услуги</v>
      </c>
      <c r="G5460" s="22" t="s">
        <v>521</v>
      </c>
      <c r="H5460" s="22" t="s">
        <v>7050</v>
      </c>
      <c r="I5460" s="26">
        <v>43648.292870370402</v>
      </c>
      <c r="J5460" s="28" t="s">
        <v>52</v>
      </c>
      <c r="K5460" s="28" t="s">
        <v>52</v>
      </c>
      <c r="L5460" s="28" t="s">
        <v>52</v>
      </c>
      <c r="M5460" s="28" t="s">
        <v>52</v>
      </c>
      <c r="N5460" s="28" t="s">
        <v>52</v>
      </c>
    </row>
    <row r="5461" spans="1:14" x14ac:dyDescent="0.15">
      <c r="A5461" s="23" t="str">
        <f>HYPERLINK("https://www.spark-marketing.ru/Card/Person/4345940", "ПАО ""АК БАРС"" БАНК")</f>
        <v>ПАО "АК БАРС" БАНК</v>
      </c>
      <c r="B5461" s="24" t="s">
        <v>1108</v>
      </c>
      <c r="C5461" s="25">
        <v>0</v>
      </c>
      <c r="D5461" s="22" t="s">
        <v>7051</v>
      </c>
      <c r="E5461" s="22" t="s">
        <v>1293</v>
      </c>
      <c r="F5461" s="23" t="str">
        <f>HYPERLINK("https://www.spark-marketing.ru/Card/Lot/71849363", "Система передачи звука для малых комнат.")</f>
        <v>Система передачи звука для малых комнат.</v>
      </c>
      <c r="G5461" s="22" t="s">
        <v>204</v>
      </c>
      <c r="H5461" s="22" t="s">
        <v>303</v>
      </c>
      <c r="I5461" s="26">
        <v>43648.6639236111</v>
      </c>
      <c r="J5461" s="28" t="s">
        <v>52</v>
      </c>
      <c r="K5461" s="28" t="s">
        <v>52</v>
      </c>
      <c r="L5461" s="28" t="s">
        <v>52</v>
      </c>
      <c r="M5461" s="28" t="s">
        <v>52</v>
      </c>
      <c r="N5461" s="28" t="s">
        <v>52</v>
      </c>
    </row>
    <row r="5462" spans="1:14" x14ac:dyDescent="0.15">
      <c r="A5462" s="23" t="str">
        <f>HYPERLINK("https://www.spark-marketing.ru/Card/Person/135431", "МБДОУ ""ДЕТСКИЙ САД ОБЩЕРАЗВИВАЮЩЕГО ВИДА ""СКАЗКА"" НМР РТ")</f>
        <v>МБДОУ "ДЕТСКИЙ САД ОБЩЕРАЗВИВАЮЩЕГО ВИДА "СКАЗКА" НМР РТ</v>
      </c>
      <c r="B5462" s="24" t="s">
        <v>7052</v>
      </c>
      <c r="C5462" s="25">
        <v>11878.08</v>
      </c>
      <c r="D5462" s="22" t="s">
        <v>7053</v>
      </c>
      <c r="E5462" s="22" t="s">
        <v>53</v>
      </c>
      <c r="F5462" s="23" t="str">
        <f>HYPERLINK("https://www.spark-marketing.ru/Card/Lot/73764640", "Техническое обслуживание системы видеонаблюдения")</f>
        <v>Техническое обслуживание системы видеонаблюдения</v>
      </c>
      <c r="G5462" s="22" t="s">
        <v>204</v>
      </c>
      <c r="H5462" s="22" t="s">
        <v>3467</v>
      </c>
      <c r="I5462" s="26">
        <v>43648.547916666699</v>
      </c>
      <c r="J5462" s="28" t="s">
        <v>52</v>
      </c>
      <c r="K5462" s="28" t="s">
        <v>52</v>
      </c>
      <c r="L5462" s="28" t="s">
        <v>52</v>
      </c>
      <c r="M5462" s="28" t="s">
        <v>52</v>
      </c>
      <c r="N5462" s="28" t="s">
        <v>52</v>
      </c>
    </row>
    <row r="5463" spans="1:14" x14ac:dyDescent="0.15">
      <c r="A5463" s="23" t="str">
        <f>HYPERLINK("https://www.spark-marketing.ru/Card/Person/4345940", "ПАО ""АК БАРС"" БАНК")</f>
        <v>ПАО "АК БАРС" БАНК</v>
      </c>
      <c r="B5463" s="24" t="s">
        <v>1108</v>
      </c>
      <c r="C5463" s="25">
        <v>0</v>
      </c>
      <c r="D5463" s="22" t="s">
        <v>7051</v>
      </c>
      <c r="E5463" s="22" t="s">
        <v>1293</v>
      </c>
      <c r="F5463" s="23" t="str">
        <f>HYPERLINK("https://www.spark-marketing.ru/Card/Lot/71849362", "Система передачи звука для большой комнаты.")</f>
        <v>Система передачи звука для большой комнаты.</v>
      </c>
      <c r="G5463" s="22" t="s">
        <v>204</v>
      </c>
      <c r="H5463" s="22" t="s">
        <v>303</v>
      </c>
      <c r="I5463" s="26">
        <v>43648.6639236111</v>
      </c>
      <c r="J5463" s="28" t="s">
        <v>52</v>
      </c>
      <c r="K5463" s="28" t="s">
        <v>52</v>
      </c>
      <c r="L5463" s="28" t="s">
        <v>52</v>
      </c>
      <c r="M5463" s="28" t="s">
        <v>52</v>
      </c>
      <c r="N5463" s="28" t="s">
        <v>52</v>
      </c>
    </row>
    <row r="5464" spans="1:14" x14ac:dyDescent="0.15">
      <c r="A5464" s="23" t="str">
        <f>HYPERLINK("https://www.spark-marketing.ru/Card/Person/1481174", "СРЕДНЯЯ ШКОЛА № 40")</f>
        <v>СРЕДНЯЯ ШКОЛА № 40</v>
      </c>
      <c r="B5464" s="24" t="s">
        <v>7054</v>
      </c>
      <c r="C5464" s="25">
        <v>136844.88</v>
      </c>
      <c r="D5464" s="22" t="s">
        <v>7055</v>
      </c>
      <c r="E5464" s="22" t="s">
        <v>4747</v>
      </c>
      <c r="F5464" s="23" t="str">
        <f>HYPERLINK("https://www.spark-marketing.ru/Card/Lot/71829889", "установка оборудования видеонаблюдения")</f>
        <v>установка оборудования видеонаблюдения</v>
      </c>
      <c r="G5464" s="22" t="s">
        <v>72</v>
      </c>
      <c r="H5464" s="22" t="s">
        <v>72</v>
      </c>
      <c r="I5464" s="26">
        <v>43647.794456018499</v>
      </c>
      <c r="J5464" s="28" t="s">
        <v>52</v>
      </c>
      <c r="K5464" s="28" t="s">
        <v>52</v>
      </c>
      <c r="L5464" s="28" t="s">
        <v>52</v>
      </c>
      <c r="M5464" s="28" t="s">
        <v>52</v>
      </c>
      <c r="N5464" s="28" t="s">
        <v>52</v>
      </c>
    </row>
    <row r="5465" spans="1:14" x14ac:dyDescent="0.15">
      <c r="A5465" s="23" t="str">
        <f>HYPERLINK("https://www.spark-marketing.ru/Card/Person/4078", "ФКУ ""ВОЛГО-ВЯТСКУПРАВТОДОР""")</f>
        <v>ФКУ "ВОЛГО-ВЯТСКУПРАВТОДОР"</v>
      </c>
      <c r="B5465" s="24" t="s">
        <v>7056</v>
      </c>
      <c r="C5465" s="25">
        <v>99990</v>
      </c>
      <c r="D5465" s="22" t="s">
        <v>7057</v>
      </c>
      <c r="E5465" s="22" t="s">
        <v>53</v>
      </c>
      <c r="F5465" s="23" t="str">
        <f>HYPERLINK("https://www.spark-marketing.ru/Card/Lot/71830470", "Услуги физической охраны, 1 шт")</f>
        <v>Услуги физической охраны, 1 шт</v>
      </c>
      <c r="G5465" s="22" t="s">
        <v>204</v>
      </c>
      <c r="H5465" s="22" t="s">
        <v>303</v>
      </c>
      <c r="I5465" s="26">
        <v>43647.823842592603</v>
      </c>
      <c r="J5465" s="28" t="s">
        <v>52</v>
      </c>
      <c r="K5465" s="28" t="s">
        <v>52</v>
      </c>
      <c r="L5465" s="28" t="s">
        <v>52</v>
      </c>
      <c r="M5465" s="28" t="s">
        <v>52</v>
      </c>
      <c r="N5465" s="28" t="s">
        <v>52</v>
      </c>
    </row>
    <row r="5466" spans="1:14" x14ac:dyDescent="0.15">
      <c r="A5466" s="23" t="str">
        <f>HYPERLINK("https://www.spark-marketing.ru/Card/Person/1298051", "МАДОУ ""ДЕТСКИЙ САД № 33 ЦРР""")</f>
        <v>МАДОУ "ДЕТСКИЙ САД № 33 ЦРР"</v>
      </c>
      <c r="B5466" s="24" t="s">
        <v>6004</v>
      </c>
      <c r="C5466" s="25">
        <v>326015</v>
      </c>
      <c r="D5466" s="22" t="s">
        <v>7058</v>
      </c>
      <c r="E5466" s="22" t="s">
        <v>144</v>
      </c>
      <c r="F5466" s="23" t="str">
        <f>HYPERLINK("https://www.spark-marketing.ru/Card/Lot/71829698", "Оказание услуг по обеспечению пропускного и внутриобъектового режимов на территории МАДОУ «Детский сад № 33 ЦРР»")</f>
        <v>Оказание услуг по обеспечению пропускного и внутриобъектового режимов на территории МАДОУ «Детский сад № 33 ЦРР»</v>
      </c>
      <c r="G5466" s="22" t="s">
        <v>50</v>
      </c>
      <c r="H5466" s="22" t="s">
        <v>50</v>
      </c>
      <c r="I5466" s="26">
        <v>43647.7473032407</v>
      </c>
      <c r="J5466" s="28" t="s">
        <v>52</v>
      </c>
      <c r="K5466" s="28" t="s">
        <v>52</v>
      </c>
      <c r="L5466" s="28" t="s">
        <v>52</v>
      </c>
      <c r="M5466" s="28" t="s">
        <v>52</v>
      </c>
      <c r="N5466" s="28" t="s">
        <v>52</v>
      </c>
    </row>
    <row r="5467" spans="1:14" x14ac:dyDescent="0.15">
      <c r="A5467" s="23" t="str">
        <f>HYPERLINK("https://www.spark-marketing.ru/Card/Person/4124", "ФКУ ""ЦХИСО УМВД РОССИИ ПО ТАМБОВСКОЙ ОБЛАСТИ""")</f>
        <v>ФКУ "ЦХИСО УМВД РОССИИ ПО ТАМБОВСКОЙ ОБЛАСТИ"</v>
      </c>
      <c r="B5467" s="24" t="s">
        <v>7059</v>
      </c>
      <c r="C5467" s="25">
        <v>50529.599999999999</v>
      </c>
      <c r="D5467" s="22" t="s">
        <v>7060</v>
      </c>
      <c r="E5467" s="22" t="s">
        <v>53</v>
      </c>
      <c r="F5467" s="23" t="str">
        <f>HYPERLINK("https://www.spark-marketing.ru/Card/Lot/71825176", "охрана объектов")</f>
        <v>охрана объектов</v>
      </c>
      <c r="G5467" s="22" t="s">
        <v>1319</v>
      </c>
      <c r="H5467" s="22" t="s">
        <v>1320</v>
      </c>
      <c r="I5467" s="26">
        <v>43647.672118055598</v>
      </c>
      <c r="J5467" s="28" t="s">
        <v>52</v>
      </c>
      <c r="K5467" s="28" t="s">
        <v>52</v>
      </c>
      <c r="L5467" s="28" t="s">
        <v>52</v>
      </c>
      <c r="M5467" s="28" t="s">
        <v>52</v>
      </c>
      <c r="N5467" s="28" t="s">
        <v>52</v>
      </c>
    </row>
    <row r="5468" spans="1:14" x14ac:dyDescent="0.15">
      <c r="A5468" s="23" t="str">
        <f>HYPERLINK("https://www.spark-marketing.ru/Card/Person/119744", "ГОСТРУДИНСПЕКЦИЯ В ПЕНЗЕНСКОЙ ОБЛАСТИ")</f>
        <v>ГОСТРУДИНСПЕКЦИЯ В ПЕНЗЕНСКОЙ ОБЛАСТИ</v>
      </c>
      <c r="B5468" s="24" t="s">
        <v>3496</v>
      </c>
      <c r="C5468" s="25">
        <v>15051.45</v>
      </c>
      <c r="D5468" s="22" t="s">
        <v>7061</v>
      </c>
      <c r="E5468" s="22" t="s">
        <v>53</v>
      </c>
      <c r="F5468" s="23" t="str">
        <f>HYPERLINK("https://www.spark-marketing.ru/Card/Lot/71826931", "Охранные услуги")</f>
        <v>Охранные услуги</v>
      </c>
      <c r="G5468" s="22" t="s">
        <v>514</v>
      </c>
      <c r="H5468" s="22" t="s">
        <v>2167</v>
      </c>
      <c r="I5468" s="26">
        <v>43647.703090277799</v>
      </c>
      <c r="J5468" s="28" t="s">
        <v>52</v>
      </c>
      <c r="K5468" s="28" t="s">
        <v>52</v>
      </c>
      <c r="L5468" s="28" t="s">
        <v>52</v>
      </c>
      <c r="M5468" s="28" t="s">
        <v>52</v>
      </c>
      <c r="N5468" s="28" t="s">
        <v>52</v>
      </c>
    </row>
    <row r="5469" spans="1:14" x14ac:dyDescent="0.15">
      <c r="A5469" s="23" t="str">
        <f>HYPERLINK("https://www.spark-marketing.ru/Card/Person/35198", "ФКУ ""ДЕЗ СКИТР""")</f>
        <v>ФКУ "ДЕЗ СКИТР"</v>
      </c>
      <c r="B5469" s="24" t="s">
        <v>2310</v>
      </c>
      <c r="C5469" s="25">
        <v>99999</v>
      </c>
      <c r="D5469" s="22" t="s">
        <v>7062</v>
      </c>
      <c r="E5469" s="22" t="s">
        <v>53</v>
      </c>
      <c r="F5469" s="23" t="str">
        <f>HYPERLINK("https://www.spark-marketing.ru/Card/Lot/71826997", "Оказание охранных услуг на возмездной основе")</f>
        <v>Оказание охранных услуг на возмездной основе</v>
      </c>
      <c r="G5469" s="22" t="s">
        <v>55</v>
      </c>
      <c r="H5469" s="22" t="s">
        <v>55</v>
      </c>
      <c r="I5469" s="26">
        <v>43647.707592592596</v>
      </c>
      <c r="J5469" s="28" t="s">
        <v>52</v>
      </c>
      <c r="K5469" s="28" t="s">
        <v>52</v>
      </c>
      <c r="L5469" s="28" t="s">
        <v>52</v>
      </c>
      <c r="M5469" s="28" t="s">
        <v>52</v>
      </c>
      <c r="N5469" s="28" t="s">
        <v>52</v>
      </c>
    </row>
    <row r="5470" spans="1:14" x14ac:dyDescent="0.15">
      <c r="A5470" s="23" t="str">
        <f>HYPERLINK("https://www.spark-marketing.ru/Card/Person/35198", "ФКУ ""ДЕЗ СКИТР""")</f>
        <v>ФКУ "ДЕЗ СКИТР"</v>
      </c>
      <c r="B5470" s="24" t="s">
        <v>2310</v>
      </c>
      <c r="C5470" s="25">
        <v>99999</v>
      </c>
      <c r="D5470" s="22" t="s">
        <v>7063</v>
      </c>
      <c r="E5470" s="22" t="s">
        <v>53</v>
      </c>
      <c r="F5470" s="23" t="str">
        <f>HYPERLINK("https://www.spark-marketing.ru/Card/Lot/71826939", "Оказание охранных услуг на возмездной основе")</f>
        <v>Оказание охранных услуг на возмездной основе</v>
      </c>
      <c r="G5470" s="22" t="s">
        <v>55</v>
      </c>
      <c r="H5470" s="22" t="s">
        <v>55</v>
      </c>
      <c r="I5470" s="26">
        <v>43647.706192129597</v>
      </c>
      <c r="J5470" s="28" t="s">
        <v>52</v>
      </c>
      <c r="K5470" s="28" t="s">
        <v>52</v>
      </c>
      <c r="L5470" s="28" t="s">
        <v>52</v>
      </c>
      <c r="M5470" s="28" t="s">
        <v>52</v>
      </c>
      <c r="N5470" s="28" t="s">
        <v>52</v>
      </c>
    </row>
    <row r="5471" spans="1:14" x14ac:dyDescent="0.2">
      <c r="A5471" s="23" t="str">
        <f>HYPERLINK("https://www.spark-marketing.ru/Card/Person/538739", "МАУЗ ""ЦГБ № 3"" Г. ЕКАТЕРИНБУРГА")</f>
        <v>МАУЗ "ЦГБ № 3" Г. ЕКАТЕРИНБУРГА</v>
      </c>
      <c r="B5471" s="24" t="s">
        <v>1249</v>
      </c>
      <c r="C5471" s="25">
        <v>463838.98</v>
      </c>
      <c r="D5471" s="22" t="s">
        <v>7064</v>
      </c>
      <c r="E5471" s="22" t="s">
        <v>144</v>
      </c>
      <c r="F5471" s="23" t="str">
        <f>HYPERLINK("https://www.spark-marketing.ru/Card/Lot/71827461", "Оказание услуг физической охраны объектов военизированными подразделениями")</f>
        <v>Оказание услуг физической охраны объектов военизированными подразделениями</v>
      </c>
      <c r="G5471" s="22" t="s">
        <v>72</v>
      </c>
      <c r="H5471" s="22" t="s">
        <v>72</v>
      </c>
      <c r="I5471" s="26">
        <v>43647.705682870401</v>
      </c>
      <c r="J5471" s="28" t="s">
        <v>52</v>
      </c>
      <c r="K5471" s="28" t="s">
        <v>52</v>
      </c>
      <c r="L5471" s="22" t="s">
        <v>10</v>
      </c>
      <c r="M5471" s="25">
        <v>463838.98</v>
      </c>
      <c r="N5471" s="27">
        <v>0</v>
      </c>
    </row>
    <row r="5472" spans="1:14" x14ac:dyDescent="0.2">
      <c r="A5472" s="23" t="str">
        <f>HYPERLINK("https://www.spark-marketing.ru/Card/Person/546194", "АО ""ЯМАЛКОММУНЭНЕРГО""")</f>
        <v>АО "ЯМАЛКОММУНЭНЕРГО"</v>
      </c>
      <c r="B5472" s="24" t="s">
        <v>7065</v>
      </c>
      <c r="C5472" s="25">
        <v>1450000</v>
      </c>
      <c r="D5472" s="22" t="s">
        <v>7066</v>
      </c>
      <c r="E5472" s="22" t="s">
        <v>854</v>
      </c>
      <c r="F5472" s="23" t="str">
        <f>HYPERLINK("https://www.spark-marketing.ru/Card/Lot/71827530", "Оказание услуг по разработке и согласованию проектов зон санитарной охраны для объектов филиала АО ""Ямалкоммунэнерго"" в Приуральском р-не.")</f>
        <v>Оказание услуг по разработке и согласованию проектов зон санитарной охраны для объектов филиала АО "Ямалкоммунэнерго" в Приуральском р-не.</v>
      </c>
      <c r="G5472" s="22" t="s">
        <v>311</v>
      </c>
      <c r="H5472" s="22" t="s">
        <v>311</v>
      </c>
      <c r="I5472" s="26">
        <v>43647.707824074103</v>
      </c>
      <c r="J5472" s="28" t="s">
        <v>52</v>
      </c>
      <c r="K5472" s="28" t="s">
        <v>52</v>
      </c>
      <c r="L5472" s="22" t="s">
        <v>10</v>
      </c>
      <c r="M5472" s="25">
        <v>1450000</v>
      </c>
      <c r="N5472" s="27">
        <v>0</v>
      </c>
    </row>
    <row r="5473" spans="1:14" x14ac:dyDescent="0.15">
      <c r="A5473" s="23" t="str">
        <f>HYPERLINK("https://www.spark-marketing.ru/Card/Person/1781229", "ООО ""СОЮЗ СВ. ИОАННА ВОИНА""")</f>
        <v>ООО "СОЮЗ СВ. ИОАННА ВОИНА"</v>
      </c>
      <c r="B5473" s="24" t="s">
        <v>7067</v>
      </c>
      <c r="C5473" s="25">
        <v>128</v>
      </c>
      <c r="D5473" s="22" t="s">
        <v>7068</v>
      </c>
      <c r="E5473" s="22" t="s">
        <v>53</v>
      </c>
      <c r="F5473" s="23" t="str">
        <f>HYPERLINK("https://www.spark-marketing.ru/Card/Lot/71830088", "Оказание охранных услуг за 1 час при режиме работы 14 часов ежедневно (действующие магазины), в пределах Республики Татарстан")</f>
        <v>Оказание охранных услуг за 1 час при режиме работы 14 часов ежедневно (действующие магазины), в пределах Республики Татарстан</v>
      </c>
      <c r="G5473" s="22" t="s">
        <v>55</v>
      </c>
      <c r="H5473" s="22" t="s">
        <v>55</v>
      </c>
      <c r="I5473" s="26">
        <v>43647.637152777803</v>
      </c>
      <c r="J5473" s="28" t="s">
        <v>52</v>
      </c>
      <c r="K5473" s="28" t="s">
        <v>52</v>
      </c>
      <c r="L5473" s="28" t="s">
        <v>52</v>
      </c>
      <c r="M5473" s="28" t="s">
        <v>52</v>
      </c>
      <c r="N5473" s="28" t="s">
        <v>52</v>
      </c>
    </row>
    <row r="5474" spans="1:14" x14ac:dyDescent="0.15">
      <c r="A5474" s="23" t="str">
        <f>HYPERLINK("https://www.spark-marketing.ru/Card/Person/1833181", "АО ""ОРЕНБУРГНЕФТЬ""")</f>
        <v>АО "ОРЕНБУРГНЕФТЬ"</v>
      </c>
      <c r="B5474" s="24" t="s">
        <v>7069</v>
      </c>
      <c r="C5474" s="28" t="s">
        <v>52</v>
      </c>
      <c r="D5474" s="22" t="s">
        <v>7070</v>
      </c>
      <c r="E5474" s="22" t="s">
        <v>7071</v>
      </c>
      <c r="F5474" s="23" t="str">
        <f>HYPERLINK("https://www.spark-marketing.ru/Card/Lot/71825801", "предоставление охранных услуг радиолокационного наблюдения с использованием мобильных комплексов")</f>
        <v>предоставление охранных услуг радиолокационного наблюдения с использованием мобильных комплексов</v>
      </c>
      <c r="G5474" s="22" t="s">
        <v>384</v>
      </c>
      <c r="H5474" s="22" t="s">
        <v>7072</v>
      </c>
      <c r="I5474" s="26">
        <v>43647.637499999997</v>
      </c>
      <c r="J5474" s="28" t="s">
        <v>52</v>
      </c>
      <c r="K5474" s="28" t="s">
        <v>52</v>
      </c>
      <c r="L5474" s="28" t="s">
        <v>52</v>
      </c>
      <c r="M5474" s="28" t="s">
        <v>52</v>
      </c>
      <c r="N5474" s="28" t="s">
        <v>52</v>
      </c>
    </row>
    <row r="5475" spans="1:14" x14ac:dyDescent="0.15">
      <c r="A5475" s="23" t="str">
        <f>HYPERLINK("https://www.spark-marketing.ru/Card/Person/10953", "ИФНС РОССИИ ПО СОРМОВСКОМУ РАЙОНУ Г.Н.НОВГОРОДА")</f>
        <v>ИФНС РОССИИ ПО СОРМОВСКОМУ РАЙОНУ Г.Н.НОВГОРОДА</v>
      </c>
      <c r="B5475" s="24" t="s">
        <v>7073</v>
      </c>
      <c r="C5475" s="25">
        <v>50431.41</v>
      </c>
      <c r="D5475" s="22" t="s">
        <v>7074</v>
      </c>
      <c r="E5475" s="22" t="s">
        <v>53</v>
      </c>
      <c r="F5475" s="23" t="str">
        <f>HYPERLINK("https://www.spark-marketing.ru/Card/Lot/71824675", "Оказание охранных услуг на объекте")</f>
        <v>Оказание охранных услуг на объекте</v>
      </c>
      <c r="G5475" s="22" t="s">
        <v>64</v>
      </c>
      <c r="H5475" s="22" t="s">
        <v>65</v>
      </c>
      <c r="I5475" s="26">
        <v>43647.645185185203</v>
      </c>
      <c r="J5475" s="28" t="s">
        <v>52</v>
      </c>
      <c r="K5475" s="28" t="s">
        <v>52</v>
      </c>
      <c r="L5475" s="28" t="s">
        <v>52</v>
      </c>
      <c r="M5475" s="28" t="s">
        <v>52</v>
      </c>
      <c r="N5475" s="28" t="s">
        <v>52</v>
      </c>
    </row>
    <row r="5476" spans="1:14" x14ac:dyDescent="0.15">
      <c r="A5476" s="23" t="str">
        <f>HYPERLINK("https://www.spark-marketing.ru/Card/Person/1781229", "ООО ""СОЮЗ СВ. ИОАННА ВОИНА""")</f>
        <v>ООО "СОЮЗ СВ. ИОАННА ВОИНА"</v>
      </c>
      <c r="B5476" s="24" t="s">
        <v>7067</v>
      </c>
      <c r="C5476" s="25">
        <v>100</v>
      </c>
      <c r="D5476" s="22" t="s">
        <v>7068</v>
      </c>
      <c r="E5476" s="22" t="s">
        <v>53</v>
      </c>
      <c r="F5476" s="23" t="str">
        <f>HYPERLINK("https://www.spark-marketing.ru/Card/Lot/71830090", "Оказание охранных услуг за 1 час при режиме работы 24 часа ежедневно (строящиеся магазины), в пределах Республики Татарстан")</f>
        <v>Оказание охранных услуг за 1 час при режиме работы 24 часа ежедневно (строящиеся магазины), в пределах Республики Татарстан</v>
      </c>
      <c r="G5476" s="22" t="s">
        <v>55</v>
      </c>
      <c r="H5476" s="22" t="s">
        <v>55</v>
      </c>
      <c r="I5476" s="26">
        <v>43647.637152777803</v>
      </c>
      <c r="J5476" s="28" t="s">
        <v>52</v>
      </c>
      <c r="K5476" s="28" t="s">
        <v>52</v>
      </c>
      <c r="L5476" s="28" t="s">
        <v>52</v>
      </c>
      <c r="M5476" s="28" t="s">
        <v>52</v>
      </c>
      <c r="N5476" s="28" t="s">
        <v>52</v>
      </c>
    </row>
    <row r="5477" spans="1:14" x14ac:dyDescent="0.15">
      <c r="A5477" s="23" t="str">
        <f>HYPERLINK("https://www.spark-marketing.ru/Card/Person/1781229", "ООО ""СОЮЗ СВ. ИОАННА ВОИНА""")</f>
        <v>ООО "СОЮЗ СВ. ИОАННА ВОИНА"</v>
      </c>
      <c r="B5477" s="24" t="s">
        <v>7067</v>
      </c>
      <c r="C5477" s="25">
        <v>100</v>
      </c>
      <c r="D5477" s="22" t="s">
        <v>7068</v>
      </c>
      <c r="E5477" s="22" t="s">
        <v>53</v>
      </c>
      <c r="F5477" s="23" t="str">
        <f>HYPERLINK("https://www.spark-marketing.ru/Card/Lot/71830089", "Оказание охранных услуг за 1 час при режиме работы 24 часа ежедневно (строящиеся магазины), в пределах г. Казани")</f>
        <v>Оказание охранных услуг за 1 час при режиме работы 24 часа ежедневно (строящиеся магазины), в пределах г. Казани</v>
      </c>
      <c r="G5477" s="22" t="s">
        <v>55</v>
      </c>
      <c r="H5477" s="22" t="s">
        <v>55</v>
      </c>
      <c r="I5477" s="26">
        <v>43647.637152777803</v>
      </c>
      <c r="J5477" s="28" t="s">
        <v>52</v>
      </c>
      <c r="K5477" s="28" t="s">
        <v>52</v>
      </c>
      <c r="L5477" s="28" t="s">
        <v>52</v>
      </c>
      <c r="M5477" s="28" t="s">
        <v>52</v>
      </c>
      <c r="N5477" s="28" t="s">
        <v>52</v>
      </c>
    </row>
    <row r="5478" spans="1:14" x14ac:dyDescent="0.15">
      <c r="A5478" s="23" t="str">
        <f>HYPERLINK("https://www.spark-marketing.ru/Card/Person/1781229", "ООО ""СОЮЗ СВ. ИОАННА ВОИНА""")</f>
        <v>ООО "СОЮЗ СВ. ИОАННА ВОИНА"</v>
      </c>
      <c r="B5478" s="24" t="s">
        <v>7067</v>
      </c>
      <c r="C5478" s="25">
        <v>110</v>
      </c>
      <c r="D5478" s="22" t="s">
        <v>7068</v>
      </c>
      <c r="E5478" s="22" t="s">
        <v>53</v>
      </c>
      <c r="F5478" s="23" t="str">
        <f>HYPERLINK("https://www.spark-marketing.ru/Card/Lot/71830091", "Оказание охранных услуг за 1 час при режиме работы 12 часов ежедневно (распределительный центр), в пределах г. Казани")</f>
        <v>Оказание охранных услуг за 1 час при режиме работы 12 часов ежедневно (распределительный центр), в пределах г. Казани</v>
      </c>
      <c r="G5478" s="22" t="s">
        <v>55</v>
      </c>
      <c r="H5478" s="22" t="s">
        <v>55</v>
      </c>
      <c r="I5478" s="26">
        <v>43647.637152777803</v>
      </c>
      <c r="J5478" s="28" t="s">
        <v>52</v>
      </c>
      <c r="K5478" s="28" t="s">
        <v>52</v>
      </c>
      <c r="L5478" s="28" t="s">
        <v>52</v>
      </c>
      <c r="M5478" s="28" t="s">
        <v>52</v>
      </c>
      <c r="N5478" s="28" t="s">
        <v>52</v>
      </c>
    </row>
    <row r="5479" spans="1:14" x14ac:dyDescent="0.2">
      <c r="A5479" s="23" t="str">
        <f>HYPERLINK("https://www.spark-marketing.ru/Card/Person/4348778", "АО ""ЗАРАМАГСКИЕ ГЭС""")</f>
        <v>АО "ЗАРАМАГСКИЕ ГЭС"</v>
      </c>
      <c r="B5479" s="24" t="s">
        <v>7075</v>
      </c>
      <c r="C5479" s="25">
        <v>280000</v>
      </c>
      <c r="D5479" s="22" t="s">
        <v>7076</v>
      </c>
      <c r="E5479" s="22" t="s">
        <v>7077</v>
      </c>
      <c r="F5479" s="23" t="str">
        <f>HYPERLINK("https://www.spark-marketing.ru/Card/Lot/71826256", "Обслуживание системы видеонаблюдения для нужд АО ""Зарамагские ГЭС""")</f>
        <v>Обслуживание системы видеонаблюдения для нужд АО "Зарамагские ГЭС"</v>
      </c>
      <c r="G5479" s="22" t="s">
        <v>55</v>
      </c>
      <c r="H5479" s="22" t="s">
        <v>55</v>
      </c>
      <c r="I5479" s="26">
        <v>43647.626550925903</v>
      </c>
      <c r="J5479" s="28" t="s">
        <v>52</v>
      </c>
      <c r="K5479" s="28" t="s">
        <v>52</v>
      </c>
      <c r="L5479" s="22" t="s">
        <v>10</v>
      </c>
      <c r="M5479" s="25">
        <v>280000</v>
      </c>
      <c r="N5479" s="27">
        <v>0</v>
      </c>
    </row>
    <row r="5480" spans="1:14" x14ac:dyDescent="0.15">
      <c r="A5480" s="23" t="str">
        <f>HYPERLINK("https://www.spark-marketing.ru/Card/Person/1781229", "ООО ""СОЮЗ СВ. ИОАННА ВОИНА""")</f>
        <v>ООО "СОЮЗ СВ. ИОАННА ВОИНА"</v>
      </c>
      <c r="B5480" s="24" t="s">
        <v>7067</v>
      </c>
      <c r="C5480" s="25">
        <v>128</v>
      </c>
      <c r="D5480" s="22" t="s">
        <v>7068</v>
      </c>
      <c r="E5480" s="22" t="s">
        <v>53</v>
      </c>
      <c r="F5480" s="23" t="str">
        <f>HYPERLINK("https://www.spark-marketing.ru/Card/Lot/71830087", "Оказание охранных услуг за 1 час при режиме работы 14 часов ежедневно (действующие магазины), в пределах г. Казани")</f>
        <v>Оказание охранных услуг за 1 час при режиме работы 14 часов ежедневно (действующие магазины), в пределах г. Казани</v>
      </c>
      <c r="G5480" s="22" t="s">
        <v>55</v>
      </c>
      <c r="H5480" s="22" t="s">
        <v>55</v>
      </c>
      <c r="I5480" s="26">
        <v>43647.637152777803</v>
      </c>
      <c r="J5480" s="28" t="s">
        <v>52</v>
      </c>
      <c r="K5480" s="28" t="s">
        <v>52</v>
      </c>
      <c r="L5480" s="28" t="s">
        <v>52</v>
      </c>
      <c r="M5480" s="28" t="s">
        <v>52</v>
      </c>
      <c r="N5480" s="28" t="s">
        <v>52</v>
      </c>
    </row>
    <row r="5481" spans="1:14" x14ac:dyDescent="0.15">
      <c r="A5481" s="23" t="str">
        <f>HYPERLINK("https://www.spark-marketing.ru/Card/Person/35198", "ФКУ ""ДЕЗ СКИТР""")</f>
        <v>ФКУ "ДЕЗ СКИТР"</v>
      </c>
      <c r="B5481" s="24" t="s">
        <v>2310</v>
      </c>
      <c r="C5481" s="25">
        <v>99999</v>
      </c>
      <c r="D5481" s="22" t="s">
        <v>7078</v>
      </c>
      <c r="E5481" s="22" t="s">
        <v>53</v>
      </c>
      <c r="F5481" s="23" t="str">
        <f>HYPERLINK("https://www.spark-marketing.ru/Card/Lot/71822823", "Оказание охранных услуг на возмездной основе")</f>
        <v>Оказание охранных услуг на возмездной основе</v>
      </c>
      <c r="G5481" s="22" t="s">
        <v>55</v>
      </c>
      <c r="H5481" s="22" t="s">
        <v>55</v>
      </c>
      <c r="I5481" s="26">
        <v>43647.624317129601</v>
      </c>
      <c r="J5481" s="28" t="s">
        <v>52</v>
      </c>
      <c r="K5481" s="28" t="s">
        <v>52</v>
      </c>
      <c r="L5481" s="28" t="s">
        <v>52</v>
      </c>
      <c r="M5481" s="28" t="s">
        <v>52</v>
      </c>
      <c r="N5481" s="28" t="s">
        <v>52</v>
      </c>
    </row>
    <row r="5482" spans="1:14" x14ac:dyDescent="0.15">
      <c r="A5482" s="23" t="str">
        <f>HYPERLINK("https://www.spark-marketing.ru/Card/Person/1683079", "ООО ""ЧОП ""КЕННАРД""")</f>
        <v>ООО "ЧОП "КЕННАРД"</v>
      </c>
      <c r="B5482" s="24" t="s">
        <v>1949</v>
      </c>
      <c r="C5482" s="25">
        <v>736.64</v>
      </c>
      <c r="D5482" s="22" t="s">
        <v>7079</v>
      </c>
      <c r="E5482" s="22" t="s">
        <v>53</v>
      </c>
      <c r="F5482" s="23" t="str">
        <f>HYPERLINK("https://www.spark-marketing.ru/Card/Lot/71832918", "Панель 19"" с DIN-рейкой для установки коммутаторов STK-RACKMNT-2955")</f>
        <v>Панель 19" с DIN-рейкой для установки коммутаторов STK-RACKMNT-2955</v>
      </c>
      <c r="G5482" s="22" t="s">
        <v>204</v>
      </c>
      <c r="H5482" s="22" t="s">
        <v>303</v>
      </c>
      <c r="I5482" s="26">
        <v>43647.606655092597</v>
      </c>
      <c r="J5482" s="28" t="s">
        <v>52</v>
      </c>
      <c r="K5482" s="28" t="s">
        <v>52</v>
      </c>
      <c r="L5482" s="28" t="s">
        <v>52</v>
      </c>
      <c r="M5482" s="28" t="s">
        <v>52</v>
      </c>
      <c r="N5482" s="28" t="s">
        <v>52</v>
      </c>
    </row>
    <row r="5483" spans="1:14" x14ac:dyDescent="0.15">
      <c r="A5483" s="23" t="str">
        <f>HYPERLINK("https://www.spark-marketing.ru/Card/Person/42331", "ФКУ ""РКИБ"" МИНЗДРАВА РОССИИ")</f>
        <v>ФКУ "РКИБ" МИНЗДРАВА РОССИИ</v>
      </c>
      <c r="B5483" s="24" t="s">
        <v>7080</v>
      </c>
      <c r="C5483" s="25">
        <v>97834.5</v>
      </c>
      <c r="D5483" s="22" t="s">
        <v>7081</v>
      </c>
      <c r="E5483" s="22" t="s">
        <v>53</v>
      </c>
      <c r="F5483" s="23" t="str">
        <f>HYPERLINK("https://www.spark-marketing.ru/Card/Lot/71822940", "Оказание услуг по охране имущества, принадлежащего Заказчику и находящегося в помещениях Заказчика от несанкционированного проникновения посторонних лиц или пресечения незаконных действий третьих лиц; экстренный выезд на Объект наряда Исполнителя при...")</f>
        <v>Оказание услуг по охране имущества, принадлежащего Заказчику и находящегося в помещениях Заказчика от несанкционированного проникновения посторонних лиц или пресечения незаконных действий третьих лиц; экстренный выезд на Объект наряда Исполнителя при...</v>
      </c>
      <c r="G5483" s="22" t="s">
        <v>89</v>
      </c>
      <c r="H5483" s="22" t="s">
        <v>89</v>
      </c>
      <c r="I5483" s="26">
        <v>43647.616759259297</v>
      </c>
      <c r="J5483" s="28" t="s">
        <v>52</v>
      </c>
      <c r="K5483" s="28" t="s">
        <v>52</v>
      </c>
      <c r="L5483" s="28" t="s">
        <v>52</v>
      </c>
      <c r="M5483" s="28" t="s">
        <v>52</v>
      </c>
      <c r="N5483" s="28" t="s">
        <v>52</v>
      </c>
    </row>
    <row r="5484" spans="1:14" x14ac:dyDescent="0.15">
      <c r="A5484" s="23" t="str">
        <f>HYPERLINK("https://www.spark-marketing.ru/Card/Person/101288", "МОСГОРСТАТ")</f>
        <v>МОСГОРСТАТ</v>
      </c>
      <c r="B5484" s="24" t="s">
        <v>7082</v>
      </c>
      <c r="C5484" s="25">
        <v>48403.11</v>
      </c>
      <c r="D5484" s="22" t="s">
        <v>7083</v>
      </c>
      <c r="E5484" s="22" t="s">
        <v>53</v>
      </c>
      <c r="F5484" s="23" t="str">
        <f>HYPERLINK("https://www.spark-marketing.ru/Card/Lot/71822733", "Охранные услуги на объекте Заказчика")</f>
        <v>Охранные услуги на объекте Заказчика</v>
      </c>
      <c r="G5484" s="22" t="s">
        <v>55</v>
      </c>
      <c r="H5484" s="22" t="s">
        <v>55</v>
      </c>
      <c r="I5484" s="26">
        <v>43647.584687499999</v>
      </c>
      <c r="J5484" s="28" t="s">
        <v>52</v>
      </c>
      <c r="K5484" s="28" t="s">
        <v>52</v>
      </c>
      <c r="L5484" s="28" t="s">
        <v>52</v>
      </c>
      <c r="M5484" s="28" t="s">
        <v>52</v>
      </c>
      <c r="N5484" s="28" t="s">
        <v>52</v>
      </c>
    </row>
    <row r="5485" spans="1:14" x14ac:dyDescent="0.15">
      <c r="A5485" s="23" t="str">
        <f>HYPERLINK("https://www.spark-marketing.ru/Card/Person/42331", "ФКУ ""РКИБ"" МИНЗДРАВА РОССИИ")</f>
        <v>ФКУ "РКИБ" МИНЗДРАВА РОССИИ</v>
      </c>
      <c r="B5485" s="24" t="s">
        <v>7080</v>
      </c>
      <c r="C5485" s="25">
        <v>60903</v>
      </c>
      <c r="D5485" s="22" t="s">
        <v>7084</v>
      </c>
      <c r="E5485" s="22" t="s">
        <v>53</v>
      </c>
      <c r="F5485" s="23" t="str">
        <f>HYPERLINK("https://www.spark-marketing.ru/Card/Lot/71822927", "Оказание услуг по охране имущества, принадлежащего Заказчику и находящегося в помещениях Заказчика от несанкционированного проникновения посторонних лиц или пресечения незаконных действий третьих лиц; экстренный выезд на Объект наряда Исполнителя при...")</f>
        <v>Оказание услуг по охране имущества, принадлежащего Заказчику и находящегося в помещениях Заказчика от несанкционированного проникновения посторонних лиц или пресечения незаконных действий третьих лиц; экстренный выезд на Объект наряда Исполнителя при...</v>
      </c>
      <c r="G5485" s="22" t="s">
        <v>89</v>
      </c>
      <c r="H5485" s="22" t="s">
        <v>89</v>
      </c>
      <c r="I5485" s="26">
        <v>43647.614606481497</v>
      </c>
      <c r="J5485" s="28" t="s">
        <v>52</v>
      </c>
      <c r="K5485" s="28" t="s">
        <v>52</v>
      </c>
      <c r="L5485" s="28" t="s">
        <v>52</v>
      </c>
      <c r="M5485" s="28" t="s">
        <v>52</v>
      </c>
      <c r="N5485" s="28" t="s">
        <v>52</v>
      </c>
    </row>
    <row r="5486" spans="1:14" x14ac:dyDescent="0.15">
      <c r="A5486" s="23" t="str">
        <f>HYPERLINK("https://www.spark-marketing.ru/Card/Person/4346801", "ФГАОУ ВО ""СЕВАСТОПОЛЬСКИЙ ГОСУДАРСТВЕННЫЙ УНИВЕРСИТЕТ""")</f>
        <v>ФГАОУ ВО "СЕВАСТОПОЛЬСКИЙ ГОСУДАРСТВЕННЫЙ УНИВЕРСИТЕТ"</v>
      </c>
      <c r="B5486" s="24" t="s">
        <v>7085</v>
      </c>
      <c r="C5486" s="25">
        <v>597143.76</v>
      </c>
      <c r="D5486" s="22" t="s">
        <v>7086</v>
      </c>
      <c r="E5486" s="22" t="s">
        <v>49</v>
      </c>
      <c r="F5486" s="23" t="str">
        <f>HYPERLINK("https://www.spark-marketing.ru/Card/Lot/71825287", "Выполнение работ по установке (монтажу) системы охранной и тревожной сигнализации в здании общежития №1 Севастопольского государственного университета по адресу г. Севастополь, ул. Николая Музыки, д. 84 (МСП)")</f>
        <v>Выполнение работ по установке (монтажу) системы охранной и тревожной сигнализации в здании общежития №1 Севастопольского государственного университета по адресу г. Севастополь, ул. Николая Музыки, д. 84 (МСП)</v>
      </c>
      <c r="G5486" s="22" t="s">
        <v>714</v>
      </c>
      <c r="H5486" s="22" t="s">
        <v>714</v>
      </c>
      <c r="I5486" s="26">
        <v>43647.598356481503</v>
      </c>
      <c r="J5486" s="28" t="s">
        <v>52</v>
      </c>
      <c r="K5486" s="28" t="s">
        <v>52</v>
      </c>
      <c r="L5486" s="28" t="s">
        <v>52</v>
      </c>
      <c r="M5486" s="28" t="s">
        <v>52</v>
      </c>
      <c r="N5486" s="28" t="s">
        <v>52</v>
      </c>
    </row>
    <row r="5487" spans="1:14" x14ac:dyDescent="0.15">
      <c r="A5487" s="23" t="str">
        <f>HYPERLINK("https://www.spark-marketing.ru/Card/Person/42331", "ФКУ ""РКИБ"" МИНЗДРАВА РОССИИ")</f>
        <v>ФКУ "РКИБ" МИНЗДРАВА РОССИИ</v>
      </c>
      <c r="B5487" s="24" t="s">
        <v>7080</v>
      </c>
      <c r="C5487" s="25">
        <v>62408.58</v>
      </c>
      <c r="D5487" s="22" t="s">
        <v>7087</v>
      </c>
      <c r="E5487" s="22" t="s">
        <v>53</v>
      </c>
      <c r="F5487" s="23" t="str">
        <f>HYPERLINK("https://www.spark-marketing.ru/Card/Lot/71822816", "Оказание услуг по техническому обслуживанию комплекса технических средств охраны, установленного на объекте (ах) Заказчика")</f>
        <v>Оказание услуг по техническому обслуживанию комплекса технических средств охраны, установленного на объекте (ах) Заказчика</v>
      </c>
      <c r="G5487" s="22" t="s">
        <v>89</v>
      </c>
      <c r="H5487" s="22" t="s">
        <v>89</v>
      </c>
      <c r="I5487" s="26">
        <v>43647.622870370396</v>
      </c>
      <c r="J5487" s="28" t="s">
        <v>52</v>
      </c>
      <c r="K5487" s="28" t="s">
        <v>52</v>
      </c>
      <c r="L5487" s="28" t="s">
        <v>52</v>
      </c>
      <c r="M5487" s="28" t="s">
        <v>52</v>
      </c>
      <c r="N5487" s="28" t="s">
        <v>52</v>
      </c>
    </row>
    <row r="5488" spans="1:14" x14ac:dyDescent="0.15">
      <c r="A5488" s="23" t="str">
        <f>HYPERLINK("https://www.spark-marketing.ru/Card/Person/4346801", "ФГАОУ ВО ""СЕВАСТОПОЛЬСКИЙ ГОСУДАРСТВЕННЫЙ УНИВЕРСИТЕТ""")</f>
        <v>ФГАОУ ВО "СЕВАСТОПОЛЬСКИЙ ГОСУДАРСТВЕННЫЙ УНИВЕРСИТЕТ"</v>
      </c>
      <c r="B5488" s="24" t="s">
        <v>7085</v>
      </c>
      <c r="C5488" s="25">
        <v>406796.65</v>
      </c>
      <c r="D5488" s="22" t="s">
        <v>7088</v>
      </c>
      <c r="E5488" s="22" t="s">
        <v>49</v>
      </c>
      <c r="F5488" s="23" t="str">
        <f>HYPERLINK("https://www.spark-marketing.ru/Card/Lot/71824345", "Выполнение работ по установке (монтажу) системы охранной и тревожной сигнализации в здании общежития №2 Севастопольского государственного университета по адресу г. Севастополь, ул. Николая Музыки, д. 88 (МСП)")</f>
        <v>Выполнение работ по установке (монтажу) системы охранной и тревожной сигнализации в здании общежития №2 Севастопольского государственного университета по адресу г. Севастополь, ул. Николая Музыки, д. 88 (МСП)</v>
      </c>
      <c r="G5488" s="22" t="s">
        <v>714</v>
      </c>
      <c r="H5488" s="22" t="s">
        <v>714</v>
      </c>
      <c r="I5488" s="26">
        <v>43647.610266203701</v>
      </c>
      <c r="J5488" s="28" t="s">
        <v>52</v>
      </c>
      <c r="K5488" s="28" t="s">
        <v>52</v>
      </c>
      <c r="L5488" s="28" t="s">
        <v>52</v>
      </c>
      <c r="M5488" s="28" t="s">
        <v>52</v>
      </c>
      <c r="N5488" s="28" t="s">
        <v>52</v>
      </c>
    </row>
    <row r="5489" spans="1:14" x14ac:dyDescent="0.15">
      <c r="A5489" s="23" t="str">
        <f>HYPERLINK("https://www.spark-marketing.ru/Card/Person/35198", "ФКУ ""ДЕЗ СКИТР""")</f>
        <v>ФКУ "ДЕЗ СКИТР"</v>
      </c>
      <c r="B5489" s="24" t="s">
        <v>2310</v>
      </c>
      <c r="C5489" s="25">
        <v>99999</v>
      </c>
      <c r="D5489" s="22" t="s">
        <v>7089</v>
      </c>
      <c r="E5489" s="22" t="s">
        <v>53</v>
      </c>
      <c r="F5489" s="23" t="str">
        <f>HYPERLINK("https://www.spark-marketing.ru/Card/Lot/71822819", "Оказание охранных услуг на возмездной основе")</f>
        <v>Оказание охранных услуг на возмездной основе</v>
      </c>
      <c r="G5489" s="22" t="s">
        <v>55</v>
      </c>
      <c r="H5489" s="22" t="s">
        <v>55</v>
      </c>
      <c r="I5489" s="26">
        <v>43647.623645833301</v>
      </c>
      <c r="J5489" s="28" t="s">
        <v>52</v>
      </c>
      <c r="K5489" s="28" t="s">
        <v>52</v>
      </c>
      <c r="L5489" s="28" t="s">
        <v>52</v>
      </c>
      <c r="M5489" s="28" t="s">
        <v>52</v>
      </c>
      <c r="N5489" s="28" t="s">
        <v>52</v>
      </c>
    </row>
    <row r="5490" spans="1:14" x14ac:dyDescent="0.15">
      <c r="A5490" s="23" t="str">
        <f>HYPERLINK("https://www.spark-marketing.ru/Card/Person/4441241", "АО ""САМОТЛОРНЕФТЕГАЗ""")</f>
        <v>АО "САМОТЛОРНЕФТЕГАЗ"</v>
      </c>
      <c r="B5490" s="24" t="s">
        <v>7090</v>
      </c>
      <c r="C5490" s="28" t="s">
        <v>52</v>
      </c>
      <c r="D5490" s="22" t="s">
        <v>7091</v>
      </c>
      <c r="E5490" s="22" t="s">
        <v>7092</v>
      </c>
      <c r="F5490" s="23" t="str">
        <f>HYPERLINK("https://www.spark-marketing.ru/Card/Lot/71822091", "Оказание услуг по обслуживанию технических средств охраны и дополнительного оборудования на объектах АО «Самотлорнефтегаз»")</f>
        <v>Оказание услуг по обслуживанию технических средств охраны и дополнительного оборудования на объектах АО «Самотлорнефтегаз»</v>
      </c>
      <c r="G5490" s="22" t="s">
        <v>119</v>
      </c>
      <c r="H5490" s="22" t="s">
        <v>952</v>
      </c>
      <c r="I5490" s="26">
        <v>43647.567361111098</v>
      </c>
      <c r="J5490" s="28" t="s">
        <v>52</v>
      </c>
      <c r="K5490" s="28" t="s">
        <v>52</v>
      </c>
      <c r="L5490" s="28" t="s">
        <v>52</v>
      </c>
      <c r="M5490" s="28" t="s">
        <v>52</v>
      </c>
      <c r="N5490" s="28" t="s">
        <v>52</v>
      </c>
    </row>
    <row r="5491" spans="1:14" x14ac:dyDescent="0.15">
      <c r="A5491" s="23" t="str">
        <f>HYPERLINK("https://www.spark-marketing.ru/Card/Person/20720", "АДМИНИСТРАЦИЯ ОБЛУЧЕНСКОГО ГОРОДСКОГО ПОСЕЛЕНИЯ")</f>
        <v>АДМИНИСТРАЦИЯ ОБЛУЧЕНСКОГО ГОРОДСКОГО ПОСЕЛЕНИЯ</v>
      </c>
      <c r="B5491" s="24" t="s">
        <v>7093</v>
      </c>
      <c r="C5491" s="25">
        <v>72000</v>
      </c>
      <c r="D5491" s="22" t="s">
        <v>7094</v>
      </c>
      <c r="E5491" s="22" t="s">
        <v>183</v>
      </c>
      <c r="F5491" s="23" t="str">
        <f>HYPERLINK("https://www.spark-marketing.ru/Card/Lot/71828621", "Оказание возмездных охранных услуг")</f>
        <v>Оказание возмездных охранных услуг</v>
      </c>
      <c r="G5491" s="22" t="s">
        <v>6409</v>
      </c>
      <c r="H5491" s="22" t="s">
        <v>6409</v>
      </c>
      <c r="I5491" s="26">
        <v>43647.464583333298</v>
      </c>
      <c r="J5491" s="28" t="s">
        <v>52</v>
      </c>
      <c r="K5491" s="28" t="s">
        <v>52</v>
      </c>
      <c r="L5491" s="28" t="s">
        <v>52</v>
      </c>
      <c r="M5491" s="28" t="s">
        <v>52</v>
      </c>
      <c r="N5491" s="28" t="s">
        <v>52</v>
      </c>
    </row>
    <row r="5492" spans="1:14" x14ac:dyDescent="0.2">
      <c r="A5492" s="23" t="str">
        <f>HYPERLINK("https://www.spark-marketing.ru/Card/Person/13814", "ГАУ ""КЦСОН ""МАЛАХИТ"" ОРДЖОНИКИДЗЕВСКОГО РАЙОНА ГОРОДА ЕКАТЕРИНБУРГА""")</f>
        <v>ГАУ "КЦСОН "МАЛАХИТ" ОРДЖОНИКИДЗЕВСКОГО РАЙОНА ГОРОДА ЕКАТЕРИНБУРГА"</v>
      </c>
      <c r="B5492" s="24" t="s">
        <v>7095</v>
      </c>
      <c r="C5492" s="25">
        <v>69900</v>
      </c>
      <c r="D5492" s="22" t="s">
        <v>7096</v>
      </c>
      <c r="E5492" s="22" t="s">
        <v>4747</v>
      </c>
      <c r="F5492" s="23" t="str">
        <f>HYPERLINK("https://www.spark-marketing.ru/Card/Lot/71816933", "Техническое обслуживание системы видеонаблюдения (уличная, внутренняя) на 4 объектах ГАУ ""КЦСОН ""Малахит"" Орджоникидзевского района города Екатеринбурга""")</f>
        <v>Техническое обслуживание системы видеонаблюдения (уличная, внутренняя) на 4 объектах ГАУ "КЦСОН "Малахит" Орджоникидзевского района города Екатеринбурга"</v>
      </c>
      <c r="G5492" s="22" t="s">
        <v>72</v>
      </c>
      <c r="H5492" s="22" t="s">
        <v>72</v>
      </c>
      <c r="I5492" s="26">
        <v>43647.469849537003</v>
      </c>
      <c r="J5492" s="28" t="s">
        <v>52</v>
      </c>
      <c r="K5492" s="28" t="s">
        <v>52</v>
      </c>
      <c r="L5492" s="28" t="s">
        <v>52</v>
      </c>
      <c r="M5492" s="25">
        <v>49950</v>
      </c>
      <c r="N5492" s="27">
        <v>0.28540772532188841</v>
      </c>
    </row>
    <row r="5493" spans="1:14" x14ac:dyDescent="0.15">
      <c r="A5493" s="23" t="str">
        <f>HYPERLINK("https://www.spark-marketing.ru/Card/Person/6240520", "ООО ЮКОРТ")</f>
        <v>ООО ЮКОРТ</v>
      </c>
      <c r="B5493" s="28" t="s">
        <v>52</v>
      </c>
      <c r="C5493" s="28" t="s">
        <v>52</v>
      </c>
      <c r="D5493" s="22" t="s">
        <v>7097</v>
      </c>
      <c r="E5493" s="22" t="s">
        <v>144</v>
      </c>
      <c r="F5493" s="23" t="str">
        <f>HYPERLINK("https://www.spark-marketing.ru/Card/Lot/71819448", "«Охранные услуги» для ООО «ЮКОРТ» в 2020 году")</f>
        <v>«Охранные услуги» для ООО «ЮКОРТ» в 2020 году</v>
      </c>
      <c r="G5493" s="22" t="s">
        <v>52</v>
      </c>
      <c r="H5493" s="22" t="s">
        <v>52</v>
      </c>
      <c r="I5493" s="26">
        <v>43647.484027777798</v>
      </c>
      <c r="J5493" s="28" t="s">
        <v>52</v>
      </c>
      <c r="K5493" s="28" t="s">
        <v>52</v>
      </c>
      <c r="L5493" s="28" t="s">
        <v>52</v>
      </c>
      <c r="M5493" s="28" t="s">
        <v>52</v>
      </c>
      <c r="N5493" s="28" t="s">
        <v>52</v>
      </c>
    </row>
    <row r="5494" spans="1:14" x14ac:dyDescent="0.15">
      <c r="A5494" s="23" t="str">
        <f>HYPERLINK("https://www.spark-marketing.ru/Card/Person/4647398", "ООО ""РУСАГРО-ЦЕНТР""")</f>
        <v>ООО "РУСАГРО-ЦЕНТР"</v>
      </c>
      <c r="B5494" s="24" t="s">
        <v>7098</v>
      </c>
      <c r="C5494" s="25">
        <v>600000</v>
      </c>
      <c r="D5494" s="22" t="s">
        <v>7099</v>
      </c>
      <c r="E5494" s="22" t="s">
        <v>937</v>
      </c>
      <c r="F5494" s="23" t="str">
        <f>HYPERLINK("https://www.spark-marketing.ru/Card/Lot/71823835", "На проведение пуско-наладочных работ по системам сигнализации, защиты, контуров контроля, регулирования, транспортной системы и сервисное обслуживания верхнего уровня АСУТП жомосушильного отделения ЗАО «Сахарный комбинат «Отрадинский»")</f>
        <v>На проведение пуско-наладочных работ по системам сигнализации, защиты, контуров контроля, регулирования, транспортной системы и сервисное обслуживания верхнего уровня АСУТП жомосушильного отделения ЗАО «Сахарный комбинат «Отрадинский»</v>
      </c>
      <c r="G5494" s="22" t="s">
        <v>55</v>
      </c>
      <c r="H5494" s="22" t="s">
        <v>55</v>
      </c>
      <c r="I5494" s="26">
        <v>43647.476261574098</v>
      </c>
      <c r="J5494" s="28" t="s">
        <v>52</v>
      </c>
      <c r="K5494" s="28" t="s">
        <v>52</v>
      </c>
      <c r="L5494" s="28" t="s">
        <v>52</v>
      </c>
      <c r="M5494" s="28" t="s">
        <v>52</v>
      </c>
      <c r="N5494" s="28" t="s">
        <v>52</v>
      </c>
    </row>
    <row r="5495" spans="1:14" x14ac:dyDescent="0.15">
      <c r="A5495" s="23" t="str">
        <f>HYPERLINK("https://www.spark-marketing.ru/Card/Person/171341", "ООО ""УАТ-НКНХ""")</f>
        <v>ООО "УАТ-НКНХ"</v>
      </c>
      <c r="B5495" s="24" t="s">
        <v>7100</v>
      </c>
      <c r="C5495" s="25">
        <v>9000</v>
      </c>
      <c r="D5495" s="22" t="s">
        <v>7101</v>
      </c>
      <c r="E5495" s="22" t="s">
        <v>53</v>
      </c>
      <c r="F5495" s="23" t="str">
        <f>HYPERLINK("https://www.spark-marketing.ru/Card/Lot/71832929", "Тревожная кнопка")</f>
        <v>Тревожная кнопка</v>
      </c>
      <c r="G5495" s="22" t="s">
        <v>204</v>
      </c>
      <c r="H5495" s="22" t="s">
        <v>824</v>
      </c>
      <c r="I5495" s="26">
        <v>43647.489918981497</v>
      </c>
      <c r="J5495" s="28" t="s">
        <v>52</v>
      </c>
      <c r="K5495" s="28" t="s">
        <v>52</v>
      </c>
      <c r="L5495" s="28" t="s">
        <v>52</v>
      </c>
      <c r="M5495" s="28" t="s">
        <v>52</v>
      </c>
      <c r="N5495" s="28" t="s">
        <v>52</v>
      </c>
    </row>
    <row r="5496" spans="1:14" x14ac:dyDescent="0.2">
      <c r="A5496" s="23" t="str">
        <f>HYPERLINK("https://www.spark-marketing.ru/Card/Person/1759706", "МАОУ ЧИКЧИНСКАЯ СОШ ИМ. ЯКИНА")</f>
        <v>МАОУ ЧИКЧИНСКАЯ СОШ ИМ. ЯКИНА</v>
      </c>
      <c r="B5496" s="24" t="s">
        <v>7102</v>
      </c>
      <c r="C5496" s="25">
        <v>1810560</v>
      </c>
      <c r="D5496" s="22" t="s">
        <v>7103</v>
      </c>
      <c r="E5496" s="22" t="s">
        <v>363</v>
      </c>
      <c r="F5496" s="23" t="str">
        <f>HYPERLINK("https://www.spark-marketing.ru/Card/Lot/71817126", "Оказание охранных услуг")</f>
        <v>Оказание охранных услуг</v>
      </c>
      <c r="G5496" s="22" t="s">
        <v>893</v>
      </c>
      <c r="H5496" s="22" t="s">
        <v>893</v>
      </c>
      <c r="I5496" s="26">
        <v>43647.490497685198</v>
      </c>
      <c r="J5496" s="28" t="s">
        <v>52</v>
      </c>
      <c r="K5496" s="28" t="s">
        <v>52</v>
      </c>
      <c r="L5496" s="28" t="s">
        <v>52</v>
      </c>
      <c r="M5496" s="25">
        <v>1810560</v>
      </c>
      <c r="N5496" s="27">
        <v>0</v>
      </c>
    </row>
    <row r="5497" spans="1:14" x14ac:dyDescent="0.15">
      <c r="A5497" s="23" t="str">
        <f>HYPERLINK("https://www.spark-marketing.ru/Card/Person/117077", "МЕЖРАЙОННАЯ ИФНС РОССИИ № 5 ПО УДМУРТСКОЙ РЕСПУБЛИКЕ")</f>
        <v>МЕЖРАЙОННАЯ ИФНС РОССИИ № 5 ПО УДМУРТСКОЙ РЕСПУБЛИКЕ</v>
      </c>
      <c r="B5497" s="24" t="s">
        <v>7104</v>
      </c>
      <c r="C5497" s="25">
        <v>21276.89</v>
      </c>
      <c r="D5497" s="22" t="s">
        <v>7105</v>
      </c>
      <c r="E5497" s="22" t="s">
        <v>53</v>
      </c>
      <c r="F5497" s="23" t="str">
        <f>HYPERLINK("https://www.spark-marketing.ru/Card/Lot/71817458", "Монтаж тревожной сигнализации в залах обслуживания клиентов и кабинетах № 208/1, 208/2, 210, 407, расположенных в административном здании по адресу: г. Сарапул, ул. Азина, д. 44")</f>
        <v>Монтаж тревожной сигнализации в залах обслуживания клиентов и кабинетах № 208/1, 208/2, 210, 407, расположенных в административном здании по адресу: г. Сарапул, ул. Азина, д. 44</v>
      </c>
      <c r="G5497" s="22" t="s">
        <v>96</v>
      </c>
      <c r="H5497" s="22" t="s">
        <v>7106</v>
      </c>
      <c r="I5497" s="26">
        <v>43647.4536689815</v>
      </c>
      <c r="J5497" s="28" t="s">
        <v>52</v>
      </c>
      <c r="K5497" s="28" t="s">
        <v>52</v>
      </c>
      <c r="L5497" s="28" t="s">
        <v>52</v>
      </c>
      <c r="M5497" s="28" t="s">
        <v>52</v>
      </c>
      <c r="N5497" s="28" t="s">
        <v>52</v>
      </c>
    </row>
    <row r="5498" spans="1:14" x14ac:dyDescent="0.15">
      <c r="A5498" s="23" t="str">
        <f>HYPERLINK("https://www.spark-marketing.ru/Card/Person/4344188", "РОСАВТОДОР")</f>
        <v>РОСАВТОДОР</v>
      </c>
      <c r="B5498" s="24" t="s">
        <v>7107</v>
      </c>
      <c r="C5498" s="25">
        <v>74380.56</v>
      </c>
      <c r="D5498" s="22" t="s">
        <v>7108</v>
      </c>
      <c r="E5498" s="22" t="s">
        <v>53</v>
      </c>
      <c r="F5498" s="23" t="str">
        <f>HYPERLINK("https://www.spark-marketing.ru/Card/Lot/71817375", "Охрана объектов, на которые частная охранная деятельность не распространяется, 1 усл. ед")</f>
        <v>Охрана объектов, на которые частная охранная деятельность не распространяется, 1 усл. ед</v>
      </c>
      <c r="G5498" s="22" t="s">
        <v>55</v>
      </c>
      <c r="H5498" s="22" t="s">
        <v>55</v>
      </c>
      <c r="I5498" s="26">
        <v>43647.436087962997</v>
      </c>
      <c r="J5498" s="28" t="s">
        <v>52</v>
      </c>
      <c r="K5498" s="28" t="s">
        <v>52</v>
      </c>
      <c r="L5498" s="28" t="s">
        <v>52</v>
      </c>
      <c r="M5498" s="28" t="s">
        <v>52</v>
      </c>
      <c r="N5498" s="28" t="s">
        <v>52</v>
      </c>
    </row>
    <row r="5499" spans="1:14" x14ac:dyDescent="0.15">
      <c r="A5499" s="23" t="str">
        <f>HYPERLINK("https://www.spark-marketing.ru/Card/Person/4347746", "КГБПОУ ""БИЙСКИЙ ТЕХНИКУМ ЛЕСНОГО ХОЗЯЙСТВА""")</f>
        <v>КГБПОУ "БИЙСКИЙ ТЕХНИКУМ ЛЕСНОГО ХОЗЯЙСТВА"</v>
      </c>
      <c r="B5499" s="24" t="s">
        <v>7109</v>
      </c>
      <c r="C5499" s="25">
        <v>6000</v>
      </c>
      <c r="D5499" s="22" t="s">
        <v>7110</v>
      </c>
      <c r="E5499" s="22" t="s">
        <v>59</v>
      </c>
      <c r="F5499" s="23" t="str">
        <f>HYPERLINK("https://www.spark-marketing.ru/Card/Lot/71817096", "Техническое обслуживание установок систем видеонаблюдения")</f>
        <v>Техническое обслуживание установок систем видеонаблюдения</v>
      </c>
      <c r="G5499" s="22" t="s">
        <v>428</v>
      </c>
      <c r="H5499" s="22" t="s">
        <v>5346</v>
      </c>
      <c r="I5499" s="26">
        <v>43647.449305555601</v>
      </c>
      <c r="J5499" s="28" t="s">
        <v>52</v>
      </c>
      <c r="K5499" s="28" t="s">
        <v>52</v>
      </c>
      <c r="L5499" s="28" t="s">
        <v>52</v>
      </c>
      <c r="M5499" s="28" t="s">
        <v>52</v>
      </c>
      <c r="N5499" s="28" t="s">
        <v>52</v>
      </c>
    </row>
    <row r="5500" spans="1:14" x14ac:dyDescent="0.15">
      <c r="A5500" s="23" t="str">
        <f>HYPERLINK("https://www.spark-marketing.ru/Card/Person/83845", "МДОУ ЦРР №22")</f>
        <v>МДОУ ЦРР №22</v>
      </c>
      <c r="B5500" s="24" t="s">
        <v>7111</v>
      </c>
      <c r="C5500" s="25">
        <v>23088</v>
      </c>
      <c r="D5500" s="22" t="s">
        <v>7112</v>
      </c>
      <c r="E5500" s="22" t="s">
        <v>107</v>
      </c>
      <c r="F5500" s="23" t="str">
        <f>HYPERLINK("https://www.spark-marketing.ru/Card/Lot/71817902", "Услуги по техническому обслуживанию видеодомофонов")</f>
        <v>Услуги по техническому обслуживанию видеодомофонов</v>
      </c>
      <c r="G5500" s="22" t="s">
        <v>50</v>
      </c>
      <c r="H5500" s="22" t="s">
        <v>7113</v>
      </c>
      <c r="I5500" s="26">
        <v>43647.451377314799</v>
      </c>
      <c r="J5500" s="28" t="s">
        <v>52</v>
      </c>
      <c r="K5500" s="28" t="s">
        <v>52</v>
      </c>
      <c r="L5500" s="28" t="s">
        <v>52</v>
      </c>
      <c r="M5500" s="28" t="s">
        <v>52</v>
      </c>
      <c r="N5500" s="28" t="s">
        <v>52</v>
      </c>
    </row>
    <row r="5501" spans="1:14" x14ac:dyDescent="0.15">
      <c r="A5501" s="23" t="str">
        <f>HYPERLINK("https://www.spark-marketing.ru/Card/Person/61040", "СУ СК РОССИИ ПО ПРИМОРСКОМУ КРАЮ")</f>
        <v>СУ СК РОССИИ ПО ПРИМОРСКОМУ КРАЮ</v>
      </c>
      <c r="B5501" s="24" t="s">
        <v>6163</v>
      </c>
      <c r="C5501" s="25">
        <v>216778.8</v>
      </c>
      <c r="D5501" s="22" t="s">
        <v>7114</v>
      </c>
      <c r="E5501" s="22" t="s">
        <v>68</v>
      </c>
      <c r="F5501" s="23" t="str">
        <f>HYPERLINK("https://www.spark-marketing.ru/Card/Lot/71826325", "Оказание охранных услуг путем мониторинга технических средств охраны объектов")</f>
        <v>Оказание охранных услуг путем мониторинга технических средств охраны объектов</v>
      </c>
      <c r="G5501" s="22" t="s">
        <v>409</v>
      </c>
      <c r="H5501" s="22" t="s">
        <v>409</v>
      </c>
      <c r="I5501" s="26">
        <v>43647.409027777801</v>
      </c>
      <c r="J5501" s="28" t="s">
        <v>52</v>
      </c>
      <c r="K5501" s="28" t="s">
        <v>52</v>
      </c>
      <c r="L5501" s="28" t="s">
        <v>52</v>
      </c>
      <c r="M5501" s="28" t="s">
        <v>52</v>
      </c>
      <c r="N5501" s="28" t="s">
        <v>52</v>
      </c>
    </row>
    <row r="5502" spans="1:14" ht="12.75" x14ac:dyDescent="0.2">
      <c r="A5502" s="23" t="str">
        <f>HYPERLINK("https://www.spark-marketing.ru/Card/Person/10834", "ГКУ КО ""ДИРЕКЦИЯ АВТОДОРОГ КУЗБАССА""")</f>
        <v>ГКУ КО "ДИРЕКЦИЯ АВТОДОРОГ КУЗБАССА"</v>
      </c>
      <c r="B5502" s="24" t="s">
        <v>1499</v>
      </c>
      <c r="C5502" s="25">
        <v>377737.4</v>
      </c>
      <c r="D5502" s="22" t="s">
        <v>7115</v>
      </c>
      <c r="E5502" s="22" t="s">
        <v>723</v>
      </c>
      <c r="F5502" s="23" t="str">
        <f>HYPERLINK("https://www.spark-marketing.ru/Card/Lot/71824823",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автомобильных дорогах об...")</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автомобильных дорогах об...</v>
      </c>
      <c r="G5502" s="22" t="s">
        <v>367</v>
      </c>
      <c r="H5502" s="22" t="s">
        <v>881</v>
      </c>
      <c r="I5502" s="26">
        <v>43647.355555555601</v>
      </c>
      <c r="J5502" s="23" t="str">
        <f>HYPERLINK("https://www.spark-marketing.ru/Card/Person/264779", "ООО ""ПРОСИСТЕМ""")</f>
        <v>ООО "ПРОСИСТЕМ"</v>
      </c>
      <c r="K5502" s="24" t="s">
        <v>1528</v>
      </c>
      <c r="L5502" s="22" t="s">
        <v>10</v>
      </c>
      <c r="M5502" s="25">
        <v>359115</v>
      </c>
      <c r="N5502" s="27">
        <v>4.9299857520065528E-2</v>
      </c>
    </row>
    <row r="5503" spans="1:14" x14ac:dyDescent="0.15">
      <c r="A5503" s="23" t="str">
        <f>HYPERLINK("https://www.spark-marketing.ru/Card/Person/10834", "ГКУ КО ""ДИРЕКЦИЯ АВТОДОРОГ КУЗБАССА""")</f>
        <v>ГКУ КО "ДИРЕКЦИЯ АВТОДОРОГ КУЗБАССА"</v>
      </c>
      <c r="B5503" s="24" t="s">
        <v>1499</v>
      </c>
      <c r="C5503" s="25">
        <v>5169407.4000000004</v>
      </c>
      <c r="D5503" s="22" t="s">
        <v>7116</v>
      </c>
      <c r="E5503" s="22" t="s">
        <v>723</v>
      </c>
      <c r="F5503" s="23" t="str">
        <f>HYPERLINK("https://www.spark-marketing.ru/Card/Lot/71824824",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автомобильных дорогах об...")</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автомобильных дорогах об...</v>
      </c>
      <c r="G5503" s="22" t="s">
        <v>367</v>
      </c>
      <c r="H5503" s="22" t="s">
        <v>881</v>
      </c>
      <c r="I5503" s="26">
        <v>43647.338888888902</v>
      </c>
      <c r="J5503" s="23" t="str">
        <f>HYPERLINK("https://www.spark-marketing.ru/Card/Person/264779", "ООО ""ПРОСИСТЕМ""")</f>
        <v>ООО "ПРОСИСТЕМ"</v>
      </c>
      <c r="K5503" s="24" t="s">
        <v>1528</v>
      </c>
      <c r="L5503" s="22" t="s">
        <v>10</v>
      </c>
      <c r="M5503" s="28" t="s">
        <v>52</v>
      </c>
      <c r="N5503" s="28" t="s">
        <v>52</v>
      </c>
    </row>
    <row r="5504" spans="1:14" x14ac:dyDescent="0.15">
      <c r="A5504" s="23" t="str">
        <f>HYPERLINK("https://www.spark-marketing.ru/Card/Person/16369", "УФССП РОССИИ ПО ВОЛГОГРАДСКОЙ ОБЛАСТИ")</f>
        <v>УФССП РОССИИ ПО ВОЛГОГРАДСКОЙ ОБЛАСТИ</v>
      </c>
      <c r="B5504" s="24" t="s">
        <v>7117</v>
      </c>
      <c r="C5504" s="25">
        <v>27600</v>
      </c>
      <c r="D5504" s="22" t="s">
        <v>7118</v>
      </c>
      <c r="E5504" s="22" t="s">
        <v>53</v>
      </c>
      <c r="F5504" s="23" t="str">
        <f>HYPERLINK("https://www.spark-marketing.ru/Card/Lot/71815136", "Услуги пультовой охраны с использованием тревожной кнопки, 6 шт")</f>
        <v>Услуги пультовой охраны с использованием тревожной кнопки, 6 шт</v>
      </c>
      <c r="G5504" s="22" t="s">
        <v>343</v>
      </c>
      <c r="H5504" s="22" t="s">
        <v>344</v>
      </c>
      <c r="I5504" s="26">
        <v>43647.342708333301</v>
      </c>
      <c r="J5504" s="28" t="s">
        <v>52</v>
      </c>
      <c r="K5504" s="28" t="s">
        <v>52</v>
      </c>
      <c r="L5504" s="28" t="s">
        <v>52</v>
      </c>
      <c r="M5504" s="28" t="s">
        <v>52</v>
      </c>
      <c r="N5504" s="28" t="s">
        <v>52</v>
      </c>
    </row>
    <row r="5505" spans="1:14" x14ac:dyDescent="0.15">
      <c r="A5505" s="23" t="str">
        <f>HYPERLINK("https://www.spark-marketing.ru/Card/Person/6299", "КГБСУСО ""МАМОНТОВСКИЙ ПСИХОНЕВРОЛОГИЧЕСКИЙ ИНТЕРНАТ""")</f>
        <v>КГБСУСО "МАМОНТОВСКИЙ ПСИХОНЕВРОЛОГИЧЕСКИЙ ИНТЕРНАТ"</v>
      </c>
      <c r="B5505" s="24" t="s">
        <v>7119</v>
      </c>
      <c r="C5505" s="25">
        <v>39600</v>
      </c>
      <c r="D5505" s="22" t="s">
        <v>7120</v>
      </c>
      <c r="E5505" s="22" t="s">
        <v>1013</v>
      </c>
      <c r="F5505" s="23" t="str">
        <f>HYPERLINK("https://www.spark-marketing.ru/Card/Lot/71813974", "Техническое обслуживание системы видеонаблюдения")</f>
        <v>Техническое обслуживание системы видеонаблюдения</v>
      </c>
      <c r="G5505" s="22" t="s">
        <v>428</v>
      </c>
      <c r="H5505" s="22" t="s">
        <v>7121</v>
      </c>
      <c r="I5505" s="26">
        <v>43647.302083333299</v>
      </c>
      <c r="J5505" s="28" t="s">
        <v>52</v>
      </c>
      <c r="K5505" s="28" t="s">
        <v>52</v>
      </c>
      <c r="L5505" s="28" t="s">
        <v>52</v>
      </c>
      <c r="M5505" s="28" t="s">
        <v>52</v>
      </c>
      <c r="N5505" s="28" t="s">
        <v>52</v>
      </c>
    </row>
    <row r="5506" spans="1:14" x14ac:dyDescent="0.15">
      <c r="A5506" s="23" t="str">
        <f>HYPERLINK("https://www.spark-marketing.ru/Card/Person/342005", "УПРАВЛЕНИЕ МИНЮСТА РОССИИ ПО КАМЧАТСКОМУ КРАЮ")</f>
        <v>УПРАВЛЕНИЕ МИНЮСТА РОССИИ ПО КАМЧАТСКОМУ КРАЮ</v>
      </c>
      <c r="B5506" s="24" t="s">
        <v>7122</v>
      </c>
      <c r="C5506" s="25">
        <v>16936</v>
      </c>
      <c r="D5506" s="22" t="s">
        <v>7123</v>
      </c>
      <c r="E5506" s="22" t="s">
        <v>53</v>
      </c>
      <c r="F5506" s="23" t="str">
        <f>HYPERLINK("https://www.spark-marketing.ru/Card/Lot/71813662", "Охрана объектов, на которые частная охранная деятельность не распространяется, 1 усл. ед")</f>
        <v>Охрана объектов, на которые частная охранная деятельность не распространяется, 1 усл. ед</v>
      </c>
      <c r="G5506" s="22" t="s">
        <v>1141</v>
      </c>
      <c r="H5506" s="22" t="s">
        <v>1142</v>
      </c>
      <c r="I5506" s="26">
        <v>43647.237314814804</v>
      </c>
      <c r="J5506" s="28" t="s">
        <v>52</v>
      </c>
      <c r="K5506" s="28" t="s">
        <v>52</v>
      </c>
      <c r="L5506" s="28" t="s">
        <v>52</v>
      </c>
      <c r="M5506" s="28" t="s">
        <v>52</v>
      </c>
      <c r="N5506" s="28" t="s">
        <v>52</v>
      </c>
    </row>
    <row r="5507" spans="1:14" x14ac:dyDescent="0.15">
      <c r="A5507" s="23" t="str">
        <f>HYPERLINK("https://www.spark-marketing.ru/Card/Person/255000", "МБДОУ ""ДЕТСКИЙ САД ОБЩЕРАЗВИВАЮЩЕГО ВИДА № 3"" НМР РТ")</f>
        <v>МБДОУ "ДЕТСКИЙ САД ОБЩЕРАЗВИВАЮЩЕГО ВИДА № 3" НМР РТ</v>
      </c>
      <c r="B5507" s="24" t="s">
        <v>2028</v>
      </c>
      <c r="C5507" s="25">
        <v>8800</v>
      </c>
      <c r="D5507" s="22" t="s">
        <v>7124</v>
      </c>
      <c r="E5507" s="22" t="s">
        <v>53</v>
      </c>
      <c r="F5507" s="23" t="str">
        <f>HYPERLINK("https://www.spark-marketing.ru/Card/Lot/73761301", "Техническое обслуживание системы видеонаблюдения")</f>
        <v>Техническое обслуживание системы видеонаблюдения</v>
      </c>
      <c r="G5507" s="22" t="s">
        <v>204</v>
      </c>
      <c r="H5507" s="22" t="s">
        <v>824</v>
      </c>
      <c r="I5507" s="26">
        <v>43647.499305555597</v>
      </c>
      <c r="J5507" s="28" t="s">
        <v>52</v>
      </c>
      <c r="K5507" s="28" t="s">
        <v>52</v>
      </c>
      <c r="L5507" s="28" t="s">
        <v>52</v>
      </c>
      <c r="M5507" s="28" t="s">
        <v>52</v>
      </c>
      <c r="N5507" s="28" t="s">
        <v>52</v>
      </c>
    </row>
    <row r="5508" spans="1:14" x14ac:dyDescent="0.15">
      <c r="A5508" s="23" t="str">
        <f>HYPERLINK("https://www.spark-marketing.ru/Card/Person/6450322", "ЗАКАЗЧИК РП БЕЛАРУСЬ")</f>
        <v>ЗАКАЗЧИК РП БЕЛАРУСЬ</v>
      </c>
      <c r="B5508" s="28" t="s">
        <v>52</v>
      </c>
      <c r="C5508" s="25">
        <v>234402.72899999999</v>
      </c>
      <c r="D5508" s="22" t="s">
        <v>7125</v>
      </c>
      <c r="E5508" s="22" t="s">
        <v>53</v>
      </c>
      <c r="F5508" s="23" t="str">
        <f>HYPERLINK("https://www.spark-marketing.ru/Card/Lot/71820966", "Приборы приемно-контрольные охранные 8-и шлейфные, обеспечивающие поддержку сети 3G (технологии GPRS/UMTS), передачу данных в сетях двух операторов сотовой подвижной электросвязи, для работы в составе АСОС «Алеся»")</f>
        <v>Приборы приемно-контрольные охранные 8-и шлейфные, обеспечивающие поддержку сети 3G (технологии GPRS/UMTS), передачу данных в сетях двух операторов сотовой подвижной электросвязи, для работы в составе АСОС «Алеся»</v>
      </c>
      <c r="G5508" s="22" t="s">
        <v>52</v>
      </c>
      <c r="H5508" s="22" t="s">
        <v>52</v>
      </c>
      <c r="I5508" s="26">
        <v>43647</v>
      </c>
      <c r="J5508" s="28" t="s">
        <v>52</v>
      </c>
      <c r="K5508" s="28" t="s">
        <v>52</v>
      </c>
      <c r="L5508" s="28" t="s">
        <v>52</v>
      </c>
      <c r="M5508" s="28" t="s">
        <v>52</v>
      </c>
      <c r="N5508" s="28" t="s">
        <v>52</v>
      </c>
    </row>
    <row r="5509" spans="1:14" x14ac:dyDescent="0.15">
      <c r="A5509" s="23" t="str">
        <f>HYPERLINK("https://www.spark-marketing.ru/Card/Person/6450322", "ЗАКАЗЧИК РП БЕЛАРУСЬ")</f>
        <v>ЗАКАЗЧИК РП БЕЛАРУСЬ</v>
      </c>
      <c r="B5509" s="28" t="s">
        <v>52</v>
      </c>
      <c r="C5509" s="25">
        <v>3604829.8475000001</v>
      </c>
      <c r="D5509" s="22" t="s">
        <v>7125</v>
      </c>
      <c r="E5509" s="22" t="s">
        <v>53</v>
      </c>
      <c r="F5509" s="23" t="str">
        <f>HYPERLINK("https://www.spark-marketing.ru/Card/Lot/71820970", "Приборы приемно-контрольные охранные 4-х шлейфные, обеспечивающие поддержку сети 3G (технологии GPRS/UMTS), передачу данных в сетях двух операторов сотовой подвижной электросвязи, для работы в составе РСПИ «Новатех РДО» или АСОС «Алеся»")</f>
        <v>Приборы приемно-контрольные охранные 4-х шлейфные, обеспечивающие поддержку сети 3G (технологии GPRS/UMTS), передачу данных в сетях двух операторов сотовой подвижной электросвязи, для работы в составе РСПИ «Новатех РДО» или АСОС «Алеся»</v>
      </c>
      <c r="G5509" s="22" t="s">
        <v>52</v>
      </c>
      <c r="H5509" s="22" t="s">
        <v>52</v>
      </c>
      <c r="I5509" s="26">
        <v>43647</v>
      </c>
      <c r="J5509" s="28" t="s">
        <v>52</v>
      </c>
      <c r="K5509" s="28" t="s">
        <v>52</v>
      </c>
      <c r="L5509" s="28" t="s">
        <v>52</v>
      </c>
      <c r="M5509" s="28" t="s">
        <v>52</v>
      </c>
      <c r="N5509" s="28" t="s">
        <v>52</v>
      </c>
    </row>
    <row r="5510" spans="1:14" x14ac:dyDescent="0.15">
      <c r="A5510" s="23" t="str">
        <f>HYPERLINK("https://www.spark-marketing.ru/Card/Person/1338911", "ООО ""НОРНИКЕЛЬ - ОБЩИЙ ЦЕНТР ОБСЛУЖИВАНИЯ""")</f>
        <v>ООО "НОРНИКЕЛЬ - ОБЩИЙ ЦЕНТР ОБСЛУЖИВАНИЯ"</v>
      </c>
      <c r="B5510" s="24" t="s">
        <v>162</v>
      </c>
      <c r="C5510" s="28" t="s">
        <v>52</v>
      </c>
      <c r="D5510" s="28" t="s">
        <v>52</v>
      </c>
      <c r="E5510" s="22" t="s">
        <v>53</v>
      </c>
      <c r="F5510" s="23" t="str">
        <f>HYPERLINK("https://www.spark-marketing.ru/Card/Lot/71817515", "Выполнение работ по оснащению системой видеонаблюдения зданий ООО «Норильскремонт» для нужд Заполярного филиала «Норникель-Общий центр обслуживания». (НО-658).")</f>
        <v>Выполнение работ по оснащению системой видеонаблюдения зданий ООО «Норильскремонт» для нужд Заполярного филиала «Норникель-Общий центр обслуживания». (НО-658).</v>
      </c>
      <c r="G5510" s="22" t="s">
        <v>55</v>
      </c>
      <c r="H5510" s="22" t="s">
        <v>55</v>
      </c>
      <c r="I5510" s="26">
        <v>43647</v>
      </c>
      <c r="J5510" s="28" t="s">
        <v>52</v>
      </c>
      <c r="K5510" s="28" t="s">
        <v>52</v>
      </c>
      <c r="L5510" s="28" t="s">
        <v>52</v>
      </c>
      <c r="M5510" s="28" t="s">
        <v>52</v>
      </c>
      <c r="N5510" s="28" t="s">
        <v>52</v>
      </c>
    </row>
    <row r="5511" spans="1:14" x14ac:dyDescent="0.15">
      <c r="A5511" s="23" t="str">
        <f t="shared" ref="A5511:A5519" si="234">HYPERLINK("https://www.spark-marketing.ru/Card/Person/6450322", "ЗАКАЗЧИК РП БЕЛАРУСЬ")</f>
        <v>ЗАКАЗЧИК РП БЕЛАРУСЬ</v>
      </c>
      <c r="B5511" s="28" t="s">
        <v>52</v>
      </c>
      <c r="C5511" s="25">
        <v>336625.79</v>
      </c>
      <c r="D5511" s="22" t="s">
        <v>7125</v>
      </c>
      <c r="E5511" s="22" t="s">
        <v>53</v>
      </c>
      <c r="F5511" s="23" t="str">
        <f>HYPERLINK("https://www.spark-marketing.ru/Card/Lot/71820972", "Приборы приемно-контрольные охранные 4-х шлейфные, обеспечивающие поддержку по двум активным каналам связи (Ethernet и GSM), для работы в составе РСПИ «Новатех РДО» или АСОС «Алеся»")</f>
        <v>Приборы приемно-контрольные охранные 4-х шлейфные, обеспечивающие поддержку по двум активным каналам связи (Ethernet и GSM), для работы в составе РСПИ «Новатех РДО» или АСОС «Алеся»</v>
      </c>
      <c r="G5511" s="22" t="s">
        <v>52</v>
      </c>
      <c r="H5511" s="22" t="s">
        <v>52</v>
      </c>
      <c r="I5511" s="26">
        <v>43647</v>
      </c>
      <c r="J5511" s="28" t="s">
        <v>52</v>
      </c>
      <c r="K5511" s="28" t="s">
        <v>52</v>
      </c>
      <c r="L5511" s="28" t="s">
        <v>52</v>
      </c>
      <c r="M5511" s="28" t="s">
        <v>52</v>
      </c>
      <c r="N5511" s="28" t="s">
        <v>52</v>
      </c>
    </row>
    <row r="5512" spans="1:14" x14ac:dyDescent="0.15">
      <c r="A5512" s="23" t="str">
        <f t="shared" si="234"/>
        <v>ЗАКАЗЧИК РП БЕЛАРУСЬ</v>
      </c>
      <c r="B5512" s="28" t="s">
        <v>52</v>
      </c>
      <c r="C5512" s="25">
        <v>359479.28399999999</v>
      </c>
      <c r="D5512" s="22" t="s">
        <v>7125</v>
      </c>
      <c r="E5512" s="22" t="s">
        <v>53</v>
      </c>
      <c r="F5512" s="23" t="str">
        <f>HYPERLINK("https://www.spark-marketing.ru/Card/Lot/71820969", "Блоки или модули в отдельном корпусе, совместимые со всеми ППКО, обеспечивающие поддержку сети 3G (технологии GPRS/UMTS), передачу данных в сетях двух операторов сотовой подвижной электросвязи, для работы в составе АСОС «Алеся»")</f>
        <v>Блоки или модули в отдельном корпусе, совместимые со всеми ППКО, обеспечивающие поддержку сети 3G (технологии GPRS/UMTS), передачу данных в сетях двух операторов сотовой подвижной электросвязи, для работы в составе АСОС «Алеся»</v>
      </c>
      <c r="G5512" s="22" t="s">
        <v>52</v>
      </c>
      <c r="H5512" s="22" t="s">
        <v>52</v>
      </c>
      <c r="I5512" s="26">
        <v>43647</v>
      </c>
      <c r="J5512" s="28" t="s">
        <v>52</v>
      </c>
      <c r="K5512" s="28" t="s">
        <v>52</v>
      </c>
      <c r="L5512" s="28" t="s">
        <v>52</v>
      </c>
      <c r="M5512" s="28" t="s">
        <v>52</v>
      </c>
      <c r="N5512" s="28" t="s">
        <v>52</v>
      </c>
    </row>
    <row r="5513" spans="1:14" x14ac:dyDescent="0.15">
      <c r="A5513" s="23" t="str">
        <f t="shared" si="234"/>
        <v>ЗАКАЗЧИК РП БЕЛАРУСЬ</v>
      </c>
      <c r="B5513" s="28" t="s">
        <v>52</v>
      </c>
      <c r="C5513" s="25">
        <v>385421.08799999999</v>
      </c>
      <c r="D5513" s="22" t="s">
        <v>7125</v>
      </c>
      <c r="E5513" s="22" t="s">
        <v>53</v>
      </c>
      <c r="F5513" s="23" t="str">
        <f>HYPERLINK("https://www.spark-marketing.ru/Card/Lot/71820973", "Приборы приемно-контрольные охранные 8-и шлейфные, обеспечивающие поддержку по двум активным каналам связи (Ethernet и GSM), для работы в составе РСПИ «Новатех РДО» или АСОС «Алеся»")</f>
        <v>Приборы приемно-контрольные охранные 8-и шлейфные, обеспечивающие поддержку по двум активным каналам связи (Ethernet и GSM), для работы в составе РСПИ «Новатех РДО» или АСОС «Алеся»</v>
      </c>
      <c r="G5513" s="22" t="s">
        <v>52</v>
      </c>
      <c r="H5513" s="22" t="s">
        <v>52</v>
      </c>
      <c r="I5513" s="26">
        <v>43647</v>
      </c>
      <c r="J5513" s="28" t="s">
        <v>52</v>
      </c>
      <c r="K5513" s="28" t="s">
        <v>52</v>
      </c>
      <c r="L5513" s="28" t="s">
        <v>52</v>
      </c>
      <c r="M5513" s="28" t="s">
        <v>52</v>
      </c>
      <c r="N5513" s="28" t="s">
        <v>52</v>
      </c>
    </row>
    <row r="5514" spans="1:14" x14ac:dyDescent="0.15">
      <c r="A5514" s="23" t="str">
        <f t="shared" si="234"/>
        <v>ЗАКАЗЧИК РП БЕЛАРУСЬ</v>
      </c>
      <c r="B5514" s="28" t="s">
        <v>52</v>
      </c>
      <c r="C5514" s="25">
        <v>532733.47499999998</v>
      </c>
      <c r="D5514" s="22" t="s">
        <v>7125</v>
      </c>
      <c r="E5514" s="22" t="s">
        <v>53</v>
      </c>
      <c r="F5514" s="23" t="str">
        <f>HYPERLINK("https://www.spark-marketing.ru/Card/Lot/71820971", "Приборы приемно-контрольные охранные 8-и шлейфные, обеспечивающие поддержку сети 3G (технологии GPRS/UMTS), передачу данных в сетях двух операторов сотовой подвижной электросвязи, для работы в составе РСПИ «Новатех РДО» или АСОС «Алеся»")</f>
        <v>Приборы приемно-контрольные охранные 8-и шлейфные, обеспечивающие поддержку сети 3G (технологии GPRS/UMTS), передачу данных в сетях двух операторов сотовой подвижной электросвязи, для работы в составе РСПИ «Новатех РДО» или АСОС «Алеся»</v>
      </c>
      <c r="G5514" s="22" t="s">
        <v>52</v>
      </c>
      <c r="H5514" s="22" t="s">
        <v>52</v>
      </c>
      <c r="I5514" s="26">
        <v>43647</v>
      </c>
      <c r="J5514" s="28" t="s">
        <v>52</v>
      </c>
      <c r="K5514" s="28" t="s">
        <v>52</v>
      </c>
      <c r="L5514" s="28" t="s">
        <v>52</v>
      </c>
      <c r="M5514" s="28" t="s">
        <v>52</v>
      </c>
      <c r="N5514" s="28" t="s">
        <v>52</v>
      </c>
    </row>
    <row r="5515" spans="1:14" x14ac:dyDescent="0.15">
      <c r="A5515" s="23" t="str">
        <f t="shared" si="234"/>
        <v>ЗАКАЗЧИК РП БЕЛАРУСЬ</v>
      </c>
      <c r="B5515" s="28" t="s">
        <v>52</v>
      </c>
      <c r="C5515" s="25">
        <v>571337.35</v>
      </c>
      <c r="D5515" s="22" t="s">
        <v>7126</v>
      </c>
      <c r="E5515" s="22" t="s">
        <v>53</v>
      </c>
      <c r="F5515" s="23" t="str">
        <f>HYPERLINK("https://www.spark-marketing.ru/Card/Lot/71820995", "Персональные носимые видеорегистраторы с настольной установкой для зарядки")</f>
        <v>Персональные носимые видеорегистраторы с настольной установкой для зарядки</v>
      </c>
      <c r="G5515" s="22" t="s">
        <v>52</v>
      </c>
      <c r="H5515" s="22" t="s">
        <v>52</v>
      </c>
      <c r="I5515" s="26">
        <v>43647</v>
      </c>
      <c r="J5515" s="28" t="s">
        <v>52</v>
      </c>
      <c r="K5515" s="28" t="s">
        <v>52</v>
      </c>
      <c r="L5515" s="28" t="s">
        <v>52</v>
      </c>
      <c r="M5515" s="28" t="s">
        <v>52</v>
      </c>
      <c r="N5515" s="28" t="s">
        <v>52</v>
      </c>
    </row>
    <row r="5516" spans="1:14" x14ac:dyDescent="0.15">
      <c r="A5516" s="23" t="str">
        <f t="shared" si="234"/>
        <v>ЗАКАЗЧИК РП БЕЛАРУСЬ</v>
      </c>
      <c r="B5516" s="28" t="s">
        <v>52</v>
      </c>
      <c r="C5516" s="25">
        <v>169857.05</v>
      </c>
      <c r="D5516" s="22" t="s">
        <v>7125</v>
      </c>
      <c r="E5516" s="22" t="s">
        <v>53</v>
      </c>
      <c r="F5516" s="23" t="str">
        <f>HYPERLINK("https://www.spark-marketing.ru/Card/Lot/71820967", "Приборы приемно-контрольные охранные 4-х шлейфные, обеспечивающие поддержку по двум активным каналам связи (Ethernet и GSM), для работы в составе АСОС «Алеся»")</f>
        <v>Приборы приемно-контрольные охранные 4-х шлейфные, обеспечивающие поддержку по двум активным каналам связи (Ethernet и GSM), для работы в составе АСОС «Алеся»</v>
      </c>
      <c r="G5516" s="22" t="s">
        <v>52</v>
      </c>
      <c r="H5516" s="22" t="s">
        <v>52</v>
      </c>
      <c r="I5516" s="26">
        <v>43647</v>
      </c>
      <c r="J5516" s="28" t="s">
        <v>52</v>
      </c>
      <c r="K5516" s="28" t="s">
        <v>52</v>
      </c>
      <c r="L5516" s="28" t="s">
        <v>52</v>
      </c>
      <c r="M5516" s="28" t="s">
        <v>52</v>
      </c>
      <c r="N5516" s="28" t="s">
        <v>52</v>
      </c>
    </row>
    <row r="5517" spans="1:14" x14ac:dyDescent="0.15">
      <c r="A5517" s="23" t="str">
        <f t="shared" si="234"/>
        <v>ЗАКАЗЧИК РП БЕЛАРУСЬ</v>
      </c>
      <c r="B5517" s="28" t="s">
        <v>52</v>
      </c>
      <c r="C5517" s="25">
        <v>177886.65599999999</v>
      </c>
      <c r="D5517" s="22" t="s">
        <v>7125</v>
      </c>
      <c r="E5517" s="22" t="s">
        <v>53</v>
      </c>
      <c r="F5517" s="23" t="str">
        <f>HYPERLINK("https://www.spark-marketing.ru/Card/Lot/71820968", "Приборы приемно-контрольные охранные 8-и шлейфные, обеспечивающие поддержку по двум активным каналам связи (Ethernet и GSM), для работы в составе АСОС «Алеся»")</f>
        <v>Приборы приемно-контрольные охранные 8-и шлейфные, обеспечивающие поддержку по двум активным каналам связи (Ethernet и GSM), для работы в составе АСОС «Алеся»</v>
      </c>
      <c r="G5517" s="22" t="s">
        <v>52</v>
      </c>
      <c r="H5517" s="22" t="s">
        <v>52</v>
      </c>
      <c r="I5517" s="26">
        <v>43647</v>
      </c>
      <c r="J5517" s="28" t="s">
        <v>52</v>
      </c>
      <c r="K5517" s="28" t="s">
        <v>52</v>
      </c>
      <c r="L5517" s="28" t="s">
        <v>52</v>
      </c>
      <c r="M5517" s="28" t="s">
        <v>52</v>
      </c>
      <c r="N5517" s="28" t="s">
        <v>52</v>
      </c>
    </row>
    <row r="5518" spans="1:14" x14ac:dyDescent="0.15">
      <c r="A5518" s="23" t="str">
        <f t="shared" si="234"/>
        <v>ЗАКАЗЧИК РП БЕЛАРУСЬ</v>
      </c>
      <c r="B5518" s="28" t="s">
        <v>52</v>
      </c>
      <c r="C5518" s="25">
        <v>864726.8</v>
      </c>
      <c r="D5518" s="22" t="s">
        <v>7125</v>
      </c>
      <c r="E5518" s="22" t="s">
        <v>53</v>
      </c>
      <c r="F5518" s="23" t="str">
        <f>HYPERLINK("https://www.spark-marketing.ru/Card/Lot/71821037", "Блоки или модули в отдельном корпусе, совместимые со всеми ППКО, обеспечивающие поддержку сети 3G (технологии GPRS/UMTS), передачу данных в сетях двух операторов сотовой подвижной электросвязи, для работы в составе РСПИ «Новатех РДО» или АСОС «Алеся»...")</f>
        <v>Блоки или модули в отдельном корпусе, совместимые со всеми ППКО, обеспечивающие поддержку сети 3G (технологии GPRS/UMTS), передачу данных в сетях двух операторов сотовой подвижной электросвязи, для работы в составе РСПИ «Новатех РДО» или АСОС «Алеся»...</v>
      </c>
      <c r="G5518" s="22" t="s">
        <v>52</v>
      </c>
      <c r="H5518" s="22" t="s">
        <v>52</v>
      </c>
      <c r="I5518" s="26">
        <v>43647</v>
      </c>
      <c r="J5518" s="28" t="s">
        <v>52</v>
      </c>
      <c r="K5518" s="28" t="s">
        <v>52</v>
      </c>
      <c r="L5518" s="28" t="s">
        <v>52</v>
      </c>
      <c r="M5518" s="28" t="s">
        <v>52</v>
      </c>
      <c r="N5518" s="28" t="s">
        <v>52</v>
      </c>
    </row>
    <row r="5519" spans="1:14" x14ac:dyDescent="0.15">
      <c r="A5519" s="23" t="str">
        <f t="shared" si="234"/>
        <v>ЗАКАЗЧИК РП БЕЛАРУСЬ</v>
      </c>
      <c r="B5519" s="28" t="s">
        <v>52</v>
      </c>
      <c r="C5519" s="25">
        <v>1267442.4240000001</v>
      </c>
      <c r="D5519" s="22" t="s">
        <v>7125</v>
      </c>
      <c r="E5519" s="22" t="s">
        <v>53</v>
      </c>
      <c r="F5519" s="23" t="str">
        <f>HYPERLINK("https://www.spark-marketing.ru/Card/Lot/71820965", "Приборы приемно-контрольные охранные 4-х шлейфные, обеспечивающие поддержку сети 3G (технологии GPRS/UMTS), передачу данных в сетях двух операторов сотовой подвижной электросвязи, для работы в составе АСОС «Алеся»")</f>
        <v>Приборы приемно-контрольные охранные 4-х шлейфные, обеспечивающие поддержку сети 3G (технологии GPRS/UMTS), передачу данных в сетях двух операторов сотовой подвижной электросвязи, для работы в составе АСОС «Алеся»</v>
      </c>
      <c r="G5519" s="22" t="s">
        <v>52</v>
      </c>
      <c r="H5519" s="22" t="s">
        <v>52</v>
      </c>
      <c r="I5519" s="26">
        <v>43647</v>
      </c>
      <c r="J5519" s="28" t="s">
        <v>52</v>
      </c>
      <c r="K5519" s="28" t="s">
        <v>52</v>
      </c>
      <c r="L5519" s="28" t="s">
        <v>52</v>
      </c>
      <c r="M5519" s="28" t="s">
        <v>52</v>
      </c>
      <c r="N5519" s="28" t="s">
        <v>52</v>
      </c>
    </row>
    <row r="5520" spans="1:14" x14ac:dyDescent="0.15">
      <c r="A5520" s="23" t="str">
        <f>HYPERLINK("https://www.spark-marketing.ru/Card/Person/83370", "МБДОУ № 33")</f>
        <v>МБДОУ № 33</v>
      </c>
      <c r="B5520" s="24" t="s">
        <v>7127</v>
      </c>
      <c r="C5520" s="25">
        <v>5649.6</v>
      </c>
      <c r="D5520" s="22" t="s">
        <v>7128</v>
      </c>
      <c r="E5520" s="22" t="s">
        <v>107</v>
      </c>
      <c r="F5520" s="23" t="str">
        <f>HYPERLINK("https://www.spark-marketing.ru/Card/Lot/71809098", "Оказание услуг по техническому обслуживанию тревожной кнопки")</f>
        <v>Оказание услуг по техническому обслуживанию тревожной кнопки</v>
      </c>
      <c r="G5520" s="22" t="s">
        <v>50</v>
      </c>
      <c r="H5520" s="22" t="s">
        <v>265</v>
      </c>
      <c r="I5520" s="26">
        <v>43646.867928240703</v>
      </c>
      <c r="J5520" s="28" t="s">
        <v>52</v>
      </c>
      <c r="K5520" s="28" t="s">
        <v>52</v>
      </c>
      <c r="L5520" s="28" t="s">
        <v>52</v>
      </c>
      <c r="M5520" s="28" t="s">
        <v>52</v>
      </c>
      <c r="N5520" s="28" t="s">
        <v>52</v>
      </c>
    </row>
    <row r="5521" spans="1:14" x14ac:dyDescent="0.2">
      <c r="A5521" s="23" t="str">
        <f>HYPERLINK("https://www.spark-marketing.ru/Card/Person/4343559", "ГКУ ""ДИРЕКЦИЯ ТДФ""")</f>
        <v>ГКУ "ДИРЕКЦИЯ ТДФ"</v>
      </c>
      <c r="B5521" s="24" t="s">
        <v>6186</v>
      </c>
      <c r="C5521" s="25">
        <v>1940000.1</v>
      </c>
      <c r="D5521" s="22" t="s">
        <v>7129</v>
      </c>
      <c r="E5521" s="22" t="s">
        <v>585</v>
      </c>
      <c r="F5521" s="23" t="str">
        <f>HYPERLINK("https://www.spark-marketing.ru/Card/Lot/71811656", "Оказание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Калининском. Конаковском и Рамешковском районах Тв...")</f>
        <v>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Калининском. Конаковском и Рамешковском районах Тв...</v>
      </c>
      <c r="G5521" s="22" t="s">
        <v>251</v>
      </c>
      <c r="H5521" s="22" t="s">
        <v>252</v>
      </c>
      <c r="I5521" s="26">
        <v>43644.926388888904</v>
      </c>
      <c r="J5521" s="23" t="str">
        <f>HYPERLINK("https://www.spark-marketing.ru/Card/Person/2038990", "ООО ""СТБ""")</f>
        <v>ООО "СТБ"</v>
      </c>
      <c r="K5521" s="24" t="s">
        <v>2244</v>
      </c>
      <c r="L5521" s="28" t="s">
        <v>52</v>
      </c>
      <c r="M5521" s="25">
        <v>1940000.1</v>
      </c>
      <c r="N5521" s="27">
        <v>0</v>
      </c>
    </row>
    <row r="5522" spans="1:14" x14ac:dyDescent="0.2">
      <c r="A5522" s="23" t="str">
        <f>HYPERLINK("https://www.spark-marketing.ru/Card/Person/4343559", "ГКУ ""ДИРЕКЦИЯ ТДФ""")</f>
        <v>ГКУ "ДИРЕКЦИЯ ТДФ"</v>
      </c>
      <c r="B5522" s="24" t="s">
        <v>6186</v>
      </c>
      <c r="C5522" s="25">
        <v>1681333.42</v>
      </c>
      <c r="D5522" s="22" t="s">
        <v>7130</v>
      </c>
      <c r="E5522" s="22" t="s">
        <v>585</v>
      </c>
      <c r="F5522" s="23" t="str">
        <f>HYPERLINK("https://www.spark-marketing.ru/Card/Lot/71811337", "Оказание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Бельском и Оленинском районах Тверской области")</f>
        <v>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Бельском и Оленинском районах Тверской области</v>
      </c>
      <c r="G5522" s="22" t="s">
        <v>251</v>
      </c>
      <c r="H5522" s="22" t="s">
        <v>252</v>
      </c>
      <c r="I5522" s="26">
        <v>43644.917361111096</v>
      </c>
      <c r="J5522" s="23" t="str">
        <f>HYPERLINK("https://www.spark-marketing.ru/Card/Person/2038990", "ООО ""СТБ""")</f>
        <v>ООО "СТБ"</v>
      </c>
      <c r="K5522" s="24" t="s">
        <v>2244</v>
      </c>
      <c r="L5522" s="28" t="s">
        <v>52</v>
      </c>
      <c r="M5522" s="25">
        <v>1681333.42</v>
      </c>
      <c r="N5522" s="27">
        <v>0</v>
      </c>
    </row>
    <row r="5523" spans="1:14" x14ac:dyDescent="0.2">
      <c r="A5523" s="23" t="str">
        <f>HYPERLINK("https://www.spark-marketing.ru/Card/Person/4343559", "ГКУ ""ДИРЕКЦИЯ ТДФ""")</f>
        <v>ГКУ "ДИРЕКЦИЯ ТДФ"</v>
      </c>
      <c r="B5523" s="24" t="s">
        <v>6186</v>
      </c>
      <c r="C5523" s="25">
        <v>1681333.42</v>
      </c>
      <c r="D5523" s="22" t="s">
        <v>7131</v>
      </c>
      <c r="E5523" s="22" t="s">
        <v>585</v>
      </c>
      <c r="F5523" s="23" t="str">
        <f>HYPERLINK("https://www.spark-marketing.ru/Card/Lot/71811336", "Оказание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Бологовском, Фировском районах и Вышневолоцком гор...")</f>
        <v>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Бологовском, Фировском районах и Вышневолоцком гор...</v>
      </c>
      <c r="G5523" s="22" t="s">
        <v>251</v>
      </c>
      <c r="H5523" s="22" t="s">
        <v>252</v>
      </c>
      <c r="I5523" s="26">
        <v>43644.922222222202</v>
      </c>
      <c r="J5523" s="23" t="str">
        <f>HYPERLINK("https://www.spark-marketing.ru/Card/Person/2038990", "ООО ""СТБ""")</f>
        <v>ООО "СТБ"</v>
      </c>
      <c r="K5523" s="24" t="s">
        <v>2244</v>
      </c>
      <c r="L5523" s="28" t="s">
        <v>52</v>
      </c>
      <c r="M5523" s="25">
        <v>1681333.42</v>
      </c>
      <c r="N5523" s="27">
        <v>0</v>
      </c>
    </row>
    <row r="5524" spans="1:14" x14ac:dyDescent="0.2">
      <c r="A5524" s="23" t="str">
        <f>HYPERLINK("https://www.spark-marketing.ru/Card/Person/4343559", "ГКУ ""ДИРЕКЦИЯ ТДФ""")</f>
        <v>ГКУ "ДИРЕКЦИЯ ТДФ"</v>
      </c>
      <c r="B5524" s="24" t="s">
        <v>6186</v>
      </c>
      <c r="C5524" s="25">
        <v>1293333.3999999999</v>
      </c>
      <c r="D5524" s="22" t="s">
        <v>7132</v>
      </c>
      <c r="E5524" s="22" t="s">
        <v>585</v>
      </c>
      <c r="F5524" s="23" t="str">
        <f>HYPERLINK("https://www.spark-marketing.ru/Card/Lot/71811180", "Оказание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Кувшиновском, Селижаровском районах и Осташковском...")</f>
        <v>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Кувшиновском, Селижаровском районах и Осташковском...</v>
      </c>
      <c r="G5524" s="22" t="s">
        <v>251</v>
      </c>
      <c r="H5524" s="22" t="s">
        <v>252</v>
      </c>
      <c r="I5524" s="26">
        <v>43644.906944444403</v>
      </c>
      <c r="J5524" s="23" t="str">
        <f>HYPERLINK("https://www.spark-marketing.ru/Card/Person/2038990", "ООО ""СТБ""")</f>
        <v>ООО "СТБ"</v>
      </c>
      <c r="K5524" s="24" t="s">
        <v>2244</v>
      </c>
      <c r="L5524" s="28" t="s">
        <v>52</v>
      </c>
      <c r="M5524" s="25">
        <v>1293333.3999999999</v>
      </c>
      <c r="N5524" s="27">
        <v>0</v>
      </c>
    </row>
    <row r="5525" spans="1:14" x14ac:dyDescent="0.2">
      <c r="A5525" s="23" t="str">
        <f>HYPERLINK("https://www.spark-marketing.ru/Card/Person/4343559", "ГКУ ""ДИРЕКЦИЯ ТДФ""")</f>
        <v>ГКУ "ДИРЕКЦИЯ ТДФ"</v>
      </c>
      <c r="B5525" s="24" t="s">
        <v>6186</v>
      </c>
      <c r="C5525" s="25">
        <v>1681333.42</v>
      </c>
      <c r="D5525" s="22" t="s">
        <v>7133</v>
      </c>
      <c r="E5525" s="22" t="s">
        <v>585</v>
      </c>
      <c r="F5525" s="23" t="str">
        <f>HYPERLINK("https://www.spark-marketing.ru/Card/Lot/71811338", "Оказание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Андреапольском, Пеновском и Торопецком районах Тве...")</f>
        <v>Оказание услуг по разработке планов обеспечения транспортной безопасности объектов транспортной инфраструктуры на автомобильных дорогах общего пользования регионального и межмуниципального значения в Андреапольском, Пеновском и Торопецком районах Тве...</v>
      </c>
      <c r="G5525" s="22" t="s">
        <v>251</v>
      </c>
      <c r="H5525" s="22" t="s">
        <v>252</v>
      </c>
      <c r="I5525" s="26">
        <v>43644.907638888901</v>
      </c>
      <c r="J5525" s="23" t="str">
        <f>HYPERLINK("https://www.spark-marketing.ru/Card/Person/2038990", "ООО ""СТБ""")</f>
        <v>ООО "СТБ"</v>
      </c>
      <c r="K5525" s="24" t="s">
        <v>2244</v>
      </c>
      <c r="L5525" s="28" t="s">
        <v>52</v>
      </c>
      <c r="M5525" s="25">
        <v>1681333.42</v>
      </c>
      <c r="N5525" s="27">
        <v>0</v>
      </c>
    </row>
    <row r="5526" spans="1:14" x14ac:dyDescent="0.15">
      <c r="A5526" s="23" t="str">
        <f>HYPERLINK("https://www.spark-marketing.ru/Card/Person/1029059", "МДОУ ДЕТСКИЙ САД ОБЩЕРАЗВИВАЮЩЕГО ВИДА № 2 ""ВИШЕНКА""")</f>
        <v>МДОУ ДЕТСКИЙ САД ОБЩЕРАЗВИВАЮЩЕГО ВИДА № 2 "ВИШЕНКА"</v>
      </c>
      <c r="B5526" s="24" t="s">
        <v>680</v>
      </c>
      <c r="C5526" s="25">
        <v>235000</v>
      </c>
      <c r="D5526" s="22" t="s">
        <v>7134</v>
      </c>
      <c r="E5526" s="22" t="s">
        <v>84</v>
      </c>
      <c r="F5526" s="23" t="str">
        <f>HYPERLINK("https://www.spark-marketing.ru/Card/Lot/71793258", "Оказание услуг по согласованию, 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технологического обеспечения региональной общественной безопасно...")</f>
        <v>Оказание услуг по согласованию, 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технологического обеспечения региональной общественной безопасно...</v>
      </c>
      <c r="G5526" s="22" t="s">
        <v>50</v>
      </c>
      <c r="H5526" s="22" t="s">
        <v>738</v>
      </c>
      <c r="I5526" s="26">
        <v>43644.815613425897</v>
      </c>
      <c r="J5526" s="28" t="s">
        <v>52</v>
      </c>
      <c r="K5526" s="28" t="s">
        <v>52</v>
      </c>
      <c r="L5526" s="28" t="s">
        <v>52</v>
      </c>
      <c r="M5526" s="28" t="s">
        <v>52</v>
      </c>
      <c r="N5526" s="28" t="s">
        <v>52</v>
      </c>
    </row>
    <row r="5527" spans="1:14" x14ac:dyDescent="0.15">
      <c r="A5527" s="23" t="str">
        <f>HYPERLINK("https://www.spark-marketing.ru/Card/Person/4366676", "ООО ""БАТО""")</f>
        <v>ООО "БАТО"</v>
      </c>
      <c r="B5527" s="24" t="s">
        <v>7135</v>
      </c>
      <c r="C5527" s="25">
        <v>3031262.35</v>
      </c>
      <c r="D5527" s="22" t="s">
        <v>7136</v>
      </c>
      <c r="E5527" s="22" t="s">
        <v>53</v>
      </c>
      <c r="F5527" s="23" t="str">
        <f>HYPERLINK("https://www.spark-marketing.ru/Card/Lot/71794321", "Оказание услуг по эксплуатационному обслуживанию технических средств охраны в ОП ООО «БАТО» в г. Краснодар")</f>
        <v>Оказание услуг по эксплуатационному обслуживанию технических средств охраны в ОП ООО «БАТО» в г. Краснодар</v>
      </c>
      <c r="G5527" s="22" t="s">
        <v>132</v>
      </c>
      <c r="H5527" s="22" t="s">
        <v>652</v>
      </c>
      <c r="I5527" s="26">
        <v>43644.754166666702</v>
      </c>
      <c r="J5527" s="28" t="s">
        <v>52</v>
      </c>
      <c r="K5527" s="28" t="s">
        <v>52</v>
      </c>
      <c r="L5527" s="28" t="s">
        <v>52</v>
      </c>
      <c r="M5527" s="28" t="s">
        <v>52</v>
      </c>
      <c r="N5527" s="28" t="s">
        <v>52</v>
      </c>
    </row>
    <row r="5528" spans="1:14" x14ac:dyDescent="0.15">
      <c r="A5528" s="23" t="str">
        <f>HYPERLINK("https://www.spark-marketing.ru/Card/Person/4366676", "ООО ""БАТО""")</f>
        <v>ООО "БАТО"</v>
      </c>
      <c r="B5528" s="24" t="s">
        <v>7135</v>
      </c>
      <c r="C5528" s="25">
        <v>3711391.92</v>
      </c>
      <c r="D5528" s="22" t="s">
        <v>7136</v>
      </c>
      <c r="E5528" s="22" t="s">
        <v>53</v>
      </c>
      <c r="F5528" s="23" t="str">
        <f>HYPERLINK("https://www.spark-marketing.ru/Card/Lot/71794320", "Оказание услуг по эксплуатационному обслуживанию технических средств охраны в ОП ООО «БАТО» в г. Анапа, ОП-участок ""Геленджик"" ООО ""БАТО""")</f>
        <v>Оказание услуг по эксплуатационному обслуживанию технических средств охраны в ОП ООО «БАТО» в г. Анапа, ОП-участок "Геленджик" ООО "БАТО"</v>
      </c>
      <c r="G5528" s="22" t="s">
        <v>132</v>
      </c>
      <c r="H5528" s="22" t="s">
        <v>652</v>
      </c>
      <c r="I5528" s="26">
        <v>43644.754166666702</v>
      </c>
      <c r="J5528" s="28" t="s">
        <v>52</v>
      </c>
      <c r="K5528" s="28" t="s">
        <v>52</v>
      </c>
      <c r="L5528" s="28" t="s">
        <v>52</v>
      </c>
      <c r="M5528" s="28" t="s">
        <v>52</v>
      </c>
      <c r="N5528" s="28" t="s">
        <v>52</v>
      </c>
    </row>
    <row r="5529" spans="1:14" x14ac:dyDescent="0.15">
      <c r="A5529" s="23" t="str">
        <f>HYPERLINK("https://www.spark-marketing.ru/Card/Person/4366676", "ООО ""БАТО""")</f>
        <v>ООО "БАТО"</v>
      </c>
      <c r="B5529" s="24" t="s">
        <v>7135</v>
      </c>
      <c r="C5529" s="25">
        <v>3807514.94</v>
      </c>
      <c r="D5529" s="22" t="s">
        <v>7136</v>
      </c>
      <c r="E5529" s="22" t="s">
        <v>53</v>
      </c>
      <c r="F5529" s="23" t="str">
        <f>HYPERLINK("https://www.spark-marketing.ru/Card/Lot/71794322", "Оказание услуг по эксплуатационному обслуживанию технических средств охраны в ОП ООО «БАТО» в г. Сочи")</f>
        <v>Оказание услуг по эксплуатационному обслуживанию технических средств охраны в ОП ООО «БАТО» в г. Сочи</v>
      </c>
      <c r="G5529" s="22" t="s">
        <v>132</v>
      </c>
      <c r="H5529" s="22" t="s">
        <v>652</v>
      </c>
      <c r="I5529" s="26">
        <v>43644.754166666702</v>
      </c>
      <c r="J5529" s="28" t="s">
        <v>52</v>
      </c>
      <c r="K5529" s="28" t="s">
        <v>52</v>
      </c>
      <c r="L5529" s="28" t="s">
        <v>52</v>
      </c>
      <c r="M5529" s="28" t="s">
        <v>52</v>
      </c>
      <c r="N5529" s="28" t="s">
        <v>52</v>
      </c>
    </row>
    <row r="5530" spans="1:14" x14ac:dyDescent="0.15">
      <c r="A5530" s="23" t="str">
        <f>HYPERLINK("https://www.spark-marketing.ru/Card/Person/4345935", "ДЕПАРТАМЕНТ СМОЛЕНСКОЙ ОБЛАСТИ ПО ЗДРАВООХРАНЕНИЮ")</f>
        <v>ДЕПАРТАМЕНТ СМОЛЕНСКОЙ ОБЛАСТИ ПО ЗДРАВООХРАНЕНИЮ</v>
      </c>
      <c r="B5530" s="24" t="s">
        <v>1449</v>
      </c>
      <c r="C5530" s="25">
        <v>482880</v>
      </c>
      <c r="D5530" s="22" t="s">
        <v>7137</v>
      </c>
      <c r="E5530" s="22" t="s">
        <v>53</v>
      </c>
      <c r="F5530" s="23" t="str">
        <f>HYPERLINK("https://www.spark-marketing.ru/Card/Lot/71824533", "№3027 - аэф/т Поставка лекарственных препаратов (Инсулин-изофан [человеческий генно-инженерный])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f>
        <v>№3027 - аэф/т Поставка лекарственных препаратов (Инсулин-изофан [человеческий генно-инженерный])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v>
      </c>
      <c r="G5530" s="22" t="s">
        <v>956</v>
      </c>
      <c r="H5530" s="22" t="s">
        <v>1451</v>
      </c>
      <c r="I5530" s="26">
        <v>43644.724305555603</v>
      </c>
      <c r="J5530" s="23" t="str">
        <f>HYPERLINK("https://www.spark-marketing.ru/Card/Person/503084", "ООО ""ФАРМ-ИННОВАЦИИ""")</f>
        <v>ООО "ФАРМ-ИННОВАЦИИ"</v>
      </c>
      <c r="K5530" s="24" t="s">
        <v>2054</v>
      </c>
      <c r="L5530" s="22" t="s">
        <v>10</v>
      </c>
      <c r="M5530" s="28" t="s">
        <v>52</v>
      </c>
      <c r="N5530" s="28" t="s">
        <v>52</v>
      </c>
    </row>
    <row r="5531" spans="1:14" x14ac:dyDescent="0.15">
      <c r="A5531" s="23" t="str">
        <f>HYPERLINK("https://www.spark-marketing.ru/Card/Person/4345935", "ДЕПАРТАМЕНТ СМОЛЕНСКОЙ ОБЛАСТИ ПО ЗДРАВООХРАНЕНИЮ")</f>
        <v>ДЕПАРТАМЕНТ СМОЛЕНСКОЙ ОБЛАСТИ ПО ЗДРАВООХРАНЕНИЮ</v>
      </c>
      <c r="B5531" s="24" t="s">
        <v>1449</v>
      </c>
      <c r="C5531" s="25">
        <v>2876910</v>
      </c>
      <c r="D5531" s="22" t="s">
        <v>7138</v>
      </c>
      <c r="E5531" s="22" t="s">
        <v>53</v>
      </c>
      <c r="F5531" s="23" t="str">
        <f>HYPERLINK("https://www.spark-marketing.ru/Card/Lot/71824815", "№3033 - аэф/т Поставка лекарственных препаратов (Инсулин аспарт)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f>
        <v>№3033 - аэф/т Поставка лекарственных препаратов (Инсулин аспарт)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v>
      </c>
      <c r="G5531" s="22" t="s">
        <v>956</v>
      </c>
      <c r="H5531" s="22" t="s">
        <v>1451</v>
      </c>
      <c r="I5531" s="26">
        <v>43644.708333333299</v>
      </c>
      <c r="J5531" s="23" t="str">
        <f>HYPERLINK("https://www.spark-marketing.ru/Card/Person/6492462", "ООО ""ОН.К""")</f>
        <v>ООО "ОН.К"</v>
      </c>
      <c r="K5531" s="24" t="s">
        <v>7139</v>
      </c>
      <c r="L5531" s="22" t="s">
        <v>10</v>
      </c>
      <c r="M5531" s="28" t="s">
        <v>52</v>
      </c>
      <c r="N5531" s="28" t="s">
        <v>52</v>
      </c>
    </row>
    <row r="5532" spans="1:14" x14ac:dyDescent="0.15">
      <c r="A5532" s="23" t="str">
        <f>HYPERLINK("https://www.spark-marketing.ru/Card/Person/2843", "МО МВД РОССИИ ""ТОРЖОКСКИЙ""")</f>
        <v>МО МВД РОССИИ "ТОРЖОКСКИЙ"</v>
      </c>
      <c r="B5532" s="24" t="s">
        <v>7140</v>
      </c>
      <c r="C5532" s="25">
        <v>60000</v>
      </c>
      <c r="D5532" s="22" t="s">
        <v>7141</v>
      </c>
      <c r="E5532" s="22" t="s">
        <v>53</v>
      </c>
      <c r="F5532" s="23" t="str">
        <f>HYPERLINK("https://www.spark-marketing.ru/Card/Lot/71781506", "Обслуживание систем сигнализации")</f>
        <v>Обслуживание систем сигнализации</v>
      </c>
      <c r="G5532" s="22" t="s">
        <v>251</v>
      </c>
      <c r="H5532" s="22" t="s">
        <v>7142</v>
      </c>
      <c r="I5532" s="26">
        <v>43644.708414351902</v>
      </c>
      <c r="J5532" s="28" t="s">
        <v>52</v>
      </c>
      <c r="K5532" s="28" t="s">
        <v>52</v>
      </c>
      <c r="L5532" s="28" t="s">
        <v>52</v>
      </c>
      <c r="M5532" s="28" t="s">
        <v>52</v>
      </c>
      <c r="N5532" s="28" t="s">
        <v>52</v>
      </c>
    </row>
    <row r="5533" spans="1:14" x14ac:dyDescent="0.15">
      <c r="A5533" s="23" t="str">
        <f>HYPERLINK("https://www.spark-marketing.ru/Card/Person/4345935", "ДЕПАРТАМЕНТ СМОЛЕНСКОЙ ОБЛАСТИ ПО ЗДРАВООХРАНЕНИЮ")</f>
        <v>ДЕПАРТАМЕНТ СМОЛЕНСКОЙ ОБЛАСТИ ПО ЗДРАВООХРАНЕНИЮ</v>
      </c>
      <c r="B5533" s="24" t="s">
        <v>1449</v>
      </c>
      <c r="C5533" s="25">
        <v>2962080</v>
      </c>
      <c r="D5533" s="22" t="s">
        <v>7143</v>
      </c>
      <c r="E5533" s="22" t="s">
        <v>53</v>
      </c>
      <c r="F5533" s="23" t="str">
        <f>HYPERLINK("https://www.spark-marketing.ru/Card/Lot/71824934", "№3034 - аэф/т Поставка лекарственных препаратов (Инсулин детемир)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f>
        <v>№3034 - аэф/т Поставка лекарственных препаратов (Инсулин детемир)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v>
      </c>
      <c r="G5533" s="22" t="s">
        <v>956</v>
      </c>
      <c r="H5533" s="22" t="s">
        <v>1451</v>
      </c>
      <c r="I5533" s="26">
        <v>43644.708333333299</v>
      </c>
      <c r="J5533" s="23" t="str">
        <f>HYPERLINK("https://www.spark-marketing.ru/Card/Person/6492462", "ООО ""ОН.К""")</f>
        <v>ООО "ОН.К"</v>
      </c>
      <c r="K5533" s="24" t="s">
        <v>7139</v>
      </c>
      <c r="L5533" s="22" t="s">
        <v>10</v>
      </c>
      <c r="M5533" s="28" t="s">
        <v>52</v>
      </c>
      <c r="N5533" s="28" t="s">
        <v>52</v>
      </c>
    </row>
    <row r="5534" spans="1:14" x14ac:dyDescent="0.15">
      <c r="A5534" s="23" t="str">
        <f t="shared" ref="A5534:A5540" si="235">HYPERLINK("https://www.spark-marketing.ru/Card/Person/48248", "ГУП ""МОСГОРТРАНС""")</f>
        <v>ГУП "МОСГОРТРАНС"</v>
      </c>
      <c r="B5534" s="24" t="s">
        <v>1862</v>
      </c>
      <c r="C5534" s="25">
        <v>9634256.1600000001</v>
      </c>
      <c r="D5534" s="22" t="s">
        <v>7144</v>
      </c>
      <c r="E5534" s="22" t="s">
        <v>103</v>
      </c>
      <c r="F5534" s="23" t="str">
        <f t="shared" ref="F5534:F5540" si="236">HYPERLINK("https://www.spark-marketing.ru/Card/Lot/71802481", "Оказание услуг по технической поддержке системы видеонаблюдения ГУП «Мосгортранс» для нужд филиала Служба информационных технологий и связи ГУП «Мосгортранс»")</f>
        <v>Оказание услуг по технической поддержке системы видеонаблюдения ГУП «Мосгортранс» для нужд филиала Служба информационных технологий и связи ГУП «Мосгортранс»</v>
      </c>
      <c r="G5534" s="22" t="s">
        <v>55</v>
      </c>
      <c r="H5534" s="22" t="s">
        <v>55</v>
      </c>
      <c r="I5534" s="26">
        <v>43644.716759259303</v>
      </c>
      <c r="J5534" s="28" t="s">
        <v>52</v>
      </c>
      <c r="K5534" s="28" t="s">
        <v>52</v>
      </c>
      <c r="L5534" s="28" t="s">
        <v>52</v>
      </c>
      <c r="M5534" s="28" t="s">
        <v>52</v>
      </c>
      <c r="N5534" s="28" t="s">
        <v>52</v>
      </c>
    </row>
    <row r="5535" spans="1:14" ht="12.75" hidden="1" outlineLevel="1" x14ac:dyDescent="0.2">
      <c r="A5535" s="23" t="str">
        <f t="shared" si="235"/>
        <v>ГУП "МОСГОРТРАНС"</v>
      </c>
      <c r="B5535" s="24" t="s">
        <v>1862</v>
      </c>
      <c r="C5535" s="25">
        <v>9634256.1600000001</v>
      </c>
      <c r="D5535" s="22" t="s">
        <v>7144</v>
      </c>
      <c r="E5535" s="22" t="s">
        <v>103</v>
      </c>
      <c r="F5535" s="23" t="str">
        <f t="shared" si="236"/>
        <v>Оказание услуг по технической поддержке системы видеонаблюдения ГУП «Мосгортранс» для нужд филиала Служба информационных технологий и связи ГУП «Мосгортранс»</v>
      </c>
      <c r="G5535" s="22" t="s">
        <v>55</v>
      </c>
      <c r="H5535" s="22" t="s">
        <v>55</v>
      </c>
      <c r="I5535" s="26">
        <v>43644.716759259303</v>
      </c>
      <c r="J5535" s="23" t="str">
        <f>HYPERLINK("https://www.spark-marketing.ru/Card/Person/80392", "ООО ""КОНСОЛЬ-АСТ""")</f>
        <v>ООО "КОНСОЛЬ-АСТ"</v>
      </c>
      <c r="K5535" s="24" t="s">
        <v>7145</v>
      </c>
      <c r="L5535" s="22" t="s">
        <v>10</v>
      </c>
      <c r="M5535" s="25">
        <v>643679.84</v>
      </c>
      <c r="N5535" s="27">
        <v>0.93318842375476141</v>
      </c>
    </row>
    <row r="5536" spans="1:14" hidden="1" outlineLevel="1" x14ac:dyDescent="0.2">
      <c r="A5536" s="23" t="str">
        <f t="shared" si="235"/>
        <v>ГУП "МОСГОРТРАНС"</v>
      </c>
      <c r="B5536" s="24" t="s">
        <v>1862</v>
      </c>
      <c r="C5536" s="25">
        <v>9634256.1600000001</v>
      </c>
      <c r="D5536" s="22" t="s">
        <v>7144</v>
      </c>
      <c r="E5536" s="22" t="s">
        <v>103</v>
      </c>
      <c r="F5536" s="23" t="str">
        <f t="shared" si="236"/>
        <v>Оказание услуг по технической поддержке системы видеонаблюдения ГУП «Мосгортранс» для нужд филиала Служба информационных технологий и связи ГУП «Мосгортранс»</v>
      </c>
      <c r="G5536" s="22" t="s">
        <v>55</v>
      </c>
      <c r="H5536" s="22" t="s">
        <v>55</v>
      </c>
      <c r="I5536" s="26">
        <v>43644.716759259303</v>
      </c>
      <c r="J5536" s="23" t="str">
        <f>HYPERLINK("https://www.spark-marketing.ru/Card/Person/4722738", "ООО ""АСТРОНИС""")</f>
        <v>ООО "АСТРОНИС"</v>
      </c>
      <c r="K5536" s="24" t="s">
        <v>7146</v>
      </c>
      <c r="L5536" s="28" t="s">
        <v>52</v>
      </c>
      <c r="M5536" s="25">
        <v>661195</v>
      </c>
      <c r="N5536" s="27">
        <v>0.93137041521221087</v>
      </c>
    </row>
    <row r="5537" spans="1:14" hidden="1" outlineLevel="1" x14ac:dyDescent="0.2">
      <c r="A5537" s="23" t="str">
        <f t="shared" si="235"/>
        <v>ГУП "МОСГОРТРАНС"</v>
      </c>
      <c r="B5537" s="24" t="s">
        <v>1862</v>
      </c>
      <c r="C5537" s="25">
        <v>9634256.1600000001</v>
      </c>
      <c r="D5537" s="22" t="s">
        <v>7144</v>
      </c>
      <c r="E5537" s="22" t="s">
        <v>103</v>
      </c>
      <c r="F5537" s="23" t="str">
        <f t="shared" si="236"/>
        <v>Оказание услуг по технической поддержке системы видеонаблюдения ГУП «Мосгортранс» для нужд филиала Служба информационных технологий и связи ГУП «Мосгортранс»</v>
      </c>
      <c r="G5537" s="22" t="s">
        <v>55</v>
      </c>
      <c r="H5537" s="22" t="s">
        <v>55</v>
      </c>
      <c r="I5537" s="26">
        <v>43644.716759259303</v>
      </c>
      <c r="J5537" s="23" t="str">
        <f>HYPERLINK("https://www.spark-marketing.ru/Card/Person/5871409", "ООО «ПСП-ТЕЛЕКОМ»")</f>
        <v>ООО «ПСП-ТЕЛЕКОМ»</v>
      </c>
      <c r="K5537" s="24" t="s">
        <v>7147</v>
      </c>
      <c r="L5537" s="28" t="s">
        <v>52</v>
      </c>
      <c r="M5537" s="25">
        <v>871378.92</v>
      </c>
      <c r="N5537" s="27">
        <v>0.90955410510903423</v>
      </c>
    </row>
    <row r="5538" spans="1:14" hidden="1" outlineLevel="1" x14ac:dyDescent="0.2">
      <c r="A5538" s="23" t="str">
        <f t="shared" si="235"/>
        <v>ГУП "МОСГОРТРАНС"</v>
      </c>
      <c r="B5538" s="24" t="s">
        <v>1862</v>
      </c>
      <c r="C5538" s="25">
        <v>9634256.1600000001</v>
      </c>
      <c r="D5538" s="22" t="s">
        <v>7144</v>
      </c>
      <c r="E5538" s="22" t="s">
        <v>103</v>
      </c>
      <c r="F5538" s="23" t="str">
        <f t="shared" si="236"/>
        <v>Оказание услуг по технической поддержке системы видеонаблюдения ГУП «Мосгортранс» для нужд филиала Служба информационных технологий и связи ГУП «Мосгортранс»</v>
      </c>
      <c r="G5538" s="22" t="s">
        <v>55</v>
      </c>
      <c r="H5538" s="22" t="s">
        <v>55</v>
      </c>
      <c r="I5538" s="26">
        <v>43644.716759259303</v>
      </c>
      <c r="J5538" s="23" t="str">
        <f>HYPERLINK("https://www.spark-marketing.ru/Card/Person/6517459", "ООО ""ЭНЖИНИК АЙТИ СОЛЮШЕНС ЭНД СЕРВИСЕЗ""")</f>
        <v>ООО "ЭНЖИНИК АЙТИ СОЛЮШЕНС ЭНД СЕРВИСЕЗ"</v>
      </c>
      <c r="K5538" s="24" t="s">
        <v>7148</v>
      </c>
      <c r="L5538" s="28" t="s">
        <v>52</v>
      </c>
      <c r="M5538" s="25">
        <v>648058.63</v>
      </c>
      <c r="N5538" s="27">
        <v>0.93273392161912372</v>
      </c>
    </row>
    <row r="5539" spans="1:14" hidden="1" outlineLevel="1" x14ac:dyDescent="0.2">
      <c r="A5539" s="23" t="str">
        <f t="shared" si="235"/>
        <v>ГУП "МОСГОРТРАНС"</v>
      </c>
      <c r="B5539" s="24" t="s">
        <v>1862</v>
      </c>
      <c r="C5539" s="25">
        <v>9634256.1600000001</v>
      </c>
      <c r="D5539" s="22" t="s">
        <v>7144</v>
      </c>
      <c r="E5539" s="22" t="s">
        <v>103</v>
      </c>
      <c r="F5539" s="23" t="str">
        <f t="shared" si="236"/>
        <v>Оказание услуг по технической поддержке системы видеонаблюдения ГУП «Мосгортранс» для нужд филиала Служба информационных технологий и связи ГУП «Мосгортранс»</v>
      </c>
      <c r="G5539" s="22" t="s">
        <v>55</v>
      </c>
      <c r="H5539" s="22" t="s">
        <v>55</v>
      </c>
      <c r="I5539" s="26">
        <v>43644.716759259303</v>
      </c>
      <c r="J5539" s="23" t="str">
        <f>HYPERLINK("https://www.spark-marketing.ru/Card/Person/8370", "ООО ЧОП ""ЦЕЗАРЬ СЕКЬЮРИТИ""")</f>
        <v>ООО ЧОП "ЦЕЗАРЬ СЕКЬЮРИТИ"</v>
      </c>
      <c r="K5539" s="24" t="s">
        <v>7149</v>
      </c>
      <c r="L5539" s="28" t="s">
        <v>52</v>
      </c>
      <c r="M5539" s="25">
        <v>840727.39</v>
      </c>
      <c r="N5539" s="27">
        <v>0.91273562005849762</v>
      </c>
    </row>
    <row r="5540" spans="1:14" hidden="1" outlineLevel="1" x14ac:dyDescent="0.2">
      <c r="A5540" s="23" t="str">
        <f t="shared" si="235"/>
        <v>ГУП "МОСГОРТРАНС"</v>
      </c>
      <c r="B5540" s="24" t="s">
        <v>1862</v>
      </c>
      <c r="C5540" s="25">
        <v>9634256.1600000001</v>
      </c>
      <c r="D5540" s="22" t="s">
        <v>7144</v>
      </c>
      <c r="E5540" s="22" t="s">
        <v>103</v>
      </c>
      <c r="F5540" s="23" t="str">
        <f t="shared" si="236"/>
        <v>Оказание услуг по технической поддержке системы видеонаблюдения ГУП «Мосгортранс» для нужд филиала Служба информационных технологий и связи ГУП «Мосгортранс»</v>
      </c>
      <c r="G5540" s="22" t="s">
        <v>55</v>
      </c>
      <c r="H5540" s="22" t="s">
        <v>55</v>
      </c>
      <c r="I5540" s="26">
        <v>43644.716759259303</v>
      </c>
      <c r="J5540" s="23" t="str">
        <f>HYPERLINK("https://www.spark-marketing.ru/Card/Person/366074", "ЗАО ""ИНТЕГРА -С""")</f>
        <v>ЗАО "ИНТЕГРА -С"</v>
      </c>
      <c r="K5540" s="24" t="s">
        <v>2497</v>
      </c>
      <c r="L5540" s="28" t="s">
        <v>52</v>
      </c>
      <c r="M5540" s="25">
        <v>840484.96</v>
      </c>
      <c r="N5540" s="27">
        <v>0.9127607833919168</v>
      </c>
    </row>
    <row r="5541" spans="1:14" x14ac:dyDescent="0.2">
      <c r="A5541" s="23" t="str">
        <f>HYPERLINK("https://www.spark-marketing.ru/Card/Person/9633", "МИНСТРОЙ ИНГУШЕТИИ")</f>
        <v>МИНСТРОЙ ИНГУШЕТИИ</v>
      </c>
      <c r="B5541" s="24" t="s">
        <v>646</v>
      </c>
      <c r="C5541" s="25">
        <v>5558860</v>
      </c>
      <c r="D5541" s="22" t="s">
        <v>7150</v>
      </c>
      <c r="E5541" s="22" t="s">
        <v>218</v>
      </c>
      <c r="F5541" s="23" t="str">
        <f>HYPERLINK("https://www.spark-marketing.ru/Card/Lot/71796781", "Оказание услуг по строительному контролю и техническому сопровождению работ по объекту «Строительство средней общеобразовательной школы на 250 уч. мест в с.п. Яндаре Назрановского района Республики Ингушетия»")</f>
        <v>Оказание услуг по строительному контролю и техническому сопровождению работ по объекту «Строительство средней общеобразовательной школы на 250 уч. мест в с.п. Яндаре Назрановского района Республики Ингушетия»</v>
      </c>
      <c r="G5541" s="22" t="s">
        <v>648</v>
      </c>
      <c r="H5541" s="22" t="s">
        <v>648</v>
      </c>
      <c r="I5541" s="26">
        <v>43644.737743055601</v>
      </c>
      <c r="J5541" s="23" t="str">
        <f>HYPERLINK("https://www.spark-marketing.ru/Card/Person/259250", "ГУП""УКС РИ""")</f>
        <v>ГУП"УКС РИ"</v>
      </c>
      <c r="K5541" s="24" t="s">
        <v>7151</v>
      </c>
      <c r="L5541" s="28" t="s">
        <v>52</v>
      </c>
      <c r="M5541" s="25">
        <v>5558860</v>
      </c>
      <c r="N5541" s="27">
        <v>0</v>
      </c>
    </row>
    <row r="5542" spans="1:14" x14ac:dyDescent="0.15">
      <c r="A5542" s="23" t="str">
        <f>HYPERLINK("https://www.spark-marketing.ru/Card/Person/261444", "УПРАВЛЕНИЕ МИНЮСТА РОССИИ ПО БРЯНСКОЙ ОБЛАСТИ")</f>
        <v>УПРАВЛЕНИЕ МИНЮСТА РОССИИ ПО БРЯНСКОЙ ОБЛАСТИ</v>
      </c>
      <c r="B5542" s="24" t="s">
        <v>7152</v>
      </c>
      <c r="C5542" s="25">
        <v>96525.37</v>
      </c>
      <c r="D5542" s="22" t="s">
        <v>7153</v>
      </c>
      <c r="E5542" s="22" t="s">
        <v>53</v>
      </c>
      <c r="F5542" s="23" t="str">
        <f>HYPERLINK("https://www.spark-marketing.ru/Card/Lot/71785411", "Государственная охрана объекта, расположенного по адресу г. Брянск, ул. Степная, д. 2а.")</f>
        <v>Государственная охрана объекта, расположенного по адресу г. Брянск, ул. Степная, д. 2а.</v>
      </c>
      <c r="G5542" s="22" t="s">
        <v>215</v>
      </c>
      <c r="H5542" s="22" t="s">
        <v>406</v>
      </c>
      <c r="I5542" s="26">
        <v>43644.724305555603</v>
      </c>
      <c r="J5542" s="28" t="s">
        <v>52</v>
      </c>
      <c r="K5542" s="28" t="s">
        <v>52</v>
      </c>
      <c r="L5542" s="28" t="s">
        <v>52</v>
      </c>
      <c r="M5542" s="28" t="s">
        <v>52</v>
      </c>
      <c r="N5542" s="28" t="s">
        <v>52</v>
      </c>
    </row>
    <row r="5543" spans="1:14" x14ac:dyDescent="0.15">
      <c r="A5543" s="23" t="str">
        <f>HYPERLINK("https://www.spark-marketing.ru/Card/Person/6563", "ФГБУ ""ЦЕНТР ГЕОДЕЗИИ, КАРТОГРАФИИ И ИПД""")</f>
        <v>ФГБУ "ЦЕНТР ГЕОДЕЗИИ, КАРТОГРАФИИ И ИПД"</v>
      </c>
      <c r="B5543" s="24" t="s">
        <v>6871</v>
      </c>
      <c r="C5543" s="25">
        <v>163198.79999999999</v>
      </c>
      <c r="D5543" s="22" t="s">
        <v>7154</v>
      </c>
      <c r="E5543" s="22" t="s">
        <v>68</v>
      </c>
      <c r="F5543" s="23" t="str">
        <f>HYPERLINK("https://www.spark-marketing.ru/Card/Lot/71800910", "на оказание охранных услуг на объекте Учреждения по адресу: г.Нижний Новгород, пр-кт Гагарина, д.104")</f>
        <v>на оказание охранных услуг на объекте Учреждения по адресу: г.Нижний Новгород, пр-кт Гагарина, д.104</v>
      </c>
      <c r="G5543" s="22" t="s">
        <v>64</v>
      </c>
      <c r="H5543" s="22" t="s">
        <v>64</v>
      </c>
      <c r="I5543" s="26">
        <v>43644.709340277797</v>
      </c>
      <c r="J5543" s="28" t="s">
        <v>52</v>
      </c>
      <c r="K5543" s="28" t="s">
        <v>52</v>
      </c>
      <c r="L5543" s="28" t="s">
        <v>52</v>
      </c>
      <c r="M5543" s="28" t="s">
        <v>52</v>
      </c>
      <c r="N5543" s="28" t="s">
        <v>52</v>
      </c>
    </row>
    <row r="5544" spans="1:14" x14ac:dyDescent="0.15">
      <c r="A5544" s="23" t="str">
        <f>HYPERLINK("https://www.spark-marketing.ru/Card/Person/159932", "ОТДЕЛ МВД РОССИИ ПО УСТЬ-ЛАБИНСКОМУ РАЙОНУ")</f>
        <v>ОТДЕЛ МВД РОССИИ ПО УСТЬ-ЛАБИНСКОМУ РАЙОНУ</v>
      </c>
      <c r="B5544" s="24" t="s">
        <v>7155</v>
      </c>
      <c r="C5544" s="25">
        <v>65800</v>
      </c>
      <c r="D5544" s="22" t="s">
        <v>7156</v>
      </c>
      <c r="E5544" s="22" t="s">
        <v>84</v>
      </c>
      <c r="F5544" s="23" t="str">
        <f>HYPERLINK("https://www.spark-marketing.ru/Card/Lot/71783794", "Монтаж, установка, модернизация систем видеонаблюдения, 1 шт")</f>
        <v>Монтаж, установка, модернизация систем видеонаблюдения, 1 шт</v>
      </c>
      <c r="G5544" s="22" t="s">
        <v>132</v>
      </c>
      <c r="H5544" s="22" t="s">
        <v>3810</v>
      </c>
      <c r="I5544" s="26">
        <v>43644.728912036997</v>
      </c>
      <c r="J5544" s="28" t="s">
        <v>52</v>
      </c>
      <c r="K5544" s="28" t="s">
        <v>52</v>
      </c>
      <c r="L5544" s="28" t="s">
        <v>52</v>
      </c>
      <c r="M5544" s="28" t="s">
        <v>52</v>
      </c>
      <c r="N5544" s="28" t="s">
        <v>52</v>
      </c>
    </row>
    <row r="5545" spans="1:14" x14ac:dyDescent="0.15">
      <c r="A5545" s="23" t="str">
        <f>HYPERLINK("https://www.spark-marketing.ru/Card/Person/4345935", "ДЕПАРТАМЕНТ СМОЛЕНСКОЙ ОБЛАСТИ ПО ЗДРАВООХРАНЕНИЮ")</f>
        <v>ДЕПАРТАМЕНТ СМОЛЕНСКОЙ ОБЛАСТИ ПО ЗДРАВООХРАНЕНИЮ</v>
      </c>
      <c r="B5545" s="24" t="s">
        <v>1449</v>
      </c>
      <c r="C5545" s="25">
        <v>386784</v>
      </c>
      <c r="D5545" s="22" t="s">
        <v>7157</v>
      </c>
      <c r="E5545" s="22" t="s">
        <v>53</v>
      </c>
      <c r="F5545" s="23" t="str">
        <f>HYPERLINK("https://www.spark-marketing.ru/Card/Lot/71824773", "№3026 - аэф/т Поставка лекарственных препаратов (Инсулин лизпро)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f>
        <v>№3026 - аэф/т Поставка лекарственных препаратов (Инсулин лизпро)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v>
      </c>
      <c r="G5545" s="22" t="s">
        <v>956</v>
      </c>
      <c r="H5545" s="22" t="s">
        <v>1451</v>
      </c>
      <c r="I5545" s="26">
        <v>43644.706944444399</v>
      </c>
      <c r="J5545" s="23" t="str">
        <f>HYPERLINK("https://www.spark-marketing.ru/Card/Person/18931", "ООО ""ЮНИЛЕК""")</f>
        <v>ООО "ЮНИЛЕК"</v>
      </c>
      <c r="K5545" s="24" t="s">
        <v>7158</v>
      </c>
      <c r="L5545" s="22" t="s">
        <v>10</v>
      </c>
      <c r="M5545" s="28" t="s">
        <v>52</v>
      </c>
      <c r="N5545" s="28" t="s">
        <v>52</v>
      </c>
    </row>
    <row r="5546" spans="1:14" x14ac:dyDescent="0.15">
      <c r="A5546" s="23" t="str">
        <f>HYPERLINK("https://www.spark-marketing.ru/Card/Person/144535", "ГУ ТО ""ТОЦМ""")</f>
        <v>ГУ ТО "ТОЦМ"</v>
      </c>
      <c r="B5546" s="24" t="s">
        <v>7159</v>
      </c>
      <c r="C5546" s="25">
        <v>95000</v>
      </c>
      <c r="D5546" s="22" t="s">
        <v>7160</v>
      </c>
      <c r="E5546" s="22" t="s">
        <v>79</v>
      </c>
      <c r="F5546" s="23" t="str">
        <f>HYPERLINK("https://www.spark-marketing.ru/Card/Lot/71794150", "Оказание услуг по монтажу и пуско-наладке охранно-тревожной сигнализации, системы контроля и управления доступом в помещениях ГУ ТО ""ТОЦМ"" по адресу: г. Тула, ул. Седова, д. 31")</f>
        <v>Оказание услуг по монтажу и пуско-наладке охранно-тревожной сигнализации, системы контроля и управления доступом в помещениях ГУ ТО "ТОЦМ" по адресу: г. Тула, ул. Седова, д. 31</v>
      </c>
      <c r="G5546" s="22" t="s">
        <v>818</v>
      </c>
      <c r="H5546" s="22" t="s">
        <v>819</v>
      </c>
      <c r="I5546" s="26">
        <v>43644.704166666699</v>
      </c>
      <c r="J5546" s="23" t="str">
        <f>HYPERLINK("https://www.spark-marketing.ru/Card/Person/6449667", "ООО ""СПЕЦПРАЙД""")</f>
        <v>ООО "СПЕЦПРАЙД"</v>
      </c>
      <c r="K5546" s="24" t="s">
        <v>7161</v>
      </c>
      <c r="L5546" s="22" t="s">
        <v>10</v>
      </c>
      <c r="M5546" s="28" t="s">
        <v>52</v>
      </c>
      <c r="N5546" s="28" t="s">
        <v>52</v>
      </c>
    </row>
    <row r="5547" spans="1:14" x14ac:dyDescent="0.15">
      <c r="A5547" s="23" t="str">
        <f>HYPERLINK("https://www.spark-marketing.ru/Card/Person/4345935", "ДЕПАРТАМЕНТ СМОЛЕНСКОЙ ОБЛАСТИ ПО ЗДРАВООХРАНЕНИЮ")</f>
        <v>ДЕПАРТАМЕНТ СМОЛЕНСКОЙ ОБЛАСТИ ПО ЗДРАВООХРАНЕНИЮ</v>
      </c>
      <c r="B5547" s="24" t="s">
        <v>1449</v>
      </c>
      <c r="C5547" s="25">
        <v>2876910</v>
      </c>
      <c r="D5547" s="22" t="s">
        <v>7162</v>
      </c>
      <c r="E5547" s="22" t="s">
        <v>53</v>
      </c>
      <c r="F5547" s="23" t="str">
        <f>HYPERLINK("https://www.spark-marketing.ru/Card/Lot/71824814", "№3032 - аэф/т Поставка лекарственных препаратов (Инсулин аспарт)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f>
        <v>№3032 - аэф/т Поставка лекарственных препаратов (Инсулин аспарт)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v>
      </c>
      <c r="G5547" s="22" t="s">
        <v>956</v>
      </c>
      <c r="H5547" s="22" t="s">
        <v>1451</v>
      </c>
      <c r="I5547" s="26">
        <v>43644.707638888904</v>
      </c>
      <c r="J5547" s="23" t="str">
        <f>HYPERLINK("https://www.spark-marketing.ru/Card/Person/6492462", "ООО ""ОН.К""")</f>
        <v>ООО "ОН.К"</v>
      </c>
      <c r="K5547" s="24" t="s">
        <v>7139</v>
      </c>
      <c r="L5547" s="22" t="s">
        <v>10</v>
      </c>
      <c r="M5547" s="28" t="s">
        <v>52</v>
      </c>
      <c r="N5547" s="28" t="s">
        <v>52</v>
      </c>
    </row>
    <row r="5548" spans="1:14" x14ac:dyDescent="0.15">
      <c r="A5548" s="23" t="str">
        <f>HYPERLINK("https://www.spark-marketing.ru/Card/Person/4345935", "ДЕПАРТАМЕНТ СМОЛЕНСКОЙ ОБЛАСТИ ПО ЗДРАВООХРАНЕНИЮ")</f>
        <v>ДЕПАРТАМЕНТ СМОЛЕНСКОЙ ОБЛАСТИ ПО ЗДРАВООХРАНЕНИЮ</v>
      </c>
      <c r="B5548" s="24" t="s">
        <v>1449</v>
      </c>
      <c r="C5548" s="25">
        <v>1603350</v>
      </c>
      <c r="D5548" s="22" t="s">
        <v>7163</v>
      </c>
      <c r="E5548" s="22" t="s">
        <v>53</v>
      </c>
      <c r="F5548" s="23" t="str">
        <f>HYPERLINK("https://www.spark-marketing.ru/Card/Lot/71824855", "№3031 - аэф/т Поставка лекарственных препаратов (Инсулин аспарт двухфазный)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f>
        <v>№3031 - аэф/т Поставка лекарственных препаратов (Инсулин аспарт двухфазный)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v>
      </c>
      <c r="G5548" s="22" t="s">
        <v>956</v>
      </c>
      <c r="H5548" s="22" t="s">
        <v>1451</v>
      </c>
      <c r="I5548" s="26">
        <v>43644.707638888904</v>
      </c>
      <c r="J5548" s="23" t="str">
        <f>HYPERLINK("https://www.spark-marketing.ru/Card/Person/6492462", "ООО ""ОН.К""")</f>
        <v>ООО "ОН.К"</v>
      </c>
      <c r="K5548" s="24" t="s">
        <v>7139</v>
      </c>
      <c r="L5548" s="22" t="s">
        <v>10</v>
      </c>
      <c r="M5548" s="28" t="s">
        <v>52</v>
      </c>
      <c r="N5548" s="28" t="s">
        <v>52</v>
      </c>
    </row>
    <row r="5549" spans="1:14" x14ac:dyDescent="0.15">
      <c r="A5549" s="23" t="str">
        <f>HYPERLINK("https://www.spark-marketing.ru/Card/Person/89562", "КУЗОО ""МЦ ""РЕЗЕРВ""")</f>
        <v>КУЗОО "МЦ "РЕЗЕРВ"</v>
      </c>
      <c r="B5549" s="24" t="s">
        <v>7164</v>
      </c>
      <c r="C5549" s="25">
        <v>97893</v>
      </c>
      <c r="D5549" s="22" t="s">
        <v>7165</v>
      </c>
      <c r="E5549" s="22" t="s">
        <v>68</v>
      </c>
      <c r="F5549" s="23" t="str">
        <f>HYPERLINK("https://www.spark-marketing.ru/Card/Lot/71794417", "Охрана зданий и помещений с использованием установленной на объектах учреждения кнопки тревожной сигнализации")</f>
        <v>Охрана зданий и помещений с использованием установленной на объектах учреждения кнопки тревожной сигнализации</v>
      </c>
      <c r="G5549" s="22" t="s">
        <v>521</v>
      </c>
      <c r="H5549" s="22" t="s">
        <v>522</v>
      </c>
      <c r="I5549" s="26">
        <v>43644.686111111099</v>
      </c>
      <c r="J5549" s="28" t="s">
        <v>52</v>
      </c>
      <c r="K5549" s="28" t="s">
        <v>52</v>
      </c>
      <c r="L5549" s="28" t="s">
        <v>52</v>
      </c>
      <c r="M5549" s="28" t="s">
        <v>52</v>
      </c>
      <c r="N5549" s="28" t="s">
        <v>52</v>
      </c>
    </row>
    <row r="5550" spans="1:14" x14ac:dyDescent="0.15">
      <c r="A5550" s="23" t="str">
        <f>HYPERLINK("https://www.spark-marketing.ru/Card/Person/997410", "МБОУ ""ОБВИНСКАЯ СРЕДНЯЯ ОБЩЕОБРАЗОВАТЕЛЬНАЯ ШКОЛА""")</f>
        <v>МБОУ "ОБВИНСКАЯ СРЕДНЯЯ ОБЩЕОБРАЗОВАТЕЛЬНАЯ ШКОЛА"</v>
      </c>
      <c r="B5550" s="24" t="s">
        <v>7166</v>
      </c>
      <c r="C5550" s="25">
        <v>29400</v>
      </c>
      <c r="D5550" s="22" t="s">
        <v>7167</v>
      </c>
      <c r="E5550" s="22" t="s">
        <v>208</v>
      </c>
      <c r="F5550" s="23" t="str">
        <f>HYPERLINK("https://www.spark-marketing.ru/Card/Lot/71781797", "Установка оборудования средств передачи тревожных сообщений в ситуационные центры ""Служба 112"" в структурном подразделении ""Детский сад"" МБОУ ""Обвинская средняя общеобразовательная школа""")</f>
        <v>Установка оборудования средств передачи тревожных сообщений в ситуационные центры "Служба 112" в структурном подразделении "Детский сад" МБОУ "Обвинская средняя общеобразовательная школа"</v>
      </c>
      <c r="G5550" s="22" t="s">
        <v>391</v>
      </c>
      <c r="H5550" s="22" t="s">
        <v>391</v>
      </c>
      <c r="I5550" s="26">
        <v>43644.686111111099</v>
      </c>
      <c r="J5550" s="28" t="s">
        <v>52</v>
      </c>
      <c r="K5550" s="28" t="s">
        <v>52</v>
      </c>
      <c r="L5550" s="28" t="s">
        <v>52</v>
      </c>
      <c r="M5550" s="28" t="s">
        <v>52</v>
      </c>
      <c r="N5550" s="28" t="s">
        <v>52</v>
      </c>
    </row>
    <row r="5551" spans="1:14" x14ac:dyDescent="0.15">
      <c r="A5551" s="23" t="str">
        <f>HYPERLINK("https://www.spark-marketing.ru/Card/Person/56420", "ОТДЕЛ МВД РОССИИ ПО ГОРОДУ АНАПЕ")</f>
        <v>ОТДЕЛ МВД РОССИИ ПО ГОРОДУ АНАПЕ</v>
      </c>
      <c r="B5551" s="24" t="s">
        <v>6731</v>
      </c>
      <c r="C5551" s="25">
        <v>80010</v>
      </c>
      <c r="D5551" s="22" t="s">
        <v>7168</v>
      </c>
      <c r="E5551" s="22" t="s">
        <v>84</v>
      </c>
      <c r="F5551" s="23" t="str">
        <f>HYPERLINK("https://www.spark-marketing.ru/Card/Lot/71779470", "Монтаж, установка, модернизация систем видеонаблюдения, 1 шт")</f>
        <v>Монтаж, установка, модернизация систем видеонаблюдения, 1 шт</v>
      </c>
      <c r="G5551" s="22" t="s">
        <v>132</v>
      </c>
      <c r="H5551" s="22" t="s">
        <v>6733</v>
      </c>
      <c r="I5551" s="26">
        <v>43644.675300925897</v>
      </c>
      <c r="J5551" s="28" t="s">
        <v>52</v>
      </c>
      <c r="K5551" s="28" t="s">
        <v>52</v>
      </c>
      <c r="L5551" s="28" t="s">
        <v>52</v>
      </c>
      <c r="M5551" s="28" t="s">
        <v>52</v>
      </c>
      <c r="N5551" s="28" t="s">
        <v>52</v>
      </c>
    </row>
    <row r="5552" spans="1:14" x14ac:dyDescent="0.15">
      <c r="A5552" s="23" t="str">
        <f>HYPERLINK("https://www.spark-marketing.ru/Card/Person/32327", "АДМИНИСТРАЦИЯ ПОЖАРСКОГО МУНИЦИПАЛЬНОГО РАЙОНА ПРИМОРСКОГО КРАЯ")</f>
        <v>АДМИНИСТРАЦИЯ ПОЖАРСКОГО МУНИЦИПАЛЬНОГО РАЙОНА ПРИМОРСКОГО КРАЯ</v>
      </c>
      <c r="B5552" s="24" t="s">
        <v>7169</v>
      </c>
      <c r="C5552" s="25">
        <v>380000</v>
      </c>
      <c r="D5552" s="22" t="s">
        <v>7170</v>
      </c>
      <c r="E5552" s="22" t="s">
        <v>59</v>
      </c>
      <c r="F5552" s="23" t="str">
        <f>HYPERLINK("https://www.spark-marketing.ru/Card/Lot/71762603", "Выполнение работ по приобретению и установке автономных фонарей на солнечных батареях для уличного освещения в с. Красный Яр")</f>
        <v>Выполнение работ по приобретению и установке автономных фонарей на солнечных батареях для уличного освещения в с. Красный Яр</v>
      </c>
      <c r="G5552" s="22" t="s">
        <v>409</v>
      </c>
      <c r="H5552" s="22" t="s">
        <v>409</v>
      </c>
      <c r="I5552" s="26">
        <v>43644.6784722222</v>
      </c>
      <c r="J5552" s="23" t="str">
        <f>HYPERLINK("https://www.spark-marketing.ru/Card/Person/474686", "Оськин Олег Николаевич")</f>
        <v>Оськин Олег Николаевич</v>
      </c>
      <c r="K5552" s="24" t="s">
        <v>7171</v>
      </c>
      <c r="L5552" s="22" t="s">
        <v>10</v>
      </c>
      <c r="M5552" s="28" t="s">
        <v>52</v>
      </c>
      <c r="N5552" s="28" t="s">
        <v>52</v>
      </c>
    </row>
    <row r="5553" spans="1:14" x14ac:dyDescent="0.15">
      <c r="A5553" s="23" t="str">
        <f>HYPERLINK("https://www.spark-marketing.ru/Card/Person/109809", "ОГБУ РОЦ ""ЛЕСНАЯ СКАЗКА""")</f>
        <v>ОГБУ РОЦ "ЛЕСНАЯ СКАЗКА"</v>
      </c>
      <c r="B5553" s="24" t="s">
        <v>7172</v>
      </c>
      <c r="C5553" s="25">
        <v>1998711.64</v>
      </c>
      <c r="D5553" s="22" t="s">
        <v>7173</v>
      </c>
      <c r="E5553" s="22" t="s">
        <v>84</v>
      </c>
      <c r="F5553" s="23" t="str">
        <f>HYPERLINK("https://www.spark-marketing.ru/Card/Lot/71800298", "Услуги по установке комплексной системы внешнего и внутреннего видеонаблюдения на территории ОГБУ РОЦ ""Лесная сказка""")</f>
        <v>Услуги по установке комплексной системы внешнего и внутреннего видеонаблюдения на территории ОГБУ РОЦ "Лесная сказка"</v>
      </c>
      <c r="G5553" s="22" t="s">
        <v>629</v>
      </c>
      <c r="H5553" s="22" t="s">
        <v>629</v>
      </c>
      <c r="I5553" s="26">
        <v>43644.6800462963</v>
      </c>
      <c r="J5553" s="28" t="s">
        <v>52</v>
      </c>
      <c r="K5553" s="28" t="s">
        <v>52</v>
      </c>
      <c r="L5553" s="28" t="s">
        <v>52</v>
      </c>
      <c r="M5553" s="28" t="s">
        <v>52</v>
      </c>
      <c r="N5553" s="28" t="s">
        <v>52</v>
      </c>
    </row>
    <row r="5554" spans="1:14" hidden="1" outlineLevel="1" x14ac:dyDescent="0.2">
      <c r="A5554" s="23" t="str">
        <f>HYPERLINK("https://www.spark-marketing.ru/Card/Person/109809", "ОГБУ РОЦ ""ЛЕСНАЯ СКАЗКА""")</f>
        <v>ОГБУ РОЦ "ЛЕСНАЯ СКАЗКА"</v>
      </c>
      <c r="B5554" s="24" t="s">
        <v>7172</v>
      </c>
      <c r="C5554" s="25">
        <v>1998711.64</v>
      </c>
      <c r="D5554" s="22" t="s">
        <v>7173</v>
      </c>
      <c r="E5554" s="22" t="s">
        <v>84</v>
      </c>
      <c r="F5554" s="23" t="str">
        <f>HYPERLINK("https://www.spark-marketing.ru/Card/Lot/71800298", "Услуги по установке комплексной системы внешнего и внутреннего видеонаблюдения на территории ОГБУ РОЦ ""Лесная сказка""")</f>
        <v>Услуги по установке комплексной системы внешнего и внутреннего видеонаблюдения на территории ОГБУ РОЦ "Лесная сказка"</v>
      </c>
      <c r="G5554" s="22" t="s">
        <v>629</v>
      </c>
      <c r="H5554" s="22" t="s">
        <v>629</v>
      </c>
      <c r="I5554" s="26">
        <v>43644.6800462963</v>
      </c>
      <c r="J5554" s="23" t="str">
        <f>HYPERLINK("https://www.spark-marketing.ru/Card/Person/399715", "ООО ""ЦЕНТР ""ПБ""")</f>
        <v>ООО "ЦЕНТР "ПБ"</v>
      </c>
      <c r="K5554" s="24" t="s">
        <v>7174</v>
      </c>
      <c r="L5554" s="28" t="s">
        <v>52</v>
      </c>
      <c r="M5554" s="25">
        <v>1678911.4</v>
      </c>
      <c r="N5554" s="27">
        <v>0.16000319085548528</v>
      </c>
    </row>
    <row r="5555" spans="1:14" ht="12.75" hidden="1" outlineLevel="1" x14ac:dyDescent="0.2">
      <c r="A5555" s="23" t="str">
        <f>HYPERLINK("https://www.spark-marketing.ru/Card/Person/109809", "ОГБУ РОЦ ""ЛЕСНАЯ СКАЗКА""")</f>
        <v>ОГБУ РОЦ "ЛЕСНАЯ СКАЗКА"</v>
      </c>
      <c r="B5555" s="24" t="s">
        <v>7172</v>
      </c>
      <c r="C5555" s="25">
        <v>1998711.64</v>
      </c>
      <c r="D5555" s="22" t="s">
        <v>7173</v>
      </c>
      <c r="E5555" s="22" t="s">
        <v>84</v>
      </c>
      <c r="F5555" s="23" t="str">
        <f>HYPERLINK("https://www.spark-marketing.ru/Card/Lot/71800298", "Услуги по установке комплексной системы внешнего и внутреннего видеонаблюдения на территории ОГБУ РОЦ ""Лесная сказка""")</f>
        <v>Услуги по установке комплексной системы внешнего и внутреннего видеонаблюдения на территории ОГБУ РОЦ "Лесная сказка"</v>
      </c>
      <c r="G5555" s="22" t="s">
        <v>629</v>
      </c>
      <c r="H5555" s="22" t="s">
        <v>629</v>
      </c>
      <c r="I5555" s="26">
        <v>43644.6800462963</v>
      </c>
      <c r="J5555" s="23" t="str">
        <f>HYPERLINK("https://www.spark-marketing.ru/Card/Person/522482", "ООО ""ТЕЛАРУС""")</f>
        <v>ООО "ТЕЛАРУС"</v>
      </c>
      <c r="K5555" s="24" t="s">
        <v>7175</v>
      </c>
      <c r="L5555" s="22" t="s">
        <v>10</v>
      </c>
      <c r="M5555" s="25">
        <v>1668917.84</v>
      </c>
      <c r="N5555" s="27">
        <v>0.16500319175606543</v>
      </c>
    </row>
    <row r="5556" spans="1:14" hidden="1" outlineLevel="1" x14ac:dyDescent="0.2">
      <c r="A5556" s="23" t="str">
        <f>HYPERLINK("https://www.spark-marketing.ru/Card/Person/109809", "ОГБУ РОЦ ""ЛЕСНАЯ СКАЗКА""")</f>
        <v>ОГБУ РОЦ "ЛЕСНАЯ СКАЗКА"</v>
      </c>
      <c r="B5556" s="24" t="s">
        <v>7172</v>
      </c>
      <c r="C5556" s="25">
        <v>1998711.64</v>
      </c>
      <c r="D5556" s="22" t="s">
        <v>7173</v>
      </c>
      <c r="E5556" s="22" t="s">
        <v>84</v>
      </c>
      <c r="F5556" s="23" t="str">
        <f>HYPERLINK("https://www.spark-marketing.ru/Card/Lot/71800298", "Услуги по установке комплексной системы внешнего и внутреннего видеонаблюдения на территории ОГБУ РОЦ ""Лесная сказка""")</f>
        <v>Услуги по установке комплексной системы внешнего и внутреннего видеонаблюдения на территории ОГБУ РОЦ "Лесная сказка"</v>
      </c>
      <c r="G5556" s="22" t="s">
        <v>629</v>
      </c>
      <c r="H5556" s="22" t="s">
        <v>629</v>
      </c>
      <c r="I5556" s="26">
        <v>43644.6800462963</v>
      </c>
      <c r="J5556" s="23" t="str">
        <f>HYPERLINK("https://www.spark-marketing.ru/Card/Person/528304", "ООО ""СПЕЦТЕХНОЛОГИИ""")</f>
        <v>ООО "СПЕЦТЕХНОЛОГИИ"</v>
      </c>
      <c r="K5556" s="24" t="s">
        <v>7176</v>
      </c>
      <c r="L5556" s="28" t="s">
        <v>52</v>
      </c>
      <c r="M5556" s="25">
        <v>1918763.16</v>
      </c>
      <c r="N5556" s="27">
        <v>4.0000007204641086E-2</v>
      </c>
    </row>
    <row r="5557" spans="1:14" x14ac:dyDescent="0.15">
      <c r="A5557" s="23" t="str">
        <f t="shared" ref="A5557:A5562" si="237">HYPERLINK("https://www.spark-marketing.ru/Card/Person/4345935", "ДЕПАРТАМЕНТ СМОЛЕНСКОЙ ОБЛАСТИ ПО ЗДРАВООХРАНЕНИЮ")</f>
        <v>ДЕПАРТАМЕНТ СМОЛЕНСКОЙ ОБЛАСТИ ПО ЗДРАВООХРАНЕНИЮ</v>
      </c>
      <c r="B5557" s="24" t="s">
        <v>1449</v>
      </c>
      <c r="C5557" s="25">
        <v>937080</v>
      </c>
      <c r="D5557" s="22" t="s">
        <v>7177</v>
      </c>
      <c r="E5557" s="22" t="s">
        <v>53</v>
      </c>
      <c r="F5557" s="23" t="str">
        <f>HYPERLINK("https://www.spark-marketing.ru/Card/Lot/71824497", "№3029 - аэф/т Поставка лекарственных препаратов (Инсулин гларгин)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f>
        <v>№3029 - аэф/т Поставка лекарственных препаратов (Инсулин гларгин)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v>
      </c>
      <c r="G5557" s="22" t="s">
        <v>956</v>
      </c>
      <c r="H5557" s="22" t="s">
        <v>1451</v>
      </c>
      <c r="I5557" s="26">
        <v>43644.706944444399</v>
      </c>
      <c r="J5557" s="23" t="str">
        <f>HYPERLINK("https://www.spark-marketing.ru/Card/Person/503084", "ООО ""ФАРМ-ИННОВАЦИИ""")</f>
        <v>ООО "ФАРМ-ИННОВАЦИИ"</v>
      </c>
      <c r="K5557" s="24" t="s">
        <v>2054</v>
      </c>
      <c r="L5557" s="22" t="s">
        <v>10</v>
      </c>
      <c r="M5557" s="28" t="s">
        <v>52</v>
      </c>
      <c r="N5557" s="28" t="s">
        <v>52</v>
      </c>
    </row>
    <row r="5558" spans="1:14" x14ac:dyDescent="0.15">
      <c r="A5558" s="23" t="str">
        <f t="shared" si="237"/>
        <v>ДЕПАРТАМЕНТ СМОЛЕНСКОЙ ОБЛАСТИ ПО ЗДРАВООХРАНЕНИЮ</v>
      </c>
      <c r="B5558" s="24" t="s">
        <v>1449</v>
      </c>
      <c r="C5558" s="25">
        <v>2184039.2200000002</v>
      </c>
      <c r="D5558" s="22" t="s">
        <v>7178</v>
      </c>
      <c r="E5558" s="22" t="s">
        <v>53</v>
      </c>
      <c r="F5558" s="23" t="str">
        <f>HYPERLINK("https://www.spark-marketing.ru/Card/Lot/71824583", "№3025 - аэф/т Поставка лекарственных препаратов (Ромиплостим)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f>
        <v>№3025 - аэф/т Поставка лекарственных препаратов (Ромиплостим)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v>
      </c>
      <c r="G5558" s="22" t="s">
        <v>956</v>
      </c>
      <c r="H5558" s="22" t="s">
        <v>1451</v>
      </c>
      <c r="I5558" s="26">
        <v>43644.706250000003</v>
      </c>
      <c r="J5558" s="28" t="s">
        <v>52</v>
      </c>
      <c r="K5558" s="28" t="s">
        <v>52</v>
      </c>
      <c r="L5558" s="28" t="s">
        <v>52</v>
      </c>
      <c r="M5558" s="28" t="s">
        <v>52</v>
      </c>
      <c r="N5558" s="28" t="s">
        <v>52</v>
      </c>
    </row>
    <row r="5559" spans="1:14" ht="12.75" hidden="1" outlineLevel="1" x14ac:dyDescent="0.2">
      <c r="A5559" s="23" t="str">
        <f t="shared" si="237"/>
        <v>ДЕПАРТАМЕНТ СМОЛЕНСКОЙ ОБЛАСТИ ПО ЗДРАВООХРАНЕНИЮ</v>
      </c>
      <c r="B5559" s="24" t="s">
        <v>1449</v>
      </c>
      <c r="C5559" s="25">
        <v>2184039.2200000002</v>
      </c>
      <c r="D5559" s="22" t="s">
        <v>7178</v>
      </c>
      <c r="E5559" s="22" t="s">
        <v>53</v>
      </c>
      <c r="F5559" s="23" t="str">
        <f>HYPERLINK("https://www.spark-marketing.ru/Card/Lot/71824583", "№3025 - аэф/т Поставка лекарственных препаратов (Ромиплостим)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f>
        <v>№3025 - аэф/т Поставка лекарственных препаратов (Ромиплостим)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v>
      </c>
      <c r="G5559" s="22" t="s">
        <v>956</v>
      </c>
      <c r="H5559" s="22" t="s">
        <v>1451</v>
      </c>
      <c r="I5559" s="26">
        <v>43644.706250000003</v>
      </c>
      <c r="J5559" s="23" t="str">
        <f>HYPERLINK("https://www.spark-marketing.ru/Card/Person/4907096", "ООО ""ПРИБОРФАРМ""")</f>
        <v>ООО "ПРИБОРФАРМ"</v>
      </c>
      <c r="K5559" s="24" t="s">
        <v>2048</v>
      </c>
      <c r="L5559" s="22" t="s">
        <v>10</v>
      </c>
      <c r="M5559" s="25">
        <v>1882307.5</v>
      </c>
      <c r="N5559" s="27">
        <v>0.13815306851495093</v>
      </c>
    </row>
    <row r="5560" spans="1:14" hidden="1" outlineLevel="1" x14ac:dyDescent="0.2">
      <c r="A5560" s="23" t="str">
        <f t="shared" si="237"/>
        <v>ДЕПАРТАМЕНТ СМОЛЕНСКОЙ ОБЛАСТИ ПО ЗДРАВООХРАНЕНИЮ</v>
      </c>
      <c r="B5560" s="24" t="s">
        <v>1449</v>
      </c>
      <c r="C5560" s="25">
        <v>2184039.2200000002</v>
      </c>
      <c r="D5560" s="22" t="s">
        <v>7178</v>
      </c>
      <c r="E5560" s="22" t="s">
        <v>53</v>
      </c>
      <c r="F5560" s="23" t="str">
        <f>HYPERLINK("https://www.spark-marketing.ru/Card/Lot/71824583", "№3025 - аэф/т Поставка лекарственных препаратов (Ромиплостим)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f>
        <v>№3025 - аэф/т Поставка лекарственных препаратов (Ромиплостим)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v>
      </c>
      <c r="G5560" s="22" t="s">
        <v>956</v>
      </c>
      <c r="H5560" s="22" t="s">
        <v>1451</v>
      </c>
      <c r="I5560" s="26">
        <v>43644.706250000003</v>
      </c>
      <c r="J5560" s="23" t="str">
        <f>HYPERLINK("https://www.spark-marketing.ru/Card/Person/1262197", "ООО ""ЛЕКАРЬ""")</f>
        <v>ООО "ЛЕКАРЬ"</v>
      </c>
      <c r="K5560" s="24" t="s">
        <v>7179</v>
      </c>
      <c r="L5560" s="28" t="s">
        <v>52</v>
      </c>
      <c r="M5560" s="25">
        <v>2155312.5</v>
      </c>
      <c r="N5560" s="27">
        <v>1.3153023872895469E-2</v>
      </c>
    </row>
    <row r="5561" spans="1:14" hidden="1" outlineLevel="1" x14ac:dyDescent="0.2">
      <c r="A5561" s="23" t="str">
        <f t="shared" si="237"/>
        <v>ДЕПАРТАМЕНТ СМОЛЕНСКОЙ ОБЛАСТИ ПО ЗДРАВООХРАНЕНИЮ</v>
      </c>
      <c r="B5561" s="24" t="s">
        <v>1449</v>
      </c>
      <c r="C5561" s="25">
        <v>2184039.2200000002</v>
      </c>
      <c r="D5561" s="22" t="s">
        <v>7178</v>
      </c>
      <c r="E5561" s="22" t="s">
        <v>53</v>
      </c>
      <c r="F5561" s="23" t="str">
        <f>HYPERLINK("https://www.spark-marketing.ru/Card/Lot/71824583", "№3025 - аэф/т Поставка лекарственных препаратов (Ромиплостим)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f>
        <v>№3025 - аэф/т Поставка лекарственных препаратов (Ромиплостим)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v>
      </c>
      <c r="G5561" s="22" t="s">
        <v>956</v>
      </c>
      <c r="H5561" s="22" t="s">
        <v>1451</v>
      </c>
      <c r="I5561" s="26">
        <v>43644.706250000003</v>
      </c>
      <c r="J5561" s="23" t="str">
        <f>HYPERLINK("https://www.spark-marketing.ru/Card/Person/6492462", "ООО ""ОН.К""")</f>
        <v>ООО "ОН.К"</v>
      </c>
      <c r="K5561" s="24" t="s">
        <v>7139</v>
      </c>
      <c r="L5561" s="28" t="s">
        <v>52</v>
      </c>
      <c r="M5561" s="25">
        <v>2057030.7</v>
      </c>
      <c r="N5561" s="27">
        <v>5.8153039944035437E-2</v>
      </c>
    </row>
    <row r="5562" spans="1:14" hidden="1" outlineLevel="1" x14ac:dyDescent="0.2">
      <c r="A5562" s="23" t="str">
        <f t="shared" si="237"/>
        <v>ДЕПАРТАМЕНТ СМОЛЕНСКОЙ ОБЛАСТИ ПО ЗДРАВООХРАНЕНИЮ</v>
      </c>
      <c r="B5562" s="24" t="s">
        <v>1449</v>
      </c>
      <c r="C5562" s="25">
        <v>2184039.2200000002</v>
      </c>
      <c r="D5562" s="22" t="s">
        <v>7178</v>
      </c>
      <c r="E5562" s="22" t="s">
        <v>53</v>
      </c>
      <c r="F5562" s="23" t="str">
        <f>HYPERLINK("https://www.spark-marketing.ru/Card/Lot/71824583", "№3025 - аэф/т Поставка лекарственных препаратов (Ромиплостим)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f>
        <v>№3025 - аэф/т Поставка лекарственных препаратов (Ромиплостим)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v>
      </c>
      <c r="G5562" s="22" t="s">
        <v>956</v>
      </c>
      <c r="H5562" s="22" t="s">
        <v>1451</v>
      </c>
      <c r="I5562" s="26">
        <v>43644.706250000003</v>
      </c>
      <c r="J5562" s="23" t="str">
        <f>HYPERLINK("https://www.spark-marketing.ru/Card/Person/6299500", "ООО ""ФАРМАЦЕВТИЧЕСКИЙ АЛЬЯНС""")</f>
        <v>ООО "ФАРМАЦЕВТИЧЕСКИЙ АЛЬЯНС"</v>
      </c>
      <c r="K5562" s="24" t="s">
        <v>7180</v>
      </c>
      <c r="L5562" s="28" t="s">
        <v>52</v>
      </c>
      <c r="M5562" s="25">
        <v>1893227.7</v>
      </c>
      <c r="N5562" s="27">
        <v>0.13315306672926872</v>
      </c>
    </row>
    <row r="5563" spans="1:14" x14ac:dyDescent="0.15">
      <c r="A5563" s="23" t="str">
        <f>HYPERLINK("https://www.spark-marketing.ru/Card/Person/100172", "МАОУ СШ № 55")</f>
        <v>МАОУ СШ № 55</v>
      </c>
      <c r="B5563" s="24" t="s">
        <v>7181</v>
      </c>
      <c r="C5563" s="25">
        <v>421531</v>
      </c>
      <c r="D5563" s="22" t="s">
        <v>7182</v>
      </c>
      <c r="E5563" s="22" t="s">
        <v>7183</v>
      </c>
      <c r="F5563" s="23" t="str">
        <f>HYPERLINK("https://www.spark-marketing.ru/Card/Lot/71769967", "выполнение работ по установке камер видеонаблюдения в здании МАОУ «Средняя школа» №55.")</f>
        <v>выполнение работ по установке камер видеонаблюдения в здании МАОУ «Средняя школа» №55.</v>
      </c>
      <c r="G5563" s="22" t="s">
        <v>640</v>
      </c>
      <c r="H5563" s="22" t="s">
        <v>640</v>
      </c>
      <c r="I5563" s="26">
        <v>43644.690694444398</v>
      </c>
      <c r="J5563" s="28" t="s">
        <v>52</v>
      </c>
      <c r="K5563" s="28" t="s">
        <v>52</v>
      </c>
      <c r="L5563" s="28" t="s">
        <v>52</v>
      </c>
      <c r="M5563" s="28" t="s">
        <v>52</v>
      </c>
      <c r="N5563" s="28" t="s">
        <v>52</v>
      </c>
    </row>
    <row r="5564" spans="1:14" x14ac:dyDescent="0.15">
      <c r="A5564" s="23" t="str">
        <f>HYPERLINK("https://www.spark-marketing.ru/Card/Person/4345935", "ДЕПАРТАМЕНТ СМОЛЕНСКОЙ ОБЛАСТИ ПО ЗДРАВООХРАНЕНИЮ")</f>
        <v>ДЕПАРТАМЕНТ СМОЛЕНСКОЙ ОБЛАСТИ ПО ЗДРАВООХРАНЕНИЮ</v>
      </c>
      <c r="B5564" s="24" t="s">
        <v>1449</v>
      </c>
      <c r="C5564" s="25">
        <v>650178</v>
      </c>
      <c r="D5564" s="22" t="s">
        <v>7184</v>
      </c>
      <c r="E5564" s="22" t="s">
        <v>53</v>
      </c>
      <c r="F5564" s="23" t="str">
        <f>HYPERLINK("https://www.spark-marketing.ru/Card/Lot/71824788", "№3028 - аэф/т Поставка лекарственных препаратов (Инсулин-изофан [человеческий генно-инженерный])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f>
        <v>№3028 - аэф/т Поставка лекарственных препаратов (Инсулин-изофан [человеческий генно-инженерный])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v>
      </c>
      <c r="G5564" s="22" t="s">
        <v>956</v>
      </c>
      <c r="H5564" s="22" t="s">
        <v>1451</v>
      </c>
      <c r="I5564" s="26">
        <v>43644.706944444399</v>
      </c>
      <c r="J5564" s="23" t="str">
        <f>HYPERLINK("https://www.spark-marketing.ru/Card/Person/6492462", "ООО ""ОН.К""")</f>
        <v>ООО "ОН.К"</v>
      </c>
      <c r="K5564" s="24" t="s">
        <v>7139</v>
      </c>
      <c r="L5564" s="22" t="s">
        <v>10</v>
      </c>
      <c r="M5564" s="28" t="s">
        <v>52</v>
      </c>
      <c r="N5564" s="28" t="s">
        <v>52</v>
      </c>
    </row>
    <row r="5565" spans="1:14" x14ac:dyDescent="0.15">
      <c r="A5565" s="23" t="str">
        <f>HYPERLINK("https://www.spark-marketing.ru/Card/Person/4345935", "ДЕПАРТАМЕНТ СМОЛЕНСКОЙ ОБЛАСТИ ПО ЗДРАВООХРАНЕНИЮ")</f>
        <v>ДЕПАРТАМЕНТ СМОЛЕНСКОЙ ОБЛАСТИ ПО ЗДРАВООХРАНЕНИЮ</v>
      </c>
      <c r="B5565" s="24" t="s">
        <v>1449</v>
      </c>
      <c r="C5565" s="25">
        <v>1603350</v>
      </c>
      <c r="D5565" s="22" t="s">
        <v>7185</v>
      </c>
      <c r="E5565" s="22" t="s">
        <v>53</v>
      </c>
      <c r="F5565" s="23" t="str">
        <f>HYPERLINK("https://www.spark-marketing.ru/Card/Lot/71824854", "№3030 - аэф/т Поставка лекарственных препаратов (Инсулин аспарт двухфазный)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f>
        <v>№3030 - аэф/т Поставка лекарственных препаратов (Инсулин аспарт двухфазный)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v>
      </c>
      <c r="G5565" s="22" t="s">
        <v>956</v>
      </c>
      <c r="H5565" s="22" t="s">
        <v>1451</v>
      </c>
      <c r="I5565" s="26">
        <v>43644.707638888904</v>
      </c>
      <c r="J5565" s="23" t="str">
        <f>HYPERLINK("https://www.spark-marketing.ru/Card/Person/6492462", "ООО ""ОН.К""")</f>
        <v>ООО "ОН.К"</v>
      </c>
      <c r="K5565" s="24" t="s">
        <v>7139</v>
      </c>
      <c r="L5565" s="22" t="s">
        <v>10</v>
      </c>
      <c r="M5565" s="28" t="s">
        <v>52</v>
      </c>
      <c r="N5565" s="28" t="s">
        <v>52</v>
      </c>
    </row>
    <row r="5566" spans="1:14" x14ac:dyDescent="0.15">
      <c r="A5566" s="23" t="str">
        <f>HYPERLINK("https://www.spark-marketing.ru/Card/Person/129896", "ГБСУСОССЗН СТЕРЛИТАМАКСКИЙ ПНИ")</f>
        <v>ГБСУСОССЗН СТЕРЛИТАМАКСКИЙ ПНИ</v>
      </c>
      <c r="B5566" s="24" t="s">
        <v>7186</v>
      </c>
      <c r="C5566" s="25">
        <v>257000</v>
      </c>
      <c r="D5566" s="22" t="s">
        <v>7187</v>
      </c>
      <c r="E5566" s="22" t="s">
        <v>84</v>
      </c>
      <c r="F5566" s="23" t="str">
        <f>HYPERLINK("https://www.spark-marketing.ru/Card/Lot/71798804", "Монтаж системы видеонаблюдения в отделении социального обслуживания Артема 71")</f>
        <v>Монтаж системы видеонаблюдения в отделении социального обслуживания Артема 71</v>
      </c>
      <c r="G5566" s="22" t="s">
        <v>100</v>
      </c>
      <c r="H5566" s="22" t="s">
        <v>100</v>
      </c>
      <c r="I5566" s="26">
        <v>43644.697118055599</v>
      </c>
      <c r="J5566" s="28" t="s">
        <v>52</v>
      </c>
      <c r="K5566" s="28" t="s">
        <v>52</v>
      </c>
      <c r="L5566" s="28" t="s">
        <v>52</v>
      </c>
      <c r="M5566" s="28" t="s">
        <v>52</v>
      </c>
      <c r="N5566" s="28" t="s">
        <v>52</v>
      </c>
    </row>
    <row r="5567" spans="1:14" ht="12.75" hidden="1" outlineLevel="1" x14ac:dyDescent="0.2">
      <c r="A5567" s="23" t="str">
        <f>HYPERLINK("https://www.spark-marketing.ru/Card/Person/129896", "ГБСУСОССЗН СТЕРЛИТАМАКСКИЙ ПНИ")</f>
        <v>ГБСУСОССЗН СТЕРЛИТАМАКСКИЙ ПНИ</v>
      </c>
      <c r="B5567" s="24" t="s">
        <v>7186</v>
      </c>
      <c r="C5567" s="25">
        <v>257000</v>
      </c>
      <c r="D5567" s="22" t="s">
        <v>7187</v>
      </c>
      <c r="E5567" s="22" t="s">
        <v>84</v>
      </c>
      <c r="F5567" s="23" t="str">
        <f>HYPERLINK("https://www.spark-marketing.ru/Card/Lot/71798804", "Монтаж системы видеонаблюдения в отделении социального обслуживания Артема 71")</f>
        <v>Монтаж системы видеонаблюдения в отделении социального обслуживания Артема 71</v>
      </c>
      <c r="G5567" s="22" t="s">
        <v>100</v>
      </c>
      <c r="H5567" s="22" t="s">
        <v>100</v>
      </c>
      <c r="I5567" s="26">
        <v>43644.697118055599</v>
      </c>
      <c r="J5567" s="23" t="str">
        <f>HYPERLINK("https://www.spark-marketing.ru/Card/Person/6347833", "ООО ""БАШОПТИК""")</f>
        <v>ООО "БАШОПТИК"</v>
      </c>
      <c r="K5567" s="24" t="s">
        <v>3413</v>
      </c>
      <c r="L5567" s="22" t="s">
        <v>10</v>
      </c>
      <c r="M5567" s="25">
        <v>189000</v>
      </c>
      <c r="N5567" s="27">
        <v>0.26459143968871596</v>
      </c>
    </row>
    <row r="5568" spans="1:14" hidden="1" outlineLevel="1" x14ac:dyDescent="0.2">
      <c r="A5568" s="23" t="str">
        <f>HYPERLINK("https://www.spark-marketing.ru/Card/Person/129896", "ГБСУСОССЗН СТЕРЛИТАМАКСКИЙ ПНИ")</f>
        <v>ГБСУСОССЗН СТЕРЛИТАМАКСКИЙ ПНИ</v>
      </c>
      <c r="B5568" s="24" t="s">
        <v>7186</v>
      </c>
      <c r="C5568" s="25">
        <v>257000</v>
      </c>
      <c r="D5568" s="22" t="s">
        <v>7187</v>
      </c>
      <c r="E5568" s="22" t="s">
        <v>84</v>
      </c>
      <c r="F5568" s="23" t="str">
        <f>HYPERLINK("https://www.spark-marketing.ru/Card/Lot/71798804", "Монтаж системы видеонаблюдения в отделении социального обслуживания Артема 71")</f>
        <v>Монтаж системы видеонаблюдения в отделении социального обслуживания Артема 71</v>
      </c>
      <c r="G5568" s="22" t="s">
        <v>100</v>
      </c>
      <c r="H5568" s="22" t="s">
        <v>100</v>
      </c>
      <c r="I5568" s="26">
        <v>43644.697118055599</v>
      </c>
      <c r="J5568" s="23" t="str">
        <f>HYPERLINK("https://www.spark-marketing.ru/Card/Person/1965040", "ООО ""УРАЛГРУПП""")</f>
        <v>ООО "УРАЛГРУПП"</v>
      </c>
      <c r="K5568" s="24" t="s">
        <v>7188</v>
      </c>
      <c r="L5568" s="28" t="s">
        <v>52</v>
      </c>
      <c r="M5568" s="25">
        <v>244000</v>
      </c>
      <c r="N5568" s="27">
        <v>5.0583657587548639E-2</v>
      </c>
    </row>
    <row r="5569" spans="1:14" hidden="1" outlineLevel="1" x14ac:dyDescent="0.2">
      <c r="A5569" s="23" t="str">
        <f>HYPERLINK("https://www.spark-marketing.ru/Card/Person/129896", "ГБСУСОССЗН СТЕРЛИТАМАКСКИЙ ПНИ")</f>
        <v>ГБСУСОССЗН СТЕРЛИТАМАКСКИЙ ПНИ</v>
      </c>
      <c r="B5569" s="24" t="s">
        <v>7186</v>
      </c>
      <c r="C5569" s="25">
        <v>257000</v>
      </c>
      <c r="D5569" s="22" t="s">
        <v>7187</v>
      </c>
      <c r="E5569" s="22" t="s">
        <v>84</v>
      </c>
      <c r="F5569" s="23" t="str">
        <f>HYPERLINK("https://www.spark-marketing.ru/Card/Lot/71798804", "Монтаж системы видеонаблюдения в отделении социального обслуживания Артема 71")</f>
        <v>Монтаж системы видеонаблюдения в отделении социального обслуживания Артема 71</v>
      </c>
      <c r="G5569" s="22" t="s">
        <v>100</v>
      </c>
      <c r="H5569" s="22" t="s">
        <v>100</v>
      </c>
      <c r="I5569" s="26">
        <v>43644.697118055599</v>
      </c>
      <c r="J5569" s="23" t="str">
        <f>HYPERLINK("https://www.spark-marketing.ru/Card/Person/4381257", "ООО ""БАШКИРСКИЙ ПТУС""")</f>
        <v>ООО "БАШКИРСКИЙ ПТУС"</v>
      </c>
      <c r="K5569" s="24" t="s">
        <v>7189</v>
      </c>
      <c r="L5569" s="28" t="s">
        <v>52</v>
      </c>
      <c r="M5569" s="25">
        <v>250000</v>
      </c>
      <c r="N5569" s="27">
        <v>2.7237354085603113E-2</v>
      </c>
    </row>
    <row r="5570" spans="1:14" hidden="1" outlineLevel="1" x14ac:dyDescent="0.15">
      <c r="A5570" s="23" t="str">
        <f>HYPERLINK("https://www.spark-marketing.ru/Card/Person/129896", "ГБСУСОССЗН СТЕРЛИТАМАКСКИЙ ПНИ")</f>
        <v>ГБСУСОССЗН СТЕРЛИТАМАКСКИЙ ПНИ</v>
      </c>
      <c r="B5570" s="24" t="s">
        <v>7186</v>
      </c>
      <c r="C5570" s="25">
        <v>257000</v>
      </c>
      <c r="D5570" s="22" t="s">
        <v>7187</v>
      </c>
      <c r="E5570" s="22" t="s">
        <v>84</v>
      </c>
      <c r="F5570" s="23" t="str">
        <f>HYPERLINK("https://www.spark-marketing.ru/Card/Lot/71798804", "Монтаж системы видеонаблюдения в отделении социального обслуживания Артема 71")</f>
        <v>Монтаж системы видеонаблюдения в отделении социального обслуживания Артема 71</v>
      </c>
      <c r="G5570" s="22" t="s">
        <v>100</v>
      </c>
      <c r="H5570" s="22" t="s">
        <v>100</v>
      </c>
      <c r="I5570" s="26">
        <v>43644.697118055599</v>
      </c>
      <c r="J5570" s="23" t="str">
        <f>HYPERLINK("https://www.spark-marketing.ru/Card/Person/6347833", "ООО ""БАШОПТИК""")</f>
        <v>ООО "БАШОПТИК"</v>
      </c>
      <c r="K5570" s="24" t="s">
        <v>3413</v>
      </c>
      <c r="L5570" s="28" t="s">
        <v>52</v>
      </c>
      <c r="M5570" s="28" t="s">
        <v>52</v>
      </c>
      <c r="N5570" s="28" t="s">
        <v>52</v>
      </c>
    </row>
    <row r="5571" spans="1:14" x14ac:dyDescent="0.15">
      <c r="A5571" s="23" t="str">
        <f>HYPERLINK("https://www.spark-marketing.ru/Card/Person/30851", "ДОНСКОЙ ГОСУДАРСТВЕННЫЙ ТЕХНИЧЕСКИЙ УНИВЕРСИТЕТ; ДГТУ")</f>
        <v>ДОНСКОЙ ГОСУДАРСТВЕННЫЙ ТЕХНИЧЕСКИЙ УНИВЕРСИТЕТ; ДГТУ</v>
      </c>
      <c r="B5571" s="24" t="s">
        <v>6027</v>
      </c>
      <c r="C5571" s="25">
        <v>223000</v>
      </c>
      <c r="D5571" s="22" t="s">
        <v>7190</v>
      </c>
      <c r="E5571" s="22" t="s">
        <v>53</v>
      </c>
      <c r="F5571" s="23" t="str">
        <f>HYPERLINK("https://www.spark-marketing.ru/Card/Lot/71778485", "Оказание услуг по обеспечению общественного порядка и организации пропускного режима на объектах университета (охрана объектов)")</f>
        <v>Оказание услуг по обеспечению общественного порядка и организации пропускного режима на объектах университета (охрана объектов)</v>
      </c>
      <c r="G5571" s="22" t="s">
        <v>402</v>
      </c>
      <c r="H5571" s="22" t="s">
        <v>402</v>
      </c>
      <c r="I5571" s="26">
        <v>43644.654537037</v>
      </c>
      <c r="J5571" s="28" t="s">
        <v>52</v>
      </c>
      <c r="K5571" s="28" t="s">
        <v>52</v>
      </c>
      <c r="L5571" s="28" t="s">
        <v>52</v>
      </c>
      <c r="M5571" s="28" t="s">
        <v>52</v>
      </c>
      <c r="N5571" s="28" t="s">
        <v>52</v>
      </c>
    </row>
    <row r="5572" spans="1:14" x14ac:dyDescent="0.15">
      <c r="A5572" s="23" t="str">
        <f>HYPERLINK("https://www.spark-marketing.ru/Card/Person/30851", "ДОНСКОЙ ГОСУДАРСТВЕННЫЙ ТЕХНИЧЕСКИЙ УНИВЕРСИТЕТ; ДГТУ")</f>
        <v>ДОНСКОЙ ГОСУДАРСТВЕННЫЙ ТЕХНИЧЕСКИЙ УНИВЕРСИТЕТ; ДГТУ</v>
      </c>
      <c r="B5572" s="24" t="s">
        <v>6027</v>
      </c>
      <c r="C5572" s="25">
        <v>390250</v>
      </c>
      <c r="D5572" s="22" t="s">
        <v>7191</v>
      </c>
      <c r="E5572" s="22" t="s">
        <v>53</v>
      </c>
      <c r="F5572" s="23" t="str">
        <f>HYPERLINK("https://www.spark-marketing.ru/Card/Lot/71778458", "Оказание услуг по обеспечению общественного порядка и организации пропускного режима на объектах университета (охрана объектов)")</f>
        <v>Оказание услуг по обеспечению общественного порядка и организации пропускного режима на объектах университета (охрана объектов)</v>
      </c>
      <c r="G5572" s="22" t="s">
        <v>402</v>
      </c>
      <c r="H5572" s="22" t="s">
        <v>402</v>
      </c>
      <c r="I5572" s="26">
        <v>43644.647523148102</v>
      </c>
      <c r="J5572" s="28" t="s">
        <v>52</v>
      </c>
      <c r="K5572" s="28" t="s">
        <v>52</v>
      </c>
      <c r="L5572" s="28" t="s">
        <v>52</v>
      </c>
      <c r="M5572" s="28" t="s">
        <v>52</v>
      </c>
      <c r="N5572" s="28" t="s">
        <v>52</v>
      </c>
    </row>
    <row r="5573" spans="1:14" x14ac:dyDescent="0.15">
      <c r="A5573" s="23" t="str">
        <f>HYPERLINK("https://www.spark-marketing.ru/Card/Person/7264", "УПРАВЛЕНИЕ РОСРЕЕСТРА ПО РЕСПУБЛИКЕ БАШКОРТОСТАН")</f>
        <v>УПРАВЛЕНИЕ РОСРЕЕСТРА ПО РЕСПУБЛИКЕ БАШКОРТОСТАН</v>
      </c>
      <c r="B5573" s="24" t="s">
        <v>4843</v>
      </c>
      <c r="C5573" s="25">
        <v>3967.44</v>
      </c>
      <c r="D5573" s="22" t="s">
        <v>7192</v>
      </c>
      <c r="E5573" s="22" t="s">
        <v>68</v>
      </c>
      <c r="F5573" s="23" t="str">
        <f>HYPERLINK("https://www.spark-marketing.ru/Card/Lot/71778343", "Услуги, связанные с обеспечением общественного порядка и безопасности прочие, 1 усл. ед")</f>
        <v>Услуги, связанные с обеспечением общественного порядка и безопасности прочие, 1 усл. ед</v>
      </c>
      <c r="G5573" s="22" t="s">
        <v>100</v>
      </c>
      <c r="H5573" s="22" t="s">
        <v>373</v>
      </c>
      <c r="I5573" s="26">
        <v>43644.665833333303</v>
      </c>
      <c r="J5573" s="28" t="s">
        <v>52</v>
      </c>
      <c r="K5573" s="28" t="s">
        <v>52</v>
      </c>
      <c r="L5573" s="28" t="s">
        <v>52</v>
      </c>
      <c r="M5573" s="28" t="s">
        <v>52</v>
      </c>
      <c r="N5573" s="28" t="s">
        <v>52</v>
      </c>
    </row>
    <row r="5574" spans="1:14" x14ac:dyDescent="0.15">
      <c r="A5574" s="23" t="str">
        <f>HYPERLINK("https://www.spark-marketing.ru/Card/Person/30851", "ДОНСКОЙ ГОСУДАРСТВЕННЫЙ ТЕХНИЧЕСКИЙ УНИВЕРСИТЕТ; ДГТУ")</f>
        <v>ДОНСКОЙ ГОСУДАРСТВЕННЫЙ ТЕХНИЧЕСКИЙ УНИВЕРСИТЕТ; ДГТУ</v>
      </c>
      <c r="B5574" s="24" t="s">
        <v>6027</v>
      </c>
      <c r="C5574" s="25">
        <v>390250</v>
      </c>
      <c r="D5574" s="22" t="s">
        <v>7193</v>
      </c>
      <c r="E5574" s="22" t="s">
        <v>53</v>
      </c>
      <c r="F5574" s="23" t="str">
        <f>HYPERLINK("https://www.spark-marketing.ru/Card/Lot/71778476", "Оказание услуг по обеспечению общественного порядка и организации пропускного режима на объектах университета (охрана объектов)")</f>
        <v>Оказание услуг по обеспечению общественного порядка и организации пропускного режима на объектах университета (охрана объектов)</v>
      </c>
      <c r="G5574" s="22" t="s">
        <v>402</v>
      </c>
      <c r="H5574" s="22" t="s">
        <v>402</v>
      </c>
      <c r="I5574" s="26">
        <v>43644.652083333298</v>
      </c>
      <c r="J5574" s="28" t="s">
        <v>52</v>
      </c>
      <c r="K5574" s="28" t="s">
        <v>52</v>
      </c>
      <c r="L5574" s="28" t="s">
        <v>52</v>
      </c>
      <c r="M5574" s="28" t="s">
        <v>52</v>
      </c>
      <c r="N5574" s="28" t="s">
        <v>52</v>
      </c>
    </row>
    <row r="5575" spans="1:14" x14ac:dyDescent="0.15">
      <c r="A5575" s="23" t="str">
        <f>HYPERLINK("https://www.spark-marketing.ru/Card/Person/1006724", "ГБПОУ СО ""СОМЭПК""")</f>
        <v>ГБПОУ СО "СОМЭПК"</v>
      </c>
      <c r="B5575" s="24" t="s">
        <v>7194</v>
      </c>
      <c r="C5575" s="25">
        <v>1967584.66</v>
      </c>
      <c r="D5575" s="22" t="s">
        <v>7195</v>
      </c>
      <c r="E5575" s="22" t="s">
        <v>59</v>
      </c>
      <c r="F5575" s="23" t="str">
        <f>HYPERLINK("https://www.spark-marketing.ru/Card/Lot/71811664", "Выполнение работ по установке системы видеонаблюдения и системы охранного освещения")</f>
        <v>Выполнение работ по установке системы видеонаблюдения и системы охранного освещения</v>
      </c>
      <c r="G5575" s="22" t="s">
        <v>72</v>
      </c>
      <c r="H5575" s="22" t="s">
        <v>949</v>
      </c>
      <c r="I5575" s="26">
        <v>43644.631249999999</v>
      </c>
      <c r="J5575" s="28" t="s">
        <v>52</v>
      </c>
      <c r="K5575" s="28" t="s">
        <v>52</v>
      </c>
      <c r="L5575" s="28" t="s">
        <v>52</v>
      </c>
      <c r="M5575" s="28" t="s">
        <v>52</v>
      </c>
      <c r="N5575" s="28" t="s">
        <v>52</v>
      </c>
    </row>
    <row r="5576" spans="1:14" hidden="1" outlineLevel="1" x14ac:dyDescent="0.2">
      <c r="A5576" s="23" t="str">
        <f>HYPERLINK("https://www.spark-marketing.ru/Card/Person/1006724", "ГБПОУ СО ""СОМЭПК""")</f>
        <v>ГБПОУ СО "СОМЭПК"</v>
      </c>
      <c r="B5576" s="24" t="s">
        <v>7194</v>
      </c>
      <c r="C5576" s="25">
        <v>1967584.66</v>
      </c>
      <c r="D5576" s="22" t="s">
        <v>7195</v>
      </c>
      <c r="E5576" s="22" t="s">
        <v>59</v>
      </c>
      <c r="F5576" s="23" t="str">
        <f>HYPERLINK("https://www.spark-marketing.ru/Card/Lot/71811664", "Выполнение работ по установке системы видеонаблюдения и системы охранного освещения")</f>
        <v>Выполнение работ по установке системы видеонаблюдения и системы охранного освещения</v>
      </c>
      <c r="G5576" s="22" t="s">
        <v>72</v>
      </c>
      <c r="H5576" s="22" t="s">
        <v>949</v>
      </c>
      <c r="I5576" s="26">
        <v>43644.631249999999</v>
      </c>
      <c r="J5576" s="23" t="str">
        <f>HYPERLINK("https://www.spark-marketing.ru/Card/Person/390380", "ООО ""КОНТРОЛЬ-Н""")</f>
        <v>ООО "КОНТРОЛЬ-Н"</v>
      </c>
      <c r="K5576" s="24" t="s">
        <v>4927</v>
      </c>
      <c r="L5576" s="28" t="s">
        <v>52</v>
      </c>
      <c r="M5576" s="25">
        <v>1443565.54</v>
      </c>
      <c r="N5576" s="27">
        <v>0.26632608530298257</v>
      </c>
    </row>
    <row r="5577" spans="1:14" hidden="1" outlineLevel="1" x14ac:dyDescent="0.2">
      <c r="A5577" s="23" t="str">
        <f>HYPERLINK("https://www.spark-marketing.ru/Card/Person/1006724", "ГБПОУ СО ""СОМЭПК""")</f>
        <v>ГБПОУ СО "СОМЭПК"</v>
      </c>
      <c r="B5577" s="24" t="s">
        <v>7194</v>
      </c>
      <c r="C5577" s="25">
        <v>1967584.66</v>
      </c>
      <c r="D5577" s="22" t="s">
        <v>7195</v>
      </c>
      <c r="E5577" s="22" t="s">
        <v>59</v>
      </c>
      <c r="F5577" s="23" t="str">
        <f>HYPERLINK("https://www.spark-marketing.ru/Card/Lot/71811664", "Выполнение работ по установке системы видеонаблюдения и системы охранного освещения")</f>
        <v>Выполнение работ по установке системы видеонаблюдения и системы охранного освещения</v>
      </c>
      <c r="G5577" s="22" t="s">
        <v>72</v>
      </c>
      <c r="H5577" s="22" t="s">
        <v>949</v>
      </c>
      <c r="I5577" s="26">
        <v>43644.631249999999</v>
      </c>
      <c r="J5577" s="23" t="str">
        <f>HYPERLINK("https://www.spark-marketing.ru/Card/Person/548238", "ООО ""КОМЛОГ УРАЛ-ЕКБ""")</f>
        <v>ООО "КОМЛОГ УРАЛ-ЕКБ"</v>
      </c>
      <c r="K5577" s="24" t="s">
        <v>7196</v>
      </c>
      <c r="L5577" s="28" t="s">
        <v>52</v>
      </c>
      <c r="M5577" s="25">
        <v>1660000</v>
      </c>
      <c r="N5577" s="27">
        <v>0.1563260103887982</v>
      </c>
    </row>
    <row r="5578" spans="1:14" ht="12.75" hidden="1" outlineLevel="1" x14ac:dyDescent="0.2">
      <c r="A5578" s="23" t="str">
        <f>HYPERLINK("https://www.spark-marketing.ru/Card/Person/1006724", "ГБПОУ СО ""СОМЭПК""")</f>
        <v>ГБПОУ СО "СОМЭПК"</v>
      </c>
      <c r="B5578" s="24" t="s">
        <v>7194</v>
      </c>
      <c r="C5578" s="25">
        <v>1967584.66</v>
      </c>
      <c r="D5578" s="22" t="s">
        <v>7195</v>
      </c>
      <c r="E5578" s="22" t="s">
        <v>59</v>
      </c>
      <c r="F5578" s="23" t="str">
        <f>HYPERLINK("https://www.spark-marketing.ru/Card/Lot/71811664", "Выполнение работ по установке системы видеонаблюдения и системы охранного освещения")</f>
        <v>Выполнение работ по установке системы видеонаблюдения и системы охранного освещения</v>
      </c>
      <c r="G5578" s="22" t="s">
        <v>72</v>
      </c>
      <c r="H5578" s="22" t="s">
        <v>949</v>
      </c>
      <c r="I5578" s="26">
        <v>43644.631249999999</v>
      </c>
      <c r="J5578" s="23" t="str">
        <f>HYPERLINK("https://www.spark-marketing.ru/Card/Person/30892", "Каплун Матвей Владимирович")</f>
        <v>Каплун Матвей Владимирович</v>
      </c>
      <c r="K5578" s="24" t="s">
        <v>6603</v>
      </c>
      <c r="L5578" s="22" t="s">
        <v>10</v>
      </c>
      <c r="M5578" s="25">
        <v>1433727.61</v>
      </c>
      <c r="N5578" s="27">
        <v>0.27132608870817276</v>
      </c>
    </row>
    <row r="5579" spans="1:14" hidden="1" outlineLevel="1" x14ac:dyDescent="0.2">
      <c r="A5579" s="23" t="str">
        <f>HYPERLINK("https://www.spark-marketing.ru/Card/Person/1006724", "ГБПОУ СО ""СОМЭПК""")</f>
        <v>ГБПОУ СО "СОМЭПК"</v>
      </c>
      <c r="B5579" s="24" t="s">
        <v>7194</v>
      </c>
      <c r="C5579" s="25">
        <v>1967584.66</v>
      </c>
      <c r="D5579" s="22" t="s">
        <v>7195</v>
      </c>
      <c r="E5579" s="22" t="s">
        <v>59</v>
      </c>
      <c r="F5579" s="23" t="str">
        <f>HYPERLINK("https://www.spark-marketing.ru/Card/Lot/71811664", "Выполнение работ по установке системы видеонаблюдения и системы охранного освещения")</f>
        <v>Выполнение работ по установке системы видеонаблюдения и системы охранного освещения</v>
      </c>
      <c r="G5579" s="22" t="s">
        <v>72</v>
      </c>
      <c r="H5579" s="22" t="s">
        <v>949</v>
      </c>
      <c r="I5579" s="26">
        <v>43644.631249999999</v>
      </c>
      <c r="J5579" s="23" t="str">
        <f>HYPERLINK("https://www.spark-marketing.ru/Card/Person/2584937", "ООО ""ОТК""")</f>
        <v>ООО "ОТК"</v>
      </c>
      <c r="K5579" s="24" t="s">
        <v>5684</v>
      </c>
      <c r="L5579" s="28" t="s">
        <v>52</v>
      </c>
      <c r="M5579" s="25">
        <v>1680007</v>
      </c>
      <c r="N5579" s="27">
        <v>0.14615770586461069</v>
      </c>
    </row>
    <row r="5580" spans="1:14" x14ac:dyDescent="0.15">
      <c r="A5580" s="23" t="str">
        <f>HYPERLINK("https://www.spark-marketing.ru/Card/Person/30851", "ДОНСКОЙ ГОСУДАРСТВЕННЫЙ ТЕХНИЧЕСКИЙ УНИВЕРСИТЕТ; ДГТУ")</f>
        <v>ДОНСКОЙ ГОСУДАРСТВЕННЫЙ ТЕХНИЧЕСКИЙ УНИВЕРСИТЕТ; ДГТУ</v>
      </c>
      <c r="B5580" s="24" t="s">
        <v>6027</v>
      </c>
      <c r="C5580" s="25">
        <v>390250</v>
      </c>
      <c r="D5580" s="22" t="s">
        <v>7197</v>
      </c>
      <c r="E5580" s="22" t="s">
        <v>53</v>
      </c>
      <c r="F5580" s="23" t="str">
        <f>HYPERLINK("https://www.spark-marketing.ru/Card/Lot/71778437", "Оказание услуг по обеспечению общественного порядка и организации пропускного режима на объектах университета (охрана объектов)")</f>
        <v>Оказание услуг по обеспечению общественного порядка и организации пропускного режима на объектах университета (охрана объектов)</v>
      </c>
      <c r="G5580" s="22" t="s">
        <v>402</v>
      </c>
      <c r="H5580" s="22" t="s">
        <v>402</v>
      </c>
      <c r="I5580" s="26">
        <v>43644.641909722202</v>
      </c>
      <c r="J5580" s="28" t="s">
        <v>52</v>
      </c>
      <c r="K5580" s="28" t="s">
        <v>52</v>
      </c>
      <c r="L5580" s="28" t="s">
        <v>52</v>
      </c>
      <c r="M5580" s="28" t="s">
        <v>52</v>
      </c>
      <c r="N5580" s="28" t="s">
        <v>52</v>
      </c>
    </row>
    <row r="5581" spans="1:14" x14ac:dyDescent="0.15">
      <c r="A5581" s="23" t="str">
        <f>HYPERLINK("https://www.spark-marketing.ru/Card/Person/1781080", "АО ""ПРОМЫШЛЕННЫЕ ИННОВАЦИИ""")</f>
        <v>АО "ПРОМЫШЛЕННЫЕ ИННОВАЦИИ"</v>
      </c>
      <c r="B5581" s="24" t="s">
        <v>6626</v>
      </c>
      <c r="C5581" s="25">
        <v>22027787.640000001</v>
      </c>
      <c r="D5581" s="22" t="s">
        <v>7198</v>
      </c>
      <c r="E5581" s="22" t="s">
        <v>53</v>
      </c>
      <c r="F5581" s="23" t="str">
        <f>HYPERLINK("https://www.spark-marketing.ru/Card/Lot/71796648", "Право заключения договора на оказание услуг по физической охране объектов АО «УЭХК»")</f>
        <v>Право заключения договора на оказание услуг по физической охране объектов АО «УЭХК»</v>
      </c>
      <c r="G5581" s="22" t="s">
        <v>55</v>
      </c>
      <c r="H5581" s="22" t="s">
        <v>55</v>
      </c>
      <c r="I5581" s="26">
        <v>43644.649490740703</v>
      </c>
      <c r="J5581" s="28" t="s">
        <v>52</v>
      </c>
      <c r="K5581" s="28" t="s">
        <v>52</v>
      </c>
      <c r="L5581" s="28" t="s">
        <v>52</v>
      </c>
      <c r="M5581" s="28" t="s">
        <v>52</v>
      </c>
      <c r="N5581" s="28" t="s">
        <v>52</v>
      </c>
    </row>
    <row r="5582" spans="1:14" x14ac:dyDescent="0.2">
      <c r="A5582" s="23" t="str">
        <f>HYPERLINK("https://www.spark-marketing.ru/Card/Person/4367259", "МАОУ СРЕДНЯЯ ШКОЛА №8 ИМ.А.Г.МАХНЁВА АГО,МАОУ СОШ №8 ИМ.А.Г.МАХНЁВА,ШКОЛА №8 ИМ.А.Г.МАХНЁВА")</f>
        <v>МАОУ СРЕДНЯЯ ШКОЛА №8 ИМ.А.Г.МАХНЁВА АГО,МАОУ СОШ №8 ИМ.А.Г.МАХНЁВА,ШКОЛА №8 ИМ.А.Г.МАХНЁВА</v>
      </c>
      <c r="B5582" s="24" t="s">
        <v>7199</v>
      </c>
      <c r="C5582" s="25">
        <v>200000</v>
      </c>
      <c r="D5582" s="22" t="s">
        <v>7200</v>
      </c>
      <c r="E5582" s="22" t="s">
        <v>49</v>
      </c>
      <c r="F5582" s="23" t="str">
        <f>HYPERLINK("https://www.spark-marketing.ru/Card/Lot/71772012", "Установка комплекса охранной сигнализации.")</f>
        <v>Установка комплекса охранной сигнализации.</v>
      </c>
      <c r="G5582" s="22" t="s">
        <v>72</v>
      </c>
      <c r="H5582" s="22" t="s">
        <v>72</v>
      </c>
      <c r="I5582" s="26">
        <v>43644.621655092596</v>
      </c>
      <c r="J5582" s="28" t="s">
        <v>52</v>
      </c>
      <c r="K5582" s="28" t="s">
        <v>52</v>
      </c>
      <c r="L5582" s="22" t="s">
        <v>10</v>
      </c>
      <c r="M5582" s="25">
        <v>199000</v>
      </c>
      <c r="N5582" s="27">
        <v>5.0000000000000001E-3</v>
      </c>
    </row>
    <row r="5583" spans="1:14" x14ac:dyDescent="0.15">
      <c r="A5583" s="23" t="str">
        <f>HYPERLINK("https://www.spark-marketing.ru/Card/Person/52909", "МКУ ""ЕДДС ГОРОДА СУРГУТА""")</f>
        <v>МКУ "ЕДДС ГОРОДА СУРГУТА"</v>
      </c>
      <c r="B5583" s="24" t="s">
        <v>7201</v>
      </c>
      <c r="C5583" s="25">
        <v>9000000</v>
      </c>
      <c r="D5583" s="22" t="s">
        <v>7202</v>
      </c>
      <c r="E5583" s="22" t="s">
        <v>84</v>
      </c>
      <c r="F5583" s="23" t="str">
        <f>HYPERLINK("https://www.spark-marketing.ru/Card/Lot/71799043", "Приобретение и установка систем видеонаблюдения и фотовидеофиксации АПК «Безопасный город» на аварийно-опасных участках автомобильных дорог местного значения")</f>
        <v>Приобретение и установка систем видеонаблюдения и фотовидеофиксации АПК «Безопасный город» на аварийно-опасных участках автомобильных дорог местного значения</v>
      </c>
      <c r="G5583" s="22" t="s">
        <v>119</v>
      </c>
      <c r="H5583" s="22" t="s">
        <v>463</v>
      </c>
      <c r="I5583" s="26">
        <v>43644.610694444404</v>
      </c>
      <c r="J5583" s="28" t="s">
        <v>52</v>
      </c>
      <c r="K5583" s="28" t="s">
        <v>52</v>
      </c>
      <c r="L5583" s="28" t="s">
        <v>52</v>
      </c>
      <c r="M5583" s="28" t="s">
        <v>52</v>
      </c>
      <c r="N5583" s="28" t="s">
        <v>52</v>
      </c>
    </row>
    <row r="5584" spans="1:14" hidden="1" outlineLevel="1" x14ac:dyDescent="0.2">
      <c r="A5584" s="23" t="str">
        <f>HYPERLINK("https://www.spark-marketing.ru/Card/Person/52909", "МКУ ""ЕДДС ГОРОДА СУРГУТА""")</f>
        <v>МКУ "ЕДДС ГОРОДА СУРГУТА"</v>
      </c>
      <c r="B5584" s="24" t="s">
        <v>7201</v>
      </c>
      <c r="C5584" s="25">
        <v>9000000</v>
      </c>
      <c r="D5584" s="22" t="s">
        <v>7202</v>
      </c>
      <c r="E5584" s="22" t="s">
        <v>84</v>
      </c>
      <c r="F5584" s="23" t="str">
        <f>HYPERLINK("https://www.spark-marketing.ru/Card/Lot/71799043", "Приобретение и установка систем видеонаблюдения и фотовидеофиксации АПК «Безопасный город» на аварийно-опасных участках автомобильных дорог местного значения")</f>
        <v>Приобретение и установка систем видеонаблюдения и фотовидеофиксации АПК «Безопасный город» на аварийно-опасных участках автомобильных дорог местного значения</v>
      </c>
      <c r="G5584" s="22" t="s">
        <v>119</v>
      </c>
      <c r="H5584" s="22" t="s">
        <v>463</v>
      </c>
      <c r="I5584" s="26">
        <v>43644.610694444404</v>
      </c>
      <c r="J5584" s="23" t="str">
        <f>HYPERLINK("https://www.spark-marketing.ru/Card/Person/2560327", "ООО ""АЙТИ ЭКСПЕРТ""")</f>
        <v>ООО "АЙТИ ЭКСПЕРТ"</v>
      </c>
      <c r="K5584" s="24" t="s">
        <v>7203</v>
      </c>
      <c r="L5584" s="28" t="s">
        <v>52</v>
      </c>
      <c r="M5584" s="25">
        <v>8955000</v>
      </c>
      <c r="N5584" s="27">
        <v>5.0000000000000001E-3</v>
      </c>
    </row>
    <row r="5585" spans="1:14" ht="12.75" hidden="1" outlineLevel="1" x14ac:dyDescent="0.2">
      <c r="A5585" s="23" t="str">
        <f>HYPERLINK("https://www.spark-marketing.ru/Card/Person/52909", "МКУ ""ЕДДС ГОРОДА СУРГУТА""")</f>
        <v>МКУ "ЕДДС ГОРОДА СУРГУТА"</v>
      </c>
      <c r="B5585" s="24" t="s">
        <v>7201</v>
      </c>
      <c r="C5585" s="25">
        <v>9000000</v>
      </c>
      <c r="D5585" s="22" t="s">
        <v>7202</v>
      </c>
      <c r="E5585" s="22" t="s">
        <v>84</v>
      </c>
      <c r="F5585" s="23" t="str">
        <f>HYPERLINK("https://www.spark-marketing.ru/Card/Lot/71799043", "Приобретение и установка систем видеонаблюдения и фотовидеофиксации АПК «Безопасный город» на аварийно-опасных участках автомобильных дорог местного значения")</f>
        <v>Приобретение и установка систем видеонаблюдения и фотовидеофиксации АПК «Безопасный город» на аварийно-опасных участках автомобильных дорог местного значения</v>
      </c>
      <c r="G5585" s="22" t="s">
        <v>119</v>
      </c>
      <c r="H5585" s="22" t="s">
        <v>463</v>
      </c>
      <c r="I5585" s="26">
        <v>43644.610694444404</v>
      </c>
      <c r="J5585" s="23" t="str">
        <f>HYPERLINK("https://www.spark-marketing.ru/Card/Person/5854539", "ООО ""СИТИОМ""")</f>
        <v>ООО "СИТИОМ"</v>
      </c>
      <c r="K5585" s="24" t="s">
        <v>7204</v>
      </c>
      <c r="L5585" s="22" t="s">
        <v>10</v>
      </c>
      <c r="M5585" s="25">
        <v>8955000</v>
      </c>
      <c r="N5585" s="27">
        <v>5.0000000000000001E-3</v>
      </c>
    </row>
    <row r="5586" spans="1:14" hidden="1" outlineLevel="1" x14ac:dyDescent="0.2">
      <c r="A5586" s="23" t="str">
        <f>HYPERLINK("https://www.spark-marketing.ru/Card/Person/52909", "МКУ ""ЕДДС ГОРОДА СУРГУТА""")</f>
        <v>МКУ "ЕДДС ГОРОДА СУРГУТА"</v>
      </c>
      <c r="B5586" s="24" t="s">
        <v>7201</v>
      </c>
      <c r="C5586" s="25">
        <v>9000000</v>
      </c>
      <c r="D5586" s="22" t="s">
        <v>7202</v>
      </c>
      <c r="E5586" s="22" t="s">
        <v>84</v>
      </c>
      <c r="F5586" s="23" t="str">
        <f>HYPERLINK("https://www.spark-marketing.ru/Card/Lot/71799043", "Приобретение и установка систем видеонаблюдения и фотовидеофиксации АПК «Безопасный город» на аварийно-опасных участках автомобильных дорог местного значения")</f>
        <v>Приобретение и установка систем видеонаблюдения и фотовидеофиксации АПК «Безопасный город» на аварийно-опасных участках автомобильных дорог местного значения</v>
      </c>
      <c r="G5586" s="22" t="s">
        <v>119</v>
      </c>
      <c r="H5586" s="22" t="s">
        <v>463</v>
      </c>
      <c r="I5586" s="26">
        <v>43644.610694444404</v>
      </c>
      <c r="J5586" s="23" t="str">
        <f>HYPERLINK("https://www.spark-marketing.ru/Card/Person/653158", "ООО ""ИНВЕСТТЕЛЕКОМ""")</f>
        <v>ООО "ИНВЕСТТЕЛЕКОМ"</v>
      </c>
      <c r="K5586" s="24" t="s">
        <v>7205</v>
      </c>
      <c r="L5586" s="28" t="s">
        <v>52</v>
      </c>
      <c r="M5586" s="25">
        <v>8955000</v>
      </c>
      <c r="N5586" s="27">
        <v>5.0000000000000001E-3</v>
      </c>
    </row>
    <row r="5587" spans="1:14" x14ac:dyDescent="0.2">
      <c r="A5587" s="23" t="str">
        <f>HYPERLINK("https://www.spark-marketing.ru/Card/Person/3752", "ПНИПУ, ФГБОУ ВО ""ПЕРМСКИЙ НАЦИОНАЛЬНЫЙ ИССЛЕДОВАТЕЛЬСКИЙ ПОЛИТЕХНИЧЕСКИЙ УНИВЕРСИТЕТ"", ФГБОУ ВО ""ПНИПУ""")</f>
        <v>ПНИПУ, ФГБОУ ВО "ПЕРМСКИЙ НАЦИОНАЛЬНЫЙ ИССЛЕДОВАТЕЛЬСКИЙ ПОЛИТЕХНИЧЕСКИЙ УНИВЕРСИТЕТ", ФГБОУ ВО "ПНИПУ"</v>
      </c>
      <c r="B5587" s="24" t="s">
        <v>3768</v>
      </c>
      <c r="C5587" s="25">
        <v>126000</v>
      </c>
      <c r="D5587" s="22" t="s">
        <v>7206</v>
      </c>
      <c r="E5587" s="22" t="s">
        <v>137</v>
      </c>
      <c r="F5587" s="23" t="str">
        <f>HYPERLINK("https://www.spark-marketing.ru/Card/Lot/71768392", "Техническое обслуживание системы видеонаблюдения БФ ПНИПУ")</f>
        <v>Техническое обслуживание системы видеонаблюдения БФ ПНИПУ</v>
      </c>
      <c r="G5587" s="22" t="s">
        <v>391</v>
      </c>
      <c r="H5587" s="22" t="s">
        <v>391</v>
      </c>
      <c r="I5587" s="26">
        <v>43644.588449074101</v>
      </c>
      <c r="J5587" s="23" t="str">
        <f>HYPERLINK("https://www.spark-marketing.ru/Card/Person/60648", "ООО ОП ""АЛЬФА-БЕРЕЗНИКИ""")</f>
        <v>ООО ОП "АЛЬФА-БЕРЕЗНИКИ"</v>
      </c>
      <c r="K5587" s="24" t="s">
        <v>7207</v>
      </c>
      <c r="L5587" s="28" t="s">
        <v>52</v>
      </c>
      <c r="M5587" s="25">
        <v>126000</v>
      </c>
      <c r="N5587" s="27">
        <v>0</v>
      </c>
    </row>
    <row r="5588" spans="1:14" x14ac:dyDescent="0.15">
      <c r="A5588" s="23" t="str">
        <f>HYPERLINK("https://www.spark-marketing.ru/Card/Person/656313", "ВСУ СК РОССИИ ПО Г. МОСКВЕ")</f>
        <v>ВСУ СК РОССИИ ПО Г. МОСКВЕ</v>
      </c>
      <c r="B5588" s="24" t="s">
        <v>7208</v>
      </c>
      <c r="C5588" s="25">
        <v>1000000</v>
      </c>
      <c r="D5588" s="22" t="s">
        <v>7209</v>
      </c>
      <c r="E5588" s="22" t="s">
        <v>208</v>
      </c>
      <c r="F5588" s="23" t="str">
        <f>HYPERLINK("https://www.spark-marketing.ru/Card/Lot/71801855", "Приобретение и установка систем безопасности (видеонаблюдения и СКУД)")</f>
        <v>Приобретение и установка систем безопасности (видеонаблюдения и СКУД)</v>
      </c>
      <c r="G5588" s="22" t="s">
        <v>55</v>
      </c>
      <c r="H5588" s="22" t="s">
        <v>55</v>
      </c>
      <c r="I5588" s="26">
        <v>43644.615810185198</v>
      </c>
      <c r="J5588" s="28" t="s">
        <v>52</v>
      </c>
      <c r="K5588" s="28" t="s">
        <v>52</v>
      </c>
      <c r="L5588" s="28" t="s">
        <v>52</v>
      </c>
      <c r="M5588" s="28" t="s">
        <v>52</v>
      </c>
      <c r="N5588" s="28" t="s">
        <v>52</v>
      </c>
    </row>
    <row r="5589" spans="1:14" hidden="1" outlineLevel="1" x14ac:dyDescent="0.2">
      <c r="A5589" s="23" t="str">
        <f>HYPERLINK("https://www.spark-marketing.ru/Card/Person/656313", "ВСУ СК РОССИИ ПО Г. МОСКВЕ")</f>
        <v>ВСУ СК РОССИИ ПО Г. МОСКВЕ</v>
      </c>
      <c r="B5589" s="24" t="s">
        <v>7208</v>
      </c>
      <c r="C5589" s="25">
        <v>1000000</v>
      </c>
      <c r="D5589" s="22" t="s">
        <v>7209</v>
      </c>
      <c r="E5589" s="22" t="s">
        <v>208</v>
      </c>
      <c r="F5589" s="23" t="str">
        <f>HYPERLINK("https://www.spark-marketing.ru/Card/Lot/71801855", "Приобретение и установка систем безопасности (видеонаблюдения и СКУД)")</f>
        <v>Приобретение и установка систем безопасности (видеонаблюдения и СКУД)</v>
      </c>
      <c r="G5589" s="22" t="s">
        <v>55</v>
      </c>
      <c r="H5589" s="22" t="s">
        <v>55</v>
      </c>
      <c r="I5589" s="26">
        <v>43644.615810185198</v>
      </c>
      <c r="J5589" s="23" t="str">
        <f>HYPERLINK("https://www.spark-marketing.ru/Card/Person/6629771", "ООО ""СКС СТРОЙПРОЕКТ""")</f>
        <v>ООО "СКС СТРОЙПРОЕКТ"</v>
      </c>
      <c r="K5589" s="24" t="s">
        <v>7210</v>
      </c>
      <c r="L5589" s="28" t="s">
        <v>52</v>
      </c>
      <c r="M5589" s="25">
        <v>720000</v>
      </c>
      <c r="N5589" s="27">
        <v>0.28000000000000003</v>
      </c>
    </row>
    <row r="5590" spans="1:14" hidden="1" outlineLevel="1" x14ac:dyDescent="0.2">
      <c r="A5590" s="23" t="str">
        <f>HYPERLINK("https://www.spark-marketing.ru/Card/Person/656313", "ВСУ СК РОССИИ ПО Г. МОСКВЕ")</f>
        <v>ВСУ СК РОССИИ ПО Г. МОСКВЕ</v>
      </c>
      <c r="B5590" s="24" t="s">
        <v>7208</v>
      </c>
      <c r="C5590" s="25">
        <v>1000000</v>
      </c>
      <c r="D5590" s="22" t="s">
        <v>7209</v>
      </c>
      <c r="E5590" s="22" t="s">
        <v>208</v>
      </c>
      <c r="F5590" s="23" t="str">
        <f>HYPERLINK("https://www.spark-marketing.ru/Card/Lot/71801855", "Приобретение и установка систем безопасности (видеонаблюдения и СКУД)")</f>
        <v>Приобретение и установка систем безопасности (видеонаблюдения и СКУД)</v>
      </c>
      <c r="G5590" s="22" t="s">
        <v>55</v>
      </c>
      <c r="H5590" s="22" t="s">
        <v>55</v>
      </c>
      <c r="I5590" s="26">
        <v>43644.615810185198</v>
      </c>
      <c r="J5590" s="23" t="str">
        <f>HYPERLINK("https://www.spark-marketing.ru/Card/Person/1635255", "ООО ""АЙ ПИ РЕШЕНИЯ""")</f>
        <v>ООО "АЙ ПИ РЕШЕНИЯ"</v>
      </c>
      <c r="K5590" s="24" t="s">
        <v>3507</v>
      </c>
      <c r="L5590" s="28" t="s">
        <v>52</v>
      </c>
      <c r="M5590" s="25">
        <v>903998</v>
      </c>
      <c r="N5590" s="27">
        <v>9.6002000000000004E-2</v>
      </c>
    </row>
    <row r="5591" spans="1:14" hidden="1" outlineLevel="1" x14ac:dyDescent="0.2">
      <c r="A5591" s="23" t="str">
        <f>HYPERLINK("https://www.spark-marketing.ru/Card/Person/656313", "ВСУ СК РОССИИ ПО Г. МОСКВЕ")</f>
        <v>ВСУ СК РОССИИ ПО Г. МОСКВЕ</v>
      </c>
      <c r="B5591" s="24" t="s">
        <v>7208</v>
      </c>
      <c r="C5591" s="25">
        <v>1000000</v>
      </c>
      <c r="D5591" s="22" t="s">
        <v>7209</v>
      </c>
      <c r="E5591" s="22" t="s">
        <v>208</v>
      </c>
      <c r="F5591" s="23" t="str">
        <f>HYPERLINK("https://www.spark-marketing.ru/Card/Lot/71801855", "Приобретение и установка систем безопасности (видеонаблюдения и СКУД)")</f>
        <v>Приобретение и установка систем безопасности (видеонаблюдения и СКУД)</v>
      </c>
      <c r="G5591" s="22" t="s">
        <v>55</v>
      </c>
      <c r="H5591" s="22" t="s">
        <v>55</v>
      </c>
      <c r="I5591" s="26">
        <v>43644.615810185198</v>
      </c>
      <c r="J5591" s="23" t="str">
        <f>HYPERLINK("https://www.spark-marketing.ru/Card/Person/6560397", "ООО ""БСП ГЛОБАЛ""")</f>
        <v>ООО "БСП ГЛОБАЛ"</v>
      </c>
      <c r="K5591" s="24" t="s">
        <v>7211</v>
      </c>
      <c r="L5591" s="28" t="s">
        <v>52</v>
      </c>
      <c r="M5591" s="25">
        <v>995000</v>
      </c>
      <c r="N5591" s="27">
        <v>5.0000000000000001E-3</v>
      </c>
    </row>
    <row r="5592" spans="1:14" ht="12.75" hidden="1" outlineLevel="1" x14ac:dyDescent="0.2">
      <c r="A5592" s="23" t="str">
        <f>HYPERLINK("https://www.spark-marketing.ru/Card/Person/656313", "ВСУ СК РОССИИ ПО Г. МОСКВЕ")</f>
        <v>ВСУ СК РОССИИ ПО Г. МОСКВЕ</v>
      </c>
      <c r="B5592" s="24" t="s">
        <v>7208</v>
      </c>
      <c r="C5592" s="25">
        <v>1000000</v>
      </c>
      <c r="D5592" s="22" t="s">
        <v>7209</v>
      </c>
      <c r="E5592" s="22" t="s">
        <v>208</v>
      </c>
      <c r="F5592" s="23" t="str">
        <f>HYPERLINK("https://www.spark-marketing.ru/Card/Lot/71801855", "Приобретение и установка систем безопасности (видеонаблюдения и СКУД)")</f>
        <v>Приобретение и установка систем безопасности (видеонаблюдения и СКУД)</v>
      </c>
      <c r="G5592" s="22" t="s">
        <v>55</v>
      </c>
      <c r="H5592" s="22" t="s">
        <v>55</v>
      </c>
      <c r="I5592" s="26">
        <v>43644.615810185198</v>
      </c>
      <c r="J5592" s="23" t="str">
        <f>HYPERLINK("https://www.spark-marketing.ru/Card/Person/2583396", "ООО ""МАСТЕР УСЛУГ""")</f>
        <v>ООО "МАСТЕР УСЛУГ"</v>
      </c>
      <c r="K5592" s="24" t="s">
        <v>7212</v>
      </c>
      <c r="L5592" s="22" t="s">
        <v>10</v>
      </c>
      <c r="M5592" s="25">
        <v>715000</v>
      </c>
      <c r="N5592" s="27">
        <v>0.28499999999999998</v>
      </c>
    </row>
    <row r="5593" spans="1:14" x14ac:dyDescent="0.15">
      <c r="A5593" s="23" t="str">
        <f>HYPERLINK("https://www.spark-marketing.ru/Card/Person/639715", "ОТДЕЛ МВД РОССИИ ПО КУШНАРЕНКОВСКОМУ РАЙОНУ")</f>
        <v>ОТДЕЛ МВД РОССИИ ПО КУШНАРЕНКОВСКОМУ РАЙОНУ</v>
      </c>
      <c r="B5593" s="24" t="s">
        <v>7213</v>
      </c>
      <c r="C5593" s="25">
        <v>26000</v>
      </c>
      <c r="D5593" s="22" t="s">
        <v>7214</v>
      </c>
      <c r="E5593" s="22" t="s">
        <v>107</v>
      </c>
      <c r="F5593" s="23" t="str">
        <f>HYPERLINK("https://www.spark-marketing.ru/Card/Lot/71772886", "Техническое обслуживание и ППР технических средств охраны, 13 шт")</f>
        <v>Техническое обслуживание и ППР технических средств охраны, 13 шт</v>
      </c>
      <c r="G5593" s="22" t="s">
        <v>100</v>
      </c>
      <c r="H5593" s="22" t="s">
        <v>7215</v>
      </c>
      <c r="I5593" s="26">
        <v>43644.600324074097</v>
      </c>
      <c r="J5593" s="28" t="s">
        <v>52</v>
      </c>
      <c r="K5593" s="28" t="s">
        <v>52</v>
      </c>
      <c r="L5593" s="28" t="s">
        <v>52</v>
      </c>
      <c r="M5593" s="28" t="s">
        <v>52</v>
      </c>
      <c r="N5593" s="28" t="s">
        <v>52</v>
      </c>
    </row>
    <row r="5594" spans="1:14" x14ac:dyDescent="0.15">
      <c r="A5594" s="23" t="str">
        <f>HYPERLINK("https://www.spark-marketing.ru/Card/Person/701", "ГБУЗ ""ГП № 191 ДЗМ""")</f>
        <v>ГБУЗ "ГП № 191 ДЗМ"</v>
      </c>
      <c r="B5594" s="24" t="s">
        <v>7216</v>
      </c>
      <c r="C5594" s="25">
        <v>1249623.08</v>
      </c>
      <c r="D5594" s="22" t="s">
        <v>7217</v>
      </c>
      <c r="E5594" s="22" t="s">
        <v>84</v>
      </c>
      <c r="F5594" s="23" t="str">
        <f>HYPERLINK("https://www.spark-marketing.ru/Card/Lot/71802026", "Аукцион в электронной форме среди СМП на выполнение работ по установке, наладке и вводу в эксплуатацию системы видеонаблюдения в ГБУЗ «ГП №191 ДЗМ» Филиал №1")</f>
        <v>Аукцион в электронной форме среди СМП на выполнение работ по установке, наладке и вводу в эксплуатацию системы видеонаблюдения в ГБУЗ «ГП №191 ДЗМ» Филиал №1</v>
      </c>
      <c r="G5594" s="22" t="s">
        <v>55</v>
      </c>
      <c r="H5594" s="22" t="s">
        <v>55</v>
      </c>
      <c r="I5594" s="26">
        <v>43644.606608796297</v>
      </c>
      <c r="J5594" s="28" t="s">
        <v>52</v>
      </c>
      <c r="K5594" s="28" t="s">
        <v>52</v>
      </c>
      <c r="L5594" s="28" t="s">
        <v>52</v>
      </c>
      <c r="M5594" s="28" t="s">
        <v>52</v>
      </c>
      <c r="N5594" s="28" t="s">
        <v>52</v>
      </c>
    </row>
    <row r="5595" spans="1:14" hidden="1" outlineLevel="1" x14ac:dyDescent="0.2">
      <c r="A5595" s="23" t="str">
        <f>HYPERLINK("https://www.spark-marketing.ru/Card/Person/701", "ГБУЗ ""ГП № 191 ДЗМ""")</f>
        <v>ГБУЗ "ГП № 191 ДЗМ"</v>
      </c>
      <c r="B5595" s="24" t="s">
        <v>7216</v>
      </c>
      <c r="C5595" s="25">
        <v>1249623.08</v>
      </c>
      <c r="D5595" s="22" t="s">
        <v>7217</v>
      </c>
      <c r="E5595" s="22" t="s">
        <v>84</v>
      </c>
      <c r="F5595" s="23" t="str">
        <f>HYPERLINK("https://www.spark-marketing.ru/Card/Lot/71802026", "Аукцион в электронной форме среди СМП на выполнение работ по установке, наладке и вводу в эксплуатацию системы видеонаблюдения в ГБУЗ «ГП №191 ДЗМ» Филиал №1")</f>
        <v>Аукцион в электронной форме среди СМП на выполнение работ по установке, наладке и вводу в эксплуатацию системы видеонаблюдения в ГБУЗ «ГП №191 ДЗМ» Филиал №1</v>
      </c>
      <c r="G5595" s="22" t="s">
        <v>55</v>
      </c>
      <c r="H5595" s="22" t="s">
        <v>55</v>
      </c>
      <c r="I5595" s="26">
        <v>43644.606608796297</v>
      </c>
      <c r="J5595" s="23" t="str">
        <f>HYPERLINK("https://www.spark-marketing.ru/Card/Person/6177675", "ООО «КАКИЕ ЛЮДИ»")</f>
        <v>ООО «КАКИЕ ЛЮДИ»</v>
      </c>
      <c r="K5595" s="24" t="s">
        <v>7218</v>
      </c>
      <c r="L5595" s="28" t="s">
        <v>52</v>
      </c>
      <c r="M5595" s="25">
        <v>1237126.8400000001</v>
      </c>
      <c r="N5595" s="27">
        <v>1.0000007362219974E-2</v>
      </c>
    </row>
    <row r="5596" spans="1:14" ht="12.75" hidden="1" outlineLevel="1" x14ac:dyDescent="0.2">
      <c r="A5596" s="23" t="str">
        <f>HYPERLINK("https://www.spark-marketing.ru/Card/Person/701", "ГБУЗ ""ГП № 191 ДЗМ""")</f>
        <v>ГБУЗ "ГП № 191 ДЗМ"</v>
      </c>
      <c r="B5596" s="24" t="s">
        <v>7216</v>
      </c>
      <c r="C5596" s="25">
        <v>1249623.08</v>
      </c>
      <c r="D5596" s="22" t="s">
        <v>7217</v>
      </c>
      <c r="E5596" s="22" t="s">
        <v>84</v>
      </c>
      <c r="F5596" s="23" t="str">
        <f>HYPERLINK("https://www.spark-marketing.ru/Card/Lot/71802026", "Аукцион в электронной форме среди СМП на выполнение работ по установке, наладке и вводу в эксплуатацию системы видеонаблюдения в ГБУЗ «ГП №191 ДЗМ» Филиал №1")</f>
        <v>Аукцион в электронной форме среди СМП на выполнение работ по установке, наладке и вводу в эксплуатацию системы видеонаблюдения в ГБУЗ «ГП №191 ДЗМ» Филиал №1</v>
      </c>
      <c r="G5596" s="22" t="s">
        <v>55</v>
      </c>
      <c r="H5596" s="22" t="s">
        <v>55</v>
      </c>
      <c r="I5596" s="26">
        <v>43644.606608796297</v>
      </c>
      <c r="J5596" s="23" t="str">
        <f>HYPERLINK("https://www.spark-marketing.ru/Card/Person/922877", "ООО ""АРТСТРОЙ""")</f>
        <v>ООО "АРТСТРОЙ"</v>
      </c>
      <c r="K5596" s="24" t="s">
        <v>7219</v>
      </c>
      <c r="L5596" s="22" t="s">
        <v>10</v>
      </c>
      <c r="M5596" s="25">
        <v>1243374.96</v>
      </c>
      <c r="N5596" s="27">
        <v>5.0000036811099872E-3</v>
      </c>
    </row>
    <row r="5597" spans="1:14" x14ac:dyDescent="0.15">
      <c r="A5597" s="23" t="str">
        <f>HYPERLINK("https://www.spark-marketing.ru/Card/Person/253685", "ГБУЗ ""КУБ""")</f>
        <v>ГБУЗ "КУБ"</v>
      </c>
      <c r="B5597" s="24" t="s">
        <v>7220</v>
      </c>
      <c r="C5597" s="25">
        <v>350000</v>
      </c>
      <c r="D5597" s="22" t="s">
        <v>7221</v>
      </c>
      <c r="E5597" s="22" t="s">
        <v>194</v>
      </c>
      <c r="F5597" s="23" t="str">
        <f>HYPERLINK("https://www.spark-marketing.ru/Card/Lot/71797040", "Поставка и установка системы видеонаблюдения")</f>
        <v>Поставка и установка системы видеонаблюдения</v>
      </c>
      <c r="G5597" s="22" t="s">
        <v>648</v>
      </c>
      <c r="H5597" s="22" t="s">
        <v>648</v>
      </c>
      <c r="I5597" s="26">
        <v>43644.621909722198</v>
      </c>
      <c r="J5597" s="28" t="s">
        <v>52</v>
      </c>
      <c r="K5597" s="28" t="s">
        <v>52</v>
      </c>
      <c r="L5597" s="28" t="s">
        <v>52</v>
      </c>
      <c r="M5597" s="28" t="s">
        <v>52</v>
      </c>
      <c r="N5597" s="28" t="s">
        <v>52</v>
      </c>
    </row>
    <row r="5598" spans="1:14" hidden="1" outlineLevel="1" x14ac:dyDescent="0.2">
      <c r="A5598" s="23" t="str">
        <f>HYPERLINK("https://www.spark-marketing.ru/Card/Person/253685", "ГБУЗ ""КУБ""")</f>
        <v>ГБУЗ "КУБ"</v>
      </c>
      <c r="B5598" s="24" t="s">
        <v>7220</v>
      </c>
      <c r="C5598" s="25">
        <v>350000</v>
      </c>
      <c r="D5598" s="22" t="s">
        <v>7221</v>
      </c>
      <c r="E5598" s="22" t="s">
        <v>194</v>
      </c>
      <c r="F5598" s="23" t="str">
        <f>HYPERLINK("https://www.spark-marketing.ru/Card/Lot/71797040", "Поставка и установка системы видеонаблюдения")</f>
        <v>Поставка и установка системы видеонаблюдения</v>
      </c>
      <c r="G5598" s="22" t="s">
        <v>648</v>
      </c>
      <c r="H5598" s="22" t="s">
        <v>648</v>
      </c>
      <c r="I5598" s="26">
        <v>43644.621909722198</v>
      </c>
      <c r="J5598" s="23" t="str">
        <f>HYPERLINK("https://www.spark-marketing.ru/Card/Person/1129117", "ООО ""АС-СБ""")</f>
        <v>ООО "АС-СБ"</v>
      </c>
      <c r="K5598" s="24" t="s">
        <v>7222</v>
      </c>
      <c r="L5598" s="28" t="s">
        <v>52</v>
      </c>
      <c r="M5598" s="25">
        <v>193000</v>
      </c>
      <c r="N5598" s="27">
        <v>0.44857142857142857</v>
      </c>
    </row>
    <row r="5599" spans="1:14" ht="12.75" hidden="1" outlineLevel="1" x14ac:dyDescent="0.2">
      <c r="A5599" s="23" t="str">
        <f>HYPERLINK("https://www.spark-marketing.ru/Card/Person/253685", "ГБУЗ ""КУБ""")</f>
        <v>ГБУЗ "КУБ"</v>
      </c>
      <c r="B5599" s="24" t="s">
        <v>7220</v>
      </c>
      <c r="C5599" s="25">
        <v>350000</v>
      </c>
      <c r="D5599" s="22" t="s">
        <v>7221</v>
      </c>
      <c r="E5599" s="22" t="s">
        <v>194</v>
      </c>
      <c r="F5599" s="23" t="str">
        <f>HYPERLINK("https://www.spark-marketing.ru/Card/Lot/71797040", "Поставка и установка системы видеонаблюдения")</f>
        <v>Поставка и установка системы видеонаблюдения</v>
      </c>
      <c r="G5599" s="22" t="s">
        <v>648</v>
      </c>
      <c r="H5599" s="22" t="s">
        <v>648</v>
      </c>
      <c r="I5599" s="26">
        <v>43644.621909722198</v>
      </c>
      <c r="J5599" s="23" t="str">
        <f>HYPERLINK("https://www.spark-marketing.ru/Card/Person/6345188", "ООО ""КОНТУР""")</f>
        <v>ООО "КОНТУР"</v>
      </c>
      <c r="K5599" s="24" t="s">
        <v>7223</v>
      </c>
      <c r="L5599" s="22" t="s">
        <v>10</v>
      </c>
      <c r="M5599" s="25">
        <v>189500</v>
      </c>
      <c r="N5599" s="27">
        <v>0.45857142857142857</v>
      </c>
    </row>
    <row r="5600" spans="1:14" hidden="1" outlineLevel="1" x14ac:dyDescent="0.2">
      <c r="A5600" s="23" t="str">
        <f>HYPERLINK("https://www.spark-marketing.ru/Card/Person/253685", "ГБУЗ ""КУБ""")</f>
        <v>ГБУЗ "КУБ"</v>
      </c>
      <c r="B5600" s="24" t="s">
        <v>7220</v>
      </c>
      <c r="C5600" s="25">
        <v>350000</v>
      </c>
      <c r="D5600" s="22" t="s">
        <v>7221</v>
      </c>
      <c r="E5600" s="22" t="s">
        <v>194</v>
      </c>
      <c r="F5600" s="23" t="str">
        <f>HYPERLINK("https://www.spark-marketing.ru/Card/Lot/71797040", "Поставка и установка системы видеонаблюдения")</f>
        <v>Поставка и установка системы видеонаблюдения</v>
      </c>
      <c r="G5600" s="22" t="s">
        <v>648</v>
      </c>
      <c r="H5600" s="22" t="s">
        <v>648</v>
      </c>
      <c r="I5600" s="26">
        <v>43644.621909722198</v>
      </c>
      <c r="J5600" s="23" t="str">
        <f>HYPERLINK("https://www.spark-marketing.ru/Card/Person/182641", "ООО ""АРГО-СЕРВИС""")</f>
        <v>ООО "АРГО-СЕРВИС"</v>
      </c>
      <c r="K5600" s="24" t="s">
        <v>7224</v>
      </c>
      <c r="L5600" s="28" t="s">
        <v>52</v>
      </c>
      <c r="M5600" s="25">
        <v>220500</v>
      </c>
      <c r="N5600" s="27">
        <v>0.37</v>
      </c>
    </row>
    <row r="5601" spans="1:14" hidden="1" outlineLevel="1" x14ac:dyDescent="0.2">
      <c r="A5601" s="23" t="str">
        <f>HYPERLINK("https://www.spark-marketing.ru/Card/Person/253685", "ГБУЗ ""КУБ""")</f>
        <v>ГБУЗ "КУБ"</v>
      </c>
      <c r="B5601" s="24" t="s">
        <v>7220</v>
      </c>
      <c r="C5601" s="25">
        <v>350000</v>
      </c>
      <c r="D5601" s="22" t="s">
        <v>7221</v>
      </c>
      <c r="E5601" s="22" t="s">
        <v>194</v>
      </c>
      <c r="F5601" s="23" t="str">
        <f>HYPERLINK("https://www.spark-marketing.ru/Card/Lot/71797040", "Поставка и установка системы видеонаблюдения")</f>
        <v>Поставка и установка системы видеонаблюдения</v>
      </c>
      <c r="G5601" s="22" t="s">
        <v>648</v>
      </c>
      <c r="H5601" s="22" t="s">
        <v>648</v>
      </c>
      <c r="I5601" s="26">
        <v>43644.621909722198</v>
      </c>
      <c r="J5601" s="23" t="str">
        <f>HYPERLINK("https://www.spark-marketing.ru/Card/Person/6462959", "ООО ""САТУРН""")</f>
        <v>ООО "САТУРН"</v>
      </c>
      <c r="K5601" s="24" t="s">
        <v>1459</v>
      </c>
      <c r="L5601" s="28" t="s">
        <v>52</v>
      </c>
      <c r="M5601" s="25">
        <v>191250</v>
      </c>
      <c r="N5601" s="27">
        <v>0.45357142857142857</v>
      </c>
    </row>
    <row r="5602" spans="1:14" x14ac:dyDescent="0.15">
      <c r="A5602" s="23" t="str">
        <f>HYPERLINK("https://www.spark-marketing.ru/Card/Person/639715", "ОТДЕЛ МВД РОССИИ ПО КУШНАРЕНКОВСКОМУ РАЙОНУ")</f>
        <v>ОТДЕЛ МВД РОССИИ ПО КУШНАРЕНКОВСКОМУ РАЙОНУ</v>
      </c>
      <c r="B5602" s="24" t="s">
        <v>7213</v>
      </c>
      <c r="C5602" s="25">
        <v>32000</v>
      </c>
      <c r="D5602" s="22" t="s">
        <v>7225</v>
      </c>
      <c r="E5602" s="22" t="s">
        <v>107</v>
      </c>
      <c r="F5602" s="23" t="str">
        <f>HYPERLINK("https://www.spark-marketing.ru/Card/Lot/71772168", "Техническое обслуживание и ППР технических средств охраны, 16 шт")</f>
        <v>Техническое обслуживание и ППР технических средств охраны, 16 шт</v>
      </c>
      <c r="G5602" s="22" t="s">
        <v>100</v>
      </c>
      <c r="H5602" s="22" t="s">
        <v>7215</v>
      </c>
      <c r="I5602" s="26">
        <v>43644.5930324074</v>
      </c>
      <c r="J5602" s="28" t="s">
        <v>52</v>
      </c>
      <c r="K5602" s="28" t="s">
        <v>52</v>
      </c>
      <c r="L5602" s="28" t="s">
        <v>52</v>
      </c>
      <c r="M5602" s="28" t="s">
        <v>52</v>
      </c>
      <c r="N5602" s="28" t="s">
        <v>52</v>
      </c>
    </row>
    <row r="5603" spans="1:14" x14ac:dyDescent="0.15">
      <c r="A5603" s="23" t="str">
        <f>HYPERLINK("https://www.spark-marketing.ru/Card/Person/4360583", "АО ""НК ""РОСНЕФТЬ""-СТАВРОПОЛЬЕ""")</f>
        <v>АО "НК "РОСНЕФТЬ"-СТАВРОПОЛЬЕ"</v>
      </c>
      <c r="B5603" s="24" t="s">
        <v>7226</v>
      </c>
      <c r="C5603" s="25">
        <v>2920000</v>
      </c>
      <c r="D5603" s="22" t="s">
        <v>7227</v>
      </c>
      <c r="E5603" s="22" t="s">
        <v>7228</v>
      </c>
      <c r="F5603" s="23" t="str">
        <f>HYPERLINK("https://www.spark-marketing.ru/Card/Lot/71772324", "Установка системы видеонаблюдения. Светлоградский цех. СМР")</f>
        <v>Установка системы видеонаблюдения. Светлоградский цех. СМР</v>
      </c>
      <c r="G5603" s="22" t="s">
        <v>258</v>
      </c>
      <c r="H5603" s="22" t="s">
        <v>546</v>
      </c>
      <c r="I5603" s="26">
        <v>43644.561111111099</v>
      </c>
      <c r="J5603" s="28" t="s">
        <v>52</v>
      </c>
      <c r="K5603" s="28" t="s">
        <v>52</v>
      </c>
      <c r="L5603" s="28" t="s">
        <v>52</v>
      </c>
      <c r="M5603" s="28" t="s">
        <v>52</v>
      </c>
      <c r="N5603" s="28" t="s">
        <v>52</v>
      </c>
    </row>
    <row r="5604" spans="1:14" x14ac:dyDescent="0.15">
      <c r="A5604" s="23" t="str">
        <f>HYPERLINK("https://www.spark-marketing.ru/Card/Person/4435", "ГБУЗ НО ""ГКБ № 40""")</f>
        <v>ГБУЗ НО "ГКБ № 40"</v>
      </c>
      <c r="B5604" s="24" t="s">
        <v>7229</v>
      </c>
      <c r="C5604" s="25">
        <v>306680.84999999998</v>
      </c>
      <c r="D5604" s="22" t="s">
        <v>7230</v>
      </c>
      <c r="E5604" s="22" t="s">
        <v>68</v>
      </c>
      <c r="F5604" s="23" t="str">
        <f>HYPERLINK("https://www.spark-marketing.ru/Card/Lot/71802718", "Охрана комнаты хранения наркотиков ГБУЗ НО ""ГКБ №40"" с помощью ПЦН, комната № 33, 2 этаж, Литер М согласно плата БТИ")</f>
        <v>Охрана комнаты хранения наркотиков ГБУЗ НО "ГКБ №40" с помощью ПЦН, комната № 33, 2 этаж, Литер М согласно плата БТИ</v>
      </c>
      <c r="G5604" s="22" t="s">
        <v>64</v>
      </c>
      <c r="H5604" s="22" t="s">
        <v>65</v>
      </c>
      <c r="I5604" s="26">
        <v>43644.560081018499</v>
      </c>
      <c r="J5604" s="28" t="s">
        <v>52</v>
      </c>
      <c r="K5604" s="28" t="s">
        <v>52</v>
      </c>
      <c r="L5604" s="28" t="s">
        <v>52</v>
      </c>
      <c r="M5604" s="28" t="s">
        <v>52</v>
      </c>
      <c r="N5604" s="28" t="s">
        <v>52</v>
      </c>
    </row>
    <row r="5605" spans="1:14" x14ac:dyDescent="0.2">
      <c r="A5605" s="23" t="str">
        <f>HYPERLINK("https://www.spark-marketing.ru/Card/Person/10409", "ГКУ ЯО ""ЯРДОРСЛУЖБА""")</f>
        <v>ГКУ ЯО "ЯРДОРСЛУЖБА"</v>
      </c>
      <c r="B5605" s="24" t="s">
        <v>7231</v>
      </c>
      <c r="C5605" s="25">
        <v>11973500</v>
      </c>
      <c r="D5605" s="22" t="s">
        <v>7232</v>
      </c>
      <c r="E5605" s="22" t="s">
        <v>68</v>
      </c>
      <c r="F5605" s="23" t="str">
        <f>HYPERLINK("https://www.spark-marketing.ru/Card/Lot/71798552", "Обеспечение функционирования передвижных комплексов автоматической фотофиксации нарушений ПДД РФ ""Арена"" на автомобильных дорогах Ярославской области")</f>
        <v>Обеспечение функционирования передвижных комплексов автоматической фотофиксации нарушений ПДД РФ "Арена" на автомобильных дорогах Ярославской области</v>
      </c>
      <c r="G5605" s="22" t="s">
        <v>155</v>
      </c>
      <c r="H5605" s="22" t="s">
        <v>156</v>
      </c>
      <c r="I5605" s="26">
        <v>43644.552546296298</v>
      </c>
      <c r="J5605" s="23" t="str">
        <f>HYPERLINK("https://www.spark-marketing.ru/Card/Person/1530340", "ООО ЧОП ""КЕДР""")</f>
        <v>ООО ЧОП "КЕДР"</v>
      </c>
      <c r="K5605" s="24" t="s">
        <v>7233</v>
      </c>
      <c r="L5605" s="28" t="s">
        <v>52</v>
      </c>
      <c r="M5605" s="25">
        <v>11668720</v>
      </c>
      <c r="N5605" s="27">
        <v>2.5454545454545455E-2</v>
      </c>
    </row>
    <row r="5606" spans="1:14" x14ac:dyDescent="0.15">
      <c r="A5606" s="23" t="str">
        <f>HYPERLINK("https://www.spark-marketing.ru/Card/Person/4343561", "РОСРЕЗЕРВ")</f>
        <v>РОСРЕЗЕРВ</v>
      </c>
      <c r="B5606" s="24" t="s">
        <v>1119</v>
      </c>
      <c r="C5606" s="25">
        <v>98900</v>
      </c>
      <c r="D5606" s="22" t="s">
        <v>7234</v>
      </c>
      <c r="E5606" s="22" t="s">
        <v>107</v>
      </c>
      <c r="F5606" s="23" t="str">
        <f>HYPERLINK("https://www.spark-marketing.ru/Card/Lot/71768763", "Техническое обслуживание средств ОС, ОПС, ТС, видеонаблюдения и СКУД, 1 шт")</f>
        <v>Техническое обслуживание средств ОС, ОПС, ТС, видеонаблюдения и СКУД, 1 шт</v>
      </c>
      <c r="G5606" s="22" t="s">
        <v>55</v>
      </c>
      <c r="H5606" s="22" t="s">
        <v>55</v>
      </c>
      <c r="I5606" s="26">
        <v>43644.544537037</v>
      </c>
      <c r="J5606" s="28" t="s">
        <v>52</v>
      </c>
      <c r="K5606" s="28" t="s">
        <v>52</v>
      </c>
      <c r="L5606" s="28" t="s">
        <v>52</v>
      </c>
      <c r="M5606" s="28" t="s">
        <v>52</v>
      </c>
      <c r="N5606" s="28" t="s">
        <v>52</v>
      </c>
    </row>
    <row r="5607" spans="1:14" x14ac:dyDescent="0.15">
      <c r="A5607" s="23" t="str">
        <f>HYPERLINK("https://www.spark-marketing.ru/Card/Person/4365627", "ООО ""РН-БУРЕНИЕ""")</f>
        <v>ООО "РН-БУРЕНИЕ"</v>
      </c>
      <c r="B5607" s="24" t="s">
        <v>4221</v>
      </c>
      <c r="C5607" s="28" t="s">
        <v>52</v>
      </c>
      <c r="D5607" s="22" t="s">
        <v>7235</v>
      </c>
      <c r="E5607" s="22" t="s">
        <v>7092</v>
      </c>
      <c r="F5607" s="23" t="str">
        <f>HYPERLINK("https://www.spark-marketing.ru/Card/Lot/71772191", "Запрос коммерческого предложения на оказание услуг по техническому обслуживанию технических средств охраны Нижневартовского филиала ООО ""РН-Бурение"" в 2020 году")</f>
        <v>Запрос коммерческого предложения на оказание услуг по техническому обслуживанию технических средств охраны Нижневартовского филиала ООО "РН-Бурение" в 2020 году</v>
      </c>
      <c r="G5607" s="22" t="s">
        <v>55</v>
      </c>
      <c r="H5607" s="22" t="s">
        <v>55</v>
      </c>
      <c r="I5607" s="26">
        <v>43644.531944444403</v>
      </c>
      <c r="J5607" s="28" t="s">
        <v>52</v>
      </c>
      <c r="K5607" s="28" t="s">
        <v>52</v>
      </c>
      <c r="L5607" s="28" t="s">
        <v>52</v>
      </c>
      <c r="M5607" s="28" t="s">
        <v>52</v>
      </c>
      <c r="N5607" s="28" t="s">
        <v>52</v>
      </c>
    </row>
    <row r="5608" spans="1:14" x14ac:dyDescent="0.15">
      <c r="A5608" s="23" t="str">
        <f>HYPERLINK("https://www.spark-marketing.ru/Card/Person/19693", "ГБДОУ ДЕТСКИЙ САД № 1 ПРИМОРСКОГО РАЙОНА САНКТ-ПЕТЕРБУРГА")</f>
        <v>ГБДОУ ДЕТСКИЙ САД № 1 ПРИМОРСКОГО РАЙОНА САНКТ-ПЕТЕРБУРГА</v>
      </c>
      <c r="B5608" s="24" t="s">
        <v>7236</v>
      </c>
      <c r="C5608" s="25">
        <v>273090</v>
      </c>
      <c r="D5608" s="22" t="s">
        <v>7237</v>
      </c>
      <c r="E5608" s="22" t="s">
        <v>59</v>
      </c>
      <c r="F5608" s="23" t="str">
        <f>HYPERLINK("https://www.spark-marketing.ru/Card/Lot/71808817", "Выполнение работ по дооснащению системы видеонаблюдения в ГБДОУ детский сад № 1 Приморского района Санкт-Петербурга в 2019 году")</f>
        <v>Выполнение работ по дооснащению системы видеонаблюдения в ГБДОУ детский сад № 1 Приморского района Санкт-Петербурга в 2019 году</v>
      </c>
      <c r="G5608" s="22" t="s">
        <v>89</v>
      </c>
      <c r="H5608" s="22" t="s">
        <v>89</v>
      </c>
      <c r="I5608" s="26">
        <v>43644.520138888904</v>
      </c>
      <c r="J5608" s="28" t="s">
        <v>52</v>
      </c>
      <c r="K5608" s="28" t="s">
        <v>52</v>
      </c>
      <c r="L5608" s="28" t="s">
        <v>52</v>
      </c>
      <c r="M5608" s="28" t="s">
        <v>52</v>
      </c>
      <c r="N5608" s="28" t="s">
        <v>52</v>
      </c>
    </row>
    <row r="5609" spans="1:14" hidden="1" outlineLevel="1" x14ac:dyDescent="0.2">
      <c r="A5609" s="23" t="str">
        <f>HYPERLINK("https://www.spark-marketing.ru/Card/Person/19693", "ГБДОУ ДЕТСКИЙ САД № 1 ПРИМОРСКОГО РАЙОНА САНКТ-ПЕТЕРБУРГА")</f>
        <v>ГБДОУ ДЕТСКИЙ САД № 1 ПРИМОРСКОГО РАЙОНА САНКТ-ПЕТЕРБУРГА</v>
      </c>
      <c r="B5609" s="24" t="s">
        <v>7236</v>
      </c>
      <c r="C5609" s="25">
        <v>273090</v>
      </c>
      <c r="D5609" s="22" t="s">
        <v>7237</v>
      </c>
      <c r="E5609" s="22" t="s">
        <v>59</v>
      </c>
      <c r="F5609" s="23" t="str">
        <f>HYPERLINK("https://www.spark-marketing.ru/Card/Lot/71808817", "Выполнение работ по дооснащению системы видеонаблюдения в ГБДОУ детский сад № 1 Приморского района Санкт-Петербурга в 2019 году")</f>
        <v>Выполнение работ по дооснащению системы видеонаблюдения в ГБДОУ детский сад № 1 Приморского района Санкт-Петербурга в 2019 году</v>
      </c>
      <c r="G5609" s="22" t="s">
        <v>89</v>
      </c>
      <c r="H5609" s="22" t="s">
        <v>89</v>
      </c>
      <c r="I5609" s="26">
        <v>43644.520138888904</v>
      </c>
      <c r="J5609" s="23" t="str">
        <f>HYPERLINK("https://www.spark-marketing.ru/Card/Person/1692738", "ООО ""ПРОМСЕРВИС-СПБ""")</f>
        <v>ООО "ПРОМСЕРВИС-СПБ"</v>
      </c>
      <c r="K5609" s="24" t="s">
        <v>7238</v>
      </c>
      <c r="L5609" s="28" t="s">
        <v>52</v>
      </c>
      <c r="M5609" s="25">
        <v>214562.44</v>
      </c>
      <c r="N5609" s="27">
        <v>0.21431601303599546</v>
      </c>
    </row>
    <row r="5610" spans="1:14" hidden="1" outlineLevel="1" x14ac:dyDescent="0.2">
      <c r="A5610" s="23" t="str">
        <f>HYPERLINK("https://www.spark-marketing.ru/Card/Person/19693", "ГБДОУ ДЕТСКИЙ САД № 1 ПРИМОРСКОГО РАЙОНА САНКТ-ПЕТЕРБУРГА")</f>
        <v>ГБДОУ ДЕТСКИЙ САД № 1 ПРИМОРСКОГО РАЙОНА САНКТ-ПЕТЕРБУРГА</v>
      </c>
      <c r="B5610" s="24" t="s">
        <v>7236</v>
      </c>
      <c r="C5610" s="25">
        <v>273090</v>
      </c>
      <c r="D5610" s="22" t="s">
        <v>7237</v>
      </c>
      <c r="E5610" s="22" t="s">
        <v>59</v>
      </c>
      <c r="F5610" s="23" t="str">
        <f>HYPERLINK("https://www.spark-marketing.ru/Card/Lot/71808817", "Выполнение работ по дооснащению системы видеонаблюдения в ГБДОУ детский сад № 1 Приморского района Санкт-Петербурга в 2019 году")</f>
        <v>Выполнение работ по дооснащению системы видеонаблюдения в ГБДОУ детский сад № 1 Приморского района Санкт-Петербурга в 2019 году</v>
      </c>
      <c r="G5610" s="22" t="s">
        <v>89</v>
      </c>
      <c r="H5610" s="22" t="s">
        <v>89</v>
      </c>
      <c r="I5610" s="26">
        <v>43644.520138888904</v>
      </c>
      <c r="J5610" s="23" t="str">
        <f>HYPERLINK("https://www.spark-marketing.ru/Card/Person/6348809", "ООО ""ИСБ""")</f>
        <v>ООО "ИСБ"</v>
      </c>
      <c r="K5610" s="24" t="s">
        <v>7239</v>
      </c>
      <c r="L5610" s="28" t="s">
        <v>52</v>
      </c>
      <c r="M5610" s="25">
        <v>206634.55</v>
      </c>
      <c r="N5610" s="27">
        <v>0.24334633271082792</v>
      </c>
    </row>
    <row r="5611" spans="1:14" hidden="1" outlineLevel="1" x14ac:dyDescent="0.2">
      <c r="A5611" s="23" t="str">
        <f>HYPERLINK("https://www.spark-marketing.ru/Card/Person/19693", "ГБДОУ ДЕТСКИЙ САД № 1 ПРИМОРСКОГО РАЙОНА САНКТ-ПЕТЕРБУРГА")</f>
        <v>ГБДОУ ДЕТСКИЙ САД № 1 ПРИМОРСКОГО РАЙОНА САНКТ-ПЕТЕРБУРГА</v>
      </c>
      <c r="B5611" s="24" t="s">
        <v>7236</v>
      </c>
      <c r="C5611" s="25">
        <v>273090</v>
      </c>
      <c r="D5611" s="22" t="s">
        <v>7237</v>
      </c>
      <c r="E5611" s="22" t="s">
        <v>59</v>
      </c>
      <c r="F5611" s="23" t="str">
        <f>HYPERLINK("https://www.spark-marketing.ru/Card/Lot/71808817", "Выполнение работ по дооснащению системы видеонаблюдения в ГБДОУ детский сад № 1 Приморского района Санкт-Петербурга в 2019 году")</f>
        <v>Выполнение работ по дооснащению системы видеонаблюдения в ГБДОУ детский сад № 1 Приморского района Санкт-Петербурга в 2019 году</v>
      </c>
      <c r="G5611" s="22" t="s">
        <v>89</v>
      </c>
      <c r="H5611" s="22" t="s">
        <v>89</v>
      </c>
      <c r="I5611" s="26">
        <v>43644.520138888904</v>
      </c>
      <c r="J5611" s="23" t="str">
        <f>HYPERLINK("https://www.spark-marketing.ru/Card/Person/5897511", "Романов Максим Александрович")</f>
        <v>Романов Максим Александрович</v>
      </c>
      <c r="K5611" s="24" t="s">
        <v>4769</v>
      </c>
      <c r="L5611" s="28" t="s">
        <v>52</v>
      </c>
      <c r="M5611" s="25">
        <v>270359.09999999998</v>
      </c>
      <c r="N5611" s="27">
        <v>0.01</v>
      </c>
    </row>
    <row r="5612" spans="1:14" ht="12.75" hidden="1" outlineLevel="1" x14ac:dyDescent="0.2">
      <c r="A5612" s="23" t="str">
        <f>HYPERLINK("https://www.spark-marketing.ru/Card/Person/19693", "ГБДОУ ДЕТСКИЙ САД № 1 ПРИМОРСКОГО РАЙОНА САНКТ-ПЕТЕРБУРГА")</f>
        <v>ГБДОУ ДЕТСКИЙ САД № 1 ПРИМОРСКОГО РАЙОНА САНКТ-ПЕТЕРБУРГА</v>
      </c>
      <c r="B5612" s="24" t="s">
        <v>7236</v>
      </c>
      <c r="C5612" s="25">
        <v>273090</v>
      </c>
      <c r="D5612" s="22" t="s">
        <v>7237</v>
      </c>
      <c r="E5612" s="22" t="s">
        <v>59</v>
      </c>
      <c r="F5612" s="23" t="str">
        <f>HYPERLINK("https://www.spark-marketing.ru/Card/Lot/71808817", "Выполнение работ по дооснащению системы видеонаблюдения в ГБДОУ детский сад № 1 Приморского района Санкт-Петербурга в 2019 году")</f>
        <v>Выполнение работ по дооснащению системы видеонаблюдения в ГБДОУ детский сад № 1 Приморского района Санкт-Петербурга в 2019 году</v>
      </c>
      <c r="G5612" s="22" t="s">
        <v>89</v>
      </c>
      <c r="H5612" s="22" t="s">
        <v>89</v>
      </c>
      <c r="I5612" s="26">
        <v>43644.520138888904</v>
      </c>
      <c r="J5612" s="23" t="str">
        <f>HYPERLINK("https://www.spark-marketing.ru/Card/Person/4864187", "ООО ""СБ СТЭЛС""")</f>
        <v>ООО "СБ СТЭЛС"</v>
      </c>
      <c r="K5612" s="24" t="s">
        <v>7240</v>
      </c>
      <c r="L5612" s="22" t="s">
        <v>10</v>
      </c>
      <c r="M5612" s="25">
        <v>205000</v>
      </c>
      <c r="N5612" s="27">
        <v>0.24933172214288329</v>
      </c>
    </row>
    <row r="5613" spans="1:14" x14ac:dyDescent="0.2">
      <c r="A5613" s="23" t="str">
        <f>HYPERLINK("https://www.spark-marketing.ru/Card/Person/666553", "ФГП ВО ЖДТ РОССИИ")</f>
        <v>ФГП ВО ЖДТ РОССИИ</v>
      </c>
      <c r="B5613" s="24" t="s">
        <v>1269</v>
      </c>
      <c r="C5613" s="25">
        <v>762700</v>
      </c>
      <c r="D5613" s="22" t="s">
        <v>7241</v>
      </c>
      <c r="E5613" s="22" t="s">
        <v>778</v>
      </c>
      <c r="F5613" s="23" t="str">
        <f>HYPERLINK("https://www.spark-marketing.ru/Card/Lot/71768790", "Изготовление, поставка и установка модульного здания из блок-контейнеров с инженерно-техническими коммуникациями, для несения службы работниками стрелковой группы станции Алдан СПК ст. Беркакит структурного подразделения ведомственной охраны Тындинск...")</f>
        <v>Изготовление, поставка и установка модульного здания из блок-контейнеров с инженерно-техническими коммуникациями, для несения службы работниками стрелковой группы станции Алдан СПК ст. Беркакит структурного подразделения ведомственной охраны Тындинск...</v>
      </c>
      <c r="G5613" s="22" t="s">
        <v>424</v>
      </c>
      <c r="H5613" s="22" t="s">
        <v>602</v>
      </c>
      <c r="I5613" s="26">
        <v>43644.511747685203</v>
      </c>
      <c r="J5613" s="28" t="s">
        <v>52</v>
      </c>
      <c r="K5613" s="28" t="s">
        <v>52</v>
      </c>
      <c r="L5613" s="22" t="s">
        <v>10</v>
      </c>
      <c r="M5613" s="25">
        <v>762700</v>
      </c>
      <c r="N5613" s="27">
        <v>0</v>
      </c>
    </row>
    <row r="5614" spans="1:14" x14ac:dyDescent="0.15">
      <c r="A5614" s="23" t="str">
        <f>HYPERLINK("https://www.spark-marketing.ru/Card/Person/48471", "МУДО ""ОЗЁРСКАЯ ДШИ""")</f>
        <v>МУДО "ОЗЁРСКАЯ ДШИ"</v>
      </c>
      <c r="B5614" s="24" t="s">
        <v>7242</v>
      </c>
      <c r="C5614" s="25">
        <v>18000</v>
      </c>
      <c r="D5614" s="22" t="s">
        <v>7243</v>
      </c>
      <c r="E5614" s="22" t="s">
        <v>103</v>
      </c>
      <c r="F5614" s="23" t="str">
        <f>HYPERLINK("https://www.spark-marketing.ru/Card/Lot/71769609", "Оказание услуг по техническому обслуживанию систем видеонаблюдения и видеорегистрации для нужд МУДО «Озёрская ДШИ».")</f>
        <v>Оказание услуг по техническому обслуживанию систем видеонаблюдения и видеорегистрации для нужд МУДО «Озёрская ДШИ».</v>
      </c>
      <c r="G5614" s="22" t="s">
        <v>50</v>
      </c>
      <c r="H5614" s="22" t="s">
        <v>7244</v>
      </c>
      <c r="I5614" s="26">
        <v>43644.535196759301</v>
      </c>
      <c r="J5614" s="28" t="s">
        <v>52</v>
      </c>
      <c r="K5614" s="28" t="s">
        <v>52</v>
      </c>
      <c r="L5614" s="28" t="s">
        <v>52</v>
      </c>
      <c r="M5614" s="28" t="s">
        <v>52</v>
      </c>
      <c r="N5614" s="28" t="s">
        <v>52</v>
      </c>
    </row>
    <row r="5615" spans="1:14" x14ac:dyDescent="0.15">
      <c r="A5615" s="23" t="str">
        <f>HYPERLINK("https://www.spark-marketing.ru/Card/Person/1777671", "МДОУ №9 ""ЦВЕТИК-СЕМИЦВЕТИК""")</f>
        <v>МДОУ №9 "ЦВЕТИК-СЕМИЦВЕТИК"</v>
      </c>
      <c r="B5615" s="24" t="s">
        <v>4051</v>
      </c>
      <c r="C5615" s="25">
        <v>75000</v>
      </c>
      <c r="D5615" s="22" t="s">
        <v>7245</v>
      </c>
      <c r="E5615" s="22" t="s">
        <v>84</v>
      </c>
      <c r="F5615" s="23" t="str">
        <f>HYPERLINK("https://www.spark-marketing.ru/Card/Lot/71766861", "Оказание услуг по приобретение и установка видеонаблюдения")</f>
        <v>Оказание услуг по приобретение и установка видеонаблюдения</v>
      </c>
      <c r="G5615" s="22" t="s">
        <v>50</v>
      </c>
      <c r="H5615" s="22" t="s">
        <v>504</v>
      </c>
      <c r="I5615" s="26">
        <v>43644.493530092601</v>
      </c>
      <c r="J5615" s="28" t="s">
        <v>52</v>
      </c>
      <c r="K5615" s="28" t="s">
        <v>52</v>
      </c>
      <c r="L5615" s="28" t="s">
        <v>52</v>
      </c>
      <c r="M5615" s="28" t="s">
        <v>52</v>
      </c>
      <c r="N5615" s="28" t="s">
        <v>52</v>
      </c>
    </row>
    <row r="5616" spans="1:14" x14ac:dyDescent="0.15">
      <c r="A5616" s="23" t="str">
        <f>HYPERLINK("https://www.spark-marketing.ru/Card/Person/1082738", "ОМВД РОССИИ ПО МУРОМЦЕВСКОМУ РАЙОНУ")</f>
        <v>ОМВД РОССИИ ПО МУРОМЦЕВСКОМУ РАЙОНУ</v>
      </c>
      <c r="B5616" s="24" t="s">
        <v>6862</v>
      </c>
      <c r="C5616" s="25">
        <v>7000</v>
      </c>
      <c r="D5616" s="22" t="s">
        <v>7246</v>
      </c>
      <c r="E5616" s="22" t="s">
        <v>208</v>
      </c>
      <c r="F5616" s="23" t="str">
        <f>HYPERLINK("https://www.spark-marketing.ru/Card/Lot/71764932", "Кнопка тревожной сигнализации RS-201TK2, 2 шт")</f>
        <v>Кнопка тревожной сигнализации RS-201TK2, 2 шт</v>
      </c>
      <c r="G5616" s="22" t="s">
        <v>521</v>
      </c>
      <c r="H5616" s="22" t="s">
        <v>7247</v>
      </c>
      <c r="I5616" s="26">
        <v>43644.4688425926</v>
      </c>
      <c r="J5616" s="28" t="s">
        <v>52</v>
      </c>
      <c r="K5616" s="28" t="s">
        <v>52</v>
      </c>
      <c r="L5616" s="28" t="s">
        <v>52</v>
      </c>
      <c r="M5616" s="28" t="s">
        <v>52</v>
      </c>
      <c r="N5616" s="28" t="s">
        <v>52</v>
      </c>
    </row>
    <row r="5617" spans="1:14" x14ac:dyDescent="0.15">
      <c r="A5617" s="23" t="str">
        <f>HYPERLINK("https://www.spark-marketing.ru/Card/Person/4346340", "УМВД РОССИИ ПО ЯРОСЛАВСКОЙ ОБЛАСТИ")</f>
        <v>УМВД РОССИИ ПО ЯРОСЛАВСКОЙ ОБЛАСТИ</v>
      </c>
      <c r="B5617" s="24" t="s">
        <v>6935</v>
      </c>
      <c r="C5617" s="25">
        <v>99600</v>
      </c>
      <c r="D5617" s="22" t="s">
        <v>7248</v>
      </c>
      <c r="E5617" s="22" t="s">
        <v>84</v>
      </c>
      <c r="F5617" s="23" t="str">
        <f>HYPERLINK("https://www.spark-marketing.ru/Card/Lot/71765846", "Монтаж, установка, сборка систем охранного видеонаблюдения, 8 шт")</f>
        <v>Монтаж, установка, сборка систем охранного видеонаблюдения, 8 шт</v>
      </c>
      <c r="G5617" s="22" t="s">
        <v>155</v>
      </c>
      <c r="H5617" s="22" t="s">
        <v>156</v>
      </c>
      <c r="I5617" s="26">
        <v>43644.491527777798</v>
      </c>
      <c r="J5617" s="28" t="s">
        <v>52</v>
      </c>
      <c r="K5617" s="28" t="s">
        <v>52</v>
      </c>
      <c r="L5617" s="28" t="s">
        <v>52</v>
      </c>
      <c r="M5617" s="28" t="s">
        <v>52</v>
      </c>
      <c r="N5617" s="28" t="s">
        <v>52</v>
      </c>
    </row>
    <row r="5618" spans="1:14" x14ac:dyDescent="0.15">
      <c r="A5618" s="23" t="str">
        <f>HYPERLINK("https://www.spark-marketing.ru/Card/Person/140035", "МБУДО ""ДШИ ""ЭТНОС""")</f>
        <v>МБУДО "ДШИ "ЭТНОС"</v>
      </c>
      <c r="B5618" s="24" t="s">
        <v>7249</v>
      </c>
      <c r="C5618" s="25">
        <v>958320</v>
      </c>
      <c r="D5618" s="22" t="s">
        <v>7250</v>
      </c>
      <c r="E5618" s="22" t="s">
        <v>52</v>
      </c>
      <c r="F5618" s="23" t="str">
        <f>HYPERLINK("https://www.spark-marketing.ru/Card/Lot/71753771", "Оказание охранных услуг")</f>
        <v>Оказание охранных услуг</v>
      </c>
      <c r="G5618" s="22" t="s">
        <v>69</v>
      </c>
      <c r="H5618" s="22" t="s">
        <v>973</v>
      </c>
      <c r="I5618" s="26">
        <v>43644.464583333298</v>
      </c>
      <c r="J5618" s="28" t="s">
        <v>52</v>
      </c>
      <c r="K5618" s="28" t="s">
        <v>52</v>
      </c>
      <c r="L5618" s="28" t="s">
        <v>52</v>
      </c>
      <c r="M5618" s="28" t="s">
        <v>52</v>
      </c>
      <c r="N5618" s="28" t="s">
        <v>52</v>
      </c>
    </row>
    <row r="5619" spans="1:14" hidden="1" outlineLevel="1" x14ac:dyDescent="0.2">
      <c r="A5619" s="23" t="str">
        <f>HYPERLINK("https://www.spark-marketing.ru/Card/Person/140035", "МБУДО ""ДШИ ""ЭТНОС""")</f>
        <v>МБУДО "ДШИ "ЭТНОС"</v>
      </c>
      <c r="B5619" s="24" t="s">
        <v>7249</v>
      </c>
      <c r="C5619" s="25">
        <v>958320</v>
      </c>
      <c r="D5619" s="22" t="s">
        <v>7250</v>
      </c>
      <c r="E5619" s="22" t="s">
        <v>52</v>
      </c>
      <c r="F5619" s="23" t="str">
        <f>HYPERLINK("https://www.spark-marketing.ru/Card/Lot/71753771", "Оказание охранных услуг")</f>
        <v>Оказание охранных услуг</v>
      </c>
      <c r="G5619" s="22" t="s">
        <v>69</v>
      </c>
      <c r="H5619" s="22" t="s">
        <v>973</v>
      </c>
      <c r="I5619" s="26">
        <v>43644.464583333298</v>
      </c>
      <c r="J5619" s="23" t="str">
        <f>HYPERLINK("https://www.spark-marketing.ru/Card/Person/800823", "ООО ""ОА ""ПАНТЕРА""")</f>
        <v>ООО "ОА "ПАНТЕРА"</v>
      </c>
      <c r="K5619" s="24" t="s">
        <v>7251</v>
      </c>
      <c r="L5619" s="28" t="s">
        <v>52</v>
      </c>
      <c r="M5619" s="25">
        <v>547258.80000000005</v>
      </c>
      <c r="N5619" s="27">
        <v>0.42893939393939395</v>
      </c>
    </row>
    <row r="5620" spans="1:14" hidden="1" outlineLevel="1" x14ac:dyDescent="0.2">
      <c r="A5620" s="23" t="str">
        <f>HYPERLINK("https://www.spark-marketing.ru/Card/Person/140035", "МБУДО ""ДШИ ""ЭТНОС""")</f>
        <v>МБУДО "ДШИ "ЭТНОС"</v>
      </c>
      <c r="B5620" s="24" t="s">
        <v>7249</v>
      </c>
      <c r="C5620" s="25">
        <v>958320</v>
      </c>
      <c r="D5620" s="22" t="s">
        <v>7250</v>
      </c>
      <c r="E5620" s="22" t="s">
        <v>52</v>
      </c>
      <c r="F5620" s="23" t="str">
        <f>HYPERLINK("https://www.spark-marketing.ru/Card/Lot/71753771", "Оказание охранных услуг")</f>
        <v>Оказание охранных услуг</v>
      </c>
      <c r="G5620" s="22" t="s">
        <v>69</v>
      </c>
      <c r="H5620" s="22" t="s">
        <v>973</v>
      </c>
      <c r="I5620" s="26">
        <v>43644.464583333298</v>
      </c>
      <c r="J5620" s="23" t="str">
        <f>HYPERLINK("https://www.spark-marketing.ru/Card/Person/152419", "ООО ""ОА ""ЗАСТАВА""")</f>
        <v>ООО "ОА "ЗАСТАВА"</v>
      </c>
      <c r="K5620" s="24" t="s">
        <v>7252</v>
      </c>
      <c r="L5620" s="28" t="s">
        <v>52</v>
      </c>
      <c r="M5620" s="25">
        <v>761864.4</v>
      </c>
      <c r="N5620" s="27">
        <v>0.20499999999999999</v>
      </c>
    </row>
    <row r="5621" spans="1:14" ht="12.75" hidden="1" outlineLevel="1" x14ac:dyDescent="0.2">
      <c r="A5621" s="23" t="str">
        <f>HYPERLINK("https://www.spark-marketing.ru/Card/Person/140035", "МБУДО ""ДШИ ""ЭТНОС""")</f>
        <v>МБУДО "ДШИ "ЭТНОС"</v>
      </c>
      <c r="B5621" s="24" t="s">
        <v>7249</v>
      </c>
      <c r="C5621" s="25">
        <v>958320</v>
      </c>
      <c r="D5621" s="22" t="s">
        <v>7250</v>
      </c>
      <c r="E5621" s="22" t="s">
        <v>52</v>
      </c>
      <c r="F5621" s="23" t="str">
        <f>HYPERLINK("https://www.spark-marketing.ru/Card/Lot/71753771", "Оказание охранных услуг")</f>
        <v>Оказание охранных услуг</v>
      </c>
      <c r="G5621" s="22" t="s">
        <v>69</v>
      </c>
      <c r="H5621" s="22" t="s">
        <v>973</v>
      </c>
      <c r="I5621" s="26">
        <v>43644.464583333298</v>
      </c>
      <c r="J5621" s="23" t="str">
        <f>HYPERLINK("https://www.spark-marketing.ru/Card/Person/5938434", "ООО ЧОО ""АВАНГАРД-ЮС""")</f>
        <v>ООО ЧОО "АВАНГАРД-ЮС"</v>
      </c>
      <c r="K5621" s="24" t="s">
        <v>7253</v>
      </c>
      <c r="L5621" s="22" t="s">
        <v>10</v>
      </c>
      <c r="M5621" s="25">
        <v>542467.19999999995</v>
      </c>
      <c r="N5621" s="27">
        <v>0.43393939393939396</v>
      </c>
    </row>
    <row r="5622" spans="1:14" hidden="1" outlineLevel="1" x14ac:dyDescent="0.2">
      <c r="A5622" s="23" t="str">
        <f>HYPERLINK("https://www.spark-marketing.ru/Card/Person/140035", "МБУДО ""ДШИ ""ЭТНОС""")</f>
        <v>МБУДО "ДШИ "ЭТНОС"</v>
      </c>
      <c r="B5622" s="24" t="s">
        <v>7249</v>
      </c>
      <c r="C5622" s="25">
        <v>958320</v>
      </c>
      <c r="D5622" s="22" t="s">
        <v>7250</v>
      </c>
      <c r="E5622" s="22" t="s">
        <v>52</v>
      </c>
      <c r="F5622" s="23" t="str">
        <f>HYPERLINK("https://www.spark-marketing.ru/Card/Lot/71753771", "Оказание охранных услуг")</f>
        <v>Оказание охранных услуг</v>
      </c>
      <c r="G5622" s="22" t="s">
        <v>69</v>
      </c>
      <c r="H5622" s="22" t="s">
        <v>973</v>
      </c>
      <c r="I5622" s="26">
        <v>43644.464583333298</v>
      </c>
      <c r="J5622" s="23" t="str">
        <f>HYPERLINK("https://www.spark-marketing.ru/Card/Person/796237", "ООО ЧОП ""ДРУЖИНА""")</f>
        <v>ООО ЧОП "ДРУЖИНА"</v>
      </c>
      <c r="K5622" s="24" t="s">
        <v>7254</v>
      </c>
      <c r="L5622" s="28" t="s">
        <v>52</v>
      </c>
      <c r="M5622" s="25">
        <v>576008.4</v>
      </c>
      <c r="N5622" s="27">
        <v>0.39893939393939393</v>
      </c>
    </row>
    <row r="5623" spans="1:14" x14ac:dyDescent="0.15">
      <c r="A5623" s="23" t="str">
        <f>HYPERLINK("https://www.spark-marketing.ru/Card/Person/108598", "ГБПОУ МО ""ПАВЛОВО-ПОСАДСКИЙ ТЕХНИКУМ""")</f>
        <v>ГБПОУ МО "ПАВЛОВО-ПОСАДСКИЙ ТЕХНИКУМ"</v>
      </c>
      <c r="B5623" s="24" t="s">
        <v>7255</v>
      </c>
      <c r="C5623" s="25">
        <v>421950</v>
      </c>
      <c r="D5623" s="22" t="s">
        <v>7256</v>
      </c>
      <c r="E5623" s="22" t="s">
        <v>59</v>
      </c>
      <c r="F5623" s="23" t="str">
        <f>HYPERLINK("https://www.spark-marketing.ru/Card/Lot/71801503", "Установка, обслуживание сигнализации")</f>
        <v>Установка, обслуживание сигнализации</v>
      </c>
      <c r="G5623" s="22" t="s">
        <v>50</v>
      </c>
      <c r="H5623" s="22" t="s">
        <v>7257</v>
      </c>
      <c r="I5623" s="26">
        <v>43644.480902777803</v>
      </c>
      <c r="J5623" s="28" t="s">
        <v>52</v>
      </c>
      <c r="K5623" s="28" t="s">
        <v>52</v>
      </c>
      <c r="L5623" s="28" t="s">
        <v>52</v>
      </c>
      <c r="M5623" s="28" t="s">
        <v>52</v>
      </c>
      <c r="N5623" s="28" t="s">
        <v>52</v>
      </c>
    </row>
    <row r="5624" spans="1:14" hidden="1" outlineLevel="1" x14ac:dyDescent="0.2">
      <c r="A5624" s="23" t="str">
        <f>HYPERLINK("https://www.spark-marketing.ru/Card/Person/108598", "ГБПОУ МО ""ПАВЛОВО-ПОСАДСКИЙ ТЕХНИКУМ""")</f>
        <v>ГБПОУ МО "ПАВЛОВО-ПОСАДСКИЙ ТЕХНИКУМ"</v>
      </c>
      <c r="B5624" s="24" t="s">
        <v>7255</v>
      </c>
      <c r="C5624" s="25">
        <v>421950</v>
      </c>
      <c r="D5624" s="22" t="s">
        <v>7256</v>
      </c>
      <c r="E5624" s="22" t="s">
        <v>59</v>
      </c>
      <c r="F5624" s="23" t="str">
        <f>HYPERLINK("https://www.spark-marketing.ru/Card/Lot/71801503", "Установка, обслуживание сигнализации")</f>
        <v>Установка, обслуживание сигнализации</v>
      </c>
      <c r="G5624" s="22" t="s">
        <v>50</v>
      </c>
      <c r="H5624" s="22" t="s">
        <v>7257</v>
      </c>
      <c r="I5624" s="26">
        <v>43644.480902777803</v>
      </c>
      <c r="J5624" s="23" t="str">
        <f>HYPERLINK("https://www.spark-marketing.ru/Card/Person/2573816", "ООО ЧОО ""ЛИОН""")</f>
        <v>ООО ЧОО "ЛИОН"</v>
      </c>
      <c r="K5624" s="24" t="s">
        <v>6583</v>
      </c>
      <c r="L5624" s="28" t="s">
        <v>52</v>
      </c>
      <c r="M5624" s="25">
        <v>354950</v>
      </c>
      <c r="N5624" s="27">
        <v>0.1587865860883991</v>
      </c>
    </row>
    <row r="5625" spans="1:14" ht="12.75" hidden="1" outlineLevel="1" x14ac:dyDescent="0.2">
      <c r="A5625" s="23" t="str">
        <f>HYPERLINK("https://www.spark-marketing.ru/Card/Person/108598", "ГБПОУ МО ""ПАВЛОВО-ПОСАДСКИЙ ТЕХНИКУМ""")</f>
        <v>ГБПОУ МО "ПАВЛОВО-ПОСАДСКИЙ ТЕХНИКУМ"</v>
      </c>
      <c r="B5625" s="24" t="s">
        <v>7255</v>
      </c>
      <c r="C5625" s="25">
        <v>421950</v>
      </c>
      <c r="D5625" s="22" t="s">
        <v>7256</v>
      </c>
      <c r="E5625" s="22" t="s">
        <v>59</v>
      </c>
      <c r="F5625" s="23" t="str">
        <f>HYPERLINK("https://www.spark-marketing.ru/Card/Lot/71801503", "Установка, обслуживание сигнализации")</f>
        <v>Установка, обслуживание сигнализации</v>
      </c>
      <c r="G5625" s="22" t="s">
        <v>50</v>
      </c>
      <c r="H5625" s="22" t="s">
        <v>7257</v>
      </c>
      <c r="I5625" s="26">
        <v>43644.480902777803</v>
      </c>
      <c r="J5625" s="23" t="str">
        <f>HYPERLINK("https://www.spark-marketing.ru/Card/Person/1277387", "ООО ""ДИП""")</f>
        <v>ООО "ДИП"</v>
      </c>
      <c r="K5625" s="24" t="s">
        <v>7258</v>
      </c>
      <c r="L5625" s="22" t="s">
        <v>10</v>
      </c>
      <c r="M5625" s="25">
        <v>298350</v>
      </c>
      <c r="N5625" s="27">
        <v>0.29292570209740493</v>
      </c>
    </row>
    <row r="5626" spans="1:14" hidden="1" outlineLevel="1" x14ac:dyDescent="0.2">
      <c r="A5626" s="23" t="str">
        <f>HYPERLINK("https://www.spark-marketing.ru/Card/Person/108598", "ГБПОУ МО ""ПАВЛОВО-ПОСАДСКИЙ ТЕХНИКУМ""")</f>
        <v>ГБПОУ МО "ПАВЛОВО-ПОСАДСКИЙ ТЕХНИКУМ"</v>
      </c>
      <c r="B5626" s="24" t="s">
        <v>7255</v>
      </c>
      <c r="C5626" s="25">
        <v>421950</v>
      </c>
      <c r="D5626" s="22" t="s">
        <v>7256</v>
      </c>
      <c r="E5626" s="22" t="s">
        <v>59</v>
      </c>
      <c r="F5626" s="23" t="str">
        <f>HYPERLINK("https://www.spark-marketing.ru/Card/Lot/71801503", "Установка, обслуживание сигнализации")</f>
        <v>Установка, обслуживание сигнализации</v>
      </c>
      <c r="G5626" s="22" t="s">
        <v>50</v>
      </c>
      <c r="H5626" s="22" t="s">
        <v>7257</v>
      </c>
      <c r="I5626" s="26">
        <v>43644.480902777803</v>
      </c>
      <c r="J5626" s="23" t="str">
        <f>HYPERLINK("https://www.spark-marketing.ru/Card/Person/5870458", "ООО ""ИНВЭРИАНТ""")</f>
        <v>ООО "ИНВЭРИАНТ"</v>
      </c>
      <c r="K5626" s="24" t="s">
        <v>7259</v>
      </c>
      <c r="L5626" s="28" t="s">
        <v>52</v>
      </c>
      <c r="M5626" s="25">
        <v>350000</v>
      </c>
      <c r="N5626" s="27">
        <v>0.17051783386657188</v>
      </c>
    </row>
    <row r="5627" spans="1:14" x14ac:dyDescent="0.15">
      <c r="A5627" s="23" t="str">
        <f>HYPERLINK("https://www.spark-marketing.ru/Card/Person/94384", "МРУ РОСФИНМОНИТОРИНГА ПО ЮФО")</f>
        <v>МРУ РОСФИНМОНИТОРИНГА ПО ЮФО</v>
      </c>
      <c r="B5627" s="24" t="s">
        <v>7260</v>
      </c>
      <c r="C5627" s="25">
        <v>72713.58</v>
      </c>
      <c r="D5627" s="22" t="s">
        <v>7261</v>
      </c>
      <c r="E5627" s="22" t="s">
        <v>53</v>
      </c>
      <c r="F5627" s="23" t="str">
        <f>HYPERLINK("https://www.spark-marketing.ru/Card/Lot/71763411", "охрана имущества МРУ Росфинмонитринга по ЮФО при помощисредств охранной сигнализации, выдающих по каналам связи информацию на системы централизованного наблюдения пункта охраны")</f>
        <v>охрана имущества МРУ Росфинмонитринга по ЮФО при помощисредств охранной сигнализации, выдающих по каналам связи информацию на системы централизованного наблюдения пункта охраны</v>
      </c>
      <c r="G5627" s="22" t="s">
        <v>402</v>
      </c>
      <c r="H5627" s="22" t="s">
        <v>403</v>
      </c>
      <c r="I5627" s="26">
        <v>43644.459930555597</v>
      </c>
      <c r="J5627" s="28" t="s">
        <v>52</v>
      </c>
      <c r="K5627" s="28" t="s">
        <v>52</v>
      </c>
      <c r="L5627" s="28" t="s">
        <v>52</v>
      </c>
      <c r="M5627" s="28" t="s">
        <v>52</v>
      </c>
      <c r="N5627" s="28" t="s">
        <v>52</v>
      </c>
    </row>
    <row r="5628" spans="1:14" ht="12.75" x14ac:dyDescent="0.2">
      <c r="A5628" s="23" t="str">
        <f>HYPERLINK("https://www.spark-marketing.ru/Card/Person/9633", "МИНСТРОЙ ИНГУШЕТИИ")</f>
        <v>МИНСТРОЙ ИНГУШЕТИИ</v>
      </c>
      <c r="B5628" s="24" t="s">
        <v>646</v>
      </c>
      <c r="C5628" s="25">
        <v>3571210</v>
      </c>
      <c r="D5628" s="22" t="s">
        <v>7262</v>
      </c>
      <c r="E5628" s="22" t="s">
        <v>218</v>
      </c>
      <c r="F5628" s="23" t="str">
        <f>HYPERLINK("https://www.spark-marketing.ru/Card/Lot/71770748", "Оказание услуг по строительному контролю и техническому сопровождению работ по объекту «Строительство детского сада на 220 мест в с.п. Инарки»")</f>
        <v>Оказание услуг по строительному контролю и техническому сопровождению работ по объекту «Строительство детского сада на 220 мест в с.п. Инарки»</v>
      </c>
      <c r="G5628" s="22" t="s">
        <v>648</v>
      </c>
      <c r="H5628" s="22" t="s">
        <v>648</v>
      </c>
      <c r="I5628" s="26">
        <v>43644.4909722222</v>
      </c>
      <c r="J5628" s="23" t="str">
        <f>HYPERLINK("https://www.spark-marketing.ru/Card/Person/259250", "ГУП""УКС РИ""")</f>
        <v>ГУП"УКС РИ"</v>
      </c>
      <c r="K5628" s="24" t="s">
        <v>7151</v>
      </c>
      <c r="L5628" s="22" t="s">
        <v>10</v>
      </c>
      <c r="M5628" s="25">
        <v>3571210</v>
      </c>
      <c r="N5628" s="27">
        <v>0</v>
      </c>
    </row>
    <row r="5629" spans="1:14" x14ac:dyDescent="0.15">
      <c r="A5629" s="23" t="str">
        <f t="shared" ref="A5629:A5636" si="238">HYPERLINK("https://www.spark-marketing.ru/Card/Person/25347", "ГБУЗ МО МОНИИАГ")</f>
        <v>ГБУЗ МО МОНИИАГ</v>
      </c>
      <c r="B5629" s="24" t="s">
        <v>7263</v>
      </c>
      <c r="C5629" s="25">
        <v>102276.9</v>
      </c>
      <c r="D5629" s="22" t="s">
        <v>7264</v>
      </c>
      <c r="E5629" s="22" t="s">
        <v>107</v>
      </c>
      <c r="F5629" s="23" t="str">
        <f t="shared" ref="F5629:F5636" si="239">HYPERLINK("https://www.spark-marketing.ru/Card/Lot/71794971", "ТО системы видеонаблюдения")</f>
        <v>ТО системы видеонаблюдения</v>
      </c>
      <c r="G5629" s="22" t="s">
        <v>55</v>
      </c>
      <c r="H5629" s="22" t="s">
        <v>55</v>
      </c>
      <c r="I5629" s="26">
        <v>43644.494444444397</v>
      </c>
      <c r="J5629" s="28" t="s">
        <v>52</v>
      </c>
      <c r="K5629" s="28" t="s">
        <v>52</v>
      </c>
      <c r="L5629" s="28" t="s">
        <v>52</v>
      </c>
      <c r="M5629" s="28" t="s">
        <v>52</v>
      </c>
      <c r="N5629" s="28" t="s">
        <v>52</v>
      </c>
    </row>
    <row r="5630" spans="1:14" hidden="1" outlineLevel="1" x14ac:dyDescent="0.2">
      <c r="A5630" s="23" t="str">
        <f t="shared" si="238"/>
        <v>ГБУЗ МО МОНИИАГ</v>
      </c>
      <c r="B5630" s="24" t="s">
        <v>7263</v>
      </c>
      <c r="C5630" s="25">
        <v>102276.9</v>
      </c>
      <c r="D5630" s="22" t="s">
        <v>7264</v>
      </c>
      <c r="E5630" s="22" t="s">
        <v>107</v>
      </c>
      <c r="F5630" s="23" t="str">
        <f t="shared" si="239"/>
        <v>ТО системы видеонаблюдения</v>
      </c>
      <c r="G5630" s="22" t="s">
        <v>55</v>
      </c>
      <c r="H5630" s="22" t="s">
        <v>55</v>
      </c>
      <c r="I5630" s="26">
        <v>43644.494444444397</v>
      </c>
      <c r="J5630" s="23" t="str">
        <f>HYPERLINK("https://www.spark-marketing.ru/Card/Person/1390212", "ООО УК ""ФОБР""")</f>
        <v>ООО УК "ФОБР"</v>
      </c>
      <c r="K5630" s="24" t="s">
        <v>7265</v>
      </c>
      <c r="L5630" s="28" t="s">
        <v>52</v>
      </c>
      <c r="M5630" s="25">
        <v>34508.22</v>
      </c>
      <c r="N5630" s="27">
        <v>0.66260005925091592</v>
      </c>
    </row>
    <row r="5631" spans="1:14" hidden="1" outlineLevel="1" x14ac:dyDescent="0.2">
      <c r="A5631" s="23" t="str">
        <f t="shared" si="238"/>
        <v>ГБУЗ МО МОНИИАГ</v>
      </c>
      <c r="B5631" s="24" t="s">
        <v>7263</v>
      </c>
      <c r="C5631" s="25">
        <v>102276.9</v>
      </c>
      <c r="D5631" s="22" t="s">
        <v>7264</v>
      </c>
      <c r="E5631" s="22" t="s">
        <v>107</v>
      </c>
      <c r="F5631" s="23" t="str">
        <f t="shared" si="239"/>
        <v>ТО системы видеонаблюдения</v>
      </c>
      <c r="G5631" s="22" t="s">
        <v>55</v>
      </c>
      <c r="H5631" s="22" t="s">
        <v>55</v>
      </c>
      <c r="I5631" s="26">
        <v>43644.494444444397</v>
      </c>
      <c r="J5631" s="23" t="str">
        <f>HYPERLINK("https://www.spark-marketing.ru/Card/Person/5908031", "ООО ""ГЕРКУЛЕС ИТ""")</f>
        <v>ООО "ГЕРКУЛЕС ИТ"</v>
      </c>
      <c r="K5631" s="24" t="s">
        <v>7266</v>
      </c>
      <c r="L5631" s="28" t="s">
        <v>52</v>
      </c>
      <c r="M5631" s="25">
        <v>100230.12</v>
      </c>
      <c r="N5631" s="27">
        <v>2.0012143504545013E-2</v>
      </c>
    </row>
    <row r="5632" spans="1:14" hidden="1" outlineLevel="1" x14ac:dyDescent="0.2">
      <c r="A5632" s="23" t="str">
        <f t="shared" si="238"/>
        <v>ГБУЗ МО МОНИИАГ</v>
      </c>
      <c r="B5632" s="24" t="s">
        <v>7263</v>
      </c>
      <c r="C5632" s="25">
        <v>102276.9</v>
      </c>
      <c r="D5632" s="22" t="s">
        <v>7264</v>
      </c>
      <c r="E5632" s="22" t="s">
        <v>107</v>
      </c>
      <c r="F5632" s="23" t="str">
        <f t="shared" si="239"/>
        <v>ТО системы видеонаблюдения</v>
      </c>
      <c r="G5632" s="22" t="s">
        <v>55</v>
      </c>
      <c r="H5632" s="22" t="s">
        <v>55</v>
      </c>
      <c r="I5632" s="26">
        <v>43644.494444444397</v>
      </c>
      <c r="J5632" s="23" t="str">
        <f>HYPERLINK("https://www.spark-marketing.ru/Card/Person/665030", "ООО ""ОТКРЫТЫЕ СИСТЕМЫ""")</f>
        <v>ООО "ОТКРЫТЫЕ СИСТЕМЫ"</v>
      </c>
      <c r="K5632" s="24" t="s">
        <v>7267</v>
      </c>
      <c r="L5632" s="28" t="s">
        <v>52</v>
      </c>
      <c r="M5632" s="25">
        <v>46753.21</v>
      </c>
      <c r="N5632" s="27">
        <v>0.54287615287518487</v>
      </c>
    </row>
    <row r="5633" spans="1:14" ht="12.75" hidden="1" outlineLevel="1" x14ac:dyDescent="0.2">
      <c r="A5633" s="23" t="str">
        <f t="shared" si="238"/>
        <v>ГБУЗ МО МОНИИАГ</v>
      </c>
      <c r="B5633" s="24" t="s">
        <v>7263</v>
      </c>
      <c r="C5633" s="25">
        <v>102276.9</v>
      </c>
      <c r="D5633" s="22" t="s">
        <v>7264</v>
      </c>
      <c r="E5633" s="22" t="s">
        <v>107</v>
      </c>
      <c r="F5633" s="23" t="str">
        <f t="shared" si="239"/>
        <v>ТО системы видеонаблюдения</v>
      </c>
      <c r="G5633" s="22" t="s">
        <v>55</v>
      </c>
      <c r="H5633" s="22" t="s">
        <v>55</v>
      </c>
      <c r="I5633" s="26">
        <v>43644.494444444397</v>
      </c>
      <c r="J5633" s="23" t="str">
        <f>HYPERLINK("https://www.spark-marketing.ru/Card/Person/14846", "ООО ""ФЭЗЕРА""")</f>
        <v>ООО "ФЭЗЕРА"</v>
      </c>
      <c r="K5633" s="24" t="s">
        <v>1216</v>
      </c>
      <c r="L5633" s="22" t="s">
        <v>10</v>
      </c>
      <c r="M5633" s="25">
        <v>29902.66</v>
      </c>
      <c r="N5633" s="27">
        <v>0.70763036423669468</v>
      </c>
    </row>
    <row r="5634" spans="1:14" hidden="1" outlineLevel="1" x14ac:dyDescent="0.2">
      <c r="A5634" s="23" t="str">
        <f t="shared" si="238"/>
        <v>ГБУЗ МО МОНИИАГ</v>
      </c>
      <c r="B5634" s="24" t="s">
        <v>7263</v>
      </c>
      <c r="C5634" s="25">
        <v>102276.9</v>
      </c>
      <c r="D5634" s="22" t="s">
        <v>7264</v>
      </c>
      <c r="E5634" s="22" t="s">
        <v>107</v>
      </c>
      <c r="F5634" s="23" t="str">
        <f t="shared" si="239"/>
        <v>ТО системы видеонаблюдения</v>
      </c>
      <c r="G5634" s="22" t="s">
        <v>55</v>
      </c>
      <c r="H5634" s="22" t="s">
        <v>55</v>
      </c>
      <c r="I5634" s="26">
        <v>43644.494444444397</v>
      </c>
      <c r="J5634" s="23" t="str">
        <f>HYPERLINK("https://www.spark-marketing.ru/Card/Person/1750232", "ООО ""АЗБУКА СИСТЕМ БЕЗОПАСНОСТИ""")</f>
        <v>ООО "АЗБУКА СИСТЕМ БЕЗОПАСНОСТИ"</v>
      </c>
      <c r="K5634" s="24" t="s">
        <v>3162</v>
      </c>
      <c r="L5634" s="28" t="s">
        <v>52</v>
      </c>
      <c r="M5634" s="25">
        <v>46753.22</v>
      </c>
      <c r="N5634" s="27">
        <v>0.54287605510139636</v>
      </c>
    </row>
    <row r="5635" spans="1:14" hidden="1" outlineLevel="1" x14ac:dyDescent="0.2">
      <c r="A5635" s="23" t="str">
        <f t="shared" si="238"/>
        <v>ГБУЗ МО МОНИИАГ</v>
      </c>
      <c r="B5635" s="24" t="s">
        <v>7263</v>
      </c>
      <c r="C5635" s="25">
        <v>102276.9</v>
      </c>
      <c r="D5635" s="22" t="s">
        <v>7264</v>
      </c>
      <c r="E5635" s="22" t="s">
        <v>107</v>
      </c>
      <c r="F5635" s="23" t="str">
        <f t="shared" si="239"/>
        <v>ТО системы видеонаблюдения</v>
      </c>
      <c r="G5635" s="22" t="s">
        <v>55</v>
      </c>
      <c r="H5635" s="22" t="s">
        <v>55</v>
      </c>
      <c r="I5635" s="26">
        <v>43644.494444444397</v>
      </c>
      <c r="J5635" s="23" t="str">
        <f>HYPERLINK("https://www.spark-marketing.ru/Card/Person/65028", "ООО ""ИМПУЛЬС М""")</f>
        <v>ООО "ИМПУЛЬС М"</v>
      </c>
      <c r="K5635" s="24" t="s">
        <v>7268</v>
      </c>
      <c r="L5635" s="28" t="s">
        <v>52</v>
      </c>
      <c r="M5635" s="25">
        <v>48800</v>
      </c>
      <c r="N5635" s="27">
        <v>0.52286391159685131</v>
      </c>
    </row>
    <row r="5636" spans="1:14" hidden="1" outlineLevel="1" x14ac:dyDescent="0.2">
      <c r="A5636" s="23" t="str">
        <f t="shared" si="238"/>
        <v>ГБУЗ МО МОНИИАГ</v>
      </c>
      <c r="B5636" s="24" t="s">
        <v>7263</v>
      </c>
      <c r="C5636" s="25">
        <v>102276.9</v>
      </c>
      <c r="D5636" s="22" t="s">
        <v>7264</v>
      </c>
      <c r="E5636" s="22" t="s">
        <v>107</v>
      </c>
      <c r="F5636" s="23" t="str">
        <f t="shared" si="239"/>
        <v>ТО системы видеонаблюдения</v>
      </c>
      <c r="G5636" s="22" t="s">
        <v>55</v>
      </c>
      <c r="H5636" s="22" t="s">
        <v>55</v>
      </c>
      <c r="I5636" s="26">
        <v>43644.494444444397</v>
      </c>
      <c r="J5636" s="23" t="str">
        <f>HYPERLINK("https://www.spark-marketing.ru/Card/Person/6616157", "Володин Алексей Львович")</f>
        <v>Володин Алексей Львович</v>
      </c>
      <c r="K5636" s="24" t="s">
        <v>1742</v>
      </c>
      <c r="L5636" s="28" t="s">
        <v>52</v>
      </c>
      <c r="M5636" s="25">
        <v>30414.66</v>
      </c>
      <c r="N5636" s="27">
        <v>0.70262434626000592</v>
      </c>
    </row>
    <row r="5637" spans="1:14" x14ac:dyDescent="0.15">
      <c r="A5637" s="23" t="str">
        <f>HYPERLINK("https://www.spark-marketing.ru/Card/Person/77930", "ОТДЕЛ МВД РОССИИ ПО БЕЛОВСКОМУ РАЙОНУ")</f>
        <v>ОТДЕЛ МВД РОССИИ ПО БЕЛОВСКОМУ РАЙОНУ</v>
      </c>
      <c r="B5637" s="24" t="s">
        <v>6848</v>
      </c>
      <c r="C5637" s="25">
        <v>14824.8</v>
      </c>
      <c r="D5637" s="22" t="s">
        <v>7269</v>
      </c>
      <c r="E5637" s="22" t="s">
        <v>107</v>
      </c>
      <c r="F5637" s="23" t="str">
        <f>HYPERLINK("https://www.spark-marketing.ru/Card/Lot/71765943", "Техническое обслуживание инженерно-технических средств охраны, 14 шт")</f>
        <v>Техническое обслуживание инженерно-технических средств охраны, 14 шт</v>
      </c>
      <c r="G5637" s="22" t="s">
        <v>367</v>
      </c>
      <c r="H5637" s="22" t="s">
        <v>6850</v>
      </c>
      <c r="I5637" s="26">
        <v>43644.495497685202</v>
      </c>
      <c r="J5637" s="28" t="s">
        <v>52</v>
      </c>
      <c r="K5637" s="28" t="s">
        <v>52</v>
      </c>
      <c r="L5637" s="28" t="s">
        <v>52</v>
      </c>
      <c r="M5637" s="28" t="s">
        <v>52</v>
      </c>
      <c r="N5637" s="28" t="s">
        <v>52</v>
      </c>
    </row>
    <row r="5638" spans="1:14" x14ac:dyDescent="0.15">
      <c r="A5638" s="23" t="str">
        <f>HYPERLINK("https://www.spark-marketing.ru/Card/Person/79654", "УПРАВЛЕНИЕ МИНЮСТА РОССИИ ПО ВЛАДИМИРСКОЙ ОБЛАСТИ")</f>
        <v>УПРАВЛЕНИЕ МИНЮСТА РОССИИ ПО ВЛАДИМИРСКОЙ ОБЛАСТИ</v>
      </c>
      <c r="B5638" s="24" t="s">
        <v>7038</v>
      </c>
      <c r="C5638" s="25">
        <v>72396.3</v>
      </c>
      <c r="D5638" s="22" t="s">
        <v>7270</v>
      </c>
      <c r="E5638" s="22" t="s">
        <v>53</v>
      </c>
      <c r="F5638" s="23" t="str">
        <f>HYPERLINK("https://www.spark-marketing.ru/Card/Lot/71765785", "Охрана объекта техническими средствами охраны, 7542 ч")</f>
        <v>Охрана объекта техническими средствами охраны, 7542 ч</v>
      </c>
      <c r="G5638" s="22" t="s">
        <v>145</v>
      </c>
      <c r="H5638" s="22" t="s">
        <v>146</v>
      </c>
      <c r="I5638" s="26">
        <v>43644.493182870399</v>
      </c>
      <c r="J5638" s="28" t="s">
        <v>52</v>
      </c>
      <c r="K5638" s="28" t="s">
        <v>52</v>
      </c>
      <c r="L5638" s="28" t="s">
        <v>52</v>
      </c>
      <c r="M5638" s="28" t="s">
        <v>52</v>
      </c>
      <c r="N5638" s="28" t="s">
        <v>52</v>
      </c>
    </row>
    <row r="5639" spans="1:14" x14ac:dyDescent="0.15">
      <c r="A5639" s="23" t="str">
        <f>HYPERLINK("https://www.spark-marketing.ru/Card/Person/266452", "УФНС РОССИИ ПО КАМЧАТСКОМУ КРАЮ")</f>
        <v>УФНС РОССИИ ПО КАМЧАТСКОМУ КРАЮ</v>
      </c>
      <c r="B5639" s="24" t="s">
        <v>7271</v>
      </c>
      <c r="C5639" s="25">
        <v>151447.20000000001</v>
      </c>
      <c r="D5639" s="22" t="s">
        <v>7272</v>
      </c>
      <c r="E5639" s="22" t="s">
        <v>84</v>
      </c>
      <c r="F5639" s="23" t="str">
        <f>HYPERLINK("https://www.spark-marketing.ru/Card/Lot/71753120", "приобретение и установка средств аудио-видео записи в учебном классе для нужд УФНС России по Камчатскому краю")</f>
        <v>приобретение и установка средств аудио-видео записи в учебном классе для нужд УФНС России по Камчатскому краю</v>
      </c>
      <c r="G5639" s="22" t="s">
        <v>1141</v>
      </c>
      <c r="H5639" s="22" t="s">
        <v>1142</v>
      </c>
      <c r="I5639" s="26">
        <v>43644.451388888898</v>
      </c>
      <c r="J5639" s="23" t="str">
        <f>HYPERLINK("https://www.spark-marketing.ru/Card/Person/4878495", "Денисов Максим Васильевич")</f>
        <v>Денисов Максим Васильевич</v>
      </c>
      <c r="K5639" s="24" t="s">
        <v>7273</v>
      </c>
      <c r="L5639" s="22" t="s">
        <v>10</v>
      </c>
      <c r="M5639" s="28" t="s">
        <v>52</v>
      </c>
      <c r="N5639" s="28" t="s">
        <v>52</v>
      </c>
    </row>
    <row r="5640" spans="1:14" x14ac:dyDescent="0.15">
      <c r="A5640" s="23" t="str">
        <f>HYPERLINK("https://www.spark-marketing.ru/Card/Person/5908", "ОГКУ ""УСЗН ПО АНГАРСКОМУ РАЙОНУ""")</f>
        <v>ОГКУ "УСЗН ПО АНГАРСКОМУ РАЙОНУ"</v>
      </c>
      <c r="B5640" s="24" t="s">
        <v>7274</v>
      </c>
      <c r="C5640" s="25">
        <v>4010.01</v>
      </c>
      <c r="D5640" s="22" t="s">
        <v>7275</v>
      </c>
      <c r="E5640" s="22" t="s">
        <v>1297</v>
      </c>
      <c r="F5640" s="23" t="str">
        <f>HYPERLINK("https://www.spark-marketing.ru/Card/Lot/71763128", "Поставка веб-камеры")</f>
        <v>Поставка веб-камеры</v>
      </c>
      <c r="G5640" s="22" t="s">
        <v>281</v>
      </c>
      <c r="H5640" s="22" t="s">
        <v>2890</v>
      </c>
      <c r="I5640" s="26">
        <v>43644.4465277778</v>
      </c>
      <c r="J5640" s="28" t="s">
        <v>52</v>
      </c>
      <c r="K5640" s="28" t="s">
        <v>52</v>
      </c>
      <c r="L5640" s="28" t="s">
        <v>52</v>
      </c>
      <c r="M5640" s="28" t="s">
        <v>52</v>
      </c>
      <c r="N5640" s="28" t="s">
        <v>52</v>
      </c>
    </row>
    <row r="5641" spans="1:14" x14ac:dyDescent="0.15">
      <c r="A5641" s="23" t="str">
        <f t="shared" ref="A5641:A5646" si="240">HYPERLINK("https://www.spark-marketing.ru/Card/Person/129554", "МЕЖРАЙОННАЯ ИФНС РОССИИ № 3 ПО ВОЛГОГРАДСКОЙ ОБЛАСТИ")</f>
        <v>МЕЖРАЙОННАЯ ИФНС РОССИИ № 3 ПО ВОЛГОГРАДСКОЙ ОБЛАСТИ</v>
      </c>
      <c r="B5641" s="24" t="s">
        <v>7276</v>
      </c>
      <c r="C5641" s="25">
        <v>4632</v>
      </c>
      <c r="D5641" s="22" t="s">
        <v>7277</v>
      </c>
      <c r="E5641" s="22" t="s">
        <v>53</v>
      </c>
      <c r="F5641" s="23" t="str">
        <f>HYPERLINK("https://www.spark-marketing.ru/Card/Lot/71763308", "Услуги пультовой охраны, мониторинг систем охранной и аварийной сигнализации, 1 шт")</f>
        <v>Услуги пультовой охраны, мониторинг систем охранной и аварийной сигнализации, 1 шт</v>
      </c>
      <c r="G5641" s="22" t="s">
        <v>343</v>
      </c>
      <c r="H5641" s="22" t="s">
        <v>7278</v>
      </c>
      <c r="I5641" s="26">
        <v>43644.4309490741</v>
      </c>
      <c r="J5641" s="28" t="s">
        <v>52</v>
      </c>
      <c r="K5641" s="28" t="s">
        <v>52</v>
      </c>
      <c r="L5641" s="28" t="s">
        <v>52</v>
      </c>
      <c r="M5641" s="28" t="s">
        <v>52</v>
      </c>
      <c r="N5641" s="28" t="s">
        <v>52</v>
      </c>
    </row>
    <row r="5642" spans="1:14" x14ac:dyDescent="0.15">
      <c r="A5642" s="23" t="str">
        <f t="shared" si="240"/>
        <v>МЕЖРАЙОННАЯ ИФНС РОССИИ № 3 ПО ВОЛГОГРАДСКОЙ ОБЛАСТИ</v>
      </c>
      <c r="B5642" s="24" t="s">
        <v>7276</v>
      </c>
      <c r="C5642" s="25">
        <v>70442.399999999994</v>
      </c>
      <c r="D5642" s="22" t="s">
        <v>7279</v>
      </c>
      <c r="E5642" s="22" t="s">
        <v>53</v>
      </c>
      <c r="F5642" s="23" t="str">
        <f>HYPERLINK("https://www.spark-marketing.ru/Card/Lot/71763319", "Услуги пультовой охраны с использованием тревожной кнопки, 1 шт")</f>
        <v>Услуги пультовой охраны с использованием тревожной кнопки, 1 шт</v>
      </c>
      <c r="G5642" s="22" t="s">
        <v>343</v>
      </c>
      <c r="H5642" s="22" t="s">
        <v>7278</v>
      </c>
      <c r="I5642" s="26">
        <v>43644.432442129597</v>
      </c>
      <c r="J5642" s="28" t="s">
        <v>52</v>
      </c>
      <c r="K5642" s="28" t="s">
        <v>52</v>
      </c>
      <c r="L5642" s="28" t="s">
        <v>52</v>
      </c>
      <c r="M5642" s="28" t="s">
        <v>52</v>
      </c>
      <c r="N5642" s="28" t="s">
        <v>52</v>
      </c>
    </row>
    <row r="5643" spans="1:14" x14ac:dyDescent="0.15">
      <c r="A5643" s="23" t="str">
        <f t="shared" si="240"/>
        <v>МЕЖРАЙОННАЯ ИФНС РОССИИ № 3 ПО ВОЛГОГРАДСКОЙ ОБЛАСТИ</v>
      </c>
      <c r="B5643" s="24" t="s">
        <v>7276</v>
      </c>
      <c r="C5643" s="25">
        <v>13680</v>
      </c>
      <c r="D5643" s="22" t="s">
        <v>7280</v>
      </c>
      <c r="E5643" s="22" t="s">
        <v>53</v>
      </c>
      <c r="F5643" s="23" t="str">
        <f>HYPERLINK("https://www.spark-marketing.ru/Card/Lot/71763192", "Услуги пультовой охраны, мониторинг систем охранной и аварийной сигнализации, 1 шт")</f>
        <v>Услуги пультовой охраны, мониторинг систем охранной и аварийной сигнализации, 1 шт</v>
      </c>
      <c r="G5643" s="22" t="s">
        <v>343</v>
      </c>
      <c r="H5643" s="22" t="s">
        <v>7278</v>
      </c>
      <c r="I5643" s="26">
        <v>43644.438101851898</v>
      </c>
      <c r="J5643" s="28" t="s">
        <v>52</v>
      </c>
      <c r="K5643" s="28" t="s">
        <v>52</v>
      </c>
      <c r="L5643" s="28" t="s">
        <v>52</v>
      </c>
      <c r="M5643" s="28" t="s">
        <v>52</v>
      </c>
      <c r="N5643" s="28" t="s">
        <v>52</v>
      </c>
    </row>
    <row r="5644" spans="1:14" x14ac:dyDescent="0.15">
      <c r="A5644" s="23" t="str">
        <f t="shared" si="240"/>
        <v>МЕЖРАЙОННАЯ ИФНС РОССИИ № 3 ПО ВОЛГОГРАДСКОЙ ОБЛАСТИ</v>
      </c>
      <c r="B5644" s="24" t="s">
        <v>7276</v>
      </c>
      <c r="C5644" s="25">
        <v>24265.200000000001</v>
      </c>
      <c r="D5644" s="22" t="s">
        <v>7281</v>
      </c>
      <c r="E5644" s="22" t="s">
        <v>53</v>
      </c>
      <c r="F5644" s="23" t="str">
        <f>HYPERLINK("https://www.spark-marketing.ru/Card/Lot/71763204", "Услуги пультовой охраны, мониторинг систем охранной и аварийной сигнализации, 1 шт")</f>
        <v>Услуги пультовой охраны, мониторинг систем охранной и аварийной сигнализации, 1 шт</v>
      </c>
      <c r="G5644" s="22" t="s">
        <v>343</v>
      </c>
      <c r="H5644" s="22" t="s">
        <v>7278</v>
      </c>
      <c r="I5644" s="26">
        <v>43644.439606481501</v>
      </c>
      <c r="J5644" s="28" t="s">
        <v>52</v>
      </c>
      <c r="K5644" s="28" t="s">
        <v>52</v>
      </c>
      <c r="L5644" s="28" t="s">
        <v>52</v>
      </c>
      <c r="M5644" s="28" t="s">
        <v>52</v>
      </c>
      <c r="N5644" s="28" t="s">
        <v>52</v>
      </c>
    </row>
    <row r="5645" spans="1:14" x14ac:dyDescent="0.15">
      <c r="A5645" s="23" t="str">
        <f t="shared" si="240"/>
        <v>МЕЖРАЙОННАЯ ИФНС РОССИИ № 3 ПО ВОЛГОГРАДСКОЙ ОБЛАСТИ</v>
      </c>
      <c r="B5645" s="24" t="s">
        <v>7276</v>
      </c>
      <c r="C5645" s="25">
        <v>6016.44</v>
      </c>
      <c r="D5645" s="22" t="s">
        <v>7282</v>
      </c>
      <c r="E5645" s="22" t="s">
        <v>53</v>
      </c>
      <c r="F5645" s="23" t="str">
        <f>HYPERLINK("https://www.spark-marketing.ru/Card/Lot/71763330", "Услуги пультовой охраны, мониторинг систем охранной и аварийной сигнализации, 1 шт")</f>
        <v>Услуги пультовой охраны, мониторинг систем охранной и аварийной сигнализации, 1 шт</v>
      </c>
      <c r="G5645" s="22" t="s">
        <v>343</v>
      </c>
      <c r="H5645" s="22" t="s">
        <v>7278</v>
      </c>
      <c r="I5645" s="26">
        <v>43644.434409722198</v>
      </c>
      <c r="J5645" s="28" t="s">
        <v>52</v>
      </c>
      <c r="K5645" s="28" t="s">
        <v>52</v>
      </c>
      <c r="L5645" s="28" t="s">
        <v>52</v>
      </c>
      <c r="M5645" s="28" t="s">
        <v>52</v>
      </c>
      <c r="N5645" s="28" t="s">
        <v>52</v>
      </c>
    </row>
    <row r="5646" spans="1:14" x14ac:dyDescent="0.15">
      <c r="A5646" s="23" t="str">
        <f t="shared" si="240"/>
        <v>МЕЖРАЙОННАЯ ИФНС РОССИИ № 3 ПО ВОЛГОГРАДСКОЙ ОБЛАСТИ</v>
      </c>
      <c r="B5646" s="24" t="s">
        <v>7276</v>
      </c>
      <c r="C5646" s="25">
        <v>24265.200000000001</v>
      </c>
      <c r="D5646" s="22" t="s">
        <v>7283</v>
      </c>
      <c r="E5646" s="22" t="s">
        <v>53</v>
      </c>
      <c r="F5646" s="23" t="str">
        <f>HYPERLINK("https://www.spark-marketing.ru/Card/Lot/71763164", "Услуги пультовой охраны, мониторинг систем охранной и аварийной сигнализации, 1 шт")</f>
        <v>Услуги пультовой охраны, мониторинг систем охранной и аварийной сигнализации, 1 шт</v>
      </c>
      <c r="G5646" s="22" t="s">
        <v>343</v>
      </c>
      <c r="H5646" s="22" t="s">
        <v>7278</v>
      </c>
      <c r="I5646" s="26">
        <v>43644.436168981498</v>
      </c>
      <c r="J5646" s="28" t="s">
        <v>52</v>
      </c>
      <c r="K5646" s="28" t="s">
        <v>52</v>
      </c>
      <c r="L5646" s="28" t="s">
        <v>52</v>
      </c>
      <c r="M5646" s="28" t="s">
        <v>52</v>
      </c>
      <c r="N5646" s="28" t="s">
        <v>52</v>
      </c>
    </row>
    <row r="5647" spans="1:14" x14ac:dyDescent="0.15">
      <c r="A5647" s="23" t="str">
        <f>HYPERLINK("https://www.spark-marketing.ru/Card/Person/18932", "ФКУ УПРДОР ""ЕНИСЕЙ""")</f>
        <v>ФКУ УПРДОР "ЕНИСЕЙ"</v>
      </c>
      <c r="B5647" s="24" t="s">
        <v>2313</v>
      </c>
      <c r="C5647" s="25">
        <v>52012017</v>
      </c>
      <c r="D5647" s="22" t="s">
        <v>7284</v>
      </c>
      <c r="E5647" s="22" t="s">
        <v>723</v>
      </c>
      <c r="F5647" s="23" t="str">
        <f>HYPERLINK("https://www.spark-marketing.ru/Card/Lot/71757310", "Выполнение работ по установке  систем видеоконтроля (камер фото-видеофиксации нарушений правил дорожного движения) на автомобильных дорогах: Р-255 «Сибирь» Новосибирск - Кемерово - Красноярск - Иркутск на участках: км 557+000 - км 1176+000,  Обход г....")</f>
        <v>Выполнение работ по установке  систем видеоконтроля (камер фото-видеофиксации нарушений правил дорожного движения) на автомобильных дорогах: Р-255 «Сибирь» Новосибирск - Кемерово - Красноярск - Иркутск на участках: км 557+000 - км 1176+000,  Обход г....</v>
      </c>
      <c r="G5647" s="22" t="s">
        <v>640</v>
      </c>
      <c r="H5647" s="22" t="s">
        <v>640</v>
      </c>
      <c r="I5647" s="26">
        <v>43644.432638888902</v>
      </c>
      <c r="J5647" s="23" t="str">
        <f>HYPERLINK("https://www.spark-marketing.ru/Card/Person/10991", "ПАО ""РОСТЕЛЕКОМ""")</f>
        <v>ПАО "РОСТЕЛЕКОМ"</v>
      </c>
      <c r="K5647" s="24" t="s">
        <v>607</v>
      </c>
      <c r="L5647" s="28" t="s">
        <v>52</v>
      </c>
      <c r="M5647" s="28" t="s">
        <v>52</v>
      </c>
      <c r="N5647" s="28" t="s">
        <v>52</v>
      </c>
    </row>
    <row r="5648" spans="1:14" ht="12.75" hidden="1" outlineLevel="1" x14ac:dyDescent="0.2">
      <c r="A5648" s="23" t="str">
        <f>HYPERLINK("https://www.spark-marketing.ru/Card/Person/18932", "ФКУ УПРДОР ""ЕНИСЕЙ""")</f>
        <v>ФКУ УПРДОР "ЕНИСЕЙ"</v>
      </c>
      <c r="B5648" s="24" t="s">
        <v>2313</v>
      </c>
      <c r="C5648" s="25">
        <v>52012017</v>
      </c>
      <c r="D5648" s="22" t="s">
        <v>7284</v>
      </c>
      <c r="E5648" s="22" t="s">
        <v>723</v>
      </c>
      <c r="F5648" s="23" t="str">
        <f>HYPERLINK("https://www.spark-marketing.ru/Card/Lot/71757310", "Выполнение работ по установке  систем видеоконтроля (камер фото-видеофиксации нарушений правил дорожного движения) на автомобильных дорогах: Р-255 «Сибирь» Новосибирск - Кемерово - Красноярск - Иркутск на участках: км 557+000 - км 1176+000,  Обход г....")</f>
        <v>Выполнение работ по установке  систем видеоконтроля (камер фото-видеофиксации нарушений правил дорожного движения) на автомобильных дорогах: Р-255 «Сибирь» Новосибирск - Кемерово - Красноярск - Иркутск на участках: км 557+000 - км 1176+000,  Обход г....</v>
      </c>
      <c r="G5648" s="22" t="s">
        <v>640</v>
      </c>
      <c r="H5648" s="22" t="s">
        <v>640</v>
      </c>
      <c r="I5648" s="26">
        <v>43644.432638888902</v>
      </c>
      <c r="J5648" s="23" t="str">
        <f>HYPERLINK("https://www.spark-marketing.ru/Card/Person/10991", "ПАО ""РОСТЕЛЕКОМ""")</f>
        <v>ПАО "РОСТЕЛЕКОМ"</v>
      </c>
      <c r="K5648" s="24" t="s">
        <v>607</v>
      </c>
      <c r="L5648" s="22" t="s">
        <v>10</v>
      </c>
      <c r="M5648" s="25">
        <v>51751956.909999996</v>
      </c>
      <c r="N5648" s="27">
        <v>5.0000000961316305E-3</v>
      </c>
    </row>
    <row r="5649" spans="1:14" x14ac:dyDescent="0.15">
      <c r="A5649" s="23" t="str">
        <f>HYPERLINK("https://www.spark-marketing.ru/Card/Person/144961", "МОУ КОЛОМЕНСКАЯ СОШ")</f>
        <v>МОУ КОЛОМЕНСКАЯ СОШ</v>
      </c>
      <c r="B5649" s="24" t="s">
        <v>5754</v>
      </c>
      <c r="C5649" s="25">
        <v>300000</v>
      </c>
      <c r="D5649" s="22" t="s">
        <v>7285</v>
      </c>
      <c r="E5649" s="22" t="s">
        <v>84</v>
      </c>
      <c r="F5649" s="23" t="str">
        <f>HYPERLINK("https://www.spark-marketing.ru/Card/Lot/71761417", "Услуги по согласованию паспортов и мест размещения камер видеонаблюдения, 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технологического обесп...")</f>
        <v>Услуги по согласованию паспортов и мест размещения камер видеонаблюдения, 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технологического обесп...</v>
      </c>
      <c r="G5649" s="22" t="s">
        <v>50</v>
      </c>
      <c r="H5649" s="22" t="s">
        <v>682</v>
      </c>
      <c r="I5649" s="26">
        <v>43644.410243055601</v>
      </c>
      <c r="J5649" s="28" t="s">
        <v>52</v>
      </c>
      <c r="K5649" s="28" t="s">
        <v>52</v>
      </c>
      <c r="L5649" s="28" t="s">
        <v>52</v>
      </c>
      <c r="M5649" s="28" t="s">
        <v>52</v>
      </c>
      <c r="N5649" s="28" t="s">
        <v>52</v>
      </c>
    </row>
    <row r="5650" spans="1:14" x14ac:dyDescent="0.15">
      <c r="A5650" s="23" t="str">
        <f>HYPERLINK("https://www.spark-marketing.ru/Card/Person/57430", "МКУ ""УПРАВЛЕНИЕ БЛАГОУСТРОЙСТВА И ДОРОЖНОГО ХОЗЯЙСТВА КОЛЬЧУГИНСКОГО РАЙОНА""")</f>
        <v>МКУ "УПРАВЛЕНИЕ БЛАГОУСТРОЙСТВА И ДОРОЖНОГО ХОЗЯЙСТВА КОЛЬЧУГИНСКОГО РАЙОНА"</v>
      </c>
      <c r="B5650" s="24" t="s">
        <v>7286</v>
      </c>
      <c r="C5650" s="25">
        <v>125500</v>
      </c>
      <c r="D5650" s="22" t="s">
        <v>7287</v>
      </c>
      <c r="E5650" s="22" t="s">
        <v>487</v>
      </c>
      <c r="F5650" s="23" t="str">
        <f>HYPERLINK("https://www.spark-marketing.ru/Card/Lot/71762230", "поставка блок-контейнера (поста охраны)  в городе Кольчугино Кольчугинского района")</f>
        <v>поставка блок-контейнера (поста охраны)  в городе Кольчугино Кольчугинского района</v>
      </c>
      <c r="G5650" s="22" t="s">
        <v>145</v>
      </c>
      <c r="H5650" s="22" t="s">
        <v>7288</v>
      </c>
      <c r="I5650" s="26">
        <v>43644.392361111102</v>
      </c>
      <c r="J5650" s="28" t="s">
        <v>52</v>
      </c>
      <c r="K5650" s="28" t="s">
        <v>52</v>
      </c>
      <c r="L5650" s="28" t="s">
        <v>52</v>
      </c>
      <c r="M5650" s="28" t="s">
        <v>52</v>
      </c>
      <c r="N5650" s="28" t="s">
        <v>52</v>
      </c>
    </row>
    <row r="5651" spans="1:14" x14ac:dyDescent="0.15">
      <c r="A5651" s="23" t="str">
        <f>HYPERLINK("https://www.spark-marketing.ru/Card/Person/8644", "ГКУ ПО ""УПРАВЛЕНИЕ ОД В ЧС""")</f>
        <v>ГКУ ПО "УПРАВЛЕНИЕ ОД В ЧС"</v>
      </c>
      <c r="B5651" s="24" t="s">
        <v>7289</v>
      </c>
      <c r="C5651" s="25">
        <v>600000</v>
      </c>
      <c r="D5651" s="22" t="s">
        <v>7290</v>
      </c>
      <c r="E5651" s="22" t="s">
        <v>107</v>
      </c>
      <c r="F5651" s="23" t="str">
        <f>HYPERLINK("https://www.spark-marketing.ru/Card/Lot/71765813", "Оказание услуг по эксплуатационно-техническому обслуживанию и восстановлению работоспособности системы видеонаблюдения АПК «Безопасный город» (идентификационный номер: 640-А-ГЗ)")</f>
        <v>Оказание услуг по эксплуатационно-техническому обслуживанию и восстановлению работоспособности системы видеонаблюдения АПК «Безопасный город» (идентификационный номер: 640-А-ГЗ)</v>
      </c>
      <c r="G5651" s="22" t="s">
        <v>142</v>
      </c>
      <c r="H5651" s="22" t="s">
        <v>2320</v>
      </c>
      <c r="I5651" s="26">
        <v>43644.370833333298</v>
      </c>
      <c r="J5651" s="28" t="s">
        <v>52</v>
      </c>
      <c r="K5651" s="28" t="s">
        <v>52</v>
      </c>
      <c r="L5651" s="28" t="s">
        <v>52</v>
      </c>
      <c r="M5651" s="28" t="s">
        <v>52</v>
      </c>
      <c r="N5651" s="28" t="s">
        <v>52</v>
      </c>
    </row>
    <row r="5652" spans="1:14" ht="12.75" hidden="1" outlineLevel="1" x14ac:dyDescent="0.2">
      <c r="A5652" s="23" t="str">
        <f>HYPERLINK("https://www.spark-marketing.ru/Card/Person/8644", "ГКУ ПО ""УПРАВЛЕНИЕ ОД В ЧС""")</f>
        <v>ГКУ ПО "УПРАВЛЕНИЕ ОД В ЧС"</v>
      </c>
      <c r="B5652" s="24" t="s">
        <v>7289</v>
      </c>
      <c r="C5652" s="25">
        <v>600000</v>
      </c>
      <c r="D5652" s="22" t="s">
        <v>7290</v>
      </c>
      <c r="E5652" s="22" t="s">
        <v>107</v>
      </c>
      <c r="F5652" s="23" t="str">
        <f>HYPERLINK("https://www.spark-marketing.ru/Card/Lot/71765813", "Оказание услуг по эксплуатационно-техническому обслуживанию и восстановлению работоспособности системы видеонаблюдения АПК «Безопасный город» (идентификационный номер: 640-А-ГЗ)")</f>
        <v>Оказание услуг по эксплуатационно-техническому обслуживанию и восстановлению работоспособности системы видеонаблюдения АПК «Безопасный город» (идентификационный номер: 640-А-ГЗ)</v>
      </c>
      <c r="G5652" s="22" t="s">
        <v>142</v>
      </c>
      <c r="H5652" s="22" t="s">
        <v>2320</v>
      </c>
      <c r="I5652" s="26">
        <v>43644.370833333298</v>
      </c>
      <c r="J5652" s="23" t="str">
        <f>HYPERLINK("https://www.spark-marketing.ru/Card/Person/614752", "ООО ""ФОРМОЗА-ИТ""")</f>
        <v>ООО "ФОРМОЗА-ИТ"</v>
      </c>
      <c r="K5652" s="24" t="s">
        <v>7291</v>
      </c>
      <c r="L5652" s="22" t="s">
        <v>10</v>
      </c>
      <c r="M5652" s="25">
        <v>576389.47</v>
      </c>
      <c r="N5652" s="27">
        <v>3.9350883333333336E-2</v>
      </c>
    </row>
    <row r="5653" spans="1:14" hidden="1" outlineLevel="1" x14ac:dyDescent="0.2">
      <c r="A5653" s="23" t="str">
        <f>HYPERLINK("https://www.spark-marketing.ru/Card/Person/8644", "ГКУ ПО ""УПРАВЛЕНИЕ ОД В ЧС""")</f>
        <v>ГКУ ПО "УПРАВЛЕНИЕ ОД В ЧС"</v>
      </c>
      <c r="B5653" s="24" t="s">
        <v>7289</v>
      </c>
      <c r="C5653" s="25">
        <v>600000</v>
      </c>
      <c r="D5653" s="22" t="s">
        <v>7290</v>
      </c>
      <c r="E5653" s="22" t="s">
        <v>107</v>
      </c>
      <c r="F5653" s="23" t="str">
        <f>HYPERLINK("https://www.spark-marketing.ru/Card/Lot/71765813", "Оказание услуг по эксплуатационно-техническому обслуживанию и восстановлению работоспособности системы видеонаблюдения АПК «Безопасный город» (идентификационный номер: 640-А-ГЗ)")</f>
        <v>Оказание услуг по эксплуатационно-техническому обслуживанию и восстановлению работоспособности системы видеонаблюдения АПК «Безопасный город» (идентификационный номер: 640-А-ГЗ)</v>
      </c>
      <c r="G5653" s="22" t="s">
        <v>142</v>
      </c>
      <c r="H5653" s="22" t="s">
        <v>2320</v>
      </c>
      <c r="I5653" s="26">
        <v>43644.370833333298</v>
      </c>
      <c r="J5653" s="23" t="str">
        <f>HYPERLINK("https://www.spark-marketing.ru/Card/Person/4951488", "ООО ""КОНТУР""")</f>
        <v>ООО "КОНТУР"</v>
      </c>
      <c r="K5653" s="24" t="s">
        <v>7292</v>
      </c>
      <c r="L5653" s="28" t="s">
        <v>52</v>
      </c>
      <c r="M5653" s="25">
        <v>581621.82999999996</v>
      </c>
      <c r="N5653" s="27">
        <v>3.0630283333333334E-2</v>
      </c>
    </row>
    <row r="5654" spans="1:14" x14ac:dyDescent="0.15">
      <c r="A5654" s="23" t="str">
        <f>HYPERLINK("https://www.spark-marketing.ru/Card/Person/10834", "ГКУ КО ""ДИРЕКЦИЯ АВТОДОРОГ КУЗБАССА""")</f>
        <v>ГКУ КО "ДИРЕКЦИЯ АВТОДОРОГ КУЗБАССА"</v>
      </c>
      <c r="B5654" s="24" t="s">
        <v>1499</v>
      </c>
      <c r="C5654" s="25">
        <v>9875000</v>
      </c>
      <c r="D5654" s="22" t="s">
        <v>7293</v>
      </c>
      <c r="E5654" s="22" t="s">
        <v>723</v>
      </c>
      <c r="F5654" s="23" t="str">
        <f>HYPERLINK("https://www.spark-marketing.ru/Card/Lot/71756051", "Выполнение работ по содержанию автомобильных дорог: установка передвижных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автомобильных дорогах общ...")</f>
        <v>Выполнение работ по содержанию автомобильных дорог: установка передвижных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автомобильных дорогах общ...</v>
      </c>
      <c r="G5654" s="22" t="s">
        <v>367</v>
      </c>
      <c r="H5654" s="22" t="s">
        <v>881</v>
      </c>
      <c r="I5654" s="26">
        <v>43644.35</v>
      </c>
      <c r="J5654" s="23" t="str">
        <f>HYPERLINK("https://www.spark-marketing.ru/Card/Person/127397", "ООО ""ИНФОСЕРВИС""")</f>
        <v>ООО "ИНФОСЕРВИС"</v>
      </c>
      <c r="K5654" s="24" t="s">
        <v>1503</v>
      </c>
      <c r="L5654" s="22" t="s">
        <v>10</v>
      </c>
      <c r="M5654" s="28" t="s">
        <v>52</v>
      </c>
      <c r="N5654" s="28" t="s">
        <v>52</v>
      </c>
    </row>
    <row r="5655" spans="1:14" x14ac:dyDescent="0.2">
      <c r="A5655" s="23" t="str">
        <f>HYPERLINK("https://www.spark-marketing.ru/Card/Person/665792", "АО ""ОМСКОБЛАВТОТРАНС""")</f>
        <v>АО "ОМСКОБЛАВТОТРАНС"</v>
      </c>
      <c r="B5655" s="24" t="s">
        <v>2704</v>
      </c>
      <c r="C5655" s="25">
        <v>367200</v>
      </c>
      <c r="D5655" s="22" t="s">
        <v>7294</v>
      </c>
      <c r="E5655" s="22" t="s">
        <v>363</v>
      </c>
      <c r="F5655" s="23" t="str">
        <f>HYPERLINK("https://www.spark-marketing.ru/Card/Lot/71756543", "Оказание услуг по охране объектов АО ""Омскоблавтотранс""")</f>
        <v>Оказание услуг по охране объектов АО "Омскоблавтотранс"</v>
      </c>
      <c r="G5655" s="22" t="s">
        <v>521</v>
      </c>
      <c r="H5655" s="22" t="s">
        <v>521</v>
      </c>
      <c r="I5655" s="26">
        <v>43644.374479166698</v>
      </c>
      <c r="J5655" s="28" t="s">
        <v>52</v>
      </c>
      <c r="K5655" s="28" t="s">
        <v>52</v>
      </c>
      <c r="L5655" s="22" t="s">
        <v>10</v>
      </c>
      <c r="M5655" s="25">
        <v>367200</v>
      </c>
      <c r="N5655" s="27">
        <v>0</v>
      </c>
    </row>
    <row r="5656" spans="1:14" x14ac:dyDescent="0.15">
      <c r="A5656" s="23" t="str">
        <f>HYPERLINK("https://www.spark-marketing.ru/Card/Person/10834", "ГКУ КО ""ДИРЕКЦИЯ АВТОДОРОГ КУЗБАССА""")</f>
        <v>ГКУ КО "ДИРЕКЦИЯ АВТОДОРОГ КУЗБАССА"</v>
      </c>
      <c r="B5656" s="24" t="s">
        <v>1499</v>
      </c>
      <c r="C5656" s="25">
        <v>9875000</v>
      </c>
      <c r="D5656" s="22" t="s">
        <v>7295</v>
      </c>
      <c r="E5656" s="22" t="s">
        <v>723</v>
      </c>
      <c r="F5656" s="23" t="str">
        <f>HYPERLINK("https://www.spark-marketing.ru/Card/Lot/71756050", "Выполнение работ по содержанию автомобильных дорог: установка передвижных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автомобильных дорогах общ...")</f>
        <v>Выполнение работ по содержанию автомобильных дорог: установка передвижных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автомобильных дорогах общ...</v>
      </c>
      <c r="G5656" s="22" t="s">
        <v>367</v>
      </c>
      <c r="H5656" s="22" t="s">
        <v>881</v>
      </c>
      <c r="I5656" s="26">
        <v>43644.365277777797</v>
      </c>
      <c r="J5656" s="23" t="str">
        <f>HYPERLINK("https://www.spark-marketing.ru/Card/Person/127397", "ООО ""ИНФОСЕРВИС""")</f>
        <v>ООО "ИНФОСЕРВИС"</v>
      </c>
      <c r="K5656" s="24" t="s">
        <v>1503</v>
      </c>
      <c r="L5656" s="22" t="s">
        <v>10</v>
      </c>
      <c r="M5656" s="28" t="s">
        <v>52</v>
      </c>
      <c r="N5656" s="28" t="s">
        <v>52</v>
      </c>
    </row>
    <row r="5657" spans="1:14" x14ac:dyDescent="0.15">
      <c r="A5657" s="23" t="str">
        <f>HYPERLINK("https://www.spark-marketing.ru/Card/Person/57947", "КГКУЗ ""МИАЦ"" МЗ ХК")</f>
        <v>КГКУЗ "МИАЦ" МЗ ХК</v>
      </c>
      <c r="B5657" s="24" t="s">
        <v>5580</v>
      </c>
      <c r="C5657" s="25">
        <v>99500</v>
      </c>
      <c r="D5657" s="22" t="s">
        <v>7296</v>
      </c>
      <c r="E5657" s="22" t="s">
        <v>84</v>
      </c>
      <c r="F5657" s="23" t="str">
        <f>HYPERLINK("https://www.spark-marketing.ru/Card/Lot/71758148", "Монтаж, установка, сборка видеонаблюдения, 1 шт")</f>
        <v>Монтаж, установка, сборка видеонаблюдения, 1 шт</v>
      </c>
      <c r="G5657" s="22" t="s">
        <v>138</v>
      </c>
      <c r="H5657" s="22" t="s">
        <v>255</v>
      </c>
      <c r="I5657" s="26">
        <v>43644.340104166702</v>
      </c>
      <c r="J5657" s="28" t="s">
        <v>52</v>
      </c>
      <c r="K5657" s="28" t="s">
        <v>52</v>
      </c>
      <c r="L5657" s="28" t="s">
        <v>52</v>
      </c>
      <c r="M5657" s="28" t="s">
        <v>52</v>
      </c>
      <c r="N5657" s="28" t="s">
        <v>52</v>
      </c>
    </row>
    <row r="5658" spans="1:14" x14ac:dyDescent="0.15">
      <c r="A5658" s="23" t="str">
        <f>HYPERLINK("https://www.spark-marketing.ru/Card/Person/54418", "АО ""ФПК""")</f>
        <v>АО "ФПК"</v>
      </c>
      <c r="B5658" s="24" t="s">
        <v>7297</v>
      </c>
      <c r="C5658" s="25">
        <v>56370</v>
      </c>
      <c r="D5658" s="28" t="s">
        <v>52</v>
      </c>
      <c r="E5658" s="22" t="s">
        <v>7298</v>
      </c>
      <c r="F5658" s="23" t="str">
        <f>HYPERLINK("https://www.spark-marketing.ru/Card/Lot/71758345", "№20045 Оказание услуг по подбору потенциальных покупателей и сопровождению сделки купли продажи объектов недвижимости АО ""ФПК"" для нужд Приволжского филиала АО ""ФПК""")</f>
        <v>№20045 Оказание услуг по подбору потенциальных покупателей и сопровождению сделки купли продажи объектов недвижимости АО "ФПК" для нужд Приволжского филиала АО "ФПК"</v>
      </c>
      <c r="G5658" s="22" t="s">
        <v>55</v>
      </c>
      <c r="H5658" s="22" t="s">
        <v>55</v>
      </c>
      <c r="I5658" s="26">
        <v>43644.302696759303</v>
      </c>
      <c r="J5658" s="28" t="s">
        <v>52</v>
      </c>
      <c r="K5658" s="28" t="s">
        <v>52</v>
      </c>
      <c r="L5658" s="28" t="s">
        <v>52</v>
      </c>
      <c r="M5658" s="28" t="s">
        <v>52</v>
      </c>
      <c r="N5658" s="28" t="s">
        <v>52</v>
      </c>
    </row>
    <row r="5659" spans="1:14" x14ac:dyDescent="0.15">
      <c r="A5659" s="23" t="str">
        <f>HYPERLINK("https://www.spark-marketing.ru/Card/Person/81691", "БОУ Г. ОМСКА ""СРЕДНЯЯ ОБЩЕОБРАЗОВАТЕЛЬНАЯ ШКОЛА № 39 С УГЛУБЛЕННЫМ ИЗУЧЕНИЕМ ОТДЕЛЬНЫХ ПРЕДМЕТОВ""")</f>
        <v>БОУ Г. ОМСКА "СРЕДНЯЯ ОБЩЕОБРАЗОВАТЕЛЬНАЯ ШКОЛА № 39 С УГЛУБЛЕННЫМ ИЗУЧЕНИЕМ ОТДЕЛЬНЫХ ПРЕДМЕТОВ"</v>
      </c>
      <c r="B5659" s="24" t="s">
        <v>7299</v>
      </c>
      <c r="C5659" s="25">
        <v>16999.2</v>
      </c>
      <c r="D5659" s="22" t="s">
        <v>7300</v>
      </c>
      <c r="E5659" s="22" t="s">
        <v>84</v>
      </c>
      <c r="F5659" s="23" t="str">
        <f>HYPERLINK("https://www.spark-marketing.ru/Card/Lot/71758477", "Выполнение работ по установке системы видеонаблюдения.")</f>
        <v>Выполнение работ по установке системы видеонаблюдения.</v>
      </c>
      <c r="G5659" s="22" t="s">
        <v>521</v>
      </c>
      <c r="H5659" s="22" t="s">
        <v>522</v>
      </c>
      <c r="I5659" s="26">
        <v>43644.311111111099</v>
      </c>
      <c r="J5659" s="28" t="s">
        <v>52</v>
      </c>
      <c r="K5659" s="28" t="s">
        <v>52</v>
      </c>
      <c r="L5659" s="28" t="s">
        <v>52</v>
      </c>
      <c r="M5659" s="28" t="s">
        <v>52</v>
      </c>
      <c r="N5659" s="28" t="s">
        <v>52</v>
      </c>
    </row>
    <row r="5660" spans="1:14" x14ac:dyDescent="0.15">
      <c r="A5660" s="23" t="str">
        <f>HYPERLINK("https://www.spark-marketing.ru/Card/Person/1007018", "ОМВД РОССИИ ПО ПАВЛОГРАДСКОМУ РАЙОНУ")</f>
        <v>ОМВД РОССИИ ПО ПАВЛОГРАДСКОМУ РАЙОНУ</v>
      </c>
      <c r="B5660" s="24" t="s">
        <v>7047</v>
      </c>
      <c r="C5660" s="25">
        <v>24000</v>
      </c>
      <c r="D5660" s="22" t="s">
        <v>7301</v>
      </c>
      <c r="E5660" s="22" t="s">
        <v>7049</v>
      </c>
      <c r="F5660" s="23" t="str">
        <f>HYPERLINK("https://www.spark-marketing.ru/Card/Lot/71757524", "Инженерное оборудование, Услуги")</f>
        <v>Инженерное оборудование, Услуги</v>
      </c>
      <c r="G5660" s="22" t="s">
        <v>521</v>
      </c>
      <c r="H5660" s="22" t="s">
        <v>7050</v>
      </c>
      <c r="I5660" s="26">
        <v>43644.317708333299</v>
      </c>
      <c r="J5660" s="28" t="s">
        <v>52</v>
      </c>
      <c r="K5660" s="28" t="s">
        <v>52</v>
      </c>
      <c r="L5660" s="28" t="s">
        <v>52</v>
      </c>
      <c r="M5660" s="28" t="s">
        <v>52</v>
      </c>
      <c r="N5660" s="28" t="s">
        <v>52</v>
      </c>
    </row>
    <row r="5661" spans="1:14" x14ac:dyDescent="0.15">
      <c r="A5661" s="23" t="str">
        <f>HYPERLINK("https://www.spark-marketing.ru/Card/Person/145504", "ФГУП ""ВГСЧ""")</f>
        <v>ФГУП "ВГСЧ"</v>
      </c>
      <c r="B5661" s="24" t="s">
        <v>7302</v>
      </c>
      <c r="C5661" s="25">
        <v>177286.68</v>
      </c>
      <c r="D5661" s="22" t="s">
        <v>7303</v>
      </c>
      <c r="E5661" s="22" t="s">
        <v>7304</v>
      </c>
      <c r="F5661" s="23" t="str">
        <f>HYPERLINK("https://www.spark-marketing.ru/Card/Lot/71756633", "Поставка сигнализаций и предпусковых обогревателей и выполнение работ по их установке на автомобили Нерюнгринского ВГСВ филиала «ВГСО Дальнего Востока» ФГУП «ВГСЧ»")</f>
        <v>Поставка сигнализаций и предпусковых обогревателей и выполнение работ по их установке на автомобили Нерюнгринского ВГСВ филиала «ВГСО Дальнего Востока» ФГУП «ВГСЧ»</v>
      </c>
      <c r="G5661" s="22" t="s">
        <v>424</v>
      </c>
      <c r="H5661" s="22" t="s">
        <v>424</v>
      </c>
      <c r="I5661" s="26">
        <v>43644.288483796299</v>
      </c>
      <c r="J5661" s="28" t="s">
        <v>52</v>
      </c>
      <c r="K5661" s="28" t="s">
        <v>52</v>
      </c>
      <c r="L5661" s="28" t="s">
        <v>52</v>
      </c>
      <c r="M5661" s="28" t="s">
        <v>52</v>
      </c>
      <c r="N5661" s="28" t="s">
        <v>52</v>
      </c>
    </row>
    <row r="5662" spans="1:14" x14ac:dyDescent="0.15">
      <c r="A5662" s="23" t="str">
        <f>HYPERLINK("https://www.spark-marketing.ru/Card/Person/264271", "МО МВД РОССИИ ""БУРЕЙСКИЙ""")</f>
        <v>МО МВД РОССИИ "БУРЕЙСКИЙ"</v>
      </c>
      <c r="B5662" s="24" t="s">
        <v>7305</v>
      </c>
      <c r="C5662" s="25">
        <v>6500</v>
      </c>
      <c r="D5662" s="22" t="s">
        <v>7306</v>
      </c>
      <c r="E5662" s="22" t="s">
        <v>84</v>
      </c>
      <c r="F5662" s="23" t="str">
        <f>HYPERLINK("https://www.spark-marketing.ru/Card/Lot/71753739", "Монтаж, установка видеонаблюдения, 1 шт")</f>
        <v>Монтаж, установка видеонаблюдения, 1 шт</v>
      </c>
      <c r="G5662" s="22" t="s">
        <v>230</v>
      </c>
      <c r="H5662" s="22" t="s">
        <v>230</v>
      </c>
      <c r="I5662" s="26">
        <v>43644.182916666701</v>
      </c>
      <c r="J5662" s="28" t="s">
        <v>52</v>
      </c>
      <c r="K5662" s="28" t="s">
        <v>52</v>
      </c>
      <c r="L5662" s="28" t="s">
        <v>52</v>
      </c>
      <c r="M5662" s="28" t="s">
        <v>52</v>
      </c>
      <c r="N5662" s="28" t="s">
        <v>52</v>
      </c>
    </row>
    <row r="5663" spans="1:14" x14ac:dyDescent="0.15">
      <c r="A5663" s="23" t="str">
        <f>HYPERLINK("https://www.spark-marketing.ru/Card/Person/264271", "МО МВД РОССИИ ""БУРЕЙСКИЙ""")</f>
        <v>МО МВД РОССИИ "БУРЕЙСКИЙ"</v>
      </c>
      <c r="B5663" s="24" t="s">
        <v>7305</v>
      </c>
      <c r="C5663" s="25">
        <v>6500</v>
      </c>
      <c r="D5663" s="22" t="s">
        <v>7307</v>
      </c>
      <c r="E5663" s="22" t="s">
        <v>84</v>
      </c>
      <c r="F5663" s="23" t="str">
        <f>HYPERLINK("https://www.spark-marketing.ru/Card/Lot/71753741", "Монтаж, установка видеонаблюдения, 1 шт")</f>
        <v>Монтаж, установка видеонаблюдения, 1 шт</v>
      </c>
      <c r="G5663" s="22" t="s">
        <v>230</v>
      </c>
      <c r="H5663" s="22" t="s">
        <v>230</v>
      </c>
      <c r="I5663" s="26">
        <v>43644.183310185203</v>
      </c>
      <c r="J5663" s="28" t="s">
        <v>52</v>
      </c>
      <c r="K5663" s="28" t="s">
        <v>52</v>
      </c>
      <c r="L5663" s="28" t="s">
        <v>52</v>
      </c>
      <c r="M5663" s="28" t="s">
        <v>52</v>
      </c>
      <c r="N5663" s="28" t="s">
        <v>52</v>
      </c>
    </row>
    <row r="5664" spans="1:14" x14ac:dyDescent="0.15">
      <c r="A5664" s="23" t="str">
        <f>HYPERLINK("https://www.spark-marketing.ru/Card/Person/1693711", "АО ""МЕЖДУНАРОДНЫЙ АЭРОПОРТ ""ВНУКОВО""")</f>
        <v>АО "МЕЖДУНАРОДНЫЙ АЭРОПОРТ "ВНУКОВО"</v>
      </c>
      <c r="B5664" s="24" t="s">
        <v>7308</v>
      </c>
      <c r="C5664" s="25">
        <v>1</v>
      </c>
      <c r="D5664" s="22" t="s">
        <v>7309</v>
      </c>
      <c r="E5664" s="22" t="s">
        <v>53</v>
      </c>
      <c r="F5664" s="23" t="str">
        <f>HYPERLINK("https://www.spark-marketing.ru/Card/Lot/71799148", "Выполнение работ по проведению ежемесячного технического обслуживания оборудования системы видеонаблюдения за огнями приближения ИВПП-1 и ИВПП-2 АО «Международный аэропорт «Внуково».")</f>
        <v>Выполнение работ по проведению ежемесячного технического обслуживания оборудования системы видеонаблюдения за огнями приближения ИВПП-1 и ИВПП-2 АО «Международный аэропорт «Внуково».</v>
      </c>
      <c r="G5664" s="22" t="s">
        <v>55</v>
      </c>
      <c r="H5664" s="22" t="s">
        <v>55</v>
      </c>
      <c r="I5664" s="26">
        <v>43644</v>
      </c>
      <c r="J5664" s="28" t="s">
        <v>52</v>
      </c>
      <c r="K5664" s="28" t="s">
        <v>52</v>
      </c>
      <c r="L5664" s="28" t="s">
        <v>52</v>
      </c>
      <c r="M5664" s="28" t="s">
        <v>52</v>
      </c>
      <c r="N5664" s="28" t="s">
        <v>52</v>
      </c>
    </row>
    <row r="5665" spans="1:14" x14ac:dyDescent="0.15">
      <c r="A5665" s="23" t="str">
        <f>HYPERLINK("https://www.spark-marketing.ru/Card/Person/6450322", "ЗАКАЗЧИК РП БЕЛАРУСЬ")</f>
        <v>ЗАКАЗЧИК РП БЕЛАРУСЬ</v>
      </c>
      <c r="B5665" s="28" t="s">
        <v>52</v>
      </c>
      <c r="C5665" s="28" t="s">
        <v>52</v>
      </c>
      <c r="D5665" s="22" t="s">
        <v>7310</v>
      </c>
      <c r="E5665" s="22" t="s">
        <v>53</v>
      </c>
      <c r="F5665" s="23" t="str">
        <f>HYPERLINK("https://www.spark-marketing.ru/Card/Lot/71782370", "услуга по обеспечению пропускного режима и охране объекта")</f>
        <v>услуга по обеспечению пропускного режима и охране объекта</v>
      </c>
      <c r="G5665" s="22" t="s">
        <v>52</v>
      </c>
      <c r="H5665" s="22" t="s">
        <v>52</v>
      </c>
      <c r="I5665" s="26">
        <v>43644</v>
      </c>
      <c r="J5665" s="28" t="s">
        <v>52</v>
      </c>
      <c r="K5665" s="28" t="s">
        <v>52</v>
      </c>
      <c r="L5665" s="28" t="s">
        <v>52</v>
      </c>
      <c r="M5665" s="28" t="s">
        <v>52</v>
      </c>
      <c r="N5665" s="28" t="s">
        <v>52</v>
      </c>
    </row>
    <row r="5666" spans="1:14" x14ac:dyDescent="0.15">
      <c r="A5666" s="23" t="str">
        <f>HYPERLINK("https://www.spark-marketing.ru/Card/Person/1781233", "АО ""ПОЛЮС ЛОГИСТИКА""")</f>
        <v>АО "ПОЛЮС ЛОГИСТИКА"</v>
      </c>
      <c r="B5666" s="24" t="s">
        <v>7311</v>
      </c>
      <c r="C5666" s="28" t="s">
        <v>52</v>
      </c>
      <c r="D5666" s="22" t="s">
        <v>7312</v>
      </c>
      <c r="E5666" s="22" t="s">
        <v>53</v>
      </c>
      <c r="F5666" s="23" t="str">
        <f>HYPERLINK("https://www.spark-marketing.ru/Card/Lot/71771420", "Оснащение комплексом инженерно-технических средств охраны объекта - контейнерный склад МТР на ГОК ""Вернинское""")</f>
        <v>Оснащение комплексом инженерно-технических средств охраны объекта - контейнерный склад МТР на ГОК "Вернинское"</v>
      </c>
      <c r="G5666" s="22" t="s">
        <v>640</v>
      </c>
      <c r="H5666" s="22" t="s">
        <v>1524</v>
      </c>
      <c r="I5666" s="26">
        <v>43644</v>
      </c>
      <c r="J5666" s="28" t="s">
        <v>52</v>
      </c>
      <c r="K5666" s="28" t="s">
        <v>52</v>
      </c>
      <c r="L5666" s="28" t="s">
        <v>52</v>
      </c>
      <c r="M5666" s="28" t="s">
        <v>52</v>
      </c>
      <c r="N5666" s="28" t="s">
        <v>52</v>
      </c>
    </row>
    <row r="5667" spans="1:14" x14ac:dyDescent="0.15">
      <c r="A5667" s="23" t="str">
        <f>HYPERLINK("https://www.spark-marketing.ru/Card/Person/130109", "ПАО БАНК ""ФК ОТКРЫТИЕ""")</f>
        <v>ПАО БАНК "ФК ОТКРЫТИЕ"</v>
      </c>
      <c r="B5667" s="24" t="s">
        <v>693</v>
      </c>
      <c r="C5667" s="25">
        <v>770000</v>
      </c>
      <c r="D5667" s="22" t="s">
        <v>7313</v>
      </c>
      <c r="E5667" s="22" t="s">
        <v>53</v>
      </c>
      <c r="F5667" s="23" t="str">
        <f>HYPERLINK("https://www.spark-marketing.ru/Card/Lot/71799216", "Запрос о предоставлении ценовой информации на оказание услуг по физической охране объектов Заказчика в Калужской области, г. Малоярославец")</f>
        <v>Запрос о предоставлении ценовой информации на оказание услуг по физической охране объектов Заказчика в Калужской области, г. Малоярославец</v>
      </c>
      <c r="G5667" s="22" t="s">
        <v>55</v>
      </c>
      <c r="H5667" s="22" t="s">
        <v>55</v>
      </c>
      <c r="I5667" s="26">
        <v>43644</v>
      </c>
      <c r="J5667" s="28" t="s">
        <v>52</v>
      </c>
      <c r="K5667" s="28" t="s">
        <v>52</v>
      </c>
      <c r="L5667" s="28" t="s">
        <v>52</v>
      </c>
      <c r="M5667" s="28" t="s">
        <v>52</v>
      </c>
      <c r="N5667" s="28" t="s">
        <v>52</v>
      </c>
    </row>
    <row r="5668" spans="1:14" x14ac:dyDescent="0.15">
      <c r="A5668" s="23" t="str">
        <f>HYPERLINK("https://www.spark-marketing.ru/Card/Person/6450322", "ЗАКАЗЧИК РП БЕЛАРУСЬ")</f>
        <v>ЗАКАЗЧИК РП БЕЛАРУСЬ</v>
      </c>
      <c r="B5668" s="28" t="s">
        <v>52</v>
      </c>
      <c r="C5668" s="25">
        <v>92663.7</v>
      </c>
      <c r="D5668" s="22" t="s">
        <v>7314</v>
      </c>
      <c r="E5668" s="22" t="s">
        <v>53</v>
      </c>
      <c r="F5668" s="23" t="str">
        <f>HYPERLINK("https://www.spark-marketing.ru/Card/Lot/71782854", "Система видеонаблюдения")</f>
        <v>Система видеонаблюдения</v>
      </c>
      <c r="G5668" s="22" t="s">
        <v>52</v>
      </c>
      <c r="H5668" s="22" t="s">
        <v>52</v>
      </c>
      <c r="I5668" s="26">
        <v>43644</v>
      </c>
      <c r="J5668" s="28" t="s">
        <v>52</v>
      </c>
      <c r="K5668" s="28" t="s">
        <v>52</v>
      </c>
      <c r="L5668" s="28" t="s">
        <v>52</v>
      </c>
      <c r="M5668" s="28" t="s">
        <v>52</v>
      </c>
      <c r="N5668" s="28" t="s">
        <v>52</v>
      </c>
    </row>
    <row r="5669" spans="1:14" x14ac:dyDescent="0.15">
      <c r="A5669" s="23" t="str">
        <f>HYPERLINK("https://www.spark-marketing.ru/Card/Person/2479720", "КОСТРОМСКОЙ ЛО МВД РОССИИ НА ТРАНСПОРТЕ")</f>
        <v>КОСТРОМСКОЙ ЛО МВД РОССИИ НА ТРАНСПОРТЕ</v>
      </c>
      <c r="B5669" s="24" t="s">
        <v>7315</v>
      </c>
      <c r="C5669" s="25">
        <v>15000</v>
      </c>
      <c r="D5669" s="22" t="s">
        <v>7316</v>
      </c>
      <c r="E5669" s="22" t="s">
        <v>59</v>
      </c>
      <c r="F5669" s="23" t="str">
        <f>HYPERLINK("https://www.spark-marketing.ru/Card/Lot/71747809", "Установка охранной сигнализации, 1 шт")</f>
        <v>Установка охранной сигнализации, 1 шт</v>
      </c>
      <c r="G5669" s="22" t="s">
        <v>1104</v>
      </c>
      <c r="H5669" s="22" t="s">
        <v>1105</v>
      </c>
      <c r="I5669" s="26">
        <v>43643.844861111102</v>
      </c>
      <c r="J5669" s="28" t="s">
        <v>52</v>
      </c>
      <c r="K5669" s="28" t="s">
        <v>52</v>
      </c>
      <c r="L5669" s="28" t="s">
        <v>52</v>
      </c>
      <c r="M5669" s="28" t="s">
        <v>52</v>
      </c>
      <c r="N5669" s="28" t="s">
        <v>52</v>
      </c>
    </row>
    <row r="5670" spans="1:14" x14ac:dyDescent="0.15">
      <c r="A5670" s="23" t="str">
        <f>HYPERLINK("https://www.spark-marketing.ru/Card/Person/4375402", "ОТДЕЛ ГФС РОССИИ В Г. КАЛИНИНГРАДЕ")</f>
        <v>ОТДЕЛ ГФС РОССИИ В Г. КАЛИНИНГРАДЕ</v>
      </c>
      <c r="B5670" s="24" t="s">
        <v>5470</v>
      </c>
      <c r="C5670" s="25">
        <v>2935.02</v>
      </c>
      <c r="D5670" s="22" t="s">
        <v>7317</v>
      </c>
      <c r="E5670" s="22" t="s">
        <v>107</v>
      </c>
      <c r="F5670" s="23" t="str">
        <f>HYPERLINK("https://www.spark-marketing.ru/Card/Lot/71743415", "Техническое обслуживание инженерно-технических средств охраны, 1 шт")</f>
        <v>Техническое обслуживание инженерно-технических средств охраны, 1 шт</v>
      </c>
      <c r="G5670" s="22" t="s">
        <v>247</v>
      </c>
      <c r="H5670" s="22" t="s">
        <v>576</v>
      </c>
      <c r="I5670" s="26">
        <v>43643.760902777802</v>
      </c>
      <c r="J5670" s="28" t="s">
        <v>52</v>
      </c>
      <c r="K5670" s="28" t="s">
        <v>52</v>
      </c>
      <c r="L5670" s="28" t="s">
        <v>52</v>
      </c>
      <c r="M5670" s="28" t="s">
        <v>52</v>
      </c>
      <c r="N5670" s="28" t="s">
        <v>52</v>
      </c>
    </row>
    <row r="5671" spans="1:14" x14ac:dyDescent="0.15">
      <c r="A5671" s="23" t="str">
        <f>HYPERLINK("https://www.spark-marketing.ru/Card/Person/77706", "АО ""ПОЧТА РОССИИ""")</f>
        <v>АО "ПОЧТА РОССИИ"</v>
      </c>
      <c r="B5671" s="24" t="s">
        <v>1230</v>
      </c>
      <c r="C5671" s="25">
        <v>4350128.4000000004</v>
      </c>
      <c r="D5671" s="22" t="s">
        <v>7318</v>
      </c>
      <c r="E5671" s="22" t="s">
        <v>144</v>
      </c>
      <c r="F5671" s="23" t="str">
        <f>HYPERLINK("https://www.spark-marketing.ru/Card/Lot/71742379", "Оказание охранных услуг техническими средствами на объектах почтовой связи (главные распределительные кассы) УФПС Тверской области - филиал ФГУП ""Почта России""")</f>
        <v>Оказание охранных услуг техническими средствами на объектах почтовой связи (главные распределительные кассы) УФПС Тверской области - филиал ФГУП "Почта России"</v>
      </c>
      <c r="G5671" s="22" t="s">
        <v>55</v>
      </c>
      <c r="H5671" s="22" t="s">
        <v>55</v>
      </c>
      <c r="I5671" s="26">
        <v>43643.716712963003</v>
      </c>
      <c r="J5671" s="28" t="s">
        <v>52</v>
      </c>
      <c r="K5671" s="28" t="s">
        <v>52</v>
      </c>
      <c r="L5671" s="28" t="s">
        <v>52</v>
      </c>
      <c r="M5671" s="28" t="s">
        <v>52</v>
      </c>
      <c r="N5671" s="28" t="s">
        <v>52</v>
      </c>
    </row>
    <row r="5672" spans="1:14" x14ac:dyDescent="0.15">
      <c r="A5672" s="23" t="str">
        <f>HYPERLINK("https://www.spark-marketing.ru/Card/Person/9152", "ФКУ ""ЦХИСО ГУ МВД РОССИИ ПО Г. САНКТ-ПЕТЕРБУРГУ И ЛЕНИНГРАДСКОЙ ОБЛАСТИ""")</f>
        <v>ФКУ "ЦХИСО ГУ МВД РОССИИ ПО Г. САНКТ-ПЕТЕРБУРГУ И ЛЕНИНГРАДСКОЙ ОБЛАСТИ"</v>
      </c>
      <c r="B5672" s="24" t="s">
        <v>4342</v>
      </c>
      <c r="C5672" s="25">
        <v>2216270</v>
      </c>
      <c r="D5672" s="22" t="s">
        <v>7319</v>
      </c>
      <c r="E5672" s="22" t="s">
        <v>7320</v>
      </c>
      <c r="F5672" s="23" t="str">
        <f>HYPERLINK("https://www.spark-marketing.ru/Card/Lot/71749967", "Поставка беспилотного авиационного комплекса видеонаблюдения для реализации полицией обязанностей по охране общественного порядка и обеспечение общественной безопасности")</f>
        <v>Поставка беспилотного авиационного комплекса видеонаблюдения для реализации полицией обязанностей по охране общественного порядка и обеспечение общественной безопасности</v>
      </c>
      <c r="G5672" s="22" t="s">
        <v>89</v>
      </c>
      <c r="H5672" s="22" t="s">
        <v>89</v>
      </c>
      <c r="I5672" s="26">
        <v>43643.747222222199</v>
      </c>
      <c r="J5672" s="28" t="s">
        <v>52</v>
      </c>
      <c r="K5672" s="28" t="s">
        <v>52</v>
      </c>
      <c r="L5672" s="28" t="s">
        <v>52</v>
      </c>
      <c r="M5672" s="28" t="s">
        <v>52</v>
      </c>
      <c r="N5672" s="28" t="s">
        <v>52</v>
      </c>
    </row>
    <row r="5673" spans="1:14" hidden="1" outlineLevel="1" x14ac:dyDescent="0.2">
      <c r="A5673" s="23" t="str">
        <f>HYPERLINK("https://www.spark-marketing.ru/Card/Person/9152", "ФКУ ""ЦХИСО ГУ МВД РОССИИ ПО Г. САНКТ-ПЕТЕРБУРГУ И ЛЕНИНГРАДСКОЙ ОБЛАСТИ""")</f>
        <v>ФКУ "ЦХИСО ГУ МВД РОССИИ ПО Г. САНКТ-ПЕТЕРБУРГУ И ЛЕНИНГРАДСКОЙ ОБЛАСТИ"</v>
      </c>
      <c r="B5673" s="24" t="s">
        <v>4342</v>
      </c>
      <c r="C5673" s="25">
        <v>2216270</v>
      </c>
      <c r="D5673" s="22" t="s">
        <v>7319</v>
      </c>
      <c r="E5673" s="22" t="s">
        <v>7320</v>
      </c>
      <c r="F5673" s="23" t="str">
        <f>HYPERLINK("https://www.spark-marketing.ru/Card/Lot/71749967", "Поставка беспилотного авиационного комплекса видеонаблюдения для реализации полицией обязанностей по охране общественного порядка и обеспечение общественной безопасности")</f>
        <v>Поставка беспилотного авиационного комплекса видеонаблюдения для реализации полицией обязанностей по охране общественного порядка и обеспечение общественной безопасности</v>
      </c>
      <c r="G5673" s="22" t="s">
        <v>89</v>
      </c>
      <c r="H5673" s="22" t="s">
        <v>89</v>
      </c>
      <c r="I5673" s="26">
        <v>43643.747222222199</v>
      </c>
      <c r="J5673" s="23" t="str">
        <f>HYPERLINK("https://www.spark-marketing.ru/Card/Person/6493631", "ООО ""ЮПИТЕР""")</f>
        <v>ООО "ЮПИТЕР"</v>
      </c>
      <c r="K5673" s="24" t="s">
        <v>7321</v>
      </c>
      <c r="L5673" s="28" t="s">
        <v>52</v>
      </c>
      <c r="M5673" s="25">
        <v>2167000</v>
      </c>
      <c r="N5673" s="27">
        <v>2.2231045856326171E-2</v>
      </c>
    </row>
    <row r="5674" spans="1:14" hidden="1" outlineLevel="1" x14ac:dyDescent="0.2">
      <c r="A5674" s="23" t="str">
        <f>HYPERLINK("https://www.spark-marketing.ru/Card/Person/9152", "ФКУ ""ЦХИСО ГУ МВД РОССИИ ПО Г. САНКТ-ПЕТЕРБУРГУ И ЛЕНИНГРАДСКОЙ ОБЛАСТИ""")</f>
        <v>ФКУ "ЦХИСО ГУ МВД РОССИИ ПО Г. САНКТ-ПЕТЕРБУРГУ И ЛЕНИНГРАДСКОЙ ОБЛАСТИ"</v>
      </c>
      <c r="B5674" s="24" t="s">
        <v>4342</v>
      </c>
      <c r="C5674" s="25">
        <v>2216270</v>
      </c>
      <c r="D5674" s="22" t="s">
        <v>7319</v>
      </c>
      <c r="E5674" s="22" t="s">
        <v>7320</v>
      </c>
      <c r="F5674" s="23" t="str">
        <f>HYPERLINK("https://www.spark-marketing.ru/Card/Lot/71749967", "Поставка беспилотного авиационного комплекса видеонаблюдения для реализации полицией обязанностей по охране общественного порядка и обеспечение общественной безопасности")</f>
        <v>Поставка беспилотного авиационного комплекса видеонаблюдения для реализации полицией обязанностей по охране общественного порядка и обеспечение общественной безопасности</v>
      </c>
      <c r="G5674" s="22" t="s">
        <v>89</v>
      </c>
      <c r="H5674" s="22" t="s">
        <v>89</v>
      </c>
      <c r="I5674" s="26">
        <v>43643.747222222199</v>
      </c>
      <c r="J5674" s="23" t="str">
        <f>HYPERLINK("https://www.spark-marketing.ru/Card/Person/4356954", "ООО ""ТЕЛФИКС""")</f>
        <v>ООО "ТЕЛФИКС"</v>
      </c>
      <c r="K5674" s="24" t="s">
        <v>7322</v>
      </c>
      <c r="L5674" s="28" t="s">
        <v>52</v>
      </c>
      <c r="M5674" s="25">
        <v>1888000</v>
      </c>
      <c r="N5674" s="27">
        <v>0.1481182346916215</v>
      </c>
    </row>
    <row r="5675" spans="1:14" ht="12.75" hidden="1" outlineLevel="1" x14ac:dyDescent="0.2">
      <c r="A5675" s="23" t="str">
        <f>HYPERLINK("https://www.spark-marketing.ru/Card/Person/9152", "ФКУ ""ЦХИСО ГУ МВД РОССИИ ПО Г. САНКТ-ПЕТЕРБУРГУ И ЛЕНИНГРАДСКОЙ ОБЛАСТИ""")</f>
        <v>ФКУ "ЦХИСО ГУ МВД РОССИИ ПО Г. САНКТ-ПЕТЕРБУРГУ И ЛЕНИНГРАДСКОЙ ОБЛАСТИ"</v>
      </c>
      <c r="B5675" s="24" t="s">
        <v>4342</v>
      </c>
      <c r="C5675" s="25">
        <v>2216270</v>
      </c>
      <c r="D5675" s="22" t="s">
        <v>7319</v>
      </c>
      <c r="E5675" s="22" t="s">
        <v>7320</v>
      </c>
      <c r="F5675" s="23" t="str">
        <f>HYPERLINK("https://www.spark-marketing.ru/Card/Lot/71749967", "Поставка беспилотного авиационного комплекса видеонаблюдения для реализации полицией обязанностей по охране общественного порядка и обеспечение общественной безопасности")</f>
        <v>Поставка беспилотного авиационного комплекса видеонаблюдения для реализации полицией обязанностей по охране общественного порядка и обеспечение общественной безопасности</v>
      </c>
      <c r="G5675" s="22" t="s">
        <v>89</v>
      </c>
      <c r="H5675" s="22" t="s">
        <v>89</v>
      </c>
      <c r="I5675" s="26">
        <v>43643.747222222199</v>
      </c>
      <c r="J5675" s="23" t="str">
        <f>HYPERLINK("https://www.spark-marketing.ru/Card/Person/382400", "ООО ""НЕБЕСНАЯ МЕХАНИКА""")</f>
        <v>ООО "НЕБЕСНАЯ МЕХАНИКА"</v>
      </c>
      <c r="K5675" s="24" t="s">
        <v>7323</v>
      </c>
      <c r="L5675" s="22" t="s">
        <v>10</v>
      </c>
      <c r="M5675" s="25">
        <v>1850000</v>
      </c>
      <c r="N5675" s="27">
        <v>0.16526416005270117</v>
      </c>
    </row>
    <row r="5676" spans="1:14" x14ac:dyDescent="0.15">
      <c r="A5676" s="23" t="str">
        <f>HYPERLINK("https://www.spark-marketing.ru/Card/Person/16052", "СПБ ГБ ПОУ ""КОЛЛЕДЖ ""ЗВЁЗДНЫЙ""")</f>
        <v>СПБ ГБ ПОУ "КОЛЛЕДЖ "ЗВЁЗДНЫЙ"</v>
      </c>
      <c r="B5676" s="24" t="s">
        <v>7324</v>
      </c>
      <c r="C5676" s="25">
        <v>4743473.74</v>
      </c>
      <c r="D5676" s="22" t="s">
        <v>7325</v>
      </c>
      <c r="E5676" s="22" t="s">
        <v>59</v>
      </c>
      <c r="F5676" s="23" t="str">
        <f>HYPERLINK("https://www.spark-marketing.ru/Card/Lot/71750777", "Выполнение работ по расширению системы видеонаблюдения в 2019 году")</f>
        <v>Выполнение работ по расширению системы видеонаблюдения в 2019 году</v>
      </c>
      <c r="G5676" s="22" t="s">
        <v>89</v>
      </c>
      <c r="H5676" s="22" t="s">
        <v>89</v>
      </c>
      <c r="I5676" s="26">
        <v>43643.709027777797</v>
      </c>
      <c r="J5676" s="28" t="s">
        <v>52</v>
      </c>
      <c r="K5676" s="28" t="s">
        <v>52</v>
      </c>
      <c r="L5676" s="28" t="s">
        <v>52</v>
      </c>
      <c r="M5676" s="28" t="s">
        <v>52</v>
      </c>
      <c r="N5676" s="28" t="s">
        <v>52</v>
      </c>
    </row>
    <row r="5677" spans="1:14" hidden="1" outlineLevel="1" x14ac:dyDescent="0.2">
      <c r="A5677" s="23" t="str">
        <f>HYPERLINK("https://www.spark-marketing.ru/Card/Person/16052", "СПБ ГБ ПОУ ""КОЛЛЕДЖ ""ЗВЁЗДНЫЙ""")</f>
        <v>СПБ ГБ ПОУ "КОЛЛЕДЖ "ЗВЁЗДНЫЙ"</v>
      </c>
      <c r="B5677" s="24" t="s">
        <v>7324</v>
      </c>
      <c r="C5677" s="25">
        <v>4743473.74</v>
      </c>
      <c r="D5677" s="22" t="s">
        <v>7325</v>
      </c>
      <c r="E5677" s="22" t="s">
        <v>59</v>
      </c>
      <c r="F5677" s="23" t="str">
        <f>HYPERLINK("https://www.spark-marketing.ru/Card/Lot/71750777", "Выполнение работ по расширению системы видеонаблюдения в 2019 году")</f>
        <v>Выполнение работ по расширению системы видеонаблюдения в 2019 году</v>
      </c>
      <c r="G5677" s="22" t="s">
        <v>89</v>
      </c>
      <c r="H5677" s="22" t="s">
        <v>89</v>
      </c>
      <c r="I5677" s="26">
        <v>43643.709027777797</v>
      </c>
      <c r="J5677" s="23" t="str">
        <f>HYPERLINK("https://www.spark-marketing.ru/Card/Person/6174794", "ООО ""ПРОФСТРОЙ-И""")</f>
        <v>ООО "ПРОФСТРОЙ-И"</v>
      </c>
      <c r="K5677" s="24" t="s">
        <v>7326</v>
      </c>
      <c r="L5677" s="28" t="s">
        <v>52</v>
      </c>
      <c r="M5677" s="25">
        <v>4696039</v>
      </c>
      <c r="N5677" s="27">
        <v>1.0000000548121512E-2</v>
      </c>
    </row>
    <row r="5678" spans="1:14" ht="12.75" hidden="1" outlineLevel="1" x14ac:dyDescent="0.2">
      <c r="A5678" s="23" t="str">
        <f>HYPERLINK("https://www.spark-marketing.ru/Card/Person/16052", "СПБ ГБ ПОУ ""КОЛЛЕДЖ ""ЗВЁЗДНЫЙ""")</f>
        <v>СПБ ГБ ПОУ "КОЛЛЕДЖ "ЗВЁЗДНЫЙ"</v>
      </c>
      <c r="B5678" s="24" t="s">
        <v>7324</v>
      </c>
      <c r="C5678" s="25">
        <v>4743473.74</v>
      </c>
      <c r="D5678" s="22" t="s">
        <v>7325</v>
      </c>
      <c r="E5678" s="22" t="s">
        <v>59</v>
      </c>
      <c r="F5678" s="23" t="str">
        <f>HYPERLINK("https://www.spark-marketing.ru/Card/Lot/71750777", "Выполнение работ по расширению системы видеонаблюдения в 2019 году")</f>
        <v>Выполнение работ по расширению системы видеонаблюдения в 2019 году</v>
      </c>
      <c r="G5678" s="22" t="s">
        <v>89</v>
      </c>
      <c r="H5678" s="22" t="s">
        <v>89</v>
      </c>
      <c r="I5678" s="26">
        <v>43643.709027777797</v>
      </c>
      <c r="J5678" s="23" t="str">
        <f>HYPERLINK("https://www.spark-marketing.ru/Card/Person/6633573", "ООО ""ССБ""")</f>
        <v>ООО "ССБ"</v>
      </c>
      <c r="K5678" s="24" t="s">
        <v>7327</v>
      </c>
      <c r="L5678" s="22" t="s">
        <v>10</v>
      </c>
      <c r="M5678" s="25">
        <v>4672321.63</v>
      </c>
      <c r="N5678" s="27">
        <v>1.5000000822182268E-2</v>
      </c>
    </row>
    <row r="5679" spans="1:14" x14ac:dyDescent="0.2">
      <c r="A5679" s="23" t="str">
        <f>HYPERLINK("https://www.spark-marketing.ru/Card/Person/554101", "ООО ""ЖКС № 1 ФРУНЗЕНСКОГО РАЙОНА""")</f>
        <v>ООО "ЖКС № 1 ФРУНЗЕНСКОГО РАЙОНА"</v>
      </c>
      <c r="B5679" s="24" t="s">
        <v>7328</v>
      </c>
      <c r="C5679" s="25">
        <v>137426</v>
      </c>
      <c r="D5679" s="22" t="s">
        <v>7329</v>
      </c>
      <c r="E5679" s="22" t="s">
        <v>691</v>
      </c>
      <c r="F5679" s="23" t="str">
        <f>HYPERLINK("https://www.spark-marketing.ru/Card/Lot/71742665", "Договор на выполнение работ по установке видеонаблюдения в жилом доме по адресу Будапештская ул. Д.4, лит. А, парадная 16")</f>
        <v>Договор на выполнение работ по установке видеонаблюдения в жилом доме по адресу Будапештская ул. Д.4, лит. А, парадная 16</v>
      </c>
      <c r="G5679" s="22" t="s">
        <v>89</v>
      </c>
      <c r="H5679" s="22" t="s">
        <v>89</v>
      </c>
      <c r="I5679" s="26">
        <v>43643.737453703703</v>
      </c>
      <c r="J5679" s="28" t="s">
        <v>52</v>
      </c>
      <c r="K5679" s="28" t="s">
        <v>52</v>
      </c>
      <c r="L5679" s="28" t="s">
        <v>52</v>
      </c>
      <c r="M5679" s="25">
        <v>137426</v>
      </c>
      <c r="N5679" s="27">
        <v>0</v>
      </c>
    </row>
    <row r="5680" spans="1:14" x14ac:dyDescent="0.15">
      <c r="A5680" s="23" t="str">
        <f>HYPERLINK("https://www.spark-marketing.ru/Card/Person/114215", "ДЕПАРТАМЕНТ КУЛЬТУРЫ АДМИНИСТРАЦИИ ГОРОДА ОМСКА")</f>
        <v>ДЕПАРТАМЕНТ КУЛЬТУРЫ АДМИНИСТРАЦИИ ГОРОДА ОМСКА</v>
      </c>
      <c r="B5680" s="24" t="s">
        <v>7330</v>
      </c>
      <c r="C5680" s="25">
        <v>600000</v>
      </c>
      <c r="D5680" s="22" t="s">
        <v>7331</v>
      </c>
      <c r="E5680" s="22" t="s">
        <v>1634</v>
      </c>
      <c r="F5680" s="23" t="str">
        <f>HYPERLINK("https://www.spark-marketing.ru/Card/Lot/71748078", "Оказание услуг по световому, звуковому и мультимедийному сопровождению мероприятия (Реестровый номер ""32.0697.19"")")</f>
        <v>Оказание услуг по световому, звуковому и мультимедийному сопровождению мероприятия (Реестровый номер "32.0697.19")</v>
      </c>
      <c r="G5680" s="22" t="s">
        <v>521</v>
      </c>
      <c r="H5680" s="22" t="s">
        <v>522</v>
      </c>
      <c r="I5680" s="26">
        <v>43643.692361111098</v>
      </c>
      <c r="J5680" s="28" t="s">
        <v>52</v>
      </c>
      <c r="K5680" s="28" t="s">
        <v>52</v>
      </c>
      <c r="L5680" s="28" t="s">
        <v>52</v>
      </c>
      <c r="M5680" s="28" t="s">
        <v>52</v>
      </c>
      <c r="N5680" s="28" t="s">
        <v>52</v>
      </c>
    </row>
    <row r="5681" spans="1:14" hidden="1" outlineLevel="1" x14ac:dyDescent="0.2">
      <c r="A5681" s="23" t="str">
        <f>HYPERLINK("https://www.spark-marketing.ru/Card/Person/114215", "ДЕПАРТАМЕНТ КУЛЬТУРЫ АДМИНИСТРАЦИИ ГОРОДА ОМСКА")</f>
        <v>ДЕПАРТАМЕНТ КУЛЬТУРЫ АДМИНИСТРАЦИИ ГОРОДА ОМСКА</v>
      </c>
      <c r="B5681" s="24" t="s">
        <v>7330</v>
      </c>
      <c r="C5681" s="25">
        <v>600000</v>
      </c>
      <c r="D5681" s="22" t="s">
        <v>7331</v>
      </c>
      <c r="E5681" s="22" t="s">
        <v>1634</v>
      </c>
      <c r="F5681" s="23" t="str">
        <f>HYPERLINK("https://www.spark-marketing.ru/Card/Lot/71748078", "Оказание услуг по световому, звуковому и мультимедийному сопровождению мероприятия (Реестровый номер ""32.0697.19"")")</f>
        <v>Оказание услуг по световому, звуковому и мультимедийному сопровождению мероприятия (Реестровый номер "32.0697.19")</v>
      </c>
      <c r="G5681" s="22" t="s">
        <v>521</v>
      </c>
      <c r="H5681" s="22" t="s">
        <v>522</v>
      </c>
      <c r="I5681" s="26">
        <v>43643.692361111098</v>
      </c>
      <c r="J5681" s="23" t="str">
        <f>HYPERLINK("https://www.spark-marketing.ru/Card/Person/5908797", "ООО ""ОЛИМП""")</f>
        <v>ООО "ОЛИМП"</v>
      </c>
      <c r="K5681" s="24" t="s">
        <v>7332</v>
      </c>
      <c r="L5681" s="28" t="s">
        <v>52</v>
      </c>
      <c r="M5681" s="25">
        <v>543000</v>
      </c>
      <c r="N5681" s="27">
        <v>9.5000000000000001E-2</v>
      </c>
    </row>
    <row r="5682" spans="1:14" ht="12.75" hidden="1" outlineLevel="1" x14ac:dyDescent="0.2">
      <c r="A5682" s="23" t="str">
        <f>HYPERLINK("https://www.spark-marketing.ru/Card/Person/114215", "ДЕПАРТАМЕНТ КУЛЬТУРЫ АДМИНИСТРАЦИИ ГОРОДА ОМСКА")</f>
        <v>ДЕПАРТАМЕНТ КУЛЬТУРЫ АДМИНИСТРАЦИИ ГОРОДА ОМСКА</v>
      </c>
      <c r="B5682" s="24" t="s">
        <v>7330</v>
      </c>
      <c r="C5682" s="25">
        <v>600000</v>
      </c>
      <c r="D5682" s="22" t="s">
        <v>7331</v>
      </c>
      <c r="E5682" s="22" t="s">
        <v>1634</v>
      </c>
      <c r="F5682" s="23" t="str">
        <f>HYPERLINK("https://www.spark-marketing.ru/Card/Lot/71748078", "Оказание услуг по световому, звуковому и мультимедийному сопровождению мероприятия (Реестровый номер ""32.0697.19"")")</f>
        <v>Оказание услуг по световому, звуковому и мультимедийному сопровождению мероприятия (Реестровый номер "32.0697.19")</v>
      </c>
      <c r="G5682" s="22" t="s">
        <v>521</v>
      </c>
      <c r="H5682" s="22" t="s">
        <v>522</v>
      </c>
      <c r="I5682" s="26">
        <v>43643.692361111098</v>
      </c>
      <c r="J5682" s="23" t="str">
        <f>HYPERLINK("https://www.spark-marketing.ru/Card/Person/444063", "ООО ""ОКТАВА""")</f>
        <v>ООО "ОКТАВА"</v>
      </c>
      <c r="K5682" s="24" t="s">
        <v>7333</v>
      </c>
      <c r="L5682" s="22" t="s">
        <v>10</v>
      </c>
      <c r="M5682" s="25">
        <v>540000</v>
      </c>
      <c r="N5682" s="27">
        <v>0.1</v>
      </c>
    </row>
    <row r="5683" spans="1:14" x14ac:dyDescent="0.15">
      <c r="A5683" s="23" t="str">
        <f>HYPERLINK("https://www.spark-marketing.ru/Card/Person/564692", "ГБПОУ ""СОМК""")</f>
        <v>ГБПОУ "СОМК"</v>
      </c>
      <c r="B5683" s="24" t="s">
        <v>1402</v>
      </c>
      <c r="C5683" s="25">
        <v>1603255.68</v>
      </c>
      <c r="D5683" s="22" t="s">
        <v>7334</v>
      </c>
      <c r="E5683" s="22" t="s">
        <v>52</v>
      </c>
      <c r="F5683" s="23" t="str">
        <f>HYPERLINK("https://www.spark-marketing.ru/Card/Lot/71749624", "Услуги охраны зданий и территорий Фармацевтического филиала ГБПОУ ""СОМК""")</f>
        <v>Услуги охраны зданий и территорий Фармацевтического филиала ГБПОУ "СОМК"</v>
      </c>
      <c r="G5683" s="22" t="s">
        <v>72</v>
      </c>
      <c r="H5683" s="22" t="s">
        <v>949</v>
      </c>
      <c r="I5683" s="26">
        <v>43643.682638888902</v>
      </c>
      <c r="J5683" s="23" t="str">
        <f>HYPERLINK("https://www.spark-marketing.ru/Card/Person/237215", "ООО ""ЧОО ""ЛЕОПАРД""")</f>
        <v>ООО "ЧОО "ЛЕОПАРД"</v>
      </c>
      <c r="K5683" s="24" t="s">
        <v>7335</v>
      </c>
      <c r="L5683" s="28" t="s">
        <v>52</v>
      </c>
      <c r="M5683" s="28" t="s">
        <v>52</v>
      </c>
      <c r="N5683" s="28" t="s">
        <v>52</v>
      </c>
    </row>
    <row r="5684" spans="1:14" ht="12.75" hidden="1" outlineLevel="1" x14ac:dyDescent="0.2">
      <c r="A5684" s="23" t="str">
        <f>HYPERLINK("https://www.spark-marketing.ru/Card/Person/564692", "ГБПОУ ""СОМК""")</f>
        <v>ГБПОУ "СОМК"</v>
      </c>
      <c r="B5684" s="24" t="s">
        <v>1402</v>
      </c>
      <c r="C5684" s="25">
        <v>1603255.68</v>
      </c>
      <c r="D5684" s="22" t="s">
        <v>7334</v>
      </c>
      <c r="E5684" s="22" t="s">
        <v>52</v>
      </c>
      <c r="F5684" s="23" t="str">
        <f>HYPERLINK("https://www.spark-marketing.ru/Card/Lot/71749624", "Услуги охраны зданий и территорий Фармацевтического филиала ГБПОУ ""СОМК""")</f>
        <v>Услуги охраны зданий и территорий Фармацевтического филиала ГБПОУ "СОМК"</v>
      </c>
      <c r="G5684" s="22" t="s">
        <v>72</v>
      </c>
      <c r="H5684" s="22" t="s">
        <v>949</v>
      </c>
      <c r="I5684" s="26">
        <v>43643.682638888902</v>
      </c>
      <c r="J5684" s="23" t="str">
        <f>HYPERLINK("https://www.spark-marketing.ru/Card/Person/237215", "ООО ""ЧОО ""ЛЕОПАРД""")</f>
        <v>ООО "ЧОО "ЛЕОПАРД"</v>
      </c>
      <c r="K5684" s="24" t="s">
        <v>7335</v>
      </c>
      <c r="L5684" s="22" t="s">
        <v>10</v>
      </c>
      <c r="M5684" s="25">
        <v>1595239.4</v>
      </c>
      <c r="N5684" s="27">
        <v>5.0000009979693323E-3</v>
      </c>
    </row>
    <row r="5685" spans="1:14" x14ac:dyDescent="0.15">
      <c r="A5685" s="23" t="str">
        <f>HYPERLINK("https://www.spark-marketing.ru/Card/Person/4348528", "АО ИК ""АСЭ""")</f>
        <v>АО ИК "АСЭ"</v>
      </c>
      <c r="B5685" s="24" t="s">
        <v>62</v>
      </c>
      <c r="C5685" s="25">
        <v>131498</v>
      </c>
      <c r="D5685" s="22" t="s">
        <v>7336</v>
      </c>
      <c r="E5685" s="22" t="s">
        <v>370</v>
      </c>
      <c r="F5685" s="23" t="str">
        <f>HYPERLINK("https://www.spark-marketing.ru/Card/Lot/71739471", "Техническое обслуживание систем видеонаблюдения и СКУД")</f>
        <v>Техническое обслуживание систем видеонаблюдения и СКУД</v>
      </c>
      <c r="G5685" s="22" t="s">
        <v>64</v>
      </c>
      <c r="H5685" s="22" t="s">
        <v>65</v>
      </c>
      <c r="I5685" s="26">
        <v>43643.674108796302</v>
      </c>
      <c r="J5685" s="28" t="s">
        <v>52</v>
      </c>
      <c r="K5685" s="28" t="s">
        <v>52</v>
      </c>
      <c r="L5685" s="28" t="s">
        <v>52</v>
      </c>
      <c r="M5685" s="28" t="s">
        <v>52</v>
      </c>
      <c r="N5685" s="28" t="s">
        <v>52</v>
      </c>
    </row>
    <row r="5686" spans="1:14" x14ac:dyDescent="0.2">
      <c r="A5686" s="23" t="str">
        <f>HYPERLINK("https://www.spark-marketing.ru/Card/Person/10487", "ФГУП ""ОХРАНА"" РОСГВАРДИИ")</f>
        <v>ФГУП "ОХРАНА" РОСГВАРДИИ</v>
      </c>
      <c r="B5686" s="24" t="s">
        <v>779</v>
      </c>
      <c r="C5686" s="25">
        <v>101780.1</v>
      </c>
      <c r="D5686" s="22" t="s">
        <v>7337</v>
      </c>
      <c r="E5686" s="22" t="s">
        <v>1419</v>
      </c>
      <c r="F5686" s="23" t="str">
        <f>HYPERLINK("https://www.spark-marketing.ru/Card/Lot/71735829", "Поставка ультразвукового отпугивателя для нужд Управления по Дальневосточному Федеральному округу Центра охраны объектов промышленности")</f>
        <v>Поставка ультразвукового отпугивателя для нужд Управления по Дальневосточному Федеральному округу Центра охраны объектов промышленности</v>
      </c>
      <c r="G5686" s="22" t="s">
        <v>409</v>
      </c>
      <c r="H5686" s="22" t="s">
        <v>409</v>
      </c>
      <c r="I5686" s="26">
        <v>43643.629953703698</v>
      </c>
      <c r="J5686" s="28" t="s">
        <v>52</v>
      </c>
      <c r="K5686" s="28" t="s">
        <v>52</v>
      </c>
      <c r="L5686" s="22" t="s">
        <v>10</v>
      </c>
      <c r="M5686" s="25">
        <v>101700</v>
      </c>
      <c r="N5686" s="27">
        <v>7.8699077717549898E-4</v>
      </c>
    </row>
    <row r="5687" spans="1:14" x14ac:dyDescent="0.2">
      <c r="A5687" s="23" t="str">
        <f>HYPERLINK("https://www.spark-marketing.ru/Card/Person/3752", "ПНИПУ, ФГБОУ ВО ""ПЕРМСКИЙ НАЦИОНАЛЬНЫЙ ИССЛЕДОВАТЕЛЬСКИЙ ПОЛИТЕХНИЧЕСКИЙ УНИВЕРСИТЕТ"", ФГБОУ ВО ""ПНИПУ""")</f>
        <v>ПНИПУ, ФГБОУ ВО "ПЕРМСКИЙ НАЦИОНАЛЬНЫЙ ИССЛЕДОВАТЕЛЬСКИЙ ПОЛИТЕХНИЧЕСКИЙ УНИВЕРСИТЕТ", ФГБОУ ВО "ПНИПУ"</v>
      </c>
      <c r="B5687" s="24" t="s">
        <v>3768</v>
      </c>
      <c r="C5687" s="25">
        <v>126000</v>
      </c>
      <c r="D5687" s="22" t="s">
        <v>7338</v>
      </c>
      <c r="E5687" s="22" t="s">
        <v>137</v>
      </c>
      <c r="F5687" s="23" t="str">
        <f>HYPERLINK("https://www.spark-marketing.ru/Card/Lot/71731622", "Техническое обслуживание системы видеонаблюдения БФ ПНИПУ")</f>
        <v>Техническое обслуживание системы видеонаблюдения БФ ПНИПУ</v>
      </c>
      <c r="G5687" s="22" t="s">
        <v>391</v>
      </c>
      <c r="H5687" s="22" t="s">
        <v>391</v>
      </c>
      <c r="I5687" s="26">
        <v>43643.629201388903</v>
      </c>
      <c r="J5687" s="23" t="str">
        <f>HYPERLINK("https://www.spark-marketing.ru/Card/Person/60648", "ООО ОП ""АЛЬФА-БЕРЕЗНИКИ""")</f>
        <v>ООО ОП "АЛЬФА-БЕРЕЗНИКИ"</v>
      </c>
      <c r="K5687" s="24" t="s">
        <v>7207</v>
      </c>
      <c r="L5687" s="28" t="s">
        <v>52</v>
      </c>
      <c r="M5687" s="25">
        <v>126000</v>
      </c>
      <c r="N5687" s="27">
        <v>0</v>
      </c>
    </row>
    <row r="5688" spans="1:14" x14ac:dyDescent="0.15">
      <c r="A5688" s="23" t="str">
        <f>HYPERLINK("https://www.spark-marketing.ru/Card/Person/29268", "ФКУ УПРДОР ""СЕВЕРО-ЗАПАД""")</f>
        <v>ФКУ УПРДОР "СЕВЕРО-ЗАПАД"</v>
      </c>
      <c r="B5688" s="24" t="s">
        <v>3513</v>
      </c>
      <c r="C5688" s="25">
        <v>672450733</v>
      </c>
      <c r="D5688" s="22" t="s">
        <v>7339</v>
      </c>
      <c r="E5688" s="22" t="s">
        <v>723</v>
      </c>
      <c r="F5688" s="23" t="str">
        <f>HYPERLINK("https://www.spark-marketing.ru/Card/Lot/71750939", "Лот № 99: Выполнение работ по оснащению категорированных объектов Кольцевой автомобильной дороги вокруг города Санкт-Петербург (А-118) средствами обеспечения транспортной безопасности в рамках расходов на оснащение объектов дорожного хозяйства инжене...")</f>
        <v>Лот № 99: Выполнение работ по оснащению категорированных объектов Кольцевой автомобильной дороги вокруг города Санкт-Петербург (А-118) средствами обеспечения транспортной безопасности в рамках расходов на оснащение объектов дорожного хозяйства инжене...</v>
      </c>
      <c r="G5688" s="22" t="s">
        <v>89</v>
      </c>
      <c r="H5688" s="22" t="s">
        <v>89</v>
      </c>
      <c r="I5688" s="26">
        <v>43643.664583333302</v>
      </c>
      <c r="J5688" s="28" t="s">
        <v>52</v>
      </c>
      <c r="K5688" s="28" t="s">
        <v>52</v>
      </c>
      <c r="L5688" s="28" t="s">
        <v>52</v>
      </c>
      <c r="M5688" s="28" t="s">
        <v>52</v>
      </c>
      <c r="N5688" s="28" t="s">
        <v>52</v>
      </c>
    </row>
    <row r="5689" spans="1:14" x14ac:dyDescent="0.15">
      <c r="A5689" s="23" t="str">
        <f>HYPERLINK("https://www.spark-marketing.ru/Card/Person/29268", "ФКУ УПРДОР ""СЕВЕРО-ЗАПАД""")</f>
        <v>ФКУ УПРДОР "СЕВЕРО-ЗАПАД"</v>
      </c>
      <c r="B5689" s="24" t="s">
        <v>3513</v>
      </c>
      <c r="C5689" s="25">
        <v>707382251</v>
      </c>
      <c r="D5689" s="22" t="s">
        <v>7340</v>
      </c>
      <c r="E5689" s="22" t="s">
        <v>723</v>
      </c>
      <c r="F5689" s="23" t="str">
        <f>HYPERLINK("https://www.spark-marketing.ru/Card/Lot/71750940", "Лот № 98: Выполнение работ по оснащению категорированных объектов Кольцевой автомобильной дороги вокруг города Санкт-Петербург (А-118) средствами обеспечения транспортной безопасности в рамках расходов на оснащение объектов дорожного хозяйства инжене...")</f>
        <v>Лот № 98: Выполнение работ по оснащению категорированных объектов Кольцевой автомобильной дороги вокруг города Санкт-Петербург (А-118) средствами обеспечения транспортной безопасности в рамках расходов на оснащение объектов дорожного хозяйства инжене...</v>
      </c>
      <c r="G5689" s="22" t="s">
        <v>89</v>
      </c>
      <c r="H5689" s="22" t="s">
        <v>89</v>
      </c>
      <c r="I5689" s="26">
        <v>43643.652083333298</v>
      </c>
      <c r="J5689" s="28" t="s">
        <v>52</v>
      </c>
      <c r="K5689" s="28" t="s">
        <v>52</v>
      </c>
      <c r="L5689" s="28" t="s">
        <v>52</v>
      </c>
      <c r="M5689" s="28" t="s">
        <v>52</v>
      </c>
      <c r="N5689" s="28" t="s">
        <v>52</v>
      </c>
    </row>
    <row r="5690" spans="1:14" x14ac:dyDescent="0.15">
      <c r="A5690" s="23" t="str">
        <f t="shared" ref="A5690:A5695" si="241">HYPERLINK("https://www.spark-marketing.ru/Card/Person/6516614", "ГБУЗ ЯО ""ЯРОСЛАВСКАЯ ОБЛАСТНАЯ КЛИНИЧЕСКАЯ ТУБЕРКУЛЕЗНАЯ БОЛЬНИЦА""")</f>
        <v>ГБУЗ ЯО "ЯРОСЛАВСКАЯ ОБЛАСТНАЯ КЛИНИЧЕСКАЯ ТУБЕРКУЛЕЗНАЯ БОЛЬНИЦА"</v>
      </c>
      <c r="B5690" s="24" t="s">
        <v>7341</v>
      </c>
      <c r="C5690" s="25">
        <v>800000</v>
      </c>
      <c r="D5690" s="22" t="s">
        <v>7342</v>
      </c>
      <c r="E5690" s="22" t="s">
        <v>59</v>
      </c>
      <c r="F5690" s="23" t="str">
        <f t="shared" ref="F5690:F5695" si="242">HYPERLINK("https://www.spark-marketing.ru/Card/Lot/71748610", "Выполнение работ по монтажу системы внутреннего и наружного видеонаблюдения в первом отделении и на территории ГБУЗ ЯО «Ярославская областная клиническая туберкулезная больница» по адресу: Ярославская область, Некрасовский район, поселок Сосновый Бор...")</f>
        <v>Выполнение работ по монтажу системы внутреннего и наружного видеонаблюдения в первом отделении и на территории ГБУЗ ЯО «Ярославская областная клиническая туберкулезная больница» по адресу: Ярославская область, Некрасовский район, поселок Сосновый Бор...</v>
      </c>
      <c r="G5690" s="22" t="s">
        <v>155</v>
      </c>
      <c r="H5690" s="22" t="s">
        <v>156</v>
      </c>
      <c r="I5690" s="26">
        <v>43643.640972222202</v>
      </c>
      <c r="J5690" s="28" t="s">
        <v>52</v>
      </c>
      <c r="K5690" s="28" t="s">
        <v>52</v>
      </c>
      <c r="L5690" s="28" t="s">
        <v>52</v>
      </c>
      <c r="M5690" s="28" t="s">
        <v>52</v>
      </c>
      <c r="N5690" s="28" t="s">
        <v>52</v>
      </c>
    </row>
    <row r="5691" spans="1:14" hidden="1" outlineLevel="1" x14ac:dyDescent="0.2">
      <c r="A5691" s="23" t="str">
        <f t="shared" si="241"/>
        <v>ГБУЗ ЯО "ЯРОСЛАВСКАЯ ОБЛАСТНАЯ КЛИНИЧЕСКАЯ ТУБЕРКУЛЕЗНАЯ БОЛЬНИЦА"</v>
      </c>
      <c r="B5691" s="24" t="s">
        <v>7341</v>
      </c>
      <c r="C5691" s="25">
        <v>800000</v>
      </c>
      <c r="D5691" s="22" t="s">
        <v>7342</v>
      </c>
      <c r="E5691" s="22" t="s">
        <v>59</v>
      </c>
      <c r="F5691" s="23" t="str">
        <f t="shared" si="242"/>
        <v>Выполнение работ по монтажу системы внутреннего и наружного видеонаблюдения в первом отделении и на территории ГБУЗ ЯО «Ярославская областная клиническая туберкулезная больница» по адресу: Ярославская область, Некрасовский район, поселок Сосновый Бор...</v>
      </c>
      <c r="G5691" s="22" t="s">
        <v>155</v>
      </c>
      <c r="H5691" s="22" t="s">
        <v>156</v>
      </c>
      <c r="I5691" s="26">
        <v>43643.640972222202</v>
      </c>
      <c r="J5691" s="23" t="str">
        <f>HYPERLINK("https://www.spark-marketing.ru/Card/Person/2584595", "ООО ""НТЦ ""КОМПЛЕКСНАЯ БЕЗОПАСНОСТЬ""")</f>
        <v>ООО "НТЦ "КОМПЛЕКСНАЯ БЕЗОПАСНОСТЬ"</v>
      </c>
      <c r="K5691" s="24" t="s">
        <v>7343</v>
      </c>
      <c r="L5691" s="28" t="s">
        <v>52</v>
      </c>
      <c r="M5691" s="25">
        <v>357000</v>
      </c>
      <c r="N5691" s="27">
        <v>0.55374999999999996</v>
      </c>
    </row>
    <row r="5692" spans="1:14" hidden="1" outlineLevel="1" x14ac:dyDescent="0.2">
      <c r="A5692" s="23" t="str">
        <f t="shared" si="241"/>
        <v>ГБУЗ ЯО "ЯРОСЛАВСКАЯ ОБЛАСТНАЯ КЛИНИЧЕСКАЯ ТУБЕРКУЛЕЗНАЯ БОЛЬНИЦА"</v>
      </c>
      <c r="B5692" s="24" t="s">
        <v>7341</v>
      </c>
      <c r="C5692" s="25">
        <v>800000</v>
      </c>
      <c r="D5692" s="22" t="s">
        <v>7342</v>
      </c>
      <c r="E5692" s="22" t="s">
        <v>59</v>
      </c>
      <c r="F5692" s="23" t="str">
        <f t="shared" si="242"/>
        <v>Выполнение работ по монтажу системы внутреннего и наружного видеонаблюдения в первом отделении и на территории ГБУЗ ЯО «Ярославская областная клиническая туберкулезная больница» по адресу: Ярославская область, Некрасовский район, поселок Сосновый Бор...</v>
      </c>
      <c r="G5692" s="22" t="s">
        <v>155</v>
      </c>
      <c r="H5692" s="22" t="s">
        <v>156</v>
      </c>
      <c r="I5692" s="26">
        <v>43643.640972222202</v>
      </c>
      <c r="J5692" s="23" t="str">
        <f>HYPERLINK("https://www.spark-marketing.ru/Card/Person/4444100", "ООО ""ЭНЕРГОКОНТРОЛЬ""")</f>
        <v>ООО "ЭНЕРГОКОНТРОЛЬ"</v>
      </c>
      <c r="K5692" s="24" t="s">
        <v>7344</v>
      </c>
      <c r="L5692" s="28" t="s">
        <v>52</v>
      </c>
      <c r="M5692" s="25">
        <v>397000</v>
      </c>
      <c r="N5692" s="27">
        <v>0.50375000000000003</v>
      </c>
    </row>
    <row r="5693" spans="1:14" hidden="1" outlineLevel="1" x14ac:dyDescent="0.2">
      <c r="A5693" s="23" t="str">
        <f t="shared" si="241"/>
        <v>ГБУЗ ЯО "ЯРОСЛАВСКАЯ ОБЛАСТНАЯ КЛИНИЧЕСКАЯ ТУБЕРКУЛЕЗНАЯ БОЛЬНИЦА"</v>
      </c>
      <c r="B5693" s="24" t="s">
        <v>7341</v>
      </c>
      <c r="C5693" s="25">
        <v>800000</v>
      </c>
      <c r="D5693" s="22" t="s">
        <v>7342</v>
      </c>
      <c r="E5693" s="22" t="s">
        <v>59</v>
      </c>
      <c r="F5693" s="23" t="str">
        <f t="shared" si="242"/>
        <v>Выполнение работ по монтажу системы внутреннего и наружного видеонаблюдения в первом отделении и на территории ГБУЗ ЯО «Ярославская областная клиническая туберкулезная больница» по адресу: Ярославская область, Некрасовский район, поселок Сосновый Бор...</v>
      </c>
      <c r="G5693" s="22" t="s">
        <v>155</v>
      </c>
      <c r="H5693" s="22" t="s">
        <v>156</v>
      </c>
      <c r="I5693" s="26">
        <v>43643.640972222202</v>
      </c>
      <c r="J5693" s="23" t="str">
        <f>HYPERLINK("https://www.spark-marketing.ru/Card/Person/6435722", "ООО ""СОТАСОТ""")</f>
        <v>ООО "СОТАСОТ"</v>
      </c>
      <c r="K5693" s="24" t="s">
        <v>7345</v>
      </c>
      <c r="L5693" s="28" t="s">
        <v>52</v>
      </c>
      <c r="M5693" s="25">
        <v>401000</v>
      </c>
      <c r="N5693" s="27">
        <v>0.49875000000000003</v>
      </c>
    </row>
    <row r="5694" spans="1:14" hidden="1" outlineLevel="1" x14ac:dyDescent="0.2">
      <c r="A5694" s="23" t="str">
        <f t="shared" si="241"/>
        <v>ГБУЗ ЯО "ЯРОСЛАВСКАЯ ОБЛАСТНАЯ КЛИНИЧЕСКАЯ ТУБЕРКУЛЕЗНАЯ БОЛЬНИЦА"</v>
      </c>
      <c r="B5694" s="24" t="s">
        <v>7341</v>
      </c>
      <c r="C5694" s="25">
        <v>800000</v>
      </c>
      <c r="D5694" s="22" t="s">
        <v>7342</v>
      </c>
      <c r="E5694" s="22" t="s">
        <v>59</v>
      </c>
      <c r="F5694" s="23" t="str">
        <f t="shared" si="242"/>
        <v>Выполнение работ по монтажу системы внутреннего и наружного видеонаблюдения в первом отделении и на территории ГБУЗ ЯО «Ярославская областная клиническая туберкулезная больница» по адресу: Ярославская область, Некрасовский район, поселок Сосновый Бор...</v>
      </c>
      <c r="G5694" s="22" t="s">
        <v>155</v>
      </c>
      <c r="H5694" s="22" t="s">
        <v>156</v>
      </c>
      <c r="I5694" s="26">
        <v>43643.640972222202</v>
      </c>
      <c r="J5694" s="23" t="str">
        <f>HYPERLINK("https://www.spark-marketing.ru/Card/Person/58790", "ООО ""СИНТО""")</f>
        <v>ООО "СИНТО"</v>
      </c>
      <c r="K5694" s="24" t="s">
        <v>7346</v>
      </c>
      <c r="L5694" s="28" t="s">
        <v>52</v>
      </c>
      <c r="M5694" s="25">
        <v>533000</v>
      </c>
      <c r="N5694" s="27">
        <v>0.33374999999999999</v>
      </c>
    </row>
    <row r="5695" spans="1:14" ht="12.75" hidden="1" outlineLevel="1" x14ac:dyDescent="0.2">
      <c r="A5695" s="23" t="str">
        <f t="shared" si="241"/>
        <v>ГБУЗ ЯО "ЯРОСЛАВСКАЯ ОБЛАСТНАЯ КЛИНИЧЕСКАЯ ТУБЕРКУЛЕЗНАЯ БОЛЬНИЦА"</v>
      </c>
      <c r="B5695" s="24" t="s">
        <v>7341</v>
      </c>
      <c r="C5695" s="25">
        <v>800000</v>
      </c>
      <c r="D5695" s="22" t="s">
        <v>7342</v>
      </c>
      <c r="E5695" s="22" t="s">
        <v>59</v>
      </c>
      <c r="F5695" s="23" t="str">
        <f t="shared" si="242"/>
        <v>Выполнение работ по монтажу системы внутреннего и наружного видеонаблюдения в первом отделении и на территории ГБУЗ ЯО «Ярославская областная клиническая туберкулезная больница» по адресу: Ярославская область, Некрасовский район, поселок Сосновый Бор...</v>
      </c>
      <c r="G5695" s="22" t="s">
        <v>155</v>
      </c>
      <c r="H5695" s="22" t="s">
        <v>156</v>
      </c>
      <c r="I5695" s="26">
        <v>43643.640972222202</v>
      </c>
      <c r="J5695" s="23" t="str">
        <f>HYPERLINK("https://www.spark-marketing.ru/Card/Person/583726", "Земсков Евгений Юрьевич")</f>
        <v>Земсков Евгений Юрьевич</v>
      </c>
      <c r="K5695" s="24" t="s">
        <v>7347</v>
      </c>
      <c r="L5695" s="22" t="s">
        <v>10</v>
      </c>
      <c r="M5695" s="25">
        <v>353000</v>
      </c>
      <c r="N5695" s="27">
        <v>0.55874999999999997</v>
      </c>
    </row>
    <row r="5696" spans="1:14" x14ac:dyDescent="0.15">
      <c r="A5696" s="23" t="str">
        <f>HYPERLINK("https://www.spark-marketing.ru/Card/Person/1072274", "МБУ ""ЦДДМ ""СОВРЕМЕННИК""")</f>
        <v>МБУ "ЦДДМ "СОВРЕМЕННИК"</v>
      </c>
      <c r="B5696" s="24" t="s">
        <v>7348</v>
      </c>
      <c r="C5696" s="25">
        <v>96000</v>
      </c>
      <c r="D5696" s="22" t="s">
        <v>7349</v>
      </c>
      <c r="E5696" s="22" t="s">
        <v>103</v>
      </c>
      <c r="F5696" s="23" t="str">
        <f>HYPERLINK("https://www.spark-marketing.ru/Card/Lot/71743676", "Оказание услуг по техническому обслуживанию системы видеонаблюдения на объектах МБУ ""ЦДДМ ""Современник""")</f>
        <v>Оказание услуг по техническому обслуживанию системы видеонаблюдения на объектах МБУ "ЦДДМ "Современник"</v>
      </c>
      <c r="G5696" s="22" t="s">
        <v>311</v>
      </c>
      <c r="H5696" s="22" t="s">
        <v>7350</v>
      </c>
      <c r="I5696" s="26">
        <v>43643.664583333302</v>
      </c>
      <c r="J5696" s="28" t="s">
        <v>52</v>
      </c>
      <c r="K5696" s="28" t="s">
        <v>52</v>
      </c>
      <c r="L5696" s="28" t="s">
        <v>52</v>
      </c>
      <c r="M5696" s="28" t="s">
        <v>52</v>
      </c>
      <c r="N5696" s="28" t="s">
        <v>52</v>
      </c>
    </row>
    <row r="5697" spans="1:14" hidden="1" outlineLevel="1" x14ac:dyDescent="0.2">
      <c r="A5697" s="23" t="str">
        <f>HYPERLINK("https://www.spark-marketing.ru/Card/Person/1072274", "МБУ ""ЦДДМ ""СОВРЕМЕННИК""")</f>
        <v>МБУ "ЦДДМ "СОВРЕМЕННИК"</v>
      </c>
      <c r="B5697" s="24" t="s">
        <v>7348</v>
      </c>
      <c r="C5697" s="25">
        <v>96000</v>
      </c>
      <c r="D5697" s="22" t="s">
        <v>7349</v>
      </c>
      <c r="E5697" s="22" t="s">
        <v>103</v>
      </c>
      <c r="F5697" s="23" t="str">
        <f>HYPERLINK("https://www.spark-marketing.ru/Card/Lot/71743676", "Оказание услуг по техническому обслуживанию системы видеонаблюдения на объектах МБУ ""ЦДДМ ""Современник""")</f>
        <v>Оказание услуг по техническому обслуживанию системы видеонаблюдения на объектах МБУ "ЦДДМ "Современник"</v>
      </c>
      <c r="G5697" s="22" t="s">
        <v>311</v>
      </c>
      <c r="H5697" s="22" t="s">
        <v>7350</v>
      </c>
      <c r="I5697" s="26">
        <v>43643.664583333302</v>
      </c>
      <c r="J5697" s="23" t="str">
        <f>HYPERLINK("https://www.spark-marketing.ru/Card/Person/4727188", "ООО ""КОМПЛЕКТМОНТАЖ""")</f>
        <v>ООО "КОМПЛЕКТМОНТАЖ"</v>
      </c>
      <c r="K5697" s="24" t="s">
        <v>7351</v>
      </c>
      <c r="L5697" s="28" t="s">
        <v>52</v>
      </c>
      <c r="M5697" s="25">
        <v>50440</v>
      </c>
      <c r="N5697" s="27">
        <v>0.47458333333333336</v>
      </c>
    </row>
    <row r="5698" spans="1:14" hidden="1" outlineLevel="1" x14ac:dyDescent="0.2">
      <c r="A5698" s="23" t="str">
        <f>HYPERLINK("https://www.spark-marketing.ru/Card/Person/1072274", "МБУ ""ЦДДМ ""СОВРЕМЕННИК""")</f>
        <v>МБУ "ЦДДМ "СОВРЕМЕННИК"</v>
      </c>
      <c r="B5698" s="24" t="s">
        <v>7348</v>
      </c>
      <c r="C5698" s="25">
        <v>96000</v>
      </c>
      <c r="D5698" s="22" t="s">
        <v>7349</v>
      </c>
      <c r="E5698" s="22" t="s">
        <v>103</v>
      </c>
      <c r="F5698" s="23" t="str">
        <f>HYPERLINK("https://www.spark-marketing.ru/Card/Lot/71743676", "Оказание услуг по техническому обслуживанию системы видеонаблюдения на объектах МБУ ""ЦДДМ ""Современник""")</f>
        <v>Оказание услуг по техническому обслуживанию системы видеонаблюдения на объектах МБУ "ЦДДМ "Современник"</v>
      </c>
      <c r="G5698" s="22" t="s">
        <v>311</v>
      </c>
      <c r="H5698" s="22" t="s">
        <v>7350</v>
      </c>
      <c r="I5698" s="26">
        <v>43643.664583333302</v>
      </c>
      <c r="J5698" s="23" t="str">
        <f>HYPERLINK("https://www.spark-marketing.ru/Card/Person/6346755", "Журавель Виталий Андреевич")</f>
        <v>Журавель Виталий Андреевич</v>
      </c>
      <c r="K5698" s="24" t="s">
        <v>7352</v>
      </c>
      <c r="L5698" s="28" t="s">
        <v>52</v>
      </c>
      <c r="M5698" s="25">
        <v>10000</v>
      </c>
      <c r="N5698" s="27">
        <v>0.89583333333333337</v>
      </c>
    </row>
    <row r="5699" spans="1:14" hidden="1" outlineLevel="1" x14ac:dyDescent="0.2">
      <c r="A5699" s="23" t="str">
        <f>HYPERLINK("https://www.spark-marketing.ru/Card/Person/1072274", "МБУ ""ЦДДМ ""СОВРЕМЕННИК""")</f>
        <v>МБУ "ЦДДМ "СОВРЕМЕННИК"</v>
      </c>
      <c r="B5699" s="24" t="s">
        <v>7348</v>
      </c>
      <c r="C5699" s="25">
        <v>96000</v>
      </c>
      <c r="D5699" s="22" t="s">
        <v>7349</v>
      </c>
      <c r="E5699" s="22" t="s">
        <v>103</v>
      </c>
      <c r="F5699" s="23" t="str">
        <f>HYPERLINK("https://www.spark-marketing.ru/Card/Lot/71743676", "Оказание услуг по техническому обслуживанию системы видеонаблюдения на объектах МБУ ""ЦДДМ ""Современник""")</f>
        <v>Оказание услуг по техническому обслуживанию системы видеонаблюдения на объектах МБУ "ЦДДМ "Современник"</v>
      </c>
      <c r="G5699" s="22" t="s">
        <v>311</v>
      </c>
      <c r="H5699" s="22" t="s">
        <v>7350</v>
      </c>
      <c r="I5699" s="26">
        <v>43643.664583333302</v>
      </c>
      <c r="J5699" s="23" t="str">
        <f>HYPERLINK("https://www.spark-marketing.ru/Card/Person/973950", "ООО ""ЭЛЕКТРОСВЯЗЬМОНТАЖ""")</f>
        <v>ООО "ЭЛЕКТРОСВЯЗЬМОНТАЖ"</v>
      </c>
      <c r="K5699" s="24" t="s">
        <v>7353</v>
      </c>
      <c r="L5699" s="28" t="s">
        <v>52</v>
      </c>
      <c r="M5699" s="25">
        <v>95520</v>
      </c>
      <c r="N5699" s="27">
        <v>5.0000000000000001E-3</v>
      </c>
    </row>
    <row r="5700" spans="1:14" ht="12.75" hidden="1" outlineLevel="1" x14ac:dyDescent="0.2">
      <c r="A5700" s="23" t="str">
        <f>HYPERLINK("https://www.spark-marketing.ru/Card/Person/1072274", "МБУ ""ЦДДМ ""СОВРЕМЕННИК""")</f>
        <v>МБУ "ЦДДМ "СОВРЕМЕННИК"</v>
      </c>
      <c r="B5700" s="24" t="s">
        <v>7348</v>
      </c>
      <c r="C5700" s="25">
        <v>96000</v>
      </c>
      <c r="D5700" s="22" t="s">
        <v>7349</v>
      </c>
      <c r="E5700" s="22" t="s">
        <v>103</v>
      </c>
      <c r="F5700" s="23" t="str">
        <f>HYPERLINK("https://www.spark-marketing.ru/Card/Lot/71743676", "Оказание услуг по техническому обслуживанию системы видеонаблюдения на объектах МБУ ""ЦДДМ ""Современник""")</f>
        <v>Оказание услуг по техническому обслуживанию системы видеонаблюдения на объектах МБУ "ЦДДМ "Современник"</v>
      </c>
      <c r="G5700" s="22" t="s">
        <v>311</v>
      </c>
      <c r="H5700" s="22" t="s">
        <v>7350</v>
      </c>
      <c r="I5700" s="26">
        <v>43643.664583333302</v>
      </c>
      <c r="J5700" s="23" t="str">
        <f>HYPERLINK("https://www.spark-marketing.ru/Card/Person/4353746", "ООО ""ЯМАЛПОЖБЕЗОПАСНОСТЬ""")</f>
        <v>ООО "ЯМАЛПОЖБЕЗОПАСНОСТЬ"</v>
      </c>
      <c r="K5700" s="24" t="s">
        <v>7354</v>
      </c>
      <c r="L5700" s="22" t="s">
        <v>10</v>
      </c>
      <c r="M5700" s="25">
        <v>9520</v>
      </c>
      <c r="N5700" s="27">
        <v>0.90083333333333337</v>
      </c>
    </row>
    <row r="5701" spans="1:14" x14ac:dyDescent="0.15">
      <c r="A5701" s="23" t="str">
        <f>HYPERLINK("https://www.spark-marketing.ru/Card/Person/10487", "ФГУП ""ОХРАНА"" РОСГВАРДИИ")</f>
        <v>ФГУП "ОХРАНА" РОСГВАРДИИ</v>
      </c>
      <c r="B5701" s="24" t="s">
        <v>779</v>
      </c>
      <c r="C5701" s="25">
        <v>477403.36</v>
      </c>
      <c r="D5701" s="22" t="s">
        <v>7355</v>
      </c>
      <c r="E5701" s="22" t="s">
        <v>1149</v>
      </c>
      <c r="F5701" s="23" t="str">
        <f>HYPERLINK("https://www.spark-marketing.ru/Card/Lot/71735271", "Поставка офисной техники для нужд Управления по Северо-Западному Федеральному округу Центра охраны объектов промышленности")</f>
        <v>Поставка офисной техники для нужд Управления по Северо-Западному Федеральному округу Центра охраны объектов промышленности</v>
      </c>
      <c r="G5701" s="22" t="s">
        <v>89</v>
      </c>
      <c r="H5701" s="22" t="s">
        <v>89</v>
      </c>
      <c r="I5701" s="26">
        <v>43643.612488425897</v>
      </c>
      <c r="J5701" s="28" t="s">
        <v>52</v>
      </c>
      <c r="K5701" s="28" t="s">
        <v>52</v>
      </c>
      <c r="L5701" s="28" t="s">
        <v>52</v>
      </c>
      <c r="M5701" s="28" t="s">
        <v>52</v>
      </c>
      <c r="N5701" s="28" t="s">
        <v>52</v>
      </c>
    </row>
    <row r="5702" spans="1:14" x14ac:dyDescent="0.15">
      <c r="A5702" s="23" t="str">
        <f>HYPERLINK("https://www.spark-marketing.ru/Card/Person/60382", "АДМИНИСТРАЦИЯ ТАИЦКОГО ГОРОДСКОГО ПОСЕЛЕНИЯ")</f>
        <v>АДМИНИСТРАЦИЯ ТАИЦКОГО ГОРОДСКОГО ПОСЕЛЕНИЯ</v>
      </c>
      <c r="B5702" s="24" t="s">
        <v>7356</v>
      </c>
      <c r="C5702" s="25">
        <v>70000</v>
      </c>
      <c r="D5702" s="22" t="s">
        <v>7357</v>
      </c>
      <c r="E5702" s="22" t="s">
        <v>84</v>
      </c>
      <c r="F5702" s="23" t="str">
        <f>HYPERLINK("https://www.spark-marketing.ru/Card/Lot/71741947", "На заключение муниципального контракта на выполнение работ по установке системы видеонаблюдения в здании администрации для обеспечения муниципальных нужд")</f>
        <v>На заключение муниципального контракта на выполнение работ по установке системы видеонаблюдения в здании администрации для обеспечения муниципальных нужд</v>
      </c>
      <c r="G5702" s="22" t="s">
        <v>861</v>
      </c>
      <c r="H5702" s="22" t="s">
        <v>6896</v>
      </c>
      <c r="I5702" s="26">
        <v>43643.616666666698</v>
      </c>
      <c r="J5702" s="28" t="s">
        <v>52</v>
      </c>
      <c r="K5702" s="28" t="s">
        <v>52</v>
      </c>
      <c r="L5702" s="28" t="s">
        <v>52</v>
      </c>
      <c r="M5702" s="28" t="s">
        <v>52</v>
      </c>
      <c r="N5702" s="28" t="s">
        <v>52</v>
      </c>
    </row>
    <row r="5703" spans="1:14" ht="12.75" hidden="1" outlineLevel="1" x14ac:dyDescent="0.2">
      <c r="A5703" s="23" t="str">
        <f>HYPERLINK("https://www.spark-marketing.ru/Card/Person/60382", "АДМИНИСТРАЦИЯ ТАИЦКОГО ГОРОДСКОГО ПОСЕЛЕНИЯ")</f>
        <v>АДМИНИСТРАЦИЯ ТАИЦКОГО ГОРОДСКОГО ПОСЕЛЕНИЯ</v>
      </c>
      <c r="B5703" s="24" t="s">
        <v>7356</v>
      </c>
      <c r="C5703" s="25">
        <v>70000</v>
      </c>
      <c r="D5703" s="22" t="s">
        <v>7357</v>
      </c>
      <c r="E5703" s="22" t="s">
        <v>84</v>
      </c>
      <c r="F5703" s="23" t="str">
        <f>HYPERLINK("https://www.spark-marketing.ru/Card/Lot/71741947", "На заключение муниципального контракта на выполнение работ по установке системы видеонаблюдения в здании администрации для обеспечения муниципальных нужд")</f>
        <v>На заключение муниципального контракта на выполнение работ по установке системы видеонаблюдения в здании администрации для обеспечения муниципальных нужд</v>
      </c>
      <c r="G5703" s="22" t="s">
        <v>861</v>
      </c>
      <c r="H5703" s="22" t="s">
        <v>6896</v>
      </c>
      <c r="I5703" s="26">
        <v>43643.616666666698</v>
      </c>
      <c r="J5703" s="23" t="str">
        <f>HYPERLINK("https://www.spark-marketing.ru/Card/Person/399751", "ООО ""САКСЭС""")</f>
        <v>ООО "САКСЭС"</v>
      </c>
      <c r="K5703" s="24" t="s">
        <v>7358</v>
      </c>
      <c r="L5703" s="22" t="s">
        <v>10</v>
      </c>
      <c r="M5703" s="25">
        <v>65000</v>
      </c>
      <c r="N5703" s="27">
        <v>7.1428571428571425E-2</v>
      </c>
    </row>
    <row r="5704" spans="1:14" hidden="1" outlineLevel="1" x14ac:dyDescent="0.2">
      <c r="A5704" s="23" t="str">
        <f>HYPERLINK("https://www.spark-marketing.ru/Card/Person/60382", "АДМИНИСТРАЦИЯ ТАИЦКОГО ГОРОДСКОГО ПОСЕЛЕНИЯ")</f>
        <v>АДМИНИСТРАЦИЯ ТАИЦКОГО ГОРОДСКОГО ПОСЕЛЕНИЯ</v>
      </c>
      <c r="B5704" s="24" t="s">
        <v>7356</v>
      </c>
      <c r="C5704" s="25">
        <v>70000</v>
      </c>
      <c r="D5704" s="22" t="s">
        <v>7357</v>
      </c>
      <c r="E5704" s="22" t="s">
        <v>84</v>
      </c>
      <c r="F5704" s="23" t="str">
        <f>HYPERLINK("https://www.spark-marketing.ru/Card/Lot/71741947", "На заключение муниципального контракта на выполнение работ по установке системы видеонаблюдения в здании администрации для обеспечения муниципальных нужд")</f>
        <v>На заключение муниципального контракта на выполнение работ по установке системы видеонаблюдения в здании администрации для обеспечения муниципальных нужд</v>
      </c>
      <c r="G5704" s="22" t="s">
        <v>861</v>
      </c>
      <c r="H5704" s="22" t="s">
        <v>6896</v>
      </c>
      <c r="I5704" s="26">
        <v>43643.616666666698</v>
      </c>
      <c r="J5704" s="23" t="str">
        <f>HYPERLINK("https://www.spark-marketing.ru/Card/Person/6617643", "Рудаков Алексей Владимирович")</f>
        <v>Рудаков Алексей Владимирович</v>
      </c>
      <c r="K5704" s="24" t="s">
        <v>7359</v>
      </c>
      <c r="L5704" s="28" t="s">
        <v>52</v>
      </c>
      <c r="M5704" s="25">
        <v>64499</v>
      </c>
      <c r="N5704" s="27">
        <v>7.8585714285714287E-2</v>
      </c>
    </row>
    <row r="5705" spans="1:14" hidden="1" outlineLevel="1" x14ac:dyDescent="0.15">
      <c r="A5705" s="23" t="str">
        <f>HYPERLINK("https://www.spark-marketing.ru/Card/Person/60382", "АДМИНИСТРАЦИЯ ТАИЦКОГО ГОРОДСКОГО ПОСЕЛЕНИЯ")</f>
        <v>АДМИНИСТРАЦИЯ ТАИЦКОГО ГОРОДСКОГО ПОСЕЛЕНИЯ</v>
      </c>
      <c r="B5705" s="24" t="s">
        <v>7356</v>
      </c>
      <c r="C5705" s="25">
        <v>70000</v>
      </c>
      <c r="D5705" s="22" t="s">
        <v>7357</v>
      </c>
      <c r="E5705" s="22" t="s">
        <v>84</v>
      </c>
      <c r="F5705" s="23" t="str">
        <f>HYPERLINK("https://www.spark-marketing.ru/Card/Lot/71741947", "На заключение муниципального контракта на выполнение работ по установке системы видеонаблюдения в здании администрации для обеспечения муниципальных нужд")</f>
        <v>На заключение муниципального контракта на выполнение работ по установке системы видеонаблюдения в здании администрации для обеспечения муниципальных нужд</v>
      </c>
      <c r="G5705" s="22" t="s">
        <v>861</v>
      </c>
      <c r="H5705" s="22" t="s">
        <v>6896</v>
      </c>
      <c r="I5705" s="26">
        <v>43643.616666666698</v>
      </c>
      <c r="J5705" s="23" t="str">
        <f>HYPERLINK("https://www.spark-marketing.ru/Card/Person/6348809", "ООО ""ИСБ""")</f>
        <v>ООО "ИСБ"</v>
      </c>
      <c r="K5705" s="24" t="s">
        <v>7239</v>
      </c>
      <c r="L5705" s="28" t="s">
        <v>52</v>
      </c>
      <c r="M5705" s="28" t="s">
        <v>52</v>
      </c>
      <c r="N5705" s="28" t="s">
        <v>52</v>
      </c>
    </row>
    <row r="5706" spans="1:14" hidden="1" outlineLevel="1" x14ac:dyDescent="0.15">
      <c r="A5706" s="23" t="str">
        <f>HYPERLINK("https://www.spark-marketing.ru/Card/Person/60382", "АДМИНИСТРАЦИЯ ТАИЦКОГО ГОРОДСКОГО ПОСЕЛЕНИЯ")</f>
        <v>АДМИНИСТРАЦИЯ ТАИЦКОГО ГОРОДСКОГО ПОСЕЛЕНИЯ</v>
      </c>
      <c r="B5706" s="24" t="s">
        <v>7356</v>
      </c>
      <c r="C5706" s="25">
        <v>70000</v>
      </c>
      <c r="D5706" s="22" t="s">
        <v>7357</v>
      </c>
      <c r="E5706" s="22" t="s">
        <v>84</v>
      </c>
      <c r="F5706" s="23" t="str">
        <f>HYPERLINK("https://www.spark-marketing.ru/Card/Lot/71741947", "На заключение муниципального контракта на выполнение работ по установке системы видеонаблюдения в здании администрации для обеспечения муниципальных нужд")</f>
        <v>На заключение муниципального контракта на выполнение работ по установке системы видеонаблюдения в здании администрации для обеспечения муниципальных нужд</v>
      </c>
      <c r="G5706" s="22" t="s">
        <v>861</v>
      </c>
      <c r="H5706" s="22" t="s">
        <v>6896</v>
      </c>
      <c r="I5706" s="26">
        <v>43643.616666666698</v>
      </c>
      <c r="J5706" s="23" t="str">
        <f>HYPERLINK("https://www.spark-marketing.ru/Card/Person/399751", "ООО ""САКСЭС""")</f>
        <v>ООО "САКСЭС"</v>
      </c>
      <c r="K5706" s="24" t="s">
        <v>7358</v>
      </c>
      <c r="L5706" s="28" t="s">
        <v>52</v>
      </c>
      <c r="M5706" s="28" t="s">
        <v>52</v>
      </c>
      <c r="N5706" s="28" t="s">
        <v>52</v>
      </c>
    </row>
    <row r="5707" spans="1:14" x14ac:dyDescent="0.2">
      <c r="A5707" s="23" t="str">
        <f>HYPERLINK("https://www.spark-marketing.ru/Card/Person/1102009", "ГАПОУ АО ""ТЕХНИКУМ СТРОИТЕЛЬСТВА, ДИЗАЙНА И ТЕХНОЛОГИЙ""")</f>
        <v>ГАПОУ АО "ТЕХНИКУМ СТРОИТЕЛЬСТВА, ДИЗАЙНА И ТЕХНОЛОГИЙ"</v>
      </c>
      <c r="B5707" s="24" t="s">
        <v>7360</v>
      </c>
      <c r="C5707" s="25">
        <v>244829</v>
      </c>
      <c r="D5707" s="22" t="s">
        <v>7361</v>
      </c>
      <c r="E5707" s="22" t="s">
        <v>49</v>
      </c>
      <c r="F5707" s="23" t="str">
        <f>HYPERLINK("https://www.spark-marketing.ru/Card/Lot/71735261", "Установка ограждения территории учебного корпуса (установка шлагбаума и видеонаблюдения)")</f>
        <v>Установка ограждения территории учебного корпуса (установка шлагбаума и видеонаблюдения)</v>
      </c>
      <c r="G5707" s="22" t="s">
        <v>674</v>
      </c>
      <c r="H5707" s="22" t="s">
        <v>675</v>
      </c>
      <c r="I5707" s="26">
        <v>43643.611099537004</v>
      </c>
      <c r="J5707" s="28" t="s">
        <v>52</v>
      </c>
      <c r="K5707" s="28" t="s">
        <v>52</v>
      </c>
      <c r="L5707" s="22" t="s">
        <v>10</v>
      </c>
      <c r="M5707" s="25">
        <v>243900</v>
      </c>
      <c r="N5707" s="27">
        <v>3.7944851304379792E-3</v>
      </c>
    </row>
    <row r="5708" spans="1:14" x14ac:dyDescent="0.15">
      <c r="A5708" s="23" t="str">
        <f>HYPERLINK("https://www.spark-marketing.ru/Card/Person/1596910", "ООО ЧОП ""ГАЗПРОМ ОХРАНА""")</f>
        <v>ООО ЧОП "ГАЗПРОМ ОХРАНА"</v>
      </c>
      <c r="B5708" s="24" t="s">
        <v>7362</v>
      </c>
      <c r="C5708" s="25">
        <v>483087.8</v>
      </c>
      <c r="D5708" s="22" t="s">
        <v>7363</v>
      </c>
      <c r="E5708" s="22" t="s">
        <v>53</v>
      </c>
      <c r="F5708" s="23" t="str">
        <f>HYPERLINK("https://www.spark-marketing.ru/Card/Lot/71734498", "Поставка костюмов охранника взаправку")</f>
        <v>Поставка костюмов охранника взаправку</v>
      </c>
      <c r="G5708" s="22" t="s">
        <v>55</v>
      </c>
      <c r="H5708" s="22" t="s">
        <v>55</v>
      </c>
      <c r="I5708" s="26">
        <v>43643.622222222199</v>
      </c>
      <c r="J5708" s="28" t="s">
        <v>52</v>
      </c>
      <c r="K5708" s="28" t="s">
        <v>52</v>
      </c>
      <c r="L5708" s="28" t="s">
        <v>52</v>
      </c>
      <c r="M5708" s="28" t="s">
        <v>52</v>
      </c>
      <c r="N5708" s="28" t="s">
        <v>52</v>
      </c>
    </row>
    <row r="5709" spans="1:14" x14ac:dyDescent="0.15">
      <c r="A5709" s="23" t="str">
        <f>HYPERLINK("https://www.spark-marketing.ru/Card/Person/54418", "АО ""ФПК""")</f>
        <v>АО "ФПК"</v>
      </c>
      <c r="B5709" s="24" t="s">
        <v>7297</v>
      </c>
      <c r="C5709" s="25">
        <v>100000</v>
      </c>
      <c r="D5709" s="28" t="s">
        <v>52</v>
      </c>
      <c r="E5709" s="22" t="s">
        <v>7298</v>
      </c>
      <c r="F5709" s="23" t="str">
        <f>HYPERLINK("https://www.spark-marketing.ru/Card/Lot/71734535", "№20013 Оказание услуг по подбору потенциальных покупателей и сопровождению сделки купли продажи объектов недвижимости АО ""ФПК"" для нужд Приволжского филиала АО ""ФПК""")</f>
        <v>№20013 Оказание услуг по подбору потенциальных покупателей и сопровождению сделки купли продажи объектов недвижимости АО "ФПК" для нужд Приволжского филиала АО "ФПК"</v>
      </c>
      <c r="G5709" s="22" t="s">
        <v>55</v>
      </c>
      <c r="H5709" s="22" t="s">
        <v>55</v>
      </c>
      <c r="I5709" s="26">
        <v>43643.616203703699</v>
      </c>
      <c r="J5709" s="28" t="s">
        <v>52</v>
      </c>
      <c r="K5709" s="28" t="s">
        <v>52</v>
      </c>
      <c r="L5709" s="28" t="s">
        <v>52</v>
      </c>
      <c r="M5709" s="28" t="s">
        <v>52</v>
      </c>
      <c r="N5709" s="28" t="s">
        <v>52</v>
      </c>
    </row>
    <row r="5710" spans="1:14" x14ac:dyDescent="0.15">
      <c r="A5710" s="23" t="str">
        <f>HYPERLINK("https://www.spark-marketing.ru/Card/Person/4376508", "МБУ «РАЙОННЫЙ РЕСУРСНЫЙ ЦЕНТР»")</f>
        <v>МБУ «РАЙОННЫЙ РЕСУРСНЫЙ ЦЕНТР»</v>
      </c>
      <c r="B5710" s="24" t="s">
        <v>7364</v>
      </c>
      <c r="C5710" s="25">
        <v>534086.06999999995</v>
      </c>
      <c r="D5710" s="22" t="s">
        <v>7365</v>
      </c>
      <c r="E5710" s="22" t="s">
        <v>985</v>
      </c>
      <c r="F5710" s="23" t="str">
        <f>HYPERLINK("https://www.spark-marketing.ru/Card/Lot/71748247", "Поставка и демонтаж/монтаж блоков СКЗИ (средство криптографической защиты информации) с последующей активацией, калибровкой и поверкой установленных и активированных тахографов на транспортных средствах категории М2, М3.")</f>
        <v>Поставка и демонтаж/монтаж блоков СКЗИ (средство криптографической защиты информации) с последующей активацией, калибровкой и поверкой установленных и активированных тахографов на транспортных средствах категории М2, М3.</v>
      </c>
      <c r="G5710" s="22" t="s">
        <v>1053</v>
      </c>
      <c r="H5710" s="22" t="s">
        <v>7366</v>
      </c>
      <c r="I5710" s="26">
        <v>43643.587500000001</v>
      </c>
      <c r="J5710" s="28" t="s">
        <v>52</v>
      </c>
      <c r="K5710" s="28" t="s">
        <v>52</v>
      </c>
      <c r="L5710" s="28" t="s">
        <v>52</v>
      </c>
      <c r="M5710" s="28" t="s">
        <v>52</v>
      </c>
      <c r="N5710" s="28" t="s">
        <v>52</v>
      </c>
    </row>
    <row r="5711" spans="1:14" hidden="1" outlineLevel="1" x14ac:dyDescent="0.2">
      <c r="A5711" s="23" t="str">
        <f>HYPERLINK("https://www.spark-marketing.ru/Card/Person/4376508", "МБУ «РАЙОННЫЙ РЕСУРСНЫЙ ЦЕНТР»")</f>
        <v>МБУ «РАЙОННЫЙ РЕСУРСНЫЙ ЦЕНТР»</v>
      </c>
      <c r="B5711" s="24" t="s">
        <v>7364</v>
      </c>
      <c r="C5711" s="25">
        <v>534086.06999999995</v>
      </c>
      <c r="D5711" s="22" t="s">
        <v>7365</v>
      </c>
      <c r="E5711" s="22" t="s">
        <v>985</v>
      </c>
      <c r="F5711" s="23" t="str">
        <f>HYPERLINK("https://www.spark-marketing.ru/Card/Lot/71748247", "Поставка и демонтаж/монтаж блоков СКЗИ (средство криптографической защиты информации) с последующей активацией, калибровкой и поверкой установленных и активированных тахографов на транспортных средствах категории М2, М3.")</f>
        <v>Поставка и демонтаж/монтаж блоков СКЗИ (средство криптографической защиты информации) с последующей активацией, калибровкой и поверкой установленных и активированных тахографов на транспортных средствах категории М2, М3.</v>
      </c>
      <c r="G5711" s="22" t="s">
        <v>1053</v>
      </c>
      <c r="H5711" s="22" t="s">
        <v>7366</v>
      </c>
      <c r="I5711" s="26">
        <v>43643.587500000001</v>
      </c>
      <c r="J5711" s="23" t="str">
        <f>HYPERLINK("https://www.spark-marketing.ru/Card/Person/455800", "ООО ""КАНКОРТ""")</f>
        <v>ООО "КАНКОРТ"</v>
      </c>
      <c r="K5711" s="24" t="s">
        <v>7367</v>
      </c>
      <c r="L5711" s="28" t="s">
        <v>52</v>
      </c>
      <c r="M5711" s="25">
        <v>460000</v>
      </c>
      <c r="N5711" s="27">
        <v>0.13871560065215705</v>
      </c>
    </row>
    <row r="5712" spans="1:14" ht="12.75" hidden="1" outlineLevel="1" x14ac:dyDescent="0.2">
      <c r="A5712" s="23" t="str">
        <f>HYPERLINK("https://www.spark-marketing.ru/Card/Person/4376508", "МБУ «РАЙОННЫЙ РЕСУРСНЫЙ ЦЕНТР»")</f>
        <v>МБУ «РАЙОННЫЙ РЕСУРСНЫЙ ЦЕНТР»</v>
      </c>
      <c r="B5712" s="24" t="s">
        <v>7364</v>
      </c>
      <c r="C5712" s="25">
        <v>534086.06999999995</v>
      </c>
      <c r="D5712" s="22" t="s">
        <v>7365</v>
      </c>
      <c r="E5712" s="22" t="s">
        <v>985</v>
      </c>
      <c r="F5712" s="23" t="str">
        <f>HYPERLINK("https://www.spark-marketing.ru/Card/Lot/71748247", "Поставка и демонтаж/монтаж блоков СКЗИ (средство криптографической защиты информации) с последующей активацией, калибровкой и поверкой установленных и активированных тахографов на транспортных средствах категории М2, М3.")</f>
        <v>Поставка и демонтаж/монтаж блоков СКЗИ (средство криптографической защиты информации) с последующей активацией, калибровкой и поверкой установленных и активированных тахографов на транспортных средствах категории М2, М3.</v>
      </c>
      <c r="G5712" s="22" t="s">
        <v>1053</v>
      </c>
      <c r="H5712" s="22" t="s">
        <v>7366</v>
      </c>
      <c r="I5712" s="26">
        <v>43643.587500000001</v>
      </c>
      <c r="J5712" s="23" t="str">
        <f>HYPERLINK("https://www.spark-marketing.ru/Card/Person/273683", "ООО ""ТАХОГРАФ""")</f>
        <v>ООО "ТАХОГРАФ"</v>
      </c>
      <c r="K5712" s="24" t="s">
        <v>7368</v>
      </c>
      <c r="L5712" s="22" t="s">
        <v>10</v>
      </c>
      <c r="M5712" s="25">
        <v>459314.03</v>
      </c>
      <c r="N5712" s="27">
        <v>0.13999998165089758</v>
      </c>
    </row>
    <row r="5713" spans="1:14" hidden="1" outlineLevel="1" x14ac:dyDescent="0.2">
      <c r="A5713" s="23" t="str">
        <f>HYPERLINK("https://www.spark-marketing.ru/Card/Person/4376508", "МБУ «РАЙОННЫЙ РЕСУРСНЫЙ ЦЕНТР»")</f>
        <v>МБУ «РАЙОННЫЙ РЕСУРСНЫЙ ЦЕНТР»</v>
      </c>
      <c r="B5713" s="24" t="s">
        <v>7364</v>
      </c>
      <c r="C5713" s="25">
        <v>534086.06999999995</v>
      </c>
      <c r="D5713" s="22" t="s">
        <v>7365</v>
      </c>
      <c r="E5713" s="22" t="s">
        <v>985</v>
      </c>
      <c r="F5713" s="23" t="str">
        <f>HYPERLINK("https://www.spark-marketing.ru/Card/Lot/71748247", "Поставка и демонтаж/монтаж блоков СКЗИ (средство криптографической защиты информации) с последующей активацией, калибровкой и поверкой установленных и активированных тахографов на транспортных средствах категории М2, М3.")</f>
        <v>Поставка и демонтаж/монтаж блоков СКЗИ (средство криптографической защиты информации) с последующей активацией, калибровкой и поверкой установленных и активированных тахографов на транспортных средствах категории М2, М3.</v>
      </c>
      <c r="G5713" s="22" t="s">
        <v>1053</v>
      </c>
      <c r="H5713" s="22" t="s">
        <v>7366</v>
      </c>
      <c r="I5713" s="26">
        <v>43643.587500000001</v>
      </c>
      <c r="J5713" s="23" t="str">
        <f>HYPERLINK("https://www.spark-marketing.ru/Card/Person/304245", "ООО ""СКАЙТЕК""")</f>
        <v>ООО "СКАЙТЕК"</v>
      </c>
      <c r="K5713" s="24" t="s">
        <v>7369</v>
      </c>
      <c r="L5713" s="28" t="s">
        <v>52</v>
      </c>
      <c r="M5713" s="25">
        <v>459314.03</v>
      </c>
      <c r="N5713" s="27">
        <v>0.13999998165089758</v>
      </c>
    </row>
    <row r="5714" spans="1:14" hidden="1" outlineLevel="1" x14ac:dyDescent="0.2">
      <c r="A5714" s="23" t="str">
        <f>HYPERLINK("https://www.spark-marketing.ru/Card/Person/4376508", "МБУ «РАЙОННЫЙ РЕСУРСНЫЙ ЦЕНТР»")</f>
        <v>МБУ «РАЙОННЫЙ РЕСУРСНЫЙ ЦЕНТР»</v>
      </c>
      <c r="B5714" s="24" t="s">
        <v>7364</v>
      </c>
      <c r="C5714" s="25">
        <v>534086.06999999995</v>
      </c>
      <c r="D5714" s="22" t="s">
        <v>7365</v>
      </c>
      <c r="E5714" s="22" t="s">
        <v>985</v>
      </c>
      <c r="F5714" s="23" t="str">
        <f>HYPERLINK("https://www.spark-marketing.ru/Card/Lot/71748247", "Поставка и демонтаж/монтаж блоков СКЗИ (средство криптографической защиты информации) с последующей активацией, калибровкой и поверкой установленных и активированных тахографов на транспортных средствах категории М2, М3.")</f>
        <v>Поставка и демонтаж/монтаж блоков СКЗИ (средство криптографической защиты информации) с последующей активацией, калибровкой и поверкой установленных и активированных тахографов на транспортных средствах категории М2, М3.</v>
      </c>
      <c r="G5714" s="22" t="s">
        <v>1053</v>
      </c>
      <c r="H5714" s="22" t="s">
        <v>7366</v>
      </c>
      <c r="I5714" s="26">
        <v>43643.587500000001</v>
      </c>
      <c r="J5714" s="23" t="str">
        <f>HYPERLINK("https://www.spark-marketing.ru/Card/Person/487202", "ООО ""ИСК""")</f>
        <v>ООО "ИСК"</v>
      </c>
      <c r="K5714" s="24" t="s">
        <v>7370</v>
      </c>
      <c r="L5714" s="28" t="s">
        <v>52</v>
      </c>
      <c r="M5714" s="25">
        <v>480677.47</v>
      </c>
      <c r="N5714" s="27">
        <v>9.9999986893498274E-2</v>
      </c>
    </row>
    <row r="5715" spans="1:14" x14ac:dyDescent="0.15">
      <c r="A5715" s="23" t="str">
        <f>HYPERLINK("https://www.spark-marketing.ru/Card/Person/1596910", "ООО ЧОП ""ГАЗПРОМ ОХРАНА""")</f>
        <v>ООО ЧОП "ГАЗПРОМ ОХРАНА"</v>
      </c>
      <c r="B5715" s="24" t="s">
        <v>7362</v>
      </c>
      <c r="C5715" s="25">
        <v>64380</v>
      </c>
      <c r="D5715" s="22" t="s">
        <v>7371</v>
      </c>
      <c r="E5715" s="22" t="s">
        <v>53</v>
      </c>
      <c r="F5715" s="23" t="str">
        <f>HYPERLINK("https://www.spark-marketing.ru/Card/Lot/71734492", "Поставка костюмов охранника взаправку")</f>
        <v>Поставка костюмов охранника взаправку</v>
      </c>
      <c r="G5715" s="22" t="s">
        <v>55</v>
      </c>
      <c r="H5715" s="22" t="s">
        <v>55</v>
      </c>
      <c r="I5715" s="26">
        <v>43643.613888888904</v>
      </c>
      <c r="J5715" s="28" t="s">
        <v>52</v>
      </c>
      <c r="K5715" s="28" t="s">
        <v>52</v>
      </c>
      <c r="L5715" s="28" t="s">
        <v>52</v>
      </c>
      <c r="M5715" s="28" t="s">
        <v>52</v>
      </c>
      <c r="N5715" s="28" t="s">
        <v>52</v>
      </c>
    </row>
    <row r="5716" spans="1:14" x14ac:dyDescent="0.15">
      <c r="A5716" s="23" t="str">
        <f t="shared" ref="A5716:A5724" si="243">HYPERLINK("https://www.spark-marketing.ru/Card/Person/1042183", "СПБ ГБУ ДО ДМШ № 17 ИМ. А.Г.РУБИНШТЕЙНА")</f>
        <v>СПБ ГБУ ДО ДМШ № 17 ИМ. А.Г.РУБИНШТЕЙНА</v>
      </c>
      <c r="B5716" s="24" t="s">
        <v>7372</v>
      </c>
      <c r="C5716" s="25">
        <v>654000</v>
      </c>
      <c r="D5716" s="22" t="s">
        <v>7373</v>
      </c>
      <c r="E5716" s="22" t="s">
        <v>68</v>
      </c>
      <c r="F5716" s="23" t="str">
        <f t="shared" ref="F5716:F5724" si="244">HYPERLINK("https://www.spark-marketing.ru/Card/Lot/71748009", "Оказание услуг по физической охране помещений")</f>
        <v>Оказание услуг по физической охране помещений</v>
      </c>
      <c r="G5716" s="22" t="s">
        <v>89</v>
      </c>
      <c r="H5716" s="22" t="s">
        <v>89</v>
      </c>
      <c r="I5716" s="26">
        <v>43643.616666666698</v>
      </c>
      <c r="J5716" s="28" t="s">
        <v>52</v>
      </c>
      <c r="K5716" s="28" t="s">
        <v>52</v>
      </c>
      <c r="L5716" s="28" t="s">
        <v>52</v>
      </c>
      <c r="M5716" s="28" t="s">
        <v>52</v>
      </c>
      <c r="N5716" s="28" t="s">
        <v>52</v>
      </c>
    </row>
    <row r="5717" spans="1:14" hidden="1" outlineLevel="1" x14ac:dyDescent="0.2">
      <c r="A5717" s="23" t="str">
        <f t="shared" si="243"/>
        <v>СПБ ГБУ ДО ДМШ № 17 ИМ. А.Г.РУБИНШТЕЙНА</v>
      </c>
      <c r="B5717" s="24" t="s">
        <v>7372</v>
      </c>
      <c r="C5717" s="25">
        <v>654000</v>
      </c>
      <c r="D5717" s="22" t="s">
        <v>7373</v>
      </c>
      <c r="E5717" s="22" t="s">
        <v>68</v>
      </c>
      <c r="F5717" s="23" t="str">
        <f t="shared" si="244"/>
        <v>Оказание услуг по физической охране помещений</v>
      </c>
      <c r="G5717" s="22" t="s">
        <v>89</v>
      </c>
      <c r="H5717" s="22" t="s">
        <v>89</v>
      </c>
      <c r="I5717" s="26">
        <v>43643.616666666698</v>
      </c>
      <c r="J5717" s="23" t="str">
        <f>HYPERLINK("https://www.spark-marketing.ru/Card/Person/6470268", "ООО ""ОП ""РАТНИК ОСН""")</f>
        <v>ООО "ОП "РАТНИК ОСН"</v>
      </c>
      <c r="K5717" s="24" t="s">
        <v>7374</v>
      </c>
      <c r="L5717" s="28" t="s">
        <v>52</v>
      </c>
      <c r="M5717" s="25">
        <v>601680</v>
      </c>
      <c r="N5717" s="27">
        <v>0.08</v>
      </c>
    </row>
    <row r="5718" spans="1:14" ht="12.75" hidden="1" outlineLevel="1" x14ac:dyDescent="0.2">
      <c r="A5718" s="23" t="str">
        <f t="shared" si="243"/>
        <v>СПБ ГБУ ДО ДМШ № 17 ИМ. А.Г.РУБИНШТЕЙНА</v>
      </c>
      <c r="B5718" s="24" t="s">
        <v>7372</v>
      </c>
      <c r="C5718" s="25">
        <v>654000</v>
      </c>
      <c r="D5718" s="22" t="s">
        <v>7373</v>
      </c>
      <c r="E5718" s="22" t="s">
        <v>68</v>
      </c>
      <c r="F5718" s="23" t="str">
        <f t="shared" si="244"/>
        <v>Оказание услуг по физической охране помещений</v>
      </c>
      <c r="G5718" s="22" t="s">
        <v>89</v>
      </c>
      <c r="H5718" s="22" t="s">
        <v>89</v>
      </c>
      <c r="I5718" s="26">
        <v>43643.616666666698</v>
      </c>
      <c r="J5718" s="23" t="str">
        <f>HYPERLINK("https://www.spark-marketing.ru/Card/Person/436646", "ООО ""ОО ""ЛИДЕР БЕЗОПАСНОСТИ""")</f>
        <v>ООО "ОО "ЛИДЕР БЕЗОПАСНОСТИ"</v>
      </c>
      <c r="K5718" s="24" t="s">
        <v>7375</v>
      </c>
      <c r="L5718" s="22" t="s">
        <v>10</v>
      </c>
      <c r="M5718" s="25">
        <v>480369.12</v>
      </c>
      <c r="N5718" s="27">
        <v>0.26549064220183488</v>
      </c>
    </row>
    <row r="5719" spans="1:14" hidden="1" outlineLevel="1" x14ac:dyDescent="0.2">
      <c r="A5719" s="23" t="str">
        <f t="shared" si="243"/>
        <v>СПБ ГБУ ДО ДМШ № 17 ИМ. А.Г.РУБИНШТЕЙНА</v>
      </c>
      <c r="B5719" s="24" t="s">
        <v>7372</v>
      </c>
      <c r="C5719" s="25">
        <v>654000</v>
      </c>
      <c r="D5719" s="22" t="s">
        <v>7373</v>
      </c>
      <c r="E5719" s="22" t="s">
        <v>68</v>
      </c>
      <c r="F5719" s="23" t="str">
        <f t="shared" si="244"/>
        <v>Оказание услуг по физической охране помещений</v>
      </c>
      <c r="G5719" s="22" t="s">
        <v>89</v>
      </c>
      <c r="H5719" s="22" t="s">
        <v>89</v>
      </c>
      <c r="I5719" s="26">
        <v>43643.616666666698</v>
      </c>
      <c r="J5719" s="23" t="str">
        <f>HYPERLINK("https://www.spark-marketing.ru/Card/Person/2595160", "ООО ""ОО ""ГК БПС""")</f>
        <v>ООО "ОО "ГК БПС"</v>
      </c>
      <c r="K5719" s="24" t="s">
        <v>7376</v>
      </c>
      <c r="L5719" s="28" t="s">
        <v>52</v>
      </c>
      <c r="M5719" s="25">
        <v>500087.76</v>
      </c>
      <c r="N5719" s="27">
        <v>0.23533981651376146</v>
      </c>
    </row>
    <row r="5720" spans="1:14" hidden="1" outlineLevel="1" x14ac:dyDescent="0.2">
      <c r="A5720" s="23" t="str">
        <f t="shared" si="243"/>
        <v>СПБ ГБУ ДО ДМШ № 17 ИМ. А.Г.РУБИНШТЕЙНА</v>
      </c>
      <c r="B5720" s="24" t="s">
        <v>7372</v>
      </c>
      <c r="C5720" s="25">
        <v>654000</v>
      </c>
      <c r="D5720" s="22" t="s">
        <v>7373</v>
      </c>
      <c r="E5720" s="22" t="s">
        <v>68</v>
      </c>
      <c r="F5720" s="23" t="str">
        <f t="shared" si="244"/>
        <v>Оказание услуг по физической охране помещений</v>
      </c>
      <c r="G5720" s="22" t="s">
        <v>89</v>
      </c>
      <c r="H5720" s="22" t="s">
        <v>89</v>
      </c>
      <c r="I5720" s="26">
        <v>43643.616666666698</v>
      </c>
      <c r="J5720" s="23" t="str">
        <f>HYPERLINK("https://www.spark-marketing.ru/Card/Person/2336756", "ООО ""ОП ""АРГУС-Н""")</f>
        <v>ООО "ОП "АРГУС-Н"</v>
      </c>
      <c r="K5720" s="24" t="s">
        <v>7377</v>
      </c>
      <c r="L5720" s="28" t="s">
        <v>52</v>
      </c>
      <c r="M5720" s="25">
        <v>575520</v>
      </c>
      <c r="N5720" s="27">
        <v>0.12</v>
      </c>
    </row>
    <row r="5721" spans="1:14" hidden="1" outlineLevel="1" x14ac:dyDescent="0.2">
      <c r="A5721" s="23" t="str">
        <f t="shared" si="243"/>
        <v>СПБ ГБУ ДО ДМШ № 17 ИМ. А.Г.РУБИНШТЕЙНА</v>
      </c>
      <c r="B5721" s="24" t="s">
        <v>7372</v>
      </c>
      <c r="C5721" s="25">
        <v>654000</v>
      </c>
      <c r="D5721" s="22" t="s">
        <v>7373</v>
      </c>
      <c r="E5721" s="22" t="s">
        <v>68</v>
      </c>
      <c r="F5721" s="23" t="str">
        <f t="shared" si="244"/>
        <v>Оказание услуг по физической охране помещений</v>
      </c>
      <c r="G5721" s="22" t="s">
        <v>89</v>
      </c>
      <c r="H5721" s="22" t="s">
        <v>89</v>
      </c>
      <c r="I5721" s="26">
        <v>43643.616666666698</v>
      </c>
      <c r="J5721" s="23" t="str">
        <f>HYPERLINK("https://www.spark-marketing.ru/Card/Person/2212345", "ООО ""ОО ""БЛОК-МОНИТОРИНГ""")</f>
        <v>ООО "ОО "БЛОК-МОНИТОРИНГ"</v>
      </c>
      <c r="K5721" s="24" t="s">
        <v>7378</v>
      </c>
      <c r="L5721" s="28" t="s">
        <v>52</v>
      </c>
      <c r="M5721" s="25">
        <v>591870</v>
      </c>
      <c r="N5721" s="27">
        <v>9.5000000000000001E-2</v>
      </c>
    </row>
    <row r="5722" spans="1:14" hidden="1" outlineLevel="1" x14ac:dyDescent="0.2">
      <c r="A5722" s="23" t="str">
        <f t="shared" si="243"/>
        <v>СПБ ГБУ ДО ДМШ № 17 ИМ. А.Г.РУБИНШТЕЙНА</v>
      </c>
      <c r="B5722" s="24" t="s">
        <v>7372</v>
      </c>
      <c r="C5722" s="25">
        <v>654000</v>
      </c>
      <c r="D5722" s="22" t="s">
        <v>7373</v>
      </c>
      <c r="E5722" s="22" t="s">
        <v>68</v>
      </c>
      <c r="F5722" s="23" t="str">
        <f t="shared" si="244"/>
        <v>Оказание услуг по физической охране помещений</v>
      </c>
      <c r="G5722" s="22" t="s">
        <v>89</v>
      </c>
      <c r="H5722" s="22" t="s">
        <v>89</v>
      </c>
      <c r="I5722" s="26">
        <v>43643.616666666698</v>
      </c>
      <c r="J5722" s="23" t="str">
        <f>HYPERLINK("https://www.spark-marketing.ru/Card/Person/2562571", "ООО ОП""БОРС-БАЛТИКА""")</f>
        <v>ООО ОП"БОРС-БАЛТИКА"</v>
      </c>
      <c r="K5722" s="24" t="s">
        <v>4583</v>
      </c>
      <c r="L5722" s="28" t="s">
        <v>52</v>
      </c>
      <c r="M5722" s="25">
        <v>483639.12</v>
      </c>
      <c r="N5722" s="27">
        <v>0.26049064220183488</v>
      </c>
    </row>
    <row r="5723" spans="1:14" hidden="1" outlineLevel="1" x14ac:dyDescent="0.2">
      <c r="A5723" s="23" t="str">
        <f t="shared" si="243"/>
        <v>СПБ ГБУ ДО ДМШ № 17 ИМ. А.Г.РУБИНШТЕЙНА</v>
      </c>
      <c r="B5723" s="24" t="s">
        <v>7372</v>
      </c>
      <c r="C5723" s="25">
        <v>654000</v>
      </c>
      <c r="D5723" s="22" t="s">
        <v>7373</v>
      </c>
      <c r="E5723" s="22" t="s">
        <v>68</v>
      </c>
      <c r="F5723" s="23" t="str">
        <f t="shared" si="244"/>
        <v>Оказание услуг по физической охране помещений</v>
      </c>
      <c r="G5723" s="22" t="s">
        <v>89</v>
      </c>
      <c r="H5723" s="22" t="s">
        <v>89</v>
      </c>
      <c r="I5723" s="26">
        <v>43643.616666666698</v>
      </c>
      <c r="J5723" s="23" t="str">
        <f>HYPERLINK("https://www.spark-marketing.ru/Card/Person/135806", "ООО ""ОП ""РАДОН""")</f>
        <v>ООО "ОП "РАДОН"</v>
      </c>
      <c r="K5723" s="24" t="s">
        <v>4139</v>
      </c>
      <c r="L5723" s="28" t="s">
        <v>52</v>
      </c>
      <c r="M5723" s="25">
        <v>526379.28</v>
      </c>
      <c r="N5723" s="27">
        <v>0.19513871559633028</v>
      </c>
    </row>
    <row r="5724" spans="1:14" hidden="1" outlineLevel="1" x14ac:dyDescent="0.2">
      <c r="A5724" s="23" t="str">
        <f t="shared" si="243"/>
        <v>СПБ ГБУ ДО ДМШ № 17 ИМ. А.Г.РУБИНШТЕЙНА</v>
      </c>
      <c r="B5724" s="24" t="s">
        <v>7372</v>
      </c>
      <c r="C5724" s="25">
        <v>654000</v>
      </c>
      <c r="D5724" s="22" t="s">
        <v>7373</v>
      </c>
      <c r="E5724" s="22" t="s">
        <v>68</v>
      </c>
      <c r="F5724" s="23" t="str">
        <f t="shared" si="244"/>
        <v>Оказание услуг по физической охране помещений</v>
      </c>
      <c r="G5724" s="22" t="s">
        <v>89</v>
      </c>
      <c r="H5724" s="22" t="s">
        <v>89</v>
      </c>
      <c r="I5724" s="26">
        <v>43643.616666666698</v>
      </c>
      <c r="J5724" s="23" t="str">
        <f>HYPERLINK("https://www.spark-marketing.ru/Card/Person/2582721", "ООО ""ОО ""СЕЛЕКТ""")</f>
        <v>ООО "ОО "СЕЛЕКТ"</v>
      </c>
      <c r="K5724" s="24" t="s">
        <v>7379</v>
      </c>
      <c r="L5724" s="28" t="s">
        <v>52</v>
      </c>
      <c r="M5724" s="25">
        <v>614760</v>
      </c>
      <c r="N5724" s="27">
        <v>0.06</v>
      </c>
    </row>
    <row r="5725" spans="1:14" x14ac:dyDescent="0.15">
      <c r="A5725" s="23" t="str">
        <f>HYPERLINK("https://www.spark-marketing.ru/Card/Person/4376", "ГБУЗ ""ГКБ ИМ. М.П. КОНЧАЛОВСКОГО ДЗМ""")</f>
        <v>ГБУЗ "ГКБ ИМ. М.П. КОНЧАЛОВСКОГО ДЗМ"</v>
      </c>
      <c r="B5725" s="24" t="s">
        <v>3367</v>
      </c>
      <c r="C5725" s="25">
        <v>498000</v>
      </c>
      <c r="D5725" s="22" t="s">
        <v>7380</v>
      </c>
      <c r="E5725" s="22" t="s">
        <v>84</v>
      </c>
      <c r="F5725" s="23" t="str">
        <f>HYPERLINK("https://www.spark-marketing.ru/Card/Lot/71747697", "Аукцион в электронной форме на право заключения государственного контракта на выполнение работ по установке, запуску и настройке системы видеонаблюдения на территории ГБУЗ ""ГКБ им. М.П. Кончаловского ДЗМ"".")</f>
        <v>Аукцион в электронной форме на право заключения государственного контракта на выполнение работ по установке, запуску и настройке системы видеонаблюдения на территории ГБУЗ "ГКБ им. М.П. Кончаловского ДЗМ".</v>
      </c>
      <c r="G5725" s="22" t="s">
        <v>55</v>
      </c>
      <c r="H5725" s="22" t="s">
        <v>55</v>
      </c>
      <c r="I5725" s="26">
        <v>43643.568055555603</v>
      </c>
      <c r="J5725" s="28" t="s">
        <v>52</v>
      </c>
      <c r="K5725" s="28" t="s">
        <v>52</v>
      </c>
      <c r="L5725" s="28" t="s">
        <v>52</v>
      </c>
      <c r="M5725" s="28" t="s">
        <v>52</v>
      </c>
      <c r="N5725" s="28" t="s">
        <v>52</v>
      </c>
    </row>
    <row r="5726" spans="1:14" hidden="1" outlineLevel="1" x14ac:dyDescent="0.2">
      <c r="A5726" s="23" t="str">
        <f>HYPERLINK("https://www.spark-marketing.ru/Card/Person/4376", "ГБУЗ ""ГКБ ИМ. М.П. КОНЧАЛОВСКОГО ДЗМ""")</f>
        <v>ГБУЗ "ГКБ ИМ. М.П. КОНЧАЛОВСКОГО ДЗМ"</v>
      </c>
      <c r="B5726" s="24" t="s">
        <v>3367</v>
      </c>
      <c r="C5726" s="25">
        <v>498000</v>
      </c>
      <c r="D5726" s="22" t="s">
        <v>7380</v>
      </c>
      <c r="E5726" s="22" t="s">
        <v>84</v>
      </c>
      <c r="F5726" s="23" t="str">
        <f>HYPERLINK("https://www.spark-marketing.ru/Card/Lot/71747697", "Аукцион в электронной форме на право заключения государственного контракта на выполнение работ по установке, запуску и настройке системы видеонаблюдения на территории ГБУЗ ""ГКБ им. М.П. Кончаловского ДЗМ"".")</f>
        <v>Аукцион в электронной форме на право заключения государственного контракта на выполнение работ по установке, запуску и настройке системы видеонаблюдения на территории ГБУЗ "ГКБ им. М.П. Кончаловского ДЗМ".</v>
      </c>
      <c r="G5726" s="22" t="s">
        <v>55</v>
      </c>
      <c r="H5726" s="22" t="s">
        <v>55</v>
      </c>
      <c r="I5726" s="26">
        <v>43643.568055555603</v>
      </c>
      <c r="J5726" s="23" t="str">
        <f>HYPERLINK("https://www.spark-marketing.ru/Card/Person/36214", "ООО ""НТЛЕКТ""")</f>
        <v>ООО "НТЛЕКТ"</v>
      </c>
      <c r="K5726" s="24" t="s">
        <v>7381</v>
      </c>
      <c r="L5726" s="28" t="s">
        <v>52</v>
      </c>
      <c r="M5726" s="25">
        <v>473100</v>
      </c>
      <c r="N5726" s="27">
        <v>0.05</v>
      </c>
    </row>
    <row r="5727" spans="1:14" ht="12.75" hidden="1" outlineLevel="1" x14ac:dyDescent="0.2">
      <c r="A5727" s="23" t="str">
        <f>HYPERLINK("https://www.spark-marketing.ru/Card/Person/4376", "ГБУЗ ""ГКБ ИМ. М.П. КОНЧАЛОВСКОГО ДЗМ""")</f>
        <v>ГБУЗ "ГКБ ИМ. М.П. КОНЧАЛОВСКОГО ДЗМ"</v>
      </c>
      <c r="B5727" s="24" t="s">
        <v>3367</v>
      </c>
      <c r="C5727" s="25">
        <v>498000</v>
      </c>
      <c r="D5727" s="22" t="s">
        <v>7380</v>
      </c>
      <c r="E5727" s="22" t="s">
        <v>84</v>
      </c>
      <c r="F5727" s="23" t="str">
        <f>HYPERLINK("https://www.spark-marketing.ru/Card/Lot/71747697", "Аукцион в электронной форме на право заключения государственного контракта на выполнение работ по установке, запуску и настройке системы видеонаблюдения на территории ГБУЗ ""ГКБ им. М.П. Кончаловского ДЗМ"".")</f>
        <v>Аукцион в электронной форме на право заключения государственного контракта на выполнение работ по установке, запуску и настройке системы видеонаблюдения на территории ГБУЗ "ГКБ им. М.П. Кончаловского ДЗМ".</v>
      </c>
      <c r="G5727" s="22" t="s">
        <v>55</v>
      </c>
      <c r="H5727" s="22" t="s">
        <v>55</v>
      </c>
      <c r="I5727" s="26">
        <v>43643.568055555603</v>
      </c>
      <c r="J5727" s="23" t="str">
        <f>HYPERLINK("https://www.spark-marketing.ru/Card/Person/1604656", "Липилин Владимир Люцианович")</f>
        <v>Липилин Владимир Люцианович</v>
      </c>
      <c r="K5727" s="24" t="s">
        <v>7382</v>
      </c>
      <c r="L5727" s="22" t="s">
        <v>10</v>
      </c>
      <c r="M5727" s="25">
        <v>460500</v>
      </c>
      <c r="N5727" s="27">
        <v>7.5301204819277115E-2</v>
      </c>
    </row>
    <row r="5728" spans="1:14" hidden="1" outlineLevel="1" x14ac:dyDescent="0.2">
      <c r="A5728" s="23" t="str">
        <f>HYPERLINK("https://www.spark-marketing.ru/Card/Person/4376", "ГБУЗ ""ГКБ ИМ. М.П. КОНЧАЛОВСКОГО ДЗМ""")</f>
        <v>ГБУЗ "ГКБ ИМ. М.П. КОНЧАЛОВСКОГО ДЗМ"</v>
      </c>
      <c r="B5728" s="24" t="s">
        <v>3367</v>
      </c>
      <c r="C5728" s="25">
        <v>498000</v>
      </c>
      <c r="D5728" s="22" t="s">
        <v>7380</v>
      </c>
      <c r="E5728" s="22" t="s">
        <v>84</v>
      </c>
      <c r="F5728" s="23" t="str">
        <f>HYPERLINK("https://www.spark-marketing.ru/Card/Lot/71747697", "Аукцион в электронной форме на право заключения государственного контракта на выполнение работ по установке, запуску и настройке системы видеонаблюдения на территории ГБУЗ ""ГКБ им. М.П. Кончаловского ДЗМ"".")</f>
        <v>Аукцион в электронной форме на право заключения государственного контракта на выполнение работ по установке, запуску и настройке системы видеонаблюдения на территории ГБУЗ "ГКБ им. М.П. Кончаловского ДЗМ".</v>
      </c>
      <c r="G5728" s="22" t="s">
        <v>55</v>
      </c>
      <c r="H5728" s="22" t="s">
        <v>55</v>
      </c>
      <c r="I5728" s="26">
        <v>43643.568055555603</v>
      </c>
      <c r="J5728" s="23" t="str">
        <f>HYPERLINK("https://www.spark-marketing.ru/Card/Person/1363165", "Шлямина Елена Вячеславовна")</f>
        <v>Шлямина Елена Вячеславовна</v>
      </c>
      <c r="K5728" s="24" t="s">
        <v>7383</v>
      </c>
      <c r="L5728" s="28" t="s">
        <v>52</v>
      </c>
      <c r="M5728" s="25">
        <v>473100</v>
      </c>
      <c r="N5728" s="27">
        <v>0.05</v>
      </c>
    </row>
    <row r="5729" spans="1:14" x14ac:dyDescent="0.2">
      <c r="A5729" s="23" t="str">
        <f>HYPERLINK("https://www.spark-marketing.ru/Card/Person/1759689", "МАОУ ЕМБАЕВСКАЯ СОШ ИМ. АШИРБЕКОВА")</f>
        <v>МАОУ ЕМБАЕВСКАЯ СОШ ИМ. АШИРБЕКОВА</v>
      </c>
      <c r="B5729" s="24" t="s">
        <v>7384</v>
      </c>
      <c r="C5729" s="25">
        <v>1013472</v>
      </c>
      <c r="D5729" s="22" t="s">
        <v>7385</v>
      </c>
      <c r="E5729" s="22" t="s">
        <v>363</v>
      </c>
      <c r="F5729" s="23" t="str">
        <f>HYPERLINK("https://www.spark-marketing.ru/Card/Lot/71725468", "Оказание охранных услуг")</f>
        <v>Оказание охранных услуг</v>
      </c>
      <c r="G5729" s="22" t="s">
        <v>893</v>
      </c>
      <c r="H5729" s="22" t="s">
        <v>893</v>
      </c>
      <c r="I5729" s="26">
        <v>43643.5389699074</v>
      </c>
      <c r="J5729" s="28" t="s">
        <v>52</v>
      </c>
      <c r="K5729" s="28" t="s">
        <v>52</v>
      </c>
      <c r="L5729" s="28" t="s">
        <v>52</v>
      </c>
      <c r="M5729" s="25">
        <v>1013472</v>
      </c>
      <c r="N5729" s="27">
        <v>0</v>
      </c>
    </row>
    <row r="5730" spans="1:14" x14ac:dyDescent="0.15">
      <c r="A5730" s="23" t="str">
        <f>HYPERLINK("https://www.spark-marketing.ru/Card/Person/166030", "АО ""МАВ""")</f>
        <v>АО "МАВ"</v>
      </c>
      <c r="B5730" s="24" t="s">
        <v>7386</v>
      </c>
      <c r="C5730" s="25">
        <v>250000</v>
      </c>
      <c r="D5730" s="22" t="s">
        <v>7387</v>
      </c>
      <c r="E5730" s="22" t="s">
        <v>2577</v>
      </c>
      <c r="F5730" s="23" t="str">
        <f>HYPERLINK("https://www.spark-marketing.ru/Card/Lot/71715363", "Оказание услуг по разработке Плана обеспечения транспортной безопасности объекта транспортной инфраструктуры аэропорта Владивосток (Кневичи)")</f>
        <v>Оказание услуг по разработке Плана обеспечения транспортной безопасности объекта транспортной инфраструктуры аэропорта Владивосток (Кневичи)</v>
      </c>
      <c r="G5730" s="22" t="s">
        <v>409</v>
      </c>
      <c r="H5730" s="22" t="s">
        <v>409</v>
      </c>
      <c r="I5730" s="26">
        <v>43643.473437499997</v>
      </c>
      <c r="J5730" s="28" t="s">
        <v>52</v>
      </c>
      <c r="K5730" s="28" t="s">
        <v>52</v>
      </c>
      <c r="L5730" s="28" t="s">
        <v>52</v>
      </c>
      <c r="M5730" s="28" t="s">
        <v>52</v>
      </c>
      <c r="N5730" s="28" t="s">
        <v>52</v>
      </c>
    </row>
    <row r="5731" spans="1:14" ht="12.75" x14ac:dyDescent="0.2">
      <c r="A5731" s="23" t="str">
        <f>HYPERLINK("https://www.spark-marketing.ru/Card/Person/9633", "МИНСТРОЙ ИНГУШЕТИИ")</f>
        <v>МИНСТРОЙ ИНГУШЕТИИ</v>
      </c>
      <c r="B5731" s="24" t="s">
        <v>646</v>
      </c>
      <c r="C5731" s="25">
        <v>3592640</v>
      </c>
      <c r="D5731" s="22" t="s">
        <v>7388</v>
      </c>
      <c r="E5731" s="22" t="s">
        <v>218</v>
      </c>
      <c r="F5731" s="23" t="str">
        <f>HYPERLINK("https://www.spark-marketing.ru/Card/Lot/71735506", "Оказание услуг по строительному контролю и техническому сопровождению работ по объекту «Строительство детского сада на 220 мест в с. п. Альтиево»")</f>
        <v>Оказание услуг по строительному контролю и техническому сопровождению работ по объекту «Строительство детского сада на 220 мест в с. п. Альтиево»</v>
      </c>
      <c r="G5731" s="22" t="s">
        <v>648</v>
      </c>
      <c r="H5731" s="22" t="s">
        <v>648</v>
      </c>
      <c r="I5731" s="26">
        <v>43643.483333333301</v>
      </c>
      <c r="J5731" s="23" t="str">
        <f>HYPERLINK("https://www.spark-marketing.ru/Card/Person/259250", "ГУП""УКС РИ""")</f>
        <v>ГУП"УКС РИ"</v>
      </c>
      <c r="K5731" s="24" t="s">
        <v>7151</v>
      </c>
      <c r="L5731" s="22" t="s">
        <v>10</v>
      </c>
      <c r="M5731" s="25">
        <v>3592640</v>
      </c>
      <c r="N5731" s="27">
        <v>0</v>
      </c>
    </row>
    <row r="5732" spans="1:14" x14ac:dyDescent="0.15">
      <c r="A5732" s="23" t="str">
        <f>HYPERLINK("https://www.spark-marketing.ru/Card/Person/4958", "ФКУ УПРДОР ""ЛЕНА""")</f>
        <v>ФКУ УПРДОР "ЛЕНА"</v>
      </c>
      <c r="B5732" s="24" t="s">
        <v>600</v>
      </c>
      <c r="C5732" s="25">
        <v>36000</v>
      </c>
      <c r="D5732" s="22" t="s">
        <v>7389</v>
      </c>
      <c r="E5732" s="22" t="s">
        <v>103</v>
      </c>
      <c r="F5732" s="23" t="str">
        <f>HYPERLINK("https://www.spark-marketing.ru/Card/Lot/71725896", "Техническое обслуживание системы видеонаблюдения, 72 усл. ед")</f>
        <v>Техническое обслуживание системы видеонаблюдения, 72 усл. ед</v>
      </c>
      <c r="G5732" s="22" t="s">
        <v>424</v>
      </c>
      <c r="H5732" s="22" t="s">
        <v>602</v>
      </c>
      <c r="I5732" s="26">
        <v>43643.469027777799</v>
      </c>
      <c r="J5732" s="28" t="s">
        <v>52</v>
      </c>
      <c r="K5732" s="28" t="s">
        <v>52</v>
      </c>
      <c r="L5732" s="28" t="s">
        <v>52</v>
      </c>
      <c r="M5732" s="28" t="s">
        <v>52</v>
      </c>
      <c r="N5732" s="28" t="s">
        <v>52</v>
      </c>
    </row>
    <row r="5733" spans="1:14" x14ac:dyDescent="0.2">
      <c r="A5733" s="23" t="str">
        <f>HYPERLINK("https://www.spark-marketing.ru/Card/Person/1758942", "ГАУ БО ""СОСНОВЫЙ БОР""")</f>
        <v>ГАУ БО "СОСНОВЫЙ БОР"</v>
      </c>
      <c r="B5733" s="24" t="s">
        <v>7390</v>
      </c>
      <c r="C5733" s="25">
        <v>879200</v>
      </c>
      <c r="D5733" s="22" t="s">
        <v>7391</v>
      </c>
      <c r="E5733" s="22" t="s">
        <v>144</v>
      </c>
      <c r="F5733" s="23" t="str">
        <f>HYPERLINK("https://www.spark-marketing.ru/Card/Lot/71725329", "обеспечение установленного порядка на территори ГАУ БО ""Сосновый бор""")</f>
        <v>обеспечение установленного порядка на территори ГАУ БО "Сосновый бор"</v>
      </c>
      <c r="G5733" s="22" t="s">
        <v>215</v>
      </c>
      <c r="H5733" s="22" t="s">
        <v>215</v>
      </c>
      <c r="I5733" s="26">
        <v>43643.459386574097</v>
      </c>
      <c r="J5733" s="28" t="s">
        <v>52</v>
      </c>
      <c r="K5733" s="28" t="s">
        <v>52</v>
      </c>
      <c r="L5733" s="22" t="s">
        <v>10</v>
      </c>
      <c r="M5733" s="25">
        <v>780000</v>
      </c>
      <c r="N5733" s="27">
        <v>0.11282984531392175</v>
      </c>
    </row>
    <row r="5734" spans="1:14" x14ac:dyDescent="0.15">
      <c r="A5734" s="23" t="str">
        <f>HYPERLINK("https://www.spark-marketing.ru/Card/Person/156166", "ООО ""БАШРТС""")</f>
        <v>ООО "БАШРТС"</v>
      </c>
      <c r="B5734" s="24" t="s">
        <v>7392</v>
      </c>
      <c r="C5734" s="25">
        <v>1583162.1</v>
      </c>
      <c r="D5734" s="22" t="s">
        <v>7393</v>
      </c>
      <c r="E5734" s="22" t="s">
        <v>7394</v>
      </c>
      <c r="F5734" s="23" t="str">
        <f>HYPERLINK("https://www.spark-marketing.ru/Card/Lot/71724580", "Выполнение ПИР по установке системы видеонаблюдения в НПС-1, 2, 3, 4, 5 г.Салават для ООО ""БашРТС""")</f>
        <v>Выполнение ПИР по установке системы видеонаблюдения в НПС-1, 2, 3, 4, 5 г.Салават для ООО "БашРТС"</v>
      </c>
      <c r="G5734" s="22" t="s">
        <v>100</v>
      </c>
      <c r="H5734" s="22" t="s">
        <v>373</v>
      </c>
      <c r="I5734" s="26">
        <v>43643.479965277802</v>
      </c>
      <c r="J5734" s="28" t="s">
        <v>52</v>
      </c>
      <c r="K5734" s="28" t="s">
        <v>52</v>
      </c>
      <c r="L5734" s="28" t="s">
        <v>52</v>
      </c>
      <c r="M5734" s="28" t="s">
        <v>52</v>
      </c>
      <c r="N5734" s="28" t="s">
        <v>52</v>
      </c>
    </row>
    <row r="5735" spans="1:14" x14ac:dyDescent="0.15">
      <c r="A5735" s="23" t="str">
        <f>HYPERLINK("https://www.spark-marketing.ru/Card/Person/54418", "АО ""ФПК""")</f>
        <v>АО "ФПК"</v>
      </c>
      <c r="B5735" s="24" t="s">
        <v>7297</v>
      </c>
      <c r="C5735" s="25">
        <v>50000</v>
      </c>
      <c r="D5735" s="28" t="s">
        <v>52</v>
      </c>
      <c r="E5735" s="22" t="s">
        <v>7298</v>
      </c>
      <c r="F5735" s="23" t="str">
        <f>HYPERLINK("https://www.spark-marketing.ru/Card/Lot/71727425", "№19978 Оказание услуг по подбору потенциальных покупателей и сопровождению сделки купли продажи объектов недвижимости АО ""ФПК"" для нужд Приволжского филиала АО ""ФПК""")</f>
        <v>№19978 Оказание услуг по подбору потенциальных покупателей и сопровождению сделки купли продажи объектов недвижимости АО "ФПК" для нужд Приволжского филиала АО "ФПК"</v>
      </c>
      <c r="G5735" s="22" t="s">
        <v>55</v>
      </c>
      <c r="H5735" s="22" t="s">
        <v>55</v>
      </c>
      <c r="I5735" s="26">
        <v>43643.470740740697</v>
      </c>
      <c r="J5735" s="28" t="s">
        <v>52</v>
      </c>
      <c r="K5735" s="28" t="s">
        <v>52</v>
      </c>
      <c r="L5735" s="28" t="s">
        <v>52</v>
      </c>
      <c r="M5735" s="28" t="s">
        <v>52</v>
      </c>
      <c r="N5735" s="28" t="s">
        <v>52</v>
      </c>
    </row>
    <row r="5736" spans="1:14" x14ac:dyDescent="0.2">
      <c r="A5736" s="23" t="str">
        <f>HYPERLINK("https://www.spark-marketing.ru/Card/Person/1759729", "МАОУ КАМЕНСКАЯ СОШ")</f>
        <v>МАОУ КАМЕНСКАЯ СОШ</v>
      </c>
      <c r="B5736" s="24" t="s">
        <v>7395</v>
      </c>
      <c r="C5736" s="25">
        <v>470000</v>
      </c>
      <c r="D5736" s="22" t="s">
        <v>7396</v>
      </c>
      <c r="E5736" s="22" t="s">
        <v>363</v>
      </c>
      <c r="F5736" s="23" t="str">
        <f>HYPERLINK("https://www.spark-marketing.ru/Card/Lot/71721398", "Оказание охранных услуг")</f>
        <v>Оказание охранных услуг</v>
      </c>
      <c r="G5736" s="22" t="s">
        <v>893</v>
      </c>
      <c r="H5736" s="22" t="s">
        <v>893</v>
      </c>
      <c r="I5736" s="26">
        <v>43643.447303240697</v>
      </c>
      <c r="J5736" s="28" t="s">
        <v>52</v>
      </c>
      <c r="K5736" s="28" t="s">
        <v>52</v>
      </c>
      <c r="L5736" s="28" t="s">
        <v>52</v>
      </c>
      <c r="M5736" s="25">
        <v>470000</v>
      </c>
      <c r="N5736" s="27">
        <v>0</v>
      </c>
    </row>
    <row r="5737" spans="1:14" x14ac:dyDescent="0.15">
      <c r="A5737" s="23" t="str">
        <f>HYPERLINK("https://www.spark-marketing.ru/Card/Person/73912", "МЕЖРАЙОННАЯ ИФНС РОССИИ №11 ПО ПРИМОРСКОМУ КРАЮ")</f>
        <v>МЕЖРАЙОННАЯ ИФНС РОССИИ №11 ПО ПРИМОРСКОМУ КРАЮ</v>
      </c>
      <c r="B5737" s="24" t="s">
        <v>7397</v>
      </c>
      <c r="C5737" s="25">
        <v>68573.460000000006</v>
      </c>
      <c r="D5737" s="22" t="s">
        <v>7398</v>
      </c>
      <c r="E5737" s="22" t="s">
        <v>53</v>
      </c>
      <c r="F5737" s="23" t="str">
        <f>HYPERLINK("https://www.spark-marketing.ru/Card/Lot/71724301", "Оказание услуг по централизованной охране объектов и по экстренному выезду наряда полиции при срабатывании средств стевожной сигнализации")</f>
        <v>Оказание услуг по централизованной охране объектов и по экстренному выезду наряда полиции при срабатывании средств стевожной сигнализации</v>
      </c>
      <c r="G5737" s="22" t="s">
        <v>409</v>
      </c>
      <c r="H5737" s="22" t="s">
        <v>7399</v>
      </c>
      <c r="I5737" s="26">
        <v>43643.427812499998</v>
      </c>
      <c r="J5737" s="28" t="s">
        <v>52</v>
      </c>
      <c r="K5737" s="28" t="s">
        <v>52</v>
      </c>
      <c r="L5737" s="28" t="s">
        <v>52</v>
      </c>
      <c r="M5737" s="28" t="s">
        <v>52</v>
      </c>
      <c r="N5737" s="28" t="s">
        <v>52</v>
      </c>
    </row>
    <row r="5738" spans="1:14" x14ac:dyDescent="0.15">
      <c r="A5738" s="23" t="str">
        <f>HYPERLINK("https://www.spark-marketing.ru/Card/Person/4376", "ГБУЗ ""ГКБ ИМ. М.П. КОНЧАЛОВСКОГО ДЗМ""")</f>
        <v>ГБУЗ "ГКБ ИМ. М.П. КОНЧАЛОВСКОГО ДЗМ"</v>
      </c>
      <c r="B5738" s="24" t="s">
        <v>3367</v>
      </c>
      <c r="C5738" s="25">
        <v>232800</v>
      </c>
      <c r="D5738" s="22" t="s">
        <v>7400</v>
      </c>
      <c r="E5738" s="22" t="s">
        <v>103</v>
      </c>
      <c r="F5738" s="23" t="str">
        <f>HYPERLINK("https://www.spark-marketing.ru/Card/Lot/71730461", "Аукцион в электронной форме на право заключения контракта на оказание услуг пультовой охраны объектов Государственного бюджетного учреждение здравоохранения города Москвы «Городская клиническая больница М.П. Кончаловского Департамента здравоохранения...")</f>
        <v>Аукцион в электронной форме на право заключения контракта на оказание услуг пультовой охраны объектов Государственного бюджетного учреждение здравоохранения города Москвы «Городская клиническая больница М.П. Кончаловского Департамента здравоохранения...</v>
      </c>
      <c r="G5738" s="22" t="s">
        <v>55</v>
      </c>
      <c r="H5738" s="22" t="s">
        <v>55</v>
      </c>
      <c r="I5738" s="26">
        <v>43643.438194444403</v>
      </c>
      <c r="J5738" s="28" t="s">
        <v>52</v>
      </c>
      <c r="K5738" s="28" t="s">
        <v>52</v>
      </c>
      <c r="L5738" s="28" t="s">
        <v>52</v>
      </c>
      <c r="M5738" s="28" t="s">
        <v>52</v>
      </c>
      <c r="N5738" s="28" t="s">
        <v>52</v>
      </c>
    </row>
    <row r="5739" spans="1:14" x14ac:dyDescent="0.15">
      <c r="A5739" s="23" t="str">
        <f>HYPERLINK("https://www.spark-marketing.ru/Card/Person/734757", "АДМИНИСТРАЦИЯ СЕВЕРО-БАЙКАЛЬСКОГО РАЙОНА")</f>
        <v>АДМИНИСТРАЦИЯ СЕВЕРО-БАЙКАЛЬСКОГО РАЙОНА</v>
      </c>
      <c r="B5739" s="24" t="s">
        <v>7401</v>
      </c>
      <c r="C5739" s="25">
        <v>179630</v>
      </c>
      <c r="D5739" s="22" t="s">
        <v>7402</v>
      </c>
      <c r="E5739" s="22" t="s">
        <v>84</v>
      </c>
      <c r="F5739" s="23" t="str">
        <f>HYPERLINK("https://www.spark-marketing.ru/Card/Lot/71717381", "Выполнение работ по установке системы видеонаблюдения в п.Нижнеангарск.")</f>
        <v>Выполнение работ по установке системы видеонаблюдения в п.Нижнеангарск.</v>
      </c>
      <c r="G5739" s="22" t="s">
        <v>354</v>
      </c>
      <c r="H5739" s="22" t="s">
        <v>7403</v>
      </c>
      <c r="I5739" s="26">
        <v>43643.435416666704</v>
      </c>
      <c r="J5739" s="23" t="str">
        <f>HYPERLINK("https://www.spark-marketing.ru/Card/Person/5886157", "Цыбиков Иван Юрьевич")</f>
        <v>Цыбиков Иван Юрьевич</v>
      </c>
      <c r="K5739" s="24" t="s">
        <v>6565</v>
      </c>
      <c r="L5739" s="22" t="s">
        <v>10</v>
      </c>
      <c r="M5739" s="28" t="s">
        <v>52</v>
      </c>
      <c r="N5739" s="28" t="s">
        <v>52</v>
      </c>
    </row>
    <row r="5740" spans="1:14" x14ac:dyDescent="0.15">
      <c r="A5740" s="23" t="str">
        <f>HYPERLINK("https://www.spark-marketing.ru/Card/Person/73912", "МЕЖРАЙОННАЯ ИФНС РОССИИ №11 ПО ПРИМОРСКОМУ КРАЮ")</f>
        <v>МЕЖРАЙОННАЯ ИФНС РОССИИ №11 ПО ПРИМОРСКОМУ КРАЮ</v>
      </c>
      <c r="B5740" s="24" t="s">
        <v>7397</v>
      </c>
      <c r="C5740" s="25">
        <v>52647.6</v>
      </c>
      <c r="D5740" s="22" t="s">
        <v>7404</v>
      </c>
      <c r="E5740" s="22" t="s">
        <v>53</v>
      </c>
      <c r="F5740" s="23" t="str">
        <f>HYPERLINK("https://www.spark-marketing.ru/Card/Lot/71724205", "Возмездное оказание охранных услуг путем мониторинга технических средств охраны")</f>
        <v>Возмездное оказание охранных услуг путем мониторинга технических средств охраны</v>
      </c>
      <c r="G5740" s="22" t="s">
        <v>409</v>
      </c>
      <c r="H5740" s="22" t="s">
        <v>7399</v>
      </c>
      <c r="I5740" s="26">
        <v>43643.442523148202</v>
      </c>
      <c r="J5740" s="28" t="s">
        <v>52</v>
      </c>
      <c r="K5740" s="28" t="s">
        <v>52</v>
      </c>
      <c r="L5740" s="28" t="s">
        <v>52</v>
      </c>
      <c r="M5740" s="28" t="s">
        <v>52</v>
      </c>
      <c r="N5740" s="28" t="s">
        <v>52</v>
      </c>
    </row>
    <row r="5741" spans="1:14" x14ac:dyDescent="0.15">
      <c r="A5741" s="23" t="str">
        <f>HYPERLINK("https://www.spark-marketing.ru/Card/Person/645599", "ОМВД РОССИИ ПО УСТЬ-АБАКАНСКОМУ РАЙОНУ")</f>
        <v>ОМВД РОССИИ ПО УСТЬ-АБАКАНСКОМУ РАЙОНУ</v>
      </c>
      <c r="B5741" s="24" t="s">
        <v>7405</v>
      </c>
      <c r="C5741" s="25">
        <v>40000</v>
      </c>
      <c r="D5741" s="22" t="s">
        <v>7406</v>
      </c>
      <c r="E5741" s="22" t="s">
        <v>84</v>
      </c>
      <c r="F5741" s="23" t="str">
        <f>HYPERLINK("https://www.spark-marketing.ru/Card/Lot/71721902", "Монтаж, установка, сборка видеонаблюдения, 1 шт")</f>
        <v>Монтаж, установка, сборка видеонаблюдения, 1 шт</v>
      </c>
      <c r="G5741" s="22" t="s">
        <v>1041</v>
      </c>
      <c r="H5741" s="22" t="s">
        <v>1041</v>
      </c>
      <c r="I5741" s="26">
        <v>43643.421817129602</v>
      </c>
      <c r="J5741" s="28" t="s">
        <v>52</v>
      </c>
      <c r="K5741" s="28" t="s">
        <v>52</v>
      </c>
      <c r="L5741" s="28" t="s">
        <v>52</v>
      </c>
      <c r="M5741" s="28" t="s">
        <v>52</v>
      </c>
      <c r="N5741" s="28" t="s">
        <v>52</v>
      </c>
    </row>
    <row r="5742" spans="1:14" x14ac:dyDescent="0.15">
      <c r="A5742" s="23" t="str">
        <f>HYPERLINK("https://www.spark-marketing.ru/Card/Person/1038058", "ГБПОУ КО ""КИПК""")</f>
        <v>ГБПОУ КО "КИПК"</v>
      </c>
      <c r="B5742" s="24" t="s">
        <v>7407</v>
      </c>
      <c r="C5742" s="25">
        <v>893069.28</v>
      </c>
      <c r="D5742" s="22" t="s">
        <v>7408</v>
      </c>
      <c r="E5742" s="22" t="s">
        <v>68</v>
      </c>
      <c r="F5742" s="23" t="str">
        <f>HYPERLINK("https://www.spark-marketing.ru/Card/Lot/71723948", "Оказание охранных услуг")</f>
        <v>Оказание охранных услуг</v>
      </c>
      <c r="G5742" s="22" t="s">
        <v>658</v>
      </c>
      <c r="H5742" s="22" t="s">
        <v>741</v>
      </c>
      <c r="I5742" s="26">
        <v>43643.381944444402</v>
      </c>
      <c r="J5742" s="23" t="str">
        <f>HYPERLINK("https://www.spark-marketing.ru/Card/Person/2318830", "ООО ЧОП ""КОРДОН""")</f>
        <v>ООО ЧОП "КОРДОН"</v>
      </c>
      <c r="K5742" s="24" t="s">
        <v>7409</v>
      </c>
      <c r="L5742" s="28" t="s">
        <v>52</v>
      </c>
      <c r="M5742" s="28" t="s">
        <v>52</v>
      </c>
      <c r="N5742" s="28" t="s">
        <v>52</v>
      </c>
    </row>
    <row r="5743" spans="1:14" ht="12.75" hidden="1" outlineLevel="1" x14ac:dyDescent="0.2">
      <c r="A5743" s="23" t="str">
        <f>HYPERLINK("https://www.spark-marketing.ru/Card/Person/1038058", "ГБПОУ КО ""КИПК""")</f>
        <v>ГБПОУ КО "КИПК"</v>
      </c>
      <c r="B5743" s="24" t="s">
        <v>7407</v>
      </c>
      <c r="C5743" s="25">
        <v>893069.28</v>
      </c>
      <c r="D5743" s="22" t="s">
        <v>7408</v>
      </c>
      <c r="E5743" s="22" t="s">
        <v>68</v>
      </c>
      <c r="F5743" s="23" t="str">
        <f>HYPERLINK("https://www.spark-marketing.ru/Card/Lot/71723948", "Оказание охранных услуг")</f>
        <v>Оказание охранных услуг</v>
      </c>
      <c r="G5743" s="22" t="s">
        <v>658</v>
      </c>
      <c r="H5743" s="22" t="s">
        <v>741</v>
      </c>
      <c r="I5743" s="26">
        <v>43643.381944444402</v>
      </c>
      <c r="J5743" s="23" t="str">
        <f>HYPERLINK("https://www.spark-marketing.ru/Card/Person/2318830", "ООО ЧОП ""КОРДОН""")</f>
        <v>ООО ЧОП "КОРДОН"</v>
      </c>
      <c r="K5743" s="24" t="s">
        <v>7409</v>
      </c>
      <c r="L5743" s="22" t="s">
        <v>10</v>
      </c>
      <c r="M5743" s="25">
        <v>888603.93</v>
      </c>
      <c r="N5743" s="27">
        <v>5.0000040310422501E-3</v>
      </c>
    </row>
    <row r="5744" spans="1:14" x14ac:dyDescent="0.15">
      <c r="A5744" s="23" t="str">
        <f>HYPERLINK("https://www.spark-marketing.ru/Card/Person/1028214", "МОУ ЛУКЕРЬИНСКАЯ НОШ")</f>
        <v>МОУ ЛУКЕРЬИНСКАЯ НОШ</v>
      </c>
      <c r="B5744" s="24" t="s">
        <v>7410</v>
      </c>
      <c r="C5744" s="25">
        <v>236000</v>
      </c>
      <c r="D5744" s="22" t="s">
        <v>7411</v>
      </c>
      <c r="E5744" s="22" t="s">
        <v>84</v>
      </c>
      <c r="F5744" s="23" t="str">
        <f>HYPERLINK("https://www.spark-marketing.ru/Card/Lot/71722379", "оказание услуг по согласованию, 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технологического обеспечения региональной общественной безопасно...")</f>
        <v>оказание услуг по согласованию, 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технологического обеспечения региональной общественной безопасно...</v>
      </c>
      <c r="G5744" s="22" t="s">
        <v>50</v>
      </c>
      <c r="H5744" s="22" t="s">
        <v>738</v>
      </c>
      <c r="I5744" s="26">
        <v>43643.399837962999</v>
      </c>
      <c r="J5744" s="28" t="s">
        <v>52</v>
      </c>
      <c r="K5744" s="28" t="s">
        <v>52</v>
      </c>
      <c r="L5744" s="28" t="s">
        <v>52</v>
      </c>
      <c r="M5744" s="28" t="s">
        <v>52</v>
      </c>
      <c r="N5744" s="28" t="s">
        <v>52</v>
      </c>
    </row>
    <row r="5745" spans="1:14" x14ac:dyDescent="0.15">
      <c r="A5745" s="23" t="str">
        <f>HYPERLINK("https://www.spark-marketing.ru/Card/Person/115237", "ГБУЗ РЕСПУБЛИКИ МОРДОВИЯ ""КОЧКУРОВСКАЯ ПОЛИКЛИНИКА""")</f>
        <v>ГБУЗ РЕСПУБЛИКИ МОРДОВИЯ "КОЧКУРОВСКАЯ ПОЛИКЛИНИКА"</v>
      </c>
      <c r="B5745" s="24" t="s">
        <v>7412</v>
      </c>
      <c r="C5745" s="25">
        <v>214842</v>
      </c>
      <c r="D5745" s="22" t="s">
        <v>7413</v>
      </c>
      <c r="E5745" s="22" t="s">
        <v>52</v>
      </c>
      <c r="F5745" s="23" t="str">
        <f>HYPERLINK("https://www.spark-marketing.ru/Card/Lot/71723029", "оказание услуг по охране имущества при помощи средств охранной и тревожной сигнализации")</f>
        <v>оказание услуг по охране имущества при помощи средств охранной и тревожной сигнализации</v>
      </c>
      <c r="G5745" s="22" t="s">
        <v>331</v>
      </c>
      <c r="H5745" s="22" t="s">
        <v>7414</v>
      </c>
      <c r="I5745" s="26">
        <v>43643.377083333296</v>
      </c>
      <c r="J5745" s="28" t="s">
        <v>52</v>
      </c>
      <c r="K5745" s="28" t="s">
        <v>52</v>
      </c>
      <c r="L5745" s="28" t="s">
        <v>52</v>
      </c>
      <c r="M5745" s="28" t="s">
        <v>52</v>
      </c>
      <c r="N5745" s="28" t="s">
        <v>52</v>
      </c>
    </row>
    <row r="5746" spans="1:14" ht="12.75" hidden="1" outlineLevel="1" x14ac:dyDescent="0.2">
      <c r="A5746" s="23" t="str">
        <f>HYPERLINK("https://www.spark-marketing.ru/Card/Person/115237", "ГБУЗ РЕСПУБЛИКИ МОРДОВИЯ ""КОЧКУРОВСКАЯ ПОЛИКЛИНИКА""")</f>
        <v>ГБУЗ РЕСПУБЛИКИ МОРДОВИЯ "КОЧКУРОВСКАЯ ПОЛИКЛИНИКА"</v>
      </c>
      <c r="B5746" s="24" t="s">
        <v>7412</v>
      </c>
      <c r="C5746" s="25">
        <v>214842</v>
      </c>
      <c r="D5746" s="22" t="s">
        <v>7413</v>
      </c>
      <c r="E5746" s="22" t="s">
        <v>52</v>
      </c>
      <c r="F5746" s="23" t="str">
        <f>HYPERLINK("https://www.spark-marketing.ru/Card/Lot/71723029", "оказание услуг по охране имущества при помощи средств охранной и тревожной сигнализации")</f>
        <v>оказание услуг по охране имущества при помощи средств охранной и тревожной сигнализации</v>
      </c>
      <c r="G5746" s="22" t="s">
        <v>331</v>
      </c>
      <c r="H5746" s="22" t="s">
        <v>7414</v>
      </c>
      <c r="I5746" s="26">
        <v>43643.377083333296</v>
      </c>
      <c r="J5746" s="23" t="str">
        <f>HYPERLINK("https://www.spark-marketing.ru/Card/Person/6625300", "ФЛ ФГУП ОХРАНА ФЕДЕРАЛЬНОЙ СЛУЖБЫ ВОЙСК НАЦИОНАЛЬНОЙ ГВАРДИИ РФ ПО РП МОРДОВИЯ")</f>
        <v>ФЛ ФГУП ОХРАНА ФЕДЕРАЛЬНОЙ СЛУЖБЫ ВОЙСК НАЦИОНАЛЬНОЙ ГВАРДИИ РФ ПО РП МОРДОВИЯ</v>
      </c>
      <c r="K5746" s="24" t="s">
        <v>779</v>
      </c>
      <c r="L5746" s="22" t="s">
        <v>10</v>
      </c>
      <c r="M5746" s="25">
        <v>80565.75</v>
      </c>
      <c r="N5746" s="27">
        <v>0.625</v>
      </c>
    </row>
    <row r="5747" spans="1:14" hidden="1" outlineLevel="1" x14ac:dyDescent="0.2">
      <c r="A5747" s="23" t="str">
        <f>HYPERLINK("https://www.spark-marketing.ru/Card/Person/115237", "ГБУЗ РЕСПУБЛИКИ МОРДОВИЯ ""КОЧКУРОВСКАЯ ПОЛИКЛИНИКА""")</f>
        <v>ГБУЗ РЕСПУБЛИКИ МОРДОВИЯ "КОЧКУРОВСКАЯ ПОЛИКЛИНИКА"</v>
      </c>
      <c r="B5747" s="24" t="s">
        <v>7412</v>
      </c>
      <c r="C5747" s="25">
        <v>214842</v>
      </c>
      <c r="D5747" s="22" t="s">
        <v>7413</v>
      </c>
      <c r="E5747" s="22" t="s">
        <v>52</v>
      </c>
      <c r="F5747" s="23" t="str">
        <f>HYPERLINK("https://www.spark-marketing.ru/Card/Lot/71723029", "оказание услуг по охране имущества при помощи средств охранной и тревожной сигнализации")</f>
        <v>оказание услуг по охране имущества при помощи средств охранной и тревожной сигнализации</v>
      </c>
      <c r="G5747" s="22" t="s">
        <v>331</v>
      </c>
      <c r="H5747" s="22" t="s">
        <v>7414</v>
      </c>
      <c r="I5747" s="26">
        <v>43643.377083333296</v>
      </c>
      <c r="J5747" s="23" t="str">
        <f>HYPERLINK("https://www.spark-marketing.ru/Card/Person/35383", "ООО ""ЧОО ""БАТАЛЬОН-ПО""")</f>
        <v>ООО "ЧОО "БАТАЛЬОН-ПО"</v>
      </c>
      <c r="K5747" s="24" t="s">
        <v>7415</v>
      </c>
      <c r="L5747" s="28" t="s">
        <v>52</v>
      </c>
      <c r="M5747" s="25">
        <v>81639.960000000006</v>
      </c>
      <c r="N5747" s="27">
        <v>0.62</v>
      </c>
    </row>
    <row r="5748" spans="1:14" x14ac:dyDescent="0.15">
      <c r="A5748" s="23" t="str">
        <f>HYPERLINK("https://www.spark-marketing.ru/Card/Person/4317", "ФКУ ""ЦХИСО ГУ МВД РОССИИ ПО ПЕРМСКОМУ КРАЮ""")</f>
        <v>ФКУ "ЦХИСО ГУ МВД РОССИИ ПО ПЕРМСКОМУ КРАЮ"</v>
      </c>
      <c r="B5748" s="24" t="s">
        <v>7416</v>
      </c>
      <c r="C5748" s="25">
        <v>15283.56</v>
      </c>
      <c r="D5748" s="22" t="s">
        <v>7417</v>
      </c>
      <c r="E5748" s="22" t="s">
        <v>208</v>
      </c>
      <c r="F5748" s="23" t="str">
        <f>HYPERLINK("https://www.spark-marketing.ru/Card/Lot/71719016", "Оказание услуг охраны и услуг технического обслуживания средств охраны объекта, расположенного по адресу: г. Соликамск, ул. Набережная, 89")</f>
        <v>Оказание услуг охраны и услуг технического обслуживания средств охраны объекта, расположенного по адресу: г. Соликамск, ул. Набережная, 89</v>
      </c>
      <c r="G5748" s="22" t="s">
        <v>391</v>
      </c>
      <c r="H5748" s="22" t="s">
        <v>7418</v>
      </c>
      <c r="I5748" s="26">
        <v>43643.394444444399</v>
      </c>
      <c r="J5748" s="28" t="s">
        <v>52</v>
      </c>
      <c r="K5748" s="28" t="s">
        <v>52</v>
      </c>
      <c r="L5748" s="28" t="s">
        <v>52</v>
      </c>
      <c r="M5748" s="28" t="s">
        <v>52</v>
      </c>
      <c r="N5748" s="28" t="s">
        <v>52</v>
      </c>
    </row>
    <row r="5749" spans="1:14" x14ac:dyDescent="0.15">
      <c r="A5749" s="23" t="str">
        <f>HYPERLINK("https://www.spark-marketing.ru/Card/Person/60571", "БУЗ ВО ""КАШИРСКАЯ РБ""")</f>
        <v>БУЗ ВО "КАШИРСКАЯ РБ"</v>
      </c>
      <c r="B5749" s="24" t="s">
        <v>7419</v>
      </c>
      <c r="C5749" s="25">
        <v>104603.52</v>
      </c>
      <c r="D5749" s="22" t="s">
        <v>7420</v>
      </c>
      <c r="E5749" s="22" t="s">
        <v>68</v>
      </c>
      <c r="F5749" s="23" t="str">
        <f>HYPERLINK("https://www.spark-marketing.ru/Card/Lot/71729416", "Охрана объекта путем мониторинга за состоянием средств сигнализации и техническому обслуживанию комплекса технических средств охраны")</f>
        <v>Охрана объекта путем мониторинга за состоянием средств сигнализации и техническому обслуживанию комплекса технических средств охраны</v>
      </c>
      <c r="G5749" s="22" t="s">
        <v>552</v>
      </c>
      <c r="H5749" s="22" t="s">
        <v>7421</v>
      </c>
      <c r="I5749" s="26">
        <v>43643.394444444399</v>
      </c>
      <c r="J5749" s="28" t="s">
        <v>52</v>
      </c>
      <c r="K5749" s="28" t="s">
        <v>52</v>
      </c>
      <c r="L5749" s="28" t="s">
        <v>52</v>
      </c>
      <c r="M5749" s="28" t="s">
        <v>52</v>
      </c>
      <c r="N5749" s="28" t="s">
        <v>52</v>
      </c>
    </row>
    <row r="5750" spans="1:14" x14ac:dyDescent="0.15">
      <c r="A5750" s="23" t="str">
        <f>HYPERLINK("https://www.spark-marketing.ru/Card/Person/4365531", "ООО ""УК ""ТАТБУРНЕФТЬ""")</f>
        <v>ООО "УК "ТАТБУРНЕФТЬ"</v>
      </c>
      <c r="B5750" s="24" t="s">
        <v>1875</v>
      </c>
      <c r="C5750" s="25">
        <v>0</v>
      </c>
      <c r="D5750" s="22" t="s">
        <v>7422</v>
      </c>
      <c r="E5750" s="22" t="s">
        <v>2420</v>
      </c>
      <c r="F5750" s="23" t="str">
        <f>HYPERLINK("https://www.spark-marketing.ru/Card/Lot/71726344", "Техническое обслуживание компонентов системы.")</f>
        <v>Техническое обслуживание компонентов системы.</v>
      </c>
      <c r="G5750" s="22" t="s">
        <v>204</v>
      </c>
      <c r="H5750" s="22" t="s">
        <v>308</v>
      </c>
      <c r="I5750" s="26">
        <v>43643.359270833302</v>
      </c>
      <c r="J5750" s="28" t="s">
        <v>52</v>
      </c>
      <c r="K5750" s="28" t="s">
        <v>52</v>
      </c>
      <c r="L5750" s="28" t="s">
        <v>52</v>
      </c>
      <c r="M5750" s="28" t="s">
        <v>52</v>
      </c>
      <c r="N5750" s="28" t="s">
        <v>52</v>
      </c>
    </row>
    <row r="5751" spans="1:14" x14ac:dyDescent="0.15">
      <c r="A5751" s="23" t="str">
        <f>HYPERLINK("https://www.spark-marketing.ru/Card/Person/26903", "ОТДЕЛ МВД РОССИИ ПО ГОРОДУ НЕВИННОМЫССКУ")</f>
        <v>ОТДЕЛ МВД РОССИИ ПО ГОРОДУ НЕВИННОМЫССКУ</v>
      </c>
      <c r="B5751" s="24" t="s">
        <v>6943</v>
      </c>
      <c r="C5751" s="25">
        <v>100000</v>
      </c>
      <c r="D5751" s="22" t="s">
        <v>7423</v>
      </c>
      <c r="E5751" s="22" t="s">
        <v>84</v>
      </c>
      <c r="F5751" s="23" t="str">
        <f>HYPERLINK("https://www.spark-marketing.ru/Card/Lot/71720011", "Монтаж, установка, сборка видеонаблюдения, 1 шт")</f>
        <v>Монтаж, установка, сборка видеонаблюдения, 1 шт</v>
      </c>
      <c r="G5751" s="22" t="s">
        <v>258</v>
      </c>
      <c r="H5751" s="22" t="s">
        <v>6945</v>
      </c>
      <c r="I5751" s="26">
        <v>43643.3653009259</v>
      </c>
      <c r="J5751" s="28" t="s">
        <v>52</v>
      </c>
      <c r="K5751" s="28" t="s">
        <v>52</v>
      </c>
      <c r="L5751" s="28" t="s">
        <v>52</v>
      </c>
      <c r="M5751" s="28" t="s">
        <v>52</v>
      </c>
      <c r="N5751" s="28" t="s">
        <v>52</v>
      </c>
    </row>
    <row r="5752" spans="1:14" x14ac:dyDescent="0.15">
      <c r="A5752" s="23" t="str">
        <f>HYPERLINK("https://www.spark-marketing.ru/Card/Person/62961", "СУ СК РОССИИ ПО ВОЛОГОДСКОЙ ОБЛАСТИ")</f>
        <v>СУ СК РОССИИ ПО ВОЛОГОДСКОЙ ОБЛАСТИ</v>
      </c>
      <c r="B5752" s="24" t="s">
        <v>7424</v>
      </c>
      <c r="C5752" s="25">
        <v>72000</v>
      </c>
      <c r="D5752" s="22" t="s">
        <v>7425</v>
      </c>
      <c r="E5752" s="22" t="s">
        <v>1297</v>
      </c>
      <c r="F5752" s="23" t="str">
        <f>HYPERLINK("https://www.spark-marketing.ru/Card/Lot/71721510", "приобретение видеодомофона с монтажем")</f>
        <v>приобретение видеодомофона с монтажем</v>
      </c>
      <c r="G5752" s="22" t="s">
        <v>902</v>
      </c>
      <c r="H5752" s="22" t="s">
        <v>902</v>
      </c>
      <c r="I5752" s="26">
        <v>43643.349305555603</v>
      </c>
      <c r="J5752" s="28" t="s">
        <v>52</v>
      </c>
      <c r="K5752" s="28" t="s">
        <v>52</v>
      </c>
      <c r="L5752" s="28" t="s">
        <v>52</v>
      </c>
      <c r="M5752" s="28" t="s">
        <v>52</v>
      </c>
      <c r="N5752" s="28" t="s">
        <v>52</v>
      </c>
    </row>
    <row r="5753" spans="1:14" hidden="1" outlineLevel="1" x14ac:dyDescent="0.2">
      <c r="A5753" s="23" t="str">
        <f>HYPERLINK("https://www.spark-marketing.ru/Card/Person/62961", "СУ СК РОССИИ ПО ВОЛОГОДСКОЙ ОБЛАСТИ")</f>
        <v>СУ СК РОССИИ ПО ВОЛОГОДСКОЙ ОБЛАСТИ</v>
      </c>
      <c r="B5753" s="24" t="s">
        <v>7424</v>
      </c>
      <c r="C5753" s="25">
        <v>72000</v>
      </c>
      <c r="D5753" s="22" t="s">
        <v>7425</v>
      </c>
      <c r="E5753" s="22" t="s">
        <v>1297</v>
      </c>
      <c r="F5753" s="23" t="str">
        <f>HYPERLINK("https://www.spark-marketing.ru/Card/Lot/71721510", "приобретение видеодомофона с монтажем")</f>
        <v>приобретение видеодомофона с монтажем</v>
      </c>
      <c r="G5753" s="22" t="s">
        <v>902</v>
      </c>
      <c r="H5753" s="22" t="s">
        <v>902</v>
      </c>
      <c r="I5753" s="26">
        <v>43643.349305555603</v>
      </c>
      <c r="J5753" s="23" t="str">
        <f>HYPERLINK("https://www.spark-marketing.ru/Card/Person/6319130", "ООО ""ВИДЕО В ДОМ""")</f>
        <v>ООО "ВИДЕО В ДОМ"</v>
      </c>
      <c r="K5753" s="24" t="s">
        <v>7426</v>
      </c>
      <c r="L5753" s="28" t="s">
        <v>52</v>
      </c>
      <c r="M5753" s="25">
        <v>56000</v>
      </c>
      <c r="N5753" s="27">
        <v>0.22222222222222221</v>
      </c>
    </row>
    <row r="5754" spans="1:14" ht="12.75" hidden="1" outlineLevel="1" x14ac:dyDescent="0.2">
      <c r="A5754" s="23" t="str">
        <f>HYPERLINK("https://www.spark-marketing.ru/Card/Person/62961", "СУ СК РОССИИ ПО ВОЛОГОДСКОЙ ОБЛАСТИ")</f>
        <v>СУ СК РОССИИ ПО ВОЛОГОДСКОЙ ОБЛАСТИ</v>
      </c>
      <c r="B5754" s="24" t="s">
        <v>7424</v>
      </c>
      <c r="C5754" s="25">
        <v>72000</v>
      </c>
      <c r="D5754" s="22" t="s">
        <v>7425</v>
      </c>
      <c r="E5754" s="22" t="s">
        <v>1297</v>
      </c>
      <c r="F5754" s="23" t="str">
        <f>HYPERLINK("https://www.spark-marketing.ru/Card/Lot/71721510", "приобретение видеодомофона с монтажем")</f>
        <v>приобретение видеодомофона с монтажем</v>
      </c>
      <c r="G5754" s="22" t="s">
        <v>902</v>
      </c>
      <c r="H5754" s="22" t="s">
        <v>902</v>
      </c>
      <c r="I5754" s="26">
        <v>43643.349305555603</v>
      </c>
      <c r="J5754" s="23" t="str">
        <f>HYPERLINK("https://www.spark-marketing.ru/Card/Person/1267587", "ООО ""АЛТАВИ""")</f>
        <v>ООО "АЛТАВИ"</v>
      </c>
      <c r="K5754" s="24" t="s">
        <v>7427</v>
      </c>
      <c r="L5754" s="22" t="s">
        <v>10</v>
      </c>
      <c r="M5754" s="25">
        <v>55640</v>
      </c>
      <c r="N5754" s="27">
        <v>0.22722222222222221</v>
      </c>
    </row>
    <row r="5755" spans="1:14" x14ac:dyDescent="0.15">
      <c r="A5755" s="23" t="str">
        <f>HYPERLINK("https://www.spark-marketing.ru/Card/Person/1762249", "МДОУ №72 ""РОСИНКА""")</f>
        <v>МДОУ №72 "РОСИНКА"</v>
      </c>
      <c r="B5755" s="24" t="s">
        <v>7428</v>
      </c>
      <c r="C5755" s="25">
        <v>71402.320000000007</v>
      </c>
      <c r="D5755" s="22" t="s">
        <v>7429</v>
      </c>
      <c r="E5755" s="22" t="s">
        <v>84</v>
      </c>
      <c r="F5755" s="23" t="str">
        <f>HYPERLINK("https://www.spark-marketing.ru/Card/Lot/71720356", "приобретение и установка видеонаблюдения")</f>
        <v>приобретение и установка видеонаблюдения</v>
      </c>
      <c r="G5755" s="22" t="s">
        <v>50</v>
      </c>
      <c r="H5755" s="22" t="s">
        <v>511</v>
      </c>
      <c r="I5755" s="26">
        <v>43643.336469907401</v>
      </c>
      <c r="J5755" s="28" t="s">
        <v>52</v>
      </c>
      <c r="K5755" s="28" t="s">
        <v>52</v>
      </c>
      <c r="L5755" s="28" t="s">
        <v>52</v>
      </c>
      <c r="M5755" s="28" t="s">
        <v>52</v>
      </c>
      <c r="N5755" s="28" t="s">
        <v>52</v>
      </c>
    </row>
    <row r="5756" spans="1:14" x14ac:dyDescent="0.15">
      <c r="A5756" s="23" t="str">
        <f>HYPERLINK("https://www.spark-marketing.ru/Card/Person/109392", "МЕЖМУНИЦИПАЛЬНЫЙ ОТДЕЛ МВД РОССИИ ""МИНУСИНСКИЙ""")</f>
        <v>МЕЖМУНИЦИПАЛЬНЫЙ ОТДЕЛ МВД РОССИИ "МИНУСИНСКИЙ"</v>
      </c>
      <c r="B5756" s="24" t="s">
        <v>7430</v>
      </c>
      <c r="C5756" s="25">
        <v>34000</v>
      </c>
      <c r="D5756" s="22" t="s">
        <v>7431</v>
      </c>
      <c r="E5756" s="22" t="s">
        <v>53</v>
      </c>
      <c r="F5756" s="23" t="str">
        <f>HYPERLINK("https://www.spark-marketing.ru/Card/Lot/71718990", "оказание услуг по техническому обслуживанию системы видеонаблюдения и системы трансляционного оповещения на объектах МО МВД России ""Минусинский""")</f>
        <v>оказание услуг по техническому обслуживанию системы видеонаблюдения и системы трансляционного оповещения на объектах МО МВД России "Минусинский"</v>
      </c>
      <c r="G5756" s="22" t="s">
        <v>640</v>
      </c>
      <c r="H5756" s="22" t="s">
        <v>7432</v>
      </c>
      <c r="I5756" s="26">
        <v>43643.3261921296</v>
      </c>
      <c r="J5756" s="28" t="s">
        <v>52</v>
      </c>
      <c r="K5756" s="28" t="s">
        <v>52</v>
      </c>
      <c r="L5756" s="28" t="s">
        <v>52</v>
      </c>
      <c r="M5756" s="28" t="s">
        <v>52</v>
      </c>
      <c r="N5756" s="28" t="s">
        <v>52</v>
      </c>
    </row>
    <row r="5757" spans="1:14" x14ac:dyDescent="0.2">
      <c r="A5757" s="23" t="str">
        <f>HYPERLINK("https://www.spark-marketing.ru/Card/Person/1758163", "ГАПОУ ""ЧЕБОКСАРСКИЙ ТЕХНИКУМ ТРАНССТРОЙТЕХ"" МИНОБРАЗОВАНИЯ ЧУВАШИИ")</f>
        <v>ГАПОУ "ЧЕБОКСАРСКИЙ ТЕХНИКУМ ТРАНССТРОЙТЕХ" МИНОБРАЗОВАНИЯ ЧУВАШИИ</v>
      </c>
      <c r="B5757" s="24" t="s">
        <v>1432</v>
      </c>
      <c r="C5757" s="25">
        <v>379440</v>
      </c>
      <c r="D5757" s="22" t="s">
        <v>7433</v>
      </c>
      <c r="E5757" s="22" t="s">
        <v>144</v>
      </c>
      <c r="F5757" s="23" t="str">
        <f>HYPERLINK("https://www.spark-marketing.ru/Card/Lot/71719915", "Услуги по охране объекта")</f>
        <v>Услуги по охране объекта</v>
      </c>
      <c r="G5757" s="22" t="s">
        <v>1137</v>
      </c>
      <c r="H5757" s="22" t="s">
        <v>1137</v>
      </c>
      <c r="I5757" s="26">
        <v>43643.303530092599</v>
      </c>
      <c r="J5757" s="23" t="str">
        <f>HYPERLINK("https://www.spark-marketing.ru/Card/Person/63539", "ООО ""ЧОО ""ЦЕРБЕР""")</f>
        <v>ООО "ЧОО "ЦЕРБЕР"</v>
      </c>
      <c r="K5757" s="24" t="s">
        <v>1434</v>
      </c>
      <c r="L5757" s="28" t="s">
        <v>52</v>
      </c>
      <c r="M5757" s="25">
        <v>379440</v>
      </c>
      <c r="N5757" s="27">
        <v>0</v>
      </c>
    </row>
    <row r="5758" spans="1:14" x14ac:dyDescent="0.15">
      <c r="A5758" s="23" t="str">
        <f>HYPERLINK("https://www.spark-marketing.ru/Card/Person/109392", "МЕЖМУНИЦИПАЛЬНЫЙ ОТДЕЛ МВД РОССИИ ""МИНУСИНСКИЙ""")</f>
        <v>МЕЖМУНИЦИПАЛЬНЫЙ ОТДЕЛ МВД РОССИИ "МИНУСИНСКИЙ"</v>
      </c>
      <c r="B5758" s="24" t="s">
        <v>7430</v>
      </c>
      <c r="C5758" s="25">
        <v>34000</v>
      </c>
      <c r="D5758" s="22" t="s">
        <v>7434</v>
      </c>
      <c r="E5758" s="22" t="s">
        <v>53</v>
      </c>
      <c r="F5758" s="23" t="str">
        <f>HYPERLINK("https://www.spark-marketing.ru/Card/Lot/71718997", "оказание услуг по техническому обслуживанию системы видеонаблюдения и системы трансляционного оповещения на объектах МО МВД России ""Минусинский""")</f>
        <v>оказание услуг по техническому обслуживанию системы видеонаблюдения и системы трансляционного оповещения на объектах МО МВД России "Минусинский"</v>
      </c>
      <c r="G5758" s="22" t="s">
        <v>640</v>
      </c>
      <c r="H5758" s="22" t="s">
        <v>7432</v>
      </c>
      <c r="I5758" s="26">
        <v>43643.327685185199</v>
      </c>
      <c r="J5758" s="28" t="s">
        <v>52</v>
      </c>
      <c r="K5758" s="28" t="s">
        <v>52</v>
      </c>
      <c r="L5758" s="28" t="s">
        <v>52</v>
      </c>
      <c r="M5758" s="28" t="s">
        <v>52</v>
      </c>
      <c r="N5758" s="28" t="s">
        <v>52</v>
      </c>
    </row>
    <row r="5759" spans="1:14" x14ac:dyDescent="0.2">
      <c r="A5759" s="23" t="str">
        <f>HYPERLINK("https://www.spark-marketing.ru/Card/Person/226344", "ФГУП ""ГИДРОГРАФИЧЕСКОЕ ПРЕДПРИЯТИЕ""")</f>
        <v>ФГУП "ГИДРОГРАФИЧЕСКОЕ ПРЕДПРИЯТИЕ"</v>
      </c>
      <c r="B5759" s="24" t="s">
        <v>7435</v>
      </c>
      <c r="C5759" s="25">
        <v>188754</v>
      </c>
      <c r="D5759" s="22" t="s">
        <v>7436</v>
      </c>
      <c r="E5759" s="22" t="s">
        <v>2577</v>
      </c>
      <c r="F5759" s="23" t="str">
        <f>HYPERLINK("https://www.spark-marketing.ru/Card/Lot/71720119", "Оказание услуг по разработке и утверждению планов обеспечения транспортной безопасности транспортных средств")</f>
        <v>Оказание услуг по разработке и утверждению планов обеспечения транспортной безопасности транспортных средств</v>
      </c>
      <c r="G5759" s="22" t="s">
        <v>89</v>
      </c>
      <c r="H5759" s="22" t="s">
        <v>89</v>
      </c>
      <c r="I5759" s="26">
        <v>43643.310243055603</v>
      </c>
      <c r="J5759" s="28" t="s">
        <v>52</v>
      </c>
      <c r="K5759" s="28" t="s">
        <v>52</v>
      </c>
      <c r="L5759" s="22" t="s">
        <v>10</v>
      </c>
      <c r="M5759" s="25">
        <v>0</v>
      </c>
      <c r="N5759" s="27">
        <v>1</v>
      </c>
    </row>
    <row r="5760" spans="1:14" x14ac:dyDescent="0.15">
      <c r="A5760" s="23" t="str">
        <f>HYPERLINK("https://www.spark-marketing.ru/Card/Person/73912", "МЕЖРАЙОННАЯ ИФНС РОССИИ №11 ПО ПРИМОРСКОМУ КРАЮ")</f>
        <v>МЕЖРАЙОННАЯ ИФНС РОССИИ №11 ПО ПРИМОРСКОМУ КРАЮ</v>
      </c>
      <c r="B5760" s="24" t="s">
        <v>7397</v>
      </c>
      <c r="C5760" s="25">
        <v>98987.64</v>
      </c>
      <c r="D5760" s="22" t="s">
        <v>7437</v>
      </c>
      <c r="E5760" s="22" t="s">
        <v>53</v>
      </c>
      <c r="F5760" s="23" t="str">
        <f>HYPERLINK("https://www.spark-marketing.ru/Card/Lot/71718981", "Централизованная охрана объектов")</f>
        <v>Централизованная охрана объектов</v>
      </c>
      <c r="G5760" s="22" t="s">
        <v>409</v>
      </c>
      <c r="H5760" s="22" t="s">
        <v>7399</v>
      </c>
      <c r="I5760" s="26">
        <v>43643.322731481501</v>
      </c>
      <c r="J5760" s="28" t="s">
        <v>52</v>
      </c>
      <c r="K5760" s="28" t="s">
        <v>52</v>
      </c>
      <c r="L5760" s="28" t="s">
        <v>52</v>
      </c>
      <c r="M5760" s="28" t="s">
        <v>52</v>
      </c>
      <c r="N5760" s="28" t="s">
        <v>52</v>
      </c>
    </row>
    <row r="5761" spans="1:14" x14ac:dyDescent="0.15">
      <c r="A5761" s="23" t="str">
        <f>HYPERLINK("https://www.spark-marketing.ru/Card/Person/4856154", "КГБУЗ ""АККПЦ""")</f>
        <v>КГБУЗ "АККПЦ"</v>
      </c>
      <c r="B5761" s="24" t="s">
        <v>7438</v>
      </c>
      <c r="C5761" s="25">
        <v>23154</v>
      </c>
      <c r="D5761" s="22" t="s">
        <v>7439</v>
      </c>
      <c r="E5761" s="22" t="s">
        <v>107</v>
      </c>
      <c r="F5761" s="23" t="str">
        <f>HYPERLINK("https://www.spark-marketing.ru/Card/Lot/71718230", "Товары, работы или услуги на сумму, не превышающую 100 тыс. рублей")</f>
        <v>Товары, работы или услуги на сумму, не превышающую 100 тыс. рублей</v>
      </c>
      <c r="G5761" s="22" t="s">
        <v>428</v>
      </c>
      <c r="H5761" s="22" t="s">
        <v>429</v>
      </c>
      <c r="I5761" s="26">
        <v>43643.293055555601</v>
      </c>
      <c r="J5761" s="28" t="s">
        <v>52</v>
      </c>
      <c r="K5761" s="28" t="s">
        <v>52</v>
      </c>
      <c r="L5761" s="28" t="s">
        <v>52</v>
      </c>
      <c r="M5761" s="28" t="s">
        <v>52</v>
      </c>
      <c r="N5761" s="28" t="s">
        <v>52</v>
      </c>
    </row>
    <row r="5762" spans="1:14" x14ac:dyDescent="0.15">
      <c r="A5762" s="23" t="str">
        <f>HYPERLINK("https://www.spark-marketing.ru/Card/Person/1890", "МТУ РОСИМУЩЕСТВА В КЕМЕРОВСКОЙ И ТОМСКОЙ ОБЛАСТЯХ")</f>
        <v>МТУ РОСИМУЩЕСТВА В КЕМЕРОВСКОЙ И ТОМСКОЙ ОБЛАСТЯХ</v>
      </c>
      <c r="B5762" s="24" t="s">
        <v>1817</v>
      </c>
      <c r="C5762" s="25">
        <v>93555</v>
      </c>
      <c r="D5762" s="22" t="s">
        <v>7440</v>
      </c>
      <c r="E5762" s="22" t="s">
        <v>68</v>
      </c>
      <c r="F5762" s="23" t="str">
        <f>HYPERLINK("https://www.spark-marketing.ru/Card/Lot/71717864", "Услуги, связанные с обеспечением общественного порядка и безопасности прочие, 1 усл. ед")</f>
        <v>Услуги, связанные с обеспечением общественного порядка и безопасности прочие, 1 усл. ед</v>
      </c>
      <c r="G5762" s="22" t="s">
        <v>367</v>
      </c>
      <c r="H5762" s="22" t="s">
        <v>881</v>
      </c>
      <c r="I5762" s="26">
        <v>43643.261863425898</v>
      </c>
      <c r="J5762" s="28" t="s">
        <v>52</v>
      </c>
      <c r="K5762" s="28" t="s">
        <v>52</v>
      </c>
      <c r="L5762" s="28" t="s">
        <v>52</v>
      </c>
      <c r="M5762" s="28" t="s">
        <v>52</v>
      </c>
      <c r="N5762" s="28" t="s">
        <v>52</v>
      </c>
    </row>
    <row r="5763" spans="1:14" x14ac:dyDescent="0.15">
      <c r="A5763" s="23" t="str">
        <f>HYPERLINK("https://www.spark-marketing.ru/Card/Person/303636", "ОТДЕЛЕНИЕ МВД РОССИИ ПО ТАЙГИНСКОМУ ГОРОДСКОМУ ОКРУГУ")</f>
        <v>ОТДЕЛЕНИЕ МВД РОССИИ ПО ТАЙГИНСКОМУ ГОРОДСКОМУ ОКРУГУ</v>
      </c>
      <c r="B5763" s="24" t="s">
        <v>7441</v>
      </c>
      <c r="C5763" s="25">
        <v>50000</v>
      </c>
      <c r="D5763" s="22" t="s">
        <v>7442</v>
      </c>
      <c r="E5763" s="22" t="s">
        <v>107</v>
      </c>
      <c r="F5763" s="23" t="str">
        <f>HYPERLINK("https://www.spark-marketing.ru/Card/Lot/71717219", "Техническое обслуживание видеонаблюдения, 100 шт")</f>
        <v>Техническое обслуживание видеонаблюдения, 100 шт</v>
      </c>
      <c r="G5763" s="22" t="s">
        <v>367</v>
      </c>
      <c r="H5763" s="22" t="s">
        <v>7443</v>
      </c>
      <c r="I5763" s="26">
        <v>43643.232789351903</v>
      </c>
      <c r="J5763" s="28" t="s">
        <v>52</v>
      </c>
      <c r="K5763" s="28" t="s">
        <v>52</v>
      </c>
      <c r="L5763" s="28" t="s">
        <v>52</v>
      </c>
      <c r="M5763" s="28" t="s">
        <v>52</v>
      </c>
      <c r="N5763" s="28" t="s">
        <v>52</v>
      </c>
    </row>
    <row r="5764" spans="1:14" x14ac:dyDescent="0.15">
      <c r="A5764" s="23" t="str">
        <f>HYPERLINK("https://www.spark-marketing.ru/Card/Person/264271", "МО МВД РОССИИ ""БУРЕЙСКИЙ""")</f>
        <v>МО МВД РОССИИ "БУРЕЙСКИЙ"</v>
      </c>
      <c r="B5764" s="24" t="s">
        <v>7305</v>
      </c>
      <c r="C5764" s="25">
        <v>30000</v>
      </c>
      <c r="D5764" s="22" t="s">
        <v>7444</v>
      </c>
      <c r="E5764" s="22" t="s">
        <v>84</v>
      </c>
      <c r="F5764" s="23" t="str">
        <f>HYPERLINK("https://www.spark-marketing.ru/Card/Lot/71715148", "Монтаж, установка видеонаблюдения, 1 шт")</f>
        <v>Монтаж, установка видеонаблюдения, 1 шт</v>
      </c>
      <c r="G5764" s="22" t="s">
        <v>230</v>
      </c>
      <c r="H5764" s="22" t="s">
        <v>5593</v>
      </c>
      <c r="I5764" s="26">
        <v>43643.175127314797</v>
      </c>
      <c r="J5764" s="28" t="s">
        <v>52</v>
      </c>
      <c r="K5764" s="28" t="s">
        <v>52</v>
      </c>
      <c r="L5764" s="28" t="s">
        <v>52</v>
      </c>
      <c r="M5764" s="28" t="s">
        <v>52</v>
      </c>
      <c r="N5764" s="28" t="s">
        <v>52</v>
      </c>
    </row>
    <row r="5765" spans="1:14" x14ac:dyDescent="0.15">
      <c r="A5765" s="23" t="str">
        <f>HYPERLINK("https://www.spark-marketing.ru/Card/Person/6450322", "ЗАКАЗЧИК РП БЕЛАРУСЬ")</f>
        <v>ЗАКАЗЧИК РП БЕЛАРУСЬ</v>
      </c>
      <c r="B5765" s="28" t="s">
        <v>52</v>
      </c>
      <c r="C5765" s="28" t="s">
        <v>52</v>
      </c>
      <c r="D5765" s="22" t="s">
        <v>7445</v>
      </c>
      <c r="E5765" s="22" t="s">
        <v>53</v>
      </c>
      <c r="F5765" s="23" t="str">
        <f>HYPERLINK("https://www.spark-marketing.ru/Card/Lot/71739905", "Работы по установке систем видеонаблюдения и противовзломной сигнализации, кроме систем с последующим мониторингом или дистанционным контролем данных систем")</f>
        <v>Работы по установке систем видеонаблюдения и противовзломной сигнализации, кроме систем с последующим мониторингом или дистанционным контролем данных систем</v>
      </c>
      <c r="G5765" s="22" t="s">
        <v>52</v>
      </c>
      <c r="H5765" s="22" t="s">
        <v>52</v>
      </c>
      <c r="I5765" s="26">
        <v>43643</v>
      </c>
      <c r="J5765" s="28" t="s">
        <v>52</v>
      </c>
      <c r="K5765" s="28" t="s">
        <v>52</v>
      </c>
      <c r="L5765" s="28" t="s">
        <v>52</v>
      </c>
      <c r="M5765" s="28" t="s">
        <v>52</v>
      </c>
      <c r="N5765" s="28" t="s">
        <v>52</v>
      </c>
    </row>
    <row r="5766" spans="1:14" x14ac:dyDescent="0.15">
      <c r="A5766" s="23" t="str">
        <f>HYPERLINK("https://www.spark-marketing.ru/Card/Person/813638", "ОТДЕЛ МВД РОССИИ ПО ДРОЖЖАНОВСКОМУ РАЙОНУ")</f>
        <v>ОТДЕЛ МВД РОССИИ ПО ДРОЖЖАНОВСКОМУ РАЙОНУ</v>
      </c>
      <c r="B5766" s="24" t="s">
        <v>7446</v>
      </c>
      <c r="C5766" s="25">
        <v>11047.2</v>
      </c>
      <c r="D5766" s="22" t="s">
        <v>7447</v>
      </c>
      <c r="E5766" s="22" t="s">
        <v>53</v>
      </c>
      <c r="F5766" s="23" t="str">
        <f>HYPERLINK("https://www.spark-marketing.ru/Card/Lot/71708075", "обслуживание комплекса технических средств охраны")</f>
        <v>обслуживание комплекса технических средств охраны</v>
      </c>
      <c r="G5766" s="22" t="s">
        <v>204</v>
      </c>
      <c r="H5766" s="22" t="s">
        <v>204</v>
      </c>
      <c r="I5766" s="26">
        <v>43642.799675925897</v>
      </c>
      <c r="J5766" s="28" t="s">
        <v>52</v>
      </c>
      <c r="K5766" s="28" t="s">
        <v>52</v>
      </c>
      <c r="L5766" s="28" t="s">
        <v>52</v>
      </c>
      <c r="M5766" s="28" t="s">
        <v>52</v>
      </c>
      <c r="N5766" s="28" t="s">
        <v>52</v>
      </c>
    </row>
    <row r="5767" spans="1:14" x14ac:dyDescent="0.15">
      <c r="A5767" s="23" t="str">
        <f>HYPERLINK("https://www.spark-marketing.ru/Card/Person/813638", "ОТДЕЛ МВД РОССИИ ПО ДРОЖЖАНОВСКОМУ РАЙОНУ")</f>
        <v>ОТДЕЛ МВД РОССИИ ПО ДРОЖЖАНОВСКОМУ РАЙОНУ</v>
      </c>
      <c r="B5767" s="24" t="s">
        <v>7446</v>
      </c>
      <c r="C5767" s="25">
        <v>11047.2</v>
      </c>
      <c r="D5767" s="22" t="s">
        <v>7448</v>
      </c>
      <c r="E5767" s="22" t="s">
        <v>53</v>
      </c>
      <c r="F5767" s="23" t="str">
        <f>HYPERLINK("https://www.spark-marketing.ru/Card/Lot/71708080", "обслуживание комплекса технических средств охраны")</f>
        <v>обслуживание комплекса технических средств охраны</v>
      </c>
      <c r="G5767" s="22" t="s">
        <v>204</v>
      </c>
      <c r="H5767" s="22" t="s">
        <v>204</v>
      </c>
      <c r="I5767" s="26">
        <v>43642.806944444397</v>
      </c>
      <c r="J5767" s="28" t="s">
        <v>52</v>
      </c>
      <c r="K5767" s="28" t="s">
        <v>52</v>
      </c>
      <c r="L5767" s="28" t="s">
        <v>52</v>
      </c>
      <c r="M5767" s="28" t="s">
        <v>52</v>
      </c>
      <c r="N5767" s="28" t="s">
        <v>52</v>
      </c>
    </row>
    <row r="5768" spans="1:14" x14ac:dyDescent="0.15">
      <c r="A5768" s="23" t="str">
        <f>HYPERLINK("https://www.spark-marketing.ru/Card/Person/813638", "ОТДЕЛ МВД РОССИИ ПО ДРОЖЖАНОВСКОМУ РАЙОНУ")</f>
        <v>ОТДЕЛ МВД РОССИИ ПО ДРОЖЖАНОВСКОМУ РАЙОНУ</v>
      </c>
      <c r="B5768" s="24" t="s">
        <v>7446</v>
      </c>
      <c r="C5768" s="25">
        <v>29990.28</v>
      </c>
      <c r="D5768" s="22" t="s">
        <v>7449</v>
      </c>
      <c r="E5768" s="22" t="s">
        <v>53</v>
      </c>
      <c r="F5768" s="23" t="str">
        <f>HYPERLINK("https://www.spark-marketing.ru/Card/Lot/71708077", "обслуживание комплекса технических средств охраны")</f>
        <v>обслуживание комплекса технических средств охраны</v>
      </c>
      <c r="G5768" s="22" t="s">
        <v>204</v>
      </c>
      <c r="H5768" s="22" t="s">
        <v>204</v>
      </c>
      <c r="I5768" s="26">
        <v>43642.804444444402</v>
      </c>
      <c r="J5768" s="28" t="s">
        <v>52</v>
      </c>
      <c r="K5768" s="28" t="s">
        <v>52</v>
      </c>
      <c r="L5768" s="28" t="s">
        <v>52</v>
      </c>
      <c r="M5768" s="28" t="s">
        <v>52</v>
      </c>
      <c r="N5768" s="28" t="s">
        <v>52</v>
      </c>
    </row>
    <row r="5769" spans="1:14" x14ac:dyDescent="0.15">
      <c r="A5769" s="23" t="str">
        <f>HYPERLINK("https://www.spark-marketing.ru/Card/Person/813638", "ОТДЕЛ МВД РОССИИ ПО ДРОЖЖАНОВСКОМУ РАЙОНУ")</f>
        <v>ОТДЕЛ МВД РОССИИ ПО ДРОЖЖАНОВСКОМУ РАЙОНУ</v>
      </c>
      <c r="B5769" s="24" t="s">
        <v>7446</v>
      </c>
      <c r="C5769" s="25">
        <v>29990.28</v>
      </c>
      <c r="D5769" s="22" t="s">
        <v>7450</v>
      </c>
      <c r="E5769" s="22" t="s">
        <v>53</v>
      </c>
      <c r="F5769" s="23" t="str">
        <f>HYPERLINK("https://www.spark-marketing.ru/Card/Lot/71708085", "обслуживание комплекса технических средств охраны")</f>
        <v>обслуживание комплекса технических средств охраны</v>
      </c>
      <c r="G5769" s="22" t="s">
        <v>204</v>
      </c>
      <c r="H5769" s="22" t="s">
        <v>204</v>
      </c>
      <c r="I5769" s="26">
        <v>43642.810393518499</v>
      </c>
      <c r="J5769" s="28" t="s">
        <v>52</v>
      </c>
      <c r="K5769" s="28" t="s">
        <v>52</v>
      </c>
      <c r="L5769" s="28" t="s">
        <v>52</v>
      </c>
      <c r="M5769" s="28" t="s">
        <v>52</v>
      </c>
      <c r="N5769" s="28" t="s">
        <v>52</v>
      </c>
    </row>
    <row r="5770" spans="1:14" x14ac:dyDescent="0.15">
      <c r="A5770" s="23" t="str">
        <f>HYPERLINK("https://www.spark-marketing.ru/Card/Person/136405", "МО МВД РОССИИ ""КЛИНЦОВСКИЙ""")</f>
        <v>МО МВД РОССИИ "КЛИНЦОВСКИЙ"</v>
      </c>
      <c r="B5770" s="24" t="s">
        <v>2794</v>
      </c>
      <c r="C5770" s="25">
        <v>54000</v>
      </c>
      <c r="D5770" s="22" t="s">
        <v>7451</v>
      </c>
      <c r="E5770" s="22" t="s">
        <v>103</v>
      </c>
      <c r="F5770" s="23" t="str">
        <f>HYPERLINK("https://www.spark-marketing.ru/Card/Lot/71708086", "Техническое обслуживание видеонаблюдения, 1 усл. ед")</f>
        <v>Техническое обслуживание видеонаблюдения, 1 усл. ед</v>
      </c>
      <c r="G5770" s="22" t="s">
        <v>215</v>
      </c>
      <c r="H5770" s="22" t="s">
        <v>2796</v>
      </c>
      <c r="I5770" s="26">
        <v>43642.812685185199</v>
      </c>
      <c r="J5770" s="28" t="s">
        <v>52</v>
      </c>
      <c r="K5770" s="28" t="s">
        <v>52</v>
      </c>
      <c r="L5770" s="28" t="s">
        <v>52</v>
      </c>
      <c r="M5770" s="28" t="s">
        <v>52</v>
      </c>
      <c r="N5770" s="28" t="s">
        <v>52</v>
      </c>
    </row>
    <row r="5771" spans="1:14" x14ac:dyDescent="0.2">
      <c r="A5771" s="23" t="str">
        <f>HYPERLINK("https://www.spark-marketing.ru/Card/Person/16099", "СОГУ")</f>
        <v>СОГУ</v>
      </c>
      <c r="B5771" s="24" t="s">
        <v>7452</v>
      </c>
      <c r="C5771" s="25">
        <v>309753.59999999998</v>
      </c>
      <c r="D5771" s="22" t="s">
        <v>7453</v>
      </c>
      <c r="E5771" s="22" t="s">
        <v>144</v>
      </c>
      <c r="F5771" s="23" t="str">
        <f>HYPERLINK("https://www.spark-marketing.ru/Card/Lot/71705826", "Оказание охранных услуг в зданиях, помещениях, их частях или комбинациях, оборудованных действующим комплексом технических средств охраны")</f>
        <v>Оказание охранных услуг в зданиях, помещениях, их частях или комбинациях, оборудованных действующим комплексом технических средств охраны</v>
      </c>
      <c r="G5771" s="22" t="s">
        <v>833</v>
      </c>
      <c r="H5771" s="22" t="s">
        <v>833</v>
      </c>
      <c r="I5771" s="26">
        <v>43642.754745370403</v>
      </c>
      <c r="J5771" s="28" t="s">
        <v>52</v>
      </c>
      <c r="K5771" s="28" t="s">
        <v>52</v>
      </c>
      <c r="L5771" s="28" t="s">
        <v>52</v>
      </c>
      <c r="M5771" s="25">
        <v>309753.59999999998</v>
      </c>
      <c r="N5771" s="27">
        <v>0</v>
      </c>
    </row>
    <row r="5772" spans="1:14" x14ac:dyDescent="0.2">
      <c r="A5772" s="23" t="str">
        <f>HYPERLINK("https://www.spark-marketing.ru/Card/Person/1359821", "МАОУ СОШ № 7 Г. ИШИМА")</f>
        <v>МАОУ СОШ № 7 Г. ИШИМА</v>
      </c>
      <c r="B5772" s="24" t="s">
        <v>7454</v>
      </c>
      <c r="C5772" s="25">
        <v>249112</v>
      </c>
      <c r="D5772" s="22" t="s">
        <v>7455</v>
      </c>
      <c r="E5772" s="22" t="s">
        <v>996</v>
      </c>
      <c r="F5772" s="23" t="str">
        <f>HYPERLINK("https://www.spark-marketing.ru/Card/Lot/71700129", "Установка системы контроля и управление доступом (СКУД) и системы видеонаблюдения")</f>
        <v>Установка системы контроля и управление доступом (СКУД) и системы видеонаблюдения</v>
      </c>
      <c r="G5772" s="22" t="s">
        <v>893</v>
      </c>
      <c r="H5772" s="22" t="s">
        <v>893</v>
      </c>
      <c r="I5772" s="26">
        <v>43642.760150463</v>
      </c>
      <c r="J5772" s="23" t="str">
        <f>HYPERLINK("https://www.spark-marketing.ru/Card/Person/1506251", "Крюков Сергей Анатольевич")</f>
        <v>Крюков Сергей Анатольевич</v>
      </c>
      <c r="K5772" s="24" t="s">
        <v>7456</v>
      </c>
      <c r="L5772" s="28" t="s">
        <v>52</v>
      </c>
      <c r="M5772" s="25">
        <v>249112</v>
      </c>
      <c r="N5772" s="27">
        <v>0</v>
      </c>
    </row>
    <row r="5773" spans="1:14" x14ac:dyDescent="0.15">
      <c r="A5773" s="23" t="str">
        <f>HYPERLINK("https://www.spark-marketing.ru/Card/Person/1072274", "МБУ ""ЦДДМ ""СОВРЕМЕННИК""")</f>
        <v>МБУ "ЦДДМ "СОВРЕМЕННИК"</v>
      </c>
      <c r="B5773" s="24" t="s">
        <v>7348</v>
      </c>
      <c r="C5773" s="25">
        <v>130000</v>
      </c>
      <c r="D5773" s="22" t="s">
        <v>7457</v>
      </c>
      <c r="E5773" s="22" t="s">
        <v>376</v>
      </c>
      <c r="F5773" s="23" t="str">
        <f>HYPERLINK("https://www.spark-marketing.ru/Card/Lot/71702834", "Поставка и установка шлагбаума")</f>
        <v>Поставка и установка шлагбаума</v>
      </c>
      <c r="G5773" s="22" t="s">
        <v>311</v>
      </c>
      <c r="H5773" s="22" t="s">
        <v>7350</v>
      </c>
      <c r="I5773" s="26">
        <v>43642.757638888899</v>
      </c>
      <c r="J5773" s="23" t="str">
        <f>HYPERLINK("https://www.spark-marketing.ru/Card/Person/6346755", "Журавель Виталий Андреевич")</f>
        <v>Журавель Виталий Андреевич</v>
      </c>
      <c r="K5773" s="24" t="s">
        <v>7352</v>
      </c>
      <c r="L5773" s="22" t="s">
        <v>10</v>
      </c>
      <c r="M5773" s="28" t="s">
        <v>52</v>
      </c>
      <c r="N5773" s="28" t="s">
        <v>52</v>
      </c>
    </row>
    <row r="5774" spans="1:14" x14ac:dyDescent="0.15">
      <c r="A5774" s="23" t="str">
        <f>HYPERLINK("https://www.spark-marketing.ru/Card/Person/10954", "УПРАВЛЕНИЕ СПЕЦИАЛЬНОЙ СВЯЗИ И ИНФОРМАЦИИ ФЕДЕРАЛЬНОЙ СЛУЖБЫ ОХРАНЫ РОССИЙСКОЙ ФЕДЕРАЦИИ В УРАЛЬСКОМ ФЕДЕРАЛЬНОМ ОКРУГЕ")</f>
        <v>УПРАВЛЕНИЕ СПЕЦИАЛЬНОЙ СВЯЗИ И ИНФОРМАЦИИ ФЕДЕРАЛЬНОЙ СЛУЖБЫ ОХРАНЫ РОССИЙСКОЙ ФЕДЕРАЦИИ В УРАЛЬСКОМ ФЕДЕРАЛЬНОМ ОКРУГЕ</v>
      </c>
      <c r="B5774" s="24" t="s">
        <v>7458</v>
      </c>
      <c r="C5774" s="25">
        <v>37445.919999999998</v>
      </c>
      <c r="D5774" s="22" t="s">
        <v>7459</v>
      </c>
      <c r="E5774" s="22" t="s">
        <v>68</v>
      </c>
      <c r="F5774" s="23" t="str">
        <f>HYPERLINK("https://www.spark-marketing.ru/Card/Lot/71712413", "Оказание услуг по охране объекта")</f>
        <v>Оказание услуг по охране объекта</v>
      </c>
      <c r="G5774" s="22" t="s">
        <v>7460</v>
      </c>
      <c r="H5774" s="22" t="s">
        <v>7460</v>
      </c>
      <c r="I5774" s="26">
        <v>43642.734722222202</v>
      </c>
      <c r="J5774" s="28" t="s">
        <v>52</v>
      </c>
      <c r="K5774" s="28" t="s">
        <v>52</v>
      </c>
      <c r="L5774" s="28" t="s">
        <v>52</v>
      </c>
      <c r="M5774" s="28" t="s">
        <v>52</v>
      </c>
      <c r="N5774" s="28" t="s">
        <v>52</v>
      </c>
    </row>
    <row r="5775" spans="1:14" x14ac:dyDescent="0.15">
      <c r="A5775" s="23" t="str">
        <f t="shared" ref="A5775:A5781" si="245">HYPERLINK("https://www.spark-marketing.ru/Card/Person/59081", "ГБУЗ ВО ""ЮРЬЕВ-ПОЛЬСКАЯ ЦРБ""")</f>
        <v>ГБУЗ ВО "ЮРЬЕВ-ПОЛЬСКАЯ ЦРБ"</v>
      </c>
      <c r="B5775" s="24" t="s">
        <v>7461</v>
      </c>
      <c r="C5775" s="25">
        <v>547498.02</v>
      </c>
      <c r="D5775" s="22" t="s">
        <v>7462</v>
      </c>
      <c r="E5775" s="22" t="s">
        <v>52</v>
      </c>
      <c r="F5775" s="23" t="str">
        <f t="shared" ref="F5775:F5781" si="246">HYPERLINK("https://www.spark-marketing.ru/Card/Lot/71708223", "Оказание услуг по охране территорий и объектов ГБУЗ ВО ""Юрьев-Польская ЦРБ"" для нужд ГБУЗ ВО ""Юрьев-Польская ЦРБ""")</f>
        <v>Оказание услуг по охране территорий и объектов ГБУЗ ВО "Юрьев-Польская ЦРБ" для нужд ГБУЗ ВО "Юрьев-Польская ЦРБ"</v>
      </c>
      <c r="G5775" s="22" t="s">
        <v>145</v>
      </c>
      <c r="H5775" s="22" t="s">
        <v>5295</v>
      </c>
      <c r="I5775" s="26">
        <v>43642.7097222222</v>
      </c>
      <c r="J5775" s="28" t="s">
        <v>52</v>
      </c>
      <c r="K5775" s="28" t="s">
        <v>52</v>
      </c>
      <c r="L5775" s="28" t="s">
        <v>52</v>
      </c>
      <c r="M5775" s="28" t="s">
        <v>52</v>
      </c>
      <c r="N5775" s="28" t="s">
        <v>52</v>
      </c>
    </row>
    <row r="5776" spans="1:14" hidden="1" outlineLevel="1" x14ac:dyDescent="0.2">
      <c r="A5776" s="23" t="str">
        <f t="shared" si="245"/>
        <v>ГБУЗ ВО "ЮРЬЕВ-ПОЛЬСКАЯ ЦРБ"</v>
      </c>
      <c r="B5776" s="24" t="s">
        <v>7461</v>
      </c>
      <c r="C5776" s="25">
        <v>547498.02</v>
      </c>
      <c r="D5776" s="22" t="s">
        <v>7462</v>
      </c>
      <c r="E5776" s="22" t="s">
        <v>52</v>
      </c>
      <c r="F5776" s="23" t="str">
        <f t="shared" si="246"/>
        <v>Оказание услуг по охране территорий и объектов ГБУЗ ВО "Юрьев-Польская ЦРБ" для нужд ГБУЗ ВО "Юрьев-Польская ЦРБ"</v>
      </c>
      <c r="G5776" s="22" t="s">
        <v>145</v>
      </c>
      <c r="H5776" s="22" t="s">
        <v>5295</v>
      </c>
      <c r="I5776" s="26">
        <v>43642.7097222222</v>
      </c>
      <c r="J5776" s="23" t="str">
        <f>HYPERLINK("https://www.spark-marketing.ru/Card/Person/6468234", "ООО ""ГАРАНТ""")</f>
        <v>ООО "ГАРАНТ"</v>
      </c>
      <c r="K5776" s="24" t="s">
        <v>7463</v>
      </c>
      <c r="L5776" s="28" t="s">
        <v>52</v>
      </c>
      <c r="M5776" s="25">
        <v>207749.26</v>
      </c>
      <c r="N5776" s="27">
        <v>0.62054792453861296</v>
      </c>
    </row>
    <row r="5777" spans="1:14" hidden="1" outlineLevel="1" x14ac:dyDescent="0.2">
      <c r="A5777" s="23" t="str">
        <f t="shared" si="245"/>
        <v>ГБУЗ ВО "ЮРЬЕВ-ПОЛЬСКАЯ ЦРБ"</v>
      </c>
      <c r="B5777" s="24" t="s">
        <v>7461</v>
      </c>
      <c r="C5777" s="25">
        <v>547498.02</v>
      </c>
      <c r="D5777" s="22" t="s">
        <v>7462</v>
      </c>
      <c r="E5777" s="22" t="s">
        <v>52</v>
      </c>
      <c r="F5777" s="23" t="str">
        <f t="shared" si="246"/>
        <v>Оказание услуг по охране территорий и объектов ГБУЗ ВО "Юрьев-Польская ЦРБ" для нужд ГБУЗ ВО "Юрьев-Польская ЦРБ"</v>
      </c>
      <c r="G5777" s="22" t="s">
        <v>145</v>
      </c>
      <c r="H5777" s="22" t="s">
        <v>5295</v>
      </c>
      <c r="I5777" s="26">
        <v>43642.7097222222</v>
      </c>
      <c r="J5777" s="23" t="str">
        <f>HYPERLINK("https://www.spark-marketing.ru/Card/Person/106680", "ООО ЧОО ""СЕРВИС ОХРАНА ПЛЮС""")</f>
        <v>ООО ЧОО "СЕРВИС ОХРАНА ПЛЮС"</v>
      </c>
      <c r="K5777" s="24" t="s">
        <v>7464</v>
      </c>
      <c r="L5777" s="28" t="s">
        <v>52</v>
      </c>
      <c r="M5777" s="25">
        <v>377473.64</v>
      </c>
      <c r="N5777" s="27">
        <v>0.31054793586285478</v>
      </c>
    </row>
    <row r="5778" spans="1:14" hidden="1" outlineLevel="1" x14ac:dyDescent="0.2">
      <c r="A5778" s="23" t="str">
        <f t="shared" si="245"/>
        <v>ГБУЗ ВО "ЮРЬЕВ-ПОЛЬСКАЯ ЦРБ"</v>
      </c>
      <c r="B5778" s="24" t="s">
        <v>7461</v>
      </c>
      <c r="C5778" s="25">
        <v>547498.02</v>
      </c>
      <c r="D5778" s="22" t="s">
        <v>7462</v>
      </c>
      <c r="E5778" s="22" t="s">
        <v>52</v>
      </c>
      <c r="F5778" s="23" t="str">
        <f t="shared" si="246"/>
        <v>Оказание услуг по охране территорий и объектов ГБУЗ ВО "Юрьев-Польская ЦРБ" для нужд ГБУЗ ВО "Юрьев-Польская ЦРБ"</v>
      </c>
      <c r="G5778" s="22" t="s">
        <v>145</v>
      </c>
      <c r="H5778" s="22" t="s">
        <v>5295</v>
      </c>
      <c r="I5778" s="26">
        <v>43642.7097222222</v>
      </c>
      <c r="J5778" s="23" t="str">
        <f>HYPERLINK("https://www.spark-marketing.ru/Card/Person/6450555", "ООО ЧОО ""АЛЬТАИР""")</f>
        <v>ООО ЧОО "АЛЬТАИР"</v>
      </c>
      <c r="K5778" s="24" t="s">
        <v>7465</v>
      </c>
      <c r="L5778" s="28" t="s">
        <v>52</v>
      </c>
      <c r="M5778" s="25">
        <v>363786.19</v>
      </c>
      <c r="N5778" s="27">
        <v>0.33554793494960949</v>
      </c>
    </row>
    <row r="5779" spans="1:14" hidden="1" outlineLevel="1" x14ac:dyDescent="0.2">
      <c r="A5779" s="23" t="str">
        <f t="shared" si="245"/>
        <v>ГБУЗ ВО "ЮРЬЕВ-ПОЛЬСКАЯ ЦРБ"</v>
      </c>
      <c r="B5779" s="24" t="s">
        <v>7461</v>
      </c>
      <c r="C5779" s="25">
        <v>547498.02</v>
      </c>
      <c r="D5779" s="22" t="s">
        <v>7462</v>
      </c>
      <c r="E5779" s="22" t="s">
        <v>52</v>
      </c>
      <c r="F5779" s="23" t="str">
        <f t="shared" si="246"/>
        <v>Оказание услуг по охране территорий и объектов ГБУЗ ВО "Юрьев-Польская ЦРБ" для нужд ГБУЗ ВО "Юрьев-Польская ЦРБ"</v>
      </c>
      <c r="G5779" s="22" t="s">
        <v>145</v>
      </c>
      <c r="H5779" s="22" t="s">
        <v>5295</v>
      </c>
      <c r="I5779" s="26">
        <v>43642.7097222222</v>
      </c>
      <c r="J5779" s="23" t="str">
        <f>HYPERLINK("https://www.spark-marketing.ru/Card/Person/1638667", "ООО ЧОП ""ЕРМАК-09""")</f>
        <v>ООО ЧОП "ЕРМАК-09"</v>
      </c>
      <c r="K5779" s="24" t="s">
        <v>7466</v>
      </c>
      <c r="L5779" s="28" t="s">
        <v>52</v>
      </c>
      <c r="M5779" s="25">
        <v>481798.26</v>
      </c>
      <c r="N5779" s="27">
        <v>0.11999999561642251</v>
      </c>
    </row>
    <row r="5780" spans="1:14" hidden="1" outlineLevel="1" x14ac:dyDescent="0.2">
      <c r="A5780" s="23" t="str">
        <f t="shared" si="245"/>
        <v>ГБУЗ ВО "ЮРЬЕВ-ПОЛЬСКАЯ ЦРБ"</v>
      </c>
      <c r="B5780" s="24" t="s">
        <v>7461</v>
      </c>
      <c r="C5780" s="25">
        <v>547498.02</v>
      </c>
      <c r="D5780" s="22" t="s">
        <v>7462</v>
      </c>
      <c r="E5780" s="22" t="s">
        <v>52</v>
      </c>
      <c r="F5780" s="23" t="str">
        <f t="shared" si="246"/>
        <v>Оказание услуг по охране территорий и объектов ГБУЗ ВО "Юрьев-Польская ЦРБ" для нужд ГБУЗ ВО "Юрьев-Польская ЦРБ"</v>
      </c>
      <c r="G5780" s="22" t="s">
        <v>145</v>
      </c>
      <c r="H5780" s="22" t="s">
        <v>5295</v>
      </c>
      <c r="I5780" s="26">
        <v>43642.7097222222</v>
      </c>
      <c r="J5780" s="23" t="str">
        <f>HYPERLINK("https://www.spark-marketing.ru/Card/Person/87842", "ООО ЧОО ""ИРБИС""")</f>
        <v>ООО ЧОО "ИРБИС"</v>
      </c>
      <c r="K5780" s="24" t="s">
        <v>7467</v>
      </c>
      <c r="L5780" s="28" t="s">
        <v>52</v>
      </c>
      <c r="M5780" s="25">
        <v>237861.65</v>
      </c>
      <c r="N5780" s="27">
        <v>0.56554792654775266</v>
      </c>
    </row>
    <row r="5781" spans="1:14" ht="12.75" hidden="1" outlineLevel="1" x14ac:dyDescent="0.2">
      <c r="A5781" s="23" t="str">
        <f t="shared" si="245"/>
        <v>ГБУЗ ВО "ЮРЬЕВ-ПОЛЬСКАЯ ЦРБ"</v>
      </c>
      <c r="B5781" s="24" t="s">
        <v>7461</v>
      </c>
      <c r="C5781" s="25">
        <v>547498.02</v>
      </c>
      <c r="D5781" s="22" t="s">
        <v>7462</v>
      </c>
      <c r="E5781" s="22" t="s">
        <v>52</v>
      </c>
      <c r="F5781" s="23" t="str">
        <f t="shared" si="246"/>
        <v>Оказание услуг по охране территорий и объектов ГБУЗ ВО "Юрьев-Польская ЦРБ" для нужд ГБУЗ ВО "Юрьев-Польская ЦРБ"</v>
      </c>
      <c r="G5781" s="22" t="s">
        <v>145</v>
      </c>
      <c r="H5781" s="22" t="s">
        <v>5295</v>
      </c>
      <c r="I5781" s="26">
        <v>43642.7097222222</v>
      </c>
      <c r="J5781" s="23" t="str">
        <f>HYPERLINK("https://www.spark-marketing.ru/Card/Person/504635", "ООО ЧОО ""ВИКТОРИЯ""")</f>
        <v>ООО ЧОО "ВИКТОРИЯ"</v>
      </c>
      <c r="K5781" s="24" t="s">
        <v>7468</v>
      </c>
      <c r="L5781" s="22" t="s">
        <v>10</v>
      </c>
      <c r="M5781" s="25">
        <v>235124.16</v>
      </c>
      <c r="N5781" s="27">
        <v>0.57054792636510354</v>
      </c>
    </row>
    <row r="5782" spans="1:14" x14ac:dyDescent="0.15">
      <c r="A5782" s="23" t="str">
        <f>HYPERLINK("https://www.spark-marketing.ru/Card/Person/82927", "МКУ Г.СОЧИ ""ЕДДС Г.СОЧИ""")</f>
        <v>МКУ Г.СОЧИ "ЕДДС Г.СОЧИ"</v>
      </c>
      <c r="B5782" s="24" t="s">
        <v>1123</v>
      </c>
      <c r="C5782" s="25">
        <v>8400000</v>
      </c>
      <c r="D5782" s="22" t="s">
        <v>7469</v>
      </c>
      <c r="E5782" s="22" t="s">
        <v>103</v>
      </c>
      <c r="F5782" s="23" t="str">
        <f>HYPERLINK("https://www.spark-marketing.ru/Card/Lot/71711170", "Оказание услуг по техническому обслуживанию камер видеонаблюдения и сопутствующего серверного оборудования с прикладными средствами видеонаблюдения МКУ г. Сочи «Единая дежурно-диспетчерская служба города Сочи»")</f>
        <v>Оказание услуг по техническому обслуживанию камер видеонаблюдения и сопутствующего серверного оборудования с прикладными средствами видеонаблюдения МКУ г. Сочи «Единая дежурно-диспетчерская служба города Сочи»</v>
      </c>
      <c r="G5782" s="22" t="s">
        <v>132</v>
      </c>
      <c r="H5782" s="22" t="s">
        <v>1126</v>
      </c>
      <c r="I5782" s="26">
        <v>43642.713888888902</v>
      </c>
      <c r="J5782" s="28" t="s">
        <v>52</v>
      </c>
      <c r="K5782" s="28" t="s">
        <v>52</v>
      </c>
      <c r="L5782" s="28" t="s">
        <v>52</v>
      </c>
      <c r="M5782" s="28" t="s">
        <v>52</v>
      </c>
      <c r="N5782" s="28" t="s">
        <v>52</v>
      </c>
    </row>
    <row r="5783" spans="1:14" hidden="1" outlineLevel="1" x14ac:dyDescent="0.2">
      <c r="A5783" s="23" t="str">
        <f>HYPERLINK("https://www.spark-marketing.ru/Card/Person/82927", "МКУ Г.СОЧИ ""ЕДДС Г.СОЧИ""")</f>
        <v>МКУ Г.СОЧИ "ЕДДС Г.СОЧИ"</v>
      </c>
      <c r="B5783" s="24" t="s">
        <v>1123</v>
      </c>
      <c r="C5783" s="25">
        <v>8400000</v>
      </c>
      <c r="D5783" s="22" t="s">
        <v>7469</v>
      </c>
      <c r="E5783" s="22" t="s">
        <v>103</v>
      </c>
      <c r="F5783" s="23" t="str">
        <f>HYPERLINK("https://www.spark-marketing.ru/Card/Lot/71711170", "Оказание услуг по техническому обслуживанию камер видеонаблюдения и сопутствующего серверного оборудования с прикладными средствами видеонаблюдения МКУ г. Сочи «Единая дежурно-диспетчерская служба города Сочи»")</f>
        <v>Оказание услуг по техническому обслуживанию камер видеонаблюдения и сопутствующего серверного оборудования с прикладными средствами видеонаблюдения МКУ г. Сочи «Единая дежурно-диспетчерская служба города Сочи»</v>
      </c>
      <c r="G5783" s="22" t="s">
        <v>132</v>
      </c>
      <c r="H5783" s="22" t="s">
        <v>1126</v>
      </c>
      <c r="I5783" s="26">
        <v>43642.713888888902</v>
      </c>
      <c r="J5783" s="23" t="str">
        <f>HYPERLINK("https://www.spark-marketing.ru/Card/Person/19798", "ООО ""НЭТ БАЙ НЭТ ХОЛДИНГ""")</f>
        <v>ООО "НЭТ БАЙ НЭТ ХОЛДИНГ"</v>
      </c>
      <c r="K5783" s="24" t="s">
        <v>4805</v>
      </c>
      <c r="L5783" s="28" t="s">
        <v>52</v>
      </c>
      <c r="M5783" s="25">
        <v>8232000</v>
      </c>
      <c r="N5783" s="27">
        <v>0.02</v>
      </c>
    </row>
    <row r="5784" spans="1:14" hidden="1" outlineLevel="1" x14ac:dyDescent="0.2">
      <c r="A5784" s="23" t="str">
        <f>HYPERLINK("https://www.spark-marketing.ru/Card/Person/82927", "МКУ Г.СОЧИ ""ЕДДС Г.СОЧИ""")</f>
        <v>МКУ Г.СОЧИ "ЕДДС Г.СОЧИ"</v>
      </c>
      <c r="B5784" s="24" t="s">
        <v>1123</v>
      </c>
      <c r="C5784" s="25">
        <v>8400000</v>
      </c>
      <c r="D5784" s="22" t="s">
        <v>7469</v>
      </c>
      <c r="E5784" s="22" t="s">
        <v>103</v>
      </c>
      <c r="F5784" s="23" t="str">
        <f>HYPERLINK("https://www.spark-marketing.ru/Card/Lot/71711170", "Оказание услуг по техническому обслуживанию камер видеонаблюдения и сопутствующего серверного оборудования с прикладными средствами видеонаблюдения МКУ г. Сочи «Единая дежурно-диспетчерская служба города Сочи»")</f>
        <v>Оказание услуг по техническому обслуживанию камер видеонаблюдения и сопутствующего серверного оборудования с прикладными средствами видеонаблюдения МКУ г. Сочи «Единая дежурно-диспетчерская служба города Сочи»</v>
      </c>
      <c r="G5784" s="22" t="s">
        <v>132</v>
      </c>
      <c r="H5784" s="22" t="s">
        <v>1126</v>
      </c>
      <c r="I5784" s="26">
        <v>43642.713888888902</v>
      </c>
      <c r="J5784" s="23" t="str">
        <f>HYPERLINK("https://www.spark-marketing.ru/Card/Person/87819", "ООО ""АСЕАН""")</f>
        <v>ООО "АСЕАН"</v>
      </c>
      <c r="K5784" s="24" t="s">
        <v>7470</v>
      </c>
      <c r="L5784" s="28" t="s">
        <v>52</v>
      </c>
      <c r="M5784" s="25">
        <v>6804000</v>
      </c>
      <c r="N5784" s="27">
        <v>0.19</v>
      </c>
    </row>
    <row r="5785" spans="1:14" ht="12.75" hidden="1" outlineLevel="1" x14ac:dyDescent="0.2">
      <c r="A5785" s="23" t="str">
        <f>HYPERLINK("https://www.spark-marketing.ru/Card/Person/82927", "МКУ Г.СОЧИ ""ЕДДС Г.СОЧИ""")</f>
        <v>МКУ Г.СОЧИ "ЕДДС Г.СОЧИ"</v>
      </c>
      <c r="B5785" s="24" t="s">
        <v>1123</v>
      </c>
      <c r="C5785" s="25">
        <v>8400000</v>
      </c>
      <c r="D5785" s="22" t="s">
        <v>7469</v>
      </c>
      <c r="E5785" s="22" t="s">
        <v>103</v>
      </c>
      <c r="F5785" s="23" t="str">
        <f>HYPERLINK("https://www.spark-marketing.ru/Card/Lot/71711170", "Оказание услуг по техническому обслуживанию камер видеонаблюдения и сопутствующего серверного оборудования с прикладными средствами видеонаблюдения МКУ г. Сочи «Единая дежурно-диспетчерская служба города Сочи»")</f>
        <v>Оказание услуг по техническому обслуживанию камер видеонаблюдения и сопутствующего серверного оборудования с прикладными средствами видеонаблюдения МКУ г. Сочи «Единая дежурно-диспетчерская служба города Сочи»</v>
      </c>
      <c r="G5785" s="22" t="s">
        <v>132</v>
      </c>
      <c r="H5785" s="22" t="s">
        <v>1126</v>
      </c>
      <c r="I5785" s="26">
        <v>43642.713888888902</v>
      </c>
      <c r="J5785" s="23" t="str">
        <f>HYPERLINK("https://www.spark-marketing.ru/Card/Person/413815", "ООО ""ИТ-ЗАВОД""")</f>
        <v>ООО "ИТ-ЗАВОД"</v>
      </c>
      <c r="K5785" s="24" t="s">
        <v>6557</v>
      </c>
      <c r="L5785" s="22" t="s">
        <v>10</v>
      </c>
      <c r="M5785" s="25">
        <v>6762000</v>
      </c>
      <c r="N5785" s="27">
        <v>0.19500000000000001</v>
      </c>
    </row>
    <row r="5786" spans="1:14" x14ac:dyDescent="0.15">
      <c r="A5786" s="23" t="str">
        <f>HYPERLINK("https://www.spark-marketing.ru/Card/Person/3626", "АДМИНИСТРАЦИЯ ШЕЛЕХОВСКОГО МУНИЦИПАЛЬНОГО РАЙОНА")</f>
        <v>АДМИНИСТРАЦИЯ ШЕЛЕХОВСКОГО МУНИЦИПАЛЬНОГО РАЙОНА</v>
      </c>
      <c r="B5786" s="24" t="s">
        <v>6167</v>
      </c>
      <c r="C5786" s="25">
        <v>214551.35</v>
      </c>
      <c r="D5786" s="22" t="s">
        <v>7471</v>
      </c>
      <c r="E5786" s="22" t="s">
        <v>84</v>
      </c>
      <c r="F5786" s="23" t="str">
        <f>HYPERLINK("https://www.spark-marketing.ru/Card/Lot/71713077", "Оказание услуг по подключению видеокамер для видеонаблюдения,  техническому  обслуживанию  и предоставлению видеоизображения с мест нахождения видеокамер")</f>
        <v>Оказание услуг по подключению видеокамер для видеонаблюдения,  техническому  обслуживанию  и предоставлению видеоизображения с мест нахождения видеокамер</v>
      </c>
      <c r="G5786" s="22" t="s">
        <v>281</v>
      </c>
      <c r="H5786" s="22" t="s">
        <v>281</v>
      </c>
      <c r="I5786" s="26">
        <v>43642.7006944444</v>
      </c>
      <c r="J5786" s="28" t="s">
        <v>52</v>
      </c>
      <c r="K5786" s="28" t="s">
        <v>52</v>
      </c>
      <c r="L5786" s="28" t="s">
        <v>52</v>
      </c>
      <c r="M5786" s="28" t="s">
        <v>52</v>
      </c>
      <c r="N5786" s="28" t="s">
        <v>52</v>
      </c>
    </row>
    <row r="5787" spans="1:14" x14ac:dyDescent="0.15">
      <c r="A5787" s="23" t="str">
        <f>HYPERLINK("https://www.spark-marketing.ru/Card/Person/1063669", "МАДОУ ДЕТСКИЙ САД № 19")</f>
        <v>МАДОУ ДЕТСКИЙ САД № 19</v>
      </c>
      <c r="B5787" s="24" t="s">
        <v>7472</v>
      </c>
      <c r="C5787" s="25">
        <v>170207</v>
      </c>
      <c r="D5787" s="22" t="s">
        <v>7473</v>
      </c>
      <c r="E5787" s="22" t="s">
        <v>7474</v>
      </c>
      <c r="F5787" s="23" t="str">
        <f>HYPERLINK("https://www.spark-marketing.ru/Card/Lot/71695263", "установка видеодомофонной системы с заменой двух металлических двухстворчатых дверей")</f>
        <v>установка видеодомофонной системы с заменой двух металлических двухстворчатых дверей</v>
      </c>
      <c r="G5787" s="22" t="s">
        <v>72</v>
      </c>
      <c r="H5787" s="22" t="s">
        <v>72</v>
      </c>
      <c r="I5787" s="26">
        <v>43642.658819444398</v>
      </c>
      <c r="J5787" s="28" t="s">
        <v>52</v>
      </c>
      <c r="K5787" s="28" t="s">
        <v>52</v>
      </c>
      <c r="L5787" s="28" t="s">
        <v>52</v>
      </c>
      <c r="M5787" s="28" t="s">
        <v>52</v>
      </c>
      <c r="N5787" s="28" t="s">
        <v>52</v>
      </c>
    </row>
    <row r="5788" spans="1:14" x14ac:dyDescent="0.15">
      <c r="A5788" s="23" t="str">
        <f>HYPERLINK("https://www.spark-marketing.ru/Card/Person/4343740", "МИНЗДРАВ РОССИИ")</f>
        <v>МИНЗДРАВ РОССИИ</v>
      </c>
      <c r="B5788" s="24" t="s">
        <v>1666</v>
      </c>
      <c r="C5788" s="25">
        <v>915537646.5</v>
      </c>
      <c r="D5788" s="22" t="s">
        <v>7475</v>
      </c>
      <c r="E5788" s="22" t="s">
        <v>53</v>
      </c>
      <c r="F5788" s="23" t="str">
        <f>HYPERLINK("https://www.spark-marketing.ru/Card/Lot/71711292", "Ритуксимаб, концентрат для приготовления раствора для инфузий, 10 мг/мл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f>
        <v>Ритуксимаб, концентрат для приготовления раствора для инфузий, 10 мг/мл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v>
      </c>
      <c r="G5788" s="22" t="s">
        <v>428</v>
      </c>
      <c r="H5788" s="22" t="s">
        <v>429</v>
      </c>
      <c r="I5788" s="26">
        <v>43642.629166666702</v>
      </c>
      <c r="J5788" s="28" t="s">
        <v>52</v>
      </c>
      <c r="K5788" s="28" t="s">
        <v>52</v>
      </c>
      <c r="L5788" s="28" t="s">
        <v>52</v>
      </c>
      <c r="M5788" s="28" t="s">
        <v>52</v>
      </c>
      <c r="N5788" s="28" t="s">
        <v>52</v>
      </c>
    </row>
    <row r="5789" spans="1:14" hidden="1" outlineLevel="1" x14ac:dyDescent="0.2">
      <c r="A5789" s="23" t="str">
        <f>HYPERLINK("https://www.spark-marketing.ru/Card/Person/4343740", "МИНЗДРАВ РОССИИ")</f>
        <v>МИНЗДРАВ РОССИИ</v>
      </c>
      <c r="B5789" s="24" t="s">
        <v>1666</v>
      </c>
      <c r="C5789" s="25">
        <v>915537646.5</v>
      </c>
      <c r="D5789" s="22" t="s">
        <v>7475</v>
      </c>
      <c r="E5789" s="22" t="s">
        <v>53</v>
      </c>
      <c r="F5789" s="23" t="str">
        <f>HYPERLINK("https://www.spark-marketing.ru/Card/Lot/71711292", "Ритуксимаб, концентрат для приготовления раствора для инфузий, 10 мг/мл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f>
        <v>Ритуксимаб, концентрат для приготовления раствора для инфузий, 10 мг/мл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v>
      </c>
      <c r="G5789" s="22" t="s">
        <v>428</v>
      </c>
      <c r="H5789" s="22" t="s">
        <v>429</v>
      </c>
      <c r="I5789" s="26">
        <v>43642.629166666702</v>
      </c>
      <c r="J5789" s="23" t="str">
        <f>HYPERLINK("https://www.spark-marketing.ru/Card/Person/22411", "ЗАО ""БИОКАД""")</f>
        <v>ЗАО "БИОКАД"</v>
      </c>
      <c r="K5789" s="24" t="s">
        <v>5342</v>
      </c>
      <c r="L5789" s="28" t="s">
        <v>52</v>
      </c>
      <c r="M5789" s="25">
        <v>897226893.58000004</v>
      </c>
      <c r="N5789" s="27">
        <v>1.9999999989077456E-2</v>
      </c>
    </row>
    <row r="5790" spans="1:14" ht="12.75" hidden="1" outlineLevel="1" x14ac:dyDescent="0.2">
      <c r="A5790" s="23" t="str">
        <f>HYPERLINK("https://www.spark-marketing.ru/Card/Person/4343740", "МИНЗДРАВ РОССИИ")</f>
        <v>МИНЗДРАВ РОССИИ</v>
      </c>
      <c r="B5790" s="24" t="s">
        <v>1666</v>
      </c>
      <c r="C5790" s="25">
        <v>915537646.5</v>
      </c>
      <c r="D5790" s="22" t="s">
        <v>7475</v>
      </c>
      <c r="E5790" s="22" t="s">
        <v>53</v>
      </c>
      <c r="F5790" s="23" t="str">
        <f>HYPERLINK("https://www.spark-marketing.ru/Card/Lot/71711292", "Ритуксимаб, концентрат для приготовления раствора для инфузий, 10 мг/мл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f>
        <v>Ритуксимаб, концентрат для приготовления раствора для инфузий, 10 мг/мл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v>
      </c>
      <c r="G5790" s="22" t="s">
        <v>428</v>
      </c>
      <c r="H5790" s="22" t="s">
        <v>429</v>
      </c>
      <c r="I5790" s="26">
        <v>43642.629166666702</v>
      </c>
      <c r="J5790" s="23" t="str">
        <f>HYPERLINK("https://www.spark-marketing.ru/Card/Person/4345864", "АО ""Р-ФАРМ""")</f>
        <v>АО "Р-ФАРМ"</v>
      </c>
      <c r="K5790" s="24" t="s">
        <v>5343</v>
      </c>
      <c r="L5790" s="22" t="s">
        <v>10</v>
      </c>
      <c r="M5790" s="25">
        <v>892649205.35000002</v>
      </c>
      <c r="N5790" s="27">
        <v>2.4999999986346819E-2</v>
      </c>
    </row>
    <row r="5791" spans="1:14" x14ac:dyDescent="0.15">
      <c r="A5791" s="23" t="str">
        <f>HYPERLINK("https://www.spark-marketing.ru/Card/Person/4416164", "ООО ""ЗАВОД ТЕХНОНИКОЛЬ-УЛЬЯНОВСК""")</f>
        <v>ООО "ЗАВОД ТЕХНОНИКОЛЬ-УЛЬЯНОВСК"</v>
      </c>
      <c r="B5791" s="24" t="s">
        <v>7476</v>
      </c>
      <c r="C5791" s="28" t="s">
        <v>52</v>
      </c>
      <c r="D5791" s="22" t="s">
        <v>7477</v>
      </c>
      <c r="E5791" s="22" t="s">
        <v>52</v>
      </c>
      <c r="F5791" s="23" t="str">
        <f>HYPERLINK("https://www.spark-marketing.ru/Card/Lot/71699078", "Оказание услуг охраны производственной площадки и объектов")</f>
        <v>Оказание услуг охраны производственной площадки и объектов</v>
      </c>
      <c r="G5791" s="22" t="s">
        <v>446</v>
      </c>
      <c r="H5791" s="22" t="s">
        <v>7478</v>
      </c>
      <c r="I5791" s="26">
        <v>43642.648402777799</v>
      </c>
      <c r="J5791" s="28" t="s">
        <v>52</v>
      </c>
      <c r="K5791" s="28" t="s">
        <v>52</v>
      </c>
      <c r="L5791" s="28" t="s">
        <v>52</v>
      </c>
      <c r="M5791" s="28" t="s">
        <v>52</v>
      </c>
      <c r="N5791" s="28" t="s">
        <v>52</v>
      </c>
    </row>
    <row r="5792" spans="1:14" x14ac:dyDescent="0.15">
      <c r="A5792" s="23" t="str">
        <f>HYPERLINK("https://www.spark-marketing.ru/Card/Person/4343740", "МИНЗДРАВ РОССИИ")</f>
        <v>МИНЗДРАВ РОССИИ</v>
      </c>
      <c r="B5792" s="24" t="s">
        <v>1666</v>
      </c>
      <c r="C5792" s="25">
        <v>593819027</v>
      </c>
      <c r="D5792" s="22" t="s">
        <v>7479</v>
      </c>
      <c r="E5792" s="22" t="s">
        <v>53</v>
      </c>
      <c r="F5792" s="23" t="str">
        <f>HYPERLINK("https://www.spark-marketing.ru/Card/Lot/71711270", "Ритуксимаб, концентрат для приготовления раствора для инфузий, 10 мг/мл, 10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f>
        <v>Ритуксимаб, концентрат для приготовления раствора для инфузий, 10 мг/мл, 10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v>
      </c>
      <c r="G5792" s="22" t="s">
        <v>428</v>
      </c>
      <c r="H5792" s="22" t="s">
        <v>429</v>
      </c>
      <c r="I5792" s="26">
        <v>43642.629166666702</v>
      </c>
      <c r="J5792" s="23" t="str">
        <f>HYPERLINK("https://www.spark-marketing.ru/Card/Person/22411", "ЗАО ""БИОКАД""")</f>
        <v>ЗАО "БИОКАД"</v>
      </c>
      <c r="K5792" s="24" t="s">
        <v>5342</v>
      </c>
      <c r="L5792" s="28" t="s">
        <v>52</v>
      </c>
      <c r="M5792" s="28" t="s">
        <v>52</v>
      </c>
      <c r="N5792" s="28" t="s">
        <v>52</v>
      </c>
    </row>
    <row r="5793" spans="1:14" ht="12.75" hidden="1" outlineLevel="1" x14ac:dyDescent="0.2">
      <c r="A5793" s="23" t="str">
        <f>HYPERLINK("https://www.spark-marketing.ru/Card/Person/4343740", "МИНЗДРАВ РОССИИ")</f>
        <v>МИНЗДРАВ РОССИИ</v>
      </c>
      <c r="B5793" s="24" t="s">
        <v>1666</v>
      </c>
      <c r="C5793" s="25">
        <v>593819027</v>
      </c>
      <c r="D5793" s="22" t="s">
        <v>7479</v>
      </c>
      <c r="E5793" s="22" t="s">
        <v>53</v>
      </c>
      <c r="F5793" s="23" t="str">
        <f>HYPERLINK("https://www.spark-marketing.ru/Card/Lot/71711270", "Ритуксимаб, концентрат для приготовления раствора для инфузий, 10 мг/мл, 10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f>
        <v>Ритуксимаб, концентрат для приготовления раствора для инфузий, 10 мг/мл, 10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v>
      </c>
      <c r="G5793" s="22" t="s">
        <v>428</v>
      </c>
      <c r="H5793" s="22" t="s">
        <v>429</v>
      </c>
      <c r="I5793" s="26">
        <v>43642.629166666702</v>
      </c>
      <c r="J5793" s="23" t="str">
        <f>HYPERLINK("https://www.spark-marketing.ru/Card/Person/22411", "ЗАО ""БИОКАД""")</f>
        <v>ЗАО "БИОКАД"</v>
      </c>
      <c r="K5793" s="24" t="s">
        <v>5342</v>
      </c>
      <c r="L5793" s="22" t="s">
        <v>10</v>
      </c>
      <c r="M5793" s="25">
        <v>590849931.86000001</v>
      </c>
      <c r="N5793" s="27">
        <v>5.0000000084200738E-3</v>
      </c>
    </row>
    <row r="5794" spans="1:14" x14ac:dyDescent="0.15">
      <c r="A5794" s="23" t="str">
        <f>HYPERLINK("https://www.spark-marketing.ru/Card/Person/1002531", "ГБПОУ НСО ""БПК""")</f>
        <v>ГБПОУ НСО "БПК"</v>
      </c>
      <c r="B5794" s="24" t="s">
        <v>7480</v>
      </c>
      <c r="C5794" s="25">
        <v>268000</v>
      </c>
      <c r="D5794" s="22" t="s">
        <v>7481</v>
      </c>
      <c r="E5794" s="22" t="s">
        <v>52</v>
      </c>
      <c r="F5794" s="23" t="str">
        <f>HYPERLINK("https://www.spark-marketing.ru/Card/Lot/71695820", "Оказание услуг по охране объектов")</f>
        <v>Оказание услуг по охране объектов</v>
      </c>
      <c r="G5794" s="22" t="s">
        <v>209</v>
      </c>
      <c r="H5794" s="22" t="s">
        <v>6912</v>
      </c>
      <c r="I5794" s="26">
        <v>43642.6430555556</v>
      </c>
      <c r="J5794" s="28" t="s">
        <v>52</v>
      </c>
      <c r="K5794" s="28" t="s">
        <v>52</v>
      </c>
      <c r="L5794" s="28" t="s">
        <v>52</v>
      </c>
      <c r="M5794" s="28" t="s">
        <v>52</v>
      </c>
      <c r="N5794" s="28" t="s">
        <v>52</v>
      </c>
    </row>
    <row r="5795" spans="1:14" x14ac:dyDescent="0.15">
      <c r="A5795" s="23" t="str">
        <f>HYPERLINK("https://www.spark-marketing.ru/Card/Person/8072", "САРАТОВСКИЙ ОБЛАСТНОЙ СУД")</f>
        <v>САРАТОВСКИЙ ОБЛАСТНОЙ СУД</v>
      </c>
      <c r="B5795" s="24" t="s">
        <v>2553</v>
      </c>
      <c r="C5795" s="25">
        <v>703700</v>
      </c>
      <c r="D5795" s="22" t="s">
        <v>7482</v>
      </c>
      <c r="E5795" s="22" t="s">
        <v>84</v>
      </c>
      <c r="F5795" s="23" t="str">
        <f>HYPERLINK("https://www.spark-marketing.ru/Card/Lot/71708373", "Поставка, доставка, установка и пуско-наладка системы видеонаблюдения для нужд Саратовского областного суда")</f>
        <v>Поставка, доставка, установка и пуско-наладка системы видеонаблюдения для нужд Саратовского областного суда</v>
      </c>
      <c r="G5795" s="22" t="s">
        <v>80</v>
      </c>
      <c r="H5795" s="22" t="s">
        <v>81</v>
      </c>
      <c r="I5795" s="26">
        <v>43642.617361111101</v>
      </c>
      <c r="J5795" s="28" t="s">
        <v>52</v>
      </c>
      <c r="K5795" s="28" t="s">
        <v>52</v>
      </c>
      <c r="L5795" s="28" t="s">
        <v>52</v>
      </c>
      <c r="M5795" s="28" t="s">
        <v>52</v>
      </c>
      <c r="N5795" s="28" t="s">
        <v>52</v>
      </c>
    </row>
    <row r="5796" spans="1:14" ht="12.75" hidden="1" outlineLevel="1" x14ac:dyDescent="0.2">
      <c r="A5796" s="23" t="str">
        <f>HYPERLINK("https://www.spark-marketing.ru/Card/Person/8072", "САРАТОВСКИЙ ОБЛАСТНОЙ СУД")</f>
        <v>САРАТОВСКИЙ ОБЛАСТНОЙ СУД</v>
      </c>
      <c r="B5796" s="24" t="s">
        <v>2553</v>
      </c>
      <c r="C5796" s="25">
        <v>703700</v>
      </c>
      <c r="D5796" s="22" t="s">
        <v>7482</v>
      </c>
      <c r="E5796" s="22" t="s">
        <v>84</v>
      </c>
      <c r="F5796" s="23" t="str">
        <f>HYPERLINK("https://www.spark-marketing.ru/Card/Lot/71708373", "Поставка, доставка, установка и пуско-наладка системы видеонаблюдения для нужд Саратовского областного суда")</f>
        <v>Поставка, доставка, установка и пуско-наладка системы видеонаблюдения для нужд Саратовского областного суда</v>
      </c>
      <c r="G5796" s="22" t="s">
        <v>80</v>
      </c>
      <c r="H5796" s="22" t="s">
        <v>81</v>
      </c>
      <c r="I5796" s="26">
        <v>43642.617361111101</v>
      </c>
      <c r="J5796" s="23" t="str">
        <f>HYPERLINK("https://www.spark-marketing.ru/Card/Person/74710", "ООО ""АВЕРС-ВИДЕО""")</f>
        <v>ООО "АВЕРС-ВИДЕО"</v>
      </c>
      <c r="K5796" s="24" t="s">
        <v>2555</v>
      </c>
      <c r="L5796" s="22" t="s">
        <v>10</v>
      </c>
      <c r="M5796" s="25">
        <v>587589.5</v>
      </c>
      <c r="N5796" s="27">
        <v>0.16500000000000001</v>
      </c>
    </row>
    <row r="5797" spans="1:14" hidden="1" outlineLevel="1" x14ac:dyDescent="0.2">
      <c r="A5797" s="23" t="str">
        <f>HYPERLINK("https://www.spark-marketing.ru/Card/Person/8072", "САРАТОВСКИЙ ОБЛАСТНОЙ СУД")</f>
        <v>САРАТОВСКИЙ ОБЛАСТНОЙ СУД</v>
      </c>
      <c r="B5797" s="24" t="s">
        <v>2553</v>
      </c>
      <c r="C5797" s="25">
        <v>703700</v>
      </c>
      <c r="D5797" s="22" t="s">
        <v>7482</v>
      </c>
      <c r="E5797" s="22" t="s">
        <v>84</v>
      </c>
      <c r="F5797" s="23" t="str">
        <f>HYPERLINK("https://www.spark-marketing.ru/Card/Lot/71708373", "Поставка, доставка, установка и пуско-наладка системы видеонаблюдения для нужд Саратовского областного суда")</f>
        <v>Поставка, доставка, установка и пуско-наладка системы видеонаблюдения для нужд Саратовского областного суда</v>
      </c>
      <c r="G5797" s="22" t="s">
        <v>80</v>
      </c>
      <c r="H5797" s="22" t="s">
        <v>81</v>
      </c>
      <c r="I5797" s="26">
        <v>43642.617361111101</v>
      </c>
      <c r="J5797" s="23" t="str">
        <f>HYPERLINK("https://www.spark-marketing.ru/Card/Person/149876", "ООО ""ТЕЛЕМАК -СЕРВИС""")</f>
        <v>ООО "ТЕЛЕМАК -СЕРВИС"</v>
      </c>
      <c r="K5797" s="24" t="s">
        <v>7483</v>
      </c>
      <c r="L5797" s="28" t="s">
        <v>52</v>
      </c>
      <c r="M5797" s="25">
        <v>591108</v>
      </c>
      <c r="N5797" s="27">
        <v>0.16</v>
      </c>
    </row>
    <row r="5798" spans="1:14" x14ac:dyDescent="0.15">
      <c r="A5798" s="23" t="str">
        <f>HYPERLINK("https://www.spark-marketing.ru/Card/Person/33740", "ГКУ АЗ (КС) ДЗМ")</f>
        <v>ГКУ АЗ (КС) ДЗМ</v>
      </c>
      <c r="B5798" s="24" t="s">
        <v>3067</v>
      </c>
      <c r="C5798" s="25">
        <v>25637840.629999999</v>
      </c>
      <c r="D5798" s="22" t="s">
        <v>7484</v>
      </c>
      <c r="E5798" s="22" t="s">
        <v>3069</v>
      </c>
      <c r="F5798" s="23" t="str">
        <f>HYPERLINK("https://www.spark-marketing.ru/Card/Lot/71711321", "Аукцион в электронной форме на поставку, установку и ввод в эксплуатацию эндовидеохирургического оборудования в рамках реализации Государственной программы города Москвы «Развитие здравоохранения города Москвы (Столичное здравоохранение)» (ПСЗ2019-51...")</f>
        <v>Аукцион в электронной форме на поставку, установку и ввод в эксплуатацию эндовидеохирургического оборудования в рамках реализации Государственной программы города Москвы «Развитие здравоохранения города Москвы (Столичное здравоохранение)» (ПСЗ2019-51...</v>
      </c>
      <c r="G5798" s="22" t="s">
        <v>55</v>
      </c>
      <c r="H5798" s="22" t="s">
        <v>55</v>
      </c>
      <c r="I5798" s="26">
        <v>43642.565972222197</v>
      </c>
      <c r="J5798" s="28" t="s">
        <v>52</v>
      </c>
      <c r="K5798" s="28" t="s">
        <v>52</v>
      </c>
      <c r="L5798" s="28" t="s">
        <v>52</v>
      </c>
      <c r="M5798" s="28" t="s">
        <v>52</v>
      </c>
      <c r="N5798" s="28" t="s">
        <v>52</v>
      </c>
    </row>
    <row r="5799" spans="1:14" ht="12.75" hidden="1" outlineLevel="1" x14ac:dyDescent="0.2">
      <c r="A5799" s="23" t="str">
        <f>HYPERLINK("https://www.spark-marketing.ru/Card/Person/33740", "ГКУ АЗ (КС) ДЗМ")</f>
        <v>ГКУ АЗ (КС) ДЗМ</v>
      </c>
      <c r="B5799" s="24" t="s">
        <v>3067</v>
      </c>
      <c r="C5799" s="25">
        <v>25637840.629999999</v>
      </c>
      <c r="D5799" s="22" t="s">
        <v>7484</v>
      </c>
      <c r="E5799" s="22" t="s">
        <v>3069</v>
      </c>
      <c r="F5799" s="23" t="str">
        <f>HYPERLINK("https://www.spark-marketing.ru/Card/Lot/71711321", "Аукцион в электронной форме на поставку, установку и ввод в эксплуатацию эндовидеохирургического оборудования в рамках реализации Государственной программы города Москвы «Развитие здравоохранения города Москвы (Столичное здравоохранение)» (ПСЗ2019-51...")</f>
        <v>Аукцион в электронной форме на поставку, установку и ввод в эксплуатацию эндовидеохирургического оборудования в рамках реализации Государственной программы города Москвы «Развитие здравоохранения города Москвы (Столичное здравоохранение)» (ПСЗ2019-51...</v>
      </c>
      <c r="G5799" s="22" t="s">
        <v>55</v>
      </c>
      <c r="H5799" s="22" t="s">
        <v>55</v>
      </c>
      <c r="I5799" s="26">
        <v>43642.565972222197</v>
      </c>
      <c r="J5799" s="23" t="str">
        <f>HYPERLINK("https://www.spark-marketing.ru/Card/Person/4346261", "АО ""ВИКИНГ""")</f>
        <v>АО "ВИКИНГ"</v>
      </c>
      <c r="K5799" s="24" t="s">
        <v>4918</v>
      </c>
      <c r="L5799" s="22" t="s">
        <v>10</v>
      </c>
      <c r="M5799" s="25">
        <v>25253273.02</v>
      </c>
      <c r="N5799" s="27">
        <v>1.5000000021452665E-2</v>
      </c>
    </row>
    <row r="5800" spans="1:14" hidden="1" outlineLevel="1" x14ac:dyDescent="0.2">
      <c r="A5800" s="23" t="str">
        <f>HYPERLINK("https://www.spark-marketing.ru/Card/Person/33740", "ГКУ АЗ (КС) ДЗМ")</f>
        <v>ГКУ АЗ (КС) ДЗМ</v>
      </c>
      <c r="B5800" s="24" t="s">
        <v>3067</v>
      </c>
      <c r="C5800" s="25">
        <v>25637840.629999999</v>
      </c>
      <c r="D5800" s="22" t="s">
        <v>7484</v>
      </c>
      <c r="E5800" s="22" t="s">
        <v>3069</v>
      </c>
      <c r="F5800" s="23" t="str">
        <f>HYPERLINK("https://www.spark-marketing.ru/Card/Lot/71711321", "Аукцион в электронной форме на поставку, установку и ввод в эксплуатацию эндовидеохирургического оборудования в рамках реализации Государственной программы города Москвы «Развитие здравоохранения города Москвы (Столичное здравоохранение)» (ПСЗ2019-51...")</f>
        <v>Аукцион в электронной форме на поставку, установку и ввод в эксплуатацию эндовидеохирургического оборудования в рамках реализации Государственной программы города Москвы «Развитие здравоохранения города Москвы (Столичное здравоохранение)» (ПСЗ2019-51...</v>
      </c>
      <c r="G5800" s="22" t="s">
        <v>55</v>
      </c>
      <c r="H5800" s="22" t="s">
        <v>55</v>
      </c>
      <c r="I5800" s="26">
        <v>43642.565972222197</v>
      </c>
      <c r="J5800" s="23" t="str">
        <f>HYPERLINK("https://www.spark-marketing.ru/Card/Person/4884524", "ООО ""ТРАНС-М 2002""")</f>
        <v>ООО "ТРАНС-М 2002"</v>
      </c>
      <c r="K5800" s="24" t="s">
        <v>7485</v>
      </c>
      <c r="L5800" s="28" t="s">
        <v>52</v>
      </c>
      <c r="M5800" s="25">
        <v>25509651.43</v>
      </c>
      <c r="N5800" s="27">
        <v>4.9999998771347379E-3</v>
      </c>
    </row>
    <row r="5801" spans="1:14" x14ac:dyDescent="0.15">
      <c r="A5801" s="23" t="str">
        <f>HYPERLINK("https://www.spark-marketing.ru/Card/Person/4347247", "ГБУЗ ""ОКВД № 3""")</f>
        <v>ГБУЗ "ОКВД № 3"</v>
      </c>
      <c r="B5801" s="24" t="s">
        <v>1208</v>
      </c>
      <c r="C5801" s="25">
        <v>646285.06999999995</v>
      </c>
      <c r="D5801" s="22" t="s">
        <v>7486</v>
      </c>
      <c r="E5801" s="22" t="s">
        <v>59</v>
      </c>
      <c r="F5801" s="23" t="str">
        <f>HYPERLINK("https://www.spark-marketing.ru/Card/Lot/71690976", "Обеспечение комплексной безопасности организаций Челябинской области. Установка системы видеонаблюдения в поликлиническом отделении №3 по адресу: г. Челябинск, ул.Блюхера,12. Установка системы видеонаблюдения в поликлиническом отделении №1 по адресу:...")</f>
        <v>Обеспечение комплексной безопасности организаций Челябинской области. Установка системы видеонаблюдения в поликлиническом отделении №3 по адресу: г. Челябинск, ул.Блюхера,12. Установка системы видеонаблюдения в поликлиническом отделении №1 по адресу:...</v>
      </c>
      <c r="G5801" s="22" t="s">
        <v>60</v>
      </c>
      <c r="H5801" s="22" t="s">
        <v>60</v>
      </c>
      <c r="I5801" s="26">
        <v>43642.518750000003</v>
      </c>
      <c r="J5801" s="28" t="s">
        <v>52</v>
      </c>
      <c r="K5801" s="28" t="s">
        <v>52</v>
      </c>
      <c r="L5801" s="28" t="s">
        <v>52</v>
      </c>
      <c r="M5801" s="28" t="s">
        <v>52</v>
      </c>
      <c r="N5801" s="28" t="s">
        <v>52</v>
      </c>
    </row>
    <row r="5802" spans="1:14" hidden="1" outlineLevel="1" x14ac:dyDescent="0.2">
      <c r="A5802" s="23" t="str">
        <f>HYPERLINK("https://www.spark-marketing.ru/Card/Person/4347247", "ГБУЗ ""ОКВД № 3""")</f>
        <v>ГБУЗ "ОКВД № 3"</v>
      </c>
      <c r="B5802" s="24" t="s">
        <v>1208</v>
      </c>
      <c r="C5802" s="25">
        <v>646285.06999999995</v>
      </c>
      <c r="D5802" s="22" t="s">
        <v>7486</v>
      </c>
      <c r="E5802" s="22" t="s">
        <v>59</v>
      </c>
      <c r="F5802" s="23" t="str">
        <f>HYPERLINK("https://www.spark-marketing.ru/Card/Lot/71690976", "Обеспечение комплексной безопасности организаций Челябинской области. Установка системы видеонаблюдения в поликлиническом отделении №3 по адресу: г. Челябинск, ул.Блюхера,12. Установка системы видеонаблюдения в поликлиническом отделении №1 по адресу:...")</f>
        <v>Обеспечение комплексной безопасности организаций Челябинской области. Установка системы видеонаблюдения в поликлиническом отделении №3 по адресу: г. Челябинск, ул.Блюхера,12. Установка системы видеонаблюдения в поликлиническом отделении №1 по адресу:...</v>
      </c>
      <c r="G5802" s="22" t="s">
        <v>60</v>
      </c>
      <c r="H5802" s="22" t="s">
        <v>60</v>
      </c>
      <c r="I5802" s="26">
        <v>43642.518750000003</v>
      </c>
      <c r="J5802" s="23" t="str">
        <f>HYPERLINK("https://www.spark-marketing.ru/Card/Person/803106", "Лунегов Алексей Евгеньевич")</f>
        <v>Лунегов Алексей Евгеньевич</v>
      </c>
      <c r="K5802" s="24" t="s">
        <v>2506</v>
      </c>
      <c r="L5802" s="28" t="s">
        <v>52</v>
      </c>
      <c r="M5802" s="25">
        <v>486768.57</v>
      </c>
      <c r="N5802" s="27">
        <v>0.24682064835568615</v>
      </c>
    </row>
    <row r="5803" spans="1:14" ht="12.75" hidden="1" outlineLevel="1" x14ac:dyDescent="0.2">
      <c r="A5803" s="23" t="str">
        <f>HYPERLINK("https://www.spark-marketing.ru/Card/Person/4347247", "ГБУЗ ""ОКВД № 3""")</f>
        <v>ГБУЗ "ОКВД № 3"</v>
      </c>
      <c r="B5803" s="24" t="s">
        <v>1208</v>
      </c>
      <c r="C5803" s="25">
        <v>646285.06999999995</v>
      </c>
      <c r="D5803" s="22" t="s">
        <v>7486</v>
      </c>
      <c r="E5803" s="22" t="s">
        <v>59</v>
      </c>
      <c r="F5803" s="23" t="str">
        <f>HYPERLINK("https://www.spark-marketing.ru/Card/Lot/71690976", "Обеспечение комплексной безопасности организаций Челябинской области. Установка системы видеонаблюдения в поликлиническом отделении №3 по адресу: г. Челябинск, ул.Блюхера,12. Установка системы видеонаблюдения в поликлиническом отделении №1 по адресу:...")</f>
        <v>Обеспечение комплексной безопасности организаций Челябинской области. Установка системы видеонаблюдения в поликлиническом отделении №3 по адресу: г. Челябинск, ул.Блюхера,12. Установка системы видеонаблюдения в поликлиническом отделении №1 по адресу:...</v>
      </c>
      <c r="G5803" s="22" t="s">
        <v>60</v>
      </c>
      <c r="H5803" s="22" t="s">
        <v>60</v>
      </c>
      <c r="I5803" s="26">
        <v>43642.518750000003</v>
      </c>
      <c r="J5803" s="23" t="str">
        <f>HYPERLINK("https://www.spark-marketing.ru/Card/Person/4408755", "ООО ""ВЕРТИКАЛЬ""")</f>
        <v>ООО "ВЕРТИКАЛЬ"</v>
      </c>
      <c r="K5803" s="24" t="s">
        <v>1210</v>
      </c>
      <c r="L5803" s="22" t="s">
        <v>10</v>
      </c>
      <c r="M5803" s="25">
        <v>324622.84000000003</v>
      </c>
      <c r="N5803" s="27">
        <v>0.49770951694737431</v>
      </c>
    </row>
    <row r="5804" spans="1:14" hidden="1" outlineLevel="1" x14ac:dyDescent="0.2">
      <c r="A5804" s="23" t="str">
        <f>HYPERLINK("https://www.spark-marketing.ru/Card/Person/4347247", "ГБУЗ ""ОКВД № 3""")</f>
        <v>ГБУЗ "ОКВД № 3"</v>
      </c>
      <c r="B5804" s="24" t="s">
        <v>1208</v>
      </c>
      <c r="C5804" s="25">
        <v>646285.06999999995</v>
      </c>
      <c r="D5804" s="22" t="s">
        <v>7486</v>
      </c>
      <c r="E5804" s="22" t="s">
        <v>59</v>
      </c>
      <c r="F5804" s="23" t="str">
        <f>HYPERLINK("https://www.spark-marketing.ru/Card/Lot/71690976", "Обеспечение комплексной безопасности организаций Челябинской области. Установка системы видеонаблюдения в поликлиническом отделении №3 по адресу: г. Челябинск, ул.Блюхера,12. Установка системы видеонаблюдения в поликлиническом отделении №1 по адресу:...")</f>
        <v>Обеспечение комплексной безопасности организаций Челябинской области. Установка системы видеонаблюдения в поликлиническом отделении №3 по адресу: г. Челябинск, ул.Блюхера,12. Установка системы видеонаблюдения в поликлиническом отделении №1 по адресу:...</v>
      </c>
      <c r="G5804" s="22" t="s">
        <v>60</v>
      </c>
      <c r="H5804" s="22" t="s">
        <v>60</v>
      </c>
      <c r="I5804" s="26">
        <v>43642.518750000003</v>
      </c>
      <c r="J5804" s="23" t="str">
        <f>HYPERLINK("https://www.spark-marketing.ru/Card/Person/859363", "ООО ""ЭЛЕКТРОННЫЕ УСТРОЙСТВА""")</f>
        <v>ООО "ЭЛЕКТРОННЫЕ УСТРОЙСТВА"</v>
      </c>
      <c r="K5804" s="24" t="s">
        <v>7487</v>
      </c>
      <c r="L5804" s="28" t="s">
        <v>52</v>
      </c>
      <c r="M5804" s="25">
        <v>327922.84000000003</v>
      </c>
      <c r="N5804" s="27">
        <v>0.49260341106131383</v>
      </c>
    </row>
    <row r="5805" spans="1:14" x14ac:dyDescent="0.15">
      <c r="A5805" s="23" t="str">
        <f>HYPERLINK("https://www.spark-marketing.ru/Card/Person/45862", "ОМВД РОССИИ ПО ПЕЧЕНГСКОМУ РАЙОНУ")</f>
        <v>ОМВД РОССИИ ПО ПЕЧЕНГСКОМУ РАЙОНУ</v>
      </c>
      <c r="B5805" s="24" t="s">
        <v>7488</v>
      </c>
      <c r="C5805" s="25">
        <v>97800</v>
      </c>
      <c r="D5805" s="22" t="s">
        <v>7489</v>
      </c>
      <c r="E5805" s="22" t="s">
        <v>84</v>
      </c>
      <c r="F5805" s="23" t="str">
        <f>HYPERLINK("https://www.spark-marketing.ru/Card/Lot/71690020", "Монтаж, установка, модернизация систем видеонаблюдения, 1 шт")</f>
        <v>Монтаж, установка, модернизация систем видеонаблюдения, 1 шт</v>
      </c>
      <c r="G5805" s="22" t="s">
        <v>190</v>
      </c>
      <c r="H5805" s="22" t="s">
        <v>7490</v>
      </c>
      <c r="I5805" s="26">
        <v>43642.5371296296</v>
      </c>
      <c r="J5805" s="28" t="s">
        <v>52</v>
      </c>
      <c r="K5805" s="28" t="s">
        <v>52</v>
      </c>
      <c r="L5805" s="28" t="s">
        <v>52</v>
      </c>
      <c r="M5805" s="28" t="s">
        <v>52</v>
      </c>
      <c r="N5805" s="28" t="s">
        <v>52</v>
      </c>
    </row>
    <row r="5806" spans="1:14" x14ac:dyDescent="0.15">
      <c r="A5806" s="23" t="str">
        <f>HYPERLINK("https://www.spark-marketing.ru/Card/Person/147006", "МБОУ""ГИМНАЗИЯ № 1""")</f>
        <v>МБОУ"ГИМНАЗИЯ № 1"</v>
      </c>
      <c r="B5806" s="24" t="s">
        <v>7491</v>
      </c>
      <c r="C5806" s="25">
        <v>50400</v>
      </c>
      <c r="D5806" s="22" t="s">
        <v>7492</v>
      </c>
      <c r="E5806" s="22" t="s">
        <v>298</v>
      </c>
      <c r="F5806" s="23" t="str">
        <f>HYPERLINK("https://www.spark-marketing.ru/Card/Lot/71690560", "Оказание услуг по предоставлению видеоизображения для технологического обеспечения региональной безопасности и оперативного управления «Безопасный регион»")</f>
        <v>Оказание услуг по предоставлению видеоизображения для технологического обеспечения региональной безопасности и оперативного управления «Безопасный регион»</v>
      </c>
      <c r="G5806" s="22" t="s">
        <v>50</v>
      </c>
      <c r="H5806" s="22" t="s">
        <v>299</v>
      </c>
      <c r="I5806" s="26">
        <v>43642.535023148099</v>
      </c>
      <c r="J5806" s="28" t="s">
        <v>52</v>
      </c>
      <c r="K5806" s="28" t="s">
        <v>52</v>
      </c>
      <c r="L5806" s="28" t="s">
        <v>52</v>
      </c>
      <c r="M5806" s="28" t="s">
        <v>52</v>
      </c>
      <c r="N5806" s="28" t="s">
        <v>52</v>
      </c>
    </row>
    <row r="5807" spans="1:14" x14ac:dyDescent="0.15">
      <c r="A5807" s="23" t="str">
        <f>HYPERLINK("https://www.spark-marketing.ru/Card/Person/3751", "ГБУЗ ТО ""ОБЛАСТНАЯ БОЛЬНИЦА № 23"" (Г. ЯЛУТОРОВСК)")</f>
        <v>ГБУЗ ТО "ОБЛАСТНАЯ БОЛЬНИЦА № 23" (Г. ЯЛУТОРОВСК)</v>
      </c>
      <c r="B5807" s="24" t="s">
        <v>7493</v>
      </c>
      <c r="C5807" s="25">
        <v>23170</v>
      </c>
      <c r="D5807" s="22" t="s">
        <v>7494</v>
      </c>
      <c r="E5807" s="22" t="s">
        <v>107</v>
      </c>
      <c r="F5807" s="23" t="str">
        <f>HYPERLINK("https://www.spark-marketing.ru/Card/Lot/71697166", "оказание услуг по техническому обслуживанию охранной и тревожной сигнализации")</f>
        <v>оказание услуг по техническому обслуживанию охранной и тревожной сигнализации</v>
      </c>
      <c r="G5807" s="22" t="s">
        <v>893</v>
      </c>
      <c r="H5807" s="22" t="s">
        <v>7495</v>
      </c>
      <c r="I5807" s="26">
        <v>43642.514583333301</v>
      </c>
      <c r="J5807" s="28" t="s">
        <v>52</v>
      </c>
      <c r="K5807" s="28" t="s">
        <v>52</v>
      </c>
      <c r="L5807" s="28" t="s">
        <v>52</v>
      </c>
      <c r="M5807" s="28" t="s">
        <v>52</v>
      </c>
      <c r="N5807" s="28" t="s">
        <v>52</v>
      </c>
    </row>
    <row r="5808" spans="1:14" ht="12.75" hidden="1" outlineLevel="1" x14ac:dyDescent="0.2">
      <c r="A5808" s="23" t="str">
        <f>HYPERLINK("https://www.spark-marketing.ru/Card/Person/3751", "ГБУЗ ТО ""ОБЛАСТНАЯ БОЛЬНИЦА № 23"" (Г. ЯЛУТОРОВСК)")</f>
        <v>ГБУЗ ТО "ОБЛАСТНАЯ БОЛЬНИЦА № 23" (Г. ЯЛУТОРОВСК)</v>
      </c>
      <c r="B5808" s="24" t="s">
        <v>7493</v>
      </c>
      <c r="C5808" s="25">
        <v>23170</v>
      </c>
      <c r="D5808" s="22" t="s">
        <v>7494</v>
      </c>
      <c r="E5808" s="22" t="s">
        <v>107</v>
      </c>
      <c r="F5808" s="23" t="str">
        <f>HYPERLINK("https://www.spark-marketing.ru/Card/Lot/71697166", "оказание услуг по техническому обслуживанию охранной и тревожной сигнализации")</f>
        <v>оказание услуг по техническому обслуживанию охранной и тревожной сигнализации</v>
      </c>
      <c r="G5808" s="22" t="s">
        <v>893</v>
      </c>
      <c r="H5808" s="22" t="s">
        <v>7495</v>
      </c>
      <c r="I5808" s="26">
        <v>43642.514583333301</v>
      </c>
      <c r="J5808" s="23" t="str">
        <f>HYPERLINK("https://www.spark-marketing.ru/Card/Person/567537", "ООО ""НЧОП ""СТАКСЕЛЬ ПЛЮС""")</f>
        <v>ООО "НЧОП "СТАКСЕЛЬ ПЛЮС"</v>
      </c>
      <c r="K5808" s="24" t="s">
        <v>7496</v>
      </c>
      <c r="L5808" s="22" t="s">
        <v>10</v>
      </c>
      <c r="M5808" s="25">
        <v>9888.2000000000007</v>
      </c>
      <c r="N5808" s="27">
        <v>0.57323262839879152</v>
      </c>
    </row>
    <row r="5809" spans="1:14" hidden="1" outlineLevel="1" x14ac:dyDescent="0.2">
      <c r="A5809" s="23" t="str">
        <f>HYPERLINK("https://www.spark-marketing.ru/Card/Person/3751", "ГБУЗ ТО ""ОБЛАСТНАЯ БОЛЬНИЦА № 23"" (Г. ЯЛУТОРОВСК)")</f>
        <v>ГБУЗ ТО "ОБЛАСТНАЯ БОЛЬНИЦА № 23" (Г. ЯЛУТОРОВСК)</v>
      </c>
      <c r="B5809" s="24" t="s">
        <v>7493</v>
      </c>
      <c r="C5809" s="25">
        <v>23170</v>
      </c>
      <c r="D5809" s="22" t="s">
        <v>7494</v>
      </c>
      <c r="E5809" s="22" t="s">
        <v>107</v>
      </c>
      <c r="F5809" s="23" t="str">
        <f>HYPERLINK("https://www.spark-marketing.ru/Card/Lot/71697166", "оказание услуг по техническому обслуживанию охранной и тревожной сигнализации")</f>
        <v>оказание услуг по техническому обслуживанию охранной и тревожной сигнализации</v>
      </c>
      <c r="G5809" s="22" t="s">
        <v>893</v>
      </c>
      <c r="H5809" s="22" t="s">
        <v>7495</v>
      </c>
      <c r="I5809" s="26">
        <v>43642.514583333301</v>
      </c>
      <c r="J5809" s="23" t="str">
        <f>HYPERLINK("https://www.spark-marketing.ru/Card/Person/856691", "ООО Н(Ч)ОП ""ТЮМЕНСКИЙ ЛЕГИОН""")</f>
        <v>ООО Н(Ч)ОП "ТЮМЕНСКИЙ ЛЕГИОН"</v>
      </c>
      <c r="K5809" s="24" t="s">
        <v>7497</v>
      </c>
      <c r="L5809" s="28" t="s">
        <v>52</v>
      </c>
      <c r="M5809" s="25">
        <v>10000</v>
      </c>
      <c r="N5809" s="27">
        <v>0.56840742339231765</v>
      </c>
    </row>
    <row r="5810" spans="1:14" x14ac:dyDescent="0.15">
      <c r="A5810" s="23" t="str">
        <f>HYPERLINK("https://www.spark-marketing.ru/Card/Person/1061579", "ГКОУ РО РОСТОВСКАЯ ШКОЛА-ИНТЕРНАТ № 41")</f>
        <v>ГКОУ РО РОСТОВСКАЯ ШКОЛА-ИНТЕРНАТ № 41</v>
      </c>
      <c r="B5810" s="24" t="s">
        <v>7498</v>
      </c>
      <c r="C5810" s="25">
        <v>207549.05</v>
      </c>
      <c r="D5810" s="22" t="s">
        <v>7499</v>
      </c>
      <c r="E5810" s="22" t="s">
        <v>7500</v>
      </c>
      <c r="F5810" s="23" t="str">
        <f>HYPERLINK("https://www.spark-marketing.ru/Card/Lot/71688752", "оборудование для фото/видео студии «Окно в мир»")</f>
        <v>оборудование для фото/видео студии «Окно в мир»</v>
      </c>
      <c r="G5810" s="22" t="s">
        <v>402</v>
      </c>
      <c r="H5810" s="22" t="s">
        <v>403</v>
      </c>
      <c r="I5810" s="26">
        <v>43642.5090277778</v>
      </c>
      <c r="J5810" s="28" t="s">
        <v>52</v>
      </c>
      <c r="K5810" s="28" t="s">
        <v>52</v>
      </c>
      <c r="L5810" s="28" t="s">
        <v>52</v>
      </c>
      <c r="M5810" s="28" t="s">
        <v>52</v>
      </c>
      <c r="N5810" s="28" t="s">
        <v>52</v>
      </c>
    </row>
    <row r="5811" spans="1:14" x14ac:dyDescent="0.15">
      <c r="A5811" s="23" t="str">
        <f>HYPERLINK("https://www.spark-marketing.ru/Card/Person/15261", "ГБУЗ ""ПДККТБ""")</f>
        <v>ГБУЗ "ПДККТБ"</v>
      </c>
      <c r="B5811" s="24" t="s">
        <v>7501</v>
      </c>
      <c r="C5811" s="25">
        <v>180000</v>
      </c>
      <c r="D5811" s="22" t="s">
        <v>7502</v>
      </c>
      <c r="E5811" s="22" t="s">
        <v>84</v>
      </c>
      <c r="F5811" s="23" t="str">
        <f>HYPERLINK("https://www.spark-marketing.ru/Card/Lot/71678062", "Работы по установке и монтажу системы видеонаблюдения")</f>
        <v>Работы по установке и монтажу системы видеонаблюдения</v>
      </c>
      <c r="G5811" s="22" t="s">
        <v>409</v>
      </c>
      <c r="H5811" s="22" t="s">
        <v>878</v>
      </c>
      <c r="I5811" s="26">
        <v>43642.504861111098</v>
      </c>
      <c r="J5811" s="23" t="str">
        <f>HYPERLINK("https://www.spark-marketing.ru/Card/Person/1204849", "ООО ""Е-НОТ""")</f>
        <v>ООО "Е-НОТ"</v>
      </c>
      <c r="K5811" s="24" t="s">
        <v>7503</v>
      </c>
      <c r="L5811" s="22" t="s">
        <v>10</v>
      </c>
      <c r="M5811" s="28" t="s">
        <v>52</v>
      </c>
      <c r="N5811" s="28" t="s">
        <v>52</v>
      </c>
    </row>
    <row r="5812" spans="1:14" x14ac:dyDescent="0.15">
      <c r="A5812" s="23" t="str">
        <f>HYPERLINK("https://www.spark-marketing.ru/Card/Person/160078", "УПРАВЛЕНИЕ МИНЮСТА РОССИИ ПО РЕСПУБЛИКЕ МАРИЙ ЭЛ")</f>
        <v>УПРАВЛЕНИЕ МИНЮСТА РОССИИ ПО РЕСПУБЛИКЕ МАРИЙ ЭЛ</v>
      </c>
      <c r="B5812" s="24" t="s">
        <v>7011</v>
      </c>
      <c r="C5812" s="25">
        <v>78305.919999999998</v>
      </c>
      <c r="D5812" s="22" t="s">
        <v>7504</v>
      </c>
      <c r="E5812" s="22" t="s">
        <v>107</v>
      </c>
      <c r="F5812" s="23" t="str">
        <f>HYPERLINK("https://www.spark-marketing.ru/Card/Lot/71689132", "Техническое обслуживание инженерно-технических средств охраны, 1 шт")</f>
        <v>Техническое обслуживание инженерно-технических средств охраны, 1 шт</v>
      </c>
      <c r="G5812" s="22" t="s">
        <v>2514</v>
      </c>
      <c r="H5812" s="22" t="s">
        <v>4189</v>
      </c>
      <c r="I5812" s="26">
        <v>43642.530717592599</v>
      </c>
      <c r="J5812" s="28" t="s">
        <v>52</v>
      </c>
      <c r="K5812" s="28" t="s">
        <v>52</v>
      </c>
      <c r="L5812" s="28" t="s">
        <v>52</v>
      </c>
      <c r="M5812" s="28" t="s">
        <v>52</v>
      </c>
      <c r="N5812" s="28" t="s">
        <v>52</v>
      </c>
    </row>
    <row r="5813" spans="1:14" x14ac:dyDescent="0.15">
      <c r="A5813" s="23" t="str">
        <f>HYPERLINK("https://www.spark-marketing.ru/Card/Person/45862", "ОМВД РОССИИ ПО ПЕЧЕНГСКОМУ РАЙОНУ")</f>
        <v>ОМВД РОССИИ ПО ПЕЧЕНГСКОМУ РАЙОНУ</v>
      </c>
      <c r="B5813" s="24" t="s">
        <v>7488</v>
      </c>
      <c r="C5813" s="25">
        <v>93000</v>
      </c>
      <c r="D5813" s="22" t="s">
        <v>7505</v>
      </c>
      <c r="E5813" s="22" t="s">
        <v>84</v>
      </c>
      <c r="F5813" s="23" t="str">
        <f>HYPERLINK("https://www.spark-marketing.ru/Card/Lot/71690015", "Монтаж, установка, модернизация систем видеонаблюдения, 1 шт")</f>
        <v>Монтаж, установка, модернизация систем видеонаблюдения, 1 шт</v>
      </c>
      <c r="G5813" s="22" t="s">
        <v>190</v>
      </c>
      <c r="H5813" s="22" t="s">
        <v>7490</v>
      </c>
      <c r="I5813" s="26">
        <v>43642.535486111097</v>
      </c>
      <c r="J5813" s="28" t="s">
        <v>52</v>
      </c>
      <c r="K5813" s="28" t="s">
        <v>52</v>
      </c>
      <c r="L5813" s="28" t="s">
        <v>52</v>
      </c>
      <c r="M5813" s="28" t="s">
        <v>52</v>
      </c>
      <c r="N5813" s="28" t="s">
        <v>52</v>
      </c>
    </row>
    <row r="5814" spans="1:14" x14ac:dyDescent="0.15">
      <c r="A5814" s="23" t="str">
        <f>HYPERLINK("https://www.spark-marketing.ru/Card/Person/4379953", "МКУ ""СЛУЖБА СТРОИТЕЛЬСТВА И ЭКСПЛУАТАЦИИ""")</f>
        <v>МКУ "СЛУЖБА СТРОИТЕЛЬСТВА И ЭКСПЛУАТАЦИИ"</v>
      </c>
      <c r="B5814" s="24" t="s">
        <v>7506</v>
      </c>
      <c r="C5814" s="25">
        <v>814624.73</v>
      </c>
      <c r="D5814" s="22" t="s">
        <v>7507</v>
      </c>
      <c r="E5814" s="22" t="s">
        <v>84</v>
      </c>
      <c r="F5814" s="23" t="str">
        <f>HYPERLINK("https://www.spark-marketing.ru/Card/Lot/71690972", "Установка видеонаблюдения всего, в т.ч. по объектам: Здание школы по адресу: п. Кошелевка, ул. Чехова, д. 1; Здание школы по адресу: п.г.т. Междуреченск, ул. Приморская, д. 6; Здание школы по адресу: с. Печерское, ул. Советская, д. 86")</f>
        <v>Установка видеонаблюдения всего, в т.ч. по объектам: Здание школы по адресу: п. Кошелевка, ул. Чехова, д. 1; Здание школы по адресу: п.г.т. Междуреченск, ул. Приморская, д. 6; Здание школы по адресу: с. Печерское, ул. Советская, д. 86</v>
      </c>
      <c r="G5814" s="22" t="s">
        <v>760</v>
      </c>
      <c r="H5814" s="22" t="s">
        <v>7508</v>
      </c>
      <c r="I5814" s="26">
        <v>43642.513888888898</v>
      </c>
      <c r="J5814" s="28" t="s">
        <v>52</v>
      </c>
      <c r="K5814" s="28" t="s">
        <v>52</v>
      </c>
      <c r="L5814" s="28" t="s">
        <v>52</v>
      </c>
      <c r="M5814" s="28" t="s">
        <v>52</v>
      </c>
      <c r="N5814" s="28" t="s">
        <v>52</v>
      </c>
    </row>
    <row r="5815" spans="1:14" hidden="1" outlineLevel="1" x14ac:dyDescent="0.2">
      <c r="A5815" s="23" t="str">
        <f>HYPERLINK("https://www.spark-marketing.ru/Card/Person/4379953", "МКУ ""СЛУЖБА СТРОИТЕЛЬСТВА И ЭКСПЛУАТАЦИИ""")</f>
        <v>МКУ "СЛУЖБА СТРОИТЕЛЬСТВА И ЭКСПЛУАТАЦИИ"</v>
      </c>
      <c r="B5815" s="24" t="s">
        <v>7506</v>
      </c>
      <c r="C5815" s="25">
        <v>814624.73</v>
      </c>
      <c r="D5815" s="22" t="s">
        <v>7507</v>
      </c>
      <c r="E5815" s="22" t="s">
        <v>84</v>
      </c>
      <c r="F5815" s="23" t="str">
        <f>HYPERLINK("https://www.spark-marketing.ru/Card/Lot/71690972", "Установка видеонаблюдения всего, в т.ч. по объектам: Здание школы по адресу: п. Кошелевка, ул. Чехова, д. 1; Здание школы по адресу: п.г.т. Междуреченск, ул. Приморская, д. 6; Здание школы по адресу: с. Печерское, ул. Советская, д. 86")</f>
        <v>Установка видеонаблюдения всего, в т.ч. по объектам: Здание школы по адресу: п. Кошелевка, ул. Чехова, д. 1; Здание школы по адресу: п.г.т. Междуреченск, ул. Приморская, д. 6; Здание школы по адресу: с. Печерское, ул. Советская, д. 86</v>
      </c>
      <c r="G5815" s="22" t="s">
        <v>760</v>
      </c>
      <c r="H5815" s="22" t="s">
        <v>7508</v>
      </c>
      <c r="I5815" s="26">
        <v>43642.513888888898</v>
      </c>
      <c r="J5815" s="23" t="str">
        <f>HYPERLINK("https://www.spark-marketing.ru/Card/Person/6440682", "ООО ""КОМПАНИЯ ""КРОНОС""")</f>
        <v>ООО "КОМПАНИЯ "КРОНОС"</v>
      </c>
      <c r="K5815" s="24" t="s">
        <v>7509</v>
      </c>
      <c r="L5815" s="28" t="s">
        <v>52</v>
      </c>
      <c r="M5815" s="25">
        <v>806478.47</v>
      </c>
      <c r="N5815" s="27">
        <v>1.0000015590000563E-2</v>
      </c>
    </row>
    <row r="5816" spans="1:14" ht="12.75" hidden="1" outlineLevel="1" x14ac:dyDescent="0.2">
      <c r="A5816" s="23" t="str">
        <f>HYPERLINK("https://www.spark-marketing.ru/Card/Person/4379953", "МКУ ""СЛУЖБА СТРОИТЕЛЬСТВА И ЭКСПЛУАТАЦИИ""")</f>
        <v>МКУ "СЛУЖБА СТРОИТЕЛЬСТВА И ЭКСПЛУАТАЦИИ"</v>
      </c>
      <c r="B5816" s="24" t="s">
        <v>7506</v>
      </c>
      <c r="C5816" s="25">
        <v>814624.73</v>
      </c>
      <c r="D5816" s="22" t="s">
        <v>7507</v>
      </c>
      <c r="E5816" s="22" t="s">
        <v>84</v>
      </c>
      <c r="F5816" s="23" t="str">
        <f>HYPERLINK("https://www.spark-marketing.ru/Card/Lot/71690972", "Установка видеонаблюдения всего, в т.ч. по объектам: Здание школы по адресу: п. Кошелевка, ул. Чехова, д. 1; Здание школы по адресу: п.г.т. Междуреченск, ул. Приморская, д. 6; Здание школы по адресу: с. Печерское, ул. Советская, д. 86")</f>
        <v>Установка видеонаблюдения всего, в т.ч. по объектам: Здание школы по адресу: п. Кошелевка, ул. Чехова, д. 1; Здание школы по адресу: п.г.т. Междуреченск, ул. Приморская, д. 6; Здание школы по адресу: с. Печерское, ул. Советская, д. 86</v>
      </c>
      <c r="G5816" s="22" t="s">
        <v>760</v>
      </c>
      <c r="H5816" s="22" t="s">
        <v>7508</v>
      </c>
      <c r="I5816" s="26">
        <v>43642.513888888898</v>
      </c>
      <c r="J5816" s="23" t="str">
        <f>HYPERLINK("https://www.spark-marketing.ru/Card/Person/6495881", "ООО ""АДКС-СТРОЙ""")</f>
        <v>ООО "АДКС-СТРОЙ"</v>
      </c>
      <c r="K5816" s="24" t="s">
        <v>7510</v>
      </c>
      <c r="L5816" s="22" t="s">
        <v>10</v>
      </c>
      <c r="M5816" s="25">
        <v>802405.34</v>
      </c>
      <c r="N5816" s="27">
        <v>1.5000023385000845E-2</v>
      </c>
    </row>
    <row r="5817" spans="1:14" x14ac:dyDescent="0.15">
      <c r="A5817" s="23" t="str">
        <f>HYPERLINK("https://www.spark-marketing.ru/Card/Person/17655", "ФКУ УПРДОР ""ПРИБАЙКАЛЬЕ""")</f>
        <v>ФКУ УПРДОР "ПРИБАЙКАЛЬЕ"</v>
      </c>
      <c r="B5817" s="24" t="s">
        <v>4586</v>
      </c>
      <c r="C5817" s="25">
        <v>89100</v>
      </c>
      <c r="D5817" s="22" t="s">
        <v>7511</v>
      </c>
      <c r="E5817" s="22" t="s">
        <v>53</v>
      </c>
      <c r="F5817" s="23" t="str">
        <f>HYPERLINK("https://www.spark-marketing.ru/Card/Lot/71687285", "Услуги пультовой охраны, мониторинг систем охранной и аварийной сигнализации, 1 шт")</f>
        <v>Услуги пультовой охраны, мониторинг систем охранной и аварийной сигнализации, 1 шт</v>
      </c>
      <c r="G5817" s="22" t="s">
        <v>281</v>
      </c>
      <c r="H5817" s="22" t="s">
        <v>2008</v>
      </c>
      <c r="I5817" s="26">
        <v>43642.478391203702</v>
      </c>
      <c r="J5817" s="28" t="s">
        <v>52</v>
      </c>
      <c r="K5817" s="28" t="s">
        <v>52</v>
      </c>
      <c r="L5817" s="28" t="s">
        <v>52</v>
      </c>
      <c r="M5817" s="28" t="s">
        <v>52</v>
      </c>
      <c r="N5817" s="28" t="s">
        <v>52</v>
      </c>
    </row>
    <row r="5818" spans="1:14" x14ac:dyDescent="0.15">
      <c r="A5818" s="23" t="str">
        <f>HYPERLINK("https://www.spark-marketing.ru/Card/Person/18873", "УСД В КЕМЕРОВСКОЙ ОБЛАСТИ")</f>
        <v>УСД В КЕМЕРОВСКОЙ ОБЛАСТИ</v>
      </c>
      <c r="B5818" s="24" t="s">
        <v>7512</v>
      </c>
      <c r="C5818" s="25">
        <v>319458</v>
      </c>
      <c r="D5818" s="22" t="s">
        <v>7513</v>
      </c>
      <c r="E5818" s="22" t="s">
        <v>68</v>
      </c>
      <c r="F5818" s="23" t="str">
        <f>HYPERLINK("https://www.spark-marketing.ru/Card/Lot/71680606", "оказание охранных услуг с использованием технических средств охранной сигнализации в Управлении Судебного департамента в Кемеровской области")</f>
        <v>оказание охранных услуг с использованием технических средств охранной сигнализации в Управлении Судебного департамента в Кемеровской области</v>
      </c>
      <c r="G5818" s="22" t="s">
        <v>367</v>
      </c>
      <c r="H5818" s="22" t="s">
        <v>367</v>
      </c>
      <c r="I5818" s="26">
        <v>43642.479861111096</v>
      </c>
      <c r="J5818" s="28" t="s">
        <v>52</v>
      </c>
      <c r="K5818" s="28" t="s">
        <v>52</v>
      </c>
      <c r="L5818" s="28" t="s">
        <v>52</v>
      </c>
      <c r="M5818" s="28" t="s">
        <v>52</v>
      </c>
      <c r="N5818" s="28" t="s">
        <v>52</v>
      </c>
    </row>
    <row r="5819" spans="1:14" x14ac:dyDescent="0.15">
      <c r="A5819" s="23" t="str">
        <f>HYPERLINK("https://www.spark-marketing.ru/Card/Person/87752", "АО ""НПП ""АЛМАЗ""")</f>
        <v>АО "НПП "АЛМАЗ"</v>
      </c>
      <c r="B5819" s="24" t="s">
        <v>5587</v>
      </c>
      <c r="C5819" s="25">
        <v>465466.67</v>
      </c>
      <c r="D5819" s="22" t="s">
        <v>7514</v>
      </c>
      <c r="E5819" s="22" t="s">
        <v>7515</v>
      </c>
      <c r="F5819" s="23" t="str">
        <f>HYPERLINK("https://www.spark-marketing.ru/Card/Lot/71688551", "0570-2019-00220 Оказание услуг по техническому обслуживанию системы видеонаблюдения")</f>
        <v>0570-2019-00220 Оказание услуг по техническому обслуживанию системы видеонаблюдения</v>
      </c>
      <c r="G5819" s="22" t="s">
        <v>80</v>
      </c>
      <c r="H5819" s="22" t="s">
        <v>81</v>
      </c>
      <c r="I5819" s="26">
        <v>43642.484907407401</v>
      </c>
      <c r="J5819" s="28" t="s">
        <v>52</v>
      </c>
      <c r="K5819" s="28" t="s">
        <v>52</v>
      </c>
      <c r="L5819" s="28" t="s">
        <v>52</v>
      </c>
      <c r="M5819" s="28" t="s">
        <v>52</v>
      </c>
      <c r="N5819" s="28" t="s">
        <v>52</v>
      </c>
    </row>
    <row r="5820" spans="1:14" x14ac:dyDescent="0.15">
      <c r="A5820" s="23" t="str">
        <f>HYPERLINK("https://www.spark-marketing.ru/Card/Person/32071", "УПРАВЛЕНИЕ ГОЧС")</f>
        <v>УПРАВЛЕНИЕ ГОЧС</v>
      </c>
      <c r="B5820" s="24" t="s">
        <v>7516</v>
      </c>
      <c r="C5820" s="25">
        <v>125000</v>
      </c>
      <c r="D5820" s="22" t="s">
        <v>7517</v>
      </c>
      <c r="E5820" s="22" t="s">
        <v>1013</v>
      </c>
      <c r="F5820" s="23" t="str">
        <f>HYPERLINK("https://www.spark-marketing.ru/Card/Lot/71677979", "оказание услуг по размещению видеоматериалов на информационной установке, размещенных на транспорте общего пользования для оповещения и информирования населения об угрозе возникновения или возникновении ЧС природного или техногенного характера на тер...")</f>
        <v>оказание услуг по размещению видеоматериалов на информационной установке, размещенных на транспорте общего пользования для оповещения и информирования населения об угрозе возникновения или возникновении ЧС природного или техногенного характера на тер...</v>
      </c>
      <c r="G5820" s="22" t="s">
        <v>473</v>
      </c>
      <c r="H5820" s="22" t="s">
        <v>476</v>
      </c>
      <c r="I5820" s="26">
        <v>43642.463888888902</v>
      </c>
      <c r="J5820" s="23" t="str">
        <f>HYPERLINK("https://www.spark-marketing.ru/Card/Person/6497615", "Ланцова Клавдия Павловна")</f>
        <v>Ланцова Клавдия Павловна</v>
      </c>
      <c r="K5820" s="24" t="s">
        <v>7518</v>
      </c>
      <c r="L5820" s="22" t="s">
        <v>10</v>
      </c>
      <c r="M5820" s="28" t="s">
        <v>52</v>
      </c>
      <c r="N5820" s="28" t="s">
        <v>52</v>
      </c>
    </row>
    <row r="5821" spans="1:14" x14ac:dyDescent="0.15">
      <c r="A5821" s="23" t="str">
        <f>HYPERLINK("https://www.spark-marketing.ru/Card/Person/114754", "МБОУ ""СОШ №3""")</f>
        <v>МБОУ "СОШ №3"</v>
      </c>
      <c r="B5821" s="24" t="s">
        <v>7519</v>
      </c>
      <c r="C5821" s="25">
        <v>63700</v>
      </c>
      <c r="D5821" s="22" t="s">
        <v>7520</v>
      </c>
      <c r="E5821" s="22" t="s">
        <v>84</v>
      </c>
      <c r="F5821" s="23" t="str">
        <f>HYPERLINK("https://www.spark-marketing.ru/Card/Lot/71685654", "Установка системы видеонаблюдения для нужд муниципального бюджетного общеобразовательного учреждения «Средняя общеобразовательная школа № 3»")</f>
        <v>Установка системы видеонаблюдения для нужд муниципального бюджетного общеобразовательного учреждения «Средняя общеобразовательная школа № 3»</v>
      </c>
      <c r="G5821" s="22" t="s">
        <v>50</v>
      </c>
      <c r="H5821" s="22" t="s">
        <v>2283</v>
      </c>
      <c r="I5821" s="26">
        <v>43642.452430555597</v>
      </c>
      <c r="J5821" s="28" t="s">
        <v>52</v>
      </c>
      <c r="K5821" s="28" t="s">
        <v>52</v>
      </c>
      <c r="L5821" s="28" t="s">
        <v>52</v>
      </c>
      <c r="M5821" s="28" t="s">
        <v>52</v>
      </c>
      <c r="N5821" s="28" t="s">
        <v>52</v>
      </c>
    </row>
    <row r="5822" spans="1:14" x14ac:dyDescent="0.15">
      <c r="A5822" s="23" t="str">
        <f>HYPERLINK("https://www.spark-marketing.ru/Card/Person/426546", "ЛО ГУП ""НЕДВИЖИМОСТЬ""")</f>
        <v>ЛО ГУП "НЕДВИЖИМОСТЬ"</v>
      </c>
      <c r="B5822" s="24" t="s">
        <v>7521</v>
      </c>
      <c r="C5822" s="25">
        <v>918000</v>
      </c>
      <c r="D5822" s="22" t="s">
        <v>7522</v>
      </c>
      <c r="E5822" s="22" t="s">
        <v>144</v>
      </c>
      <c r="F5822" s="23" t="str">
        <f>HYPERLINK("https://www.spark-marketing.ru/Card/Lot/71687414", "Оказание услуг по обеспечению пропускного режима и охране объекта по адресу: Санкт-Петербург, поселок Лисий Нос, Холмистая улица, дом 55-57, литера А")</f>
        <v>Оказание услуг по обеспечению пропускного режима и охране объекта по адресу: Санкт-Петербург, поселок Лисий Нос, Холмистая улица, дом 55-57, литера А</v>
      </c>
      <c r="G5822" s="22" t="s">
        <v>861</v>
      </c>
      <c r="H5822" s="22" t="s">
        <v>934</v>
      </c>
      <c r="I5822" s="26">
        <v>43642.432777777802</v>
      </c>
      <c r="J5822" s="28" t="s">
        <v>52</v>
      </c>
      <c r="K5822" s="28" t="s">
        <v>52</v>
      </c>
      <c r="L5822" s="28" t="s">
        <v>52</v>
      </c>
      <c r="M5822" s="28" t="s">
        <v>52</v>
      </c>
      <c r="N5822" s="28" t="s">
        <v>52</v>
      </c>
    </row>
    <row r="5823" spans="1:14" x14ac:dyDescent="0.15">
      <c r="A5823" s="23" t="str">
        <f>HYPERLINK("https://www.spark-marketing.ru/Card/Person/1018710", "ГБУСО МО ""РУЗСКИЙ ЦСО""")</f>
        <v>ГБУСО МО "РУЗСКИЙ ЦСО"</v>
      </c>
      <c r="B5823" s="24" t="s">
        <v>7523</v>
      </c>
      <c r="C5823" s="25">
        <v>72835.899999999994</v>
      </c>
      <c r="D5823" s="22" t="s">
        <v>7524</v>
      </c>
      <c r="E5823" s="22" t="s">
        <v>59</v>
      </c>
      <c r="F5823" s="23" t="str">
        <f>HYPERLINK("https://www.spark-marketing.ru/Card/Lot/71685575", "Выполнение работ по монтажу охранной тревожной сигнализации.")</f>
        <v>Выполнение работ по монтажу охранной тревожной сигнализации.</v>
      </c>
      <c r="G5823" s="22" t="s">
        <v>50</v>
      </c>
      <c r="H5823" s="22" t="s">
        <v>1207</v>
      </c>
      <c r="I5823" s="26">
        <v>43642.430300925902</v>
      </c>
      <c r="J5823" s="28" t="s">
        <v>52</v>
      </c>
      <c r="K5823" s="28" t="s">
        <v>52</v>
      </c>
      <c r="L5823" s="28" t="s">
        <v>52</v>
      </c>
      <c r="M5823" s="28" t="s">
        <v>52</v>
      </c>
      <c r="N5823" s="28" t="s">
        <v>52</v>
      </c>
    </row>
    <row r="5824" spans="1:14" x14ac:dyDescent="0.15">
      <c r="A5824" s="23" t="str">
        <f>HYPERLINK("https://www.spark-marketing.ru/Card/Person/259235", "МОУ ""ОСНОВНАЯ ШКОЛА № 32""")</f>
        <v>МОУ "ОСНОВНАЯ ШКОЛА № 32"</v>
      </c>
      <c r="B5824" s="24" t="s">
        <v>7525</v>
      </c>
      <c r="C5824" s="25">
        <v>200000</v>
      </c>
      <c r="D5824" s="28" t="s">
        <v>52</v>
      </c>
      <c r="E5824" s="22" t="s">
        <v>59</v>
      </c>
      <c r="F5824" s="23" t="str">
        <f>HYPERLINK("https://www.spark-marketing.ru/Card/Lot/71685274", "№005127201919831 Поставка и установка системы видеонаблюдения")</f>
        <v>№005127201919831 Поставка и установка системы видеонаблюдения</v>
      </c>
      <c r="G5824" s="22" t="s">
        <v>435</v>
      </c>
      <c r="H5824" s="22" t="s">
        <v>436</v>
      </c>
      <c r="I5824" s="26">
        <v>43642.454965277801</v>
      </c>
      <c r="J5824" s="28" t="s">
        <v>52</v>
      </c>
      <c r="K5824" s="28" t="s">
        <v>52</v>
      </c>
      <c r="L5824" s="28" t="s">
        <v>52</v>
      </c>
      <c r="M5824" s="28" t="s">
        <v>52</v>
      </c>
      <c r="N5824" s="28" t="s">
        <v>52</v>
      </c>
    </row>
    <row r="5825" spans="1:14" x14ac:dyDescent="0.15">
      <c r="A5825" s="23" t="str">
        <f>HYPERLINK("https://www.spark-marketing.ru/Card/Person/131651", "ГБУЗ КК ""МИЛЬКОВСКАЯ РАЙОННАЯ БОЛЬНИЦА""")</f>
        <v>ГБУЗ КК "МИЛЬКОВСКАЯ РАЙОННАЯ БОЛЬНИЦА"</v>
      </c>
      <c r="B5825" s="24" t="s">
        <v>7526</v>
      </c>
      <c r="C5825" s="25">
        <v>2472227</v>
      </c>
      <c r="D5825" s="22" t="s">
        <v>7527</v>
      </c>
      <c r="E5825" s="22" t="s">
        <v>84</v>
      </c>
      <c r="F5825" s="23" t="str">
        <f>HYPERLINK("https://www.spark-marketing.ru/Card/Lot/71677800", "Выполнение работ по установке внутреннего и уличного видеонаблюдения в зданиях ГБУЗ КК «Мильковская районная больница»")</f>
        <v>Выполнение работ по установке внутреннего и уличного видеонаблюдения в зданиях ГБУЗ КК «Мильковская районная больница»</v>
      </c>
      <c r="G5825" s="22" t="s">
        <v>1141</v>
      </c>
      <c r="H5825" s="22" t="s">
        <v>7528</v>
      </c>
      <c r="I5825" s="26">
        <v>43642.442361111098</v>
      </c>
      <c r="J5825" s="23" t="str">
        <f>HYPERLINK("https://www.spark-marketing.ru/Card/Person/294004", "ООО ""НЕМАН""")</f>
        <v>ООО "НЕМАН"</v>
      </c>
      <c r="K5825" s="24" t="s">
        <v>7529</v>
      </c>
      <c r="L5825" s="22" t="s">
        <v>10</v>
      </c>
      <c r="M5825" s="28" t="s">
        <v>52</v>
      </c>
      <c r="N5825" s="28" t="s">
        <v>52</v>
      </c>
    </row>
    <row r="5826" spans="1:14" x14ac:dyDescent="0.15">
      <c r="A5826" s="23" t="str">
        <f>HYPERLINK("https://www.spark-marketing.ru/Card/Person/259235", "МОУ ""ОСНОВНАЯ ШКОЛА № 32""")</f>
        <v>МОУ "ОСНОВНАЯ ШКОЛА № 32"</v>
      </c>
      <c r="B5826" s="24" t="s">
        <v>7525</v>
      </c>
      <c r="C5826" s="25">
        <v>240000</v>
      </c>
      <c r="D5826" s="28" t="s">
        <v>52</v>
      </c>
      <c r="E5826" s="22" t="s">
        <v>59</v>
      </c>
      <c r="F5826" s="23" t="str">
        <f>HYPERLINK("https://www.spark-marketing.ru/Card/Lot/71685273", "№005127201919833 Поставка и установка системы видеонаблюдения")</f>
        <v>№005127201919833 Поставка и установка системы видеонаблюдения</v>
      </c>
      <c r="G5826" s="22" t="s">
        <v>435</v>
      </c>
      <c r="H5826" s="22" t="s">
        <v>436</v>
      </c>
      <c r="I5826" s="26">
        <v>43642.4547916667</v>
      </c>
      <c r="J5826" s="28" t="s">
        <v>52</v>
      </c>
      <c r="K5826" s="28" t="s">
        <v>52</v>
      </c>
      <c r="L5826" s="28" t="s">
        <v>52</v>
      </c>
      <c r="M5826" s="28" t="s">
        <v>52</v>
      </c>
      <c r="N5826" s="28" t="s">
        <v>52</v>
      </c>
    </row>
    <row r="5827" spans="1:14" x14ac:dyDescent="0.15">
      <c r="A5827" s="23" t="str">
        <f>HYPERLINK("https://www.spark-marketing.ru/Card/Person/1755877", "ГАПОУ ТО ""ИШИМСКИЙ МЕДИЦИНСКИЙ КОЛЛЕДЖ""")</f>
        <v>ГАПОУ ТО "ИШИМСКИЙ МЕДИЦИНСКИЙ КОЛЛЕДЖ"</v>
      </c>
      <c r="B5827" s="24" t="s">
        <v>7530</v>
      </c>
      <c r="C5827" s="25">
        <v>1036800</v>
      </c>
      <c r="D5827" s="22" t="s">
        <v>7531</v>
      </c>
      <c r="E5827" s="22" t="s">
        <v>144</v>
      </c>
      <c r="F5827" s="23" t="str">
        <f>HYPERLINK("https://www.spark-marketing.ru/Card/Lot/71680216", "Оказание охранных услуг")</f>
        <v>Оказание охранных услуг</v>
      </c>
      <c r="G5827" s="22" t="s">
        <v>893</v>
      </c>
      <c r="H5827" s="22" t="s">
        <v>893</v>
      </c>
      <c r="I5827" s="26">
        <v>43642.392453703702</v>
      </c>
      <c r="J5827" s="28" t="s">
        <v>52</v>
      </c>
      <c r="K5827" s="28" t="s">
        <v>52</v>
      </c>
      <c r="L5827" s="28" t="s">
        <v>52</v>
      </c>
      <c r="M5827" s="28" t="s">
        <v>52</v>
      </c>
      <c r="N5827" s="28" t="s">
        <v>52</v>
      </c>
    </row>
    <row r="5828" spans="1:14" x14ac:dyDescent="0.15">
      <c r="A5828" s="23" t="str">
        <f>HYPERLINK("https://www.spark-marketing.ru/Card/Person/940541", "ГУП ""СЕВЭЛЕКТРОАВТОТРАНС ИМ. А.С.КРУПОДЁРОВА""")</f>
        <v>ГУП "СЕВЭЛЕКТРОАВТОТРАНС ИМ. А.С.КРУПОДЁРОВА"</v>
      </c>
      <c r="B5828" s="24" t="s">
        <v>4562</v>
      </c>
      <c r="C5828" s="25">
        <v>405333.33</v>
      </c>
      <c r="D5828" s="22" t="s">
        <v>7532</v>
      </c>
      <c r="E5828" s="22" t="s">
        <v>999</v>
      </c>
      <c r="F5828" s="23" t="str">
        <f>HYPERLINK("https://www.spark-marketing.ru/Card/Lot/71683838", "На оказание услуг по замене блоков средств криптографической защиты информации и установке тахографов на транспортное средство на 2019 год")</f>
        <v>На оказание услуг по замене блоков средств криптографической защиты информации и установке тахографов на транспортное средство на 2019 год</v>
      </c>
      <c r="G5828" s="22" t="s">
        <v>714</v>
      </c>
      <c r="H5828" s="22" t="s">
        <v>714</v>
      </c>
      <c r="I5828" s="26">
        <v>43642.393912036998</v>
      </c>
      <c r="J5828" s="28" t="s">
        <v>52</v>
      </c>
      <c r="K5828" s="28" t="s">
        <v>52</v>
      </c>
      <c r="L5828" s="28" t="s">
        <v>52</v>
      </c>
      <c r="M5828" s="28" t="s">
        <v>52</v>
      </c>
      <c r="N5828" s="28" t="s">
        <v>52</v>
      </c>
    </row>
    <row r="5829" spans="1:14" x14ac:dyDescent="0.15">
      <c r="A5829" s="23" t="str">
        <f t="shared" ref="A5829:A5834" si="247">HYPERLINK("https://www.spark-marketing.ru/Card/Person/28257", "МОУ ""СРЕДНЯЯ ШКОЛА № 8 ИМЕНИ Н.Г. ВАРЛАМОВА""")</f>
        <v>МОУ "СРЕДНЯЯ ШКОЛА № 8 ИМЕНИ Н.Г. ВАРЛАМОВА"</v>
      </c>
      <c r="B5829" s="24" t="s">
        <v>7533</v>
      </c>
      <c r="C5829" s="25">
        <v>474271.67</v>
      </c>
      <c r="D5829" s="22" t="s">
        <v>7534</v>
      </c>
      <c r="E5829" s="22" t="s">
        <v>84</v>
      </c>
      <c r="F5829" s="23" t="str">
        <f t="shared" ref="F5829:F5834" si="248">HYPERLINK("https://www.spark-marketing.ru/Card/Lot/71688572", "Выполнение работ по установке системы видеонаблюдения")</f>
        <v>Выполнение работ по установке системы видеонаблюдения</v>
      </c>
      <c r="G5829" s="22" t="s">
        <v>435</v>
      </c>
      <c r="H5829" s="22" t="s">
        <v>436</v>
      </c>
      <c r="I5829" s="26">
        <v>43642.410416666702</v>
      </c>
      <c r="J5829" s="28" t="s">
        <v>52</v>
      </c>
      <c r="K5829" s="28" t="s">
        <v>52</v>
      </c>
      <c r="L5829" s="28" t="s">
        <v>52</v>
      </c>
      <c r="M5829" s="28" t="s">
        <v>52</v>
      </c>
      <c r="N5829" s="28" t="s">
        <v>52</v>
      </c>
    </row>
    <row r="5830" spans="1:14" hidden="1" outlineLevel="1" x14ac:dyDescent="0.2">
      <c r="A5830" s="23" t="str">
        <f t="shared" si="247"/>
        <v>МОУ "СРЕДНЯЯ ШКОЛА № 8 ИМЕНИ Н.Г. ВАРЛАМОВА"</v>
      </c>
      <c r="B5830" s="24" t="s">
        <v>7533</v>
      </c>
      <c r="C5830" s="25">
        <v>474271.67</v>
      </c>
      <c r="D5830" s="22" t="s">
        <v>7534</v>
      </c>
      <c r="E5830" s="22" t="s">
        <v>84</v>
      </c>
      <c r="F5830" s="23" t="str">
        <f t="shared" si="248"/>
        <v>Выполнение работ по установке системы видеонаблюдения</v>
      </c>
      <c r="G5830" s="22" t="s">
        <v>435</v>
      </c>
      <c r="H5830" s="22" t="s">
        <v>436</v>
      </c>
      <c r="I5830" s="26">
        <v>43642.410416666702</v>
      </c>
      <c r="J5830" s="23" t="str">
        <f>HYPERLINK("https://www.spark-marketing.ru/Card/Person/190378", "ООО ""СЕРВИС МАК""")</f>
        <v>ООО "СЕРВИС МАК"</v>
      </c>
      <c r="K5830" s="24" t="s">
        <v>7535</v>
      </c>
      <c r="L5830" s="28" t="s">
        <v>52</v>
      </c>
      <c r="M5830" s="25">
        <v>366757.28</v>
      </c>
      <c r="N5830" s="27">
        <v>0.22669367959507258</v>
      </c>
    </row>
    <row r="5831" spans="1:14" ht="12.75" hidden="1" outlineLevel="1" x14ac:dyDescent="0.2">
      <c r="A5831" s="23" t="str">
        <f t="shared" si="247"/>
        <v>МОУ "СРЕДНЯЯ ШКОЛА № 8 ИМЕНИ Н.Г. ВАРЛАМОВА"</v>
      </c>
      <c r="B5831" s="24" t="s">
        <v>7533</v>
      </c>
      <c r="C5831" s="25">
        <v>474271.67</v>
      </c>
      <c r="D5831" s="22" t="s">
        <v>7534</v>
      </c>
      <c r="E5831" s="22" t="s">
        <v>84</v>
      </c>
      <c r="F5831" s="23" t="str">
        <f t="shared" si="248"/>
        <v>Выполнение работ по установке системы видеонаблюдения</v>
      </c>
      <c r="G5831" s="22" t="s">
        <v>435</v>
      </c>
      <c r="H5831" s="22" t="s">
        <v>436</v>
      </c>
      <c r="I5831" s="26">
        <v>43642.410416666702</v>
      </c>
      <c r="J5831" s="23" t="str">
        <f>HYPERLINK("https://www.spark-marketing.ru/Card/Person/318506", "Макаревская Светлана Вадимовна")</f>
        <v>Макаревская Светлана Вадимовна</v>
      </c>
      <c r="K5831" s="24" t="s">
        <v>7536</v>
      </c>
      <c r="L5831" s="22" t="s">
        <v>10</v>
      </c>
      <c r="M5831" s="25">
        <v>369128.64</v>
      </c>
      <c r="N5831" s="27">
        <v>0.22169367611605389</v>
      </c>
    </row>
    <row r="5832" spans="1:14" hidden="1" outlineLevel="1" x14ac:dyDescent="0.2">
      <c r="A5832" s="23" t="str">
        <f t="shared" si="247"/>
        <v>МОУ "СРЕДНЯЯ ШКОЛА № 8 ИМЕНИ Н.Г. ВАРЛАМОВА"</v>
      </c>
      <c r="B5832" s="24" t="s">
        <v>7533</v>
      </c>
      <c r="C5832" s="25">
        <v>474271.67</v>
      </c>
      <c r="D5832" s="22" t="s">
        <v>7534</v>
      </c>
      <c r="E5832" s="22" t="s">
        <v>84</v>
      </c>
      <c r="F5832" s="23" t="str">
        <f t="shared" si="248"/>
        <v>Выполнение работ по установке системы видеонаблюдения</v>
      </c>
      <c r="G5832" s="22" t="s">
        <v>435</v>
      </c>
      <c r="H5832" s="22" t="s">
        <v>436</v>
      </c>
      <c r="I5832" s="26">
        <v>43642.410416666702</v>
      </c>
      <c r="J5832" s="23" t="str">
        <f>HYPERLINK("https://www.spark-marketing.ru/Card/Person/6109360", "ООО ""КТ С-З""")</f>
        <v>ООО "КТ С-З"</v>
      </c>
      <c r="K5832" s="24" t="s">
        <v>7537</v>
      </c>
      <c r="L5832" s="28" t="s">
        <v>52</v>
      </c>
      <c r="M5832" s="25">
        <v>371500</v>
      </c>
      <c r="N5832" s="27">
        <v>0.21669367263703523</v>
      </c>
    </row>
    <row r="5833" spans="1:14" hidden="1" outlineLevel="1" x14ac:dyDescent="0.2">
      <c r="A5833" s="23" t="str">
        <f t="shared" si="247"/>
        <v>МОУ "СРЕДНЯЯ ШКОЛА № 8 ИМЕНИ Н.Г. ВАРЛАМОВА"</v>
      </c>
      <c r="B5833" s="24" t="s">
        <v>7533</v>
      </c>
      <c r="C5833" s="25">
        <v>474271.67</v>
      </c>
      <c r="D5833" s="22" t="s">
        <v>7534</v>
      </c>
      <c r="E5833" s="22" t="s">
        <v>84</v>
      </c>
      <c r="F5833" s="23" t="str">
        <f t="shared" si="248"/>
        <v>Выполнение работ по установке системы видеонаблюдения</v>
      </c>
      <c r="G5833" s="22" t="s">
        <v>435</v>
      </c>
      <c r="H5833" s="22" t="s">
        <v>436</v>
      </c>
      <c r="I5833" s="26">
        <v>43642.410416666702</v>
      </c>
      <c r="J5833" s="23" t="str">
        <f>HYPERLINK("https://www.spark-marketing.ru/Card/Person/230311", "ООО ""НАНО ТЕХНОЛОГИИ""")</f>
        <v>ООО "НАНО ТЕХНОЛОГИИ"</v>
      </c>
      <c r="K5833" s="24" t="s">
        <v>7538</v>
      </c>
      <c r="L5833" s="28" t="s">
        <v>52</v>
      </c>
      <c r="M5833" s="25">
        <v>450000</v>
      </c>
      <c r="N5833" s="27">
        <v>5.1176723248091117E-2</v>
      </c>
    </row>
    <row r="5834" spans="1:14" hidden="1" outlineLevel="1" x14ac:dyDescent="0.2">
      <c r="A5834" s="23" t="str">
        <f t="shared" si="247"/>
        <v>МОУ "СРЕДНЯЯ ШКОЛА № 8 ИМЕНИ Н.Г. ВАРЛАМОВА"</v>
      </c>
      <c r="B5834" s="24" t="s">
        <v>7533</v>
      </c>
      <c r="C5834" s="25">
        <v>474271.67</v>
      </c>
      <c r="D5834" s="22" t="s">
        <v>7534</v>
      </c>
      <c r="E5834" s="22" t="s">
        <v>84</v>
      </c>
      <c r="F5834" s="23" t="str">
        <f t="shared" si="248"/>
        <v>Выполнение работ по установке системы видеонаблюдения</v>
      </c>
      <c r="G5834" s="22" t="s">
        <v>435</v>
      </c>
      <c r="H5834" s="22" t="s">
        <v>436</v>
      </c>
      <c r="I5834" s="26">
        <v>43642.410416666702</v>
      </c>
      <c r="J5834" s="23" t="str">
        <f>HYPERLINK("https://www.spark-marketing.ru/Card/Person/139275", "ООО ""КОМПАНИЯ БЕЗОПАСНОСТЬ""")</f>
        <v>ООО "КОМПАНИЯ БЕЗОПАСНОСТЬ"</v>
      </c>
      <c r="K5834" s="24" t="s">
        <v>7539</v>
      </c>
      <c r="L5834" s="28" t="s">
        <v>52</v>
      </c>
      <c r="M5834" s="25">
        <v>471900</v>
      </c>
      <c r="N5834" s="27">
        <v>5.0006571128315552E-3</v>
      </c>
    </row>
    <row r="5835" spans="1:14" x14ac:dyDescent="0.15">
      <c r="A5835" s="23" t="str">
        <f>HYPERLINK("https://www.spark-marketing.ru/Card/Person/38613", "АДМИНИСТРАЦИЯ АПАРИНСКОГО СЕЛЬСКОГО ПОСЕЛЕНИЯ")</f>
        <v>АДМИНИСТРАЦИЯ АПАРИНСКОГО СЕЛЬСКОГО ПОСЕЛЕНИЯ</v>
      </c>
      <c r="B5835" s="24" t="s">
        <v>7540</v>
      </c>
      <c r="C5835" s="25">
        <v>3000</v>
      </c>
      <c r="D5835" s="22" t="s">
        <v>7541</v>
      </c>
      <c r="E5835" s="22" t="s">
        <v>107</v>
      </c>
      <c r="F5835" s="23" t="str">
        <f>HYPERLINK("https://www.spark-marketing.ru/Card/Lot/71681776", "Техническое обслуживание системы видеонаблюдения")</f>
        <v>Техническое обслуживание системы видеонаблюдения</v>
      </c>
      <c r="G5835" s="22" t="s">
        <v>402</v>
      </c>
      <c r="H5835" s="22" t="s">
        <v>7542</v>
      </c>
      <c r="I5835" s="26">
        <v>43642.384722222203</v>
      </c>
      <c r="J5835" s="28" t="s">
        <v>52</v>
      </c>
      <c r="K5835" s="28" t="s">
        <v>52</v>
      </c>
      <c r="L5835" s="28" t="s">
        <v>52</v>
      </c>
      <c r="M5835" s="28" t="s">
        <v>52</v>
      </c>
      <c r="N5835" s="28" t="s">
        <v>52</v>
      </c>
    </row>
    <row r="5836" spans="1:14" x14ac:dyDescent="0.15">
      <c r="A5836" s="23" t="str">
        <f>HYPERLINK("https://www.spark-marketing.ru/Card/Person/6499503", "МКУ ""СБДХ""")</f>
        <v>МКУ "СБДХ"</v>
      </c>
      <c r="B5836" s="24" t="s">
        <v>7543</v>
      </c>
      <c r="C5836" s="25">
        <v>15275911</v>
      </c>
      <c r="D5836" s="22" t="s">
        <v>7544</v>
      </c>
      <c r="E5836" s="22" t="s">
        <v>1315</v>
      </c>
      <c r="F5836" s="23" t="str">
        <f>HYPERLINK("https://www.spark-marketing.ru/Card/Lot/71693922", "Выполнение работ по устройству основания для детских игровых площадок по программе «Наше Подмосковье» и подходных тротуаров к ним с устройством линий наружного освещения, монтажом камер видеонаблюдения и устройством основания под установку качелей по...")</f>
        <v>Выполнение работ по устройству основания для детских игровых площадок по программе «Наше Подмосковье» и подходных тротуаров к ним с устройством линий наружного освещения, монтажом камер видеонаблюдения и устройством основания под установку качелей по...</v>
      </c>
      <c r="G5836" s="22" t="s">
        <v>50</v>
      </c>
      <c r="H5836" s="22" t="s">
        <v>747</v>
      </c>
      <c r="I5836" s="26">
        <v>43642.4152777778</v>
      </c>
      <c r="J5836" s="28" t="s">
        <v>52</v>
      </c>
      <c r="K5836" s="28" t="s">
        <v>52</v>
      </c>
      <c r="L5836" s="28" t="s">
        <v>52</v>
      </c>
      <c r="M5836" s="28" t="s">
        <v>52</v>
      </c>
      <c r="N5836" s="28" t="s">
        <v>52</v>
      </c>
    </row>
    <row r="5837" spans="1:14" ht="12.75" hidden="1" outlineLevel="1" x14ac:dyDescent="0.2">
      <c r="A5837" s="23" t="str">
        <f>HYPERLINK("https://www.spark-marketing.ru/Card/Person/6499503", "МКУ ""СБДХ""")</f>
        <v>МКУ "СБДХ"</v>
      </c>
      <c r="B5837" s="24" t="s">
        <v>7543</v>
      </c>
      <c r="C5837" s="25">
        <v>15275911</v>
      </c>
      <c r="D5837" s="22" t="s">
        <v>7544</v>
      </c>
      <c r="E5837" s="22" t="s">
        <v>1315</v>
      </c>
      <c r="F5837" s="23" t="str">
        <f>HYPERLINK("https://www.spark-marketing.ru/Card/Lot/71693922", "Выполнение работ по устройству основания для детских игровых площадок по программе «Наше Подмосковье» и подходных тротуаров к ним с устройством линий наружного освещения, монтажом камер видеонаблюдения и устройством основания под установку качелей по...")</f>
        <v>Выполнение работ по устройству основания для детских игровых площадок по программе «Наше Подмосковье» и подходных тротуаров к ним с устройством линий наружного освещения, монтажом камер видеонаблюдения и устройством основания под установку качелей по...</v>
      </c>
      <c r="G5837" s="22" t="s">
        <v>50</v>
      </c>
      <c r="H5837" s="22" t="s">
        <v>747</v>
      </c>
      <c r="I5837" s="26">
        <v>43642.4152777778</v>
      </c>
      <c r="J5837" s="23" t="str">
        <f>HYPERLINK("https://www.spark-marketing.ru/Card/Person/6246560", "ООО ""СК ""ТРАНСДОРСТРОЙ""")</f>
        <v>ООО "СК "ТРАНСДОРСТРОЙ"</v>
      </c>
      <c r="K5837" s="24" t="s">
        <v>7545</v>
      </c>
      <c r="L5837" s="22" t="s">
        <v>10</v>
      </c>
      <c r="M5837" s="25">
        <v>15123151.880000001</v>
      </c>
      <c r="N5837" s="27">
        <v>1.0000000654625443E-2</v>
      </c>
    </row>
    <row r="5838" spans="1:14" hidden="1" outlineLevel="1" x14ac:dyDescent="0.2">
      <c r="A5838" s="23" t="str">
        <f>HYPERLINK("https://www.spark-marketing.ru/Card/Person/6499503", "МКУ ""СБДХ""")</f>
        <v>МКУ "СБДХ"</v>
      </c>
      <c r="B5838" s="24" t="s">
        <v>7543</v>
      </c>
      <c r="C5838" s="25">
        <v>15275911</v>
      </c>
      <c r="D5838" s="22" t="s">
        <v>7544</v>
      </c>
      <c r="E5838" s="22" t="s">
        <v>1315</v>
      </c>
      <c r="F5838" s="23" t="str">
        <f>HYPERLINK("https://www.spark-marketing.ru/Card/Lot/71693922", "Выполнение работ по устройству основания для детских игровых площадок по программе «Наше Подмосковье» и подходных тротуаров к ним с устройством линий наружного освещения, монтажом камер видеонаблюдения и устройством основания под установку качелей по...")</f>
        <v>Выполнение работ по устройству основания для детских игровых площадок по программе «Наше Подмосковье» и подходных тротуаров к ним с устройством линий наружного освещения, монтажом камер видеонаблюдения и устройством основания под установку качелей по...</v>
      </c>
      <c r="G5838" s="22" t="s">
        <v>50</v>
      </c>
      <c r="H5838" s="22" t="s">
        <v>747</v>
      </c>
      <c r="I5838" s="26">
        <v>43642.4152777778</v>
      </c>
      <c r="J5838" s="23" t="str">
        <f>HYPERLINK("https://www.spark-marketing.ru/Card/Person/704014", "ООО""СПЕЦДОРСТРОЙ""")</f>
        <v>ООО"СПЕЦДОРСТРОЙ"</v>
      </c>
      <c r="K5838" s="24" t="s">
        <v>7546</v>
      </c>
      <c r="L5838" s="28" t="s">
        <v>52</v>
      </c>
      <c r="M5838" s="25">
        <v>15199531.439999999</v>
      </c>
      <c r="N5838" s="27">
        <v>5.0000003273127213E-3</v>
      </c>
    </row>
    <row r="5839" spans="1:14" x14ac:dyDescent="0.15">
      <c r="A5839" s="23" t="str">
        <f>HYPERLINK("https://www.spark-marketing.ru/Card/Person/263833", "ООО ""РВК-ВОРОНЕЖ""")</f>
        <v>ООО "РВК-ВОРОНЕЖ"</v>
      </c>
      <c r="B5839" s="24" t="s">
        <v>7547</v>
      </c>
      <c r="C5839" s="25">
        <v>2604415</v>
      </c>
      <c r="D5839" s="22" t="s">
        <v>7548</v>
      </c>
      <c r="E5839" s="22" t="s">
        <v>7549</v>
      </c>
      <c r="F5839" s="23" t="str">
        <f>HYPERLINK("https://www.spark-marketing.ru/Card/Lot/71682541", "Выполнение СМР по созданию системы охраны периметра объекта №9, устройство ограждения хлораторной и реконструкция существующего ограждения ВПС-9")</f>
        <v>Выполнение СМР по созданию системы охраны периметра объекта №9, устройство ограждения хлораторной и реконструкция существующего ограждения ВПС-9</v>
      </c>
      <c r="G5839" s="22" t="s">
        <v>552</v>
      </c>
      <c r="H5839" s="22" t="s">
        <v>886</v>
      </c>
      <c r="I5839" s="26">
        <v>43642.345462963</v>
      </c>
      <c r="J5839" s="28" t="s">
        <v>52</v>
      </c>
      <c r="K5839" s="28" t="s">
        <v>52</v>
      </c>
      <c r="L5839" s="28" t="s">
        <v>52</v>
      </c>
      <c r="M5839" s="28" t="s">
        <v>52</v>
      </c>
      <c r="N5839" s="28" t="s">
        <v>52</v>
      </c>
    </row>
    <row r="5840" spans="1:14" x14ac:dyDescent="0.15">
      <c r="A5840" s="23" t="str">
        <f>HYPERLINK("https://www.spark-marketing.ru/Card/Person/646966", "АО ""ИМКХ""")</f>
        <v>АО "ИМКХ"</v>
      </c>
      <c r="B5840" s="24" t="s">
        <v>2205</v>
      </c>
      <c r="C5840" s="25">
        <v>370944</v>
      </c>
      <c r="D5840" s="22" t="s">
        <v>7550</v>
      </c>
      <c r="E5840" s="22" t="s">
        <v>144</v>
      </c>
      <c r="F5840" s="23" t="str">
        <f>HYPERLINK("https://www.spark-marketing.ru/Card/Lot/71680191", "Оказание охранных услуг на участке водоотведения на третий квартал 2019 года")</f>
        <v>Оказание охранных услуг на участке водоотведения на третий квартал 2019 года</v>
      </c>
      <c r="G5840" s="22" t="s">
        <v>119</v>
      </c>
      <c r="H5840" s="22" t="s">
        <v>119</v>
      </c>
      <c r="I5840" s="26">
        <v>43642.365219907399</v>
      </c>
      <c r="J5840" s="28" t="s">
        <v>52</v>
      </c>
      <c r="K5840" s="28" t="s">
        <v>52</v>
      </c>
      <c r="L5840" s="28" t="s">
        <v>52</v>
      </c>
      <c r="M5840" s="28" t="s">
        <v>52</v>
      </c>
      <c r="N5840" s="28" t="s">
        <v>52</v>
      </c>
    </row>
    <row r="5841" spans="1:14" x14ac:dyDescent="0.15">
      <c r="A5841" s="23" t="str">
        <f>HYPERLINK("https://www.spark-marketing.ru/Card/Person/263833", "ООО ""РВК-ВОРОНЕЖ""")</f>
        <v>ООО "РВК-ВОРОНЕЖ"</v>
      </c>
      <c r="B5841" s="24" t="s">
        <v>7547</v>
      </c>
      <c r="C5841" s="25">
        <v>3056205</v>
      </c>
      <c r="D5841" s="22" t="s">
        <v>7548</v>
      </c>
      <c r="E5841" s="22" t="s">
        <v>7549</v>
      </c>
      <c r="F5841" s="23" t="str">
        <f>HYPERLINK("https://www.spark-marketing.ru/Card/Lot/71682542", "Выполнение работ СМР по устройству спирального барьера системы безопасности на ВПС-6; устройство спирального барьера системы безопасности на ВПС-4, создание системы охраны периметра Объекта ВПС 4; создание системы охраны периметра Объекта ВПС 3А,устр...")</f>
        <v>Выполнение работ СМР по устройству спирального барьера системы безопасности на ВПС-6; устройство спирального барьера системы безопасности на ВПС-4, создание системы охраны периметра Объекта ВПС 4; создание системы охраны периметра Объекта ВПС 3А,устр...</v>
      </c>
      <c r="G5841" s="22" t="s">
        <v>552</v>
      </c>
      <c r="H5841" s="22" t="s">
        <v>886</v>
      </c>
      <c r="I5841" s="26">
        <v>43642.345462963</v>
      </c>
      <c r="J5841" s="28" t="s">
        <v>52</v>
      </c>
      <c r="K5841" s="28" t="s">
        <v>52</v>
      </c>
      <c r="L5841" s="28" t="s">
        <v>52</v>
      </c>
      <c r="M5841" s="28" t="s">
        <v>52</v>
      </c>
      <c r="N5841" s="28" t="s">
        <v>52</v>
      </c>
    </row>
    <row r="5842" spans="1:14" x14ac:dyDescent="0.15">
      <c r="A5842" s="23" t="str">
        <f>HYPERLINK("https://www.spark-marketing.ru/Card/Person/17756", "ФГКУ КОМБИНАТ ""МИНЕРАЛ"" РОСРЕЗЕРВА")</f>
        <v>ФГКУ КОМБИНАТ "МИНЕРАЛ" РОСРЕЗЕРВА</v>
      </c>
      <c r="B5842" s="24" t="s">
        <v>7551</v>
      </c>
      <c r="C5842" s="25">
        <v>74460</v>
      </c>
      <c r="D5842" s="22" t="s">
        <v>7552</v>
      </c>
      <c r="E5842" s="22" t="s">
        <v>53</v>
      </c>
      <c r="F5842" s="23" t="str">
        <f>HYPERLINK("https://www.spark-marketing.ru/Card/Lot/71679992", "Услуги по охране Объектов, переданных под централизованное наблюдение на пульт централизованного наблюдения Охраны")</f>
        <v>Услуги по охране Объектов, переданных под централизованное наблюдение на пульт централизованного наблюдения Охраны</v>
      </c>
      <c r="G5842" s="22" t="s">
        <v>391</v>
      </c>
      <c r="H5842" s="22" t="s">
        <v>392</v>
      </c>
      <c r="I5842" s="26">
        <v>43642.3355787037</v>
      </c>
      <c r="J5842" s="28" t="s">
        <v>52</v>
      </c>
      <c r="K5842" s="28" t="s">
        <v>52</v>
      </c>
      <c r="L5842" s="28" t="s">
        <v>52</v>
      </c>
      <c r="M5842" s="28" t="s">
        <v>52</v>
      </c>
      <c r="N5842" s="28" t="s">
        <v>52</v>
      </c>
    </row>
    <row r="5843" spans="1:14" x14ac:dyDescent="0.15">
      <c r="A5843" s="23" t="str">
        <f>HYPERLINK("https://www.spark-marketing.ru/Card/Person/105917", "БДОУ Г. ОМСКА ""ЦЕНТР РАЗВИТИЯ РЕБЕНКА - ДЕТСКИЙ САД № 341""")</f>
        <v>БДОУ Г. ОМСКА "ЦЕНТР РАЗВИТИЯ РЕБЕНКА - ДЕТСКИЙ САД № 341"</v>
      </c>
      <c r="B5843" s="24" t="s">
        <v>7553</v>
      </c>
      <c r="C5843" s="25">
        <v>399976.44</v>
      </c>
      <c r="D5843" s="22" t="s">
        <v>7554</v>
      </c>
      <c r="E5843" s="22" t="s">
        <v>68</v>
      </c>
      <c r="F5843" s="23" t="str">
        <f>HYPERLINK("https://www.spark-marketing.ru/Card/Lot/71679748", "Оказание услуг по охране объекта")</f>
        <v>Оказание услуг по охране объекта</v>
      </c>
      <c r="G5843" s="22" t="s">
        <v>521</v>
      </c>
      <c r="H5843" s="22" t="s">
        <v>522</v>
      </c>
      <c r="I5843" s="26">
        <v>43642.315972222197</v>
      </c>
      <c r="J5843" s="28" t="s">
        <v>52</v>
      </c>
      <c r="K5843" s="28" t="s">
        <v>52</v>
      </c>
      <c r="L5843" s="28" t="s">
        <v>52</v>
      </c>
      <c r="M5843" s="28" t="s">
        <v>52</v>
      </c>
      <c r="N5843" s="28" t="s">
        <v>52</v>
      </c>
    </row>
    <row r="5844" spans="1:14" x14ac:dyDescent="0.15">
      <c r="A5844" s="23" t="str">
        <f>HYPERLINK("https://www.spark-marketing.ru/Card/Person/1030968", "ГКУ АО УСЗН ПО Г. РАЙЧИХИНСК И П.Г.Т. ПРОГРЕСС")</f>
        <v>ГКУ АО УСЗН ПО Г. РАЙЧИХИНСК И П.Г.Т. ПРОГРЕСС</v>
      </c>
      <c r="B5844" s="24" t="s">
        <v>7555</v>
      </c>
      <c r="C5844" s="28" t="s">
        <v>52</v>
      </c>
      <c r="D5844" s="22" t="s">
        <v>7556</v>
      </c>
      <c r="E5844" s="22" t="s">
        <v>68</v>
      </c>
      <c r="F5844" s="23" t="str">
        <f>HYPERLINK("https://www.spark-marketing.ru/Card/Lot/71678628", "Услуги по охране имущества с помощью технических средств охраны (охранной и тревожной сигнализации)")</f>
        <v>Услуги по охране имущества с помощью технических средств охраны (охранной и тревожной сигнализации)</v>
      </c>
      <c r="G5844" s="22" t="s">
        <v>230</v>
      </c>
      <c r="H5844" s="22" t="s">
        <v>7557</v>
      </c>
      <c r="I5844" s="26">
        <v>43642.288888888899</v>
      </c>
      <c r="J5844" s="28" t="s">
        <v>52</v>
      </c>
      <c r="K5844" s="28" t="s">
        <v>52</v>
      </c>
      <c r="L5844" s="28" t="s">
        <v>52</v>
      </c>
      <c r="M5844" s="28" t="s">
        <v>52</v>
      </c>
      <c r="N5844" s="28" t="s">
        <v>52</v>
      </c>
    </row>
    <row r="5845" spans="1:14" x14ac:dyDescent="0.15">
      <c r="A5845" s="23" t="str">
        <f>HYPERLINK("https://www.spark-marketing.ru/Card/Person/64363", "УФССП РОССИИ ПО НОВОСИБИРСКОЙ ОБЛАСТИ")</f>
        <v>УФССП РОССИИ ПО НОВОСИБИРСКОЙ ОБЛАСТИ</v>
      </c>
      <c r="B5845" s="24" t="s">
        <v>7558</v>
      </c>
      <c r="C5845" s="25">
        <v>45436.32</v>
      </c>
      <c r="D5845" s="22" t="s">
        <v>7559</v>
      </c>
      <c r="E5845" s="22" t="s">
        <v>53</v>
      </c>
      <c r="F5845" s="23" t="str">
        <f>HYPERLINK("https://www.spark-marketing.ru/Card/Lot/71678235", "Оказание услуг по техническому обслуживанию комплекса технических средств охраны")</f>
        <v>Оказание услуг по техническому обслуживанию комплекса технических средств охраны</v>
      </c>
      <c r="G5845" s="22" t="s">
        <v>209</v>
      </c>
      <c r="H5845" s="22" t="s">
        <v>210</v>
      </c>
      <c r="I5845" s="26">
        <v>43642.273877314801</v>
      </c>
      <c r="J5845" s="28" t="s">
        <v>52</v>
      </c>
      <c r="K5845" s="28" t="s">
        <v>52</v>
      </c>
      <c r="L5845" s="28" t="s">
        <v>52</v>
      </c>
      <c r="M5845" s="28" t="s">
        <v>52</v>
      </c>
      <c r="N5845" s="28" t="s">
        <v>52</v>
      </c>
    </row>
    <row r="5846" spans="1:14" x14ac:dyDescent="0.15">
      <c r="A5846" s="23" t="str">
        <f>HYPERLINK("https://www.spark-marketing.ru/Card/Person/29", "ЯКУТСКОЕ УФАС РОССИИ")</f>
        <v>ЯКУТСКОЕ УФАС РОССИИ</v>
      </c>
      <c r="B5846" s="24" t="s">
        <v>7560</v>
      </c>
      <c r="C5846" s="25">
        <v>99000</v>
      </c>
      <c r="D5846" s="22" t="s">
        <v>7561</v>
      </c>
      <c r="E5846" s="22" t="s">
        <v>84</v>
      </c>
      <c r="F5846" s="23" t="str">
        <f>HYPERLINK("https://www.spark-marketing.ru/Card/Lot/71675668", "Монтаж, установка, сборка систем видеонаблюдения, 1 шт")</f>
        <v>Монтаж, установка, сборка систем видеонаблюдения, 1 шт</v>
      </c>
      <c r="G5846" s="22" t="s">
        <v>424</v>
      </c>
      <c r="H5846" s="22" t="s">
        <v>1186</v>
      </c>
      <c r="I5846" s="26">
        <v>43642.152754629598</v>
      </c>
      <c r="J5846" s="28" t="s">
        <v>52</v>
      </c>
      <c r="K5846" s="28" t="s">
        <v>52</v>
      </c>
      <c r="L5846" s="28" t="s">
        <v>52</v>
      </c>
      <c r="M5846" s="28" t="s">
        <v>52</v>
      </c>
      <c r="N5846" s="28" t="s">
        <v>52</v>
      </c>
    </row>
    <row r="5847" spans="1:14" x14ac:dyDescent="0.15">
      <c r="A5847" s="23" t="str">
        <f>HYPERLINK("https://www.spark-marketing.ru/Card/Person/27342", "ТЕРРИТОРИАЛЬНЫЙ ОРГАН РОСЗДРАВНАДЗОРА ПО КАРАЧАЕВО-ЧЕРКЕССКОЙ РЕСПУБЛИКЕ")</f>
        <v>ТЕРРИТОРИАЛЬНЫЙ ОРГАН РОСЗДРАВНАДЗОРА ПО КАРАЧАЕВО-ЧЕРКЕССКОЙ РЕСПУБЛИКЕ</v>
      </c>
      <c r="B5847" s="24" t="s">
        <v>7562</v>
      </c>
      <c r="C5847" s="25">
        <v>43915.32</v>
      </c>
      <c r="D5847" s="22" t="s">
        <v>7563</v>
      </c>
      <c r="E5847" s="22" t="s">
        <v>53</v>
      </c>
      <c r="F5847" s="23" t="str">
        <f>HYPERLINK("https://www.spark-marketing.ru/Card/Lot/71675498", "Услуги пультовой охраны и техническое обслуживание технических средств охраны(ТСО) административного здания")</f>
        <v>Услуги пультовой охраны и техническое обслуживание технических средств охраны(ТСО) административного здания</v>
      </c>
      <c r="G5847" s="22" t="s">
        <v>3936</v>
      </c>
      <c r="H5847" s="22" t="s">
        <v>7564</v>
      </c>
      <c r="I5847" s="26">
        <v>43642.095856481501</v>
      </c>
      <c r="J5847" s="28" t="s">
        <v>52</v>
      </c>
      <c r="K5847" s="28" t="s">
        <v>52</v>
      </c>
      <c r="L5847" s="28" t="s">
        <v>52</v>
      </c>
      <c r="M5847" s="28" t="s">
        <v>52</v>
      </c>
      <c r="N5847" s="28" t="s">
        <v>52</v>
      </c>
    </row>
    <row r="5848" spans="1:14" x14ac:dyDescent="0.15">
      <c r="A5848" s="23" t="str">
        <f>HYPERLINK("https://www.spark-marketing.ru/Card/Person/121090", "ГБУ ""ХОЗУПРАВЛЕНИЕ РТ""")</f>
        <v>ГБУ "ХОЗУПРАВЛЕНИЕ РТ"</v>
      </c>
      <c r="B5848" s="24" t="s">
        <v>3958</v>
      </c>
      <c r="C5848" s="25">
        <v>267719</v>
      </c>
      <c r="D5848" s="22" t="s">
        <v>7565</v>
      </c>
      <c r="E5848" s="22" t="s">
        <v>84</v>
      </c>
      <c r="F5848" s="23" t="str">
        <f>HYPERLINK("https://www.spark-marketing.ru/Card/Lot/71662242", "Поставка, установка и монтаж систем видеонаблюдения для нужд ГБУ ""Хозуправление РТ""")</f>
        <v>Поставка, установка и монтаж систем видеонаблюдения для нужд ГБУ "Хозуправление РТ"</v>
      </c>
      <c r="G5848" s="22" t="s">
        <v>2193</v>
      </c>
      <c r="H5848" s="22" t="s">
        <v>2194</v>
      </c>
      <c r="I5848" s="26">
        <v>43641.765277777798</v>
      </c>
      <c r="J5848" s="23" t="str">
        <f>HYPERLINK("https://www.spark-marketing.ru/Card/Person/6495412", "Анисимов Дмитрий Андреевич")</f>
        <v>Анисимов Дмитрий Андреевич</v>
      </c>
      <c r="K5848" s="24" t="s">
        <v>1933</v>
      </c>
      <c r="L5848" s="22" t="s">
        <v>10</v>
      </c>
      <c r="M5848" s="28" t="s">
        <v>52</v>
      </c>
      <c r="N5848" s="28" t="s">
        <v>52</v>
      </c>
    </row>
    <row r="5849" spans="1:14" x14ac:dyDescent="0.15">
      <c r="A5849" s="23" t="str">
        <f>HYPERLINK("https://www.spark-marketing.ru/Card/Person/60587", "МОСКОВСКИЙ ГОРОДСКОЙ СУД")</f>
        <v>МОСКОВСКИЙ ГОРОДСКОЙ СУД</v>
      </c>
      <c r="B5849" s="24" t="s">
        <v>4754</v>
      </c>
      <c r="C5849" s="25">
        <v>3123127.99</v>
      </c>
      <c r="D5849" s="22" t="s">
        <v>7566</v>
      </c>
      <c r="E5849" s="22" t="s">
        <v>68</v>
      </c>
      <c r="F5849" s="23" t="str">
        <f>HYPERLINK("https://www.spark-marketing.ru/Card/Lot/71669753", "Услуги по охране объектов (помещений)")</f>
        <v>Услуги по охране объектов (помещений)</v>
      </c>
      <c r="G5849" s="22" t="s">
        <v>55</v>
      </c>
      <c r="H5849" s="22" t="s">
        <v>55</v>
      </c>
      <c r="I5849" s="26">
        <v>43641.761805555601</v>
      </c>
      <c r="J5849" s="28" t="s">
        <v>52</v>
      </c>
      <c r="K5849" s="28" t="s">
        <v>52</v>
      </c>
      <c r="L5849" s="28" t="s">
        <v>52</v>
      </c>
      <c r="M5849" s="28" t="s">
        <v>52</v>
      </c>
      <c r="N5849" s="28" t="s">
        <v>52</v>
      </c>
    </row>
    <row r="5850" spans="1:14" x14ac:dyDescent="0.15">
      <c r="A5850" s="23" t="str">
        <f>HYPERLINK("https://www.spark-marketing.ru/Card/Person/7264", "УПРАВЛЕНИЕ РОСРЕЕСТРА ПО РЕСПУБЛИКЕ БАШКОРТОСТАН")</f>
        <v>УПРАВЛЕНИЕ РОСРЕЕСТРА ПО РЕСПУБЛИКЕ БАШКОРТОСТАН</v>
      </c>
      <c r="B5850" s="24" t="s">
        <v>4843</v>
      </c>
      <c r="C5850" s="25">
        <v>100510</v>
      </c>
      <c r="D5850" s="22" t="s">
        <v>7567</v>
      </c>
      <c r="E5850" s="22" t="s">
        <v>68</v>
      </c>
      <c r="F5850" s="23" t="str">
        <f>HYPERLINK("https://www.spark-marketing.ru/Card/Lot/71671326", "Оказание услуг по охране объектов посредством пульта централизованного наблюдения")</f>
        <v>Оказание услуг по охране объектов посредством пульта централизованного наблюдения</v>
      </c>
      <c r="G5850" s="22" t="s">
        <v>100</v>
      </c>
      <c r="H5850" s="22" t="s">
        <v>100</v>
      </c>
      <c r="I5850" s="26">
        <v>43641.7563310185</v>
      </c>
      <c r="J5850" s="23" t="str">
        <f>HYPERLINK("https://www.spark-marketing.ru/Card/Person/204515", "ФЛ ФГУП ""Охрана"" Росгвардии по Республике Башкортостан")</f>
        <v>ФЛ ФГУП "Охрана" Росгвардии по Республике Башкортостан</v>
      </c>
      <c r="K5850" s="24" t="s">
        <v>779</v>
      </c>
      <c r="L5850" s="28" t="s">
        <v>52</v>
      </c>
      <c r="M5850" s="28" t="s">
        <v>52</v>
      </c>
      <c r="N5850" s="28" t="s">
        <v>52</v>
      </c>
    </row>
    <row r="5851" spans="1:14" ht="12.75" hidden="1" outlineLevel="1" x14ac:dyDescent="0.2">
      <c r="A5851" s="23" t="str">
        <f>HYPERLINK("https://www.spark-marketing.ru/Card/Person/7264", "УПРАВЛЕНИЕ РОСРЕЕСТРА ПО РЕСПУБЛИКЕ БАШКОРТОСТАН")</f>
        <v>УПРАВЛЕНИЕ РОСРЕЕСТРА ПО РЕСПУБЛИКЕ БАШКОРТОСТАН</v>
      </c>
      <c r="B5851" s="24" t="s">
        <v>4843</v>
      </c>
      <c r="C5851" s="25">
        <v>100510</v>
      </c>
      <c r="D5851" s="22" t="s">
        <v>7567</v>
      </c>
      <c r="E5851" s="22" t="s">
        <v>68</v>
      </c>
      <c r="F5851" s="23" t="str">
        <f>HYPERLINK("https://www.spark-marketing.ru/Card/Lot/71671326", "Оказание услуг по охране объектов посредством пульта централизованного наблюдения")</f>
        <v>Оказание услуг по охране объектов посредством пульта централизованного наблюдения</v>
      </c>
      <c r="G5851" s="22" t="s">
        <v>100</v>
      </c>
      <c r="H5851" s="22" t="s">
        <v>100</v>
      </c>
      <c r="I5851" s="26">
        <v>43641.7563310185</v>
      </c>
      <c r="J5851" s="23" t="str">
        <f>HYPERLINK("https://www.spark-marketing.ru/Card/Person/204515", "ФЛ ФГУП ""Охрана"" Росгвардии по Республике Башкортостан")</f>
        <v>ФЛ ФГУП "Охрана" Росгвардии по Республике Башкортостан</v>
      </c>
      <c r="K5851" s="24" t="s">
        <v>779</v>
      </c>
      <c r="L5851" s="22" t="s">
        <v>10</v>
      </c>
      <c r="M5851" s="25">
        <v>100007.45</v>
      </c>
      <c r="N5851" s="27">
        <v>5.0000000000000001E-3</v>
      </c>
    </row>
    <row r="5852" spans="1:14" x14ac:dyDescent="0.15">
      <c r="A5852" s="23" t="str">
        <f>HYPERLINK("https://www.spark-marketing.ru/Card/Person/1519", "ФГБУ ""УПРАВЛЕНИЕ ПО ЭКСПЛУАТАЦИИ ЗДАНИЙ ВЫСШИХ ОРГАНОВ ВЛАСТИ""")</f>
        <v>ФГБУ "УПРАВЛЕНИЕ ПО ЭКСПЛУАТАЦИИ ЗДАНИЙ ВЫСШИХ ОРГАНОВ ВЛАСТИ"</v>
      </c>
      <c r="B5852" s="24" t="s">
        <v>7568</v>
      </c>
      <c r="C5852" s="25">
        <v>1774031.4</v>
      </c>
      <c r="D5852" s="22" t="s">
        <v>7569</v>
      </c>
      <c r="E5852" s="22" t="s">
        <v>68</v>
      </c>
      <c r="F5852" s="23" t="str">
        <f>HYPERLINK("https://www.spark-marketing.ru/Card/Lot/71668735", "Услуги по охране объекта, подлежащего обязательной охране войсками национальной гвардии Российской Федерации, расположенного по адресу: г. Москва, Миусская пл., д. 3, стр. 3, в 2019 году")</f>
        <v>Услуги по охране объекта, подлежащего обязательной охране войсками национальной гвардии Российской Федерации, расположенного по адресу: г. Москва, Миусская пл., д. 3, стр. 3, в 2019 году</v>
      </c>
      <c r="G5852" s="22" t="s">
        <v>55</v>
      </c>
      <c r="H5852" s="22" t="s">
        <v>55</v>
      </c>
      <c r="I5852" s="26">
        <v>43641.784027777801</v>
      </c>
      <c r="J5852" s="28" t="s">
        <v>52</v>
      </c>
      <c r="K5852" s="28" t="s">
        <v>52</v>
      </c>
      <c r="L5852" s="28" t="s">
        <v>52</v>
      </c>
      <c r="M5852" s="28" t="s">
        <v>52</v>
      </c>
      <c r="N5852" s="28" t="s">
        <v>52</v>
      </c>
    </row>
    <row r="5853" spans="1:14" x14ac:dyDescent="0.15">
      <c r="A5853" s="23" t="str">
        <f>HYPERLINK("https://www.spark-marketing.ru/Card/Person/114326", "МДОУ ""ВАСИЛЁК""")</f>
        <v>МДОУ "ВАСИЛЁК"</v>
      </c>
      <c r="B5853" s="24" t="s">
        <v>4969</v>
      </c>
      <c r="C5853" s="25">
        <v>24000</v>
      </c>
      <c r="D5853" s="22" t="s">
        <v>7570</v>
      </c>
      <c r="E5853" s="22" t="s">
        <v>107</v>
      </c>
      <c r="F5853" s="23" t="str">
        <f>HYPERLINK("https://www.spark-marketing.ru/Card/Lot/71658427", "Выполнение работы по техническому обслуживанию системы видеонаблюдения, домофона (видеодомофона)")</f>
        <v>Выполнение работы по техническому обслуживанию системы видеонаблюдения, домофона (видеодомофона)</v>
      </c>
      <c r="G5853" s="22" t="s">
        <v>50</v>
      </c>
      <c r="H5853" s="22" t="s">
        <v>5160</v>
      </c>
      <c r="I5853" s="26">
        <v>43641.711574074099</v>
      </c>
      <c r="J5853" s="28" t="s">
        <v>52</v>
      </c>
      <c r="K5853" s="28" t="s">
        <v>52</v>
      </c>
      <c r="L5853" s="28" t="s">
        <v>52</v>
      </c>
      <c r="M5853" s="28" t="s">
        <v>52</v>
      </c>
      <c r="N5853" s="28" t="s">
        <v>52</v>
      </c>
    </row>
    <row r="5854" spans="1:14" x14ac:dyDescent="0.15">
      <c r="A5854" s="23" t="str">
        <f>HYPERLINK("https://www.spark-marketing.ru/Card/Person/5816973", "АО ""РХК""")</f>
        <v>АО "РХК"</v>
      </c>
      <c r="B5854" s="24" t="s">
        <v>7571</v>
      </c>
      <c r="C5854" s="25">
        <v>2789520</v>
      </c>
      <c r="D5854" s="22" t="s">
        <v>7572</v>
      </c>
      <c r="E5854" s="22" t="s">
        <v>53</v>
      </c>
      <c r="F5854" s="23" t="str">
        <f>HYPERLINK("https://www.spark-marketing.ru/Card/Lot/71672508", "Право заключения договора на охранные услуги")</f>
        <v>Право заключения договора на охранные услуги</v>
      </c>
      <c r="G5854" s="22" t="s">
        <v>55</v>
      </c>
      <c r="H5854" s="22" t="s">
        <v>55</v>
      </c>
      <c r="I5854" s="26">
        <v>43641.7268287037</v>
      </c>
      <c r="J5854" s="28" t="s">
        <v>52</v>
      </c>
      <c r="K5854" s="28" t="s">
        <v>52</v>
      </c>
      <c r="L5854" s="28" t="s">
        <v>52</v>
      </c>
      <c r="M5854" s="28" t="s">
        <v>52</v>
      </c>
      <c r="N5854" s="28" t="s">
        <v>52</v>
      </c>
    </row>
    <row r="5855" spans="1:14" x14ac:dyDescent="0.15">
      <c r="A5855" s="23" t="str">
        <f>HYPERLINK("https://www.spark-marketing.ru/Card/Person/64598", "ФБУ ""АДМИНИСТРАЦИЯ ""БЕЛОМОРКАНАЛ""")</f>
        <v>ФБУ "АДМИНИСТРАЦИЯ "БЕЛОМОРКАНАЛ"</v>
      </c>
      <c r="B5855" s="24" t="s">
        <v>7573</v>
      </c>
      <c r="C5855" s="25">
        <v>1155000</v>
      </c>
      <c r="D5855" s="22" t="s">
        <v>7574</v>
      </c>
      <c r="E5855" s="22" t="s">
        <v>487</v>
      </c>
      <c r="F5855" s="23" t="str">
        <f>HYPERLINK("https://www.spark-marketing.ru/Card/Lot/71667802", "Поставка блок-контейнеров для оснащения охраны гидроузлов.")</f>
        <v>Поставка блок-контейнеров для оснащения охраны гидроузлов.</v>
      </c>
      <c r="G5855" s="22" t="s">
        <v>435</v>
      </c>
      <c r="H5855" s="22" t="s">
        <v>7575</v>
      </c>
      <c r="I5855" s="26">
        <v>43641.729166666701</v>
      </c>
      <c r="J5855" s="28" t="s">
        <v>52</v>
      </c>
      <c r="K5855" s="28" t="s">
        <v>52</v>
      </c>
      <c r="L5855" s="28" t="s">
        <v>52</v>
      </c>
      <c r="M5855" s="28" t="s">
        <v>52</v>
      </c>
      <c r="N5855" s="28" t="s">
        <v>52</v>
      </c>
    </row>
    <row r="5856" spans="1:14" hidden="1" outlineLevel="1" x14ac:dyDescent="0.2">
      <c r="A5856" s="23" t="str">
        <f>HYPERLINK("https://www.spark-marketing.ru/Card/Person/64598", "ФБУ ""АДМИНИСТРАЦИЯ ""БЕЛОМОРКАНАЛ""")</f>
        <v>ФБУ "АДМИНИСТРАЦИЯ "БЕЛОМОРКАНАЛ"</v>
      </c>
      <c r="B5856" s="24" t="s">
        <v>7573</v>
      </c>
      <c r="C5856" s="25">
        <v>1155000</v>
      </c>
      <c r="D5856" s="22" t="s">
        <v>7574</v>
      </c>
      <c r="E5856" s="22" t="s">
        <v>487</v>
      </c>
      <c r="F5856" s="23" t="str">
        <f>HYPERLINK("https://www.spark-marketing.ru/Card/Lot/71667802", "Поставка блок-контейнеров для оснащения охраны гидроузлов.")</f>
        <v>Поставка блок-контейнеров для оснащения охраны гидроузлов.</v>
      </c>
      <c r="G5856" s="22" t="s">
        <v>435</v>
      </c>
      <c r="H5856" s="22" t="s">
        <v>7575</v>
      </c>
      <c r="I5856" s="26">
        <v>43641.729166666701</v>
      </c>
      <c r="J5856" s="23" t="str">
        <f>HYPERLINK("https://www.spark-marketing.ru/Card/Person/6044557", "ООО ""ПО""КОМПЛЕКС""")</f>
        <v>ООО "ПО"КОМПЛЕКС"</v>
      </c>
      <c r="K5856" s="24" t="s">
        <v>7576</v>
      </c>
      <c r="L5856" s="28" t="s">
        <v>52</v>
      </c>
      <c r="M5856" s="25">
        <v>1149225</v>
      </c>
      <c r="N5856" s="27">
        <v>5.0000000000000001E-3</v>
      </c>
    </row>
    <row r="5857" spans="1:14" hidden="1" outlineLevel="1" x14ac:dyDescent="0.2">
      <c r="A5857" s="23" t="str">
        <f>HYPERLINK("https://www.spark-marketing.ru/Card/Person/64598", "ФБУ ""АДМИНИСТРАЦИЯ ""БЕЛОМОРКАНАЛ""")</f>
        <v>ФБУ "АДМИНИСТРАЦИЯ "БЕЛОМОРКАНАЛ"</v>
      </c>
      <c r="B5857" s="24" t="s">
        <v>7573</v>
      </c>
      <c r="C5857" s="25">
        <v>1155000</v>
      </c>
      <c r="D5857" s="22" t="s">
        <v>7574</v>
      </c>
      <c r="E5857" s="22" t="s">
        <v>487</v>
      </c>
      <c r="F5857" s="23" t="str">
        <f>HYPERLINK("https://www.spark-marketing.ru/Card/Lot/71667802", "Поставка блок-контейнеров для оснащения охраны гидроузлов.")</f>
        <v>Поставка блок-контейнеров для оснащения охраны гидроузлов.</v>
      </c>
      <c r="G5857" s="22" t="s">
        <v>435</v>
      </c>
      <c r="H5857" s="22" t="s">
        <v>7575</v>
      </c>
      <c r="I5857" s="26">
        <v>43641.729166666701</v>
      </c>
      <c r="J5857" s="23" t="str">
        <f>HYPERLINK("https://www.spark-marketing.ru/Card/Person/4359038", "ООО ""ТД ""ДИАКОМ""")</f>
        <v>ООО "ТД "ДИАКОМ"</v>
      </c>
      <c r="K5857" s="24" t="s">
        <v>7577</v>
      </c>
      <c r="L5857" s="28" t="s">
        <v>52</v>
      </c>
      <c r="M5857" s="25">
        <v>1051050</v>
      </c>
      <c r="N5857" s="27">
        <v>0.09</v>
      </c>
    </row>
    <row r="5858" spans="1:14" ht="12.75" hidden="1" outlineLevel="1" x14ac:dyDescent="0.2">
      <c r="A5858" s="23" t="str">
        <f>HYPERLINK("https://www.spark-marketing.ru/Card/Person/64598", "ФБУ ""АДМИНИСТРАЦИЯ ""БЕЛОМОРКАНАЛ""")</f>
        <v>ФБУ "АДМИНИСТРАЦИЯ "БЕЛОМОРКАНАЛ"</v>
      </c>
      <c r="B5858" s="24" t="s">
        <v>7573</v>
      </c>
      <c r="C5858" s="25">
        <v>1155000</v>
      </c>
      <c r="D5858" s="22" t="s">
        <v>7574</v>
      </c>
      <c r="E5858" s="22" t="s">
        <v>487</v>
      </c>
      <c r="F5858" s="23" t="str">
        <f>HYPERLINK("https://www.spark-marketing.ru/Card/Lot/71667802", "Поставка блок-контейнеров для оснащения охраны гидроузлов.")</f>
        <v>Поставка блок-контейнеров для оснащения охраны гидроузлов.</v>
      </c>
      <c r="G5858" s="22" t="s">
        <v>435</v>
      </c>
      <c r="H5858" s="22" t="s">
        <v>7575</v>
      </c>
      <c r="I5858" s="26">
        <v>43641.729166666701</v>
      </c>
      <c r="J5858" s="23" t="str">
        <f>HYPERLINK("https://www.spark-marketing.ru/Card/Person/2165804", "ООО ""НЗБК""")</f>
        <v>ООО "НЗБК"</v>
      </c>
      <c r="K5858" s="24" t="s">
        <v>7578</v>
      </c>
      <c r="L5858" s="22" t="s">
        <v>10</v>
      </c>
      <c r="M5858" s="25">
        <v>1045275</v>
      </c>
      <c r="N5858" s="27">
        <v>9.5000000000000001E-2</v>
      </c>
    </row>
    <row r="5859" spans="1:14" x14ac:dyDescent="0.15">
      <c r="A5859" s="23" t="str">
        <f>HYPERLINK("https://www.spark-marketing.ru/Card/Person/7264", "УПРАВЛЕНИЕ РОСРЕЕСТРА ПО РЕСПУБЛИКЕ БАШКОРТОСТАН")</f>
        <v>УПРАВЛЕНИЕ РОСРЕЕСТРА ПО РЕСПУБЛИКЕ БАШКОРТОСТАН</v>
      </c>
      <c r="B5859" s="24" t="s">
        <v>4843</v>
      </c>
      <c r="C5859" s="25">
        <v>75796.5</v>
      </c>
      <c r="D5859" s="22" t="s">
        <v>7579</v>
      </c>
      <c r="E5859" s="22" t="s">
        <v>68</v>
      </c>
      <c r="F5859" s="23" t="str">
        <f>HYPERLINK("https://www.spark-marketing.ru/Card/Lot/71671308", "Оказание услуг по охране объектов посредством пульта централизованного наблюдения")</f>
        <v>Оказание услуг по охране объектов посредством пульта централизованного наблюдения</v>
      </c>
      <c r="G5859" s="22" t="s">
        <v>100</v>
      </c>
      <c r="H5859" s="22" t="s">
        <v>100</v>
      </c>
      <c r="I5859" s="26">
        <v>43641.748124999998</v>
      </c>
      <c r="J5859" s="28" t="s">
        <v>52</v>
      </c>
      <c r="K5859" s="28" t="s">
        <v>52</v>
      </c>
      <c r="L5859" s="28" t="s">
        <v>52</v>
      </c>
      <c r="M5859" s="28" t="s">
        <v>52</v>
      </c>
      <c r="N5859" s="28" t="s">
        <v>52</v>
      </c>
    </row>
    <row r="5860" spans="1:14" hidden="1" outlineLevel="1" x14ac:dyDescent="0.2">
      <c r="A5860" s="23" t="str">
        <f>HYPERLINK("https://www.spark-marketing.ru/Card/Person/7264", "УПРАВЛЕНИЕ РОСРЕЕСТРА ПО РЕСПУБЛИКЕ БАШКОРТОСТАН")</f>
        <v>УПРАВЛЕНИЕ РОСРЕЕСТРА ПО РЕСПУБЛИКЕ БАШКОРТОСТАН</v>
      </c>
      <c r="B5860" s="24" t="s">
        <v>4843</v>
      </c>
      <c r="C5860" s="25">
        <v>75796.5</v>
      </c>
      <c r="D5860" s="22" t="s">
        <v>7579</v>
      </c>
      <c r="E5860" s="22" t="s">
        <v>68</v>
      </c>
      <c r="F5860" s="23" t="str">
        <f>HYPERLINK("https://www.spark-marketing.ru/Card/Lot/71671308", "Оказание услуг по охране объектов посредством пульта централизованного наблюдения")</f>
        <v>Оказание услуг по охране объектов посредством пульта централизованного наблюдения</v>
      </c>
      <c r="G5860" s="22" t="s">
        <v>100</v>
      </c>
      <c r="H5860" s="22" t="s">
        <v>100</v>
      </c>
      <c r="I5860" s="26">
        <v>43641.748124999998</v>
      </c>
      <c r="J5860" s="23" t="str">
        <f>HYPERLINK("https://www.spark-marketing.ru/Card/Person/288624", "ООО ЧОП ""ДАН""")</f>
        <v>ООО ЧОП "ДАН"</v>
      </c>
      <c r="K5860" s="24" t="s">
        <v>5453</v>
      </c>
      <c r="L5860" s="28" t="s">
        <v>52</v>
      </c>
      <c r="M5860" s="25">
        <v>52028.28</v>
      </c>
      <c r="N5860" s="27">
        <v>0.31357938691100512</v>
      </c>
    </row>
    <row r="5861" spans="1:14" hidden="1" outlineLevel="1" x14ac:dyDescent="0.2">
      <c r="A5861" s="23" t="str">
        <f>HYPERLINK("https://www.spark-marketing.ru/Card/Person/7264", "УПРАВЛЕНИЕ РОСРЕЕСТРА ПО РЕСПУБЛИКЕ БАШКОРТОСТАН")</f>
        <v>УПРАВЛЕНИЕ РОСРЕЕСТРА ПО РЕСПУБЛИКЕ БАШКОРТОСТАН</v>
      </c>
      <c r="B5861" s="24" t="s">
        <v>4843</v>
      </c>
      <c r="C5861" s="25">
        <v>75796.5</v>
      </c>
      <c r="D5861" s="22" t="s">
        <v>7579</v>
      </c>
      <c r="E5861" s="22" t="s">
        <v>68</v>
      </c>
      <c r="F5861" s="23" t="str">
        <f>HYPERLINK("https://www.spark-marketing.ru/Card/Lot/71671308", "Оказание услуг по охране объектов посредством пульта централизованного наблюдения")</f>
        <v>Оказание услуг по охране объектов посредством пульта централизованного наблюдения</v>
      </c>
      <c r="G5861" s="22" t="s">
        <v>100</v>
      </c>
      <c r="H5861" s="22" t="s">
        <v>100</v>
      </c>
      <c r="I5861" s="26">
        <v>43641.748124999998</v>
      </c>
      <c r="J5861" s="23" t="str">
        <f>HYPERLINK("https://www.spark-marketing.ru/Card/Person/274739", "ООО ЧОП ""ИНТЕРБЕЗОПАСНОСТЬ-ЗАПАД""")</f>
        <v>ООО ЧОП "ИНТЕРБЕЗОПАСНОСТЬ-ЗАПАД"</v>
      </c>
      <c r="K5861" s="24" t="s">
        <v>7580</v>
      </c>
      <c r="L5861" s="28" t="s">
        <v>52</v>
      </c>
      <c r="M5861" s="25">
        <v>55596.1</v>
      </c>
      <c r="N5861" s="27">
        <v>0.26650834801079204</v>
      </c>
    </row>
    <row r="5862" spans="1:14" x14ac:dyDescent="0.15">
      <c r="A5862" s="23" t="str">
        <f>HYPERLINK("https://www.spark-marketing.ru/Card/Person/1892014", "ФЛ ФГКУ РОСГРАНСТРОЙ В Г МУРМАНСК")</f>
        <v>ФЛ ФГКУ РОСГРАНСТРОЙ В Г МУРМАНСК</v>
      </c>
      <c r="B5862" s="24" t="s">
        <v>1291</v>
      </c>
      <c r="C5862" s="25">
        <v>73000</v>
      </c>
      <c r="D5862" s="22" t="s">
        <v>7581</v>
      </c>
      <c r="E5862" s="22" t="s">
        <v>53</v>
      </c>
      <c r="F5862" s="23" t="str">
        <f>HYPERLINK("https://www.spark-marketing.ru/Card/Lot/71657811", "Монтаж, установка, сборка комплексных систем безопасности, 1 шт")</f>
        <v>Монтаж, установка, сборка комплексных систем безопасности, 1 шт</v>
      </c>
      <c r="G5862" s="22" t="s">
        <v>190</v>
      </c>
      <c r="H5862" s="22" t="s">
        <v>191</v>
      </c>
      <c r="I5862" s="26">
        <v>43641.681909722203</v>
      </c>
      <c r="J5862" s="28" t="s">
        <v>52</v>
      </c>
      <c r="K5862" s="28" t="s">
        <v>52</v>
      </c>
      <c r="L5862" s="28" t="s">
        <v>52</v>
      </c>
      <c r="M5862" s="28" t="s">
        <v>52</v>
      </c>
      <c r="N5862" s="28" t="s">
        <v>52</v>
      </c>
    </row>
    <row r="5863" spans="1:14" x14ac:dyDescent="0.15">
      <c r="A5863" s="23" t="str">
        <f>HYPERLINK("https://www.spark-marketing.ru/Card/Person/49918", "ГБУЗКК ""ПКГССМП""")</f>
        <v>ГБУЗКК "ПКГССМП"</v>
      </c>
      <c r="B5863" s="24" t="s">
        <v>7582</v>
      </c>
      <c r="C5863" s="25">
        <v>363665.33</v>
      </c>
      <c r="D5863" s="22" t="s">
        <v>7583</v>
      </c>
      <c r="E5863" s="22" t="s">
        <v>84</v>
      </c>
      <c r="F5863" s="23" t="str">
        <f>HYPERLINK("https://www.spark-marketing.ru/Card/Lot/71639585", "Установка системы видеонаблюдения (поставка, монтаж, ввод в эксплуатацию)")</f>
        <v>Установка системы видеонаблюдения (поставка, монтаж, ввод в эксплуатацию)</v>
      </c>
      <c r="G5863" s="22" t="s">
        <v>1141</v>
      </c>
      <c r="H5863" s="22" t="s">
        <v>1142</v>
      </c>
      <c r="I5863" s="26">
        <v>43641.7006944444</v>
      </c>
      <c r="J5863" s="28" t="s">
        <v>52</v>
      </c>
      <c r="K5863" s="28" t="s">
        <v>52</v>
      </c>
      <c r="L5863" s="28" t="s">
        <v>52</v>
      </c>
      <c r="M5863" s="28" t="s">
        <v>52</v>
      </c>
      <c r="N5863" s="28" t="s">
        <v>52</v>
      </c>
    </row>
    <row r="5864" spans="1:14" hidden="1" outlineLevel="1" x14ac:dyDescent="0.2">
      <c r="A5864" s="23" t="str">
        <f>HYPERLINK("https://www.spark-marketing.ru/Card/Person/49918", "ГБУЗКК ""ПКГССМП""")</f>
        <v>ГБУЗКК "ПКГССМП"</v>
      </c>
      <c r="B5864" s="24" t="s">
        <v>7582</v>
      </c>
      <c r="C5864" s="25">
        <v>363665.33</v>
      </c>
      <c r="D5864" s="22" t="s">
        <v>7583</v>
      </c>
      <c r="E5864" s="22" t="s">
        <v>84</v>
      </c>
      <c r="F5864" s="23" t="str">
        <f>HYPERLINK("https://www.spark-marketing.ru/Card/Lot/71639585", "Установка системы видеонаблюдения (поставка, монтаж, ввод в эксплуатацию)")</f>
        <v>Установка системы видеонаблюдения (поставка, монтаж, ввод в эксплуатацию)</v>
      </c>
      <c r="G5864" s="22" t="s">
        <v>1141</v>
      </c>
      <c r="H5864" s="22" t="s">
        <v>1142</v>
      </c>
      <c r="I5864" s="26">
        <v>43641.7006944444</v>
      </c>
      <c r="J5864" s="23" t="str">
        <f>HYPERLINK("https://www.spark-marketing.ru/Card/Person/350089", "ООО ""ИНТЕГРАЛ -СБ""")</f>
        <v>ООО "ИНТЕГРАЛ -СБ"</v>
      </c>
      <c r="K5864" s="24" t="s">
        <v>7584</v>
      </c>
      <c r="L5864" s="28" t="s">
        <v>52</v>
      </c>
      <c r="M5864" s="25">
        <v>340027.04</v>
      </c>
      <c r="N5864" s="27">
        <v>6.5000119752960772E-2</v>
      </c>
    </row>
    <row r="5865" spans="1:14" ht="12.75" hidden="1" outlineLevel="1" x14ac:dyDescent="0.2">
      <c r="A5865" s="23" t="str">
        <f>HYPERLINK("https://www.spark-marketing.ru/Card/Person/49918", "ГБУЗКК ""ПКГССМП""")</f>
        <v>ГБУЗКК "ПКГССМП"</v>
      </c>
      <c r="B5865" s="24" t="s">
        <v>7582</v>
      </c>
      <c r="C5865" s="25">
        <v>363665.33</v>
      </c>
      <c r="D5865" s="22" t="s">
        <v>7583</v>
      </c>
      <c r="E5865" s="22" t="s">
        <v>84</v>
      </c>
      <c r="F5865" s="23" t="str">
        <f>HYPERLINK("https://www.spark-marketing.ru/Card/Lot/71639585", "Установка системы видеонаблюдения (поставка, монтаж, ввод в эксплуатацию)")</f>
        <v>Установка системы видеонаблюдения (поставка, монтаж, ввод в эксплуатацию)</v>
      </c>
      <c r="G5865" s="22" t="s">
        <v>1141</v>
      </c>
      <c r="H5865" s="22" t="s">
        <v>1142</v>
      </c>
      <c r="I5865" s="26">
        <v>43641.7006944444</v>
      </c>
      <c r="J5865" s="23" t="str">
        <f>HYPERLINK("https://www.spark-marketing.ru/Card/Person/4878495", "Денисов Максим Васильевич")</f>
        <v>Денисов Максим Васильевич</v>
      </c>
      <c r="K5865" s="24" t="s">
        <v>7273</v>
      </c>
      <c r="L5865" s="22" t="s">
        <v>10</v>
      </c>
      <c r="M5865" s="25">
        <v>338208.71</v>
      </c>
      <c r="N5865" s="27">
        <v>7.0000128964726988E-2</v>
      </c>
    </row>
    <row r="5866" spans="1:14" x14ac:dyDescent="0.15">
      <c r="A5866" s="23" t="str">
        <f>HYPERLINK("https://www.spark-marketing.ru/Card/Person/1027643", "МУ ДО ""ДМШ №2""")</f>
        <v>МУ ДО "ДМШ №2"</v>
      </c>
      <c r="B5866" s="24" t="s">
        <v>2425</v>
      </c>
      <c r="C5866" s="25">
        <v>199900</v>
      </c>
      <c r="D5866" s="22" t="s">
        <v>7585</v>
      </c>
      <c r="E5866" s="22" t="s">
        <v>691</v>
      </c>
      <c r="F5866" s="23" t="str">
        <f>HYPERLINK("https://www.spark-marketing.ru/Card/Lot/71655332", "Выполнение работ по установке системы видеонаблюдения в здании МУ ДО ""ДМШ № 2"" по адресу: Московская обл., Г.о. Подольск, г. Подольск, ул. Быковская, д. 10")</f>
        <v>Выполнение работ по установке системы видеонаблюдения в здании МУ ДО "ДМШ № 2" по адресу: Московская обл., Г.о. Подольск, г. Подольск, ул. Быковская, д. 10</v>
      </c>
      <c r="G5866" s="22" t="s">
        <v>50</v>
      </c>
      <c r="H5866" s="22" t="s">
        <v>50</v>
      </c>
      <c r="I5866" s="26">
        <v>43641.630821759303</v>
      </c>
      <c r="J5866" s="28" t="s">
        <v>52</v>
      </c>
      <c r="K5866" s="28" t="s">
        <v>52</v>
      </c>
      <c r="L5866" s="28" t="s">
        <v>52</v>
      </c>
      <c r="M5866" s="28" t="s">
        <v>52</v>
      </c>
      <c r="N5866" s="28" t="s">
        <v>52</v>
      </c>
    </row>
    <row r="5867" spans="1:14" x14ac:dyDescent="0.15">
      <c r="A5867" s="23" t="str">
        <f>HYPERLINK("https://www.spark-marketing.ru/Card/Person/4343656", "ГОКУ ""НОВГОРОДАВТОДОР""")</f>
        <v>ГОКУ "НОВГОРОДАВТОДОР"</v>
      </c>
      <c r="B5867" s="24" t="s">
        <v>7586</v>
      </c>
      <c r="C5867" s="25">
        <v>43228186.799999997</v>
      </c>
      <c r="D5867" s="22" t="s">
        <v>7587</v>
      </c>
      <c r="E5867" s="22" t="s">
        <v>842</v>
      </c>
      <c r="F5867" s="23" t="str">
        <f>HYPERLINK("https://www.spark-marketing.ru/Card/Lot/71671090", "Выполнение работ по объекту: «Устройство (строительство) инженерно-технических систем обеспечения транспортной безопасности категорированного объекта «Мост через р.Волхов на км 0+921 на автомобильной дороге от автомобильной дороги «Великий Новгород-Х...")</f>
        <v>Выполнение работ по объекту: «Устройство (строительство) инженерно-технических систем обеспечения транспортной безопасности категорированного объекта «Мост через р.Волхов на км 0+921 на автомобильной дороге от автомобильной дороги «Великий Новгород-Х...</v>
      </c>
      <c r="G5867" s="22" t="s">
        <v>959</v>
      </c>
      <c r="H5867" s="22" t="s">
        <v>960</v>
      </c>
      <c r="I5867" s="26">
        <v>43641.658333333296</v>
      </c>
      <c r="J5867" s="23" t="str">
        <f>HYPERLINK("https://www.spark-marketing.ru/Card/Person/5848968", "ООО ""МФ ИНЖИНИРИНГ""")</f>
        <v>ООО "МФ ИНЖИНИРИНГ"</v>
      </c>
      <c r="K5867" s="24" t="s">
        <v>2524</v>
      </c>
      <c r="L5867" s="22" t="s">
        <v>10</v>
      </c>
      <c r="M5867" s="28" t="s">
        <v>52</v>
      </c>
      <c r="N5867" s="28" t="s">
        <v>52</v>
      </c>
    </row>
    <row r="5868" spans="1:14" x14ac:dyDescent="0.15">
      <c r="A5868" s="23" t="str">
        <f>HYPERLINK("https://www.spark-marketing.ru/Card/Person/6049332", "ООО ""КАЗАНЬ ЭКСПО""")</f>
        <v>ООО "КАЗАНЬ ЭКСПО"</v>
      </c>
      <c r="B5868" s="24" t="s">
        <v>5204</v>
      </c>
      <c r="C5868" s="25">
        <v>0</v>
      </c>
      <c r="D5868" s="22" t="s">
        <v>7588</v>
      </c>
      <c r="E5868" s="22" t="s">
        <v>53</v>
      </c>
      <c r="F5868" s="23" t="str">
        <f>HYPERLINK("https://www.spark-marketing.ru/Card/Lot/71676382", "Стойка для монтажа видеостены 3х2 (мониторы 55"", предусмотреть место под установку системных блоков)")</f>
        <v>Стойка для монтажа видеостены 3х2 (мониторы 55", предусмотреть место под установку системных блоков)</v>
      </c>
      <c r="G5868" s="22" t="s">
        <v>204</v>
      </c>
      <c r="H5868" s="22" t="s">
        <v>303</v>
      </c>
      <c r="I5868" s="26">
        <v>43641.652928240699</v>
      </c>
      <c r="J5868" s="28" t="s">
        <v>52</v>
      </c>
      <c r="K5868" s="28" t="s">
        <v>52</v>
      </c>
      <c r="L5868" s="28" t="s">
        <v>52</v>
      </c>
      <c r="M5868" s="28" t="s">
        <v>52</v>
      </c>
      <c r="N5868" s="28" t="s">
        <v>52</v>
      </c>
    </row>
    <row r="5869" spans="1:14" x14ac:dyDescent="0.15">
      <c r="A5869" s="23" t="str">
        <f>HYPERLINK("https://www.spark-marketing.ru/Card/Person/4596", "МКУ ""ДИСОТИ""")</f>
        <v>МКУ "ДИСОТИ"</v>
      </c>
      <c r="B5869" s="24" t="s">
        <v>642</v>
      </c>
      <c r="C5869" s="25">
        <v>33201792</v>
      </c>
      <c r="D5869" s="22" t="s">
        <v>7589</v>
      </c>
      <c r="E5869" s="22" t="s">
        <v>68</v>
      </c>
      <c r="F5869" s="23" t="str">
        <f>HYPERLINK("https://www.spark-marketing.ru/Card/Lot/71671111", "Оказание услуг по охране объектов транспортной инфраструктуры г. Ростова-на-Дону от противоправных посягательств, включающую в себя защиту объектов транспортной инфраструктуры от актов незаконного вмешательства.")</f>
        <v>Оказание услуг по охране объектов транспортной инфраструктуры г. Ростова-на-Дону от противоправных посягательств, включающую в себя защиту объектов транспортной инфраструктуры от актов незаконного вмешательства.</v>
      </c>
      <c r="G5869" s="22" t="s">
        <v>402</v>
      </c>
      <c r="H5869" s="22" t="s">
        <v>403</v>
      </c>
      <c r="I5869" s="26">
        <v>43641.6118055556</v>
      </c>
      <c r="J5869" s="28" t="s">
        <v>52</v>
      </c>
      <c r="K5869" s="28" t="s">
        <v>52</v>
      </c>
      <c r="L5869" s="28" t="s">
        <v>52</v>
      </c>
      <c r="M5869" s="28" t="s">
        <v>52</v>
      </c>
      <c r="N5869" s="28" t="s">
        <v>52</v>
      </c>
    </row>
    <row r="5870" spans="1:14" x14ac:dyDescent="0.15">
      <c r="A5870" s="23" t="str">
        <f>HYPERLINK("https://www.spark-marketing.ru/Card/Person/57146", "УПРАВЛЕНИЕ ФСТЭК РОССИИ ПО СИБИРСКОМУ ФЕДЕРАЛЬНОМУ ОКРУГУ")</f>
        <v>УПРАВЛЕНИЕ ФСТЭК РОССИИ ПО СИБИРСКОМУ ФЕДЕРАЛЬНОМУ ОКРУГУ</v>
      </c>
      <c r="B5870" s="24" t="s">
        <v>7590</v>
      </c>
      <c r="C5870" s="25">
        <v>812715.31</v>
      </c>
      <c r="D5870" s="22" t="s">
        <v>7591</v>
      </c>
      <c r="E5870" s="22" t="s">
        <v>68</v>
      </c>
      <c r="F5870" s="23" t="str">
        <f>HYPERLINK("https://www.spark-marketing.ru/Card/Lot/71666600", "Оказание услуг по вооружённой охране, обеспечению пропускного и внутриобъектового режимов, обеспечение контроля за срабатывание средств тревожной сигнализации в зданиях Управления")</f>
        <v>Оказание услуг по вооружённой охране, обеспечению пропускного и внутриобъектового режимов, обеспечение контроля за срабатывание средств тревожной сигнализации в зданиях Управления</v>
      </c>
      <c r="G5870" s="22" t="s">
        <v>209</v>
      </c>
      <c r="H5870" s="22" t="s">
        <v>210</v>
      </c>
      <c r="I5870" s="26">
        <v>43641.586111111101</v>
      </c>
      <c r="J5870" s="23" t="str">
        <f>HYPERLINK("https://www.spark-marketing.ru/Card/Person/1884681", "ФИЛИАЛ ФГУП ""ОХРАНА"" РОСГВАРДИИ ПО НОВОСИБИРСКОЙ ОБЛАСТИ")</f>
        <v>ФИЛИАЛ ФГУП "ОХРАНА" РОСГВАРДИИ ПО НОВОСИБИРСКОЙ ОБЛАСТИ</v>
      </c>
      <c r="K5870" s="24" t="s">
        <v>779</v>
      </c>
      <c r="L5870" s="22" t="s">
        <v>10</v>
      </c>
      <c r="M5870" s="28" t="s">
        <v>52</v>
      </c>
      <c r="N5870" s="28" t="s">
        <v>52</v>
      </c>
    </row>
    <row r="5871" spans="1:14" x14ac:dyDescent="0.15">
      <c r="A5871" s="23" t="str">
        <f>HYPERLINK("https://www.spark-marketing.ru/Card/Person/264451", "ЦЕНТР СПЕЦИАЛЬНОЙ СВЯЗИ И ИНФОРМАЦИИ ФЕДЕРАЛЬНОЙ СЛУЖБЫ ОХРАНЫ РОССИЙСКОЙ ФЕДЕРАЦИИ В АМУРСКОЙ ОБЛАСТИ")</f>
        <v>ЦЕНТР СПЕЦИАЛЬНОЙ СВЯЗИ И ИНФОРМАЦИИ ФЕДЕРАЛЬНОЙ СЛУЖБЫ ОХРАНЫ РОССИЙСКОЙ ФЕДЕРАЦИИ В АМУРСКОЙ ОБЛАСТИ</v>
      </c>
      <c r="B5871" s="24" t="s">
        <v>7592</v>
      </c>
      <c r="C5871" s="25">
        <v>157684.32</v>
      </c>
      <c r="D5871" s="22" t="s">
        <v>7593</v>
      </c>
      <c r="E5871" s="22" t="s">
        <v>68</v>
      </c>
      <c r="F5871" s="23" t="str">
        <f>HYPERLINK("https://www.spark-marketing.ru/Card/Lot/71642644", "Услуги вневедомственной охраны.")</f>
        <v>Услуги вневедомственной охраны.</v>
      </c>
      <c r="G5871" s="22" t="s">
        <v>230</v>
      </c>
      <c r="H5871" s="22" t="s">
        <v>231</v>
      </c>
      <c r="I5871" s="26">
        <v>43641.596527777801</v>
      </c>
      <c r="J5871" s="28" t="s">
        <v>52</v>
      </c>
      <c r="K5871" s="28" t="s">
        <v>52</v>
      </c>
      <c r="L5871" s="28" t="s">
        <v>52</v>
      </c>
      <c r="M5871" s="28" t="s">
        <v>52</v>
      </c>
      <c r="N5871" s="28" t="s">
        <v>52</v>
      </c>
    </row>
    <row r="5872" spans="1:14" x14ac:dyDescent="0.15">
      <c r="A5872" s="23" t="str">
        <f>HYPERLINK("https://www.spark-marketing.ru/Card/Person/134346", "ГОБПОУ ""ЛПТ""")</f>
        <v>ГОБПОУ "ЛПТ"</v>
      </c>
      <c r="B5872" s="24" t="s">
        <v>7594</v>
      </c>
      <c r="C5872" s="25">
        <v>290000</v>
      </c>
      <c r="D5872" s="22" t="s">
        <v>7595</v>
      </c>
      <c r="E5872" s="22" t="s">
        <v>68</v>
      </c>
      <c r="F5872" s="23" t="str">
        <f>HYPERLINK("https://www.spark-marketing.ru/Card/Lot/71662329", "Услуги охраны")</f>
        <v>Услуги охраны</v>
      </c>
      <c r="G5872" s="22" t="s">
        <v>629</v>
      </c>
      <c r="H5872" s="22" t="s">
        <v>629</v>
      </c>
      <c r="I5872" s="26">
        <v>43641.604166666701</v>
      </c>
      <c r="J5872" s="28" t="s">
        <v>52</v>
      </c>
      <c r="K5872" s="28" t="s">
        <v>52</v>
      </c>
      <c r="L5872" s="28" t="s">
        <v>52</v>
      </c>
      <c r="M5872" s="28" t="s">
        <v>52</v>
      </c>
      <c r="N5872" s="28" t="s">
        <v>52</v>
      </c>
    </row>
    <row r="5873" spans="1:14" ht="12.75" hidden="1" outlineLevel="1" x14ac:dyDescent="0.2">
      <c r="A5873" s="23" t="str">
        <f>HYPERLINK("https://www.spark-marketing.ru/Card/Person/134346", "ГОБПОУ ""ЛПТ""")</f>
        <v>ГОБПОУ "ЛПТ"</v>
      </c>
      <c r="B5873" s="24" t="s">
        <v>7594</v>
      </c>
      <c r="C5873" s="25">
        <v>290000</v>
      </c>
      <c r="D5873" s="22" t="s">
        <v>7595</v>
      </c>
      <c r="E5873" s="22" t="s">
        <v>68</v>
      </c>
      <c r="F5873" s="23" t="str">
        <f>HYPERLINK("https://www.spark-marketing.ru/Card/Lot/71662329", "Услуги охраны")</f>
        <v>Услуги охраны</v>
      </c>
      <c r="G5873" s="22" t="s">
        <v>629</v>
      </c>
      <c r="H5873" s="22" t="s">
        <v>629</v>
      </c>
      <c r="I5873" s="26">
        <v>43641.604166666701</v>
      </c>
      <c r="J5873" s="23" t="str">
        <f>HYPERLINK("https://www.spark-marketing.ru/Card/Person/2582524", "ООО ЧОО ""СПАРТА""")</f>
        <v>ООО ЧОО "СПАРТА"</v>
      </c>
      <c r="K5873" s="24" t="s">
        <v>7596</v>
      </c>
      <c r="L5873" s="22" t="s">
        <v>10</v>
      </c>
      <c r="M5873" s="25">
        <v>218950</v>
      </c>
      <c r="N5873" s="27">
        <v>0.245</v>
      </c>
    </row>
    <row r="5874" spans="1:14" hidden="1" outlineLevel="1" x14ac:dyDescent="0.2">
      <c r="A5874" s="23" t="str">
        <f>HYPERLINK("https://www.spark-marketing.ru/Card/Person/134346", "ГОБПОУ ""ЛПТ""")</f>
        <v>ГОБПОУ "ЛПТ"</v>
      </c>
      <c r="B5874" s="24" t="s">
        <v>7594</v>
      </c>
      <c r="C5874" s="25">
        <v>290000</v>
      </c>
      <c r="D5874" s="22" t="s">
        <v>7595</v>
      </c>
      <c r="E5874" s="22" t="s">
        <v>68</v>
      </c>
      <c r="F5874" s="23" t="str">
        <f>HYPERLINK("https://www.spark-marketing.ru/Card/Lot/71662329", "Услуги охраны")</f>
        <v>Услуги охраны</v>
      </c>
      <c r="G5874" s="22" t="s">
        <v>629</v>
      </c>
      <c r="H5874" s="22" t="s">
        <v>629</v>
      </c>
      <c r="I5874" s="26">
        <v>43641.604166666701</v>
      </c>
      <c r="J5874" s="23" t="str">
        <f>HYPERLINK("https://www.spark-marketing.ru/Card/Person/6501546", "ООО ЧОО ""ЩИТ-ГАРАНТ""")</f>
        <v>ООО ЧОО "ЩИТ-ГАРАНТ"</v>
      </c>
      <c r="K5874" s="24" t="s">
        <v>4105</v>
      </c>
      <c r="L5874" s="28" t="s">
        <v>52</v>
      </c>
      <c r="M5874" s="25">
        <v>220400</v>
      </c>
      <c r="N5874" s="27">
        <v>0.24</v>
      </c>
    </row>
    <row r="5875" spans="1:14" x14ac:dyDescent="0.15">
      <c r="A5875" s="23" t="str">
        <f>HYPERLINK("https://www.spark-marketing.ru/Card/Person/10203", "ГОСУДАРСТВЕННЫЙ УНИВЕРСИТЕТ ""ДУБНА""")</f>
        <v>ГОСУДАРСТВЕННЫЙ УНИВЕРСИТЕТ "ДУБНА"</v>
      </c>
      <c r="B5875" s="24" t="s">
        <v>2010</v>
      </c>
      <c r="C5875" s="25">
        <v>21497.38</v>
      </c>
      <c r="D5875" s="22" t="s">
        <v>7597</v>
      </c>
      <c r="E5875" s="22" t="s">
        <v>59</v>
      </c>
      <c r="F5875" s="23" t="str">
        <f>HYPERLINK("https://www.spark-marketing.ru/Card/Lot/71653341", "Установка технических средств тревожной сигнализации в спорткомплексе ""Олимп"" университета ""Дубна""")</f>
        <v>Установка технических средств тревожной сигнализации в спорткомплексе "Олимп" университета "Дубна"</v>
      </c>
      <c r="G5875" s="22" t="s">
        <v>50</v>
      </c>
      <c r="H5875" s="22" t="s">
        <v>2012</v>
      </c>
      <c r="I5875" s="26">
        <v>43641.597280092603</v>
      </c>
      <c r="J5875" s="28" t="s">
        <v>52</v>
      </c>
      <c r="K5875" s="28" t="s">
        <v>52</v>
      </c>
      <c r="L5875" s="28" t="s">
        <v>52</v>
      </c>
      <c r="M5875" s="28" t="s">
        <v>52</v>
      </c>
      <c r="N5875" s="28" t="s">
        <v>52</v>
      </c>
    </row>
    <row r="5876" spans="1:14" x14ac:dyDescent="0.15">
      <c r="A5876" s="23" t="str">
        <f>HYPERLINK("https://www.spark-marketing.ru/Card/Person/108672", "МКОУ ""ШАХОВСКАЯ ШКОЛА-ИНТЕРНАТ""")</f>
        <v>МКОУ "ШАХОВСКАЯ ШКОЛА-ИНТЕРНАТ"</v>
      </c>
      <c r="B5876" s="24" t="s">
        <v>7598</v>
      </c>
      <c r="C5876" s="25">
        <v>42000</v>
      </c>
      <c r="D5876" s="22" t="s">
        <v>7599</v>
      </c>
      <c r="E5876" s="22" t="s">
        <v>103</v>
      </c>
      <c r="F5876" s="23" t="str">
        <f>HYPERLINK("https://www.spark-marketing.ru/Card/Lot/71651431", "Оказание услуг по эксплуатационно-техническому обслуживанию и восстановлению работоспособности АПК ""Безопасный регион""")</f>
        <v>Оказание услуг по эксплуатационно-техническому обслуживанию и восстановлению работоспособности АПК "Безопасный регион"</v>
      </c>
      <c r="G5876" s="22" t="s">
        <v>50</v>
      </c>
      <c r="H5876" s="22" t="s">
        <v>1172</v>
      </c>
      <c r="I5876" s="26">
        <v>43641.545127314799</v>
      </c>
      <c r="J5876" s="28" t="s">
        <v>52</v>
      </c>
      <c r="K5876" s="28" t="s">
        <v>52</v>
      </c>
      <c r="L5876" s="28" t="s">
        <v>52</v>
      </c>
      <c r="M5876" s="28" t="s">
        <v>52</v>
      </c>
      <c r="N5876" s="28" t="s">
        <v>52</v>
      </c>
    </row>
    <row r="5877" spans="1:14" x14ac:dyDescent="0.15">
      <c r="A5877" s="23" t="str">
        <f>HYPERLINK("https://www.spark-marketing.ru/Card/Person/409233", "ОМВД РОССИИ ПО ШЕРБАКУЛЬСКОМУ РАЙОНУ")</f>
        <v>ОМВД РОССИИ ПО ШЕРБАКУЛЬСКОМУ РАЙОНУ</v>
      </c>
      <c r="B5877" s="24" t="s">
        <v>3443</v>
      </c>
      <c r="C5877" s="25">
        <v>7000</v>
      </c>
      <c r="D5877" s="22" t="s">
        <v>7600</v>
      </c>
      <c r="E5877" s="22" t="s">
        <v>208</v>
      </c>
      <c r="F5877" s="23" t="str">
        <f>HYPERLINK("https://www.spark-marketing.ru/Card/Lot/71648991", "Охранная сигнализация в комплекте с установкой, 1 шт")</f>
        <v>Охранная сигнализация в комплекте с установкой, 1 шт</v>
      </c>
      <c r="G5877" s="22" t="s">
        <v>521</v>
      </c>
      <c r="H5877" s="22" t="s">
        <v>7601</v>
      </c>
      <c r="I5877" s="26">
        <v>43641.532268518502</v>
      </c>
      <c r="J5877" s="28" t="s">
        <v>52</v>
      </c>
      <c r="K5877" s="28" t="s">
        <v>52</v>
      </c>
      <c r="L5877" s="28" t="s">
        <v>52</v>
      </c>
      <c r="M5877" s="28" t="s">
        <v>52</v>
      </c>
      <c r="N5877" s="28" t="s">
        <v>52</v>
      </c>
    </row>
    <row r="5878" spans="1:14" x14ac:dyDescent="0.15">
      <c r="A5878" s="23" t="str">
        <f>HYPERLINK("https://www.spark-marketing.ru/Card/Person/45862", "ОМВД РОССИИ ПО ПЕЧЕНГСКОМУ РАЙОНУ")</f>
        <v>ОМВД РОССИИ ПО ПЕЧЕНГСКОМУ РАЙОНУ</v>
      </c>
      <c r="B5878" s="24" t="s">
        <v>7488</v>
      </c>
      <c r="C5878" s="25">
        <v>93000</v>
      </c>
      <c r="D5878" s="22" t="s">
        <v>7602</v>
      </c>
      <c r="E5878" s="22" t="s">
        <v>84</v>
      </c>
      <c r="F5878" s="23" t="str">
        <f>HYPERLINK("https://www.spark-marketing.ru/Card/Lot/71648222", "Монтаж, установка, модернизация систем видеонаблюдения, 1 шт")</f>
        <v>Монтаж, установка, модернизация систем видеонаблюдения, 1 шт</v>
      </c>
      <c r="G5878" s="22" t="s">
        <v>190</v>
      </c>
      <c r="H5878" s="22" t="s">
        <v>7490</v>
      </c>
      <c r="I5878" s="26">
        <v>43641.540115740703</v>
      </c>
      <c r="J5878" s="28" t="s">
        <v>52</v>
      </c>
      <c r="K5878" s="28" t="s">
        <v>52</v>
      </c>
      <c r="L5878" s="28" t="s">
        <v>52</v>
      </c>
      <c r="M5878" s="28" t="s">
        <v>52</v>
      </c>
      <c r="N5878" s="28" t="s">
        <v>52</v>
      </c>
    </row>
    <row r="5879" spans="1:14" x14ac:dyDescent="0.15">
      <c r="A5879" s="23" t="str">
        <f>HYPERLINK("https://www.spark-marketing.ru/Card/Person/1084367", "МКУ ДО ""УБИНСКАЯ ДЮСШ""")</f>
        <v>МКУ ДО "УБИНСКАЯ ДЮСШ"</v>
      </c>
      <c r="B5879" s="24" t="s">
        <v>7603</v>
      </c>
      <c r="C5879" s="25">
        <v>139992</v>
      </c>
      <c r="D5879" s="22" t="s">
        <v>7604</v>
      </c>
      <c r="E5879" s="22" t="s">
        <v>59</v>
      </c>
      <c r="F5879" s="23" t="str">
        <f>HYPERLINK("https://www.spark-marketing.ru/Card/Lot/71646694", "Выполнение работ по установке ТСВ Лыжная база.")</f>
        <v>Выполнение работ по установке ТСВ Лыжная база.</v>
      </c>
      <c r="G5879" s="22" t="s">
        <v>209</v>
      </c>
      <c r="H5879" s="22" t="s">
        <v>7605</v>
      </c>
      <c r="I5879" s="26">
        <v>43641.502777777801</v>
      </c>
      <c r="J5879" s="28" t="s">
        <v>52</v>
      </c>
      <c r="K5879" s="28" t="s">
        <v>52</v>
      </c>
      <c r="L5879" s="28" t="s">
        <v>52</v>
      </c>
      <c r="M5879" s="28" t="s">
        <v>52</v>
      </c>
      <c r="N5879" s="28" t="s">
        <v>52</v>
      </c>
    </row>
    <row r="5880" spans="1:14" x14ac:dyDescent="0.15">
      <c r="A5880" s="23" t="str">
        <f>HYPERLINK("https://www.spark-marketing.ru/Card/Person/57317", "УСД В ТАМБОВСКОЙ ОБЛАСТИ")</f>
        <v>УСД В ТАМБОВСКОЙ ОБЛАСТИ</v>
      </c>
      <c r="B5880" s="24" t="s">
        <v>3073</v>
      </c>
      <c r="C5880" s="25">
        <v>228684.96</v>
      </c>
      <c r="D5880" s="22" t="s">
        <v>7606</v>
      </c>
      <c r="E5880" s="22" t="s">
        <v>68</v>
      </c>
      <c r="F5880" s="23" t="str">
        <f>HYPERLINK("https://www.spark-marketing.ru/Card/Lot/71661300", "Оказание услуг по осуществлению в установленном порядке приема под централизованное наблюдение (АПЦН) зданий районных судов Тамбовской области.")</f>
        <v>Оказание услуг по осуществлению в установленном порядке приема под централизованное наблюдение (АПЦН) зданий районных судов Тамбовской области.</v>
      </c>
      <c r="G5880" s="22" t="s">
        <v>1319</v>
      </c>
      <c r="H5880" s="22" t="s">
        <v>1319</v>
      </c>
      <c r="I5880" s="26">
        <v>43641.504861111098</v>
      </c>
      <c r="J5880" s="28" t="s">
        <v>52</v>
      </c>
      <c r="K5880" s="28" t="s">
        <v>52</v>
      </c>
      <c r="L5880" s="28" t="s">
        <v>52</v>
      </c>
      <c r="M5880" s="28" t="s">
        <v>52</v>
      </c>
      <c r="N5880" s="28" t="s">
        <v>52</v>
      </c>
    </row>
    <row r="5881" spans="1:14" x14ac:dyDescent="0.15">
      <c r="A5881" s="23" t="str">
        <f>HYPERLINK("https://www.spark-marketing.ru/Card/Person/645599", "ОМВД РОССИИ ПО УСТЬ-АБАКАНСКОМУ РАЙОНУ")</f>
        <v>ОМВД РОССИИ ПО УСТЬ-АБАКАНСКОМУ РАЙОНУ</v>
      </c>
      <c r="B5881" s="24" t="s">
        <v>7405</v>
      </c>
      <c r="C5881" s="25">
        <v>40000</v>
      </c>
      <c r="D5881" s="22" t="s">
        <v>7607</v>
      </c>
      <c r="E5881" s="22" t="s">
        <v>84</v>
      </c>
      <c r="F5881" s="23" t="str">
        <f>HYPERLINK("https://www.spark-marketing.ru/Card/Lot/71647013", "Монтаж, установка, сборка систем видеонаблюдения, 1 шт")</f>
        <v>Монтаж, установка, сборка систем видеонаблюдения, 1 шт</v>
      </c>
      <c r="G5881" s="22" t="s">
        <v>1041</v>
      </c>
      <c r="H5881" s="22" t="s">
        <v>7608</v>
      </c>
      <c r="I5881" s="26">
        <v>43641.503622685203</v>
      </c>
      <c r="J5881" s="28" t="s">
        <v>52</v>
      </c>
      <c r="K5881" s="28" t="s">
        <v>52</v>
      </c>
      <c r="L5881" s="28" t="s">
        <v>52</v>
      </c>
      <c r="M5881" s="28" t="s">
        <v>52</v>
      </c>
      <c r="N5881" s="28" t="s">
        <v>52</v>
      </c>
    </row>
    <row r="5882" spans="1:14" x14ac:dyDescent="0.15">
      <c r="A5882" s="23" t="str">
        <f>HYPERLINK("https://www.spark-marketing.ru/Card/Person/645599", "ОМВД РОССИИ ПО УСТЬ-АБАКАНСКОМУ РАЙОНУ")</f>
        <v>ОМВД РОССИИ ПО УСТЬ-АБАКАНСКОМУ РАЙОНУ</v>
      </c>
      <c r="B5882" s="24" t="s">
        <v>7405</v>
      </c>
      <c r="C5882" s="25">
        <v>40000</v>
      </c>
      <c r="D5882" s="22" t="s">
        <v>7609</v>
      </c>
      <c r="E5882" s="22" t="s">
        <v>84</v>
      </c>
      <c r="F5882" s="23" t="str">
        <f>HYPERLINK("https://www.spark-marketing.ru/Card/Lot/71647249", "Монтаж, установка, сборка видеонаблюдения, 1 шт")</f>
        <v>Монтаж, установка, сборка видеонаблюдения, 1 шт</v>
      </c>
      <c r="G5882" s="22" t="s">
        <v>1041</v>
      </c>
      <c r="H5882" s="22" t="s">
        <v>7608</v>
      </c>
      <c r="I5882" s="26">
        <v>43641.517997685201</v>
      </c>
      <c r="J5882" s="28" t="s">
        <v>52</v>
      </c>
      <c r="K5882" s="28" t="s">
        <v>52</v>
      </c>
      <c r="L5882" s="28" t="s">
        <v>52</v>
      </c>
      <c r="M5882" s="28" t="s">
        <v>52</v>
      </c>
      <c r="N5882" s="28" t="s">
        <v>52</v>
      </c>
    </row>
    <row r="5883" spans="1:14" x14ac:dyDescent="0.15">
      <c r="A5883" s="23" t="str">
        <f>HYPERLINK("https://www.spark-marketing.ru/Card/Person/45862", "ОМВД РОССИИ ПО ПЕЧЕНГСКОМУ РАЙОНУ")</f>
        <v>ОМВД РОССИИ ПО ПЕЧЕНГСКОМУ РАЙОНУ</v>
      </c>
      <c r="B5883" s="24" t="s">
        <v>7488</v>
      </c>
      <c r="C5883" s="25">
        <v>97800</v>
      </c>
      <c r="D5883" s="22" t="s">
        <v>7610</v>
      </c>
      <c r="E5883" s="22" t="s">
        <v>84</v>
      </c>
      <c r="F5883" s="23" t="str">
        <f>HYPERLINK("https://www.spark-marketing.ru/Card/Lot/71648216", "Монтаж, установка, модернизация систем видеонаблюдения, 1 шт")</f>
        <v>Монтаж, установка, модернизация систем видеонаблюдения, 1 шт</v>
      </c>
      <c r="G5883" s="22" t="s">
        <v>190</v>
      </c>
      <c r="H5883" s="22" t="s">
        <v>7490</v>
      </c>
      <c r="I5883" s="26">
        <v>43641.537719907399</v>
      </c>
      <c r="J5883" s="28" t="s">
        <v>52</v>
      </c>
      <c r="K5883" s="28" t="s">
        <v>52</v>
      </c>
      <c r="L5883" s="28" t="s">
        <v>52</v>
      </c>
      <c r="M5883" s="28" t="s">
        <v>52</v>
      </c>
      <c r="N5883" s="28" t="s">
        <v>52</v>
      </c>
    </row>
    <row r="5884" spans="1:14" x14ac:dyDescent="0.15">
      <c r="A5884" s="23" t="str">
        <f>HYPERLINK("https://www.spark-marketing.ru/Card/Person/4343715", "РОСРЕЕСТР")</f>
        <v>РОСРЕЕСТР</v>
      </c>
      <c r="B5884" s="24" t="s">
        <v>7611</v>
      </c>
      <c r="C5884" s="25">
        <v>30100</v>
      </c>
      <c r="D5884" s="22" t="s">
        <v>7612</v>
      </c>
      <c r="E5884" s="22" t="s">
        <v>53</v>
      </c>
      <c r="F5884" s="23" t="str">
        <f>HYPERLINK("https://www.spark-marketing.ru/Card/Lot/71643600", "проверка технического состояния транспортных средств на предмет соответствия обязательным требованиям безопасности транспортных средств")</f>
        <v>проверка технического состояния транспортных средств на предмет соответствия обязательным требованиям безопасности транспортных средств</v>
      </c>
      <c r="G5884" s="22" t="s">
        <v>55</v>
      </c>
      <c r="H5884" s="22" t="s">
        <v>55</v>
      </c>
      <c r="I5884" s="26">
        <v>43641.459131944401</v>
      </c>
      <c r="J5884" s="28" t="s">
        <v>52</v>
      </c>
      <c r="K5884" s="28" t="s">
        <v>52</v>
      </c>
      <c r="L5884" s="28" t="s">
        <v>52</v>
      </c>
      <c r="M5884" s="28" t="s">
        <v>52</v>
      </c>
      <c r="N5884" s="28" t="s">
        <v>52</v>
      </c>
    </row>
    <row r="5885" spans="1:14" x14ac:dyDescent="0.15">
      <c r="A5885" s="23" t="str">
        <f>HYPERLINK("https://www.spark-marketing.ru/Card/Person/175573", "ОТДЕЛ МВД РОССИИ ПО БЕЛОРЕЧЕНСКОМУ РАЙОНУ")</f>
        <v>ОТДЕЛ МВД РОССИИ ПО БЕЛОРЕЧЕНСКОМУ РАЙОНУ</v>
      </c>
      <c r="B5885" s="24" t="s">
        <v>130</v>
      </c>
      <c r="C5885" s="25">
        <v>89000</v>
      </c>
      <c r="D5885" s="22" t="s">
        <v>7613</v>
      </c>
      <c r="E5885" s="22" t="s">
        <v>84</v>
      </c>
      <c r="F5885" s="23" t="str">
        <f>HYPERLINK("https://www.spark-marketing.ru/Card/Lot/71646514", "Монтаж, установка, сборка систем охранного видеонаблюдения, 1 шт")</f>
        <v>Монтаж, установка, сборка систем охранного видеонаблюдения, 1 шт</v>
      </c>
      <c r="G5885" s="22" t="s">
        <v>132</v>
      </c>
      <c r="H5885" s="22" t="s">
        <v>133</v>
      </c>
      <c r="I5885" s="26">
        <v>43641.489247685196</v>
      </c>
      <c r="J5885" s="28" t="s">
        <v>52</v>
      </c>
      <c r="K5885" s="28" t="s">
        <v>52</v>
      </c>
      <c r="L5885" s="28" t="s">
        <v>52</v>
      </c>
      <c r="M5885" s="28" t="s">
        <v>52</v>
      </c>
      <c r="N5885" s="28" t="s">
        <v>52</v>
      </c>
    </row>
    <row r="5886" spans="1:14" x14ac:dyDescent="0.15">
      <c r="A5886" s="23" t="str">
        <f>HYPERLINK("https://www.spark-marketing.ru/Card/Person/1010859", "ГБПОУ АО ""КОТЛАССКИЙ ТРАНСПОРТНЫЙ ТЕХНИКУМ""")</f>
        <v>ГБПОУ АО "КОТЛАССКИЙ ТРАНСПОРТНЫЙ ТЕХНИКУМ"</v>
      </c>
      <c r="B5886" s="24" t="s">
        <v>7614</v>
      </c>
      <c r="C5886" s="25">
        <v>700735.26</v>
      </c>
      <c r="D5886" s="22" t="s">
        <v>7615</v>
      </c>
      <c r="E5886" s="22" t="s">
        <v>84</v>
      </c>
      <c r="F5886" s="23" t="str">
        <f>HYPERLINK("https://www.spark-marketing.ru/Card/Lot/71666095", "Монтажные работы по установке систем безопасности (видеонаблюдения) в мастерских, общежитии и прилегающей к ним территории")</f>
        <v>Монтажные работы по установке систем безопасности (видеонаблюдения) в мастерских, общежитии и прилегающей к ним территории</v>
      </c>
      <c r="G5886" s="22" t="s">
        <v>674</v>
      </c>
      <c r="H5886" s="22" t="s">
        <v>674</v>
      </c>
      <c r="I5886" s="26">
        <v>43641.477083333302</v>
      </c>
      <c r="J5886" s="28" t="s">
        <v>52</v>
      </c>
      <c r="K5886" s="28" t="s">
        <v>52</v>
      </c>
      <c r="L5886" s="28" t="s">
        <v>52</v>
      </c>
      <c r="M5886" s="28" t="s">
        <v>52</v>
      </c>
      <c r="N5886" s="28" t="s">
        <v>52</v>
      </c>
    </row>
    <row r="5887" spans="1:14" hidden="1" outlineLevel="1" x14ac:dyDescent="0.2">
      <c r="A5887" s="23" t="str">
        <f>HYPERLINK("https://www.spark-marketing.ru/Card/Person/1010859", "ГБПОУ АО ""КОТЛАССКИЙ ТРАНСПОРТНЫЙ ТЕХНИКУМ""")</f>
        <v>ГБПОУ АО "КОТЛАССКИЙ ТРАНСПОРТНЫЙ ТЕХНИКУМ"</v>
      </c>
      <c r="B5887" s="24" t="s">
        <v>7614</v>
      </c>
      <c r="C5887" s="25">
        <v>700735.26</v>
      </c>
      <c r="D5887" s="22" t="s">
        <v>7615</v>
      </c>
      <c r="E5887" s="22" t="s">
        <v>84</v>
      </c>
      <c r="F5887" s="23" t="str">
        <f>HYPERLINK("https://www.spark-marketing.ru/Card/Lot/71666095", "Монтажные работы по установке систем безопасности (видеонаблюдения) в мастерских, общежитии и прилегающей к ним территории")</f>
        <v>Монтажные работы по установке систем безопасности (видеонаблюдения) в мастерских, общежитии и прилегающей к ним территории</v>
      </c>
      <c r="G5887" s="22" t="s">
        <v>674</v>
      </c>
      <c r="H5887" s="22" t="s">
        <v>674</v>
      </c>
      <c r="I5887" s="26">
        <v>43641.477083333302</v>
      </c>
      <c r="J5887" s="23" t="str">
        <f>HYPERLINK("https://www.spark-marketing.ru/Card/Person/485694", "ООО ""МЕГАТРОН""")</f>
        <v>ООО "МЕГАТРОН"</v>
      </c>
      <c r="K5887" s="24" t="s">
        <v>7616</v>
      </c>
      <c r="L5887" s="28" t="s">
        <v>52</v>
      </c>
      <c r="M5887" s="25">
        <v>686720.54</v>
      </c>
      <c r="N5887" s="27">
        <v>2.0000021120672593E-2</v>
      </c>
    </row>
    <row r="5888" spans="1:14" ht="12.75" hidden="1" outlineLevel="1" x14ac:dyDescent="0.2">
      <c r="A5888" s="23" t="str">
        <f>HYPERLINK("https://www.spark-marketing.ru/Card/Person/1010859", "ГБПОУ АО ""КОТЛАССКИЙ ТРАНСПОРТНЫЙ ТЕХНИКУМ""")</f>
        <v>ГБПОУ АО "КОТЛАССКИЙ ТРАНСПОРТНЫЙ ТЕХНИКУМ"</v>
      </c>
      <c r="B5888" s="24" t="s">
        <v>7614</v>
      </c>
      <c r="C5888" s="25">
        <v>700735.26</v>
      </c>
      <c r="D5888" s="22" t="s">
        <v>7615</v>
      </c>
      <c r="E5888" s="22" t="s">
        <v>84</v>
      </c>
      <c r="F5888" s="23" t="str">
        <f>HYPERLINK("https://www.spark-marketing.ru/Card/Lot/71666095", "Монтажные работы по установке систем безопасности (видеонаблюдения) в мастерских, общежитии и прилегающей к ним территории")</f>
        <v>Монтажные работы по установке систем безопасности (видеонаблюдения) в мастерских, общежитии и прилегающей к ним территории</v>
      </c>
      <c r="G5888" s="22" t="s">
        <v>674</v>
      </c>
      <c r="H5888" s="22" t="s">
        <v>674</v>
      </c>
      <c r="I5888" s="26">
        <v>43641.477083333302</v>
      </c>
      <c r="J5888" s="23" t="str">
        <f>HYPERLINK("https://www.spark-marketing.ru/Card/Person/312534", "ООО ""ЭЛЕКТРООХРАНА""")</f>
        <v>ООО "ЭЛЕКТРООХРАНА"</v>
      </c>
      <c r="K5888" s="24" t="s">
        <v>7617</v>
      </c>
      <c r="L5888" s="22" t="s">
        <v>10</v>
      </c>
      <c r="M5888" s="25">
        <v>437459.52</v>
      </c>
      <c r="N5888" s="27">
        <v>0.37571356120997823</v>
      </c>
    </row>
    <row r="5889" spans="1:14" hidden="1" outlineLevel="1" x14ac:dyDescent="0.2">
      <c r="A5889" s="23" t="str">
        <f>HYPERLINK("https://www.spark-marketing.ru/Card/Person/1010859", "ГБПОУ АО ""КОТЛАССКИЙ ТРАНСПОРТНЫЙ ТЕХНИКУМ""")</f>
        <v>ГБПОУ АО "КОТЛАССКИЙ ТРАНСПОРТНЫЙ ТЕХНИКУМ"</v>
      </c>
      <c r="B5889" s="24" t="s">
        <v>7614</v>
      </c>
      <c r="C5889" s="25">
        <v>700735.26</v>
      </c>
      <c r="D5889" s="22" t="s">
        <v>7615</v>
      </c>
      <c r="E5889" s="22" t="s">
        <v>84</v>
      </c>
      <c r="F5889" s="23" t="str">
        <f>HYPERLINK("https://www.spark-marketing.ru/Card/Lot/71666095", "Монтажные работы по установке систем безопасности (видеонаблюдения) в мастерских, общежитии и прилегающей к ним территории")</f>
        <v>Монтажные работы по установке систем безопасности (видеонаблюдения) в мастерских, общежитии и прилегающей к ним территории</v>
      </c>
      <c r="G5889" s="22" t="s">
        <v>674</v>
      </c>
      <c r="H5889" s="22" t="s">
        <v>674</v>
      </c>
      <c r="I5889" s="26">
        <v>43641.477083333302</v>
      </c>
      <c r="J5889" s="23" t="str">
        <f>HYPERLINK("https://www.spark-marketing.ru/Card/Person/1114856", "ООО ""ДОМОФОН СЕРВИС""")</f>
        <v>ООО "ДОМОФОН СЕРВИС"</v>
      </c>
      <c r="K5889" s="24" t="s">
        <v>2234</v>
      </c>
      <c r="L5889" s="28" t="s">
        <v>52</v>
      </c>
      <c r="M5889" s="25">
        <v>440963.2</v>
      </c>
      <c r="N5889" s="27">
        <v>0.37071355592981009</v>
      </c>
    </row>
    <row r="5890" spans="1:14" x14ac:dyDescent="0.15">
      <c r="A5890" s="23" t="str">
        <f>HYPERLINK("https://www.spark-marketing.ru/Card/Person/949886", "ГБПОУ ЛРМК")</f>
        <v>ГБПОУ ЛРМК</v>
      </c>
      <c r="B5890" s="24" t="s">
        <v>7618</v>
      </c>
      <c r="C5890" s="25">
        <v>240096</v>
      </c>
      <c r="D5890" s="22" t="s">
        <v>7619</v>
      </c>
      <c r="E5890" s="22" t="s">
        <v>144</v>
      </c>
      <c r="F5890" s="23" t="str">
        <f>HYPERLINK("https://www.spark-marketing.ru/Card/Lot/71645852", "Договор на оказание охранных услуг ГБПОУ ЛРМК в сентябре-декабре 2019 года")</f>
        <v>Договор на оказание охранных услуг ГБПОУ ЛРМК в сентябре-декабре 2019 года</v>
      </c>
      <c r="G5890" s="22" t="s">
        <v>258</v>
      </c>
      <c r="H5890" s="22" t="s">
        <v>258</v>
      </c>
      <c r="I5890" s="26">
        <v>43641.472939814797</v>
      </c>
      <c r="J5890" s="28" t="s">
        <v>52</v>
      </c>
      <c r="K5890" s="28" t="s">
        <v>52</v>
      </c>
      <c r="L5890" s="28" t="s">
        <v>52</v>
      </c>
      <c r="M5890" s="28" t="s">
        <v>52</v>
      </c>
      <c r="N5890" s="28" t="s">
        <v>52</v>
      </c>
    </row>
    <row r="5891" spans="1:14" x14ac:dyDescent="0.15">
      <c r="A5891" s="23" t="str">
        <f>HYPERLINK("https://www.spark-marketing.ru/Card/Person/4361105", "АО ""БЭТ""")</f>
        <v>АО "БЭТ"</v>
      </c>
      <c r="B5891" s="24" t="s">
        <v>4253</v>
      </c>
      <c r="C5891" s="28" t="s">
        <v>52</v>
      </c>
      <c r="D5891" s="22" t="s">
        <v>7620</v>
      </c>
      <c r="E5891" s="22" t="s">
        <v>52</v>
      </c>
      <c r="F5891" s="23" t="str">
        <f>HYPERLINK("https://www.spark-marketing.ru/Card/Lot/71652424", "Запрос предложений № 149/ЗПЭ-БЭТ/19 на право заключения договора по охране объектов и имущества Горновского завода спецжелезобетона - филиала АО «БЭТ»")</f>
        <v>Запрос предложений № 149/ЗПЭ-БЭТ/19 на право заключения договора по охране объектов и имущества Горновского завода спецжелезобетона - филиала АО «БЭТ»</v>
      </c>
      <c r="G5891" s="22" t="s">
        <v>55</v>
      </c>
      <c r="H5891" s="22" t="s">
        <v>55</v>
      </c>
      <c r="I5891" s="26">
        <v>43641.476238425901</v>
      </c>
      <c r="J5891" s="28" t="s">
        <v>52</v>
      </c>
      <c r="K5891" s="28" t="s">
        <v>52</v>
      </c>
      <c r="L5891" s="28" t="s">
        <v>52</v>
      </c>
      <c r="M5891" s="28" t="s">
        <v>52</v>
      </c>
      <c r="N5891" s="28" t="s">
        <v>52</v>
      </c>
    </row>
    <row r="5892" spans="1:14" x14ac:dyDescent="0.15">
      <c r="A5892" s="23" t="str">
        <f>HYPERLINK("https://www.spark-marketing.ru/Card/Person/4343928", "ФГБОУ ВО КУБАНСКИЙ ГАУ")</f>
        <v>ФГБОУ ВО КУБАНСКИЙ ГАУ</v>
      </c>
      <c r="B5892" s="24" t="s">
        <v>1428</v>
      </c>
      <c r="C5892" s="25">
        <v>484484</v>
      </c>
      <c r="D5892" s="22" t="s">
        <v>7621</v>
      </c>
      <c r="E5892" s="22" t="s">
        <v>144</v>
      </c>
      <c r="F5892" s="23" t="str">
        <f>HYPERLINK("https://www.spark-marketing.ru/Card/Lot/71646352", "Услуги охранные студенческого городка")</f>
        <v>Услуги охранные студенческого городка</v>
      </c>
      <c r="G5892" s="22" t="s">
        <v>132</v>
      </c>
      <c r="H5892" s="22" t="s">
        <v>132</v>
      </c>
      <c r="I5892" s="26">
        <v>43641.466412037</v>
      </c>
      <c r="J5892" s="28" t="s">
        <v>52</v>
      </c>
      <c r="K5892" s="28" t="s">
        <v>52</v>
      </c>
      <c r="L5892" s="28" t="s">
        <v>52</v>
      </c>
      <c r="M5892" s="28" t="s">
        <v>52</v>
      </c>
      <c r="N5892" s="28" t="s">
        <v>52</v>
      </c>
    </row>
    <row r="5893" spans="1:14" x14ac:dyDescent="0.15">
      <c r="A5893" s="23" t="str">
        <f>HYPERLINK("https://www.spark-marketing.ru/Card/Person/1007000", "ФКОУ СОШ Г. ЧЕХОВ-2 МО")</f>
        <v>ФКОУ СОШ Г. ЧЕХОВ-2 МО</v>
      </c>
      <c r="B5893" s="24" t="s">
        <v>7622</v>
      </c>
      <c r="C5893" s="25">
        <v>399000</v>
      </c>
      <c r="D5893" s="22" t="s">
        <v>7623</v>
      </c>
      <c r="E5893" s="22" t="s">
        <v>84</v>
      </c>
      <c r="F5893" s="23" t="str">
        <f>HYPERLINK("https://www.spark-marketing.ru/Card/Lot/71644216", "Монтаж, установка, сборка видеонаблюдения, 1 шт")</f>
        <v>Монтаж, установка, сборка видеонаблюдения, 1 шт</v>
      </c>
      <c r="G5893" s="22" t="s">
        <v>50</v>
      </c>
      <c r="H5893" s="22" t="s">
        <v>50</v>
      </c>
      <c r="I5893" s="26">
        <v>43641.467361111099</v>
      </c>
      <c r="J5893" s="28" t="s">
        <v>52</v>
      </c>
      <c r="K5893" s="28" t="s">
        <v>52</v>
      </c>
      <c r="L5893" s="28" t="s">
        <v>52</v>
      </c>
      <c r="M5893" s="28" t="s">
        <v>52</v>
      </c>
      <c r="N5893" s="28" t="s">
        <v>52</v>
      </c>
    </row>
    <row r="5894" spans="1:14" x14ac:dyDescent="0.15">
      <c r="A5894" s="23" t="str">
        <f>HYPERLINK("https://www.spark-marketing.ru/Card/Person/4343928", "ФГБОУ ВО КУБАНСКИЙ ГАУ")</f>
        <v>ФГБОУ ВО КУБАНСКИЙ ГАУ</v>
      </c>
      <c r="B5894" s="24" t="s">
        <v>1428</v>
      </c>
      <c r="C5894" s="25">
        <v>613793.76</v>
      </c>
      <c r="D5894" s="22" t="s">
        <v>7624</v>
      </c>
      <c r="E5894" s="22" t="s">
        <v>144</v>
      </c>
      <c r="F5894" s="23" t="str">
        <f>HYPERLINK("https://www.spark-marketing.ru/Card/Lot/71647694", "Услуги охранные")</f>
        <v>Услуги охранные</v>
      </c>
      <c r="G5894" s="22" t="s">
        <v>132</v>
      </c>
      <c r="H5894" s="22" t="s">
        <v>132</v>
      </c>
      <c r="I5894" s="26">
        <v>43641.470590277801</v>
      </c>
      <c r="J5894" s="28" t="s">
        <v>52</v>
      </c>
      <c r="K5894" s="28" t="s">
        <v>52</v>
      </c>
      <c r="L5894" s="28" t="s">
        <v>52</v>
      </c>
      <c r="M5894" s="28" t="s">
        <v>52</v>
      </c>
      <c r="N5894" s="28" t="s">
        <v>52</v>
      </c>
    </row>
    <row r="5895" spans="1:14" x14ac:dyDescent="0.15">
      <c r="A5895" s="23" t="str">
        <f>HYPERLINK("https://www.spark-marketing.ru/Card/Person/6052008", "ООО ""САПЛ-БИЗ""")</f>
        <v>ООО "САПЛ-БИЗ"</v>
      </c>
      <c r="B5895" s="24" t="s">
        <v>3500</v>
      </c>
      <c r="C5895" s="28" t="s">
        <v>52</v>
      </c>
      <c r="D5895" s="22" t="s">
        <v>7625</v>
      </c>
      <c r="E5895" s="22" t="s">
        <v>53</v>
      </c>
      <c r="F5895" s="23" t="str">
        <f>HYPERLINK("https://www.spark-marketing.ru/Card/Lot/71644610", "Предлагаем оказание физической охраной Вашего объекта")</f>
        <v>Предлагаем оказание физической охраной Вашего объекта</v>
      </c>
      <c r="G5895" s="22" t="s">
        <v>150</v>
      </c>
      <c r="H5895" s="22" t="s">
        <v>1656</v>
      </c>
      <c r="I5895" s="26">
        <v>43641.445775462998</v>
      </c>
      <c r="J5895" s="28" t="s">
        <v>52</v>
      </c>
      <c r="K5895" s="28" t="s">
        <v>52</v>
      </c>
      <c r="L5895" s="28" t="s">
        <v>52</v>
      </c>
      <c r="M5895" s="28" t="s">
        <v>52</v>
      </c>
      <c r="N5895" s="28" t="s">
        <v>52</v>
      </c>
    </row>
    <row r="5896" spans="1:14" x14ac:dyDescent="0.15">
      <c r="A5896" s="23" t="str">
        <f>HYPERLINK("https://www.spark-marketing.ru/Card/Person/6579673", "МЕЖРЕГИОНАЛЬНЫЙ ФЛ ФКУ ЦОКР В Г НИЖНЕМ НОВ Г")</f>
        <v>МЕЖРЕГИОНАЛЬНЫЙ ФЛ ФКУ ЦОКР В Г НИЖНЕМ НОВ Г</v>
      </c>
      <c r="B5896" s="24" t="s">
        <v>962</v>
      </c>
      <c r="C5896" s="25">
        <v>99606.06</v>
      </c>
      <c r="D5896" s="22" t="s">
        <v>7626</v>
      </c>
      <c r="E5896" s="22" t="s">
        <v>53</v>
      </c>
      <c r="F5896" s="23" t="str">
        <f>HYPERLINK("https://www.spark-marketing.ru/Card/Lot/71643687", "Оказание охранных услуг зданий, помещений, оборудованных кнопкой экстренного вызова и комплексом технических средств охраны для обеспечения нужд Межрегионального филиала Федерального казенного учреждения «Центр по обеспечению деятельности казначейств...")</f>
        <v>Оказание охранных услуг зданий, помещений, оборудованных кнопкой экстренного вызова и комплексом технических средств охраны для обеспечения нужд Межрегионального филиала Федерального казенного учреждения «Центр по обеспечению деятельности казначейств...</v>
      </c>
      <c r="G5896" s="22" t="s">
        <v>155</v>
      </c>
      <c r="H5896" s="22" t="s">
        <v>156</v>
      </c>
      <c r="I5896" s="26">
        <v>43641.4390740741</v>
      </c>
      <c r="J5896" s="28" t="s">
        <v>52</v>
      </c>
      <c r="K5896" s="28" t="s">
        <v>52</v>
      </c>
      <c r="L5896" s="28" t="s">
        <v>52</v>
      </c>
      <c r="M5896" s="28" t="s">
        <v>52</v>
      </c>
      <c r="N5896" s="28" t="s">
        <v>52</v>
      </c>
    </row>
    <row r="5897" spans="1:14" x14ac:dyDescent="0.15">
      <c r="A5897" s="23" t="str">
        <f>HYPERLINK("https://www.spark-marketing.ru/Card/Person/1678692", "ФГУП ""НО РАО""")</f>
        <v>ФГУП "НО РАО"</v>
      </c>
      <c r="B5897" s="24" t="s">
        <v>2366</v>
      </c>
      <c r="C5897" s="25">
        <v>0</v>
      </c>
      <c r="D5897" s="22" t="s">
        <v>7627</v>
      </c>
      <c r="E5897" s="22" t="s">
        <v>53</v>
      </c>
      <c r="F5897" s="23" t="str">
        <f>HYPERLINK("https://www.spark-marketing.ru/Card/Lot/71672455", "мониторинг цен в электронной форме на Оборудование для осуществления строительного контроля и технического сопровождения объектов строительства")</f>
        <v>мониторинг цен в электронной форме на Оборудование для осуществления строительного контроля и технического сопровождения объектов строительства</v>
      </c>
      <c r="G5897" s="22" t="s">
        <v>55</v>
      </c>
      <c r="H5897" s="22" t="s">
        <v>55</v>
      </c>
      <c r="I5897" s="26">
        <v>43641.456111111103</v>
      </c>
      <c r="J5897" s="28" t="s">
        <v>52</v>
      </c>
      <c r="K5897" s="28" t="s">
        <v>52</v>
      </c>
      <c r="L5897" s="28" t="s">
        <v>52</v>
      </c>
      <c r="M5897" s="28" t="s">
        <v>52</v>
      </c>
      <c r="N5897" s="28" t="s">
        <v>52</v>
      </c>
    </row>
    <row r="5898" spans="1:14" x14ac:dyDescent="0.15">
      <c r="A5898" s="23" t="str">
        <f>HYPERLINK("https://www.spark-marketing.ru/Card/Person/4343928", "ФГБОУ ВО КУБАНСКИЙ ГАУ")</f>
        <v>ФГБОУ ВО КУБАНСКИЙ ГАУ</v>
      </c>
      <c r="B5898" s="24" t="s">
        <v>1428</v>
      </c>
      <c r="C5898" s="25">
        <v>332508</v>
      </c>
      <c r="D5898" s="22" t="s">
        <v>7628</v>
      </c>
      <c r="E5898" s="22" t="s">
        <v>144</v>
      </c>
      <c r="F5898" s="23" t="str">
        <f>HYPERLINK("https://www.spark-marketing.ru/Card/Lot/71645704", "Услуги охранные учебных корпусов")</f>
        <v>Услуги охранные учебных корпусов</v>
      </c>
      <c r="G5898" s="22" t="s">
        <v>132</v>
      </c>
      <c r="H5898" s="22" t="s">
        <v>132</v>
      </c>
      <c r="I5898" s="26">
        <v>43641.458032407398</v>
      </c>
      <c r="J5898" s="28" t="s">
        <v>52</v>
      </c>
      <c r="K5898" s="28" t="s">
        <v>52</v>
      </c>
      <c r="L5898" s="28" t="s">
        <v>52</v>
      </c>
      <c r="M5898" s="28" t="s">
        <v>52</v>
      </c>
      <c r="N5898" s="28" t="s">
        <v>52</v>
      </c>
    </row>
    <row r="5899" spans="1:14" x14ac:dyDescent="0.15">
      <c r="A5899" s="23" t="str">
        <f>HYPERLINK("https://www.spark-marketing.ru/Card/Person/1937", "ГОСКОМПЛЕКС ""ТАРУСА"" ФСО РОССИИ")</f>
        <v>ГОСКОМПЛЕКС "ТАРУСА" ФСО РОССИИ</v>
      </c>
      <c r="B5899" s="24" t="s">
        <v>7629</v>
      </c>
      <c r="C5899" s="25">
        <v>193500</v>
      </c>
      <c r="D5899" s="22" t="s">
        <v>7630</v>
      </c>
      <c r="E5899" s="22" t="s">
        <v>107</v>
      </c>
      <c r="F5899" s="23" t="str">
        <f>HYPERLINK("https://www.spark-marketing.ru/Card/Lot/71660467", "Техническое обслуживание системы видеонаблюдения")</f>
        <v>Техническое обслуживание системы видеонаблюдения</v>
      </c>
      <c r="G5899" s="22" t="s">
        <v>658</v>
      </c>
      <c r="H5899" s="22" t="s">
        <v>7631</v>
      </c>
      <c r="I5899" s="26">
        <v>43641.447916666701</v>
      </c>
      <c r="J5899" s="28" t="s">
        <v>52</v>
      </c>
      <c r="K5899" s="28" t="s">
        <v>52</v>
      </c>
      <c r="L5899" s="28" t="s">
        <v>52</v>
      </c>
      <c r="M5899" s="28" t="s">
        <v>52</v>
      </c>
      <c r="N5899" s="28" t="s">
        <v>52</v>
      </c>
    </row>
    <row r="5900" spans="1:14" hidden="1" outlineLevel="1" x14ac:dyDescent="0.2">
      <c r="A5900" s="23" t="str">
        <f>HYPERLINK("https://www.spark-marketing.ru/Card/Person/1937", "ГОСКОМПЛЕКС ""ТАРУСА"" ФСО РОССИИ")</f>
        <v>ГОСКОМПЛЕКС "ТАРУСА" ФСО РОССИИ</v>
      </c>
      <c r="B5900" s="24" t="s">
        <v>7629</v>
      </c>
      <c r="C5900" s="25">
        <v>193500</v>
      </c>
      <c r="D5900" s="22" t="s">
        <v>7630</v>
      </c>
      <c r="E5900" s="22" t="s">
        <v>107</v>
      </c>
      <c r="F5900" s="23" t="str">
        <f>HYPERLINK("https://www.spark-marketing.ru/Card/Lot/71660467", "Техническое обслуживание системы видеонаблюдения")</f>
        <v>Техническое обслуживание системы видеонаблюдения</v>
      </c>
      <c r="G5900" s="22" t="s">
        <v>658</v>
      </c>
      <c r="H5900" s="22" t="s">
        <v>7631</v>
      </c>
      <c r="I5900" s="26">
        <v>43641.447916666701</v>
      </c>
      <c r="J5900" s="23" t="str">
        <f>HYPERLINK("https://www.spark-marketing.ru/Card/Person/4447475", "ООО ""ТД ОХРАНА-ЦЕНТР""")</f>
        <v>ООО "ТД ОХРАНА-ЦЕНТР"</v>
      </c>
      <c r="K5900" s="24" t="s">
        <v>7632</v>
      </c>
      <c r="L5900" s="28" t="s">
        <v>52</v>
      </c>
      <c r="M5900" s="25">
        <v>102145</v>
      </c>
      <c r="N5900" s="27">
        <v>0.47211886304909562</v>
      </c>
    </row>
    <row r="5901" spans="1:14" hidden="1" outlineLevel="1" x14ac:dyDescent="0.2">
      <c r="A5901" s="23" t="str">
        <f>HYPERLINK("https://www.spark-marketing.ru/Card/Person/1937", "ГОСКОМПЛЕКС ""ТАРУСА"" ФСО РОССИИ")</f>
        <v>ГОСКОМПЛЕКС "ТАРУСА" ФСО РОССИИ</v>
      </c>
      <c r="B5901" s="24" t="s">
        <v>7629</v>
      </c>
      <c r="C5901" s="25">
        <v>193500</v>
      </c>
      <c r="D5901" s="22" t="s">
        <v>7630</v>
      </c>
      <c r="E5901" s="22" t="s">
        <v>107</v>
      </c>
      <c r="F5901" s="23" t="str">
        <f>HYPERLINK("https://www.spark-marketing.ru/Card/Lot/71660467", "Техническое обслуживание системы видеонаблюдения")</f>
        <v>Техническое обслуживание системы видеонаблюдения</v>
      </c>
      <c r="G5901" s="22" t="s">
        <v>658</v>
      </c>
      <c r="H5901" s="22" t="s">
        <v>7631</v>
      </c>
      <c r="I5901" s="26">
        <v>43641.447916666701</v>
      </c>
      <c r="J5901" s="23" t="str">
        <f>HYPERLINK("https://www.spark-marketing.ru/Card/Person/537216", "ООО ""ПТЦ РИОКОР""")</f>
        <v>ООО "ПТЦ РИОКОР"</v>
      </c>
      <c r="K5901" s="24" t="s">
        <v>7633</v>
      </c>
      <c r="L5901" s="28" t="s">
        <v>52</v>
      </c>
      <c r="M5901" s="25">
        <v>186000</v>
      </c>
      <c r="N5901" s="27">
        <v>3.875968992248062E-2</v>
      </c>
    </row>
    <row r="5902" spans="1:14" ht="12.75" hidden="1" outlineLevel="1" x14ac:dyDescent="0.2">
      <c r="A5902" s="23" t="str">
        <f>HYPERLINK("https://www.spark-marketing.ru/Card/Person/1937", "ГОСКОМПЛЕКС ""ТАРУСА"" ФСО РОССИИ")</f>
        <v>ГОСКОМПЛЕКС "ТАРУСА" ФСО РОССИИ</v>
      </c>
      <c r="B5902" s="24" t="s">
        <v>7629</v>
      </c>
      <c r="C5902" s="25">
        <v>193500</v>
      </c>
      <c r="D5902" s="22" t="s">
        <v>7630</v>
      </c>
      <c r="E5902" s="22" t="s">
        <v>107</v>
      </c>
      <c r="F5902" s="23" t="str">
        <f>HYPERLINK("https://www.spark-marketing.ru/Card/Lot/71660467", "Техническое обслуживание системы видеонаблюдения")</f>
        <v>Техническое обслуживание системы видеонаблюдения</v>
      </c>
      <c r="G5902" s="22" t="s">
        <v>658</v>
      </c>
      <c r="H5902" s="22" t="s">
        <v>7631</v>
      </c>
      <c r="I5902" s="26">
        <v>43641.447916666701</v>
      </c>
      <c r="J5902" s="23" t="str">
        <f>HYPERLINK("https://www.spark-marketing.ru/Card/Person/5939022", "ООО ""КАЛИБР СБ""")</f>
        <v>ООО "КАЛИБР СБ"</v>
      </c>
      <c r="K5902" s="24" t="s">
        <v>3529</v>
      </c>
      <c r="L5902" s="22" t="s">
        <v>10</v>
      </c>
      <c r="M5902" s="25">
        <v>101177.5</v>
      </c>
      <c r="N5902" s="27">
        <v>0.47711886304909562</v>
      </c>
    </row>
    <row r="5903" spans="1:14" x14ac:dyDescent="0.15">
      <c r="A5903" s="23" t="str">
        <f>HYPERLINK("https://www.spark-marketing.ru/Card/Person/4346801", "ФГАОУ ВО ""СЕВАСТОПОЛЬСКИЙ ГОСУДАРСТВЕННЫЙ УНИВЕРСИТЕТ""")</f>
        <v>ФГАОУ ВО "СЕВАСТОПОЛЬСКИЙ ГОСУДАРСТВЕННЫЙ УНИВЕРСИТЕТ"</v>
      </c>
      <c r="B5903" s="24" t="s">
        <v>7085</v>
      </c>
      <c r="C5903" s="25">
        <v>682804.46</v>
      </c>
      <c r="D5903" s="22" t="s">
        <v>7634</v>
      </c>
      <c r="E5903" s="22" t="s">
        <v>996</v>
      </c>
      <c r="F5903" s="23" t="str">
        <f>HYPERLINK("https://www.spark-marketing.ru/Card/Lot/71644815", "Выполнение работ по установке (монтажу) системы охранной и тревожной сигнализации в нежилом здании учебного корпуса физвоспитания Севастопольского государственного университета по адресу: г. Севастополь, ул. Университетская, 28 (МСП)")</f>
        <v>Выполнение работ по установке (монтажу) системы охранной и тревожной сигнализации в нежилом здании учебного корпуса физвоспитания Севастопольского государственного университета по адресу: г. Севастополь, ул. Университетская, 28 (МСП)</v>
      </c>
      <c r="G5903" s="22" t="s">
        <v>714</v>
      </c>
      <c r="H5903" s="22" t="s">
        <v>714</v>
      </c>
      <c r="I5903" s="26">
        <v>43641.4441898148</v>
      </c>
      <c r="J5903" s="28" t="s">
        <v>52</v>
      </c>
      <c r="K5903" s="28" t="s">
        <v>52</v>
      </c>
      <c r="L5903" s="28" t="s">
        <v>52</v>
      </c>
      <c r="M5903" s="28" t="s">
        <v>52</v>
      </c>
      <c r="N5903" s="28" t="s">
        <v>52</v>
      </c>
    </row>
    <row r="5904" spans="1:14" x14ac:dyDescent="0.15">
      <c r="A5904" s="23" t="str">
        <f>HYPERLINK("https://www.spark-marketing.ru/Card/Person/1678692", "ФГУП ""НО РАО""")</f>
        <v>ФГУП "НО РАО"</v>
      </c>
      <c r="B5904" s="24" t="s">
        <v>2366</v>
      </c>
      <c r="C5904" s="28" t="s">
        <v>52</v>
      </c>
      <c r="D5904" s="22" t="s">
        <v>7635</v>
      </c>
      <c r="E5904" s="22" t="s">
        <v>508</v>
      </c>
      <c r="F5904" s="23" t="str">
        <f>HYPERLINK("https://www.spark-marketing.ru/Card/Lot/71647426", "Оборудование для осуществления строительного контроля и технического сопровождения объектов строительства")</f>
        <v>Оборудование для осуществления строительного контроля и технического сопровождения объектов строительства</v>
      </c>
      <c r="G5904" s="22" t="s">
        <v>55</v>
      </c>
      <c r="H5904" s="22" t="s">
        <v>55</v>
      </c>
      <c r="I5904" s="26">
        <v>43641.455659722204</v>
      </c>
      <c r="J5904" s="28" t="s">
        <v>52</v>
      </c>
      <c r="K5904" s="28" t="s">
        <v>52</v>
      </c>
      <c r="L5904" s="28" t="s">
        <v>52</v>
      </c>
      <c r="M5904" s="28" t="s">
        <v>52</v>
      </c>
      <c r="N5904" s="28" t="s">
        <v>52</v>
      </c>
    </row>
    <row r="5905" spans="1:14" x14ac:dyDescent="0.15">
      <c r="A5905" s="23" t="str">
        <f>HYPERLINK("https://www.spark-marketing.ru/Card/Person/4352888", "Волгоградский филиал ФКУ ГЦИТОиС ФСИН России")</f>
        <v>Волгоградский филиал ФКУ ГЦИТОиС ФСИН России</v>
      </c>
      <c r="B5905" s="24" t="s">
        <v>7636</v>
      </c>
      <c r="C5905" s="25">
        <v>1500000</v>
      </c>
      <c r="D5905" s="22" t="s">
        <v>7637</v>
      </c>
      <c r="E5905" s="22" t="s">
        <v>208</v>
      </c>
      <c r="F5905" s="23" t="str">
        <f>HYPERLINK("https://www.spark-marketing.ru/Card/Lot/71645012", "Поставка комплекта транспортной инфраструктуры интегрированной системы безопасности")</f>
        <v>Поставка комплекта транспортной инфраструктуры интегрированной системы безопасности</v>
      </c>
      <c r="G5905" s="22" t="s">
        <v>343</v>
      </c>
      <c r="H5905" s="22" t="s">
        <v>343</v>
      </c>
      <c r="I5905" s="26">
        <v>43641.390277777798</v>
      </c>
      <c r="J5905" s="23" t="str">
        <f>HYPERLINK("https://www.spark-marketing.ru/Card/Person/346740", "Душелюбов Владимир Васильевич")</f>
        <v>Душелюбов Владимир Васильевич</v>
      </c>
      <c r="K5905" s="24" t="s">
        <v>7638</v>
      </c>
      <c r="L5905" s="22" t="s">
        <v>10</v>
      </c>
      <c r="M5905" s="28" t="s">
        <v>52</v>
      </c>
      <c r="N5905" s="28" t="s">
        <v>52</v>
      </c>
    </row>
    <row r="5906" spans="1:14" x14ac:dyDescent="0.15">
      <c r="A5906" s="23" t="str">
        <f>HYPERLINK("https://www.spark-marketing.ru/Card/Person/3203", "УПРАВЛЕНИЕ РОССЕЛЬХОЗНАДЗОРА ПО РОСТОВСКОЙ, ВОЛГОГРАДСКОЙ И АСТРАХАНСКОЙ ОБЛАСТЯМ И РЕСПУБЛИКЕ КАЛМЫКИЯ")</f>
        <v>УПРАВЛЕНИЕ РОССЕЛЬХОЗНАДЗОРА ПО РОСТОВСКОЙ, ВОЛГОГРАДСКОЙ И АСТРАХАНСКОЙ ОБЛАСТЯМ И РЕСПУБЛИКЕ КАЛМЫКИЯ</v>
      </c>
      <c r="B5906" s="24" t="s">
        <v>400</v>
      </c>
      <c r="C5906" s="25">
        <v>52317.1</v>
      </c>
      <c r="D5906" s="22" t="s">
        <v>7639</v>
      </c>
      <c r="E5906" s="22" t="s">
        <v>68</v>
      </c>
      <c r="F5906" s="23" t="str">
        <f>HYPERLINK("https://www.spark-marketing.ru/Card/Lot/71650637", "О централизованной охране объекта")</f>
        <v>О централизованной охране объекта</v>
      </c>
      <c r="G5906" s="22" t="s">
        <v>343</v>
      </c>
      <c r="H5906" s="22" t="s">
        <v>7278</v>
      </c>
      <c r="I5906" s="26">
        <v>43641.404861111099</v>
      </c>
      <c r="J5906" s="28" t="s">
        <v>52</v>
      </c>
      <c r="K5906" s="28" t="s">
        <v>52</v>
      </c>
      <c r="L5906" s="28" t="s">
        <v>52</v>
      </c>
      <c r="M5906" s="28" t="s">
        <v>52</v>
      </c>
      <c r="N5906" s="28" t="s">
        <v>52</v>
      </c>
    </row>
    <row r="5907" spans="1:14" x14ac:dyDescent="0.15">
      <c r="A5907" s="23" t="str">
        <f>HYPERLINK("https://www.spark-marketing.ru/Card/Person/2194", "ФБУЗ ""ЦЕНТР ГИГИЕНЫ И ЭПИДЕМИОЛОГИИ В УДМУРТСКОЙ РЕСПУБЛИКЕ""")</f>
        <v>ФБУЗ "ЦЕНТР ГИГИЕНЫ И ЭПИДЕМИОЛОГИИ В УДМУРТСКОЙ РЕСПУБЛИКЕ"</v>
      </c>
      <c r="B5907" s="24" t="s">
        <v>7640</v>
      </c>
      <c r="C5907" s="25">
        <v>255191.65</v>
      </c>
      <c r="D5907" s="22" t="s">
        <v>7641</v>
      </c>
      <c r="E5907" s="22" t="s">
        <v>68</v>
      </c>
      <c r="F5907" s="23" t="str">
        <f>HYPERLINK("https://www.spark-marketing.ru/Card/Lot/71639620", "Услуги охраны зданий и сооружений ЖД")</f>
        <v>Услуги охраны зданий и сооружений ЖД</v>
      </c>
      <c r="G5907" s="22" t="s">
        <v>96</v>
      </c>
      <c r="H5907" s="22" t="s">
        <v>96</v>
      </c>
      <c r="I5907" s="26">
        <v>43641.346527777801</v>
      </c>
      <c r="J5907" s="28" t="s">
        <v>52</v>
      </c>
      <c r="K5907" s="28" t="s">
        <v>52</v>
      </c>
      <c r="L5907" s="28" t="s">
        <v>52</v>
      </c>
      <c r="M5907" s="28" t="s">
        <v>52</v>
      </c>
      <c r="N5907" s="28" t="s">
        <v>52</v>
      </c>
    </row>
    <row r="5908" spans="1:14" x14ac:dyDescent="0.15">
      <c r="A5908" s="23" t="str">
        <f>HYPERLINK("https://www.spark-marketing.ru/Card/Person/2792", "КУ ""ЦЕНТР СОЦИАЛЬНЫХ ВЫПЛАТ ЮГРЫ""")</f>
        <v>КУ "ЦЕНТР СОЦИАЛЬНЫХ ВЫПЛАТ ЮГРЫ"</v>
      </c>
      <c r="B5908" s="24" t="s">
        <v>7642</v>
      </c>
      <c r="C5908" s="28" t="s">
        <v>52</v>
      </c>
      <c r="D5908" s="22" t="s">
        <v>7643</v>
      </c>
      <c r="E5908" s="22" t="s">
        <v>52</v>
      </c>
      <c r="F5908" s="23" t="str">
        <f>HYPERLINK("https://www.spark-marketing.ru/Card/Lot/71639200", "Оказание услуг по проведению проверки технического состояния транспортного средства на предмет соответствия обязательным требованиям безопасности транспортных средств.")</f>
        <v>Оказание услуг по проведению проверки технического состояния транспортного средства на предмет соответствия обязательным требованиям безопасности транспортных средств.</v>
      </c>
      <c r="G5908" s="22" t="s">
        <v>119</v>
      </c>
      <c r="H5908" s="22" t="s">
        <v>2563</v>
      </c>
      <c r="I5908" s="26">
        <v>43641.362500000003</v>
      </c>
      <c r="J5908" s="28" t="s">
        <v>52</v>
      </c>
      <c r="K5908" s="28" t="s">
        <v>52</v>
      </c>
      <c r="L5908" s="28" t="s">
        <v>52</v>
      </c>
      <c r="M5908" s="28" t="s">
        <v>52</v>
      </c>
      <c r="N5908" s="28" t="s">
        <v>52</v>
      </c>
    </row>
    <row r="5909" spans="1:14" x14ac:dyDescent="0.2">
      <c r="A5909" s="23" t="str">
        <f>HYPERLINK("https://www.spark-marketing.ru/Card/Person/4449632", "МОУ ""СОШ № 67"" ГОРОДА МАГНИТОГОРСКА")</f>
        <v>МОУ "СОШ № 67" ГОРОДА МАГНИТОГОРСКА</v>
      </c>
      <c r="B5909" s="24" t="s">
        <v>7644</v>
      </c>
      <c r="C5909" s="25">
        <v>140000</v>
      </c>
      <c r="D5909" s="22" t="s">
        <v>7645</v>
      </c>
      <c r="E5909" s="22" t="s">
        <v>691</v>
      </c>
      <c r="F5909" s="23" t="str">
        <f>HYPERLINK("https://www.spark-marketing.ru/Card/Lot/71637540", "Выполнение работ по установке системы видеонаблюдения")</f>
        <v>Выполнение работ по установке системы видеонаблюдения</v>
      </c>
      <c r="G5909" s="22" t="s">
        <v>60</v>
      </c>
      <c r="H5909" s="22" t="s">
        <v>60</v>
      </c>
      <c r="I5909" s="26">
        <v>43641.296909722201</v>
      </c>
      <c r="J5909" s="28" t="s">
        <v>52</v>
      </c>
      <c r="K5909" s="28" t="s">
        <v>52</v>
      </c>
      <c r="L5909" s="22" t="s">
        <v>10</v>
      </c>
      <c r="M5909" s="25">
        <v>140000</v>
      </c>
      <c r="N5909" s="27">
        <v>0</v>
      </c>
    </row>
    <row r="5910" spans="1:14" x14ac:dyDescent="0.15">
      <c r="A5910" s="23" t="str">
        <f>HYPERLINK("https://www.spark-marketing.ru/Card/Person/6450322", "ЗАКАЗЧИК РП БЕЛАРУСЬ")</f>
        <v>ЗАКАЗЧИК РП БЕЛАРУСЬ</v>
      </c>
      <c r="B5910" s="28" t="s">
        <v>52</v>
      </c>
      <c r="C5910" s="28" t="s">
        <v>52</v>
      </c>
      <c r="D5910" s="22" t="s">
        <v>7646</v>
      </c>
      <c r="E5910" s="22" t="s">
        <v>53</v>
      </c>
      <c r="F5910" s="23" t="str">
        <f>HYPERLINK("https://www.spark-marketing.ru/Card/Lot/71658188", "Услуги по предоставлению, доставке, установке и обеспечению работы видео оборудования торжественного мероприятия 27июля в г .Бресте.")</f>
        <v>Услуги по предоставлению, доставке, установке и обеспечению работы видео оборудования торжественного мероприятия 27июля в г .Бресте.</v>
      </c>
      <c r="G5910" s="22" t="s">
        <v>52</v>
      </c>
      <c r="H5910" s="22" t="s">
        <v>52</v>
      </c>
      <c r="I5910" s="26">
        <v>43641</v>
      </c>
      <c r="J5910" s="28" t="s">
        <v>52</v>
      </c>
      <c r="K5910" s="28" t="s">
        <v>52</v>
      </c>
      <c r="L5910" s="28" t="s">
        <v>52</v>
      </c>
      <c r="M5910" s="28" t="s">
        <v>52</v>
      </c>
      <c r="N5910" s="28" t="s">
        <v>52</v>
      </c>
    </row>
    <row r="5911" spans="1:14" x14ac:dyDescent="0.15">
      <c r="A5911" s="23" t="str">
        <f>HYPERLINK("https://www.spark-marketing.ru/Card/Person/4348435", "ООО ""ТД ПОЛИМЕТАЛЛ""")</f>
        <v>ООО "ТД ПОЛИМЕТАЛЛ"</v>
      </c>
      <c r="B5911" s="24" t="s">
        <v>374</v>
      </c>
      <c r="C5911" s="25">
        <v>0</v>
      </c>
      <c r="D5911" s="22" t="s">
        <v>7647</v>
      </c>
      <c r="E5911" s="22" t="s">
        <v>1244</v>
      </c>
      <c r="F5911" s="23" t="str">
        <f>HYPERLINK("https://www.spark-marketing.ru/Card/Lot/71649839", "Услуги по охране производственных и иных объектов")</f>
        <v>Услуги по охране производственных и иных объектов</v>
      </c>
      <c r="G5911" s="22" t="s">
        <v>138</v>
      </c>
      <c r="H5911" s="22" t="s">
        <v>1245</v>
      </c>
      <c r="I5911" s="26">
        <v>43641.402546296304</v>
      </c>
      <c r="J5911" s="28" t="s">
        <v>52</v>
      </c>
      <c r="K5911" s="28" t="s">
        <v>52</v>
      </c>
      <c r="L5911" s="28" t="s">
        <v>52</v>
      </c>
      <c r="M5911" s="28" t="s">
        <v>52</v>
      </c>
      <c r="N5911" s="28" t="s">
        <v>52</v>
      </c>
    </row>
    <row r="5912" spans="1:14" x14ac:dyDescent="0.15">
      <c r="A5912" s="23" t="str">
        <f>HYPERLINK("https://www.spark-marketing.ru/Card/Person/6450322", "ЗАКАЗЧИК РП БЕЛАРУСЬ")</f>
        <v>ЗАКАЗЧИК РП БЕЛАРУСЬ</v>
      </c>
      <c r="B5912" s="28" t="s">
        <v>52</v>
      </c>
      <c r="C5912" s="28" t="s">
        <v>52</v>
      </c>
      <c r="D5912" s="22" t="s">
        <v>7648</v>
      </c>
      <c r="E5912" s="22" t="s">
        <v>53</v>
      </c>
      <c r="F5912" s="23" t="str">
        <f>HYPERLINK("https://www.spark-marketing.ru/Card/Lot/71658692", "Строительно-монтажные работы по объекту: ""ЭСПЦ-2. Установка дополнительной видеокамеры шлакового проема ДСП-3""")</f>
        <v>Строительно-монтажные работы по объекту: "ЭСПЦ-2. Установка дополнительной видеокамеры шлакового проема ДСП-3"</v>
      </c>
      <c r="G5912" s="22" t="s">
        <v>52</v>
      </c>
      <c r="H5912" s="22" t="s">
        <v>52</v>
      </c>
      <c r="I5912" s="26">
        <v>43641</v>
      </c>
      <c r="J5912" s="28" t="s">
        <v>52</v>
      </c>
      <c r="K5912" s="28" t="s">
        <v>52</v>
      </c>
      <c r="L5912" s="28" t="s">
        <v>52</v>
      </c>
      <c r="M5912" s="28" t="s">
        <v>52</v>
      </c>
      <c r="N5912" s="28" t="s">
        <v>52</v>
      </c>
    </row>
    <row r="5913" spans="1:14" x14ac:dyDescent="0.15">
      <c r="A5913" s="23" t="str">
        <f>HYPERLINK("https://www.spark-marketing.ru/Card/Person/6450322", "ЗАКАЗЧИК РП БЕЛАРУСЬ")</f>
        <v>ЗАКАЗЧИК РП БЕЛАРУСЬ</v>
      </c>
      <c r="B5913" s="28" t="s">
        <v>52</v>
      </c>
      <c r="C5913" s="28" t="s">
        <v>52</v>
      </c>
      <c r="D5913" s="22" t="s">
        <v>7646</v>
      </c>
      <c r="E5913" s="22" t="s">
        <v>53</v>
      </c>
      <c r="F5913" s="23" t="str">
        <f>HYPERLINK("https://www.spark-marketing.ru/Card/Lot/71658186", "Услуги по предоставлению, доставке, установке и обеспечению работы светового оборудования для проведения торжественного мероприятия")</f>
        <v>Услуги по предоставлению, доставке, установке и обеспечению работы светового оборудования для проведения торжественного мероприятия</v>
      </c>
      <c r="G5913" s="22" t="s">
        <v>52</v>
      </c>
      <c r="H5913" s="22" t="s">
        <v>52</v>
      </c>
      <c r="I5913" s="26">
        <v>43641</v>
      </c>
      <c r="J5913" s="28" t="s">
        <v>52</v>
      </c>
      <c r="K5913" s="28" t="s">
        <v>52</v>
      </c>
      <c r="L5913" s="28" t="s">
        <v>52</v>
      </c>
      <c r="M5913" s="28" t="s">
        <v>52</v>
      </c>
      <c r="N5913" s="28" t="s">
        <v>52</v>
      </c>
    </row>
    <row r="5914" spans="1:14" x14ac:dyDescent="0.15">
      <c r="A5914" s="23" t="str">
        <f>HYPERLINK("https://www.spark-marketing.ru/Card/Person/6450322", "ЗАКАЗЧИК РП БЕЛАРУСЬ")</f>
        <v>ЗАКАЗЧИК РП БЕЛАРУСЬ</v>
      </c>
      <c r="B5914" s="28" t="s">
        <v>52</v>
      </c>
      <c r="C5914" s="28" t="s">
        <v>52</v>
      </c>
      <c r="D5914" s="22" t="s">
        <v>7646</v>
      </c>
      <c r="E5914" s="22" t="s">
        <v>53</v>
      </c>
      <c r="F5914" s="23" t="str">
        <f>HYPERLINK("https://www.spark-marketing.ru/Card/Lot/71658187", "Услуги по предоставлению, доставке, установке и обеспечению работы диодных экранов для торжественного мероприятия 27 июля в г .Бресте.")</f>
        <v>Услуги по предоставлению, доставке, установке и обеспечению работы диодных экранов для торжественного мероприятия 27 июля в г .Бресте.</v>
      </c>
      <c r="G5914" s="22" t="s">
        <v>52</v>
      </c>
      <c r="H5914" s="22" t="s">
        <v>52</v>
      </c>
      <c r="I5914" s="26">
        <v>43641</v>
      </c>
      <c r="J5914" s="28" t="s">
        <v>52</v>
      </c>
      <c r="K5914" s="28" t="s">
        <v>52</v>
      </c>
      <c r="L5914" s="28" t="s">
        <v>52</v>
      </c>
      <c r="M5914" s="28" t="s">
        <v>52</v>
      </c>
      <c r="N5914" s="28" t="s">
        <v>52</v>
      </c>
    </row>
    <row r="5915" spans="1:14" x14ac:dyDescent="0.15">
      <c r="A5915" s="23" t="str">
        <f>HYPERLINK("https://www.spark-marketing.ru/Card/Person/245942", "МУДО ""НАХАБИНСКАЯ ШИ""")</f>
        <v>МУДО "НАХАБИНСКАЯ ШИ"</v>
      </c>
      <c r="B5915" s="24" t="s">
        <v>7649</v>
      </c>
      <c r="C5915" s="25">
        <v>150000</v>
      </c>
      <c r="D5915" s="22" t="s">
        <v>7650</v>
      </c>
      <c r="E5915" s="22" t="s">
        <v>84</v>
      </c>
      <c r="F5915" s="23" t="str">
        <f>HYPERLINK("https://www.spark-marketing.ru/Card/Lot/71626015", "Выполнение работ по монтажу и установке системы видеонаблюдения.")</f>
        <v>Выполнение работ по монтажу и установке системы видеонаблюдения.</v>
      </c>
      <c r="G5915" s="22" t="s">
        <v>50</v>
      </c>
      <c r="H5915" s="22" t="s">
        <v>267</v>
      </c>
      <c r="I5915" s="26">
        <v>43640.794606481497</v>
      </c>
      <c r="J5915" s="28" t="s">
        <v>52</v>
      </c>
      <c r="K5915" s="28" t="s">
        <v>52</v>
      </c>
      <c r="L5915" s="28" t="s">
        <v>52</v>
      </c>
      <c r="M5915" s="28" t="s">
        <v>52</v>
      </c>
      <c r="N5915" s="28" t="s">
        <v>52</v>
      </c>
    </row>
    <row r="5916" spans="1:14" x14ac:dyDescent="0.15">
      <c r="A5916" s="23" t="str">
        <f>HYPERLINK("https://www.spark-marketing.ru/Card/Person/37444", "ФКУ ""ГБ МСЭ ПО МОСКОВСКОЙ ОБЛАСТИ"" МИНТРУДА РОССИИ")</f>
        <v>ФКУ "ГБ МСЭ ПО МОСКОВСКОЙ ОБЛАСТИ" МИНТРУДА РОССИИ</v>
      </c>
      <c r="B5916" s="24" t="s">
        <v>7651</v>
      </c>
      <c r="C5916" s="25">
        <v>2537700</v>
      </c>
      <c r="D5916" s="22" t="s">
        <v>7652</v>
      </c>
      <c r="E5916" s="22" t="s">
        <v>59</v>
      </c>
      <c r="F5916" s="23" t="str">
        <f>HYPERLINK("https://www.spark-marketing.ru/Card/Lot/71632655", "Выполнение работ по установке систем аудио-видео фиксации для нужд бюро-филиалов ФКУ ""ГБ МСЭ по Московской области"" Минтруда России")</f>
        <v>Выполнение работ по установке систем аудио-видео фиксации для нужд бюро-филиалов ФКУ "ГБ МСЭ по Московской области" Минтруда России</v>
      </c>
      <c r="G5916" s="22" t="s">
        <v>50</v>
      </c>
      <c r="H5916" s="22" t="s">
        <v>50</v>
      </c>
      <c r="I5916" s="26">
        <v>43640.754699074103</v>
      </c>
      <c r="J5916" s="23" t="str">
        <f>HYPERLINK("https://www.spark-marketing.ru/Card/Person/6623436", "Логинова Алла Александровна")</f>
        <v>Логинова Алла Александровна</v>
      </c>
      <c r="K5916" s="24" t="s">
        <v>7653</v>
      </c>
      <c r="L5916" s="28" t="s">
        <v>52</v>
      </c>
      <c r="M5916" s="28" t="s">
        <v>52</v>
      </c>
      <c r="N5916" s="28" t="s">
        <v>52</v>
      </c>
    </row>
    <row r="5917" spans="1:14" ht="12.75" hidden="1" outlineLevel="1" x14ac:dyDescent="0.2">
      <c r="A5917" s="23" t="str">
        <f>HYPERLINK("https://www.spark-marketing.ru/Card/Person/37444", "ФКУ ""ГБ МСЭ ПО МОСКОВСКОЙ ОБЛАСТИ"" МИНТРУДА РОССИИ")</f>
        <v>ФКУ "ГБ МСЭ ПО МОСКОВСКОЙ ОБЛАСТИ" МИНТРУДА РОССИИ</v>
      </c>
      <c r="B5917" s="24" t="s">
        <v>7651</v>
      </c>
      <c r="C5917" s="25">
        <v>2537700</v>
      </c>
      <c r="D5917" s="22" t="s">
        <v>7652</v>
      </c>
      <c r="E5917" s="22" t="s">
        <v>59</v>
      </c>
      <c r="F5917" s="23" t="str">
        <f>HYPERLINK("https://www.spark-marketing.ru/Card/Lot/71632655", "Выполнение работ по установке систем аудио-видео фиксации для нужд бюро-филиалов ФКУ ""ГБ МСЭ по Московской области"" Минтруда России")</f>
        <v>Выполнение работ по установке систем аудио-видео фиксации для нужд бюро-филиалов ФКУ "ГБ МСЭ по Московской области" Минтруда России</v>
      </c>
      <c r="G5917" s="22" t="s">
        <v>50</v>
      </c>
      <c r="H5917" s="22" t="s">
        <v>50</v>
      </c>
      <c r="I5917" s="26">
        <v>43640.754699074103</v>
      </c>
      <c r="J5917" s="23" t="str">
        <f>HYPERLINK("https://www.spark-marketing.ru/Card/Person/6623436", "Логинова Алла Александровна")</f>
        <v>Логинова Алла Александровна</v>
      </c>
      <c r="K5917" s="24" t="s">
        <v>7653</v>
      </c>
      <c r="L5917" s="22" t="s">
        <v>10</v>
      </c>
      <c r="M5917" s="25">
        <v>2525011</v>
      </c>
      <c r="N5917" s="27">
        <v>5.0001970288056112E-3</v>
      </c>
    </row>
    <row r="5918" spans="1:14" x14ac:dyDescent="0.2">
      <c r="A5918" s="23" t="str">
        <f>HYPERLINK("https://www.spark-marketing.ru/Card/Person/4348513", "ФГУП ""ГВСУ № 4""")</f>
        <v>ФГУП "ГВСУ № 4"</v>
      </c>
      <c r="B5918" s="24" t="s">
        <v>7654</v>
      </c>
      <c r="C5918" s="25">
        <v>78950000</v>
      </c>
      <c r="D5918" s="22" t="s">
        <v>7655</v>
      </c>
      <c r="E5918" s="22" t="s">
        <v>606</v>
      </c>
      <c r="F5918" s="23" t="str">
        <f>HYPERLINK("https://www.spark-marketing.ru/Card/Lot/71623028", "Выполнение строительных работ инженерно-технического заграждения и монтаж, пусконаладочные работы технических средств охраны по объекту.")</f>
        <v>Выполнение строительных работ инженерно-технического заграждения и монтаж, пусконаладочные работы технических средств охраны по объекту.</v>
      </c>
      <c r="G5918" s="22" t="s">
        <v>132</v>
      </c>
      <c r="H5918" s="22" t="s">
        <v>132</v>
      </c>
      <c r="I5918" s="26">
        <v>43640.761087963001</v>
      </c>
      <c r="J5918" s="23" t="str">
        <f>HYPERLINK("https://www.spark-marketing.ru/Card/Person/555317", "ООО ""АРХОНТ""")</f>
        <v>ООО "АРХОНТ"</v>
      </c>
      <c r="K5918" s="24" t="s">
        <v>7656</v>
      </c>
      <c r="L5918" s="28" t="s">
        <v>52</v>
      </c>
      <c r="M5918" s="25">
        <v>78950000</v>
      </c>
      <c r="N5918" s="27">
        <v>0</v>
      </c>
    </row>
    <row r="5919" spans="1:14" x14ac:dyDescent="0.15">
      <c r="A5919" s="23" t="str">
        <f>HYPERLINK("https://www.spark-marketing.ru/Card/Person/2943", "ФКУЗ ""ЦП № 1 МВД РОССИИ""")</f>
        <v>ФКУЗ "ЦП № 1 МВД РОССИИ"</v>
      </c>
      <c r="B5919" s="24" t="s">
        <v>7657</v>
      </c>
      <c r="C5919" s="25">
        <v>10697</v>
      </c>
      <c r="D5919" s="22" t="s">
        <v>7658</v>
      </c>
      <c r="E5919" s="22" t="s">
        <v>103</v>
      </c>
      <c r="F5919" s="23" t="str">
        <f>HYPERLINK("https://www.spark-marketing.ru/Card/Lot/71617950", "Техническое обслуживание сигнализации, 15 усл. ед")</f>
        <v>Техническое обслуживание сигнализации, 15 усл. ед</v>
      </c>
      <c r="G5919" s="22" t="s">
        <v>55</v>
      </c>
      <c r="H5919" s="22" t="s">
        <v>55</v>
      </c>
      <c r="I5919" s="26">
        <v>43640.694155092599</v>
      </c>
      <c r="J5919" s="28" t="s">
        <v>52</v>
      </c>
      <c r="K5919" s="28" t="s">
        <v>52</v>
      </c>
      <c r="L5919" s="28" t="s">
        <v>52</v>
      </c>
      <c r="M5919" s="28" t="s">
        <v>52</v>
      </c>
      <c r="N5919" s="28" t="s">
        <v>52</v>
      </c>
    </row>
    <row r="5920" spans="1:14" x14ac:dyDescent="0.15">
      <c r="A5920" s="23" t="str">
        <f>HYPERLINK("https://www.spark-marketing.ru/Card/Person/3699", "ГБУ ""БДД""")</f>
        <v>ГБУ "БДД"</v>
      </c>
      <c r="B5920" s="24" t="s">
        <v>7659</v>
      </c>
      <c r="C5920" s="25">
        <v>998667</v>
      </c>
      <c r="D5920" s="22" t="s">
        <v>7660</v>
      </c>
      <c r="E5920" s="22" t="s">
        <v>7661</v>
      </c>
      <c r="F5920" s="23" t="str">
        <f>HYPERLINK("https://www.spark-marketing.ru/Card/Lot/71634021", "Оказание услуг по организации ежегодного республиканского конкурса ""Территория закона"" среди предприятий и организаций, учебных заведений и физических лиц, внесших вклад в обеспечение общественного порядка, правовое воспитание подростков и молодежи...")</f>
        <v>Оказание услуг по организации ежегодного республиканского конкурса "Территория закона" среди предприятий и организаций, учебных заведений и физических лиц, внесших вклад в обеспечение общественного порядка, правовое воспитание подростков и молодежи...</v>
      </c>
      <c r="G5920" s="22" t="s">
        <v>204</v>
      </c>
      <c r="H5920" s="22" t="s">
        <v>303</v>
      </c>
      <c r="I5920" s="26">
        <v>43640.702557870398</v>
      </c>
      <c r="J5920" s="28" t="s">
        <v>52</v>
      </c>
      <c r="K5920" s="28" t="s">
        <v>52</v>
      </c>
      <c r="L5920" s="28" t="s">
        <v>52</v>
      </c>
      <c r="M5920" s="28" t="s">
        <v>52</v>
      </c>
      <c r="N5920" s="28" t="s">
        <v>52</v>
      </c>
    </row>
    <row r="5921" spans="1:14" ht="12.75" hidden="1" outlineLevel="1" x14ac:dyDescent="0.2">
      <c r="A5921" s="23" t="str">
        <f>HYPERLINK("https://www.spark-marketing.ru/Card/Person/3699", "ГБУ ""БДД""")</f>
        <v>ГБУ "БДД"</v>
      </c>
      <c r="B5921" s="24" t="s">
        <v>7659</v>
      </c>
      <c r="C5921" s="25">
        <v>998667</v>
      </c>
      <c r="D5921" s="22" t="s">
        <v>7660</v>
      </c>
      <c r="E5921" s="22" t="s">
        <v>7661</v>
      </c>
      <c r="F5921" s="23" t="str">
        <f>HYPERLINK("https://www.spark-marketing.ru/Card/Lot/71634021", "Оказание услуг по организации ежегодного республиканского конкурса ""Территория закона"" среди предприятий и организаций, учебных заведений и физических лиц, внесших вклад в обеспечение общественного порядка, правовое воспитание подростков и молодежи...")</f>
        <v>Оказание услуг по организации ежегодного республиканского конкурса "Территория закона" среди предприятий и организаций, учебных заведений и физических лиц, внесших вклад в обеспечение общественного порядка, правовое воспитание подростков и молодежи...</v>
      </c>
      <c r="G5921" s="22" t="s">
        <v>204</v>
      </c>
      <c r="H5921" s="22" t="s">
        <v>303</v>
      </c>
      <c r="I5921" s="26">
        <v>43640.702557870398</v>
      </c>
      <c r="J5921" s="23" t="str">
        <f>HYPERLINK("https://www.spark-marketing.ru/Card/Person/6625776", "ООО ""ЭМИРТРЕЙД""")</f>
        <v>ООО "ЭМИРТРЕЙД"</v>
      </c>
      <c r="K5921" s="24" t="s">
        <v>7662</v>
      </c>
      <c r="L5921" s="22" t="s">
        <v>10</v>
      </c>
      <c r="M5921" s="25">
        <v>988680.32</v>
      </c>
      <c r="N5921" s="27">
        <v>1.0000010013347792E-2</v>
      </c>
    </row>
    <row r="5922" spans="1:14" hidden="1" outlineLevel="1" x14ac:dyDescent="0.2">
      <c r="A5922" s="23" t="str">
        <f>HYPERLINK("https://www.spark-marketing.ru/Card/Person/3699", "ГБУ ""БДД""")</f>
        <v>ГБУ "БДД"</v>
      </c>
      <c r="B5922" s="24" t="s">
        <v>7659</v>
      </c>
      <c r="C5922" s="25">
        <v>998667</v>
      </c>
      <c r="D5922" s="22" t="s">
        <v>7660</v>
      </c>
      <c r="E5922" s="22" t="s">
        <v>7661</v>
      </c>
      <c r="F5922" s="23" t="str">
        <f>HYPERLINK("https://www.spark-marketing.ru/Card/Lot/71634021", "Оказание услуг по организации ежегодного республиканского конкурса ""Территория закона"" среди предприятий и организаций, учебных заведений и физических лиц, внесших вклад в обеспечение общественного порядка, правовое воспитание подростков и молодежи...")</f>
        <v>Оказание услуг по организации ежегодного республиканского конкурса "Территория закона" среди предприятий и организаций, учебных заведений и физических лиц, внесших вклад в обеспечение общественного порядка, правовое воспитание подростков и молодежи...</v>
      </c>
      <c r="G5922" s="22" t="s">
        <v>204</v>
      </c>
      <c r="H5922" s="22" t="s">
        <v>303</v>
      </c>
      <c r="I5922" s="26">
        <v>43640.702557870398</v>
      </c>
      <c r="J5922" s="23" t="str">
        <f>HYPERLINK("https://www.spark-marketing.ru/Card/Person/5795131", "ООО ""МИЦАРСНАБ""")</f>
        <v>ООО "МИЦАРСНАБ"</v>
      </c>
      <c r="K5922" s="24" t="s">
        <v>7663</v>
      </c>
      <c r="L5922" s="28" t="s">
        <v>52</v>
      </c>
      <c r="M5922" s="25">
        <v>993673.66</v>
      </c>
      <c r="N5922" s="27">
        <v>5.0000050066738959E-3</v>
      </c>
    </row>
    <row r="5923" spans="1:14" x14ac:dyDescent="0.15">
      <c r="A5923" s="23" t="str">
        <f>HYPERLINK("https://www.spark-marketing.ru/Card/Person/113010", "АО ""НИКИМТ-АТОМСТРОЙ""")</f>
        <v>АО "НИКИМТ-АТОМСТРОЙ"</v>
      </c>
      <c r="B5923" s="24" t="s">
        <v>1701</v>
      </c>
      <c r="C5923" s="25">
        <v>0</v>
      </c>
      <c r="D5923" s="22" t="s">
        <v>7664</v>
      </c>
      <c r="E5923" s="22" t="s">
        <v>53</v>
      </c>
      <c r="F5923" s="23" t="str">
        <f>HYPERLINK("https://www.spark-marketing.ru/Card/Lot/71631543", "мониторинг цен в электронной форме на Оказание услуг по охране объектов в обособленном подразделении Дирекция АО «НИКИМТ-Атомстрой» на объектах Курской АЭС-2.")</f>
        <v>мониторинг цен в электронной форме на Оказание услуг по охране объектов в обособленном подразделении Дирекция АО «НИКИМТ-Атомстрой» на объектах Курской АЭС-2.</v>
      </c>
      <c r="G5923" s="22" t="s">
        <v>55</v>
      </c>
      <c r="H5923" s="22" t="s">
        <v>55</v>
      </c>
      <c r="I5923" s="26">
        <v>43640.6272453704</v>
      </c>
      <c r="J5923" s="28" t="s">
        <v>52</v>
      </c>
      <c r="K5923" s="28" t="s">
        <v>52</v>
      </c>
      <c r="L5923" s="28" t="s">
        <v>52</v>
      </c>
      <c r="M5923" s="28" t="s">
        <v>52</v>
      </c>
      <c r="N5923" s="28" t="s">
        <v>52</v>
      </c>
    </row>
    <row r="5924" spans="1:14" x14ac:dyDescent="0.15">
      <c r="A5924" s="23" t="str">
        <f t="shared" ref="A5924:A5930" si="249">HYPERLINK("https://www.spark-marketing.ru/Card/Person/13328", "ФБУ ""АДМИНИСТРАЦИЯ ""ВОЛГО-БАЛТ""")</f>
        <v>ФБУ "АДМИНИСТРАЦИЯ "ВОЛГО-БАЛТ"</v>
      </c>
      <c r="B5924" s="24" t="s">
        <v>2768</v>
      </c>
      <c r="C5924" s="25">
        <v>1820000</v>
      </c>
      <c r="D5924" s="22" t="s">
        <v>7665</v>
      </c>
      <c r="E5924" s="22" t="s">
        <v>487</v>
      </c>
      <c r="F5924" s="23" t="str">
        <f t="shared" ref="F5924:F5930" si="250">HYPERLINK("https://www.spark-marketing.ru/Card/Lot/71633903", "Поставка КПП блок-контейнерного типа для размещения работников подразделений транспортной безопасности, осуществляющих досмотр физических лиц и хранение изъятых предметов и веществ запрещенных для проноса на объекты транспортной инфраструктуры Свирск...")</f>
        <v>Поставка КПП блок-контейнерного типа для размещения работников подразделений транспортной безопасности, осуществляющих досмотр физических лиц и хранение изъятых предметов и веществ запрещенных для проноса на объекты транспортной инфраструктуры Свирск...</v>
      </c>
      <c r="G5924" s="22" t="s">
        <v>861</v>
      </c>
      <c r="H5924" s="22" t="s">
        <v>861</v>
      </c>
      <c r="I5924" s="26">
        <v>43640.639166666697</v>
      </c>
      <c r="J5924" s="28" t="s">
        <v>52</v>
      </c>
      <c r="K5924" s="28" t="s">
        <v>52</v>
      </c>
      <c r="L5924" s="28" t="s">
        <v>52</v>
      </c>
      <c r="M5924" s="28" t="s">
        <v>52</v>
      </c>
      <c r="N5924" s="28" t="s">
        <v>52</v>
      </c>
    </row>
    <row r="5925" spans="1:14" ht="12.75" hidden="1" outlineLevel="1" x14ac:dyDescent="0.2">
      <c r="A5925" s="23" t="str">
        <f t="shared" si="249"/>
        <v>ФБУ "АДМИНИСТРАЦИЯ "ВОЛГО-БАЛТ"</v>
      </c>
      <c r="B5925" s="24" t="s">
        <v>2768</v>
      </c>
      <c r="C5925" s="25">
        <v>1820000</v>
      </c>
      <c r="D5925" s="22" t="s">
        <v>7665</v>
      </c>
      <c r="E5925" s="22" t="s">
        <v>487</v>
      </c>
      <c r="F5925" s="23" t="str">
        <f t="shared" si="250"/>
        <v>Поставка КПП блок-контейнерного типа для размещения работников подразделений транспортной безопасности, осуществляющих досмотр физических лиц и хранение изъятых предметов и веществ запрещенных для проноса на объекты транспортной инфраструктуры Свирск...</v>
      </c>
      <c r="G5925" s="22" t="s">
        <v>861</v>
      </c>
      <c r="H5925" s="22" t="s">
        <v>861</v>
      </c>
      <c r="I5925" s="26">
        <v>43640.639166666697</v>
      </c>
      <c r="J5925" s="23" t="str">
        <f>HYPERLINK("https://www.spark-marketing.ru/Card/Person/2165804", "ООО ""НЗБК""")</f>
        <v>ООО "НЗБК"</v>
      </c>
      <c r="K5925" s="24" t="s">
        <v>7578</v>
      </c>
      <c r="L5925" s="22" t="s">
        <v>10</v>
      </c>
      <c r="M5925" s="25">
        <v>1296737.97</v>
      </c>
      <c r="N5925" s="27">
        <v>0.2875066098901099</v>
      </c>
    </row>
    <row r="5926" spans="1:14" hidden="1" outlineLevel="1" x14ac:dyDescent="0.2">
      <c r="A5926" s="23" t="str">
        <f t="shared" si="249"/>
        <v>ФБУ "АДМИНИСТРАЦИЯ "ВОЛГО-БАЛТ"</v>
      </c>
      <c r="B5926" s="24" t="s">
        <v>2768</v>
      </c>
      <c r="C5926" s="25">
        <v>1820000</v>
      </c>
      <c r="D5926" s="22" t="s">
        <v>7665</v>
      </c>
      <c r="E5926" s="22" t="s">
        <v>487</v>
      </c>
      <c r="F5926" s="23" t="str">
        <f t="shared" si="250"/>
        <v>Поставка КПП блок-контейнерного типа для размещения работников подразделений транспортной безопасности, осуществляющих досмотр физических лиц и хранение изъятых предметов и веществ запрещенных для проноса на объекты транспортной инфраструктуры Свирск...</v>
      </c>
      <c r="G5926" s="22" t="s">
        <v>861</v>
      </c>
      <c r="H5926" s="22" t="s">
        <v>861</v>
      </c>
      <c r="I5926" s="26">
        <v>43640.639166666697</v>
      </c>
      <c r="J5926" s="23" t="str">
        <f>HYPERLINK("https://www.spark-marketing.ru/Card/Person/6265858", "ООО ""СЧК""")</f>
        <v>ООО "СЧК"</v>
      </c>
      <c r="K5926" s="24" t="s">
        <v>7666</v>
      </c>
      <c r="L5926" s="28" t="s">
        <v>52</v>
      </c>
      <c r="M5926" s="25">
        <v>1405938.47</v>
      </c>
      <c r="N5926" s="27">
        <v>0.22750633516483518</v>
      </c>
    </row>
    <row r="5927" spans="1:14" hidden="1" outlineLevel="1" x14ac:dyDescent="0.2">
      <c r="A5927" s="23" t="str">
        <f t="shared" si="249"/>
        <v>ФБУ "АДМИНИСТРАЦИЯ "ВОЛГО-БАЛТ"</v>
      </c>
      <c r="B5927" s="24" t="s">
        <v>2768</v>
      </c>
      <c r="C5927" s="25">
        <v>1820000</v>
      </c>
      <c r="D5927" s="22" t="s">
        <v>7665</v>
      </c>
      <c r="E5927" s="22" t="s">
        <v>487</v>
      </c>
      <c r="F5927" s="23" t="str">
        <f t="shared" si="250"/>
        <v>Поставка КПП блок-контейнерного типа для размещения работников подразделений транспортной безопасности, осуществляющих досмотр физических лиц и хранение изъятых предметов и веществ запрещенных для проноса на объекты транспортной инфраструктуры Свирск...</v>
      </c>
      <c r="G5927" s="22" t="s">
        <v>861</v>
      </c>
      <c r="H5927" s="22" t="s">
        <v>861</v>
      </c>
      <c r="I5927" s="26">
        <v>43640.639166666697</v>
      </c>
      <c r="J5927" s="23" t="str">
        <f>HYPERLINK("https://www.spark-marketing.ru/Card/Person/411796", "ООО ""СПЕЦСТАЛЬКОНСТРУКЦИЯ""")</f>
        <v>ООО "СПЕЦСТАЛЬКОНСТРУКЦИЯ"</v>
      </c>
      <c r="K5927" s="24" t="s">
        <v>2770</v>
      </c>
      <c r="L5927" s="28" t="s">
        <v>52</v>
      </c>
      <c r="M5927" s="25">
        <v>1581800</v>
      </c>
      <c r="N5927" s="27">
        <v>0.13087912087912087</v>
      </c>
    </row>
    <row r="5928" spans="1:14" hidden="1" outlineLevel="1" x14ac:dyDescent="0.2">
      <c r="A5928" s="23" t="str">
        <f t="shared" si="249"/>
        <v>ФБУ "АДМИНИСТРАЦИЯ "ВОЛГО-БАЛТ"</v>
      </c>
      <c r="B5928" s="24" t="s">
        <v>2768</v>
      </c>
      <c r="C5928" s="25">
        <v>1820000</v>
      </c>
      <c r="D5928" s="22" t="s">
        <v>7665</v>
      </c>
      <c r="E5928" s="22" t="s">
        <v>487</v>
      </c>
      <c r="F5928" s="23" t="str">
        <f t="shared" si="250"/>
        <v>Поставка КПП блок-контейнерного типа для размещения работников подразделений транспортной безопасности, осуществляющих досмотр физических лиц и хранение изъятых предметов и веществ запрещенных для проноса на объекты транспортной инфраструктуры Свирск...</v>
      </c>
      <c r="G5928" s="22" t="s">
        <v>861</v>
      </c>
      <c r="H5928" s="22" t="s">
        <v>861</v>
      </c>
      <c r="I5928" s="26">
        <v>43640.639166666697</v>
      </c>
      <c r="J5928" s="23" t="str">
        <f>HYPERLINK("https://www.spark-marketing.ru/Card/Person/569934", "Леликов Юрий Юрьевич")</f>
        <v>Леликов Юрий Юрьевич</v>
      </c>
      <c r="K5928" s="24" t="s">
        <v>7667</v>
      </c>
      <c r="L5928" s="28" t="s">
        <v>52</v>
      </c>
      <c r="M5928" s="25">
        <v>1314937.97</v>
      </c>
      <c r="N5928" s="27">
        <v>0.27750660989010989</v>
      </c>
    </row>
    <row r="5929" spans="1:14" hidden="1" outlineLevel="1" x14ac:dyDescent="0.2">
      <c r="A5929" s="23" t="str">
        <f t="shared" si="249"/>
        <v>ФБУ "АДМИНИСТРАЦИЯ "ВОЛГО-БАЛТ"</v>
      </c>
      <c r="B5929" s="24" t="s">
        <v>2768</v>
      </c>
      <c r="C5929" s="25">
        <v>1820000</v>
      </c>
      <c r="D5929" s="22" t="s">
        <v>7665</v>
      </c>
      <c r="E5929" s="22" t="s">
        <v>487</v>
      </c>
      <c r="F5929" s="23" t="str">
        <f t="shared" si="250"/>
        <v>Поставка КПП блок-контейнерного типа для размещения работников подразделений транспортной безопасности, осуществляющих досмотр физических лиц и хранение изъятых предметов и веществ запрещенных для проноса на объекты транспортной инфраструктуры Свирск...</v>
      </c>
      <c r="G5929" s="22" t="s">
        <v>861</v>
      </c>
      <c r="H5929" s="22" t="s">
        <v>861</v>
      </c>
      <c r="I5929" s="26">
        <v>43640.639166666697</v>
      </c>
      <c r="J5929" s="23" t="str">
        <f>HYPERLINK("https://www.spark-marketing.ru/Card/Person/6063325", "Беспамятнов Артем Игоревич")</f>
        <v>Беспамятнов Артем Игоревич</v>
      </c>
      <c r="K5929" s="24" t="s">
        <v>7668</v>
      </c>
      <c r="L5929" s="28" t="s">
        <v>52</v>
      </c>
      <c r="M5929" s="25">
        <v>1756300</v>
      </c>
      <c r="N5929" s="27">
        <v>3.5000000000000003E-2</v>
      </c>
    </row>
    <row r="5930" spans="1:14" hidden="1" outlineLevel="1" x14ac:dyDescent="0.2">
      <c r="A5930" s="23" t="str">
        <f t="shared" si="249"/>
        <v>ФБУ "АДМИНИСТРАЦИЯ "ВОЛГО-БАЛТ"</v>
      </c>
      <c r="B5930" s="24" t="s">
        <v>2768</v>
      </c>
      <c r="C5930" s="25">
        <v>1820000</v>
      </c>
      <c r="D5930" s="22" t="s">
        <v>7665</v>
      </c>
      <c r="E5930" s="22" t="s">
        <v>487</v>
      </c>
      <c r="F5930" s="23" t="str">
        <f t="shared" si="250"/>
        <v>Поставка КПП блок-контейнерного типа для размещения работников подразделений транспортной безопасности, осуществляющих досмотр физических лиц и хранение изъятых предметов и веществ запрещенных для проноса на объекты транспортной инфраструктуры Свирск...</v>
      </c>
      <c r="G5930" s="22" t="s">
        <v>861</v>
      </c>
      <c r="H5930" s="22" t="s">
        <v>861</v>
      </c>
      <c r="I5930" s="26">
        <v>43640.639166666697</v>
      </c>
      <c r="J5930" s="23" t="str">
        <f>HYPERLINK("https://www.spark-marketing.ru/Card/Person/4359038", "ООО ""ТД ""ДИАКОМ""")</f>
        <v>ООО "ТД "ДИАКОМ"</v>
      </c>
      <c r="K5930" s="24" t="s">
        <v>7577</v>
      </c>
      <c r="L5930" s="28" t="s">
        <v>52</v>
      </c>
      <c r="M5930" s="25">
        <v>1305837.97</v>
      </c>
      <c r="N5930" s="27">
        <v>0.28250660989010989</v>
      </c>
    </row>
    <row r="5931" spans="1:14" x14ac:dyDescent="0.15">
      <c r="A5931" s="23" t="str">
        <f>HYPERLINK("https://www.spark-marketing.ru/Card/Person/113010", "АО ""НИКИМТ-АТОМСТРОЙ""")</f>
        <v>АО "НИКИМТ-АТОМСТРОЙ"</v>
      </c>
      <c r="B5931" s="24" t="s">
        <v>1701</v>
      </c>
      <c r="C5931" s="28" t="s">
        <v>52</v>
      </c>
      <c r="D5931" s="22" t="s">
        <v>7669</v>
      </c>
      <c r="E5931" s="22" t="s">
        <v>53</v>
      </c>
      <c r="F5931" s="23" t="str">
        <f>HYPERLINK("https://www.spark-marketing.ru/Card/Lot/71624539", "Оказание услуг по охране объектов в обособленном подразделении Дирекция АО «НИКИМТ-Атомстрой» на объектах Курской АЭС-2. (1282987)")</f>
        <v>Оказание услуг по охране объектов в обособленном подразделении Дирекция АО «НИКИМТ-Атомстрой» на объектах Курской АЭС-2. (1282987)</v>
      </c>
      <c r="G5931" s="22" t="s">
        <v>55</v>
      </c>
      <c r="H5931" s="22" t="s">
        <v>55</v>
      </c>
      <c r="I5931" s="26">
        <v>43640.627256944397</v>
      </c>
      <c r="J5931" s="28" t="s">
        <v>52</v>
      </c>
      <c r="K5931" s="28" t="s">
        <v>52</v>
      </c>
      <c r="L5931" s="28" t="s">
        <v>52</v>
      </c>
      <c r="M5931" s="28" t="s">
        <v>52</v>
      </c>
      <c r="N5931" s="28" t="s">
        <v>52</v>
      </c>
    </row>
    <row r="5932" spans="1:14" x14ac:dyDescent="0.15">
      <c r="A5932" s="23" t="str">
        <f>HYPERLINK("https://www.spark-marketing.ru/Card/Person/4346801", "ФГАОУ ВО ""СЕВАСТОПОЛЬСКИЙ ГОСУДАРСТВЕННЫЙ УНИВЕРСИТЕТ""")</f>
        <v>ФГАОУ ВО "СЕВАСТОПОЛЬСКИЙ ГОСУДАРСТВЕННЫЙ УНИВЕРСИТЕТ"</v>
      </c>
      <c r="B5932" s="24" t="s">
        <v>7085</v>
      </c>
      <c r="C5932" s="25">
        <v>423277.01</v>
      </c>
      <c r="D5932" s="22" t="s">
        <v>7670</v>
      </c>
      <c r="E5932" s="22" t="s">
        <v>996</v>
      </c>
      <c r="F5932" s="23" t="str">
        <f>HYPERLINK("https://www.spark-marketing.ru/Card/Lot/71616386", "Выполнение работ по установке (монтажу) системы охранной и тревожной сигнализации в нежилом здании Гуманитарного педагогического института Севастопольского государственного университета по адресу: г. Севастополь, пр. Гагарина, 13 (МСП)")</f>
        <v>Выполнение работ по установке (монтажу) системы охранной и тревожной сигнализации в нежилом здании Гуманитарного педагогического института Севастопольского государственного университета по адресу: г. Севастополь, пр. Гагарина, 13 (МСП)</v>
      </c>
      <c r="G5932" s="22" t="s">
        <v>714</v>
      </c>
      <c r="H5932" s="22" t="s">
        <v>714</v>
      </c>
      <c r="I5932" s="26">
        <v>43640.652893518498</v>
      </c>
      <c r="J5932" s="28" t="s">
        <v>52</v>
      </c>
      <c r="K5932" s="28" t="s">
        <v>52</v>
      </c>
      <c r="L5932" s="28" t="s">
        <v>52</v>
      </c>
      <c r="M5932" s="28" t="s">
        <v>52</v>
      </c>
      <c r="N5932" s="28" t="s">
        <v>52</v>
      </c>
    </row>
    <row r="5933" spans="1:14" x14ac:dyDescent="0.15">
      <c r="A5933" s="23" t="str">
        <f>HYPERLINK("https://www.spark-marketing.ru/Card/Person/31383", "МВД ПО КАБАРДИНО-БАЛКАРСКОЙ РЕСПУБЛИКЕ")</f>
        <v>МВД ПО КАБАРДИНО-БАЛКАРСКОЙ РЕСПУБЛИКЕ</v>
      </c>
      <c r="B5933" s="24" t="s">
        <v>7671</v>
      </c>
      <c r="C5933" s="25">
        <v>52000</v>
      </c>
      <c r="D5933" s="22" t="s">
        <v>7672</v>
      </c>
      <c r="E5933" s="22" t="s">
        <v>294</v>
      </c>
      <c r="F5933" s="23" t="str">
        <f>HYPERLINK("https://www.spark-marketing.ru/Card/Lot/71615758", "Техническое обслуживание любых систем видеонаблюдения, 10 шт")</f>
        <v>Техническое обслуживание любых систем видеонаблюдения, 10 шт</v>
      </c>
      <c r="G5933" s="22" t="s">
        <v>110</v>
      </c>
      <c r="H5933" s="22" t="s">
        <v>111</v>
      </c>
      <c r="I5933" s="26">
        <v>43640.654108796298</v>
      </c>
      <c r="J5933" s="28" t="s">
        <v>52</v>
      </c>
      <c r="K5933" s="28" t="s">
        <v>52</v>
      </c>
      <c r="L5933" s="28" t="s">
        <v>52</v>
      </c>
      <c r="M5933" s="28" t="s">
        <v>52</v>
      </c>
      <c r="N5933" s="28" t="s">
        <v>52</v>
      </c>
    </row>
    <row r="5934" spans="1:14" x14ac:dyDescent="0.15">
      <c r="A5934" s="23" t="str">
        <f>HYPERLINK("https://www.spark-marketing.ru/Card/Person/4348528", "АО ИК ""АСЭ""")</f>
        <v>АО ИК "АСЭ"</v>
      </c>
      <c r="B5934" s="24" t="s">
        <v>62</v>
      </c>
      <c r="C5934" s="25">
        <v>0</v>
      </c>
      <c r="D5934" s="22" t="s">
        <v>7673</v>
      </c>
      <c r="E5934" s="22" t="s">
        <v>53</v>
      </c>
      <c r="F5934" s="23" t="str">
        <f>HYPERLINK("https://www.spark-marketing.ru/Card/Lot/71631546", "мониторинг цен в электронной форме на Оказание услуг по охране объектов, имущества и материальных ценностей «Нововоронежской АЭС-2» АО «Атомэнергопроект».")</f>
        <v>мониторинг цен в электронной форме на Оказание услуг по охране объектов, имущества и материальных ценностей «Нововоронежской АЭС-2» АО «Атомэнергопроект».</v>
      </c>
      <c r="G5934" s="22" t="s">
        <v>64</v>
      </c>
      <c r="H5934" s="22" t="s">
        <v>65</v>
      </c>
      <c r="I5934" s="26">
        <v>43640.632245370398</v>
      </c>
      <c r="J5934" s="28" t="s">
        <v>52</v>
      </c>
      <c r="K5934" s="28" t="s">
        <v>52</v>
      </c>
      <c r="L5934" s="28" t="s">
        <v>52</v>
      </c>
      <c r="M5934" s="28" t="s">
        <v>52</v>
      </c>
      <c r="N5934" s="28" t="s">
        <v>52</v>
      </c>
    </row>
    <row r="5935" spans="1:14" x14ac:dyDescent="0.15">
      <c r="A5935" s="23" t="str">
        <f>HYPERLINK("https://www.spark-marketing.ru/Card/Person/4348528", "АО ИК ""АСЭ""")</f>
        <v>АО ИК "АСЭ"</v>
      </c>
      <c r="B5935" s="24" t="s">
        <v>62</v>
      </c>
      <c r="C5935" s="28" t="s">
        <v>52</v>
      </c>
      <c r="D5935" s="22" t="s">
        <v>7674</v>
      </c>
      <c r="E5935" s="22" t="s">
        <v>53</v>
      </c>
      <c r="F5935" s="23" t="str">
        <f>HYPERLINK("https://www.spark-marketing.ru/Card/Lot/71624438", "Оказание услуг по охране объектов, имущества и материальных ценностей «Нововоронежской АЭС-2» АО «Атомэнергопроект». (1282997)")</f>
        <v>Оказание услуг по охране объектов, имущества и материальных ценностей «Нововоронежской АЭС-2» АО «Атомэнергопроект». (1282997)</v>
      </c>
      <c r="G5935" s="22" t="s">
        <v>64</v>
      </c>
      <c r="H5935" s="22" t="s">
        <v>65</v>
      </c>
      <c r="I5935" s="26">
        <v>43640.6319097222</v>
      </c>
      <c r="J5935" s="28" t="s">
        <v>52</v>
      </c>
      <c r="K5935" s="28" t="s">
        <v>52</v>
      </c>
      <c r="L5935" s="28" t="s">
        <v>52</v>
      </c>
      <c r="M5935" s="28" t="s">
        <v>52</v>
      </c>
      <c r="N5935" s="28" t="s">
        <v>52</v>
      </c>
    </row>
    <row r="5936" spans="1:14" x14ac:dyDescent="0.15">
      <c r="A5936" s="23" t="str">
        <f>HYPERLINK("https://www.spark-marketing.ru/Card/Person/357256", "МИ ФНС РОССИИ ПО ЮЖНОМУ ФЕДЕРАЛЬНОМУ ОКРУГУ")</f>
        <v>МИ ФНС РОССИИ ПО ЮЖНОМУ ФЕДЕРАЛЬНОМУ ОКРУГУ</v>
      </c>
      <c r="B5936" s="24" t="s">
        <v>7675</v>
      </c>
      <c r="C5936" s="25">
        <v>66100.800000000003</v>
      </c>
      <c r="D5936" s="22" t="s">
        <v>7676</v>
      </c>
      <c r="E5936" s="22" t="s">
        <v>68</v>
      </c>
      <c r="F5936" s="23" t="str">
        <f>HYPERLINK("https://www.spark-marketing.ru/Card/Lot/71615994", "Обеспечение общественного порядка, 404 усл. ед")</f>
        <v>Обеспечение общественного порядка, 404 усл. ед</v>
      </c>
      <c r="G5936" s="22" t="s">
        <v>402</v>
      </c>
      <c r="H5936" s="22" t="s">
        <v>403</v>
      </c>
      <c r="I5936" s="26">
        <v>43640.628831018497</v>
      </c>
      <c r="J5936" s="28" t="s">
        <v>52</v>
      </c>
      <c r="K5936" s="28" t="s">
        <v>52</v>
      </c>
      <c r="L5936" s="28" t="s">
        <v>52</v>
      </c>
      <c r="M5936" s="28" t="s">
        <v>52</v>
      </c>
      <c r="N5936" s="28" t="s">
        <v>52</v>
      </c>
    </row>
    <row r="5937" spans="1:14" x14ac:dyDescent="0.15">
      <c r="A5937" s="23" t="str">
        <f>HYPERLINK("https://www.spark-marketing.ru/Card/Person/67328", "ОГКУ ""ПРАВИТЕЛЬСТВО ДЛЯ ГРАЖДАН""")</f>
        <v>ОГКУ "ПРАВИТЕЛЬСТВО ДЛЯ ГРАЖДАН"</v>
      </c>
      <c r="B5937" s="24" t="s">
        <v>7677</v>
      </c>
      <c r="C5937" s="25">
        <v>213468.75</v>
      </c>
      <c r="D5937" s="22" t="s">
        <v>7678</v>
      </c>
      <c r="E5937" s="22" t="s">
        <v>107</v>
      </c>
      <c r="F5937" s="23" t="str">
        <f>HYPERLINK("https://www.spark-marketing.ru/Card/Lot/71630465", "Техническое обслуживание приборов, комплекса технических средств охранной и тревожной сигнализаций, установленных на объектах ОГКУ «Правительство для граждан»")</f>
        <v>Техническое обслуживание приборов, комплекса технических средств охранной и тревожной сигнализаций, установленных на объектах ОГКУ «Правительство для граждан»</v>
      </c>
      <c r="G5937" s="22" t="s">
        <v>446</v>
      </c>
      <c r="H5937" s="22" t="s">
        <v>3996</v>
      </c>
      <c r="I5937" s="26">
        <v>43640.661805555603</v>
      </c>
      <c r="J5937" s="28" t="s">
        <v>52</v>
      </c>
      <c r="K5937" s="28" t="s">
        <v>52</v>
      </c>
      <c r="L5937" s="28" t="s">
        <v>52</v>
      </c>
      <c r="M5937" s="28" t="s">
        <v>52</v>
      </c>
      <c r="N5937" s="28" t="s">
        <v>52</v>
      </c>
    </row>
    <row r="5938" spans="1:14" hidden="1" outlineLevel="1" x14ac:dyDescent="0.2">
      <c r="A5938" s="23" t="str">
        <f>HYPERLINK("https://www.spark-marketing.ru/Card/Person/67328", "ОГКУ ""ПРАВИТЕЛЬСТВО ДЛЯ ГРАЖДАН""")</f>
        <v>ОГКУ "ПРАВИТЕЛЬСТВО ДЛЯ ГРАЖДАН"</v>
      </c>
      <c r="B5938" s="24" t="s">
        <v>7677</v>
      </c>
      <c r="C5938" s="25">
        <v>213468.75</v>
      </c>
      <c r="D5938" s="22" t="s">
        <v>7678</v>
      </c>
      <c r="E5938" s="22" t="s">
        <v>107</v>
      </c>
      <c r="F5938" s="23" t="str">
        <f>HYPERLINK("https://www.spark-marketing.ru/Card/Lot/71630465", "Техническое обслуживание приборов, комплекса технических средств охранной и тревожной сигнализаций, установленных на объектах ОГКУ «Правительство для граждан»")</f>
        <v>Техническое обслуживание приборов, комплекса технических средств охранной и тревожной сигнализаций, установленных на объектах ОГКУ «Правительство для граждан»</v>
      </c>
      <c r="G5938" s="22" t="s">
        <v>446</v>
      </c>
      <c r="H5938" s="22" t="s">
        <v>3996</v>
      </c>
      <c r="I5938" s="26">
        <v>43640.661805555603</v>
      </c>
      <c r="J5938" s="23" t="str">
        <f>HYPERLINK("https://www.spark-marketing.ru/Card/Person/357691", "ФЛ ФГУП ""ОХРАНА"" РОСГВАРДИИ ПО УЛЬЯН ОБЛ")</f>
        <v>ФЛ ФГУП "ОХРАНА" РОСГВАРДИИ ПО УЛЬЯН ОБЛ</v>
      </c>
      <c r="K5938" s="24" t="s">
        <v>779</v>
      </c>
      <c r="L5938" s="28" t="s">
        <v>52</v>
      </c>
      <c r="M5938" s="25">
        <v>106734.71</v>
      </c>
      <c r="N5938" s="27">
        <v>0.49999843068364808</v>
      </c>
    </row>
    <row r="5939" spans="1:14" hidden="1" outlineLevel="1" x14ac:dyDescent="0.2">
      <c r="A5939" s="23" t="str">
        <f>HYPERLINK("https://www.spark-marketing.ru/Card/Person/67328", "ОГКУ ""ПРАВИТЕЛЬСТВО ДЛЯ ГРАЖДАН""")</f>
        <v>ОГКУ "ПРАВИТЕЛЬСТВО ДЛЯ ГРАЖДАН"</v>
      </c>
      <c r="B5939" s="24" t="s">
        <v>7677</v>
      </c>
      <c r="C5939" s="25">
        <v>213468.75</v>
      </c>
      <c r="D5939" s="22" t="s">
        <v>7678</v>
      </c>
      <c r="E5939" s="22" t="s">
        <v>107</v>
      </c>
      <c r="F5939" s="23" t="str">
        <f>HYPERLINK("https://www.spark-marketing.ru/Card/Lot/71630465", "Техническое обслуживание приборов, комплекса технических средств охранной и тревожной сигнализаций, установленных на объектах ОГКУ «Правительство для граждан»")</f>
        <v>Техническое обслуживание приборов, комплекса технических средств охранной и тревожной сигнализаций, установленных на объектах ОГКУ «Правительство для граждан»</v>
      </c>
      <c r="G5939" s="22" t="s">
        <v>446</v>
      </c>
      <c r="H5939" s="22" t="s">
        <v>3996</v>
      </c>
      <c r="I5939" s="26">
        <v>43640.661805555603</v>
      </c>
      <c r="J5939" s="23" t="str">
        <f>HYPERLINK("https://www.spark-marketing.ru/Card/Person/6583213", "ООО ""АЛЬФА ЦЕНТАВРА""")</f>
        <v>ООО "АЛЬФА ЦЕНТАВРА"</v>
      </c>
      <c r="K5939" s="24" t="s">
        <v>2125</v>
      </c>
      <c r="L5939" s="28" t="s">
        <v>52</v>
      </c>
      <c r="M5939" s="25">
        <v>190000</v>
      </c>
      <c r="N5939" s="27">
        <v>0.10993997950519689</v>
      </c>
    </row>
    <row r="5940" spans="1:14" ht="12.75" hidden="1" outlineLevel="1" x14ac:dyDescent="0.2">
      <c r="A5940" s="23" t="str">
        <f>HYPERLINK("https://www.spark-marketing.ru/Card/Person/67328", "ОГКУ ""ПРАВИТЕЛЬСТВО ДЛЯ ГРАЖДАН""")</f>
        <v>ОГКУ "ПРАВИТЕЛЬСТВО ДЛЯ ГРАЖДАН"</v>
      </c>
      <c r="B5940" s="24" t="s">
        <v>7677</v>
      </c>
      <c r="C5940" s="25">
        <v>213468.75</v>
      </c>
      <c r="D5940" s="22" t="s">
        <v>7678</v>
      </c>
      <c r="E5940" s="22" t="s">
        <v>107</v>
      </c>
      <c r="F5940" s="23" t="str">
        <f>HYPERLINK("https://www.spark-marketing.ru/Card/Lot/71630465", "Техническое обслуживание приборов, комплекса технических средств охранной и тревожной сигнализаций, установленных на объектах ОГКУ «Правительство для граждан»")</f>
        <v>Техническое обслуживание приборов, комплекса технических средств охранной и тревожной сигнализаций, установленных на объектах ОГКУ «Правительство для граждан»</v>
      </c>
      <c r="G5940" s="22" t="s">
        <v>446</v>
      </c>
      <c r="H5940" s="22" t="s">
        <v>3996</v>
      </c>
      <c r="I5940" s="26">
        <v>43640.661805555603</v>
      </c>
      <c r="J5940" s="23" t="str">
        <f>HYPERLINK("https://www.spark-marketing.ru/Card/Person/670092", "ООО ""ТЕХ-ЗАЩИТА""")</f>
        <v>ООО "ТЕХ-ЗАЩИТА"</v>
      </c>
      <c r="K5940" s="24" t="s">
        <v>7679</v>
      </c>
      <c r="L5940" s="22" t="s">
        <v>10</v>
      </c>
      <c r="M5940" s="25">
        <v>105667.37</v>
      </c>
      <c r="N5940" s="27">
        <v>0.50499841311667404</v>
      </c>
    </row>
    <row r="5941" spans="1:14" x14ac:dyDescent="0.15">
      <c r="A5941" s="23" t="str">
        <f>HYPERLINK("https://www.spark-marketing.ru/Card/Person/10487", "ФГУП ""ОХРАНА"" РОСГВАРДИИ")</f>
        <v>ФГУП "ОХРАНА" РОСГВАРДИИ</v>
      </c>
      <c r="B5941" s="24" t="s">
        <v>779</v>
      </c>
      <c r="C5941" s="25">
        <v>475679.87</v>
      </c>
      <c r="D5941" s="22" t="s">
        <v>7680</v>
      </c>
      <c r="E5941" s="22" t="s">
        <v>5531</v>
      </c>
      <c r="F5941" s="23" t="str">
        <f>HYPERLINK("https://www.spark-marketing.ru/Card/Lot/71613659", "Поставка полиграфической продукции для нужд Управления по г. Москве и Московской области Центра охраны объектов промышленности")</f>
        <v>Поставка полиграфической продукции для нужд Управления по г. Москве и Московской области Центра охраны объектов промышленности</v>
      </c>
      <c r="G5941" s="22" t="s">
        <v>55</v>
      </c>
      <c r="H5941" s="22" t="s">
        <v>55</v>
      </c>
      <c r="I5941" s="26">
        <v>43640.622048611098</v>
      </c>
      <c r="J5941" s="28" t="s">
        <v>52</v>
      </c>
      <c r="K5941" s="28" t="s">
        <v>52</v>
      </c>
      <c r="L5941" s="28" t="s">
        <v>52</v>
      </c>
      <c r="M5941" s="28" t="s">
        <v>52</v>
      </c>
      <c r="N5941" s="28" t="s">
        <v>52</v>
      </c>
    </row>
    <row r="5942" spans="1:14" x14ac:dyDescent="0.15">
      <c r="A5942" s="23" t="str">
        <f>HYPERLINK("https://www.spark-marketing.ru/Card/Person/8769", "АДМИНИСТРАЦИЯ ГО ЗАТО СВОБОДНЫЙ")</f>
        <v>АДМИНИСТРАЦИЯ ГО ЗАТО СВОБОДНЫЙ</v>
      </c>
      <c r="B5942" s="24" t="s">
        <v>3233</v>
      </c>
      <c r="C5942" s="25">
        <v>158229.6</v>
      </c>
      <c r="D5942" s="22" t="s">
        <v>7681</v>
      </c>
      <c r="E5942" s="22" t="s">
        <v>59</v>
      </c>
      <c r="F5942" s="23" t="str">
        <f>HYPERLINK("https://www.spark-marketing.ru/Card/Lot/71629890", "Выполнение работ по приобретению и установке светофора Т 7.1")</f>
        <v>Выполнение работ по приобретению и установке светофора Т 7.1</v>
      </c>
      <c r="G5942" s="22" t="s">
        <v>72</v>
      </c>
      <c r="H5942" s="22" t="s">
        <v>72</v>
      </c>
      <c r="I5942" s="26">
        <v>43640.599305555603</v>
      </c>
      <c r="J5942" s="28" t="s">
        <v>52</v>
      </c>
      <c r="K5942" s="28" t="s">
        <v>52</v>
      </c>
      <c r="L5942" s="28" t="s">
        <v>52</v>
      </c>
      <c r="M5942" s="28" t="s">
        <v>52</v>
      </c>
      <c r="N5942" s="28" t="s">
        <v>52</v>
      </c>
    </row>
    <row r="5943" spans="1:14" x14ac:dyDescent="0.2">
      <c r="A5943" s="23" t="str">
        <f>HYPERLINK("https://www.spark-marketing.ru/Card/Person/1759666", "МАОУ БОГАНДИНСКАЯ СОШ № 2")</f>
        <v>МАОУ БОГАНДИНСКАЯ СОШ № 2</v>
      </c>
      <c r="B5943" s="24" t="s">
        <v>7682</v>
      </c>
      <c r="C5943" s="25">
        <v>831680</v>
      </c>
      <c r="D5943" s="22" t="s">
        <v>7683</v>
      </c>
      <c r="E5943" s="22" t="s">
        <v>363</v>
      </c>
      <c r="F5943" s="23" t="str">
        <f>HYPERLINK("https://www.spark-marketing.ru/Card/Lot/71608014", "Оказание охранных услуг")</f>
        <v>Оказание охранных услуг</v>
      </c>
      <c r="G5943" s="22" t="s">
        <v>893</v>
      </c>
      <c r="H5943" s="22" t="s">
        <v>893</v>
      </c>
      <c r="I5943" s="26">
        <v>43640.594340277799</v>
      </c>
      <c r="J5943" s="28" t="s">
        <v>52</v>
      </c>
      <c r="K5943" s="28" t="s">
        <v>52</v>
      </c>
      <c r="L5943" s="28" t="s">
        <v>52</v>
      </c>
      <c r="M5943" s="25">
        <v>662400</v>
      </c>
      <c r="N5943" s="27">
        <v>0.20353982300884957</v>
      </c>
    </row>
    <row r="5944" spans="1:14" x14ac:dyDescent="0.15">
      <c r="A5944" s="23" t="s">
        <v>121</v>
      </c>
      <c r="B5944" s="28" t="s">
        <v>52</v>
      </c>
      <c r="C5944" s="25">
        <v>7062346</v>
      </c>
      <c r="D5944" s="22" t="s">
        <v>7684</v>
      </c>
      <c r="E5944" s="22" t="s">
        <v>59</v>
      </c>
      <c r="F5944" s="23" t="str">
        <f t="shared" ref="F5944:F5951" si="251">HYPERLINK("https://www.spark-marketing.ru/Card/Lot/71622838", "Выполнение работ по монтажу системы видеонаблюдения в учреждениях образования Фрунзенского района Санкт-Петербурга в 2019 году")</f>
        <v>Выполнение работ по монтажу системы видеонаблюдения в учреждениях образования Фрунзенского района Санкт-Петербурга в 2019 году</v>
      </c>
      <c r="G5944" s="22" t="s">
        <v>52</v>
      </c>
      <c r="H5944" s="22" t="s">
        <v>52</v>
      </c>
      <c r="I5944" s="26">
        <v>43640.604166666701</v>
      </c>
      <c r="J5944" s="28" t="s">
        <v>52</v>
      </c>
      <c r="K5944" s="28" t="s">
        <v>52</v>
      </c>
      <c r="L5944" s="28" t="s">
        <v>52</v>
      </c>
      <c r="M5944" s="28" t="s">
        <v>52</v>
      </c>
      <c r="N5944" s="28" t="s">
        <v>52</v>
      </c>
    </row>
    <row r="5945" spans="1:14" hidden="1" outlineLevel="1" x14ac:dyDescent="0.15">
      <c r="A5945" s="23" t="str">
        <f>HYPERLINK("https://www.spark-marketing.ru/Card/Person/15130", "ГБДОУ ДЕТСКИЙ САД № 63 ФРУНЗЕНСКОГО РАЙОНА САНКТ-ПЕТЕРБУРГА")</f>
        <v>ГБДОУ ДЕТСКИЙ САД № 63 ФРУНЗЕНСКОГО РАЙОНА САНКТ-ПЕТЕРБУРГА</v>
      </c>
      <c r="B5945" s="24" t="s">
        <v>7685</v>
      </c>
      <c r="C5945" s="25">
        <v>2640764</v>
      </c>
      <c r="D5945" s="22" t="s">
        <v>7684</v>
      </c>
      <c r="E5945" s="22" t="s">
        <v>59</v>
      </c>
      <c r="F5945" s="23" t="str">
        <f t="shared" si="251"/>
        <v>Выполнение работ по монтажу системы видеонаблюдения в учреждениях образования Фрунзенского района Санкт-Петербурга в 2019 году</v>
      </c>
      <c r="G5945" s="22" t="s">
        <v>89</v>
      </c>
      <c r="H5945" s="22" t="s">
        <v>89</v>
      </c>
      <c r="I5945" s="26">
        <v>43640.604166666701</v>
      </c>
      <c r="J5945" s="28" t="s">
        <v>52</v>
      </c>
      <c r="K5945" s="28" t="s">
        <v>52</v>
      </c>
      <c r="L5945" s="28" t="s">
        <v>52</v>
      </c>
      <c r="M5945" s="28" t="s">
        <v>52</v>
      </c>
      <c r="N5945" s="28" t="s">
        <v>52</v>
      </c>
    </row>
    <row r="5946" spans="1:14" hidden="1" outlineLevel="1" x14ac:dyDescent="0.15">
      <c r="A5946" s="23" t="str">
        <f>HYPERLINK("https://www.spark-marketing.ru/Card/Person/36291", "ГБДОУ ДЕТСКИЙ САД № 99 ФРУНЗЕНСКОГО РАЙОНА САНКТ-ПЕТЕРБУРГА")</f>
        <v>ГБДОУ ДЕТСКИЙ САД № 99 ФРУНЗЕНСКОГО РАЙОНА САНКТ-ПЕТЕРБУРГА</v>
      </c>
      <c r="B5946" s="24" t="s">
        <v>7686</v>
      </c>
      <c r="C5946" s="25">
        <v>1066380</v>
      </c>
      <c r="D5946" s="22" t="s">
        <v>7684</v>
      </c>
      <c r="E5946" s="22" t="s">
        <v>59</v>
      </c>
      <c r="F5946" s="23" t="str">
        <f t="shared" si="251"/>
        <v>Выполнение работ по монтажу системы видеонаблюдения в учреждениях образования Фрунзенского района Санкт-Петербурга в 2019 году</v>
      </c>
      <c r="G5946" s="22" t="s">
        <v>89</v>
      </c>
      <c r="H5946" s="22" t="s">
        <v>89</v>
      </c>
      <c r="I5946" s="26">
        <v>43640.604166666701</v>
      </c>
      <c r="J5946" s="28" t="s">
        <v>52</v>
      </c>
      <c r="K5946" s="28" t="s">
        <v>52</v>
      </c>
      <c r="L5946" s="28" t="s">
        <v>52</v>
      </c>
      <c r="M5946" s="28" t="s">
        <v>52</v>
      </c>
      <c r="N5946" s="28" t="s">
        <v>52</v>
      </c>
    </row>
    <row r="5947" spans="1:14" hidden="1" outlineLevel="1" x14ac:dyDescent="0.15">
      <c r="A5947" s="23" t="str">
        <f>HYPERLINK("https://www.spark-marketing.ru/Card/Person/93345", "ГБДОУ ДЕТСКИЙ САД №59 КОМБИНИРОВАННОГО ВИДА ФРУНЗЕНСКОГО РАЙОНА САНКТ-ПЕТЕРБУРГА")</f>
        <v>ГБДОУ ДЕТСКИЙ САД №59 КОМБИНИРОВАННОГО ВИДА ФРУНЗЕНСКОГО РАЙОНА САНКТ-ПЕТЕРБУРГА</v>
      </c>
      <c r="B5947" s="24" t="s">
        <v>7687</v>
      </c>
      <c r="C5947" s="25">
        <v>1466520</v>
      </c>
      <c r="D5947" s="22" t="s">
        <v>7684</v>
      </c>
      <c r="E5947" s="22" t="s">
        <v>59</v>
      </c>
      <c r="F5947" s="23" t="str">
        <f t="shared" si="251"/>
        <v>Выполнение работ по монтажу системы видеонаблюдения в учреждениях образования Фрунзенского района Санкт-Петербурга в 2019 году</v>
      </c>
      <c r="G5947" s="22" t="s">
        <v>89</v>
      </c>
      <c r="H5947" s="22" t="s">
        <v>89</v>
      </c>
      <c r="I5947" s="26">
        <v>43640.604166666701</v>
      </c>
      <c r="J5947" s="28" t="s">
        <v>52</v>
      </c>
      <c r="K5947" s="28" t="s">
        <v>52</v>
      </c>
      <c r="L5947" s="28" t="s">
        <v>52</v>
      </c>
      <c r="M5947" s="28" t="s">
        <v>52</v>
      </c>
      <c r="N5947" s="28" t="s">
        <v>52</v>
      </c>
    </row>
    <row r="5948" spans="1:14" hidden="1" outlineLevel="1" x14ac:dyDescent="0.15">
      <c r="A5948" s="23" t="str">
        <f>HYPERLINK("https://www.spark-marketing.ru/Card/Person/101229", "ГБДОУ ДЕТСКИЙ САД № 115 ФРУНЗЕНСКОГО РАЙОНА СПБ")</f>
        <v>ГБДОУ ДЕТСКИЙ САД № 115 ФРУНЗЕНСКОГО РАЙОНА СПБ</v>
      </c>
      <c r="B5948" s="24" t="s">
        <v>7688</v>
      </c>
      <c r="C5948" s="25">
        <v>1258040</v>
      </c>
      <c r="D5948" s="22" t="s">
        <v>7684</v>
      </c>
      <c r="E5948" s="22" t="s">
        <v>59</v>
      </c>
      <c r="F5948" s="23" t="str">
        <f t="shared" si="251"/>
        <v>Выполнение работ по монтажу системы видеонаблюдения в учреждениях образования Фрунзенского района Санкт-Петербурга в 2019 году</v>
      </c>
      <c r="G5948" s="22" t="s">
        <v>89</v>
      </c>
      <c r="H5948" s="22" t="s">
        <v>89</v>
      </c>
      <c r="I5948" s="26">
        <v>43640.604166666701</v>
      </c>
      <c r="J5948" s="28" t="s">
        <v>52</v>
      </c>
      <c r="K5948" s="28" t="s">
        <v>52</v>
      </c>
      <c r="L5948" s="28" t="s">
        <v>52</v>
      </c>
      <c r="M5948" s="28" t="s">
        <v>52</v>
      </c>
      <c r="N5948" s="28" t="s">
        <v>52</v>
      </c>
    </row>
    <row r="5949" spans="1:14" hidden="1" outlineLevel="1" x14ac:dyDescent="0.15">
      <c r="A5949" s="23" t="str">
        <f>HYPERLINK("https://www.spark-marketing.ru/Card/Person/101948", "ГБДОУ ДЕТСКИЙ САД № 82 КОМБИНИРОВАННОГО ВИДА ФРУНЗЕНСКОГО РАЙОНА САНКТ-ПЕТЕРБУРГА")</f>
        <v>ГБДОУ ДЕТСКИЙ САД № 82 КОМБИНИРОВАННОГО ВИДА ФРУНЗЕНСКОГО РАЙОНА САНКТ-ПЕТЕРБУРГА</v>
      </c>
      <c r="B5949" s="24" t="s">
        <v>7689</v>
      </c>
      <c r="C5949" s="25">
        <v>630642</v>
      </c>
      <c r="D5949" s="22" t="s">
        <v>7684</v>
      </c>
      <c r="E5949" s="22" t="s">
        <v>59</v>
      </c>
      <c r="F5949" s="23" t="str">
        <f t="shared" si="251"/>
        <v>Выполнение работ по монтажу системы видеонаблюдения в учреждениях образования Фрунзенского района Санкт-Петербурга в 2019 году</v>
      </c>
      <c r="G5949" s="22" t="s">
        <v>89</v>
      </c>
      <c r="H5949" s="22" t="s">
        <v>89</v>
      </c>
      <c r="I5949" s="26">
        <v>43640.604166666701</v>
      </c>
      <c r="J5949" s="28" t="s">
        <v>52</v>
      </c>
      <c r="K5949" s="28" t="s">
        <v>52</v>
      </c>
      <c r="L5949" s="28" t="s">
        <v>52</v>
      </c>
      <c r="M5949" s="28" t="s">
        <v>52</v>
      </c>
      <c r="N5949" s="28" t="s">
        <v>52</v>
      </c>
    </row>
    <row r="5950" spans="1:14" hidden="1" outlineLevel="1" x14ac:dyDescent="0.2">
      <c r="A5950" s="28" t="s">
        <v>52</v>
      </c>
      <c r="B5950" s="28" t="s">
        <v>52</v>
      </c>
      <c r="C5950" s="28" t="s">
        <v>52</v>
      </c>
      <c r="D5950" s="22" t="s">
        <v>7684</v>
      </c>
      <c r="E5950" s="22" t="s">
        <v>59</v>
      </c>
      <c r="F5950" s="23" t="str">
        <f t="shared" si="251"/>
        <v>Выполнение работ по монтажу системы видеонаблюдения в учреждениях образования Фрунзенского района Санкт-Петербурга в 2019 году</v>
      </c>
      <c r="G5950" s="22" t="s">
        <v>52</v>
      </c>
      <c r="H5950" s="22" t="s">
        <v>52</v>
      </c>
      <c r="I5950" s="26">
        <v>43640.604166666701</v>
      </c>
      <c r="J5950" s="23" t="str">
        <f>HYPERLINK("https://www.spark-marketing.ru/Card/Person/6048845", "ООО ""АВАНГАРД""")</f>
        <v>ООО "АВАНГАРД"</v>
      </c>
      <c r="K5950" s="24" t="s">
        <v>1978</v>
      </c>
      <c r="L5950" s="28" t="s">
        <v>52</v>
      </c>
      <c r="M5950" s="25">
        <v>7027034.2699999996</v>
      </c>
      <c r="N5950" s="27">
        <v>5.0000000000000001E-3</v>
      </c>
    </row>
    <row r="5951" spans="1:14" hidden="1" outlineLevel="1" x14ac:dyDescent="0.2">
      <c r="A5951" s="28" t="s">
        <v>52</v>
      </c>
      <c r="B5951" s="28" t="s">
        <v>52</v>
      </c>
      <c r="C5951" s="28" t="s">
        <v>52</v>
      </c>
      <c r="D5951" s="22" t="s">
        <v>7684</v>
      </c>
      <c r="E5951" s="22" t="s">
        <v>59</v>
      </c>
      <c r="F5951" s="23" t="str">
        <f t="shared" si="251"/>
        <v>Выполнение работ по монтажу системы видеонаблюдения в учреждениях образования Фрунзенского района Санкт-Петербурга в 2019 году</v>
      </c>
      <c r="G5951" s="22" t="s">
        <v>52</v>
      </c>
      <c r="H5951" s="22" t="s">
        <v>52</v>
      </c>
      <c r="I5951" s="26">
        <v>43640.604166666701</v>
      </c>
      <c r="J5951" s="23" t="str">
        <f>HYPERLINK("https://www.spark-marketing.ru/Card/Person/6457183", "ООО ""Т-СЕРВИС""")</f>
        <v>ООО "Т-СЕРВИС"</v>
      </c>
      <c r="K5951" s="24" t="s">
        <v>1979</v>
      </c>
      <c r="L5951" s="22" t="s">
        <v>10</v>
      </c>
      <c r="M5951" s="25">
        <v>6991722.54</v>
      </c>
      <c r="N5951" s="27">
        <v>0.01</v>
      </c>
    </row>
    <row r="5952" spans="1:14" x14ac:dyDescent="0.15">
      <c r="A5952" s="23" t="str">
        <f>HYPERLINK("https://www.spark-marketing.ru/Card/Person/26248", "ГБУЗ КК ""ПЕТРОПАВЛОВСК-КАМЧАТСКАЯ ГОРОДСКАЯ БОЛЬНИЦА № 2""")</f>
        <v>ГБУЗ КК "ПЕТРОПАВЛОВСК-КАМЧАТСКАЯ ГОРОДСКАЯ БОЛЬНИЦА № 2"</v>
      </c>
      <c r="B5952" s="24" t="s">
        <v>7690</v>
      </c>
      <c r="C5952" s="25">
        <v>60349.2</v>
      </c>
      <c r="D5952" s="22" t="s">
        <v>7691</v>
      </c>
      <c r="E5952" s="22" t="s">
        <v>68</v>
      </c>
      <c r="F5952" s="23" t="str">
        <f>HYPERLINK("https://www.spark-marketing.ru/Card/Lot/71596395", "Централизованная охрана объектов с помощью пульта централизованного наблюдения и пульта ИСОПС ""Приток-GSM"" ГБУЗ КК ""Петропавловск-Камчатская городская больница №2""")</f>
        <v>Централизованная охрана объектов с помощью пульта централизованного наблюдения и пульта ИСОПС "Приток-GSM" ГБУЗ КК "Петропавловск-Камчатская городская больница №2"</v>
      </c>
      <c r="G5952" s="22" t="s">
        <v>1141</v>
      </c>
      <c r="H5952" s="22" t="s">
        <v>1142</v>
      </c>
      <c r="I5952" s="26">
        <v>43640.5805555556</v>
      </c>
      <c r="J5952" s="28" t="s">
        <v>52</v>
      </c>
      <c r="K5952" s="28" t="s">
        <v>52</v>
      </c>
      <c r="L5952" s="28" t="s">
        <v>52</v>
      </c>
      <c r="M5952" s="28" t="s">
        <v>52</v>
      </c>
      <c r="N5952" s="28" t="s">
        <v>52</v>
      </c>
    </row>
    <row r="5953" spans="1:14" x14ac:dyDescent="0.15">
      <c r="A5953" s="23" t="str">
        <f>HYPERLINK("https://www.spark-marketing.ru/Card/Person/1887298", "АО ""ТОРГОВЫЙ ДОМ ""ПЕРЕКРЕСТОК""")</f>
        <v>АО "ТОРГОВЫЙ ДОМ "ПЕРЕКРЕСТОК"</v>
      </c>
      <c r="B5953" s="24" t="s">
        <v>6999</v>
      </c>
      <c r="C5953" s="25">
        <v>0</v>
      </c>
      <c r="D5953" s="22" t="s">
        <v>7692</v>
      </c>
      <c r="E5953" s="22" t="s">
        <v>786</v>
      </c>
      <c r="F5953" s="23" t="str">
        <f>HYPERLINK("https://www.spark-marketing.ru/Card/Lot/71619892", "Видео диагностика участка трубопровода длиной более 50 м с отчетом на цифровом носителе")</f>
        <v>Видео диагностика участка трубопровода длиной более 50 м с отчетом на цифровом носителе</v>
      </c>
      <c r="G5953" s="22" t="s">
        <v>55</v>
      </c>
      <c r="H5953" s="22" t="s">
        <v>55</v>
      </c>
      <c r="I5953" s="26">
        <v>43640.571273148104</v>
      </c>
      <c r="J5953" s="28" t="s">
        <v>52</v>
      </c>
      <c r="K5953" s="28" t="s">
        <v>52</v>
      </c>
      <c r="L5953" s="28" t="s">
        <v>52</v>
      </c>
      <c r="M5953" s="28" t="s">
        <v>52</v>
      </c>
      <c r="N5953" s="28" t="s">
        <v>52</v>
      </c>
    </row>
    <row r="5954" spans="1:14" x14ac:dyDescent="0.15">
      <c r="A5954" s="23" t="str">
        <f>HYPERLINK("https://www.spark-marketing.ru/Card/Person/1887298", "АО ""ТОРГОВЫЙ ДОМ ""ПЕРЕКРЕСТОК""")</f>
        <v>АО "ТОРГОВЫЙ ДОМ "ПЕРЕКРЕСТОК"</v>
      </c>
      <c r="B5954" s="24" t="s">
        <v>6999</v>
      </c>
      <c r="C5954" s="25">
        <v>0</v>
      </c>
      <c r="D5954" s="22" t="s">
        <v>7692</v>
      </c>
      <c r="E5954" s="22" t="s">
        <v>786</v>
      </c>
      <c r="F5954" s="23" t="str">
        <f>HYPERLINK("https://www.spark-marketing.ru/Card/Lot/71619891", "Видео диагностика участка трубопровода длиной менее 50 м с отчетом на цифровом носителе")</f>
        <v>Видео диагностика участка трубопровода длиной менее 50 м с отчетом на цифровом носителе</v>
      </c>
      <c r="G5954" s="22" t="s">
        <v>55</v>
      </c>
      <c r="H5954" s="22" t="s">
        <v>55</v>
      </c>
      <c r="I5954" s="26">
        <v>43640.571273148104</v>
      </c>
      <c r="J5954" s="28" t="s">
        <v>52</v>
      </c>
      <c r="K5954" s="28" t="s">
        <v>52</v>
      </c>
      <c r="L5954" s="28" t="s">
        <v>52</v>
      </c>
      <c r="M5954" s="28" t="s">
        <v>52</v>
      </c>
      <c r="N5954" s="28" t="s">
        <v>52</v>
      </c>
    </row>
    <row r="5955" spans="1:14" x14ac:dyDescent="0.15">
      <c r="A5955" s="23" t="str">
        <f>HYPERLINK("https://www.spark-marketing.ru/Card/Person/24398", "ГКУ КАЛУЖСКОЙ ОБЛАСТИ ""КАЛУГАДОРЗАКАЗЧИК""")</f>
        <v>ГКУ КАЛУЖСКОЙ ОБЛАСТИ "КАЛУГАДОРЗАКАЗЧИК"</v>
      </c>
      <c r="B5955" s="24" t="s">
        <v>7693</v>
      </c>
      <c r="C5955" s="25">
        <v>12610000</v>
      </c>
      <c r="D5955" s="22" t="s">
        <v>7694</v>
      </c>
      <c r="E5955" s="22" t="s">
        <v>68</v>
      </c>
      <c r="F5955" s="23" t="str">
        <f>HYPERLINK("https://www.spark-marketing.ru/Card/Lot/71622235", "Оказание услуг по обеспечению транспортной безопасности")</f>
        <v>Оказание услуг по обеспечению транспортной безопасности</v>
      </c>
      <c r="G5955" s="22" t="s">
        <v>658</v>
      </c>
      <c r="H5955" s="22" t="s">
        <v>741</v>
      </c>
      <c r="I5955" s="26">
        <v>43640.577777777798</v>
      </c>
      <c r="J5955" s="28" t="s">
        <v>52</v>
      </c>
      <c r="K5955" s="28" t="s">
        <v>52</v>
      </c>
      <c r="L5955" s="28" t="s">
        <v>52</v>
      </c>
      <c r="M5955" s="28" t="s">
        <v>52</v>
      </c>
      <c r="N5955" s="28" t="s">
        <v>52</v>
      </c>
    </row>
    <row r="5956" spans="1:14" hidden="1" outlineLevel="1" x14ac:dyDescent="0.2">
      <c r="A5956" s="23" t="str">
        <f>HYPERLINK("https://www.spark-marketing.ru/Card/Person/24398", "ГКУ КАЛУЖСКОЙ ОБЛАСТИ ""КАЛУГАДОРЗАКАЗЧИК""")</f>
        <v>ГКУ КАЛУЖСКОЙ ОБЛАСТИ "КАЛУГАДОРЗАКАЗЧИК"</v>
      </c>
      <c r="B5956" s="24" t="s">
        <v>7693</v>
      </c>
      <c r="C5956" s="25">
        <v>12610000</v>
      </c>
      <c r="D5956" s="22" t="s">
        <v>7694</v>
      </c>
      <c r="E5956" s="22" t="s">
        <v>68</v>
      </c>
      <c r="F5956" s="23" t="str">
        <f>HYPERLINK("https://www.spark-marketing.ru/Card/Lot/71622235", "Оказание услуг по обеспечению транспортной безопасности")</f>
        <v>Оказание услуг по обеспечению транспортной безопасности</v>
      </c>
      <c r="G5956" s="22" t="s">
        <v>658</v>
      </c>
      <c r="H5956" s="22" t="s">
        <v>741</v>
      </c>
      <c r="I5956" s="26">
        <v>43640.577777777798</v>
      </c>
      <c r="J5956" s="23" t="str">
        <f>HYPERLINK("https://www.spark-marketing.ru/Card/Person/81571", "ООО ""СО ""АНТИТЕРРОР""")</f>
        <v>ООО "СО "АНТИТЕРРОР"</v>
      </c>
      <c r="K5956" s="24" t="s">
        <v>3384</v>
      </c>
      <c r="L5956" s="28" t="s">
        <v>52</v>
      </c>
      <c r="M5956" s="25">
        <v>12546950</v>
      </c>
      <c r="N5956" s="27">
        <v>5.0000000000000001E-3</v>
      </c>
    </row>
    <row r="5957" spans="1:14" ht="12.75" hidden="1" outlineLevel="1" x14ac:dyDescent="0.2">
      <c r="A5957" s="23" t="str">
        <f>HYPERLINK("https://www.spark-marketing.ru/Card/Person/24398", "ГКУ КАЛУЖСКОЙ ОБЛАСТИ ""КАЛУГАДОРЗАКАЗЧИК""")</f>
        <v>ГКУ КАЛУЖСКОЙ ОБЛАСТИ "КАЛУГАДОРЗАКАЗЧИК"</v>
      </c>
      <c r="B5957" s="24" t="s">
        <v>7693</v>
      </c>
      <c r="C5957" s="25">
        <v>12610000</v>
      </c>
      <c r="D5957" s="22" t="s">
        <v>7694</v>
      </c>
      <c r="E5957" s="22" t="s">
        <v>68</v>
      </c>
      <c r="F5957" s="23" t="str">
        <f>HYPERLINK("https://www.spark-marketing.ru/Card/Lot/71622235", "Оказание услуг по обеспечению транспортной безопасности")</f>
        <v>Оказание услуг по обеспечению транспортной безопасности</v>
      </c>
      <c r="G5957" s="22" t="s">
        <v>658</v>
      </c>
      <c r="H5957" s="22" t="s">
        <v>741</v>
      </c>
      <c r="I5957" s="26">
        <v>43640.577777777798</v>
      </c>
      <c r="J5957" s="23" t="str">
        <f>HYPERLINK("https://www.spark-marketing.ru/Card/Person/1978058", "ООО ""ФОРМУЛА БЕЗОПАСНОСТИ ТРАНСПОРТА""")</f>
        <v>ООО "ФОРМУЛА БЕЗОПАСНОСТИ ТРАНСПОРТА"</v>
      </c>
      <c r="K5957" s="24" t="s">
        <v>3385</v>
      </c>
      <c r="L5957" s="22" t="s">
        <v>10</v>
      </c>
      <c r="M5957" s="25">
        <v>12357800</v>
      </c>
      <c r="N5957" s="27">
        <v>0.02</v>
      </c>
    </row>
    <row r="5958" spans="1:14" hidden="1" outlineLevel="1" x14ac:dyDescent="0.2">
      <c r="A5958" s="23" t="str">
        <f>HYPERLINK("https://www.spark-marketing.ru/Card/Person/24398", "ГКУ КАЛУЖСКОЙ ОБЛАСТИ ""КАЛУГАДОРЗАКАЗЧИК""")</f>
        <v>ГКУ КАЛУЖСКОЙ ОБЛАСТИ "КАЛУГАДОРЗАКАЗЧИК"</v>
      </c>
      <c r="B5958" s="24" t="s">
        <v>7693</v>
      </c>
      <c r="C5958" s="25">
        <v>12610000</v>
      </c>
      <c r="D5958" s="22" t="s">
        <v>7694</v>
      </c>
      <c r="E5958" s="22" t="s">
        <v>68</v>
      </c>
      <c r="F5958" s="23" t="str">
        <f>HYPERLINK("https://www.spark-marketing.ru/Card/Lot/71622235", "Оказание услуг по обеспечению транспортной безопасности")</f>
        <v>Оказание услуг по обеспечению транспортной безопасности</v>
      </c>
      <c r="G5958" s="22" t="s">
        <v>658</v>
      </c>
      <c r="H5958" s="22" t="s">
        <v>741</v>
      </c>
      <c r="I5958" s="26">
        <v>43640.577777777798</v>
      </c>
      <c r="J5958" s="23" t="str">
        <f>HYPERLINK("https://www.spark-marketing.ru/Card/Person/20706", "ООО ""ЦВБ""")</f>
        <v>ООО "ЦВБ"</v>
      </c>
      <c r="K5958" s="24" t="s">
        <v>2872</v>
      </c>
      <c r="L5958" s="28" t="s">
        <v>52</v>
      </c>
      <c r="M5958" s="25">
        <v>12420850</v>
      </c>
      <c r="N5958" s="27">
        <v>1.4999999999999999E-2</v>
      </c>
    </row>
    <row r="5959" spans="1:14" x14ac:dyDescent="0.15">
      <c r="A5959" s="23" t="str">
        <f>HYPERLINK("https://www.spark-marketing.ru/Card/Person/1034662", "МБДОУ ДЕТСКИЙ САД № 7 ""ЖУРАВУШКА"" Г. ОХИ")</f>
        <v>МБДОУ ДЕТСКИЙ САД № 7 "ЖУРАВУШКА" Г. ОХИ</v>
      </c>
      <c r="B5959" s="24" t="s">
        <v>7695</v>
      </c>
      <c r="C5959" s="25">
        <v>974057.76</v>
      </c>
      <c r="D5959" s="22" t="s">
        <v>7696</v>
      </c>
      <c r="E5959" s="22" t="s">
        <v>52</v>
      </c>
      <c r="F5959" s="23" t="str">
        <f>HYPERLINK("https://www.spark-marketing.ru/Card/Lot/71595846", "Оказание услуг по охране территории и здания")</f>
        <v>Оказание услуг по охране территории и здания</v>
      </c>
      <c r="G5959" s="22" t="s">
        <v>69</v>
      </c>
      <c r="H5959" s="22" t="s">
        <v>6498</v>
      </c>
      <c r="I5959" s="26">
        <v>43640.505555555603</v>
      </c>
      <c r="J5959" s="28" t="s">
        <v>52</v>
      </c>
      <c r="K5959" s="28" t="s">
        <v>52</v>
      </c>
      <c r="L5959" s="28" t="s">
        <v>52</v>
      </c>
      <c r="M5959" s="28" t="s">
        <v>52</v>
      </c>
      <c r="N5959" s="28" t="s">
        <v>52</v>
      </c>
    </row>
    <row r="5960" spans="1:14" hidden="1" outlineLevel="1" x14ac:dyDescent="0.2">
      <c r="A5960" s="23" t="str">
        <f>HYPERLINK("https://www.spark-marketing.ru/Card/Person/1034662", "МБДОУ ДЕТСКИЙ САД № 7 ""ЖУРАВУШКА"" Г. ОХИ")</f>
        <v>МБДОУ ДЕТСКИЙ САД № 7 "ЖУРАВУШКА" Г. ОХИ</v>
      </c>
      <c r="B5960" s="24" t="s">
        <v>7695</v>
      </c>
      <c r="C5960" s="25">
        <v>974057.76</v>
      </c>
      <c r="D5960" s="22" t="s">
        <v>7696</v>
      </c>
      <c r="E5960" s="22" t="s">
        <v>52</v>
      </c>
      <c r="F5960" s="23" t="str">
        <f>HYPERLINK("https://www.spark-marketing.ru/Card/Lot/71595846", "Оказание услуг по охране территории и здания")</f>
        <v>Оказание услуг по охране территории и здания</v>
      </c>
      <c r="G5960" s="22" t="s">
        <v>69</v>
      </c>
      <c r="H5960" s="22" t="s">
        <v>6498</v>
      </c>
      <c r="I5960" s="26">
        <v>43640.505555555603</v>
      </c>
      <c r="J5960" s="23" t="str">
        <f>HYPERLINK("https://www.spark-marketing.ru/Card/Person/1799821", "ООО ""ЧОО ""КЕДР-К""")</f>
        <v>ООО "ЧОО "КЕДР-К"</v>
      </c>
      <c r="K5960" s="24" t="s">
        <v>5612</v>
      </c>
      <c r="L5960" s="28" t="s">
        <v>52</v>
      </c>
      <c r="M5960" s="25">
        <v>662359.21</v>
      </c>
      <c r="N5960" s="27">
        <v>0.32000006857909535</v>
      </c>
    </row>
    <row r="5961" spans="1:14" ht="12.75" hidden="1" outlineLevel="1" x14ac:dyDescent="0.2">
      <c r="A5961" s="23" t="str">
        <f>HYPERLINK("https://www.spark-marketing.ru/Card/Person/1034662", "МБДОУ ДЕТСКИЙ САД № 7 ""ЖУРАВУШКА"" Г. ОХИ")</f>
        <v>МБДОУ ДЕТСКИЙ САД № 7 "ЖУРАВУШКА" Г. ОХИ</v>
      </c>
      <c r="B5961" s="24" t="s">
        <v>7695</v>
      </c>
      <c r="C5961" s="25">
        <v>974057.76</v>
      </c>
      <c r="D5961" s="22" t="s">
        <v>7696</v>
      </c>
      <c r="E5961" s="22" t="s">
        <v>52</v>
      </c>
      <c r="F5961" s="23" t="str">
        <f>HYPERLINK("https://www.spark-marketing.ru/Card/Lot/71595846", "Оказание услуг по охране территории и здания")</f>
        <v>Оказание услуг по охране территории и здания</v>
      </c>
      <c r="G5961" s="22" t="s">
        <v>69</v>
      </c>
      <c r="H5961" s="22" t="s">
        <v>6498</v>
      </c>
      <c r="I5961" s="26">
        <v>43640.505555555603</v>
      </c>
      <c r="J5961" s="23" t="str">
        <f>HYPERLINK("https://www.spark-marketing.ru/Card/Person/2593395", "ООО ЧОП ""ИРБИС-Т""")</f>
        <v>ООО ЧОП "ИРБИС-Т"</v>
      </c>
      <c r="K5961" s="24" t="s">
        <v>7697</v>
      </c>
      <c r="L5961" s="22" t="s">
        <v>10</v>
      </c>
      <c r="M5961" s="25">
        <v>530861.38</v>
      </c>
      <c r="N5961" s="27">
        <v>0.45500010184200984</v>
      </c>
    </row>
    <row r="5962" spans="1:14" hidden="1" outlineLevel="1" x14ac:dyDescent="0.2">
      <c r="A5962" s="23" t="str">
        <f>HYPERLINK("https://www.spark-marketing.ru/Card/Person/1034662", "МБДОУ ДЕТСКИЙ САД № 7 ""ЖУРАВУШКА"" Г. ОХИ")</f>
        <v>МБДОУ ДЕТСКИЙ САД № 7 "ЖУРАВУШКА" Г. ОХИ</v>
      </c>
      <c r="B5962" s="24" t="s">
        <v>7695</v>
      </c>
      <c r="C5962" s="25">
        <v>974057.76</v>
      </c>
      <c r="D5962" s="22" t="s">
        <v>7696</v>
      </c>
      <c r="E5962" s="22" t="s">
        <v>52</v>
      </c>
      <c r="F5962" s="23" t="str">
        <f>HYPERLINK("https://www.spark-marketing.ru/Card/Lot/71595846", "Оказание услуг по охране территории и здания")</f>
        <v>Оказание услуг по охране территории и здания</v>
      </c>
      <c r="G5962" s="22" t="s">
        <v>69</v>
      </c>
      <c r="H5962" s="22" t="s">
        <v>6498</v>
      </c>
      <c r="I5962" s="26">
        <v>43640.505555555603</v>
      </c>
      <c r="J5962" s="23" t="str">
        <f>HYPERLINK("https://www.spark-marketing.ru/Card/Person/85612", "ООО ЧОП ""ИНФОСЕРВИС""")</f>
        <v>ООО ЧОП "ИНФОСЕРВИС"</v>
      </c>
      <c r="K5962" s="24" t="s">
        <v>7698</v>
      </c>
      <c r="L5962" s="28" t="s">
        <v>52</v>
      </c>
      <c r="M5962" s="25">
        <v>535731.67000000004</v>
      </c>
      <c r="N5962" s="27">
        <v>0.45000010061005008</v>
      </c>
    </row>
    <row r="5963" spans="1:14" x14ac:dyDescent="0.15">
      <c r="A5963" s="23" t="str">
        <f>HYPERLINK("https://www.spark-marketing.ru/Card/Person/6249833", "ООО ""КРОНОС""")</f>
        <v>ООО "КРОНОС"</v>
      </c>
      <c r="B5963" s="24" t="s">
        <v>7699</v>
      </c>
      <c r="C5963" s="28" t="s">
        <v>52</v>
      </c>
      <c r="D5963" s="22" t="s">
        <v>7700</v>
      </c>
      <c r="E5963" s="22" t="s">
        <v>7701</v>
      </c>
      <c r="F5963" s="23" t="str">
        <f>HYPERLINK("https://www.spark-marketing.ru/Card/Lot/71609538", "Поставка товарно-материальных ценностей, указанных в Техническом задании, монтаж и пуско-наладочные работы данных товарно-материальных ценностей на объекте БЦ «Кронос», расположенном по адресу: г. Новосибирск, ул. Советская, д. 5")</f>
        <v>Поставка товарно-материальных ценностей, указанных в Техническом задании, монтаж и пуско-наладочные работы данных товарно-материальных ценностей на объекте БЦ «Кронос», расположенном по адресу: г. Новосибирск, ул. Советская, д. 5</v>
      </c>
      <c r="G5963" s="22" t="s">
        <v>209</v>
      </c>
      <c r="H5963" s="22" t="s">
        <v>210</v>
      </c>
      <c r="I5963" s="26">
        <v>43640.520833333299</v>
      </c>
      <c r="J5963" s="28" t="s">
        <v>52</v>
      </c>
      <c r="K5963" s="28" t="s">
        <v>52</v>
      </c>
      <c r="L5963" s="28" t="s">
        <v>52</v>
      </c>
      <c r="M5963" s="28" t="s">
        <v>52</v>
      </c>
      <c r="N5963" s="28" t="s">
        <v>52</v>
      </c>
    </row>
    <row r="5964" spans="1:14" x14ac:dyDescent="0.15">
      <c r="A5964" s="23" t="str">
        <f>HYPERLINK("https://www.spark-marketing.ru/Card/Person/1759723", "МАДОУ ""ДЕТСКИЙ САД № 6 ""ЛУКОМОРЬЕ""")</f>
        <v>МАДОУ "ДЕТСКИЙ САД № 6 "ЛУКОМОРЬЕ"</v>
      </c>
      <c r="B5964" s="24" t="s">
        <v>539</v>
      </c>
      <c r="C5964" s="25">
        <v>413280</v>
      </c>
      <c r="D5964" s="22" t="s">
        <v>7702</v>
      </c>
      <c r="E5964" s="22" t="s">
        <v>144</v>
      </c>
      <c r="F5964" s="23" t="str">
        <f>HYPERLINK("https://www.spark-marketing.ru/Card/Lot/71602056", "Оказание охранных услуг")</f>
        <v>Оказание охранных услуг</v>
      </c>
      <c r="G5964" s="22" t="s">
        <v>119</v>
      </c>
      <c r="H5964" s="22" t="s">
        <v>119</v>
      </c>
      <c r="I5964" s="26">
        <v>43640.469884259299</v>
      </c>
      <c r="J5964" s="28" t="s">
        <v>52</v>
      </c>
      <c r="K5964" s="28" t="s">
        <v>52</v>
      </c>
      <c r="L5964" s="28" t="s">
        <v>52</v>
      </c>
      <c r="M5964" s="28" t="s">
        <v>52</v>
      </c>
      <c r="N5964" s="28" t="s">
        <v>52</v>
      </c>
    </row>
    <row r="5965" spans="1:14" x14ac:dyDescent="0.15">
      <c r="A5965" s="23" t="str">
        <f>HYPERLINK("https://www.spark-marketing.ru/Card/Person/101014", "МОУ ""ГИМНАЗИЯ №4""")</f>
        <v>МОУ "ГИМНАЗИЯ №4"</v>
      </c>
      <c r="B5965" s="24" t="s">
        <v>7703</v>
      </c>
      <c r="C5965" s="25">
        <v>199990.44</v>
      </c>
      <c r="D5965" s="22" t="s">
        <v>7704</v>
      </c>
      <c r="E5965" s="22" t="s">
        <v>84</v>
      </c>
      <c r="F5965" s="23" t="str">
        <f>HYPERLINK("https://www.spark-marketing.ru/Card/Lot/71607186", "Установка и монтаж систем видеонаблюдения (модернизации существующей системы видеонаблюдения) в помещениях и на фасаде здания МОУ «Гимназия 4» расположенной по адресу: М.О. г. Электросталь, ул. Мира, д.24 В, и приведение локальной вычислительной сети...")</f>
        <v>Установка и монтаж систем видеонаблюдения (модернизации существующей системы видеонаблюдения) в помещениях и на фасаде здания МОУ «Гимназия 4» расположенной по адресу: М.О. г. Электросталь, ул. Мира, д.24 В, и приведение локальной вычислительной сети...</v>
      </c>
      <c r="G5965" s="22" t="s">
        <v>50</v>
      </c>
      <c r="H5965" s="22" t="s">
        <v>747</v>
      </c>
      <c r="I5965" s="26">
        <v>43640.4930902778</v>
      </c>
      <c r="J5965" s="28" t="s">
        <v>52</v>
      </c>
      <c r="K5965" s="28" t="s">
        <v>52</v>
      </c>
      <c r="L5965" s="28" t="s">
        <v>52</v>
      </c>
      <c r="M5965" s="28" t="s">
        <v>52</v>
      </c>
      <c r="N5965" s="28" t="s">
        <v>52</v>
      </c>
    </row>
    <row r="5966" spans="1:14" x14ac:dyDescent="0.15">
      <c r="A5966" s="23" t="str">
        <f>HYPERLINK("https://www.spark-marketing.ru/Card/Person/2481587", "ООО ""РЕГИОНГАЗСЕРВИС""")</f>
        <v>ООО "РЕГИОНГАЗСЕРВИС"</v>
      </c>
      <c r="B5966" s="24" t="s">
        <v>7705</v>
      </c>
      <c r="C5966" s="25">
        <v>192000</v>
      </c>
      <c r="D5966" s="22" t="s">
        <v>7706</v>
      </c>
      <c r="E5966" s="22" t="s">
        <v>144</v>
      </c>
      <c r="F5966" s="23" t="str">
        <f>HYPERLINK("https://www.spark-marketing.ru/Card/Lot/71605620", "Оказание услуг по обеспечению охраны на объектах, оборудованных средствами охранной сигнализации и системой видеонаблюдения")</f>
        <v>Оказание услуг по обеспечению охраны на объектах, оборудованных средствами охранной сигнализации и системой видеонаблюдения</v>
      </c>
      <c r="G5966" s="22" t="s">
        <v>556</v>
      </c>
      <c r="H5966" s="22" t="s">
        <v>556</v>
      </c>
      <c r="I5966" s="26">
        <v>43640.476331018501</v>
      </c>
      <c r="J5966" s="28" t="s">
        <v>52</v>
      </c>
      <c r="K5966" s="28" t="s">
        <v>52</v>
      </c>
      <c r="L5966" s="28" t="s">
        <v>52</v>
      </c>
      <c r="M5966" s="28" t="s">
        <v>52</v>
      </c>
      <c r="N5966" s="28" t="s">
        <v>52</v>
      </c>
    </row>
    <row r="5967" spans="1:14" x14ac:dyDescent="0.15">
      <c r="A5967" s="23" t="str">
        <f>HYPERLINK("https://www.spark-marketing.ru/Card/Person/53382", "АДМИНИСТРАЦИЯ МУНИЦИПАЛЬНОГО ОБРАЗОВАНИЯ ""ГОРОДСКОЕ ПОСЕЛЕНИЕ ГОРОД ЮХНОВ""")</f>
        <v>АДМИНИСТРАЦИЯ МУНИЦИПАЛЬНОГО ОБРАЗОВАНИЯ "ГОРОДСКОЕ ПОСЕЛЕНИЕ ГОРОД ЮХНОВ"</v>
      </c>
      <c r="B5967" s="24" t="s">
        <v>7707</v>
      </c>
      <c r="C5967" s="25">
        <v>230000</v>
      </c>
      <c r="D5967" s="22" t="s">
        <v>7708</v>
      </c>
      <c r="E5967" s="22" t="s">
        <v>1634</v>
      </c>
      <c r="F5967" s="23" t="str">
        <f>HYPERLINK("https://www.spark-marketing.ru/Card/Lot/71609754", "Оказание услуг по обеспечению безопасности людей на водных объектах, охране их жизни и здоровья в зоне для купания на реке Угра на территории муниципального образования ""Городское поселение город Юхнов"" (мобильный спасательный пост) (реестровый ном...")</f>
        <v>Оказание услуг по обеспечению безопасности людей на водных объектах, охране их жизни и здоровья в зоне для купания на реке Угра на территории муниципального образования "Городское поселение город Юхнов" (мобильный спасательный пост) (реестровый ном...</v>
      </c>
      <c r="G5967" s="22" t="s">
        <v>658</v>
      </c>
      <c r="H5967" s="22" t="s">
        <v>658</v>
      </c>
      <c r="I5967" s="26">
        <v>43640.472222222197</v>
      </c>
      <c r="J5967" s="23" t="str">
        <f>HYPERLINK("https://www.spark-marketing.ru/Card/Person/343368", "Халкин Юрий Валентинович")</f>
        <v>Халкин Юрий Валентинович</v>
      </c>
      <c r="K5967" s="24" t="s">
        <v>7709</v>
      </c>
      <c r="L5967" s="22" t="s">
        <v>10</v>
      </c>
      <c r="M5967" s="28" t="s">
        <v>52</v>
      </c>
      <c r="N5967" s="28" t="s">
        <v>52</v>
      </c>
    </row>
    <row r="5968" spans="1:14" x14ac:dyDescent="0.15">
      <c r="A5968" s="23" t="str">
        <f>HYPERLINK("https://www.spark-marketing.ru/Card/Person/101014", "МОУ ""ГИМНАЗИЯ №4""")</f>
        <v>МОУ "ГИМНАЗИЯ №4"</v>
      </c>
      <c r="B5968" s="24" t="s">
        <v>7703</v>
      </c>
      <c r="C5968" s="25">
        <v>399973.58</v>
      </c>
      <c r="D5968" s="22" t="s">
        <v>7710</v>
      </c>
      <c r="E5968" s="22" t="s">
        <v>84</v>
      </c>
      <c r="F5968" s="23" t="str">
        <f>HYPERLINK("https://www.spark-marketing.ru/Card/Lot/71607181", "установка и монтаж систем видеонаблюдения в помещениях и на фасаде здания МОУ «Гимназия 4» расположенной по адресу М.О. г. Электросталь, ул. Мира, д.24 В, и приведение существующей системы видеонаблюдения к выполнению функции видео-аналитики.")</f>
        <v>установка и монтаж систем видеонаблюдения в помещениях и на фасаде здания МОУ «Гимназия 4» расположенной по адресу М.О. г. Электросталь, ул. Мира, д.24 В, и приведение существующей системы видеонаблюдения к выполнению функции видео-аналитики.</v>
      </c>
      <c r="G5968" s="22" t="s">
        <v>50</v>
      </c>
      <c r="H5968" s="22" t="s">
        <v>747</v>
      </c>
      <c r="I5968" s="26">
        <v>43640.493009259299</v>
      </c>
      <c r="J5968" s="28" t="s">
        <v>52</v>
      </c>
      <c r="K5968" s="28" t="s">
        <v>52</v>
      </c>
      <c r="L5968" s="28" t="s">
        <v>52</v>
      </c>
      <c r="M5968" s="28" t="s">
        <v>52</v>
      </c>
      <c r="N5968" s="28" t="s">
        <v>52</v>
      </c>
    </row>
    <row r="5969" spans="1:14" x14ac:dyDescent="0.15">
      <c r="A5969" s="23" t="str">
        <f>HYPERLINK("https://www.spark-marketing.ru/Card/Person/4349005", "ГБПОУ СО ""СОЦИАЛЬНО-ПРОФЕССИОНАЛЬНЫЙ ТЕХНИКУМ ""СТРОИТЕЛЬ""")</f>
        <v>ГБПОУ СО "СОЦИАЛЬНО-ПРОФЕССИОНАЛЬНЫЙ ТЕХНИКУМ "СТРОИТЕЛЬ"</v>
      </c>
      <c r="B5969" s="24" t="s">
        <v>7711</v>
      </c>
      <c r="C5969" s="25">
        <v>680000</v>
      </c>
      <c r="D5969" s="22" t="s">
        <v>7712</v>
      </c>
      <c r="E5969" s="22" t="s">
        <v>52</v>
      </c>
      <c r="F5969" s="23" t="str">
        <f>HYPERLINK("https://www.spark-marketing.ru/Card/Lot/71601277", "Оказание услуг по охране объектов, обеспечение внутриобъектового и пропускного режима на объектах заказчика")</f>
        <v>Оказание услуг по охране объектов, обеспечение внутриобъектового и пропускного режима на объектах заказчика</v>
      </c>
      <c r="G5969" s="22" t="s">
        <v>72</v>
      </c>
      <c r="H5969" s="22" t="s">
        <v>949</v>
      </c>
      <c r="I5969" s="26">
        <v>43640.429861111101</v>
      </c>
      <c r="J5969" s="23" t="str">
        <f>HYPERLINK("https://www.spark-marketing.ru/Card/Person/2515948", "ООО ЧОО ""РБ""")</f>
        <v>ООО ЧОО "РБ"</v>
      </c>
      <c r="K5969" s="24" t="s">
        <v>7713</v>
      </c>
      <c r="L5969" s="22" t="s">
        <v>10</v>
      </c>
      <c r="M5969" s="28" t="s">
        <v>52</v>
      </c>
      <c r="N5969" s="28" t="s">
        <v>52</v>
      </c>
    </row>
    <row r="5970" spans="1:14" x14ac:dyDescent="0.15">
      <c r="A5970" s="23" t="str">
        <f>HYPERLINK("https://www.spark-marketing.ru/Card/Person/4344913", "ДЕПАРТАМЕНТ ТРАНСПОРТА И ДОРОЖНОГО ХОЗЯЙСТВА ПРИМОРСКОГО КРАЯ")</f>
        <v>ДЕПАРТАМЕНТ ТРАНСПОРТА И ДОРОЖНОГО ХОЗЯЙСТВА ПРИМОРСКОГО КРАЯ</v>
      </c>
      <c r="B5970" s="24" t="s">
        <v>7714</v>
      </c>
      <c r="C5970" s="25">
        <v>16521102.84</v>
      </c>
      <c r="D5970" s="22" t="s">
        <v>7715</v>
      </c>
      <c r="E5970" s="22" t="s">
        <v>52</v>
      </c>
      <c r="F5970" s="23" t="str">
        <f>HYPERLINK("https://www.spark-marketing.ru/Card/Lot/71595625", "Оказание услуг охраны искусственного дорожного сооружения «Низководный мост (эстакада) полуостров Де-Фриз - Седанка (14 км+340 м-18 км+708 м)», защиты объекта транспортной инфраструктуры от противоправных посягательств и актов незаконного вмешательст...")</f>
        <v>Оказание услуг охраны искусственного дорожного сооружения «Низководный мост (эстакада) полуостров Де-Фриз - Седанка (14 км+340 м-18 км+708 м)», защиты объекта транспортной инфраструктуры от противоправных посягательств и актов незаконного вмешательст...</v>
      </c>
      <c r="G5970" s="22" t="s">
        <v>409</v>
      </c>
      <c r="H5970" s="22" t="s">
        <v>878</v>
      </c>
      <c r="I5970" s="26">
        <v>43640.420833333301</v>
      </c>
      <c r="J5970" s="28" t="s">
        <v>52</v>
      </c>
      <c r="K5970" s="28" t="s">
        <v>52</v>
      </c>
      <c r="L5970" s="28" t="s">
        <v>52</v>
      </c>
      <c r="M5970" s="28" t="s">
        <v>52</v>
      </c>
      <c r="N5970" s="28" t="s">
        <v>52</v>
      </c>
    </row>
    <row r="5971" spans="1:14" x14ac:dyDescent="0.15">
      <c r="A5971" s="23" t="str">
        <f>HYPERLINK("https://www.spark-marketing.ru/Card/Person/145073", "УПРАВЛЕНИЕ ДЕЛАМИ")</f>
        <v>УПРАВЛЕНИЕ ДЕЛАМИ</v>
      </c>
      <c r="B5971" s="24" t="s">
        <v>6462</v>
      </c>
      <c r="C5971" s="25">
        <v>806000</v>
      </c>
      <c r="D5971" s="22" t="s">
        <v>7716</v>
      </c>
      <c r="E5971" s="22" t="s">
        <v>3770</v>
      </c>
      <c r="F5971" s="23" t="str">
        <f>HYPERLINK("https://www.spark-marketing.ru/Card/Lot/71595334", "Установка системы видеонаблюдения на территории Елизовского городского поселения")</f>
        <v>Установка системы видеонаблюдения на территории Елизовского городского поселения</v>
      </c>
      <c r="G5971" s="22" t="s">
        <v>1141</v>
      </c>
      <c r="H5971" s="22" t="s">
        <v>1141</v>
      </c>
      <c r="I5971" s="26">
        <v>43640.431250000001</v>
      </c>
      <c r="J5971" s="28" t="s">
        <v>52</v>
      </c>
      <c r="K5971" s="28" t="s">
        <v>52</v>
      </c>
      <c r="L5971" s="28" t="s">
        <v>52</v>
      </c>
      <c r="M5971" s="28" t="s">
        <v>52</v>
      </c>
      <c r="N5971" s="28" t="s">
        <v>52</v>
      </c>
    </row>
    <row r="5972" spans="1:14" x14ac:dyDescent="0.15">
      <c r="A5972" s="23" t="str">
        <f>HYPERLINK("https://www.spark-marketing.ru/Card/Person/4344913", "ДЕПАРТАМЕНТ ТРАНСПОРТА И ДОРОЖНОГО ХОЗЯЙСТВА ПРИМОРСКОГО КРАЯ")</f>
        <v>ДЕПАРТАМЕНТ ТРАНСПОРТА И ДОРОЖНОГО ХОЗЯЙСТВА ПРИМОРСКОГО КРАЯ</v>
      </c>
      <c r="B5972" s="24" t="s">
        <v>7714</v>
      </c>
      <c r="C5972" s="25">
        <v>7082901.4800000004</v>
      </c>
      <c r="D5972" s="22" t="s">
        <v>7717</v>
      </c>
      <c r="E5972" s="22" t="s">
        <v>52</v>
      </c>
      <c r="F5972" s="23" t="str">
        <f>HYPERLINK("https://www.spark-marketing.ru/Card/Lot/71595885", "Оказание услуг охраны искусственного дорожного сооружения «Тоннель на км 76+025 - км 76+500 автомобильной дороги Раздольное-Хасан в Приморском крае», защиты объекта транспортной инфраструктуры от противоправных посягательств и актов незаконного вмеша...")</f>
        <v>Оказание услуг охраны искусственного дорожного сооружения «Тоннель на км 76+025 - км 76+500 автомобильной дороги Раздольное-Хасан в Приморском крае», защиты объекта транспортной инфраструктуры от противоправных посягательств и актов незаконного вмеша...</v>
      </c>
      <c r="G5972" s="22" t="s">
        <v>409</v>
      </c>
      <c r="H5972" s="22" t="s">
        <v>878</v>
      </c>
      <c r="I5972" s="26">
        <v>43640.440972222197</v>
      </c>
      <c r="J5972" s="28" t="s">
        <v>52</v>
      </c>
      <c r="K5972" s="28" t="s">
        <v>52</v>
      </c>
      <c r="L5972" s="28" t="s">
        <v>52</v>
      </c>
      <c r="M5972" s="28" t="s">
        <v>52</v>
      </c>
      <c r="N5972" s="28" t="s">
        <v>52</v>
      </c>
    </row>
    <row r="5973" spans="1:14" x14ac:dyDescent="0.15">
      <c r="A5973" s="23" t="str">
        <f>HYPERLINK("https://www.spark-marketing.ru/Card/Person/1478626", "ГБПОУ СО ""ВПМТТ ""ЮНОСТЬ""")</f>
        <v>ГБПОУ СО "ВПМТТ "ЮНОСТЬ"</v>
      </c>
      <c r="B5973" s="24" t="s">
        <v>7718</v>
      </c>
      <c r="C5973" s="25">
        <v>567237.6</v>
      </c>
      <c r="D5973" s="22" t="s">
        <v>7719</v>
      </c>
      <c r="E5973" s="22" t="s">
        <v>59</v>
      </c>
      <c r="F5973" s="23" t="str">
        <f>HYPERLINK("https://www.spark-marketing.ru/Card/Lot/71603141", "Установка системы охранной сигнализации в зданиях техникума по адресам: г. Верхняя Пышма, ул. Кривоусова,53 и ул. Лесная,1")</f>
        <v>Установка системы охранной сигнализации в зданиях техникума по адресам: г. Верхняя Пышма, ул. Кривоусова,53 и ул. Лесная,1</v>
      </c>
      <c r="G5973" s="22" t="s">
        <v>72</v>
      </c>
      <c r="H5973" s="22" t="s">
        <v>5226</v>
      </c>
      <c r="I5973" s="26">
        <v>43640.429861111101</v>
      </c>
      <c r="J5973" s="28" t="s">
        <v>52</v>
      </c>
      <c r="K5973" s="28" t="s">
        <v>52</v>
      </c>
      <c r="L5973" s="28" t="s">
        <v>52</v>
      </c>
      <c r="M5973" s="28" t="s">
        <v>52</v>
      </c>
      <c r="N5973" s="28" t="s">
        <v>52</v>
      </c>
    </row>
    <row r="5974" spans="1:14" ht="12.75" hidden="1" outlineLevel="1" x14ac:dyDescent="0.2">
      <c r="A5974" s="23" t="str">
        <f>HYPERLINK("https://www.spark-marketing.ru/Card/Person/1478626", "ГБПОУ СО ""ВПМТТ ""ЮНОСТЬ""")</f>
        <v>ГБПОУ СО "ВПМТТ "ЮНОСТЬ"</v>
      </c>
      <c r="B5974" s="24" t="s">
        <v>7718</v>
      </c>
      <c r="C5974" s="25">
        <v>567237.6</v>
      </c>
      <c r="D5974" s="22" t="s">
        <v>7719</v>
      </c>
      <c r="E5974" s="22" t="s">
        <v>59</v>
      </c>
      <c r="F5974" s="23" t="str">
        <f>HYPERLINK("https://www.spark-marketing.ru/Card/Lot/71603141", "Установка системы охранной сигнализации в зданиях техникума по адресам: г. Верхняя Пышма, ул. Кривоусова,53 и ул. Лесная,1")</f>
        <v>Установка системы охранной сигнализации в зданиях техникума по адресам: г. Верхняя Пышма, ул. Кривоусова,53 и ул. Лесная,1</v>
      </c>
      <c r="G5974" s="22" t="s">
        <v>72</v>
      </c>
      <c r="H5974" s="22" t="s">
        <v>5226</v>
      </c>
      <c r="I5974" s="26">
        <v>43640.429861111101</v>
      </c>
      <c r="J5974" s="23" t="str">
        <f>HYPERLINK("https://www.spark-marketing.ru/Card/Person/4704188", "Демкив Игорь Ярославович")</f>
        <v>Демкив Игорь Ярославович</v>
      </c>
      <c r="K5974" s="24" t="s">
        <v>7720</v>
      </c>
      <c r="L5974" s="22" t="s">
        <v>10</v>
      </c>
      <c r="M5974" s="25">
        <v>428264.29</v>
      </c>
      <c r="N5974" s="27">
        <v>0.24500017276710853</v>
      </c>
    </row>
    <row r="5975" spans="1:14" hidden="1" outlineLevel="1" x14ac:dyDescent="0.2">
      <c r="A5975" s="23" t="str">
        <f>HYPERLINK("https://www.spark-marketing.ru/Card/Person/1478626", "ГБПОУ СО ""ВПМТТ ""ЮНОСТЬ""")</f>
        <v>ГБПОУ СО "ВПМТТ "ЮНОСТЬ"</v>
      </c>
      <c r="B5975" s="24" t="s">
        <v>7718</v>
      </c>
      <c r="C5975" s="25">
        <v>567237.6</v>
      </c>
      <c r="D5975" s="22" t="s">
        <v>7719</v>
      </c>
      <c r="E5975" s="22" t="s">
        <v>59</v>
      </c>
      <c r="F5975" s="23" t="str">
        <f>HYPERLINK("https://www.spark-marketing.ru/Card/Lot/71603141", "Установка системы охранной сигнализации в зданиях техникума по адресам: г. Верхняя Пышма, ул. Кривоусова,53 и ул. Лесная,1")</f>
        <v>Установка системы охранной сигнализации в зданиях техникума по адресам: г. Верхняя Пышма, ул. Кривоусова,53 и ул. Лесная,1</v>
      </c>
      <c r="G5975" s="22" t="s">
        <v>72</v>
      </c>
      <c r="H5975" s="22" t="s">
        <v>5226</v>
      </c>
      <c r="I5975" s="26">
        <v>43640.429861111101</v>
      </c>
      <c r="J5975" s="23" t="str">
        <f>HYPERLINK("https://www.spark-marketing.ru/Card/Person/30892", "Каплун Матвей Владимирович")</f>
        <v>Каплун Матвей Владимирович</v>
      </c>
      <c r="K5975" s="24" t="s">
        <v>6603</v>
      </c>
      <c r="L5975" s="28" t="s">
        <v>52</v>
      </c>
      <c r="M5975" s="25">
        <v>431100.48</v>
      </c>
      <c r="N5975" s="27">
        <v>0.24000016924124917</v>
      </c>
    </row>
    <row r="5976" spans="1:14" x14ac:dyDescent="0.15">
      <c r="A5976" s="23" t="str">
        <f>HYPERLINK("https://www.spark-marketing.ru/Card/Person/61942", "ГБПОУ РО ""РБМК""")</f>
        <v>ГБПОУ РО "РБМК"</v>
      </c>
      <c r="B5976" s="24" t="s">
        <v>7721</v>
      </c>
      <c r="C5976" s="25">
        <v>145390</v>
      </c>
      <c r="D5976" s="22" t="s">
        <v>7722</v>
      </c>
      <c r="E5976" s="22" t="s">
        <v>68</v>
      </c>
      <c r="F5976" s="23" t="str">
        <f>HYPERLINK("https://www.spark-marketing.ru/Card/Lot/71601680", "Установка и монтаж системы видеонаблюдения в помещении ГБПОУ РО ""РБМК"" по адресу : г.Ростов-на-Дону ул. Тракторная 50а в рамках реализации антитеррористических мероприятий ГП РО "" Обеспечение общественного порядка и профилактики правонарушений """)</f>
        <v>Установка и монтаж системы видеонаблюдения в помещении ГБПОУ РО "РБМК" по адресу : г.Ростов-на-Дону ул. Тракторная 50а в рамках реализации антитеррористических мероприятий ГП РО " Обеспечение общественного порядка и профилактики правонарушений "</v>
      </c>
      <c r="G5976" s="22" t="s">
        <v>402</v>
      </c>
      <c r="H5976" s="22" t="s">
        <v>403</v>
      </c>
      <c r="I5976" s="26">
        <v>43640.431944444397</v>
      </c>
      <c r="J5976" s="28" t="s">
        <v>52</v>
      </c>
      <c r="K5976" s="28" t="s">
        <v>52</v>
      </c>
      <c r="L5976" s="28" t="s">
        <v>52</v>
      </c>
      <c r="M5976" s="28" t="s">
        <v>52</v>
      </c>
      <c r="N5976" s="28" t="s">
        <v>52</v>
      </c>
    </row>
    <row r="5977" spans="1:14" x14ac:dyDescent="0.15">
      <c r="A5977" s="23" t="str">
        <f>HYPERLINK("https://www.spark-marketing.ru/Card/Person/4352793", "ОМВД РОССИИ ПО ЗАТО Г. ЗАОЗЕРСК")</f>
        <v>ОМВД РОССИИ ПО ЗАТО Г. ЗАОЗЕРСК</v>
      </c>
      <c r="B5977" s="24" t="s">
        <v>7723</v>
      </c>
      <c r="C5977" s="25">
        <v>95306</v>
      </c>
      <c r="D5977" s="22" t="s">
        <v>7724</v>
      </c>
      <c r="E5977" s="22" t="s">
        <v>103</v>
      </c>
      <c r="F5977" s="23" t="str">
        <f>HYPERLINK("https://www.spark-marketing.ru/Card/Lot/71602619", "Техническое обслуживание системы видеонаблюдения, 1 усл. ед")</f>
        <v>Техническое обслуживание системы видеонаблюдения, 1 усл. ед</v>
      </c>
      <c r="G5977" s="22" t="s">
        <v>190</v>
      </c>
      <c r="H5977" s="22" t="s">
        <v>7725</v>
      </c>
      <c r="I5977" s="26">
        <v>43640.446875000001</v>
      </c>
      <c r="J5977" s="28" t="s">
        <v>52</v>
      </c>
      <c r="K5977" s="28" t="s">
        <v>52</v>
      </c>
      <c r="L5977" s="28" t="s">
        <v>52</v>
      </c>
      <c r="M5977" s="28" t="s">
        <v>52</v>
      </c>
      <c r="N5977" s="28" t="s">
        <v>52</v>
      </c>
    </row>
    <row r="5978" spans="1:14" x14ac:dyDescent="0.15">
      <c r="A5978" s="23" t="str">
        <f>HYPERLINK("https://www.spark-marketing.ru/Card/Person/404738", "ООО ""ГАЗПРОМ СЖИЖЕННЫЙ ГАЗ""")</f>
        <v>ООО "ГАЗПРОМ СЖИЖЕННЫЙ ГАЗ"</v>
      </c>
      <c r="B5978" s="24" t="s">
        <v>7726</v>
      </c>
      <c r="C5978" s="25">
        <v>535798.80000000005</v>
      </c>
      <c r="D5978" s="22" t="s">
        <v>7727</v>
      </c>
      <c r="E5978" s="22" t="s">
        <v>49</v>
      </c>
      <c r="F5978" s="23" t="str">
        <f>HYPERLINK("https://www.spark-marketing.ru/Card/Lot/71605380", "Выполнение работ «Установка системы резервного электропитания для видеонаблюдения ГНС Казань» на объекте расположенного по адресу: Республика Татарстан, г. Казань, ул. Северо-западная, 10.")</f>
        <v>Выполнение работ «Установка системы резервного электропитания для видеонаблюдения ГНС Казань» на объекте расположенного по адресу: Республика Татарстан, г. Казань, ул. Северо-западная, 10.</v>
      </c>
      <c r="G5978" s="22" t="s">
        <v>204</v>
      </c>
      <c r="H5978" s="22" t="s">
        <v>303</v>
      </c>
      <c r="I5978" s="26">
        <v>43640.4538425926</v>
      </c>
      <c r="J5978" s="28" t="s">
        <v>52</v>
      </c>
      <c r="K5978" s="28" t="s">
        <v>52</v>
      </c>
      <c r="L5978" s="28" t="s">
        <v>52</v>
      </c>
      <c r="M5978" s="28" t="s">
        <v>52</v>
      </c>
      <c r="N5978" s="28" t="s">
        <v>52</v>
      </c>
    </row>
    <row r="5979" spans="1:14" x14ac:dyDescent="0.15">
      <c r="A5979" s="23" t="str">
        <f>HYPERLINK("https://www.spark-marketing.ru/Card/Person/4358630", "АО ""ВЧНГ""")</f>
        <v>АО "ВЧНГ"</v>
      </c>
      <c r="B5979" s="24" t="s">
        <v>7728</v>
      </c>
      <c r="C5979" s="25">
        <v>5244036.7699999996</v>
      </c>
      <c r="D5979" s="22" t="s">
        <v>7729</v>
      </c>
      <c r="E5979" s="22" t="s">
        <v>370</v>
      </c>
      <c r="F5979" s="23" t="str">
        <f>HYPERLINK("https://www.spark-marketing.ru/Card/Lot/71603874", "Оказание услуг по техническому обслуживанию инженерно-технических средств охраны (ИТСО) укрупненного нефтяного промысла АО ""ВЧНГ""")</f>
        <v>Оказание услуг по техническому обслуживанию инженерно-технических средств охраны (ИТСО) укрупненного нефтяного промысла АО "ВЧНГ"</v>
      </c>
      <c r="G5979" s="22" t="s">
        <v>281</v>
      </c>
      <c r="H5979" s="22" t="s">
        <v>2008</v>
      </c>
      <c r="I5979" s="26">
        <v>43640.425000000003</v>
      </c>
      <c r="J5979" s="28" t="s">
        <v>52</v>
      </c>
      <c r="K5979" s="28" t="s">
        <v>52</v>
      </c>
      <c r="L5979" s="28" t="s">
        <v>52</v>
      </c>
      <c r="M5979" s="28" t="s">
        <v>52</v>
      </c>
      <c r="N5979" s="28" t="s">
        <v>52</v>
      </c>
    </row>
    <row r="5980" spans="1:14" x14ac:dyDescent="0.15">
      <c r="A5980" s="23" t="str">
        <f>HYPERLINK("https://www.spark-marketing.ru/Card/Person/1070961", "МКДОУ СОКУРСКИЙ ДЕТСКИЙ САД ""ТОПОЛЁК""")</f>
        <v>МКДОУ СОКУРСКИЙ ДЕТСКИЙ САД "ТОПОЛЁК"</v>
      </c>
      <c r="B5980" s="24" t="s">
        <v>7730</v>
      </c>
      <c r="C5980" s="25">
        <v>5167.26</v>
      </c>
      <c r="D5980" s="22" t="s">
        <v>7731</v>
      </c>
      <c r="E5980" s="22" t="s">
        <v>107</v>
      </c>
      <c r="F5980" s="23" t="str">
        <f>HYPERLINK("https://www.spark-marketing.ru/Card/Lot/71598125", "Техническое обслуживание комплекса технических средств охраны")</f>
        <v>Техническое обслуживание комплекса технических средств охраны</v>
      </c>
      <c r="G5980" s="22" t="s">
        <v>209</v>
      </c>
      <c r="H5980" s="22" t="s">
        <v>2739</v>
      </c>
      <c r="I5980" s="26">
        <v>43640.434027777803</v>
      </c>
      <c r="J5980" s="28" t="s">
        <v>52</v>
      </c>
      <c r="K5980" s="28" t="s">
        <v>52</v>
      </c>
      <c r="L5980" s="28" t="s">
        <v>52</v>
      </c>
      <c r="M5980" s="28" t="s">
        <v>52</v>
      </c>
      <c r="N5980" s="28" t="s">
        <v>52</v>
      </c>
    </row>
    <row r="5981" spans="1:14" x14ac:dyDescent="0.15">
      <c r="A5981" s="23" t="str">
        <f>HYPERLINK("https://www.spark-marketing.ru/Card/Person/4344913", "ДЕПАРТАМЕНТ ТРАНСПОРТА И ДОРОЖНОГО ХОЗЯЙСТВА ПРИМОРСКОГО КРАЯ")</f>
        <v>ДЕПАРТАМЕНТ ТРАНСПОРТА И ДОРОЖНОГО ХОЗЯЙСТВА ПРИМОРСКОГО КРАЯ</v>
      </c>
      <c r="B5981" s="24" t="s">
        <v>7714</v>
      </c>
      <c r="C5981" s="25">
        <v>30178637.879999999</v>
      </c>
      <c r="D5981" s="22" t="s">
        <v>7732</v>
      </c>
      <c r="E5981" s="22" t="s">
        <v>52</v>
      </c>
      <c r="F5981" s="23" t="str">
        <f>HYPERLINK("https://www.spark-marketing.ru/Card/Lot/71595626", "Оказание услуг охраны искусственного дорожного сооружения «Мостовой переход через бухту Золотой Рог в г. Владивостоке», защиты объекта транспортной инфраструктуры от противоправных посягательств и актов незаконного вмешательства в 2019 году в рамках ...")</f>
        <v>Оказание услуг охраны искусственного дорожного сооружения «Мостовой переход через бухту Золотой Рог в г. Владивостоке», защиты объекта транспортной инфраструктуры от противоправных посягательств и актов незаконного вмешательства в 2019 году в рамках ...</v>
      </c>
      <c r="G5981" s="22" t="s">
        <v>409</v>
      </c>
      <c r="H5981" s="22" t="s">
        <v>878</v>
      </c>
      <c r="I5981" s="26">
        <v>43640.411111111098</v>
      </c>
      <c r="J5981" s="28" t="s">
        <v>52</v>
      </c>
      <c r="K5981" s="28" t="s">
        <v>52</v>
      </c>
      <c r="L5981" s="28" t="s">
        <v>52</v>
      </c>
      <c r="M5981" s="28" t="s">
        <v>52</v>
      </c>
      <c r="N5981" s="28" t="s">
        <v>52</v>
      </c>
    </row>
    <row r="5982" spans="1:14" x14ac:dyDescent="0.15">
      <c r="A5982" s="23" t="str">
        <f>HYPERLINK("https://www.spark-marketing.ru/Card/Person/286743", "ООО ""КАЛИНИНСКАЯ АЭС-СЕРВИС""")</f>
        <v>ООО "КАЛИНИНСКАЯ АЭС-СЕРВИС"</v>
      </c>
      <c r="B5982" s="24" t="s">
        <v>7733</v>
      </c>
      <c r="C5982" s="25">
        <v>1368000</v>
      </c>
      <c r="D5982" s="22" t="s">
        <v>7734</v>
      </c>
      <c r="E5982" s="22" t="s">
        <v>2577</v>
      </c>
      <c r="F5982" s="23" t="str">
        <f>HYPERLINK("https://www.spark-marketing.ru/Card/Lot/71602802", "Право заключения договора на Оказание услуг по разработке и утверждению планов обеспечения транспортной безопасности транспортных средств ООО «Калининская АЭС- Сервис»")</f>
        <v>Право заключения договора на Оказание услуг по разработке и утверждению планов обеспечения транспортной безопасности транспортных средств ООО «Калининская АЭС- Сервис»</v>
      </c>
      <c r="G5982" s="22" t="s">
        <v>251</v>
      </c>
      <c r="H5982" s="22" t="s">
        <v>4202</v>
      </c>
      <c r="I5982" s="26">
        <v>43640.394317129598</v>
      </c>
      <c r="J5982" s="28" t="s">
        <v>52</v>
      </c>
      <c r="K5982" s="28" t="s">
        <v>52</v>
      </c>
      <c r="L5982" s="28" t="s">
        <v>52</v>
      </c>
      <c r="M5982" s="28" t="s">
        <v>52</v>
      </c>
      <c r="N5982" s="28" t="s">
        <v>52</v>
      </c>
    </row>
    <row r="5983" spans="1:14" x14ac:dyDescent="0.15">
      <c r="A5983" s="23" t="str">
        <f>HYPERLINK("https://www.spark-marketing.ru/Card/Person/4317", "ФКУ ""ЦХИСО ГУ МВД РОССИИ ПО ПЕРМСКОМУ КРАЮ""")</f>
        <v>ФКУ "ЦХИСО ГУ МВД РОССИИ ПО ПЕРМСКОМУ КРАЮ"</v>
      </c>
      <c r="B5983" s="24" t="s">
        <v>7416</v>
      </c>
      <c r="C5983" s="25">
        <v>286.32</v>
      </c>
      <c r="D5983" s="22" t="s">
        <v>7735</v>
      </c>
      <c r="E5983" s="22" t="s">
        <v>208</v>
      </c>
      <c r="F5983" s="23" t="str">
        <f>HYPERLINK("https://www.spark-marketing.ru/Card/Lot/71599906", "Оказание услуг охраны при помощи кнопки тревожной сигнализации и услуг технического обслуживания средств охраны объекта, расположенного по адресу: г. Соликамск, ул. Набережная, 89")</f>
        <v>Оказание услуг охраны при помощи кнопки тревожной сигнализации и услуг технического обслуживания средств охраны объекта, расположенного по адресу: г. Соликамск, ул. Набережная, 89</v>
      </c>
      <c r="G5983" s="22" t="s">
        <v>391</v>
      </c>
      <c r="H5983" s="22" t="s">
        <v>392</v>
      </c>
      <c r="I5983" s="26">
        <v>43640.385416666701</v>
      </c>
      <c r="J5983" s="28" t="s">
        <v>52</v>
      </c>
      <c r="K5983" s="28" t="s">
        <v>52</v>
      </c>
      <c r="L5983" s="28" t="s">
        <v>52</v>
      </c>
      <c r="M5983" s="28" t="s">
        <v>52</v>
      </c>
      <c r="N5983" s="28" t="s">
        <v>52</v>
      </c>
    </row>
    <row r="5984" spans="1:14" x14ac:dyDescent="0.15">
      <c r="A5984" s="23" t="str">
        <f>HYPERLINK("https://www.spark-marketing.ru/Card/Person/32224", "АРБИТРАЖНЫЙ СУД ПЕРМСКОГО КРАЯ")</f>
        <v>АРБИТРАЖНЫЙ СУД ПЕРМСКОГО КРАЯ</v>
      </c>
      <c r="B5984" s="24" t="s">
        <v>7736</v>
      </c>
      <c r="C5984" s="25">
        <v>687541.75</v>
      </c>
      <c r="D5984" s="22" t="s">
        <v>7737</v>
      </c>
      <c r="E5984" s="22" t="s">
        <v>7738</v>
      </c>
      <c r="F5984" s="23" t="str">
        <f>HYPERLINK("https://www.spark-marketing.ru/Card/Lot/71599316", "Оказание услуг по военизированной охране объектов зданий, расположенных в г. Пермь и в г. Кудымкар")</f>
        <v>Оказание услуг по военизированной охране объектов зданий, расположенных в г. Пермь и в г. Кудымкар</v>
      </c>
      <c r="G5984" s="22" t="s">
        <v>391</v>
      </c>
      <c r="H5984" s="22" t="s">
        <v>392</v>
      </c>
      <c r="I5984" s="26">
        <v>43640.399305555598</v>
      </c>
      <c r="J5984" s="23" t="str">
        <f>HYPERLINK("https://www.spark-marketing.ru/Card/Person/366508", "Филиал ФГУП ""Охрана"" Росгвардии по Пермскому краю")</f>
        <v>Филиал ФГУП "Охрана" Росгвардии по Пермскому краю</v>
      </c>
      <c r="K5984" s="24" t="s">
        <v>779</v>
      </c>
      <c r="L5984" s="22" t="s">
        <v>10</v>
      </c>
      <c r="M5984" s="28" t="s">
        <v>52</v>
      </c>
      <c r="N5984" s="28" t="s">
        <v>52</v>
      </c>
    </row>
    <row r="5985" spans="1:14" x14ac:dyDescent="0.15">
      <c r="A5985" s="23" t="str">
        <f>HYPERLINK("https://www.spark-marketing.ru/Card/Person/727551", "МАУ ""ДЕТСКИЙ ОЗДОРОВИТЕЛЬНЫЙ ЛАГЕРЬ"" ОКА""")</f>
        <v>МАУ "ДЕТСКИЙ ОЗДОРОВИТЕЛЬНЫЙ ЛАГЕРЬ" ОКА"</v>
      </c>
      <c r="B5985" s="24" t="s">
        <v>7739</v>
      </c>
      <c r="C5985" s="25">
        <v>49804</v>
      </c>
      <c r="D5985" s="22" t="s">
        <v>7740</v>
      </c>
      <c r="E5985" s="22" t="s">
        <v>3616</v>
      </c>
      <c r="F5985" s="23" t="str">
        <f>HYPERLINK("https://www.spark-marketing.ru/Card/Lot/71603382", "Установка камер видеонаблюдения")</f>
        <v>Установка камер видеонаблюдения</v>
      </c>
      <c r="G5985" s="22" t="s">
        <v>132</v>
      </c>
      <c r="H5985" s="22" t="s">
        <v>132</v>
      </c>
      <c r="I5985" s="26">
        <v>43640.402476851901</v>
      </c>
      <c r="J5985" s="28" t="s">
        <v>52</v>
      </c>
      <c r="K5985" s="28" t="s">
        <v>52</v>
      </c>
      <c r="L5985" s="28" t="s">
        <v>52</v>
      </c>
      <c r="M5985" s="28" t="s">
        <v>52</v>
      </c>
      <c r="N5985" s="28" t="s">
        <v>52</v>
      </c>
    </row>
    <row r="5986" spans="1:14" x14ac:dyDescent="0.15">
      <c r="A5986" s="23" t="str">
        <f>HYPERLINK("https://www.spark-marketing.ru/Card/Person/1060067", "МКДОУ БЫСТРУХИНСКИЙ Д/С ""КОЛОСОК""")</f>
        <v>МКДОУ БЫСТРУХИНСКИЙ Д/С "КОЛОСОК"</v>
      </c>
      <c r="B5986" s="24" t="s">
        <v>7741</v>
      </c>
      <c r="C5986" s="25">
        <v>4000</v>
      </c>
      <c r="D5986" s="22" t="s">
        <v>7742</v>
      </c>
      <c r="E5986" s="22" t="s">
        <v>103</v>
      </c>
      <c r="F5986" s="23" t="str">
        <f>HYPERLINK("https://www.spark-marketing.ru/Card/Lot/71598978", "Техническое обслуживание (ТО) системы видеонаблюдения (ВН) на объекте заказчика (№44-ФЗ)")</f>
        <v>Техническое обслуживание (ТО) системы видеонаблюдения (ВН) на объекте заказчика (№44-ФЗ)</v>
      </c>
      <c r="G5986" s="22" t="s">
        <v>209</v>
      </c>
      <c r="H5986" s="22" t="s">
        <v>5633</v>
      </c>
      <c r="I5986" s="26">
        <v>43640.371527777803</v>
      </c>
      <c r="J5986" s="28" t="s">
        <v>52</v>
      </c>
      <c r="K5986" s="28" t="s">
        <v>52</v>
      </c>
      <c r="L5986" s="28" t="s">
        <v>52</v>
      </c>
      <c r="M5986" s="28" t="s">
        <v>52</v>
      </c>
      <c r="N5986" s="28" t="s">
        <v>52</v>
      </c>
    </row>
    <row r="5987" spans="1:14" x14ac:dyDescent="0.15">
      <c r="A5987" s="23" t="str">
        <f>HYPERLINK("https://www.spark-marketing.ru/Card/Person/383836", "ГКУ НСО ""ХОЗУ""")</f>
        <v>ГКУ НСО "ХОЗУ"</v>
      </c>
      <c r="B5987" s="24" t="s">
        <v>7743</v>
      </c>
      <c r="C5987" s="25">
        <v>14865.65</v>
      </c>
      <c r="D5987" s="22" t="s">
        <v>7744</v>
      </c>
      <c r="E5987" s="22" t="s">
        <v>84</v>
      </c>
      <c r="F5987" s="23" t="str">
        <f>HYPERLINK("https://www.spark-marketing.ru/Card/Lot/71598408", "Выполнение работ по установке тревожной кнопки")</f>
        <v>Выполнение работ по установке тревожной кнопки</v>
      </c>
      <c r="G5987" s="22" t="s">
        <v>209</v>
      </c>
      <c r="H5987" s="22" t="s">
        <v>210</v>
      </c>
      <c r="I5987" s="26">
        <v>43640.352083333302</v>
      </c>
      <c r="J5987" s="28" t="s">
        <v>52</v>
      </c>
      <c r="K5987" s="28" t="s">
        <v>52</v>
      </c>
      <c r="L5987" s="28" t="s">
        <v>52</v>
      </c>
      <c r="M5987" s="28" t="s">
        <v>52</v>
      </c>
      <c r="N5987" s="28" t="s">
        <v>52</v>
      </c>
    </row>
    <row r="5988" spans="1:14" x14ac:dyDescent="0.15">
      <c r="A5988" s="23" t="str">
        <f>HYPERLINK("https://www.spark-marketing.ru/Card/Person/1060067", "МКДОУ БЫСТРУХИНСКИЙ Д/С ""КОЛОСОК""")</f>
        <v>МКДОУ БЫСТРУХИНСКИЙ Д/С "КОЛОСОК"</v>
      </c>
      <c r="B5988" s="24" t="s">
        <v>7741</v>
      </c>
      <c r="C5988" s="25">
        <v>1000</v>
      </c>
      <c r="D5988" s="22" t="s">
        <v>7745</v>
      </c>
      <c r="E5988" s="22" t="s">
        <v>59</v>
      </c>
      <c r="F5988" s="23" t="str">
        <f>HYPERLINK("https://www.spark-marketing.ru/Card/Lot/71598986", "Техническое обслуживание (ТО) системы тревожной сигнализации (ТС) на объекте заказчика (№44-ФЗ)")</f>
        <v>Техническое обслуживание (ТО) системы тревожной сигнализации (ТС) на объекте заказчика (№44-ФЗ)</v>
      </c>
      <c r="G5988" s="22" t="s">
        <v>209</v>
      </c>
      <c r="H5988" s="22" t="s">
        <v>5633</v>
      </c>
      <c r="I5988" s="26">
        <v>43640.372916666704</v>
      </c>
      <c r="J5988" s="28" t="s">
        <v>52</v>
      </c>
      <c r="K5988" s="28" t="s">
        <v>52</v>
      </c>
      <c r="L5988" s="28" t="s">
        <v>52</v>
      </c>
      <c r="M5988" s="28" t="s">
        <v>52</v>
      </c>
      <c r="N5988" s="28" t="s">
        <v>52</v>
      </c>
    </row>
    <row r="5989" spans="1:14" x14ac:dyDescent="0.15">
      <c r="A5989" s="23" t="str">
        <f>HYPERLINK("https://www.spark-marketing.ru/Card/Person/4372345", "ГБОУ СО ""СОШ № 3""")</f>
        <v>ГБОУ СО "СОШ № 3"</v>
      </c>
      <c r="B5989" s="24" t="s">
        <v>7746</v>
      </c>
      <c r="C5989" s="25">
        <v>397242</v>
      </c>
      <c r="D5989" s="22" t="s">
        <v>7747</v>
      </c>
      <c r="E5989" s="22" t="s">
        <v>59</v>
      </c>
      <c r="F5989" s="23" t="str">
        <f>HYPERLINK("https://www.spark-marketing.ru/Card/Lot/71598109", "Установка системы охранного освещения и охранной сигнализации ГБОУ СО""СОШ№3""")</f>
        <v>Установка системы охранного освещения и охранной сигнализации ГБОУ СО"СОШ№3"</v>
      </c>
      <c r="G5989" s="22" t="s">
        <v>72</v>
      </c>
      <c r="H5989" s="22" t="s">
        <v>7748</v>
      </c>
      <c r="I5989" s="26">
        <v>43640.369444444397</v>
      </c>
      <c r="J5989" s="23" t="str">
        <f>HYPERLINK("https://www.spark-marketing.ru/Card/Person/50495", "ООО ""МСП БИЗНЕС МИР""")</f>
        <v>ООО "МСП БИЗНЕС МИР"</v>
      </c>
      <c r="K5989" s="24" t="s">
        <v>6602</v>
      </c>
      <c r="L5989" s="22" t="s">
        <v>10</v>
      </c>
      <c r="M5989" s="28" t="s">
        <v>52</v>
      </c>
      <c r="N5989" s="28" t="s">
        <v>52</v>
      </c>
    </row>
    <row r="5990" spans="1:14" x14ac:dyDescent="0.15">
      <c r="A5990" s="23" t="str">
        <f>HYPERLINK("https://www.spark-marketing.ru/Card/Person/381472", "МКОУ ""ЧЕРНОВСКАЯ СШ""")</f>
        <v>МКОУ "ЧЕРНОВСКАЯ СШ"</v>
      </c>
      <c r="B5990" s="24" t="s">
        <v>7749</v>
      </c>
      <c r="C5990" s="25">
        <v>4000</v>
      </c>
      <c r="D5990" s="22" t="s">
        <v>7750</v>
      </c>
      <c r="E5990" s="22" t="s">
        <v>103</v>
      </c>
      <c r="F5990" s="23" t="str">
        <f>HYPERLINK("https://www.spark-marketing.ru/Card/Lot/71598399", "Техническое обслуживание (ТО) системы видеонаблюдения (ВН) на объекте заказчика (№44-ФЗ)")</f>
        <v>Техническое обслуживание (ТО) системы видеонаблюдения (ВН) на объекте заказчика (№44-ФЗ)</v>
      </c>
      <c r="G5990" s="22" t="s">
        <v>209</v>
      </c>
      <c r="H5990" s="22" t="s">
        <v>5633</v>
      </c>
      <c r="I5990" s="26">
        <v>43640.345833333296</v>
      </c>
      <c r="J5990" s="28" t="s">
        <v>52</v>
      </c>
      <c r="K5990" s="28" t="s">
        <v>52</v>
      </c>
      <c r="L5990" s="28" t="s">
        <v>52</v>
      </c>
      <c r="M5990" s="28" t="s">
        <v>52</v>
      </c>
      <c r="N5990" s="28" t="s">
        <v>52</v>
      </c>
    </row>
    <row r="5991" spans="1:14" x14ac:dyDescent="0.15">
      <c r="A5991" s="23" t="str">
        <f>HYPERLINK("https://www.spark-marketing.ru/Card/Person/381472", "МКОУ ""ЧЕРНОВСКАЯ СШ""")</f>
        <v>МКОУ "ЧЕРНОВСКАЯ СШ"</v>
      </c>
      <c r="B5991" s="24" t="s">
        <v>7749</v>
      </c>
      <c r="C5991" s="25">
        <v>1000</v>
      </c>
      <c r="D5991" s="22" t="s">
        <v>7751</v>
      </c>
      <c r="E5991" s="22" t="s">
        <v>59</v>
      </c>
      <c r="F5991" s="23" t="str">
        <f>HYPERLINK("https://www.spark-marketing.ru/Card/Lot/71598418", "Техническое обслуживание (ТО) системы тревожной сигнализации (ТС) на объекте заказчика (№44-ФЗ)")</f>
        <v>Техническое обслуживание (ТО) системы тревожной сигнализации (ТС) на объекте заказчика (№44-ФЗ)</v>
      </c>
      <c r="G5991" s="22" t="s">
        <v>209</v>
      </c>
      <c r="H5991" s="22" t="s">
        <v>5633</v>
      </c>
      <c r="I5991" s="26">
        <v>43640.346527777801</v>
      </c>
      <c r="J5991" s="28" t="s">
        <v>52</v>
      </c>
      <c r="K5991" s="28" t="s">
        <v>52</v>
      </c>
      <c r="L5991" s="28" t="s">
        <v>52</v>
      </c>
      <c r="M5991" s="28" t="s">
        <v>52</v>
      </c>
      <c r="N5991" s="28" t="s">
        <v>52</v>
      </c>
    </row>
    <row r="5992" spans="1:14" x14ac:dyDescent="0.15">
      <c r="A5992" s="23" t="str">
        <f>HYPERLINK("https://www.spark-marketing.ru/Card/Person/77930", "ОТДЕЛ МВД РОССИИ ПО БЕЛОВСКОМУ РАЙОНУ")</f>
        <v>ОТДЕЛ МВД РОССИИ ПО БЕЛОВСКОМУ РАЙОНУ</v>
      </c>
      <c r="B5992" s="24" t="s">
        <v>6848</v>
      </c>
      <c r="C5992" s="25">
        <v>20000</v>
      </c>
      <c r="D5992" s="22" t="s">
        <v>7752</v>
      </c>
      <c r="E5992" s="22" t="s">
        <v>103</v>
      </c>
      <c r="F5992" s="23" t="str">
        <f>HYPERLINK("https://www.spark-marketing.ru/Card/Lot/71597265", "Техническое обслуживание системы видеонаблюдения, 26 усл. ед")</f>
        <v>Техническое обслуживание системы видеонаблюдения, 26 усл. ед</v>
      </c>
      <c r="G5992" s="22" t="s">
        <v>367</v>
      </c>
      <c r="H5992" s="22" t="s">
        <v>6850</v>
      </c>
      <c r="I5992" s="26">
        <v>43640.309131944399</v>
      </c>
      <c r="J5992" s="28" t="s">
        <v>52</v>
      </c>
      <c r="K5992" s="28" t="s">
        <v>52</v>
      </c>
      <c r="L5992" s="28" t="s">
        <v>52</v>
      </c>
      <c r="M5992" s="28" t="s">
        <v>52</v>
      </c>
      <c r="N5992" s="28" t="s">
        <v>52</v>
      </c>
    </row>
    <row r="5993" spans="1:14" x14ac:dyDescent="0.15">
      <c r="A5993" s="23" t="str">
        <f>HYPERLINK("https://www.spark-marketing.ru/Card/Person/105038", "ФКУ ИК-1 ГУФСИН РОССИИ ПО ЧЕЛЯБИНСКОЙ ОБЛАСТИ")</f>
        <v>ФКУ ИК-1 ГУФСИН РОССИИ ПО ЧЕЛЯБИНСКОЙ ОБЛАСТИ</v>
      </c>
      <c r="B5993" s="24" t="s">
        <v>7753</v>
      </c>
      <c r="C5993" s="25">
        <v>98975</v>
      </c>
      <c r="D5993" s="22" t="s">
        <v>7754</v>
      </c>
      <c r="E5993" s="22" t="s">
        <v>84</v>
      </c>
      <c r="F5993" s="23" t="str">
        <f>HYPERLINK("https://www.spark-marketing.ru/Card/Lot/71598206", "Монтаж, установка, сборка видеонаблюдения, 1 шт")</f>
        <v>Монтаж, установка, сборка видеонаблюдения, 1 шт</v>
      </c>
      <c r="G5993" s="22" t="s">
        <v>60</v>
      </c>
      <c r="H5993" s="22" t="s">
        <v>5529</v>
      </c>
      <c r="I5993" s="26">
        <v>43640.325520833299</v>
      </c>
      <c r="J5993" s="28" t="s">
        <v>52</v>
      </c>
      <c r="K5993" s="28" t="s">
        <v>52</v>
      </c>
      <c r="L5993" s="28" t="s">
        <v>52</v>
      </c>
      <c r="M5993" s="28" t="s">
        <v>52</v>
      </c>
      <c r="N5993" s="28" t="s">
        <v>52</v>
      </c>
    </row>
    <row r="5994" spans="1:14" x14ac:dyDescent="0.15">
      <c r="A5994" s="23" t="str">
        <f>HYPERLINK("https://www.spark-marketing.ru/Card/Person/73430", "МКОУ""БЫСТРУХИНСКАЯ СШ""")</f>
        <v>МКОУ"БЫСТРУХИНСКАЯ СШ"</v>
      </c>
      <c r="B5994" s="24" t="s">
        <v>7755</v>
      </c>
      <c r="C5994" s="25">
        <v>4000</v>
      </c>
      <c r="D5994" s="22" t="s">
        <v>7756</v>
      </c>
      <c r="E5994" s="22" t="s">
        <v>103</v>
      </c>
      <c r="F5994" s="23" t="str">
        <f>HYPERLINK("https://www.spark-marketing.ru/Card/Lot/71598281", "Техническое обслуживание (ТО) системы видеонаблюдения (ВН) на объекте заказчика(№44-ФЗ)")</f>
        <v>Техническое обслуживание (ТО) системы видеонаблюдения (ВН) на объекте заказчика(№44-ФЗ)</v>
      </c>
      <c r="G5994" s="22" t="s">
        <v>209</v>
      </c>
      <c r="H5994" s="22" t="s">
        <v>5633</v>
      </c>
      <c r="I5994" s="26">
        <v>43640.320833333302</v>
      </c>
      <c r="J5994" s="28" t="s">
        <v>52</v>
      </c>
      <c r="K5994" s="28" t="s">
        <v>52</v>
      </c>
      <c r="L5994" s="28" t="s">
        <v>52</v>
      </c>
      <c r="M5994" s="28" t="s">
        <v>52</v>
      </c>
      <c r="N5994" s="28" t="s">
        <v>52</v>
      </c>
    </row>
    <row r="5995" spans="1:14" x14ac:dyDescent="0.15">
      <c r="A5995" s="23" t="str">
        <f>HYPERLINK("https://www.spark-marketing.ru/Card/Person/73430", "МКОУ""БЫСТРУХИНСКАЯ СШ""")</f>
        <v>МКОУ"БЫСТРУХИНСКАЯ СШ"</v>
      </c>
      <c r="B5995" s="24" t="s">
        <v>7755</v>
      </c>
      <c r="C5995" s="25">
        <v>1000</v>
      </c>
      <c r="D5995" s="22" t="s">
        <v>7757</v>
      </c>
      <c r="E5995" s="22" t="s">
        <v>59</v>
      </c>
      <c r="F5995" s="23" t="str">
        <f>HYPERLINK("https://www.spark-marketing.ru/Card/Lot/71598468", "Техническое обслуживание (ТО) системы тревожной сигнализации (ТС) на объекте заказчика (№44-ФЗ)")</f>
        <v>Техническое обслуживание (ТО) системы тревожной сигнализации (ТС) на объекте заказчика (№44-ФЗ)</v>
      </c>
      <c r="G5995" s="22" t="s">
        <v>209</v>
      </c>
      <c r="H5995" s="22" t="s">
        <v>5633</v>
      </c>
      <c r="I5995" s="26">
        <v>43640.322222222203</v>
      </c>
      <c r="J5995" s="28" t="s">
        <v>52</v>
      </c>
      <c r="K5995" s="28" t="s">
        <v>52</v>
      </c>
      <c r="L5995" s="28" t="s">
        <v>52</v>
      </c>
      <c r="M5995" s="28" t="s">
        <v>52</v>
      </c>
      <c r="N5995" s="28" t="s">
        <v>52</v>
      </c>
    </row>
    <row r="5996" spans="1:14" x14ac:dyDescent="0.15">
      <c r="A5996" s="23" t="str">
        <f>HYPERLINK("https://www.spark-marketing.ru/Card/Person/996826", "КГКОУ ШИ 4")</f>
        <v>КГКОУ ШИ 4</v>
      </c>
      <c r="B5996" s="24" t="s">
        <v>2624</v>
      </c>
      <c r="C5996" s="25">
        <v>9900</v>
      </c>
      <c r="D5996" s="22" t="s">
        <v>7758</v>
      </c>
      <c r="E5996" s="22" t="s">
        <v>103</v>
      </c>
      <c r="F5996" s="23" t="str">
        <f>HYPERLINK("https://www.spark-marketing.ru/Card/Lot/71596110", "Оказание услуг по техническому обслуживанию системы видеонаблюдения, 1 усл. ед")</f>
        <v>Оказание услуг по техническому обслуживанию системы видеонаблюдения, 1 усл. ед</v>
      </c>
      <c r="G5996" s="22" t="s">
        <v>138</v>
      </c>
      <c r="H5996" s="22" t="s">
        <v>255</v>
      </c>
      <c r="I5996" s="26">
        <v>43640.231874999998</v>
      </c>
      <c r="J5996" s="28" t="s">
        <v>52</v>
      </c>
      <c r="K5996" s="28" t="s">
        <v>52</v>
      </c>
      <c r="L5996" s="28" t="s">
        <v>52</v>
      </c>
      <c r="M5996" s="28" t="s">
        <v>52</v>
      </c>
      <c r="N5996" s="28" t="s">
        <v>52</v>
      </c>
    </row>
    <row r="5997" spans="1:14" x14ac:dyDescent="0.15">
      <c r="A5997" s="23" t="str">
        <f>HYPERLINK("https://www.spark-marketing.ru/Card/Person/80487", "УСП АГО Г. ВОРОНЕЖ")</f>
        <v>УСП АГО Г. ВОРОНЕЖ</v>
      </c>
      <c r="B5997" s="24" t="s">
        <v>7759</v>
      </c>
      <c r="C5997" s="25">
        <v>1885696.1</v>
      </c>
      <c r="D5997" s="22" t="s">
        <v>7760</v>
      </c>
      <c r="E5997" s="22" t="s">
        <v>194</v>
      </c>
      <c r="F5997" s="23" t="str">
        <f>HYPERLINK("https://www.spark-marketing.ru/Card/Lot/71594450", "Поставка комплекта аудио- и видеооборудования для оснащения актового зала для строящегося объекта ""Пристройка к МБОУ СОШ № 46 по ул. Дм. Горина, 61 (Подгорное)""")</f>
        <v>Поставка комплекта аудио- и видеооборудования для оснащения актового зала для строящегося объекта "Пристройка к МБОУ СОШ № 46 по ул. Дм. Горина, 61 (Подгорное)"</v>
      </c>
      <c r="G5997" s="22" t="s">
        <v>552</v>
      </c>
      <c r="H5997" s="22" t="s">
        <v>886</v>
      </c>
      <c r="I5997" s="26">
        <v>43639.813888888901</v>
      </c>
      <c r="J5997" s="23" t="str">
        <f>HYPERLINK("https://www.spark-marketing.ru/Card/Person/276310", "ООО ""БИЗНЕС-РЕШЕНИЯ""")</f>
        <v>ООО "БИЗНЕС-РЕШЕНИЯ"</v>
      </c>
      <c r="K5997" s="24" t="s">
        <v>7761</v>
      </c>
      <c r="L5997" s="22" t="s">
        <v>10</v>
      </c>
      <c r="M5997" s="28" t="s">
        <v>52</v>
      </c>
      <c r="N5997" s="28" t="s">
        <v>52</v>
      </c>
    </row>
    <row r="5998" spans="1:14" x14ac:dyDescent="0.15">
      <c r="A5998" s="23" t="str">
        <f>HYPERLINK("https://www.spark-marketing.ru/Card/Person/80487", "УСП АГО Г. ВОРОНЕЖ")</f>
        <v>УСП АГО Г. ВОРОНЕЖ</v>
      </c>
      <c r="B5998" s="24" t="s">
        <v>7759</v>
      </c>
      <c r="C5998" s="25">
        <v>1885696.1</v>
      </c>
      <c r="D5998" s="22" t="s">
        <v>7762</v>
      </c>
      <c r="E5998" s="22" t="s">
        <v>194</v>
      </c>
      <c r="F5998" s="23" t="str">
        <f>HYPERLINK("https://www.spark-marketing.ru/Card/Lot/71594451", "Поставка комплекта аудио- и видеооборудования для оснащения актового зала для строящегося ""Пристройка к МБОУ СОШ № 84 в г. Воронеже по ул. Тепличная, 20б""")</f>
        <v>Поставка комплекта аудио- и видеооборудования для оснащения актового зала для строящегося "Пристройка к МБОУ СОШ № 84 в г. Воронеже по ул. Тепличная, 20б"</v>
      </c>
      <c r="G5998" s="22" t="s">
        <v>552</v>
      </c>
      <c r="H5998" s="22" t="s">
        <v>886</v>
      </c>
      <c r="I5998" s="26">
        <v>43639.813888888901</v>
      </c>
      <c r="J5998" s="23" t="str">
        <f>HYPERLINK("https://www.spark-marketing.ru/Card/Person/276310", "ООО ""БИЗНЕС-РЕШЕНИЯ""")</f>
        <v>ООО "БИЗНЕС-РЕШЕНИЯ"</v>
      </c>
      <c r="K5998" s="24" t="s">
        <v>7761</v>
      </c>
      <c r="L5998" s="22" t="s">
        <v>10</v>
      </c>
      <c r="M5998" s="28" t="s">
        <v>52</v>
      </c>
      <c r="N5998" s="28" t="s">
        <v>52</v>
      </c>
    </row>
    <row r="5999" spans="1:14" x14ac:dyDescent="0.15">
      <c r="A5999" s="23" t="str">
        <f>HYPERLINK("https://www.spark-marketing.ru/Card/Person/330022", "ФЛ Балаковская АЭС АО ""Концерн Росэнергоатом""")</f>
        <v>ФЛ Балаковская АЭС АО "Концерн Росэнергоатом"</v>
      </c>
      <c r="B5999" s="24" t="s">
        <v>211</v>
      </c>
      <c r="C5999" s="28" t="s">
        <v>52</v>
      </c>
      <c r="D5999" s="22" t="s">
        <v>7763</v>
      </c>
      <c r="E5999" s="22" t="s">
        <v>208</v>
      </c>
      <c r="F5999" s="23" t="str">
        <f>HYPERLINK("https://www.spark-marketing.ru/Card/Lot/71590507", "Поставка внутренней связи и сигнализации")</f>
        <v>Поставка внутренней связи и сигнализации</v>
      </c>
      <c r="G5999" s="22" t="s">
        <v>55</v>
      </c>
      <c r="H5999" s="22" t="s">
        <v>55</v>
      </c>
      <c r="I5999" s="26">
        <v>43638.575335648202</v>
      </c>
      <c r="J5999" s="28" t="s">
        <v>52</v>
      </c>
      <c r="K5999" s="28" t="s">
        <v>52</v>
      </c>
      <c r="L5999" s="28" t="s">
        <v>52</v>
      </c>
      <c r="M5999" s="28" t="s">
        <v>52</v>
      </c>
      <c r="N5999" s="28" t="s">
        <v>52</v>
      </c>
    </row>
    <row r="6000" spans="1:14" x14ac:dyDescent="0.2">
      <c r="A6000" s="23" t="str">
        <f>HYPERLINK("https://www.spark-marketing.ru/Card/Person/239499", "УП СА ПО ООГХ ГОРОДА РАДУЖНЫЙ")</f>
        <v>УП СА ПО ООГХ ГОРОДА РАДУЖНЫЙ</v>
      </c>
      <c r="B6000" s="24" t="s">
        <v>7764</v>
      </c>
      <c r="C6000" s="25">
        <v>300000</v>
      </c>
      <c r="D6000" s="22" t="s">
        <v>7765</v>
      </c>
      <c r="E6000" s="22" t="s">
        <v>2577</v>
      </c>
      <c r="F6000" s="23" t="str">
        <f>HYPERLINK("https://www.spark-marketing.ru/Card/Lot/71589094", "Услуги по разработке плана обеспечения транспортной безопасности транспортных средств")</f>
        <v>Услуги по разработке плана обеспечения транспортной безопасности транспортных средств</v>
      </c>
      <c r="G6000" s="22" t="s">
        <v>119</v>
      </c>
      <c r="H6000" s="22" t="s">
        <v>119</v>
      </c>
      <c r="I6000" s="26">
        <v>43638.416550925896</v>
      </c>
      <c r="J6000" s="23" t="str">
        <f>HYPERLINK("https://www.spark-marketing.ru/Card/Person/6530251", "ООО ""СИСТЕМЫ ТРАНСПОРТНОЙ БЕЗОПАСНОСТИ""")</f>
        <v>ООО "СИСТЕМЫ ТРАНСПОРТНОЙ БЕЗОПАСНОСТИ"</v>
      </c>
      <c r="K6000" s="24" t="s">
        <v>7766</v>
      </c>
      <c r="L6000" s="28" t="s">
        <v>52</v>
      </c>
      <c r="M6000" s="25">
        <v>300000</v>
      </c>
      <c r="N6000" s="27">
        <v>0</v>
      </c>
    </row>
    <row r="6001" spans="1:14" x14ac:dyDescent="0.15">
      <c r="A6001" s="23" t="str">
        <f>HYPERLINK("https://www.spark-marketing.ru/Card/Person/88613", "МБОУ ""Средняя общеобразовательная школа № 8 г. Пересвета""")</f>
        <v>МБОУ "Средняя общеобразовательная школа № 8 г. Пересвета"</v>
      </c>
      <c r="B6001" s="24" t="s">
        <v>7767</v>
      </c>
      <c r="C6001" s="25">
        <v>10462.86</v>
      </c>
      <c r="D6001" s="22" t="s">
        <v>7768</v>
      </c>
      <c r="E6001" s="22" t="s">
        <v>194</v>
      </c>
      <c r="F6001" s="23" t="str">
        <f>HYPERLINK("https://www.spark-marketing.ru/Card/Lot/71578551", "Покупка и установка системы видеонаблюдения")</f>
        <v>Покупка и установка системы видеонаблюдения</v>
      </c>
      <c r="G6001" s="22" t="s">
        <v>50</v>
      </c>
      <c r="H6001" s="22" t="s">
        <v>326</v>
      </c>
      <c r="I6001" s="26">
        <v>43637.753229166701</v>
      </c>
      <c r="J6001" s="28" t="s">
        <v>52</v>
      </c>
      <c r="K6001" s="28" t="s">
        <v>52</v>
      </c>
      <c r="L6001" s="28" t="s">
        <v>52</v>
      </c>
      <c r="M6001" s="28" t="s">
        <v>52</v>
      </c>
      <c r="N6001" s="28" t="s">
        <v>52</v>
      </c>
    </row>
    <row r="6002" spans="1:14" x14ac:dyDescent="0.15">
      <c r="A6002" s="23" t="str">
        <f>HYPERLINK("https://www.spark-marketing.ru/Card/Person/1017939", "МАОУ ""ШКОЛА-ИНТЕРНАТ № 113"" Г.ПЕРМИ")</f>
        <v>МАОУ "ШКОЛА-ИНТЕРНАТ № 113" Г.ПЕРМИ</v>
      </c>
      <c r="B6002" s="24" t="s">
        <v>7769</v>
      </c>
      <c r="C6002" s="25">
        <v>384192</v>
      </c>
      <c r="D6002" s="22" t="s">
        <v>7770</v>
      </c>
      <c r="E6002" s="22" t="s">
        <v>144</v>
      </c>
      <c r="F6002" s="23" t="str">
        <f>HYPERLINK("https://www.spark-marketing.ru/Card/Lot/71573081", "Обеспечение охраны общественного порядка в помещениях (круглосуточно)")</f>
        <v>Обеспечение охраны общественного порядка в помещениях (круглосуточно)</v>
      </c>
      <c r="G6002" s="22" t="s">
        <v>391</v>
      </c>
      <c r="H6002" s="22" t="s">
        <v>391</v>
      </c>
      <c r="I6002" s="26">
        <v>43637.716643518499</v>
      </c>
      <c r="J6002" s="28" t="s">
        <v>52</v>
      </c>
      <c r="K6002" s="28" t="s">
        <v>52</v>
      </c>
      <c r="L6002" s="28" t="s">
        <v>52</v>
      </c>
      <c r="M6002" s="28" t="s">
        <v>52</v>
      </c>
      <c r="N6002" s="28" t="s">
        <v>52</v>
      </c>
    </row>
    <row r="6003" spans="1:14" x14ac:dyDescent="0.15">
      <c r="A6003" s="23" t="str">
        <f>HYPERLINK("https://www.spark-marketing.ru/Card/Person/254774", "МОУ ""АКАДЕМИЧЕСКИЙ ЛИЦЕЙ""")</f>
        <v>МОУ "АКАДЕМИЧЕСКИЙ ЛИЦЕЙ"</v>
      </c>
      <c r="B6003" s="24" t="s">
        <v>7771</v>
      </c>
      <c r="C6003" s="25">
        <v>27500</v>
      </c>
      <c r="D6003" s="28" t="s">
        <v>52</v>
      </c>
      <c r="E6003" s="22" t="s">
        <v>59</v>
      </c>
      <c r="F6003" s="23" t="str">
        <f>HYPERLINK("https://www.spark-marketing.ru/Card/Lot/72428510", "№005137201918835 Поставка и установка системы видеонаблюдения")</f>
        <v>№005137201918835 Поставка и установка системы видеонаблюдения</v>
      </c>
      <c r="G6003" s="22" t="s">
        <v>435</v>
      </c>
      <c r="H6003" s="22" t="s">
        <v>436</v>
      </c>
      <c r="I6003" s="26">
        <v>43637.690868055601</v>
      </c>
      <c r="J6003" s="28" t="s">
        <v>52</v>
      </c>
      <c r="K6003" s="28" t="s">
        <v>52</v>
      </c>
      <c r="L6003" s="28" t="s">
        <v>52</v>
      </c>
      <c r="M6003" s="28" t="s">
        <v>52</v>
      </c>
      <c r="N6003" s="28" t="s">
        <v>52</v>
      </c>
    </row>
    <row r="6004" spans="1:14" x14ac:dyDescent="0.15">
      <c r="A6004" s="23" t="str">
        <f>HYPERLINK("https://www.spark-marketing.ru/Card/Person/10991", "ПАО ""РОСТЕЛЕКОМ""")</f>
        <v>ПАО "РОСТЕЛЕКОМ"</v>
      </c>
      <c r="B6004" s="24" t="s">
        <v>607</v>
      </c>
      <c r="C6004" s="25">
        <v>5724000</v>
      </c>
      <c r="D6004" s="22" t="s">
        <v>7772</v>
      </c>
      <c r="E6004" s="22" t="s">
        <v>7773</v>
      </c>
      <c r="F6004" s="23" t="str">
        <f>HYPERLINK("https://www.spark-marketing.ru/Card/Lot/71578269", "Сервисное обслуживание оборудования студий видеоконференцсвязи")</f>
        <v>Сервисное обслуживание оборудования студий видеоконференцсвязи</v>
      </c>
      <c r="G6004" s="22" t="s">
        <v>89</v>
      </c>
      <c r="H6004" s="22" t="s">
        <v>89</v>
      </c>
      <c r="I6004" s="26">
        <v>43637.698495370401</v>
      </c>
      <c r="J6004" s="28" t="s">
        <v>52</v>
      </c>
      <c r="K6004" s="28" t="s">
        <v>52</v>
      </c>
      <c r="L6004" s="28" t="s">
        <v>52</v>
      </c>
      <c r="M6004" s="28" t="s">
        <v>52</v>
      </c>
      <c r="N6004" s="28" t="s">
        <v>52</v>
      </c>
    </row>
    <row r="6005" spans="1:14" x14ac:dyDescent="0.15">
      <c r="A6005" s="23" t="str">
        <f>HYPERLINK("https://www.spark-marketing.ru/Card/Person/803", "АДМИНИСТРАЦИЯ ГОРОДА ЕКАТЕРИНБУРГА")</f>
        <v>АДМИНИСТРАЦИЯ ГОРОДА ЕКАТЕРИНБУРГА</v>
      </c>
      <c r="B6005" s="24" t="s">
        <v>7774</v>
      </c>
      <c r="C6005" s="25">
        <v>6640000</v>
      </c>
      <c r="D6005" s="22" t="s">
        <v>7775</v>
      </c>
      <c r="E6005" s="22" t="s">
        <v>1589</v>
      </c>
      <c r="F6005" s="23" t="str">
        <f>HYPERLINK("https://www.spark-marketing.ru/Card/Lot/71586788", "Поставка и монтаж системы видеонаблюдения для подвижного состава городского пассажирского транспорта")</f>
        <v>Поставка и монтаж системы видеонаблюдения для подвижного состава городского пассажирского транспорта</v>
      </c>
      <c r="G6005" s="22" t="s">
        <v>72</v>
      </c>
      <c r="H6005" s="22" t="s">
        <v>949</v>
      </c>
      <c r="I6005" s="26">
        <v>43637.693541666697</v>
      </c>
      <c r="J6005" s="28" t="s">
        <v>52</v>
      </c>
      <c r="K6005" s="28" t="s">
        <v>52</v>
      </c>
      <c r="L6005" s="28" t="s">
        <v>52</v>
      </c>
      <c r="M6005" s="28" t="s">
        <v>52</v>
      </c>
      <c r="N6005" s="28" t="s">
        <v>52</v>
      </c>
    </row>
    <row r="6006" spans="1:14" ht="12.75" hidden="1" outlineLevel="1" x14ac:dyDescent="0.2">
      <c r="A6006" s="23" t="str">
        <f>HYPERLINK("https://www.spark-marketing.ru/Card/Person/803", "АДМИНИСТРАЦИЯ ГОРОДА ЕКАТЕРИНБУРГА")</f>
        <v>АДМИНИСТРАЦИЯ ГОРОДА ЕКАТЕРИНБУРГА</v>
      </c>
      <c r="B6006" s="24" t="s">
        <v>7774</v>
      </c>
      <c r="C6006" s="25">
        <v>6640000</v>
      </c>
      <c r="D6006" s="22" t="s">
        <v>7775</v>
      </c>
      <c r="E6006" s="22" t="s">
        <v>1589</v>
      </c>
      <c r="F6006" s="23" t="str">
        <f>HYPERLINK("https://www.spark-marketing.ru/Card/Lot/71586788", "Поставка и монтаж системы видеонаблюдения для подвижного состава городского пассажирского транспорта")</f>
        <v>Поставка и монтаж системы видеонаблюдения для подвижного состава городского пассажирского транспорта</v>
      </c>
      <c r="G6006" s="22" t="s">
        <v>72</v>
      </c>
      <c r="H6006" s="22" t="s">
        <v>949</v>
      </c>
      <c r="I6006" s="26">
        <v>43637.693541666697</v>
      </c>
      <c r="J6006" s="23" t="str">
        <f>HYPERLINK("https://www.spark-marketing.ru/Card/Person/6354128", "ООО ""КРАФТ""")</f>
        <v>ООО "КРАФТ"</v>
      </c>
      <c r="K6006" s="24" t="s">
        <v>7776</v>
      </c>
      <c r="L6006" s="22" t="s">
        <v>10</v>
      </c>
      <c r="M6006" s="25">
        <v>5179200</v>
      </c>
      <c r="N6006" s="27">
        <v>0.22</v>
      </c>
    </row>
    <row r="6007" spans="1:14" hidden="1" outlineLevel="1" x14ac:dyDescent="0.2">
      <c r="A6007" s="23" t="str">
        <f>HYPERLINK("https://www.spark-marketing.ru/Card/Person/803", "АДМИНИСТРАЦИЯ ГОРОДА ЕКАТЕРИНБУРГА")</f>
        <v>АДМИНИСТРАЦИЯ ГОРОДА ЕКАТЕРИНБУРГА</v>
      </c>
      <c r="B6007" s="24" t="s">
        <v>7774</v>
      </c>
      <c r="C6007" s="25">
        <v>6640000</v>
      </c>
      <c r="D6007" s="22" t="s">
        <v>7775</v>
      </c>
      <c r="E6007" s="22" t="s">
        <v>1589</v>
      </c>
      <c r="F6007" s="23" t="str">
        <f>HYPERLINK("https://www.spark-marketing.ru/Card/Lot/71586788", "Поставка и монтаж системы видеонаблюдения для подвижного состава городского пассажирского транспорта")</f>
        <v>Поставка и монтаж системы видеонаблюдения для подвижного состава городского пассажирского транспорта</v>
      </c>
      <c r="G6007" s="22" t="s">
        <v>72</v>
      </c>
      <c r="H6007" s="22" t="s">
        <v>949</v>
      </c>
      <c r="I6007" s="26">
        <v>43637.693541666697</v>
      </c>
      <c r="J6007" s="23" t="str">
        <f>HYPERLINK("https://www.spark-marketing.ru/Card/Person/4712621", "Демидова Светлана Мингалеевна")</f>
        <v>Демидова Светлана Мингалеевна</v>
      </c>
      <c r="K6007" s="24" t="s">
        <v>6500</v>
      </c>
      <c r="L6007" s="28" t="s">
        <v>52</v>
      </c>
      <c r="M6007" s="25">
        <v>5212400</v>
      </c>
      <c r="N6007" s="27">
        <v>0.215</v>
      </c>
    </row>
    <row r="6008" spans="1:14" x14ac:dyDescent="0.15">
      <c r="A6008" s="23" t="str">
        <f>HYPERLINK("https://www.spark-marketing.ru/Card/Person/1028099", "МБОУ СОШ №16")</f>
        <v>МБОУ СОШ №16</v>
      </c>
      <c r="B6008" s="24" t="s">
        <v>7777</v>
      </c>
      <c r="C6008" s="25">
        <v>334152</v>
      </c>
      <c r="D6008" s="22" t="s">
        <v>7778</v>
      </c>
      <c r="E6008" s="22" t="s">
        <v>79</v>
      </c>
      <c r="F6008" s="23" t="str">
        <f>HYPERLINK("https://www.spark-marketing.ru/Card/Lot/71583219", "Установка системы видеонаблюдения и системы контроля управления доступом")</f>
        <v>Установка системы видеонаблюдения и системы контроля управления доступом</v>
      </c>
      <c r="G6008" s="22" t="s">
        <v>72</v>
      </c>
      <c r="H6008" s="22" t="s">
        <v>2918</v>
      </c>
      <c r="I6008" s="26">
        <v>43637.695833333302</v>
      </c>
      <c r="J6008" s="28" t="s">
        <v>52</v>
      </c>
      <c r="K6008" s="28" t="s">
        <v>52</v>
      </c>
      <c r="L6008" s="28" t="s">
        <v>52</v>
      </c>
      <c r="M6008" s="28" t="s">
        <v>52</v>
      </c>
      <c r="N6008" s="28" t="s">
        <v>52</v>
      </c>
    </row>
    <row r="6009" spans="1:14" hidden="1" outlineLevel="1" x14ac:dyDescent="0.2">
      <c r="A6009" s="23" t="str">
        <f>HYPERLINK("https://www.spark-marketing.ru/Card/Person/1028099", "МБОУ СОШ №16")</f>
        <v>МБОУ СОШ №16</v>
      </c>
      <c r="B6009" s="24" t="s">
        <v>7777</v>
      </c>
      <c r="C6009" s="25">
        <v>334152</v>
      </c>
      <c r="D6009" s="22" t="s">
        <v>7778</v>
      </c>
      <c r="E6009" s="22" t="s">
        <v>79</v>
      </c>
      <c r="F6009" s="23" t="str">
        <f>HYPERLINK("https://www.spark-marketing.ru/Card/Lot/71583219", "Установка системы видеонаблюдения и системы контроля управления доступом")</f>
        <v>Установка системы видеонаблюдения и системы контроля управления доступом</v>
      </c>
      <c r="G6009" s="22" t="s">
        <v>72</v>
      </c>
      <c r="H6009" s="22" t="s">
        <v>2918</v>
      </c>
      <c r="I6009" s="26">
        <v>43637.695833333302</v>
      </c>
      <c r="J6009" s="23" t="str">
        <f>HYPERLINK("https://www.spark-marketing.ru/Card/Person/857206", "Никулин Дмитрий Евгеньевич")</f>
        <v>Никулин Дмитрий Евгеньевич</v>
      </c>
      <c r="K6009" s="24" t="s">
        <v>7779</v>
      </c>
      <c r="L6009" s="28" t="s">
        <v>52</v>
      </c>
      <c r="M6009" s="25">
        <v>272329.8</v>
      </c>
      <c r="N6009" s="27">
        <v>0.18501221001221002</v>
      </c>
    </row>
    <row r="6010" spans="1:14" hidden="1" outlineLevel="1" x14ac:dyDescent="0.2">
      <c r="A6010" s="23" t="str">
        <f>HYPERLINK("https://www.spark-marketing.ru/Card/Person/1028099", "МБОУ СОШ №16")</f>
        <v>МБОУ СОШ №16</v>
      </c>
      <c r="B6010" s="24" t="s">
        <v>7777</v>
      </c>
      <c r="C6010" s="25">
        <v>334152</v>
      </c>
      <c r="D6010" s="22" t="s">
        <v>7778</v>
      </c>
      <c r="E6010" s="22" t="s">
        <v>79</v>
      </c>
      <c r="F6010" s="23" t="str">
        <f>HYPERLINK("https://www.spark-marketing.ru/Card/Lot/71583219", "Установка системы видеонаблюдения и системы контроля управления доступом")</f>
        <v>Установка системы видеонаблюдения и системы контроля управления доступом</v>
      </c>
      <c r="G6010" s="22" t="s">
        <v>72</v>
      </c>
      <c r="H6010" s="22" t="s">
        <v>2918</v>
      </c>
      <c r="I6010" s="26">
        <v>43637.695833333302</v>
      </c>
      <c r="J6010" s="23" t="str">
        <f>HYPERLINK("https://www.spark-marketing.ru/Card/Person/6573149", "ООО ""АПЛИНК-ИНЖИНИРИНГ""")</f>
        <v>ООО "АПЛИНК-ИНЖИНИРИНГ"</v>
      </c>
      <c r="K6010" s="24" t="s">
        <v>7780</v>
      </c>
      <c r="L6010" s="28" t="s">
        <v>52</v>
      </c>
      <c r="M6010" s="25">
        <v>307417.92</v>
      </c>
      <c r="N6010" s="27">
        <v>8.0005745888098834E-2</v>
      </c>
    </row>
    <row r="6011" spans="1:14" ht="12.75" hidden="1" outlineLevel="1" x14ac:dyDescent="0.2">
      <c r="A6011" s="23" t="str">
        <f>HYPERLINK("https://www.spark-marketing.ru/Card/Person/1028099", "МБОУ СОШ №16")</f>
        <v>МБОУ СОШ №16</v>
      </c>
      <c r="B6011" s="24" t="s">
        <v>7777</v>
      </c>
      <c r="C6011" s="25">
        <v>334152</v>
      </c>
      <c r="D6011" s="22" t="s">
        <v>7778</v>
      </c>
      <c r="E6011" s="22" t="s">
        <v>79</v>
      </c>
      <c r="F6011" s="23" t="str">
        <f>HYPERLINK("https://www.spark-marketing.ru/Card/Lot/71583219", "Установка системы видеонаблюдения и системы контроля управления доступом")</f>
        <v>Установка системы видеонаблюдения и системы контроля управления доступом</v>
      </c>
      <c r="G6011" s="22" t="s">
        <v>72</v>
      </c>
      <c r="H6011" s="22" t="s">
        <v>2918</v>
      </c>
      <c r="I6011" s="26">
        <v>43637.695833333302</v>
      </c>
      <c r="J6011" s="23" t="str">
        <f>HYPERLINK("https://www.spark-marketing.ru/Card/Person/5853123", "Ершов Андрей Алексеевич")</f>
        <v>Ершов Андрей Алексеевич</v>
      </c>
      <c r="K6011" s="24" t="s">
        <v>1063</v>
      </c>
      <c r="L6011" s="22" t="s">
        <v>10</v>
      </c>
      <c r="M6011" s="25">
        <v>270659.03999999998</v>
      </c>
      <c r="N6011" s="27">
        <v>0.19001221001221003</v>
      </c>
    </row>
    <row r="6012" spans="1:14" x14ac:dyDescent="0.15">
      <c r="A6012" s="23" t="str">
        <f>HYPERLINK("https://www.spark-marketing.ru/Card/Person/4434507", "ГАУЗ ТО ""ГОРОДСКАЯ ПОЛИКЛИНИКА №14""")</f>
        <v>ГАУЗ ТО "ГОРОДСКАЯ ПОЛИКЛИНИКА №14"</v>
      </c>
      <c r="B6012" s="24" t="s">
        <v>4420</v>
      </c>
      <c r="C6012" s="25">
        <v>300000</v>
      </c>
      <c r="D6012" s="22" t="s">
        <v>7781</v>
      </c>
      <c r="E6012" s="22" t="s">
        <v>144</v>
      </c>
      <c r="F6012" s="23" t="str">
        <f>HYPERLINK("https://www.spark-marketing.ru/Card/Lot/71569933", "Оказание услуг на охрану объекта ГАУЗ ТО ""Городская поликлиника №14""")</f>
        <v>Оказание услуг на охрану объекта ГАУЗ ТО "Городская поликлиника №14"</v>
      </c>
      <c r="G6012" s="22" t="s">
        <v>893</v>
      </c>
      <c r="H6012" s="22" t="s">
        <v>893</v>
      </c>
      <c r="I6012" s="26">
        <v>43637.678240740701</v>
      </c>
      <c r="J6012" s="28" t="s">
        <v>52</v>
      </c>
      <c r="K6012" s="28" t="s">
        <v>52</v>
      </c>
      <c r="L6012" s="28" t="s">
        <v>52</v>
      </c>
      <c r="M6012" s="28" t="s">
        <v>52</v>
      </c>
      <c r="N6012" s="28" t="s">
        <v>52</v>
      </c>
    </row>
    <row r="6013" spans="1:14" x14ac:dyDescent="0.15">
      <c r="A6013" s="23" t="str">
        <f>HYPERLINK("https://www.spark-marketing.ru/Card/Person/4434507", "ГАУЗ ТО ""ГОРОДСКАЯ ПОЛИКЛИНИКА №14""")</f>
        <v>ГАУЗ ТО "ГОРОДСКАЯ ПОЛИКЛИНИКА №14"</v>
      </c>
      <c r="B6013" s="24" t="s">
        <v>4420</v>
      </c>
      <c r="C6013" s="25">
        <v>222000</v>
      </c>
      <c r="D6013" s="22" t="s">
        <v>7782</v>
      </c>
      <c r="E6013" s="22" t="s">
        <v>144</v>
      </c>
      <c r="F6013" s="23" t="str">
        <f>HYPERLINK("https://www.spark-marketing.ru/Card/Lot/71570311", "Закупка на заключение договора на охрану объектов ул. Пермякова 76 корпус 4, ул. Пермякова 76 корпус 1 ГАУЗ ТО ""Городская поликлиника №14""")</f>
        <v>Закупка на заключение договора на охрану объектов ул. Пермякова 76 корпус 4, ул. Пермякова 76 корпус 1 ГАУЗ ТО "Городская поликлиника №14"</v>
      </c>
      <c r="G6013" s="22" t="s">
        <v>893</v>
      </c>
      <c r="H6013" s="22" t="s">
        <v>893</v>
      </c>
      <c r="I6013" s="26">
        <v>43637.674687500003</v>
      </c>
      <c r="J6013" s="28" t="s">
        <v>52</v>
      </c>
      <c r="K6013" s="28" t="s">
        <v>52</v>
      </c>
      <c r="L6013" s="28" t="s">
        <v>52</v>
      </c>
      <c r="M6013" s="28" t="s">
        <v>52</v>
      </c>
      <c r="N6013" s="28" t="s">
        <v>52</v>
      </c>
    </row>
    <row r="6014" spans="1:14" x14ac:dyDescent="0.15">
      <c r="A6014" s="23" t="str">
        <f>HYPERLINK("https://www.spark-marketing.ru/Card/Person/4343735", "ЗАКОНОДАТЕЛЬНОЕ СОБРАНИЕ НОВОСИБИРСКОЙ ОБЛАСТИ")</f>
        <v>ЗАКОНОДАТЕЛЬНОЕ СОБРАНИЕ НОВОСИБИРСКОЙ ОБЛАСТИ</v>
      </c>
      <c r="B6014" s="24" t="s">
        <v>7783</v>
      </c>
      <c r="C6014" s="25">
        <v>892216.17</v>
      </c>
      <c r="D6014" s="22" t="s">
        <v>7784</v>
      </c>
      <c r="E6014" s="22" t="s">
        <v>208</v>
      </c>
      <c r="F6014" s="23" t="str">
        <f>HYPERLINK("https://www.spark-marketing.ru/Card/Lot/71568458", "Поставка запасного аварийного комплекта аппаратуры для обработки видеосигнала для большого зала заседаний Законодательного Собрания Новосибирской области")</f>
        <v>Поставка запасного аварийного комплекта аппаратуры для обработки видеосигнала для большого зала заседаний Законодательного Собрания Новосибирской области</v>
      </c>
      <c r="G6014" s="22" t="s">
        <v>209</v>
      </c>
      <c r="H6014" s="22" t="s">
        <v>210</v>
      </c>
      <c r="I6014" s="26">
        <v>43637.642361111102</v>
      </c>
      <c r="J6014" s="28" t="s">
        <v>52</v>
      </c>
      <c r="K6014" s="28" t="s">
        <v>52</v>
      </c>
      <c r="L6014" s="28" t="s">
        <v>52</v>
      </c>
      <c r="M6014" s="28" t="s">
        <v>52</v>
      </c>
      <c r="N6014" s="28" t="s">
        <v>52</v>
      </c>
    </row>
    <row r="6015" spans="1:14" ht="12.75" hidden="1" outlineLevel="1" x14ac:dyDescent="0.2">
      <c r="A6015" s="23" t="str">
        <f>HYPERLINK("https://www.spark-marketing.ru/Card/Person/4343735", "ЗАКОНОДАТЕЛЬНОЕ СОБРАНИЕ НОВОСИБИРСКОЙ ОБЛАСТИ")</f>
        <v>ЗАКОНОДАТЕЛЬНОЕ СОБРАНИЕ НОВОСИБИРСКОЙ ОБЛАСТИ</v>
      </c>
      <c r="B6015" s="24" t="s">
        <v>7783</v>
      </c>
      <c r="C6015" s="25">
        <v>892216.17</v>
      </c>
      <c r="D6015" s="22" t="s">
        <v>7784</v>
      </c>
      <c r="E6015" s="22" t="s">
        <v>208</v>
      </c>
      <c r="F6015" s="23" t="str">
        <f>HYPERLINK("https://www.spark-marketing.ru/Card/Lot/71568458", "Поставка запасного аварийного комплекта аппаратуры для обработки видеосигнала для большого зала заседаний Законодательного Собрания Новосибирской области")</f>
        <v>Поставка запасного аварийного комплекта аппаратуры для обработки видеосигнала для большого зала заседаний Законодательного Собрания Новосибирской области</v>
      </c>
      <c r="G6015" s="22" t="s">
        <v>209</v>
      </c>
      <c r="H6015" s="22" t="s">
        <v>210</v>
      </c>
      <c r="I6015" s="26">
        <v>43637.642361111102</v>
      </c>
      <c r="J6015" s="23" t="str">
        <f>HYPERLINK("https://www.spark-marketing.ru/Card/Person/4937717", "ООО ""ТД ЗЕВС""")</f>
        <v>ООО "ТД ЗЕВС"</v>
      </c>
      <c r="K6015" s="24" t="s">
        <v>7785</v>
      </c>
      <c r="L6015" s="22" t="s">
        <v>10</v>
      </c>
      <c r="M6015" s="25">
        <v>793533</v>
      </c>
      <c r="N6015" s="27">
        <v>0.11060455225777852</v>
      </c>
    </row>
    <row r="6016" spans="1:14" hidden="1" outlineLevel="1" x14ac:dyDescent="0.2">
      <c r="A6016" s="23" t="str">
        <f>HYPERLINK("https://www.spark-marketing.ru/Card/Person/4343735", "ЗАКОНОДАТЕЛЬНОЕ СОБРАНИЕ НОВОСИБИРСКОЙ ОБЛАСТИ")</f>
        <v>ЗАКОНОДАТЕЛЬНОЕ СОБРАНИЕ НОВОСИБИРСКОЙ ОБЛАСТИ</v>
      </c>
      <c r="B6016" s="24" t="s">
        <v>7783</v>
      </c>
      <c r="C6016" s="25">
        <v>892216.17</v>
      </c>
      <c r="D6016" s="22" t="s">
        <v>7784</v>
      </c>
      <c r="E6016" s="22" t="s">
        <v>208</v>
      </c>
      <c r="F6016" s="23" t="str">
        <f>HYPERLINK("https://www.spark-marketing.ru/Card/Lot/71568458", "Поставка запасного аварийного комплекта аппаратуры для обработки видеосигнала для большого зала заседаний Законодательного Собрания Новосибирской области")</f>
        <v>Поставка запасного аварийного комплекта аппаратуры для обработки видеосигнала для большого зала заседаний Законодательного Собрания Новосибирской области</v>
      </c>
      <c r="G6016" s="22" t="s">
        <v>209</v>
      </c>
      <c r="H6016" s="22" t="s">
        <v>210</v>
      </c>
      <c r="I6016" s="26">
        <v>43637.642361111102</v>
      </c>
      <c r="J6016" s="23" t="str">
        <f>HYPERLINK("https://www.spark-marketing.ru/Card/Person/727993", "Лабецкий Сергей Михайлович")</f>
        <v>Лабецкий Сергей Михайлович</v>
      </c>
      <c r="K6016" s="24" t="s">
        <v>7786</v>
      </c>
      <c r="L6016" s="28" t="s">
        <v>52</v>
      </c>
      <c r="M6016" s="25">
        <v>797994.37</v>
      </c>
      <c r="N6016" s="27">
        <v>0.10560422817712438</v>
      </c>
    </row>
    <row r="6017" spans="1:14" x14ac:dyDescent="0.15">
      <c r="A6017" s="23" t="str">
        <f>HYPERLINK("https://www.spark-marketing.ru/Card/Person/51791", "ФГБУ САНАТОРИЙ ""ЮНОСТЬ"" МИНЗДРАВА РОССИИ")</f>
        <v>ФГБУ САНАТОРИЙ "ЮНОСТЬ" МИНЗДРАВА РОССИИ</v>
      </c>
      <c r="B6017" s="24" t="s">
        <v>7040</v>
      </c>
      <c r="C6017" s="25">
        <v>202666.67</v>
      </c>
      <c r="D6017" s="22" t="s">
        <v>7787</v>
      </c>
      <c r="E6017" s="22" t="s">
        <v>59</v>
      </c>
      <c r="F6017" s="23" t="str">
        <f>HYPERLINK("https://www.spark-marketing.ru/Card/Lot/71582361", "Услуга по установке, замене, пуско-наладке и подключении кнопки тревожной сигнализации")</f>
        <v>Услуга по установке, замене, пуско-наладке и подключении кнопки тревожной сигнализации</v>
      </c>
      <c r="G6017" s="22" t="s">
        <v>132</v>
      </c>
      <c r="H6017" s="22" t="s">
        <v>1126</v>
      </c>
      <c r="I6017" s="26">
        <v>43637.65</v>
      </c>
      <c r="J6017" s="28" t="s">
        <v>52</v>
      </c>
      <c r="K6017" s="28" t="s">
        <v>52</v>
      </c>
      <c r="L6017" s="28" t="s">
        <v>52</v>
      </c>
      <c r="M6017" s="28" t="s">
        <v>52</v>
      </c>
      <c r="N6017" s="28" t="s">
        <v>52</v>
      </c>
    </row>
    <row r="6018" spans="1:14" ht="12.75" hidden="1" outlineLevel="1" x14ac:dyDescent="0.2">
      <c r="A6018" s="23" t="str">
        <f>HYPERLINK("https://www.spark-marketing.ru/Card/Person/51791", "ФГБУ САНАТОРИЙ ""ЮНОСТЬ"" МИНЗДРАВА РОССИИ")</f>
        <v>ФГБУ САНАТОРИЙ "ЮНОСТЬ" МИНЗДРАВА РОССИИ</v>
      </c>
      <c r="B6018" s="24" t="s">
        <v>7040</v>
      </c>
      <c r="C6018" s="25">
        <v>202666.67</v>
      </c>
      <c r="D6018" s="22" t="s">
        <v>7787</v>
      </c>
      <c r="E6018" s="22" t="s">
        <v>59</v>
      </c>
      <c r="F6018" s="23" t="str">
        <f>HYPERLINK("https://www.spark-marketing.ru/Card/Lot/71582361", "Услуга по установке, замене, пуско-наладке и подключении кнопки тревожной сигнализации")</f>
        <v>Услуга по установке, замене, пуско-наладке и подключении кнопки тревожной сигнализации</v>
      </c>
      <c r="G6018" s="22" t="s">
        <v>132</v>
      </c>
      <c r="H6018" s="22" t="s">
        <v>1126</v>
      </c>
      <c r="I6018" s="26">
        <v>43637.65</v>
      </c>
      <c r="J6018" s="23" t="str">
        <f>HYPERLINK("https://www.spark-marketing.ru/Card/Person/1168482", "ООО ""ПРОФИНТЕЛЛЕКТ""")</f>
        <v>ООО "ПРОФИНТЕЛЛЕКТ"</v>
      </c>
      <c r="K6018" s="24" t="s">
        <v>7788</v>
      </c>
      <c r="L6018" s="22" t="s">
        <v>10</v>
      </c>
      <c r="M6018" s="25">
        <v>139840.21</v>
      </c>
      <c r="N6018" s="27">
        <v>0.30999897516449054</v>
      </c>
    </row>
    <row r="6019" spans="1:14" hidden="1" outlineLevel="1" x14ac:dyDescent="0.2">
      <c r="A6019" s="23" t="str">
        <f>HYPERLINK("https://www.spark-marketing.ru/Card/Person/51791", "ФГБУ САНАТОРИЙ ""ЮНОСТЬ"" МИНЗДРАВА РОССИИ")</f>
        <v>ФГБУ САНАТОРИЙ "ЮНОСТЬ" МИНЗДРАВА РОССИИ</v>
      </c>
      <c r="B6019" s="24" t="s">
        <v>7040</v>
      </c>
      <c r="C6019" s="25">
        <v>202666.67</v>
      </c>
      <c r="D6019" s="22" t="s">
        <v>7787</v>
      </c>
      <c r="E6019" s="22" t="s">
        <v>59</v>
      </c>
      <c r="F6019" s="23" t="str">
        <f>HYPERLINK("https://www.spark-marketing.ru/Card/Lot/71582361", "Услуга по установке, замене, пуско-наладке и подключении кнопки тревожной сигнализации")</f>
        <v>Услуга по установке, замене, пуско-наладке и подключении кнопки тревожной сигнализации</v>
      </c>
      <c r="G6019" s="22" t="s">
        <v>132</v>
      </c>
      <c r="H6019" s="22" t="s">
        <v>1126</v>
      </c>
      <c r="I6019" s="26">
        <v>43637.65</v>
      </c>
      <c r="J6019" s="23" t="str">
        <f>HYPERLINK("https://www.spark-marketing.ru/Card/Person/6393586", "ООО ""ЧОП ""КАЗАЧИЙ СПАС""")</f>
        <v>ООО "ЧОП "КАЗАЧИЙ СПАС"</v>
      </c>
      <c r="K6019" s="24" t="s">
        <v>7789</v>
      </c>
      <c r="L6019" s="28" t="s">
        <v>52</v>
      </c>
      <c r="M6019" s="25">
        <v>140853.54</v>
      </c>
      <c r="N6019" s="27">
        <v>0.30499899169409556</v>
      </c>
    </row>
    <row r="6020" spans="1:14" x14ac:dyDescent="0.15">
      <c r="A6020" s="23" t="str">
        <f>HYPERLINK("https://www.spark-marketing.ru/Card/Person/1062161", "ФКУ ЦИТОВ УФСИН РОССИИ ПО ЧЕЧЕНСКОЙ РЕСПУБЛИКЕ")</f>
        <v>ФКУ ЦИТОВ УФСИН РОССИИ ПО ЧЕЧЕНСКОЙ РЕСПУБЛИКЕ</v>
      </c>
      <c r="B6020" s="24" t="s">
        <v>7790</v>
      </c>
      <c r="C6020" s="25">
        <v>75000</v>
      </c>
      <c r="D6020" s="22" t="s">
        <v>7791</v>
      </c>
      <c r="E6020" s="22" t="s">
        <v>208</v>
      </c>
      <c r="F6020" s="23" t="str">
        <f>HYPERLINK("https://www.spark-marketing.ru/Card/Lot/71571020", "Инженерное оборудование")</f>
        <v>Инженерное оборудование</v>
      </c>
      <c r="G6020" s="22" t="s">
        <v>724</v>
      </c>
      <c r="H6020" s="22" t="s">
        <v>5711</v>
      </c>
      <c r="I6020" s="26">
        <v>43637.627349536997</v>
      </c>
      <c r="J6020" s="28" t="s">
        <v>52</v>
      </c>
      <c r="K6020" s="28" t="s">
        <v>52</v>
      </c>
      <c r="L6020" s="28" t="s">
        <v>52</v>
      </c>
      <c r="M6020" s="28" t="s">
        <v>52</v>
      </c>
      <c r="N6020" s="28" t="s">
        <v>52</v>
      </c>
    </row>
    <row r="6021" spans="1:14" x14ac:dyDescent="0.15">
      <c r="A6021" s="23" t="str">
        <f>HYPERLINK("https://www.spark-marketing.ru/Card/Person/36681", "БУ ""НИЖНЕВАРТОВСКАЯ ГОРОДСКАЯ ПОЛИКЛИНИКА""")</f>
        <v>БУ "НИЖНЕВАРТОВСКАЯ ГОРОДСКАЯ ПОЛИКЛИНИКА"</v>
      </c>
      <c r="B6021" s="24" t="s">
        <v>7792</v>
      </c>
      <c r="C6021" s="25">
        <v>252000</v>
      </c>
      <c r="D6021" s="22" t="s">
        <v>7793</v>
      </c>
      <c r="E6021" s="22" t="s">
        <v>52</v>
      </c>
      <c r="F6021" s="23" t="str">
        <f>HYPERLINK("https://www.spark-marketing.ru/Card/Lot/71582899", "Оказание услуг по охране объекта с использованием кнопки тревожной сигнализации и пульта централизованного наблюдения")</f>
        <v>Оказание услуг по охране объекта с использованием кнопки тревожной сигнализации и пульта централизованного наблюдения</v>
      </c>
      <c r="G6021" s="22" t="s">
        <v>119</v>
      </c>
      <c r="H6021" s="22" t="s">
        <v>952</v>
      </c>
      <c r="I6021" s="26">
        <v>43637.629166666702</v>
      </c>
      <c r="J6021" s="28" t="s">
        <v>52</v>
      </c>
      <c r="K6021" s="28" t="s">
        <v>52</v>
      </c>
      <c r="L6021" s="28" t="s">
        <v>52</v>
      </c>
      <c r="M6021" s="28" t="s">
        <v>52</v>
      </c>
      <c r="N6021" s="28" t="s">
        <v>52</v>
      </c>
    </row>
    <row r="6022" spans="1:14" hidden="1" outlineLevel="1" x14ac:dyDescent="0.2">
      <c r="A6022" s="23" t="str">
        <f>HYPERLINK("https://www.spark-marketing.ru/Card/Person/36681", "БУ ""НИЖНЕВАРТОВСКАЯ ГОРОДСКАЯ ПОЛИКЛИНИКА""")</f>
        <v>БУ "НИЖНЕВАРТОВСКАЯ ГОРОДСКАЯ ПОЛИКЛИНИКА"</v>
      </c>
      <c r="B6022" s="24" t="s">
        <v>7792</v>
      </c>
      <c r="C6022" s="25">
        <v>252000</v>
      </c>
      <c r="D6022" s="22" t="s">
        <v>7793</v>
      </c>
      <c r="E6022" s="22" t="s">
        <v>52</v>
      </c>
      <c r="F6022" s="23" t="str">
        <f>HYPERLINK("https://www.spark-marketing.ru/Card/Lot/71582899", "Оказание услуг по охране объекта с использованием кнопки тревожной сигнализации и пульта централизованного наблюдения")</f>
        <v>Оказание услуг по охране объекта с использованием кнопки тревожной сигнализации и пульта централизованного наблюдения</v>
      </c>
      <c r="G6022" s="22" t="s">
        <v>119</v>
      </c>
      <c r="H6022" s="22" t="s">
        <v>952</v>
      </c>
      <c r="I6022" s="26">
        <v>43637.629166666702</v>
      </c>
      <c r="J6022" s="23" t="str">
        <f>HYPERLINK("https://www.spark-marketing.ru/Card/Person/10487", "ФГУП ""ОХРАНА"" РОСГВАРДИИ")</f>
        <v>ФГУП "ОХРАНА" РОСГВАРДИИ</v>
      </c>
      <c r="K6022" s="24" t="s">
        <v>779</v>
      </c>
      <c r="L6022" s="28" t="s">
        <v>52</v>
      </c>
      <c r="M6022" s="25">
        <v>249480</v>
      </c>
      <c r="N6022" s="27">
        <v>0.01</v>
      </c>
    </row>
    <row r="6023" spans="1:14" ht="12.75" hidden="1" outlineLevel="1" x14ac:dyDescent="0.2">
      <c r="A6023" s="23" t="str">
        <f>HYPERLINK("https://www.spark-marketing.ru/Card/Person/36681", "БУ ""НИЖНЕВАРТОВСКАЯ ГОРОДСКАЯ ПОЛИКЛИНИКА""")</f>
        <v>БУ "НИЖНЕВАРТОВСКАЯ ГОРОДСКАЯ ПОЛИКЛИНИКА"</v>
      </c>
      <c r="B6023" s="24" t="s">
        <v>7792</v>
      </c>
      <c r="C6023" s="25">
        <v>252000</v>
      </c>
      <c r="D6023" s="22" t="s">
        <v>7793</v>
      </c>
      <c r="E6023" s="22" t="s">
        <v>52</v>
      </c>
      <c r="F6023" s="23" t="str">
        <f>HYPERLINK("https://www.spark-marketing.ru/Card/Lot/71582899", "Оказание услуг по охране объекта с использованием кнопки тревожной сигнализации и пульта централизованного наблюдения")</f>
        <v>Оказание услуг по охране объекта с использованием кнопки тревожной сигнализации и пульта централизованного наблюдения</v>
      </c>
      <c r="G6023" s="22" t="s">
        <v>119</v>
      </c>
      <c r="H6023" s="22" t="s">
        <v>952</v>
      </c>
      <c r="I6023" s="26">
        <v>43637.629166666702</v>
      </c>
      <c r="J6023" s="23" t="str">
        <f>HYPERLINK("https://www.spark-marketing.ru/Card/Person/938019", "ООО ЧОО ЮК ""ФСБ""")</f>
        <v>ООО ЧОО ЮК "ФСБ"</v>
      </c>
      <c r="K6023" s="24" t="s">
        <v>7794</v>
      </c>
      <c r="L6023" s="22" t="s">
        <v>10</v>
      </c>
      <c r="M6023" s="25">
        <v>80640</v>
      </c>
      <c r="N6023" s="27">
        <v>0.68</v>
      </c>
    </row>
    <row r="6024" spans="1:14" hidden="1" outlineLevel="1" x14ac:dyDescent="0.2">
      <c r="A6024" s="23" t="str">
        <f>HYPERLINK("https://www.spark-marketing.ru/Card/Person/36681", "БУ ""НИЖНЕВАРТОВСКАЯ ГОРОДСКАЯ ПОЛИКЛИНИКА""")</f>
        <v>БУ "НИЖНЕВАРТОВСКАЯ ГОРОДСКАЯ ПОЛИКЛИНИКА"</v>
      </c>
      <c r="B6024" s="24" t="s">
        <v>7792</v>
      </c>
      <c r="C6024" s="25">
        <v>252000</v>
      </c>
      <c r="D6024" s="22" t="s">
        <v>7793</v>
      </c>
      <c r="E6024" s="22" t="s">
        <v>52</v>
      </c>
      <c r="F6024" s="23" t="str">
        <f>HYPERLINK("https://www.spark-marketing.ru/Card/Lot/71582899", "Оказание услуг по охране объекта с использованием кнопки тревожной сигнализации и пульта централизованного наблюдения")</f>
        <v>Оказание услуг по охране объекта с использованием кнопки тревожной сигнализации и пульта централизованного наблюдения</v>
      </c>
      <c r="G6024" s="22" t="s">
        <v>119</v>
      </c>
      <c r="H6024" s="22" t="s">
        <v>952</v>
      </c>
      <c r="I6024" s="26">
        <v>43637.629166666702</v>
      </c>
      <c r="J6024" s="23" t="str">
        <f>HYPERLINK("https://www.spark-marketing.ru/Card/Person/63334", "ООО ""ЧОО ""ПЕРИМЕТР""")</f>
        <v>ООО "ЧОО "ПЕРИМЕТР"</v>
      </c>
      <c r="K6024" s="24" t="s">
        <v>7795</v>
      </c>
      <c r="L6024" s="28" t="s">
        <v>52</v>
      </c>
      <c r="M6024" s="25">
        <v>81900</v>
      </c>
      <c r="N6024" s="27">
        <v>0.67500000000000004</v>
      </c>
    </row>
    <row r="6025" spans="1:14" x14ac:dyDescent="0.2">
      <c r="A6025" s="23" t="str">
        <f>HYPERLINK("https://www.spark-marketing.ru/Card/Person/4353027", "ГАПОУ ВО ""ВТЭК""")</f>
        <v>ГАПОУ ВО "ВТЭК"</v>
      </c>
      <c r="B6025" s="24" t="s">
        <v>7796</v>
      </c>
      <c r="C6025" s="25">
        <v>3246091.2</v>
      </c>
      <c r="D6025" s="22" t="s">
        <v>7797</v>
      </c>
      <c r="E6025" s="22" t="s">
        <v>144</v>
      </c>
      <c r="F6025" s="23" t="str">
        <f>HYPERLINK("https://www.spark-marketing.ru/Card/Lot/71573731", "услуги по охране объектов")</f>
        <v>услуги по охране объектов</v>
      </c>
      <c r="G6025" s="22" t="s">
        <v>145</v>
      </c>
      <c r="H6025" s="22" t="s">
        <v>145</v>
      </c>
      <c r="I6025" s="26">
        <v>43637.6326736111</v>
      </c>
      <c r="J6025" s="28" t="s">
        <v>52</v>
      </c>
      <c r="K6025" s="28" t="s">
        <v>52</v>
      </c>
      <c r="L6025" s="28" t="s">
        <v>52</v>
      </c>
      <c r="M6025" s="25">
        <v>2185920</v>
      </c>
      <c r="N6025" s="27">
        <v>0.32659932659932661</v>
      </c>
    </row>
    <row r="6026" spans="1:14" x14ac:dyDescent="0.2">
      <c r="A6026" s="23" t="str">
        <f>HYPERLINK("https://www.spark-marketing.ru/Card/Person/4343405", "ФГУП ""ГОСКОРПОРАЦИЯ ПО ОРВД""")</f>
        <v>ФГУП "ГОСКОРПОРАЦИЯ ПО ОРВД"</v>
      </c>
      <c r="B6026" s="24" t="s">
        <v>801</v>
      </c>
      <c r="C6026" s="25">
        <v>533333.32999999996</v>
      </c>
      <c r="D6026" s="22" t="s">
        <v>7798</v>
      </c>
      <c r="E6026" s="22" t="s">
        <v>49</v>
      </c>
      <c r="F6026" s="23" t="str">
        <f>HYPERLINK("https://www.spark-marketing.ru/Card/Lot/71569717", "Установка системы охранного освещения и периметровой сигнализации на объекте ОПРС 260 Грозненского Центра ОВД филиала «Аэронавигация Юга».")</f>
        <v>Установка системы охранного освещения и периметровой сигнализации на объекте ОПРС 260 Грозненского Центра ОВД филиала «Аэронавигация Юга».</v>
      </c>
      <c r="G6026" s="22" t="s">
        <v>724</v>
      </c>
      <c r="H6026" s="22" t="s">
        <v>5711</v>
      </c>
      <c r="I6026" s="26">
        <v>43637.588217592602</v>
      </c>
      <c r="J6026" s="28" t="s">
        <v>52</v>
      </c>
      <c r="K6026" s="28" t="s">
        <v>52</v>
      </c>
      <c r="L6026" s="22" t="s">
        <v>10</v>
      </c>
      <c r="M6026" s="25">
        <v>486745</v>
      </c>
      <c r="N6026" s="27">
        <v>8.7353119295957002E-2</v>
      </c>
    </row>
    <row r="6027" spans="1:14" x14ac:dyDescent="0.2">
      <c r="A6027" s="23" t="str">
        <f>HYPERLINK("https://www.spark-marketing.ru/Card/Person/4348790", "МУП Г. НОВОСИБИРСКА "" ГОРВОДОКАНАЛ """)</f>
        <v>МУП Г. НОВОСИБИРСКА " ГОРВОДОКАНАЛ "</v>
      </c>
      <c r="B6027" s="24" t="s">
        <v>7799</v>
      </c>
      <c r="C6027" s="25">
        <v>63465438.390000001</v>
      </c>
      <c r="D6027" s="22" t="s">
        <v>7800</v>
      </c>
      <c r="E6027" s="22" t="s">
        <v>144</v>
      </c>
      <c r="F6027" s="23" t="str">
        <f>HYPERLINK("https://www.spark-marketing.ru/Card/Lot/71564469", "Оказание услуг по военизированной охране и техническому обслуживанию технических средств охраны")</f>
        <v>Оказание услуг по военизированной охране и техническому обслуживанию технических средств охраны</v>
      </c>
      <c r="G6027" s="22" t="s">
        <v>209</v>
      </c>
      <c r="H6027" s="22" t="s">
        <v>209</v>
      </c>
      <c r="I6027" s="26">
        <v>43637.6151157407</v>
      </c>
      <c r="J6027" s="28" t="s">
        <v>52</v>
      </c>
      <c r="K6027" s="28" t="s">
        <v>52</v>
      </c>
      <c r="L6027" s="28" t="s">
        <v>52</v>
      </c>
      <c r="M6027" s="25">
        <v>52887833.670000002</v>
      </c>
      <c r="N6027" s="27">
        <v>0.16666716544207583</v>
      </c>
    </row>
    <row r="6028" spans="1:14" x14ac:dyDescent="0.15">
      <c r="A6028" s="23" t="str">
        <f>HYPERLINK("https://www.spark-marketing.ru/Card/Person/4350519", "ФГБОУ ВО ""МГТУ ИМ. Г. И. НОСОВА"", ФГБОУ ВО ""МАГНИТОГОРСКИЙ ГОСУДАРСТВЕННЫЙ ТЕХНИЧЕСКИЙ УНИВЕРСИТЕТ ИМ. Г. И. НОСОВА"", МАГНИТОГОРСКИЙ ГОСУДАРСТВЕННЫЙ ТЕХНИЧЕСКИЙ УНИВЕРСИТЕТ ИМ. Г. И. НОСОВА, МГТУ ИМ. Г. И. НОСОВА")</f>
        <v>ФГБОУ ВО "МГТУ ИМ. Г. И. НОСОВА", ФГБОУ ВО "МАГНИТОГОРСКИЙ ГОСУДАРСТВЕННЫЙ ТЕХНИЧЕСКИЙ УНИВЕРСИТЕТ ИМ. Г. И. НОСОВА", МАГНИТОГОРСКИЙ ГОСУДАРСТВЕННЫЙ ТЕХНИЧЕСКИЙ УНИВЕРСИТЕТ ИМ. Г. И. НОСОВА, МГТУ ИМ. Г. И. НОСОВА</v>
      </c>
      <c r="B6028" s="24" t="s">
        <v>2959</v>
      </c>
      <c r="C6028" s="25">
        <v>126000</v>
      </c>
      <c r="D6028" s="22" t="s">
        <v>7801</v>
      </c>
      <c r="E6028" s="22" t="s">
        <v>144</v>
      </c>
      <c r="F6028" s="23" t="str">
        <f>HYPERLINK("https://www.spark-marketing.ru/Card/Lot/71565789", "Оказание услуг по физической охране движимого имущества заказчика")</f>
        <v>Оказание услуг по физической охране движимого имущества заказчика</v>
      </c>
      <c r="G6028" s="22" t="s">
        <v>60</v>
      </c>
      <c r="H6028" s="22" t="s">
        <v>60</v>
      </c>
      <c r="I6028" s="26">
        <v>43637.587881944397</v>
      </c>
      <c r="J6028" s="28" t="s">
        <v>52</v>
      </c>
      <c r="K6028" s="28" t="s">
        <v>52</v>
      </c>
      <c r="L6028" s="28" t="s">
        <v>52</v>
      </c>
      <c r="M6028" s="28" t="s">
        <v>52</v>
      </c>
      <c r="N6028" s="28" t="s">
        <v>52</v>
      </c>
    </row>
    <row r="6029" spans="1:14" x14ac:dyDescent="0.15">
      <c r="A6029" s="23" t="str">
        <f>HYPERLINK("https://www.spark-marketing.ru/Card/Person/113404", "АДМИНИСТРАЦИЯ МУНИЦИПАЛЬНОГО РАЙОНА")</f>
        <v>АДМИНИСТРАЦИЯ МУНИЦИПАЛЬНОГО РАЙОНА</v>
      </c>
      <c r="B6029" s="24" t="s">
        <v>7802</v>
      </c>
      <c r="C6029" s="25">
        <v>1625500</v>
      </c>
      <c r="D6029" s="22" t="s">
        <v>7803</v>
      </c>
      <c r="E6029" s="22" t="s">
        <v>84</v>
      </c>
      <c r="F6029" s="23" t="str">
        <f>HYPERLINK("https://www.spark-marketing.ru/Card/Lot/71585679", "Установка и модернизация систем видеонаблюдения в местах массового нахождения граждан.")</f>
        <v>Установка и модернизация систем видеонаблюдения в местах массового нахождения граждан.</v>
      </c>
      <c r="G6029" s="22" t="s">
        <v>80</v>
      </c>
      <c r="H6029" s="22" t="s">
        <v>7804</v>
      </c>
      <c r="I6029" s="26">
        <v>43637.605555555601</v>
      </c>
      <c r="J6029" s="28" t="s">
        <v>52</v>
      </c>
      <c r="K6029" s="28" t="s">
        <v>52</v>
      </c>
      <c r="L6029" s="28" t="s">
        <v>52</v>
      </c>
      <c r="M6029" s="28" t="s">
        <v>52</v>
      </c>
      <c r="N6029" s="28" t="s">
        <v>52</v>
      </c>
    </row>
    <row r="6030" spans="1:14" x14ac:dyDescent="0.15">
      <c r="A6030" s="23" t="str">
        <f t="shared" ref="A6030:A6037" si="252">HYPERLINK("https://www.spark-marketing.ru/Card/Person/1012803", "ГКОУ СО ""ВЕРХНЕТАГИЛЬСКИЙ ДЕТСКИЙ ДОМ-ШКОЛА""")</f>
        <v>ГКОУ СО "ВЕРХНЕТАГИЛЬСКИЙ ДЕТСКИЙ ДОМ-ШКОЛА"</v>
      </c>
      <c r="B6030" s="24" t="s">
        <v>7805</v>
      </c>
      <c r="C6030" s="25">
        <v>441022</v>
      </c>
      <c r="D6030" s="22" t="s">
        <v>7806</v>
      </c>
      <c r="E6030" s="22" t="s">
        <v>52</v>
      </c>
      <c r="F6030" s="23" t="str">
        <f t="shared" ref="F6030:F6037" si="253">HYPERLINK("https://www.spark-marketing.ru/Card/Lot/71583762", "Установка внутреннего видеонаблюдения")</f>
        <v>Установка внутреннего видеонаблюдения</v>
      </c>
      <c r="G6030" s="22" t="s">
        <v>72</v>
      </c>
      <c r="H6030" s="22" t="s">
        <v>7807</v>
      </c>
      <c r="I6030" s="26">
        <v>43637.598611111098</v>
      </c>
      <c r="J6030" s="28" t="s">
        <v>52</v>
      </c>
      <c r="K6030" s="28" t="s">
        <v>52</v>
      </c>
      <c r="L6030" s="28" t="s">
        <v>52</v>
      </c>
      <c r="M6030" s="28" t="s">
        <v>52</v>
      </c>
      <c r="N6030" s="28" t="s">
        <v>52</v>
      </c>
    </row>
    <row r="6031" spans="1:14" hidden="1" outlineLevel="1" x14ac:dyDescent="0.2">
      <c r="A6031" s="23" t="str">
        <f t="shared" si="252"/>
        <v>ГКОУ СО "ВЕРХНЕТАГИЛЬСКИЙ ДЕТСКИЙ ДОМ-ШКОЛА"</v>
      </c>
      <c r="B6031" s="24" t="s">
        <v>7805</v>
      </c>
      <c r="C6031" s="25">
        <v>441022</v>
      </c>
      <c r="D6031" s="22" t="s">
        <v>7806</v>
      </c>
      <c r="E6031" s="22" t="s">
        <v>52</v>
      </c>
      <c r="F6031" s="23" t="str">
        <f t="shared" si="253"/>
        <v>Установка внутреннего видеонаблюдения</v>
      </c>
      <c r="G6031" s="22" t="s">
        <v>72</v>
      </c>
      <c r="H6031" s="22" t="s">
        <v>7807</v>
      </c>
      <c r="I6031" s="26">
        <v>43637.598611111098</v>
      </c>
      <c r="J6031" s="23" t="str">
        <f>HYPERLINK("https://www.spark-marketing.ru/Card/Person/6623256", "ООО ""ТРАДИЦИЯ 210""")</f>
        <v>ООО "ТРАДИЦИЯ 210"</v>
      </c>
      <c r="K6031" s="24" t="s">
        <v>7808</v>
      </c>
      <c r="L6031" s="28" t="s">
        <v>52</v>
      </c>
      <c r="M6031" s="25">
        <v>396919.8</v>
      </c>
      <c r="N6031" s="27">
        <v>0.1</v>
      </c>
    </row>
    <row r="6032" spans="1:14" ht="12.75" hidden="1" outlineLevel="1" x14ac:dyDescent="0.2">
      <c r="A6032" s="23" t="str">
        <f t="shared" si="252"/>
        <v>ГКОУ СО "ВЕРХНЕТАГИЛЬСКИЙ ДЕТСКИЙ ДОМ-ШКОЛА"</v>
      </c>
      <c r="B6032" s="24" t="s">
        <v>7805</v>
      </c>
      <c r="C6032" s="25">
        <v>441022</v>
      </c>
      <c r="D6032" s="22" t="s">
        <v>7806</v>
      </c>
      <c r="E6032" s="22" t="s">
        <v>52</v>
      </c>
      <c r="F6032" s="23" t="str">
        <f t="shared" si="253"/>
        <v>Установка внутреннего видеонаблюдения</v>
      </c>
      <c r="G6032" s="22" t="s">
        <v>72</v>
      </c>
      <c r="H6032" s="22" t="s">
        <v>7807</v>
      </c>
      <c r="I6032" s="26">
        <v>43637.598611111098</v>
      </c>
      <c r="J6032" s="23" t="str">
        <f>HYPERLINK("https://www.spark-marketing.ru/Card/Person/6578982", "Родичев Максим Юрьевич")</f>
        <v>Родичев Максим Юрьевич</v>
      </c>
      <c r="K6032" s="24" t="s">
        <v>1478</v>
      </c>
      <c r="L6032" s="22" t="s">
        <v>10</v>
      </c>
      <c r="M6032" s="25">
        <v>221127.89</v>
      </c>
      <c r="N6032" s="27">
        <v>0.49860122624268177</v>
      </c>
    </row>
    <row r="6033" spans="1:14" hidden="1" outlineLevel="1" x14ac:dyDescent="0.2">
      <c r="A6033" s="23" t="str">
        <f t="shared" si="252"/>
        <v>ГКОУ СО "ВЕРХНЕТАГИЛЬСКИЙ ДЕТСКИЙ ДОМ-ШКОЛА"</v>
      </c>
      <c r="B6033" s="24" t="s">
        <v>7805</v>
      </c>
      <c r="C6033" s="25">
        <v>441022</v>
      </c>
      <c r="D6033" s="22" t="s">
        <v>7806</v>
      </c>
      <c r="E6033" s="22" t="s">
        <v>52</v>
      </c>
      <c r="F6033" s="23" t="str">
        <f t="shared" si="253"/>
        <v>Установка внутреннего видеонаблюдения</v>
      </c>
      <c r="G6033" s="22" t="s">
        <v>72</v>
      </c>
      <c r="H6033" s="22" t="s">
        <v>7807</v>
      </c>
      <c r="I6033" s="26">
        <v>43637.598611111098</v>
      </c>
      <c r="J6033" s="23" t="str">
        <f>HYPERLINK("https://www.spark-marketing.ru/Card/Person/6190557", "ООО ""СВУ АНГЕЛ-ГРУПП""")</f>
        <v>ООО "СВУ АНГЕЛ-ГРУПП"</v>
      </c>
      <c r="K6033" s="24" t="s">
        <v>7809</v>
      </c>
      <c r="L6033" s="28" t="s">
        <v>52</v>
      </c>
      <c r="M6033" s="25">
        <v>223333</v>
      </c>
      <c r="N6033" s="27">
        <v>0.49360122624268177</v>
      </c>
    </row>
    <row r="6034" spans="1:14" hidden="1" outlineLevel="1" x14ac:dyDescent="0.2">
      <c r="A6034" s="23" t="str">
        <f t="shared" si="252"/>
        <v>ГКОУ СО "ВЕРХНЕТАГИЛЬСКИЙ ДЕТСКИЙ ДОМ-ШКОЛА"</v>
      </c>
      <c r="B6034" s="24" t="s">
        <v>7805</v>
      </c>
      <c r="C6034" s="25">
        <v>441022</v>
      </c>
      <c r="D6034" s="22" t="s">
        <v>7806</v>
      </c>
      <c r="E6034" s="22" t="s">
        <v>52</v>
      </c>
      <c r="F6034" s="23" t="str">
        <f t="shared" si="253"/>
        <v>Установка внутреннего видеонаблюдения</v>
      </c>
      <c r="G6034" s="22" t="s">
        <v>72</v>
      </c>
      <c r="H6034" s="22" t="s">
        <v>7807</v>
      </c>
      <c r="I6034" s="26">
        <v>43637.598611111098</v>
      </c>
      <c r="J6034" s="23" t="str">
        <f>HYPERLINK("https://www.spark-marketing.ru/Card/Person/850561", "ООО ""АСКОН""")</f>
        <v>ООО "АСКОН"</v>
      </c>
      <c r="K6034" s="24" t="s">
        <v>1266</v>
      </c>
      <c r="L6034" s="28" t="s">
        <v>52</v>
      </c>
      <c r="M6034" s="25">
        <v>374127.89</v>
      </c>
      <c r="N6034" s="27">
        <v>0.15167975747241635</v>
      </c>
    </row>
    <row r="6035" spans="1:14" hidden="1" outlineLevel="1" x14ac:dyDescent="0.2">
      <c r="A6035" s="23" t="str">
        <f t="shared" si="252"/>
        <v>ГКОУ СО "ВЕРХНЕТАГИЛЬСКИЙ ДЕТСКИЙ ДОМ-ШКОЛА"</v>
      </c>
      <c r="B6035" s="24" t="s">
        <v>7805</v>
      </c>
      <c r="C6035" s="25">
        <v>441022</v>
      </c>
      <c r="D6035" s="22" t="s">
        <v>7806</v>
      </c>
      <c r="E6035" s="22" t="s">
        <v>52</v>
      </c>
      <c r="F6035" s="23" t="str">
        <f t="shared" si="253"/>
        <v>Установка внутреннего видеонаблюдения</v>
      </c>
      <c r="G6035" s="22" t="s">
        <v>72</v>
      </c>
      <c r="H6035" s="22" t="s">
        <v>7807</v>
      </c>
      <c r="I6035" s="26">
        <v>43637.598611111098</v>
      </c>
      <c r="J6035" s="23" t="str">
        <f>HYPERLINK("https://www.spark-marketing.ru/Card/Person/6223684", "ООО ""КОРПОРАЦИЯ БЕЗОПАСНОСТИ""")</f>
        <v>ООО "КОРПОРАЦИЯ БЕЗОПАСНОСТИ"</v>
      </c>
      <c r="K6035" s="24" t="s">
        <v>4894</v>
      </c>
      <c r="L6035" s="28" t="s">
        <v>52</v>
      </c>
      <c r="M6035" s="25">
        <v>380795.22</v>
      </c>
      <c r="N6035" s="27">
        <v>0.13656184952224606</v>
      </c>
    </row>
    <row r="6036" spans="1:14" hidden="1" outlineLevel="1" x14ac:dyDescent="0.2">
      <c r="A6036" s="23" t="str">
        <f t="shared" si="252"/>
        <v>ГКОУ СО "ВЕРХНЕТАГИЛЬСКИЙ ДЕТСКИЙ ДОМ-ШКОЛА"</v>
      </c>
      <c r="B6036" s="24" t="s">
        <v>7805</v>
      </c>
      <c r="C6036" s="25">
        <v>441022</v>
      </c>
      <c r="D6036" s="22" t="s">
        <v>7806</v>
      </c>
      <c r="E6036" s="22" t="s">
        <v>52</v>
      </c>
      <c r="F6036" s="23" t="str">
        <f t="shared" si="253"/>
        <v>Установка внутреннего видеонаблюдения</v>
      </c>
      <c r="G6036" s="22" t="s">
        <v>72</v>
      </c>
      <c r="H6036" s="22" t="s">
        <v>7807</v>
      </c>
      <c r="I6036" s="26">
        <v>43637.598611111098</v>
      </c>
      <c r="J6036" s="23" t="str">
        <f>HYPERLINK("https://www.spark-marketing.ru/Card/Person/6236196", "ООО ""ВИДЕОСЕРВИС""")</f>
        <v>ООО "ВИДЕОСЕРВИС"</v>
      </c>
      <c r="K6036" s="24" t="s">
        <v>7810</v>
      </c>
      <c r="L6036" s="28" t="s">
        <v>52</v>
      </c>
      <c r="M6036" s="25">
        <v>314489.78000000003</v>
      </c>
      <c r="N6036" s="27">
        <v>0.28690682097491738</v>
      </c>
    </row>
    <row r="6037" spans="1:14" hidden="1" outlineLevel="1" x14ac:dyDescent="0.2">
      <c r="A6037" s="23" t="str">
        <f t="shared" si="252"/>
        <v>ГКОУ СО "ВЕРХНЕТАГИЛЬСКИЙ ДЕТСКИЙ ДОМ-ШКОЛА"</v>
      </c>
      <c r="B6037" s="24" t="s">
        <v>7805</v>
      </c>
      <c r="C6037" s="25">
        <v>441022</v>
      </c>
      <c r="D6037" s="22" t="s">
        <v>7806</v>
      </c>
      <c r="E6037" s="22" t="s">
        <v>52</v>
      </c>
      <c r="F6037" s="23" t="str">
        <f t="shared" si="253"/>
        <v>Установка внутреннего видеонаблюдения</v>
      </c>
      <c r="G6037" s="22" t="s">
        <v>72</v>
      </c>
      <c r="H6037" s="22" t="s">
        <v>7807</v>
      </c>
      <c r="I6037" s="26">
        <v>43637.598611111098</v>
      </c>
      <c r="J6037" s="23" t="str">
        <f>HYPERLINK("https://www.spark-marketing.ru/Card/Person/5853123", "Ершов Андрей Алексеевич")</f>
        <v>Ершов Андрей Алексеевич</v>
      </c>
      <c r="K6037" s="24" t="s">
        <v>1063</v>
      </c>
      <c r="L6037" s="28" t="s">
        <v>52</v>
      </c>
      <c r="M6037" s="25">
        <v>293922.78000000003</v>
      </c>
      <c r="N6037" s="27">
        <v>0.33354168272784579</v>
      </c>
    </row>
    <row r="6038" spans="1:14" x14ac:dyDescent="0.15">
      <c r="A6038" s="23" t="str">
        <f>HYPERLINK("https://www.spark-marketing.ru/Card/Person/77624", "УПРАВЛЕНИЕ РОСКОМНАДЗОРА ПО СЕВЕРО-ЗАПАДНОМУ ФЕДЕРАЛЬНОМУ ОКРУГУ")</f>
        <v>УПРАВЛЕНИЕ РОСКОМНАДЗОРА ПО СЕВЕРО-ЗАПАДНОМУ ФЕДЕРАЛЬНОМУ ОКРУГУ</v>
      </c>
      <c r="B6038" s="24" t="s">
        <v>7811</v>
      </c>
      <c r="C6038" s="25">
        <v>56000</v>
      </c>
      <c r="D6038" s="22" t="s">
        <v>7812</v>
      </c>
      <c r="E6038" s="22" t="s">
        <v>53</v>
      </c>
      <c r="F6038" s="23" t="str">
        <f>HYPERLINK("https://www.spark-marketing.ru/Card/Lot/71568587", "Оказание услуг по предоставлению стоянки и охрану автомобиля")</f>
        <v>Оказание услуг по предоставлению стоянки и охрану автомобиля</v>
      </c>
      <c r="G6038" s="22" t="s">
        <v>89</v>
      </c>
      <c r="H6038" s="22" t="s">
        <v>89</v>
      </c>
      <c r="I6038" s="26">
        <v>43637.570949074099</v>
      </c>
      <c r="J6038" s="28" t="s">
        <v>52</v>
      </c>
      <c r="K6038" s="28" t="s">
        <v>52</v>
      </c>
      <c r="L6038" s="28" t="s">
        <v>52</v>
      </c>
      <c r="M6038" s="28" t="s">
        <v>52</v>
      </c>
      <c r="N6038" s="28" t="s">
        <v>52</v>
      </c>
    </row>
    <row r="6039" spans="1:14" x14ac:dyDescent="0.15">
      <c r="A6039" s="23" t="str">
        <f>HYPERLINK("https://www.spark-marketing.ru/Card/Person/77624", "УПРАВЛЕНИЕ РОСКОМНАДЗОРА ПО СЕВЕРО-ЗАПАДНОМУ ФЕДЕРАЛЬНОМУ ОКРУГУ")</f>
        <v>УПРАВЛЕНИЕ РОСКОМНАДЗОРА ПО СЕВЕРО-ЗАПАДНОМУ ФЕДЕРАЛЬНОМУ ОКРУГУ</v>
      </c>
      <c r="B6039" s="24" t="s">
        <v>7811</v>
      </c>
      <c r="C6039" s="25">
        <v>56000</v>
      </c>
      <c r="D6039" s="22" t="s">
        <v>7813</v>
      </c>
      <c r="E6039" s="22" t="s">
        <v>53</v>
      </c>
      <c r="F6039" s="23" t="str">
        <f>HYPERLINK("https://www.spark-marketing.ru/Card/Lot/71568568", "Услуги по предоставлению стоянки и охрану автомобилей")</f>
        <v>Услуги по предоставлению стоянки и охрану автомобилей</v>
      </c>
      <c r="G6039" s="22" t="s">
        <v>89</v>
      </c>
      <c r="H6039" s="22" t="s">
        <v>89</v>
      </c>
      <c r="I6039" s="26">
        <v>43637.562384259298</v>
      </c>
      <c r="J6039" s="28" t="s">
        <v>52</v>
      </c>
      <c r="K6039" s="28" t="s">
        <v>52</v>
      </c>
      <c r="L6039" s="28" t="s">
        <v>52</v>
      </c>
      <c r="M6039" s="28" t="s">
        <v>52</v>
      </c>
      <c r="N6039" s="28" t="s">
        <v>52</v>
      </c>
    </row>
    <row r="6040" spans="1:14" x14ac:dyDescent="0.15">
      <c r="A6040" s="23" t="str">
        <f>HYPERLINK("https://www.spark-marketing.ru/Card/Person/77624", "УПРАВЛЕНИЕ РОСКОМНАДЗОРА ПО СЕВЕРО-ЗАПАДНОМУ ФЕДЕРАЛЬНОМУ ОКРУГУ")</f>
        <v>УПРАВЛЕНИЕ РОСКОМНАДЗОРА ПО СЕВЕРО-ЗАПАДНОМУ ФЕДЕРАЛЬНОМУ ОКРУГУ</v>
      </c>
      <c r="B6040" s="24" t="s">
        <v>7811</v>
      </c>
      <c r="C6040" s="25">
        <v>56000</v>
      </c>
      <c r="D6040" s="22" t="s">
        <v>7814</v>
      </c>
      <c r="E6040" s="22" t="s">
        <v>53</v>
      </c>
      <c r="F6040" s="23" t="str">
        <f>HYPERLINK("https://www.spark-marketing.ru/Card/Lot/71568564", "Услуги по предоставлению стоянки и охрану автомобилей")</f>
        <v>Услуги по предоставлению стоянки и охрану автомобилей</v>
      </c>
      <c r="G6040" s="22" t="s">
        <v>89</v>
      </c>
      <c r="H6040" s="22" t="s">
        <v>89</v>
      </c>
      <c r="I6040" s="26">
        <v>43637.560196759303</v>
      </c>
      <c r="J6040" s="28" t="s">
        <v>52</v>
      </c>
      <c r="K6040" s="28" t="s">
        <v>52</v>
      </c>
      <c r="L6040" s="28" t="s">
        <v>52</v>
      </c>
      <c r="M6040" s="28" t="s">
        <v>52</v>
      </c>
      <c r="N6040" s="28" t="s">
        <v>52</v>
      </c>
    </row>
    <row r="6041" spans="1:14" x14ac:dyDescent="0.15">
      <c r="A6041" s="23" t="str">
        <f>HYPERLINK("https://www.spark-marketing.ru/Card/Person/1460113", "АО ""ЭПМ-НЭЗ""")</f>
        <v>АО "ЭПМ-НЭЗ"</v>
      </c>
      <c r="B6041" s="24" t="s">
        <v>7815</v>
      </c>
      <c r="C6041" s="25">
        <v>0</v>
      </c>
      <c r="D6041" s="22" t="s">
        <v>7816</v>
      </c>
      <c r="E6041" s="22" t="s">
        <v>7817</v>
      </c>
      <c r="F6041" s="23" t="str">
        <f>HYPERLINK("https://www.spark-marketing.ru/Card/Lot/71572233", "Смотрите техническое задание")</f>
        <v>Смотрите техническое задание</v>
      </c>
      <c r="G6041" s="22" t="s">
        <v>402</v>
      </c>
      <c r="H6041" s="22" t="s">
        <v>2663</v>
      </c>
      <c r="I6041" s="26">
        <v>43637.506539351903</v>
      </c>
      <c r="J6041" s="28" t="s">
        <v>52</v>
      </c>
      <c r="K6041" s="28" t="s">
        <v>52</v>
      </c>
      <c r="L6041" s="28" t="s">
        <v>52</v>
      </c>
      <c r="M6041" s="28" t="s">
        <v>52</v>
      </c>
      <c r="N6041" s="28" t="s">
        <v>52</v>
      </c>
    </row>
    <row r="6042" spans="1:14" x14ac:dyDescent="0.2">
      <c r="A6042" s="23" t="str">
        <f>HYPERLINK("https://www.spark-marketing.ru/Card/Person/1321279", "ГАПОУ СО ""НТТМПС""")</f>
        <v>ГАПОУ СО "НТТМПС"</v>
      </c>
      <c r="B6042" s="24" t="s">
        <v>7818</v>
      </c>
      <c r="C6042" s="25">
        <v>605265.6</v>
      </c>
      <c r="D6042" s="22" t="s">
        <v>7819</v>
      </c>
      <c r="E6042" s="22" t="s">
        <v>691</v>
      </c>
      <c r="F6042" s="23" t="str">
        <f>HYPERLINK("https://www.spark-marketing.ru/Card/Lot/71563186", "Работы по установке системы видеонаблюдения по ул.Юности,9")</f>
        <v>Работы по установке системы видеонаблюдения по ул.Юности,9</v>
      </c>
      <c r="G6042" s="22" t="s">
        <v>72</v>
      </c>
      <c r="H6042" s="22" t="s">
        <v>72</v>
      </c>
      <c r="I6042" s="26">
        <v>43637.5070949074</v>
      </c>
      <c r="J6042" s="28" t="s">
        <v>52</v>
      </c>
      <c r="K6042" s="28" t="s">
        <v>52</v>
      </c>
      <c r="L6042" s="22" t="s">
        <v>10</v>
      </c>
      <c r="M6042" s="25">
        <v>383593</v>
      </c>
      <c r="N6042" s="27">
        <v>0.36624020925689482</v>
      </c>
    </row>
    <row r="6043" spans="1:14" x14ac:dyDescent="0.15">
      <c r="A6043" s="23" t="str">
        <f>HYPERLINK("https://www.spark-marketing.ru/Card/Person/4343797", "ФКУ ""ЦХИСО ГУ МВД РОССИИ ПО МОСКОВСКОЙ ОБЛАСТИ""")</f>
        <v>ФКУ "ЦХИСО ГУ МВД РОССИИ ПО МОСКОВСКОЙ ОБЛАСТИ"</v>
      </c>
      <c r="B6043" s="24" t="s">
        <v>5090</v>
      </c>
      <c r="C6043" s="25">
        <v>21000</v>
      </c>
      <c r="D6043" s="22" t="s">
        <v>7820</v>
      </c>
      <c r="E6043" s="22" t="s">
        <v>107</v>
      </c>
      <c r="F6043" s="23" t="str">
        <f>HYPERLINK("https://www.spark-marketing.ru/Card/Lot/71561830", "Техническое обслуживание инженерно-технических средств охраны, 12 шт")</f>
        <v>Техническое обслуживание инженерно-технических средств охраны, 12 шт</v>
      </c>
      <c r="G6043" s="22" t="s">
        <v>50</v>
      </c>
      <c r="H6043" s="22" t="s">
        <v>2088</v>
      </c>
      <c r="I6043" s="26">
        <v>43637.477152777799</v>
      </c>
      <c r="J6043" s="28" t="s">
        <v>52</v>
      </c>
      <c r="K6043" s="28" t="s">
        <v>52</v>
      </c>
      <c r="L6043" s="28" t="s">
        <v>52</v>
      </c>
      <c r="M6043" s="28" t="s">
        <v>52</v>
      </c>
      <c r="N6043" s="28" t="s">
        <v>52</v>
      </c>
    </row>
    <row r="6044" spans="1:14" x14ac:dyDescent="0.15">
      <c r="A6044" s="23" t="str">
        <f>HYPERLINK("https://www.spark-marketing.ru/Card/Person/1066827", "ФКУ СИЗО-2 УФСИН РОССИИ ПО ПСКОВСКОЙ ОБЛАСТИ")</f>
        <v>ФКУ СИЗО-2 УФСИН РОССИИ ПО ПСКОВСКОЙ ОБЛАСТИ</v>
      </c>
      <c r="B6044" s="24" t="s">
        <v>7821</v>
      </c>
      <c r="C6044" s="25">
        <v>30000</v>
      </c>
      <c r="D6044" s="22" t="s">
        <v>7822</v>
      </c>
      <c r="E6044" s="22" t="s">
        <v>53</v>
      </c>
      <c r="F6044" s="23" t="str">
        <f>HYPERLINK("https://www.spark-marketing.ru/Card/Lot/71560761", "Материальные запасы для автоматической установки полжарной сигнализации")</f>
        <v>Материальные запасы для автоматической установки полжарной сигнализации</v>
      </c>
      <c r="G6044" s="22" t="s">
        <v>142</v>
      </c>
      <c r="H6044" s="22" t="s">
        <v>3575</v>
      </c>
      <c r="I6044" s="26">
        <v>43637.428692129601</v>
      </c>
      <c r="J6044" s="28" t="s">
        <v>52</v>
      </c>
      <c r="K6044" s="28" t="s">
        <v>52</v>
      </c>
      <c r="L6044" s="28" t="s">
        <v>52</v>
      </c>
      <c r="M6044" s="28" t="s">
        <v>52</v>
      </c>
      <c r="N6044" s="28" t="s">
        <v>52</v>
      </c>
    </row>
    <row r="6045" spans="1:14" x14ac:dyDescent="0.15">
      <c r="A6045" s="23" t="str">
        <f>HYPERLINK("https://www.spark-marketing.ru/Card/Person/61861", "МБОУ ""ДОРОХОВСКАЯ СОШ""")</f>
        <v>МБОУ "ДОРОХОВСКАЯ СОШ"</v>
      </c>
      <c r="B6045" s="24" t="s">
        <v>7823</v>
      </c>
      <c r="C6045" s="25">
        <v>766000</v>
      </c>
      <c r="D6045" s="22" t="s">
        <v>7824</v>
      </c>
      <c r="E6045" s="22" t="s">
        <v>84</v>
      </c>
      <c r="F6045" s="23" t="str">
        <f>HYPERLINK("https://www.spark-marketing.ru/Card/Lot/71567617", "Выполнение работ по установке и вводу в эксплуатацию оборудования региональной системы видео трансляции и видео протоколирования в пунктах проведения экзаменов для нужд МБОУ ""Дороховская СОШ""")</f>
        <v>Выполнение работ по установке и вводу в эксплуатацию оборудования региональной системы видео трансляции и видео протоколирования в пунктах проведения экзаменов для нужд МБОУ "Дороховская СОШ"</v>
      </c>
      <c r="G6045" s="22" t="s">
        <v>50</v>
      </c>
      <c r="H6045" s="22" t="s">
        <v>1207</v>
      </c>
      <c r="I6045" s="26">
        <v>43637.445833333302</v>
      </c>
      <c r="J6045" s="28" t="s">
        <v>52</v>
      </c>
      <c r="K6045" s="28" t="s">
        <v>52</v>
      </c>
      <c r="L6045" s="28" t="s">
        <v>52</v>
      </c>
      <c r="M6045" s="28" t="s">
        <v>52</v>
      </c>
      <c r="N6045" s="28" t="s">
        <v>52</v>
      </c>
    </row>
    <row r="6046" spans="1:14" ht="12.75" hidden="1" outlineLevel="1" x14ac:dyDescent="0.2">
      <c r="A6046" s="23" t="str">
        <f>HYPERLINK("https://www.spark-marketing.ru/Card/Person/61861", "МБОУ ""ДОРОХОВСКАЯ СОШ""")</f>
        <v>МБОУ "ДОРОХОВСКАЯ СОШ"</v>
      </c>
      <c r="B6046" s="24" t="s">
        <v>7823</v>
      </c>
      <c r="C6046" s="25">
        <v>766000</v>
      </c>
      <c r="D6046" s="22" t="s">
        <v>7824</v>
      </c>
      <c r="E6046" s="22" t="s">
        <v>84</v>
      </c>
      <c r="F6046" s="23" t="str">
        <f>HYPERLINK("https://www.spark-marketing.ru/Card/Lot/71567617", "Выполнение работ по установке и вводу в эксплуатацию оборудования региональной системы видео трансляции и видео протоколирования в пунктах проведения экзаменов для нужд МБОУ ""Дороховская СОШ""")</f>
        <v>Выполнение работ по установке и вводу в эксплуатацию оборудования региональной системы видео трансляции и видео протоколирования в пунктах проведения экзаменов для нужд МБОУ "Дороховская СОШ"</v>
      </c>
      <c r="G6046" s="22" t="s">
        <v>50</v>
      </c>
      <c r="H6046" s="22" t="s">
        <v>1207</v>
      </c>
      <c r="I6046" s="26">
        <v>43637.445833333302</v>
      </c>
      <c r="J6046" s="23" t="str">
        <f>HYPERLINK("https://www.spark-marketing.ru/Card/Person/76451", "ООО ""БИС""")</f>
        <v>ООО "БИС"</v>
      </c>
      <c r="K6046" s="24" t="s">
        <v>6528</v>
      </c>
      <c r="L6046" s="22" t="s">
        <v>10</v>
      </c>
      <c r="M6046" s="25">
        <v>750650</v>
      </c>
      <c r="N6046" s="27">
        <v>2.003916449086162E-2</v>
      </c>
    </row>
    <row r="6047" spans="1:14" hidden="1" outlineLevel="1" x14ac:dyDescent="0.2">
      <c r="A6047" s="23" t="str">
        <f>HYPERLINK("https://www.spark-marketing.ru/Card/Person/61861", "МБОУ ""ДОРОХОВСКАЯ СОШ""")</f>
        <v>МБОУ "ДОРОХОВСКАЯ СОШ"</v>
      </c>
      <c r="B6047" s="24" t="s">
        <v>7823</v>
      </c>
      <c r="C6047" s="25">
        <v>766000</v>
      </c>
      <c r="D6047" s="22" t="s">
        <v>7824</v>
      </c>
      <c r="E6047" s="22" t="s">
        <v>84</v>
      </c>
      <c r="F6047" s="23" t="str">
        <f>HYPERLINK("https://www.spark-marketing.ru/Card/Lot/71567617", "Выполнение работ по установке и вводу в эксплуатацию оборудования региональной системы видео трансляции и видео протоколирования в пунктах проведения экзаменов для нужд МБОУ ""Дороховская СОШ""")</f>
        <v>Выполнение работ по установке и вводу в эксплуатацию оборудования региональной системы видео трансляции и видео протоколирования в пунктах проведения экзаменов для нужд МБОУ "Дороховская СОШ"</v>
      </c>
      <c r="G6047" s="22" t="s">
        <v>50</v>
      </c>
      <c r="H6047" s="22" t="s">
        <v>1207</v>
      </c>
      <c r="I6047" s="26">
        <v>43637.445833333302</v>
      </c>
      <c r="J6047" s="23" t="str">
        <f>HYPERLINK("https://www.spark-marketing.ru/Card/Person/5912290", "ООО ""ЛАБОРАТОРИЯ ЗАЩИТЫ ИНФОРМАЦИИ""")</f>
        <v>ООО "ЛАБОРАТОРИЯ ЗАЩИТЫ ИНФОРМАЦИИ"</v>
      </c>
      <c r="K6047" s="24" t="s">
        <v>6529</v>
      </c>
      <c r="L6047" s="28" t="s">
        <v>52</v>
      </c>
      <c r="M6047" s="25">
        <v>754510</v>
      </c>
      <c r="N6047" s="27">
        <v>1.4999999999999999E-2</v>
      </c>
    </row>
    <row r="6048" spans="1:14" x14ac:dyDescent="0.15">
      <c r="A6048" s="23" t="str">
        <f>HYPERLINK("https://www.spark-marketing.ru/Card/Person/6356092", "ООО ""ХАРАМПУРНЕФТЕГАЗ""")</f>
        <v>ООО "ХАРАМПУРНЕФТЕГАЗ"</v>
      </c>
      <c r="B6048" s="24" t="s">
        <v>7825</v>
      </c>
      <c r="C6048" s="28" t="s">
        <v>52</v>
      </c>
      <c r="D6048" s="22" t="s">
        <v>7826</v>
      </c>
      <c r="E6048" s="22" t="s">
        <v>621</v>
      </c>
      <c r="F6048" s="23" t="str">
        <f>HYPERLINK("https://www.spark-marketing.ru/Card/Lot/71561275", "Оказание услуг по сопровождению строительного процесса на объектах деятельности ООО «Харампурнефтегаз» на 2019-2020гг.")</f>
        <v>Оказание услуг по сопровождению строительного процесса на объектах деятельности ООО «Харампурнефтегаз» на 2019-2020гг.</v>
      </c>
      <c r="G6048" s="22" t="s">
        <v>311</v>
      </c>
      <c r="H6048" s="22" t="s">
        <v>7350</v>
      </c>
      <c r="I6048" s="26">
        <v>43637.433333333298</v>
      </c>
      <c r="J6048" s="28" t="s">
        <v>52</v>
      </c>
      <c r="K6048" s="28" t="s">
        <v>52</v>
      </c>
      <c r="L6048" s="28" t="s">
        <v>52</v>
      </c>
      <c r="M6048" s="28" t="s">
        <v>52</v>
      </c>
      <c r="N6048" s="28" t="s">
        <v>52</v>
      </c>
    </row>
    <row r="6049" spans="1:14" x14ac:dyDescent="0.15">
      <c r="A6049" s="23" t="str">
        <f>HYPERLINK("https://www.spark-marketing.ru/Card/Person/1055957", "ГБДОУ НАО ""ДЕТСКИЙ САД ""КОРАБЛИК""")</f>
        <v>ГБДОУ НАО "ДЕТСКИЙ САД "КОРАБЛИК"</v>
      </c>
      <c r="B6049" s="24" t="s">
        <v>6515</v>
      </c>
      <c r="C6049" s="25">
        <v>25000</v>
      </c>
      <c r="D6049" s="22" t="s">
        <v>7827</v>
      </c>
      <c r="E6049" s="22" t="s">
        <v>349</v>
      </c>
      <c r="F6049" s="23" t="str">
        <f>HYPERLINK("https://www.spark-marketing.ru/Card/Lot/71559308", "Установка и приобретение видеорегистратора")</f>
        <v>Установка и приобретение видеорегистратора</v>
      </c>
      <c r="G6049" s="22" t="s">
        <v>1014</v>
      </c>
      <c r="H6049" s="22" t="s">
        <v>1015</v>
      </c>
      <c r="I6049" s="26">
        <v>43637.429861111101</v>
      </c>
      <c r="J6049" s="28" t="s">
        <v>52</v>
      </c>
      <c r="K6049" s="28" t="s">
        <v>52</v>
      </c>
      <c r="L6049" s="28" t="s">
        <v>52</v>
      </c>
      <c r="M6049" s="28" t="s">
        <v>52</v>
      </c>
      <c r="N6049" s="28" t="s">
        <v>52</v>
      </c>
    </row>
    <row r="6050" spans="1:14" x14ac:dyDescent="0.15">
      <c r="A6050" s="23" t="str">
        <f>HYPERLINK("https://www.spark-marketing.ru/Card/Person/234474", "ВОСЬМОЙ АРБИТРАЖНЫЙ АПЕЛЛЯЦИОННЫЙ СУД")</f>
        <v>ВОСЬМОЙ АРБИТРАЖНЫЙ АПЕЛЛЯЦИОННЫЙ СУД</v>
      </c>
      <c r="B6050" s="24" t="s">
        <v>3103</v>
      </c>
      <c r="C6050" s="25">
        <v>255717.92</v>
      </c>
      <c r="D6050" s="22" t="s">
        <v>7828</v>
      </c>
      <c r="E6050" s="22" t="s">
        <v>68</v>
      </c>
      <c r="F6050" s="23" t="str">
        <f>HYPERLINK("https://www.spark-marketing.ru/Card/Lot/71555888", "Услуги по осуществлению пропускного и внутриобъектового режимов, охране здания, охране помещений и прилегающей территории на объекте")</f>
        <v>Услуги по осуществлению пропускного и внутриобъектового режимов, охране здания, охране помещений и прилегающей территории на объекте</v>
      </c>
      <c r="G6050" s="22" t="s">
        <v>521</v>
      </c>
      <c r="H6050" s="22" t="s">
        <v>522</v>
      </c>
      <c r="I6050" s="26">
        <v>43637.3930555556</v>
      </c>
      <c r="J6050" s="28" t="s">
        <v>52</v>
      </c>
      <c r="K6050" s="28" t="s">
        <v>52</v>
      </c>
      <c r="L6050" s="28" t="s">
        <v>52</v>
      </c>
      <c r="M6050" s="28" t="s">
        <v>52</v>
      </c>
      <c r="N6050" s="28" t="s">
        <v>52</v>
      </c>
    </row>
    <row r="6051" spans="1:14" ht="12.75" hidden="1" outlineLevel="1" x14ac:dyDescent="0.2">
      <c r="A6051" s="23" t="str">
        <f>HYPERLINK("https://www.spark-marketing.ru/Card/Person/234474", "ВОСЬМОЙ АРБИТРАЖНЫЙ АПЕЛЛЯЦИОННЫЙ СУД")</f>
        <v>ВОСЬМОЙ АРБИТРАЖНЫЙ АПЕЛЛЯЦИОННЫЙ СУД</v>
      </c>
      <c r="B6051" s="24" t="s">
        <v>3103</v>
      </c>
      <c r="C6051" s="25">
        <v>255717.92</v>
      </c>
      <c r="D6051" s="22" t="s">
        <v>7828</v>
      </c>
      <c r="E6051" s="22" t="s">
        <v>68</v>
      </c>
      <c r="F6051" s="23" t="str">
        <f>HYPERLINK("https://www.spark-marketing.ru/Card/Lot/71555888", "Услуги по осуществлению пропускного и внутриобъектового режимов, охране здания, охране помещений и прилегающей территории на объекте")</f>
        <v>Услуги по осуществлению пропускного и внутриобъектового режимов, охране здания, охране помещений и прилегающей территории на объекте</v>
      </c>
      <c r="G6051" s="22" t="s">
        <v>521</v>
      </c>
      <c r="H6051" s="22" t="s">
        <v>522</v>
      </c>
      <c r="I6051" s="26">
        <v>43637.3930555556</v>
      </c>
      <c r="J6051" s="23" t="str">
        <f>HYPERLINK("https://www.spark-marketing.ru/Card/Person/361604", "ФГКУ ""УВО ВНГ РОССИИ ПО ОМСКОЙ ОБЛАСТИ""")</f>
        <v>ФГКУ "УВО ВНГ РОССИИ ПО ОМСКОЙ ОБЛАСТИ"</v>
      </c>
      <c r="K6051" s="24" t="s">
        <v>3105</v>
      </c>
      <c r="L6051" s="22" t="s">
        <v>10</v>
      </c>
      <c r="M6051" s="25">
        <v>161102.16</v>
      </c>
      <c r="N6051" s="27">
        <v>0.37000050680843954</v>
      </c>
    </row>
    <row r="6052" spans="1:14" hidden="1" outlineLevel="1" x14ac:dyDescent="0.2">
      <c r="A6052" s="23" t="str">
        <f>HYPERLINK("https://www.spark-marketing.ru/Card/Person/234474", "ВОСЬМОЙ АРБИТРАЖНЫЙ АПЕЛЛЯЦИОННЫЙ СУД")</f>
        <v>ВОСЬМОЙ АРБИТРАЖНЫЙ АПЕЛЛЯЦИОННЫЙ СУД</v>
      </c>
      <c r="B6052" s="24" t="s">
        <v>3103</v>
      </c>
      <c r="C6052" s="25">
        <v>255717.92</v>
      </c>
      <c r="D6052" s="22" t="s">
        <v>7828</v>
      </c>
      <c r="E6052" s="22" t="s">
        <v>68</v>
      </c>
      <c r="F6052" s="23" t="str">
        <f>HYPERLINK("https://www.spark-marketing.ru/Card/Lot/71555888", "Услуги по осуществлению пропускного и внутриобъектового режимов, охране здания, охране помещений и прилегающей территории на объекте")</f>
        <v>Услуги по осуществлению пропускного и внутриобъектового режимов, охране здания, охране помещений и прилегающей территории на объекте</v>
      </c>
      <c r="G6052" s="22" t="s">
        <v>521</v>
      </c>
      <c r="H6052" s="22" t="s">
        <v>522</v>
      </c>
      <c r="I6052" s="26">
        <v>43637.3930555556</v>
      </c>
      <c r="J6052" s="23" t="str">
        <f>HYPERLINK("https://www.spark-marketing.ru/Card/Person/4493553", "ФЛ ФГУП ""ОХРАНА"" РОСГВАРДИИ ПО ОМСКОЙ ОБЛАСТИ")</f>
        <v>ФЛ ФГУП "ОХРАНА" РОСГВАРДИИ ПО ОМСКОЙ ОБЛАСТИ</v>
      </c>
      <c r="K6052" s="24" t="s">
        <v>779</v>
      </c>
      <c r="L6052" s="28" t="s">
        <v>52</v>
      </c>
      <c r="M6052" s="25">
        <v>239096.25</v>
      </c>
      <c r="N6052" s="27">
        <v>6.5000020334906525E-2</v>
      </c>
    </row>
    <row r="6053" spans="1:14" hidden="1" outlineLevel="1" x14ac:dyDescent="0.2">
      <c r="A6053" s="23" t="str">
        <f>HYPERLINK("https://www.spark-marketing.ru/Card/Person/234474", "ВОСЬМОЙ АРБИТРАЖНЫЙ АПЕЛЛЯЦИОННЫЙ СУД")</f>
        <v>ВОСЬМОЙ АРБИТРАЖНЫЙ АПЕЛЛЯЦИОННЫЙ СУД</v>
      </c>
      <c r="B6053" s="24" t="s">
        <v>3103</v>
      </c>
      <c r="C6053" s="25">
        <v>255717.92</v>
      </c>
      <c r="D6053" s="22" t="s">
        <v>7828</v>
      </c>
      <c r="E6053" s="22" t="s">
        <v>68</v>
      </c>
      <c r="F6053" s="23" t="str">
        <f>HYPERLINK("https://www.spark-marketing.ru/Card/Lot/71555888", "Услуги по осуществлению пропускного и внутриобъектового режимов, охране здания, охране помещений и прилегающей территории на объекте")</f>
        <v>Услуги по осуществлению пропускного и внутриобъектового режимов, охране здания, охране помещений и прилегающей территории на объекте</v>
      </c>
      <c r="G6053" s="22" t="s">
        <v>521</v>
      </c>
      <c r="H6053" s="22" t="s">
        <v>522</v>
      </c>
      <c r="I6053" s="26">
        <v>43637.3930555556</v>
      </c>
      <c r="J6053" s="23" t="str">
        <f>HYPERLINK("https://www.spark-marketing.ru/Card/Person/666553", "ФГП ВО ЖДТ РОССИИ")</f>
        <v>ФГП ВО ЖДТ РОССИИ</v>
      </c>
      <c r="K6053" s="24" t="s">
        <v>1269</v>
      </c>
      <c r="L6053" s="28" t="s">
        <v>52</v>
      </c>
      <c r="M6053" s="25">
        <v>162380.75</v>
      </c>
      <c r="N6053" s="27">
        <v>0.36500050524421596</v>
      </c>
    </row>
    <row r="6054" spans="1:14" x14ac:dyDescent="0.15">
      <c r="A6054" s="23" t="str">
        <f>HYPERLINK("https://www.spark-marketing.ru/Card/Person/284841", "ООО ""ГЭС БЕЛГОРОД""")</f>
        <v>ООО "ГЭС БЕЛГОРОД"</v>
      </c>
      <c r="B6054" s="24" t="s">
        <v>7829</v>
      </c>
      <c r="C6054" s="25">
        <v>287000</v>
      </c>
      <c r="D6054" s="22" t="s">
        <v>7830</v>
      </c>
      <c r="E6054" s="22" t="s">
        <v>491</v>
      </c>
      <c r="F6054" s="23" t="str">
        <f>HYPERLINK("https://www.spark-marketing.ru/Card/Lot/71559200", "Услуги по разработке и утверждения - ""Плана обеспечения транспортной безопасности""")</f>
        <v>Услуги по разработке и утверждения - "Плана обеспечения транспортной безопасности"</v>
      </c>
      <c r="G6054" s="22" t="s">
        <v>176</v>
      </c>
      <c r="H6054" s="22" t="s">
        <v>318</v>
      </c>
      <c r="I6054" s="26">
        <v>43637.388888888898</v>
      </c>
      <c r="J6054" s="28" t="s">
        <v>52</v>
      </c>
      <c r="K6054" s="28" t="s">
        <v>52</v>
      </c>
      <c r="L6054" s="28" t="s">
        <v>52</v>
      </c>
      <c r="M6054" s="28" t="s">
        <v>52</v>
      </c>
      <c r="N6054" s="28" t="s">
        <v>52</v>
      </c>
    </row>
    <row r="6055" spans="1:14" x14ac:dyDescent="0.15">
      <c r="A6055" s="23" t="str">
        <f>HYPERLINK("https://www.spark-marketing.ru/Card/Person/78553", "БУ ""СУРГУТСКАЯ ГОРОДСКАЯ КЛИНИЧЕСКАЯ ПОЛИКЛИНИКА № 5""")</f>
        <v>БУ "СУРГУТСКАЯ ГОРОДСКАЯ КЛИНИЧЕСКАЯ ПОЛИКЛИНИКА № 5"</v>
      </c>
      <c r="B6055" s="24" t="s">
        <v>6898</v>
      </c>
      <c r="C6055" s="28" t="s">
        <v>52</v>
      </c>
      <c r="D6055" s="22" t="s">
        <v>7831</v>
      </c>
      <c r="E6055" s="22" t="s">
        <v>52</v>
      </c>
      <c r="F6055" s="23" t="str">
        <f>HYPERLINK("https://www.spark-marketing.ru/Card/Lot/71555631", "Оказание услуг по охране объектов")</f>
        <v>Оказание услуг по охране объектов</v>
      </c>
      <c r="G6055" s="22" t="s">
        <v>119</v>
      </c>
      <c r="H6055" s="22" t="s">
        <v>463</v>
      </c>
      <c r="I6055" s="26">
        <v>43637.309027777803</v>
      </c>
      <c r="J6055" s="28" t="s">
        <v>52</v>
      </c>
      <c r="K6055" s="28" t="s">
        <v>52</v>
      </c>
      <c r="L6055" s="28" t="s">
        <v>52</v>
      </c>
      <c r="M6055" s="28" t="s">
        <v>52</v>
      </c>
      <c r="N6055" s="28" t="s">
        <v>52</v>
      </c>
    </row>
    <row r="6056" spans="1:14" x14ac:dyDescent="0.15">
      <c r="A6056" s="23" t="str">
        <f>HYPERLINK("https://www.spark-marketing.ru/Card/Person/14246", "БУ ""ГОСУДАРСТВЕННАЯ БИБЛИОТЕКА ЮГРЫ""")</f>
        <v>БУ "ГОСУДАРСТВЕННАЯ БИБЛИОТЕКА ЮГРЫ"</v>
      </c>
      <c r="B6056" s="24" t="s">
        <v>7832</v>
      </c>
      <c r="C6056" s="28" t="s">
        <v>52</v>
      </c>
      <c r="D6056" s="22" t="s">
        <v>7833</v>
      </c>
      <c r="E6056" s="22" t="s">
        <v>52</v>
      </c>
      <c r="F6056" s="23" t="str">
        <f>HYPERLINK("https://www.spark-marketing.ru/Card/Lot/71555601", "Оказание услуг по охране и обеспечению внутриобъектового, пропускного режима на объект Заказчика")</f>
        <v>Оказание услуг по охране и обеспечению внутриобъектового, пропускного режима на объект Заказчика</v>
      </c>
      <c r="G6056" s="22" t="s">
        <v>119</v>
      </c>
      <c r="H6056" s="22" t="s">
        <v>2563</v>
      </c>
      <c r="I6056" s="26">
        <v>43637.298611111102</v>
      </c>
      <c r="J6056" s="28" t="s">
        <v>52</v>
      </c>
      <c r="K6056" s="28" t="s">
        <v>52</v>
      </c>
      <c r="L6056" s="28" t="s">
        <v>52</v>
      </c>
      <c r="M6056" s="28" t="s">
        <v>52</v>
      </c>
      <c r="N6056" s="28" t="s">
        <v>52</v>
      </c>
    </row>
    <row r="6057" spans="1:14" x14ac:dyDescent="0.15">
      <c r="A6057" s="23" t="str">
        <f>HYPERLINK("https://www.spark-marketing.ru/Card/Person/1890", "МТУ РОСИМУЩЕСТВА В КЕМЕРОВСКОЙ И ТОМСКОЙ ОБЛАСТЯХ")</f>
        <v>МТУ РОСИМУЩЕСТВА В КЕМЕРОВСКОЙ И ТОМСКОЙ ОБЛАСТЯХ</v>
      </c>
      <c r="B6057" s="24" t="s">
        <v>1817</v>
      </c>
      <c r="C6057" s="25">
        <v>93555</v>
      </c>
      <c r="D6057" s="22" t="s">
        <v>7834</v>
      </c>
      <c r="E6057" s="22" t="s">
        <v>68</v>
      </c>
      <c r="F6057" s="23" t="str">
        <f>HYPERLINK("https://www.spark-marketing.ru/Card/Lot/71554828", "Услуги, связанные с обеспечением общественного порядка и безопасности прочие, 1 усл. ед")</f>
        <v>Услуги, связанные с обеспечением общественного порядка и безопасности прочие, 1 усл. ед</v>
      </c>
      <c r="G6057" s="22" t="s">
        <v>367</v>
      </c>
      <c r="H6057" s="22" t="s">
        <v>881</v>
      </c>
      <c r="I6057" s="26">
        <v>43637.246631944399</v>
      </c>
      <c r="J6057" s="28" t="s">
        <v>52</v>
      </c>
      <c r="K6057" s="28" t="s">
        <v>52</v>
      </c>
      <c r="L6057" s="28" t="s">
        <v>52</v>
      </c>
      <c r="M6057" s="28" t="s">
        <v>52</v>
      </c>
      <c r="N6057" s="28" t="s">
        <v>52</v>
      </c>
    </row>
    <row r="6058" spans="1:14" x14ac:dyDescent="0.15">
      <c r="A6058" s="23" t="str">
        <f>HYPERLINK("https://www.spark-marketing.ru/Card/Person/996826", "КГКОУ ШИ 4")</f>
        <v>КГКОУ ШИ 4</v>
      </c>
      <c r="B6058" s="24" t="s">
        <v>2624</v>
      </c>
      <c r="C6058" s="25">
        <v>24000</v>
      </c>
      <c r="D6058" s="22" t="s">
        <v>7835</v>
      </c>
      <c r="E6058" s="22" t="s">
        <v>103</v>
      </c>
      <c r="F6058" s="23" t="str">
        <f>HYPERLINK("https://www.spark-marketing.ru/Card/Lot/71551771", "Оказание услуг по техническому обслуживанию системы видеонаблюдения, 1 усл. ед")</f>
        <v>Оказание услуг по техническому обслуживанию системы видеонаблюдения, 1 усл. ед</v>
      </c>
      <c r="G6058" s="22" t="s">
        <v>138</v>
      </c>
      <c r="H6058" s="22" t="s">
        <v>255</v>
      </c>
      <c r="I6058" s="26">
        <v>43637.168252314797</v>
      </c>
      <c r="J6058" s="28" t="s">
        <v>52</v>
      </c>
      <c r="K6058" s="28" t="s">
        <v>52</v>
      </c>
      <c r="L6058" s="28" t="s">
        <v>52</v>
      </c>
      <c r="M6058" s="28" t="s">
        <v>52</v>
      </c>
      <c r="N6058" s="28" t="s">
        <v>52</v>
      </c>
    </row>
    <row r="6059" spans="1:14" x14ac:dyDescent="0.15">
      <c r="A6059" s="23" t="str">
        <f>HYPERLINK("https://www.spark-marketing.ru/Card/Person/137196", "МКУ ""УМК НН""")</f>
        <v>МКУ "УМК НН"</v>
      </c>
      <c r="B6059" s="24" t="s">
        <v>7836</v>
      </c>
      <c r="C6059" s="25">
        <v>420613.78</v>
      </c>
      <c r="D6059" s="22" t="s">
        <v>7837</v>
      </c>
      <c r="E6059" s="22" t="s">
        <v>52</v>
      </c>
      <c r="F6059" s="23" t="str">
        <f>HYPERLINK("https://www.spark-marketing.ru/Card/Lot/71551642", "Выполнение работ по установке оборудования для контроля доступа на территорию муниципального кладбища ""Марьина Роща"" (установка шлагбаума и системы видеонаблюдения).")</f>
        <v>Выполнение работ по установке оборудования для контроля доступа на территорию муниципального кладбища "Марьина Роща" (установка шлагбаума и системы видеонаблюдения).</v>
      </c>
      <c r="G6059" s="22" t="s">
        <v>64</v>
      </c>
      <c r="H6059" s="22" t="s">
        <v>64</v>
      </c>
      <c r="I6059" s="26">
        <v>43637.091666666704</v>
      </c>
      <c r="J6059" s="28" t="s">
        <v>52</v>
      </c>
      <c r="K6059" s="28" t="s">
        <v>52</v>
      </c>
      <c r="L6059" s="28" t="s">
        <v>52</v>
      </c>
      <c r="M6059" s="28" t="s">
        <v>52</v>
      </c>
      <c r="N6059" s="28" t="s">
        <v>52</v>
      </c>
    </row>
    <row r="6060" spans="1:14" ht="12.75" hidden="1" outlineLevel="1" x14ac:dyDescent="0.2">
      <c r="A6060" s="23" t="str">
        <f>HYPERLINK("https://www.spark-marketing.ru/Card/Person/137196", "МКУ ""УМК НН""")</f>
        <v>МКУ "УМК НН"</v>
      </c>
      <c r="B6060" s="24" t="s">
        <v>7836</v>
      </c>
      <c r="C6060" s="25">
        <v>420613.78</v>
      </c>
      <c r="D6060" s="22" t="s">
        <v>7837</v>
      </c>
      <c r="E6060" s="22" t="s">
        <v>52</v>
      </c>
      <c r="F6060" s="23" t="str">
        <f>HYPERLINK("https://www.spark-marketing.ru/Card/Lot/71551642", "Выполнение работ по установке оборудования для контроля доступа на территорию муниципального кладбища ""Марьина Роща"" (установка шлагбаума и системы видеонаблюдения).")</f>
        <v>Выполнение работ по установке оборудования для контроля доступа на территорию муниципального кладбища "Марьина Роща" (установка шлагбаума и системы видеонаблюдения).</v>
      </c>
      <c r="G6060" s="22" t="s">
        <v>64</v>
      </c>
      <c r="H6060" s="22" t="s">
        <v>64</v>
      </c>
      <c r="I6060" s="26">
        <v>43637.091666666704</v>
      </c>
      <c r="J6060" s="23" t="str">
        <f>HYPERLINK("https://www.spark-marketing.ru/Card/Person/338603", "ООО ""ВИДИС""")</f>
        <v>ООО "ВИДИС"</v>
      </c>
      <c r="K6060" s="24" t="s">
        <v>7838</v>
      </c>
      <c r="L6060" s="22" t="s">
        <v>10</v>
      </c>
      <c r="M6060" s="25">
        <v>287896.93</v>
      </c>
      <c r="N6060" s="27">
        <v>0.31553138843905687</v>
      </c>
    </row>
    <row r="6061" spans="1:14" hidden="1" outlineLevel="1" x14ac:dyDescent="0.2">
      <c r="A6061" s="23" t="str">
        <f>HYPERLINK("https://www.spark-marketing.ru/Card/Person/137196", "МКУ ""УМК НН""")</f>
        <v>МКУ "УМК НН"</v>
      </c>
      <c r="B6061" s="24" t="s">
        <v>7836</v>
      </c>
      <c r="C6061" s="25">
        <v>420613.78</v>
      </c>
      <c r="D6061" s="22" t="s">
        <v>7837</v>
      </c>
      <c r="E6061" s="22" t="s">
        <v>52</v>
      </c>
      <c r="F6061" s="23" t="str">
        <f>HYPERLINK("https://www.spark-marketing.ru/Card/Lot/71551642", "Выполнение работ по установке оборудования для контроля доступа на территорию муниципального кладбища ""Марьина Роща"" (установка шлагбаума и системы видеонаблюдения).")</f>
        <v>Выполнение работ по установке оборудования для контроля доступа на территорию муниципального кладбища "Марьина Роща" (установка шлагбаума и системы видеонаблюдения).</v>
      </c>
      <c r="G6061" s="22" t="s">
        <v>64</v>
      </c>
      <c r="H6061" s="22" t="s">
        <v>64</v>
      </c>
      <c r="I6061" s="26">
        <v>43637.091666666704</v>
      </c>
      <c r="J6061" s="23" t="str">
        <f>HYPERLINK("https://www.spark-marketing.ru/Card/Person/526586", "ООО ""МОНТАЖНАЯ КОМПАНИЯ СИСТЕМ БЕЗОПАСНОСТИ""")</f>
        <v>ООО "МОНТАЖНАЯ КОМПАНИЯ СИСТЕМ БЕЗОПАСНОСТИ"</v>
      </c>
      <c r="K6061" s="24" t="s">
        <v>4708</v>
      </c>
      <c r="L6061" s="28" t="s">
        <v>52</v>
      </c>
      <c r="M6061" s="25">
        <v>290000</v>
      </c>
      <c r="N6061" s="27">
        <v>0.31053138582383105</v>
      </c>
    </row>
    <row r="6062" spans="1:14" x14ac:dyDescent="0.15">
      <c r="A6062" s="23" t="str">
        <f>HYPERLINK("https://www.spark-marketing.ru/Card/Person/4284211", "ПАО ""ГРУППА ЧЕРКИЗОВО""")</f>
        <v>ПАО "ГРУППА ЧЕРКИЗОВО"</v>
      </c>
      <c r="B6062" s="24" t="s">
        <v>2281</v>
      </c>
      <c r="C6062" s="28" t="s">
        <v>52</v>
      </c>
      <c r="D6062" s="22" t="s">
        <v>7839</v>
      </c>
      <c r="E6062" s="22" t="s">
        <v>53</v>
      </c>
      <c r="F6062" s="23" t="str">
        <f>HYPERLINK("https://www.spark-marketing.ru/Card/Lot/71578431", "Запрос на услуги по физической охране объектов/АО ""Алтайский бройлер"" (id384735)")</f>
        <v>Запрос на услуги по физической охране объектов/АО "Алтайский бройлер" (id384735)</v>
      </c>
      <c r="G6062" s="22" t="s">
        <v>50</v>
      </c>
      <c r="H6062" s="22" t="s">
        <v>2283</v>
      </c>
      <c r="I6062" s="26">
        <v>43637</v>
      </c>
      <c r="J6062" s="28" t="s">
        <v>52</v>
      </c>
      <c r="K6062" s="28" t="s">
        <v>52</v>
      </c>
      <c r="L6062" s="28" t="s">
        <v>52</v>
      </c>
      <c r="M6062" s="28" t="s">
        <v>52</v>
      </c>
      <c r="N6062" s="28" t="s">
        <v>52</v>
      </c>
    </row>
    <row r="6063" spans="1:14" x14ac:dyDescent="0.15">
      <c r="A6063" s="23" t="str">
        <f>HYPERLINK("https://www.spark-marketing.ru/Card/Person/141388", "ГАУЗ РБ УЧАЛИНСКАЯ ЦГБ")</f>
        <v>ГАУЗ РБ УЧАЛИНСКАЯ ЦГБ</v>
      </c>
      <c r="B6063" s="24" t="s">
        <v>6118</v>
      </c>
      <c r="C6063" s="25">
        <v>495097.59999999998</v>
      </c>
      <c r="D6063" s="22" t="s">
        <v>7840</v>
      </c>
      <c r="E6063" s="22" t="s">
        <v>6120</v>
      </c>
      <c r="F6063" s="23" t="str">
        <f>HYPERLINK("https://www.spark-marketing.ru/Card/Lot/71541660", "бесплатное обеспечение лекарственными средствами, выписанными беременным женщинам по рецептам врачей ГАУЗ РБ Учалинская ЦГБ")</f>
        <v>бесплатное обеспечение лекарственными средствами, выписанными беременным женщинам по рецептам врачей ГАУЗ РБ Учалинская ЦГБ</v>
      </c>
      <c r="G6063" s="22" t="s">
        <v>100</v>
      </c>
      <c r="H6063" s="22" t="s">
        <v>6121</v>
      </c>
      <c r="I6063" s="26">
        <v>43636.766898148097</v>
      </c>
      <c r="J6063" s="28" t="s">
        <v>52</v>
      </c>
      <c r="K6063" s="28" t="s">
        <v>52</v>
      </c>
      <c r="L6063" s="28" t="s">
        <v>52</v>
      </c>
      <c r="M6063" s="28" t="s">
        <v>52</v>
      </c>
      <c r="N6063" s="28" t="s">
        <v>52</v>
      </c>
    </row>
    <row r="6064" spans="1:14" x14ac:dyDescent="0.15">
      <c r="A6064" s="23" t="str">
        <f>HYPERLINK("https://www.spark-marketing.ru/Card/Person/152436", "АО ""СЗ ИСК Г. УФЫ""")</f>
        <v>АО "СЗ ИСК Г. УФЫ"</v>
      </c>
      <c r="B6064" s="24" t="s">
        <v>7841</v>
      </c>
      <c r="C6064" s="25">
        <v>840000</v>
      </c>
      <c r="D6064" s="22" t="s">
        <v>7842</v>
      </c>
      <c r="E6064" s="22" t="s">
        <v>7843</v>
      </c>
      <c r="F6064" s="23" t="str">
        <f>HYPERLINK("https://www.spark-marketing.ru/Card/Lot/71537548", "Оказание рекламных услуг по по изготовлению, адаптации и демонстрации видео-роликов - носителей рекламной информации на рекламных установках Исполнителя")</f>
        <v>Оказание рекламных услуг по по изготовлению, адаптации и демонстрации видео-роликов - носителей рекламной информации на рекламных установках Исполнителя</v>
      </c>
      <c r="G6064" s="22" t="s">
        <v>100</v>
      </c>
      <c r="H6064" s="22" t="s">
        <v>100</v>
      </c>
      <c r="I6064" s="26">
        <v>43636.720949074101</v>
      </c>
      <c r="J6064" s="28" t="s">
        <v>52</v>
      </c>
      <c r="K6064" s="28" t="s">
        <v>52</v>
      </c>
      <c r="L6064" s="28" t="s">
        <v>52</v>
      </c>
      <c r="M6064" s="28" t="s">
        <v>52</v>
      </c>
      <c r="N6064" s="28" t="s">
        <v>52</v>
      </c>
    </row>
    <row r="6065" spans="1:14" x14ac:dyDescent="0.15">
      <c r="A6065" s="23" t="str">
        <f>HYPERLINK("https://www.spark-marketing.ru/Card/Person/269802", "ГАУЗ АО ""САНАТОРИЙ ""СОЛЬВЫЧЕГОДСК""")</f>
        <v>ГАУЗ АО "САНАТОРИЙ "СОЛЬВЫЧЕГОДСК"</v>
      </c>
      <c r="B6065" s="24" t="s">
        <v>7844</v>
      </c>
      <c r="C6065" s="25">
        <v>458278</v>
      </c>
      <c r="D6065" s="22" t="s">
        <v>7845</v>
      </c>
      <c r="E6065" s="22" t="s">
        <v>49</v>
      </c>
      <c r="F6065" s="23" t="str">
        <f>HYPERLINK("https://www.spark-marketing.ru/Card/Lot/71542430", "Выполнение работ по установке системы видеонаблюдения.")</f>
        <v>Выполнение работ по установке системы видеонаблюдения.</v>
      </c>
      <c r="G6065" s="22" t="s">
        <v>674</v>
      </c>
      <c r="H6065" s="22" t="s">
        <v>7846</v>
      </c>
      <c r="I6065" s="26">
        <v>43636.727962962999</v>
      </c>
      <c r="J6065" s="28" t="s">
        <v>52</v>
      </c>
      <c r="K6065" s="28" t="s">
        <v>52</v>
      </c>
      <c r="L6065" s="28" t="s">
        <v>52</v>
      </c>
      <c r="M6065" s="28" t="s">
        <v>52</v>
      </c>
      <c r="N6065" s="28" t="s">
        <v>52</v>
      </c>
    </row>
    <row r="6066" spans="1:14" x14ac:dyDescent="0.15">
      <c r="A6066" s="23" t="str">
        <f>HYPERLINK("https://www.spark-marketing.ru/Card/Person/29690", "КГКУ ""КРУДОР""")</f>
        <v>КГКУ "КРУДОР"</v>
      </c>
      <c r="B6066" s="24" t="s">
        <v>7847</v>
      </c>
      <c r="C6066" s="25">
        <v>800000</v>
      </c>
      <c r="D6066" s="22" t="s">
        <v>7848</v>
      </c>
      <c r="E6066" s="22" t="s">
        <v>376</v>
      </c>
      <c r="F6066" s="23" t="str">
        <f>HYPERLINK("https://www.spark-marketing.ru/Card/Lot/71539861", "ЭА 43486/19 Поставка и установка камер видеонаблюдения с целью дооснащения участков автомобильных дорог общего пользования регионального и межмуниципального значения")</f>
        <v>ЭА 43486/19 Поставка и установка камер видеонаблюдения с целью дооснащения участков автомобильных дорог общего пользования регионального и межмуниципального значения</v>
      </c>
      <c r="G6066" s="22" t="s">
        <v>640</v>
      </c>
      <c r="H6066" s="22" t="s">
        <v>1524</v>
      </c>
      <c r="I6066" s="26">
        <v>43636.702083333301</v>
      </c>
      <c r="J6066" s="23" t="str">
        <f>HYPERLINK("https://www.spark-marketing.ru/Card/Person/5854193", "ООО ""ТЕХНОИНВЕСТ""")</f>
        <v>ООО "ТЕХНОИНВЕСТ"</v>
      </c>
      <c r="K6066" s="24" t="s">
        <v>7849</v>
      </c>
      <c r="L6066" s="28" t="s">
        <v>52</v>
      </c>
      <c r="M6066" s="28" t="s">
        <v>52</v>
      </c>
      <c r="N6066" s="28" t="s">
        <v>52</v>
      </c>
    </row>
    <row r="6067" spans="1:14" ht="12.75" hidden="1" outlineLevel="1" x14ac:dyDescent="0.2">
      <c r="A6067" s="23" t="str">
        <f>HYPERLINK("https://www.spark-marketing.ru/Card/Person/29690", "КГКУ ""КРУДОР""")</f>
        <v>КГКУ "КРУДОР"</v>
      </c>
      <c r="B6067" s="24" t="s">
        <v>7847</v>
      </c>
      <c r="C6067" s="25">
        <v>800000</v>
      </c>
      <c r="D6067" s="22" t="s">
        <v>7848</v>
      </c>
      <c r="E6067" s="22" t="s">
        <v>376</v>
      </c>
      <c r="F6067" s="23" t="str">
        <f>HYPERLINK("https://www.spark-marketing.ru/Card/Lot/71539861", "ЭА 43486/19 Поставка и установка камер видеонаблюдения с целью дооснащения участков автомобильных дорог общего пользования регионального и межмуниципального значения")</f>
        <v>ЭА 43486/19 Поставка и установка камер видеонаблюдения с целью дооснащения участков автомобильных дорог общего пользования регионального и межмуниципального значения</v>
      </c>
      <c r="G6067" s="22" t="s">
        <v>640</v>
      </c>
      <c r="H6067" s="22" t="s">
        <v>1524</v>
      </c>
      <c r="I6067" s="26">
        <v>43636.702083333301</v>
      </c>
      <c r="J6067" s="23" t="str">
        <f>HYPERLINK("https://www.spark-marketing.ru/Card/Person/5854193", "ООО ""ТЕХНОИНВЕСТ""")</f>
        <v>ООО "ТЕХНОИНВЕСТ"</v>
      </c>
      <c r="K6067" s="24" t="s">
        <v>7849</v>
      </c>
      <c r="L6067" s="22" t="s">
        <v>10</v>
      </c>
      <c r="M6067" s="25">
        <v>796000</v>
      </c>
      <c r="N6067" s="27">
        <v>5.0000000000000001E-3</v>
      </c>
    </row>
    <row r="6068" spans="1:14" x14ac:dyDescent="0.15">
      <c r="A6068" s="23" t="str">
        <f>HYPERLINK("https://www.spark-marketing.ru/Card/Person/112904", "МОУ СОШ №3 Г. ТАЛДОМА")</f>
        <v>МОУ СОШ №3 Г. ТАЛДОМА</v>
      </c>
      <c r="B6068" s="24" t="s">
        <v>7850</v>
      </c>
      <c r="C6068" s="25">
        <v>2900</v>
      </c>
      <c r="D6068" s="22" t="s">
        <v>7851</v>
      </c>
      <c r="E6068" s="22" t="s">
        <v>208</v>
      </c>
      <c r="F6068" s="23" t="str">
        <f>HYPERLINK("https://www.spark-marketing.ru/Card/Lot/71540598", "Поставка кнопки тревожной сигнализации")</f>
        <v>Поставка кнопки тревожной сигнализации</v>
      </c>
      <c r="G6068" s="22" t="s">
        <v>50</v>
      </c>
      <c r="H6068" s="22" t="s">
        <v>50</v>
      </c>
      <c r="I6068" s="26">
        <v>43636.690891203703</v>
      </c>
      <c r="J6068" s="28" t="s">
        <v>52</v>
      </c>
      <c r="K6068" s="28" t="s">
        <v>52</v>
      </c>
      <c r="L6068" s="28" t="s">
        <v>52</v>
      </c>
      <c r="M6068" s="28" t="s">
        <v>52</v>
      </c>
      <c r="N6068" s="28" t="s">
        <v>52</v>
      </c>
    </row>
    <row r="6069" spans="1:14" x14ac:dyDescent="0.15">
      <c r="A6069" s="23" t="str">
        <f>HYPERLINK("https://www.spark-marketing.ru/Card/Person/1026237", "СТУПИНСКИЙ ИСТОРИКО-КРАЕВЕДЧЕСКИЙ МУЗЕЙ")</f>
        <v>СТУПИНСКИЙ ИСТОРИКО-КРАЕВЕДЧЕСКИЙ МУЗЕЙ</v>
      </c>
      <c r="B6069" s="24" t="s">
        <v>7852</v>
      </c>
      <c r="C6069" s="25">
        <v>53280</v>
      </c>
      <c r="D6069" s="22" t="s">
        <v>7853</v>
      </c>
      <c r="E6069" s="22" t="s">
        <v>103</v>
      </c>
      <c r="F6069" s="23" t="str">
        <f>HYPERLINK("https://www.spark-marketing.ru/Card/Lot/71540629", "Услуги по техническому обслуживанию системы внутреннего видеонаблюдения")</f>
        <v>Услуги по техническому обслуживанию системы внутреннего видеонаблюдения</v>
      </c>
      <c r="G6069" s="22" t="s">
        <v>50</v>
      </c>
      <c r="H6069" s="22" t="s">
        <v>5791</v>
      </c>
      <c r="I6069" s="26">
        <v>43636.701226851903</v>
      </c>
      <c r="J6069" s="28" t="s">
        <v>52</v>
      </c>
      <c r="K6069" s="28" t="s">
        <v>52</v>
      </c>
      <c r="L6069" s="28" t="s">
        <v>52</v>
      </c>
      <c r="M6069" s="28" t="s">
        <v>52</v>
      </c>
      <c r="N6069" s="28" t="s">
        <v>52</v>
      </c>
    </row>
    <row r="6070" spans="1:14" x14ac:dyDescent="0.15">
      <c r="A6070" s="23" t="str">
        <f>HYPERLINK("https://www.spark-marketing.ru/Card/Person/10607", "ГБУ ДСЗМ")</f>
        <v>ГБУ ДСЗМ</v>
      </c>
      <c r="B6070" s="24" t="s">
        <v>7854</v>
      </c>
      <c r="C6070" s="25">
        <v>8957666.6699999999</v>
      </c>
      <c r="D6070" s="22" t="s">
        <v>7855</v>
      </c>
      <c r="E6070" s="22" t="s">
        <v>7661</v>
      </c>
      <c r="F6070" s="23" t="str">
        <f>HYPERLINK("https://www.spark-marketing.ru/Card/Lot/71549239", "Услуги по сборке, разборке и техническому обслуживанию видеопроекционного оборудования для подготовки и проведения Чемпионата Европы по пляжному волейболу и Этапа мирового тура по пляжному волейболу")</f>
        <v>Услуги по сборке, разборке и техническому обслуживанию видеопроекционного оборудования для подготовки и проведения Чемпионата Европы по пляжному волейболу и Этапа мирового тура по пляжному волейболу</v>
      </c>
      <c r="G6070" s="22" t="s">
        <v>55</v>
      </c>
      <c r="H6070" s="22" t="s">
        <v>55</v>
      </c>
      <c r="I6070" s="26">
        <v>43636.6965277778</v>
      </c>
      <c r="J6070" s="28" t="s">
        <v>52</v>
      </c>
      <c r="K6070" s="28" t="s">
        <v>52</v>
      </c>
      <c r="L6070" s="28" t="s">
        <v>52</v>
      </c>
      <c r="M6070" s="28" t="s">
        <v>52</v>
      </c>
      <c r="N6070" s="28" t="s">
        <v>52</v>
      </c>
    </row>
    <row r="6071" spans="1:14" hidden="1" outlineLevel="1" x14ac:dyDescent="0.2">
      <c r="A6071" s="23" t="str">
        <f>HYPERLINK("https://www.spark-marketing.ru/Card/Person/10607", "ГБУ ДСЗМ")</f>
        <v>ГБУ ДСЗМ</v>
      </c>
      <c r="B6071" s="24" t="s">
        <v>7854</v>
      </c>
      <c r="C6071" s="25">
        <v>8957666.6699999999</v>
      </c>
      <c r="D6071" s="22" t="s">
        <v>7855</v>
      </c>
      <c r="E6071" s="22" t="s">
        <v>7661</v>
      </c>
      <c r="F6071" s="23" t="str">
        <f>HYPERLINK("https://www.spark-marketing.ru/Card/Lot/71549239", "Услуги по сборке, разборке и техническому обслуживанию видеопроекционного оборудования для подготовки и проведения Чемпионата Европы по пляжному волейболу и Этапа мирового тура по пляжному волейболу")</f>
        <v>Услуги по сборке, разборке и техническому обслуживанию видеопроекционного оборудования для подготовки и проведения Чемпионата Европы по пляжному волейболу и Этапа мирового тура по пляжному волейболу</v>
      </c>
      <c r="G6071" s="22" t="s">
        <v>55</v>
      </c>
      <c r="H6071" s="22" t="s">
        <v>55</v>
      </c>
      <c r="I6071" s="26">
        <v>43636.6965277778</v>
      </c>
      <c r="J6071" s="23" t="str">
        <f>HYPERLINK("https://www.spark-marketing.ru/Card/Person/5783023", "ООО ""ДЖЕМТЭК ПРОДАКШН""")</f>
        <v>ООО "ДЖЕМТЭК ПРОДАКШН"</v>
      </c>
      <c r="K6071" s="24" t="s">
        <v>7856</v>
      </c>
      <c r="L6071" s="28" t="s">
        <v>52</v>
      </c>
      <c r="M6071" s="25">
        <v>6965000</v>
      </c>
      <c r="N6071" s="27">
        <v>0.22245376429038299</v>
      </c>
    </row>
    <row r="6072" spans="1:14" hidden="1" outlineLevel="1" x14ac:dyDescent="0.2">
      <c r="A6072" s="23" t="str">
        <f>HYPERLINK("https://www.spark-marketing.ru/Card/Person/10607", "ГБУ ДСЗМ")</f>
        <v>ГБУ ДСЗМ</v>
      </c>
      <c r="B6072" s="24" t="s">
        <v>7854</v>
      </c>
      <c r="C6072" s="25">
        <v>8957666.6699999999</v>
      </c>
      <c r="D6072" s="22" t="s">
        <v>7855</v>
      </c>
      <c r="E6072" s="22" t="s">
        <v>7661</v>
      </c>
      <c r="F6072" s="23" t="str">
        <f>HYPERLINK("https://www.spark-marketing.ru/Card/Lot/71549239", "Услуги по сборке, разборке и техническому обслуживанию видеопроекционного оборудования для подготовки и проведения Чемпионата Европы по пляжному волейболу и Этапа мирового тура по пляжному волейболу")</f>
        <v>Услуги по сборке, разборке и техническому обслуживанию видеопроекционного оборудования для подготовки и проведения Чемпионата Европы по пляжному волейболу и Этапа мирового тура по пляжному волейболу</v>
      </c>
      <c r="G6072" s="22" t="s">
        <v>55</v>
      </c>
      <c r="H6072" s="22" t="s">
        <v>55</v>
      </c>
      <c r="I6072" s="26">
        <v>43636.6965277778</v>
      </c>
      <c r="J6072" s="23" t="str">
        <f>HYPERLINK("https://www.spark-marketing.ru/Card/Person/6626172", "ООО ""ГРАНДМОНТАЖ""")</f>
        <v>ООО "ГРАНДМОНТАЖ"</v>
      </c>
      <c r="K6072" s="24" t="s">
        <v>7857</v>
      </c>
      <c r="L6072" s="28" t="s">
        <v>52</v>
      </c>
      <c r="M6072" s="25">
        <v>7100000</v>
      </c>
      <c r="N6072" s="27">
        <v>0.20738287529960076</v>
      </c>
    </row>
    <row r="6073" spans="1:14" ht="12.75" hidden="1" outlineLevel="1" x14ac:dyDescent="0.2">
      <c r="A6073" s="23" t="str">
        <f>HYPERLINK("https://www.spark-marketing.ru/Card/Person/10607", "ГБУ ДСЗМ")</f>
        <v>ГБУ ДСЗМ</v>
      </c>
      <c r="B6073" s="24" t="s">
        <v>7854</v>
      </c>
      <c r="C6073" s="25">
        <v>8957666.6699999999</v>
      </c>
      <c r="D6073" s="22" t="s">
        <v>7855</v>
      </c>
      <c r="E6073" s="22" t="s">
        <v>7661</v>
      </c>
      <c r="F6073" s="23" t="str">
        <f>HYPERLINK("https://www.spark-marketing.ru/Card/Lot/71549239", "Услуги по сборке, разборке и техническому обслуживанию видеопроекционного оборудования для подготовки и проведения Чемпионата Европы по пляжному волейболу и Этапа мирового тура по пляжному волейболу")</f>
        <v>Услуги по сборке, разборке и техническому обслуживанию видеопроекционного оборудования для подготовки и проведения Чемпионата Европы по пляжному волейболу и Этапа мирового тура по пляжному волейболу</v>
      </c>
      <c r="G6073" s="22" t="s">
        <v>55</v>
      </c>
      <c r="H6073" s="22" t="s">
        <v>55</v>
      </c>
      <c r="I6073" s="26">
        <v>43636.6965277778</v>
      </c>
      <c r="J6073" s="23" t="str">
        <f>HYPERLINK("https://www.spark-marketing.ru/Card/Person/31978", "ООО ""ОЛДИ"" КОНЦЕРТ")</f>
        <v>ООО "ОЛДИ" КОНЦЕРТ</v>
      </c>
      <c r="K6073" s="24" t="s">
        <v>5781</v>
      </c>
      <c r="L6073" s="22" t="s">
        <v>10</v>
      </c>
      <c r="M6073" s="25">
        <v>7166133</v>
      </c>
      <c r="N6073" s="27">
        <v>0.20000003750976816</v>
      </c>
    </row>
    <row r="6074" spans="1:14" hidden="1" outlineLevel="1" x14ac:dyDescent="0.2">
      <c r="A6074" s="23" t="str">
        <f>HYPERLINK("https://www.spark-marketing.ru/Card/Person/10607", "ГБУ ДСЗМ")</f>
        <v>ГБУ ДСЗМ</v>
      </c>
      <c r="B6074" s="24" t="s">
        <v>7854</v>
      </c>
      <c r="C6074" s="25">
        <v>8957666.6699999999</v>
      </c>
      <c r="D6074" s="22" t="s">
        <v>7855</v>
      </c>
      <c r="E6074" s="22" t="s">
        <v>7661</v>
      </c>
      <c r="F6074" s="23" t="str">
        <f>HYPERLINK("https://www.spark-marketing.ru/Card/Lot/71549239", "Услуги по сборке, разборке и техническому обслуживанию видеопроекционного оборудования для подготовки и проведения Чемпионата Европы по пляжному волейболу и Этапа мирового тура по пляжному волейболу")</f>
        <v>Услуги по сборке, разборке и техническому обслуживанию видеопроекционного оборудования для подготовки и проведения Чемпионата Европы по пляжному волейболу и Этапа мирового тура по пляжному волейболу</v>
      </c>
      <c r="G6074" s="22" t="s">
        <v>55</v>
      </c>
      <c r="H6074" s="22" t="s">
        <v>55</v>
      </c>
      <c r="I6074" s="26">
        <v>43636.6965277778</v>
      </c>
      <c r="J6074" s="23" t="str">
        <f>HYPERLINK("https://www.spark-marketing.ru/Card/Person/4729760", "ООО ""СТЕЛС""")</f>
        <v>ООО "СТЕЛС"</v>
      </c>
      <c r="K6074" s="24" t="s">
        <v>7858</v>
      </c>
      <c r="L6074" s="28" t="s">
        <v>52</v>
      </c>
      <c r="M6074" s="25">
        <v>6739550</v>
      </c>
      <c r="N6074" s="27">
        <v>0.24762214890498935</v>
      </c>
    </row>
    <row r="6075" spans="1:14" x14ac:dyDescent="0.15">
      <c r="A6075" s="23" t="str">
        <f>HYPERLINK("https://www.spark-marketing.ru/Card/Person/3296", "МКУ ""УГХ Г. НАРЬЯН-МАРА""")</f>
        <v>МКУ "УГХ Г. НАРЬЯН-МАРА"</v>
      </c>
      <c r="B6075" s="24" t="s">
        <v>7859</v>
      </c>
      <c r="C6075" s="25">
        <v>1579800</v>
      </c>
      <c r="D6075" s="22" t="s">
        <v>7860</v>
      </c>
      <c r="E6075" s="22" t="s">
        <v>59</v>
      </c>
      <c r="F6075" s="23" t="str">
        <f>HYPERLINK("https://www.spark-marketing.ru/Card/Lot/71549141", "Выполнение работ по поставке, установке, наладке системы видеонаблюдения и системы контроля и управления доступом в здании Администрации муниципального образования ""Городской округ ""Город Нарьян-Мар"" по адресу: ул. им. В.И. Ленина, д.12.")</f>
        <v>Выполнение работ по поставке, установке, наладке системы видеонаблюдения и системы контроля и управления доступом в здании Администрации муниципального образования "Городской округ "Город Нарьян-Мар" по адресу: ул. им. В.И. Ленина, д.12.</v>
      </c>
      <c r="G6075" s="22" t="s">
        <v>1014</v>
      </c>
      <c r="H6075" s="22" t="s">
        <v>1014</v>
      </c>
      <c r="I6075" s="26">
        <v>43636.703472222202</v>
      </c>
      <c r="J6075" s="23" t="str">
        <f>HYPERLINK("https://www.spark-marketing.ru/Card/Person/930967", "ООО ""М-АЙТИ НАО""")</f>
        <v>ООО "М-АЙТИ НАО"</v>
      </c>
      <c r="K6075" s="24" t="s">
        <v>7861</v>
      </c>
      <c r="L6075" s="22" t="s">
        <v>10</v>
      </c>
      <c r="M6075" s="28" t="s">
        <v>52</v>
      </c>
      <c r="N6075" s="28" t="s">
        <v>52</v>
      </c>
    </row>
    <row r="6076" spans="1:14" x14ac:dyDescent="0.15">
      <c r="A6076" s="23" t="str">
        <f>HYPERLINK("https://www.spark-marketing.ru/Card/Person/76143", "МБУ ""ДЕЗ""")</f>
        <v>МБУ "ДЕЗ"</v>
      </c>
      <c r="B6076" s="24" t="s">
        <v>7862</v>
      </c>
      <c r="C6076" s="25">
        <v>112620</v>
      </c>
      <c r="D6076" s="22" t="s">
        <v>7863</v>
      </c>
      <c r="E6076" s="22" t="s">
        <v>107</v>
      </c>
      <c r="F6076" s="23" t="str">
        <f>HYPERLINK("https://www.spark-marketing.ru/Card/Lot/71546022", "Оказание услуг по обслуживанию оборудования видеонаблюдения и звукового вещания территории объектов: Городской парк «Семья», «Набережная» п.Кр.Ключ, парк им. Лемаева, Доска почета, Дорожка Ледовый дворец, Остановка Шифалы, Остановка 20 мкр., Остановк...")</f>
        <v>Оказание услуг по обслуживанию оборудования видеонаблюдения и звукового вещания территории объектов: Городской парк «Семья», «Набережная» п.Кр.Ключ, парк им. Лемаева, Доска почета, Дорожка Ледовый дворец, Остановка Шифалы, Остановка 20 мкр., Остановк...</v>
      </c>
      <c r="G6076" s="22" t="s">
        <v>204</v>
      </c>
      <c r="H6076" s="22" t="s">
        <v>824</v>
      </c>
      <c r="I6076" s="26">
        <v>43636.688888888901</v>
      </c>
      <c r="J6076" s="28" t="s">
        <v>52</v>
      </c>
      <c r="K6076" s="28" t="s">
        <v>52</v>
      </c>
      <c r="L6076" s="28" t="s">
        <v>52</v>
      </c>
      <c r="M6076" s="28" t="s">
        <v>52</v>
      </c>
      <c r="N6076" s="28" t="s">
        <v>52</v>
      </c>
    </row>
    <row r="6077" spans="1:14" ht="12.75" hidden="1" outlineLevel="1" x14ac:dyDescent="0.2">
      <c r="A6077" s="23" t="str">
        <f>HYPERLINK("https://www.spark-marketing.ru/Card/Person/76143", "МБУ ""ДЕЗ""")</f>
        <v>МБУ "ДЕЗ"</v>
      </c>
      <c r="B6077" s="24" t="s">
        <v>7862</v>
      </c>
      <c r="C6077" s="25">
        <v>112620</v>
      </c>
      <c r="D6077" s="22" t="s">
        <v>7863</v>
      </c>
      <c r="E6077" s="22" t="s">
        <v>107</v>
      </c>
      <c r="F6077" s="23" t="str">
        <f>HYPERLINK("https://www.spark-marketing.ru/Card/Lot/71546022", "Оказание услуг по обслуживанию оборудования видеонаблюдения и звукового вещания территории объектов: Городской парк «Семья», «Набережная» п.Кр.Ключ, парк им. Лемаева, Доска почета, Дорожка Ледовый дворец, Остановка Шифалы, Остановка 20 мкр., Остановк...")</f>
        <v>Оказание услуг по обслуживанию оборудования видеонаблюдения и звукового вещания территории объектов: Городской парк «Семья», «Набережная» п.Кр.Ключ, парк им. Лемаева, Доска почета, Дорожка Ледовый дворец, Остановка Шифалы, Остановка 20 мкр., Остановк...</v>
      </c>
      <c r="G6077" s="22" t="s">
        <v>204</v>
      </c>
      <c r="H6077" s="22" t="s">
        <v>824</v>
      </c>
      <c r="I6077" s="26">
        <v>43636.688888888901</v>
      </c>
      <c r="J6077" s="23" t="str">
        <f>HYPERLINK("https://www.spark-marketing.ru/Card/Person/47174", "ПАО ""ТАТТЕЛЕКОМ""")</f>
        <v>ПАО "ТАТТЕЛЕКОМ"</v>
      </c>
      <c r="K6077" s="24" t="s">
        <v>5128</v>
      </c>
      <c r="L6077" s="22" t="s">
        <v>10</v>
      </c>
      <c r="M6077" s="25">
        <v>110930.7</v>
      </c>
      <c r="N6077" s="27">
        <v>1.4999999999999999E-2</v>
      </c>
    </row>
    <row r="6078" spans="1:14" hidden="1" outlineLevel="1" x14ac:dyDescent="0.2">
      <c r="A6078" s="23" t="str">
        <f>HYPERLINK("https://www.spark-marketing.ru/Card/Person/76143", "МБУ ""ДЕЗ""")</f>
        <v>МБУ "ДЕЗ"</v>
      </c>
      <c r="B6078" s="24" t="s">
        <v>7862</v>
      </c>
      <c r="C6078" s="25">
        <v>112620</v>
      </c>
      <c r="D6078" s="22" t="s">
        <v>7863</v>
      </c>
      <c r="E6078" s="22" t="s">
        <v>107</v>
      </c>
      <c r="F6078" s="23" t="str">
        <f>HYPERLINK("https://www.spark-marketing.ru/Card/Lot/71546022", "Оказание услуг по обслуживанию оборудования видеонаблюдения и звукового вещания территории объектов: Городской парк «Семья», «Набережная» п.Кр.Ключ, парк им. Лемаева, Доска почета, Дорожка Ледовый дворец, Остановка Шифалы, Остановка 20 мкр., Остановк...")</f>
        <v>Оказание услуг по обслуживанию оборудования видеонаблюдения и звукового вещания территории объектов: Городской парк «Семья», «Набережная» п.Кр.Ключ, парк им. Лемаева, Доска почета, Дорожка Ледовый дворец, Остановка Шифалы, Остановка 20 мкр., Остановк...</v>
      </c>
      <c r="G6078" s="22" t="s">
        <v>204</v>
      </c>
      <c r="H6078" s="22" t="s">
        <v>824</v>
      </c>
      <c r="I6078" s="26">
        <v>43636.688888888901</v>
      </c>
      <c r="J6078" s="23" t="str">
        <f>HYPERLINK("https://www.spark-marketing.ru/Card/Person/6415078", "ООО ""ПРОМТЕХСЕРВИС""")</f>
        <v>ООО "ПРОМТЕХСЕРВИС"</v>
      </c>
      <c r="K6078" s="24" t="s">
        <v>5396</v>
      </c>
      <c r="L6078" s="28" t="s">
        <v>52</v>
      </c>
      <c r="M6078" s="25">
        <v>110930.7</v>
      </c>
      <c r="N6078" s="27">
        <v>1.4999999999999999E-2</v>
      </c>
    </row>
    <row r="6079" spans="1:14" x14ac:dyDescent="0.15">
      <c r="A6079" s="23" t="str">
        <f>HYPERLINK("https://www.spark-marketing.ru/Card/Person/47325", "ГБУЗ НО ""НОКОД""")</f>
        <v>ГБУЗ НО "НОКОД"</v>
      </c>
      <c r="B6079" s="24" t="s">
        <v>7864</v>
      </c>
      <c r="C6079" s="25">
        <v>380797.2</v>
      </c>
      <c r="D6079" s="22" t="s">
        <v>7865</v>
      </c>
      <c r="E6079" s="22" t="s">
        <v>68</v>
      </c>
      <c r="F6079" s="23" t="str">
        <f>HYPERLINK("https://www.spark-marketing.ru/Card/Lot/71547481", "Оказание услуг охраны имущества Заказчика при помощи средств охранной сигнализации, выдающих по каналам связи информацию на системы централизованного наблюдения пункта охраны, от несанкционированного проникновения лиц в охраняемые помещения, оборудов...")</f>
        <v>Оказание услуг охраны имущества Заказчика при помощи средств охранной сигнализации, выдающих по каналам связи информацию на системы централизованного наблюдения пункта охраны, от несанкционированного проникновения лиц в охраняемые помещения, оборудов...</v>
      </c>
      <c r="G6079" s="22" t="s">
        <v>64</v>
      </c>
      <c r="H6079" s="22" t="s">
        <v>65</v>
      </c>
      <c r="I6079" s="26">
        <v>43636.627777777801</v>
      </c>
      <c r="J6079" s="28" t="s">
        <v>52</v>
      </c>
      <c r="K6079" s="28" t="s">
        <v>52</v>
      </c>
      <c r="L6079" s="28" t="s">
        <v>52</v>
      </c>
      <c r="M6079" s="28" t="s">
        <v>52</v>
      </c>
      <c r="N6079" s="28" t="s">
        <v>52</v>
      </c>
    </row>
    <row r="6080" spans="1:14" x14ac:dyDescent="0.15">
      <c r="A6080" s="23" t="str">
        <f>HYPERLINK("https://www.spark-marketing.ru/Card/Person/61009", "КГБУЗ ""ССМП Г. УССУРИЙСКА""")</f>
        <v>КГБУЗ "ССМП Г. УССУРИЙСКА"</v>
      </c>
      <c r="B6080" s="24" t="s">
        <v>7866</v>
      </c>
      <c r="C6080" s="25">
        <v>93699.33</v>
      </c>
      <c r="D6080" s="22" t="s">
        <v>7867</v>
      </c>
      <c r="E6080" s="22" t="s">
        <v>84</v>
      </c>
      <c r="F6080" s="23" t="str">
        <f>HYPERLINK("https://www.spark-marketing.ru/Card/Lot/71521263", "Оказание услуг по поставке и установке системы видеонаблюдения")</f>
        <v>Оказание услуг по поставке и установке системы видеонаблюдения</v>
      </c>
      <c r="G6080" s="22" t="s">
        <v>409</v>
      </c>
      <c r="H6080" s="22" t="s">
        <v>7868</v>
      </c>
      <c r="I6080" s="26">
        <v>43636.662499999999</v>
      </c>
      <c r="J6080" s="28" t="s">
        <v>52</v>
      </c>
      <c r="K6080" s="28" t="s">
        <v>52</v>
      </c>
      <c r="L6080" s="28" t="s">
        <v>52</v>
      </c>
      <c r="M6080" s="28" t="s">
        <v>52</v>
      </c>
      <c r="N6080" s="28" t="s">
        <v>52</v>
      </c>
    </row>
    <row r="6081" spans="1:14" ht="12.75" hidden="1" outlineLevel="1" x14ac:dyDescent="0.2">
      <c r="A6081" s="23" t="str">
        <f>HYPERLINK("https://www.spark-marketing.ru/Card/Person/61009", "КГБУЗ ""ССМП Г. УССУРИЙСКА""")</f>
        <v>КГБУЗ "ССМП Г. УССУРИЙСКА"</v>
      </c>
      <c r="B6081" s="24" t="s">
        <v>7866</v>
      </c>
      <c r="C6081" s="25">
        <v>93699.33</v>
      </c>
      <c r="D6081" s="22" t="s">
        <v>7867</v>
      </c>
      <c r="E6081" s="22" t="s">
        <v>84</v>
      </c>
      <c r="F6081" s="23" t="str">
        <f>HYPERLINK("https://www.spark-marketing.ru/Card/Lot/71521263", "Оказание услуг по поставке и установке системы видеонаблюдения")</f>
        <v>Оказание услуг по поставке и установке системы видеонаблюдения</v>
      </c>
      <c r="G6081" s="22" t="s">
        <v>409</v>
      </c>
      <c r="H6081" s="22" t="s">
        <v>7868</v>
      </c>
      <c r="I6081" s="26">
        <v>43636.662499999999</v>
      </c>
      <c r="J6081" s="23" t="str">
        <f>HYPERLINK("https://www.spark-marketing.ru/Card/Person/6296716", "ООО ""МК ЗЕВС""")</f>
        <v>ООО "МК ЗЕВС"</v>
      </c>
      <c r="K6081" s="24" t="s">
        <v>7869</v>
      </c>
      <c r="L6081" s="22" t="s">
        <v>10</v>
      </c>
      <c r="M6081" s="25">
        <v>84700</v>
      </c>
      <c r="N6081" s="27">
        <v>9.6044763607167738E-2</v>
      </c>
    </row>
    <row r="6082" spans="1:14" hidden="1" outlineLevel="1" x14ac:dyDescent="0.2">
      <c r="A6082" s="23" t="str">
        <f>HYPERLINK("https://www.spark-marketing.ru/Card/Person/61009", "КГБУЗ ""ССМП Г. УССУРИЙСКА""")</f>
        <v>КГБУЗ "ССМП Г. УССУРИЙСКА"</v>
      </c>
      <c r="B6082" s="24" t="s">
        <v>7866</v>
      </c>
      <c r="C6082" s="25">
        <v>93699.33</v>
      </c>
      <c r="D6082" s="22" t="s">
        <v>7867</v>
      </c>
      <c r="E6082" s="22" t="s">
        <v>84</v>
      </c>
      <c r="F6082" s="23" t="str">
        <f>HYPERLINK("https://www.spark-marketing.ru/Card/Lot/71521263", "Оказание услуг по поставке и установке системы видеонаблюдения")</f>
        <v>Оказание услуг по поставке и установке системы видеонаблюдения</v>
      </c>
      <c r="G6082" s="22" t="s">
        <v>409</v>
      </c>
      <c r="H6082" s="22" t="s">
        <v>7868</v>
      </c>
      <c r="I6082" s="26">
        <v>43636.662499999999</v>
      </c>
      <c r="J6082" s="23" t="str">
        <f>HYPERLINK("https://www.spark-marketing.ru/Card/Person/4948612", "Добровольский Павел Александрович")</f>
        <v>Добровольский Павел Александрович</v>
      </c>
      <c r="K6082" s="24" t="s">
        <v>7870</v>
      </c>
      <c r="L6082" s="28" t="s">
        <v>52</v>
      </c>
      <c r="M6082" s="25">
        <v>93699</v>
      </c>
      <c r="N6082" s="27">
        <v>3.5219035184136324E-6</v>
      </c>
    </row>
    <row r="6083" spans="1:14" x14ac:dyDescent="0.15">
      <c r="A6083" s="23" t="str">
        <f>HYPERLINK("https://www.spark-marketing.ru/Card/Person/9479", "ГБУЗ АО ""АОПТД""")</f>
        <v>ГБУЗ АО "АОПТД"</v>
      </c>
      <c r="B6083" s="24" t="s">
        <v>6922</v>
      </c>
      <c r="C6083" s="25">
        <v>429692.26</v>
      </c>
      <c r="D6083" s="22" t="s">
        <v>7871</v>
      </c>
      <c r="E6083" s="22" t="s">
        <v>84</v>
      </c>
      <c r="F6083" s="23" t="str">
        <f>HYPERLINK("https://www.spark-marketing.ru/Card/Lot/71527712", "Оказание услуг по установке системы видеонаблюдения")</f>
        <v>Оказание услуг по установке системы видеонаблюдения</v>
      </c>
      <c r="G6083" s="22" t="s">
        <v>230</v>
      </c>
      <c r="H6083" s="22" t="s">
        <v>231</v>
      </c>
      <c r="I6083" s="26">
        <v>43636.663194444402</v>
      </c>
      <c r="J6083" s="28" t="s">
        <v>52</v>
      </c>
      <c r="K6083" s="28" t="s">
        <v>52</v>
      </c>
      <c r="L6083" s="28" t="s">
        <v>52</v>
      </c>
      <c r="M6083" s="28" t="s">
        <v>52</v>
      </c>
      <c r="N6083" s="28" t="s">
        <v>52</v>
      </c>
    </row>
    <row r="6084" spans="1:14" hidden="1" outlineLevel="1" x14ac:dyDescent="0.2">
      <c r="A6084" s="23" t="str">
        <f>HYPERLINK("https://www.spark-marketing.ru/Card/Person/9479", "ГБУЗ АО ""АОПТД""")</f>
        <v>ГБУЗ АО "АОПТД"</v>
      </c>
      <c r="B6084" s="24" t="s">
        <v>6922</v>
      </c>
      <c r="C6084" s="25">
        <v>429692.26</v>
      </c>
      <c r="D6084" s="22" t="s">
        <v>7871</v>
      </c>
      <c r="E6084" s="22" t="s">
        <v>84</v>
      </c>
      <c r="F6084" s="23" t="str">
        <f>HYPERLINK("https://www.spark-marketing.ru/Card/Lot/71527712", "Оказание услуг по установке системы видеонаблюдения")</f>
        <v>Оказание услуг по установке системы видеонаблюдения</v>
      </c>
      <c r="G6084" s="22" t="s">
        <v>230</v>
      </c>
      <c r="H6084" s="22" t="s">
        <v>231</v>
      </c>
      <c r="I6084" s="26">
        <v>43636.663194444402</v>
      </c>
      <c r="J6084" s="23" t="str">
        <f>HYPERLINK("https://www.spark-marketing.ru/Card/Person/2150827", "ООО ""СМК ГАРАНТ БЕЗОПАСНОСТИ""")</f>
        <v>ООО "СМК ГАРАНТ БЕЗОПАСНОСТИ"</v>
      </c>
      <c r="K6084" s="24" t="s">
        <v>7872</v>
      </c>
      <c r="L6084" s="28" t="s">
        <v>52</v>
      </c>
      <c r="M6084" s="25">
        <v>406059.19</v>
      </c>
      <c r="N6084" s="27">
        <v>5.499998999283813E-2</v>
      </c>
    </row>
    <row r="6085" spans="1:14" hidden="1" outlineLevel="1" x14ac:dyDescent="0.2">
      <c r="A6085" s="23" t="str">
        <f>HYPERLINK("https://www.spark-marketing.ru/Card/Person/9479", "ГБУЗ АО ""АОПТД""")</f>
        <v>ГБУЗ АО "АОПТД"</v>
      </c>
      <c r="B6085" s="24" t="s">
        <v>6922</v>
      </c>
      <c r="C6085" s="25">
        <v>429692.26</v>
      </c>
      <c r="D6085" s="22" t="s">
        <v>7871</v>
      </c>
      <c r="E6085" s="22" t="s">
        <v>84</v>
      </c>
      <c r="F6085" s="23" t="str">
        <f>HYPERLINK("https://www.spark-marketing.ru/Card/Lot/71527712", "Оказание услуг по установке системы видеонаблюдения")</f>
        <v>Оказание услуг по установке системы видеонаблюдения</v>
      </c>
      <c r="G6085" s="22" t="s">
        <v>230</v>
      </c>
      <c r="H6085" s="22" t="s">
        <v>231</v>
      </c>
      <c r="I6085" s="26">
        <v>43636.663194444402</v>
      </c>
      <c r="J6085" s="23" t="str">
        <f>HYPERLINK("https://www.spark-marketing.ru/Card/Person/465090", "ООО ""АМУРСВЯЗЬСЕРВИС""")</f>
        <v>ООО "АМУРСВЯЗЬСЕРВИС"</v>
      </c>
      <c r="K6085" s="24" t="s">
        <v>7873</v>
      </c>
      <c r="L6085" s="28" t="s">
        <v>52</v>
      </c>
      <c r="M6085" s="25">
        <v>416801.5</v>
      </c>
      <c r="N6085" s="27">
        <v>2.9999981847473819E-2</v>
      </c>
    </row>
    <row r="6086" spans="1:14" hidden="1" outlineLevel="1" x14ac:dyDescent="0.2">
      <c r="A6086" s="23" t="str">
        <f>HYPERLINK("https://www.spark-marketing.ru/Card/Person/9479", "ГБУЗ АО ""АОПТД""")</f>
        <v>ГБУЗ АО "АОПТД"</v>
      </c>
      <c r="B6086" s="24" t="s">
        <v>6922</v>
      </c>
      <c r="C6086" s="25">
        <v>429692.26</v>
      </c>
      <c r="D6086" s="22" t="s">
        <v>7871</v>
      </c>
      <c r="E6086" s="22" t="s">
        <v>84</v>
      </c>
      <c r="F6086" s="23" t="str">
        <f>HYPERLINK("https://www.spark-marketing.ru/Card/Lot/71527712", "Оказание услуг по установке системы видеонаблюдения")</f>
        <v>Оказание услуг по установке системы видеонаблюдения</v>
      </c>
      <c r="G6086" s="22" t="s">
        <v>230</v>
      </c>
      <c r="H6086" s="22" t="s">
        <v>231</v>
      </c>
      <c r="I6086" s="26">
        <v>43636.663194444402</v>
      </c>
      <c r="J6086" s="23" t="str">
        <f>HYPERLINK("https://www.spark-marketing.ru/Card/Person/6592923", "ООО ""ОРИОН ""СБ""")</f>
        <v>ООО "ОРИОН "СБ"</v>
      </c>
      <c r="K6086" s="24" t="s">
        <v>7874</v>
      </c>
      <c r="L6086" s="28" t="s">
        <v>52</v>
      </c>
      <c r="M6086" s="25">
        <v>400000</v>
      </c>
      <c r="N6086" s="27">
        <v>6.9101221418323894E-2</v>
      </c>
    </row>
    <row r="6087" spans="1:14" ht="12.75" hidden="1" outlineLevel="1" x14ac:dyDescent="0.2">
      <c r="A6087" s="23" t="str">
        <f>HYPERLINK("https://www.spark-marketing.ru/Card/Person/9479", "ГБУЗ АО ""АОПТД""")</f>
        <v>ГБУЗ АО "АОПТД"</v>
      </c>
      <c r="B6087" s="24" t="s">
        <v>6922</v>
      </c>
      <c r="C6087" s="25">
        <v>429692.26</v>
      </c>
      <c r="D6087" s="22" t="s">
        <v>7871</v>
      </c>
      <c r="E6087" s="22" t="s">
        <v>84</v>
      </c>
      <c r="F6087" s="23" t="str">
        <f>HYPERLINK("https://www.spark-marketing.ru/Card/Lot/71527712", "Оказание услуг по установке системы видеонаблюдения")</f>
        <v>Оказание услуг по установке системы видеонаблюдения</v>
      </c>
      <c r="G6087" s="22" t="s">
        <v>230</v>
      </c>
      <c r="H6087" s="22" t="s">
        <v>231</v>
      </c>
      <c r="I6087" s="26">
        <v>43636.663194444402</v>
      </c>
      <c r="J6087" s="23" t="str">
        <f>HYPERLINK("https://www.spark-marketing.ru/Card/Person/6445739", "ООО ""ВИС""")</f>
        <v>ООО "ВИС"</v>
      </c>
      <c r="K6087" s="24" t="s">
        <v>7875</v>
      </c>
      <c r="L6087" s="22" t="s">
        <v>10</v>
      </c>
      <c r="M6087" s="25">
        <v>400000</v>
      </c>
      <c r="N6087" s="27">
        <v>6.9101221418323894E-2</v>
      </c>
    </row>
    <row r="6088" spans="1:14" x14ac:dyDescent="0.15">
      <c r="A6088" s="23" t="str">
        <f>HYPERLINK("https://www.spark-marketing.ru/Card/Person/120986", "БАНК ""ВБРР"" (АО)")</f>
        <v>БАНК "ВБРР" (АО)</v>
      </c>
      <c r="B6088" s="24" t="s">
        <v>7876</v>
      </c>
      <c r="C6088" s="25">
        <v>1800000</v>
      </c>
      <c r="D6088" s="22" t="s">
        <v>7877</v>
      </c>
      <c r="E6088" s="22" t="s">
        <v>144</v>
      </c>
      <c r="F6088" s="23" t="str">
        <f>HYPERLINK("https://www.spark-marketing.ru/Card/Lot/71540679", "Оказание услуг по физической вооруженной охране имущества на объекте Операционного офиса в г. Ростове-на-Дону филиала Банка «ВБРР» (АО) в г. Краснодаре расположенного по адресу: г. Ростов-на-Дону, ул. Красноармейская, д. 119, для нужд Банка «ВБРР» (А...")</f>
        <v>Оказание услуг по физической вооруженной охране имущества на объекте Операционного офиса в г. Ростове-на-Дону филиала Банка «ВБРР» (АО) в г. Краснодаре расположенного по адресу: г. Ростов-на-Дону, ул. Красноармейская, д. 119, для нужд Банка «ВБРР» (А...</v>
      </c>
      <c r="G6088" s="22" t="s">
        <v>55</v>
      </c>
      <c r="H6088" s="22" t="s">
        <v>55</v>
      </c>
      <c r="I6088" s="26">
        <v>43636.664583333302</v>
      </c>
      <c r="J6088" s="28" t="s">
        <v>52</v>
      </c>
      <c r="K6088" s="28" t="s">
        <v>52</v>
      </c>
      <c r="L6088" s="28" t="s">
        <v>52</v>
      </c>
      <c r="M6088" s="28" t="s">
        <v>52</v>
      </c>
      <c r="N6088" s="28" t="s">
        <v>52</v>
      </c>
    </row>
    <row r="6089" spans="1:14" ht="12.75" x14ac:dyDescent="0.2">
      <c r="A6089" s="23" t="str">
        <f>HYPERLINK("https://www.spark-marketing.ru/Card/Person/9633", "МИНСТРОЙ ИНГУШЕТИИ")</f>
        <v>МИНСТРОЙ ИНГУШЕТИИ</v>
      </c>
      <c r="B6089" s="24" t="s">
        <v>646</v>
      </c>
      <c r="C6089" s="25">
        <v>3587990</v>
      </c>
      <c r="D6089" s="22" t="s">
        <v>7878</v>
      </c>
      <c r="E6089" s="22" t="s">
        <v>218</v>
      </c>
      <c r="F6089" s="23" t="str">
        <f>HYPERLINK("https://www.spark-marketing.ru/Card/Lot/71542160", "Оказание услуг по строительному контролю и техническому сопровождению работ по объекту «Строительство детского сада на 220 мест в с. п. Яндаре»")</f>
        <v>Оказание услуг по строительному контролю и техническому сопровождению работ по объекту «Строительство детского сада на 220 мест в с. п. Яндаре»</v>
      </c>
      <c r="G6089" s="22" t="s">
        <v>648</v>
      </c>
      <c r="H6089" s="22" t="s">
        <v>648</v>
      </c>
      <c r="I6089" s="26">
        <v>43636.6652777778</v>
      </c>
      <c r="J6089" s="23" t="str">
        <f>HYPERLINK("https://www.spark-marketing.ru/Card/Person/259250", "ГУП""УКС РИ""")</f>
        <v>ГУП"УКС РИ"</v>
      </c>
      <c r="K6089" s="24" t="s">
        <v>7151</v>
      </c>
      <c r="L6089" s="22" t="s">
        <v>10</v>
      </c>
      <c r="M6089" s="25">
        <v>3587990</v>
      </c>
      <c r="N6089" s="27">
        <v>0</v>
      </c>
    </row>
    <row r="6090" spans="1:14" x14ac:dyDescent="0.15">
      <c r="A6090" s="23" t="str">
        <f>HYPERLINK("https://www.spark-marketing.ru/Card/Person/74597", "ИФНС РОССИИ ПО ЛЕНИНСКОМУ РАЙОНУ Г. УЛЬЯНОВСКА")</f>
        <v>ИФНС РОССИИ ПО ЛЕНИНСКОМУ РАЙОНУ Г. УЛЬЯНОВСКА</v>
      </c>
      <c r="B6090" s="24" t="s">
        <v>7879</v>
      </c>
      <c r="C6090" s="25">
        <v>64982.46</v>
      </c>
      <c r="D6090" s="22" t="s">
        <v>7880</v>
      </c>
      <c r="E6090" s="22" t="s">
        <v>53</v>
      </c>
      <c r="F6090" s="23" t="str">
        <f>HYPERLINK("https://www.spark-marketing.ru/Card/Lot/71536879", "Пультовая охрана с использованием тревожной кнопки, 1 усл. ед")</f>
        <v>Пультовая охрана с использованием тревожной кнопки, 1 усл. ед</v>
      </c>
      <c r="G6090" s="22" t="s">
        <v>446</v>
      </c>
      <c r="H6090" s="22" t="s">
        <v>446</v>
      </c>
      <c r="I6090" s="26">
        <v>43636.637916666703</v>
      </c>
      <c r="J6090" s="28" t="s">
        <v>52</v>
      </c>
      <c r="K6090" s="28" t="s">
        <v>52</v>
      </c>
      <c r="L6090" s="28" t="s">
        <v>52</v>
      </c>
      <c r="M6090" s="28" t="s">
        <v>52</v>
      </c>
      <c r="N6090" s="28" t="s">
        <v>52</v>
      </c>
    </row>
    <row r="6091" spans="1:14" x14ac:dyDescent="0.15">
      <c r="A6091" s="23" t="str">
        <f>HYPERLINK("https://www.spark-marketing.ru/Card/Person/2879", "КРАСНОЯРСКИЙ ГОРОДСКОЙ СОВЕТ ДЕПУТАТОВ")</f>
        <v>КРАСНОЯРСКИЙ ГОРОДСКОЙ СОВЕТ ДЕПУТАТОВ</v>
      </c>
      <c r="B6091" s="24" t="s">
        <v>7881</v>
      </c>
      <c r="C6091" s="25">
        <v>56000</v>
      </c>
      <c r="D6091" s="22" t="s">
        <v>7882</v>
      </c>
      <c r="E6091" s="22" t="s">
        <v>234</v>
      </c>
      <c r="F6091" s="23" t="str">
        <f>HYPERLINK("https://www.spark-marketing.ru/Card/Lot/71532724", "Оказание услуг по техническому обслуживанию оборудования и кабельной системы голосования, аудио и видео систем и сопровождения заседаний Красноярского городского Совета депутатов")</f>
        <v>Оказание услуг по техническому обслуживанию оборудования и кабельной системы голосования, аудио и видео систем и сопровождения заседаний Красноярского городского Совета депутатов</v>
      </c>
      <c r="G6091" s="22" t="s">
        <v>640</v>
      </c>
      <c r="H6091" s="22" t="s">
        <v>1524</v>
      </c>
      <c r="I6091" s="26">
        <v>43636.6381944444</v>
      </c>
      <c r="J6091" s="23" t="str">
        <f>HYPERLINK("https://www.spark-marketing.ru/Card/Person/472799", "ООО КБ ""ПРИКЛАДНАЯ АВТОМАТИКА""")</f>
        <v>ООО КБ "ПРИКЛАДНАЯ АВТОМАТИКА"</v>
      </c>
      <c r="K6091" s="24" t="s">
        <v>7883</v>
      </c>
      <c r="L6091" s="22" t="s">
        <v>10</v>
      </c>
      <c r="M6091" s="28" t="s">
        <v>52</v>
      </c>
      <c r="N6091" s="28" t="s">
        <v>52</v>
      </c>
    </row>
    <row r="6092" spans="1:14" x14ac:dyDescent="0.15">
      <c r="A6092" s="23" t="str">
        <f>HYPERLINK("https://www.spark-marketing.ru/Card/Person/107208", "ГБСУ КО ПОО ""СОВЕТСКИЙ ТЕХНИКУМ-ИНТЕРНАТ"", ГБСУ КО ПОО ""СТИ""")</f>
        <v>ГБСУ КО ПОО "СОВЕТСКИЙ ТЕХНИКУМ-ИНТЕРНАТ", ГБСУ КО ПОО "СТИ"</v>
      </c>
      <c r="B6092" s="24" t="s">
        <v>7884</v>
      </c>
      <c r="C6092" s="25">
        <v>61650</v>
      </c>
      <c r="D6092" s="22" t="s">
        <v>7885</v>
      </c>
      <c r="E6092" s="22" t="s">
        <v>59</v>
      </c>
      <c r="F6092" s="23" t="str">
        <f>HYPERLINK("https://www.spark-marketing.ru/Card/Lot/71532278", "Оказание услуг по установке и проведению пусконаладочных работ тревожной сигнализации")</f>
        <v>Оказание услуг по установке и проведению пусконаладочных работ тревожной сигнализации</v>
      </c>
      <c r="G6092" s="22" t="s">
        <v>247</v>
      </c>
      <c r="H6092" s="22" t="s">
        <v>576</v>
      </c>
      <c r="I6092" s="26">
        <v>43636.59375</v>
      </c>
      <c r="J6092" s="28" t="s">
        <v>52</v>
      </c>
      <c r="K6092" s="28" t="s">
        <v>52</v>
      </c>
      <c r="L6092" s="28" t="s">
        <v>52</v>
      </c>
      <c r="M6092" s="28" t="s">
        <v>52</v>
      </c>
      <c r="N6092" s="28" t="s">
        <v>52</v>
      </c>
    </row>
    <row r="6093" spans="1:14" x14ac:dyDescent="0.15">
      <c r="A6093" s="23" t="str">
        <f>HYPERLINK("https://www.spark-marketing.ru/Card/Person/217276", "УФПС Республики Мордовия - филиал ФГУП ""Почта России""")</f>
        <v>УФПС Республики Мордовия - филиал ФГУП "Почта России"</v>
      </c>
      <c r="B6093" s="24" t="s">
        <v>1424</v>
      </c>
      <c r="C6093" s="25">
        <v>114399.39</v>
      </c>
      <c r="D6093" s="22" t="s">
        <v>7886</v>
      </c>
      <c r="E6093" s="22" t="s">
        <v>53</v>
      </c>
      <c r="F6093" s="23" t="str">
        <f>HYPERLINK("https://www.spark-marketing.ru/Card/Lot/71534476", "Оказание услуг по замене блоков с системой криптографической защиты информации и настройке тахографического оборудования для транспортных средств УФПС Республики Мордовия - филиала ФГУП «Почта России»")</f>
        <v>Оказание услуг по замене блоков с системой криптографической защиты информации и настройке тахографического оборудования для транспортных средств УФПС Республики Мордовия - филиала ФГУП «Почта России»</v>
      </c>
      <c r="G6093" s="22" t="s">
        <v>331</v>
      </c>
      <c r="H6093" s="22" t="s">
        <v>331</v>
      </c>
      <c r="I6093" s="26">
        <v>43636.613194444399</v>
      </c>
      <c r="J6093" s="28" t="s">
        <v>52</v>
      </c>
      <c r="K6093" s="28" t="s">
        <v>52</v>
      </c>
      <c r="L6093" s="28" t="s">
        <v>52</v>
      </c>
      <c r="M6093" s="28" t="s">
        <v>52</v>
      </c>
      <c r="N6093" s="28" t="s">
        <v>52</v>
      </c>
    </row>
    <row r="6094" spans="1:14" x14ac:dyDescent="0.15">
      <c r="A6094" s="23" t="str">
        <f>HYPERLINK("https://www.spark-marketing.ru/Card/Person/36681", "БУ ""НИЖНЕВАРТОВСКАЯ ГОРОДСКАЯ ПОЛИКЛИНИКА""")</f>
        <v>БУ "НИЖНЕВАРТОВСКАЯ ГОРОДСКАЯ ПОЛИКЛИНИКА"</v>
      </c>
      <c r="B6094" s="24" t="s">
        <v>7792</v>
      </c>
      <c r="C6094" s="25">
        <v>266637.59999999998</v>
      </c>
      <c r="D6094" s="22" t="s">
        <v>7887</v>
      </c>
      <c r="E6094" s="22" t="s">
        <v>52</v>
      </c>
      <c r="F6094" s="23" t="str">
        <f>HYPERLINK("https://www.spark-marketing.ru/Card/Lot/71537465", "Охрана объекта (комната хранения наркотических средств)")</f>
        <v>Охрана объекта (комната хранения наркотических средств)</v>
      </c>
      <c r="G6094" s="22" t="s">
        <v>119</v>
      </c>
      <c r="H6094" s="22" t="s">
        <v>952</v>
      </c>
      <c r="I6094" s="26">
        <v>43636.605555555601</v>
      </c>
      <c r="J6094" s="28" t="s">
        <v>52</v>
      </c>
      <c r="K6094" s="28" t="s">
        <v>52</v>
      </c>
      <c r="L6094" s="28" t="s">
        <v>52</v>
      </c>
      <c r="M6094" s="28" t="s">
        <v>52</v>
      </c>
      <c r="N6094" s="28" t="s">
        <v>52</v>
      </c>
    </row>
    <row r="6095" spans="1:14" x14ac:dyDescent="0.15">
      <c r="A6095" s="23" t="str">
        <f>HYPERLINK("https://www.spark-marketing.ru/Card/Person/4367259", "МАОУ СРЕДНЯЯ ШКОЛА №8 ИМ.А.Г.МАХНЁВА АГО,МАОУ СОШ №8 ИМ.А.Г.МАХНЁВА,ШКОЛА №8 ИМ.А.Г.МАХНЁВА")</f>
        <v>МАОУ СРЕДНЯЯ ШКОЛА №8 ИМ.А.Г.МАХНЁВА АГО,МАОУ СОШ №8 ИМ.А.Г.МАХНЁВА,ШКОЛА №8 ИМ.А.Г.МАХНЁВА</v>
      </c>
      <c r="B6095" s="24" t="s">
        <v>7199</v>
      </c>
      <c r="C6095" s="25">
        <v>190000</v>
      </c>
      <c r="D6095" s="22" t="s">
        <v>7888</v>
      </c>
      <c r="E6095" s="22" t="s">
        <v>49</v>
      </c>
      <c r="F6095" s="23" t="str">
        <f>HYPERLINK("https://www.spark-marketing.ru/Card/Lot/71531036", "Установка комплекса охранной сигнализации.")</f>
        <v>Установка комплекса охранной сигнализации.</v>
      </c>
      <c r="G6095" s="22" t="s">
        <v>72</v>
      </c>
      <c r="H6095" s="22" t="s">
        <v>72</v>
      </c>
      <c r="I6095" s="26">
        <v>43636.6180902778</v>
      </c>
      <c r="J6095" s="28" t="s">
        <v>52</v>
      </c>
      <c r="K6095" s="28" t="s">
        <v>52</v>
      </c>
      <c r="L6095" s="28" t="s">
        <v>52</v>
      </c>
      <c r="M6095" s="28" t="s">
        <v>52</v>
      </c>
      <c r="N6095" s="28" t="s">
        <v>52</v>
      </c>
    </row>
    <row r="6096" spans="1:14" x14ac:dyDescent="0.15">
      <c r="A6096" s="23" t="str">
        <f>HYPERLINK("https://www.spark-marketing.ru/Card/Person/182125", "ГУП АМУРСКОЙ ОБЛАСТИ ""АЭРОПОРТ БЛАГОВЕЩЕНСК""")</f>
        <v>ГУП АМУРСКОЙ ОБЛАСТИ "АЭРОПОРТ БЛАГОВЕЩЕНСК"</v>
      </c>
      <c r="B6096" s="24" t="s">
        <v>6760</v>
      </c>
      <c r="C6096" s="25">
        <v>426034.77</v>
      </c>
      <c r="D6096" s="22" t="s">
        <v>7889</v>
      </c>
      <c r="E6096" s="22" t="s">
        <v>49</v>
      </c>
      <c r="F6096" s="23" t="str">
        <f>HYPERLINK("https://www.spark-marketing.ru/Card/Lot/71520243", "Выполнение работ по установке аудио/видео системы")</f>
        <v>Выполнение работ по установке аудио/видео системы</v>
      </c>
      <c r="G6096" s="22" t="s">
        <v>230</v>
      </c>
      <c r="H6096" s="22" t="s">
        <v>230</v>
      </c>
      <c r="I6096" s="26">
        <v>43636.612500000003</v>
      </c>
      <c r="J6096" s="28" t="s">
        <v>52</v>
      </c>
      <c r="K6096" s="28" t="s">
        <v>52</v>
      </c>
      <c r="L6096" s="28" t="s">
        <v>52</v>
      </c>
      <c r="M6096" s="28" t="s">
        <v>52</v>
      </c>
      <c r="N6096" s="28" t="s">
        <v>52</v>
      </c>
    </row>
    <row r="6097" spans="1:14" x14ac:dyDescent="0.15">
      <c r="A6097" s="23" t="str">
        <f>HYPERLINK("https://www.spark-marketing.ru/Card/Person/1758220", "ГАУСОН РГЦ ""ИМЕНЛЕК""")</f>
        <v>ГАУСОН РГЦ "ИМЕНЛЕК"</v>
      </c>
      <c r="B6097" s="24" t="s">
        <v>5809</v>
      </c>
      <c r="C6097" s="25">
        <v>304920</v>
      </c>
      <c r="D6097" s="22" t="s">
        <v>7890</v>
      </c>
      <c r="E6097" s="22" t="s">
        <v>396</v>
      </c>
      <c r="F6097" s="23" t="str">
        <f>HYPERLINK("https://www.spark-marketing.ru/Card/Lot/71529458", "Монтаж системы видеонаблюдения в отделении стационарного социального обслуживания граждан пожилого возраста и инвалидов в Чишминском районе, с.Шингак-куль, ул. Западная 5.")</f>
        <v>Монтаж системы видеонаблюдения в отделении стационарного социального обслуживания граждан пожилого возраста и инвалидов в Чишминском районе, с.Шингак-куль, ул. Западная 5.</v>
      </c>
      <c r="G6097" s="22" t="s">
        <v>100</v>
      </c>
      <c r="H6097" s="22" t="s">
        <v>100</v>
      </c>
      <c r="I6097" s="26">
        <v>43636.608854166698</v>
      </c>
      <c r="J6097" s="28" t="s">
        <v>52</v>
      </c>
      <c r="K6097" s="28" t="s">
        <v>52</v>
      </c>
      <c r="L6097" s="28" t="s">
        <v>52</v>
      </c>
      <c r="M6097" s="28" t="s">
        <v>52</v>
      </c>
      <c r="N6097" s="28" t="s">
        <v>52</v>
      </c>
    </row>
    <row r="6098" spans="1:14" x14ac:dyDescent="0.15">
      <c r="A6098" s="23" t="str">
        <f>HYPERLINK("https://www.spark-marketing.ru/Card/Person/4343365", "ФКУ ""УРАЛУПРАВТОДОР""")</f>
        <v>ФКУ "УРАЛУПРАВТОДОР"</v>
      </c>
      <c r="B6098" s="24" t="s">
        <v>2437</v>
      </c>
      <c r="C6098" s="25">
        <v>50592</v>
      </c>
      <c r="D6098" s="22" t="s">
        <v>7891</v>
      </c>
      <c r="E6098" s="22" t="s">
        <v>53</v>
      </c>
      <c r="F6098" s="23" t="str">
        <f>HYPERLINK("https://www.spark-marketing.ru/Card/Lot/71530581", "Оказание охранных услуг")</f>
        <v>Оказание охранных услуг</v>
      </c>
      <c r="G6098" s="22" t="s">
        <v>72</v>
      </c>
      <c r="H6098" s="22" t="s">
        <v>949</v>
      </c>
      <c r="I6098" s="26">
        <v>43636.562256944402</v>
      </c>
      <c r="J6098" s="28" t="s">
        <v>52</v>
      </c>
      <c r="K6098" s="28" t="s">
        <v>52</v>
      </c>
      <c r="L6098" s="28" t="s">
        <v>52</v>
      </c>
      <c r="M6098" s="28" t="s">
        <v>52</v>
      </c>
      <c r="N6098" s="28" t="s">
        <v>52</v>
      </c>
    </row>
    <row r="6099" spans="1:14" x14ac:dyDescent="0.15">
      <c r="A6099" s="23" t="str">
        <f>HYPERLINK("https://www.spark-marketing.ru/Card/Person/1758631", "МАУ ""АСП""")</f>
        <v>МАУ "АСП"</v>
      </c>
      <c r="B6099" s="24" t="s">
        <v>7892</v>
      </c>
      <c r="C6099" s="25">
        <v>1204200</v>
      </c>
      <c r="D6099" s="22" t="s">
        <v>7893</v>
      </c>
      <c r="E6099" s="22" t="s">
        <v>7894</v>
      </c>
      <c r="F6099" s="23" t="str">
        <f>HYPERLINK("https://www.spark-marketing.ru/Card/Lot/71525496", "Охранные услуги, а именно обеспечение комплекса мер, направленных на защиту на объекте Заказчика по адресу: г.Пермь, Ленинский район, Набережная реки Кама")</f>
        <v>Охранные услуги, а именно обеспечение комплекса мер, направленных на защиту на объекте Заказчика по адресу: г.Пермь, Ленинский район, Набережная реки Кама</v>
      </c>
      <c r="G6099" s="22" t="s">
        <v>391</v>
      </c>
      <c r="H6099" s="22" t="s">
        <v>392</v>
      </c>
      <c r="I6099" s="26">
        <v>43636.500787037003</v>
      </c>
      <c r="J6099" s="28" t="s">
        <v>52</v>
      </c>
      <c r="K6099" s="28" t="s">
        <v>52</v>
      </c>
      <c r="L6099" s="28" t="s">
        <v>52</v>
      </c>
      <c r="M6099" s="28" t="s">
        <v>52</v>
      </c>
      <c r="N6099" s="28" t="s">
        <v>52</v>
      </c>
    </row>
    <row r="6100" spans="1:14" x14ac:dyDescent="0.15">
      <c r="A6100" s="23" t="str">
        <f>HYPERLINK("https://www.spark-marketing.ru/Card/Person/94120", "МБОУ ""СОШ № 22"" Г.ЧЕБОКСАРЫ")</f>
        <v>МБОУ "СОШ № 22" Г.ЧЕБОКСАРЫ</v>
      </c>
      <c r="B6100" s="24" t="s">
        <v>7895</v>
      </c>
      <c r="C6100" s="25">
        <v>12000</v>
      </c>
      <c r="D6100" s="22" t="s">
        <v>7896</v>
      </c>
      <c r="E6100" s="22" t="s">
        <v>194</v>
      </c>
      <c r="F6100" s="23" t="str">
        <f>HYPERLINK("https://www.spark-marketing.ru/Card/Lot/71526567", "оказание услуг по техническому обслуживанию системы видеонаблюдения для нужд МБОУ «СОШ № 22» г. Чебоксары")</f>
        <v>оказание услуг по техническому обслуживанию системы видеонаблюдения для нужд МБОУ «СОШ № 22» г. Чебоксары</v>
      </c>
      <c r="G6100" s="22" t="s">
        <v>1137</v>
      </c>
      <c r="H6100" s="22" t="s">
        <v>1138</v>
      </c>
      <c r="I6100" s="26">
        <v>43636.479166666701</v>
      </c>
      <c r="J6100" s="28" t="s">
        <v>52</v>
      </c>
      <c r="K6100" s="28" t="s">
        <v>52</v>
      </c>
      <c r="L6100" s="28" t="s">
        <v>52</v>
      </c>
      <c r="M6100" s="28" t="s">
        <v>52</v>
      </c>
      <c r="N6100" s="28" t="s">
        <v>52</v>
      </c>
    </row>
    <row r="6101" spans="1:14" x14ac:dyDescent="0.15">
      <c r="A6101" s="23" t="str">
        <f>HYPERLINK("https://www.spark-marketing.ru/Card/Person/1683079", "ООО ""ЧОП ""КЕННАРД""")</f>
        <v>ООО "ЧОП "КЕННАРД"</v>
      </c>
      <c r="B6101" s="24" t="s">
        <v>1949</v>
      </c>
      <c r="C6101" s="25">
        <v>23700</v>
      </c>
      <c r="D6101" s="22" t="s">
        <v>7897</v>
      </c>
      <c r="E6101" s="22" t="s">
        <v>53</v>
      </c>
      <c r="F6101" s="23" t="str">
        <f>HYPERLINK("https://www.spark-marketing.ru/Card/Lot/71552426", "Короб с крышкой, с направляющими для установки разделителей 60х40 TA-GN (01780) 2м")</f>
        <v>Короб с крышкой, с направляющими для установки разделителей 60х40 TA-GN (01780) 2м</v>
      </c>
      <c r="G6101" s="22" t="s">
        <v>204</v>
      </c>
      <c r="H6101" s="22" t="s">
        <v>303</v>
      </c>
      <c r="I6101" s="26">
        <v>43636.480289351799</v>
      </c>
      <c r="J6101" s="28" t="s">
        <v>52</v>
      </c>
      <c r="K6101" s="28" t="s">
        <v>52</v>
      </c>
      <c r="L6101" s="28" t="s">
        <v>52</v>
      </c>
      <c r="M6101" s="28" t="s">
        <v>52</v>
      </c>
      <c r="N6101" s="28" t="s">
        <v>52</v>
      </c>
    </row>
    <row r="6102" spans="1:14" x14ac:dyDescent="0.15">
      <c r="A6102" s="23" t="str">
        <f>HYPERLINK("https://www.spark-marketing.ru/Card/Person/6208488", "БАЙКАЛЬСКАЯ МЕЖРЕГИОНАЛЬНАЯ ПРИРОДООХРАННАЯ ПРОКУРАТУРА")</f>
        <v>БАЙКАЛЬСКАЯ МЕЖРЕГИОНАЛЬНАЯ ПРИРОДООХРАННАЯ ПРОКУРАТУРА</v>
      </c>
      <c r="B6102" s="24" t="s">
        <v>6928</v>
      </c>
      <c r="C6102" s="25">
        <v>8402.7000000000007</v>
      </c>
      <c r="D6102" s="22" t="s">
        <v>7898</v>
      </c>
      <c r="E6102" s="22" t="s">
        <v>68</v>
      </c>
      <c r="F6102" s="23" t="str">
        <f>HYPERLINK("https://www.spark-marketing.ru/Card/Lot/71517459", "Охрана объектов с помощью средств тревожной сигнализации")</f>
        <v>Охрана объектов с помощью средств тревожной сигнализации</v>
      </c>
      <c r="G6102" s="22" t="s">
        <v>281</v>
      </c>
      <c r="H6102" s="22" t="s">
        <v>281</v>
      </c>
      <c r="I6102" s="26">
        <v>43636.420833333301</v>
      </c>
      <c r="J6102" s="28" t="s">
        <v>52</v>
      </c>
      <c r="K6102" s="28" t="s">
        <v>52</v>
      </c>
      <c r="L6102" s="28" t="s">
        <v>52</v>
      </c>
      <c r="M6102" s="28" t="s">
        <v>52</v>
      </c>
      <c r="N6102" s="28" t="s">
        <v>52</v>
      </c>
    </row>
    <row r="6103" spans="1:14" x14ac:dyDescent="0.15">
      <c r="A6103" s="23" t="str">
        <f>HYPERLINK("https://www.spark-marketing.ru/Card/Person/6208488", "БАЙКАЛЬСКАЯ МЕЖРЕГИОНАЛЬНАЯ ПРИРОДООХРАННАЯ ПРОКУРАТУРА")</f>
        <v>БАЙКАЛЬСКАЯ МЕЖРЕГИОНАЛЬНАЯ ПРИРОДООХРАННАЯ ПРОКУРАТУРА</v>
      </c>
      <c r="B6103" s="24" t="s">
        <v>6928</v>
      </c>
      <c r="C6103" s="25">
        <v>69642</v>
      </c>
      <c r="D6103" s="22" t="s">
        <v>7899</v>
      </c>
      <c r="E6103" s="22" t="s">
        <v>68</v>
      </c>
      <c r="F6103" s="23" t="str">
        <f>HYPERLINK("https://www.spark-marketing.ru/Card/Lot/71517541", "Охрана объектов путем применения систем централизованного наблюдения")</f>
        <v>Охрана объектов путем применения систем централизованного наблюдения</v>
      </c>
      <c r="G6103" s="22" t="s">
        <v>281</v>
      </c>
      <c r="H6103" s="22" t="s">
        <v>281</v>
      </c>
      <c r="I6103" s="26">
        <v>43636.418749999997</v>
      </c>
      <c r="J6103" s="28" t="s">
        <v>52</v>
      </c>
      <c r="K6103" s="28" t="s">
        <v>52</v>
      </c>
      <c r="L6103" s="28" t="s">
        <v>52</v>
      </c>
      <c r="M6103" s="28" t="s">
        <v>52</v>
      </c>
      <c r="N6103" s="28" t="s">
        <v>52</v>
      </c>
    </row>
    <row r="6104" spans="1:14" x14ac:dyDescent="0.15">
      <c r="A6104" s="23" t="str">
        <f>HYPERLINK("https://www.spark-marketing.ru/Card/Person/4365627", "ООО ""РН-БУРЕНИЕ""")</f>
        <v>ООО "РН-БУРЕНИЕ"</v>
      </c>
      <c r="B6104" s="24" t="s">
        <v>4221</v>
      </c>
      <c r="C6104" s="28" t="s">
        <v>52</v>
      </c>
      <c r="D6104" s="22" t="s">
        <v>7900</v>
      </c>
      <c r="E6104" s="22" t="s">
        <v>7092</v>
      </c>
      <c r="F6104" s="23" t="str">
        <f>HYPERLINK("https://www.spark-marketing.ru/Card/Lot/71524567", "Запрос коммерческого предложения на оказание услуг по техническому обслуживанию технических средств охраны Нижневартовского филиала ООО ""РН-Бурение"" в 2020 году")</f>
        <v>Запрос коммерческого предложения на оказание услуг по техническому обслуживанию технических средств охраны Нижневартовского филиала ООО "РН-Бурение" в 2020 году</v>
      </c>
      <c r="G6104" s="22" t="s">
        <v>55</v>
      </c>
      <c r="H6104" s="22" t="s">
        <v>55</v>
      </c>
      <c r="I6104" s="26">
        <v>43636.427083333299</v>
      </c>
      <c r="J6104" s="28" t="s">
        <v>52</v>
      </c>
      <c r="K6104" s="28" t="s">
        <v>52</v>
      </c>
      <c r="L6104" s="28" t="s">
        <v>52</v>
      </c>
      <c r="M6104" s="28" t="s">
        <v>52</v>
      </c>
      <c r="N6104" s="28" t="s">
        <v>52</v>
      </c>
    </row>
    <row r="6105" spans="1:14" x14ac:dyDescent="0.15">
      <c r="A6105" s="23" t="str">
        <f>HYPERLINK("https://www.spark-marketing.ru/Card/Person/4349178", "АРБИТРАЖНЫЙ СУД РЕСПУБЛИКИ БАШКОРТОСТАН")</f>
        <v>АРБИТРАЖНЫЙ СУД РЕСПУБЛИКИ БАШКОРТОСТАН</v>
      </c>
      <c r="B6105" s="24" t="s">
        <v>7901</v>
      </c>
      <c r="C6105" s="25">
        <v>1808119.44</v>
      </c>
      <c r="D6105" s="22" t="s">
        <v>7902</v>
      </c>
      <c r="E6105" s="22" t="s">
        <v>5267</v>
      </c>
      <c r="F6105" s="23" t="str">
        <f>HYPERLINK("https://www.spark-marketing.ru/Card/Lot/71520467", "Физическая охрана и осуществления внутриобъектового и пропускного режима, путем выставления военнизированных постов охраны на объектах Заказчика")</f>
        <v>Физическая охрана и осуществления внутриобъектового и пропускного режима, путем выставления военнизированных постов охраны на объектах Заказчика</v>
      </c>
      <c r="G6105" s="22" t="s">
        <v>100</v>
      </c>
      <c r="H6105" s="22" t="s">
        <v>373</v>
      </c>
      <c r="I6105" s="26">
        <v>43636.422222222202</v>
      </c>
      <c r="J6105" s="28" t="s">
        <v>52</v>
      </c>
      <c r="K6105" s="28" t="s">
        <v>52</v>
      </c>
      <c r="L6105" s="28" t="s">
        <v>52</v>
      </c>
      <c r="M6105" s="28" t="s">
        <v>52</v>
      </c>
      <c r="N6105" s="28" t="s">
        <v>52</v>
      </c>
    </row>
    <row r="6106" spans="1:14" x14ac:dyDescent="0.15">
      <c r="A6106" s="23" t="str">
        <f>HYPERLINK("https://www.spark-marketing.ru/Card/Person/4863124", "Межрегиональный филиал ФКУ ""ЦОКР"" в г. Санкт-Петербурге")</f>
        <v>Межрегиональный филиал ФКУ "ЦОКР" в г. Санкт-Петербурге</v>
      </c>
      <c r="B6106" s="24" t="s">
        <v>962</v>
      </c>
      <c r="C6106" s="25">
        <v>36000</v>
      </c>
      <c r="D6106" s="22" t="s">
        <v>7903</v>
      </c>
      <c r="E6106" s="22" t="s">
        <v>53</v>
      </c>
      <c r="F6106" s="23" t="str">
        <f>HYPERLINK("https://www.spark-marketing.ru/Card/Lot/71523746", "Оказание охранных услуг 21000")</f>
        <v>Оказание охранных услуг 21000</v>
      </c>
      <c r="G6106" s="22" t="s">
        <v>89</v>
      </c>
      <c r="H6106" s="22" t="s">
        <v>89</v>
      </c>
      <c r="I6106" s="26">
        <v>43636.449803240699</v>
      </c>
      <c r="J6106" s="28" t="s">
        <v>52</v>
      </c>
      <c r="K6106" s="28" t="s">
        <v>52</v>
      </c>
      <c r="L6106" s="28" t="s">
        <v>52</v>
      </c>
      <c r="M6106" s="28" t="s">
        <v>52</v>
      </c>
      <c r="N6106" s="28" t="s">
        <v>52</v>
      </c>
    </row>
    <row r="6107" spans="1:14" x14ac:dyDescent="0.15">
      <c r="A6107" s="23" t="str">
        <f>HYPERLINK("https://www.spark-marketing.ru/Card/Person/4348528", "АО ИК ""АСЭ""")</f>
        <v>АО ИК "АСЭ"</v>
      </c>
      <c r="B6107" s="24" t="s">
        <v>62</v>
      </c>
      <c r="C6107" s="28" t="s">
        <v>52</v>
      </c>
      <c r="D6107" s="22" t="s">
        <v>7904</v>
      </c>
      <c r="E6107" s="22" t="s">
        <v>53</v>
      </c>
      <c r="F6107" s="23" t="str">
        <f>HYPERLINK("https://www.spark-marketing.ru/Card/Lot/71530558", "Оказание услуг по охране объекта Нововоронежского филиала - «Гостиница «Дон», расположенного по адресу: г. Нововоронеж, ул. Курчатова, д. 2б. (1280561)")</f>
        <v>Оказание услуг по охране объекта Нововоронежского филиала - «Гостиница «Дон», расположенного по адресу: г. Нововоронеж, ул. Курчатова, д. 2б. (1280561)</v>
      </c>
      <c r="G6107" s="22" t="s">
        <v>64</v>
      </c>
      <c r="H6107" s="22" t="s">
        <v>65</v>
      </c>
      <c r="I6107" s="26">
        <v>43636.434814814798</v>
      </c>
      <c r="J6107" s="28" t="s">
        <v>52</v>
      </c>
      <c r="K6107" s="28" t="s">
        <v>52</v>
      </c>
      <c r="L6107" s="28" t="s">
        <v>52</v>
      </c>
      <c r="M6107" s="28" t="s">
        <v>52</v>
      </c>
      <c r="N6107" s="28" t="s">
        <v>52</v>
      </c>
    </row>
    <row r="6108" spans="1:14" x14ac:dyDescent="0.15">
      <c r="A6108" s="23" t="str">
        <f>HYPERLINK("https://www.spark-marketing.ru/Card/Person/4348528", "АО ИК ""АСЭ""")</f>
        <v>АО ИК "АСЭ"</v>
      </c>
      <c r="B6108" s="24" t="s">
        <v>62</v>
      </c>
      <c r="C6108" s="25">
        <v>0</v>
      </c>
      <c r="D6108" s="22" t="s">
        <v>7905</v>
      </c>
      <c r="E6108" s="22" t="s">
        <v>53</v>
      </c>
      <c r="F6108" s="23" t="str">
        <f>HYPERLINK("https://www.spark-marketing.ru/Card/Lot/71550316", "мониторинг цен в электронной форме на Оказание услуг по охране объекта Нововоронежского филиала - «Гостиница «Дон», расположенного по адресу: г. Нововоронеж, ул. Курчатова, д. 2б.")</f>
        <v>мониторинг цен в электронной форме на Оказание услуг по охране объекта Нововоронежского филиала - «Гостиница «Дон», расположенного по адресу: г. Нововоронеж, ул. Курчатова, д. 2б.</v>
      </c>
      <c r="G6108" s="22" t="s">
        <v>64</v>
      </c>
      <c r="H6108" s="22" t="s">
        <v>65</v>
      </c>
      <c r="I6108" s="26">
        <v>43636.435104166703</v>
      </c>
      <c r="J6108" s="28" t="s">
        <v>52</v>
      </c>
      <c r="K6108" s="28" t="s">
        <v>52</v>
      </c>
      <c r="L6108" s="28" t="s">
        <v>52</v>
      </c>
      <c r="M6108" s="28" t="s">
        <v>52</v>
      </c>
      <c r="N6108" s="28" t="s">
        <v>52</v>
      </c>
    </row>
    <row r="6109" spans="1:14" x14ac:dyDescent="0.15">
      <c r="A6109" s="23" t="str">
        <f>HYPERLINK("https://www.spark-marketing.ru/Card/Person/108999", "ГАОУ ""ШКОЛА № 1518""")</f>
        <v>ГАОУ "ШКОЛА № 1518"</v>
      </c>
      <c r="B6109" s="24" t="s">
        <v>3348</v>
      </c>
      <c r="C6109" s="25">
        <v>40000</v>
      </c>
      <c r="D6109" s="22" t="s">
        <v>7906</v>
      </c>
      <c r="E6109" s="22" t="s">
        <v>144</v>
      </c>
      <c r="F6109" s="23" t="str">
        <f>HYPERLINK("https://www.spark-marketing.ru/Card/Lot/71524183", "Услуги пультовой охраны с использованием тревожной кнопки")</f>
        <v>Услуги пультовой охраны с использованием тревожной кнопки</v>
      </c>
      <c r="G6109" s="22" t="s">
        <v>55</v>
      </c>
      <c r="H6109" s="22" t="s">
        <v>55</v>
      </c>
      <c r="I6109" s="26">
        <v>43636.450370370403</v>
      </c>
      <c r="J6109" s="28" t="s">
        <v>52</v>
      </c>
      <c r="K6109" s="28" t="s">
        <v>52</v>
      </c>
      <c r="L6109" s="28" t="s">
        <v>52</v>
      </c>
      <c r="M6109" s="28" t="s">
        <v>52</v>
      </c>
      <c r="N6109" s="28" t="s">
        <v>52</v>
      </c>
    </row>
    <row r="6110" spans="1:14" x14ac:dyDescent="0.15">
      <c r="A6110" s="23" t="str">
        <f>HYPERLINK("https://www.spark-marketing.ru/Card/Person/255630", "ГБУЗ РК ""КРНД""")</f>
        <v>ГБУЗ РК "КРНД"</v>
      </c>
      <c r="B6110" s="24" t="s">
        <v>7907</v>
      </c>
      <c r="C6110" s="25">
        <v>96496.09</v>
      </c>
      <c r="D6110" s="22" t="s">
        <v>7908</v>
      </c>
      <c r="E6110" s="22" t="s">
        <v>4889</v>
      </c>
      <c r="F6110" s="23" t="str">
        <f>HYPERLINK("https://www.spark-marketing.ru/Card/Lot/71522598", "Техническое обслуживание газового хроматографа GC-2010Plus")</f>
        <v>Техническое обслуживание газового хроматографа GC-2010Plus</v>
      </c>
      <c r="G6110" s="22" t="s">
        <v>538</v>
      </c>
      <c r="H6110" s="22" t="s">
        <v>707</v>
      </c>
      <c r="I6110" s="26">
        <v>43636.421527777798</v>
      </c>
      <c r="J6110" s="28" t="s">
        <v>52</v>
      </c>
      <c r="K6110" s="28" t="s">
        <v>52</v>
      </c>
      <c r="L6110" s="28" t="s">
        <v>52</v>
      </c>
      <c r="M6110" s="28" t="s">
        <v>52</v>
      </c>
      <c r="N6110" s="28" t="s">
        <v>52</v>
      </c>
    </row>
    <row r="6111" spans="1:14" x14ac:dyDescent="0.15">
      <c r="A6111" s="23" t="str">
        <f>HYPERLINK("https://www.spark-marketing.ru/Card/Person/645596", "ОТДЕЛ МВД РОССИИ ПО БИРСКОМУ РАЙОНУ")</f>
        <v>ОТДЕЛ МВД РОССИИ ПО БИРСКОМУ РАЙОНУ</v>
      </c>
      <c r="B6111" s="24" t="s">
        <v>7909</v>
      </c>
      <c r="C6111" s="25">
        <v>99619</v>
      </c>
      <c r="D6111" s="22" t="s">
        <v>7910</v>
      </c>
      <c r="E6111" s="22" t="s">
        <v>59</v>
      </c>
      <c r="F6111" s="23" t="str">
        <f>HYPERLINK("https://www.spark-marketing.ru/Card/Lot/71521760", "Работ по установке комплекса охранной сигнализации, 1 шт")</f>
        <v>Работ по установке комплекса охранной сигнализации, 1 шт</v>
      </c>
      <c r="G6111" s="22" t="s">
        <v>100</v>
      </c>
      <c r="H6111" s="22" t="s">
        <v>4453</v>
      </c>
      <c r="I6111" s="26">
        <v>43636.401840277802</v>
      </c>
      <c r="J6111" s="28" t="s">
        <v>52</v>
      </c>
      <c r="K6111" s="28" t="s">
        <v>52</v>
      </c>
      <c r="L6111" s="28" t="s">
        <v>52</v>
      </c>
      <c r="M6111" s="28" t="s">
        <v>52</v>
      </c>
      <c r="N6111" s="28" t="s">
        <v>52</v>
      </c>
    </row>
    <row r="6112" spans="1:14" x14ac:dyDescent="0.15">
      <c r="A6112" s="23" t="str">
        <f>HYPERLINK("https://www.spark-marketing.ru/Card/Person/53962", "ГБУЗ ЯНАО ""ЯР-САЛИНСКАЯ ЦРБ""")</f>
        <v>ГБУЗ ЯНАО "ЯР-САЛИНСКАЯ ЦРБ"</v>
      </c>
      <c r="B6112" s="24" t="s">
        <v>7911</v>
      </c>
      <c r="C6112" s="25">
        <v>405869.3</v>
      </c>
      <c r="D6112" s="22" t="s">
        <v>7912</v>
      </c>
      <c r="E6112" s="22" t="s">
        <v>59</v>
      </c>
      <c r="F6112" s="23" t="str">
        <f>HYPERLINK("https://www.spark-marketing.ru/Card/Lot/71519376", "Выполнение работ по монтажу тревожных кнопок")</f>
        <v>Выполнение работ по монтажу тревожных кнопок</v>
      </c>
      <c r="G6112" s="22" t="s">
        <v>311</v>
      </c>
      <c r="H6112" s="22" t="s">
        <v>7913</v>
      </c>
      <c r="I6112" s="26">
        <v>43636.404861111099</v>
      </c>
      <c r="J6112" s="23" t="str">
        <f>HYPERLINK("https://www.spark-marketing.ru/Card/Person/650466", "ООО ""СТБ-СЕРВИС""")</f>
        <v>ООО "СТБ-СЕРВИС"</v>
      </c>
      <c r="K6112" s="24" t="s">
        <v>7914</v>
      </c>
      <c r="L6112" s="28" t="s">
        <v>52</v>
      </c>
      <c r="M6112" s="28" t="s">
        <v>52</v>
      </c>
      <c r="N6112" s="28" t="s">
        <v>52</v>
      </c>
    </row>
    <row r="6113" spans="1:14" ht="12.75" hidden="1" outlineLevel="1" x14ac:dyDescent="0.2">
      <c r="A6113" s="23" t="str">
        <f>HYPERLINK("https://www.spark-marketing.ru/Card/Person/53962", "ГБУЗ ЯНАО ""ЯР-САЛИНСКАЯ ЦРБ""")</f>
        <v>ГБУЗ ЯНАО "ЯР-САЛИНСКАЯ ЦРБ"</v>
      </c>
      <c r="B6113" s="24" t="s">
        <v>7911</v>
      </c>
      <c r="C6113" s="25">
        <v>405869.3</v>
      </c>
      <c r="D6113" s="22" t="s">
        <v>7912</v>
      </c>
      <c r="E6113" s="22" t="s">
        <v>59</v>
      </c>
      <c r="F6113" s="23" t="str">
        <f>HYPERLINK("https://www.spark-marketing.ru/Card/Lot/71519376", "Выполнение работ по монтажу тревожных кнопок")</f>
        <v>Выполнение работ по монтажу тревожных кнопок</v>
      </c>
      <c r="G6113" s="22" t="s">
        <v>311</v>
      </c>
      <c r="H6113" s="22" t="s">
        <v>7913</v>
      </c>
      <c r="I6113" s="26">
        <v>43636.404861111099</v>
      </c>
      <c r="J6113" s="23" t="str">
        <f>HYPERLINK("https://www.spark-marketing.ru/Card/Person/650466", "ООО ""СТБ-СЕРВИС""")</f>
        <v>ООО "СТБ-СЕРВИС"</v>
      </c>
      <c r="K6113" s="24" t="s">
        <v>7914</v>
      </c>
      <c r="L6113" s="22" t="s">
        <v>10</v>
      </c>
      <c r="M6113" s="25">
        <v>403839.95</v>
      </c>
      <c r="N6113" s="27">
        <v>5.0000086234657315E-3</v>
      </c>
    </row>
    <row r="6114" spans="1:14" x14ac:dyDescent="0.15">
      <c r="A6114" s="23" t="str">
        <f>HYPERLINK("https://www.spark-marketing.ru/Card/Person/161177", "УПРАВЛЕНИЕ МИНЮСТА РОССИИ ПО РЕСПУБЛИКЕ ТЫВА")</f>
        <v>УПРАВЛЕНИЕ МИНЮСТА РОССИИ ПО РЕСПУБЛИКЕ ТЫВА</v>
      </c>
      <c r="B6114" s="24" t="s">
        <v>7915</v>
      </c>
      <c r="C6114" s="25">
        <v>97500</v>
      </c>
      <c r="D6114" s="22" t="s">
        <v>7916</v>
      </c>
      <c r="E6114" s="22" t="s">
        <v>59</v>
      </c>
      <c r="F6114" s="23" t="str">
        <f>HYPERLINK("https://www.spark-marketing.ru/Card/Lot/71517485", "Работ по установке комплекса охранной сигнализации, 1 шт")</f>
        <v>Работ по установке комплекса охранной сигнализации, 1 шт</v>
      </c>
      <c r="G6114" s="22" t="s">
        <v>2193</v>
      </c>
      <c r="H6114" s="22" t="s">
        <v>2194</v>
      </c>
      <c r="I6114" s="26">
        <v>43636.238078703696</v>
      </c>
      <c r="J6114" s="28" t="s">
        <v>52</v>
      </c>
      <c r="K6114" s="28" t="s">
        <v>52</v>
      </c>
      <c r="L6114" s="28" t="s">
        <v>52</v>
      </c>
      <c r="M6114" s="28" t="s">
        <v>52</v>
      </c>
      <c r="N6114" s="28" t="s">
        <v>52</v>
      </c>
    </row>
    <row r="6115" spans="1:14" x14ac:dyDescent="0.15">
      <c r="A6115" s="23" t="str">
        <f>HYPERLINK("https://www.spark-marketing.ru/Card/Person/31865", "АО ""ОКБМ АФРИКАНТОВ""")</f>
        <v>АО "ОКБМ АФРИКАНТОВ"</v>
      </c>
      <c r="B6115" s="24" t="s">
        <v>752</v>
      </c>
      <c r="C6115" s="25">
        <v>462000</v>
      </c>
      <c r="D6115" s="22" t="s">
        <v>7917</v>
      </c>
      <c r="E6115" s="22" t="s">
        <v>53</v>
      </c>
      <c r="F6115" s="23" t="str">
        <f>HYPERLINK("https://www.spark-marketing.ru/Card/Lot/71522150", "Право заключения договора на Оказание услуг по охране здания, имущества и обеспечению общественного порядка Отдела кадров АО «ОКБМ Африкантов»")</f>
        <v>Право заключения договора на Оказание услуг по охране здания, имущества и обеспечению общественного порядка Отдела кадров АО «ОКБМ Африкантов»</v>
      </c>
      <c r="G6115" s="22" t="s">
        <v>64</v>
      </c>
      <c r="H6115" s="22" t="s">
        <v>65</v>
      </c>
      <c r="I6115" s="26">
        <v>43636</v>
      </c>
      <c r="J6115" s="28" t="s">
        <v>52</v>
      </c>
      <c r="K6115" s="28" t="s">
        <v>52</v>
      </c>
      <c r="L6115" s="28" t="s">
        <v>52</v>
      </c>
      <c r="M6115" s="28" t="s">
        <v>52</v>
      </c>
      <c r="N6115" s="28" t="s">
        <v>52</v>
      </c>
    </row>
    <row r="6116" spans="1:14" x14ac:dyDescent="0.2">
      <c r="A6116" s="23" t="str">
        <f>HYPERLINK("https://www.spark-marketing.ru/Card/Person/1004636", "МБОУ Г. АСТРАХАНИ ""СОШ № 45""")</f>
        <v>МБОУ Г. АСТРАХАНИ "СОШ № 45"</v>
      </c>
      <c r="B6116" s="24" t="s">
        <v>7918</v>
      </c>
      <c r="C6116" s="25">
        <v>32982</v>
      </c>
      <c r="D6116" s="22" t="s">
        <v>7919</v>
      </c>
      <c r="E6116" s="22" t="s">
        <v>59</v>
      </c>
      <c r="F6116" s="23" t="str">
        <f>HYPERLINK("https://www.spark-marketing.ru/Card/Lot/73756467", "Установка системы видеодомофона")</f>
        <v>Установка системы видеодомофона</v>
      </c>
      <c r="G6116" s="22" t="s">
        <v>565</v>
      </c>
      <c r="H6116" s="22" t="s">
        <v>566</v>
      </c>
      <c r="I6116" s="26">
        <v>43635.959027777797</v>
      </c>
      <c r="J6116" s="28" t="s">
        <v>52</v>
      </c>
      <c r="K6116" s="28" t="s">
        <v>52</v>
      </c>
      <c r="L6116" s="28" t="s">
        <v>52</v>
      </c>
      <c r="M6116" s="25">
        <v>31982</v>
      </c>
      <c r="N6116" s="27">
        <v>3.0319568249348131E-2</v>
      </c>
    </row>
    <row r="6117" spans="1:14" x14ac:dyDescent="0.15">
      <c r="A6117" s="23" t="str">
        <f>HYPERLINK("https://www.spark-marketing.ru/Card/Person/1030605", "МБОУ ""ДЕДИНОВСКАЯ ШКОЛА-ИНТЕРНАТ СРЕДНЕГО ОБЩЕГО ОБРАЗОВАНИЯ""")</f>
        <v>МБОУ "ДЕДИНОВСКАЯ ШКОЛА-ИНТЕРНАТ СРЕДНЕГО ОБЩЕГО ОБРАЗОВАНИЯ"</v>
      </c>
      <c r="B6117" s="24" t="s">
        <v>7920</v>
      </c>
      <c r="C6117" s="25">
        <v>24000</v>
      </c>
      <c r="D6117" s="22" t="s">
        <v>7921</v>
      </c>
      <c r="E6117" s="22" t="s">
        <v>103</v>
      </c>
      <c r="F6117" s="23" t="str">
        <f>HYPERLINK("https://www.spark-marketing.ru/Card/Lot/71510106", "ТО системы видеонаблюдения")</f>
        <v>ТО системы видеонаблюдения</v>
      </c>
      <c r="G6117" s="22" t="s">
        <v>50</v>
      </c>
      <c r="H6117" s="22" t="s">
        <v>195</v>
      </c>
      <c r="I6117" s="26">
        <v>43635.804884259298</v>
      </c>
      <c r="J6117" s="28" t="s">
        <v>52</v>
      </c>
      <c r="K6117" s="28" t="s">
        <v>52</v>
      </c>
      <c r="L6117" s="28" t="s">
        <v>52</v>
      </c>
      <c r="M6117" s="28" t="s">
        <v>52</v>
      </c>
      <c r="N6117" s="28" t="s">
        <v>52</v>
      </c>
    </row>
    <row r="6118" spans="1:14" x14ac:dyDescent="0.2">
      <c r="A6118" s="23" t="str">
        <f>HYPERLINK("https://www.spark-marketing.ru/Card/Person/1329313", "МАДОУ ""Д/С № 39 ""РОМАШКА""")</f>
        <v>МАДОУ "Д/С № 39 "РОМАШКА"</v>
      </c>
      <c r="B6118" s="24" t="s">
        <v>7922</v>
      </c>
      <c r="C6118" s="25">
        <v>199930</v>
      </c>
      <c r="D6118" s="22" t="s">
        <v>7923</v>
      </c>
      <c r="E6118" s="22" t="s">
        <v>691</v>
      </c>
      <c r="F6118" s="23" t="str">
        <f>HYPERLINK("https://www.spark-marketing.ru/Card/Lot/71508916", "оказание услуг по установке комплектов видеодомофонов")</f>
        <v>оказание услуг по установке комплектов видеодомофонов</v>
      </c>
      <c r="G6118" s="22" t="s">
        <v>50</v>
      </c>
      <c r="H6118" s="22" t="s">
        <v>2391</v>
      </c>
      <c r="I6118" s="26">
        <v>43635.782048611101</v>
      </c>
      <c r="J6118" s="28" t="s">
        <v>52</v>
      </c>
      <c r="K6118" s="28" t="s">
        <v>52</v>
      </c>
      <c r="L6118" s="28" t="s">
        <v>52</v>
      </c>
      <c r="M6118" s="25">
        <v>199930</v>
      </c>
      <c r="N6118" s="27">
        <v>0</v>
      </c>
    </row>
    <row r="6119" spans="1:14" x14ac:dyDescent="0.15">
      <c r="A6119" s="23" t="str">
        <f>HYPERLINK("https://www.spark-marketing.ru/Card/Person/127302", "МО МВД РОССИИ ""ТЕЙКОВСКИЙ""")</f>
        <v>МО МВД РОССИИ "ТЕЙКОВСКИЙ"</v>
      </c>
      <c r="B6119" s="24" t="s">
        <v>7924</v>
      </c>
      <c r="C6119" s="25">
        <v>70832.160000000003</v>
      </c>
      <c r="D6119" s="22" t="s">
        <v>7925</v>
      </c>
      <c r="E6119" s="22" t="s">
        <v>107</v>
      </c>
      <c r="F6119" s="23" t="str">
        <f>HYPERLINK("https://www.spark-marketing.ru/Card/Lot/71505870", "Техническое обслуживание и ППР технических средств охраны, 178 шт")</f>
        <v>Техническое обслуживание и ППР технических средств охраны, 178 шт</v>
      </c>
      <c r="G6119" s="22" t="s">
        <v>340</v>
      </c>
      <c r="H6119" s="22" t="s">
        <v>7926</v>
      </c>
      <c r="I6119" s="26">
        <v>43635.755150463003</v>
      </c>
      <c r="J6119" s="28" t="s">
        <v>52</v>
      </c>
      <c r="K6119" s="28" t="s">
        <v>52</v>
      </c>
      <c r="L6119" s="28" t="s">
        <v>52</v>
      </c>
      <c r="M6119" s="28" t="s">
        <v>52</v>
      </c>
      <c r="N6119" s="28" t="s">
        <v>52</v>
      </c>
    </row>
    <row r="6120" spans="1:14" x14ac:dyDescent="0.15">
      <c r="A6120" s="23" t="str">
        <f t="shared" ref="A6120:A6135" si="254">HYPERLINK("https://www.spark-marketing.ru/Card/Person/4345935", "ДЕПАРТАМЕНТ СМОЛЕНСКОЙ ОБЛАСТИ ПО ЗДРАВООХРАНЕНИЮ")</f>
        <v>ДЕПАРТАМЕНТ СМОЛЕНСКОЙ ОБЛАСТИ ПО ЗДРАВООХРАНЕНИЮ</v>
      </c>
      <c r="B6120" s="24" t="s">
        <v>1449</v>
      </c>
      <c r="C6120" s="25">
        <v>54450</v>
      </c>
      <c r="D6120" s="22" t="s">
        <v>7927</v>
      </c>
      <c r="E6120" s="22" t="s">
        <v>53</v>
      </c>
      <c r="F6120" s="23" t="str">
        <f>HYPERLINK("https://www.spark-marketing.ru/Card/Lot/71514108", "№2662 - аэф/т Поставка лекарственных препаратов (Вальпроевая кислота)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f>
        <v>№2662 - аэф/т Поставка лекарственных препаратов (Вальпроевая кислота)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v>
      </c>
      <c r="G6120" s="22" t="s">
        <v>956</v>
      </c>
      <c r="H6120" s="22" t="s">
        <v>1451</v>
      </c>
      <c r="I6120" s="26">
        <v>43635.7277777778</v>
      </c>
      <c r="J6120" s="23" t="str">
        <f>HYPERLINK("https://www.spark-marketing.ru/Card/Person/503084", "ООО ""ФАРМ-ИННОВАЦИИ""")</f>
        <v>ООО "ФАРМ-ИННОВАЦИИ"</v>
      </c>
      <c r="K6120" s="24" t="s">
        <v>2054</v>
      </c>
      <c r="L6120" s="22" t="s">
        <v>10</v>
      </c>
      <c r="M6120" s="28" t="s">
        <v>52</v>
      </c>
      <c r="N6120" s="28" t="s">
        <v>52</v>
      </c>
    </row>
    <row r="6121" spans="1:14" x14ac:dyDescent="0.15">
      <c r="A6121" s="23" t="str">
        <f t="shared" si="254"/>
        <v>ДЕПАРТАМЕНТ СМОЛЕНСКОЙ ОБЛАСТИ ПО ЗДРАВООХРАНЕНИЮ</v>
      </c>
      <c r="B6121" s="24" t="s">
        <v>1449</v>
      </c>
      <c r="C6121" s="25">
        <v>190080</v>
      </c>
      <c r="D6121" s="22" t="s">
        <v>7928</v>
      </c>
      <c r="E6121" s="22" t="s">
        <v>53</v>
      </c>
      <c r="F6121" s="23" t="str">
        <f>HYPERLINK("https://www.spark-marketing.ru/Card/Lot/71509625", "№2667 - аэф/т Поставка лекарственных препаратов (Вальпроевая кислота)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f>
        <v>№2667 - аэф/т Поставка лекарственных препаратов (Вальпроевая кислота)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v>
      </c>
      <c r="G6121" s="22" t="s">
        <v>956</v>
      </c>
      <c r="H6121" s="22" t="s">
        <v>1451</v>
      </c>
      <c r="I6121" s="26">
        <v>43635.730555555601</v>
      </c>
      <c r="J6121" s="23" t="str">
        <f>HYPERLINK("https://www.spark-marketing.ru/Card/Person/503084", "ООО ""ФАРМ-ИННОВАЦИИ""")</f>
        <v>ООО "ФАРМ-ИННОВАЦИИ"</v>
      </c>
      <c r="K6121" s="24" t="s">
        <v>2054</v>
      </c>
      <c r="L6121" s="22" t="s">
        <v>10</v>
      </c>
      <c r="M6121" s="28" t="s">
        <v>52</v>
      </c>
      <c r="N6121" s="28" t="s">
        <v>52</v>
      </c>
    </row>
    <row r="6122" spans="1:14" x14ac:dyDescent="0.15">
      <c r="A6122" s="23" t="str">
        <f t="shared" si="254"/>
        <v>ДЕПАРТАМЕНТ СМОЛЕНСКОЙ ОБЛАСТИ ПО ЗДРАВООХРАНЕНИЮ</v>
      </c>
      <c r="B6122" s="24" t="s">
        <v>1449</v>
      </c>
      <c r="C6122" s="25">
        <v>77548.800000000003</v>
      </c>
      <c r="D6122" s="22" t="s">
        <v>7929</v>
      </c>
      <c r="E6122" s="22" t="s">
        <v>53</v>
      </c>
      <c r="F6122" s="23" t="str">
        <f>HYPERLINK("https://www.spark-marketing.ru/Card/Lot/71507727", "№2665 - аэф/т Поставка лекарственных препаратов (Ривастигмин)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f>
        <v>№2665 - аэф/т Поставка лекарственных препаратов (Ривастигмин)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v>
      </c>
      <c r="G6122" s="22" t="s">
        <v>956</v>
      </c>
      <c r="H6122" s="22" t="s">
        <v>1451</v>
      </c>
      <c r="I6122" s="26">
        <v>43635.729861111096</v>
      </c>
      <c r="J6122" s="28" t="s">
        <v>52</v>
      </c>
      <c r="K6122" s="28" t="s">
        <v>52</v>
      </c>
      <c r="L6122" s="28" t="s">
        <v>52</v>
      </c>
      <c r="M6122" s="28" t="s">
        <v>52</v>
      </c>
      <c r="N6122" s="28" t="s">
        <v>52</v>
      </c>
    </row>
    <row r="6123" spans="1:14" x14ac:dyDescent="0.15">
      <c r="A6123" s="23" t="str">
        <f t="shared" si="254"/>
        <v>ДЕПАРТАМЕНТ СМОЛЕНСКОЙ ОБЛАСТИ ПО ЗДРАВООХРАНЕНИЮ</v>
      </c>
      <c r="B6123" s="24" t="s">
        <v>1449</v>
      </c>
      <c r="C6123" s="25">
        <v>71712</v>
      </c>
      <c r="D6123" s="22" t="s">
        <v>7930</v>
      </c>
      <c r="E6123" s="22" t="s">
        <v>53</v>
      </c>
      <c r="F6123" s="23" t="str">
        <f>HYPERLINK("https://www.spark-marketing.ru/Card/Lot/71507438", "№2664 - аэф/т Поставка лекарственных препаратов (Ривастигмин)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f>
        <v>№2664 - аэф/т Поставка лекарственных препаратов (Ривастигмин)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v>
      </c>
      <c r="G6123" s="22" t="s">
        <v>956</v>
      </c>
      <c r="H6123" s="22" t="s">
        <v>1451</v>
      </c>
      <c r="I6123" s="26">
        <v>43635.728472222203</v>
      </c>
      <c r="J6123" s="23" t="str">
        <f>HYPERLINK("https://www.spark-marketing.ru/Card/Person/4907096", "ООО ""ПРИБОРФАРМ""")</f>
        <v>ООО "ПРИБОРФАРМ"</v>
      </c>
      <c r="K6123" s="24" t="s">
        <v>2048</v>
      </c>
      <c r="L6123" s="28" t="s">
        <v>52</v>
      </c>
      <c r="M6123" s="28" t="s">
        <v>52</v>
      </c>
      <c r="N6123" s="28" t="s">
        <v>52</v>
      </c>
    </row>
    <row r="6124" spans="1:14" ht="12.75" hidden="1" outlineLevel="1" x14ac:dyDescent="0.2">
      <c r="A6124" s="23" t="str">
        <f t="shared" si="254"/>
        <v>ДЕПАРТАМЕНТ СМОЛЕНСКОЙ ОБЛАСТИ ПО ЗДРАВООХРАНЕНИЮ</v>
      </c>
      <c r="B6124" s="24" t="s">
        <v>1449</v>
      </c>
      <c r="C6124" s="25">
        <v>71712</v>
      </c>
      <c r="D6124" s="22" t="s">
        <v>7930</v>
      </c>
      <c r="E6124" s="22" t="s">
        <v>53</v>
      </c>
      <c r="F6124" s="23" t="str">
        <f>HYPERLINK("https://www.spark-marketing.ru/Card/Lot/71507438", "№2664 - аэф/т Поставка лекарственных препаратов (Ривастигмин)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f>
        <v>№2664 - аэф/т Поставка лекарственных препаратов (Ривастигмин)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v>
      </c>
      <c r="G6124" s="22" t="s">
        <v>956</v>
      </c>
      <c r="H6124" s="22" t="s">
        <v>1451</v>
      </c>
      <c r="I6124" s="26">
        <v>43635.728472222203</v>
      </c>
      <c r="J6124" s="23" t="str">
        <f>HYPERLINK("https://www.spark-marketing.ru/Card/Person/4907096", "ООО ""ПРИБОРФАРМ""")</f>
        <v>ООО "ПРИБОРФАРМ"</v>
      </c>
      <c r="K6124" s="24" t="s">
        <v>2048</v>
      </c>
      <c r="L6124" s="22" t="s">
        <v>10</v>
      </c>
      <c r="M6124" s="25">
        <v>71353.440000000002</v>
      </c>
      <c r="N6124" s="27">
        <v>5.0000000000000001E-3</v>
      </c>
    </row>
    <row r="6125" spans="1:14" x14ac:dyDescent="0.15">
      <c r="A6125" s="23" t="str">
        <f t="shared" si="254"/>
        <v>ДЕПАРТАМЕНТ СМОЛЕНСКОЙ ОБЛАСТИ ПО ЗДРАВООХРАНЕНИЮ</v>
      </c>
      <c r="B6125" s="24" t="s">
        <v>1449</v>
      </c>
      <c r="C6125" s="25">
        <v>644112</v>
      </c>
      <c r="D6125" s="22" t="s">
        <v>7931</v>
      </c>
      <c r="E6125" s="22" t="s">
        <v>53</v>
      </c>
      <c r="F6125" s="23" t="str">
        <f>HYPERLINK("https://www.spark-marketing.ru/Card/Lot/71512183", "№2668 - аэф/т Поставка лекарственных препаратов (Инфликсимаб)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f>
        <v>№2668 - аэф/т Поставка лекарственных препаратов (Инфликсимаб)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v>
      </c>
      <c r="G6125" s="22" t="s">
        <v>956</v>
      </c>
      <c r="H6125" s="22" t="s">
        <v>1451</v>
      </c>
      <c r="I6125" s="26">
        <v>43635.731249999997</v>
      </c>
      <c r="J6125" s="23" t="str">
        <f>HYPERLINK("https://www.spark-marketing.ru/Card/Person/5949914", "ООО ""ФАРМПРО""")</f>
        <v>ООО "ФАРМПРО"</v>
      </c>
      <c r="K6125" s="24" t="s">
        <v>2052</v>
      </c>
      <c r="L6125" s="22" t="s">
        <v>10</v>
      </c>
      <c r="M6125" s="28" t="s">
        <v>52</v>
      </c>
      <c r="N6125" s="28" t="s">
        <v>52</v>
      </c>
    </row>
    <row r="6126" spans="1:14" x14ac:dyDescent="0.15">
      <c r="A6126" s="23" t="str">
        <f t="shared" si="254"/>
        <v>ДЕПАРТАМЕНТ СМОЛЕНСКОЙ ОБЛАСТИ ПО ЗДРАВООХРАНЕНИЮ</v>
      </c>
      <c r="B6126" s="24" t="s">
        <v>1449</v>
      </c>
      <c r="C6126" s="25">
        <v>1639422</v>
      </c>
      <c r="D6126" s="22" t="s">
        <v>7932</v>
      </c>
      <c r="E6126" s="22" t="s">
        <v>53</v>
      </c>
      <c r="F6126" s="23" t="str">
        <f>HYPERLINK("https://www.spark-marketing.ru/Card/Lot/71513265", "№2673 - аэф/т Поставка лекарственных препаратов (Флутиказон)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f>
        <v>№2673 - аэф/т Поставка лекарственных препаратов (Флутиказон)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v>
      </c>
      <c r="G6126" s="22" t="s">
        <v>956</v>
      </c>
      <c r="H6126" s="22" t="s">
        <v>1451</v>
      </c>
      <c r="I6126" s="26">
        <v>43635.733333333301</v>
      </c>
      <c r="J6126" s="23" t="str">
        <f>HYPERLINK("https://www.spark-marketing.ru/Card/Person/6440681", "ООО ""МИД""")</f>
        <v>ООО "МИД"</v>
      </c>
      <c r="K6126" s="24" t="s">
        <v>7933</v>
      </c>
      <c r="L6126" s="22" t="s">
        <v>10</v>
      </c>
      <c r="M6126" s="28" t="s">
        <v>52</v>
      </c>
      <c r="N6126" s="28" t="s">
        <v>52</v>
      </c>
    </row>
    <row r="6127" spans="1:14" x14ac:dyDescent="0.15">
      <c r="A6127" s="23" t="str">
        <f t="shared" si="254"/>
        <v>ДЕПАРТАМЕНТ СМОЛЕНСКОЙ ОБЛАСТИ ПО ЗДРАВООХРАНЕНИЮ</v>
      </c>
      <c r="B6127" s="24" t="s">
        <v>1449</v>
      </c>
      <c r="C6127" s="25">
        <v>51975</v>
      </c>
      <c r="D6127" s="22" t="s">
        <v>7934</v>
      </c>
      <c r="E6127" s="22" t="s">
        <v>53</v>
      </c>
      <c r="F6127" s="23" t="str">
        <f>HYPERLINK("https://www.spark-marketing.ru/Card/Lot/71514105", "№2660 - аэф/т Поставка лекарственных препаратов (Микофенолата мофетил)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f>
        <v>№2660 - аэф/т Поставка лекарственных препаратов (Микофенолата мофетил)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v>
      </c>
      <c r="G6127" s="22" t="s">
        <v>956</v>
      </c>
      <c r="H6127" s="22" t="s">
        <v>1451</v>
      </c>
      <c r="I6127" s="26">
        <v>43635.728472222203</v>
      </c>
      <c r="J6127" s="23" t="str">
        <f>HYPERLINK("https://www.spark-marketing.ru/Card/Person/2504394", "ООО ""ФАРМАКТИВЫ КАПИТАЛ""")</f>
        <v>ООО "ФАРМАКТИВЫ КАПИТАЛ"</v>
      </c>
      <c r="K6127" s="24" t="s">
        <v>7935</v>
      </c>
      <c r="L6127" s="28" t="s">
        <v>52</v>
      </c>
      <c r="M6127" s="28" t="s">
        <v>52</v>
      </c>
      <c r="N6127" s="28" t="s">
        <v>52</v>
      </c>
    </row>
    <row r="6128" spans="1:14" ht="12.75" hidden="1" outlineLevel="1" x14ac:dyDescent="0.2">
      <c r="A6128" s="23" t="str">
        <f t="shared" si="254"/>
        <v>ДЕПАРТАМЕНТ СМОЛЕНСКОЙ ОБЛАСТИ ПО ЗДРАВООХРАНЕНИЮ</v>
      </c>
      <c r="B6128" s="24" t="s">
        <v>1449</v>
      </c>
      <c r="C6128" s="25">
        <v>51975</v>
      </c>
      <c r="D6128" s="22" t="s">
        <v>7934</v>
      </c>
      <c r="E6128" s="22" t="s">
        <v>53</v>
      </c>
      <c r="F6128" s="23" t="str">
        <f>HYPERLINK("https://www.spark-marketing.ru/Card/Lot/71514105", "№2660 - аэф/т Поставка лекарственных препаратов (Микофенолата мофетил)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f>
        <v>№2660 - аэф/т Поставка лекарственных препаратов (Микофенолата мофетил)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v>
      </c>
      <c r="G6128" s="22" t="s">
        <v>956</v>
      </c>
      <c r="H6128" s="22" t="s">
        <v>1451</v>
      </c>
      <c r="I6128" s="26">
        <v>43635.728472222203</v>
      </c>
      <c r="J6128" s="23" t="str">
        <f>HYPERLINK("https://www.spark-marketing.ru/Card/Person/2504394", "ООО ""ФАРМАКТИВЫ КАПИТАЛ""")</f>
        <v>ООО "ФАРМАКТИВЫ КАПИТАЛ"</v>
      </c>
      <c r="K6128" s="24" t="s">
        <v>7935</v>
      </c>
      <c r="L6128" s="22" t="s">
        <v>10</v>
      </c>
      <c r="M6128" s="25">
        <v>51715.12</v>
      </c>
      <c r="N6128" s="27">
        <v>5.0000962000961999E-3</v>
      </c>
    </row>
    <row r="6129" spans="1:14" x14ac:dyDescent="0.15">
      <c r="A6129" s="23" t="str">
        <f t="shared" si="254"/>
        <v>ДЕПАРТАМЕНТ СМОЛЕНСКОЙ ОБЛАСТИ ПО ЗДРАВООХРАНЕНИЮ</v>
      </c>
      <c r="B6129" s="24" t="s">
        <v>1449</v>
      </c>
      <c r="C6129" s="25">
        <v>512316</v>
      </c>
      <c r="D6129" s="22" t="s">
        <v>7936</v>
      </c>
      <c r="E6129" s="22" t="s">
        <v>53</v>
      </c>
      <c r="F6129" s="23" t="str">
        <f>HYPERLINK("https://www.spark-marketing.ru/Card/Lot/71511621", "№2659 - аэф/т Поставка лекарственных препаратов (Риоцигуат)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рецепт...")</f>
        <v>№2659 - аэф/т Поставка лекарственных препаратов (Риоцигуат)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рецепт...</v>
      </c>
      <c r="G6129" s="22" t="s">
        <v>956</v>
      </c>
      <c r="H6129" s="22" t="s">
        <v>1451</v>
      </c>
      <c r="I6129" s="26">
        <v>43635.729166666701</v>
      </c>
      <c r="J6129" s="23" t="str">
        <f>HYPERLINK("https://www.spark-marketing.ru/Card/Person/503084", "ООО ""ФАРМ-ИННОВАЦИИ""")</f>
        <v>ООО "ФАРМ-ИННОВАЦИИ"</v>
      </c>
      <c r="K6129" s="24" t="s">
        <v>2054</v>
      </c>
      <c r="L6129" s="28" t="s">
        <v>52</v>
      </c>
      <c r="M6129" s="28" t="s">
        <v>52</v>
      </c>
      <c r="N6129" s="28" t="s">
        <v>52</v>
      </c>
    </row>
    <row r="6130" spans="1:14" ht="12.75" hidden="1" outlineLevel="1" x14ac:dyDescent="0.2">
      <c r="A6130" s="23" t="str">
        <f t="shared" si="254"/>
        <v>ДЕПАРТАМЕНТ СМОЛЕНСКОЙ ОБЛАСТИ ПО ЗДРАВООХРАНЕНИЮ</v>
      </c>
      <c r="B6130" s="24" t="s">
        <v>1449</v>
      </c>
      <c r="C6130" s="25">
        <v>512316</v>
      </c>
      <c r="D6130" s="22" t="s">
        <v>7936</v>
      </c>
      <c r="E6130" s="22" t="s">
        <v>53</v>
      </c>
      <c r="F6130" s="23" t="str">
        <f>HYPERLINK("https://www.spark-marketing.ru/Card/Lot/71511621", "№2659 - аэф/т Поставка лекарственных препаратов (Риоцигуат)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рецепт...")</f>
        <v>№2659 - аэф/т Поставка лекарственных препаратов (Риоцигуат)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рецепт...</v>
      </c>
      <c r="G6130" s="22" t="s">
        <v>956</v>
      </c>
      <c r="H6130" s="22" t="s">
        <v>1451</v>
      </c>
      <c r="I6130" s="26">
        <v>43635.729166666701</v>
      </c>
      <c r="J6130" s="23" t="str">
        <f>HYPERLINK("https://www.spark-marketing.ru/Card/Person/503084", "ООО ""ФАРМ-ИННОВАЦИИ""")</f>
        <v>ООО "ФАРМ-ИННОВАЦИИ"</v>
      </c>
      <c r="K6130" s="24" t="s">
        <v>2054</v>
      </c>
      <c r="L6130" s="22" t="s">
        <v>10</v>
      </c>
      <c r="M6130" s="25">
        <v>509754.42</v>
      </c>
      <c r="N6130" s="27">
        <v>5.0000000000000001E-3</v>
      </c>
    </row>
    <row r="6131" spans="1:14" x14ac:dyDescent="0.15">
      <c r="A6131" s="23" t="str">
        <f t="shared" si="254"/>
        <v>ДЕПАРТАМЕНТ СМОЛЕНСКОЙ ОБЛАСТИ ПО ЗДРАВООХРАНЕНИЮ</v>
      </c>
      <c r="B6131" s="24" t="s">
        <v>1449</v>
      </c>
      <c r="C6131" s="25">
        <v>1967880</v>
      </c>
      <c r="D6131" s="22" t="s">
        <v>7937</v>
      </c>
      <c r="E6131" s="22" t="s">
        <v>53</v>
      </c>
      <c r="F6131" s="23" t="str">
        <f>HYPERLINK("https://www.spark-marketing.ru/Card/Lot/71513392", "№2669 - аэф/т Поставка лекарственных препаратов (Будесонид+Формотерол)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f>
        <v>№2669 - аэф/т Поставка лекарственных препаратов (Будесонид+Формотерол)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v>
      </c>
      <c r="G6131" s="22" t="s">
        <v>956</v>
      </c>
      <c r="H6131" s="22" t="s">
        <v>1451</v>
      </c>
      <c r="I6131" s="26">
        <v>43635.731249999997</v>
      </c>
      <c r="J6131" s="23" t="str">
        <f>HYPERLINK("https://www.spark-marketing.ru/Card/Person/6423974", "ООО ""МЕТРИКС""")</f>
        <v>ООО "МЕТРИКС"</v>
      </c>
      <c r="K6131" s="24" t="s">
        <v>7938</v>
      </c>
      <c r="L6131" s="28" t="s">
        <v>52</v>
      </c>
      <c r="M6131" s="28" t="s">
        <v>52</v>
      </c>
      <c r="N6131" s="28" t="s">
        <v>52</v>
      </c>
    </row>
    <row r="6132" spans="1:14" ht="12.75" hidden="1" outlineLevel="1" x14ac:dyDescent="0.2">
      <c r="A6132" s="23" t="str">
        <f t="shared" si="254"/>
        <v>ДЕПАРТАМЕНТ СМОЛЕНСКОЙ ОБЛАСТИ ПО ЗДРАВООХРАНЕНИЮ</v>
      </c>
      <c r="B6132" s="24" t="s">
        <v>1449</v>
      </c>
      <c r="C6132" s="25">
        <v>1967880</v>
      </c>
      <c r="D6132" s="22" t="s">
        <v>7937</v>
      </c>
      <c r="E6132" s="22" t="s">
        <v>53</v>
      </c>
      <c r="F6132" s="23" t="str">
        <f>HYPERLINK("https://www.spark-marketing.ru/Card/Lot/71513392", "№2669 - аэф/т Поставка лекарственных препаратов (Будесонид+Формотерол)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f>
        <v>№2669 - аэф/т Поставка лекарственных препаратов (Будесонид+Формотерол)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v>
      </c>
      <c r="G6132" s="22" t="s">
        <v>956</v>
      </c>
      <c r="H6132" s="22" t="s">
        <v>1451</v>
      </c>
      <c r="I6132" s="26">
        <v>43635.731249999997</v>
      </c>
      <c r="J6132" s="23" t="str">
        <f>HYPERLINK("https://www.spark-marketing.ru/Card/Person/6423974", "ООО ""МЕТРИКС""")</f>
        <v>ООО "МЕТРИКС"</v>
      </c>
      <c r="K6132" s="24" t="s">
        <v>7938</v>
      </c>
      <c r="L6132" s="22" t="s">
        <v>10</v>
      </c>
      <c r="M6132" s="25">
        <v>1958040.6</v>
      </c>
      <c r="N6132" s="27">
        <v>5.0000000000000001E-3</v>
      </c>
    </row>
    <row r="6133" spans="1:14" x14ac:dyDescent="0.15">
      <c r="A6133" s="23" t="str">
        <f t="shared" si="254"/>
        <v>ДЕПАРТАМЕНТ СМОЛЕНСКОЙ ОБЛАСТИ ПО ЗДРАВООХРАНЕНИЮ</v>
      </c>
      <c r="B6133" s="24" t="s">
        <v>1449</v>
      </c>
      <c r="C6133" s="25">
        <v>2481240</v>
      </c>
      <c r="D6133" s="22" t="s">
        <v>7939</v>
      </c>
      <c r="E6133" s="22" t="s">
        <v>53</v>
      </c>
      <c r="F6133" s="23" t="str">
        <f>HYPERLINK("https://www.spark-marketing.ru/Card/Lot/71513421", "№2671 - аэф/т Поставка лекарственных препаратов (Будесонид+Формотерол)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f>
        <v>№2671 - аэф/т Поставка лекарственных препаратов (Будесонид+Формотерол)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v>
      </c>
      <c r="G6133" s="22" t="s">
        <v>956</v>
      </c>
      <c r="H6133" s="22" t="s">
        <v>1451</v>
      </c>
      <c r="I6133" s="26">
        <v>43635.731249999997</v>
      </c>
      <c r="J6133" s="23" t="str">
        <f>HYPERLINK("https://www.spark-marketing.ru/Card/Person/6423974", "ООО ""МЕТРИКС""")</f>
        <v>ООО "МЕТРИКС"</v>
      </c>
      <c r="K6133" s="24" t="s">
        <v>7938</v>
      </c>
      <c r="L6133" s="28" t="s">
        <v>52</v>
      </c>
      <c r="M6133" s="28" t="s">
        <v>52</v>
      </c>
      <c r="N6133" s="28" t="s">
        <v>52</v>
      </c>
    </row>
    <row r="6134" spans="1:14" ht="12.75" hidden="1" outlineLevel="1" x14ac:dyDescent="0.2">
      <c r="A6134" s="23" t="str">
        <f t="shared" si="254"/>
        <v>ДЕПАРТАМЕНТ СМОЛЕНСКОЙ ОБЛАСТИ ПО ЗДРАВООХРАНЕНИЮ</v>
      </c>
      <c r="B6134" s="24" t="s">
        <v>1449</v>
      </c>
      <c r="C6134" s="25">
        <v>2481240</v>
      </c>
      <c r="D6134" s="22" t="s">
        <v>7939</v>
      </c>
      <c r="E6134" s="22" t="s">
        <v>53</v>
      </c>
      <c r="F6134" s="23" t="str">
        <f>HYPERLINK("https://www.spark-marketing.ru/Card/Lot/71513421", "№2671 - аэф/т Поставка лекарственных препаратов (Будесонид+Формотерол)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f>
        <v>№2671 - аэф/т Поставка лекарственных препаратов (Будесонид+Формотерол)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v>
      </c>
      <c r="G6134" s="22" t="s">
        <v>956</v>
      </c>
      <c r="H6134" s="22" t="s">
        <v>1451</v>
      </c>
      <c r="I6134" s="26">
        <v>43635.731249999997</v>
      </c>
      <c r="J6134" s="23" t="str">
        <f>HYPERLINK("https://www.spark-marketing.ru/Card/Person/6423974", "ООО ""МЕТРИКС""")</f>
        <v>ООО "МЕТРИКС"</v>
      </c>
      <c r="K6134" s="24" t="s">
        <v>7938</v>
      </c>
      <c r="L6134" s="22" t="s">
        <v>10</v>
      </c>
      <c r="M6134" s="25">
        <v>2468833.7999999998</v>
      </c>
      <c r="N6134" s="27">
        <v>5.0000000000000001E-3</v>
      </c>
    </row>
    <row r="6135" spans="1:14" x14ac:dyDescent="0.15">
      <c r="A6135" s="23" t="str">
        <f t="shared" si="254"/>
        <v>ДЕПАРТАМЕНТ СМОЛЕНСКОЙ ОБЛАСТИ ПО ЗДРАВООХРАНЕНИЮ</v>
      </c>
      <c r="B6135" s="24" t="s">
        <v>1449</v>
      </c>
      <c r="C6135" s="25">
        <v>49500</v>
      </c>
      <c r="D6135" s="22" t="s">
        <v>7940</v>
      </c>
      <c r="E6135" s="22" t="s">
        <v>53</v>
      </c>
      <c r="F6135" s="23" t="str">
        <f>HYPERLINK("https://www.spark-marketing.ru/Card/Lot/71514102", "№2663 - аэф/т Поставка лекарственных препаратов (Месалазин)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рецепт...")</f>
        <v>№2663 - аэф/т Поставка лекарственных препаратов (Месалазин)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рецепт...</v>
      </c>
      <c r="G6135" s="22" t="s">
        <v>956</v>
      </c>
      <c r="H6135" s="22" t="s">
        <v>1451</v>
      </c>
      <c r="I6135" s="26">
        <v>43635.7277777778</v>
      </c>
      <c r="J6135" s="28" t="s">
        <v>52</v>
      </c>
      <c r="K6135" s="28" t="s">
        <v>52</v>
      </c>
      <c r="L6135" s="28" t="s">
        <v>52</v>
      </c>
      <c r="M6135" s="28" t="s">
        <v>52</v>
      </c>
      <c r="N6135" s="28" t="s">
        <v>52</v>
      </c>
    </row>
    <row r="6136" spans="1:14" x14ac:dyDescent="0.15">
      <c r="A6136" s="23" t="str">
        <f>HYPERLINK("https://www.spark-marketing.ru/Card/Person/972256", "АО ""ЭКОТЕХНОЛОГИЯ""")</f>
        <v>АО "ЭКОТЕХНОЛОГИЯ"</v>
      </c>
      <c r="B6136" s="24" t="s">
        <v>7941</v>
      </c>
      <c r="C6136" s="25">
        <v>3112632</v>
      </c>
      <c r="D6136" s="22" t="s">
        <v>7942</v>
      </c>
      <c r="E6136" s="22" t="s">
        <v>144</v>
      </c>
      <c r="F6136" s="23" t="str">
        <f>HYPERLINK("https://www.spark-marketing.ru/Card/Lot/71502028", "Оказание охранных услуг")</f>
        <v>Оказание охранных услуг</v>
      </c>
      <c r="G6136" s="22" t="s">
        <v>311</v>
      </c>
      <c r="H6136" s="22" t="s">
        <v>311</v>
      </c>
      <c r="I6136" s="26">
        <v>43635.745196759301</v>
      </c>
      <c r="J6136" s="28" t="s">
        <v>52</v>
      </c>
      <c r="K6136" s="28" t="s">
        <v>52</v>
      </c>
      <c r="L6136" s="28" t="s">
        <v>52</v>
      </c>
      <c r="M6136" s="28" t="s">
        <v>52</v>
      </c>
      <c r="N6136" s="28" t="s">
        <v>52</v>
      </c>
    </row>
    <row r="6137" spans="1:14" x14ac:dyDescent="0.15">
      <c r="A6137" s="23" t="str">
        <f>HYPERLINK("https://www.spark-marketing.ru/Card/Person/4345935", "ДЕПАРТАМЕНТ СМОЛЕНСКОЙ ОБЛАСТИ ПО ЗДРАВООХРАНЕНИЮ")</f>
        <v>ДЕПАРТАМЕНТ СМОЛЕНСКОЙ ОБЛАСТИ ПО ЗДРАВООХРАНЕНИЮ</v>
      </c>
      <c r="B6137" s="24" t="s">
        <v>1449</v>
      </c>
      <c r="C6137" s="25">
        <v>96784</v>
      </c>
      <c r="D6137" s="22" t="s">
        <v>7943</v>
      </c>
      <c r="E6137" s="22" t="s">
        <v>53</v>
      </c>
      <c r="F6137" s="23" t="str">
        <f>HYPERLINK("https://www.spark-marketing.ru/Card/Lot/71507814", "№2658 - аэф/т Поставка лекарственных препаратов (Интерферон альфа-2б)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f>
        <v>№2658 - аэф/т Поставка лекарственных препаратов (Интерферон альфа-2б)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v>
      </c>
      <c r="G6137" s="22" t="s">
        <v>956</v>
      </c>
      <c r="H6137" s="22" t="s">
        <v>1451</v>
      </c>
      <c r="I6137" s="26">
        <v>43635.729166666701</v>
      </c>
      <c r="J6137" s="23" t="str">
        <f>HYPERLINK("https://www.spark-marketing.ru/Card/Person/18931", "ООО ""ЮНИЛЕК""")</f>
        <v>ООО "ЮНИЛЕК"</v>
      </c>
      <c r="K6137" s="24" t="s">
        <v>7158</v>
      </c>
      <c r="L6137" s="22" t="s">
        <v>10</v>
      </c>
      <c r="M6137" s="28" t="s">
        <v>52</v>
      </c>
      <c r="N6137" s="28" t="s">
        <v>52</v>
      </c>
    </row>
    <row r="6138" spans="1:14" x14ac:dyDescent="0.15">
      <c r="A6138" s="23" t="str">
        <f>HYPERLINK("https://www.spark-marketing.ru/Card/Person/4345935", "ДЕПАРТАМЕНТ СМОЛЕНСКОЙ ОБЛАСТИ ПО ЗДРАВООХРАНЕНИЮ")</f>
        <v>ДЕПАРТАМЕНТ СМОЛЕНСКОЙ ОБЛАСТИ ПО ЗДРАВООХРАНЕНИЮ</v>
      </c>
      <c r="B6138" s="24" t="s">
        <v>1449</v>
      </c>
      <c r="C6138" s="25">
        <v>283783.5</v>
      </c>
      <c r="D6138" s="22" t="s">
        <v>7944</v>
      </c>
      <c r="E6138" s="22" t="s">
        <v>53</v>
      </c>
      <c r="F6138" s="23" t="str">
        <f>HYPERLINK("https://www.spark-marketing.ru/Card/Lot/71511202", "№2661 - аэф/т Поставка лекарственных препаратов (Дапаглифлозин)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f>
        <v>№2661 - аэф/т Поставка лекарственных препаратов (Дапаглифлозин)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v>
      </c>
      <c r="G6138" s="22" t="s">
        <v>956</v>
      </c>
      <c r="H6138" s="22" t="s">
        <v>1451</v>
      </c>
      <c r="I6138" s="26">
        <v>43635.728472222203</v>
      </c>
      <c r="J6138" s="23" t="str">
        <f>HYPERLINK("https://www.spark-marketing.ru/Card/Person/6073224", "ООО ""ЛЕКСТОР""")</f>
        <v>ООО "ЛЕКСТОР"</v>
      </c>
      <c r="K6138" s="24" t="s">
        <v>7945</v>
      </c>
      <c r="L6138" s="22" t="s">
        <v>10</v>
      </c>
      <c r="M6138" s="28" t="s">
        <v>52</v>
      </c>
      <c r="N6138" s="28" t="s">
        <v>52</v>
      </c>
    </row>
    <row r="6139" spans="1:14" x14ac:dyDescent="0.15">
      <c r="A6139" s="23" t="str">
        <f>HYPERLINK("https://www.spark-marketing.ru/Card/Person/4345935", "ДЕПАРТАМЕНТ СМОЛЕНСКОЙ ОБЛАСТИ ПО ЗДРАВООХРАНЕНИЮ")</f>
        <v>ДЕПАРТАМЕНТ СМОЛЕНСКОЙ ОБЛАСТИ ПО ЗДРАВООХРАНЕНИЮ</v>
      </c>
      <c r="B6139" s="24" t="s">
        <v>1449</v>
      </c>
      <c r="C6139" s="25">
        <v>159534.1</v>
      </c>
      <c r="D6139" s="22" t="s">
        <v>7946</v>
      </c>
      <c r="E6139" s="22" t="s">
        <v>53</v>
      </c>
      <c r="F6139" s="23" t="str">
        <f>HYPERLINK("https://www.spark-marketing.ru/Card/Lot/71509981", "№2666 - аэф/т Поставка лекарственных препаратов (Эпоэтин бета)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f>
        <v>№2666 - аэф/т Поставка лекарственных препаратов (Эпоэтин бета)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v>
      </c>
      <c r="G6139" s="22" t="s">
        <v>956</v>
      </c>
      <c r="H6139" s="22" t="s">
        <v>1451</v>
      </c>
      <c r="I6139" s="26">
        <v>43635.730555555601</v>
      </c>
      <c r="J6139" s="23" t="str">
        <f>HYPERLINK("https://www.spark-marketing.ru/Card/Person/6153738", "ООО""КРОС-ФАРМ""")</f>
        <v>ООО"КРОС-ФАРМ"</v>
      </c>
      <c r="K6139" s="24" t="s">
        <v>7947</v>
      </c>
      <c r="L6139" s="28" t="s">
        <v>52</v>
      </c>
      <c r="M6139" s="28" t="s">
        <v>52</v>
      </c>
      <c r="N6139" s="28" t="s">
        <v>52</v>
      </c>
    </row>
    <row r="6140" spans="1:14" ht="12.75" hidden="1" outlineLevel="1" x14ac:dyDescent="0.2">
      <c r="A6140" s="23" t="str">
        <f>HYPERLINK("https://www.spark-marketing.ru/Card/Person/4345935", "ДЕПАРТАМЕНТ СМОЛЕНСКОЙ ОБЛАСТИ ПО ЗДРАВООХРАНЕНИЮ")</f>
        <v>ДЕПАРТАМЕНТ СМОЛЕНСКОЙ ОБЛАСТИ ПО ЗДРАВООХРАНЕНИЮ</v>
      </c>
      <c r="B6140" s="24" t="s">
        <v>1449</v>
      </c>
      <c r="C6140" s="25">
        <v>159534.1</v>
      </c>
      <c r="D6140" s="22" t="s">
        <v>7946</v>
      </c>
      <c r="E6140" s="22" t="s">
        <v>53</v>
      </c>
      <c r="F6140" s="23" t="str">
        <f>HYPERLINK("https://www.spark-marketing.ru/Card/Lot/71509981", "№2666 - аэф/т Поставка лекарственных препаратов (Эпоэтин бета)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f>
        <v>№2666 - аэф/т Поставка лекарственных препаратов (Эпоэтин бета)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v>
      </c>
      <c r="G6140" s="22" t="s">
        <v>956</v>
      </c>
      <c r="H6140" s="22" t="s">
        <v>1451</v>
      </c>
      <c r="I6140" s="26">
        <v>43635.730555555601</v>
      </c>
      <c r="J6140" s="23" t="str">
        <f>HYPERLINK("https://www.spark-marketing.ru/Card/Person/6153738", "ООО""КРОС-ФАРМ""")</f>
        <v>ООО"КРОС-ФАРМ"</v>
      </c>
      <c r="K6140" s="24" t="s">
        <v>7947</v>
      </c>
      <c r="L6140" s="22" t="s">
        <v>10</v>
      </c>
      <c r="M6140" s="25">
        <v>158736.43</v>
      </c>
      <c r="N6140" s="27">
        <v>4.9999968658738167E-3</v>
      </c>
    </row>
    <row r="6141" spans="1:14" x14ac:dyDescent="0.15">
      <c r="A6141" s="23" t="str">
        <f>HYPERLINK("https://www.spark-marketing.ru/Card/Person/4345935", "ДЕПАРТАМЕНТ СМОЛЕНСКОЙ ОБЛАСТИ ПО ЗДРАВООХРАНЕНИЮ")</f>
        <v>ДЕПАРТАМЕНТ СМОЛЕНСКОЙ ОБЛАСТИ ПО ЗДРАВООХРАНЕНИЮ</v>
      </c>
      <c r="B6141" s="24" t="s">
        <v>1449</v>
      </c>
      <c r="C6141" s="25">
        <v>1490983.2</v>
      </c>
      <c r="D6141" s="22" t="s">
        <v>7948</v>
      </c>
      <c r="E6141" s="22" t="s">
        <v>53</v>
      </c>
      <c r="F6141" s="23" t="str">
        <f>HYPERLINK("https://www.spark-marketing.ru/Card/Lot/71512775", "№2672 - аэф/т Поставка лекарственных препаратов (Ривароксабан)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f>
        <v>№2672 - аэф/т Поставка лекарственных препаратов (Ривароксабан)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v>
      </c>
      <c r="G6141" s="22" t="s">
        <v>956</v>
      </c>
      <c r="H6141" s="22" t="s">
        <v>1451</v>
      </c>
      <c r="I6141" s="26">
        <v>43635.7319444444</v>
      </c>
      <c r="J6141" s="23" t="str">
        <f>HYPERLINK("https://www.spark-marketing.ru/Card/Person/6073224", "ООО ""ЛЕКСТОР""")</f>
        <v>ООО "ЛЕКСТОР"</v>
      </c>
      <c r="K6141" s="24" t="s">
        <v>7945</v>
      </c>
      <c r="L6141" s="22" t="s">
        <v>10</v>
      </c>
      <c r="M6141" s="28" t="s">
        <v>52</v>
      </c>
      <c r="N6141" s="28" t="s">
        <v>52</v>
      </c>
    </row>
    <row r="6142" spans="1:14" x14ac:dyDescent="0.15">
      <c r="A6142" s="23" t="str">
        <f>HYPERLINK("https://www.spark-marketing.ru/Card/Person/5810", "ФКУЗ ""САНАТОРИЙ ""САЛЮТ"" МВД РОССИИ""")</f>
        <v>ФКУЗ "САНАТОРИЙ "САЛЮТ" МВД РОССИИ"</v>
      </c>
      <c r="B6142" s="24" t="s">
        <v>7949</v>
      </c>
      <c r="C6142" s="25">
        <v>134060</v>
      </c>
      <c r="D6142" s="22" t="s">
        <v>7950</v>
      </c>
      <c r="E6142" s="22" t="s">
        <v>59</v>
      </c>
      <c r="F6142" s="23" t="str">
        <f>HYPERLINK("https://www.spark-marketing.ru/Card/Lot/71509801", "установка оборудования автоматических систем охранной сигнализации корпуса № 4, видеонаблюдения корпуса № 3, технических помещений и диспетчерской гаража ФКУЗ ""Санаторий ""Салют"" МВД России""")</f>
        <v>установка оборудования автоматических систем охранной сигнализации корпуса № 4, видеонаблюдения корпуса № 3, технических помещений и диспетчерской гаража ФКУЗ "Санаторий "Салют" МВД России"</v>
      </c>
      <c r="G6142" s="22" t="s">
        <v>132</v>
      </c>
      <c r="H6142" s="22" t="s">
        <v>1126</v>
      </c>
      <c r="I6142" s="26">
        <v>43635.733333333301</v>
      </c>
      <c r="J6142" s="28" t="s">
        <v>52</v>
      </c>
      <c r="K6142" s="28" t="s">
        <v>52</v>
      </c>
      <c r="L6142" s="28" t="s">
        <v>52</v>
      </c>
      <c r="M6142" s="28" t="s">
        <v>52</v>
      </c>
      <c r="N6142" s="28" t="s">
        <v>52</v>
      </c>
    </row>
    <row r="6143" spans="1:14" ht="12.75" hidden="1" outlineLevel="1" x14ac:dyDescent="0.2">
      <c r="A6143" s="23" t="str">
        <f>HYPERLINK("https://www.spark-marketing.ru/Card/Person/5810", "ФКУЗ ""САНАТОРИЙ ""САЛЮТ"" МВД РОССИИ""")</f>
        <v>ФКУЗ "САНАТОРИЙ "САЛЮТ" МВД РОССИИ"</v>
      </c>
      <c r="B6143" s="24" t="s">
        <v>7949</v>
      </c>
      <c r="C6143" s="25">
        <v>134060</v>
      </c>
      <c r="D6143" s="22" t="s">
        <v>7950</v>
      </c>
      <c r="E6143" s="22" t="s">
        <v>59</v>
      </c>
      <c r="F6143" s="23" t="str">
        <f>HYPERLINK("https://www.spark-marketing.ru/Card/Lot/71509801", "установка оборудования автоматических систем охранной сигнализации корпуса № 4, видеонаблюдения корпуса № 3, технических помещений и диспетчерской гаража ФКУЗ ""Санаторий ""Салют"" МВД России""")</f>
        <v>установка оборудования автоматических систем охранной сигнализации корпуса № 4, видеонаблюдения корпуса № 3, технических помещений и диспетчерской гаража ФКУЗ "Санаторий "Салют" МВД России"</v>
      </c>
      <c r="G6143" s="22" t="s">
        <v>132</v>
      </c>
      <c r="H6143" s="22" t="s">
        <v>1126</v>
      </c>
      <c r="I6143" s="26">
        <v>43635.733333333301</v>
      </c>
      <c r="J6143" s="23" t="str">
        <f>HYPERLINK("https://www.spark-marketing.ru/Card/Person/66109", "ООО ""СТРЕЛЕЦ""")</f>
        <v>ООО "СТРЕЛЕЦ"</v>
      </c>
      <c r="K6143" s="24" t="s">
        <v>7951</v>
      </c>
      <c r="L6143" s="22" t="s">
        <v>10</v>
      </c>
      <c r="M6143" s="25">
        <v>116632.2</v>
      </c>
      <c r="N6143" s="27">
        <v>0.13</v>
      </c>
    </row>
    <row r="6144" spans="1:14" hidden="1" outlineLevel="1" x14ac:dyDescent="0.2">
      <c r="A6144" s="23" t="str">
        <f>HYPERLINK("https://www.spark-marketing.ru/Card/Person/5810", "ФКУЗ ""САНАТОРИЙ ""САЛЮТ"" МВД РОССИИ""")</f>
        <v>ФКУЗ "САНАТОРИЙ "САЛЮТ" МВД РОССИИ"</v>
      </c>
      <c r="B6144" s="24" t="s">
        <v>7949</v>
      </c>
      <c r="C6144" s="25">
        <v>134060</v>
      </c>
      <c r="D6144" s="22" t="s">
        <v>7950</v>
      </c>
      <c r="E6144" s="22" t="s">
        <v>59</v>
      </c>
      <c r="F6144" s="23" t="str">
        <f>HYPERLINK("https://www.spark-marketing.ru/Card/Lot/71509801", "установка оборудования автоматических систем охранной сигнализации корпуса № 4, видеонаблюдения корпуса № 3, технических помещений и диспетчерской гаража ФКУЗ ""Санаторий ""Салют"" МВД России""")</f>
        <v>установка оборудования автоматических систем охранной сигнализации корпуса № 4, видеонаблюдения корпуса № 3, технических помещений и диспетчерской гаража ФКУЗ "Санаторий "Салют" МВД России"</v>
      </c>
      <c r="G6144" s="22" t="s">
        <v>132</v>
      </c>
      <c r="H6144" s="22" t="s">
        <v>1126</v>
      </c>
      <c r="I6144" s="26">
        <v>43635.733333333301</v>
      </c>
      <c r="J6144" s="23" t="str">
        <f>HYPERLINK("https://www.spark-marketing.ru/Card/Person/6219965", "ООО ""ДОЗОР""")</f>
        <v>ООО "ДОЗОР"</v>
      </c>
      <c r="K6144" s="24" t="s">
        <v>7952</v>
      </c>
      <c r="L6144" s="28" t="s">
        <v>52</v>
      </c>
      <c r="M6144" s="25">
        <v>117302.5</v>
      </c>
      <c r="N6144" s="27">
        <v>0.125</v>
      </c>
    </row>
    <row r="6145" spans="1:14" x14ac:dyDescent="0.15">
      <c r="A6145" s="23" t="str">
        <f>HYPERLINK("https://www.spark-marketing.ru/Card/Person/4345935", "ДЕПАРТАМЕНТ СМОЛЕНСКОЙ ОБЛАСТИ ПО ЗДРАВООХРАНЕНИЮ")</f>
        <v>ДЕПАРТАМЕНТ СМОЛЕНСКОЙ ОБЛАСТИ ПО ЗДРАВООХРАНЕНИЮ</v>
      </c>
      <c r="B6145" s="24" t="s">
        <v>1449</v>
      </c>
      <c r="C6145" s="25">
        <v>1796760</v>
      </c>
      <c r="D6145" s="22" t="s">
        <v>7953</v>
      </c>
      <c r="E6145" s="22" t="s">
        <v>53</v>
      </c>
      <c r="F6145" s="23" t="str">
        <f>HYPERLINK("https://www.spark-marketing.ru/Card/Lot/71513312", "№2670 - аэф/т Поставка лекарственных препаратов (Будесонид+Формотерол)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f>
        <v>№2670 - аэф/т Поставка лекарственных препаратов (Будесонид+Формотерол)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v>
      </c>
      <c r="G6145" s="22" t="s">
        <v>956</v>
      </c>
      <c r="H6145" s="22" t="s">
        <v>1451</v>
      </c>
      <c r="I6145" s="26">
        <v>43635.730555555601</v>
      </c>
      <c r="J6145" s="23" t="str">
        <f>HYPERLINK("https://www.spark-marketing.ru/Card/Person/6423974", "ООО ""МЕТРИКС""")</f>
        <v>ООО "МЕТРИКС"</v>
      </c>
      <c r="K6145" s="24" t="s">
        <v>7938</v>
      </c>
      <c r="L6145" s="28" t="s">
        <v>52</v>
      </c>
      <c r="M6145" s="28" t="s">
        <v>52</v>
      </c>
      <c r="N6145" s="28" t="s">
        <v>52</v>
      </c>
    </row>
    <row r="6146" spans="1:14" ht="12.75" hidden="1" outlineLevel="1" x14ac:dyDescent="0.2">
      <c r="A6146" s="23" t="str">
        <f>HYPERLINK("https://www.spark-marketing.ru/Card/Person/4345935", "ДЕПАРТАМЕНТ СМОЛЕНСКОЙ ОБЛАСТИ ПО ЗДРАВООХРАНЕНИЮ")</f>
        <v>ДЕПАРТАМЕНТ СМОЛЕНСКОЙ ОБЛАСТИ ПО ЗДРАВООХРАНЕНИЮ</v>
      </c>
      <c r="B6146" s="24" t="s">
        <v>1449</v>
      </c>
      <c r="C6146" s="25">
        <v>1796760</v>
      </c>
      <c r="D6146" s="22" t="s">
        <v>7953</v>
      </c>
      <c r="E6146" s="22" t="s">
        <v>53</v>
      </c>
      <c r="F6146" s="23" t="str">
        <f>HYPERLINK("https://www.spark-marketing.ru/Card/Lot/71513312", "№2670 - аэф/т Поставка лекарственных препаратов (Будесонид+Формотерол)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f>
        <v>№2670 - аэф/т Поставка лекарственных препаратов (Будесонид+Формотерол)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v>
      </c>
      <c r="G6146" s="22" t="s">
        <v>956</v>
      </c>
      <c r="H6146" s="22" t="s">
        <v>1451</v>
      </c>
      <c r="I6146" s="26">
        <v>43635.730555555601</v>
      </c>
      <c r="J6146" s="23" t="str">
        <f>HYPERLINK("https://www.spark-marketing.ru/Card/Person/6423974", "ООО ""МЕТРИКС""")</f>
        <v>ООО "МЕТРИКС"</v>
      </c>
      <c r="K6146" s="24" t="s">
        <v>7938</v>
      </c>
      <c r="L6146" s="22" t="s">
        <v>10</v>
      </c>
      <c r="M6146" s="25">
        <v>1787776.2</v>
      </c>
      <c r="N6146" s="27">
        <v>5.0000000000000001E-3</v>
      </c>
    </row>
    <row r="6147" spans="1:14" x14ac:dyDescent="0.15">
      <c r="A6147" s="23" t="str">
        <f>HYPERLINK("https://www.spark-marketing.ru/Card/Person/601568", "ЯРОСЛАВСКИЙ МУЗЕЙ-ЗАПОВЕДНИК")</f>
        <v>ЯРОСЛАВСКИЙ МУЗЕЙ-ЗАПОВЕДНИК</v>
      </c>
      <c r="B6147" s="24" t="s">
        <v>2482</v>
      </c>
      <c r="C6147" s="25">
        <v>899487.28</v>
      </c>
      <c r="D6147" s="22" t="s">
        <v>7954</v>
      </c>
      <c r="E6147" s="22" t="s">
        <v>144</v>
      </c>
      <c r="F6147" s="23" t="str">
        <f>HYPERLINK("https://www.spark-marketing.ru/Card/Lot/71502275", "услуги по охране объектов музея-заповедника (Собинов, МБС)")</f>
        <v>услуги по охране объектов музея-заповедника (Собинов, МБС)</v>
      </c>
      <c r="G6147" s="22" t="s">
        <v>155</v>
      </c>
      <c r="H6147" s="22" t="s">
        <v>155</v>
      </c>
      <c r="I6147" s="26">
        <v>43635.692916666703</v>
      </c>
      <c r="J6147" s="28" t="s">
        <v>52</v>
      </c>
      <c r="K6147" s="28" t="s">
        <v>52</v>
      </c>
      <c r="L6147" s="28" t="s">
        <v>52</v>
      </c>
      <c r="M6147" s="28" t="s">
        <v>52</v>
      </c>
      <c r="N6147" s="28" t="s">
        <v>52</v>
      </c>
    </row>
    <row r="6148" spans="1:14" x14ac:dyDescent="0.15">
      <c r="A6148" s="23" t="str">
        <f>HYPERLINK("https://www.spark-marketing.ru/Card/Person/4924823", "СРЕДНЕРУССКИЙ БАНК ПАО СБЕРБАНК")</f>
        <v>СРЕДНЕРУССКИЙ БАНК ПАО СБЕРБАНК</v>
      </c>
      <c r="B6148" s="28" t="s">
        <v>52</v>
      </c>
      <c r="C6148" s="25">
        <v>16621440</v>
      </c>
      <c r="D6148" s="22" t="s">
        <v>7955</v>
      </c>
      <c r="E6148" s="22" t="s">
        <v>53</v>
      </c>
      <c r="F6148" s="23" t="str">
        <f>HYPERLINK("https://www.spark-marketing.ru/Card/Lot/71548066", "Оказание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Рязанского Головного отделения")</f>
        <v>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Рязанского Головного отделения</v>
      </c>
      <c r="G6148" s="22" t="s">
        <v>52</v>
      </c>
      <c r="H6148" s="22" t="s">
        <v>52</v>
      </c>
      <c r="I6148" s="26">
        <v>43635.697222222203</v>
      </c>
      <c r="J6148" s="28" t="s">
        <v>52</v>
      </c>
      <c r="K6148" s="28" t="s">
        <v>52</v>
      </c>
      <c r="L6148" s="28" t="s">
        <v>52</v>
      </c>
      <c r="M6148" s="28" t="s">
        <v>52</v>
      </c>
      <c r="N6148" s="28" t="s">
        <v>52</v>
      </c>
    </row>
    <row r="6149" spans="1:14" x14ac:dyDescent="0.15">
      <c r="A6149" s="23" t="str">
        <f>HYPERLINK("https://www.spark-marketing.ru/Card/Person/4924823", "СРЕДНЕРУССКИЙ БАНК ПАО СБЕРБАНК")</f>
        <v>СРЕДНЕРУССКИЙ БАНК ПАО СБЕРБАНК</v>
      </c>
      <c r="B6149" s="28" t="s">
        <v>52</v>
      </c>
      <c r="C6149" s="25">
        <v>16621440</v>
      </c>
      <c r="D6149" s="22" t="s">
        <v>7955</v>
      </c>
      <c r="E6149" s="22" t="s">
        <v>53</v>
      </c>
      <c r="F6149" s="23" t="str">
        <f>HYPERLINK("https://www.spark-marketing.ru/Card/Lot/71548065", "Оказание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Брянского Головного отделения")</f>
        <v>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Брянского Головного отделения</v>
      </c>
      <c r="G6149" s="22" t="s">
        <v>52</v>
      </c>
      <c r="H6149" s="22" t="s">
        <v>52</v>
      </c>
      <c r="I6149" s="26">
        <v>43635.697222222203</v>
      </c>
      <c r="J6149" s="28" t="s">
        <v>52</v>
      </c>
      <c r="K6149" s="28" t="s">
        <v>52</v>
      </c>
      <c r="L6149" s="28" t="s">
        <v>52</v>
      </c>
      <c r="M6149" s="28" t="s">
        <v>52</v>
      </c>
      <c r="N6149" s="28" t="s">
        <v>52</v>
      </c>
    </row>
    <row r="6150" spans="1:14" x14ac:dyDescent="0.15">
      <c r="A6150" s="23" t="str">
        <f>HYPERLINK("https://www.spark-marketing.ru/Card/Person/4348584", "АО ""АТОМ-ОХРАНА""")</f>
        <v>АО "АТОМ-ОХРАНА"</v>
      </c>
      <c r="B6150" s="24" t="s">
        <v>1036</v>
      </c>
      <c r="C6150" s="28" t="s">
        <v>52</v>
      </c>
      <c r="D6150" s="22" t="s">
        <v>7956</v>
      </c>
      <c r="E6150" s="22" t="s">
        <v>3281</v>
      </c>
      <c r="F6150" s="23" t="str">
        <f>HYPERLINK("https://www.spark-marketing.ru/Card/Lot/71510197", "поставка форменной обуви для работников ФГУП «Атом-охрана» в 2019-2021 годах")</f>
        <v>поставка форменной обуви для работников ФГУП «Атом-охрана» в 2019-2021 годах</v>
      </c>
      <c r="G6150" s="22" t="s">
        <v>55</v>
      </c>
      <c r="H6150" s="22" t="s">
        <v>55</v>
      </c>
      <c r="I6150" s="26">
        <v>43635.685335648202</v>
      </c>
      <c r="J6150" s="28" t="s">
        <v>52</v>
      </c>
      <c r="K6150" s="28" t="s">
        <v>52</v>
      </c>
      <c r="L6150" s="28" t="s">
        <v>52</v>
      </c>
      <c r="M6150" s="28" t="s">
        <v>52</v>
      </c>
      <c r="N6150" s="28" t="s">
        <v>52</v>
      </c>
    </row>
    <row r="6151" spans="1:14" x14ac:dyDescent="0.15">
      <c r="A6151" s="23" t="str">
        <f t="shared" ref="A6151:A6158" si="255">HYPERLINK("https://www.spark-marketing.ru/Card/Person/1026950", "СОГБУ ""НИКОЛЬСКИЙ ПНИ""")</f>
        <v>СОГБУ "НИКОЛЬСКИЙ ПНИ"</v>
      </c>
      <c r="B6151" s="24" t="s">
        <v>7957</v>
      </c>
      <c r="C6151" s="25">
        <v>299894.67</v>
      </c>
      <c r="D6151" s="22" t="s">
        <v>7958</v>
      </c>
      <c r="E6151" s="22" t="s">
        <v>84</v>
      </c>
      <c r="F6151" s="23" t="str">
        <f t="shared" ref="F6151:F6158" si="256">HYPERLINK("https://www.spark-marketing.ru/Card/Lot/71511030", "0667-аэф/у Оказание услуг по монтажу, установке системы видеонаблюдения с оборудованием исполнителя для нужд СОГБУ «Никольский ПНИ»")</f>
        <v>0667-аэф/у Оказание услуг по монтажу, установке системы видеонаблюдения с оборудованием исполнителя для нужд СОГБУ «Никольский ПНИ»</v>
      </c>
      <c r="G6151" s="22" t="s">
        <v>956</v>
      </c>
      <c r="H6151" s="22" t="s">
        <v>7959</v>
      </c>
      <c r="I6151" s="26">
        <v>43635.685416666704</v>
      </c>
      <c r="J6151" s="28" t="s">
        <v>52</v>
      </c>
      <c r="K6151" s="28" t="s">
        <v>52</v>
      </c>
      <c r="L6151" s="28" t="s">
        <v>52</v>
      </c>
      <c r="M6151" s="28" t="s">
        <v>52</v>
      </c>
      <c r="N6151" s="28" t="s">
        <v>52</v>
      </c>
    </row>
    <row r="6152" spans="1:14" hidden="1" outlineLevel="1" x14ac:dyDescent="0.2">
      <c r="A6152" s="23" t="str">
        <f t="shared" si="255"/>
        <v>СОГБУ "НИКОЛЬСКИЙ ПНИ"</v>
      </c>
      <c r="B6152" s="24" t="s">
        <v>7957</v>
      </c>
      <c r="C6152" s="25">
        <v>299894.67</v>
      </c>
      <c r="D6152" s="22" t="s">
        <v>7958</v>
      </c>
      <c r="E6152" s="22" t="s">
        <v>84</v>
      </c>
      <c r="F6152" s="23" t="str">
        <f t="shared" si="256"/>
        <v>0667-аэф/у Оказание услуг по монтажу, установке системы видеонаблюдения с оборудованием исполнителя для нужд СОГБУ «Никольский ПНИ»</v>
      </c>
      <c r="G6152" s="22" t="s">
        <v>956</v>
      </c>
      <c r="H6152" s="22" t="s">
        <v>7959</v>
      </c>
      <c r="I6152" s="26">
        <v>43635.685416666704</v>
      </c>
      <c r="J6152" s="23" t="str">
        <f>HYPERLINK("https://www.spark-marketing.ru/Card/Person/6528226", "ООО ""ТОТ КИП""")</f>
        <v>ООО "ТОТ КИП"</v>
      </c>
      <c r="K6152" s="24" t="s">
        <v>7960</v>
      </c>
      <c r="L6152" s="28" t="s">
        <v>52</v>
      </c>
      <c r="M6152" s="25">
        <v>255501.59</v>
      </c>
      <c r="N6152" s="27">
        <v>0.14802890628232906</v>
      </c>
    </row>
    <row r="6153" spans="1:14" hidden="1" outlineLevel="1" x14ac:dyDescent="0.2">
      <c r="A6153" s="23" t="str">
        <f t="shared" si="255"/>
        <v>СОГБУ "НИКОЛЬСКИЙ ПНИ"</v>
      </c>
      <c r="B6153" s="24" t="s">
        <v>7957</v>
      </c>
      <c r="C6153" s="25">
        <v>299894.67</v>
      </c>
      <c r="D6153" s="22" t="s">
        <v>7958</v>
      </c>
      <c r="E6153" s="22" t="s">
        <v>84</v>
      </c>
      <c r="F6153" s="23" t="str">
        <f t="shared" si="256"/>
        <v>0667-аэф/у Оказание услуг по монтажу, установке системы видеонаблюдения с оборудованием исполнителя для нужд СОГБУ «Никольский ПНИ»</v>
      </c>
      <c r="G6153" s="22" t="s">
        <v>956</v>
      </c>
      <c r="H6153" s="22" t="s">
        <v>7959</v>
      </c>
      <c r="I6153" s="26">
        <v>43635.685416666704</v>
      </c>
      <c r="J6153" s="23" t="str">
        <f>HYPERLINK("https://www.spark-marketing.ru/Card/Person/55073", "ООО ""ЧОП""ДЕЛЬТА-С""")</f>
        <v>ООО "ЧОП"ДЕЛЬТА-С"</v>
      </c>
      <c r="K6153" s="24" t="s">
        <v>7961</v>
      </c>
      <c r="L6153" s="28" t="s">
        <v>52</v>
      </c>
      <c r="M6153" s="25">
        <v>278505.8</v>
      </c>
      <c r="N6153" s="27">
        <v>7.1321274232716433E-2</v>
      </c>
    </row>
    <row r="6154" spans="1:14" hidden="1" outlineLevel="1" x14ac:dyDescent="0.2">
      <c r="A6154" s="23" t="str">
        <f t="shared" si="255"/>
        <v>СОГБУ "НИКОЛЬСКИЙ ПНИ"</v>
      </c>
      <c r="B6154" s="24" t="s">
        <v>7957</v>
      </c>
      <c r="C6154" s="25">
        <v>299894.67</v>
      </c>
      <c r="D6154" s="22" t="s">
        <v>7958</v>
      </c>
      <c r="E6154" s="22" t="s">
        <v>84</v>
      </c>
      <c r="F6154" s="23" t="str">
        <f t="shared" si="256"/>
        <v>0667-аэф/у Оказание услуг по монтажу, установке системы видеонаблюдения с оборудованием исполнителя для нужд СОГБУ «Никольский ПНИ»</v>
      </c>
      <c r="G6154" s="22" t="s">
        <v>956</v>
      </c>
      <c r="H6154" s="22" t="s">
        <v>7959</v>
      </c>
      <c r="I6154" s="26">
        <v>43635.685416666704</v>
      </c>
      <c r="J6154" s="23" t="str">
        <f>HYPERLINK("https://www.spark-marketing.ru/Card/Person/1978824", "ООО ""АЛЕКС-ПРОФИ"" ОХРАННЫЕ СИСТЕМЫ""")</f>
        <v>ООО "АЛЕКС-ПРОФИ" ОХРАННЫЕ СИСТЕМЫ"</v>
      </c>
      <c r="K6154" s="24" t="s">
        <v>7962</v>
      </c>
      <c r="L6154" s="28" t="s">
        <v>52</v>
      </c>
      <c r="M6154" s="25">
        <v>221013.72</v>
      </c>
      <c r="N6154" s="27">
        <v>0.26302884942903454</v>
      </c>
    </row>
    <row r="6155" spans="1:14" hidden="1" outlineLevel="1" x14ac:dyDescent="0.2">
      <c r="A6155" s="23" t="str">
        <f t="shared" si="255"/>
        <v>СОГБУ "НИКОЛЬСКИЙ ПНИ"</v>
      </c>
      <c r="B6155" s="24" t="s">
        <v>7957</v>
      </c>
      <c r="C6155" s="25">
        <v>299894.67</v>
      </c>
      <c r="D6155" s="22" t="s">
        <v>7958</v>
      </c>
      <c r="E6155" s="22" t="s">
        <v>84</v>
      </c>
      <c r="F6155" s="23" t="str">
        <f t="shared" si="256"/>
        <v>0667-аэф/у Оказание услуг по монтажу, установке системы видеонаблюдения с оборудованием исполнителя для нужд СОГБУ «Никольский ПНИ»</v>
      </c>
      <c r="G6155" s="22" t="s">
        <v>956</v>
      </c>
      <c r="H6155" s="22" t="s">
        <v>7959</v>
      </c>
      <c r="I6155" s="26">
        <v>43635.685416666704</v>
      </c>
      <c r="J6155" s="23" t="str">
        <f>HYPERLINK("https://www.spark-marketing.ru/Card/Person/843573", "ООО ""ЯСТРЕБ-МОНТАЖ""")</f>
        <v>ООО "ЯСТРЕБ-МОНТАЖ"</v>
      </c>
      <c r="K6155" s="24" t="s">
        <v>7963</v>
      </c>
      <c r="L6155" s="28" t="s">
        <v>52</v>
      </c>
      <c r="M6155" s="25">
        <v>298395</v>
      </c>
      <c r="N6155" s="27">
        <v>5.000655730226883E-3</v>
      </c>
    </row>
    <row r="6156" spans="1:14" hidden="1" outlineLevel="1" x14ac:dyDescent="0.2">
      <c r="A6156" s="23" t="str">
        <f t="shared" si="255"/>
        <v>СОГБУ "НИКОЛЬСКИЙ ПНИ"</v>
      </c>
      <c r="B6156" s="24" t="s">
        <v>7957</v>
      </c>
      <c r="C6156" s="25">
        <v>299894.67</v>
      </c>
      <c r="D6156" s="22" t="s">
        <v>7958</v>
      </c>
      <c r="E6156" s="22" t="s">
        <v>84</v>
      </c>
      <c r="F6156" s="23" t="str">
        <f t="shared" si="256"/>
        <v>0667-аэф/у Оказание услуг по монтажу, установке системы видеонаблюдения с оборудованием исполнителя для нужд СОГБУ «Никольский ПНИ»</v>
      </c>
      <c r="G6156" s="22" t="s">
        <v>956</v>
      </c>
      <c r="H6156" s="22" t="s">
        <v>7959</v>
      </c>
      <c r="I6156" s="26">
        <v>43635.685416666704</v>
      </c>
      <c r="J6156" s="23" t="str">
        <f>HYPERLINK("https://www.spark-marketing.ru/Card/Person/6260794", "ООО ""МОБИЛЬ СВЯЗЬ""")</f>
        <v>ООО "МОБИЛЬ СВЯЗЬ"</v>
      </c>
      <c r="K6156" s="24" t="s">
        <v>6775</v>
      </c>
      <c r="L6156" s="28" t="s">
        <v>52</v>
      </c>
      <c r="M6156" s="25">
        <v>201520.58</v>
      </c>
      <c r="N6156" s="27">
        <v>0.32802880424650427</v>
      </c>
    </row>
    <row r="6157" spans="1:14" ht="12.75" hidden="1" outlineLevel="1" x14ac:dyDescent="0.2">
      <c r="A6157" s="23" t="str">
        <f t="shared" si="255"/>
        <v>СОГБУ "НИКОЛЬСКИЙ ПНИ"</v>
      </c>
      <c r="B6157" s="24" t="s">
        <v>7957</v>
      </c>
      <c r="C6157" s="25">
        <v>299894.67</v>
      </c>
      <c r="D6157" s="22" t="s">
        <v>7958</v>
      </c>
      <c r="E6157" s="22" t="s">
        <v>84</v>
      </c>
      <c r="F6157" s="23" t="str">
        <f t="shared" si="256"/>
        <v>0667-аэф/у Оказание услуг по монтажу, установке системы видеонаблюдения с оборудованием исполнителя для нужд СОГБУ «Никольский ПНИ»</v>
      </c>
      <c r="G6157" s="22" t="s">
        <v>956</v>
      </c>
      <c r="H6157" s="22" t="s">
        <v>7959</v>
      </c>
      <c r="I6157" s="26">
        <v>43635.685416666704</v>
      </c>
      <c r="J6157" s="23" t="str">
        <f>HYPERLINK("https://www.spark-marketing.ru/Card/Person/6434759", "ООО ""ВЕКТОР""")</f>
        <v>ООО "ВЕКТОР"</v>
      </c>
      <c r="K6157" s="24" t="s">
        <v>7964</v>
      </c>
      <c r="L6157" s="22" t="s">
        <v>10</v>
      </c>
      <c r="M6157" s="25">
        <v>164002.12</v>
      </c>
      <c r="N6157" s="27">
        <v>0.45313426210609209</v>
      </c>
    </row>
    <row r="6158" spans="1:14" hidden="1" outlineLevel="1" x14ac:dyDescent="0.2">
      <c r="A6158" s="23" t="str">
        <f t="shared" si="255"/>
        <v>СОГБУ "НИКОЛЬСКИЙ ПНИ"</v>
      </c>
      <c r="B6158" s="24" t="s">
        <v>7957</v>
      </c>
      <c r="C6158" s="25">
        <v>299894.67</v>
      </c>
      <c r="D6158" s="22" t="s">
        <v>7958</v>
      </c>
      <c r="E6158" s="22" t="s">
        <v>84</v>
      </c>
      <c r="F6158" s="23" t="str">
        <f t="shared" si="256"/>
        <v>0667-аэф/у Оказание услуг по монтажу, установке системы видеонаблюдения с оборудованием исполнителя для нужд СОГБУ «Никольский ПНИ»</v>
      </c>
      <c r="G6158" s="22" t="s">
        <v>956</v>
      </c>
      <c r="H6158" s="22" t="s">
        <v>7959</v>
      </c>
      <c r="I6158" s="26">
        <v>43635.685416666704</v>
      </c>
      <c r="J6158" s="23" t="str">
        <f>HYPERLINK("https://www.spark-marketing.ru/Card/Person/18325", "ООО ЧОП ""ПЕРЕСВЕТ-СБ""")</f>
        <v>ООО ЧОП "ПЕРЕСВЕТ-СБ"</v>
      </c>
      <c r="K6158" s="24" t="s">
        <v>7965</v>
      </c>
      <c r="L6158" s="28" t="s">
        <v>52</v>
      </c>
      <c r="M6158" s="25">
        <v>165501.59</v>
      </c>
      <c r="N6158" s="27">
        <v>0.44813427327668076</v>
      </c>
    </row>
    <row r="6159" spans="1:14" x14ac:dyDescent="0.15">
      <c r="A6159" s="23" t="str">
        <f>HYPERLINK("https://www.spark-marketing.ru/Card/Person/4924823", "СРЕДНЕРУССКИЙ БАНК ПАО СБЕРБАНК")</f>
        <v>СРЕДНЕРУССКИЙ БАНК ПАО СБЕРБАНК</v>
      </c>
      <c r="B6159" s="28" t="s">
        <v>52</v>
      </c>
      <c r="C6159" s="25">
        <v>16621440</v>
      </c>
      <c r="D6159" s="22" t="s">
        <v>7955</v>
      </c>
      <c r="E6159" s="22" t="s">
        <v>53</v>
      </c>
      <c r="F6159" s="23" t="str">
        <f>HYPERLINK("https://www.spark-marketing.ru/Card/Lot/71548067", "Оказание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Ивановского Головного отделения")</f>
        <v>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Ивановского Головного отделения</v>
      </c>
      <c r="G6159" s="22" t="s">
        <v>52</v>
      </c>
      <c r="H6159" s="22" t="s">
        <v>52</v>
      </c>
      <c r="I6159" s="26">
        <v>43635.697222222203</v>
      </c>
      <c r="J6159" s="28" t="s">
        <v>52</v>
      </c>
      <c r="K6159" s="28" t="s">
        <v>52</v>
      </c>
      <c r="L6159" s="28" t="s">
        <v>52</v>
      </c>
      <c r="M6159" s="28" t="s">
        <v>52</v>
      </c>
      <c r="N6159" s="28" t="s">
        <v>52</v>
      </c>
    </row>
    <row r="6160" spans="1:14" x14ac:dyDescent="0.15">
      <c r="A6160" s="23" t="str">
        <f>HYPERLINK("https://www.spark-marketing.ru/Card/Person/601568", "ЯРОСЛАВСКИЙ МУЗЕЙ-ЗАПОВЕДНИК")</f>
        <v>ЯРОСЛАВСКИЙ МУЗЕЙ-ЗАПОВЕДНИК</v>
      </c>
      <c r="B6160" s="24" t="s">
        <v>2482</v>
      </c>
      <c r="C6160" s="25">
        <v>1313766.02</v>
      </c>
      <c r="D6160" s="22" t="s">
        <v>7966</v>
      </c>
      <c r="E6160" s="22" t="s">
        <v>7967</v>
      </c>
      <c r="F6160" s="23" t="str">
        <f>HYPERLINK("https://www.spark-marketing.ru/Card/Lot/71502375", "Услуги по охране объектов Ярославского музея-заповедника")</f>
        <v>Услуги по охране объектов Ярославского музея-заповедника</v>
      </c>
      <c r="G6160" s="22" t="s">
        <v>155</v>
      </c>
      <c r="H6160" s="22" t="s">
        <v>155</v>
      </c>
      <c r="I6160" s="26">
        <v>43635.687916666699</v>
      </c>
      <c r="J6160" s="28" t="s">
        <v>52</v>
      </c>
      <c r="K6160" s="28" t="s">
        <v>52</v>
      </c>
      <c r="L6160" s="28" t="s">
        <v>52</v>
      </c>
      <c r="M6160" s="28" t="s">
        <v>52</v>
      </c>
      <c r="N6160" s="28" t="s">
        <v>52</v>
      </c>
    </row>
    <row r="6161" spans="1:14" x14ac:dyDescent="0.15">
      <c r="A6161" s="23" t="str">
        <f>HYPERLINK("https://www.spark-marketing.ru/Card/Person/4924823", "СРЕДНЕРУССКИЙ БАНК ПАО СБЕРБАНК")</f>
        <v>СРЕДНЕРУССКИЙ БАНК ПАО СБЕРБАНК</v>
      </c>
      <c r="B6161" s="28" t="s">
        <v>52</v>
      </c>
      <c r="C6161" s="25">
        <v>16621440</v>
      </c>
      <c r="D6161" s="22" t="s">
        <v>7955</v>
      </c>
      <c r="E6161" s="22" t="s">
        <v>53</v>
      </c>
      <c r="F6161" s="23" t="str">
        <f>HYPERLINK("https://www.spark-marketing.ru/Card/Lot/71548068", "Оказание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Костромского Головного отделения")</f>
        <v>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Костромского Головного отделения</v>
      </c>
      <c r="G6161" s="22" t="s">
        <v>52</v>
      </c>
      <c r="H6161" s="22" t="s">
        <v>52</v>
      </c>
      <c r="I6161" s="26">
        <v>43635.697222222203</v>
      </c>
      <c r="J6161" s="28" t="s">
        <v>52</v>
      </c>
      <c r="K6161" s="28" t="s">
        <v>52</v>
      </c>
      <c r="L6161" s="28" t="s">
        <v>52</v>
      </c>
      <c r="M6161" s="28" t="s">
        <v>52</v>
      </c>
      <c r="N6161" s="28" t="s">
        <v>52</v>
      </c>
    </row>
    <row r="6162" spans="1:14" x14ac:dyDescent="0.2">
      <c r="A6162" s="23" t="str">
        <f>HYPERLINK("https://www.spark-marketing.ru/Card/Person/1744023", "АО ""РОСОБОРОНЭКСПОРТ""")</f>
        <v>АО "РОСОБОРОНЭКСПОРТ"</v>
      </c>
      <c r="B6162" s="24" t="s">
        <v>7968</v>
      </c>
      <c r="C6162" s="25">
        <v>1400397.84</v>
      </c>
      <c r="D6162" s="22" t="s">
        <v>7969</v>
      </c>
      <c r="E6162" s="22" t="s">
        <v>363</v>
      </c>
      <c r="F6162" s="23" t="str">
        <f>HYPERLINK("https://www.spark-marketing.ru/Card/Lot/71502386", "1103-2019-00152 Оказание услуг по охране имущества (материальные ценности и служебная документация, содержащая сведения ограниченного доступа), предназначенногодля проведения Международного военно-технического форума""АРМИЯ-2019"" и международного ав...")</f>
        <v>1103-2019-00152 Оказание услуг по охране имущества (материальные ценности и служебная документация, содержащая сведения ограниченного доступа), предназначенногодля проведения Международного военно-технического форума"АРМИЯ-2019" и международного ав...</v>
      </c>
      <c r="G6162" s="22" t="s">
        <v>55</v>
      </c>
      <c r="H6162" s="22" t="s">
        <v>55</v>
      </c>
      <c r="I6162" s="26">
        <v>43635.689988425896</v>
      </c>
      <c r="J6162" s="28" t="s">
        <v>52</v>
      </c>
      <c r="K6162" s="28" t="s">
        <v>52</v>
      </c>
      <c r="L6162" s="28" t="s">
        <v>52</v>
      </c>
      <c r="M6162" s="25">
        <v>1400397.84</v>
      </c>
      <c r="N6162" s="27">
        <v>0</v>
      </c>
    </row>
    <row r="6163" spans="1:14" x14ac:dyDescent="0.15">
      <c r="A6163" s="23" t="str">
        <f>HYPERLINK("https://www.spark-marketing.ru/Card/Person/341865", "ГАУК ""БРЯНСКАЯ ОБЛАСТНАЯ ФИЛАРМОНИЯ""")</f>
        <v>ГАУК "БРЯНСКАЯ ОБЛАСТНАЯ ФИЛАРМОНИЯ"</v>
      </c>
      <c r="B6163" s="24" t="s">
        <v>7970</v>
      </c>
      <c r="C6163" s="25">
        <v>385000</v>
      </c>
      <c r="D6163" s="22" t="s">
        <v>7971</v>
      </c>
      <c r="E6163" s="22" t="s">
        <v>7972</v>
      </c>
      <c r="F6163" s="23" t="str">
        <f>HYPERLINK("https://www.spark-marketing.ru/Card/Lot/71501175", "Доставка, монтаж, демонтаж, техническая эксплуатация и обслуживание сценического, светового и видео оборудования в рамках празднования 75-летия со Дня образования Брянской области.")</f>
        <v>Доставка, монтаж, демонтаж, техническая эксплуатация и обслуживание сценического, светового и видео оборудования в рамках празднования 75-летия со Дня образования Брянской области.</v>
      </c>
      <c r="G6163" s="22" t="s">
        <v>215</v>
      </c>
      <c r="H6163" s="22" t="s">
        <v>215</v>
      </c>
      <c r="I6163" s="26">
        <v>43635.657268518502</v>
      </c>
      <c r="J6163" s="28" t="s">
        <v>52</v>
      </c>
      <c r="K6163" s="28" t="s">
        <v>52</v>
      </c>
      <c r="L6163" s="28" t="s">
        <v>52</v>
      </c>
      <c r="M6163" s="28" t="s">
        <v>52</v>
      </c>
      <c r="N6163" s="28" t="s">
        <v>52</v>
      </c>
    </row>
    <row r="6164" spans="1:14" x14ac:dyDescent="0.15">
      <c r="A6164" s="23" t="str">
        <f>HYPERLINK("https://www.spark-marketing.ru/Card/Person/4352793", "ОМВД РОССИИ ПО ЗАТО Г. ЗАОЗЕРСК")</f>
        <v>ОМВД РОССИИ ПО ЗАТО Г. ЗАОЗЕРСК</v>
      </c>
      <c r="B6164" s="24" t="s">
        <v>7723</v>
      </c>
      <c r="C6164" s="25">
        <v>95306</v>
      </c>
      <c r="D6164" s="22" t="s">
        <v>7973</v>
      </c>
      <c r="E6164" s="22" t="s">
        <v>103</v>
      </c>
      <c r="F6164" s="23" t="str">
        <f>HYPERLINK("https://www.spark-marketing.ru/Card/Lot/71499701", "Техническое обслуживание системы видеонаблюдения, 1 усл. ед")</f>
        <v>Техническое обслуживание системы видеонаблюдения, 1 усл. ед</v>
      </c>
      <c r="G6164" s="22" t="s">
        <v>190</v>
      </c>
      <c r="H6164" s="22" t="s">
        <v>7725</v>
      </c>
      <c r="I6164" s="26">
        <v>43635.650254629603</v>
      </c>
      <c r="J6164" s="28" t="s">
        <v>52</v>
      </c>
      <c r="K6164" s="28" t="s">
        <v>52</v>
      </c>
      <c r="L6164" s="28" t="s">
        <v>52</v>
      </c>
      <c r="M6164" s="28" t="s">
        <v>52</v>
      </c>
      <c r="N6164" s="28" t="s">
        <v>52</v>
      </c>
    </row>
    <row r="6165" spans="1:14" x14ac:dyDescent="0.15">
      <c r="A6165" s="23" t="str">
        <f>HYPERLINK("https://www.spark-marketing.ru/Card/Person/108707", "МКДОУ Д/С №27")</f>
        <v>МКДОУ Д/С №27</v>
      </c>
      <c r="B6165" s="24" t="s">
        <v>7974</v>
      </c>
      <c r="C6165" s="25">
        <v>30586</v>
      </c>
      <c r="D6165" s="22" t="s">
        <v>7975</v>
      </c>
      <c r="E6165" s="22" t="s">
        <v>107</v>
      </c>
      <c r="F6165" s="23" t="str">
        <f>HYPERLINK("https://www.spark-marketing.ru/Card/Lot/71500856", "Установка видеодомофона для МКДОУ д/с 27")</f>
        <v>Установка видеодомофона для МКДОУ д/с 27</v>
      </c>
      <c r="G6165" s="22" t="s">
        <v>50</v>
      </c>
      <c r="H6165" s="22" t="s">
        <v>679</v>
      </c>
      <c r="I6165" s="26">
        <v>43635.659652777802</v>
      </c>
      <c r="J6165" s="28" t="s">
        <v>52</v>
      </c>
      <c r="K6165" s="28" t="s">
        <v>52</v>
      </c>
      <c r="L6165" s="28" t="s">
        <v>52</v>
      </c>
      <c r="M6165" s="28" t="s">
        <v>52</v>
      </c>
      <c r="N6165" s="28" t="s">
        <v>52</v>
      </c>
    </row>
    <row r="6166" spans="1:14" x14ac:dyDescent="0.15">
      <c r="A6166" s="23" t="str">
        <f>HYPERLINK("https://www.spark-marketing.ru/Card/Person/31184", "ГУП ""БАШФАРМАЦИЯ"" РБ")</f>
        <v>ГУП "БАШФАРМАЦИЯ" РБ</v>
      </c>
      <c r="B6166" s="24" t="s">
        <v>7976</v>
      </c>
      <c r="C6166" s="25">
        <v>3906300</v>
      </c>
      <c r="D6166" s="22" t="s">
        <v>7977</v>
      </c>
      <c r="E6166" s="22" t="s">
        <v>144</v>
      </c>
      <c r="F6166" s="23" t="str">
        <f>HYPERLINK("https://www.spark-marketing.ru/Card/Lot/71494187", "Оказание услуг по обеспечению физической охраной объектов ГУП ""Башфармация"" РБ")</f>
        <v>Оказание услуг по обеспечению физической охраной объектов ГУП "Башфармация" РБ</v>
      </c>
      <c r="G6166" s="22" t="s">
        <v>100</v>
      </c>
      <c r="H6166" s="22" t="s">
        <v>100</v>
      </c>
      <c r="I6166" s="26">
        <v>43635.606828703698</v>
      </c>
      <c r="J6166" s="28" t="s">
        <v>52</v>
      </c>
      <c r="K6166" s="28" t="s">
        <v>52</v>
      </c>
      <c r="L6166" s="28" t="s">
        <v>52</v>
      </c>
      <c r="M6166" s="28" t="s">
        <v>52</v>
      </c>
      <c r="N6166" s="28" t="s">
        <v>52</v>
      </c>
    </row>
    <row r="6167" spans="1:14" x14ac:dyDescent="0.15">
      <c r="A6167" s="23" t="str">
        <f>HYPERLINK("https://www.spark-marketing.ru/Card/Person/3478", "ГБУ УПРМЕЛИОВОДХОЗ МСХ РС(Я)")</f>
        <v>ГБУ УПРМЕЛИОВОДХОЗ МСХ РС(Я)</v>
      </c>
      <c r="B6167" s="24" t="s">
        <v>7978</v>
      </c>
      <c r="C6167" s="25">
        <v>765420</v>
      </c>
      <c r="D6167" s="22" t="s">
        <v>7979</v>
      </c>
      <c r="E6167" s="22" t="s">
        <v>52</v>
      </c>
      <c r="F6167" s="23" t="str">
        <f>HYPERLINK("https://www.spark-marketing.ru/Card/Lot/71485828", "Оказание услуг по охране производственной базы Чурапчиснкого филиала ГБУ ""Упрмелиоводхоз"" МСХ РС (Я)")</f>
        <v>Оказание услуг по охране производственной базы Чурапчиснкого филиала ГБУ "Упрмелиоводхоз" МСХ РС (Я)</v>
      </c>
      <c r="G6167" s="22" t="s">
        <v>424</v>
      </c>
      <c r="H6167" s="22" t="s">
        <v>1186</v>
      </c>
      <c r="I6167" s="26">
        <v>43635.620138888902</v>
      </c>
      <c r="J6167" s="23" t="str">
        <f>HYPERLINK("https://www.spark-marketing.ru/Card/Person/2588873", "ООО ЧОП ""ЯГУАР НОРД""")</f>
        <v>ООО ЧОП "ЯГУАР НОРД"</v>
      </c>
      <c r="K6167" s="24" t="s">
        <v>7980</v>
      </c>
      <c r="L6167" s="22" t="s">
        <v>10</v>
      </c>
      <c r="M6167" s="28" t="s">
        <v>52</v>
      </c>
      <c r="N6167" s="28" t="s">
        <v>52</v>
      </c>
    </row>
    <row r="6168" spans="1:14" x14ac:dyDescent="0.15">
      <c r="A6168" s="23" t="str">
        <f>HYPERLINK("https://www.spark-marketing.ru/Card/Person/159349", "ООО ""РН-ИНГУШНЕФТЕПРОДУКТ""")</f>
        <v>ООО "РН-ИНГУШНЕФТЕПРОДУКТ"</v>
      </c>
      <c r="B6168" s="24" t="s">
        <v>7981</v>
      </c>
      <c r="C6168" s="25">
        <v>531876</v>
      </c>
      <c r="D6168" s="22" t="s">
        <v>7982</v>
      </c>
      <c r="E6168" s="22" t="s">
        <v>53</v>
      </c>
      <c r="F6168" s="23" t="str">
        <f>HYPERLINK("https://www.spark-marketing.ru/Card/Lot/71506042", "Номер закупки 2000207218. Право заключения договора по охране объектов ООО «РН-Ингушнефтепродукт» в 2019 году")</f>
        <v>Номер закупки 2000207218. Право заключения договора по охране объектов ООО «РН-Ингушнефтепродукт» в 2019 году</v>
      </c>
      <c r="G6168" s="22" t="s">
        <v>648</v>
      </c>
      <c r="H6168" s="22" t="s">
        <v>648</v>
      </c>
      <c r="I6168" s="26">
        <v>43635.623611111099</v>
      </c>
      <c r="J6168" s="28" t="s">
        <v>52</v>
      </c>
      <c r="K6168" s="28" t="s">
        <v>52</v>
      </c>
      <c r="L6168" s="28" t="s">
        <v>52</v>
      </c>
      <c r="M6168" s="28" t="s">
        <v>52</v>
      </c>
      <c r="N6168" s="28" t="s">
        <v>52</v>
      </c>
    </row>
    <row r="6169" spans="1:14" x14ac:dyDescent="0.15">
      <c r="A6169" s="23" t="str">
        <f>HYPERLINK("https://www.spark-marketing.ru/Card/Person/4692626", "ООО ФПК ""ИНВЕСТ""")</f>
        <v>ООО ФПК "ИНВЕСТ"</v>
      </c>
      <c r="B6169" s="24" t="s">
        <v>7983</v>
      </c>
      <c r="C6169" s="25">
        <v>0</v>
      </c>
      <c r="D6169" s="22" t="s">
        <v>7984</v>
      </c>
      <c r="E6169" s="22" t="s">
        <v>3059</v>
      </c>
      <c r="F6169" s="23" t="str">
        <f>HYPERLINK("https://www.spark-marketing.ru/Card/Lot/71503169", "Разработка проекта установки системы видеонаблюдения по адресу: г. Рязань, ул. Прижелезнодорожная, д. 52 для АО ""Точинвест""")</f>
        <v>Разработка проекта установки системы видеонаблюдения по адресу: г. Рязань, ул. Прижелезнодорожная, д. 52 для АО "Точинвест"</v>
      </c>
      <c r="G6169" s="22" t="s">
        <v>186</v>
      </c>
      <c r="H6169" s="22" t="s">
        <v>7985</v>
      </c>
      <c r="I6169" s="26">
        <v>43635.5803703704</v>
      </c>
      <c r="J6169" s="28" t="s">
        <v>52</v>
      </c>
      <c r="K6169" s="28" t="s">
        <v>52</v>
      </c>
      <c r="L6169" s="28" t="s">
        <v>52</v>
      </c>
      <c r="M6169" s="28" t="s">
        <v>52</v>
      </c>
      <c r="N6169" s="28" t="s">
        <v>52</v>
      </c>
    </row>
    <row r="6170" spans="1:14" x14ac:dyDescent="0.15">
      <c r="A6170" s="23" t="str">
        <f>HYPERLINK("https://www.spark-marketing.ru/Card/Person/20803", "ГБУЗ НО ""ДЗЕРЖИНСКИЙ ПЕРИНАТАЛЬНЫЙ ЦЕНТР""")</f>
        <v>ГБУЗ НО "ДЗЕРЖИНСКИЙ ПЕРИНАТАЛЬНЫЙ ЦЕНТР"</v>
      </c>
      <c r="B6170" s="24" t="s">
        <v>7986</v>
      </c>
      <c r="C6170" s="25">
        <v>821184</v>
      </c>
      <c r="D6170" s="22" t="s">
        <v>7987</v>
      </c>
      <c r="E6170" s="22" t="s">
        <v>5267</v>
      </c>
      <c r="F6170" s="23" t="str">
        <f>HYPERLINK("https://www.spark-marketing.ru/Card/Lot/71495940", "Оказание услуг охраны объекта для нужд ГБУЗ НО «Дзержинский перинатальный центр»")</f>
        <v>Оказание услуг охраны объекта для нужд ГБУЗ НО «Дзержинский перинатальный центр»</v>
      </c>
      <c r="G6170" s="22" t="s">
        <v>64</v>
      </c>
      <c r="H6170" s="22" t="s">
        <v>64</v>
      </c>
      <c r="I6170" s="26">
        <v>43635.555555555598</v>
      </c>
      <c r="J6170" s="28" t="s">
        <v>52</v>
      </c>
      <c r="K6170" s="28" t="s">
        <v>52</v>
      </c>
      <c r="L6170" s="28" t="s">
        <v>52</v>
      </c>
      <c r="M6170" s="28" t="s">
        <v>52</v>
      </c>
      <c r="N6170" s="28" t="s">
        <v>52</v>
      </c>
    </row>
    <row r="6171" spans="1:14" hidden="1" outlineLevel="1" x14ac:dyDescent="0.2">
      <c r="A6171" s="23" t="str">
        <f>HYPERLINK("https://www.spark-marketing.ru/Card/Person/20803", "ГБУЗ НО ""ДЗЕРЖИНСКИЙ ПЕРИНАТАЛЬНЫЙ ЦЕНТР""")</f>
        <v>ГБУЗ НО "ДЗЕРЖИНСКИЙ ПЕРИНАТАЛЬНЫЙ ЦЕНТР"</v>
      </c>
      <c r="B6171" s="24" t="s">
        <v>7986</v>
      </c>
      <c r="C6171" s="25">
        <v>821184</v>
      </c>
      <c r="D6171" s="22" t="s">
        <v>7987</v>
      </c>
      <c r="E6171" s="22" t="s">
        <v>5267</v>
      </c>
      <c r="F6171" s="23" t="str">
        <f>HYPERLINK("https://www.spark-marketing.ru/Card/Lot/71495940", "Оказание услуг охраны объекта для нужд ГБУЗ НО «Дзержинский перинатальный центр»")</f>
        <v>Оказание услуг охраны объекта для нужд ГБУЗ НО «Дзержинский перинатальный центр»</v>
      </c>
      <c r="G6171" s="22" t="s">
        <v>64</v>
      </c>
      <c r="H6171" s="22" t="s">
        <v>64</v>
      </c>
      <c r="I6171" s="26">
        <v>43635.555555555598</v>
      </c>
      <c r="J6171" s="23" t="str">
        <f>HYPERLINK("https://www.spark-marketing.ru/Card/Person/6460885", "ООО ЧОО ""ПАРУС-КБ""")</f>
        <v>ООО ЧОО "ПАРУС-КБ"</v>
      </c>
      <c r="K6171" s="24" t="s">
        <v>7988</v>
      </c>
      <c r="L6171" s="28" t="s">
        <v>52</v>
      </c>
      <c r="M6171" s="25">
        <v>714430.08</v>
      </c>
      <c r="N6171" s="27">
        <v>0.13</v>
      </c>
    </row>
    <row r="6172" spans="1:14" ht="12.75" hidden="1" outlineLevel="1" x14ac:dyDescent="0.2">
      <c r="A6172" s="23" t="str">
        <f>HYPERLINK("https://www.spark-marketing.ru/Card/Person/20803", "ГБУЗ НО ""ДЗЕРЖИНСКИЙ ПЕРИНАТАЛЬНЫЙ ЦЕНТР""")</f>
        <v>ГБУЗ НО "ДЗЕРЖИНСКИЙ ПЕРИНАТАЛЬНЫЙ ЦЕНТР"</v>
      </c>
      <c r="B6172" s="24" t="s">
        <v>7986</v>
      </c>
      <c r="C6172" s="25">
        <v>821184</v>
      </c>
      <c r="D6172" s="22" t="s">
        <v>7987</v>
      </c>
      <c r="E6172" s="22" t="s">
        <v>5267</v>
      </c>
      <c r="F6172" s="23" t="str">
        <f>HYPERLINK("https://www.spark-marketing.ru/Card/Lot/71495940", "Оказание услуг охраны объекта для нужд ГБУЗ НО «Дзержинский перинатальный центр»")</f>
        <v>Оказание услуг охраны объекта для нужд ГБУЗ НО «Дзержинский перинатальный центр»</v>
      </c>
      <c r="G6172" s="22" t="s">
        <v>64</v>
      </c>
      <c r="H6172" s="22" t="s">
        <v>64</v>
      </c>
      <c r="I6172" s="26">
        <v>43635.555555555598</v>
      </c>
      <c r="J6172" s="23" t="str">
        <f>HYPERLINK("https://www.spark-marketing.ru/Card/Person/65753", "ООО ОО ""КОЛЬЧУГА""")</f>
        <v>ООО ОО "КОЛЬЧУГА"</v>
      </c>
      <c r="K6172" s="24" t="s">
        <v>7989</v>
      </c>
      <c r="L6172" s="22" t="s">
        <v>10</v>
      </c>
      <c r="M6172" s="25">
        <v>755489.28000000003</v>
      </c>
      <c r="N6172" s="27">
        <v>0.08</v>
      </c>
    </row>
    <row r="6173" spans="1:14" x14ac:dyDescent="0.15">
      <c r="A6173" s="23" t="str">
        <f>HYPERLINK("https://www.spark-marketing.ru/Card/Person/1029238", "МДОУ ""ЦЕНТР РАЗВИТИЯ РЕБЕНКА-ДЕТСКИЙ САД № 19 ""СВЕТЛЯЧОК""")</f>
        <v>МДОУ "ЦЕНТР РАЗВИТИЯ РЕБЕНКА-ДЕТСКИЙ САД № 19 "СВЕТЛЯЧОК"</v>
      </c>
      <c r="B6173" s="24" t="s">
        <v>7990</v>
      </c>
      <c r="C6173" s="25">
        <v>363000</v>
      </c>
      <c r="D6173" s="22" t="s">
        <v>7991</v>
      </c>
      <c r="E6173" s="22" t="s">
        <v>84</v>
      </c>
      <c r="F6173" s="23" t="str">
        <f>HYPERLINK("https://www.spark-marketing.ru/Card/Lot/71493161", "Оказание услуг по согласованию паспортов и мест размещения камер видеонаблюдения, 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технологическо...")</f>
        <v>Оказание услуг по согласованию паспортов и мест размещения камер видеонаблюдения, 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технологическо...</v>
      </c>
      <c r="G6173" s="22" t="s">
        <v>50</v>
      </c>
      <c r="H6173" s="22" t="s">
        <v>738</v>
      </c>
      <c r="I6173" s="26">
        <v>43635.545069444401</v>
      </c>
      <c r="J6173" s="28" t="s">
        <v>52</v>
      </c>
      <c r="K6173" s="28" t="s">
        <v>52</v>
      </c>
      <c r="L6173" s="28" t="s">
        <v>52</v>
      </c>
      <c r="M6173" s="28" t="s">
        <v>52</v>
      </c>
      <c r="N6173" s="28" t="s">
        <v>52</v>
      </c>
    </row>
    <row r="6174" spans="1:14" x14ac:dyDescent="0.15">
      <c r="A6174" s="23" t="str">
        <f>HYPERLINK("https://www.spark-marketing.ru/Card/Person/135456", "ПРИВОЛЖСКИЙ ОКРУЖНОЙ ВОЕННЫЙ СУД")</f>
        <v>ПРИВОЛЖСКИЙ ОКРУЖНОЙ ВОЕННЫЙ СУД</v>
      </c>
      <c r="B6174" s="24" t="s">
        <v>6851</v>
      </c>
      <c r="C6174" s="25">
        <v>268491.83</v>
      </c>
      <c r="D6174" s="22" t="s">
        <v>7992</v>
      </c>
      <c r="E6174" s="22" t="s">
        <v>68</v>
      </c>
      <c r="F6174" s="23" t="str">
        <f>HYPERLINK("https://www.spark-marketing.ru/Card/Lot/71511120", "Оказание услуг по военизированной охране")</f>
        <v>Оказание услуг по военизированной охране</v>
      </c>
      <c r="G6174" s="22" t="s">
        <v>760</v>
      </c>
      <c r="H6174" s="22" t="s">
        <v>1709</v>
      </c>
      <c r="I6174" s="26">
        <v>43635.5805555556</v>
      </c>
      <c r="J6174" s="28" t="s">
        <v>52</v>
      </c>
      <c r="K6174" s="28" t="s">
        <v>52</v>
      </c>
      <c r="L6174" s="28" t="s">
        <v>52</v>
      </c>
      <c r="M6174" s="28" t="s">
        <v>52</v>
      </c>
      <c r="N6174" s="28" t="s">
        <v>52</v>
      </c>
    </row>
    <row r="6175" spans="1:14" x14ac:dyDescent="0.15">
      <c r="A6175" s="23" t="str">
        <f>HYPERLINK("https://www.spark-marketing.ru/Card/Person/5225", "ФБУЗ ""ЦГИЭ В РО""")</f>
        <v>ФБУЗ "ЦГИЭ В РО"</v>
      </c>
      <c r="B6175" s="24" t="s">
        <v>2140</v>
      </c>
      <c r="C6175" s="25">
        <v>384420</v>
      </c>
      <c r="D6175" s="22" t="s">
        <v>7993</v>
      </c>
      <c r="E6175" s="22" t="s">
        <v>7994</v>
      </c>
      <c r="F6175" s="23" t="str">
        <f>HYPERLINK("https://www.spark-marketing.ru/Card/Lot/71492449", "Оказание услуг по охране имущества, услуг оператора, техника, уборщика территории для филиала ФБУЗ ""ЦГиЭ в РО"" в г. Ростове-на-Дону")</f>
        <v>Оказание услуг по охране имущества, услуг оператора, техника, уборщика территории для филиала ФБУЗ "ЦГиЭ в РО" в г. Ростове-на-Дону</v>
      </c>
      <c r="G6175" s="22" t="s">
        <v>402</v>
      </c>
      <c r="H6175" s="22" t="s">
        <v>402</v>
      </c>
      <c r="I6175" s="26">
        <v>43635.5243402778</v>
      </c>
      <c r="J6175" s="28" t="s">
        <v>52</v>
      </c>
      <c r="K6175" s="28" t="s">
        <v>52</v>
      </c>
      <c r="L6175" s="28" t="s">
        <v>52</v>
      </c>
      <c r="M6175" s="28" t="s">
        <v>52</v>
      </c>
      <c r="N6175" s="28" t="s">
        <v>52</v>
      </c>
    </row>
    <row r="6176" spans="1:14" x14ac:dyDescent="0.15">
      <c r="A6176" s="23" t="str">
        <f>HYPERLINK("https://www.spark-marketing.ru/Card/Person/331724", "УФСИН РОССИИ ПО СМОЛЕНСКОЙ ОБЛАСТИ")</f>
        <v>УФСИН РОССИИ ПО СМОЛЕНСКОЙ ОБЛАСТИ</v>
      </c>
      <c r="B6176" s="24" t="s">
        <v>7995</v>
      </c>
      <c r="C6176" s="25">
        <v>76933.2</v>
      </c>
      <c r="D6176" s="22" t="s">
        <v>7996</v>
      </c>
      <c r="E6176" s="22" t="s">
        <v>3281</v>
      </c>
      <c r="F6176" s="23" t="str">
        <f>HYPERLINK("https://www.spark-marketing.ru/Card/Lot/71507982", "Вещевое имущество для сотрудников отделов охраны УФСИН России по Смоленской  области")</f>
        <v>Вещевое имущество для сотрудников отделов охраны УФСИН России по Смоленской  области</v>
      </c>
      <c r="G6176" s="22" t="s">
        <v>956</v>
      </c>
      <c r="H6176" s="22" t="s">
        <v>956</v>
      </c>
      <c r="I6176" s="26">
        <v>43635.539583333302</v>
      </c>
      <c r="J6176" s="23" t="str">
        <f>HYPERLINK("https://www.spark-marketing.ru/Card/Person/5424", "ООО ""ЮНИКС""")</f>
        <v>ООО "ЮНИКС"</v>
      </c>
      <c r="K6176" s="24" t="s">
        <v>3283</v>
      </c>
      <c r="L6176" s="22" t="s">
        <v>10</v>
      </c>
      <c r="M6176" s="28" t="s">
        <v>52</v>
      </c>
      <c r="N6176" s="28" t="s">
        <v>52</v>
      </c>
    </row>
    <row r="6177" spans="1:14" x14ac:dyDescent="0.15">
      <c r="A6177" s="23" t="str">
        <f>HYPERLINK("https://www.spark-marketing.ru/Card/Person/116078", "МБДОУ ДЕТСКИЙ САД №16 ""ИГРУШКА""")</f>
        <v>МБДОУ ДЕТСКИЙ САД №16 "ИГРУШКА"</v>
      </c>
      <c r="B6177" s="24" t="s">
        <v>7997</v>
      </c>
      <c r="C6177" s="25">
        <v>380000</v>
      </c>
      <c r="D6177" s="22" t="s">
        <v>7998</v>
      </c>
      <c r="E6177" s="22" t="s">
        <v>84</v>
      </c>
      <c r="F6177" s="23" t="str">
        <f>HYPERLINK("https://www.spark-marketing.ru/Card/Lot/71493142", "Оказание услуг по согласованию паспортов и мест размещения камер видеонаблюдения, доустановке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f>
        <v>Оказание услуг по согласованию паспортов и мест размещения камер видеонаблюдения, доустановке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v>
      </c>
      <c r="G6177" s="22" t="s">
        <v>50</v>
      </c>
      <c r="H6177" s="22" t="s">
        <v>682</v>
      </c>
      <c r="I6177" s="26">
        <v>43635.535231481503</v>
      </c>
      <c r="J6177" s="28" t="s">
        <v>52</v>
      </c>
      <c r="K6177" s="28" t="s">
        <v>52</v>
      </c>
      <c r="L6177" s="28" t="s">
        <v>52</v>
      </c>
      <c r="M6177" s="28" t="s">
        <v>52</v>
      </c>
      <c r="N6177" s="28" t="s">
        <v>52</v>
      </c>
    </row>
    <row r="6178" spans="1:14" x14ac:dyDescent="0.15">
      <c r="A6178" s="23" t="str">
        <f>HYPERLINK("https://www.spark-marketing.ru/Card/Person/1001701", "ГБУ ""СШОР №2 БЕЛГОРОДСКОЙ ОБЛАСТИ""")</f>
        <v>ГБУ "СШОР №2 БЕЛГОРОДСКОЙ ОБЛАСТИ"</v>
      </c>
      <c r="B6178" s="24" t="s">
        <v>7999</v>
      </c>
      <c r="C6178" s="25">
        <v>69050</v>
      </c>
      <c r="D6178" s="22" t="s">
        <v>8000</v>
      </c>
      <c r="E6178" s="22" t="s">
        <v>591</v>
      </c>
      <c r="F6178" s="23" t="str">
        <f>HYPERLINK("https://www.spark-marketing.ru/Card/Lot/71491756", "Оборудование для системы видеонаблюдения, с доставкой")</f>
        <v>Оборудование для системы видеонаблюдения, с доставкой</v>
      </c>
      <c r="G6178" s="22" t="s">
        <v>176</v>
      </c>
      <c r="H6178" s="22" t="s">
        <v>318</v>
      </c>
      <c r="I6178" s="26">
        <v>43635.518750000003</v>
      </c>
      <c r="J6178" s="28" t="s">
        <v>52</v>
      </c>
      <c r="K6178" s="28" t="s">
        <v>52</v>
      </c>
      <c r="L6178" s="28" t="s">
        <v>52</v>
      </c>
      <c r="M6178" s="28" t="s">
        <v>52</v>
      </c>
      <c r="N6178" s="28" t="s">
        <v>52</v>
      </c>
    </row>
    <row r="6179" spans="1:14" x14ac:dyDescent="0.15">
      <c r="A6179" s="23" t="str">
        <f>HYPERLINK("https://www.spark-marketing.ru/Card/Person/1484145", "ГАПОУ СО ""НТК""")</f>
        <v>ГАПОУ СО "НТК"</v>
      </c>
      <c r="B6179" s="24" t="s">
        <v>6384</v>
      </c>
      <c r="C6179" s="25">
        <v>2042087</v>
      </c>
      <c r="D6179" s="22" t="s">
        <v>8001</v>
      </c>
      <c r="E6179" s="22" t="s">
        <v>691</v>
      </c>
      <c r="F6179" s="23" t="str">
        <f>HYPERLINK("https://www.spark-marketing.ru/Card/Lot/71486873", "выполнение работ по установке системы видеонаблюдения на территории Новоуральского технологического колледжа по адресу: г.Новоуральск, ул.Чкалова д.11")</f>
        <v>выполнение работ по установке системы видеонаблюдения на территории Новоуральского технологического колледжа по адресу: г.Новоуральск, ул.Чкалова д.11</v>
      </c>
      <c r="G6179" s="22" t="s">
        <v>72</v>
      </c>
      <c r="H6179" s="22" t="s">
        <v>2527</v>
      </c>
      <c r="I6179" s="26">
        <v>43635.470081018502</v>
      </c>
      <c r="J6179" s="28" t="s">
        <v>52</v>
      </c>
      <c r="K6179" s="28" t="s">
        <v>52</v>
      </c>
      <c r="L6179" s="28" t="s">
        <v>52</v>
      </c>
      <c r="M6179" s="28" t="s">
        <v>52</v>
      </c>
      <c r="N6179" s="28" t="s">
        <v>52</v>
      </c>
    </row>
    <row r="6180" spans="1:14" x14ac:dyDescent="0.2">
      <c r="A6180" s="23" t="str">
        <f>HYPERLINK("https://www.spark-marketing.ru/Card/Person/91093", "БСУ СО ОО ""БОГДАНОВСКИЙ ДОМ - ИНТЕРНАТ ДЛЯ ПРЕСТАРЕЛЫХ И ИНВАЛИДОВ""")</f>
        <v>БСУ СО ОО "БОГДАНОВСКИЙ ДОМ - ИНТЕРНАТ ДЛЯ ПРЕСТАРЕЛЫХ И ИНВАЛИДОВ"</v>
      </c>
      <c r="B6180" s="24" t="s">
        <v>8002</v>
      </c>
      <c r="C6180" s="25">
        <v>383985.03</v>
      </c>
      <c r="D6180" s="22" t="s">
        <v>8003</v>
      </c>
      <c r="E6180" s="22" t="s">
        <v>49</v>
      </c>
      <c r="F6180" s="23" t="str">
        <f>HYPERLINK("https://www.spark-marketing.ru/Card/Lot/71492315", "Выполнение работ по установке системы видеонаблюдения БСУ СО ОО «Богдановский дом-интернат для престарелых и инвалидов»")</f>
        <v>Выполнение работ по установке системы видеонаблюдения БСУ СО ОО «Богдановский дом-интернат для престарелых и инвалидов»</v>
      </c>
      <c r="G6180" s="22" t="s">
        <v>492</v>
      </c>
      <c r="H6180" s="22" t="s">
        <v>492</v>
      </c>
      <c r="I6180" s="26">
        <v>43635.486793981501</v>
      </c>
      <c r="J6180" s="23" t="str">
        <f>HYPERLINK("https://www.spark-marketing.ru/Card/Person/4929856", "Тузова Светлана Викторовна")</f>
        <v>Тузова Светлана Викторовна</v>
      </c>
      <c r="K6180" s="24" t="s">
        <v>8004</v>
      </c>
      <c r="L6180" s="28" t="s">
        <v>52</v>
      </c>
      <c r="M6180" s="25">
        <v>383985.03</v>
      </c>
      <c r="N6180" s="27">
        <v>0</v>
      </c>
    </row>
    <row r="6181" spans="1:14" x14ac:dyDescent="0.2">
      <c r="A6181" s="23" t="str">
        <f>HYPERLINK("https://www.spark-marketing.ru/Card/Person/2591531", "ООО ""КВС""")</f>
        <v>ООО "КВС"</v>
      </c>
      <c r="B6181" s="24" t="s">
        <v>8005</v>
      </c>
      <c r="C6181" s="25">
        <v>29747808</v>
      </c>
      <c r="D6181" s="22" t="s">
        <v>8006</v>
      </c>
      <c r="E6181" s="22" t="s">
        <v>6058</v>
      </c>
      <c r="F6181" s="23" t="str">
        <f>HYPERLINK("https://www.spark-marketing.ru/Card/Lot/71490009", "Оказание услуг по охране объектов")</f>
        <v>Оказание услуг по охране объектов</v>
      </c>
      <c r="G6181" s="22" t="s">
        <v>80</v>
      </c>
      <c r="H6181" s="22" t="s">
        <v>80</v>
      </c>
      <c r="I6181" s="26">
        <v>43635.493217592601</v>
      </c>
      <c r="J6181" s="28" t="s">
        <v>52</v>
      </c>
      <c r="K6181" s="28" t="s">
        <v>52</v>
      </c>
      <c r="L6181" s="22" t="s">
        <v>10</v>
      </c>
      <c r="M6181" s="25">
        <v>28855373</v>
      </c>
      <c r="N6181" s="27">
        <v>3.0000025548100887E-2</v>
      </c>
    </row>
    <row r="6182" spans="1:14" x14ac:dyDescent="0.15">
      <c r="A6182" s="23" t="str">
        <f>HYPERLINK("https://www.spark-marketing.ru/Card/Person/1761832", "ОАО ""РЫНОЧНЫЙ КОМПЛЕКС ""ЦАРИЦЫНСКИЙ""")</f>
        <v>ОАО "РЫНОЧНЫЙ КОМПЛЕКС "ЦАРИЦЫНСКИЙ"</v>
      </c>
      <c r="B6182" s="24" t="s">
        <v>613</v>
      </c>
      <c r="C6182" s="25">
        <v>293832</v>
      </c>
      <c r="D6182" s="22" t="s">
        <v>8007</v>
      </c>
      <c r="E6182" s="22" t="s">
        <v>615</v>
      </c>
      <c r="F6182" s="23" t="str">
        <f>HYPERLINK("https://www.spark-marketing.ru/Card/Lot/71487772", "оказание услуг по охране объекта")</f>
        <v>оказание услуг по охране объекта</v>
      </c>
      <c r="G6182" s="22" t="s">
        <v>55</v>
      </c>
      <c r="H6182" s="22" t="s">
        <v>55</v>
      </c>
      <c r="I6182" s="26">
        <v>43635.437337962998</v>
      </c>
      <c r="J6182" s="28" t="s">
        <v>52</v>
      </c>
      <c r="K6182" s="28" t="s">
        <v>52</v>
      </c>
      <c r="L6182" s="28" t="s">
        <v>52</v>
      </c>
      <c r="M6182" s="28" t="s">
        <v>52</v>
      </c>
      <c r="N6182" s="28" t="s">
        <v>52</v>
      </c>
    </row>
    <row r="6183" spans="1:14" x14ac:dyDescent="0.15">
      <c r="A6183" s="23" t="str">
        <f>HYPERLINK("https://www.spark-marketing.ru/Card/Person/3626", "АДМИНИСТРАЦИЯ ШЕЛЕХОВСКОГО МУНИЦИПАЛЬНОГО РАЙОНА")</f>
        <v>АДМИНИСТРАЦИЯ ШЕЛЕХОВСКОГО МУНИЦИПАЛЬНОГО РАЙОНА</v>
      </c>
      <c r="B6183" s="24" t="s">
        <v>6167</v>
      </c>
      <c r="C6183" s="25">
        <v>280800</v>
      </c>
      <c r="D6183" s="22" t="s">
        <v>8008</v>
      </c>
      <c r="E6183" s="22" t="s">
        <v>103</v>
      </c>
      <c r="F6183" s="23" t="str">
        <f>HYPERLINK("https://www.spark-marketing.ru/Card/Lot/71480385", "Оказание услуг по подключению, техническому  обслуживанию  и  предоставлению видеоизображения с мест нахождения видеокамер")</f>
        <v>Оказание услуг по подключению, техническому  обслуживанию  и  предоставлению видеоизображения с мест нахождения видеокамер</v>
      </c>
      <c r="G6183" s="22" t="s">
        <v>281</v>
      </c>
      <c r="H6183" s="22" t="s">
        <v>281</v>
      </c>
      <c r="I6183" s="26">
        <v>43635.431250000001</v>
      </c>
      <c r="J6183" s="28" t="s">
        <v>52</v>
      </c>
      <c r="K6183" s="28" t="s">
        <v>52</v>
      </c>
      <c r="L6183" s="28" t="s">
        <v>52</v>
      </c>
      <c r="M6183" s="28" t="s">
        <v>52</v>
      </c>
      <c r="N6183" s="28" t="s">
        <v>52</v>
      </c>
    </row>
    <row r="6184" spans="1:14" ht="12.75" hidden="1" outlineLevel="1" x14ac:dyDescent="0.2">
      <c r="A6184" s="23" t="str">
        <f>HYPERLINK("https://www.spark-marketing.ru/Card/Person/3626", "АДМИНИСТРАЦИЯ ШЕЛЕХОВСКОГО МУНИЦИПАЛЬНОГО РАЙОНА")</f>
        <v>АДМИНИСТРАЦИЯ ШЕЛЕХОВСКОГО МУНИЦИПАЛЬНОГО РАЙОНА</v>
      </c>
      <c r="B6184" s="24" t="s">
        <v>6167</v>
      </c>
      <c r="C6184" s="25">
        <v>280800</v>
      </c>
      <c r="D6184" s="22" t="s">
        <v>8008</v>
      </c>
      <c r="E6184" s="22" t="s">
        <v>103</v>
      </c>
      <c r="F6184" s="23" t="str">
        <f>HYPERLINK("https://www.spark-marketing.ru/Card/Lot/71480385", "Оказание услуг по подключению, техническому  обслуживанию  и  предоставлению видеоизображения с мест нахождения видеокамер")</f>
        <v>Оказание услуг по подключению, техническому  обслуживанию  и  предоставлению видеоизображения с мест нахождения видеокамер</v>
      </c>
      <c r="G6184" s="22" t="s">
        <v>281</v>
      </c>
      <c r="H6184" s="22" t="s">
        <v>281</v>
      </c>
      <c r="I6184" s="26">
        <v>43635.431250000001</v>
      </c>
      <c r="J6184" s="23" t="str">
        <f>HYPERLINK("https://www.spark-marketing.ru/Card/Person/6299660", "ООО ""ЮНИТ""")</f>
        <v>ООО "ЮНИТ"</v>
      </c>
      <c r="K6184" s="24" t="s">
        <v>8009</v>
      </c>
      <c r="L6184" s="22" t="s">
        <v>10</v>
      </c>
      <c r="M6184" s="25">
        <v>280800</v>
      </c>
      <c r="N6184" s="27">
        <v>0</v>
      </c>
    </row>
    <row r="6185" spans="1:14" hidden="1" outlineLevel="1" x14ac:dyDescent="0.2">
      <c r="A6185" s="23" t="str">
        <f>HYPERLINK("https://www.spark-marketing.ru/Card/Person/3626", "АДМИНИСТРАЦИЯ ШЕЛЕХОВСКОГО МУНИЦИПАЛЬНОГО РАЙОНА")</f>
        <v>АДМИНИСТРАЦИЯ ШЕЛЕХОВСКОГО МУНИЦИПАЛЬНОГО РАЙОНА</v>
      </c>
      <c r="B6185" s="24" t="s">
        <v>6167</v>
      </c>
      <c r="C6185" s="25">
        <v>280800</v>
      </c>
      <c r="D6185" s="22" t="s">
        <v>8008</v>
      </c>
      <c r="E6185" s="22" t="s">
        <v>103</v>
      </c>
      <c r="F6185" s="23" t="str">
        <f>HYPERLINK("https://www.spark-marketing.ru/Card/Lot/71480385", "Оказание услуг по подключению, техническому  обслуживанию  и  предоставлению видеоизображения с мест нахождения видеокамер")</f>
        <v>Оказание услуг по подключению, техническому  обслуживанию  и  предоставлению видеоизображения с мест нахождения видеокамер</v>
      </c>
      <c r="G6185" s="22" t="s">
        <v>281</v>
      </c>
      <c r="H6185" s="22" t="s">
        <v>281</v>
      </c>
      <c r="I6185" s="26">
        <v>43635.431250000001</v>
      </c>
      <c r="J6185" s="23" t="str">
        <f>HYPERLINK("https://www.spark-marketing.ru/Card/Person/2199684", "ООО ""АЛЬПАРИ""")</f>
        <v>ООО "АЛЬПАРИ"</v>
      </c>
      <c r="K6185" s="24" t="s">
        <v>6169</v>
      </c>
      <c r="L6185" s="28" t="s">
        <v>52</v>
      </c>
      <c r="M6185" s="25">
        <v>280800</v>
      </c>
      <c r="N6185" s="27">
        <v>0</v>
      </c>
    </row>
    <row r="6186" spans="1:14" x14ac:dyDescent="0.15">
      <c r="A6186" s="23" t="str">
        <f>HYPERLINK("https://www.spark-marketing.ru/Card/Person/1761832", "ОАО ""РЫНОЧНЫЙ КОМПЛЕКС ""ЦАРИЦЫНСКИЙ""")</f>
        <v>ОАО "РЫНОЧНЫЙ КОМПЛЕКС "ЦАРИЦЫНСКИЙ"</v>
      </c>
      <c r="B6186" s="24" t="s">
        <v>613</v>
      </c>
      <c r="C6186" s="25">
        <v>293832</v>
      </c>
      <c r="D6186" s="22" t="s">
        <v>8010</v>
      </c>
      <c r="E6186" s="22" t="s">
        <v>615</v>
      </c>
      <c r="F6186" s="23" t="str">
        <f>HYPERLINK("https://www.spark-marketing.ru/Card/Lot/71487781", "оказание услуг по охране объекта")</f>
        <v>оказание услуг по охране объекта</v>
      </c>
      <c r="G6186" s="22" t="s">
        <v>55</v>
      </c>
      <c r="H6186" s="22" t="s">
        <v>55</v>
      </c>
      <c r="I6186" s="26">
        <v>43635.442037036999</v>
      </c>
      <c r="J6186" s="28" t="s">
        <v>52</v>
      </c>
      <c r="K6186" s="28" t="s">
        <v>52</v>
      </c>
      <c r="L6186" s="28" t="s">
        <v>52</v>
      </c>
      <c r="M6186" s="28" t="s">
        <v>52</v>
      </c>
      <c r="N6186" s="28" t="s">
        <v>52</v>
      </c>
    </row>
    <row r="6187" spans="1:14" x14ac:dyDescent="0.15">
      <c r="A6187" s="23" t="str">
        <f>HYPERLINK("https://www.spark-marketing.ru/Card/Person/75895", "КГБУЗ ""СТОМАТОЛОГИЧЕСКАЯ ПОЛИКЛИНИКА, Г. БИЙСК""")</f>
        <v>КГБУЗ "СТОМАТОЛОГИЧЕСКАЯ ПОЛИКЛИНИКА, Г. БИЙСК"</v>
      </c>
      <c r="B6187" s="24" t="s">
        <v>8011</v>
      </c>
      <c r="C6187" s="25">
        <v>3400</v>
      </c>
      <c r="D6187" s="22" t="s">
        <v>8012</v>
      </c>
      <c r="E6187" s="22" t="s">
        <v>59</v>
      </c>
      <c r="F6187" s="23" t="str">
        <f>HYPERLINK("https://www.spark-marketing.ru/Card/Lot/71485551", "Модернизация системы видеонаблюдения (монтаж 2х доп камер+ микрофи настройка-установка видеорегистр)")</f>
        <v>Модернизация системы видеонаблюдения (монтаж 2х доп камер+ микрофи настройка-установка видеорегистр)</v>
      </c>
      <c r="G6187" s="22" t="s">
        <v>428</v>
      </c>
      <c r="H6187" s="22" t="s">
        <v>5346</v>
      </c>
      <c r="I6187" s="26">
        <v>43635.425694444399</v>
      </c>
      <c r="J6187" s="28" t="s">
        <v>52</v>
      </c>
      <c r="K6187" s="28" t="s">
        <v>52</v>
      </c>
      <c r="L6187" s="28" t="s">
        <v>52</v>
      </c>
      <c r="M6187" s="28" t="s">
        <v>52</v>
      </c>
      <c r="N6187" s="28" t="s">
        <v>52</v>
      </c>
    </row>
    <row r="6188" spans="1:14" x14ac:dyDescent="0.15">
      <c r="A6188" s="23" t="str">
        <f>HYPERLINK("https://www.spark-marketing.ru/Card/Person/29805", "ФКУ ИК-5 УФСИН РОССИИ ПО ЗАБАЙКАЛЬСКОМУ КРАЮ")</f>
        <v>ФКУ ИК-5 УФСИН РОССИИ ПО ЗАБАЙКАЛЬСКОМУ КРАЮ</v>
      </c>
      <c r="B6188" s="24" t="s">
        <v>8013</v>
      </c>
      <c r="C6188" s="25">
        <v>9920</v>
      </c>
      <c r="D6188" s="22" t="s">
        <v>8014</v>
      </c>
      <c r="E6188" s="22" t="s">
        <v>53</v>
      </c>
      <c r="F6188" s="23" t="str">
        <f>HYPERLINK("https://www.spark-marketing.ru/Card/Lot/71487857", "Кнопка тревожной сигнализации RS-201TK2, 2 шт")</f>
        <v>Кнопка тревожной сигнализации RS-201TK2, 2 шт</v>
      </c>
      <c r="G6188" s="22" t="s">
        <v>473</v>
      </c>
      <c r="H6188" s="22" t="s">
        <v>476</v>
      </c>
      <c r="I6188" s="26">
        <v>43635.457685185203</v>
      </c>
      <c r="J6188" s="28" t="s">
        <v>52</v>
      </c>
      <c r="K6188" s="28" t="s">
        <v>52</v>
      </c>
      <c r="L6188" s="28" t="s">
        <v>52</v>
      </c>
      <c r="M6188" s="28" t="s">
        <v>52</v>
      </c>
      <c r="N6188" s="28" t="s">
        <v>52</v>
      </c>
    </row>
    <row r="6189" spans="1:14" x14ac:dyDescent="0.15">
      <c r="A6189" s="23" t="str">
        <f>HYPERLINK("https://www.spark-marketing.ru/Card/Person/5907861", "ДЕПАРТАМЕНТ ПО ОБЕСПЕЧЕНИЮ ДЕЯТЕЛЬНОСТИ МИРОВЫХ СУДЕЙ КРАСНОДАРСКОГО КРАЯ")</f>
        <v>ДЕПАРТАМЕНТ ПО ОБЕСПЕЧЕНИЮ ДЕЯТЕЛЬНОСТИ МИРОВЫХ СУДЕЙ КРАСНОДАРСКОГО КРАЯ</v>
      </c>
      <c r="B6189" s="24" t="s">
        <v>8015</v>
      </c>
      <c r="C6189" s="25">
        <v>399691.81</v>
      </c>
      <c r="D6189" s="22" t="s">
        <v>8016</v>
      </c>
      <c r="E6189" s="22" t="s">
        <v>208</v>
      </c>
      <c r="F6189" s="23" t="str">
        <f>HYPERLINK("https://www.spark-marketing.ru/Card/Lot/71492579", "Поставка систем тревожной сигнализации с кнопкой тревожной сигнализации для судебных участков мировых судей Краснодарского края")</f>
        <v>Поставка систем тревожной сигнализации с кнопкой тревожной сигнализации для судебных участков мировых судей Краснодарского края</v>
      </c>
      <c r="G6189" s="22" t="s">
        <v>132</v>
      </c>
      <c r="H6189" s="22" t="s">
        <v>652</v>
      </c>
      <c r="I6189" s="26">
        <v>43635.398611111101</v>
      </c>
      <c r="J6189" s="23" t="str">
        <f>HYPERLINK("https://www.spark-marketing.ru/Card/Person/10487", "ФГУП ""ОХРАНА"" РОСГВАРДИИ")</f>
        <v>ФГУП "ОХРАНА" РОСГВАРДИИ</v>
      </c>
      <c r="K6189" s="24" t="s">
        <v>779</v>
      </c>
      <c r="L6189" s="22" t="s">
        <v>10</v>
      </c>
      <c r="M6189" s="28" t="s">
        <v>52</v>
      </c>
      <c r="N6189" s="28" t="s">
        <v>52</v>
      </c>
    </row>
    <row r="6190" spans="1:14" x14ac:dyDescent="0.15">
      <c r="A6190" s="23" t="str">
        <f>HYPERLINK("https://www.spark-marketing.ru/Card/Person/5907861", "ДЕПАРТАМЕНТ ПО ОБЕСПЕЧЕНИЮ ДЕЯТЕЛЬНОСТИ МИРОВЫХ СУДЕЙ КРАСНОДАРСКОГО КРАЯ")</f>
        <v>ДЕПАРТАМЕНТ ПО ОБЕСПЕЧЕНИЮ ДЕЯТЕЛЬНОСТИ МИРОВЫХ СУДЕЙ КРАСНОДАРСКОГО КРАЯ</v>
      </c>
      <c r="B6190" s="24" t="s">
        <v>8015</v>
      </c>
      <c r="C6190" s="25">
        <v>414764.9</v>
      </c>
      <c r="D6190" s="22" t="s">
        <v>8017</v>
      </c>
      <c r="E6190" s="22" t="s">
        <v>208</v>
      </c>
      <c r="F6190" s="23" t="str">
        <f>HYPERLINK("https://www.spark-marketing.ru/Card/Lot/71492692", "Поставка систем тревожной сигнализации с кнопкой тревожной сигнализации для судебных участков мировых судей Краснодарского края")</f>
        <v>Поставка систем тревожной сигнализации с кнопкой тревожной сигнализации для судебных участков мировых судей Краснодарского края</v>
      </c>
      <c r="G6190" s="22" t="s">
        <v>132</v>
      </c>
      <c r="H6190" s="22" t="s">
        <v>652</v>
      </c>
      <c r="I6190" s="26">
        <v>43635.400694444397</v>
      </c>
      <c r="J6190" s="23" t="str">
        <f>HYPERLINK("https://www.spark-marketing.ru/Card/Person/10487", "ФГУП ""ОХРАНА"" РОСГВАРДИИ")</f>
        <v>ФГУП "ОХРАНА" РОСГВАРДИИ</v>
      </c>
      <c r="K6190" s="24" t="s">
        <v>779</v>
      </c>
      <c r="L6190" s="22" t="s">
        <v>10</v>
      </c>
      <c r="M6190" s="28" t="s">
        <v>52</v>
      </c>
      <c r="N6190" s="28" t="s">
        <v>52</v>
      </c>
    </row>
    <row r="6191" spans="1:14" x14ac:dyDescent="0.15">
      <c r="A6191" s="23" t="str">
        <f>HYPERLINK("https://www.spark-marketing.ru/Card/Person/5907861", "ДЕПАРТАМЕНТ ПО ОБЕСПЕЧЕНИЮ ДЕЯТЕЛЬНОСТИ МИРОВЫХ СУДЕЙ КРАСНОДАРСКОГО КРАЯ")</f>
        <v>ДЕПАРТАМЕНТ ПО ОБЕСПЕЧЕНИЮ ДЕЯТЕЛЬНОСТИ МИРОВЫХ СУДЕЙ КРАСНОДАРСКОГО КРАЯ</v>
      </c>
      <c r="B6191" s="24" t="s">
        <v>8015</v>
      </c>
      <c r="C6191" s="25">
        <v>268355.11</v>
      </c>
      <c r="D6191" s="22" t="s">
        <v>8018</v>
      </c>
      <c r="E6191" s="22" t="s">
        <v>208</v>
      </c>
      <c r="F6191" s="23" t="str">
        <f>HYPERLINK("https://www.spark-marketing.ru/Card/Lot/71492435", "Поставка систем тревожной сигнализации с кнопкой тревожной сигнализации для судебных участков мировых судей Краснодарского края")</f>
        <v>Поставка систем тревожной сигнализации с кнопкой тревожной сигнализации для судебных участков мировых судей Краснодарского края</v>
      </c>
      <c r="G6191" s="22" t="s">
        <v>132</v>
      </c>
      <c r="H6191" s="22" t="s">
        <v>652</v>
      </c>
      <c r="I6191" s="26">
        <v>43635.398611111101</v>
      </c>
      <c r="J6191" s="23" t="str">
        <f>HYPERLINK("https://www.spark-marketing.ru/Card/Person/10487", "ФГУП ""ОХРАНА"" РОСГВАРДИИ")</f>
        <v>ФГУП "ОХРАНА" РОСГВАРДИИ</v>
      </c>
      <c r="K6191" s="24" t="s">
        <v>779</v>
      </c>
      <c r="L6191" s="22" t="s">
        <v>10</v>
      </c>
      <c r="M6191" s="28" t="s">
        <v>52</v>
      </c>
      <c r="N6191" s="28" t="s">
        <v>52</v>
      </c>
    </row>
    <row r="6192" spans="1:14" x14ac:dyDescent="0.15">
      <c r="A6192" s="23" t="str">
        <f>HYPERLINK("https://www.spark-marketing.ru/Card/Person/1074250", "БОУ Г. ОМСКА ""СРЕДНЯЯ ОБЩЕОБРАЗОВАТЕЛЬНАЯ ШКОЛА № 60""")</f>
        <v>БОУ Г. ОМСКА "СРЕДНЯЯ ОБЩЕОБРАЗОВАТЕЛЬНАЯ ШКОЛА № 60"</v>
      </c>
      <c r="B6192" s="24" t="s">
        <v>8019</v>
      </c>
      <c r="C6192" s="25">
        <v>1000</v>
      </c>
      <c r="D6192" s="22" t="s">
        <v>8020</v>
      </c>
      <c r="E6192" s="22" t="s">
        <v>68</v>
      </c>
      <c r="F6192" s="23" t="str">
        <f>HYPERLINK("https://www.spark-marketing.ru/Card/Lot/71483354", "Оказание охранных услуг посредством передачи тревожных сообщений по каналу GSM")</f>
        <v>Оказание охранных услуг посредством передачи тревожных сообщений по каналу GSM</v>
      </c>
      <c r="G6192" s="22" t="s">
        <v>521</v>
      </c>
      <c r="H6192" s="22" t="s">
        <v>522</v>
      </c>
      <c r="I6192" s="26">
        <v>43635.382638888899</v>
      </c>
      <c r="J6192" s="28" t="s">
        <v>52</v>
      </c>
      <c r="K6192" s="28" t="s">
        <v>52</v>
      </c>
      <c r="L6192" s="28" t="s">
        <v>52</v>
      </c>
      <c r="M6192" s="28" t="s">
        <v>52</v>
      </c>
      <c r="N6192" s="28" t="s">
        <v>52</v>
      </c>
    </row>
    <row r="6193" spans="1:14" x14ac:dyDescent="0.15">
      <c r="A6193" s="23" t="str">
        <f>HYPERLINK("https://www.spark-marketing.ru/Card/Person/88247", "ГКОУ ШКОЛА № 9 Г. ТУАПСЕ")</f>
        <v>ГКОУ ШКОЛА № 9 Г. ТУАПСЕ</v>
      </c>
      <c r="B6193" s="24" t="s">
        <v>8021</v>
      </c>
      <c r="C6193" s="25">
        <v>869936</v>
      </c>
      <c r="D6193" s="22" t="s">
        <v>8022</v>
      </c>
      <c r="E6193" s="22" t="s">
        <v>84</v>
      </c>
      <c r="F6193" s="23" t="str">
        <f>HYPERLINK("https://www.spark-marketing.ru/Card/Lot/71496042", "Монтажные работы по установке системы видеонаблюдения.")</f>
        <v>Монтажные работы по установке системы видеонаблюдения.</v>
      </c>
      <c r="G6193" s="22" t="s">
        <v>132</v>
      </c>
      <c r="H6193" s="22" t="s">
        <v>1874</v>
      </c>
      <c r="I6193" s="26">
        <v>43635.395833333299</v>
      </c>
      <c r="J6193" s="23" t="str">
        <f>HYPERLINK("https://www.spark-marketing.ru/Card/Person/47132", "ООО""СТРАТУС""")</f>
        <v>ООО"СТРАТУС"</v>
      </c>
      <c r="K6193" s="24" t="s">
        <v>8023</v>
      </c>
      <c r="L6193" s="28" t="s">
        <v>52</v>
      </c>
      <c r="M6193" s="28" t="s">
        <v>52</v>
      </c>
      <c r="N6193" s="28" t="s">
        <v>52</v>
      </c>
    </row>
    <row r="6194" spans="1:14" hidden="1" outlineLevel="1" x14ac:dyDescent="0.15">
      <c r="A6194" s="23" t="str">
        <f>HYPERLINK("https://www.spark-marketing.ru/Card/Person/88247", "ГКОУ ШКОЛА № 9 Г. ТУАПСЕ")</f>
        <v>ГКОУ ШКОЛА № 9 Г. ТУАПСЕ</v>
      </c>
      <c r="B6194" s="24" t="s">
        <v>8021</v>
      </c>
      <c r="C6194" s="25">
        <v>869936</v>
      </c>
      <c r="D6194" s="22" t="s">
        <v>8022</v>
      </c>
      <c r="E6194" s="22" t="s">
        <v>84</v>
      </c>
      <c r="F6194" s="23" t="str">
        <f>HYPERLINK("https://www.spark-marketing.ru/Card/Lot/71496042", "Монтажные работы по установке системы видеонаблюдения.")</f>
        <v>Монтажные работы по установке системы видеонаблюдения.</v>
      </c>
      <c r="G6194" s="22" t="s">
        <v>132</v>
      </c>
      <c r="H6194" s="22" t="s">
        <v>1874</v>
      </c>
      <c r="I6194" s="26">
        <v>43635.395833333299</v>
      </c>
      <c r="J6194" s="23" t="str">
        <f>HYPERLINK("https://www.spark-marketing.ru/Card/Person/47132", "ООО""СТРАТУС""")</f>
        <v>ООО"СТРАТУС"</v>
      </c>
      <c r="K6194" s="24" t="s">
        <v>8023</v>
      </c>
      <c r="L6194" s="22" t="s">
        <v>10</v>
      </c>
      <c r="M6194" s="28" t="s">
        <v>52</v>
      </c>
      <c r="N6194" s="28" t="s">
        <v>52</v>
      </c>
    </row>
    <row r="6195" spans="1:14" x14ac:dyDescent="0.15">
      <c r="A6195" s="23" t="str">
        <f>HYPERLINK("https://www.spark-marketing.ru/Card/Person/18291", "АДМИНИСТРАЦИЯ Г.БОДАЙБО И РАЙОНА")</f>
        <v>АДМИНИСТРАЦИЯ Г.БОДАЙБО И РАЙОНА</v>
      </c>
      <c r="B6195" s="24" t="s">
        <v>913</v>
      </c>
      <c r="C6195" s="25">
        <v>74500</v>
      </c>
      <c r="D6195" s="22" t="s">
        <v>8024</v>
      </c>
      <c r="E6195" s="22" t="s">
        <v>68</v>
      </c>
      <c r="F6195" s="23" t="str">
        <f>HYPERLINK("https://www.spark-marketing.ru/Card/Lot/71480040", "Услуги пультовой охраны объекта")</f>
        <v>Услуги пультовой охраны объекта</v>
      </c>
      <c r="G6195" s="22" t="s">
        <v>281</v>
      </c>
      <c r="H6195" s="22" t="s">
        <v>915</v>
      </c>
      <c r="I6195" s="26">
        <v>43635.381944444402</v>
      </c>
      <c r="J6195" s="23" t="str">
        <f>HYPERLINK("https://www.spark-marketing.ru/Card/Person/260691", "ООО ЧОП ""ЛАБИРИНТ""")</f>
        <v>ООО ЧОП "ЛАБИРИНТ"</v>
      </c>
      <c r="K6195" s="24" t="s">
        <v>8025</v>
      </c>
      <c r="L6195" s="22" t="s">
        <v>10</v>
      </c>
      <c r="M6195" s="28" t="s">
        <v>52</v>
      </c>
      <c r="N6195" s="28" t="s">
        <v>52</v>
      </c>
    </row>
    <row r="6196" spans="1:14" x14ac:dyDescent="0.15">
      <c r="A6196" s="23" t="str">
        <f>HYPERLINK("https://www.spark-marketing.ru/Card/Person/38899", "КГУ ИМ. К.Э. ЦИОЛКОВСКОГО, КАЛУЖСКИЙ ГОСУДАРСТВЕННЫЙ УНИВЕРСИТЕТ ИМ. К.Э. ЦИОЛКОВСКОГО")</f>
        <v>КГУ ИМ. К.Э. ЦИОЛКОВСКОГО, КАЛУЖСКИЙ ГОСУДАРСТВЕННЫЙ УНИВЕРСИТЕТ ИМ. К.Э. ЦИОЛКОВСКОГО</v>
      </c>
      <c r="B6196" s="24" t="s">
        <v>4412</v>
      </c>
      <c r="C6196" s="25">
        <v>323862</v>
      </c>
      <c r="D6196" s="22" t="s">
        <v>8026</v>
      </c>
      <c r="E6196" s="22" t="s">
        <v>84</v>
      </c>
      <c r="F6196" s="23" t="str">
        <f>HYPERLINK("https://www.spark-marketing.ru/Card/Lot/71484875", "Монтаж, установка, сборка систем видеонаблюдения, 1 шт")</f>
        <v>Монтаж, установка, сборка систем видеонаблюдения, 1 шт</v>
      </c>
      <c r="G6196" s="22" t="s">
        <v>658</v>
      </c>
      <c r="H6196" s="22" t="s">
        <v>741</v>
      </c>
      <c r="I6196" s="26">
        <v>43635.4066087963</v>
      </c>
      <c r="J6196" s="28" t="s">
        <v>52</v>
      </c>
      <c r="K6196" s="28" t="s">
        <v>52</v>
      </c>
      <c r="L6196" s="28" t="s">
        <v>52</v>
      </c>
      <c r="M6196" s="28" t="s">
        <v>52</v>
      </c>
      <c r="N6196" s="28" t="s">
        <v>52</v>
      </c>
    </row>
    <row r="6197" spans="1:14" x14ac:dyDescent="0.15">
      <c r="A6197" s="23" t="str">
        <f>HYPERLINK("https://www.spark-marketing.ru/Card/Person/99623", "ОМВД РОССИИ ПО Г. НЕФТЕЮГАНСКУ")</f>
        <v>ОМВД РОССИИ ПО Г. НЕФТЕЮГАНСКУ</v>
      </c>
      <c r="B6197" s="24" t="s">
        <v>8027</v>
      </c>
      <c r="C6197" s="25">
        <v>88941.68</v>
      </c>
      <c r="D6197" s="22" t="s">
        <v>8028</v>
      </c>
      <c r="E6197" s="22" t="s">
        <v>59</v>
      </c>
      <c r="F6197" s="23" t="str">
        <f>HYPERLINK("https://www.spark-marketing.ru/Card/Lot/71481879", "Установка охранной сигнализации, 1 шт")</f>
        <v>Установка охранной сигнализации, 1 шт</v>
      </c>
      <c r="G6197" s="22" t="s">
        <v>119</v>
      </c>
      <c r="H6197" s="22" t="s">
        <v>119</v>
      </c>
      <c r="I6197" s="26">
        <v>43635.332650463002</v>
      </c>
      <c r="J6197" s="28" t="s">
        <v>52</v>
      </c>
      <c r="K6197" s="28" t="s">
        <v>52</v>
      </c>
      <c r="L6197" s="28" t="s">
        <v>52</v>
      </c>
      <c r="M6197" s="28" t="s">
        <v>52</v>
      </c>
      <c r="N6197" s="28" t="s">
        <v>52</v>
      </c>
    </row>
    <row r="6198" spans="1:14" x14ac:dyDescent="0.15">
      <c r="A6198" s="23" t="str">
        <f>HYPERLINK("https://www.spark-marketing.ru/Card/Person/4348435", "ООО ""ТД ПОЛИМЕТАЛЛ""")</f>
        <v>ООО "ТД ПОЛИМЕТАЛЛ"</v>
      </c>
      <c r="B6198" s="24" t="s">
        <v>374</v>
      </c>
      <c r="C6198" s="25">
        <v>0</v>
      </c>
      <c r="D6198" s="22" t="s">
        <v>8029</v>
      </c>
      <c r="E6198" s="22" t="s">
        <v>1622</v>
      </c>
      <c r="F6198" s="23" t="str">
        <f>HYPERLINK("https://www.spark-marketing.ru/Card/Lot/71484034", "Знак запрещающий 3.22 ""Обгон грузовым автомобилям запрещен"" на флуоресцентной подкладке 900х900мм")</f>
        <v>Знак запрещающий 3.22 "Обгон грузовым автомобилям запрещен" на флуоресцентной подкладке 900х900мм</v>
      </c>
      <c r="G6198" s="22" t="s">
        <v>89</v>
      </c>
      <c r="H6198" s="22" t="s">
        <v>89</v>
      </c>
      <c r="I6198" s="26">
        <v>43635.251388888901</v>
      </c>
      <c r="J6198" s="28" t="s">
        <v>52</v>
      </c>
      <c r="K6198" s="28" t="s">
        <v>52</v>
      </c>
      <c r="L6198" s="28" t="s">
        <v>52</v>
      </c>
      <c r="M6198" s="28" t="s">
        <v>52</v>
      </c>
      <c r="N6198" s="28" t="s">
        <v>52</v>
      </c>
    </row>
    <row r="6199" spans="1:14" x14ac:dyDescent="0.15">
      <c r="A6199" s="23" t="str">
        <f>HYPERLINK("https://www.spark-marketing.ru/Card/Person/4348435", "ООО ""ТД ПОЛИМЕТАЛЛ""")</f>
        <v>ООО "ТД ПОЛИМЕТАЛЛ"</v>
      </c>
      <c r="B6199" s="24" t="s">
        <v>374</v>
      </c>
      <c r="C6199" s="25">
        <v>0</v>
      </c>
      <c r="D6199" s="22" t="s">
        <v>8030</v>
      </c>
      <c r="E6199" s="22" t="s">
        <v>8031</v>
      </c>
      <c r="F6199" s="23" t="str">
        <f>HYPERLINK("https://www.spark-marketing.ru/Card/Lot/71484069", "Знак двухсторонний ""Берегись автомобиля"", размер 68х30 см, световой, светодиоды мощностью 4,8 Вт")</f>
        <v>Знак двухсторонний "Берегись автомобиля", размер 68х30 см, световой, светодиоды мощностью 4,8 Вт</v>
      </c>
      <c r="G6199" s="22" t="s">
        <v>138</v>
      </c>
      <c r="H6199" s="22" t="s">
        <v>1245</v>
      </c>
      <c r="I6199" s="26">
        <v>43635.286215277803</v>
      </c>
      <c r="J6199" s="28" t="s">
        <v>52</v>
      </c>
      <c r="K6199" s="28" t="s">
        <v>52</v>
      </c>
      <c r="L6199" s="28" t="s">
        <v>52</v>
      </c>
      <c r="M6199" s="28" t="s">
        <v>52</v>
      </c>
      <c r="N6199" s="28" t="s">
        <v>52</v>
      </c>
    </row>
    <row r="6200" spans="1:14" x14ac:dyDescent="0.15">
      <c r="A6200" s="23" t="str">
        <f>HYPERLINK("https://www.spark-marketing.ru/Card/Person/4350152", "АО ""ТОЧИНВЕСТ""")</f>
        <v>АО "ТОЧИНВЕСТ"</v>
      </c>
      <c r="B6200" s="24" t="s">
        <v>8032</v>
      </c>
      <c r="C6200" s="28" t="s">
        <v>52</v>
      </c>
      <c r="D6200" s="22" t="s">
        <v>8033</v>
      </c>
      <c r="E6200" s="22" t="s">
        <v>53</v>
      </c>
      <c r="F6200" s="23" t="str">
        <f>HYPERLINK("https://www.spark-marketing.ru/Card/Lot/71490674", "Разработка проекта установки системы видеонаблюдения по адресу: г. Рязань, ул. Прижелезнодорожная, д. 52")</f>
        <v>Разработка проекта установки системы видеонаблюдения по адресу: г. Рязань, ул. Прижелезнодорожная, д. 52</v>
      </c>
      <c r="G6200" s="22" t="s">
        <v>186</v>
      </c>
      <c r="H6200" s="22" t="s">
        <v>187</v>
      </c>
      <c r="I6200" s="26">
        <v>43635</v>
      </c>
      <c r="J6200" s="28" t="s">
        <v>52</v>
      </c>
      <c r="K6200" s="28" t="s">
        <v>52</v>
      </c>
      <c r="L6200" s="28" t="s">
        <v>52</v>
      </c>
      <c r="M6200" s="28" t="s">
        <v>52</v>
      </c>
      <c r="N6200" s="28" t="s">
        <v>52</v>
      </c>
    </row>
    <row r="6201" spans="1:14" x14ac:dyDescent="0.15">
      <c r="A6201" s="23" t="str">
        <f>HYPERLINK("https://www.spark-marketing.ru/Card/Person/128676", "МБОУ КСОШ №3")</f>
        <v>МБОУ КСОШ №3</v>
      </c>
      <c r="B6201" s="24" t="s">
        <v>8034</v>
      </c>
      <c r="C6201" s="25">
        <v>79800</v>
      </c>
      <c r="D6201" s="22" t="s">
        <v>8035</v>
      </c>
      <c r="E6201" s="22" t="s">
        <v>294</v>
      </c>
      <c r="F6201" s="23" t="str">
        <f>HYPERLINK("https://www.spark-marketing.ru/Card/Lot/71473132", "Оказание услуг по техническому обслуживанию системы видеонаблюдения, видеозаписи и системы контроля доступа для нужд МБОУ КСОШ №3")</f>
        <v>Оказание услуг по техническому обслуживанию системы видеонаблюдения, видеозаписи и системы контроля доступа для нужд МБОУ КСОШ №3</v>
      </c>
      <c r="G6201" s="22" t="s">
        <v>50</v>
      </c>
      <c r="H6201" s="22" t="s">
        <v>6267</v>
      </c>
      <c r="I6201" s="26">
        <v>43634.940405092602</v>
      </c>
      <c r="J6201" s="28" t="s">
        <v>52</v>
      </c>
      <c r="K6201" s="28" t="s">
        <v>52</v>
      </c>
      <c r="L6201" s="28" t="s">
        <v>52</v>
      </c>
      <c r="M6201" s="28" t="s">
        <v>52</v>
      </c>
      <c r="N6201" s="28" t="s">
        <v>52</v>
      </c>
    </row>
    <row r="6202" spans="1:14" x14ac:dyDescent="0.2">
      <c r="A6202" s="23" t="str">
        <f>HYPERLINK("https://www.spark-marketing.ru/Card/Person/1037529", "ГАУ ""АХМАТ АРЕНА""")</f>
        <v>ГАУ "АХМАТ АРЕНА"</v>
      </c>
      <c r="B6202" s="24" t="s">
        <v>8036</v>
      </c>
      <c r="C6202" s="25">
        <v>4000000</v>
      </c>
      <c r="D6202" s="22" t="s">
        <v>8037</v>
      </c>
      <c r="E6202" s="22" t="s">
        <v>144</v>
      </c>
      <c r="F6202" s="23" t="str">
        <f>HYPERLINK("https://www.spark-marketing.ru/Card/Lot/71471381", "Оказание услуг по обеспечению общественного порядка и общественной безопасности при проведении официальных спортивных мероприятии")</f>
        <v>Оказание услуг по обеспечению общественного порядка и общественной безопасности при проведении официальных спортивных мероприятии</v>
      </c>
      <c r="G6202" s="22" t="s">
        <v>724</v>
      </c>
      <c r="H6202" s="22" t="s">
        <v>724</v>
      </c>
      <c r="I6202" s="26">
        <v>43634.868877314802</v>
      </c>
      <c r="J6202" s="28" t="s">
        <v>52</v>
      </c>
      <c r="K6202" s="28" t="s">
        <v>52</v>
      </c>
      <c r="L6202" s="22" t="s">
        <v>10</v>
      </c>
      <c r="M6202" s="25">
        <v>4000000</v>
      </c>
      <c r="N6202" s="27">
        <v>0</v>
      </c>
    </row>
    <row r="6203" spans="1:14" x14ac:dyDescent="0.15">
      <c r="A6203" s="23" t="str">
        <f>HYPERLINK("https://www.spark-marketing.ru/Card/Person/136405", "МО МВД РОССИИ ""КЛИНЦОВСКИЙ""")</f>
        <v>МО МВД РОССИИ "КЛИНЦОВСКИЙ"</v>
      </c>
      <c r="B6203" s="24" t="s">
        <v>2794</v>
      </c>
      <c r="C6203" s="25">
        <v>4000</v>
      </c>
      <c r="D6203" s="22" t="s">
        <v>8038</v>
      </c>
      <c r="E6203" s="22" t="s">
        <v>103</v>
      </c>
      <c r="F6203" s="23" t="str">
        <f>HYPERLINK("https://www.spark-marketing.ru/Card/Lot/71465024", "Техническое обслуживание видеонаблюдения, 1 усл. ед")</f>
        <v>Техническое обслуживание видеонаблюдения, 1 усл. ед</v>
      </c>
      <c r="G6203" s="22" t="s">
        <v>215</v>
      </c>
      <c r="H6203" s="22" t="s">
        <v>267</v>
      </c>
      <c r="I6203" s="26">
        <v>43634.779513888898</v>
      </c>
      <c r="J6203" s="28" t="s">
        <v>52</v>
      </c>
      <c r="K6203" s="28" t="s">
        <v>52</v>
      </c>
      <c r="L6203" s="28" t="s">
        <v>52</v>
      </c>
      <c r="M6203" s="28" t="s">
        <v>52</v>
      </c>
      <c r="N6203" s="28" t="s">
        <v>52</v>
      </c>
    </row>
    <row r="6204" spans="1:14" x14ac:dyDescent="0.15">
      <c r="A6204" s="23" t="str">
        <f>HYPERLINK("https://www.spark-marketing.ru/Card/Person/1766077", "ООО ""ЦТВ""")</f>
        <v>ООО "ЦТВ"</v>
      </c>
      <c r="B6204" s="24" t="s">
        <v>8039</v>
      </c>
      <c r="C6204" s="25">
        <v>345600</v>
      </c>
      <c r="D6204" s="22" t="s">
        <v>8040</v>
      </c>
      <c r="E6204" s="22" t="s">
        <v>533</v>
      </c>
      <c r="F6204" s="23" t="str">
        <f>HYPERLINK("https://www.spark-marketing.ru/Card/Lot/71464843", "Оказание услуг группы немедленного реагирования на сигнал «Тревога» и техническому обслуживанию тревожной сигнализации")</f>
        <v>Оказание услуг группы немедленного реагирования на сигнал «Тревога» и техническому обслуживанию тревожной сигнализации</v>
      </c>
      <c r="G6204" s="22" t="s">
        <v>55</v>
      </c>
      <c r="H6204" s="22" t="s">
        <v>55</v>
      </c>
      <c r="I6204" s="26">
        <v>43634.768900463001</v>
      </c>
      <c r="J6204" s="28" t="s">
        <v>52</v>
      </c>
      <c r="K6204" s="28" t="s">
        <v>52</v>
      </c>
      <c r="L6204" s="28" t="s">
        <v>52</v>
      </c>
      <c r="M6204" s="28" t="s">
        <v>52</v>
      </c>
      <c r="N6204" s="28" t="s">
        <v>52</v>
      </c>
    </row>
    <row r="6205" spans="1:14" x14ac:dyDescent="0.15">
      <c r="A6205" s="23" t="str">
        <f>HYPERLINK("https://www.spark-marketing.ru/Card/Person/123546", "ООО ""ЦЕНТР ХРАНЕНИЯ ДАННЫХ""")</f>
        <v>ООО "ЦЕНТР ХРАНЕНИЯ ДАННЫХ"</v>
      </c>
      <c r="B6205" s="24" t="s">
        <v>8041</v>
      </c>
      <c r="C6205" s="25">
        <v>172800</v>
      </c>
      <c r="D6205" s="22" t="s">
        <v>8042</v>
      </c>
      <c r="E6205" s="22" t="s">
        <v>533</v>
      </c>
      <c r="F6205" s="23" t="str">
        <f>HYPERLINK("https://www.spark-marketing.ru/Card/Lot/71464838", "Оказание услуг группы немедленного реагирования на сигнал «Тревога» и техническому обслуживанию тревожной сигнализации")</f>
        <v>Оказание услуг группы немедленного реагирования на сигнал «Тревога» и техническому обслуживанию тревожной сигнализации</v>
      </c>
      <c r="G6205" s="22" t="s">
        <v>55</v>
      </c>
      <c r="H6205" s="22" t="s">
        <v>55</v>
      </c>
      <c r="I6205" s="26">
        <v>43634.767534722203</v>
      </c>
      <c r="J6205" s="28" t="s">
        <v>52</v>
      </c>
      <c r="K6205" s="28" t="s">
        <v>52</v>
      </c>
      <c r="L6205" s="28" t="s">
        <v>52</v>
      </c>
      <c r="M6205" s="28" t="s">
        <v>52</v>
      </c>
      <c r="N6205" s="28" t="s">
        <v>52</v>
      </c>
    </row>
    <row r="6206" spans="1:14" hidden="1" outlineLevel="1" x14ac:dyDescent="0.2">
      <c r="A6206" s="23" t="str">
        <f>HYPERLINK("https://www.spark-marketing.ru/Card/Person/123546", "ООО ""ЦЕНТР ХРАНЕНИЯ ДАННЫХ""")</f>
        <v>ООО "ЦЕНТР ХРАНЕНИЯ ДАННЫХ"</v>
      </c>
      <c r="B6206" s="24" t="s">
        <v>8041</v>
      </c>
      <c r="C6206" s="28" t="s">
        <v>52</v>
      </c>
      <c r="D6206" s="22" t="s">
        <v>8042</v>
      </c>
      <c r="E6206" s="22" t="s">
        <v>533</v>
      </c>
      <c r="F6206" s="23" t="str">
        <f>HYPERLINK("https://www.spark-marketing.ru/Card/Lot/71464838", "Оказание услуг группы немедленного реагирования на сигнал «Тревога» и техническому обслуживанию тревожной сигнализации")</f>
        <v>Оказание услуг группы немедленного реагирования на сигнал «Тревога» и техническому обслуживанию тревожной сигнализации</v>
      </c>
      <c r="G6206" s="22" t="s">
        <v>55</v>
      </c>
      <c r="H6206" s="22" t="s">
        <v>55</v>
      </c>
      <c r="I6206" s="26">
        <v>43634.767534722203</v>
      </c>
      <c r="J6206" s="23" t="str">
        <f>HYPERLINK("https://www.spark-marketing.ru/Card/Person/1387340", "ООО ""ЧОП ""КРОНА-Р""")</f>
        <v>ООО "ЧОП "КРОНА-Р"</v>
      </c>
      <c r="K6206" s="24" t="s">
        <v>8043</v>
      </c>
      <c r="L6206" s="28" t="s">
        <v>52</v>
      </c>
      <c r="M6206" s="25">
        <v>132000</v>
      </c>
      <c r="N6206" s="27">
        <v>0.2361111111111111</v>
      </c>
    </row>
    <row r="6207" spans="1:14" hidden="1" outlineLevel="1" x14ac:dyDescent="0.2">
      <c r="A6207" s="23" t="str">
        <f>HYPERLINK("https://www.spark-marketing.ru/Card/Person/123546", "ООО ""ЦЕНТР ХРАНЕНИЯ ДАННЫХ""")</f>
        <v>ООО "ЦЕНТР ХРАНЕНИЯ ДАННЫХ"</v>
      </c>
      <c r="B6207" s="24" t="s">
        <v>8041</v>
      </c>
      <c r="C6207" s="28" t="s">
        <v>52</v>
      </c>
      <c r="D6207" s="22" t="s">
        <v>8042</v>
      </c>
      <c r="E6207" s="22" t="s">
        <v>533</v>
      </c>
      <c r="F6207" s="23" t="str">
        <f>HYPERLINK("https://www.spark-marketing.ru/Card/Lot/71464838", "Оказание услуг группы немедленного реагирования на сигнал «Тревога» и техническому обслуживанию тревожной сигнализации")</f>
        <v>Оказание услуг группы немедленного реагирования на сигнал «Тревога» и техническому обслуживанию тревожной сигнализации</v>
      </c>
      <c r="G6207" s="22" t="s">
        <v>55</v>
      </c>
      <c r="H6207" s="22" t="s">
        <v>55</v>
      </c>
      <c r="I6207" s="26">
        <v>43634.767534722203</v>
      </c>
      <c r="J6207" s="23" t="str">
        <f>HYPERLINK("https://www.spark-marketing.ru/Card/Person/102518", "ООО ""ЧОП ""Т-СИСТЕМЫ ОХРАНЫ""")</f>
        <v>ООО "ЧОП "Т-СИСТЕМЫ ОХРАНЫ"</v>
      </c>
      <c r="K6207" s="24" t="s">
        <v>8044</v>
      </c>
      <c r="L6207" s="22" t="s">
        <v>10</v>
      </c>
      <c r="M6207" s="25">
        <v>131136</v>
      </c>
      <c r="N6207" s="27">
        <v>0.24111111111111111</v>
      </c>
    </row>
    <row r="6208" spans="1:14" x14ac:dyDescent="0.15">
      <c r="A6208" s="23" t="str">
        <f>HYPERLINK("https://www.spark-marketing.ru/Card/Person/53616", "АО ""МОСИНЖПРОЕКТ""")</f>
        <v>АО "МОСИНЖПРОЕКТ"</v>
      </c>
      <c r="B6208" s="24" t="s">
        <v>3454</v>
      </c>
      <c r="C6208" s="25">
        <v>10674124.9</v>
      </c>
      <c r="D6208" s="22" t="s">
        <v>8045</v>
      </c>
      <c r="E6208" s="22" t="s">
        <v>49</v>
      </c>
      <c r="F6208" s="23" t="str">
        <f>HYPERLINK("https://www.spark-marketing.ru/Card/Lot/71464992", "Выполнение работ по установке системы охранной сигнализации, системы контроля и управления доступом, системы охранного телевидения")</f>
        <v>Выполнение работ по установке системы охранной сигнализации, системы контроля и управления доступом, системы охранного телевидения</v>
      </c>
      <c r="G6208" s="22" t="s">
        <v>55</v>
      </c>
      <c r="H6208" s="22" t="s">
        <v>55</v>
      </c>
      <c r="I6208" s="26">
        <v>43634.757395833301</v>
      </c>
      <c r="J6208" s="28" t="s">
        <v>52</v>
      </c>
      <c r="K6208" s="28" t="s">
        <v>52</v>
      </c>
      <c r="L6208" s="28" t="s">
        <v>52</v>
      </c>
      <c r="M6208" s="28" t="s">
        <v>52</v>
      </c>
      <c r="N6208" s="28" t="s">
        <v>52</v>
      </c>
    </row>
    <row r="6209" spans="1:14" x14ac:dyDescent="0.15">
      <c r="A6209" s="23" t="str">
        <f>HYPERLINK("https://www.spark-marketing.ru/Card/Person/1046752", "ОКУ ""УПРАВЛЕНИЕ ХОЗЯЙСТВЕННОГО ОБСЛУЖИВАНИЯ""")</f>
        <v>ОКУ "УПРАВЛЕНИЕ ХОЗЯЙСТВЕННОГО ОБСЛУЖИВАНИЯ"</v>
      </c>
      <c r="B6209" s="24" t="s">
        <v>8046</v>
      </c>
      <c r="C6209" s="25">
        <v>250000</v>
      </c>
      <c r="D6209" s="22" t="s">
        <v>8047</v>
      </c>
      <c r="E6209" s="22" t="s">
        <v>107</v>
      </c>
      <c r="F6209" s="23" t="str">
        <f>HYPERLINK("https://www.spark-marketing.ru/Card/Lot/71470741", "Техническое обслуживание системы вентиляции, системы контроля и управления доступом, турникетов, шлагбаумов, видео аналитики, автоматических ворот, системы видеонаблюдения")</f>
        <v>Техническое обслуживание системы вентиляции, системы контроля и управления доступом, турникетов, шлагбаумов, видео аналитики, автоматических ворот, системы видеонаблюдения</v>
      </c>
      <c r="G6209" s="22" t="s">
        <v>3128</v>
      </c>
      <c r="H6209" s="22" t="s">
        <v>3184</v>
      </c>
      <c r="I6209" s="26">
        <v>43634.742361111101</v>
      </c>
      <c r="J6209" s="28" t="s">
        <v>52</v>
      </c>
      <c r="K6209" s="28" t="s">
        <v>52</v>
      </c>
      <c r="L6209" s="28" t="s">
        <v>52</v>
      </c>
      <c r="M6209" s="28" t="s">
        <v>52</v>
      </c>
      <c r="N6209" s="28" t="s">
        <v>52</v>
      </c>
    </row>
    <row r="6210" spans="1:14" hidden="1" outlineLevel="1" x14ac:dyDescent="0.2">
      <c r="A6210" s="23" t="str">
        <f>HYPERLINK("https://www.spark-marketing.ru/Card/Person/1046752", "ОКУ ""УПРАВЛЕНИЕ ХОЗЯЙСТВЕННОГО ОБСЛУЖИВАНИЯ""")</f>
        <v>ОКУ "УПРАВЛЕНИЕ ХОЗЯЙСТВЕННОГО ОБСЛУЖИВАНИЯ"</v>
      </c>
      <c r="B6210" s="24" t="s">
        <v>8046</v>
      </c>
      <c r="C6210" s="25">
        <v>250000</v>
      </c>
      <c r="D6210" s="22" t="s">
        <v>8047</v>
      </c>
      <c r="E6210" s="22" t="s">
        <v>107</v>
      </c>
      <c r="F6210" s="23" t="str">
        <f>HYPERLINK("https://www.spark-marketing.ru/Card/Lot/71470741", "Техническое обслуживание системы вентиляции, системы контроля и управления доступом, турникетов, шлагбаумов, видео аналитики, автоматических ворот, системы видеонаблюдения")</f>
        <v>Техническое обслуживание системы вентиляции, системы контроля и управления доступом, турникетов, шлагбаумов, видео аналитики, автоматических ворот, системы видеонаблюдения</v>
      </c>
      <c r="G6210" s="22" t="s">
        <v>3128</v>
      </c>
      <c r="H6210" s="22" t="s">
        <v>3184</v>
      </c>
      <c r="I6210" s="26">
        <v>43634.742361111101</v>
      </c>
      <c r="J6210" s="23" t="str">
        <f>HYPERLINK("https://www.spark-marketing.ru/Card/Person/6576921", "ООО ""СПЕЦАВТОМАТИКА""")</f>
        <v>ООО "СПЕЦАВТОМАТИКА"</v>
      </c>
      <c r="K6210" s="24" t="s">
        <v>8048</v>
      </c>
      <c r="L6210" s="28" t="s">
        <v>52</v>
      </c>
      <c r="M6210" s="25">
        <v>192500</v>
      </c>
      <c r="N6210" s="27">
        <v>0.23</v>
      </c>
    </row>
    <row r="6211" spans="1:14" ht="12.75" hidden="1" outlineLevel="1" x14ac:dyDescent="0.2">
      <c r="A6211" s="23" t="str">
        <f>HYPERLINK("https://www.spark-marketing.ru/Card/Person/1046752", "ОКУ ""УПРАВЛЕНИЕ ХОЗЯЙСТВЕННОГО ОБСЛУЖИВАНИЯ""")</f>
        <v>ОКУ "УПРАВЛЕНИЕ ХОЗЯЙСТВЕННОГО ОБСЛУЖИВАНИЯ"</v>
      </c>
      <c r="B6211" s="24" t="s">
        <v>8046</v>
      </c>
      <c r="C6211" s="25">
        <v>250000</v>
      </c>
      <c r="D6211" s="22" t="s">
        <v>8047</v>
      </c>
      <c r="E6211" s="22" t="s">
        <v>107</v>
      </c>
      <c r="F6211" s="23" t="str">
        <f>HYPERLINK("https://www.spark-marketing.ru/Card/Lot/71470741", "Техническое обслуживание системы вентиляции, системы контроля и управления доступом, турникетов, шлагбаумов, видео аналитики, автоматических ворот, системы видеонаблюдения")</f>
        <v>Техническое обслуживание системы вентиляции, системы контроля и управления доступом, турникетов, шлагбаумов, видео аналитики, автоматических ворот, системы видеонаблюдения</v>
      </c>
      <c r="G6211" s="22" t="s">
        <v>3128</v>
      </c>
      <c r="H6211" s="22" t="s">
        <v>3184</v>
      </c>
      <c r="I6211" s="26">
        <v>43634.742361111101</v>
      </c>
      <c r="J6211" s="23" t="str">
        <f>HYPERLINK("https://www.spark-marketing.ru/Card/Person/234836", "ООО ""ЩИТ-СБ""")</f>
        <v>ООО "ЩИТ-СБ"</v>
      </c>
      <c r="K6211" s="24" t="s">
        <v>8049</v>
      </c>
      <c r="L6211" s="22" t="s">
        <v>10</v>
      </c>
      <c r="M6211" s="25">
        <v>191250</v>
      </c>
      <c r="N6211" s="27">
        <v>0.23499999999999999</v>
      </c>
    </row>
    <row r="6212" spans="1:14" x14ac:dyDescent="0.15">
      <c r="A6212" s="23" t="str">
        <f t="shared" ref="A6212:A6218" si="257">HYPERLINK("https://www.spark-marketing.ru/Card/Person/1062730", "ОУ ""ХАРЛАМОВСКАЯ ШКОЛА""")</f>
        <v>ОУ "ХАРЛАМОВСКАЯ ШКОЛА"</v>
      </c>
      <c r="B6212" s="24" t="s">
        <v>8050</v>
      </c>
      <c r="C6212" s="25">
        <v>234796</v>
      </c>
      <c r="D6212" s="22" t="s">
        <v>8051</v>
      </c>
      <c r="E6212" s="22" t="s">
        <v>84</v>
      </c>
      <c r="F6212" s="23" t="str">
        <f t="shared" ref="F6212:F6218" si="258">HYPERLINK("https://www.spark-marketing.ru/Card/Lot/71471219", "Установка системы видеонаблюдения")</f>
        <v>Установка системы видеонаблюдения</v>
      </c>
      <c r="G6212" s="22" t="s">
        <v>521</v>
      </c>
      <c r="H6212" s="22" t="s">
        <v>8052</v>
      </c>
      <c r="I6212" s="26">
        <v>43634.682638888902</v>
      </c>
      <c r="J6212" s="28" t="s">
        <v>52</v>
      </c>
      <c r="K6212" s="28" t="s">
        <v>52</v>
      </c>
      <c r="L6212" s="28" t="s">
        <v>52</v>
      </c>
      <c r="M6212" s="28" t="s">
        <v>52</v>
      </c>
      <c r="N6212" s="28" t="s">
        <v>52</v>
      </c>
    </row>
    <row r="6213" spans="1:14" hidden="1" outlineLevel="1" x14ac:dyDescent="0.2">
      <c r="A6213" s="23" t="str">
        <f t="shared" si="257"/>
        <v>ОУ "ХАРЛАМОВСКАЯ ШКОЛА"</v>
      </c>
      <c r="B6213" s="24" t="s">
        <v>8050</v>
      </c>
      <c r="C6213" s="25">
        <v>234796</v>
      </c>
      <c r="D6213" s="22" t="s">
        <v>8051</v>
      </c>
      <c r="E6213" s="22" t="s">
        <v>84</v>
      </c>
      <c r="F6213" s="23" t="str">
        <f t="shared" si="258"/>
        <v>Установка системы видеонаблюдения</v>
      </c>
      <c r="G6213" s="22" t="s">
        <v>521</v>
      </c>
      <c r="H6213" s="22" t="s">
        <v>8052</v>
      </c>
      <c r="I6213" s="26">
        <v>43634.682638888902</v>
      </c>
      <c r="J6213" s="23" t="str">
        <f>HYPERLINK("https://www.spark-marketing.ru/Card/Person/5951321", "ООО ""АВР""")</f>
        <v>ООО "АВР"</v>
      </c>
      <c r="K6213" s="24" t="s">
        <v>8053</v>
      </c>
      <c r="L6213" s="28" t="s">
        <v>52</v>
      </c>
      <c r="M6213" s="25">
        <v>233000</v>
      </c>
      <c r="N6213" s="27">
        <v>7.6491933423056607E-3</v>
      </c>
    </row>
    <row r="6214" spans="1:14" hidden="1" outlineLevel="1" x14ac:dyDescent="0.2">
      <c r="A6214" s="23" t="str">
        <f t="shared" si="257"/>
        <v>ОУ "ХАРЛАМОВСКАЯ ШКОЛА"</v>
      </c>
      <c r="B6214" s="24" t="s">
        <v>8050</v>
      </c>
      <c r="C6214" s="25">
        <v>234796</v>
      </c>
      <c r="D6214" s="22" t="s">
        <v>8051</v>
      </c>
      <c r="E6214" s="22" t="s">
        <v>84</v>
      </c>
      <c r="F6214" s="23" t="str">
        <f t="shared" si="258"/>
        <v>Установка системы видеонаблюдения</v>
      </c>
      <c r="G6214" s="22" t="s">
        <v>521</v>
      </c>
      <c r="H6214" s="22" t="s">
        <v>8052</v>
      </c>
      <c r="I6214" s="26">
        <v>43634.682638888902</v>
      </c>
      <c r="J6214" s="23" t="str">
        <f>HYPERLINK("https://www.spark-marketing.ru/Card/Person/5930409", "ООО ""ПОЖПРОФСИСТЕМ""")</f>
        <v>ООО "ПОЖПРОФСИСТЕМ"</v>
      </c>
      <c r="K6214" s="24" t="s">
        <v>8054</v>
      </c>
      <c r="L6214" s="28" t="s">
        <v>52</v>
      </c>
      <c r="M6214" s="25">
        <v>198000</v>
      </c>
      <c r="N6214" s="27">
        <v>0.15671476515783914</v>
      </c>
    </row>
    <row r="6215" spans="1:14" hidden="1" outlineLevel="1" x14ac:dyDescent="0.2">
      <c r="A6215" s="23" t="str">
        <f t="shared" si="257"/>
        <v>ОУ "ХАРЛАМОВСКАЯ ШКОЛА"</v>
      </c>
      <c r="B6215" s="24" t="s">
        <v>8050</v>
      </c>
      <c r="C6215" s="25">
        <v>234796</v>
      </c>
      <c r="D6215" s="22" t="s">
        <v>8051</v>
      </c>
      <c r="E6215" s="22" t="s">
        <v>84</v>
      </c>
      <c r="F6215" s="23" t="str">
        <f t="shared" si="258"/>
        <v>Установка системы видеонаблюдения</v>
      </c>
      <c r="G6215" s="22" t="s">
        <v>521</v>
      </c>
      <c r="H6215" s="22" t="s">
        <v>8052</v>
      </c>
      <c r="I6215" s="26">
        <v>43634.682638888902</v>
      </c>
      <c r="J6215" s="23" t="str">
        <f>HYPERLINK("https://www.spark-marketing.ru/Card/Person/4595840", "ООО ""ОСНОВА БЕЗОПАСНОСТИ""")</f>
        <v>ООО "ОСНОВА БЕЗОПАСНОСТИ"</v>
      </c>
      <c r="K6215" s="24" t="s">
        <v>8055</v>
      </c>
      <c r="L6215" s="28" t="s">
        <v>52</v>
      </c>
      <c r="M6215" s="25">
        <v>153791.38</v>
      </c>
      <c r="N6215" s="27">
        <v>0.34499999999999997</v>
      </c>
    </row>
    <row r="6216" spans="1:14" hidden="1" outlineLevel="1" x14ac:dyDescent="0.2">
      <c r="A6216" s="23" t="str">
        <f t="shared" si="257"/>
        <v>ОУ "ХАРЛАМОВСКАЯ ШКОЛА"</v>
      </c>
      <c r="B6216" s="24" t="s">
        <v>8050</v>
      </c>
      <c r="C6216" s="25">
        <v>234796</v>
      </c>
      <c r="D6216" s="22" t="s">
        <v>8051</v>
      </c>
      <c r="E6216" s="22" t="s">
        <v>84</v>
      </c>
      <c r="F6216" s="23" t="str">
        <f t="shared" si="258"/>
        <v>Установка системы видеонаблюдения</v>
      </c>
      <c r="G6216" s="22" t="s">
        <v>521</v>
      </c>
      <c r="H6216" s="22" t="s">
        <v>8052</v>
      </c>
      <c r="I6216" s="26">
        <v>43634.682638888902</v>
      </c>
      <c r="J6216" s="23" t="str">
        <f>HYPERLINK("https://www.spark-marketing.ru/Card/Person/4354275", "ООО ""ПЛАЗМА-ПЛЮС""")</f>
        <v>ООО "ПЛАЗМА-ПЛЮС"</v>
      </c>
      <c r="K6216" s="24" t="s">
        <v>8056</v>
      </c>
      <c r="L6216" s="28" t="s">
        <v>52</v>
      </c>
      <c r="M6216" s="25">
        <v>190184.76</v>
      </c>
      <c r="N6216" s="27">
        <v>0.19</v>
      </c>
    </row>
    <row r="6217" spans="1:14" ht="12.75" hidden="1" outlineLevel="1" x14ac:dyDescent="0.2">
      <c r="A6217" s="23" t="str">
        <f t="shared" si="257"/>
        <v>ОУ "ХАРЛАМОВСКАЯ ШКОЛА"</v>
      </c>
      <c r="B6217" s="24" t="s">
        <v>8050</v>
      </c>
      <c r="C6217" s="25">
        <v>234796</v>
      </c>
      <c r="D6217" s="22" t="s">
        <v>8051</v>
      </c>
      <c r="E6217" s="22" t="s">
        <v>84</v>
      </c>
      <c r="F6217" s="23" t="str">
        <f t="shared" si="258"/>
        <v>Установка системы видеонаблюдения</v>
      </c>
      <c r="G6217" s="22" t="s">
        <v>521</v>
      </c>
      <c r="H6217" s="22" t="s">
        <v>8052</v>
      </c>
      <c r="I6217" s="26">
        <v>43634.682638888902</v>
      </c>
      <c r="J6217" s="23" t="str">
        <f>HYPERLINK("https://www.spark-marketing.ru/Card/Person/1415973", "Масловец Сергей Владимирович")</f>
        <v>Масловец Сергей Владимирович</v>
      </c>
      <c r="K6217" s="24" t="s">
        <v>6015</v>
      </c>
      <c r="L6217" s="22" t="s">
        <v>10</v>
      </c>
      <c r="M6217" s="25">
        <v>153791.38</v>
      </c>
      <c r="N6217" s="27">
        <v>0.34499999999999997</v>
      </c>
    </row>
    <row r="6218" spans="1:14" hidden="1" outlineLevel="1" x14ac:dyDescent="0.2">
      <c r="A6218" s="23" t="str">
        <f t="shared" si="257"/>
        <v>ОУ "ХАРЛАМОВСКАЯ ШКОЛА"</v>
      </c>
      <c r="B6218" s="24" t="s">
        <v>8050</v>
      </c>
      <c r="C6218" s="25">
        <v>234796</v>
      </c>
      <c r="D6218" s="22" t="s">
        <v>8051</v>
      </c>
      <c r="E6218" s="22" t="s">
        <v>84</v>
      </c>
      <c r="F6218" s="23" t="str">
        <f t="shared" si="258"/>
        <v>Установка системы видеонаблюдения</v>
      </c>
      <c r="G6218" s="22" t="s">
        <v>521</v>
      </c>
      <c r="H6218" s="22" t="s">
        <v>8052</v>
      </c>
      <c r="I6218" s="26">
        <v>43634.682638888902</v>
      </c>
      <c r="J6218" s="23" t="str">
        <f>HYPERLINK("https://www.spark-marketing.ru/Card/Person/382256", "ООО ""ФАВОРИТ""")</f>
        <v>ООО "ФАВОРИТ"</v>
      </c>
      <c r="K6218" s="24" t="s">
        <v>8057</v>
      </c>
      <c r="L6218" s="28" t="s">
        <v>52</v>
      </c>
      <c r="M6218" s="25">
        <v>184000</v>
      </c>
      <c r="N6218" s="27">
        <v>0.21634099388405253</v>
      </c>
    </row>
    <row r="6219" spans="1:14" x14ac:dyDescent="0.15">
      <c r="A6219" s="23" t="str">
        <f>HYPERLINK("https://www.spark-marketing.ru/Card/Person/2450", "ФБУ ""АДМИНИСТРАЦИЯ ОБСКОГО БВП""")</f>
        <v>ФБУ "АДМИНИСТРАЦИЯ ОБСКОГО БВП"</v>
      </c>
      <c r="B6219" s="24" t="s">
        <v>206</v>
      </c>
      <c r="C6219" s="25">
        <v>300000</v>
      </c>
      <c r="D6219" s="22" t="s">
        <v>8058</v>
      </c>
      <c r="E6219" s="22" t="s">
        <v>585</v>
      </c>
      <c r="F6219" s="23" t="str">
        <f>HYPERLINK("https://www.spark-marketing.ru/Card/Lot/71471414", "Оказание услуг по обследованию технических средств обеспечения транспортной безопасности Новосибирского судоходного шлюза на предмет соответствия требованиям к функциональным свойствам, утверждённым Постановлением Правительства РФ от 26.09.2016 № 969...")</f>
        <v>Оказание услуг по обследованию технических средств обеспечения транспортной безопасности Новосибирского судоходного шлюза на предмет соответствия требованиям к функциональным свойствам, утверждённым Постановлением Правительства РФ от 26.09.2016 № 969...</v>
      </c>
      <c r="G6219" s="22" t="s">
        <v>209</v>
      </c>
      <c r="H6219" s="22" t="s">
        <v>210</v>
      </c>
      <c r="I6219" s="26">
        <v>43634.683333333298</v>
      </c>
      <c r="J6219" s="28" t="s">
        <v>52</v>
      </c>
      <c r="K6219" s="28" t="s">
        <v>52</v>
      </c>
      <c r="L6219" s="28" t="s">
        <v>52</v>
      </c>
      <c r="M6219" s="28" t="s">
        <v>52</v>
      </c>
      <c r="N6219" s="28" t="s">
        <v>52</v>
      </c>
    </row>
    <row r="6220" spans="1:14" hidden="1" outlineLevel="1" x14ac:dyDescent="0.2">
      <c r="A6220" s="23" t="str">
        <f>HYPERLINK("https://www.spark-marketing.ru/Card/Person/2450", "ФБУ ""АДМИНИСТРАЦИЯ ОБСКОГО БВП""")</f>
        <v>ФБУ "АДМИНИСТРАЦИЯ ОБСКОГО БВП"</v>
      </c>
      <c r="B6220" s="24" t="s">
        <v>206</v>
      </c>
      <c r="C6220" s="25">
        <v>300000</v>
      </c>
      <c r="D6220" s="22" t="s">
        <v>8058</v>
      </c>
      <c r="E6220" s="22" t="s">
        <v>585</v>
      </c>
      <c r="F6220" s="23" t="str">
        <f>HYPERLINK("https://www.spark-marketing.ru/Card/Lot/71471414", "Оказание услуг по обследованию технических средств обеспечения транспортной безопасности Новосибирского судоходного шлюза на предмет соответствия требованиям к функциональным свойствам, утверждённым Постановлением Правительства РФ от 26.09.2016 № 969...")</f>
        <v>Оказание услуг по обследованию технических средств обеспечения транспортной безопасности Новосибирского судоходного шлюза на предмет соответствия требованиям к функциональным свойствам, утверждённым Постановлением Правительства РФ от 26.09.2016 № 969...</v>
      </c>
      <c r="G6220" s="22" t="s">
        <v>209</v>
      </c>
      <c r="H6220" s="22" t="s">
        <v>210</v>
      </c>
      <c r="I6220" s="26">
        <v>43634.683333333298</v>
      </c>
      <c r="J6220" s="23" t="str">
        <f>HYPERLINK("https://www.spark-marketing.ru/Card/Person/186249", "ООО ""СИБ""")</f>
        <v>ООО "СИБ"</v>
      </c>
      <c r="K6220" s="24" t="s">
        <v>8059</v>
      </c>
      <c r="L6220" s="28" t="s">
        <v>52</v>
      </c>
      <c r="M6220" s="25">
        <v>1400</v>
      </c>
      <c r="N6220" s="27">
        <v>0.99533333333333329</v>
      </c>
    </row>
    <row r="6221" spans="1:14" ht="12.75" hidden="1" outlineLevel="1" x14ac:dyDescent="0.2">
      <c r="A6221" s="23" t="str">
        <f>HYPERLINK("https://www.spark-marketing.ru/Card/Person/2450", "ФБУ ""АДМИНИСТРАЦИЯ ОБСКОГО БВП""")</f>
        <v>ФБУ "АДМИНИСТРАЦИЯ ОБСКОГО БВП"</v>
      </c>
      <c r="B6221" s="24" t="s">
        <v>206</v>
      </c>
      <c r="C6221" s="25">
        <v>300000</v>
      </c>
      <c r="D6221" s="22" t="s">
        <v>8058</v>
      </c>
      <c r="E6221" s="22" t="s">
        <v>585</v>
      </c>
      <c r="F6221" s="23" t="str">
        <f>HYPERLINK("https://www.spark-marketing.ru/Card/Lot/71471414", "Оказание услуг по обследованию технических средств обеспечения транспортной безопасности Новосибирского судоходного шлюза на предмет соответствия требованиям к функциональным свойствам, утверждённым Постановлением Правительства РФ от 26.09.2016 № 969...")</f>
        <v>Оказание услуг по обследованию технических средств обеспечения транспортной безопасности Новосибирского судоходного шлюза на предмет соответствия требованиям к функциональным свойствам, утверждённым Постановлением Правительства РФ от 26.09.2016 № 969...</v>
      </c>
      <c r="G6221" s="22" t="s">
        <v>209</v>
      </c>
      <c r="H6221" s="22" t="s">
        <v>210</v>
      </c>
      <c r="I6221" s="26">
        <v>43634.683333333298</v>
      </c>
      <c r="J6221" s="23" t="str">
        <f>HYPERLINK("https://www.spark-marketing.ru/Card/Person/2028015", "ООО ""КРАФТ""")</f>
        <v>ООО "КРАФТ"</v>
      </c>
      <c r="K6221" s="24" t="s">
        <v>8060</v>
      </c>
      <c r="L6221" s="22" t="s">
        <v>10</v>
      </c>
      <c r="M6221" s="25">
        <v>100</v>
      </c>
      <c r="N6221" s="27">
        <v>0.9996666666666667</v>
      </c>
    </row>
    <row r="6222" spans="1:14" x14ac:dyDescent="0.15">
      <c r="A6222" s="23" t="str">
        <f>HYPERLINK("https://www.spark-marketing.ru/Card/Person/6417930", "СИБНЕФТЕГАЗ АО СИБНЕФТЕГАЗ")</f>
        <v>СИБНЕФТЕГАЗ АО СИБНЕФТЕГАЗ</v>
      </c>
      <c r="B6222" s="28" t="s">
        <v>52</v>
      </c>
      <c r="C6222" s="28" t="s">
        <v>52</v>
      </c>
      <c r="D6222" s="22" t="s">
        <v>8061</v>
      </c>
      <c r="E6222" s="22" t="s">
        <v>6755</v>
      </c>
      <c r="F6222" s="23" t="str">
        <f>HYPERLINK("https://www.spark-marketing.ru/Card/Lot/71460883", "Оказание услуг по сопровождению строительного процесса по объектам деятельности заказчика")</f>
        <v>Оказание услуг по сопровождению строительного процесса по объектам деятельности заказчика</v>
      </c>
      <c r="G6222" s="22" t="s">
        <v>52</v>
      </c>
      <c r="H6222" s="22" t="s">
        <v>52</v>
      </c>
      <c r="I6222" s="26">
        <v>43634.677083333299</v>
      </c>
      <c r="J6222" s="28" t="s">
        <v>52</v>
      </c>
      <c r="K6222" s="28" t="s">
        <v>52</v>
      </c>
      <c r="L6222" s="28" t="s">
        <v>52</v>
      </c>
      <c r="M6222" s="28" t="s">
        <v>52</v>
      </c>
      <c r="N6222" s="28" t="s">
        <v>52</v>
      </c>
    </row>
    <row r="6223" spans="1:14" x14ac:dyDescent="0.15">
      <c r="A6223" s="23" t="str">
        <f>HYPERLINK("https://www.spark-marketing.ru/Card/Person/26418", "ГЛАВНОЕ УПРАВЛЕНИЕ МЧС РОССИИ ПО МУРМАНСКОЙ ОБЛАСТИ")</f>
        <v>ГЛАВНОЕ УПРАВЛЕНИЕ МЧС РОССИИ ПО МУРМАНСКОЙ ОБЛАСТИ</v>
      </c>
      <c r="B6223" s="24" t="s">
        <v>8062</v>
      </c>
      <c r="C6223" s="25">
        <v>59634.6</v>
      </c>
      <c r="D6223" s="22" t="s">
        <v>8063</v>
      </c>
      <c r="E6223" s="22" t="s">
        <v>53</v>
      </c>
      <c r="F6223" s="23" t="str">
        <f>HYPERLINK("https://www.spark-marketing.ru/Card/Lot/71459974", "Оказание услуг по техническому обслуживанию комплекса технических средств охраны на объектах")</f>
        <v>Оказание услуг по техническому обслуживанию комплекса технических средств охраны на объектах</v>
      </c>
      <c r="G6223" s="22" t="s">
        <v>190</v>
      </c>
      <c r="H6223" s="22" t="s">
        <v>191</v>
      </c>
      <c r="I6223" s="26">
        <v>43634.701770833301</v>
      </c>
      <c r="J6223" s="28" t="s">
        <v>52</v>
      </c>
      <c r="K6223" s="28" t="s">
        <v>52</v>
      </c>
      <c r="L6223" s="28" t="s">
        <v>52</v>
      </c>
      <c r="M6223" s="28" t="s">
        <v>52</v>
      </c>
      <c r="N6223" s="28" t="s">
        <v>52</v>
      </c>
    </row>
    <row r="6224" spans="1:14" x14ac:dyDescent="0.15">
      <c r="A6224" s="23" t="str">
        <f>HYPERLINK("https://www.spark-marketing.ru/Card/Person/4344644", "УПРАВЛЕНИЕ ДЕЛАМИ ГУБЕРНАТОРА АСТРАХАНСКОЙ ОБЛАСТИ")</f>
        <v>УПРАВЛЕНИЕ ДЕЛАМИ ГУБЕРНАТОРА АСТРАХАНСКОЙ ОБЛАСТИ</v>
      </c>
      <c r="B6224" s="24" t="s">
        <v>1898</v>
      </c>
      <c r="C6224" s="25">
        <v>150000</v>
      </c>
      <c r="D6224" s="22" t="s">
        <v>8064</v>
      </c>
      <c r="E6224" s="22" t="s">
        <v>8065</v>
      </c>
      <c r="F6224" s="23" t="str">
        <f>HYPERLINK("https://www.spark-marketing.ru/Card/Lot/71469101", "Поставка часов по мероприятию 1.1.14 ""Обеспечение ежегодного награждения ценными подарками участников добровольных дружин, сотрудников частных охранных предприятий, представителей казачества и иных граждан, принявших наиболее активное участие в охра...")</f>
        <v>Поставка часов по мероприятию 1.1.14 "Обеспечение ежегодного награждения ценными подарками участников добровольных дружин, сотрудников частных охранных предприятий, представителей казачества и иных граждан, принявших наиболее активное участие в охра...</v>
      </c>
      <c r="G6224" s="22" t="s">
        <v>565</v>
      </c>
      <c r="H6224" s="22" t="s">
        <v>566</v>
      </c>
      <c r="I6224" s="26">
        <v>43634.704166666699</v>
      </c>
      <c r="J6224" s="23" t="str">
        <f>HYPERLINK("https://www.spark-marketing.ru/Card/Person/858395", "ООО ""ХРОНОЛЮКС""")</f>
        <v>ООО "ХРОНОЛЮКС"</v>
      </c>
      <c r="K6224" s="24" t="s">
        <v>8066</v>
      </c>
      <c r="L6224" s="22" t="s">
        <v>10</v>
      </c>
      <c r="M6224" s="28" t="s">
        <v>52</v>
      </c>
      <c r="N6224" s="28" t="s">
        <v>52</v>
      </c>
    </row>
    <row r="6225" spans="1:14" x14ac:dyDescent="0.15">
      <c r="A6225" s="23" t="str">
        <f>HYPERLINK("https://www.spark-marketing.ru/Card/Person/4416164", "ООО ""ЗАВОД ТЕХНОНИКОЛЬ-УЛЬЯНОВСК""")</f>
        <v>ООО "ЗАВОД ТЕХНОНИКОЛЬ-УЛЬЯНОВСК"</v>
      </c>
      <c r="B6225" s="24" t="s">
        <v>7476</v>
      </c>
      <c r="C6225" s="28" t="s">
        <v>52</v>
      </c>
      <c r="D6225" s="22" t="s">
        <v>8067</v>
      </c>
      <c r="E6225" s="22" t="s">
        <v>52</v>
      </c>
      <c r="F6225" s="23" t="str">
        <f>HYPERLINK("https://www.spark-marketing.ru/Card/Lot/71468768", "Оказание услуг охраны производственной площадки и объектов")</f>
        <v>Оказание услуг охраны производственной площадки и объектов</v>
      </c>
      <c r="G6225" s="22" t="s">
        <v>446</v>
      </c>
      <c r="H6225" s="22" t="s">
        <v>7478</v>
      </c>
      <c r="I6225" s="26">
        <v>43634.688460648104</v>
      </c>
      <c r="J6225" s="28" t="s">
        <v>52</v>
      </c>
      <c r="K6225" s="28" t="s">
        <v>52</v>
      </c>
      <c r="L6225" s="28" t="s">
        <v>52</v>
      </c>
      <c r="M6225" s="28" t="s">
        <v>52</v>
      </c>
      <c r="N6225" s="28" t="s">
        <v>52</v>
      </c>
    </row>
    <row r="6226" spans="1:14" x14ac:dyDescent="0.15">
      <c r="A6226" s="23" t="str">
        <f>HYPERLINK("https://www.spark-marketing.ru/Card/Person/4374259", "ОГКУ ""СУДИСЛАВСКОЕ ЛЕСНИЧЕСТВО""")</f>
        <v>ОГКУ "СУДИСЛАВСКОЕ ЛЕСНИЧЕСТВО"</v>
      </c>
      <c r="B6226" s="24" t="s">
        <v>8068</v>
      </c>
      <c r="C6226" s="25">
        <v>40743.300000000003</v>
      </c>
      <c r="D6226" s="22" t="s">
        <v>8069</v>
      </c>
      <c r="E6226" s="22" t="s">
        <v>68</v>
      </c>
      <c r="F6226" s="23" t="str">
        <f>HYPERLINK("https://www.spark-marketing.ru/Card/Lot/71455836", "Услуги по централизованной охране путем приема на пульт централизованного наблюдения и реагирования группами задержания на тревожные сообщения, поступающие с объекта охраны")</f>
        <v>Услуги по централизованной охране путем приема на пульт централизованного наблюдения и реагирования группами задержания на тревожные сообщения, поступающие с объекта охраны</v>
      </c>
      <c r="G6226" s="22" t="s">
        <v>1104</v>
      </c>
      <c r="H6226" s="22" t="s">
        <v>8070</v>
      </c>
      <c r="I6226" s="26">
        <v>43634.641666666699</v>
      </c>
      <c r="J6226" s="28" t="s">
        <v>52</v>
      </c>
      <c r="K6226" s="28" t="s">
        <v>52</v>
      </c>
      <c r="L6226" s="28" t="s">
        <v>52</v>
      </c>
      <c r="M6226" s="28" t="s">
        <v>52</v>
      </c>
      <c r="N6226" s="28" t="s">
        <v>52</v>
      </c>
    </row>
    <row r="6227" spans="1:14" x14ac:dyDescent="0.15">
      <c r="A6227" s="23" t="str">
        <f>HYPERLINK("https://www.spark-marketing.ru/Card/Person/50352", "ДРОВНИНСКАЯ СРЕДНЯЯ ШКОЛА")</f>
        <v>ДРОВНИНСКАЯ СРЕДНЯЯ ШКОЛА</v>
      </c>
      <c r="B6227" s="24" t="s">
        <v>4204</v>
      </c>
      <c r="C6227" s="25">
        <v>221000</v>
      </c>
      <c r="D6227" s="22" t="s">
        <v>8071</v>
      </c>
      <c r="E6227" s="22" t="s">
        <v>208</v>
      </c>
      <c r="F6227" s="23" t="str">
        <f>HYPERLINK("https://www.spark-marketing.ru/Card/Lot/71470498", "Поставка и установка системы контроля и управление доступом, стационарных рамок металлодетектора, системы видеодомофонии")</f>
        <v>Поставка и установка системы контроля и управление доступом, стационарных рамок металлодетектора, системы видеодомофонии</v>
      </c>
      <c r="G6227" s="22" t="s">
        <v>50</v>
      </c>
      <c r="H6227" s="22" t="s">
        <v>399</v>
      </c>
      <c r="I6227" s="26">
        <v>43634.644444444399</v>
      </c>
      <c r="J6227" s="28" t="s">
        <v>52</v>
      </c>
      <c r="K6227" s="28" t="s">
        <v>52</v>
      </c>
      <c r="L6227" s="28" t="s">
        <v>52</v>
      </c>
      <c r="M6227" s="28" t="s">
        <v>52</v>
      </c>
      <c r="N6227" s="28" t="s">
        <v>52</v>
      </c>
    </row>
    <row r="6228" spans="1:14" ht="12.75" hidden="1" outlineLevel="1" x14ac:dyDescent="0.2">
      <c r="A6228" s="23" t="str">
        <f>HYPERLINK("https://www.spark-marketing.ru/Card/Person/50352", "ДРОВНИНСКАЯ СРЕДНЯЯ ШКОЛА")</f>
        <v>ДРОВНИНСКАЯ СРЕДНЯЯ ШКОЛА</v>
      </c>
      <c r="B6228" s="24" t="s">
        <v>4204</v>
      </c>
      <c r="C6228" s="25">
        <v>221000</v>
      </c>
      <c r="D6228" s="22" t="s">
        <v>8071</v>
      </c>
      <c r="E6228" s="22" t="s">
        <v>208</v>
      </c>
      <c r="F6228" s="23" t="str">
        <f>HYPERLINK("https://www.spark-marketing.ru/Card/Lot/71470498", "Поставка и установка системы контроля и управление доступом, стационарных рамок металлодетектора, системы видеодомофонии")</f>
        <v>Поставка и установка системы контроля и управление доступом, стационарных рамок металлодетектора, системы видеодомофонии</v>
      </c>
      <c r="G6228" s="22" t="s">
        <v>50</v>
      </c>
      <c r="H6228" s="22" t="s">
        <v>399</v>
      </c>
      <c r="I6228" s="26">
        <v>43634.644444444399</v>
      </c>
      <c r="J6228" s="23" t="str">
        <f>HYPERLINK("https://www.spark-marketing.ru/Card/Person/4439350", "ООО ""ЧОО ""ТРИГЛАВ""")</f>
        <v>ООО "ЧОО "ТРИГЛАВ"</v>
      </c>
      <c r="K6228" s="24" t="s">
        <v>1198</v>
      </c>
      <c r="L6228" s="22" t="s">
        <v>10</v>
      </c>
      <c r="M6228" s="25">
        <v>193375</v>
      </c>
      <c r="N6228" s="27">
        <v>0.125</v>
      </c>
    </row>
    <row r="6229" spans="1:14" hidden="1" outlineLevel="1" x14ac:dyDescent="0.2">
      <c r="A6229" s="23" t="str">
        <f>HYPERLINK("https://www.spark-marketing.ru/Card/Person/50352", "ДРОВНИНСКАЯ СРЕДНЯЯ ШКОЛА")</f>
        <v>ДРОВНИНСКАЯ СРЕДНЯЯ ШКОЛА</v>
      </c>
      <c r="B6229" s="24" t="s">
        <v>4204</v>
      </c>
      <c r="C6229" s="25">
        <v>221000</v>
      </c>
      <c r="D6229" s="22" t="s">
        <v>8071</v>
      </c>
      <c r="E6229" s="22" t="s">
        <v>208</v>
      </c>
      <c r="F6229" s="23" t="str">
        <f>HYPERLINK("https://www.spark-marketing.ru/Card/Lot/71470498", "Поставка и установка системы контроля и управление доступом, стационарных рамок металлодетектора, системы видеодомофонии")</f>
        <v>Поставка и установка системы контроля и управление доступом, стационарных рамок металлодетектора, системы видеодомофонии</v>
      </c>
      <c r="G6229" s="22" t="s">
        <v>50</v>
      </c>
      <c r="H6229" s="22" t="s">
        <v>399</v>
      </c>
      <c r="I6229" s="26">
        <v>43634.644444444399</v>
      </c>
      <c r="J6229" s="23" t="str">
        <f>HYPERLINK("https://www.spark-marketing.ru/Card/Person/6493571", "ООО ""АНТИГАН""")</f>
        <v>ООО "АНТИГАН"</v>
      </c>
      <c r="K6229" s="24" t="s">
        <v>6048</v>
      </c>
      <c r="L6229" s="28" t="s">
        <v>52</v>
      </c>
      <c r="M6229" s="25">
        <v>204425</v>
      </c>
      <c r="N6229" s="27">
        <v>7.4999999999999997E-2</v>
      </c>
    </row>
    <row r="6230" spans="1:14" hidden="1" outlineLevel="1" x14ac:dyDescent="0.2">
      <c r="A6230" s="23" t="str">
        <f>HYPERLINK("https://www.spark-marketing.ru/Card/Person/50352", "ДРОВНИНСКАЯ СРЕДНЯЯ ШКОЛА")</f>
        <v>ДРОВНИНСКАЯ СРЕДНЯЯ ШКОЛА</v>
      </c>
      <c r="B6230" s="24" t="s">
        <v>4204</v>
      </c>
      <c r="C6230" s="25">
        <v>221000</v>
      </c>
      <c r="D6230" s="22" t="s">
        <v>8071</v>
      </c>
      <c r="E6230" s="22" t="s">
        <v>208</v>
      </c>
      <c r="F6230" s="23" t="str">
        <f>HYPERLINK("https://www.spark-marketing.ru/Card/Lot/71470498", "Поставка и установка системы контроля и управление доступом, стационарных рамок металлодетектора, системы видеодомофонии")</f>
        <v>Поставка и установка системы контроля и управление доступом, стационарных рамок металлодетектора, системы видеодомофонии</v>
      </c>
      <c r="G6230" s="22" t="s">
        <v>50</v>
      </c>
      <c r="H6230" s="22" t="s">
        <v>399</v>
      </c>
      <c r="I6230" s="26">
        <v>43634.644444444399</v>
      </c>
      <c r="J6230" s="23" t="str">
        <f>HYPERLINK("https://www.spark-marketing.ru/Card/Person/358549", "Капральнов Юрий Борисович")</f>
        <v>Капральнов Юрий Борисович</v>
      </c>
      <c r="K6230" s="24" t="s">
        <v>1290</v>
      </c>
      <c r="L6230" s="28" t="s">
        <v>52</v>
      </c>
      <c r="M6230" s="25">
        <v>221000</v>
      </c>
      <c r="N6230" s="27">
        <v>0</v>
      </c>
    </row>
    <row r="6231" spans="1:14" x14ac:dyDescent="0.15">
      <c r="A6231" s="23" t="str">
        <f>HYPERLINK("https://www.spark-marketing.ru/Card/Person/220459", "МУП Г. БИЙСКА ""БИЙСКГОРТРАНС""")</f>
        <v>МУП Г. БИЙСКА "БИЙСКГОРТРАНС"</v>
      </c>
      <c r="B6231" s="24" t="s">
        <v>8072</v>
      </c>
      <c r="C6231" s="25">
        <v>270000</v>
      </c>
      <c r="D6231" s="22" t="s">
        <v>8073</v>
      </c>
      <c r="E6231" s="22" t="s">
        <v>2577</v>
      </c>
      <c r="F6231" s="23" t="str">
        <f>HYPERLINK("https://www.spark-marketing.ru/Card/Lot/71447949", "услуга по разработке Планов обеспечения транспортной безопасности транспортных средств")</f>
        <v>услуга по разработке Планов обеспечения транспортной безопасности транспортных средств</v>
      </c>
      <c r="G6231" s="22" t="s">
        <v>428</v>
      </c>
      <c r="H6231" s="22" t="s">
        <v>428</v>
      </c>
      <c r="I6231" s="26">
        <v>43634.634780092601</v>
      </c>
      <c r="J6231" s="28" t="s">
        <v>52</v>
      </c>
      <c r="K6231" s="28" t="s">
        <v>52</v>
      </c>
      <c r="L6231" s="28" t="s">
        <v>52</v>
      </c>
      <c r="M6231" s="28" t="s">
        <v>52</v>
      </c>
      <c r="N6231" s="28" t="s">
        <v>52</v>
      </c>
    </row>
    <row r="6232" spans="1:14" x14ac:dyDescent="0.15">
      <c r="A6232" s="23" t="str">
        <f>HYPERLINK("https://www.spark-marketing.ru/Card/Person/12376", "ФКУ ""ЦХИСО УМВД РОССИИ ПО МУРМАНСКОЙ ОБЛАСТИ""")</f>
        <v>ФКУ "ЦХИСО УМВД РОССИИ ПО МУРМАНСКОЙ ОБЛАСТИ"</v>
      </c>
      <c r="B6232" s="24" t="s">
        <v>8074</v>
      </c>
      <c r="C6232" s="25">
        <v>10000</v>
      </c>
      <c r="D6232" s="22" t="s">
        <v>8075</v>
      </c>
      <c r="E6232" s="22" t="s">
        <v>208</v>
      </c>
      <c r="F6232" s="23" t="str">
        <f>HYPERLINK("https://www.spark-marketing.ru/Card/Lot/71456761", "Охранная сигнализация в комплекте с установкой, 1 шт")</f>
        <v>Охранная сигнализация в комплекте с установкой, 1 шт</v>
      </c>
      <c r="G6232" s="22" t="s">
        <v>190</v>
      </c>
      <c r="H6232" s="22" t="s">
        <v>191</v>
      </c>
      <c r="I6232" s="26">
        <v>43634.649803240703</v>
      </c>
      <c r="J6232" s="28" t="s">
        <v>52</v>
      </c>
      <c r="K6232" s="28" t="s">
        <v>52</v>
      </c>
      <c r="L6232" s="28" t="s">
        <v>52</v>
      </c>
      <c r="M6232" s="28" t="s">
        <v>52</v>
      </c>
      <c r="N6232" s="28" t="s">
        <v>52</v>
      </c>
    </row>
    <row r="6233" spans="1:14" x14ac:dyDescent="0.15">
      <c r="A6233" s="23" t="str">
        <f>HYPERLINK("https://www.spark-marketing.ru/Card/Person/48248", "ГУП ""МОСГОРТРАНС""")</f>
        <v>ГУП "МОСГОРТРАНС"</v>
      </c>
      <c r="B6233" s="24" t="s">
        <v>1862</v>
      </c>
      <c r="C6233" s="25">
        <v>2048500</v>
      </c>
      <c r="D6233" s="22" t="s">
        <v>8076</v>
      </c>
      <c r="E6233" s="22" t="s">
        <v>194</v>
      </c>
      <c r="F6233" s="23" t="str">
        <f>HYPERLINK("https://www.spark-marketing.ru/Card/Lot/71475493", "Поставка носимых индивидуальных видеорегистраторов для нужд филиала Служба транспортной безопасности ГУП «Мосгортранс»")</f>
        <v>Поставка носимых индивидуальных видеорегистраторов для нужд филиала Служба транспортной безопасности ГУП «Мосгортранс»</v>
      </c>
      <c r="G6233" s="22" t="s">
        <v>55</v>
      </c>
      <c r="H6233" s="22" t="s">
        <v>55</v>
      </c>
      <c r="I6233" s="26">
        <v>43634.637499999997</v>
      </c>
      <c r="J6233" s="28" t="s">
        <v>52</v>
      </c>
      <c r="K6233" s="28" t="s">
        <v>52</v>
      </c>
      <c r="L6233" s="28" t="s">
        <v>52</v>
      </c>
      <c r="M6233" s="28" t="s">
        <v>52</v>
      </c>
      <c r="N6233" s="28" t="s">
        <v>52</v>
      </c>
    </row>
    <row r="6234" spans="1:14" ht="12.75" hidden="1" outlineLevel="1" x14ac:dyDescent="0.2">
      <c r="A6234" s="23" t="str">
        <f>HYPERLINK("https://www.spark-marketing.ru/Card/Person/48248", "ГУП ""МОСГОРТРАНС""")</f>
        <v>ГУП "МОСГОРТРАНС"</v>
      </c>
      <c r="B6234" s="24" t="s">
        <v>1862</v>
      </c>
      <c r="C6234" s="25">
        <v>2048500</v>
      </c>
      <c r="D6234" s="22" t="s">
        <v>8076</v>
      </c>
      <c r="E6234" s="22" t="s">
        <v>194</v>
      </c>
      <c r="F6234" s="23" t="str">
        <f>HYPERLINK("https://www.spark-marketing.ru/Card/Lot/71475493", "Поставка носимых индивидуальных видеорегистраторов для нужд филиала Служба транспортной безопасности ГУП «Мосгортранс»")</f>
        <v>Поставка носимых индивидуальных видеорегистраторов для нужд филиала Служба транспортной безопасности ГУП «Мосгортранс»</v>
      </c>
      <c r="G6234" s="22" t="s">
        <v>55</v>
      </c>
      <c r="H6234" s="22" t="s">
        <v>55</v>
      </c>
      <c r="I6234" s="26">
        <v>43634.637499999997</v>
      </c>
      <c r="J6234" s="23" t="str">
        <f>HYPERLINK("https://www.spark-marketing.ru/Card/Person/6496886", "Лесной Андрей Геннадьевич")</f>
        <v>Лесной Андрей Геннадьевич</v>
      </c>
      <c r="K6234" s="24" t="s">
        <v>8077</v>
      </c>
      <c r="L6234" s="22" t="s">
        <v>10</v>
      </c>
      <c r="M6234" s="25">
        <v>2028015</v>
      </c>
      <c r="N6234" s="27">
        <v>0.01</v>
      </c>
    </row>
    <row r="6235" spans="1:14" hidden="1" outlineLevel="1" x14ac:dyDescent="0.2">
      <c r="A6235" s="23" t="str">
        <f>HYPERLINK("https://www.spark-marketing.ru/Card/Person/48248", "ГУП ""МОСГОРТРАНС""")</f>
        <v>ГУП "МОСГОРТРАНС"</v>
      </c>
      <c r="B6235" s="24" t="s">
        <v>1862</v>
      </c>
      <c r="C6235" s="25">
        <v>2048500</v>
      </c>
      <c r="D6235" s="22" t="s">
        <v>8076</v>
      </c>
      <c r="E6235" s="22" t="s">
        <v>194</v>
      </c>
      <c r="F6235" s="23" t="str">
        <f>HYPERLINK("https://www.spark-marketing.ru/Card/Lot/71475493", "Поставка носимых индивидуальных видеорегистраторов для нужд филиала Служба транспортной безопасности ГУП «Мосгортранс»")</f>
        <v>Поставка носимых индивидуальных видеорегистраторов для нужд филиала Служба транспортной безопасности ГУП «Мосгортранс»</v>
      </c>
      <c r="G6235" s="22" t="s">
        <v>55</v>
      </c>
      <c r="H6235" s="22" t="s">
        <v>55</v>
      </c>
      <c r="I6235" s="26">
        <v>43634.637499999997</v>
      </c>
      <c r="J6235" s="23" t="str">
        <f>HYPERLINK("https://www.spark-marketing.ru/Card/Person/6576893", "ООО ""РЕСЕРЧ ЛАБ""")</f>
        <v>ООО "РЕСЕРЧ ЛАБ"</v>
      </c>
      <c r="K6235" s="24" t="s">
        <v>8078</v>
      </c>
      <c r="L6235" s="28" t="s">
        <v>52</v>
      </c>
      <c r="M6235" s="25">
        <v>2038257.5</v>
      </c>
      <c r="N6235" s="27">
        <v>5.0000000000000001E-3</v>
      </c>
    </row>
    <row r="6236" spans="1:14" x14ac:dyDescent="0.15">
      <c r="A6236" s="23" t="str">
        <f>HYPERLINK("https://www.spark-marketing.ru/Card/Person/27213", "БУ ""ХАНТЫ-МАНСИЙСКАЯ РАЙОННАЯ БОЛЬНИЦА""")</f>
        <v>БУ "ХАНТЫ-МАНСИЙСКАЯ РАЙОННАЯ БОЛЬНИЦА"</v>
      </c>
      <c r="B6236" s="24" t="s">
        <v>8079</v>
      </c>
      <c r="C6236" s="25">
        <v>100000</v>
      </c>
      <c r="D6236" s="22" t="s">
        <v>8080</v>
      </c>
      <c r="E6236" s="22" t="s">
        <v>107</v>
      </c>
      <c r="F6236" s="23" t="str">
        <f>HYPERLINK("https://www.spark-marketing.ru/Card/Lot/71467989", "оказание услуг по техническому обслуживанию систем видеонаблюдения")</f>
        <v>оказание услуг по техническому обслуживанию систем видеонаблюдения</v>
      </c>
      <c r="G6236" s="22" t="s">
        <v>119</v>
      </c>
      <c r="H6236" s="22" t="s">
        <v>2563</v>
      </c>
      <c r="I6236" s="26">
        <v>43634.628472222197</v>
      </c>
      <c r="J6236" s="23" t="str">
        <f>HYPERLINK("https://www.spark-marketing.ru/Card/Person/4565283", "ООО ""ЭКСПЕРТ""")</f>
        <v>ООО "ЭКСПЕРТ"</v>
      </c>
      <c r="K6236" s="24" t="s">
        <v>8081</v>
      </c>
      <c r="L6236" s="22" t="s">
        <v>10</v>
      </c>
      <c r="M6236" s="28" t="s">
        <v>52</v>
      </c>
      <c r="N6236" s="28" t="s">
        <v>52</v>
      </c>
    </row>
    <row r="6237" spans="1:14" x14ac:dyDescent="0.15">
      <c r="A6237" s="23" t="str">
        <f>HYPERLINK("https://www.spark-marketing.ru/Card/Person/645596", "ОТДЕЛ МВД РОССИИ ПО БИРСКОМУ РАЙОНУ")</f>
        <v>ОТДЕЛ МВД РОССИИ ПО БИРСКОМУ РАЙОНУ</v>
      </c>
      <c r="B6237" s="24" t="s">
        <v>7909</v>
      </c>
      <c r="C6237" s="25">
        <v>97500</v>
      </c>
      <c r="D6237" s="22" t="s">
        <v>8082</v>
      </c>
      <c r="E6237" s="22" t="s">
        <v>59</v>
      </c>
      <c r="F6237" s="23" t="str">
        <f>HYPERLINK("https://www.spark-marketing.ru/Card/Lot/71453804", "Работ по установке комплекса охранной сигнализации, 1 шт")</f>
        <v>Работ по установке комплекса охранной сигнализации, 1 шт</v>
      </c>
      <c r="G6237" s="22" t="s">
        <v>100</v>
      </c>
      <c r="H6237" s="22" t="s">
        <v>4453</v>
      </c>
      <c r="I6237" s="26">
        <v>43634.589317129597</v>
      </c>
      <c r="J6237" s="28" t="s">
        <v>52</v>
      </c>
      <c r="K6237" s="28" t="s">
        <v>52</v>
      </c>
      <c r="L6237" s="28" t="s">
        <v>52</v>
      </c>
      <c r="M6237" s="28" t="s">
        <v>52</v>
      </c>
      <c r="N6237" s="28" t="s">
        <v>52</v>
      </c>
    </row>
    <row r="6238" spans="1:14" x14ac:dyDescent="0.15">
      <c r="A6238" s="23" t="str">
        <f>HYPERLINK("https://www.spark-marketing.ru/Card/Person/17791", "АДМИНИСТРАЦИЯ АЛЕКСАНДРОВСКОГО РАЙОНА ВЛАДИМИРСКОЙ ОБЛАСТИ")</f>
        <v>АДМИНИСТРАЦИЯ АЛЕКСАНДРОВСКОГО РАЙОНА ВЛАДИМИРСКОЙ ОБЛАСТИ</v>
      </c>
      <c r="B6238" s="24" t="s">
        <v>8083</v>
      </c>
      <c r="C6238" s="25">
        <v>400000</v>
      </c>
      <c r="D6238" s="22" t="s">
        <v>8084</v>
      </c>
      <c r="E6238" s="22" t="s">
        <v>1297</v>
      </c>
      <c r="F6238" s="23" t="str">
        <f>HYPERLINK("https://www.spark-marketing.ru/Card/Lot/71472300", "Поставка, установка и подключение системы видеонаблюдения в д.Площево Александровского района")</f>
        <v>Поставка, установка и подключение системы видеонаблюдения в д.Площево Александровского района</v>
      </c>
      <c r="G6238" s="22" t="s">
        <v>145</v>
      </c>
      <c r="H6238" s="22" t="s">
        <v>8085</v>
      </c>
      <c r="I6238" s="26">
        <v>43634.599305555603</v>
      </c>
      <c r="J6238" s="23" t="str">
        <f>HYPERLINK("https://www.spark-marketing.ru/Card/Person/6340734", "Норова Валентина Николаевна")</f>
        <v>Норова Валентина Николаевна</v>
      </c>
      <c r="K6238" s="24" t="s">
        <v>8086</v>
      </c>
      <c r="L6238" s="28" t="s">
        <v>52</v>
      </c>
      <c r="M6238" s="28" t="s">
        <v>52</v>
      </c>
      <c r="N6238" s="28" t="s">
        <v>52</v>
      </c>
    </row>
    <row r="6239" spans="1:14" ht="12.75" hidden="1" outlineLevel="1" x14ac:dyDescent="0.2">
      <c r="A6239" s="23" t="str">
        <f>HYPERLINK("https://www.spark-marketing.ru/Card/Person/17791", "АДМИНИСТРАЦИЯ АЛЕКСАНДРОВСКОГО РАЙОНА ВЛАДИМИРСКОЙ ОБЛАСТИ")</f>
        <v>АДМИНИСТРАЦИЯ АЛЕКСАНДРОВСКОГО РАЙОНА ВЛАДИМИРСКОЙ ОБЛАСТИ</v>
      </c>
      <c r="B6239" s="24" t="s">
        <v>8083</v>
      </c>
      <c r="C6239" s="25">
        <v>400000</v>
      </c>
      <c r="D6239" s="22" t="s">
        <v>8084</v>
      </c>
      <c r="E6239" s="22" t="s">
        <v>1297</v>
      </c>
      <c r="F6239" s="23" t="str">
        <f>HYPERLINK("https://www.spark-marketing.ru/Card/Lot/71472300", "Поставка, установка и подключение системы видеонаблюдения в д.Площево Александровского района")</f>
        <v>Поставка, установка и подключение системы видеонаблюдения в д.Площево Александровского района</v>
      </c>
      <c r="G6239" s="22" t="s">
        <v>145</v>
      </c>
      <c r="H6239" s="22" t="s">
        <v>8085</v>
      </c>
      <c r="I6239" s="26">
        <v>43634.599305555603</v>
      </c>
      <c r="J6239" s="23" t="str">
        <f>HYPERLINK("https://www.spark-marketing.ru/Card/Person/6340734", "Норова Валентина Николаевна")</f>
        <v>Норова Валентина Николаевна</v>
      </c>
      <c r="K6239" s="24" t="s">
        <v>8086</v>
      </c>
      <c r="L6239" s="22" t="s">
        <v>10</v>
      </c>
      <c r="M6239" s="25">
        <v>380000</v>
      </c>
      <c r="N6239" s="27">
        <v>0.05</v>
      </c>
    </row>
    <row r="6240" spans="1:14" x14ac:dyDescent="0.15">
      <c r="A6240" s="23" t="str">
        <f>HYPERLINK("https://www.spark-marketing.ru/Card/Person/119954", """УМВД РОССИИ ПО Г. БРЯНСКУ""")</f>
        <v>"УМВД РОССИИ ПО Г. БРЯНСКУ"</v>
      </c>
      <c r="B6240" s="24" t="s">
        <v>8087</v>
      </c>
      <c r="C6240" s="25">
        <v>16536</v>
      </c>
      <c r="D6240" s="22" t="s">
        <v>8088</v>
      </c>
      <c r="E6240" s="22" t="s">
        <v>53</v>
      </c>
      <c r="F6240" s="23" t="str">
        <f>HYPERLINK("https://www.spark-marketing.ru/Card/Lot/71454884", "Инженерное оборудование")</f>
        <v>Инженерное оборудование</v>
      </c>
      <c r="G6240" s="22" t="s">
        <v>215</v>
      </c>
      <c r="H6240" s="22" t="s">
        <v>406</v>
      </c>
      <c r="I6240" s="26">
        <v>43634.608888888899</v>
      </c>
      <c r="J6240" s="28" t="s">
        <v>52</v>
      </c>
      <c r="K6240" s="28" t="s">
        <v>52</v>
      </c>
      <c r="L6240" s="28" t="s">
        <v>52</v>
      </c>
      <c r="M6240" s="28" t="s">
        <v>52</v>
      </c>
      <c r="N6240" s="28" t="s">
        <v>52</v>
      </c>
    </row>
    <row r="6241" spans="1:14" x14ac:dyDescent="0.15">
      <c r="A6241" s="23" t="str">
        <f>HYPERLINK("https://www.spark-marketing.ru/Card/Person/4348520", "АО ""ЦКБМ""")</f>
        <v>АО "ЦКБМ"</v>
      </c>
      <c r="B6241" s="24" t="s">
        <v>8089</v>
      </c>
      <c r="C6241" s="25">
        <v>8261199.75</v>
      </c>
      <c r="D6241" s="22" t="s">
        <v>8090</v>
      </c>
      <c r="E6241" s="22" t="s">
        <v>53</v>
      </c>
      <c r="F6241" s="23" t="str">
        <f>HYPERLINK("https://www.spark-marketing.ru/Card/Lot/71458538", "работы по модернизации комплекса инженерно-технических средств охраны на объектах АО «ЦКБМ»")</f>
        <v>работы по модернизации комплекса инженерно-технических средств охраны на объектах АО «ЦКБМ»</v>
      </c>
      <c r="G6241" s="22" t="s">
        <v>89</v>
      </c>
      <c r="H6241" s="22" t="s">
        <v>89</v>
      </c>
      <c r="I6241" s="26">
        <v>43634.575416666703</v>
      </c>
      <c r="J6241" s="28" t="s">
        <v>52</v>
      </c>
      <c r="K6241" s="28" t="s">
        <v>52</v>
      </c>
      <c r="L6241" s="28" t="s">
        <v>52</v>
      </c>
      <c r="M6241" s="28" t="s">
        <v>52</v>
      </c>
      <c r="N6241" s="28" t="s">
        <v>52</v>
      </c>
    </row>
    <row r="6242" spans="1:14" x14ac:dyDescent="0.15">
      <c r="A6242" s="23" t="str">
        <f>HYPERLINK("https://www.spark-marketing.ru/Card/Person/76591", "АДМИНИСТРАЦИЯ ГОРОДА УЖУРА")</f>
        <v>АДМИНИСТРАЦИЯ ГОРОДА УЖУРА</v>
      </c>
      <c r="B6242" s="24" t="s">
        <v>8091</v>
      </c>
      <c r="C6242" s="25">
        <v>500000</v>
      </c>
      <c r="D6242" s="22" t="s">
        <v>8092</v>
      </c>
      <c r="E6242" s="22" t="s">
        <v>8093</v>
      </c>
      <c r="F6242" s="23" t="str">
        <f>HYPERLINK("https://www.spark-marketing.ru/Card/Lot/71447964", "Выполнение работ по установке оборудования системы видеонаблюдения с учетом пусконаладочных работ в городе Ужуре")</f>
        <v>Выполнение работ по установке оборудования системы видеонаблюдения с учетом пусконаладочных работ в городе Ужуре</v>
      </c>
      <c r="G6242" s="22" t="s">
        <v>640</v>
      </c>
      <c r="H6242" s="22" t="s">
        <v>8094</v>
      </c>
      <c r="I6242" s="26">
        <v>43634.543749999997</v>
      </c>
      <c r="J6242" s="23" t="str">
        <f>HYPERLINK("https://www.spark-marketing.ru/Card/Person/230830", "ООО ""СИБМЕДИАФОН""")</f>
        <v>ООО "СИБМЕДИАФОН"</v>
      </c>
      <c r="K6242" s="24" t="s">
        <v>8095</v>
      </c>
      <c r="L6242" s="28" t="s">
        <v>52</v>
      </c>
      <c r="M6242" s="28" t="s">
        <v>52</v>
      </c>
      <c r="N6242" s="28" t="s">
        <v>52</v>
      </c>
    </row>
    <row r="6243" spans="1:14" ht="12.75" hidden="1" outlineLevel="1" x14ac:dyDescent="0.2">
      <c r="A6243" s="23" t="str">
        <f>HYPERLINK("https://www.spark-marketing.ru/Card/Person/76591", "АДМИНИСТРАЦИЯ ГОРОДА УЖУРА")</f>
        <v>АДМИНИСТРАЦИЯ ГОРОДА УЖУРА</v>
      </c>
      <c r="B6243" s="24" t="s">
        <v>8091</v>
      </c>
      <c r="C6243" s="25">
        <v>500000</v>
      </c>
      <c r="D6243" s="22" t="s">
        <v>8092</v>
      </c>
      <c r="E6243" s="22" t="s">
        <v>8093</v>
      </c>
      <c r="F6243" s="23" t="str">
        <f>HYPERLINK("https://www.spark-marketing.ru/Card/Lot/71447964", "Выполнение работ по установке оборудования системы видеонаблюдения с учетом пусконаладочных работ в городе Ужуре")</f>
        <v>Выполнение работ по установке оборудования системы видеонаблюдения с учетом пусконаладочных работ в городе Ужуре</v>
      </c>
      <c r="G6243" s="22" t="s">
        <v>640</v>
      </c>
      <c r="H6243" s="22" t="s">
        <v>8094</v>
      </c>
      <c r="I6243" s="26">
        <v>43634.543749999997</v>
      </c>
      <c r="J6243" s="23" t="str">
        <f>HYPERLINK("https://www.spark-marketing.ru/Card/Person/230830", "ООО ""СИБМЕДИАФОН""")</f>
        <v>ООО "СИБМЕДИАФОН"</v>
      </c>
      <c r="K6243" s="24" t="s">
        <v>8095</v>
      </c>
      <c r="L6243" s="22" t="s">
        <v>10</v>
      </c>
      <c r="M6243" s="25">
        <v>497500</v>
      </c>
      <c r="N6243" s="27">
        <v>5.0000000000000001E-3</v>
      </c>
    </row>
    <row r="6244" spans="1:14" x14ac:dyDescent="0.15">
      <c r="A6244" s="23" t="str">
        <f>HYPERLINK("https://www.spark-marketing.ru/Card/Person/24233", "ОБУЗ ""ДГКБ № 5"" Г. ИВАНОВО")</f>
        <v>ОБУЗ "ДГКБ № 5" Г. ИВАНОВО</v>
      </c>
      <c r="B6244" s="24" t="s">
        <v>8096</v>
      </c>
      <c r="C6244" s="25">
        <v>1782000</v>
      </c>
      <c r="D6244" s="22" t="s">
        <v>8097</v>
      </c>
      <c r="E6244" s="22" t="s">
        <v>52</v>
      </c>
      <c r="F6244" s="23" t="str">
        <f>HYPERLINK("https://www.spark-marketing.ru/Card/Lot/71475148", "Оказание охранных услуг")</f>
        <v>Оказание охранных услуг</v>
      </c>
      <c r="G6244" s="22" t="s">
        <v>340</v>
      </c>
      <c r="H6244" s="22" t="s">
        <v>1030</v>
      </c>
      <c r="I6244" s="26">
        <v>43634.558333333298</v>
      </c>
      <c r="J6244" s="23" t="str">
        <f>HYPERLINK("https://www.spark-marketing.ru/Card/Person/63149", "ООО ""ЧОО ""БУЛАТ""")</f>
        <v>ООО "ЧОО "БУЛАТ"</v>
      </c>
      <c r="K6244" s="24" t="s">
        <v>8098</v>
      </c>
      <c r="L6244" s="22" t="s">
        <v>10</v>
      </c>
      <c r="M6244" s="28" t="s">
        <v>52</v>
      </c>
      <c r="N6244" s="28" t="s">
        <v>52</v>
      </c>
    </row>
    <row r="6245" spans="1:14" x14ac:dyDescent="0.15">
      <c r="A6245" s="23" t="str">
        <f>HYPERLINK("https://www.spark-marketing.ru/Card/Person/80462", "ГБУЗРА ""АРКПНД""")</f>
        <v>ГБУЗРА "АРКПНД"</v>
      </c>
      <c r="B6245" s="24" t="s">
        <v>8099</v>
      </c>
      <c r="C6245" s="25">
        <v>34000</v>
      </c>
      <c r="D6245" s="22" t="s">
        <v>8100</v>
      </c>
      <c r="E6245" s="22" t="s">
        <v>103</v>
      </c>
      <c r="F6245" s="23" t="str">
        <f>HYPERLINK("https://www.spark-marketing.ru/Card/Lot/71463128", "Оказание услуг по техническому обслуживанию систем видеонаблюдения.")</f>
        <v>Оказание услуг по техническому обслуживанию систем видеонаблюдения.</v>
      </c>
      <c r="G6245" s="22" t="s">
        <v>1547</v>
      </c>
      <c r="H6245" s="22" t="s">
        <v>1983</v>
      </c>
      <c r="I6245" s="26">
        <v>43634.534722222197</v>
      </c>
      <c r="J6245" s="28" t="s">
        <v>52</v>
      </c>
      <c r="K6245" s="28" t="s">
        <v>52</v>
      </c>
      <c r="L6245" s="28" t="s">
        <v>52</v>
      </c>
      <c r="M6245" s="28" t="s">
        <v>52</v>
      </c>
      <c r="N6245" s="28" t="s">
        <v>52</v>
      </c>
    </row>
    <row r="6246" spans="1:14" hidden="1" outlineLevel="1" x14ac:dyDescent="0.2">
      <c r="A6246" s="23" t="str">
        <f>HYPERLINK("https://www.spark-marketing.ru/Card/Person/80462", "ГБУЗРА ""АРКПНД""")</f>
        <v>ГБУЗРА "АРКПНД"</v>
      </c>
      <c r="B6246" s="24" t="s">
        <v>8099</v>
      </c>
      <c r="C6246" s="25">
        <v>34000</v>
      </c>
      <c r="D6246" s="22" t="s">
        <v>8100</v>
      </c>
      <c r="E6246" s="22" t="s">
        <v>103</v>
      </c>
      <c r="F6246" s="23" t="str">
        <f>HYPERLINK("https://www.spark-marketing.ru/Card/Lot/71463128", "Оказание услуг по техническому обслуживанию систем видеонаблюдения.")</f>
        <v>Оказание услуг по техническому обслуживанию систем видеонаблюдения.</v>
      </c>
      <c r="G6246" s="22" t="s">
        <v>1547</v>
      </c>
      <c r="H6246" s="22" t="s">
        <v>1983</v>
      </c>
      <c r="I6246" s="26">
        <v>43634.534722222197</v>
      </c>
      <c r="J6246" s="23" t="str">
        <f>HYPERLINK("https://www.spark-marketing.ru/Card/Person/100013", "Сергиенко Сергей Сергеевич")</f>
        <v>Сергиенко Сергей Сергеевич</v>
      </c>
      <c r="K6246" s="24" t="s">
        <v>8101</v>
      </c>
      <c r="L6246" s="28" t="s">
        <v>52</v>
      </c>
      <c r="M6246" s="25">
        <v>9310</v>
      </c>
      <c r="N6246" s="27">
        <v>0.72617647058823531</v>
      </c>
    </row>
    <row r="6247" spans="1:14" ht="12.75" hidden="1" outlineLevel="1" x14ac:dyDescent="0.2">
      <c r="A6247" s="23" t="str">
        <f>HYPERLINK("https://www.spark-marketing.ru/Card/Person/80462", "ГБУЗРА ""АРКПНД""")</f>
        <v>ГБУЗРА "АРКПНД"</v>
      </c>
      <c r="B6247" s="24" t="s">
        <v>8099</v>
      </c>
      <c r="C6247" s="25">
        <v>34000</v>
      </c>
      <c r="D6247" s="22" t="s">
        <v>8100</v>
      </c>
      <c r="E6247" s="22" t="s">
        <v>103</v>
      </c>
      <c r="F6247" s="23" t="str">
        <f>HYPERLINK("https://www.spark-marketing.ru/Card/Lot/71463128", "Оказание услуг по техническому обслуживанию систем видеонаблюдения.")</f>
        <v>Оказание услуг по техническому обслуживанию систем видеонаблюдения.</v>
      </c>
      <c r="G6247" s="22" t="s">
        <v>1547</v>
      </c>
      <c r="H6247" s="22" t="s">
        <v>1983</v>
      </c>
      <c r="I6247" s="26">
        <v>43634.534722222197</v>
      </c>
      <c r="J6247" s="23" t="str">
        <f>HYPERLINK("https://www.spark-marketing.ru/Card/Person/453704", "ООО ""ЮГ МАСТЕР""")</f>
        <v>ООО "ЮГ МАСТЕР"</v>
      </c>
      <c r="K6247" s="24" t="s">
        <v>8102</v>
      </c>
      <c r="L6247" s="22" t="s">
        <v>10</v>
      </c>
      <c r="M6247" s="25">
        <v>9140</v>
      </c>
      <c r="N6247" s="27">
        <v>0.73117647058823532</v>
      </c>
    </row>
    <row r="6248" spans="1:14" x14ac:dyDescent="0.15">
      <c r="A6248" s="23" t="str">
        <f>HYPERLINK("https://www.spark-marketing.ru/Card/Person/1000042", "МБОУ НАРО-ФОМИНСКАЯ ШКОЛА ДЛЯ ОБУЧАЮЩИХСЯ С ОВЗ")</f>
        <v>МБОУ НАРО-ФОМИНСКАЯ ШКОЛА ДЛЯ ОБУЧАЮЩИХСЯ С ОВЗ</v>
      </c>
      <c r="B6248" s="24" t="s">
        <v>8103</v>
      </c>
      <c r="C6248" s="25">
        <v>14400</v>
      </c>
      <c r="D6248" s="22" t="s">
        <v>8104</v>
      </c>
      <c r="E6248" s="22" t="s">
        <v>103</v>
      </c>
      <c r="F6248" s="23" t="str">
        <f>HYPERLINK("https://www.spark-marketing.ru/Card/Lot/71450604", "Техническое обслуживание системы видеонаблюдения")</f>
        <v>Техническое обслуживание системы видеонаблюдения</v>
      </c>
      <c r="G6248" s="22" t="s">
        <v>50</v>
      </c>
      <c r="H6248" s="22" t="s">
        <v>2430</v>
      </c>
      <c r="I6248" s="26">
        <v>43634.513657407399</v>
      </c>
      <c r="J6248" s="28" t="s">
        <v>52</v>
      </c>
      <c r="K6248" s="28" t="s">
        <v>52</v>
      </c>
      <c r="L6248" s="28" t="s">
        <v>52</v>
      </c>
      <c r="M6248" s="28" t="s">
        <v>52</v>
      </c>
      <c r="N6248" s="28" t="s">
        <v>52</v>
      </c>
    </row>
    <row r="6249" spans="1:14" x14ac:dyDescent="0.15">
      <c r="A6249" s="23" t="str">
        <f>HYPERLINK("https://www.spark-marketing.ru/Card/Person/1796351", "АО ""АНХРС""")</f>
        <v>АО "АНХРС"</v>
      </c>
      <c r="B6249" s="24" t="s">
        <v>8105</v>
      </c>
      <c r="C6249" s="28" t="s">
        <v>52</v>
      </c>
      <c r="D6249" s="22" t="s">
        <v>8106</v>
      </c>
      <c r="E6249" s="22" t="s">
        <v>1923</v>
      </c>
      <c r="F6249" s="23" t="str">
        <f>HYPERLINK("https://www.spark-marketing.ru/Card/Lot/71450167", "Оказание услуг по геодезическому сопровождению строительства объектов")</f>
        <v>Оказание услуг по геодезическому сопровождению строительства объектов</v>
      </c>
      <c r="G6249" s="22" t="s">
        <v>281</v>
      </c>
      <c r="H6249" s="22" t="s">
        <v>2890</v>
      </c>
      <c r="I6249" s="26">
        <v>43634.518750000003</v>
      </c>
      <c r="J6249" s="28" t="s">
        <v>52</v>
      </c>
      <c r="K6249" s="28" t="s">
        <v>52</v>
      </c>
      <c r="L6249" s="28" t="s">
        <v>52</v>
      </c>
      <c r="M6249" s="28" t="s">
        <v>52</v>
      </c>
      <c r="N6249" s="28" t="s">
        <v>52</v>
      </c>
    </row>
    <row r="6250" spans="1:14" x14ac:dyDescent="0.15">
      <c r="A6250" s="23" t="str">
        <f>HYPERLINK("https://www.spark-marketing.ru/Card/Person/4317", "ФКУ ""ЦХИСО ГУ МВД РОССИИ ПО ПЕРМСКОМУ КРАЮ""")</f>
        <v>ФКУ "ЦХИСО ГУ МВД РОССИИ ПО ПЕРМСКОМУ КРАЮ"</v>
      </c>
      <c r="B6250" s="24" t="s">
        <v>7416</v>
      </c>
      <c r="C6250" s="25">
        <v>902.4</v>
      </c>
      <c r="D6250" s="22" t="s">
        <v>8107</v>
      </c>
      <c r="E6250" s="22" t="s">
        <v>5267</v>
      </c>
      <c r="F6250" s="23" t="str">
        <f>HYPERLINK("https://www.spark-marketing.ru/Card/Lot/71457529", "Оказание услуг по охране объекта, расположенного по адресу: г.Оса, ул. М.Горького,65")</f>
        <v>Оказание услуг по охране объекта, расположенного по адресу: г.Оса, ул. М.Горького,65</v>
      </c>
      <c r="G6250" s="22" t="s">
        <v>391</v>
      </c>
      <c r="H6250" s="22" t="s">
        <v>392</v>
      </c>
      <c r="I6250" s="26">
        <v>43634.535416666702</v>
      </c>
      <c r="J6250" s="28" t="s">
        <v>52</v>
      </c>
      <c r="K6250" s="28" t="s">
        <v>52</v>
      </c>
      <c r="L6250" s="28" t="s">
        <v>52</v>
      </c>
      <c r="M6250" s="28" t="s">
        <v>52</v>
      </c>
      <c r="N6250" s="28" t="s">
        <v>52</v>
      </c>
    </row>
    <row r="6251" spans="1:14" x14ac:dyDescent="0.15">
      <c r="A6251" s="23" t="str">
        <f>HYPERLINK("https://www.spark-marketing.ru/Card/Person/4317", "ФКУ ""ЦХИСО ГУ МВД РОССИИ ПО ПЕРМСКОМУ КРАЮ""")</f>
        <v>ФКУ "ЦХИСО ГУ МВД РОССИИ ПО ПЕРМСКОМУ КРАЮ"</v>
      </c>
      <c r="B6251" s="24" t="s">
        <v>7416</v>
      </c>
      <c r="C6251" s="25">
        <v>20198.400000000001</v>
      </c>
      <c r="D6251" s="22" t="s">
        <v>8108</v>
      </c>
      <c r="E6251" s="22" t="s">
        <v>5267</v>
      </c>
      <c r="F6251" s="23" t="str">
        <f>HYPERLINK("https://www.spark-marketing.ru/Card/Lot/71459715", "Оказание услуг по охране объектов")</f>
        <v>Оказание услуг по охране объектов</v>
      </c>
      <c r="G6251" s="22" t="s">
        <v>391</v>
      </c>
      <c r="H6251" s="22" t="s">
        <v>392</v>
      </c>
      <c r="I6251" s="26">
        <v>43634.535416666702</v>
      </c>
      <c r="J6251" s="28" t="s">
        <v>52</v>
      </c>
      <c r="K6251" s="28" t="s">
        <v>52</v>
      </c>
      <c r="L6251" s="28" t="s">
        <v>52</v>
      </c>
      <c r="M6251" s="28" t="s">
        <v>52</v>
      </c>
      <c r="N6251" s="28" t="s">
        <v>52</v>
      </c>
    </row>
    <row r="6252" spans="1:14" x14ac:dyDescent="0.15">
      <c r="A6252" s="23" t="str">
        <f>HYPERLINK("https://www.spark-marketing.ru/Card/Person/65333", "ФКУЗ ""ПРИЧЕРНОМОРСКАЯ ПЧС"" РОСПОТРЕБНАДЗОРА")</f>
        <v>ФКУЗ "ПРИЧЕРНОМОРСКАЯ ПЧС" РОСПОТРЕБНАДЗОРА</v>
      </c>
      <c r="B6252" s="24" t="s">
        <v>8109</v>
      </c>
      <c r="C6252" s="25">
        <v>15254.52</v>
      </c>
      <c r="D6252" s="22" t="s">
        <v>8110</v>
      </c>
      <c r="E6252" s="22" t="s">
        <v>53</v>
      </c>
      <c r="F6252" s="23" t="str">
        <f>HYPERLINK("https://www.spark-marketing.ru/Card/Lot/71447390", "Оказание услуг по техническому обслуживанию комплекса технических средств видеонаблюдения на объекте")</f>
        <v>Оказание услуг по техническому обслуживанию комплекса технических средств видеонаблюдения на объекте</v>
      </c>
      <c r="G6252" s="22" t="s">
        <v>132</v>
      </c>
      <c r="H6252" s="22" t="s">
        <v>452</v>
      </c>
      <c r="I6252" s="26">
        <v>43634.459189814799</v>
      </c>
      <c r="J6252" s="28" t="s">
        <v>52</v>
      </c>
      <c r="K6252" s="28" t="s">
        <v>52</v>
      </c>
      <c r="L6252" s="28" t="s">
        <v>52</v>
      </c>
      <c r="M6252" s="28" t="s">
        <v>52</v>
      </c>
      <c r="N6252" s="28" t="s">
        <v>52</v>
      </c>
    </row>
    <row r="6253" spans="1:14" x14ac:dyDescent="0.15">
      <c r="A6253" s="23" t="str">
        <f>HYPERLINK("https://www.spark-marketing.ru/Card/Person/61040", "СУ СК РОССИИ ПО ПРИМОРСКОМУ КРАЮ")</f>
        <v>СУ СК РОССИИ ПО ПРИМОРСКОМУ КРАЮ</v>
      </c>
      <c r="B6253" s="24" t="s">
        <v>6163</v>
      </c>
      <c r="C6253" s="25">
        <v>108389.4</v>
      </c>
      <c r="D6253" s="22" t="s">
        <v>8111</v>
      </c>
      <c r="E6253" s="22" t="s">
        <v>68</v>
      </c>
      <c r="F6253" s="23" t="str">
        <f>HYPERLINK("https://www.spark-marketing.ru/Card/Lot/71440820", "Оказание охранных услуг путем мониторинга технических средств охраны объектов п. Кировский")</f>
        <v>Оказание охранных услуг путем мониторинга технических средств охраны объектов п. Кировский</v>
      </c>
      <c r="G6253" s="22" t="s">
        <v>409</v>
      </c>
      <c r="H6253" s="22" t="s">
        <v>409</v>
      </c>
      <c r="I6253" s="26">
        <v>43634.493055555598</v>
      </c>
      <c r="J6253" s="28" t="s">
        <v>52</v>
      </c>
      <c r="K6253" s="28" t="s">
        <v>52</v>
      </c>
      <c r="L6253" s="28" t="s">
        <v>52</v>
      </c>
      <c r="M6253" s="28" t="s">
        <v>52</v>
      </c>
      <c r="N6253" s="28" t="s">
        <v>52</v>
      </c>
    </row>
    <row r="6254" spans="1:14" x14ac:dyDescent="0.15">
      <c r="A6254" s="23" t="str">
        <f>HYPERLINK("https://www.spark-marketing.ru/Card/Person/12376", "ФКУ ""ЦХИСО УМВД РОССИИ ПО МУРМАНСКОЙ ОБЛАСТИ""")</f>
        <v>ФКУ "ЦХИСО УМВД РОССИИ ПО МУРМАНСКОЙ ОБЛАСТИ"</v>
      </c>
      <c r="B6254" s="24" t="s">
        <v>8074</v>
      </c>
      <c r="C6254" s="25">
        <v>96000</v>
      </c>
      <c r="D6254" s="22" t="s">
        <v>8112</v>
      </c>
      <c r="E6254" s="22" t="s">
        <v>84</v>
      </c>
      <c r="F6254" s="23" t="str">
        <f>HYPERLINK("https://www.spark-marketing.ru/Card/Lot/71447156", "Монтаж, установка, модернизация систем видеонаблюдения, 1 шт")</f>
        <v>Монтаж, установка, модернизация систем видеонаблюдения, 1 шт</v>
      </c>
      <c r="G6254" s="22" t="s">
        <v>190</v>
      </c>
      <c r="H6254" s="22" t="s">
        <v>191</v>
      </c>
      <c r="I6254" s="26">
        <v>43634.484722222202</v>
      </c>
      <c r="J6254" s="28" t="s">
        <v>52</v>
      </c>
      <c r="K6254" s="28" t="s">
        <v>52</v>
      </c>
      <c r="L6254" s="28" t="s">
        <v>52</v>
      </c>
      <c r="M6254" s="28" t="s">
        <v>52</v>
      </c>
      <c r="N6254" s="28" t="s">
        <v>52</v>
      </c>
    </row>
    <row r="6255" spans="1:14" x14ac:dyDescent="0.15">
      <c r="A6255" s="23" t="str">
        <f>HYPERLINK("https://www.spark-marketing.ru/Card/Person/1012138", "МБУ ""БИЗНЕС-ИНКУБАТОР""")</f>
        <v>МБУ "БИЗНЕС-ИНКУБАТОР"</v>
      </c>
      <c r="B6255" s="24" t="s">
        <v>8113</v>
      </c>
      <c r="C6255" s="25">
        <v>75642.600000000006</v>
      </c>
      <c r="D6255" s="22" t="s">
        <v>8114</v>
      </c>
      <c r="E6255" s="22" t="s">
        <v>68</v>
      </c>
      <c r="F6255" s="23" t="str">
        <f>HYPERLINK("https://www.spark-marketing.ru/Card/Lot/71465149", "Услуги охраны объекта с помощью тревожной сигнализации")</f>
        <v>Услуги охраны объекта с помощью тревожной сигнализации</v>
      </c>
      <c r="G6255" s="22" t="s">
        <v>311</v>
      </c>
      <c r="H6255" s="22" t="s">
        <v>727</v>
      </c>
      <c r="I6255" s="26">
        <v>43634.467361111099</v>
      </c>
      <c r="J6255" s="28" t="s">
        <v>52</v>
      </c>
      <c r="K6255" s="28" t="s">
        <v>52</v>
      </c>
      <c r="L6255" s="28" t="s">
        <v>52</v>
      </c>
      <c r="M6255" s="28" t="s">
        <v>52</v>
      </c>
      <c r="N6255" s="28" t="s">
        <v>52</v>
      </c>
    </row>
    <row r="6256" spans="1:14" x14ac:dyDescent="0.15">
      <c r="A6256" s="23" t="str">
        <f>HYPERLINK("https://www.spark-marketing.ru/Card/Person/12376", "ФКУ ""ЦХИСО УМВД РОССИИ ПО МУРМАНСКОЙ ОБЛАСТИ""")</f>
        <v>ФКУ "ЦХИСО УМВД РОССИИ ПО МУРМАНСКОЙ ОБЛАСТИ"</v>
      </c>
      <c r="B6256" s="24" t="s">
        <v>8074</v>
      </c>
      <c r="C6256" s="25">
        <v>91000</v>
      </c>
      <c r="D6256" s="22" t="s">
        <v>8115</v>
      </c>
      <c r="E6256" s="22" t="s">
        <v>84</v>
      </c>
      <c r="F6256" s="23" t="str">
        <f>HYPERLINK("https://www.spark-marketing.ru/Card/Lot/71447000", "Монтаж, установка, модернизация систем видеонаблюдения, 1 шт")</f>
        <v>Монтаж, установка, модернизация систем видеонаблюдения, 1 шт</v>
      </c>
      <c r="G6256" s="22" t="s">
        <v>190</v>
      </c>
      <c r="H6256" s="22" t="s">
        <v>191</v>
      </c>
      <c r="I6256" s="26">
        <v>43634.472650463002</v>
      </c>
      <c r="J6256" s="28" t="s">
        <v>52</v>
      </c>
      <c r="K6256" s="28" t="s">
        <v>52</v>
      </c>
      <c r="L6256" s="28" t="s">
        <v>52</v>
      </c>
      <c r="M6256" s="28" t="s">
        <v>52</v>
      </c>
      <c r="N6256" s="28" t="s">
        <v>52</v>
      </c>
    </row>
    <row r="6257" spans="1:14" x14ac:dyDescent="0.15">
      <c r="A6257" s="23" t="str">
        <f>HYPERLINK("https://www.spark-marketing.ru/Card/Person/1342656", "МАУК РГО ""РКМ""")</f>
        <v>МАУК РГО "РКМ"</v>
      </c>
      <c r="B6257" s="24" t="s">
        <v>8116</v>
      </c>
      <c r="C6257" s="25">
        <v>97000</v>
      </c>
      <c r="D6257" s="22" t="s">
        <v>8117</v>
      </c>
      <c r="E6257" s="22" t="s">
        <v>8118</v>
      </c>
      <c r="F6257" s="23" t="str">
        <f>HYPERLINK("https://www.spark-marketing.ru/Card/Lot/71447826", "Оказание услуг по техническому обслуживанию комплекса технических средств охраны")</f>
        <v>Оказание услуг по техническому обслуживанию комплекса технических средств охраны</v>
      </c>
      <c r="G6257" s="22" t="s">
        <v>50</v>
      </c>
      <c r="H6257" s="22" t="s">
        <v>50</v>
      </c>
      <c r="I6257" s="26">
        <v>43634.476805555598</v>
      </c>
      <c r="J6257" s="28" t="s">
        <v>52</v>
      </c>
      <c r="K6257" s="28" t="s">
        <v>52</v>
      </c>
      <c r="L6257" s="28" t="s">
        <v>52</v>
      </c>
      <c r="M6257" s="28" t="s">
        <v>52</v>
      </c>
      <c r="N6257" s="28" t="s">
        <v>52</v>
      </c>
    </row>
    <row r="6258" spans="1:14" x14ac:dyDescent="0.15">
      <c r="A6258" s="23" t="str">
        <f>HYPERLINK("https://www.spark-marketing.ru/Card/Person/374124", "УПРАВЛЕНИЕ МИНЮСТА РОССИИ ПО ЛИПЕЦКОЙ ОБЛАСТИ")</f>
        <v>УПРАВЛЕНИЕ МИНЮСТА РОССИИ ПО ЛИПЕЦКОЙ ОБЛАСТИ</v>
      </c>
      <c r="B6258" s="24" t="s">
        <v>8119</v>
      </c>
      <c r="C6258" s="25">
        <v>58666.080000000002</v>
      </c>
      <c r="D6258" s="22" t="s">
        <v>8120</v>
      </c>
      <c r="E6258" s="22" t="s">
        <v>53</v>
      </c>
      <c r="F6258" s="23" t="str">
        <f>HYPERLINK("https://www.spark-marketing.ru/Card/Lot/71447714", "Охрана объекта")</f>
        <v>Охрана объекта</v>
      </c>
      <c r="G6258" s="22" t="s">
        <v>629</v>
      </c>
      <c r="H6258" s="22" t="s">
        <v>1603</v>
      </c>
      <c r="I6258" s="26">
        <v>43634.499409722201</v>
      </c>
      <c r="J6258" s="28" t="s">
        <v>52</v>
      </c>
      <c r="K6258" s="28" t="s">
        <v>52</v>
      </c>
      <c r="L6258" s="28" t="s">
        <v>52</v>
      </c>
      <c r="M6258" s="28" t="s">
        <v>52</v>
      </c>
      <c r="N6258" s="28" t="s">
        <v>52</v>
      </c>
    </row>
    <row r="6259" spans="1:14" x14ac:dyDescent="0.15">
      <c r="A6259" s="23" t="str">
        <f>HYPERLINK("https://www.spark-marketing.ru/Card/Person/1026358", "КУ ГОРОДА ОМСКА ""ЦСПН""")</f>
        <v>КУ ГОРОДА ОМСКА "ЦСПН"</v>
      </c>
      <c r="B6259" s="24" t="s">
        <v>8121</v>
      </c>
      <c r="C6259" s="25">
        <v>73669.2</v>
      </c>
      <c r="D6259" s="22" t="s">
        <v>8122</v>
      </c>
      <c r="E6259" s="22" t="s">
        <v>68</v>
      </c>
      <c r="F6259" s="23" t="str">
        <f>HYPERLINK("https://www.spark-marketing.ru/Card/Lot/71447999", "Оказание услуг по охране объекта с помощью технических средств-кнопки тревожной сигнализации и пульта централизованной охраны")</f>
        <v>Оказание услуг по охране объекта с помощью технических средств-кнопки тревожной сигнализации и пульта централизованной охраны</v>
      </c>
      <c r="G6259" s="22" t="s">
        <v>521</v>
      </c>
      <c r="H6259" s="22" t="s">
        <v>522</v>
      </c>
      <c r="I6259" s="26">
        <v>43634.479861111096</v>
      </c>
      <c r="J6259" s="28" t="s">
        <v>52</v>
      </c>
      <c r="K6259" s="28" t="s">
        <v>52</v>
      </c>
      <c r="L6259" s="28" t="s">
        <v>52</v>
      </c>
      <c r="M6259" s="28" t="s">
        <v>52</v>
      </c>
      <c r="N6259" s="28" t="s">
        <v>52</v>
      </c>
    </row>
    <row r="6260" spans="1:14" x14ac:dyDescent="0.2">
      <c r="A6260" s="23" t="str">
        <f>HYPERLINK("https://www.spark-marketing.ru/Card/Person/4414981", "МАОУ СОШ №1 Г. ТУРИНСКА")</f>
        <v>МАОУ СОШ №1 Г. ТУРИНСКА</v>
      </c>
      <c r="B6260" s="24" t="s">
        <v>3119</v>
      </c>
      <c r="C6260" s="25">
        <v>150000</v>
      </c>
      <c r="D6260" s="22" t="s">
        <v>8123</v>
      </c>
      <c r="E6260" s="22" t="s">
        <v>49</v>
      </c>
      <c r="F6260" s="23" t="str">
        <f>HYPERLINK("https://www.spark-marketing.ru/Card/Lot/71444368", "Установка системы контроля доступа и видеонаблюдения в МАОУ СОШ №1 г. Туринска")</f>
        <v>Установка системы контроля доступа и видеонаблюдения в МАОУ СОШ №1 г. Туринска</v>
      </c>
      <c r="G6260" s="22" t="s">
        <v>72</v>
      </c>
      <c r="H6260" s="22" t="s">
        <v>72</v>
      </c>
      <c r="I6260" s="26">
        <v>43634.489583333299</v>
      </c>
      <c r="J6260" s="28" t="s">
        <v>52</v>
      </c>
      <c r="K6260" s="28" t="s">
        <v>52</v>
      </c>
      <c r="L6260" s="28" t="s">
        <v>52</v>
      </c>
      <c r="M6260" s="25">
        <v>147690</v>
      </c>
      <c r="N6260" s="27">
        <v>1.54E-2</v>
      </c>
    </row>
    <row r="6261" spans="1:14" x14ac:dyDescent="0.15">
      <c r="A6261" s="23" t="str">
        <f>HYPERLINK("https://www.spark-marketing.ru/Card/Person/531043", "ОГАУ ""ТОМСКЛЕСХОЗ""")</f>
        <v>ОГАУ "ТОМСКЛЕСХОЗ"</v>
      </c>
      <c r="B6261" s="24" t="s">
        <v>6413</v>
      </c>
      <c r="C6261" s="25">
        <v>37000</v>
      </c>
      <c r="D6261" s="22" t="s">
        <v>8124</v>
      </c>
      <c r="E6261" s="22" t="s">
        <v>6415</v>
      </c>
      <c r="F6261" s="23" t="str">
        <f>HYPERLINK("https://www.spark-marketing.ru/Card/Lot/71445937", "Поставка цифрового тахографа")</f>
        <v>Поставка цифрового тахографа</v>
      </c>
      <c r="G6261" s="22" t="s">
        <v>150</v>
      </c>
      <c r="H6261" s="22" t="s">
        <v>1656</v>
      </c>
      <c r="I6261" s="26">
        <v>43634.464583333298</v>
      </c>
      <c r="J6261" s="28" t="s">
        <v>52</v>
      </c>
      <c r="K6261" s="28" t="s">
        <v>52</v>
      </c>
      <c r="L6261" s="28" t="s">
        <v>52</v>
      </c>
      <c r="M6261" s="28" t="s">
        <v>52</v>
      </c>
      <c r="N6261" s="28" t="s">
        <v>52</v>
      </c>
    </row>
    <row r="6262" spans="1:14" x14ac:dyDescent="0.15">
      <c r="A6262" s="23" t="str">
        <f>HYPERLINK("https://www.spark-marketing.ru/Card/Person/136347", "МЕЖРАЙОННАЯ ИФНС РОССИИ № 1 ПО СМОЛЕНСКОЙ ОБЛАСТИ")</f>
        <v>МЕЖРАЙОННАЯ ИФНС РОССИИ № 1 ПО СМОЛЕНСКОЙ ОБЛАСТИ</v>
      </c>
      <c r="B6262" s="24" t="s">
        <v>8125</v>
      </c>
      <c r="C6262" s="25">
        <v>70299.360000000001</v>
      </c>
      <c r="D6262" s="22" t="s">
        <v>8126</v>
      </c>
      <c r="E6262" s="22" t="s">
        <v>53</v>
      </c>
      <c r="F6262" s="23" t="str">
        <f>HYPERLINK("https://www.spark-marketing.ru/Card/Lot/71447592", "Охрана имущества при помощи пульта централизованного наблюдения")</f>
        <v>Охрана имущества при помощи пульта централизованного наблюдения</v>
      </c>
      <c r="G6262" s="22" t="s">
        <v>956</v>
      </c>
      <c r="H6262" s="22" t="s">
        <v>7959</v>
      </c>
      <c r="I6262" s="26">
        <v>43634.487824074102</v>
      </c>
      <c r="J6262" s="28" t="s">
        <v>52</v>
      </c>
      <c r="K6262" s="28" t="s">
        <v>52</v>
      </c>
      <c r="L6262" s="28" t="s">
        <v>52</v>
      </c>
      <c r="M6262" s="28" t="s">
        <v>52</v>
      </c>
      <c r="N6262" s="28" t="s">
        <v>52</v>
      </c>
    </row>
    <row r="6263" spans="1:14" x14ac:dyDescent="0.15">
      <c r="A6263" s="23" t="str">
        <f>HYPERLINK("https://www.spark-marketing.ru/Card/Person/12376", "ФКУ ""ЦХИСО УМВД РОССИИ ПО МУРМАНСКОЙ ОБЛАСТИ""")</f>
        <v>ФКУ "ЦХИСО УМВД РОССИИ ПО МУРМАНСКОЙ ОБЛАСТИ"</v>
      </c>
      <c r="B6263" s="24" t="s">
        <v>8074</v>
      </c>
      <c r="C6263" s="25">
        <v>83000</v>
      </c>
      <c r="D6263" s="22" t="s">
        <v>8127</v>
      </c>
      <c r="E6263" s="22" t="s">
        <v>84</v>
      </c>
      <c r="F6263" s="23" t="str">
        <f>HYPERLINK("https://www.spark-marketing.ru/Card/Lot/71447716", "Монтаж, установка, модернизация систем видеонаблюдения, 1 шт")</f>
        <v>Монтаж, установка, модернизация систем видеонаблюдения, 1 шт</v>
      </c>
      <c r="G6263" s="22" t="s">
        <v>190</v>
      </c>
      <c r="H6263" s="22" t="s">
        <v>191</v>
      </c>
      <c r="I6263" s="26">
        <v>43634.490914351903</v>
      </c>
      <c r="J6263" s="28" t="s">
        <v>52</v>
      </c>
      <c r="K6263" s="28" t="s">
        <v>52</v>
      </c>
      <c r="L6263" s="28" t="s">
        <v>52</v>
      </c>
      <c r="M6263" s="28" t="s">
        <v>52</v>
      </c>
      <c r="N6263" s="28" t="s">
        <v>52</v>
      </c>
    </row>
    <row r="6264" spans="1:14" x14ac:dyDescent="0.15">
      <c r="A6264" s="23" t="str">
        <f>HYPERLINK("https://www.spark-marketing.ru/Card/Person/59934", "ГУТО КЦСОН № 1")</f>
        <v>ГУТО КЦСОН № 1</v>
      </c>
      <c r="B6264" s="24" t="s">
        <v>8128</v>
      </c>
      <c r="C6264" s="25">
        <v>81000</v>
      </c>
      <c r="D6264" s="22" t="s">
        <v>8129</v>
      </c>
      <c r="E6264" s="22" t="s">
        <v>52</v>
      </c>
      <c r="F6264" s="23" t="str">
        <f>HYPERLINK("https://www.spark-marketing.ru/Card/Lot/71465783", "Оказание услуг по охране объектов с использованием тревожной кнопки")</f>
        <v>Оказание услуг по охране объектов с использованием тревожной кнопки</v>
      </c>
      <c r="G6264" s="22" t="s">
        <v>818</v>
      </c>
      <c r="H6264" s="22" t="s">
        <v>819</v>
      </c>
      <c r="I6264" s="26">
        <v>43634.445138888899</v>
      </c>
      <c r="J6264" s="28" t="s">
        <v>52</v>
      </c>
      <c r="K6264" s="28" t="s">
        <v>52</v>
      </c>
      <c r="L6264" s="28" t="s">
        <v>52</v>
      </c>
      <c r="M6264" s="28" t="s">
        <v>52</v>
      </c>
      <c r="N6264" s="28" t="s">
        <v>52</v>
      </c>
    </row>
    <row r="6265" spans="1:14" hidden="1" outlineLevel="1" x14ac:dyDescent="0.2">
      <c r="A6265" s="23" t="str">
        <f>HYPERLINK("https://www.spark-marketing.ru/Card/Person/59934", "ГУТО КЦСОН № 1")</f>
        <v>ГУТО КЦСОН № 1</v>
      </c>
      <c r="B6265" s="24" t="s">
        <v>8128</v>
      </c>
      <c r="C6265" s="25">
        <v>81000</v>
      </c>
      <c r="D6265" s="22" t="s">
        <v>8129</v>
      </c>
      <c r="E6265" s="22" t="s">
        <v>52</v>
      </c>
      <c r="F6265" s="23" t="str">
        <f>HYPERLINK("https://www.spark-marketing.ru/Card/Lot/71465783", "Оказание услуг по охране объектов с использованием тревожной кнопки")</f>
        <v>Оказание услуг по охране объектов с использованием тревожной кнопки</v>
      </c>
      <c r="G6265" s="22" t="s">
        <v>818</v>
      </c>
      <c r="H6265" s="22" t="s">
        <v>819</v>
      </c>
      <c r="I6265" s="26">
        <v>43634.445138888899</v>
      </c>
      <c r="J6265" s="23" t="str">
        <f>HYPERLINK("https://www.spark-marketing.ru/Card/Person/644403", "ООО ЧОО ""ВИТЯЗЬ""")</f>
        <v>ООО ЧОО "ВИТЯЗЬ"</v>
      </c>
      <c r="K6265" s="24" t="s">
        <v>4104</v>
      </c>
      <c r="L6265" s="28" t="s">
        <v>52</v>
      </c>
      <c r="M6265" s="25">
        <v>17415</v>
      </c>
      <c r="N6265" s="27">
        <v>0.78500000000000003</v>
      </c>
    </row>
    <row r="6266" spans="1:14" ht="12.75" hidden="1" outlineLevel="1" x14ac:dyDescent="0.2">
      <c r="A6266" s="23" t="str">
        <f>HYPERLINK("https://www.spark-marketing.ru/Card/Person/59934", "ГУТО КЦСОН № 1")</f>
        <v>ГУТО КЦСОН № 1</v>
      </c>
      <c r="B6266" s="24" t="s">
        <v>8128</v>
      </c>
      <c r="C6266" s="25">
        <v>81000</v>
      </c>
      <c r="D6266" s="22" t="s">
        <v>8129</v>
      </c>
      <c r="E6266" s="22" t="s">
        <v>52</v>
      </c>
      <c r="F6266" s="23" t="str">
        <f>HYPERLINK("https://www.spark-marketing.ru/Card/Lot/71465783", "Оказание услуг по охране объектов с использованием тревожной кнопки")</f>
        <v>Оказание услуг по охране объектов с использованием тревожной кнопки</v>
      </c>
      <c r="G6266" s="22" t="s">
        <v>818</v>
      </c>
      <c r="H6266" s="22" t="s">
        <v>819</v>
      </c>
      <c r="I6266" s="26">
        <v>43634.445138888899</v>
      </c>
      <c r="J6266" s="23" t="str">
        <f>HYPERLINK("https://www.spark-marketing.ru/Card/Person/6501546", "ООО ЧОО ""ЩИТ-ГАРАНТ""")</f>
        <v>ООО ЧОО "ЩИТ-ГАРАНТ"</v>
      </c>
      <c r="K6266" s="24" t="s">
        <v>4105</v>
      </c>
      <c r="L6266" s="22" t="s">
        <v>10</v>
      </c>
      <c r="M6266" s="25">
        <v>17010</v>
      </c>
      <c r="N6266" s="27">
        <v>0.79</v>
      </c>
    </row>
    <row r="6267" spans="1:14" x14ac:dyDescent="0.15">
      <c r="A6267" s="23" t="str">
        <f>HYPERLINK("https://www.spark-marketing.ru/Card/Person/1028531", "ФЛ Клинский ГКУ МО ""Мособллес""")</f>
        <v>ФЛ Клинский ГКУ МО "Мособллес"</v>
      </c>
      <c r="B6267" s="24" t="s">
        <v>333</v>
      </c>
      <c r="C6267" s="25">
        <v>29000</v>
      </c>
      <c r="D6267" s="22" t="s">
        <v>8130</v>
      </c>
      <c r="E6267" s="22" t="s">
        <v>491</v>
      </c>
      <c r="F6267" s="23" t="str">
        <f>HYPERLINK("https://www.spark-marketing.ru/Card/Lot/71446402", "Проведение экспертизы состояния автотранспорта")</f>
        <v>Проведение экспертизы состояния автотранспорта</v>
      </c>
      <c r="G6267" s="22" t="s">
        <v>50</v>
      </c>
      <c r="H6267" s="22" t="s">
        <v>8131</v>
      </c>
      <c r="I6267" s="26">
        <v>43634.419872685197</v>
      </c>
      <c r="J6267" s="28" t="s">
        <v>52</v>
      </c>
      <c r="K6267" s="28" t="s">
        <v>52</v>
      </c>
      <c r="L6267" s="28" t="s">
        <v>52</v>
      </c>
      <c r="M6267" s="28" t="s">
        <v>52</v>
      </c>
      <c r="N6267" s="28" t="s">
        <v>52</v>
      </c>
    </row>
    <row r="6268" spans="1:14" x14ac:dyDescent="0.15">
      <c r="A6268" s="23" t="str">
        <f>HYPERLINK("https://www.spark-marketing.ru/Card/Person/65333", "ФКУЗ ""ПРИЧЕРНОМОРСКАЯ ПЧС"" РОСПОТРЕБНАДЗОРА")</f>
        <v>ФКУЗ "ПРИЧЕРНОМОРСКАЯ ПЧС" РОСПОТРЕБНАДЗОРА</v>
      </c>
      <c r="B6268" s="24" t="s">
        <v>8109</v>
      </c>
      <c r="C6268" s="25">
        <v>20163.72</v>
      </c>
      <c r="D6268" s="22" t="s">
        <v>8132</v>
      </c>
      <c r="E6268" s="22" t="s">
        <v>53</v>
      </c>
      <c r="F6268" s="23" t="str">
        <f>HYPERLINK("https://www.spark-marketing.ru/Card/Lot/71445772", "Оказание услуг по техническому обслуживанию средств охраны объекта")</f>
        <v>Оказание услуг по техническому обслуживанию средств охраны объекта</v>
      </c>
      <c r="G6268" s="22" t="s">
        <v>132</v>
      </c>
      <c r="H6268" s="22" t="s">
        <v>452</v>
      </c>
      <c r="I6268" s="26">
        <v>43634.456435185202</v>
      </c>
      <c r="J6268" s="28" t="s">
        <v>52</v>
      </c>
      <c r="K6268" s="28" t="s">
        <v>52</v>
      </c>
      <c r="L6268" s="28" t="s">
        <v>52</v>
      </c>
      <c r="M6268" s="28" t="s">
        <v>52</v>
      </c>
      <c r="N6268" s="28" t="s">
        <v>52</v>
      </c>
    </row>
    <row r="6269" spans="1:14" x14ac:dyDescent="0.15">
      <c r="A6269" s="23" t="str">
        <f>HYPERLINK("https://www.spark-marketing.ru/Card/Person/134130", "МДОУ ДЕТСКИЙ САД № 43 ""БЕРЁЗКА""")</f>
        <v>МДОУ ДЕТСКИЙ САД № 43 "БЕРЁЗКА"</v>
      </c>
      <c r="B6269" s="24" t="s">
        <v>8133</v>
      </c>
      <c r="C6269" s="25">
        <v>85180</v>
      </c>
      <c r="D6269" s="22" t="s">
        <v>8134</v>
      </c>
      <c r="E6269" s="22" t="s">
        <v>732</v>
      </c>
      <c r="F6269" s="23" t="str">
        <f>HYPERLINK("https://www.spark-marketing.ru/Card/Lot/71446427", "Приобретение с установкой видеодомофона (СКУД видеодомофон)")</f>
        <v>Приобретение с установкой видеодомофона (СКУД видеодомофон)</v>
      </c>
      <c r="G6269" s="22" t="s">
        <v>50</v>
      </c>
      <c r="H6269" s="22" t="s">
        <v>2463</v>
      </c>
      <c r="I6269" s="26">
        <v>43634.430011574099</v>
      </c>
      <c r="J6269" s="28" t="s">
        <v>52</v>
      </c>
      <c r="K6269" s="28" t="s">
        <v>52</v>
      </c>
      <c r="L6269" s="28" t="s">
        <v>52</v>
      </c>
      <c r="M6269" s="28" t="s">
        <v>52</v>
      </c>
      <c r="N6269" s="28" t="s">
        <v>52</v>
      </c>
    </row>
    <row r="6270" spans="1:14" x14ac:dyDescent="0.15">
      <c r="A6270" s="23" t="str">
        <f>HYPERLINK("https://www.spark-marketing.ru/Card/Person/219693", "АО ""СИБИРСКОЕ ПГО""")</f>
        <v>АО "СИБИРСКОЕ ПГО"</v>
      </c>
      <c r="B6270" s="24" t="s">
        <v>8135</v>
      </c>
      <c r="C6270" s="25">
        <v>2835000</v>
      </c>
      <c r="D6270" s="22" t="s">
        <v>8136</v>
      </c>
      <c r="E6270" s="22" t="s">
        <v>8137</v>
      </c>
      <c r="F6270" s="23" t="str">
        <f>HYPERLINK("https://www.spark-marketing.ru/Card/Lot/71440239", "Оказание комплекса услуг по вооруженной охране объекта, КТС и ТО систем видеонаблюдения")</f>
        <v>Оказание комплекса услуг по вооруженной охране объекта, КТС и ТО систем видеонаблюдения</v>
      </c>
      <c r="G6270" s="22" t="s">
        <v>640</v>
      </c>
      <c r="H6270" s="22" t="s">
        <v>1524</v>
      </c>
      <c r="I6270" s="26">
        <v>43634.423587963</v>
      </c>
      <c r="J6270" s="28" t="s">
        <v>52</v>
      </c>
      <c r="K6270" s="28" t="s">
        <v>52</v>
      </c>
      <c r="L6270" s="28" t="s">
        <v>52</v>
      </c>
      <c r="M6270" s="28" t="s">
        <v>52</v>
      </c>
      <c r="N6270" s="28" t="s">
        <v>52</v>
      </c>
    </row>
    <row r="6271" spans="1:14" x14ac:dyDescent="0.15">
      <c r="A6271" s="23" t="str">
        <f>HYPERLINK("https://www.spark-marketing.ru/Card/Person/444280", "ФГУП ГОСНИИ ГА")</f>
        <v>ФГУП ГОСНИИ ГА</v>
      </c>
      <c r="B6271" s="24" t="s">
        <v>8138</v>
      </c>
      <c r="C6271" s="25">
        <v>3550002</v>
      </c>
      <c r="D6271" s="22" t="s">
        <v>8139</v>
      </c>
      <c r="E6271" s="22" t="s">
        <v>144</v>
      </c>
      <c r="F6271" s="23" t="str">
        <f>HYPERLINK("https://www.spark-marketing.ru/Card/Lot/71448011", "Оказание услуг по круглосуточной охране государственного имущества, закрепленного за ФГУП ГосНИИ ГА на праве хозяйственного ведения")</f>
        <v>Оказание услуг по круглосуточной охране государственного имущества, закрепленного за ФГУП ГосНИИ ГА на праве хозяйственного ведения</v>
      </c>
      <c r="G6271" s="22" t="s">
        <v>55</v>
      </c>
      <c r="H6271" s="22" t="s">
        <v>55</v>
      </c>
      <c r="I6271" s="26">
        <v>43634.432928240698</v>
      </c>
      <c r="J6271" s="28" t="s">
        <v>52</v>
      </c>
      <c r="K6271" s="28" t="s">
        <v>52</v>
      </c>
      <c r="L6271" s="28" t="s">
        <v>52</v>
      </c>
      <c r="M6271" s="28" t="s">
        <v>52</v>
      </c>
      <c r="N6271" s="28" t="s">
        <v>52</v>
      </c>
    </row>
    <row r="6272" spans="1:14" x14ac:dyDescent="0.15">
      <c r="A6272" s="23" t="str">
        <f>HYPERLINK("https://www.spark-marketing.ru/Card/Person/145382", "ОТДЕЛ МВД РОССИИ ПО ТАТИЩЕВСКОМУ РАЙОНУ САРАТОВСКОЙ ОБЛАСТИ")</f>
        <v>ОТДЕЛ МВД РОССИИ ПО ТАТИЩЕВСКОМУ РАЙОНУ САРАТОВСКОЙ ОБЛАСТИ</v>
      </c>
      <c r="B6272" s="24" t="s">
        <v>8140</v>
      </c>
      <c r="C6272" s="25">
        <v>24540</v>
      </c>
      <c r="D6272" s="22" t="s">
        <v>8141</v>
      </c>
      <c r="E6272" s="22" t="s">
        <v>107</v>
      </c>
      <c r="F6272" s="23" t="str">
        <f>HYPERLINK("https://www.spark-marketing.ru/Card/Lot/71444748", "Техническое обслуживание видеонаблюдения, 1 шт")</f>
        <v>Техническое обслуживание видеонаблюдения, 1 шт</v>
      </c>
      <c r="G6272" s="22" t="s">
        <v>80</v>
      </c>
      <c r="H6272" s="22" t="s">
        <v>8142</v>
      </c>
      <c r="I6272" s="26">
        <v>43634.428645833301</v>
      </c>
      <c r="J6272" s="28" t="s">
        <v>52</v>
      </c>
      <c r="K6272" s="28" t="s">
        <v>52</v>
      </c>
      <c r="L6272" s="28" t="s">
        <v>52</v>
      </c>
      <c r="M6272" s="28" t="s">
        <v>52</v>
      </c>
      <c r="N6272" s="28" t="s">
        <v>52</v>
      </c>
    </row>
    <row r="6273" spans="1:14" x14ac:dyDescent="0.15">
      <c r="A6273" s="23" t="str">
        <f>HYPERLINK("https://www.spark-marketing.ru/Card/Person/1012713", "МБУ ДО ""ТЕРБУНСКАЯ ДЮСШ""")</f>
        <v>МБУ ДО "ТЕРБУНСКАЯ ДЮСШ"</v>
      </c>
      <c r="B6273" s="24" t="s">
        <v>8143</v>
      </c>
      <c r="C6273" s="25">
        <v>120173.85</v>
      </c>
      <c r="D6273" s="22" t="s">
        <v>8144</v>
      </c>
      <c r="E6273" s="22" t="s">
        <v>59</v>
      </c>
      <c r="F6273" s="23" t="str">
        <f>HYPERLINK("https://www.spark-marketing.ru/Card/Lot/71468293", "Установка и монтаж системы видеонаблюдения")</f>
        <v>Установка и монтаж системы видеонаблюдения</v>
      </c>
      <c r="G6273" s="22" t="s">
        <v>629</v>
      </c>
      <c r="H6273" s="22" t="s">
        <v>8145</v>
      </c>
      <c r="I6273" s="26">
        <v>43634.453472222202</v>
      </c>
      <c r="J6273" s="28" t="s">
        <v>52</v>
      </c>
      <c r="K6273" s="28" t="s">
        <v>52</v>
      </c>
      <c r="L6273" s="28" t="s">
        <v>52</v>
      </c>
      <c r="M6273" s="28" t="s">
        <v>52</v>
      </c>
      <c r="N6273" s="28" t="s">
        <v>52</v>
      </c>
    </row>
    <row r="6274" spans="1:14" hidden="1" outlineLevel="1" x14ac:dyDescent="0.2">
      <c r="A6274" s="23" t="str">
        <f>HYPERLINK("https://www.spark-marketing.ru/Card/Person/1012713", "МБУ ДО ""ТЕРБУНСКАЯ ДЮСШ""")</f>
        <v>МБУ ДО "ТЕРБУНСКАЯ ДЮСШ"</v>
      </c>
      <c r="B6274" s="24" t="s">
        <v>8143</v>
      </c>
      <c r="C6274" s="25">
        <v>120173.85</v>
      </c>
      <c r="D6274" s="22" t="s">
        <v>8144</v>
      </c>
      <c r="E6274" s="22" t="s">
        <v>59</v>
      </c>
      <c r="F6274" s="23" t="str">
        <f>HYPERLINK("https://www.spark-marketing.ru/Card/Lot/71468293", "Установка и монтаж системы видеонаблюдения")</f>
        <v>Установка и монтаж системы видеонаблюдения</v>
      </c>
      <c r="G6274" s="22" t="s">
        <v>629</v>
      </c>
      <c r="H6274" s="22" t="s">
        <v>8145</v>
      </c>
      <c r="I6274" s="26">
        <v>43634.453472222202</v>
      </c>
      <c r="J6274" s="23" t="str">
        <f>HYPERLINK("https://www.spark-marketing.ru/Card/Person/497922", "Ковалев Андрей Анатольевич")</f>
        <v>Ковалев Андрей Анатольевич</v>
      </c>
      <c r="K6274" s="24" t="s">
        <v>8146</v>
      </c>
      <c r="L6274" s="28" t="s">
        <v>52</v>
      </c>
      <c r="M6274" s="25">
        <v>110000</v>
      </c>
      <c r="N6274" s="27">
        <v>8.4659432979803842E-2</v>
      </c>
    </row>
    <row r="6275" spans="1:14" hidden="1" outlineLevel="1" x14ac:dyDescent="0.2">
      <c r="A6275" s="23" t="str">
        <f>HYPERLINK("https://www.spark-marketing.ru/Card/Person/1012713", "МБУ ДО ""ТЕРБУНСКАЯ ДЮСШ""")</f>
        <v>МБУ ДО "ТЕРБУНСКАЯ ДЮСШ"</v>
      </c>
      <c r="B6275" s="24" t="s">
        <v>8143</v>
      </c>
      <c r="C6275" s="25">
        <v>120173.85</v>
      </c>
      <c r="D6275" s="22" t="s">
        <v>8144</v>
      </c>
      <c r="E6275" s="22" t="s">
        <v>59</v>
      </c>
      <c r="F6275" s="23" t="str">
        <f>HYPERLINK("https://www.spark-marketing.ru/Card/Lot/71468293", "Установка и монтаж системы видеонаблюдения")</f>
        <v>Установка и монтаж системы видеонаблюдения</v>
      </c>
      <c r="G6275" s="22" t="s">
        <v>629</v>
      </c>
      <c r="H6275" s="22" t="s">
        <v>8145</v>
      </c>
      <c r="I6275" s="26">
        <v>43634.453472222202</v>
      </c>
      <c r="J6275" s="23" t="str">
        <f>HYPERLINK("https://www.spark-marketing.ru/Card/Person/4401300", "ООО ""ПЕРИМЕТР""")</f>
        <v>ООО "ПЕРИМЕТР"</v>
      </c>
      <c r="K6275" s="24" t="s">
        <v>8147</v>
      </c>
      <c r="L6275" s="28" t="s">
        <v>52</v>
      </c>
      <c r="M6275" s="25">
        <v>100345.15</v>
      </c>
      <c r="N6275" s="27">
        <v>0.16500012273884876</v>
      </c>
    </row>
    <row r="6276" spans="1:14" ht="12.75" hidden="1" outlineLevel="1" x14ac:dyDescent="0.2">
      <c r="A6276" s="23" t="str">
        <f>HYPERLINK("https://www.spark-marketing.ru/Card/Person/1012713", "МБУ ДО ""ТЕРБУНСКАЯ ДЮСШ""")</f>
        <v>МБУ ДО "ТЕРБУНСКАЯ ДЮСШ"</v>
      </c>
      <c r="B6276" s="24" t="s">
        <v>8143</v>
      </c>
      <c r="C6276" s="25">
        <v>120173.85</v>
      </c>
      <c r="D6276" s="22" t="s">
        <v>8144</v>
      </c>
      <c r="E6276" s="22" t="s">
        <v>59</v>
      </c>
      <c r="F6276" s="23" t="str">
        <f>HYPERLINK("https://www.spark-marketing.ru/Card/Lot/71468293", "Установка и монтаж системы видеонаблюдения")</f>
        <v>Установка и монтаж системы видеонаблюдения</v>
      </c>
      <c r="G6276" s="22" t="s">
        <v>629</v>
      </c>
      <c r="H6276" s="22" t="s">
        <v>8145</v>
      </c>
      <c r="I6276" s="26">
        <v>43634.453472222202</v>
      </c>
      <c r="J6276" s="23" t="str">
        <f>HYPERLINK("https://www.spark-marketing.ru/Card/Person/6059582", "ООО ""ПЯТЫЙ ЭЛЕМЕНТ ЛИПЕЦК""")</f>
        <v>ООО "ПЯТЫЙ ЭЛЕМЕНТ ЛИПЕЦК"</v>
      </c>
      <c r="K6276" s="24" t="s">
        <v>8148</v>
      </c>
      <c r="L6276" s="22" t="s">
        <v>10</v>
      </c>
      <c r="M6276" s="25">
        <v>100345.14</v>
      </c>
      <c r="N6276" s="27">
        <v>0.16500020595162759</v>
      </c>
    </row>
    <row r="6277" spans="1:14" x14ac:dyDescent="0.15">
      <c r="A6277" s="23" t="str">
        <f>HYPERLINK("https://www.spark-marketing.ru/Card/Person/14872", "МКУ ""ЖКА""")</f>
        <v>МКУ "ЖКА"</v>
      </c>
      <c r="B6277" s="24" t="s">
        <v>8149</v>
      </c>
      <c r="C6277" s="25">
        <v>184686.6</v>
      </c>
      <c r="D6277" s="22" t="s">
        <v>8150</v>
      </c>
      <c r="E6277" s="22" t="s">
        <v>194</v>
      </c>
      <c r="F6277" s="23" t="str">
        <f>HYPERLINK("https://www.spark-marketing.ru/Card/Lot/71469825", "Поставка и установка систем видеонаблюдения на кладбище пос. Взморье ул. Спасская 14Д и кладбище Зеленоградский район (в районе р. Граевка) МО ""Светловский городской округ""")</f>
        <v>Поставка и установка систем видеонаблюдения на кладбище пос. Взморье ул. Спасская 14Д и кладбище Зеленоградский район (в районе р. Граевка) МО "Светловский городской округ"</v>
      </c>
      <c r="G6277" s="22" t="s">
        <v>247</v>
      </c>
      <c r="H6277" s="22" t="s">
        <v>8151</v>
      </c>
      <c r="I6277" s="26">
        <v>43634.439583333296</v>
      </c>
      <c r="J6277" s="28" t="s">
        <v>52</v>
      </c>
      <c r="K6277" s="28" t="s">
        <v>52</v>
      </c>
      <c r="L6277" s="28" t="s">
        <v>52</v>
      </c>
      <c r="M6277" s="28" t="s">
        <v>52</v>
      </c>
      <c r="N6277" s="28" t="s">
        <v>52</v>
      </c>
    </row>
    <row r="6278" spans="1:14" hidden="1" outlineLevel="1" x14ac:dyDescent="0.2">
      <c r="A6278" s="23" t="str">
        <f>HYPERLINK("https://www.spark-marketing.ru/Card/Person/14872", "МКУ ""ЖКА""")</f>
        <v>МКУ "ЖКА"</v>
      </c>
      <c r="B6278" s="24" t="s">
        <v>8149</v>
      </c>
      <c r="C6278" s="25">
        <v>184686.6</v>
      </c>
      <c r="D6278" s="22" t="s">
        <v>8150</v>
      </c>
      <c r="E6278" s="22" t="s">
        <v>194</v>
      </c>
      <c r="F6278" s="23" t="str">
        <f>HYPERLINK("https://www.spark-marketing.ru/Card/Lot/71469825", "Поставка и установка систем видеонаблюдения на кладбище пос. Взморье ул. Спасская 14Д и кладбище Зеленоградский район (в районе р. Граевка) МО ""Светловский городской округ""")</f>
        <v>Поставка и установка систем видеонаблюдения на кладбище пос. Взморье ул. Спасская 14Д и кладбище Зеленоградский район (в районе р. Граевка) МО "Светловский городской округ"</v>
      </c>
      <c r="G6278" s="22" t="s">
        <v>247</v>
      </c>
      <c r="H6278" s="22" t="s">
        <v>8151</v>
      </c>
      <c r="I6278" s="26">
        <v>43634.439583333296</v>
      </c>
      <c r="J6278" s="23" t="str">
        <f>HYPERLINK("https://www.spark-marketing.ru/Card/Person/304593", "ООО ""КСБ""")</f>
        <v>ООО "КСБ"</v>
      </c>
      <c r="K6278" s="24" t="s">
        <v>8152</v>
      </c>
      <c r="L6278" s="28" t="s">
        <v>52</v>
      </c>
      <c r="M6278" s="25">
        <v>149595.88</v>
      </c>
      <c r="N6278" s="27">
        <v>0.19000144027774618</v>
      </c>
    </row>
    <row r="6279" spans="1:14" ht="12.75" hidden="1" outlineLevel="1" x14ac:dyDescent="0.2">
      <c r="A6279" s="23" t="str">
        <f>HYPERLINK("https://www.spark-marketing.ru/Card/Person/14872", "МКУ ""ЖКА""")</f>
        <v>МКУ "ЖКА"</v>
      </c>
      <c r="B6279" s="24" t="s">
        <v>8149</v>
      </c>
      <c r="C6279" s="25">
        <v>184686.6</v>
      </c>
      <c r="D6279" s="22" t="s">
        <v>8150</v>
      </c>
      <c r="E6279" s="22" t="s">
        <v>194</v>
      </c>
      <c r="F6279" s="23" t="str">
        <f>HYPERLINK("https://www.spark-marketing.ru/Card/Lot/71469825", "Поставка и установка систем видеонаблюдения на кладбище пос. Взморье ул. Спасская 14Д и кладбище Зеленоградский район (в районе р. Граевка) МО ""Светловский городской округ""")</f>
        <v>Поставка и установка систем видеонаблюдения на кладбище пос. Взморье ул. Спасская 14Д и кладбище Зеленоградский район (в районе р. Граевка) МО "Светловский городской округ"</v>
      </c>
      <c r="G6279" s="22" t="s">
        <v>247</v>
      </c>
      <c r="H6279" s="22" t="s">
        <v>8151</v>
      </c>
      <c r="I6279" s="26">
        <v>43634.439583333296</v>
      </c>
      <c r="J6279" s="23" t="str">
        <f>HYPERLINK("https://www.spark-marketing.ru/Card/Person/4404110", "ООО ""МПМЦ""")</f>
        <v>ООО "МПМЦ"</v>
      </c>
      <c r="K6279" s="24" t="s">
        <v>8153</v>
      </c>
      <c r="L6279" s="22" t="s">
        <v>10</v>
      </c>
      <c r="M6279" s="25">
        <v>134035.92000000001</v>
      </c>
      <c r="N6279" s="27">
        <v>0.2742520572689085</v>
      </c>
    </row>
    <row r="6280" spans="1:14" hidden="1" outlineLevel="1" x14ac:dyDescent="0.2">
      <c r="A6280" s="23" t="str">
        <f>HYPERLINK("https://www.spark-marketing.ru/Card/Person/14872", "МКУ ""ЖКА""")</f>
        <v>МКУ "ЖКА"</v>
      </c>
      <c r="B6280" s="24" t="s">
        <v>8149</v>
      </c>
      <c r="C6280" s="25">
        <v>184686.6</v>
      </c>
      <c r="D6280" s="22" t="s">
        <v>8150</v>
      </c>
      <c r="E6280" s="22" t="s">
        <v>194</v>
      </c>
      <c r="F6280" s="23" t="str">
        <f>HYPERLINK("https://www.spark-marketing.ru/Card/Lot/71469825", "Поставка и установка систем видеонаблюдения на кладбище пос. Взморье ул. Спасская 14Д и кладбище Зеленоградский район (в районе р. Граевка) МО ""Светловский городской округ""")</f>
        <v>Поставка и установка систем видеонаблюдения на кладбище пос. Взморье ул. Спасская 14Д и кладбище Зеленоградский район (в районе р. Граевка) МО "Светловский городской округ"</v>
      </c>
      <c r="G6280" s="22" t="s">
        <v>247</v>
      </c>
      <c r="H6280" s="22" t="s">
        <v>8151</v>
      </c>
      <c r="I6280" s="26">
        <v>43634.439583333296</v>
      </c>
      <c r="J6280" s="23" t="str">
        <f>HYPERLINK("https://www.spark-marketing.ru/Card/Person/70910", "ООО ""ЧОО ""ЯГУАР БЛЭК""")</f>
        <v>ООО "ЧОО "ЯГУАР БЛЭК"</v>
      </c>
      <c r="K6280" s="24" t="s">
        <v>3518</v>
      </c>
      <c r="L6280" s="28" t="s">
        <v>52</v>
      </c>
      <c r="M6280" s="25">
        <v>134035.92000000001</v>
      </c>
      <c r="N6280" s="27">
        <v>0.2742520572689085</v>
      </c>
    </row>
    <row r="6281" spans="1:14" hidden="1" outlineLevel="1" x14ac:dyDescent="0.2">
      <c r="A6281" s="23" t="str">
        <f>HYPERLINK("https://www.spark-marketing.ru/Card/Person/14872", "МКУ ""ЖКА""")</f>
        <v>МКУ "ЖКА"</v>
      </c>
      <c r="B6281" s="24" t="s">
        <v>8149</v>
      </c>
      <c r="C6281" s="25">
        <v>184686.6</v>
      </c>
      <c r="D6281" s="22" t="s">
        <v>8150</v>
      </c>
      <c r="E6281" s="22" t="s">
        <v>194</v>
      </c>
      <c r="F6281" s="23" t="str">
        <f>HYPERLINK("https://www.spark-marketing.ru/Card/Lot/71469825", "Поставка и установка систем видеонаблюдения на кладбище пос. Взморье ул. Спасская 14Д и кладбище Зеленоградский район (в районе р. Граевка) МО ""Светловский городской округ""")</f>
        <v>Поставка и установка систем видеонаблюдения на кладбище пос. Взморье ул. Спасская 14Д и кладбище Зеленоградский район (в районе р. Граевка) МО "Светловский городской округ"</v>
      </c>
      <c r="G6281" s="22" t="s">
        <v>247</v>
      </c>
      <c r="H6281" s="22" t="s">
        <v>8151</v>
      </c>
      <c r="I6281" s="26">
        <v>43634.439583333296</v>
      </c>
      <c r="J6281" s="23" t="str">
        <f>HYPERLINK("https://www.spark-marketing.ru/Card/Person/260117", "ООО ""ДЖИ -КЕЙ СИСТЕМС""")</f>
        <v>ООО "ДЖИ -КЕЙ СИСТЕМС"</v>
      </c>
      <c r="K6281" s="24" t="s">
        <v>8154</v>
      </c>
      <c r="L6281" s="28" t="s">
        <v>52</v>
      </c>
      <c r="M6281" s="25">
        <v>150519.32</v>
      </c>
      <c r="N6281" s="27">
        <v>0.18500140237570023</v>
      </c>
    </row>
    <row r="6282" spans="1:14" x14ac:dyDescent="0.15">
      <c r="A6282" s="23" t="str">
        <f>HYPERLINK("https://www.spark-marketing.ru/Card/Person/21114", "ГБУЗ СО ""НИЖНЕСАЛДИНСКАЯ ЦГБ""")</f>
        <v>ГБУЗ СО "НИЖНЕСАЛДИНСКАЯ ЦГБ"</v>
      </c>
      <c r="B6282" s="24" t="s">
        <v>8155</v>
      </c>
      <c r="C6282" s="25">
        <v>132088.79999999999</v>
      </c>
      <c r="D6282" s="22" t="s">
        <v>8156</v>
      </c>
      <c r="E6282" s="22" t="s">
        <v>52</v>
      </c>
      <c r="F6282" s="23" t="str">
        <f>HYPERLINK("https://www.spark-marketing.ru/Card/Lot/71443956", "Услуги по охране комнаты хранения наркотических средств и психотропных веществ")</f>
        <v>Услуги по охране комнаты хранения наркотических средств и психотропных веществ</v>
      </c>
      <c r="G6282" s="22" t="s">
        <v>72</v>
      </c>
      <c r="H6282" s="22" t="s">
        <v>8157</v>
      </c>
      <c r="I6282" s="26">
        <v>43634.383333333302</v>
      </c>
      <c r="J6282" s="23" t="str">
        <f>HYPERLINK("https://www.spark-marketing.ru/Card/Person/599827", "ООО ЧОП ""КУПОЛ""")</f>
        <v>ООО ЧОП "КУПОЛ"</v>
      </c>
      <c r="K6282" s="24" t="s">
        <v>8158</v>
      </c>
      <c r="L6282" s="22" t="s">
        <v>10</v>
      </c>
      <c r="M6282" s="28" t="s">
        <v>52</v>
      </c>
      <c r="N6282" s="28" t="s">
        <v>52</v>
      </c>
    </row>
    <row r="6283" spans="1:14" x14ac:dyDescent="0.15">
      <c r="A6283" s="23" t="str">
        <f>HYPERLINK("https://www.spark-marketing.ru/Card/Person/9633", "МИНСТРОЙ ИНГУШЕТИИ")</f>
        <v>МИНСТРОЙ ИНГУШЕТИИ</v>
      </c>
      <c r="B6283" s="24" t="s">
        <v>646</v>
      </c>
      <c r="C6283" s="25">
        <v>3639110</v>
      </c>
      <c r="D6283" s="22" t="s">
        <v>8159</v>
      </c>
      <c r="E6283" s="22" t="s">
        <v>218</v>
      </c>
      <c r="F6283" s="23" t="str">
        <f>HYPERLINK("https://www.spark-marketing.ru/Card/Lot/71454190", "Оказание услуг по строительному контролю и техническому сопровождению работ по объекту «Строительство детского сада на 220 мест в г. Карабулак»")</f>
        <v>Оказание услуг по строительному контролю и техническому сопровождению работ по объекту «Строительство детского сада на 220 мест в г. Карабулак»</v>
      </c>
      <c r="G6283" s="22" t="s">
        <v>648</v>
      </c>
      <c r="H6283" s="22" t="s">
        <v>648</v>
      </c>
      <c r="I6283" s="26">
        <v>43634.405555555597</v>
      </c>
      <c r="J6283" s="28" t="s">
        <v>52</v>
      </c>
      <c r="K6283" s="28" t="s">
        <v>52</v>
      </c>
      <c r="L6283" s="28" t="s">
        <v>52</v>
      </c>
      <c r="M6283" s="28" t="s">
        <v>52</v>
      </c>
      <c r="N6283" s="28" t="s">
        <v>52</v>
      </c>
    </row>
    <row r="6284" spans="1:14" ht="12.75" hidden="1" outlineLevel="1" x14ac:dyDescent="0.2">
      <c r="A6284" s="23" t="str">
        <f>HYPERLINK("https://www.spark-marketing.ru/Card/Person/9633", "МИНСТРОЙ ИНГУШЕТИИ")</f>
        <v>МИНСТРОЙ ИНГУШЕТИИ</v>
      </c>
      <c r="B6284" s="24" t="s">
        <v>646</v>
      </c>
      <c r="C6284" s="25">
        <v>3639110</v>
      </c>
      <c r="D6284" s="22" t="s">
        <v>8159</v>
      </c>
      <c r="E6284" s="22" t="s">
        <v>218</v>
      </c>
      <c r="F6284" s="23" t="str">
        <f>HYPERLINK("https://www.spark-marketing.ru/Card/Lot/71454190", "Оказание услуг по строительному контролю и техническому сопровождению работ по объекту «Строительство детского сада на 220 мест в г. Карабулак»")</f>
        <v>Оказание услуг по строительному контролю и техническому сопровождению работ по объекту «Строительство детского сада на 220 мест в г. Карабулак»</v>
      </c>
      <c r="G6284" s="22" t="s">
        <v>648</v>
      </c>
      <c r="H6284" s="22" t="s">
        <v>648</v>
      </c>
      <c r="I6284" s="26">
        <v>43634.405555555597</v>
      </c>
      <c r="J6284" s="23" t="str">
        <f>HYPERLINK("https://www.spark-marketing.ru/Card/Person/259250", "ГУП""УКС РИ""")</f>
        <v>ГУП"УКС РИ"</v>
      </c>
      <c r="K6284" s="24" t="s">
        <v>7151</v>
      </c>
      <c r="L6284" s="22" t="s">
        <v>10</v>
      </c>
      <c r="M6284" s="25">
        <v>3200000</v>
      </c>
      <c r="N6284" s="27">
        <v>0.12066411842455985</v>
      </c>
    </row>
    <row r="6285" spans="1:14" hidden="1" outlineLevel="1" x14ac:dyDescent="0.2">
      <c r="A6285" s="23" t="str">
        <f>HYPERLINK("https://www.spark-marketing.ru/Card/Person/9633", "МИНСТРОЙ ИНГУШЕТИИ")</f>
        <v>МИНСТРОЙ ИНГУШЕТИИ</v>
      </c>
      <c r="B6285" s="24" t="s">
        <v>646</v>
      </c>
      <c r="C6285" s="25">
        <v>3639110</v>
      </c>
      <c r="D6285" s="22" t="s">
        <v>8159</v>
      </c>
      <c r="E6285" s="22" t="s">
        <v>218</v>
      </c>
      <c r="F6285" s="23" t="str">
        <f>HYPERLINK("https://www.spark-marketing.ru/Card/Lot/71454190", "Оказание услуг по строительному контролю и техническому сопровождению работ по объекту «Строительство детского сада на 220 мест в г. Карабулак»")</f>
        <v>Оказание услуг по строительному контролю и техническому сопровождению работ по объекту «Строительство детского сада на 220 мест в г. Карабулак»</v>
      </c>
      <c r="G6285" s="22" t="s">
        <v>648</v>
      </c>
      <c r="H6285" s="22" t="s">
        <v>648</v>
      </c>
      <c r="I6285" s="26">
        <v>43634.405555555597</v>
      </c>
      <c r="J6285" s="23" t="str">
        <f>HYPERLINK("https://www.spark-marketing.ru/Card/Person/221925", "ООО ""АРХСТРОЙПРОЕКТ""")</f>
        <v>ООО "АРХСТРОЙПРОЕКТ"</v>
      </c>
      <c r="K6285" s="24" t="s">
        <v>8160</v>
      </c>
      <c r="L6285" s="28" t="s">
        <v>52</v>
      </c>
      <c r="M6285" s="25">
        <v>2000000</v>
      </c>
      <c r="N6285" s="27">
        <v>0.45041507401534991</v>
      </c>
    </row>
    <row r="6286" spans="1:14" x14ac:dyDescent="0.15">
      <c r="A6286" s="23" t="str">
        <f>HYPERLINK("https://www.spark-marketing.ru/Card/Person/1759706", "МАОУ ЧИКЧИНСКАЯ СОШ ИМ. ЯКИНА")</f>
        <v>МАОУ ЧИКЧИНСКАЯ СОШ ИМ. ЯКИНА</v>
      </c>
      <c r="B6286" s="24" t="s">
        <v>7102</v>
      </c>
      <c r="C6286" s="25">
        <v>2009280</v>
      </c>
      <c r="D6286" s="22" t="s">
        <v>8161</v>
      </c>
      <c r="E6286" s="22" t="s">
        <v>363</v>
      </c>
      <c r="F6286" s="23" t="str">
        <f>HYPERLINK("https://www.spark-marketing.ru/Card/Lot/71440219", "Оказание охранных услуг")</f>
        <v>Оказание охранных услуг</v>
      </c>
      <c r="G6286" s="22" t="s">
        <v>893</v>
      </c>
      <c r="H6286" s="22" t="s">
        <v>893</v>
      </c>
      <c r="I6286" s="26">
        <v>43634.349085648202</v>
      </c>
      <c r="J6286" s="28" t="s">
        <v>52</v>
      </c>
      <c r="K6286" s="28" t="s">
        <v>52</v>
      </c>
      <c r="L6286" s="28" t="s">
        <v>52</v>
      </c>
      <c r="M6286" s="28" t="s">
        <v>52</v>
      </c>
      <c r="N6286" s="28" t="s">
        <v>52</v>
      </c>
    </row>
    <row r="6287" spans="1:14" x14ac:dyDescent="0.15">
      <c r="A6287" s="23" t="str">
        <f>HYPERLINK("https://www.spark-marketing.ru/Card/Person/29805", "ФКУ ИК-5 УФСИН РОССИИ ПО ЗАБАЙКАЛЬСКОМУ КРАЮ")</f>
        <v>ФКУ ИК-5 УФСИН РОССИИ ПО ЗАБАЙКАЛЬСКОМУ КРАЮ</v>
      </c>
      <c r="B6287" s="24" t="s">
        <v>8013</v>
      </c>
      <c r="C6287" s="25">
        <v>9920</v>
      </c>
      <c r="D6287" s="22" t="s">
        <v>8162</v>
      </c>
      <c r="E6287" s="22" t="s">
        <v>208</v>
      </c>
      <c r="F6287" s="23" t="str">
        <f>HYPERLINK("https://www.spark-marketing.ru/Card/Lot/71438183", "Кнопка тревожной сигнализации RS-201TK2, 2 шт")</f>
        <v>Кнопка тревожной сигнализации RS-201TK2, 2 шт</v>
      </c>
      <c r="G6287" s="22" t="s">
        <v>473</v>
      </c>
      <c r="H6287" s="22" t="s">
        <v>476</v>
      </c>
      <c r="I6287" s="26">
        <v>43634.168252314797</v>
      </c>
      <c r="J6287" s="28" t="s">
        <v>52</v>
      </c>
      <c r="K6287" s="28" t="s">
        <v>52</v>
      </c>
      <c r="L6287" s="28" t="s">
        <v>52</v>
      </c>
      <c r="M6287" s="28" t="s">
        <v>52</v>
      </c>
      <c r="N6287" s="28" t="s">
        <v>52</v>
      </c>
    </row>
    <row r="6288" spans="1:14" x14ac:dyDescent="0.15">
      <c r="A6288" s="23" t="str">
        <f>HYPERLINK("https://www.spark-marketing.ru/Card/Person/947443", "МО МВД РОССИИ ""СПАССКИЙ""")</f>
        <v>МО МВД РОССИИ "СПАССКИЙ"</v>
      </c>
      <c r="B6288" s="24" t="s">
        <v>3939</v>
      </c>
      <c r="C6288" s="25">
        <v>24883</v>
      </c>
      <c r="D6288" s="22" t="s">
        <v>8163</v>
      </c>
      <c r="E6288" s="22" t="s">
        <v>59</v>
      </c>
      <c r="F6288" s="23" t="str">
        <f>HYPERLINK("https://www.spark-marketing.ru/Card/Lot/71438059", "Установка охранной сигнализации, 1 шт")</f>
        <v>Установка охранной сигнализации, 1 шт</v>
      </c>
      <c r="G6288" s="22" t="s">
        <v>409</v>
      </c>
      <c r="H6288" s="22" t="s">
        <v>3941</v>
      </c>
      <c r="I6288" s="26">
        <v>43634.119733796302</v>
      </c>
      <c r="J6288" s="28" t="s">
        <v>52</v>
      </c>
      <c r="K6288" s="28" t="s">
        <v>52</v>
      </c>
      <c r="L6288" s="28" t="s">
        <v>52</v>
      </c>
      <c r="M6288" s="28" t="s">
        <v>52</v>
      </c>
      <c r="N6288" s="28" t="s">
        <v>52</v>
      </c>
    </row>
    <row r="6289" spans="1:14" x14ac:dyDescent="0.15">
      <c r="A6289" s="23" t="str">
        <f>HYPERLINK("https://www.spark-marketing.ru/Card/Person/135432", "АО ""ФЦНИВТ ""СНПО ""ЭЛЕРОН""")</f>
        <v>АО "ФЦНИВТ "СНПО "ЭЛЕРОН"</v>
      </c>
      <c r="B6289" s="24" t="s">
        <v>8164</v>
      </c>
      <c r="C6289" s="25">
        <v>408000</v>
      </c>
      <c r="D6289" s="22" t="s">
        <v>8165</v>
      </c>
      <c r="E6289" s="22" t="s">
        <v>53</v>
      </c>
      <c r="F6289" s="23" t="str">
        <f>HYPERLINK("https://www.spark-marketing.ru/Card/Lot/71457886", "Право заключения договора на Оказание услуг по проведению экспертизы и оформлению заключения по ядерной безопасности транспортного упаковочного комплекта ТУК-11БН")</f>
        <v>Право заключения договора на Оказание услуг по проведению экспертизы и оформлению заключения по ядерной безопасности транспортного упаковочного комплекта ТУК-11БН</v>
      </c>
      <c r="G6289" s="22" t="s">
        <v>55</v>
      </c>
      <c r="H6289" s="22" t="s">
        <v>55</v>
      </c>
      <c r="I6289" s="26">
        <v>43634</v>
      </c>
      <c r="J6289" s="28" t="s">
        <v>52</v>
      </c>
      <c r="K6289" s="28" t="s">
        <v>52</v>
      </c>
      <c r="L6289" s="28" t="s">
        <v>52</v>
      </c>
      <c r="M6289" s="28" t="s">
        <v>52</v>
      </c>
      <c r="N6289" s="28" t="s">
        <v>52</v>
      </c>
    </row>
    <row r="6290" spans="1:14" x14ac:dyDescent="0.15">
      <c r="A6290" s="23" t="str">
        <f>HYPERLINK("https://www.spark-marketing.ru/Card/Person/4348459", "ПАО ""ЧТПЗ""")</f>
        <v>ПАО "ЧТПЗ"</v>
      </c>
      <c r="B6290" s="24" t="s">
        <v>4651</v>
      </c>
      <c r="C6290" s="25">
        <v>0</v>
      </c>
      <c r="D6290" s="22" t="s">
        <v>8166</v>
      </c>
      <c r="E6290" s="22" t="s">
        <v>8167</v>
      </c>
      <c r="F6290" s="23" t="str">
        <f>HYPERLINK("https://www.spark-marketing.ru/Card/Lot/71446642", "ФККО 9 11 200 02 39 3")</f>
        <v>ФККО 9 11 200 02 39 3</v>
      </c>
      <c r="G6290" s="22" t="s">
        <v>60</v>
      </c>
      <c r="H6290" s="22" t="s">
        <v>1683</v>
      </c>
      <c r="I6290" s="26">
        <v>43634.326203703698</v>
      </c>
      <c r="J6290" s="28" t="s">
        <v>52</v>
      </c>
      <c r="K6290" s="28" t="s">
        <v>52</v>
      </c>
      <c r="L6290" s="28" t="s">
        <v>52</v>
      </c>
      <c r="M6290" s="28" t="s">
        <v>52</v>
      </c>
      <c r="N6290" s="28" t="s">
        <v>52</v>
      </c>
    </row>
    <row r="6291" spans="1:14" x14ac:dyDescent="0.15">
      <c r="A6291" s="23" t="str">
        <f>HYPERLINK("https://www.spark-marketing.ru/Card/Person/74390", "ПАО ""ОАК""")</f>
        <v>ПАО "ОАК"</v>
      </c>
      <c r="B6291" s="24" t="s">
        <v>8168</v>
      </c>
      <c r="C6291" s="25">
        <v>6501553.54</v>
      </c>
      <c r="D6291" s="22" t="s">
        <v>8169</v>
      </c>
      <c r="E6291" s="22" t="s">
        <v>2577</v>
      </c>
      <c r="F6291" s="23" t="str">
        <f>HYPERLINK("https://www.spark-marketing.ru/Card/Lot/71418271", "Оказание услуг по техническому обслуживанию и администрированию Комплекса технических средств охраны")</f>
        <v>Оказание услуг по техническому обслуживанию и администрированию Комплекса технических средств охраны</v>
      </c>
      <c r="G6291" s="22" t="s">
        <v>55</v>
      </c>
      <c r="H6291" s="22" t="s">
        <v>55</v>
      </c>
      <c r="I6291" s="26">
        <v>43633.737129629597</v>
      </c>
      <c r="J6291" s="28" t="s">
        <v>52</v>
      </c>
      <c r="K6291" s="28" t="s">
        <v>52</v>
      </c>
      <c r="L6291" s="28" t="s">
        <v>52</v>
      </c>
      <c r="M6291" s="28" t="s">
        <v>52</v>
      </c>
      <c r="N6291" s="28" t="s">
        <v>52</v>
      </c>
    </row>
    <row r="6292" spans="1:14" x14ac:dyDescent="0.15">
      <c r="A6292" s="23" t="str">
        <f>HYPERLINK("https://www.spark-marketing.ru/Card/Person/79943", "КХМ ИМ. В.И.СУРИКОВА")</f>
        <v>КХМ ИМ. В.И.СУРИКОВА</v>
      </c>
      <c r="B6292" s="24" t="s">
        <v>8170</v>
      </c>
      <c r="C6292" s="25">
        <v>108669</v>
      </c>
      <c r="D6292" s="22" t="s">
        <v>8171</v>
      </c>
      <c r="E6292" s="22" t="s">
        <v>8172</v>
      </c>
      <c r="F6292" s="23" t="str">
        <f>HYPERLINK("https://www.spark-marketing.ru/Card/Lot/71408207", "Поставка и объектового блока охранной сигнализации и установка объектового блока охранной сигнализации")</f>
        <v>Поставка и объектового блока охранной сигнализации и установка объектового блока охранной сигнализации</v>
      </c>
      <c r="G6292" s="22" t="s">
        <v>640</v>
      </c>
      <c r="H6292" s="22" t="s">
        <v>640</v>
      </c>
      <c r="I6292" s="26">
        <v>43633.734143518501</v>
      </c>
      <c r="J6292" s="28" t="s">
        <v>52</v>
      </c>
      <c r="K6292" s="28" t="s">
        <v>52</v>
      </c>
      <c r="L6292" s="28" t="s">
        <v>52</v>
      </c>
      <c r="M6292" s="28" t="s">
        <v>52</v>
      </c>
      <c r="N6292" s="28" t="s">
        <v>52</v>
      </c>
    </row>
    <row r="6293" spans="1:14" x14ac:dyDescent="0.15">
      <c r="A6293" s="23" t="str">
        <f>HYPERLINK("https://www.spark-marketing.ru/Card/Person/4344140", "ФКУ ""УОУМТС МВД РОССИИ""")</f>
        <v>ФКУ "УОУМТС МВД РОССИИ"</v>
      </c>
      <c r="B6293" s="24" t="s">
        <v>8173</v>
      </c>
      <c r="C6293" s="25">
        <v>3500000</v>
      </c>
      <c r="D6293" s="22" t="s">
        <v>8174</v>
      </c>
      <c r="E6293" s="22" t="s">
        <v>208</v>
      </c>
      <c r="F6293" s="23" t="str">
        <f>HYPERLINK("https://www.spark-marketing.ru/Card/Lot/71430751", "Изготовление системы тревожно-вызывной сигнализации УБХР ФКУ ""УОУМТС МВД России"" с установкой")</f>
        <v>Изготовление системы тревожно-вызывной сигнализации УБХР ФКУ "УОУМТС МВД России" с установкой</v>
      </c>
      <c r="G6293" s="22" t="s">
        <v>72</v>
      </c>
      <c r="H6293" s="22" t="s">
        <v>949</v>
      </c>
      <c r="I6293" s="26">
        <v>43633.6965277778</v>
      </c>
      <c r="J6293" s="28" t="s">
        <v>52</v>
      </c>
      <c r="K6293" s="28" t="s">
        <v>52</v>
      </c>
      <c r="L6293" s="28" t="s">
        <v>52</v>
      </c>
      <c r="M6293" s="28" t="s">
        <v>52</v>
      </c>
      <c r="N6293" s="28" t="s">
        <v>52</v>
      </c>
    </row>
    <row r="6294" spans="1:14" x14ac:dyDescent="0.15">
      <c r="A6294" s="23" t="str">
        <f>HYPERLINK("https://www.spark-marketing.ru/Card/Person/9675", "ФКУ ""ЦХ И СО МВД ПО РСО-АЛАНИЯ""")</f>
        <v>ФКУ "ЦХ И СО МВД ПО РСО-АЛАНИЯ"</v>
      </c>
      <c r="B6294" s="24" t="s">
        <v>831</v>
      </c>
      <c r="C6294" s="25">
        <v>77465</v>
      </c>
      <c r="D6294" s="22" t="s">
        <v>8175</v>
      </c>
      <c r="E6294" s="22" t="s">
        <v>208</v>
      </c>
      <c r="F6294" s="23" t="str">
        <f>HYPERLINK("https://www.spark-marketing.ru/Card/Lot/71412407", "Охранная сигнализация в комплекте с установкой, 1 шт")</f>
        <v>Охранная сигнализация в комплекте с установкой, 1 шт</v>
      </c>
      <c r="G6294" s="22" t="s">
        <v>833</v>
      </c>
      <c r="H6294" s="22" t="s">
        <v>834</v>
      </c>
      <c r="I6294" s="26">
        <v>43633.6688194444</v>
      </c>
      <c r="J6294" s="28" t="s">
        <v>52</v>
      </c>
      <c r="K6294" s="28" t="s">
        <v>52</v>
      </c>
      <c r="L6294" s="28" t="s">
        <v>52</v>
      </c>
      <c r="M6294" s="28" t="s">
        <v>52</v>
      </c>
      <c r="N6294" s="28" t="s">
        <v>52</v>
      </c>
    </row>
    <row r="6295" spans="1:14" x14ac:dyDescent="0.15">
      <c r="A6295" s="23" t="str">
        <f>HYPERLINK("https://www.spark-marketing.ru/Card/Person/112563", "МКУ ""ЖКУ"" ТОПКИНСКОГО МУНИЦИПАЛЬНОГО РАЙОНА")</f>
        <v>МКУ "ЖКУ" ТОПКИНСКОГО МУНИЦИПАЛЬНОГО РАЙОНА</v>
      </c>
      <c r="B6295" s="24" t="s">
        <v>8176</v>
      </c>
      <c r="C6295" s="25">
        <v>2374999.2000000002</v>
      </c>
      <c r="D6295" s="22" t="s">
        <v>8177</v>
      </c>
      <c r="E6295" s="22" t="s">
        <v>59</v>
      </c>
      <c r="F6295" s="23" t="str">
        <f>HYPERLINK("https://www.spark-marketing.ru/Card/Lot/71430436", "Установка камер видеонаблюдения с выводом изображения на пульт дежурного оператора ЕДДС")</f>
        <v>Установка камер видеонаблюдения с выводом изображения на пульт дежурного оператора ЕДДС</v>
      </c>
      <c r="G6295" s="22" t="s">
        <v>367</v>
      </c>
      <c r="H6295" s="22" t="s">
        <v>367</v>
      </c>
      <c r="I6295" s="26">
        <v>43633.683333333298</v>
      </c>
      <c r="J6295" s="23" t="str">
        <f>HYPERLINK("https://www.spark-marketing.ru/Card/Person/4335784", "ООО ""МОРУС""")</f>
        <v>ООО "МОРУС"</v>
      </c>
      <c r="K6295" s="24" t="s">
        <v>8178</v>
      </c>
      <c r="L6295" s="22" t="s">
        <v>10</v>
      </c>
      <c r="M6295" s="28" t="s">
        <v>52</v>
      </c>
      <c r="N6295" s="28" t="s">
        <v>52</v>
      </c>
    </row>
    <row r="6296" spans="1:14" x14ac:dyDescent="0.15">
      <c r="A6296" s="23" t="str">
        <f>HYPERLINK("https://www.spark-marketing.ru/Card/Person/136347", "МЕЖРАЙОННАЯ ИФНС РОССИИ № 1 ПО СМОЛЕНСКОЙ ОБЛАСТИ")</f>
        <v>МЕЖРАЙОННАЯ ИФНС РОССИИ № 1 ПО СМОЛЕНСКОЙ ОБЛАСТИ</v>
      </c>
      <c r="B6296" s="24" t="s">
        <v>8125</v>
      </c>
      <c r="C6296" s="25">
        <v>35505.72</v>
      </c>
      <c r="D6296" s="22" t="s">
        <v>8179</v>
      </c>
      <c r="E6296" s="22" t="s">
        <v>53</v>
      </c>
      <c r="F6296" s="23" t="str">
        <f>HYPERLINK("https://www.spark-marketing.ru/Card/Lot/71414550", "Охрана имущества при помощи пульта централизованного наблюдения")</f>
        <v>Охрана имущества при помощи пульта централизованного наблюдения</v>
      </c>
      <c r="G6296" s="22" t="s">
        <v>956</v>
      </c>
      <c r="H6296" s="22" t="s">
        <v>7959</v>
      </c>
      <c r="I6296" s="26">
        <v>43633.672650462999</v>
      </c>
      <c r="J6296" s="28" t="s">
        <v>52</v>
      </c>
      <c r="K6296" s="28" t="s">
        <v>52</v>
      </c>
      <c r="L6296" s="28" t="s">
        <v>52</v>
      </c>
      <c r="M6296" s="28" t="s">
        <v>52</v>
      </c>
      <c r="N6296" s="28" t="s">
        <v>52</v>
      </c>
    </row>
    <row r="6297" spans="1:14" x14ac:dyDescent="0.15">
      <c r="A6297" s="23" t="str">
        <f>HYPERLINK("https://www.spark-marketing.ru/Card/Person/9675", "ФКУ ""ЦХ И СО МВД ПО РСО-АЛАНИЯ""")</f>
        <v>ФКУ "ЦХ И СО МВД ПО РСО-АЛАНИЯ"</v>
      </c>
      <c r="B6297" s="24" t="s">
        <v>831</v>
      </c>
      <c r="C6297" s="25">
        <v>77455</v>
      </c>
      <c r="D6297" s="22" t="s">
        <v>8180</v>
      </c>
      <c r="E6297" s="22" t="s">
        <v>59</v>
      </c>
      <c r="F6297" s="23" t="str">
        <f>HYPERLINK("https://www.spark-marketing.ru/Card/Lot/71413999", "Установка охранной сигнализации, 1 шт")</f>
        <v>Установка охранной сигнализации, 1 шт</v>
      </c>
      <c r="G6297" s="22" t="s">
        <v>833</v>
      </c>
      <c r="H6297" s="22" t="s">
        <v>834</v>
      </c>
      <c r="I6297" s="26">
        <v>43633.678078703699</v>
      </c>
      <c r="J6297" s="28" t="s">
        <v>52</v>
      </c>
      <c r="K6297" s="28" t="s">
        <v>52</v>
      </c>
      <c r="L6297" s="28" t="s">
        <v>52</v>
      </c>
      <c r="M6297" s="28" t="s">
        <v>52</v>
      </c>
      <c r="N6297" s="28" t="s">
        <v>52</v>
      </c>
    </row>
    <row r="6298" spans="1:14" x14ac:dyDescent="0.15">
      <c r="A6298" s="23" t="str">
        <f>HYPERLINK("https://www.spark-marketing.ru/Card/Person/652114", "ЯРОСЛАВСКИЙ ХУДОЖЕСТВЕННЫЙ МУЗЕЙ")</f>
        <v>ЯРОСЛАВСКИЙ ХУДОЖЕСТВЕННЫЙ МУЗЕЙ</v>
      </c>
      <c r="B6298" s="24" t="s">
        <v>8181</v>
      </c>
      <c r="C6298" s="25">
        <v>120187</v>
      </c>
      <c r="D6298" s="22" t="s">
        <v>8182</v>
      </c>
      <c r="E6298" s="22" t="s">
        <v>2777</v>
      </c>
      <c r="F6298" s="23" t="str">
        <f>HYPERLINK("https://www.spark-marketing.ru/Card/Lot/71413515", "Техническое обслуживание систем передвижной радиоканальной охранной сигнализации для произведений искусства.")</f>
        <v>Техническое обслуживание систем передвижной радиоканальной охранной сигнализации для произведений искусства.</v>
      </c>
      <c r="G6298" s="22" t="s">
        <v>155</v>
      </c>
      <c r="H6298" s="22" t="s">
        <v>155</v>
      </c>
      <c r="I6298" s="26">
        <v>43633.660624999997</v>
      </c>
      <c r="J6298" s="28" t="s">
        <v>52</v>
      </c>
      <c r="K6298" s="28" t="s">
        <v>52</v>
      </c>
      <c r="L6298" s="28" t="s">
        <v>52</v>
      </c>
      <c r="M6298" s="28" t="s">
        <v>52</v>
      </c>
      <c r="N6298" s="28" t="s">
        <v>52</v>
      </c>
    </row>
    <row r="6299" spans="1:14" x14ac:dyDescent="0.15">
      <c r="A6299" s="23" t="str">
        <f>HYPERLINK("https://www.spark-marketing.ru/Card/Person/136347", "МЕЖРАЙОННАЯ ИФНС РОССИИ № 1 ПО СМОЛЕНСКОЙ ОБЛАСТИ")</f>
        <v>МЕЖРАЙОННАЯ ИФНС РОССИИ № 1 ПО СМОЛЕНСКОЙ ОБЛАСТИ</v>
      </c>
      <c r="B6299" s="24" t="s">
        <v>8125</v>
      </c>
      <c r="C6299" s="25">
        <v>46512.12</v>
      </c>
      <c r="D6299" s="22" t="s">
        <v>8183</v>
      </c>
      <c r="E6299" s="22" t="s">
        <v>53</v>
      </c>
      <c r="F6299" s="23" t="str">
        <f>HYPERLINK("https://www.spark-marketing.ru/Card/Lot/71412309", "Оказание услуг по техническому обслуживанию комплеса технических средств охраны на объектах")</f>
        <v>Оказание услуг по техническому обслуживанию комплеса технических средств охраны на объектах</v>
      </c>
      <c r="G6299" s="22" t="s">
        <v>956</v>
      </c>
      <c r="H6299" s="22" t="s">
        <v>7959</v>
      </c>
      <c r="I6299" s="26">
        <v>43633.6476736111</v>
      </c>
      <c r="J6299" s="28" t="s">
        <v>52</v>
      </c>
      <c r="K6299" s="28" t="s">
        <v>52</v>
      </c>
      <c r="L6299" s="28" t="s">
        <v>52</v>
      </c>
      <c r="M6299" s="28" t="s">
        <v>52</v>
      </c>
      <c r="N6299" s="28" t="s">
        <v>52</v>
      </c>
    </row>
    <row r="6300" spans="1:14" x14ac:dyDescent="0.2">
      <c r="A6300" s="23" t="str">
        <f>HYPERLINK("https://www.spark-marketing.ru/Card/Person/1725333", "ООО ""ЖТЭК""")</f>
        <v>ООО "ЖТЭК"</v>
      </c>
      <c r="B6300" s="24" t="s">
        <v>8184</v>
      </c>
      <c r="C6300" s="25">
        <v>960000</v>
      </c>
      <c r="D6300" s="22" t="s">
        <v>8185</v>
      </c>
      <c r="E6300" s="22" t="s">
        <v>2577</v>
      </c>
      <c r="F6300" s="23" t="str">
        <f>HYPERLINK("https://www.spark-marketing.ru/Card/Lot/71413461", "Оказание услуг по организации и обеспечению круглосуточного пропускного режима на территории ООО ""ЖТЭК"", находящуюся на промышленной площадке Ижорские заводы.")</f>
        <v>Оказание услуг по организации и обеспечению круглосуточного пропускного режима на территории ООО "ЖТЭК", находящуюся на промышленной площадке Ижорские заводы.</v>
      </c>
      <c r="G6300" s="22" t="s">
        <v>89</v>
      </c>
      <c r="H6300" s="22" t="s">
        <v>89</v>
      </c>
      <c r="I6300" s="26">
        <v>43633.651805555601</v>
      </c>
      <c r="J6300" s="23" t="str">
        <f>HYPERLINK("https://www.spark-marketing.ru/Card/Person/1831141", "ООО ""ЧОО""БАСТИОН""")</f>
        <v>ООО "ЧОО"БАСТИОН"</v>
      </c>
      <c r="K6300" s="24" t="s">
        <v>8186</v>
      </c>
      <c r="L6300" s="28" t="s">
        <v>52</v>
      </c>
      <c r="M6300" s="25">
        <v>960000</v>
      </c>
      <c r="N6300" s="27">
        <v>0</v>
      </c>
    </row>
    <row r="6301" spans="1:14" x14ac:dyDescent="0.15">
      <c r="A6301" s="23" t="str">
        <f>HYPERLINK("https://www.spark-marketing.ru/Card/Person/9675", "ФКУ ""ЦХ И СО МВД ПО РСО-АЛАНИЯ""")</f>
        <v>ФКУ "ЦХ И СО МВД ПО РСО-АЛАНИЯ"</v>
      </c>
      <c r="B6301" s="24" t="s">
        <v>831</v>
      </c>
      <c r="C6301" s="25">
        <v>77455</v>
      </c>
      <c r="D6301" s="22" t="s">
        <v>8187</v>
      </c>
      <c r="E6301" s="22" t="s">
        <v>59</v>
      </c>
      <c r="F6301" s="23" t="str">
        <f>HYPERLINK("https://www.spark-marketing.ru/Card/Lot/71411953", "Установка охранной сигнализации, 1 шт")</f>
        <v>Установка охранной сигнализации, 1 шт</v>
      </c>
      <c r="G6301" s="22" t="s">
        <v>833</v>
      </c>
      <c r="H6301" s="22" t="s">
        <v>834</v>
      </c>
      <c r="I6301" s="26">
        <v>43633.645300925898</v>
      </c>
      <c r="J6301" s="28" t="s">
        <v>52</v>
      </c>
      <c r="K6301" s="28" t="s">
        <v>52</v>
      </c>
      <c r="L6301" s="28" t="s">
        <v>52</v>
      </c>
      <c r="M6301" s="28" t="s">
        <v>52</v>
      </c>
      <c r="N6301" s="28" t="s">
        <v>52</v>
      </c>
    </row>
    <row r="6302" spans="1:14" x14ac:dyDescent="0.15">
      <c r="A6302" s="23" t="str">
        <f>HYPERLINK("https://www.spark-marketing.ru/Card/Person/136347", "МЕЖРАЙОННАЯ ИФНС РОССИИ № 1 ПО СМОЛЕНСКОЙ ОБЛАСТИ")</f>
        <v>МЕЖРАЙОННАЯ ИФНС РОССИИ № 1 ПО СМОЛЕНСКОЙ ОБЛАСТИ</v>
      </c>
      <c r="B6302" s="24" t="s">
        <v>8125</v>
      </c>
      <c r="C6302" s="25">
        <v>72411.240000000005</v>
      </c>
      <c r="D6302" s="22" t="s">
        <v>8188</v>
      </c>
      <c r="E6302" s="22" t="s">
        <v>53</v>
      </c>
      <c r="F6302" s="23" t="str">
        <f>HYPERLINK("https://www.spark-marketing.ru/Card/Lot/71412231", "Оказание услуг по техническому обслуживанию комплекса технических средств охраны на объектах")</f>
        <v>Оказание услуг по техническому обслуживанию комплекса технических средств охраны на объектах</v>
      </c>
      <c r="G6302" s="22" t="s">
        <v>956</v>
      </c>
      <c r="H6302" s="22" t="s">
        <v>7959</v>
      </c>
      <c r="I6302" s="26">
        <v>43633.653738425899</v>
      </c>
      <c r="J6302" s="28" t="s">
        <v>52</v>
      </c>
      <c r="K6302" s="28" t="s">
        <v>52</v>
      </c>
      <c r="L6302" s="28" t="s">
        <v>52</v>
      </c>
      <c r="M6302" s="28" t="s">
        <v>52</v>
      </c>
      <c r="N6302" s="28" t="s">
        <v>52</v>
      </c>
    </row>
    <row r="6303" spans="1:14" x14ac:dyDescent="0.15">
      <c r="A6303" s="23" t="str">
        <f>HYPERLINK("https://www.spark-marketing.ru/Card/Person/77624", "УПРАВЛЕНИЕ РОСКОМНАДЗОРА ПО СЕВЕРО-ЗАПАДНОМУ ФЕДЕРАЛЬНОМУ ОКРУГУ")</f>
        <v>УПРАВЛЕНИЕ РОСКОМНАДЗОРА ПО СЕВЕРО-ЗАПАДНОМУ ФЕДЕРАЛЬНОМУ ОКРУГУ</v>
      </c>
      <c r="B6303" s="24" t="s">
        <v>7811</v>
      </c>
      <c r="C6303" s="25">
        <v>28000</v>
      </c>
      <c r="D6303" s="22" t="s">
        <v>8189</v>
      </c>
      <c r="E6303" s="22" t="s">
        <v>53</v>
      </c>
      <c r="F6303" s="23" t="str">
        <f>HYPERLINK("https://www.spark-marketing.ru/Card/Lot/71409635", "Предоставление услуг стоянки и охраны автомобиля")</f>
        <v>Предоставление услуг стоянки и охраны автомобиля</v>
      </c>
      <c r="G6303" s="22" t="s">
        <v>89</v>
      </c>
      <c r="H6303" s="22" t="s">
        <v>89</v>
      </c>
      <c r="I6303" s="26">
        <v>43633.615150463003</v>
      </c>
      <c r="J6303" s="28" t="s">
        <v>52</v>
      </c>
      <c r="K6303" s="28" t="s">
        <v>52</v>
      </c>
      <c r="L6303" s="28" t="s">
        <v>52</v>
      </c>
      <c r="M6303" s="28" t="s">
        <v>52</v>
      </c>
      <c r="N6303" s="28" t="s">
        <v>52</v>
      </c>
    </row>
    <row r="6304" spans="1:14" x14ac:dyDescent="0.15">
      <c r="A6304" s="23" t="str">
        <f>HYPERLINK("https://www.spark-marketing.ru/Card/Person/4198", "ГКУ ВО ""ДИРЕКЦИЯ ПО МАТЕРИАЛЬНО-ТЕХНИЧЕСКОМУ И ХОЗЯЙСТВЕННОМУ ОБЕСПЕЧЕНИЮ АДМИНИСТРАЦИИ ВОЛГОГРАДСКОЙ ОБЛАСТИ""")</f>
        <v>ГКУ ВО "ДИРЕКЦИЯ ПО МАТЕРИАЛЬНО-ТЕХНИЧЕСКОМУ И ХОЗЯЙСТВЕННОМУ ОБЕСПЕЧЕНИЮ АДМИНИСТРАЦИИ ВОЛГОГРАДСКОЙ ОБЛАСТИ"</v>
      </c>
      <c r="B6304" s="24" t="s">
        <v>8190</v>
      </c>
      <c r="C6304" s="25">
        <v>7149303</v>
      </c>
      <c r="D6304" s="22" t="s">
        <v>8191</v>
      </c>
      <c r="E6304" s="22" t="s">
        <v>68</v>
      </c>
      <c r="F6304" s="23" t="str">
        <f>HYPERLINK("https://www.spark-marketing.ru/Card/Lot/71431772", "Оказание услуг по охране объектов")</f>
        <v>Оказание услуг по охране объектов</v>
      </c>
      <c r="G6304" s="22" t="s">
        <v>343</v>
      </c>
      <c r="H6304" s="22" t="s">
        <v>344</v>
      </c>
      <c r="I6304" s="26">
        <v>43633.5847222222</v>
      </c>
      <c r="J6304" s="28" t="s">
        <v>52</v>
      </c>
      <c r="K6304" s="28" t="s">
        <v>52</v>
      </c>
      <c r="L6304" s="28" t="s">
        <v>52</v>
      </c>
      <c r="M6304" s="28" t="s">
        <v>52</v>
      </c>
      <c r="N6304" s="28" t="s">
        <v>52</v>
      </c>
    </row>
    <row r="6305" spans="1:14" x14ac:dyDescent="0.15">
      <c r="A6305" s="23" t="str">
        <f>HYPERLINK("https://www.spark-marketing.ru/Card/Person/81090", "МАГАДАНСКАЯ ТАМОЖНЯ")</f>
        <v>МАГАДАНСКАЯ ТАМОЖНЯ</v>
      </c>
      <c r="B6305" s="24" t="s">
        <v>6802</v>
      </c>
      <c r="C6305" s="25">
        <v>129997.92</v>
      </c>
      <c r="D6305" s="22" t="s">
        <v>8192</v>
      </c>
      <c r="E6305" s="22" t="s">
        <v>68</v>
      </c>
      <c r="F6305" s="23" t="str">
        <f>HYPERLINK("https://www.spark-marketing.ru/Card/Lot/71395873", "Оказание  услуг по охране объекта с помощью охранной сигнализации (объект: обособленное  помещение Анадырского таможенного поста Магадаснкой таможни, расположенное по адресу: Чукотский АО, городское поселение Провидения, ул. Набережная Дежнева, д. 45...")</f>
        <v>Оказание  услуг по охране объекта с помощью охранной сигнализации (объект: обособленное  помещение Анадырского таможенного поста Магадаснкой таможни, расположенное по адресу: Чукотский АО, городское поселение Провидения, ул. Набережная Дежнева, д. 45...</v>
      </c>
      <c r="G6305" s="22" t="s">
        <v>1544</v>
      </c>
      <c r="H6305" s="22" t="s">
        <v>1544</v>
      </c>
      <c r="I6305" s="26">
        <v>43633.621527777803</v>
      </c>
      <c r="J6305" s="23" t="str">
        <f>HYPERLINK("https://www.spark-marketing.ru/Card/Person/4365753", "ФГКУ ""ОВО ВНГ РОССИИ ПО ЧУКОТСКОМУ АВТОНОМНОМУ ОКРУГУ""")</f>
        <v>ФГКУ "ОВО ВНГ РОССИИ ПО ЧУКОТСКОМУ АВТОНОМНОМУ ОКРУГУ"</v>
      </c>
      <c r="K6305" s="24" t="s">
        <v>8193</v>
      </c>
      <c r="L6305" s="22" t="s">
        <v>10</v>
      </c>
      <c r="M6305" s="28" t="s">
        <v>52</v>
      </c>
      <c r="N6305" s="28" t="s">
        <v>52</v>
      </c>
    </row>
    <row r="6306" spans="1:14" x14ac:dyDescent="0.15">
      <c r="A6306" s="23" t="str">
        <f>HYPERLINK("https://www.spark-marketing.ru/Card/Person/4352055", "ГБПОУ МО ""КОЛОМЕНСКИЙ АГРАРНЫЙ КОЛЛЕДЖ""")</f>
        <v>ГБПОУ МО "КОЛОМЕНСКИЙ АГРАРНЫЙ КОЛЛЕДЖ"</v>
      </c>
      <c r="B6306" s="24" t="s">
        <v>8194</v>
      </c>
      <c r="C6306" s="25">
        <v>172400</v>
      </c>
      <c r="D6306" s="22" t="s">
        <v>8195</v>
      </c>
      <c r="E6306" s="22" t="s">
        <v>59</v>
      </c>
      <c r="F6306" s="23" t="str">
        <f>HYPERLINK("https://www.spark-marketing.ru/Card/Lot/71410311", "Работы по установке охранной сигнализации на объектах ГБПОУ МО ""Коломенский аграрный колледж""")</f>
        <v>Работы по установке охранной сигнализации на объектах ГБПОУ МО "Коломенский аграрный колледж"</v>
      </c>
      <c r="G6306" s="22" t="s">
        <v>50</v>
      </c>
      <c r="H6306" s="22" t="s">
        <v>682</v>
      </c>
      <c r="I6306" s="26">
        <v>43633.597372685203</v>
      </c>
      <c r="J6306" s="28" t="s">
        <v>52</v>
      </c>
      <c r="K6306" s="28" t="s">
        <v>52</v>
      </c>
      <c r="L6306" s="28" t="s">
        <v>52</v>
      </c>
      <c r="M6306" s="28" t="s">
        <v>52</v>
      </c>
      <c r="N6306" s="28" t="s">
        <v>52</v>
      </c>
    </row>
    <row r="6307" spans="1:14" x14ac:dyDescent="0.15">
      <c r="A6307" s="23" t="str">
        <f>HYPERLINK("https://www.spark-marketing.ru/Card/Person/134712", "ОМВД РОССИИ ПО БЕРЕЗОВСКОМУ РАЙОНУ")</f>
        <v>ОМВД РОССИИ ПО БЕРЕЗОВСКОМУ РАЙОНУ</v>
      </c>
      <c r="B6307" s="24" t="s">
        <v>8196</v>
      </c>
      <c r="C6307" s="25">
        <v>238258.75</v>
      </c>
      <c r="D6307" s="22" t="s">
        <v>8197</v>
      </c>
      <c r="E6307" s="22" t="s">
        <v>84</v>
      </c>
      <c r="F6307" s="23" t="str">
        <f>HYPERLINK("https://www.spark-marketing.ru/Card/Lot/71417313", "Оказание услуг по установке системы видеонаблюдения")</f>
        <v>Оказание услуг по установке системы видеонаблюдения</v>
      </c>
      <c r="G6307" s="22" t="s">
        <v>119</v>
      </c>
      <c r="H6307" s="22" t="s">
        <v>8198</v>
      </c>
      <c r="I6307" s="26">
        <v>43633.6159722222</v>
      </c>
      <c r="J6307" s="23" t="str">
        <f>HYPERLINK("https://www.spark-marketing.ru/Card/Person/940347", "ООО ""ЧОП ""РЫСЬ""")</f>
        <v>ООО "ЧОП "РЫСЬ"</v>
      </c>
      <c r="K6307" s="24" t="s">
        <v>1587</v>
      </c>
      <c r="L6307" s="22" t="s">
        <v>10</v>
      </c>
      <c r="M6307" s="28" t="s">
        <v>52</v>
      </c>
      <c r="N6307" s="28" t="s">
        <v>52</v>
      </c>
    </row>
    <row r="6308" spans="1:14" x14ac:dyDescent="0.15">
      <c r="A6308" s="23" t="str">
        <f>HYPERLINK("https://www.spark-marketing.ru/Card/Person/151161", "О МВД РОССИИ ПО ДЕРГАЧЁВСКОМУ РАЙОНУ САРАТОВСКОЙ ОБЛАСТИ")</f>
        <v>О МВД РОССИИ ПО ДЕРГАЧЁВСКОМУ РАЙОНУ САРАТОВСКОЙ ОБЛАСТИ</v>
      </c>
      <c r="B6308" s="24" t="s">
        <v>8199</v>
      </c>
      <c r="C6308" s="25">
        <v>35000</v>
      </c>
      <c r="D6308" s="22" t="s">
        <v>8200</v>
      </c>
      <c r="E6308" s="22" t="s">
        <v>59</v>
      </c>
      <c r="F6308" s="23" t="str">
        <f>HYPERLINK("https://www.spark-marketing.ru/Card/Lot/71408760", "Работы по установке комплекса охранной сигнализации, 1 шт")</f>
        <v>Работы по установке комплекса охранной сигнализации, 1 шт</v>
      </c>
      <c r="G6308" s="22" t="s">
        <v>80</v>
      </c>
      <c r="H6308" s="22" t="s">
        <v>8201</v>
      </c>
      <c r="I6308" s="26">
        <v>43633.6002546296</v>
      </c>
      <c r="J6308" s="28" t="s">
        <v>52</v>
      </c>
      <c r="K6308" s="28" t="s">
        <v>52</v>
      </c>
      <c r="L6308" s="28" t="s">
        <v>52</v>
      </c>
      <c r="M6308" s="28" t="s">
        <v>52</v>
      </c>
      <c r="N6308" s="28" t="s">
        <v>52</v>
      </c>
    </row>
    <row r="6309" spans="1:14" x14ac:dyDescent="0.15">
      <c r="A6309" s="23" t="str">
        <f>HYPERLINK("https://www.spark-marketing.ru/Card/Person/1010540", "МБУ ДО ""ЦЕНТР ВНЕШКОЛЬНОЙ РАБОТЫ""")</f>
        <v>МБУ ДО "ЦЕНТР ВНЕШКОЛЬНОЙ РАБОТЫ"</v>
      </c>
      <c r="B6309" s="24" t="s">
        <v>8202</v>
      </c>
      <c r="C6309" s="25">
        <v>39427.519999999997</v>
      </c>
      <c r="D6309" s="22" t="s">
        <v>8203</v>
      </c>
      <c r="E6309" s="22" t="s">
        <v>59</v>
      </c>
      <c r="F6309" s="23" t="str">
        <f>HYPERLINK("https://www.spark-marketing.ru/Card/Lot/71435232", "Установка и монтаж системы видеонаблюдения")</f>
        <v>Установка и монтаж системы видеонаблюдения</v>
      </c>
      <c r="G6309" s="22" t="s">
        <v>629</v>
      </c>
      <c r="H6309" s="22" t="s">
        <v>8145</v>
      </c>
      <c r="I6309" s="26">
        <v>43633.543530092596</v>
      </c>
      <c r="J6309" s="28" t="s">
        <v>52</v>
      </c>
      <c r="K6309" s="28" t="s">
        <v>52</v>
      </c>
      <c r="L6309" s="28" t="s">
        <v>52</v>
      </c>
      <c r="M6309" s="28" t="s">
        <v>52</v>
      </c>
      <c r="N6309" s="28" t="s">
        <v>52</v>
      </c>
    </row>
    <row r="6310" spans="1:14" ht="12.75" hidden="1" outlineLevel="1" x14ac:dyDescent="0.2">
      <c r="A6310" s="23" t="str">
        <f>HYPERLINK("https://www.spark-marketing.ru/Card/Person/1010540", "МБУ ДО ""ЦЕНТР ВНЕШКОЛЬНОЙ РАБОТЫ""")</f>
        <v>МБУ ДО "ЦЕНТР ВНЕШКОЛЬНОЙ РАБОТЫ"</v>
      </c>
      <c r="B6310" s="24" t="s">
        <v>8202</v>
      </c>
      <c r="C6310" s="25">
        <v>39427.519999999997</v>
      </c>
      <c r="D6310" s="22" t="s">
        <v>8203</v>
      </c>
      <c r="E6310" s="22" t="s">
        <v>59</v>
      </c>
      <c r="F6310" s="23" t="str">
        <f>HYPERLINK("https://www.spark-marketing.ru/Card/Lot/71435232", "Установка и монтаж системы видеонаблюдения")</f>
        <v>Установка и монтаж системы видеонаблюдения</v>
      </c>
      <c r="G6310" s="22" t="s">
        <v>629</v>
      </c>
      <c r="H6310" s="22" t="s">
        <v>8145</v>
      </c>
      <c r="I6310" s="26">
        <v>43633.543530092596</v>
      </c>
      <c r="J6310" s="23" t="str">
        <f>HYPERLINK("https://www.spark-marketing.ru/Card/Person/6623777", "Миклин Вадим Николаевич")</f>
        <v>Миклин Вадим Николаевич</v>
      </c>
      <c r="K6310" s="24" t="s">
        <v>8204</v>
      </c>
      <c r="L6310" s="22" t="s">
        <v>10</v>
      </c>
      <c r="M6310" s="25">
        <v>28782.04</v>
      </c>
      <c r="N6310" s="27">
        <v>0.27000125800456126</v>
      </c>
    </row>
    <row r="6311" spans="1:14" hidden="1" outlineLevel="1" x14ac:dyDescent="0.2">
      <c r="A6311" s="23" t="str">
        <f>HYPERLINK("https://www.spark-marketing.ru/Card/Person/1010540", "МБУ ДО ""ЦЕНТР ВНЕШКОЛЬНОЙ РАБОТЫ""")</f>
        <v>МБУ ДО "ЦЕНТР ВНЕШКОЛЬНОЙ РАБОТЫ"</v>
      </c>
      <c r="B6311" s="24" t="s">
        <v>8202</v>
      </c>
      <c r="C6311" s="25">
        <v>39427.519999999997</v>
      </c>
      <c r="D6311" s="22" t="s">
        <v>8203</v>
      </c>
      <c r="E6311" s="22" t="s">
        <v>59</v>
      </c>
      <c r="F6311" s="23" t="str">
        <f>HYPERLINK("https://www.spark-marketing.ru/Card/Lot/71435232", "Установка и монтаж системы видеонаблюдения")</f>
        <v>Установка и монтаж системы видеонаблюдения</v>
      </c>
      <c r="G6311" s="22" t="s">
        <v>629</v>
      </c>
      <c r="H6311" s="22" t="s">
        <v>8145</v>
      </c>
      <c r="I6311" s="26">
        <v>43633.543530092596</v>
      </c>
      <c r="J6311" s="23" t="str">
        <f>HYPERLINK("https://www.spark-marketing.ru/Card/Person/497922", "Ковалев Андрей Анатольевич")</f>
        <v>Ковалев Андрей Анатольевич</v>
      </c>
      <c r="K6311" s="24" t="s">
        <v>8146</v>
      </c>
      <c r="L6311" s="28" t="s">
        <v>52</v>
      </c>
      <c r="M6311" s="25">
        <v>28979.18</v>
      </c>
      <c r="N6311" s="27">
        <v>0.26500119713337283</v>
      </c>
    </row>
    <row r="6312" spans="1:14" x14ac:dyDescent="0.15">
      <c r="A6312" s="23" t="str">
        <f t="shared" ref="A6312:A6317" si="259">HYPERLINK("https://www.spark-marketing.ru/Card/Person/253720", "МБОУ ""ГИМНАЗИЯ №25"" НМР РТ")</f>
        <v>МБОУ "ГИМНАЗИЯ №25" НМР РТ</v>
      </c>
      <c r="B6312" s="24" t="s">
        <v>8205</v>
      </c>
      <c r="C6312" s="25">
        <v>79263.38</v>
      </c>
      <c r="D6312" s="22" t="s">
        <v>8206</v>
      </c>
      <c r="E6312" s="22" t="s">
        <v>103</v>
      </c>
      <c r="F6312" s="23" t="str">
        <f t="shared" ref="F6312:F6317" si="260">HYPERLINK("https://www.spark-marketing.ru/Card/Lot/71437656", "Оказание услуг по техническому обслуживанию системы охранного видеонаблюдения для МБОУ ""Гимназия №25"" НМР РТ (СМП и СОНО)")</f>
        <v>Оказание услуг по техническому обслуживанию системы охранного видеонаблюдения для МБОУ "Гимназия №25" НМР РТ (СМП и СОНО)</v>
      </c>
      <c r="G6312" s="22" t="s">
        <v>204</v>
      </c>
      <c r="H6312" s="22" t="s">
        <v>824</v>
      </c>
      <c r="I6312" s="26">
        <v>43633.556747685201</v>
      </c>
      <c r="J6312" s="28" t="s">
        <v>52</v>
      </c>
      <c r="K6312" s="28" t="s">
        <v>52</v>
      </c>
      <c r="L6312" s="28" t="s">
        <v>52</v>
      </c>
      <c r="M6312" s="28" t="s">
        <v>52</v>
      </c>
      <c r="N6312" s="28" t="s">
        <v>52</v>
      </c>
    </row>
    <row r="6313" spans="1:14" hidden="1" outlineLevel="1" x14ac:dyDescent="0.2">
      <c r="A6313" s="23" t="str">
        <f t="shared" si="259"/>
        <v>МБОУ "ГИМНАЗИЯ №25" НМР РТ</v>
      </c>
      <c r="B6313" s="24" t="s">
        <v>8205</v>
      </c>
      <c r="C6313" s="25">
        <v>79263.38</v>
      </c>
      <c r="D6313" s="22" t="s">
        <v>8206</v>
      </c>
      <c r="E6313" s="22" t="s">
        <v>103</v>
      </c>
      <c r="F6313" s="23" t="str">
        <f t="shared" si="260"/>
        <v>Оказание услуг по техническому обслуживанию системы охранного видеонаблюдения для МБОУ "Гимназия №25" НМР РТ (СМП и СОНО)</v>
      </c>
      <c r="G6313" s="22" t="s">
        <v>204</v>
      </c>
      <c r="H6313" s="22" t="s">
        <v>824</v>
      </c>
      <c r="I6313" s="26">
        <v>43633.556747685201</v>
      </c>
      <c r="J6313" s="23" t="str">
        <f>HYPERLINK("https://www.spark-marketing.ru/Card/Person/138713", "Хакимзянов Рустам Миннерафикович")</f>
        <v>Хакимзянов Рустам Миннерафикович</v>
      </c>
      <c r="K6313" s="24" t="s">
        <v>3470</v>
      </c>
      <c r="L6313" s="28" t="s">
        <v>52</v>
      </c>
      <c r="M6313" s="25">
        <v>5120</v>
      </c>
      <c r="N6313" s="27">
        <v>0.93540522748335986</v>
      </c>
    </row>
    <row r="6314" spans="1:14" ht="12.75" hidden="1" outlineLevel="1" x14ac:dyDescent="0.2">
      <c r="A6314" s="23" t="str">
        <f t="shared" si="259"/>
        <v>МБОУ "ГИМНАЗИЯ №25" НМР РТ</v>
      </c>
      <c r="B6314" s="24" t="s">
        <v>8205</v>
      </c>
      <c r="C6314" s="25">
        <v>79263.38</v>
      </c>
      <c r="D6314" s="22" t="s">
        <v>8206</v>
      </c>
      <c r="E6314" s="22" t="s">
        <v>103</v>
      </c>
      <c r="F6314" s="23" t="str">
        <f t="shared" si="260"/>
        <v>Оказание услуг по техническому обслуживанию системы охранного видеонаблюдения для МБОУ "Гимназия №25" НМР РТ (СМП и СОНО)</v>
      </c>
      <c r="G6314" s="22" t="s">
        <v>204</v>
      </c>
      <c r="H6314" s="22" t="s">
        <v>824</v>
      </c>
      <c r="I6314" s="26">
        <v>43633.556747685201</v>
      </c>
      <c r="J6314" s="23" t="str">
        <f>HYPERLINK("https://www.spark-marketing.ru/Card/Person/34725", "ООО ""КОМПЬЮСЕРВИС - НК""")</f>
        <v>ООО "КОМПЬЮСЕРВИС - НК"</v>
      </c>
      <c r="K6314" s="24" t="s">
        <v>3468</v>
      </c>
      <c r="L6314" s="22" t="s">
        <v>10</v>
      </c>
      <c r="M6314" s="25">
        <v>4723</v>
      </c>
      <c r="N6314" s="27">
        <v>0.94041384558670094</v>
      </c>
    </row>
    <row r="6315" spans="1:14" hidden="1" outlineLevel="1" x14ac:dyDescent="0.2">
      <c r="A6315" s="23" t="str">
        <f t="shared" si="259"/>
        <v>МБОУ "ГИМНАЗИЯ №25" НМР РТ</v>
      </c>
      <c r="B6315" s="24" t="s">
        <v>8205</v>
      </c>
      <c r="C6315" s="25">
        <v>79263.38</v>
      </c>
      <c r="D6315" s="22" t="s">
        <v>8206</v>
      </c>
      <c r="E6315" s="22" t="s">
        <v>103</v>
      </c>
      <c r="F6315" s="23" t="str">
        <f t="shared" si="260"/>
        <v>Оказание услуг по техническому обслуживанию системы охранного видеонаблюдения для МБОУ "Гимназия №25" НМР РТ (СМП и СОНО)</v>
      </c>
      <c r="G6315" s="22" t="s">
        <v>204</v>
      </c>
      <c r="H6315" s="22" t="s">
        <v>824</v>
      </c>
      <c r="I6315" s="26">
        <v>43633.556747685201</v>
      </c>
      <c r="J6315" s="23" t="str">
        <f>HYPERLINK("https://www.spark-marketing.ru/Card/Person/368240", "ООО ""ТЕХНО-ХОЛДИНГ""")</f>
        <v>ООО "ТЕХНО-ХОЛДИНГ"</v>
      </c>
      <c r="K6315" s="24" t="s">
        <v>8207</v>
      </c>
      <c r="L6315" s="28" t="s">
        <v>52</v>
      </c>
      <c r="M6315" s="25">
        <v>68562.710000000006</v>
      </c>
      <c r="N6315" s="27">
        <v>0.13500143445813187</v>
      </c>
    </row>
    <row r="6316" spans="1:14" hidden="1" outlineLevel="1" x14ac:dyDescent="0.2">
      <c r="A6316" s="23" t="str">
        <f t="shared" si="259"/>
        <v>МБОУ "ГИМНАЗИЯ №25" НМР РТ</v>
      </c>
      <c r="B6316" s="24" t="s">
        <v>8205</v>
      </c>
      <c r="C6316" s="25">
        <v>79263.38</v>
      </c>
      <c r="D6316" s="22" t="s">
        <v>8206</v>
      </c>
      <c r="E6316" s="22" t="s">
        <v>103</v>
      </c>
      <c r="F6316" s="23" t="str">
        <f t="shared" si="260"/>
        <v>Оказание услуг по техническому обслуживанию системы охранного видеонаблюдения для МБОУ "Гимназия №25" НМР РТ (СМП и СОНО)</v>
      </c>
      <c r="G6316" s="22" t="s">
        <v>204</v>
      </c>
      <c r="H6316" s="22" t="s">
        <v>824</v>
      </c>
      <c r="I6316" s="26">
        <v>43633.556747685201</v>
      </c>
      <c r="J6316" s="23" t="str">
        <f>HYPERLINK("https://www.spark-marketing.ru/Card/Person/6415078", "ООО ""ПРОМТЕХСЕРВИС""")</f>
        <v>ООО "ПРОМТЕХСЕРВИС"</v>
      </c>
      <c r="K6316" s="24" t="s">
        <v>5396</v>
      </c>
      <c r="L6316" s="28" t="s">
        <v>52</v>
      </c>
      <c r="M6316" s="25">
        <v>25755.360000000001</v>
      </c>
      <c r="N6316" s="27">
        <v>0.67506608978824778</v>
      </c>
    </row>
    <row r="6317" spans="1:14" hidden="1" outlineLevel="1" x14ac:dyDescent="0.2">
      <c r="A6317" s="23" t="str">
        <f t="shared" si="259"/>
        <v>МБОУ "ГИМНАЗИЯ №25" НМР РТ</v>
      </c>
      <c r="B6317" s="24" t="s">
        <v>8205</v>
      </c>
      <c r="C6317" s="25">
        <v>79263.38</v>
      </c>
      <c r="D6317" s="22" t="s">
        <v>8206</v>
      </c>
      <c r="E6317" s="22" t="s">
        <v>103</v>
      </c>
      <c r="F6317" s="23" t="str">
        <f t="shared" si="260"/>
        <v>Оказание услуг по техническому обслуживанию системы охранного видеонаблюдения для МБОУ "Гимназия №25" НМР РТ (СМП и СОНО)</v>
      </c>
      <c r="G6317" s="22" t="s">
        <v>204</v>
      </c>
      <c r="H6317" s="22" t="s">
        <v>824</v>
      </c>
      <c r="I6317" s="26">
        <v>43633.556747685201</v>
      </c>
      <c r="J6317" s="23" t="str">
        <f>HYPERLINK("https://www.spark-marketing.ru/Card/Person/6453137", "ООО ""ДИАЛ ПРОТЕКТ""")</f>
        <v>ООО "ДИАЛ ПРОТЕКТ"</v>
      </c>
      <c r="K6317" s="24" t="s">
        <v>8208</v>
      </c>
      <c r="L6317" s="28" t="s">
        <v>52</v>
      </c>
      <c r="M6317" s="25">
        <v>19014.68</v>
      </c>
      <c r="N6317" s="27">
        <v>0.7601076310397058</v>
      </c>
    </row>
    <row r="6318" spans="1:14" x14ac:dyDescent="0.15">
      <c r="A6318" s="23" t="str">
        <f>HYPERLINK("https://www.spark-marketing.ru/Card/Person/237663", "МБОУ КРЮКОВСКАЯ СОШ")</f>
        <v>МБОУ КРЮКОВСКАЯ СОШ</v>
      </c>
      <c r="B6318" s="24" t="s">
        <v>8209</v>
      </c>
      <c r="C6318" s="25">
        <v>6000</v>
      </c>
      <c r="D6318" s="22" t="s">
        <v>8210</v>
      </c>
      <c r="E6318" s="22" t="s">
        <v>2623</v>
      </c>
      <c r="F6318" s="23" t="str">
        <f>HYPERLINK("https://www.spark-marketing.ru/Card/Lot/71408051", "Техническое обслуживание системы видеонаблюдения (СВН)")</f>
        <v>Техническое обслуживание системы видеонаблюдения (СВН)</v>
      </c>
      <c r="G6318" s="22" t="s">
        <v>402</v>
      </c>
      <c r="H6318" s="22" t="s">
        <v>5893</v>
      </c>
      <c r="I6318" s="26">
        <v>43633.572222222203</v>
      </c>
      <c r="J6318" s="28" t="s">
        <v>52</v>
      </c>
      <c r="K6318" s="28" t="s">
        <v>52</v>
      </c>
      <c r="L6318" s="28" t="s">
        <v>52</v>
      </c>
      <c r="M6318" s="28" t="s">
        <v>52</v>
      </c>
      <c r="N6318" s="28" t="s">
        <v>52</v>
      </c>
    </row>
    <row r="6319" spans="1:14" x14ac:dyDescent="0.15">
      <c r="A6319" s="23" t="str">
        <f>HYPERLINK("https://www.spark-marketing.ru/Card/Person/240994", "МАОУСОШ №11")</f>
        <v>МАОУСОШ №11</v>
      </c>
      <c r="B6319" s="24" t="s">
        <v>8211</v>
      </c>
      <c r="C6319" s="25">
        <v>184042</v>
      </c>
      <c r="D6319" s="22" t="s">
        <v>8212</v>
      </c>
      <c r="E6319" s="22" t="s">
        <v>6178</v>
      </c>
      <c r="F6319" s="23" t="str">
        <f>HYPERLINK("https://www.spark-marketing.ru/Card/Lot/71405648", "установка дополнительных камер видеонаблюдения в МАОУ СОШ № 11")</f>
        <v>установка дополнительных камер видеонаблюдения в МАОУ СОШ № 11</v>
      </c>
      <c r="G6319" s="22" t="s">
        <v>72</v>
      </c>
      <c r="H6319" s="22" t="s">
        <v>72</v>
      </c>
      <c r="I6319" s="26">
        <v>43633.577129629601</v>
      </c>
      <c r="J6319" s="28" t="s">
        <v>52</v>
      </c>
      <c r="K6319" s="28" t="s">
        <v>52</v>
      </c>
      <c r="L6319" s="28" t="s">
        <v>52</v>
      </c>
      <c r="M6319" s="28" t="s">
        <v>52</v>
      </c>
      <c r="N6319" s="28" t="s">
        <v>52</v>
      </c>
    </row>
    <row r="6320" spans="1:14" x14ac:dyDescent="0.15">
      <c r="A6320" s="23" t="str">
        <f t="shared" ref="A6320:A6326" si="261">HYPERLINK("https://www.spark-marketing.ru/Card/Person/1024943", "МКУК ЦБС ГОРОДА ЧЕЛЯБИНСКА")</f>
        <v>МКУК ЦБС ГОРОДА ЧЕЛЯБИНСКА</v>
      </c>
      <c r="B6320" s="24" t="s">
        <v>8213</v>
      </c>
      <c r="C6320" s="25">
        <v>397440</v>
      </c>
      <c r="D6320" s="22" t="s">
        <v>8214</v>
      </c>
      <c r="E6320" s="22" t="s">
        <v>52</v>
      </c>
      <c r="F6320" s="23" t="str">
        <f t="shared" ref="F6320:F6326" si="262">HYPERLINK("https://www.spark-marketing.ru/Card/Lot/71419711", "19-74403Э На оказание охранных услуг на 2-ое полугодие 2019 года")</f>
        <v>19-74403Э На оказание охранных услуг на 2-ое полугодие 2019 года</v>
      </c>
      <c r="G6320" s="22" t="s">
        <v>60</v>
      </c>
      <c r="H6320" s="22" t="s">
        <v>1683</v>
      </c>
      <c r="I6320" s="26">
        <v>43633.565277777801</v>
      </c>
      <c r="J6320" s="28" t="s">
        <v>52</v>
      </c>
      <c r="K6320" s="28" t="s">
        <v>52</v>
      </c>
      <c r="L6320" s="28" t="s">
        <v>52</v>
      </c>
      <c r="M6320" s="28" t="s">
        <v>52</v>
      </c>
      <c r="N6320" s="28" t="s">
        <v>52</v>
      </c>
    </row>
    <row r="6321" spans="1:14" hidden="1" outlineLevel="1" x14ac:dyDescent="0.2">
      <c r="A6321" s="23" t="str">
        <f t="shared" si="261"/>
        <v>МКУК ЦБС ГОРОДА ЧЕЛЯБИНСКА</v>
      </c>
      <c r="B6321" s="24" t="s">
        <v>8213</v>
      </c>
      <c r="C6321" s="25">
        <v>397440</v>
      </c>
      <c r="D6321" s="22" t="s">
        <v>8214</v>
      </c>
      <c r="E6321" s="22" t="s">
        <v>52</v>
      </c>
      <c r="F6321" s="23" t="str">
        <f t="shared" si="262"/>
        <v>19-74403Э На оказание охранных услуг на 2-ое полугодие 2019 года</v>
      </c>
      <c r="G6321" s="22" t="s">
        <v>60</v>
      </c>
      <c r="H6321" s="22" t="s">
        <v>1683</v>
      </c>
      <c r="I6321" s="26">
        <v>43633.565277777801</v>
      </c>
      <c r="J6321" s="23" t="str">
        <f>HYPERLINK("https://www.spark-marketing.ru/Card/Person/863981", "ООО ЧОО ""ГОРОДСКАЯ КОГОРТА""")</f>
        <v>ООО ЧОО "ГОРОДСКАЯ КОГОРТА"</v>
      </c>
      <c r="K6321" s="24" t="s">
        <v>8215</v>
      </c>
      <c r="L6321" s="28" t="s">
        <v>52</v>
      </c>
      <c r="M6321" s="25">
        <v>308016</v>
      </c>
      <c r="N6321" s="27">
        <v>0.22500000000000001</v>
      </c>
    </row>
    <row r="6322" spans="1:14" hidden="1" outlineLevel="1" x14ac:dyDescent="0.2">
      <c r="A6322" s="23" t="str">
        <f t="shared" si="261"/>
        <v>МКУК ЦБС ГОРОДА ЧЕЛЯБИНСКА</v>
      </c>
      <c r="B6322" s="24" t="s">
        <v>8213</v>
      </c>
      <c r="C6322" s="25">
        <v>397440</v>
      </c>
      <c r="D6322" s="22" t="s">
        <v>8214</v>
      </c>
      <c r="E6322" s="22" t="s">
        <v>52</v>
      </c>
      <c r="F6322" s="23" t="str">
        <f t="shared" si="262"/>
        <v>19-74403Э На оказание охранных услуг на 2-ое полугодие 2019 года</v>
      </c>
      <c r="G6322" s="22" t="s">
        <v>60</v>
      </c>
      <c r="H6322" s="22" t="s">
        <v>1683</v>
      </c>
      <c r="I6322" s="26">
        <v>43633.565277777801</v>
      </c>
      <c r="J6322" s="23" t="str">
        <f>HYPERLINK("https://www.spark-marketing.ru/Card/Person/100254", "ООО ЧОО ""ВИКТОРИЯ""")</f>
        <v>ООО ЧОО "ВИКТОРИЯ"</v>
      </c>
      <c r="K6322" s="24" t="s">
        <v>1406</v>
      </c>
      <c r="L6322" s="28" t="s">
        <v>52</v>
      </c>
      <c r="M6322" s="25">
        <v>302054.40000000002</v>
      </c>
      <c r="N6322" s="27">
        <v>0.24</v>
      </c>
    </row>
    <row r="6323" spans="1:14" hidden="1" outlineLevel="1" x14ac:dyDescent="0.2">
      <c r="A6323" s="23" t="str">
        <f t="shared" si="261"/>
        <v>МКУК ЦБС ГОРОДА ЧЕЛЯБИНСКА</v>
      </c>
      <c r="B6323" s="24" t="s">
        <v>8213</v>
      </c>
      <c r="C6323" s="25">
        <v>397440</v>
      </c>
      <c r="D6323" s="22" t="s">
        <v>8214</v>
      </c>
      <c r="E6323" s="22" t="s">
        <v>52</v>
      </c>
      <c r="F6323" s="23" t="str">
        <f t="shared" si="262"/>
        <v>19-74403Э На оказание охранных услуг на 2-ое полугодие 2019 года</v>
      </c>
      <c r="G6323" s="22" t="s">
        <v>60</v>
      </c>
      <c r="H6323" s="22" t="s">
        <v>1683</v>
      </c>
      <c r="I6323" s="26">
        <v>43633.565277777801</v>
      </c>
      <c r="J6323" s="23" t="str">
        <f>HYPERLINK("https://www.spark-marketing.ru/Card/Person/556104", "ООО ЧОО ""УРАЛ-ОХРАНА""")</f>
        <v>ООО ЧОО "УРАЛ-ОХРАНА"</v>
      </c>
      <c r="K6323" s="24" t="s">
        <v>8216</v>
      </c>
      <c r="L6323" s="28" t="s">
        <v>52</v>
      </c>
      <c r="M6323" s="25">
        <v>341798.40000000002</v>
      </c>
      <c r="N6323" s="27">
        <v>0.14000000000000001</v>
      </c>
    </row>
    <row r="6324" spans="1:14" ht="12.75" hidden="1" outlineLevel="1" x14ac:dyDescent="0.2">
      <c r="A6324" s="23" t="str">
        <f t="shared" si="261"/>
        <v>МКУК ЦБС ГОРОДА ЧЕЛЯБИНСКА</v>
      </c>
      <c r="B6324" s="24" t="s">
        <v>8213</v>
      </c>
      <c r="C6324" s="25">
        <v>397440</v>
      </c>
      <c r="D6324" s="22" t="s">
        <v>8214</v>
      </c>
      <c r="E6324" s="22" t="s">
        <v>52</v>
      </c>
      <c r="F6324" s="23" t="str">
        <f t="shared" si="262"/>
        <v>19-74403Э На оказание охранных услуг на 2-ое полугодие 2019 года</v>
      </c>
      <c r="G6324" s="22" t="s">
        <v>60</v>
      </c>
      <c r="H6324" s="22" t="s">
        <v>1683</v>
      </c>
      <c r="I6324" s="26">
        <v>43633.565277777801</v>
      </c>
      <c r="J6324" s="23" t="str">
        <f>HYPERLINK("https://www.spark-marketing.ru/Card/Person/857018", "ООО ЧОП ""ФАГОТ""")</f>
        <v>ООО ЧОП "ФАГОТ"</v>
      </c>
      <c r="K6324" s="24" t="s">
        <v>2953</v>
      </c>
      <c r="L6324" s="22" t="s">
        <v>10</v>
      </c>
      <c r="M6324" s="25">
        <v>300067.20000000001</v>
      </c>
      <c r="N6324" s="27">
        <v>0.245</v>
      </c>
    </row>
    <row r="6325" spans="1:14" hidden="1" outlineLevel="1" x14ac:dyDescent="0.2">
      <c r="A6325" s="23" t="str">
        <f t="shared" si="261"/>
        <v>МКУК ЦБС ГОРОДА ЧЕЛЯБИНСКА</v>
      </c>
      <c r="B6325" s="24" t="s">
        <v>8213</v>
      </c>
      <c r="C6325" s="25">
        <v>397440</v>
      </c>
      <c r="D6325" s="22" t="s">
        <v>8214</v>
      </c>
      <c r="E6325" s="22" t="s">
        <v>52</v>
      </c>
      <c r="F6325" s="23" t="str">
        <f t="shared" si="262"/>
        <v>19-74403Э На оказание охранных услуг на 2-ое полугодие 2019 года</v>
      </c>
      <c r="G6325" s="22" t="s">
        <v>60</v>
      </c>
      <c r="H6325" s="22" t="s">
        <v>1683</v>
      </c>
      <c r="I6325" s="26">
        <v>43633.565277777801</v>
      </c>
      <c r="J6325" s="23" t="str">
        <f>HYPERLINK("https://www.spark-marketing.ru/Card/Person/85112", "ООО ЧОП ""ЯГУАР""")</f>
        <v>ООО ЧОП "ЯГУАР"</v>
      </c>
      <c r="K6325" s="24" t="s">
        <v>8217</v>
      </c>
      <c r="L6325" s="28" t="s">
        <v>52</v>
      </c>
      <c r="M6325" s="25">
        <v>379555.2</v>
      </c>
      <c r="N6325" s="27">
        <v>4.4999999999999998E-2</v>
      </c>
    </row>
    <row r="6326" spans="1:14" hidden="1" outlineLevel="1" x14ac:dyDescent="0.2">
      <c r="A6326" s="23" t="str">
        <f t="shared" si="261"/>
        <v>МКУК ЦБС ГОРОДА ЧЕЛЯБИНСКА</v>
      </c>
      <c r="B6326" s="24" t="s">
        <v>8213</v>
      </c>
      <c r="C6326" s="25">
        <v>397440</v>
      </c>
      <c r="D6326" s="22" t="s">
        <v>8214</v>
      </c>
      <c r="E6326" s="22" t="s">
        <v>52</v>
      </c>
      <c r="F6326" s="23" t="str">
        <f t="shared" si="262"/>
        <v>19-74403Э На оказание охранных услуг на 2-ое полугодие 2019 года</v>
      </c>
      <c r="G6326" s="22" t="s">
        <v>60</v>
      </c>
      <c r="H6326" s="22" t="s">
        <v>1683</v>
      </c>
      <c r="I6326" s="26">
        <v>43633.565277777801</v>
      </c>
      <c r="J6326" s="23" t="str">
        <f>HYPERLINK("https://www.spark-marketing.ru/Card/Person/4358450", "ООО ЧОП ""ЗУБР""")</f>
        <v>ООО ЧОП "ЗУБР"</v>
      </c>
      <c r="K6326" s="24" t="s">
        <v>8218</v>
      </c>
      <c r="L6326" s="28" t="s">
        <v>52</v>
      </c>
      <c r="M6326" s="25">
        <v>349747.20000000001</v>
      </c>
      <c r="N6326" s="27">
        <v>0.12</v>
      </c>
    </row>
    <row r="6327" spans="1:14" x14ac:dyDescent="0.15">
      <c r="A6327" s="23" t="str">
        <f>HYPERLINK("https://www.spark-marketing.ru/Card/Person/1055811", "ГБУ ""ВЛАДИМИРСКАЯ ОБЛВЕТЛАБОРАТОРИЯ""")</f>
        <v>ГБУ "ВЛАДИМИРСКАЯ ОБЛВЕТЛАБОРАТОРИЯ"</v>
      </c>
      <c r="B6327" s="24" t="s">
        <v>8219</v>
      </c>
      <c r="C6327" s="25">
        <v>215984.67</v>
      </c>
      <c r="D6327" s="22" t="s">
        <v>8220</v>
      </c>
      <c r="E6327" s="22" t="s">
        <v>59</v>
      </c>
      <c r="F6327" s="23" t="str">
        <f>HYPERLINK("https://www.spark-marketing.ru/Card/Lot/71414919", "Установка системы видеонаблюдения")</f>
        <v>Установка системы видеонаблюдения</v>
      </c>
      <c r="G6327" s="22" t="s">
        <v>145</v>
      </c>
      <c r="H6327" s="22" t="s">
        <v>145</v>
      </c>
      <c r="I6327" s="26">
        <v>43633.568749999999</v>
      </c>
      <c r="J6327" s="28" t="s">
        <v>52</v>
      </c>
      <c r="K6327" s="28" t="s">
        <v>52</v>
      </c>
      <c r="L6327" s="28" t="s">
        <v>52</v>
      </c>
      <c r="M6327" s="28" t="s">
        <v>52</v>
      </c>
      <c r="N6327" s="28" t="s">
        <v>52</v>
      </c>
    </row>
    <row r="6328" spans="1:14" hidden="1" outlineLevel="1" x14ac:dyDescent="0.2">
      <c r="A6328" s="23" t="str">
        <f>HYPERLINK("https://www.spark-marketing.ru/Card/Person/1055811", "ГБУ ""ВЛАДИМИРСКАЯ ОБЛВЕТЛАБОРАТОРИЯ""")</f>
        <v>ГБУ "ВЛАДИМИРСКАЯ ОБЛВЕТЛАБОРАТОРИЯ"</v>
      </c>
      <c r="B6328" s="24" t="s">
        <v>8219</v>
      </c>
      <c r="C6328" s="25">
        <v>215984.67</v>
      </c>
      <c r="D6328" s="22" t="s">
        <v>8220</v>
      </c>
      <c r="E6328" s="22" t="s">
        <v>59</v>
      </c>
      <c r="F6328" s="23" t="str">
        <f>HYPERLINK("https://www.spark-marketing.ru/Card/Lot/71414919", "Установка системы видеонаблюдения")</f>
        <v>Установка системы видеонаблюдения</v>
      </c>
      <c r="G6328" s="22" t="s">
        <v>145</v>
      </c>
      <c r="H6328" s="22" t="s">
        <v>145</v>
      </c>
      <c r="I6328" s="26">
        <v>43633.568749999999</v>
      </c>
      <c r="J6328" s="23" t="str">
        <f>HYPERLINK("https://www.spark-marketing.ru/Card/Person/1267256", "ООО ""СИГНАЛ""")</f>
        <v>ООО "СИГНАЛ"</v>
      </c>
      <c r="K6328" s="24" t="s">
        <v>8221</v>
      </c>
      <c r="L6328" s="28" t="s">
        <v>52</v>
      </c>
      <c r="M6328" s="25">
        <v>211664.99</v>
      </c>
      <c r="N6328" s="27">
        <v>1.9999937958559744E-2</v>
      </c>
    </row>
    <row r="6329" spans="1:14" ht="12.75" hidden="1" outlineLevel="1" x14ac:dyDescent="0.2">
      <c r="A6329" s="23" t="str">
        <f>HYPERLINK("https://www.spark-marketing.ru/Card/Person/1055811", "ГБУ ""ВЛАДИМИРСКАЯ ОБЛВЕТЛАБОРАТОРИЯ""")</f>
        <v>ГБУ "ВЛАДИМИРСКАЯ ОБЛВЕТЛАБОРАТОРИЯ"</v>
      </c>
      <c r="B6329" s="24" t="s">
        <v>8219</v>
      </c>
      <c r="C6329" s="25">
        <v>215984.67</v>
      </c>
      <c r="D6329" s="22" t="s">
        <v>8220</v>
      </c>
      <c r="E6329" s="22" t="s">
        <v>59</v>
      </c>
      <c r="F6329" s="23" t="str">
        <f>HYPERLINK("https://www.spark-marketing.ru/Card/Lot/71414919", "Установка системы видеонаблюдения")</f>
        <v>Установка системы видеонаблюдения</v>
      </c>
      <c r="G6329" s="22" t="s">
        <v>145</v>
      </c>
      <c r="H6329" s="22" t="s">
        <v>145</v>
      </c>
      <c r="I6329" s="26">
        <v>43633.568749999999</v>
      </c>
      <c r="J6329" s="23" t="str">
        <f>HYPERLINK("https://www.spark-marketing.ru/Card/Person/274212", "ООО ""СТРОЙСФЕРА""")</f>
        <v>ООО "СТРОЙСФЕРА"</v>
      </c>
      <c r="K6329" s="24" t="s">
        <v>8222</v>
      </c>
      <c r="L6329" s="22" t="s">
        <v>10</v>
      </c>
      <c r="M6329" s="25">
        <v>210585.07</v>
      </c>
      <c r="N6329" s="27">
        <v>2.499992244819968E-2</v>
      </c>
    </row>
    <row r="6330" spans="1:14" x14ac:dyDescent="0.15">
      <c r="A6330" s="23" t="str">
        <f>HYPERLINK("https://www.spark-marketing.ru/Card/Person/1284601", "МАУ ДО ""ДЮСШ"" Г.ЛЕБЕДЯНЬ")</f>
        <v>МАУ ДО "ДЮСШ" Г.ЛЕБЕДЯНЬ</v>
      </c>
      <c r="B6330" s="24" t="s">
        <v>8223</v>
      </c>
      <c r="C6330" s="25">
        <v>172240</v>
      </c>
      <c r="D6330" s="22" t="s">
        <v>8224</v>
      </c>
      <c r="E6330" s="22" t="s">
        <v>691</v>
      </c>
      <c r="F6330" s="23" t="str">
        <f>HYPERLINK("https://www.spark-marketing.ru/Card/Lot/71407048", "на право заключения договора на выполнение работ по установке системы видеонаблюдения МАУ ДО ""ДЮСШ"" г.Лебедянь, ул.Шахрая, д.40")</f>
        <v>на право заключения договора на выполнение работ по установке системы видеонаблюдения МАУ ДО "ДЮСШ" г.Лебедянь, ул.Шахрая, д.40</v>
      </c>
      <c r="G6330" s="22" t="s">
        <v>629</v>
      </c>
      <c r="H6330" s="22" t="s">
        <v>8225</v>
      </c>
      <c r="I6330" s="26">
        <v>43633.536805555603</v>
      </c>
      <c r="J6330" s="28" t="s">
        <v>52</v>
      </c>
      <c r="K6330" s="28" t="s">
        <v>52</v>
      </c>
      <c r="L6330" s="28" t="s">
        <v>52</v>
      </c>
      <c r="M6330" s="28" t="s">
        <v>52</v>
      </c>
      <c r="N6330" s="28" t="s">
        <v>52</v>
      </c>
    </row>
    <row r="6331" spans="1:14" x14ac:dyDescent="0.15">
      <c r="A6331" s="23" t="str">
        <f>HYPERLINK("https://www.spark-marketing.ru/Card/Person/26647", "УСД ВО ВЛАДИМИРСКОЙ ОБЛАСТИ")</f>
        <v>УСД ВО ВЛАДИМИРСКОЙ ОБЛАСТИ</v>
      </c>
      <c r="B6331" s="24" t="s">
        <v>8226</v>
      </c>
      <c r="C6331" s="25">
        <v>1186511.76</v>
      </c>
      <c r="D6331" s="22" t="s">
        <v>8227</v>
      </c>
      <c r="E6331" s="22" t="s">
        <v>68</v>
      </c>
      <c r="F6331" s="23" t="str">
        <f>HYPERLINK("https://www.spark-marketing.ru/Card/Lot/71428693", "Закупка услуг для обеспечения государственных нужд ""услуги охраны зданий и помещений судов общей юрисдикции Владимирской области с помощью охранной сигнализации (ПЦН) и кнопки тревожной сигнализации (КТС)"".")</f>
        <v>Закупка услуг для обеспечения государственных нужд "услуги охраны зданий и помещений судов общей юрисдикции Владимирской области с помощью охранной сигнализации (ПЦН) и кнопки тревожной сигнализации (КТС)".</v>
      </c>
      <c r="G6331" s="22" t="s">
        <v>145</v>
      </c>
      <c r="H6331" s="22" t="s">
        <v>145</v>
      </c>
      <c r="I6331" s="26">
        <v>43633.493750000001</v>
      </c>
      <c r="J6331" s="23" t="str">
        <f>HYPERLINK("https://www.spark-marketing.ru/Card/Person/25843", "ФГКУ ""УВО ВНГ РОССИИ ПО ВЛАДИМИРСКОЙ ОБЛАСТИ""")</f>
        <v>ФГКУ "УВО ВНГ РОССИИ ПО ВЛАДИМИРСКОЙ ОБЛАСТИ"</v>
      </c>
      <c r="K6331" s="24" t="s">
        <v>3022</v>
      </c>
      <c r="L6331" s="22" t="s">
        <v>10</v>
      </c>
      <c r="M6331" s="28" t="s">
        <v>52</v>
      </c>
      <c r="N6331" s="28" t="s">
        <v>52</v>
      </c>
    </row>
    <row r="6332" spans="1:14" x14ac:dyDescent="0.15">
      <c r="A6332" s="23" t="str">
        <f>HYPERLINK("https://www.spark-marketing.ru/Card/Person/6258398", "АУ РС(Я) ""МК ""МОЯ ИСТОРИЯ""""")</f>
        <v>АУ РС(Я) "МК "МОЯ ИСТОРИЯ""</v>
      </c>
      <c r="B6332" s="24" t="s">
        <v>8228</v>
      </c>
      <c r="C6332" s="25">
        <v>1440000</v>
      </c>
      <c r="D6332" s="22" t="s">
        <v>8229</v>
      </c>
      <c r="E6332" s="22" t="s">
        <v>8230</v>
      </c>
      <c r="F6332" s="23" t="str">
        <f>HYPERLINK("https://www.spark-marketing.ru/Card/Lot/71395109", "Эксплуатация, техническое обслуживание с аварийно-диспетчерским сопровождением объекта")</f>
        <v>Эксплуатация, техническое обслуживание с аварийно-диспетчерским сопровождением объекта</v>
      </c>
      <c r="G6332" s="22" t="s">
        <v>424</v>
      </c>
      <c r="H6332" s="22" t="s">
        <v>424</v>
      </c>
      <c r="I6332" s="26">
        <v>43633.483692129601</v>
      </c>
      <c r="J6332" s="28" t="s">
        <v>52</v>
      </c>
      <c r="K6332" s="28" t="s">
        <v>52</v>
      </c>
      <c r="L6332" s="28" t="s">
        <v>52</v>
      </c>
      <c r="M6332" s="28" t="s">
        <v>52</v>
      </c>
      <c r="N6332" s="28" t="s">
        <v>52</v>
      </c>
    </row>
    <row r="6333" spans="1:14" x14ac:dyDescent="0.15">
      <c r="A6333" s="23" t="str">
        <f>HYPERLINK("https://www.spark-marketing.ru/Card/Person/4857191", "АДМИНИСТРАЦИЯ КЕЖЕМСКОГО РАЙОНА")</f>
        <v>АДМИНИСТРАЦИЯ КЕЖЕМСКОГО РАЙОНА</v>
      </c>
      <c r="B6333" s="24" t="s">
        <v>8231</v>
      </c>
      <c r="C6333" s="25">
        <v>235584</v>
      </c>
      <c r="D6333" s="22" t="s">
        <v>8232</v>
      </c>
      <c r="E6333" s="22" t="s">
        <v>52</v>
      </c>
      <c r="F6333" s="23" t="str">
        <f>HYPERLINK("https://www.spark-marketing.ru/Card/Lot/71396965", "на оказание услуг по охране объектов с подключением на пульт централизованного наблюдения")</f>
        <v>на оказание услуг по охране объектов с подключением на пульт централизованного наблюдения</v>
      </c>
      <c r="G6333" s="22" t="s">
        <v>640</v>
      </c>
      <c r="H6333" s="22" t="s">
        <v>8233</v>
      </c>
      <c r="I6333" s="26">
        <v>43633.476388888899</v>
      </c>
      <c r="J6333" s="28" t="s">
        <v>52</v>
      </c>
      <c r="K6333" s="28" t="s">
        <v>52</v>
      </c>
      <c r="L6333" s="28" t="s">
        <v>52</v>
      </c>
      <c r="M6333" s="28" t="s">
        <v>52</v>
      </c>
      <c r="N6333" s="28" t="s">
        <v>52</v>
      </c>
    </row>
    <row r="6334" spans="1:14" ht="12.75" hidden="1" outlineLevel="1" x14ac:dyDescent="0.2">
      <c r="A6334" s="23" t="str">
        <f>HYPERLINK("https://www.spark-marketing.ru/Card/Person/4857191", "АДМИНИСТРАЦИЯ КЕЖЕМСКОГО РАЙОНА")</f>
        <v>АДМИНИСТРАЦИЯ КЕЖЕМСКОГО РАЙОНА</v>
      </c>
      <c r="B6334" s="24" t="s">
        <v>8231</v>
      </c>
      <c r="C6334" s="25">
        <v>235584</v>
      </c>
      <c r="D6334" s="22" t="s">
        <v>8232</v>
      </c>
      <c r="E6334" s="22" t="s">
        <v>52</v>
      </c>
      <c r="F6334" s="23" t="str">
        <f>HYPERLINK("https://www.spark-marketing.ru/Card/Lot/71396965", "на оказание услуг по охране объектов с подключением на пульт централизованного наблюдения")</f>
        <v>на оказание услуг по охране объектов с подключением на пульт централизованного наблюдения</v>
      </c>
      <c r="G6334" s="22" t="s">
        <v>640</v>
      </c>
      <c r="H6334" s="22" t="s">
        <v>8233</v>
      </c>
      <c r="I6334" s="26">
        <v>43633.476388888899</v>
      </c>
      <c r="J6334" s="23" t="str">
        <f>HYPERLINK("https://www.spark-marketing.ru/Card/Person/468323", "ООО ""ЧОО ""ФИЛИН""")</f>
        <v>ООО "ЧОО "ФИЛИН"</v>
      </c>
      <c r="K6334" s="24" t="s">
        <v>8234</v>
      </c>
      <c r="L6334" s="22" t="s">
        <v>10</v>
      </c>
      <c r="M6334" s="25">
        <v>234406.08</v>
      </c>
      <c r="N6334" s="27">
        <v>5.0000000000000001E-3</v>
      </c>
    </row>
    <row r="6335" spans="1:14" hidden="1" outlineLevel="1" x14ac:dyDescent="0.2">
      <c r="A6335" s="23" t="str">
        <f>HYPERLINK("https://www.spark-marketing.ru/Card/Person/4857191", "АДМИНИСТРАЦИЯ КЕЖЕМСКОГО РАЙОНА")</f>
        <v>АДМИНИСТРАЦИЯ КЕЖЕМСКОГО РАЙОНА</v>
      </c>
      <c r="B6335" s="24" t="s">
        <v>8231</v>
      </c>
      <c r="C6335" s="25">
        <v>235584</v>
      </c>
      <c r="D6335" s="22" t="s">
        <v>8232</v>
      </c>
      <c r="E6335" s="22" t="s">
        <v>52</v>
      </c>
      <c r="F6335" s="23" t="str">
        <f>HYPERLINK("https://www.spark-marketing.ru/Card/Lot/71396965", "на оказание услуг по охране объектов с подключением на пульт централизованного наблюдения")</f>
        <v>на оказание услуг по охране объектов с подключением на пульт централизованного наблюдения</v>
      </c>
      <c r="G6335" s="22" t="s">
        <v>640</v>
      </c>
      <c r="H6335" s="22" t="s">
        <v>8233</v>
      </c>
      <c r="I6335" s="26">
        <v>43633.476388888899</v>
      </c>
      <c r="J6335" s="23" t="str">
        <f>HYPERLINK("https://www.spark-marketing.ru/Card/Person/53937", "ООО ОФ ""КОДЕКС""")</f>
        <v>ООО ОФ "КОДЕКС"</v>
      </c>
      <c r="K6335" s="24" t="s">
        <v>5915</v>
      </c>
      <c r="L6335" s="28" t="s">
        <v>52</v>
      </c>
      <c r="M6335" s="25">
        <v>234406.08</v>
      </c>
      <c r="N6335" s="27">
        <v>5.0000000000000001E-3</v>
      </c>
    </row>
    <row r="6336" spans="1:14" x14ac:dyDescent="0.2">
      <c r="A6336" s="23" t="str">
        <f>HYPERLINK("https://www.spark-marketing.ru/Card/Person/4413807", "АУ ЧУКОТСКОГО АО ""УПРАВЛЕНИЕ ТЕХНИЧЕСКОГО ОБЕСПЕЧЕНИЯ И ЭКСПЛУАТАЦИИ ИМУЩЕСТВА ЧУКОТСКОГО АО""")</f>
        <v>АУ ЧУКОТСКОГО АО "УПРАВЛЕНИЕ ТЕХНИЧЕСКОГО ОБЕСПЕЧЕНИЯ И ЭКСПЛУАТАЦИИ ИМУЩЕСТВА ЧУКОТСКОГО АО"</v>
      </c>
      <c r="B6336" s="24" t="s">
        <v>8235</v>
      </c>
      <c r="C6336" s="25">
        <v>110000</v>
      </c>
      <c r="D6336" s="22" t="s">
        <v>8236</v>
      </c>
      <c r="E6336" s="22" t="s">
        <v>867</v>
      </c>
      <c r="F6336" s="23" t="str">
        <f>HYPERLINK("https://www.spark-marketing.ru/Card/Lot/71393490", "Оказание услуг по эксплуатационно - техническому и аварийному обслуживанию системы видеонаблюдения на объектах АУ Чукотского АО «Управление технического обеспечения и эксплуатации имущества Чукотского АО»")</f>
        <v>Оказание услуг по эксплуатационно - техническому и аварийному обслуживанию системы видеонаблюдения на объектах АУ Чукотского АО «Управление технического обеспечения и эксплуатации имущества Чукотского АО»</v>
      </c>
      <c r="G6336" s="22" t="s">
        <v>1544</v>
      </c>
      <c r="H6336" s="22" t="s">
        <v>8237</v>
      </c>
      <c r="I6336" s="26">
        <v>43633.472453703696</v>
      </c>
      <c r="J6336" s="28" t="s">
        <v>52</v>
      </c>
      <c r="K6336" s="28" t="s">
        <v>52</v>
      </c>
      <c r="L6336" s="22" t="s">
        <v>10</v>
      </c>
      <c r="M6336" s="25">
        <v>110000</v>
      </c>
      <c r="N6336" s="27">
        <v>0</v>
      </c>
    </row>
    <row r="6337" spans="1:14" x14ac:dyDescent="0.15">
      <c r="A6337" s="23" t="str">
        <f>HYPERLINK("https://www.spark-marketing.ru/Card/Person/99993", "ГБУЗ МО ""СРП""")</f>
        <v>ГБУЗ МО "СРП"</v>
      </c>
      <c r="B6337" s="24" t="s">
        <v>8238</v>
      </c>
      <c r="C6337" s="25">
        <v>70000</v>
      </c>
      <c r="D6337" s="22" t="s">
        <v>8239</v>
      </c>
      <c r="E6337" s="22" t="s">
        <v>107</v>
      </c>
      <c r="F6337" s="23" t="str">
        <f>HYPERLINK("https://www.spark-marketing.ru/Card/Lot/71404194", "Услуги по техническому обслуживанию системы сигнализации")</f>
        <v>Услуги по техническому обслуживанию системы сигнализации</v>
      </c>
      <c r="G6337" s="22" t="s">
        <v>50</v>
      </c>
      <c r="H6337" s="22" t="s">
        <v>299</v>
      </c>
      <c r="I6337" s="26">
        <v>43633.461527777799</v>
      </c>
      <c r="J6337" s="28" t="s">
        <v>52</v>
      </c>
      <c r="K6337" s="28" t="s">
        <v>52</v>
      </c>
      <c r="L6337" s="28" t="s">
        <v>52</v>
      </c>
      <c r="M6337" s="28" t="s">
        <v>52</v>
      </c>
      <c r="N6337" s="28" t="s">
        <v>52</v>
      </c>
    </row>
    <row r="6338" spans="1:14" x14ac:dyDescent="0.15">
      <c r="A6338" s="23" t="str">
        <f>HYPERLINK("https://www.spark-marketing.ru/Card/Person/81090", "МАГАДАНСКАЯ ТАМОЖНЯ")</f>
        <v>МАГАДАНСКАЯ ТАМОЖНЯ</v>
      </c>
      <c r="B6338" s="24" t="s">
        <v>6802</v>
      </c>
      <c r="C6338" s="25">
        <v>115537.74</v>
      </c>
      <c r="D6338" s="22" t="s">
        <v>8240</v>
      </c>
      <c r="E6338" s="22" t="s">
        <v>68</v>
      </c>
      <c r="F6338" s="23" t="str">
        <f>HYPERLINK("https://www.spark-marketing.ru/Card/Lot/71394510", "Оказание  услуг  по охране объекта с помощью охранной сигнализации (объект: Правоохранительный блок  Магаданской таможни, расположенный по адресу: г. Магадан, ул. Берзина, д. 11)")</f>
        <v>Оказание  услуг  по охране объекта с помощью охранной сигнализации (объект: Правоохранительный блок  Магаданской таможни, расположенный по адресу: г. Магадан, ул. Берзина, д. 11)</v>
      </c>
      <c r="G6338" s="22" t="s">
        <v>808</v>
      </c>
      <c r="H6338" s="22" t="s">
        <v>809</v>
      </c>
      <c r="I6338" s="26">
        <v>43633.475694444402</v>
      </c>
      <c r="J6338" s="23" t="str">
        <f>HYPERLINK("https://www.spark-marketing.ru/Card/Person/1274508", "ФГКУ ""ОВО ВНГ РОССИИ ПО МАГАДАНСКОЙ ОБЛАСТИ""")</f>
        <v>ФГКУ "ОВО ВНГ РОССИИ ПО МАГАДАНСКОЙ ОБЛАСТИ"</v>
      </c>
      <c r="K6338" s="24" t="s">
        <v>1390</v>
      </c>
      <c r="L6338" s="22" t="s">
        <v>10</v>
      </c>
      <c r="M6338" s="28" t="s">
        <v>52</v>
      </c>
      <c r="N6338" s="28" t="s">
        <v>52</v>
      </c>
    </row>
    <row r="6339" spans="1:14" x14ac:dyDescent="0.15">
      <c r="A6339" s="23" t="str">
        <f>HYPERLINK("https://www.spark-marketing.ru/Card/Person/1309922", "ГАУССО НСО ""БОЛОТНИНСКИЙ ПСИХОНЕВРОЛОГИЧЕСКИЙ ИНТЕРНАТ""")</f>
        <v>ГАУССО НСО "БОЛОТНИНСКИЙ ПСИХОНЕВРОЛОГИЧЕСКИЙ ИНТЕРНАТ"</v>
      </c>
      <c r="B6339" s="24" t="s">
        <v>6974</v>
      </c>
      <c r="C6339" s="25">
        <v>317332.8</v>
      </c>
      <c r="D6339" s="22" t="s">
        <v>8241</v>
      </c>
      <c r="E6339" s="22" t="s">
        <v>107</v>
      </c>
      <c r="F6339" s="23" t="str">
        <f>HYPERLINK("https://www.spark-marketing.ru/Card/Lot/71401370", "Установка противопожарной сигнализации")</f>
        <v>Установка противопожарной сигнализации</v>
      </c>
      <c r="G6339" s="22" t="s">
        <v>209</v>
      </c>
      <c r="H6339" s="22" t="s">
        <v>6976</v>
      </c>
      <c r="I6339" s="26">
        <v>43633.456944444399</v>
      </c>
      <c r="J6339" s="28" t="s">
        <v>52</v>
      </c>
      <c r="K6339" s="28" t="s">
        <v>52</v>
      </c>
      <c r="L6339" s="28" t="s">
        <v>52</v>
      </c>
      <c r="M6339" s="28" t="s">
        <v>52</v>
      </c>
      <c r="N6339" s="28" t="s">
        <v>52</v>
      </c>
    </row>
    <row r="6340" spans="1:14" x14ac:dyDescent="0.15">
      <c r="A6340" s="23" t="str">
        <f>HYPERLINK("https://www.spark-marketing.ru/Card/Person/145840", "ГБОУ ГИМНАЗИЯ № 41 ИМЕНИ ЭРИХА КЕСТНЕРА ПРИМОРСКОГО РАЙОНА САНКТ-ПЕТЕРБУРГА")</f>
        <v>ГБОУ ГИМНАЗИЯ № 41 ИМЕНИ ЭРИХА КЕСТНЕРА ПРИМОРСКОГО РАЙОНА САНКТ-ПЕТЕРБУРГА</v>
      </c>
      <c r="B6340" s="24" t="s">
        <v>8242</v>
      </c>
      <c r="C6340" s="25">
        <v>364800</v>
      </c>
      <c r="D6340" s="22" t="s">
        <v>8243</v>
      </c>
      <c r="E6340" s="22" t="s">
        <v>52</v>
      </c>
      <c r="F6340" s="23" t="str">
        <f>HYPERLINK("https://www.spark-marketing.ru/Card/Lot/71419455", "Оказание услуг по физической охране объекта для ГБОУ гимназия № 41 имени Эриха Кестнера Приморского района Санкт-Петербурга с сентября по декабрь 2019 года")</f>
        <v>Оказание услуг по физической охране объекта для ГБОУ гимназия № 41 имени Эриха Кестнера Приморского района Санкт-Петербурга с сентября по декабрь 2019 года</v>
      </c>
      <c r="G6340" s="22" t="s">
        <v>89</v>
      </c>
      <c r="H6340" s="22" t="s">
        <v>89</v>
      </c>
      <c r="I6340" s="26">
        <v>43633.431250000001</v>
      </c>
      <c r="J6340" s="28" t="s">
        <v>52</v>
      </c>
      <c r="K6340" s="28" t="s">
        <v>52</v>
      </c>
      <c r="L6340" s="28" t="s">
        <v>52</v>
      </c>
      <c r="M6340" s="28" t="s">
        <v>52</v>
      </c>
      <c r="N6340" s="28" t="s">
        <v>52</v>
      </c>
    </row>
    <row r="6341" spans="1:14" ht="12.75" hidden="1" outlineLevel="1" x14ac:dyDescent="0.2">
      <c r="A6341" s="23" t="str">
        <f>HYPERLINK("https://www.spark-marketing.ru/Card/Person/145840", "ГБОУ ГИМНАЗИЯ № 41 ИМЕНИ ЭРИХА КЕСТНЕРА ПРИМОРСКОГО РАЙОНА САНКТ-ПЕТЕРБУРГА")</f>
        <v>ГБОУ ГИМНАЗИЯ № 41 ИМЕНИ ЭРИХА КЕСТНЕРА ПРИМОРСКОГО РАЙОНА САНКТ-ПЕТЕРБУРГА</v>
      </c>
      <c r="B6341" s="24" t="s">
        <v>8242</v>
      </c>
      <c r="C6341" s="25">
        <v>364800</v>
      </c>
      <c r="D6341" s="22" t="s">
        <v>8243</v>
      </c>
      <c r="E6341" s="22" t="s">
        <v>52</v>
      </c>
      <c r="F6341" s="23" t="str">
        <f>HYPERLINK("https://www.spark-marketing.ru/Card/Lot/71419455", "Оказание услуг по физической охране объекта для ГБОУ гимназия № 41 имени Эриха Кестнера Приморского района Санкт-Петербурга с сентября по декабрь 2019 года")</f>
        <v>Оказание услуг по физической охране объекта для ГБОУ гимназия № 41 имени Эриха Кестнера Приморского района Санкт-Петербурга с сентября по декабрь 2019 года</v>
      </c>
      <c r="G6341" s="22" t="s">
        <v>89</v>
      </c>
      <c r="H6341" s="22" t="s">
        <v>89</v>
      </c>
      <c r="I6341" s="26">
        <v>43633.431250000001</v>
      </c>
      <c r="J6341" s="23" t="str">
        <f>HYPERLINK("https://www.spark-marketing.ru/Card/Person/2562571", "ООО ОП""БОРС-БАЛТИКА""")</f>
        <v>ООО ОП"БОРС-БАЛТИКА"</v>
      </c>
      <c r="K6341" s="24" t="s">
        <v>4583</v>
      </c>
      <c r="L6341" s="22" t="s">
        <v>10</v>
      </c>
      <c r="M6341" s="25">
        <v>219814.8</v>
      </c>
      <c r="N6341" s="27">
        <v>0.3974375</v>
      </c>
    </row>
    <row r="6342" spans="1:14" hidden="1" outlineLevel="1" x14ac:dyDescent="0.2">
      <c r="A6342" s="23" t="str">
        <f>HYPERLINK("https://www.spark-marketing.ru/Card/Person/145840", "ГБОУ ГИМНАЗИЯ № 41 ИМЕНИ ЭРИХА КЕСТНЕРА ПРИМОРСКОГО РАЙОНА САНКТ-ПЕТЕРБУРГА")</f>
        <v>ГБОУ ГИМНАЗИЯ № 41 ИМЕНИ ЭРИХА КЕСТНЕРА ПРИМОРСКОГО РАЙОНА САНКТ-ПЕТЕРБУРГА</v>
      </c>
      <c r="B6342" s="24" t="s">
        <v>8242</v>
      </c>
      <c r="C6342" s="25">
        <v>364800</v>
      </c>
      <c r="D6342" s="22" t="s">
        <v>8243</v>
      </c>
      <c r="E6342" s="22" t="s">
        <v>52</v>
      </c>
      <c r="F6342" s="23" t="str">
        <f>HYPERLINK("https://www.spark-marketing.ru/Card/Lot/71419455", "Оказание услуг по физической охране объекта для ГБОУ гимназия № 41 имени Эриха Кестнера Приморского района Санкт-Петербурга с сентября по декабрь 2019 года")</f>
        <v>Оказание услуг по физической охране объекта для ГБОУ гимназия № 41 имени Эриха Кестнера Приморского района Санкт-Петербурга с сентября по декабрь 2019 года</v>
      </c>
      <c r="G6342" s="22" t="s">
        <v>89</v>
      </c>
      <c r="H6342" s="22" t="s">
        <v>89</v>
      </c>
      <c r="I6342" s="26">
        <v>43633.431250000001</v>
      </c>
      <c r="J6342" s="23" t="str">
        <f>HYPERLINK("https://www.spark-marketing.ru/Card/Person/6498860", "ООО ""ОО ""ИМАНДРА""")</f>
        <v>ООО "ОО "ИМАНДРА"</v>
      </c>
      <c r="K6342" s="24" t="s">
        <v>8244</v>
      </c>
      <c r="L6342" s="28" t="s">
        <v>52</v>
      </c>
      <c r="M6342" s="25">
        <v>221638.8</v>
      </c>
      <c r="N6342" s="27">
        <v>0.39243749999999999</v>
      </c>
    </row>
    <row r="6343" spans="1:14" hidden="1" outlineLevel="1" x14ac:dyDescent="0.2">
      <c r="A6343" s="23" t="str">
        <f>HYPERLINK("https://www.spark-marketing.ru/Card/Person/145840", "ГБОУ ГИМНАЗИЯ № 41 ИМЕНИ ЭРИХА КЕСТНЕРА ПРИМОРСКОГО РАЙОНА САНКТ-ПЕТЕРБУРГА")</f>
        <v>ГБОУ ГИМНАЗИЯ № 41 ИМЕНИ ЭРИХА КЕСТНЕРА ПРИМОРСКОГО РАЙОНА САНКТ-ПЕТЕРБУРГА</v>
      </c>
      <c r="B6343" s="24" t="s">
        <v>8242</v>
      </c>
      <c r="C6343" s="25">
        <v>364800</v>
      </c>
      <c r="D6343" s="22" t="s">
        <v>8243</v>
      </c>
      <c r="E6343" s="22" t="s">
        <v>52</v>
      </c>
      <c r="F6343" s="23" t="str">
        <f>HYPERLINK("https://www.spark-marketing.ru/Card/Lot/71419455", "Оказание услуг по физической охране объекта для ГБОУ гимназия № 41 имени Эриха Кестнера Приморского района Санкт-Петербурга с сентября по декабрь 2019 года")</f>
        <v>Оказание услуг по физической охране объекта для ГБОУ гимназия № 41 имени Эриха Кестнера Приморского района Санкт-Петербурга с сентября по декабрь 2019 года</v>
      </c>
      <c r="G6343" s="22" t="s">
        <v>89</v>
      </c>
      <c r="H6343" s="22" t="s">
        <v>89</v>
      </c>
      <c r="I6343" s="26">
        <v>43633.431250000001</v>
      </c>
      <c r="J6343" s="23" t="str">
        <f>HYPERLINK("https://www.spark-marketing.ru/Card/Person/123130", "ООО ""ЧОП ""СЗАОПО-С""")</f>
        <v>ООО "ЧОП "СЗАОПО-С"</v>
      </c>
      <c r="K6343" s="24" t="s">
        <v>4290</v>
      </c>
      <c r="L6343" s="28" t="s">
        <v>52</v>
      </c>
      <c r="M6343" s="25">
        <v>306660</v>
      </c>
      <c r="N6343" s="27">
        <v>0.15937499999999999</v>
      </c>
    </row>
    <row r="6344" spans="1:14" hidden="1" outlineLevel="1" x14ac:dyDescent="0.2">
      <c r="A6344" s="23" t="str">
        <f>HYPERLINK("https://www.spark-marketing.ru/Card/Person/145840", "ГБОУ ГИМНАЗИЯ № 41 ИМЕНИ ЭРИХА КЕСТНЕРА ПРИМОРСКОГО РАЙОНА САНКТ-ПЕТЕРБУРГА")</f>
        <v>ГБОУ ГИМНАЗИЯ № 41 ИМЕНИ ЭРИХА КЕСТНЕРА ПРИМОРСКОГО РАЙОНА САНКТ-ПЕТЕРБУРГА</v>
      </c>
      <c r="B6344" s="24" t="s">
        <v>8242</v>
      </c>
      <c r="C6344" s="25">
        <v>364800</v>
      </c>
      <c r="D6344" s="22" t="s">
        <v>8243</v>
      </c>
      <c r="E6344" s="22" t="s">
        <v>52</v>
      </c>
      <c r="F6344" s="23" t="str">
        <f>HYPERLINK("https://www.spark-marketing.ru/Card/Lot/71419455", "Оказание услуг по физической охране объекта для ГБОУ гимназия № 41 имени Эриха Кестнера Приморского района Санкт-Петербурга с сентября по декабрь 2019 года")</f>
        <v>Оказание услуг по физической охране объекта для ГБОУ гимназия № 41 имени Эриха Кестнера Приморского района Санкт-Петербурга с сентября по декабрь 2019 года</v>
      </c>
      <c r="G6344" s="22" t="s">
        <v>89</v>
      </c>
      <c r="H6344" s="22" t="s">
        <v>89</v>
      </c>
      <c r="I6344" s="26">
        <v>43633.431250000001</v>
      </c>
      <c r="J6344" s="23" t="str">
        <f>HYPERLINK("https://www.spark-marketing.ru/Card/Person/2583925", "ООО ""ОО ""КГБ""")</f>
        <v>ООО "ОО "КГБ"</v>
      </c>
      <c r="K6344" s="24" t="s">
        <v>8245</v>
      </c>
      <c r="L6344" s="28" t="s">
        <v>52</v>
      </c>
      <c r="M6344" s="25">
        <v>239878.8</v>
      </c>
      <c r="N6344" s="27">
        <v>0.34243750000000001</v>
      </c>
    </row>
    <row r="6345" spans="1:14" x14ac:dyDescent="0.15">
      <c r="A6345" s="23" t="str">
        <f>HYPERLINK("https://www.spark-marketing.ru/Card/Person/63823", "УФСБ РОССИИ ПО РЕСПУБЛИКЕ КАЛМЫКИЯ")</f>
        <v>УФСБ РОССИИ ПО РЕСПУБЛИКЕ КАЛМЫКИЯ</v>
      </c>
      <c r="B6345" s="24" t="s">
        <v>8246</v>
      </c>
      <c r="C6345" s="25">
        <v>800311</v>
      </c>
      <c r="D6345" s="22" t="s">
        <v>8247</v>
      </c>
      <c r="E6345" s="22" t="s">
        <v>107</v>
      </c>
      <c r="F6345" s="23" t="str">
        <f>HYPERLINK("https://www.spark-marketing.ru/Card/Lot/71400180", "Выполнение работ по техническому обслуживанию системы комплекса инженерно-технических средств охраны и защиты")</f>
        <v>Выполнение работ по техническому обслуживанию системы комплекса инженерно-технических средств охраны и защиты</v>
      </c>
      <c r="G6345" s="22" t="s">
        <v>1325</v>
      </c>
      <c r="H6345" s="22" t="s">
        <v>2595</v>
      </c>
      <c r="I6345" s="26">
        <v>43633.3972222222</v>
      </c>
      <c r="J6345" s="28" t="s">
        <v>52</v>
      </c>
      <c r="K6345" s="28" t="s">
        <v>52</v>
      </c>
      <c r="L6345" s="28" t="s">
        <v>52</v>
      </c>
      <c r="M6345" s="28" t="s">
        <v>52</v>
      </c>
      <c r="N6345" s="28" t="s">
        <v>52</v>
      </c>
    </row>
    <row r="6346" spans="1:14" x14ac:dyDescent="0.15">
      <c r="A6346" s="23" t="str">
        <f>HYPERLINK("https://www.spark-marketing.ru/Card/Person/36644", "АДМИНИСТРАЦИЯ ВАЛДАЙСКОГО МУНИЦИПАЛЬНОГО РАЙОНА")</f>
        <v>АДМИНИСТРАЦИЯ ВАЛДАЙСКОГО МУНИЦИПАЛЬНОГО РАЙОНА</v>
      </c>
      <c r="B6346" s="24" t="s">
        <v>8248</v>
      </c>
      <c r="C6346" s="25">
        <v>300000</v>
      </c>
      <c r="D6346" s="22" t="s">
        <v>8249</v>
      </c>
      <c r="E6346" s="22" t="s">
        <v>68</v>
      </c>
      <c r="F6346" s="23" t="str">
        <f>HYPERLINK("https://www.spark-marketing.ru/Card/Lot/71418675", "выполнение работ по строительству системы оповещения в г. Валдай Новгородской области")</f>
        <v>выполнение работ по строительству системы оповещения в г. Валдай Новгородской области</v>
      </c>
      <c r="G6346" s="22" t="s">
        <v>959</v>
      </c>
      <c r="H6346" s="22" t="s">
        <v>959</v>
      </c>
      <c r="I6346" s="26">
        <v>43633.382638888899</v>
      </c>
      <c r="J6346" s="28" t="s">
        <v>52</v>
      </c>
      <c r="K6346" s="28" t="s">
        <v>52</v>
      </c>
      <c r="L6346" s="28" t="s">
        <v>52</v>
      </c>
      <c r="M6346" s="28" t="s">
        <v>52</v>
      </c>
      <c r="N6346" s="28" t="s">
        <v>52</v>
      </c>
    </row>
    <row r="6347" spans="1:14" ht="12.75" hidden="1" outlineLevel="1" x14ac:dyDescent="0.2">
      <c r="A6347" s="23" t="str">
        <f>HYPERLINK("https://www.spark-marketing.ru/Card/Person/36644", "АДМИНИСТРАЦИЯ ВАЛДАЙСКОГО МУНИЦИПАЛЬНОГО РАЙОНА")</f>
        <v>АДМИНИСТРАЦИЯ ВАЛДАЙСКОГО МУНИЦИПАЛЬНОГО РАЙОНА</v>
      </c>
      <c r="B6347" s="24" t="s">
        <v>8248</v>
      </c>
      <c r="C6347" s="25">
        <v>300000</v>
      </c>
      <c r="D6347" s="22" t="s">
        <v>8249</v>
      </c>
      <c r="E6347" s="22" t="s">
        <v>68</v>
      </c>
      <c r="F6347" s="23" t="str">
        <f>HYPERLINK("https://www.spark-marketing.ru/Card/Lot/71418675", "выполнение работ по строительству системы оповещения в г. Валдай Новгородской области")</f>
        <v>выполнение работ по строительству системы оповещения в г. Валдай Новгородской области</v>
      </c>
      <c r="G6347" s="22" t="s">
        <v>959</v>
      </c>
      <c r="H6347" s="22" t="s">
        <v>959</v>
      </c>
      <c r="I6347" s="26">
        <v>43633.382638888899</v>
      </c>
      <c r="J6347" s="23" t="str">
        <f>HYPERLINK("https://www.spark-marketing.ru/Card/Person/6113664", "ООО ""ТЕХНОСИТИ""")</f>
        <v>ООО "ТЕХНОСИТИ"</v>
      </c>
      <c r="K6347" s="24" t="s">
        <v>8250</v>
      </c>
      <c r="L6347" s="22" t="s">
        <v>10</v>
      </c>
      <c r="M6347" s="25">
        <v>217000</v>
      </c>
      <c r="N6347" s="27">
        <v>0.27666666666666667</v>
      </c>
    </row>
    <row r="6348" spans="1:14" hidden="1" outlineLevel="1" x14ac:dyDescent="0.2">
      <c r="A6348" s="23" t="str">
        <f>HYPERLINK("https://www.spark-marketing.ru/Card/Person/36644", "АДМИНИСТРАЦИЯ ВАЛДАЙСКОГО МУНИЦИПАЛЬНОГО РАЙОНА")</f>
        <v>АДМИНИСТРАЦИЯ ВАЛДАЙСКОГО МУНИЦИПАЛЬНОГО РАЙОНА</v>
      </c>
      <c r="B6348" s="24" t="s">
        <v>8248</v>
      </c>
      <c r="C6348" s="25">
        <v>300000</v>
      </c>
      <c r="D6348" s="22" t="s">
        <v>8249</v>
      </c>
      <c r="E6348" s="22" t="s">
        <v>68</v>
      </c>
      <c r="F6348" s="23" t="str">
        <f>HYPERLINK("https://www.spark-marketing.ru/Card/Lot/71418675", "выполнение работ по строительству системы оповещения в г. Валдай Новгородской области")</f>
        <v>выполнение работ по строительству системы оповещения в г. Валдай Новгородской области</v>
      </c>
      <c r="G6348" s="22" t="s">
        <v>959</v>
      </c>
      <c r="H6348" s="22" t="s">
        <v>959</v>
      </c>
      <c r="I6348" s="26">
        <v>43633.382638888899</v>
      </c>
      <c r="J6348" s="23" t="str">
        <f>HYPERLINK("https://www.spark-marketing.ru/Card/Person/719498", "ООО ""ВОСТОКСПЕЦМОНТАЖ""")</f>
        <v>ООО "ВОСТОКСПЕЦМОНТАЖ"</v>
      </c>
      <c r="K6348" s="24" t="s">
        <v>8251</v>
      </c>
      <c r="L6348" s="28" t="s">
        <v>52</v>
      </c>
      <c r="M6348" s="25">
        <v>294000</v>
      </c>
      <c r="N6348" s="27">
        <v>0.02</v>
      </c>
    </row>
    <row r="6349" spans="1:14" hidden="1" outlineLevel="1" x14ac:dyDescent="0.2">
      <c r="A6349" s="23" t="str">
        <f>HYPERLINK("https://www.spark-marketing.ru/Card/Person/36644", "АДМИНИСТРАЦИЯ ВАЛДАЙСКОГО МУНИЦИПАЛЬНОГО РАЙОНА")</f>
        <v>АДМИНИСТРАЦИЯ ВАЛДАЙСКОГО МУНИЦИПАЛЬНОГО РАЙОНА</v>
      </c>
      <c r="B6349" s="24" t="s">
        <v>8248</v>
      </c>
      <c r="C6349" s="25">
        <v>300000</v>
      </c>
      <c r="D6349" s="22" t="s">
        <v>8249</v>
      </c>
      <c r="E6349" s="22" t="s">
        <v>68</v>
      </c>
      <c r="F6349" s="23" t="str">
        <f>HYPERLINK("https://www.spark-marketing.ru/Card/Lot/71418675", "выполнение работ по строительству системы оповещения в г. Валдай Новгородской области")</f>
        <v>выполнение работ по строительству системы оповещения в г. Валдай Новгородской области</v>
      </c>
      <c r="G6349" s="22" t="s">
        <v>959</v>
      </c>
      <c r="H6349" s="22" t="s">
        <v>959</v>
      </c>
      <c r="I6349" s="26">
        <v>43633.382638888899</v>
      </c>
      <c r="J6349" s="23" t="str">
        <f>HYPERLINK("https://www.spark-marketing.ru/Card/Person/6491705", "ООО ""КОВЧЕГ""")</f>
        <v>ООО "КОВЧЕГ"</v>
      </c>
      <c r="K6349" s="24" t="s">
        <v>8252</v>
      </c>
      <c r="L6349" s="28" t="s">
        <v>52</v>
      </c>
      <c r="M6349" s="25">
        <v>217760.49</v>
      </c>
      <c r="N6349" s="27">
        <v>0.27413169999999998</v>
      </c>
    </row>
    <row r="6350" spans="1:14" x14ac:dyDescent="0.15">
      <c r="A6350" s="23" t="str">
        <f>HYPERLINK("https://www.spark-marketing.ru/Card/Person/4647398", "ООО ""РУСАГРО-ЦЕНТР""")</f>
        <v>ООО "РУСАГРО-ЦЕНТР"</v>
      </c>
      <c r="B6350" s="24" t="s">
        <v>7098</v>
      </c>
      <c r="C6350" s="25">
        <v>0</v>
      </c>
      <c r="D6350" s="22" t="s">
        <v>8253</v>
      </c>
      <c r="E6350" s="22" t="s">
        <v>114</v>
      </c>
      <c r="F6350" s="23" t="str">
        <f>HYPERLINK("https://www.spark-marketing.ru/Card/Lot/71406335", "Обслуживание систем Видеонаблюдения согласно ТЗ")</f>
        <v>Обслуживание систем Видеонаблюдения согласно ТЗ</v>
      </c>
      <c r="G6350" s="22" t="s">
        <v>55</v>
      </c>
      <c r="H6350" s="22" t="s">
        <v>55</v>
      </c>
      <c r="I6350" s="26">
        <v>43633.380914351903</v>
      </c>
      <c r="J6350" s="28" t="s">
        <v>52</v>
      </c>
      <c r="K6350" s="28" t="s">
        <v>52</v>
      </c>
      <c r="L6350" s="28" t="s">
        <v>52</v>
      </c>
      <c r="M6350" s="28" t="s">
        <v>52</v>
      </c>
      <c r="N6350" s="28" t="s">
        <v>52</v>
      </c>
    </row>
    <row r="6351" spans="1:14" x14ac:dyDescent="0.15">
      <c r="A6351" s="23" t="str">
        <f t="shared" ref="A6351:A6356" si="263">HYPERLINK("https://www.spark-marketing.ru/Card/Person/4352364", "ГБОУ СО ""ЕКАТЕРИНБУРГСКАЯ ШКОЛА-ИНТЕРНАТ № 9, РЕАЛИЗУЮЩАЯ АДАПТИРОВАННЫЕ ОСНОВНЫЕ ОБЩЕОБРАЗОВАТЕЛЬНЫЕ ПРОГРАММЫ""")</f>
        <v>ГБОУ СО "ЕКАТЕРИНБУРГСКАЯ ШКОЛА-ИНТЕРНАТ № 9, РЕАЛИЗУЮЩАЯ АДАПТИРОВАННЫЕ ОСНОВНЫЕ ОБЩЕОБРАЗОВАТЕЛЬНЫЕ ПРОГРАММЫ"</v>
      </c>
      <c r="B6351" s="24" t="s">
        <v>6081</v>
      </c>
      <c r="C6351" s="25">
        <v>143484.15</v>
      </c>
      <c r="D6351" s="22" t="s">
        <v>8254</v>
      </c>
      <c r="E6351" s="22" t="s">
        <v>59</v>
      </c>
      <c r="F6351" s="23" t="str">
        <f>HYPERLINK("https://www.spark-marketing.ru/Card/Lot/71395883", "Установка системы видеонаблюдения и охранного телевидения")</f>
        <v>Установка системы видеонаблюдения и охранного телевидения</v>
      </c>
      <c r="G6351" s="22" t="s">
        <v>72</v>
      </c>
      <c r="H6351" s="22" t="s">
        <v>949</v>
      </c>
      <c r="I6351" s="26">
        <v>43633.366666666698</v>
      </c>
      <c r="J6351" s="28" t="s">
        <v>52</v>
      </c>
      <c r="K6351" s="28" t="s">
        <v>52</v>
      </c>
      <c r="L6351" s="28" t="s">
        <v>52</v>
      </c>
      <c r="M6351" s="28" t="s">
        <v>52</v>
      </c>
      <c r="N6351" s="28" t="s">
        <v>52</v>
      </c>
    </row>
    <row r="6352" spans="1:14" hidden="1" outlineLevel="1" x14ac:dyDescent="0.2">
      <c r="A6352" s="23" t="str">
        <f t="shared" si="263"/>
        <v>ГБОУ СО "ЕКАТЕРИНБУРГСКАЯ ШКОЛА-ИНТЕРНАТ № 9, РЕАЛИЗУЮЩАЯ АДАПТИРОВАННЫЕ ОСНОВНЫЕ ОБЩЕОБРАЗОВАТЕЛЬНЫЕ ПРОГРАММЫ"</v>
      </c>
      <c r="B6352" s="24" t="s">
        <v>6081</v>
      </c>
      <c r="C6352" s="25">
        <v>143484.15</v>
      </c>
      <c r="D6352" s="22" t="s">
        <v>8254</v>
      </c>
      <c r="E6352" s="22" t="s">
        <v>59</v>
      </c>
      <c r="F6352" s="23" t="str">
        <f>HYPERLINK("https://www.spark-marketing.ru/Card/Lot/71395883", "Установка системы видеонаблюдения и охранного телевидения")</f>
        <v>Установка системы видеонаблюдения и охранного телевидения</v>
      </c>
      <c r="G6352" s="22" t="s">
        <v>72</v>
      </c>
      <c r="H6352" s="22" t="s">
        <v>949</v>
      </c>
      <c r="I6352" s="26">
        <v>43633.366666666698</v>
      </c>
      <c r="J6352" s="23" t="str">
        <f>HYPERLINK("https://www.spark-marketing.ru/Card/Person/50495", "ООО ""МСП БИЗНЕС МИР""")</f>
        <v>ООО "МСП БИЗНЕС МИР"</v>
      </c>
      <c r="K6352" s="24" t="s">
        <v>6602</v>
      </c>
      <c r="L6352" s="28" t="s">
        <v>52</v>
      </c>
      <c r="M6352" s="25">
        <v>141331.85999999999</v>
      </c>
      <c r="N6352" s="27">
        <v>1.500019340115267E-2</v>
      </c>
    </row>
    <row r="6353" spans="1:14" ht="12.75" hidden="1" outlineLevel="1" x14ac:dyDescent="0.2">
      <c r="A6353" s="23" t="str">
        <f t="shared" si="263"/>
        <v>ГБОУ СО "ЕКАТЕРИНБУРГСКАЯ ШКОЛА-ИНТЕРНАТ № 9, РЕАЛИЗУЮЩАЯ АДАПТИРОВАННЫЕ ОСНОВНЫЕ ОБЩЕОБРАЗОВАТЕЛЬНЫЕ ПРОГРАММЫ"</v>
      </c>
      <c r="B6353" s="24" t="s">
        <v>6081</v>
      </c>
      <c r="C6353" s="25">
        <v>143484.15</v>
      </c>
      <c r="D6353" s="22" t="s">
        <v>8254</v>
      </c>
      <c r="E6353" s="22" t="s">
        <v>59</v>
      </c>
      <c r="F6353" s="23" t="str">
        <f>HYPERLINK("https://www.spark-marketing.ru/Card/Lot/71395883", "Установка системы видеонаблюдения и охранного телевидения")</f>
        <v>Установка системы видеонаблюдения и охранного телевидения</v>
      </c>
      <c r="G6353" s="22" t="s">
        <v>72</v>
      </c>
      <c r="H6353" s="22" t="s">
        <v>949</v>
      </c>
      <c r="I6353" s="26">
        <v>43633.366666666698</v>
      </c>
      <c r="J6353" s="23" t="str">
        <f>HYPERLINK("https://www.spark-marketing.ru/Card/Person/857206", "Никулин Дмитрий Евгеньевич")</f>
        <v>Никулин Дмитрий Евгеньевич</v>
      </c>
      <c r="K6353" s="24" t="s">
        <v>7779</v>
      </c>
      <c r="L6353" s="22" t="s">
        <v>10</v>
      </c>
      <c r="M6353" s="25">
        <v>117649.83</v>
      </c>
      <c r="N6353" s="27">
        <v>0.18004999158443633</v>
      </c>
    </row>
    <row r="6354" spans="1:14" hidden="1" outlineLevel="1" x14ac:dyDescent="0.2">
      <c r="A6354" s="23" t="str">
        <f t="shared" si="263"/>
        <v>ГБОУ СО "ЕКАТЕРИНБУРГСКАЯ ШКОЛА-ИНТЕРНАТ № 9, РЕАЛИЗУЮЩАЯ АДАПТИРОВАННЫЕ ОСНОВНЫЕ ОБЩЕОБРАЗОВАТЕЛЬНЫЕ ПРОГРАММЫ"</v>
      </c>
      <c r="B6354" s="24" t="s">
        <v>6081</v>
      </c>
      <c r="C6354" s="25">
        <v>143484.15</v>
      </c>
      <c r="D6354" s="22" t="s">
        <v>8254</v>
      </c>
      <c r="E6354" s="22" t="s">
        <v>59</v>
      </c>
      <c r="F6354" s="23" t="str">
        <f>HYPERLINK("https://www.spark-marketing.ru/Card/Lot/71395883", "Установка системы видеонаблюдения и охранного телевидения")</f>
        <v>Установка системы видеонаблюдения и охранного телевидения</v>
      </c>
      <c r="G6354" s="22" t="s">
        <v>72</v>
      </c>
      <c r="H6354" s="22" t="s">
        <v>949</v>
      </c>
      <c r="I6354" s="26">
        <v>43633.366666666698</v>
      </c>
      <c r="J6354" s="23" t="str">
        <f>HYPERLINK("https://www.spark-marketing.ru/Card/Person/6581660", "ООО ""ВИДЕОСИСТЕМЫ""")</f>
        <v>ООО "ВИДЕОСИСТЕМЫ"</v>
      </c>
      <c r="K6354" s="24" t="s">
        <v>3415</v>
      </c>
      <c r="L6354" s="28" t="s">
        <v>52</v>
      </c>
      <c r="M6354" s="25">
        <v>119802.12</v>
      </c>
      <c r="N6354" s="27">
        <v>0.16504979818328366</v>
      </c>
    </row>
    <row r="6355" spans="1:14" hidden="1" outlineLevel="1" x14ac:dyDescent="0.2">
      <c r="A6355" s="23" t="str">
        <f t="shared" si="263"/>
        <v>ГБОУ СО "ЕКАТЕРИНБУРГСКАЯ ШКОЛА-ИНТЕРНАТ № 9, РЕАЛИЗУЮЩАЯ АДАПТИРОВАННЫЕ ОСНОВНЫЕ ОБЩЕОБРАЗОВАТЕЛЬНЫЕ ПРОГРАММЫ"</v>
      </c>
      <c r="B6355" s="24" t="s">
        <v>6081</v>
      </c>
      <c r="C6355" s="25">
        <v>143484.15</v>
      </c>
      <c r="D6355" s="22" t="s">
        <v>8254</v>
      </c>
      <c r="E6355" s="22" t="s">
        <v>59</v>
      </c>
      <c r="F6355" s="23" t="str">
        <f>HYPERLINK("https://www.spark-marketing.ru/Card/Lot/71395883", "Установка системы видеонаблюдения и охранного телевидения")</f>
        <v>Установка системы видеонаблюдения и охранного телевидения</v>
      </c>
      <c r="G6355" s="22" t="s">
        <v>72</v>
      </c>
      <c r="H6355" s="22" t="s">
        <v>949</v>
      </c>
      <c r="I6355" s="26">
        <v>43633.366666666698</v>
      </c>
      <c r="J6355" s="23" t="str">
        <f>HYPERLINK("https://www.spark-marketing.ru/Card/Person/5853123", "Ершов Андрей Алексеевич")</f>
        <v>Ершов Андрей Алексеевич</v>
      </c>
      <c r="K6355" s="24" t="s">
        <v>1063</v>
      </c>
      <c r="L6355" s="28" t="s">
        <v>52</v>
      </c>
      <c r="M6355" s="25">
        <v>118367.26</v>
      </c>
      <c r="N6355" s="27">
        <v>0.17504992711738543</v>
      </c>
    </row>
    <row r="6356" spans="1:14" x14ac:dyDescent="0.15">
      <c r="A6356" s="23" t="str">
        <f t="shared" si="263"/>
        <v>ГБОУ СО "ЕКАТЕРИНБУРГСКАЯ ШКОЛА-ИНТЕРНАТ № 9, РЕАЛИЗУЮЩАЯ АДАПТИРОВАННЫЕ ОСНОВНЫЕ ОБЩЕОБРАЗОВАТЕЛЬНЫЕ ПРОГРАММЫ"</v>
      </c>
      <c r="B6356" s="24" t="s">
        <v>6081</v>
      </c>
      <c r="C6356" s="25">
        <v>91681.21</v>
      </c>
      <c r="D6356" s="22" t="s">
        <v>8255</v>
      </c>
      <c r="E6356" s="22" t="s">
        <v>59</v>
      </c>
      <c r="F6356" s="23" t="str">
        <f>HYPERLINK("https://www.spark-marketing.ru/Card/Lot/71395787", "Установка системы охранной сигнализации")</f>
        <v>Установка системы охранной сигнализации</v>
      </c>
      <c r="G6356" s="22" t="s">
        <v>72</v>
      </c>
      <c r="H6356" s="22" t="s">
        <v>949</v>
      </c>
      <c r="I6356" s="26">
        <v>43633.366666666698</v>
      </c>
      <c r="J6356" s="28" t="s">
        <v>52</v>
      </c>
      <c r="K6356" s="28" t="s">
        <v>52</v>
      </c>
      <c r="L6356" s="28" t="s">
        <v>52</v>
      </c>
      <c r="M6356" s="28" t="s">
        <v>52</v>
      </c>
      <c r="N6356" s="28" t="s">
        <v>52</v>
      </c>
    </row>
    <row r="6357" spans="1:14" x14ac:dyDescent="0.15">
      <c r="A6357" s="23" t="str">
        <f>HYPERLINK("https://www.spark-marketing.ru/Card/Person/125910", "БОУ Г. ОМСКА ""СРЕДНЯЯ ОБЩЕОБРАЗОВАТЕЛЬНАЯ ШКОЛА № 42""")</f>
        <v>БОУ Г. ОМСКА "СРЕДНЯЯ ОБЩЕОБРАЗОВАТЕЛЬНАЯ ШКОЛА № 42"</v>
      </c>
      <c r="B6357" s="24" t="s">
        <v>8256</v>
      </c>
      <c r="C6357" s="25">
        <v>9750</v>
      </c>
      <c r="D6357" s="22" t="s">
        <v>8257</v>
      </c>
      <c r="E6357" s="22" t="s">
        <v>68</v>
      </c>
      <c r="F6357" s="23" t="str">
        <f>HYPERLINK("https://www.spark-marketing.ru/Card/Lot/71397709", "Оказание охранных услуг")</f>
        <v>Оказание охранных услуг</v>
      </c>
      <c r="G6357" s="22" t="s">
        <v>521</v>
      </c>
      <c r="H6357" s="22" t="s">
        <v>522</v>
      </c>
      <c r="I6357" s="26">
        <v>43633.370138888902</v>
      </c>
      <c r="J6357" s="28" t="s">
        <v>52</v>
      </c>
      <c r="K6357" s="28" t="s">
        <v>52</v>
      </c>
      <c r="L6357" s="28" t="s">
        <v>52</v>
      </c>
      <c r="M6357" s="28" t="s">
        <v>52</v>
      </c>
      <c r="N6357" s="28" t="s">
        <v>52</v>
      </c>
    </row>
    <row r="6358" spans="1:14" x14ac:dyDescent="0.15">
      <c r="A6358" s="23" t="str">
        <f>HYPERLINK("https://www.spark-marketing.ru/Card/Person/1079442", "КГКУ ЦЗН ВЕРХНЕБУРЕИНСКОГО РАЙОНА")</f>
        <v>КГКУ ЦЗН ВЕРХНЕБУРЕИНСКОГО РАЙОНА</v>
      </c>
      <c r="B6358" s="24" t="s">
        <v>8258</v>
      </c>
      <c r="C6358" s="25">
        <v>16616.64</v>
      </c>
      <c r="D6358" s="22" t="s">
        <v>8259</v>
      </c>
      <c r="E6358" s="22" t="s">
        <v>107</v>
      </c>
      <c r="F6358" s="23" t="str">
        <f>HYPERLINK("https://www.spark-marketing.ru/Card/Lot/71394644", "Техническое обслуживание комплекса технических средств охраны")</f>
        <v>Техническое обслуживание комплекса технических средств охраны</v>
      </c>
      <c r="G6358" s="22" t="s">
        <v>138</v>
      </c>
      <c r="H6358" s="22" t="s">
        <v>138</v>
      </c>
      <c r="I6358" s="26">
        <v>43633.244189814803</v>
      </c>
      <c r="J6358" s="28" t="s">
        <v>52</v>
      </c>
      <c r="K6358" s="28" t="s">
        <v>52</v>
      </c>
      <c r="L6358" s="28" t="s">
        <v>52</v>
      </c>
      <c r="M6358" s="28" t="s">
        <v>52</v>
      </c>
      <c r="N6358" s="28" t="s">
        <v>52</v>
      </c>
    </row>
    <row r="6359" spans="1:14" x14ac:dyDescent="0.15">
      <c r="A6359" s="23" t="str">
        <f>HYPERLINK("https://www.spark-marketing.ru/Card/Person/4069266", "ООО ""РУССКАЯ РЫБОПРОМЫШЛЕННАЯ КОМПАНИЯ""")</f>
        <v>ООО "РУССКАЯ РЫБОПРОМЫШЛЕННАЯ КОМПАНИЯ"</v>
      </c>
      <c r="B6359" s="24" t="s">
        <v>6234</v>
      </c>
      <c r="C6359" s="28" t="s">
        <v>52</v>
      </c>
      <c r="D6359" s="28" t="s">
        <v>52</v>
      </c>
      <c r="E6359" s="22" t="s">
        <v>53</v>
      </c>
      <c r="F6359" s="23" t="str">
        <f>HYPERLINK("https://www.spark-marketing.ru/Card/Lot/71405055", "Тендер на на услуги по оснащению системой инженерно-технической защиты объекта транспортной инфраструктуры - База флота ОАО «ТУРНИФ» в морском порту Владивосток, в составе системы охранного телевидения и объективного видеоконтроля и системы контроля ...")</f>
        <v>Тендер на на услуги по оснащению системой инженерно-технической защиты объекта транспортной инфраструктуры - База флота ОАО «ТУРНИФ» в морском порту Владивосток, в составе системы охранного телевидения и объективного видеоконтроля и системы контроля ...</v>
      </c>
      <c r="G6359" s="22" t="s">
        <v>55</v>
      </c>
      <c r="H6359" s="22" t="s">
        <v>55</v>
      </c>
      <c r="I6359" s="26">
        <v>43633</v>
      </c>
      <c r="J6359" s="28" t="s">
        <v>52</v>
      </c>
      <c r="K6359" s="28" t="s">
        <v>52</v>
      </c>
      <c r="L6359" s="28" t="s">
        <v>52</v>
      </c>
      <c r="M6359" s="28" t="s">
        <v>52</v>
      </c>
      <c r="N6359" s="28" t="s">
        <v>52</v>
      </c>
    </row>
    <row r="6360" spans="1:14" x14ac:dyDescent="0.15">
      <c r="A6360" s="23" t="str">
        <f>HYPERLINK("https://www.spark-marketing.ru/Card/Person/1752728", "ООО ""СЕМЬЯ""")</f>
        <v>ООО "СЕМЬЯ"</v>
      </c>
      <c r="B6360" s="24" t="s">
        <v>8260</v>
      </c>
      <c r="C6360" s="28" t="s">
        <v>52</v>
      </c>
      <c r="D6360" s="22" t="s">
        <v>8261</v>
      </c>
      <c r="E6360" s="22" t="s">
        <v>53</v>
      </c>
      <c r="F6360" s="23" t="str">
        <f>HYPERLINK("https://www.spark-marketing.ru/Card/Lot/71400870", "Услуга облачного видеонаблюдения в магазинах ТС Семья (id381645) (2-й этап торгов) (id383535)")</f>
        <v>Услуга облачного видеонаблюдения в магазинах ТС Семья (id381645) (2-й этап торгов) (id383535)</v>
      </c>
      <c r="G6360" s="22" t="s">
        <v>391</v>
      </c>
      <c r="H6360" s="22" t="s">
        <v>392</v>
      </c>
      <c r="I6360" s="26">
        <v>43633</v>
      </c>
      <c r="J6360" s="28" t="s">
        <v>52</v>
      </c>
      <c r="K6360" s="28" t="s">
        <v>52</v>
      </c>
      <c r="L6360" s="28" t="s">
        <v>52</v>
      </c>
      <c r="M6360" s="28" t="s">
        <v>52</v>
      </c>
      <c r="N6360" s="28" t="s">
        <v>52</v>
      </c>
    </row>
    <row r="6361" spans="1:14" x14ac:dyDescent="0.15">
      <c r="A6361" s="23" t="str">
        <f>HYPERLINK("https://www.spark-marketing.ru/Card/Person/130907", "МБОУ СОШ №12")</f>
        <v>МБОУ СОШ №12</v>
      </c>
      <c r="B6361" s="24" t="s">
        <v>8262</v>
      </c>
      <c r="C6361" s="25">
        <v>153950</v>
      </c>
      <c r="D6361" s="22" t="s">
        <v>8263</v>
      </c>
      <c r="E6361" s="22" t="s">
        <v>59</v>
      </c>
      <c r="F6361" s="23" t="str">
        <f>HYPERLINK("https://www.spark-marketing.ru/Card/Lot/71392531", "Выполнение работ по монтажу системы контроля и управления доступом")</f>
        <v>Выполнение работ по монтажу системы контроля и управления доступом</v>
      </c>
      <c r="G6361" s="22" t="s">
        <v>50</v>
      </c>
      <c r="H6361" s="22" t="s">
        <v>432</v>
      </c>
      <c r="I6361" s="26">
        <v>43632.909108796302</v>
      </c>
      <c r="J6361" s="28" t="s">
        <v>52</v>
      </c>
      <c r="K6361" s="28" t="s">
        <v>52</v>
      </c>
      <c r="L6361" s="28" t="s">
        <v>52</v>
      </c>
      <c r="M6361" s="28" t="s">
        <v>52</v>
      </c>
      <c r="N6361" s="28" t="s">
        <v>52</v>
      </c>
    </row>
    <row r="6362" spans="1:14" x14ac:dyDescent="0.15">
      <c r="A6362" s="23" t="str">
        <f>HYPERLINK("https://www.spark-marketing.ru/Card/Person/880981", "МАУ ДОЛ ""СОЛНЕЧНАЯ ПОЛЯНА""")</f>
        <v>МАУ ДОЛ "СОЛНЕЧНАЯ ПОЛЯНА"</v>
      </c>
      <c r="B6362" s="24" t="s">
        <v>8264</v>
      </c>
      <c r="C6362" s="25">
        <v>320400</v>
      </c>
      <c r="D6362" s="22" t="s">
        <v>8265</v>
      </c>
      <c r="E6362" s="22" t="s">
        <v>4747</v>
      </c>
      <c r="F6362" s="23" t="str">
        <f>HYPERLINK("https://www.spark-marketing.ru/Card/Lot/71390710", "Охранные услуги")</f>
        <v>Охранные услуги</v>
      </c>
      <c r="G6362" s="22" t="s">
        <v>60</v>
      </c>
      <c r="H6362" s="22" t="s">
        <v>60</v>
      </c>
      <c r="I6362" s="26">
        <v>43632.465231481503</v>
      </c>
      <c r="J6362" s="28" t="s">
        <v>52</v>
      </c>
      <c r="K6362" s="28" t="s">
        <v>52</v>
      </c>
      <c r="L6362" s="28" t="s">
        <v>52</v>
      </c>
      <c r="M6362" s="28" t="s">
        <v>52</v>
      </c>
      <c r="N6362" s="28" t="s">
        <v>52</v>
      </c>
    </row>
    <row r="6363" spans="1:14" x14ac:dyDescent="0.15">
      <c r="A6363" s="23" t="str">
        <f>HYPERLINK("https://www.spark-marketing.ru/Card/Person/1023521", "МОУ ""ЛИПИЦКАЯ СОШ""")</f>
        <v>МОУ "ЛИПИЦКАЯ СОШ"</v>
      </c>
      <c r="B6363" s="24" t="s">
        <v>8266</v>
      </c>
      <c r="C6363" s="25">
        <v>195680</v>
      </c>
      <c r="D6363" s="22" t="s">
        <v>8267</v>
      </c>
      <c r="E6363" s="22" t="s">
        <v>107</v>
      </c>
      <c r="F6363" s="23" t="str">
        <f>HYPERLINK("https://www.spark-marketing.ru/Card/Lot/71377583", "Оказание услуг по закупке и установке видеодомофонов")</f>
        <v>Оказание услуг по закупке и установке видеодомофонов</v>
      </c>
      <c r="G6363" s="22" t="s">
        <v>50</v>
      </c>
      <c r="H6363" s="22" t="s">
        <v>5160</v>
      </c>
      <c r="I6363" s="26">
        <v>43630.8047337963</v>
      </c>
      <c r="J6363" s="28" t="s">
        <v>52</v>
      </c>
      <c r="K6363" s="28" t="s">
        <v>52</v>
      </c>
      <c r="L6363" s="28" t="s">
        <v>52</v>
      </c>
      <c r="M6363" s="28" t="s">
        <v>52</v>
      </c>
      <c r="N6363" s="28" t="s">
        <v>52</v>
      </c>
    </row>
    <row r="6364" spans="1:14" x14ac:dyDescent="0.15">
      <c r="A6364" s="23" t="str">
        <f>HYPERLINK("https://www.spark-marketing.ru/Card/Person/4377750", "ОГБУК ""ЧГЦНТ""")</f>
        <v>ОГБУК "ЧГЦНТ"</v>
      </c>
      <c r="B6364" s="24" t="s">
        <v>8268</v>
      </c>
      <c r="C6364" s="25">
        <v>221785</v>
      </c>
      <c r="D6364" s="22" t="s">
        <v>8269</v>
      </c>
      <c r="E6364" s="22" t="s">
        <v>144</v>
      </c>
      <c r="F6364" s="23" t="str">
        <f>HYPERLINK("https://www.spark-marketing.ru/Card/Lot/71375183", "Обеспечение общественного порядка и сохранности оборудования, сданных под охрану в рамках организации и проведения мероприятия XXVII Всероссийского Бажовского фестиваля народного творчества")</f>
        <v>Обеспечение общественного порядка и сохранности оборудования, сданных под охрану в рамках организации и проведения мероприятия XXVII Всероссийского Бажовского фестиваля народного творчества</v>
      </c>
      <c r="G6364" s="22" t="s">
        <v>60</v>
      </c>
      <c r="H6364" s="22" t="s">
        <v>60</v>
      </c>
      <c r="I6364" s="26">
        <v>43630.796493055597</v>
      </c>
      <c r="J6364" s="28" t="s">
        <v>52</v>
      </c>
      <c r="K6364" s="28" t="s">
        <v>52</v>
      </c>
      <c r="L6364" s="28" t="s">
        <v>52</v>
      </c>
      <c r="M6364" s="28" t="s">
        <v>52</v>
      </c>
      <c r="N6364" s="28" t="s">
        <v>52</v>
      </c>
    </row>
    <row r="6365" spans="1:14" x14ac:dyDescent="0.15">
      <c r="A6365" s="23" t="str">
        <f>HYPERLINK("https://www.spark-marketing.ru/Card/Person/6239", "ЮРГПУ(НПИ) ФГБОУ ВО ""ЮРГПУ(НПИ) ИМЕНИ М.И.ПЛАТОВА"" ЮЖНО-РОССИЙСКИЙ ГОСУДАРСТВЕННЫЙ ПОЛИТЕХНИЧЕСКИЙ УНИВЕРСИТЕТ (НПИ) ИМЕНИ М.И. ПЛАТОВА ФГБОУ ВО ""ЮЖНО-РОССИЙСКИЙ ГОСУДАРСТВЕННЫЙ ПОЛИТЕХНИЧЕСКИЙ УНИВЕРСИТЕТ (НПИ) ИМЕНИ М.И. ПЛАТОВА""")</f>
        <v>ЮРГПУ(НПИ) ФГБОУ ВО "ЮРГПУ(НПИ) ИМЕНИ М.И.ПЛАТОВА" ЮЖНО-РОССИЙСКИЙ ГОСУДАРСТВЕННЫЙ ПОЛИТЕХНИЧЕСКИЙ УНИВЕРСИТЕТ (НПИ) ИМЕНИ М.И. ПЛАТОВА ФГБОУ ВО "ЮЖНО-РОССИЙСКИЙ ГОСУДАРСТВЕННЫЙ ПОЛИТЕХНИЧЕСКИЙ УНИВЕРСИТЕТ (НПИ) ИМЕНИ М.И. ПЛАТОВА"</v>
      </c>
      <c r="B6365" s="24" t="s">
        <v>8270</v>
      </c>
      <c r="C6365" s="25">
        <v>329700</v>
      </c>
      <c r="D6365" s="22" t="s">
        <v>8271</v>
      </c>
      <c r="E6365" s="22" t="s">
        <v>370</v>
      </c>
      <c r="F6365" s="23" t="str">
        <f>HYPERLINK("https://www.spark-marketing.ru/Card/Lot/71375759", "Оказание услуг по ежемесячному техническому обслуживанию системы контроля управления доступом (СКУД) и системы видеонаблюдения (СВН)")</f>
        <v>Оказание услуг по ежемесячному техническому обслуживанию системы контроля управления доступом (СКУД) и системы видеонаблюдения (СВН)</v>
      </c>
      <c r="G6365" s="22" t="s">
        <v>402</v>
      </c>
      <c r="H6365" s="22" t="s">
        <v>402</v>
      </c>
      <c r="I6365" s="26">
        <v>43630.731863425899</v>
      </c>
      <c r="J6365" s="28" t="s">
        <v>52</v>
      </c>
      <c r="K6365" s="28" t="s">
        <v>52</v>
      </c>
      <c r="L6365" s="28" t="s">
        <v>52</v>
      </c>
      <c r="M6365" s="28" t="s">
        <v>52</v>
      </c>
      <c r="N6365" s="28" t="s">
        <v>52</v>
      </c>
    </row>
    <row r="6366" spans="1:14" x14ac:dyDescent="0.15">
      <c r="A6366" s="23" t="str">
        <f>HYPERLINK("https://www.spark-marketing.ru/Card/Person/29367", "ГБУЗ ""ООКИБ""")</f>
        <v>ГБУЗ "ООКИБ"</v>
      </c>
      <c r="B6366" s="24" t="s">
        <v>8272</v>
      </c>
      <c r="C6366" s="25">
        <v>20275.62</v>
      </c>
      <c r="D6366" s="22" t="s">
        <v>8273</v>
      </c>
      <c r="E6366" s="22" t="s">
        <v>68</v>
      </c>
      <c r="F6366" s="23" t="str">
        <f>HYPERLINK("https://www.spark-marketing.ru/Card/Lot/71373514", "оказание охранных услуг")</f>
        <v>оказание охранных услуг</v>
      </c>
      <c r="G6366" s="22" t="s">
        <v>384</v>
      </c>
      <c r="H6366" s="22" t="s">
        <v>696</v>
      </c>
      <c r="I6366" s="26">
        <v>43630.7277777778</v>
      </c>
      <c r="J6366" s="28" t="s">
        <v>52</v>
      </c>
      <c r="K6366" s="28" t="s">
        <v>52</v>
      </c>
      <c r="L6366" s="28" t="s">
        <v>52</v>
      </c>
      <c r="M6366" s="28" t="s">
        <v>52</v>
      </c>
      <c r="N6366" s="28" t="s">
        <v>52</v>
      </c>
    </row>
    <row r="6367" spans="1:14" x14ac:dyDescent="0.15">
      <c r="A6367" s="23" t="str">
        <f>HYPERLINK("https://www.spark-marketing.ru/Card/Person/4346785", "УССИ ФСО РОССИИ В ЦФО")</f>
        <v>УССИ ФСО РОССИИ В ЦФО</v>
      </c>
      <c r="B6367" s="24" t="s">
        <v>8274</v>
      </c>
      <c r="C6367" s="25">
        <v>12000</v>
      </c>
      <c r="D6367" s="22" t="s">
        <v>8275</v>
      </c>
      <c r="E6367" s="22" t="s">
        <v>53</v>
      </c>
      <c r="F6367" s="23" t="str">
        <f>HYPERLINK("https://www.spark-marketing.ru/Card/Lot/71372456", "Выдача заключений предварительной технической экспертизы и протокола проверки безопасности конструкций транспортных средст")</f>
        <v>Выдача заключений предварительной технической экспертизы и протокола проверки безопасности конструкций транспортных средст</v>
      </c>
      <c r="G6367" s="22" t="s">
        <v>251</v>
      </c>
      <c r="H6367" s="22" t="s">
        <v>252</v>
      </c>
      <c r="I6367" s="26">
        <v>43630.690740740698</v>
      </c>
      <c r="J6367" s="28" t="s">
        <v>52</v>
      </c>
      <c r="K6367" s="28" t="s">
        <v>52</v>
      </c>
      <c r="L6367" s="28" t="s">
        <v>52</v>
      </c>
      <c r="M6367" s="28" t="s">
        <v>52</v>
      </c>
      <c r="N6367" s="28" t="s">
        <v>52</v>
      </c>
    </row>
    <row r="6368" spans="1:14" x14ac:dyDescent="0.15">
      <c r="A6368" s="23" t="str">
        <f>HYPERLINK("https://www.spark-marketing.ru/Card/Person/1057423", "О МВД РОССИИ ПО КИНЕЛЬ-ЧЕРКАССКОМУ РАЙОНУ")</f>
        <v>О МВД РОССИИ ПО КИНЕЛЬ-ЧЕРКАССКОМУ РАЙОНУ</v>
      </c>
      <c r="B6368" s="24" t="s">
        <v>8276</v>
      </c>
      <c r="C6368" s="25">
        <v>50000</v>
      </c>
      <c r="D6368" s="22" t="s">
        <v>8277</v>
      </c>
      <c r="E6368" s="22" t="s">
        <v>53</v>
      </c>
      <c r="F6368" s="23" t="str">
        <f>HYPERLINK("https://www.spark-marketing.ru/Card/Lot/71369471", "техническое обслуживание охранно-тревожной сигнализации")</f>
        <v>техническое обслуживание охранно-тревожной сигнализации</v>
      </c>
      <c r="G6368" s="22" t="s">
        <v>760</v>
      </c>
      <c r="H6368" s="22" t="s">
        <v>760</v>
      </c>
      <c r="I6368" s="26">
        <v>43630.647638888899</v>
      </c>
      <c r="J6368" s="28" t="s">
        <v>52</v>
      </c>
      <c r="K6368" s="28" t="s">
        <v>52</v>
      </c>
      <c r="L6368" s="28" t="s">
        <v>52</v>
      </c>
      <c r="M6368" s="28" t="s">
        <v>52</v>
      </c>
      <c r="N6368" s="28" t="s">
        <v>52</v>
      </c>
    </row>
    <row r="6369" spans="1:14" x14ac:dyDescent="0.2">
      <c r="A6369" s="23" t="str">
        <f>HYPERLINK("https://www.spark-marketing.ru/Card/Person/95181", "АО ""ННПО ИМЕНИ М. В. ФРУНЗЕ""")</f>
        <v>АО "ННПО ИМЕНИ М. В. ФРУНЗЕ"</v>
      </c>
      <c r="B6369" s="24" t="s">
        <v>8278</v>
      </c>
      <c r="C6369" s="25">
        <v>11471184</v>
      </c>
      <c r="D6369" s="22" t="s">
        <v>8279</v>
      </c>
      <c r="E6369" s="22" t="s">
        <v>3442</v>
      </c>
      <c r="F6369" s="23" t="str">
        <f>HYPERLINK("https://www.spark-marketing.ru/Card/Lot/71372839", "1421-2019-00199 Оказание услуг по охране объектов предприятия")</f>
        <v>1421-2019-00199 Оказание услуг по охране объектов предприятия</v>
      </c>
      <c r="G6369" s="22" t="s">
        <v>64</v>
      </c>
      <c r="H6369" s="22" t="s">
        <v>65</v>
      </c>
      <c r="I6369" s="26">
        <v>43630.641145833302</v>
      </c>
      <c r="J6369" s="28" t="s">
        <v>52</v>
      </c>
      <c r="K6369" s="28" t="s">
        <v>52</v>
      </c>
      <c r="L6369" s="28" t="s">
        <v>52</v>
      </c>
      <c r="M6369" s="25">
        <v>11471184</v>
      </c>
      <c r="N6369" s="27">
        <v>0</v>
      </c>
    </row>
    <row r="6370" spans="1:14" x14ac:dyDescent="0.15">
      <c r="A6370" s="23" t="str">
        <f>HYPERLINK("https://www.spark-marketing.ru/Card/Person/2040026", "ФКУ ""СЗОУМТС МВД РОССИИ""")</f>
        <v>ФКУ "СЗОУМТС МВД РОССИИ"</v>
      </c>
      <c r="B6370" s="24" t="s">
        <v>2159</v>
      </c>
      <c r="C6370" s="25">
        <v>881448</v>
      </c>
      <c r="D6370" s="22" t="s">
        <v>8280</v>
      </c>
      <c r="E6370" s="22" t="s">
        <v>208</v>
      </c>
      <c r="F6370" s="23" t="str">
        <f>HYPERLINK("https://www.spark-marketing.ru/Card/Lot/71377341", "Система охранной сигнализации")</f>
        <v>Система охранной сигнализации</v>
      </c>
      <c r="G6370" s="22" t="s">
        <v>89</v>
      </c>
      <c r="H6370" s="22" t="s">
        <v>89</v>
      </c>
      <c r="I6370" s="26">
        <v>43630.663888888899</v>
      </c>
      <c r="J6370" s="23" t="str">
        <f>HYPERLINK("https://www.spark-marketing.ru/Card/Person/1366639", "ООО ""МОНТАЖНЫЙ ЦЕНТР""")</f>
        <v>ООО "МОНТАЖНЫЙ ЦЕНТР"</v>
      </c>
      <c r="K6370" s="24" t="s">
        <v>2161</v>
      </c>
      <c r="L6370" s="22" t="s">
        <v>10</v>
      </c>
      <c r="M6370" s="28" t="s">
        <v>52</v>
      </c>
      <c r="N6370" s="28" t="s">
        <v>52</v>
      </c>
    </row>
    <row r="6371" spans="1:14" x14ac:dyDescent="0.15">
      <c r="A6371" s="23" t="str">
        <f>HYPERLINK("https://www.spark-marketing.ru/Card/Person/1057423", "О МВД РОССИИ ПО КИНЕЛЬ-ЧЕРКАССКОМУ РАЙОНУ")</f>
        <v>О МВД РОССИИ ПО КИНЕЛЬ-ЧЕРКАССКОМУ РАЙОНУ</v>
      </c>
      <c r="B6371" s="24" t="s">
        <v>8276</v>
      </c>
      <c r="C6371" s="25">
        <v>50000</v>
      </c>
      <c r="D6371" s="22" t="s">
        <v>8281</v>
      </c>
      <c r="E6371" s="22" t="s">
        <v>53</v>
      </c>
      <c r="F6371" s="23" t="str">
        <f>HYPERLINK("https://www.spark-marketing.ru/Card/Lot/71369541", "техническое обслуживание охранно-тревожной сигнализации")</f>
        <v>техническое обслуживание охранно-тревожной сигнализации</v>
      </c>
      <c r="G6371" s="22" t="s">
        <v>760</v>
      </c>
      <c r="H6371" s="22" t="s">
        <v>760</v>
      </c>
      <c r="I6371" s="26">
        <v>43630.650937500002</v>
      </c>
      <c r="J6371" s="28" t="s">
        <v>52</v>
      </c>
      <c r="K6371" s="28" t="s">
        <v>52</v>
      </c>
      <c r="L6371" s="28" t="s">
        <v>52</v>
      </c>
      <c r="M6371" s="28" t="s">
        <v>52</v>
      </c>
      <c r="N6371" s="28" t="s">
        <v>52</v>
      </c>
    </row>
    <row r="6372" spans="1:14" x14ac:dyDescent="0.15">
      <c r="A6372" s="23" t="str">
        <f>HYPERLINK("https://www.spark-marketing.ru/Card/Person/1683079", "ООО ""ЧОП ""КЕННАРД""")</f>
        <v>ООО "ЧОП "КЕННАРД"</v>
      </c>
      <c r="B6372" s="24" t="s">
        <v>1949</v>
      </c>
      <c r="C6372" s="25">
        <v>1748</v>
      </c>
      <c r="D6372" s="22" t="s">
        <v>8282</v>
      </c>
      <c r="E6372" s="22" t="s">
        <v>53</v>
      </c>
      <c r="F6372" s="23" t="str">
        <f>HYPERLINK("https://www.spark-marketing.ru/Card/Lot/71384467", "Костюм охранника летний с вышивными шевронами (грудь «служба охраны», рукав «Кеннард», спина «Охрана»). Куртка с центральной застежкой на «молнию». Нагрудные накладные карманы с клапаном, застегивающиеся на кнопки. Боковые карманы прорезные в листочк...")</f>
        <v>Костюм охранника летний с вышивными шевронами (грудь «служба охраны», рукав «Кеннард», спина «Охрана»). Куртка с центральной застежкой на «молнию». Нагрудные накладные карманы с клапаном, застегивающиеся на кнопки. Боковые карманы прорезные в листочк...</v>
      </c>
      <c r="G6372" s="22" t="s">
        <v>204</v>
      </c>
      <c r="H6372" s="22" t="s">
        <v>303</v>
      </c>
      <c r="I6372" s="26">
        <v>43630.605706018498</v>
      </c>
      <c r="J6372" s="28" t="s">
        <v>52</v>
      </c>
      <c r="K6372" s="28" t="s">
        <v>52</v>
      </c>
      <c r="L6372" s="28" t="s">
        <v>52</v>
      </c>
      <c r="M6372" s="28" t="s">
        <v>52</v>
      </c>
      <c r="N6372" s="28" t="s">
        <v>52</v>
      </c>
    </row>
    <row r="6373" spans="1:14" x14ac:dyDescent="0.15">
      <c r="A6373" s="23" t="str">
        <f>HYPERLINK("https://www.spark-marketing.ru/Card/Person/121115", "МИНИСТЕРСТВО ПО ДЕЛАМ МОЛОДЕЖИ И СОЦИАЛЬНЫМ КОММУНИКАЦИЯМ РЕСПУБЛИКИ САХА (ЯКУТИЯ)")</f>
        <v>МИНИСТЕРСТВО ПО ДЕЛАМ МОЛОДЕЖИ И СОЦИАЛЬНЫМ КОММУНИКАЦИЯМ РЕСПУБЛИКИ САХА (ЯКУТИЯ)</v>
      </c>
      <c r="B6373" s="24" t="s">
        <v>8283</v>
      </c>
      <c r="C6373" s="25">
        <v>1130000</v>
      </c>
      <c r="D6373" s="22" t="s">
        <v>8284</v>
      </c>
      <c r="E6373" s="22" t="s">
        <v>59</v>
      </c>
      <c r="F6373" s="23" t="str">
        <f>HYPERLINK("https://www.spark-marketing.ru/Card/Lot/71356281", "Оказание услуг по монтажу и настройке приборов технических средств охраны на объектах ОВО Росгвардии")</f>
        <v>Оказание услуг по монтажу и настройке приборов технических средств охраны на объектах ОВО Росгвардии</v>
      </c>
      <c r="G6373" s="22" t="s">
        <v>424</v>
      </c>
      <c r="H6373" s="22" t="s">
        <v>1186</v>
      </c>
      <c r="I6373" s="26">
        <v>43630.620833333298</v>
      </c>
      <c r="J6373" s="28" t="s">
        <v>52</v>
      </c>
      <c r="K6373" s="28" t="s">
        <v>52</v>
      </c>
      <c r="L6373" s="28" t="s">
        <v>52</v>
      </c>
      <c r="M6373" s="28" t="s">
        <v>52</v>
      </c>
      <c r="N6373" s="28" t="s">
        <v>52</v>
      </c>
    </row>
    <row r="6374" spans="1:14" x14ac:dyDescent="0.15">
      <c r="A6374" s="23" t="str">
        <f>HYPERLINK("https://www.spark-marketing.ru/Card/Person/1683079", "ООО ""ЧОП ""КЕННАРД""")</f>
        <v>ООО "ЧОП "КЕННАРД"</v>
      </c>
      <c r="B6374" s="24" t="s">
        <v>1949</v>
      </c>
      <c r="C6374" s="25">
        <v>441</v>
      </c>
      <c r="D6374" s="22" t="s">
        <v>8282</v>
      </c>
      <c r="E6374" s="22" t="s">
        <v>53</v>
      </c>
      <c r="F6374" s="23" t="str">
        <f>HYPERLINK("https://www.spark-marketing.ru/Card/Lot/71384454", "Жилет с надписью «Охрана» ткань «Премьер-Standart-250», ВО, состав 35% ХЛ, 65% ПЭ Поверхностная плотность ткани, г/м2 - 250+/-10, Воздухопроницаемость, дм3/м2.с - не менее 15, Разрывная нагрузка ткани, Н, не менее: по основе 1300, по утку 900; Устойч...")</f>
        <v>Жилет с надписью «Охрана» ткань «Премьер-Standart-250», ВО, состав 35% ХЛ, 65% ПЭ Поверхностная плотность ткани, г/м2 - 250+/-10, Воздухопроницаемость, дм3/м2.с - не менее 15, Разрывная нагрузка ткани, Н, не менее: по основе 1300, по утку 900; Устойч...</v>
      </c>
      <c r="G6374" s="22" t="s">
        <v>204</v>
      </c>
      <c r="H6374" s="22" t="s">
        <v>303</v>
      </c>
      <c r="I6374" s="26">
        <v>43630.605706018498</v>
      </c>
      <c r="J6374" s="28" t="s">
        <v>52</v>
      </c>
      <c r="K6374" s="28" t="s">
        <v>52</v>
      </c>
      <c r="L6374" s="28" t="s">
        <v>52</v>
      </c>
      <c r="M6374" s="28" t="s">
        <v>52</v>
      </c>
      <c r="N6374" s="28" t="s">
        <v>52</v>
      </c>
    </row>
    <row r="6375" spans="1:14" x14ac:dyDescent="0.15">
      <c r="A6375" s="23" t="str">
        <f t="shared" ref="A6375:A6381" si="264">HYPERLINK("https://www.spark-marketing.ru/Card/Person/257343", "БУ ""НБ РК""")</f>
        <v>БУ "НБ РК"</v>
      </c>
      <c r="B6375" s="24" t="s">
        <v>8285</v>
      </c>
      <c r="C6375" s="25">
        <v>719834</v>
      </c>
      <c r="D6375" s="22" t="s">
        <v>8286</v>
      </c>
      <c r="E6375" s="22" t="s">
        <v>59</v>
      </c>
      <c r="F6375" s="23" t="str">
        <f t="shared" ref="F6375:F6381" si="265">HYPERLINK("https://www.spark-marketing.ru/Card/Lot/71377092", "Монтаж и установка дополнительной системы видеонаблюдения")</f>
        <v>Монтаж и установка дополнительной системы видеонаблюдения</v>
      </c>
      <c r="G6375" s="22" t="s">
        <v>435</v>
      </c>
      <c r="H6375" s="22" t="s">
        <v>436</v>
      </c>
      <c r="I6375" s="26">
        <v>43630.591666666704</v>
      </c>
      <c r="J6375" s="28" t="s">
        <v>52</v>
      </c>
      <c r="K6375" s="28" t="s">
        <v>52</v>
      </c>
      <c r="L6375" s="28" t="s">
        <v>52</v>
      </c>
      <c r="M6375" s="28" t="s">
        <v>52</v>
      </c>
      <c r="N6375" s="28" t="s">
        <v>52</v>
      </c>
    </row>
    <row r="6376" spans="1:14" hidden="1" outlineLevel="1" x14ac:dyDescent="0.2">
      <c r="A6376" s="23" t="str">
        <f t="shared" si="264"/>
        <v>БУ "НБ РК"</v>
      </c>
      <c r="B6376" s="24" t="s">
        <v>8285</v>
      </c>
      <c r="C6376" s="25">
        <v>719834</v>
      </c>
      <c r="D6376" s="22" t="s">
        <v>8286</v>
      </c>
      <c r="E6376" s="22" t="s">
        <v>59</v>
      </c>
      <c r="F6376" s="23" t="str">
        <f t="shared" si="265"/>
        <v>Монтаж и установка дополнительной системы видеонаблюдения</v>
      </c>
      <c r="G6376" s="22" t="s">
        <v>435</v>
      </c>
      <c r="H6376" s="22" t="s">
        <v>436</v>
      </c>
      <c r="I6376" s="26">
        <v>43630.591666666704</v>
      </c>
      <c r="J6376" s="23" t="str">
        <f>HYPERLINK("https://www.spark-marketing.ru/Card/Person/6218416", "ООО ""ЭЛТЕХ""")</f>
        <v>ООО "ЭЛТЕХ"</v>
      </c>
      <c r="K6376" s="24" t="s">
        <v>8287</v>
      </c>
      <c r="L6376" s="28" t="s">
        <v>52</v>
      </c>
      <c r="M6376" s="25">
        <v>712635.66</v>
      </c>
      <c r="N6376" s="27">
        <v>0.01</v>
      </c>
    </row>
    <row r="6377" spans="1:14" hidden="1" outlineLevel="1" x14ac:dyDescent="0.2">
      <c r="A6377" s="23" t="str">
        <f t="shared" si="264"/>
        <v>БУ "НБ РК"</v>
      </c>
      <c r="B6377" s="24" t="s">
        <v>8285</v>
      </c>
      <c r="C6377" s="25">
        <v>719834</v>
      </c>
      <c r="D6377" s="22" t="s">
        <v>8286</v>
      </c>
      <c r="E6377" s="22" t="s">
        <v>59</v>
      </c>
      <c r="F6377" s="23" t="str">
        <f t="shared" si="265"/>
        <v>Монтаж и установка дополнительной системы видеонаблюдения</v>
      </c>
      <c r="G6377" s="22" t="s">
        <v>435</v>
      </c>
      <c r="H6377" s="22" t="s">
        <v>436</v>
      </c>
      <c r="I6377" s="26">
        <v>43630.591666666704</v>
      </c>
      <c r="J6377" s="23" t="str">
        <f>HYPERLINK("https://www.spark-marketing.ru/Card/Person/282356", "ООО ""ЭИРКОМ""")</f>
        <v>ООО "ЭИРКОМ"</v>
      </c>
      <c r="K6377" s="24" t="s">
        <v>8288</v>
      </c>
      <c r="L6377" s="28" t="s">
        <v>52</v>
      </c>
      <c r="M6377" s="25">
        <v>530000</v>
      </c>
      <c r="N6377" s="27">
        <v>0.2637191352450704</v>
      </c>
    </row>
    <row r="6378" spans="1:14" hidden="1" outlineLevel="1" x14ac:dyDescent="0.2">
      <c r="A6378" s="23" t="str">
        <f t="shared" si="264"/>
        <v>БУ "НБ РК"</v>
      </c>
      <c r="B6378" s="24" t="s">
        <v>8285</v>
      </c>
      <c r="C6378" s="25">
        <v>719834</v>
      </c>
      <c r="D6378" s="22" t="s">
        <v>8286</v>
      </c>
      <c r="E6378" s="22" t="s">
        <v>59</v>
      </c>
      <c r="F6378" s="23" t="str">
        <f t="shared" si="265"/>
        <v>Монтаж и установка дополнительной системы видеонаблюдения</v>
      </c>
      <c r="G6378" s="22" t="s">
        <v>435</v>
      </c>
      <c r="H6378" s="22" t="s">
        <v>436</v>
      </c>
      <c r="I6378" s="26">
        <v>43630.591666666704</v>
      </c>
      <c r="J6378" s="23" t="str">
        <f>HYPERLINK("https://www.spark-marketing.ru/Card/Person/190378", "ООО ""СЕРВИС МАК""")</f>
        <v>ООО "СЕРВИС МАК"</v>
      </c>
      <c r="K6378" s="24" t="s">
        <v>7535</v>
      </c>
      <c r="L6378" s="28" t="s">
        <v>52</v>
      </c>
      <c r="M6378" s="25">
        <v>376273.03</v>
      </c>
      <c r="N6378" s="27">
        <v>0.47727805299555176</v>
      </c>
    </row>
    <row r="6379" spans="1:14" ht="12.75" hidden="1" outlineLevel="1" x14ac:dyDescent="0.2">
      <c r="A6379" s="23" t="str">
        <f t="shared" si="264"/>
        <v>БУ "НБ РК"</v>
      </c>
      <c r="B6379" s="24" t="s">
        <v>8285</v>
      </c>
      <c r="C6379" s="25">
        <v>719834</v>
      </c>
      <c r="D6379" s="22" t="s">
        <v>8286</v>
      </c>
      <c r="E6379" s="22" t="s">
        <v>59</v>
      </c>
      <c r="F6379" s="23" t="str">
        <f t="shared" si="265"/>
        <v>Монтаж и установка дополнительной системы видеонаблюдения</v>
      </c>
      <c r="G6379" s="22" t="s">
        <v>435</v>
      </c>
      <c r="H6379" s="22" t="s">
        <v>436</v>
      </c>
      <c r="I6379" s="26">
        <v>43630.591666666704</v>
      </c>
      <c r="J6379" s="23" t="str">
        <f>HYPERLINK("https://www.spark-marketing.ru/Card/Person/318506", "Макаревская Светлана Вадимовна")</f>
        <v>Макаревская Светлана Вадимовна</v>
      </c>
      <c r="K6379" s="24" t="s">
        <v>7536</v>
      </c>
      <c r="L6379" s="22" t="s">
        <v>10</v>
      </c>
      <c r="M6379" s="25">
        <v>401467.22</v>
      </c>
      <c r="N6379" s="27">
        <v>0.44227805299555173</v>
      </c>
    </row>
    <row r="6380" spans="1:14" hidden="1" outlineLevel="1" x14ac:dyDescent="0.2">
      <c r="A6380" s="23" t="str">
        <f t="shared" si="264"/>
        <v>БУ "НБ РК"</v>
      </c>
      <c r="B6380" s="24" t="s">
        <v>8285</v>
      </c>
      <c r="C6380" s="25">
        <v>719834</v>
      </c>
      <c r="D6380" s="22" t="s">
        <v>8286</v>
      </c>
      <c r="E6380" s="22" t="s">
        <v>59</v>
      </c>
      <c r="F6380" s="23" t="str">
        <f t="shared" si="265"/>
        <v>Монтаж и установка дополнительной системы видеонаблюдения</v>
      </c>
      <c r="G6380" s="22" t="s">
        <v>435</v>
      </c>
      <c r="H6380" s="22" t="s">
        <v>436</v>
      </c>
      <c r="I6380" s="26">
        <v>43630.591666666704</v>
      </c>
      <c r="J6380" s="23" t="str">
        <f>HYPERLINK("https://www.spark-marketing.ru/Card/Person/6616192", "ООО ""ТД ""БРИОНИ""")</f>
        <v>ООО "ТД "БРИОНИ"</v>
      </c>
      <c r="K6380" s="24" t="s">
        <v>8289</v>
      </c>
      <c r="L6380" s="28" t="s">
        <v>52</v>
      </c>
      <c r="M6380" s="25">
        <v>379872.2</v>
      </c>
      <c r="N6380" s="27">
        <v>0.47227805299555176</v>
      </c>
    </row>
    <row r="6381" spans="1:14" hidden="1" outlineLevel="1" x14ac:dyDescent="0.2">
      <c r="A6381" s="23" t="str">
        <f t="shared" si="264"/>
        <v>БУ "НБ РК"</v>
      </c>
      <c r="B6381" s="24" t="s">
        <v>8285</v>
      </c>
      <c r="C6381" s="25">
        <v>719834</v>
      </c>
      <c r="D6381" s="22" t="s">
        <v>8286</v>
      </c>
      <c r="E6381" s="22" t="s">
        <v>59</v>
      </c>
      <c r="F6381" s="23" t="str">
        <f t="shared" si="265"/>
        <v>Монтаж и установка дополнительной системы видеонаблюдения</v>
      </c>
      <c r="G6381" s="22" t="s">
        <v>435</v>
      </c>
      <c r="H6381" s="22" t="s">
        <v>436</v>
      </c>
      <c r="I6381" s="26">
        <v>43630.591666666704</v>
      </c>
      <c r="J6381" s="23" t="str">
        <f>HYPERLINK("https://www.spark-marketing.ru/Card/Person/6579979", "ООО ""ЭЛЕКТРОСНАБ""")</f>
        <v>ООО "ЭЛЕКТРОСНАБ"</v>
      </c>
      <c r="K6381" s="24" t="s">
        <v>8290</v>
      </c>
      <c r="L6381" s="28" t="s">
        <v>52</v>
      </c>
      <c r="M6381" s="25">
        <v>426661.41</v>
      </c>
      <c r="N6381" s="27">
        <v>0.40727805299555175</v>
      </c>
    </row>
    <row r="6382" spans="1:14" x14ac:dyDescent="0.15">
      <c r="A6382" s="23" t="str">
        <f>HYPERLINK("https://www.spark-marketing.ru/Card/Person/4387999", "ЛИЦЕЙ № 9")</f>
        <v>ЛИЦЕЙ № 9</v>
      </c>
      <c r="B6382" s="24" t="s">
        <v>5805</v>
      </c>
      <c r="C6382" s="25">
        <v>200000</v>
      </c>
      <c r="D6382" s="22" t="s">
        <v>8291</v>
      </c>
      <c r="E6382" s="22" t="s">
        <v>49</v>
      </c>
      <c r="F6382" s="23" t="str">
        <f>HYPERLINK("https://www.spark-marketing.ru/Card/Lot/71363947", "установка охранной сигнализации")</f>
        <v>установка охранной сигнализации</v>
      </c>
      <c r="G6382" s="22" t="s">
        <v>72</v>
      </c>
      <c r="H6382" s="22" t="s">
        <v>72</v>
      </c>
      <c r="I6382" s="26">
        <v>43630.622627314799</v>
      </c>
      <c r="J6382" s="28" t="s">
        <v>52</v>
      </c>
      <c r="K6382" s="28" t="s">
        <v>52</v>
      </c>
      <c r="L6382" s="28" t="s">
        <v>52</v>
      </c>
      <c r="M6382" s="28" t="s">
        <v>52</v>
      </c>
      <c r="N6382" s="28" t="s">
        <v>52</v>
      </c>
    </row>
    <row r="6383" spans="1:14" x14ac:dyDescent="0.15">
      <c r="A6383" s="23" t="str">
        <f>HYPERLINK("https://www.spark-marketing.ru/Card/Person/1683079", "ООО ""ЧОП ""КЕННАРД""")</f>
        <v>ООО "ЧОП "КЕННАРД"</v>
      </c>
      <c r="B6383" s="24" t="s">
        <v>1949</v>
      </c>
      <c r="C6383" s="25">
        <v>694</v>
      </c>
      <c r="D6383" s="22" t="s">
        <v>8282</v>
      </c>
      <c r="E6383" s="22" t="s">
        <v>53</v>
      </c>
      <c r="F6383" s="23" t="str">
        <f>HYPERLINK("https://www.spark-marketing.ru/Card/Lot/71384446", "Рубашка мужская с коротким рукавом вышивными шевронами цвет голубой, отделка черная. С центральной застежкой на пуговицах. Спинка с кокеткой. На полочках два нагрудных накладных кармана с клапаном из отделочной ткани на пуговицах. На правой полочке ш...")</f>
        <v>Рубашка мужская с коротким рукавом вышивными шевронами цвет голубой, отделка черная. С центральной застежкой на пуговицах. Спинка с кокеткой. На полочках два нагрудных накладных кармана с клапаном из отделочной ткани на пуговицах. На правой полочке ш...</v>
      </c>
      <c r="G6383" s="22" t="s">
        <v>204</v>
      </c>
      <c r="H6383" s="22" t="s">
        <v>303</v>
      </c>
      <c r="I6383" s="26">
        <v>43630.605706018498</v>
      </c>
      <c r="J6383" s="28" t="s">
        <v>52</v>
      </c>
      <c r="K6383" s="28" t="s">
        <v>52</v>
      </c>
      <c r="L6383" s="28" t="s">
        <v>52</v>
      </c>
      <c r="M6383" s="28" t="s">
        <v>52</v>
      </c>
      <c r="N6383" s="28" t="s">
        <v>52</v>
      </c>
    </row>
    <row r="6384" spans="1:14" x14ac:dyDescent="0.15">
      <c r="A6384" s="23" t="str">
        <f>HYPERLINK("https://www.spark-marketing.ru/Card/Person/9675", "ФКУ ""ЦХ И СО МВД ПО РСО-АЛАНИЯ""")</f>
        <v>ФКУ "ЦХ И СО МВД ПО РСО-АЛАНИЯ"</v>
      </c>
      <c r="B6384" s="24" t="s">
        <v>831</v>
      </c>
      <c r="C6384" s="25">
        <v>77455</v>
      </c>
      <c r="D6384" s="22" t="s">
        <v>8292</v>
      </c>
      <c r="E6384" s="22" t="s">
        <v>59</v>
      </c>
      <c r="F6384" s="23" t="str">
        <f>HYPERLINK("https://www.spark-marketing.ru/Card/Lot/71364343", "Установка охранной сигнализации, 1 шт")</f>
        <v>Установка охранной сигнализации, 1 шт</v>
      </c>
      <c r="G6384" s="22" t="s">
        <v>833</v>
      </c>
      <c r="H6384" s="22" t="s">
        <v>834</v>
      </c>
      <c r="I6384" s="26">
        <v>43630.585312499999</v>
      </c>
      <c r="J6384" s="28" t="s">
        <v>52</v>
      </c>
      <c r="K6384" s="28" t="s">
        <v>52</v>
      </c>
      <c r="L6384" s="28" t="s">
        <v>52</v>
      </c>
      <c r="M6384" s="28" t="s">
        <v>52</v>
      </c>
      <c r="N6384" s="28" t="s">
        <v>52</v>
      </c>
    </row>
    <row r="6385" spans="1:14" x14ac:dyDescent="0.15">
      <c r="A6385" s="23" t="str">
        <f>HYPERLINK("https://www.spark-marketing.ru/Card/Person/1683079", "ООО ""ЧОП ""КЕННАРД""")</f>
        <v>ООО "ЧОП "КЕННАРД"</v>
      </c>
      <c r="B6385" s="24" t="s">
        <v>1949</v>
      </c>
      <c r="C6385" s="25">
        <v>694</v>
      </c>
      <c r="D6385" s="22" t="s">
        <v>8282</v>
      </c>
      <c r="E6385" s="22" t="s">
        <v>53</v>
      </c>
      <c r="F6385" s="23" t="str">
        <f>HYPERLINK("https://www.spark-marketing.ru/Card/Lot/71384443", "Рубашка женская с коротким рукавом с вышивными шевронами, цвет голубой, отделка черная. С центральной застежкой на пуговицах. Спинка с двойной кокеткой. На полочках два нагрудных накладных кармана с клапаном, клапан из отделочной ткани на пуговицах. ...")</f>
        <v>Рубашка женская с коротким рукавом с вышивными шевронами, цвет голубой, отделка черная. С центральной застежкой на пуговицах. Спинка с двойной кокеткой. На полочках два нагрудных накладных кармана с клапаном, клапан из отделочной ткани на пуговицах. ...</v>
      </c>
      <c r="G6385" s="22" t="s">
        <v>204</v>
      </c>
      <c r="H6385" s="22" t="s">
        <v>303</v>
      </c>
      <c r="I6385" s="26">
        <v>43630.605706018498</v>
      </c>
      <c r="J6385" s="28" t="s">
        <v>52</v>
      </c>
      <c r="K6385" s="28" t="s">
        <v>52</v>
      </c>
      <c r="L6385" s="28" t="s">
        <v>52</v>
      </c>
      <c r="M6385" s="28" t="s">
        <v>52</v>
      </c>
      <c r="N6385" s="28" t="s">
        <v>52</v>
      </c>
    </row>
    <row r="6386" spans="1:14" x14ac:dyDescent="0.15">
      <c r="A6386" s="23" t="str">
        <f>HYPERLINK("https://www.spark-marketing.ru/Card/Person/1683079", "ООО ""ЧОП ""КЕННАРД""")</f>
        <v>ООО "ЧОП "КЕННАРД"</v>
      </c>
      <c r="B6386" s="24" t="s">
        <v>1949</v>
      </c>
      <c r="C6386" s="25">
        <v>729</v>
      </c>
      <c r="D6386" s="22" t="s">
        <v>8282</v>
      </c>
      <c r="E6386" s="22" t="s">
        <v>53</v>
      </c>
      <c r="F6386" s="23" t="str">
        <f>HYPERLINK("https://www.spark-marketing.ru/Card/Lot/71384440", "Рубашка мужская с коротким рукавом вышивными шевронами цвет «василек» «Жилдом» с центральной застежкой на пуговицах. Спинка с кокеткой. На полочках два нагрудных накладных кармана с клапаном на пуговицах. На правой полочке жаккардовый шеврон «служба ...")</f>
        <v>Рубашка мужская с коротким рукавом вышивными шевронами цвет «василек» «Жилдом» с центральной застежкой на пуговицах. Спинка с кокеткой. На полочках два нагрудных накладных кармана с клапаном на пуговицах. На правой полочке жаккардовый шеврон «служба ...</v>
      </c>
      <c r="G6386" s="22" t="s">
        <v>204</v>
      </c>
      <c r="H6386" s="22" t="s">
        <v>303</v>
      </c>
      <c r="I6386" s="26">
        <v>43630.605706018498</v>
      </c>
      <c r="J6386" s="28" t="s">
        <v>52</v>
      </c>
      <c r="K6386" s="28" t="s">
        <v>52</v>
      </c>
      <c r="L6386" s="28" t="s">
        <v>52</v>
      </c>
      <c r="M6386" s="28" t="s">
        <v>52</v>
      </c>
      <c r="N6386" s="28" t="s">
        <v>52</v>
      </c>
    </row>
    <row r="6387" spans="1:14" x14ac:dyDescent="0.15">
      <c r="A6387" s="23" t="str">
        <f>HYPERLINK("https://www.spark-marketing.ru/Card/Person/673621", "МУП ""ТРОЛЛЕЙБУСНОЕ УПРАВЛЕНИЕ""")</f>
        <v>МУП "ТРОЛЛЕЙБУСНОЕ УПРАВЛЕНИЕ"</v>
      </c>
      <c r="B6387" s="24" t="s">
        <v>8293</v>
      </c>
      <c r="C6387" s="25">
        <v>280000</v>
      </c>
      <c r="D6387" s="22" t="s">
        <v>8294</v>
      </c>
      <c r="E6387" s="22" t="s">
        <v>2577</v>
      </c>
      <c r="F6387" s="23" t="str">
        <f>HYPERLINK("https://www.spark-marketing.ru/Card/Lot/71358422", "Проведение работ по разработке планов обеспечения транспортной безопасности транспортных средств")</f>
        <v>Проведение работ по разработке планов обеспечения транспортной безопасности транспортных средств</v>
      </c>
      <c r="G6387" s="22" t="s">
        <v>1041</v>
      </c>
      <c r="H6387" s="22" t="s">
        <v>1041</v>
      </c>
      <c r="I6387" s="26">
        <v>43630.613703703697</v>
      </c>
      <c r="J6387" s="28" t="s">
        <v>52</v>
      </c>
      <c r="K6387" s="28" t="s">
        <v>52</v>
      </c>
      <c r="L6387" s="28" t="s">
        <v>52</v>
      </c>
      <c r="M6387" s="28" t="s">
        <v>52</v>
      </c>
      <c r="N6387" s="28" t="s">
        <v>52</v>
      </c>
    </row>
    <row r="6388" spans="1:14" x14ac:dyDescent="0.15">
      <c r="A6388" s="23" t="str">
        <f>HYPERLINK("https://www.spark-marketing.ru/Card/Person/9675", "ФКУ ""ЦХ И СО МВД ПО РСО-АЛАНИЯ""")</f>
        <v>ФКУ "ЦХ И СО МВД ПО РСО-АЛАНИЯ"</v>
      </c>
      <c r="B6388" s="24" t="s">
        <v>831</v>
      </c>
      <c r="C6388" s="25">
        <v>69878</v>
      </c>
      <c r="D6388" s="22" t="s">
        <v>8295</v>
      </c>
      <c r="E6388" s="22" t="s">
        <v>59</v>
      </c>
      <c r="F6388" s="23" t="str">
        <f>HYPERLINK("https://www.spark-marketing.ru/Card/Lot/71364353", "Установка охранной сигнализации, 1 шт")</f>
        <v>Установка охранной сигнализации, 1 шт</v>
      </c>
      <c r="G6388" s="22" t="s">
        <v>833</v>
      </c>
      <c r="H6388" s="22" t="s">
        <v>834</v>
      </c>
      <c r="I6388" s="26">
        <v>43630.5872453704</v>
      </c>
      <c r="J6388" s="28" t="s">
        <v>52</v>
      </c>
      <c r="K6388" s="28" t="s">
        <v>52</v>
      </c>
      <c r="L6388" s="28" t="s">
        <v>52</v>
      </c>
      <c r="M6388" s="28" t="s">
        <v>52</v>
      </c>
      <c r="N6388" s="28" t="s">
        <v>52</v>
      </c>
    </row>
    <row r="6389" spans="1:14" x14ac:dyDescent="0.15">
      <c r="A6389" s="23" t="str">
        <f>HYPERLINK("https://www.spark-marketing.ru/Card/Person/1683079", "ООО ""ЧОП ""КЕННАРД""")</f>
        <v>ООО "ЧОП "КЕННАРД"</v>
      </c>
      <c r="B6389" s="24" t="s">
        <v>1949</v>
      </c>
      <c r="C6389" s="25">
        <v>2095</v>
      </c>
      <c r="D6389" s="22" t="s">
        <v>8282</v>
      </c>
      <c r="E6389" s="22" t="s">
        <v>53</v>
      </c>
      <c r="F6389" s="23" t="str">
        <f>HYPERLINK("https://www.spark-marketing.ru/Card/Lot/71384466", "Костюм охранника летний с вышивными шевронами (грудь «служба охраны», рукав «Кеннард», спина «Охрана»). Куртка с центральной застежкой на «молнию». Нагрудные накладные карманы с клапаном, застегивающиеся на кнопки. Боковые карманы прорезные в листочк...")</f>
        <v>Костюм охранника летний с вышивными шевронами (грудь «служба охраны», рукав «Кеннард», спина «Охрана»). Куртка с центральной застежкой на «молнию». Нагрудные накладные карманы с клапаном, застегивающиеся на кнопки. Боковые карманы прорезные в листочк...</v>
      </c>
      <c r="G6389" s="22" t="s">
        <v>204</v>
      </c>
      <c r="H6389" s="22" t="s">
        <v>303</v>
      </c>
      <c r="I6389" s="26">
        <v>43630.605706018498</v>
      </c>
      <c r="J6389" s="28" t="s">
        <v>52</v>
      </c>
      <c r="K6389" s="28" t="s">
        <v>52</v>
      </c>
      <c r="L6389" s="28" t="s">
        <v>52</v>
      </c>
      <c r="M6389" s="28" t="s">
        <v>52</v>
      </c>
      <c r="N6389" s="28" t="s">
        <v>52</v>
      </c>
    </row>
    <row r="6390" spans="1:14" x14ac:dyDescent="0.15">
      <c r="A6390" s="23" t="str">
        <f>HYPERLINK("https://www.spark-marketing.ru/Card/Person/1079391", "КУ ""БЕЛОЯРСКИЙ ЛЕСХОЗ""")</f>
        <v>КУ "БЕЛОЯРСКИЙ ЛЕСХОЗ"</v>
      </c>
      <c r="B6390" s="24" t="s">
        <v>8296</v>
      </c>
      <c r="C6390" s="28" t="s">
        <v>52</v>
      </c>
      <c r="D6390" s="22" t="s">
        <v>8297</v>
      </c>
      <c r="E6390" s="22" t="s">
        <v>52</v>
      </c>
      <c r="F6390" s="23" t="str">
        <f>HYPERLINK("https://www.spark-marketing.ru/Card/Lot/71362781", "охрана объектов учреждения")</f>
        <v>охрана объектов учреждения</v>
      </c>
      <c r="G6390" s="22" t="s">
        <v>119</v>
      </c>
      <c r="H6390" s="22" t="s">
        <v>8298</v>
      </c>
      <c r="I6390" s="26">
        <v>43630.547916666699</v>
      </c>
      <c r="J6390" s="28" t="s">
        <v>52</v>
      </c>
      <c r="K6390" s="28" t="s">
        <v>52</v>
      </c>
      <c r="L6390" s="28" t="s">
        <v>52</v>
      </c>
      <c r="M6390" s="28" t="s">
        <v>52</v>
      </c>
      <c r="N6390" s="28" t="s">
        <v>52</v>
      </c>
    </row>
    <row r="6391" spans="1:14" x14ac:dyDescent="0.15">
      <c r="A6391" s="23" t="str">
        <f>HYPERLINK("https://www.spark-marketing.ru/Card/Person/1025332", "О МВД РОССИИ ПО Г. ОТРАДНОМУ")</f>
        <v>О МВД РОССИИ ПО Г. ОТРАДНОМУ</v>
      </c>
      <c r="B6391" s="24" t="s">
        <v>8299</v>
      </c>
      <c r="C6391" s="25">
        <v>35000</v>
      </c>
      <c r="D6391" s="22" t="s">
        <v>8300</v>
      </c>
      <c r="E6391" s="22" t="s">
        <v>53</v>
      </c>
      <c r="F6391" s="23" t="str">
        <f>HYPERLINK("https://www.spark-marketing.ru/Card/Lot/71363806", "Оказание услуг по техническому обслуживанию комплекса технических средств охраны на объектах")</f>
        <v>Оказание услуг по техническому обслуживанию комплекса технических средств охраны на объектах</v>
      </c>
      <c r="G6391" s="22" t="s">
        <v>760</v>
      </c>
      <c r="H6391" s="22" t="s">
        <v>3010</v>
      </c>
      <c r="I6391" s="26">
        <v>43630.558831018498</v>
      </c>
      <c r="J6391" s="28" t="s">
        <v>52</v>
      </c>
      <c r="K6391" s="28" t="s">
        <v>52</v>
      </c>
      <c r="L6391" s="28" t="s">
        <v>52</v>
      </c>
      <c r="M6391" s="28" t="s">
        <v>52</v>
      </c>
      <c r="N6391" s="28" t="s">
        <v>52</v>
      </c>
    </row>
    <row r="6392" spans="1:14" x14ac:dyDescent="0.15">
      <c r="A6392" s="23" t="str">
        <f>HYPERLINK("https://www.spark-marketing.ru/Card/Person/1025332", "О МВД РОССИИ ПО Г. ОТРАДНОМУ")</f>
        <v>О МВД РОССИИ ПО Г. ОТРАДНОМУ</v>
      </c>
      <c r="B6392" s="24" t="s">
        <v>8299</v>
      </c>
      <c r="C6392" s="25">
        <v>35000</v>
      </c>
      <c r="D6392" s="22" t="s">
        <v>8301</v>
      </c>
      <c r="E6392" s="22" t="s">
        <v>53</v>
      </c>
      <c r="F6392" s="23" t="str">
        <f>HYPERLINK("https://www.spark-marketing.ru/Card/Lot/71363803", "оказание услуг по техническому обслуживанию комплекса технических средств охраны на объектах")</f>
        <v>оказание услуг по техническому обслуживанию комплекса технических средств охраны на объектах</v>
      </c>
      <c r="G6392" s="22" t="s">
        <v>760</v>
      </c>
      <c r="H6392" s="22" t="s">
        <v>3010</v>
      </c>
      <c r="I6392" s="26">
        <v>43630.556539351899</v>
      </c>
      <c r="J6392" s="28" t="s">
        <v>52</v>
      </c>
      <c r="K6392" s="28" t="s">
        <v>52</v>
      </c>
      <c r="L6392" s="28" t="s">
        <v>52</v>
      </c>
      <c r="M6392" s="28" t="s">
        <v>52</v>
      </c>
      <c r="N6392" s="28" t="s">
        <v>52</v>
      </c>
    </row>
    <row r="6393" spans="1:14" x14ac:dyDescent="0.15">
      <c r="A6393" s="23" t="str">
        <f>HYPERLINK("https://www.spark-marketing.ru/Card/Person/16299", "БУ ВО ""СУРГУТСКИЙ ГОСУДАРСТВЕННЫЙ УНИВЕРСИТЕТ"", СУРГУТСКИЙ ГОСУДАРСТВЕННЫЙ УНИВЕРСИТЕТ, СУРГУ")</f>
        <v>БУ ВО "СУРГУТСКИЙ ГОСУДАРСТВЕННЫЙ УНИВЕРСИТЕТ", СУРГУТСКИЙ ГОСУДАРСТВЕННЫЙ УНИВЕРСИТЕТ, СУРГУ</v>
      </c>
      <c r="B6393" s="24" t="s">
        <v>8302</v>
      </c>
      <c r="C6393" s="28" t="s">
        <v>52</v>
      </c>
      <c r="D6393" s="22" t="s">
        <v>8303</v>
      </c>
      <c r="E6393" s="22" t="s">
        <v>52</v>
      </c>
      <c r="F6393" s="23" t="str">
        <f>HYPERLINK("https://www.spark-marketing.ru/Card/Lot/71361174", "Оказание охранных услуг")</f>
        <v>Оказание охранных услуг</v>
      </c>
      <c r="G6393" s="22" t="s">
        <v>119</v>
      </c>
      <c r="H6393" s="22" t="s">
        <v>463</v>
      </c>
      <c r="I6393" s="26">
        <v>43630.520138888904</v>
      </c>
      <c r="J6393" s="28" t="s">
        <v>52</v>
      </c>
      <c r="K6393" s="28" t="s">
        <v>52</v>
      </c>
      <c r="L6393" s="28" t="s">
        <v>52</v>
      </c>
      <c r="M6393" s="28" t="s">
        <v>52</v>
      </c>
      <c r="N6393" s="28" t="s">
        <v>52</v>
      </c>
    </row>
    <row r="6394" spans="1:14" x14ac:dyDescent="0.15">
      <c r="A6394" s="23" t="str">
        <f>HYPERLINK("https://www.spark-marketing.ru/Card/Person/531004", "ОТДЕЛ ГФС РОССИИ В Г.ТОМСКЕ")</f>
        <v>ОТДЕЛ ГФС РОССИИ В Г.ТОМСКЕ</v>
      </c>
      <c r="B6394" s="24" t="s">
        <v>3336</v>
      </c>
      <c r="C6394" s="25">
        <v>34800</v>
      </c>
      <c r="D6394" s="22" t="s">
        <v>8304</v>
      </c>
      <c r="E6394" s="22" t="s">
        <v>53</v>
      </c>
      <c r="F6394" s="23" t="str">
        <f>HYPERLINK("https://www.spark-marketing.ru/Card/Lot/71361651", "Охрана объекта,оборудованного кнопкой тревожной сигнализации")</f>
        <v>Охрана объекта,оборудованного кнопкой тревожной сигнализации</v>
      </c>
      <c r="G6394" s="22" t="s">
        <v>150</v>
      </c>
      <c r="H6394" s="22" t="s">
        <v>1656</v>
      </c>
      <c r="I6394" s="26">
        <v>43630.521805555603</v>
      </c>
      <c r="J6394" s="28" t="s">
        <v>52</v>
      </c>
      <c r="K6394" s="28" t="s">
        <v>52</v>
      </c>
      <c r="L6394" s="28" t="s">
        <v>52</v>
      </c>
      <c r="M6394" s="28" t="s">
        <v>52</v>
      </c>
      <c r="N6394" s="28" t="s">
        <v>52</v>
      </c>
    </row>
    <row r="6395" spans="1:14" x14ac:dyDescent="0.15">
      <c r="A6395" s="23" t="str">
        <f>HYPERLINK("https://www.spark-marketing.ru/Card/Person/531004", "ОТДЕЛ ГФС РОССИИ В Г.ТОМСКЕ")</f>
        <v>ОТДЕЛ ГФС РОССИИ В Г.ТОМСКЕ</v>
      </c>
      <c r="B6395" s="24" t="s">
        <v>3336</v>
      </c>
      <c r="C6395" s="25">
        <v>34800</v>
      </c>
      <c r="D6395" s="22" t="s">
        <v>8305</v>
      </c>
      <c r="E6395" s="22" t="s">
        <v>53</v>
      </c>
      <c r="F6395" s="23" t="str">
        <f>HYPERLINK("https://www.spark-marketing.ru/Card/Lot/71361658", "Охрана объекта,оборудованного кнопкой тревожной сигнализации")</f>
        <v>Охрана объекта,оборудованного кнопкой тревожной сигнализации</v>
      </c>
      <c r="G6395" s="22" t="s">
        <v>150</v>
      </c>
      <c r="H6395" s="22" t="s">
        <v>1656</v>
      </c>
      <c r="I6395" s="26">
        <v>43630.524363425902</v>
      </c>
      <c r="J6395" s="28" t="s">
        <v>52</v>
      </c>
      <c r="K6395" s="28" t="s">
        <v>52</v>
      </c>
      <c r="L6395" s="28" t="s">
        <v>52</v>
      </c>
      <c r="M6395" s="28" t="s">
        <v>52</v>
      </c>
      <c r="N6395" s="28" t="s">
        <v>52</v>
      </c>
    </row>
    <row r="6396" spans="1:14" x14ac:dyDescent="0.15">
      <c r="A6396" s="23" t="str">
        <f>HYPERLINK("https://www.spark-marketing.ru/Card/Person/4350423", "ГБУЗ РК ""КЕРЧЕНСКИЙ РД""")</f>
        <v>ГБУЗ РК "КЕРЧЕНСКИЙ РД"</v>
      </c>
      <c r="B6396" s="24" t="s">
        <v>8306</v>
      </c>
      <c r="C6396" s="25">
        <v>470988.67</v>
      </c>
      <c r="D6396" s="22" t="s">
        <v>8307</v>
      </c>
      <c r="E6396" s="22" t="s">
        <v>732</v>
      </c>
      <c r="F6396" s="23" t="str">
        <f>HYPERLINK("https://www.spark-marketing.ru/Card/Lot/71367534", "Поставка и установка монитора и видеокамеры эндоскопической")</f>
        <v>Поставка и установка монитора и видеокамеры эндоскопической</v>
      </c>
      <c r="G6396" s="22" t="s">
        <v>1053</v>
      </c>
      <c r="H6396" s="22" t="s">
        <v>5336</v>
      </c>
      <c r="I6396" s="26">
        <v>43630.511805555601</v>
      </c>
      <c r="J6396" s="28" t="s">
        <v>52</v>
      </c>
      <c r="K6396" s="28" t="s">
        <v>52</v>
      </c>
      <c r="L6396" s="28" t="s">
        <v>52</v>
      </c>
      <c r="M6396" s="28" t="s">
        <v>52</v>
      </c>
      <c r="N6396" s="28" t="s">
        <v>52</v>
      </c>
    </row>
    <row r="6397" spans="1:14" hidden="1" outlineLevel="1" x14ac:dyDescent="0.2">
      <c r="A6397" s="23" t="str">
        <f>HYPERLINK("https://www.spark-marketing.ru/Card/Person/4350423", "ГБУЗ РК ""КЕРЧЕНСКИЙ РД""")</f>
        <v>ГБУЗ РК "КЕРЧЕНСКИЙ РД"</v>
      </c>
      <c r="B6397" s="24" t="s">
        <v>8306</v>
      </c>
      <c r="C6397" s="25">
        <v>470988.67</v>
      </c>
      <c r="D6397" s="22" t="s">
        <v>8307</v>
      </c>
      <c r="E6397" s="22" t="s">
        <v>732</v>
      </c>
      <c r="F6397" s="23" t="str">
        <f>HYPERLINK("https://www.spark-marketing.ru/Card/Lot/71367534", "Поставка и установка монитора и видеокамеры эндоскопической")</f>
        <v>Поставка и установка монитора и видеокамеры эндоскопической</v>
      </c>
      <c r="G6397" s="22" t="s">
        <v>1053</v>
      </c>
      <c r="H6397" s="22" t="s">
        <v>5336</v>
      </c>
      <c r="I6397" s="26">
        <v>43630.511805555601</v>
      </c>
      <c r="J6397" s="23" t="str">
        <f>HYPERLINK("https://www.spark-marketing.ru/Card/Person/6068544", "ООО ""МЕДСТАТУС""")</f>
        <v>ООО "МЕДСТАТУС"</v>
      </c>
      <c r="K6397" s="24" t="s">
        <v>8308</v>
      </c>
      <c r="L6397" s="28" t="s">
        <v>52</v>
      </c>
      <c r="M6397" s="25">
        <v>195464.52</v>
      </c>
      <c r="N6397" s="27">
        <v>0.5849910359839442</v>
      </c>
    </row>
    <row r="6398" spans="1:14" ht="12.75" hidden="1" outlineLevel="1" x14ac:dyDescent="0.2">
      <c r="A6398" s="23" t="str">
        <f>HYPERLINK("https://www.spark-marketing.ru/Card/Person/4350423", "ГБУЗ РК ""КЕРЧЕНСКИЙ РД""")</f>
        <v>ГБУЗ РК "КЕРЧЕНСКИЙ РД"</v>
      </c>
      <c r="B6398" s="24" t="s">
        <v>8306</v>
      </c>
      <c r="C6398" s="25">
        <v>470988.67</v>
      </c>
      <c r="D6398" s="22" t="s">
        <v>8307</v>
      </c>
      <c r="E6398" s="22" t="s">
        <v>732</v>
      </c>
      <c r="F6398" s="23" t="str">
        <f>HYPERLINK("https://www.spark-marketing.ru/Card/Lot/71367534", "Поставка и установка монитора и видеокамеры эндоскопической")</f>
        <v>Поставка и установка монитора и видеокамеры эндоскопической</v>
      </c>
      <c r="G6398" s="22" t="s">
        <v>1053</v>
      </c>
      <c r="H6398" s="22" t="s">
        <v>5336</v>
      </c>
      <c r="I6398" s="26">
        <v>43630.511805555601</v>
      </c>
      <c r="J6398" s="23" t="str">
        <f>HYPERLINK("https://www.spark-marketing.ru/Card/Person/5887823", "Авдеев Юрий Анатольевич")</f>
        <v>Авдеев Юрий Анатольевич</v>
      </c>
      <c r="K6398" s="24" t="s">
        <v>8309</v>
      </c>
      <c r="L6398" s="22" t="s">
        <v>10</v>
      </c>
      <c r="M6398" s="25">
        <v>219013.52</v>
      </c>
      <c r="N6398" s="27">
        <v>0.53499195638825026</v>
      </c>
    </row>
    <row r="6399" spans="1:14" x14ac:dyDescent="0.15">
      <c r="A6399" s="23" t="str">
        <f>HYPERLINK("https://www.spark-marketing.ru/Card/Person/31862", "МКУ ""ЕДДС Г. МАЙКОПА""")</f>
        <v>МКУ "ЕДДС Г. МАЙКОПА"</v>
      </c>
      <c r="B6399" s="24" t="s">
        <v>8310</v>
      </c>
      <c r="C6399" s="25">
        <v>2149365</v>
      </c>
      <c r="D6399" s="22" t="s">
        <v>8311</v>
      </c>
      <c r="E6399" s="22" t="s">
        <v>1293</v>
      </c>
      <c r="F6399" s="23" t="str">
        <f>HYPERLINK("https://www.spark-marketing.ru/Card/Lot/71370158", "Поставка, установка и настройка серверного оборудования для системы хранения данных уличного видеонаблюдения АПК ""Безопасный город»")</f>
        <v>Поставка, установка и настройка серверного оборудования для системы хранения данных уличного видеонаблюдения АПК "Безопасный город»</v>
      </c>
      <c r="G6399" s="22" t="s">
        <v>1547</v>
      </c>
      <c r="H6399" s="22" t="s">
        <v>1983</v>
      </c>
      <c r="I6399" s="26">
        <v>43630.501388888901</v>
      </c>
      <c r="J6399" s="28" t="s">
        <v>52</v>
      </c>
      <c r="K6399" s="28" t="s">
        <v>52</v>
      </c>
      <c r="L6399" s="28" t="s">
        <v>52</v>
      </c>
      <c r="M6399" s="28" t="s">
        <v>52</v>
      </c>
      <c r="N6399" s="28" t="s">
        <v>52</v>
      </c>
    </row>
    <row r="6400" spans="1:14" hidden="1" outlineLevel="1" x14ac:dyDescent="0.2">
      <c r="A6400" s="23" t="str">
        <f>HYPERLINK("https://www.spark-marketing.ru/Card/Person/31862", "МКУ ""ЕДДС Г. МАЙКОПА""")</f>
        <v>МКУ "ЕДДС Г. МАЙКОПА"</v>
      </c>
      <c r="B6400" s="24" t="s">
        <v>8310</v>
      </c>
      <c r="C6400" s="25">
        <v>2149365</v>
      </c>
      <c r="D6400" s="22" t="s">
        <v>8311</v>
      </c>
      <c r="E6400" s="22" t="s">
        <v>1293</v>
      </c>
      <c r="F6400" s="23" t="str">
        <f>HYPERLINK("https://www.spark-marketing.ru/Card/Lot/71370158", "Поставка, установка и настройка серверного оборудования для системы хранения данных уличного видеонаблюдения АПК ""Безопасный город»")</f>
        <v>Поставка, установка и настройка серверного оборудования для системы хранения данных уличного видеонаблюдения АПК "Безопасный город»</v>
      </c>
      <c r="G6400" s="22" t="s">
        <v>1547</v>
      </c>
      <c r="H6400" s="22" t="s">
        <v>1983</v>
      </c>
      <c r="I6400" s="26">
        <v>43630.501388888901</v>
      </c>
      <c r="J6400" s="23" t="str">
        <f>HYPERLINK("https://www.spark-marketing.ru/Card/Person/6242561", "ООО ""МАРКАЗИТ""")</f>
        <v>ООО "МАРКАЗИТ"</v>
      </c>
      <c r="K6400" s="24" t="s">
        <v>8312</v>
      </c>
      <c r="L6400" s="28" t="s">
        <v>52</v>
      </c>
      <c r="M6400" s="25">
        <v>1475939.45</v>
      </c>
      <c r="N6400" s="27">
        <v>0.313313722890249</v>
      </c>
    </row>
    <row r="6401" spans="1:14" ht="12.75" hidden="1" outlineLevel="1" x14ac:dyDescent="0.2">
      <c r="A6401" s="23" t="str">
        <f>HYPERLINK("https://www.spark-marketing.ru/Card/Person/31862", "МКУ ""ЕДДС Г. МАЙКОПА""")</f>
        <v>МКУ "ЕДДС Г. МАЙКОПА"</v>
      </c>
      <c r="B6401" s="24" t="s">
        <v>8310</v>
      </c>
      <c r="C6401" s="25">
        <v>2149365</v>
      </c>
      <c r="D6401" s="22" t="s">
        <v>8311</v>
      </c>
      <c r="E6401" s="22" t="s">
        <v>1293</v>
      </c>
      <c r="F6401" s="23" t="str">
        <f>HYPERLINK("https://www.spark-marketing.ru/Card/Lot/71370158", "Поставка, установка и настройка серверного оборудования для системы хранения данных уличного видеонаблюдения АПК ""Безопасный город»")</f>
        <v>Поставка, установка и настройка серверного оборудования для системы хранения данных уличного видеонаблюдения АПК "Безопасный город»</v>
      </c>
      <c r="G6401" s="22" t="s">
        <v>1547</v>
      </c>
      <c r="H6401" s="22" t="s">
        <v>1983</v>
      </c>
      <c r="I6401" s="26">
        <v>43630.501388888901</v>
      </c>
      <c r="J6401" s="23" t="str">
        <f>HYPERLINK("https://www.spark-marketing.ru/Card/Person/506344", "ООО ""ВПС""")</f>
        <v>ООО "ВПС"</v>
      </c>
      <c r="K6401" s="24" t="s">
        <v>8313</v>
      </c>
      <c r="L6401" s="22" t="s">
        <v>10</v>
      </c>
      <c r="M6401" s="25">
        <v>1314737</v>
      </c>
      <c r="N6401" s="27">
        <v>0.38831375778427585</v>
      </c>
    </row>
    <row r="6402" spans="1:14" hidden="1" outlineLevel="1" x14ac:dyDescent="0.2">
      <c r="A6402" s="23" t="str">
        <f>HYPERLINK("https://www.spark-marketing.ru/Card/Person/31862", "МКУ ""ЕДДС Г. МАЙКОПА""")</f>
        <v>МКУ "ЕДДС Г. МАЙКОПА"</v>
      </c>
      <c r="B6402" s="24" t="s">
        <v>8310</v>
      </c>
      <c r="C6402" s="25">
        <v>2149365</v>
      </c>
      <c r="D6402" s="22" t="s">
        <v>8311</v>
      </c>
      <c r="E6402" s="22" t="s">
        <v>1293</v>
      </c>
      <c r="F6402" s="23" t="str">
        <f>HYPERLINK("https://www.spark-marketing.ru/Card/Lot/71370158", "Поставка, установка и настройка серверного оборудования для системы хранения данных уличного видеонаблюдения АПК ""Безопасный город»")</f>
        <v>Поставка, установка и настройка серверного оборудования для системы хранения данных уличного видеонаблюдения АПК "Безопасный город»</v>
      </c>
      <c r="G6402" s="22" t="s">
        <v>1547</v>
      </c>
      <c r="H6402" s="22" t="s">
        <v>1983</v>
      </c>
      <c r="I6402" s="26">
        <v>43630.501388888901</v>
      </c>
      <c r="J6402" s="23" t="str">
        <f>HYPERLINK("https://www.spark-marketing.ru/Card/Person/4256199", "ООО ""ИННОПРО""")</f>
        <v>ООО "ИННОПРО"</v>
      </c>
      <c r="K6402" s="24" t="s">
        <v>8314</v>
      </c>
      <c r="L6402" s="28" t="s">
        <v>52</v>
      </c>
      <c r="M6402" s="25">
        <v>1325340</v>
      </c>
      <c r="N6402" s="27">
        <v>0.38338067289641359</v>
      </c>
    </row>
    <row r="6403" spans="1:14" hidden="1" outlineLevel="1" x14ac:dyDescent="0.2">
      <c r="A6403" s="23" t="str">
        <f>HYPERLINK("https://www.spark-marketing.ru/Card/Person/31862", "МКУ ""ЕДДС Г. МАЙКОПА""")</f>
        <v>МКУ "ЕДДС Г. МАЙКОПА"</v>
      </c>
      <c r="B6403" s="24" t="s">
        <v>8310</v>
      </c>
      <c r="C6403" s="25">
        <v>2149365</v>
      </c>
      <c r="D6403" s="22" t="s">
        <v>8311</v>
      </c>
      <c r="E6403" s="22" t="s">
        <v>1293</v>
      </c>
      <c r="F6403" s="23" t="str">
        <f>HYPERLINK("https://www.spark-marketing.ru/Card/Lot/71370158", "Поставка, установка и настройка серверного оборудования для системы хранения данных уличного видеонаблюдения АПК ""Безопасный город»")</f>
        <v>Поставка, установка и настройка серверного оборудования для системы хранения данных уличного видеонаблюдения АПК "Безопасный город»</v>
      </c>
      <c r="G6403" s="22" t="s">
        <v>1547</v>
      </c>
      <c r="H6403" s="22" t="s">
        <v>1983</v>
      </c>
      <c r="I6403" s="26">
        <v>43630.501388888901</v>
      </c>
      <c r="J6403" s="23" t="str">
        <f>HYPERLINK("https://www.spark-marketing.ru/Card/Person/4422", "ООО ""СКАЙСОФТ ВИКТОРИ""")</f>
        <v>ООО "СКАЙСОФТ ВИКТОРИ"</v>
      </c>
      <c r="K6403" s="24" t="s">
        <v>3188</v>
      </c>
      <c r="L6403" s="28" t="s">
        <v>52</v>
      </c>
      <c r="M6403" s="25">
        <v>2050000</v>
      </c>
      <c r="N6403" s="27">
        <v>4.6229933026731153E-2</v>
      </c>
    </row>
    <row r="6404" spans="1:14" x14ac:dyDescent="0.15">
      <c r="A6404" s="23" t="str">
        <f>HYPERLINK("https://www.spark-marketing.ru/Card/Person/1006401", "МБДОУ ДЕТСКИЙ САД № 7 ""РОСИНКА""")</f>
        <v>МБДОУ ДЕТСКИЙ САД № 7 "РОСИНКА"</v>
      </c>
      <c r="B6404" s="24" t="s">
        <v>8315</v>
      </c>
      <c r="C6404" s="25">
        <v>74000</v>
      </c>
      <c r="D6404" s="22" t="s">
        <v>8316</v>
      </c>
      <c r="E6404" s="22" t="s">
        <v>84</v>
      </c>
      <c r="F6404" s="23" t="str">
        <f>HYPERLINK("https://www.spark-marketing.ru/Card/Lot/71362476", "Оказание услуг по согласованию паспортов и мест размещения камер видеонаблюдения, доустановке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f>
        <v>Оказание услуг по согласованию паспортов и мест размещения камер видеонаблюдения, доустановке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v>
      </c>
      <c r="G6404" s="22" t="s">
        <v>50</v>
      </c>
      <c r="H6404" s="22" t="s">
        <v>682</v>
      </c>
      <c r="I6404" s="26">
        <v>43630.513657407399</v>
      </c>
      <c r="J6404" s="28" t="s">
        <v>52</v>
      </c>
      <c r="K6404" s="28" t="s">
        <v>52</v>
      </c>
      <c r="L6404" s="28" t="s">
        <v>52</v>
      </c>
      <c r="M6404" s="28" t="s">
        <v>52</v>
      </c>
      <c r="N6404" s="28" t="s">
        <v>52</v>
      </c>
    </row>
    <row r="6405" spans="1:14" x14ac:dyDescent="0.15">
      <c r="A6405" s="23" t="str">
        <f>HYPERLINK("https://www.spark-marketing.ru/Card/Person/55577", "ГКУСО МО ""НАРО-ФОМИНСКИЙ РЦ ""СКАЗКА""")</f>
        <v>ГКУСО МО "НАРО-ФОМИНСКИЙ РЦ "СКАЗКА"</v>
      </c>
      <c r="B6405" s="24" t="s">
        <v>8317</v>
      </c>
      <c r="C6405" s="25">
        <v>28930.45</v>
      </c>
      <c r="D6405" s="22" t="s">
        <v>8318</v>
      </c>
      <c r="E6405" s="22" t="s">
        <v>107</v>
      </c>
      <c r="F6405" s="23" t="str">
        <f>HYPERLINK("https://www.spark-marketing.ru/Card/Lot/71360349", "Услуги по установке видеодомофона")</f>
        <v>Услуги по установке видеодомофона</v>
      </c>
      <c r="G6405" s="22" t="s">
        <v>50</v>
      </c>
      <c r="H6405" s="22" t="s">
        <v>2332</v>
      </c>
      <c r="I6405" s="26">
        <v>43630.492893518502</v>
      </c>
      <c r="J6405" s="28" t="s">
        <v>52</v>
      </c>
      <c r="K6405" s="28" t="s">
        <v>52</v>
      </c>
      <c r="L6405" s="28" t="s">
        <v>52</v>
      </c>
      <c r="M6405" s="28" t="s">
        <v>52</v>
      </c>
      <c r="N6405" s="28" t="s">
        <v>52</v>
      </c>
    </row>
    <row r="6406" spans="1:14" x14ac:dyDescent="0.15">
      <c r="A6406" s="23" t="str">
        <f>HYPERLINK("https://www.spark-marketing.ru/Card/Person/6616961", "С ПЛОЩАДКИ ОТС")</f>
        <v>С ПЛОЩАДКИ ОТС</v>
      </c>
      <c r="B6406" s="28" t="s">
        <v>52</v>
      </c>
      <c r="C6406" s="28" t="s">
        <v>52</v>
      </c>
      <c r="D6406" s="22" t="s">
        <v>8319</v>
      </c>
      <c r="E6406" s="22" t="s">
        <v>4725</v>
      </c>
      <c r="F6406" s="23" t="str">
        <f>HYPERLINK("https://www.spark-marketing.ru/Card/Lot/71364325", "Пост охраны 1,5м х 1,5м")</f>
        <v>Пост охраны 1,5м х 1,5м</v>
      </c>
      <c r="G6406" s="22" t="s">
        <v>52</v>
      </c>
      <c r="H6406" s="22" t="s">
        <v>52</v>
      </c>
      <c r="I6406" s="26">
        <v>43630.460254629601</v>
      </c>
      <c r="J6406" s="28" t="s">
        <v>52</v>
      </c>
      <c r="K6406" s="28" t="s">
        <v>52</v>
      </c>
      <c r="L6406" s="28" t="s">
        <v>52</v>
      </c>
      <c r="M6406" s="28" t="s">
        <v>52</v>
      </c>
      <c r="N6406" s="28" t="s">
        <v>52</v>
      </c>
    </row>
    <row r="6407" spans="1:14" x14ac:dyDescent="0.15">
      <c r="A6407" s="23" t="str">
        <f>HYPERLINK("https://www.spark-marketing.ru/Card/Person/1044674", "ГБСУ РО ""ПОБЕДИНСКИЙ ПСИХОНЕВРОЛОГИЧЕСКИЙ ИНТЕРНАТ""")</f>
        <v>ГБСУ РО "ПОБЕДИНСКИЙ ПСИХОНЕВРОЛОГИЧЕСКИЙ ИНТЕРНАТ"</v>
      </c>
      <c r="B6407" s="24" t="s">
        <v>8320</v>
      </c>
      <c r="C6407" s="25">
        <v>182545.26</v>
      </c>
      <c r="D6407" s="22" t="s">
        <v>8321</v>
      </c>
      <c r="E6407" s="22" t="s">
        <v>194</v>
      </c>
      <c r="F6407" s="23" t="str">
        <f>HYPERLINK("https://www.spark-marketing.ru/Card/Lot/71363706", "Поставка системы видеонаблюдения с последующей установкой и вводом в эксплуатацию")</f>
        <v>Поставка системы видеонаблюдения с последующей установкой и вводом в эксплуатацию</v>
      </c>
      <c r="G6407" s="22" t="s">
        <v>186</v>
      </c>
      <c r="H6407" s="22" t="s">
        <v>8322</v>
      </c>
      <c r="I6407" s="26">
        <v>43630.474305555603</v>
      </c>
      <c r="J6407" s="28" t="s">
        <v>52</v>
      </c>
      <c r="K6407" s="28" t="s">
        <v>52</v>
      </c>
      <c r="L6407" s="28" t="s">
        <v>52</v>
      </c>
      <c r="M6407" s="28" t="s">
        <v>52</v>
      </c>
      <c r="N6407" s="28" t="s">
        <v>52</v>
      </c>
    </row>
    <row r="6408" spans="1:14" hidden="1" outlineLevel="1" x14ac:dyDescent="0.2">
      <c r="A6408" s="23" t="str">
        <f>HYPERLINK("https://www.spark-marketing.ru/Card/Person/1044674", "ГБСУ РО ""ПОБЕДИНСКИЙ ПСИХОНЕВРОЛОГИЧЕСКИЙ ИНТЕРНАТ""")</f>
        <v>ГБСУ РО "ПОБЕДИНСКИЙ ПСИХОНЕВРОЛОГИЧЕСКИЙ ИНТЕРНАТ"</v>
      </c>
      <c r="B6408" s="24" t="s">
        <v>8320</v>
      </c>
      <c r="C6408" s="25">
        <v>182545.26</v>
      </c>
      <c r="D6408" s="22" t="s">
        <v>8321</v>
      </c>
      <c r="E6408" s="22" t="s">
        <v>194</v>
      </c>
      <c r="F6408" s="23" t="str">
        <f>HYPERLINK("https://www.spark-marketing.ru/Card/Lot/71363706", "Поставка системы видеонаблюдения с последующей установкой и вводом в эксплуатацию")</f>
        <v>Поставка системы видеонаблюдения с последующей установкой и вводом в эксплуатацию</v>
      </c>
      <c r="G6408" s="22" t="s">
        <v>186</v>
      </c>
      <c r="H6408" s="22" t="s">
        <v>8322</v>
      </c>
      <c r="I6408" s="26">
        <v>43630.474305555603</v>
      </c>
      <c r="J6408" s="23" t="str">
        <f>HYPERLINK("https://www.spark-marketing.ru/Card/Person/4855697", "Перебейносов Алексей Игоревич")</f>
        <v>Перебейносов Алексей Игоревич</v>
      </c>
      <c r="K6408" s="24" t="s">
        <v>2716</v>
      </c>
      <c r="L6408" s="28" t="s">
        <v>52</v>
      </c>
      <c r="M6408" s="25">
        <v>136374.17000000001</v>
      </c>
      <c r="N6408" s="27">
        <v>0.25292954744483642</v>
      </c>
    </row>
    <row r="6409" spans="1:14" ht="12.75" hidden="1" outlineLevel="1" x14ac:dyDescent="0.2">
      <c r="A6409" s="23" t="str">
        <f>HYPERLINK("https://www.spark-marketing.ru/Card/Person/1044674", "ГБСУ РО ""ПОБЕДИНСКИЙ ПСИХОНЕВРОЛОГИЧЕСКИЙ ИНТЕРНАТ""")</f>
        <v>ГБСУ РО "ПОБЕДИНСКИЙ ПСИХОНЕВРОЛОГИЧЕСКИЙ ИНТЕРНАТ"</v>
      </c>
      <c r="B6409" s="24" t="s">
        <v>8320</v>
      </c>
      <c r="C6409" s="25">
        <v>182545.26</v>
      </c>
      <c r="D6409" s="22" t="s">
        <v>8321</v>
      </c>
      <c r="E6409" s="22" t="s">
        <v>194</v>
      </c>
      <c r="F6409" s="23" t="str">
        <f>HYPERLINK("https://www.spark-marketing.ru/Card/Lot/71363706", "Поставка системы видеонаблюдения с последующей установкой и вводом в эксплуатацию")</f>
        <v>Поставка системы видеонаблюдения с последующей установкой и вводом в эксплуатацию</v>
      </c>
      <c r="G6409" s="22" t="s">
        <v>186</v>
      </c>
      <c r="H6409" s="22" t="s">
        <v>8322</v>
      </c>
      <c r="I6409" s="26">
        <v>43630.474305555603</v>
      </c>
      <c r="J6409" s="23" t="str">
        <f>HYPERLINK("https://www.spark-marketing.ru/Card/Person/121969", "РГО ООО ""ВДПО""")</f>
        <v>РГО ООО "ВДПО"</v>
      </c>
      <c r="K6409" s="24" t="s">
        <v>8323</v>
      </c>
      <c r="L6409" s="22" t="s">
        <v>10</v>
      </c>
      <c r="M6409" s="25">
        <v>135461.44</v>
      </c>
      <c r="N6409" s="27">
        <v>0.25792956771378234</v>
      </c>
    </row>
    <row r="6410" spans="1:14" x14ac:dyDescent="0.15">
      <c r="A6410" s="23" t="str">
        <f>HYPERLINK("https://www.spark-marketing.ru/Card/Person/4878256", "ГБУ НСО ""УПРАВЛЕНИЕ ВЕТЕРИНАРИИ КАРАСУКСКОГО РАЙОНА НСО""")</f>
        <v>ГБУ НСО "УПРАВЛЕНИЕ ВЕТЕРИНАРИИ КАРАСУКСКОГО РАЙОНА НСО"</v>
      </c>
      <c r="B6410" s="24" t="s">
        <v>8324</v>
      </c>
      <c r="C6410" s="25">
        <v>30720</v>
      </c>
      <c r="D6410" s="22" t="s">
        <v>8325</v>
      </c>
      <c r="E6410" s="22" t="s">
        <v>68</v>
      </c>
      <c r="F6410" s="23" t="str">
        <f>HYPERLINK("https://www.spark-marketing.ru/Card/Lot/71355318", "Оказание услуг путем слежения за состоянием средств охранной сигнализации, направлением на объект группы задержания")</f>
        <v>Оказание услуг путем слежения за состоянием средств охранной сигнализации, направлением на объект группы задержания</v>
      </c>
      <c r="G6410" s="22" t="s">
        <v>209</v>
      </c>
      <c r="H6410" s="22" t="s">
        <v>2703</v>
      </c>
      <c r="I6410" s="26">
        <v>43630.425000000003</v>
      </c>
      <c r="J6410" s="28" t="s">
        <v>52</v>
      </c>
      <c r="K6410" s="28" t="s">
        <v>52</v>
      </c>
      <c r="L6410" s="28" t="s">
        <v>52</v>
      </c>
      <c r="M6410" s="28" t="s">
        <v>52</v>
      </c>
      <c r="N6410" s="28" t="s">
        <v>52</v>
      </c>
    </row>
    <row r="6411" spans="1:14" x14ac:dyDescent="0.15">
      <c r="A6411" s="23" t="str">
        <f>HYPERLINK("https://www.spark-marketing.ru/Card/Person/92748", "ГБУЗ МО ""ТРБ""")</f>
        <v>ГБУЗ МО "ТРБ"</v>
      </c>
      <c r="B6411" s="24" t="s">
        <v>8326</v>
      </c>
      <c r="C6411" s="25">
        <v>71520</v>
      </c>
      <c r="D6411" s="22" t="s">
        <v>8327</v>
      </c>
      <c r="E6411" s="22" t="s">
        <v>107</v>
      </c>
      <c r="F6411" s="23" t="str">
        <f>HYPERLINK("https://www.spark-marketing.ru/Card/Lot/71354735", "Проведение работ по техническому обслуживанию приемно-передаточного устройства. (тревожная кнопка).")</f>
        <v>Проведение работ по техническому обслуживанию приемно-передаточного устройства. (тревожная кнопка).</v>
      </c>
      <c r="G6411" s="22" t="s">
        <v>50</v>
      </c>
      <c r="H6411" s="22" t="s">
        <v>1207</v>
      </c>
      <c r="I6411" s="26">
        <v>43630.419814814799</v>
      </c>
      <c r="J6411" s="28" t="s">
        <v>52</v>
      </c>
      <c r="K6411" s="28" t="s">
        <v>52</v>
      </c>
      <c r="L6411" s="28" t="s">
        <v>52</v>
      </c>
      <c r="M6411" s="28" t="s">
        <v>52</v>
      </c>
      <c r="N6411" s="28" t="s">
        <v>52</v>
      </c>
    </row>
    <row r="6412" spans="1:14" x14ac:dyDescent="0.15">
      <c r="A6412" s="23" t="str">
        <f>HYPERLINK("https://www.spark-marketing.ru/Card/Person/365274", "ОМВД РОССИИ ПО ОКУЛОВСКОМУ РАЙОНУ")</f>
        <v>ОМВД РОССИИ ПО ОКУЛОВСКОМУ РАЙОНУ</v>
      </c>
      <c r="B6412" s="24" t="s">
        <v>3836</v>
      </c>
      <c r="C6412" s="25">
        <v>26340</v>
      </c>
      <c r="D6412" s="22" t="s">
        <v>8328</v>
      </c>
      <c r="E6412" s="22" t="s">
        <v>107</v>
      </c>
      <c r="F6412" s="23" t="str">
        <f>HYPERLINK("https://www.spark-marketing.ru/Card/Lot/71356143", "Техническое обслуживание камер видеонаблюдения, 52 шт")</f>
        <v>Техническое обслуживание камер видеонаблюдения, 52 шт</v>
      </c>
      <c r="G6412" s="22" t="s">
        <v>959</v>
      </c>
      <c r="H6412" s="22" t="s">
        <v>3838</v>
      </c>
      <c r="I6412" s="26">
        <v>43630.4222800926</v>
      </c>
      <c r="J6412" s="28" t="s">
        <v>52</v>
      </c>
      <c r="K6412" s="28" t="s">
        <v>52</v>
      </c>
      <c r="L6412" s="28" t="s">
        <v>52</v>
      </c>
      <c r="M6412" s="28" t="s">
        <v>52</v>
      </c>
      <c r="N6412" s="28" t="s">
        <v>52</v>
      </c>
    </row>
    <row r="6413" spans="1:14" ht="12.75" x14ac:dyDescent="0.2">
      <c r="A6413" s="23" t="str">
        <f>HYPERLINK("https://www.spark-marketing.ru/Card/Person/31860", """ПРИМОРСКЛЕСХОЗ""")</f>
        <v>"ПРИМОРСКЛЕСХОЗ"</v>
      </c>
      <c r="B6413" s="24" t="s">
        <v>8329</v>
      </c>
      <c r="C6413" s="25">
        <v>356000</v>
      </c>
      <c r="D6413" s="22" t="s">
        <v>8330</v>
      </c>
      <c r="E6413" s="22" t="s">
        <v>52</v>
      </c>
      <c r="F6413" s="23" t="str">
        <f>HYPERLINK("https://www.spark-marketing.ru/Card/Lot/71347877", "Оказание сторожевых услуг для нужд департамента лесного хозяйства Приморского края")</f>
        <v>Оказание сторожевых услуг для нужд департамента лесного хозяйства Приморского края</v>
      </c>
      <c r="G6413" s="22" t="s">
        <v>409</v>
      </c>
      <c r="H6413" s="22" t="s">
        <v>409</v>
      </c>
      <c r="I6413" s="26">
        <v>43630.453472222202</v>
      </c>
      <c r="J6413" s="23" t="str">
        <f>HYPERLINK("https://www.spark-marketing.ru/Card/Person/135583", "ООО ОП ""СИМУРГ""")</f>
        <v>ООО ОП "СИМУРГ"</v>
      </c>
      <c r="K6413" s="24" t="s">
        <v>8331</v>
      </c>
      <c r="L6413" s="22" t="s">
        <v>10</v>
      </c>
      <c r="M6413" s="25">
        <v>339000</v>
      </c>
      <c r="N6413" s="27">
        <v>4.7752808988764044E-2</v>
      </c>
    </row>
    <row r="6414" spans="1:14" x14ac:dyDescent="0.15">
      <c r="A6414" s="23" t="str">
        <f>HYPERLINK("https://www.spark-marketing.ru/Card/Person/4348485", "ООО ""ТНГ-ГРУПП""")</f>
        <v>ООО "ТНГ-ГРУПП"</v>
      </c>
      <c r="B6414" s="24" t="s">
        <v>8332</v>
      </c>
      <c r="C6414" s="25">
        <v>0</v>
      </c>
      <c r="D6414" s="22" t="s">
        <v>8333</v>
      </c>
      <c r="E6414" s="22" t="s">
        <v>8334</v>
      </c>
      <c r="F6414" s="23" t="str">
        <f>HYPERLINK("https://www.spark-marketing.ru/Card/Lot/71362915", "Система видеонаблюдения")</f>
        <v>Система видеонаблюдения</v>
      </c>
      <c r="G6414" s="22" t="s">
        <v>384</v>
      </c>
      <c r="H6414" s="22" t="s">
        <v>8335</v>
      </c>
      <c r="I6414" s="26">
        <v>43630.406550925902</v>
      </c>
      <c r="J6414" s="28" t="s">
        <v>52</v>
      </c>
      <c r="K6414" s="28" t="s">
        <v>52</v>
      </c>
      <c r="L6414" s="28" t="s">
        <v>52</v>
      </c>
      <c r="M6414" s="28" t="s">
        <v>52</v>
      </c>
      <c r="N6414" s="28" t="s">
        <v>52</v>
      </c>
    </row>
    <row r="6415" spans="1:14" x14ac:dyDescent="0.15">
      <c r="A6415" s="23" t="str">
        <f>HYPERLINK("https://www.spark-marketing.ru/Card/Person/32102", "ГБДОУ ДЕТСКИЙ САД № 100 МОСКОВСКОГО РАЙОНА САНКТ-ПЕТЕРБУРГА")</f>
        <v>ГБДОУ ДЕТСКИЙ САД № 100 МОСКОВСКОГО РАЙОНА САНКТ-ПЕТЕРБУРГА</v>
      </c>
      <c r="B6415" s="24" t="s">
        <v>8336</v>
      </c>
      <c r="C6415" s="25">
        <v>500822.69</v>
      </c>
      <c r="D6415" s="22" t="s">
        <v>8337</v>
      </c>
      <c r="E6415" s="22" t="s">
        <v>59</v>
      </c>
      <c r="F6415" s="23" t="str">
        <f>HYPERLINK("https://www.spark-marketing.ru/Card/Lot/71358534", "Выполнение работ по установке системы контроля и управления доступом (видеодомофон) для ГБДОУ детский сад №100 Московского района Санкт-Петербурга в 2019 году")</f>
        <v>Выполнение работ по установке системы контроля и управления доступом (видеодомофон) для ГБДОУ детский сад №100 Московского района Санкт-Петербурга в 2019 году</v>
      </c>
      <c r="G6415" s="22" t="s">
        <v>89</v>
      </c>
      <c r="H6415" s="22" t="s">
        <v>89</v>
      </c>
      <c r="I6415" s="26">
        <v>43630.391666666699</v>
      </c>
      <c r="J6415" s="23" t="str">
        <f>HYPERLINK("https://www.spark-marketing.ru/Card/Person/4867026", "ООО ""НЕОН""")</f>
        <v>ООО "НЕОН"</v>
      </c>
      <c r="K6415" s="24" t="s">
        <v>2804</v>
      </c>
      <c r="L6415" s="28" t="s">
        <v>52</v>
      </c>
      <c r="M6415" s="28" t="s">
        <v>52</v>
      </c>
      <c r="N6415" s="28" t="s">
        <v>52</v>
      </c>
    </row>
    <row r="6416" spans="1:14" ht="12.75" hidden="1" outlineLevel="1" x14ac:dyDescent="0.2">
      <c r="A6416" s="23" t="str">
        <f>HYPERLINK("https://www.spark-marketing.ru/Card/Person/32102", "ГБДОУ ДЕТСКИЙ САД № 100 МОСКОВСКОГО РАЙОНА САНКТ-ПЕТЕРБУРГА")</f>
        <v>ГБДОУ ДЕТСКИЙ САД № 100 МОСКОВСКОГО РАЙОНА САНКТ-ПЕТЕРБУРГА</v>
      </c>
      <c r="B6416" s="24" t="s">
        <v>8336</v>
      </c>
      <c r="C6416" s="25">
        <v>500822.69</v>
      </c>
      <c r="D6416" s="22" t="s">
        <v>8337</v>
      </c>
      <c r="E6416" s="22" t="s">
        <v>59</v>
      </c>
      <c r="F6416" s="23" t="str">
        <f>HYPERLINK("https://www.spark-marketing.ru/Card/Lot/71358534", "Выполнение работ по установке системы контроля и управления доступом (видеодомофон) для ГБДОУ детский сад №100 Московского района Санкт-Петербурга в 2019 году")</f>
        <v>Выполнение работ по установке системы контроля и управления доступом (видеодомофон) для ГБДОУ детский сад №100 Московского района Санкт-Петербурга в 2019 году</v>
      </c>
      <c r="G6416" s="22" t="s">
        <v>89</v>
      </c>
      <c r="H6416" s="22" t="s">
        <v>89</v>
      </c>
      <c r="I6416" s="26">
        <v>43630.391666666699</v>
      </c>
      <c r="J6416" s="23" t="str">
        <f>HYPERLINK("https://www.spark-marketing.ru/Card/Person/4867026", "ООО ""НЕОН""")</f>
        <v>ООО "НЕОН"</v>
      </c>
      <c r="K6416" s="24" t="s">
        <v>2804</v>
      </c>
      <c r="L6416" s="22" t="s">
        <v>10</v>
      </c>
      <c r="M6416" s="25">
        <v>498318.58</v>
      </c>
      <c r="N6416" s="27">
        <v>4.9999931113344723E-3</v>
      </c>
    </row>
    <row r="6417" spans="1:14" x14ac:dyDescent="0.15">
      <c r="A6417" s="23" t="str">
        <f>HYPERLINK("https://www.spark-marketing.ru/Card/Person/4434631", "МДОУ ""ЦРР - Д/С № 147"" Г. МАГНИТОГОРСКА")</f>
        <v>МДОУ "ЦРР - Д/С № 147" Г. МАГНИТОГОРСКА</v>
      </c>
      <c r="B6417" s="24" t="s">
        <v>8338</v>
      </c>
      <c r="C6417" s="28" t="s">
        <v>52</v>
      </c>
      <c r="D6417" s="22" t="s">
        <v>8339</v>
      </c>
      <c r="E6417" s="22" t="s">
        <v>68</v>
      </c>
      <c r="F6417" s="23" t="str">
        <f>HYPERLINK("https://www.spark-marketing.ru/Card/Lot/71353162", "оказание услуг по охране объектов Заказчика с помощью технических средств охраны")</f>
        <v>оказание услуг по охране объектов Заказчика с помощью технических средств охраны</v>
      </c>
      <c r="G6417" s="22" t="s">
        <v>60</v>
      </c>
      <c r="H6417" s="22" t="s">
        <v>221</v>
      </c>
      <c r="I6417" s="26">
        <v>43630.353472222203</v>
      </c>
      <c r="J6417" s="28" t="s">
        <v>52</v>
      </c>
      <c r="K6417" s="28" t="s">
        <v>52</v>
      </c>
      <c r="L6417" s="28" t="s">
        <v>52</v>
      </c>
      <c r="M6417" s="28" t="s">
        <v>52</v>
      </c>
      <c r="N6417" s="28" t="s">
        <v>52</v>
      </c>
    </row>
    <row r="6418" spans="1:14" x14ac:dyDescent="0.15">
      <c r="A6418" s="23" t="str">
        <f>HYPERLINK("https://www.spark-marketing.ru/Card/Person/1759689", "МАОУ ЕМБАЕВСКАЯ СОШ ИМ. АШИРБЕКОВА")</f>
        <v>МАОУ ЕМБАЕВСКАЯ СОШ ИМ. АШИРБЕКОВА</v>
      </c>
      <c r="B6418" s="24" t="s">
        <v>7384</v>
      </c>
      <c r="C6418" s="25">
        <v>1154784</v>
      </c>
      <c r="D6418" s="22" t="s">
        <v>8340</v>
      </c>
      <c r="E6418" s="22" t="s">
        <v>363</v>
      </c>
      <c r="F6418" s="23" t="str">
        <f>HYPERLINK("https://www.spark-marketing.ru/Card/Lot/71351574", "Оказание охранных услуг")</f>
        <v>Оказание охранных услуг</v>
      </c>
      <c r="G6418" s="22" t="s">
        <v>893</v>
      </c>
      <c r="H6418" s="22" t="s">
        <v>893</v>
      </c>
      <c r="I6418" s="26">
        <v>43630.371759259302</v>
      </c>
      <c r="J6418" s="28" t="s">
        <v>52</v>
      </c>
      <c r="K6418" s="28" t="s">
        <v>52</v>
      </c>
      <c r="L6418" s="28" t="s">
        <v>52</v>
      </c>
      <c r="M6418" s="28" t="s">
        <v>52</v>
      </c>
      <c r="N6418" s="28" t="s">
        <v>52</v>
      </c>
    </row>
    <row r="6419" spans="1:14" x14ac:dyDescent="0.15">
      <c r="A6419" s="23" t="str">
        <f>HYPERLINK("https://www.spark-marketing.ru/Card/Person/1759666", "МАОУ БОГАНДИНСКАЯ СОШ № 2")</f>
        <v>МАОУ БОГАНДИНСКАЯ СОШ № 2</v>
      </c>
      <c r="B6419" s="24" t="s">
        <v>7682</v>
      </c>
      <c r="C6419" s="25">
        <v>831680</v>
      </c>
      <c r="D6419" s="22" t="s">
        <v>8341</v>
      </c>
      <c r="E6419" s="22" t="s">
        <v>363</v>
      </c>
      <c r="F6419" s="23" t="str">
        <f>HYPERLINK("https://www.spark-marketing.ru/Card/Lot/71351575", "Оказание охранных услуг")</f>
        <v>Оказание охранных услуг</v>
      </c>
      <c r="G6419" s="22" t="s">
        <v>893</v>
      </c>
      <c r="H6419" s="22" t="s">
        <v>893</v>
      </c>
      <c r="I6419" s="26">
        <v>43630.372627314799</v>
      </c>
      <c r="J6419" s="28" t="s">
        <v>52</v>
      </c>
      <c r="K6419" s="28" t="s">
        <v>52</v>
      </c>
      <c r="L6419" s="28" t="s">
        <v>52</v>
      </c>
      <c r="M6419" s="28" t="s">
        <v>52</v>
      </c>
      <c r="N6419" s="28" t="s">
        <v>52</v>
      </c>
    </row>
    <row r="6420" spans="1:14" x14ac:dyDescent="0.15">
      <c r="A6420" s="23" t="str">
        <f>HYPERLINK("https://www.spark-marketing.ru/Card/Person/87857", "МЕЖРАЙОННАЯ ИФНС РОССИИ № 20 ПО ЧЕЛЯБИНСКОЙ ОБЛАСТИ")</f>
        <v>МЕЖРАЙОННАЯ ИФНС РОССИИ № 20 ПО ЧЕЛЯБИНСКОЙ ОБЛАСТИ</v>
      </c>
      <c r="B6420" s="24" t="s">
        <v>8342</v>
      </c>
      <c r="C6420" s="25">
        <v>83690</v>
      </c>
      <c r="D6420" s="22" t="s">
        <v>8343</v>
      </c>
      <c r="E6420" s="22" t="s">
        <v>53</v>
      </c>
      <c r="F6420" s="23" t="str">
        <f>HYPERLINK("https://www.spark-marketing.ru/Card/Lot/71351503", "Монтаж, пусконаладочные работы и установка системы контроля управления доступом (видеодомофон)")</f>
        <v>Монтаж, пусконаладочные работы и установка системы контроля управления доступом (видеодомофон)</v>
      </c>
      <c r="G6420" s="22" t="s">
        <v>60</v>
      </c>
      <c r="H6420" s="22" t="s">
        <v>488</v>
      </c>
      <c r="I6420" s="26">
        <v>43630.293402777803</v>
      </c>
      <c r="J6420" s="28" t="s">
        <v>52</v>
      </c>
      <c r="K6420" s="28" t="s">
        <v>52</v>
      </c>
      <c r="L6420" s="28" t="s">
        <v>52</v>
      </c>
      <c r="M6420" s="28" t="s">
        <v>52</v>
      </c>
      <c r="N6420" s="28" t="s">
        <v>52</v>
      </c>
    </row>
    <row r="6421" spans="1:14" x14ac:dyDescent="0.15">
      <c r="A6421" s="23" t="str">
        <f>HYPERLINK("https://www.spark-marketing.ru/Card/Person/30759", "ПАО ""МТС""")</f>
        <v>ПАО "МТС"</v>
      </c>
      <c r="B6421" s="24" t="s">
        <v>1834</v>
      </c>
      <c r="C6421" s="28" t="s">
        <v>52</v>
      </c>
      <c r="D6421" s="28" t="s">
        <v>52</v>
      </c>
      <c r="E6421" s="22" t="s">
        <v>53</v>
      </c>
      <c r="F6421" s="23" t="str">
        <f>HYPERLINK("https://www.spark-marketing.ru/Card/Lot/71352576", "Уведомление о проведении открытого запроса предложений на выполнение работ по монтажу техническими средствами охраны на объекте БЦ Сенатор, расположенного по адресу: г. С-Петербург, ул. Чапаева, д.15 (Торги № 98191,1).")</f>
        <v>Уведомление о проведении открытого запроса предложений на выполнение работ по монтажу техническими средствами охраны на объекте БЦ Сенатор, расположенного по адресу: г. С-Петербург, ул. Чапаева, д.15 (Торги № 98191,1).</v>
      </c>
      <c r="G6421" s="22" t="s">
        <v>55</v>
      </c>
      <c r="H6421" s="22" t="s">
        <v>55</v>
      </c>
      <c r="I6421" s="26">
        <v>43630</v>
      </c>
      <c r="J6421" s="28" t="s">
        <v>52</v>
      </c>
      <c r="K6421" s="28" t="s">
        <v>52</v>
      </c>
      <c r="L6421" s="28" t="s">
        <v>52</v>
      </c>
      <c r="M6421" s="28" t="s">
        <v>52</v>
      </c>
      <c r="N6421" s="28" t="s">
        <v>52</v>
      </c>
    </row>
    <row r="6422" spans="1:14" x14ac:dyDescent="0.15">
      <c r="A6422" s="23" t="str">
        <f>HYPERLINK("https://www.spark-marketing.ru/Card/Person/4348518", "ПАО ""ЗИО-ПОДОЛЬСК""")</f>
        <v>ПАО "ЗИО-ПОДОЛЬСК"</v>
      </c>
      <c r="B6422" s="24" t="s">
        <v>8344</v>
      </c>
      <c r="C6422" s="25">
        <v>118800</v>
      </c>
      <c r="D6422" s="22" t="s">
        <v>8345</v>
      </c>
      <c r="E6422" s="22" t="s">
        <v>53</v>
      </c>
      <c r="F6422" s="23" t="str">
        <f>HYPERLINK("https://www.spark-marketing.ru/Card/Lot/71376746", "Право заключения договора на Выполнение работ по обслуживанию системы охранно-тревожной сигнализации СХВ ПП №8")</f>
        <v>Право заключения договора на Выполнение работ по обслуживанию системы охранно-тревожной сигнализации СХВ ПП №8</v>
      </c>
      <c r="G6422" s="22" t="s">
        <v>50</v>
      </c>
      <c r="H6422" s="22" t="s">
        <v>569</v>
      </c>
      <c r="I6422" s="26">
        <v>43630</v>
      </c>
      <c r="J6422" s="28" t="s">
        <v>52</v>
      </c>
      <c r="K6422" s="28" t="s">
        <v>52</v>
      </c>
      <c r="L6422" s="28" t="s">
        <v>52</v>
      </c>
      <c r="M6422" s="28" t="s">
        <v>52</v>
      </c>
      <c r="N6422" s="28" t="s">
        <v>52</v>
      </c>
    </row>
    <row r="6423" spans="1:14" x14ac:dyDescent="0.15">
      <c r="A6423" s="23" t="str">
        <f>HYPERLINK("https://www.spark-marketing.ru/Card/Person/4348518", "ПАО ""ЗИО-ПОДОЛЬСК""")</f>
        <v>ПАО "ЗИО-ПОДОЛЬСК"</v>
      </c>
      <c r="B6423" s="24" t="s">
        <v>8344</v>
      </c>
      <c r="C6423" s="25">
        <v>118800</v>
      </c>
      <c r="D6423" s="22" t="s">
        <v>8346</v>
      </c>
      <c r="E6423" s="22" t="s">
        <v>53</v>
      </c>
      <c r="F6423" s="23" t="str">
        <f>HYPERLINK("https://www.spark-marketing.ru/Card/Lot/71376744", "Право заключения договора на выполнение работ по обслуживанию системы охранно-тревожной сигнализации КХО ПП №9")</f>
        <v>Право заключения договора на выполнение работ по обслуживанию системы охранно-тревожной сигнализации КХО ПП №9</v>
      </c>
      <c r="G6423" s="22" t="s">
        <v>50</v>
      </c>
      <c r="H6423" s="22" t="s">
        <v>569</v>
      </c>
      <c r="I6423" s="26">
        <v>43630</v>
      </c>
      <c r="J6423" s="28" t="s">
        <v>52</v>
      </c>
      <c r="K6423" s="28" t="s">
        <v>52</v>
      </c>
      <c r="L6423" s="28" t="s">
        <v>52</v>
      </c>
      <c r="M6423" s="28" t="s">
        <v>52</v>
      </c>
      <c r="N6423" s="28" t="s">
        <v>52</v>
      </c>
    </row>
    <row r="6424" spans="1:14" x14ac:dyDescent="0.15">
      <c r="A6424" s="23" t="str">
        <f>HYPERLINK("https://www.spark-marketing.ru/Card/Person/1278673", "АО ""АТМ""")</f>
        <v>АО "АТМ"</v>
      </c>
      <c r="B6424" s="24" t="s">
        <v>8347</v>
      </c>
      <c r="C6424" s="25">
        <v>149073.62</v>
      </c>
      <c r="D6424" s="22" t="s">
        <v>8348</v>
      </c>
      <c r="E6424" s="22" t="s">
        <v>53</v>
      </c>
      <c r="F6424" s="23" t="str">
        <f>HYPERLINK("https://www.spark-marketing.ru/Card/Lot/71354368", "Право заключения договора на Оказание охранных услуг для Удомельского филиала АО ""АТМ"" г. Удомля")</f>
        <v>Право заключения договора на Оказание охранных услуг для Удомельского филиала АО "АТМ" г. Удомля</v>
      </c>
      <c r="G6424" s="22" t="s">
        <v>55</v>
      </c>
      <c r="H6424" s="22" t="s">
        <v>55</v>
      </c>
      <c r="I6424" s="26">
        <v>43630</v>
      </c>
      <c r="J6424" s="28" t="s">
        <v>52</v>
      </c>
      <c r="K6424" s="28" t="s">
        <v>52</v>
      </c>
      <c r="L6424" s="28" t="s">
        <v>52</v>
      </c>
      <c r="M6424" s="28" t="s">
        <v>52</v>
      </c>
      <c r="N6424" s="28" t="s">
        <v>52</v>
      </c>
    </row>
    <row r="6425" spans="1:14" x14ac:dyDescent="0.15">
      <c r="A6425" s="23" t="str">
        <f>HYPERLINK("https://www.spark-marketing.ru/Card/Person/1759735", "МАОУ БОГАНДИНСКАЯ СОШ №1")</f>
        <v>МАОУ БОГАНДИНСКАЯ СОШ №1</v>
      </c>
      <c r="B6425" s="24" t="s">
        <v>8349</v>
      </c>
      <c r="C6425" s="25">
        <v>1589760</v>
      </c>
      <c r="D6425" s="22" t="s">
        <v>8350</v>
      </c>
      <c r="E6425" s="22" t="s">
        <v>363</v>
      </c>
      <c r="F6425" s="23" t="str">
        <f>HYPERLINK("https://www.spark-marketing.ru/Card/Lot/71345256", "Оказание охранных услуг")</f>
        <v>Оказание охранных услуг</v>
      </c>
      <c r="G6425" s="22" t="s">
        <v>893</v>
      </c>
      <c r="H6425" s="22" t="s">
        <v>893</v>
      </c>
      <c r="I6425" s="26">
        <v>43629.973576388897</v>
      </c>
      <c r="J6425" s="28" t="s">
        <v>52</v>
      </c>
      <c r="K6425" s="28" t="s">
        <v>52</v>
      </c>
      <c r="L6425" s="28" t="s">
        <v>52</v>
      </c>
      <c r="M6425" s="28" t="s">
        <v>52</v>
      </c>
      <c r="N6425" s="28" t="s">
        <v>52</v>
      </c>
    </row>
    <row r="6426" spans="1:14" x14ac:dyDescent="0.15">
      <c r="A6426" s="23" t="str">
        <f>HYPERLINK("https://www.spark-marketing.ru/Card/Person/1759729", "МАОУ КАМЕНСКАЯ СОШ")</f>
        <v>МАОУ КАМЕНСКАЯ СОШ</v>
      </c>
      <c r="B6426" s="24" t="s">
        <v>7395</v>
      </c>
      <c r="C6426" s="25">
        <v>470000</v>
      </c>
      <c r="D6426" s="22" t="s">
        <v>8351</v>
      </c>
      <c r="E6426" s="22" t="s">
        <v>363</v>
      </c>
      <c r="F6426" s="23" t="str">
        <f>HYPERLINK("https://www.spark-marketing.ru/Card/Lot/71345260", "Оказание охранных услуг")</f>
        <v>Оказание охранных услуг</v>
      </c>
      <c r="G6426" s="22" t="s">
        <v>893</v>
      </c>
      <c r="H6426" s="22" t="s">
        <v>893</v>
      </c>
      <c r="I6426" s="26">
        <v>43629.976817129602</v>
      </c>
      <c r="J6426" s="28" t="s">
        <v>52</v>
      </c>
      <c r="K6426" s="28" t="s">
        <v>52</v>
      </c>
      <c r="L6426" s="28" t="s">
        <v>52</v>
      </c>
      <c r="M6426" s="28" t="s">
        <v>52</v>
      </c>
      <c r="N6426" s="28" t="s">
        <v>52</v>
      </c>
    </row>
    <row r="6427" spans="1:14" x14ac:dyDescent="0.2">
      <c r="A6427" s="23" t="str">
        <f>HYPERLINK("https://www.spark-marketing.ru/Card/Person/1759730", "МАОУ УСПЕНСКАЯ СОШ")</f>
        <v>МАОУ УСПЕНСКАЯ СОШ</v>
      </c>
      <c r="B6427" s="24" t="s">
        <v>8352</v>
      </c>
      <c r="C6427" s="25">
        <v>1560320</v>
      </c>
      <c r="D6427" s="22" t="s">
        <v>8353</v>
      </c>
      <c r="E6427" s="22" t="s">
        <v>363</v>
      </c>
      <c r="F6427" s="23" t="str">
        <f>HYPERLINK("https://www.spark-marketing.ru/Card/Lot/71345259", "Оказание охранных услуг")</f>
        <v>Оказание охранных услуг</v>
      </c>
      <c r="G6427" s="22" t="s">
        <v>893</v>
      </c>
      <c r="H6427" s="22" t="s">
        <v>893</v>
      </c>
      <c r="I6427" s="26">
        <v>43629.9758912037</v>
      </c>
      <c r="J6427" s="28" t="s">
        <v>52</v>
      </c>
      <c r="K6427" s="28" t="s">
        <v>52</v>
      </c>
      <c r="L6427" s="28" t="s">
        <v>52</v>
      </c>
      <c r="M6427" s="25">
        <v>1501440</v>
      </c>
      <c r="N6427" s="27">
        <v>3.7735849056603772E-2</v>
      </c>
    </row>
    <row r="6428" spans="1:14" x14ac:dyDescent="0.15">
      <c r="A6428" s="23" t="str">
        <f>HYPERLINK("https://www.spark-marketing.ru/Card/Person/1759630", "МАОУ БОГАНДИНСКАЯ СОШ № 42")</f>
        <v>МАОУ БОГАНДИНСКАЯ СОШ № 42</v>
      </c>
      <c r="B6428" s="24" t="s">
        <v>8354</v>
      </c>
      <c r="C6428" s="25">
        <v>1015680</v>
      </c>
      <c r="D6428" s="22" t="s">
        <v>8355</v>
      </c>
      <c r="E6428" s="22" t="s">
        <v>363</v>
      </c>
      <c r="F6428" s="23" t="str">
        <f>HYPERLINK("https://www.spark-marketing.ru/Card/Lot/71345261", "Оказание охранных услуг")</f>
        <v>Оказание охранных услуг</v>
      </c>
      <c r="G6428" s="22" t="s">
        <v>893</v>
      </c>
      <c r="H6428" s="22" t="s">
        <v>893</v>
      </c>
      <c r="I6428" s="26">
        <v>43629.979120370401</v>
      </c>
      <c r="J6428" s="28" t="s">
        <v>52</v>
      </c>
      <c r="K6428" s="28" t="s">
        <v>52</v>
      </c>
      <c r="L6428" s="28" t="s">
        <v>52</v>
      </c>
      <c r="M6428" s="28" t="s">
        <v>52</v>
      </c>
      <c r="N6428" s="28" t="s">
        <v>52</v>
      </c>
    </row>
    <row r="6429" spans="1:14" x14ac:dyDescent="0.15">
      <c r="A6429" s="23" t="str">
        <f>HYPERLINK("https://www.spark-marketing.ru/Card/Person/4526169", "ООО ""АГРОТОРГ""")</f>
        <v>ООО "АГРОТОРГ"</v>
      </c>
      <c r="B6429" s="24" t="s">
        <v>4488</v>
      </c>
      <c r="C6429" s="25">
        <v>0</v>
      </c>
      <c r="D6429" s="22" t="s">
        <v>8356</v>
      </c>
      <c r="E6429" s="22" t="s">
        <v>208</v>
      </c>
      <c r="F6429" s="23" t="str">
        <f>HYPERLINK("https://www.spark-marketing.ru/Card/Lot/71344358", "Выбор подрядной организации на оказание услуг по комплексной безопасности (охране) с помощью систем охранной и тревожной сигнализации, а также технического обслуживания систем охранной и тревожной сигнализации на объектах Федеральной Торговой Сети «П...")</f>
        <v>Выбор подрядной организации на оказание услуг по комплексной безопасности (охране) с помощью систем охранной и тревожной сигнализации, а также технического обслуживания систем охранной и тревожной сигнализации на объектах Федеральной Торговой Сети «П...</v>
      </c>
      <c r="G6429" s="22" t="s">
        <v>89</v>
      </c>
      <c r="H6429" s="22" t="s">
        <v>89</v>
      </c>
      <c r="I6429" s="26">
        <v>43629.714039351798</v>
      </c>
      <c r="J6429" s="28" t="s">
        <v>52</v>
      </c>
      <c r="K6429" s="28" t="s">
        <v>52</v>
      </c>
      <c r="L6429" s="28" t="s">
        <v>52</v>
      </c>
      <c r="M6429" s="28" t="s">
        <v>52</v>
      </c>
      <c r="N6429" s="28" t="s">
        <v>52</v>
      </c>
    </row>
    <row r="6430" spans="1:14" x14ac:dyDescent="0.15">
      <c r="A6430" s="23" t="str">
        <f t="shared" ref="A6430:A6435" si="266">HYPERLINK("https://www.spark-marketing.ru/Card/Person/90175", "ТЕАТРАЛЬНЫЙ ИНСТИТУТ ИМЕНИ БОРИСА ЩУКИНА")</f>
        <v>ТЕАТРАЛЬНЫЙ ИНСТИТУТ ИМЕНИ БОРИСА ЩУКИНА</v>
      </c>
      <c r="B6430" s="24" t="s">
        <v>8357</v>
      </c>
      <c r="C6430" s="25">
        <v>995071</v>
      </c>
      <c r="D6430" s="22" t="s">
        <v>8358</v>
      </c>
      <c r="E6430" s="22" t="s">
        <v>84</v>
      </c>
      <c r="F6430" s="23" t="str">
        <f t="shared" ref="F6430:F6435" si="267">HYPERLINK("https://www.spark-marketing.ru/Card/Lot/71341195", "Установка систем видеонаблюдения и коммутационного оборудования")</f>
        <v>Установка систем видеонаблюдения и коммутационного оборудования</v>
      </c>
      <c r="G6430" s="22" t="s">
        <v>55</v>
      </c>
      <c r="H6430" s="22" t="s">
        <v>55</v>
      </c>
      <c r="I6430" s="26">
        <v>43629.702777777798</v>
      </c>
      <c r="J6430" s="28" t="s">
        <v>52</v>
      </c>
      <c r="K6430" s="28" t="s">
        <v>52</v>
      </c>
      <c r="L6430" s="28" t="s">
        <v>52</v>
      </c>
      <c r="M6430" s="28" t="s">
        <v>52</v>
      </c>
      <c r="N6430" s="28" t="s">
        <v>52</v>
      </c>
    </row>
    <row r="6431" spans="1:14" hidden="1" outlineLevel="1" x14ac:dyDescent="0.2">
      <c r="A6431" s="23" t="str">
        <f t="shared" si="266"/>
        <v>ТЕАТРАЛЬНЫЙ ИНСТИТУТ ИМЕНИ БОРИСА ЩУКИНА</v>
      </c>
      <c r="B6431" s="24" t="s">
        <v>8357</v>
      </c>
      <c r="C6431" s="25">
        <v>995071</v>
      </c>
      <c r="D6431" s="22" t="s">
        <v>8358</v>
      </c>
      <c r="E6431" s="22" t="s">
        <v>84</v>
      </c>
      <c r="F6431" s="23" t="str">
        <f t="shared" si="267"/>
        <v>Установка систем видеонаблюдения и коммутационного оборудования</v>
      </c>
      <c r="G6431" s="22" t="s">
        <v>55</v>
      </c>
      <c r="H6431" s="22" t="s">
        <v>55</v>
      </c>
      <c r="I6431" s="26">
        <v>43629.702777777798</v>
      </c>
      <c r="J6431" s="23" t="str">
        <f>HYPERLINK("https://www.spark-marketing.ru/Card/Person/6179217", "Морозова Юлия Николаевна")</f>
        <v>Морозова Юлия Николаевна</v>
      </c>
      <c r="K6431" s="24" t="s">
        <v>1059</v>
      </c>
      <c r="L6431" s="28" t="s">
        <v>52</v>
      </c>
      <c r="M6431" s="25">
        <v>685123.2</v>
      </c>
      <c r="N6431" s="27">
        <v>0.31148310020089021</v>
      </c>
    </row>
    <row r="6432" spans="1:14" hidden="1" outlineLevel="1" x14ac:dyDescent="0.2">
      <c r="A6432" s="23" t="str">
        <f t="shared" si="266"/>
        <v>ТЕАТРАЛЬНЫЙ ИНСТИТУТ ИМЕНИ БОРИСА ЩУКИНА</v>
      </c>
      <c r="B6432" s="24" t="s">
        <v>8357</v>
      </c>
      <c r="C6432" s="25">
        <v>995071</v>
      </c>
      <c r="D6432" s="22" t="s">
        <v>8358</v>
      </c>
      <c r="E6432" s="22" t="s">
        <v>84</v>
      </c>
      <c r="F6432" s="23" t="str">
        <f t="shared" si="267"/>
        <v>Установка систем видеонаблюдения и коммутационного оборудования</v>
      </c>
      <c r="G6432" s="22" t="s">
        <v>55</v>
      </c>
      <c r="H6432" s="22" t="s">
        <v>55</v>
      </c>
      <c r="I6432" s="26">
        <v>43629.702777777798</v>
      </c>
      <c r="J6432" s="23" t="str">
        <f>HYPERLINK("https://www.spark-marketing.ru/Card/Person/131073", "ООО ""АЙТИ МОНТАЖ""")</f>
        <v>ООО "АЙТИ МОНТАЖ"</v>
      </c>
      <c r="K6432" s="24" t="s">
        <v>4757</v>
      </c>
      <c r="L6432" s="28" t="s">
        <v>52</v>
      </c>
      <c r="M6432" s="25">
        <v>785073.92</v>
      </c>
      <c r="N6432" s="27">
        <v>0.21103728276675734</v>
      </c>
    </row>
    <row r="6433" spans="1:14" hidden="1" outlineLevel="1" x14ac:dyDescent="0.2">
      <c r="A6433" s="23" t="str">
        <f t="shared" si="266"/>
        <v>ТЕАТРАЛЬНЫЙ ИНСТИТУТ ИМЕНИ БОРИСА ЩУКИНА</v>
      </c>
      <c r="B6433" s="24" t="s">
        <v>8357</v>
      </c>
      <c r="C6433" s="25">
        <v>995071</v>
      </c>
      <c r="D6433" s="22" t="s">
        <v>8358</v>
      </c>
      <c r="E6433" s="22" t="s">
        <v>84</v>
      </c>
      <c r="F6433" s="23" t="str">
        <f t="shared" si="267"/>
        <v>Установка систем видеонаблюдения и коммутационного оборудования</v>
      </c>
      <c r="G6433" s="22" t="s">
        <v>55</v>
      </c>
      <c r="H6433" s="22" t="s">
        <v>55</v>
      </c>
      <c r="I6433" s="26">
        <v>43629.702777777798</v>
      </c>
      <c r="J6433" s="23" t="str">
        <f>HYPERLINK("https://www.spark-marketing.ru/Card/Person/5897522", "ООО ""ЭЛЕКТРОЛАБОРАТОРИЯ""")</f>
        <v>ООО "ЭЛЕКТРОЛАБОРАТОРИЯ"</v>
      </c>
      <c r="K6433" s="24" t="s">
        <v>8359</v>
      </c>
      <c r="L6433" s="28" t="s">
        <v>52</v>
      </c>
      <c r="M6433" s="25">
        <v>545813.12</v>
      </c>
      <c r="N6433" s="27">
        <v>0.45148324089436837</v>
      </c>
    </row>
    <row r="6434" spans="1:14" hidden="1" outlineLevel="1" x14ac:dyDescent="0.2">
      <c r="A6434" s="23" t="str">
        <f t="shared" si="266"/>
        <v>ТЕАТРАЛЬНЫЙ ИНСТИТУТ ИМЕНИ БОРИСА ЩУКИНА</v>
      </c>
      <c r="B6434" s="24" t="s">
        <v>8357</v>
      </c>
      <c r="C6434" s="25">
        <v>995071</v>
      </c>
      <c r="D6434" s="22" t="s">
        <v>8358</v>
      </c>
      <c r="E6434" s="22" t="s">
        <v>84</v>
      </c>
      <c r="F6434" s="23" t="str">
        <f t="shared" si="267"/>
        <v>Установка систем видеонаблюдения и коммутационного оборудования</v>
      </c>
      <c r="G6434" s="22" t="s">
        <v>55</v>
      </c>
      <c r="H6434" s="22" t="s">
        <v>55</v>
      </c>
      <c r="I6434" s="26">
        <v>43629.702777777798</v>
      </c>
      <c r="J6434" s="23" t="str">
        <f>HYPERLINK("https://www.spark-marketing.ru/Card/Person/5969898", "ООО ""КТС""")</f>
        <v>ООО "КТС"</v>
      </c>
      <c r="K6434" s="24" t="s">
        <v>8360</v>
      </c>
      <c r="L6434" s="28" t="s">
        <v>52</v>
      </c>
      <c r="M6434" s="25">
        <v>501034.88</v>
      </c>
      <c r="N6434" s="27">
        <v>0.49648328611727205</v>
      </c>
    </row>
    <row r="6435" spans="1:14" ht="12.75" hidden="1" outlineLevel="1" x14ac:dyDescent="0.2">
      <c r="A6435" s="23" t="str">
        <f t="shared" si="266"/>
        <v>ТЕАТРАЛЬНЫЙ ИНСТИТУТ ИМЕНИ БОРИСА ЩУКИНА</v>
      </c>
      <c r="B6435" s="24" t="s">
        <v>8357</v>
      </c>
      <c r="C6435" s="25">
        <v>995071</v>
      </c>
      <c r="D6435" s="22" t="s">
        <v>8358</v>
      </c>
      <c r="E6435" s="22" t="s">
        <v>84</v>
      </c>
      <c r="F6435" s="23" t="str">
        <f t="shared" si="267"/>
        <v>Установка систем видеонаблюдения и коммутационного оборудования</v>
      </c>
      <c r="G6435" s="22" t="s">
        <v>55</v>
      </c>
      <c r="H6435" s="22" t="s">
        <v>55</v>
      </c>
      <c r="I6435" s="26">
        <v>43629.702777777798</v>
      </c>
      <c r="J6435" s="23" t="str">
        <f>HYPERLINK("https://www.spark-marketing.ru/Card/Person/6407297", "Бодрова Вера Юрьевна")</f>
        <v>Бодрова Вера Юрьевна</v>
      </c>
      <c r="K6435" s="24" t="s">
        <v>2694</v>
      </c>
      <c r="L6435" s="22" t="s">
        <v>10</v>
      </c>
      <c r="M6435" s="25">
        <v>496059.52</v>
      </c>
      <c r="N6435" s="27">
        <v>0.50148329114203916</v>
      </c>
    </row>
    <row r="6436" spans="1:14" x14ac:dyDescent="0.15">
      <c r="A6436" s="23" t="str">
        <f>HYPERLINK("https://www.spark-marketing.ru/Card/Person/93760", "ГКУ ПО ""УОДГО ПО""")</f>
        <v>ГКУ ПО "УОДГО ПО"</v>
      </c>
      <c r="B6436" s="24" t="s">
        <v>8361</v>
      </c>
      <c r="C6436" s="25">
        <v>2223191.02</v>
      </c>
      <c r="D6436" s="22" t="s">
        <v>8362</v>
      </c>
      <c r="E6436" s="22" t="s">
        <v>68</v>
      </c>
      <c r="F6436" s="23" t="str">
        <f>HYPERLINK("https://www.spark-marketing.ru/Card/Lot/71340830", "Оказание услуг по физической охране объекта (идентификационный номер: 562-А-ГЗ)")</f>
        <v>Оказание услуг по физической охране объекта (идентификационный номер: 562-А-ГЗ)</v>
      </c>
      <c r="G6436" s="22" t="s">
        <v>142</v>
      </c>
      <c r="H6436" s="22" t="s">
        <v>2320</v>
      </c>
      <c r="I6436" s="26">
        <v>43629.682638888902</v>
      </c>
      <c r="J6436" s="23" t="str">
        <f>HYPERLINK("https://www.spark-marketing.ru/Card/Person/368842", "ФГКУ ""ОВО ВНГ РОССИИ ПО ПСКОВСКОЙ ОБЛАСТИ""")</f>
        <v>ФГКУ "ОВО ВНГ РОССИИ ПО ПСКОВСКОЙ ОБЛАСТИ"</v>
      </c>
      <c r="K6436" s="24" t="s">
        <v>8363</v>
      </c>
      <c r="L6436" s="22" t="s">
        <v>10</v>
      </c>
      <c r="M6436" s="28" t="s">
        <v>52</v>
      </c>
      <c r="N6436" s="28" t="s">
        <v>52</v>
      </c>
    </row>
    <row r="6437" spans="1:14" x14ac:dyDescent="0.15">
      <c r="A6437" s="23" t="str">
        <f>HYPERLINK("https://www.spark-marketing.ru/Card/Person/144023", "МАОУ СОШ № 12")</f>
        <v>МАОУ СОШ № 12</v>
      </c>
      <c r="B6437" s="24" t="s">
        <v>8364</v>
      </c>
      <c r="C6437" s="25">
        <v>417087.6</v>
      </c>
      <c r="D6437" s="22" t="s">
        <v>8365</v>
      </c>
      <c r="E6437" s="22" t="s">
        <v>79</v>
      </c>
      <c r="F6437" s="23" t="str">
        <f>HYPERLINK("https://www.spark-marketing.ru/Card/Lot/71336917", "Установка системы контроля и управления доступом (СКУД) и системы видеонаблюдения")</f>
        <v>Установка системы контроля и управления доступом (СКУД) и системы видеонаблюдения</v>
      </c>
      <c r="G6437" s="22" t="s">
        <v>72</v>
      </c>
      <c r="H6437" s="22" t="s">
        <v>2918</v>
      </c>
      <c r="I6437" s="26">
        <v>43629.695138888899</v>
      </c>
      <c r="J6437" s="28" t="s">
        <v>52</v>
      </c>
      <c r="K6437" s="28" t="s">
        <v>52</v>
      </c>
      <c r="L6437" s="28" t="s">
        <v>52</v>
      </c>
      <c r="M6437" s="28" t="s">
        <v>52</v>
      </c>
      <c r="N6437" s="28" t="s">
        <v>52</v>
      </c>
    </row>
    <row r="6438" spans="1:14" hidden="1" outlineLevel="1" x14ac:dyDescent="0.2">
      <c r="A6438" s="23" t="str">
        <f>HYPERLINK("https://www.spark-marketing.ru/Card/Person/144023", "МАОУ СОШ № 12")</f>
        <v>МАОУ СОШ № 12</v>
      </c>
      <c r="B6438" s="24" t="s">
        <v>8364</v>
      </c>
      <c r="C6438" s="25">
        <v>417087.6</v>
      </c>
      <c r="D6438" s="22" t="s">
        <v>8365</v>
      </c>
      <c r="E6438" s="22" t="s">
        <v>79</v>
      </c>
      <c r="F6438" s="23" t="str">
        <f>HYPERLINK("https://www.spark-marketing.ru/Card/Lot/71336917", "Установка системы контроля и управления доступом (СКУД) и системы видеонаблюдения")</f>
        <v>Установка системы контроля и управления доступом (СКУД) и системы видеонаблюдения</v>
      </c>
      <c r="G6438" s="22" t="s">
        <v>72</v>
      </c>
      <c r="H6438" s="22" t="s">
        <v>2918</v>
      </c>
      <c r="I6438" s="26">
        <v>43629.695138888899</v>
      </c>
      <c r="J6438" s="23" t="str">
        <f>HYPERLINK("https://www.spark-marketing.ru/Card/Person/56913", "ООО ""ЕВРАЗИЯ""")</f>
        <v>ООО "ЕВРАЗИЯ"</v>
      </c>
      <c r="K6438" s="24" t="s">
        <v>8366</v>
      </c>
      <c r="L6438" s="28" t="s">
        <v>52</v>
      </c>
      <c r="M6438" s="25">
        <v>375376</v>
      </c>
      <c r="N6438" s="27">
        <v>0.10000680912115345</v>
      </c>
    </row>
    <row r="6439" spans="1:14" hidden="1" outlineLevel="1" x14ac:dyDescent="0.2">
      <c r="A6439" s="23" t="str">
        <f>HYPERLINK("https://www.spark-marketing.ru/Card/Person/144023", "МАОУ СОШ № 12")</f>
        <v>МАОУ СОШ № 12</v>
      </c>
      <c r="B6439" s="24" t="s">
        <v>8364</v>
      </c>
      <c r="C6439" s="25">
        <v>417087.6</v>
      </c>
      <c r="D6439" s="22" t="s">
        <v>8365</v>
      </c>
      <c r="E6439" s="22" t="s">
        <v>79</v>
      </c>
      <c r="F6439" s="23" t="str">
        <f>HYPERLINK("https://www.spark-marketing.ru/Card/Lot/71336917", "Установка системы контроля и управления доступом (СКУД) и системы видеонаблюдения")</f>
        <v>Установка системы контроля и управления доступом (СКУД) и системы видеонаблюдения</v>
      </c>
      <c r="G6439" s="22" t="s">
        <v>72</v>
      </c>
      <c r="H6439" s="22" t="s">
        <v>2918</v>
      </c>
      <c r="I6439" s="26">
        <v>43629.695138888899</v>
      </c>
      <c r="J6439" s="23" t="str">
        <f>HYPERLINK("https://www.spark-marketing.ru/Card/Person/802084", "ООО ""ГЕФЕСТ""")</f>
        <v>ООО "ГЕФЕСТ"</v>
      </c>
      <c r="K6439" s="24" t="s">
        <v>3414</v>
      </c>
      <c r="L6439" s="28" t="s">
        <v>52</v>
      </c>
      <c r="M6439" s="25">
        <v>395000</v>
      </c>
      <c r="N6439" s="27">
        <v>5.2956740981990352E-2</v>
      </c>
    </row>
    <row r="6440" spans="1:14" hidden="1" outlineLevel="1" x14ac:dyDescent="0.2">
      <c r="A6440" s="23" t="str">
        <f>HYPERLINK("https://www.spark-marketing.ru/Card/Person/144023", "МАОУ СОШ № 12")</f>
        <v>МАОУ СОШ № 12</v>
      </c>
      <c r="B6440" s="24" t="s">
        <v>8364</v>
      </c>
      <c r="C6440" s="25">
        <v>417087.6</v>
      </c>
      <c r="D6440" s="22" t="s">
        <v>8365</v>
      </c>
      <c r="E6440" s="22" t="s">
        <v>79</v>
      </c>
      <c r="F6440" s="23" t="str">
        <f>HYPERLINK("https://www.spark-marketing.ru/Card/Lot/71336917", "Установка системы контроля и управления доступом (СКУД) и системы видеонаблюдения")</f>
        <v>Установка системы контроля и управления доступом (СКУД) и системы видеонаблюдения</v>
      </c>
      <c r="G6440" s="22" t="s">
        <v>72</v>
      </c>
      <c r="H6440" s="22" t="s">
        <v>2918</v>
      </c>
      <c r="I6440" s="26">
        <v>43629.695138888899</v>
      </c>
      <c r="J6440" s="23" t="str">
        <f>HYPERLINK("https://www.spark-marketing.ru/Card/Person/5826577", "ООО ""САПСАН""")</f>
        <v>ООО "САПСАН"</v>
      </c>
      <c r="K6440" s="24" t="s">
        <v>8367</v>
      </c>
      <c r="L6440" s="28" t="s">
        <v>52</v>
      </c>
      <c r="M6440" s="25">
        <v>375376</v>
      </c>
      <c r="N6440" s="27">
        <v>0.10000680912115345</v>
      </c>
    </row>
    <row r="6441" spans="1:14" ht="12.75" hidden="1" outlineLevel="1" x14ac:dyDescent="0.2">
      <c r="A6441" s="23" t="str">
        <f>HYPERLINK("https://www.spark-marketing.ru/Card/Person/144023", "МАОУ СОШ № 12")</f>
        <v>МАОУ СОШ № 12</v>
      </c>
      <c r="B6441" s="24" t="s">
        <v>8364</v>
      </c>
      <c r="C6441" s="25">
        <v>417087.6</v>
      </c>
      <c r="D6441" s="22" t="s">
        <v>8365</v>
      </c>
      <c r="E6441" s="22" t="s">
        <v>79</v>
      </c>
      <c r="F6441" s="23" t="str">
        <f>HYPERLINK("https://www.spark-marketing.ru/Card/Lot/71336917", "Установка системы контроля и управления доступом (СКУД) и системы видеонаблюдения")</f>
        <v>Установка системы контроля и управления доступом (СКУД) и системы видеонаблюдения</v>
      </c>
      <c r="G6441" s="22" t="s">
        <v>72</v>
      </c>
      <c r="H6441" s="22" t="s">
        <v>2918</v>
      </c>
      <c r="I6441" s="26">
        <v>43629.695138888899</v>
      </c>
      <c r="J6441" s="23" t="str">
        <f>HYPERLINK("https://www.spark-marketing.ru/Card/Person/5853123", "Ершов Андрей Алексеевич")</f>
        <v>Ершов Андрей Алексеевич</v>
      </c>
      <c r="K6441" s="24" t="s">
        <v>1063</v>
      </c>
      <c r="L6441" s="22" t="s">
        <v>10</v>
      </c>
      <c r="M6441" s="25">
        <v>375376</v>
      </c>
      <c r="N6441" s="27">
        <v>0.10000680912115345</v>
      </c>
    </row>
    <row r="6442" spans="1:14" x14ac:dyDescent="0.15">
      <c r="A6442" s="23" t="str">
        <f>HYPERLINK("https://www.spark-marketing.ru/Card/Person/1004981", "МКДОУ ДЕТСКИЙ САД ""ЛУЧИКИ""")</f>
        <v>МКДОУ ДЕТСКИЙ САД "ЛУЧИКИ"</v>
      </c>
      <c r="B6442" s="24" t="s">
        <v>8368</v>
      </c>
      <c r="C6442" s="25">
        <v>74000</v>
      </c>
      <c r="D6442" s="22" t="s">
        <v>8369</v>
      </c>
      <c r="E6442" s="22" t="s">
        <v>84</v>
      </c>
      <c r="F6442" s="23" t="str">
        <f>HYPERLINK("https://www.spark-marketing.ru/Card/Lot/71336050", "Оказание услуг по согласованию паспортов и мест размещения камер видеонаблюдения, 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технологическо...")</f>
        <v>Оказание услуг по согласованию паспортов и мест размещения камер видеонаблюдения, 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технологическо...</v>
      </c>
      <c r="G6442" s="22" t="s">
        <v>50</v>
      </c>
      <c r="H6442" s="22" t="s">
        <v>682</v>
      </c>
      <c r="I6442" s="26">
        <v>43629.690474536997</v>
      </c>
      <c r="J6442" s="28" t="s">
        <v>52</v>
      </c>
      <c r="K6442" s="28" t="s">
        <v>52</v>
      </c>
      <c r="L6442" s="28" t="s">
        <v>52</v>
      </c>
      <c r="M6442" s="28" t="s">
        <v>52</v>
      </c>
      <c r="N6442" s="28" t="s">
        <v>52</v>
      </c>
    </row>
    <row r="6443" spans="1:14" x14ac:dyDescent="0.15">
      <c r="A6443" s="23" t="str">
        <f>HYPERLINK("https://www.spark-marketing.ru/Card/Person/27", "ЧУВАШСКОЕ УФАС РОССИИ")</f>
        <v>ЧУВАШСКОЕ УФАС РОССИИ</v>
      </c>
      <c r="B6443" s="24" t="s">
        <v>8370</v>
      </c>
      <c r="C6443" s="25">
        <v>29482.98</v>
      </c>
      <c r="D6443" s="22" t="s">
        <v>8371</v>
      </c>
      <c r="E6443" s="22" t="s">
        <v>59</v>
      </c>
      <c r="F6443" s="23" t="str">
        <f>HYPERLINK("https://www.spark-marketing.ru/Card/Lot/71332856", "Установка охранной сигнализации, 1 шт")</f>
        <v>Установка охранной сигнализации, 1 шт</v>
      </c>
      <c r="G6443" s="22" t="s">
        <v>1137</v>
      </c>
      <c r="H6443" s="22" t="s">
        <v>1138</v>
      </c>
      <c r="I6443" s="26">
        <v>43629.670868055597</v>
      </c>
      <c r="J6443" s="28" t="s">
        <v>52</v>
      </c>
      <c r="K6443" s="28" t="s">
        <v>52</v>
      </c>
      <c r="L6443" s="28" t="s">
        <v>52</v>
      </c>
      <c r="M6443" s="28" t="s">
        <v>52</v>
      </c>
      <c r="N6443" s="28" t="s">
        <v>52</v>
      </c>
    </row>
    <row r="6444" spans="1:14" x14ac:dyDescent="0.15">
      <c r="A6444" s="23" t="str">
        <f>HYPERLINK("https://www.spark-marketing.ru/Card/Person/357256", "МИ ФНС РОССИИ ПО ЮЖНОМУ ФЕДЕРАЛЬНОМУ ОКРУГУ")</f>
        <v>МИ ФНС РОССИИ ПО ЮЖНОМУ ФЕДЕРАЛЬНОМУ ОКРУГУ</v>
      </c>
      <c r="B6444" s="24" t="s">
        <v>7675</v>
      </c>
      <c r="C6444" s="25">
        <v>66256</v>
      </c>
      <c r="D6444" s="22" t="s">
        <v>8372</v>
      </c>
      <c r="E6444" s="22" t="s">
        <v>68</v>
      </c>
      <c r="F6444" s="23" t="str">
        <f>HYPERLINK("https://www.spark-marketing.ru/Card/Lot/71329657", "Обеспечение общественного порядка, 404 усл. ед")</f>
        <v>Обеспечение общественного порядка, 404 усл. ед</v>
      </c>
      <c r="G6444" s="22" t="s">
        <v>402</v>
      </c>
      <c r="H6444" s="22" t="s">
        <v>403</v>
      </c>
      <c r="I6444" s="26">
        <v>43629.635856481502</v>
      </c>
      <c r="J6444" s="28" t="s">
        <v>52</v>
      </c>
      <c r="K6444" s="28" t="s">
        <v>52</v>
      </c>
      <c r="L6444" s="28" t="s">
        <v>52</v>
      </c>
      <c r="M6444" s="28" t="s">
        <v>52</v>
      </c>
      <c r="N6444" s="28" t="s">
        <v>52</v>
      </c>
    </row>
    <row r="6445" spans="1:14" x14ac:dyDescent="0.15">
      <c r="A6445" s="23" t="str">
        <f>HYPERLINK("https://www.spark-marketing.ru/Card/Person/180969", "ООО ""РН-ТРАНСПОРТ""")</f>
        <v>ООО "РН-ТРАНСПОРТ"</v>
      </c>
      <c r="B6445" s="24" t="s">
        <v>8373</v>
      </c>
      <c r="C6445" s="28" t="s">
        <v>52</v>
      </c>
      <c r="D6445" s="22" t="s">
        <v>8374</v>
      </c>
      <c r="E6445" s="22" t="s">
        <v>53</v>
      </c>
      <c r="F6445" s="23" t="str">
        <f>HYPERLINK("https://www.spark-marketing.ru/Card/Lot/71345311", "Номер закупки РНТ/9-993/1-18. Охрана имущества и организация ПВР в Удмуртской Республике на 2019-2020г.г.")</f>
        <v>Номер закупки РНТ/9-993/1-18. Охрана имущества и организация ПВР в Удмуртской Республике на 2019-2020г.г.</v>
      </c>
      <c r="G6445" s="22" t="s">
        <v>100</v>
      </c>
      <c r="H6445" s="22" t="s">
        <v>6656</v>
      </c>
      <c r="I6445" s="26">
        <v>43629.650694444397</v>
      </c>
      <c r="J6445" s="28" t="s">
        <v>52</v>
      </c>
      <c r="K6445" s="28" t="s">
        <v>52</v>
      </c>
      <c r="L6445" s="28" t="s">
        <v>52</v>
      </c>
      <c r="M6445" s="28" t="s">
        <v>52</v>
      </c>
      <c r="N6445" s="28" t="s">
        <v>52</v>
      </c>
    </row>
    <row r="6446" spans="1:14" x14ac:dyDescent="0.15">
      <c r="A6446" s="23" t="str">
        <f>HYPERLINK("https://www.spark-marketing.ru/Card/Person/534410", "АДМИНИСТРАЦИЯ МУНИЦИПАЛЬНОГО ОБРАЗОВАНИЯ - ТУМСКОЕ ГОРОДСКОЕ ПОСЕЛЕНИЕ КЛЕПИКОВСКОГО МУНИЦИПАЛЬНОГО РАЙОНА")</f>
        <v>АДМИНИСТРАЦИЯ МУНИЦИПАЛЬНОГО ОБРАЗОВАНИЯ - ТУМСКОЕ ГОРОДСКОЕ ПОСЕЛЕНИЕ КЛЕПИКОВСКОГО МУНИЦИПАЛЬНОГО РАЙОНА</v>
      </c>
      <c r="B6446" s="24" t="s">
        <v>8375</v>
      </c>
      <c r="C6446" s="25">
        <v>49956</v>
      </c>
      <c r="D6446" s="22" t="s">
        <v>8376</v>
      </c>
      <c r="E6446" s="22" t="s">
        <v>84</v>
      </c>
      <c r="F6446" s="23" t="str">
        <f>HYPERLINK("https://www.spark-marketing.ru/Card/Lot/71338412", "Установка камер видеонаблюдения в парке ""Железнодорожник"" в р.п. Тума Клепиковского района Рязанской области")</f>
        <v>Установка камер видеонаблюдения в парке "Железнодорожник" в р.п. Тума Клепиковского района Рязанской области</v>
      </c>
      <c r="G6446" s="22" t="s">
        <v>186</v>
      </c>
      <c r="H6446" s="22" t="s">
        <v>8377</v>
      </c>
      <c r="I6446" s="26">
        <v>43629.647916666698</v>
      </c>
      <c r="J6446" s="28" t="s">
        <v>52</v>
      </c>
      <c r="K6446" s="28" t="s">
        <v>52</v>
      </c>
      <c r="L6446" s="28" t="s">
        <v>52</v>
      </c>
      <c r="M6446" s="28" t="s">
        <v>52</v>
      </c>
      <c r="N6446" s="28" t="s">
        <v>52</v>
      </c>
    </row>
    <row r="6447" spans="1:14" hidden="1" outlineLevel="1" x14ac:dyDescent="0.2">
      <c r="A6447" s="23" t="str">
        <f>HYPERLINK("https://www.spark-marketing.ru/Card/Person/534410", "АДМИНИСТРАЦИЯ МУНИЦИПАЛЬНОГО ОБРАЗОВАНИЯ - ТУМСКОЕ ГОРОДСКОЕ ПОСЕЛЕНИЕ КЛЕПИКОВСКОГО МУНИЦИПАЛЬНОГО РАЙОНА")</f>
        <v>АДМИНИСТРАЦИЯ МУНИЦИПАЛЬНОГО ОБРАЗОВАНИЯ - ТУМСКОЕ ГОРОДСКОЕ ПОСЕЛЕНИЕ КЛЕПИКОВСКОГО МУНИЦИПАЛЬНОГО РАЙОНА</v>
      </c>
      <c r="B6447" s="24" t="s">
        <v>8375</v>
      </c>
      <c r="C6447" s="25">
        <v>49956</v>
      </c>
      <c r="D6447" s="22" t="s">
        <v>8376</v>
      </c>
      <c r="E6447" s="22" t="s">
        <v>84</v>
      </c>
      <c r="F6447" s="23" t="str">
        <f>HYPERLINK("https://www.spark-marketing.ru/Card/Lot/71338412", "Установка камер видеонаблюдения в парке ""Железнодорожник"" в р.п. Тума Клепиковского района Рязанской области")</f>
        <v>Установка камер видеонаблюдения в парке "Железнодорожник" в р.п. Тума Клепиковского района Рязанской области</v>
      </c>
      <c r="G6447" s="22" t="s">
        <v>186</v>
      </c>
      <c r="H6447" s="22" t="s">
        <v>8377</v>
      </c>
      <c r="I6447" s="26">
        <v>43629.647916666698</v>
      </c>
      <c r="J6447" s="23" t="str">
        <f>HYPERLINK("https://www.spark-marketing.ru/Card/Person/1467751", "ООО ""НОВЫЙ ФОРМАТ""")</f>
        <v>ООО "НОВЫЙ ФОРМАТ"</v>
      </c>
      <c r="K6447" s="24" t="s">
        <v>8378</v>
      </c>
      <c r="L6447" s="28" t="s">
        <v>52</v>
      </c>
      <c r="M6447" s="25">
        <v>39750.22</v>
      </c>
      <c r="N6447" s="27">
        <v>0.20429537993434221</v>
      </c>
    </row>
    <row r="6448" spans="1:14" hidden="1" outlineLevel="1" x14ac:dyDescent="0.2">
      <c r="A6448" s="23" t="str">
        <f>HYPERLINK("https://www.spark-marketing.ru/Card/Person/534410", "АДМИНИСТРАЦИЯ МУНИЦИПАЛЬНОГО ОБРАЗОВАНИЯ - ТУМСКОЕ ГОРОДСКОЕ ПОСЕЛЕНИЕ КЛЕПИКОВСКОГО МУНИЦИПАЛЬНОГО РАЙОНА")</f>
        <v>АДМИНИСТРАЦИЯ МУНИЦИПАЛЬНОГО ОБРАЗОВАНИЯ - ТУМСКОЕ ГОРОДСКОЕ ПОСЕЛЕНИЕ КЛЕПИКОВСКОГО МУНИЦИПАЛЬНОГО РАЙОНА</v>
      </c>
      <c r="B6448" s="24" t="s">
        <v>8375</v>
      </c>
      <c r="C6448" s="25">
        <v>49956</v>
      </c>
      <c r="D6448" s="22" t="s">
        <v>8376</v>
      </c>
      <c r="E6448" s="22" t="s">
        <v>84</v>
      </c>
      <c r="F6448" s="23" t="str">
        <f>HYPERLINK("https://www.spark-marketing.ru/Card/Lot/71338412", "Установка камер видеонаблюдения в парке ""Железнодорожник"" в р.п. Тума Клепиковского района Рязанской области")</f>
        <v>Установка камер видеонаблюдения в парке "Железнодорожник" в р.п. Тума Клепиковского района Рязанской области</v>
      </c>
      <c r="G6448" s="22" t="s">
        <v>186</v>
      </c>
      <c r="H6448" s="22" t="s">
        <v>8377</v>
      </c>
      <c r="I6448" s="26">
        <v>43629.647916666698</v>
      </c>
      <c r="J6448" s="23" t="str">
        <f>HYPERLINK("https://www.spark-marketing.ru/Card/Person/2562154", "КМО РОО ООО ""ВДПО""")</f>
        <v>КМО РОО ООО "ВДПО"</v>
      </c>
      <c r="K6448" s="24" t="s">
        <v>8379</v>
      </c>
      <c r="L6448" s="28" t="s">
        <v>52</v>
      </c>
      <c r="M6448" s="25">
        <v>41750.22</v>
      </c>
      <c r="N6448" s="27">
        <v>0.16426014893105934</v>
      </c>
    </row>
    <row r="6449" spans="1:14" ht="12.75" hidden="1" outlineLevel="1" x14ac:dyDescent="0.2">
      <c r="A6449" s="23" t="str">
        <f>HYPERLINK("https://www.spark-marketing.ru/Card/Person/534410", "АДМИНИСТРАЦИЯ МУНИЦИПАЛЬНОГО ОБРАЗОВАНИЯ - ТУМСКОЕ ГОРОДСКОЕ ПОСЕЛЕНИЕ КЛЕПИКОВСКОГО МУНИЦИПАЛЬНОГО РАЙОНА")</f>
        <v>АДМИНИСТРАЦИЯ МУНИЦИПАЛЬНОГО ОБРАЗОВАНИЯ - ТУМСКОЕ ГОРОДСКОЕ ПОСЕЛЕНИЕ КЛЕПИКОВСКОГО МУНИЦИПАЛЬНОГО РАЙОНА</v>
      </c>
      <c r="B6449" s="24" t="s">
        <v>8375</v>
      </c>
      <c r="C6449" s="25">
        <v>49956</v>
      </c>
      <c r="D6449" s="22" t="s">
        <v>8376</v>
      </c>
      <c r="E6449" s="22" t="s">
        <v>84</v>
      </c>
      <c r="F6449" s="23" t="str">
        <f>HYPERLINK("https://www.spark-marketing.ru/Card/Lot/71338412", "Установка камер видеонаблюдения в парке ""Железнодорожник"" в р.п. Тума Клепиковского района Рязанской области")</f>
        <v>Установка камер видеонаблюдения в парке "Железнодорожник" в р.п. Тума Клепиковского района Рязанской области</v>
      </c>
      <c r="G6449" s="22" t="s">
        <v>186</v>
      </c>
      <c r="H6449" s="22" t="s">
        <v>8377</v>
      </c>
      <c r="I6449" s="26">
        <v>43629.647916666698</v>
      </c>
      <c r="J6449" s="23" t="str">
        <f>HYPERLINK("https://www.spark-marketing.ru/Card/Person/780455", "Пищаев Дмитрий Михайлович")</f>
        <v>Пищаев Дмитрий Михайлович</v>
      </c>
      <c r="K6449" s="24" t="s">
        <v>8380</v>
      </c>
      <c r="L6449" s="22" t="s">
        <v>10</v>
      </c>
      <c r="M6449" s="25">
        <v>39000</v>
      </c>
      <c r="N6449" s="27">
        <v>0.21931299543598368</v>
      </c>
    </row>
    <row r="6450" spans="1:14" x14ac:dyDescent="0.15">
      <c r="A6450" s="23" t="str">
        <f>HYPERLINK("https://www.spark-marketing.ru/Card/Person/357793", "УПРАВЛЕНИЕ РОСРЕЗЕРВА ПО ЮЖНОМУ ФЕДЕРАЛЬНОМУ ОКРУГУ")</f>
        <v>УПРАВЛЕНИЕ РОСРЕЗЕРВА ПО ЮЖНОМУ ФЕДЕРАЛЬНОМУ ОКРУГУ</v>
      </c>
      <c r="B6450" s="24" t="s">
        <v>8381</v>
      </c>
      <c r="C6450" s="25">
        <v>10800</v>
      </c>
      <c r="D6450" s="22" t="s">
        <v>8382</v>
      </c>
      <c r="E6450" s="22" t="s">
        <v>53</v>
      </c>
      <c r="F6450" s="23" t="str">
        <f>HYPERLINK("https://www.spark-marketing.ru/Card/Lot/71329084", "Обслуживание систем видеонаблюдения, 1 усл. ед")</f>
        <v>Обслуживание систем видеонаблюдения, 1 усл. ед</v>
      </c>
      <c r="G6450" s="22" t="s">
        <v>402</v>
      </c>
      <c r="H6450" s="22" t="s">
        <v>403</v>
      </c>
      <c r="I6450" s="26">
        <v>43629.5950115741</v>
      </c>
      <c r="J6450" s="28" t="s">
        <v>52</v>
      </c>
      <c r="K6450" s="28" t="s">
        <v>52</v>
      </c>
      <c r="L6450" s="28" t="s">
        <v>52</v>
      </c>
      <c r="M6450" s="28" t="s">
        <v>52</v>
      </c>
      <c r="N6450" s="28" t="s">
        <v>52</v>
      </c>
    </row>
    <row r="6451" spans="1:14" x14ac:dyDescent="0.2">
      <c r="A6451" s="23" t="str">
        <f>HYPERLINK("https://www.spark-marketing.ru/Card/Person/1489027", "СРЕДНЯЯ ШКОЛА № 4, МАОУ СОШ № 4 С УИОП АГО")</f>
        <v>СРЕДНЯЯ ШКОЛА № 4, МАОУ СОШ № 4 С УИОП АГО</v>
      </c>
      <c r="B6451" s="24" t="s">
        <v>8383</v>
      </c>
      <c r="C6451" s="25">
        <v>200000</v>
      </c>
      <c r="D6451" s="22" t="s">
        <v>8384</v>
      </c>
      <c r="E6451" s="22" t="s">
        <v>8385</v>
      </c>
      <c r="F6451" s="23" t="str">
        <f>HYPERLINK("https://www.spark-marketing.ru/Card/Lot/71326955", "Установка комплекса охранной сигнализации")</f>
        <v>Установка комплекса охранной сигнализации</v>
      </c>
      <c r="G6451" s="22" t="s">
        <v>72</v>
      </c>
      <c r="H6451" s="22" t="s">
        <v>72</v>
      </c>
      <c r="I6451" s="26">
        <v>43629.597800925898</v>
      </c>
      <c r="J6451" s="28" t="s">
        <v>52</v>
      </c>
      <c r="K6451" s="28" t="s">
        <v>52</v>
      </c>
      <c r="L6451" s="28" t="s">
        <v>52</v>
      </c>
      <c r="M6451" s="25">
        <v>152000</v>
      </c>
      <c r="N6451" s="27">
        <v>0.24</v>
      </c>
    </row>
    <row r="6452" spans="1:14" x14ac:dyDescent="0.15">
      <c r="A6452" s="23" t="str">
        <f>HYPERLINK("https://www.spark-marketing.ru/Card/Person/128712", "ФКУ ИК-40 ГУФСИН РОССИИ ПО КЕМЕРОВСКОЙ ОБЛАСТИ - КУЗБАССУ")</f>
        <v>ФКУ ИК-40 ГУФСИН РОССИИ ПО КЕМЕРОВСКОЙ ОБЛАСТИ - КУЗБАССУ</v>
      </c>
      <c r="B6452" s="24" t="s">
        <v>8386</v>
      </c>
      <c r="C6452" s="25">
        <v>15244</v>
      </c>
      <c r="D6452" s="22" t="s">
        <v>8387</v>
      </c>
      <c r="E6452" s="22" t="s">
        <v>53</v>
      </c>
      <c r="F6452" s="23" t="str">
        <f>HYPERLINK("https://www.spark-marketing.ru/Card/Lot/71327393", "Электротехническая продукция")</f>
        <v>Электротехническая продукция</v>
      </c>
      <c r="G6452" s="22" t="s">
        <v>367</v>
      </c>
      <c r="H6452" s="22" t="s">
        <v>881</v>
      </c>
      <c r="I6452" s="26">
        <v>43629.568298611099</v>
      </c>
      <c r="J6452" s="28" t="s">
        <v>52</v>
      </c>
      <c r="K6452" s="28" t="s">
        <v>52</v>
      </c>
      <c r="L6452" s="28" t="s">
        <v>52</v>
      </c>
      <c r="M6452" s="28" t="s">
        <v>52</v>
      </c>
      <c r="N6452" s="28" t="s">
        <v>52</v>
      </c>
    </row>
    <row r="6453" spans="1:14" x14ac:dyDescent="0.15">
      <c r="A6453" s="23" t="str">
        <f>HYPERLINK("https://www.spark-marketing.ru/Card/Person/1029730", "МДОУ №5 Г. МОЖАЙСКА")</f>
        <v>МДОУ №5 Г. МОЖАЙСКА</v>
      </c>
      <c r="B6453" s="24" t="s">
        <v>1286</v>
      </c>
      <c r="C6453" s="25">
        <v>28800</v>
      </c>
      <c r="D6453" s="22" t="s">
        <v>8388</v>
      </c>
      <c r="E6453" s="22" t="s">
        <v>194</v>
      </c>
      <c r="F6453" s="23" t="str">
        <f>HYPERLINK("https://www.spark-marketing.ru/Card/Lot/71327957", "Поставка и установка камер видеонаблюдения")</f>
        <v>Поставка и установка камер видеонаблюдения</v>
      </c>
      <c r="G6453" s="22" t="s">
        <v>50</v>
      </c>
      <c r="H6453" s="22" t="s">
        <v>946</v>
      </c>
      <c r="I6453" s="26">
        <v>43629.555115740703</v>
      </c>
      <c r="J6453" s="28" t="s">
        <v>52</v>
      </c>
      <c r="K6453" s="28" t="s">
        <v>52</v>
      </c>
      <c r="L6453" s="28" t="s">
        <v>52</v>
      </c>
      <c r="M6453" s="28" t="s">
        <v>52</v>
      </c>
      <c r="N6453" s="28" t="s">
        <v>52</v>
      </c>
    </row>
    <row r="6454" spans="1:14" x14ac:dyDescent="0.15">
      <c r="A6454" s="23" t="str">
        <f>HYPERLINK("https://www.spark-marketing.ru/Card/Person/10487", "ФГУП ""ОХРАНА"" РОСГВАРДИИ")</f>
        <v>ФГУП "ОХРАНА" РОСГВАРДИИ</v>
      </c>
      <c r="B6454" s="24" t="s">
        <v>779</v>
      </c>
      <c r="C6454" s="25">
        <v>135270.35</v>
      </c>
      <c r="D6454" s="22" t="s">
        <v>8389</v>
      </c>
      <c r="E6454" s="22" t="s">
        <v>1149</v>
      </c>
      <c r="F6454" s="23" t="str">
        <f>HYPERLINK("https://www.spark-marketing.ru/Card/Lot/71347672", "Поставка офисной техники для нужд Управления по Дальневосточному Федеральному округу Центра охраны объектов промышленности (г. Владивосток)")</f>
        <v>Поставка офисной техники для нужд Управления по Дальневосточному Федеральному округу Центра охраны объектов промышленности (г. Владивосток)</v>
      </c>
      <c r="G6454" s="22" t="s">
        <v>409</v>
      </c>
      <c r="H6454" s="22" t="s">
        <v>409</v>
      </c>
      <c r="I6454" s="26">
        <v>43629.575509259303</v>
      </c>
      <c r="J6454" s="28" t="s">
        <v>52</v>
      </c>
      <c r="K6454" s="28" t="s">
        <v>52</v>
      </c>
      <c r="L6454" s="28" t="s">
        <v>52</v>
      </c>
      <c r="M6454" s="28" t="s">
        <v>52</v>
      </c>
      <c r="N6454" s="28" t="s">
        <v>52</v>
      </c>
    </row>
    <row r="6455" spans="1:14" x14ac:dyDescent="0.15">
      <c r="A6455" s="23" t="str">
        <f>HYPERLINK("https://www.spark-marketing.ru/Card/Person/1078607", "КУ ""ПЫТЬ-ЯХСКИЙ ЦЕНТР ЗАНЯТОСТИ НАСЕЛЕНИЯ""")</f>
        <v>КУ "ПЫТЬ-ЯХСКИЙ ЦЕНТР ЗАНЯТОСТИ НАСЕЛЕНИЯ"</v>
      </c>
      <c r="B6455" s="24" t="s">
        <v>8390</v>
      </c>
      <c r="C6455" s="28" t="s">
        <v>52</v>
      </c>
      <c r="D6455" s="22" t="s">
        <v>8391</v>
      </c>
      <c r="E6455" s="22" t="s">
        <v>52</v>
      </c>
      <c r="F6455" s="23" t="str">
        <f>HYPERLINK("https://www.spark-marketing.ru/Card/Lot/71325137", "Оказание услуг по охране объекта")</f>
        <v>Оказание услуг по охране объекта</v>
      </c>
      <c r="G6455" s="22" t="s">
        <v>119</v>
      </c>
      <c r="H6455" s="22" t="s">
        <v>455</v>
      </c>
      <c r="I6455" s="26">
        <v>43629.552777777797</v>
      </c>
      <c r="J6455" s="28" t="s">
        <v>52</v>
      </c>
      <c r="K6455" s="28" t="s">
        <v>52</v>
      </c>
      <c r="L6455" s="28" t="s">
        <v>52</v>
      </c>
      <c r="M6455" s="28" t="s">
        <v>52</v>
      </c>
      <c r="N6455" s="28" t="s">
        <v>52</v>
      </c>
    </row>
    <row r="6456" spans="1:14" x14ac:dyDescent="0.15">
      <c r="A6456" s="23" t="str">
        <f>HYPERLINK("https://www.spark-marketing.ru/Card/Person/59056", "АО ""ГСПИ""")</f>
        <v>АО "ГСПИ"</v>
      </c>
      <c r="B6456" s="24" t="s">
        <v>1511</v>
      </c>
      <c r="C6456" s="28" t="s">
        <v>52</v>
      </c>
      <c r="D6456" s="22" t="s">
        <v>8392</v>
      </c>
      <c r="E6456" s="22" t="s">
        <v>5267</v>
      </c>
      <c r="F6456" s="23" t="str">
        <f>HYPERLINK("https://www.spark-marketing.ru/Card/Lot/71333553", "Оказание услуг по охране объектов филиала АО «Государственный специализированный проектный институт» (АО «ГСПИ») в г. Электросталь.")</f>
        <v>Оказание услуг по охране объектов филиала АО «Государственный специализированный проектный институт» (АО «ГСПИ») в г. Электросталь.</v>
      </c>
      <c r="G6456" s="22" t="s">
        <v>55</v>
      </c>
      <c r="H6456" s="22" t="s">
        <v>55</v>
      </c>
      <c r="I6456" s="26">
        <v>43629.518807870401</v>
      </c>
      <c r="J6456" s="28" t="s">
        <v>52</v>
      </c>
      <c r="K6456" s="28" t="s">
        <v>52</v>
      </c>
      <c r="L6456" s="28" t="s">
        <v>52</v>
      </c>
      <c r="M6456" s="28" t="s">
        <v>52</v>
      </c>
      <c r="N6456" s="28" t="s">
        <v>52</v>
      </c>
    </row>
    <row r="6457" spans="1:14" x14ac:dyDescent="0.15">
      <c r="A6457" s="23" t="str">
        <f>HYPERLINK("https://www.spark-marketing.ru/Card/Person/1833181", "АО ""ОРЕНБУРГНЕФТЬ""")</f>
        <v>АО "ОРЕНБУРГНЕФТЬ"</v>
      </c>
      <c r="B6457" s="24" t="s">
        <v>7069</v>
      </c>
      <c r="C6457" s="28" t="s">
        <v>52</v>
      </c>
      <c r="D6457" s="22" t="s">
        <v>8393</v>
      </c>
      <c r="E6457" s="22" t="s">
        <v>7071</v>
      </c>
      <c r="F6457" s="23" t="str">
        <f>HYPERLINK("https://www.spark-marketing.ru/Card/Lot/71327791", "на предоставление охранных услуг радиолокационного наблюдения с использованием мобильных комплексов")</f>
        <v>на предоставление охранных услуг радиолокационного наблюдения с использованием мобильных комплексов</v>
      </c>
      <c r="G6457" s="22" t="s">
        <v>384</v>
      </c>
      <c r="H6457" s="22" t="s">
        <v>7072</v>
      </c>
      <c r="I6457" s="26">
        <v>43629.540972222203</v>
      </c>
      <c r="J6457" s="28" t="s">
        <v>52</v>
      </c>
      <c r="K6457" s="28" t="s">
        <v>52</v>
      </c>
      <c r="L6457" s="28" t="s">
        <v>52</v>
      </c>
      <c r="M6457" s="28" t="s">
        <v>52</v>
      </c>
      <c r="N6457" s="28" t="s">
        <v>52</v>
      </c>
    </row>
    <row r="6458" spans="1:14" x14ac:dyDescent="0.15">
      <c r="A6458" s="23" t="str">
        <f>HYPERLINK("https://www.spark-marketing.ru/Card/Person/59056", "АО ""ГСПИ""")</f>
        <v>АО "ГСПИ"</v>
      </c>
      <c r="B6458" s="24" t="s">
        <v>1511</v>
      </c>
      <c r="C6458" s="25">
        <v>0</v>
      </c>
      <c r="D6458" s="22" t="s">
        <v>8394</v>
      </c>
      <c r="E6458" s="22" t="s">
        <v>53</v>
      </c>
      <c r="F6458" s="23" t="str">
        <f>HYPERLINK("https://www.spark-marketing.ru/Card/Lot/71346491", "мониторинг цен в электронной форме на Оказание услуг по охране объектов филиала АО «Государственный специализированный проектный институт» (АО «ГСПИ») в г. Электросталь.")</f>
        <v>мониторинг цен в электронной форме на Оказание услуг по охране объектов филиала АО «Государственный специализированный проектный институт» (АО «ГСПИ») в г. Электросталь.</v>
      </c>
      <c r="G6458" s="22" t="s">
        <v>55</v>
      </c>
      <c r="H6458" s="22" t="s">
        <v>55</v>
      </c>
      <c r="I6458" s="26">
        <v>43629.518692129597</v>
      </c>
      <c r="J6458" s="28" t="s">
        <v>52</v>
      </c>
      <c r="K6458" s="28" t="s">
        <v>52</v>
      </c>
      <c r="L6458" s="28" t="s">
        <v>52</v>
      </c>
      <c r="M6458" s="28" t="s">
        <v>52</v>
      </c>
      <c r="N6458" s="28" t="s">
        <v>52</v>
      </c>
    </row>
    <row r="6459" spans="1:14" x14ac:dyDescent="0.15">
      <c r="A6459" s="23" t="str">
        <f>HYPERLINK("https://www.spark-marketing.ru/Card/Person/59056", "АО ""ГСПИ""")</f>
        <v>АО "ГСПИ"</v>
      </c>
      <c r="B6459" s="24" t="s">
        <v>1511</v>
      </c>
      <c r="C6459" s="28" t="s">
        <v>52</v>
      </c>
      <c r="D6459" s="22" t="s">
        <v>8395</v>
      </c>
      <c r="E6459" s="22" t="s">
        <v>53</v>
      </c>
      <c r="F6459" s="23" t="str">
        <f>HYPERLINK("https://www.spark-marketing.ru/Card/Lot/71330740", "Оказание услуг по охране объектов филиала АО «Государственный специализированный проектный институт» (АО «ГСПИ») в г. Электросталь. (1275423)")</f>
        <v>Оказание услуг по охране объектов филиала АО «Государственный специализированный проектный институт» (АО «ГСПИ») в г. Электросталь. (1275423)</v>
      </c>
      <c r="G6459" s="22" t="s">
        <v>55</v>
      </c>
      <c r="H6459" s="22" t="s">
        <v>55</v>
      </c>
      <c r="I6459" s="26">
        <v>43629.538356481498</v>
      </c>
      <c r="J6459" s="28" t="s">
        <v>52</v>
      </c>
      <c r="K6459" s="28" t="s">
        <v>52</v>
      </c>
      <c r="L6459" s="28" t="s">
        <v>52</v>
      </c>
      <c r="M6459" s="28" t="s">
        <v>52</v>
      </c>
      <c r="N6459" s="28" t="s">
        <v>52</v>
      </c>
    </row>
    <row r="6460" spans="1:14" x14ac:dyDescent="0.15">
      <c r="A6460" s="23" t="str">
        <f>HYPERLINK("https://www.spark-marketing.ru/Card/Person/1038058", "ГБПОУ КО ""КИПК""")</f>
        <v>ГБПОУ КО "КИПК"</v>
      </c>
      <c r="B6460" s="24" t="s">
        <v>7407</v>
      </c>
      <c r="C6460" s="25">
        <v>893069.28</v>
      </c>
      <c r="D6460" s="22" t="s">
        <v>8396</v>
      </c>
      <c r="E6460" s="22" t="s">
        <v>68</v>
      </c>
      <c r="F6460" s="23" t="str">
        <f>HYPERLINK("https://www.spark-marketing.ru/Card/Lot/71323664", "Оказание охранных услуг")</f>
        <v>Оказание охранных услуг</v>
      </c>
      <c r="G6460" s="22" t="s">
        <v>658</v>
      </c>
      <c r="H6460" s="22" t="s">
        <v>741</v>
      </c>
      <c r="I6460" s="26">
        <v>43629.463888888902</v>
      </c>
      <c r="J6460" s="28" t="s">
        <v>52</v>
      </c>
      <c r="K6460" s="28" t="s">
        <v>52</v>
      </c>
      <c r="L6460" s="28" t="s">
        <v>52</v>
      </c>
      <c r="M6460" s="28" t="s">
        <v>52</v>
      </c>
      <c r="N6460" s="28" t="s">
        <v>52</v>
      </c>
    </row>
    <row r="6461" spans="1:14" x14ac:dyDescent="0.15">
      <c r="A6461" s="23" t="str">
        <f>HYPERLINK("https://www.spark-marketing.ru/Card/Person/93389", "ИФНС РОССИИ ПО ДЗЕРЖИНСКОМУ РАЙОНУ Г. ВОЛГОГРАДА")</f>
        <v>ИФНС РОССИИ ПО ДЗЕРЖИНСКОМУ РАЙОНУ Г. ВОЛГОГРАДА</v>
      </c>
      <c r="B6461" s="24" t="s">
        <v>2939</v>
      </c>
      <c r="C6461" s="25">
        <v>24960</v>
      </c>
      <c r="D6461" s="22" t="s">
        <v>8397</v>
      </c>
      <c r="E6461" s="22" t="s">
        <v>107</v>
      </c>
      <c r="F6461" s="23" t="str">
        <f>HYPERLINK("https://www.spark-marketing.ru/Card/Lot/71321492", "Техническое обслуживание камер видеонаблюдения, 1 шт")</f>
        <v>Техническое обслуживание камер видеонаблюдения, 1 шт</v>
      </c>
      <c r="G6461" s="22" t="s">
        <v>343</v>
      </c>
      <c r="H6461" s="22" t="s">
        <v>344</v>
      </c>
      <c r="I6461" s="26">
        <v>43629.478425925903</v>
      </c>
      <c r="J6461" s="28" t="s">
        <v>52</v>
      </c>
      <c r="K6461" s="28" t="s">
        <v>52</v>
      </c>
      <c r="L6461" s="28" t="s">
        <v>52</v>
      </c>
      <c r="M6461" s="28" t="s">
        <v>52</v>
      </c>
      <c r="N6461" s="28" t="s">
        <v>52</v>
      </c>
    </row>
    <row r="6462" spans="1:14" x14ac:dyDescent="0.15">
      <c r="A6462" s="23" t="str">
        <f>HYPERLINK("https://www.spark-marketing.ru/Card/Person/161421", "АДМИНИСТРАЦИЯ ПОСЕЛЕНИЯ ""ВИЗИНГА""")</f>
        <v>АДМИНИСТРАЦИЯ ПОСЕЛЕНИЯ "ВИЗИНГА"</v>
      </c>
      <c r="B6462" s="24" t="s">
        <v>8398</v>
      </c>
      <c r="C6462" s="25">
        <v>207967</v>
      </c>
      <c r="D6462" s="22" t="s">
        <v>8399</v>
      </c>
      <c r="E6462" s="22" t="s">
        <v>59</v>
      </c>
      <c r="F6462" s="23" t="str">
        <f>HYPERLINK("https://www.spark-marketing.ru/Card/Lot/71324476", "Установка светофора с солнечной электростанцией на опоре дорожного знака по ул. Мира в с.Визинга Сысольского района Республики Коми")</f>
        <v>Установка светофора с солнечной электростанцией на опоре дорожного знака по ул. Мира в с.Визинга Сысольского района Республики Коми</v>
      </c>
      <c r="G6462" s="22" t="s">
        <v>538</v>
      </c>
      <c r="H6462" s="22" t="s">
        <v>8400</v>
      </c>
      <c r="I6462" s="26">
        <v>43629.459027777797</v>
      </c>
      <c r="J6462" s="23" t="str">
        <f>HYPERLINK("https://www.spark-marketing.ru/Card/Person/80016", "Регушевский Михаил Васильевич")</f>
        <v>Регушевский Михаил Васильевич</v>
      </c>
      <c r="K6462" s="24" t="s">
        <v>8401</v>
      </c>
      <c r="L6462" s="22" t="s">
        <v>10</v>
      </c>
      <c r="M6462" s="28" t="s">
        <v>52</v>
      </c>
      <c r="N6462" s="28" t="s">
        <v>52</v>
      </c>
    </row>
    <row r="6463" spans="1:14" x14ac:dyDescent="0.15">
      <c r="A6463" s="23" t="str">
        <f>HYPERLINK("https://www.spark-marketing.ru/Card/Person/17492", "МБОУ ""СОШ № 22 ИМ. Н.И. КУЗНЕЦОВА"" АГО ШКОЛА № 22 ИМ. Н.И. КУЗНЕЦОВА")</f>
        <v>МБОУ "СОШ № 22 ИМ. Н.И. КУЗНЕЦОВА" АГО ШКОЛА № 22 ИМ. Н.И. КУЗНЕЦОВА</v>
      </c>
      <c r="B6463" s="24" t="s">
        <v>8402</v>
      </c>
      <c r="C6463" s="25">
        <v>166502.79999999999</v>
      </c>
      <c r="D6463" s="22" t="s">
        <v>8403</v>
      </c>
      <c r="E6463" s="22" t="s">
        <v>59</v>
      </c>
      <c r="F6463" s="23" t="str">
        <f>HYPERLINK("https://www.spark-marketing.ru/Card/Lot/71317474", "Установка (модернизация имеющегося) внутреннего и наружного видеонаблюдения")</f>
        <v>Установка (модернизация имеющегося) внутреннего и наружного видеонаблюдения</v>
      </c>
      <c r="G6463" s="22" t="s">
        <v>72</v>
      </c>
      <c r="H6463" s="22" t="s">
        <v>692</v>
      </c>
      <c r="I6463" s="26">
        <v>43629.465972222199</v>
      </c>
      <c r="J6463" s="28" t="s">
        <v>52</v>
      </c>
      <c r="K6463" s="28" t="s">
        <v>52</v>
      </c>
      <c r="L6463" s="28" t="s">
        <v>52</v>
      </c>
      <c r="M6463" s="28" t="s">
        <v>52</v>
      </c>
      <c r="N6463" s="28" t="s">
        <v>52</v>
      </c>
    </row>
    <row r="6464" spans="1:14" ht="12.75" hidden="1" outlineLevel="1" x14ac:dyDescent="0.2">
      <c r="A6464" s="23" t="str">
        <f>HYPERLINK("https://www.spark-marketing.ru/Card/Person/17492", "МБОУ ""СОШ № 22 ИМ. Н.И. КУЗНЕЦОВА"" АГО ШКОЛА № 22 ИМ. Н.И. КУЗНЕЦОВА")</f>
        <v>МБОУ "СОШ № 22 ИМ. Н.И. КУЗНЕЦОВА" АГО ШКОЛА № 22 ИМ. Н.И. КУЗНЕЦОВА</v>
      </c>
      <c r="B6464" s="24" t="s">
        <v>8402</v>
      </c>
      <c r="C6464" s="25">
        <v>166502.79999999999</v>
      </c>
      <c r="D6464" s="22" t="s">
        <v>8403</v>
      </c>
      <c r="E6464" s="22" t="s">
        <v>59</v>
      </c>
      <c r="F6464" s="23" t="str">
        <f>HYPERLINK("https://www.spark-marketing.ru/Card/Lot/71317474", "Установка (модернизация имеющегося) внутреннего и наружного видеонаблюдения")</f>
        <v>Установка (модернизация имеющегося) внутреннего и наружного видеонаблюдения</v>
      </c>
      <c r="G6464" s="22" t="s">
        <v>72</v>
      </c>
      <c r="H6464" s="22" t="s">
        <v>692</v>
      </c>
      <c r="I6464" s="26">
        <v>43629.465972222199</v>
      </c>
      <c r="J6464" s="23" t="str">
        <f>HYPERLINK("https://www.spark-marketing.ru/Card/Person/6321814", "Юдин Сергей Петрович")</f>
        <v>Юдин Сергей Петрович</v>
      </c>
      <c r="K6464" s="24" t="s">
        <v>1264</v>
      </c>
      <c r="L6464" s="22" t="s">
        <v>10</v>
      </c>
      <c r="M6464" s="25">
        <v>127295.61</v>
      </c>
      <c r="N6464" s="27">
        <v>0.23547465868441853</v>
      </c>
    </row>
    <row r="6465" spans="1:14" hidden="1" outlineLevel="1" x14ac:dyDescent="0.2">
      <c r="A6465" s="23" t="str">
        <f>HYPERLINK("https://www.spark-marketing.ru/Card/Person/17492", "МБОУ ""СОШ № 22 ИМ. Н.И. КУЗНЕЦОВА"" АГО ШКОЛА № 22 ИМ. Н.И. КУЗНЕЦОВА")</f>
        <v>МБОУ "СОШ № 22 ИМ. Н.И. КУЗНЕЦОВА" АГО ШКОЛА № 22 ИМ. Н.И. КУЗНЕЦОВА</v>
      </c>
      <c r="B6465" s="24" t="s">
        <v>8402</v>
      </c>
      <c r="C6465" s="25">
        <v>166502.79999999999</v>
      </c>
      <c r="D6465" s="22" t="s">
        <v>8403</v>
      </c>
      <c r="E6465" s="22" t="s">
        <v>59</v>
      </c>
      <c r="F6465" s="23" t="str">
        <f>HYPERLINK("https://www.spark-marketing.ru/Card/Lot/71317474", "Установка (модернизация имеющегося) внутреннего и наружного видеонаблюдения")</f>
        <v>Установка (модернизация имеющегося) внутреннего и наружного видеонаблюдения</v>
      </c>
      <c r="G6465" s="22" t="s">
        <v>72</v>
      </c>
      <c r="H6465" s="22" t="s">
        <v>692</v>
      </c>
      <c r="I6465" s="26">
        <v>43629.465972222199</v>
      </c>
      <c r="J6465" s="23" t="str">
        <f>HYPERLINK("https://www.spark-marketing.ru/Card/Person/5853123", "Ершов Андрей Алексеевич")</f>
        <v>Ершов Андрей Алексеевич</v>
      </c>
      <c r="K6465" s="24" t="s">
        <v>1063</v>
      </c>
      <c r="L6465" s="28" t="s">
        <v>52</v>
      </c>
      <c r="M6465" s="25">
        <v>128128.12</v>
      </c>
      <c r="N6465" s="27">
        <v>0.23047468270803853</v>
      </c>
    </row>
    <row r="6466" spans="1:14" x14ac:dyDescent="0.15">
      <c r="A6466" s="23" t="str">
        <f>HYPERLINK("https://www.spark-marketing.ru/Card/Person/161812", "Упр Генпрокуратуры в ДФО")</f>
        <v>Упр Генпрокуратуры в ДФО</v>
      </c>
      <c r="B6466" s="24" t="s">
        <v>8404</v>
      </c>
      <c r="C6466" s="25">
        <v>126725.34</v>
      </c>
      <c r="D6466" s="22" t="s">
        <v>8405</v>
      </c>
      <c r="E6466" s="22" t="s">
        <v>68</v>
      </c>
      <c r="F6466" s="23" t="str">
        <f>HYPERLINK("https://www.spark-marketing.ru/Card/Lot/71311708", "Оказание услуг по централизованной охране объектов")</f>
        <v>Оказание услуг по централизованной охране объектов</v>
      </c>
      <c r="G6466" s="22" t="s">
        <v>138</v>
      </c>
      <c r="H6466" s="22" t="s">
        <v>255</v>
      </c>
      <c r="I6466" s="26">
        <v>43629.440972222197</v>
      </c>
      <c r="J6466" s="28" t="s">
        <v>52</v>
      </c>
      <c r="K6466" s="28" t="s">
        <v>52</v>
      </c>
      <c r="L6466" s="28" t="s">
        <v>52</v>
      </c>
      <c r="M6466" s="28" t="s">
        <v>52</v>
      </c>
      <c r="N6466" s="28" t="s">
        <v>52</v>
      </c>
    </row>
    <row r="6467" spans="1:14" x14ac:dyDescent="0.15">
      <c r="A6467" s="23" t="str">
        <f>HYPERLINK("https://www.spark-marketing.ru/Card/Person/1235", "ФКУ ""РОСДОРТЕХНОЛОГИЯ""")</f>
        <v>ФКУ "РОСДОРТЕХНОЛОГИЯ"</v>
      </c>
      <c r="B6467" s="24" t="s">
        <v>8406</v>
      </c>
      <c r="C6467" s="25">
        <v>99999</v>
      </c>
      <c r="D6467" s="22" t="s">
        <v>8407</v>
      </c>
      <c r="E6467" s="22" t="s">
        <v>53</v>
      </c>
      <c r="F6467" s="23" t="str">
        <f>HYPERLINK("https://www.spark-marketing.ru/Card/Lot/71319097", "Монтаж, установка, модернизация систем видеонаблюдения, 1 шт")</f>
        <v>Монтаж, установка, модернизация систем видеонаблюдения, 1 шт</v>
      </c>
      <c r="G6467" s="22" t="s">
        <v>55</v>
      </c>
      <c r="H6467" s="22" t="s">
        <v>55</v>
      </c>
      <c r="I6467" s="26">
        <v>43629.442465277803</v>
      </c>
      <c r="J6467" s="28" t="s">
        <v>52</v>
      </c>
      <c r="K6467" s="28" t="s">
        <v>52</v>
      </c>
      <c r="L6467" s="28" t="s">
        <v>52</v>
      </c>
      <c r="M6467" s="28" t="s">
        <v>52</v>
      </c>
      <c r="N6467" s="28" t="s">
        <v>52</v>
      </c>
    </row>
    <row r="6468" spans="1:14" x14ac:dyDescent="0.15">
      <c r="A6468" s="23" t="str">
        <f>HYPERLINK("https://www.spark-marketing.ru/Card/Person/9427", "ГКОУ МО ХОТЬКОВСКАЯ ШКОЛА-ИНТЕРНАТ")</f>
        <v>ГКОУ МО ХОТЬКОВСКАЯ ШКОЛА-ИНТЕРНАТ</v>
      </c>
      <c r="B6468" s="24" t="s">
        <v>2109</v>
      </c>
      <c r="C6468" s="25">
        <v>100000</v>
      </c>
      <c r="D6468" s="22" t="s">
        <v>8408</v>
      </c>
      <c r="E6468" s="22" t="s">
        <v>208</v>
      </c>
      <c r="F6468" s="23" t="str">
        <f>HYPERLINK("https://www.spark-marketing.ru/Card/Lot/71326147", "Закупка, установка арочных (стационарных) металлообнаружителей")</f>
        <v>Закупка, установка арочных (стационарных) металлообнаружителей</v>
      </c>
      <c r="G6468" s="22" t="s">
        <v>50</v>
      </c>
      <c r="H6468" s="22" t="s">
        <v>326</v>
      </c>
      <c r="I6468" s="26">
        <v>43629.456944444399</v>
      </c>
      <c r="J6468" s="28" t="s">
        <v>52</v>
      </c>
      <c r="K6468" s="28" t="s">
        <v>52</v>
      </c>
      <c r="L6468" s="28" t="s">
        <v>52</v>
      </c>
      <c r="M6468" s="28" t="s">
        <v>52</v>
      </c>
      <c r="N6468" s="28" t="s">
        <v>52</v>
      </c>
    </row>
    <row r="6469" spans="1:14" ht="12.75" hidden="1" outlineLevel="1" x14ac:dyDescent="0.2">
      <c r="A6469" s="23" t="str">
        <f>HYPERLINK("https://www.spark-marketing.ru/Card/Person/9427", "ГКОУ МО ХОТЬКОВСКАЯ ШКОЛА-ИНТЕРНАТ")</f>
        <v>ГКОУ МО ХОТЬКОВСКАЯ ШКОЛА-ИНТЕРНАТ</v>
      </c>
      <c r="B6469" s="24" t="s">
        <v>2109</v>
      </c>
      <c r="C6469" s="25">
        <v>100000</v>
      </c>
      <c r="D6469" s="22" t="s">
        <v>8408</v>
      </c>
      <c r="E6469" s="22" t="s">
        <v>208</v>
      </c>
      <c r="F6469" s="23" t="str">
        <f>HYPERLINK("https://www.spark-marketing.ru/Card/Lot/71326147", "Закупка, установка арочных (стационарных) металлообнаружителей")</f>
        <v>Закупка, установка арочных (стационарных) металлообнаружителей</v>
      </c>
      <c r="G6469" s="22" t="s">
        <v>50</v>
      </c>
      <c r="H6469" s="22" t="s">
        <v>326</v>
      </c>
      <c r="I6469" s="26">
        <v>43629.456944444399</v>
      </c>
      <c r="J6469" s="23" t="str">
        <f>HYPERLINK("https://www.spark-marketing.ru/Card/Person/1390968", "ООО ""ФОРМУЛА БЕЗОПАСНОСТИ""")</f>
        <v>ООО "ФОРМУЛА БЕЗОПАСНОСТИ"</v>
      </c>
      <c r="K6469" s="24" t="s">
        <v>8409</v>
      </c>
      <c r="L6469" s="22" t="s">
        <v>10</v>
      </c>
      <c r="M6469" s="25">
        <v>98000</v>
      </c>
      <c r="N6469" s="27">
        <v>0.02</v>
      </c>
    </row>
    <row r="6470" spans="1:14" hidden="1" outlineLevel="1" x14ac:dyDescent="0.2">
      <c r="A6470" s="23" t="str">
        <f>HYPERLINK("https://www.spark-marketing.ru/Card/Person/9427", "ГКОУ МО ХОТЬКОВСКАЯ ШКОЛА-ИНТЕРНАТ")</f>
        <v>ГКОУ МО ХОТЬКОВСКАЯ ШКОЛА-ИНТЕРНАТ</v>
      </c>
      <c r="B6470" s="24" t="s">
        <v>2109</v>
      </c>
      <c r="C6470" s="25">
        <v>100000</v>
      </c>
      <c r="D6470" s="22" t="s">
        <v>8408</v>
      </c>
      <c r="E6470" s="22" t="s">
        <v>208</v>
      </c>
      <c r="F6470" s="23" t="str">
        <f>HYPERLINK("https://www.spark-marketing.ru/Card/Lot/71326147", "Закупка, установка арочных (стационарных) металлообнаружителей")</f>
        <v>Закупка, установка арочных (стационарных) металлообнаружителей</v>
      </c>
      <c r="G6470" s="22" t="s">
        <v>50</v>
      </c>
      <c r="H6470" s="22" t="s">
        <v>326</v>
      </c>
      <c r="I6470" s="26">
        <v>43629.456944444399</v>
      </c>
      <c r="J6470" s="23" t="str">
        <f>HYPERLINK("https://www.spark-marketing.ru/Card/Person/6493571", "ООО ""АНТИГАН""")</f>
        <v>ООО "АНТИГАН"</v>
      </c>
      <c r="K6470" s="24" t="s">
        <v>6048</v>
      </c>
      <c r="L6470" s="28" t="s">
        <v>52</v>
      </c>
      <c r="M6470" s="25">
        <v>99500</v>
      </c>
      <c r="N6470" s="27">
        <v>5.0000000000000001E-3</v>
      </c>
    </row>
    <row r="6471" spans="1:14" x14ac:dyDescent="0.15">
      <c r="A6471" s="23" t="str">
        <f>HYPERLINK("https://www.spark-marketing.ru/Card/Person/380459", "МЕЖРАЙОННАЯ ИФНС РОССИИ № 4 ПО ОРЕНБУРГСКОЙ ОБЛАСТИ")</f>
        <v>МЕЖРАЙОННАЯ ИФНС РОССИИ № 4 ПО ОРЕНБУРГСКОЙ ОБЛАСТИ</v>
      </c>
      <c r="B6471" s="24" t="s">
        <v>4960</v>
      </c>
      <c r="C6471" s="25">
        <v>117797.88</v>
      </c>
      <c r="D6471" s="22" t="s">
        <v>8410</v>
      </c>
      <c r="E6471" s="22" t="s">
        <v>194</v>
      </c>
      <c r="F6471" s="23" t="str">
        <f>HYPERLINK("https://www.spark-marketing.ru/Card/Lot/71317506", "Поставка и установка видеооборудования")</f>
        <v>Поставка и установка видеооборудования</v>
      </c>
      <c r="G6471" s="22" t="s">
        <v>384</v>
      </c>
      <c r="H6471" s="22" t="s">
        <v>4962</v>
      </c>
      <c r="I6471" s="26">
        <v>43629.445138888899</v>
      </c>
      <c r="J6471" s="23" t="str">
        <f>HYPERLINK("https://www.spark-marketing.ru/Card/Person/6578614", "Дайнеко Роман Александрович")</f>
        <v>Дайнеко Роман Александрович</v>
      </c>
      <c r="K6471" s="24" t="s">
        <v>3983</v>
      </c>
      <c r="L6471" s="22" t="s">
        <v>10</v>
      </c>
      <c r="M6471" s="28" t="s">
        <v>52</v>
      </c>
      <c r="N6471" s="28" t="s">
        <v>52</v>
      </c>
    </row>
    <row r="6472" spans="1:14" x14ac:dyDescent="0.2">
      <c r="A6472" s="23" t="str">
        <f>HYPERLINK("https://www.spark-marketing.ru/Card/Person/345642", "ГАУЗ КО АСГБ")</f>
        <v>ГАУЗ КО АСГБ</v>
      </c>
      <c r="B6472" s="24" t="s">
        <v>8411</v>
      </c>
      <c r="C6472" s="25">
        <v>3153500</v>
      </c>
      <c r="D6472" s="22" t="s">
        <v>8412</v>
      </c>
      <c r="E6472" s="22" t="s">
        <v>8413</v>
      </c>
      <c r="F6472" s="23" t="str">
        <f>HYPERLINK("https://www.spark-marketing.ru/Card/Lot/71312667", "Оказание услуг по охране объекта")</f>
        <v>Оказание услуг по охране объекта</v>
      </c>
      <c r="G6472" s="22" t="s">
        <v>367</v>
      </c>
      <c r="H6472" s="22" t="s">
        <v>367</v>
      </c>
      <c r="I6472" s="26">
        <v>43629.386550925898</v>
      </c>
      <c r="J6472" s="23" t="str">
        <f>HYPERLINK("https://www.spark-marketing.ru/Card/Person/612648", "ООО ЧОП ""ЭЛЬБРУС""")</f>
        <v>ООО ЧОП "ЭЛЬБРУС"</v>
      </c>
      <c r="K6472" s="24" t="s">
        <v>8414</v>
      </c>
      <c r="L6472" s="28" t="s">
        <v>52</v>
      </c>
      <c r="M6472" s="25">
        <v>3150000</v>
      </c>
      <c r="N6472" s="27">
        <v>1.1098779134295228E-3</v>
      </c>
    </row>
    <row r="6473" spans="1:14" x14ac:dyDescent="0.15">
      <c r="A6473" s="23" t="str">
        <f>HYPERLINK("https://www.spark-marketing.ru/Card/Person/5642", "МО МВД РОССИИ ""СВОБОДНЕНСКИЙ""")</f>
        <v>МО МВД РОССИИ "СВОБОДНЕНСКИЙ"</v>
      </c>
      <c r="B6473" s="24" t="s">
        <v>8415</v>
      </c>
      <c r="C6473" s="25">
        <v>29298</v>
      </c>
      <c r="D6473" s="22" t="s">
        <v>8416</v>
      </c>
      <c r="E6473" s="22" t="s">
        <v>53</v>
      </c>
      <c r="F6473" s="23" t="str">
        <f>HYPERLINK("https://www.spark-marketing.ru/Card/Lot/71316679", "проверка технического состояния транспортных средств на предмет их соответствия обязательным требованиям безопасности транспортных средств")</f>
        <v>проверка технического состояния транспортных средств на предмет их соответствия обязательным требованиям безопасности транспортных средств</v>
      </c>
      <c r="G6473" s="22" t="s">
        <v>230</v>
      </c>
      <c r="H6473" s="22" t="s">
        <v>1065</v>
      </c>
      <c r="I6473" s="26">
        <v>43629.407986111102</v>
      </c>
      <c r="J6473" s="28" t="s">
        <v>52</v>
      </c>
      <c r="K6473" s="28" t="s">
        <v>52</v>
      </c>
      <c r="L6473" s="28" t="s">
        <v>52</v>
      </c>
      <c r="M6473" s="28" t="s">
        <v>52</v>
      </c>
      <c r="N6473" s="28" t="s">
        <v>52</v>
      </c>
    </row>
    <row r="6474" spans="1:14" x14ac:dyDescent="0.15">
      <c r="A6474" s="23" t="str">
        <f>HYPERLINK("https://www.spark-marketing.ru/Card/Person/151498", "МДОУ ""ЦРР-ДЕТСКИЙ САД №10 ""РАДУГА""")</f>
        <v>МДОУ "ЦРР-ДЕТСКИЙ САД №10 "РАДУГА"</v>
      </c>
      <c r="B6474" s="24" t="s">
        <v>8417</v>
      </c>
      <c r="C6474" s="25">
        <v>278000</v>
      </c>
      <c r="D6474" s="22" t="s">
        <v>8418</v>
      </c>
      <c r="E6474" s="22" t="s">
        <v>84</v>
      </c>
      <c r="F6474" s="23" t="str">
        <f>HYPERLINK("https://www.spark-marketing.ru/Card/Lot/71317310", "на оказание услуг по согласованию, 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технологического обеспечения региональной общественной безопа...")</f>
        <v>на оказание услуг по согласованию, 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технологического обеспечения региональной общественной безопа...</v>
      </c>
      <c r="G6474" s="22" t="s">
        <v>50</v>
      </c>
      <c r="H6474" s="22" t="s">
        <v>738</v>
      </c>
      <c r="I6474" s="26">
        <v>43629.389236111099</v>
      </c>
      <c r="J6474" s="28" t="s">
        <v>52</v>
      </c>
      <c r="K6474" s="28" t="s">
        <v>52</v>
      </c>
      <c r="L6474" s="28" t="s">
        <v>52</v>
      </c>
      <c r="M6474" s="28" t="s">
        <v>52</v>
      </c>
      <c r="N6474" s="28" t="s">
        <v>52</v>
      </c>
    </row>
    <row r="6475" spans="1:14" x14ac:dyDescent="0.15">
      <c r="A6475" s="23" t="str">
        <f>HYPERLINK("https://www.spark-marketing.ru/Card/Person/24468", "МЕЖРАЙОННАЯ ИФНС РОССИИ № 17 ПО ПЕРМСКОМУ КРАЮ")</f>
        <v>МЕЖРАЙОННАЯ ИФНС РОССИИ № 17 ПО ПЕРМСКОМУ КРАЮ</v>
      </c>
      <c r="B6475" s="24" t="s">
        <v>8419</v>
      </c>
      <c r="C6475" s="25">
        <v>31573.599999999999</v>
      </c>
      <c r="D6475" s="22" t="s">
        <v>8420</v>
      </c>
      <c r="E6475" s="22" t="s">
        <v>53</v>
      </c>
      <c r="F6475" s="23" t="str">
        <f>HYPERLINK("https://www.spark-marketing.ru/Card/Lot/71316565", "Видеодомофоны малоабонентные, 1 шт")</f>
        <v>Видеодомофоны малоабонентные, 1 шт</v>
      </c>
      <c r="G6475" s="22" t="s">
        <v>391</v>
      </c>
      <c r="H6475" s="22" t="s">
        <v>392</v>
      </c>
      <c r="I6475" s="26">
        <v>43629.3838888889</v>
      </c>
      <c r="J6475" s="28" t="s">
        <v>52</v>
      </c>
      <c r="K6475" s="28" t="s">
        <v>52</v>
      </c>
      <c r="L6475" s="28" t="s">
        <v>52</v>
      </c>
      <c r="M6475" s="28" t="s">
        <v>52</v>
      </c>
      <c r="N6475" s="28" t="s">
        <v>52</v>
      </c>
    </row>
    <row r="6476" spans="1:14" x14ac:dyDescent="0.15">
      <c r="A6476" s="23" t="str">
        <f t="shared" ref="A6476:A6482" si="268">HYPERLINK("https://www.spark-marketing.ru/Card/Person/960939", "ГКУ ""СТАВРОПОЛЬСКИЙ СИКЦ""")</f>
        <v>ГКУ "СТАВРОПОЛЬСКИЙ СИКЦ"</v>
      </c>
      <c r="B6476" s="24" t="s">
        <v>8421</v>
      </c>
      <c r="C6476" s="25">
        <v>531421.43999999994</v>
      </c>
      <c r="D6476" s="22" t="s">
        <v>8422</v>
      </c>
      <c r="E6476" s="22" t="s">
        <v>68</v>
      </c>
      <c r="F6476" s="23" t="str">
        <f t="shared" ref="F6476:F6482" si="269">HYPERLINK("https://www.spark-marketing.ru/Card/Lot/71318639", "Услуги по охране объектов и имущества")</f>
        <v>Услуги по охране объектов и имущества</v>
      </c>
      <c r="G6476" s="22" t="s">
        <v>258</v>
      </c>
      <c r="H6476" s="22" t="s">
        <v>546</v>
      </c>
      <c r="I6476" s="26">
        <v>43629.394444444399</v>
      </c>
      <c r="J6476" s="28" t="s">
        <v>52</v>
      </c>
      <c r="K6476" s="28" t="s">
        <v>52</v>
      </c>
      <c r="L6476" s="28" t="s">
        <v>52</v>
      </c>
      <c r="M6476" s="28" t="s">
        <v>52</v>
      </c>
      <c r="N6476" s="28" t="s">
        <v>52</v>
      </c>
    </row>
    <row r="6477" spans="1:14" hidden="1" outlineLevel="1" x14ac:dyDescent="0.2">
      <c r="A6477" s="23" t="str">
        <f t="shared" si="268"/>
        <v>ГКУ "СТАВРОПОЛЬСКИЙ СИКЦ"</v>
      </c>
      <c r="B6477" s="24" t="s">
        <v>8421</v>
      </c>
      <c r="C6477" s="25">
        <v>531421.43999999994</v>
      </c>
      <c r="D6477" s="22" t="s">
        <v>8422</v>
      </c>
      <c r="E6477" s="22" t="s">
        <v>68</v>
      </c>
      <c r="F6477" s="23" t="str">
        <f t="shared" si="269"/>
        <v>Услуги по охране объектов и имущества</v>
      </c>
      <c r="G6477" s="22" t="s">
        <v>258</v>
      </c>
      <c r="H6477" s="22" t="s">
        <v>546</v>
      </c>
      <c r="I6477" s="26">
        <v>43629.394444444399</v>
      </c>
      <c r="J6477" s="23" t="str">
        <f>HYPERLINK("https://www.spark-marketing.ru/Card/Person/1229976", "ООО ""ЧОП ""ТИТАН +""")</f>
        <v>ООО "ЧОП "ТИТАН +"</v>
      </c>
      <c r="K6477" s="24" t="s">
        <v>5306</v>
      </c>
      <c r="L6477" s="28" t="s">
        <v>52</v>
      </c>
      <c r="M6477" s="25">
        <v>390286.7</v>
      </c>
      <c r="N6477" s="27">
        <v>0.26557968756397937</v>
      </c>
    </row>
    <row r="6478" spans="1:14" hidden="1" outlineLevel="1" x14ac:dyDescent="0.2">
      <c r="A6478" s="23" t="str">
        <f t="shared" si="268"/>
        <v>ГКУ "СТАВРОПОЛЬСКИЙ СИКЦ"</v>
      </c>
      <c r="B6478" s="24" t="s">
        <v>8421</v>
      </c>
      <c r="C6478" s="25">
        <v>531421.43999999994</v>
      </c>
      <c r="D6478" s="22" t="s">
        <v>8422</v>
      </c>
      <c r="E6478" s="22" t="s">
        <v>68</v>
      </c>
      <c r="F6478" s="23" t="str">
        <f t="shared" si="269"/>
        <v>Услуги по охране объектов и имущества</v>
      </c>
      <c r="G6478" s="22" t="s">
        <v>258</v>
      </c>
      <c r="H6478" s="22" t="s">
        <v>546</v>
      </c>
      <c r="I6478" s="26">
        <v>43629.394444444399</v>
      </c>
      <c r="J6478" s="23" t="str">
        <f>HYPERLINK("https://www.spark-marketing.ru/Card/Person/103533", "ООО ОП ""КЕВЛАР-ПЛЮС""")</f>
        <v>ООО ОП "КЕВЛАР-ПЛЮС"</v>
      </c>
      <c r="K6478" s="24" t="s">
        <v>8423</v>
      </c>
      <c r="L6478" s="28" t="s">
        <v>52</v>
      </c>
      <c r="M6478" s="25">
        <v>448743.12</v>
      </c>
      <c r="N6478" s="27">
        <v>0.15557957164844535</v>
      </c>
    </row>
    <row r="6479" spans="1:14" hidden="1" outlineLevel="1" x14ac:dyDescent="0.2">
      <c r="A6479" s="23" t="str">
        <f t="shared" si="268"/>
        <v>ГКУ "СТАВРОПОЛЬСКИЙ СИКЦ"</v>
      </c>
      <c r="B6479" s="24" t="s">
        <v>8421</v>
      </c>
      <c r="C6479" s="25">
        <v>531421.43999999994</v>
      </c>
      <c r="D6479" s="22" t="s">
        <v>8422</v>
      </c>
      <c r="E6479" s="22" t="s">
        <v>68</v>
      </c>
      <c r="F6479" s="23" t="str">
        <f t="shared" si="269"/>
        <v>Услуги по охране объектов и имущества</v>
      </c>
      <c r="G6479" s="22" t="s">
        <v>258</v>
      </c>
      <c r="H6479" s="22" t="s">
        <v>546</v>
      </c>
      <c r="I6479" s="26">
        <v>43629.394444444399</v>
      </c>
      <c r="J6479" s="23" t="str">
        <f>HYPERLINK("https://www.spark-marketing.ru/Card/Person/1217064", "ООО ЧОП ""САМУРАЙ""")</f>
        <v>ООО ЧОП "САМУРАЙ"</v>
      </c>
      <c r="K6479" s="24" t="s">
        <v>8424</v>
      </c>
      <c r="L6479" s="28" t="s">
        <v>52</v>
      </c>
      <c r="M6479" s="25">
        <v>279371.56</v>
      </c>
      <c r="N6479" s="27">
        <v>0.47429377331859252</v>
      </c>
    </row>
    <row r="6480" spans="1:14" hidden="1" outlineLevel="1" x14ac:dyDescent="0.2">
      <c r="A6480" s="23" t="str">
        <f t="shared" si="268"/>
        <v>ГКУ "СТАВРОПОЛЬСКИЙ СИКЦ"</v>
      </c>
      <c r="B6480" s="24" t="s">
        <v>8421</v>
      </c>
      <c r="C6480" s="25">
        <v>531421.43999999994</v>
      </c>
      <c r="D6480" s="22" t="s">
        <v>8422</v>
      </c>
      <c r="E6480" s="22" t="s">
        <v>68</v>
      </c>
      <c r="F6480" s="23" t="str">
        <f t="shared" si="269"/>
        <v>Услуги по охране объектов и имущества</v>
      </c>
      <c r="G6480" s="22" t="s">
        <v>258</v>
      </c>
      <c r="H6480" s="22" t="s">
        <v>546</v>
      </c>
      <c r="I6480" s="26">
        <v>43629.394444444399</v>
      </c>
      <c r="J6480" s="23" t="str">
        <f>HYPERLINK("https://www.spark-marketing.ru/Card/Person/115779", "ООО ""ЧОО ""ПРИДОНЬЕ""")</f>
        <v>ООО "ЧОО "ПРИДОНЬЕ"</v>
      </c>
      <c r="K6480" s="24" t="s">
        <v>8425</v>
      </c>
      <c r="L6480" s="28" t="s">
        <v>52</v>
      </c>
      <c r="M6480" s="25">
        <v>408886.47</v>
      </c>
      <c r="N6480" s="27">
        <v>0.23057965068176398</v>
      </c>
    </row>
    <row r="6481" spans="1:14" hidden="1" outlineLevel="1" x14ac:dyDescent="0.2">
      <c r="A6481" s="23" t="str">
        <f t="shared" si="268"/>
        <v>ГКУ "СТАВРОПОЛЬСКИЙ СИКЦ"</v>
      </c>
      <c r="B6481" s="24" t="s">
        <v>8421</v>
      </c>
      <c r="C6481" s="25">
        <v>531421.43999999994</v>
      </c>
      <c r="D6481" s="22" t="s">
        <v>8422</v>
      </c>
      <c r="E6481" s="22" t="s">
        <v>68</v>
      </c>
      <c r="F6481" s="23" t="str">
        <f t="shared" si="269"/>
        <v>Услуги по охране объектов и имущества</v>
      </c>
      <c r="G6481" s="22" t="s">
        <v>258</v>
      </c>
      <c r="H6481" s="22" t="s">
        <v>546</v>
      </c>
      <c r="I6481" s="26">
        <v>43629.394444444399</v>
      </c>
      <c r="J6481" s="23" t="str">
        <f>HYPERLINK("https://www.spark-marketing.ru/Card/Person/4354371", "ООО ОП ""ЛЕГАТ""")</f>
        <v>ООО ОП "ЛЕГАТ"</v>
      </c>
      <c r="K6481" s="24" t="s">
        <v>8426</v>
      </c>
      <c r="L6481" s="28" t="s">
        <v>52</v>
      </c>
      <c r="M6481" s="25">
        <v>290000</v>
      </c>
      <c r="N6481" s="27">
        <v>0.45429375224304086</v>
      </c>
    </row>
    <row r="6482" spans="1:14" ht="12.75" hidden="1" outlineLevel="1" x14ac:dyDescent="0.2">
      <c r="A6482" s="23" t="str">
        <f t="shared" si="268"/>
        <v>ГКУ "СТАВРОПОЛЬСКИЙ СИКЦ"</v>
      </c>
      <c r="B6482" s="24" t="s">
        <v>8421</v>
      </c>
      <c r="C6482" s="25">
        <v>531421.43999999994</v>
      </c>
      <c r="D6482" s="22" t="s">
        <v>8422</v>
      </c>
      <c r="E6482" s="22" t="s">
        <v>68</v>
      </c>
      <c r="F6482" s="23" t="str">
        <f t="shared" si="269"/>
        <v>Услуги по охране объектов и имущества</v>
      </c>
      <c r="G6482" s="22" t="s">
        <v>258</v>
      </c>
      <c r="H6482" s="22" t="s">
        <v>546</v>
      </c>
      <c r="I6482" s="26">
        <v>43629.394444444399</v>
      </c>
      <c r="J6482" s="23" t="str">
        <f>HYPERLINK("https://www.spark-marketing.ru/Card/Person/6429258", "ООО ЧОО ""ЗЕВС""")</f>
        <v>ООО ЧОО "ЗЕВС"</v>
      </c>
      <c r="K6482" s="24" t="s">
        <v>5307</v>
      </c>
      <c r="L6482" s="22" t="s">
        <v>10</v>
      </c>
      <c r="M6482" s="25">
        <v>276714.45</v>
      </c>
      <c r="N6482" s="27">
        <v>0.4792937785874804</v>
      </c>
    </row>
    <row r="6483" spans="1:14" x14ac:dyDescent="0.15">
      <c r="A6483" s="23" t="str">
        <f>HYPERLINK("https://www.spark-marketing.ru/Card/Person/151498", "МДОУ ""ЦРР-ДЕТСКИЙ САД №10 ""РАДУГА""")</f>
        <v>МДОУ "ЦРР-ДЕТСКИЙ САД №10 "РАДУГА"</v>
      </c>
      <c r="B6483" s="24" t="s">
        <v>8417</v>
      </c>
      <c r="C6483" s="25">
        <v>399000</v>
      </c>
      <c r="D6483" s="22" t="s">
        <v>8427</v>
      </c>
      <c r="E6483" s="22" t="s">
        <v>84</v>
      </c>
      <c r="F6483" s="23" t="str">
        <f>HYPERLINK("https://www.spark-marketing.ru/Card/Lot/71317301", "оказание услуг по согласованию, 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технологического обеспечения региональной общественной безопасно...")</f>
        <v>оказание услуг по согласованию, установке и подключения дополнительного оборудования системы видеонаблюдения в соответствии с общими техническими требованиями к системам видеонаблюдения технологического обеспечения региональной общественной безопасно...</v>
      </c>
      <c r="G6483" s="22" t="s">
        <v>50</v>
      </c>
      <c r="H6483" s="22" t="s">
        <v>738</v>
      </c>
      <c r="I6483" s="26">
        <v>43629.388981481497</v>
      </c>
      <c r="J6483" s="28" t="s">
        <v>52</v>
      </c>
      <c r="K6483" s="28" t="s">
        <v>52</v>
      </c>
      <c r="L6483" s="28" t="s">
        <v>52</v>
      </c>
      <c r="M6483" s="28" t="s">
        <v>52</v>
      </c>
      <c r="N6483" s="28" t="s">
        <v>52</v>
      </c>
    </row>
    <row r="6484" spans="1:14" x14ac:dyDescent="0.15">
      <c r="A6484" s="23" t="str">
        <f>HYPERLINK("https://www.spark-marketing.ru/Card/Person/357793", "УПРАВЛЕНИЕ РОСРЕЗЕРВА ПО ЮЖНОМУ ФЕДЕРАЛЬНОМУ ОКРУГУ")</f>
        <v>УПРАВЛЕНИЕ РОСРЕЗЕРВА ПО ЮЖНОМУ ФЕДЕРАЛЬНОМУ ОКРУГУ</v>
      </c>
      <c r="B6484" s="24" t="s">
        <v>8381</v>
      </c>
      <c r="C6484" s="25">
        <v>64800</v>
      </c>
      <c r="D6484" s="22" t="s">
        <v>8428</v>
      </c>
      <c r="E6484" s="22" t="s">
        <v>103</v>
      </c>
      <c r="F6484" s="23" t="str">
        <f>HYPERLINK("https://www.spark-marketing.ru/Card/Lot/71314025", "Обслуживание систем видеонаблюдения, 1 усл. ед")</f>
        <v>Обслуживание систем видеонаблюдения, 1 усл. ед</v>
      </c>
      <c r="G6484" s="22" t="s">
        <v>402</v>
      </c>
      <c r="H6484" s="22" t="s">
        <v>403</v>
      </c>
      <c r="I6484" s="26">
        <v>43629.363032407397</v>
      </c>
      <c r="J6484" s="28" t="s">
        <v>52</v>
      </c>
      <c r="K6484" s="28" t="s">
        <v>52</v>
      </c>
      <c r="L6484" s="28" t="s">
        <v>52</v>
      </c>
      <c r="M6484" s="28" t="s">
        <v>52</v>
      </c>
      <c r="N6484" s="28" t="s">
        <v>52</v>
      </c>
    </row>
    <row r="6485" spans="1:14" x14ac:dyDescent="0.15">
      <c r="A6485" s="23" t="str">
        <f>HYPERLINK("https://www.spark-marketing.ru/Card/Person/256472", "БОУДО УР РЦДОД")</f>
        <v>БОУДО УР РЦДОД</v>
      </c>
      <c r="B6485" s="24" t="s">
        <v>8429</v>
      </c>
      <c r="C6485" s="25">
        <v>27329.8</v>
      </c>
      <c r="D6485" s="22" t="s">
        <v>8430</v>
      </c>
      <c r="E6485" s="22" t="s">
        <v>59</v>
      </c>
      <c r="F6485" s="23" t="str">
        <f>HYPERLINK("https://www.spark-marketing.ru/Card/Lot/71314101", "№ зз-20709-19 установка видеодомофона в здании БОУДО УР РЦДОД, расположенного по адресу: г. Ижевск, ул. Орджоникидзе, 39")</f>
        <v>№ зз-20709-19 установка видеодомофона в здании БОУДО УР РЦДОД, расположенного по адресу: г. Ижевск, ул. Орджоникидзе, 39</v>
      </c>
      <c r="G6485" s="22" t="s">
        <v>96</v>
      </c>
      <c r="H6485" s="22" t="s">
        <v>1342</v>
      </c>
      <c r="I6485" s="26">
        <v>43629.354861111096</v>
      </c>
      <c r="J6485" s="28" t="s">
        <v>52</v>
      </c>
      <c r="K6485" s="28" t="s">
        <v>52</v>
      </c>
      <c r="L6485" s="28" t="s">
        <v>52</v>
      </c>
      <c r="M6485" s="28" t="s">
        <v>52</v>
      </c>
      <c r="N6485" s="28" t="s">
        <v>52</v>
      </c>
    </row>
    <row r="6486" spans="1:14" ht="12.75" hidden="1" outlineLevel="1" x14ac:dyDescent="0.2">
      <c r="A6486" s="23" t="str">
        <f>HYPERLINK("https://www.spark-marketing.ru/Card/Person/256472", "БОУДО УР РЦДОД")</f>
        <v>БОУДО УР РЦДОД</v>
      </c>
      <c r="B6486" s="24" t="s">
        <v>8429</v>
      </c>
      <c r="C6486" s="25">
        <v>27329.8</v>
      </c>
      <c r="D6486" s="22" t="s">
        <v>8430</v>
      </c>
      <c r="E6486" s="22" t="s">
        <v>59</v>
      </c>
      <c r="F6486" s="23" t="str">
        <f>HYPERLINK("https://www.spark-marketing.ru/Card/Lot/71314101", "№ зз-20709-19 установка видеодомофона в здании БОУДО УР РЦДОД, расположенного по адресу: г. Ижевск, ул. Орджоникидзе, 39")</f>
        <v>№ зз-20709-19 установка видеодомофона в здании БОУДО УР РЦДОД, расположенного по адресу: г. Ижевск, ул. Орджоникидзе, 39</v>
      </c>
      <c r="G6486" s="22" t="s">
        <v>96</v>
      </c>
      <c r="H6486" s="22" t="s">
        <v>1342</v>
      </c>
      <c r="I6486" s="26">
        <v>43629.354861111096</v>
      </c>
      <c r="J6486" s="23" t="str">
        <f>HYPERLINK("https://www.spark-marketing.ru/Card/Person/1951674", "ООО ОП ""ПАРТНЕР-I""")</f>
        <v>ООО ОП "ПАРТНЕР-I"</v>
      </c>
      <c r="K6486" s="24" t="s">
        <v>8431</v>
      </c>
      <c r="L6486" s="22" t="s">
        <v>10</v>
      </c>
      <c r="M6486" s="25">
        <v>24733.45</v>
      </c>
      <c r="N6486" s="27">
        <v>9.5000695211820058E-2</v>
      </c>
    </row>
    <row r="6487" spans="1:14" hidden="1" outlineLevel="1" x14ac:dyDescent="0.2">
      <c r="A6487" s="23" t="str">
        <f>HYPERLINK("https://www.spark-marketing.ru/Card/Person/256472", "БОУДО УР РЦДОД")</f>
        <v>БОУДО УР РЦДОД</v>
      </c>
      <c r="B6487" s="24" t="s">
        <v>8429</v>
      </c>
      <c r="C6487" s="25">
        <v>27329.8</v>
      </c>
      <c r="D6487" s="22" t="s">
        <v>8430</v>
      </c>
      <c r="E6487" s="22" t="s">
        <v>59</v>
      </c>
      <c r="F6487" s="23" t="str">
        <f>HYPERLINK("https://www.spark-marketing.ru/Card/Lot/71314101", "№ зз-20709-19 установка видеодомофона в здании БОУДО УР РЦДОД, расположенного по адресу: г. Ижевск, ул. Орджоникидзе, 39")</f>
        <v>№ зз-20709-19 установка видеодомофона в здании БОУДО УР РЦДОД, расположенного по адресу: г. Ижевск, ул. Орджоникидзе, 39</v>
      </c>
      <c r="G6487" s="22" t="s">
        <v>96</v>
      </c>
      <c r="H6487" s="22" t="s">
        <v>1342</v>
      </c>
      <c r="I6487" s="26">
        <v>43629.354861111096</v>
      </c>
      <c r="J6487" s="23" t="str">
        <f>HYPERLINK("https://www.spark-marketing.ru/Card/Person/6458488", "ООО ""СУЭМ""")</f>
        <v>ООО "СУЭМ"</v>
      </c>
      <c r="K6487" s="24" t="s">
        <v>8432</v>
      </c>
      <c r="L6487" s="28" t="s">
        <v>52</v>
      </c>
      <c r="M6487" s="25">
        <v>24870.1</v>
      </c>
      <c r="N6487" s="27">
        <v>9.0000658621724267E-2</v>
      </c>
    </row>
    <row r="6488" spans="1:14" x14ac:dyDescent="0.15">
      <c r="A6488" s="23" t="str">
        <f>HYPERLINK("https://www.spark-marketing.ru/Card/Person/29527", "ФГКУ КОМБИНАТ ""КРАСНАЯ ЗАРЯ"" РОСРЕЗЕРВА")</f>
        <v>ФГКУ КОМБИНАТ "КРАСНАЯ ЗАРЯ" РОСРЕЗЕРВА</v>
      </c>
      <c r="B6488" s="24" t="s">
        <v>8433</v>
      </c>
      <c r="C6488" s="25">
        <v>33000</v>
      </c>
      <c r="D6488" s="22" t="s">
        <v>8434</v>
      </c>
      <c r="E6488" s="22" t="s">
        <v>53</v>
      </c>
      <c r="F6488" s="23" t="str">
        <f>HYPERLINK("https://www.spark-marketing.ru/Card/Lot/71314363", "Охранные услуги")</f>
        <v>Охранные услуги</v>
      </c>
      <c r="G6488" s="22" t="s">
        <v>251</v>
      </c>
      <c r="H6488" s="22" t="s">
        <v>252</v>
      </c>
      <c r="I6488" s="26">
        <v>43629.360694444404</v>
      </c>
      <c r="J6488" s="28" t="s">
        <v>52</v>
      </c>
      <c r="K6488" s="28" t="s">
        <v>52</v>
      </c>
      <c r="L6488" s="28" t="s">
        <v>52</v>
      </c>
      <c r="M6488" s="28" t="s">
        <v>52</v>
      </c>
      <c r="N6488" s="28" t="s">
        <v>52</v>
      </c>
    </row>
    <row r="6489" spans="1:14" x14ac:dyDescent="0.15">
      <c r="A6489" s="23" t="str">
        <f>HYPERLINK("https://www.spark-marketing.ru/Card/Person/531043", "ОГАУ ""ТОМСКЛЕСХОЗ""")</f>
        <v>ОГАУ "ТОМСКЛЕСХОЗ"</v>
      </c>
      <c r="B6489" s="24" t="s">
        <v>6413</v>
      </c>
      <c r="C6489" s="25">
        <v>37000</v>
      </c>
      <c r="D6489" s="22" t="s">
        <v>8435</v>
      </c>
      <c r="E6489" s="22" t="s">
        <v>8436</v>
      </c>
      <c r="F6489" s="23" t="str">
        <f>HYPERLINK("https://www.spark-marketing.ru/Card/Lot/71313781", "Поставка цифрового тахографа")</f>
        <v>Поставка цифрового тахографа</v>
      </c>
      <c r="G6489" s="22" t="s">
        <v>150</v>
      </c>
      <c r="H6489" s="22" t="s">
        <v>1656</v>
      </c>
      <c r="I6489" s="26">
        <v>43629.331250000003</v>
      </c>
      <c r="J6489" s="28" t="s">
        <v>52</v>
      </c>
      <c r="K6489" s="28" t="s">
        <v>52</v>
      </c>
      <c r="L6489" s="28" t="s">
        <v>52</v>
      </c>
      <c r="M6489" s="28" t="s">
        <v>52</v>
      </c>
      <c r="N6489" s="28" t="s">
        <v>52</v>
      </c>
    </row>
    <row r="6490" spans="1:14" x14ac:dyDescent="0.15">
      <c r="A6490" s="23" t="str">
        <f>HYPERLINK("https://www.spark-marketing.ru/Card/Person/6221996", "АО СИБИРСКАЯ НЕФТЕГАЗОВАЯ КОМПАНИЯ")</f>
        <v>АО СИБИРСКАЯ НЕФТЕГАЗОВАЯ КОМПАНИЯ</v>
      </c>
      <c r="B6490" s="28" t="s">
        <v>52</v>
      </c>
      <c r="C6490" s="28" t="s">
        <v>52</v>
      </c>
      <c r="D6490" s="22" t="s">
        <v>8437</v>
      </c>
      <c r="E6490" s="22" t="s">
        <v>8438</v>
      </c>
      <c r="F6490" s="23" t="str">
        <f>HYPERLINK("https://www.spark-marketing.ru/Card/Lot/71313571", "Модернизация инженерно-технических средств охраны объекта ""УКПГ Пырейного месторождения""")</f>
        <v>Модернизация инженерно-технических средств охраны объекта "УКПГ Пырейного месторождения"</v>
      </c>
      <c r="G6490" s="22" t="s">
        <v>52</v>
      </c>
      <c r="H6490" s="22" t="s">
        <v>52</v>
      </c>
      <c r="I6490" s="26">
        <v>43629.286111111098</v>
      </c>
      <c r="J6490" s="28" t="s">
        <v>52</v>
      </c>
      <c r="K6490" s="28" t="s">
        <v>52</v>
      </c>
      <c r="L6490" s="28" t="s">
        <v>52</v>
      </c>
      <c r="M6490" s="28" t="s">
        <v>52</v>
      </c>
      <c r="N6490" s="28" t="s">
        <v>52</v>
      </c>
    </row>
    <row r="6491" spans="1:14" x14ac:dyDescent="0.15">
      <c r="A6491" s="23" t="str">
        <f>HYPERLINK("https://www.spark-marketing.ru/Card/Person/30759", "ПАО ""МТС""")</f>
        <v>ПАО "МТС"</v>
      </c>
      <c r="B6491" s="24" t="s">
        <v>1834</v>
      </c>
      <c r="C6491" s="28" t="s">
        <v>52</v>
      </c>
      <c r="D6491" s="28" t="s">
        <v>52</v>
      </c>
      <c r="E6491" s="22" t="s">
        <v>53</v>
      </c>
      <c r="F6491" s="23" t="str">
        <f>HYPERLINK("https://www.spark-marketing.ru/Card/Lot/71319014", "Уведомление о проведении открытого запроса предложений на выполнение работ по монтажу техническими средствами охраны на объекте БЦ Сенатор, расположенного по адресу: г. С-Петербург, ул. Чапаева, д.15 (Торги № 98191).")</f>
        <v>Уведомление о проведении открытого запроса предложений на выполнение работ по монтажу техническими средствами охраны на объекте БЦ Сенатор, расположенного по адресу: г. С-Петербург, ул. Чапаева, д.15 (Торги № 98191).</v>
      </c>
      <c r="G6491" s="22" t="s">
        <v>55</v>
      </c>
      <c r="H6491" s="22" t="s">
        <v>55</v>
      </c>
      <c r="I6491" s="26">
        <v>43629</v>
      </c>
      <c r="J6491" s="28" t="s">
        <v>52</v>
      </c>
      <c r="K6491" s="28" t="s">
        <v>52</v>
      </c>
      <c r="L6491" s="28" t="s">
        <v>52</v>
      </c>
      <c r="M6491" s="28" t="s">
        <v>52</v>
      </c>
      <c r="N6491" s="28" t="s">
        <v>52</v>
      </c>
    </row>
    <row r="6492" spans="1:14" x14ac:dyDescent="0.15">
      <c r="A6492" s="23" t="str">
        <f>HYPERLINK("https://www.spark-marketing.ru/Card/Person/133807", "МБУ ДО ""СДЮТИЭ""")</f>
        <v>МБУ ДО "СДЮТИЭ"</v>
      </c>
      <c r="B6492" s="24" t="s">
        <v>8439</v>
      </c>
      <c r="C6492" s="25">
        <v>3900</v>
      </c>
      <c r="D6492" s="22" t="s">
        <v>8440</v>
      </c>
      <c r="E6492" s="22" t="s">
        <v>53</v>
      </c>
      <c r="F6492" s="23" t="str">
        <f>HYPERLINK("https://www.spark-marketing.ru/Card/Lot/73749612", "Техническое обслуживание системы видеонаблюдения")</f>
        <v>Техническое обслуживание системы видеонаблюдения</v>
      </c>
      <c r="G6492" s="22" t="s">
        <v>204</v>
      </c>
      <c r="H6492" s="22" t="s">
        <v>824</v>
      </c>
      <c r="I6492" s="26">
        <v>43629</v>
      </c>
      <c r="J6492" s="28" t="s">
        <v>52</v>
      </c>
      <c r="K6492" s="28" t="s">
        <v>52</v>
      </c>
      <c r="L6492" s="28" t="s">
        <v>52</v>
      </c>
      <c r="M6492" s="28" t="s">
        <v>52</v>
      </c>
      <c r="N6492" s="28" t="s">
        <v>52</v>
      </c>
    </row>
    <row r="6493" spans="1:14" x14ac:dyDescent="0.15">
      <c r="A6493" s="23" t="str">
        <f>HYPERLINK("https://www.spark-marketing.ru/Card/Person/91615", "МАУ ""ЦПТО МУГ""")</f>
        <v>МАУ "ЦПТО МУГ"</v>
      </c>
      <c r="B6493" s="24" t="s">
        <v>8441</v>
      </c>
      <c r="C6493" s="25">
        <v>42900.02</v>
      </c>
      <c r="D6493" s="22" t="s">
        <v>8442</v>
      </c>
      <c r="E6493" s="22" t="s">
        <v>985</v>
      </c>
      <c r="F6493" s="23" t="str">
        <f>HYPERLINK("https://www.spark-marketing.ru/Card/Lot/71305634", "поставка датчиков скорости и комплектов громкой связи для тахографа для нужд МАУ «ЦПТО МУГ»")</f>
        <v>поставка датчиков скорости и комплектов громкой связи для тахографа для нужд МАУ «ЦПТО МУГ»</v>
      </c>
      <c r="G6493" s="22" t="s">
        <v>204</v>
      </c>
      <c r="H6493" s="22" t="s">
        <v>1945</v>
      </c>
      <c r="I6493" s="26">
        <v>43628.472222222197</v>
      </c>
      <c r="J6493" s="28" t="s">
        <v>52</v>
      </c>
      <c r="K6493" s="28" t="s">
        <v>52</v>
      </c>
      <c r="L6493" s="28" t="s">
        <v>52</v>
      </c>
      <c r="M6493" s="28" t="s">
        <v>52</v>
      </c>
      <c r="N6493" s="28" t="s">
        <v>52</v>
      </c>
    </row>
    <row r="6494" spans="1:14" hidden="1" outlineLevel="1" x14ac:dyDescent="0.2">
      <c r="A6494" s="23" t="str">
        <f>HYPERLINK("https://www.spark-marketing.ru/Card/Person/91615", "МАУ ""ЦПТО МУГ""")</f>
        <v>МАУ "ЦПТО МУГ"</v>
      </c>
      <c r="B6494" s="24" t="s">
        <v>8441</v>
      </c>
      <c r="C6494" s="25">
        <v>42900.02</v>
      </c>
      <c r="D6494" s="22" t="s">
        <v>8442</v>
      </c>
      <c r="E6494" s="22" t="s">
        <v>985</v>
      </c>
      <c r="F6494" s="23" t="str">
        <f>HYPERLINK("https://www.spark-marketing.ru/Card/Lot/71305634", "поставка датчиков скорости и комплектов громкой связи для тахографа для нужд МАУ «ЦПТО МУГ»")</f>
        <v>поставка датчиков скорости и комплектов громкой связи для тахографа для нужд МАУ «ЦПТО МУГ»</v>
      </c>
      <c r="G6494" s="22" t="s">
        <v>204</v>
      </c>
      <c r="H6494" s="22" t="s">
        <v>1945</v>
      </c>
      <c r="I6494" s="26">
        <v>43628.472222222197</v>
      </c>
      <c r="J6494" s="23" t="str">
        <f>HYPERLINK("https://www.spark-marketing.ru/Card/Person/1900054", "ООО ""ГЛОНАСС ТРЕЙД""")</f>
        <v>ООО "ГЛОНАСС ТРЕЙД"</v>
      </c>
      <c r="K6494" s="24" t="s">
        <v>8443</v>
      </c>
      <c r="L6494" s="28" t="s">
        <v>52</v>
      </c>
      <c r="M6494" s="25">
        <v>30888.02</v>
      </c>
      <c r="N6494" s="27">
        <v>0.2799998694639303</v>
      </c>
    </row>
    <row r="6495" spans="1:14" hidden="1" outlineLevel="1" x14ac:dyDescent="0.2">
      <c r="A6495" s="23" t="str">
        <f>HYPERLINK("https://www.spark-marketing.ru/Card/Person/91615", "МАУ ""ЦПТО МУГ""")</f>
        <v>МАУ "ЦПТО МУГ"</v>
      </c>
      <c r="B6495" s="24" t="s">
        <v>8441</v>
      </c>
      <c r="C6495" s="25">
        <v>42900.02</v>
      </c>
      <c r="D6495" s="22" t="s">
        <v>8442</v>
      </c>
      <c r="E6495" s="22" t="s">
        <v>985</v>
      </c>
      <c r="F6495" s="23" t="str">
        <f>HYPERLINK("https://www.spark-marketing.ru/Card/Lot/71305634", "поставка датчиков скорости и комплектов громкой связи для тахографа для нужд МАУ «ЦПТО МУГ»")</f>
        <v>поставка датчиков скорости и комплектов громкой связи для тахографа для нужд МАУ «ЦПТО МУГ»</v>
      </c>
      <c r="G6495" s="22" t="s">
        <v>204</v>
      </c>
      <c r="H6495" s="22" t="s">
        <v>1945</v>
      </c>
      <c r="I6495" s="26">
        <v>43628.472222222197</v>
      </c>
      <c r="J6495" s="23" t="str">
        <f>HYPERLINK("https://www.spark-marketing.ru/Card/Person/75309", "ООО ""ВЕКТОР-НАВИГАТОР""")</f>
        <v>ООО "ВЕКТОР-НАВИГАТОР"</v>
      </c>
      <c r="K6495" s="24" t="s">
        <v>8444</v>
      </c>
      <c r="L6495" s="28" t="s">
        <v>52</v>
      </c>
      <c r="M6495" s="25">
        <v>41827.519999999997</v>
      </c>
      <c r="N6495" s="27">
        <v>2.4999988344993777E-2</v>
      </c>
    </row>
    <row r="6496" spans="1:14" ht="12.75" hidden="1" outlineLevel="1" x14ac:dyDescent="0.2">
      <c r="A6496" s="23" t="str">
        <f>HYPERLINK("https://www.spark-marketing.ru/Card/Person/91615", "МАУ ""ЦПТО МУГ""")</f>
        <v>МАУ "ЦПТО МУГ"</v>
      </c>
      <c r="B6496" s="24" t="s">
        <v>8441</v>
      </c>
      <c r="C6496" s="25">
        <v>42900.02</v>
      </c>
      <c r="D6496" s="22" t="s">
        <v>8442</v>
      </c>
      <c r="E6496" s="22" t="s">
        <v>985</v>
      </c>
      <c r="F6496" s="23" t="str">
        <f>HYPERLINK("https://www.spark-marketing.ru/Card/Lot/71305634", "поставка датчиков скорости и комплектов громкой связи для тахографа для нужд МАУ «ЦПТО МУГ»")</f>
        <v>поставка датчиков скорости и комплектов громкой связи для тахографа для нужд МАУ «ЦПТО МУГ»</v>
      </c>
      <c r="G6496" s="22" t="s">
        <v>204</v>
      </c>
      <c r="H6496" s="22" t="s">
        <v>1945</v>
      </c>
      <c r="I6496" s="26">
        <v>43628.472222222197</v>
      </c>
      <c r="J6496" s="23" t="str">
        <f>HYPERLINK("https://www.spark-marketing.ru/Card/Person/239600", "ООО НПО ""АТИС""")</f>
        <v>ООО НПО "АТИС"</v>
      </c>
      <c r="K6496" s="24" t="s">
        <v>8445</v>
      </c>
      <c r="L6496" s="22" t="s">
        <v>10</v>
      </c>
      <c r="M6496" s="25">
        <v>30673.52</v>
      </c>
      <c r="N6496" s="27">
        <v>0.28499986713292907</v>
      </c>
    </row>
    <row r="6497" spans="1:14" x14ac:dyDescent="0.15">
      <c r="A6497" s="23" t="str">
        <f>HYPERLINK("https://www.spark-marketing.ru/Card/Person/1041324", "МКУ ""ЧЕРЕПАНОВСКИЙ МУЗЕЙ""")</f>
        <v>МКУ "ЧЕРЕПАНОВСКИЙ МУЗЕЙ"</v>
      </c>
      <c r="B6497" s="24" t="s">
        <v>8446</v>
      </c>
      <c r="C6497" s="25">
        <v>2341.36</v>
      </c>
      <c r="D6497" s="22" t="s">
        <v>8447</v>
      </c>
      <c r="E6497" s="22" t="s">
        <v>68</v>
      </c>
      <c r="F6497" s="23" t="str">
        <f>HYPERLINK("https://www.spark-marketing.ru/Card/Lot/71299928", "Оказание услуг по пультовой охране объекта в случае срабатывания средств тревожной сигнализации.")</f>
        <v>Оказание услуг по пультовой охране объекта в случае срабатывания средств тревожной сигнализации.</v>
      </c>
      <c r="G6497" s="22" t="s">
        <v>209</v>
      </c>
      <c r="H6497" s="22" t="s">
        <v>4605</v>
      </c>
      <c r="I6497" s="26">
        <v>43627.879166666702</v>
      </c>
      <c r="J6497" s="28" t="s">
        <v>52</v>
      </c>
      <c r="K6497" s="28" t="s">
        <v>52</v>
      </c>
      <c r="L6497" s="28" t="s">
        <v>52</v>
      </c>
      <c r="M6497" s="28" t="s">
        <v>52</v>
      </c>
      <c r="N6497" s="28" t="s">
        <v>52</v>
      </c>
    </row>
    <row r="6498" spans="1:14" x14ac:dyDescent="0.15">
      <c r="A6498" s="23" t="str">
        <f>HYPERLINK("https://www.spark-marketing.ru/Card/Person/1023304", "ОМВД РОССИИ ПО ЗАТО П. ВИДЯЕВО")</f>
        <v>ОМВД РОССИИ ПО ЗАТО П. ВИДЯЕВО</v>
      </c>
      <c r="B6498" s="24" t="s">
        <v>5900</v>
      </c>
      <c r="C6498" s="25">
        <v>8000</v>
      </c>
      <c r="D6498" s="22" t="s">
        <v>8448</v>
      </c>
      <c r="E6498" s="22" t="s">
        <v>107</v>
      </c>
      <c r="F6498" s="23" t="str">
        <f>HYPERLINK("https://www.spark-marketing.ru/Card/Lot/71299330", "Техническое обслуживание и ППР технических средств охраны, 4 шт")</f>
        <v>Техническое обслуживание и ППР технических средств охраны, 4 шт</v>
      </c>
      <c r="G6498" s="22" t="s">
        <v>190</v>
      </c>
      <c r="H6498" s="22" t="s">
        <v>190</v>
      </c>
      <c r="I6498" s="26">
        <v>43627.828831018502</v>
      </c>
      <c r="J6498" s="28" t="s">
        <v>52</v>
      </c>
      <c r="K6498" s="28" t="s">
        <v>52</v>
      </c>
      <c r="L6498" s="28" t="s">
        <v>52</v>
      </c>
      <c r="M6498" s="28" t="s">
        <v>52</v>
      </c>
      <c r="N6498" s="28" t="s">
        <v>52</v>
      </c>
    </row>
    <row r="6499" spans="1:14" x14ac:dyDescent="0.2">
      <c r="A6499" s="23" t="str">
        <f>HYPERLINK("https://www.spark-marketing.ru/Card/Person/1479226", "ГАУ ""ТАЛИЦКИЙ ПАНСИОНАТ""")</f>
        <v>ГАУ "ТАЛИЦКИЙ ПАНСИОНАТ"</v>
      </c>
      <c r="B6499" s="24" t="s">
        <v>2479</v>
      </c>
      <c r="C6499" s="25">
        <v>569664</v>
      </c>
      <c r="D6499" s="22" t="s">
        <v>8449</v>
      </c>
      <c r="E6499" s="22" t="s">
        <v>144</v>
      </c>
      <c r="F6499" s="23" t="str">
        <f>HYPERLINK("https://www.spark-marketing.ru/Card/Lot/71290902", "Оказание услуг физической охраны объектов ГАУ ""Талицкий пансионат"" в 3 квартале 2019 г.")</f>
        <v>Оказание услуг физической охраны объектов ГАУ "Талицкий пансионат" в 3 квартале 2019 г.</v>
      </c>
      <c r="G6499" s="22" t="s">
        <v>72</v>
      </c>
      <c r="H6499" s="22" t="s">
        <v>2481</v>
      </c>
      <c r="I6499" s="26">
        <v>43627.779409722199</v>
      </c>
      <c r="J6499" s="28" t="s">
        <v>52</v>
      </c>
      <c r="K6499" s="28" t="s">
        <v>52</v>
      </c>
      <c r="L6499" s="22" t="s">
        <v>10</v>
      </c>
      <c r="M6499" s="25">
        <v>507840</v>
      </c>
      <c r="N6499" s="27">
        <v>0.10852713178294573</v>
      </c>
    </row>
    <row r="6500" spans="1:14" x14ac:dyDescent="0.15">
      <c r="A6500" s="23" t="str">
        <f>HYPERLINK("https://www.spark-marketing.ru/Card/Person/141388", "ГАУЗ РБ УЧАЛИНСКАЯ ЦГБ")</f>
        <v>ГАУЗ РБ УЧАЛИНСКАЯ ЦГБ</v>
      </c>
      <c r="B6500" s="24" t="s">
        <v>6118</v>
      </c>
      <c r="C6500" s="25">
        <v>495097.59999999998</v>
      </c>
      <c r="D6500" s="22" t="s">
        <v>8450</v>
      </c>
      <c r="E6500" s="22" t="s">
        <v>6120</v>
      </c>
      <c r="F6500" s="23" t="str">
        <f>HYPERLINK("https://www.spark-marketing.ru/Card/Lot/71290892", "бесплатное обеспечение лекарственными средствами, выписанными беременным женщинам по рецептам врачей ГАУЗ РБ Учалинская ЦГБ")</f>
        <v>бесплатное обеспечение лекарственными средствами, выписанными беременным женщинам по рецептам врачей ГАУЗ РБ Учалинская ЦГБ</v>
      </c>
      <c r="G6500" s="22" t="s">
        <v>100</v>
      </c>
      <c r="H6500" s="22" t="s">
        <v>6121</v>
      </c>
      <c r="I6500" s="26">
        <v>43627.763113425899</v>
      </c>
      <c r="J6500" s="28" t="s">
        <v>52</v>
      </c>
      <c r="K6500" s="28" t="s">
        <v>52</v>
      </c>
      <c r="L6500" s="28" t="s">
        <v>52</v>
      </c>
      <c r="M6500" s="28" t="s">
        <v>52</v>
      </c>
      <c r="N6500" s="28" t="s">
        <v>52</v>
      </c>
    </row>
    <row r="6501" spans="1:14" x14ac:dyDescent="0.15">
      <c r="A6501" s="23" t="str">
        <f>HYPERLINK("https://www.spark-marketing.ru/Card/Person/1023304", "ОМВД РОССИИ ПО ЗАТО П. ВИДЯЕВО")</f>
        <v>ОМВД РОССИИ ПО ЗАТО П. ВИДЯЕВО</v>
      </c>
      <c r="B6501" s="24" t="s">
        <v>5900</v>
      </c>
      <c r="C6501" s="25">
        <v>8000</v>
      </c>
      <c r="D6501" s="22" t="s">
        <v>8451</v>
      </c>
      <c r="E6501" s="22" t="s">
        <v>107</v>
      </c>
      <c r="F6501" s="23" t="str">
        <f>HYPERLINK("https://www.spark-marketing.ru/Card/Lot/71290106", "Техническое обслуживание и ППР технических средств охраны, 4 шт")</f>
        <v>Техническое обслуживание и ППР технических средств охраны, 4 шт</v>
      </c>
      <c r="G6501" s="22" t="s">
        <v>190</v>
      </c>
      <c r="H6501" s="22" t="s">
        <v>5902</v>
      </c>
      <c r="I6501" s="26">
        <v>43627.709155092598</v>
      </c>
      <c r="J6501" s="28" t="s">
        <v>52</v>
      </c>
      <c r="K6501" s="28" t="s">
        <v>52</v>
      </c>
      <c r="L6501" s="28" t="s">
        <v>52</v>
      </c>
      <c r="M6501" s="28" t="s">
        <v>52</v>
      </c>
      <c r="N6501" s="28" t="s">
        <v>52</v>
      </c>
    </row>
    <row r="6502" spans="1:14" x14ac:dyDescent="0.2">
      <c r="A6502" s="23" t="str">
        <f>HYPERLINK("https://www.spark-marketing.ru/Card/Person/1486332", "СРЕДНЯЯ ШКОЛА № 24, МАОУ ""СОШ № 24""")</f>
        <v>СРЕДНЯЯ ШКОЛА № 24, МАОУ "СОШ № 24"</v>
      </c>
      <c r="B6502" s="24" t="s">
        <v>8452</v>
      </c>
      <c r="C6502" s="25">
        <v>165435.6</v>
      </c>
      <c r="D6502" s="22" t="s">
        <v>8453</v>
      </c>
      <c r="E6502" s="22" t="s">
        <v>609</v>
      </c>
      <c r="F6502" s="23" t="str">
        <f>HYPERLINK("https://www.spark-marketing.ru/Card/Lot/71288786", "установку(модернизацию имеющегося) внутреннего и наружного видеонаблюдения")</f>
        <v>установку(модернизацию имеющегося) внутреннего и наружного видеонаблюдения</v>
      </c>
      <c r="G6502" s="22" t="s">
        <v>72</v>
      </c>
      <c r="H6502" s="22" t="s">
        <v>72</v>
      </c>
      <c r="I6502" s="26">
        <v>43627.722997685203</v>
      </c>
      <c r="J6502" s="28" t="s">
        <v>52</v>
      </c>
      <c r="K6502" s="28" t="s">
        <v>52</v>
      </c>
      <c r="L6502" s="28" t="s">
        <v>52</v>
      </c>
      <c r="M6502" s="25">
        <v>165435</v>
      </c>
      <c r="N6502" s="27">
        <v>3.6267889136316486E-6</v>
      </c>
    </row>
    <row r="6503" spans="1:14" x14ac:dyDescent="0.15">
      <c r="A6503" s="23" t="str">
        <f>HYPERLINK("https://www.spark-marketing.ru/Card/Person/972256", "АО ""ЭКОТЕХНОЛОГИЯ""")</f>
        <v>АО "ЭКОТЕХНОЛОГИЯ"</v>
      </c>
      <c r="B6503" s="24" t="s">
        <v>7941</v>
      </c>
      <c r="C6503" s="25">
        <v>3112632</v>
      </c>
      <c r="D6503" s="22" t="s">
        <v>8454</v>
      </c>
      <c r="E6503" s="22" t="s">
        <v>144</v>
      </c>
      <c r="F6503" s="23" t="str">
        <f>HYPERLINK("https://www.spark-marketing.ru/Card/Lot/71293641", "Оказание охранных услуг")</f>
        <v>Оказание охранных услуг</v>
      </c>
      <c r="G6503" s="22" t="s">
        <v>311</v>
      </c>
      <c r="H6503" s="22" t="s">
        <v>311</v>
      </c>
      <c r="I6503" s="26">
        <v>43627.713796296302</v>
      </c>
      <c r="J6503" s="28" t="s">
        <v>52</v>
      </c>
      <c r="K6503" s="28" t="s">
        <v>52</v>
      </c>
      <c r="L6503" s="28" t="s">
        <v>52</v>
      </c>
      <c r="M6503" s="28" t="s">
        <v>52</v>
      </c>
      <c r="N6503" s="28" t="s">
        <v>52</v>
      </c>
    </row>
    <row r="6504" spans="1:14" x14ac:dyDescent="0.15">
      <c r="A6504" s="23" t="str">
        <f>HYPERLINK("https://www.spark-marketing.ru/Card/Person/10487", "ФГУП ""ОХРАНА"" РОСГВАРДИИ")</f>
        <v>ФГУП "ОХРАНА" РОСГВАРДИИ</v>
      </c>
      <c r="B6504" s="24" t="s">
        <v>779</v>
      </c>
      <c r="C6504" s="25">
        <v>86246.38</v>
      </c>
      <c r="D6504" s="22" t="s">
        <v>8455</v>
      </c>
      <c r="E6504" s="22" t="s">
        <v>1149</v>
      </c>
      <c r="F6504" s="23" t="str">
        <f>HYPERLINK("https://www.spark-marketing.ru/Card/Lot/71289940", "Поставка телефонных аппаратов для нужд Управления по Сибирскому Федеральному округу Центра охраны объектов промышленности (г. Бийск)")</f>
        <v>Поставка телефонных аппаратов для нужд Управления по Сибирскому Федеральному округу Центра охраны объектов промышленности (г. Бийск)</v>
      </c>
      <c r="G6504" s="22" t="s">
        <v>428</v>
      </c>
      <c r="H6504" s="22" t="s">
        <v>428</v>
      </c>
      <c r="I6504" s="26">
        <v>43627.683240740698</v>
      </c>
      <c r="J6504" s="28" t="s">
        <v>52</v>
      </c>
      <c r="K6504" s="28" t="s">
        <v>52</v>
      </c>
      <c r="L6504" s="28" t="s">
        <v>52</v>
      </c>
      <c r="M6504" s="28" t="s">
        <v>52</v>
      </c>
      <c r="N6504" s="28" t="s">
        <v>52</v>
      </c>
    </row>
    <row r="6505" spans="1:14" x14ac:dyDescent="0.15">
      <c r="A6505" s="23" t="str">
        <f t="shared" ref="A6505:A6511" si="270">HYPERLINK("https://www.spark-marketing.ru/Card/Person/257905", "МБУ ""ККЦ""")</f>
        <v>МБУ "ККЦ"</v>
      </c>
      <c r="B6505" s="24" t="s">
        <v>8456</v>
      </c>
      <c r="C6505" s="25">
        <v>270000</v>
      </c>
      <c r="D6505" s="22" t="s">
        <v>8457</v>
      </c>
      <c r="E6505" s="22" t="s">
        <v>59</v>
      </c>
      <c r="F6505" s="23" t="str">
        <f t="shared" ref="F6505:F6511" si="271">HYPERLINK("https://www.spark-marketing.ru/Card/Lot/71298249", "Выполнение работ по установке системы видеонаблюдения")</f>
        <v>Выполнение работ по установке системы видеонаблюдения</v>
      </c>
      <c r="G6505" s="22" t="s">
        <v>96</v>
      </c>
      <c r="H6505" s="22" t="s">
        <v>96</v>
      </c>
      <c r="I6505" s="26">
        <v>43627.673611111102</v>
      </c>
      <c r="J6505" s="28" t="s">
        <v>52</v>
      </c>
      <c r="K6505" s="28" t="s">
        <v>52</v>
      </c>
      <c r="L6505" s="28" t="s">
        <v>52</v>
      </c>
      <c r="M6505" s="28" t="s">
        <v>52</v>
      </c>
      <c r="N6505" s="28" t="s">
        <v>52</v>
      </c>
    </row>
    <row r="6506" spans="1:14" ht="12.75" hidden="1" outlineLevel="1" x14ac:dyDescent="0.2">
      <c r="A6506" s="23" t="str">
        <f t="shared" si="270"/>
        <v>МБУ "ККЦ"</v>
      </c>
      <c r="B6506" s="24" t="s">
        <v>8456</v>
      </c>
      <c r="C6506" s="25">
        <v>270000</v>
      </c>
      <c r="D6506" s="22" t="s">
        <v>8457</v>
      </c>
      <c r="E6506" s="22" t="s">
        <v>59</v>
      </c>
      <c r="F6506" s="23" t="str">
        <f t="shared" si="271"/>
        <v>Выполнение работ по установке системы видеонаблюдения</v>
      </c>
      <c r="G6506" s="22" t="s">
        <v>96</v>
      </c>
      <c r="H6506" s="22" t="s">
        <v>96</v>
      </c>
      <c r="I6506" s="26">
        <v>43627.673611111102</v>
      </c>
      <c r="J6506" s="23" t="str">
        <f>HYPERLINK("https://www.spark-marketing.ru/Card/Person/4851348", "ООО ""СТРОЙМОНТАЖГРУПП""")</f>
        <v>ООО "СТРОЙМОНТАЖГРУПП"</v>
      </c>
      <c r="K6506" s="24" t="s">
        <v>8458</v>
      </c>
      <c r="L6506" s="22" t="s">
        <v>10</v>
      </c>
      <c r="M6506" s="25">
        <v>247000</v>
      </c>
      <c r="N6506" s="27">
        <v>8.5185185185185183E-2</v>
      </c>
    </row>
    <row r="6507" spans="1:14" hidden="1" outlineLevel="1" x14ac:dyDescent="0.2">
      <c r="A6507" s="23" t="str">
        <f t="shared" si="270"/>
        <v>МБУ "ККЦ"</v>
      </c>
      <c r="B6507" s="24" t="s">
        <v>8456</v>
      </c>
      <c r="C6507" s="25">
        <v>270000</v>
      </c>
      <c r="D6507" s="22" t="s">
        <v>8457</v>
      </c>
      <c r="E6507" s="22" t="s">
        <v>59</v>
      </c>
      <c r="F6507" s="23" t="str">
        <f t="shared" si="271"/>
        <v>Выполнение работ по установке системы видеонаблюдения</v>
      </c>
      <c r="G6507" s="22" t="s">
        <v>96</v>
      </c>
      <c r="H6507" s="22" t="s">
        <v>96</v>
      </c>
      <c r="I6507" s="26">
        <v>43627.673611111102</v>
      </c>
      <c r="J6507" s="23" t="str">
        <f>HYPERLINK("https://www.spark-marketing.ru/Card/Person/2169494", "ООО ПФ ""ТЕХНОТОРГ""")</f>
        <v>ООО ПФ "ТЕХНОТОРГ"</v>
      </c>
      <c r="K6507" s="24" t="s">
        <v>8459</v>
      </c>
      <c r="L6507" s="28" t="s">
        <v>52</v>
      </c>
      <c r="M6507" s="25">
        <v>248000</v>
      </c>
      <c r="N6507" s="27">
        <v>8.1481481481481488E-2</v>
      </c>
    </row>
    <row r="6508" spans="1:14" hidden="1" outlineLevel="1" x14ac:dyDescent="0.15">
      <c r="A6508" s="23" t="str">
        <f t="shared" si="270"/>
        <v>МБУ "ККЦ"</v>
      </c>
      <c r="B6508" s="24" t="s">
        <v>8456</v>
      </c>
      <c r="C6508" s="25">
        <v>270000</v>
      </c>
      <c r="D6508" s="22" t="s">
        <v>8457</v>
      </c>
      <c r="E6508" s="22" t="s">
        <v>59</v>
      </c>
      <c r="F6508" s="23" t="str">
        <f t="shared" si="271"/>
        <v>Выполнение работ по установке системы видеонаблюдения</v>
      </c>
      <c r="G6508" s="22" t="s">
        <v>96</v>
      </c>
      <c r="H6508" s="22" t="s">
        <v>96</v>
      </c>
      <c r="I6508" s="26">
        <v>43627.673611111102</v>
      </c>
      <c r="J6508" s="23" t="str">
        <f>HYPERLINK("https://www.spark-marketing.ru/Card/Person/6064054", "ООО ""КВАНТ""")</f>
        <v>ООО "КВАНТ"</v>
      </c>
      <c r="K6508" s="24" t="s">
        <v>8460</v>
      </c>
      <c r="L6508" s="28" t="s">
        <v>52</v>
      </c>
      <c r="M6508" s="28" t="s">
        <v>52</v>
      </c>
      <c r="N6508" s="28" t="s">
        <v>52</v>
      </c>
    </row>
    <row r="6509" spans="1:14" hidden="1" outlineLevel="1" x14ac:dyDescent="0.15">
      <c r="A6509" s="23" t="str">
        <f t="shared" si="270"/>
        <v>МБУ "ККЦ"</v>
      </c>
      <c r="B6509" s="24" t="s">
        <v>8456</v>
      </c>
      <c r="C6509" s="25">
        <v>270000</v>
      </c>
      <c r="D6509" s="22" t="s">
        <v>8457</v>
      </c>
      <c r="E6509" s="22" t="s">
        <v>59</v>
      </c>
      <c r="F6509" s="23" t="str">
        <f t="shared" si="271"/>
        <v>Выполнение работ по установке системы видеонаблюдения</v>
      </c>
      <c r="G6509" s="22" t="s">
        <v>96</v>
      </c>
      <c r="H6509" s="22" t="s">
        <v>96</v>
      </c>
      <c r="I6509" s="26">
        <v>43627.673611111102</v>
      </c>
      <c r="J6509" s="23" t="str">
        <f>HYPERLINK("https://www.spark-marketing.ru/Card/Person/2169494", "ООО ПФ ""ТЕХНОТОРГ""")</f>
        <v>ООО ПФ "ТЕХНОТОРГ"</v>
      </c>
      <c r="K6509" s="24" t="s">
        <v>8459</v>
      </c>
      <c r="L6509" s="28" t="s">
        <v>52</v>
      </c>
      <c r="M6509" s="28" t="s">
        <v>52</v>
      </c>
      <c r="N6509" s="28" t="s">
        <v>52</v>
      </c>
    </row>
    <row r="6510" spans="1:14" hidden="1" outlineLevel="1" x14ac:dyDescent="0.15">
      <c r="A6510" s="23" t="str">
        <f t="shared" si="270"/>
        <v>МБУ "ККЦ"</v>
      </c>
      <c r="B6510" s="24" t="s">
        <v>8456</v>
      </c>
      <c r="C6510" s="25">
        <v>270000</v>
      </c>
      <c r="D6510" s="22" t="s">
        <v>8457</v>
      </c>
      <c r="E6510" s="22" t="s">
        <v>59</v>
      </c>
      <c r="F6510" s="23" t="str">
        <f t="shared" si="271"/>
        <v>Выполнение работ по установке системы видеонаблюдения</v>
      </c>
      <c r="G6510" s="22" t="s">
        <v>96</v>
      </c>
      <c r="H6510" s="22" t="s">
        <v>96</v>
      </c>
      <c r="I6510" s="26">
        <v>43627.673611111102</v>
      </c>
      <c r="J6510" s="23" t="str">
        <f>HYPERLINK("https://www.spark-marketing.ru/Card/Person/1129792", "ООО ""ИТ ИЖЕВСК""")</f>
        <v>ООО "ИТ ИЖЕВСК"</v>
      </c>
      <c r="K6510" s="24" t="s">
        <v>8461</v>
      </c>
      <c r="L6510" s="28" t="s">
        <v>52</v>
      </c>
      <c r="M6510" s="28" t="s">
        <v>52</v>
      </c>
      <c r="N6510" s="28" t="s">
        <v>52</v>
      </c>
    </row>
    <row r="6511" spans="1:14" hidden="1" outlineLevel="1" x14ac:dyDescent="0.2">
      <c r="A6511" s="23" t="str">
        <f t="shared" si="270"/>
        <v>МБУ "ККЦ"</v>
      </c>
      <c r="B6511" s="24" t="s">
        <v>8456</v>
      </c>
      <c r="C6511" s="25">
        <v>270000</v>
      </c>
      <c r="D6511" s="22" t="s">
        <v>8457</v>
      </c>
      <c r="E6511" s="22" t="s">
        <v>59</v>
      </c>
      <c r="F6511" s="23" t="str">
        <f t="shared" si="271"/>
        <v>Выполнение работ по установке системы видеонаблюдения</v>
      </c>
      <c r="G6511" s="22" t="s">
        <v>96</v>
      </c>
      <c r="H6511" s="22" t="s">
        <v>96</v>
      </c>
      <c r="I6511" s="26">
        <v>43627.673611111102</v>
      </c>
      <c r="J6511" s="23" t="str">
        <f>HYPERLINK("https://www.spark-marketing.ru/Card/Person/168826", "Печников Сергей Михайлович")</f>
        <v>Печников Сергей Михайлович</v>
      </c>
      <c r="K6511" s="24" t="s">
        <v>8462</v>
      </c>
      <c r="L6511" s="28" t="s">
        <v>52</v>
      </c>
      <c r="M6511" s="25">
        <v>266000</v>
      </c>
      <c r="N6511" s="27">
        <v>1.4814814814814815E-2</v>
      </c>
    </row>
    <row r="6512" spans="1:14" x14ac:dyDescent="0.15">
      <c r="A6512" s="23" t="str">
        <f>HYPERLINK("https://www.spark-marketing.ru/Card/Person/4358629", "АО ""ПРЕПРЕГ-СКМ""")</f>
        <v>АО "ПРЕПРЕГ-СКМ"</v>
      </c>
      <c r="B6512" s="24" t="s">
        <v>8463</v>
      </c>
      <c r="C6512" s="25">
        <v>0</v>
      </c>
      <c r="D6512" s="22" t="s">
        <v>8464</v>
      </c>
      <c r="E6512" s="22" t="s">
        <v>53</v>
      </c>
      <c r="F6512" s="23" t="str">
        <f>HYPERLINK("https://www.spark-marketing.ru/Card/Lot/71300842", "мониторинг цен в электронной форме на Мониторинг цен на оказание охранных услуг")</f>
        <v>мониторинг цен в электронной форме на Мониторинг цен на оказание охранных услуг</v>
      </c>
      <c r="G6512" s="22" t="s">
        <v>55</v>
      </c>
      <c r="H6512" s="22" t="s">
        <v>55</v>
      </c>
      <c r="I6512" s="26">
        <v>43627.7036226852</v>
      </c>
      <c r="J6512" s="28" t="s">
        <v>52</v>
      </c>
      <c r="K6512" s="28" t="s">
        <v>52</v>
      </c>
      <c r="L6512" s="28" t="s">
        <v>52</v>
      </c>
      <c r="M6512" s="28" t="s">
        <v>52</v>
      </c>
      <c r="N6512" s="28" t="s">
        <v>52</v>
      </c>
    </row>
    <row r="6513" spans="1:14" x14ac:dyDescent="0.15">
      <c r="A6513" s="23" t="str">
        <f>HYPERLINK("https://www.spark-marketing.ru/Card/Person/6426", "ОГКУ ""ТОМСКАВТОДОР""")</f>
        <v>ОГКУ "ТОМСКАВТОДОР"</v>
      </c>
      <c r="B6513" s="24" t="s">
        <v>8465</v>
      </c>
      <c r="C6513" s="25">
        <v>7798180</v>
      </c>
      <c r="D6513" s="22" t="s">
        <v>8466</v>
      </c>
      <c r="E6513" s="22" t="s">
        <v>1026</v>
      </c>
      <c r="F6513" s="23" t="str">
        <f>HYPERLINK("https://www.spark-marketing.ru/Card/Lot/71294266", "Выполнение работ по содержанию автомобильной дороги Томск - Аникино-Ярское на участке км 9 - км 13 в Томском районе Томской области. Устройство опор двойного назначения для установки видеосистем, в том числе элементов систем передачи данных")</f>
        <v>Выполнение работ по содержанию автомобильной дороги Томск - Аникино-Ярское на участке км 9 - км 13 в Томском районе Томской области. Устройство опор двойного назначения для установки видеосистем, в том числе элементов систем передачи данных</v>
      </c>
      <c r="G6513" s="22" t="s">
        <v>150</v>
      </c>
      <c r="H6513" s="22" t="s">
        <v>1656</v>
      </c>
      <c r="I6513" s="26">
        <v>43627.670833333301</v>
      </c>
      <c r="J6513" s="28" t="s">
        <v>52</v>
      </c>
      <c r="K6513" s="28" t="s">
        <v>52</v>
      </c>
      <c r="L6513" s="28" t="s">
        <v>52</v>
      </c>
      <c r="M6513" s="28" t="s">
        <v>52</v>
      </c>
      <c r="N6513" s="28" t="s">
        <v>52</v>
      </c>
    </row>
    <row r="6514" spans="1:14" hidden="1" outlineLevel="1" x14ac:dyDescent="0.2">
      <c r="A6514" s="23" t="str">
        <f>HYPERLINK("https://www.spark-marketing.ru/Card/Person/6426", "ОГКУ ""ТОМСКАВТОДОР""")</f>
        <v>ОГКУ "ТОМСКАВТОДОР"</v>
      </c>
      <c r="B6514" s="24" t="s">
        <v>8465</v>
      </c>
      <c r="C6514" s="25">
        <v>7798180</v>
      </c>
      <c r="D6514" s="22" t="s">
        <v>8466</v>
      </c>
      <c r="E6514" s="22" t="s">
        <v>1026</v>
      </c>
      <c r="F6514" s="23" t="str">
        <f>HYPERLINK("https://www.spark-marketing.ru/Card/Lot/71294266", "Выполнение работ по содержанию автомобильной дороги Томск - Аникино-Ярское на участке км 9 - км 13 в Томском районе Томской области. Устройство опор двойного назначения для установки видеосистем, в том числе элементов систем передачи данных")</f>
        <v>Выполнение работ по содержанию автомобильной дороги Томск - Аникино-Ярское на участке км 9 - км 13 в Томском районе Томской области. Устройство опор двойного назначения для установки видеосистем, в том числе элементов систем передачи данных</v>
      </c>
      <c r="G6514" s="22" t="s">
        <v>150</v>
      </c>
      <c r="H6514" s="22" t="s">
        <v>1656</v>
      </c>
      <c r="I6514" s="26">
        <v>43627.670833333301</v>
      </c>
      <c r="J6514" s="23" t="str">
        <f>HYPERLINK("https://www.spark-marketing.ru/Card/Person/4877551", "ООО ""ДОРНАДЗОР""")</f>
        <v>ООО "ДОРНАДЗОР"</v>
      </c>
      <c r="K6514" s="24" t="s">
        <v>8467</v>
      </c>
      <c r="L6514" s="28" t="s">
        <v>52</v>
      </c>
      <c r="M6514" s="25">
        <v>6199553.0999999996</v>
      </c>
      <c r="N6514" s="27">
        <v>0.20499999999999999</v>
      </c>
    </row>
    <row r="6515" spans="1:14" ht="12.75" hidden="1" outlineLevel="1" x14ac:dyDescent="0.2">
      <c r="A6515" s="23" t="str">
        <f>HYPERLINK("https://www.spark-marketing.ru/Card/Person/6426", "ОГКУ ""ТОМСКАВТОДОР""")</f>
        <v>ОГКУ "ТОМСКАВТОДОР"</v>
      </c>
      <c r="B6515" s="24" t="s">
        <v>8465</v>
      </c>
      <c r="C6515" s="25">
        <v>7798180</v>
      </c>
      <c r="D6515" s="22" t="s">
        <v>8466</v>
      </c>
      <c r="E6515" s="22" t="s">
        <v>1026</v>
      </c>
      <c r="F6515" s="23" t="str">
        <f>HYPERLINK("https://www.spark-marketing.ru/Card/Lot/71294266", "Выполнение работ по содержанию автомобильной дороги Томск - Аникино-Ярское на участке км 9 - км 13 в Томском районе Томской области. Устройство опор двойного назначения для установки видеосистем, в том числе элементов систем передачи данных")</f>
        <v>Выполнение работ по содержанию автомобильной дороги Томск - Аникино-Ярское на участке км 9 - км 13 в Томском районе Томской области. Устройство опор двойного назначения для установки видеосистем, в том числе элементов систем передачи данных</v>
      </c>
      <c r="G6515" s="22" t="s">
        <v>150</v>
      </c>
      <c r="H6515" s="22" t="s">
        <v>1656</v>
      </c>
      <c r="I6515" s="26">
        <v>43627.670833333301</v>
      </c>
      <c r="J6515" s="23" t="str">
        <f>HYPERLINK("https://www.spark-marketing.ru/Card/Person/465426", "ООО ""САЙТМОНТАЖ""")</f>
        <v>ООО "САЙТМОНТАЖ"</v>
      </c>
      <c r="K6515" s="24" t="s">
        <v>8468</v>
      </c>
      <c r="L6515" s="22" t="s">
        <v>10</v>
      </c>
      <c r="M6515" s="25">
        <v>6160562.2000000002</v>
      </c>
      <c r="N6515" s="27">
        <v>0.21</v>
      </c>
    </row>
    <row r="6516" spans="1:14" x14ac:dyDescent="0.15">
      <c r="A6516" s="23" t="str">
        <f>HYPERLINK("https://www.spark-marketing.ru/Card/Person/3840", "ГБУЗ ""ГОСПИТАЛЬ ДЛЯ ВЕТЕРАНОВ ВОЙН""")</f>
        <v>ГБУЗ "ГОСПИТАЛЬ ДЛЯ ВЕТЕРАНОВ ВОЙН"</v>
      </c>
      <c r="B6516" s="24" t="s">
        <v>8469</v>
      </c>
      <c r="C6516" s="25">
        <v>46950</v>
      </c>
      <c r="D6516" s="22" t="s">
        <v>8470</v>
      </c>
      <c r="E6516" s="22" t="s">
        <v>59</v>
      </c>
      <c r="F6516" s="23" t="str">
        <f>HYPERLINK("https://www.spark-marketing.ru/Card/Lot/71295199", "Оказание услуг по техническому обслуживание системы видеонаблюдения")</f>
        <v>Оказание услуг по техническому обслуживание системы видеонаблюдения</v>
      </c>
      <c r="G6516" s="22" t="s">
        <v>435</v>
      </c>
      <c r="H6516" s="22" t="s">
        <v>435</v>
      </c>
      <c r="I6516" s="26">
        <v>43627.682638888902</v>
      </c>
      <c r="J6516" s="23" t="str">
        <f>HYPERLINK("https://www.spark-marketing.ru/Card/Person/6109360", "ООО ""КТ С-З""")</f>
        <v>ООО "КТ С-З"</v>
      </c>
      <c r="K6516" s="24" t="s">
        <v>7537</v>
      </c>
      <c r="L6516" s="22" t="s">
        <v>10</v>
      </c>
      <c r="M6516" s="28" t="s">
        <v>52</v>
      </c>
      <c r="N6516" s="28" t="s">
        <v>52</v>
      </c>
    </row>
    <row r="6517" spans="1:14" x14ac:dyDescent="0.15">
      <c r="A6517" s="23" t="str">
        <f>HYPERLINK("https://www.spark-marketing.ru/Card/Person/31983", "ГБУЗ МО ""ШАТУРСКАЯ ЦРБ""")</f>
        <v>ГБУЗ МО "ШАТУРСКАЯ ЦРБ"</v>
      </c>
      <c r="B6517" s="24" t="s">
        <v>8471</v>
      </c>
      <c r="C6517" s="25">
        <v>449934.2</v>
      </c>
      <c r="D6517" s="22" t="s">
        <v>8472</v>
      </c>
      <c r="E6517" s="22" t="s">
        <v>376</v>
      </c>
      <c r="F6517" s="23" t="str">
        <f>HYPERLINK("https://www.spark-marketing.ru/Card/Lot/71299195", "оказание услуг пультовой охраны для обеспечения безопасности объектов  ГБУЗ МО «Шатурская ЦРБ»")</f>
        <v>оказание услуг пультовой охраны для обеспечения безопасности объектов  ГБУЗ МО «Шатурская ЦРБ»</v>
      </c>
      <c r="G6517" s="22" t="s">
        <v>50</v>
      </c>
      <c r="H6517" s="22" t="s">
        <v>2252</v>
      </c>
      <c r="I6517" s="26">
        <v>43627.707638888904</v>
      </c>
      <c r="J6517" s="28" t="s">
        <v>52</v>
      </c>
      <c r="K6517" s="28" t="s">
        <v>52</v>
      </c>
      <c r="L6517" s="28" t="s">
        <v>52</v>
      </c>
      <c r="M6517" s="28" t="s">
        <v>52</v>
      </c>
      <c r="N6517" s="28" t="s">
        <v>52</v>
      </c>
    </row>
    <row r="6518" spans="1:14" ht="12.75" hidden="1" outlineLevel="1" x14ac:dyDescent="0.2">
      <c r="A6518" s="23" t="str">
        <f>HYPERLINK("https://www.spark-marketing.ru/Card/Person/31983", "ГБУЗ МО ""ШАТУРСКАЯ ЦРБ""")</f>
        <v>ГБУЗ МО "ШАТУРСКАЯ ЦРБ"</v>
      </c>
      <c r="B6518" s="24" t="s">
        <v>8471</v>
      </c>
      <c r="C6518" s="25">
        <v>449934.2</v>
      </c>
      <c r="D6518" s="22" t="s">
        <v>8472</v>
      </c>
      <c r="E6518" s="22" t="s">
        <v>376</v>
      </c>
      <c r="F6518" s="23" t="str">
        <f>HYPERLINK("https://www.spark-marketing.ru/Card/Lot/71299195", "оказание услуг пультовой охраны для обеспечения безопасности объектов  ГБУЗ МО «Шатурская ЦРБ»")</f>
        <v>оказание услуг пультовой охраны для обеспечения безопасности объектов  ГБУЗ МО «Шатурская ЦРБ»</v>
      </c>
      <c r="G6518" s="22" t="s">
        <v>50</v>
      </c>
      <c r="H6518" s="22" t="s">
        <v>2252</v>
      </c>
      <c r="I6518" s="26">
        <v>43627.707638888904</v>
      </c>
      <c r="J6518" s="23" t="str">
        <f>HYPERLINK("https://www.spark-marketing.ru/Card/Person/6577395", "ФЛ ФГУП ОХРАНА ФЕДЕРАЛЬНОЙ СЛУЖБЫ ВОЙСК НАЦИОНАЛЬНОЙ ГВАРДИИ РФ ПО МО")</f>
        <v>ФЛ ФГУП ОХРАНА ФЕДЕРАЛЬНОЙ СЛУЖБЫ ВОЙСК НАЦИОНАЛЬНОЙ ГВАРДИИ РФ ПО МО</v>
      </c>
      <c r="K6518" s="24" t="s">
        <v>779</v>
      </c>
      <c r="L6518" s="22" t="s">
        <v>10</v>
      </c>
      <c r="M6518" s="25">
        <v>132051.62</v>
      </c>
      <c r="N6518" s="27">
        <v>0.70650904065527809</v>
      </c>
    </row>
    <row r="6519" spans="1:14" hidden="1" outlineLevel="1" x14ac:dyDescent="0.2">
      <c r="A6519" s="23" t="str">
        <f>HYPERLINK("https://www.spark-marketing.ru/Card/Person/31983", "ГБУЗ МО ""ШАТУРСКАЯ ЦРБ""")</f>
        <v>ГБУЗ МО "ШАТУРСКАЯ ЦРБ"</v>
      </c>
      <c r="B6519" s="24" t="s">
        <v>8471</v>
      </c>
      <c r="C6519" s="25">
        <v>449934.2</v>
      </c>
      <c r="D6519" s="22" t="s">
        <v>8472</v>
      </c>
      <c r="E6519" s="22" t="s">
        <v>376</v>
      </c>
      <c r="F6519" s="23" t="str">
        <f>HYPERLINK("https://www.spark-marketing.ru/Card/Lot/71299195", "оказание услуг пультовой охраны для обеспечения безопасности объектов  ГБУЗ МО «Шатурская ЦРБ»")</f>
        <v>оказание услуг пультовой охраны для обеспечения безопасности объектов  ГБУЗ МО «Шатурская ЦРБ»</v>
      </c>
      <c r="G6519" s="22" t="s">
        <v>50</v>
      </c>
      <c r="H6519" s="22" t="s">
        <v>2252</v>
      </c>
      <c r="I6519" s="26">
        <v>43627.707638888904</v>
      </c>
      <c r="J6519" s="23" t="str">
        <f>HYPERLINK("https://www.spark-marketing.ru/Card/Person/82277", "ООО ""ЧОП""ПОЛИГОН-2""")</f>
        <v>ООО "ЧОП"ПОЛИГОН-2"</v>
      </c>
      <c r="K6519" s="24" t="s">
        <v>8473</v>
      </c>
      <c r="L6519" s="28" t="s">
        <v>52</v>
      </c>
      <c r="M6519" s="25">
        <v>134301.29</v>
      </c>
      <c r="N6519" s="27">
        <v>0.70150904287782523</v>
      </c>
    </row>
    <row r="6520" spans="1:14" x14ac:dyDescent="0.15">
      <c r="A6520" s="23" t="str">
        <f>HYPERLINK("https://www.spark-marketing.ru/Card/Person/131028", "ВСУ СК РФ ПО ЗВО")</f>
        <v>ВСУ СК РФ ПО ЗВО</v>
      </c>
      <c r="B6520" s="24" t="s">
        <v>8474</v>
      </c>
      <c r="C6520" s="25">
        <v>1000000</v>
      </c>
      <c r="D6520" s="22" t="s">
        <v>8475</v>
      </c>
      <c r="E6520" s="22" t="s">
        <v>8476</v>
      </c>
      <c r="F6520" s="23" t="str">
        <f>HYPERLINK("https://www.spark-marketing.ru/Card/Lot/71298985", "Приобретение, установка и обслуживание систем безопасности (видеонаблюдения и СКУД)")</f>
        <v>Приобретение, установка и обслуживание систем безопасности (видеонаблюдения и СКУД)</v>
      </c>
      <c r="G6520" s="22" t="s">
        <v>89</v>
      </c>
      <c r="H6520" s="22" t="s">
        <v>89</v>
      </c>
      <c r="I6520" s="26">
        <v>43627.692361111098</v>
      </c>
      <c r="J6520" s="23" t="str">
        <f>HYPERLINK("https://www.spark-marketing.ru/Card/Person/4353989", "АО ""НИИ ""РУБИН""")</f>
        <v>АО "НИИ "РУБИН"</v>
      </c>
      <c r="K6520" s="24" t="s">
        <v>8477</v>
      </c>
      <c r="L6520" s="22" t="s">
        <v>10</v>
      </c>
      <c r="M6520" s="28" t="s">
        <v>52</v>
      </c>
      <c r="N6520" s="28" t="s">
        <v>52</v>
      </c>
    </row>
    <row r="6521" spans="1:14" x14ac:dyDescent="0.15">
      <c r="A6521" s="23" t="str">
        <f>HYPERLINK("https://www.spark-marketing.ru/Card/Person/1082302", "АДМИНИСТРАЦИЯ ТЕНЬКИНСКОГО ГОРОДСКОГО ОКРУГА")</f>
        <v>АДМИНИСТРАЦИЯ ТЕНЬКИНСКОГО ГОРОДСКОГО ОКРУГА</v>
      </c>
      <c r="B6521" s="24" t="s">
        <v>8478</v>
      </c>
      <c r="C6521" s="25">
        <v>600000</v>
      </c>
      <c r="D6521" s="22" t="s">
        <v>8479</v>
      </c>
      <c r="E6521" s="22" t="s">
        <v>59</v>
      </c>
      <c r="F6521" s="23" t="str">
        <f>HYPERLINK("https://www.spark-marketing.ru/Card/Lot/71271670", "Установка камер видеофиксации АПК ""Безопасный город""")</f>
        <v>Установка камер видеофиксации АПК "Безопасный город"</v>
      </c>
      <c r="G6521" s="22" t="s">
        <v>808</v>
      </c>
      <c r="H6521" s="22" t="s">
        <v>8480</v>
      </c>
      <c r="I6521" s="26">
        <v>43627.668055555601</v>
      </c>
      <c r="J6521" s="28" t="s">
        <v>52</v>
      </c>
      <c r="K6521" s="28" t="s">
        <v>52</v>
      </c>
      <c r="L6521" s="28" t="s">
        <v>52</v>
      </c>
      <c r="M6521" s="28" t="s">
        <v>52</v>
      </c>
      <c r="N6521" s="28" t="s">
        <v>52</v>
      </c>
    </row>
    <row r="6522" spans="1:14" hidden="1" outlineLevel="1" x14ac:dyDescent="0.2">
      <c r="A6522" s="23" t="str">
        <f>HYPERLINK("https://www.spark-marketing.ru/Card/Person/1082302", "АДМИНИСТРАЦИЯ ТЕНЬКИНСКОГО ГОРОДСКОГО ОКРУГА")</f>
        <v>АДМИНИСТРАЦИЯ ТЕНЬКИНСКОГО ГОРОДСКОГО ОКРУГА</v>
      </c>
      <c r="B6522" s="24" t="s">
        <v>8478</v>
      </c>
      <c r="C6522" s="25">
        <v>600000</v>
      </c>
      <c r="D6522" s="22" t="s">
        <v>8479</v>
      </c>
      <c r="E6522" s="22" t="s">
        <v>59</v>
      </c>
      <c r="F6522" s="23" t="str">
        <f>HYPERLINK("https://www.spark-marketing.ru/Card/Lot/71271670", "Установка камер видеофиксации АПК ""Безопасный город""")</f>
        <v>Установка камер видеофиксации АПК "Безопасный город"</v>
      </c>
      <c r="G6522" s="22" t="s">
        <v>808</v>
      </c>
      <c r="H6522" s="22" t="s">
        <v>8480</v>
      </c>
      <c r="I6522" s="26">
        <v>43627.668055555601</v>
      </c>
      <c r="J6522" s="23" t="str">
        <f>HYPERLINK("https://www.spark-marketing.ru/Card/Person/6218646", "Звонов Федор Николаевич")</f>
        <v>Звонов Федор Николаевич</v>
      </c>
      <c r="K6522" s="24" t="s">
        <v>8481</v>
      </c>
      <c r="L6522" s="28" t="s">
        <v>52</v>
      </c>
      <c r="M6522" s="25">
        <v>310000</v>
      </c>
      <c r="N6522" s="27">
        <v>0.48333333333333334</v>
      </c>
    </row>
    <row r="6523" spans="1:14" ht="12.75" hidden="1" outlineLevel="1" x14ac:dyDescent="0.2">
      <c r="A6523" s="23" t="str">
        <f>HYPERLINK("https://www.spark-marketing.ru/Card/Person/1082302", "АДМИНИСТРАЦИЯ ТЕНЬКИНСКОГО ГОРОДСКОГО ОКРУГА")</f>
        <v>АДМИНИСТРАЦИЯ ТЕНЬКИНСКОГО ГОРОДСКОГО ОКРУГА</v>
      </c>
      <c r="B6523" s="24" t="s">
        <v>8478</v>
      </c>
      <c r="C6523" s="25">
        <v>600000</v>
      </c>
      <c r="D6523" s="22" t="s">
        <v>8479</v>
      </c>
      <c r="E6523" s="22" t="s">
        <v>59</v>
      </c>
      <c r="F6523" s="23" t="str">
        <f>HYPERLINK("https://www.spark-marketing.ru/Card/Lot/71271670", "Установка камер видеофиксации АПК ""Безопасный город""")</f>
        <v>Установка камер видеофиксации АПК "Безопасный город"</v>
      </c>
      <c r="G6523" s="22" t="s">
        <v>808</v>
      </c>
      <c r="H6523" s="22" t="s">
        <v>8480</v>
      </c>
      <c r="I6523" s="26">
        <v>43627.668055555601</v>
      </c>
      <c r="J6523" s="23" t="str">
        <f>HYPERLINK("https://www.spark-marketing.ru/Card/Person/235335", "ООО""МВС""")</f>
        <v>ООО"МВС"</v>
      </c>
      <c r="K6523" s="24" t="s">
        <v>8482</v>
      </c>
      <c r="L6523" s="22" t="s">
        <v>10</v>
      </c>
      <c r="M6523" s="25">
        <v>307000</v>
      </c>
      <c r="N6523" s="27">
        <v>0.48833333333333334</v>
      </c>
    </row>
    <row r="6524" spans="1:14" hidden="1" outlineLevel="1" x14ac:dyDescent="0.2">
      <c r="A6524" s="23" t="str">
        <f>HYPERLINK("https://www.spark-marketing.ru/Card/Person/1082302", "АДМИНИСТРАЦИЯ ТЕНЬКИНСКОГО ГОРОДСКОГО ОКРУГА")</f>
        <v>АДМИНИСТРАЦИЯ ТЕНЬКИНСКОГО ГОРОДСКОГО ОКРУГА</v>
      </c>
      <c r="B6524" s="24" t="s">
        <v>8478</v>
      </c>
      <c r="C6524" s="25">
        <v>600000</v>
      </c>
      <c r="D6524" s="22" t="s">
        <v>8479</v>
      </c>
      <c r="E6524" s="22" t="s">
        <v>59</v>
      </c>
      <c r="F6524" s="23" t="str">
        <f>HYPERLINK("https://www.spark-marketing.ru/Card/Lot/71271670", "Установка камер видеофиксации АПК ""Безопасный город""")</f>
        <v>Установка камер видеофиксации АПК "Безопасный город"</v>
      </c>
      <c r="G6524" s="22" t="s">
        <v>808</v>
      </c>
      <c r="H6524" s="22" t="s">
        <v>8480</v>
      </c>
      <c r="I6524" s="26">
        <v>43627.668055555601</v>
      </c>
      <c r="J6524" s="23" t="str">
        <f>HYPERLINK("https://www.spark-marketing.ru/Card/Person/1359067", "ООО ""МВС""")</f>
        <v>ООО "МВС"</v>
      </c>
      <c r="K6524" s="24" t="s">
        <v>8483</v>
      </c>
      <c r="L6524" s="28" t="s">
        <v>52</v>
      </c>
      <c r="M6524" s="25">
        <v>588000</v>
      </c>
      <c r="N6524" s="27">
        <v>0.02</v>
      </c>
    </row>
    <row r="6525" spans="1:14" x14ac:dyDescent="0.2">
      <c r="A6525" s="23" t="str">
        <f>HYPERLINK("https://www.spark-marketing.ru/Card/Person/1763434", "МАУДО ""ШКОЛА ИСКУССТВ ""ЭЛЕГИЯ""")</f>
        <v>МАУДО "ШКОЛА ИСКУССТВ "ЭЛЕГИЯ"</v>
      </c>
      <c r="B6525" s="24" t="s">
        <v>8484</v>
      </c>
      <c r="C6525" s="25">
        <v>199325</v>
      </c>
      <c r="D6525" s="22" t="s">
        <v>8485</v>
      </c>
      <c r="E6525" s="22" t="s">
        <v>691</v>
      </c>
      <c r="F6525" s="23" t="str">
        <f>HYPERLINK("https://www.spark-marketing.ru/Card/Lot/71292797", "Оказание услуг по приобретению и установке камер видеонаблюдения, рамки металлодетектора и турникета")</f>
        <v>Оказание услуг по приобретению и установке камер видеонаблюдения, рамки металлодетектора и турникета</v>
      </c>
      <c r="G6525" s="22" t="s">
        <v>50</v>
      </c>
      <c r="H6525" s="22" t="s">
        <v>2430</v>
      </c>
      <c r="I6525" s="26">
        <v>43627.695844907401</v>
      </c>
      <c r="J6525" s="28" t="s">
        <v>52</v>
      </c>
      <c r="K6525" s="28" t="s">
        <v>52</v>
      </c>
      <c r="L6525" s="28" t="s">
        <v>52</v>
      </c>
      <c r="M6525" s="25">
        <v>199325</v>
      </c>
      <c r="N6525" s="27">
        <v>0</v>
      </c>
    </row>
    <row r="6526" spans="1:14" x14ac:dyDescent="0.15">
      <c r="A6526" s="23" t="str">
        <f>HYPERLINK("https://www.spark-marketing.ru/Card/Person/1758930", "ГАУ КК ""МФЦ КК""")</f>
        <v>ГАУ КК "МФЦ КК"</v>
      </c>
      <c r="B6526" s="24" t="s">
        <v>8486</v>
      </c>
      <c r="C6526" s="25">
        <v>2296666.67</v>
      </c>
      <c r="D6526" s="22" t="s">
        <v>8487</v>
      </c>
      <c r="E6526" s="22" t="s">
        <v>691</v>
      </c>
      <c r="F6526" s="23" t="str">
        <f>HYPERLINK("https://www.spark-marketing.ru/Card/Lot/71291510", "Оказание услуг по установке систем видеонаблюдения в филиалах государственного автономного учреждения Краснодарского края «Многофункциональный центр предоставления государственных и муниципальных услуг Краснодарского края»")</f>
        <v>Оказание услуг по установке систем видеонаблюдения в филиалах государственного автономного учреждения Краснодарского края «Многофункциональный центр предоставления государственных и муниципальных услуг Краснодарского края»</v>
      </c>
      <c r="G6526" s="22" t="s">
        <v>132</v>
      </c>
      <c r="H6526" s="22" t="s">
        <v>132</v>
      </c>
      <c r="I6526" s="26">
        <v>43627.697685185201</v>
      </c>
      <c r="J6526" s="28" t="s">
        <v>52</v>
      </c>
      <c r="K6526" s="28" t="s">
        <v>52</v>
      </c>
      <c r="L6526" s="28" t="s">
        <v>52</v>
      </c>
      <c r="M6526" s="28" t="s">
        <v>52</v>
      </c>
      <c r="N6526" s="28" t="s">
        <v>52</v>
      </c>
    </row>
    <row r="6527" spans="1:14" x14ac:dyDescent="0.15">
      <c r="A6527" s="23" t="str">
        <f>HYPERLINK("https://www.spark-marketing.ru/Card/Person/61087", "БУ ОО ""МФЦ""")</f>
        <v>БУ ОО "МФЦ"</v>
      </c>
      <c r="B6527" s="24" t="s">
        <v>8488</v>
      </c>
      <c r="C6527" s="25">
        <v>243800.01</v>
      </c>
      <c r="D6527" s="22" t="s">
        <v>8489</v>
      </c>
      <c r="E6527" s="22" t="s">
        <v>52</v>
      </c>
      <c r="F6527" s="23" t="str">
        <f>HYPERLINK("https://www.spark-marketing.ru/Card/Lot/71298219", "Охрана помещений Многофункционального центра предоставления государственных и муниципальных услуг (далее - МФЦ), имущества находящегося по адресу: г. Орел, ул. Ленина, д. 1, а так же находящегося автомобильного транспорта на прилегающей территории, о...")</f>
        <v>Охрана помещений Многофункционального центра предоставления государственных и муниципальных услуг (далее - МФЦ), имущества находящегося по адресу: г. Орел, ул. Ленина, д. 1, а так же находящегося автомобильного транспорта на прилегающей территории, о...</v>
      </c>
      <c r="G6527" s="22" t="s">
        <v>492</v>
      </c>
      <c r="H6527" s="22" t="s">
        <v>5024</v>
      </c>
      <c r="I6527" s="26">
        <v>43627.679861111101</v>
      </c>
      <c r="J6527" s="28" t="s">
        <v>52</v>
      </c>
      <c r="K6527" s="28" t="s">
        <v>52</v>
      </c>
      <c r="L6527" s="28" t="s">
        <v>52</v>
      </c>
      <c r="M6527" s="28" t="s">
        <v>52</v>
      </c>
      <c r="N6527" s="28" t="s">
        <v>52</v>
      </c>
    </row>
    <row r="6528" spans="1:14" hidden="1" outlineLevel="1" x14ac:dyDescent="0.2">
      <c r="A6528" s="23" t="str">
        <f>HYPERLINK("https://www.spark-marketing.ru/Card/Person/61087", "БУ ОО ""МФЦ""")</f>
        <v>БУ ОО "МФЦ"</v>
      </c>
      <c r="B6528" s="24" t="s">
        <v>8488</v>
      </c>
      <c r="C6528" s="25">
        <v>243800.01</v>
      </c>
      <c r="D6528" s="22" t="s">
        <v>8489</v>
      </c>
      <c r="E6528" s="22" t="s">
        <v>52</v>
      </c>
      <c r="F6528" s="23" t="str">
        <f>HYPERLINK("https://www.spark-marketing.ru/Card/Lot/71298219", "Охрана помещений Многофункционального центра предоставления государственных и муниципальных услуг (далее - МФЦ), имущества находящегося по адресу: г. Орел, ул. Ленина, д. 1, а так же находящегося автомобильного транспорта на прилегающей территории, о...")</f>
        <v>Охрана помещений Многофункционального центра предоставления государственных и муниципальных услуг (далее - МФЦ), имущества находящегося по адресу: г. Орел, ул. Ленина, д. 1, а так же находящегося автомобильного транспорта на прилегающей территории, о...</v>
      </c>
      <c r="G6528" s="22" t="s">
        <v>492</v>
      </c>
      <c r="H6528" s="22" t="s">
        <v>5024</v>
      </c>
      <c r="I6528" s="26">
        <v>43627.679861111101</v>
      </c>
      <c r="J6528" s="23" t="str">
        <f>HYPERLINK("https://www.spark-marketing.ru/Card/Person/5857754", "ООО ЧОО ""ЛЕВ""")</f>
        <v>ООО ЧОО "ЛЕВ"</v>
      </c>
      <c r="K6528" s="24" t="s">
        <v>4328</v>
      </c>
      <c r="L6528" s="28" t="s">
        <v>52</v>
      </c>
      <c r="M6528" s="25">
        <v>241361.99</v>
      </c>
      <c r="N6528" s="27">
        <v>1.000008162427885E-2</v>
      </c>
    </row>
    <row r="6529" spans="1:14" ht="12.75" hidden="1" outlineLevel="1" x14ac:dyDescent="0.2">
      <c r="A6529" s="23" t="str">
        <f>HYPERLINK("https://www.spark-marketing.ru/Card/Person/61087", "БУ ОО ""МФЦ""")</f>
        <v>БУ ОО "МФЦ"</v>
      </c>
      <c r="B6529" s="24" t="s">
        <v>8488</v>
      </c>
      <c r="C6529" s="25">
        <v>243800.01</v>
      </c>
      <c r="D6529" s="22" t="s">
        <v>8489</v>
      </c>
      <c r="E6529" s="22" t="s">
        <v>52</v>
      </c>
      <c r="F6529" s="23" t="str">
        <f>HYPERLINK("https://www.spark-marketing.ru/Card/Lot/71298219", "Охрана помещений Многофункционального центра предоставления государственных и муниципальных услуг (далее - МФЦ), имущества находящегося по адресу: г. Орел, ул. Ленина, д. 1, а так же находящегося автомобильного транспорта на прилегающей территории, о...")</f>
        <v>Охрана помещений Многофункционального центра предоставления государственных и муниципальных услуг (далее - МФЦ), имущества находящегося по адресу: г. Орел, ул. Ленина, д. 1, а так же находящегося автомобильного транспорта на прилегающей территории, о...</v>
      </c>
      <c r="G6529" s="22" t="s">
        <v>492</v>
      </c>
      <c r="H6529" s="22" t="s">
        <v>5024</v>
      </c>
      <c r="I6529" s="26">
        <v>43627.679861111101</v>
      </c>
      <c r="J6529" s="23" t="str">
        <f>HYPERLINK("https://www.spark-marketing.ru/Card/Person/1404531", "ООО ЧОО ""РУСЬ""")</f>
        <v>ООО ЧОО "РУСЬ"</v>
      </c>
      <c r="K6529" s="24" t="s">
        <v>8490</v>
      </c>
      <c r="L6529" s="22" t="s">
        <v>10</v>
      </c>
      <c r="M6529" s="25">
        <v>240142.98</v>
      </c>
      <c r="N6529" s="27">
        <v>1.5000122436418276E-2</v>
      </c>
    </row>
    <row r="6530" spans="1:14" x14ac:dyDescent="0.15">
      <c r="A6530" s="23" t="str">
        <f>HYPERLINK("https://www.spark-marketing.ru/Card/Person/107101", "АДМИНИСТРАЦИЯ МУНИЦИПАЛЬНОГО ОБРАЗОВАНИЯ ""ГАГАРИНСКИЙ РАЙОН"" СМОЛЕНСКОЙ ОБЛАСТИ")</f>
        <v>АДМИНИСТРАЦИЯ МУНИЦИПАЛЬНОГО ОБРАЗОВАНИЯ "ГАГАРИНСКИЙ РАЙОН" СМОЛЕНСКОЙ ОБЛАСТИ</v>
      </c>
      <c r="B6530" s="24" t="s">
        <v>8491</v>
      </c>
      <c r="C6530" s="25">
        <v>446788.89</v>
      </c>
      <c r="D6530" s="22" t="s">
        <v>8492</v>
      </c>
      <c r="E6530" s="22" t="s">
        <v>59</v>
      </c>
      <c r="F6530" s="23" t="str">
        <f>HYPERLINK("https://www.spark-marketing.ru/Card/Lot/71299136", "Приобретение и установка оборудования видеонаблюдения в сборе")</f>
        <v>Приобретение и установка оборудования видеонаблюдения в сборе</v>
      </c>
      <c r="G6530" s="22" t="s">
        <v>956</v>
      </c>
      <c r="H6530" s="22" t="s">
        <v>2095</v>
      </c>
      <c r="I6530" s="26">
        <v>43627.6784722222</v>
      </c>
      <c r="J6530" s="23" t="str">
        <f>HYPERLINK("https://www.spark-marketing.ru/Card/Person/1861580", "СМОЛЕНСКИЙ ФЛ ПАО РОСТЕЛЕКОМ")</f>
        <v>СМОЛЕНСКИЙ ФЛ ПАО РОСТЕЛЕКОМ</v>
      </c>
      <c r="K6530" s="24" t="s">
        <v>607</v>
      </c>
      <c r="L6530" s="22" t="s">
        <v>10</v>
      </c>
      <c r="M6530" s="28" t="s">
        <v>52</v>
      </c>
      <c r="N6530" s="28" t="s">
        <v>52</v>
      </c>
    </row>
    <row r="6531" spans="1:14" x14ac:dyDescent="0.15">
      <c r="A6531" s="23" t="str">
        <f>HYPERLINK("https://www.spark-marketing.ru/Card/Person/4358629", "АО ""ПРЕПРЕГ-СКМ""")</f>
        <v>АО "ПРЕПРЕГ-СКМ"</v>
      </c>
      <c r="B6531" s="24" t="s">
        <v>8463</v>
      </c>
      <c r="C6531" s="28" t="s">
        <v>52</v>
      </c>
      <c r="D6531" s="22" t="s">
        <v>8493</v>
      </c>
      <c r="E6531" s="22" t="s">
        <v>53</v>
      </c>
      <c r="F6531" s="23" t="str">
        <f>HYPERLINK("https://www.spark-marketing.ru/Card/Lot/71297602", "Мониторинг цен на оказание охранных услуг (1274871)")</f>
        <v>Мониторинг цен на оказание охранных услуг (1274871)</v>
      </c>
      <c r="G6531" s="22" t="s">
        <v>55</v>
      </c>
      <c r="H6531" s="22" t="s">
        <v>55</v>
      </c>
      <c r="I6531" s="26">
        <v>43627.703611111101</v>
      </c>
      <c r="J6531" s="28" t="s">
        <v>52</v>
      </c>
      <c r="K6531" s="28" t="s">
        <v>52</v>
      </c>
      <c r="L6531" s="28" t="s">
        <v>52</v>
      </c>
      <c r="M6531" s="28" t="s">
        <v>52</v>
      </c>
      <c r="N6531" s="28" t="s">
        <v>52</v>
      </c>
    </row>
    <row r="6532" spans="1:14" x14ac:dyDescent="0.15">
      <c r="A6532" s="23" t="str">
        <f>HYPERLINK("https://www.spark-marketing.ru/Card/Person/1744956", "ФКП ""ВГКАЗ""")</f>
        <v>ФКП "ВГКАЗ"</v>
      </c>
      <c r="B6532" s="24" t="s">
        <v>8494</v>
      </c>
      <c r="C6532" s="25">
        <v>808175</v>
      </c>
      <c r="D6532" s="22" t="s">
        <v>8495</v>
      </c>
      <c r="E6532" s="22" t="s">
        <v>4223</v>
      </c>
      <c r="F6532" s="23" t="str">
        <f>HYPERLINK("https://www.spark-marketing.ru/Card/Lot/71289644", "Оказание услуг по сопровождению процесса категорирования объектов критической информационной инфрастуктуры ФКП ""ВГКАЗ""")</f>
        <v>Оказание услуг по сопровождению процесса категорирования объектов критической информационной инфрастуктуры ФКП "ВГКАЗ"</v>
      </c>
      <c r="G6532" s="22" t="s">
        <v>50</v>
      </c>
      <c r="H6532" s="22" t="s">
        <v>2463</v>
      </c>
      <c r="I6532" s="26">
        <v>43627.652997685203</v>
      </c>
      <c r="J6532" s="28" t="s">
        <v>52</v>
      </c>
      <c r="K6532" s="28" t="s">
        <v>52</v>
      </c>
      <c r="L6532" s="28" t="s">
        <v>52</v>
      </c>
      <c r="M6532" s="28" t="s">
        <v>52</v>
      </c>
      <c r="N6532" s="28" t="s">
        <v>52</v>
      </c>
    </row>
    <row r="6533" spans="1:14" x14ac:dyDescent="0.15">
      <c r="A6533" s="23" t="str">
        <f>HYPERLINK("https://www.spark-marketing.ru/Card/Person/6511954", "МБОУ ""ЛОПАТИНСКАЯ СРЕДНЯЯ ОБЩЕОБРАЗОВАТЕЛЬНАЯ ШКОЛА""")</f>
        <v>МБОУ "ЛОПАТИНСКАЯ СРЕДНЯЯ ОБЩЕОБРАЗОВАТЕЛЬНАЯ ШКОЛА"</v>
      </c>
      <c r="B6533" s="24" t="s">
        <v>8496</v>
      </c>
      <c r="C6533" s="25">
        <v>70000</v>
      </c>
      <c r="D6533" s="22" t="s">
        <v>8497</v>
      </c>
      <c r="E6533" s="22" t="s">
        <v>103</v>
      </c>
      <c r="F6533" s="23" t="str">
        <f>HYPERLINK("https://www.spark-marketing.ru/Card/Lot/71288034", "Техническое обслуживание систем видеонаблюдения и видеодомофонной связи")</f>
        <v>Техническое обслуживание систем видеонаблюдения и видеодомофонной связи</v>
      </c>
      <c r="G6533" s="22" t="s">
        <v>50</v>
      </c>
      <c r="H6533" s="22" t="s">
        <v>2391</v>
      </c>
      <c r="I6533" s="26">
        <v>43627.638900462996</v>
      </c>
      <c r="J6533" s="28" t="s">
        <v>52</v>
      </c>
      <c r="K6533" s="28" t="s">
        <v>52</v>
      </c>
      <c r="L6533" s="28" t="s">
        <v>52</v>
      </c>
      <c r="M6533" s="28" t="s">
        <v>52</v>
      </c>
      <c r="N6533" s="28" t="s">
        <v>52</v>
      </c>
    </row>
    <row r="6534" spans="1:14" x14ac:dyDescent="0.15">
      <c r="A6534" s="23" t="str">
        <f>HYPERLINK("https://www.spark-marketing.ru/Card/Person/4373821", "АКРРК")</f>
        <v>АКРРК</v>
      </c>
      <c r="B6534" s="24" t="s">
        <v>8498</v>
      </c>
      <c r="C6534" s="25">
        <v>1038461.47</v>
      </c>
      <c r="D6534" s="22" t="s">
        <v>8499</v>
      </c>
      <c r="E6534" s="22" t="s">
        <v>208</v>
      </c>
      <c r="F6534" s="23" t="str">
        <f>HYPERLINK("https://www.spark-marketing.ru/Card/Lot/71291870", "Приобретение и установка системы видеоконференции и мониторинга для нужд единой дежурно-диспетчерской службы Администрации Красногвардейского района Республики Крым")</f>
        <v>Приобретение и установка системы видеоконференции и мониторинга для нужд единой дежурно-диспетчерской службы Администрации Красногвардейского района Республики Крым</v>
      </c>
      <c r="G6534" s="22" t="s">
        <v>1053</v>
      </c>
      <c r="H6534" s="22" t="s">
        <v>8500</v>
      </c>
      <c r="I6534" s="26">
        <v>43627.635416666701</v>
      </c>
      <c r="J6534" s="28" t="s">
        <v>52</v>
      </c>
      <c r="K6534" s="28" t="s">
        <v>52</v>
      </c>
      <c r="L6534" s="28" t="s">
        <v>52</v>
      </c>
      <c r="M6534" s="28" t="s">
        <v>52</v>
      </c>
      <c r="N6534" s="28" t="s">
        <v>52</v>
      </c>
    </row>
    <row r="6535" spans="1:14" ht="12.75" hidden="1" outlineLevel="1" x14ac:dyDescent="0.2">
      <c r="A6535" s="23" t="str">
        <f>HYPERLINK("https://www.spark-marketing.ru/Card/Person/4373821", "АКРРК")</f>
        <v>АКРРК</v>
      </c>
      <c r="B6535" s="24" t="s">
        <v>8498</v>
      </c>
      <c r="C6535" s="25">
        <v>1038461.47</v>
      </c>
      <c r="D6535" s="22" t="s">
        <v>8499</v>
      </c>
      <c r="E6535" s="22" t="s">
        <v>208</v>
      </c>
      <c r="F6535" s="23" t="str">
        <f>HYPERLINK("https://www.spark-marketing.ru/Card/Lot/71291870", "Приобретение и установка системы видеоконференции и мониторинга для нужд единой дежурно-диспетчерской службы Администрации Красногвардейского района Республики Крым")</f>
        <v>Приобретение и установка системы видеоконференции и мониторинга для нужд единой дежурно-диспетчерской службы Администрации Красногвардейского района Республики Крым</v>
      </c>
      <c r="G6535" s="22" t="s">
        <v>1053</v>
      </c>
      <c r="H6535" s="22" t="s">
        <v>8500</v>
      </c>
      <c r="I6535" s="26">
        <v>43627.635416666701</v>
      </c>
      <c r="J6535" s="23" t="str">
        <f>HYPERLINK("https://www.spark-marketing.ru/Card/Person/6528957", "ООО ""ЛИНКСИСТЕМС""")</f>
        <v>ООО "ЛИНКСИСТЕМС"</v>
      </c>
      <c r="K6535" s="24" t="s">
        <v>5314</v>
      </c>
      <c r="L6535" s="22" t="s">
        <v>10</v>
      </c>
      <c r="M6535" s="25">
        <v>929422.9</v>
      </c>
      <c r="N6535" s="27">
        <v>0.105000111366674</v>
      </c>
    </row>
    <row r="6536" spans="1:14" hidden="1" outlineLevel="1" x14ac:dyDescent="0.2">
      <c r="A6536" s="23" t="str">
        <f>HYPERLINK("https://www.spark-marketing.ru/Card/Person/4373821", "АКРРК")</f>
        <v>АКРРК</v>
      </c>
      <c r="B6536" s="24" t="s">
        <v>8498</v>
      </c>
      <c r="C6536" s="25">
        <v>1038461.47</v>
      </c>
      <c r="D6536" s="22" t="s">
        <v>8499</v>
      </c>
      <c r="E6536" s="22" t="s">
        <v>208</v>
      </c>
      <c r="F6536" s="23" t="str">
        <f>HYPERLINK("https://www.spark-marketing.ru/Card/Lot/71291870", "Приобретение и установка системы видеоконференции и мониторинга для нужд единой дежурно-диспетчерской службы Администрации Красногвардейского района Республики Крым")</f>
        <v>Приобретение и установка системы видеоконференции и мониторинга для нужд единой дежурно-диспетчерской службы Администрации Красногвардейского района Республики Крым</v>
      </c>
      <c r="G6536" s="22" t="s">
        <v>1053</v>
      </c>
      <c r="H6536" s="22" t="s">
        <v>8500</v>
      </c>
      <c r="I6536" s="26">
        <v>43627.635416666701</v>
      </c>
      <c r="J6536" s="23" t="str">
        <f>HYPERLINK("https://www.spark-marketing.ru/Card/Person/24224", "ЗАО НПО ""СЕНСОР""")</f>
        <v>ЗАО НПО "СЕНСОР"</v>
      </c>
      <c r="K6536" s="24" t="s">
        <v>8501</v>
      </c>
      <c r="L6536" s="28" t="s">
        <v>52</v>
      </c>
      <c r="M6536" s="25">
        <v>934615.21</v>
      </c>
      <c r="N6536" s="27">
        <v>0.10000010881482199</v>
      </c>
    </row>
    <row r="6537" spans="1:14" x14ac:dyDescent="0.15">
      <c r="A6537" s="23" t="str">
        <f>HYPERLINK("https://www.spark-marketing.ru/Card/Person/144138", "МБУДО ДМШ ГОЩ")</f>
        <v>МБУДО ДМШ ГОЩ</v>
      </c>
      <c r="B6537" s="24" t="s">
        <v>8502</v>
      </c>
      <c r="C6537" s="25">
        <v>354000</v>
      </c>
      <c r="D6537" s="22" t="s">
        <v>8503</v>
      </c>
      <c r="E6537" s="22" t="s">
        <v>103</v>
      </c>
      <c r="F6537" s="23" t="str">
        <f>HYPERLINK("https://www.spark-marketing.ru/Card/Lot/71285873", "Оказание услуг по техническому обслуживанию системы видеонаблюдения")</f>
        <v>Оказание услуг по техническому обслуживанию системы видеонаблюдения</v>
      </c>
      <c r="G6537" s="22" t="s">
        <v>50</v>
      </c>
      <c r="H6537" s="22" t="s">
        <v>458</v>
      </c>
      <c r="I6537" s="26">
        <v>43627.6280555556</v>
      </c>
      <c r="J6537" s="28" t="s">
        <v>52</v>
      </c>
      <c r="K6537" s="28" t="s">
        <v>52</v>
      </c>
      <c r="L6537" s="28" t="s">
        <v>52</v>
      </c>
      <c r="M6537" s="28" t="s">
        <v>52</v>
      </c>
      <c r="N6537" s="28" t="s">
        <v>52</v>
      </c>
    </row>
    <row r="6538" spans="1:14" x14ac:dyDescent="0.15">
      <c r="A6538" s="23" t="str">
        <f>HYPERLINK("https://www.spark-marketing.ru/Card/Person/102199", "ПОСЕЛКОВАЯ АДМИНИСТРАЦИЯ СЕРЕБРЯНЫЙ БОР")</f>
        <v>ПОСЕЛКОВАЯ АДМИНИСТРАЦИЯ СЕРЕБРЯНЫЙ БОР</v>
      </c>
      <c r="B6538" s="24" t="s">
        <v>6476</v>
      </c>
      <c r="C6538" s="25">
        <v>350000</v>
      </c>
      <c r="D6538" s="22" t="s">
        <v>8504</v>
      </c>
      <c r="E6538" s="22" t="s">
        <v>84</v>
      </c>
      <c r="F6538" s="23" t="str">
        <f>HYPERLINK("https://www.spark-marketing.ru/Card/Lot/71276933", "Выполнению работ по установке и обслуживание видеокамер на территории муниципального образования городское поселение «Поселок Серебряный Бор»")</f>
        <v>Выполнению работ по установке и обслуживание видеокамер на территории муниципального образования городское поселение «Поселок Серебряный Бор»</v>
      </c>
      <c r="G6538" s="22" t="s">
        <v>424</v>
      </c>
      <c r="H6538" s="22" t="s">
        <v>6478</v>
      </c>
      <c r="I6538" s="26">
        <v>43627.663194444402</v>
      </c>
      <c r="J6538" s="28" t="s">
        <v>52</v>
      </c>
      <c r="K6538" s="28" t="s">
        <v>52</v>
      </c>
      <c r="L6538" s="28" t="s">
        <v>52</v>
      </c>
      <c r="M6538" s="28" t="s">
        <v>52</v>
      </c>
      <c r="N6538" s="28" t="s">
        <v>52</v>
      </c>
    </row>
    <row r="6539" spans="1:14" x14ac:dyDescent="0.15">
      <c r="A6539" s="23" t="str">
        <f>HYPERLINK("https://www.spark-marketing.ru/Card/Person/254811", "МОУ ""ДЕРЖАВИНСКИЙ ЛИЦЕЙ""")</f>
        <v>МОУ "ДЕРЖАВИНСКИЙ ЛИЦЕЙ"</v>
      </c>
      <c r="B6539" s="24" t="s">
        <v>8505</v>
      </c>
      <c r="C6539" s="25">
        <v>120000</v>
      </c>
      <c r="D6539" s="28" t="s">
        <v>52</v>
      </c>
      <c r="E6539" s="22" t="s">
        <v>59</v>
      </c>
      <c r="F6539" s="23" t="str">
        <f>HYPERLINK("https://www.spark-marketing.ru/Card/Lot/72428163", "№005145201918627 Поставка и установка системы видеонаблюдения")</f>
        <v>№005145201918627 Поставка и установка системы видеонаблюдения</v>
      </c>
      <c r="G6539" s="22" t="s">
        <v>435</v>
      </c>
      <c r="H6539" s="22" t="s">
        <v>436</v>
      </c>
      <c r="I6539" s="26">
        <v>43627.627916666701</v>
      </c>
      <c r="J6539" s="28" t="s">
        <v>52</v>
      </c>
      <c r="K6539" s="28" t="s">
        <v>52</v>
      </c>
      <c r="L6539" s="28" t="s">
        <v>52</v>
      </c>
      <c r="M6539" s="28" t="s">
        <v>52</v>
      </c>
      <c r="N6539" s="28" t="s">
        <v>52</v>
      </c>
    </row>
    <row r="6540" spans="1:14" x14ac:dyDescent="0.15">
      <c r="A6540" s="23" t="str">
        <f>HYPERLINK("https://www.spark-marketing.ru/Card/Person/6441946", "АДМИНИСТРАЦИЯ ГОРОДСКОГО ОКРУГА ЛИКИНО-ДУЛЁВО")</f>
        <v>АДМИНИСТРАЦИЯ ГОРОДСКОГО ОКРУГА ЛИКИНО-ДУЛЁВО</v>
      </c>
      <c r="B6540" s="24" t="s">
        <v>8506</v>
      </c>
      <c r="C6540" s="25">
        <v>2000000</v>
      </c>
      <c r="D6540" s="22" t="s">
        <v>8507</v>
      </c>
      <c r="E6540" s="22" t="s">
        <v>1634</v>
      </c>
      <c r="F6540" s="23" t="str">
        <f>HYPERLINK("https://www.spark-marketing.ru/Card/Lot/71292959", "Оказание услуг по обеспечению охраны общественного порядка в дневное и ночное время в местах массового пребывания (отдыха) людей на водных объектах (пляжах), расположенных на территории городского округа Ликино-Дулёво.")</f>
        <v>Оказание услуг по обеспечению охраны общественного порядка в дневное и ночное время в местах массового пребывания (отдыха) людей на водных объектах (пляжах), расположенных на территории городского округа Ликино-Дулёво.</v>
      </c>
      <c r="G6540" s="22" t="s">
        <v>50</v>
      </c>
      <c r="H6540" s="22" t="s">
        <v>50</v>
      </c>
      <c r="I6540" s="26">
        <v>43627.631249999999</v>
      </c>
      <c r="J6540" s="28" t="s">
        <v>52</v>
      </c>
      <c r="K6540" s="28" t="s">
        <v>52</v>
      </c>
      <c r="L6540" s="28" t="s">
        <v>52</v>
      </c>
      <c r="M6540" s="28" t="s">
        <v>52</v>
      </c>
      <c r="N6540" s="28" t="s">
        <v>52</v>
      </c>
    </row>
    <row r="6541" spans="1:14" x14ac:dyDescent="0.15">
      <c r="A6541" s="23" t="str">
        <f>HYPERLINK("https://www.spark-marketing.ru/Card/Person/159203", "ИСПОЛНИТЕЛЬНЫЙ КОМИТЕТ ГОРОДА БУИНСКА")</f>
        <v>ИСПОЛНИТЕЛЬНЫЙ КОМИТЕТ ГОРОДА БУИНСКА</v>
      </c>
      <c r="B6541" s="24" t="s">
        <v>8508</v>
      </c>
      <c r="C6541" s="25">
        <v>118174</v>
      </c>
      <c r="D6541" s="22" t="s">
        <v>8509</v>
      </c>
      <c r="E6541" s="22" t="s">
        <v>103</v>
      </c>
      <c r="F6541" s="23" t="str">
        <f>HYPERLINK("https://www.spark-marketing.ru/Card/Lot/71296641", "Техническое обслуживание системы видеонаблюдения в г.Буинске РТ")</f>
        <v>Техническое обслуживание системы видеонаблюдения в г.Буинске РТ</v>
      </c>
      <c r="G6541" s="22" t="s">
        <v>204</v>
      </c>
      <c r="H6541" s="22" t="s">
        <v>8510</v>
      </c>
      <c r="I6541" s="26">
        <v>43627.646527777797</v>
      </c>
      <c r="J6541" s="23" t="str">
        <f>HYPERLINK("https://www.spark-marketing.ru/Card/Person/47174", "ПАО ""ТАТТЕЛЕКОМ""")</f>
        <v>ПАО "ТАТТЕЛЕКОМ"</v>
      </c>
      <c r="K6541" s="24" t="s">
        <v>5128</v>
      </c>
      <c r="L6541" s="28" t="s">
        <v>52</v>
      </c>
      <c r="M6541" s="28" t="s">
        <v>52</v>
      </c>
      <c r="N6541" s="28" t="s">
        <v>52</v>
      </c>
    </row>
    <row r="6542" spans="1:14" ht="12.75" hidden="1" outlineLevel="1" x14ac:dyDescent="0.2">
      <c r="A6542" s="23" t="str">
        <f>HYPERLINK("https://www.spark-marketing.ru/Card/Person/159203", "ИСПОЛНИТЕЛЬНЫЙ КОМИТЕТ ГОРОДА БУИНСКА")</f>
        <v>ИСПОЛНИТЕЛЬНЫЙ КОМИТЕТ ГОРОДА БУИНСКА</v>
      </c>
      <c r="B6542" s="24" t="s">
        <v>8508</v>
      </c>
      <c r="C6542" s="25">
        <v>118174</v>
      </c>
      <c r="D6542" s="22" t="s">
        <v>8509</v>
      </c>
      <c r="E6542" s="22" t="s">
        <v>103</v>
      </c>
      <c r="F6542" s="23" t="str">
        <f>HYPERLINK("https://www.spark-marketing.ru/Card/Lot/71296641", "Техническое обслуживание системы видеонаблюдения в г.Буинске РТ")</f>
        <v>Техническое обслуживание системы видеонаблюдения в г.Буинске РТ</v>
      </c>
      <c r="G6542" s="22" t="s">
        <v>204</v>
      </c>
      <c r="H6542" s="22" t="s">
        <v>8510</v>
      </c>
      <c r="I6542" s="26">
        <v>43627.646527777797</v>
      </c>
      <c r="J6542" s="23" t="str">
        <f>HYPERLINK("https://www.spark-marketing.ru/Card/Person/47174", "ПАО ""ТАТТЕЛЕКОМ""")</f>
        <v>ПАО "ТАТТЕЛЕКОМ"</v>
      </c>
      <c r="K6542" s="24" t="s">
        <v>5128</v>
      </c>
      <c r="L6542" s="22" t="s">
        <v>10</v>
      </c>
      <c r="M6542" s="25">
        <v>117583.13</v>
      </c>
      <c r="N6542" s="27">
        <v>5.0000000000000001E-3</v>
      </c>
    </row>
    <row r="6543" spans="1:14" x14ac:dyDescent="0.15">
      <c r="A6543" s="23" t="str">
        <f>HYPERLINK("https://www.spark-marketing.ru/Card/Person/742909", "АДМИНИСТРАЦИЯ ХОРИНСКОГО РАЙОНА")</f>
        <v>АДМИНИСТРАЦИЯ ХОРИНСКОГО РАЙОНА</v>
      </c>
      <c r="B6543" s="24" t="s">
        <v>2741</v>
      </c>
      <c r="C6543" s="25">
        <v>186600</v>
      </c>
      <c r="D6543" s="22" t="s">
        <v>8511</v>
      </c>
      <c r="E6543" s="22" t="s">
        <v>1161</v>
      </c>
      <c r="F6543" s="23" t="str">
        <f>HYPERLINK("https://www.spark-marketing.ru/Card/Lot/71280086", "Приобретение камер видеонаблюдения с проведением монтажных работ по установке (в том числе приобретение комплектующих компонентов и кабельной продукции)")</f>
        <v>Приобретение камер видеонаблюдения с проведением монтажных работ по установке (в том числе приобретение комплектующих компонентов и кабельной продукции)</v>
      </c>
      <c r="G6543" s="22" t="s">
        <v>354</v>
      </c>
      <c r="H6543" s="22" t="s">
        <v>2743</v>
      </c>
      <c r="I6543" s="26">
        <v>43627.623611111099</v>
      </c>
      <c r="J6543" s="28" t="s">
        <v>52</v>
      </c>
      <c r="K6543" s="28" t="s">
        <v>52</v>
      </c>
      <c r="L6543" s="28" t="s">
        <v>52</v>
      </c>
      <c r="M6543" s="28" t="s">
        <v>52</v>
      </c>
      <c r="N6543" s="28" t="s">
        <v>52</v>
      </c>
    </row>
    <row r="6544" spans="1:14" ht="12.75" hidden="1" outlineLevel="1" x14ac:dyDescent="0.2">
      <c r="A6544" s="23" t="str">
        <f>HYPERLINK("https://www.spark-marketing.ru/Card/Person/742909", "АДМИНИСТРАЦИЯ ХОРИНСКОГО РАЙОНА")</f>
        <v>АДМИНИСТРАЦИЯ ХОРИНСКОГО РАЙОНА</v>
      </c>
      <c r="B6544" s="24" t="s">
        <v>2741</v>
      </c>
      <c r="C6544" s="25">
        <v>186600</v>
      </c>
      <c r="D6544" s="22" t="s">
        <v>8511</v>
      </c>
      <c r="E6544" s="22" t="s">
        <v>1161</v>
      </c>
      <c r="F6544" s="23" t="str">
        <f>HYPERLINK("https://www.spark-marketing.ru/Card/Lot/71280086", "Приобретение камер видеонаблюдения с проведением монтажных работ по установке (в том числе приобретение комплектующих компонентов и кабельной продукции)")</f>
        <v>Приобретение камер видеонаблюдения с проведением монтажных работ по установке (в том числе приобретение комплектующих компонентов и кабельной продукции)</v>
      </c>
      <c r="G6544" s="22" t="s">
        <v>354</v>
      </c>
      <c r="H6544" s="22" t="s">
        <v>2743</v>
      </c>
      <c r="I6544" s="26">
        <v>43627.623611111099</v>
      </c>
      <c r="J6544" s="23" t="str">
        <f>HYPERLINK("https://www.spark-marketing.ru/Card/Person/6618380", "ООО ""ПРОЛАН""")</f>
        <v>ООО "ПРОЛАН"</v>
      </c>
      <c r="K6544" s="24" t="s">
        <v>5764</v>
      </c>
      <c r="L6544" s="22" t="s">
        <v>10</v>
      </c>
      <c r="M6544" s="25">
        <v>175404</v>
      </c>
      <c r="N6544" s="27">
        <v>0.06</v>
      </c>
    </row>
    <row r="6545" spans="1:14" hidden="1" outlineLevel="1" x14ac:dyDescent="0.2">
      <c r="A6545" s="23" t="str">
        <f>HYPERLINK("https://www.spark-marketing.ru/Card/Person/742909", "АДМИНИСТРАЦИЯ ХОРИНСКОГО РАЙОНА")</f>
        <v>АДМИНИСТРАЦИЯ ХОРИНСКОГО РАЙОНА</v>
      </c>
      <c r="B6545" s="24" t="s">
        <v>2741</v>
      </c>
      <c r="C6545" s="25">
        <v>186600</v>
      </c>
      <c r="D6545" s="22" t="s">
        <v>8511</v>
      </c>
      <c r="E6545" s="22" t="s">
        <v>1161</v>
      </c>
      <c r="F6545" s="23" t="str">
        <f>HYPERLINK("https://www.spark-marketing.ru/Card/Lot/71280086", "Приобретение камер видеонаблюдения с проведением монтажных работ по установке (в том числе приобретение комплектующих компонентов и кабельной продукции)")</f>
        <v>Приобретение камер видеонаблюдения с проведением монтажных работ по установке (в том числе приобретение комплектующих компонентов и кабельной продукции)</v>
      </c>
      <c r="G6545" s="22" t="s">
        <v>354</v>
      </c>
      <c r="H6545" s="22" t="s">
        <v>2743</v>
      </c>
      <c r="I6545" s="26">
        <v>43627.623611111099</v>
      </c>
      <c r="J6545" s="23" t="str">
        <f>HYPERLINK("https://www.spark-marketing.ru/Card/Person/5886157", "Цыбиков Иван Юрьевич")</f>
        <v>Цыбиков Иван Юрьевич</v>
      </c>
      <c r="K6545" s="24" t="s">
        <v>6565</v>
      </c>
      <c r="L6545" s="28" t="s">
        <v>52</v>
      </c>
      <c r="M6545" s="25">
        <v>176337</v>
      </c>
      <c r="N6545" s="27">
        <v>5.5E-2</v>
      </c>
    </row>
    <row r="6546" spans="1:14" x14ac:dyDescent="0.15">
      <c r="A6546" s="23" t="str">
        <f>HYPERLINK("https://www.spark-marketing.ru/Card/Person/246038", "ГБУСО ""КРАСНОГОРОДСКИЙ ПСИХОНЕВРОЛОГИЧЕСКИЙ ИНТЕРНАТ""")</f>
        <v>ГБУСО "КРАСНОГОРОДСКИЙ ПСИХОНЕВРОЛОГИЧЕСКИЙ ИНТЕРНАТ"</v>
      </c>
      <c r="B6546" s="24" t="s">
        <v>8512</v>
      </c>
      <c r="C6546" s="25">
        <v>57328.98</v>
      </c>
      <c r="D6546" s="22" t="s">
        <v>8513</v>
      </c>
      <c r="E6546" s="22" t="s">
        <v>68</v>
      </c>
      <c r="F6546" s="23" t="str">
        <f>HYPERLINK("https://www.spark-marketing.ru/Card/Lot/71296282", "Услуги по пультовой охране помещений на 2 полугодие 2019 года")</f>
        <v>Услуги по пультовой охране помещений на 2 полугодие 2019 года</v>
      </c>
      <c r="G6546" s="22" t="s">
        <v>142</v>
      </c>
      <c r="H6546" s="22" t="s">
        <v>8514</v>
      </c>
      <c r="I6546" s="26">
        <v>43627.608333333301</v>
      </c>
      <c r="J6546" s="28" t="s">
        <v>52</v>
      </c>
      <c r="K6546" s="28" t="s">
        <v>52</v>
      </c>
      <c r="L6546" s="28" t="s">
        <v>52</v>
      </c>
      <c r="M6546" s="28" t="s">
        <v>52</v>
      </c>
      <c r="N6546" s="28" t="s">
        <v>52</v>
      </c>
    </row>
    <row r="6547" spans="1:14" ht="12.75" hidden="1" outlineLevel="1" x14ac:dyDescent="0.2">
      <c r="A6547" s="23" t="str">
        <f>HYPERLINK("https://www.spark-marketing.ru/Card/Person/246038", "ГБУСО ""КРАСНОГОРОДСКИЙ ПСИХОНЕВРОЛОГИЧЕСКИЙ ИНТЕРНАТ""")</f>
        <v>ГБУСО "КРАСНОГОРОДСКИЙ ПСИХОНЕВРОЛОГИЧЕСКИЙ ИНТЕРНАТ"</v>
      </c>
      <c r="B6547" s="24" t="s">
        <v>8512</v>
      </c>
      <c r="C6547" s="25">
        <v>57328.98</v>
      </c>
      <c r="D6547" s="22" t="s">
        <v>8513</v>
      </c>
      <c r="E6547" s="22" t="s">
        <v>68</v>
      </c>
      <c r="F6547" s="23" t="str">
        <f>HYPERLINK("https://www.spark-marketing.ru/Card/Lot/71296282", "Услуги по пультовой охране помещений на 2 полугодие 2019 года")</f>
        <v>Услуги по пультовой охране помещений на 2 полугодие 2019 года</v>
      </c>
      <c r="G6547" s="22" t="s">
        <v>142</v>
      </c>
      <c r="H6547" s="22" t="s">
        <v>8514</v>
      </c>
      <c r="I6547" s="26">
        <v>43627.608333333301</v>
      </c>
      <c r="J6547" s="23" t="str">
        <f>HYPERLINK("https://www.spark-marketing.ru/Card/Person/358570", "ООО ЧОО ""ДЕРЖАВА""")</f>
        <v>ООО ЧОО "ДЕРЖАВА"</v>
      </c>
      <c r="K6547" s="24" t="s">
        <v>8515</v>
      </c>
      <c r="L6547" s="22" t="s">
        <v>10</v>
      </c>
      <c r="M6547" s="25">
        <v>1009.45</v>
      </c>
      <c r="N6547" s="27">
        <v>0.98239197697220493</v>
      </c>
    </row>
    <row r="6548" spans="1:14" hidden="1" outlineLevel="1" x14ac:dyDescent="0.2">
      <c r="A6548" s="23" t="str">
        <f>HYPERLINK("https://www.spark-marketing.ru/Card/Person/246038", "ГБУСО ""КРАСНОГОРОДСКИЙ ПСИХОНЕВРОЛОГИЧЕСКИЙ ИНТЕРНАТ""")</f>
        <v>ГБУСО "КРАСНОГОРОДСКИЙ ПСИХОНЕВРОЛОГИЧЕСКИЙ ИНТЕРНАТ"</v>
      </c>
      <c r="B6548" s="24" t="s">
        <v>8512</v>
      </c>
      <c r="C6548" s="25">
        <v>57328.98</v>
      </c>
      <c r="D6548" s="22" t="s">
        <v>8513</v>
      </c>
      <c r="E6548" s="22" t="s">
        <v>68</v>
      </c>
      <c r="F6548" s="23" t="str">
        <f>HYPERLINK("https://www.spark-marketing.ru/Card/Lot/71296282", "Услуги по пультовой охране помещений на 2 полугодие 2019 года")</f>
        <v>Услуги по пультовой охране помещений на 2 полугодие 2019 года</v>
      </c>
      <c r="G6548" s="22" t="s">
        <v>142</v>
      </c>
      <c r="H6548" s="22" t="s">
        <v>8514</v>
      </c>
      <c r="I6548" s="26">
        <v>43627.608333333301</v>
      </c>
      <c r="J6548" s="23" t="str">
        <f>HYPERLINK("https://www.spark-marketing.ru/Card/Person/619457", "ООО ЧОО ""ВЫМПЕЛ""")</f>
        <v>ООО ЧОО "ВЫМПЕЛ"</v>
      </c>
      <c r="K6548" s="24" t="s">
        <v>8516</v>
      </c>
      <c r="L6548" s="28" t="s">
        <v>52</v>
      </c>
      <c r="M6548" s="25">
        <v>1296.0899999999999</v>
      </c>
      <c r="N6548" s="27">
        <v>0.97739206244381116</v>
      </c>
    </row>
    <row r="6549" spans="1:14" x14ac:dyDescent="0.15">
      <c r="A6549" s="23" t="str">
        <f>HYPERLINK("https://www.spark-marketing.ru/Card/Person/4441241", "АО ""САМОТЛОРНЕФТЕГАЗ""")</f>
        <v>АО "САМОТЛОРНЕФТЕГАЗ"</v>
      </c>
      <c r="B6549" s="24" t="s">
        <v>7090</v>
      </c>
      <c r="C6549" s="28" t="s">
        <v>52</v>
      </c>
      <c r="D6549" s="22" t="s">
        <v>8517</v>
      </c>
      <c r="E6549" s="22" t="s">
        <v>7092</v>
      </c>
      <c r="F6549" s="23" t="str">
        <f>HYPERLINK("https://www.spark-marketing.ru/Card/Lot/71285520", "Оказание услуг по обслуживанию технических средств охраны и дополнительного оборудования на объектах АО «Корпорация Югранефть»")</f>
        <v>Оказание услуг по обслуживанию технических средств охраны и дополнительного оборудования на объектах АО «Корпорация Югранефть»</v>
      </c>
      <c r="G6549" s="22" t="s">
        <v>119</v>
      </c>
      <c r="H6549" s="22" t="s">
        <v>952</v>
      </c>
      <c r="I6549" s="26">
        <v>43627.6</v>
      </c>
      <c r="J6549" s="28" t="s">
        <v>52</v>
      </c>
      <c r="K6549" s="28" t="s">
        <v>52</v>
      </c>
      <c r="L6549" s="28" t="s">
        <v>52</v>
      </c>
      <c r="M6549" s="28" t="s">
        <v>52</v>
      </c>
      <c r="N6549" s="28" t="s">
        <v>52</v>
      </c>
    </row>
    <row r="6550" spans="1:14" x14ac:dyDescent="0.2">
      <c r="A6550" s="23" t="str">
        <f>HYPERLINK("https://www.spark-marketing.ru/Card/Person/1489027", "СРЕДНЯЯ ШКОЛА № 4, МАОУ СОШ № 4 С УИОП АГО")</f>
        <v>СРЕДНЯЯ ШКОЛА № 4, МАОУ СОШ № 4 С УИОП АГО</v>
      </c>
      <c r="B6550" s="24" t="s">
        <v>8383</v>
      </c>
      <c r="C6550" s="25">
        <v>60000</v>
      </c>
      <c r="D6550" s="22" t="s">
        <v>8518</v>
      </c>
      <c r="E6550" s="22" t="s">
        <v>691</v>
      </c>
      <c r="F6550" s="23" t="str">
        <f>HYPERLINK("https://www.spark-marketing.ru/Card/Lot/71282654", "Установка (модернизация) внутреннего и наружного видеонаблюдения")</f>
        <v>Установка (модернизация) внутреннего и наружного видеонаблюдения</v>
      </c>
      <c r="G6550" s="22" t="s">
        <v>72</v>
      </c>
      <c r="H6550" s="22" t="s">
        <v>72</v>
      </c>
      <c r="I6550" s="26">
        <v>43627.618148148104</v>
      </c>
      <c r="J6550" s="28" t="s">
        <v>52</v>
      </c>
      <c r="K6550" s="28" t="s">
        <v>52</v>
      </c>
      <c r="L6550" s="28" t="s">
        <v>52</v>
      </c>
      <c r="M6550" s="25">
        <v>60000</v>
      </c>
      <c r="N6550" s="27">
        <v>0</v>
      </c>
    </row>
    <row r="6551" spans="1:14" x14ac:dyDescent="0.15">
      <c r="A6551" s="23" t="str">
        <f>HYPERLINK("https://www.spark-marketing.ru/Card/Person/4453826", "ПАО ""САРАТОВСКИЙ НПЗ""")</f>
        <v>ПАО "САРАТОВСКИЙ НПЗ"</v>
      </c>
      <c r="B6551" s="24" t="s">
        <v>2100</v>
      </c>
      <c r="C6551" s="28" t="s">
        <v>52</v>
      </c>
      <c r="D6551" s="22" t="s">
        <v>8519</v>
      </c>
      <c r="E6551" s="22" t="s">
        <v>1002</v>
      </c>
      <c r="F6551" s="23" t="str">
        <f>HYPERLINK("https://www.spark-marketing.ru/Card/Lot/71285489", "Оказание услуг по техническому обслуживанию системы промышленного видеонаблюдения на объектах ПАО «Саратовский НПЗ»")</f>
        <v>Оказание услуг по техническому обслуживанию системы промышленного видеонаблюдения на объектах ПАО «Саратовский НПЗ»</v>
      </c>
      <c r="G6551" s="22" t="s">
        <v>80</v>
      </c>
      <c r="H6551" s="22" t="s">
        <v>81</v>
      </c>
      <c r="I6551" s="26">
        <v>43627.586805555598</v>
      </c>
      <c r="J6551" s="28" t="s">
        <v>52</v>
      </c>
      <c r="K6551" s="28" t="s">
        <v>52</v>
      </c>
      <c r="L6551" s="28" t="s">
        <v>52</v>
      </c>
      <c r="M6551" s="28" t="s">
        <v>52</v>
      </c>
      <c r="N6551" s="28" t="s">
        <v>52</v>
      </c>
    </row>
    <row r="6552" spans="1:14" x14ac:dyDescent="0.15">
      <c r="A6552" s="23" t="str">
        <f>HYPERLINK("https://www.spark-marketing.ru/Card/Person/1478575", "МАДОУ ДЕТСКИЙ САД № 7")</f>
        <v>МАДОУ ДЕТСКИЙ САД № 7</v>
      </c>
      <c r="B6552" s="24" t="s">
        <v>8520</v>
      </c>
      <c r="C6552" s="25">
        <v>35689.980000000003</v>
      </c>
      <c r="D6552" s="22" t="s">
        <v>8521</v>
      </c>
      <c r="E6552" s="22" t="s">
        <v>49</v>
      </c>
      <c r="F6552" s="23" t="str">
        <f>HYPERLINK("https://www.spark-marketing.ru/Card/Lot/71284903", "Установка камер видеонаблюдения")</f>
        <v>Установка камер видеонаблюдения</v>
      </c>
      <c r="G6552" s="22" t="s">
        <v>80</v>
      </c>
      <c r="H6552" s="22" t="s">
        <v>80</v>
      </c>
      <c r="I6552" s="26">
        <v>43627.612581018497</v>
      </c>
      <c r="J6552" s="28" t="s">
        <v>52</v>
      </c>
      <c r="K6552" s="28" t="s">
        <v>52</v>
      </c>
      <c r="L6552" s="28" t="s">
        <v>52</v>
      </c>
      <c r="M6552" s="28" t="s">
        <v>52</v>
      </c>
      <c r="N6552" s="28" t="s">
        <v>52</v>
      </c>
    </row>
    <row r="6553" spans="1:14" x14ac:dyDescent="0.15">
      <c r="A6553" s="23" t="str">
        <f t="shared" ref="A6553:A6559" si="272">HYPERLINK("https://www.spark-marketing.ru/Card/Person/1319847", "СОГБУ ""ДРЮЦКИЙ ПНИ""")</f>
        <v>СОГБУ "ДРЮЦКИЙ ПНИ"</v>
      </c>
      <c r="B6553" s="24" t="s">
        <v>8522</v>
      </c>
      <c r="C6553" s="25">
        <v>39600</v>
      </c>
      <c r="D6553" s="22" t="s">
        <v>8523</v>
      </c>
      <c r="E6553" s="22" t="s">
        <v>103</v>
      </c>
      <c r="F6553" s="23" t="str">
        <f t="shared" ref="F6553:F6559" si="273">HYPERLINK("https://www.spark-marketing.ru/Card/Lot/71295328", "(№ 632-эзк) запрос котировок в электронной форме на право заключить контракт на оказание услуг по техническому обслуживанию систем видеонаблюдения для обеспечения нужд СОГБУ ""Дрюцкий ПНИ""")</f>
        <v>(№ 632-эзк) запрос котировок в электронной форме на право заключить контракт на оказание услуг по техническому обслуживанию систем видеонаблюдения для обеспечения нужд СОГБУ "Дрюцкий ПНИ"</v>
      </c>
      <c r="G6553" s="22" t="s">
        <v>956</v>
      </c>
      <c r="H6553" s="22" t="s">
        <v>8524</v>
      </c>
      <c r="I6553" s="26">
        <v>43627.604166666701</v>
      </c>
      <c r="J6553" s="28" t="s">
        <v>52</v>
      </c>
      <c r="K6553" s="28" t="s">
        <v>52</v>
      </c>
      <c r="L6553" s="28" t="s">
        <v>52</v>
      </c>
      <c r="M6553" s="28" t="s">
        <v>52</v>
      </c>
      <c r="N6553" s="28" t="s">
        <v>52</v>
      </c>
    </row>
    <row r="6554" spans="1:14" ht="12.75" hidden="1" outlineLevel="1" x14ac:dyDescent="0.2">
      <c r="A6554" s="23" t="str">
        <f t="shared" si="272"/>
        <v>СОГБУ "ДРЮЦКИЙ ПНИ"</v>
      </c>
      <c r="B6554" s="24" t="s">
        <v>8522</v>
      </c>
      <c r="C6554" s="25">
        <v>39600</v>
      </c>
      <c r="D6554" s="22" t="s">
        <v>8523</v>
      </c>
      <c r="E6554" s="22" t="s">
        <v>103</v>
      </c>
      <c r="F6554" s="23" t="str">
        <f t="shared" si="273"/>
        <v>(№ 632-эзк) запрос котировок в электронной форме на право заключить контракт на оказание услуг по техническому обслуживанию систем видеонаблюдения для обеспечения нужд СОГБУ "Дрюцкий ПНИ"</v>
      </c>
      <c r="G6554" s="22" t="s">
        <v>956</v>
      </c>
      <c r="H6554" s="22" t="s">
        <v>8524</v>
      </c>
      <c r="I6554" s="26">
        <v>43627.604166666701</v>
      </c>
      <c r="J6554" s="23" t="str">
        <f>HYPERLINK("https://www.spark-marketing.ru/Card/Person/555871", "ООО ""ФОРМУЛА БЕЗОПАСНОСТИ""")</f>
        <v>ООО "ФОРМУЛА БЕЗОПАСНОСТИ"</v>
      </c>
      <c r="K6554" s="24" t="s">
        <v>8525</v>
      </c>
      <c r="L6554" s="22" t="s">
        <v>10</v>
      </c>
      <c r="M6554" s="25">
        <v>7800</v>
      </c>
      <c r="N6554" s="27">
        <v>0.80303030303030298</v>
      </c>
    </row>
    <row r="6555" spans="1:14" hidden="1" outlineLevel="1" x14ac:dyDescent="0.2">
      <c r="A6555" s="23" t="str">
        <f t="shared" si="272"/>
        <v>СОГБУ "ДРЮЦКИЙ ПНИ"</v>
      </c>
      <c r="B6555" s="24" t="s">
        <v>8522</v>
      </c>
      <c r="C6555" s="25">
        <v>39600</v>
      </c>
      <c r="D6555" s="22" t="s">
        <v>8523</v>
      </c>
      <c r="E6555" s="22" t="s">
        <v>103</v>
      </c>
      <c r="F6555" s="23" t="str">
        <f t="shared" si="273"/>
        <v>(№ 632-эзк) запрос котировок в электронной форме на право заключить контракт на оказание услуг по техническому обслуживанию систем видеонаблюдения для обеспечения нужд СОГБУ "Дрюцкий ПНИ"</v>
      </c>
      <c r="G6555" s="22" t="s">
        <v>956</v>
      </c>
      <c r="H6555" s="22" t="s">
        <v>8524</v>
      </c>
      <c r="I6555" s="26">
        <v>43627.604166666701</v>
      </c>
      <c r="J6555" s="23" t="str">
        <f>HYPERLINK("https://www.spark-marketing.ru/Card/Person/641783", "ООО ""СОВРЕМЕННЫЕ ТЕХНОЛОГИИ""")</f>
        <v>ООО "СОВРЕМЕННЫЕ ТЕХНОЛОГИИ"</v>
      </c>
      <c r="K6555" s="24" t="s">
        <v>8526</v>
      </c>
      <c r="L6555" s="28" t="s">
        <v>52</v>
      </c>
      <c r="M6555" s="25">
        <v>8994</v>
      </c>
      <c r="N6555" s="27">
        <v>0.77287878787878783</v>
      </c>
    </row>
    <row r="6556" spans="1:14" hidden="1" outlineLevel="1" x14ac:dyDescent="0.2">
      <c r="A6556" s="23" t="str">
        <f t="shared" si="272"/>
        <v>СОГБУ "ДРЮЦКИЙ ПНИ"</v>
      </c>
      <c r="B6556" s="24" t="s">
        <v>8522</v>
      </c>
      <c r="C6556" s="25">
        <v>39600</v>
      </c>
      <c r="D6556" s="22" t="s">
        <v>8523</v>
      </c>
      <c r="E6556" s="22" t="s">
        <v>103</v>
      </c>
      <c r="F6556" s="23" t="str">
        <f t="shared" si="273"/>
        <v>(№ 632-эзк) запрос котировок в электронной форме на право заключить контракт на оказание услуг по техническому обслуживанию систем видеонаблюдения для обеспечения нужд СОГБУ "Дрюцкий ПНИ"</v>
      </c>
      <c r="G6556" s="22" t="s">
        <v>956</v>
      </c>
      <c r="H6556" s="22" t="s">
        <v>8524</v>
      </c>
      <c r="I6556" s="26">
        <v>43627.604166666701</v>
      </c>
      <c r="J6556" s="23" t="str">
        <f>HYPERLINK("https://www.spark-marketing.ru/Card/Person/5915815", "ООО ЧОП ""ФИЛИН""")</f>
        <v>ООО ЧОП "ФИЛИН"</v>
      </c>
      <c r="K6556" s="24" t="s">
        <v>8527</v>
      </c>
      <c r="L6556" s="28" t="s">
        <v>52</v>
      </c>
      <c r="M6556" s="25">
        <v>16800</v>
      </c>
      <c r="N6556" s="27">
        <v>0.5757575757575758</v>
      </c>
    </row>
    <row r="6557" spans="1:14" hidden="1" outlineLevel="1" x14ac:dyDescent="0.2">
      <c r="A6557" s="23" t="str">
        <f t="shared" si="272"/>
        <v>СОГБУ "ДРЮЦКИЙ ПНИ"</v>
      </c>
      <c r="B6557" s="24" t="s">
        <v>8522</v>
      </c>
      <c r="C6557" s="25">
        <v>39600</v>
      </c>
      <c r="D6557" s="22" t="s">
        <v>8523</v>
      </c>
      <c r="E6557" s="22" t="s">
        <v>103</v>
      </c>
      <c r="F6557" s="23" t="str">
        <f t="shared" si="273"/>
        <v>(№ 632-эзк) запрос котировок в электронной форме на право заключить контракт на оказание услуг по техническому обслуживанию систем видеонаблюдения для обеспечения нужд СОГБУ "Дрюцкий ПНИ"</v>
      </c>
      <c r="G6557" s="22" t="s">
        <v>956</v>
      </c>
      <c r="H6557" s="22" t="s">
        <v>8524</v>
      </c>
      <c r="I6557" s="26">
        <v>43627.604166666701</v>
      </c>
      <c r="J6557" s="23" t="str">
        <f>HYPERLINK("https://www.spark-marketing.ru/Card/Person/6591297", "ООО ""СПЕЦМОНТАЖПРОЕКТ""")</f>
        <v>ООО "СПЕЦМОНТАЖПРОЕКТ"</v>
      </c>
      <c r="K6557" s="24" t="s">
        <v>8528</v>
      </c>
      <c r="L6557" s="28" t="s">
        <v>52</v>
      </c>
      <c r="M6557" s="25">
        <v>18000</v>
      </c>
      <c r="N6557" s="27">
        <v>0.54545454545454541</v>
      </c>
    </row>
    <row r="6558" spans="1:14" hidden="1" outlineLevel="1" x14ac:dyDescent="0.2">
      <c r="A6558" s="23" t="str">
        <f t="shared" si="272"/>
        <v>СОГБУ "ДРЮЦКИЙ ПНИ"</v>
      </c>
      <c r="B6558" s="24" t="s">
        <v>8522</v>
      </c>
      <c r="C6558" s="25">
        <v>39600</v>
      </c>
      <c r="D6558" s="22" t="s">
        <v>8523</v>
      </c>
      <c r="E6558" s="22" t="s">
        <v>103</v>
      </c>
      <c r="F6558" s="23" t="str">
        <f t="shared" si="273"/>
        <v>(№ 632-эзк) запрос котировок в электронной форме на право заключить контракт на оказание услуг по техническому обслуживанию систем видеонаблюдения для обеспечения нужд СОГБУ "Дрюцкий ПНИ"</v>
      </c>
      <c r="G6558" s="22" t="s">
        <v>956</v>
      </c>
      <c r="H6558" s="22" t="s">
        <v>8524</v>
      </c>
      <c r="I6558" s="26">
        <v>43627.604166666701</v>
      </c>
      <c r="J6558" s="23" t="str">
        <f>HYPERLINK("https://www.spark-marketing.ru/Card/Person/598742", "ООО ""СТРАЖ-67""")</f>
        <v>ООО "СТРАЖ-67"</v>
      </c>
      <c r="K6558" s="24" t="s">
        <v>8529</v>
      </c>
      <c r="L6558" s="28" t="s">
        <v>52</v>
      </c>
      <c r="M6558" s="25">
        <v>20400</v>
      </c>
      <c r="N6558" s="27">
        <v>0.48484848484848486</v>
      </c>
    </row>
    <row r="6559" spans="1:14" hidden="1" outlineLevel="1" x14ac:dyDescent="0.2">
      <c r="A6559" s="23" t="str">
        <f t="shared" si="272"/>
        <v>СОГБУ "ДРЮЦКИЙ ПНИ"</v>
      </c>
      <c r="B6559" s="24" t="s">
        <v>8522</v>
      </c>
      <c r="C6559" s="25">
        <v>39600</v>
      </c>
      <c r="D6559" s="22" t="s">
        <v>8523</v>
      </c>
      <c r="E6559" s="22" t="s">
        <v>103</v>
      </c>
      <c r="F6559" s="23" t="str">
        <f t="shared" si="273"/>
        <v>(№ 632-эзк) запрос котировок в электронной форме на право заключить контракт на оказание услуг по техническому обслуживанию систем видеонаблюдения для обеспечения нужд СОГБУ "Дрюцкий ПНИ"</v>
      </c>
      <c r="G6559" s="22" t="s">
        <v>956</v>
      </c>
      <c r="H6559" s="22" t="s">
        <v>8524</v>
      </c>
      <c r="I6559" s="26">
        <v>43627.604166666701</v>
      </c>
      <c r="J6559" s="23" t="str">
        <f>HYPERLINK("https://www.spark-marketing.ru/Card/Person/5945391", "ООО ЧОО ""БАСТИОН-67""")</f>
        <v>ООО ЧОО "БАСТИОН-67"</v>
      </c>
      <c r="K6559" s="24" t="s">
        <v>8530</v>
      </c>
      <c r="L6559" s="28" t="s">
        <v>52</v>
      </c>
      <c r="M6559" s="25">
        <v>24960</v>
      </c>
      <c r="N6559" s="27">
        <v>0.36969696969696969</v>
      </c>
    </row>
    <row r="6560" spans="1:14" x14ac:dyDescent="0.15">
      <c r="A6560" s="23" t="str">
        <f>HYPERLINK("https://www.spark-marketing.ru/Card/Person/4353166", "ФГБОУ ВО ЮЖНО-УРАЛЬСКИЙ ГАУ")</f>
        <v>ФГБОУ ВО ЮЖНО-УРАЛЬСКИЙ ГАУ</v>
      </c>
      <c r="B6560" s="24" t="s">
        <v>8531</v>
      </c>
      <c r="C6560" s="25">
        <v>53000</v>
      </c>
      <c r="D6560" s="22" t="s">
        <v>8532</v>
      </c>
      <c r="E6560" s="22" t="s">
        <v>1538</v>
      </c>
      <c r="F6560" s="23" t="str">
        <f>HYPERLINK("https://www.spark-marketing.ru/Card/Lot/71282394", "Оказание услуг по охране объектов ИАИ  ФГБОУ ВО ""Южно-Уральский ГАУ"" при помощи технических средств")</f>
        <v>Оказание услуг по охране объектов ИАИ  ФГБОУ ВО "Южно-Уральский ГАУ" при помощи технических средств</v>
      </c>
      <c r="G6560" s="22" t="s">
        <v>60</v>
      </c>
      <c r="H6560" s="22" t="s">
        <v>60</v>
      </c>
      <c r="I6560" s="26">
        <v>43627.557638888902</v>
      </c>
      <c r="J6560" s="28" t="s">
        <v>52</v>
      </c>
      <c r="K6560" s="28" t="s">
        <v>52</v>
      </c>
      <c r="L6560" s="28" t="s">
        <v>52</v>
      </c>
      <c r="M6560" s="28" t="s">
        <v>52</v>
      </c>
      <c r="N6560" s="28" t="s">
        <v>52</v>
      </c>
    </row>
    <row r="6561" spans="1:14" hidden="1" outlineLevel="1" x14ac:dyDescent="0.2">
      <c r="A6561" s="23" t="str">
        <f>HYPERLINK("https://www.spark-marketing.ru/Card/Person/4353166", "ФГБОУ ВО ЮЖНО-УРАЛЬСКИЙ ГАУ")</f>
        <v>ФГБОУ ВО ЮЖНО-УРАЛЬСКИЙ ГАУ</v>
      </c>
      <c r="B6561" s="24" t="s">
        <v>8531</v>
      </c>
      <c r="C6561" s="25">
        <v>53000</v>
      </c>
      <c r="D6561" s="22" t="s">
        <v>8532</v>
      </c>
      <c r="E6561" s="22" t="s">
        <v>1538</v>
      </c>
      <c r="F6561" s="23" t="str">
        <f>HYPERLINK("https://www.spark-marketing.ru/Card/Lot/71282394", "Оказание услуг по охране объектов ИАИ  ФГБОУ ВО ""Южно-Уральский ГАУ"" при помощи технических средств")</f>
        <v>Оказание услуг по охране объектов ИАИ  ФГБОУ ВО "Южно-Уральский ГАУ" при помощи технических средств</v>
      </c>
      <c r="G6561" s="22" t="s">
        <v>60</v>
      </c>
      <c r="H6561" s="22" t="s">
        <v>60</v>
      </c>
      <c r="I6561" s="26">
        <v>43627.557638888902</v>
      </c>
      <c r="J6561" s="23" t="str">
        <f>HYPERLINK("https://www.spark-marketing.ru/Card/Person/534247", "ООО ЧОО ""ВАРЯГ-1""")</f>
        <v>ООО ЧОО "ВАРЯГ-1"</v>
      </c>
      <c r="K6561" s="24" t="s">
        <v>3231</v>
      </c>
      <c r="L6561" s="28" t="s">
        <v>52</v>
      </c>
      <c r="M6561" s="25">
        <v>7200</v>
      </c>
      <c r="N6561" s="27">
        <v>0.86415094339622645</v>
      </c>
    </row>
    <row r="6562" spans="1:14" ht="12.75" hidden="1" outlineLevel="1" x14ac:dyDescent="0.2">
      <c r="A6562" s="23" t="str">
        <f>HYPERLINK("https://www.spark-marketing.ru/Card/Person/4353166", "ФГБОУ ВО ЮЖНО-УРАЛЬСКИЙ ГАУ")</f>
        <v>ФГБОУ ВО ЮЖНО-УРАЛЬСКИЙ ГАУ</v>
      </c>
      <c r="B6562" s="24" t="s">
        <v>8531</v>
      </c>
      <c r="C6562" s="25">
        <v>53000</v>
      </c>
      <c r="D6562" s="22" t="s">
        <v>8532</v>
      </c>
      <c r="E6562" s="22" t="s">
        <v>1538</v>
      </c>
      <c r="F6562" s="23" t="str">
        <f>HYPERLINK("https://www.spark-marketing.ru/Card/Lot/71282394", "Оказание услуг по охране объектов ИАИ  ФГБОУ ВО ""Южно-Уральский ГАУ"" при помощи технических средств")</f>
        <v>Оказание услуг по охране объектов ИАИ  ФГБОУ ВО "Южно-Уральский ГАУ" при помощи технических средств</v>
      </c>
      <c r="G6562" s="22" t="s">
        <v>60</v>
      </c>
      <c r="H6562" s="22" t="s">
        <v>60</v>
      </c>
      <c r="I6562" s="26">
        <v>43627.557638888902</v>
      </c>
      <c r="J6562" s="23" t="str">
        <f>HYPERLINK("https://www.spark-marketing.ru/Card/Person/85112", "ООО ЧОП ""ЯГУАР""")</f>
        <v>ООО ЧОП "ЯГУАР"</v>
      </c>
      <c r="K6562" s="24" t="s">
        <v>8217</v>
      </c>
      <c r="L6562" s="22" t="s">
        <v>10</v>
      </c>
      <c r="M6562" s="25">
        <v>6935</v>
      </c>
      <c r="N6562" s="27">
        <v>0.86915094339622645</v>
      </c>
    </row>
    <row r="6563" spans="1:14" hidden="1" outlineLevel="1" x14ac:dyDescent="0.2">
      <c r="A6563" s="23" t="str">
        <f>HYPERLINK("https://www.spark-marketing.ru/Card/Person/4353166", "ФГБОУ ВО ЮЖНО-УРАЛЬСКИЙ ГАУ")</f>
        <v>ФГБОУ ВО ЮЖНО-УРАЛЬСКИЙ ГАУ</v>
      </c>
      <c r="B6563" s="24" t="s">
        <v>8531</v>
      </c>
      <c r="C6563" s="25">
        <v>53000</v>
      </c>
      <c r="D6563" s="22" t="s">
        <v>8532</v>
      </c>
      <c r="E6563" s="22" t="s">
        <v>1538</v>
      </c>
      <c r="F6563" s="23" t="str">
        <f>HYPERLINK("https://www.spark-marketing.ru/Card/Lot/71282394", "Оказание услуг по охране объектов ИАИ  ФГБОУ ВО ""Южно-Уральский ГАУ"" при помощи технических средств")</f>
        <v>Оказание услуг по охране объектов ИАИ  ФГБОУ ВО "Южно-Уральский ГАУ" при помощи технических средств</v>
      </c>
      <c r="G6563" s="22" t="s">
        <v>60</v>
      </c>
      <c r="H6563" s="22" t="s">
        <v>60</v>
      </c>
      <c r="I6563" s="26">
        <v>43627.557638888902</v>
      </c>
      <c r="J6563" s="23" t="str">
        <f>HYPERLINK("https://www.spark-marketing.ru/Card/Person/859717", "ООО ""ЧОО ""ОМЕГА""")</f>
        <v>ООО "ЧОО "ОМЕГА"</v>
      </c>
      <c r="K6563" s="24" t="s">
        <v>8533</v>
      </c>
      <c r="L6563" s="28" t="s">
        <v>52</v>
      </c>
      <c r="M6563" s="25">
        <v>47435</v>
      </c>
      <c r="N6563" s="27">
        <v>0.105</v>
      </c>
    </row>
    <row r="6564" spans="1:14" x14ac:dyDescent="0.15">
      <c r="A6564" s="23" t="str">
        <f t="shared" ref="A6564:A6583" si="274">HYPERLINK("https://www.spark-marketing.ru/Card/Person/50676", "УПРАВА РАЙОНА НАГАТИНО-САДОВНИКИ ГОРОДА МОСКВЫ")</f>
        <v>УПРАВА РАЙОНА НАГАТИНО-САДОВНИКИ ГОРОДА МОСКВЫ</v>
      </c>
      <c r="B6564" s="24" t="s">
        <v>8534</v>
      </c>
      <c r="C6564" s="25">
        <v>144000</v>
      </c>
      <c r="D6564" s="22" t="s">
        <v>8535</v>
      </c>
      <c r="E6564" s="22" t="s">
        <v>1130</v>
      </c>
      <c r="F6564" s="23" t="str">
        <f t="shared" ref="F6564:F6583" si="275">HYPERLINK("https://www.spark-marketing.ru/Card/Lot/71297257", "Оказание услуг по техническому обслуживанию системы видеонаблюдения управы района Нагатино-Садовники города Москвы в 2019 году")</f>
        <v>Оказание услуг по техническому обслуживанию системы видеонаблюдения управы района Нагатино-Садовники города Москвы в 2019 году</v>
      </c>
      <c r="G6564" s="22" t="s">
        <v>55</v>
      </c>
      <c r="H6564" s="22" t="s">
        <v>55</v>
      </c>
      <c r="I6564" s="26">
        <v>43627.568749999999</v>
      </c>
      <c r="J6564" s="28" t="s">
        <v>52</v>
      </c>
      <c r="K6564" s="28" t="s">
        <v>52</v>
      </c>
      <c r="L6564" s="28" t="s">
        <v>52</v>
      </c>
      <c r="M6564" s="28" t="s">
        <v>52</v>
      </c>
      <c r="N6564" s="28" t="s">
        <v>52</v>
      </c>
    </row>
    <row r="6565" spans="1:14" hidden="1" outlineLevel="1" x14ac:dyDescent="0.2">
      <c r="A6565" s="23" t="str">
        <f t="shared" si="274"/>
        <v>УПРАВА РАЙОНА НАГАТИНО-САДОВНИКИ ГОРОДА МОСКВЫ</v>
      </c>
      <c r="B6565" s="24" t="s">
        <v>8534</v>
      </c>
      <c r="C6565" s="25">
        <v>144000</v>
      </c>
      <c r="D6565" s="22" t="s">
        <v>8535</v>
      </c>
      <c r="E6565" s="22" t="s">
        <v>1130</v>
      </c>
      <c r="F6565" s="23" t="str">
        <f t="shared" si="275"/>
        <v>Оказание услуг по техническому обслуживанию системы видеонаблюдения управы района Нагатино-Садовники города Москвы в 2019 году</v>
      </c>
      <c r="G6565" s="22" t="s">
        <v>55</v>
      </c>
      <c r="H6565" s="22" t="s">
        <v>55</v>
      </c>
      <c r="I6565" s="26">
        <v>43627.568749999999</v>
      </c>
      <c r="J6565" s="23" t="str">
        <f>HYPERLINK("https://www.spark-marketing.ru/Card/Person/4865702", "ООО ""ВИДЕОКАМ-З""")</f>
        <v>ООО "ВИДЕОКАМ-З"</v>
      </c>
      <c r="K6565" s="24" t="s">
        <v>8536</v>
      </c>
      <c r="L6565" s="28" t="s">
        <v>52</v>
      </c>
      <c r="M6565" s="25">
        <v>142000</v>
      </c>
      <c r="N6565" s="27">
        <v>1.3888888888888888E-2</v>
      </c>
    </row>
    <row r="6566" spans="1:14" ht="12.75" hidden="1" outlineLevel="1" x14ac:dyDescent="0.2">
      <c r="A6566" s="23" t="str">
        <f t="shared" si="274"/>
        <v>УПРАВА РАЙОНА НАГАТИНО-САДОВНИКИ ГОРОДА МОСКВЫ</v>
      </c>
      <c r="B6566" s="24" t="s">
        <v>8534</v>
      </c>
      <c r="C6566" s="25">
        <v>144000</v>
      </c>
      <c r="D6566" s="22" t="s">
        <v>8535</v>
      </c>
      <c r="E6566" s="22" t="s">
        <v>1130</v>
      </c>
      <c r="F6566" s="23" t="str">
        <f t="shared" si="275"/>
        <v>Оказание услуг по техническому обслуживанию системы видеонаблюдения управы района Нагатино-Садовники города Москвы в 2019 году</v>
      </c>
      <c r="G6566" s="22" t="s">
        <v>55</v>
      </c>
      <c r="H6566" s="22" t="s">
        <v>55</v>
      </c>
      <c r="I6566" s="26">
        <v>43627.568749999999</v>
      </c>
      <c r="J6566" s="23" t="str">
        <f>HYPERLINK("https://www.spark-marketing.ru/Card/Person/6415433", "ООО ""С С С""")</f>
        <v>ООО "С С С"</v>
      </c>
      <c r="K6566" s="24" t="s">
        <v>1591</v>
      </c>
      <c r="L6566" s="22" t="s">
        <v>10</v>
      </c>
      <c r="M6566" s="25">
        <v>0.1</v>
      </c>
      <c r="N6566" s="27">
        <v>0.99999930555555561</v>
      </c>
    </row>
    <row r="6567" spans="1:14" hidden="1" outlineLevel="1" x14ac:dyDescent="0.2">
      <c r="A6567" s="23" t="str">
        <f t="shared" si="274"/>
        <v>УПРАВА РАЙОНА НАГАТИНО-САДОВНИКИ ГОРОДА МОСКВЫ</v>
      </c>
      <c r="B6567" s="24" t="s">
        <v>8534</v>
      </c>
      <c r="C6567" s="25">
        <v>144000</v>
      </c>
      <c r="D6567" s="22" t="s">
        <v>8535</v>
      </c>
      <c r="E6567" s="22" t="s">
        <v>1130</v>
      </c>
      <c r="F6567" s="23" t="str">
        <f t="shared" si="275"/>
        <v>Оказание услуг по техническому обслуживанию системы видеонаблюдения управы района Нагатино-Садовники города Москвы в 2019 году</v>
      </c>
      <c r="G6567" s="22" t="s">
        <v>55</v>
      </c>
      <c r="H6567" s="22" t="s">
        <v>55</v>
      </c>
      <c r="I6567" s="26">
        <v>43627.568749999999</v>
      </c>
      <c r="J6567" s="23" t="str">
        <f>HYPERLINK("https://www.spark-marketing.ru/Card/Person/6445825", "Судариков Михаил Геннадьевич")</f>
        <v>Судариков Михаил Геннадьевич</v>
      </c>
      <c r="K6567" s="24" t="s">
        <v>1219</v>
      </c>
      <c r="L6567" s="28" t="s">
        <v>52</v>
      </c>
      <c r="M6567" s="25">
        <v>35000</v>
      </c>
      <c r="N6567" s="27">
        <v>0.75694444444444442</v>
      </c>
    </row>
    <row r="6568" spans="1:14" hidden="1" outlineLevel="1" x14ac:dyDescent="0.2">
      <c r="A6568" s="23" t="str">
        <f t="shared" si="274"/>
        <v>УПРАВА РАЙОНА НАГАТИНО-САДОВНИКИ ГОРОДА МОСКВЫ</v>
      </c>
      <c r="B6568" s="24" t="s">
        <v>8534</v>
      </c>
      <c r="C6568" s="25">
        <v>144000</v>
      </c>
      <c r="D6568" s="22" t="s">
        <v>8535</v>
      </c>
      <c r="E6568" s="22" t="s">
        <v>1130</v>
      </c>
      <c r="F6568" s="23" t="str">
        <f t="shared" si="275"/>
        <v>Оказание услуг по техническому обслуживанию системы видеонаблюдения управы района Нагатино-Садовники города Москвы в 2019 году</v>
      </c>
      <c r="G6568" s="22" t="s">
        <v>55</v>
      </c>
      <c r="H6568" s="22" t="s">
        <v>55</v>
      </c>
      <c r="I6568" s="26">
        <v>43627.568749999999</v>
      </c>
      <c r="J6568" s="23" t="str">
        <f>HYPERLINK("https://www.spark-marketing.ru/Card/Person/87033", "ООО ЧОО ""САТУРН+""")</f>
        <v>ООО ЧОО "САТУРН+"</v>
      </c>
      <c r="K6568" s="24" t="s">
        <v>8537</v>
      </c>
      <c r="L6568" s="28" t="s">
        <v>52</v>
      </c>
      <c r="M6568" s="25">
        <v>36000</v>
      </c>
      <c r="N6568" s="27">
        <v>0.75</v>
      </c>
    </row>
    <row r="6569" spans="1:14" hidden="1" outlineLevel="1" x14ac:dyDescent="0.2">
      <c r="A6569" s="23" t="str">
        <f t="shared" si="274"/>
        <v>УПРАВА РАЙОНА НАГАТИНО-САДОВНИКИ ГОРОДА МОСКВЫ</v>
      </c>
      <c r="B6569" s="24" t="s">
        <v>8534</v>
      </c>
      <c r="C6569" s="25">
        <v>144000</v>
      </c>
      <c r="D6569" s="22" t="s">
        <v>8535</v>
      </c>
      <c r="E6569" s="22" t="s">
        <v>1130</v>
      </c>
      <c r="F6569" s="23" t="str">
        <f t="shared" si="275"/>
        <v>Оказание услуг по техническому обслуживанию системы видеонаблюдения управы района Нагатино-Садовники города Москвы в 2019 году</v>
      </c>
      <c r="G6569" s="22" t="s">
        <v>55</v>
      </c>
      <c r="H6569" s="22" t="s">
        <v>55</v>
      </c>
      <c r="I6569" s="26">
        <v>43627.568749999999</v>
      </c>
      <c r="J6569" s="23" t="str">
        <f>HYPERLINK("https://www.spark-marketing.ru/Card/Person/6364371", "ООО ""ЛТБ""")</f>
        <v>ООО "ЛТБ"</v>
      </c>
      <c r="K6569" s="24" t="s">
        <v>8538</v>
      </c>
      <c r="L6569" s="28" t="s">
        <v>52</v>
      </c>
      <c r="M6569" s="25">
        <v>42000</v>
      </c>
      <c r="N6569" s="27">
        <v>0.70833333333333337</v>
      </c>
    </row>
    <row r="6570" spans="1:14" hidden="1" outlineLevel="1" x14ac:dyDescent="0.2">
      <c r="A6570" s="23" t="str">
        <f t="shared" si="274"/>
        <v>УПРАВА РАЙОНА НАГАТИНО-САДОВНИКИ ГОРОДА МОСКВЫ</v>
      </c>
      <c r="B6570" s="24" t="s">
        <v>8534</v>
      </c>
      <c r="C6570" s="25">
        <v>144000</v>
      </c>
      <c r="D6570" s="22" t="s">
        <v>8535</v>
      </c>
      <c r="E6570" s="22" t="s">
        <v>1130</v>
      </c>
      <c r="F6570" s="23" t="str">
        <f t="shared" si="275"/>
        <v>Оказание услуг по техническому обслуживанию системы видеонаблюдения управы района Нагатино-Садовники города Москвы в 2019 году</v>
      </c>
      <c r="G6570" s="22" t="s">
        <v>55</v>
      </c>
      <c r="H6570" s="22" t="s">
        <v>55</v>
      </c>
      <c r="I6570" s="26">
        <v>43627.568749999999</v>
      </c>
      <c r="J6570" s="23" t="str">
        <f>HYPERLINK("https://www.spark-marketing.ru/Card/Person/14846", "ООО ""ФЭЗЕРА""")</f>
        <v>ООО "ФЭЗЕРА"</v>
      </c>
      <c r="K6570" s="24" t="s">
        <v>1216</v>
      </c>
      <c r="L6570" s="28" t="s">
        <v>52</v>
      </c>
      <c r="M6570" s="25">
        <v>44436</v>
      </c>
      <c r="N6570" s="27">
        <v>0.69141666666666668</v>
      </c>
    </row>
    <row r="6571" spans="1:14" hidden="1" outlineLevel="1" x14ac:dyDescent="0.2">
      <c r="A6571" s="23" t="str">
        <f t="shared" si="274"/>
        <v>УПРАВА РАЙОНА НАГАТИНО-САДОВНИКИ ГОРОДА МОСКВЫ</v>
      </c>
      <c r="B6571" s="24" t="s">
        <v>8534</v>
      </c>
      <c r="C6571" s="25">
        <v>144000</v>
      </c>
      <c r="D6571" s="22" t="s">
        <v>8535</v>
      </c>
      <c r="E6571" s="22" t="s">
        <v>1130</v>
      </c>
      <c r="F6571" s="23" t="str">
        <f t="shared" si="275"/>
        <v>Оказание услуг по техническому обслуживанию системы видеонаблюдения управы района Нагатино-Садовники города Москвы в 2019 году</v>
      </c>
      <c r="G6571" s="22" t="s">
        <v>55</v>
      </c>
      <c r="H6571" s="22" t="s">
        <v>55</v>
      </c>
      <c r="I6571" s="26">
        <v>43627.568749999999</v>
      </c>
      <c r="J6571" s="23" t="str">
        <f>HYPERLINK("https://www.spark-marketing.ru/Card/Person/6619586", "ООО «МДБА ГРУПП»")</f>
        <v>ООО «МДБА ГРУПП»</v>
      </c>
      <c r="K6571" s="24" t="s">
        <v>8539</v>
      </c>
      <c r="L6571" s="28" t="s">
        <v>52</v>
      </c>
      <c r="M6571" s="25">
        <v>115200</v>
      </c>
      <c r="N6571" s="27">
        <v>0.2</v>
      </c>
    </row>
    <row r="6572" spans="1:14" hidden="1" outlineLevel="1" x14ac:dyDescent="0.2">
      <c r="A6572" s="23" t="str">
        <f t="shared" si="274"/>
        <v>УПРАВА РАЙОНА НАГАТИНО-САДОВНИКИ ГОРОДА МОСКВЫ</v>
      </c>
      <c r="B6572" s="24" t="s">
        <v>8534</v>
      </c>
      <c r="C6572" s="25">
        <v>144000</v>
      </c>
      <c r="D6572" s="22" t="s">
        <v>8535</v>
      </c>
      <c r="E6572" s="22" t="s">
        <v>1130</v>
      </c>
      <c r="F6572" s="23" t="str">
        <f t="shared" si="275"/>
        <v>Оказание услуг по техническому обслуживанию системы видеонаблюдения управы района Нагатино-Садовники города Москвы в 2019 году</v>
      </c>
      <c r="G6572" s="22" t="s">
        <v>55</v>
      </c>
      <c r="H6572" s="22" t="s">
        <v>55</v>
      </c>
      <c r="I6572" s="26">
        <v>43627.568749999999</v>
      </c>
      <c r="J6572" s="23" t="str">
        <f>HYPERLINK("https://www.spark-marketing.ru/Card/Person/1358782", "ООО ""СТРОЙМАКСМОНТАЖ""")</f>
        <v>ООО "СТРОЙМАКСМОНТАЖ"</v>
      </c>
      <c r="K6572" s="24" t="s">
        <v>8540</v>
      </c>
      <c r="L6572" s="28" t="s">
        <v>52</v>
      </c>
      <c r="M6572" s="25">
        <v>119340</v>
      </c>
      <c r="N6572" s="27">
        <v>0.17125000000000001</v>
      </c>
    </row>
    <row r="6573" spans="1:14" hidden="1" outlineLevel="1" x14ac:dyDescent="0.2">
      <c r="A6573" s="23" t="str">
        <f t="shared" si="274"/>
        <v>УПРАВА РАЙОНА НАГАТИНО-САДОВНИКИ ГОРОДА МОСКВЫ</v>
      </c>
      <c r="B6573" s="24" t="s">
        <v>8534</v>
      </c>
      <c r="C6573" s="25">
        <v>144000</v>
      </c>
      <c r="D6573" s="22" t="s">
        <v>8535</v>
      </c>
      <c r="E6573" s="22" t="s">
        <v>1130</v>
      </c>
      <c r="F6573" s="23" t="str">
        <f t="shared" si="275"/>
        <v>Оказание услуг по техническому обслуживанию системы видеонаблюдения управы района Нагатино-Садовники города Москвы в 2019 году</v>
      </c>
      <c r="G6573" s="22" t="s">
        <v>55</v>
      </c>
      <c r="H6573" s="22" t="s">
        <v>55</v>
      </c>
      <c r="I6573" s="26">
        <v>43627.568749999999</v>
      </c>
      <c r="J6573" s="23" t="str">
        <f>HYPERLINK("https://www.spark-marketing.ru/Card/Person/6584280", "ООО ""ВСВ""")</f>
        <v>ООО "ВСВ"</v>
      </c>
      <c r="K6573" s="24" t="s">
        <v>2076</v>
      </c>
      <c r="L6573" s="28" t="s">
        <v>52</v>
      </c>
      <c r="M6573" s="25">
        <v>120000</v>
      </c>
      <c r="N6573" s="27">
        <v>0.16666666666666666</v>
      </c>
    </row>
    <row r="6574" spans="1:14" hidden="1" outlineLevel="1" x14ac:dyDescent="0.2">
      <c r="A6574" s="23" t="str">
        <f t="shared" si="274"/>
        <v>УПРАВА РАЙОНА НАГАТИНО-САДОВНИКИ ГОРОДА МОСКВЫ</v>
      </c>
      <c r="B6574" s="24" t="s">
        <v>8534</v>
      </c>
      <c r="C6574" s="25">
        <v>144000</v>
      </c>
      <c r="D6574" s="22" t="s">
        <v>8535</v>
      </c>
      <c r="E6574" s="22" t="s">
        <v>1130</v>
      </c>
      <c r="F6574" s="23" t="str">
        <f t="shared" si="275"/>
        <v>Оказание услуг по техническому обслуживанию системы видеонаблюдения управы района Нагатино-Садовники города Москвы в 2019 году</v>
      </c>
      <c r="G6574" s="22" t="s">
        <v>55</v>
      </c>
      <c r="H6574" s="22" t="s">
        <v>55</v>
      </c>
      <c r="I6574" s="26">
        <v>43627.568749999999</v>
      </c>
      <c r="J6574" s="23" t="str">
        <f>HYPERLINK("https://www.spark-marketing.ru/Card/Person/6619587", "Кадырова Индира Туратбековна")</f>
        <v>Кадырова Индира Туратбековна</v>
      </c>
      <c r="K6574" s="24" t="s">
        <v>8541</v>
      </c>
      <c r="L6574" s="28" t="s">
        <v>52</v>
      </c>
      <c r="M6574" s="25">
        <v>139000</v>
      </c>
      <c r="N6574" s="27">
        <v>3.4722222222222224E-2</v>
      </c>
    </row>
    <row r="6575" spans="1:14" hidden="1" outlineLevel="1" x14ac:dyDescent="0.2">
      <c r="A6575" s="23" t="str">
        <f t="shared" si="274"/>
        <v>УПРАВА РАЙОНА НАГАТИНО-САДОВНИКИ ГОРОДА МОСКВЫ</v>
      </c>
      <c r="B6575" s="24" t="s">
        <v>8534</v>
      </c>
      <c r="C6575" s="25">
        <v>144000</v>
      </c>
      <c r="D6575" s="22" t="s">
        <v>8535</v>
      </c>
      <c r="E6575" s="22" t="s">
        <v>1130</v>
      </c>
      <c r="F6575" s="23" t="str">
        <f t="shared" si="275"/>
        <v>Оказание услуг по техническому обслуживанию системы видеонаблюдения управы района Нагатино-Садовники города Москвы в 2019 году</v>
      </c>
      <c r="G6575" s="22" t="s">
        <v>55</v>
      </c>
      <c r="H6575" s="22" t="s">
        <v>55</v>
      </c>
      <c r="I6575" s="26">
        <v>43627.568749999999</v>
      </c>
      <c r="J6575" s="23" t="str">
        <f>HYPERLINK("https://www.spark-marketing.ru/Card/Person/6509277", "ООО ""АСУ ПРОЕКТ""")</f>
        <v>ООО "АСУ ПРОЕКТ"</v>
      </c>
      <c r="K6575" s="24" t="s">
        <v>8542</v>
      </c>
      <c r="L6575" s="28" t="s">
        <v>52</v>
      </c>
      <c r="M6575" s="25">
        <v>139700</v>
      </c>
      <c r="N6575" s="27">
        <v>2.9861111111111113E-2</v>
      </c>
    </row>
    <row r="6576" spans="1:14" hidden="1" outlineLevel="1" x14ac:dyDescent="0.2">
      <c r="A6576" s="23" t="str">
        <f t="shared" si="274"/>
        <v>УПРАВА РАЙОНА НАГАТИНО-САДОВНИКИ ГОРОДА МОСКВЫ</v>
      </c>
      <c r="B6576" s="24" t="s">
        <v>8534</v>
      </c>
      <c r="C6576" s="25">
        <v>144000</v>
      </c>
      <c r="D6576" s="22" t="s">
        <v>8535</v>
      </c>
      <c r="E6576" s="22" t="s">
        <v>1130</v>
      </c>
      <c r="F6576" s="23" t="str">
        <f t="shared" si="275"/>
        <v>Оказание услуг по техническому обслуживанию системы видеонаблюдения управы района Нагатино-Садовники города Москвы в 2019 году</v>
      </c>
      <c r="G6576" s="22" t="s">
        <v>55</v>
      </c>
      <c r="H6576" s="22" t="s">
        <v>55</v>
      </c>
      <c r="I6576" s="26">
        <v>43627.568749999999</v>
      </c>
      <c r="J6576" s="23" t="str">
        <f>HYPERLINK("https://www.spark-marketing.ru/Card/Person/6619593", "ООО ""СИРИН ПРОТЕКТ""")</f>
        <v>ООО "СИРИН ПРОТЕКТ"</v>
      </c>
      <c r="K6576" s="24" t="s">
        <v>8543</v>
      </c>
      <c r="L6576" s="28" t="s">
        <v>52</v>
      </c>
      <c r="M6576" s="25">
        <v>98900</v>
      </c>
      <c r="N6576" s="27">
        <v>0.31319444444444444</v>
      </c>
    </row>
    <row r="6577" spans="1:14" hidden="1" outlineLevel="1" x14ac:dyDescent="0.2">
      <c r="A6577" s="23" t="str">
        <f t="shared" si="274"/>
        <v>УПРАВА РАЙОНА НАГАТИНО-САДОВНИКИ ГОРОДА МОСКВЫ</v>
      </c>
      <c r="B6577" s="24" t="s">
        <v>8534</v>
      </c>
      <c r="C6577" s="25">
        <v>144000</v>
      </c>
      <c r="D6577" s="22" t="s">
        <v>8535</v>
      </c>
      <c r="E6577" s="22" t="s">
        <v>1130</v>
      </c>
      <c r="F6577" s="23" t="str">
        <f t="shared" si="275"/>
        <v>Оказание услуг по техническому обслуживанию системы видеонаблюдения управы района Нагатино-Садовники города Москвы в 2019 году</v>
      </c>
      <c r="G6577" s="22" t="s">
        <v>55</v>
      </c>
      <c r="H6577" s="22" t="s">
        <v>55</v>
      </c>
      <c r="I6577" s="26">
        <v>43627.568749999999</v>
      </c>
      <c r="J6577" s="23" t="str">
        <f>HYPERLINK("https://www.spark-marketing.ru/Card/Person/1390212", "ООО УК ""ФОБР""")</f>
        <v>ООО УК "ФОБР"</v>
      </c>
      <c r="K6577" s="24" t="s">
        <v>7265</v>
      </c>
      <c r="L6577" s="28" t="s">
        <v>52</v>
      </c>
      <c r="M6577" s="25">
        <v>74000</v>
      </c>
      <c r="N6577" s="27">
        <v>0.4861111111111111</v>
      </c>
    </row>
    <row r="6578" spans="1:14" hidden="1" outlineLevel="1" x14ac:dyDescent="0.2">
      <c r="A6578" s="23" t="str">
        <f t="shared" si="274"/>
        <v>УПРАВА РАЙОНА НАГАТИНО-САДОВНИКИ ГОРОДА МОСКВЫ</v>
      </c>
      <c r="B6578" s="24" t="s">
        <v>8534</v>
      </c>
      <c r="C6578" s="25">
        <v>144000</v>
      </c>
      <c r="D6578" s="22" t="s">
        <v>8535</v>
      </c>
      <c r="E6578" s="22" t="s">
        <v>1130</v>
      </c>
      <c r="F6578" s="23" t="str">
        <f t="shared" si="275"/>
        <v>Оказание услуг по техническому обслуживанию системы видеонаблюдения управы района Нагатино-Садовники города Москвы в 2019 году</v>
      </c>
      <c r="G6578" s="22" t="s">
        <v>55</v>
      </c>
      <c r="H6578" s="22" t="s">
        <v>55</v>
      </c>
      <c r="I6578" s="26">
        <v>43627.568749999999</v>
      </c>
      <c r="J6578" s="23" t="str">
        <f>HYPERLINK("https://www.spark-marketing.ru/Card/Person/67438", "ООО ""ЭНЕРГОПОЖСЕРВИС""")</f>
        <v>ООО "ЭНЕРГОПОЖСЕРВИС"</v>
      </c>
      <c r="K6578" s="24" t="s">
        <v>8544</v>
      </c>
      <c r="L6578" s="28" t="s">
        <v>52</v>
      </c>
      <c r="M6578" s="25">
        <v>85000</v>
      </c>
      <c r="N6578" s="27">
        <v>0.40972222222222221</v>
      </c>
    </row>
    <row r="6579" spans="1:14" hidden="1" outlineLevel="1" x14ac:dyDescent="0.2">
      <c r="A6579" s="23" t="str">
        <f t="shared" si="274"/>
        <v>УПРАВА РАЙОНА НАГАТИНО-САДОВНИКИ ГОРОДА МОСКВЫ</v>
      </c>
      <c r="B6579" s="24" t="s">
        <v>8534</v>
      </c>
      <c r="C6579" s="25">
        <v>144000</v>
      </c>
      <c r="D6579" s="22" t="s">
        <v>8535</v>
      </c>
      <c r="E6579" s="22" t="s">
        <v>1130</v>
      </c>
      <c r="F6579" s="23" t="str">
        <f t="shared" si="275"/>
        <v>Оказание услуг по техническому обслуживанию системы видеонаблюдения управы района Нагатино-Садовники города Москвы в 2019 году</v>
      </c>
      <c r="G6579" s="22" t="s">
        <v>55</v>
      </c>
      <c r="H6579" s="22" t="s">
        <v>55</v>
      </c>
      <c r="I6579" s="26">
        <v>43627.568749999999</v>
      </c>
      <c r="J6579" s="23" t="str">
        <f>HYPERLINK("https://www.spark-marketing.ru/Card/Person/1844754", "ООО ""ТСБ""")</f>
        <v>ООО "ТСБ"</v>
      </c>
      <c r="K6579" s="24" t="s">
        <v>1746</v>
      </c>
      <c r="L6579" s="28" t="s">
        <v>52</v>
      </c>
      <c r="M6579" s="25">
        <v>92100</v>
      </c>
      <c r="N6579" s="27">
        <v>0.36041666666666666</v>
      </c>
    </row>
    <row r="6580" spans="1:14" hidden="1" outlineLevel="1" x14ac:dyDescent="0.2">
      <c r="A6580" s="23" t="str">
        <f t="shared" si="274"/>
        <v>УПРАВА РАЙОНА НАГАТИНО-САДОВНИКИ ГОРОДА МОСКВЫ</v>
      </c>
      <c r="B6580" s="24" t="s">
        <v>8534</v>
      </c>
      <c r="C6580" s="25">
        <v>144000</v>
      </c>
      <c r="D6580" s="22" t="s">
        <v>8535</v>
      </c>
      <c r="E6580" s="22" t="s">
        <v>1130</v>
      </c>
      <c r="F6580" s="23" t="str">
        <f t="shared" si="275"/>
        <v>Оказание услуг по техническому обслуживанию системы видеонаблюдения управы района Нагатино-Садовники города Москвы в 2019 году</v>
      </c>
      <c r="G6580" s="22" t="s">
        <v>55</v>
      </c>
      <c r="H6580" s="22" t="s">
        <v>55</v>
      </c>
      <c r="I6580" s="26">
        <v>43627.568749999999</v>
      </c>
      <c r="J6580" s="23" t="str">
        <f>HYPERLINK("https://www.spark-marketing.ru/Card/Person/5969968", "ООО ""АРТДИЗАЙНПРО""")</f>
        <v>ООО "АРТДИЗАЙНПРО"</v>
      </c>
      <c r="K6580" s="24" t="s">
        <v>8545</v>
      </c>
      <c r="L6580" s="28" t="s">
        <v>52</v>
      </c>
      <c r="M6580" s="25">
        <v>99900</v>
      </c>
      <c r="N6580" s="27">
        <v>0.30625000000000002</v>
      </c>
    </row>
    <row r="6581" spans="1:14" hidden="1" outlineLevel="1" x14ac:dyDescent="0.2">
      <c r="A6581" s="23" t="str">
        <f t="shared" si="274"/>
        <v>УПРАВА РАЙОНА НАГАТИНО-САДОВНИКИ ГОРОДА МОСКВЫ</v>
      </c>
      <c r="B6581" s="24" t="s">
        <v>8534</v>
      </c>
      <c r="C6581" s="25">
        <v>144000</v>
      </c>
      <c r="D6581" s="22" t="s">
        <v>8535</v>
      </c>
      <c r="E6581" s="22" t="s">
        <v>1130</v>
      </c>
      <c r="F6581" s="23" t="str">
        <f t="shared" si="275"/>
        <v>Оказание услуг по техническому обслуживанию системы видеонаблюдения управы района Нагатино-Садовники города Москвы в 2019 году</v>
      </c>
      <c r="G6581" s="22" t="s">
        <v>55</v>
      </c>
      <c r="H6581" s="22" t="s">
        <v>55</v>
      </c>
      <c r="I6581" s="26">
        <v>43627.568749999999</v>
      </c>
      <c r="J6581" s="23" t="str">
        <f>HYPERLINK("https://www.spark-marketing.ru/Card/Person/10921", "ООО ""АЙТИ ФОРТ""")</f>
        <v>ООО "АЙТИ ФОРТ"</v>
      </c>
      <c r="K6581" s="24" t="s">
        <v>8546</v>
      </c>
      <c r="L6581" s="28" t="s">
        <v>52</v>
      </c>
      <c r="M6581" s="25">
        <v>100000</v>
      </c>
      <c r="N6581" s="27">
        <v>0.30555555555555558</v>
      </c>
    </row>
    <row r="6582" spans="1:14" hidden="1" outlineLevel="1" x14ac:dyDescent="0.2">
      <c r="A6582" s="23" t="str">
        <f t="shared" si="274"/>
        <v>УПРАВА РАЙОНА НАГАТИНО-САДОВНИКИ ГОРОДА МОСКВЫ</v>
      </c>
      <c r="B6582" s="24" t="s">
        <v>8534</v>
      </c>
      <c r="C6582" s="25">
        <v>144000</v>
      </c>
      <c r="D6582" s="22" t="s">
        <v>8535</v>
      </c>
      <c r="E6582" s="22" t="s">
        <v>1130</v>
      </c>
      <c r="F6582" s="23" t="str">
        <f t="shared" si="275"/>
        <v>Оказание услуг по техническому обслуживанию системы видеонаблюдения управы района Нагатино-Садовники города Москвы в 2019 году</v>
      </c>
      <c r="G6582" s="22" t="s">
        <v>55</v>
      </c>
      <c r="H6582" s="22" t="s">
        <v>55</v>
      </c>
      <c r="I6582" s="26">
        <v>43627.568749999999</v>
      </c>
      <c r="J6582" s="23" t="str">
        <f>HYPERLINK("https://www.spark-marketing.ru/Card/Person/1642110", "ООО ""С-ЭКСПЕРТ""")</f>
        <v>ООО "С-ЭКСПЕРТ"</v>
      </c>
      <c r="K6582" s="24" t="s">
        <v>8547</v>
      </c>
      <c r="L6582" s="28" t="s">
        <v>52</v>
      </c>
      <c r="M6582" s="25">
        <v>102000</v>
      </c>
      <c r="N6582" s="27">
        <v>0.29166666666666669</v>
      </c>
    </row>
    <row r="6583" spans="1:14" hidden="1" outlineLevel="1" x14ac:dyDescent="0.2">
      <c r="A6583" s="23" t="str">
        <f t="shared" si="274"/>
        <v>УПРАВА РАЙОНА НАГАТИНО-САДОВНИКИ ГОРОДА МОСКВЫ</v>
      </c>
      <c r="B6583" s="24" t="s">
        <v>8534</v>
      </c>
      <c r="C6583" s="25">
        <v>144000</v>
      </c>
      <c r="D6583" s="22" t="s">
        <v>8535</v>
      </c>
      <c r="E6583" s="22" t="s">
        <v>1130</v>
      </c>
      <c r="F6583" s="23" t="str">
        <f t="shared" si="275"/>
        <v>Оказание услуг по техническому обслуживанию системы видеонаблюдения управы района Нагатино-Садовники города Москвы в 2019 году</v>
      </c>
      <c r="G6583" s="22" t="s">
        <v>55</v>
      </c>
      <c r="H6583" s="22" t="s">
        <v>55</v>
      </c>
      <c r="I6583" s="26">
        <v>43627.568749999999</v>
      </c>
      <c r="J6583" s="23" t="str">
        <f>HYPERLINK("https://www.spark-marketing.ru/Card/Person/1620277", "Ковров Георгий Юрьевич")</f>
        <v>Ковров Георгий Юрьевич</v>
      </c>
      <c r="K6583" s="24" t="s">
        <v>3873</v>
      </c>
      <c r="L6583" s="28" t="s">
        <v>52</v>
      </c>
      <c r="M6583" s="25">
        <v>115200</v>
      </c>
      <c r="N6583" s="27">
        <v>0.2</v>
      </c>
    </row>
    <row r="6584" spans="1:14" x14ac:dyDescent="0.15">
      <c r="A6584" s="23" t="str">
        <f>HYPERLINK("https://www.spark-marketing.ru/Card/Person/32101", "СПБ ГБУЗ ""ДГП №73""")</f>
        <v>СПБ ГБУЗ "ДГП №73"</v>
      </c>
      <c r="B6584" s="24" t="s">
        <v>2398</v>
      </c>
      <c r="C6584" s="25">
        <v>25000</v>
      </c>
      <c r="D6584" s="22" t="s">
        <v>8548</v>
      </c>
      <c r="E6584" s="22" t="s">
        <v>194</v>
      </c>
      <c r="F6584" s="23" t="str">
        <f>HYPERLINK("https://www.spark-marketing.ru/Card/Lot/71295516", "Поставка, установка, пуско-наладка веб-камеры в регистратуру для СПб ГБУЗ ""ДГП №73"" в 2019 году")</f>
        <v>Поставка, установка, пуско-наладка веб-камеры в регистратуру для СПб ГБУЗ "ДГП №73" в 2019 году</v>
      </c>
      <c r="G6584" s="22" t="s">
        <v>89</v>
      </c>
      <c r="H6584" s="22" t="s">
        <v>89</v>
      </c>
      <c r="I6584" s="26">
        <v>43627.543055555601</v>
      </c>
      <c r="J6584" s="28" t="s">
        <v>52</v>
      </c>
      <c r="K6584" s="28" t="s">
        <v>52</v>
      </c>
      <c r="L6584" s="28" t="s">
        <v>52</v>
      </c>
      <c r="M6584" s="28" t="s">
        <v>52</v>
      </c>
      <c r="N6584" s="28" t="s">
        <v>52</v>
      </c>
    </row>
    <row r="6585" spans="1:14" hidden="1" outlineLevel="1" x14ac:dyDescent="0.2">
      <c r="A6585" s="23" t="str">
        <f>HYPERLINK("https://www.spark-marketing.ru/Card/Person/32101", "СПБ ГБУЗ ""ДГП №73""")</f>
        <v>СПБ ГБУЗ "ДГП №73"</v>
      </c>
      <c r="B6585" s="24" t="s">
        <v>2398</v>
      </c>
      <c r="C6585" s="25">
        <v>25000</v>
      </c>
      <c r="D6585" s="22" t="s">
        <v>8548</v>
      </c>
      <c r="E6585" s="22" t="s">
        <v>194</v>
      </c>
      <c r="F6585" s="23" t="str">
        <f>HYPERLINK("https://www.spark-marketing.ru/Card/Lot/71295516", "Поставка, установка, пуско-наладка веб-камеры в регистратуру для СПб ГБУЗ ""ДГП №73"" в 2019 году")</f>
        <v>Поставка, установка, пуско-наладка веб-камеры в регистратуру для СПб ГБУЗ "ДГП №73" в 2019 году</v>
      </c>
      <c r="G6585" s="22" t="s">
        <v>89</v>
      </c>
      <c r="H6585" s="22" t="s">
        <v>89</v>
      </c>
      <c r="I6585" s="26">
        <v>43627.543055555601</v>
      </c>
      <c r="J6585" s="23" t="str">
        <f>HYPERLINK("https://www.spark-marketing.ru/Card/Person/6348809", "ООО ""ИСБ""")</f>
        <v>ООО "ИСБ"</v>
      </c>
      <c r="K6585" s="24" t="s">
        <v>7239</v>
      </c>
      <c r="L6585" s="28" t="s">
        <v>52</v>
      </c>
      <c r="M6585" s="25">
        <v>17875</v>
      </c>
      <c r="N6585" s="27">
        <v>0.28499999999999998</v>
      </c>
    </row>
    <row r="6586" spans="1:14" ht="12.75" hidden="1" outlineLevel="1" x14ac:dyDescent="0.2">
      <c r="A6586" s="23" t="str">
        <f>HYPERLINK("https://www.spark-marketing.ru/Card/Person/32101", "СПБ ГБУЗ ""ДГП №73""")</f>
        <v>СПБ ГБУЗ "ДГП №73"</v>
      </c>
      <c r="B6586" s="24" t="s">
        <v>2398</v>
      </c>
      <c r="C6586" s="25">
        <v>25000</v>
      </c>
      <c r="D6586" s="22" t="s">
        <v>8548</v>
      </c>
      <c r="E6586" s="22" t="s">
        <v>194</v>
      </c>
      <c r="F6586" s="23" t="str">
        <f>HYPERLINK("https://www.spark-marketing.ru/Card/Lot/71295516", "Поставка, установка, пуско-наладка веб-камеры в регистратуру для СПб ГБУЗ ""ДГП №73"" в 2019 году")</f>
        <v>Поставка, установка, пуско-наладка веб-камеры в регистратуру для СПб ГБУЗ "ДГП №73" в 2019 году</v>
      </c>
      <c r="G6586" s="22" t="s">
        <v>89</v>
      </c>
      <c r="H6586" s="22" t="s">
        <v>89</v>
      </c>
      <c r="I6586" s="26">
        <v>43627.543055555601</v>
      </c>
      <c r="J6586" s="23" t="str">
        <f>HYPERLINK("https://www.spark-marketing.ru/Card/Person/6620176", "ООО ""ВИДЕОНАБЛЮДЕНИЕ""")</f>
        <v>ООО "ВИДЕОНАБЛЮДЕНИЕ"</v>
      </c>
      <c r="K6586" s="24" t="s">
        <v>8549</v>
      </c>
      <c r="L6586" s="22" t="s">
        <v>10</v>
      </c>
      <c r="M6586" s="25">
        <v>17300</v>
      </c>
      <c r="N6586" s="27">
        <v>0.308</v>
      </c>
    </row>
    <row r="6587" spans="1:14" x14ac:dyDescent="0.15">
      <c r="A6587" s="23" t="str">
        <f>HYPERLINK("https://www.spark-marketing.ru/Card/Person/62304", "АДМИНИСТРАЦИЯ БРЕДИНСКОГО МУНИЦИПАЛЬНОГО РАЙОНА ЧЕЛЯБИНСКОЙ ОБЛАСТИ")</f>
        <v>АДМИНИСТРАЦИЯ БРЕДИНСКОГО МУНИЦИПАЛЬНОГО РАЙОНА ЧЕЛЯБИНСКОЙ ОБЛАСТИ</v>
      </c>
      <c r="B6587" s="24" t="s">
        <v>8550</v>
      </c>
      <c r="C6587" s="25">
        <v>60740.82</v>
      </c>
      <c r="D6587" s="22" t="s">
        <v>8551</v>
      </c>
      <c r="E6587" s="22" t="s">
        <v>52</v>
      </c>
      <c r="F6587" s="23" t="str">
        <f>HYPERLINK("https://www.spark-marketing.ru/Card/Lot/71282390", "Оказание услуг по охране объектов с помощью технических средств охраны (пультовая охрана, тревожная сигнализация)")</f>
        <v>Оказание услуг по охране объектов с помощью технических средств охраны (пультовая охрана, тревожная сигнализация)</v>
      </c>
      <c r="G6587" s="22" t="s">
        <v>60</v>
      </c>
      <c r="H6587" s="22" t="s">
        <v>60</v>
      </c>
      <c r="I6587" s="26">
        <v>43627.543749999997</v>
      </c>
      <c r="J6587" s="28" t="s">
        <v>52</v>
      </c>
      <c r="K6587" s="28" t="s">
        <v>52</v>
      </c>
      <c r="L6587" s="28" t="s">
        <v>52</v>
      </c>
      <c r="M6587" s="28" t="s">
        <v>52</v>
      </c>
      <c r="N6587" s="28" t="s">
        <v>52</v>
      </c>
    </row>
    <row r="6588" spans="1:14" hidden="1" outlineLevel="1" x14ac:dyDescent="0.2">
      <c r="A6588" s="23" t="str">
        <f>HYPERLINK("https://www.spark-marketing.ru/Card/Person/62304", "АДМИНИСТРАЦИЯ БРЕДИНСКОГО МУНИЦИПАЛЬНОГО РАЙОНА ЧЕЛЯБИНСКОЙ ОБЛАСТИ")</f>
        <v>АДМИНИСТРАЦИЯ БРЕДИНСКОГО МУНИЦИПАЛЬНОГО РАЙОНА ЧЕЛЯБИНСКОЙ ОБЛАСТИ</v>
      </c>
      <c r="B6588" s="24" t="s">
        <v>8550</v>
      </c>
      <c r="C6588" s="25">
        <v>60740.82</v>
      </c>
      <c r="D6588" s="22" t="s">
        <v>8551</v>
      </c>
      <c r="E6588" s="22" t="s">
        <v>52</v>
      </c>
      <c r="F6588" s="23" t="str">
        <f>HYPERLINK("https://www.spark-marketing.ru/Card/Lot/71282390", "Оказание услуг по охране объектов с помощью технических средств охраны (пультовая охрана, тревожная сигнализация)")</f>
        <v>Оказание услуг по охране объектов с помощью технических средств охраны (пультовая охрана, тревожная сигнализация)</v>
      </c>
      <c r="G6588" s="22" t="s">
        <v>60</v>
      </c>
      <c r="H6588" s="22" t="s">
        <v>60</v>
      </c>
      <c r="I6588" s="26">
        <v>43627.543749999997</v>
      </c>
      <c r="J6588" s="23" t="str">
        <f>HYPERLINK("https://www.spark-marketing.ru/Card/Person/5920512", "ООО ""ЧОП ""ОМЕГА""")</f>
        <v>ООО "ЧОП "ОМЕГА"</v>
      </c>
      <c r="K6588" s="24" t="s">
        <v>8552</v>
      </c>
      <c r="L6588" s="28" t="s">
        <v>52</v>
      </c>
      <c r="M6588" s="25">
        <v>49410.63</v>
      </c>
      <c r="N6588" s="27">
        <v>0.18653337245035545</v>
      </c>
    </row>
    <row r="6589" spans="1:14" ht="12.75" hidden="1" outlineLevel="1" x14ac:dyDescent="0.2">
      <c r="A6589" s="23" t="str">
        <f>HYPERLINK("https://www.spark-marketing.ru/Card/Person/62304", "АДМИНИСТРАЦИЯ БРЕДИНСКОГО МУНИЦИПАЛЬНОГО РАЙОНА ЧЕЛЯБИНСКОЙ ОБЛАСТИ")</f>
        <v>АДМИНИСТРАЦИЯ БРЕДИНСКОГО МУНИЦИПАЛЬНОГО РАЙОНА ЧЕЛЯБИНСКОЙ ОБЛАСТИ</v>
      </c>
      <c r="B6589" s="24" t="s">
        <v>8550</v>
      </c>
      <c r="C6589" s="25">
        <v>60740.82</v>
      </c>
      <c r="D6589" s="22" t="s">
        <v>8551</v>
      </c>
      <c r="E6589" s="22" t="s">
        <v>52</v>
      </c>
      <c r="F6589" s="23" t="str">
        <f>HYPERLINK("https://www.spark-marketing.ru/Card/Lot/71282390", "Оказание услуг по охране объектов с помощью технических средств охраны (пультовая охрана, тревожная сигнализация)")</f>
        <v>Оказание услуг по охране объектов с помощью технических средств охраны (пультовая охрана, тревожная сигнализация)</v>
      </c>
      <c r="G6589" s="22" t="s">
        <v>60</v>
      </c>
      <c r="H6589" s="22" t="s">
        <v>60</v>
      </c>
      <c r="I6589" s="26">
        <v>43627.543749999997</v>
      </c>
      <c r="J6589" s="23" t="str">
        <f>HYPERLINK("https://www.spark-marketing.ru/Card/Person/1533636", "ФГКУ ""УВО ВНГ РОССИИ ПО ЧЕЛЯБИНСКОЙ ОБЛАСТИ""")</f>
        <v>ФГКУ "УВО ВНГ РОССИИ ПО ЧЕЛЯБИНСКОЙ ОБЛАСТИ"</v>
      </c>
      <c r="K6589" s="24" t="s">
        <v>8553</v>
      </c>
      <c r="L6589" s="22" t="s">
        <v>10</v>
      </c>
      <c r="M6589" s="25">
        <v>49410.63</v>
      </c>
      <c r="N6589" s="27">
        <v>0.18653337245035545</v>
      </c>
    </row>
    <row r="6590" spans="1:14" x14ac:dyDescent="0.15">
      <c r="A6590" s="23" t="str">
        <f>HYPERLINK("https://www.spark-marketing.ru/Card/Person/233058", "МКУ ""МФЦ ГОРОДА ДУБНЫ""")</f>
        <v>МКУ "МФЦ ГОРОДА ДУБНЫ"</v>
      </c>
      <c r="B6590" s="24" t="s">
        <v>8554</v>
      </c>
      <c r="C6590" s="25">
        <v>46631.19</v>
      </c>
      <c r="D6590" s="22" t="s">
        <v>8555</v>
      </c>
      <c r="E6590" s="22" t="s">
        <v>59</v>
      </c>
      <c r="F6590" s="23" t="str">
        <f>HYPERLINK("https://www.spark-marketing.ru/Card/Lot/71281052", "приобретение и установка системы охранной сигнализации")</f>
        <v>приобретение и установка системы охранной сигнализации</v>
      </c>
      <c r="G6590" s="22" t="s">
        <v>50</v>
      </c>
      <c r="H6590" s="22" t="s">
        <v>2012</v>
      </c>
      <c r="I6590" s="26">
        <v>43627.513611111099</v>
      </c>
      <c r="J6590" s="28" t="s">
        <v>52</v>
      </c>
      <c r="K6590" s="28" t="s">
        <v>52</v>
      </c>
      <c r="L6590" s="28" t="s">
        <v>52</v>
      </c>
      <c r="M6590" s="28" t="s">
        <v>52</v>
      </c>
      <c r="N6590" s="28" t="s">
        <v>52</v>
      </c>
    </row>
    <row r="6591" spans="1:14" x14ac:dyDescent="0.15">
      <c r="A6591" s="23" t="str">
        <f>HYPERLINK("https://www.spark-marketing.ru/Card/Person/6394821", "ФЛ ""Башкирия"" ООО ""РН-ПОЖАРНАЯ БЕЗОПАСНОСТЬ""")</f>
        <v>ФЛ "Башкирия" ООО "РН-ПОЖАРНАЯ БЕЗОПАСНОСТЬ"</v>
      </c>
      <c r="B6591" s="24" t="s">
        <v>8556</v>
      </c>
      <c r="C6591" s="28" t="s">
        <v>52</v>
      </c>
      <c r="D6591" s="22" t="s">
        <v>8557</v>
      </c>
      <c r="E6591" s="22" t="s">
        <v>2204</v>
      </c>
      <c r="F6591" s="23" t="str">
        <f>HYPERLINK("https://www.spark-marketing.ru/Card/Lot/74016463", "Поставка и установка автомобильных видеорегистраторов")</f>
        <v>Поставка и установка автомобильных видеорегистраторов</v>
      </c>
      <c r="G6591" s="22" t="s">
        <v>760</v>
      </c>
      <c r="H6591" s="22" t="s">
        <v>1709</v>
      </c>
      <c r="I6591" s="26">
        <v>43627.507638888899</v>
      </c>
      <c r="J6591" s="28" t="s">
        <v>52</v>
      </c>
      <c r="K6591" s="28" t="s">
        <v>52</v>
      </c>
      <c r="L6591" s="28" t="s">
        <v>52</v>
      </c>
      <c r="M6591" s="28" t="s">
        <v>52</v>
      </c>
      <c r="N6591" s="28" t="s">
        <v>52</v>
      </c>
    </row>
    <row r="6592" spans="1:14" x14ac:dyDescent="0.15">
      <c r="A6592" s="23" t="str">
        <f>HYPERLINK("https://www.spark-marketing.ru/Card/Person/78553", "БУ ""СУРГУТСКАЯ ГОРОДСКАЯ КЛИНИЧЕСКАЯ ПОЛИКЛИНИКА № 5""")</f>
        <v>БУ "СУРГУТСКАЯ ГОРОДСКАЯ КЛИНИЧЕСКАЯ ПОЛИКЛИНИКА № 5"</v>
      </c>
      <c r="B6592" s="24" t="s">
        <v>6898</v>
      </c>
      <c r="C6592" s="28" t="s">
        <v>52</v>
      </c>
      <c r="D6592" s="22" t="s">
        <v>8558</v>
      </c>
      <c r="E6592" s="22" t="s">
        <v>52</v>
      </c>
      <c r="F6592" s="23" t="str">
        <f>HYPERLINK("https://www.spark-marketing.ru/Card/Lot/71279730", "Оказание услуг по охране объектов")</f>
        <v>Оказание услуг по охране объектов</v>
      </c>
      <c r="G6592" s="22" t="s">
        <v>119</v>
      </c>
      <c r="H6592" s="22" t="s">
        <v>463</v>
      </c>
      <c r="I6592" s="26">
        <v>43627.538194444402</v>
      </c>
      <c r="J6592" s="28" t="s">
        <v>52</v>
      </c>
      <c r="K6592" s="28" t="s">
        <v>52</v>
      </c>
      <c r="L6592" s="28" t="s">
        <v>52</v>
      </c>
      <c r="M6592" s="28" t="s">
        <v>52</v>
      </c>
      <c r="N6592" s="28" t="s">
        <v>52</v>
      </c>
    </row>
    <row r="6593" spans="1:14" x14ac:dyDescent="0.15">
      <c r="A6593" s="23" t="str">
        <f>HYPERLINK("https://www.spark-marketing.ru/Card/Person/26647", "УСД ВО ВЛАДИМИРСКОЙ ОБЛАСТИ")</f>
        <v>УСД ВО ВЛАДИМИРСКОЙ ОБЛАСТИ</v>
      </c>
      <c r="B6593" s="24" t="s">
        <v>8226</v>
      </c>
      <c r="C6593" s="25">
        <v>155946.35999999999</v>
      </c>
      <c r="D6593" s="22" t="s">
        <v>8559</v>
      </c>
      <c r="E6593" s="22" t="s">
        <v>68</v>
      </c>
      <c r="F6593" s="23" t="str">
        <f>HYPERLINK("https://www.spark-marketing.ru/Card/Lot/71289241", "Закупка услуг для обеспечения государственных нужд ""услуги охраны зданий и помещений Управления Судебного департамента во Владимирской области с помощью охранной сигнализации (ПЦН) и кнопки тревожной сигнализации (КТС)""")</f>
        <v>Закупка услуг для обеспечения государственных нужд "услуги охраны зданий и помещений Управления Судебного департамента во Владимирской области с помощью охранной сигнализации (ПЦН) и кнопки тревожной сигнализации (КТС)"</v>
      </c>
      <c r="G6593" s="22" t="s">
        <v>145</v>
      </c>
      <c r="H6593" s="22" t="s">
        <v>145</v>
      </c>
      <c r="I6593" s="26">
        <v>43627.5</v>
      </c>
      <c r="J6593" s="23" t="str">
        <f>HYPERLINK("https://www.spark-marketing.ru/Card/Person/25843", "ФГКУ ""УВО ВНГ РОССИИ ПО ВЛАДИМИРСКОЙ ОБЛАСТИ""")</f>
        <v>ФГКУ "УВО ВНГ РОССИИ ПО ВЛАДИМИРСКОЙ ОБЛАСТИ"</v>
      </c>
      <c r="K6593" s="24" t="s">
        <v>3022</v>
      </c>
      <c r="L6593" s="22" t="s">
        <v>10</v>
      </c>
      <c r="M6593" s="28" t="s">
        <v>52</v>
      </c>
      <c r="N6593" s="28" t="s">
        <v>52</v>
      </c>
    </row>
    <row r="6594" spans="1:14" x14ac:dyDescent="0.15">
      <c r="A6594" s="23" t="str">
        <f>HYPERLINK("https://www.spark-marketing.ru/Card/Person/1321085", "ГБПОУ СО ""НТПК № 1""")</f>
        <v>ГБПОУ СО "НТПК № 1"</v>
      </c>
      <c r="B6594" s="24" t="s">
        <v>8560</v>
      </c>
      <c r="C6594" s="25">
        <v>802720</v>
      </c>
      <c r="D6594" s="22" t="s">
        <v>8561</v>
      </c>
      <c r="E6594" s="22" t="s">
        <v>194</v>
      </c>
      <c r="F6594" s="23" t="str">
        <f>HYPERLINK("https://www.spark-marketing.ru/Card/Lot/71279706", "Установка системы видеонаблюдения(материалы)")</f>
        <v>Установка системы видеонаблюдения(материалы)</v>
      </c>
      <c r="G6594" s="22" t="s">
        <v>72</v>
      </c>
      <c r="H6594" s="22" t="s">
        <v>3332</v>
      </c>
      <c r="I6594" s="26">
        <v>43627.502083333296</v>
      </c>
      <c r="J6594" s="28" t="s">
        <v>52</v>
      </c>
      <c r="K6594" s="28" t="s">
        <v>52</v>
      </c>
      <c r="L6594" s="28" t="s">
        <v>52</v>
      </c>
      <c r="M6594" s="28" t="s">
        <v>52</v>
      </c>
      <c r="N6594" s="28" t="s">
        <v>52</v>
      </c>
    </row>
    <row r="6595" spans="1:14" ht="12.75" hidden="1" outlineLevel="1" x14ac:dyDescent="0.2">
      <c r="A6595" s="23" t="str">
        <f>HYPERLINK("https://www.spark-marketing.ru/Card/Person/1321085", "ГБПОУ СО ""НТПК № 1""")</f>
        <v>ГБПОУ СО "НТПК № 1"</v>
      </c>
      <c r="B6595" s="24" t="s">
        <v>8560</v>
      </c>
      <c r="C6595" s="25">
        <v>802720</v>
      </c>
      <c r="D6595" s="22" t="s">
        <v>8561</v>
      </c>
      <c r="E6595" s="22" t="s">
        <v>194</v>
      </c>
      <c r="F6595" s="23" t="str">
        <f>HYPERLINK("https://www.spark-marketing.ru/Card/Lot/71279706", "Установка системы видеонаблюдения(материалы)")</f>
        <v>Установка системы видеонаблюдения(материалы)</v>
      </c>
      <c r="G6595" s="22" t="s">
        <v>72</v>
      </c>
      <c r="H6595" s="22" t="s">
        <v>3332</v>
      </c>
      <c r="I6595" s="26">
        <v>43627.502083333296</v>
      </c>
      <c r="J6595" s="23" t="str">
        <f>HYPERLINK("https://www.spark-marketing.ru/Card/Person/1498549", "Гилев Иван Алексеевич")</f>
        <v>Гилев Иван Алексеевич</v>
      </c>
      <c r="K6595" s="24" t="s">
        <v>4893</v>
      </c>
      <c r="L6595" s="22" t="s">
        <v>10</v>
      </c>
      <c r="M6595" s="25">
        <v>545849.59999999998</v>
      </c>
      <c r="N6595" s="27">
        <v>0.32</v>
      </c>
    </row>
    <row r="6596" spans="1:14" hidden="1" outlineLevel="1" x14ac:dyDescent="0.2">
      <c r="A6596" s="23" t="str">
        <f>HYPERLINK("https://www.spark-marketing.ru/Card/Person/1321085", "ГБПОУ СО ""НТПК № 1""")</f>
        <v>ГБПОУ СО "НТПК № 1"</v>
      </c>
      <c r="B6596" s="24" t="s">
        <v>8560</v>
      </c>
      <c r="C6596" s="25">
        <v>802720</v>
      </c>
      <c r="D6596" s="22" t="s">
        <v>8561</v>
      </c>
      <c r="E6596" s="22" t="s">
        <v>194</v>
      </c>
      <c r="F6596" s="23" t="str">
        <f>HYPERLINK("https://www.spark-marketing.ru/Card/Lot/71279706", "Установка системы видеонаблюдения(материалы)")</f>
        <v>Установка системы видеонаблюдения(материалы)</v>
      </c>
      <c r="G6596" s="22" t="s">
        <v>72</v>
      </c>
      <c r="H6596" s="22" t="s">
        <v>3332</v>
      </c>
      <c r="I6596" s="26">
        <v>43627.502083333296</v>
      </c>
      <c r="J6596" s="23" t="str">
        <f>HYPERLINK("https://www.spark-marketing.ru/Card/Person/802084", "ООО ""ГЕФЕСТ""")</f>
        <v>ООО "ГЕФЕСТ"</v>
      </c>
      <c r="K6596" s="24" t="s">
        <v>3414</v>
      </c>
      <c r="L6596" s="28" t="s">
        <v>52</v>
      </c>
      <c r="M6596" s="25">
        <v>762000</v>
      </c>
      <c r="N6596" s="27">
        <v>5.0727526410205302E-2</v>
      </c>
    </row>
    <row r="6597" spans="1:14" hidden="1" outlineLevel="1" x14ac:dyDescent="0.2">
      <c r="A6597" s="23" t="str">
        <f>HYPERLINK("https://www.spark-marketing.ru/Card/Person/1321085", "ГБПОУ СО ""НТПК № 1""")</f>
        <v>ГБПОУ СО "НТПК № 1"</v>
      </c>
      <c r="B6597" s="24" t="s">
        <v>8560</v>
      </c>
      <c r="C6597" s="25">
        <v>802720</v>
      </c>
      <c r="D6597" s="22" t="s">
        <v>8561</v>
      </c>
      <c r="E6597" s="22" t="s">
        <v>194</v>
      </c>
      <c r="F6597" s="23" t="str">
        <f>HYPERLINK("https://www.spark-marketing.ru/Card/Lot/71279706", "Установка системы видеонаблюдения(материалы)")</f>
        <v>Установка системы видеонаблюдения(материалы)</v>
      </c>
      <c r="G6597" s="22" t="s">
        <v>72</v>
      </c>
      <c r="H6597" s="22" t="s">
        <v>3332</v>
      </c>
      <c r="I6597" s="26">
        <v>43627.502083333296</v>
      </c>
      <c r="J6597" s="23" t="str">
        <f>HYPERLINK("https://www.spark-marketing.ru/Card/Person/6431788", "ООО ""БИТБУК""")</f>
        <v>ООО "БИТБУК"</v>
      </c>
      <c r="K6597" s="24" t="s">
        <v>3438</v>
      </c>
      <c r="L6597" s="28" t="s">
        <v>52</v>
      </c>
      <c r="M6597" s="25">
        <v>585985.6</v>
      </c>
      <c r="N6597" s="27">
        <v>0.27</v>
      </c>
    </row>
    <row r="6598" spans="1:14" hidden="1" outlineLevel="1" x14ac:dyDescent="0.2">
      <c r="A6598" s="23" t="str">
        <f>HYPERLINK("https://www.spark-marketing.ru/Card/Person/1321085", "ГБПОУ СО ""НТПК № 1""")</f>
        <v>ГБПОУ СО "НТПК № 1"</v>
      </c>
      <c r="B6598" s="24" t="s">
        <v>8560</v>
      </c>
      <c r="C6598" s="25">
        <v>802720</v>
      </c>
      <c r="D6598" s="22" t="s">
        <v>8561</v>
      </c>
      <c r="E6598" s="22" t="s">
        <v>194</v>
      </c>
      <c r="F6598" s="23" t="str">
        <f>HYPERLINK("https://www.spark-marketing.ru/Card/Lot/71279706", "Установка системы видеонаблюдения(материалы)")</f>
        <v>Установка системы видеонаблюдения(материалы)</v>
      </c>
      <c r="G6598" s="22" t="s">
        <v>72</v>
      </c>
      <c r="H6598" s="22" t="s">
        <v>3332</v>
      </c>
      <c r="I6598" s="26">
        <v>43627.502083333296</v>
      </c>
      <c r="J6598" s="23" t="str">
        <f>HYPERLINK("https://www.spark-marketing.ru/Card/Person/5853123", "Ершов Андрей Алексеевич")</f>
        <v>Ершов Андрей Алексеевич</v>
      </c>
      <c r="K6598" s="24" t="s">
        <v>1063</v>
      </c>
      <c r="L6598" s="28" t="s">
        <v>52</v>
      </c>
      <c r="M6598" s="25">
        <v>630135.19999999995</v>
      </c>
      <c r="N6598" s="27">
        <v>0.215</v>
      </c>
    </row>
    <row r="6599" spans="1:14" x14ac:dyDescent="0.15">
      <c r="A6599" s="23" t="str">
        <f>HYPERLINK("https://www.spark-marketing.ru/Card/Person/1675393", "ООО ""СПЕКТРУМ-ХОЛДИНГ""")</f>
        <v>ООО "СПЕКТРУМ-ХОЛДИНГ"</v>
      </c>
      <c r="B6599" s="24" t="s">
        <v>8562</v>
      </c>
      <c r="C6599" s="25">
        <v>0</v>
      </c>
      <c r="D6599" s="22" t="s">
        <v>8563</v>
      </c>
      <c r="E6599" s="22" t="s">
        <v>218</v>
      </c>
      <c r="F6599" s="23" t="str">
        <f>HYPERLINK("https://www.spark-marketing.ru/Card/Lot/71291573", "Соответствие документации требованиям нормативных и законодательных актов РФ (СНиП, ГОСТ, ГОСТ Р, СанПиН и др.), постановлению Правительства РФ от 16 февраля 2008 года N 87")</f>
        <v>Соответствие документации требованиям нормативных и законодательных актов РФ (СНиП, ГОСТ, ГОСТ Р, СанПиН и др.), постановлению Правительства РФ от 16 февраля 2008 года N 87</v>
      </c>
      <c r="G6599" s="22" t="s">
        <v>55</v>
      </c>
      <c r="H6599" s="22" t="s">
        <v>55</v>
      </c>
      <c r="I6599" s="26">
        <v>43627.538356481498</v>
      </c>
      <c r="J6599" s="28" t="s">
        <v>52</v>
      </c>
      <c r="K6599" s="28" t="s">
        <v>52</v>
      </c>
      <c r="L6599" s="28" t="s">
        <v>52</v>
      </c>
      <c r="M6599" s="28" t="s">
        <v>52</v>
      </c>
      <c r="N6599" s="28" t="s">
        <v>52</v>
      </c>
    </row>
    <row r="6600" spans="1:14" x14ac:dyDescent="0.15">
      <c r="A6600" s="23" t="str">
        <f t="shared" ref="A6600:A6608" si="276">HYPERLINK("https://www.spark-marketing.ru/Card/Person/1321085", "ГБПОУ СО ""НТПК № 1""")</f>
        <v>ГБПОУ СО "НТПК № 1"</v>
      </c>
      <c r="B6600" s="24" t="s">
        <v>8560</v>
      </c>
      <c r="C6600" s="25">
        <v>679112.79</v>
      </c>
      <c r="D6600" s="22" t="s">
        <v>8564</v>
      </c>
      <c r="E6600" s="22" t="s">
        <v>84</v>
      </c>
      <c r="F6600" s="23" t="str">
        <f t="shared" ref="F6600:F6608" si="277">HYPERLINK("https://www.spark-marketing.ru/Card/Lot/71280272", "Установка систем видеонаблюдения ( работы)")</f>
        <v>Установка систем видеонаблюдения ( работы)</v>
      </c>
      <c r="G6600" s="22" t="s">
        <v>72</v>
      </c>
      <c r="H6600" s="22" t="s">
        <v>3332</v>
      </c>
      <c r="I6600" s="26">
        <v>43627.502777777801</v>
      </c>
      <c r="J6600" s="28" t="s">
        <v>52</v>
      </c>
      <c r="K6600" s="28" t="s">
        <v>52</v>
      </c>
      <c r="L6600" s="28" t="s">
        <v>52</v>
      </c>
      <c r="M6600" s="28" t="s">
        <v>52</v>
      </c>
      <c r="N6600" s="28" t="s">
        <v>52</v>
      </c>
    </row>
    <row r="6601" spans="1:14" hidden="1" outlineLevel="1" x14ac:dyDescent="0.2">
      <c r="A6601" s="23" t="str">
        <f t="shared" si="276"/>
        <v>ГБПОУ СО "НТПК № 1"</v>
      </c>
      <c r="B6601" s="24" t="s">
        <v>8560</v>
      </c>
      <c r="C6601" s="25">
        <v>679112.79</v>
      </c>
      <c r="D6601" s="22" t="s">
        <v>8564</v>
      </c>
      <c r="E6601" s="22" t="s">
        <v>84</v>
      </c>
      <c r="F6601" s="23" t="str">
        <f t="shared" si="277"/>
        <v>Установка систем видеонаблюдения ( работы)</v>
      </c>
      <c r="G6601" s="22" t="s">
        <v>72</v>
      </c>
      <c r="H6601" s="22" t="s">
        <v>3332</v>
      </c>
      <c r="I6601" s="26">
        <v>43627.502777777801</v>
      </c>
      <c r="J6601" s="23" t="str">
        <f>HYPERLINK("https://www.spark-marketing.ru/Card/Person/6236196", "ООО ""ВИДЕОСЕРВИС""")</f>
        <v>ООО "ВИДЕОСЕРВИС"</v>
      </c>
      <c r="K6601" s="24" t="s">
        <v>7810</v>
      </c>
      <c r="L6601" s="28" t="s">
        <v>52</v>
      </c>
      <c r="M6601" s="25">
        <v>187901.35</v>
      </c>
      <c r="N6601" s="27">
        <v>0.72331348670373297</v>
      </c>
    </row>
    <row r="6602" spans="1:14" ht="12.75" hidden="1" outlineLevel="1" x14ac:dyDescent="0.2">
      <c r="A6602" s="23" t="str">
        <f t="shared" si="276"/>
        <v>ГБПОУ СО "НТПК № 1"</v>
      </c>
      <c r="B6602" s="24" t="s">
        <v>8560</v>
      </c>
      <c r="C6602" s="25">
        <v>679112.79</v>
      </c>
      <c r="D6602" s="22" t="s">
        <v>8564</v>
      </c>
      <c r="E6602" s="22" t="s">
        <v>84</v>
      </c>
      <c r="F6602" s="23" t="str">
        <f t="shared" si="277"/>
        <v>Установка систем видеонаблюдения ( работы)</v>
      </c>
      <c r="G6602" s="22" t="s">
        <v>72</v>
      </c>
      <c r="H6602" s="22" t="s">
        <v>3332</v>
      </c>
      <c r="I6602" s="26">
        <v>43627.502777777801</v>
      </c>
      <c r="J6602" s="23" t="str">
        <f>HYPERLINK("https://www.spark-marketing.ru/Card/Person/1498549", "Гилев Иван Алексеевич")</f>
        <v>Гилев Иван Алексеевич</v>
      </c>
      <c r="K6602" s="24" t="s">
        <v>4893</v>
      </c>
      <c r="L6602" s="22" t="s">
        <v>10</v>
      </c>
      <c r="M6602" s="25">
        <v>153945.71</v>
      </c>
      <c r="N6602" s="27">
        <v>0.77331348743998773</v>
      </c>
    </row>
    <row r="6603" spans="1:14" hidden="1" outlineLevel="1" x14ac:dyDescent="0.2">
      <c r="A6603" s="23" t="str">
        <f t="shared" si="276"/>
        <v>ГБПОУ СО "НТПК № 1"</v>
      </c>
      <c r="B6603" s="24" t="s">
        <v>8560</v>
      </c>
      <c r="C6603" s="25">
        <v>679112.79</v>
      </c>
      <c r="D6603" s="22" t="s">
        <v>8564</v>
      </c>
      <c r="E6603" s="22" t="s">
        <v>84</v>
      </c>
      <c r="F6603" s="23" t="str">
        <f t="shared" si="277"/>
        <v>Установка систем видеонаблюдения ( работы)</v>
      </c>
      <c r="G6603" s="22" t="s">
        <v>72</v>
      </c>
      <c r="H6603" s="22" t="s">
        <v>3332</v>
      </c>
      <c r="I6603" s="26">
        <v>43627.502777777801</v>
      </c>
      <c r="J6603" s="23" t="str">
        <f>HYPERLINK("https://www.spark-marketing.ru/Card/Person/6063443", "Гачегов Кирилл Олегович")</f>
        <v>Гачегов Кирилл Олегович</v>
      </c>
      <c r="K6603" s="24" t="s">
        <v>8565</v>
      </c>
      <c r="L6603" s="28" t="s">
        <v>52</v>
      </c>
      <c r="M6603" s="25">
        <v>541039.99</v>
      </c>
      <c r="N6603" s="27">
        <v>0.20331350260683501</v>
      </c>
    </row>
    <row r="6604" spans="1:14" hidden="1" outlineLevel="1" x14ac:dyDescent="0.2">
      <c r="A6604" s="23" t="str">
        <f t="shared" si="276"/>
        <v>ГБПОУ СО "НТПК № 1"</v>
      </c>
      <c r="B6604" s="24" t="s">
        <v>8560</v>
      </c>
      <c r="C6604" s="25">
        <v>679112.79</v>
      </c>
      <c r="D6604" s="22" t="s">
        <v>8564</v>
      </c>
      <c r="E6604" s="22" t="s">
        <v>84</v>
      </c>
      <c r="F6604" s="23" t="str">
        <f t="shared" si="277"/>
        <v>Установка систем видеонаблюдения ( работы)</v>
      </c>
      <c r="G6604" s="22" t="s">
        <v>72</v>
      </c>
      <c r="H6604" s="22" t="s">
        <v>3332</v>
      </c>
      <c r="I6604" s="26">
        <v>43627.502777777801</v>
      </c>
      <c r="J6604" s="23" t="str">
        <f>HYPERLINK("https://www.spark-marketing.ru/Card/Person/4408755", "ООО ""ВЕРТИКАЛЬ""")</f>
        <v>ООО "ВЕРТИКАЛЬ"</v>
      </c>
      <c r="K6604" s="24" t="s">
        <v>1210</v>
      </c>
      <c r="L6604" s="28" t="s">
        <v>52</v>
      </c>
      <c r="M6604" s="25">
        <v>170000</v>
      </c>
      <c r="N6604" s="27">
        <v>0.74967339372300734</v>
      </c>
    </row>
    <row r="6605" spans="1:14" hidden="1" outlineLevel="1" x14ac:dyDescent="0.2">
      <c r="A6605" s="23" t="str">
        <f t="shared" si="276"/>
        <v>ГБПОУ СО "НТПК № 1"</v>
      </c>
      <c r="B6605" s="24" t="s">
        <v>8560</v>
      </c>
      <c r="C6605" s="25">
        <v>679112.79</v>
      </c>
      <c r="D6605" s="22" t="s">
        <v>8564</v>
      </c>
      <c r="E6605" s="22" t="s">
        <v>84</v>
      </c>
      <c r="F6605" s="23" t="str">
        <f t="shared" si="277"/>
        <v>Установка систем видеонаблюдения ( работы)</v>
      </c>
      <c r="G6605" s="22" t="s">
        <v>72</v>
      </c>
      <c r="H6605" s="22" t="s">
        <v>3332</v>
      </c>
      <c r="I6605" s="26">
        <v>43627.502777777801</v>
      </c>
      <c r="J6605" s="23" t="str">
        <f>HYPERLINK("https://www.spark-marketing.ru/Card/Person/802084", "ООО ""ГЕФЕСТ""")</f>
        <v>ООО "ГЕФЕСТ"</v>
      </c>
      <c r="K6605" s="24" t="s">
        <v>3414</v>
      </c>
      <c r="L6605" s="28" t="s">
        <v>52</v>
      </c>
      <c r="M6605" s="25">
        <v>219000</v>
      </c>
      <c r="N6605" s="27">
        <v>0.67752043073728596</v>
      </c>
    </row>
    <row r="6606" spans="1:14" hidden="1" outlineLevel="1" x14ac:dyDescent="0.2">
      <c r="A6606" s="23" t="str">
        <f t="shared" si="276"/>
        <v>ГБПОУ СО "НТПК № 1"</v>
      </c>
      <c r="B6606" s="24" t="s">
        <v>8560</v>
      </c>
      <c r="C6606" s="25">
        <v>679112.79</v>
      </c>
      <c r="D6606" s="22" t="s">
        <v>8564</v>
      </c>
      <c r="E6606" s="22" t="s">
        <v>84</v>
      </c>
      <c r="F6606" s="23" t="str">
        <f t="shared" si="277"/>
        <v>Установка систем видеонаблюдения ( работы)</v>
      </c>
      <c r="G6606" s="22" t="s">
        <v>72</v>
      </c>
      <c r="H6606" s="22" t="s">
        <v>3332</v>
      </c>
      <c r="I6606" s="26">
        <v>43627.502777777801</v>
      </c>
      <c r="J6606" s="23" t="str">
        <f>HYPERLINK("https://www.spark-marketing.ru/Card/Person/6431788", "ООО ""БИТБУК""")</f>
        <v>ООО "БИТБУК"</v>
      </c>
      <c r="K6606" s="24" t="s">
        <v>3438</v>
      </c>
      <c r="L6606" s="28" t="s">
        <v>52</v>
      </c>
      <c r="M6606" s="25">
        <v>588577.87</v>
      </c>
      <c r="N6606" s="27">
        <v>0.13331352513622957</v>
      </c>
    </row>
    <row r="6607" spans="1:14" hidden="1" outlineLevel="1" x14ac:dyDescent="0.2">
      <c r="A6607" s="23" t="str">
        <f t="shared" si="276"/>
        <v>ГБПОУ СО "НТПК № 1"</v>
      </c>
      <c r="B6607" s="24" t="s">
        <v>8560</v>
      </c>
      <c r="C6607" s="25">
        <v>679112.79</v>
      </c>
      <c r="D6607" s="22" t="s">
        <v>8564</v>
      </c>
      <c r="E6607" s="22" t="s">
        <v>84</v>
      </c>
      <c r="F6607" s="23" t="str">
        <f t="shared" si="277"/>
        <v>Установка систем видеонаблюдения ( работы)</v>
      </c>
      <c r="G6607" s="22" t="s">
        <v>72</v>
      </c>
      <c r="H6607" s="22" t="s">
        <v>3332</v>
      </c>
      <c r="I6607" s="26">
        <v>43627.502777777801</v>
      </c>
      <c r="J6607" s="23" t="str">
        <f>HYPERLINK("https://www.spark-marketing.ru/Card/Person/12789", "АО ""ЭР-ТЕЛЕКОМ ХОЛДИНГ""")</f>
        <v>АО "ЭР-ТЕЛЕКОМ ХОЛДИНГ"</v>
      </c>
      <c r="K6607" s="24" t="s">
        <v>3100</v>
      </c>
      <c r="L6607" s="28" t="s">
        <v>52</v>
      </c>
      <c r="M6607" s="25">
        <v>315962.40000000002</v>
      </c>
      <c r="N6607" s="27">
        <v>0.53474238056980195</v>
      </c>
    </row>
    <row r="6608" spans="1:14" hidden="1" outlineLevel="1" x14ac:dyDescent="0.2">
      <c r="A6608" s="23" t="str">
        <f t="shared" si="276"/>
        <v>ГБПОУ СО "НТПК № 1"</v>
      </c>
      <c r="B6608" s="24" t="s">
        <v>8560</v>
      </c>
      <c r="C6608" s="25">
        <v>679112.79</v>
      </c>
      <c r="D6608" s="22" t="s">
        <v>8564</v>
      </c>
      <c r="E6608" s="22" t="s">
        <v>84</v>
      </c>
      <c r="F6608" s="23" t="str">
        <f t="shared" si="277"/>
        <v>Установка систем видеонаблюдения ( работы)</v>
      </c>
      <c r="G6608" s="22" t="s">
        <v>72</v>
      </c>
      <c r="H6608" s="22" t="s">
        <v>3332</v>
      </c>
      <c r="I6608" s="26">
        <v>43627.502777777801</v>
      </c>
      <c r="J6608" s="23" t="str">
        <f>HYPERLINK("https://www.spark-marketing.ru/Card/Person/5853123", "Ершов Андрей Алексеевич")</f>
        <v>Ершов Андрей Алексеевич</v>
      </c>
      <c r="K6608" s="24" t="s">
        <v>1063</v>
      </c>
      <c r="L6608" s="28" t="s">
        <v>52</v>
      </c>
      <c r="M6608" s="25">
        <v>262603.75</v>
      </c>
      <c r="N6608" s="27">
        <v>0.61331349686404812</v>
      </c>
    </row>
    <row r="6609" spans="1:14" x14ac:dyDescent="0.15">
      <c r="A6609" s="23" t="str">
        <f>HYPERLINK("https://www.spark-marketing.ru/Card/Person/1059542", "ГБПОУ СО ""УРТАТИС""")</f>
        <v>ГБПОУ СО "УРТАТИС"</v>
      </c>
      <c r="B6609" s="24" t="s">
        <v>8566</v>
      </c>
      <c r="C6609" s="25">
        <v>465124.17</v>
      </c>
      <c r="D6609" s="22" t="s">
        <v>8567</v>
      </c>
      <c r="E6609" s="22" t="s">
        <v>84</v>
      </c>
      <c r="F6609" s="23" t="str">
        <f>HYPERLINK("https://www.spark-marketing.ru/Card/Lot/71270436", "Установка системы видеонаблюдения в зданиях")</f>
        <v>Установка системы видеонаблюдения в зданиях</v>
      </c>
      <c r="G6609" s="22" t="s">
        <v>72</v>
      </c>
      <c r="H6609" s="22" t="s">
        <v>949</v>
      </c>
      <c r="I6609" s="26">
        <v>43627.398611111101</v>
      </c>
      <c r="J6609" s="28" t="s">
        <v>52</v>
      </c>
      <c r="K6609" s="28" t="s">
        <v>52</v>
      </c>
      <c r="L6609" s="28" t="s">
        <v>52</v>
      </c>
      <c r="M6609" s="28" t="s">
        <v>52</v>
      </c>
      <c r="N6609" s="28" t="s">
        <v>52</v>
      </c>
    </row>
    <row r="6610" spans="1:14" ht="12.75" hidden="1" outlineLevel="1" x14ac:dyDescent="0.2">
      <c r="A6610" s="23" t="str">
        <f>HYPERLINK("https://www.spark-marketing.ru/Card/Person/1059542", "ГБПОУ СО ""УРТАТИС""")</f>
        <v>ГБПОУ СО "УРТАТИС"</v>
      </c>
      <c r="B6610" s="24" t="s">
        <v>8566</v>
      </c>
      <c r="C6610" s="25">
        <v>465124.17</v>
      </c>
      <c r="D6610" s="22" t="s">
        <v>8567</v>
      </c>
      <c r="E6610" s="22" t="s">
        <v>84</v>
      </c>
      <c r="F6610" s="23" t="str">
        <f>HYPERLINK("https://www.spark-marketing.ru/Card/Lot/71270436", "Установка системы видеонаблюдения в зданиях")</f>
        <v>Установка системы видеонаблюдения в зданиях</v>
      </c>
      <c r="G6610" s="22" t="s">
        <v>72</v>
      </c>
      <c r="H6610" s="22" t="s">
        <v>949</v>
      </c>
      <c r="I6610" s="26">
        <v>43627.398611111101</v>
      </c>
      <c r="J6610" s="23" t="str">
        <f>HYPERLINK("https://www.spark-marketing.ru/Card/Person/6447599", "ООО ""ДИСКОНТ""")</f>
        <v>ООО "ДИСКОНТ"</v>
      </c>
      <c r="K6610" s="24" t="s">
        <v>8568</v>
      </c>
      <c r="L6610" s="22" t="s">
        <v>10</v>
      </c>
      <c r="M6610" s="25">
        <v>383727.47</v>
      </c>
      <c r="N6610" s="27">
        <v>0.17499993603858513</v>
      </c>
    </row>
    <row r="6611" spans="1:14" hidden="1" outlineLevel="1" x14ac:dyDescent="0.2">
      <c r="A6611" s="23" t="str">
        <f>HYPERLINK("https://www.spark-marketing.ru/Card/Person/1059542", "ГБПОУ СО ""УРТАТИС""")</f>
        <v>ГБПОУ СО "УРТАТИС"</v>
      </c>
      <c r="B6611" s="24" t="s">
        <v>8566</v>
      </c>
      <c r="C6611" s="25">
        <v>465124.17</v>
      </c>
      <c r="D6611" s="22" t="s">
        <v>8567</v>
      </c>
      <c r="E6611" s="22" t="s">
        <v>84</v>
      </c>
      <c r="F6611" s="23" t="str">
        <f>HYPERLINK("https://www.spark-marketing.ru/Card/Lot/71270436", "Установка системы видеонаблюдения в зданиях")</f>
        <v>Установка системы видеонаблюдения в зданиях</v>
      </c>
      <c r="G6611" s="22" t="s">
        <v>72</v>
      </c>
      <c r="H6611" s="22" t="s">
        <v>949</v>
      </c>
      <c r="I6611" s="26">
        <v>43627.398611111101</v>
      </c>
      <c r="J6611" s="23" t="str">
        <f>HYPERLINK("https://www.spark-marketing.ru/Card/Person/5853123", "Ершов Андрей Алексеевич")</f>
        <v>Ершов Андрей Алексеевич</v>
      </c>
      <c r="K6611" s="24" t="s">
        <v>1063</v>
      </c>
      <c r="L6611" s="28" t="s">
        <v>52</v>
      </c>
      <c r="M6611" s="25">
        <v>386053.09</v>
      </c>
      <c r="N6611" s="27">
        <v>0.16999993786605413</v>
      </c>
    </row>
    <row r="6612" spans="1:14" x14ac:dyDescent="0.2">
      <c r="A6612" s="23" t="str">
        <f>HYPERLINK("https://www.spark-marketing.ru/Card/Person/265890", "МУП ""ВЛАДИМИРВОДОКАНАЛ""")</f>
        <v>МУП "ВЛАДИМИРВОДОКАНАЛ"</v>
      </c>
      <c r="B6612" s="24" t="s">
        <v>8569</v>
      </c>
      <c r="C6612" s="25">
        <v>288000</v>
      </c>
      <c r="D6612" s="22" t="s">
        <v>8570</v>
      </c>
      <c r="E6612" s="22" t="s">
        <v>8571</v>
      </c>
      <c r="F6612" s="23" t="str">
        <f>HYPERLINK("https://www.spark-marketing.ru/Card/Lot/71273343", "Оказание услуг по выполнению планового (регламентного) обслуживания, непланового обслуживания и устранение неисправностей комплекса технических средств охраны на объектах МУП «Владимирводоканал»")</f>
        <v>Оказание услуг по выполнению планового (регламентного) обслуживания, непланового обслуживания и устранение неисправностей комплекса технических средств охраны на объектах МУП «Владимирводоканал»</v>
      </c>
      <c r="G6612" s="22" t="s">
        <v>145</v>
      </c>
      <c r="H6612" s="22" t="s">
        <v>146</v>
      </c>
      <c r="I6612" s="26">
        <v>43627.402997685203</v>
      </c>
      <c r="J6612" s="28" t="s">
        <v>52</v>
      </c>
      <c r="K6612" s="28" t="s">
        <v>52</v>
      </c>
      <c r="L6612" s="28" t="s">
        <v>52</v>
      </c>
      <c r="M6612" s="25">
        <v>288000</v>
      </c>
      <c r="N6612" s="27">
        <v>0</v>
      </c>
    </row>
    <row r="6613" spans="1:14" x14ac:dyDescent="0.15">
      <c r="A6613" s="23" t="str">
        <f>HYPERLINK("https://www.spark-marketing.ru/Card/Person/1767579", "МАДОУ Д/С №35 ""ДЕЛЬФИН""")</f>
        <v>МАДОУ Д/С №35 "ДЕЛЬФИН"</v>
      </c>
      <c r="B6613" s="24" t="s">
        <v>8572</v>
      </c>
      <c r="C6613" s="25">
        <v>57500</v>
      </c>
      <c r="D6613" s="22" t="s">
        <v>8573</v>
      </c>
      <c r="E6613" s="22" t="s">
        <v>103</v>
      </c>
      <c r="F6613" s="23" t="str">
        <f>HYPERLINK("https://www.spark-marketing.ru/Card/Lot/71273392", "Оказание услуг по техническому обслуживанию систем видеонаблюдения и домофона")</f>
        <v>Оказание услуг по техническому обслуживанию систем видеонаблюдения и домофона</v>
      </c>
      <c r="G6613" s="22" t="s">
        <v>50</v>
      </c>
      <c r="H6613" s="22" t="s">
        <v>4782</v>
      </c>
      <c r="I6613" s="26">
        <v>43627.399502314802</v>
      </c>
      <c r="J6613" s="28" t="s">
        <v>52</v>
      </c>
      <c r="K6613" s="28" t="s">
        <v>52</v>
      </c>
      <c r="L6613" s="28" t="s">
        <v>52</v>
      </c>
      <c r="M6613" s="28" t="s">
        <v>52</v>
      </c>
      <c r="N6613" s="28" t="s">
        <v>52</v>
      </c>
    </row>
    <row r="6614" spans="1:14" x14ac:dyDescent="0.15">
      <c r="A6614" s="23" t="str">
        <f>HYPERLINK("https://www.spark-marketing.ru/Card/Person/1478626", "ГБПОУ СО ""ВПМТТ ""ЮНОСТЬ""")</f>
        <v>ГБПОУ СО "ВПМТТ "ЮНОСТЬ"</v>
      </c>
      <c r="B6614" s="24" t="s">
        <v>7718</v>
      </c>
      <c r="C6614" s="25">
        <v>567237.6</v>
      </c>
      <c r="D6614" s="22" t="s">
        <v>8574</v>
      </c>
      <c r="E6614" s="22" t="s">
        <v>59</v>
      </c>
      <c r="F6614" s="23" t="str">
        <f>HYPERLINK("https://www.spark-marketing.ru/Card/Lot/71269486", "Установка системы охранной сигнализации в зданиях техникума по адресам: г. Верхняя Пышма, ул. Кривоусова,53 и ул. Лесная,1")</f>
        <v>Установка системы охранной сигнализации в зданиях техникума по адресам: г. Верхняя Пышма, ул. Кривоусова,53 и ул. Лесная,1</v>
      </c>
      <c r="G6614" s="22" t="s">
        <v>72</v>
      </c>
      <c r="H6614" s="22" t="s">
        <v>5226</v>
      </c>
      <c r="I6614" s="26">
        <v>43627.395833333299</v>
      </c>
      <c r="J6614" s="23" t="str">
        <f>HYPERLINK("https://www.spark-marketing.ru/Card/Person/30892", "Каплун Матвей Владимирович")</f>
        <v>Каплун Матвей Владимирович</v>
      </c>
      <c r="K6614" s="24" t="s">
        <v>6603</v>
      </c>
      <c r="L6614" s="28" t="s">
        <v>52</v>
      </c>
      <c r="M6614" s="28" t="s">
        <v>52</v>
      </c>
      <c r="N6614" s="28" t="s">
        <v>52</v>
      </c>
    </row>
    <row r="6615" spans="1:14" x14ac:dyDescent="0.2">
      <c r="A6615" s="23" t="str">
        <f>HYPERLINK("https://www.spark-marketing.ru/Card/Person/254896", "КЦСОН ЮКАМЕНСКОГО РАЙОНА")</f>
        <v>КЦСОН ЮКАМЕНСКОГО РАЙОНА</v>
      </c>
      <c r="B6615" s="24" t="s">
        <v>8575</v>
      </c>
      <c r="C6615" s="25">
        <v>105728</v>
      </c>
      <c r="D6615" s="22" t="s">
        <v>8576</v>
      </c>
      <c r="E6615" s="22" t="s">
        <v>691</v>
      </c>
      <c r="F6615" s="23" t="str">
        <f>HYPERLINK("https://www.spark-marketing.ru/Card/Lot/71269334", "Установка системы видеонаблюдения в спец. доме в с. Ежево и ОСРО для нужд АУ СО УР ""Комплексный центр социального обслуживания населения Юкаменского района""")</f>
        <v>Установка системы видеонаблюдения в спец. доме в с. Ежево и ОСРО для нужд АУ СО УР "Комплексный центр социального обслуживания населения Юкаменского района"</v>
      </c>
      <c r="G6615" s="22" t="s">
        <v>96</v>
      </c>
      <c r="H6615" s="22" t="s">
        <v>96</v>
      </c>
      <c r="I6615" s="26">
        <v>43627.367071759298</v>
      </c>
      <c r="J6615" s="28" t="s">
        <v>52</v>
      </c>
      <c r="K6615" s="28" t="s">
        <v>52</v>
      </c>
      <c r="L6615" s="28" t="s">
        <v>52</v>
      </c>
      <c r="M6615" s="25">
        <v>65000</v>
      </c>
      <c r="N6615" s="27">
        <v>0.38521489104116224</v>
      </c>
    </row>
    <row r="6616" spans="1:14" x14ac:dyDescent="0.15">
      <c r="A6616" s="23" t="str">
        <f>HYPERLINK("https://www.spark-marketing.ru/Card/Person/149501", "ФКУ ИК-1 УФСИН РОССИИ ПО КАБАРДИНО-БАЛКАРСКОЙ РЕСПУБЛИКЕ")</f>
        <v>ФКУ ИК-1 УФСИН РОССИИ ПО КАБАРДИНО-БАЛКАРСКОЙ РЕСПУБЛИКЕ</v>
      </c>
      <c r="B6616" s="24" t="s">
        <v>8577</v>
      </c>
      <c r="C6616" s="25">
        <v>32950</v>
      </c>
      <c r="D6616" s="22" t="s">
        <v>8578</v>
      </c>
      <c r="E6616" s="22" t="s">
        <v>53</v>
      </c>
      <c r="F6616" s="23" t="str">
        <f>HYPERLINK("https://www.spark-marketing.ru/Card/Lot/71270894", "Услуги по изготовлению информационных стендов и табличек")</f>
        <v>Услуги по изготовлению информационных стендов и табличек</v>
      </c>
      <c r="G6616" s="22" t="s">
        <v>110</v>
      </c>
      <c r="H6616" s="22" t="s">
        <v>8579</v>
      </c>
      <c r="I6616" s="26">
        <v>43627.3542592593</v>
      </c>
      <c r="J6616" s="28" t="s">
        <v>52</v>
      </c>
      <c r="K6616" s="28" t="s">
        <v>52</v>
      </c>
      <c r="L6616" s="28" t="s">
        <v>52</v>
      </c>
      <c r="M6616" s="28" t="s">
        <v>52</v>
      </c>
      <c r="N6616" s="28" t="s">
        <v>52</v>
      </c>
    </row>
    <row r="6617" spans="1:14" x14ac:dyDescent="0.15">
      <c r="A6617" s="23" t="str">
        <f>HYPERLINK("https://www.spark-marketing.ru/Card/Person/531043", "ОГАУ ""ТОМСКЛЕСХОЗ""")</f>
        <v>ОГАУ "ТОМСКЛЕСХОЗ"</v>
      </c>
      <c r="B6617" s="24" t="s">
        <v>6413</v>
      </c>
      <c r="C6617" s="25">
        <v>51700</v>
      </c>
      <c r="D6617" s="22" t="s">
        <v>8580</v>
      </c>
      <c r="E6617" s="22" t="s">
        <v>6415</v>
      </c>
      <c r="F6617" s="23" t="str">
        <f>HYPERLINK("https://www.spark-marketing.ru/Card/Lot/71268738", "Поставка цифрового тахографа и дополнительного оборудования")</f>
        <v>Поставка цифрового тахографа и дополнительного оборудования</v>
      </c>
      <c r="G6617" s="22" t="s">
        <v>150</v>
      </c>
      <c r="H6617" s="22" t="s">
        <v>8581</v>
      </c>
      <c r="I6617" s="26">
        <v>43627.3034722222</v>
      </c>
      <c r="J6617" s="28" t="s">
        <v>52</v>
      </c>
      <c r="K6617" s="28" t="s">
        <v>52</v>
      </c>
      <c r="L6617" s="28" t="s">
        <v>52</v>
      </c>
      <c r="M6617" s="28" t="s">
        <v>52</v>
      </c>
      <c r="N6617" s="28" t="s">
        <v>52</v>
      </c>
    </row>
    <row r="6618" spans="1:14" x14ac:dyDescent="0.15">
      <c r="A6618" s="23" t="str">
        <f>HYPERLINK("https://www.spark-marketing.ru/Card/Person/531043", "ОГАУ ""ТОМСКЛЕСХОЗ""")</f>
        <v>ОГАУ "ТОМСКЛЕСХОЗ"</v>
      </c>
      <c r="B6618" s="24" t="s">
        <v>6413</v>
      </c>
      <c r="C6618" s="25">
        <v>39700</v>
      </c>
      <c r="D6618" s="22" t="s">
        <v>8582</v>
      </c>
      <c r="E6618" s="22" t="s">
        <v>8436</v>
      </c>
      <c r="F6618" s="23" t="str">
        <f>HYPERLINK("https://www.spark-marketing.ru/Card/Lot/71270188", "Поставка цифрового тахографа")</f>
        <v>Поставка цифрового тахографа</v>
      </c>
      <c r="G6618" s="22" t="s">
        <v>150</v>
      </c>
      <c r="H6618" s="22" t="s">
        <v>8583</v>
      </c>
      <c r="I6618" s="26">
        <v>43627.313194444403</v>
      </c>
      <c r="J6618" s="28" t="s">
        <v>52</v>
      </c>
      <c r="K6618" s="28" t="s">
        <v>52</v>
      </c>
      <c r="L6618" s="28" t="s">
        <v>52</v>
      </c>
      <c r="M6618" s="28" t="s">
        <v>52</v>
      </c>
      <c r="N6618" s="28" t="s">
        <v>52</v>
      </c>
    </row>
    <row r="6619" spans="1:14" x14ac:dyDescent="0.15">
      <c r="A6619" s="23" t="str">
        <f>HYPERLINK("https://www.spark-marketing.ru/Card/Person/6394821", "ФЛ ""Башкирия"" ООО ""РН-ПОЖАРНАЯ БЕЗОПАСНОСТЬ""")</f>
        <v>ФЛ "Башкирия" ООО "РН-ПОЖАРНАЯ БЕЗОПАСНОСТЬ"</v>
      </c>
      <c r="B6619" s="24" t="s">
        <v>8556</v>
      </c>
      <c r="C6619" s="28" t="s">
        <v>52</v>
      </c>
      <c r="D6619" s="22" t="s">
        <v>8584</v>
      </c>
      <c r="E6619" s="22" t="s">
        <v>2204</v>
      </c>
      <c r="F6619" s="23" t="str">
        <f>HYPERLINK("https://www.spark-marketing.ru/Card/Lot/74016428", "Поставка и установка автомобильных видеорегистраторов")</f>
        <v>Поставка и установка автомобильных видеорегистраторов</v>
      </c>
      <c r="G6619" s="22" t="s">
        <v>760</v>
      </c>
      <c r="H6619" s="22" t="s">
        <v>1709</v>
      </c>
      <c r="I6619" s="26">
        <v>43627.315972222197</v>
      </c>
      <c r="J6619" s="28" t="s">
        <v>52</v>
      </c>
      <c r="K6619" s="28" t="s">
        <v>52</v>
      </c>
      <c r="L6619" s="28" t="s">
        <v>52</v>
      </c>
      <c r="M6619" s="28" t="s">
        <v>52</v>
      </c>
      <c r="N6619" s="28" t="s">
        <v>52</v>
      </c>
    </row>
    <row r="6620" spans="1:14" ht="12.75" x14ac:dyDescent="0.2">
      <c r="A6620" s="23" t="str">
        <f>HYPERLINK("https://www.spark-marketing.ru/Card/Person/6215", "КГКУ ""АЛТАЙАВТОДОР""")</f>
        <v>КГКУ "АЛТАЙАВТОДОР"</v>
      </c>
      <c r="B6620" s="24" t="s">
        <v>8585</v>
      </c>
      <c r="C6620" s="25">
        <v>18471500</v>
      </c>
      <c r="D6620" s="22" t="s">
        <v>8586</v>
      </c>
      <c r="E6620" s="22" t="s">
        <v>68</v>
      </c>
      <c r="F6620" s="23" t="str">
        <f>HYPERLINK("https://www.spark-marketing.ru/Card/Lot/71265948", "Выполнение работ по содержанию автомобильной дороги Алейск-Чарышское с мостом через реку Алей км 3+704 (устройство инженерно-технических сооружений систем обеспечения транспортной безопасности) в рамках содержания автомобильных дорог")</f>
        <v>Выполнение работ по содержанию автомобильной дороги Алейск-Чарышское с мостом через реку Алей км 3+704 (устройство инженерно-технических сооружений систем обеспечения транспортной безопасности) в рамках содержания автомобильных дорог</v>
      </c>
      <c r="G6620" s="22" t="s">
        <v>428</v>
      </c>
      <c r="H6620" s="22" t="s">
        <v>429</v>
      </c>
      <c r="I6620" s="26">
        <v>43627.324305555601</v>
      </c>
      <c r="J6620" s="23" t="str">
        <f>HYPERLINK("https://www.spark-marketing.ru/Card/Person/20706", "ООО ""ЦВБ""")</f>
        <v>ООО "ЦВБ"</v>
      </c>
      <c r="K6620" s="24" t="s">
        <v>2872</v>
      </c>
      <c r="L6620" s="22" t="s">
        <v>10</v>
      </c>
      <c r="M6620" s="25">
        <v>18471500</v>
      </c>
      <c r="N6620" s="27">
        <v>0</v>
      </c>
    </row>
    <row r="6621" spans="1:14" x14ac:dyDescent="0.15">
      <c r="A6621" s="23" t="str">
        <f>HYPERLINK("https://www.spark-marketing.ru/Card/Person/114329", "МБДОУ ДЕТСКИЙ САД №53")</f>
        <v>МБДОУ ДЕТСКИЙ САД №53</v>
      </c>
      <c r="B6621" s="24" t="s">
        <v>8587</v>
      </c>
      <c r="C6621" s="25">
        <v>75000</v>
      </c>
      <c r="D6621" s="22" t="s">
        <v>8588</v>
      </c>
      <c r="E6621" s="22" t="s">
        <v>732</v>
      </c>
      <c r="F6621" s="23" t="str">
        <f>HYPERLINK("https://www.spark-marketing.ru/Card/Lot/71265351", "Приобретение и установка видеодомофонов")</f>
        <v>Приобретение и установка видеодомофонов</v>
      </c>
      <c r="G6621" s="22" t="s">
        <v>50</v>
      </c>
      <c r="H6621" s="22" t="s">
        <v>2332</v>
      </c>
      <c r="I6621" s="26">
        <v>43627.128101851798</v>
      </c>
      <c r="J6621" s="28" t="s">
        <v>52</v>
      </c>
      <c r="K6621" s="28" t="s">
        <v>52</v>
      </c>
      <c r="L6621" s="28" t="s">
        <v>52</v>
      </c>
      <c r="M6621" s="28" t="s">
        <v>52</v>
      </c>
      <c r="N6621" s="28" t="s">
        <v>52</v>
      </c>
    </row>
    <row r="6622" spans="1:14" x14ac:dyDescent="0.2">
      <c r="A6622" s="23" t="str">
        <f>HYPERLINK("https://www.spark-marketing.ru/Card/Person/4365623", "АО ""ВМЗ""")</f>
        <v>АО "ВМЗ"</v>
      </c>
      <c r="B6622" s="24" t="s">
        <v>8589</v>
      </c>
      <c r="C6622" s="25">
        <v>113530.68</v>
      </c>
      <c r="D6622" s="22" t="s">
        <v>8590</v>
      </c>
      <c r="E6622" s="22" t="s">
        <v>8591</v>
      </c>
      <c r="F6622" s="23" t="str">
        <f>HYPERLINK("https://www.spark-marketing.ru/Card/Lot/71263960", "0206-2019-00224. Закупка у единственного поставщика, на основании пункта 6.6.2 (28) Положения о закупке, «Оказание услуги по сопровождению груза».")</f>
        <v>0206-2019-00224. Закупка у единственного поставщика, на основании пункта 6.6.2 (28) Положения о закупке, «Оказание услуги по сопровождению груза».</v>
      </c>
      <c r="G6622" s="22" t="s">
        <v>80</v>
      </c>
      <c r="H6622" s="22" t="s">
        <v>8592</v>
      </c>
      <c r="I6622" s="26">
        <v>43626.940659722197</v>
      </c>
      <c r="J6622" s="28" t="s">
        <v>52</v>
      </c>
      <c r="K6622" s="28" t="s">
        <v>52</v>
      </c>
      <c r="L6622" s="28" t="s">
        <v>52</v>
      </c>
      <c r="M6622" s="25">
        <v>113530.68</v>
      </c>
      <c r="N6622" s="27">
        <v>0</v>
      </c>
    </row>
    <row r="6623" spans="1:14" x14ac:dyDescent="0.15">
      <c r="A6623" s="23" t="str">
        <f>HYPERLINK("https://www.spark-marketing.ru/Card/Person/4348446", "ООО ""ТАИФ-НК АЗС""")</f>
        <v>ООО "ТАИФ-НК АЗС"</v>
      </c>
      <c r="B6623" s="24" t="s">
        <v>301</v>
      </c>
      <c r="C6623" s="25">
        <v>120000</v>
      </c>
      <c r="D6623" s="22" t="s">
        <v>8593</v>
      </c>
      <c r="E6623" s="22" t="s">
        <v>53</v>
      </c>
      <c r="F6623" s="23" t="str">
        <f>HYPERLINK("https://www.spark-marketing.ru/Card/Lot/71267549", "Техническое обслуживание средств охраны АЗС № 301, 302,303,304, 305, 306, 307, 308, 309, 310, 311, 312, 313, 314, 315, 316, 317, 318, 319, 320 (Республика Татарстан)")</f>
        <v>Техническое обслуживание средств охраны АЗС № 301, 302,303,304, 305, 306, 307, 308, 309, 310, 311, 312, 313, 314, 315, 316, 317, 318, 319, 320 (Республика Татарстан)</v>
      </c>
      <c r="G6623" s="22" t="s">
        <v>204</v>
      </c>
      <c r="H6623" s="22" t="s">
        <v>303</v>
      </c>
      <c r="I6623" s="26">
        <v>43626.729513888902</v>
      </c>
      <c r="J6623" s="28" t="s">
        <v>52</v>
      </c>
      <c r="K6623" s="28" t="s">
        <v>52</v>
      </c>
      <c r="L6623" s="28" t="s">
        <v>52</v>
      </c>
      <c r="M6623" s="28" t="s">
        <v>52</v>
      </c>
      <c r="N6623" s="28" t="s">
        <v>52</v>
      </c>
    </row>
    <row r="6624" spans="1:14" x14ac:dyDescent="0.15">
      <c r="A6624" s="23" t="str">
        <f>HYPERLINK("https://www.spark-marketing.ru/Card/Person/4348446", "ООО ""ТАИФ-НК АЗС""")</f>
        <v>ООО "ТАИФ-НК АЗС"</v>
      </c>
      <c r="B6624" s="24" t="s">
        <v>301</v>
      </c>
      <c r="C6624" s="25">
        <v>7081.8</v>
      </c>
      <c r="D6624" s="22" t="s">
        <v>8593</v>
      </c>
      <c r="E6624" s="22" t="s">
        <v>53</v>
      </c>
      <c r="F6624" s="23" t="str">
        <f>HYPERLINK("https://www.spark-marketing.ru/Card/Lot/71267551", "Техническое обслуживание средств охраны АЗС № 322, 323, 324 (Ульяновская область)")</f>
        <v>Техническое обслуживание средств охраны АЗС № 322, 323, 324 (Ульяновская область)</v>
      </c>
      <c r="G6624" s="22" t="s">
        <v>204</v>
      </c>
      <c r="H6624" s="22" t="s">
        <v>303</v>
      </c>
      <c r="I6624" s="26">
        <v>43626.729513888902</v>
      </c>
      <c r="J6624" s="28" t="s">
        <v>52</v>
      </c>
      <c r="K6624" s="28" t="s">
        <v>52</v>
      </c>
      <c r="L6624" s="28" t="s">
        <v>52</v>
      </c>
      <c r="M6624" s="28" t="s">
        <v>52</v>
      </c>
      <c r="N6624" s="28" t="s">
        <v>52</v>
      </c>
    </row>
    <row r="6625" spans="1:14" x14ac:dyDescent="0.15">
      <c r="A6625" s="23" t="str">
        <f>HYPERLINK("https://www.spark-marketing.ru/Card/Person/86868", "ГБДОУ ДЕТСКИЙ САД № 69 КРАСНОСЕЛЬСКОГО РАЙОНА СПБ")</f>
        <v>ГБДОУ ДЕТСКИЙ САД № 69 КРАСНОСЕЛЬСКОГО РАЙОНА СПБ</v>
      </c>
      <c r="B6625" s="24" t="s">
        <v>8594</v>
      </c>
      <c r="C6625" s="25">
        <v>346980</v>
      </c>
      <c r="D6625" s="22" t="s">
        <v>8595</v>
      </c>
      <c r="E6625" s="22" t="s">
        <v>59</v>
      </c>
      <c r="F6625" s="23" t="str">
        <f>HYPERLINK("https://www.spark-marketing.ru/Card/Lot/71259801", "Выполнение требований к антитеррористической защищенности объектов (территории): выполнение работ по установке системы видеонаблюдения в здании ГБДОУ детского сада №69 Красносельского района СПб")</f>
        <v>Выполнение требований к антитеррористической защищенности объектов (территории): выполнение работ по установке системы видеонаблюдения в здании ГБДОУ детского сада №69 Красносельского района СПб</v>
      </c>
      <c r="G6625" s="22" t="s">
        <v>89</v>
      </c>
      <c r="H6625" s="22" t="s">
        <v>89</v>
      </c>
      <c r="I6625" s="26">
        <v>43626.730555555601</v>
      </c>
      <c r="J6625" s="23" t="str">
        <f>HYPERLINK("https://www.spark-marketing.ru/Card/Person/4867026", "ООО ""НЕОН""")</f>
        <v>ООО "НЕОН"</v>
      </c>
      <c r="K6625" s="24" t="s">
        <v>2804</v>
      </c>
      <c r="L6625" s="28" t="s">
        <v>52</v>
      </c>
      <c r="M6625" s="28" t="s">
        <v>52</v>
      </c>
      <c r="N6625" s="28" t="s">
        <v>52</v>
      </c>
    </row>
    <row r="6626" spans="1:14" ht="12.75" hidden="1" outlineLevel="1" x14ac:dyDescent="0.2">
      <c r="A6626" s="23" t="str">
        <f>HYPERLINK("https://www.spark-marketing.ru/Card/Person/86868", "ГБДОУ ДЕТСКИЙ САД № 69 КРАСНОСЕЛЬСКОГО РАЙОНА СПБ")</f>
        <v>ГБДОУ ДЕТСКИЙ САД № 69 КРАСНОСЕЛЬСКОГО РАЙОНА СПБ</v>
      </c>
      <c r="B6626" s="24" t="s">
        <v>8594</v>
      </c>
      <c r="C6626" s="25">
        <v>346980</v>
      </c>
      <c r="D6626" s="22" t="s">
        <v>8595</v>
      </c>
      <c r="E6626" s="22" t="s">
        <v>59</v>
      </c>
      <c r="F6626" s="23" t="str">
        <f>HYPERLINK("https://www.spark-marketing.ru/Card/Lot/71259801", "Выполнение требований к антитеррористической защищенности объектов (территории): выполнение работ по установке системы видеонаблюдения в здании ГБДОУ детского сада №69 Красносельского района СПб")</f>
        <v>Выполнение требований к антитеррористической защищенности объектов (территории): выполнение работ по установке системы видеонаблюдения в здании ГБДОУ детского сада №69 Красносельского района СПб</v>
      </c>
      <c r="G6626" s="22" t="s">
        <v>89</v>
      </c>
      <c r="H6626" s="22" t="s">
        <v>89</v>
      </c>
      <c r="I6626" s="26">
        <v>43626.730555555601</v>
      </c>
      <c r="J6626" s="23" t="str">
        <f>HYPERLINK("https://www.spark-marketing.ru/Card/Person/4867026", "ООО ""НЕОН""")</f>
        <v>ООО "НЕОН"</v>
      </c>
      <c r="K6626" s="24" t="s">
        <v>2804</v>
      </c>
      <c r="L6626" s="22" t="s">
        <v>10</v>
      </c>
      <c r="M6626" s="25">
        <v>345245.1</v>
      </c>
      <c r="N6626" s="27">
        <v>5.0000000000000001E-3</v>
      </c>
    </row>
    <row r="6627" spans="1:14" x14ac:dyDescent="0.15">
      <c r="A6627" s="23" t="str">
        <f>HYPERLINK("https://www.spark-marketing.ru/Card/Person/4348446", "ООО ""ТАИФ-НК АЗС""")</f>
        <v>ООО "ТАИФ-НК АЗС"</v>
      </c>
      <c r="B6627" s="24" t="s">
        <v>301</v>
      </c>
      <c r="C6627" s="25">
        <v>674073.59999999998</v>
      </c>
      <c r="D6627" s="22" t="s">
        <v>8593</v>
      </c>
      <c r="E6627" s="22" t="s">
        <v>53</v>
      </c>
      <c r="F6627" s="23" t="str">
        <f>HYPERLINK("https://www.spark-marketing.ru/Card/Lot/71267548", "Пультовая охрана (КТС) с подключением на ПЦН системы ОС АЗС № 301, 302,303,304, 305, 306, 307, 308, 309, 310, 311, 312, 313, 314, 315, 316, 317, 318, 319, 320 (Республика Татарстан)")</f>
        <v>Пультовая охрана (КТС) с подключением на ПЦН системы ОС АЗС № 301, 302,303,304, 305, 306, 307, 308, 309, 310, 311, 312, 313, 314, 315, 316, 317, 318, 319, 320 (Республика Татарстан)</v>
      </c>
      <c r="G6627" s="22" t="s">
        <v>204</v>
      </c>
      <c r="H6627" s="22" t="s">
        <v>303</v>
      </c>
      <c r="I6627" s="26">
        <v>43626.729513888902</v>
      </c>
      <c r="J6627" s="28" t="s">
        <v>52</v>
      </c>
      <c r="K6627" s="28" t="s">
        <v>52</v>
      </c>
      <c r="L6627" s="28" t="s">
        <v>52</v>
      </c>
      <c r="M6627" s="28" t="s">
        <v>52</v>
      </c>
      <c r="N6627" s="28" t="s">
        <v>52</v>
      </c>
    </row>
    <row r="6628" spans="1:14" x14ac:dyDescent="0.15">
      <c r="A6628" s="23" t="str">
        <f>HYPERLINK("https://www.spark-marketing.ru/Card/Person/4348446", "ООО ""ТАИФ-НК АЗС""")</f>
        <v>ООО "ТАИФ-НК АЗС"</v>
      </c>
      <c r="B6628" s="24" t="s">
        <v>301</v>
      </c>
      <c r="C6628" s="25">
        <v>90882</v>
      </c>
      <c r="D6628" s="22" t="s">
        <v>8593</v>
      </c>
      <c r="E6628" s="22" t="s">
        <v>53</v>
      </c>
      <c r="F6628" s="23" t="str">
        <f>HYPERLINK("https://www.spark-marketing.ru/Card/Lot/71267550", "Пультовая охрана (КТС) с подключением на ПЦН системы ОС АЗС № 322,323, 324 (Ульяновская область)")</f>
        <v>Пультовая охрана (КТС) с подключением на ПЦН системы ОС АЗС № 322,323, 324 (Ульяновская область)</v>
      </c>
      <c r="G6628" s="22" t="s">
        <v>204</v>
      </c>
      <c r="H6628" s="22" t="s">
        <v>303</v>
      </c>
      <c r="I6628" s="26">
        <v>43626.729513888902</v>
      </c>
      <c r="J6628" s="28" t="s">
        <v>52</v>
      </c>
      <c r="K6628" s="28" t="s">
        <v>52</v>
      </c>
      <c r="L6628" s="28" t="s">
        <v>52</v>
      </c>
      <c r="M6628" s="28" t="s">
        <v>52</v>
      </c>
      <c r="N6628" s="28" t="s">
        <v>52</v>
      </c>
    </row>
    <row r="6629" spans="1:14" x14ac:dyDescent="0.15">
      <c r="A6629" s="23" t="str">
        <f>HYPERLINK("https://www.spark-marketing.ru/Card/Person/30033", "ФГКУ КОМБИНАТ ""ИСКРОВЕЦ"" РОСРЕЗЕРВА")</f>
        <v>ФГКУ КОМБИНАТ "ИСКРОВЕЦ" РОСРЕЗЕРВА</v>
      </c>
      <c r="B6629" s="24" t="s">
        <v>5288</v>
      </c>
      <c r="C6629" s="25">
        <v>36664.32</v>
      </c>
      <c r="D6629" s="22" t="s">
        <v>8596</v>
      </c>
      <c r="E6629" s="22" t="s">
        <v>53</v>
      </c>
      <c r="F6629" s="23" t="str">
        <f>HYPERLINK("https://www.spark-marketing.ru/Card/Lot/71253398", "Техническое обслуживание тревожной кнопки")</f>
        <v>Техническое обслуживание тревожной кнопки</v>
      </c>
      <c r="G6629" s="22" t="s">
        <v>50</v>
      </c>
      <c r="H6629" s="22" t="s">
        <v>5291</v>
      </c>
      <c r="I6629" s="26">
        <v>43626.714571759301</v>
      </c>
      <c r="J6629" s="28" t="s">
        <v>52</v>
      </c>
      <c r="K6629" s="28" t="s">
        <v>52</v>
      </c>
      <c r="L6629" s="28" t="s">
        <v>52</v>
      </c>
      <c r="M6629" s="28" t="s">
        <v>52</v>
      </c>
      <c r="N6629" s="28" t="s">
        <v>52</v>
      </c>
    </row>
    <row r="6630" spans="1:14" x14ac:dyDescent="0.15">
      <c r="A6630" s="23" t="str">
        <f>HYPERLINK("https://www.spark-marketing.ru/Card/Person/4343740", "МИНЗДРАВ РОССИИ")</f>
        <v>МИНЗДРАВ РОССИИ</v>
      </c>
      <c r="B6630" s="24" t="s">
        <v>1666</v>
      </c>
      <c r="C6630" s="25">
        <v>326601205.58999997</v>
      </c>
      <c r="D6630" s="22" t="s">
        <v>8597</v>
      </c>
      <c r="E6630" s="22" t="s">
        <v>53</v>
      </c>
      <c r="F6630" s="23" t="str">
        <f>HYPERLINK("https://www.spark-marketing.ru/Card/Lot/71261232", "Дорназа альфа, раствор для ингаляций, 1 мг/мл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муковисцидозом, гипофизарн...")</f>
        <v>Дорназа альфа, раствор для ингаляций, 1 мг/мл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муковисцидозом, гипофизарн...</v>
      </c>
      <c r="G6630" s="22" t="s">
        <v>428</v>
      </c>
      <c r="H6630" s="22" t="s">
        <v>429</v>
      </c>
      <c r="I6630" s="26">
        <v>43626.715277777803</v>
      </c>
      <c r="J6630" s="23" t="str">
        <f>HYPERLINK("https://www.spark-marketing.ru/Card/Person/42069", "АО ""ФАРМСТАНДАРТ""")</f>
        <v>АО "ФАРМСТАНДАРТ"</v>
      </c>
      <c r="K6630" s="24" t="s">
        <v>1668</v>
      </c>
      <c r="L6630" s="22" t="s">
        <v>10</v>
      </c>
      <c r="M6630" s="28" t="s">
        <v>52</v>
      </c>
      <c r="N6630" s="28" t="s">
        <v>52</v>
      </c>
    </row>
    <row r="6631" spans="1:14" x14ac:dyDescent="0.15">
      <c r="A6631" s="23" t="str">
        <f>HYPERLINK("https://www.spark-marketing.ru/Card/Person/4348446", "ООО ""ТАИФ-НК АЗС""")</f>
        <v>ООО "ТАИФ-НК АЗС"</v>
      </c>
      <c r="B6631" s="24" t="s">
        <v>301</v>
      </c>
      <c r="C6631" s="25">
        <v>2400</v>
      </c>
      <c r="D6631" s="22" t="s">
        <v>8593</v>
      </c>
      <c r="E6631" s="22" t="s">
        <v>53</v>
      </c>
      <c r="F6631" s="23" t="str">
        <f>HYPERLINK("https://www.spark-marketing.ru/Card/Lot/71267553", "Техническое обслуживание средств охраны АЗС № 321 (п. Батырево, Чувашская Республика)")</f>
        <v>Техническое обслуживание средств охраны АЗС № 321 (п. Батырево, Чувашская Республика)</v>
      </c>
      <c r="G6631" s="22" t="s">
        <v>204</v>
      </c>
      <c r="H6631" s="22" t="s">
        <v>303</v>
      </c>
      <c r="I6631" s="26">
        <v>43626.729513888902</v>
      </c>
      <c r="J6631" s="28" t="s">
        <v>52</v>
      </c>
      <c r="K6631" s="28" t="s">
        <v>52</v>
      </c>
      <c r="L6631" s="28" t="s">
        <v>52</v>
      </c>
      <c r="M6631" s="28" t="s">
        <v>52</v>
      </c>
      <c r="N6631" s="28" t="s">
        <v>52</v>
      </c>
    </row>
    <row r="6632" spans="1:14" x14ac:dyDescent="0.15">
      <c r="A6632" s="23" t="str">
        <f>HYPERLINK("https://www.spark-marketing.ru/Card/Person/4348446", "ООО ""ТАИФ-НК АЗС""")</f>
        <v>ООО "ТАИФ-НК АЗС"</v>
      </c>
      <c r="B6632" s="24" t="s">
        <v>301</v>
      </c>
      <c r="C6632" s="25">
        <v>39000</v>
      </c>
      <c r="D6632" s="22" t="s">
        <v>8593</v>
      </c>
      <c r="E6632" s="22" t="s">
        <v>53</v>
      </c>
      <c r="F6632" s="23" t="str">
        <f>HYPERLINK("https://www.spark-marketing.ru/Card/Lot/71267552", "Пультовая охрана (КТС) с подключением на ПЦН системы ОС АЗС № 321 (п. Батырево, Чувашская Республика)")</f>
        <v>Пультовая охрана (КТС) с подключением на ПЦН системы ОС АЗС № 321 (п. Батырево, Чувашская Республика)</v>
      </c>
      <c r="G6632" s="22" t="s">
        <v>204</v>
      </c>
      <c r="H6632" s="22" t="s">
        <v>303</v>
      </c>
      <c r="I6632" s="26">
        <v>43626.729513888902</v>
      </c>
      <c r="J6632" s="28" t="s">
        <v>52</v>
      </c>
      <c r="K6632" s="28" t="s">
        <v>52</v>
      </c>
      <c r="L6632" s="28" t="s">
        <v>52</v>
      </c>
      <c r="M6632" s="28" t="s">
        <v>52</v>
      </c>
      <c r="N6632" s="28" t="s">
        <v>52</v>
      </c>
    </row>
    <row r="6633" spans="1:14" x14ac:dyDescent="0.15">
      <c r="A6633" s="23" t="str">
        <f>HYPERLINK("https://www.spark-marketing.ru/Card/Person/5911316", "МБДОУ ""ДЕТСКИЙ САД № 205 ""НОВОГРАД"" ГОРОДА ЧЕБОКСАРЫ")</f>
        <v>МБДОУ "ДЕТСКИЙ САД № 205 "НОВОГРАД" ГОРОДА ЧЕБОКСАРЫ</v>
      </c>
      <c r="B6633" s="24" t="s">
        <v>8598</v>
      </c>
      <c r="C6633" s="25">
        <v>30000</v>
      </c>
      <c r="D6633" s="22" t="s">
        <v>8599</v>
      </c>
      <c r="E6633" s="22" t="s">
        <v>194</v>
      </c>
      <c r="F6633" s="23" t="str">
        <f>HYPERLINK("https://www.spark-marketing.ru/Card/Lot/71252590", "Установка видеодомофона на центральную калитку дошкольного учреждения (Срочная работа на строящемся объекте)")</f>
        <v>Установка видеодомофона на центральную калитку дошкольного учреждения (Срочная работа на строящемся объекте)</v>
      </c>
      <c r="G6633" s="22" t="s">
        <v>1137</v>
      </c>
      <c r="H6633" s="22" t="s">
        <v>1138</v>
      </c>
      <c r="I6633" s="26">
        <v>43626.691666666702</v>
      </c>
      <c r="J6633" s="28" t="s">
        <v>52</v>
      </c>
      <c r="K6633" s="28" t="s">
        <v>52</v>
      </c>
      <c r="L6633" s="28" t="s">
        <v>52</v>
      </c>
      <c r="M6633" s="28" t="s">
        <v>52</v>
      </c>
      <c r="N6633" s="28" t="s">
        <v>52</v>
      </c>
    </row>
    <row r="6634" spans="1:14" x14ac:dyDescent="0.15">
      <c r="A6634" s="23" t="str">
        <f>HYPERLINK("https://www.spark-marketing.ru/Card/Person/14233", "АДМИНИСТРАЦИЯ МУНИЦИПАЛЬНОГО ОБРАЗОВАНИЯ ГОРОД НОВОРОССИЙСК")</f>
        <v>АДМИНИСТРАЦИЯ МУНИЦИПАЛЬНОГО ОБРАЗОВАНИЯ ГОРОД НОВОРОССИЙСК</v>
      </c>
      <c r="B6634" s="24" t="s">
        <v>8600</v>
      </c>
      <c r="C6634" s="25">
        <v>1467123.84</v>
      </c>
      <c r="D6634" s="22" t="s">
        <v>8601</v>
      </c>
      <c r="E6634" s="22" t="s">
        <v>68</v>
      </c>
      <c r="F6634" s="23" t="str">
        <f>HYPERLINK("https://www.spark-marketing.ru/Card/Lot/71257507", "Оказание услуг по охране муниципального имущества в местах массового скопления граждан")</f>
        <v>Оказание услуг по охране муниципального имущества в местах массового скопления граждан</v>
      </c>
      <c r="G6634" s="22" t="s">
        <v>132</v>
      </c>
      <c r="H6634" s="22" t="s">
        <v>452</v>
      </c>
      <c r="I6634" s="26">
        <v>43626.701388888898</v>
      </c>
      <c r="J6634" s="28" t="s">
        <v>52</v>
      </c>
      <c r="K6634" s="28" t="s">
        <v>52</v>
      </c>
      <c r="L6634" s="28" t="s">
        <v>52</v>
      </c>
      <c r="M6634" s="28" t="s">
        <v>52</v>
      </c>
      <c r="N6634" s="28" t="s">
        <v>52</v>
      </c>
    </row>
    <row r="6635" spans="1:14" ht="12.75" hidden="1" outlineLevel="1" x14ac:dyDescent="0.2">
      <c r="A6635" s="23" t="str">
        <f>HYPERLINK("https://www.spark-marketing.ru/Card/Person/14233", "АДМИНИСТРАЦИЯ МУНИЦИПАЛЬНОГО ОБРАЗОВАНИЯ ГОРОД НОВОРОССИЙСК")</f>
        <v>АДМИНИСТРАЦИЯ МУНИЦИПАЛЬНОГО ОБРАЗОВАНИЯ ГОРОД НОВОРОССИЙСК</v>
      </c>
      <c r="B6635" s="24" t="s">
        <v>8600</v>
      </c>
      <c r="C6635" s="25">
        <v>1467123.84</v>
      </c>
      <c r="D6635" s="22" t="s">
        <v>8601</v>
      </c>
      <c r="E6635" s="22" t="s">
        <v>68</v>
      </c>
      <c r="F6635" s="23" t="str">
        <f>HYPERLINK("https://www.spark-marketing.ru/Card/Lot/71257507", "Оказание услуг по охране муниципального имущества в местах массового скопления граждан")</f>
        <v>Оказание услуг по охране муниципального имущества в местах массового скопления граждан</v>
      </c>
      <c r="G6635" s="22" t="s">
        <v>132</v>
      </c>
      <c r="H6635" s="22" t="s">
        <v>452</v>
      </c>
      <c r="I6635" s="26">
        <v>43626.701388888898</v>
      </c>
      <c r="J6635" s="23" t="str">
        <f>HYPERLINK("https://www.spark-marketing.ru/Card/Person/4413368", "ООО ЧОП ""НЕРОН""")</f>
        <v>ООО ЧОП "НЕРОН"</v>
      </c>
      <c r="K6635" s="24" t="s">
        <v>8602</v>
      </c>
      <c r="L6635" s="22" t="s">
        <v>10</v>
      </c>
      <c r="M6635" s="25">
        <v>1181034.6599999999</v>
      </c>
      <c r="N6635" s="27">
        <v>0.19500002126609844</v>
      </c>
    </row>
    <row r="6636" spans="1:14" hidden="1" outlineLevel="1" x14ac:dyDescent="0.2">
      <c r="A6636" s="23" t="str">
        <f>HYPERLINK("https://www.spark-marketing.ru/Card/Person/14233", "АДМИНИСТРАЦИЯ МУНИЦИПАЛЬНОГО ОБРАЗОВАНИЯ ГОРОД НОВОРОССИЙСК")</f>
        <v>АДМИНИСТРАЦИЯ МУНИЦИПАЛЬНОГО ОБРАЗОВАНИЯ ГОРОД НОВОРОССИЙСК</v>
      </c>
      <c r="B6636" s="24" t="s">
        <v>8600</v>
      </c>
      <c r="C6636" s="25">
        <v>1467123.84</v>
      </c>
      <c r="D6636" s="22" t="s">
        <v>8601</v>
      </c>
      <c r="E6636" s="22" t="s">
        <v>68</v>
      </c>
      <c r="F6636" s="23" t="str">
        <f>HYPERLINK("https://www.spark-marketing.ru/Card/Lot/71257507", "Оказание услуг по охране муниципального имущества в местах массового скопления граждан")</f>
        <v>Оказание услуг по охране муниципального имущества в местах массового скопления граждан</v>
      </c>
      <c r="G6636" s="22" t="s">
        <v>132</v>
      </c>
      <c r="H6636" s="22" t="s">
        <v>452</v>
      </c>
      <c r="I6636" s="26">
        <v>43626.701388888898</v>
      </c>
      <c r="J6636" s="23" t="str">
        <f>HYPERLINK("https://www.spark-marketing.ru/Card/Person/16149", "ООО ЧОО ""ОБЕРЕГ-КУБАНЬ""")</f>
        <v>ООО ЧОО "ОБЕРЕГ-КУБАНЬ"</v>
      </c>
      <c r="K6636" s="24" t="s">
        <v>8603</v>
      </c>
      <c r="L6636" s="28" t="s">
        <v>52</v>
      </c>
      <c r="M6636" s="25">
        <v>1188370.28</v>
      </c>
      <c r="N6636" s="27">
        <v>0.19000002072081387</v>
      </c>
    </row>
    <row r="6637" spans="1:14" x14ac:dyDescent="0.15">
      <c r="A6637" s="23" t="str">
        <f>HYPERLINK("https://www.spark-marketing.ru/Card/Person/2717", "ГБУЗ ВО ""ГКБ СМП""")</f>
        <v>ГБУЗ ВО "ГКБ СМП"</v>
      </c>
      <c r="B6637" s="24" t="s">
        <v>8604</v>
      </c>
      <c r="C6637" s="25">
        <v>234660</v>
      </c>
      <c r="D6637" s="22" t="s">
        <v>8605</v>
      </c>
      <c r="E6637" s="22" t="s">
        <v>103</v>
      </c>
      <c r="F6637" s="23" t="str">
        <f>HYPERLINK("https://www.spark-marketing.ru/Card/Lot/71256960", "Оказание услуг по техническому обслуживанию эндоскопического оборудования")</f>
        <v>Оказание услуг по техническому обслуживанию эндоскопического оборудования</v>
      </c>
      <c r="G6637" s="22" t="s">
        <v>145</v>
      </c>
      <c r="H6637" s="22" t="s">
        <v>146</v>
      </c>
      <c r="I6637" s="26">
        <v>43626.675000000003</v>
      </c>
      <c r="J6637" s="28" t="s">
        <v>52</v>
      </c>
      <c r="K6637" s="28" t="s">
        <v>52</v>
      </c>
      <c r="L6637" s="28" t="s">
        <v>52</v>
      </c>
      <c r="M6637" s="28" t="s">
        <v>52</v>
      </c>
      <c r="N6637" s="28" t="s">
        <v>52</v>
      </c>
    </row>
    <row r="6638" spans="1:14" hidden="1" outlineLevel="1" x14ac:dyDescent="0.2">
      <c r="A6638" s="23" t="str">
        <f>HYPERLINK("https://www.spark-marketing.ru/Card/Person/2717", "ГБУЗ ВО ""ГКБ СМП""")</f>
        <v>ГБУЗ ВО "ГКБ СМП"</v>
      </c>
      <c r="B6638" s="24" t="s">
        <v>8604</v>
      </c>
      <c r="C6638" s="25">
        <v>234660</v>
      </c>
      <c r="D6638" s="22" t="s">
        <v>8605</v>
      </c>
      <c r="E6638" s="22" t="s">
        <v>103</v>
      </c>
      <c r="F6638" s="23" t="str">
        <f>HYPERLINK("https://www.spark-marketing.ru/Card/Lot/71256960", "Оказание услуг по техническому обслуживанию эндоскопического оборудования")</f>
        <v>Оказание услуг по техническому обслуживанию эндоскопического оборудования</v>
      </c>
      <c r="G6638" s="22" t="s">
        <v>145</v>
      </c>
      <c r="H6638" s="22" t="s">
        <v>146</v>
      </c>
      <c r="I6638" s="26">
        <v>43626.675000000003</v>
      </c>
      <c r="J6638" s="23" t="str">
        <f>HYPERLINK("https://www.spark-marketing.ru/Card/Person/285230", "ООО ""ТРЦ""")</f>
        <v>ООО "ТРЦ"</v>
      </c>
      <c r="K6638" s="24" t="s">
        <v>8606</v>
      </c>
      <c r="L6638" s="28" t="s">
        <v>52</v>
      </c>
      <c r="M6638" s="25">
        <v>190074.6</v>
      </c>
      <c r="N6638" s="27">
        <v>0.19</v>
      </c>
    </row>
    <row r="6639" spans="1:14" hidden="1" outlineLevel="1" x14ac:dyDescent="0.2">
      <c r="A6639" s="23" t="str">
        <f>HYPERLINK("https://www.spark-marketing.ru/Card/Person/2717", "ГБУЗ ВО ""ГКБ СМП""")</f>
        <v>ГБУЗ ВО "ГКБ СМП"</v>
      </c>
      <c r="B6639" s="24" t="s">
        <v>8604</v>
      </c>
      <c r="C6639" s="25">
        <v>234660</v>
      </c>
      <c r="D6639" s="22" t="s">
        <v>8605</v>
      </c>
      <c r="E6639" s="22" t="s">
        <v>103</v>
      </c>
      <c r="F6639" s="23" t="str">
        <f>HYPERLINK("https://www.spark-marketing.ru/Card/Lot/71256960", "Оказание услуг по техническому обслуживанию эндоскопического оборудования")</f>
        <v>Оказание услуг по техническому обслуживанию эндоскопического оборудования</v>
      </c>
      <c r="G6639" s="22" t="s">
        <v>145</v>
      </c>
      <c r="H6639" s="22" t="s">
        <v>146</v>
      </c>
      <c r="I6639" s="26">
        <v>43626.675000000003</v>
      </c>
      <c r="J6639" s="23" t="str">
        <f>HYPERLINK("https://www.spark-marketing.ru/Card/Person/4351645", "ООО ""ТЕХНОАНАЛИТПРИБОР""")</f>
        <v>ООО "ТЕХНОАНАЛИТПРИБОР"</v>
      </c>
      <c r="K6639" s="24" t="s">
        <v>8607</v>
      </c>
      <c r="L6639" s="28" t="s">
        <v>52</v>
      </c>
      <c r="M6639" s="25">
        <v>149009.1</v>
      </c>
      <c r="N6639" s="27">
        <v>0.36499999999999999</v>
      </c>
    </row>
    <row r="6640" spans="1:14" hidden="1" outlineLevel="1" x14ac:dyDescent="0.2">
      <c r="A6640" s="23" t="str">
        <f>HYPERLINK("https://www.spark-marketing.ru/Card/Person/2717", "ГБУЗ ВО ""ГКБ СМП""")</f>
        <v>ГБУЗ ВО "ГКБ СМП"</v>
      </c>
      <c r="B6640" s="24" t="s">
        <v>8604</v>
      </c>
      <c r="C6640" s="25">
        <v>234660</v>
      </c>
      <c r="D6640" s="22" t="s">
        <v>8605</v>
      </c>
      <c r="E6640" s="22" t="s">
        <v>103</v>
      </c>
      <c r="F6640" s="23" t="str">
        <f>HYPERLINK("https://www.spark-marketing.ru/Card/Lot/71256960", "Оказание услуг по техническому обслуживанию эндоскопического оборудования")</f>
        <v>Оказание услуг по техническому обслуживанию эндоскопического оборудования</v>
      </c>
      <c r="G6640" s="22" t="s">
        <v>145</v>
      </c>
      <c r="H6640" s="22" t="s">
        <v>146</v>
      </c>
      <c r="I6640" s="26">
        <v>43626.675000000003</v>
      </c>
      <c r="J6640" s="23" t="str">
        <f>HYPERLINK("https://www.spark-marketing.ru/Card/Person/53438", "ООО ""МЕДИКА-СЕРВИС""")</f>
        <v>ООО "МЕДИКА-СЕРВИС"</v>
      </c>
      <c r="K6640" s="24" t="s">
        <v>8608</v>
      </c>
      <c r="L6640" s="28" t="s">
        <v>52</v>
      </c>
      <c r="M6640" s="25">
        <v>87997.5</v>
      </c>
      <c r="N6640" s="27">
        <v>0.625</v>
      </c>
    </row>
    <row r="6641" spans="1:14" ht="12.75" hidden="1" outlineLevel="1" x14ac:dyDescent="0.2">
      <c r="A6641" s="23" t="str">
        <f>HYPERLINK("https://www.spark-marketing.ru/Card/Person/2717", "ГБУЗ ВО ""ГКБ СМП""")</f>
        <v>ГБУЗ ВО "ГКБ СМП"</v>
      </c>
      <c r="B6641" s="24" t="s">
        <v>8604</v>
      </c>
      <c r="C6641" s="25">
        <v>234660</v>
      </c>
      <c r="D6641" s="22" t="s">
        <v>8605</v>
      </c>
      <c r="E6641" s="22" t="s">
        <v>103</v>
      </c>
      <c r="F6641" s="23" t="str">
        <f>HYPERLINK("https://www.spark-marketing.ru/Card/Lot/71256960", "Оказание услуг по техническому обслуживанию эндоскопического оборудования")</f>
        <v>Оказание услуг по техническому обслуживанию эндоскопического оборудования</v>
      </c>
      <c r="G6641" s="22" t="s">
        <v>145</v>
      </c>
      <c r="H6641" s="22" t="s">
        <v>146</v>
      </c>
      <c r="I6641" s="26">
        <v>43626.675000000003</v>
      </c>
      <c r="J6641" s="23" t="str">
        <f>HYPERLINK("https://www.spark-marketing.ru/Card/Person/4947453", "ООО ""РМТ""")</f>
        <v>ООО "РМТ"</v>
      </c>
      <c r="K6641" s="24" t="s">
        <v>8609</v>
      </c>
      <c r="L6641" s="22" t="s">
        <v>10</v>
      </c>
      <c r="M6641" s="25">
        <v>86824.2</v>
      </c>
      <c r="N6641" s="27">
        <v>0.63</v>
      </c>
    </row>
    <row r="6642" spans="1:14" x14ac:dyDescent="0.15">
      <c r="A6642" s="23" t="str">
        <f>HYPERLINK("https://www.spark-marketing.ru/Card/Person/4869357", "Автобаза ФГУП ""Почта России""")</f>
        <v>Автобаза ФГУП "Почта России"</v>
      </c>
      <c r="B6642" s="24" t="s">
        <v>1424</v>
      </c>
      <c r="C6642" s="25">
        <v>469912.32000000001</v>
      </c>
      <c r="D6642" s="22" t="s">
        <v>8610</v>
      </c>
      <c r="E6642" s="22" t="s">
        <v>53</v>
      </c>
      <c r="F6642" s="23" t="str">
        <f>HYPERLINK("https://www.spark-marketing.ru/Card/Lot/71249776", "Оказание охранных услуг в Апшеронском районе для нужд Предгорного почтамта УФПС Краснодарского края - филиала ФГУП «Почта России»")</f>
        <v>Оказание охранных услуг в Апшеронском районе для нужд Предгорного почтамта УФПС Краснодарского края - филиала ФГУП «Почта России»</v>
      </c>
      <c r="G6642" s="22" t="s">
        <v>132</v>
      </c>
      <c r="H6642" s="22" t="s">
        <v>132</v>
      </c>
      <c r="I6642" s="26">
        <v>43626.630555555603</v>
      </c>
      <c r="J6642" s="28" t="s">
        <v>52</v>
      </c>
      <c r="K6642" s="28" t="s">
        <v>52</v>
      </c>
      <c r="L6642" s="28" t="s">
        <v>52</v>
      </c>
      <c r="M6642" s="28" t="s">
        <v>52</v>
      </c>
      <c r="N6642" s="28" t="s">
        <v>52</v>
      </c>
    </row>
    <row r="6643" spans="1:14" x14ac:dyDescent="0.15">
      <c r="A6643" s="23" t="str">
        <f>HYPERLINK("https://www.spark-marketing.ru/Card/Person/1781080", "АО ""ПРОМЫШЛЕННЫЕ ИННОВАЦИИ""")</f>
        <v>АО "ПРОМЫШЛЕННЫЕ ИННОВАЦИИ"</v>
      </c>
      <c r="B6643" s="24" t="s">
        <v>6626</v>
      </c>
      <c r="C6643" s="25">
        <v>1317676.8</v>
      </c>
      <c r="D6643" s="22" t="s">
        <v>8611</v>
      </c>
      <c r="E6643" s="22" t="s">
        <v>53</v>
      </c>
      <c r="F6643" s="23" t="str">
        <f>HYPERLINK("https://www.spark-marketing.ru/Card/Lot/71264154", "Право заключения договора на Оказание услуг по круглосуточной вооруженной физической охране объектов: проходной пункт насосной № 1; здание насосной станции № 1; здание камеры переключений насосной № 1; водозаборный ковш насосной № 1; здание ЗРУ 6 кв ...")</f>
        <v>Право заключения договора на Оказание услуг по круглосуточной вооруженной физической охране объектов: проходной пункт насосной № 1; здание насосной станции № 1; здание камеры переключений насосной № 1; водозаборный ковш насосной № 1; здание ЗРУ 6 кв ...</v>
      </c>
      <c r="G6643" s="22" t="s">
        <v>55</v>
      </c>
      <c r="H6643" s="22" t="s">
        <v>55</v>
      </c>
      <c r="I6643" s="26">
        <v>43626.6583680556</v>
      </c>
      <c r="J6643" s="28" t="s">
        <v>52</v>
      </c>
      <c r="K6643" s="28" t="s">
        <v>52</v>
      </c>
      <c r="L6643" s="28" t="s">
        <v>52</v>
      </c>
      <c r="M6643" s="28" t="s">
        <v>52</v>
      </c>
      <c r="N6643" s="28" t="s">
        <v>52</v>
      </c>
    </row>
    <row r="6644" spans="1:14" x14ac:dyDescent="0.15">
      <c r="A6644" s="23" t="str">
        <f>HYPERLINK("https://www.spark-marketing.ru/Card/Person/1016053", "МКОУ ООШ П. ГИРСОВО")</f>
        <v>МКОУ ООШ П. ГИРСОВО</v>
      </c>
      <c r="B6644" s="24" t="s">
        <v>8612</v>
      </c>
      <c r="C6644" s="25">
        <v>170480</v>
      </c>
      <c r="D6644" s="22" t="s">
        <v>8613</v>
      </c>
      <c r="E6644" s="22" t="s">
        <v>59</v>
      </c>
      <c r="F6644" s="23" t="str">
        <f>HYPERLINK("https://www.spark-marketing.ru/Card/Lot/71256927", "Выполнение установки системы видеонаблюдения в МКОУ ООШ п.Гирсово Юрьянского района Кировской области")</f>
        <v>Выполнение установки системы видеонаблюдения в МКОУ ООШ п.Гирсово Юрьянского района Кировской области</v>
      </c>
      <c r="G6644" s="22" t="s">
        <v>556</v>
      </c>
      <c r="H6644" s="22" t="s">
        <v>4720</v>
      </c>
      <c r="I6644" s="26">
        <v>43626.659027777801</v>
      </c>
      <c r="J6644" s="28" t="s">
        <v>52</v>
      </c>
      <c r="K6644" s="28" t="s">
        <v>52</v>
      </c>
      <c r="L6644" s="28" t="s">
        <v>52</v>
      </c>
      <c r="M6644" s="28" t="s">
        <v>52</v>
      </c>
      <c r="N6644" s="28" t="s">
        <v>52</v>
      </c>
    </row>
    <row r="6645" spans="1:14" hidden="1" outlineLevel="1" x14ac:dyDescent="0.2">
      <c r="A6645" s="23" t="str">
        <f>HYPERLINK("https://www.spark-marketing.ru/Card/Person/1016053", "МКОУ ООШ П. ГИРСОВО")</f>
        <v>МКОУ ООШ П. ГИРСОВО</v>
      </c>
      <c r="B6645" s="24" t="s">
        <v>8612</v>
      </c>
      <c r="C6645" s="25">
        <v>170480</v>
      </c>
      <c r="D6645" s="22" t="s">
        <v>8613</v>
      </c>
      <c r="E6645" s="22" t="s">
        <v>59</v>
      </c>
      <c r="F6645" s="23" t="str">
        <f>HYPERLINK("https://www.spark-marketing.ru/Card/Lot/71256927", "Выполнение установки системы видеонаблюдения в МКОУ ООШ п.Гирсово Юрьянского района Кировской области")</f>
        <v>Выполнение установки системы видеонаблюдения в МКОУ ООШ п.Гирсово Юрьянского района Кировской области</v>
      </c>
      <c r="G6645" s="22" t="s">
        <v>556</v>
      </c>
      <c r="H6645" s="22" t="s">
        <v>4720</v>
      </c>
      <c r="I6645" s="26">
        <v>43626.659027777801</v>
      </c>
      <c r="J6645" s="23" t="str">
        <f>HYPERLINK("https://www.spark-marketing.ru/Card/Person/350375", "ООО ЧОО ""ВЯТКА-БЕЗОПАСНОСТЬ""")</f>
        <v>ООО ЧОО "ВЯТКА-БЕЗОПАСНОСТЬ"</v>
      </c>
      <c r="K6645" s="24" t="s">
        <v>8614</v>
      </c>
      <c r="L6645" s="28" t="s">
        <v>52</v>
      </c>
      <c r="M6645" s="25">
        <v>148295.20000000001</v>
      </c>
      <c r="N6645" s="27">
        <v>0.13013139371187235</v>
      </c>
    </row>
    <row r="6646" spans="1:14" hidden="1" outlineLevel="1" x14ac:dyDescent="0.2">
      <c r="A6646" s="23" t="str">
        <f>HYPERLINK("https://www.spark-marketing.ru/Card/Person/1016053", "МКОУ ООШ П. ГИРСОВО")</f>
        <v>МКОУ ООШ П. ГИРСОВО</v>
      </c>
      <c r="B6646" s="24" t="s">
        <v>8612</v>
      </c>
      <c r="C6646" s="25">
        <v>170480</v>
      </c>
      <c r="D6646" s="22" t="s">
        <v>8613</v>
      </c>
      <c r="E6646" s="22" t="s">
        <v>59</v>
      </c>
      <c r="F6646" s="23" t="str">
        <f>HYPERLINK("https://www.spark-marketing.ru/Card/Lot/71256927", "Выполнение установки системы видеонаблюдения в МКОУ ООШ п.Гирсово Юрьянского района Кировской области")</f>
        <v>Выполнение установки системы видеонаблюдения в МКОУ ООШ п.Гирсово Юрьянского района Кировской области</v>
      </c>
      <c r="G6646" s="22" t="s">
        <v>556</v>
      </c>
      <c r="H6646" s="22" t="s">
        <v>4720</v>
      </c>
      <c r="I6646" s="26">
        <v>43626.659027777801</v>
      </c>
      <c r="J6646" s="23" t="str">
        <f>HYPERLINK("https://www.spark-marketing.ru/Card/Person/6516495", "ООО ""СТРОЙМАСТЕР""")</f>
        <v>ООО "СТРОЙМАСТЕР"</v>
      </c>
      <c r="K6646" s="24" t="s">
        <v>8615</v>
      </c>
      <c r="L6646" s="28" t="s">
        <v>52</v>
      </c>
      <c r="M6646" s="25">
        <v>134147.6</v>
      </c>
      <c r="N6646" s="27">
        <v>0.21311825434068513</v>
      </c>
    </row>
    <row r="6647" spans="1:14" ht="12.75" hidden="1" outlineLevel="1" x14ac:dyDescent="0.2">
      <c r="A6647" s="23" t="str">
        <f>HYPERLINK("https://www.spark-marketing.ru/Card/Person/1016053", "МКОУ ООШ П. ГИРСОВО")</f>
        <v>МКОУ ООШ П. ГИРСОВО</v>
      </c>
      <c r="B6647" s="24" t="s">
        <v>8612</v>
      </c>
      <c r="C6647" s="25">
        <v>170480</v>
      </c>
      <c r="D6647" s="22" t="s">
        <v>8613</v>
      </c>
      <c r="E6647" s="22" t="s">
        <v>59</v>
      </c>
      <c r="F6647" s="23" t="str">
        <f>HYPERLINK("https://www.spark-marketing.ru/Card/Lot/71256927", "Выполнение установки системы видеонаблюдения в МКОУ ООШ п.Гирсово Юрьянского района Кировской области")</f>
        <v>Выполнение установки системы видеонаблюдения в МКОУ ООШ п.Гирсово Юрьянского района Кировской области</v>
      </c>
      <c r="G6647" s="22" t="s">
        <v>556</v>
      </c>
      <c r="H6647" s="22" t="s">
        <v>4720</v>
      </c>
      <c r="I6647" s="26">
        <v>43626.659027777801</v>
      </c>
      <c r="J6647" s="23" t="str">
        <f>HYPERLINK("https://www.spark-marketing.ru/Card/Person/4894835", "ООО ""ВИТОР""")</f>
        <v>ООО "ВИТОР"</v>
      </c>
      <c r="K6647" s="24" t="s">
        <v>8616</v>
      </c>
      <c r="L6647" s="22" t="s">
        <v>10</v>
      </c>
      <c r="M6647" s="25">
        <v>130000</v>
      </c>
      <c r="N6647" s="27">
        <v>0.23744720788362272</v>
      </c>
    </row>
    <row r="6648" spans="1:14" x14ac:dyDescent="0.15">
      <c r="A6648" s="23" t="str">
        <f>HYPERLINK("https://www.spark-marketing.ru/Card/Person/1597231", "АО ""ВНИИАЭС""")</f>
        <v>АО "ВНИИАЭС"</v>
      </c>
      <c r="B6648" s="24" t="s">
        <v>8617</v>
      </c>
      <c r="C6648" s="28" t="s">
        <v>52</v>
      </c>
      <c r="D6648" s="22" t="s">
        <v>8618</v>
      </c>
      <c r="E6648" s="22" t="s">
        <v>53</v>
      </c>
      <c r="F6648" s="23" t="str">
        <f>HYPERLINK("https://www.spark-marketing.ru/Card/Lot/71253416", "Мониторинг рынка цен на ""Оказание охранных услуг"" (1273471)")</f>
        <v>Мониторинг рынка цен на "Оказание охранных услуг" (1273471)</v>
      </c>
      <c r="G6648" s="22" t="s">
        <v>55</v>
      </c>
      <c r="H6648" s="22" t="s">
        <v>55</v>
      </c>
      <c r="I6648" s="26">
        <v>43626.621689814798</v>
      </c>
      <c r="J6648" s="28" t="s">
        <v>52</v>
      </c>
      <c r="K6648" s="28" t="s">
        <v>52</v>
      </c>
      <c r="L6648" s="28" t="s">
        <v>52</v>
      </c>
      <c r="M6648" s="28" t="s">
        <v>52</v>
      </c>
      <c r="N6648" s="28" t="s">
        <v>52</v>
      </c>
    </row>
    <row r="6649" spans="1:14" x14ac:dyDescent="0.15">
      <c r="A6649" s="23" t="str">
        <f>HYPERLINK("https://www.spark-marketing.ru/Card/Person/1597231", "АО ""ВНИИАЭС""")</f>
        <v>АО "ВНИИАЭС"</v>
      </c>
      <c r="B6649" s="24" t="s">
        <v>8617</v>
      </c>
      <c r="C6649" s="25">
        <v>0</v>
      </c>
      <c r="D6649" s="22" t="s">
        <v>8619</v>
      </c>
      <c r="E6649" s="22" t="s">
        <v>53</v>
      </c>
      <c r="F6649" s="23" t="str">
        <f>HYPERLINK("https://www.spark-marketing.ru/Card/Lot/71264594", "мониторинг цен в электронной форме на Мониторинг рынка цен на ""Оказание охранных услуг""")</f>
        <v>мониторинг цен в электронной форме на Мониторинг рынка цен на "Оказание охранных услуг"</v>
      </c>
      <c r="G6649" s="22" t="s">
        <v>55</v>
      </c>
      <c r="H6649" s="22" t="s">
        <v>55</v>
      </c>
      <c r="I6649" s="26">
        <v>43626.545787037001</v>
      </c>
      <c r="J6649" s="28" t="s">
        <v>52</v>
      </c>
      <c r="K6649" s="28" t="s">
        <v>52</v>
      </c>
      <c r="L6649" s="28" t="s">
        <v>52</v>
      </c>
      <c r="M6649" s="28" t="s">
        <v>52</v>
      </c>
      <c r="N6649" s="28" t="s">
        <v>52</v>
      </c>
    </row>
    <row r="6650" spans="1:14" x14ac:dyDescent="0.2">
      <c r="A6650" s="23" t="str">
        <f>HYPERLINK("https://www.spark-marketing.ru/Card/Person/930849", "АО ""ЮГОРСКИЙ ЛЕСОПРОМЫШЛЕННЫЙ ХОЛДИНГ""")</f>
        <v>АО "ЮГОРСКИЙ ЛЕСОПРОМЫШЛЕННЫЙ ХОЛДИНГ"</v>
      </c>
      <c r="B6650" s="24" t="s">
        <v>8620</v>
      </c>
      <c r="C6650" s="25">
        <v>400000</v>
      </c>
      <c r="D6650" s="22" t="s">
        <v>8621</v>
      </c>
      <c r="E6650" s="22" t="s">
        <v>8622</v>
      </c>
      <c r="F6650" s="23" t="str">
        <f>HYPERLINK("https://www.spark-marketing.ru/Card/Lot/71237531", "Выполнение работ по прокладке волоконно-оптической линии связи и монтажу камер видеонаблюдения с коммутационными шкафами. Установка дополнительных опор")</f>
        <v>Выполнение работ по прокладке волоконно-оптической линии связи и монтажу камер видеонаблюдения с коммутационными шкафами. Установка дополнительных опор</v>
      </c>
      <c r="G6650" s="22" t="s">
        <v>119</v>
      </c>
      <c r="H6650" s="22" t="s">
        <v>2563</v>
      </c>
      <c r="I6650" s="26">
        <v>43626.549768518496</v>
      </c>
      <c r="J6650" s="28" t="s">
        <v>52</v>
      </c>
      <c r="K6650" s="28" t="s">
        <v>52</v>
      </c>
      <c r="L6650" s="22" t="s">
        <v>10</v>
      </c>
      <c r="M6650" s="25">
        <v>310000</v>
      </c>
      <c r="N6650" s="27">
        <v>0.22500000000000001</v>
      </c>
    </row>
    <row r="6651" spans="1:14" ht="12.75" x14ac:dyDescent="0.2">
      <c r="A6651" s="23" t="str">
        <f>HYPERLINK("https://www.spark-marketing.ru/Card/Person/123293", "ЛОГП ""ЛЕНФАРМ""")</f>
        <v>ЛОГП "ЛЕНФАРМ"</v>
      </c>
      <c r="B6651" s="24" t="s">
        <v>8623</v>
      </c>
      <c r="C6651" s="25">
        <v>102916.98</v>
      </c>
      <c r="D6651" s="22" t="s">
        <v>8624</v>
      </c>
      <c r="E6651" s="22" t="s">
        <v>144</v>
      </c>
      <c r="F6651" s="23" t="str">
        <f>HYPERLINK("https://www.spark-marketing.ru/Card/Lot/71242311", "Оказание услуг по техническому обслуживанию комплекса технических средств охраны аптек ЛОГП «Ленфарм»")</f>
        <v>Оказание услуг по техническому обслуживанию комплекса технических средств охраны аптек ЛОГП «Ленфарм»</v>
      </c>
      <c r="G6651" s="22" t="s">
        <v>89</v>
      </c>
      <c r="H6651" s="22" t="s">
        <v>89</v>
      </c>
      <c r="I6651" s="26">
        <v>43626.549317129597</v>
      </c>
      <c r="J6651" s="23" t="str">
        <f>HYPERLINK("https://www.spark-marketing.ru/Card/Person/10487", "ФГУП ""ОХРАНА"" РОСГВАРДИИ")</f>
        <v>ФГУП "ОХРАНА" РОСГВАРДИИ</v>
      </c>
      <c r="K6651" s="24" t="s">
        <v>779</v>
      </c>
      <c r="L6651" s="22" t="s">
        <v>10</v>
      </c>
      <c r="M6651" s="25">
        <v>102916.98</v>
      </c>
      <c r="N6651" s="27">
        <v>0</v>
      </c>
    </row>
    <row r="6652" spans="1:14" x14ac:dyDescent="0.15">
      <c r="A6652" s="23" t="str">
        <f>HYPERLINK("https://www.spark-marketing.ru/Card/Person/38899", "КГУ ИМ. К.Э. ЦИОЛКОВСКОГО, КАЛУЖСКИЙ ГОСУДАРСТВЕННЫЙ УНИВЕРСИТЕТ ИМ. К.Э. ЦИОЛКОВСКОГО")</f>
        <v>КГУ ИМ. К.Э. ЦИОЛКОВСКОГО, КАЛУЖСКИЙ ГОСУДАРСТВЕННЫЙ УНИВЕРСИТЕТ ИМ. К.Э. ЦИОЛКОВСКОГО</v>
      </c>
      <c r="B6652" s="24" t="s">
        <v>4412</v>
      </c>
      <c r="C6652" s="25">
        <v>322781</v>
      </c>
      <c r="D6652" s="22" t="s">
        <v>8625</v>
      </c>
      <c r="E6652" s="22" t="s">
        <v>84</v>
      </c>
      <c r="F6652" s="23" t="str">
        <f>HYPERLINK("https://www.spark-marketing.ru/Card/Lot/71241026", "Монтаж, установка, сборка систем видеонаблюдения, 1 шт")</f>
        <v>Монтаж, установка, сборка систем видеонаблюдения, 1 шт</v>
      </c>
      <c r="G6652" s="22" t="s">
        <v>658</v>
      </c>
      <c r="H6652" s="22" t="s">
        <v>741</v>
      </c>
      <c r="I6652" s="26">
        <v>43626.5474189815</v>
      </c>
      <c r="J6652" s="28" t="s">
        <v>52</v>
      </c>
      <c r="K6652" s="28" t="s">
        <v>52</v>
      </c>
      <c r="L6652" s="28" t="s">
        <v>52</v>
      </c>
      <c r="M6652" s="28" t="s">
        <v>52</v>
      </c>
      <c r="N6652" s="28" t="s">
        <v>52</v>
      </c>
    </row>
    <row r="6653" spans="1:14" x14ac:dyDescent="0.15">
      <c r="A6653" s="23" t="str">
        <f>HYPERLINK("https://www.spark-marketing.ru/Card/Person/101288", "МОСГОРСТАТ")</f>
        <v>МОСГОРСТАТ</v>
      </c>
      <c r="B6653" s="24" t="s">
        <v>7082</v>
      </c>
      <c r="C6653" s="25">
        <v>20331.36</v>
      </c>
      <c r="D6653" s="22" t="s">
        <v>8626</v>
      </c>
      <c r="E6653" s="22" t="s">
        <v>53</v>
      </c>
      <c r="F6653" s="23" t="str">
        <f>HYPERLINK("https://www.spark-marketing.ru/Card/Lot/71239903", "Оказание охранных услуг на объекте клиента")</f>
        <v>Оказание охранных услуг на объекте клиента</v>
      </c>
      <c r="G6653" s="22" t="s">
        <v>55</v>
      </c>
      <c r="H6653" s="22" t="s">
        <v>55</v>
      </c>
      <c r="I6653" s="26">
        <v>43626.512523148202</v>
      </c>
      <c r="J6653" s="28" t="s">
        <v>52</v>
      </c>
      <c r="K6653" s="28" t="s">
        <v>52</v>
      </c>
      <c r="L6653" s="28" t="s">
        <v>52</v>
      </c>
      <c r="M6653" s="28" t="s">
        <v>52</v>
      </c>
      <c r="N6653" s="28" t="s">
        <v>52</v>
      </c>
    </row>
    <row r="6654" spans="1:14" x14ac:dyDescent="0.15">
      <c r="A6654" s="23" t="str">
        <f>HYPERLINK("https://www.spark-marketing.ru/Card/Person/1027113", "МАДОУ № 38")</f>
        <v>МАДОУ № 38</v>
      </c>
      <c r="B6654" s="24" t="s">
        <v>6708</v>
      </c>
      <c r="C6654" s="25">
        <v>1416752.6</v>
      </c>
      <c r="D6654" s="22" t="s">
        <v>8627</v>
      </c>
      <c r="E6654" s="22" t="s">
        <v>49</v>
      </c>
      <c r="F6654" s="23" t="str">
        <f>HYPERLINK("https://www.spark-marketing.ru/Card/Lot/71236068", "установка охранной сигнализации с выводом сигнала «Тревога» на ПЦО ОВО")</f>
        <v>установка охранной сигнализации с выводом сигнала «Тревога» на ПЦО ОВО</v>
      </c>
      <c r="G6654" s="22" t="s">
        <v>72</v>
      </c>
      <c r="H6654" s="22" t="s">
        <v>72</v>
      </c>
      <c r="I6654" s="26">
        <v>43626.505312499998</v>
      </c>
      <c r="J6654" s="28" t="s">
        <v>52</v>
      </c>
      <c r="K6654" s="28" t="s">
        <v>52</v>
      </c>
      <c r="L6654" s="28" t="s">
        <v>52</v>
      </c>
      <c r="M6654" s="28" t="s">
        <v>52</v>
      </c>
      <c r="N6654" s="28" t="s">
        <v>52</v>
      </c>
    </row>
    <row r="6655" spans="1:14" x14ac:dyDescent="0.15">
      <c r="A6655" s="23" t="str">
        <f>HYPERLINK("https://www.spark-marketing.ru/Card/Person/269640", "АДМИНИСТРАЦИЯ УСТАНСКОГО СЕЛЬСОВЕТА")</f>
        <v>АДМИНИСТРАЦИЯ УСТАНСКОГО СЕЛЬСОВЕТА</v>
      </c>
      <c r="B6655" s="24" t="s">
        <v>8628</v>
      </c>
      <c r="C6655" s="25">
        <v>134931.6</v>
      </c>
      <c r="D6655" s="22" t="s">
        <v>8629</v>
      </c>
      <c r="E6655" s="22" t="s">
        <v>84</v>
      </c>
      <c r="F6655" s="23" t="str">
        <f>HYPERLINK("https://www.spark-marketing.ru/Card/Lot/71246170", "Установка Wi-Fi и видеонаблюдения на центральной площади посёлка Уста Уренского муниципального района Нижегородской области в рамках программы ""Формирование комфортной городской среды""")</f>
        <v>Установка Wi-Fi и видеонаблюдения на центральной площади посёлка Уста Уренского муниципального района Нижегородской области в рамках программы "Формирование комфортной городской среды"</v>
      </c>
      <c r="G6655" s="22" t="s">
        <v>64</v>
      </c>
      <c r="H6655" s="22" t="s">
        <v>8630</v>
      </c>
      <c r="I6655" s="26">
        <v>43626.500694444403</v>
      </c>
      <c r="J6655" s="28" t="s">
        <v>52</v>
      </c>
      <c r="K6655" s="28" t="s">
        <v>52</v>
      </c>
      <c r="L6655" s="28" t="s">
        <v>52</v>
      </c>
      <c r="M6655" s="28" t="s">
        <v>52</v>
      </c>
      <c r="N6655" s="28" t="s">
        <v>52</v>
      </c>
    </row>
    <row r="6656" spans="1:14" ht="12.75" hidden="1" outlineLevel="1" x14ac:dyDescent="0.2">
      <c r="A6656" s="23" t="str">
        <f>HYPERLINK("https://www.spark-marketing.ru/Card/Person/269640", "АДМИНИСТРАЦИЯ УСТАНСКОГО СЕЛЬСОВЕТА")</f>
        <v>АДМИНИСТРАЦИЯ УСТАНСКОГО СЕЛЬСОВЕТА</v>
      </c>
      <c r="B6656" s="24" t="s">
        <v>8628</v>
      </c>
      <c r="C6656" s="25">
        <v>134931.6</v>
      </c>
      <c r="D6656" s="22" t="s">
        <v>8629</v>
      </c>
      <c r="E6656" s="22" t="s">
        <v>84</v>
      </c>
      <c r="F6656" s="23" t="str">
        <f>HYPERLINK("https://www.spark-marketing.ru/Card/Lot/71246170", "Установка Wi-Fi и видеонаблюдения на центральной площади посёлка Уста Уренского муниципального района Нижегородской области в рамках программы ""Формирование комфортной городской среды""")</f>
        <v>Установка Wi-Fi и видеонаблюдения на центральной площади посёлка Уста Уренского муниципального района Нижегородской области в рамках программы "Формирование комфортной городской среды"</v>
      </c>
      <c r="G6656" s="22" t="s">
        <v>64</v>
      </c>
      <c r="H6656" s="22" t="s">
        <v>8630</v>
      </c>
      <c r="I6656" s="26">
        <v>43626.500694444403</v>
      </c>
      <c r="J6656" s="23" t="str">
        <f>HYPERLINK("https://www.spark-marketing.ru/Card/Person/10991", "ПАО ""РОСТЕЛЕКОМ""")</f>
        <v>ПАО "РОСТЕЛЕКОМ"</v>
      </c>
      <c r="K6656" s="24" t="s">
        <v>607</v>
      </c>
      <c r="L6656" s="22" t="s">
        <v>10</v>
      </c>
      <c r="M6656" s="25">
        <v>118065.1</v>
      </c>
      <c r="N6656" s="27">
        <v>0.12500037055811983</v>
      </c>
    </row>
    <row r="6657" spans="1:14" hidden="1" outlineLevel="1" x14ac:dyDescent="0.2">
      <c r="A6657" s="23" t="str">
        <f>HYPERLINK("https://www.spark-marketing.ru/Card/Person/269640", "АДМИНИСТРАЦИЯ УСТАНСКОГО СЕЛЬСОВЕТА")</f>
        <v>АДМИНИСТРАЦИЯ УСТАНСКОГО СЕЛЬСОВЕТА</v>
      </c>
      <c r="B6657" s="24" t="s">
        <v>8628</v>
      </c>
      <c r="C6657" s="25">
        <v>134931.6</v>
      </c>
      <c r="D6657" s="22" t="s">
        <v>8629</v>
      </c>
      <c r="E6657" s="22" t="s">
        <v>84</v>
      </c>
      <c r="F6657" s="23" t="str">
        <f>HYPERLINK("https://www.spark-marketing.ru/Card/Lot/71246170", "Установка Wi-Fi и видеонаблюдения на центральной площади посёлка Уста Уренского муниципального района Нижегородской области в рамках программы ""Формирование комфортной городской среды""")</f>
        <v>Установка Wi-Fi и видеонаблюдения на центральной площади посёлка Уста Уренского муниципального района Нижегородской области в рамках программы "Формирование комфортной городской среды"</v>
      </c>
      <c r="G6657" s="22" t="s">
        <v>64</v>
      </c>
      <c r="H6657" s="22" t="s">
        <v>8630</v>
      </c>
      <c r="I6657" s="26">
        <v>43626.500694444403</v>
      </c>
      <c r="J6657" s="23" t="str">
        <f>HYPERLINK("https://www.spark-marketing.ru/Card/Person/6400143", "Червяков Дмитрий Александрович")</f>
        <v>Червяков Дмитрий Александрович</v>
      </c>
      <c r="K6657" s="24" t="s">
        <v>8631</v>
      </c>
      <c r="L6657" s="28" t="s">
        <v>52</v>
      </c>
      <c r="M6657" s="25">
        <v>118739.75</v>
      </c>
      <c r="N6657" s="27">
        <v>0.12000042984741899</v>
      </c>
    </row>
    <row r="6658" spans="1:14" x14ac:dyDescent="0.15">
      <c r="A6658" s="23" t="str">
        <f>HYPERLINK("https://www.spark-marketing.ru/Card/Person/169735", "БОЛГАРСКИЙ ГОРОДСКОЙ ИСПОЛНИТЕЛЬНЫЙ КОМИТЕТ")</f>
        <v>БОЛГАРСКИЙ ГОРОДСКОЙ ИСПОЛНИТЕЛЬНЫЙ КОМИТЕТ</v>
      </c>
      <c r="B6658" s="24" t="s">
        <v>8632</v>
      </c>
      <c r="C6658" s="25">
        <v>350000.4</v>
      </c>
      <c r="D6658" s="22" t="s">
        <v>8633</v>
      </c>
      <c r="E6658" s="22" t="s">
        <v>84</v>
      </c>
      <c r="F6658" s="23" t="str">
        <f>HYPERLINK("https://www.spark-marketing.ru/Card/Lot/71246951", "Выполнение работ по установке видеокамер в г. Болгар (ул.Дзержинского-ул.Вертынская), (ул.Горького-ул.Гордеева) Спасского муниципального района Республики Татарстан")</f>
        <v>Выполнение работ по установке видеокамер в г. Болгар (ул.Дзержинского-ул.Вертынская), (ул.Горького-ул.Гордеева) Спасского муниципального района Республики Татарстан</v>
      </c>
      <c r="G6658" s="22" t="s">
        <v>204</v>
      </c>
      <c r="H6658" s="22" t="s">
        <v>720</v>
      </c>
      <c r="I6658" s="26">
        <v>43626.474999999999</v>
      </c>
      <c r="J6658" s="23" t="str">
        <f>HYPERLINK("https://www.spark-marketing.ru/Card/Person/1129138", "ООО ""ПАРИТЕК""")</f>
        <v>ООО "ПАРИТЕК"</v>
      </c>
      <c r="K6658" s="24" t="s">
        <v>8634</v>
      </c>
      <c r="L6658" s="22" t="s">
        <v>10</v>
      </c>
      <c r="M6658" s="28" t="s">
        <v>52</v>
      </c>
      <c r="N6658" s="28" t="s">
        <v>52</v>
      </c>
    </row>
    <row r="6659" spans="1:14" x14ac:dyDescent="0.15">
      <c r="A6659" s="23" t="str">
        <f>HYPERLINK("https://www.spark-marketing.ru/Card/Person/114798", "АРБИТРАЖНЫЙ СУД КИРОВСКОЙ ОБЛАСТИ")</f>
        <v>АРБИТРАЖНЫЙ СУД КИРОВСКОЙ ОБЛАСТИ</v>
      </c>
      <c r="B6659" s="24" t="s">
        <v>3202</v>
      </c>
      <c r="C6659" s="25">
        <v>878348.1</v>
      </c>
      <c r="D6659" s="22" t="s">
        <v>8635</v>
      </c>
      <c r="E6659" s="22" t="s">
        <v>68</v>
      </c>
      <c r="F6659" s="23" t="str">
        <f>HYPERLINK("https://www.spark-marketing.ru/Card/Lot/71248361", "Оказание услуг по охране объектов")</f>
        <v>Оказание услуг по охране объектов</v>
      </c>
      <c r="G6659" s="22" t="s">
        <v>556</v>
      </c>
      <c r="H6659" s="22" t="s">
        <v>557</v>
      </c>
      <c r="I6659" s="26">
        <v>43626.488194444399</v>
      </c>
      <c r="J6659" s="28" t="s">
        <v>52</v>
      </c>
      <c r="K6659" s="28" t="s">
        <v>52</v>
      </c>
      <c r="L6659" s="28" t="s">
        <v>52</v>
      </c>
      <c r="M6659" s="28" t="s">
        <v>52</v>
      </c>
      <c r="N6659" s="28" t="s">
        <v>52</v>
      </c>
    </row>
    <row r="6660" spans="1:14" ht="12.75" hidden="1" outlineLevel="1" x14ac:dyDescent="0.2">
      <c r="A6660" s="23" t="str">
        <f>HYPERLINK("https://www.spark-marketing.ru/Card/Person/114798", "АРБИТРАЖНЫЙ СУД КИРОВСКОЙ ОБЛАСТИ")</f>
        <v>АРБИТРАЖНЫЙ СУД КИРОВСКОЙ ОБЛАСТИ</v>
      </c>
      <c r="B6660" s="24" t="s">
        <v>3202</v>
      </c>
      <c r="C6660" s="25">
        <v>878348.1</v>
      </c>
      <c r="D6660" s="22" t="s">
        <v>8635</v>
      </c>
      <c r="E6660" s="22" t="s">
        <v>68</v>
      </c>
      <c r="F6660" s="23" t="str">
        <f>HYPERLINK("https://www.spark-marketing.ru/Card/Lot/71248361", "Оказание услуг по охране объектов")</f>
        <v>Оказание услуг по охране объектов</v>
      </c>
      <c r="G6660" s="22" t="s">
        <v>556</v>
      </c>
      <c r="H6660" s="22" t="s">
        <v>557</v>
      </c>
      <c r="I6660" s="26">
        <v>43626.488194444399</v>
      </c>
      <c r="J6660" s="23" t="str">
        <f>HYPERLINK("https://www.spark-marketing.ru/Card/Person/10487", "ФГУП ""ОХРАНА"" РОСГВАРДИИ")</f>
        <v>ФГУП "ОХРАНА" РОСГВАРДИИ</v>
      </c>
      <c r="K6660" s="24" t="s">
        <v>779</v>
      </c>
      <c r="L6660" s="22" t="s">
        <v>10</v>
      </c>
      <c r="M6660" s="25">
        <v>860781.14</v>
      </c>
      <c r="N6660" s="27">
        <v>1.9999997722998434E-2</v>
      </c>
    </row>
    <row r="6661" spans="1:14" hidden="1" outlineLevel="1" x14ac:dyDescent="0.2">
      <c r="A6661" s="23" t="str">
        <f>HYPERLINK("https://www.spark-marketing.ru/Card/Person/114798", "АРБИТРАЖНЫЙ СУД КИРОВСКОЙ ОБЛАСТИ")</f>
        <v>АРБИТРАЖНЫЙ СУД КИРОВСКОЙ ОБЛАСТИ</v>
      </c>
      <c r="B6661" s="24" t="s">
        <v>3202</v>
      </c>
      <c r="C6661" s="25">
        <v>878348.1</v>
      </c>
      <c r="D6661" s="22" t="s">
        <v>8635</v>
      </c>
      <c r="E6661" s="22" t="s">
        <v>68</v>
      </c>
      <c r="F6661" s="23" t="str">
        <f>HYPERLINK("https://www.spark-marketing.ru/Card/Lot/71248361", "Оказание услуг по охране объектов")</f>
        <v>Оказание услуг по охране объектов</v>
      </c>
      <c r="G6661" s="22" t="s">
        <v>556</v>
      </c>
      <c r="H6661" s="22" t="s">
        <v>557</v>
      </c>
      <c r="I6661" s="26">
        <v>43626.488194444399</v>
      </c>
      <c r="J6661" s="23" t="str">
        <f>HYPERLINK("https://www.spark-marketing.ru/Card/Person/666553", "ФГП ВО ЖДТ РОССИИ")</f>
        <v>ФГП ВО ЖДТ РОССИИ</v>
      </c>
      <c r="K6661" s="24" t="s">
        <v>1269</v>
      </c>
      <c r="L6661" s="28" t="s">
        <v>52</v>
      </c>
      <c r="M6661" s="25">
        <v>865172.88</v>
      </c>
      <c r="N6661" s="27">
        <v>1.4999998292248825E-2</v>
      </c>
    </row>
    <row r="6662" spans="1:14" x14ac:dyDescent="0.15">
      <c r="A6662" s="23" t="str">
        <f>HYPERLINK("https://www.spark-marketing.ru/Card/Person/1006631", "МОУ ""СОШ № 3""")</f>
        <v>МОУ "СОШ № 3"</v>
      </c>
      <c r="B6662" s="24" t="s">
        <v>8636</v>
      </c>
      <c r="C6662" s="25">
        <v>182377.51</v>
      </c>
      <c r="D6662" s="22" t="s">
        <v>8637</v>
      </c>
      <c r="E6662" s="22" t="s">
        <v>8638</v>
      </c>
      <c r="F6662" s="23" t="str">
        <f>HYPERLINK("https://www.spark-marketing.ru/Card/Lot/71228180", "Поставка системы уличного видеонаблюдения и ее установка на территории МОУ «СОШ №3» в соответствии с техническим заданием Заказчика")</f>
        <v>Поставка системы уличного видеонаблюдения и ее установка на территории МОУ «СОШ №3» в соответствии с техническим заданием Заказчика</v>
      </c>
      <c r="G6662" s="22" t="s">
        <v>150</v>
      </c>
      <c r="H6662" s="22" t="s">
        <v>4855</v>
      </c>
      <c r="I6662" s="26">
        <v>43626.458333333299</v>
      </c>
      <c r="J6662" s="28" t="s">
        <v>52</v>
      </c>
      <c r="K6662" s="28" t="s">
        <v>52</v>
      </c>
      <c r="L6662" s="28" t="s">
        <v>52</v>
      </c>
      <c r="M6662" s="28" t="s">
        <v>52</v>
      </c>
      <c r="N6662" s="28" t="s">
        <v>52</v>
      </c>
    </row>
    <row r="6663" spans="1:14" ht="12.75" hidden="1" outlineLevel="1" x14ac:dyDescent="0.2">
      <c r="A6663" s="23" t="str">
        <f>HYPERLINK("https://www.spark-marketing.ru/Card/Person/1006631", "МОУ ""СОШ № 3""")</f>
        <v>МОУ "СОШ № 3"</v>
      </c>
      <c r="B6663" s="24" t="s">
        <v>8636</v>
      </c>
      <c r="C6663" s="25">
        <v>182377.51</v>
      </c>
      <c r="D6663" s="22" t="s">
        <v>8637</v>
      </c>
      <c r="E6663" s="22" t="s">
        <v>8638</v>
      </c>
      <c r="F6663" s="23" t="str">
        <f>HYPERLINK("https://www.spark-marketing.ru/Card/Lot/71228180", "Поставка системы уличного видеонаблюдения и ее установка на территории МОУ «СОШ №3» в соответствии с техническим заданием Заказчика")</f>
        <v>Поставка системы уличного видеонаблюдения и ее установка на территории МОУ «СОШ №3» в соответствии с техническим заданием Заказчика</v>
      </c>
      <c r="G6663" s="22" t="s">
        <v>150</v>
      </c>
      <c r="H6663" s="22" t="s">
        <v>4855</v>
      </c>
      <c r="I6663" s="26">
        <v>43626.458333333299</v>
      </c>
      <c r="J6663" s="23" t="str">
        <f>HYPERLINK("https://www.spark-marketing.ru/Card/Person/447752", "ООО ""АЛТАЙ СБ""")</f>
        <v>ООО "АЛТАЙ СБ"</v>
      </c>
      <c r="K6663" s="24" t="s">
        <v>2654</v>
      </c>
      <c r="L6663" s="22" t="s">
        <v>10</v>
      </c>
      <c r="M6663" s="25">
        <v>152232</v>
      </c>
      <c r="N6663" s="27">
        <v>0.16529181695703599</v>
      </c>
    </row>
    <row r="6664" spans="1:14" hidden="1" outlineLevel="1" x14ac:dyDescent="0.2">
      <c r="A6664" s="23" t="str">
        <f>HYPERLINK("https://www.spark-marketing.ru/Card/Person/1006631", "МОУ ""СОШ № 3""")</f>
        <v>МОУ "СОШ № 3"</v>
      </c>
      <c r="B6664" s="24" t="s">
        <v>8636</v>
      </c>
      <c r="C6664" s="25">
        <v>182377.51</v>
      </c>
      <c r="D6664" s="22" t="s">
        <v>8637</v>
      </c>
      <c r="E6664" s="22" t="s">
        <v>8638</v>
      </c>
      <c r="F6664" s="23" t="str">
        <f>HYPERLINK("https://www.spark-marketing.ru/Card/Lot/71228180", "Поставка системы уличного видеонаблюдения и ее установка на территории МОУ «СОШ №3» в соответствии с техническим заданием Заказчика")</f>
        <v>Поставка системы уличного видеонаблюдения и ее установка на территории МОУ «СОШ №3» в соответствии с техническим заданием Заказчика</v>
      </c>
      <c r="G6664" s="22" t="s">
        <v>150</v>
      </c>
      <c r="H6664" s="22" t="s">
        <v>4855</v>
      </c>
      <c r="I6664" s="26">
        <v>43626.458333333299</v>
      </c>
      <c r="J6664" s="23" t="str">
        <f>HYPERLINK("https://www.spark-marketing.ru/Card/Person/66466", "ООО ""ЧОП ""АРГУС-ТОМСК""")</f>
        <v>ООО "ЧОП "АРГУС-ТОМСК"</v>
      </c>
      <c r="K6664" s="24" t="s">
        <v>8639</v>
      </c>
      <c r="L6664" s="28" t="s">
        <v>52</v>
      </c>
      <c r="M6664" s="25">
        <v>155880</v>
      </c>
      <c r="N6664" s="27">
        <v>0.14528935064416659</v>
      </c>
    </row>
    <row r="6665" spans="1:14" hidden="1" outlineLevel="1" x14ac:dyDescent="0.2">
      <c r="A6665" s="23" t="str">
        <f>HYPERLINK("https://www.spark-marketing.ru/Card/Person/1006631", "МОУ ""СОШ № 3""")</f>
        <v>МОУ "СОШ № 3"</v>
      </c>
      <c r="B6665" s="24" t="s">
        <v>8636</v>
      </c>
      <c r="C6665" s="25">
        <v>182377.51</v>
      </c>
      <c r="D6665" s="22" t="s">
        <v>8637</v>
      </c>
      <c r="E6665" s="22" t="s">
        <v>8638</v>
      </c>
      <c r="F6665" s="23" t="str">
        <f>HYPERLINK("https://www.spark-marketing.ru/Card/Lot/71228180", "Поставка системы уличного видеонаблюдения и ее установка на территории МОУ «СОШ №3» в соответствии с техническим заданием Заказчика")</f>
        <v>Поставка системы уличного видеонаблюдения и ее установка на территории МОУ «СОШ №3» в соответствии с техническим заданием Заказчика</v>
      </c>
      <c r="G6665" s="22" t="s">
        <v>150</v>
      </c>
      <c r="H6665" s="22" t="s">
        <v>4855</v>
      </c>
      <c r="I6665" s="26">
        <v>43626.458333333299</v>
      </c>
      <c r="J6665" s="23" t="str">
        <f>HYPERLINK("https://www.spark-marketing.ru/Card/Person/530947", "ООО ""ТЕРРА""")</f>
        <v>ООО "ТЕРРА"</v>
      </c>
      <c r="K6665" s="24" t="s">
        <v>8640</v>
      </c>
      <c r="L6665" s="28" t="s">
        <v>52</v>
      </c>
      <c r="M6665" s="25">
        <v>153144</v>
      </c>
      <c r="N6665" s="27">
        <v>0.16029120037881864</v>
      </c>
    </row>
    <row r="6666" spans="1:14" x14ac:dyDescent="0.15">
      <c r="A6666" s="23" t="str">
        <f>HYPERLINK("https://www.spark-marketing.ru/Card/Person/25230", "УСД В ОМСКОЙ ОБЛАСТИ")</f>
        <v>УСД В ОМСКОЙ ОБЛАСТИ</v>
      </c>
      <c r="B6666" s="24" t="s">
        <v>8641</v>
      </c>
      <c r="C6666" s="25">
        <v>542592</v>
      </c>
      <c r="D6666" s="22" t="s">
        <v>8642</v>
      </c>
      <c r="E6666" s="22" t="s">
        <v>68</v>
      </c>
      <c r="F6666" s="23" t="str">
        <f>HYPERLINK("https://www.spark-marketing.ru/Card/Lot/71231068", "Оказание услуг по охране объектов посредством кнопки тревожной сигнализации")</f>
        <v>Оказание услуг по охране объектов посредством кнопки тревожной сигнализации</v>
      </c>
      <c r="G6666" s="22" t="s">
        <v>521</v>
      </c>
      <c r="H6666" s="22" t="s">
        <v>521</v>
      </c>
      <c r="I6666" s="26">
        <v>43626.476388888899</v>
      </c>
      <c r="J6666" s="23" t="str">
        <f>HYPERLINK("https://www.spark-marketing.ru/Card/Person/361604", "ФГКУ ""УВО ВНГ РОССИИ ПО ОМСКОЙ ОБЛАСТИ""")</f>
        <v>ФГКУ "УВО ВНГ РОССИИ ПО ОМСКОЙ ОБЛАСТИ"</v>
      </c>
      <c r="K6666" s="24" t="s">
        <v>3105</v>
      </c>
      <c r="L6666" s="22" t="s">
        <v>10</v>
      </c>
      <c r="M6666" s="28" t="s">
        <v>52</v>
      </c>
      <c r="N6666" s="28" t="s">
        <v>52</v>
      </c>
    </row>
    <row r="6667" spans="1:14" x14ac:dyDescent="0.15">
      <c r="A6667" s="23" t="str">
        <f>HYPERLINK("https://www.spark-marketing.ru/Card/Person/1047745", "МКОУ ДУБРОВИНСКАЯ СОШ")</f>
        <v>МКОУ ДУБРОВИНСКАЯ СОШ</v>
      </c>
      <c r="B6667" s="24" t="s">
        <v>8643</v>
      </c>
      <c r="C6667" s="25">
        <v>12000</v>
      </c>
      <c r="D6667" s="22" t="s">
        <v>8644</v>
      </c>
      <c r="E6667" s="22" t="s">
        <v>103</v>
      </c>
      <c r="F6667" s="23" t="str">
        <f>HYPERLINK("https://www.spark-marketing.ru/Card/Lot/71236321", "Оказание услуг по техническому обслуживанию системы видеонаблюдения и проведению регламентных работ")</f>
        <v>Оказание услуг по техническому обслуживанию системы видеонаблюдения и проведению регламентных работ</v>
      </c>
      <c r="G6667" s="22" t="s">
        <v>209</v>
      </c>
      <c r="H6667" s="22" t="s">
        <v>209</v>
      </c>
      <c r="I6667" s="26">
        <v>43626.462500000001</v>
      </c>
      <c r="J6667" s="28" t="s">
        <v>52</v>
      </c>
      <c r="K6667" s="28" t="s">
        <v>52</v>
      </c>
      <c r="L6667" s="28" t="s">
        <v>52</v>
      </c>
      <c r="M6667" s="28" t="s">
        <v>52</v>
      </c>
      <c r="N6667" s="28" t="s">
        <v>52</v>
      </c>
    </row>
    <row r="6668" spans="1:14" x14ac:dyDescent="0.15">
      <c r="A6668" s="23" t="str">
        <f>HYPERLINK("https://www.spark-marketing.ru/Card/Person/1058782", "МКОУ ТОГУЧИНСКОГО РАЙОНА ""БОРЦОВСКАЯ СРЕДНЯЯ ШКОЛА""")</f>
        <v>МКОУ ТОГУЧИНСКОГО РАЙОНА "БОРЦОВСКАЯ СРЕДНЯЯ ШКОЛА"</v>
      </c>
      <c r="B6668" s="24" t="s">
        <v>8645</v>
      </c>
      <c r="C6668" s="28" t="s">
        <v>52</v>
      </c>
      <c r="D6668" s="22" t="s">
        <v>8646</v>
      </c>
      <c r="E6668" s="22" t="s">
        <v>52</v>
      </c>
      <c r="F6668" s="23" t="str">
        <f>HYPERLINK("https://www.spark-marketing.ru/Card/Lot/71236756", "монтаж тревожной кнопки")</f>
        <v>монтаж тревожной кнопки</v>
      </c>
      <c r="G6668" s="22" t="s">
        <v>209</v>
      </c>
      <c r="H6668" s="22" t="s">
        <v>8647</v>
      </c>
      <c r="I6668" s="26">
        <v>43626.447222222203</v>
      </c>
      <c r="J6668" s="28" t="s">
        <v>52</v>
      </c>
      <c r="K6668" s="28" t="s">
        <v>52</v>
      </c>
      <c r="L6668" s="28" t="s">
        <v>52</v>
      </c>
      <c r="M6668" s="28" t="s">
        <v>52</v>
      </c>
      <c r="N6668" s="28" t="s">
        <v>52</v>
      </c>
    </row>
    <row r="6669" spans="1:14" x14ac:dyDescent="0.15">
      <c r="A6669" s="23" t="str">
        <f>HYPERLINK("https://www.spark-marketing.ru/Card/Person/1597231", "АО ""ВНИИАЭС""")</f>
        <v>АО "ВНИИАЭС"</v>
      </c>
      <c r="B6669" s="24" t="s">
        <v>8617</v>
      </c>
      <c r="C6669" s="25">
        <v>0</v>
      </c>
      <c r="D6669" s="22" t="s">
        <v>8648</v>
      </c>
      <c r="E6669" s="22" t="s">
        <v>53</v>
      </c>
      <c r="F6669" s="23" t="str">
        <f>HYPERLINK("https://www.spark-marketing.ru/Card/Lot/71264672", "мониторинг цен в электронной форме на Мониторинг рынка цен на ""Оказание охранных услуг""")</f>
        <v>мониторинг цен в электронной форме на Мониторинг рынка цен на "Оказание охранных услуг"</v>
      </c>
      <c r="G6669" s="22" t="s">
        <v>55</v>
      </c>
      <c r="H6669" s="22" t="s">
        <v>55</v>
      </c>
      <c r="I6669" s="26">
        <v>43626.418981481504</v>
      </c>
      <c r="J6669" s="28" t="s">
        <v>52</v>
      </c>
      <c r="K6669" s="28" t="s">
        <v>52</v>
      </c>
      <c r="L6669" s="28" t="s">
        <v>52</v>
      </c>
      <c r="M6669" s="28" t="s">
        <v>52</v>
      </c>
      <c r="N6669" s="28" t="s">
        <v>52</v>
      </c>
    </row>
    <row r="6670" spans="1:14" x14ac:dyDescent="0.15">
      <c r="A6670" s="23" t="str">
        <f>HYPERLINK("https://www.spark-marketing.ru/Card/Person/1045140", "МКОУ УГУЙСКАЯ СОШ")</f>
        <v>МКОУ УГУЙСКАЯ СОШ</v>
      </c>
      <c r="B6670" s="24" t="s">
        <v>8649</v>
      </c>
      <c r="C6670" s="25">
        <v>12000</v>
      </c>
      <c r="D6670" s="22" t="s">
        <v>8650</v>
      </c>
      <c r="E6670" s="22" t="s">
        <v>103</v>
      </c>
      <c r="F6670" s="23" t="str">
        <f>HYPERLINK("https://www.spark-marketing.ru/Card/Lot/71236869", "Оказание услуг по техническому обслуживанию системы видеонаблюдения и проведению регламентных работ")</f>
        <v>Оказание услуг по техническому обслуживанию системы видеонаблюдения и проведению регламентных работ</v>
      </c>
      <c r="G6670" s="22" t="s">
        <v>209</v>
      </c>
      <c r="H6670" s="22" t="s">
        <v>8651</v>
      </c>
      <c r="I6670" s="26">
        <v>43626.454166666699</v>
      </c>
      <c r="J6670" s="28" t="s">
        <v>52</v>
      </c>
      <c r="K6670" s="28" t="s">
        <v>52</v>
      </c>
      <c r="L6670" s="28" t="s">
        <v>52</v>
      </c>
      <c r="M6670" s="28" t="s">
        <v>52</v>
      </c>
      <c r="N6670" s="28" t="s">
        <v>52</v>
      </c>
    </row>
    <row r="6671" spans="1:14" x14ac:dyDescent="0.15">
      <c r="A6671" s="23" t="str">
        <f>HYPERLINK("https://www.spark-marketing.ru/Card/Person/720", "ПСКОВСКАЯ ТАМОЖНЯ")</f>
        <v>ПСКОВСКАЯ ТАМОЖНЯ</v>
      </c>
      <c r="B6671" s="24" t="s">
        <v>8652</v>
      </c>
      <c r="C6671" s="25">
        <v>2388773.37</v>
      </c>
      <c r="D6671" s="22" t="s">
        <v>8653</v>
      </c>
      <c r="E6671" s="22" t="s">
        <v>68</v>
      </c>
      <c r="F6671" s="23" t="str">
        <f>HYPERLINK("https://www.spark-marketing.ru/Card/Lot/71244416", "Оказание услуг по охране таможенных объектов")</f>
        <v>Оказание услуг по охране таможенных объектов</v>
      </c>
      <c r="G6671" s="22" t="s">
        <v>142</v>
      </c>
      <c r="H6671" s="22" t="s">
        <v>142</v>
      </c>
      <c r="I6671" s="26">
        <v>43626.418749999997</v>
      </c>
      <c r="J6671" s="23" t="str">
        <f>HYPERLINK("https://www.spark-marketing.ru/Card/Person/5871732", "ФЛ ФГУП ОХРАНА ФЕДЕРАЛЬНОЙ СЛУЖБЫ ВОЙСК НАЦИОНАЛЬНОЙ ГВАРДИИ РФ ПО ПСКОВСКОЙ ОБЛ")</f>
        <v>ФЛ ФГУП ОХРАНА ФЕДЕРАЛЬНОЙ СЛУЖБЫ ВОЙСК НАЦИОНАЛЬНОЙ ГВАРДИИ РФ ПО ПСКОВСКОЙ ОБЛ</v>
      </c>
      <c r="K6671" s="24" t="s">
        <v>779</v>
      </c>
      <c r="L6671" s="22" t="s">
        <v>10</v>
      </c>
      <c r="M6671" s="28" t="s">
        <v>52</v>
      </c>
      <c r="N6671" s="28" t="s">
        <v>52</v>
      </c>
    </row>
    <row r="6672" spans="1:14" x14ac:dyDescent="0.15">
      <c r="A6672" s="23" t="str">
        <f>HYPERLINK("https://www.spark-marketing.ru/Card/Person/19087", "ОГБУЗ ""ГОРОДСКАЯ БОЛЬНИЦА №2 Г. БЕЛГОРОДА""")</f>
        <v>ОГБУЗ "ГОРОДСКАЯ БОЛЬНИЦА №2 Г. БЕЛГОРОДА"</v>
      </c>
      <c r="B6672" s="24" t="s">
        <v>3398</v>
      </c>
      <c r="C6672" s="25">
        <v>56181.599999999999</v>
      </c>
      <c r="D6672" s="22" t="s">
        <v>8654</v>
      </c>
      <c r="E6672" s="22" t="s">
        <v>52</v>
      </c>
      <c r="F6672" s="23" t="str">
        <f>HYPERLINK("https://www.spark-marketing.ru/Card/Lot/71237824", "Оказание услуг охраны объекта посредством кнопки тревожной сигнализации ОГБУЗ «Городская больница №2 г.Белгорода» в 2019 году")</f>
        <v>Оказание услуг охраны объекта посредством кнопки тревожной сигнализации ОГБУЗ «Городская больница №2 г.Белгорода» в 2019 году</v>
      </c>
      <c r="G6672" s="22" t="s">
        <v>176</v>
      </c>
      <c r="H6672" s="22" t="s">
        <v>318</v>
      </c>
      <c r="I6672" s="26">
        <v>43626.420138888898</v>
      </c>
      <c r="J6672" s="28" t="s">
        <v>52</v>
      </c>
      <c r="K6672" s="28" t="s">
        <v>52</v>
      </c>
      <c r="L6672" s="28" t="s">
        <v>52</v>
      </c>
      <c r="M6672" s="28" t="s">
        <v>52</v>
      </c>
      <c r="N6672" s="28" t="s">
        <v>52</v>
      </c>
    </row>
    <row r="6673" spans="1:14" hidden="1" outlineLevel="1" x14ac:dyDescent="0.2">
      <c r="A6673" s="23" t="str">
        <f>HYPERLINK("https://www.spark-marketing.ru/Card/Person/19087", "ОГБУЗ ""ГОРОДСКАЯ БОЛЬНИЦА №2 Г. БЕЛГОРОДА""")</f>
        <v>ОГБУЗ "ГОРОДСКАЯ БОЛЬНИЦА №2 Г. БЕЛГОРОДА"</v>
      </c>
      <c r="B6673" s="24" t="s">
        <v>3398</v>
      </c>
      <c r="C6673" s="25">
        <v>56181.599999999999</v>
      </c>
      <c r="D6673" s="22" t="s">
        <v>8654</v>
      </c>
      <c r="E6673" s="22" t="s">
        <v>52</v>
      </c>
      <c r="F6673" s="23" t="str">
        <f>HYPERLINK("https://www.spark-marketing.ru/Card/Lot/71237824", "Оказание услуг охраны объекта посредством кнопки тревожной сигнализации ОГБУЗ «Городская больница №2 г.Белгорода» в 2019 году")</f>
        <v>Оказание услуг охраны объекта посредством кнопки тревожной сигнализации ОГБУЗ «Городская больница №2 г.Белгорода» в 2019 году</v>
      </c>
      <c r="G6673" s="22" t="s">
        <v>176</v>
      </c>
      <c r="H6673" s="22" t="s">
        <v>318</v>
      </c>
      <c r="I6673" s="26">
        <v>43626.420138888898</v>
      </c>
      <c r="J6673" s="23" t="str">
        <f>HYPERLINK("https://www.spark-marketing.ru/Card/Person/333342", "ООО ""ЧОО ""БАЯЗЕТ""")</f>
        <v>ООО "ЧОО "БАЯЗЕТ"</v>
      </c>
      <c r="K6673" s="24" t="s">
        <v>8655</v>
      </c>
      <c r="L6673" s="28" t="s">
        <v>52</v>
      </c>
      <c r="M6673" s="25">
        <v>41574.28</v>
      </c>
      <c r="N6673" s="27">
        <v>0.26000185113987495</v>
      </c>
    </row>
    <row r="6674" spans="1:14" ht="12.75" hidden="1" outlineLevel="1" x14ac:dyDescent="0.2">
      <c r="A6674" s="23" t="str">
        <f>HYPERLINK("https://www.spark-marketing.ru/Card/Person/19087", "ОГБУЗ ""ГОРОДСКАЯ БОЛЬНИЦА №2 Г. БЕЛГОРОДА""")</f>
        <v>ОГБУЗ "ГОРОДСКАЯ БОЛЬНИЦА №2 Г. БЕЛГОРОДА"</v>
      </c>
      <c r="B6674" s="24" t="s">
        <v>3398</v>
      </c>
      <c r="C6674" s="25">
        <v>56181.599999999999</v>
      </c>
      <c r="D6674" s="22" t="s">
        <v>8654</v>
      </c>
      <c r="E6674" s="22" t="s">
        <v>52</v>
      </c>
      <c r="F6674" s="23" t="str">
        <f>HYPERLINK("https://www.spark-marketing.ru/Card/Lot/71237824", "Оказание услуг охраны объекта посредством кнопки тревожной сигнализации ОГБУЗ «Городская больница №2 г.Белгорода» в 2019 году")</f>
        <v>Оказание услуг охраны объекта посредством кнопки тревожной сигнализации ОГБУЗ «Городская больница №2 г.Белгорода» в 2019 году</v>
      </c>
      <c r="G6674" s="22" t="s">
        <v>176</v>
      </c>
      <c r="H6674" s="22" t="s">
        <v>318</v>
      </c>
      <c r="I6674" s="26">
        <v>43626.420138888898</v>
      </c>
      <c r="J6674" s="23" t="str">
        <f>HYPERLINK("https://www.spark-marketing.ru/Card/Person/262798", "ООО ЧОП ""ЗАЩИТА""")</f>
        <v>ООО ЧОП "ЗАЩИТА"</v>
      </c>
      <c r="K6674" s="24" t="s">
        <v>8656</v>
      </c>
      <c r="L6674" s="22" t="s">
        <v>10</v>
      </c>
      <c r="M6674" s="25">
        <v>22191.49</v>
      </c>
      <c r="N6674" s="27">
        <v>0.6050043074600937</v>
      </c>
    </row>
    <row r="6675" spans="1:14" hidden="1" outlineLevel="1" x14ac:dyDescent="0.2">
      <c r="A6675" s="23" t="str">
        <f>HYPERLINK("https://www.spark-marketing.ru/Card/Person/19087", "ОГБУЗ ""ГОРОДСКАЯ БОЛЬНИЦА №2 Г. БЕЛГОРОДА""")</f>
        <v>ОГБУЗ "ГОРОДСКАЯ БОЛЬНИЦА №2 Г. БЕЛГОРОДА"</v>
      </c>
      <c r="B6675" s="24" t="s">
        <v>3398</v>
      </c>
      <c r="C6675" s="25">
        <v>56181.599999999999</v>
      </c>
      <c r="D6675" s="22" t="s">
        <v>8654</v>
      </c>
      <c r="E6675" s="22" t="s">
        <v>52</v>
      </c>
      <c r="F6675" s="23" t="str">
        <f>HYPERLINK("https://www.spark-marketing.ru/Card/Lot/71237824", "Оказание услуг охраны объекта посредством кнопки тревожной сигнализации ОГБУЗ «Городская больница №2 г.Белгорода» в 2019 году")</f>
        <v>Оказание услуг охраны объекта посредством кнопки тревожной сигнализации ОГБУЗ «Городская больница №2 г.Белгорода» в 2019 году</v>
      </c>
      <c r="G6675" s="22" t="s">
        <v>176</v>
      </c>
      <c r="H6675" s="22" t="s">
        <v>318</v>
      </c>
      <c r="I6675" s="26">
        <v>43626.420138888898</v>
      </c>
      <c r="J6675" s="23" t="str">
        <f>HYPERLINK("https://www.spark-marketing.ru/Card/Person/487958", "ООО ""ЧОП ""ЦПО-АЛЬФА""")</f>
        <v>ООО "ЧОП "ЦПО-АЛЬФА"</v>
      </c>
      <c r="K6675" s="24" t="s">
        <v>8657</v>
      </c>
      <c r="L6675" s="28" t="s">
        <v>52</v>
      </c>
      <c r="M6675" s="25">
        <v>42697.919999999998</v>
      </c>
      <c r="N6675" s="27">
        <v>0.24000170874449997</v>
      </c>
    </row>
    <row r="6676" spans="1:14" hidden="1" outlineLevel="1" x14ac:dyDescent="0.2">
      <c r="A6676" s="23" t="str">
        <f>HYPERLINK("https://www.spark-marketing.ru/Card/Person/19087", "ОГБУЗ ""ГОРОДСКАЯ БОЛЬНИЦА №2 Г. БЕЛГОРОДА""")</f>
        <v>ОГБУЗ "ГОРОДСКАЯ БОЛЬНИЦА №2 Г. БЕЛГОРОДА"</v>
      </c>
      <c r="B6676" s="24" t="s">
        <v>3398</v>
      </c>
      <c r="C6676" s="25">
        <v>56181.599999999999</v>
      </c>
      <c r="D6676" s="22" t="s">
        <v>8654</v>
      </c>
      <c r="E6676" s="22" t="s">
        <v>52</v>
      </c>
      <c r="F6676" s="23" t="str">
        <f>HYPERLINK("https://www.spark-marketing.ru/Card/Lot/71237824", "Оказание услуг охраны объекта посредством кнопки тревожной сигнализации ОГБУЗ «Городская больница №2 г.Белгорода» в 2019 году")</f>
        <v>Оказание услуг охраны объекта посредством кнопки тревожной сигнализации ОГБУЗ «Городская больница №2 г.Белгорода» в 2019 году</v>
      </c>
      <c r="G6676" s="22" t="s">
        <v>176</v>
      </c>
      <c r="H6676" s="22" t="s">
        <v>318</v>
      </c>
      <c r="I6676" s="26">
        <v>43626.420138888898</v>
      </c>
      <c r="J6676" s="23" t="str">
        <f>HYPERLINK("https://www.spark-marketing.ru/Card/Person/300064", "ООО ""ЧОП ""ЦЕНТРАЛИЗОВАННАЯ ОХРАНА""")</f>
        <v>ООО "ЧОП "ЦЕНТРАЛИЗОВАННАЯ ОХРАНА"</v>
      </c>
      <c r="K6676" s="24" t="s">
        <v>8658</v>
      </c>
      <c r="L6676" s="28" t="s">
        <v>52</v>
      </c>
      <c r="M6676" s="25">
        <v>22472.400000000001</v>
      </c>
      <c r="N6676" s="27">
        <v>0.60000427186124994</v>
      </c>
    </row>
    <row r="6677" spans="1:14" x14ac:dyDescent="0.15">
      <c r="A6677" s="23" t="str">
        <f>HYPERLINK("https://www.spark-marketing.ru/Card/Person/365274", "ОМВД РОССИИ ПО ОКУЛОВСКОМУ РАЙОНУ")</f>
        <v>ОМВД РОССИИ ПО ОКУЛОВСКОМУ РАЙОНУ</v>
      </c>
      <c r="B6677" s="24" t="s">
        <v>3836</v>
      </c>
      <c r="C6677" s="25">
        <v>26000</v>
      </c>
      <c r="D6677" s="22" t="s">
        <v>8659</v>
      </c>
      <c r="E6677" s="22" t="s">
        <v>107</v>
      </c>
      <c r="F6677" s="23" t="str">
        <f>HYPERLINK("https://www.spark-marketing.ru/Card/Lot/71235282", "Техническое обслуживание камер видеонаблюдения, 52 шт")</f>
        <v>Техническое обслуживание камер видеонаблюдения, 52 шт</v>
      </c>
      <c r="G6677" s="22" t="s">
        <v>959</v>
      </c>
      <c r="H6677" s="22" t="s">
        <v>3838</v>
      </c>
      <c r="I6677" s="26">
        <v>43626.423715277801</v>
      </c>
      <c r="J6677" s="28" t="s">
        <v>52</v>
      </c>
      <c r="K6677" s="28" t="s">
        <v>52</v>
      </c>
      <c r="L6677" s="28" t="s">
        <v>52</v>
      </c>
      <c r="M6677" s="28" t="s">
        <v>52</v>
      </c>
      <c r="N6677" s="28" t="s">
        <v>52</v>
      </c>
    </row>
    <row r="6678" spans="1:14" x14ac:dyDescent="0.15">
      <c r="A6678" s="23" t="str">
        <f>HYPERLINK("https://www.spark-marketing.ru/Card/Person/31342", "АДМИНИСТРАЦИЯ МАРКСОВСКОГО МР")</f>
        <v>АДМИНИСТРАЦИЯ МАРКСОВСКОГО МР</v>
      </c>
      <c r="B6678" s="24" t="s">
        <v>8660</v>
      </c>
      <c r="C6678" s="25">
        <v>100000</v>
      </c>
      <c r="D6678" s="22" t="s">
        <v>8661</v>
      </c>
      <c r="E6678" s="22" t="s">
        <v>84</v>
      </c>
      <c r="F6678" s="23" t="str">
        <f>HYPERLINK("https://www.spark-marketing.ru/Card/Lot/71237624", "Приобретение и установка системы видеонаблюдения в местах массового скопления граждан на территории муниципального образования город Маркс с выводом видеосигнала в отдел МВД России по Марксовскому району Саратовской области.")</f>
        <v>Приобретение и установка системы видеонаблюдения в местах массового скопления граждан на территории муниципального образования город Маркс с выводом видеосигнала в отдел МВД России по Марксовскому району Саратовской области.</v>
      </c>
      <c r="G6678" s="22" t="s">
        <v>80</v>
      </c>
      <c r="H6678" s="22" t="s">
        <v>80</v>
      </c>
      <c r="I6678" s="26">
        <v>43626.444444444402</v>
      </c>
      <c r="J6678" s="23" t="str">
        <f>HYPERLINK("https://www.spark-marketing.ru/Card/Person/233377", "ООО ""СИЛЬВЕР-ЛАЙН""")</f>
        <v>ООО "СИЛЬВЕР-ЛАЙН"</v>
      </c>
      <c r="K6678" s="24" t="s">
        <v>2557</v>
      </c>
      <c r="L6678" s="22" t="s">
        <v>10</v>
      </c>
      <c r="M6678" s="28" t="s">
        <v>52</v>
      </c>
      <c r="N6678" s="28" t="s">
        <v>52</v>
      </c>
    </row>
    <row r="6679" spans="1:14" x14ac:dyDescent="0.15">
      <c r="A6679" s="23" t="str">
        <f>HYPERLINK("https://www.spark-marketing.ru/Card/Person/168309", "ФГКУ ""УВО ВНГ РОССИИ ПО АЛТАЙСКОМУ КРАЮ""")</f>
        <v>ФГКУ "УВО ВНГ РОССИИ ПО АЛТАЙСКОМУ КРАЮ"</v>
      </c>
      <c r="B6679" s="24" t="s">
        <v>1393</v>
      </c>
      <c r="C6679" s="25">
        <v>3710485.22</v>
      </c>
      <c r="D6679" s="22" t="s">
        <v>8662</v>
      </c>
      <c r="E6679" s="22" t="s">
        <v>1130</v>
      </c>
      <c r="F6679" s="23" t="str">
        <f>HYPERLINK("https://www.spark-marketing.ru/Card/Lot/71228230", "Оказание услуг по обслуживанию, подключению, отключению и переключению линий связи между устройствами охранной сигнализации и телефонными линиями оператора связи.")</f>
        <v>Оказание услуг по обслуживанию, подключению, отключению и переключению линий связи между устройствами охранной сигнализации и телефонными линиями оператора связи.</v>
      </c>
      <c r="G6679" s="22" t="s">
        <v>428</v>
      </c>
      <c r="H6679" s="22" t="s">
        <v>428</v>
      </c>
      <c r="I6679" s="26">
        <v>43626.4555555556</v>
      </c>
      <c r="J6679" s="23" t="str">
        <f>HYPERLINK("https://www.spark-marketing.ru/Card/Person/10991", "ПАО ""РОСТЕЛЕКОМ""")</f>
        <v>ПАО "РОСТЕЛЕКОМ"</v>
      </c>
      <c r="K6679" s="24" t="s">
        <v>607</v>
      </c>
      <c r="L6679" s="22" t="s">
        <v>10</v>
      </c>
      <c r="M6679" s="28" t="s">
        <v>52</v>
      </c>
      <c r="N6679" s="28" t="s">
        <v>52</v>
      </c>
    </row>
    <row r="6680" spans="1:14" x14ac:dyDescent="0.2">
      <c r="A6680" s="23" t="str">
        <f>HYPERLINK("https://www.spark-marketing.ru/Card/Person/4343405", "ФГУП ""ГОСКОРПОРАЦИЯ ПО ОРВД""")</f>
        <v>ФГУП "ГОСКОРПОРАЦИЯ ПО ОРВД"</v>
      </c>
      <c r="B6680" s="24" t="s">
        <v>801</v>
      </c>
      <c r="C6680" s="25">
        <v>1500000</v>
      </c>
      <c r="D6680" s="22" t="s">
        <v>8663</v>
      </c>
      <c r="E6680" s="22" t="s">
        <v>533</v>
      </c>
      <c r="F6680" s="23" t="str">
        <f>HYPERLINK("https://www.spark-marketing.ru/Card/Lot/71265804", "Приобретение и установка сертифицированной системы охранной сигнализации на 12 объектах Домодедовского центра ОВД: ГРМ-135 правая; КРМ-135 правая; ГРМ-315 левая; КРМ-315 левая; РМД; РМА/РМД; АРП «Платан»; РЛС ОЛП (ВПП-1); ОРЛ-А «Лира-А10»; ДЭС ОРЛ-А ...")</f>
        <v>Приобретение и установка сертифицированной системы охранной сигнализации на 12 объектах Домодедовского центра ОВД: ГРМ-135 правая; КРМ-135 правая; ГРМ-315 левая; КРМ-315 левая; РМД; РМА/РМД; АРП «Платан»; РЛС ОЛП (ВПП-1); ОРЛ-А «Лира-А10»; ДЭС ОРЛ-А ...</v>
      </c>
      <c r="G6680" s="22" t="s">
        <v>55</v>
      </c>
      <c r="H6680" s="22" t="s">
        <v>55</v>
      </c>
      <c r="I6680" s="26">
        <v>43626.4148263889</v>
      </c>
      <c r="J6680" s="28" t="s">
        <v>52</v>
      </c>
      <c r="K6680" s="28" t="s">
        <v>52</v>
      </c>
      <c r="L6680" s="22" t="s">
        <v>10</v>
      </c>
      <c r="M6680" s="25">
        <v>1500000</v>
      </c>
      <c r="N6680" s="27">
        <v>0</v>
      </c>
    </row>
    <row r="6681" spans="1:14" x14ac:dyDescent="0.15">
      <c r="A6681" s="23" t="str">
        <f>HYPERLINK("https://www.spark-marketing.ru/Card/Person/1061035", "ГБДОУ НАО ""ДЕТСКИЙ САД ""СЕМИЦВЕТИК""")</f>
        <v>ГБДОУ НАО "ДЕТСКИЙ САД "СЕМИЦВЕТИК"</v>
      </c>
      <c r="B6681" s="24" t="s">
        <v>8664</v>
      </c>
      <c r="C6681" s="25">
        <v>48000</v>
      </c>
      <c r="D6681" s="22" t="s">
        <v>8665</v>
      </c>
      <c r="E6681" s="22" t="s">
        <v>59</v>
      </c>
      <c r="F6681" s="23" t="str">
        <f>HYPERLINK("https://www.spark-marketing.ru/Card/Lot/71236337", "Оказание услуг по установке охранной сигнализации")</f>
        <v>Оказание услуг по установке охранной сигнализации</v>
      </c>
      <c r="G6681" s="22" t="s">
        <v>1014</v>
      </c>
      <c r="H6681" s="22" t="s">
        <v>1015</v>
      </c>
      <c r="I6681" s="26">
        <v>43626.409722222197</v>
      </c>
      <c r="J6681" s="28" t="s">
        <v>52</v>
      </c>
      <c r="K6681" s="28" t="s">
        <v>52</v>
      </c>
      <c r="L6681" s="28" t="s">
        <v>52</v>
      </c>
      <c r="M6681" s="28" t="s">
        <v>52</v>
      </c>
      <c r="N6681" s="28" t="s">
        <v>52</v>
      </c>
    </row>
    <row r="6682" spans="1:14" x14ac:dyDescent="0.15">
      <c r="A6682" s="23" t="str">
        <f>HYPERLINK("https://www.spark-marketing.ru/Card/Person/639051", "ФКУ ЛИУ № 19 УФСИН РОССИИ ПО РЕСПУБЛИКЕ БАШКОРТОСТАН")</f>
        <v>ФКУ ЛИУ № 19 УФСИН РОССИИ ПО РЕСПУБЛИКЕ БАШКОРТОСТАН</v>
      </c>
      <c r="B6682" s="24" t="s">
        <v>8666</v>
      </c>
      <c r="C6682" s="25">
        <v>54520</v>
      </c>
      <c r="D6682" s="22" t="s">
        <v>8667</v>
      </c>
      <c r="E6682" s="22" t="s">
        <v>208</v>
      </c>
      <c r="F6682" s="23" t="str">
        <f>HYPERLINK("https://www.spark-marketing.ru/Card/Lot/71229636", "Инженерное оборудование")</f>
        <v>Инженерное оборудование</v>
      </c>
      <c r="G6682" s="22" t="s">
        <v>100</v>
      </c>
      <c r="H6682" s="22" t="s">
        <v>2093</v>
      </c>
      <c r="I6682" s="26">
        <v>43626.380011574103</v>
      </c>
      <c r="J6682" s="28" t="s">
        <v>52</v>
      </c>
      <c r="K6682" s="28" t="s">
        <v>52</v>
      </c>
      <c r="L6682" s="28" t="s">
        <v>52</v>
      </c>
      <c r="M6682" s="28" t="s">
        <v>52</v>
      </c>
      <c r="N6682" s="28" t="s">
        <v>52</v>
      </c>
    </row>
    <row r="6683" spans="1:14" x14ac:dyDescent="0.15">
      <c r="A6683" s="23" t="str">
        <f>HYPERLINK("https://www.spark-marketing.ru/Card/Person/17947", "КУМИ ЛЕНИНСКА-КУЗНЕЦКОГО")</f>
        <v>КУМИ ЛЕНИНСКА-КУЗНЕЦКОГО</v>
      </c>
      <c r="B6683" s="24" t="s">
        <v>8668</v>
      </c>
      <c r="C6683" s="25">
        <v>2322000</v>
      </c>
      <c r="D6683" s="22" t="s">
        <v>8669</v>
      </c>
      <c r="E6683" s="22" t="s">
        <v>52</v>
      </c>
      <c r="F6683" s="23" t="str">
        <f>HYPERLINK("https://www.spark-marketing.ru/Card/Lot/71227252", "Услуги частных охранных служб")</f>
        <v>Услуги частных охранных служб</v>
      </c>
      <c r="G6683" s="22" t="s">
        <v>367</v>
      </c>
      <c r="H6683" s="22" t="s">
        <v>367</v>
      </c>
      <c r="I6683" s="26">
        <v>43626.40625</v>
      </c>
      <c r="J6683" s="23" t="str">
        <f>HYPERLINK("https://www.spark-marketing.ru/Card/Person/302009", "ООО ЧОП ""СУНАР""")</f>
        <v>ООО ЧОП "СУНАР"</v>
      </c>
      <c r="K6683" s="24" t="s">
        <v>8670</v>
      </c>
      <c r="L6683" s="22" t="s">
        <v>10</v>
      </c>
      <c r="M6683" s="28" t="s">
        <v>52</v>
      </c>
      <c r="N6683" s="28" t="s">
        <v>52</v>
      </c>
    </row>
    <row r="6684" spans="1:14" x14ac:dyDescent="0.15">
      <c r="A6684" s="23" t="str">
        <f>HYPERLINK("https://www.spark-marketing.ru/Card/Person/19179", "МУ КЦСОН ""РАДУГА""")</f>
        <v>МУ КЦСОН "РАДУГА"</v>
      </c>
      <c r="B6684" s="24" t="s">
        <v>8671</v>
      </c>
      <c r="C6684" s="25">
        <v>98096.94</v>
      </c>
      <c r="D6684" s="22" t="s">
        <v>8672</v>
      </c>
      <c r="E6684" s="22" t="s">
        <v>59</v>
      </c>
      <c r="F6684" s="23" t="str">
        <f>HYPERLINK("https://www.spark-marketing.ru/Card/Lot/71237769", "Выполнение работ по монтажу охранной сигнализации")</f>
        <v>Выполнение работ по монтажу охранной сигнализации</v>
      </c>
      <c r="G6684" s="22" t="s">
        <v>155</v>
      </c>
      <c r="H6684" s="22" t="s">
        <v>8673</v>
      </c>
      <c r="I6684" s="26">
        <v>43626.375694444403</v>
      </c>
      <c r="J6684" s="28" t="s">
        <v>52</v>
      </c>
      <c r="K6684" s="28" t="s">
        <v>52</v>
      </c>
      <c r="L6684" s="28" t="s">
        <v>52</v>
      </c>
      <c r="M6684" s="28" t="s">
        <v>52</v>
      </c>
      <c r="N6684" s="28" t="s">
        <v>52</v>
      </c>
    </row>
    <row r="6685" spans="1:14" hidden="1" outlineLevel="1" x14ac:dyDescent="0.2">
      <c r="A6685" s="23" t="str">
        <f>HYPERLINK("https://www.spark-marketing.ru/Card/Person/19179", "МУ КЦСОН ""РАДУГА""")</f>
        <v>МУ КЦСОН "РАДУГА"</v>
      </c>
      <c r="B6685" s="24" t="s">
        <v>8671</v>
      </c>
      <c r="C6685" s="25">
        <v>98096.94</v>
      </c>
      <c r="D6685" s="22" t="s">
        <v>8672</v>
      </c>
      <c r="E6685" s="22" t="s">
        <v>59</v>
      </c>
      <c r="F6685" s="23" t="str">
        <f>HYPERLINK("https://www.spark-marketing.ru/Card/Lot/71237769", "Выполнение работ по монтажу охранной сигнализации")</f>
        <v>Выполнение работ по монтажу охранной сигнализации</v>
      </c>
      <c r="G6685" s="22" t="s">
        <v>155</v>
      </c>
      <c r="H6685" s="22" t="s">
        <v>8673</v>
      </c>
      <c r="I6685" s="26">
        <v>43626.375694444403</v>
      </c>
      <c r="J6685" s="23" t="str">
        <f>HYPERLINK("https://www.spark-marketing.ru/Card/Person/4444100", "ООО ""ЭНЕРГОКОНТРОЛЬ""")</f>
        <v>ООО "ЭНЕРГОКОНТРОЛЬ"</v>
      </c>
      <c r="K6685" s="24" t="s">
        <v>7344</v>
      </c>
      <c r="L6685" s="28" t="s">
        <v>52</v>
      </c>
      <c r="M6685" s="25">
        <v>64566.64</v>
      </c>
      <c r="N6685" s="27">
        <v>0.34180780766454083</v>
      </c>
    </row>
    <row r="6686" spans="1:14" ht="12.75" hidden="1" outlineLevel="1" x14ac:dyDescent="0.2">
      <c r="A6686" s="23" t="str">
        <f>HYPERLINK("https://www.spark-marketing.ru/Card/Person/19179", "МУ КЦСОН ""РАДУГА""")</f>
        <v>МУ КЦСОН "РАДУГА"</v>
      </c>
      <c r="B6686" s="24" t="s">
        <v>8671</v>
      </c>
      <c r="C6686" s="25">
        <v>98096.94</v>
      </c>
      <c r="D6686" s="22" t="s">
        <v>8672</v>
      </c>
      <c r="E6686" s="22" t="s">
        <v>59</v>
      </c>
      <c r="F6686" s="23" t="str">
        <f>HYPERLINK("https://www.spark-marketing.ru/Card/Lot/71237769", "Выполнение работ по монтажу охранной сигнализации")</f>
        <v>Выполнение работ по монтажу охранной сигнализации</v>
      </c>
      <c r="G6686" s="22" t="s">
        <v>155</v>
      </c>
      <c r="H6686" s="22" t="s">
        <v>8673</v>
      </c>
      <c r="I6686" s="26">
        <v>43626.375694444403</v>
      </c>
      <c r="J6686" s="23" t="str">
        <f>HYPERLINK("https://www.spark-marketing.ru/Card/Person/6435722", "ООО ""СОТАСОТ""")</f>
        <v>ООО "СОТАСОТ"</v>
      </c>
      <c r="K6686" s="24" t="s">
        <v>7345</v>
      </c>
      <c r="L6686" s="22" t="s">
        <v>10</v>
      </c>
      <c r="M6686" s="25">
        <v>64076.160000000003</v>
      </c>
      <c r="N6686" s="27">
        <v>0.34680775975275069</v>
      </c>
    </row>
    <row r="6687" spans="1:14" hidden="1" outlineLevel="1" x14ac:dyDescent="0.2">
      <c r="A6687" s="23" t="str">
        <f>HYPERLINK("https://www.spark-marketing.ru/Card/Person/19179", "МУ КЦСОН ""РАДУГА""")</f>
        <v>МУ КЦСОН "РАДУГА"</v>
      </c>
      <c r="B6687" s="24" t="s">
        <v>8671</v>
      </c>
      <c r="C6687" s="25">
        <v>98096.94</v>
      </c>
      <c r="D6687" s="22" t="s">
        <v>8672</v>
      </c>
      <c r="E6687" s="22" t="s">
        <v>59</v>
      </c>
      <c r="F6687" s="23" t="str">
        <f>HYPERLINK("https://www.spark-marketing.ru/Card/Lot/71237769", "Выполнение работ по монтажу охранной сигнализации")</f>
        <v>Выполнение работ по монтажу охранной сигнализации</v>
      </c>
      <c r="G6687" s="22" t="s">
        <v>155</v>
      </c>
      <c r="H6687" s="22" t="s">
        <v>8673</v>
      </c>
      <c r="I6687" s="26">
        <v>43626.375694444403</v>
      </c>
      <c r="J6687" s="23" t="str">
        <f>HYPERLINK("https://www.spark-marketing.ru/Card/Person/6380861", "ООО ""ИМПУЛЬС""")</f>
        <v>ООО "ИМПУЛЬС"</v>
      </c>
      <c r="K6687" s="24" t="s">
        <v>2342</v>
      </c>
      <c r="L6687" s="28" t="s">
        <v>52</v>
      </c>
      <c r="M6687" s="25">
        <v>73594.92</v>
      </c>
      <c r="N6687" s="27">
        <v>0.24977354033673221</v>
      </c>
    </row>
    <row r="6688" spans="1:14" hidden="1" outlineLevel="1" x14ac:dyDescent="0.2">
      <c r="A6688" s="23" t="str">
        <f>HYPERLINK("https://www.spark-marketing.ru/Card/Person/19179", "МУ КЦСОН ""РАДУГА""")</f>
        <v>МУ КЦСОН "РАДУГА"</v>
      </c>
      <c r="B6688" s="24" t="s">
        <v>8671</v>
      </c>
      <c r="C6688" s="25">
        <v>98096.94</v>
      </c>
      <c r="D6688" s="22" t="s">
        <v>8672</v>
      </c>
      <c r="E6688" s="22" t="s">
        <v>59</v>
      </c>
      <c r="F6688" s="23" t="str">
        <f>HYPERLINK("https://www.spark-marketing.ru/Card/Lot/71237769", "Выполнение работ по монтажу охранной сигнализации")</f>
        <v>Выполнение работ по монтажу охранной сигнализации</v>
      </c>
      <c r="G6688" s="22" t="s">
        <v>155</v>
      </c>
      <c r="H6688" s="22" t="s">
        <v>8673</v>
      </c>
      <c r="I6688" s="26">
        <v>43626.375694444403</v>
      </c>
      <c r="J6688" s="23" t="str">
        <f>HYPERLINK("https://www.spark-marketing.ru/Card/Person/2584595", "ООО ""НТЦ ""КОМПЛЕКСНАЯ БЕЗОПАСНОСТЬ""")</f>
        <v>ООО "НТЦ "КОМПЛЕКСНАЯ БЕЗОПАСНОСТЬ"</v>
      </c>
      <c r="K6688" s="24" t="s">
        <v>7343</v>
      </c>
      <c r="L6688" s="28" t="s">
        <v>52</v>
      </c>
      <c r="M6688" s="25">
        <v>91720.7</v>
      </c>
      <c r="N6688" s="27">
        <v>6.4999377146728529E-2</v>
      </c>
    </row>
    <row r="6689" spans="1:14" x14ac:dyDescent="0.15">
      <c r="A6689" s="23" t="str">
        <f>HYPERLINK("https://www.spark-marketing.ru/Card/Person/4376800", "ГБПОУ СО ""КАМЫШЛОВСКИЙ ПЕДАГОГИЧЕСКИЙ КОЛЛЕДЖ""")</f>
        <v>ГБПОУ СО "КАМЫШЛОВСКИЙ ПЕДАГОГИЧЕСКИЙ КОЛЛЕДЖ"</v>
      </c>
      <c r="B6689" s="24" t="s">
        <v>8674</v>
      </c>
      <c r="C6689" s="25">
        <v>24420.36</v>
      </c>
      <c r="D6689" s="22" t="s">
        <v>8675</v>
      </c>
      <c r="E6689" s="22" t="s">
        <v>103</v>
      </c>
      <c r="F6689" s="23" t="str">
        <f>HYPERLINK("https://www.spark-marketing.ru/Card/Lot/71228497", "Техническое обслуживание систем видеонаблюдения")</f>
        <v>Техническое обслуживание систем видеонаблюдения</v>
      </c>
      <c r="G6689" s="22" t="s">
        <v>72</v>
      </c>
      <c r="H6689" s="22" t="s">
        <v>8676</v>
      </c>
      <c r="I6689" s="26">
        <v>43626.372916666704</v>
      </c>
      <c r="J6689" s="28" t="s">
        <v>52</v>
      </c>
      <c r="K6689" s="28" t="s">
        <v>52</v>
      </c>
      <c r="L6689" s="28" t="s">
        <v>52</v>
      </c>
      <c r="M6689" s="28" t="s">
        <v>52</v>
      </c>
      <c r="N6689" s="28" t="s">
        <v>52</v>
      </c>
    </row>
    <row r="6690" spans="1:14" hidden="1" outlineLevel="1" x14ac:dyDescent="0.2">
      <c r="A6690" s="23" t="str">
        <f>HYPERLINK("https://www.spark-marketing.ru/Card/Person/4376800", "ГБПОУ СО ""КАМЫШЛОВСКИЙ ПЕДАГОГИЧЕСКИЙ КОЛЛЕДЖ""")</f>
        <v>ГБПОУ СО "КАМЫШЛОВСКИЙ ПЕДАГОГИЧЕСКИЙ КОЛЛЕДЖ"</v>
      </c>
      <c r="B6690" s="24" t="s">
        <v>8674</v>
      </c>
      <c r="C6690" s="25">
        <v>24420.36</v>
      </c>
      <c r="D6690" s="22" t="s">
        <v>8675</v>
      </c>
      <c r="E6690" s="22" t="s">
        <v>103</v>
      </c>
      <c r="F6690" s="23" t="str">
        <f>HYPERLINK("https://www.spark-marketing.ru/Card/Lot/71228497", "Техническое обслуживание систем видеонаблюдения")</f>
        <v>Техническое обслуживание систем видеонаблюдения</v>
      </c>
      <c r="G6690" s="22" t="s">
        <v>72</v>
      </c>
      <c r="H6690" s="22" t="s">
        <v>8676</v>
      </c>
      <c r="I6690" s="26">
        <v>43626.372916666704</v>
      </c>
      <c r="J6690" s="23" t="str">
        <f>HYPERLINK("https://www.spark-marketing.ru/Card/Person/2557627", "ООО ""ЛАЙТБАЙТ""")</f>
        <v>ООО "ЛАЙТБАЙТ"</v>
      </c>
      <c r="K6690" s="24" t="s">
        <v>8677</v>
      </c>
      <c r="L6690" s="28" t="s">
        <v>52</v>
      </c>
      <c r="M6690" s="25">
        <v>24000</v>
      </c>
      <c r="N6690" s="27">
        <v>1.7213505452008077E-2</v>
      </c>
    </row>
    <row r="6691" spans="1:14" ht="12.75" hidden="1" outlineLevel="1" x14ac:dyDescent="0.2">
      <c r="A6691" s="23" t="str">
        <f>HYPERLINK("https://www.spark-marketing.ru/Card/Person/4376800", "ГБПОУ СО ""КАМЫШЛОВСКИЙ ПЕДАГОГИЧЕСКИЙ КОЛЛЕДЖ""")</f>
        <v>ГБПОУ СО "КАМЫШЛОВСКИЙ ПЕДАГОГИЧЕСКИЙ КОЛЛЕДЖ"</v>
      </c>
      <c r="B6691" s="24" t="s">
        <v>8674</v>
      </c>
      <c r="C6691" s="25">
        <v>24420.36</v>
      </c>
      <c r="D6691" s="22" t="s">
        <v>8675</v>
      </c>
      <c r="E6691" s="22" t="s">
        <v>103</v>
      </c>
      <c r="F6691" s="23" t="str">
        <f>HYPERLINK("https://www.spark-marketing.ru/Card/Lot/71228497", "Техническое обслуживание систем видеонаблюдения")</f>
        <v>Техническое обслуживание систем видеонаблюдения</v>
      </c>
      <c r="G6691" s="22" t="s">
        <v>72</v>
      </c>
      <c r="H6691" s="22" t="s">
        <v>8676</v>
      </c>
      <c r="I6691" s="26">
        <v>43626.372916666704</v>
      </c>
      <c r="J6691" s="23" t="str">
        <f>HYPERLINK("https://www.spark-marketing.ru/Card/Person/589821", "ООО ЧОО ""ИМПЕРИЯ +""")</f>
        <v>ООО ЧОО "ИМПЕРИЯ +"</v>
      </c>
      <c r="K6691" s="24" t="s">
        <v>8678</v>
      </c>
      <c r="L6691" s="22" t="s">
        <v>10</v>
      </c>
      <c r="M6691" s="25">
        <v>20000</v>
      </c>
      <c r="N6691" s="27">
        <v>0.18101125454334008</v>
      </c>
    </row>
    <row r="6692" spans="1:14" x14ac:dyDescent="0.15">
      <c r="A6692" s="23" t="str">
        <f t="shared" ref="A6692:A6711" si="278">HYPERLINK("https://www.spark-marketing.ru/Card/Person/12439", "ГБУЗ ""ГКБ № 15 ДЗМ""")</f>
        <v>ГБУЗ "ГКБ № 15 ДЗМ"</v>
      </c>
      <c r="B6692" s="24" t="s">
        <v>8679</v>
      </c>
      <c r="C6692" s="25">
        <v>3298263.03</v>
      </c>
      <c r="D6692" s="22" t="s">
        <v>8680</v>
      </c>
      <c r="E6692" s="22" t="s">
        <v>103</v>
      </c>
      <c r="F6692" s="23" t="str">
        <f t="shared" ref="F6692:F6711" si="279">HYPERLINK("https://www.spark-marketing.ru/Card/Lot/71240528", "Техническое обслуживание систем видеонаблюдения и охранной сигнализации")</f>
        <v>Техническое обслуживание систем видеонаблюдения и охранной сигнализации</v>
      </c>
      <c r="G6692" s="22" t="s">
        <v>55</v>
      </c>
      <c r="H6692" s="22" t="s">
        <v>55</v>
      </c>
      <c r="I6692" s="26">
        <v>43626.349305555603</v>
      </c>
      <c r="J6692" s="28" t="s">
        <v>52</v>
      </c>
      <c r="K6692" s="28" t="s">
        <v>52</v>
      </c>
      <c r="L6692" s="28" t="s">
        <v>52</v>
      </c>
      <c r="M6692" s="28" t="s">
        <v>52</v>
      </c>
      <c r="N6692" s="28" t="s">
        <v>52</v>
      </c>
    </row>
    <row r="6693" spans="1:14" hidden="1" outlineLevel="1" x14ac:dyDescent="0.2">
      <c r="A6693" s="23" t="str">
        <f t="shared" si="278"/>
        <v>ГБУЗ "ГКБ № 15 ДЗМ"</v>
      </c>
      <c r="B6693" s="24" t="s">
        <v>8679</v>
      </c>
      <c r="C6693" s="25">
        <v>3298263.03</v>
      </c>
      <c r="D6693" s="22" t="s">
        <v>8680</v>
      </c>
      <c r="E6693" s="22" t="s">
        <v>103</v>
      </c>
      <c r="F6693" s="23" t="str">
        <f t="shared" si="279"/>
        <v>Техническое обслуживание систем видеонаблюдения и охранной сигнализации</v>
      </c>
      <c r="G6693" s="22" t="s">
        <v>55</v>
      </c>
      <c r="H6693" s="22" t="s">
        <v>55</v>
      </c>
      <c r="I6693" s="26">
        <v>43626.349305555603</v>
      </c>
      <c r="J6693" s="23" t="str">
        <f>HYPERLINK("https://www.spark-marketing.ru/Card/Person/6462474", "ООО ""ФАВОР""")</f>
        <v>ООО "ФАВОР"</v>
      </c>
      <c r="K6693" s="24" t="s">
        <v>2058</v>
      </c>
      <c r="L6693" s="28" t="s">
        <v>52</v>
      </c>
      <c r="M6693" s="25">
        <v>2935454.04</v>
      </c>
      <c r="N6693" s="27">
        <v>0.11000001719086668</v>
      </c>
    </row>
    <row r="6694" spans="1:14" hidden="1" outlineLevel="1" x14ac:dyDescent="0.2">
      <c r="A6694" s="23" t="str">
        <f t="shared" si="278"/>
        <v>ГБУЗ "ГКБ № 15 ДЗМ"</v>
      </c>
      <c r="B6694" s="24" t="s">
        <v>8679</v>
      </c>
      <c r="C6694" s="25">
        <v>3298263.03</v>
      </c>
      <c r="D6694" s="22" t="s">
        <v>8680</v>
      </c>
      <c r="E6694" s="22" t="s">
        <v>103</v>
      </c>
      <c r="F6694" s="23" t="str">
        <f t="shared" si="279"/>
        <v>Техническое обслуживание систем видеонаблюдения и охранной сигнализации</v>
      </c>
      <c r="G6694" s="22" t="s">
        <v>55</v>
      </c>
      <c r="H6694" s="22" t="s">
        <v>55</v>
      </c>
      <c r="I6694" s="26">
        <v>43626.349305555603</v>
      </c>
      <c r="J6694" s="23" t="str">
        <f>HYPERLINK("https://www.spark-marketing.ru/Card/Person/6262263", "ООО ""АЛЫЙ ПАРУС ТЕХНО ПРО""")</f>
        <v>ООО "АЛЫЙ ПАРУС ТЕХНО ПРО"</v>
      </c>
      <c r="K6694" s="24" t="s">
        <v>1749</v>
      </c>
      <c r="L6694" s="28" t="s">
        <v>52</v>
      </c>
      <c r="M6694" s="25">
        <v>560704.51</v>
      </c>
      <c r="N6694" s="27">
        <v>0.83000006218424616</v>
      </c>
    </row>
    <row r="6695" spans="1:14" hidden="1" outlineLevel="1" x14ac:dyDescent="0.2">
      <c r="A6695" s="23" t="str">
        <f t="shared" si="278"/>
        <v>ГБУЗ "ГКБ № 15 ДЗМ"</v>
      </c>
      <c r="B6695" s="24" t="s">
        <v>8679</v>
      </c>
      <c r="C6695" s="25">
        <v>3298263.03</v>
      </c>
      <c r="D6695" s="22" t="s">
        <v>8680</v>
      </c>
      <c r="E6695" s="22" t="s">
        <v>103</v>
      </c>
      <c r="F6695" s="23" t="str">
        <f t="shared" si="279"/>
        <v>Техническое обслуживание систем видеонаблюдения и охранной сигнализации</v>
      </c>
      <c r="G6695" s="22" t="s">
        <v>55</v>
      </c>
      <c r="H6695" s="22" t="s">
        <v>55</v>
      </c>
      <c r="I6695" s="26">
        <v>43626.349305555603</v>
      </c>
      <c r="J6695" s="23" t="str">
        <f>HYPERLINK("https://www.spark-marketing.ru/Card/Person/90238", "ООО ""МАСТЕР-СЕРВИС""")</f>
        <v>ООО "МАСТЕР-СЕРВИС"</v>
      </c>
      <c r="K6695" s="24" t="s">
        <v>5149</v>
      </c>
      <c r="L6695" s="28" t="s">
        <v>52</v>
      </c>
      <c r="M6695" s="25">
        <v>1847027.22</v>
      </c>
      <c r="N6695" s="27">
        <v>0.44000002328498344</v>
      </c>
    </row>
    <row r="6696" spans="1:14" hidden="1" outlineLevel="1" x14ac:dyDescent="0.2">
      <c r="A6696" s="23" t="str">
        <f t="shared" si="278"/>
        <v>ГБУЗ "ГКБ № 15 ДЗМ"</v>
      </c>
      <c r="B6696" s="24" t="s">
        <v>8679</v>
      </c>
      <c r="C6696" s="25">
        <v>3298263.03</v>
      </c>
      <c r="D6696" s="22" t="s">
        <v>8680</v>
      </c>
      <c r="E6696" s="22" t="s">
        <v>103</v>
      </c>
      <c r="F6696" s="23" t="str">
        <f t="shared" si="279"/>
        <v>Техническое обслуживание систем видеонаблюдения и охранной сигнализации</v>
      </c>
      <c r="G6696" s="22" t="s">
        <v>55</v>
      </c>
      <c r="H6696" s="22" t="s">
        <v>55</v>
      </c>
      <c r="I6696" s="26">
        <v>43626.349305555603</v>
      </c>
      <c r="J6696" s="23" t="str">
        <f>HYPERLINK("https://www.spark-marketing.ru/Card/Person/711271", "ООО ""СИБ""")</f>
        <v>ООО "СИБ"</v>
      </c>
      <c r="K6696" s="24" t="s">
        <v>1741</v>
      </c>
      <c r="L6696" s="28" t="s">
        <v>52</v>
      </c>
      <c r="M6696" s="25">
        <v>417017.36</v>
      </c>
      <c r="N6696" s="27">
        <v>0.87356455315815129</v>
      </c>
    </row>
    <row r="6697" spans="1:14" hidden="1" outlineLevel="1" x14ac:dyDescent="0.2">
      <c r="A6697" s="23" t="str">
        <f t="shared" si="278"/>
        <v>ГБУЗ "ГКБ № 15 ДЗМ"</v>
      </c>
      <c r="B6697" s="24" t="s">
        <v>8679</v>
      </c>
      <c r="C6697" s="25">
        <v>3298263.03</v>
      </c>
      <c r="D6697" s="22" t="s">
        <v>8680</v>
      </c>
      <c r="E6697" s="22" t="s">
        <v>103</v>
      </c>
      <c r="F6697" s="23" t="str">
        <f t="shared" si="279"/>
        <v>Техническое обслуживание систем видеонаблюдения и охранной сигнализации</v>
      </c>
      <c r="G6697" s="22" t="s">
        <v>55</v>
      </c>
      <c r="H6697" s="22" t="s">
        <v>55</v>
      </c>
      <c r="I6697" s="26">
        <v>43626.349305555603</v>
      </c>
      <c r="J6697" s="23" t="str">
        <f>HYPERLINK("https://www.spark-marketing.ru/Card/Person/5921742", "ООО ""КСБ""")</f>
        <v>ООО "КСБ"</v>
      </c>
      <c r="K6697" s="24" t="s">
        <v>1739</v>
      </c>
      <c r="L6697" s="28" t="s">
        <v>52</v>
      </c>
      <c r="M6697" s="25">
        <v>1055444.06</v>
      </c>
      <c r="N6697" s="27">
        <v>0.68000003322961178</v>
      </c>
    </row>
    <row r="6698" spans="1:14" hidden="1" outlineLevel="1" x14ac:dyDescent="0.2">
      <c r="A6698" s="23" t="str">
        <f t="shared" si="278"/>
        <v>ГБУЗ "ГКБ № 15 ДЗМ"</v>
      </c>
      <c r="B6698" s="24" t="s">
        <v>8679</v>
      </c>
      <c r="C6698" s="25">
        <v>3298263.03</v>
      </c>
      <c r="D6698" s="22" t="s">
        <v>8680</v>
      </c>
      <c r="E6698" s="22" t="s">
        <v>103</v>
      </c>
      <c r="F6698" s="23" t="str">
        <f t="shared" si="279"/>
        <v>Техническое обслуживание систем видеонаблюдения и охранной сигнализации</v>
      </c>
      <c r="G6698" s="22" t="s">
        <v>55</v>
      </c>
      <c r="H6698" s="22" t="s">
        <v>55</v>
      </c>
      <c r="I6698" s="26">
        <v>43626.349305555603</v>
      </c>
      <c r="J6698" s="23" t="str">
        <f>HYPERLINK("https://www.spark-marketing.ru/Card/Person/5887999", "ООО ""РЕМСЕРВИС""")</f>
        <v>ООО "РЕМСЕРВИС"</v>
      </c>
      <c r="K6698" s="24" t="s">
        <v>8681</v>
      </c>
      <c r="L6698" s="28" t="s">
        <v>52</v>
      </c>
      <c r="M6698" s="25">
        <v>1405000</v>
      </c>
      <c r="N6698" s="27">
        <v>0.57401820678928694</v>
      </c>
    </row>
    <row r="6699" spans="1:14" hidden="1" outlineLevel="1" x14ac:dyDescent="0.2">
      <c r="A6699" s="23" t="str">
        <f t="shared" si="278"/>
        <v>ГБУЗ "ГКБ № 15 ДЗМ"</v>
      </c>
      <c r="B6699" s="24" t="s">
        <v>8679</v>
      </c>
      <c r="C6699" s="25">
        <v>3298263.03</v>
      </c>
      <c r="D6699" s="22" t="s">
        <v>8680</v>
      </c>
      <c r="E6699" s="22" t="s">
        <v>103</v>
      </c>
      <c r="F6699" s="23" t="str">
        <f t="shared" si="279"/>
        <v>Техническое обслуживание систем видеонаблюдения и охранной сигнализации</v>
      </c>
      <c r="G6699" s="22" t="s">
        <v>55</v>
      </c>
      <c r="H6699" s="22" t="s">
        <v>55</v>
      </c>
      <c r="I6699" s="26">
        <v>43626.349305555603</v>
      </c>
      <c r="J6699" s="23" t="str">
        <f>HYPERLINK("https://www.spark-marketing.ru/Card/Person/6625797", "ООО ""АТЛАС""")</f>
        <v>ООО "АТЛАС"</v>
      </c>
      <c r="K6699" s="24" t="s">
        <v>8682</v>
      </c>
      <c r="L6699" s="28" t="s">
        <v>52</v>
      </c>
      <c r="M6699" s="25">
        <v>1070000</v>
      </c>
      <c r="N6699" s="27">
        <v>0.67558681940536436</v>
      </c>
    </row>
    <row r="6700" spans="1:14" hidden="1" outlineLevel="1" x14ac:dyDescent="0.2">
      <c r="A6700" s="23" t="str">
        <f t="shared" si="278"/>
        <v>ГБУЗ "ГКБ № 15 ДЗМ"</v>
      </c>
      <c r="B6700" s="24" t="s">
        <v>8679</v>
      </c>
      <c r="C6700" s="25">
        <v>3298263.03</v>
      </c>
      <c r="D6700" s="22" t="s">
        <v>8680</v>
      </c>
      <c r="E6700" s="22" t="s">
        <v>103</v>
      </c>
      <c r="F6700" s="23" t="str">
        <f t="shared" si="279"/>
        <v>Техническое обслуживание систем видеонаблюдения и охранной сигнализации</v>
      </c>
      <c r="G6700" s="22" t="s">
        <v>55</v>
      </c>
      <c r="H6700" s="22" t="s">
        <v>55</v>
      </c>
      <c r="I6700" s="26">
        <v>43626.349305555603</v>
      </c>
      <c r="J6700" s="23" t="str">
        <f>HYPERLINK("https://www.spark-marketing.ru/Card/Person/1620277", "Ковров Георгий Юрьевич")</f>
        <v>Ковров Георгий Юрьевич</v>
      </c>
      <c r="K6700" s="24" t="s">
        <v>3873</v>
      </c>
      <c r="L6700" s="28" t="s">
        <v>52</v>
      </c>
      <c r="M6700" s="25">
        <v>166605.44</v>
      </c>
      <c r="N6700" s="27">
        <v>0.9494869152385339</v>
      </c>
    </row>
    <row r="6701" spans="1:14" hidden="1" outlineLevel="1" x14ac:dyDescent="0.2">
      <c r="A6701" s="23" t="str">
        <f t="shared" si="278"/>
        <v>ГБУЗ "ГКБ № 15 ДЗМ"</v>
      </c>
      <c r="B6701" s="24" t="s">
        <v>8679</v>
      </c>
      <c r="C6701" s="25">
        <v>3298263.03</v>
      </c>
      <c r="D6701" s="22" t="s">
        <v>8680</v>
      </c>
      <c r="E6701" s="22" t="s">
        <v>103</v>
      </c>
      <c r="F6701" s="23" t="str">
        <f t="shared" si="279"/>
        <v>Техническое обслуживание систем видеонаблюдения и охранной сигнализации</v>
      </c>
      <c r="G6701" s="22" t="s">
        <v>55</v>
      </c>
      <c r="H6701" s="22" t="s">
        <v>55</v>
      </c>
      <c r="I6701" s="26">
        <v>43626.349305555603</v>
      </c>
      <c r="J6701" s="23" t="str">
        <f>HYPERLINK("https://www.spark-marketing.ru/Card/Person/2572181", "ООО ""ЖИРАФ""")</f>
        <v>ООО "ЖИРАФ"</v>
      </c>
      <c r="K6701" s="24" t="s">
        <v>8683</v>
      </c>
      <c r="L6701" s="28" t="s">
        <v>52</v>
      </c>
      <c r="M6701" s="25">
        <v>3298263.03</v>
      </c>
      <c r="N6701" s="27">
        <v>0</v>
      </c>
    </row>
    <row r="6702" spans="1:14" hidden="1" outlineLevel="1" x14ac:dyDescent="0.2">
      <c r="A6702" s="23" t="str">
        <f t="shared" si="278"/>
        <v>ГБУЗ "ГКБ № 15 ДЗМ"</v>
      </c>
      <c r="B6702" s="24" t="s">
        <v>8679</v>
      </c>
      <c r="C6702" s="25">
        <v>3298263.03</v>
      </c>
      <c r="D6702" s="22" t="s">
        <v>8680</v>
      </c>
      <c r="E6702" s="22" t="s">
        <v>103</v>
      </c>
      <c r="F6702" s="23" t="str">
        <f t="shared" si="279"/>
        <v>Техническое обслуживание систем видеонаблюдения и охранной сигнализации</v>
      </c>
      <c r="G6702" s="22" t="s">
        <v>55</v>
      </c>
      <c r="H6702" s="22" t="s">
        <v>55</v>
      </c>
      <c r="I6702" s="26">
        <v>43626.349305555603</v>
      </c>
      <c r="J6702" s="23" t="str">
        <f>HYPERLINK("https://www.spark-marketing.ru/Card/Person/6049565", "ООО ""КОМСТРОЙ""")</f>
        <v>ООО "КОМСТРОЙ"</v>
      </c>
      <c r="K6702" s="24" t="s">
        <v>8684</v>
      </c>
      <c r="L6702" s="28" t="s">
        <v>52</v>
      </c>
      <c r="M6702" s="25">
        <v>3232297.75</v>
      </c>
      <c r="N6702" s="27">
        <v>2.0000005881883835E-2</v>
      </c>
    </row>
    <row r="6703" spans="1:14" hidden="1" outlineLevel="1" x14ac:dyDescent="0.2">
      <c r="A6703" s="23" t="str">
        <f t="shared" si="278"/>
        <v>ГБУЗ "ГКБ № 15 ДЗМ"</v>
      </c>
      <c r="B6703" s="24" t="s">
        <v>8679</v>
      </c>
      <c r="C6703" s="25">
        <v>3298263.03</v>
      </c>
      <c r="D6703" s="22" t="s">
        <v>8680</v>
      </c>
      <c r="E6703" s="22" t="s">
        <v>103</v>
      </c>
      <c r="F6703" s="23" t="str">
        <f t="shared" si="279"/>
        <v>Техническое обслуживание систем видеонаблюдения и охранной сигнализации</v>
      </c>
      <c r="G6703" s="22" t="s">
        <v>55</v>
      </c>
      <c r="H6703" s="22" t="s">
        <v>55</v>
      </c>
      <c r="I6703" s="26">
        <v>43626.349305555603</v>
      </c>
      <c r="J6703" s="23" t="str">
        <f>HYPERLINK("https://www.spark-marketing.ru/Card/Person/58054", "ООО ""СПЕКТР-АПС""")</f>
        <v>ООО "СПЕКТР-АПС"</v>
      </c>
      <c r="K6703" s="24" t="s">
        <v>4808</v>
      </c>
      <c r="L6703" s="28" t="s">
        <v>52</v>
      </c>
      <c r="M6703" s="25">
        <v>1788000.03</v>
      </c>
      <c r="N6703" s="27">
        <v>0.4578964704340151</v>
      </c>
    </row>
    <row r="6704" spans="1:14" hidden="1" outlineLevel="1" x14ac:dyDescent="0.2">
      <c r="A6704" s="23" t="str">
        <f t="shared" si="278"/>
        <v>ГБУЗ "ГКБ № 15 ДЗМ"</v>
      </c>
      <c r="B6704" s="24" t="s">
        <v>8679</v>
      </c>
      <c r="C6704" s="25">
        <v>3298263.03</v>
      </c>
      <c r="D6704" s="22" t="s">
        <v>8680</v>
      </c>
      <c r="E6704" s="22" t="s">
        <v>103</v>
      </c>
      <c r="F6704" s="23" t="str">
        <f t="shared" si="279"/>
        <v>Техническое обслуживание систем видеонаблюдения и охранной сигнализации</v>
      </c>
      <c r="G6704" s="22" t="s">
        <v>55</v>
      </c>
      <c r="H6704" s="22" t="s">
        <v>55</v>
      </c>
      <c r="I6704" s="26">
        <v>43626.349305555603</v>
      </c>
      <c r="J6704" s="23" t="str">
        <f>HYPERLINK("https://www.spark-marketing.ru/Card/Person/1390637", "ООО ""ЦБ ""ОМАКС""")</f>
        <v>ООО "ЦБ "ОМАКС"</v>
      </c>
      <c r="K6704" s="24" t="s">
        <v>8685</v>
      </c>
      <c r="L6704" s="28" t="s">
        <v>52</v>
      </c>
      <c r="M6704" s="25">
        <v>626669.79</v>
      </c>
      <c r="N6704" s="27">
        <v>0.81000005630236227</v>
      </c>
    </row>
    <row r="6705" spans="1:14" ht="12.75" hidden="1" outlineLevel="1" x14ac:dyDescent="0.2">
      <c r="A6705" s="23" t="str">
        <f t="shared" si="278"/>
        <v>ГБУЗ "ГКБ № 15 ДЗМ"</v>
      </c>
      <c r="B6705" s="24" t="s">
        <v>8679</v>
      </c>
      <c r="C6705" s="25">
        <v>3298263.03</v>
      </c>
      <c r="D6705" s="22" t="s">
        <v>8680</v>
      </c>
      <c r="E6705" s="22" t="s">
        <v>103</v>
      </c>
      <c r="F6705" s="23" t="str">
        <f t="shared" si="279"/>
        <v>Техническое обслуживание систем видеонаблюдения и охранной сигнализации</v>
      </c>
      <c r="G6705" s="22" t="s">
        <v>55</v>
      </c>
      <c r="H6705" s="22" t="s">
        <v>55</v>
      </c>
      <c r="I6705" s="26">
        <v>43626.349305555603</v>
      </c>
      <c r="J6705" s="23" t="str">
        <f>HYPERLINK("https://www.spark-marketing.ru/Card/Person/1359015", "ООО ""СЕРВИС ГРУПП""")</f>
        <v>ООО "СЕРВИС ГРУПП"</v>
      </c>
      <c r="K6705" s="24" t="s">
        <v>8686</v>
      </c>
      <c r="L6705" s="22" t="s">
        <v>10</v>
      </c>
      <c r="M6705" s="25">
        <v>150114.12</v>
      </c>
      <c r="N6705" s="27">
        <v>0.95448691670900487</v>
      </c>
    </row>
    <row r="6706" spans="1:14" hidden="1" outlineLevel="1" x14ac:dyDescent="0.2">
      <c r="A6706" s="23" t="str">
        <f t="shared" si="278"/>
        <v>ГБУЗ "ГКБ № 15 ДЗМ"</v>
      </c>
      <c r="B6706" s="24" t="s">
        <v>8679</v>
      </c>
      <c r="C6706" s="25">
        <v>3298263.03</v>
      </c>
      <c r="D6706" s="22" t="s">
        <v>8680</v>
      </c>
      <c r="E6706" s="22" t="s">
        <v>103</v>
      </c>
      <c r="F6706" s="23" t="str">
        <f t="shared" si="279"/>
        <v>Техническое обслуживание систем видеонаблюдения и охранной сигнализации</v>
      </c>
      <c r="G6706" s="22" t="s">
        <v>55</v>
      </c>
      <c r="H6706" s="22" t="s">
        <v>55</v>
      </c>
      <c r="I6706" s="26">
        <v>43626.349305555603</v>
      </c>
      <c r="J6706" s="23" t="str">
        <f>HYPERLINK("https://www.spark-marketing.ru/Card/Person/122661", "ООО ""ПОЖПРОЕКТ""")</f>
        <v>ООО "ПОЖПРОЕКТ"</v>
      </c>
      <c r="K6706" s="24" t="s">
        <v>8687</v>
      </c>
      <c r="L6706" s="28" t="s">
        <v>52</v>
      </c>
      <c r="M6706" s="25">
        <v>416000</v>
      </c>
      <c r="N6706" s="27">
        <v>0.87387300642302013</v>
      </c>
    </row>
    <row r="6707" spans="1:14" hidden="1" outlineLevel="1" x14ac:dyDescent="0.2">
      <c r="A6707" s="23" t="str">
        <f t="shared" si="278"/>
        <v>ГБУЗ "ГКБ № 15 ДЗМ"</v>
      </c>
      <c r="B6707" s="24" t="s">
        <v>8679</v>
      </c>
      <c r="C6707" s="25">
        <v>3298263.03</v>
      </c>
      <c r="D6707" s="22" t="s">
        <v>8680</v>
      </c>
      <c r="E6707" s="22" t="s">
        <v>103</v>
      </c>
      <c r="F6707" s="23" t="str">
        <f t="shared" si="279"/>
        <v>Техническое обслуживание систем видеонаблюдения и охранной сигнализации</v>
      </c>
      <c r="G6707" s="22" t="s">
        <v>55</v>
      </c>
      <c r="H6707" s="22" t="s">
        <v>55</v>
      </c>
      <c r="I6707" s="26">
        <v>43626.349305555603</v>
      </c>
      <c r="J6707" s="23" t="str">
        <f>HYPERLINK("https://www.spark-marketing.ru/Card/Person/2576628", "ООО ""АЛЬТЕРА""")</f>
        <v>ООО "АЛЬТЕРА"</v>
      </c>
      <c r="K6707" s="24" t="s">
        <v>1718</v>
      </c>
      <c r="L6707" s="28" t="s">
        <v>52</v>
      </c>
      <c r="M6707" s="25">
        <v>1847027.22</v>
      </c>
      <c r="N6707" s="27">
        <v>0.44000002328498344</v>
      </c>
    </row>
    <row r="6708" spans="1:14" hidden="1" outlineLevel="1" x14ac:dyDescent="0.2">
      <c r="A6708" s="23" t="str">
        <f t="shared" si="278"/>
        <v>ГБУЗ "ГКБ № 15 ДЗМ"</v>
      </c>
      <c r="B6708" s="24" t="s">
        <v>8679</v>
      </c>
      <c r="C6708" s="25">
        <v>3298263.03</v>
      </c>
      <c r="D6708" s="22" t="s">
        <v>8680</v>
      </c>
      <c r="E6708" s="22" t="s">
        <v>103</v>
      </c>
      <c r="F6708" s="23" t="str">
        <f t="shared" si="279"/>
        <v>Техническое обслуживание систем видеонаблюдения и охранной сигнализации</v>
      </c>
      <c r="G6708" s="22" t="s">
        <v>55</v>
      </c>
      <c r="H6708" s="22" t="s">
        <v>55</v>
      </c>
      <c r="I6708" s="26">
        <v>43626.349305555603</v>
      </c>
      <c r="J6708" s="23" t="str">
        <f>HYPERLINK("https://www.spark-marketing.ru/Card/Person/6314165", "ООО ""СМАРТ ВН""")</f>
        <v>ООО "СМАРТ ВН"</v>
      </c>
      <c r="K6708" s="24" t="s">
        <v>8688</v>
      </c>
      <c r="L6708" s="28" t="s">
        <v>52</v>
      </c>
      <c r="M6708" s="25">
        <v>989478.78</v>
      </c>
      <c r="N6708" s="27">
        <v>0.70000003911149555</v>
      </c>
    </row>
    <row r="6709" spans="1:14" hidden="1" outlineLevel="1" x14ac:dyDescent="0.2">
      <c r="A6709" s="23" t="str">
        <f t="shared" si="278"/>
        <v>ГБУЗ "ГКБ № 15 ДЗМ"</v>
      </c>
      <c r="B6709" s="24" t="s">
        <v>8679</v>
      </c>
      <c r="C6709" s="25">
        <v>3298263.03</v>
      </c>
      <c r="D6709" s="22" t="s">
        <v>8680</v>
      </c>
      <c r="E6709" s="22" t="s">
        <v>103</v>
      </c>
      <c r="F6709" s="23" t="str">
        <f t="shared" si="279"/>
        <v>Техническое обслуживание систем видеонаблюдения и охранной сигнализации</v>
      </c>
      <c r="G6709" s="22" t="s">
        <v>55</v>
      </c>
      <c r="H6709" s="22" t="s">
        <v>55</v>
      </c>
      <c r="I6709" s="26">
        <v>43626.349305555603</v>
      </c>
      <c r="J6709" s="23" t="str">
        <f>HYPERLINK("https://www.spark-marketing.ru/Card/Person/4277800", "ООО ""СМАРТВИЖЕН""")</f>
        <v>ООО "СМАРТВИЖЕН"</v>
      </c>
      <c r="K6709" s="24" t="s">
        <v>8689</v>
      </c>
      <c r="L6709" s="28" t="s">
        <v>52</v>
      </c>
      <c r="M6709" s="25">
        <v>433508.68</v>
      </c>
      <c r="N6709" s="27">
        <v>0.86856455168768032</v>
      </c>
    </row>
    <row r="6710" spans="1:14" hidden="1" outlineLevel="1" x14ac:dyDescent="0.2">
      <c r="A6710" s="23" t="str">
        <f t="shared" si="278"/>
        <v>ГБУЗ "ГКБ № 15 ДЗМ"</v>
      </c>
      <c r="B6710" s="24" t="s">
        <v>8679</v>
      </c>
      <c r="C6710" s="25">
        <v>3298263.03</v>
      </c>
      <c r="D6710" s="22" t="s">
        <v>8680</v>
      </c>
      <c r="E6710" s="22" t="s">
        <v>103</v>
      </c>
      <c r="F6710" s="23" t="str">
        <f t="shared" si="279"/>
        <v>Техническое обслуживание систем видеонаблюдения и охранной сигнализации</v>
      </c>
      <c r="G6710" s="22" t="s">
        <v>55</v>
      </c>
      <c r="H6710" s="22" t="s">
        <v>55</v>
      </c>
      <c r="I6710" s="26">
        <v>43626.349305555603</v>
      </c>
      <c r="J6710" s="23" t="str">
        <f>HYPERLINK("https://www.spark-marketing.ru/Card/Person/138389", "Субботина Юлия Валерьевна")</f>
        <v>Субботина Юлия Валерьевна</v>
      </c>
      <c r="K6710" s="24" t="s">
        <v>8690</v>
      </c>
      <c r="L6710" s="28" t="s">
        <v>52</v>
      </c>
      <c r="M6710" s="25">
        <v>444578.27</v>
      </c>
      <c r="N6710" s="27">
        <v>0.86520836393087786</v>
      </c>
    </row>
    <row r="6711" spans="1:14" hidden="1" outlineLevel="1" x14ac:dyDescent="0.2">
      <c r="A6711" s="23" t="str">
        <f t="shared" si="278"/>
        <v>ГБУЗ "ГКБ № 15 ДЗМ"</v>
      </c>
      <c r="B6711" s="24" t="s">
        <v>8679</v>
      </c>
      <c r="C6711" s="25">
        <v>3298263.03</v>
      </c>
      <c r="D6711" s="22" t="s">
        <v>8680</v>
      </c>
      <c r="E6711" s="22" t="s">
        <v>103</v>
      </c>
      <c r="F6711" s="23" t="str">
        <f t="shared" si="279"/>
        <v>Техническое обслуживание систем видеонаблюдения и охранной сигнализации</v>
      </c>
      <c r="G6711" s="22" t="s">
        <v>55</v>
      </c>
      <c r="H6711" s="22" t="s">
        <v>55</v>
      </c>
      <c r="I6711" s="26">
        <v>43626.349305555603</v>
      </c>
      <c r="J6711" s="23" t="str">
        <f>HYPERLINK("https://www.spark-marketing.ru/Card/Person/6231494", "ООО ""ИСБ ПЛЮС""")</f>
        <v>ООО "ИСБ ПЛЮС"</v>
      </c>
      <c r="K6711" s="24" t="s">
        <v>1584</v>
      </c>
      <c r="L6711" s="28" t="s">
        <v>52</v>
      </c>
      <c r="M6711" s="25">
        <v>610178.47</v>
      </c>
      <c r="N6711" s="27">
        <v>0.81500005777283324</v>
      </c>
    </row>
    <row r="6712" spans="1:14" x14ac:dyDescent="0.15">
      <c r="A6712" s="23" t="str">
        <f>HYPERLINK("https://www.spark-marketing.ru/Card/Person/1753552", "АО ""НПК ""КБМ""")</f>
        <v>АО "НПК "КБМ"</v>
      </c>
      <c r="B6712" s="24" t="s">
        <v>8691</v>
      </c>
      <c r="C6712" s="25">
        <v>2510529.7999999998</v>
      </c>
      <c r="D6712" s="22" t="s">
        <v>8692</v>
      </c>
      <c r="E6712" s="22" t="s">
        <v>5061</v>
      </c>
      <c r="F6712" s="23" t="str">
        <f>HYPERLINK("https://www.spark-marketing.ru/Card/Lot/71229823", "0204-2019-00395 Выполнение работ по установке охранной сигнализации периметр об 4")</f>
        <v>0204-2019-00395 Выполнение работ по установке охранной сигнализации периметр об 4</v>
      </c>
      <c r="G6712" s="22" t="s">
        <v>50</v>
      </c>
      <c r="H6712" s="22" t="s">
        <v>682</v>
      </c>
      <c r="I6712" s="26">
        <v>43626.350694444402</v>
      </c>
      <c r="J6712" s="28" t="s">
        <v>52</v>
      </c>
      <c r="K6712" s="28" t="s">
        <v>52</v>
      </c>
      <c r="L6712" s="28" t="s">
        <v>52</v>
      </c>
      <c r="M6712" s="28" t="s">
        <v>52</v>
      </c>
      <c r="N6712" s="28" t="s">
        <v>52</v>
      </c>
    </row>
    <row r="6713" spans="1:14" x14ac:dyDescent="0.15">
      <c r="A6713" s="23" t="str">
        <f>HYPERLINK("https://www.spark-marketing.ru/Card/Person/159768", "ГЛАВНОЕ УПРАВЛЕНИЕ МИНЮСТА РОССИИ ПО ПРИМОРСКОМУ КРАЮ")</f>
        <v>ГЛАВНОЕ УПРАВЛЕНИЕ МИНЮСТА РОССИИ ПО ПРИМОРСКОМУ КРАЮ</v>
      </c>
      <c r="B6713" s="24" t="s">
        <v>8693</v>
      </c>
      <c r="C6713" s="25">
        <v>84908</v>
      </c>
      <c r="D6713" s="22" t="s">
        <v>8694</v>
      </c>
      <c r="E6713" s="22" t="s">
        <v>53</v>
      </c>
      <c r="F6713" s="23" t="str">
        <f>HYPERLINK("https://www.spark-marketing.ru/Card/Lot/71229468", "Оказание услуг по централизованной охране объектов")</f>
        <v>Оказание услуг по централизованной охране объектов</v>
      </c>
      <c r="G6713" s="22" t="s">
        <v>409</v>
      </c>
      <c r="H6713" s="22" t="s">
        <v>878</v>
      </c>
      <c r="I6713" s="26">
        <v>43626.347800925898</v>
      </c>
      <c r="J6713" s="28" t="s">
        <v>52</v>
      </c>
      <c r="K6713" s="28" t="s">
        <v>52</v>
      </c>
      <c r="L6713" s="28" t="s">
        <v>52</v>
      </c>
      <c r="M6713" s="28" t="s">
        <v>52</v>
      </c>
      <c r="N6713" s="28" t="s">
        <v>52</v>
      </c>
    </row>
    <row r="6714" spans="1:14" x14ac:dyDescent="0.15">
      <c r="A6714" s="23" t="str">
        <f>HYPERLINK("https://www.spark-marketing.ru/Card/Person/6450322", "ЗАКАЗЧИК РП БЕЛАРУСЬ")</f>
        <v>ЗАКАЗЧИК РП БЕЛАРУСЬ</v>
      </c>
      <c r="B6714" s="28" t="s">
        <v>52</v>
      </c>
      <c r="C6714" s="28" t="s">
        <v>52</v>
      </c>
      <c r="D6714" s="22" t="s">
        <v>8695</v>
      </c>
      <c r="E6714" s="22" t="s">
        <v>53</v>
      </c>
      <c r="F6714" s="23" t="str">
        <f>HYPERLINK("https://www.spark-marketing.ru/Card/Lot/71263216", "Комплексное техническое обслуживание системы конференцсвязи и видеотрансляции, системы видеонаблюдения учебного класса и системы информационного табло в фойе 1-го этажа")</f>
        <v>Комплексное техническое обслуживание системы конференцсвязи и видеотрансляции, системы видеонаблюдения учебного класса и системы информационного табло в фойе 1-го этажа</v>
      </c>
      <c r="G6714" s="22" t="s">
        <v>52</v>
      </c>
      <c r="H6714" s="22" t="s">
        <v>52</v>
      </c>
      <c r="I6714" s="26">
        <v>43626</v>
      </c>
      <c r="J6714" s="28" t="s">
        <v>52</v>
      </c>
      <c r="K6714" s="28" t="s">
        <v>52</v>
      </c>
      <c r="L6714" s="28" t="s">
        <v>52</v>
      </c>
      <c r="M6714" s="28" t="s">
        <v>52</v>
      </c>
      <c r="N6714" s="28" t="s">
        <v>52</v>
      </c>
    </row>
    <row r="6715" spans="1:14" x14ac:dyDescent="0.15">
      <c r="A6715" s="23" t="str">
        <f>HYPERLINK("https://www.spark-marketing.ru/Card/Person/4368013", "АСУСОН ТО ""КУНЧУРСКИЙ ПСИХОНЕВРОЛОГИЧЕСКИЙ ИНТЕРНАТ""")</f>
        <v>АСУСОН ТО "КУНЧУРСКИЙ ПСИХОНЕВРОЛОГИЧЕСКИЙ ИНТЕРНАТ"</v>
      </c>
      <c r="B6715" s="24" t="s">
        <v>1570</v>
      </c>
      <c r="C6715" s="25">
        <v>375360</v>
      </c>
      <c r="D6715" s="22" t="s">
        <v>8696</v>
      </c>
      <c r="E6715" s="22" t="s">
        <v>144</v>
      </c>
      <c r="F6715" s="23" t="str">
        <f>HYPERLINK("https://www.spark-marketing.ru/Card/Lot/71224828", "услуги охраны объекта")</f>
        <v>услуги охраны объекта</v>
      </c>
      <c r="G6715" s="22" t="s">
        <v>893</v>
      </c>
      <c r="H6715" s="22" t="s">
        <v>893</v>
      </c>
      <c r="I6715" s="26">
        <v>43625.461145833302</v>
      </c>
      <c r="J6715" s="28" t="s">
        <v>52</v>
      </c>
      <c r="K6715" s="28" t="s">
        <v>52</v>
      </c>
      <c r="L6715" s="28" t="s">
        <v>52</v>
      </c>
      <c r="M6715" s="28" t="s">
        <v>52</v>
      </c>
      <c r="N6715" s="28" t="s">
        <v>52</v>
      </c>
    </row>
    <row r="6716" spans="1:14" hidden="1" outlineLevel="1" x14ac:dyDescent="0.2">
      <c r="A6716" s="23" t="str">
        <f>HYPERLINK("https://www.spark-marketing.ru/Card/Person/4368013", "АСУСОН ТО ""КУНЧУРСКИЙ ПСИХОНЕВРОЛОГИЧЕСКИЙ ИНТЕРНАТ""")</f>
        <v>АСУСОН ТО "КУНЧУРСКИЙ ПСИХОНЕВРОЛОГИЧЕСКИЙ ИНТЕРНАТ"</v>
      </c>
      <c r="B6716" s="24" t="s">
        <v>1570</v>
      </c>
      <c r="C6716" s="28" t="s">
        <v>52</v>
      </c>
      <c r="D6716" s="22" t="s">
        <v>8696</v>
      </c>
      <c r="E6716" s="22" t="s">
        <v>144</v>
      </c>
      <c r="F6716" s="23" t="str">
        <f>HYPERLINK("https://www.spark-marketing.ru/Card/Lot/71224828", "услуги охраны объекта")</f>
        <v>услуги охраны объекта</v>
      </c>
      <c r="G6716" s="22" t="s">
        <v>893</v>
      </c>
      <c r="H6716" s="22" t="s">
        <v>893</v>
      </c>
      <c r="I6716" s="26">
        <v>43625.461145833302</v>
      </c>
      <c r="J6716" s="23" t="str">
        <f>HYPERLINK("https://www.spark-marketing.ru/Card/Person/319687", "ООО ЧОП ""МАРС-М""")</f>
        <v>ООО ЧОП "МАРС-М"</v>
      </c>
      <c r="K6716" s="24" t="s">
        <v>8697</v>
      </c>
      <c r="L6716" s="28" t="s">
        <v>52</v>
      </c>
      <c r="M6716" s="25">
        <v>419520</v>
      </c>
      <c r="N6716" s="27">
        <v>-0.11764705882352941</v>
      </c>
    </row>
    <row r="6717" spans="1:14" hidden="1" outlineLevel="1" x14ac:dyDescent="0.2">
      <c r="A6717" s="23" t="str">
        <f>HYPERLINK("https://www.spark-marketing.ru/Card/Person/4368013", "АСУСОН ТО ""КУНЧУРСКИЙ ПСИХОНЕВРОЛОГИЧЕСКИЙ ИНТЕРНАТ""")</f>
        <v>АСУСОН ТО "КУНЧУРСКИЙ ПСИХОНЕВРОЛОГИЧЕСКИЙ ИНТЕРНАТ"</v>
      </c>
      <c r="B6717" s="24" t="s">
        <v>1570</v>
      </c>
      <c r="C6717" s="28" t="s">
        <v>52</v>
      </c>
      <c r="D6717" s="22" t="s">
        <v>8696</v>
      </c>
      <c r="E6717" s="22" t="s">
        <v>144</v>
      </c>
      <c r="F6717" s="23" t="str">
        <f>HYPERLINK("https://www.spark-marketing.ru/Card/Lot/71224828", "услуги охраны объекта")</f>
        <v>услуги охраны объекта</v>
      </c>
      <c r="G6717" s="22" t="s">
        <v>893</v>
      </c>
      <c r="H6717" s="22" t="s">
        <v>893</v>
      </c>
      <c r="I6717" s="26">
        <v>43625.461145833302</v>
      </c>
      <c r="J6717" s="23" t="str">
        <f>HYPERLINK("https://www.spark-marketing.ru/Card/Person/4371266", "ООО ЧОП БАГРАТИОН")</f>
        <v>ООО ЧОП БАГРАТИОН</v>
      </c>
      <c r="K6717" s="28" t="s">
        <v>52</v>
      </c>
      <c r="L6717" s="28" t="s">
        <v>52</v>
      </c>
      <c r="M6717" s="25">
        <v>397440</v>
      </c>
      <c r="N6717" s="27">
        <v>-5.8823529411764705E-2</v>
      </c>
    </row>
    <row r="6718" spans="1:14" hidden="1" outlineLevel="1" x14ac:dyDescent="0.2">
      <c r="A6718" s="23" t="str">
        <f>HYPERLINK("https://www.spark-marketing.ru/Card/Person/4368013", "АСУСОН ТО ""КУНЧУРСКИЙ ПСИХОНЕВРОЛОГИЧЕСКИЙ ИНТЕРНАТ""")</f>
        <v>АСУСОН ТО "КУНЧУРСКИЙ ПСИХОНЕВРОЛОГИЧЕСКИЙ ИНТЕРНАТ"</v>
      </c>
      <c r="B6718" s="24" t="s">
        <v>1570</v>
      </c>
      <c r="C6718" s="28" t="s">
        <v>52</v>
      </c>
      <c r="D6718" s="22" t="s">
        <v>8696</v>
      </c>
      <c r="E6718" s="22" t="s">
        <v>144</v>
      </c>
      <c r="F6718" s="23" t="str">
        <f>HYPERLINK("https://www.spark-marketing.ru/Card/Lot/71224828", "услуги охраны объекта")</f>
        <v>услуги охраны объекта</v>
      </c>
      <c r="G6718" s="22" t="s">
        <v>893</v>
      </c>
      <c r="H6718" s="22" t="s">
        <v>893</v>
      </c>
      <c r="I6718" s="26">
        <v>43625.461145833302</v>
      </c>
      <c r="J6718" s="23" t="str">
        <f>HYPERLINK("https://www.spark-marketing.ru/Card/Person/41364", "ФИЛИАЛ N 7215 ВТБ 24 (ЗАО)")</f>
        <v>ФИЛИАЛ N 7215 ВТБ 24 (ЗАО)</v>
      </c>
      <c r="K6718" s="24" t="s">
        <v>1574</v>
      </c>
      <c r="L6718" s="28" t="s">
        <v>52</v>
      </c>
      <c r="M6718" s="25">
        <v>375360</v>
      </c>
      <c r="N6718" s="27">
        <v>0</v>
      </c>
    </row>
    <row r="6719" spans="1:14" x14ac:dyDescent="0.2">
      <c r="A6719" s="23" t="str">
        <f>HYPERLINK("https://www.spark-marketing.ru/Card/Person/1756429", "МАОУ ""СОШ № 91"" Г. ПЕРМИ")</f>
        <v>МАОУ "СОШ № 91" Г. ПЕРМИ</v>
      </c>
      <c r="B6719" s="24" t="s">
        <v>8698</v>
      </c>
      <c r="C6719" s="25">
        <v>150000</v>
      </c>
      <c r="D6719" s="22" t="s">
        <v>8699</v>
      </c>
      <c r="E6719" s="22" t="s">
        <v>8700</v>
      </c>
      <c r="F6719" s="23" t="str">
        <f>HYPERLINK("https://www.spark-marketing.ru/Card/Lot/71210249", "Монтаж видеонаблюдения")</f>
        <v>Монтаж видеонаблюдения</v>
      </c>
      <c r="G6719" s="22" t="s">
        <v>391</v>
      </c>
      <c r="H6719" s="22" t="s">
        <v>391</v>
      </c>
      <c r="I6719" s="26">
        <v>43624.727719907401</v>
      </c>
      <c r="J6719" s="23" t="str">
        <f>HYPERLINK("https://www.spark-marketing.ru/Card/Person/6610472", "ООО ""ПРЕСТИЖ""")</f>
        <v>ООО "ПРЕСТИЖ"</v>
      </c>
      <c r="K6719" s="24" t="s">
        <v>8701</v>
      </c>
      <c r="L6719" s="28" t="s">
        <v>52</v>
      </c>
      <c r="M6719" s="25">
        <v>150000</v>
      </c>
      <c r="N6719" s="27">
        <v>0</v>
      </c>
    </row>
    <row r="6720" spans="1:14" x14ac:dyDescent="0.15">
      <c r="A6720" s="23" t="str">
        <f>HYPERLINK("https://www.spark-marketing.ru/Card/Person/90543", "АДМИНИСТРАЦИЯ ТОРОПЕЦКОГО РАЙОНА")</f>
        <v>АДМИНИСТРАЦИЯ ТОРОПЕЦКОГО РАЙОНА</v>
      </c>
      <c r="B6720" s="24" t="s">
        <v>4352</v>
      </c>
      <c r="C6720" s="25">
        <v>310900</v>
      </c>
      <c r="D6720" s="22" t="s">
        <v>8702</v>
      </c>
      <c r="E6720" s="22" t="s">
        <v>68</v>
      </c>
      <c r="F6720" s="23" t="str">
        <f>HYPERLINK("https://www.spark-marketing.ru/Card/Lot/71189657", "Оказание услуг по предупреждению и ликвидации болезней животных, их лечению, отлову и содержанию безнадзорных животных, защите населения от болезней, общих для человека и животных на территории Торопецкого района")</f>
        <v>Оказание услуг по предупреждению и ликвидации болезней животных, их лечению, отлову и содержанию безнадзорных животных, защите населения от болезней, общих для человека и животных на территории Торопецкого района</v>
      </c>
      <c r="G6720" s="22" t="s">
        <v>251</v>
      </c>
      <c r="H6720" s="22" t="s">
        <v>251</v>
      </c>
      <c r="I6720" s="26">
        <v>43623.709027777797</v>
      </c>
      <c r="J6720" s="28" t="s">
        <v>52</v>
      </c>
      <c r="K6720" s="28" t="s">
        <v>52</v>
      </c>
      <c r="L6720" s="28" t="s">
        <v>52</v>
      </c>
      <c r="M6720" s="28" t="s">
        <v>52</v>
      </c>
      <c r="N6720" s="28" t="s">
        <v>52</v>
      </c>
    </row>
    <row r="6721" spans="1:14" x14ac:dyDescent="0.15">
      <c r="A6721" s="23" t="str">
        <f>HYPERLINK("https://www.spark-marketing.ru/Card/Person/4350519", "ФГБОУ ВО ""МГТУ ИМ. Г. И. НОСОВА"", ФГБОУ ВО ""МАГНИТОГОРСКИЙ ГОСУДАРСТВЕННЫЙ ТЕХНИЧЕСКИЙ УНИВЕРСИТЕТ ИМ. Г. И. НОСОВА"", МАГНИТОГОРСКИЙ ГОСУДАРСТВЕННЫЙ ТЕХНИЧЕСКИЙ УНИВЕРСИТЕТ ИМ. Г. И. НОСОВА, МГТУ ИМ. Г. И. НОСОВА")</f>
        <v>ФГБОУ ВО "МГТУ ИМ. Г. И. НОСОВА", ФГБОУ ВО "МАГНИТОГОРСКИЙ ГОСУДАРСТВЕННЫЙ ТЕХНИЧЕСКИЙ УНИВЕРСИТЕТ ИМ. Г. И. НОСОВА", МАГНИТОГОРСКИЙ ГОСУДАРСТВЕННЫЙ ТЕХНИЧЕСКИЙ УНИВЕРСИТЕТ ИМ. Г. И. НОСОВА, МГТУ ИМ. Г. И. НОСОВА</v>
      </c>
      <c r="B6721" s="24" t="s">
        <v>2959</v>
      </c>
      <c r="C6721" s="25">
        <v>6765488.6399999997</v>
      </c>
      <c r="D6721" s="22" t="s">
        <v>8703</v>
      </c>
      <c r="E6721" s="22" t="s">
        <v>144</v>
      </c>
      <c r="F6721" s="23" t="str">
        <f>HYPERLINK("https://www.spark-marketing.ru/Card/Lot/71183723", "Оказание услуг по осуществлению физической охраны и обеспечению внутриобъектового и пропускного режима на объектах заказчика")</f>
        <v>Оказание услуг по осуществлению физической охраны и обеспечению внутриобъектового и пропускного режима на объектах заказчика</v>
      </c>
      <c r="G6721" s="22" t="s">
        <v>60</v>
      </c>
      <c r="H6721" s="22" t="s">
        <v>221</v>
      </c>
      <c r="I6721" s="26">
        <v>43623.691273148099</v>
      </c>
      <c r="J6721" s="28" t="s">
        <v>52</v>
      </c>
      <c r="K6721" s="28" t="s">
        <v>52</v>
      </c>
      <c r="L6721" s="28" t="s">
        <v>52</v>
      </c>
      <c r="M6721" s="28" t="s">
        <v>52</v>
      </c>
      <c r="N6721" s="28" t="s">
        <v>52</v>
      </c>
    </row>
    <row r="6722" spans="1:14" x14ac:dyDescent="0.15">
      <c r="A6722" s="23" t="str">
        <f>HYPERLINK("https://www.spark-marketing.ru/Card/Person/4360583", "АО ""НК ""РОСНЕФТЬ""-СТАВРОПОЛЬЕ""")</f>
        <v>АО "НК "РОСНЕФТЬ"-СТАВРОПОЛЬЕ"</v>
      </c>
      <c r="B6722" s="24" t="s">
        <v>7226</v>
      </c>
      <c r="C6722" s="25">
        <v>2891000</v>
      </c>
      <c r="D6722" s="22" t="s">
        <v>8704</v>
      </c>
      <c r="E6722" s="22" t="s">
        <v>5554</v>
      </c>
      <c r="F6722" s="23" t="str">
        <f>HYPERLINK("https://www.spark-marketing.ru/Card/Lot/71185743", "Выполнение ПИР на установку систем видеонаблюдения по следующим объектам: АЗК/АЗС №№ 1, 20, 26, 33, 40, 41, 45, 46, 47, 49, 50, 51, 54, 55, 56, 57, 58, 59, 61, 63, 78, 83, 84, 85, 90, 98, 102, 105, 109, 113, 115, 117, 121, 122, 123, 124, 125, 126, 8,...")</f>
        <v>Выполнение ПИР на установку систем видеонаблюдения по следующим объектам: АЗК/АЗС №№ 1, 20, 26, 33, 40, 41, 45, 46, 47, 49, 50, 51, 54, 55, 56, 57, 58, 59, 61, 63, 78, 83, 84, 85, 90, 98, 102, 105, 109, 113, 115, 117, 121, 122, 123, 124, 125, 126, 8,...</v>
      </c>
      <c r="G6722" s="22" t="s">
        <v>258</v>
      </c>
      <c r="H6722" s="22" t="s">
        <v>546</v>
      </c>
      <c r="I6722" s="26">
        <v>43623.681250000001</v>
      </c>
      <c r="J6722" s="28" t="s">
        <v>52</v>
      </c>
      <c r="K6722" s="28" t="s">
        <v>52</v>
      </c>
      <c r="L6722" s="28" t="s">
        <v>52</v>
      </c>
      <c r="M6722" s="28" t="s">
        <v>52</v>
      </c>
      <c r="N6722" s="28" t="s">
        <v>52</v>
      </c>
    </row>
    <row r="6723" spans="1:14" x14ac:dyDescent="0.15">
      <c r="A6723" s="23" t="str">
        <f>HYPERLINK("https://www.spark-marketing.ru/Card/Person/4360583", "АО ""НК ""РОСНЕФТЬ""-СТАВРОПОЛЬЕ""")</f>
        <v>АО "НК "РОСНЕФТЬ"-СТАВРОПОЛЬЕ"</v>
      </c>
      <c r="B6723" s="24" t="s">
        <v>7226</v>
      </c>
      <c r="C6723" s="25">
        <v>451000</v>
      </c>
      <c r="D6723" s="22" t="s">
        <v>8704</v>
      </c>
      <c r="E6723" s="22" t="s">
        <v>5554</v>
      </c>
      <c r="F6723" s="23" t="str">
        <f>HYPERLINK("https://www.spark-marketing.ru/Card/Lot/71185742", "Выполнение ПИР на установку систем видеонаблюдения по следующим объекту:НГХ х. Вязники;Выполнение ПИР на установку периметральной системы защиты по следующим объектам:НГХ х. Вязники, Светлоградский цех.")</f>
        <v>Выполнение ПИР на установку систем видеонаблюдения по следующим объекту:НГХ х. Вязники;Выполнение ПИР на установку периметральной системы защиты по следующим объектам:НГХ х. Вязники, Светлоградский цех.</v>
      </c>
      <c r="G6723" s="22" t="s">
        <v>258</v>
      </c>
      <c r="H6723" s="22" t="s">
        <v>546</v>
      </c>
      <c r="I6723" s="26">
        <v>43623.681250000001</v>
      </c>
      <c r="J6723" s="28" t="s">
        <v>52</v>
      </c>
      <c r="K6723" s="28" t="s">
        <v>52</v>
      </c>
      <c r="L6723" s="28" t="s">
        <v>52</v>
      </c>
      <c r="M6723" s="28" t="s">
        <v>52</v>
      </c>
      <c r="N6723" s="28" t="s">
        <v>52</v>
      </c>
    </row>
    <row r="6724" spans="1:14" x14ac:dyDescent="0.15">
      <c r="A6724" s="23" t="str">
        <f>HYPERLINK("https://www.spark-marketing.ru/Card/Person/75728", "МБОУ ОДИНЦОВСКАЯ СОШ № 3")</f>
        <v>МБОУ ОДИНЦОВСКАЯ СОШ № 3</v>
      </c>
      <c r="B6724" s="24" t="s">
        <v>8705</v>
      </c>
      <c r="C6724" s="25">
        <v>42030</v>
      </c>
      <c r="D6724" s="22" t="s">
        <v>8706</v>
      </c>
      <c r="E6724" s="22" t="s">
        <v>8707</v>
      </c>
      <c r="F6724" s="23" t="str">
        <f>HYPERLINK("https://www.spark-marketing.ru/Card/Lot/71187025", "Закупка в 2019 году услуг по монтажу и пуско - наладке технических средств охраны (сигнализации) с использованием материалов и оборудования для нужд МБОУ Одинцовская СОШ №3")</f>
        <v>Закупка в 2019 году услуг по монтажу и пуско - наладке технических средств охраны (сигнализации) с использованием материалов и оборудования для нужд МБОУ Одинцовская СОШ №3</v>
      </c>
      <c r="G6724" s="22" t="s">
        <v>50</v>
      </c>
      <c r="H6724" s="22" t="s">
        <v>1045</v>
      </c>
      <c r="I6724" s="26">
        <v>43623.690347222197</v>
      </c>
      <c r="J6724" s="28" t="s">
        <v>52</v>
      </c>
      <c r="K6724" s="28" t="s">
        <v>52</v>
      </c>
      <c r="L6724" s="28" t="s">
        <v>52</v>
      </c>
      <c r="M6724" s="28" t="s">
        <v>52</v>
      </c>
      <c r="N6724" s="28" t="s">
        <v>52</v>
      </c>
    </row>
    <row r="6725" spans="1:14" x14ac:dyDescent="0.15">
      <c r="A6725" s="23" t="str">
        <f>HYPERLINK("https://www.spark-marketing.ru/Card/Person/26124", "СУ СК РОССИИ ПО ТВЕРСКОЙ ОБЛАСТИ")</f>
        <v>СУ СК РОССИИ ПО ТВЕРСКОЙ ОБЛАСТИ</v>
      </c>
      <c r="B6725" s="24" t="s">
        <v>8708</v>
      </c>
      <c r="C6725" s="25">
        <v>40602.6</v>
      </c>
      <c r="D6725" s="22" t="s">
        <v>8709</v>
      </c>
      <c r="E6725" s="22" t="s">
        <v>68</v>
      </c>
      <c r="F6725" s="23" t="str">
        <f>HYPERLINK("https://www.spark-marketing.ru/Card/Lot/71186702", "Услуги охраны (тревожная кнопка)")</f>
        <v>Услуги охраны (тревожная кнопка)</v>
      </c>
      <c r="G6725" s="22" t="s">
        <v>251</v>
      </c>
      <c r="H6725" s="22" t="s">
        <v>8710</v>
      </c>
      <c r="I6725" s="26">
        <v>43623.641666666699</v>
      </c>
      <c r="J6725" s="28" t="s">
        <v>52</v>
      </c>
      <c r="K6725" s="28" t="s">
        <v>52</v>
      </c>
      <c r="L6725" s="28" t="s">
        <v>52</v>
      </c>
      <c r="M6725" s="28" t="s">
        <v>52</v>
      </c>
      <c r="N6725" s="28" t="s">
        <v>52</v>
      </c>
    </row>
    <row r="6726" spans="1:14" x14ac:dyDescent="0.15">
      <c r="A6726" s="23" t="str">
        <f>HYPERLINK("https://www.spark-marketing.ru/Card/Person/51993", "УПРАВЛЕНИЕ РОСРЕЕСТРА ПО ЯМАЛО-НЕНЕЦКОМУ АВТОНОМНОМУ ОКРУГУ")</f>
        <v>УПРАВЛЕНИЕ РОСРЕЕСТРА ПО ЯМАЛО-НЕНЕЦКОМУ АВТОНОМНОМУ ОКРУГУ</v>
      </c>
      <c r="B6726" s="24" t="s">
        <v>8711</v>
      </c>
      <c r="C6726" s="25">
        <v>9756</v>
      </c>
      <c r="D6726" s="22" t="s">
        <v>8712</v>
      </c>
      <c r="E6726" s="22" t="s">
        <v>53</v>
      </c>
      <c r="F6726" s="23" t="str">
        <f>HYPERLINK("https://www.spark-marketing.ru/Card/Lot/71183479", "оказание услуг по обслуживанию технических средств охраны")</f>
        <v>оказание услуг по обслуживанию технических средств охраны</v>
      </c>
      <c r="G6726" s="22" t="s">
        <v>311</v>
      </c>
      <c r="H6726" s="22" t="s">
        <v>312</v>
      </c>
      <c r="I6726" s="26">
        <v>43623.631249999999</v>
      </c>
      <c r="J6726" s="28" t="s">
        <v>52</v>
      </c>
      <c r="K6726" s="28" t="s">
        <v>52</v>
      </c>
      <c r="L6726" s="28" t="s">
        <v>52</v>
      </c>
      <c r="M6726" s="28" t="s">
        <v>52</v>
      </c>
      <c r="N6726" s="28" t="s">
        <v>52</v>
      </c>
    </row>
    <row r="6727" spans="1:14" x14ac:dyDescent="0.15">
      <c r="A6727" s="23" t="str">
        <f>HYPERLINK("https://www.spark-marketing.ru/Card/Person/1683079", "ООО ""ЧОП ""КЕННАРД""")</f>
        <v>ООО "ЧОП "КЕННАРД"</v>
      </c>
      <c r="B6727" s="24" t="s">
        <v>1949</v>
      </c>
      <c r="C6727" s="25">
        <v>835.63</v>
      </c>
      <c r="D6727" s="22" t="s">
        <v>8713</v>
      </c>
      <c r="E6727" s="22" t="s">
        <v>53</v>
      </c>
      <c r="F6727" s="23" t="str">
        <f>HYPERLINK("https://www.spark-marketing.ru/Card/Lot/71192881", "Панель 19"" с DIN-рейкой для установки коммутаторов, STK-RACKMNT-2955, ЦМО")</f>
        <v>Панель 19" с DIN-рейкой для установки коммутаторов, STK-RACKMNT-2955, ЦМО</v>
      </c>
      <c r="G6727" s="22" t="s">
        <v>204</v>
      </c>
      <c r="H6727" s="22" t="s">
        <v>303</v>
      </c>
      <c r="I6727" s="26">
        <v>43623.664282407401</v>
      </c>
      <c r="J6727" s="28" t="s">
        <v>52</v>
      </c>
      <c r="K6727" s="28" t="s">
        <v>52</v>
      </c>
      <c r="L6727" s="28" t="s">
        <v>52</v>
      </c>
      <c r="M6727" s="28" t="s">
        <v>52</v>
      </c>
      <c r="N6727" s="28" t="s">
        <v>52</v>
      </c>
    </row>
    <row r="6728" spans="1:14" x14ac:dyDescent="0.2">
      <c r="A6728" s="23" t="str">
        <f>HYPERLINK("https://www.spark-marketing.ru/Card/Person/1290074", "ГОАПОУ ДАПТ")</f>
        <v>ГОАПОУ ДАПТ</v>
      </c>
      <c r="B6728" s="24" t="s">
        <v>8714</v>
      </c>
      <c r="C6728" s="25">
        <v>669978</v>
      </c>
      <c r="D6728" s="22" t="s">
        <v>8715</v>
      </c>
      <c r="E6728" s="22" t="s">
        <v>609</v>
      </c>
      <c r="F6728" s="23" t="str">
        <f>HYPERLINK("https://www.spark-marketing.ru/Card/Lot/71184474", "Установка системы видеонаблюдения")</f>
        <v>Установка системы видеонаблюдения</v>
      </c>
      <c r="G6728" s="22" t="s">
        <v>629</v>
      </c>
      <c r="H6728" s="22" t="s">
        <v>629</v>
      </c>
      <c r="I6728" s="26">
        <v>43623.627511574101</v>
      </c>
      <c r="J6728" s="28" t="s">
        <v>52</v>
      </c>
      <c r="K6728" s="28" t="s">
        <v>52</v>
      </c>
      <c r="L6728" s="28" t="s">
        <v>52</v>
      </c>
      <c r="M6728" s="25">
        <v>669978</v>
      </c>
      <c r="N6728" s="27">
        <v>0</v>
      </c>
    </row>
    <row r="6729" spans="1:14" x14ac:dyDescent="0.2">
      <c r="A6729" s="23" t="str">
        <f>HYPERLINK("https://www.spark-marketing.ru/Card/Person/4343563", "РТРС")</f>
        <v>РТРС</v>
      </c>
      <c r="B6729" s="24" t="s">
        <v>1414</v>
      </c>
      <c r="C6729" s="25">
        <v>4860000</v>
      </c>
      <c r="D6729" s="22" t="s">
        <v>8716</v>
      </c>
      <c r="E6729" s="22" t="s">
        <v>144</v>
      </c>
      <c r="F6729" s="23" t="str">
        <f>HYPERLINK("https://www.spark-marketing.ru/Card/Lot/71186351", "Оказание услуг по физической охране бъектов")</f>
        <v>Оказание услуг по физической охране бъектов</v>
      </c>
      <c r="G6729" s="22" t="s">
        <v>861</v>
      </c>
      <c r="H6729" s="22" t="s">
        <v>861</v>
      </c>
      <c r="I6729" s="26">
        <v>43623.665011574099</v>
      </c>
      <c r="J6729" s="28" t="s">
        <v>52</v>
      </c>
      <c r="K6729" s="28" t="s">
        <v>52</v>
      </c>
      <c r="L6729" s="22" t="s">
        <v>10</v>
      </c>
      <c r="M6729" s="25">
        <v>4842000</v>
      </c>
      <c r="N6729" s="27">
        <v>3.7037037037037038E-3</v>
      </c>
    </row>
    <row r="6730" spans="1:14" x14ac:dyDescent="0.15">
      <c r="A6730" s="23" t="str">
        <f>HYPERLINK("https://www.spark-marketing.ru/Card/Person/1024406", "МУК КДЦ ""СЕВЕРЯНКА""")</f>
        <v>МУК КДЦ "СЕВЕРЯНКА"</v>
      </c>
      <c r="B6730" s="24" t="s">
        <v>8717</v>
      </c>
      <c r="C6730" s="25">
        <v>15000</v>
      </c>
      <c r="D6730" s="22" t="s">
        <v>8718</v>
      </c>
      <c r="E6730" s="22" t="s">
        <v>103</v>
      </c>
      <c r="F6730" s="23" t="str">
        <f>HYPERLINK("https://www.spark-marketing.ru/Card/Lot/71186676", "Услуги по техническому обслуживанию систем (элементов) видеонаблюдения")</f>
        <v>Услуги по техническому обслуживанию систем (элементов) видеонаблюдения</v>
      </c>
      <c r="G6730" s="22" t="s">
        <v>50</v>
      </c>
      <c r="H6730" s="22" t="s">
        <v>244</v>
      </c>
      <c r="I6730" s="26">
        <v>43623.636805555601</v>
      </c>
      <c r="J6730" s="28" t="s">
        <v>52</v>
      </c>
      <c r="K6730" s="28" t="s">
        <v>52</v>
      </c>
      <c r="L6730" s="28" t="s">
        <v>52</v>
      </c>
      <c r="M6730" s="28" t="s">
        <v>52</v>
      </c>
      <c r="N6730" s="28" t="s">
        <v>52</v>
      </c>
    </row>
    <row r="6731" spans="1:14" ht="12.75" hidden="1" outlineLevel="1" x14ac:dyDescent="0.2">
      <c r="A6731" s="23" t="str">
        <f>HYPERLINK("https://www.spark-marketing.ru/Card/Person/1024406", "МУК КДЦ ""СЕВЕРЯНКА""")</f>
        <v>МУК КДЦ "СЕВЕРЯНКА"</v>
      </c>
      <c r="B6731" s="24" t="s">
        <v>8717</v>
      </c>
      <c r="C6731" s="25">
        <v>15000</v>
      </c>
      <c r="D6731" s="22" t="s">
        <v>8718</v>
      </c>
      <c r="E6731" s="22" t="s">
        <v>103</v>
      </c>
      <c r="F6731" s="23" t="str">
        <f>HYPERLINK("https://www.spark-marketing.ru/Card/Lot/71186676", "Услуги по техническому обслуживанию систем (элементов) видеонаблюдения")</f>
        <v>Услуги по техническому обслуживанию систем (элементов) видеонаблюдения</v>
      </c>
      <c r="G6731" s="22" t="s">
        <v>50</v>
      </c>
      <c r="H6731" s="22" t="s">
        <v>244</v>
      </c>
      <c r="I6731" s="26">
        <v>43623.636805555601</v>
      </c>
      <c r="J6731" s="23" t="str">
        <f>HYPERLINK("https://www.spark-marketing.ru/Card/Person/1381568", "ООО ""РББ ЛИДЕР""")</f>
        <v>ООО "РББ ЛИДЕР"</v>
      </c>
      <c r="K6731" s="24" t="s">
        <v>8719</v>
      </c>
      <c r="L6731" s="22" t="s">
        <v>10</v>
      </c>
      <c r="M6731" s="25">
        <v>14800</v>
      </c>
      <c r="N6731" s="27">
        <v>1.3333333333333334E-2</v>
      </c>
    </row>
    <row r="6732" spans="1:14" hidden="1" outlineLevel="1" x14ac:dyDescent="0.2">
      <c r="A6732" s="23" t="str">
        <f>HYPERLINK("https://www.spark-marketing.ru/Card/Person/1024406", "МУК КДЦ ""СЕВЕРЯНКА""")</f>
        <v>МУК КДЦ "СЕВЕРЯНКА"</v>
      </c>
      <c r="B6732" s="24" t="s">
        <v>8717</v>
      </c>
      <c r="C6732" s="25">
        <v>15000</v>
      </c>
      <c r="D6732" s="22" t="s">
        <v>8718</v>
      </c>
      <c r="E6732" s="22" t="s">
        <v>103</v>
      </c>
      <c r="F6732" s="23" t="str">
        <f>HYPERLINK("https://www.spark-marketing.ru/Card/Lot/71186676", "Услуги по техническому обслуживанию систем (элементов) видеонаблюдения")</f>
        <v>Услуги по техническому обслуживанию систем (элементов) видеонаблюдения</v>
      </c>
      <c r="G6732" s="22" t="s">
        <v>50</v>
      </c>
      <c r="H6732" s="22" t="s">
        <v>244</v>
      </c>
      <c r="I6732" s="26">
        <v>43623.636805555601</v>
      </c>
      <c r="J6732" s="23" t="str">
        <f>HYPERLINK("https://www.spark-marketing.ru/Card/Person/363665", "ООО ""ЕВРОСТРОЙ""")</f>
        <v>ООО "ЕВРОСТРОЙ"</v>
      </c>
      <c r="K6732" s="24" t="s">
        <v>8720</v>
      </c>
      <c r="L6732" s="28" t="s">
        <v>52</v>
      </c>
      <c r="M6732" s="25">
        <v>14900</v>
      </c>
      <c r="N6732" s="27">
        <v>6.6666666666666671E-3</v>
      </c>
    </row>
    <row r="6733" spans="1:14" x14ac:dyDescent="0.15">
      <c r="A6733" s="23" t="str">
        <f>HYPERLINK("https://www.spark-marketing.ru/Card/Person/544264", "ГАПОУ СО ""КУАТ"", ГАПОУ СО ""КАМЕНСК-УРАЛЬСКИЙ АГРОПРОМЫШЛЕННЫЙ ТЕХНИКУМ""")</f>
        <v>ГАПОУ СО "КУАТ", ГАПОУ СО "КАМЕНСК-УРАЛЬСКИЙ АГРОПРОМЫШЛЕННЫЙ ТЕХНИКУМ"</v>
      </c>
      <c r="B6733" s="24" t="s">
        <v>8721</v>
      </c>
      <c r="C6733" s="25">
        <v>204160.87</v>
      </c>
      <c r="D6733" s="22" t="s">
        <v>8722</v>
      </c>
      <c r="E6733" s="22" t="s">
        <v>49</v>
      </c>
      <c r="F6733" s="23" t="str">
        <f>HYPERLINK("https://www.spark-marketing.ru/Card/Lot/71177551", "Установка системы охранной сигнализации в помещениях техникума по адресу г. Каменск-Уральский, ул. Механизаторов 20")</f>
        <v>Установка системы охранной сигнализации в помещениях техникума по адресу г. Каменск-Уральский, ул. Механизаторов 20</v>
      </c>
      <c r="G6733" s="22" t="s">
        <v>72</v>
      </c>
      <c r="H6733" s="22" t="s">
        <v>1423</v>
      </c>
      <c r="I6733" s="26">
        <v>43623.643530092602</v>
      </c>
      <c r="J6733" s="28" t="s">
        <v>52</v>
      </c>
      <c r="K6733" s="28" t="s">
        <v>52</v>
      </c>
      <c r="L6733" s="28" t="s">
        <v>52</v>
      </c>
      <c r="M6733" s="28" t="s">
        <v>52</v>
      </c>
      <c r="N6733" s="28" t="s">
        <v>52</v>
      </c>
    </row>
    <row r="6734" spans="1:14" x14ac:dyDescent="0.15">
      <c r="A6734" s="23" t="str">
        <f>HYPERLINK("https://www.spark-marketing.ru/Card/Person/132913", "ОТДЕЛ МВД РОССИИ ПО САТКИНСКОМУ РАЙОНУ ЧЕЛЯБИНСКОЙ ОБЛАСТИ")</f>
        <v>ОТДЕЛ МВД РОССИИ ПО САТКИНСКОМУ РАЙОНУ ЧЕЛЯБИНСКОЙ ОБЛАСТИ</v>
      </c>
      <c r="B6734" s="24" t="s">
        <v>8723</v>
      </c>
      <c r="C6734" s="25">
        <v>95500</v>
      </c>
      <c r="D6734" s="22" t="s">
        <v>8724</v>
      </c>
      <c r="E6734" s="22" t="s">
        <v>103</v>
      </c>
      <c r="F6734" s="23" t="str">
        <f>HYPERLINK("https://www.spark-marketing.ru/Card/Lot/71179856", "Техническое обслуживание видеонаблюдения, 1 усл. ед")</f>
        <v>Техническое обслуживание видеонаблюдения, 1 усл. ед</v>
      </c>
      <c r="G6734" s="22" t="s">
        <v>60</v>
      </c>
      <c r="H6734" s="22" t="s">
        <v>8725</v>
      </c>
      <c r="I6734" s="26">
        <v>43623.612592592603</v>
      </c>
      <c r="J6734" s="28" t="s">
        <v>52</v>
      </c>
      <c r="K6734" s="28" t="s">
        <v>52</v>
      </c>
      <c r="L6734" s="28" t="s">
        <v>52</v>
      </c>
      <c r="M6734" s="28" t="s">
        <v>52</v>
      </c>
      <c r="N6734" s="28" t="s">
        <v>52</v>
      </c>
    </row>
    <row r="6735" spans="1:14" x14ac:dyDescent="0.15">
      <c r="A6735" s="23" t="str">
        <f>HYPERLINK("https://www.spark-marketing.ru/Card/Person/74804", "НИЖЕГОРОДСТАТ")</f>
        <v>НИЖЕГОРОДСТАТ</v>
      </c>
      <c r="B6735" s="24" t="s">
        <v>8726</v>
      </c>
      <c r="C6735" s="25">
        <v>81822.960000000006</v>
      </c>
      <c r="D6735" s="22" t="s">
        <v>8727</v>
      </c>
      <c r="E6735" s="22" t="s">
        <v>53</v>
      </c>
      <c r="F6735" s="23" t="str">
        <f>HYPERLINK("https://www.spark-marketing.ru/Card/Lot/71179903", "Пультовая охрана объекта")</f>
        <v>Пультовая охрана объекта</v>
      </c>
      <c r="G6735" s="22" t="s">
        <v>64</v>
      </c>
      <c r="H6735" s="22" t="s">
        <v>65</v>
      </c>
      <c r="I6735" s="26">
        <v>43623.597638888903</v>
      </c>
      <c r="J6735" s="28" t="s">
        <v>52</v>
      </c>
      <c r="K6735" s="28" t="s">
        <v>52</v>
      </c>
      <c r="L6735" s="28" t="s">
        <v>52</v>
      </c>
      <c r="M6735" s="28" t="s">
        <v>52</v>
      </c>
      <c r="N6735" s="28" t="s">
        <v>52</v>
      </c>
    </row>
    <row r="6736" spans="1:14" x14ac:dyDescent="0.15">
      <c r="A6736" s="23" t="str">
        <f>HYPERLINK("https://www.spark-marketing.ru/Card/Person/37120", "УСД В Г. МОСКВЕ")</f>
        <v>УСД В Г. МОСКВЕ</v>
      </c>
      <c r="B6736" s="24" t="s">
        <v>5025</v>
      </c>
      <c r="C6736" s="25">
        <v>12791385</v>
      </c>
      <c r="D6736" s="22" t="s">
        <v>8728</v>
      </c>
      <c r="E6736" s="22" t="s">
        <v>68</v>
      </c>
      <c r="F6736" s="23" t="str">
        <f>HYPERLINK("https://www.spark-marketing.ru/Card/Lot/71183823", "Оказание охранных услуг")</f>
        <v>Оказание охранных услуг</v>
      </c>
      <c r="G6736" s="22" t="s">
        <v>55</v>
      </c>
      <c r="H6736" s="22" t="s">
        <v>55</v>
      </c>
      <c r="I6736" s="26">
        <v>43623.615277777797</v>
      </c>
      <c r="J6736" s="23" t="str">
        <f>HYPERLINK("https://www.spark-marketing.ru/Card/Person/149251", "ООО ЧОО ""КАЗАЧЬЯ СТРАЖА""")</f>
        <v>ООО ЧОО "КАЗАЧЬЯ СТРАЖА"</v>
      </c>
      <c r="K6736" s="24" t="s">
        <v>5027</v>
      </c>
      <c r="L6736" s="22" t="s">
        <v>10</v>
      </c>
      <c r="M6736" s="28" t="s">
        <v>52</v>
      </c>
      <c r="N6736" s="28" t="s">
        <v>52</v>
      </c>
    </row>
    <row r="6737" spans="1:14" x14ac:dyDescent="0.15">
      <c r="A6737" s="23" t="str">
        <f>HYPERLINK("https://www.spark-marketing.ru/Card/Person/89805", "МБУ ОЦ ""СОСНОВЫЙ БОР""")</f>
        <v>МБУ ОЦ "СОСНОВЫЙ БОР"</v>
      </c>
      <c r="B6737" s="24" t="s">
        <v>8729</v>
      </c>
      <c r="C6737" s="25">
        <v>189609.60000000001</v>
      </c>
      <c r="D6737" s="22" t="s">
        <v>8730</v>
      </c>
      <c r="E6737" s="22" t="s">
        <v>59</v>
      </c>
      <c r="F6737" s="23" t="str">
        <f>HYPERLINK("https://www.spark-marketing.ru/Card/Lot/71183018", "Установка камер видеонаблюдения")</f>
        <v>Установка камер видеонаблюдения</v>
      </c>
      <c r="G6737" s="22" t="s">
        <v>72</v>
      </c>
      <c r="H6737" s="22" t="s">
        <v>3332</v>
      </c>
      <c r="I6737" s="26">
        <v>43623.613888888904</v>
      </c>
      <c r="J6737" s="28" t="s">
        <v>52</v>
      </c>
      <c r="K6737" s="28" t="s">
        <v>52</v>
      </c>
      <c r="L6737" s="28" t="s">
        <v>52</v>
      </c>
      <c r="M6737" s="28" t="s">
        <v>52</v>
      </c>
      <c r="N6737" s="28" t="s">
        <v>52</v>
      </c>
    </row>
    <row r="6738" spans="1:14" ht="12.75" hidden="1" outlineLevel="1" x14ac:dyDescent="0.2">
      <c r="A6738" s="23" t="str">
        <f>HYPERLINK("https://www.spark-marketing.ru/Card/Person/89805", "МБУ ОЦ ""СОСНОВЫЙ БОР""")</f>
        <v>МБУ ОЦ "СОСНОВЫЙ БОР"</v>
      </c>
      <c r="B6738" s="24" t="s">
        <v>8729</v>
      </c>
      <c r="C6738" s="25">
        <v>189609.60000000001</v>
      </c>
      <c r="D6738" s="22" t="s">
        <v>8730</v>
      </c>
      <c r="E6738" s="22" t="s">
        <v>59</v>
      </c>
      <c r="F6738" s="23" t="str">
        <f>HYPERLINK("https://www.spark-marketing.ru/Card/Lot/71183018", "Установка камер видеонаблюдения")</f>
        <v>Установка камер видеонаблюдения</v>
      </c>
      <c r="G6738" s="22" t="s">
        <v>72</v>
      </c>
      <c r="H6738" s="22" t="s">
        <v>3332</v>
      </c>
      <c r="I6738" s="26">
        <v>43623.613888888904</v>
      </c>
      <c r="J6738" s="23" t="str">
        <f>HYPERLINK("https://www.spark-marketing.ru/Card/Person/6581660", "ООО ""ВИДЕОСИСТЕМЫ""")</f>
        <v>ООО "ВИДЕОСИСТЕМЫ"</v>
      </c>
      <c r="K6738" s="24" t="s">
        <v>3415</v>
      </c>
      <c r="L6738" s="22" t="s">
        <v>10</v>
      </c>
      <c r="M6738" s="25">
        <v>110000</v>
      </c>
      <c r="N6738" s="27">
        <v>0.41986059777564005</v>
      </c>
    </row>
    <row r="6739" spans="1:14" hidden="1" outlineLevel="1" x14ac:dyDescent="0.2">
      <c r="A6739" s="23" t="str">
        <f>HYPERLINK("https://www.spark-marketing.ru/Card/Person/89805", "МБУ ОЦ ""СОСНОВЫЙ БОР""")</f>
        <v>МБУ ОЦ "СОСНОВЫЙ БОР"</v>
      </c>
      <c r="B6739" s="24" t="s">
        <v>8729</v>
      </c>
      <c r="C6739" s="25">
        <v>189609.60000000001</v>
      </c>
      <c r="D6739" s="22" t="s">
        <v>8730</v>
      </c>
      <c r="E6739" s="22" t="s">
        <v>59</v>
      </c>
      <c r="F6739" s="23" t="str">
        <f>HYPERLINK("https://www.spark-marketing.ru/Card/Lot/71183018", "Установка камер видеонаблюдения")</f>
        <v>Установка камер видеонаблюдения</v>
      </c>
      <c r="G6739" s="22" t="s">
        <v>72</v>
      </c>
      <c r="H6739" s="22" t="s">
        <v>3332</v>
      </c>
      <c r="I6739" s="26">
        <v>43623.613888888904</v>
      </c>
      <c r="J6739" s="23" t="str">
        <f>HYPERLINK("https://www.spark-marketing.ru/Card/Person/5853123", "Ершов Андрей Алексеевич")</f>
        <v>Ершов Андрей Алексеевич</v>
      </c>
      <c r="K6739" s="24" t="s">
        <v>1063</v>
      </c>
      <c r="L6739" s="28" t="s">
        <v>52</v>
      </c>
      <c r="M6739" s="25">
        <v>128999</v>
      </c>
      <c r="N6739" s="27">
        <v>0.31965997502236176</v>
      </c>
    </row>
    <row r="6740" spans="1:14" hidden="1" outlineLevel="1" x14ac:dyDescent="0.2">
      <c r="A6740" s="23" t="str">
        <f>HYPERLINK("https://www.spark-marketing.ru/Card/Person/89805", "МБУ ОЦ ""СОСНОВЫЙ БОР""")</f>
        <v>МБУ ОЦ "СОСНОВЫЙ БОР"</v>
      </c>
      <c r="B6740" s="24" t="s">
        <v>8729</v>
      </c>
      <c r="C6740" s="25">
        <v>189609.60000000001</v>
      </c>
      <c r="D6740" s="22" t="s">
        <v>8730</v>
      </c>
      <c r="E6740" s="22" t="s">
        <v>59</v>
      </c>
      <c r="F6740" s="23" t="str">
        <f>HYPERLINK("https://www.spark-marketing.ru/Card/Lot/71183018", "Установка камер видеонаблюдения")</f>
        <v>Установка камер видеонаблюдения</v>
      </c>
      <c r="G6740" s="22" t="s">
        <v>72</v>
      </c>
      <c r="H6740" s="22" t="s">
        <v>3332</v>
      </c>
      <c r="I6740" s="26">
        <v>43623.613888888904</v>
      </c>
      <c r="J6740" s="23" t="str">
        <f>HYPERLINK("https://www.spark-marketing.ru/Card/Person/805025", "ООО ""ФОРВАРД""")</f>
        <v>ООО "ФОРВАРД"</v>
      </c>
      <c r="K6740" s="24" t="s">
        <v>8731</v>
      </c>
      <c r="L6740" s="28" t="s">
        <v>52</v>
      </c>
      <c r="M6740" s="25">
        <v>189000</v>
      </c>
      <c r="N6740" s="27">
        <v>3.2150270872360895E-3</v>
      </c>
    </row>
    <row r="6741" spans="1:14" x14ac:dyDescent="0.15">
      <c r="A6741" s="23" t="str">
        <f>HYPERLINK("https://www.spark-marketing.ru/Card/Person/12661", "АДМИНИСТРАЦИЯ ГОРОДСКОГО ОКРУГА СОЛНЕЧНОГОРСК")</f>
        <v>АДМИНИСТРАЦИЯ ГОРОДСКОГО ОКРУГА СОЛНЕЧНОГОРСК</v>
      </c>
      <c r="B6741" s="24" t="s">
        <v>4454</v>
      </c>
      <c r="C6741" s="25">
        <v>18000</v>
      </c>
      <c r="D6741" s="22" t="s">
        <v>8732</v>
      </c>
      <c r="E6741" s="22" t="s">
        <v>59</v>
      </c>
      <c r="F6741" s="23" t="str">
        <f>HYPERLINK("https://www.spark-marketing.ru/Card/Lot/71180377", "Выполнение работ по техническому обслуживанию для обеспечения работоспособности каналов передачи сообщений комплекса технических средств охраны и объектовой приемо-передающей аппаратуры и организационно-технические мероприятия по поддержанию в исправ...")</f>
        <v>Выполнение работ по техническому обслуживанию для обеспечения работоспособности каналов передачи сообщений комплекса технических средств охраны и объектовой приемо-передающей аппаратуры и организационно-технические мероприятия по поддержанию в исправ...</v>
      </c>
      <c r="G6741" s="22" t="s">
        <v>50</v>
      </c>
      <c r="H6741" s="22" t="s">
        <v>265</v>
      </c>
      <c r="I6741" s="26">
        <v>43623.597812499997</v>
      </c>
      <c r="J6741" s="28" t="s">
        <v>52</v>
      </c>
      <c r="K6741" s="28" t="s">
        <v>52</v>
      </c>
      <c r="L6741" s="28" t="s">
        <v>52</v>
      </c>
      <c r="M6741" s="28" t="s">
        <v>52</v>
      </c>
      <c r="N6741" s="28" t="s">
        <v>52</v>
      </c>
    </row>
    <row r="6742" spans="1:14" x14ac:dyDescent="0.15">
      <c r="A6742" s="23" t="str">
        <f>HYPERLINK("https://www.spark-marketing.ru/Card/Person/6394821", "ФЛ ""Башкирия"" ООО ""РН-ПОЖАРНАЯ БЕЗОПАСНОСТЬ""")</f>
        <v>ФЛ "Башкирия" ООО "РН-ПОЖАРНАЯ БЕЗОПАСНОСТЬ"</v>
      </c>
      <c r="B6742" s="24" t="s">
        <v>8556</v>
      </c>
      <c r="C6742" s="28" t="s">
        <v>52</v>
      </c>
      <c r="D6742" s="22" t="s">
        <v>8733</v>
      </c>
      <c r="E6742" s="22" t="s">
        <v>2204</v>
      </c>
      <c r="F6742" s="23" t="str">
        <f>HYPERLINK("https://www.spark-marketing.ru/Card/Lot/74011662", "Поставка и установка автомобильных видеорегистраторов")</f>
        <v>Поставка и установка автомобильных видеорегистраторов</v>
      </c>
      <c r="G6742" s="22" t="s">
        <v>760</v>
      </c>
      <c r="H6742" s="22" t="s">
        <v>1709</v>
      </c>
      <c r="I6742" s="26">
        <v>43623.560416666704</v>
      </c>
      <c r="J6742" s="28" t="s">
        <v>52</v>
      </c>
      <c r="K6742" s="28" t="s">
        <v>52</v>
      </c>
      <c r="L6742" s="28" t="s">
        <v>52</v>
      </c>
      <c r="M6742" s="28" t="s">
        <v>52</v>
      </c>
      <c r="N6742" s="28" t="s">
        <v>52</v>
      </c>
    </row>
    <row r="6743" spans="1:14" x14ac:dyDescent="0.15">
      <c r="A6743" s="23" t="str">
        <f>HYPERLINK("https://www.spark-marketing.ru/Card/Person/53941", "ГБУЗ КО ""КОККД ИМ. АКАД. Л.С. БАРБАРАША""")</f>
        <v>ГБУЗ КО "КОККД ИМ. АКАД. Л.С. БАРБАРАША"</v>
      </c>
      <c r="B6743" s="24" t="s">
        <v>8734</v>
      </c>
      <c r="C6743" s="25">
        <v>136600</v>
      </c>
      <c r="D6743" s="22" t="s">
        <v>8735</v>
      </c>
      <c r="E6743" s="22" t="s">
        <v>107</v>
      </c>
      <c r="F6743" s="23" t="str">
        <f>HYPERLINK("https://www.spark-marketing.ru/Card/Lot/71169169", "Оказание услуг по техническому обслуживанию системы контроля доступа (кодовые замки, контроль видеодоступа)")</f>
        <v>Оказание услуг по техническому обслуживанию системы контроля доступа (кодовые замки, контроль видеодоступа)</v>
      </c>
      <c r="G6743" s="22" t="s">
        <v>367</v>
      </c>
      <c r="H6743" s="22" t="s">
        <v>881</v>
      </c>
      <c r="I6743" s="26">
        <v>43623.563194444403</v>
      </c>
      <c r="J6743" s="23" t="str">
        <f>HYPERLINK("https://www.spark-marketing.ru/Card/Person/345821", "ООО ""СИБИРСКИЕ ТЕХНОЛОГИИ""")</f>
        <v>ООО "СИБИРСКИЕ ТЕХНОЛОГИИ"</v>
      </c>
      <c r="K6743" s="24" t="s">
        <v>8736</v>
      </c>
      <c r="L6743" s="22" t="s">
        <v>10</v>
      </c>
      <c r="M6743" s="28" t="s">
        <v>52</v>
      </c>
      <c r="N6743" s="28" t="s">
        <v>52</v>
      </c>
    </row>
    <row r="6744" spans="1:14" x14ac:dyDescent="0.15">
      <c r="A6744" s="23" t="str">
        <f>HYPERLINK("https://www.spark-marketing.ru/Card/Person/139815", "УПРАВЛЕНИЕ РОСКОМНАДЗОРА ПО ВОЛГОГРАДСКОЙ ОБЛАСТИ И РЕСПУБЛИКЕ КАЛМЫКИЯ")</f>
        <v>УПРАВЛЕНИЕ РОСКОМНАДЗОРА ПО ВОЛГОГРАДСКОЙ ОБЛАСТИ И РЕСПУБЛИКЕ КАЛМЫКИЯ</v>
      </c>
      <c r="B6744" s="24" t="s">
        <v>4119</v>
      </c>
      <c r="C6744" s="25">
        <v>13588.99</v>
      </c>
      <c r="D6744" s="22" t="s">
        <v>8737</v>
      </c>
      <c r="E6744" s="22" t="s">
        <v>53</v>
      </c>
      <c r="F6744" s="23" t="str">
        <f>HYPERLINK("https://www.spark-marketing.ru/Card/Lot/71178144", "Услуги централизованной охраны (пультовой)")</f>
        <v>Услуги централизованной охраны (пультовой)</v>
      </c>
      <c r="G6744" s="22" t="s">
        <v>343</v>
      </c>
      <c r="H6744" s="22" t="s">
        <v>344</v>
      </c>
      <c r="I6744" s="26">
        <v>43623.559016203697</v>
      </c>
      <c r="J6744" s="28" t="s">
        <v>52</v>
      </c>
      <c r="K6744" s="28" t="s">
        <v>52</v>
      </c>
      <c r="L6744" s="28" t="s">
        <v>52</v>
      </c>
      <c r="M6744" s="28" t="s">
        <v>52</v>
      </c>
      <c r="N6744" s="28" t="s">
        <v>52</v>
      </c>
    </row>
    <row r="6745" spans="1:14" x14ac:dyDescent="0.15">
      <c r="A6745" s="23" t="str">
        <f>HYPERLINK("https://www.spark-marketing.ru/Card/Person/429376", "ГАУК ""ОРЕНБУРГСКАЯ ОБЛАСТНАЯ ФИЛАРМОНИЯ"" ГАУК ""ООФ""")</f>
        <v>ГАУК "ОРЕНБУРГСКАЯ ОБЛАСТНАЯ ФИЛАРМОНИЯ" ГАУК "ООФ"</v>
      </c>
      <c r="B6745" s="24" t="s">
        <v>8738</v>
      </c>
      <c r="C6745" s="25">
        <v>130000</v>
      </c>
      <c r="D6745" s="22" t="s">
        <v>8739</v>
      </c>
      <c r="E6745" s="22" t="s">
        <v>8740</v>
      </c>
      <c r="F6745" s="23" t="str">
        <f>HYPERLINK("https://www.spark-marketing.ru/Card/Lot/71169953", "Создание проекта ограждения территории с установкой системы видеонаблюдения")</f>
        <v>Создание проекта ограждения территории с установкой системы видеонаблюдения</v>
      </c>
      <c r="G6745" s="22" t="s">
        <v>384</v>
      </c>
      <c r="H6745" s="22" t="s">
        <v>384</v>
      </c>
      <c r="I6745" s="26">
        <v>43623.531689814801</v>
      </c>
      <c r="J6745" s="28" t="s">
        <v>52</v>
      </c>
      <c r="K6745" s="28" t="s">
        <v>52</v>
      </c>
      <c r="L6745" s="28" t="s">
        <v>52</v>
      </c>
      <c r="M6745" s="28" t="s">
        <v>52</v>
      </c>
      <c r="N6745" s="28" t="s">
        <v>52</v>
      </c>
    </row>
    <row r="6746" spans="1:14" x14ac:dyDescent="0.15">
      <c r="A6746" s="23" t="str">
        <f>HYPERLINK("https://www.spark-marketing.ru/Card/Person/4348624", "АО ""АЭХК""")</f>
        <v>АО "АЭХК"</v>
      </c>
      <c r="B6746" s="24" t="s">
        <v>8741</v>
      </c>
      <c r="C6746" s="28" t="s">
        <v>52</v>
      </c>
      <c r="D6746" s="22" t="s">
        <v>8742</v>
      </c>
      <c r="E6746" s="22" t="s">
        <v>53</v>
      </c>
      <c r="F6746" s="23" t="str">
        <f>HYPERLINK("https://www.spark-marketing.ru/Card/Lot/71181691", "Оказание услуг по круглосуточной пультовой охране объектов: Вододелитель №1 Суховская, Головное сооружение (1272057)")</f>
        <v>Оказание услуг по круглосуточной пультовой охране объектов: Вододелитель №1 Суховская, Головное сооружение (1272057)</v>
      </c>
      <c r="G6746" s="22" t="s">
        <v>281</v>
      </c>
      <c r="H6746" s="22" t="s">
        <v>2890</v>
      </c>
      <c r="I6746" s="26">
        <v>43623.538356481498</v>
      </c>
      <c r="J6746" s="28" t="s">
        <v>52</v>
      </c>
      <c r="K6746" s="28" t="s">
        <v>52</v>
      </c>
      <c r="L6746" s="28" t="s">
        <v>52</v>
      </c>
      <c r="M6746" s="28" t="s">
        <v>52</v>
      </c>
      <c r="N6746" s="28" t="s">
        <v>52</v>
      </c>
    </row>
    <row r="6747" spans="1:14" x14ac:dyDescent="0.15">
      <c r="A6747" s="23" t="str">
        <f>HYPERLINK("https://www.spark-marketing.ru/Card/Person/738130", "ФКУ СИЗО-1 УФСИН РОССИИ ПО РЕСПУБЛИКЕ МАРИЙ ЭЛ")</f>
        <v>ФКУ СИЗО-1 УФСИН РОССИИ ПО РЕСПУБЛИКЕ МАРИЙ ЭЛ</v>
      </c>
      <c r="B6747" s="24" t="s">
        <v>8743</v>
      </c>
      <c r="C6747" s="25">
        <v>9045</v>
      </c>
      <c r="D6747" s="22" t="s">
        <v>8744</v>
      </c>
      <c r="E6747" s="22" t="s">
        <v>8745</v>
      </c>
      <c r="F6747" s="23" t="str">
        <f>HYPERLINK("https://www.spark-marketing.ru/Card/Lot/71170941", "товара для технического обслуживания технических средств охраны и надзора")</f>
        <v>товара для технического обслуживания технических средств охраны и надзора</v>
      </c>
      <c r="G6747" s="22" t="s">
        <v>2514</v>
      </c>
      <c r="H6747" s="22" t="s">
        <v>4189</v>
      </c>
      <c r="I6747" s="26">
        <v>43623.502870370401</v>
      </c>
      <c r="J6747" s="28" t="s">
        <v>52</v>
      </c>
      <c r="K6747" s="28" t="s">
        <v>52</v>
      </c>
      <c r="L6747" s="28" t="s">
        <v>52</v>
      </c>
      <c r="M6747" s="28" t="s">
        <v>52</v>
      </c>
      <c r="N6747" s="28" t="s">
        <v>52</v>
      </c>
    </row>
    <row r="6748" spans="1:14" x14ac:dyDescent="0.15">
      <c r="A6748" s="23" t="str">
        <f>HYPERLINK("https://www.spark-marketing.ru/Card/Person/1077432", "МДОУ №4 Г. МОЖАЙСКА")</f>
        <v>МДОУ №4 Г. МОЖАЙСКА</v>
      </c>
      <c r="B6748" s="24" t="s">
        <v>8746</v>
      </c>
      <c r="C6748" s="25">
        <v>55000</v>
      </c>
      <c r="D6748" s="22" t="s">
        <v>8747</v>
      </c>
      <c r="E6748" s="22" t="s">
        <v>208</v>
      </c>
      <c r="F6748" s="23" t="str">
        <f>HYPERLINK("https://www.spark-marketing.ru/Card/Lot/71179501", "Поставка и установка видеодомофона на калитку")</f>
        <v>Поставка и установка видеодомофона на калитку</v>
      </c>
      <c r="G6748" s="22" t="s">
        <v>50</v>
      </c>
      <c r="H6748" s="22" t="s">
        <v>946</v>
      </c>
      <c r="I6748" s="26">
        <v>43623.513888888898</v>
      </c>
      <c r="J6748" s="28" t="s">
        <v>52</v>
      </c>
      <c r="K6748" s="28" t="s">
        <v>52</v>
      </c>
      <c r="L6748" s="28" t="s">
        <v>52</v>
      </c>
      <c r="M6748" s="28" t="s">
        <v>52</v>
      </c>
      <c r="N6748" s="28" t="s">
        <v>52</v>
      </c>
    </row>
    <row r="6749" spans="1:14" hidden="1" outlineLevel="1" x14ac:dyDescent="0.2">
      <c r="A6749" s="23" t="str">
        <f>HYPERLINK("https://www.spark-marketing.ru/Card/Person/1077432", "МДОУ №4 Г. МОЖАЙСКА")</f>
        <v>МДОУ №4 Г. МОЖАЙСКА</v>
      </c>
      <c r="B6749" s="24" t="s">
        <v>8746</v>
      </c>
      <c r="C6749" s="25">
        <v>55000</v>
      </c>
      <c r="D6749" s="22" t="s">
        <v>8747</v>
      </c>
      <c r="E6749" s="22" t="s">
        <v>208</v>
      </c>
      <c r="F6749" s="23" t="str">
        <f>HYPERLINK("https://www.spark-marketing.ru/Card/Lot/71179501", "Поставка и установка видеодомофона на калитку")</f>
        <v>Поставка и установка видеодомофона на калитку</v>
      </c>
      <c r="G6749" s="22" t="s">
        <v>50</v>
      </c>
      <c r="H6749" s="22" t="s">
        <v>946</v>
      </c>
      <c r="I6749" s="26">
        <v>43623.513888888898</v>
      </c>
      <c r="J6749" s="23" t="str">
        <f>HYPERLINK("https://www.spark-marketing.ru/Card/Person/6454317", "Прудникова Светлана Станиславовна")</f>
        <v>Прудникова Светлана Станиславовна</v>
      </c>
      <c r="K6749" s="24" t="s">
        <v>1288</v>
      </c>
      <c r="L6749" s="28" t="s">
        <v>52</v>
      </c>
      <c r="M6749" s="25">
        <v>55000</v>
      </c>
      <c r="N6749" s="27">
        <v>0</v>
      </c>
    </row>
    <row r="6750" spans="1:14" ht="12.75" hidden="1" outlineLevel="1" x14ac:dyDescent="0.2">
      <c r="A6750" s="23" t="str">
        <f>HYPERLINK("https://www.spark-marketing.ru/Card/Person/1077432", "МДОУ №4 Г. МОЖАЙСКА")</f>
        <v>МДОУ №4 Г. МОЖАЙСКА</v>
      </c>
      <c r="B6750" s="24" t="s">
        <v>8746</v>
      </c>
      <c r="C6750" s="25">
        <v>55000</v>
      </c>
      <c r="D6750" s="22" t="s">
        <v>8747</v>
      </c>
      <c r="E6750" s="22" t="s">
        <v>208</v>
      </c>
      <c r="F6750" s="23" t="str">
        <f>HYPERLINK("https://www.spark-marketing.ru/Card/Lot/71179501", "Поставка и установка видеодомофона на калитку")</f>
        <v>Поставка и установка видеодомофона на калитку</v>
      </c>
      <c r="G6750" s="22" t="s">
        <v>50</v>
      </c>
      <c r="H6750" s="22" t="s">
        <v>946</v>
      </c>
      <c r="I6750" s="26">
        <v>43623.513888888898</v>
      </c>
      <c r="J6750" s="23" t="str">
        <f>HYPERLINK("https://www.spark-marketing.ru/Card/Person/4439350", "ООО ""ЧОО ""ТРИГЛАВ""")</f>
        <v>ООО "ЧОО "ТРИГЛАВ"</v>
      </c>
      <c r="K6750" s="24" t="s">
        <v>1198</v>
      </c>
      <c r="L6750" s="22" t="s">
        <v>10</v>
      </c>
      <c r="M6750" s="25">
        <v>49775</v>
      </c>
      <c r="N6750" s="27">
        <v>9.5000000000000001E-2</v>
      </c>
    </row>
    <row r="6751" spans="1:14" hidden="1" outlineLevel="1" x14ac:dyDescent="0.2">
      <c r="A6751" s="23" t="str">
        <f>HYPERLINK("https://www.spark-marketing.ru/Card/Person/1077432", "МДОУ №4 Г. МОЖАЙСКА")</f>
        <v>МДОУ №4 Г. МОЖАЙСКА</v>
      </c>
      <c r="B6751" s="24" t="s">
        <v>8746</v>
      </c>
      <c r="C6751" s="25">
        <v>55000</v>
      </c>
      <c r="D6751" s="22" t="s">
        <v>8747</v>
      </c>
      <c r="E6751" s="22" t="s">
        <v>208</v>
      </c>
      <c r="F6751" s="23" t="str">
        <f>HYPERLINK("https://www.spark-marketing.ru/Card/Lot/71179501", "Поставка и установка видеодомофона на калитку")</f>
        <v>Поставка и установка видеодомофона на калитку</v>
      </c>
      <c r="G6751" s="22" t="s">
        <v>50</v>
      </c>
      <c r="H6751" s="22" t="s">
        <v>946</v>
      </c>
      <c r="I6751" s="26">
        <v>43623.513888888898</v>
      </c>
      <c r="J6751" s="23" t="str">
        <f>HYPERLINK("https://www.spark-marketing.ru/Card/Person/4749401", "Семенищев Михаил Васильевич")</f>
        <v>Семенищев Михаил Васильевич</v>
      </c>
      <c r="K6751" s="24" t="s">
        <v>8748</v>
      </c>
      <c r="L6751" s="28" t="s">
        <v>52</v>
      </c>
      <c r="M6751" s="25">
        <v>55000</v>
      </c>
      <c r="N6751" s="27">
        <v>0</v>
      </c>
    </row>
    <row r="6752" spans="1:14" hidden="1" outlineLevel="1" x14ac:dyDescent="0.2">
      <c r="A6752" s="23" t="str">
        <f>HYPERLINK("https://www.spark-marketing.ru/Card/Person/1077432", "МДОУ №4 Г. МОЖАЙСКА")</f>
        <v>МДОУ №4 Г. МОЖАЙСКА</v>
      </c>
      <c r="B6752" s="24" t="s">
        <v>8746</v>
      </c>
      <c r="C6752" s="25">
        <v>55000</v>
      </c>
      <c r="D6752" s="22" t="s">
        <v>8747</v>
      </c>
      <c r="E6752" s="22" t="s">
        <v>208</v>
      </c>
      <c r="F6752" s="23" t="str">
        <f>HYPERLINK("https://www.spark-marketing.ru/Card/Lot/71179501", "Поставка и установка видеодомофона на калитку")</f>
        <v>Поставка и установка видеодомофона на калитку</v>
      </c>
      <c r="G6752" s="22" t="s">
        <v>50</v>
      </c>
      <c r="H6752" s="22" t="s">
        <v>946</v>
      </c>
      <c r="I6752" s="26">
        <v>43623.513888888898</v>
      </c>
      <c r="J6752" s="23" t="str">
        <f>HYPERLINK("https://www.spark-marketing.ru/Card/Person/358549", "Капральнов Юрий Борисович")</f>
        <v>Капральнов Юрий Борисович</v>
      </c>
      <c r="K6752" s="24" t="s">
        <v>1290</v>
      </c>
      <c r="L6752" s="28" t="s">
        <v>52</v>
      </c>
      <c r="M6752" s="25">
        <v>55000</v>
      </c>
      <c r="N6752" s="27">
        <v>0</v>
      </c>
    </row>
    <row r="6753" spans="1:14" x14ac:dyDescent="0.15">
      <c r="A6753" s="23" t="str">
        <f>HYPERLINK("https://www.spark-marketing.ru/Card/Person/30586", "ФГКУ ""АБ""")</f>
        <v>ФГКУ "АБ"</v>
      </c>
      <c r="B6753" s="24" t="s">
        <v>8749</v>
      </c>
      <c r="C6753" s="25">
        <v>408587</v>
      </c>
      <c r="D6753" s="22" t="s">
        <v>8750</v>
      </c>
      <c r="E6753" s="22" t="s">
        <v>84</v>
      </c>
      <c r="F6753" s="23" t="str">
        <f>HYPERLINK("https://www.spark-marketing.ru/Card/Lot/71183368", "Поставка и установка системы видеорегистрации в рамках государственного оборонного заказа на 2019 год")</f>
        <v>Поставка и установка системы видеорегистрации в рамках государственного оборонного заказа на 2019 год</v>
      </c>
      <c r="G6753" s="22" t="s">
        <v>2514</v>
      </c>
      <c r="H6753" s="22" t="s">
        <v>4189</v>
      </c>
      <c r="I6753" s="26">
        <v>43623.515972222202</v>
      </c>
      <c r="J6753" s="28" t="s">
        <v>52</v>
      </c>
      <c r="K6753" s="28" t="s">
        <v>52</v>
      </c>
      <c r="L6753" s="28" t="s">
        <v>52</v>
      </c>
      <c r="M6753" s="28" t="s">
        <v>52</v>
      </c>
      <c r="N6753" s="28" t="s">
        <v>52</v>
      </c>
    </row>
    <row r="6754" spans="1:14" x14ac:dyDescent="0.15">
      <c r="A6754" s="23" t="str">
        <f>HYPERLINK("https://www.spark-marketing.ru/Card/Person/15678", "САНКТ-ПЕТЕРБУРГСКИЙ УНИВЕРСИТЕТ МВД РОССИИ,ФГКОУ ВО СПБУ МВД РОССИИ,СПБУ МВД РОССИИ")</f>
        <v>САНКТ-ПЕТЕРБУРГСКИЙ УНИВЕРСИТЕТ МВД РОССИИ,ФГКОУ ВО СПБУ МВД РОССИИ,СПБУ МВД РОССИИ</v>
      </c>
      <c r="B6754" s="24" t="s">
        <v>5979</v>
      </c>
      <c r="C6754" s="25">
        <v>190100</v>
      </c>
      <c r="D6754" s="22" t="s">
        <v>8751</v>
      </c>
      <c r="E6754" s="22" t="s">
        <v>107</v>
      </c>
      <c r="F6754" s="23" t="str">
        <f>HYPERLINK("https://www.spark-marketing.ru/Card/Lot/71170298", "Техническое обслуживание инженерно-технических средств охраны, 190 шт")</f>
        <v>Техническое обслуживание инженерно-технических средств охраны, 190 шт</v>
      </c>
      <c r="G6754" s="22" t="s">
        <v>89</v>
      </c>
      <c r="H6754" s="22" t="s">
        <v>89</v>
      </c>
      <c r="I6754" s="26">
        <v>43623.475115740701</v>
      </c>
      <c r="J6754" s="28" t="s">
        <v>52</v>
      </c>
      <c r="K6754" s="28" t="s">
        <v>52</v>
      </c>
      <c r="L6754" s="28" t="s">
        <v>52</v>
      </c>
      <c r="M6754" s="28" t="s">
        <v>52</v>
      </c>
      <c r="N6754" s="28" t="s">
        <v>52</v>
      </c>
    </row>
    <row r="6755" spans="1:14" x14ac:dyDescent="0.15">
      <c r="A6755" s="23" t="str">
        <f>HYPERLINK("https://www.spark-marketing.ru/Card/Person/1061035", "ГБДОУ НАО ""ДЕТСКИЙ САД ""СЕМИЦВЕТИК""")</f>
        <v>ГБДОУ НАО "ДЕТСКИЙ САД "СЕМИЦВЕТИК"</v>
      </c>
      <c r="B6755" s="24" t="s">
        <v>8664</v>
      </c>
      <c r="C6755" s="25">
        <v>48000</v>
      </c>
      <c r="D6755" s="22" t="s">
        <v>8752</v>
      </c>
      <c r="E6755" s="22" t="s">
        <v>59</v>
      </c>
      <c r="F6755" s="23" t="str">
        <f>HYPERLINK("https://www.spark-marketing.ru/Card/Lot/71172561", "оказание услуг по установке охранной сигнализации")</f>
        <v>оказание услуг по установке охранной сигнализации</v>
      </c>
      <c r="G6755" s="22" t="s">
        <v>1014</v>
      </c>
      <c r="H6755" s="22" t="s">
        <v>1015</v>
      </c>
      <c r="I6755" s="26">
        <v>43623.470833333296</v>
      </c>
      <c r="J6755" s="28" t="s">
        <v>52</v>
      </c>
      <c r="K6755" s="28" t="s">
        <v>52</v>
      </c>
      <c r="L6755" s="28" t="s">
        <v>52</v>
      </c>
      <c r="M6755" s="28" t="s">
        <v>52</v>
      </c>
      <c r="N6755" s="28" t="s">
        <v>52</v>
      </c>
    </row>
    <row r="6756" spans="1:14" x14ac:dyDescent="0.15">
      <c r="A6756" s="23" t="str">
        <f>HYPERLINK("https://www.spark-marketing.ru/Card/Person/4348624", "АО ""АЭХК""")</f>
        <v>АО "АЭХК"</v>
      </c>
      <c r="B6756" s="24" t="s">
        <v>8741</v>
      </c>
      <c r="C6756" s="25">
        <v>0</v>
      </c>
      <c r="D6756" s="22" t="s">
        <v>8753</v>
      </c>
      <c r="E6756" s="22" t="s">
        <v>53</v>
      </c>
      <c r="F6756" s="23" t="str">
        <f>HYPERLINK("https://www.spark-marketing.ru/Card/Lot/71175918", "мониторинг цен в электронной форме на Оказание услуг по круглосуточной пультовой охране объектов: Вододелитель №1 Суховская, Головное сооружение")</f>
        <v>мониторинг цен в электронной форме на Оказание услуг по круглосуточной пультовой охране объектов: Вододелитель №1 Суховская, Головное сооружение</v>
      </c>
      <c r="G6756" s="22" t="s">
        <v>281</v>
      </c>
      <c r="H6756" s="22" t="s">
        <v>2890</v>
      </c>
      <c r="I6756" s="26">
        <v>43623.455312500002</v>
      </c>
      <c r="J6756" s="28" t="s">
        <v>52</v>
      </c>
      <c r="K6756" s="28" t="s">
        <v>52</v>
      </c>
      <c r="L6756" s="28" t="s">
        <v>52</v>
      </c>
      <c r="M6756" s="28" t="s">
        <v>52</v>
      </c>
      <c r="N6756" s="28" t="s">
        <v>52</v>
      </c>
    </row>
    <row r="6757" spans="1:14" x14ac:dyDescent="0.15">
      <c r="A6757" s="23" t="str">
        <f>HYPERLINK("https://www.spark-marketing.ru/Card/Person/64448", "ФБУ ""АДМИНИСТРАЦИЯ ""СЕВВОДПУТЬ""")</f>
        <v>ФБУ "АДМИНИСТРАЦИЯ "СЕВВОДПУТЬ"</v>
      </c>
      <c r="B6757" s="24" t="s">
        <v>1132</v>
      </c>
      <c r="C6757" s="25">
        <v>490467.6</v>
      </c>
      <c r="D6757" s="22" t="s">
        <v>8754</v>
      </c>
      <c r="E6757" s="22" t="s">
        <v>59</v>
      </c>
      <c r="F6757" s="23" t="str">
        <f>HYPERLINK("https://www.spark-marketing.ru/Card/Lot/71171085", "Монтаж оборудования инженерно-технических средств обеспечения транспортной безопасности на объекте транспортной инфраструктуры ФБУ ""Администрация ""Севводпуть""")</f>
        <v>Монтаж оборудования инженерно-технических средств обеспечения транспортной безопасности на объекте транспортной инфраструктуры ФБУ "Администрация "Севводпуть"</v>
      </c>
      <c r="G6757" s="22" t="s">
        <v>902</v>
      </c>
      <c r="H6757" s="22" t="s">
        <v>902</v>
      </c>
      <c r="I6757" s="26">
        <v>43623.429861111101</v>
      </c>
      <c r="J6757" s="28" t="s">
        <v>52</v>
      </c>
      <c r="K6757" s="28" t="s">
        <v>52</v>
      </c>
      <c r="L6757" s="28" t="s">
        <v>52</v>
      </c>
      <c r="M6757" s="28" t="s">
        <v>52</v>
      </c>
      <c r="N6757" s="28" t="s">
        <v>52</v>
      </c>
    </row>
    <row r="6758" spans="1:14" ht="12.75" hidden="1" outlineLevel="1" x14ac:dyDescent="0.2">
      <c r="A6758" s="23" t="str">
        <f>HYPERLINK("https://www.spark-marketing.ru/Card/Person/64448", "ФБУ ""АДМИНИСТРАЦИЯ ""СЕВВОДПУТЬ""")</f>
        <v>ФБУ "АДМИНИСТРАЦИЯ "СЕВВОДПУТЬ"</v>
      </c>
      <c r="B6758" s="24" t="s">
        <v>1132</v>
      </c>
      <c r="C6758" s="25">
        <v>490467.6</v>
      </c>
      <c r="D6758" s="22" t="s">
        <v>8754</v>
      </c>
      <c r="E6758" s="22" t="s">
        <v>59</v>
      </c>
      <c r="F6758" s="23" t="str">
        <f>HYPERLINK("https://www.spark-marketing.ru/Card/Lot/71171085", "Монтаж оборудования инженерно-технических средств обеспечения транспортной безопасности на объекте транспортной инфраструктуры ФБУ ""Администрация ""Севводпуть""")</f>
        <v>Монтаж оборудования инженерно-технических средств обеспечения транспортной безопасности на объекте транспортной инфраструктуры ФБУ "Администрация "Севводпуть"</v>
      </c>
      <c r="G6758" s="22" t="s">
        <v>902</v>
      </c>
      <c r="H6758" s="22" t="s">
        <v>902</v>
      </c>
      <c r="I6758" s="26">
        <v>43623.429861111101</v>
      </c>
      <c r="J6758" s="23" t="str">
        <f>HYPERLINK("https://www.spark-marketing.ru/Card/Person/4389472", "ООО ""МАЙККОМП""")</f>
        <v>ООО "МАЙККОМП"</v>
      </c>
      <c r="K6758" s="24" t="s">
        <v>8755</v>
      </c>
      <c r="L6758" s="22" t="s">
        <v>10</v>
      </c>
      <c r="M6758" s="25">
        <v>239799</v>
      </c>
      <c r="N6758" s="27">
        <v>0.51108085427049621</v>
      </c>
    </row>
    <row r="6759" spans="1:14" hidden="1" outlineLevel="1" x14ac:dyDescent="0.2">
      <c r="A6759" s="23" t="str">
        <f>HYPERLINK("https://www.spark-marketing.ru/Card/Person/64448", "ФБУ ""АДМИНИСТРАЦИЯ ""СЕВВОДПУТЬ""")</f>
        <v>ФБУ "АДМИНИСТРАЦИЯ "СЕВВОДПУТЬ"</v>
      </c>
      <c r="B6759" s="24" t="s">
        <v>1132</v>
      </c>
      <c r="C6759" s="25">
        <v>490467.6</v>
      </c>
      <c r="D6759" s="22" t="s">
        <v>8754</v>
      </c>
      <c r="E6759" s="22" t="s">
        <v>59</v>
      </c>
      <c r="F6759" s="23" t="str">
        <f>HYPERLINK("https://www.spark-marketing.ru/Card/Lot/71171085", "Монтаж оборудования инженерно-технических средств обеспечения транспортной безопасности на объекте транспортной инфраструктуры ФБУ ""Администрация ""Севводпуть""")</f>
        <v>Монтаж оборудования инженерно-технических средств обеспечения транспортной безопасности на объекте транспортной инфраструктуры ФБУ "Администрация "Севводпуть"</v>
      </c>
      <c r="G6759" s="22" t="s">
        <v>902</v>
      </c>
      <c r="H6759" s="22" t="s">
        <v>902</v>
      </c>
      <c r="I6759" s="26">
        <v>43623.429861111101</v>
      </c>
      <c r="J6759" s="23" t="str">
        <f>HYPERLINK("https://www.spark-marketing.ru/Card/Person/6356257", "ООО ""АНСЕЙ МАРИН""")</f>
        <v>ООО "АНСЕЙ МАРИН"</v>
      </c>
      <c r="K6759" s="24" t="s">
        <v>8756</v>
      </c>
      <c r="L6759" s="28" t="s">
        <v>52</v>
      </c>
      <c r="M6759" s="25">
        <v>349000</v>
      </c>
      <c r="N6759" s="27">
        <v>0.28843413917657351</v>
      </c>
    </row>
    <row r="6760" spans="1:14" x14ac:dyDescent="0.15">
      <c r="A6760" s="23" t="str">
        <f>HYPERLINK("https://www.spark-marketing.ru/Card/Person/1781080", "АО ""ПРОМЫШЛЕННЫЕ ИННОВАЦИИ""")</f>
        <v>АО "ПРОМЫШЛЕННЫЕ ИННОВАЦИИ"</v>
      </c>
      <c r="B6760" s="24" t="s">
        <v>6626</v>
      </c>
      <c r="C6760" s="25">
        <v>1347624</v>
      </c>
      <c r="D6760" s="22" t="s">
        <v>8757</v>
      </c>
      <c r="E6760" s="22" t="s">
        <v>53</v>
      </c>
      <c r="F6760" s="23" t="str">
        <f>HYPERLINK("https://www.spark-marketing.ru/Card/Lot/71175897", "Право заключения договора на Оказание услуг по круглосуточной вооруженной физической охране объекта: здание АТС квартал 206, зданием бытовых помещений АТС-4 квартал 206")</f>
        <v>Право заключения договора на Оказание услуг по круглосуточной вооруженной физической охране объекта: здание АТС квартал 206, зданием бытовых помещений АТС-4 квартал 206</v>
      </c>
      <c r="G6760" s="22" t="s">
        <v>55</v>
      </c>
      <c r="H6760" s="22" t="s">
        <v>55</v>
      </c>
      <c r="I6760" s="26">
        <v>43623.427881944401</v>
      </c>
      <c r="J6760" s="28" t="s">
        <v>52</v>
      </c>
      <c r="K6760" s="28" t="s">
        <v>52</v>
      </c>
      <c r="L6760" s="28" t="s">
        <v>52</v>
      </c>
      <c r="M6760" s="28" t="s">
        <v>52</v>
      </c>
      <c r="N6760" s="28" t="s">
        <v>52</v>
      </c>
    </row>
    <row r="6761" spans="1:14" x14ac:dyDescent="0.15">
      <c r="A6761" s="23" t="str">
        <f>HYPERLINK("https://www.spark-marketing.ru/Card/Person/77924", "ГБПОУ МО ""НАРО-ФОМИНСКИЙ ТЕХНИКУМ""")</f>
        <v>ГБПОУ МО "НАРО-ФОМИНСКИЙ ТЕХНИКУМ"</v>
      </c>
      <c r="B6761" s="24" t="s">
        <v>6968</v>
      </c>
      <c r="C6761" s="25">
        <v>216000</v>
      </c>
      <c r="D6761" s="22" t="s">
        <v>8758</v>
      </c>
      <c r="E6761" s="22" t="s">
        <v>294</v>
      </c>
      <c r="F6761" s="23" t="str">
        <f>HYPERLINK("https://www.spark-marketing.ru/Card/Lot/71169632", "Услуги по техническому обслуживанию систем видеонаблюдения")</f>
        <v>Услуги по техническому обслуживанию систем видеонаблюдения</v>
      </c>
      <c r="G6761" s="22" t="s">
        <v>50</v>
      </c>
      <c r="H6761" s="22" t="s">
        <v>2430</v>
      </c>
      <c r="I6761" s="26">
        <v>43623.4519097222</v>
      </c>
      <c r="J6761" s="28" t="s">
        <v>52</v>
      </c>
      <c r="K6761" s="28" t="s">
        <v>52</v>
      </c>
      <c r="L6761" s="28" t="s">
        <v>52</v>
      </c>
      <c r="M6761" s="28" t="s">
        <v>52</v>
      </c>
      <c r="N6761" s="28" t="s">
        <v>52</v>
      </c>
    </row>
    <row r="6762" spans="1:14" x14ac:dyDescent="0.15">
      <c r="A6762" s="23" t="str">
        <f>HYPERLINK("https://www.spark-marketing.ru/Card/Person/4352888", "Волгоградский филиал ФКУ ГЦИТОиС ФСИН России")</f>
        <v>Волгоградский филиал ФКУ ГЦИТОиС ФСИН России</v>
      </c>
      <c r="B6762" s="24" t="s">
        <v>7636</v>
      </c>
      <c r="C6762" s="25">
        <v>1500000</v>
      </c>
      <c r="D6762" s="22" t="s">
        <v>8759</v>
      </c>
      <c r="E6762" s="22" t="s">
        <v>208</v>
      </c>
      <c r="F6762" s="23" t="str">
        <f>HYPERLINK("https://www.spark-marketing.ru/Card/Lot/71169100", "Поставка комплекта транспортной инфраструктуры интегрированной системы безопасности")</f>
        <v>Поставка комплекта транспортной инфраструктуры интегрированной системы безопасности</v>
      </c>
      <c r="G6762" s="22" t="s">
        <v>343</v>
      </c>
      <c r="H6762" s="22" t="s">
        <v>343</v>
      </c>
      <c r="I6762" s="26">
        <v>43623.418749999997</v>
      </c>
      <c r="J6762" s="28" t="s">
        <v>52</v>
      </c>
      <c r="K6762" s="28" t="s">
        <v>52</v>
      </c>
      <c r="L6762" s="28" t="s">
        <v>52</v>
      </c>
      <c r="M6762" s="28" t="s">
        <v>52</v>
      </c>
      <c r="N6762" s="28" t="s">
        <v>52</v>
      </c>
    </row>
    <row r="6763" spans="1:14" x14ac:dyDescent="0.15">
      <c r="A6763" s="23" t="str">
        <f>HYPERLINK("https://www.spark-marketing.ru/Card/Person/4596", "МКУ ""ДИСОТИ""")</f>
        <v>МКУ "ДИСОТИ"</v>
      </c>
      <c r="B6763" s="24" t="s">
        <v>642</v>
      </c>
      <c r="C6763" s="25">
        <v>5533632</v>
      </c>
      <c r="D6763" s="22" t="s">
        <v>8760</v>
      </c>
      <c r="E6763" s="22" t="s">
        <v>68</v>
      </c>
      <c r="F6763" s="23" t="str">
        <f>HYPERLINK("https://www.spark-marketing.ru/Card/Lot/71175716", "Оказание услуг по охране мостов и путепроводов в г. Ростове-на-Дону.")</f>
        <v>Оказание услуг по охране мостов и путепроводов в г. Ростове-на-Дону.</v>
      </c>
      <c r="G6763" s="22" t="s">
        <v>402</v>
      </c>
      <c r="H6763" s="22" t="s">
        <v>402</v>
      </c>
      <c r="I6763" s="26">
        <v>43623.438888888901</v>
      </c>
      <c r="J6763" s="28" t="s">
        <v>52</v>
      </c>
      <c r="K6763" s="28" t="s">
        <v>52</v>
      </c>
      <c r="L6763" s="28" t="s">
        <v>52</v>
      </c>
      <c r="M6763" s="28" t="s">
        <v>52</v>
      </c>
      <c r="N6763" s="28" t="s">
        <v>52</v>
      </c>
    </row>
    <row r="6764" spans="1:14" x14ac:dyDescent="0.15">
      <c r="A6764" s="23" t="str">
        <f>HYPERLINK("https://www.spark-marketing.ru/Card/Person/1758942", "ГАУ БО ""СОСНОВЫЙ БОР""")</f>
        <v>ГАУ БО "СОСНОВЫЙ БОР"</v>
      </c>
      <c r="B6764" s="24" t="s">
        <v>7390</v>
      </c>
      <c r="C6764" s="25">
        <v>879200</v>
      </c>
      <c r="D6764" s="22" t="s">
        <v>8761</v>
      </c>
      <c r="E6764" s="22" t="s">
        <v>144</v>
      </c>
      <c r="F6764" s="23" t="str">
        <f>HYPERLINK("https://www.spark-marketing.ru/Card/Lot/71171057", "обеспечение установленного порядка на территори ГАУ БО ""Сосновый бор""")</f>
        <v>обеспечение установленного порядка на территори ГАУ БО "Сосновый бор"</v>
      </c>
      <c r="G6764" s="22" t="s">
        <v>215</v>
      </c>
      <c r="H6764" s="22" t="s">
        <v>215</v>
      </c>
      <c r="I6764" s="26">
        <v>43623.4453125</v>
      </c>
      <c r="J6764" s="28" t="s">
        <v>52</v>
      </c>
      <c r="K6764" s="28" t="s">
        <v>52</v>
      </c>
      <c r="L6764" s="28" t="s">
        <v>52</v>
      </c>
      <c r="M6764" s="28" t="s">
        <v>52</v>
      </c>
      <c r="N6764" s="28" t="s">
        <v>52</v>
      </c>
    </row>
    <row r="6765" spans="1:14" x14ac:dyDescent="0.15">
      <c r="A6765" s="23" t="str">
        <f>HYPERLINK("https://www.spark-marketing.ru/Card/Person/6450322", "ЗАКАЗЧИК РП БЕЛАРУСЬ")</f>
        <v>ЗАКАЗЧИК РП БЕЛАРУСЬ</v>
      </c>
      <c r="B6765" s="28" t="s">
        <v>52</v>
      </c>
      <c r="C6765" s="25">
        <v>1243324</v>
      </c>
      <c r="D6765" s="22" t="s">
        <v>8762</v>
      </c>
      <c r="E6765" s="22" t="s">
        <v>53</v>
      </c>
      <c r="F6765" s="23" t="str">
        <f>HYPERLINK("https://www.spark-marketing.ru/Card/Lot/71180468", "Выполнение работ по изготовлению автомобилей аварийной газовой службы на базе УАЗ-236324 в количестве 4-х единиц. Перечень выполняемых работ 1. Нанесение специальной цветографической окраски и надписей на автомобиль в соответствии с СТБ 1738-2007 «Тр...")</f>
        <v>Выполнение работ по изготовлению автомобилей аварийной газовой службы на базе УАЗ-236324 в количестве 4-х единиц. Перечень выполняемых работ 1. Нанесение специальной цветографической окраски и надписей на автомобиль в соответствии с СТБ 1738-2007 «Тр...</v>
      </c>
      <c r="G6765" s="22" t="s">
        <v>52</v>
      </c>
      <c r="H6765" s="22" t="s">
        <v>52</v>
      </c>
      <c r="I6765" s="26">
        <v>43623</v>
      </c>
      <c r="J6765" s="28" t="s">
        <v>52</v>
      </c>
      <c r="K6765" s="28" t="s">
        <v>52</v>
      </c>
      <c r="L6765" s="28" t="s">
        <v>52</v>
      </c>
      <c r="M6765" s="28" t="s">
        <v>52</v>
      </c>
      <c r="N6765" s="28" t="s">
        <v>52</v>
      </c>
    </row>
    <row r="6766" spans="1:14" x14ac:dyDescent="0.15">
      <c r="A6766" s="23" t="str">
        <f>HYPERLINK("https://www.spark-marketing.ru/Card/Person/131836", "МБУ ДО ""ЦВР""")</f>
        <v>МБУ ДО "ЦВР"</v>
      </c>
      <c r="B6766" s="24" t="s">
        <v>8763</v>
      </c>
      <c r="C6766" s="25">
        <v>45500</v>
      </c>
      <c r="D6766" s="22" t="s">
        <v>8764</v>
      </c>
      <c r="E6766" s="22" t="s">
        <v>84</v>
      </c>
      <c r="F6766" s="23" t="str">
        <f>HYPERLINK("https://www.spark-marketing.ru/Card/Lot/71159011", "Оказание услуг по установке камер видеонаблюдения")</f>
        <v>Оказание услуг по установке камер видеонаблюдения</v>
      </c>
      <c r="G6766" s="22" t="s">
        <v>50</v>
      </c>
      <c r="H6766" s="22" t="s">
        <v>682</v>
      </c>
      <c r="I6766" s="26">
        <v>43622.7323032407</v>
      </c>
      <c r="J6766" s="28" t="s">
        <v>52</v>
      </c>
      <c r="K6766" s="28" t="s">
        <v>52</v>
      </c>
      <c r="L6766" s="28" t="s">
        <v>52</v>
      </c>
      <c r="M6766" s="28" t="s">
        <v>52</v>
      </c>
      <c r="N6766" s="28" t="s">
        <v>52</v>
      </c>
    </row>
    <row r="6767" spans="1:14" x14ac:dyDescent="0.15">
      <c r="A6767" s="23" t="str">
        <f>HYPERLINK("https://www.spark-marketing.ru/Card/Person/4345133", "АО ""ГНЦ НИИАР""")</f>
        <v>АО "ГНЦ НИИАР"</v>
      </c>
      <c r="B6767" s="24" t="s">
        <v>444</v>
      </c>
      <c r="C6767" s="25">
        <v>174610.5</v>
      </c>
      <c r="D6767" s="22" t="s">
        <v>8765</v>
      </c>
      <c r="E6767" s="22" t="s">
        <v>1928</v>
      </c>
      <c r="F6767" s="23" t="str">
        <f>HYPERLINK("https://www.spark-marketing.ru/Card/Lot/71159758", "Право заключения договора на оказание услуг по техническому обслуживанию систем видеонаблюдения и охранной сигнализации здания и помещений НКЦ им. Е.П. Славского")</f>
        <v>Право заключения договора на оказание услуг по техническому обслуживанию систем видеонаблюдения и охранной сигнализации здания и помещений НКЦ им. Е.П. Славского</v>
      </c>
      <c r="G6767" s="22" t="s">
        <v>446</v>
      </c>
      <c r="H6767" s="22" t="s">
        <v>447</v>
      </c>
      <c r="I6767" s="26">
        <v>43622.7199189815</v>
      </c>
      <c r="J6767" s="28" t="s">
        <v>52</v>
      </c>
      <c r="K6767" s="28" t="s">
        <v>52</v>
      </c>
      <c r="L6767" s="28" t="s">
        <v>52</v>
      </c>
      <c r="M6767" s="28" t="s">
        <v>52</v>
      </c>
      <c r="N6767" s="28" t="s">
        <v>52</v>
      </c>
    </row>
    <row r="6768" spans="1:14" x14ac:dyDescent="0.15">
      <c r="A6768" s="23" t="str">
        <f>HYPERLINK("https://www.spark-marketing.ru/Card/Person/36339", "АДМИНИСТРАЦИЯ ГОРОДСКОГО ОКРУГА РОШАЛЬ")</f>
        <v>АДМИНИСТРАЦИЯ ГОРОДСКОГО ОКРУГА РОШАЛЬ</v>
      </c>
      <c r="B6768" s="24" t="s">
        <v>8766</v>
      </c>
      <c r="C6768" s="25">
        <v>62334.32</v>
      </c>
      <c r="D6768" s="22" t="s">
        <v>8767</v>
      </c>
      <c r="E6768" s="22" t="s">
        <v>59</v>
      </c>
      <c r="F6768" s="23" t="str">
        <f>HYPERLINK("https://www.spark-marketing.ru/Card/Lot/71158947", "Проведение монтажных и пусконаладочных работ")</f>
        <v>Проведение монтажных и пусконаладочных работ</v>
      </c>
      <c r="G6768" s="22" t="s">
        <v>50</v>
      </c>
      <c r="H6768" s="22" t="s">
        <v>1936</v>
      </c>
      <c r="I6768" s="26">
        <v>43622.711574074099</v>
      </c>
      <c r="J6768" s="28" t="s">
        <v>52</v>
      </c>
      <c r="K6768" s="28" t="s">
        <v>52</v>
      </c>
      <c r="L6768" s="28" t="s">
        <v>52</v>
      </c>
      <c r="M6768" s="28" t="s">
        <v>52</v>
      </c>
      <c r="N6768" s="28" t="s">
        <v>52</v>
      </c>
    </row>
    <row r="6769" spans="1:14" x14ac:dyDescent="0.15">
      <c r="A6769" s="23" t="str">
        <f>HYPERLINK("https://www.spark-marketing.ru/Card/Person/120986", "БАНК ""ВБРР"" (АО)")</f>
        <v>БАНК "ВБРР" (АО)</v>
      </c>
      <c r="B6769" s="24" t="s">
        <v>7876</v>
      </c>
      <c r="C6769" s="25">
        <v>25014480</v>
      </c>
      <c r="D6769" s="22" t="s">
        <v>8768</v>
      </c>
      <c r="E6769" s="22" t="s">
        <v>144</v>
      </c>
      <c r="F6769" s="23" t="str">
        <f>HYPERLINK("https://www.spark-marketing.ru/Card/Lot/71160014", "Оказание услуг физической вооруженной охраны имущества на объектах Банка «ВБРР» (АО) по адресам: г. Москва, ул. Сущевский вал, д. 65, корп. 1,г. Москва, ул. Шаболовка, д. 10, корп. 2,г. Москва, Кадашевская набережная, д. 6/1/2, стр. 1, для нужд Банка...")</f>
        <v>Оказание услуг физической вооруженной охраны имущества на объектах Банка «ВБРР» (АО) по адресам: г. Москва, ул. Сущевский вал, д. 65, корп. 1,г. Москва, ул. Шаболовка, д. 10, корп. 2,г. Москва, Кадашевская набережная, д. 6/1/2, стр. 1, для нужд Банка...</v>
      </c>
      <c r="G6769" s="22" t="s">
        <v>55</v>
      </c>
      <c r="H6769" s="22" t="s">
        <v>55</v>
      </c>
      <c r="I6769" s="26">
        <v>43622.738194444399</v>
      </c>
      <c r="J6769" s="28" t="s">
        <v>52</v>
      </c>
      <c r="K6769" s="28" t="s">
        <v>52</v>
      </c>
      <c r="L6769" s="28" t="s">
        <v>52</v>
      </c>
      <c r="M6769" s="28" t="s">
        <v>52</v>
      </c>
      <c r="N6769" s="28" t="s">
        <v>52</v>
      </c>
    </row>
    <row r="6770" spans="1:14" x14ac:dyDescent="0.15">
      <c r="A6770" s="23" t="str">
        <f>HYPERLINK("https://www.spark-marketing.ru/Card/Person/534162", "АО ""СУЭНКО""")</f>
        <v>АО "СУЭНКО"</v>
      </c>
      <c r="B6770" s="24" t="s">
        <v>8769</v>
      </c>
      <c r="C6770" s="25">
        <v>207500</v>
      </c>
      <c r="D6770" s="22" t="s">
        <v>8770</v>
      </c>
      <c r="E6770" s="22" t="s">
        <v>778</v>
      </c>
      <c r="F6770" s="23" t="str">
        <f>HYPERLINK("https://www.spark-marketing.ru/Card/Lot/71149532", "на поставку Блок-контейнера для размещения поста охраны в соответствии с техническим заданием (закупка 442/2019)")</f>
        <v>на поставку Блок-контейнера для размещения поста охраны в соответствии с техническим заданием (закупка 442/2019)</v>
      </c>
      <c r="G6770" s="22" t="s">
        <v>626</v>
      </c>
      <c r="H6770" s="22" t="s">
        <v>1508</v>
      </c>
      <c r="I6770" s="26">
        <v>43622.672222222202</v>
      </c>
      <c r="J6770" s="28" t="s">
        <v>52</v>
      </c>
      <c r="K6770" s="28" t="s">
        <v>52</v>
      </c>
      <c r="L6770" s="28" t="s">
        <v>52</v>
      </c>
      <c r="M6770" s="28" t="s">
        <v>52</v>
      </c>
      <c r="N6770" s="28" t="s">
        <v>52</v>
      </c>
    </row>
    <row r="6771" spans="1:14" x14ac:dyDescent="0.2">
      <c r="A6771" s="23" t="str">
        <f>HYPERLINK("https://www.spark-marketing.ru/Card/Person/4764088", "ООО ""ПАТП-2""")</f>
        <v>ООО "ПАТП-2"</v>
      </c>
      <c r="B6771" s="24" t="s">
        <v>8771</v>
      </c>
      <c r="C6771" s="25">
        <v>4000000</v>
      </c>
      <c r="D6771" s="22" t="s">
        <v>8772</v>
      </c>
      <c r="E6771" s="22" t="s">
        <v>144</v>
      </c>
      <c r="F6771" s="23" t="str">
        <f>HYPERLINK("https://www.spark-marketing.ru/Card/Lot/71157842", "Оказание услуг по охране объекта транспортной инфраструктуры")</f>
        <v>Оказание услуг по охране объекта транспортной инфраструктуры</v>
      </c>
      <c r="G6771" s="22" t="s">
        <v>446</v>
      </c>
      <c r="H6771" s="22" t="s">
        <v>446</v>
      </c>
      <c r="I6771" s="26">
        <v>43622.705520833297</v>
      </c>
      <c r="J6771" s="28" t="s">
        <v>52</v>
      </c>
      <c r="K6771" s="28" t="s">
        <v>52</v>
      </c>
      <c r="L6771" s="22" t="s">
        <v>10</v>
      </c>
      <c r="M6771" s="25">
        <v>3780000</v>
      </c>
      <c r="N6771" s="27">
        <v>5.5E-2</v>
      </c>
    </row>
    <row r="6772" spans="1:14" x14ac:dyDescent="0.2">
      <c r="A6772" s="23" t="str">
        <f>HYPERLINK("https://www.spark-marketing.ru/Card/Person/129697", "АО «НПО ГОИ ИМ. С.И. ВАВИЛОВА»")</f>
        <v>АО «НПО ГОИ ИМ. С.И. ВАВИЛОВА»</v>
      </c>
      <c r="B6772" s="24" t="s">
        <v>8773</v>
      </c>
      <c r="C6772" s="25">
        <v>300000</v>
      </c>
      <c r="D6772" s="22" t="s">
        <v>8774</v>
      </c>
      <c r="E6772" s="22" t="s">
        <v>8775</v>
      </c>
      <c r="F6772" s="23" t="str">
        <f>HYPERLINK("https://www.spark-marketing.ru/Card/Lot/71157403", "1005-2019-00020 Оказание услуг по охране имущества")</f>
        <v>1005-2019-00020 Оказание услуг по охране имущества</v>
      </c>
      <c r="G6772" s="22" t="s">
        <v>89</v>
      </c>
      <c r="H6772" s="22" t="s">
        <v>89</v>
      </c>
      <c r="I6772" s="26">
        <v>43622.695567129602</v>
      </c>
      <c r="J6772" s="28" t="s">
        <v>52</v>
      </c>
      <c r="K6772" s="28" t="s">
        <v>52</v>
      </c>
      <c r="L6772" s="28" t="s">
        <v>52</v>
      </c>
      <c r="M6772" s="25">
        <v>289105.2</v>
      </c>
      <c r="N6772" s="27">
        <v>3.6316000000000001E-2</v>
      </c>
    </row>
    <row r="6773" spans="1:14" x14ac:dyDescent="0.15">
      <c r="A6773" s="23" t="str">
        <f>HYPERLINK("https://www.spark-marketing.ru/Card/Person/16099", "СОГУ")</f>
        <v>СОГУ</v>
      </c>
      <c r="B6773" s="24" t="s">
        <v>7452</v>
      </c>
      <c r="C6773" s="25">
        <v>4389840</v>
      </c>
      <c r="D6773" s="22" t="s">
        <v>8776</v>
      </c>
      <c r="E6773" s="22" t="s">
        <v>144</v>
      </c>
      <c r="F6773" s="23" t="str">
        <f>HYPERLINK("https://www.spark-marketing.ru/Card/Lot/71162177", "Оказание услуг по круглосуточной физической охране объектов ФГБОУ ВО «СОГУ»")</f>
        <v>Оказание услуг по круглосуточной физической охране объектов ФГБОУ ВО «СОГУ»</v>
      </c>
      <c r="G6773" s="22" t="s">
        <v>833</v>
      </c>
      <c r="H6773" s="22" t="s">
        <v>833</v>
      </c>
      <c r="I6773" s="26">
        <v>43622.685393518499</v>
      </c>
      <c r="J6773" s="28" t="s">
        <v>52</v>
      </c>
      <c r="K6773" s="28" t="s">
        <v>52</v>
      </c>
      <c r="L6773" s="28" t="s">
        <v>52</v>
      </c>
      <c r="M6773" s="28" t="s">
        <v>52</v>
      </c>
      <c r="N6773" s="28" t="s">
        <v>52</v>
      </c>
    </row>
    <row r="6774" spans="1:14" x14ac:dyDescent="0.15">
      <c r="A6774" s="23" t="str">
        <f t="shared" ref="A6774:A6781" si="280">HYPERLINK("https://www.spark-marketing.ru/Card/Person/105246", "ГБУ ""МОСКОВСКИЕ ЯРМАРКИ""")</f>
        <v>ГБУ "МОСКОВСКИЕ ЯРМАРКИ"</v>
      </c>
      <c r="B6774" s="24" t="s">
        <v>8777</v>
      </c>
      <c r="C6774" s="25">
        <v>217999.98</v>
      </c>
      <c r="D6774" s="22" t="s">
        <v>8778</v>
      </c>
      <c r="E6774" s="22" t="s">
        <v>103</v>
      </c>
      <c r="F6774" s="23" t="str">
        <f t="shared" ref="F6774:F6781" si="281">HYPERLINK("https://www.spark-marketing.ru/Card/Lot/71158554", "Оказание услуг по техническому обслуживанию систем безопасности (система видеонаблюдения и система контроля и управления доступом) на межрегиональной ярмарке по адресу: ул. Генерала Белова, вл. 43")</f>
        <v>Оказание услуг по техническому обслуживанию систем безопасности (система видеонаблюдения и система контроля и управления доступом) на межрегиональной ярмарке по адресу: ул. Генерала Белова, вл. 43</v>
      </c>
      <c r="G6774" s="22" t="s">
        <v>55</v>
      </c>
      <c r="H6774" s="22" t="s">
        <v>55</v>
      </c>
      <c r="I6774" s="26">
        <v>43622.697916666701</v>
      </c>
      <c r="J6774" s="28" t="s">
        <v>52</v>
      </c>
      <c r="K6774" s="28" t="s">
        <v>52</v>
      </c>
      <c r="L6774" s="28" t="s">
        <v>52</v>
      </c>
      <c r="M6774" s="28" t="s">
        <v>52</v>
      </c>
      <c r="N6774" s="28" t="s">
        <v>52</v>
      </c>
    </row>
    <row r="6775" spans="1:14" hidden="1" outlineLevel="1" x14ac:dyDescent="0.2">
      <c r="A6775" s="23" t="str">
        <f t="shared" si="280"/>
        <v>ГБУ "МОСКОВСКИЕ ЯРМАРКИ"</v>
      </c>
      <c r="B6775" s="24" t="s">
        <v>8777</v>
      </c>
      <c r="C6775" s="25">
        <v>217999.98</v>
      </c>
      <c r="D6775" s="22" t="s">
        <v>8778</v>
      </c>
      <c r="E6775" s="22" t="s">
        <v>103</v>
      </c>
      <c r="F6775" s="23" t="str">
        <f t="shared" si="281"/>
        <v>Оказание услуг по техническому обслуживанию систем безопасности (система видеонаблюдения и система контроля и управления доступом) на межрегиональной ярмарке по адресу: ул. Генерала Белова, вл. 43</v>
      </c>
      <c r="G6775" s="22" t="s">
        <v>55</v>
      </c>
      <c r="H6775" s="22" t="s">
        <v>55</v>
      </c>
      <c r="I6775" s="26">
        <v>43622.697916666701</v>
      </c>
      <c r="J6775" s="23" t="str">
        <f>HYPERLINK("https://www.spark-marketing.ru/Card/Person/665030", "ООО ""ОТКРЫТЫЕ СИСТЕМЫ""")</f>
        <v>ООО "ОТКРЫТЫЕ СИСТЕМЫ"</v>
      </c>
      <c r="K6775" s="24" t="s">
        <v>7267</v>
      </c>
      <c r="L6775" s="28" t="s">
        <v>52</v>
      </c>
      <c r="M6775" s="25">
        <v>217999.98</v>
      </c>
      <c r="N6775" s="27">
        <v>0</v>
      </c>
    </row>
    <row r="6776" spans="1:14" hidden="1" outlineLevel="1" x14ac:dyDescent="0.2">
      <c r="A6776" s="23" t="str">
        <f t="shared" si="280"/>
        <v>ГБУ "МОСКОВСКИЕ ЯРМАРКИ"</v>
      </c>
      <c r="B6776" s="24" t="s">
        <v>8777</v>
      </c>
      <c r="C6776" s="25">
        <v>217999.98</v>
      </c>
      <c r="D6776" s="22" t="s">
        <v>8778</v>
      </c>
      <c r="E6776" s="22" t="s">
        <v>103</v>
      </c>
      <c r="F6776" s="23" t="str">
        <f t="shared" si="281"/>
        <v>Оказание услуг по техническому обслуживанию систем безопасности (система видеонаблюдения и система контроля и управления доступом) на межрегиональной ярмарке по адресу: ул. Генерала Белова, вл. 43</v>
      </c>
      <c r="G6776" s="22" t="s">
        <v>55</v>
      </c>
      <c r="H6776" s="22" t="s">
        <v>55</v>
      </c>
      <c r="I6776" s="26">
        <v>43622.697916666701</v>
      </c>
      <c r="J6776" s="23" t="str">
        <f>HYPERLINK("https://www.spark-marketing.ru/Card/Person/1844754", "ООО ""ТСБ""")</f>
        <v>ООО "ТСБ"</v>
      </c>
      <c r="K6776" s="24" t="s">
        <v>1746</v>
      </c>
      <c r="L6776" s="28" t="s">
        <v>52</v>
      </c>
      <c r="M6776" s="25">
        <v>99189.98</v>
      </c>
      <c r="N6776" s="27">
        <v>0.54500005000000462</v>
      </c>
    </row>
    <row r="6777" spans="1:14" hidden="1" outlineLevel="1" x14ac:dyDescent="0.2">
      <c r="A6777" s="23" t="str">
        <f t="shared" si="280"/>
        <v>ГБУ "МОСКОВСКИЕ ЯРМАРКИ"</v>
      </c>
      <c r="B6777" s="24" t="s">
        <v>8777</v>
      </c>
      <c r="C6777" s="25">
        <v>217999.98</v>
      </c>
      <c r="D6777" s="22" t="s">
        <v>8778</v>
      </c>
      <c r="E6777" s="22" t="s">
        <v>103</v>
      </c>
      <c r="F6777" s="23" t="str">
        <f t="shared" si="281"/>
        <v>Оказание услуг по техническому обслуживанию систем безопасности (система видеонаблюдения и система контроля и управления доступом) на межрегиональной ярмарке по адресу: ул. Генерала Белова, вл. 43</v>
      </c>
      <c r="G6777" s="22" t="s">
        <v>55</v>
      </c>
      <c r="H6777" s="22" t="s">
        <v>55</v>
      </c>
      <c r="I6777" s="26">
        <v>43622.697916666701</v>
      </c>
      <c r="J6777" s="23" t="str">
        <f>HYPERLINK("https://www.spark-marketing.ru/Card/Person/6615547", "ООО ""МСКА ИНЖИНИРИНГ""")</f>
        <v>ООО "МСКА ИНЖИНИРИНГ"</v>
      </c>
      <c r="K6777" s="24" t="s">
        <v>3977</v>
      </c>
      <c r="L6777" s="28" t="s">
        <v>52</v>
      </c>
      <c r="M6777" s="25">
        <v>111179.98</v>
      </c>
      <c r="N6777" s="27">
        <v>0.49000004495413257</v>
      </c>
    </row>
    <row r="6778" spans="1:14" hidden="1" outlineLevel="1" x14ac:dyDescent="0.2">
      <c r="A6778" s="23" t="str">
        <f t="shared" si="280"/>
        <v>ГБУ "МОСКОВСКИЕ ЯРМАРКИ"</v>
      </c>
      <c r="B6778" s="24" t="s">
        <v>8777</v>
      </c>
      <c r="C6778" s="25">
        <v>217999.98</v>
      </c>
      <c r="D6778" s="22" t="s">
        <v>8778</v>
      </c>
      <c r="E6778" s="22" t="s">
        <v>103</v>
      </c>
      <c r="F6778" s="23" t="str">
        <f t="shared" si="281"/>
        <v>Оказание услуг по техническому обслуживанию систем безопасности (система видеонаблюдения и система контроля и управления доступом) на межрегиональной ярмарке по адресу: ул. Генерала Белова, вл. 43</v>
      </c>
      <c r="G6778" s="22" t="s">
        <v>55</v>
      </c>
      <c r="H6778" s="22" t="s">
        <v>55</v>
      </c>
      <c r="I6778" s="26">
        <v>43622.697916666701</v>
      </c>
      <c r="J6778" s="23" t="str">
        <f>HYPERLINK("https://www.spark-marketing.ru/Card/Person/14846", "ООО ""ФЭЗЕРА""")</f>
        <v>ООО "ФЭЗЕРА"</v>
      </c>
      <c r="K6778" s="24" t="s">
        <v>1216</v>
      </c>
      <c r="L6778" s="28" t="s">
        <v>52</v>
      </c>
      <c r="M6778" s="25">
        <v>80659.98</v>
      </c>
      <c r="N6778" s="27">
        <v>0.63000005779817048</v>
      </c>
    </row>
    <row r="6779" spans="1:14" hidden="1" outlineLevel="1" x14ac:dyDescent="0.2">
      <c r="A6779" s="23" t="str">
        <f t="shared" si="280"/>
        <v>ГБУ "МОСКОВСКИЕ ЯРМАРКИ"</v>
      </c>
      <c r="B6779" s="24" t="s">
        <v>8777</v>
      </c>
      <c r="C6779" s="25">
        <v>217999.98</v>
      </c>
      <c r="D6779" s="22" t="s">
        <v>8778</v>
      </c>
      <c r="E6779" s="22" t="s">
        <v>103</v>
      </c>
      <c r="F6779" s="23" t="str">
        <f t="shared" si="281"/>
        <v>Оказание услуг по техническому обслуживанию систем безопасности (система видеонаблюдения и система контроля и управления доступом) на межрегиональной ярмарке по адресу: ул. Генерала Белова, вл. 43</v>
      </c>
      <c r="G6779" s="22" t="s">
        <v>55</v>
      </c>
      <c r="H6779" s="22" t="s">
        <v>55</v>
      </c>
      <c r="I6779" s="26">
        <v>43622.697916666701</v>
      </c>
      <c r="J6779" s="23" t="str">
        <f>HYPERLINK("https://www.spark-marketing.ru/Card/Person/6462474", "ООО ""ФАВОР""")</f>
        <v>ООО "ФАВОР"</v>
      </c>
      <c r="K6779" s="24" t="s">
        <v>2058</v>
      </c>
      <c r="L6779" s="28" t="s">
        <v>52</v>
      </c>
      <c r="M6779" s="25">
        <v>210369.98</v>
      </c>
      <c r="N6779" s="27">
        <v>3.5000003211009469E-2</v>
      </c>
    </row>
    <row r="6780" spans="1:14" ht="12.75" hidden="1" outlineLevel="1" x14ac:dyDescent="0.2">
      <c r="A6780" s="23" t="str">
        <f t="shared" si="280"/>
        <v>ГБУ "МОСКОВСКИЕ ЯРМАРКИ"</v>
      </c>
      <c r="B6780" s="24" t="s">
        <v>8777</v>
      </c>
      <c r="C6780" s="25">
        <v>217999.98</v>
      </c>
      <c r="D6780" s="22" t="s">
        <v>8778</v>
      </c>
      <c r="E6780" s="22" t="s">
        <v>103</v>
      </c>
      <c r="F6780" s="23" t="str">
        <f t="shared" si="281"/>
        <v>Оказание услуг по техническому обслуживанию систем безопасности (система видеонаблюдения и система контроля и управления доступом) на межрегиональной ярмарке по адресу: ул. Генерала Белова, вл. 43</v>
      </c>
      <c r="G6780" s="22" t="s">
        <v>55</v>
      </c>
      <c r="H6780" s="22" t="s">
        <v>55</v>
      </c>
      <c r="I6780" s="26">
        <v>43622.697916666701</v>
      </c>
      <c r="J6780" s="23" t="str">
        <f>HYPERLINK("https://www.spark-marketing.ru/Card/Person/61590", "ООО ""ВЕНТПОЖСЕРВИС""")</f>
        <v>ООО "ВЕНТПОЖСЕРВИС"</v>
      </c>
      <c r="K6780" s="24" t="s">
        <v>1740</v>
      </c>
      <c r="L6780" s="22" t="s">
        <v>10</v>
      </c>
      <c r="M6780" s="25">
        <v>79569.98</v>
      </c>
      <c r="N6780" s="27">
        <v>0.6350000582568861</v>
      </c>
    </row>
    <row r="6781" spans="1:14" hidden="1" outlineLevel="1" x14ac:dyDescent="0.2">
      <c r="A6781" s="23" t="str">
        <f t="shared" si="280"/>
        <v>ГБУ "МОСКОВСКИЕ ЯРМАРКИ"</v>
      </c>
      <c r="B6781" s="24" t="s">
        <v>8777</v>
      </c>
      <c r="C6781" s="25">
        <v>217999.98</v>
      </c>
      <c r="D6781" s="22" t="s">
        <v>8778</v>
      </c>
      <c r="E6781" s="22" t="s">
        <v>103</v>
      </c>
      <c r="F6781" s="23" t="str">
        <f t="shared" si="281"/>
        <v>Оказание услуг по техническому обслуживанию систем безопасности (система видеонаблюдения и система контроля и управления доступом) на межрегиональной ярмарке по адресу: ул. Генерала Белова, вл. 43</v>
      </c>
      <c r="G6781" s="22" t="s">
        <v>55</v>
      </c>
      <c r="H6781" s="22" t="s">
        <v>55</v>
      </c>
      <c r="I6781" s="26">
        <v>43622.697916666701</v>
      </c>
      <c r="J6781" s="23" t="str">
        <f>HYPERLINK("https://www.spark-marketing.ru/Card/Person/6442213", "ООО ""АЙТИСФЕРА""")</f>
        <v>ООО "АЙТИСФЕРА"</v>
      </c>
      <c r="K6781" s="24" t="s">
        <v>8779</v>
      </c>
      <c r="L6781" s="28" t="s">
        <v>52</v>
      </c>
      <c r="M6781" s="25">
        <v>85019.98</v>
      </c>
      <c r="N6781" s="27">
        <v>0.61000005596330786</v>
      </c>
    </row>
    <row r="6782" spans="1:14" x14ac:dyDescent="0.15">
      <c r="A6782" s="23" t="str">
        <f t="shared" ref="A6782:A6787" si="282">HYPERLINK("https://www.spark-marketing.ru/Card/Person/4349335", "УПРАВЛЕНИЕ ДЕЛАМИ ВОРОНЕЖСКОЙ ОБЛАСТИ")</f>
        <v>УПРАВЛЕНИЕ ДЕЛАМИ ВОРОНЕЖСКОЙ ОБЛАСТИ</v>
      </c>
      <c r="B6782" s="24" t="s">
        <v>8780</v>
      </c>
      <c r="C6782" s="25">
        <v>320000</v>
      </c>
      <c r="D6782" s="22" t="s">
        <v>8781</v>
      </c>
      <c r="E6782" s="22" t="s">
        <v>107</v>
      </c>
      <c r="F6782" s="23" t="str">
        <f t="shared" ref="F6782:F6787" si="283">HYPERLINK("https://www.spark-marketing.ru/Card/Lot/71158319", "2019-03159/ Оказание услуг по техническому обслуживанию систем видеонаблюдения на судебных участках мировых судей Воронежской области в 2019 году")</f>
        <v>2019-03159/ Оказание услуг по техническому обслуживанию систем видеонаблюдения на судебных участках мировых судей Воронежской области в 2019 году</v>
      </c>
      <c r="G6782" s="22" t="s">
        <v>552</v>
      </c>
      <c r="H6782" s="22" t="s">
        <v>886</v>
      </c>
      <c r="I6782" s="26">
        <v>43622.704861111102</v>
      </c>
      <c r="J6782" s="28" t="s">
        <v>52</v>
      </c>
      <c r="K6782" s="28" t="s">
        <v>52</v>
      </c>
      <c r="L6782" s="28" t="s">
        <v>52</v>
      </c>
      <c r="M6782" s="28" t="s">
        <v>52</v>
      </c>
      <c r="N6782" s="28" t="s">
        <v>52</v>
      </c>
    </row>
    <row r="6783" spans="1:14" hidden="1" outlineLevel="1" x14ac:dyDescent="0.2">
      <c r="A6783" s="23" t="str">
        <f t="shared" si="282"/>
        <v>УПРАВЛЕНИЕ ДЕЛАМИ ВОРОНЕЖСКОЙ ОБЛАСТИ</v>
      </c>
      <c r="B6783" s="24" t="s">
        <v>8780</v>
      </c>
      <c r="C6783" s="25">
        <v>320000</v>
      </c>
      <c r="D6783" s="22" t="s">
        <v>8781</v>
      </c>
      <c r="E6783" s="22" t="s">
        <v>107</v>
      </c>
      <c r="F6783" s="23" t="str">
        <f t="shared" si="283"/>
        <v>2019-03159/ Оказание услуг по техническому обслуживанию систем видеонаблюдения на судебных участках мировых судей Воронежской области в 2019 году</v>
      </c>
      <c r="G6783" s="22" t="s">
        <v>552</v>
      </c>
      <c r="H6783" s="22" t="s">
        <v>886</v>
      </c>
      <c r="I6783" s="26">
        <v>43622.704861111102</v>
      </c>
      <c r="J6783" s="23" t="str">
        <f>HYPERLINK("https://www.spark-marketing.ru/Card/Person/4636048", "ООО ""ЦИТАДЕЛЬ СИСТЕМЫ БЕЗОПАСНОСТИ""")</f>
        <v>ООО "ЦИТАДЕЛЬ СИСТЕМЫ БЕЗОПАСНОСТИ"</v>
      </c>
      <c r="K6783" s="24" t="s">
        <v>8782</v>
      </c>
      <c r="L6783" s="28" t="s">
        <v>52</v>
      </c>
      <c r="M6783" s="25">
        <v>102400</v>
      </c>
      <c r="N6783" s="27">
        <v>0.68</v>
      </c>
    </row>
    <row r="6784" spans="1:14" hidden="1" outlineLevel="1" x14ac:dyDescent="0.2">
      <c r="A6784" s="23" t="str">
        <f t="shared" si="282"/>
        <v>УПРАВЛЕНИЕ ДЕЛАМИ ВОРОНЕЖСКОЙ ОБЛАСТИ</v>
      </c>
      <c r="B6784" s="24" t="s">
        <v>8780</v>
      </c>
      <c r="C6784" s="25">
        <v>320000</v>
      </c>
      <c r="D6784" s="22" t="s">
        <v>8781</v>
      </c>
      <c r="E6784" s="22" t="s">
        <v>107</v>
      </c>
      <c r="F6784" s="23" t="str">
        <f t="shared" si="283"/>
        <v>2019-03159/ Оказание услуг по техническому обслуживанию систем видеонаблюдения на судебных участках мировых судей Воронежской области в 2019 году</v>
      </c>
      <c r="G6784" s="22" t="s">
        <v>552</v>
      </c>
      <c r="H6784" s="22" t="s">
        <v>886</v>
      </c>
      <c r="I6784" s="26">
        <v>43622.704861111102</v>
      </c>
      <c r="J6784" s="23" t="str">
        <f>HYPERLINK("https://www.spark-marketing.ru/Card/Person/4539727", "Филиал ФГУП ""Охрана"" Росгвардии по Воронежской области")</f>
        <v>Филиал ФГУП "Охрана" Росгвардии по Воронежской области</v>
      </c>
      <c r="K6784" s="24" t="s">
        <v>779</v>
      </c>
      <c r="L6784" s="28" t="s">
        <v>52</v>
      </c>
      <c r="M6784" s="25">
        <v>200000</v>
      </c>
      <c r="N6784" s="27">
        <v>0.375</v>
      </c>
    </row>
    <row r="6785" spans="1:14" hidden="1" outlineLevel="1" x14ac:dyDescent="0.2">
      <c r="A6785" s="23" t="str">
        <f t="shared" si="282"/>
        <v>УПРАВЛЕНИЕ ДЕЛАМИ ВОРОНЕЖСКОЙ ОБЛАСТИ</v>
      </c>
      <c r="B6785" s="24" t="s">
        <v>8780</v>
      </c>
      <c r="C6785" s="25">
        <v>320000</v>
      </c>
      <c r="D6785" s="22" t="s">
        <v>8781</v>
      </c>
      <c r="E6785" s="22" t="s">
        <v>107</v>
      </c>
      <c r="F6785" s="23" t="str">
        <f t="shared" si="283"/>
        <v>2019-03159/ Оказание услуг по техническому обслуживанию систем видеонаблюдения на судебных участках мировых судей Воронежской области в 2019 году</v>
      </c>
      <c r="G6785" s="22" t="s">
        <v>552</v>
      </c>
      <c r="H6785" s="22" t="s">
        <v>886</v>
      </c>
      <c r="I6785" s="26">
        <v>43622.704861111102</v>
      </c>
      <c r="J6785" s="23" t="str">
        <f>HYPERLINK("https://www.spark-marketing.ru/Card/Person/246483", "ООО ""СПМ""")</f>
        <v>ООО "СПМ"</v>
      </c>
      <c r="K6785" s="24" t="s">
        <v>8783</v>
      </c>
      <c r="L6785" s="28" t="s">
        <v>52</v>
      </c>
      <c r="M6785" s="25">
        <v>222400</v>
      </c>
      <c r="N6785" s="27">
        <v>0.30499999999999999</v>
      </c>
    </row>
    <row r="6786" spans="1:14" hidden="1" outlineLevel="1" x14ac:dyDescent="0.2">
      <c r="A6786" s="23" t="str">
        <f t="shared" si="282"/>
        <v>УПРАВЛЕНИЕ ДЕЛАМИ ВОРОНЕЖСКОЙ ОБЛАСТИ</v>
      </c>
      <c r="B6786" s="24" t="s">
        <v>8780</v>
      </c>
      <c r="C6786" s="25">
        <v>320000</v>
      </c>
      <c r="D6786" s="22" t="s">
        <v>8781</v>
      </c>
      <c r="E6786" s="22" t="s">
        <v>107</v>
      </c>
      <c r="F6786" s="23" t="str">
        <f t="shared" si="283"/>
        <v>2019-03159/ Оказание услуг по техническому обслуживанию систем видеонаблюдения на судебных участках мировых судей Воронежской области в 2019 году</v>
      </c>
      <c r="G6786" s="22" t="s">
        <v>552</v>
      </c>
      <c r="H6786" s="22" t="s">
        <v>886</v>
      </c>
      <c r="I6786" s="26">
        <v>43622.704861111102</v>
      </c>
      <c r="J6786" s="23" t="str">
        <f>HYPERLINK("https://www.spark-marketing.ru/Card/Person/1920691", "ООО ""КОМБАТ""")</f>
        <v>ООО "КОМБАТ"</v>
      </c>
      <c r="K6786" s="24" t="s">
        <v>8784</v>
      </c>
      <c r="L6786" s="28" t="s">
        <v>52</v>
      </c>
      <c r="M6786" s="25">
        <v>94400</v>
      </c>
      <c r="N6786" s="27">
        <v>0.70499999999999996</v>
      </c>
    </row>
    <row r="6787" spans="1:14" ht="12.75" hidden="1" outlineLevel="1" x14ac:dyDescent="0.2">
      <c r="A6787" s="23" t="str">
        <f t="shared" si="282"/>
        <v>УПРАВЛЕНИЕ ДЕЛАМИ ВОРОНЕЖСКОЙ ОБЛАСТИ</v>
      </c>
      <c r="B6787" s="24" t="s">
        <v>8780</v>
      </c>
      <c r="C6787" s="25">
        <v>320000</v>
      </c>
      <c r="D6787" s="22" t="s">
        <v>8781</v>
      </c>
      <c r="E6787" s="22" t="s">
        <v>107</v>
      </c>
      <c r="F6787" s="23" t="str">
        <f t="shared" si="283"/>
        <v>2019-03159/ Оказание услуг по техническому обслуживанию систем видеонаблюдения на судебных участках мировых судей Воронежской области в 2019 году</v>
      </c>
      <c r="G6787" s="22" t="s">
        <v>552</v>
      </c>
      <c r="H6787" s="22" t="s">
        <v>886</v>
      </c>
      <c r="I6787" s="26">
        <v>43622.704861111102</v>
      </c>
      <c r="J6787" s="23" t="str">
        <f>HYPERLINK("https://www.spark-marketing.ru/Card/Person/5873691", "ООО ""СЕВ""")</f>
        <v>ООО "СЕВ"</v>
      </c>
      <c r="K6787" s="24" t="s">
        <v>8785</v>
      </c>
      <c r="L6787" s="22" t="s">
        <v>10</v>
      </c>
      <c r="M6787" s="25">
        <v>92800</v>
      </c>
      <c r="N6787" s="27">
        <v>0.71</v>
      </c>
    </row>
    <row r="6788" spans="1:14" x14ac:dyDescent="0.15">
      <c r="A6788" s="23" t="str">
        <f>HYPERLINK("https://www.spark-marketing.ru/Card/Person/545375", "ФКУ ИК-6 УФСИН РОССИИ ПО РЯЗАНСКОЙ ОБЛАСТИ")</f>
        <v>ФКУ ИК-6 УФСИН РОССИИ ПО РЯЗАНСКОЙ ОБЛАСТИ</v>
      </c>
      <c r="B6788" s="24" t="s">
        <v>8786</v>
      </c>
      <c r="C6788" s="25">
        <v>54000</v>
      </c>
      <c r="D6788" s="22" t="s">
        <v>8787</v>
      </c>
      <c r="E6788" s="22" t="s">
        <v>107</v>
      </c>
      <c r="F6788" s="23" t="str">
        <f>HYPERLINK("https://www.spark-marketing.ru/Card/Lot/71151018", "Оказание услуг по обслуживанию автоматики безопасности и сигнализации газовой котельной двух котлов Луч-1,2-95, четырех водогрейных котлов Луч -1,2-95")</f>
        <v>Оказание услуг по обслуживанию автоматики безопасности и сигнализации газовой котельной двух котлов Луч-1,2-95, четырех водогрейных котлов Луч -1,2-95</v>
      </c>
      <c r="G6788" s="22" t="s">
        <v>186</v>
      </c>
      <c r="H6788" s="22" t="s">
        <v>7985</v>
      </c>
      <c r="I6788" s="26">
        <v>43622.625694444403</v>
      </c>
      <c r="J6788" s="28" t="s">
        <v>52</v>
      </c>
      <c r="K6788" s="28" t="s">
        <v>52</v>
      </c>
      <c r="L6788" s="28" t="s">
        <v>52</v>
      </c>
      <c r="M6788" s="28" t="s">
        <v>52</v>
      </c>
      <c r="N6788" s="28" t="s">
        <v>52</v>
      </c>
    </row>
    <row r="6789" spans="1:14" x14ac:dyDescent="0.15">
      <c r="A6789" s="23" t="str">
        <f t="shared" ref="A6789:A6796" si="284">HYPERLINK("https://www.spark-marketing.ru/Card/Person/1052856", "ДЕТСКИЙ САД № 31")</f>
        <v>ДЕТСКИЙ САД № 31</v>
      </c>
      <c r="B6789" s="24" t="s">
        <v>8788</v>
      </c>
      <c r="C6789" s="25">
        <v>400552.11</v>
      </c>
      <c r="D6789" s="22" t="s">
        <v>8789</v>
      </c>
      <c r="E6789" s="22" t="s">
        <v>59</v>
      </c>
      <c r="F6789" s="23" t="str">
        <f t="shared" ref="F6789:F6796" si="285">HYPERLINK("https://www.spark-marketing.ru/Card/Lot/71147489", "установка комплекса охранной сигнализации")</f>
        <v>установка комплекса охранной сигнализации</v>
      </c>
      <c r="G6789" s="22" t="s">
        <v>72</v>
      </c>
      <c r="H6789" s="22" t="s">
        <v>692</v>
      </c>
      <c r="I6789" s="26">
        <v>43622.649305555598</v>
      </c>
      <c r="J6789" s="28" t="s">
        <v>52</v>
      </c>
      <c r="K6789" s="28" t="s">
        <v>52</v>
      </c>
      <c r="L6789" s="28" t="s">
        <v>52</v>
      </c>
      <c r="M6789" s="28" t="s">
        <v>52</v>
      </c>
      <c r="N6789" s="28" t="s">
        <v>52</v>
      </c>
    </row>
    <row r="6790" spans="1:14" hidden="1" outlineLevel="1" x14ac:dyDescent="0.2">
      <c r="A6790" s="23" t="str">
        <f t="shared" si="284"/>
        <v>ДЕТСКИЙ САД № 31</v>
      </c>
      <c r="B6790" s="24" t="s">
        <v>8788</v>
      </c>
      <c r="C6790" s="25">
        <v>400552.11</v>
      </c>
      <c r="D6790" s="22" t="s">
        <v>8789</v>
      </c>
      <c r="E6790" s="22" t="s">
        <v>59</v>
      </c>
      <c r="F6790" s="23" t="str">
        <f t="shared" si="285"/>
        <v>установка комплекса охранной сигнализации</v>
      </c>
      <c r="G6790" s="22" t="s">
        <v>72</v>
      </c>
      <c r="H6790" s="22" t="s">
        <v>692</v>
      </c>
      <c r="I6790" s="26">
        <v>43622.649305555598</v>
      </c>
      <c r="J6790" s="23" t="str">
        <f>HYPERLINK("https://www.spark-marketing.ru/Card/Person/539295", "ООО ""ЭДГАРД""")</f>
        <v>ООО "ЭДГАРД"</v>
      </c>
      <c r="K6790" s="24" t="s">
        <v>8790</v>
      </c>
      <c r="L6790" s="28" t="s">
        <v>52</v>
      </c>
      <c r="M6790" s="25">
        <v>350483.11</v>
      </c>
      <c r="N6790" s="27">
        <v>0.12499996567238156</v>
      </c>
    </row>
    <row r="6791" spans="1:14" hidden="1" outlineLevel="1" x14ac:dyDescent="0.2">
      <c r="A6791" s="23" t="str">
        <f t="shared" si="284"/>
        <v>ДЕТСКИЙ САД № 31</v>
      </c>
      <c r="B6791" s="24" t="s">
        <v>8788</v>
      </c>
      <c r="C6791" s="25">
        <v>400552.11</v>
      </c>
      <c r="D6791" s="22" t="s">
        <v>8789</v>
      </c>
      <c r="E6791" s="22" t="s">
        <v>59</v>
      </c>
      <c r="F6791" s="23" t="str">
        <f t="shared" si="285"/>
        <v>установка комплекса охранной сигнализации</v>
      </c>
      <c r="G6791" s="22" t="s">
        <v>72</v>
      </c>
      <c r="H6791" s="22" t="s">
        <v>692</v>
      </c>
      <c r="I6791" s="26">
        <v>43622.649305555598</v>
      </c>
      <c r="J6791" s="23" t="str">
        <f>HYPERLINK("https://www.spark-marketing.ru/Card/Person/4892439", "ООО КОМПАНИЯ ""СФЕРА БЕЗОПАСНОСТИ""")</f>
        <v>ООО КОМПАНИЯ "СФЕРА БЕЗОПАСНОСТИ"</v>
      </c>
      <c r="K6791" s="24" t="s">
        <v>8791</v>
      </c>
      <c r="L6791" s="28" t="s">
        <v>52</v>
      </c>
      <c r="M6791" s="25">
        <v>332458.07</v>
      </c>
      <c r="N6791" s="27">
        <v>0.17000045262525268</v>
      </c>
    </row>
    <row r="6792" spans="1:14" hidden="1" outlineLevel="1" x14ac:dyDescent="0.2">
      <c r="A6792" s="23" t="str">
        <f t="shared" si="284"/>
        <v>ДЕТСКИЙ САД № 31</v>
      </c>
      <c r="B6792" s="24" t="s">
        <v>8788</v>
      </c>
      <c r="C6792" s="25">
        <v>400552.11</v>
      </c>
      <c r="D6792" s="22" t="s">
        <v>8789</v>
      </c>
      <c r="E6792" s="22" t="s">
        <v>59</v>
      </c>
      <c r="F6792" s="23" t="str">
        <f t="shared" si="285"/>
        <v>установка комплекса охранной сигнализации</v>
      </c>
      <c r="G6792" s="22" t="s">
        <v>72</v>
      </c>
      <c r="H6792" s="22" t="s">
        <v>692</v>
      </c>
      <c r="I6792" s="26">
        <v>43622.649305555598</v>
      </c>
      <c r="J6792" s="23" t="str">
        <f>HYPERLINK("https://www.spark-marketing.ru/Card/Person/850561", "ООО ""АСКОН""")</f>
        <v>ООО "АСКОН"</v>
      </c>
      <c r="K6792" s="24" t="s">
        <v>1266</v>
      </c>
      <c r="L6792" s="28" t="s">
        <v>52</v>
      </c>
      <c r="M6792" s="25">
        <v>398549.35</v>
      </c>
      <c r="N6792" s="27">
        <v>4.9999986268952626E-3</v>
      </c>
    </row>
    <row r="6793" spans="1:14" ht="12.75" hidden="1" outlineLevel="1" x14ac:dyDescent="0.2">
      <c r="A6793" s="23" t="str">
        <f t="shared" si="284"/>
        <v>ДЕТСКИЙ САД № 31</v>
      </c>
      <c r="B6793" s="24" t="s">
        <v>8788</v>
      </c>
      <c r="C6793" s="25">
        <v>400552.11</v>
      </c>
      <c r="D6793" s="22" t="s">
        <v>8789</v>
      </c>
      <c r="E6793" s="22" t="s">
        <v>59</v>
      </c>
      <c r="F6793" s="23" t="str">
        <f t="shared" si="285"/>
        <v>установка комплекса охранной сигнализации</v>
      </c>
      <c r="G6793" s="22" t="s">
        <v>72</v>
      </c>
      <c r="H6793" s="22" t="s">
        <v>692</v>
      </c>
      <c r="I6793" s="26">
        <v>43622.649305555598</v>
      </c>
      <c r="J6793" s="23" t="str">
        <f>HYPERLINK("https://www.spark-marketing.ru/Card/Person/74083", "ООО ""МСК ""ФОТОН""")</f>
        <v>ООО "МСК "ФОТОН"</v>
      </c>
      <c r="K6793" s="24" t="s">
        <v>8792</v>
      </c>
      <c r="L6793" s="22" t="s">
        <v>10</v>
      </c>
      <c r="M6793" s="25">
        <v>180248.31</v>
      </c>
      <c r="N6793" s="27">
        <v>0.55000034826929256</v>
      </c>
    </row>
    <row r="6794" spans="1:14" hidden="1" outlineLevel="1" x14ac:dyDescent="0.2">
      <c r="A6794" s="23" t="str">
        <f t="shared" si="284"/>
        <v>ДЕТСКИЙ САД № 31</v>
      </c>
      <c r="B6794" s="24" t="s">
        <v>8788</v>
      </c>
      <c r="C6794" s="25">
        <v>400552.11</v>
      </c>
      <c r="D6794" s="22" t="s">
        <v>8789</v>
      </c>
      <c r="E6794" s="22" t="s">
        <v>59</v>
      </c>
      <c r="F6794" s="23" t="str">
        <f t="shared" si="285"/>
        <v>установка комплекса охранной сигнализации</v>
      </c>
      <c r="G6794" s="22" t="s">
        <v>72</v>
      </c>
      <c r="H6794" s="22" t="s">
        <v>692</v>
      </c>
      <c r="I6794" s="26">
        <v>43622.649305555598</v>
      </c>
      <c r="J6794" s="23" t="str">
        <f>HYPERLINK("https://www.spark-marketing.ru/Card/Person/802084", "ООО ""ГЕФЕСТ""")</f>
        <v>ООО "ГЕФЕСТ"</v>
      </c>
      <c r="K6794" s="24" t="s">
        <v>3414</v>
      </c>
      <c r="L6794" s="28" t="s">
        <v>52</v>
      </c>
      <c r="M6794" s="25">
        <v>200000</v>
      </c>
      <c r="N6794" s="27">
        <v>0.50068918623347158</v>
      </c>
    </row>
    <row r="6795" spans="1:14" hidden="1" outlineLevel="1" x14ac:dyDescent="0.2">
      <c r="A6795" s="23" t="str">
        <f t="shared" si="284"/>
        <v>ДЕТСКИЙ САД № 31</v>
      </c>
      <c r="B6795" s="24" t="s">
        <v>8788</v>
      </c>
      <c r="C6795" s="25">
        <v>400552.11</v>
      </c>
      <c r="D6795" s="22" t="s">
        <v>8789</v>
      </c>
      <c r="E6795" s="22" t="s">
        <v>59</v>
      </c>
      <c r="F6795" s="23" t="str">
        <f t="shared" si="285"/>
        <v>установка комплекса охранной сигнализации</v>
      </c>
      <c r="G6795" s="22" t="s">
        <v>72</v>
      </c>
      <c r="H6795" s="22" t="s">
        <v>692</v>
      </c>
      <c r="I6795" s="26">
        <v>43622.649305555598</v>
      </c>
      <c r="J6795" s="23" t="str">
        <f>HYPERLINK("https://www.spark-marketing.ru/Card/Person/6578982", "Родичев Максим Юрьевич")</f>
        <v>Родичев Максим Юрьевич</v>
      </c>
      <c r="K6795" s="24" t="s">
        <v>1478</v>
      </c>
      <c r="L6795" s="28" t="s">
        <v>52</v>
      </c>
      <c r="M6795" s="25">
        <v>182251.07</v>
      </c>
      <c r="N6795" s="27">
        <v>0.5450003496423973</v>
      </c>
    </row>
    <row r="6796" spans="1:14" hidden="1" outlineLevel="1" x14ac:dyDescent="0.2">
      <c r="A6796" s="23" t="str">
        <f t="shared" si="284"/>
        <v>ДЕТСКИЙ САД № 31</v>
      </c>
      <c r="B6796" s="24" t="s">
        <v>8788</v>
      </c>
      <c r="C6796" s="25">
        <v>400552.11</v>
      </c>
      <c r="D6796" s="22" t="s">
        <v>8789</v>
      </c>
      <c r="E6796" s="22" t="s">
        <v>59</v>
      </c>
      <c r="F6796" s="23" t="str">
        <f t="shared" si="285"/>
        <v>установка комплекса охранной сигнализации</v>
      </c>
      <c r="G6796" s="22" t="s">
        <v>72</v>
      </c>
      <c r="H6796" s="22" t="s">
        <v>692</v>
      </c>
      <c r="I6796" s="26">
        <v>43622.649305555598</v>
      </c>
      <c r="J6796" s="23" t="str">
        <f>HYPERLINK("https://www.spark-marketing.ru/Card/Person/6223684", "ООО ""КОРПОРАЦИЯ БЕЗОПАСНОСТИ""")</f>
        <v>ООО "КОРПОРАЦИЯ БЕЗОПАСНОСТИ"</v>
      </c>
      <c r="K6796" s="24" t="s">
        <v>4894</v>
      </c>
      <c r="L6796" s="28" t="s">
        <v>52</v>
      </c>
      <c r="M6796" s="25">
        <v>250000</v>
      </c>
      <c r="N6796" s="27">
        <v>0.37586148279183951</v>
      </c>
    </row>
    <row r="6797" spans="1:14" x14ac:dyDescent="0.15">
      <c r="A6797" s="23" t="str">
        <f>HYPERLINK("https://www.spark-marketing.ru/Card/Person/843", "ФКУ ""ГЦХТИСО ГУ МВД РОССИИ ПО Г. МОСКВЕ""")</f>
        <v>ФКУ "ГЦХТИСО ГУ МВД РОССИИ ПО Г. МОСКВЕ"</v>
      </c>
      <c r="B6797" s="24" t="s">
        <v>8793</v>
      </c>
      <c r="C6797" s="25">
        <v>8904.36</v>
      </c>
      <c r="D6797" s="22" t="s">
        <v>8794</v>
      </c>
      <c r="E6797" s="22" t="s">
        <v>53</v>
      </c>
      <c r="F6797" s="23" t="str">
        <f>HYPERLINK("https://www.spark-marketing.ru/Card/Lot/71148114", "Оказание услуг по техническому обслуживанию комплекса технических средств охраны на объектах")</f>
        <v>Оказание услуг по техническому обслуживанию комплекса технических средств охраны на объектах</v>
      </c>
      <c r="G6797" s="22" t="s">
        <v>55</v>
      </c>
      <c r="H6797" s="22" t="s">
        <v>55</v>
      </c>
      <c r="I6797" s="26">
        <v>43622.652141203696</v>
      </c>
      <c r="J6797" s="28" t="s">
        <v>52</v>
      </c>
      <c r="K6797" s="28" t="s">
        <v>52</v>
      </c>
      <c r="L6797" s="28" t="s">
        <v>52</v>
      </c>
      <c r="M6797" s="28" t="s">
        <v>52</v>
      </c>
      <c r="N6797" s="28" t="s">
        <v>52</v>
      </c>
    </row>
    <row r="6798" spans="1:14" x14ac:dyDescent="0.15">
      <c r="A6798" s="23" t="str">
        <f>HYPERLINK("https://www.spark-marketing.ru/Card/Person/78553", "БУ ""СУРГУТСКАЯ ГОРОДСКАЯ КЛИНИЧЕСКАЯ ПОЛИКЛИНИКА № 5""")</f>
        <v>БУ "СУРГУТСКАЯ ГОРОДСКАЯ КЛИНИЧЕСКАЯ ПОЛИКЛИНИКА № 5"</v>
      </c>
      <c r="B6798" s="24" t="s">
        <v>6898</v>
      </c>
      <c r="C6798" s="28" t="s">
        <v>52</v>
      </c>
      <c r="D6798" s="22" t="s">
        <v>8795</v>
      </c>
      <c r="E6798" s="22" t="s">
        <v>52</v>
      </c>
      <c r="F6798" s="23" t="str">
        <f>HYPERLINK("https://www.spark-marketing.ru/Card/Lot/71145505", "Оказание услуг по охране объектов")</f>
        <v>Оказание услуг по охране объектов</v>
      </c>
      <c r="G6798" s="22" t="s">
        <v>119</v>
      </c>
      <c r="H6798" s="22" t="s">
        <v>463</v>
      </c>
      <c r="I6798" s="26">
        <v>43622.587500000001</v>
      </c>
      <c r="J6798" s="28" t="s">
        <v>52</v>
      </c>
      <c r="K6798" s="28" t="s">
        <v>52</v>
      </c>
      <c r="L6798" s="28" t="s">
        <v>52</v>
      </c>
      <c r="M6798" s="28" t="s">
        <v>52</v>
      </c>
      <c r="N6798" s="28" t="s">
        <v>52</v>
      </c>
    </row>
    <row r="6799" spans="1:14" x14ac:dyDescent="0.15">
      <c r="A6799" s="23" t="str">
        <f>HYPERLINK("https://www.spark-marketing.ru/Card/Person/1027541", "ГКУ МО ЧЕХОВСКИЙ ЦЗН")</f>
        <v>ГКУ МО ЧЕХОВСКИЙ ЦЗН</v>
      </c>
      <c r="B6799" s="24" t="s">
        <v>8796</v>
      </c>
      <c r="C6799" s="25">
        <v>55019.4</v>
      </c>
      <c r="D6799" s="22" t="s">
        <v>8797</v>
      </c>
      <c r="E6799" s="22" t="s">
        <v>107</v>
      </c>
      <c r="F6799" s="23" t="str">
        <f>HYPERLINK("https://www.spark-marketing.ru/Card/Lot/71145856", "Оказание услуг по техническому обслуживанию технический средств охранной и тревожной сигнализации")</f>
        <v>Оказание услуг по техническому обслуживанию технический средств охранной и тревожной сигнализации</v>
      </c>
      <c r="G6799" s="22" t="s">
        <v>50</v>
      </c>
      <c r="H6799" s="22" t="s">
        <v>679</v>
      </c>
      <c r="I6799" s="26">
        <v>43622.596608796302</v>
      </c>
      <c r="J6799" s="28" t="s">
        <v>52</v>
      </c>
      <c r="K6799" s="28" t="s">
        <v>52</v>
      </c>
      <c r="L6799" s="28" t="s">
        <v>52</v>
      </c>
      <c r="M6799" s="28" t="s">
        <v>52</v>
      </c>
      <c r="N6799" s="28" t="s">
        <v>52</v>
      </c>
    </row>
    <row r="6800" spans="1:14" x14ac:dyDescent="0.15">
      <c r="A6800" s="23" t="str">
        <f>HYPERLINK("https://www.spark-marketing.ru/Card/Person/1097380", "КПКО ""КУРСКАЭРОПОРТ""")</f>
        <v>КПКО "КУРСКАЭРОПОРТ"</v>
      </c>
      <c r="B6800" s="24" t="s">
        <v>8798</v>
      </c>
      <c r="C6800" s="25">
        <v>118584</v>
      </c>
      <c r="D6800" s="22" t="s">
        <v>8799</v>
      </c>
      <c r="E6800" s="22" t="s">
        <v>2204</v>
      </c>
      <c r="F6800" s="23" t="str">
        <f>HYPERLINK("https://www.spark-marketing.ru/Card/Lot/71145618", "«Приобретение и установка дополнительного оборудования для системы видеонаблюдения службы авиационной безопасности КПКО «Курскаэропорт»")</f>
        <v>«Приобретение и установка дополнительного оборудования для системы видеонаблюдения службы авиационной безопасности КПКО «Курскаэропорт»</v>
      </c>
      <c r="G6800" s="22" t="s">
        <v>3128</v>
      </c>
      <c r="H6800" s="22" t="s">
        <v>3128</v>
      </c>
      <c r="I6800" s="26">
        <v>43622.619062500002</v>
      </c>
      <c r="J6800" s="28" t="s">
        <v>52</v>
      </c>
      <c r="K6800" s="28" t="s">
        <v>52</v>
      </c>
      <c r="L6800" s="28" t="s">
        <v>52</v>
      </c>
      <c r="M6800" s="28" t="s">
        <v>52</v>
      </c>
      <c r="N6800" s="28" t="s">
        <v>52</v>
      </c>
    </row>
    <row r="6801" spans="1:14" x14ac:dyDescent="0.15">
      <c r="A6801" s="23" t="str">
        <f>HYPERLINK("https://www.spark-marketing.ru/Card/Person/547159", "АО ""ТЮМЕНЬЭНЕРГО""")</f>
        <v>АО "ТЮМЕНЬЭНЕРГО"</v>
      </c>
      <c r="B6801" s="24" t="s">
        <v>1577</v>
      </c>
      <c r="C6801" s="25">
        <v>2746040.19</v>
      </c>
      <c r="D6801" s="22" t="s">
        <v>8800</v>
      </c>
      <c r="E6801" s="22" t="s">
        <v>996</v>
      </c>
      <c r="F6801" s="23" t="str">
        <f>HYPERLINK("https://www.spark-marketing.ru/Card/Lot/71143739", "Выполнение работ по реконструкции ПС 110/35/6 кВ Молодежная (установка инженерно-технических средств охраны по программе ""Антитеррор"") для нужд филиала АО ""Тюменьэнерго"" Нижневартовские электрические сети")</f>
        <v>Выполнение работ по реконструкции ПС 110/35/6 кВ Молодежная (установка инженерно-технических средств охраны по программе "Антитеррор") для нужд филиала АО "Тюменьэнерго" Нижневартовские электрические сети</v>
      </c>
      <c r="G6801" s="22" t="s">
        <v>119</v>
      </c>
      <c r="H6801" s="22" t="s">
        <v>463</v>
      </c>
      <c r="I6801" s="26">
        <v>43622.608483796299</v>
      </c>
      <c r="J6801" s="28" t="s">
        <v>52</v>
      </c>
      <c r="K6801" s="28" t="s">
        <v>52</v>
      </c>
      <c r="L6801" s="28" t="s">
        <v>52</v>
      </c>
      <c r="M6801" s="28" t="s">
        <v>52</v>
      </c>
      <c r="N6801" s="28" t="s">
        <v>52</v>
      </c>
    </row>
    <row r="6802" spans="1:14" x14ac:dyDescent="0.15">
      <c r="A6802" s="23" t="str">
        <f>HYPERLINK("https://www.spark-marketing.ru/Card/Person/4348646", "ООО ""БЕЛОЯРСКАЯ АЭС- АВТО""")</f>
        <v>ООО "БЕЛОЯРСКАЯ АЭС- АВТО"</v>
      </c>
      <c r="B6802" s="24" t="s">
        <v>4642</v>
      </c>
      <c r="C6802" s="28" t="s">
        <v>52</v>
      </c>
      <c r="D6802" s="22" t="s">
        <v>8801</v>
      </c>
      <c r="E6802" s="22" t="s">
        <v>53</v>
      </c>
      <c r="F6802" s="23" t="str">
        <f>HYPERLINK("https://www.spark-marketing.ru/Card/Lot/71146839", "Оказание услуг по поставке и установке комплекта видеодомофона и магнитного замка для нужд транспортного подразделения (1271227)")</f>
        <v>Оказание услуг по поставке и установке комплекта видеодомофона и магнитного замка для нужд транспортного подразделения (1271227)</v>
      </c>
      <c r="G6802" s="22" t="s">
        <v>72</v>
      </c>
      <c r="H6802" s="22" t="s">
        <v>846</v>
      </c>
      <c r="I6802" s="26">
        <v>43622.538356481498</v>
      </c>
      <c r="J6802" s="28" t="s">
        <v>52</v>
      </c>
      <c r="K6802" s="28" t="s">
        <v>52</v>
      </c>
      <c r="L6802" s="28" t="s">
        <v>52</v>
      </c>
      <c r="M6802" s="28" t="s">
        <v>52</v>
      </c>
      <c r="N6802" s="28" t="s">
        <v>52</v>
      </c>
    </row>
    <row r="6803" spans="1:14" x14ac:dyDescent="0.15">
      <c r="A6803" s="23" t="str">
        <f>HYPERLINK("https://www.spark-marketing.ru/Card/Person/117865", "МБДОУ Д/С № 58")</f>
        <v>МБДОУ Д/С № 58</v>
      </c>
      <c r="B6803" s="24" t="s">
        <v>8802</v>
      </c>
      <c r="C6803" s="25">
        <v>17000</v>
      </c>
      <c r="D6803" s="22" t="s">
        <v>8803</v>
      </c>
      <c r="E6803" s="22" t="s">
        <v>194</v>
      </c>
      <c r="F6803" s="23" t="str">
        <f>HYPERLINK("https://www.spark-marketing.ru/Card/Lot/71144676", "Установка видионаблюдения")</f>
        <v>Установка видионаблюдения</v>
      </c>
      <c r="G6803" s="22" t="s">
        <v>176</v>
      </c>
      <c r="H6803" s="22" t="s">
        <v>318</v>
      </c>
      <c r="I6803" s="26">
        <v>43622.520138888904</v>
      </c>
      <c r="J6803" s="28" t="s">
        <v>52</v>
      </c>
      <c r="K6803" s="28" t="s">
        <v>52</v>
      </c>
      <c r="L6803" s="28" t="s">
        <v>52</v>
      </c>
      <c r="M6803" s="28" t="s">
        <v>52</v>
      </c>
      <c r="N6803" s="28" t="s">
        <v>52</v>
      </c>
    </row>
    <row r="6804" spans="1:14" x14ac:dyDescent="0.15">
      <c r="A6804" s="23" t="str">
        <f>HYPERLINK("https://www.spark-marketing.ru/Card/Person/4348646", "ООО ""БЕЛОЯРСКАЯ АЭС- АВТО""")</f>
        <v>ООО "БЕЛОЯРСКАЯ АЭС- АВТО"</v>
      </c>
      <c r="B6804" s="24" t="s">
        <v>4642</v>
      </c>
      <c r="C6804" s="28" t="s">
        <v>52</v>
      </c>
      <c r="D6804" s="22" t="s">
        <v>8804</v>
      </c>
      <c r="E6804" s="22" t="s">
        <v>59</v>
      </c>
      <c r="F6804" s="23" t="str">
        <f>HYPERLINK("https://www.spark-marketing.ru/Card/Lot/71148731", "Оказание услуг по поставке и установке комплекта видеодомофона и магнитного замка для нужд транспортного подразделения")</f>
        <v>Оказание услуг по поставке и установке комплекта видеодомофона и магнитного замка для нужд транспортного подразделения</v>
      </c>
      <c r="G6804" s="22" t="s">
        <v>72</v>
      </c>
      <c r="H6804" s="22" t="s">
        <v>846</v>
      </c>
      <c r="I6804" s="26">
        <v>43622.533113425903</v>
      </c>
      <c r="J6804" s="28" t="s">
        <v>52</v>
      </c>
      <c r="K6804" s="28" t="s">
        <v>52</v>
      </c>
      <c r="L6804" s="28" t="s">
        <v>52</v>
      </c>
      <c r="M6804" s="28" t="s">
        <v>52</v>
      </c>
      <c r="N6804" s="28" t="s">
        <v>52</v>
      </c>
    </row>
    <row r="6805" spans="1:14" x14ac:dyDescent="0.15">
      <c r="A6805" s="23" t="str">
        <f>HYPERLINK("https://www.spark-marketing.ru/Card/Person/6103", "УСД В АМУРСКОЙ ОБЛАСТИ")</f>
        <v>УСД В АМУРСКОЙ ОБЛАСТИ</v>
      </c>
      <c r="B6805" s="24" t="s">
        <v>8805</v>
      </c>
      <c r="C6805" s="25">
        <v>2819697.3</v>
      </c>
      <c r="D6805" s="22" t="s">
        <v>8806</v>
      </c>
      <c r="E6805" s="22" t="s">
        <v>68</v>
      </c>
      <c r="F6805" s="23" t="str">
        <f>HYPERLINK("https://www.spark-marketing.ru/Card/Lot/71139736", "Оказание услуг по охране объектов с помощью ТСО")</f>
        <v>Оказание услуг по охране объектов с помощью ТСО</v>
      </c>
      <c r="G6805" s="22" t="s">
        <v>230</v>
      </c>
      <c r="H6805" s="22" t="s">
        <v>230</v>
      </c>
      <c r="I6805" s="26">
        <v>43622.53125</v>
      </c>
      <c r="J6805" s="28" t="s">
        <v>52</v>
      </c>
      <c r="K6805" s="28" t="s">
        <v>52</v>
      </c>
      <c r="L6805" s="28" t="s">
        <v>52</v>
      </c>
      <c r="M6805" s="28" t="s">
        <v>52</v>
      </c>
      <c r="N6805" s="28" t="s">
        <v>52</v>
      </c>
    </row>
    <row r="6806" spans="1:14" x14ac:dyDescent="0.15">
      <c r="A6806" s="23" t="str">
        <f>HYPERLINK("https://www.spark-marketing.ru/Card/Person/4348646", "ООО ""БЕЛОЯРСКАЯ АЭС- АВТО""")</f>
        <v>ООО "БЕЛОЯРСКАЯ АЭС- АВТО"</v>
      </c>
      <c r="B6806" s="24" t="s">
        <v>4642</v>
      </c>
      <c r="C6806" s="25">
        <v>0</v>
      </c>
      <c r="D6806" s="22" t="s">
        <v>8807</v>
      </c>
      <c r="E6806" s="22" t="s">
        <v>53</v>
      </c>
      <c r="F6806" s="23" t="str">
        <f>HYPERLINK("https://www.spark-marketing.ru/Card/Lot/71146015", "мониторинг цен в электронной форме на Оказание услуг по поставке и установке комплекта видеодомофона и магнитного замка для нужд транспортного подразделения")</f>
        <v>мониторинг цен в электронной форме на Оказание услуг по поставке и установке комплекта видеодомофона и магнитного замка для нужд транспортного подразделения</v>
      </c>
      <c r="G6806" s="22" t="s">
        <v>72</v>
      </c>
      <c r="H6806" s="22" t="s">
        <v>846</v>
      </c>
      <c r="I6806" s="26">
        <v>43622.532986111102</v>
      </c>
      <c r="J6806" s="28" t="s">
        <v>52</v>
      </c>
      <c r="K6806" s="28" t="s">
        <v>52</v>
      </c>
      <c r="L6806" s="28" t="s">
        <v>52</v>
      </c>
      <c r="M6806" s="28" t="s">
        <v>52</v>
      </c>
      <c r="N6806" s="28" t="s">
        <v>52</v>
      </c>
    </row>
    <row r="6807" spans="1:14" x14ac:dyDescent="0.15">
      <c r="A6807" s="23" t="str">
        <f>HYPERLINK("https://www.spark-marketing.ru/Card/Person/1051135", "МБУ ГДК Г. ГУКОВО")</f>
        <v>МБУ ГДК Г. ГУКОВО</v>
      </c>
      <c r="B6807" s="24" t="s">
        <v>6059</v>
      </c>
      <c r="C6807" s="25">
        <v>21000</v>
      </c>
      <c r="D6807" s="22" t="s">
        <v>8808</v>
      </c>
      <c r="E6807" s="22" t="s">
        <v>1130</v>
      </c>
      <c r="F6807" s="23" t="str">
        <f>HYPERLINK("https://www.spark-marketing.ru/Card/Lot/71141800", "услуги по техническому обслуживанию видеонаблюдения")</f>
        <v>услуги по техническому обслуживанию видеонаблюдения</v>
      </c>
      <c r="G6807" s="22" t="s">
        <v>402</v>
      </c>
      <c r="H6807" s="22" t="s">
        <v>6061</v>
      </c>
      <c r="I6807" s="26">
        <v>43622.452777777798</v>
      </c>
      <c r="J6807" s="28" t="s">
        <v>52</v>
      </c>
      <c r="K6807" s="28" t="s">
        <v>52</v>
      </c>
      <c r="L6807" s="28" t="s">
        <v>52</v>
      </c>
      <c r="M6807" s="28" t="s">
        <v>52</v>
      </c>
      <c r="N6807" s="28" t="s">
        <v>52</v>
      </c>
    </row>
    <row r="6808" spans="1:14" x14ac:dyDescent="0.15">
      <c r="A6808" s="23" t="str">
        <f>HYPERLINK("https://www.spark-marketing.ru/Card/Person/1049447", "МКОУ КУШАГОВСКАЯ СОШ")</f>
        <v>МКОУ КУШАГОВСКАЯ СОШ</v>
      </c>
      <c r="B6808" s="24" t="s">
        <v>8809</v>
      </c>
      <c r="C6808" s="25">
        <v>29700</v>
      </c>
      <c r="D6808" s="22" t="s">
        <v>8810</v>
      </c>
      <c r="E6808" s="22" t="s">
        <v>103</v>
      </c>
      <c r="F6808" s="23" t="str">
        <f>HYPERLINK("https://www.spark-marketing.ru/Card/Lot/71141762", "Оказание услуг по техническому обслуживанию системы видеонаблюдения и проведению регламентных работ")</f>
        <v>Оказание услуг по техническому обслуживанию системы видеонаблюдения и проведению регламентных работ</v>
      </c>
      <c r="G6808" s="22" t="s">
        <v>209</v>
      </c>
      <c r="H6808" s="22" t="s">
        <v>8651</v>
      </c>
      <c r="I6808" s="26">
        <v>43622.445833333302</v>
      </c>
      <c r="J6808" s="28" t="s">
        <v>52</v>
      </c>
      <c r="K6808" s="28" t="s">
        <v>52</v>
      </c>
      <c r="L6808" s="28" t="s">
        <v>52</v>
      </c>
      <c r="M6808" s="28" t="s">
        <v>52</v>
      </c>
      <c r="N6808" s="28" t="s">
        <v>52</v>
      </c>
    </row>
    <row r="6809" spans="1:14" x14ac:dyDescent="0.15">
      <c r="A6809" s="23" t="str">
        <f>HYPERLINK("https://www.spark-marketing.ru/Card/Person/84778", "УФНС РОССИИ ПО НОВОСИБИРСКОЙ ОБЛАСТИ")</f>
        <v>УФНС РОССИИ ПО НОВОСИБИРСКОЙ ОБЛАСТИ</v>
      </c>
      <c r="B6809" s="24" t="s">
        <v>8811</v>
      </c>
      <c r="C6809" s="25">
        <v>12000</v>
      </c>
      <c r="D6809" s="22" t="s">
        <v>8812</v>
      </c>
      <c r="E6809" s="22" t="s">
        <v>53</v>
      </c>
      <c r="F6809" s="23" t="str">
        <f>HYPERLINK("https://www.spark-marketing.ru/Card/Lot/71133506", "Оказание услуг по техническому обслуживанию системы видеонаблюдения")</f>
        <v>Оказание услуг по техническому обслуживанию системы видеонаблюдения</v>
      </c>
      <c r="G6809" s="22" t="s">
        <v>209</v>
      </c>
      <c r="H6809" s="22" t="s">
        <v>210</v>
      </c>
      <c r="I6809" s="26">
        <v>43622.423506944397</v>
      </c>
      <c r="J6809" s="28" t="s">
        <v>52</v>
      </c>
      <c r="K6809" s="28" t="s">
        <v>52</v>
      </c>
      <c r="L6809" s="28" t="s">
        <v>52</v>
      </c>
      <c r="M6809" s="28" t="s">
        <v>52</v>
      </c>
      <c r="N6809" s="28" t="s">
        <v>52</v>
      </c>
    </row>
    <row r="6810" spans="1:14" x14ac:dyDescent="0.15">
      <c r="A6810" s="23" t="str">
        <f>HYPERLINK("https://www.spark-marketing.ru/Card/Person/1479607", "МАДОУ ""ДЕТСКИЙ САД КОМБИНИРОВАННОГО ВИДА № 60"", ДЕТСКИЙ САД № 60")</f>
        <v>МАДОУ "ДЕТСКИЙ САД КОМБИНИРОВАННОГО ВИДА № 60", ДЕТСКИЙ САД № 60</v>
      </c>
      <c r="B6810" s="24" t="s">
        <v>8813</v>
      </c>
      <c r="C6810" s="25">
        <v>200000</v>
      </c>
      <c r="D6810" s="22" t="s">
        <v>8814</v>
      </c>
      <c r="E6810" s="22" t="s">
        <v>49</v>
      </c>
      <c r="F6810" s="23" t="str">
        <f>HYPERLINK("https://www.spark-marketing.ru/Card/Lot/71130864", "Услуги по установке комплекса охранной сигнализации")</f>
        <v>Услуги по установке комплекса охранной сигнализации</v>
      </c>
      <c r="G6810" s="22" t="s">
        <v>72</v>
      </c>
      <c r="H6810" s="22" t="s">
        <v>72</v>
      </c>
      <c r="I6810" s="26">
        <v>43622.382777777799</v>
      </c>
      <c r="J6810" s="28" t="s">
        <v>52</v>
      </c>
      <c r="K6810" s="28" t="s">
        <v>52</v>
      </c>
      <c r="L6810" s="28" t="s">
        <v>52</v>
      </c>
      <c r="M6810" s="28" t="s">
        <v>52</v>
      </c>
      <c r="N6810" s="28" t="s">
        <v>52</v>
      </c>
    </row>
    <row r="6811" spans="1:14" x14ac:dyDescent="0.15">
      <c r="A6811" s="23" t="str">
        <f>HYPERLINK("https://www.spark-marketing.ru/Card/Person/2592942", "ООО ЧОП ""РН-ОХРАНА-НИЖНЕВАРТОВСК""")</f>
        <v>ООО ЧОП "РН-ОХРАНА-НИЖНЕВАРТОВСК"</v>
      </c>
      <c r="B6811" s="24" t="s">
        <v>8815</v>
      </c>
      <c r="C6811" s="28" t="s">
        <v>52</v>
      </c>
      <c r="D6811" s="22" t="s">
        <v>8816</v>
      </c>
      <c r="E6811" s="22" t="s">
        <v>53</v>
      </c>
      <c r="F6811" s="23" t="str">
        <f>HYPERLINK("https://www.spark-marketing.ru/Card/Lot/71131132", "Номер закупки 18. Поставка тревожных кнопок и ЗИП")</f>
        <v>Номер закупки 18. Поставка тревожных кнопок и ЗИП</v>
      </c>
      <c r="G6811" s="22" t="s">
        <v>119</v>
      </c>
      <c r="H6811" s="22" t="s">
        <v>952</v>
      </c>
      <c r="I6811" s="26">
        <v>43622.3</v>
      </c>
      <c r="J6811" s="28" t="s">
        <v>52</v>
      </c>
      <c r="K6811" s="28" t="s">
        <v>52</v>
      </c>
      <c r="L6811" s="28" t="s">
        <v>52</v>
      </c>
      <c r="M6811" s="28" t="s">
        <v>52</v>
      </c>
      <c r="N6811" s="28" t="s">
        <v>52</v>
      </c>
    </row>
    <row r="6812" spans="1:14" x14ac:dyDescent="0.15">
      <c r="A6812" s="23" t="str">
        <f>HYPERLINK("https://www.spark-marketing.ru/Card/Person/6450322", "ЗАКАЗЧИК РП БЕЛАРУСЬ")</f>
        <v>ЗАКАЗЧИК РП БЕЛАРУСЬ</v>
      </c>
      <c r="B6812" s="28" t="s">
        <v>52</v>
      </c>
      <c r="C6812" s="25">
        <v>776547.5</v>
      </c>
      <c r="D6812" s="22" t="s">
        <v>8817</v>
      </c>
      <c r="E6812" s="22" t="s">
        <v>53</v>
      </c>
      <c r="F6812" s="23" t="str">
        <f>HYPERLINK("https://www.spark-marketing.ru/Card/Lot/71132783", "Комплект видеонаблюдения с пуско-наладочными работами и техническим обслуживанием в период эксплуатации.")</f>
        <v>Комплект видеонаблюдения с пуско-наладочными работами и техническим обслуживанием в период эксплуатации.</v>
      </c>
      <c r="G6812" s="22" t="s">
        <v>52</v>
      </c>
      <c r="H6812" s="22" t="s">
        <v>52</v>
      </c>
      <c r="I6812" s="26">
        <v>43622</v>
      </c>
      <c r="J6812" s="28" t="s">
        <v>52</v>
      </c>
      <c r="K6812" s="28" t="s">
        <v>52</v>
      </c>
      <c r="L6812" s="28" t="s">
        <v>52</v>
      </c>
      <c r="M6812" s="28" t="s">
        <v>52</v>
      </c>
      <c r="N6812" s="28" t="s">
        <v>52</v>
      </c>
    </row>
    <row r="6813" spans="1:14" x14ac:dyDescent="0.15">
      <c r="A6813" s="23" t="str">
        <f>HYPERLINK("https://www.spark-marketing.ru/Card/Person/38622", "АО ""СХК""")</f>
        <v>АО "СХК"</v>
      </c>
      <c r="B6813" s="24" t="s">
        <v>159</v>
      </c>
      <c r="C6813" s="25">
        <v>2846016</v>
      </c>
      <c r="D6813" s="22" t="s">
        <v>8818</v>
      </c>
      <c r="E6813" s="22" t="s">
        <v>8819</v>
      </c>
      <c r="F6813" s="23" t="str">
        <f>HYPERLINK("https://www.spark-marketing.ru/Card/Lot/70935788", "Право заключения договора на Оказание услуг по невооруженной физической охране объектов и имущества площадки ТФА АО «СХК»..")</f>
        <v>Право заключения договора на Оказание услуг по невооруженной физической охране объектов и имущества площадки ТФА АО «СХК»..</v>
      </c>
      <c r="G6813" s="22" t="s">
        <v>150</v>
      </c>
      <c r="H6813" s="22" t="s">
        <v>161</v>
      </c>
      <c r="I6813" s="26">
        <v>43614.8598263889</v>
      </c>
      <c r="J6813" s="28" t="s">
        <v>52</v>
      </c>
      <c r="K6813" s="28" t="s">
        <v>52</v>
      </c>
      <c r="L6813" s="28" t="s">
        <v>52</v>
      </c>
      <c r="M6813" s="28" t="s">
        <v>52</v>
      </c>
      <c r="N6813" s="28" t="s">
        <v>52</v>
      </c>
    </row>
    <row r="6814" spans="1:14" x14ac:dyDescent="0.15">
      <c r="A6814" s="23" t="str">
        <f>HYPERLINK("https://www.spark-marketing.ru/Card/Person/971733", "КГАУК ""ЦКС""")</f>
        <v>КГАУК "ЦКС"</v>
      </c>
      <c r="B6814" s="24" t="s">
        <v>8820</v>
      </c>
      <c r="C6814" s="25">
        <v>149000</v>
      </c>
      <c r="D6814" s="22" t="s">
        <v>8821</v>
      </c>
      <c r="E6814" s="22" t="s">
        <v>8822</v>
      </c>
      <c r="F6814" s="23" t="str">
        <f>HYPERLINK("https://www.spark-marketing.ru/Card/Lot/71105564", "Услуги по предоставлению, монтажу, обслуживанию и демонтажу видеопроекционного оборудования в рамках организации и проведения мероприятия «Открытый Всесибирский фестиваль-праздник «Енисейская уха»")</f>
        <v>Услуги по предоставлению, монтажу, обслуживанию и демонтажу видеопроекционного оборудования в рамках организации и проведения мероприятия «Открытый Всесибирский фестиваль-праздник «Енисейская уха»</v>
      </c>
      <c r="G6814" s="22" t="s">
        <v>640</v>
      </c>
      <c r="H6814" s="22" t="s">
        <v>640</v>
      </c>
      <c r="I6814" s="26">
        <v>43621.713310185201</v>
      </c>
      <c r="J6814" s="28" t="s">
        <v>52</v>
      </c>
      <c r="K6814" s="28" t="s">
        <v>52</v>
      </c>
      <c r="L6814" s="28" t="s">
        <v>52</v>
      </c>
      <c r="M6814" s="28" t="s">
        <v>52</v>
      </c>
      <c r="N6814" s="28" t="s">
        <v>52</v>
      </c>
    </row>
    <row r="6815" spans="1:14" x14ac:dyDescent="0.15">
      <c r="A6815" s="23" t="str">
        <f>HYPERLINK("https://www.spark-marketing.ru/Card/Person/12376", "ФКУ ""ЦХИСО УМВД РОССИИ ПО МУРМАНСКОЙ ОБЛАСТИ""")</f>
        <v>ФКУ "ЦХИСО УМВД РОССИИ ПО МУРМАНСКОЙ ОБЛАСТИ"</v>
      </c>
      <c r="B6815" s="24" t="s">
        <v>8074</v>
      </c>
      <c r="C6815" s="25">
        <v>28582.560000000001</v>
      </c>
      <c r="D6815" s="22" t="s">
        <v>8823</v>
      </c>
      <c r="E6815" s="22" t="s">
        <v>53</v>
      </c>
      <c r="F6815" s="23" t="str">
        <f>HYPERLINK("https://www.spark-marketing.ru/Card/Lot/71115848", "Оказание услуг по физической охране объекта УМВД России по Мурманской области, расположенного по адресу: г. Мурманск, ул. Дзержинского, д. 5, не подлежащего охране частными охранными организациями")</f>
        <v>Оказание услуг по физической охране объекта УМВД России по Мурманской области, расположенного по адресу: г. Мурманск, ул. Дзержинского, д. 5, не подлежащего охране частными охранными организациями</v>
      </c>
      <c r="G6815" s="22" t="s">
        <v>190</v>
      </c>
      <c r="H6815" s="22" t="s">
        <v>191</v>
      </c>
      <c r="I6815" s="26">
        <v>43621.710810185199</v>
      </c>
      <c r="J6815" s="28" t="s">
        <v>52</v>
      </c>
      <c r="K6815" s="28" t="s">
        <v>52</v>
      </c>
      <c r="L6815" s="28" t="s">
        <v>52</v>
      </c>
      <c r="M6815" s="28" t="s">
        <v>52</v>
      </c>
      <c r="N6815" s="28" t="s">
        <v>52</v>
      </c>
    </row>
    <row r="6816" spans="1:14" x14ac:dyDescent="0.15">
      <c r="A6816" s="23" t="str">
        <f>HYPERLINK("https://www.spark-marketing.ru/Card/Person/1781044", "ОАО ""ЖИРОВОЙ КОМБИНАТ""")</f>
        <v>ОАО "ЖИРОВОЙ КОМБИНАТ"</v>
      </c>
      <c r="B6816" s="24" t="s">
        <v>6915</v>
      </c>
      <c r="C6816" s="25">
        <v>0</v>
      </c>
      <c r="D6816" s="22" t="s">
        <v>8824</v>
      </c>
      <c r="E6816" s="22" t="s">
        <v>1244</v>
      </c>
      <c r="F6816" s="23" t="str">
        <f>HYPERLINK("https://www.spark-marketing.ru/Card/Lot/71123201", "Охранные услуга Элеваторхолдинг")</f>
        <v>Охранные услуга Элеваторхолдинг</v>
      </c>
      <c r="G6816" s="22" t="s">
        <v>72</v>
      </c>
      <c r="H6816" s="22" t="s">
        <v>949</v>
      </c>
      <c r="I6816" s="26">
        <v>43621.705034722203</v>
      </c>
      <c r="J6816" s="28" t="s">
        <v>52</v>
      </c>
      <c r="K6816" s="28" t="s">
        <v>52</v>
      </c>
      <c r="L6816" s="28" t="s">
        <v>52</v>
      </c>
      <c r="M6816" s="28" t="s">
        <v>52</v>
      </c>
      <c r="N6816" s="28" t="s">
        <v>52</v>
      </c>
    </row>
    <row r="6817" spans="1:14" x14ac:dyDescent="0.15">
      <c r="A6817" s="23" t="str">
        <f>HYPERLINK("https://www.spark-marketing.ru/Card/Person/1781044", "ОАО ""ЖИРОВОЙ КОМБИНАТ""")</f>
        <v>ОАО "ЖИРОВОЙ КОМБИНАТ"</v>
      </c>
      <c r="B6817" s="24" t="s">
        <v>6915</v>
      </c>
      <c r="C6817" s="25">
        <v>0</v>
      </c>
      <c r="D6817" s="22" t="s">
        <v>8824</v>
      </c>
      <c r="E6817" s="22" t="s">
        <v>1244</v>
      </c>
      <c r="F6817" s="23" t="str">
        <f>HYPERLINK("https://www.spark-marketing.ru/Card/Lot/71123204", "Охранные услуги Новосибирский жировой комбинат")</f>
        <v>Охранные услуги Новосибирский жировой комбинат</v>
      </c>
      <c r="G6817" s="22" t="s">
        <v>72</v>
      </c>
      <c r="H6817" s="22" t="s">
        <v>949</v>
      </c>
      <c r="I6817" s="26">
        <v>43621.705034722203</v>
      </c>
      <c r="J6817" s="28" t="s">
        <v>52</v>
      </c>
      <c r="K6817" s="28" t="s">
        <v>52</v>
      </c>
      <c r="L6817" s="28" t="s">
        <v>52</v>
      </c>
      <c r="M6817" s="28" t="s">
        <v>52</v>
      </c>
      <c r="N6817" s="28" t="s">
        <v>52</v>
      </c>
    </row>
    <row r="6818" spans="1:14" x14ac:dyDescent="0.15">
      <c r="A6818" s="23" t="str">
        <f>HYPERLINK("https://www.spark-marketing.ru/Card/Person/246223", "МБОУ ""СРЕДНЯЯ ОБЩЕОБРАЗОВАТЕЛЬНАЯ ШКОЛА № 11""")</f>
        <v>МБОУ "СРЕДНЯЯ ОБЩЕОБРАЗОВАТЕЛЬНАЯ ШКОЛА № 11"</v>
      </c>
      <c r="B6818" s="24" t="s">
        <v>8825</v>
      </c>
      <c r="C6818" s="25">
        <v>6400</v>
      </c>
      <c r="D6818" s="22" t="s">
        <v>8826</v>
      </c>
      <c r="E6818" s="22" t="s">
        <v>194</v>
      </c>
      <c r="F6818" s="23" t="str">
        <f>HYPERLINK("https://www.spark-marketing.ru/Card/Lot/71114701", "Видеокамеры (установка)")</f>
        <v>Видеокамеры (установка)</v>
      </c>
      <c r="G6818" s="22" t="s">
        <v>176</v>
      </c>
      <c r="H6818" s="22" t="s">
        <v>4687</v>
      </c>
      <c r="I6818" s="26">
        <v>43621.675000000003</v>
      </c>
      <c r="J6818" s="28" t="s">
        <v>52</v>
      </c>
      <c r="K6818" s="28" t="s">
        <v>52</v>
      </c>
      <c r="L6818" s="28" t="s">
        <v>52</v>
      </c>
      <c r="M6818" s="28" t="s">
        <v>52</v>
      </c>
      <c r="N6818" s="28" t="s">
        <v>52</v>
      </c>
    </row>
    <row r="6819" spans="1:14" x14ac:dyDescent="0.15">
      <c r="A6819" s="23" t="str">
        <f>HYPERLINK("https://www.spark-marketing.ru/Card/Person/1781044", "ОАО ""ЖИРОВОЙ КОМБИНАТ""")</f>
        <v>ОАО "ЖИРОВОЙ КОМБИНАТ"</v>
      </c>
      <c r="B6819" s="24" t="s">
        <v>6915</v>
      </c>
      <c r="C6819" s="25">
        <v>0</v>
      </c>
      <c r="D6819" s="22" t="s">
        <v>8824</v>
      </c>
      <c r="E6819" s="22" t="s">
        <v>1244</v>
      </c>
      <c r="F6819" s="23" t="str">
        <f>HYPERLINK("https://www.spark-marketing.ru/Card/Lot/71123206", "Охранные услуги Московский жировой комбинат")</f>
        <v>Охранные услуги Московский жировой комбинат</v>
      </c>
      <c r="G6819" s="22" t="s">
        <v>72</v>
      </c>
      <c r="H6819" s="22" t="s">
        <v>949</v>
      </c>
      <c r="I6819" s="26">
        <v>43621.705034722203</v>
      </c>
      <c r="J6819" s="28" t="s">
        <v>52</v>
      </c>
      <c r="K6819" s="28" t="s">
        <v>52</v>
      </c>
      <c r="L6819" s="28" t="s">
        <v>52</v>
      </c>
      <c r="M6819" s="28" t="s">
        <v>52</v>
      </c>
      <c r="N6819" s="28" t="s">
        <v>52</v>
      </c>
    </row>
    <row r="6820" spans="1:14" x14ac:dyDescent="0.15">
      <c r="A6820" s="23" t="str">
        <f>HYPERLINK("https://www.spark-marketing.ru/Card/Person/1781044", "ОАО ""ЖИРОВОЙ КОМБИНАТ""")</f>
        <v>ОАО "ЖИРОВОЙ КОМБИНАТ"</v>
      </c>
      <c r="B6820" s="24" t="s">
        <v>6915</v>
      </c>
      <c r="C6820" s="25">
        <v>0</v>
      </c>
      <c r="D6820" s="22" t="s">
        <v>8824</v>
      </c>
      <c r="E6820" s="22" t="s">
        <v>1244</v>
      </c>
      <c r="F6820" s="23" t="str">
        <f>HYPERLINK("https://www.spark-marketing.ru/Card/Lot/71123203", "Охранные услуги Волжский терминал")</f>
        <v>Охранные услуги Волжский терминал</v>
      </c>
      <c r="G6820" s="22" t="s">
        <v>72</v>
      </c>
      <c r="H6820" s="22" t="s">
        <v>949</v>
      </c>
      <c r="I6820" s="26">
        <v>43621.705034722203</v>
      </c>
      <c r="J6820" s="28" t="s">
        <v>52</v>
      </c>
      <c r="K6820" s="28" t="s">
        <v>52</v>
      </c>
      <c r="L6820" s="28" t="s">
        <v>52</v>
      </c>
      <c r="M6820" s="28" t="s">
        <v>52</v>
      </c>
      <c r="N6820" s="28" t="s">
        <v>52</v>
      </c>
    </row>
    <row r="6821" spans="1:14" x14ac:dyDescent="0.15">
      <c r="A6821" s="23" t="str">
        <f>HYPERLINK("https://www.spark-marketing.ru/Card/Person/12376", "ФКУ ""ЦХИСО УМВД РОССИИ ПО МУРМАНСКОЙ ОБЛАСТИ""")</f>
        <v>ФКУ "ЦХИСО УМВД РОССИИ ПО МУРМАНСКОЙ ОБЛАСТИ"</v>
      </c>
      <c r="B6821" s="24" t="s">
        <v>8074</v>
      </c>
      <c r="C6821" s="25">
        <v>95275.199999999997</v>
      </c>
      <c r="D6821" s="22" t="s">
        <v>8827</v>
      </c>
      <c r="E6821" s="22" t="s">
        <v>53</v>
      </c>
      <c r="F6821" s="23" t="str">
        <f>HYPERLINK("https://www.spark-marketing.ru/Card/Lot/71115916", "Оказание услуг по физической охране объекта УМВД России по Мурманской области, расположенного по адресу: г. Мурманск, ул. Дзержинского, д. 5, не подлежащего охране частными охранными организациями")</f>
        <v>Оказание услуг по физической охране объекта УМВД России по Мурманской области, расположенного по адресу: г. Мурманск, ул. Дзержинского, д. 5, не подлежащего охране частными охранными организациями</v>
      </c>
      <c r="G6821" s="22" t="s">
        <v>190</v>
      </c>
      <c r="H6821" s="22" t="s">
        <v>191</v>
      </c>
      <c r="I6821" s="26">
        <v>43621.702743055597</v>
      </c>
      <c r="J6821" s="28" t="s">
        <v>52</v>
      </c>
      <c r="K6821" s="28" t="s">
        <v>52</v>
      </c>
      <c r="L6821" s="28" t="s">
        <v>52</v>
      </c>
      <c r="M6821" s="28" t="s">
        <v>52</v>
      </c>
      <c r="N6821" s="28" t="s">
        <v>52</v>
      </c>
    </row>
    <row r="6822" spans="1:14" x14ac:dyDescent="0.15">
      <c r="A6822" s="23" t="str">
        <f>HYPERLINK("https://www.spark-marketing.ru/Card/Person/1781044", "ОАО ""ЖИРОВОЙ КОМБИНАТ""")</f>
        <v>ОАО "ЖИРОВОЙ КОМБИНАТ"</v>
      </c>
      <c r="B6822" s="24" t="s">
        <v>6915</v>
      </c>
      <c r="C6822" s="25">
        <v>0</v>
      </c>
      <c r="D6822" s="22" t="s">
        <v>8824</v>
      </c>
      <c r="E6822" s="22" t="s">
        <v>1244</v>
      </c>
      <c r="F6822" s="23" t="str">
        <f>HYPERLINK("https://www.spark-marketing.ru/Card/Lot/71123202", "Охранные услуги АМЭЗ")</f>
        <v>Охранные услуги АМЭЗ</v>
      </c>
      <c r="G6822" s="22" t="s">
        <v>72</v>
      </c>
      <c r="H6822" s="22" t="s">
        <v>949</v>
      </c>
      <c r="I6822" s="26">
        <v>43621.705034722203</v>
      </c>
      <c r="J6822" s="28" t="s">
        <v>52</v>
      </c>
      <c r="K6822" s="28" t="s">
        <v>52</v>
      </c>
      <c r="L6822" s="28" t="s">
        <v>52</v>
      </c>
      <c r="M6822" s="28" t="s">
        <v>52</v>
      </c>
      <c r="N6822" s="28" t="s">
        <v>52</v>
      </c>
    </row>
    <row r="6823" spans="1:14" x14ac:dyDescent="0.15">
      <c r="A6823" s="23" t="str">
        <f>HYPERLINK("https://www.spark-marketing.ru/Card/Person/1781044", "ОАО ""ЖИРОВОЙ КОМБИНАТ""")</f>
        <v>ОАО "ЖИРОВОЙ КОМБИНАТ"</v>
      </c>
      <c r="B6823" s="24" t="s">
        <v>6915</v>
      </c>
      <c r="C6823" s="25">
        <v>0</v>
      </c>
      <c r="D6823" s="22" t="s">
        <v>8824</v>
      </c>
      <c r="E6823" s="22" t="s">
        <v>1244</v>
      </c>
      <c r="F6823" s="23" t="str">
        <f>HYPERLINK("https://www.spark-marketing.ru/Card/Lot/71123205", "Охранные услуги Саратовский жировой комбинат")</f>
        <v>Охранные услуги Саратовский жировой комбинат</v>
      </c>
      <c r="G6823" s="22" t="s">
        <v>72</v>
      </c>
      <c r="H6823" s="22" t="s">
        <v>949</v>
      </c>
      <c r="I6823" s="26">
        <v>43621.705034722203</v>
      </c>
      <c r="J6823" s="28" t="s">
        <v>52</v>
      </c>
      <c r="K6823" s="28" t="s">
        <v>52</v>
      </c>
      <c r="L6823" s="28" t="s">
        <v>52</v>
      </c>
      <c r="M6823" s="28" t="s">
        <v>52</v>
      </c>
      <c r="N6823" s="28" t="s">
        <v>52</v>
      </c>
    </row>
    <row r="6824" spans="1:14" x14ac:dyDescent="0.15">
      <c r="A6824" s="23" t="str">
        <f>HYPERLINK("https://www.spark-marketing.ru/Card/Person/104250", "ГБУ ""ШУМИХИНСКАЯ ЦРБ""")</f>
        <v>ГБУ "ШУМИХИНСКАЯ ЦРБ"</v>
      </c>
      <c r="B6824" s="24" t="s">
        <v>8828</v>
      </c>
      <c r="C6824" s="25">
        <v>243390</v>
      </c>
      <c r="D6824" s="22" t="s">
        <v>8829</v>
      </c>
      <c r="E6824" s="22" t="s">
        <v>52</v>
      </c>
      <c r="F6824" s="23" t="str">
        <f>HYPERLINK("https://www.spark-marketing.ru/Card/Lot/71110416", "Оказание услуг по охране объекта ГБУ ""Шумихинская ЦРБ"" при помощи пульта централизованного наблюдения и при помощи кнопки тревожной сигнализации.")</f>
        <v>Оказание услуг по охране объекта ГБУ "Шумихинская ЦРБ" при помощи пульта централизованного наблюдения и при помощи кнопки тревожной сигнализации.</v>
      </c>
      <c r="G6824" s="22" t="s">
        <v>626</v>
      </c>
      <c r="H6824" s="22" t="s">
        <v>5908</v>
      </c>
      <c r="I6824" s="26">
        <v>43621.676388888904</v>
      </c>
      <c r="J6824" s="28" t="s">
        <v>52</v>
      </c>
      <c r="K6824" s="28" t="s">
        <v>52</v>
      </c>
      <c r="L6824" s="28" t="s">
        <v>52</v>
      </c>
      <c r="M6824" s="28" t="s">
        <v>52</v>
      </c>
      <c r="N6824" s="28" t="s">
        <v>52</v>
      </c>
    </row>
    <row r="6825" spans="1:14" hidden="1" outlineLevel="1" x14ac:dyDescent="0.2">
      <c r="A6825" s="23" t="str">
        <f>HYPERLINK("https://www.spark-marketing.ru/Card/Person/104250", "ГБУ ""ШУМИХИНСКАЯ ЦРБ""")</f>
        <v>ГБУ "ШУМИХИНСКАЯ ЦРБ"</v>
      </c>
      <c r="B6825" s="24" t="s">
        <v>8828</v>
      </c>
      <c r="C6825" s="25">
        <v>243390</v>
      </c>
      <c r="D6825" s="22" t="s">
        <v>8829</v>
      </c>
      <c r="E6825" s="22" t="s">
        <v>52</v>
      </c>
      <c r="F6825" s="23" t="str">
        <f>HYPERLINK("https://www.spark-marketing.ru/Card/Lot/71110416", "Оказание услуг по охране объекта ГБУ ""Шумихинская ЦРБ"" при помощи пульта централизованного наблюдения и при помощи кнопки тревожной сигнализации.")</f>
        <v>Оказание услуг по охране объекта ГБУ "Шумихинская ЦРБ" при помощи пульта централизованного наблюдения и при помощи кнопки тревожной сигнализации.</v>
      </c>
      <c r="G6825" s="22" t="s">
        <v>626</v>
      </c>
      <c r="H6825" s="22" t="s">
        <v>5908</v>
      </c>
      <c r="I6825" s="26">
        <v>43621.676388888904</v>
      </c>
      <c r="J6825" s="23" t="str">
        <f>HYPERLINK("https://www.spark-marketing.ru/Card/Person/535456", "ООО ЧОП ""ВАРЯГ-5""")</f>
        <v>ООО ЧОП "ВАРЯГ-5"</v>
      </c>
      <c r="K6825" s="24" t="s">
        <v>8830</v>
      </c>
      <c r="L6825" s="28" t="s">
        <v>52</v>
      </c>
      <c r="M6825" s="25">
        <v>242173.05</v>
      </c>
      <c r="N6825" s="27">
        <v>5.0000000000000001E-3</v>
      </c>
    </row>
    <row r="6826" spans="1:14" ht="12.75" hidden="1" outlineLevel="1" x14ac:dyDescent="0.2">
      <c r="A6826" s="23" t="str">
        <f>HYPERLINK("https://www.spark-marketing.ru/Card/Person/104250", "ГБУ ""ШУМИХИНСКАЯ ЦРБ""")</f>
        <v>ГБУ "ШУМИХИНСКАЯ ЦРБ"</v>
      </c>
      <c r="B6826" s="24" t="s">
        <v>8828</v>
      </c>
      <c r="C6826" s="25">
        <v>243390</v>
      </c>
      <c r="D6826" s="22" t="s">
        <v>8829</v>
      </c>
      <c r="E6826" s="22" t="s">
        <v>52</v>
      </c>
      <c r="F6826" s="23" t="str">
        <f>HYPERLINK("https://www.spark-marketing.ru/Card/Lot/71110416", "Оказание услуг по охране объекта ГБУ ""Шумихинская ЦРБ"" при помощи пульта централизованного наблюдения и при помощи кнопки тревожной сигнализации.")</f>
        <v>Оказание услуг по охране объекта ГБУ "Шумихинская ЦРБ" при помощи пульта централизованного наблюдения и при помощи кнопки тревожной сигнализации.</v>
      </c>
      <c r="G6826" s="22" t="s">
        <v>626</v>
      </c>
      <c r="H6826" s="22" t="s">
        <v>5908</v>
      </c>
      <c r="I6826" s="26">
        <v>43621.676388888904</v>
      </c>
      <c r="J6826" s="23" t="str">
        <f>HYPERLINK("https://www.spark-marketing.ru/Card/Person/385783", "ФГКУ ""УВО ВНГ РОССИИ ПО КУРГАНСКОЙ ОБЛАСТИ""")</f>
        <v>ФГКУ "УВО ВНГ РОССИИ ПО КУРГАНСКОЙ ОБЛАСТИ"</v>
      </c>
      <c r="K6826" s="24" t="s">
        <v>8831</v>
      </c>
      <c r="L6826" s="22" t="s">
        <v>10</v>
      </c>
      <c r="M6826" s="25">
        <v>240956.1</v>
      </c>
      <c r="N6826" s="27">
        <v>0.01</v>
      </c>
    </row>
    <row r="6827" spans="1:14" x14ac:dyDescent="0.15">
      <c r="A6827" s="23" t="str">
        <f>HYPERLINK("https://www.spark-marketing.ru/Card/Person/12376", "ФКУ ""ЦХИСО УМВД РОССИИ ПО МУРМАНСКОЙ ОБЛАСТИ""")</f>
        <v>ФКУ "ЦХИСО УМВД РОССИИ ПО МУРМАНСКОЙ ОБЛАСТИ"</v>
      </c>
      <c r="B6827" s="24" t="s">
        <v>8074</v>
      </c>
      <c r="C6827" s="25">
        <v>53650</v>
      </c>
      <c r="D6827" s="22" t="s">
        <v>8832</v>
      </c>
      <c r="E6827" s="22" t="s">
        <v>53</v>
      </c>
      <c r="F6827" s="23" t="str">
        <f>HYPERLINK("https://www.spark-marketing.ru/Card/Lot/71115759", "Оказание услуг по физической охране объектов ФКУ ""ЦХиСО УМВД России по Мурманской области"", расположенных по адресам: г. Мурманск, пр. Кольский, д. 49В, г. Мурманск, ул. Планерная, д. 1")</f>
        <v>Оказание услуг по физической охране объектов ФКУ "ЦХиСО УМВД России по Мурманской области", расположенных по адресам: г. Мурманск, пр. Кольский, д. 49В, г. Мурманск, ул. Планерная, д. 1</v>
      </c>
      <c r="G6827" s="22" t="s">
        <v>190</v>
      </c>
      <c r="H6827" s="22" t="s">
        <v>191</v>
      </c>
      <c r="I6827" s="26">
        <v>43621.693946759297</v>
      </c>
      <c r="J6827" s="28" t="s">
        <v>52</v>
      </c>
      <c r="K6827" s="28" t="s">
        <v>52</v>
      </c>
      <c r="L6827" s="28" t="s">
        <v>52</v>
      </c>
      <c r="M6827" s="28" t="s">
        <v>52</v>
      </c>
      <c r="N6827" s="28" t="s">
        <v>52</v>
      </c>
    </row>
    <row r="6828" spans="1:14" x14ac:dyDescent="0.15">
      <c r="A6828" s="23" t="str">
        <f>HYPERLINK("https://www.spark-marketing.ru/Card/Person/12376", "ФКУ ""ЦХИСО УМВД РОССИИ ПО МУРМАНСКОЙ ОБЛАСТИ""")</f>
        <v>ФКУ "ЦХИСО УМВД РОССИИ ПО МУРМАНСКОЙ ОБЛАСТИ"</v>
      </c>
      <c r="B6828" s="24" t="s">
        <v>8074</v>
      </c>
      <c r="C6828" s="25">
        <v>95275.199999999997</v>
      </c>
      <c r="D6828" s="22" t="s">
        <v>8833</v>
      </c>
      <c r="E6828" s="22" t="s">
        <v>53</v>
      </c>
      <c r="F6828" s="23" t="str">
        <f>HYPERLINK("https://www.spark-marketing.ru/Card/Lot/71115814", "Оказание услуг по физической охране объекта УМВД России по Мурманской области, расположенного по адресу: г. Мурманск, ул. Дзержинского, д. 5, не подлежащего охране частными охранными организациями")</f>
        <v>Оказание услуг по физической охране объекта УМВД России по Мурманской области, расположенного по адресу: г. Мурманск, ул. Дзержинского, д. 5, не подлежащего охране частными охранными организациями</v>
      </c>
      <c r="G6828" s="22" t="s">
        <v>190</v>
      </c>
      <c r="H6828" s="22" t="s">
        <v>191</v>
      </c>
      <c r="I6828" s="26">
        <v>43621.685057870403</v>
      </c>
      <c r="J6828" s="28" t="s">
        <v>52</v>
      </c>
      <c r="K6828" s="28" t="s">
        <v>52</v>
      </c>
      <c r="L6828" s="28" t="s">
        <v>52</v>
      </c>
      <c r="M6828" s="28" t="s">
        <v>52</v>
      </c>
      <c r="N6828" s="28" t="s">
        <v>52</v>
      </c>
    </row>
    <row r="6829" spans="1:14" x14ac:dyDescent="0.15">
      <c r="A6829" s="23" t="str">
        <f>HYPERLINK("https://www.spark-marketing.ru/Card/Person/29219", "УПРАВЛЕНИЕ РОСРЕЕСТРА ПО КУРГАНСКОЙ ОБЛАСТИ")</f>
        <v>УПРАВЛЕНИЕ РОСРЕЕСТРА ПО КУРГАНСКОЙ ОБЛАСТИ</v>
      </c>
      <c r="B6829" s="24" t="s">
        <v>8834</v>
      </c>
      <c r="C6829" s="25">
        <v>328254.09999999998</v>
      </c>
      <c r="D6829" s="22" t="s">
        <v>8835</v>
      </c>
      <c r="E6829" s="22" t="s">
        <v>68</v>
      </c>
      <c r="F6829" s="23" t="str">
        <f>HYPERLINK("https://www.spark-marketing.ru/Card/Lot/71110643", "Оказание услуг по охране объектов Управления посредством централизованного наблюдения с помощью системы передачи оперативных данных (пультовая охрана)")</f>
        <v>Оказание услуг по охране объектов Управления посредством централизованного наблюдения с помощью системы передачи оперативных данных (пультовая охрана)</v>
      </c>
      <c r="G6829" s="22" t="s">
        <v>626</v>
      </c>
      <c r="H6829" s="22" t="s">
        <v>626</v>
      </c>
      <c r="I6829" s="26">
        <v>43621.652083333298</v>
      </c>
      <c r="J6829" s="23" t="str">
        <f>HYPERLINK("https://www.spark-marketing.ru/Card/Person/385783", "ФГКУ ""УВО ВНГ РОССИИ ПО КУРГАНСКОЙ ОБЛАСТИ""")</f>
        <v>ФГКУ "УВО ВНГ РОССИИ ПО КУРГАНСКОЙ ОБЛАСТИ"</v>
      </c>
      <c r="K6829" s="24" t="s">
        <v>8831</v>
      </c>
      <c r="L6829" s="22" t="s">
        <v>10</v>
      </c>
      <c r="M6829" s="28" t="s">
        <v>52</v>
      </c>
      <c r="N6829" s="28" t="s">
        <v>52</v>
      </c>
    </row>
    <row r="6830" spans="1:14" x14ac:dyDescent="0.15">
      <c r="A6830" s="23" t="str">
        <f>HYPERLINK("https://www.spark-marketing.ru/Card/Person/1025359", "МАДОУ № 31")</f>
        <v>МАДОУ № 31</v>
      </c>
      <c r="B6830" s="24" t="s">
        <v>8836</v>
      </c>
      <c r="C6830" s="25">
        <v>134897.34</v>
      </c>
      <c r="D6830" s="22" t="s">
        <v>8837</v>
      </c>
      <c r="E6830" s="22" t="s">
        <v>691</v>
      </c>
      <c r="F6830" s="23" t="str">
        <f>HYPERLINK("https://www.spark-marketing.ru/Card/Lot/71103678", "Установка системы видеонаблюдения")</f>
        <v>Установка системы видеонаблюдения</v>
      </c>
      <c r="G6830" s="22" t="s">
        <v>72</v>
      </c>
      <c r="H6830" s="22" t="s">
        <v>72</v>
      </c>
      <c r="I6830" s="26">
        <v>43621.629780092597</v>
      </c>
      <c r="J6830" s="28" t="s">
        <v>52</v>
      </c>
      <c r="K6830" s="28" t="s">
        <v>52</v>
      </c>
      <c r="L6830" s="28" t="s">
        <v>52</v>
      </c>
      <c r="M6830" s="28" t="s">
        <v>52</v>
      </c>
      <c r="N6830" s="28" t="s">
        <v>52</v>
      </c>
    </row>
    <row r="6831" spans="1:14" x14ac:dyDescent="0.15">
      <c r="A6831" s="23" t="str">
        <f>HYPERLINK("https://www.spark-marketing.ru/Card/Person/36686", "БУ ""СОВЕТСКИЙ ПОЛИТЕХНИЧЕСКИЙ КОЛЛЕДЖ""")</f>
        <v>БУ "СОВЕТСКИЙ ПОЛИТЕХНИЧЕСКИЙ КОЛЛЕДЖ"</v>
      </c>
      <c r="B6831" s="24" t="s">
        <v>8838</v>
      </c>
      <c r="C6831" s="25">
        <v>525000</v>
      </c>
      <c r="D6831" s="22" t="s">
        <v>8839</v>
      </c>
      <c r="E6831" s="22" t="s">
        <v>59</v>
      </c>
      <c r="F6831" s="23" t="str">
        <f>HYPERLINK("https://www.spark-marketing.ru/Card/Lot/71111915", "Установка системы голосового оповещения на систему видеонаблюдения")</f>
        <v>Установка системы голосового оповещения на систему видеонаблюдения</v>
      </c>
      <c r="G6831" s="22" t="s">
        <v>119</v>
      </c>
      <c r="H6831" s="22" t="s">
        <v>2515</v>
      </c>
      <c r="I6831" s="26">
        <v>43621.658333333296</v>
      </c>
      <c r="J6831" s="28" t="s">
        <v>52</v>
      </c>
      <c r="K6831" s="28" t="s">
        <v>52</v>
      </c>
      <c r="L6831" s="28" t="s">
        <v>52</v>
      </c>
      <c r="M6831" s="28" t="s">
        <v>52</v>
      </c>
      <c r="N6831" s="28" t="s">
        <v>52</v>
      </c>
    </row>
    <row r="6832" spans="1:14" hidden="1" outlineLevel="1" x14ac:dyDescent="0.2">
      <c r="A6832" s="23" t="str">
        <f>HYPERLINK("https://www.spark-marketing.ru/Card/Person/36686", "БУ ""СОВЕТСКИЙ ПОЛИТЕХНИЧЕСКИЙ КОЛЛЕДЖ""")</f>
        <v>БУ "СОВЕТСКИЙ ПОЛИТЕХНИЧЕСКИЙ КОЛЛЕДЖ"</v>
      </c>
      <c r="B6832" s="24" t="s">
        <v>8838</v>
      </c>
      <c r="C6832" s="25">
        <v>525000</v>
      </c>
      <c r="D6832" s="22" t="s">
        <v>8839</v>
      </c>
      <c r="E6832" s="22" t="s">
        <v>59</v>
      </c>
      <c r="F6832" s="23" t="str">
        <f>HYPERLINK("https://www.spark-marketing.ru/Card/Lot/71111915", "Установка системы голосового оповещения на систему видеонаблюдения")</f>
        <v>Установка системы голосового оповещения на систему видеонаблюдения</v>
      </c>
      <c r="G6832" s="22" t="s">
        <v>119</v>
      </c>
      <c r="H6832" s="22" t="s">
        <v>2515</v>
      </c>
      <c r="I6832" s="26">
        <v>43621.658333333296</v>
      </c>
      <c r="J6832" s="23" t="str">
        <f>HYPERLINK("https://www.spark-marketing.ru/Card/Person/939297", "ООО ""ЭКСПРЕСС-СВЯЗЬ""")</f>
        <v>ООО "ЭКСПРЕСС-СВЯЗЬ"</v>
      </c>
      <c r="K6832" s="24" t="s">
        <v>8840</v>
      </c>
      <c r="L6832" s="28" t="s">
        <v>52</v>
      </c>
      <c r="M6832" s="25">
        <v>393750</v>
      </c>
      <c r="N6832" s="27">
        <v>0.25</v>
      </c>
    </row>
    <row r="6833" spans="1:14" ht="12.75" hidden="1" outlineLevel="1" x14ac:dyDescent="0.2">
      <c r="A6833" s="23" t="str">
        <f>HYPERLINK("https://www.spark-marketing.ru/Card/Person/36686", "БУ ""СОВЕТСКИЙ ПОЛИТЕХНИЧЕСКИЙ КОЛЛЕДЖ""")</f>
        <v>БУ "СОВЕТСКИЙ ПОЛИТЕХНИЧЕСКИЙ КОЛЛЕДЖ"</v>
      </c>
      <c r="B6833" s="24" t="s">
        <v>8838</v>
      </c>
      <c r="C6833" s="25">
        <v>525000</v>
      </c>
      <c r="D6833" s="22" t="s">
        <v>8839</v>
      </c>
      <c r="E6833" s="22" t="s">
        <v>59</v>
      </c>
      <c r="F6833" s="23" t="str">
        <f>HYPERLINK("https://www.spark-marketing.ru/Card/Lot/71111915", "Установка системы голосового оповещения на систему видеонаблюдения")</f>
        <v>Установка системы голосового оповещения на систему видеонаблюдения</v>
      </c>
      <c r="G6833" s="22" t="s">
        <v>119</v>
      </c>
      <c r="H6833" s="22" t="s">
        <v>2515</v>
      </c>
      <c r="I6833" s="26">
        <v>43621.658333333296</v>
      </c>
      <c r="J6833" s="23" t="str">
        <f>HYPERLINK("https://www.spark-marketing.ru/Card/Person/6578982", "Родичев Максим Юрьевич")</f>
        <v>Родичев Максим Юрьевич</v>
      </c>
      <c r="K6833" s="24" t="s">
        <v>1478</v>
      </c>
      <c r="L6833" s="22" t="s">
        <v>10</v>
      </c>
      <c r="M6833" s="25">
        <v>393750</v>
      </c>
      <c r="N6833" s="27">
        <v>0.25</v>
      </c>
    </row>
    <row r="6834" spans="1:14" hidden="1" outlineLevel="1" x14ac:dyDescent="0.2">
      <c r="A6834" s="23" t="str">
        <f>HYPERLINK("https://www.spark-marketing.ru/Card/Person/36686", "БУ ""СОВЕТСКИЙ ПОЛИТЕХНИЧЕСКИЙ КОЛЛЕДЖ""")</f>
        <v>БУ "СОВЕТСКИЙ ПОЛИТЕХНИЧЕСКИЙ КОЛЛЕДЖ"</v>
      </c>
      <c r="B6834" s="24" t="s">
        <v>8838</v>
      </c>
      <c r="C6834" s="25">
        <v>525000</v>
      </c>
      <c r="D6834" s="22" t="s">
        <v>8839</v>
      </c>
      <c r="E6834" s="22" t="s">
        <v>59</v>
      </c>
      <c r="F6834" s="23" t="str">
        <f>HYPERLINK("https://www.spark-marketing.ru/Card/Lot/71111915", "Установка системы голосового оповещения на систему видеонаблюдения")</f>
        <v>Установка системы голосового оповещения на систему видеонаблюдения</v>
      </c>
      <c r="G6834" s="22" t="s">
        <v>119</v>
      </c>
      <c r="H6834" s="22" t="s">
        <v>2515</v>
      </c>
      <c r="I6834" s="26">
        <v>43621.658333333296</v>
      </c>
      <c r="J6834" s="23" t="str">
        <f>HYPERLINK("https://www.spark-marketing.ru/Card/Person/655486", "ООО ""ЧОО ""АЛЬТЕРНАТИВА-ОХРАНА""")</f>
        <v>ООО "ЧОО "АЛЬТЕРНАТИВА-ОХРАНА"</v>
      </c>
      <c r="K6834" s="24" t="s">
        <v>8841</v>
      </c>
      <c r="L6834" s="28" t="s">
        <v>52</v>
      </c>
      <c r="M6834" s="25">
        <v>438375</v>
      </c>
      <c r="N6834" s="27">
        <v>0.16500000000000001</v>
      </c>
    </row>
    <row r="6835" spans="1:14" x14ac:dyDescent="0.15">
      <c r="A6835" s="23" t="str">
        <f>HYPERLINK("https://www.spark-marketing.ru/Card/Person/34195", "ГКУСО МО ""ИВАНТЕЕВСКИЙ СРЦН ""ТЕРЕМОК""")</f>
        <v>ГКУСО МО "ИВАНТЕЕВСКИЙ СРЦН "ТЕРЕМОК"</v>
      </c>
      <c r="B6835" s="24" t="s">
        <v>1958</v>
      </c>
      <c r="C6835" s="25">
        <v>25222.400000000001</v>
      </c>
      <c r="D6835" s="22" t="s">
        <v>8842</v>
      </c>
      <c r="E6835" s="22" t="s">
        <v>294</v>
      </c>
      <c r="F6835" s="23" t="str">
        <f>HYPERLINK("https://www.spark-marketing.ru/Card/Lot/71118057", "Техническое обслуживание видеонаблюдения")</f>
        <v>Техническое обслуживание видеонаблюдения</v>
      </c>
      <c r="G6835" s="22" t="s">
        <v>50</v>
      </c>
      <c r="H6835" s="22" t="s">
        <v>1960</v>
      </c>
      <c r="I6835" s="26">
        <v>43621.617696759298</v>
      </c>
      <c r="J6835" s="28" t="s">
        <v>52</v>
      </c>
      <c r="K6835" s="28" t="s">
        <v>52</v>
      </c>
      <c r="L6835" s="28" t="s">
        <v>52</v>
      </c>
      <c r="M6835" s="28" t="s">
        <v>52</v>
      </c>
      <c r="N6835" s="28" t="s">
        <v>52</v>
      </c>
    </row>
    <row r="6836" spans="1:14" x14ac:dyDescent="0.15">
      <c r="A6836" s="23" t="str">
        <f>HYPERLINK("https://www.spark-marketing.ru/Card/Person/62862", "СУ СК РОССИИ ПО РЕСПУБЛИКЕ КОМИ")</f>
        <v>СУ СК РОССИИ ПО РЕСПУБЛИКЕ КОМИ</v>
      </c>
      <c r="B6836" s="24" t="s">
        <v>2531</v>
      </c>
      <c r="C6836" s="25">
        <v>1441170</v>
      </c>
      <c r="D6836" s="22" t="s">
        <v>8843</v>
      </c>
      <c r="E6836" s="22" t="s">
        <v>68</v>
      </c>
      <c r="F6836" s="23" t="str">
        <f>HYPERLINK("https://www.spark-marketing.ru/Card/Lot/71114767", "Оказание услуг по физической (постовой) охране объектов Следственного управления Следственного комитета Российской Федерации по Республике Коми")</f>
        <v>Оказание услуг по физической (постовой) охране объектов Следственного управления Следственного комитета Российской Федерации по Республике Коми</v>
      </c>
      <c r="G6836" s="22" t="s">
        <v>538</v>
      </c>
      <c r="H6836" s="22" t="s">
        <v>538</v>
      </c>
      <c r="I6836" s="26">
        <v>43621.614583333299</v>
      </c>
      <c r="J6836" s="23" t="str">
        <f>HYPERLINK("https://www.spark-marketing.ru/Card/Person/4396729", "филиал ФГУП ""Охрана"" Росгвардии по Республике Коми")</f>
        <v>филиал ФГУП "Охрана" Росгвардии по Республике Коми</v>
      </c>
      <c r="K6836" s="24" t="s">
        <v>779</v>
      </c>
      <c r="L6836" s="22" t="s">
        <v>10</v>
      </c>
      <c r="M6836" s="28" t="s">
        <v>52</v>
      </c>
      <c r="N6836" s="28" t="s">
        <v>52</v>
      </c>
    </row>
    <row r="6837" spans="1:14" x14ac:dyDescent="0.15">
      <c r="A6837" s="23" t="str">
        <f>HYPERLINK("https://www.spark-marketing.ru/Card/Person/1024714", "ГКОУ СО ""БАЙКАЛОВСКАЯ ШКОЛА-ИНТЕРНАТ""")</f>
        <v>ГКОУ СО "БАЙКАЛОВСКАЯ ШКОЛА-ИНТЕРНАТ"</v>
      </c>
      <c r="B6837" s="24" t="s">
        <v>8844</v>
      </c>
      <c r="C6837" s="25">
        <v>531047.22</v>
      </c>
      <c r="D6837" s="22" t="s">
        <v>8845</v>
      </c>
      <c r="E6837" s="22" t="s">
        <v>52</v>
      </c>
      <c r="F6837" s="23" t="str">
        <f>HYPERLINK("https://www.spark-marketing.ru/Card/Lot/71106666", "Оказание услуг физической охраны")</f>
        <v>Оказание услуг физической охраны</v>
      </c>
      <c r="G6837" s="22" t="s">
        <v>72</v>
      </c>
      <c r="H6837" s="22" t="s">
        <v>8846</v>
      </c>
      <c r="I6837" s="26">
        <v>43621.577777777798</v>
      </c>
      <c r="J6837" s="23" t="str">
        <f>HYPERLINK("https://www.spark-marketing.ru/Card/Person/986788", "ООО ""ЧОП ""РУБЕЖ П""")</f>
        <v>ООО "ЧОП "РУБЕЖ П"</v>
      </c>
      <c r="K6837" s="24" t="s">
        <v>8847</v>
      </c>
      <c r="L6837" s="22" t="s">
        <v>10</v>
      </c>
      <c r="M6837" s="28" t="s">
        <v>52</v>
      </c>
      <c r="N6837" s="28" t="s">
        <v>52</v>
      </c>
    </row>
    <row r="6838" spans="1:14" x14ac:dyDescent="0.15">
      <c r="A6838" s="23" t="str">
        <f>HYPERLINK("https://www.spark-marketing.ru/Card/Person/4414437", "АО ""ВНИКТИНЕФТЕХИМОБОРУДОВАНИЕ""")</f>
        <v>АО "ВНИКТИНЕФТЕХИМОБОРУДОВАНИЕ"</v>
      </c>
      <c r="B6838" s="24" t="s">
        <v>8848</v>
      </c>
      <c r="C6838" s="25">
        <v>459084.15</v>
      </c>
      <c r="D6838" s="22" t="s">
        <v>8849</v>
      </c>
      <c r="E6838" s="22" t="s">
        <v>49</v>
      </c>
      <c r="F6838" s="23" t="str">
        <f>HYPERLINK("https://www.spark-marketing.ru/Card/Lot/71127761", "Выполнение работ по установке системы видеонаблюдения.")</f>
        <v>Выполнение работ по установке системы видеонаблюдения.</v>
      </c>
      <c r="G6838" s="22" t="s">
        <v>343</v>
      </c>
      <c r="H6838" s="22" t="s">
        <v>344</v>
      </c>
      <c r="I6838" s="26">
        <v>43621.554861111101</v>
      </c>
      <c r="J6838" s="28" t="s">
        <v>52</v>
      </c>
      <c r="K6838" s="28" t="s">
        <v>52</v>
      </c>
      <c r="L6838" s="28" t="s">
        <v>52</v>
      </c>
      <c r="M6838" s="28" t="s">
        <v>52</v>
      </c>
      <c r="N6838" s="28" t="s">
        <v>52</v>
      </c>
    </row>
    <row r="6839" spans="1:14" x14ac:dyDescent="0.2">
      <c r="A6839" s="23" t="str">
        <f>HYPERLINK("https://www.spark-marketing.ru/Card/Person/145773", "АО ""ЯКУТСКГЕОЛОГИЯ""")</f>
        <v>АО "ЯКУТСКГЕОЛОГИЯ"</v>
      </c>
      <c r="B6839" s="24" t="s">
        <v>8850</v>
      </c>
      <c r="C6839" s="25">
        <v>1000000</v>
      </c>
      <c r="D6839" s="22" t="s">
        <v>8851</v>
      </c>
      <c r="E6839" s="22" t="s">
        <v>8852</v>
      </c>
      <c r="F6839" s="23" t="str">
        <f>HYPERLINK("https://www.spark-marketing.ru/Card/Lot/71096947", "услуги по охране техники на участке Менда-Барылай")</f>
        <v>услуги по охране техники на участке Менда-Барылай</v>
      </c>
      <c r="G6839" s="22" t="s">
        <v>424</v>
      </c>
      <c r="H6839" s="22" t="s">
        <v>424</v>
      </c>
      <c r="I6839" s="26">
        <v>43621.505231481497</v>
      </c>
      <c r="J6839" s="28" t="s">
        <v>52</v>
      </c>
      <c r="K6839" s="28" t="s">
        <v>52</v>
      </c>
      <c r="L6839" s="28" t="s">
        <v>52</v>
      </c>
      <c r="M6839" s="25">
        <v>1000000</v>
      </c>
      <c r="N6839" s="27">
        <v>0</v>
      </c>
    </row>
    <row r="6840" spans="1:14" x14ac:dyDescent="0.15">
      <c r="A6840" s="23" t="str">
        <f>HYPERLINK("https://www.spark-marketing.ru/Card/Person/4345935", "ДЕПАРТАМЕНТ СМОЛЕНСКОЙ ОБЛАСТИ ПО ЗДРАВООХРАНЕНИЮ")</f>
        <v>ДЕПАРТАМЕНТ СМОЛЕНСКОЙ ОБЛАСТИ ПО ЗДРАВООХРАНЕНИЮ</v>
      </c>
      <c r="B6840" s="24" t="s">
        <v>1449</v>
      </c>
      <c r="C6840" s="25">
        <v>50200</v>
      </c>
      <c r="D6840" s="22" t="s">
        <v>8853</v>
      </c>
      <c r="E6840" s="22" t="s">
        <v>53</v>
      </c>
      <c r="F6840" s="23" t="str">
        <f>HYPERLINK("https://www.spark-marketing.ru/Card/Lot/71105844", "(0347-аэф/тк) Поставка лекарственных препаратов (Будесонид)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рецепт...")</f>
        <v>(0347-аэф/тк) Поставка лекарственных препаратов (Будесонид)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рецепт...</v>
      </c>
      <c r="G6840" s="22" t="s">
        <v>956</v>
      </c>
      <c r="H6840" s="22" t="s">
        <v>1451</v>
      </c>
      <c r="I6840" s="26">
        <v>43621.536805555603</v>
      </c>
      <c r="J6840" s="23" t="str">
        <f>HYPERLINK("https://www.spark-marketing.ru/Card/Person/1987873", "ООО ""ВИТАНТА""")</f>
        <v>ООО "ВИТАНТА"</v>
      </c>
      <c r="K6840" s="24" t="s">
        <v>8854</v>
      </c>
      <c r="L6840" s="22" t="s">
        <v>10</v>
      </c>
      <c r="M6840" s="28" t="s">
        <v>52</v>
      </c>
      <c r="N6840" s="28" t="s">
        <v>52</v>
      </c>
    </row>
    <row r="6841" spans="1:14" x14ac:dyDescent="0.15">
      <c r="A6841" s="23" t="str">
        <f>HYPERLINK("https://www.spark-marketing.ru/Card/Person/4345935", "ДЕПАРТАМЕНТ СМОЛЕНСКОЙ ОБЛАСТИ ПО ЗДРАВООХРАНЕНИЮ")</f>
        <v>ДЕПАРТАМЕНТ СМОЛЕНСКОЙ ОБЛАСТИ ПО ЗДРАВООХРАНЕНИЮ</v>
      </c>
      <c r="B6841" s="24" t="s">
        <v>1449</v>
      </c>
      <c r="C6841" s="25">
        <v>69300</v>
      </c>
      <c r="D6841" s="22" t="s">
        <v>8855</v>
      </c>
      <c r="E6841" s="22" t="s">
        <v>53</v>
      </c>
      <c r="F6841" s="23" t="str">
        <f>HYPERLINK("https://www.spark-marketing.ru/Card/Lot/71110056", "(0346-аэф/тк) Поставка лекарственных препаратов (Медроксипрогестерон)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f>
        <v>(0346-аэф/тк) Поставка лекарственных препаратов (Медроксипрогестерон)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v>
      </c>
      <c r="G6841" s="22" t="s">
        <v>956</v>
      </c>
      <c r="H6841" s="22" t="s">
        <v>1451</v>
      </c>
      <c r="I6841" s="26">
        <v>43621.538194444402</v>
      </c>
      <c r="J6841" s="28" t="s">
        <v>52</v>
      </c>
      <c r="K6841" s="28" t="s">
        <v>52</v>
      </c>
      <c r="L6841" s="28" t="s">
        <v>52</v>
      </c>
      <c r="M6841" s="28" t="s">
        <v>52</v>
      </c>
      <c r="N6841" s="28" t="s">
        <v>52</v>
      </c>
    </row>
    <row r="6842" spans="1:14" x14ac:dyDescent="0.15">
      <c r="A6842" s="23" t="str">
        <f>HYPERLINK("https://www.spark-marketing.ru/Card/Person/42165", "ГБОУ РО ""КАМЕНСК-ШАХТИНСКАЯ ШКОЛА-ИНТЕРНАТ""")</f>
        <v>ГБОУ РО "КАМЕНСК-ШАХТИНСКАЯ ШКОЛА-ИНТЕРНАТ"</v>
      </c>
      <c r="B6842" s="24" t="s">
        <v>8856</v>
      </c>
      <c r="C6842" s="25">
        <v>36750</v>
      </c>
      <c r="D6842" s="22" t="s">
        <v>8857</v>
      </c>
      <c r="E6842" s="22" t="s">
        <v>107</v>
      </c>
      <c r="F6842" s="23" t="str">
        <f>HYPERLINK("https://www.spark-marketing.ru/Card/Lot/71111813", "ТО системы видеонаблюдения")</f>
        <v>ТО системы видеонаблюдения</v>
      </c>
      <c r="G6842" s="22" t="s">
        <v>402</v>
      </c>
      <c r="H6842" s="22" t="s">
        <v>6137</v>
      </c>
      <c r="I6842" s="26">
        <v>43621.517361111102</v>
      </c>
      <c r="J6842" s="28" t="s">
        <v>52</v>
      </c>
      <c r="K6842" s="28" t="s">
        <v>52</v>
      </c>
      <c r="L6842" s="28" t="s">
        <v>52</v>
      </c>
      <c r="M6842" s="28" t="s">
        <v>52</v>
      </c>
      <c r="N6842" s="28" t="s">
        <v>52</v>
      </c>
    </row>
    <row r="6843" spans="1:14" x14ac:dyDescent="0.2">
      <c r="A6843" s="23" t="str">
        <f>HYPERLINK("https://www.spark-marketing.ru/Card/Person/538740", "ГАУЗ СО ""ЭНГЕЛЬССКАЯ РБ""")</f>
        <v>ГАУЗ СО "ЭНГЕЛЬССКАЯ РБ"</v>
      </c>
      <c r="B6843" s="24" t="s">
        <v>8858</v>
      </c>
      <c r="C6843" s="25">
        <v>419000</v>
      </c>
      <c r="D6843" s="22" t="s">
        <v>8859</v>
      </c>
      <c r="E6843" s="22" t="s">
        <v>144</v>
      </c>
      <c r="F6843" s="23" t="str">
        <f>HYPERLINK("https://www.spark-marketing.ru/Card/Lot/71104395", "Оказание охранных услуг для нужд ГАУЗ СО «Энгельсская РБ»")</f>
        <v>Оказание охранных услуг для нужд ГАУЗ СО «Энгельсская РБ»</v>
      </c>
      <c r="G6843" s="22" t="s">
        <v>80</v>
      </c>
      <c r="H6843" s="22" t="s">
        <v>80</v>
      </c>
      <c r="I6843" s="26">
        <v>43621.505208333299</v>
      </c>
      <c r="J6843" s="28" t="s">
        <v>52</v>
      </c>
      <c r="K6843" s="28" t="s">
        <v>52</v>
      </c>
      <c r="L6843" s="22" t="s">
        <v>10</v>
      </c>
      <c r="M6843" s="25">
        <v>330000</v>
      </c>
      <c r="N6843" s="27">
        <v>0.21241050119331742</v>
      </c>
    </row>
    <row r="6844" spans="1:14" x14ac:dyDescent="0.15">
      <c r="A6844" s="23" t="str">
        <f>HYPERLINK("https://www.spark-marketing.ru/Card/Person/4345935", "ДЕПАРТАМЕНТ СМОЛЕНСКОЙ ОБЛАСТИ ПО ЗДРАВООХРАНЕНИЮ")</f>
        <v>ДЕПАРТАМЕНТ СМОЛЕНСКОЙ ОБЛАСТИ ПО ЗДРАВООХРАНЕНИЮ</v>
      </c>
      <c r="B6844" s="24" t="s">
        <v>1449</v>
      </c>
      <c r="C6844" s="25">
        <v>55220</v>
      </c>
      <c r="D6844" s="22" t="s">
        <v>8860</v>
      </c>
      <c r="E6844" s="22" t="s">
        <v>53</v>
      </c>
      <c r="F6844" s="23" t="str">
        <f>HYPERLINK("https://www.spark-marketing.ru/Card/Lot/71108628", "(0348-аэф/тк) Поставка лекарственных препаратов (Будесонид)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рецепт...")</f>
        <v>(0348-аэф/тк) Поставка лекарственных препаратов (Будесонид)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рецепт...</v>
      </c>
      <c r="G6844" s="22" t="s">
        <v>956</v>
      </c>
      <c r="H6844" s="22" t="s">
        <v>1451</v>
      </c>
      <c r="I6844" s="26">
        <v>43621.537499999999</v>
      </c>
      <c r="J6844" s="23" t="str">
        <f>HYPERLINK("https://www.spark-marketing.ru/Card/Person/1987873", "ООО ""ВИТАНТА""")</f>
        <v>ООО "ВИТАНТА"</v>
      </c>
      <c r="K6844" s="24" t="s">
        <v>8854</v>
      </c>
      <c r="L6844" s="22" t="s">
        <v>10</v>
      </c>
      <c r="M6844" s="28" t="s">
        <v>52</v>
      </c>
      <c r="N6844" s="28" t="s">
        <v>52</v>
      </c>
    </row>
    <row r="6845" spans="1:14" x14ac:dyDescent="0.15">
      <c r="A6845" s="23" t="str">
        <f>HYPERLINK("https://www.spark-marketing.ru/Card/Person/105038", "ФКУ ИК-1 ГУФСИН РОССИИ ПО ЧЕЛЯБИНСКОЙ ОБЛАСТИ")</f>
        <v>ФКУ ИК-1 ГУФСИН РОССИИ ПО ЧЕЛЯБИНСКОЙ ОБЛАСТИ</v>
      </c>
      <c r="B6845" s="24" t="s">
        <v>7753</v>
      </c>
      <c r="C6845" s="25">
        <v>28595.4</v>
      </c>
      <c r="D6845" s="22" t="s">
        <v>8861</v>
      </c>
      <c r="E6845" s="22" t="s">
        <v>8862</v>
      </c>
      <c r="F6845" s="23" t="str">
        <f>HYPERLINK("https://www.spark-marketing.ru/Card/Lot/71100911", "Закупка кабеля, необходимого для проведения технического обслуживания")</f>
        <v>Закупка кабеля, необходимого для проведения технического обслуживания</v>
      </c>
      <c r="G6845" s="22" t="s">
        <v>60</v>
      </c>
      <c r="H6845" s="22" t="s">
        <v>60</v>
      </c>
      <c r="I6845" s="26">
        <v>43621.483333333301</v>
      </c>
      <c r="J6845" s="28" t="s">
        <v>52</v>
      </c>
      <c r="K6845" s="28" t="s">
        <v>52</v>
      </c>
      <c r="L6845" s="28" t="s">
        <v>52</v>
      </c>
      <c r="M6845" s="28" t="s">
        <v>52</v>
      </c>
      <c r="N6845" s="28" t="s">
        <v>52</v>
      </c>
    </row>
    <row r="6846" spans="1:14" x14ac:dyDescent="0.15">
      <c r="A6846" s="23" t="str">
        <f t="shared" ref="A6846:A6851" si="286">HYPERLINK("https://www.spark-marketing.ru/Card/Person/22317", "УПРАВЛЕНИЕ ДЕЛАМИ ГУБЕРНАТОРА ИРКУТСКОЙ ОБЛАСТИ И ПРАВИТЕЛЬСТВА ИРКУТСКОЙ ОБЛАСТИ")</f>
        <v>УПРАВЛЕНИЕ ДЕЛАМИ ГУБЕРНАТОРА ИРКУТСКОЙ ОБЛАСТИ И ПРАВИТЕЛЬСТВА ИРКУТСКОЙ ОБЛАСТИ</v>
      </c>
      <c r="B6846" s="24" t="s">
        <v>8863</v>
      </c>
      <c r="C6846" s="25">
        <v>2181504</v>
      </c>
      <c r="D6846" s="22" t="s">
        <v>8864</v>
      </c>
      <c r="E6846" s="22" t="s">
        <v>52</v>
      </c>
      <c r="F6846" s="23" t="str">
        <f>HYPERLINK("https://www.spark-marketing.ru/Card/Lot/71097215", "оказание охранных услуг")</f>
        <v>оказание охранных услуг</v>
      </c>
      <c r="G6846" s="22" t="s">
        <v>281</v>
      </c>
      <c r="H6846" s="22" t="s">
        <v>2008</v>
      </c>
      <c r="I6846" s="26">
        <v>43621.470833333296</v>
      </c>
      <c r="J6846" s="28" t="s">
        <v>52</v>
      </c>
      <c r="K6846" s="28" t="s">
        <v>52</v>
      </c>
      <c r="L6846" s="28" t="s">
        <v>52</v>
      </c>
      <c r="M6846" s="28" t="s">
        <v>52</v>
      </c>
      <c r="N6846" s="28" t="s">
        <v>52</v>
      </c>
    </row>
    <row r="6847" spans="1:14" ht="12.75" hidden="1" outlineLevel="1" x14ac:dyDescent="0.2">
      <c r="A6847" s="23" t="str">
        <f t="shared" si="286"/>
        <v>УПРАВЛЕНИЕ ДЕЛАМИ ГУБЕРНАТОРА ИРКУТСКОЙ ОБЛАСТИ И ПРАВИТЕЛЬСТВА ИРКУТСКОЙ ОБЛАСТИ</v>
      </c>
      <c r="B6847" s="24" t="s">
        <v>8863</v>
      </c>
      <c r="C6847" s="25">
        <v>2181504</v>
      </c>
      <c r="D6847" s="22" t="s">
        <v>8864</v>
      </c>
      <c r="E6847" s="22" t="s">
        <v>52</v>
      </c>
      <c r="F6847" s="23" t="str">
        <f>HYPERLINK("https://www.spark-marketing.ru/Card/Lot/71097215", "оказание охранных услуг")</f>
        <v>оказание охранных услуг</v>
      </c>
      <c r="G6847" s="22" t="s">
        <v>281</v>
      </c>
      <c r="H6847" s="22" t="s">
        <v>2008</v>
      </c>
      <c r="I6847" s="26">
        <v>43621.470833333296</v>
      </c>
      <c r="J6847" s="23" t="str">
        <f>HYPERLINK("https://www.spark-marketing.ru/Card/Person/2559732", "ООО ""ОА ""ГАРАНТ""")</f>
        <v>ООО "ОА "ГАРАНТ"</v>
      </c>
      <c r="K6847" s="24" t="s">
        <v>8865</v>
      </c>
      <c r="L6847" s="22" t="s">
        <v>10</v>
      </c>
      <c r="M6847" s="25">
        <v>2170596.48</v>
      </c>
      <c r="N6847" s="27">
        <v>5.0000000000000001E-3</v>
      </c>
    </row>
    <row r="6848" spans="1:14" hidden="1" outlineLevel="1" x14ac:dyDescent="0.2">
      <c r="A6848" s="23" t="str">
        <f t="shared" si="286"/>
        <v>УПРАВЛЕНИЕ ДЕЛАМИ ГУБЕРНАТОРА ИРКУТСКОЙ ОБЛАСТИ И ПРАВИТЕЛЬСТВА ИРКУТСКОЙ ОБЛАСТИ</v>
      </c>
      <c r="B6848" s="24" t="s">
        <v>8863</v>
      </c>
      <c r="C6848" s="25">
        <v>2181504</v>
      </c>
      <c r="D6848" s="22" t="s">
        <v>8864</v>
      </c>
      <c r="E6848" s="22" t="s">
        <v>52</v>
      </c>
      <c r="F6848" s="23" t="str">
        <f>HYPERLINK("https://www.spark-marketing.ru/Card/Lot/71097215", "оказание охранных услуг")</f>
        <v>оказание охранных услуг</v>
      </c>
      <c r="G6848" s="22" t="s">
        <v>281</v>
      </c>
      <c r="H6848" s="22" t="s">
        <v>2008</v>
      </c>
      <c r="I6848" s="26">
        <v>43621.470833333296</v>
      </c>
      <c r="J6848" s="23" t="str">
        <f>HYPERLINK("https://www.spark-marketing.ru/Card/Person/6458289", "ООО ""ЧОО ""КРЕМЕНЬ""")</f>
        <v>ООО "ЧОО "КРЕМЕНЬ"</v>
      </c>
      <c r="K6848" s="24" t="s">
        <v>8866</v>
      </c>
      <c r="L6848" s="28" t="s">
        <v>52</v>
      </c>
      <c r="M6848" s="25">
        <v>2181503.9900000002</v>
      </c>
      <c r="N6848" s="27">
        <v>4.5839934283870207E-9</v>
      </c>
    </row>
    <row r="6849" spans="1:14" x14ac:dyDescent="0.15">
      <c r="A6849" s="23" t="str">
        <f t="shared" si="286"/>
        <v>УПРАВЛЕНИЕ ДЕЛАМИ ГУБЕРНАТОРА ИРКУТСКОЙ ОБЛАСТИ И ПРАВИТЕЛЬСТВА ИРКУТСКОЙ ОБЛАСТИ</v>
      </c>
      <c r="B6849" s="24" t="s">
        <v>8863</v>
      </c>
      <c r="C6849" s="25">
        <v>3740307.84</v>
      </c>
      <c r="D6849" s="22" t="s">
        <v>8867</v>
      </c>
      <c r="E6849" s="22" t="s">
        <v>52</v>
      </c>
      <c r="F6849" s="23" t="str">
        <f>HYPERLINK("https://www.spark-marketing.ru/Card/Lot/71097229", "оказание охранных услуг")</f>
        <v>оказание охранных услуг</v>
      </c>
      <c r="G6849" s="22" t="s">
        <v>281</v>
      </c>
      <c r="H6849" s="22" t="s">
        <v>2008</v>
      </c>
      <c r="I6849" s="26">
        <v>43621.470833333296</v>
      </c>
      <c r="J6849" s="28" t="s">
        <v>52</v>
      </c>
      <c r="K6849" s="28" t="s">
        <v>52</v>
      </c>
      <c r="L6849" s="28" t="s">
        <v>52</v>
      </c>
      <c r="M6849" s="28" t="s">
        <v>52</v>
      </c>
      <c r="N6849" s="28" t="s">
        <v>52</v>
      </c>
    </row>
    <row r="6850" spans="1:14" ht="12.75" hidden="1" outlineLevel="1" x14ac:dyDescent="0.2">
      <c r="A6850" s="23" t="str">
        <f t="shared" si="286"/>
        <v>УПРАВЛЕНИЕ ДЕЛАМИ ГУБЕРНАТОРА ИРКУТСКОЙ ОБЛАСТИ И ПРАВИТЕЛЬСТВА ИРКУТСКОЙ ОБЛАСТИ</v>
      </c>
      <c r="B6850" s="24" t="s">
        <v>8863</v>
      </c>
      <c r="C6850" s="25">
        <v>3740307.84</v>
      </c>
      <c r="D6850" s="22" t="s">
        <v>8867</v>
      </c>
      <c r="E6850" s="22" t="s">
        <v>52</v>
      </c>
      <c r="F6850" s="23" t="str">
        <f>HYPERLINK("https://www.spark-marketing.ru/Card/Lot/71097229", "оказание охранных услуг")</f>
        <v>оказание охранных услуг</v>
      </c>
      <c r="G6850" s="22" t="s">
        <v>281</v>
      </c>
      <c r="H6850" s="22" t="s">
        <v>2008</v>
      </c>
      <c r="I6850" s="26">
        <v>43621.470833333296</v>
      </c>
      <c r="J6850" s="23" t="str">
        <f>HYPERLINK("https://www.spark-marketing.ru/Card/Person/2559732", "ООО ""ОА ""ГАРАНТ""")</f>
        <v>ООО "ОА "ГАРАНТ"</v>
      </c>
      <c r="K6850" s="24" t="s">
        <v>8865</v>
      </c>
      <c r="L6850" s="22" t="s">
        <v>10</v>
      </c>
      <c r="M6850" s="25">
        <v>3721606.3</v>
      </c>
      <c r="N6850" s="27">
        <v>5.0000002138861381E-3</v>
      </c>
    </row>
    <row r="6851" spans="1:14" hidden="1" outlineLevel="1" x14ac:dyDescent="0.2">
      <c r="A6851" s="23" t="str">
        <f t="shared" si="286"/>
        <v>УПРАВЛЕНИЕ ДЕЛАМИ ГУБЕРНАТОРА ИРКУТСКОЙ ОБЛАСТИ И ПРАВИТЕЛЬСТВА ИРКУТСКОЙ ОБЛАСТИ</v>
      </c>
      <c r="B6851" s="24" t="s">
        <v>8863</v>
      </c>
      <c r="C6851" s="25">
        <v>3740307.84</v>
      </c>
      <c r="D6851" s="22" t="s">
        <v>8867</v>
      </c>
      <c r="E6851" s="22" t="s">
        <v>52</v>
      </c>
      <c r="F6851" s="23" t="str">
        <f>HYPERLINK("https://www.spark-marketing.ru/Card/Lot/71097229", "оказание охранных услуг")</f>
        <v>оказание охранных услуг</v>
      </c>
      <c r="G6851" s="22" t="s">
        <v>281</v>
      </c>
      <c r="H6851" s="22" t="s">
        <v>2008</v>
      </c>
      <c r="I6851" s="26">
        <v>43621.470833333296</v>
      </c>
      <c r="J6851" s="23" t="str">
        <f>HYPERLINK("https://www.spark-marketing.ru/Card/Person/6458289", "ООО ""ЧОО ""КРЕМЕНЬ""")</f>
        <v>ООО "ЧОО "КРЕМЕНЬ"</v>
      </c>
      <c r="K6851" s="24" t="s">
        <v>8866</v>
      </c>
      <c r="L6851" s="28" t="s">
        <v>52</v>
      </c>
      <c r="M6851" s="25">
        <v>3740307.83</v>
      </c>
      <c r="N6851" s="27">
        <v>2.6735767289143775E-9</v>
      </c>
    </row>
    <row r="6852" spans="1:14" x14ac:dyDescent="0.15">
      <c r="A6852" s="23" t="str">
        <f>HYPERLINK("https://www.spark-marketing.ru/Card/Person/42165", "ГБОУ РО ""КАМЕНСК-ШАХТИНСКАЯ ШКОЛА-ИНТЕРНАТ""")</f>
        <v>ГБОУ РО "КАМЕНСК-ШАХТИНСКАЯ ШКОЛА-ИНТЕРНАТ"</v>
      </c>
      <c r="B6852" s="24" t="s">
        <v>8856</v>
      </c>
      <c r="C6852" s="25">
        <v>36750</v>
      </c>
      <c r="D6852" s="22" t="s">
        <v>8868</v>
      </c>
      <c r="E6852" s="22" t="s">
        <v>107</v>
      </c>
      <c r="F6852" s="23" t="str">
        <f>HYPERLINK("https://www.spark-marketing.ru/Card/Lot/71111569", "ТО системы видеонаблюдения")</f>
        <v>ТО системы видеонаблюдения</v>
      </c>
      <c r="G6852" s="22" t="s">
        <v>402</v>
      </c>
      <c r="H6852" s="22" t="s">
        <v>6137</v>
      </c>
      <c r="I6852" s="26">
        <v>43621.498611111099</v>
      </c>
      <c r="J6852" s="28" t="s">
        <v>52</v>
      </c>
      <c r="K6852" s="28" t="s">
        <v>52</v>
      </c>
      <c r="L6852" s="28" t="s">
        <v>52</v>
      </c>
      <c r="M6852" s="28" t="s">
        <v>52</v>
      </c>
      <c r="N6852" s="28" t="s">
        <v>52</v>
      </c>
    </row>
    <row r="6853" spans="1:14" x14ac:dyDescent="0.15">
      <c r="A6853" s="23" t="str">
        <f>HYPERLINK("https://www.spark-marketing.ru/Card/Person/34696", "ГНЦ РФ - ИМБП РАН")</f>
        <v>ГНЦ РФ - ИМБП РАН</v>
      </c>
      <c r="B6853" s="24" t="s">
        <v>8869</v>
      </c>
      <c r="C6853" s="25">
        <v>235530</v>
      </c>
      <c r="D6853" s="22" t="s">
        <v>8870</v>
      </c>
      <c r="E6853" s="22" t="s">
        <v>691</v>
      </c>
      <c r="F6853" s="23" t="str">
        <f>HYPERLINK("https://www.spark-marketing.ru/Card/Lot/71126550", "Установка системы видеонаблюдения")</f>
        <v>Установка системы видеонаблюдения</v>
      </c>
      <c r="G6853" s="22" t="s">
        <v>55</v>
      </c>
      <c r="H6853" s="22" t="s">
        <v>55</v>
      </c>
      <c r="I6853" s="26">
        <v>43621.467743055597</v>
      </c>
      <c r="J6853" s="28" t="s">
        <v>52</v>
      </c>
      <c r="K6853" s="28" t="s">
        <v>52</v>
      </c>
      <c r="L6853" s="28" t="s">
        <v>52</v>
      </c>
      <c r="M6853" s="28" t="s">
        <v>52</v>
      </c>
      <c r="N6853" s="28" t="s">
        <v>52</v>
      </c>
    </row>
    <row r="6854" spans="1:14" x14ac:dyDescent="0.15">
      <c r="A6854" s="23" t="str">
        <f>HYPERLINK("https://www.spark-marketing.ru/Card/Person/22317", "УПРАВЛЕНИЕ ДЕЛАМИ ГУБЕРНАТОРА ИРКУТСКОЙ ОБЛАСТИ И ПРАВИТЕЛЬСТВА ИРКУТСКОЙ ОБЛАСТИ")</f>
        <v>УПРАВЛЕНИЕ ДЕЛАМИ ГУБЕРНАТОРА ИРКУТСКОЙ ОБЛАСТИ И ПРАВИТЕЛЬСТВА ИРКУТСКОЙ ОБЛАСТИ</v>
      </c>
      <c r="B6854" s="24" t="s">
        <v>8863</v>
      </c>
      <c r="C6854" s="25">
        <v>4987077.12</v>
      </c>
      <c r="D6854" s="22" t="s">
        <v>8871</v>
      </c>
      <c r="E6854" s="22" t="s">
        <v>52</v>
      </c>
      <c r="F6854" s="23" t="str">
        <f>HYPERLINK("https://www.spark-marketing.ru/Card/Lot/71097210", "оказание охранных услуг")</f>
        <v>оказание охранных услуг</v>
      </c>
      <c r="G6854" s="22" t="s">
        <v>281</v>
      </c>
      <c r="H6854" s="22" t="s">
        <v>2008</v>
      </c>
      <c r="I6854" s="26">
        <v>43621.470833333296</v>
      </c>
      <c r="J6854" s="28" t="s">
        <v>52</v>
      </c>
      <c r="K6854" s="28" t="s">
        <v>52</v>
      </c>
      <c r="L6854" s="28" t="s">
        <v>52</v>
      </c>
      <c r="M6854" s="28" t="s">
        <v>52</v>
      </c>
      <c r="N6854" s="28" t="s">
        <v>52</v>
      </c>
    </row>
    <row r="6855" spans="1:14" ht="12.75" hidden="1" outlineLevel="1" x14ac:dyDescent="0.2">
      <c r="A6855" s="23" t="str">
        <f>HYPERLINK("https://www.spark-marketing.ru/Card/Person/22317", "УПРАВЛЕНИЕ ДЕЛАМИ ГУБЕРНАТОРА ИРКУТСКОЙ ОБЛАСТИ И ПРАВИТЕЛЬСТВА ИРКУТСКОЙ ОБЛАСТИ")</f>
        <v>УПРАВЛЕНИЕ ДЕЛАМИ ГУБЕРНАТОРА ИРКУТСКОЙ ОБЛАСТИ И ПРАВИТЕЛЬСТВА ИРКУТСКОЙ ОБЛАСТИ</v>
      </c>
      <c r="B6855" s="24" t="s">
        <v>8863</v>
      </c>
      <c r="C6855" s="25">
        <v>4987077.12</v>
      </c>
      <c r="D6855" s="22" t="s">
        <v>8871</v>
      </c>
      <c r="E6855" s="22" t="s">
        <v>52</v>
      </c>
      <c r="F6855" s="23" t="str">
        <f>HYPERLINK("https://www.spark-marketing.ru/Card/Lot/71097210", "оказание охранных услуг")</f>
        <v>оказание охранных услуг</v>
      </c>
      <c r="G6855" s="22" t="s">
        <v>281</v>
      </c>
      <c r="H6855" s="22" t="s">
        <v>2008</v>
      </c>
      <c r="I6855" s="26">
        <v>43621.470833333296</v>
      </c>
      <c r="J6855" s="23" t="str">
        <f>HYPERLINK("https://www.spark-marketing.ru/Card/Person/234092", "ООО ""ЧОП БАРГУЗИН""")</f>
        <v>ООО "ЧОП БАРГУЗИН"</v>
      </c>
      <c r="K6855" s="24" t="s">
        <v>8872</v>
      </c>
      <c r="L6855" s="22" t="s">
        <v>10</v>
      </c>
      <c r="M6855" s="25">
        <v>4962141.7300000004</v>
      </c>
      <c r="N6855" s="27">
        <v>5.000000882280321E-3</v>
      </c>
    </row>
    <row r="6856" spans="1:14" hidden="1" outlineLevel="1" x14ac:dyDescent="0.2">
      <c r="A6856" s="23" t="str">
        <f>HYPERLINK("https://www.spark-marketing.ru/Card/Person/22317", "УПРАВЛЕНИЕ ДЕЛАМИ ГУБЕРНАТОРА ИРКУТСКОЙ ОБЛАСТИ И ПРАВИТЕЛЬСТВА ИРКУТСКОЙ ОБЛАСТИ")</f>
        <v>УПРАВЛЕНИЕ ДЕЛАМИ ГУБЕРНАТОРА ИРКУТСКОЙ ОБЛАСТИ И ПРАВИТЕЛЬСТВА ИРКУТСКОЙ ОБЛАСТИ</v>
      </c>
      <c r="B6856" s="24" t="s">
        <v>8863</v>
      </c>
      <c r="C6856" s="25">
        <v>4987077.12</v>
      </c>
      <c r="D6856" s="22" t="s">
        <v>8871</v>
      </c>
      <c r="E6856" s="22" t="s">
        <v>52</v>
      </c>
      <c r="F6856" s="23" t="str">
        <f>HYPERLINK("https://www.spark-marketing.ru/Card/Lot/71097210", "оказание охранных услуг")</f>
        <v>оказание охранных услуг</v>
      </c>
      <c r="G6856" s="22" t="s">
        <v>281</v>
      </c>
      <c r="H6856" s="22" t="s">
        <v>2008</v>
      </c>
      <c r="I6856" s="26">
        <v>43621.470833333296</v>
      </c>
      <c r="J6856" s="23" t="str">
        <f>HYPERLINK("https://www.spark-marketing.ru/Card/Person/2559732", "ООО ""ОА ""ГАРАНТ""")</f>
        <v>ООО "ОА "ГАРАНТ"</v>
      </c>
      <c r="K6856" s="24" t="s">
        <v>8865</v>
      </c>
      <c r="L6856" s="28" t="s">
        <v>52</v>
      </c>
      <c r="M6856" s="25">
        <v>4987077.1100000003</v>
      </c>
      <c r="N6856" s="27">
        <v>2.0051825466857829E-9</v>
      </c>
    </row>
    <row r="6857" spans="1:14" x14ac:dyDescent="0.15">
      <c r="A6857" s="23" t="str">
        <f>HYPERLINK("https://www.spark-marketing.ru/Card/Person/76802", "МБОУ РУССКАЯ СОШ ИМ. М.Н. АЛЕКСЕЕВА")</f>
        <v>МБОУ РУССКАЯ СОШ ИМ. М.Н. АЛЕКСЕЕВА</v>
      </c>
      <c r="B6857" s="24" t="s">
        <v>8873</v>
      </c>
      <c r="C6857" s="25">
        <v>7000</v>
      </c>
      <c r="D6857" s="22" t="s">
        <v>8874</v>
      </c>
      <c r="E6857" s="22" t="s">
        <v>2623</v>
      </c>
      <c r="F6857" s="23" t="str">
        <f>HYPERLINK("https://www.spark-marketing.ru/Card/Lot/71110048", "работы по техническому обслуживанию системы видеонаблюдения")</f>
        <v>работы по техническому обслуживанию системы видеонаблюдения</v>
      </c>
      <c r="G6857" s="22" t="s">
        <v>402</v>
      </c>
      <c r="H6857" s="22" t="s">
        <v>5893</v>
      </c>
      <c r="I6857" s="26">
        <v>43621.429166666698</v>
      </c>
      <c r="J6857" s="28" t="s">
        <v>52</v>
      </c>
      <c r="K6857" s="28" t="s">
        <v>52</v>
      </c>
      <c r="L6857" s="28" t="s">
        <v>52</v>
      </c>
      <c r="M6857" s="28" t="s">
        <v>52</v>
      </c>
      <c r="N6857" s="28" t="s">
        <v>52</v>
      </c>
    </row>
    <row r="6858" spans="1:14" x14ac:dyDescent="0.15">
      <c r="A6858" s="23" t="str">
        <f>HYPERLINK("https://www.spark-marketing.ru/Card/Person/36785", "РЕСПУБЛИКАНСКИЙ ЦЕНТР МАТЕРИАЛЬНОЙ ПОМОЩИ")</f>
        <v>РЕСПУБЛИКАНСКИЙ ЦЕНТР МАТЕРИАЛЬНОЙ ПОМОЩИ</v>
      </c>
      <c r="B6858" s="24" t="s">
        <v>8875</v>
      </c>
      <c r="C6858" s="25">
        <v>1255000</v>
      </c>
      <c r="D6858" s="22" t="s">
        <v>8876</v>
      </c>
      <c r="E6858" s="22" t="s">
        <v>59</v>
      </c>
      <c r="F6858" s="23" t="str">
        <f>HYPERLINK("https://www.spark-marketing.ru/Card/Lot/71102946", "Установка и монтаж системы видеонаблюдения в отделениях ГКУ ""Республиканский центр материальной помощи (компенсационных выплат)""")</f>
        <v>Установка и монтаж системы видеонаблюдения в отделениях ГКУ "Республиканский центр материальной помощи (компенсационных выплат)"</v>
      </c>
      <c r="G6858" s="22" t="s">
        <v>204</v>
      </c>
      <c r="H6858" s="22" t="s">
        <v>303</v>
      </c>
      <c r="I6858" s="26">
        <v>43621.418749999997</v>
      </c>
      <c r="J6858" s="28" t="s">
        <v>52</v>
      </c>
      <c r="K6858" s="28" t="s">
        <v>52</v>
      </c>
      <c r="L6858" s="28" t="s">
        <v>52</v>
      </c>
      <c r="M6858" s="28" t="s">
        <v>52</v>
      </c>
      <c r="N6858" s="28" t="s">
        <v>52</v>
      </c>
    </row>
    <row r="6859" spans="1:14" hidden="1" outlineLevel="1" x14ac:dyDescent="0.2">
      <c r="A6859" s="23" t="str">
        <f>HYPERLINK("https://www.spark-marketing.ru/Card/Person/36785", "РЕСПУБЛИКАНСКИЙ ЦЕНТР МАТЕРИАЛЬНОЙ ПОМОЩИ")</f>
        <v>РЕСПУБЛИКАНСКИЙ ЦЕНТР МАТЕРИАЛЬНОЙ ПОМОЩИ</v>
      </c>
      <c r="B6859" s="24" t="s">
        <v>8875</v>
      </c>
      <c r="C6859" s="25">
        <v>1255000</v>
      </c>
      <c r="D6859" s="22" t="s">
        <v>8876</v>
      </c>
      <c r="E6859" s="22" t="s">
        <v>59</v>
      </c>
      <c r="F6859" s="23" t="str">
        <f>HYPERLINK("https://www.spark-marketing.ru/Card/Lot/71102946", "Установка и монтаж системы видеонаблюдения в отделениях ГКУ ""Республиканский центр материальной помощи (компенсационных выплат)""")</f>
        <v>Установка и монтаж системы видеонаблюдения в отделениях ГКУ "Республиканский центр материальной помощи (компенсационных выплат)"</v>
      </c>
      <c r="G6859" s="22" t="s">
        <v>204</v>
      </c>
      <c r="H6859" s="22" t="s">
        <v>303</v>
      </c>
      <c r="I6859" s="26">
        <v>43621.418749999997</v>
      </c>
      <c r="J6859" s="23" t="str">
        <f>HYPERLINK("https://www.spark-marketing.ru/Card/Person/371074", "ООО ""СПМ""")</f>
        <v>ООО "СПМ"</v>
      </c>
      <c r="K6859" s="24" t="s">
        <v>5464</v>
      </c>
      <c r="L6859" s="28" t="s">
        <v>52</v>
      </c>
      <c r="M6859" s="25">
        <v>1229900</v>
      </c>
      <c r="N6859" s="27">
        <v>0.02</v>
      </c>
    </row>
    <row r="6860" spans="1:14" ht="12.75" hidden="1" outlineLevel="1" x14ac:dyDescent="0.2">
      <c r="A6860" s="23" t="str">
        <f>HYPERLINK("https://www.spark-marketing.ru/Card/Person/36785", "РЕСПУБЛИКАНСКИЙ ЦЕНТР МАТЕРИАЛЬНОЙ ПОМОЩИ")</f>
        <v>РЕСПУБЛИКАНСКИЙ ЦЕНТР МАТЕРИАЛЬНОЙ ПОМОЩИ</v>
      </c>
      <c r="B6860" s="24" t="s">
        <v>8875</v>
      </c>
      <c r="C6860" s="25">
        <v>1255000</v>
      </c>
      <c r="D6860" s="22" t="s">
        <v>8876</v>
      </c>
      <c r="E6860" s="22" t="s">
        <v>59</v>
      </c>
      <c r="F6860" s="23" t="str">
        <f>HYPERLINK("https://www.spark-marketing.ru/Card/Lot/71102946", "Установка и монтаж системы видеонаблюдения в отделениях ГКУ ""Республиканский центр материальной помощи (компенсационных выплат)""")</f>
        <v>Установка и монтаж системы видеонаблюдения в отделениях ГКУ "Республиканский центр материальной помощи (компенсационных выплат)"</v>
      </c>
      <c r="G6860" s="22" t="s">
        <v>204</v>
      </c>
      <c r="H6860" s="22" t="s">
        <v>303</v>
      </c>
      <c r="I6860" s="26">
        <v>43621.418749999997</v>
      </c>
      <c r="J6860" s="23" t="str">
        <f>HYPERLINK("https://www.spark-marketing.ru/Card/Person/5874819", "ООО ЧОО ""ФОРСЕК""")</f>
        <v>ООО ЧОО "ФОРСЕК"</v>
      </c>
      <c r="K6860" s="24" t="s">
        <v>8877</v>
      </c>
      <c r="L6860" s="22" t="s">
        <v>10</v>
      </c>
      <c r="M6860" s="25">
        <v>1223625</v>
      </c>
      <c r="N6860" s="27">
        <v>2.5000000000000001E-2</v>
      </c>
    </row>
    <row r="6861" spans="1:14" x14ac:dyDescent="0.15">
      <c r="A6861" s="23" t="str">
        <f>HYPERLINK("https://www.spark-marketing.ru/Card/Person/4778177", "ООО ""ТМК ""ЗАЩИТА""")</f>
        <v>ООО "ТМК "ЗАЩИТА"</v>
      </c>
      <c r="B6861" s="24" t="s">
        <v>1106</v>
      </c>
      <c r="C6861" s="25">
        <v>0</v>
      </c>
      <c r="D6861" s="22" t="s">
        <v>8878</v>
      </c>
      <c r="E6861" s="22" t="s">
        <v>53</v>
      </c>
      <c r="F6861" s="23" t="str">
        <f>HYPERLINK("https://www.spark-marketing.ru/Card/Lot/71128942", "Короб с крышкой с направляющими для установки разделителей TA-GN 60x40 (ДКС 01780)")</f>
        <v>Короб с крышкой с направляющими для установки разделителей TA-GN 60x40 (ДКС 01780)</v>
      </c>
      <c r="G6861" s="22" t="s">
        <v>204</v>
      </c>
      <c r="H6861" s="22" t="s">
        <v>303</v>
      </c>
      <c r="I6861" s="26">
        <v>43621.379282407397</v>
      </c>
      <c r="J6861" s="28" t="s">
        <v>52</v>
      </c>
      <c r="K6861" s="28" t="s">
        <v>52</v>
      </c>
      <c r="L6861" s="28" t="s">
        <v>52</v>
      </c>
      <c r="M6861" s="28" t="s">
        <v>52</v>
      </c>
      <c r="N6861" s="28" t="s">
        <v>52</v>
      </c>
    </row>
    <row r="6862" spans="1:14" x14ac:dyDescent="0.15">
      <c r="A6862" s="23" t="str">
        <f>HYPERLINK("https://www.spark-marketing.ru/Card/Person/4358496", "ООО ""ЛЕНИНГРАДСКАЯ АЭС-АВТО""")</f>
        <v>ООО "ЛЕНИНГРАДСКАЯ АЭС-АВТО"</v>
      </c>
      <c r="B6862" s="24" t="s">
        <v>2163</v>
      </c>
      <c r="C6862" s="25">
        <v>0</v>
      </c>
      <c r="D6862" s="22" t="s">
        <v>8879</v>
      </c>
      <c r="E6862" s="22" t="s">
        <v>53</v>
      </c>
      <c r="F6862" s="23" t="str">
        <f>HYPERLINK("https://www.spark-marketing.ru/Card/Lot/71125303", "мониторинг цен в электронной форме на Оказание комплексных мероприятий по обслуживанию технических средств контроля со средствами криптографической защиты информации (включающих СКЗИ) обеспечивающих непрерывную, некорректируемую регистрацию информаци...")</f>
        <v>мониторинг цен в электронной форме на Оказание комплексных мероприятий по обслуживанию технических средств контроля со средствами криптографической защиты информации (включающих СКЗИ) обеспечивающих непрерывную, некорректируемую регистрацию информаци...</v>
      </c>
      <c r="G6862" s="22" t="s">
        <v>861</v>
      </c>
      <c r="H6862" s="22" t="s">
        <v>1920</v>
      </c>
      <c r="I6862" s="26">
        <v>43621.401550925897</v>
      </c>
      <c r="J6862" s="28" t="s">
        <v>52</v>
      </c>
      <c r="K6862" s="28" t="s">
        <v>52</v>
      </c>
      <c r="L6862" s="28" t="s">
        <v>52</v>
      </c>
      <c r="M6862" s="28" t="s">
        <v>52</v>
      </c>
      <c r="N6862" s="28" t="s">
        <v>52</v>
      </c>
    </row>
    <row r="6863" spans="1:14" x14ac:dyDescent="0.15">
      <c r="A6863" s="23" t="str">
        <f>HYPERLINK("https://www.spark-marketing.ru/Card/Person/4358496", "ООО ""ЛЕНИНГРАДСКАЯ АЭС-АВТО""")</f>
        <v>ООО "ЛЕНИНГРАДСКАЯ АЭС-АВТО"</v>
      </c>
      <c r="B6863" s="24" t="s">
        <v>2163</v>
      </c>
      <c r="C6863" s="28" t="s">
        <v>52</v>
      </c>
      <c r="D6863" s="22" t="s">
        <v>8880</v>
      </c>
      <c r="E6863" s="22" t="s">
        <v>53</v>
      </c>
      <c r="F6863" s="23" t="str">
        <f>HYPERLINK("https://www.spark-marketing.ru/Card/Lot/71107979", "Оказание комплексных мероприятий по обслуживанию технических средств контроля со средствами криптографической защиты информации (включающих СКЗИ) обеспечивающих непрерывную, некорректируемую регистрацию информации о скорости и маршруте движения транс...")</f>
        <v>Оказание комплексных мероприятий по обслуживанию технических средств контроля со средствами криптографической защиты информации (включающих СКЗИ) обеспечивающих непрерывную, некорректируемую регистрацию информации о скорости и маршруте движения транс...</v>
      </c>
      <c r="G6863" s="22" t="s">
        <v>861</v>
      </c>
      <c r="H6863" s="22" t="s">
        <v>1920</v>
      </c>
      <c r="I6863" s="26">
        <v>43621.401527777802</v>
      </c>
      <c r="J6863" s="28" t="s">
        <v>52</v>
      </c>
      <c r="K6863" s="28" t="s">
        <v>52</v>
      </c>
      <c r="L6863" s="28" t="s">
        <v>52</v>
      </c>
      <c r="M6863" s="28" t="s">
        <v>52</v>
      </c>
      <c r="N6863" s="28" t="s">
        <v>52</v>
      </c>
    </row>
    <row r="6864" spans="1:14" x14ac:dyDescent="0.15">
      <c r="A6864" s="23" t="str">
        <f>HYPERLINK("https://www.spark-marketing.ru/Card/Person/2137", "ОТДЕЛ МВД РОССИИ ПО КРАСНОКАМСКОМУ ГОРОДСКОМУ ОКРУГУ")</f>
        <v>ОТДЕЛ МВД РОССИИ ПО КРАСНОКАМСКОМУ ГОРОДСКОМУ ОКРУГУ</v>
      </c>
      <c r="B6864" s="24" t="s">
        <v>8881</v>
      </c>
      <c r="C6864" s="25">
        <v>83886</v>
      </c>
      <c r="D6864" s="22" t="s">
        <v>8882</v>
      </c>
      <c r="E6864" s="22" t="s">
        <v>53</v>
      </c>
      <c r="F6864" s="23" t="str">
        <f>HYPERLINK("https://www.spark-marketing.ru/Card/Lot/71100542", "Услуги по круглосуточной охране объектов")</f>
        <v>Услуги по круглосуточной охране объектов</v>
      </c>
      <c r="G6864" s="22" t="s">
        <v>391</v>
      </c>
      <c r="H6864" s="22" t="s">
        <v>8883</v>
      </c>
      <c r="I6864" s="26">
        <v>43621.391354166699</v>
      </c>
      <c r="J6864" s="28" t="s">
        <v>52</v>
      </c>
      <c r="K6864" s="28" t="s">
        <v>52</v>
      </c>
      <c r="L6864" s="28" t="s">
        <v>52</v>
      </c>
      <c r="M6864" s="28" t="s">
        <v>52</v>
      </c>
      <c r="N6864" s="28" t="s">
        <v>52</v>
      </c>
    </row>
    <row r="6865" spans="1:14" x14ac:dyDescent="0.15">
      <c r="A6865" s="23" t="str">
        <f>HYPERLINK("https://www.spark-marketing.ru/Card/Person/4358496", "ООО ""ЛЕНИНГРАДСКАЯ АЭС-АВТО""")</f>
        <v>ООО "ЛЕНИНГРАДСКАЯ АЭС-АВТО"</v>
      </c>
      <c r="B6865" s="24" t="s">
        <v>2163</v>
      </c>
      <c r="C6865" s="28" t="s">
        <v>52</v>
      </c>
      <c r="D6865" s="22" t="s">
        <v>8884</v>
      </c>
      <c r="E6865" s="22" t="s">
        <v>8885</v>
      </c>
      <c r="F6865" s="23" t="str">
        <f>HYPERLINK("https://www.spark-marketing.ru/Card/Lot/71102567", "Оказание комплексных мероприятий по обслуживанию технических средств контроля со средствами криптографической защиты информации (включающих СКЗИ) обеспечивающих непрерывную, некорректируемую регистрацию информации о скорости и маршруте движения транс...")</f>
        <v>Оказание комплексных мероприятий по обслуживанию технических средств контроля со средствами криптографической защиты информации (включающих СКЗИ) обеспечивающих непрерывную, некорректируемую регистрацию информации о скорости и маршруте движения транс...</v>
      </c>
      <c r="G6865" s="22" t="s">
        <v>861</v>
      </c>
      <c r="H6865" s="22" t="s">
        <v>1920</v>
      </c>
      <c r="I6865" s="26">
        <v>43621.401620370401</v>
      </c>
      <c r="J6865" s="28" t="s">
        <v>52</v>
      </c>
      <c r="K6865" s="28" t="s">
        <v>52</v>
      </c>
      <c r="L6865" s="28" t="s">
        <v>52</v>
      </c>
      <c r="M6865" s="28" t="s">
        <v>52</v>
      </c>
      <c r="N6865" s="28" t="s">
        <v>52</v>
      </c>
    </row>
    <row r="6866" spans="1:14" x14ac:dyDescent="0.15">
      <c r="A6866" s="23" t="str">
        <f>HYPERLINK("https://www.spark-marketing.ru/Card/Person/31357", "ФКУ ИК-6 УФСИН РОССИИ ПО РЕСПУБЛИКЕ МАРИЙ ЭЛ")</f>
        <v>ФКУ ИК-6 УФСИН РОССИИ ПО РЕСПУБЛИКЕ МАРИЙ ЭЛ</v>
      </c>
      <c r="B6866" s="24" t="s">
        <v>5077</v>
      </c>
      <c r="C6866" s="25">
        <v>22975</v>
      </c>
      <c r="D6866" s="22" t="s">
        <v>8886</v>
      </c>
      <c r="E6866" s="22" t="s">
        <v>8887</v>
      </c>
      <c r="F6866" s="23" t="str">
        <f>HYPERLINK("https://www.spark-marketing.ru/Card/Lot/71113160", "Поставка комплектующих для проведения ТО ТСОН")</f>
        <v>Поставка комплектующих для проведения ТО ТСОН</v>
      </c>
      <c r="G6866" s="22" t="s">
        <v>2514</v>
      </c>
      <c r="H6866" s="22" t="s">
        <v>4189</v>
      </c>
      <c r="I6866" s="26">
        <v>43621.394398148099</v>
      </c>
      <c r="J6866" s="28" t="s">
        <v>52</v>
      </c>
      <c r="K6866" s="28" t="s">
        <v>52</v>
      </c>
      <c r="L6866" s="28" t="s">
        <v>52</v>
      </c>
      <c r="M6866" s="28" t="s">
        <v>52</v>
      </c>
      <c r="N6866" s="28" t="s">
        <v>52</v>
      </c>
    </row>
    <row r="6867" spans="1:14" x14ac:dyDescent="0.15">
      <c r="A6867" s="23" t="str">
        <f>HYPERLINK("https://www.spark-marketing.ru/Card/Person/14186", "ФКУ ""ЦХИСО МВД ПО РЕСПУБЛИКЕ БУРЯТИЯ""")</f>
        <v>ФКУ "ЦХИСО МВД ПО РЕСПУБЛИКЕ БУРЯТИЯ"</v>
      </c>
      <c r="B6867" s="24" t="s">
        <v>5758</v>
      </c>
      <c r="C6867" s="25">
        <v>72000</v>
      </c>
      <c r="D6867" s="22" t="s">
        <v>8888</v>
      </c>
      <c r="E6867" s="22" t="s">
        <v>53</v>
      </c>
      <c r="F6867" s="23" t="str">
        <f>HYPERLINK("https://www.spark-marketing.ru/Card/Lot/71096160", "Оказание услуг по охране объекта")</f>
        <v>Оказание услуг по охране объекта</v>
      </c>
      <c r="G6867" s="22" t="s">
        <v>354</v>
      </c>
      <c r="H6867" s="22" t="s">
        <v>355</v>
      </c>
      <c r="I6867" s="26">
        <v>43621.2092708333</v>
      </c>
      <c r="J6867" s="28" t="s">
        <v>52</v>
      </c>
      <c r="K6867" s="28" t="s">
        <v>52</v>
      </c>
      <c r="L6867" s="28" t="s">
        <v>52</v>
      </c>
      <c r="M6867" s="28" t="s">
        <v>52</v>
      </c>
      <c r="N6867" s="28" t="s">
        <v>52</v>
      </c>
    </row>
    <row r="6868" spans="1:14" x14ac:dyDescent="0.15">
      <c r="A6868" s="23" t="str">
        <f>HYPERLINK("https://www.spark-marketing.ru/Card/Person/1752728", "ООО ""СЕМЬЯ""")</f>
        <v>ООО "СЕМЬЯ"</v>
      </c>
      <c r="B6868" s="24" t="s">
        <v>8260</v>
      </c>
      <c r="C6868" s="28" t="s">
        <v>52</v>
      </c>
      <c r="D6868" s="22" t="s">
        <v>8889</v>
      </c>
      <c r="E6868" s="22" t="s">
        <v>53</v>
      </c>
      <c r="F6868" s="23" t="str">
        <f>HYPERLINK("https://www.spark-marketing.ru/Card/Lot/71113862", "Услуга облачного видеонаблюдения в магазинах ТС Семья (id381645)")</f>
        <v>Услуга облачного видеонаблюдения в магазинах ТС Семья (id381645)</v>
      </c>
      <c r="G6868" s="22" t="s">
        <v>391</v>
      </c>
      <c r="H6868" s="22" t="s">
        <v>392</v>
      </c>
      <c r="I6868" s="26">
        <v>43621</v>
      </c>
      <c r="J6868" s="28" t="s">
        <v>52</v>
      </c>
      <c r="K6868" s="28" t="s">
        <v>52</v>
      </c>
      <c r="L6868" s="28" t="s">
        <v>52</v>
      </c>
      <c r="M6868" s="28" t="s">
        <v>52</v>
      </c>
      <c r="N6868" s="28" t="s">
        <v>52</v>
      </c>
    </row>
    <row r="6869" spans="1:14" x14ac:dyDescent="0.15">
      <c r="A6869" s="23" t="str">
        <f>HYPERLINK("https://www.spark-marketing.ru/Card/Person/6450322", "ЗАКАЗЧИК РП БЕЛАРУСЬ")</f>
        <v>ЗАКАЗЧИК РП БЕЛАРУСЬ</v>
      </c>
      <c r="B6869" s="28" t="s">
        <v>52</v>
      </c>
      <c r="C6869" s="25">
        <v>232574.986</v>
      </c>
      <c r="D6869" s="22" t="s">
        <v>8890</v>
      </c>
      <c r="E6869" s="22" t="s">
        <v>53</v>
      </c>
      <c r="F6869" s="23" t="str">
        <f>HYPERLINK("https://www.spark-marketing.ru/Card/Lot/71118811", "Услуги по светотехническому обеспечению и видеооформлению")</f>
        <v>Услуги по светотехническому обеспечению и видеооформлению</v>
      </c>
      <c r="G6869" s="22" t="s">
        <v>52</v>
      </c>
      <c r="H6869" s="22" t="s">
        <v>52</v>
      </c>
      <c r="I6869" s="26">
        <v>43621</v>
      </c>
      <c r="J6869" s="28" t="s">
        <v>52</v>
      </c>
      <c r="K6869" s="28" t="s">
        <v>52</v>
      </c>
      <c r="L6869" s="28" t="s">
        <v>52</v>
      </c>
      <c r="M6869" s="28" t="s">
        <v>52</v>
      </c>
      <c r="N6869" s="28" t="s">
        <v>52</v>
      </c>
    </row>
    <row r="6870" spans="1:14" ht="12.75" x14ac:dyDescent="0.2">
      <c r="A6870" s="23" t="str">
        <f>HYPERLINK("https://www.spark-marketing.ru/Card/Person/9633", "МИНСТРОЙ ИНГУШЕТИИ")</f>
        <v>МИНСТРОЙ ИНГУШЕТИИ</v>
      </c>
      <c r="B6870" s="24" t="s">
        <v>646</v>
      </c>
      <c r="C6870" s="25">
        <v>3595620</v>
      </c>
      <c r="D6870" s="22" t="s">
        <v>8891</v>
      </c>
      <c r="E6870" s="22" t="s">
        <v>218</v>
      </c>
      <c r="F6870" s="23" t="str">
        <f>HYPERLINK("https://www.spark-marketing.ru/Card/Lot/71095204", "Оказание услуг по строительному контролю и техническому сопровождению работ по объекту «Строительство детского сада на 220 мест в с.п. Насыр-Корт Республики Ингушетия»")</f>
        <v>Оказание услуг по строительному контролю и техническому сопровождению работ по объекту «Строительство детского сада на 220 мест в с.п. Насыр-Корт Республики Ингушетия»</v>
      </c>
      <c r="G6870" s="22" t="s">
        <v>648</v>
      </c>
      <c r="H6870" s="22" t="s">
        <v>648</v>
      </c>
      <c r="I6870" s="26">
        <v>43620.860416666699</v>
      </c>
      <c r="J6870" s="23" t="str">
        <f>HYPERLINK("https://www.spark-marketing.ru/Card/Person/259250", "ГУП""УКС РИ""")</f>
        <v>ГУП"УКС РИ"</v>
      </c>
      <c r="K6870" s="24" t="s">
        <v>7151</v>
      </c>
      <c r="L6870" s="22" t="s">
        <v>10</v>
      </c>
      <c r="M6870" s="25">
        <v>3595620</v>
      </c>
      <c r="N6870" s="27">
        <v>0</v>
      </c>
    </row>
    <row r="6871" spans="1:14" ht="12.75" x14ac:dyDescent="0.2">
      <c r="A6871" s="23" t="str">
        <f>HYPERLINK("https://www.spark-marketing.ru/Card/Person/9633", "МИНСТРОЙ ИНГУШЕТИИ")</f>
        <v>МИНСТРОЙ ИНГУШЕТИИ</v>
      </c>
      <c r="B6871" s="24" t="s">
        <v>646</v>
      </c>
      <c r="C6871" s="25">
        <v>9754580</v>
      </c>
      <c r="D6871" s="22" t="s">
        <v>8892</v>
      </c>
      <c r="E6871" s="22" t="s">
        <v>218</v>
      </c>
      <c r="F6871" s="23" t="str">
        <f>HYPERLINK("https://www.spark-marketing.ru/Card/Lot/71094549", "Оказание услуг по строительному контролю и техническому сопровождению работ по объекту «Строительство школы на 720 мест в с.п. Плиево»")</f>
        <v>Оказание услуг по строительному контролю и техническому сопровождению работ по объекту «Строительство школы на 720 мест в с.п. Плиево»</v>
      </c>
      <c r="G6871" s="22" t="s">
        <v>648</v>
      </c>
      <c r="H6871" s="22" t="s">
        <v>648</v>
      </c>
      <c r="I6871" s="26">
        <v>43620.861111111102</v>
      </c>
      <c r="J6871" s="23" t="str">
        <f>HYPERLINK("https://www.spark-marketing.ru/Card/Person/259250", "ГУП""УКС РИ""")</f>
        <v>ГУП"УКС РИ"</v>
      </c>
      <c r="K6871" s="24" t="s">
        <v>7151</v>
      </c>
      <c r="L6871" s="22" t="s">
        <v>10</v>
      </c>
      <c r="M6871" s="25">
        <v>9754580</v>
      </c>
      <c r="N6871" s="27">
        <v>0</v>
      </c>
    </row>
    <row r="6872" spans="1:14" ht="12.75" x14ac:dyDescent="0.2">
      <c r="A6872" s="23" t="str">
        <f>HYPERLINK("https://www.spark-marketing.ru/Card/Person/9633", "МИНСТРОЙ ИНГУШЕТИИ")</f>
        <v>МИНСТРОЙ ИНГУШЕТИИ</v>
      </c>
      <c r="B6872" s="24" t="s">
        <v>646</v>
      </c>
      <c r="C6872" s="25">
        <v>3640080</v>
      </c>
      <c r="D6872" s="22" t="s">
        <v>8893</v>
      </c>
      <c r="E6872" s="22" t="s">
        <v>218</v>
      </c>
      <c r="F6872" s="23" t="str">
        <f>HYPERLINK("https://www.spark-marketing.ru/Card/Lot/71095203", "Оказание услуг по строительному контролю и техническому сопровождению работ по объекту «Строительство детского сада на 220 мест в с. п. Плиево»")</f>
        <v>Оказание услуг по строительному контролю и техническому сопровождению работ по объекту «Строительство детского сада на 220 мест в с. п. Плиево»</v>
      </c>
      <c r="G6872" s="22" t="s">
        <v>648</v>
      </c>
      <c r="H6872" s="22" t="s">
        <v>648</v>
      </c>
      <c r="I6872" s="26">
        <v>43620.861111111102</v>
      </c>
      <c r="J6872" s="23" t="str">
        <f>HYPERLINK("https://www.spark-marketing.ru/Card/Person/259250", "ГУП""УКС РИ""")</f>
        <v>ГУП"УКС РИ"</v>
      </c>
      <c r="K6872" s="24" t="s">
        <v>7151</v>
      </c>
      <c r="L6872" s="22" t="s">
        <v>10</v>
      </c>
      <c r="M6872" s="25">
        <v>3640080</v>
      </c>
      <c r="N6872" s="27">
        <v>0</v>
      </c>
    </row>
    <row r="6873" spans="1:14" ht="12.75" x14ac:dyDescent="0.2">
      <c r="A6873" s="23" t="str">
        <f>HYPERLINK("https://www.spark-marketing.ru/Card/Person/17985", "ОГУ ""УГОЧСПБ ТО""")</f>
        <v>ОГУ "УГОЧСПБ ТО"</v>
      </c>
      <c r="B6873" s="24" t="s">
        <v>8894</v>
      </c>
      <c r="C6873" s="25">
        <v>154000</v>
      </c>
      <c r="D6873" s="22" t="s">
        <v>8895</v>
      </c>
      <c r="E6873" s="22" t="s">
        <v>59</v>
      </c>
      <c r="F6873" s="23" t="str">
        <f>HYPERLINK("https://www.spark-marketing.ru/Card/Lot/71084868", "Оказание услуг по охране объектов")</f>
        <v>Оказание услуг по охране объектов</v>
      </c>
      <c r="G6873" s="22" t="s">
        <v>150</v>
      </c>
      <c r="H6873" s="22" t="s">
        <v>1656</v>
      </c>
      <c r="I6873" s="26">
        <v>43620.747222222199</v>
      </c>
      <c r="J6873" s="23" t="str">
        <f>HYPERLINK("https://www.spark-marketing.ru/Card/Person/849347", "ООО ""ЧОО ""ПРАВОПОРЯДОК-Т""")</f>
        <v>ООО "ЧОО "ПРАВОПОРЯДОК-Т"</v>
      </c>
      <c r="K6873" s="24" t="s">
        <v>8896</v>
      </c>
      <c r="L6873" s="22" t="s">
        <v>10</v>
      </c>
      <c r="M6873" s="25">
        <v>149000</v>
      </c>
      <c r="N6873" s="27">
        <v>3.2467532467532464E-2</v>
      </c>
    </row>
    <row r="6874" spans="1:14" x14ac:dyDescent="0.15">
      <c r="A6874" s="23" t="str">
        <f>HYPERLINK("https://www.spark-marketing.ru/Card/Person/1762516", "ООО ""ПРЭХ ГХК""")</f>
        <v>ООО "ПРЭХ ГХК"</v>
      </c>
      <c r="B6874" s="24" t="s">
        <v>6739</v>
      </c>
      <c r="C6874" s="25">
        <v>169725.6</v>
      </c>
      <c r="D6874" s="22" t="s">
        <v>8897</v>
      </c>
      <c r="E6874" s="22" t="s">
        <v>8898</v>
      </c>
      <c r="F6874" s="23" t="str">
        <f>HYPERLINK("https://www.spark-marketing.ru/Card/Lot/71078057", "Оказание услуг по обеспечению пультовой охраны")</f>
        <v>Оказание услуг по обеспечению пультовой охраны</v>
      </c>
      <c r="G6874" s="22" t="s">
        <v>640</v>
      </c>
      <c r="H6874" s="22" t="s">
        <v>4700</v>
      </c>
      <c r="I6874" s="26">
        <v>43620.673831018503</v>
      </c>
      <c r="J6874" s="28" t="s">
        <v>52</v>
      </c>
      <c r="K6874" s="28" t="s">
        <v>52</v>
      </c>
      <c r="L6874" s="28" t="s">
        <v>52</v>
      </c>
      <c r="M6874" s="28" t="s">
        <v>52</v>
      </c>
      <c r="N6874" s="28" t="s">
        <v>52</v>
      </c>
    </row>
    <row r="6875" spans="1:14" x14ac:dyDescent="0.15">
      <c r="A6875" s="23" t="str">
        <f>HYPERLINK("https://www.spark-marketing.ru/Card/Person/15012", "МЕЖРАЙОННАЯ ИФНС РОССИИ № 10 ПО ВЛАДИМИРСКОЙ ОБЛАСТИ")</f>
        <v>МЕЖРАЙОННАЯ ИФНС РОССИИ № 10 ПО ВЛАДИМИРСКОЙ ОБЛАСТИ</v>
      </c>
      <c r="B6875" s="24" t="s">
        <v>8899</v>
      </c>
      <c r="C6875" s="25">
        <v>17274</v>
      </c>
      <c r="D6875" s="22" t="s">
        <v>8900</v>
      </c>
      <c r="E6875" s="22" t="s">
        <v>84</v>
      </c>
      <c r="F6875" s="23" t="str">
        <f>HYPERLINK("https://www.spark-marketing.ru/Card/Lot/71088682", "Монтаж, установка видеонаблюдения, 1 шт")</f>
        <v>Монтаж, установка видеонаблюдения, 1 шт</v>
      </c>
      <c r="G6875" s="22" t="s">
        <v>145</v>
      </c>
      <c r="H6875" s="22" t="s">
        <v>146</v>
      </c>
      <c r="I6875" s="26">
        <v>43620.705173611103</v>
      </c>
      <c r="J6875" s="28" t="s">
        <v>52</v>
      </c>
      <c r="K6875" s="28" t="s">
        <v>52</v>
      </c>
      <c r="L6875" s="28" t="s">
        <v>52</v>
      </c>
      <c r="M6875" s="28" t="s">
        <v>52</v>
      </c>
      <c r="N6875" s="28" t="s">
        <v>52</v>
      </c>
    </row>
    <row r="6876" spans="1:14" x14ac:dyDescent="0.2">
      <c r="A6876" s="23" t="str">
        <f>HYPERLINK("https://www.spark-marketing.ru/Card/Person/43332", "МУП ""АВТОДОР""")</f>
        <v>МУП "АВТОДОР"</v>
      </c>
      <c r="B6876" s="24" t="s">
        <v>8901</v>
      </c>
      <c r="C6876" s="25">
        <v>560900</v>
      </c>
      <c r="D6876" s="22" t="s">
        <v>8902</v>
      </c>
      <c r="E6876" s="22" t="s">
        <v>8903</v>
      </c>
      <c r="F6876" s="23" t="str">
        <f>HYPERLINK("https://www.spark-marketing.ru/Card/Lot/71090212", "Оказание услуг по поставке, установке и обслуживанию системы видеомониторинга на дорожно-строительную технику")</f>
        <v>Оказание услуг по поставке, установке и обслуживанию системы видеомониторинга на дорожно-строительную технику</v>
      </c>
      <c r="G6876" s="22" t="s">
        <v>176</v>
      </c>
      <c r="H6876" s="22" t="s">
        <v>176</v>
      </c>
      <c r="I6876" s="26">
        <v>43620.707835648202</v>
      </c>
      <c r="J6876" s="23" t="str">
        <f>HYPERLINK("https://www.spark-marketing.ru/Card/Person/6480558", "ООО «МОНТРАНС»")</f>
        <v>ООО «МОНТРАНС»</v>
      </c>
      <c r="K6876" s="24" t="s">
        <v>8904</v>
      </c>
      <c r="L6876" s="28" t="s">
        <v>52</v>
      </c>
      <c r="M6876" s="25">
        <v>467416.67</v>
      </c>
      <c r="N6876" s="27">
        <v>0.16666666072383668</v>
      </c>
    </row>
    <row r="6877" spans="1:14" x14ac:dyDescent="0.15">
      <c r="A6877" s="23" t="str">
        <f>HYPERLINK("https://www.spark-marketing.ru/Card/Person/2332", "ГУ-ОПФ РФ ПО РСО-АЛАНИЯ")</f>
        <v>ГУ-ОПФ РФ ПО РСО-АЛАНИЯ</v>
      </c>
      <c r="B6877" s="24" t="s">
        <v>8905</v>
      </c>
      <c r="C6877" s="25">
        <v>772200</v>
      </c>
      <c r="D6877" s="22" t="s">
        <v>8906</v>
      </c>
      <c r="E6877" s="22" t="s">
        <v>349</v>
      </c>
      <c r="F6877" s="23" t="str">
        <f>HYPERLINK("https://www.spark-marketing.ru/Card/Lot/71091216", "Предоставление услуг по техническому обслуживанию комплексной интегрированной системы видеомониторинга внештатных ситуаций в административных зданиях Отделения ПФР по РСО-Алания и его территориальных подразделений")</f>
        <v>Предоставление услуг по техническому обслуживанию комплексной интегрированной системы видеомониторинга внештатных ситуаций в административных зданиях Отделения ПФР по РСО-Алания и его территориальных подразделений</v>
      </c>
      <c r="G6877" s="22" t="s">
        <v>833</v>
      </c>
      <c r="H6877" s="22" t="s">
        <v>8907</v>
      </c>
      <c r="I6877" s="26">
        <v>43620.675000000003</v>
      </c>
      <c r="J6877" s="28" t="s">
        <v>52</v>
      </c>
      <c r="K6877" s="28" t="s">
        <v>52</v>
      </c>
      <c r="L6877" s="28" t="s">
        <v>52</v>
      </c>
      <c r="M6877" s="28" t="s">
        <v>52</v>
      </c>
      <c r="N6877" s="28" t="s">
        <v>52</v>
      </c>
    </row>
    <row r="6878" spans="1:14" hidden="1" outlineLevel="1" x14ac:dyDescent="0.2">
      <c r="A6878" s="23" t="str">
        <f>HYPERLINK("https://www.spark-marketing.ru/Card/Person/2332", "ГУ-ОПФ РФ ПО РСО-АЛАНИЯ")</f>
        <v>ГУ-ОПФ РФ ПО РСО-АЛАНИЯ</v>
      </c>
      <c r="B6878" s="24" t="s">
        <v>8905</v>
      </c>
      <c r="C6878" s="25">
        <v>772200</v>
      </c>
      <c r="D6878" s="22" t="s">
        <v>8906</v>
      </c>
      <c r="E6878" s="22" t="s">
        <v>349</v>
      </c>
      <c r="F6878" s="23" t="str">
        <f>HYPERLINK("https://www.spark-marketing.ru/Card/Lot/71091216", "Предоставление услуг по техническому обслуживанию комплексной интегрированной системы видеомониторинга внештатных ситуаций в административных зданиях Отделения ПФР по РСО-Алания и его территориальных подразделений")</f>
        <v>Предоставление услуг по техническому обслуживанию комплексной интегрированной системы видеомониторинга внештатных ситуаций в административных зданиях Отделения ПФР по РСО-Алания и его территориальных подразделений</v>
      </c>
      <c r="G6878" s="22" t="s">
        <v>833</v>
      </c>
      <c r="H6878" s="22" t="s">
        <v>8907</v>
      </c>
      <c r="I6878" s="26">
        <v>43620.675000000003</v>
      </c>
      <c r="J6878" s="23" t="str">
        <f>HYPERLINK("https://www.spark-marketing.ru/Card/Person/6375070", "Маргиев Анатолий Викторович")</f>
        <v>Маргиев Анатолий Викторович</v>
      </c>
      <c r="K6878" s="24" t="s">
        <v>8908</v>
      </c>
      <c r="L6878" s="28" t="s">
        <v>52</v>
      </c>
      <c r="M6878" s="25">
        <v>310000</v>
      </c>
      <c r="N6878" s="27">
        <v>0.59854959854959855</v>
      </c>
    </row>
    <row r="6879" spans="1:14" ht="12.75" hidden="1" outlineLevel="1" x14ac:dyDescent="0.2">
      <c r="A6879" s="23" t="str">
        <f>HYPERLINK("https://www.spark-marketing.ru/Card/Person/2332", "ГУ-ОПФ РФ ПО РСО-АЛАНИЯ")</f>
        <v>ГУ-ОПФ РФ ПО РСО-АЛАНИЯ</v>
      </c>
      <c r="B6879" s="24" t="s">
        <v>8905</v>
      </c>
      <c r="C6879" s="25">
        <v>772200</v>
      </c>
      <c r="D6879" s="22" t="s">
        <v>8906</v>
      </c>
      <c r="E6879" s="22" t="s">
        <v>349</v>
      </c>
      <c r="F6879" s="23" t="str">
        <f>HYPERLINK("https://www.spark-marketing.ru/Card/Lot/71091216", "Предоставление услуг по техническому обслуживанию комплексной интегрированной системы видеомониторинга внештатных ситуаций в административных зданиях Отделения ПФР по РСО-Алания и его территориальных подразделений")</f>
        <v>Предоставление услуг по техническому обслуживанию комплексной интегрированной системы видеомониторинга внештатных ситуаций в административных зданиях Отделения ПФР по РСО-Алания и его территориальных подразделений</v>
      </c>
      <c r="G6879" s="22" t="s">
        <v>833</v>
      </c>
      <c r="H6879" s="22" t="s">
        <v>8907</v>
      </c>
      <c r="I6879" s="26">
        <v>43620.675000000003</v>
      </c>
      <c r="J6879" s="23" t="str">
        <f>HYPERLINK("https://www.spark-marketing.ru/Card/Person/117148", "ООО ""ВЕКТОР-ЮГ""")</f>
        <v>ООО "ВЕКТОР-ЮГ"</v>
      </c>
      <c r="K6879" s="24" t="s">
        <v>8909</v>
      </c>
      <c r="L6879" s="22" t="s">
        <v>10</v>
      </c>
      <c r="M6879" s="25">
        <v>305000</v>
      </c>
      <c r="N6879" s="27">
        <v>0.60502460502460498</v>
      </c>
    </row>
    <row r="6880" spans="1:14" hidden="1" outlineLevel="1" x14ac:dyDescent="0.2">
      <c r="A6880" s="23" t="str">
        <f>HYPERLINK("https://www.spark-marketing.ru/Card/Person/2332", "ГУ-ОПФ РФ ПО РСО-АЛАНИЯ")</f>
        <v>ГУ-ОПФ РФ ПО РСО-АЛАНИЯ</v>
      </c>
      <c r="B6880" s="24" t="s">
        <v>8905</v>
      </c>
      <c r="C6880" s="25">
        <v>772200</v>
      </c>
      <c r="D6880" s="22" t="s">
        <v>8906</v>
      </c>
      <c r="E6880" s="22" t="s">
        <v>349</v>
      </c>
      <c r="F6880" s="23" t="str">
        <f>HYPERLINK("https://www.spark-marketing.ru/Card/Lot/71091216", "Предоставление услуг по техническому обслуживанию комплексной интегрированной системы видеомониторинга внештатных ситуаций в административных зданиях Отделения ПФР по РСО-Алания и его территориальных подразделений")</f>
        <v>Предоставление услуг по техническому обслуживанию комплексной интегрированной системы видеомониторинга внештатных ситуаций в административных зданиях Отделения ПФР по РСО-Алания и его территориальных подразделений</v>
      </c>
      <c r="G6880" s="22" t="s">
        <v>833</v>
      </c>
      <c r="H6880" s="22" t="s">
        <v>8907</v>
      </c>
      <c r="I6880" s="26">
        <v>43620.675000000003</v>
      </c>
      <c r="J6880" s="23" t="str">
        <f>HYPERLINK("https://www.spark-marketing.ru/Card/Person/369820", "ООО ""КАРЕ""")</f>
        <v>ООО "КАРЕ"</v>
      </c>
      <c r="K6880" s="24" t="s">
        <v>8910</v>
      </c>
      <c r="L6880" s="28" t="s">
        <v>52</v>
      </c>
      <c r="M6880" s="25">
        <v>500000</v>
      </c>
      <c r="N6880" s="27">
        <v>0.35249935249935249</v>
      </c>
    </row>
    <row r="6881" spans="1:14" hidden="1" outlineLevel="1" x14ac:dyDescent="0.2">
      <c r="A6881" s="23" t="str">
        <f>HYPERLINK("https://www.spark-marketing.ru/Card/Person/2332", "ГУ-ОПФ РФ ПО РСО-АЛАНИЯ")</f>
        <v>ГУ-ОПФ РФ ПО РСО-АЛАНИЯ</v>
      </c>
      <c r="B6881" s="24" t="s">
        <v>8905</v>
      </c>
      <c r="C6881" s="25">
        <v>772200</v>
      </c>
      <c r="D6881" s="22" t="s">
        <v>8906</v>
      </c>
      <c r="E6881" s="22" t="s">
        <v>349</v>
      </c>
      <c r="F6881" s="23" t="str">
        <f>HYPERLINK("https://www.spark-marketing.ru/Card/Lot/71091216", "Предоставление услуг по техническому обслуживанию комплексной интегрированной системы видеомониторинга внештатных ситуаций в административных зданиях Отделения ПФР по РСО-Алания и его территориальных подразделений")</f>
        <v>Предоставление услуг по техническому обслуживанию комплексной интегрированной системы видеомониторинга внештатных ситуаций в административных зданиях Отделения ПФР по РСО-Алания и его территориальных подразделений</v>
      </c>
      <c r="G6881" s="22" t="s">
        <v>833</v>
      </c>
      <c r="H6881" s="22" t="s">
        <v>8907</v>
      </c>
      <c r="I6881" s="26">
        <v>43620.675000000003</v>
      </c>
      <c r="J6881" s="23" t="str">
        <f>HYPERLINK("https://www.spark-marketing.ru/Card/Person/1131589", "ООО ""С.О.В.А.""")</f>
        <v>ООО "С.О.В.А."</v>
      </c>
      <c r="K6881" s="24" t="s">
        <v>8911</v>
      </c>
      <c r="L6881" s="28" t="s">
        <v>52</v>
      </c>
      <c r="M6881" s="25">
        <v>405000</v>
      </c>
      <c r="N6881" s="27">
        <v>0.47552447552447552</v>
      </c>
    </row>
    <row r="6882" spans="1:14" x14ac:dyDescent="0.15">
      <c r="A6882" s="23" t="str">
        <f>HYPERLINK("https://www.spark-marketing.ru/Card/Person/1423", "ФГБУ ""СЛО ""РОССИЯ""")</f>
        <v>ФГБУ "СЛО "РОССИЯ"</v>
      </c>
      <c r="B6882" s="24" t="s">
        <v>6019</v>
      </c>
      <c r="C6882" s="25">
        <v>2060820</v>
      </c>
      <c r="D6882" s="22" t="s">
        <v>8912</v>
      </c>
      <c r="E6882" s="22" t="s">
        <v>491</v>
      </c>
      <c r="F6882" s="23" t="str">
        <f>HYPERLINK("https://www.spark-marketing.ru/Card/Lot/71092887", "Оказание комплекса услуг по организации технологических процессов обеспечения транспортной безопасности объектов транспортной инфраструктуры и транспортных средств воздушного транспорта")</f>
        <v>Оказание комплекса услуг по организации технологических процессов обеспечения транспортной безопасности объектов транспортной инфраструктуры и транспортных средств воздушного транспорта</v>
      </c>
      <c r="G6882" s="22" t="s">
        <v>55</v>
      </c>
      <c r="H6882" s="22" t="s">
        <v>55</v>
      </c>
      <c r="I6882" s="26">
        <v>43620.686111111099</v>
      </c>
      <c r="J6882" s="28" t="s">
        <v>52</v>
      </c>
      <c r="K6882" s="28" t="s">
        <v>52</v>
      </c>
      <c r="L6882" s="28" t="s">
        <v>52</v>
      </c>
      <c r="M6882" s="28" t="s">
        <v>52</v>
      </c>
      <c r="N6882" s="28" t="s">
        <v>52</v>
      </c>
    </row>
    <row r="6883" spans="1:14" ht="12.75" hidden="1" outlineLevel="1" x14ac:dyDescent="0.2">
      <c r="A6883" s="23" t="str">
        <f>HYPERLINK("https://www.spark-marketing.ru/Card/Person/1423", "ФГБУ ""СЛО ""РОССИЯ""")</f>
        <v>ФГБУ "СЛО "РОССИЯ"</v>
      </c>
      <c r="B6883" s="24" t="s">
        <v>6019</v>
      </c>
      <c r="C6883" s="25">
        <v>2060820</v>
      </c>
      <c r="D6883" s="22" t="s">
        <v>8912</v>
      </c>
      <c r="E6883" s="22" t="s">
        <v>491</v>
      </c>
      <c r="F6883" s="23" t="str">
        <f>HYPERLINK("https://www.spark-marketing.ru/Card/Lot/71092887", "Оказание комплекса услуг по организации технологических процессов обеспечения транспортной безопасности объектов транспортной инфраструктуры и транспортных средств воздушного транспорта")</f>
        <v>Оказание комплекса услуг по организации технологических процессов обеспечения транспортной безопасности объектов транспортной инфраструктуры и транспортных средств воздушного транспорта</v>
      </c>
      <c r="G6883" s="22" t="s">
        <v>55</v>
      </c>
      <c r="H6883" s="22" t="s">
        <v>55</v>
      </c>
      <c r="I6883" s="26">
        <v>43620.686111111099</v>
      </c>
      <c r="J6883" s="23" t="str">
        <f>HYPERLINK("https://www.spark-marketing.ru/Card/Person/1592200", "ООО ""ГЕРЕОН-ТБ""")</f>
        <v>ООО "ГЕРЕОН-ТБ"</v>
      </c>
      <c r="K6883" s="24" t="s">
        <v>8913</v>
      </c>
      <c r="L6883" s="22" t="s">
        <v>10</v>
      </c>
      <c r="M6883" s="25">
        <v>1607439.6</v>
      </c>
      <c r="N6883" s="27">
        <v>0.22</v>
      </c>
    </row>
    <row r="6884" spans="1:14" hidden="1" outlineLevel="1" x14ac:dyDescent="0.2">
      <c r="A6884" s="23" t="str">
        <f>HYPERLINK("https://www.spark-marketing.ru/Card/Person/1423", "ФГБУ ""СЛО ""РОССИЯ""")</f>
        <v>ФГБУ "СЛО "РОССИЯ"</v>
      </c>
      <c r="B6884" s="24" t="s">
        <v>6019</v>
      </c>
      <c r="C6884" s="25">
        <v>2060820</v>
      </c>
      <c r="D6884" s="22" t="s">
        <v>8912</v>
      </c>
      <c r="E6884" s="22" t="s">
        <v>491</v>
      </c>
      <c r="F6884" s="23" t="str">
        <f>HYPERLINK("https://www.spark-marketing.ru/Card/Lot/71092887", "Оказание комплекса услуг по организации технологических процессов обеспечения транспортной безопасности объектов транспортной инфраструктуры и транспортных средств воздушного транспорта")</f>
        <v>Оказание комплекса услуг по организации технологических процессов обеспечения транспортной безопасности объектов транспортной инфраструктуры и транспортных средств воздушного транспорта</v>
      </c>
      <c r="G6884" s="22" t="s">
        <v>55</v>
      </c>
      <c r="H6884" s="22" t="s">
        <v>55</v>
      </c>
      <c r="I6884" s="26">
        <v>43620.686111111099</v>
      </c>
      <c r="J6884" s="23" t="str">
        <f>HYPERLINK("https://www.spark-marketing.ru/Card/Person/81571", "ООО ""СО ""АНТИТЕРРОР""")</f>
        <v>ООО "СО "АНТИТЕРРОР"</v>
      </c>
      <c r="K6884" s="24" t="s">
        <v>3384</v>
      </c>
      <c r="L6884" s="28" t="s">
        <v>52</v>
      </c>
      <c r="M6884" s="25">
        <v>1597135.5</v>
      </c>
      <c r="N6884" s="27">
        <v>0.22500000000000001</v>
      </c>
    </row>
    <row r="6885" spans="1:14" x14ac:dyDescent="0.15">
      <c r="A6885" s="23" t="str">
        <f>HYPERLINK("https://www.spark-marketing.ru/Card/Person/1753398", "ПАО ""ПОЧТА БАНК""")</f>
        <v>ПАО "ПОЧТА БАНК"</v>
      </c>
      <c r="B6885" s="24" t="s">
        <v>868</v>
      </c>
      <c r="C6885" s="25">
        <v>3987848.16</v>
      </c>
      <c r="D6885" s="22" t="s">
        <v>8914</v>
      </c>
      <c r="E6885" s="22" t="s">
        <v>52</v>
      </c>
      <c r="F6885" s="23" t="str">
        <f>HYPERLINK("https://www.spark-marketing.ru/Card/Lot/71094430", "Оказание услуг по физической охране на объекте ПАО «Почта Банк» в г. Иваново")</f>
        <v>Оказание услуг по физической охране на объекте ПАО «Почта Банк» в г. Иваново</v>
      </c>
      <c r="G6885" s="22" t="s">
        <v>55</v>
      </c>
      <c r="H6885" s="22" t="s">
        <v>55</v>
      </c>
      <c r="I6885" s="26">
        <v>43620.698472222197</v>
      </c>
      <c r="J6885" s="28" t="s">
        <v>52</v>
      </c>
      <c r="K6885" s="28" t="s">
        <v>52</v>
      </c>
      <c r="L6885" s="28" t="s">
        <v>52</v>
      </c>
      <c r="M6885" s="28" t="s">
        <v>52</v>
      </c>
      <c r="N6885" s="28" t="s">
        <v>52</v>
      </c>
    </row>
    <row r="6886" spans="1:14" x14ac:dyDescent="0.15">
      <c r="A6886" s="23" t="str">
        <f>HYPERLINK("https://www.spark-marketing.ru/Card/Person/1479961", "МАДОУ ДЕТСКИЙ САД № 62, ДЕТСКИЙ САД № 62")</f>
        <v>МАДОУ ДЕТСКИЙ САД № 62, ДЕТСКИЙ САД № 62</v>
      </c>
      <c r="B6886" s="24" t="s">
        <v>8915</v>
      </c>
      <c r="C6886" s="25">
        <v>200000</v>
      </c>
      <c r="D6886" s="22" t="s">
        <v>8916</v>
      </c>
      <c r="E6886" s="22" t="s">
        <v>49</v>
      </c>
      <c r="F6886" s="23" t="str">
        <f>HYPERLINK("https://www.spark-marketing.ru/Card/Lot/71083320", "Установка комплекса охранной сигнализации")</f>
        <v>Установка комплекса охранной сигнализации</v>
      </c>
      <c r="G6886" s="22" t="s">
        <v>72</v>
      </c>
      <c r="H6886" s="22" t="s">
        <v>72</v>
      </c>
      <c r="I6886" s="26">
        <v>43620.683935185203</v>
      </c>
      <c r="J6886" s="28" t="s">
        <v>52</v>
      </c>
      <c r="K6886" s="28" t="s">
        <v>52</v>
      </c>
      <c r="L6886" s="28" t="s">
        <v>52</v>
      </c>
      <c r="M6886" s="28" t="s">
        <v>52</v>
      </c>
      <c r="N6886" s="28" t="s">
        <v>52</v>
      </c>
    </row>
    <row r="6887" spans="1:14" hidden="1" outlineLevel="1" x14ac:dyDescent="0.2">
      <c r="A6887" s="23" t="str">
        <f>HYPERLINK("https://www.spark-marketing.ru/Card/Person/1479961", "МАДОУ ДЕТСКИЙ САД № 62, ДЕТСКИЙ САД № 62")</f>
        <v>МАДОУ ДЕТСКИЙ САД № 62, ДЕТСКИЙ САД № 62</v>
      </c>
      <c r="B6887" s="24" t="s">
        <v>8915</v>
      </c>
      <c r="C6887" s="28" t="s">
        <v>52</v>
      </c>
      <c r="D6887" s="22" t="s">
        <v>8916</v>
      </c>
      <c r="E6887" s="22" t="s">
        <v>49</v>
      </c>
      <c r="F6887" s="23" t="str">
        <f>HYPERLINK("https://www.spark-marketing.ru/Card/Lot/71083320", "Установка комплекса охранной сигнализации")</f>
        <v>Установка комплекса охранной сигнализации</v>
      </c>
      <c r="G6887" s="22" t="s">
        <v>72</v>
      </c>
      <c r="H6887" s="22" t="s">
        <v>72</v>
      </c>
      <c r="I6887" s="26">
        <v>43620.683935185203</v>
      </c>
      <c r="J6887" s="23" t="str">
        <f>HYPERLINK("https://www.spark-marketing.ru/Card/Person/6616910", "ПРЕДПИНИМАТЕЛЬ БРУСНИЦЫН Д Ю")</f>
        <v>ПРЕДПИНИМАТЕЛЬ БРУСНИЦЫН Д Ю</v>
      </c>
      <c r="K6887" s="28" t="s">
        <v>52</v>
      </c>
      <c r="L6887" s="28" t="s">
        <v>52</v>
      </c>
      <c r="M6887" s="25">
        <v>200000</v>
      </c>
      <c r="N6887" s="27">
        <v>0</v>
      </c>
    </row>
    <row r="6888" spans="1:14" hidden="1" outlineLevel="1" x14ac:dyDescent="0.2">
      <c r="A6888" s="23" t="str">
        <f>HYPERLINK("https://www.spark-marketing.ru/Card/Person/1479961", "МАДОУ ДЕТСКИЙ САД № 62, ДЕТСКИЙ САД № 62")</f>
        <v>МАДОУ ДЕТСКИЙ САД № 62, ДЕТСКИЙ САД № 62</v>
      </c>
      <c r="B6888" s="24" t="s">
        <v>8915</v>
      </c>
      <c r="C6888" s="28" t="s">
        <v>52</v>
      </c>
      <c r="D6888" s="22" t="s">
        <v>8916</v>
      </c>
      <c r="E6888" s="22" t="s">
        <v>49</v>
      </c>
      <c r="F6888" s="23" t="str">
        <f>HYPERLINK("https://www.spark-marketing.ru/Card/Lot/71083320", "Установка комплекса охранной сигнализации")</f>
        <v>Установка комплекса охранной сигнализации</v>
      </c>
      <c r="G6888" s="22" t="s">
        <v>72</v>
      </c>
      <c r="H6888" s="22" t="s">
        <v>72</v>
      </c>
      <c r="I6888" s="26">
        <v>43620.683935185203</v>
      </c>
      <c r="J6888" s="23" t="str">
        <f>HYPERLINK("https://www.spark-marketing.ru/Card/Person/6223684", "ООО ""КОРПОРАЦИЯ БЕЗОПАСНОСТИ""")</f>
        <v>ООО "КОРПОРАЦИЯ БЕЗОПАСНОСТИ"</v>
      </c>
      <c r="K6888" s="24" t="s">
        <v>4894</v>
      </c>
      <c r="L6888" s="22" t="s">
        <v>10</v>
      </c>
      <c r="M6888" s="25">
        <v>120000</v>
      </c>
      <c r="N6888" s="27">
        <v>0.4</v>
      </c>
    </row>
    <row r="6889" spans="1:14" hidden="1" outlineLevel="1" x14ac:dyDescent="0.2">
      <c r="A6889" s="23" t="str">
        <f>HYPERLINK("https://www.spark-marketing.ru/Card/Person/1479961", "МАДОУ ДЕТСКИЙ САД № 62, ДЕТСКИЙ САД № 62")</f>
        <v>МАДОУ ДЕТСКИЙ САД № 62, ДЕТСКИЙ САД № 62</v>
      </c>
      <c r="B6889" s="24" t="s">
        <v>8915</v>
      </c>
      <c r="C6889" s="28" t="s">
        <v>52</v>
      </c>
      <c r="D6889" s="22" t="s">
        <v>8916</v>
      </c>
      <c r="E6889" s="22" t="s">
        <v>49</v>
      </c>
      <c r="F6889" s="23" t="str">
        <f>HYPERLINK("https://www.spark-marketing.ru/Card/Lot/71083320", "Установка комплекса охранной сигнализации")</f>
        <v>Установка комплекса охранной сигнализации</v>
      </c>
      <c r="G6889" s="22" t="s">
        <v>72</v>
      </c>
      <c r="H6889" s="22" t="s">
        <v>72</v>
      </c>
      <c r="I6889" s="26">
        <v>43620.683935185203</v>
      </c>
      <c r="J6889" s="23" t="str">
        <f>HYPERLINK("https://www.spark-marketing.ru/Card/Person/6616907", "ООО ""ВЕРТО""")</f>
        <v>ООО "ВЕРТО"</v>
      </c>
      <c r="K6889" s="24" t="s">
        <v>8917</v>
      </c>
      <c r="L6889" s="28" t="s">
        <v>52</v>
      </c>
      <c r="M6889" s="25">
        <v>143000</v>
      </c>
      <c r="N6889" s="27">
        <v>0.28499999999999998</v>
      </c>
    </row>
    <row r="6890" spans="1:14" hidden="1" outlineLevel="1" x14ac:dyDescent="0.2">
      <c r="A6890" s="23" t="str">
        <f>HYPERLINK("https://www.spark-marketing.ru/Card/Person/1479961", "МАДОУ ДЕТСКИЙ САД № 62, ДЕТСКИЙ САД № 62")</f>
        <v>МАДОУ ДЕТСКИЙ САД № 62, ДЕТСКИЙ САД № 62</v>
      </c>
      <c r="B6890" s="24" t="s">
        <v>8915</v>
      </c>
      <c r="C6890" s="28" t="s">
        <v>52</v>
      </c>
      <c r="D6890" s="22" t="s">
        <v>8916</v>
      </c>
      <c r="E6890" s="22" t="s">
        <v>49</v>
      </c>
      <c r="F6890" s="23" t="str">
        <f>HYPERLINK("https://www.spark-marketing.ru/Card/Lot/71083320", "Установка комплекса охранной сигнализации")</f>
        <v>Установка комплекса охранной сигнализации</v>
      </c>
      <c r="G6890" s="22" t="s">
        <v>72</v>
      </c>
      <c r="H6890" s="22" t="s">
        <v>72</v>
      </c>
      <c r="I6890" s="26">
        <v>43620.683935185203</v>
      </c>
      <c r="J6890" s="23" t="str">
        <f>HYPERLINK("https://www.spark-marketing.ru/Card/Person/850561", "ООО ""АСКОН""")</f>
        <v>ООО "АСКОН"</v>
      </c>
      <c r="K6890" s="24" t="s">
        <v>1266</v>
      </c>
      <c r="L6890" s="28" t="s">
        <v>52</v>
      </c>
      <c r="M6890" s="25">
        <v>174665</v>
      </c>
      <c r="N6890" s="27">
        <v>0.12667500000000001</v>
      </c>
    </row>
    <row r="6891" spans="1:14" x14ac:dyDescent="0.2">
      <c r="A6891" s="23" t="str">
        <f>HYPERLINK("https://www.spark-marketing.ru/Card/Person/4386454", "АО ""МКЖД""")</f>
        <v>АО "МКЖД"</v>
      </c>
      <c r="B6891" s="24" t="s">
        <v>619</v>
      </c>
      <c r="C6891" s="25">
        <v>41960332.119999997</v>
      </c>
      <c r="D6891" s="22" t="s">
        <v>8918</v>
      </c>
      <c r="E6891" s="22" t="s">
        <v>621</v>
      </c>
      <c r="F6891" s="23" t="str">
        <f>HYPERLINK("https://www.spark-marketing.ru/Card/Lot/71092906", "Выполнение работ в рамках реализации мероприятий по улучшению обслуживания пассажиров на объектах технологических частей ТПУ на Московском центральном кольце в части транспортной безопасности и мероприятий по улучшению обслуживания для маломобильных ...")</f>
        <v>Выполнение работ в рамках реализации мероприятий по улучшению обслуживания пассажиров на объектах технологических частей ТПУ на Московском центральном кольце в части транспортной безопасности и мероприятий по улучшению обслуживания для маломобильных ...</v>
      </c>
      <c r="G6891" s="22" t="s">
        <v>55</v>
      </c>
      <c r="H6891" s="22" t="s">
        <v>55</v>
      </c>
      <c r="I6891" s="26">
        <v>43620.6962152778</v>
      </c>
      <c r="J6891" s="28" t="s">
        <v>52</v>
      </c>
      <c r="K6891" s="28" t="s">
        <v>52</v>
      </c>
      <c r="L6891" s="22" t="s">
        <v>10</v>
      </c>
      <c r="M6891" s="25">
        <v>41540728.810000002</v>
      </c>
      <c r="N6891" s="27">
        <v>9.9999997330812353E-3</v>
      </c>
    </row>
    <row r="6892" spans="1:14" x14ac:dyDescent="0.15">
      <c r="A6892" s="23" t="str">
        <f>HYPERLINK("https://www.spark-marketing.ru/Card/Person/21038", "УФСБ РОССИИ ПО НОВГОРОДСКОЙ ОБЛАСТИ")</f>
        <v>УФСБ РОССИИ ПО НОВГОРОДСКОЙ ОБЛАСТИ</v>
      </c>
      <c r="B6892" s="24" t="s">
        <v>8919</v>
      </c>
      <c r="C6892" s="25">
        <v>386409.12</v>
      </c>
      <c r="D6892" s="22" t="s">
        <v>8920</v>
      </c>
      <c r="E6892" s="22" t="s">
        <v>68</v>
      </c>
      <c r="F6892" s="23" t="str">
        <f>HYPERLINK("https://www.spark-marketing.ru/Card/Lot/71088259", "Оказание услуг по охране объектов УФСБ России по Новгородской области с помощью пульта централизованного наблюдения")</f>
        <v>Оказание услуг по охране объектов УФСБ России по Новгородской области с помощью пульта централизованного наблюдения</v>
      </c>
      <c r="G6892" s="22" t="s">
        <v>959</v>
      </c>
      <c r="H6892" s="22" t="s">
        <v>960</v>
      </c>
      <c r="I6892" s="26">
        <v>43620.631944444402</v>
      </c>
      <c r="J6892" s="28" t="s">
        <v>52</v>
      </c>
      <c r="K6892" s="28" t="s">
        <v>52</v>
      </c>
      <c r="L6892" s="28" t="s">
        <v>52</v>
      </c>
      <c r="M6892" s="28" t="s">
        <v>52</v>
      </c>
      <c r="N6892" s="28" t="s">
        <v>52</v>
      </c>
    </row>
    <row r="6893" spans="1:14" x14ac:dyDescent="0.15">
      <c r="A6893" s="23" t="str">
        <f>HYPERLINK("https://www.spark-marketing.ru/Card/Person/4349247", "СРЕДНЯЯ ШКОЛА № 2")</f>
        <v>СРЕДНЯЯ ШКОЛА № 2</v>
      </c>
      <c r="B6893" s="24" t="s">
        <v>8921</v>
      </c>
      <c r="C6893" s="25">
        <v>360000</v>
      </c>
      <c r="D6893" s="22" t="s">
        <v>8922</v>
      </c>
      <c r="E6893" s="22" t="s">
        <v>84</v>
      </c>
      <c r="F6893" s="23" t="str">
        <f>HYPERLINK("https://www.spark-marketing.ru/Card/Lot/71085232", "Установка (модернизация) внутреннего и наружного видеонаблюдения.")</f>
        <v>Установка (модернизация) внутреннего и наружного видеонаблюдения.</v>
      </c>
      <c r="G6893" s="22" t="s">
        <v>72</v>
      </c>
      <c r="H6893" s="22" t="s">
        <v>692</v>
      </c>
      <c r="I6893" s="26">
        <v>43620.654861111099</v>
      </c>
      <c r="J6893" s="28" t="s">
        <v>52</v>
      </c>
      <c r="K6893" s="28" t="s">
        <v>52</v>
      </c>
      <c r="L6893" s="28" t="s">
        <v>52</v>
      </c>
      <c r="M6893" s="28" t="s">
        <v>52</v>
      </c>
      <c r="N6893" s="28" t="s">
        <v>52</v>
      </c>
    </row>
    <row r="6894" spans="1:14" ht="12.75" hidden="1" outlineLevel="1" x14ac:dyDescent="0.2">
      <c r="A6894" s="23" t="str">
        <f>HYPERLINK("https://www.spark-marketing.ru/Card/Person/4349247", "СРЕДНЯЯ ШКОЛА № 2")</f>
        <v>СРЕДНЯЯ ШКОЛА № 2</v>
      </c>
      <c r="B6894" s="24" t="s">
        <v>8921</v>
      </c>
      <c r="C6894" s="25">
        <v>360000</v>
      </c>
      <c r="D6894" s="22" t="s">
        <v>8922</v>
      </c>
      <c r="E6894" s="22" t="s">
        <v>84</v>
      </c>
      <c r="F6894" s="23" t="str">
        <f>HYPERLINK("https://www.spark-marketing.ru/Card/Lot/71085232", "Установка (модернизация) внутреннего и наружного видеонаблюдения.")</f>
        <v>Установка (модернизация) внутреннего и наружного видеонаблюдения.</v>
      </c>
      <c r="G6894" s="22" t="s">
        <v>72</v>
      </c>
      <c r="H6894" s="22" t="s">
        <v>692</v>
      </c>
      <c r="I6894" s="26">
        <v>43620.654861111099</v>
      </c>
      <c r="J6894" s="23" t="str">
        <f>HYPERLINK("https://www.spark-marketing.ru/Card/Person/6321814", "Юдин Сергей Петрович")</f>
        <v>Юдин Сергей Петрович</v>
      </c>
      <c r="K6894" s="24" t="s">
        <v>1264</v>
      </c>
      <c r="L6894" s="22" t="s">
        <v>10</v>
      </c>
      <c r="M6894" s="25">
        <v>198000</v>
      </c>
      <c r="N6894" s="27">
        <v>0.45</v>
      </c>
    </row>
    <row r="6895" spans="1:14" hidden="1" outlineLevel="1" x14ac:dyDescent="0.2">
      <c r="A6895" s="23" t="str">
        <f>HYPERLINK("https://www.spark-marketing.ru/Card/Person/4349247", "СРЕДНЯЯ ШКОЛА № 2")</f>
        <v>СРЕДНЯЯ ШКОЛА № 2</v>
      </c>
      <c r="B6895" s="24" t="s">
        <v>8921</v>
      </c>
      <c r="C6895" s="25">
        <v>360000</v>
      </c>
      <c r="D6895" s="22" t="s">
        <v>8922</v>
      </c>
      <c r="E6895" s="22" t="s">
        <v>84</v>
      </c>
      <c r="F6895" s="23" t="str">
        <f>HYPERLINK("https://www.spark-marketing.ru/Card/Lot/71085232", "Установка (модернизация) внутреннего и наружного видеонаблюдения.")</f>
        <v>Установка (модернизация) внутреннего и наружного видеонаблюдения.</v>
      </c>
      <c r="G6895" s="22" t="s">
        <v>72</v>
      </c>
      <c r="H6895" s="22" t="s">
        <v>692</v>
      </c>
      <c r="I6895" s="26">
        <v>43620.654861111099</v>
      </c>
      <c r="J6895" s="23" t="str">
        <f>HYPERLINK("https://www.spark-marketing.ru/Card/Person/802084", "ООО ""ГЕФЕСТ""")</f>
        <v>ООО "ГЕФЕСТ"</v>
      </c>
      <c r="K6895" s="24" t="s">
        <v>3414</v>
      </c>
      <c r="L6895" s="28" t="s">
        <v>52</v>
      </c>
      <c r="M6895" s="25">
        <v>199800</v>
      </c>
      <c r="N6895" s="27">
        <v>0.44500000000000001</v>
      </c>
    </row>
    <row r="6896" spans="1:14" hidden="1" outlineLevel="1" x14ac:dyDescent="0.2">
      <c r="A6896" s="23" t="str">
        <f>HYPERLINK("https://www.spark-marketing.ru/Card/Person/4349247", "СРЕДНЯЯ ШКОЛА № 2")</f>
        <v>СРЕДНЯЯ ШКОЛА № 2</v>
      </c>
      <c r="B6896" s="24" t="s">
        <v>8921</v>
      </c>
      <c r="C6896" s="25">
        <v>360000</v>
      </c>
      <c r="D6896" s="22" t="s">
        <v>8922</v>
      </c>
      <c r="E6896" s="22" t="s">
        <v>84</v>
      </c>
      <c r="F6896" s="23" t="str">
        <f>HYPERLINK("https://www.spark-marketing.ru/Card/Lot/71085232", "Установка (модернизация) внутреннего и наружного видеонаблюдения.")</f>
        <v>Установка (модернизация) внутреннего и наружного видеонаблюдения.</v>
      </c>
      <c r="G6896" s="22" t="s">
        <v>72</v>
      </c>
      <c r="H6896" s="22" t="s">
        <v>692</v>
      </c>
      <c r="I6896" s="26">
        <v>43620.654861111099</v>
      </c>
      <c r="J6896" s="23" t="str">
        <f>HYPERLINK("https://www.spark-marketing.ru/Card/Person/6578982", "Родичев Максим Юрьевич")</f>
        <v>Родичев Максим Юрьевич</v>
      </c>
      <c r="K6896" s="24" t="s">
        <v>1478</v>
      </c>
      <c r="L6896" s="28" t="s">
        <v>52</v>
      </c>
      <c r="M6896" s="25">
        <v>331200</v>
      </c>
      <c r="N6896" s="27">
        <v>0.08</v>
      </c>
    </row>
    <row r="6897" spans="1:14" x14ac:dyDescent="0.15">
      <c r="A6897" s="23" t="str">
        <f>HYPERLINK("https://www.spark-marketing.ru/Card/Person/283255", "МЕЖРАЙОННАЯ ИФНС РОССИИ № 1 ПО НИЖЕГОРОДСКОЙ ОБЛАСТИ")</f>
        <v>МЕЖРАЙОННАЯ ИФНС РОССИИ № 1 ПО НИЖЕГОРОДСКОЙ ОБЛАСТИ</v>
      </c>
      <c r="B6897" s="24" t="s">
        <v>2971</v>
      </c>
      <c r="C6897" s="25">
        <v>34718.959999999999</v>
      </c>
      <c r="D6897" s="22" t="s">
        <v>8923</v>
      </c>
      <c r="E6897" s="22" t="s">
        <v>53</v>
      </c>
      <c r="F6897" s="23" t="str">
        <f>HYPERLINK("https://www.spark-marketing.ru/Card/Lot/71085468", "Услуги охранные в зданиях, помещениях налоговых органов, оборудованных действующим комплексом технических средств охраны")</f>
        <v>Услуги охранные в зданиях, помещениях налоговых органов, оборудованных действующим комплексом технических средств охраны</v>
      </c>
      <c r="G6897" s="22" t="s">
        <v>64</v>
      </c>
      <c r="H6897" s="22" t="s">
        <v>2973</v>
      </c>
      <c r="I6897" s="26">
        <v>43620.642476851899</v>
      </c>
      <c r="J6897" s="28" t="s">
        <v>52</v>
      </c>
      <c r="K6897" s="28" t="s">
        <v>52</v>
      </c>
      <c r="L6897" s="28" t="s">
        <v>52</v>
      </c>
      <c r="M6897" s="28" t="s">
        <v>52</v>
      </c>
      <c r="N6897" s="28" t="s">
        <v>52</v>
      </c>
    </row>
    <row r="6898" spans="1:14" x14ac:dyDescent="0.15">
      <c r="A6898" s="23" t="str">
        <f>HYPERLINK("https://www.spark-marketing.ru/Card/Person/93389", "ИФНС РОССИИ ПО ДЗЕРЖИНСКОМУ РАЙОНУ Г. ВОЛГОГРАДА")</f>
        <v>ИФНС РОССИИ ПО ДЗЕРЖИНСКОМУ РАЙОНУ Г. ВОЛГОГРАДА</v>
      </c>
      <c r="B6898" s="24" t="s">
        <v>2939</v>
      </c>
      <c r="C6898" s="25">
        <v>50000</v>
      </c>
      <c r="D6898" s="22" t="s">
        <v>8924</v>
      </c>
      <c r="E6898" s="22" t="s">
        <v>107</v>
      </c>
      <c r="F6898" s="23" t="str">
        <f>HYPERLINK("https://www.spark-marketing.ru/Card/Lot/71084386", "Техническое обслуживание камер видеонаблюдения, 1 шт")</f>
        <v>Техническое обслуживание камер видеонаблюдения, 1 шт</v>
      </c>
      <c r="G6898" s="22" t="s">
        <v>343</v>
      </c>
      <c r="H6898" s="22" t="s">
        <v>344</v>
      </c>
      <c r="I6898" s="26">
        <v>43620.652962963002</v>
      </c>
      <c r="J6898" s="28" t="s">
        <v>52</v>
      </c>
      <c r="K6898" s="28" t="s">
        <v>52</v>
      </c>
      <c r="L6898" s="28" t="s">
        <v>52</v>
      </c>
      <c r="M6898" s="28" t="s">
        <v>52</v>
      </c>
      <c r="N6898" s="28" t="s">
        <v>52</v>
      </c>
    </row>
    <row r="6899" spans="1:14" x14ac:dyDescent="0.15">
      <c r="A6899" s="23" t="str">
        <f>HYPERLINK("https://www.spark-marketing.ru/Card/Person/4366676", "ООО ""БАТО""")</f>
        <v>ООО "БАТО"</v>
      </c>
      <c r="B6899" s="24" t="s">
        <v>7135</v>
      </c>
      <c r="C6899" s="28" t="s">
        <v>52</v>
      </c>
      <c r="D6899" s="22" t="s">
        <v>8925</v>
      </c>
      <c r="E6899" s="22" t="s">
        <v>1923</v>
      </c>
      <c r="F6899" s="23" t="str">
        <f>HYPERLINK("https://www.spark-marketing.ru/Card/Lot/74011163", "Услуги на получение свидетельства о соответствии конструкции транспортного средства требованиям безопасности после внесения изменений трех аэродромных топливозаправщиков.")</f>
        <v>Услуги на получение свидетельства о соответствии конструкции транспортного средства требованиям безопасности после внесения изменений трех аэродромных топливозаправщиков.</v>
      </c>
      <c r="G6899" s="22" t="s">
        <v>132</v>
      </c>
      <c r="H6899" s="22" t="s">
        <v>652</v>
      </c>
      <c r="I6899" s="26">
        <v>43620.597222222197</v>
      </c>
      <c r="J6899" s="28" t="s">
        <v>52</v>
      </c>
      <c r="K6899" s="28" t="s">
        <v>52</v>
      </c>
      <c r="L6899" s="28" t="s">
        <v>52</v>
      </c>
      <c r="M6899" s="28" t="s">
        <v>52</v>
      </c>
      <c r="N6899" s="28" t="s">
        <v>52</v>
      </c>
    </row>
    <row r="6900" spans="1:14" x14ac:dyDescent="0.15">
      <c r="A6900" s="23" t="str">
        <f>HYPERLINK("https://www.spark-marketing.ru/Card/Person/32510", "ГКУ МО ""МОСОБЛЛЕС""")</f>
        <v>ГКУ МО "МОСОБЛЛЕС"</v>
      </c>
      <c r="B6900" s="24" t="s">
        <v>333</v>
      </c>
      <c r="C6900" s="25">
        <v>1952500</v>
      </c>
      <c r="D6900" s="22" t="s">
        <v>8926</v>
      </c>
      <c r="E6900" s="22" t="s">
        <v>218</v>
      </c>
      <c r="F6900" s="23" t="str">
        <f>HYPERLINK("https://www.spark-marketing.ru/Card/Lot/71088545", "Оказание услуг по разработке исполнительной документации и выполнение локально-сметного расчета на установку тревожной сигнализации")</f>
        <v>Оказание услуг по разработке исполнительной документации и выполнение локально-сметного расчета на установку тревожной сигнализации</v>
      </c>
      <c r="G6900" s="22" t="s">
        <v>50</v>
      </c>
      <c r="H6900" s="22" t="s">
        <v>51</v>
      </c>
      <c r="I6900" s="26">
        <v>43620.608333333301</v>
      </c>
      <c r="J6900" s="28" t="s">
        <v>52</v>
      </c>
      <c r="K6900" s="28" t="s">
        <v>52</v>
      </c>
      <c r="L6900" s="28" t="s">
        <v>52</v>
      </c>
      <c r="M6900" s="28" t="s">
        <v>52</v>
      </c>
      <c r="N6900" s="28" t="s">
        <v>52</v>
      </c>
    </row>
    <row r="6901" spans="1:14" ht="12.75" hidden="1" outlineLevel="1" x14ac:dyDescent="0.2">
      <c r="A6901" s="23" t="str">
        <f>HYPERLINK("https://www.spark-marketing.ru/Card/Person/32510", "ГКУ МО ""МОСОБЛЛЕС""")</f>
        <v>ГКУ МО "МОСОБЛЛЕС"</v>
      </c>
      <c r="B6901" s="24" t="s">
        <v>333</v>
      </c>
      <c r="C6901" s="25">
        <v>1952500</v>
      </c>
      <c r="D6901" s="22" t="s">
        <v>8926</v>
      </c>
      <c r="E6901" s="22" t="s">
        <v>218</v>
      </c>
      <c r="F6901" s="23" t="str">
        <f>HYPERLINK("https://www.spark-marketing.ru/Card/Lot/71088545", "Оказание услуг по разработке исполнительной документации и выполнение локально-сметного расчета на установку тревожной сигнализации")</f>
        <v>Оказание услуг по разработке исполнительной документации и выполнение локально-сметного расчета на установку тревожной сигнализации</v>
      </c>
      <c r="G6901" s="22" t="s">
        <v>50</v>
      </c>
      <c r="H6901" s="22" t="s">
        <v>51</v>
      </c>
      <c r="I6901" s="26">
        <v>43620.608333333301</v>
      </c>
      <c r="J6901" s="23" t="str">
        <f>HYPERLINK("https://www.spark-marketing.ru/Card/Person/6435515", "ООО ""ТИТАН-СИСТЕМЫ ОХРАНЫ""")</f>
        <v>ООО "ТИТАН-СИСТЕМЫ ОХРАНЫ"</v>
      </c>
      <c r="K6901" s="24" t="s">
        <v>1339</v>
      </c>
      <c r="L6901" s="22" t="s">
        <v>10</v>
      </c>
      <c r="M6901" s="25">
        <v>1923212.5</v>
      </c>
      <c r="N6901" s="27">
        <v>1.4999999999999999E-2</v>
      </c>
    </row>
    <row r="6902" spans="1:14" hidden="1" outlineLevel="1" x14ac:dyDescent="0.2">
      <c r="A6902" s="23" t="str">
        <f>HYPERLINK("https://www.spark-marketing.ru/Card/Person/32510", "ГКУ МО ""МОСОБЛЛЕС""")</f>
        <v>ГКУ МО "МОСОБЛЛЕС"</v>
      </c>
      <c r="B6902" s="24" t="s">
        <v>333</v>
      </c>
      <c r="C6902" s="25">
        <v>1952500</v>
      </c>
      <c r="D6902" s="22" t="s">
        <v>8926</v>
      </c>
      <c r="E6902" s="22" t="s">
        <v>218</v>
      </c>
      <c r="F6902" s="23" t="str">
        <f>HYPERLINK("https://www.spark-marketing.ru/Card/Lot/71088545", "Оказание услуг по разработке исполнительной документации и выполнение локально-сметного расчета на установку тревожной сигнализации")</f>
        <v>Оказание услуг по разработке исполнительной документации и выполнение локально-сметного расчета на установку тревожной сигнализации</v>
      </c>
      <c r="G6902" s="22" t="s">
        <v>50</v>
      </c>
      <c r="H6902" s="22" t="s">
        <v>51</v>
      </c>
      <c r="I6902" s="26">
        <v>43620.608333333301</v>
      </c>
      <c r="J6902" s="23" t="str">
        <f>HYPERLINK("https://www.spark-marketing.ru/Card/Person/888112", "ЗАО ""СИГНАЛ-ОХРАННЫЕ СИСТЕМЫ""")</f>
        <v>ЗАО "СИГНАЛ-ОХРАННЫЕ СИСТЕМЫ"</v>
      </c>
      <c r="K6902" s="24" t="s">
        <v>8927</v>
      </c>
      <c r="L6902" s="28" t="s">
        <v>52</v>
      </c>
      <c r="M6902" s="25">
        <v>1932975</v>
      </c>
      <c r="N6902" s="27">
        <v>0.01</v>
      </c>
    </row>
    <row r="6903" spans="1:14" hidden="1" outlineLevel="1" x14ac:dyDescent="0.2">
      <c r="A6903" s="23" t="str">
        <f>HYPERLINK("https://www.spark-marketing.ru/Card/Person/32510", "ГКУ МО ""МОСОБЛЛЕС""")</f>
        <v>ГКУ МО "МОСОБЛЛЕС"</v>
      </c>
      <c r="B6903" s="24" t="s">
        <v>333</v>
      </c>
      <c r="C6903" s="25">
        <v>1952500</v>
      </c>
      <c r="D6903" s="22" t="s">
        <v>8926</v>
      </c>
      <c r="E6903" s="22" t="s">
        <v>218</v>
      </c>
      <c r="F6903" s="23" t="str">
        <f>HYPERLINK("https://www.spark-marketing.ru/Card/Lot/71088545", "Оказание услуг по разработке исполнительной документации и выполнение локально-сметного расчета на установку тревожной сигнализации")</f>
        <v>Оказание услуг по разработке исполнительной документации и выполнение локально-сметного расчета на установку тревожной сигнализации</v>
      </c>
      <c r="G6903" s="22" t="s">
        <v>50</v>
      </c>
      <c r="H6903" s="22" t="s">
        <v>51</v>
      </c>
      <c r="I6903" s="26">
        <v>43620.608333333301</v>
      </c>
      <c r="J6903" s="23" t="str">
        <f>HYPERLINK("https://www.spark-marketing.ru/Card/Person/1976859", "ООО ЧОО ""ДЕЛЬТА""")</f>
        <v>ООО ЧОО "ДЕЛЬТА"</v>
      </c>
      <c r="K6903" s="24" t="s">
        <v>8928</v>
      </c>
      <c r="L6903" s="28" t="s">
        <v>52</v>
      </c>
      <c r="M6903" s="25">
        <v>1942737.5</v>
      </c>
      <c r="N6903" s="27">
        <v>5.0000000000000001E-3</v>
      </c>
    </row>
    <row r="6904" spans="1:14" x14ac:dyDescent="0.15">
      <c r="A6904" s="23" t="str">
        <f>HYPERLINK("https://www.spark-marketing.ru/Card/Person/68413", "БУ ""СОВЕТСКИЙ КОМПЛЕКСНЫЙ ЦЕНТР СОЦИАЛЬНОГО ОБСЛУЖИВАНИЯ НАСЕЛЕНИЯ""")</f>
        <v>БУ "СОВЕТСКИЙ КОМПЛЕКСНЫЙ ЦЕНТР СОЦИАЛЬНОГО ОБСЛУЖИВАНИЯ НАСЕЛЕНИЯ"</v>
      </c>
      <c r="B6904" s="24" t="s">
        <v>8929</v>
      </c>
      <c r="C6904" s="25">
        <v>75000</v>
      </c>
      <c r="D6904" s="22" t="s">
        <v>8930</v>
      </c>
      <c r="E6904" s="22" t="s">
        <v>107</v>
      </c>
      <c r="F6904" s="23" t="str">
        <f>HYPERLINK("https://www.spark-marketing.ru/Card/Lot/71082308", "Оказание услуг по техническому обслуживанию охранной сигнализации")</f>
        <v>Оказание услуг по техническому обслуживанию охранной сигнализации</v>
      </c>
      <c r="G6904" s="22" t="s">
        <v>119</v>
      </c>
      <c r="H6904" s="22" t="s">
        <v>2515</v>
      </c>
      <c r="I6904" s="26">
        <v>43620.606249999997</v>
      </c>
      <c r="J6904" s="28" t="s">
        <v>52</v>
      </c>
      <c r="K6904" s="28" t="s">
        <v>52</v>
      </c>
      <c r="L6904" s="28" t="s">
        <v>52</v>
      </c>
      <c r="M6904" s="28" t="s">
        <v>52</v>
      </c>
      <c r="N6904" s="28" t="s">
        <v>52</v>
      </c>
    </row>
    <row r="6905" spans="1:14" ht="12.75" hidden="1" outlineLevel="1" x14ac:dyDescent="0.2">
      <c r="A6905" s="23" t="str">
        <f>HYPERLINK("https://www.spark-marketing.ru/Card/Person/68413", "БУ ""СОВЕТСКИЙ КОМПЛЕКСНЫЙ ЦЕНТР СОЦИАЛЬНОГО ОБСЛУЖИВАНИЯ НАСЕЛЕНИЯ""")</f>
        <v>БУ "СОВЕТСКИЙ КОМПЛЕКСНЫЙ ЦЕНТР СОЦИАЛЬНОГО ОБСЛУЖИВАНИЯ НАСЕЛЕНИЯ"</v>
      </c>
      <c r="B6905" s="24" t="s">
        <v>8929</v>
      </c>
      <c r="C6905" s="25">
        <v>75000</v>
      </c>
      <c r="D6905" s="22" t="s">
        <v>8930</v>
      </c>
      <c r="E6905" s="22" t="s">
        <v>107</v>
      </c>
      <c r="F6905" s="23" t="str">
        <f>HYPERLINK("https://www.spark-marketing.ru/Card/Lot/71082308", "Оказание услуг по техническому обслуживанию охранной сигнализации")</f>
        <v>Оказание услуг по техническому обслуживанию охранной сигнализации</v>
      </c>
      <c r="G6905" s="22" t="s">
        <v>119</v>
      </c>
      <c r="H6905" s="22" t="s">
        <v>2515</v>
      </c>
      <c r="I6905" s="26">
        <v>43620.606249999997</v>
      </c>
      <c r="J6905" s="23" t="str">
        <f>HYPERLINK("https://www.spark-marketing.ru/Card/Person/655486", "ООО ""ЧОО ""АЛЬТЕРНАТИВА-ОХРАНА""")</f>
        <v>ООО "ЧОО "АЛЬТЕРНАТИВА-ОХРАНА"</v>
      </c>
      <c r="K6905" s="24" t="s">
        <v>8841</v>
      </c>
      <c r="L6905" s="22" t="s">
        <v>10</v>
      </c>
      <c r="M6905" s="25">
        <v>26000</v>
      </c>
      <c r="N6905" s="27">
        <v>0.65333333333333332</v>
      </c>
    </row>
    <row r="6906" spans="1:14" hidden="1" outlineLevel="1" x14ac:dyDescent="0.2">
      <c r="A6906" s="23" t="str">
        <f>HYPERLINK("https://www.spark-marketing.ru/Card/Person/68413", "БУ ""СОВЕТСКИЙ КОМПЛЕКСНЫЙ ЦЕНТР СОЦИАЛЬНОГО ОБСЛУЖИВАНИЯ НАСЕЛЕНИЯ""")</f>
        <v>БУ "СОВЕТСКИЙ КОМПЛЕКСНЫЙ ЦЕНТР СОЦИАЛЬНОГО ОБСЛУЖИВАНИЯ НАСЕЛЕНИЯ"</v>
      </c>
      <c r="B6906" s="24" t="s">
        <v>8929</v>
      </c>
      <c r="C6906" s="25">
        <v>75000</v>
      </c>
      <c r="D6906" s="22" t="s">
        <v>8930</v>
      </c>
      <c r="E6906" s="22" t="s">
        <v>107</v>
      </c>
      <c r="F6906" s="23" t="str">
        <f>HYPERLINK("https://www.spark-marketing.ru/Card/Lot/71082308", "Оказание услуг по техническому обслуживанию охранной сигнализации")</f>
        <v>Оказание услуг по техническому обслуживанию охранной сигнализации</v>
      </c>
      <c r="G6906" s="22" t="s">
        <v>119</v>
      </c>
      <c r="H6906" s="22" t="s">
        <v>2515</v>
      </c>
      <c r="I6906" s="26">
        <v>43620.606249999997</v>
      </c>
      <c r="J6906" s="23" t="str">
        <f>HYPERLINK("https://www.spark-marketing.ru/Card/Person/680923", "ООО ""А Т Э С И К""")</f>
        <v>ООО "А Т Э С И К"</v>
      </c>
      <c r="K6906" s="24" t="s">
        <v>8931</v>
      </c>
      <c r="L6906" s="28" t="s">
        <v>52</v>
      </c>
      <c r="M6906" s="25">
        <v>44375</v>
      </c>
      <c r="N6906" s="27">
        <v>0.40833333333333333</v>
      </c>
    </row>
    <row r="6907" spans="1:14" hidden="1" outlineLevel="1" x14ac:dyDescent="0.2">
      <c r="A6907" s="23" t="str">
        <f>HYPERLINK("https://www.spark-marketing.ru/Card/Person/68413", "БУ ""СОВЕТСКИЙ КОМПЛЕКСНЫЙ ЦЕНТР СОЦИАЛЬНОГО ОБСЛУЖИВАНИЯ НАСЕЛЕНИЯ""")</f>
        <v>БУ "СОВЕТСКИЙ КОМПЛЕКСНЫЙ ЦЕНТР СОЦИАЛЬНОГО ОБСЛУЖИВАНИЯ НАСЕЛЕНИЯ"</v>
      </c>
      <c r="B6907" s="24" t="s">
        <v>8929</v>
      </c>
      <c r="C6907" s="25">
        <v>75000</v>
      </c>
      <c r="D6907" s="22" t="s">
        <v>8930</v>
      </c>
      <c r="E6907" s="22" t="s">
        <v>107</v>
      </c>
      <c r="F6907" s="23" t="str">
        <f>HYPERLINK("https://www.spark-marketing.ru/Card/Lot/71082308", "Оказание услуг по техническому обслуживанию охранной сигнализации")</f>
        <v>Оказание услуг по техническому обслуживанию охранной сигнализации</v>
      </c>
      <c r="G6907" s="22" t="s">
        <v>119</v>
      </c>
      <c r="H6907" s="22" t="s">
        <v>2515</v>
      </c>
      <c r="I6907" s="26">
        <v>43620.606249999997</v>
      </c>
      <c r="J6907" s="23" t="str">
        <f>HYPERLINK("https://www.spark-marketing.ru/Card/Person/134029", "Малышев Владимир Николаевич")</f>
        <v>Малышев Владимир Николаевич</v>
      </c>
      <c r="K6907" s="24" t="s">
        <v>8932</v>
      </c>
      <c r="L6907" s="28" t="s">
        <v>52</v>
      </c>
      <c r="M6907" s="25">
        <v>70000</v>
      </c>
      <c r="N6907" s="27">
        <v>6.6666666666666666E-2</v>
      </c>
    </row>
    <row r="6908" spans="1:14" hidden="1" outlineLevel="1" x14ac:dyDescent="0.2">
      <c r="A6908" s="23" t="str">
        <f>HYPERLINK("https://www.spark-marketing.ru/Card/Person/68413", "БУ ""СОВЕТСКИЙ КОМПЛЕКСНЫЙ ЦЕНТР СОЦИАЛЬНОГО ОБСЛУЖИВАНИЯ НАСЕЛЕНИЯ""")</f>
        <v>БУ "СОВЕТСКИЙ КОМПЛЕКСНЫЙ ЦЕНТР СОЦИАЛЬНОГО ОБСЛУЖИВАНИЯ НАСЕЛЕНИЯ"</v>
      </c>
      <c r="B6908" s="24" t="s">
        <v>8929</v>
      </c>
      <c r="C6908" s="25">
        <v>75000</v>
      </c>
      <c r="D6908" s="22" t="s">
        <v>8930</v>
      </c>
      <c r="E6908" s="22" t="s">
        <v>107</v>
      </c>
      <c r="F6908" s="23" t="str">
        <f>HYPERLINK("https://www.spark-marketing.ru/Card/Lot/71082308", "Оказание услуг по техническому обслуживанию охранной сигнализации")</f>
        <v>Оказание услуг по техническому обслуживанию охранной сигнализации</v>
      </c>
      <c r="G6908" s="22" t="s">
        <v>119</v>
      </c>
      <c r="H6908" s="22" t="s">
        <v>2515</v>
      </c>
      <c r="I6908" s="26">
        <v>43620.606249999997</v>
      </c>
      <c r="J6908" s="23" t="str">
        <f>HYPERLINK("https://www.spark-marketing.ru/Card/Person/939297", "ООО ""ЭКСПРЕСС-СВЯЗЬ""")</f>
        <v>ООО "ЭКСПРЕСС-СВЯЗЬ"</v>
      </c>
      <c r="K6908" s="24" t="s">
        <v>8840</v>
      </c>
      <c r="L6908" s="28" t="s">
        <v>52</v>
      </c>
      <c r="M6908" s="25">
        <v>26000</v>
      </c>
      <c r="N6908" s="27">
        <v>0.65333333333333332</v>
      </c>
    </row>
    <row r="6909" spans="1:14" x14ac:dyDescent="0.15">
      <c r="A6909" s="23" t="str">
        <f>HYPERLINK("https://www.spark-marketing.ru/Card/Person/4365847", "ООО ""ГАЗПРОМ ГАЗОРАСПРЕДЕЛЕНИЕ УЛЬЯНОВСК""")</f>
        <v>ООО "ГАЗПРОМ ГАЗОРАСПРЕДЕЛЕНИЕ УЛЬЯНОВСК"</v>
      </c>
      <c r="B6909" s="24" t="s">
        <v>8933</v>
      </c>
      <c r="C6909" s="25">
        <v>54000</v>
      </c>
      <c r="D6909" s="22" t="s">
        <v>8934</v>
      </c>
      <c r="E6909" s="22" t="s">
        <v>8935</v>
      </c>
      <c r="F6909" s="23" t="str">
        <f>HYPERLINK("https://www.spark-marketing.ru/Card/Lot/71079655", "Услуги по изготовлению рекламно-информационных аудио и видео-роликов по теме: ""Техническое обслуживание внутридомового газового оборудования""")</f>
        <v>Услуги по изготовлению рекламно-информационных аудио и видео-роликов по теме: "Техническое обслуживание внутридомового газового оборудования"</v>
      </c>
      <c r="G6909" s="22" t="s">
        <v>446</v>
      </c>
      <c r="H6909" s="22" t="s">
        <v>446</v>
      </c>
      <c r="I6909" s="26">
        <v>43620.588715277801</v>
      </c>
      <c r="J6909" s="28" t="s">
        <v>52</v>
      </c>
      <c r="K6909" s="28" t="s">
        <v>52</v>
      </c>
      <c r="L6909" s="28" t="s">
        <v>52</v>
      </c>
      <c r="M6909" s="28" t="s">
        <v>52</v>
      </c>
      <c r="N6909" s="28" t="s">
        <v>52</v>
      </c>
    </row>
    <row r="6910" spans="1:14" x14ac:dyDescent="0.2">
      <c r="A6910" s="23" t="str">
        <f>HYPERLINK("https://www.spark-marketing.ru/Card/Person/568287", "АО ""61 БТРЗ""")</f>
        <v>АО "61 БТРЗ"</v>
      </c>
      <c r="B6910" s="24" t="s">
        <v>8936</v>
      </c>
      <c r="C6910" s="25">
        <v>3234348.81</v>
      </c>
      <c r="D6910" s="22" t="s">
        <v>8937</v>
      </c>
      <c r="E6910" s="22" t="s">
        <v>144</v>
      </c>
      <c r="F6910" s="23" t="str">
        <f>HYPERLINK("https://www.spark-marketing.ru/Card/Lot/71083126", "2124-2019-00178 Оказание услуг, связанных с решением задач по обеспечению контрольно-пропускного режима при въезде (выезде) транспортных средств, входе (выходе) персонала и посетителей на территорию (с территории) Заказчика для АО ""61 БТРЗ""")</f>
        <v>2124-2019-00178 Оказание услуг, связанных с решением задач по обеспечению контрольно-пропускного режима при въезде (выезде) транспортных средств, входе (выходе) персонала и посетителей на территорию (с территории) Заказчика для АО "61 БТРЗ"</v>
      </c>
      <c r="G6910" s="22" t="s">
        <v>89</v>
      </c>
      <c r="H6910" s="22" t="s">
        <v>89</v>
      </c>
      <c r="I6910" s="26">
        <v>43620.598240740699</v>
      </c>
      <c r="J6910" s="28" t="s">
        <v>52</v>
      </c>
      <c r="K6910" s="28" t="s">
        <v>52</v>
      </c>
      <c r="L6910" s="28" t="s">
        <v>52</v>
      </c>
      <c r="M6910" s="25">
        <v>3234348.81</v>
      </c>
      <c r="N6910" s="27">
        <v>0</v>
      </c>
    </row>
    <row r="6911" spans="1:14" x14ac:dyDescent="0.15">
      <c r="A6911" s="23" t="str">
        <f>HYPERLINK("https://www.spark-marketing.ru/Card/Person/3708", "АДМИНИСТРАЦИЯ КИРЕНСКОГО МУНИЦИПАЛЬНОГО РАЙОНА")</f>
        <v>АДМИНИСТРАЦИЯ КИРЕНСКОГО МУНИЦИПАЛЬНОГО РАЙОНА</v>
      </c>
      <c r="B6911" s="24" t="s">
        <v>8938</v>
      </c>
      <c r="C6911" s="25">
        <v>331830</v>
      </c>
      <c r="D6911" s="22" t="s">
        <v>8939</v>
      </c>
      <c r="E6911" s="22" t="s">
        <v>68</v>
      </c>
      <c r="F6911" s="23" t="str">
        <f>HYPERLINK("https://www.spark-marketing.ru/Card/Lot/71074346", "Оказание услуг по осуществлению контрольно-пропускного режима в здании администрации ул. Красноармейская,д.5")</f>
        <v>Оказание услуг по осуществлению контрольно-пропускного режима в здании администрации ул. Красноармейская,д.5</v>
      </c>
      <c r="G6911" s="22" t="s">
        <v>281</v>
      </c>
      <c r="H6911" s="22" t="s">
        <v>8940</v>
      </c>
      <c r="I6911" s="26">
        <v>43620.5805555556</v>
      </c>
      <c r="J6911" s="23" t="str">
        <f>HYPERLINK("https://www.spark-marketing.ru/Card/Person/34489", "ОБЪЕДИНЕНИЕ ""РОСИНКАС""")</f>
        <v>ОБЪЕДИНЕНИЕ "РОСИНКАС"</v>
      </c>
      <c r="K6911" s="24" t="s">
        <v>8941</v>
      </c>
      <c r="L6911" s="22" t="s">
        <v>10</v>
      </c>
      <c r="M6911" s="28" t="s">
        <v>52</v>
      </c>
      <c r="N6911" s="28" t="s">
        <v>52</v>
      </c>
    </row>
    <row r="6912" spans="1:14" x14ac:dyDescent="0.15">
      <c r="A6912" s="23" t="str">
        <f>HYPERLINK("https://www.spark-marketing.ru/Card/Person/4348484", "ОАО ""МРСК УРАЛА""")</f>
        <v>ОАО "МРСК УРАЛА"</v>
      </c>
      <c r="B6912" s="24" t="s">
        <v>3612</v>
      </c>
      <c r="C6912" s="25">
        <v>1731754.09</v>
      </c>
      <c r="D6912" s="22" t="s">
        <v>8942</v>
      </c>
      <c r="E6912" s="22" t="s">
        <v>49</v>
      </c>
      <c r="F6912" s="23" t="str">
        <f>HYPERLINK("https://www.spark-marketing.ru/Card/Lot/71075321", "СМР. Модернизация ПС 35-110 кВ (установка периметральной сигнализации) ПО ""ЦЭС"" (2 шт)")</f>
        <v>СМР. Модернизация ПС 35-110 кВ (установка периметральной сигнализации) ПО "ЦЭС" (2 шт)</v>
      </c>
      <c r="G6912" s="22" t="s">
        <v>60</v>
      </c>
      <c r="H6912" s="22" t="s">
        <v>60</v>
      </c>
      <c r="I6912" s="26">
        <v>43620.556655092601</v>
      </c>
      <c r="J6912" s="28" t="s">
        <v>52</v>
      </c>
      <c r="K6912" s="28" t="s">
        <v>52</v>
      </c>
      <c r="L6912" s="28" t="s">
        <v>52</v>
      </c>
      <c r="M6912" s="28" t="s">
        <v>52</v>
      </c>
      <c r="N6912" s="28" t="s">
        <v>52</v>
      </c>
    </row>
    <row r="6913" spans="1:14" x14ac:dyDescent="0.15">
      <c r="A6913" s="23" t="str">
        <f>HYPERLINK("https://www.spark-marketing.ru/Card/Person/6219431", "МАУ Г. НИЖНЕВАРТОВСКА ""СШ""")</f>
        <v>МАУ Г. НИЖНЕВАРТОВСКА "СШ"</v>
      </c>
      <c r="B6913" s="24" t="s">
        <v>2780</v>
      </c>
      <c r="C6913" s="25">
        <v>121747.26</v>
      </c>
      <c r="D6913" s="22" t="s">
        <v>8943</v>
      </c>
      <c r="E6913" s="22" t="s">
        <v>49</v>
      </c>
      <c r="F6913" s="23" t="str">
        <f>HYPERLINK("https://www.spark-marketing.ru/Card/Lot/71069593", "Выполнение работ по техническому обслуживанию систем видеонаблюдения")</f>
        <v>Выполнение работ по техническому обслуживанию систем видеонаблюдения</v>
      </c>
      <c r="G6913" s="22" t="s">
        <v>119</v>
      </c>
      <c r="H6913" s="22" t="s">
        <v>119</v>
      </c>
      <c r="I6913" s="26">
        <v>43620.471863425897</v>
      </c>
      <c r="J6913" s="28" t="s">
        <v>52</v>
      </c>
      <c r="K6913" s="28" t="s">
        <v>52</v>
      </c>
      <c r="L6913" s="28" t="s">
        <v>52</v>
      </c>
      <c r="M6913" s="28" t="s">
        <v>52</v>
      </c>
      <c r="N6913" s="28" t="s">
        <v>52</v>
      </c>
    </row>
    <row r="6914" spans="1:14" x14ac:dyDescent="0.15">
      <c r="A6914" s="23" t="str">
        <f t="shared" ref="A6914:A6919" si="287">HYPERLINK("https://www.spark-marketing.ru/Card/Person/20166", "ГБУЗ ""БРЯНСКАЯ МБ""")</f>
        <v>ГБУЗ "БРЯНСКАЯ МБ"</v>
      </c>
      <c r="B6914" s="24" t="s">
        <v>8944</v>
      </c>
      <c r="C6914" s="25">
        <v>839040</v>
      </c>
      <c r="D6914" s="22" t="s">
        <v>8945</v>
      </c>
      <c r="E6914" s="22" t="s">
        <v>52</v>
      </c>
      <c r="F6914" s="23" t="str">
        <f t="shared" ref="F6914:F6919" si="288">HYPERLINK("https://www.spark-marketing.ru/Card/Lot/71083437", "Оказание услуг по охране объекта для нужд ГБУЗ ""Брянская МБ""")</f>
        <v>Оказание услуг по охране объекта для нужд ГБУЗ "Брянская МБ"</v>
      </c>
      <c r="G6914" s="22" t="s">
        <v>215</v>
      </c>
      <c r="H6914" s="22" t="s">
        <v>8946</v>
      </c>
      <c r="I6914" s="26">
        <v>43620.496527777803</v>
      </c>
      <c r="J6914" s="28" t="s">
        <v>52</v>
      </c>
      <c r="K6914" s="28" t="s">
        <v>52</v>
      </c>
      <c r="L6914" s="28" t="s">
        <v>52</v>
      </c>
      <c r="M6914" s="28" t="s">
        <v>52</v>
      </c>
      <c r="N6914" s="28" t="s">
        <v>52</v>
      </c>
    </row>
    <row r="6915" spans="1:14" hidden="1" outlineLevel="1" x14ac:dyDescent="0.2">
      <c r="A6915" s="23" t="str">
        <f t="shared" si="287"/>
        <v>ГБУЗ "БРЯНСКАЯ МБ"</v>
      </c>
      <c r="B6915" s="24" t="s">
        <v>8944</v>
      </c>
      <c r="C6915" s="25">
        <v>839040</v>
      </c>
      <c r="D6915" s="22" t="s">
        <v>8945</v>
      </c>
      <c r="E6915" s="22" t="s">
        <v>52</v>
      </c>
      <c r="F6915" s="23" t="str">
        <f t="shared" si="288"/>
        <v>Оказание услуг по охране объекта для нужд ГБУЗ "Брянская МБ"</v>
      </c>
      <c r="G6915" s="22" t="s">
        <v>215</v>
      </c>
      <c r="H6915" s="22" t="s">
        <v>8946</v>
      </c>
      <c r="I6915" s="26">
        <v>43620.496527777803</v>
      </c>
      <c r="J6915" s="23" t="str">
        <f>HYPERLINK("https://www.spark-marketing.ru/Card/Person/1592193", "ООО ""ЦПП""")</f>
        <v>ООО "ЦПП"</v>
      </c>
      <c r="K6915" s="24" t="s">
        <v>8947</v>
      </c>
      <c r="L6915" s="28" t="s">
        <v>52</v>
      </c>
      <c r="M6915" s="25">
        <v>797088</v>
      </c>
      <c r="N6915" s="27">
        <v>0.05</v>
      </c>
    </row>
    <row r="6916" spans="1:14" ht="12.75" hidden="1" outlineLevel="1" x14ac:dyDescent="0.2">
      <c r="A6916" s="23" t="str">
        <f t="shared" si="287"/>
        <v>ГБУЗ "БРЯНСКАЯ МБ"</v>
      </c>
      <c r="B6916" s="24" t="s">
        <v>8944</v>
      </c>
      <c r="C6916" s="25">
        <v>839040</v>
      </c>
      <c r="D6916" s="22" t="s">
        <v>8945</v>
      </c>
      <c r="E6916" s="22" t="s">
        <v>52</v>
      </c>
      <c r="F6916" s="23" t="str">
        <f t="shared" si="288"/>
        <v>Оказание услуг по охране объекта для нужд ГБУЗ "Брянская МБ"</v>
      </c>
      <c r="G6916" s="22" t="s">
        <v>215</v>
      </c>
      <c r="H6916" s="22" t="s">
        <v>8946</v>
      </c>
      <c r="I6916" s="26">
        <v>43620.496527777803</v>
      </c>
      <c r="J6916" s="23" t="str">
        <f>HYPERLINK("https://www.spark-marketing.ru/Card/Person/63100", "ООО ""ЧОП ""ИМПЕРАТОР""")</f>
        <v>ООО "ЧОП "ИМПЕРАТОР"</v>
      </c>
      <c r="K6916" s="24" t="s">
        <v>8948</v>
      </c>
      <c r="L6916" s="22" t="s">
        <v>10</v>
      </c>
      <c r="M6916" s="25">
        <v>578937.59999999998</v>
      </c>
      <c r="N6916" s="27">
        <v>0.31</v>
      </c>
    </row>
    <row r="6917" spans="1:14" hidden="1" outlineLevel="1" x14ac:dyDescent="0.2">
      <c r="A6917" s="23" t="str">
        <f t="shared" si="287"/>
        <v>ГБУЗ "БРЯНСКАЯ МБ"</v>
      </c>
      <c r="B6917" s="24" t="s">
        <v>8944</v>
      </c>
      <c r="C6917" s="25">
        <v>839040</v>
      </c>
      <c r="D6917" s="22" t="s">
        <v>8945</v>
      </c>
      <c r="E6917" s="22" t="s">
        <v>52</v>
      </c>
      <c r="F6917" s="23" t="str">
        <f t="shared" si="288"/>
        <v>Оказание услуг по охране объекта для нужд ГБУЗ "Брянская МБ"</v>
      </c>
      <c r="G6917" s="22" t="s">
        <v>215</v>
      </c>
      <c r="H6917" s="22" t="s">
        <v>8946</v>
      </c>
      <c r="I6917" s="26">
        <v>43620.496527777803</v>
      </c>
      <c r="J6917" s="23" t="str">
        <f>HYPERLINK("https://www.spark-marketing.ru/Card/Person/123447", "ЧО ООО ""АЛИОТ""")</f>
        <v>ЧО ООО "АЛИОТ"</v>
      </c>
      <c r="K6917" s="24" t="s">
        <v>8949</v>
      </c>
      <c r="L6917" s="28" t="s">
        <v>52</v>
      </c>
      <c r="M6917" s="25">
        <v>583132.80000000005</v>
      </c>
      <c r="N6917" s="27">
        <v>0.30499999999999999</v>
      </c>
    </row>
    <row r="6918" spans="1:14" hidden="1" outlineLevel="1" x14ac:dyDescent="0.2">
      <c r="A6918" s="23" t="str">
        <f t="shared" si="287"/>
        <v>ГБУЗ "БРЯНСКАЯ МБ"</v>
      </c>
      <c r="B6918" s="24" t="s">
        <v>8944</v>
      </c>
      <c r="C6918" s="25">
        <v>839040</v>
      </c>
      <c r="D6918" s="22" t="s">
        <v>8945</v>
      </c>
      <c r="E6918" s="22" t="s">
        <v>52</v>
      </c>
      <c r="F6918" s="23" t="str">
        <f t="shared" si="288"/>
        <v>Оказание услуг по охране объекта для нужд ГБУЗ "Брянская МБ"</v>
      </c>
      <c r="G6918" s="22" t="s">
        <v>215</v>
      </c>
      <c r="H6918" s="22" t="s">
        <v>8946</v>
      </c>
      <c r="I6918" s="26">
        <v>43620.496527777803</v>
      </c>
      <c r="J6918" s="23" t="str">
        <f>HYPERLINK("https://www.spark-marketing.ru/Card/Person/6518770", "ООО ЧОО ""ГАРАНТ-БЕЗОПАСНОСТИ""")</f>
        <v>ООО ЧОО "ГАРАНТ-БЕЗОПАСНОСТИ"</v>
      </c>
      <c r="K6918" s="24" t="s">
        <v>8950</v>
      </c>
      <c r="L6918" s="28" t="s">
        <v>52</v>
      </c>
      <c r="M6918" s="25">
        <v>591523.19999999995</v>
      </c>
      <c r="N6918" s="27">
        <v>0.29499999999999998</v>
      </c>
    </row>
    <row r="6919" spans="1:14" hidden="1" outlineLevel="1" x14ac:dyDescent="0.2">
      <c r="A6919" s="23" t="str">
        <f t="shared" si="287"/>
        <v>ГБУЗ "БРЯНСКАЯ МБ"</v>
      </c>
      <c r="B6919" s="24" t="s">
        <v>8944</v>
      </c>
      <c r="C6919" s="25">
        <v>839040</v>
      </c>
      <c r="D6919" s="22" t="s">
        <v>8945</v>
      </c>
      <c r="E6919" s="22" t="s">
        <v>52</v>
      </c>
      <c r="F6919" s="23" t="str">
        <f t="shared" si="288"/>
        <v>Оказание услуг по охране объекта для нужд ГБУЗ "Брянская МБ"</v>
      </c>
      <c r="G6919" s="22" t="s">
        <v>215</v>
      </c>
      <c r="H6919" s="22" t="s">
        <v>8946</v>
      </c>
      <c r="I6919" s="26">
        <v>43620.496527777803</v>
      </c>
      <c r="J6919" s="23" t="str">
        <f>HYPERLINK("https://www.spark-marketing.ru/Card/Person/500558", "ООО ""ЧОО ""ЭКСКАЛИБУР""")</f>
        <v>ООО "ЧОО "ЭКСКАЛИБУР"</v>
      </c>
      <c r="K6919" s="24" t="s">
        <v>8951</v>
      </c>
      <c r="L6919" s="28" t="s">
        <v>52</v>
      </c>
      <c r="M6919" s="25">
        <v>759331.2</v>
      </c>
      <c r="N6919" s="27">
        <v>9.5000000000000001E-2</v>
      </c>
    </row>
    <row r="6920" spans="1:14" x14ac:dyDescent="0.2">
      <c r="A6920" s="23" t="str">
        <f>HYPERLINK("https://www.spark-marketing.ru/Card/Person/303971", "ФБУ ""ТЕСТ-С.-ПЕТЕРБУРГ""")</f>
        <v>ФБУ "ТЕСТ-С.-ПЕТЕРБУРГ"</v>
      </c>
      <c r="B6920" s="24" t="s">
        <v>8952</v>
      </c>
      <c r="C6920" s="25">
        <v>179057.34</v>
      </c>
      <c r="D6920" s="22" t="s">
        <v>8953</v>
      </c>
      <c r="E6920" s="22" t="s">
        <v>137</v>
      </c>
      <c r="F6920" s="23" t="str">
        <f>HYPERLINK("https://www.spark-marketing.ru/Card/Lot/71072811", "Техническое обслуживание системы видеонаблюдения (второе полугодие 2019 г.)")</f>
        <v>Техническое обслуживание системы видеонаблюдения (второе полугодие 2019 г.)</v>
      </c>
      <c r="G6920" s="22" t="s">
        <v>89</v>
      </c>
      <c r="H6920" s="22" t="s">
        <v>89</v>
      </c>
      <c r="I6920" s="26">
        <v>43620.443796296298</v>
      </c>
      <c r="J6920" s="28" t="s">
        <v>52</v>
      </c>
      <c r="K6920" s="28" t="s">
        <v>52</v>
      </c>
      <c r="L6920" s="28" t="s">
        <v>52</v>
      </c>
      <c r="M6920" s="25">
        <v>179057.34</v>
      </c>
      <c r="N6920" s="27">
        <v>0</v>
      </c>
    </row>
    <row r="6921" spans="1:14" x14ac:dyDescent="0.15">
      <c r="A6921" s="23" t="str">
        <f>HYPERLINK("https://www.spark-marketing.ru/Card/Person/60597", "БУЗ ВО ""ВГБ № 14""")</f>
        <v>БУЗ ВО "ВГБ № 14"</v>
      </c>
      <c r="B6921" s="24" t="s">
        <v>8954</v>
      </c>
      <c r="C6921" s="25">
        <v>278208</v>
      </c>
      <c r="D6921" s="22" t="s">
        <v>8955</v>
      </c>
      <c r="E6921" s="22" t="s">
        <v>52</v>
      </c>
      <c r="F6921" s="23" t="str">
        <f>HYPERLINK("https://www.spark-marketing.ru/Card/Lot/71080601", "Оказание услуг по обеспечению физической охраны объектов внутри зданий, по периметру и территории БУЗ ВО «Воронежская городская больница №14»")</f>
        <v>Оказание услуг по обеспечению физической охраны объектов внутри зданий, по периметру и территории БУЗ ВО «Воронежская городская больница №14»</v>
      </c>
      <c r="G6921" s="22" t="s">
        <v>552</v>
      </c>
      <c r="H6921" s="22" t="s">
        <v>886</v>
      </c>
      <c r="I6921" s="26">
        <v>43620.438194444403</v>
      </c>
      <c r="J6921" s="28" t="s">
        <v>52</v>
      </c>
      <c r="K6921" s="28" t="s">
        <v>52</v>
      </c>
      <c r="L6921" s="28" t="s">
        <v>52</v>
      </c>
      <c r="M6921" s="28" t="s">
        <v>52</v>
      </c>
      <c r="N6921" s="28" t="s">
        <v>52</v>
      </c>
    </row>
    <row r="6922" spans="1:14" hidden="1" outlineLevel="1" x14ac:dyDescent="0.2">
      <c r="A6922" s="23" t="str">
        <f>HYPERLINK("https://www.spark-marketing.ru/Card/Person/60597", "БУЗ ВО ""ВГБ № 14""")</f>
        <v>БУЗ ВО "ВГБ № 14"</v>
      </c>
      <c r="B6922" s="24" t="s">
        <v>8954</v>
      </c>
      <c r="C6922" s="25">
        <v>278208</v>
      </c>
      <c r="D6922" s="22" t="s">
        <v>8955</v>
      </c>
      <c r="E6922" s="22" t="s">
        <v>52</v>
      </c>
      <c r="F6922" s="23" t="str">
        <f>HYPERLINK("https://www.spark-marketing.ru/Card/Lot/71080601", "Оказание услуг по обеспечению физической охраны объектов внутри зданий, по периметру и территории БУЗ ВО «Воронежская городская больница №14»")</f>
        <v>Оказание услуг по обеспечению физической охраны объектов внутри зданий, по периметру и территории БУЗ ВО «Воронежская городская больница №14»</v>
      </c>
      <c r="G6922" s="22" t="s">
        <v>552</v>
      </c>
      <c r="H6922" s="22" t="s">
        <v>886</v>
      </c>
      <c r="I6922" s="26">
        <v>43620.438194444403</v>
      </c>
      <c r="J6922" s="23" t="str">
        <f>HYPERLINK("https://www.spark-marketing.ru/Card/Person/92894", "ООО ЧОП ""ЯГУАР""")</f>
        <v>ООО ЧОП "ЯГУАР"</v>
      </c>
      <c r="K6922" s="24" t="s">
        <v>8956</v>
      </c>
      <c r="L6922" s="28" t="s">
        <v>52</v>
      </c>
      <c r="M6922" s="25">
        <v>277324</v>
      </c>
      <c r="N6922" s="27">
        <v>3.1774787209569817E-3</v>
      </c>
    </row>
    <row r="6923" spans="1:14" ht="12.75" hidden="1" outlineLevel="1" x14ac:dyDescent="0.2">
      <c r="A6923" s="23" t="str">
        <f>HYPERLINK("https://www.spark-marketing.ru/Card/Person/60597", "БУЗ ВО ""ВГБ № 14""")</f>
        <v>БУЗ ВО "ВГБ № 14"</v>
      </c>
      <c r="B6923" s="24" t="s">
        <v>8954</v>
      </c>
      <c r="C6923" s="25">
        <v>278208</v>
      </c>
      <c r="D6923" s="22" t="s">
        <v>8955</v>
      </c>
      <c r="E6923" s="22" t="s">
        <v>52</v>
      </c>
      <c r="F6923" s="23" t="str">
        <f>HYPERLINK("https://www.spark-marketing.ru/Card/Lot/71080601", "Оказание услуг по обеспечению физической охраны объектов внутри зданий, по периметру и территории БУЗ ВО «Воронежская городская больница №14»")</f>
        <v>Оказание услуг по обеспечению физической охраны объектов внутри зданий, по периметру и территории БУЗ ВО «Воронежская городская больница №14»</v>
      </c>
      <c r="G6923" s="22" t="s">
        <v>552</v>
      </c>
      <c r="H6923" s="22" t="s">
        <v>886</v>
      </c>
      <c r="I6923" s="26">
        <v>43620.438194444403</v>
      </c>
      <c r="J6923" s="23" t="str">
        <f>HYPERLINK("https://www.spark-marketing.ru/Card/Person/263242", "ООО ЧОО ""ДОЗОР""")</f>
        <v>ООО ЧОО "ДОЗОР"</v>
      </c>
      <c r="K6923" s="24" t="s">
        <v>8957</v>
      </c>
      <c r="L6923" s="22" t="s">
        <v>10</v>
      </c>
      <c r="M6923" s="25">
        <v>276000</v>
      </c>
      <c r="N6923" s="27">
        <v>7.9365079365079361E-3</v>
      </c>
    </row>
    <row r="6924" spans="1:14" x14ac:dyDescent="0.15">
      <c r="A6924" s="23" t="str">
        <f>HYPERLINK("https://www.spark-marketing.ru/Card/Person/61045", "СУ СК РОССИИ ПО ВОРОНЕЖСКОЙ ОБЛАСТИ")</f>
        <v>СУ СК РОССИИ ПО ВОРОНЕЖСКОЙ ОБЛАСТИ</v>
      </c>
      <c r="B6924" s="24" t="s">
        <v>8958</v>
      </c>
      <c r="C6924" s="25">
        <v>1011932.22</v>
      </c>
      <c r="D6924" s="22" t="s">
        <v>8959</v>
      </c>
      <c r="E6924" s="22" t="s">
        <v>68</v>
      </c>
      <c r="F6924" s="23" t="str">
        <f>HYPERLINK("https://www.spark-marketing.ru/Card/Lot/71076940", "Услуги по охране объектов")</f>
        <v>Услуги по охране объектов</v>
      </c>
      <c r="G6924" s="22" t="s">
        <v>552</v>
      </c>
      <c r="H6924" s="22" t="s">
        <v>552</v>
      </c>
      <c r="I6924" s="26">
        <v>43620.435416666704</v>
      </c>
      <c r="J6924" s="23" t="str">
        <f>HYPERLINK("https://www.spark-marketing.ru/Card/Person/4347319", "ФГКУ ""УВО ВНГ РОССИИ ПО ВОРОНЕЖСКОЙ ОБЛАСТИ""")</f>
        <v>ФГКУ "УВО ВНГ РОССИИ ПО ВОРОНЕЖСКОЙ ОБЛАСТИ"</v>
      </c>
      <c r="K6924" s="24" t="s">
        <v>8960</v>
      </c>
      <c r="L6924" s="22" t="s">
        <v>10</v>
      </c>
      <c r="M6924" s="28" t="s">
        <v>52</v>
      </c>
      <c r="N6924" s="28" t="s">
        <v>52</v>
      </c>
    </row>
    <row r="6925" spans="1:14" x14ac:dyDescent="0.15">
      <c r="A6925" s="23" t="str">
        <f>HYPERLINK("https://www.spark-marketing.ru/Card/Person/124646", "МАОУ СОШ №32 Г. ЮЖНО-САХАЛИНСКА")</f>
        <v>МАОУ СОШ №32 Г. ЮЖНО-САХАЛИНСКА</v>
      </c>
      <c r="B6925" s="24" t="s">
        <v>8961</v>
      </c>
      <c r="C6925" s="25">
        <v>198380</v>
      </c>
      <c r="D6925" s="22" t="s">
        <v>8962</v>
      </c>
      <c r="E6925" s="22" t="s">
        <v>8963</v>
      </c>
      <c r="F6925" s="23" t="str">
        <f>HYPERLINK("https://www.spark-marketing.ru/Card/Lot/71062989", "Охрана двух зданий и прилегающей к ним территории, имущества МАОУ СОШ № 32 города Южно-Сахалинска")</f>
        <v>Охрана двух зданий и прилегающей к ним территории, имущества МАОУ СОШ № 32 города Южно-Сахалинска</v>
      </c>
      <c r="G6925" s="22" t="s">
        <v>69</v>
      </c>
      <c r="H6925" s="22" t="s">
        <v>69</v>
      </c>
      <c r="I6925" s="26">
        <v>43620.442708333299</v>
      </c>
      <c r="J6925" s="28" t="s">
        <v>52</v>
      </c>
      <c r="K6925" s="28" t="s">
        <v>52</v>
      </c>
      <c r="L6925" s="28" t="s">
        <v>52</v>
      </c>
      <c r="M6925" s="28" t="s">
        <v>52</v>
      </c>
      <c r="N6925" s="28" t="s">
        <v>52</v>
      </c>
    </row>
    <row r="6926" spans="1:14" x14ac:dyDescent="0.15">
      <c r="A6926" s="23" t="str">
        <f>HYPERLINK("https://www.spark-marketing.ru/Card/Person/3692", "ФКУ ИК-3 ГУФСИН РОССИИ ПО НОВОСИБИРСКОЙ ОБЛАСТИ")</f>
        <v>ФКУ ИК-3 ГУФСИН РОССИИ ПО НОВОСИБИРСКОЙ ОБЛАСТИ</v>
      </c>
      <c r="B6926" s="24" t="s">
        <v>8964</v>
      </c>
      <c r="C6926" s="25">
        <v>8136.6</v>
      </c>
      <c r="D6926" s="22" t="s">
        <v>8965</v>
      </c>
      <c r="E6926" s="22" t="s">
        <v>208</v>
      </c>
      <c r="F6926" s="23" t="str">
        <f>HYPERLINK("https://www.spark-marketing.ru/Card/Lot/71066460", "поставка комплектующих тревожной сигнализации")</f>
        <v>поставка комплектующих тревожной сигнализации</v>
      </c>
      <c r="G6926" s="22" t="s">
        <v>209</v>
      </c>
      <c r="H6926" s="22" t="s">
        <v>210</v>
      </c>
      <c r="I6926" s="26">
        <v>43620.4506944444</v>
      </c>
      <c r="J6926" s="23" t="str">
        <f>HYPERLINK("https://www.spark-marketing.ru/Card/Person/726889", "ООО ""ОРИОН""")</f>
        <v>ООО "ОРИОН"</v>
      </c>
      <c r="K6926" s="24" t="s">
        <v>3483</v>
      </c>
      <c r="L6926" s="28" t="s">
        <v>52</v>
      </c>
      <c r="M6926" s="28" t="s">
        <v>52</v>
      </c>
      <c r="N6926" s="28" t="s">
        <v>52</v>
      </c>
    </row>
    <row r="6927" spans="1:14" ht="12.75" hidden="1" outlineLevel="1" x14ac:dyDescent="0.2">
      <c r="A6927" s="23" t="str">
        <f>HYPERLINK("https://www.spark-marketing.ru/Card/Person/3692", "ФКУ ИК-3 ГУФСИН РОССИИ ПО НОВОСИБИРСКОЙ ОБЛАСТИ")</f>
        <v>ФКУ ИК-3 ГУФСИН РОССИИ ПО НОВОСИБИРСКОЙ ОБЛАСТИ</v>
      </c>
      <c r="B6927" s="24" t="s">
        <v>8964</v>
      </c>
      <c r="C6927" s="25">
        <v>8136.6</v>
      </c>
      <c r="D6927" s="22" t="s">
        <v>8965</v>
      </c>
      <c r="E6927" s="22" t="s">
        <v>208</v>
      </c>
      <c r="F6927" s="23" t="str">
        <f>HYPERLINK("https://www.spark-marketing.ru/Card/Lot/71066460", "поставка комплектующих тревожной сигнализации")</f>
        <v>поставка комплектующих тревожной сигнализации</v>
      </c>
      <c r="G6927" s="22" t="s">
        <v>209</v>
      </c>
      <c r="H6927" s="22" t="s">
        <v>210</v>
      </c>
      <c r="I6927" s="26">
        <v>43620.4506944444</v>
      </c>
      <c r="J6927" s="23" t="str">
        <f>HYPERLINK("https://www.spark-marketing.ru/Card/Person/726889", "ООО ""ОРИОН""")</f>
        <v>ООО "ОРИОН"</v>
      </c>
      <c r="K6927" s="24" t="s">
        <v>3483</v>
      </c>
      <c r="L6927" s="22" t="s">
        <v>10</v>
      </c>
      <c r="M6927" s="25">
        <v>8036.6</v>
      </c>
      <c r="N6927" s="27">
        <v>1.2290145761128727E-2</v>
      </c>
    </row>
    <row r="6928" spans="1:14" x14ac:dyDescent="0.15">
      <c r="A6928" s="23" t="str">
        <f>HYPERLINK("https://www.spark-marketing.ru/Card/Person/1022282", "МОУ ""ДЕМИХОВСКИЙ ЛИЦЕЙ""")</f>
        <v>МОУ "ДЕМИХОВСКИЙ ЛИЦЕЙ"</v>
      </c>
      <c r="B6928" s="24" t="s">
        <v>8966</v>
      </c>
      <c r="C6928" s="25">
        <v>223148.11</v>
      </c>
      <c r="D6928" s="22" t="s">
        <v>8967</v>
      </c>
      <c r="E6928" s="22" t="s">
        <v>49</v>
      </c>
      <c r="F6928" s="23" t="str">
        <f>HYPERLINK("https://www.spark-marketing.ru/Card/Lot/71071991", "Оказание услуг по установке системы видеонаблюдения")</f>
        <v>Оказание услуг по установке системы видеонаблюдения</v>
      </c>
      <c r="G6928" s="22" t="s">
        <v>50</v>
      </c>
      <c r="H6928" s="22" t="s">
        <v>50</v>
      </c>
      <c r="I6928" s="26">
        <v>43620.444780092599</v>
      </c>
      <c r="J6928" s="28" t="s">
        <v>52</v>
      </c>
      <c r="K6928" s="28" t="s">
        <v>52</v>
      </c>
      <c r="L6928" s="28" t="s">
        <v>52</v>
      </c>
      <c r="M6928" s="28" t="s">
        <v>52</v>
      </c>
      <c r="N6928" s="28" t="s">
        <v>52</v>
      </c>
    </row>
    <row r="6929" spans="1:14" x14ac:dyDescent="0.15">
      <c r="A6929" s="23" t="str">
        <f>HYPERLINK("https://www.spark-marketing.ru/Card/Person/57577", "Управление Генеральной прокуратуры РФ в СЗФО")</f>
        <v>Управление Генеральной прокуратуры РФ в СЗФО</v>
      </c>
      <c r="B6929" s="24" t="s">
        <v>8404</v>
      </c>
      <c r="C6929" s="25">
        <v>527527.19999999995</v>
      </c>
      <c r="D6929" s="22" t="s">
        <v>8968</v>
      </c>
      <c r="E6929" s="22" t="s">
        <v>68</v>
      </c>
      <c r="F6929" s="23" t="str">
        <f>HYPERLINK("https://www.spark-marketing.ru/Card/Lot/71077194", "Услуги   по  военизированной охране объекта (помещений)  управления Генеральной прокуратуры Российской  Федерации в Северо-Западном  федеральном округе")</f>
        <v>Услуги   по  военизированной охране объекта (помещений)  управления Генеральной прокуратуры Российской  Федерации в Северо-Западном  федеральном округе</v>
      </c>
      <c r="G6929" s="22" t="s">
        <v>89</v>
      </c>
      <c r="H6929" s="22" t="s">
        <v>89</v>
      </c>
      <c r="I6929" s="26">
        <v>43620.452083333301</v>
      </c>
      <c r="J6929" s="23" t="str">
        <f>HYPERLINK("https://www.spark-marketing.ru/Card/Person/4347044", "ФГКУ ""УВО ВНГ РОССИИ ПО Г. СПБ И ЛО""")</f>
        <v>ФГКУ "УВО ВНГ РОССИИ ПО Г. СПБ И ЛО"</v>
      </c>
      <c r="K6929" s="24" t="s">
        <v>8969</v>
      </c>
      <c r="L6929" s="22" t="s">
        <v>10</v>
      </c>
      <c r="M6929" s="28" t="s">
        <v>52</v>
      </c>
      <c r="N6929" s="28" t="s">
        <v>52</v>
      </c>
    </row>
    <row r="6930" spans="1:14" x14ac:dyDescent="0.15">
      <c r="A6930" s="23" t="str">
        <f>HYPERLINK("https://www.spark-marketing.ru/Card/Person/136217", "МБОУ СОШ № 198")</f>
        <v>МБОУ СОШ № 198</v>
      </c>
      <c r="B6930" s="24" t="s">
        <v>8970</v>
      </c>
      <c r="C6930" s="25">
        <v>107033.85</v>
      </c>
      <c r="D6930" s="22" t="s">
        <v>8971</v>
      </c>
      <c r="E6930" s="22" t="s">
        <v>68</v>
      </c>
      <c r="F6930" s="23" t="str">
        <f>HYPERLINK("https://www.spark-marketing.ru/Card/Lot/71069370", "услуги по охране объекта заказчика, расположенного по адресу: 630088 г.Новосибирск, ул.Палласа,28")</f>
        <v>услуги по охране объекта заказчика, расположенного по адресу: 630088 г.Новосибирск, ул.Палласа,28</v>
      </c>
      <c r="G6930" s="22" t="s">
        <v>209</v>
      </c>
      <c r="H6930" s="22" t="s">
        <v>210</v>
      </c>
      <c r="I6930" s="26">
        <v>43620.393750000003</v>
      </c>
      <c r="J6930" s="28" t="s">
        <v>52</v>
      </c>
      <c r="K6930" s="28" t="s">
        <v>52</v>
      </c>
      <c r="L6930" s="28" t="s">
        <v>52</v>
      </c>
      <c r="M6930" s="28" t="s">
        <v>52</v>
      </c>
      <c r="N6930" s="28" t="s">
        <v>52</v>
      </c>
    </row>
    <row r="6931" spans="1:14" x14ac:dyDescent="0.15">
      <c r="A6931" s="23" t="str">
        <f>HYPERLINK("https://www.spark-marketing.ru/Card/Person/1302831", "МДОУ № 11 ""РАДОСТЬ""")</f>
        <v>МДОУ № 11 "РАДОСТЬ"</v>
      </c>
      <c r="B6931" s="24" t="s">
        <v>8972</v>
      </c>
      <c r="C6931" s="25">
        <v>175000</v>
      </c>
      <c r="D6931" s="22" t="s">
        <v>8973</v>
      </c>
      <c r="E6931" s="22" t="s">
        <v>84</v>
      </c>
      <c r="F6931" s="23" t="str">
        <f>HYPERLINK("https://www.spark-marketing.ru/Card/Lot/71067955", "услуги по приобретению и установке видеонаблюдения")</f>
        <v>услуги по приобретению и установке видеонаблюдения</v>
      </c>
      <c r="G6931" s="22" t="s">
        <v>50</v>
      </c>
      <c r="H6931" s="22" t="s">
        <v>504</v>
      </c>
      <c r="I6931" s="26">
        <v>43620.3679976852</v>
      </c>
      <c r="J6931" s="28" t="s">
        <v>52</v>
      </c>
      <c r="K6931" s="28" t="s">
        <v>52</v>
      </c>
      <c r="L6931" s="28" t="s">
        <v>52</v>
      </c>
      <c r="M6931" s="28" t="s">
        <v>52</v>
      </c>
      <c r="N6931" s="28" t="s">
        <v>52</v>
      </c>
    </row>
    <row r="6932" spans="1:14" x14ac:dyDescent="0.15">
      <c r="A6932" s="23" t="str">
        <f>HYPERLINK("https://www.spark-marketing.ru/Card/Person/1006431", "МДОУ ДЕТСКИЙ САД №3 ""РЯБИНКА""")</f>
        <v>МДОУ ДЕТСКИЙ САД №3 "РЯБИНКА"</v>
      </c>
      <c r="B6932" s="24" t="s">
        <v>8974</v>
      </c>
      <c r="C6932" s="25">
        <v>310000</v>
      </c>
      <c r="D6932" s="22" t="s">
        <v>8975</v>
      </c>
      <c r="E6932" s="22" t="s">
        <v>84</v>
      </c>
      <c r="F6932" s="23" t="str">
        <f>HYPERLINK("https://www.spark-marketing.ru/Card/Lot/71067954", "Оказание услуги по согласованию паспортов и мест размещения камер видеонаблюдения, установке и подключения оборудования системы видеонаблюдения в соответствии с общими техническими требованиями к системам видеонаблюдения технологического обеспечения ...")</f>
        <v>Оказание услуги по согласованию паспортов и мест размещения камер видеонаблюдения, установке и подключения оборудования системы видеонаблюдения в соответствии с общими техническими требованиями к системам видеонаблюдения технологического обеспечения ...</v>
      </c>
      <c r="G6932" s="22" t="s">
        <v>50</v>
      </c>
      <c r="H6932" s="22" t="s">
        <v>682</v>
      </c>
      <c r="I6932" s="26">
        <v>43620.367870370399</v>
      </c>
      <c r="J6932" s="28" t="s">
        <v>52</v>
      </c>
      <c r="K6932" s="28" t="s">
        <v>52</v>
      </c>
      <c r="L6932" s="28" t="s">
        <v>52</v>
      </c>
      <c r="M6932" s="28" t="s">
        <v>52</v>
      </c>
      <c r="N6932" s="28" t="s">
        <v>52</v>
      </c>
    </row>
    <row r="6933" spans="1:14" x14ac:dyDescent="0.15">
      <c r="A6933" s="23" t="str">
        <f>HYPERLINK("https://www.spark-marketing.ru/Card/Person/13238", "БУ ""СУРГУТСКАЯ ГОРОДСКАЯ КЛИНИЧЕСКАЯ ПОЛИКЛИНИКА № 4""")</f>
        <v>БУ "СУРГУТСКАЯ ГОРОДСКАЯ КЛИНИЧЕСКАЯ ПОЛИКЛИНИКА № 4"</v>
      </c>
      <c r="B6933" s="24" t="s">
        <v>8976</v>
      </c>
      <c r="C6933" s="28" t="s">
        <v>52</v>
      </c>
      <c r="D6933" s="22" t="s">
        <v>8977</v>
      </c>
      <c r="E6933" s="22" t="s">
        <v>52</v>
      </c>
      <c r="F6933" s="23" t="str">
        <f>HYPERLINK("https://www.spark-marketing.ru/Card/Lot/71066237", "Оказание услуг по комплексному техническому обслуживанию эндоскопов на 2 полугодие 2019 года.")</f>
        <v>Оказание услуг по комплексному техническому обслуживанию эндоскопов на 2 полугодие 2019 года.</v>
      </c>
      <c r="G6933" s="22" t="s">
        <v>119</v>
      </c>
      <c r="H6933" s="22" t="s">
        <v>463</v>
      </c>
      <c r="I6933" s="26">
        <v>43620.320833333302</v>
      </c>
      <c r="J6933" s="28" t="s">
        <v>52</v>
      </c>
      <c r="K6933" s="28" t="s">
        <v>52</v>
      </c>
      <c r="L6933" s="28" t="s">
        <v>52</v>
      </c>
      <c r="M6933" s="28" t="s">
        <v>52</v>
      </c>
      <c r="N6933" s="28" t="s">
        <v>52</v>
      </c>
    </row>
    <row r="6934" spans="1:14" x14ac:dyDescent="0.15">
      <c r="A6934" s="23" t="str">
        <f>HYPERLINK("https://www.spark-marketing.ru/Card/Person/4379377", "МУ ""КЦСОН"" ОРДЖОНИКИДЗЕВСКОГО РАЙОНА Г. МАГНИТОГОРСКА")</f>
        <v>МУ "КЦСОН" ОРДЖОНИКИДЗЕВСКОГО РАЙОНА Г. МАГНИТОГОРСКА</v>
      </c>
      <c r="B6934" s="24" t="s">
        <v>8978</v>
      </c>
      <c r="C6934" s="28" t="s">
        <v>52</v>
      </c>
      <c r="D6934" s="22" t="s">
        <v>8979</v>
      </c>
      <c r="E6934" s="22" t="s">
        <v>107</v>
      </c>
      <c r="F6934" s="23" t="str">
        <f>HYPERLINK("https://www.spark-marketing.ru/Card/Lot/71065410", "Услуги по техническому обслуживанию системы видеонаблюдения")</f>
        <v>Услуги по техническому обслуживанию системы видеонаблюдения</v>
      </c>
      <c r="G6934" s="22" t="s">
        <v>60</v>
      </c>
      <c r="H6934" s="22" t="s">
        <v>221</v>
      </c>
      <c r="I6934" s="26">
        <v>43620.302777777797</v>
      </c>
      <c r="J6934" s="28" t="s">
        <v>52</v>
      </c>
      <c r="K6934" s="28" t="s">
        <v>52</v>
      </c>
      <c r="L6934" s="28" t="s">
        <v>52</v>
      </c>
      <c r="M6934" s="28" t="s">
        <v>52</v>
      </c>
      <c r="N6934" s="28" t="s">
        <v>52</v>
      </c>
    </row>
    <row r="6935" spans="1:14" x14ac:dyDescent="0.15">
      <c r="A6935" s="23" t="str">
        <f>HYPERLINK("https://www.spark-marketing.ru/Card/Person/214364", "КГКУ ДЕТСКИЙ ДОМ 8")</f>
        <v>КГКУ ДЕТСКИЙ ДОМ 8</v>
      </c>
      <c r="B6935" s="24" t="s">
        <v>8980</v>
      </c>
      <c r="C6935" s="25">
        <v>23110</v>
      </c>
      <c r="D6935" s="22" t="s">
        <v>8981</v>
      </c>
      <c r="E6935" s="22" t="s">
        <v>84</v>
      </c>
      <c r="F6935" s="23" t="str">
        <f>HYPERLINK("https://www.spark-marketing.ru/Card/Lot/71062900", "Монтаж, установка видеонаблюдения, 1 шт")</f>
        <v>Монтаж, установка видеонаблюдения, 1 шт</v>
      </c>
      <c r="G6935" s="22" t="s">
        <v>138</v>
      </c>
      <c r="H6935" s="22" t="s">
        <v>139</v>
      </c>
      <c r="I6935" s="26">
        <v>43620.124270833301</v>
      </c>
      <c r="J6935" s="28" t="s">
        <v>52</v>
      </c>
      <c r="K6935" s="28" t="s">
        <v>52</v>
      </c>
      <c r="L6935" s="28" t="s">
        <v>52</v>
      </c>
      <c r="M6935" s="28" t="s">
        <v>52</v>
      </c>
      <c r="N6935" s="28" t="s">
        <v>52</v>
      </c>
    </row>
    <row r="6936" spans="1:14" x14ac:dyDescent="0.15">
      <c r="A6936" s="23" t="str">
        <f>HYPERLINK("https://www.spark-marketing.ru/Card/Person/214364", "КГКУ ДЕТСКИЙ ДОМ 8")</f>
        <v>КГКУ ДЕТСКИЙ ДОМ 8</v>
      </c>
      <c r="B6936" s="24" t="s">
        <v>8980</v>
      </c>
      <c r="C6936" s="25">
        <v>22472</v>
      </c>
      <c r="D6936" s="22" t="s">
        <v>8982</v>
      </c>
      <c r="E6936" s="22" t="s">
        <v>53</v>
      </c>
      <c r="F6936" s="23" t="str">
        <f>HYPERLINK("https://www.spark-marketing.ru/Card/Lot/71062889", "Установка охранной сигнализации, 1 шт")</f>
        <v>Установка охранной сигнализации, 1 шт</v>
      </c>
      <c r="G6936" s="22" t="s">
        <v>138</v>
      </c>
      <c r="H6936" s="22" t="s">
        <v>139</v>
      </c>
      <c r="I6936" s="26">
        <v>43620.120138888902</v>
      </c>
      <c r="J6936" s="28" t="s">
        <v>52</v>
      </c>
      <c r="K6936" s="28" t="s">
        <v>52</v>
      </c>
      <c r="L6936" s="28" t="s">
        <v>52</v>
      </c>
      <c r="M6936" s="28" t="s">
        <v>52</v>
      </c>
      <c r="N6936" s="28" t="s">
        <v>52</v>
      </c>
    </row>
    <row r="6937" spans="1:14" x14ac:dyDescent="0.15">
      <c r="A6937" s="23" t="str">
        <f>HYPERLINK("https://www.spark-marketing.ru/Card/Person/4346479", "АО ""ЦС ""ЗВЕЗДОЧКА""")</f>
        <v>АО "ЦС "ЗВЕЗДОЧКА"</v>
      </c>
      <c r="B6937" s="24" t="s">
        <v>8983</v>
      </c>
      <c r="C6937" s="25">
        <v>19383914</v>
      </c>
      <c r="D6937" s="22" t="s">
        <v>8984</v>
      </c>
      <c r="E6937" s="22" t="s">
        <v>8985</v>
      </c>
      <c r="F6937" s="23" t="str">
        <f>HYPERLINK("https://www.spark-marketing.ru/Card/Lot/71052866", "Сервисное обслуживание систем автоматики. Системы автоматического контроля, сигнализации, управления, защиты на кораблях проектов 2020, 1155, 1400 М, 141, СК620.")</f>
        <v>Сервисное обслуживание систем автоматики. Системы автоматического контроля, сигнализации, управления, защиты на кораблях проектов 2020, 1155, 1400 М, 141, СК620.</v>
      </c>
      <c r="G6937" s="22" t="s">
        <v>190</v>
      </c>
      <c r="H6937" s="22" t="s">
        <v>190</v>
      </c>
      <c r="I6937" s="26">
        <v>43619.692754629599</v>
      </c>
      <c r="J6937" s="28" t="s">
        <v>52</v>
      </c>
      <c r="K6937" s="28" t="s">
        <v>52</v>
      </c>
      <c r="L6937" s="28" t="s">
        <v>52</v>
      </c>
      <c r="M6937" s="28" t="s">
        <v>52</v>
      </c>
      <c r="N6937" s="28" t="s">
        <v>52</v>
      </c>
    </row>
    <row r="6938" spans="1:14" x14ac:dyDescent="0.15">
      <c r="A6938" s="23" t="str">
        <f>HYPERLINK("https://www.spark-marketing.ru/Card/Person/733191", "ГБУЗ РБ СТОМАТОЛОГИЧЕСКАЯ ПОЛИКЛИНИКА № 4 Г. УФА")</f>
        <v>ГБУЗ РБ СТОМАТОЛОГИЧЕСКАЯ ПОЛИКЛИНИКА № 4 Г. УФА</v>
      </c>
      <c r="B6938" s="24" t="s">
        <v>8986</v>
      </c>
      <c r="C6938" s="25">
        <v>494592</v>
      </c>
      <c r="D6938" s="22" t="s">
        <v>8987</v>
      </c>
      <c r="E6938" s="22" t="s">
        <v>68</v>
      </c>
      <c r="F6938" s="23" t="str">
        <f>HYPERLINK("https://www.spark-marketing.ru/Card/Lot/71058371", "Оказание услуг по физической охране объекта ГБУЗ РБ Стоматологическая поликлиника № 4 г. Уфа во 2 полугодии 2019 года")</f>
        <v>Оказание услуг по физической охране объекта ГБУЗ РБ Стоматологическая поликлиника № 4 г. Уфа во 2 полугодии 2019 года</v>
      </c>
      <c r="G6938" s="22" t="s">
        <v>100</v>
      </c>
      <c r="H6938" s="22" t="s">
        <v>373</v>
      </c>
      <c r="I6938" s="26">
        <v>43619.795138888898</v>
      </c>
      <c r="J6938" s="28" t="s">
        <v>52</v>
      </c>
      <c r="K6938" s="28" t="s">
        <v>52</v>
      </c>
      <c r="L6938" s="28" t="s">
        <v>52</v>
      </c>
      <c r="M6938" s="28" t="s">
        <v>52</v>
      </c>
      <c r="N6938" s="28" t="s">
        <v>52</v>
      </c>
    </row>
    <row r="6939" spans="1:14" ht="12.75" hidden="1" outlineLevel="1" x14ac:dyDescent="0.2">
      <c r="A6939" s="23" t="str">
        <f>HYPERLINK("https://www.spark-marketing.ru/Card/Person/733191", "ГБУЗ РБ СТОМАТОЛОГИЧЕСКАЯ ПОЛИКЛИНИКА № 4 Г. УФА")</f>
        <v>ГБУЗ РБ СТОМАТОЛОГИЧЕСКАЯ ПОЛИКЛИНИКА № 4 Г. УФА</v>
      </c>
      <c r="B6939" s="24" t="s">
        <v>8986</v>
      </c>
      <c r="C6939" s="25">
        <v>494592</v>
      </c>
      <c r="D6939" s="22" t="s">
        <v>8987</v>
      </c>
      <c r="E6939" s="22" t="s">
        <v>68</v>
      </c>
      <c r="F6939" s="23" t="str">
        <f>HYPERLINK("https://www.spark-marketing.ru/Card/Lot/71058371", "Оказание услуг по физической охране объекта ГБУЗ РБ Стоматологическая поликлиника № 4 г. Уфа во 2 полугодии 2019 года")</f>
        <v>Оказание услуг по физической охране объекта ГБУЗ РБ Стоматологическая поликлиника № 4 г. Уфа во 2 полугодии 2019 года</v>
      </c>
      <c r="G6939" s="22" t="s">
        <v>100</v>
      </c>
      <c r="H6939" s="22" t="s">
        <v>373</v>
      </c>
      <c r="I6939" s="26">
        <v>43619.795138888898</v>
      </c>
      <c r="J6939" s="23" t="str">
        <f>HYPERLINK("https://www.spark-marketing.ru/Card/Person/677283", "ООО ЧОО ""БАСТИОН""")</f>
        <v>ООО ЧОО "БАСТИОН"</v>
      </c>
      <c r="K6939" s="24" t="s">
        <v>8988</v>
      </c>
      <c r="L6939" s="22" t="s">
        <v>10</v>
      </c>
      <c r="M6939" s="25">
        <v>409194.4</v>
      </c>
      <c r="N6939" s="27">
        <v>0.17266271997929605</v>
      </c>
    </row>
    <row r="6940" spans="1:14" hidden="1" outlineLevel="1" x14ac:dyDescent="0.2">
      <c r="A6940" s="23" t="str">
        <f>HYPERLINK("https://www.spark-marketing.ru/Card/Person/733191", "ГБУЗ РБ СТОМАТОЛОГИЧЕСКАЯ ПОЛИКЛИНИКА № 4 Г. УФА")</f>
        <v>ГБУЗ РБ СТОМАТОЛОГИЧЕСКАЯ ПОЛИКЛИНИКА № 4 Г. УФА</v>
      </c>
      <c r="B6940" s="24" t="s">
        <v>8986</v>
      </c>
      <c r="C6940" s="25">
        <v>494592</v>
      </c>
      <c r="D6940" s="22" t="s">
        <v>8987</v>
      </c>
      <c r="E6940" s="22" t="s">
        <v>68</v>
      </c>
      <c r="F6940" s="23" t="str">
        <f>HYPERLINK("https://www.spark-marketing.ru/Card/Lot/71058371", "Оказание услуг по физической охране объекта ГБУЗ РБ Стоматологическая поликлиника № 4 г. Уфа во 2 полугодии 2019 года")</f>
        <v>Оказание услуг по физической охране объекта ГБУЗ РБ Стоматологическая поликлиника № 4 г. Уфа во 2 полугодии 2019 года</v>
      </c>
      <c r="G6940" s="22" t="s">
        <v>100</v>
      </c>
      <c r="H6940" s="22" t="s">
        <v>373</v>
      </c>
      <c r="I6940" s="26">
        <v>43619.795138888898</v>
      </c>
      <c r="J6940" s="23" t="str">
        <f>HYPERLINK("https://www.spark-marketing.ru/Card/Person/288624", "ООО ЧОП ""ДАН""")</f>
        <v>ООО ЧОП "ДАН"</v>
      </c>
      <c r="K6940" s="24" t="s">
        <v>5453</v>
      </c>
      <c r="L6940" s="28" t="s">
        <v>52</v>
      </c>
      <c r="M6940" s="25">
        <v>422217.68</v>
      </c>
      <c r="N6940" s="27">
        <v>0.14633135998964802</v>
      </c>
    </row>
    <row r="6941" spans="1:14" hidden="1" outlineLevel="1" x14ac:dyDescent="0.2">
      <c r="A6941" s="23" t="str">
        <f>HYPERLINK("https://www.spark-marketing.ru/Card/Person/733191", "ГБУЗ РБ СТОМАТОЛОГИЧЕСКАЯ ПОЛИКЛИНИКА № 4 Г. УФА")</f>
        <v>ГБУЗ РБ СТОМАТОЛОГИЧЕСКАЯ ПОЛИКЛИНИКА № 4 Г. УФА</v>
      </c>
      <c r="B6941" s="24" t="s">
        <v>8986</v>
      </c>
      <c r="C6941" s="25">
        <v>494592</v>
      </c>
      <c r="D6941" s="22" t="s">
        <v>8987</v>
      </c>
      <c r="E6941" s="22" t="s">
        <v>68</v>
      </c>
      <c r="F6941" s="23" t="str">
        <f>HYPERLINK("https://www.spark-marketing.ru/Card/Lot/71058371", "Оказание услуг по физической охране объекта ГБУЗ РБ Стоматологическая поликлиника № 4 г. Уфа во 2 полугодии 2019 года")</f>
        <v>Оказание услуг по физической охране объекта ГБУЗ РБ Стоматологическая поликлиника № 4 г. Уфа во 2 полугодии 2019 года</v>
      </c>
      <c r="G6941" s="22" t="s">
        <v>100</v>
      </c>
      <c r="H6941" s="22" t="s">
        <v>373</v>
      </c>
      <c r="I6941" s="26">
        <v>43619.795138888898</v>
      </c>
      <c r="J6941" s="23" t="str">
        <f>HYPERLINK("https://www.spark-marketing.ru/Card/Person/1130302", "ООО ЧОП ""АЙРУС""")</f>
        <v>ООО ЧОП "АЙРУС"</v>
      </c>
      <c r="K6941" s="24" t="s">
        <v>8989</v>
      </c>
      <c r="L6941" s="28" t="s">
        <v>52</v>
      </c>
      <c r="M6941" s="25">
        <v>411667.36</v>
      </c>
      <c r="N6941" s="27">
        <v>0.16766271997929608</v>
      </c>
    </row>
    <row r="6942" spans="1:14" x14ac:dyDescent="0.15">
      <c r="A6942" s="23" t="str">
        <f t="shared" ref="A6942:A6950" si="289">HYPERLINK("https://www.spark-marketing.ru/Card/Person/4150", "ГБУЗ РБ ТУЙМАЗИНСКАЯ ЦРБ")</f>
        <v>ГБУЗ РБ ТУЙМАЗИНСКАЯ ЦРБ</v>
      </c>
      <c r="B6942" s="24" t="s">
        <v>8990</v>
      </c>
      <c r="C6942" s="25">
        <v>1147600</v>
      </c>
      <c r="D6942" s="22" t="s">
        <v>8991</v>
      </c>
      <c r="E6942" s="22" t="s">
        <v>68</v>
      </c>
      <c r="F6942" s="23" t="str">
        <f t="shared" ref="F6942:F6950" si="290">HYPERLINK("https://www.spark-marketing.ru/Card/Lot/71059693", "Оказание услуг по невооруженной охране на объектах ГБУЗ РБ Туймазинская ЦРБ")</f>
        <v>Оказание услуг по невооруженной охране на объектах ГБУЗ РБ Туймазинская ЦРБ</v>
      </c>
      <c r="G6942" s="22" t="s">
        <v>100</v>
      </c>
      <c r="H6942" s="22" t="s">
        <v>8992</v>
      </c>
      <c r="I6942" s="26">
        <v>43619.795833333301</v>
      </c>
      <c r="J6942" s="28" t="s">
        <v>52</v>
      </c>
      <c r="K6942" s="28" t="s">
        <v>52</v>
      </c>
      <c r="L6942" s="28" t="s">
        <v>52</v>
      </c>
      <c r="M6942" s="28" t="s">
        <v>52</v>
      </c>
      <c r="N6942" s="28" t="s">
        <v>52</v>
      </c>
    </row>
    <row r="6943" spans="1:14" hidden="1" outlineLevel="1" x14ac:dyDescent="0.2">
      <c r="A6943" s="23" t="str">
        <f t="shared" si="289"/>
        <v>ГБУЗ РБ ТУЙМАЗИНСКАЯ ЦРБ</v>
      </c>
      <c r="B6943" s="24" t="s">
        <v>8990</v>
      </c>
      <c r="C6943" s="25">
        <v>1147600</v>
      </c>
      <c r="D6943" s="22" t="s">
        <v>8991</v>
      </c>
      <c r="E6943" s="22" t="s">
        <v>68</v>
      </c>
      <c r="F6943" s="23" t="str">
        <f t="shared" si="290"/>
        <v>Оказание услуг по невооруженной охране на объектах ГБУЗ РБ Туймазинская ЦРБ</v>
      </c>
      <c r="G6943" s="22" t="s">
        <v>100</v>
      </c>
      <c r="H6943" s="22" t="s">
        <v>8992</v>
      </c>
      <c r="I6943" s="26">
        <v>43619.795833333301</v>
      </c>
      <c r="J6943" s="23" t="str">
        <f>HYPERLINK("https://www.spark-marketing.ru/Card/Person/5967223", "ООО ЧОО ""АЛЬТЕРНАТИВА""")</f>
        <v>ООО ЧОО "АЛЬТЕРНАТИВА"</v>
      </c>
      <c r="K6943" s="24" t="s">
        <v>8993</v>
      </c>
      <c r="L6943" s="28" t="s">
        <v>52</v>
      </c>
      <c r="M6943" s="25">
        <v>860700</v>
      </c>
      <c r="N6943" s="27">
        <v>0.25</v>
      </c>
    </row>
    <row r="6944" spans="1:14" ht="12.75" hidden="1" outlineLevel="1" x14ac:dyDescent="0.2">
      <c r="A6944" s="23" t="str">
        <f t="shared" si="289"/>
        <v>ГБУЗ РБ ТУЙМАЗИНСКАЯ ЦРБ</v>
      </c>
      <c r="B6944" s="24" t="s">
        <v>8990</v>
      </c>
      <c r="C6944" s="25">
        <v>1147600</v>
      </c>
      <c r="D6944" s="22" t="s">
        <v>8991</v>
      </c>
      <c r="E6944" s="22" t="s">
        <v>68</v>
      </c>
      <c r="F6944" s="23" t="str">
        <f t="shared" si="290"/>
        <v>Оказание услуг по невооруженной охране на объектах ГБУЗ РБ Туймазинская ЦРБ</v>
      </c>
      <c r="G6944" s="22" t="s">
        <v>100</v>
      </c>
      <c r="H6944" s="22" t="s">
        <v>8992</v>
      </c>
      <c r="I6944" s="26">
        <v>43619.795833333301</v>
      </c>
      <c r="J6944" s="23" t="str">
        <f>HYPERLINK("https://www.spark-marketing.ru/Card/Person/6226582", "ООО ""ЧОО ""ФОРТУНА""")</f>
        <v>ООО "ЧОО "ФОРТУНА"</v>
      </c>
      <c r="K6944" s="24" t="s">
        <v>8994</v>
      </c>
      <c r="L6944" s="22" t="s">
        <v>10</v>
      </c>
      <c r="M6944" s="25">
        <v>682822</v>
      </c>
      <c r="N6944" s="27">
        <v>0.40500000000000003</v>
      </c>
    </row>
    <row r="6945" spans="1:14" hidden="1" outlineLevel="1" x14ac:dyDescent="0.2">
      <c r="A6945" s="23" t="str">
        <f t="shared" si="289"/>
        <v>ГБУЗ РБ ТУЙМАЗИНСКАЯ ЦРБ</v>
      </c>
      <c r="B6945" s="24" t="s">
        <v>8990</v>
      </c>
      <c r="C6945" s="25">
        <v>1147600</v>
      </c>
      <c r="D6945" s="22" t="s">
        <v>8991</v>
      </c>
      <c r="E6945" s="22" t="s">
        <v>68</v>
      </c>
      <c r="F6945" s="23" t="str">
        <f t="shared" si="290"/>
        <v>Оказание услуг по невооруженной охране на объектах ГБУЗ РБ Туймазинская ЦРБ</v>
      </c>
      <c r="G6945" s="22" t="s">
        <v>100</v>
      </c>
      <c r="H6945" s="22" t="s">
        <v>8992</v>
      </c>
      <c r="I6945" s="26">
        <v>43619.795833333301</v>
      </c>
      <c r="J6945" s="23" t="str">
        <f>HYPERLINK("https://www.spark-marketing.ru/Card/Person/6490690", "ООО ЧОО ""ЛИОН""")</f>
        <v>ООО ЧОО "ЛИОН"</v>
      </c>
      <c r="K6945" s="24" t="s">
        <v>8995</v>
      </c>
      <c r="L6945" s="28" t="s">
        <v>52</v>
      </c>
      <c r="M6945" s="25">
        <v>688560</v>
      </c>
      <c r="N6945" s="27">
        <v>0.4</v>
      </c>
    </row>
    <row r="6946" spans="1:14" hidden="1" outlineLevel="1" x14ac:dyDescent="0.2">
      <c r="A6946" s="23" t="str">
        <f t="shared" si="289"/>
        <v>ГБУЗ РБ ТУЙМАЗИНСКАЯ ЦРБ</v>
      </c>
      <c r="B6946" s="24" t="s">
        <v>8990</v>
      </c>
      <c r="C6946" s="25">
        <v>1147600</v>
      </c>
      <c r="D6946" s="22" t="s">
        <v>8991</v>
      </c>
      <c r="E6946" s="22" t="s">
        <v>68</v>
      </c>
      <c r="F6946" s="23" t="str">
        <f t="shared" si="290"/>
        <v>Оказание услуг по невооруженной охране на объектах ГБУЗ РБ Туймазинская ЦРБ</v>
      </c>
      <c r="G6946" s="22" t="s">
        <v>100</v>
      </c>
      <c r="H6946" s="22" t="s">
        <v>8992</v>
      </c>
      <c r="I6946" s="26">
        <v>43619.795833333301</v>
      </c>
      <c r="J6946" s="23" t="str">
        <f>HYPERLINK("https://www.spark-marketing.ru/Card/Person/1090023", "ООО ЧОП ""БАТЫР""")</f>
        <v>ООО ЧОП "БАТЫР"</v>
      </c>
      <c r="K6946" s="24" t="s">
        <v>8996</v>
      </c>
      <c r="L6946" s="28" t="s">
        <v>52</v>
      </c>
      <c r="M6946" s="25">
        <v>751678</v>
      </c>
      <c r="N6946" s="27">
        <v>0.34499999999999997</v>
      </c>
    </row>
    <row r="6947" spans="1:14" hidden="1" outlineLevel="1" x14ac:dyDescent="0.2">
      <c r="A6947" s="23" t="str">
        <f t="shared" si="289"/>
        <v>ГБУЗ РБ ТУЙМАЗИНСКАЯ ЦРБ</v>
      </c>
      <c r="B6947" s="24" t="s">
        <v>8990</v>
      </c>
      <c r="C6947" s="25">
        <v>1147600</v>
      </c>
      <c r="D6947" s="22" t="s">
        <v>8991</v>
      </c>
      <c r="E6947" s="22" t="s">
        <v>68</v>
      </c>
      <c r="F6947" s="23" t="str">
        <f t="shared" si="290"/>
        <v>Оказание услуг по невооруженной охране на объектах ГБУЗ РБ Туймазинская ЦРБ</v>
      </c>
      <c r="G6947" s="22" t="s">
        <v>100</v>
      </c>
      <c r="H6947" s="22" t="s">
        <v>8992</v>
      </c>
      <c r="I6947" s="26">
        <v>43619.795833333301</v>
      </c>
      <c r="J6947" s="23" t="str">
        <f>HYPERLINK("https://www.spark-marketing.ru/Card/Person/4886524", "ООО ЧОО ""ФЕНИКС""")</f>
        <v>ООО ЧОО "ФЕНИКС"</v>
      </c>
      <c r="K6947" s="24" t="s">
        <v>8997</v>
      </c>
      <c r="L6947" s="28" t="s">
        <v>52</v>
      </c>
      <c r="M6947" s="25">
        <v>803320</v>
      </c>
      <c r="N6947" s="27">
        <v>0.3</v>
      </c>
    </row>
    <row r="6948" spans="1:14" hidden="1" outlineLevel="1" x14ac:dyDescent="0.2">
      <c r="A6948" s="23" t="str">
        <f t="shared" si="289"/>
        <v>ГБУЗ РБ ТУЙМАЗИНСКАЯ ЦРБ</v>
      </c>
      <c r="B6948" s="24" t="s">
        <v>8990</v>
      </c>
      <c r="C6948" s="25">
        <v>1147600</v>
      </c>
      <c r="D6948" s="22" t="s">
        <v>8991</v>
      </c>
      <c r="E6948" s="22" t="s">
        <v>68</v>
      </c>
      <c r="F6948" s="23" t="str">
        <f t="shared" si="290"/>
        <v>Оказание услуг по невооруженной охране на объектах ГБУЗ РБ Туймазинская ЦРБ</v>
      </c>
      <c r="G6948" s="22" t="s">
        <v>100</v>
      </c>
      <c r="H6948" s="22" t="s">
        <v>8992</v>
      </c>
      <c r="I6948" s="26">
        <v>43619.795833333301</v>
      </c>
      <c r="J6948" s="23" t="str">
        <f>HYPERLINK("https://www.spark-marketing.ru/Card/Person/6510027", "ООО ЧОО ""СТЕНА""")</f>
        <v>ООО ЧОО "СТЕНА"</v>
      </c>
      <c r="K6948" s="24" t="s">
        <v>8998</v>
      </c>
      <c r="L6948" s="28" t="s">
        <v>52</v>
      </c>
      <c r="M6948" s="25">
        <v>1009888</v>
      </c>
      <c r="N6948" s="27">
        <v>0.12</v>
      </c>
    </row>
    <row r="6949" spans="1:14" hidden="1" outlineLevel="1" x14ac:dyDescent="0.2">
      <c r="A6949" s="23" t="str">
        <f t="shared" si="289"/>
        <v>ГБУЗ РБ ТУЙМАЗИНСКАЯ ЦРБ</v>
      </c>
      <c r="B6949" s="24" t="s">
        <v>8990</v>
      </c>
      <c r="C6949" s="25">
        <v>1147600</v>
      </c>
      <c r="D6949" s="22" t="s">
        <v>8991</v>
      </c>
      <c r="E6949" s="22" t="s">
        <v>68</v>
      </c>
      <c r="F6949" s="23" t="str">
        <f t="shared" si="290"/>
        <v>Оказание услуг по невооруженной охране на объектах ГБУЗ РБ Туймазинская ЦРБ</v>
      </c>
      <c r="G6949" s="22" t="s">
        <v>100</v>
      </c>
      <c r="H6949" s="22" t="s">
        <v>8992</v>
      </c>
      <c r="I6949" s="26">
        <v>43619.795833333301</v>
      </c>
      <c r="J6949" s="23" t="str">
        <f>HYPERLINK("https://www.spark-marketing.ru/Card/Person/2508501", "ООО ""ЧОО ""ЗАЩИТА""")</f>
        <v>ООО "ЧОО "ЗАЩИТА"</v>
      </c>
      <c r="K6949" s="24" t="s">
        <v>8999</v>
      </c>
      <c r="L6949" s="28" t="s">
        <v>52</v>
      </c>
      <c r="M6949" s="25">
        <v>1147599</v>
      </c>
      <c r="N6949" s="27">
        <v>8.7138375740676193E-7</v>
      </c>
    </row>
    <row r="6950" spans="1:14" hidden="1" outlineLevel="1" x14ac:dyDescent="0.2">
      <c r="A6950" s="23" t="str">
        <f t="shared" si="289"/>
        <v>ГБУЗ РБ ТУЙМАЗИНСКАЯ ЦРБ</v>
      </c>
      <c r="B6950" s="24" t="s">
        <v>8990</v>
      </c>
      <c r="C6950" s="25">
        <v>1147600</v>
      </c>
      <c r="D6950" s="22" t="s">
        <v>8991</v>
      </c>
      <c r="E6950" s="22" t="s">
        <v>68</v>
      </c>
      <c r="F6950" s="23" t="str">
        <f t="shared" si="290"/>
        <v>Оказание услуг по невооруженной охране на объектах ГБУЗ РБ Туймазинская ЦРБ</v>
      </c>
      <c r="G6950" s="22" t="s">
        <v>100</v>
      </c>
      <c r="H6950" s="22" t="s">
        <v>8992</v>
      </c>
      <c r="I6950" s="26">
        <v>43619.795833333301</v>
      </c>
      <c r="J6950" s="23" t="str">
        <f>HYPERLINK("https://www.spark-marketing.ru/Card/Person/985301", "ООО ЧОП ""АРСЛАН ПЛЮС""")</f>
        <v>ООО ЧОП "АРСЛАН ПЛЮС"</v>
      </c>
      <c r="K6950" s="24" t="s">
        <v>9000</v>
      </c>
      <c r="L6950" s="28" t="s">
        <v>52</v>
      </c>
      <c r="M6950" s="25">
        <v>1147599.99</v>
      </c>
      <c r="N6950" s="27">
        <v>8.7138375740676188E-9</v>
      </c>
    </row>
    <row r="6951" spans="1:14" x14ac:dyDescent="0.15">
      <c r="A6951" s="23" t="str">
        <f>HYPERLINK("https://www.spark-marketing.ru/Card/Person/81847", "УСЗН В КАРАСУНСКОМ ОКРУГЕ Г. КРАСНОДАРА")</f>
        <v>УСЗН В КАРАСУНСКОМ ОКРУГЕ Г. КРАСНОДАРА</v>
      </c>
      <c r="B6951" s="24" t="s">
        <v>9001</v>
      </c>
      <c r="C6951" s="25">
        <v>388654</v>
      </c>
      <c r="D6951" s="22" t="s">
        <v>9002</v>
      </c>
      <c r="E6951" s="22" t="s">
        <v>52</v>
      </c>
      <c r="F6951" s="23" t="str">
        <f>HYPERLINK("https://www.spark-marketing.ru/Card/Lot/71059884", "Оказание охранных услуг")</f>
        <v>Оказание охранных услуг</v>
      </c>
      <c r="G6951" s="22" t="s">
        <v>132</v>
      </c>
      <c r="H6951" s="22" t="s">
        <v>652</v>
      </c>
      <c r="I6951" s="26">
        <v>43619.75</v>
      </c>
      <c r="J6951" s="28" t="s">
        <v>52</v>
      </c>
      <c r="K6951" s="28" t="s">
        <v>52</v>
      </c>
      <c r="L6951" s="28" t="s">
        <v>52</v>
      </c>
      <c r="M6951" s="28" t="s">
        <v>52</v>
      </c>
      <c r="N6951" s="28" t="s">
        <v>52</v>
      </c>
    </row>
    <row r="6952" spans="1:14" ht="12.75" hidden="1" outlineLevel="1" x14ac:dyDescent="0.2">
      <c r="A6952" s="23" t="str">
        <f>HYPERLINK("https://www.spark-marketing.ru/Card/Person/81847", "УСЗН В КАРАСУНСКОМ ОКРУГЕ Г. КРАСНОДАРА")</f>
        <v>УСЗН В КАРАСУНСКОМ ОКРУГЕ Г. КРАСНОДАРА</v>
      </c>
      <c r="B6952" s="24" t="s">
        <v>9001</v>
      </c>
      <c r="C6952" s="25">
        <v>388654</v>
      </c>
      <c r="D6952" s="22" t="s">
        <v>9002</v>
      </c>
      <c r="E6952" s="22" t="s">
        <v>52</v>
      </c>
      <c r="F6952" s="23" t="str">
        <f>HYPERLINK("https://www.spark-marketing.ru/Card/Lot/71059884", "Оказание охранных услуг")</f>
        <v>Оказание охранных услуг</v>
      </c>
      <c r="G6952" s="22" t="s">
        <v>132</v>
      </c>
      <c r="H6952" s="22" t="s">
        <v>652</v>
      </c>
      <c r="I6952" s="26">
        <v>43619.75</v>
      </c>
      <c r="J6952" s="23" t="str">
        <f>HYPERLINK("https://www.spark-marketing.ru/Card/Person/152493", "ООО ЧОП ""АРГУМЕНТ""")</f>
        <v>ООО ЧОП "АРГУМЕНТ"</v>
      </c>
      <c r="K6952" s="24" t="s">
        <v>9003</v>
      </c>
      <c r="L6952" s="22" t="s">
        <v>10</v>
      </c>
      <c r="M6952" s="25">
        <v>219589.49</v>
      </c>
      <c r="N6952" s="27">
        <v>0.43500005145965304</v>
      </c>
    </row>
    <row r="6953" spans="1:14" hidden="1" outlineLevel="1" x14ac:dyDescent="0.2">
      <c r="A6953" s="23" t="str">
        <f>HYPERLINK("https://www.spark-marketing.ru/Card/Person/81847", "УСЗН В КАРАСУНСКОМ ОКРУГЕ Г. КРАСНОДАРА")</f>
        <v>УСЗН В КАРАСУНСКОМ ОКРУГЕ Г. КРАСНОДАРА</v>
      </c>
      <c r="B6953" s="24" t="s">
        <v>9001</v>
      </c>
      <c r="C6953" s="25">
        <v>388654</v>
      </c>
      <c r="D6953" s="22" t="s">
        <v>9002</v>
      </c>
      <c r="E6953" s="22" t="s">
        <v>52</v>
      </c>
      <c r="F6953" s="23" t="str">
        <f>HYPERLINK("https://www.spark-marketing.ru/Card/Lot/71059884", "Оказание охранных услуг")</f>
        <v>Оказание охранных услуг</v>
      </c>
      <c r="G6953" s="22" t="s">
        <v>132</v>
      </c>
      <c r="H6953" s="22" t="s">
        <v>652</v>
      </c>
      <c r="I6953" s="26">
        <v>43619.75</v>
      </c>
      <c r="J6953" s="23" t="str">
        <f>HYPERLINK("https://www.spark-marketing.ru/Card/Person/6204766", "ООО ЧОО ""АТЭМИ""")</f>
        <v>ООО ЧОО "АТЭМИ"</v>
      </c>
      <c r="K6953" s="24" t="s">
        <v>9004</v>
      </c>
      <c r="L6953" s="28" t="s">
        <v>52</v>
      </c>
      <c r="M6953" s="25">
        <v>361448.2</v>
      </c>
      <c r="N6953" s="27">
        <v>7.0000051459653059E-2</v>
      </c>
    </row>
    <row r="6954" spans="1:14" hidden="1" outlineLevel="1" x14ac:dyDescent="0.2">
      <c r="A6954" s="23" t="str">
        <f>HYPERLINK("https://www.spark-marketing.ru/Card/Person/81847", "УСЗН В КАРАСУНСКОМ ОКРУГЕ Г. КРАСНОДАРА")</f>
        <v>УСЗН В КАРАСУНСКОМ ОКРУГЕ Г. КРАСНОДАРА</v>
      </c>
      <c r="B6954" s="24" t="s">
        <v>9001</v>
      </c>
      <c r="C6954" s="25">
        <v>388654</v>
      </c>
      <c r="D6954" s="22" t="s">
        <v>9002</v>
      </c>
      <c r="E6954" s="22" t="s">
        <v>52</v>
      </c>
      <c r="F6954" s="23" t="str">
        <f>HYPERLINK("https://www.spark-marketing.ru/Card/Lot/71059884", "Оказание охранных услуг")</f>
        <v>Оказание охранных услуг</v>
      </c>
      <c r="G6954" s="22" t="s">
        <v>132</v>
      </c>
      <c r="H6954" s="22" t="s">
        <v>652</v>
      </c>
      <c r="I6954" s="26">
        <v>43619.75</v>
      </c>
      <c r="J6954" s="23" t="str">
        <f>HYPERLINK("https://www.spark-marketing.ru/Card/Person/456114", "ООО ЧОО ""СФЗ""")</f>
        <v>ООО ЧОО "СФЗ"</v>
      </c>
      <c r="K6954" s="24" t="s">
        <v>9005</v>
      </c>
      <c r="L6954" s="28" t="s">
        <v>52</v>
      </c>
      <c r="M6954" s="25">
        <v>220000</v>
      </c>
      <c r="N6954" s="27">
        <v>0.43394381635079016</v>
      </c>
    </row>
    <row r="6955" spans="1:14" hidden="1" outlineLevel="1" x14ac:dyDescent="0.2">
      <c r="A6955" s="23" t="str">
        <f>HYPERLINK("https://www.spark-marketing.ru/Card/Person/81847", "УСЗН В КАРАСУНСКОМ ОКРУГЕ Г. КРАСНОДАРА")</f>
        <v>УСЗН В КАРАСУНСКОМ ОКРУГЕ Г. КРАСНОДАРА</v>
      </c>
      <c r="B6955" s="24" t="s">
        <v>9001</v>
      </c>
      <c r="C6955" s="25">
        <v>388654</v>
      </c>
      <c r="D6955" s="22" t="s">
        <v>9002</v>
      </c>
      <c r="E6955" s="22" t="s">
        <v>52</v>
      </c>
      <c r="F6955" s="23" t="str">
        <f>HYPERLINK("https://www.spark-marketing.ru/Card/Lot/71059884", "Оказание охранных услуг")</f>
        <v>Оказание охранных услуг</v>
      </c>
      <c r="G6955" s="22" t="s">
        <v>132</v>
      </c>
      <c r="H6955" s="22" t="s">
        <v>652</v>
      </c>
      <c r="I6955" s="26">
        <v>43619.75</v>
      </c>
      <c r="J6955" s="23" t="str">
        <f>HYPERLINK("https://www.spark-marketing.ru/Card/Person/1440053", "ООО ""ОП ""АГАТ""")</f>
        <v>ООО "ОП "АГАТ"</v>
      </c>
      <c r="K6955" s="24" t="s">
        <v>9006</v>
      </c>
      <c r="L6955" s="28" t="s">
        <v>52</v>
      </c>
      <c r="M6955" s="25">
        <v>332299.15000000002</v>
      </c>
      <c r="N6955" s="27">
        <v>0.14500005145965306</v>
      </c>
    </row>
    <row r="6956" spans="1:14" x14ac:dyDescent="0.15">
      <c r="A6956" s="23" t="str">
        <f>HYPERLINK("https://www.spark-marketing.ru/Card/Person/4343405", "ФГУП ""ГОСКОРПОРАЦИЯ ПО ОРВД""")</f>
        <v>ФГУП "ГОСКОРПОРАЦИЯ ПО ОРВД"</v>
      </c>
      <c r="B6956" s="24" t="s">
        <v>801</v>
      </c>
      <c r="C6956" s="25">
        <v>822000</v>
      </c>
      <c r="D6956" s="22" t="s">
        <v>9007</v>
      </c>
      <c r="E6956" s="22" t="s">
        <v>2204</v>
      </c>
      <c r="F6956" s="23" t="str">
        <f>HYPERLINK("https://www.spark-marketing.ru/Card/Lot/71056943", "Закупка оборудования для отдела транспортной безопасности филиала «Крымаэронавигация» ФГУП «Госкорпорация по ОрВД»")</f>
        <v>Закупка оборудования для отдела транспортной безопасности филиала «Крымаэронавигация» ФГУП «Госкорпорация по ОрВД»</v>
      </c>
      <c r="G6956" s="22" t="s">
        <v>55</v>
      </c>
      <c r="H6956" s="22" t="s">
        <v>55</v>
      </c>
      <c r="I6956" s="26">
        <v>43619.730671296304</v>
      </c>
      <c r="J6956" s="28" t="s">
        <v>52</v>
      </c>
      <c r="K6956" s="28" t="s">
        <v>52</v>
      </c>
      <c r="L6956" s="28" t="s">
        <v>52</v>
      </c>
      <c r="M6956" s="28" t="s">
        <v>52</v>
      </c>
      <c r="N6956" s="28" t="s">
        <v>52</v>
      </c>
    </row>
    <row r="6957" spans="1:14" x14ac:dyDescent="0.15">
      <c r="A6957" s="23" t="str">
        <f>HYPERLINK("https://www.spark-marketing.ru/Card/Person/4863124", "Межрегиональный филиал ФКУ ""ЦОКР"" в г. Санкт-Петербурге")</f>
        <v>Межрегиональный филиал ФКУ "ЦОКР" в г. Санкт-Петербурге</v>
      </c>
      <c r="B6957" s="24" t="s">
        <v>962</v>
      </c>
      <c r="C6957" s="25">
        <v>42000</v>
      </c>
      <c r="D6957" s="22" t="s">
        <v>9008</v>
      </c>
      <c r="E6957" s="22" t="s">
        <v>53</v>
      </c>
      <c r="F6957" s="23" t="str">
        <f>HYPERLINK("https://www.spark-marketing.ru/Card/Lot/71056235", "Охранные услуги с использованием технических средств и групп быстрого реагирования")</f>
        <v>Охранные услуги с использованием технических средств и групп быстрого реагирования</v>
      </c>
      <c r="G6957" s="22" t="s">
        <v>89</v>
      </c>
      <c r="H6957" s="22" t="s">
        <v>89</v>
      </c>
      <c r="I6957" s="26">
        <v>43619.731747685197</v>
      </c>
      <c r="J6957" s="28" t="s">
        <v>52</v>
      </c>
      <c r="K6957" s="28" t="s">
        <v>52</v>
      </c>
      <c r="L6957" s="28" t="s">
        <v>52</v>
      </c>
      <c r="M6957" s="28" t="s">
        <v>52</v>
      </c>
      <c r="N6957" s="28" t="s">
        <v>52</v>
      </c>
    </row>
    <row r="6958" spans="1:14" x14ac:dyDescent="0.15">
      <c r="A6958" s="23" t="str">
        <f>HYPERLINK("https://www.spark-marketing.ru/Card/Person/1350767", "МАУК ""ГЦКИД ИМ. Н.Г. ВАСИЛЬЕВА""")</f>
        <v>МАУК "ГЦКИД ИМ. Н.Г. ВАСИЛЬЕВА"</v>
      </c>
      <c r="B6958" s="24" t="s">
        <v>9009</v>
      </c>
      <c r="C6958" s="25">
        <v>147000</v>
      </c>
      <c r="D6958" s="22" t="s">
        <v>9010</v>
      </c>
      <c r="E6958" s="22" t="s">
        <v>49</v>
      </c>
      <c r="F6958" s="23" t="str">
        <f>HYPERLINK("https://www.spark-marketing.ru/Card/Lot/71057488", "Установка системы видеонаблюдения")</f>
        <v>Установка системы видеонаблюдения</v>
      </c>
      <c r="G6958" s="22" t="s">
        <v>959</v>
      </c>
      <c r="H6958" s="22" t="s">
        <v>959</v>
      </c>
      <c r="I6958" s="26">
        <v>43619.713807870401</v>
      </c>
      <c r="J6958" s="28" t="s">
        <v>52</v>
      </c>
      <c r="K6958" s="28" t="s">
        <v>52</v>
      </c>
      <c r="L6958" s="28" t="s">
        <v>52</v>
      </c>
      <c r="M6958" s="28" t="s">
        <v>52</v>
      </c>
      <c r="N6958" s="28" t="s">
        <v>52</v>
      </c>
    </row>
    <row r="6959" spans="1:14" x14ac:dyDescent="0.15">
      <c r="A6959" s="23" t="str">
        <f>HYPERLINK("https://www.spark-marketing.ru/Card/Person/5911316", "МБДОУ ""ДЕТСКИЙ САД № 205 ""НОВОГРАД"" ГОРОДА ЧЕБОКСАРЫ")</f>
        <v>МБДОУ "ДЕТСКИЙ САД № 205 "НОВОГРАД" ГОРОДА ЧЕБОКСАРЫ</v>
      </c>
      <c r="B6959" s="24" t="s">
        <v>8598</v>
      </c>
      <c r="C6959" s="25">
        <v>30000</v>
      </c>
      <c r="D6959" s="22" t="s">
        <v>9011</v>
      </c>
      <c r="E6959" s="22" t="s">
        <v>194</v>
      </c>
      <c r="F6959" s="23" t="str">
        <f>HYPERLINK("https://www.spark-marketing.ru/Card/Lot/71053704", "Установка видеодомофона на центральную калитку дошкольного учреждения (Срочная работа на строящемся объекте)")</f>
        <v>Установка видеодомофона на центральную калитку дошкольного учреждения (Срочная работа на строящемся объекте)</v>
      </c>
      <c r="G6959" s="22" t="s">
        <v>1137</v>
      </c>
      <c r="H6959" s="22" t="s">
        <v>1138</v>
      </c>
      <c r="I6959" s="26">
        <v>43619.7055555556</v>
      </c>
      <c r="J6959" s="28" t="s">
        <v>52</v>
      </c>
      <c r="K6959" s="28" t="s">
        <v>52</v>
      </c>
      <c r="L6959" s="28" t="s">
        <v>52</v>
      </c>
      <c r="M6959" s="28" t="s">
        <v>52</v>
      </c>
      <c r="N6959" s="28" t="s">
        <v>52</v>
      </c>
    </row>
    <row r="6960" spans="1:14" x14ac:dyDescent="0.15">
      <c r="A6960" s="23" t="str">
        <f>HYPERLINK("https://www.spark-marketing.ru/Card/Person/4348416", "ООО ""РТ-ИНФОРМ""")</f>
        <v>ООО "РТ-ИНФОРМ"</v>
      </c>
      <c r="B6960" s="24" t="s">
        <v>6239</v>
      </c>
      <c r="C6960" s="25">
        <v>162939675</v>
      </c>
      <c r="D6960" s="22" t="s">
        <v>9012</v>
      </c>
      <c r="E6960" s="22" t="s">
        <v>4223</v>
      </c>
      <c r="F6960" s="23" t="str">
        <f>HYPERLINK("https://www.spark-marketing.ru/Card/Lot/71052852", "1179-2019-00086. Выполнение работ по разработке и внедрению модуля Автоматизированной Системы Финансово-Закупочной деятельности ""Управление промышленной безопасностью, охраной труда, охраной окружающей среды организаций и транспортной безопасности Г...")</f>
        <v>1179-2019-00086. Выполнение работ по разработке и внедрению модуля Автоматизированной Системы Финансово-Закупочной деятельности "Управление промышленной безопасностью, охраной труда, охраной окружающей среды организаций и транспортной безопасности Г...</v>
      </c>
      <c r="G6960" s="22" t="s">
        <v>55</v>
      </c>
      <c r="H6960" s="22" t="s">
        <v>55</v>
      </c>
      <c r="I6960" s="26">
        <v>43619.683113425897</v>
      </c>
      <c r="J6960" s="28" t="s">
        <v>52</v>
      </c>
      <c r="K6960" s="28" t="s">
        <v>52</v>
      </c>
      <c r="L6960" s="28" t="s">
        <v>52</v>
      </c>
      <c r="M6960" s="28" t="s">
        <v>52</v>
      </c>
      <c r="N6960" s="28" t="s">
        <v>52</v>
      </c>
    </row>
    <row r="6961" spans="1:14" x14ac:dyDescent="0.15">
      <c r="A6961" s="23" t="str">
        <f t="shared" ref="A6961:A6967" si="291">HYPERLINK("https://www.spark-marketing.ru/Card/Person/88029", "ГБДОУ ДЕТСКИЙ САД № 12 ПЕТРОДВОРЦОВОГО РАЙОНА САНКТ-ПЕТЕРБУРГА")</f>
        <v>ГБДОУ ДЕТСКИЙ САД № 12 ПЕТРОДВОРЦОВОГО РАЙОНА САНКТ-ПЕТЕРБУРГА</v>
      </c>
      <c r="B6961" s="24" t="s">
        <v>9013</v>
      </c>
      <c r="C6961" s="25">
        <v>101766.67</v>
      </c>
      <c r="D6961" s="22" t="s">
        <v>9014</v>
      </c>
      <c r="E6961" s="22" t="s">
        <v>5557</v>
      </c>
      <c r="F6961" s="23" t="str">
        <f t="shared" ref="F6961:F6967" si="292">HYPERLINK("https://www.spark-marketing.ru/Card/Lot/71057842", "Выполнение услуг по промывке и видеодиагностике дренажной системы")</f>
        <v>Выполнение услуг по промывке и видеодиагностике дренажной системы</v>
      </c>
      <c r="G6961" s="22" t="s">
        <v>89</v>
      </c>
      <c r="H6961" s="22" t="s">
        <v>89</v>
      </c>
      <c r="I6961" s="26">
        <v>43619.697222222203</v>
      </c>
      <c r="J6961" s="28" t="s">
        <v>52</v>
      </c>
      <c r="K6961" s="28" t="s">
        <v>52</v>
      </c>
      <c r="L6961" s="28" t="s">
        <v>52</v>
      </c>
      <c r="M6961" s="28" t="s">
        <v>52</v>
      </c>
      <c r="N6961" s="28" t="s">
        <v>52</v>
      </c>
    </row>
    <row r="6962" spans="1:14" hidden="1" outlineLevel="1" x14ac:dyDescent="0.2">
      <c r="A6962" s="23" t="str">
        <f t="shared" si="291"/>
        <v>ГБДОУ ДЕТСКИЙ САД № 12 ПЕТРОДВОРЦОВОГО РАЙОНА САНКТ-ПЕТЕРБУРГА</v>
      </c>
      <c r="B6962" s="24" t="s">
        <v>9013</v>
      </c>
      <c r="C6962" s="25">
        <v>101766.67</v>
      </c>
      <c r="D6962" s="22" t="s">
        <v>9014</v>
      </c>
      <c r="E6962" s="22" t="s">
        <v>5557</v>
      </c>
      <c r="F6962" s="23" t="str">
        <f t="shared" si="292"/>
        <v>Выполнение услуг по промывке и видеодиагностике дренажной системы</v>
      </c>
      <c r="G6962" s="22" t="s">
        <v>89</v>
      </c>
      <c r="H6962" s="22" t="s">
        <v>89</v>
      </c>
      <c r="I6962" s="26">
        <v>43619.697222222203</v>
      </c>
      <c r="J6962" s="23" t="str">
        <f>HYPERLINK("https://www.spark-marketing.ru/Card/Person/16482", "Минжулин Виктор Викторович")</f>
        <v>Минжулин Виктор Викторович</v>
      </c>
      <c r="K6962" s="24" t="s">
        <v>9015</v>
      </c>
      <c r="L6962" s="28" t="s">
        <v>52</v>
      </c>
      <c r="M6962" s="25">
        <v>90000</v>
      </c>
      <c r="N6962" s="27">
        <v>0.11562400538408106</v>
      </c>
    </row>
    <row r="6963" spans="1:14" ht="12.75" hidden="1" outlineLevel="1" x14ac:dyDescent="0.2">
      <c r="A6963" s="23" t="str">
        <f t="shared" si="291"/>
        <v>ГБДОУ ДЕТСКИЙ САД № 12 ПЕТРОДВОРЦОВОГО РАЙОНА САНКТ-ПЕТЕРБУРГА</v>
      </c>
      <c r="B6963" s="24" t="s">
        <v>9013</v>
      </c>
      <c r="C6963" s="25">
        <v>101766.67</v>
      </c>
      <c r="D6963" s="22" t="s">
        <v>9014</v>
      </c>
      <c r="E6963" s="22" t="s">
        <v>5557</v>
      </c>
      <c r="F6963" s="23" t="str">
        <f t="shared" si="292"/>
        <v>Выполнение услуг по промывке и видеодиагностике дренажной системы</v>
      </c>
      <c r="G6963" s="22" t="s">
        <v>89</v>
      </c>
      <c r="H6963" s="22" t="s">
        <v>89</v>
      </c>
      <c r="I6963" s="26">
        <v>43619.697222222203</v>
      </c>
      <c r="J6963" s="23" t="str">
        <f>HYPERLINK("https://www.spark-marketing.ru/Card/Person/712307", "ООО ""ДИАКАН""")</f>
        <v>ООО "ДИАКАН"</v>
      </c>
      <c r="K6963" s="24" t="s">
        <v>9016</v>
      </c>
      <c r="L6963" s="22" t="s">
        <v>10</v>
      </c>
      <c r="M6963" s="25">
        <v>60320</v>
      </c>
      <c r="N6963" s="27">
        <v>0.40727155560853079</v>
      </c>
    </row>
    <row r="6964" spans="1:14" hidden="1" outlineLevel="1" x14ac:dyDescent="0.2">
      <c r="A6964" s="23" t="str">
        <f t="shared" si="291"/>
        <v>ГБДОУ ДЕТСКИЙ САД № 12 ПЕТРОДВОРЦОВОГО РАЙОНА САНКТ-ПЕТЕРБУРГА</v>
      </c>
      <c r="B6964" s="24" t="s">
        <v>9013</v>
      </c>
      <c r="C6964" s="25">
        <v>101766.67</v>
      </c>
      <c r="D6964" s="22" t="s">
        <v>9014</v>
      </c>
      <c r="E6964" s="22" t="s">
        <v>5557</v>
      </c>
      <c r="F6964" s="23" t="str">
        <f t="shared" si="292"/>
        <v>Выполнение услуг по промывке и видеодиагностике дренажной системы</v>
      </c>
      <c r="G6964" s="22" t="s">
        <v>89</v>
      </c>
      <c r="H6964" s="22" t="s">
        <v>89</v>
      </c>
      <c r="I6964" s="26">
        <v>43619.697222222203</v>
      </c>
      <c r="J6964" s="23" t="str">
        <f>HYPERLINK("https://www.spark-marketing.ru/Card/Person/153579", "ООО ""ФИРМА РОСС""")</f>
        <v>ООО "ФИРМА РОСС"</v>
      </c>
      <c r="K6964" s="24" t="s">
        <v>9017</v>
      </c>
      <c r="L6964" s="28" t="s">
        <v>52</v>
      </c>
      <c r="M6964" s="25">
        <v>64000</v>
      </c>
      <c r="N6964" s="27">
        <v>0.37111040382867988</v>
      </c>
    </row>
    <row r="6965" spans="1:14" hidden="1" outlineLevel="1" x14ac:dyDescent="0.2">
      <c r="A6965" s="23" t="str">
        <f t="shared" si="291"/>
        <v>ГБДОУ ДЕТСКИЙ САД № 12 ПЕТРОДВОРЦОВОГО РАЙОНА САНКТ-ПЕТЕРБУРГА</v>
      </c>
      <c r="B6965" s="24" t="s">
        <v>9013</v>
      </c>
      <c r="C6965" s="25">
        <v>101766.67</v>
      </c>
      <c r="D6965" s="22" t="s">
        <v>9014</v>
      </c>
      <c r="E6965" s="22" t="s">
        <v>5557</v>
      </c>
      <c r="F6965" s="23" t="str">
        <f t="shared" si="292"/>
        <v>Выполнение услуг по промывке и видеодиагностике дренажной системы</v>
      </c>
      <c r="G6965" s="22" t="s">
        <v>89</v>
      </c>
      <c r="H6965" s="22" t="s">
        <v>89</v>
      </c>
      <c r="I6965" s="26">
        <v>43619.697222222203</v>
      </c>
      <c r="J6965" s="23" t="str">
        <f>HYPERLINK("https://www.spark-marketing.ru/Card/Person/6078257", "ООО ""ЛАТРИНА""")</f>
        <v>ООО "ЛАТРИНА"</v>
      </c>
      <c r="K6965" s="24" t="s">
        <v>9018</v>
      </c>
      <c r="L6965" s="28" t="s">
        <v>52</v>
      </c>
      <c r="M6965" s="25">
        <v>80000</v>
      </c>
      <c r="N6965" s="27">
        <v>0.21388800478584982</v>
      </c>
    </row>
    <row r="6966" spans="1:14" hidden="1" outlineLevel="1" x14ac:dyDescent="0.2">
      <c r="A6966" s="23" t="str">
        <f t="shared" si="291"/>
        <v>ГБДОУ ДЕТСКИЙ САД № 12 ПЕТРОДВОРЦОВОГО РАЙОНА САНКТ-ПЕТЕРБУРГА</v>
      </c>
      <c r="B6966" s="24" t="s">
        <v>9013</v>
      </c>
      <c r="C6966" s="25">
        <v>101766.67</v>
      </c>
      <c r="D6966" s="22" t="s">
        <v>9014</v>
      </c>
      <c r="E6966" s="22" t="s">
        <v>5557</v>
      </c>
      <c r="F6966" s="23" t="str">
        <f t="shared" si="292"/>
        <v>Выполнение услуг по промывке и видеодиагностике дренажной системы</v>
      </c>
      <c r="G6966" s="22" t="s">
        <v>89</v>
      </c>
      <c r="H6966" s="22" t="s">
        <v>89</v>
      </c>
      <c r="I6966" s="26">
        <v>43619.697222222203</v>
      </c>
      <c r="J6966" s="23" t="str">
        <f>HYPERLINK("https://www.spark-marketing.ru/Card/Person/5783674", "ООО ""БИОСФЕРА""")</f>
        <v>ООО "БИОСФЕРА"</v>
      </c>
      <c r="K6966" s="24" t="s">
        <v>9019</v>
      </c>
      <c r="L6966" s="28" t="s">
        <v>52</v>
      </c>
      <c r="M6966" s="25">
        <v>92200</v>
      </c>
      <c r="N6966" s="27">
        <v>9.4005925515691924E-2</v>
      </c>
    </row>
    <row r="6967" spans="1:14" hidden="1" outlineLevel="1" x14ac:dyDescent="0.2">
      <c r="A6967" s="23" t="str">
        <f t="shared" si="291"/>
        <v>ГБДОУ ДЕТСКИЙ САД № 12 ПЕТРОДВОРЦОВОГО РАЙОНА САНКТ-ПЕТЕРБУРГА</v>
      </c>
      <c r="B6967" s="24" t="s">
        <v>9013</v>
      </c>
      <c r="C6967" s="25">
        <v>101766.67</v>
      </c>
      <c r="D6967" s="22" t="s">
        <v>9014</v>
      </c>
      <c r="E6967" s="22" t="s">
        <v>5557</v>
      </c>
      <c r="F6967" s="23" t="str">
        <f t="shared" si="292"/>
        <v>Выполнение услуг по промывке и видеодиагностике дренажной системы</v>
      </c>
      <c r="G6967" s="22" t="s">
        <v>89</v>
      </c>
      <c r="H6967" s="22" t="s">
        <v>89</v>
      </c>
      <c r="I6967" s="26">
        <v>43619.697222222203</v>
      </c>
      <c r="J6967" s="23" t="str">
        <f>HYPERLINK("https://www.spark-marketing.ru/Card/Person/94345", "ООО ""СТРОЙСЕРВИСПРОЕКТ""")</f>
        <v>ООО "СТРОЙСЕРВИСПРОЕКТ"</v>
      </c>
      <c r="K6967" s="24" t="s">
        <v>1285</v>
      </c>
      <c r="L6967" s="28" t="s">
        <v>52</v>
      </c>
      <c r="M6967" s="25">
        <v>95000</v>
      </c>
      <c r="N6967" s="27">
        <v>6.6492005683196673E-2</v>
      </c>
    </row>
    <row r="6968" spans="1:14" x14ac:dyDescent="0.15">
      <c r="A6968" s="23" t="str">
        <f>HYPERLINK("https://www.spark-marketing.ru/Card/Person/4346801", "ФГАОУ ВО ""СЕВАСТОПОЛЬСКИЙ ГОСУДАРСТВЕННЫЙ УНИВЕРСИТЕТ""")</f>
        <v>ФГАОУ ВО "СЕВАСТОПОЛЬСКИЙ ГОСУДАРСТВЕННЫЙ УНИВЕРСИТЕТ"</v>
      </c>
      <c r="B6968" s="24" t="s">
        <v>7085</v>
      </c>
      <c r="C6968" s="25">
        <v>260500</v>
      </c>
      <c r="D6968" s="22" t="s">
        <v>9020</v>
      </c>
      <c r="E6968" s="22" t="s">
        <v>691</v>
      </c>
      <c r="F6968" s="23" t="str">
        <f>HYPERLINK("https://www.spark-marketing.ru/Card/Lot/71056380", "Выполнение работ по установке (монтажу) дополнительных камер видеонаблюдения на территории Севастопольского государственного университета по адресу: г. Севастополь, ул. Челюскинцев, 119 (МСП)")</f>
        <v>Выполнение работ по установке (монтажу) дополнительных камер видеонаблюдения на территории Севастопольского государственного университета по адресу: г. Севастополь, ул. Челюскинцев, 119 (МСП)</v>
      </c>
      <c r="G6968" s="22" t="s">
        <v>714</v>
      </c>
      <c r="H6968" s="22" t="s">
        <v>714</v>
      </c>
      <c r="I6968" s="26">
        <v>43619.6726851852</v>
      </c>
      <c r="J6968" s="28" t="s">
        <v>52</v>
      </c>
      <c r="K6968" s="28" t="s">
        <v>52</v>
      </c>
      <c r="L6968" s="28" t="s">
        <v>52</v>
      </c>
      <c r="M6968" s="28" t="s">
        <v>52</v>
      </c>
      <c r="N6968" s="28" t="s">
        <v>52</v>
      </c>
    </row>
    <row r="6969" spans="1:14" x14ac:dyDescent="0.2">
      <c r="A6969" s="23" t="str">
        <f>HYPERLINK("https://www.spark-marketing.ru/Card/Person/4347595", "ФГБОУ ВО ИЖЕВСКАЯ ГСХА")</f>
        <v>ФГБОУ ВО ИЖЕВСКАЯ ГСХА</v>
      </c>
      <c r="B6969" s="24" t="s">
        <v>9021</v>
      </c>
      <c r="C6969" s="25">
        <v>418292.72</v>
      </c>
      <c r="D6969" s="22" t="s">
        <v>9022</v>
      </c>
      <c r="E6969" s="22" t="s">
        <v>144</v>
      </c>
      <c r="F6969" s="23" t="str">
        <f>HYPERLINK("https://www.spark-marketing.ru/Card/Lot/71052442", "Оказание услуг по охране объекта незавершенного строительства")</f>
        <v>Оказание услуг по охране объекта незавершенного строительства</v>
      </c>
      <c r="G6969" s="22" t="s">
        <v>96</v>
      </c>
      <c r="H6969" s="22" t="s">
        <v>1342</v>
      </c>
      <c r="I6969" s="26">
        <v>43619.689016203702</v>
      </c>
      <c r="J6969" s="28" t="s">
        <v>52</v>
      </c>
      <c r="K6969" s="28" t="s">
        <v>52</v>
      </c>
      <c r="L6969" s="22" t="s">
        <v>10</v>
      </c>
      <c r="M6969" s="25">
        <v>418292.72</v>
      </c>
      <c r="N6969" s="27">
        <v>0</v>
      </c>
    </row>
    <row r="6970" spans="1:14" x14ac:dyDescent="0.15">
      <c r="A6970" s="23" t="str">
        <f>HYPERLINK("https://www.spark-marketing.ru/Card/Person/1755564", "АО ""СКОРОСТНЫЕ МАГИСТРАЛИ""")</f>
        <v>АО "СКОРОСТНЫЕ МАГИСТРАЛИ"</v>
      </c>
      <c r="B6970" s="24" t="s">
        <v>9023</v>
      </c>
      <c r="C6970" s="25">
        <v>368172</v>
      </c>
      <c r="D6970" s="22" t="s">
        <v>9024</v>
      </c>
      <c r="E6970" s="22" t="s">
        <v>9025</v>
      </c>
      <c r="F6970" s="23" t="str">
        <f>HYPERLINK("https://www.spark-marketing.ru/Card/Lot/71052708", "Оказание услуг по техническому обслуживанию систем видеонаблюдения и СКУД")</f>
        <v>Оказание услуг по техническому обслуживанию систем видеонаблюдения и СКУД</v>
      </c>
      <c r="G6970" s="22" t="s">
        <v>55</v>
      </c>
      <c r="H6970" s="22" t="s">
        <v>55</v>
      </c>
      <c r="I6970" s="26">
        <v>43619.695138888899</v>
      </c>
      <c r="J6970" s="28" t="s">
        <v>52</v>
      </c>
      <c r="K6970" s="28" t="s">
        <v>52</v>
      </c>
      <c r="L6970" s="28" t="s">
        <v>52</v>
      </c>
      <c r="M6970" s="28" t="s">
        <v>52</v>
      </c>
      <c r="N6970" s="28" t="s">
        <v>52</v>
      </c>
    </row>
    <row r="6971" spans="1:14" x14ac:dyDescent="0.15">
      <c r="A6971" s="23" t="str">
        <f>HYPERLINK("https://www.spark-marketing.ru/Card/Person/56716", "УФНС РОССИИ ПО КАРАЧАЕВО-ЧЕРКЕССКОЙ РЕСПУБЛИКЕ")</f>
        <v>УФНС РОССИИ ПО КАРАЧАЕВО-ЧЕРКЕССКОЙ РЕСПУБЛИКЕ</v>
      </c>
      <c r="B6971" s="24" t="s">
        <v>9026</v>
      </c>
      <c r="C6971" s="25">
        <v>576.58000000000004</v>
      </c>
      <c r="D6971" s="22" t="s">
        <v>9027</v>
      </c>
      <c r="E6971" s="22" t="s">
        <v>53</v>
      </c>
      <c r="F6971" s="23" t="str">
        <f>HYPERLINK("https://www.spark-marketing.ru/Card/Lot/71050451", "Техническое обслуживание комплекса технических средств охраны")</f>
        <v>Техническое обслуживание комплекса технических средств охраны</v>
      </c>
      <c r="G6971" s="22" t="s">
        <v>3936</v>
      </c>
      <c r="H6971" s="22" t="s">
        <v>7564</v>
      </c>
      <c r="I6971" s="26">
        <v>43619.659166666701</v>
      </c>
      <c r="J6971" s="28" t="s">
        <v>52</v>
      </c>
      <c r="K6971" s="28" t="s">
        <v>52</v>
      </c>
      <c r="L6971" s="28" t="s">
        <v>52</v>
      </c>
      <c r="M6971" s="28" t="s">
        <v>52</v>
      </c>
      <c r="N6971" s="28" t="s">
        <v>52</v>
      </c>
    </row>
    <row r="6972" spans="1:14" x14ac:dyDescent="0.15">
      <c r="A6972" s="23" t="str">
        <f>HYPERLINK("https://www.spark-marketing.ru/Card/Person/68413", "БУ ""СОВЕТСКИЙ КОМПЛЕКСНЫЙ ЦЕНТР СОЦИАЛЬНОГО ОБСЛУЖИВАНИЯ НАСЕЛЕНИЯ""")</f>
        <v>БУ "СОВЕТСКИЙ КОМПЛЕКСНЫЙ ЦЕНТР СОЦИАЛЬНОГО ОБСЛУЖИВАНИЯ НАСЕЛЕНИЯ"</v>
      </c>
      <c r="B6972" s="24" t="s">
        <v>8929</v>
      </c>
      <c r="C6972" s="25">
        <v>91200</v>
      </c>
      <c r="D6972" s="22" t="s">
        <v>9028</v>
      </c>
      <c r="E6972" s="22" t="s">
        <v>107</v>
      </c>
      <c r="F6972" s="23" t="str">
        <f>HYPERLINK("https://www.spark-marketing.ru/Card/Lot/71050914", "Оказание услуг по техническому обслуживанию систем видеонаблюдения")</f>
        <v>Оказание услуг по техническому обслуживанию систем видеонаблюдения</v>
      </c>
      <c r="G6972" s="22" t="s">
        <v>119</v>
      </c>
      <c r="H6972" s="22" t="s">
        <v>2515</v>
      </c>
      <c r="I6972" s="26">
        <v>43619.646527777797</v>
      </c>
      <c r="J6972" s="28" t="s">
        <v>52</v>
      </c>
      <c r="K6972" s="28" t="s">
        <v>52</v>
      </c>
      <c r="L6972" s="28" t="s">
        <v>52</v>
      </c>
      <c r="M6972" s="28" t="s">
        <v>52</v>
      </c>
      <c r="N6972" s="28" t="s">
        <v>52</v>
      </c>
    </row>
    <row r="6973" spans="1:14" hidden="1" outlineLevel="1" x14ac:dyDescent="0.2">
      <c r="A6973" s="23" t="str">
        <f>HYPERLINK("https://www.spark-marketing.ru/Card/Person/68413", "БУ ""СОВЕТСКИЙ КОМПЛЕКСНЫЙ ЦЕНТР СОЦИАЛЬНОГО ОБСЛУЖИВАНИЯ НАСЕЛЕНИЯ""")</f>
        <v>БУ "СОВЕТСКИЙ КОМПЛЕКСНЫЙ ЦЕНТР СОЦИАЛЬНОГО ОБСЛУЖИВАНИЯ НАСЕЛЕНИЯ"</v>
      </c>
      <c r="B6973" s="24" t="s">
        <v>8929</v>
      </c>
      <c r="C6973" s="25">
        <v>91200</v>
      </c>
      <c r="D6973" s="22" t="s">
        <v>9028</v>
      </c>
      <c r="E6973" s="22" t="s">
        <v>107</v>
      </c>
      <c r="F6973" s="23" t="str">
        <f>HYPERLINK("https://www.spark-marketing.ru/Card/Lot/71050914", "Оказание услуг по техническому обслуживанию систем видеонаблюдения")</f>
        <v>Оказание услуг по техническому обслуживанию систем видеонаблюдения</v>
      </c>
      <c r="G6973" s="22" t="s">
        <v>119</v>
      </c>
      <c r="H6973" s="22" t="s">
        <v>2515</v>
      </c>
      <c r="I6973" s="26">
        <v>43619.646527777797</v>
      </c>
      <c r="J6973" s="23" t="str">
        <f>HYPERLINK("https://www.spark-marketing.ru/Card/Person/939297", "ООО ""ЭКСПРЕСС-СВЯЗЬ""")</f>
        <v>ООО "ЭКСПРЕСС-СВЯЗЬ"</v>
      </c>
      <c r="K6973" s="24" t="s">
        <v>8840</v>
      </c>
      <c r="L6973" s="28" t="s">
        <v>52</v>
      </c>
      <c r="M6973" s="25">
        <v>69768</v>
      </c>
      <c r="N6973" s="27">
        <v>0.23499999999999999</v>
      </c>
    </row>
    <row r="6974" spans="1:14" ht="12.75" hidden="1" outlineLevel="1" x14ac:dyDescent="0.2">
      <c r="A6974" s="23" t="str">
        <f>HYPERLINK("https://www.spark-marketing.ru/Card/Person/68413", "БУ ""СОВЕТСКИЙ КОМПЛЕКСНЫЙ ЦЕНТР СОЦИАЛЬНОГО ОБСЛУЖИВАНИЯ НАСЕЛЕНИЯ""")</f>
        <v>БУ "СОВЕТСКИЙ КОМПЛЕКСНЫЙ ЦЕНТР СОЦИАЛЬНОГО ОБСЛУЖИВАНИЯ НАСЕЛЕНИЯ"</v>
      </c>
      <c r="B6974" s="24" t="s">
        <v>8929</v>
      </c>
      <c r="C6974" s="25">
        <v>91200</v>
      </c>
      <c r="D6974" s="22" t="s">
        <v>9028</v>
      </c>
      <c r="E6974" s="22" t="s">
        <v>107</v>
      </c>
      <c r="F6974" s="23" t="str">
        <f>HYPERLINK("https://www.spark-marketing.ru/Card/Lot/71050914", "Оказание услуг по техническому обслуживанию систем видеонаблюдения")</f>
        <v>Оказание услуг по техническому обслуживанию систем видеонаблюдения</v>
      </c>
      <c r="G6974" s="22" t="s">
        <v>119</v>
      </c>
      <c r="H6974" s="22" t="s">
        <v>2515</v>
      </c>
      <c r="I6974" s="26">
        <v>43619.646527777797</v>
      </c>
      <c r="J6974" s="23" t="str">
        <f>HYPERLINK("https://www.spark-marketing.ru/Card/Person/655486", "ООО ""ЧОО ""АЛЬТЕРНАТИВА-ОХРАНА""")</f>
        <v>ООО "ЧОО "АЛЬТЕРНАТИВА-ОХРАНА"</v>
      </c>
      <c r="K6974" s="24" t="s">
        <v>8841</v>
      </c>
      <c r="L6974" s="22" t="s">
        <v>10</v>
      </c>
      <c r="M6974" s="25">
        <v>46056</v>
      </c>
      <c r="N6974" s="27">
        <v>0.495</v>
      </c>
    </row>
    <row r="6975" spans="1:14" hidden="1" outlineLevel="1" x14ac:dyDescent="0.2">
      <c r="A6975" s="23" t="str">
        <f>HYPERLINK("https://www.spark-marketing.ru/Card/Person/68413", "БУ ""СОВЕТСКИЙ КОМПЛЕКСНЫЙ ЦЕНТР СОЦИАЛЬНОГО ОБСЛУЖИВАНИЯ НАСЕЛЕНИЯ""")</f>
        <v>БУ "СОВЕТСКИЙ КОМПЛЕКСНЫЙ ЦЕНТР СОЦИАЛЬНОГО ОБСЛУЖИВАНИЯ НАСЕЛЕНИЯ"</v>
      </c>
      <c r="B6975" s="24" t="s">
        <v>8929</v>
      </c>
      <c r="C6975" s="25">
        <v>91200</v>
      </c>
      <c r="D6975" s="22" t="s">
        <v>9028</v>
      </c>
      <c r="E6975" s="22" t="s">
        <v>107</v>
      </c>
      <c r="F6975" s="23" t="str">
        <f>HYPERLINK("https://www.spark-marketing.ru/Card/Lot/71050914", "Оказание услуг по техническому обслуживанию систем видеонаблюдения")</f>
        <v>Оказание услуг по техническому обслуживанию систем видеонаблюдения</v>
      </c>
      <c r="G6975" s="22" t="s">
        <v>119</v>
      </c>
      <c r="H6975" s="22" t="s">
        <v>2515</v>
      </c>
      <c r="I6975" s="26">
        <v>43619.646527777797</v>
      </c>
      <c r="J6975" s="23" t="str">
        <f>HYPERLINK("https://www.spark-marketing.ru/Card/Person/680923", "ООО ""А Т Э С И К""")</f>
        <v>ООО "А Т Э С И К"</v>
      </c>
      <c r="K6975" s="24" t="s">
        <v>8931</v>
      </c>
      <c r="L6975" s="28" t="s">
        <v>52</v>
      </c>
      <c r="M6975" s="25">
        <v>46512</v>
      </c>
      <c r="N6975" s="27">
        <v>0.49</v>
      </c>
    </row>
    <row r="6976" spans="1:14" hidden="1" outlineLevel="1" x14ac:dyDescent="0.2">
      <c r="A6976" s="23" t="str">
        <f>HYPERLINK("https://www.spark-marketing.ru/Card/Person/68413", "БУ ""СОВЕТСКИЙ КОМПЛЕКСНЫЙ ЦЕНТР СОЦИАЛЬНОГО ОБСЛУЖИВАНИЯ НАСЕЛЕНИЯ""")</f>
        <v>БУ "СОВЕТСКИЙ КОМПЛЕКСНЫЙ ЦЕНТР СОЦИАЛЬНОГО ОБСЛУЖИВАНИЯ НАСЕЛЕНИЯ"</v>
      </c>
      <c r="B6976" s="24" t="s">
        <v>8929</v>
      </c>
      <c r="C6976" s="25">
        <v>91200</v>
      </c>
      <c r="D6976" s="22" t="s">
        <v>9028</v>
      </c>
      <c r="E6976" s="22" t="s">
        <v>107</v>
      </c>
      <c r="F6976" s="23" t="str">
        <f>HYPERLINK("https://www.spark-marketing.ru/Card/Lot/71050914", "Оказание услуг по техническому обслуживанию систем видеонаблюдения")</f>
        <v>Оказание услуг по техническому обслуживанию систем видеонаблюдения</v>
      </c>
      <c r="G6976" s="22" t="s">
        <v>119</v>
      </c>
      <c r="H6976" s="22" t="s">
        <v>2515</v>
      </c>
      <c r="I6976" s="26">
        <v>43619.646527777797</v>
      </c>
      <c r="J6976" s="23" t="str">
        <f>HYPERLINK("https://www.spark-marketing.ru/Card/Person/134029", "Малышев Владимир Николаевич")</f>
        <v>Малышев Владимир Николаевич</v>
      </c>
      <c r="K6976" s="24" t="s">
        <v>8932</v>
      </c>
      <c r="L6976" s="28" t="s">
        <v>52</v>
      </c>
      <c r="M6976" s="25">
        <v>85000</v>
      </c>
      <c r="N6976" s="27">
        <v>6.798245614035088E-2</v>
      </c>
    </row>
    <row r="6977" spans="1:14" x14ac:dyDescent="0.15">
      <c r="A6977" s="23" t="str">
        <f>HYPERLINK("https://www.spark-marketing.ru/Card/Person/2402", "БУ ""НЕФТЕЮГАНСКАЯ РАЙОННАЯ БОЛЬНИЦА""")</f>
        <v>БУ "НЕФТЕЮГАНСКАЯ РАЙОННАЯ БОЛЬНИЦА"</v>
      </c>
      <c r="B6977" s="24" t="s">
        <v>9029</v>
      </c>
      <c r="C6977" s="25">
        <v>216100</v>
      </c>
      <c r="D6977" s="22" t="s">
        <v>9030</v>
      </c>
      <c r="E6977" s="22" t="s">
        <v>59</v>
      </c>
      <c r="F6977" s="23" t="str">
        <f>HYPERLINK("https://www.spark-marketing.ru/Card/Lot/71051472", "Оказание услуг по монтажу автоматических установок охранной сигнализации (амб. Сентябрьский)")</f>
        <v>Оказание услуг по монтажу автоматических установок охранной сигнализации (амб. Сентябрьский)</v>
      </c>
      <c r="G6977" s="22" t="s">
        <v>119</v>
      </c>
      <c r="H6977" s="22" t="s">
        <v>9031</v>
      </c>
      <c r="I6977" s="26">
        <v>43619.630555555603</v>
      </c>
      <c r="J6977" s="28" t="s">
        <v>52</v>
      </c>
      <c r="K6977" s="28" t="s">
        <v>52</v>
      </c>
      <c r="L6977" s="28" t="s">
        <v>52</v>
      </c>
      <c r="M6977" s="28" t="s">
        <v>52</v>
      </c>
      <c r="N6977" s="28" t="s">
        <v>52</v>
      </c>
    </row>
    <row r="6978" spans="1:14" hidden="1" outlineLevel="1" x14ac:dyDescent="0.2">
      <c r="A6978" s="23" t="str">
        <f>HYPERLINK("https://www.spark-marketing.ru/Card/Person/2402", "БУ ""НЕФТЕЮГАНСКАЯ РАЙОННАЯ БОЛЬНИЦА""")</f>
        <v>БУ "НЕФТЕЮГАНСКАЯ РАЙОННАЯ БОЛЬНИЦА"</v>
      </c>
      <c r="B6978" s="24" t="s">
        <v>9029</v>
      </c>
      <c r="C6978" s="25">
        <v>216100</v>
      </c>
      <c r="D6978" s="22" t="s">
        <v>9030</v>
      </c>
      <c r="E6978" s="22" t="s">
        <v>59</v>
      </c>
      <c r="F6978" s="23" t="str">
        <f>HYPERLINK("https://www.spark-marketing.ru/Card/Lot/71051472", "Оказание услуг по монтажу автоматических установок охранной сигнализации (амб. Сентябрьский)")</f>
        <v>Оказание услуг по монтажу автоматических установок охранной сигнализации (амб. Сентябрьский)</v>
      </c>
      <c r="G6978" s="22" t="s">
        <v>119</v>
      </c>
      <c r="H6978" s="22" t="s">
        <v>9031</v>
      </c>
      <c r="I6978" s="26">
        <v>43619.630555555603</v>
      </c>
      <c r="J6978" s="23" t="str">
        <f>HYPERLINK("https://www.spark-marketing.ru/Card/Person/1655081", "Магафуров Евгений Рафаилович")</f>
        <v>Магафуров Евгений Рафаилович</v>
      </c>
      <c r="K6978" s="24" t="s">
        <v>9032</v>
      </c>
      <c r="L6978" s="28" t="s">
        <v>52</v>
      </c>
      <c r="M6978" s="25">
        <v>200902.17</v>
      </c>
      <c r="N6978" s="27">
        <v>7.0327764923646466E-2</v>
      </c>
    </row>
    <row r="6979" spans="1:14" ht="12.75" hidden="1" outlineLevel="1" x14ac:dyDescent="0.2">
      <c r="A6979" s="23" t="str">
        <f>HYPERLINK("https://www.spark-marketing.ru/Card/Person/2402", "БУ ""НЕФТЕЮГАНСКАЯ РАЙОННАЯ БОЛЬНИЦА""")</f>
        <v>БУ "НЕФТЕЮГАНСКАЯ РАЙОННАЯ БОЛЬНИЦА"</v>
      </c>
      <c r="B6979" s="24" t="s">
        <v>9029</v>
      </c>
      <c r="C6979" s="25">
        <v>216100</v>
      </c>
      <c r="D6979" s="22" t="s">
        <v>9030</v>
      </c>
      <c r="E6979" s="22" t="s">
        <v>59</v>
      </c>
      <c r="F6979" s="23" t="str">
        <f>HYPERLINK("https://www.spark-marketing.ru/Card/Lot/71051472", "Оказание услуг по монтажу автоматических установок охранной сигнализации (амб. Сентябрьский)")</f>
        <v>Оказание услуг по монтажу автоматических установок охранной сигнализации (амб. Сентябрьский)</v>
      </c>
      <c r="G6979" s="22" t="s">
        <v>119</v>
      </c>
      <c r="H6979" s="22" t="s">
        <v>9031</v>
      </c>
      <c r="I6979" s="26">
        <v>43619.630555555603</v>
      </c>
      <c r="J6979" s="23" t="str">
        <f>HYPERLINK("https://www.spark-marketing.ru/Card/Person/4331145", "Бердяшкин Анатолий Борисович")</f>
        <v>Бердяшкин Анатолий Борисович</v>
      </c>
      <c r="K6979" s="24" t="s">
        <v>9033</v>
      </c>
      <c r="L6979" s="22" t="s">
        <v>10</v>
      </c>
      <c r="M6979" s="25">
        <v>199821.67</v>
      </c>
      <c r="N6979" s="27">
        <v>7.5327764923646456E-2</v>
      </c>
    </row>
    <row r="6980" spans="1:14" x14ac:dyDescent="0.15">
      <c r="A6980" s="23" t="str">
        <f>HYPERLINK("https://www.spark-marketing.ru/Card/Person/35198", "ФКУ ""ДЕЗ СКИТР""")</f>
        <v>ФКУ "ДЕЗ СКИТР"</v>
      </c>
      <c r="B6980" s="24" t="s">
        <v>2310</v>
      </c>
      <c r="C6980" s="25">
        <v>71149.64</v>
      </c>
      <c r="D6980" s="22" t="s">
        <v>9034</v>
      </c>
      <c r="E6980" s="22" t="s">
        <v>53</v>
      </c>
      <c r="F6980" s="23" t="str">
        <f>HYPERLINK("https://www.spark-marketing.ru/Card/Lot/71050413", "на оказание услуг по техническому обслуживанию видеонаблюдения нежилого здания по адресу: г. Москва, ул. Архитектора Власова, д.21, стр.3.")</f>
        <v>на оказание услуг по техническому обслуживанию видеонаблюдения нежилого здания по адресу: г. Москва, ул. Архитектора Власова, д.21, стр.3.</v>
      </c>
      <c r="G6980" s="22" t="s">
        <v>55</v>
      </c>
      <c r="H6980" s="22" t="s">
        <v>55</v>
      </c>
      <c r="I6980" s="26">
        <v>43619.647349537001</v>
      </c>
      <c r="J6980" s="28" t="s">
        <v>52</v>
      </c>
      <c r="K6980" s="28" t="s">
        <v>52</v>
      </c>
      <c r="L6980" s="28" t="s">
        <v>52</v>
      </c>
      <c r="M6980" s="28" t="s">
        <v>52</v>
      </c>
      <c r="N6980" s="28" t="s">
        <v>52</v>
      </c>
    </row>
    <row r="6981" spans="1:14" ht="12.75" x14ac:dyDescent="0.2">
      <c r="A6981" s="23" t="str">
        <f>HYPERLINK("https://www.spark-marketing.ru/Card/Person/3849", "УФССП РОССИИ ПО ИРКУТСКОЙ ОБЛАСТИ")</f>
        <v>УФССП РОССИИ ПО ИРКУТСКОЙ ОБЛАСТИ</v>
      </c>
      <c r="B6981" s="24" t="s">
        <v>9035</v>
      </c>
      <c r="C6981" s="25">
        <v>32073.54</v>
      </c>
      <c r="D6981" s="22" t="s">
        <v>9036</v>
      </c>
      <c r="E6981" s="22" t="s">
        <v>52</v>
      </c>
      <c r="F6981" s="23" t="str">
        <f>HYPERLINK("https://www.spark-marketing.ru/Card/Lot/71045236", "Оказание услуг охраны с помощью КТС (г. Иркутск)")</f>
        <v>Оказание услуг охраны с помощью КТС (г. Иркутск)</v>
      </c>
      <c r="G6981" s="22" t="s">
        <v>281</v>
      </c>
      <c r="H6981" s="22" t="s">
        <v>281</v>
      </c>
      <c r="I6981" s="26">
        <v>43619.651388888902</v>
      </c>
      <c r="J6981" s="23" t="str">
        <f>HYPERLINK("https://www.spark-marketing.ru/Card/Person/4393154", "ФГКУ ""УВО ВНГ РОССИИ ПО ИРКУТСКОЙ ОБЛАСТИ""")</f>
        <v>ФГКУ "УВО ВНГ РОССИИ ПО ИРКУТСКОЙ ОБЛАСТИ"</v>
      </c>
      <c r="K6981" s="24" t="s">
        <v>9037</v>
      </c>
      <c r="L6981" s="22" t="s">
        <v>10</v>
      </c>
      <c r="M6981" s="25">
        <v>25707.72</v>
      </c>
      <c r="N6981" s="27">
        <v>0.19847575291034292</v>
      </c>
    </row>
    <row r="6982" spans="1:14" x14ac:dyDescent="0.15">
      <c r="A6982" s="23" t="str">
        <f>HYPERLINK("https://www.spark-marketing.ru/Card/Person/378676", "МЕЖРАЙОННАЯ ИФНС РОССИИ № 1 ПО ЛИПЕЦКОЙ ОБЛАСТИ")</f>
        <v>МЕЖРАЙОННАЯ ИФНС РОССИИ № 1 ПО ЛИПЕЦКОЙ ОБЛАСТИ</v>
      </c>
      <c r="B6982" s="24" t="s">
        <v>3576</v>
      </c>
      <c r="C6982" s="25">
        <v>32000</v>
      </c>
      <c r="D6982" s="22" t="s">
        <v>9038</v>
      </c>
      <c r="E6982" s="22" t="s">
        <v>84</v>
      </c>
      <c r="F6982" s="23" t="str">
        <f>HYPERLINK("https://www.spark-marketing.ru/Card/Lot/71044894", "Монтаж, установка, модернизация систем видеонаблюдения, 1 шт")</f>
        <v>Монтаж, установка, модернизация систем видеонаблюдения, 1 шт</v>
      </c>
      <c r="G6982" s="22" t="s">
        <v>629</v>
      </c>
      <c r="H6982" s="22" t="s">
        <v>3578</v>
      </c>
      <c r="I6982" s="26">
        <v>43619.5844560185</v>
      </c>
      <c r="J6982" s="28" t="s">
        <v>52</v>
      </c>
      <c r="K6982" s="28" t="s">
        <v>52</v>
      </c>
      <c r="L6982" s="28" t="s">
        <v>52</v>
      </c>
      <c r="M6982" s="28" t="s">
        <v>52</v>
      </c>
      <c r="N6982" s="28" t="s">
        <v>52</v>
      </c>
    </row>
    <row r="6983" spans="1:14" x14ac:dyDescent="0.15">
      <c r="A6983" s="23" t="str">
        <f>HYPERLINK("https://www.spark-marketing.ru/Card/Person/4686", "ГУ - ХАБАРОВСКОЕ РО ФОНДА СОЦИАЛЬНОГО СТРАХОВАНИЯ РОССИЙСКОЙ ФЕДЕРАЦИИ")</f>
        <v>ГУ - ХАБАРОВСКОЕ РО ФОНДА СОЦИАЛЬНОГО СТРАХОВАНИЯ РОССИЙСКОЙ ФЕДЕРАЦИИ</v>
      </c>
      <c r="B6983" s="24" t="s">
        <v>2695</v>
      </c>
      <c r="C6983" s="25">
        <v>21621.599999999999</v>
      </c>
      <c r="D6983" s="22" t="s">
        <v>9039</v>
      </c>
      <c r="E6983" s="22" t="s">
        <v>103</v>
      </c>
      <c r="F6983" s="23" t="str">
        <f>HYPERLINK("https://www.spark-marketing.ru/Card/Lot/71034754", "Оказание услуг по техническому обслуживанию систем видеонаблюдения филиала №11 ГУ-ХРО ФСС РФ в 2019 году")</f>
        <v>Оказание услуг по техническому обслуживанию систем видеонаблюдения филиала №11 ГУ-ХРО ФСС РФ в 2019 году</v>
      </c>
      <c r="G6983" s="22" t="s">
        <v>138</v>
      </c>
      <c r="H6983" s="22" t="s">
        <v>255</v>
      </c>
      <c r="I6983" s="26">
        <v>43619.584027777797</v>
      </c>
      <c r="J6983" s="28" t="s">
        <v>52</v>
      </c>
      <c r="K6983" s="28" t="s">
        <v>52</v>
      </c>
      <c r="L6983" s="28" t="s">
        <v>52</v>
      </c>
      <c r="M6983" s="28" t="s">
        <v>52</v>
      </c>
      <c r="N6983" s="28" t="s">
        <v>52</v>
      </c>
    </row>
    <row r="6984" spans="1:14" ht="12.75" hidden="1" outlineLevel="1" x14ac:dyDescent="0.2">
      <c r="A6984" s="23" t="str">
        <f>HYPERLINK("https://www.spark-marketing.ru/Card/Person/4686", "ГУ - ХАБАРОВСКОЕ РО ФОНДА СОЦИАЛЬНОГО СТРАХОВАНИЯ РОССИЙСКОЙ ФЕДЕРАЦИИ")</f>
        <v>ГУ - ХАБАРОВСКОЕ РО ФОНДА СОЦИАЛЬНОГО СТРАХОВАНИЯ РОССИЙСКОЙ ФЕДЕРАЦИИ</v>
      </c>
      <c r="B6984" s="24" t="s">
        <v>2695</v>
      </c>
      <c r="C6984" s="25">
        <v>21621.599999999999</v>
      </c>
      <c r="D6984" s="22" t="s">
        <v>9039</v>
      </c>
      <c r="E6984" s="22" t="s">
        <v>103</v>
      </c>
      <c r="F6984" s="23" t="str">
        <f>HYPERLINK("https://www.spark-marketing.ru/Card/Lot/71034754", "Оказание услуг по техническому обслуживанию систем видеонаблюдения филиала №11 ГУ-ХРО ФСС РФ в 2019 году")</f>
        <v>Оказание услуг по техническому обслуживанию систем видеонаблюдения филиала №11 ГУ-ХРО ФСС РФ в 2019 году</v>
      </c>
      <c r="G6984" s="22" t="s">
        <v>138</v>
      </c>
      <c r="H6984" s="22" t="s">
        <v>255</v>
      </c>
      <c r="I6984" s="26">
        <v>43619.584027777797</v>
      </c>
      <c r="J6984" s="23" t="str">
        <f>HYPERLINK("https://www.spark-marketing.ru/Card/Person/198499", "ООО ""ДВСБ""")</f>
        <v>ООО "ДВСБ"</v>
      </c>
      <c r="K6984" s="24" t="s">
        <v>1650</v>
      </c>
      <c r="L6984" s="22" t="s">
        <v>10</v>
      </c>
      <c r="M6984" s="25">
        <v>12600</v>
      </c>
      <c r="N6984" s="27">
        <v>0.41724941724941728</v>
      </c>
    </row>
    <row r="6985" spans="1:14" hidden="1" outlineLevel="1" x14ac:dyDescent="0.2">
      <c r="A6985" s="23" t="str">
        <f>HYPERLINK("https://www.spark-marketing.ru/Card/Person/4686", "ГУ - ХАБАРОВСКОЕ РО ФОНДА СОЦИАЛЬНОГО СТРАХОВАНИЯ РОССИЙСКОЙ ФЕДЕРАЦИИ")</f>
        <v>ГУ - ХАБАРОВСКОЕ РО ФОНДА СОЦИАЛЬНОГО СТРАХОВАНИЯ РОССИЙСКОЙ ФЕДЕРАЦИИ</v>
      </c>
      <c r="B6985" s="24" t="s">
        <v>2695</v>
      </c>
      <c r="C6985" s="25">
        <v>21621.599999999999</v>
      </c>
      <c r="D6985" s="22" t="s">
        <v>9039</v>
      </c>
      <c r="E6985" s="22" t="s">
        <v>103</v>
      </c>
      <c r="F6985" s="23" t="str">
        <f>HYPERLINK("https://www.spark-marketing.ru/Card/Lot/71034754", "Оказание услуг по техническому обслуживанию систем видеонаблюдения филиала №11 ГУ-ХРО ФСС РФ в 2019 году")</f>
        <v>Оказание услуг по техническому обслуживанию систем видеонаблюдения филиала №11 ГУ-ХРО ФСС РФ в 2019 году</v>
      </c>
      <c r="G6985" s="22" t="s">
        <v>138</v>
      </c>
      <c r="H6985" s="22" t="s">
        <v>255</v>
      </c>
      <c r="I6985" s="26">
        <v>43619.584027777797</v>
      </c>
      <c r="J6985" s="23" t="str">
        <f>HYPERLINK("https://www.spark-marketing.ru/Card/Person/190384", "ООО ""ТСК "" АЗИМУТ""")</f>
        <v>ООО "ТСК " АЗИМУТ"</v>
      </c>
      <c r="K6985" s="24" t="s">
        <v>2697</v>
      </c>
      <c r="L6985" s="28" t="s">
        <v>52</v>
      </c>
      <c r="M6985" s="25">
        <v>14000</v>
      </c>
      <c r="N6985" s="27">
        <v>0.35249935249935249</v>
      </c>
    </row>
    <row r="6986" spans="1:14" hidden="1" outlineLevel="1" x14ac:dyDescent="0.2">
      <c r="A6986" s="23" t="str">
        <f>HYPERLINK("https://www.spark-marketing.ru/Card/Person/4686", "ГУ - ХАБАРОВСКОЕ РО ФОНДА СОЦИАЛЬНОГО СТРАХОВАНИЯ РОССИЙСКОЙ ФЕДЕРАЦИИ")</f>
        <v>ГУ - ХАБАРОВСКОЕ РО ФОНДА СОЦИАЛЬНОГО СТРАХОВАНИЯ РОССИЙСКОЙ ФЕДЕРАЦИИ</v>
      </c>
      <c r="B6986" s="24" t="s">
        <v>2695</v>
      </c>
      <c r="C6986" s="25">
        <v>21621.599999999999</v>
      </c>
      <c r="D6986" s="22" t="s">
        <v>9039</v>
      </c>
      <c r="E6986" s="22" t="s">
        <v>103</v>
      </c>
      <c r="F6986" s="23" t="str">
        <f>HYPERLINK("https://www.spark-marketing.ru/Card/Lot/71034754", "Оказание услуг по техническому обслуживанию систем видеонаблюдения филиала №11 ГУ-ХРО ФСС РФ в 2019 году")</f>
        <v>Оказание услуг по техническому обслуживанию систем видеонаблюдения филиала №11 ГУ-ХРО ФСС РФ в 2019 году</v>
      </c>
      <c r="G6986" s="22" t="s">
        <v>138</v>
      </c>
      <c r="H6986" s="22" t="s">
        <v>255</v>
      </c>
      <c r="I6986" s="26">
        <v>43619.584027777797</v>
      </c>
      <c r="J6986" s="23" t="str">
        <f>HYPERLINK("https://www.spark-marketing.ru/Card/Person/178263", "ООО ЧОО ""ОМЕГА-ДВ""")</f>
        <v>ООО ЧОО "ОМЕГА-ДВ"</v>
      </c>
      <c r="K6986" s="24" t="s">
        <v>9040</v>
      </c>
      <c r="L6986" s="28" t="s">
        <v>52</v>
      </c>
      <c r="M6986" s="25">
        <v>21000</v>
      </c>
      <c r="N6986" s="27">
        <v>2.8749028749028748E-2</v>
      </c>
    </row>
    <row r="6987" spans="1:14" x14ac:dyDescent="0.15">
      <c r="A6987" s="23" t="str">
        <f>HYPERLINK("https://www.spark-marketing.ru/Card/Person/247566", "МУП ""МРКВК"" ГОРОДСКОГО ОКРУГА ГОРОД СТЕРЛИТАМАК")</f>
        <v>МУП "МРКВК" ГОРОДСКОГО ОКРУГА ГОРОД СТЕРЛИТАМАК</v>
      </c>
      <c r="B6987" s="24" t="s">
        <v>9041</v>
      </c>
      <c r="C6987" s="25">
        <v>782330.92</v>
      </c>
      <c r="D6987" s="22" t="s">
        <v>9042</v>
      </c>
      <c r="E6987" s="22" t="s">
        <v>49</v>
      </c>
      <c r="F6987" s="23" t="str">
        <f>HYPERLINK("https://www.spark-marketing.ru/Card/Lot/71043113", "Проведение работ по установке системы видеонаблюдения на производственной базе МУП «Межрайкоммунводоканал» по адресу: Башкортостан г. Стерлитамак, ул. Днепровская, 3")</f>
        <v>Проведение работ по установке системы видеонаблюдения на производственной базе МУП «Межрайкоммунводоканал» по адресу: Башкортостан г. Стерлитамак, ул. Днепровская, 3</v>
      </c>
      <c r="G6987" s="22" t="s">
        <v>100</v>
      </c>
      <c r="H6987" s="22" t="s">
        <v>100</v>
      </c>
      <c r="I6987" s="26">
        <v>43619.614386574103</v>
      </c>
      <c r="J6987" s="28" t="s">
        <v>52</v>
      </c>
      <c r="K6987" s="28" t="s">
        <v>52</v>
      </c>
      <c r="L6987" s="28" t="s">
        <v>52</v>
      </c>
      <c r="M6987" s="28" t="s">
        <v>52</v>
      </c>
      <c r="N6987" s="28" t="s">
        <v>52</v>
      </c>
    </row>
    <row r="6988" spans="1:14" x14ac:dyDescent="0.15">
      <c r="A6988" s="23" t="str">
        <f>HYPERLINK("https://www.spark-marketing.ru/Card/Person/148594", "МКУ АДМИНИСТРАЦИЯ РП. НОВОБУРЕЙСКИЙ")</f>
        <v>МКУ АДМИНИСТРАЦИЯ РП. НОВОБУРЕЙСКИЙ</v>
      </c>
      <c r="B6988" s="24" t="s">
        <v>9043</v>
      </c>
      <c r="C6988" s="25">
        <v>122404.8</v>
      </c>
      <c r="D6988" s="22" t="s">
        <v>9044</v>
      </c>
      <c r="E6988" s="22" t="s">
        <v>59</v>
      </c>
      <c r="F6988" s="23" t="str">
        <f>HYPERLINK("https://www.spark-marketing.ru/Card/Lot/71035344", "Содержание и техническое обслуживание светофорных объектов в количестве двух штук на пересечении улиц Советская- Комсомольская , Зеленая- Горького пгт. Новобурейский на 2019-2020 год")</f>
        <v>Содержание и техническое обслуживание светофорных объектов в количестве двух штук на пересечении улиц Советская- Комсомольская , Зеленая- Горького пгт. Новобурейский на 2019-2020 год</v>
      </c>
      <c r="G6988" s="22" t="s">
        <v>230</v>
      </c>
      <c r="H6988" s="22" t="s">
        <v>5593</v>
      </c>
      <c r="I6988" s="26">
        <v>43619.568749999999</v>
      </c>
      <c r="J6988" s="23" t="str">
        <f>HYPERLINK("https://www.spark-marketing.ru/Card/Person/4394009", "Бужуров Виктор Владимирович")</f>
        <v>Бужуров Виктор Владимирович</v>
      </c>
      <c r="K6988" s="24" t="s">
        <v>9045</v>
      </c>
      <c r="L6988" s="22" t="s">
        <v>10</v>
      </c>
      <c r="M6988" s="28" t="s">
        <v>52</v>
      </c>
      <c r="N6988" s="28" t="s">
        <v>52</v>
      </c>
    </row>
    <row r="6989" spans="1:14" x14ac:dyDescent="0.15">
      <c r="A6989" s="23" t="str">
        <f>HYPERLINK("https://www.spark-marketing.ru/Card/Person/20635", "ФГБУ ""ФКП РОСРЕЕСТРА""")</f>
        <v>ФГБУ "ФКП РОСРЕЕСТРА"</v>
      </c>
      <c r="B6989" s="24" t="s">
        <v>6686</v>
      </c>
      <c r="C6989" s="25">
        <v>693485.4</v>
      </c>
      <c r="D6989" s="22" t="s">
        <v>9046</v>
      </c>
      <c r="E6989" s="22" t="s">
        <v>52</v>
      </c>
      <c r="F6989" s="23" t="str">
        <f>HYPERLINK("https://www.spark-marketing.ru/Card/Lot/71051189", "Оказание услуг по охране занимаемых помещений для нужд филиала ФГБУ ""ФКП Росреестра"" по Мурманской области")</f>
        <v>Оказание услуг по охране занимаемых помещений для нужд филиала ФГБУ "ФКП Росреестра" по Мурманской области</v>
      </c>
      <c r="G6989" s="22" t="s">
        <v>190</v>
      </c>
      <c r="H6989" s="22" t="s">
        <v>190</v>
      </c>
      <c r="I6989" s="26">
        <v>43619.5444444444</v>
      </c>
      <c r="J6989" s="28" t="s">
        <v>52</v>
      </c>
      <c r="K6989" s="28" t="s">
        <v>52</v>
      </c>
      <c r="L6989" s="28" t="s">
        <v>52</v>
      </c>
      <c r="M6989" s="28" t="s">
        <v>52</v>
      </c>
      <c r="N6989" s="28" t="s">
        <v>52</v>
      </c>
    </row>
    <row r="6990" spans="1:14" hidden="1" outlineLevel="1" x14ac:dyDescent="0.2">
      <c r="A6990" s="23" t="str">
        <f>HYPERLINK("https://www.spark-marketing.ru/Card/Person/20635", "ФГБУ ""ФКП РОСРЕЕСТРА""")</f>
        <v>ФГБУ "ФКП РОСРЕЕСТРА"</v>
      </c>
      <c r="B6990" s="24" t="s">
        <v>6686</v>
      </c>
      <c r="C6990" s="25">
        <v>693485.4</v>
      </c>
      <c r="D6990" s="22" t="s">
        <v>9046</v>
      </c>
      <c r="E6990" s="22" t="s">
        <v>52</v>
      </c>
      <c r="F6990" s="23" t="str">
        <f>HYPERLINK("https://www.spark-marketing.ru/Card/Lot/71051189", "Оказание услуг по охране занимаемых помещений для нужд филиала ФГБУ ""ФКП Росреестра"" по Мурманской области")</f>
        <v>Оказание услуг по охране занимаемых помещений для нужд филиала ФГБУ "ФКП Росреестра" по Мурманской области</v>
      </c>
      <c r="G6990" s="22" t="s">
        <v>190</v>
      </c>
      <c r="H6990" s="22" t="s">
        <v>190</v>
      </c>
      <c r="I6990" s="26">
        <v>43619.5444444444</v>
      </c>
      <c r="J6990" s="23" t="str">
        <f>HYPERLINK("https://www.spark-marketing.ru/Card/Person/6441119", "ООО ""БРАТЕЕВО""")</f>
        <v>ООО "БРАТЕЕВО"</v>
      </c>
      <c r="K6990" s="24" t="s">
        <v>6680</v>
      </c>
      <c r="L6990" s="28" t="s">
        <v>52</v>
      </c>
      <c r="M6990" s="25">
        <v>570791.73</v>
      </c>
      <c r="N6990" s="27">
        <v>0.17692322001299524</v>
      </c>
    </row>
    <row r="6991" spans="1:14" ht="12.75" hidden="1" outlineLevel="1" x14ac:dyDescent="0.2">
      <c r="A6991" s="23" t="str">
        <f>HYPERLINK("https://www.spark-marketing.ru/Card/Person/20635", "ФГБУ ""ФКП РОСРЕЕСТРА""")</f>
        <v>ФГБУ "ФКП РОСРЕЕСТРА"</v>
      </c>
      <c r="B6991" s="24" t="s">
        <v>6686</v>
      </c>
      <c r="C6991" s="25">
        <v>693485.4</v>
      </c>
      <c r="D6991" s="22" t="s">
        <v>9046</v>
      </c>
      <c r="E6991" s="22" t="s">
        <v>52</v>
      </c>
      <c r="F6991" s="23" t="str">
        <f>HYPERLINK("https://www.spark-marketing.ru/Card/Lot/71051189", "Оказание услуг по охране занимаемых помещений для нужд филиала ФГБУ ""ФКП Росреестра"" по Мурманской области")</f>
        <v>Оказание услуг по охране занимаемых помещений для нужд филиала ФГБУ "ФКП Росреестра" по Мурманской области</v>
      </c>
      <c r="G6991" s="22" t="s">
        <v>190</v>
      </c>
      <c r="H6991" s="22" t="s">
        <v>190</v>
      </c>
      <c r="I6991" s="26">
        <v>43619.5444444444</v>
      </c>
      <c r="J6991" s="23" t="str">
        <f>HYPERLINK("https://www.spark-marketing.ru/Card/Person/649670", "ООО ЧОП ""ВАРЯГ""")</f>
        <v>ООО ЧОП "ВАРЯГ"</v>
      </c>
      <c r="K6991" s="24" t="s">
        <v>9047</v>
      </c>
      <c r="L6991" s="22" t="s">
        <v>10</v>
      </c>
      <c r="M6991" s="25">
        <v>574259.16</v>
      </c>
      <c r="N6991" s="27">
        <v>0.17192321568702096</v>
      </c>
    </row>
    <row r="6992" spans="1:14" x14ac:dyDescent="0.15">
      <c r="A6992" s="23" t="str">
        <f>HYPERLINK("https://www.spark-marketing.ru/Card/Person/1006717", "МБДОУ ДЕТСКИЙ САД ""КОЛОКОЛЬЧИК""")</f>
        <v>МБДОУ ДЕТСКИЙ САД "КОЛОКОЛЬЧИК"</v>
      </c>
      <c r="B6992" s="24" t="s">
        <v>9048</v>
      </c>
      <c r="C6992" s="25">
        <v>310208.21999999997</v>
      </c>
      <c r="D6992" s="22" t="s">
        <v>9049</v>
      </c>
      <c r="E6992" s="22" t="s">
        <v>59</v>
      </c>
      <c r="F6992" s="23" t="str">
        <f>HYPERLINK("https://www.spark-marketing.ru/Card/Lot/71050845", "Установка и монтаж системы видеонаблюдения")</f>
        <v>Установка и монтаж системы видеонаблюдения</v>
      </c>
      <c r="G6992" s="22" t="s">
        <v>629</v>
      </c>
      <c r="H6992" s="22" t="s">
        <v>8145</v>
      </c>
      <c r="I6992" s="26">
        <v>43619.554861111101</v>
      </c>
      <c r="J6992" s="28" t="s">
        <v>52</v>
      </c>
      <c r="K6992" s="28" t="s">
        <v>52</v>
      </c>
      <c r="L6992" s="28" t="s">
        <v>52</v>
      </c>
      <c r="M6992" s="28" t="s">
        <v>52</v>
      </c>
      <c r="N6992" s="28" t="s">
        <v>52</v>
      </c>
    </row>
    <row r="6993" spans="1:14" hidden="1" outlineLevel="1" x14ac:dyDescent="0.2">
      <c r="A6993" s="23" t="str">
        <f>HYPERLINK("https://www.spark-marketing.ru/Card/Person/1006717", "МБДОУ ДЕТСКИЙ САД ""КОЛОКОЛЬЧИК""")</f>
        <v>МБДОУ ДЕТСКИЙ САД "КОЛОКОЛЬЧИК"</v>
      </c>
      <c r="B6993" s="24" t="s">
        <v>9048</v>
      </c>
      <c r="C6993" s="25">
        <v>310208.21999999997</v>
      </c>
      <c r="D6993" s="22" t="s">
        <v>9049</v>
      </c>
      <c r="E6993" s="22" t="s">
        <v>59</v>
      </c>
      <c r="F6993" s="23" t="str">
        <f>HYPERLINK("https://www.spark-marketing.ru/Card/Lot/71050845", "Установка и монтаж системы видеонаблюдения")</f>
        <v>Установка и монтаж системы видеонаблюдения</v>
      </c>
      <c r="G6993" s="22" t="s">
        <v>629</v>
      </c>
      <c r="H6993" s="22" t="s">
        <v>8145</v>
      </c>
      <c r="I6993" s="26">
        <v>43619.554861111101</v>
      </c>
      <c r="J6993" s="23" t="str">
        <f>HYPERLINK("https://www.spark-marketing.ru/Card/Person/18883", "ООО ""БЭКСТР""")</f>
        <v>ООО "БЭКСТР"</v>
      </c>
      <c r="K6993" s="24" t="s">
        <v>9050</v>
      </c>
      <c r="L6993" s="28" t="s">
        <v>52</v>
      </c>
      <c r="M6993" s="25">
        <v>302453.02</v>
      </c>
      <c r="N6993" s="27">
        <v>2.4999982269973374E-2</v>
      </c>
    </row>
    <row r="6994" spans="1:14" hidden="1" outlineLevel="1" x14ac:dyDescent="0.2">
      <c r="A6994" s="23" t="str">
        <f>HYPERLINK("https://www.spark-marketing.ru/Card/Person/1006717", "МБДОУ ДЕТСКИЙ САД ""КОЛОКОЛЬЧИК""")</f>
        <v>МБДОУ ДЕТСКИЙ САД "КОЛОКОЛЬЧИК"</v>
      </c>
      <c r="B6994" s="24" t="s">
        <v>9048</v>
      </c>
      <c r="C6994" s="25">
        <v>310208.21999999997</v>
      </c>
      <c r="D6994" s="22" t="s">
        <v>9049</v>
      </c>
      <c r="E6994" s="22" t="s">
        <v>59</v>
      </c>
      <c r="F6994" s="23" t="str">
        <f>HYPERLINK("https://www.spark-marketing.ru/Card/Lot/71050845", "Установка и монтаж системы видеонаблюдения")</f>
        <v>Установка и монтаж системы видеонаблюдения</v>
      </c>
      <c r="G6994" s="22" t="s">
        <v>629</v>
      </c>
      <c r="H6994" s="22" t="s">
        <v>8145</v>
      </c>
      <c r="I6994" s="26">
        <v>43619.554861111101</v>
      </c>
      <c r="J6994" s="23" t="str">
        <f>HYPERLINK("https://www.spark-marketing.ru/Card/Person/6059582", "ООО ""ПЯТЫЙ ЭЛЕМЕНТ ЛИПЕЦК""")</f>
        <v>ООО "ПЯТЫЙ ЭЛЕМЕНТ ЛИПЕЦК"</v>
      </c>
      <c r="K6994" s="24" t="s">
        <v>8148</v>
      </c>
      <c r="L6994" s="28" t="s">
        <v>52</v>
      </c>
      <c r="M6994" s="25">
        <v>250530.24</v>
      </c>
      <c r="N6994" s="27">
        <v>0.19238039533575221</v>
      </c>
    </row>
    <row r="6995" spans="1:14" ht="12.75" hidden="1" outlineLevel="1" x14ac:dyDescent="0.2">
      <c r="A6995" s="23" t="str">
        <f>HYPERLINK("https://www.spark-marketing.ru/Card/Person/1006717", "МБДОУ ДЕТСКИЙ САД ""КОЛОКОЛЬЧИК""")</f>
        <v>МБДОУ ДЕТСКИЙ САД "КОЛОКОЛЬЧИК"</v>
      </c>
      <c r="B6995" s="24" t="s">
        <v>9048</v>
      </c>
      <c r="C6995" s="25">
        <v>310208.21999999997</v>
      </c>
      <c r="D6995" s="22" t="s">
        <v>9049</v>
      </c>
      <c r="E6995" s="22" t="s">
        <v>59</v>
      </c>
      <c r="F6995" s="23" t="str">
        <f>HYPERLINK("https://www.spark-marketing.ru/Card/Lot/71050845", "Установка и монтаж системы видеонаблюдения")</f>
        <v>Установка и монтаж системы видеонаблюдения</v>
      </c>
      <c r="G6995" s="22" t="s">
        <v>629</v>
      </c>
      <c r="H6995" s="22" t="s">
        <v>8145</v>
      </c>
      <c r="I6995" s="26">
        <v>43619.554861111101</v>
      </c>
      <c r="J6995" s="23" t="str">
        <f>HYPERLINK("https://www.spark-marketing.ru/Card/Person/6316326", "Петровский Сергей Дмитриевич")</f>
        <v>Петровский Сергей Дмитриевич</v>
      </c>
      <c r="K6995" s="24" t="s">
        <v>9051</v>
      </c>
      <c r="L6995" s="22" t="s">
        <v>10</v>
      </c>
      <c r="M6995" s="25">
        <v>248979.20000000001</v>
      </c>
      <c r="N6995" s="27">
        <v>0.1973803917897469</v>
      </c>
    </row>
    <row r="6996" spans="1:14" x14ac:dyDescent="0.15">
      <c r="A6996" s="23" t="str">
        <f>HYPERLINK("https://www.spark-marketing.ru/Card/Person/5721", "ОГБУЗ ""ИГП № 11""")</f>
        <v>ОГБУЗ "ИГП № 11"</v>
      </c>
      <c r="B6996" s="24" t="s">
        <v>3831</v>
      </c>
      <c r="C6996" s="25">
        <v>497766.99</v>
      </c>
      <c r="D6996" s="22" t="s">
        <v>9052</v>
      </c>
      <c r="E6996" s="22" t="s">
        <v>52</v>
      </c>
      <c r="F6996" s="23" t="str">
        <f>HYPERLINK("https://www.spark-marketing.ru/Card/Lot/71034699", "Оказание услуг по охране объектов")</f>
        <v>Оказание услуг по охране объектов</v>
      </c>
      <c r="G6996" s="22" t="s">
        <v>281</v>
      </c>
      <c r="H6996" s="22" t="s">
        <v>2008</v>
      </c>
      <c r="I6996" s="26">
        <v>43619.514583333301</v>
      </c>
      <c r="J6996" s="28" t="s">
        <v>52</v>
      </c>
      <c r="K6996" s="28" t="s">
        <v>52</v>
      </c>
      <c r="L6996" s="28" t="s">
        <v>52</v>
      </c>
      <c r="M6996" s="28" t="s">
        <v>52</v>
      </c>
      <c r="N6996" s="28" t="s">
        <v>52</v>
      </c>
    </row>
    <row r="6997" spans="1:14" ht="12.75" hidden="1" outlineLevel="1" x14ac:dyDescent="0.2">
      <c r="A6997" s="23" t="str">
        <f>HYPERLINK("https://www.spark-marketing.ru/Card/Person/5721", "ОГБУЗ ""ИГП № 11""")</f>
        <v>ОГБУЗ "ИГП № 11"</v>
      </c>
      <c r="B6997" s="24" t="s">
        <v>3831</v>
      </c>
      <c r="C6997" s="25">
        <v>497766.99</v>
      </c>
      <c r="D6997" s="22" t="s">
        <v>9052</v>
      </c>
      <c r="E6997" s="22" t="s">
        <v>52</v>
      </c>
      <c r="F6997" s="23" t="str">
        <f>HYPERLINK("https://www.spark-marketing.ru/Card/Lot/71034699", "Оказание услуг по охране объектов")</f>
        <v>Оказание услуг по охране объектов</v>
      </c>
      <c r="G6997" s="22" t="s">
        <v>281</v>
      </c>
      <c r="H6997" s="22" t="s">
        <v>2008</v>
      </c>
      <c r="I6997" s="26">
        <v>43619.514583333301</v>
      </c>
      <c r="J6997" s="23" t="str">
        <f>HYPERLINK("https://www.spark-marketing.ru/Card/Person/87686", "ООО ОА ""ПЕРЕСВЕТ""")</f>
        <v>ООО ОА "ПЕРЕСВЕТ"</v>
      </c>
      <c r="K6997" s="24" t="s">
        <v>2992</v>
      </c>
      <c r="L6997" s="22" t="s">
        <v>10</v>
      </c>
      <c r="M6997" s="25">
        <v>161773.71</v>
      </c>
      <c r="N6997" s="27">
        <v>0.67500112854008254</v>
      </c>
    </row>
    <row r="6998" spans="1:14" hidden="1" outlineLevel="1" x14ac:dyDescent="0.2">
      <c r="A6998" s="23" t="str">
        <f>HYPERLINK("https://www.spark-marketing.ru/Card/Person/5721", "ОГБУЗ ""ИГП № 11""")</f>
        <v>ОГБУЗ "ИГП № 11"</v>
      </c>
      <c r="B6998" s="24" t="s">
        <v>3831</v>
      </c>
      <c r="C6998" s="25">
        <v>497766.99</v>
      </c>
      <c r="D6998" s="22" t="s">
        <v>9052</v>
      </c>
      <c r="E6998" s="22" t="s">
        <v>52</v>
      </c>
      <c r="F6998" s="23" t="str">
        <f>HYPERLINK("https://www.spark-marketing.ru/Card/Lot/71034699", "Оказание услуг по охране объектов")</f>
        <v>Оказание услуг по охране объектов</v>
      </c>
      <c r="G6998" s="22" t="s">
        <v>281</v>
      </c>
      <c r="H6998" s="22" t="s">
        <v>2008</v>
      </c>
      <c r="I6998" s="26">
        <v>43619.514583333301</v>
      </c>
      <c r="J6998" s="23" t="str">
        <f>HYPERLINK("https://www.spark-marketing.ru/Card/Person/4877052", "ООО АГЕНТСТВО ОХРАНЫ ""АРСЕНАЛ""")</f>
        <v>ООО АГЕНТСТВО ОХРАНЫ "АРСЕНАЛ"</v>
      </c>
      <c r="K6998" s="24" t="s">
        <v>5987</v>
      </c>
      <c r="L6998" s="28" t="s">
        <v>52</v>
      </c>
      <c r="M6998" s="25">
        <v>164262.54999999999</v>
      </c>
      <c r="N6998" s="27">
        <v>0.67000111839477339</v>
      </c>
    </row>
    <row r="6999" spans="1:14" x14ac:dyDescent="0.15">
      <c r="A6999" s="23" t="str">
        <f>HYPERLINK("https://www.spark-marketing.ru/Card/Person/37910", "АДМИНИСТРАЦИЯ МО ""ГОРОДСКОЙ ОКРУГ ГОРОД МАГАС""")</f>
        <v>АДМИНИСТРАЦИЯ МО "ГОРОДСКОЙ ОКРУГ ГОРОД МАГАС"</v>
      </c>
      <c r="B6999" s="24" t="s">
        <v>9053</v>
      </c>
      <c r="C6999" s="25">
        <v>660200</v>
      </c>
      <c r="D6999" s="22" t="s">
        <v>9054</v>
      </c>
      <c r="E6999" s="22" t="s">
        <v>208</v>
      </c>
      <c r="F6999" s="23" t="str">
        <f>HYPERLINK("https://www.spark-marketing.ru/Card/Lot/71050975", "Оказание услуг по обслуживанию тревожных кнопок по городу Магас")</f>
        <v>Оказание услуг по обслуживанию тревожных кнопок по городу Магас</v>
      </c>
      <c r="G6999" s="22" t="s">
        <v>648</v>
      </c>
      <c r="H6999" s="22" t="s">
        <v>1456</v>
      </c>
      <c r="I6999" s="26">
        <v>43619.537499999999</v>
      </c>
      <c r="J6999" s="28" t="s">
        <v>52</v>
      </c>
      <c r="K6999" s="28" t="s">
        <v>52</v>
      </c>
      <c r="L6999" s="28" t="s">
        <v>52</v>
      </c>
      <c r="M6999" s="28" t="s">
        <v>52</v>
      </c>
      <c r="N6999" s="28" t="s">
        <v>52</v>
      </c>
    </row>
    <row r="7000" spans="1:14" x14ac:dyDescent="0.15">
      <c r="A7000" s="23" t="str">
        <f>HYPERLINK("https://www.spark-marketing.ru/Card/Person/286743", "ООО ""КАЛИНИНСКАЯ АЭС-СЕРВИС""")</f>
        <v>ООО "КАЛИНИНСКАЯ АЭС-СЕРВИС"</v>
      </c>
      <c r="B7000" s="24" t="s">
        <v>7733</v>
      </c>
      <c r="C7000" s="28" t="s">
        <v>52</v>
      </c>
      <c r="D7000" s="22" t="s">
        <v>9055</v>
      </c>
      <c r="E7000" s="22" t="s">
        <v>53</v>
      </c>
      <c r="F7000" s="23" t="str">
        <f>HYPERLINK("https://www.spark-marketing.ru/Card/Lot/71048311", "Услуга по разработке и утверждению планов обеспечения транспортной безопасности транспортных средств ООО «Калининская АЭС- Сервис» (1267680)")</f>
        <v>Услуга по разработке и утверждению планов обеспечения транспортной безопасности транспортных средств ООО «Калининская АЭС- Сервис» (1267680)</v>
      </c>
      <c r="G7000" s="22" t="s">
        <v>251</v>
      </c>
      <c r="H7000" s="22" t="s">
        <v>4202</v>
      </c>
      <c r="I7000" s="26">
        <v>43619.538356481498</v>
      </c>
      <c r="J7000" s="28" t="s">
        <v>52</v>
      </c>
      <c r="K7000" s="28" t="s">
        <v>52</v>
      </c>
      <c r="L7000" s="28" t="s">
        <v>52</v>
      </c>
      <c r="M7000" s="28" t="s">
        <v>52</v>
      </c>
      <c r="N7000" s="28" t="s">
        <v>52</v>
      </c>
    </row>
    <row r="7001" spans="1:14" x14ac:dyDescent="0.15">
      <c r="A7001" s="23" t="str">
        <f>HYPERLINK("https://www.spark-marketing.ru/Card/Person/286743", "ООО ""КАЛИНИНСКАЯ АЭС-СЕРВИС""")</f>
        <v>ООО "КАЛИНИНСКАЯ АЭС-СЕРВИС"</v>
      </c>
      <c r="B7001" s="24" t="s">
        <v>7733</v>
      </c>
      <c r="C7001" s="28" t="s">
        <v>52</v>
      </c>
      <c r="D7001" s="22" t="s">
        <v>9056</v>
      </c>
      <c r="E7001" s="22" t="s">
        <v>52</v>
      </c>
      <c r="F7001" s="23" t="str">
        <f>HYPERLINK("https://www.spark-marketing.ru/Card/Lot/71041460", "Услуга по разработке и утверждению планов обеспечения транспортной безопасности транспортных средств ООО «Калининская АЭС- Сервис»")</f>
        <v>Услуга по разработке и утверждению планов обеспечения транспортной безопасности транспортных средств ООО «Калининская АЭС- Сервис»</v>
      </c>
      <c r="G7001" s="22" t="s">
        <v>251</v>
      </c>
      <c r="H7001" s="22" t="s">
        <v>4202</v>
      </c>
      <c r="I7001" s="26">
        <v>43619.459178240701</v>
      </c>
      <c r="J7001" s="28" t="s">
        <v>52</v>
      </c>
      <c r="K7001" s="28" t="s">
        <v>52</v>
      </c>
      <c r="L7001" s="28" t="s">
        <v>52</v>
      </c>
      <c r="M7001" s="28" t="s">
        <v>52</v>
      </c>
      <c r="N7001" s="28" t="s">
        <v>52</v>
      </c>
    </row>
    <row r="7002" spans="1:14" x14ac:dyDescent="0.15">
      <c r="A7002" s="23" t="str">
        <f>HYPERLINK("https://www.spark-marketing.ru/Card/Person/1000506", "МБУ ДО ""ШКОЛА ИСКУССТВ"" МОШКОВСКОГО РАЙОНА")</f>
        <v>МБУ ДО "ШКОЛА ИСКУССТВ" МОШКОВСКОГО РАЙОНА</v>
      </c>
      <c r="B7002" s="24" t="s">
        <v>9057</v>
      </c>
      <c r="C7002" s="25">
        <v>5967.24</v>
      </c>
      <c r="D7002" s="22" t="s">
        <v>9058</v>
      </c>
      <c r="E7002" s="22" t="s">
        <v>107</v>
      </c>
      <c r="F7002" s="23" t="str">
        <f>HYPERLINK("https://www.spark-marketing.ru/Card/Lot/71036398", "Техническое обслуживание комплекса технических средств охраны")</f>
        <v>Техническое обслуживание комплекса технических средств охраны</v>
      </c>
      <c r="G7002" s="22" t="s">
        <v>209</v>
      </c>
      <c r="H7002" s="22" t="s">
        <v>2739</v>
      </c>
      <c r="I7002" s="26">
        <v>43619.497222222199</v>
      </c>
      <c r="J7002" s="28" t="s">
        <v>52</v>
      </c>
      <c r="K7002" s="28" t="s">
        <v>52</v>
      </c>
      <c r="L7002" s="28" t="s">
        <v>52</v>
      </c>
      <c r="M7002" s="28" t="s">
        <v>52</v>
      </c>
      <c r="N7002" s="28" t="s">
        <v>52</v>
      </c>
    </row>
    <row r="7003" spans="1:14" x14ac:dyDescent="0.15">
      <c r="A7003" s="23" t="str">
        <f>HYPERLINK("https://www.spark-marketing.ru/Card/Person/132043", "ОТДЕЛ ГФС РОССИИ В Г. ЧИТЕ")</f>
        <v>ОТДЕЛ ГФС РОССИИ В Г. ЧИТЕ</v>
      </c>
      <c r="B7003" s="24" t="s">
        <v>9059</v>
      </c>
      <c r="C7003" s="25">
        <v>9603</v>
      </c>
      <c r="D7003" s="22" t="s">
        <v>9060</v>
      </c>
      <c r="E7003" s="22" t="s">
        <v>84</v>
      </c>
      <c r="F7003" s="23" t="str">
        <f>HYPERLINK("https://www.spark-marketing.ru/Card/Lot/71039899", "Монтаж, установка видеонаблюдения, 1 шт")</f>
        <v>Монтаж, установка видеонаблюдения, 1 шт</v>
      </c>
      <c r="G7003" s="22" t="s">
        <v>473</v>
      </c>
      <c r="H7003" s="22" t="s">
        <v>476</v>
      </c>
      <c r="I7003" s="26">
        <v>43619.473321759302</v>
      </c>
      <c r="J7003" s="28" t="s">
        <v>52</v>
      </c>
      <c r="K7003" s="28" t="s">
        <v>52</v>
      </c>
      <c r="L7003" s="28" t="s">
        <v>52</v>
      </c>
      <c r="M7003" s="28" t="s">
        <v>52</v>
      </c>
      <c r="N7003" s="28" t="s">
        <v>52</v>
      </c>
    </row>
    <row r="7004" spans="1:14" x14ac:dyDescent="0.15">
      <c r="A7004" s="23" t="str">
        <f>HYPERLINK("https://www.spark-marketing.ru/Card/Person/93314", "МЕЖРАЙОННАЯ ИФНС РОССИИ № 2 ПО БЕЛГОРОДСКОЙ ОБЛАСТИ")</f>
        <v>МЕЖРАЙОННАЯ ИФНС РОССИИ № 2 ПО БЕЛГОРОДСКОЙ ОБЛАСТИ</v>
      </c>
      <c r="B7004" s="24" t="s">
        <v>9061</v>
      </c>
      <c r="C7004" s="25">
        <v>4609.43</v>
      </c>
      <c r="D7004" s="22" t="s">
        <v>9062</v>
      </c>
      <c r="E7004" s="22" t="s">
        <v>53</v>
      </c>
      <c r="F7004" s="23" t="str">
        <f>HYPERLINK("https://www.spark-marketing.ru/Card/Lot/71040136", "Оказание услуг по техническому обслуживанию комплекса технических средств охраны на объектах")</f>
        <v>Оказание услуг по техническому обслуживанию комплекса технических средств охраны на объектах</v>
      </c>
      <c r="G7004" s="22" t="s">
        <v>176</v>
      </c>
      <c r="H7004" s="22" t="s">
        <v>318</v>
      </c>
      <c r="I7004" s="26">
        <v>43619.464756944399</v>
      </c>
      <c r="J7004" s="28" t="s">
        <v>52</v>
      </c>
      <c r="K7004" s="28" t="s">
        <v>52</v>
      </c>
      <c r="L7004" s="28" t="s">
        <v>52</v>
      </c>
      <c r="M7004" s="28" t="s">
        <v>52</v>
      </c>
      <c r="N7004" s="28" t="s">
        <v>52</v>
      </c>
    </row>
    <row r="7005" spans="1:14" x14ac:dyDescent="0.15">
      <c r="A7005" s="23" t="str">
        <f>HYPERLINK("https://www.spark-marketing.ru/Card/Person/286743", "ООО ""КАЛИНИНСКАЯ АЭС-СЕРВИС""")</f>
        <v>ООО "КАЛИНИНСКАЯ АЭС-СЕРВИС"</v>
      </c>
      <c r="B7005" s="24" t="s">
        <v>7733</v>
      </c>
      <c r="C7005" s="25">
        <v>0</v>
      </c>
      <c r="D7005" s="22" t="s">
        <v>9063</v>
      </c>
      <c r="E7005" s="22" t="s">
        <v>53</v>
      </c>
      <c r="F7005" s="23" t="str">
        <f>HYPERLINK("https://www.spark-marketing.ru/Card/Lot/71043421", "мониторинг цен в электронной форме на Услуга по разработке и утверждению планов обеспечения транспортной безопасности транспортных средств ООО «Калининская АЭС- Сервис»")</f>
        <v>мониторинг цен в электронной форме на Услуга по разработке и утверждению планов обеспечения транспортной безопасности транспортных средств ООО «Калининская АЭС- Сервис»</v>
      </c>
      <c r="G7005" s="22" t="s">
        <v>251</v>
      </c>
      <c r="H7005" s="22" t="s">
        <v>4202</v>
      </c>
      <c r="I7005" s="26">
        <v>43619.458877314799</v>
      </c>
      <c r="J7005" s="28" t="s">
        <v>52</v>
      </c>
      <c r="K7005" s="28" t="s">
        <v>52</v>
      </c>
      <c r="L7005" s="28" t="s">
        <v>52</v>
      </c>
      <c r="M7005" s="28" t="s">
        <v>52</v>
      </c>
      <c r="N7005" s="28" t="s">
        <v>52</v>
      </c>
    </row>
    <row r="7006" spans="1:14" x14ac:dyDescent="0.15">
      <c r="A7006" s="23" t="str">
        <f>HYPERLINK("https://www.spark-marketing.ru/Card/Person/93314", "МЕЖРАЙОННАЯ ИФНС РОССИИ № 2 ПО БЕЛГОРОДСКОЙ ОБЛАСТИ")</f>
        <v>МЕЖРАЙОННАЯ ИФНС РОССИИ № 2 ПО БЕЛГОРОДСКОЙ ОБЛАСТИ</v>
      </c>
      <c r="B7006" s="24" t="s">
        <v>9061</v>
      </c>
      <c r="C7006" s="25">
        <v>23029.439999999999</v>
      </c>
      <c r="D7006" s="22" t="s">
        <v>9064</v>
      </c>
      <c r="E7006" s="22" t="s">
        <v>53</v>
      </c>
      <c r="F7006" s="23" t="str">
        <f>HYPERLINK("https://www.spark-marketing.ru/Card/Lot/71038754", "Оказание услуг по техническому обслуживанию комплекса технических средств охраны на объектах")</f>
        <v>Оказание услуг по техническому обслуживанию комплекса технических средств охраны на объектах</v>
      </c>
      <c r="G7006" s="22" t="s">
        <v>176</v>
      </c>
      <c r="H7006" s="22" t="s">
        <v>318</v>
      </c>
      <c r="I7006" s="26">
        <v>43619.4585069444</v>
      </c>
      <c r="J7006" s="28" t="s">
        <v>52</v>
      </c>
      <c r="K7006" s="28" t="s">
        <v>52</v>
      </c>
      <c r="L7006" s="28" t="s">
        <v>52</v>
      </c>
      <c r="M7006" s="28" t="s">
        <v>52</v>
      </c>
      <c r="N7006" s="28" t="s">
        <v>52</v>
      </c>
    </row>
    <row r="7007" spans="1:14" x14ac:dyDescent="0.15">
      <c r="A7007" s="23" t="str">
        <f>HYPERLINK("https://www.spark-marketing.ru/Card/Person/2336", "ГАОУ ВО МГПУ")</f>
        <v>ГАОУ ВО МГПУ</v>
      </c>
      <c r="B7007" s="24" t="s">
        <v>9065</v>
      </c>
      <c r="C7007" s="25">
        <v>1360191.78</v>
      </c>
      <c r="D7007" s="22" t="s">
        <v>9066</v>
      </c>
      <c r="E7007" s="22" t="s">
        <v>370</v>
      </c>
      <c r="F7007" s="23" t="str">
        <f>HYPERLINK("https://www.spark-marketing.ru/Card/Lot/71040499", "Оказание услуг по техническому обслуживанию комплекса технических средств охраны для передачи тревожных сообщений на пульт централизованного наблюдения полиции")</f>
        <v>Оказание услуг по техническому обслуживанию комплекса технических средств охраны для передачи тревожных сообщений на пульт централизованного наблюдения полиции</v>
      </c>
      <c r="G7007" s="22" t="s">
        <v>55</v>
      </c>
      <c r="H7007" s="22" t="s">
        <v>55</v>
      </c>
      <c r="I7007" s="26">
        <v>43619.4684375</v>
      </c>
      <c r="J7007" s="28" t="s">
        <v>52</v>
      </c>
      <c r="K7007" s="28" t="s">
        <v>52</v>
      </c>
      <c r="L7007" s="28" t="s">
        <v>52</v>
      </c>
      <c r="M7007" s="28" t="s">
        <v>52</v>
      </c>
      <c r="N7007" s="28" t="s">
        <v>52</v>
      </c>
    </row>
    <row r="7008" spans="1:14" x14ac:dyDescent="0.15">
      <c r="A7008" s="23" t="str">
        <f>HYPERLINK("https://www.spark-marketing.ru/Card/Person/4343619", "ФГУП ""ПСЗ""; ФГУП ""ПРИБОРОСТРОИТЕЛЬНЫЙ ЗАВОД""")</f>
        <v>ФГУП "ПСЗ"; ФГУП "ПРИБОРОСТРОИТЕЛЬНЫЙ ЗАВОД"</v>
      </c>
      <c r="B7008" s="24" t="s">
        <v>9067</v>
      </c>
      <c r="C7008" s="25">
        <v>577500</v>
      </c>
      <c r="D7008" s="22" t="s">
        <v>9068</v>
      </c>
      <c r="E7008" s="22" t="s">
        <v>144</v>
      </c>
      <c r="F7008" s="23" t="str">
        <f>HYPERLINK("https://www.spark-marketing.ru/Card/Lot/71036187", "оказание охранных услуг")</f>
        <v>оказание охранных услуг</v>
      </c>
      <c r="G7008" s="22" t="s">
        <v>1053</v>
      </c>
      <c r="H7008" s="22" t="s">
        <v>5997</v>
      </c>
      <c r="I7008" s="26">
        <v>43619.445081018501</v>
      </c>
      <c r="J7008" s="28" t="s">
        <v>52</v>
      </c>
      <c r="K7008" s="28" t="s">
        <v>52</v>
      </c>
      <c r="L7008" s="28" t="s">
        <v>52</v>
      </c>
      <c r="M7008" s="28" t="s">
        <v>52</v>
      </c>
      <c r="N7008" s="28" t="s">
        <v>52</v>
      </c>
    </row>
    <row r="7009" spans="1:14" x14ac:dyDescent="0.15">
      <c r="A7009" s="23" t="str">
        <f>HYPERLINK("https://www.spark-marketing.ru/Card/Person/32736", "МКУ ""ЭЛЕКТРОННЫЙ КРАСНОДАР""")</f>
        <v>МКУ "ЭЛЕКТРОННЫЙ КРАСНОДАР"</v>
      </c>
      <c r="B7009" s="24" t="s">
        <v>9069</v>
      </c>
      <c r="C7009" s="25">
        <v>352466.58</v>
      </c>
      <c r="D7009" s="22" t="s">
        <v>9070</v>
      </c>
      <c r="E7009" s="22" t="s">
        <v>2623</v>
      </c>
      <c r="F7009" s="23" t="str">
        <f>HYPERLINK("https://www.spark-marketing.ru/Card/Lot/71044334", "Оказание услуг по техническому обслуживанию видеоконференцсвязи")</f>
        <v>Оказание услуг по техническому обслуживанию видеоконференцсвязи</v>
      </c>
      <c r="G7009" s="22" t="s">
        <v>132</v>
      </c>
      <c r="H7009" s="22" t="s">
        <v>652</v>
      </c>
      <c r="I7009" s="26">
        <v>43619.421527777798</v>
      </c>
      <c r="J7009" s="28" t="s">
        <v>52</v>
      </c>
      <c r="K7009" s="28" t="s">
        <v>52</v>
      </c>
      <c r="L7009" s="28" t="s">
        <v>52</v>
      </c>
      <c r="M7009" s="28" t="s">
        <v>52</v>
      </c>
      <c r="N7009" s="28" t="s">
        <v>52</v>
      </c>
    </row>
    <row r="7010" spans="1:14" ht="12.75" hidden="1" outlineLevel="1" x14ac:dyDescent="0.2">
      <c r="A7010" s="23" t="str">
        <f>HYPERLINK("https://www.spark-marketing.ru/Card/Person/32736", "МКУ ""ЭЛЕКТРОННЫЙ КРАСНОДАР""")</f>
        <v>МКУ "ЭЛЕКТРОННЫЙ КРАСНОДАР"</v>
      </c>
      <c r="B7010" s="24" t="s">
        <v>9069</v>
      </c>
      <c r="C7010" s="25">
        <v>352466.58</v>
      </c>
      <c r="D7010" s="22" t="s">
        <v>9070</v>
      </c>
      <c r="E7010" s="22" t="s">
        <v>2623</v>
      </c>
      <c r="F7010" s="23" t="str">
        <f>HYPERLINK("https://www.spark-marketing.ru/Card/Lot/71044334", "Оказание услуг по техническому обслуживанию видеоконференцсвязи")</f>
        <v>Оказание услуг по техническому обслуживанию видеоконференцсвязи</v>
      </c>
      <c r="G7010" s="22" t="s">
        <v>132</v>
      </c>
      <c r="H7010" s="22" t="s">
        <v>652</v>
      </c>
      <c r="I7010" s="26">
        <v>43619.421527777798</v>
      </c>
      <c r="J7010" s="23" t="str">
        <f>HYPERLINK("https://www.spark-marketing.ru/Card/Person/5907963", "ООО ""АРТ""")</f>
        <v>ООО "АРТ"</v>
      </c>
      <c r="K7010" s="24" t="s">
        <v>9071</v>
      </c>
      <c r="L7010" s="22" t="s">
        <v>10</v>
      </c>
      <c r="M7010" s="25">
        <v>317220</v>
      </c>
      <c r="N7010" s="27">
        <v>9.9999778702423367E-2</v>
      </c>
    </row>
    <row r="7011" spans="1:14" hidden="1" outlineLevel="1" x14ac:dyDescent="0.2">
      <c r="A7011" s="23" t="str">
        <f>HYPERLINK("https://www.spark-marketing.ru/Card/Person/32736", "МКУ ""ЭЛЕКТРОННЫЙ КРАСНОДАР""")</f>
        <v>МКУ "ЭЛЕКТРОННЫЙ КРАСНОДАР"</v>
      </c>
      <c r="B7011" s="24" t="s">
        <v>9069</v>
      </c>
      <c r="C7011" s="25">
        <v>352466.58</v>
      </c>
      <c r="D7011" s="22" t="s">
        <v>9070</v>
      </c>
      <c r="E7011" s="22" t="s">
        <v>2623</v>
      </c>
      <c r="F7011" s="23" t="str">
        <f>HYPERLINK("https://www.spark-marketing.ru/Card/Lot/71044334", "Оказание услуг по техническому обслуживанию видеоконференцсвязи")</f>
        <v>Оказание услуг по техническому обслуживанию видеоконференцсвязи</v>
      </c>
      <c r="G7011" s="22" t="s">
        <v>132</v>
      </c>
      <c r="H7011" s="22" t="s">
        <v>652</v>
      </c>
      <c r="I7011" s="26">
        <v>43619.421527777798</v>
      </c>
      <c r="J7011" s="23" t="str">
        <f>HYPERLINK("https://www.spark-marketing.ru/Card/Person/6616860", "Микушин Владислав Юрьевич")</f>
        <v>Микушин Владислав Юрьевич</v>
      </c>
      <c r="K7011" s="24" t="s">
        <v>9072</v>
      </c>
      <c r="L7011" s="28" t="s">
        <v>52</v>
      </c>
      <c r="M7011" s="25">
        <v>352466.58</v>
      </c>
      <c r="N7011" s="27">
        <v>0</v>
      </c>
    </row>
    <row r="7012" spans="1:14" hidden="1" outlineLevel="1" x14ac:dyDescent="0.2">
      <c r="A7012" s="23" t="str">
        <f>HYPERLINK("https://www.spark-marketing.ru/Card/Person/32736", "МКУ ""ЭЛЕКТРОННЫЙ КРАСНОДАР""")</f>
        <v>МКУ "ЭЛЕКТРОННЫЙ КРАСНОДАР"</v>
      </c>
      <c r="B7012" s="24" t="s">
        <v>9069</v>
      </c>
      <c r="C7012" s="25">
        <v>352466.58</v>
      </c>
      <c r="D7012" s="22" t="s">
        <v>9070</v>
      </c>
      <c r="E7012" s="22" t="s">
        <v>2623</v>
      </c>
      <c r="F7012" s="23" t="str">
        <f>HYPERLINK("https://www.spark-marketing.ru/Card/Lot/71044334", "Оказание услуг по техническому обслуживанию видеоконференцсвязи")</f>
        <v>Оказание услуг по техническому обслуживанию видеоконференцсвязи</v>
      </c>
      <c r="G7012" s="22" t="s">
        <v>132</v>
      </c>
      <c r="H7012" s="22" t="s">
        <v>652</v>
      </c>
      <c r="I7012" s="26">
        <v>43619.421527777798</v>
      </c>
      <c r="J7012" s="23" t="str">
        <f>HYPERLINK("https://www.spark-marketing.ru/Card/Person/164695", "ГУП КК ""ЦИТ""")</f>
        <v>ГУП КК "ЦИТ"</v>
      </c>
      <c r="K7012" s="24" t="s">
        <v>9073</v>
      </c>
      <c r="L7012" s="28" t="s">
        <v>52</v>
      </c>
      <c r="M7012" s="25">
        <v>352466.58</v>
      </c>
      <c r="N7012" s="27">
        <v>0</v>
      </c>
    </row>
    <row r="7013" spans="1:14" x14ac:dyDescent="0.15">
      <c r="A7013" s="23" t="str">
        <f>HYPERLINK("https://www.spark-marketing.ru/Card/Person/131651", "ГБУЗ КК ""МИЛЬКОВСКАЯ РАЙОННАЯ БОЛЬНИЦА""")</f>
        <v>ГБУЗ КК "МИЛЬКОВСКАЯ РАЙОННАЯ БОЛЬНИЦА"</v>
      </c>
      <c r="B7013" s="24" t="s">
        <v>7526</v>
      </c>
      <c r="C7013" s="25">
        <v>2472227</v>
      </c>
      <c r="D7013" s="22" t="s">
        <v>9074</v>
      </c>
      <c r="E7013" s="22" t="s">
        <v>84</v>
      </c>
      <c r="F7013" s="23" t="str">
        <f>HYPERLINK("https://www.spark-marketing.ru/Card/Lot/71031873", "Выполнение работ по установке внутреннего и уличного видеонаблюдения в зданиях ГБУЗ КК «Мильковская районная больница»")</f>
        <v>Выполнение работ по установке внутреннего и уличного видеонаблюдения в зданиях ГБУЗ КК «Мильковская районная больница»</v>
      </c>
      <c r="G7013" s="22" t="s">
        <v>1141</v>
      </c>
      <c r="H7013" s="22" t="s">
        <v>7528</v>
      </c>
      <c r="I7013" s="26">
        <v>43619.435416666704</v>
      </c>
      <c r="J7013" s="28" t="s">
        <v>52</v>
      </c>
      <c r="K7013" s="28" t="s">
        <v>52</v>
      </c>
      <c r="L7013" s="28" t="s">
        <v>52</v>
      </c>
      <c r="M7013" s="28" t="s">
        <v>52</v>
      </c>
      <c r="N7013" s="28" t="s">
        <v>52</v>
      </c>
    </row>
    <row r="7014" spans="1:14" x14ac:dyDescent="0.15">
      <c r="A7014" s="23" t="str">
        <f>HYPERLINK("https://www.spark-marketing.ru/Card/Person/56466", "ГБУ РК ""ЦЕНТР ПО ООПТ""")</f>
        <v>ГБУ РК "ЦЕНТР ПО ООПТ"</v>
      </c>
      <c r="B7014" s="24" t="s">
        <v>9075</v>
      </c>
      <c r="C7014" s="25">
        <v>530000</v>
      </c>
      <c r="D7014" s="22" t="s">
        <v>9076</v>
      </c>
      <c r="E7014" s="22" t="s">
        <v>68</v>
      </c>
      <c r="F7014" s="23" t="str">
        <f>HYPERLINK("https://www.spark-marketing.ru/Card/Lot/71046022", "Оказание услуг по обеспечению круглосуточного стационарного контрольно-пропускного режима со стороны п. Студенец и с. Палевицы (КПП Усть-Вымский, КПП Часово) на объекте Государственный природный заказник республиканского значения «Белый», расположенн...")</f>
        <v>Оказание услуг по обеспечению круглосуточного стационарного контрольно-пропускного режима со стороны п. Студенец и с. Палевицы (КПП Усть-Вымский, КПП Часово) на объекте Государственный природный заказник республиканского значения «Белый», расположенн...</v>
      </c>
      <c r="G7014" s="22" t="s">
        <v>538</v>
      </c>
      <c r="H7014" s="22" t="s">
        <v>538</v>
      </c>
      <c r="I7014" s="26">
        <v>43619.442361111098</v>
      </c>
      <c r="J7014" s="23" t="str">
        <f>HYPERLINK("https://www.spark-marketing.ru/Card/Person/103181", "ООО ЧОП ""МОНОЛИТ-2""")</f>
        <v>ООО ЧОП "МОНОЛИТ-2"</v>
      </c>
      <c r="K7014" s="24" t="s">
        <v>941</v>
      </c>
      <c r="L7014" s="22" t="s">
        <v>10</v>
      </c>
      <c r="M7014" s="28" t="s">
        <v>52</v>
      </c>
      <c r="N7014" s="28" t="s">
        <v>52</v>
      </c>
    </row>
    <row r="7015" spans="1:14" x14ac:dyDescent="0.15">
      <c r="A7015" s="23" t="str">
        <f>HYPERLINK("https://www.spark-marketing.ru/Card/Person/128957", "БРЯНСКИЙ ОБЛАСТНОЙ СУД")</f>
        <v>БРЯНСКИЙ ОБЛАСТНОЙ СУД</v>
      </c>
      <c r="B7015" s="24" t="s">
        <v>9077</v>
      </c>
      <c r="C7015" s="25">
        <v>96700</v>
      </c>
      <c r="D7015" s="22" t="s">
        <v>9078</v>
      </c>
      <c r="E7015" s="22" t="s">
        <v>194</v>
      </c>
      <c r="F7015" s="23" t="str">
        <f>HYPERLINK("https://www.spark-marketing.ru/Card/Lot/71041693", "Поставка и установка системы видеонаблюдения")</f>
        <v>Поставка и установка системы видеонаблюдения</v>
      </c>
      <c r="G7015" s="22" t="s">
        <v>215</v>
      </c>
      <c r="H7015" s="22" t="s">
        <v>406</v>
      </c>
      <c r="I7015" s="26">
        <v>43619.413888888899</v>
      </c>
      <c r="J7015" s="28" t="s">
        <v>52</v>
      </c>
      <c r="K7015" s="28" t="s">
        <v>52</v>
      </c>
      <c r="L7015" s="28" t="s">
        <v>52</v>
      </c>
      <c r="M7015" s="28" t="s">
        <v>52</v>
      </c>
      <c r="N7015" s="28" t="s">
        <v>52</v>
      </c>
    </row>
    <row r="7016" spans="1:14" ht="12.75" hidden="1" outlineLevel="1" x14ac:dyDescent="0.2">
      <c r="A7016" s="23" t="str">
        <f>HYPERLINK("https://www.spark-marketing.ru/Card/Person/128957", "БРЯНСКИЙ ОБЛАСТНОЙ СУД")</f>
        <v>БРЯНСКИЙ ОБЛАСТНОЙ СУД</v>
      </c>
      <c r="B7016" s="24" t="s">
        <v>9077</v>
      </c>
      <c r="C7016" s="25">
        <v>96700</v>
      </c>
      <c r="D7016" s="22" t="s">
        <v>9078</v>
      </c>
      <c r="E7016" s="22" t="s">
        <v>194</v>
      </c>
      <c r="F7016" s="23" t="str">
        <f>HYPERLINK("https://www.spark-marketing.ru/Card/Lot/71041693", "Поставка и установка системы видеонаблюдения")</f>
        <v>Поставка и установка системы видеонаблюдения</v>
      </c>
      <c r="G7016" s="22" t="s">
        <v>215</v>
      </c>
      <c r="H7016" s="22" t="s">
        <v>406</v>
      </c>
      <c r="I7016" s="26">
        <v>43619.413888888899</v>
      </c>
      <c r="J7016" s="23" t="str">
        <f>HYPERLINK("https://www.spark-marketing.ru/Card/Person/502047", "ООО ""МИНИМАРКЕТ""")</f>
        <v>ООО "МИНИМАРКЕТ"</v>
      </c>
      <c r="K7016" s="24" t="s">
        <v>9079</v>
      </c>
      <c r="L7016" s="22" t="s">
        <v>10</v>
      </c>
      <c r="M7016" s="25">
        <v>75909</v>
      </c>
      <c r="N7016" s="27">
        <v>0.21500517063081695</v>
      </c>
    </row>
    <row r="7017" spans="1:14" hidden="1" outlineLevel="1" x14ac:dyDescent="0.2">
      <c r="A7017" s="23" t="str">
        <f>HYPERLINK("https://www.spark-marketing.ru/Card/Person/128957", "БРЯНСКИЙ ОБЛАСТНОЙ СУД")</f>
        <v>БРЯНСКИЙ ОБЛАСТНОЙ СУД</v>
      </c>
      <c r="B7017" s="24" t="s">
        <v>9077</v>
      </c>
      <c r="C7017" s="25">
        <v>96700</v>
      </c>
      <c r="D7017" s="22" t="s">
        <v>9078</v>
      </c>
      <c r="E7017" s="22" t="s">
        <v>194</v>
      </c>
      <c r="F7017" s="23" t="str">
        <f>HYPERLINK("https://www.spark-marketing.ru/Card/Lot/71041693", "Поставка и установка системы видеонаблюдения")</f>
        <v>Поставка и установка системы видеонаблюдения</v>
      </c>
      <c r="G7017" s="22" t="s">
        <v>215</v>
      </c>
      <c r="H7017" s="22" t="s">
        <v>406</v>
      </c>
      <c r="I7017" s="26">
        <v>43619.413888888899</v>
      </c>
      <c r="J7017" s="23" t="str">
        <f>HYPERLINK("https://www.spark-marketing.ru/Card/Person/5881008", "ООО ""СТРОЙИНВЕСТ""")</f>
        <v>ООО "СТРОЙИНВЕСТ"</v>
      </c>
      <c r="K7017" s="24" t="s">
        <v>9080</v>
      </c>
      <c r="L7017" s="28" t="s">
        <v>52</v>
      </c>
      <c r="M7017" s="25">
        <v>76392.5</v>
      </c>
      <c r="N7017" s="27">
        <v>0.21000517063081697</v>
      </c>
    </row>
    <row r="7018" spans="1:14" x14ac:dyDescent="0.15">
      <c r="A7018" s="23" t="str">
        <f>HYPERLINK("https://www.spark-marketing.ru/Card/Person/117968", "АДМИНИСТРАЦИЯ ПРИКУБАНСКОГО МУНИЦИПАЛЬНОГО РАЙОНА КАРАЧАЕВО-ЧЕРКЕССКОЙ РЕСПУБЛИКИ")</f>
        <v>АДМИНИСТРАЦИЯ ПРИКУБАНСКОГО МУНИЦИПАЛЬНОГО РАЙОНА КАРАЧАЕВО-ЧЕРКЕССКОЙ РЕСПУБЛИКИ</v>
      </c>
      <c r="B7018" s="24" t="s">
        <v>9081</v>
      </c>
      <c r="C7018" s="25">
        <v>280000</v>
      </c>
      <c r="D7018" s="22" t="s">
        <v>9082</v>
      </c>
      <c r="E7018" s="22" t="s">
        <v>52</v>
      </c>
      <c r="F7018" s="23" t="str">
        <f>HYPERLINK("https://www.spark-marketing.ru/Card/Lot/71042855", "Услуги частных охранных служб")</f>
        <v>Услуги частных охранных служб</v>
      </c>
      <c r="G7018" s="22" t="s">
        <v>3936</v>
      </c>
      <c r="H7018" s="22" t="s">
        <v>9083</v>
      </c>
      <c r="I7018" s="26">
        <v>43619.394444444399</v>
      </c>
      <c r="J7018" s="23" t="str">
        <f>HYPERLINK("https://www.spark-marketing.ru/Card/Person/5951736", "ООО ЧОП ""ПЕРВЫЙ ОТДЕЛ""")</f>
        <v>ООО ЧОП "ПЕРВЫЙ ОТДЕЛ"</v>
      </c>
      <c r="K7018" s="24" t="s">
        <v>3811</v>
      </c>
      <c r="L7018" s="22" t="s">
        <v>10</v>
      </c>
      <c r="M7018" s="28" t="s">
        <v>52</v>
      </c>
      <c r="N7018" s="28" t="s">
        <v>52</v>
      </c>
    </row>
    <row r="7019" spans="1:14" x14ac:dyDescent="0.15">
      <c r="A7019" s="23" t="str">
        <f>HYPERLINK("https://www.spark-marketing.ru/Card/Person/72517", "УФССП РОССИИ ПО РЕСПУБЛИКЕ САХА (ЯКУТИЯ)")</f>
        <v>УФССП РОССИИ ПО РЕСПУБЛИКЕ САХА (ЯКУТИЯ)</v>
      </c>
      <c r="B7019" s="24" t="s">
        <v>5045</v>
      </c>
      <c r="C7019" s="25">
        <v>50520.959999999999</v>
      </c>
      <c r="D7019" s="22" t="s">
        <v>9084</v>
      </c>
      <c r="E7019" s="22" t="s">
        <v>53</v>
      </c>
      <c r="F7019" s="23" t="str">
        <f>HYPERLINK("https://www.spark-marketing.ru/Card/Lot/71036821", "оказание услуг по охране объекта")</f>
        <v>оказание услуг по охране объекта</v>
      </c>
      <c r="G7019" s="22" t="s">
        <v>424</v>
      </c>
      <c r="H7019" s="22" t="s">
        <v>1186</v>
      </c>
      <c r="I7019" s="26">
        <v>43619.3913425926</v>
      </c>
      <c r="J7019" s="28" t="s">
        <v>52</v>
      </c>
      <c r="K7019" s="28" t="s">
        <v>52</v>
      </c>
      <c r="L7019" s="28" t="s">
        <v>52</v>
      </c>
      <c r="M7019" s="28" t="s">
        <v>52</v>
      </c>
      <c r="N7019" s="28" t="s">
        <v>52</v>
      </c>
    </row>
    <row r="7020" spans="1:14" x14ac:dyDescent="0.15">
      <c r="A7020" s="23" t="str">
        <f>HYPERLINK("https://www.spark-marketing.ru/Card/Person/84778", "УФНС РОССИИ ПО НОВОСИБИРСКОЙ ОБЛАСТИ")</f>
        <v>УФНС РОССИИ ПО НОВОСИБИРСКОЙ ОБЛАСТИ</v>
      </c>
      <c r="B7020" s="24" t="s">
        <v>8811</v>
      </c>
      <c r="C7020" s="25">
        <v>98934</v>
      </c>
      <c r="D7020" s="22" t="s">
        <v>9085</v>
      </c>
      <c r="E7020" s="22" t="s">
        <v>53</v>
      </c>
      <c r="F7020" s="23" t="str">
        <f>HYPERLINK("https://www.spark-marketing.ru/Card/Lot/71036862", "Оказание услуг по техническому обслуживанию комплекса техниеских средств охраны")</f>
        <v>Оказание услуг по техническому обслуживанию комплекса техниеских средств охраны</v>
      </c>
      <c r="G7020" s="22" t="s">
        <v>209</v>
      </c>
      <c r="H7020" s="22" t="s">
        <v>210</v>
      </c>
      <c r="I7020" s="26">
        <v>43619.392534722203</v>
      </c>
      <c r="J7020" s="28" t="s">
        <v>52</v>
      </c>
      <c r="K7020" s="28" t="s">
        <v>52</v>
      </c>
      <c r="L7020" s="28" t="s">
        <v>52</v>
      </c>
      <c r="M7020" s="28" t="s">
        <v>52</v>
      </c>
      <c r="N7020" s="28" t="s">
        <v>52</v>
      </c>
    </row>
    <row r="7021" spans="1:14" x14ac:dyDescent="0.15">
      <c r="A7021" s="23" t="str">
        <f>HYPERLINK("https://www.spark-marketing.ru/Card/Person/175557", "МРУ РОСФИНМОНИТОРИНГА ПО ДФО")</f>
        <v>МРУ РОСФИНМОНИТОРИНГА ПО ДФО</v>
      </c>
      <c r="B7021" s="24" t="s">
        <v>9086</v>
      </c>
      <c r="C7021" s="25">
        <v>73014.600000000006</v>
      </c>
      <c r="D7021" s="22" t="s">
        <v>9087</v>
      </c>
      <c r="E7021" s="22" t="s">
        <v>53</v>
      </c>
      <c r="F7021" s="23" t="str">
        <f>HYPERLINK("https://www.spark-marketing.ru/Card/Lot/71037075", "Оказание услуг по централизованной охране объектов")</f>
        <v>Оказание услуг по централизованной охране объектов</v>
      </c>
      <c r="G7021" s="22" t="s">
        <v>138</v>
      </c>
      <c r="H7021" s="22" t="s">
        <v>255</v>
      </c>
      <c r="I7021" s="26">
        <v>43619.416469907403</v>
      </c>
      <c r="J7021" s="28" t="s">
        <v>52</v>
      </c>
      <c r="K7021" s="28" t="s">
        <v>52</v>
      </c>
      <c r="L7021" s="28" t="s">
        <v>52</v>
      </c>
      <c r="M7021" s="28" t="s">
        <v>52</v>
      </c>
      <c r="N7021" s="28" t="s">
        <v>52</v>
      </c>
    </row>
    <row r="7022" spans="1:14" x14ac:dyDescent="0.15">
      <c r="A7022" s="23" t="str">
        <f>HYPERLINK("https://www.spark-marketing.ru/Card/Person/72517", "УФССП РОССИИ ПО РЕСПУБЛИКЕ САХА (ЯКУТИЯ)")</f>
        <v>УФССП РОССИИ ПО РЕСПУБЛИКЕ САХА (ЯКУТИЯ)</v>
      </c>
      <c r="B7022" s="24" t="s">
        <v>5045</v>
      </c>
      <c r="C7022" s="25">
        <v>30000.36</v>
      </c>
      <c r="D7022" s="22" t="s">
        <v>9088</v>
      </c>
      <c r="E7022" s="22" t="s">
        <v>53</v>
      </c>
      <c r="F7022" s="23" t="str">
        <f>HYPERLINK("https://www.spark-marketing.ru/Card/Lot/71036870", "оказание услуг по техническому обслуживанию технических средств охраны")</f>
        <v>оказание услуг по техническому обслуживанию технических средств охраны</v>
      </c>
      <c r="G7022" s="22" t="s">
        <v>424</v>
      </c>
      <c r="H7022" s="22" t="s">
        <v>1186</v>
      </c>
      <c r="I7022" s="26">
        <v>43619.395057870403</v>
      </c>
      <c r="J7022" s="28" t="s">
        <v>52</v>
      </c>
      <c r="K7022" s="28" t="s">
        <v>52</v>
      </c>
      <c r="L7022" s="28" t="s">
        <v>52</v>
      </c>
      <c r="M7022" s="28" t="s">
        <v>52</v>
      </c>
      <c r="N7022" s="28" t="s">
        <v>52</v>
      </c>
    </row>
    <row r="7023" spans="1:14" x14ac:dyDescent="0.15">
      <c r="A7023" s="23" t="str">
        <f>HYPERLINK("https://www.spark-marketing.ru/Card/Person/2137", "ОТДЕЛ МВД РОССИИ ПО КРАСНОКАМСКОМУ ГОРОДСКОМУ ОКРУГУ")</f>
        <v>ОТДЕЛ МВД РОССИИ ПО КРАСНОКАМСКОМУ ГОРОДСКОМУ ОКРУГУ</v>
      </c>
      <c r="B7023" s="24" t="s">
        <v>8881</v>
      </c>
      <c r="C7023" s="25">
        <v>83886</v>
      </c>
      <c r="D7023" s="22" t="s">
        <v>9089</v>
      </c>
      <c r="E7023" s="22" t="s">
        <v>53</v>
      </c>
      <c r="F7023" s="23" t="str">
        <f>HYPERLINK("https://www.spark-marketing.ru/Card/Lot/71035500", "Услуги по круглосуточной охране объектов")</f>
        <v>Услуги по круглосуточной охране объектов</v>
      </c>
      <c r="G7023" s="22" t="s">
        <v>391</v>
      </c>
      <c r="H7023" s="22" t="s">
        <v>8883</v>
      </c>
      <c r="I7023" s="26">
        <v>43619.341944444401</v>
      </c>
      <c r="J7023" s="28" t="s">
        <v>52</v>
      </c>
      <c r="K7023" s="28" t="s">
        <v>52</v>
      </c>
      <c r="L7023" s="28" t="s">
        <v>52</v>
      </c>
      <c r="M7023" s="28" t="s">
        <v>52</v>
      </c>
      <c r="N7023" s="28" t="s">
        <v>52</v>
      </c>
    </row>
    <row r="7024" spans="1:14" x14ac:dyDescent="0.15">
      <c r="A7024" s="23" t="str">
        <f>HYPERLINK("https://www.spark-marketing.ru/Card/Person/2137", "ОТДЕЛ МВД РОССИИ ПО КРАСНОКАМСКОМУ ГОРОДСКОМУ ОКРУГУ")</f>
        <v>ОТДЕЛ МВД РОССИИ ПО КРАСНОКАМСКОМУ ГОРОДСКОМУ ОКРУГУ</v>
      </c>
      <c r="B7024" s="24" t="s">
        <v>8881</v>
      </c>
      <c r="C7024" s="25">
        <v>83886</v>
      </c>
      <c r="D7024" s="22" t="s">
        <v>9090</v>
      </c>
      <c r="E7024" s="22" t="s">
        <v>53</v>
      </c>
      <c r="F7024" s="23" t="str">
        <f>HYPERLINK("https://www.spark-marketing.ru/Card/Lot/71035495", "Услуги по круглосуточной охране объектов")</f>
        <v>Услуги по круглосуточной охране объектов</v>
      </c>
      <c r="G7024" s="22" t="s">
        <v>391</v>
      </c>
      <c r="H7024" s="22" t="s">
        <v>8883</v>
      </c>
      <c r="I7024" s="26">
        <v>43619.339803240699</v>
      </c>
      <c r="J7024" s="28" t="s">
        <v>52</v>
      </c>
      <c r="K7024" s="28" t="s">
        <v>52</v>
      </c>
      <c r="L7024" s="28" t="s">
        <v>52</v>
      </c>
      <c r="M7024" s="28" t="s">
        <v>52</v>
      </c>
      <c r="N7024" s="28" t="s">
        <v>52</v>
      </c>
    </row>
    <row r="7025" spans="1:14" x14ac:dyDescent="0.15">
      <c r="A7025" s="23" t="str">
        <f>HYPERLINK("https://www.spark-marketing.ru/Card/Person/24963", "УРГЮУ, ФГБОУ ВО ""УРАЛЬСКИЙ ГОСУДАРСТВЕННЫЙ ЮРИДИЧЕСКИЙ УНИВЕРСИТЕТ"", УРАЛЬСКИЙ ГОСУДАРСТВЕННЫЙ ЮРИДИЧЕСКИЙ УНИВЕРСИТЕТ, ФГБОУ ВО ""УРГЮУ""")</f>
        <v>УРГЮУ, ФГБОУ ВО "УРАЛЬСКИЙ ГОСУДАРСТВЕННЫЙ ЮРИДИЧЕСКИЙ УНИВЕРСИТЕТ", УРАЛЬСКИЙ ГОСУДАРСТВЕННЫЙ ЮРИДИЧЕСКИЙ УНИВЕРСИТЕТ, ФГБОУ ВО "УРГЮУ"</v>
      </c>
      <c r="B7025" s="24" t="s">
        <v>5059</v>
      </c>
      <c r="C7025" s="25">
        <v>578231.09</v>
      </c>
      <c r="D7025" s="22" t="s">
        <v>9091</v>
      </c>
      <c r="E7025" s="22" t="s">
        <v>1840</v>
      </c>
      <c r="F7025" s="23" t="str">
        <f>HYPERLINK("https://www.spark-marketing.ru/Card/Lot/71033712", "Выполнение работ по установке единой функционирующей системы видеонаблюдения в здании ФОК по ул. Колмогорова, 52а, в соответствии с прикрепленным извещением")</f>
        <v>Выполнение работ по установке единой функционирующей системы видеонаблюдения в здании ФОК по ул. Колмогорова, 52а, в соответствии с прикрепленным извещением</v>
      </c>
      <c r="G7025" s="22" t="s">
        <v>72</v>
      </c>
      <c r="H7025" s="22" t="s">
        <v>949</v>
      </c>
      <c r="I7025" s="26">
        <v>43619.3445601852</v>
      </c>
      <c r="J7025" s="28" t="s">
        <v>52</v>
      </c>
      <c r="K7025" s="28" t="s">
        <v>52</v>
      </c>
      <c r="L7025" s="28" t="s">
        <v>52</v>
      </c>
      <c r="M7025" s="28" t="s">
        <v>52</v>
      </c>
      <c r="N7025" s="28" t="s">
        <v>52</v>
      </c>
    </row>
    <row r="7026" spans="1:14" x14ac:dyDescent="0.15">
      <c r="A7026" s="23" t="str">
        <f t="shared" ref="A7026:A7031" si="293">HYPERLINK("https://www.spark-marketing.ru/Card/Person/6965", "ГБУЗ ""ПКБ № 4 ДЗМ""")</f>
        <v>ГБУЗ "ПКБ № 4 ДЗМ"</v>
      </c>
      <c r="B7026" s="24" t="s">
        <v>9092</v>
      </c>
      <c r="C7026" s="25">
        <v>2834424.81</v>
      </c>
      <c r="D7026" s="22" t="s">
        <v>9093</v>
      </c>
      <c r="E7026" s="22" t="s">
        <v>349</v>
      </c>
      <c r="F7026" s="23" t="str">
        <f t="shared" ref="F7026:F7031" si="294">HYPERLINK("https://www.spark-marketing.ru/Card/Lot/71037334", "Оказание услуг по техническому обслуживанию систем видеонаблюдения и систем контроля и управления доступом в ГБУЗ «ПКБ № 4 ДЗМ» и ее филиалах")</f>
        <v>Оказание услуг по техническому обслуживанию систем видеонаблюдения и систем контроля и управления доступом в ГБУЗ «ПКБ № 4 ДЗМ» и ее филиалах</v>
      </c>
      <c r="G7026" s="22" t="s">
        <v>55</v>
      </c>
      <c r="H7026" s="22" t="s">
        <v>55</v>
      </c>
      <c r="I7026" s="26">
        <v>43619.370833333298</v>
      </c>
      <c r="J7026" s="28" t="s">
        <v>52</v>
      </c>
      <c r="K7026" s="28" t="s">
        <v>52</v>
      </c>
      <c r="L7026" s="28" t="s">
        <v>52</v>
      </c>
      <c r="M7026" s="28" t="s">
        <v>52</v>
      </c>
      <c r="N7026" s="28" t="s">
        <v>52</v>
      </c>
    </row>
    <row r="7027" spans="1:14" hidden="1" outlineLevel="1" x14ac:dyDescent="0.2">
      <c r="A7027" s="23" t="str">
        <f t="shared" si="293"/>
        <v>ГБУЗ "ПКБ № 4 ДЗМ"</v>
      </c>
      <c r="B7027" s="24" t="s">
        <v>9092</v>
      </c>
      <c r="C7027" s="25">
        <v>2834424.81</v>
      </c>
      <c r="D7027" s="22" t="s">
        <v>9093</v>
      </c>
      <c r="E7027" s="22" t="s">
        <v>349</v>
      </c>
      <c r="F7027" s="23" t="str">
        <f t="shared" si="294"/>
        <v>Оказание услуг по техническому обслуживанию систем видеонаблюдения и систем контроля и управления доступом в ГБУЗ «ПКБ № 4 ДЗМ» и ее филиалах</v>
      </c>
      <c r="G7027" s="22" t="s">
        <v>55</v>
      </c>
      <c r="H7027" s="22" t="s">
        <v>55</v>
      </c>
      <c r="I7027" s="26">
        <v>43619.370833333298</v>
      </c>
      <c r="J7027" s="23" t="str">
        <f>HYPERLINK("https://www.spark-marketing.ru/Card/Person/6498084", "ООО ""РАМА""")</f>
        <v>ООО "РАМА"</v>
      </c>
      <c r="K7027" s="24" t="s">
        <v>9094</v>
      </c>
      <c r="L7027" s="28" t="s">
        <v>52</v>
      </c>
      <c r="M7027" s="25">
        <v>2423433.25</v>
      </c>
      <c r="N7027" s="27">
        <v>0.14499998678744278</v>
      </c>
    </row>
    <row r="7028" spans="1:14" hidden="1" outlineLevel="1" x14ac:dyDescent="0.2">
      <c r="A7028" s="23" t="str">
        <f t="shared" si="293"/>
        <v>ГБУЗ "ПКБ № 4 ДЗМ"</v>
      </c>
      <c r="B7028" s="24" t="s">
        <v>9092</v>
      </c>
      <c r="C7028" s="25">
        <v>2834424.81</v>
      </c>
      <c r="D7028" s="22" t="s">
        <v>9093</v>
      </c>
      <c r="E7028" s="22" t="s">
        <v>349</v>
      </c>
      <c r="F7028" s="23" t="str">
        <f t="shared" si="294"/>
        <v>Оказание услуг по техническому обслуживанию систем видеонаблюдения и систем контроля и управления доступом в ГБУЗ «ПКБ № 4 ДЗМ» и ее филиалах</v>
      </c>
      <c r="G7028" s="22" t="s">
        <v>55</v>
      </c>
      <c r="H7028" s="22" t="s">
        <v>55</v>
      </c>
      <c r="I7028" s="26">
        <v>43619.370833333298</v>
      </c>
      <c r="J7028" s="23" t="str">
        <f>HYPERLINK("https://www.spark-marketing.ru/Card/Person/127097", "ООО ""ПОЖТЕХКОМПЛЕКТ""")</f>
        <v>ООО "ПОЖТЕХКОМПЛЕКТ"</v>
      </c>
      <c r="K7028" s="24" t="s">
        <v>9095</v>
      </c>
      <c r="L7028" s="28" t="s">
        <v>52</v>
      </c>
      <c r="M7028" s="25">
        <v>666090.13</v>
      </c>
      <c r="N7028" s="27">
        <v>0.76499989428190196</v>
      </c>
    </row>
    <row r="7029" spans="1:14" hidden="1" outlineLevel="1" x14ac:dyDescent="0.2">
      <c r="A7029" s="23" t="str">
        <f t="shared" si="293"/>
        <v>ГБУЗ "ПКБ № 4 ДЗМ"</v>
      </c>
      <c r="B7029" s="24" t="s">
        <v>9092</v>
      </c>
      <c r="C7029" s="25">
        <v>2834424.81</v>
      </c>
      <c r="D7029" s="22" t="s">
        <v>9093</v>
      </c>
      <c r="E7029" s="22" t="s">
        <v>349</v>
      </c>
      <c r="F7029" s="23" t="str">
        <f t="shared" si="294"/>
        <v>Оказание услуг по техническому обслуживанию систем видеонаблюдения и систем контроля и управления доступом в ГБУЗ «ПКБ № 4 ДЗМ» и ее филиалах</v>
      </c>
      <c r="G7029" s="22" t="s">
        <v>55</v>
      </c>
      <c r="H7029" s="22" t="s">
        <v>55</v>
      </c>
      <c r="I7029" s="26">
        <v>43619.370833333298</v>
      </c>
      <c r="J7029" s="23" t="str">
        <f>HYPERLINK("https://www.spark-marketing.ru/Card/Person/2594934", "ООО ""СПЕЦМОНТАЖ СМ""")</f>
        <v>ООО "СПЕЦМОНТАЖ СМ"</v>
      </c>
      <c r="K7029" s="24" t="s">
        <v>9096</v>
      </c>
      <c r="L7029" s="28" t="s">
        <v>52</v>
      </c>
      <c r="M7029" s="25">
        <v>836155.57</v>
      </c>
      <c r="N7029" s="27">
        <v>0.70499991142823792</v>
      </c>
    </row>
    <row r="7030" spans="1:14" ht="12.75" hidden="1" outlineLevel="1" x14ac:dyDescent="0.2">
      <c r="A7030" s="23" t="str">
        <f t="shared" si="293"/>
        <v>ГБУЗ "ПКБ № 4 ДЗМ"</v>
      </c>
      <c r="B7030" s="24" t="s">
        <v>9092</v>
      </c>
      <c r="C7030" s="25">
        <v>2834424.81</v>
      </c>
      <c r="D7030" s="22" t="s">
        <v>9093</v>
      </c>
      <c r="E7030" s="22" t="s">
        <v>349</v>
      </c>
      <c r="F7030" s="23" t="str">
        <f t="shared" si="294"/>
        <v>Оказание услуг по техническому обслуживанию систем видеонаблюдения и систем контроля и управления доступом в ГБУЗ «ПКБ № 4 ДЗМ» и ее филиалах</v>
      </c>
      <c r="G7030" s="22" t="s">
        <v>55</v>
      </c>
      <c r="H7030" s="22" t="s">
        <v>55</v>
      </c>
      <c r="I7030" s="26">
        <v>43619.370833333298</v>
      </c>
      <c r="J7030" s="23" t="str">
        <f>HYPERLINK("https://www.spark-marketing.ru/Card/Person/6149119", "ООО ""НОПАКОМ""")</f>
        <v>ООО "НОПАКОМ"</v>
      </c>
      <c r="K7030" s="24" t="s">
        <v>9097</v>
      </c>
      <c r="L7030" s="22" t="s">
        <v>10</v>
      </c>
      <c r="M7030" s="25">
        <v>666090.13</v>
      </c>
      <c r="N7030" s="27">
        <v>0.76499989428190196</v>
      </c>
    </row>
    <row r="7031" spans="1:14" hidden="1" outlineLevel="1" x14ac:dyDescent="0.2">
      <c r="A7031" s="23" t="str">
        <f t="shared" si="293"/>
        <v>ГБУЗ "ПКБ № 4 ДЗМ"</v>
      </c>
      <c r="B7031" s="24" t="s">
        <v>9092</v>
      </c>
      <c r="C7031" s="25">
        <v>2834424.81</v>
      </c>
      <c r="D7031" s="22" t="s">
        <v>9093</v>
      </c>
      <c r="E7031" s="22" t="s">
        <v>349</v>
      </c>
      <c r="F7031" s="23" t="str">
        <f t="shared" si="294"/>
        <v>Оказание услуг по техническому обслуживанию систем видеонаблюдения и систем контроля и управления доступом в ГБУЗ «ПКБ № 4 ДЗМ» и ее филиалах</v>
      </c>
      <c r="G7031" s="22" t="s">
        <v>55</v>
      </c>
      <c r="H7031" s="22" t="s">
        <v>55</v>
      </c>
      <c r="I7031" s="26">
        <v>43619.370833333298</v>
      </c>
      <c r="J7031" s="23" t="str">
        <f>HYPERLINK("https://www.spark-marketing.ru/Card/Person/4660357", "ООО ""ДИАЙ ТЕК""")</f>
        <v>ООО "ДИАЙ ТЕК"</v>
      </c>
      <c r="K7031" s="24" t="s">
        <v>3220</v>
      </c>
      <c r="L7031" s="28" t="s">
        <v>52</v>
      </c>
      <c r="M7031" s="25">
        <v>680262.25</v>
      </c>
      <c r="N7031" s="27">
        <v>0.75999989571076332</v>
      </c>
    </row>
    <row r="7032" spans="1:14" ht="12.75" x14ac:dyDescent="0.2">
      <c r="A7032" s="23" t="str">
        <f>HYPERLINK("https://www.spark-marketing.ru/Card/Person/1760688", "АУ ""ДОЛ ""ЮНОСТЬ""")</f>
        <v>АУ "ДОЛ "ЮНОСТЬ"</v>
      </c>
      <c r="B7032" s="24" t="s">
        <v>9098</v>
      </c>
      <c r="C7032" s="25">
        <v>190080</v>
      </c>
      <c r="D7032" s="22" t="s">
        <v>9099</v>
      </c>
      <c r="E7032" s="22" t="s">
        <v>9100</v>
      </c>
      <c r="F7032" s="23" t="str">
        <f>HYPERLINK("https://www.spark-marketing.ru/Card/Lot/71032316", "Охрана объекта")</f>
        <v>Охрана объекта</v>
      </c>
      <c r="G7032" s="22" t="s">
        <v>60</v>
      </c>
      <c r="H7032" s="22" t="s">
        <v>60</v>
      </c>
      <c r="I7032" s="26">
        <v>43619.254710648202</v>
      </c>
      <c r="J7032" s="23" t="str">
        <f>HYPERLINK("https://www.spark-marketing.ru/Card/Person/145801", "ООО ЧОП ""БАРС-РЕГИОН""")</f>
        <v>ООО ЧОП "БАРС-РЕГИОН"</v>
      </c>
      <c r="K7032" s="24" t="s">
        <v>9101</v>
      </c>
      <c r="L7032" s="22" t="s">
        <v>10</v>
      </c>
      <c r="M7032" s="25">
        <v>190080</v>
      </c>
      <c r="N7032" s="27">
        <v>0</v>
      </c>
    </row>
    <row r="7033" spans="1:14" x14ac:dyDescent="0.15">
      <c r="A7033" s="23" t="str">
        <f>HYPERLINK("https://www.spark-marketing.ru/Card/Person/4348459", "ПАО ""ЧТПЗ""")</f>
        <v>ПАО "ЧТПЗ"</v>
      </c>
      <c r="B7033" s="24" t="s">
        <v>4651</v>
      </c>
      <c r="C7033" s="25">
        <v>0</v>
      </c>
      <c r="D7033" s="22" t="s">
        <v>9102</v>
      </c>
      <c r="E7033" s="22" t="s">
        <v>59</v>
      </c>
      <c r="F7033" s="23" t="str">
        <f>HYPERLINK("https://www.spark-marketing.ru/Card/Lot/71036287", "Установка систем видеонаблюдения на автопарковках КПП №№ 2, 4, 5, 9")</f>
        <v>Установка систем видеонаблюдения на автопарковках КПП №№ 2, 4, 5, 9</v>
      </c>
      <c r="G7033" s="22" t="s">
        <v>72</v>
      </c>
      <c r="H7033" s="22" t="s">
        <v>2918</v>
      </c>
      <c r="I7033" s="26">
        <v>43619.284027777801</v>
      </c>
      <c r="J7033" s="28" t="s">
        <v>52</v>
      </c>
      <c r="K7033" s="28" t="s">
        <v>52</v>
      </c>
      <c r="L7033" s="28" t="s">
        <v>52</v>
      </c>
      <c r="M7033" s="28" t="s">
        <v>52</v>
      </c>
      <c r="N7033" s="28" t="s">
        <v>52</v>
      </c>
    </row>
    <row r="7034" spans="1:14" x14ac:dyDescent="0.15">
      <c r="A7034" s="23" t="str">
        <f>HYPERLINK("https://www.spark-marketing.ru/Card/Person/133809", "МБУ ДО ""ДТДИМ ИМ. И.Х. САДЫКОВА"" НМР РТ")</f>
        <v>МБУ ДО "ДТДИМ ИМ. И.Х. САДЫКОВА" НМР РТ</v>
      </c>
      <c r="B7034" s="24" t="s">
        <v>9103</v>
      </c>
      <c r="C7034" s="25">
        <v>12019.92</v>
      </c>
      <c r="D7034" s="22" t="s">
        <v>9104</v>
      </c>
      <c r="E7034" s="22" t="s">
        <v>53</v>
      </c>
      <c r="F7034" s="23" t="str">
        <f>HYPERLINK("https://www.spark-marketing.ru/Card/Lot/73738361", "Техническое обслуживание системы видеонаблюдения")</f>
        <v>Техническое обслуживание системы видеонаблюдения</v>
      </c>
      <c r="G7034" s="22" t="s">
        <v>204</v>
      </c>
      <c r="H7034" s="22" t="s">
        <v>824</v>
      </c>
      <c r="I7034" s="26">
        <v>43619</v>
      </c>
      <c r="J7034" s="28" t="s">
        <v>52</v>
      </c>
      <c r="K7034" s="28" t="s">
        <v>52</v>
      </c>
      <c r="L7034" s="28" t="s">
        <v>52</v>
      </c>
      <c r="M7034" s="28" t="s">
        <v>52</v>
      </c>
      <c r="N7034" s="28" t="s">
        <v>52</v>
      </c>
    </row>
    <row r="7035" spans="1:14" x14ac:dyDescent="0.15">
      <c r="A7035" s="23" t="str">
        <f>HYPERLINK("https://www.spark-marketing.ru/Card/Person/402892", "МАУ ДО ""ДЮЦ ""ЗДОРОВЬЕ"" Г.ПЕРМИ")</f>
        <v>МАУ ДО "ДЮЦ "ЗДОРОВЬЕ" Г.ПЕРМИ</v>
      </c>
      <c r="B7035" s="24" t="s">
        <v>9105</v>
      </c>
      <c r="C7035" s="25">
        <v>933030</v>
      </c>
      <c r="D7035" s="22" t="s">
        <v>9106</v>
      </c>
      <c r="E7035" s="22" t="s">
        <v>8898</v>
      </c>
      <c r="F7035" s="23" t="str">
        <f>HYPERLINK("https://www.spark-marketing.ru/Card/Lot/70989425", "На право заключить договор на оказание услуг по невооруженной физической охране объектов в МАУ ДО ""ДЮЦ ""Здоровье"" г.Перми по адресам ул. Ласьвинская, д. 1и ул. Стахановская, д. 1")</f>
        <v>На право заключить договор на оказание услуг по невооруженной физической охране объектов в МАУ ДО "ДЮЦ "Здоровье" г.Перми по адресам ул. Ласьвинская, д. 1и ул. Стахановская, д. 1</v>
      </c>
      <c r="G7035" s="22" t="s">
        <v>391</v>
      </c>
      <c r="H7035" s="22" t="s">
        <v>392</v>
      </c>
      <c r="I7035" s="26">
        <v>43616.446562500001</v>
      </c>
      <c r="J7035" s="28" t="s">
        <v>52</v>
      </c>
      <c r="K7035" s="28" t="s">
        <v>52</v>
      </c>
      <c r="L7035" s="28" t="s">
        <v>52</v>
      </c>
      <c r="M7035" s="28" t="s">
        <v>52</v>
      </c>
      <c r="N7035" s="28" t="s">
        <v>52</v>
      </c>
    </row>
    <row r="7036" spans="1:14" x14ac:dyDescent="0.15">
      <c r="A7036" s="23" t="str">
        <f>HYPERLINK("https://www.spark-marketing.ru/Card/Person/1338911", "ООО ""НОРНИКЕЛЬ - ОБЩИЙ ЦЕНТР ОБСЛУЖИВАНИЯ""")</f>
        <v>ООО "НОРНИКЕЛЬ - ОБЩИЙ ЦЕНТР ОБСЛУЖИВАНИЯ"</v>
      </c>
      <c r="B7036" s="24" t="s">
        <v>162</v>
      </c>
      <c r="C7036" s="28" t="s">
        <v>52</v>
      </c>
      <c r="D7036" s="28" t="s">
        <v>52</v>
      </c>
      <c r="E7036" s="22" t="s">
        <v>53</v>
      </c>
      <c r="F7036" s="23" t="str">
        <f>HYPERLINK("https://www.spark-marketing.ru/Card/Lot/71042969", "Выполнение работ по оснащению системой видеонаблюдения зданий ООО «Норильскникельремонт» для нужд ЗФ ООО ""Норникель - Общий центр обслуживания"". (№ НО/555).")</f>
        <v>Выполнение работ по оснащению системой видеонаблюдения зданий ООО «Норильскникельремонт» для нужд ЗФ ООО "Норникель - Общий центр обслуживания". (№ НО/555).</v>
      </c>
      <c r="G7036" s="22" t="s">
        <v>55</v>
      </c>
      <c r="H7036" s="22" t="s">
        <v>55</v>
      </c>
      <c r="I7036" s="26">
        <v>43619</v>
      </c>
      <c r="J7036" s="28" t="s">
        <v>52</v>
      </c>
      <c r="K7036" s="28" t="s">
        <v>52</v>
      </c>
      <c r="L7036" s="28" t="s">
        <v>52</v>
      </c>
      <c r="M7036" s="28" t="s">
        <v>52</v>
      </c>
      <c r="N7036" s="28" t="s">
        <v>52</v>
      </c>
    </row>
    <row r="7037" spans="1:14" x14ac:dyDescent="0.15">
      <c r="A7037" s="23" t="str">
        <f>HYPERLINK("https://www.spark-marketing.ru/Card/Person/3504", "ФКУ УПРДОР ""КАСПИЙ""")</f>
        <v>ФКУ УПРДОР "КАСПИЙ"</v>
      </c>
      <c r="B7037" s="24" t="s">
        <v>1277</v>
      </c>
      <c r="C7037" s="25">
        <v>99500</v>
      </c>
      <c r="D7037" s="22" t="s">
        <v>9107</v>
      </c>
      <c r="E7037" s="22" t="s">
        <v>53</v>
      </c>
      <c r="F7037" s="23" t="str">
        <f>HYPERLINK("https://www.spark-marketing.ru/Card/Lot/71031231", "Оказание охранных услуг")</f>
        <v>Оказание охранных услуг</v>
      </c>
      <c r="G7037" s="22" t="s">
        <v>565</v>
      </c>
      <c r="H7037" s="22" t="s">
        <v>566</v>
      </c>
      <c r="I7037" s="26">
        <v>43618.720196759299</v>
      </c>
      <c r="J7037" s="28" t="s">
        <v>52</v>
      </c>
      <c r="K7037" s="28" t="s">
        <v>52</v>
      </c>
      <c r="L7037" s="28" t="s">
        <v>52</v>
      </c>
      <c r="M7037" s="28" t="s">
        <v>52</v>
      </c>
      <c r="N7037" s="28" t="s">
        <v>52</v>
      </c>
    </row>
    <row r="7038" spans="1:14" x14ac:dyDescent="0.2">
      <c r="A7038" s="23" t="str">
        <f>HYPERLINK("https://www.spark-marketing.ru/Card/Person/653698", "ПАО ""ППГХО""")</f>
        <v>ПАО "ППГХО"</v>
      </c>
      <c r="B7038" s="24" t="s">
        <v>9108</v>
      </c>
      <c r="C7038" s="25">
        <v>71370432</v>
      </c>
      <c r="D7038" s="22" t="s">
        <v>9109</v>
      </c>
      <c r="E7038" s="22" t="s">
        <v>9110</v>
      </c>
      <c r="F7038" s="23" t="str">
        <f>HYPERLINK("https://www.spark-marketing.ru/Card/Lot/71009233", "Право заключения договора на оказание услуг по обеспечению пропускного и внутриобъектового режимов на не категорированных объектах ПАО ""ППГХО""")</f>
        <v>Право заключения договора на оказание услуг по обеспечению пропускного и внутриобъектового режимов на не категорированных объектах ПАО "ППГХО"</v>
      </c>
      <c r="G7038" s="22" t="s">
        <v>473</v>
      </c>
      <c r="H7038" s="22" t="s">
        <v>9111</v>
      </c>
      <c r="I7038" s="26">
        <v>43616.874965277799</v>
      </c>
      <c r="J7038" s="28" t="s">
        <v>52</v>
      </c>
      <c r="K7038" s="28" t="s">
        <v>52</v>
      </c>
      <c r="L7038" s="28" t="s">
        <v>52</v>
      </c>
      <c r="M7038" s="25">
        <v>71370432</v>
      </c>
      <c r="N7038" s="27">
        <v>0</v>
      </c>
    </row>
    <row r="7039" spans="1:14" x14ac:dyDescent="0.15">
      <c r="A7039" s="23" t="str">
        <f>HYPERLINK("https://www.spark-marketing.ru/Card/Person/12492", "АДМИНИСТРАЦИЯ ВОЛОСОВСКОГО МУНИЦИПАЛЬНОГО РАЙОНА")</f>
        <v>АДМИНИСТРАЦИЯ ВОЛОСОВСКОГО МУНИЦИПАЛЬНОГО РАЙОНА</v>
      </c>
      <c r="B7039" s="24" t="s">
        <v>9112</v>
      </c>
      <c r="C7039" s="25">
        <v>342509</v>
      </c>
      <c r="D7039" s="22" t="s">
        <v>9113</v>
      </c>
      <c r="E7039" s="22" t="s">
        <v>84</v>
      </c>
      <c r="F7039" s="23" t="str">
        <f>HYPERLINK("https://www.spark-marketing.ru/Card/Lot/71022438", "Выполнение работ по установке системы видеонаблюдения по адресу: Ленинградская область, г.Волосово, пл.Советов, д.3а")</f>
        <v>Выполнение работ по установке системы видеонаблюдения по адресу: Ленинградская область, г.Волосово, пл.Советов, д.3а</v>
      </c>
      <c r="G7039" s="22" t="s">
        <v>861</v>
      </c>
      <c r="H7039" s="22" t="s">
        <v>9114</v>
      </c>
      <c r="I7039" s="26">
        <v>43616.704861111102</v>
      </c>
      <c r="J7039" s="28" t="s">
        <v>52</v>
      </c>
      <c r="K7039" s="28" t="s">
        <v>52</v>
      </c>
      <c r="L7039" s="28" t="s">
        <v>52</v>
      </c>
      <c r="M7039" s="28" t="s">
        <v>52</v>
      </c>
      <c r="N7039" s="28" t="s">
        <v>52</v>
      </c>
    </row>
    <row r="7040" spans="1:14" hidden="1" outlineLevel="1" x14ac:dyDescent="0.2">
      <c r="A7040" s="23" t="str">
        <f>HYPERLINK("https://www.spark-marketing.ru/Card/Person/12492", "АДМИНИСТРАЦИЯ ВОЛОСОВСКОГО МУНИЦИПАЛЬНОГО РАЙОНА")</f>
        <v>АДМИНИСТРАЦИЯ ВОЛОСОВСКОГО МУНИЦИПАЛЬНОГО РАЙОНА</v>
      </c>
      <c r="B7040" s="24" t="s">
        <v>9112</v>
      </c>
      <c r="C7040" s="25">
        <v>342509</v>
      </c>
      <c r="D7040" s="22" t="s">
        <v>9113</v>
      </c>
      <c r="E7040" s="22" t="s">
        <v>84</v>
      </c>
      <c r="F7040" s="23" t="str">
        <f>HYPERLINK("https://www.spark-marketing.ru/Card/Lot/71022438", "Выполнение работ по установке системы видеонаблюдения по адресу: Ленинградская область, г.Волосово, пл.Советов, д.3а")</f>
        <v>Выполнение работ по установке системы видеонаблюдения по адресу: Ленинградская область, г.Волосово, пл.Советов, д.3а</v>
      </c>
      <c r="G7040" s="22" t="s">
        <v>861</v>
      </c>
      <c r="H7040" s="22" t="s">
        <v>9114</v>
      </c>
      <c r="I7040" s="26">
        <v>43616.704861111102</v>
      </c>
      <c r="J7040" s="23" t="str">
        <f>HYPERLINK("https://www.spark-marketing.ru/Card/Person/913501", "ООО ""СОВРЕМЕННЫЕ СИСТЕМЫ БЕЗОПАСНОСТИ""")</f>
        <v>ООО "СОВРЕМЕННЫЕ СИСТЕМЫ БЕЗОПАСНОСТИ"</v>
      </c>
      <c r="K7040" s="24" t="s">
        <v>9115</v>
      </c>
      <c r="L7040" s="28" t="s">
        <v>52</v>
      </c>
      <c r="M7040" s="25">
        <v>298287.45</v>
      </c>
      <c r="N7040" s="27">
        <v>0.12911062191066511</v>
      </c>
    </row>
    <row r="7041" spans="1:14" hidden="1" outlineLevel="1" x14ac:dyDescent="0.2">
      <c r="A7041" s="23" t="str">
        <f>HYPERLINK("https://www.spark-marketing.ru/Card/Person/12492", "АДМИНИСТРАЦИЯ ВОЛОСОВСКОГО МУНИЦИПАЛЬНОГО РАЙОНА")</f>
        <v>АДМИНИСТРАЦИЯ ВОЛОСОВСКОГО МУНИЦИПАЛЬНОГО РАЙОНА</v>
      </c>
      <c r="B7041" s="24" t="s">
        <v>9112</v>
      </c>
      <c r="C7041" s="25">
        <v>342509</v>
      </c>
      <c r="D7041" s="22" t="s">
        <v>9113</v>
      </c>
      <c r="E7041" s="22" t="s">
        <v>84</v>
      </c>
      <c r="F7041" s="23" t="str">
        <f>HYPERLINK("https://www.spark-marketing.ru/Card/Lot/71022438", "Выполнение работ по установке системы видеонаблюдения по адресу: Ленинградская область, г.Волосово, пл.Советов, д.3а")</f>
        <v>Выполнение работ по установке системы видеонаблюдения по адресу: Ленинградская область, г.Волосово, пл.Советов, д.3а</v>
      </c>
      <c r="G7041" s="22" t="s">
        <v>861</v>
      </c>
      <c r="H7041" s="22" t="s">
        <v>9114</v>
      </c>
      <c r="I7041" s="26">
        <v>43616.704861111102</v>
      </c>
      <c r="J7041" s="23" t="str">
        <f>HYPERLINK("https://www.spark-marketing.ru/Card/Person/6242661", "ООО ""ПМГ ""КСБ""")</f>
        <v>ООО "ПМГ "КСБ"</v>
      </c>
      <c r="K7041" s="24" t="s">
        <v>9116</v>
      </c>
      <c r="L7041" s="28" t="s">
        <v>52</v>
      </c>
      <c r="M7041" s="25">
        <v>268287.45</v>
      </c>
      <c r="N7041" s="27">
        <v>0.21669956117941427</v>
      </c>
    </row>
    <row r="7042" spans="1:14" ht="12.75" hidden="1" outlineLevel="1" x14ac:dyDescent="0.2">
      <c r="A7042" s="23" t="str">
        <f>HYPERLINK("https://www.spark-marketing.ru/Card/Person/12492", "АДМИНИСТРАЦИЯ ВОЛОСОВСКОГО МУНИЦИПАЛЬНОГО РАЙОНА")</f>
        <v>АДМИНИСТРАЦИЯ ВОЛОСОВСКОГО МУНИЦИПАЛЬНОГО РАЙОНА</v>
      </c>
      <c r="B7042" s="24" t="s">
        <v>9112</v>
      </c>
      <c r="C7042" s="25">
        <v>342509</v>
      </c>
      <c r="D7042" s="22" t="s">
        <v>9113</v>
      </c>
      <c r="E7042" s="22" t="s">
        <v>84</v>
      </c>
      <c r="F7042" s="23" t="str">
        <f>HYPERLINK("https://www.spark-marketing.ru/Card/Lot/71022438", "Выполнение работ по установке системы видеонаблюдения по адресу: Ленинградская область, г.Волосово, пл.Советов, д.3а")</f>
        <v>Выполнение работ по установке системы видеонаблюдения по адресу: Ленинградская область, г.Волосово, пл.Советов, д.3а</v>
      </c>
      <c r="G7042" s="22" t="s">
        <v>861</v>
      </c>
      <c r="H7042" s="22" t="s">
        <v>9114</v>
      </c>
      <c r="I7042" s="26">
        <v>43616.704861111102</v>
      </c>
      <c r="J7042" s="23" t="str">
        <f>HYPERLINK("https://www.spark-marketing.ru/Card/Person/434860", "ООО ""ИТР""")</f>
        <v>ООО "ИТР"</v>
      </c>
      <c r="K7042" s="24" t="s">
        <v>9117</v>
      </c>
      <c r="L7042" s="22" t="s">
        <v>10</v>
      </c>
      <c r="M7042" s="25">
        <v>260000</v>
      </c>
      <c r="N7042" s="27">
        <v>0.24089585967084076</v>
      </c>
    </row>
    <row r="7043" spans="1:14" x14ac:dyDescent="0.15">
      <c r="A7043" s="23" t="str">
        <f>HYPERLINK("https://www.spark-marketing.ru/Card/Person/32703", "МРУ РОСФИНМОНИТОРИНГА ПО ЦФО")</f>
        <v>МРУ РОСФИНМОНИТОРИНГА ПО ЦФО</v>
      </c>
      <c r="B7043" s="24" t="s">
        <v>9118</v>
      </c>
      <c r="C7043" s="25">
        <v>981785.7</v>
      </c>
      <c r="D7043" s="22" t="s">
        <v>9119</v>
      </c>
      <c r="E7043" s="22" t="s">
        <v>68</v>
      </c>
      <c r="F7043" s="23" t="str">
        <f>HYPERLINK("https://www.spark-marketing.ru/Card/Lot/71023256", "Оказание услуг по охране объекта МРУ")</f>
        <v>Оказание услуг по охране объекта МРУ</v>
      </c>
      <c r="G7043" s="22" t="s">
        <v>55</v>
      </c>
      <c r="H7043" s="22" t="s">
        <v>55</v>
      </c>
      <c r="I7043" s="26">
        <v>43616.693749999999</v>
      </c>
      <c r="J7043" s="28" t="s">
        <v>52</v>
      </c>
      <c r="K7043" s="28" t="s">
        <v>52</v>
      </c>
      <c r="L7043" s="28" t="s">
        <v>52</v>
      </c>
      <c r="M7043" s="28" t="s">
        <v>52</v>
      </c>
      <c r="N7043" s="28" t="s">
        <v>52</v>
      </c>
    </row>
    <row r="7044" spans="1:14" hidden="1" outlineLevel="1" x14ac:dyDescent="0.2">
      <c r="A7044" s="23" t="str">
        <f>HYPERLINK("https://www.spark-marketing.ru/Card/Person/32703", "МРУ РОСФИНМОНИТОРИНГА ПО ЦФО")</f>
        <v>МРУ РОСФИНМОНИТОРИНГА ПО ЦФО</v>
      </c>
      <c r="B7044" s="24" t="s">
        <v>9118</v>
      </c>
      <c r="C7044" s="25">
        <v>981785.7</v>
      </c>
      <c r="D7044" s="22" t="s">
        <v>9119</v>
      </c>
      <c r="E7044" s="22" t="s">
        <v>68</v>
      </c>
      <c r="F7044" s="23" t="str">
        <f>HYPERLINK("https://www.spark-marketing.ru/Card/Lot/71023256", "Оказание услуг по охране объекта МРУ")</f>
        <v>Оказание услуг по охране объекта МРУ</v>
      </c>
      <c r="G7044" s="22" t="s">
        <v>55</v>
      </c>
      <c r="H7044" s="22" t="s">
        <v>55</v>
      </c>
      <c r="I7044" s="26">
        <v>43616.693749999999</v>
      </c>
      <c r="J7044" s="23" t="str">
        <f>HYPERLINK("https://www.spark-marketing.ru/Card/Person/2515531", "ООО ""ЧОП СК ""ФОРТУНА""")</f>
        <v>ООО "ЧОП СК "ФОРТУНА"</v>
      </c>
      <c r="K7044" s="24" t="s">
        <v>9120</v>
      </c>
      <c r="L7044" s="28" t="s">
        <v>52</v>
      </c>
      <c r="M7044" s="25">
        <v>735356.07</v>
      </c>
      <c r="N7044" s="27">
        <v>0.25100144563115961</v>
      </c>
    </row>
    <row r="7045" spans="1:14" ht="12.75" hidden="1" outlineLevel="1" x14ac:dyDescent="0.2">
      <c r="A7045" s="23" t="str">
        <f>HYPERLINK("https://www.spark-marketing.ru/Card/Person/32703", "МРУ РОСФИНМОНИТОРИНГА ПО ЦФО")</f>
        <v>МРУ РОСФИНМОНИТОРИНГА ПО ЦФО</v>
      </c>
      <c r="B7045" s="24" t="s">
        <v>9118</v>
      </c>
      <c r="C7045" s="25">
        <v>981785.7</v>
      </c>
      <c r="D7045" s="22" t="s">
        <v>9119</v>
      </c>
      <c r="E7045" s="22" t="s">
        <v>68</v>
      </c>
      <c r="F7045" s="23" t="str">
        <f>HYPERLINK("https://www.spark-marketing.ru/Card/Lot/71023256", "Оказание услуг по охране объекта МРУ")</f>
        <v>Оказание услуг по охране объекта МРУ</v>
      </c>
      <c r="G7045" s="22" t="s">
        <v>55</v>
      </c>
      <c r="H7045" s="22" t="s">
        <v>55</v>
      </c>
      <c r="I7045" s="26">
        <v>43616.693749999999</v>
      </c>
      <c r="J7045" s="23" t="str">
        <f>HYPERLINK("https://www.spark-marketing.ru/Card/Person/4887627", "ФЛ ФГУП ОХРАНА ФЕДЕРАЛЬНОЙ СЛУЖБЫ ВОЙСК НАЦИОНАЛЬНОЙ ГВАРДИИ РФ ПО Г МОСКВЕ")</f>
        <v>ФЛ ФГУП ОХРАНА ФЕДЕРАЛЬНОЙ СЛУЖБЫ ВОЙСК НАЦИОНАЛЬНОЙ ГВАРДИИ РФ ПО Г МОСКВЕ</v>
      </c>
      <c r="K7045" s="24" t="s">
        <v>779</v>
      </c>
      <c r="L7045" s="22" t="s">
        <v>10</v>
      </c>
      <c r="M7045" s="25">
        <v>898332.91</v>
      </c>
      <c r="N7045" s="27">
        <v>8.5001024154252813E-2</v>
      </c>
    </row>
    <row r="7046" spans="1:14" hidden="1" outlineLevel="1" x14ac:dyDescent="0.2">
      <c r="A7046" s="23" t="str">
        <f>HYPERLINK("https://www.spark-marketing.ru/Card/Person/32703", "МРУ РОСФИНМОНИТОРИНГА ПО ЦФО")</f>
        <v>МРУ РОСФИНМОНИТОРИНГА ПО ЦФО</v>
      </c>
      <c r="B7046" s="24" t="s">
        <v>9118</v>
      </c>
      <c r="C7046" s="25">
        <v>981785.7</v>
      </c>
      <c r="D7046" s="22" t="s">
        <v>9119</v>
      </c>
      <c r="E7046" s="22" t="s">
        <v>68</v>
      </c>
      <c r="F7046" s="23" t="str">
        <f>HYPERLINK("https://www.spark-marketing.ru/Card/Lot/71023256", "Оказание услуг по охране объекта МРУ")</f>
        <v>Оказание услуг по охране объекта МРУ</v>
      </c>
      <c r="G7046" s="22" t="s">
        <v>55</v>
      </c>
      <c r="H7046" s="22" t="s">
        <v>55</v>
      </c>
      <c r="I7046" s="26">
        <v>43616.693749999999</v>
      </c>
      <c r="J7046" s="23" t="str">
        <f>HYPERLINK("https://www.spark-marketing.ru/Card/Person/1915233", "ООО ЧОО ""ОРИОН-ЭКСПРЕСС""")</f>
        <v>ООО ЧОО "ОРИОН-ЭКСПРЕСС"</v>
      </c>
      <c r="K7046" s="24" t="s">
        <v>9121</v>
      </c>
      <c r="L7046" s="28" t="s">
        <v>52</v>
      </c>
      <c r="M7046" s="25">
        <v>740265</v>
      </c>
      <c r="N7046" s="27">
        <v>0.2460014441033313</v>
      </c>
    </row>
    <row r="7047" spans="1:14" x14ac:dyDescent="0.15">
      <c r="A7047" s="23" t="str">
        <f>HYPERLINK("https://www.spark-marketing.ru/Card/Person/4344603", "ПРАВИТЕЛЬСТВО АМУРСКОЙ ОБЛАСТИ")</f>
        <v>ПРАВИТЕЛЬСТВО АМУРСКОЙ ОБЛАСТИ</v>
      </c>
      <c r="B7047" s="24" t="s">
        <v>9122</v>
      </c>
      <c r="C7047" s="25">
        <v>61152</v>
      </c>
      <c r="D7047" s="22" t="s">
        <v>9123</v>
      </c>
      <c r="E7047" s="22" t="s">
        <v>68</v>
      </c>
      <c r="F7047" s="23" t="str">
        <f>HYPERLINK("https://www.spark-marketing.ru/Card/Lot/71002661", "Оказание услуг государственной охраны путем подключения объекта к пульту централизованного наблюдения")</f>
        <v>Оказание услуг государственной охраны путем подключения объекта к пульту централизованного наблюдения</v>
      </c>
      <c r="G7047" s="22" t="s">
        <v>230</v>
      </c>
      <c r="H7047" s="22" t="s">
        <v>9124</v>
      </c>
      <c r="I7047" s="26">
        <v>43616.682638888902</v>
      </c>
      <c r="J7047" s="28" t="s">
        <v>52</v>
      </c>
      <c r="K7047" s="28" t="s">
        <v>52</v>
      </c>
      <c r="L7047" s="28" t="s">
        <v>52</v>
      </c>
      <c r="M7047" s="28" t="s">
        <v>52</v>
      </c>
      <c r="N7047" s="28" t="s">
        <v>52</v>
      </c>
    </row>
    <row r="7048" spans="1:14" x14ac:dyDescent="0.15">
      <c r="A7048" s="23" t="str">
        <f>HYPERLINK("https://www.spark-marketing.ru/Card/Person/68470", "МРУ РОСАЛКОГОЛЬРЕГУЛИРОВАНИЯ ПО ЦЕНТРАЛЬНОМУ ФЕДЕРАЛЬНОМУ ОКРУГУ")</f>
        <v>МРУ РОСАЛКОГОЛЬРЕГУЛИРОВАНИЯ ПО ЦЕНТРАЛЬНОМУ ФЕДЕРАЛЬНОМУ ОКРУГУ</v>
      </c>
      <c r="B7048" s="24" t="s">
        <v>9125</v>
      </c>
      <c r="C7048" s="25">
        <v>33985.199999999997</v>
      </c>
      <c r="D7048" s="22" t="s">
        <v>9126</v>
      </c>
      <c r="E7048" s="22" t="s">
        <v>208</v>
      </c>
      <c r="F7048" s="23" t="str">
        <f>HYPERLINK("https://www.spark-marketing.ru/Card/Lot/71020708", "Монтаж и пуско-наладка технических средств охраны")</f>
        <v>Монтаж и пуско-наладка технических средств охраны</v>
      </c>
      <c r="G7048" s="22" t="s">
        <v>55</v>
      </c>
      <c r="H7048" s="22" t="s">
        <v>55</v>
      </c>
      <c r="I7048" s="26">
        <v>43616.691666666702</v>
      </c>
      <c r="J7048" s="28" t="s">
        <v>52</v>
      </c>
      <c r="K7048" s="28" t="s">
        <v>52</v>
      </c>
      <c r="L7048" s="28" t="s">
        <v>52</v>
      </c>
      <c r="M7048" s="28" t="s">
        <v>52</v>
      </c>
      <c r="N7048" s="28" t="s">
        <v>52</v>
      </c>
    </row>
    <row r="7049" spans="1:14" x14ac:dyDescent="0.15">
      <c r="A7049" s="23" t="str">
        <f>HYPERLINK("https://www.spark-marketing.ru/Card/Person/4358895", "ООО ""МЭК""")</f>
        <v>ООО "МЭК"</v>
      </c>
      <c r="B7049" s="24" t="s">
        <v>9127</v>
      </c>
      <c r="C7049" s="25">
        <v>2313948.5906790001</v>
      </c>
      <c r="D7049" s="22" t="s">
        <v>9128</v>
      </c>
      <c r="E7049" s="22" t="s">
        <v>9129</v>
      </c>
      <c r="F7049" s="23" t="str">
        <f>HYPERLINK("https://www.spark-marketing.ru/Card/Lot/71006582", "ТО автоматика ГПА №1,2")</f>
        <v>ТО автоматика ГПА №1,2</v>
      </c>
      <c r="G7049" s="22" t="s">
        <v>60</v>
      </c>
      <c r="H7049" s="22" t="s">
        <v>60</v>
      </c>
      <c r="I7049" s="26">
        <v>43616.683564814797</v>
      </c>
      <c r="J7049" s="28" t="s">
        <v>52</v>
      </c>
      <c r="K7049" s="28" t="s">
        <v>52</v>
      </c>
      <c r="L7049" s="28" t="s">
        <v>52</v>
      </c>
      <c r="M7049" s="28" t="s">
        <v>52</v>
      </c>
      <c r="N7049" s="28" t="s">
        <v>52</v>
      </c>
    </row>
    <row r="7050" spans="1:14" x14ac:dyDescent="0.15">
      <c r="A7050" s="23" t="str">
        <f>HYPERLINK("https://www.spark-marketing.ru/Card/Person/153882", "СПБ ГБУ ""МОСТОТРЕСТ""")</f>
        <v>СПБ ГБУ "МОСТОТРЕСТ"</v>
      </c>
      <c r="B7050" s="24" t="s">
        <v>9130</v>
      </c>
      <c r="C7050" s="25">
        <v>14382851.199999999</v>
      </c>
      <c r="D7050" s="22" t="s">
        <v>9131</v>
      </c>
      <c r="E7050" s="22" t="s">
        <v>59</v>
      </c>
      <c r="F7050" s="23" t="str">
        <f>HYPERLINK("https://www.spark-marketing.ru/Card/Lot/71023232", "Работы по оснащению техническими средствами обеспечения транспортной безопасности объекта транспортной инфраструктуры ""Большой Петровский мост через М.Невку""")</f>
        <v>Работы по оснащению техническими средствами обеспечения транспортной безопасности объекта транспортной инфраструктуры "Большой Петровский мост через М.Невку"</v>
      </c>
      <c r="G7050" s="22" t="s">
        <v>89</v>
      </c>
      <c r="H7050" s="22" t="s">
        <v>89</v>
      </c>
      <c r="I7050" s="26">
        <v>43616.704861111102</v>
      </c>
      <c r="J7050" s="23" t="str">
        <f>HYPERLINK("https://www.spark-marketing.ru/Card/Person/117783", "АО ""АСПЕКТ СЕВЕРО-ЗАПАД""")</f>
        <v>АО "АСПЕКТ СЕВЕРО-ЗАПАД"</v>
      </c>
      <c r="K7050" s="24" t="s">
        <v>9132</v>
      </c>
      <c r="L7050" s="28" t="s">
        <v>52</v>
      </c>
      <c r="M7050" s="28" t="s">
        <v>52</v>
      </c>
      <c r="N7050" s="28" t="s">
        <v>52</v>
      </c>
    </row>
    <row r="7051" spans="1:14" ht="12.75" hidden="1" outlineLevel="1" x14ac:dyDescent="0.2">
      <c r="A7051" s="23" t="str">
        <f>HYPERLINK("https://www.spark-marketing.ru/Card/Person/153882", "СПБ ГБУ ""МОСТОТРЕСТ""")</f>
        <v>СПБ ГБУ "МОСТОТРЕСТ"</v>
      </c>
      <c r="B7051" s="24" t="s">
        <v>9130</v>
      </c>
      <c r="C7051" s="25">
        <v>14382851.199999999</v>
      </c>
      <c r="D7051" s="22" t="s">
        <v>9131</v>
      </c>
      <c r="E7051" s="22" t="s">
        <v>59</v>
      </c>
      <c r="F7051" s="23" t="str">
        <f>HYPERLINK("https://www.spark-marketing.ru/Card/Lot/71023232", "Работы по оснащению техническими средствами обеспечения транспортной безопасности объекта транспортной инфраструктуры ""Большой Петровский мост через М.Невку""")</f>
        <v>Работы по оснащению техническими средствами обеспечения транспортной безопасности объекта транспортной инфраструктуры "Большой Петровский мост через М.Невку"</v>
      </c>
      <c r="G7051" s="22" t="s">
        <v>89</v>
      </c>
      <c r="H7051" s="22" t="s">
        <v>89</v>
      </c>
      <c r="I7051" s="26">
        <v>43616.704861111102</v>
      </c>
      <c r="J7051" s="23" t="str">
        <f>HYPERLINK("https://www.spark-marketing.ru/Card/Person/117783", "АО ""АСПЕКТ СЕВЕРО-ЗАПАД""")</f>
        <v>АО "АСПЕКТ СЕВЕРО-ЗАПАД"</v>
      </c>
      <c r="K7051" s="24" t="s">
        <v>9132</v>
      </c>
      <c r="L7051" s="22" t="s">
        <v>10</v>
      </c>
      <c r="M7051" s="25">
        <v>14310936.939999999</v>
      </c>
      <c r="N7051" s="27">
        <v>5.0000002781089743E-3</v>
      </c>
    </row>
    <row r="7052" spans="1:14" x14ac:dyDescent="0.15">
      <c r="A7052" s="23" t="str">
        <f>HYPERLINK("https://www.spark-marketing.ru/Card/Person/7209", "УФСИН РОССИИ ПО РЕСПУБЛИКЕ КРЫМ И Г. СЕВАСТОПОЛЮ")</f>
        <v>УФСИН РОССИИ ПО РЕСПУБЛИКЕ КРЫМ И Г. СЕВАСТОПОЛЮ</v>
      </c>
      <c r="B7052" s="24" t="s">
        <v>9133</v>
      </c>
      <c r="C7052" s="25">
        <v>222073.51</v>
      </c>
      <c r="D7052" s="22" t="s">
        <v>9134</v>
      </c>
      <c r="E7052" s="22" t="s">
        <v>208</v>
      </c>
      <c r="F7052" s="23" t="str">
        <f>HYPERLINK("https://www.spark-marketing.ru/Card/Lot/71021882", "Технические средства охраны и надзора")</f>
        <v>Технические средства охраны и надзора</v>
      </c>
      <c r="G7052" s="22" t="s">
        <v>1053</v>
      </c>
      <c r="H7052" s="22" t="s">
        <v>3239</v>
      </c>
      <c r="I7052" s="26">
        <v>43616.702083333301</v>
      </c>
      <c r="J7052" s="23" t="str">
        <f>HYPERLINK("https://www.spark-marketing.ru/Card/Person/1816052", "ООО ""АСБ""")</f>
        <v>ООО "АСБ"</v>
      </c>
      <c r="K7052" s="24" t="s">
        <v>9135</v>
      </c>
      <c r="L7052" s="28" t="s">
        <v>52</v>
      </c>
      <c r="M7052" s="28" t="s">
        <v>52</v>
      </c>
      <c r="N7052" s="28" t="s">
        <v>52</v>
      </c>
    </row>
    <row r="7053" spans="1:14" ht="12.75" hidden="1" outlineLevel="1" x14ac:dyDescent="0.2">
      <c r="A7053" s="23" t="str">
        <f>HYPERLINK("https://www.spark-marketing.ru/Card/Person/7209", "УФСИН РОССИИ ПО РЕСПУБЛИКЕ КРЫМ И Г. СЕВАСТОПОЛЮ")</f>
        <v>УФСИН РОССИИ ПО РЕСПУБЛИКЕ КРЫМ И Г. СЕВАСТОПОЛЮ</v>
      </c>
      <c r="B7053" s="24" t="s">
        <v>9133</v>
      </c>
      <c r="C7053" s="25">
        <v>222073.51</v>
      </c>
      <c r="D7053" s="22" t="s">
        <v>9134</v>
      </c>
      <c r="E7053" s="22" t="s">
        <v>208</v>
      </c>
      <c r="F7053" s="23" t="str">
        <f>HYPERLINK("https://www.spark-marketing.ru/Card/Lot/71021882", "Технические средства охраны и надзора")</f>
        <v>Технические средства охраны и надзора</v>
      </c>
      <c r="G7053" s="22" t="s">
        <v>1053</v>
      </c>
      <c r="H7053" s="22" t="s">
        <v>3239</v>
      </c>
      <c r="I7053" s="26">
        <v>43616.702083333301</v>
      </c>
      <c r="J7053" s="23" t="str">
        <f>HYPERLINK("https://www.spark-marketing.ru/Card/Person/1816052", "ООО ""АСБ""")</f>
        <v>ООО "АСБ"</v>
      </c>
      <c r="K7053" s="24" t="s">
        <v>9135</v>
      </c>
      <c r="L7053" s="22" t="s">
        <v>10</v>
      </c>
      <c r="M7053" s="25">
        <v>220963.14</v>
      </c>
      <c r="N7053" s="27">
        <v>5.0000110323829257E-3</v>
      </c>
    </row>
    <row r="7054" spans="1:14" x14ac:dyDescent="0.15">
      <c r="A7054" s="23" t="str">
        <f>HYPERLINK("https://www.spark-marketing.ru/Card/Person/1730815", "ООО ""АРМЗ СЕРВИС""")</f>
        <v>ООО "АРМЗ СЕРВИС"</v>
      </c>
      <c r="B7054" s="24" t="s">
        <v>1279</v>
      </c>
      <c r="C7054" s="25">
        <v>71370432</v>
      </c>
      <c r="D7054" s="22" t="s">
        <v>9136</v>
      </c>
      <c r="E7054" s="22" t="s">
        <v>9137</v>
      </c>
      <c r="F7054" s="23" t="str">
        <f>HYPERLINK("https://www.spark-marketing.ru/Card/Lot/71019086", "оказание услуг по обеспечению пропускного и внутриобъектового режимов на не категорированных объектах ПАО ""ППГХО""")</f>
        <v>оказание услуг по обеспечению пропускного и внутриобъектового режимов на не категорированных объектах ПАО "ППГХО"</v>
      </c>
      <c r="G7054" s="22" t="s">
        <v>55</v>
      </c>
      <c r="H7054" s="22" t="s">
        <v>55</v>
      </c>
      <c r="I7054" s="26">
        <v>43616.6723263889</v>
      </c>
      <c r="J7054" s="28" t="s">
        <v>52</v>
      </c>
      <c r="K7054" s="28" t="s">
        <v>52</v>
      </c>
      <c r="L7054" s="28" t="s">
        <v>52</v>
      </c>
      <c r="M7054" s="28" t="s">
        <v>52</v>
      </c>
      <c r="N7054" s="28" t="s">
        <v>52</v>
      </c>
    </row>
    <row r="7055" spans="1:14" x14ac:dyDescent="0.15">
      <c r="A7055" s="23" t="str">
        <f>HYPERLINK("https://www.spark-marketing.ru/Card/Person/1026033", "МАДОУ № 25")</f>
        <v>МАДОУ № 25</v>
      </c>
      <c r="B7055" s="24" t="s">
        <v>9138</v>
      </c>
      <c r="C7055" s="25">
        <v>136622</v>
      </c>
      <c r="D7055" s="22" t="s">
        <v>9139</v>
      </c>
      <c r="E7055" s="22" t="s">
        <v>49</v>
      </c>
      <c r="F7055" s="23" t="str">
        <f>HYPERLINK("https://www.spark-marketing.ru/Card/Lot/71005425", "Установка системы видеонаблюдения")</f>
        <v>Установка системы видеонаблюдения</v>
      </c>
      <c r="G7055" s="22" t="s">
        <v>72</v>
      </c>
      <c r="H7055" s="22" t="s">
        <v>72</v>
      </c>
      <c r="I7055" s="26">
        <v>43616.6976967593</v>
      </c>
      <c r="J7055" s="28" t="s">
        <v>52</v>
      </c>
      <c r="K7055" s="28" t="s">
        <v>52</v>
      </c>
      <c r="L7055" s="28" t="s">
        <v>52</v>
      </c>
      <c r="M7055" s="28" t="s">
        <v>52</v>
      </c>
      <c r="N7055" s="28" t="s">
        <v>52</v>
      </c>
    </row>
    <row r="7056" spans="1:14" x14ac:dyDescent="0.15">
      <c r="A7056" s="23" t="str">
        <f t="shared" ref="A7056:A7062" si="295">HYPERLINK("https://www.spark-marketing.ru/Card/Person/4379075", "ГБУ ЦСПСД")</f>
        <v>ГБУ ЦСПСД</v>
      </c>
      <c r="B7056" s="24" t="s">
        <v>9140</v>
      </c>
      <c r="C7056" s="25">
        <v>220000</v>
      </c>
      <c r="D7056" s="22" t="s">
        <v>9141</v>
      </c>
      <c r="E7056" s="22" t="s">
        <v>1297</v>
      </c>
      <c r="F7056" s="23" t="str">
        <f t="shared" ref="F7056:F7062" si="296">HYPERLINK("https://www.spark-marketing.ru/Card/Lot/71013708", "На поставку и установку камер видеонаблюдения и регистратора")</f>
        <v>На поставку и установку камер видеонаблюдения и регистратора</v>
      </c>
      <c r="G7056" s="22" t="s">
        <v>714</v>
      </c>
      <c r="H7056" s="22" t="s">
        <v>714</v>
      </c>
      <c r="I7056" s="26">
        <v>43616.647916666698</v>
      </c>
      <c r="J7056" s="28" t="s">
        <v>52</v>
      </c>
      <c r="K7056" s="28" t="s">
        <v>52</v>
      </c>
      <c r="L7056" s="28" t="s">
        <v>52</v>
      </c>
      <c r="M7056" s="28" t="s">
        <v>52</v>
      </c>
      <c r="N7056" s="28" t="s">
        <v>52</v>
      </c>
    </row>
    <row r="7057" spans="1:14" ht="12.75" hidden="1" outlineLevel="1" x14ac:dyDescent="0.2">
      <c r="A7057" s="23" t="str">
        <f t="shared" si="295"/>
        <v>ГБУ ЦСПСД</v>
      </c>
      <c r="B7057" s="24" t="s">
        <v>9140</v>
      </c>
      <c r="C7057" s="25">
        <v>220000</v>
      </c>
      <c r="D7057" s="22" t="s">
        <v>9141</v>
      </c>
      <c r="E7057" s="22" t="s">
        <v>1297</v>
      </c>
      <c r="F7057" s="23" t="str">
        <f t="shared" si="296"/>
        <v>На поставку и установку камер видеонаблюдения и регистратора</v>
      </c>
      <c r="G7057" s="22" t="s">
        <v>714</v>
      </c>
      <c r="H7057" s="22" t="s">
        <v>714</v>
      </c>
      <c r="I7057" s="26">
        <v>43616.647916666698</v>
      </c>
      <c r="J7057" s="23" t="str">
        <f>HYPERLINK("https://www.spark-marketing.ru/Card/Person/6496409", "Малая Анастасия Андреевна")</f>
        <v>Малая Анастасия Андреевна</v>
      </c>
      <c r="K7057" s="24" t="s">
        <v>9142</v>
      </c>
      <c r="L7057" s="22" t="s">
        <v>10</v>
      </c>
      <c r="M7057" s="25">
        <v>190610.5</v>
      </c>
      <c r="N7057" s="27">
        <v>0.13358863636363635</v>
      </c>
    </row>
    <row r="7058" spans="1:14" hidden="1" outlineLevel="1" x14ac:dyDescent="0.2">
      <c r="A7058" s="23" t="str">
        <f t="shared" si="295"/>
        <v>ГБУ ЦСПСД</v>
      </c>
      <c r="B7058" s="24" t="s">
        <v>9140</v>
      </c>
      <c r="C7058" s="25">
        <v>220000</v>
      </c>
      <c r="D7058" s="22" t="s">
        <v>9141</v>
      </c>
      <c r="E7058" s="22" t="s">
        <v>1297</v>
      </c>
      <c r="F7058" s="23" t="str">
        <f t="shared" si="296"/>
        <v>На поставку и установку камер видеонаблюдения и регистратора</v>
      </c>
      <c r="G7058" s="22" t="s">
        <v>714</v>
      </c>
      <c r="H7058" s="22" t="s">
        <v>714</v>
      </c>
      <c r="I7058" s="26">
        <v>43616.647916666698</v>
      </c>
      <c r="J7058" s="23" t="str">
        <f>HYPERLINK("https://www.spark-marketing.ru/Card/Person/6081891", "ООО ""ВИКАМ""")</f>
        <v>ООО "ВИКАМ"</v>
      </c>
      <c r="K7058" s="24" t="s">
        <v>3886</v>
      </c>
      <c r="L7058" s="28" t="s">
        <v>52</v>
      </c>
      <c r="M7058" s="25">
        <v>198800</v>
      </c>
      <c r="N7058" s="27">
        <v>9.636363636363636E-2</v>
      </c>
    </row>
    <row r="7059" spans="1:14" hidden="1" outlineLevel="1" x14ac:dyDescent="0.2">
      <c r="A7059" s="23" t="str">
        <f t="shared" si="295"/>
        <v>ГБУ ЦСПСД</v>
      </c>
      <c r="B7059" s="24" t="s">
        <v>9140</v>
      </c>
      <c r="C7059" s="25">
        <v>220000</v>
      </c>
      <c r="D7059" s="22" t="s">
        <v>9141</v>
      </c>
      <c r="E7059" s="22" t="s">
        <v>1297</v>
      </c>
      <c r="F7059" s="23" t="str">
        <f t="shared" si="296"/>
        <v>На поставку и установку камер видеонаблюдения и регистратора</v>
      </c>
      <c r="G7059" s="22" t="s">
        <v>714</v>
      </c>
      <c r="H7059" s="22" t="s">
        <v>714</v>
      </c>
      <c r="I7059" s="26">
        <v>43616.647916666698</v>
      </c>
      <c r="J7059" s="23" t="str">
        <f>HYPERLINK("https://www.spark-marketing.ru/Card/Person/373670", "ООО ""ОПС""")</f>
        <v>ООО "ОПС"</v>
      </c>
      <c r="K7059" s="24" t="s">
        <v>4634</v>
      </c>
      <c r="L7059" s="28" t="s">
        <v>52</v>
      </c>
      <c r="M7059" s="25">
        <v>205000</v>
      </c>
      <c r="N7059" s="27">
        <v>6.8181818181818177E-2</v>
      </c>
    </row>
    <row r="7060" spans="1:14" hidden="1" outlineLevel="1" x14ac:dyDescent="0.2">
      <c r="A7060" s="23" t="str">
        <f t="shared" si="295"/>
        <v>ГБУ ЦСПСД</v>
      </c>
      <c r="B7060" s="24" t="s">
        <v>9140</v>
      </c>
      <c r="C7060" s="25">
        <v>220000</v>
      </c>
      <c r="D7060" s="22" t="s">
        <v>9141</v>
      </c>
      <c r="E7060" s="22" t="s">
        <v>1297</v>
      </c>
      <c r="F7060" s="23" t="str">
        <f t="shared" si="296"/>
        <v>На поставку и установку камер видеонаблюдения и регистратора</v>
      </c>
      <c r="G7060" s="22" t="s">
        <v>714</v>
      </c>
      <c r="H7060" s="22" t="s">
        <v>714</v>
      </c>
      <c r="I7060" s="26">
        <v>43616.647916666698</v>
      </c>
      <c r="J7060" s="23" t="str">
        <f>HYPERLINK("https://www.spark-marketing.ru/Card/Person/5358957", "ООО ""ЭЛЛИНГ КОНСАЛТ ГРУПП""")</f>
        <v>ООО "ЭЛЛИНГ КОНСАЛТ ГРУПП"</v>
      </c>
      <c r="K7060" s="24" t="s">
        <v>9143</v>
      </c>
      <c r="L7060" s="28" t="s">
        <v>52</v>
      </c>
      <c r="M7060" s="25">
        <v>219028</v>
      </c>
      <c r="N7060" s="27">
        <v>4.4181818181818185E-3</v>
      </c>
    </row>
    <row r="7061" spans="1:14" hidden="1" outlineLevel="1" x14ac:dyDescent="0.2">
      <c r="A7061" s="23" t="str">
        <f t="shared" si="295"/>
        <v>ГБУ ЦСПСД</v>
      </c>
      <c r="B7061" s="24" t="s">
        <v>9140</v>
      </c>
      <c r="C7061" s="25">
        <v>220000</v>
      </c>
      <c r="D7061" s="22" t="s">
        <v>9141</v>
      </c>
      <c r="E7061" s="22" t="s">
        <v>1297</v>
      </c>
      <c r="F7061" s="23" t="str">
        <f t="shared" si="296"/>
        <v>На поставку и установку камер видеонаблюдения и регистратора</v>
      </c>
      <c r="G7061" s="22" t="s">
        <v>714</v>
      </c>
      <c r="H7061" s="22" t="s">
        <v>714</v>
      </c>
      <c r="I7061" s="26">
        <v>43616.647916666698</v>
      </c>
      <c r="J7061" s="23" t="str">
        <f>HYPERLINK("https://www.spark-marketing.ru/Card/Person/931740", "ООО ""МИКРОЛАЙН ЦЕНТР""")</f>
        <v>ООО "МИКРОЛАЙН ЦЕНТР"</v>
      </c>
      <c r="K7061" s="24" t="s">
        <v>9144</v>
      </c>
      <c r="L7061" s="28" t="s">
        <v>52</v>
      </c>
      <c r="M7061" s="25">
        <v>159014</v>
      </c>
      <c r="N7061" s="27">
        <v>0.2772090909090909</v>
      </c>
    </row>
    <row r="7062" spans="1:14" hidden="1" outlineLevel="1" x14ac:dyDescent="0.2">
      <c r="A7062" s="23" t="str">
        <f t="shared" si="295"/>
        <v>ГБУ ЦСПСД</v>
      </c>
      <c r="B7062" s="24" t="s">
        <v>9140</v>
      </c>
      <c r="C7062" s="25">
        <v>220000</v>
      </c>
      <c r="D7062" s="22" t="s">
        <v>9141</v>
      </c>
      <c r="E7062" s="22" t="s">
        <v>1297</v>
      </c>
      <c r="F7062" s="23" t="str">
        <f t="shared" si="296"/>
        <v>На поставку и установку камер видеонаблюдения и регистратора</v>
      </c>
      <c r="G7062" s="22" t="s">
        <v>714</v>
      </c>
      <c r="H7062" s="22" t="s">
        <v>714</v>
      </c>
      <c r="I7062" s="26">
        <v>43616.647916666698</v>
      </c>
      <c r="J7062" s="23" t="str">
        <f>HYPERLINK("https://www.spark-marketing.ru/Card/Person/6583669", "ООО ""СП""")</f>
        <v>ООО "СП"</v>
      </c>
      <c r="K7062" s="24" t="s">
        <v>9145</v>
      </c>
      <c r="L7062" s="28" t="s">
        <v>52</v>
      </c>
      <c r="M7062" s="25">
        <v>180000</v>
      </c>
      <c r="N7062" s="27">
        <v>0.18181818181818182</v>
      </c>
    </row>
    <row r="7063" spans="1:14" x14ac:dyDescent="0.15">
      <c r="A7063" s="23" t="s">
        <v>121</v>
      </c>
      <c r="B7063" s="28" t="s">
        <v>52</v>
      </c>
      <c r="C7063" s="25">
        <v>846023</v>
      </c>
      <c r="D7063" s="22" t="s">
        <v>9146</v>
      </c>
      <c r="E7063" s="22" t="s">
        <v>9147</v>
      </c>
      <c r="F7063" s="23" t="str">
        <f t="shared" ref="F7063:F7069" si="297">HYPERLINK("https://www.spark-marketing.ru/Card/Lot/71022321", "Выполнение работ по установке системы видеонаблюдения")</f>
        <v>Выполнение работ по установке системы видеонаблюдения</v>
      </c>
      <c r="G7063" s="22" t="s">
        <v>52</v>
      </c>
      <c r="H7063" s="22" t="s">
        <v>52</v>
      </c>
      <c r="I7063" s="26">
        <v>43616.658333333296</v>
      </c>
      <c r="J7063" s="28" t="s">
        <v>52</v>
      </c>
      <c r="K7063" s="28" t="s">
        <v>52</v>
      </c>
      <c r="L7063" s="28" t="s">
        <v>52</v>
      </c>
      <c r="M7063" s="28" t="s">
        <v>52</v>
      </c>
      <c r="N7063" s="28" t="s">
        <v>52</v>
      </c>
    </row>
    <row r="7064" spans="1:14" hidden="1" outlineLevel="1" x14ac:dyDescent="0.15">
      <c r="A7064" s="23" t="str">
        <f>HYPERLINK("https://www.spark-marketing.ru/Card/Person/1053415", "МБОУ СОШ №4")</f>
        <v>МБОУ СОШ №4</v>
      </c>
      <c r="B7064" s="24" t="s">
        <v>9148</v>
      </c>
      <c r="C7064" s="25">
        <v>279816</v>
      </c>
      <c r="D7064" s="22" t="s">
        <v>9146</v>
      </c>
      <c r="E7064" s="22" t="s">
        <v>9147</v>
      </c>
      <c r="F7064" s="23" t="str">
        <f t="shared" si="297"/>
        <v>Выполнение работ по установке системы видеонаблюдения</v>
      </c>
      <c r="G7064" s="22" t="s">
        <v>258</v>
      </c>
      <c r="H7064" s="22" t="s">
        <v>258</v>
      </c>
      <c r="I7064" s="26">
        <v>43616.658333333296</v>
      </c>
      <c r="J7064" s="28" t="s">
        <v>52</v>
      </c>
      <c r="K7064" s="28" t="s">
        <v>52</v>
      </c>
      <c r="L7064" s="28" t="s">
        <v>52</v>
      </c>
      <c r="M7064" s="28" t="s">
        <v>52</v>
      </c>
      <c r="N7064" s="28" t="s">
        <v>52</v>
      </c>
    </row>
    <row r="7065" spans="1:14" hidden="1" outlineLevel="1" x14ac:dyDescent="0.15">
      <c r="A7065" s="23" t="str">
        <f>HYPERLINK("https://www.spark-marketing.ru/Card/Person/1054374", "МБОУГ №1")</f>
        <v>МБОУГ №1</v>
      </c>
      <c r="B7065" s="24" t="s">
        <v>9149</v>
      </c>
      <c r="C7065" s="25">
        <v>286390</v>
      </c>
      <c r="D7065" s="22" t="s">
        <v>9146</v>
      </c>
      <c r="E7065" s="22" t="s">
        <v>9147</v>
      </c>
      <c r="F7065" s="23" t="str">
        <f t="shared" si="297"/>
        <v>Выполнение работ по установке системы видеонаблюдения</v>
      </c>
      <c r="G7065" s="22" t="s">
        <v>258</v>
      </c>
      <c r="H7065" s="22" t="s">
        <v>258</v>
      </c>
      <c r="I7065" s="26">
        <v>43616.658333333296</v>
      </c>
      <c r="J7065" s="28" t="s">
        <v>52</v>
      </c>
      <c r="K7065" s="28" t="s">
        <v>52</v>
      </c>
      <c r="L7065" s="28" t="s">
        <v>52</v>
      </c>
      <c r="M7065" s="28" t="s">
        <v>52</v>
      </c>
      <c r="N7065" s="28" t="s">
        <v>52</v>
      </c>
    </row>
    <row r="7066" spans="1:14" hidden="1" outlineLevel="1" x14ac:dyDescent="0.15">
      <c r="A7066" s="23" t="str">
        <f>HYPERLINK("https://www.spark-marketing.ru/Card/Person/1070529", "МБОУЛ №3")</f>
        <v>МБОУЛ №3</v>
      </c>
      <c r="B7066" s="24" t="s">
        <v>9150</v>
      </c>
      <c r="C7066" s="25">
        <v>279817</v>
      </c>
      <c r="D7066" s="22" t="s">
        <v>9146</v>
      </c>
      <c r="E7066" s="22" t="s">
        <v>9147</v>
      </c>
      <c r="F7066" s="23" t="str">
        <f t="shared" si="297"/>
        <v>Выполнение работ по установке системы видеонаблюдения</v>
      </c>
      <c r="G7066" s="22" t="s">
        <v>258</v>
      </c>
      <c r="H7066" s="22" t="s">
        <v>258</v>
      </c>
      <c r="I7066" s="26">
        <v>43616.658333333296</v>
      </c>
      <c r="J7066" s="28" t="s">
        <v>52</v>
      </c>
      <c r="K7066" s="28" t="s">
        <v>52</v>
      </c>
      <c r="L7066" s="28" t="s">
        <v>52</v>
      </c>
      <c r="M7066" s="28" t="s">
        <v>52</v>
      </c>
      <c r="N7066" s="28" t="s">
        <v>52</v>
      </c>
    </row>
    <row r="7067" spans="1:14" hidden="1" outlineLevel="1" x14ac:dyDescent="0.2">
      <c r="A7067" s="28" t="s">
        <v>52</v>
      </c>
      <c r="B7067" s="28" t="s">
        <v>52</v>
      </c>
      <c r="C7067" s="28" t="s">
        <v>52</v>
      </c>
      <c r="D7067" s="22" t="s">
        <v>9146</v>
      </c>
      <c r="E7067" s="22" t="s">
        <v>9147</v>
      </c>
      <c r="F7067" s="23" t="str">
        <f t="shared" si="297"/>
        <v>Выполнение работ по установке системы видеонаблюдения</v>
      </c>
      <c r="G7067" s="22" t="s">
        <v>52</v>
      </c>
      <c r="H7067" s="22" t="s">
        <v>52</v>
      </c>
      <c r="I7067" s="26">
        <v>43616.658333333296</v>
      </c>
      <c r="J7067" s="23" t="str">
        <f>HYPERLINK("https://www.spark-marketing.ru/Card/Person/196844", "Смоленский Владислав Валерьевич")</f>
        <v>Смоленский Владислав Валерьевич</v>
      </c>
      <c r="K7067" s="24" t="s">
        <v>9151</v>
      </c>
      <c r="L7067" s="28" t="s">
        <v>52</v>
      </c>
      <c r="M7067" s="25">
        <v>841792.88</v>
      </c>
      <c r="N7067" s="27">
        <v>5.0000059100048112E-3</v>
      </c>
    </row>
    <row r="7068" spans="1:14" hidden="1" outlineLevel="1" x14ac:dyDescent="0.2">
      <c r="A7068" s="28" t="s">
        <v>52</v>
      </c>
      <c r="B7068" s="28" t="s">
        <v>52</v>
      </c>
      <c r="C7068" s="28" t="s">
        <v>52</v>
      </c>
      <c r="D7068" s="22" t="s">
        <v>9146</v>
      </c>
      <c r="E7068" s="22" t="s">
        <v>9147</v>
      </c>
      <c r="F7068" s="23" t="str">
        <f t="shared" si="297"/>
        <v>Выполнение работ по установке системы видеонаблюдения</v>
      </c>
      <c r="G7068" s="22" t="s">
        <v>52</v>
      </c>
      <c r="H7068" s="22" t="s">
        <v>52</v>
      </c>
      <c r="I7068" s="26">
        <v>43616.658333333296</v>
      </c>
      <c r="J7068" s="23" t="str">
        <f>HYPERLINK("https://www.spark-marketing.ru/Card/Person/165131", "Кочубей Олег Михайлович")</f>
        <v>Кочубей Олег Михайлович</v>
      </c>
      <c r="K7068" s="24" t="s">
        <v>1673</v>
      </c>
      <c r="L7068" s="28" t="s">
        <v>52</v>
      </c>
      <c r="M7068" s="25">
        <v>545661.88</v>
      </c>
      <c r="N7068" s="27">
        <v>0.35502713283208615</v>
      </c>
    </row>
    <row r="7069" spans="1:14" hidden="1" outlineLevel="1" x14ac:dyDescent="0.2">
      <c r="A7069" s="28" t="s">
        <v>52</v>
      </c>
      <c r="B7069" s="28" t="s">
        <v>52</v>
      </c>
      <c r="C7069" s="28" t="s">
        <v>52</v>
      </c>
      <c r="D7069" s="22" t="s">
        <v>9146</v>
      </c>
      <c r="E7069" s="22" t="s">
        <v>9147</v>
      </c>
      <c r="F7069" s="23" t="str">
        <f t="shared" si="297"/>
        <v>Выполнение работ по установке системы видеонаблюдения</v>
      </c>
      <c r="G7069" s="22" t="s">
        <v>52</v>
      </c>
      <c r="H7069" s="22" t="s">
        <v>52</v>
      </c>
      <c r="I7069" s="26">
        <v>43616.658333333296</v>
      </c>
      <c r="J7069" s="23" t="str">
        <f>HYPERLINK("https://www.spark-marketing.ru/Card/Person/6236853", "Бармашов Иван Александрович")</f>
        <v>Бармашов Иван Александрович</v>
      </c>
      <c r="K7069" s="24" t="s">
        <v>3257</v>
      </c>
      <c r="L7069" s="22" t="s">
        <v>10</v>
      </c>
      <c r="M7069" s="25">
        <v>541431</v>
      </c>
      <c r="N7069" s="27">
        <v>0.36002803706282216</v>
      </c>
    </row>
    <row r="7070" spans="1:14" x14ac:dyDescent="0.15">
      <c r="A7070" s="23" t="str">
        <f>HYPERLINK("https://www.spark-marketing.ru/Card/Person/153882", "СПБ ГБУ ""МОСТОТРЕСТ""")</f>
        <v>СПБ ГБУ "МОСТОТРЕСТ"</v>
      </c>
      <c r="B7070" s="24" t="s">
        <v>9130</v>
      </c>
      <c r="C7070" s="25">
        <v>17215146</v>
      </c>
      <c r="D7070" s="22" t="s">
        <v>9152</v>
      </c>
      <c r="E7070" s="22" t="s">
        <v>59</v>
      </c>
      <c r="F7070" s="23" t="str">
        <f>HYPERLINK("https://www.spark-marketing.ru/Card/Lot/71019945", "Работы по оснащению техническими средствами обеспечения транспортной безопасности объекта транспортной инфраструктуры ""Путепровод через пути метрополитена на продолжении Витебского пр. в районе пос. Шушары""")</f>
        <v>Работы по оснащению техническими средствами обеспечения транспортной безопасности объекта транспортной инфраструктуры "Путепровод через пути метрополитена на продолжении Витебского пр. в районе пос. Шушары"</v>
      </c>
      <c r="G7070" s="22" t="s">
        <v>89</v>
      </c>
      <c r="H7070" s="22" t="s">
        <v>89</v>
      </c>
      <c r="I7070" s="26">
        <v>43616.640972222202</v>
      </c>
      <c r="J7070" s="23" t="str">
        <f>HYPERLINK("https://www.spark-marketing.ru/Card/Person/117783", "АО ""АСПЕКТ СЕВЕРО-ЗАПАД""")</f>
        <v>АО "АСПЕКТ СЕВЕРО-ЗАПАД"</v>
      </c>
      <c r="K7070" s="24" t="s">
        <v>9132</v>
      </c>
      <c r="L7070" s="28" t="s">
        <v>52</v>
      </c>
      <c r="M7070" s="28" t="s">
        <v>52</v>
      </c>
      <c r="N7070" s="28" t="s">
        <v>52</v>
      </c>
    </row>
    <row r="7071" spans="1:14" hidden="1" outlineLevel="1" x14ac:dyDescent="0.15">
      <c r="A7071" s="23" t="str">
        <f>HYPERLINK("https://www.spark-marketing.ru/Card/Person/153882", "СПБ ГБУ ""МОСТОТРЕСТ""")</f>
        <v>СПБ ГБУ "МОСТОТРЕСТ"</v>
      </c>
      <c r="B7071" s="24" t="s">
        <v>9130</v>
      </c>
      <c r="C7071" s="25">
        <v>17215146</v>
      </c>
      <c r="D7071" s="22" t="s">
        <v>9152</v>
      </c>
      <c r="E7071" s="22" t="s">
        <v>59</v>
      </c>
      <c r="F7071" s="23" t="str">
        <f>HYPERLINK("https://www.spark-marketing.ru/Card/Lot/71019945", "Работы по оснащению техническими средствами обеспечения транспортной безопасности объекта транспортной инфраструктуры ""Путепровод через пути метрополитена на продолжении Витебского пр. в районе пос. Шушары""")</f>
        <v>Работы по оснащению техническими средствами обеспечения транспортной безопасности объекта транспортной инфраструктуры "Путепровод через пути метрополитена на продолжении Витебского пр. в районе пос. Шушары"</v>
      </c>
      <c r="G7071" s="22" t="s">
        <v>89</v>
      </c>
      <c r="H7071" s="22" t="s">
        <v>89</v>
      </c>
      <c r="I7071" s="26">
        <v>43616.640972222202</v>
      </c>
      <c r="J7071" s="23" t="str">
        <f>HYPERLINK("https://www.spark-marketing.ru/Card/Person/117783", "АО ""АСПЕКТ СЕВЕРО-ЗАПАД""")</f>
        <v>АО "АСПЕКТ СЕВЕРО-ЗАПАД"</v>
      </c>
      <c r="K7071" s="24" t="s">
        <v>9132</v>
      </c>
      <c r="L7071" s="22" t="s">
        <v>10</v>
      </c>
      <c r="M7071" s="28" t="s">
        <v>52</v>
      </c>
      <c r="N7071" s="28" t="s">
        <v>52</v>
      </c>
    </row>
    <row r="7072" spans="1:14" x14ac:dyDescent="0.15">
      <c r="A7072" s="23" t="str">
        <f>HYPERLINK("https://www.spark-marketing.ru/Card/Person/8915", "ГСУСО ""ЧПНИ № 2""")</f>
        <v>ГСУСО "ЧПНИ № 2"</v>
      </c>
      <c r="B7072" s="24" t="s">
        <v>9153</v>
      </c>
      <c r="C7072" s="25">
        <v>750720</v>
      </c>
      <c r="D7072" s="22" t="s">
        <v>9154</v>
      </c>
      <c r="E7072" s="22" t="s">
        <v>144</v>
      </c>
      <c r="F7072" s="23" t="str">
        <f>HYPERLINK("https://www.spark-marketing.ru/Card/Lot/71004079", "Услуги по охране объекта")</f>
        <v>Услуги по охране объекта</v>
      </c>
      <c r="G7072" s="22" t="s">
        <v>60</v>
      </c>
      <c r="H7072" s="22" t="s">
        <v>60</v>
      </c>
      <c r="I7072" s="26">
        <v>43616.651932870402</v>
      </c>
      <c r="J7072" s="28" t="s">
        <v>52</v>
      </c>
      <c r="K7072" s="28" t="s">
        <v>52</v>
      </c>
      <c r="L7072" s="28" t="s">
        <v>52</v>
      </c>
      <c r="M7072" s="28" t="s">
        <v>52</v>
      </c>
      <c r="N7072" s="28" t="s">
        <v>52</v>
      </c>
    </row>
    <row r="7073" spans="1:14" x14ac:dyDescent="0.15">
      <c r="A7073" s="23" t="str">
        <f>HYPERLINK("https://www.spark-marketing.ru/Card/Person/54418", "АО ""ФПК""")</f>
        <v>АО "ФПК"</v>
      </c>
      <c r="B7073" s="24" t="s">
        <v>7297</v>
      </c>
      <c r="C7073" s="25">
        <v>55000</v>
      </c>
      <c r="D7073" s="28" t="s">
        <v>52</v>
      </c>
      <c r="E7073" s="22" t="s">
        <v>7298</v>
      </c>
      <c r="F7073" s="23" t="str">
        <f>HYPERLINK("https://www.spark-marketing.ru/Card/Lot/71008329", "№17724 Оказание услуг по подбору потенциальных покупателей и сопровождению сделки купли продажи объектов недвижимости АО ""ФПК"" для нужд Приволжского филиала АО ""ФПК""")</f>
        <v>№17724 Оказание услуг по подбору потенциальных покупателей и сопровождению сделки купли продажи объектов недвижимости АО "ФПК" для нужд Приволжского филиала АО "ФПК"</v>
      </c>
      <c r="G7073" s="22" t="s">
        <v>343</v>
      </c>
      <c r="H7073" s="22" t="s">
        <v>344</v>
      </c>
      <c r="I7073" s="26">
        <v>43616.663171296299</v>
      </c>
      <c r="J7073" s="28" t="s">
        <v>52</v>
      </c>
      <c r="K7073" s="28" t="s">
        <v>52</v>
      </c>
      <c r="L7073" s="28" t="s">
        <v>52</v>
      </c>
      <c r="M7073" s="28" t="s">
        <v>52</v>
      </c>
      <c r="N7073" s="28" t="s">
        <v>52</v>
      </c>
    </row>
    <row r="7074" spans="1:14" x14ac:dyDescent="0.2">
      <c r="A7074" s="23" t="str">
        <f>HYPERLINK("https://www.spark-marketing.ru/Card/Person/32273", "КГБУЗ ""КМКБ № 4""")</f>
        <v>КГБУЗ "КМКБ № 4"</v>
      </c>
      <c r="B7074" s="24" t="s">
        <v>5369</v>
      </c>
      <c r="C7074" s="25">
        <v>397992</v>
      </c>
      <c r="D7074" s="22" t="s">
        <v>9155</v>
      </c>
      <c r="E7074" s="22" t="s">
        <v>144</v>
      </c>
      <c r="F7074" s="23" t="str">
        <f>HYPERLINK("https://www.spark-marketing.ru/Card/Lot/70996202", "оказание охранных услуг")</f>
        <v>оказание охранных услуг</v>
      </c>
      <c r="G7074" s="22" t="s">
        <v>640</v>
      </c>
      <c r="H7074" s="22" t="s">
        <v>640</v>
      </c>
      <c r="I7074" s="26">
        <v>43616.653437499997</v>
      </c>
      <c r="J7074" s="23" t="str">
        <f>HYPERLINK("https://www.spark-marketing.ru/Card/Person/2582378", "ООО ЧОО ""ВОСТОК-БЕЗОПАСНОСТЬ""")</f>
        <v>ООО ЧОО "ВОСТОК-БЕЗОПАСНОСТЬ"</v>
      </c>
      <c r="K7074" s="24" t="s">
        <v>9156</v>
      </c>
      <c r="L7074" s="28" t="s">
        <v>52</v>
      </c>
      <c r="M7074" s="25">
        <v>397992</v>
      </c>
      <c r="N7074" s="27">
        <v>0</v>
      </c>
    </row>
    <row r="7075" spans="1:14" x14ac:dyDescent="0.15">
      <c r="A7075" s="23" t="str">
        <f>HYPERLINK("https://www.spark-marketing.ru/Card/Person/234919", "ГБПОУ СО ""УРАЛЬСКИЙ ТЕХНИКУМ ""РИФЕЙ""")</f>
        <v>ГБПОУ СО "УРАЛЬСКИЙ ТЕХНИКУМ "РИФЕЙ"</v>
      </c>
      <c r="B7075" s="24" t="s">
        <v>9157</v>
      </c>
      <c r="C7075" s="25">
        <v>1414279</v>
      </c>
      <c r="D7075" s="22" t="s">
        <v>9158</v>
      </c>
      <c r="E7075" s="22" t="s">
        <v>84</v>
      </c>
      <c r="F7075" s="23" t="str">
        <f>HYPERLINK("https://www.spark-marketing.ru/Card/Lot/71017226", "Установка системы видеонаблюдения")</f>
        <v>Установка системы видеонаблюдения</v>
      </c>
      <c r="G7075" s="22" t="s">
        <v>72</v>
      </c>
      <c r="H7075" s="22" t="s">
        <v>949</v>
      </c>
      <c r="I7075" s="26">
        <v>43616.646527777797</v>
      </c>
      <c r="J7075" s="28" t="s">
        <v>52</v>
      </c>
      <c r="K7075" s="28" t="s">
        <v>52</v>
      </c>
      <c r="L7075" s="28" t="s">
        <v>52</v>
      </c>
      <c r="M7075" s="28" t="s">
        <v>52</v>
      </c>
      <c r="N7075" s="28" t="s">
        <v>52</v>
      </c>
    </row>
    <row r="7076" spans="1:14" ht="12.75" hidden="1" outlineLevel="1" x14ac:dyDescent="0.2">
      <c r="A7076" s="23" t="str">
        <f>HYPERLINK("https://www.spark-marketing.ru/Card/Person/234919", "ГБПОУ СО ""УРАЛЬСКИЙ ТЕХНИКУМ ""РИФЕЙ""")</f>
        <v>ГБПОУ СО "УРАЛЬСКИЙ ТЕХНИКУМ "РИФЕЙ"</v>
      </c>
      <c r="B7076" s="24" t="s">
        <v>9157</v>
      </c>
      <c r="C7076" s="25">
        <v>1414279</v>
      </c>
      <c r="D7076" s="22" t="s">
        <v>9158</v>
      </c>
      <c r="E7076" s="22" t="s">
        <v>84</v>
      </c>
      <c r="F7076" s="23" t="str">
        <f>HYPERLINK("https://www.spark-marketing.ru/Card/Lot/71017226", "Установка системы видеонаблюдения")</f>
        <v>Установка системы видеонаблюдения</v>
      </c>
      <c r="G7076" s="22" t="s">
        <v>72</v>
      </c>
      <c r="H7076" s="22" t="s">
        <v>949</v>
      </c>
      <c r="I7076" s="26">
        <v>43616.646527777797</v>
      </c>
      <c r="J7076" s="23" t="str">
        <f>HYPERLINK("https://www.spark-marketing.ru/Card/Person/50495", "ООО ""МСП БИЗНЕС МИР""")</f>
        <v>ООО "МСП БИЗНЕС МИР"</v>
      </c>
      <c r="K7076" s="24" t="s">
        <v>6602</v>
      </c>
      <c r="L7076" s="22" t="s">
        <v>10</v>
      </c>
      <c r="M7076" s="25">
        <v>1202137</v>
      </c>
      <c r="N7076" s="27">
        <v>0.15000010606110958</v>
      </c>
    </row>
    <row r="7077" spans="1:14" hidden="1" outlineLevel="1" x14ac:dyDescent="0.2">
      <c r="A7077" s="23" t="str">
        <f>HYPERLINK("https://www.spark-marketing.ru/Card/Person/234919", "ГБПОУ СО ""УРАЛЬСКИЙ ТЕХНИКУМ ""РИФЕЙ""")</f>
        <v>ГБПОУ СО "УРАЛЬСКИЙ ТЕХНИКУМ "РИФЕЙ"</v>
      </c>
      <c r="B7077" s="24" t="s">
        <v>9157</v>
      </c>
      <c r="C7077" s="25">
        <v>1414279</v>
      </c>
      <c r="D7077" s="22" t="s">
        <v>9158</v>
      </c>
      <c r="E7077" s="22" t="s">
        <v>84</v>
      </c>
      <c r="F7077" s="23" t="str">
        <f>HYPERLINK("https://www.spark-marketing.ru/Card/Lot/71017226", "Установка системы видеонаблюдения")</f>
        <v>Установка системы видеонаблюдения</v>
      </c>
      <c r="G7077" s="22" t="s">
        <v>72</v>
      </c>
      <c r="H7077" s="22" t="s">
        <v>949</v>
      </c>
      <c r="I7077" s="26">
        <v>43616.646527777797</v>
      </c>
      <c r="J7077" s="23" t="str">
        <f>HYPERLINK("https://www.spark-marketing.ru/Card/Person/5853123", "Ершов Андрей Алексеевич")</f>
        <v>Ершов Андрей Алексеевич</v>
      </c>
      <c r="K7077" s="24" t="s">
        <v>1063</v>
      </c>
      <c r="L7077" s="28" t="s">
        <v>52</v>
      </c>
      <c r="M7077" s="25">
        <v>1209208.3999999999</v>
      </c>
      <c r="N7077" s="27">
        <v>0.14500010252573928</v>
      </c>
    </row>
    <row r="7078" spans="1:14" x14ac:dyDescent="0.15">
      <c r="A7078" s="23" t="str">
        <f>HYPERLINK("https://www.spark-marketing.ru/Card/Person/145392", "МКУ АГП СР ""АФИПСКАЯ ЕДИНАЯ СЛУЖБА""")</f>
        <v>МКУ АГП СР "АФИПСКАЯ ЕДИНАЯ СЛУЖБА"</v>
      </c>
      <c r="B7078" s="24" t="s">
        <v>9159</v>
      </c>
      <c r="C7078" s="25">
        <v>60973</v>
      </c>
      <c r="D7078" s="22" t="s">
        <v>9160</v>
      </c>
      <c r="E7078" s="22" t="s">
        <v>1297</v>
      </c>
      <c r="F7078" s="23" t="str">
        <f>HYPERLINK("https://www.spark-marketing.ru/Card/Lot/71011553", "Поставка и установка камеры видеонаблюдения в районе домовладения по адресу: Северский район, пгт. Афипский, ул. Промышленная, дом 2Б")</f>
        <v>Поставка и установка камеры видеонаблюдения в районе домовладения по адресу: Северский район, пгт. Афипский, ул. Промышленная, дом 2Б</v>
      </c>
      <c r="G7078" s="22" t="s">
        <v>132</v>
      </c>
      <c r="H7078" s="22" t="s">
        <v>132</v>
      </c>
      <c r="I7078" s="26">
        <v>43616.631249999999</v>
      </c>
      <c r="J7078" s="28" t="s">
        <v>52</v>
      </c>
      <c r="K7078" s="28" t="s">
        <v>52</v>
      </c>
      <c r="L7078" s="28" t="s">
        <v>52</v>
      </c>
      <c r="M7078" s="28" t="s">
        <v>52</v>
      </c>
      <c r="N7078" s="28" t="s">
        <v>52</v>
      </c>
    </row>
    <row r="7079" spans="1:14" ht="12.75" hidden="1" outlineLevel="1" x14ac:dyDescent="0.2">
      <c r="A7079" s="23" t="str">
        <f>HYPERLINK("https://www.spark-marketing.ru/Card/Person/145392", "МКУ АГП СР ""АФИПСКАЯ ЕДИНАЯ СЛУЖБА""")</f>
        <v>МКУ АГП СР "АФИПСКАЯ ЕДИНАЯ СЛУЖБА"</v>
      </c>
      <c r="B7079" s="24" t="s">
        <v>9159</v>
      </c>
      <c r="C7079" s="25">
        <v>60973</v>
      </c>
      <c r="D7079" s="22" t="s">
        <v>9160</v>
      </c>
      <c r="E7079" s="22" t="s">
        <v>1297</v>
      </c>
      <c r="F7079" s="23" t="str">
        <f>HYPERLINK("https://www.spark-marketing.ru/Card/Lot/71011553", "Поставка и установка камеры видеонаблюдения в районе домовладения по адресу: Северский район, пгт. Афипский, ул. Промышленная, дом 2Б")</f>
        <v>Поставка и установка камеры видеонаблюдения в районе домовладения по адресу: Северский район, пгт. Афипский, ул. Промышленная, дом 2Б</v>
      </c>
      <c r="G7079" s="22" t="s">
        <v>132</v>
      </c>
      <c r="H7079" s="22" t="s">
        <v>132</v>
      </c>
      <c r="I7079" s="26">
        <v>43616.631249999999</v>
      </c>
      <c r="J7079" s="23" t="str">
        <f>HYPERLINK("https://www.spark-marketing.ru/Card/Person/487856", "ООО ""МОНТАЖСПЕЦСЕРВИС""")</f>
        <v>ООО "МОНТАЖСПЕЦСЕРВИС"</v>
      </c>
      <c r="K7079" s="24" t="s">
        <v>9161</v>
      </c>
      <c r="L7079" s="22" t="s">
        <v>10</v>
      </c>
      <c r="M7079" s="25">
        <v>58838.91</v>
      </c>
      <c r="N7079" s="27">
        <v>3.500057402456825E-2</v>
      </c>
    </row>
    <row r="7080" spans="1:14" hidden="1" outlineLevel="1" x14ac:dyDescent="0.2">
      <c r="A7080" s="23" t="str">
        <f>HYPERLINK("https://www.spark-marketing.ru/Card/Person/145392", "МКУ АГП СР ""АФИПСКАЯ ЕДИНАЯ СЛУЖБА""")</f>
        <v>МКУ АГП СР "АФИПСКАЯ ЕДИНАЯ СЛУЖБА"</v>
      </c>
      <c r="B7080" s="24" t="s">
        <v>9159</v>
      </c>
      <c r="C7080" s="25">
        <v>60973</v>
      </c>
      <c r="D7080" s="22" t="s">
        <v>9160</v>
      </c>
      <c r="E7080" s="22" t="s">
        <v>1297</v>
      </c>
      <c r="F7080" s="23" t="str">
        <f>HYPERLINK("https://www.spark-marketing.ru/Card/Lot/71011553", "Поставка и установка камеры видеонаблюдения в районе домовладения по адресу: Северский район, пгт. Афипский, ул. Промышленная, дом 2Б")</f>
        <v>Поставка и установка камеры видеонаблюдения в районе домовладения по адресу: Северский район, пгт. Афипский, ул. Промышленная, дом 2Б</v>
      </c>
      <c r="G7080" s="22" t="s">
        <v>132</v>
      </c>
      <c r="H7080" s="22" t="s">
        <v>132</v>
      </c>
      <c r="I7080" s="26">
        <v>43616.631249999999</v>
      </c>
      <c r="J7080" s="23" t="str">
        <f>HYPERLINK("https://www.spark-marketing.ru/Card/Person/6275529", "Малышев Александр Михайлович")</f>
        <v>Малышев Александр Михайлович</v>
      </c>
      <c r="K7080" s="24" t="s">
        <v>9162</v>
      </c>
      <c r="L7080" s="28" t="s">
        <v>52</v>
      </c>
      <c r="M7080" s="25">
        <v>59143.78</v>
      </c>
      <c r="N7080" s="27">
        <v>3.0000492021058502E-2</v>
      </c>
    </row>
    <row r="7081" spans="1:14" x14ac:dyDescent="0.15">
      <c r="A7081" s="23" t="str">
        <f>HYPERLINK("https://www.spark-marketing.ru/Card/Person/127329", "ГБУЗ ""ПТД № 4""")</f>
        <v>ГБУЗ "ПТД № 4"</v>
      </c>
      <c r="B7081" s="24" t="s">
        <v>9163</v>
      </c>
      <c r="C7081" s="25">
        <v>134974.07999999999</v>
      </c>
      <c r="D7081" s="22" t="s">
        <v>9164</v>
      </c>
      <c r="E7081" s="22" t="s">
        <v>68</v>
      </c>
      <c r="F7081" s="23" t="str">
        <f>HYPERLINK("https://www.spark-marketing.ru/Card/Lot/71013054", "Оказание охранных услуг")</f>
        <v>Оказание охранных услуг</v>
      </c>
      <c r="G7081" s="22" t="s">
        <v>132</v>
      </c>
      <c r="H7081" s="22" t="s">
        <v>132</v>
      </c>
      <c r="I7081" s="26">
        <v>43616.615277777797</v>
      </c>
      <c r="J7081" s="28" t="s">
        <v>52</v>
      </c>
      <c r="K7081" s="28" t="s">
        <v>52</v>
      </c>
      <c r="L7081" s="28" t="s">
        <v>52</v>
      </c>
      <c r="M7081" s="28" t="s">
        <v>52</v>
      </c>
      <c r="N7081" s="28" t="s">
        <v>52</v>
      </c>
    </row>
    <row r="7082" spans="1:14" ht="12.75" hidden="1" outlineLevel="1" x14ac:dyDescent="0.2">
      <c r="A7082" s="23" t="str">
        <f>HYPERLINK("https://www.spark-marketing.ru/Card/Person/127329", "ГБУЗ ""ПТД № 4""")</f>
        <v>ГБУЗ "ПТД № 4"</v>
      </c>
      <c r="B7082" s="24" t="s">
        <v>9163</v>
      </c>
      <c r="C7082" s="25">
        <v>134974.07999999999</v>
      </c>
      <c r="D7082" s="22" t="s">
        <v>9164</v>
      </c>
      <c r="E7082" s="22" t="s">
        <v>68</v>
      </c>
      <c r="F7082" s="23" t="str">
        <f>HYPERLINK("https://www.spark-marketing.ru/Card/Lot/71013054", "Оказание охранных услуг")</f>
        <v>Оказание охранных услуг</v>
      </c>
      <c r="G7082" s="22" t="s">
        <v>132</v>
      </c>
      <c r="H7082" s="22" t="s">
        <v>132</v>
      </c>
      <c r="I7082" s="26">
        <v>43616.615277777797</v>
      </c>
      <c r="J7082" s="23" t="str">
        <f>HYPERLINK("https://www.spark-marketing.ru/Card/Person/461410", "ООО ""ОСА ""СКОРПИОН""")</f>
        <v>ООО "ОСА "СКОРПИОН"</v>
      </c>
      <c r="K7082" s="24" t="s">
        <v>6843</v>
      </c>
      <c r="L7082" s="22" t="s">
        <v>10</v>
      </c>
      <c r="M7082" s="25">
        <v>114727.98</v>
      </c>
      <c r="N7082" s="27">
        <v>0.14999991109404118</v>
      </c>
    </row>
    <row r="7083" spans="1:14" hidden="1" outlineLevel="1" x14ac:dyDescent="0.2">
      <c r="A7083" s="23" t="str">
        <f>HYPERLINK("https://www.spark-marketing.ru/Card/Person/127329", "ГБУЗ ""ПТД № 4""")</f>
        <v>ГБУЗ "ПТД № 4"</v>
      </c>
      <c r="B7083" s="24" t="s">
        <v>9163</v>
      </c>
      <c r="C7083" s="25">
        <v>134974.07999999999</v>
      </c>
      <c r="D7083" s="22" t="s">
        <v>9164</v>
      </c>
      <c r="E7083" s="22" t="s">
        <v>68</v>
      </c>
      <c r="F7083" s="23" t="str">
        <f>HYPERLINK("https://www.spark-marketing.ru/Card/Lot/71013054", "Оказание охранных услуг")</f>
        <v>Оказание охранных услуг</v>
      </c>
      <c r="G7083" s="22" t="s">
        <v>132</v>
      </c>
      <c r="H7083" s="22" t="s">
        <v>132</v>
      </c>
      <c r="I7083" s="26">
        <v>43616.615277777797</v>
      </c>
      <c r="J7083" s="23" t="str">
        <f>HYPERLINK("https://www.spark-marketing.ru/Card/Person/245476", "ООО ЧОО ""МЕРКУРИЙ""")</f>
        <v>ООО ЧОО "МЕРКУРИЙ"</v>
      </c>
      <c r="K7083" s="24" t="s">
        <v>9165</v>
      </c>
      <c r="L7083" s="28" t="s">
        <v>52</v>
      </c>
      <c r="M7083" s="25">
        <v>115402.85</v>
      </c>
      <c r="N7083" s="27">
        <v>0.14499991405757312</v>
      </c>
    </row>
    <row r="7084" spans="1:14" x14ac:dyDescent="0.15">
      <c r="A7084" s="23" t="str">
        <f>HYPERLINK("https://www.spark-marketing.ru/Card/Person/1761832", "ОАО ""РЫНОЧНЫЙ КОМПЛЕКС ""ЦАРИЦЫНСКИЙ""")</f>
        <v>ОАО "РЫНОЧНЫЙ КОМПЛЕКС "ЦАРИЦЫНСКИЙ"</v>
      </c>
      <c r="B7084" s="24" t="s">
        <v>613</v>
      </c>
      <c r="C7084" s="25">
        <v>293832</v>
      </c>
      <c r="D7084" s="22" t="s">
        <v>9166</v>
      </c>
      <c r="E7084" s="22" t="s">
        <v>615</v>
      </c>
      <c r="F7084" s="23" t="str">
        <f>HYPERLINK("https://www.spark-marketing.ru/Card/Lot/71003940", "оказание услуг по охране объекта")</f>
        <v>оказание услуг по охране объекта</v>
      </c>
      <c r="G7084" s="22" t="s">
        <v>55</v>
      </c>
      <c r="H7084" s="22" t="s">
        <v>55</v>
      </c>
      <c r="I7084" s="26">
        <v>43616.597476851799</v>
      </c>
      <c r="J7084" s="28" t="s">
        <v>52</v>
      </c>
      <c r="K7084" s="28" t="s">
        <v>52</v>
      </c>
      <c r="L7084" s="28" t="s">
        <v>52</v>
      </c>
      <c r="M7084" s="28" t="s">
        <v>52</v>
      </c>
      <c r="N7084" s="28" t="s">
        <v>52</v>
      </c>
    </row>
    <row r="7085" spans="1:14" x14ac:dyDescent="0.15">
      <c r="A7085" s="23" t="str">
        <f>HYPERLINK("https://www.spark-marketing.ru/Card/Person/35198", "ФКУ ""ДЕЗ СКИТР""")</f>
        <v>ФКУ "ДЕЗ СКИТР"</v>
      </c>
      <c r="B7085" s="24" t="s">
        <v>2310</v>
      </c>
      <c r="C7085" s="25">
        <v>99999</v>
      </c>
      <c r="D7085" s="22" t="s">
        <v>9167</v>
      </c>
      <c r="E7085" s="22" t="s">
        <v>53</v>
      </c>
      <c r="F7085" s="23" t="str">
        <f>HYPERLINK("https://www.spark-marketing.ru/Card/Lot/71004652", "оказание охранных услуг")</f>
        <v>оказание охранных услуг</v>
      </c>
      <c r="G7085" s="22" t="s">
        <v>55</v>
      </c>
      <c r="H7085" s="22" t="s">
        <v>55</v>
      </c>
      <c r="I7085" s="26">
        <v>43616.595208333303</v>
      </c>
      <c r="J7085" s="28" t="s">
        <v>52</v>
      </c>
      <c r="K7085" s="28" t="s">
        <v>52</v>
      </c>
      <c r="L7085" s="28" t="s">
        <v>52</v>
      </c>
      <c r="M7085" s="28" t="s">
        <v>52</v>
      </c>
      <c r="N7085" s="28" t="s">
        <v>52</v>
      </c>
    </row>
    <row r="7086" spans="1:14" x14ac:dyDescent="0.15">
      <c r="A7086" s="23" t="str">
        <f>HYPERLINK("https://www.spark-marketing.ru/Card/Person/22300", "ГБУЗ ОКПНД")</f>
        <v>ГБУЗ ОКПНД</v>
      </c>
      <c r="B7086" s="24" t="s">
        <v>2502</v>
      </c>
      <c r="C7086" s="25">
        <v>3222450</v>
      </c>
      <c r="D7086" s="22" t="s">
        <v>9168</v>
      </c>
      <c r="E7086" s="22" t="s">
        <v>79</v>
      </c>
      <c r="F7086" s="23" t="str">
        <f>HYPERLINK("https://www.spark-marketing.ru/Card/Lot/71018147", "Выполнение работ по установке системы видеонаблюдения")</f>
        <v>Выполнение работ по установке системы видеонаблюдения</v>
      </c>
      <c r="G7086" s="22" t="s">
        <v>251</v>
      </c>
      <c r="H7086" s="22" t="s">
        <v>252</v>
      </c>
      <c r="I7086" s="26">
        <v>43616.590972222199</v>
      </c>
      <c r="J7086" s="28" t="s">
        <v>52</v>
      </c>
      <c r="K7086" s="28" t="s">
        <v>52</v>
      </c>
      <c r="L7086" s="28" t="s">
        <v>52</v>
      </c>
      <c r="M7086" s="28" t="s">
        <v>52</v>
      </c>
      <c r="N7086" s="28" t="s">
        <v>52</v>
      </c>
    </row>
    <row r="7087" spans="1:14" x14ac:dyDescent="0.15">
      <c r="A7087" s="23" t="str">
        <f>HYPERLINK("https://www.spark-marketing.ru/Card/Person/379802", "ПАО ""ОГК-2""")</f>
        <v>ПАО "ОГК-2"</v>
      </c>
      <c r="B7087" s="24" t="s">
        <v>9169</v>
      </c>
      <c r="C7087" s="25">
        <v>155000000</v>
      </c>
      <c r="D7087" s="22" t="s">
        <v>9170</v>
      </c>
      <c r="E7087" s="22" t="s">
        <v>49</v>
      </c>
      <c r="F7087" s="23" t="str">
        <f>HYPERLINK("https://www.spark-marketing.ru/Card/Lot/71028591", "Дооснащение инженерно-технических средств охраны объектов филиала")</f>
        <v>Дооснащение инженерно-технических средств охраны объектов филиала</v>
      </c>
      <c r="G7087" s="22" t="s">
        <v>902</v>
      </c>
      <c r="H7087" s="22" t="s">
        <v>902</v>
      </c>
      <c r="I7087" s="26">
        <v>43616.616655092599</v>
      </c>
      <c r="J7087" s="28" t="s">
        <v>52</v>
      </c>
      <c r="K7087" s="28" t="s">
        <v>52</v>
      </c>
      <c r="L7087" s="28" t="s">
        <v>52</v>
      </c>
      <c r="M7087" s="28" t="s">
        <v>52</v>
      </c>
      <c r="N7087" s="28" t="s">
        <v>52</v>
      </c>
    </row>
    <row r="7088" spans="1:14" x14ac:dyDescent="0.15">
      <c r="A7088" s="23" t="str">
        <f>HYPERLINK("https://www.spark-marketing.ru/Card/Person/9152", "ФКУ ""ЦХИСО ГУ МВД РОССИИ ПО Г. САНКТ-ПЕТЕРБУРГУ И ЛЕНИНГРАДСКОЙ ОБЛАСТИ""")</f>
        <v>ФКУ "ЦХИСО ГУ МВД РОССИИ ПО Г. САНКТ-ПЕТЕРБУРГУ И ЛЕНИНГРАДСКОЙ ОБЛАСТИ"</v>
      </c>
      <c r="B7088" s="24" t="s">
        <v>4342</v>
      </c>
      <c r="C7088" s="25">
        <v>84000</v>
      </c>
      <c r="D7088" s="22" t="s">
        <v>9171</v>
      </c>
      <c r="E7088" s="22" t="s">
        <v>53</v>
      </c>
      <c r="F7088" s="23" t="str">
        <f>HYPERLINK("https://www.spark-marketing.ru/Card/Lot/71004730", "Оказание услуг по организации питания сотрудников органов внутренних дел, направленных в служебную командировку для обеспечения общественного порядка и общественной безопасности в период подготовки и проведения Петербургского международного экономиче...")</f>
        <v>Оказание услуг по организации питания сотрудников органов внутренних дел, направленных в служебную командировку для обеспечения общественного порядка и общественной безопасности в период подготовки и проведения Петербургского международного экономиче...</v>
      </c>
      <c r="G7088" s="22" t="s">
        <v>89</v>
      </c>
      <c r="H7088" s="22" t="s">
        <v>89</v>
      </c>
      <c r="I7088" s="26">
        <v>43616.617465277799</v>
      </c>
      <c r="J7088" s="28" t="s">
        <v>52</v>
      </c>
      <c r="K7088" s="28" t="s">
        <v>52</v>
      </c>
      <c r="L7088" s="28" t="s">
        <v>52</v>
      </c>
      <c r="M7088" s="28" t="s">
        <v>52</v>
      </c>
      <c r="N7088" s="28" t="s">
        <v>52</v>
      </c>
    </row>
    <row r="7089" spans="1:14" x14ac:dyDescent="0.15">
      <c r="A7089" s="23" t="str">
        <f>HYPERLINK("https://www.spark-marketing.ru/Card/Person/9611", "ОГБУЗ ""КОСТРОМСКОЙ ПРОТИВОТУБЕРКУЛЕЗНЫЙ ДИСПАНСЕР""")</f>
        <v>ОГБУЗ "КОСТРОМСКОЙ ПРОТИВОТУБЕРКУЛЕЗНЫЙ ДИСПАНСЕР"</v>
      </c>
      <c r="B7089" s="24" t="s">
        <v>9172</v>
      </c>
      <c r="C7089" s="25">
        <v>18500</v>
      </c>
      <c r="D7089" s="22" t="s">
        <v>9173</v>
      </c>
      <c r="E7089" s="22" t="s">
        <v>103</v>
      </c>
      <c r="F7089" s="23" t="str">
        <f>HYPERLINK("https://www.spark-marketing.ru/Card/Lot/71003238", "Техническое обслуживание видеобронхоскопа Karl Storz")</f>
        <v>Техническое обслуживание видеобронхоскопа Karl Storz</v>
      </c>
      <c r="G7089" s="22" t="s">
        <v>1104</v>
      </c>
      <c r="H7089" s="22" t="s">
        <v>1105</v>
      </c>
      <c r="I7089" s="26">
        <v>43616.617361111101</v>
      </c>
      <c r="J7089" s="28" t="s">
        <v>52</v>
      </c>
      <c r="K7089" s="28" t="s">
        <v>52</v>
      </c>
      <c r="L7089" s="28" t="s">
        <v>52</v>
      </c>
      <c r="M7089" s="28" t="s">
        <v>52</v>
      </c>
      <c r="N7089" s="28" t="s">
        <v>52</v>
      </c>
    </row>
    <row r="7090" spans="1:14" x14ac:dyDescent="0.15">
      <c r="A7090" s="23" t="str">
        <f>HYPERLINK("https://www.spark-marketing.ru/Card/Person/35198", "ФКУ ""ДЕЗ СКИТР""")</f>
        <v>ФКУ "ДЕЗ СКИТР"</v>
      </c>
      <c r="B7090" s="24" t="s">
        <v>2310</v>
      </c>
      <c r="C7090" s="25">
        <v>99999</v>
      </c>
      <c r="D7090" s="22" t="s">
        <v>9174</v>
      </c>
      <c r="E7090" s="22" t="s">
        <v>53</v>
      </c>
      <c r="F7090" s="23" t="str">
        <f>HYPERLINK("https://www.spark-marketing.ru/Card/Lot/71004654", "оказание охранных услуг")</f>
        <v>оказание охранных услуг</v>
      </c>
      <c r="G7090" s="22" t="s">
        <v>55</v>
      </c>
      <c r="H7090" s="22" t="s">
        <v>55</v>
      </c>
      <c r="I7090" s="26">
        <v>43616.596099536997</v>
      </c>
      <c r="J7090" s="28" t="s">
        <v>52</v>
      </c>
      <c r="K7090" s="28" t="s">
        <v>52</v>
      </c>
      <c r="L7090" s="28" t="s">
        <v>52</v>
      </c>
      <c r="M7090" s="28" t="s">
        <v>52</v>
      </c>
      <c r="N7090" s="28" t="s">
        <v>52</v>
      </c>
    </row>
    <row r="7091" spans="1:14" x14ac:dyDescent="0.15">
      <c r="A7091" s="23" t="str">
        <f>HYPERLINK("https://www.spark-marketing.ru/Card/Person/125767", "ГБУЗ АО ""ДГП № 5""")</f>
        <v>ГБУЗ АО "ДГП № 5"</v>
      </c>
      <c r="B7091" s="24" t="s">
        <v>9175</v>
      </c>
      <c r="C7091" s="25">
        <v>413646.72</v>
      </c>
      <c r="D7091" s="22" t="s">
        <v>9176</v>
      </c>
      <c r="E7091" s="22" t="s">
        <v>52</v>
      </c>
      <c r="F7091" s="23" t="str">
        <f>HYPERLINK("https://www.spark-marketing.ru/Card/Lot/71015861", "Оказание охранных услуг")</f>
        <v>Оказание охранных услуг</v>
      </c>
      <c r="G7091" s="22" t="s">
        <v>565</v>
      </c>
      <c r="H7091" s="22" t="s">
        <v>566</v>
      </c>
      <c r="I7091" s="26">
        <v>43616.597222222197</v>
      </c>
      <c r="J7091" s="28" t="s">
        <v>52</v>
      </c>
      <c r="K7091" s="28" t="s">
        <v>52</v>
      </c>
      <c r="L7091" s="28" t="s">
        <v>52</v>
      </c>
      <c r="M7091" s="28" t="s">
        <v>52</v>
      </c>
      <c r="N7091" s="28" t="s">
        <v>52</v>
      </c>
    </row>
    <row r="7092" spans="1:14" ht="12.75" hidden="1" outlineLevel="1" x14ac:dyDescent="0.2">
      <c r="A7092" s="23" t="str">
        <f>HYPERLINK("https://www.spark-marketing.ru/Card/Person/125767", "ГБУЗ АО ""ДГП № 5""")</f>
        <v>ГБУЗ АО "ДГП № 5"</v>
      </c>
      <c r="B7092" s="24" t="s">
        <v>9175</v>
      </c>
      <c r="C7092" s="25">
        <v>413646.72</v>
      </c>
      <c r="D7092" s="22" t="s">
        <v>9176</v>
      </c>
      <c r="E7092" s="22" t="s">
        <v>52</v>
      </c>
      <c r="F7092" s="23" t="str">
        <f>HYPERLINK("https://www.spark-marketing.ru/Card/Lot/71015861", "Оказание охранных услуг")</f>
        <v>Оказание охранных услуг</v>
      </c>
      <c r="G7092" s="22" t="s">
        <v>565</v>
      </c>
      <c r="H7092" s="22" t="s">
        <v>566</v>
      </c>
      <c r="I7092" s="26">
        <v>43616.597222222197</v>
      </c>
      <c r="J7092" s="23" t="str">
        <f>HYPERLINK("https://www.spark-marketing.ru/Card/Person/345025", "ООО ЧОО ""РУСИЧИ""")</f>
        <v>ООО ЧОО "РУСИЧИ"</v>
      </c>
      <c r="K7092" s="24" t="s">
        <v>9177</v>
      </c>
      <c r="L7092" s="22" t="s">
        <v>10</v>
      </c>
      <c r="M7092" s="25">
        <v>229574.17</v>
      </c>
      <c r="N7092" s="27">
        <v>0.44499941882773786</v>
      </c>
    </row>
    <row r="7093" spans="1:14" hidden="1" outlineLevel="1" x14ac:dyDescent="0.2">
      <c r="A7093" s="23" t="str">
        <f>HYPERLINK("https://www.spark-marketing.ru/Card/Person/125767", "ГБУЗ АО ""ДГП № 5""")</f>
        <v>ГБУЗ АО "ДГП № 5"</v>
      </c>
      <c r="B7093" s="24" t="s">
        <v>9175</v>
      </c>
      <c r="C7093" s="25">
        <v>413646.72</v>
      </c>
      <c r="D7093" s="22" t="s">
        <v>9176</v>
      </c>
      <c r="E7093" s="22" t="s">
        <v>52</v>
      </c>
      <c r="F7093" s="23" t="str">
        <f>HYPERLINK("https://www.spark-marketing.ru/Card/Lot/71015861", "Оказание охранных услуг")</f>
        <v>Оказание охранных услуг</v>
      </c>
      <c r="G7093" s="22" t="s">
        <v>565</v>
      </c>
      <c r="H7093" s="22" t="s">
        <v>566</v>
      </c>
      <c r="I7093" s="26">
        <v>43616.597222222197</v>
      </c>
      <c r="J7093" s="23" t="str">
        <f>HYPERLINK("https://www.spark-marketing.ru/Card/Person/2573816", "ООО ЧОО ""ЛИОН""")</f>
        <v>ООО ЧОО "ЛИОН"</v>
      </c>
      <c r="K7093" s="24" t="s">
        <v>6583</v>
      </c>
      <c r="L7093" s="28" t="s">
        <v>52</v>
      </c>
      <c r="M7093" s="25">
        <v>277143.46000000002</v>
      </c>
      <c r="N7093" s="27">
        <v>0.32999961899855024</v>
      </c>
    </row>
    <row r="7094" spans="1:14" hidden="1" outlineLevel="1" x14ac:dyDescent="0.2">
      <c r="A7094" s="23" t="str">
        <f>HYPERLINK("https://www.spark-marketing.ru/Card/Person/125767", "ГБУЗ АО ""ДГП № 5""")</f>
        <v>ГБУЗ АО "ДГП № 5"</v>
      </c>
      <c r="B7094" s="24" t="s">
        <v>9175</v>
      </c>
      <c r="C7094" s="25">
        <v>413646.72</v>
      </c>
      <c r="D7094" s="22" t="s">
        <v>9176</v>
      </c>
      <c r="E7094" s="22" t="s">
        <v>52</v>
      </c>
      <c r="F7094" s="23" t="str">
        <f>HYPERLINK("https://www.spark-marketing.ru/Card/Lot/71015861", "Оказание охранных услуг")</f>
        <v>Оказание охранных услуг</v>
      </c>
      <c r="G7094" s="22" t="s">
        <v>565</v>
      </c>
      <c r="H7094" s="22" t="s">
        <v>566</v>
      </c>
      <c r="I7094" s="26">
        <v>43616.597222222197</v>
      </c>
      <c r="J7094" s="23" t="str">
        <f>HYPERLINK("https://www.spark-marketing.ru/Card/Person/1604856", "ООО ЧОО ""ВОСТОК""")</f>
        <v>ООО ЧОО "ВОСТОК"</v>
      </c>
      <c r="K7094" s="24" t="s">
        <v>9178</v>
      </c>
      <c r="L7094" s="28" t="s">
        <v>52</v>
      </c>
      <c r="M7094" s="25">
        <v>202687.18</v>
      </c>
      <c r="N7094" s="27">
        <v>0.50999930568771346</v>
      </c>
    </row>
    <row r="7095" spans="1:14" hidden="1" outlineLevel="1" x14ac:dyDescent="0.2">
      <c r="A7095" s="23" t="str">
        <f>HYPERLINK("https://www.spark-marketing.ru/Card/Person/125767", "ГБУЗ АО ""ДГП № 5""")</f>
        <v>ГБУЗ АО "ДГП № 5"</v>
      </c>
      <c r="B7095" s="24" t="s">
        <v>9175</v>
      </c>
      <c r="C7095" s="25">
        <v>413646.72</v>
      </c>
      <c r="D7095" s="22" t="s">
        <v>9176</v>
      </c>
      <c r="E7095" s="22" t="s">
        <v>52</v>
      </c>
      <c r="F7095" s="23" t="str">
        <f>HYPERLINK("https://www.spark-marketing.ru/Card/Lot/71015861", "Оказание охранных услуг")</f>
        <v>Оказание охранных услуг</v>
      </c>
      <c r="G7095" s="22" t="s">
        <v>565</v>
      </c>
      <c r="H7095" s="22" t="s">
        <v>566</v>
      </c>
      <c r="I7095" s="26">
        <v>43616.597222222197</v>
      </c>
      <c r="J7095" s="23" t="str">
        <f>HYPERLINK("https://www.spark-marketing.ru/Card/Person/6216544", "ООО ОА ""АМЕГА""")</f>
        <v>ООО ОА "АМЕГА"</v>
      </c>
      <c r="K7095" s="24" t="s">
        <v>9179</v>
      </c>
      <c r="L7095" s="28" t="s">
        <v>52</v>
      </c>
      <c r="M7095" s="25">
        <v>200618.95</v>
      </c>
      <c r="N7095" s="27">
        <v>0.51499929698463465</v>
      </c>
    </row>
    <row r="7096" spans="1:14" x14ac:dyDescent="0.15">
      <c r="A7096" s="23" t="str">
        <f>HYPERLINK("https://www.spark-marketing.ru/Card/Person/66033", "НОВОСИБИРСКИЙ ОБЛАСТНОЙ СУД")</f>
        <v>НОВОСИБИРСКИЙ ОБЛАСТНОЙ СУД</v>
      </c>
      <c r="B7096" s="24" t="s">
        <v>9180</v>
      </c>
      <c r="C7096" s="25">
        <v>2330546.7400000002</v>
      </c>
      <c r="D7096" s="22" t="s">
        <v>9181</v>
      </c>
      <c r="E7096" s="22" t="s">
        <v>68</v>
      </c>
      <c r="F7096" s="23" t="str">
        <f>HYPERLINK("https://www.spark-marketing.ru/Card/Lot/71008038", "Охрана и обеспечение пропускного и внутри объектового режимов в здании Новосибирского областного суда и по физической охране незавершенного строительством здания")</f>
        <v>Охрана и обеспечение пропускного и внутри объектового режимов в здании Новосибирского областного суда и по физической охране незавершенного строительством здания</v>
      </c>
      <c r="G7096" s="22" t="s">
        <v>209</v>
      </c>
      <c r="H7096" s="22" t="s">
        <v>210</v>
      </c>
      <c r="I7096" s="26">
        <v>43616.599305555603</v>
      </c>
      <c r="J7096" s="23" t="str">
        <f>HYPERLINK("https://www.spark-marketing.ru/Card/Person/1884681", "ФИЛИАЛ ФГУП ""ОХРАНА"" РОСГВАРДИИ ПО НОВОСИБИРСКОЙ ОБЛАСТИ")</f>
        <v>ФИЛИАЛ ФГУП "ОХРАНА" РОСГВАРДИИ ПО НОВОСИБИРСКОЙ ОБЛАСТИ</v>
      </c>
      <c r="K7096" s="24" t="s">
        <v>779</v>
      </c>
      <c r="L7096" s="22" t="s">
        <v>10</v>
      </c>
      <c r="M7096" s="28" t="s">
        <v>52</v>
      </c>
      <c r="N7096" s="28" t="s">
        <v>52</v>
      </c>
    </row>
    <row r="7097" spans="1:14" x14ac:dyDescent="0.15">
      <c r="A7097" s="23" t="str">
        <f>HYPERLINK("https://www.spark-marketing.ru/Card/Person/57280", "ФГБОУ ВО ВГМУ ИМ. Н. Н. БУРДЕНКО МИНЗДРАВА РОССИИ")</f>
        <v>ФГБОУ ВО ВГМУ ИМ. Н. Н. БУРДЕНКО МИНЗДРАВА РОССИИ</v>
      </c>
      <c r="B7097" s="24" t="s">
        <v>9182</v>
      </c>
      <c r="C7097" s="25">
        <v>203000</v>
      </c>
      <c r="D7097" s="22" t="s">
        <v>9183</v>
      </c>
      <c r="E7097" s="22" t="s">
        <v>2777</v>
      </c>
      <c r="F7097" s="23" t="str">
        <f>HYPERLINK("https://www.spark-marketing.ru/Card/Lot/71028675", "Техническое обслуживание систем видеонаблюдения на объектах Заказчика")</f>
        <v>Техническое обслуживание систем видеонаблюдения на объектах Заказчика</v>
      </c>
      <c r="G7097" s="22" t="s">
        <v>552</v>
      </c>
      <c r="H7097" s="22" t="s">
        <v>552</v>
      </c>
      <c r="I7097" s="26">
        <v>43616.5577430556</v>
      </c>
      <c r="J7097" s="28" t="s">
        <v>52</v>
      </c>
      <c r="K7097" s="28" t="s">
        <v>52</v>
      </c>
      <c r="L7097" s="28" t="s">
        <v>52</v>
      </c>
      <c r="M7097" s="28" t="s">
        <v>52</v>
      </c>
      <c r="N7097" s="28" t="s">
        <v>52</v>
      </c>
    </row>
    <row r="7098" spans="1:14" x14ac:dyDescent="0.15">
      <c r="A7098" s="23" t="str">
        <f>HYPERLINK("https://www.spark-marketing.ru/Card/Person/21248", "ГКУЗ ЛО ""ОБЛАСТНАЯ ТУБЕРКУЛЕЗНАЯ БОЛЬНИЦА В Г. ТИХВИНЕ""")</f>
        <v>ГКУЗ ЛО "ОБЛАСТНАЯ ТУБЕРКУЛЕЗНАЯ БОЛЬНИЦА В Г. ТИХВИНЕ"</v>
      </c>
      <c r="B7098" s="24" t="s">
        <v>9184</v>
      </c>
      <c r="C7098" s="25">
        <v>507840</v>
      </c>
      <c r="D7098" s="22" t="s">
        <v>9185</v>
      </c>
      <c r="E7098" s="22" t="s">
        <v>68</v>
      </c>
      <c r="F7098" s="23" t="str">
        <f>HYPERLINK("https://www.spark-marketing.ru/Card/Lot/71016407", "Оказание услуг по физической охране объекта ГКУЗ ЛО ""Областная туберкулезная больница в г. Тихвине"" в 2019г.")</f>
        <v>Оказание услуг по физической охране объекта ГКУЗ ЛО "Областная туберкулезная больница в г. Тихвине" в 2019г.</v>
      </c>
      <c r="G7098" s="22" t="s">
        <v>861</v>
      </c>
      <c r="H7098" s="22" t="s">
        <v>9186</v>
      </c>
      <c r="I7098" s="26">
        <v>43616.545138888898</v>
      </c>
      <c r="J7098" s="28" t="s">
        <v>52</v>
      </c>
      <c r="K7098" s="28" t="s">
        <v>52</v>
      </c>
      <c r="L7098" s="28" t="s">
        <v>52</v>
      </c>
      <c r="M7098" s="28" t="s">
        <v>52</v>
      </c>
      <c r="N7098" s="28" t="s">
        <v>52</v>
      </c>
    </row>
    <row r="7099" spans="1:14" ht="12.75" hidden="1" outlineLevel="1" x14ac:dyDescent="0.2">
      <c r="A7099" s="23" t="str">
        <f>HYPERLINK("https://www.spark-marketing.ru/Card/Person/21248", "ГКУЗ ЛО ""ОБЛАСТНАЯ ТУБЕРКУЛЕЗНАЯ БОЛЬНИЦА В Г. ТИХВИНЕ""")</f>
        <v>ГКУЗ ЛО "ОБЛАСТНАЯ ТУБЕРКУЛЕЗНАЯ БОЛЬНИЦА В Г. ТИХВИНЕ"</v>
      </c>
      <c r="B7099" s="24" t="s">
        <v>9184</v>
      </c>
      <c r="C7099" s="25">
        <v>507840</v>
      </c>
      <c r="D7099" s="22" t="s">
        <v>9185</v>
      </c>
      <c r="E7099" s="22" t="s">
        <v>68</v>
      </c>
      <c r="F7099" s="23" t="str">
        <f>HYPERLINK("https://www.spark-marketing.ru/Card/Lot/71016407", "Оказание услуг по физической охране объекта ГКУЗ ЛО ""Областная туберкулезная больница в г. Тихвине"" в 2019г.")</f>
        <v>Оказание услуг по физической охране объекта ГКУЗ ЛО "Областная туберкулезная больница в г. Тихвине" в 2019г.</v>
      </c>
      <c r="G7099" s="22" t="s">
        <v>861</v>
      </c>
      <c r="H7099" s="22" t="s">
        <v>9186</v>
      </c>
      <c r="I7099" s="26">
        <v>43616.545138888898</v>
      </c>
      <c r="J7099" s="23" t="str">
        <f>HYPERLINK("https://www.spark-marketing.ru/Card/Person/6450232", "ООО ОО ""ТАГГЕР-Т""")</f>
        <v>ООО ОО "ТАГГЕР-Т"</v>
      </c>
      <c r="K7099" s="24" t="s">
        <v>9187</v>
      </c>
      <c r="L7099" s="22" t="s">
        <v>10</v>
      </c>
      <c r="M7099" s="25">
        <v>448966.40000000002</v>
      </c>
      <c r="N7099" s="27">
        <v>0.11592942659105231</v>
      </c>
    </row>
    <row r="7100" spans="1:14" hidden="1" outlineLevel="1" x14ac:dyDescent="0.2">
      <c r="A7100" s="23" t="str">
        <f>HYPERLINK("https://www.spark-marketing.ru/Card/Person/21248", "ГКУЗ ЛО ""ОБЛАСТНАЯ ТУБЕРКУЛЕЗНАЯ БОЛЬНИЦА В Г. ТИХВИНЕ""")</f>
        <v>ГКУЗ ЛО "ОБЛАСТНАЯ ТУБЕРКУЛЕЗНАЯ БОЛЬНИЦА В Г. ТИХВИНЕ"</v>
      </c>
      <c r="B7100" s="24" t="s">
        <v>9184</v>
      </c>
      <c r="C7100" s="25">
        <v>507840</v>
      </c>
      <c r="D7100" s="22" t="s">
        <v>9185</v>
      </c>
      <c r="E7100" s="22" t="s">
        <v>68</v>
      </c>
      <c r="F7100" s="23" t="str">
        <f>HYPERLINK("https://www.spark-marketing.ru/Card/Lot/71016407", "Оказание услуг по физической охране объекта ГКУЗ ЛО ""Областная туберкулезная больница в г. Тихвине"" в 2019г.")</f>
        <v>Оказание услуг по физической охране объекта ГКУЗ ЛО "Областная туберкулезная больница в г. Тихвине" в 2019г.</v>
      </c>
      <c r="G7100" s="22" t="s">
        <v>861</v>
      </c>
      <c r="H7100" s="22" t="s">
        <v>9186</v>
      </c>
      <c r="I7100" s="26">
        <v>43616.545138888898</v>
      </c>
      <c r="J7100" s="23" t="str">
        <f>HYPERLINK("https://www.spark-marketing.ru/Card/Person/6440837", "ООО ""ОО""ТИХВИН + СЕКЬЮРИТИ""")</f>
        <v>ООО "ОО"ТИХВИН + СЕКЬЮРИТИ"</v>
      </c>
      <c r="K7100" s="24" t="s">
        <v>9188</v>
      </c>
      <c r="L7100" s="28" t="s">
        <v>52</v>
      </c>
      <c r="M7100" s="25">
        <v>450000</v>
      </c>
      <c r="N7100" s="27">
        <v>0.11389413988657845</v>
      </c>
    </row>
    <row r="7101" spans="1:14" x14ac:dyDescent="0.15">
      <c r="A7101" s="23" t="str">
        <f>HYPERLINK("https://www.spark-marketing.ru/Card/Person/48248", "ГУП ""МОСГОРТРАНС""")</f>
        <v>ГУП "МОСГОРТРАНС"</v>
      </c>
      <c r="B7101" s="24" t="s">
        <v>1862</v>
      </c>
      <c r="C7101" s="25">
        <v>840000</v>
      </c>
      <c r="D7101" s="22" t="s">
        <v>9189</v>
      </c>
      <c r="E7101" s="22" t="s">
        <v>9190</v>
      </c>
      <c r="F7101" s="23" t="str">
        <f>HYPERLINK("https://www.spark-marketing.ru/Card/Lot/71016620", "Поставка рольгангов к интроскопам для нужд филиала Служба транспортной безопасности ГУП «Мосгортранс»")</f>
        <v>Поставка рольгангов к интроскопам для нужд филиала Служба транспортной безопасности ГУП «Мосгортранс»</v>
      </c>
      <c r="G7101" s="22" t="s">
        <v>55</v>
      </c>
      <c r="H7101" s="22" t="s">
        <v>55</v>
      </c>
      <c r="I7101" s="26">
        <v>43616.570833333302</v>
      </c>
      <c r="J7101" s="28" t="s">
        <v>52</v>
      </c>
      <c r="K7101" s="28" t="s">
        <v>52</v>
      </c>
      <c r="L7101" s="28" t="s">
        <v>52</v>
      </c>
      <c r="M7101" s="28" t="s">
        <v>52</v>
      </c>
      <c r="N7101" s="28" t="s">
        <v>52</v>
      </c>
    </row>
    <row r="7102" spans="1:14" hidden="1" outlineLevel="1" x14ac:dyDescent="0.2">
      <c r="A7102" s="23" t="str">
        <f>HYPERLINK("https://www.spark-marketing.ru/Card/Person/48248", "ГУП ""МОСГОРТРАНС""")</f>
        <v>ГУП "МОСГОРТРАНС"</v>
      </c>
      <c r="B7102" s="24" t="s">
        <v>1862</v>
      </c>
      <c r="C7102" s="25">
        <v>840000</v>
      </c>
      <c r="D7102" s="22" t="s">
        <v>9189</v>
      </c>
      <c r="E7102" s="22" t="s">
        <v>9190</v>
      </c>
      <c r="F7102" s="23" t="str">
        <f>HYPERLINK("https://www.spark-marketing.ru/Card/Lot/71016620", "Поставка рольгангов к интроскопам для нужд филиала Служба транспортной безопасности ГУП «Мосгортранс»")</f>
        <v>Поставка рольгангов к интроскопам для нужд филиала Служба транспортной безопасности ГУП «Мосгортранс»</v>
      </c>
      <c r="G7102" s="22" t="s">
        <v>55</v>
      </c>
      <c r="H7102" s="22" t="s">
        <v>55</v>
      </c>
      <c r="I7102" s="26">
        <v>43616.570833333302</v>
      </c>
      <c r="J7102" s="23" t="str">
        <f>HYPERLINK("https://www.spark-marketing.ru/Card/Person/5822206", "ООО ""НПО СПЕЦТЕХНИКА""")</f>
        <v>ООО "НПО СПЕЦТЕХНИКА"</v>
      </c>
      <c r="K7102" s="24" t="s">
        <v>9191</v>
      </c>
      <c r="L7102" s="28" t="s">
        <v>52</v>
      </c>
      <c r="M7102" s="25">
        <v>747600</v>
      </c>
      <c r="N7102" s="27">
        <v>0.11</v>
      </c>
    </row>
    <row r="7103" spans="1:14" ht="12.75" hidden="1" outlineLevel="1" x14ac:dyDescent="0.2">
      <c r="A7103" s="23" t="str">
        <f>HYPERLINK("https://www.spark-marketing.ru/Card/Person/48248", "ГУП ""МОСГОРТРАНС""")</f>
        <v>ГУП "МОСГОРТРАНС"</v>
      </c>
      <c r="B7103" s="24" t="s">
        <v>1862</v>
      </c>
      <c r="C7103" s="25">
        <v>840000</v>
      </c>
      <c r="D7103" s="22" t="s">
        <v>9189</v>
      </c>
      <c r="E7103" s="22" t="s">
        <v>9190</v>
      </c>
      <c r="F7103" s="23" t="str">
        <f>HYPERLINK("https://www.spark-marketing.ru/Card/Lot/71016620", "Поставка рольгангов к интроскопам для нужд филиала Служба транспортной безопасности ГУП «Мосгортранс»")</f>
        <v>Поставка рольгангов к интроскопам для нужд филиала Служба транспортной безопасности ГУП «Мосгортранс»</v>
      </c>
      <c r="G7103" s="22" t="s">
        <v>55</v>
      </c>
      <c r="H7103" s="22" t="s">
        <v>55</v>
      </c>
      <c r="I7103" s="26">
        <v>43616.570833333302</v>
      </c>
      <c r="J7103" s="23" t="str">
        <f>HYPERLINK("https://www.spark-marketing.ru/Card/Person/4769997", "ООО ""МОЙ ТРАНЗИТ""")</f>
        <v>ООО "МОЙ ТРАНЗИТ"</v>
      </c>
      <c r="K7103" s="24" t="s">
        <v>9192</v>
      </c>
      <c r="L7103" s="22" t="s">
        <v>10</v>
      </c>
      <c r="M7103" s="25">
        <v>743400</v>
      </c>
      <c r="N7103" s="27">
        <v>0.115</v>
      </c>
    </row>
    <row r="7104" spans="1:14" x14ac:dyDescent="0.15">
      <c r="A7104" s="23" t="str">
        <f>HYPERLINK("https://www.spark-marketing.ru/Card/Person/153882", "СПБ ГБУ ""МОСТОТРЕСТ""")</f>
        <v>СПБ ГБУ "МОСТОТРЕСТ"</v>
      </c>
      <c r="B7104" s="24" t="s">
        <v>9130</v>
      </c>
      <c r="C7104" s="25">
        <v>21653580.800000001</v>
      </c>
      <c r="D7104" s="22" t="s">
        <v>9193</v>
      </c>
      <c r="E7104" s="22" t="s">
        <v>59</v>
      </c>
      <c r="F7104" s="23" t="str">
        <f>HYPERLINK("https://www.spark-marketing.ru/Card/Lot/71020057", "Работы по оснащению техническими средствами обеспечения транспортной безопасности объекта транспортной инфраструктуры ""Путепровод в створе пр. Александровской фермы""")</f>
        <v>Работы по оснащению техническими средствами обеспечения транспортной безопасности объекта транспортной инфраструктуры "Путепровод в створе пр. Александровской фермы"</v>
      </c>
      <c r="G7104" s="22" t="s">
        <v>89</v>
      </c>
      <c r="H7104" s="22" t="s">
        <v>89</v>
      </c>
      <c r="I7104" s="26">
        <v>43616.568055555603</v>
      </c>
      <c r="J7104" s="23" t="str">
        <f>HYPERLINK("https://www.spark-marketing.ru/Card/Person/117783", "АО ""АСПЕКТ СЕВЕРО-ЗАПАД""")</f>
        <v>АО "АСПЕКТ СЕВЕРО-ЗАПАД"</v>
      </c>
      <c r="K7104" s="24" t="s">
        <v>9132</v>
      </c>
      <c r="L7104" s="22" t="s">
        <v>10</v>
      </c>
      <c r="M7104" s="28" t="s">
        <v>52</v>
      </c>
      <c r="N7104" s="28" t="s">
        <v>52</v>
      </c>
    </row>
    <row r="7105" spans="1:14" x14ac:dyDescent="0.15">
      <c r="A7105" s="23" t="str">
        <f>HYPERLINK("https://www.spark-marketing.ru/Card/Person/19240", "УПРАВЛЕНИЕ РОСАККРЕДИТАЦИИ ПО ЮФО И СКФО")</f>
        <v>УПРАВЛЕНИЕ РОСАККРЕДИТАЦИИ ПО ЮФО И СКФО</v>
      </c>
      <c r="B7105" s="24" t="s">
        <v>9194</v>
      </c>
      <c r="C7105" s="25">
        <v>5008.5</v>
      </c>
      <c r="D7105" s="22" t="s">
        <v>9195</v>
      </c>
      <c r="E7105" s="22" t="s">
        <v>53</v>
      </c>
      <c r="F7105" s="23" t="str">
        <f>HYPERLINK("https://www.spark-marketing.ru/Card/Lot/70998778", "Техническое обслуживание средств тревожной сигнализации")</f>
        <v>Техническое обслуживание средств тревожной сигнализации</v>
      </c>
      <c r="G7105" s="22" t="s">
        <v>402</v>
      </c>
      <c r="H7105" s="22" t="s">
        <v>402</v>
      </c>
      <c r="I7105" s="26">
        <v>43616.523148148102</v>
      </c>
      <c r="J7105" s="28" t="s">
        <v>52</v>
      </c>
      <c r="K7105" s="28" t="s">
        <v>52</v>
      </c>
      <c r="L7105" s="28" t="s">
        <v>52</v>
      </c>
      <c r="M7105" s="28" t="s">
        <v>52</v>
      </c>
      <c r="N7105" s="28" t="s">
        <v>52</v>
      </c>
    </row>
    <row r="7106" spans="1:14" x14ac:dyDescent="0.15">
      <c r="A7106" s="23" t="str">
        <f>HYPERLINK("https://www.spark-marketing.ru/Card/Person/114936", "ФКЛПУ РБ-2 УФСИН РОССИИ ПО РЕСПУБЛИКЕ КАРЕЛИЯ")</f>
        <v>ФКЛПУ РБ-2 УФСИН РОССИИ ПО РЕСПУБЛИКЕ КАРЕЛИЯ</v>
      </c>
      <c r="B7106" s="24" t="s">
        <v>9196</v>
      </c>
      <c r="C7106" s="25">
        <v>3199.1</v>
      </c>
      <c r="D7106" s="22" t="s">
        <v>9197</v>
      </c>
      <c r="E7106" s="22" t="s">
        <v>53</v>
      </c>
      <c r="F7106" s="23" t="str">
        <f>HYPERLINK("https://www.spark-marketing.ru/Card/Lot/70995532", "Материалы для проведения технического обслуживания инженерно-технических средств охраны и надзора")</f>
        <v>Материалы для проведения технического обслуживания инженерно-технических средств охраны и надзора</v>
      </c>
      <c r="G7106" s="22" t="s">
        <v>435</v>
      </c>
      <c r="H7106" s="22" t="s">
        <v>9198</v>
      </c>
      <c r="I7106" s="26">
        <v>43616.500706018502</v>
      </c>
      <c r="J7106" s="28" t="s">
        <v>52</v>
      </c>
      <c r="K7106" s="28" t="s">
        <v>52</v>
      </c>
      <c r="L7106" s="28" t="s">
        <v>52</v>
      </c>
      <c r="M7106" s="28" t="s">
        <v>52</v>
      </c>
      <c r="N7106" s="28" t="s">
        <v>52</v>
      </c>
    </row>
    <row r="7107" spans="1:14" x14ac:dyDescent="0.15">
      <c r="A7107" s="23" t="str">
        <f>HYPERLINK("https://www.spark-marketing.ru/Card/Person/132913", "ОТДЕЛ МВД РОССИИ ПО САТКИНСКОМУ РАЙОНУ ЧЕЛЯБИНСКОЙ ОБЛАСТИ")</f>
        <v>ОТДЕЛ МВД РОССИИ ПО САТКИНСКОМУ РАЙОНУ ЧЕЛЯБИНСКОЙ ОБЛАСТИ</v>
      </c>
      <c r="B7107" s="24" t="s">
        <v>8723</v>
      </c>
      <c r="C7107" s="25">
        <v>95500</v>
      </c>
      <c r="D7107" s="22" t="s">
        <v>9199</v>
      </c>
      <c r="E7107" s="22" t="s">
        <v>103</v>
      </c>
      <c r="F7107" s="23" t="str">
        <f>HYPERLINK("https://www.spark-marketing.ru/Card/Lot/70994864", "Техническое обслуживание видеонаблюдения, 1 усл. ед")</f>
        <v>Техническое обслуживание видеонаблюдения, 1 усл. ед</v>
      </c>
      <c r="G7107" s="22" t="s">
        <v>60</v>
      </c>
      <c r="H7107" s="22" t="s">
        <v>8725</v>
      </c>
      <c r="I7107" s="26">
        <v>43616.501226851899</v>
      </c>
      <c r="J7107" s="28" t="s">
        <v>52</v>
      </c>
      <c r="K7107" s="28" t="s">
        <v>52</v>
      </c>
      <c r="L7107" s="28" t="s">
        <v>52</v>
      </c>
      <c r="M7107" s="28" t="s">
        <v>52</v>
      </c>
      <c r="N7107" s="28" t="s">
        <v>52</v>
      </c>
    </row>
    <row r="7108" spans="1:14" x14ac:dyDescent="0.15">
      <c r="A7108" s="23" t="str">
        <f>HYPERLINK("https://www.spark-marketing.ru/Card/Person/6086", "ГКУ ""ДИРЕКЦИЯ ОДОТСЗН Г. МОСКВЫ""")</f>
        <v>ГКУ "ДИРЕКЦИЯ ОДОТСЗН Г. МОСКВЫ"</v>
      </c>
      <c r="B7108" s="24" t="s">
        <v>9200</v>
      </c>
      <c r="C7108" s="25">
        <v>2980955.69</v>
      </c>
      <c r="D7108" s="22" t="s">
        <v>9201</v>
      </c>
      <c r="E7108" s="22" t="s">
        <v>84</v>
      </c>
      <c r="F7108" s="23" t="str">
        <f>HYPERLINK("https://www.spark-marketing.ru/Card/Lot/71018159", "Выполнение работ по монтажу комплексной системы безопасности в ГКУ ""Дирекция ОДОТСЗН г.Москвы"" по адресу: г.Москва, Орликов переулок, д.2")</f>
        <v>Выполнение работ по монтажу комплексной системы безопасности в ГКУ "Дирекция ОДОТСЗН г.Москвы" по адресу: г.Москва, Орликов переулок, д.2</v>
      </c>
      <c r="G7108" s="22" t="s">
        <v>55</v>
      </c>
      <c r="H7108" s="22" t="s">
        <v>55</v>
      </c>
      <c r="I7108" s="26">
        <v>43616.506944444402</v>
      </c>
      <c r="J7108" s="28" t="s">
        <v>52</v>
      </c>
      <c r="K7108" s="28" t="s">
        <v>52</v>
      </c>
      <c r="L7108" s="28" t="s">
        <v>52</v>
      </c>
      <c r="M7108" s="28" t="s">
        <v>52</v>
      </c>
      <c r="N7108" s="28" t="s">
        <v>52</v>
      </c>
    </row>
    <row r="7109" spans="1:14" hidden="1" outlineLevel="1" x14ac:dyDescent="0.2">
      <c r="A7109" s="23" t="str">
        <f>HYPERLINK("https://www.spark-marketing.ru/Card/Person/6086", "ГКУ ""ДИРЕКЦИЯ ОДОТСЗН Г. МОСКВЫ""")</f>
        <v>ГКУ "ДИРЕКЦИЯ ОДОТСЗН Г. МОСКВЫ"</v>
      </c>
      <c r="B7109" s="24" t="s">
        <v>9200</v>
      </c>
      <c r="C7109" s="25">
        <v>2980955.69</v>
      </c>
      <c r="D7109" s="22" t="s">
        <v>9201</v>
      </c>
      <c r="E7109" s="22" t="s">
        <v>84</v>
      </c>
      <c r="F7109" s="23" t="str">
        <f>HYPERLINK("https://www.spark-marketing.ru/Card/Lot/71018159", "Выполнение работ по монтажу комплексной системы безопасности в ГКУ ""Дирекция ОДОТСЗН г.Москвы"" по адресу: г.Москва, Орликов переулок, д.2")</f>
        <v>Выполнение работ по монтажу комплексной системы безопасности в ГКУ "Дирекция ОДОТСЗН г.Москвы" по адресу: г.Москва, Орликов переулок, д.2</v>
      </c>
      <c r="G7109" s="22" t="s">
        <v>55</v>
      </c>
      <c r="H7109" s="22" t="s">
        <v>55</v>
      </c>
      <c r="I7109" s="26">
        <v>43616.506944444402</v>
      </c>
      <c r="J7109" s="23" t="str">
        <f>HYPERLINK("https://www.spark-marketing.ru/Card/Person/409761", "ООО ""АРИОН""")</f>
        <v>ООО "АРИОН"</v>
      </c>
      <c r="K7109" s="24" t="s">
        <v>9202</v>
      </c>
      <c r="L7109" s="28" t="s">
        <v>52</v>
      </c>
      <c r="M7109" s="25">
        <v>2936241.35</v>
      </c>
      <c r="N7109" s="27">
        <v>1.5000001559902422E-2</v>
      </c>
    </row>
    <row r="7110" spans="1:14" ht="12.75" hidden="1" outlineLevel="1" x14ac:dyDescent="0.2">
      <c r="A7110" s="23" t="str">
        <f>HYPERLINK("https://www.spark-marketing.ru/Card/Person/6086", "ГКУ ""ДИРЕКЦИЯ ОДОТСЗН Г. МОСКВЫ""")</f>
        <v>ГКУ "ДИРЕКЦИЯ ОДОТСЗН Г. МОСКВЫ"</v>
      </c>
      <c r="B7110" s="24" t="s">
        <v>9200</v>
      </c>
      <c r="C7110" s="25">
        <v>2980955.69</v>
      </c>
      <c r="D7110" s="22" t="s">
        <v>9201</v>
      </c>
      <c r="E7110" s="22" t="s">
        <v>84</v>
      </c>
      <c r="F7110" s="23" t="str">
        <f>HYPERLINK("https://www.spark-marketing.ru/Card/Lot/71018159", "Выполнение работ по монтажу комплексной системы безопасности в ГКУ ""Дирекция ОДОТСЗН г.Москвы"" по адресу: г.Москва, Орликов переулок, д.2")</f>
        <v>Выполнение работ по монтажу комплексной системы безопасности в ГКУ "Дирекция ОДОТСЗН г.Москвы" по адресу: г.Москва, Орликов переулок, д.2</v>
      </c>
      <c r="G7110" s="22" t="s">
        <v>55</v>
      </c>
      <c r="H7110" s="22" t="s">
        <v>55</v>
      </c>
      <c r="I7110" s="26">
        <v>43616.506944444402</v>
      </c>
      <c r="J7110" s="23" t="str">
        <f>HYPERLINK("https://www.spark-marketing.ru/Card/Person/703000", "ООО ""СИБ""")</f>
        <v>ООО "СИБ"</v>
      </c>
      <c r="K7110" s="24" t="s">
        <v>9203</v>
      </c>
      <c r="L7110" s="22" t="s">
        <v>10</v>
      </c>
      <c r="M7110" s="25">
        <v>2921336.57</v>
      </c>
      <c r="N7110" s="27">
        <v>2.0000002079869895E-2</v>
      </c>
    </row>
    <row r="7111" spans="1:14" x14ac:dyDescent="0.2">
      <c r="A7111" s="23" t="str">
        <f>HYPERLINK("https://www.spark-marketing.ru/Card/Person/1758163", "ГАПОУ ""ЧЕБОКСАРСКИЙ ТЕХНИКУМ ТРАНССТРОЙТЕХ"" МИНОБРАЗОВАНИЯ ЧУВАШИИ")</f>
        <v>ГАПОУ "ЧЕБОКСАРСКИЙ ТЕХНИКУМ ТРАНССТРОЙТЕХ" МИНОБРАЗОВАНИЯ ЧУВАШИИ</v>
      </c>
      <c r="B7111" s="24" t="s">
        <v>1432</v>
      </c>
      <c r="C7111" s="25">
        <v>367200</v>
      </c>
      <c r="D7111" s="22" t="s">
        <v>9204</v>
      </c>
      <c r="E7111" s="22" t="s">
        <v>144</v>
      </c>
      <c r="F7111" s="23" t="str">
        <f>HYPERLINK("https://www.spark-marketing.ru/Card/Lot/70998200", "Услуги по охране объекта")</f>
        <v>Услуги по охране объекта</v>
      </c>
      <c r="G7111" s="22" t="s">
        <v>1137</v>
      </c>
      <c r="H7111" s="22" t="s">
        <v>1137</v>
      </c>
      <c r="I7111" s="26">
        <v>43616.531284722201</v>
      </c>
      <c r="J7111" s="23" t="str">
        <f>HYPERLINK("https://www.spark-marketing.ru/Card/Person/63539", "ООО ""ЧОО ""ЦЕРБЕР""")</f>
        <v>ООО "ЧОО "ЦЕРБЕР"</v>
      </c>
      <c r="K7111" s="24" t="s">
        <v>1434</v>
      </c>
      <c r="L7111" s="28" t="s">
        <v>52</v>
      </c>
      <c r="M7111" s="25">
        <v>367200</v>
      </c>
      <c r="N7111" s="27">
        <v>0</v>
      </c>
    </row>
    <row r="7112" spans="1:14" x14ac:dyDescent="0.15">
      <c r="A7112" s="23" t="str">
        <f>HYPERLINK("https://www.spark-marketing.ru/Card/Person/114936", "ФКЛПУ РБ-2 УФСИН РОССИИ ПО РЕСПУБЛИКЕ КАРЕЛИЯ")</f>
        <v>ФКЛПУ РБ-2 УФСИН РОССИИ ПО РЕСПУБЛИКЕ КАРЕЛИЯ</v>
      </c>
      <c r="B7112" s="24" t="s">
        <v>9196</v>
      </c>
      <c r="C7112" s="25">
        <v>3199.1</v>
      </c>
      <c r="D7112" s="22" t="s">
        <v>9205</v>
      </c>
      <c r="E7112" s="22" t="s">
        <v>53</v>
      </c>
      <c r="F7112" s="23" t="str">
        <f>HYPERLINK("https://www.spark-marketing.ru/Card/Lot/70998371", "Поставка материалов для проведения технического обслуживания инженерно-технических средств охраны и надзора")</f>
        <v>Поставка материалов для проведения технического обслуживания инженерно-технических средств охраны и надзора</v>
      </c>
      <c r="G7112" s="22" t="s">
        <v>435</v>
      </c>
      <c r="H7112" s="22" t="s">
        <v>9198</v>
      </c>
      <c r="I7112" s="26">
        <v>43616.533032407402</v>
      </c>
      <c r="J7112" s="28" t="s">
        <v>52</v>
      </c>
      <c r="K7112" s="28" t="s">
        <v>52</v>
      </c>
      <c r="L7112" s="28" t="s">
        <v>52</v>
      </c>
      <c r="M7112" s="28" t="s">
        <v>52</v>
      </c>
      <c r="N7112" s="28" t="s">
        <v>52</v>
      </c>
    </row>
    <row r="7113" spans="1:14" x14ac:dyDescent="0.15">
      <c r="A7113" s="23" t="str">
        <f>HYPERLINK("https://www.spark-marketing.ru/Card/Person/61921", "МДОУ ""ОДУВАНЧИК""")</f>
        <v>МДОУ "ОДУВАНЧИК"</v>
      </c>
      <c r="B7113" s="24" t="s">
        <v>9206</v>
      </c>
      <c r="C7113" s="25">
        <v>47000</v>
      </c>
      <c r="D7113" s="22" t="s">
        <v>9207</v>
      </c>
      <c r="E7113" s="22" t="s">
        <v>107</v>
      </c>
      <c r="F7113" s="23" t="str">
        <f>HYPERLINK("https://www.spark-marketing.ru/Card/Lot/70995775", "Обслуживание видеодомофона в МДОУ ""Одуванчик""")</f>
        <v>Обслуживание видеодомофона в МДОУ "Одуванчик"</v>
      </c>
      <c r="G7113" s="22" t="s">
        <v>50</v>
      </c>
      <c r="H7113" s="22" t="s">
        <v>50</v>
      </c>
      <c r="I7113" s="26">
        <v>43616.472881944399</v>
      </c>
      <c r="J7113" s="28" t="s">
        <v>52</v>
      </c>
      <c r="K7113" s="28" t="s">
        <v>52</v>
      </c>
      <c r="L7113" s="28" t="s">
        <v>52</v>
      </c>
      <c r="M7113" s="28" t="s">
        <v>52</v>
      </c>
      <c r="N7113" s="28" t="s">
        <v>52</v>
      </c>
    </row>
    <row r="7114" spans="1:14" x14ac:dyDescent="0.15">
      <c r="A7114" s="23" t="str">
        <f>HYPERLINK("https://www.spark-marketing.ru/Card/Person/153882", "СПБ ГБУ ""МОСТОТРЕСТ""")</f>
        <v>СПБ ГБУ "МОСТОТРЕСТ"</v>
      </c>
      <c r="B7114" s="24" t="s">
        <v>9130</v>
      </c>
      <c r="C7114" s="25">
        <v>13541685.6</v>
      </c>
      <c r="D7114" s="22" t="s">
        <v>9208</v>
      </c>
      <c r="E7114" s="22" t="s">
        <v>59</v>
      </c>
      <c r="F7114" s="23" t="str">
        <f>HYPERLINK("https://www.spark-marketing.ru/Card/Lot/71019933", "Работы по оснащению инженерно-техническими системами обеспечения транспортной безопасности единого пункта управления обеспечением транспортной безопасности")</f>
        <v>Работы по оснащению инженерно-техническими системами обеспечения транспортной безопасности единого пункта управления обеспечением транспортной безопасности</v>
      </c>
      <c r="G7114" s="22" t="s">
        <v>89</v>
      </c>
      <c r="H7114" s="22" t="s">
        <v>89</v>
      </c>
      <c r="I7114" s="26">
        <v>43616.497222222199</v>
      </c>
      <c r="J7114" s="23" t="str">
        <f>HYPERLINK("https://www.spark-marketing.ru/Card/Person/117783", "АО ""АСПЕКТ СЕВЕРО-ЗАПАД""")</f>
        <v>АО "АСПЕКТ СЕВЕРО-ЗАПАД"</v>
      </c>
      <c r="K7114" s="24" t="s">
        <v>9132</v>
      </c>
      <c r="L7114" s="28" t="s">
        <v>52</v>
      </c>
      <c r="M7114" s="28" t="s">
        <v>52</v>
      </c>
      <c r="N7114" s="28" t="s">
        <v>52</v>
      </c>
    </row>
    <row r="7115" spans="1:14" hidden="1" outlineLevel="1" x14ac:dyDescent="0.15">
      <c r="A7115" s="23" t="str">
        <f>HYPERLINK("https://www.spark-marketing.ru/Card/Person/153882", "СПБ ГБУ ""МОСТОТРЕСТ""")</f>
        <v>СПБ ГБУ "МОСТОТРЕСТ"</v>
      </c>
      <c r="B7115" s="24" t="s">
        <v>9130</v>
      </c>
      <c r="C7115" s="25">
        <v>13541685.6</v>
      </c>
      <c r="D7115" s="22" t="s">
        <v>9208</v>
      </c>
      <c r="E7115" s="22" t="s">
        <v>59</v>
      </c>
      <c r="F7115" s="23" t="str">
        <f>HYPERLINK("https://www.spark-marketing.ru/Card/Lot/71019933", "Работы по оснащению инженерно-техническими системами обеспечения транспортной безопасности единого пункта управления обеспечением транспортной безопасности")</f>
        <v>Работы по оснащению инженерно-техническими системами обеспечения транспортной безопасности единого пункта управления обеспечением транспортной безопасности</v>
      </c>
      <c r="G7115" s="22" t="s">
        <v>89</v>
      </c>
      <c r="H7115" s="22" t="s">
        <v>89</v>
      </c>
      <c r="I7115" s="26">
        <v>43616.497222222199</v>
      </c>
      <c r="J7115" s="23" t="str">
        <f>HYPERLINK("https://www.spark-marketing.ru/Card/Person/117783", "АО ""АСПЕКТ СЕВЕРО-ЗАПАД""")</f>
        <v>АО "АСПЕКТ СЕВЕРО-ЗАПАД"</v>
      </c>
      <c r="K7115" s="24" t="s">
        <v>9132</v>
      </c>
      <c r="L7115" s="22" t="s">
        <v>10</v>
      </c>
      <c r="M7115" s="28" t="s">
        <v>52</v>
      </c>
      <c r="N7115" s="28" t="s">
        <v>52</v>
      </c>
    </row>
    <row r="7116" spans="1:14" x14ac:dyDescent="0.15">
      <c r="A7116" s="23" t="str">
        <f>HYPERLINK("https://www.spark-marketing.ru/Card/Person/8769", "АДМИНИСТРАЦИЯ ГО ЗАТО СВОБОДНЫЙ")</f>
        <v>АДМИНИСТРАЦИЯ ГО ЗАТО СВОБОДНЫЙ</v>
      </c>
      <c r="B7116" s="24" t="s">
        <v>3233</v>
      </c>
      <c r="C7116" s="25">
        <v>450916.94</v>
      </c>
      <c r="D7116" s="22" t="s">
        <v>9209</v>
      </c>
      <c r="E7116" s="22" t="s">
        <v>84</v>
      </c>
      <c r="F7116" s="23" t="str">
        <f>HYPERLINK("https://www.spark-marketing.ru/Card/Lot/70997540", "Приобретение и установка системы видеонаблюдения")</f>
        <v>Приобретение и установка системы видеонаблюдения</v>
      </c>
      <c r="G7116" s="22" t="s">
        <v>72</v>
      </c>
      <c r="H7116" s="22" t="s">
        <v>72</v>
      </c>
      <c r="I7116" s="26">
        <v>43616.467361111099</v>
      </c>
      <c r="J7116" s="28" t="s">
        <v>52</v>
      </c>
      <c r="K7116" s="28" t="s">
        <v>52</v>
      </c>
      <c r="L7116" s="28" t="s">
        <v>52</v>
      </c>
      <c r="M7116" s="28" t="s">
        <v>52</v>
      </c>
      <c r="N7116" s="28" t="s">
        <v>52</v>
      </c>
    </row>
    <row r="7117" spans="1:14" ht="12.75" hidden="1" outlineLevel="1" x14ac:dyDescent="0.2">
      <c r="A7117" s="23" t="str">
        <f>HYPERLINK("https://www.spark-marketing.ru/Card/Person/8769", "АДМИНИСТРАЦИЯ ГО ЗАТО СВОБОДНЫЙ")</f>
        <v>АДМИНИСТРАЦИЯ ГО ЗАТО СВОБОДНЫЙ</v>
      </c>
      <c r="B7117" s="24" t="s">
        <v>3233</v>
      </c>
      <c r="C7117" s="25">
        <v>450916.94</v>
      </c>
      <c r="D7117" s="22" t="s">
        <v>9209</v>
      </c>
      <c r="E7117" s="22" t="s">
        <v>84</v>
      </c>
      <c r="F7117" s="23" t="str">
        <f>HYPERLINK("https://www.spark-marketing.ru/Card/Lot/70997540", "Приобретение и установка системы видеонаблюдения")</f>
        <v>Приобретение и установка системы видеонаблюдения</v>
      </c>
      <c r="G7117" s="22" t="s">
        <v>72</v>
      </c>
      <c r="H7117" s="22" t="s">
        <v>72</v>
      </c>
      <c r="I7117" s="26">
        <v>43616.467361111099</v>
      </c>
      <c r="J7117" s="23" t="str">
        <f>HYPERLINK("https://www.spark-marketing.ru/Card/Person/6392617", "Смертин Николай Сергеевич")</f>
        <v>Смертин Николай Сергеевич</v>
      </c>
      <c r="K7117" s="24" t="s">
        <v>9210</v>
      </c>
      <c r="L7117" s="22" t="s">
        <v>10</v>
      </c>
      <c r="M7117" s="25">
        <v>426116.56</v>
      </c>
      <c r="N7117" s="27">
        <v>5.4999885344737771E-2</v>
      </c>
    </row>
    <row r="7118" spans="1:14" hidden="1" outlineLevel="1" x14ac:dyDescent="0.2">
      <c r="A7118" s="23" t="str">
        <f>HYPERLINK("https://www.spark-marketing.ru/Card/Person/8769", "АДМИНИСТРАЦИЯ ГО ЗАТО СВОБОДНЫЙ")</f>
        <v>АДМИНИСТРАЦИЯ ГО ЗАТО СВОБОДНЫЙ</v>
      </c>
      <c r="B7118" s="24" t="s">
        <v>3233</v>
      </c>
      <c r="C7118" s="25">
        <v>450916.94</v>
      </c>
      <c r="D7118" s="22" t="s">
        <v>9209</v>
      </c>
      <c r="E7118" s="22" t="s">
        <v>84</v>
      </c>
      <c r="F7118" s="23" t="str">
        <f>HYPERLINK("https://www.spark-marketing.ru/Card/Lot/70997540", "Приобретение и установка системы видеонаблюдения")</f>
        <v>Приобретение и установка системы видеонаблюдения</v>
      </c>
      <c r="G7118" s="22" t="s">
        <v>72</v>
      </c>
      <c r="H7118" s="22" t="s">
        <v>72</v>
      </c>
      <c r="I7118" s="26">
        <v>43616.467361111099</v>
      </c>
      <c r="J7118" s="23" t="str">
        <f>HYPERLINK("https://www.spark-marketing.ru/Card/Person/50495", "ООО ""МСП БИЗНЕС МИР""")</f>
        <v>ООО "МСП БИЗНЕС МИР"</v>
      </c>
      <c r="K7118" s="24" t="s">
        <v>6602</v>
      </c>
      <c r="L7118" s="28" t="s">
        <v>52</v>
      </c>
      <c r="M7118" s="25">
        <v>432880.3</v>
      </c>
      <c r="N7118" s="27">
        <v>3.9999916614354744E-2</v>
      </c>
    </row>
    <row r="7119" spans="1:14" hidden="1" outlineLevel="1" x14ac:dyDescent="0.2">
      <c r="A7119" s="23" t="str">
        <f>HYPERLINK("https://www.spark-marketing.ru/Card/Person/8769", "АДМИНИСТРАЦИЯ ГО ЗАТО СВОБОДНЫЙ")</f>
        <v>АДМИНИСТРАЦИЯ ГО ЗАТО СВОБОДНЫЙ</v>
      </c>
      <c r="B7119" s="24" t="s">
        <v>3233</v>
      </c>
      <c r="C7119" s="25">
        <v>450916.94</v>
      </c>
      <c r="D7119" s="22" t="s">
        <v>9209</v>
      </c>
      <c r="E7119" s="22" t="s">
        <v>84</v>
      </c>
      <c r="F7119" s="23" t="str">
        <f>HYPERLINK("https://www.spark-marketing.ru/Card/Lot/70997540", "Приобретение и установка системы видеонаблюдения")</f>
        <v>Приобретение и установка системы видеонаблюдения</v>
      </c>
      <c r="G7119" s="22" t="s">
        <v>72</v>
      </c>
      <c r="H7119" s="22" t="s">
        <v>72</v>
      </c>
      <c r="I7119" s="26">
        <v>43616.467361111099</v>
      </c>
      <c r="J7119" s="23" t="str">
        <f>HYPERLINK("https://www.spark-marketing.ru/Card/Person/6236196", "ООО ""ВИДЕОСЕРВИС""")</f>
        <v>ООО "ВИДЕОСЕРВИС"</v>
      </c>
      <c r="K7119" s="24" t="s">
        <v>7810</v>
      </c>
      <c r="L7119" s="28" t="s">
        <v>52</v>
      </c>
      <c r="M7119" s="25">
        <v>428371.14</v>
      </c>
      <c r="N7119" s="27">
        <v>4.9999895767943427E-2</v>
      </c>
    </row>
    <row r="7120" spans="1:14" x14ac:dyDescent="0.15">
      <c r="A7120" s="23" t="str">
        <f>HYPERLINK("https://www.spark-marketing.ru/Card/Person/19240", "УПРАВЛЕНИЕ РОСАККРЕДИТАЦИИ ПО ЮФО И СКФО")</f>
        <v>УПРАВЛЕНИЕ РОСАККРЕДИТАЦИИ ПО ЮФО И СКФО</v>
      </c>
      <c r="B7120" s="24" t="s">
        <v>9194</v>
      </c>
      <c r="C7120" s="25">
        <v>47838.15</v>
      </c>
      <c r="D7120" s="22" t="s">
        <v>9211</v>
      </c>
      <c r="E7120" s="22" t="s">
        <v>53</v>
      </c>
      <c r="F7120" s="23" t="str">
        <f>HYPERLINK("https://www.spark-marketing.ru/Card/Lot/70996304", "Пультовая охрана объекта")</f>
        <v>Пультовая охрана объекта</v>
      </c>
      <c r="G7120" s="22" t="s">
        <v>402</v>
      </c>
      <c r="H7120" s="22" t="s">
        <v>402</v>
      </c>
      <c r="I7120" s="26">
        <v>43616.481701388897</v>
      </c>
      <c r="J7120" s="28" t="s">
        <v>52</v>
      </c>
      <c r="K7120" s="28" t="s">
        <v>52</v>
      </c>
      <c r="L7120" s="28" t="s">
        <v>52</v>
      </c>
      <c r="M7120" s="28" t="s">
        <v>52</v>
      </c>
      <c r="N7120" s="28" t="s">
        <v>52</v>
      </c>
    </row>
    <row r="7121" spans="1:14" x14ac:dyDescent="0.15">
      <c r="A7121" s="23" t="str">
        <f>HYPERLINK("https://www.spark-marketing.ru/Card/Person/73054", "УОЖГ АДМИНИСТРАЦИИ ГО Г. УФА РБ")</f>
        <v>УОЖГ АДМИНИСТРАЦИИ ГО Г. УФА РБ</v>
      </c>
      <c r="B7121" s="24" t="s">
        <v>9212</v>
      </c>
      <c r="C7121" s="25">
        <v>21860190.370000001</v>
      </c>
      <c r="D7121" s="22" t="s">
        <v>9213</v>
      </c>
      <c r="E7121" s="22" t="s">
        <v>59</v>
      </c>
      <c r="F7121" s="23" t="str">
        <f>HYPERLINK("https://www.spark-marketing.ru/Card/Lot/70989656", "Установка систем видеонаблюдения в дворовых территориях МКД ГО г. Уфа РБ")</f>
        <v>Установка систем видеонаблюдения в дворовых территориях МКД ГО г. Уфа РБ</v>
      </c>
      <c r="G7121" s="22" t="s">
        <v>100</v>
      </c>
      <c r="H7121" s="22" t="s">
        <v>373</v>
      </c>
      <c r="I7121" s="26">
        <v>43616.422916666699</v>
      </c>
      <c r="J7121" s="28" t="s">
        <v>52</v>
      </c>
      <c r="K7121" s="28" t="s">
        <v>52</v>
      </c>
      <c r="L7121" s="28" t="s">
        <v>52</v>
      </c>
      <c r="M7121" s="28" t="s">
        <v>52</v>
      </c>
      <c r="N7121" s="28" t="s">
        <v>52</v>
      </c>
    </row>
    <row r="7122" spans="1:14" hidden="1" outlineLevel="1" x14ac:dyDescent="0.2">
      <c r="A7122" s="23" t="str">
        <f>HYPERLINK("https://www.spark-marketing.ru/Card/Person/73054", "УОЖГ АДМИНИСТРАЦИИ ГО Г. УФА РБ")</f>
        <v>УОЖГ АДМИНИСТРАЦИИ ГО Г. УФА РБ</v>
      </c>
      <c r="B7122" s="24" t="s">
        <v>9212</v>
      </c>
      <c r="C7122" s="25">
        <v>21860190.370000001</v>
      </c>
      <c r="D7122" s="22" t="s">
        <v>9213</v>
      </c>
      <c r="E7122" s="22" t="s">
        <v>59</v>
      </c>
      <c r="F7122" s="23" t="str">
        <f>HYPERLINK("https://www.spark-marketing.ru/Card/Lot/70989656", "Установка систем видеонаблюдения в дворовых территориях МКД ГО г. Уфа РБ")</f>
        <v>Установка систем видеонаблюдения в дворовых территориях МКД ГО г. Уфа РБ</v>
      </c>
      <c r="G7122" s="22" t="s">
        <v>100</v>
      </c>
      <c r="H7122" s="22" t="s">
        <v>373</v>
      </c>
      <c r="I7122" s="26">
        <v>43616.422916666699</v>
      </c>
      <c r="J7122" s="23" t="str">
        <f>HYPERLINK("https://www.spark-marketing.ru/Card/Person/4354389", "ПАО ""БАШИНФОРМСВЯЗЬ""")</f>
        <v>ПАО "БАШИНФОРМСВЯЗЬ"</v>
      </c>
      <c r="K7122" s="24" t="s">
        <v>6572</v>
      </c>
      <c r="L7122" s="28" t="s">
        <v>52</v>
      </c>
      <c r="M7122" s="25">
        <v>19455569.469999999</v>
      </c>
      <c r="N7122" s="27">
        <v>0.10999999813816809</v>
      </c>
    </row>
    <row r="7123" spans="1:14" ht="12.75" hidden="1" outlineLevel="1" x14ac:dyDescent="0.2">
      <c r="A7123" s="23" t="str">
        <f>HYPERLINK("https://www.spark-marketing.ru/Card/Person/73054", "УОЖГ АДМИНИСТРАЦИИ ГО Г. УФА РБ")</f>
        <v>УОЖГ АДМИНИСТРАЦИИ ГО Г. УФА РБ</v>
      </c>
      <c r="B7123" s="24" t="s">
        <v>9212</v>
      </c>
      <c r="C7123" s="25">
        <v>21860190.370000001</v>
      </c>
      <c r="D7123" s="22" t="s">
        <v>9213</v>
      </c>
      <c r="E7123" s="22" t="s">
        <v>59</v>
      </c>
      <c r="F7123" s="23" t="str">
        <f>HYPERLINK("https://www.spark-marketing.ru/Card/Lot/70989656", "Установка систем видеонаблюдения в дворовых территориях МКД ГО г. Уфа РБ")</f>
        <v>Установка систем видеонаблюдения в дворовых территориях МКД ГО г. Уфа РБ</v>
      </c>
      <c r="G7123" s="22" t="s">
        <v>100</v>
      </c>
      <c r="H7123" s="22" t="s">
        <v>373</v>
      </c>
      <c r="I7123" s="26">
        <v>43616.422916666699</v>
      </c>
      <c r="J7123" s="23" t="str">
        <f>HYPERLINK("https://www.spark-marketing.ru/Card/Person/90342", "АО ""УФАНЕТ""")</f>
        <v>АО "УФАНЕТ"</v>
      </c>
      <c r="K7123" s="24" t="s">
        <v>6570</v>
      </c>
      <c r="L7123" s="22" t="s">
        <v>10</v>
      </c>
      <c r="M7123" s="25">
        <v>19346268.52</v>
      </c>
      <c r="N7123" s="27">
        <v>0.11499999805353936</v>
      </c>
    </row>
    <row r="7124" spans="1:14" x14ac:dyDescent="0.15">
      <c r="A7124" s="23" t="str">
        <f>HYPERLINK("https://www.spark-marketing.ru/Card/Person/4348528", "АО ИК ""АСЭ""")</f>
        <v>АО ИК "АСЭ"</v>
      </c>
      <c r="B7124" s="24" t="s">
        <v>62</v>
      </c>
      <c r="C7124" s="28" t="s">
        <v>52</v>
      </c>
      <c r="D7124" s="22" t="s">
        <v>9214</v>
      </c>
      <c r="E7124" s="22" t="s">
        <v>53</v>
      </c>
      <c r="F7124" s="23" t="str">
        <f>HYPERLINK("https://www.spark-marketing.ru/Card/Lot/70999713", "Оказание охранных услуг по пультовой охране объектов АО «Атомэнергопроект», расположенных по адресам: г. Москва, ул. Бакунинская, д. 7, стр. 1 и г. Москва, ул. Подольских Курсантов, д. 1. (1266443)")</f>
        <v>Оказание охранных услуг по пультовой охране объектов АО «Атомэнергопроект», расположенных по адресам: г. Москва, ул. Бакунинская, д. 7, стр. 1 и г. Москва, ул. Подольских Курсантов, д. 1. (1266443)</v>
      </c>
      <c r="G7124" s="22" t="s">
        <v>64</v>
      </c>
      <c r="H7124" s="22" t="s">
        <v>65</v>
      </c>
      <c r="I7124" s="26">
        <v>43616.455023148097</v>
      </c>
      <c r="J7124" s="28" t="s">
        <v>52</v>
      </c>
      <c r="K7124" s="28" t="s">
        <v>52</v>
      </c>
      <c r="L7124" s="28" t="s">
        <v>52</v>
      </c>
      <c r="M7124" s="28" t="s">
        <v>52</v>
      </c>
      <c r="N7124" s="28" t="s">
        <v>52</v>
      </c>
    </row>
    <row r="7125" spans="1:14" x14ac:dyDescent="0.15">
      <c r="A7125" s="23" t="str">
        <f>HYPERLINK("https://www.spark-marketing.ru/Card/Person/4348528", "АО ИК ""АСЭ""")</f>
        <v>АО ИК "АСЭ"</v>
      </c>
      <c r="B7125" s="24" t="s">
        <v>62</v>
      </c>
      <c r="C7125" s="25">
        <v>0</v>
      </c>
      <c r="D7125" s="22" t="s">
        <v>9215</v>
      </c>
      <c r="E7125" s="22" t="s">
        <v>53</v>
      </c>
      <c r="F7125" s="23" t="str">
        <f>HYPERLINK("https://www.spark-marketing.ru/Card/Lot/71004831", "мониторинг цен в электронной форме на Оказание охранных услуг по пультовой охране объектов АО «Атомэнергопроект», расположенных по адресам: г. Москва, ул. Бакунинская, д. 7, стр. 1 и г. Москва, ул. Подольских Курсантов, д. 1.")</f>
        <v>мониторинг цен в электронной форме на Оказание охранных услуг по пультовой охране объектов АО «Атомэнергопроект», расположенных по адресам: г. Москва, ул. Бакунинская, д. 7, стр. 1 и г. Москва, ул. Подольских Курсантов, д. 1.</v>
      </c>
      <c r="G7125" s="22" t="s">
        <v>64</v>
      </c>
      <c r="H7125" s="22" t="s">
        <v>65</v>
      </c>
      <c r="I7125" s="26">
        <v>43616.419236111098</v>
      </c>
      <c r="J7125" s="28" t="s">
        <v>52</v>
      </c>
      <c r="K7125" s="28" t="s">
        <v>52</v>
      </c>
      <c r="L7125" s="28" t="s">
        <v>52</v>
      </c>
      <c r="M7125" s="28" t="s">
        <v>52</v>
      </c>
      <c r="N7125" s="28" t="s">
        <v>52</v>
      </c>
    </row>
    <row r="7126" spans="1:14" x14ac:dyDescent="0.15">
      <c r="A7126" s="23" t="str">
        <f>HYPERLINK("https://www.spark-marketing.ru/Card/Person/19240", "УПРАВЛЕНИЕ РОСАККРЕДИТАЦИИ ПО ЮФО И СКФО")</f>
        <v>УПРАВЛЕНИЕ РОСАККРЕДИТАЦИИ ПО ЮФО И СКФО</v>
      </c>
      <c r="B7126" s="24" t="s">
        <v>9194</v>
      </c>
      <c r="C7126" s="25">
        <v>12237.75</v>
      </c>
      <c r="D7126" s="22" t="s">
        <v>9216</v>
      </c>
      <c r="E7126" s="22" t="s">
        <v>53</v>
      </c>
      <c r="F7126" s="23" t="str">
        <f>HYPERLINK("https://www.spark-marketing.ru/Card/Lot/70991789", "Техническое обслуживание средств охранной сигнализации")</f>
        <v>Техническое обслуживание средств охранной сигнализации</v>
      </c>
      <c r="G7126" s="22" t="s">
        <v>402</v>
      </c>
      <c r="H7126" s="22" t="s">
        <v>403</v>
      </c>
      <c r="I7126" s="26">
        <v>43616.447025463</v>
      </c>
      <c r="J7126" s="28" t="s">
        <v>52</v>
      </c>
      <c r="K7126" s="28" t="s">
        <v>52</v>
      </c>
      <c r="L7126" s="28" t="s">
        <v>52</v>
      </c>
      <c r="M7126" s="28" t="s">
        <v>52</v>
      </c>
      <c r="N7126" s="28" t="s">
        <v>52</v>
      </c>
    </row>
    <row r="7127" spans="1:14" x14ac:dyDescent="0.15">
      <c r="A7127" s="23" t="str">
        <f>HYPERLINK("https://www.spark-marketing.ru/Card/Person/6855", "ОМСКАЯ ТАМОЖНЯ")</f>
        <v>ОМСКАЯ ТАМОЖНЯ</v>
      </c>
      <c r="B7127" s="24" t="s">
        <v>3749</v>
      </c>
      <c r="C7127" s="25">
        <v>63678.720000000001</v>
      </c>
      <c r="D7127" s="22" t="s">
        <v>9217</v>
      </c>
      <c r="E7127" s="22" t="s">
        <v>68</v>
      </c>
      <c r="F7127" s="23" t="str">
        <f>HYPERLINK("https://www.spark-marketing.ru/Card/Lot/70988093", "Возмездное оказание услуг по охране объекта Омской таможни")</f>
        <v>Возмездное оказание услуг по охране объекта Омской таможни</v>
      </c>
      <c r="G7127" s="22" t="s">
        <v>521</v>
      </c>
      <c r="H7127" s="22" t="s">
        <v>522</v>
      </c>
      <c r="I7127" s="26">
        <v>43616.456944444399</v>
      </c>
      <c r="J7127" s="23" t="str">
        <f>HYPERLINK("https://www.spark-marketing.ru/Card/Person/361604", "ФГКУ ""УВО ВНГ РОССИИ ПО ОМСКОЙ ОБЛАСТИ""")</f>
        <v>ФГКУ "УВО ВНГ РОССИИ ПО ОМСКОЙ ОБЛАСТИ"</v>
      </c>
      <c r="K7127" s="24" t="s">
        <v>3105</v>
      </c>
      <c r="L7127" s="22" t="s">
        <v>10</v>
      </c>
      <c r="M7127" s="28" t="s">
        <v>52</v>
      </c>
      <c r="N7127" s="28" t="s">
        <v>52</v>
      </c>
    </row>
    <row r="7128" spans="1:14" x14ac:dyDescent="0.15">
      <c r="A7128" s="23" t="str">
        <f>HYPERLINK("https://www.spark-marketing.ru/Card/Person/1067206", "МКУ БК ""УГО И ЧС""")</f>
        <v>МКУ БК "УГО И ЧС"</v>
      </c>
      <c r="B7128" s="24" t="s">
        <v>9218</v>
      </c>
      <c r="C7128" s="25">
        <v>44625</v>
      </c>
      <c r="D7128" s="22" t="s">
        <v>9219</v>
      </c>
      <c r="E7128" s="22" t="s">
        <v>234</v>
      </c>
      <c r="F7128" s="23" t="str">
        <f>HYPERLINK("https://www.spark-marketing.ru/Card/Lot/70990599", "Техническое обслуживание камер видеонаблюдения в сквере Сафарова")</f>
        <v>Техническое обслуживание камер видеонаблюдения в сквере Сафарова</v>
      </c>
      <c r="G7128" s="22" t="s">
        <v>402</v>
      </c>
      <c r="H7128" s="22" t="s">
        <v>631</v>
      </c>
      <c r="I7128" s="26">
        <v>43616.4194444444</v>
      </c>
      <c r="J7128" s="28" t="s">
        <v>52</v>
      </c>
      <c r="K7128" s="28" t="s">
        <v>52</v>
      </c>
      <c r="L7128" s="28" t="s">
        <v>52</v>
      </c>
      <c r="M7128" s="28" t="s">
        <v>52</v>
      </c>
      <c r="N7128" s="28" t="s">
        <v>52</v>
      </c>
    </row>
    <row r="7129" spans="1:14" x14ac:dyDescent="0.15">
      <c r="A7129" s="23" t="str">
        <f t="shared" ref="A7129:A7134" si="298">HYPERLINK("https://www.spark-marketing.ru/Card/Person/4348446", "ООО ""ТАИФ-НК АЗС""")</f>
        <v>ООО "ТАИФ-НК АЗС"</v>
      </c>
      <c r="B7129" s="24" t="s">
        <v>301</v>
      </c>
      <c r="C7129" s="25">
        <v>36025.11</v>
      </c>
      <c r="D7129" s="22" t="s">
        <v>9220</v>
      </c>
      <c r="E7129" s="22" t="s">
        <v>53</v>
      </c>
      <c r="F7129" s="23" t="str">
        <f>HYPERLINK("https://www.spark-marketing.ru/Card/Lot/71025664", "кабель удлинитель USB2.0-AMAF")</f>
        <v>кабель удлинитель USB2.0-AMAF</v>
      </c>
      <c r="G7129" s="22" t="s">
        <v>204</v>
      </c>
      <c r="H7129" s="22" t="s">
        <v>303</v>
      </c>
      <c r="I7129" s="26">
        <v>43616.385000000002</v>
      </c>
      <c r="J7129" s="28" t="s">
        <v>52</v>
      </c>
      <c r="K7129" s="28" t="s">
        <v>52</v>
      </c>
      <c r="L7129" s="28" t="s">
        <v>52</v>
      </c>
      <c r="M7129" s="28" t="s">
        <v>52</v>
      </c>
      <c r="N7129" s="28" t="s">
        <v>52</v>
      </c>
    </row>
    <row r="7130" spans="1:14" x14ac:dyDescent="0.15">
      <c r="A7130" s="23" t="str">
        <f t="shared" si="298"/>
        <v>ООО "ТАИФ-НК АЗС"</v>
      </c>
      <c r="B7130" s="24" t="s">
        <v>301</v>
      </c>
      <c r="C7130" s="25">
        <v>68475</v>
      </c>
      <c r="D7130" s="22" t="s">
        <v>9220</v>
      </c>
      <c r="E7130" s="22" t="s">
        <v>53</v>
      </c>
      <c r="F7130" s="23" t="str">
        <f>HYPERLINK("https://www.spark-marketing.ru/Card/Lot/71025667", "Настольный кронштейн Kron D208E")</f>
        <v>Настольный кронштейн Kron D208E</v>
      </c>
      <c r="G7130" s="22" t="s">
        <v>204</v>
      </c>
      <c r="H7130" s="22" t="s">
        <v>303</v>
      </c>
      <c r="I7130" s="26">
        <v>43616.385000000002</v>
      </c>
      <c r="J7130" s="28" t="s">
        <v>52</v>
      </c>
      <c r="K7130" s="28" t="s">
        <v>52</v>
      </c>
      <c r="L7130" s="28" t="s">
        <v>52</v>
      </c>
      <c r="M7130" s="28" t="s">
        <v>52</v>
      </c>
      <c r="N7130" s="28" t="s">
        <v>52</v>
      </c>
    </row>
    <row r="7131" spans="1:14" x14ac:dyDescent="0.15">
      <c r="A7131" s="23" t="str">
        <f t="shared" si="298"/>
        <v>ООО "ТАИФ-НК АЗС"</v>
      </c>
      <c r="B7131" s="24" t="s">
        <v>301</v>
      </c>
      <c r="C7131" s="25">
        <v>383349.78</v>
      </c>
      <c r="D7131" s="22" t="s">
        <v>9220</v>
      </c>
      <c r="E7131" s="22" t="s">
        <v>53</v>
      </c>
      <c r="F7131" s="23" t="str">
        <f>HYPERLINK("https://www.spark-marketing.ru/Card/Lot/71025668", "Кабель FTP 4 пары Cat.5e (305 м)")</f>
        <v>Кабель FTP 4 пары Cat.5e (305 м)</v>
      </c>
      <c r="G7131" s="22" t="s">
        <v>204</v>
      </c>
      <c r="H7131" s="22" t="s">
        <v>303</v>
      </c>
      <c r="I7131" s="26">
        <v>43616.385000000002</v>
      </c>
      <c r="J7131" s="28" t="s">
        <v>52</v>
      </c>
      <c r="K7131" s="28" t="s">
        <v>52</v>
      </c>
      <c r="L7131" s="28" t="s">
        <v>52</v>
      </c>
      <c r="M7131" s="28" t="s">
        <v>52</v>
      </c>
      <c r="N7131" s="28" t="s">
        <v>52</v>
      </c>
    </row>
    <row r="7132" spans="1:14" x14ac:dyDescent="0.15">
      <c r="A7132" s="23" t="str">
        <f t="shared" si="298"/>
        <v>ООО "ТАИФ-НК АЗС"</v>
      </c>
      <c r="B7132" s="24" t="s">
        <v>301</v>
      </c>
      <c r="C7132" s="25">
        <v>7442.27</v>
      </c>
      <c r="D7132" s="22" t="s">
        <v>9220</v>
      </c>
      <c r="E7132" s="22" t="s">
        <v>53</v>
      </c>
      <c r="F7132" s="23" t="str">
        <f>HYPERLINK("https://www.spark-marketing.ru/Card/Lot/71025670", "Провод ПУГВ 1х4 желто-зеленый многопроволочный")</f>
        <v>Провод ПУГВ 1х4 желто-зеленый многопроволочный</v>
      </c>
      <c r="G7132" s="22" t="s">
        <v>204</v>
      </c>
      <c r="H7132" s="22" t="s">
        <v>303</v>
      </c>
      <c r="I7132" s="26">
        <v>43616.385000000002</v>
      </c>
      <c r="J7132" s="28" t="s">
        <v>52</v>
      </c>
      <c r="K7132" s="28" t="s">
        <v>52</v>
      </c>
      <c r="L7132" s="28" t="s">
        <v>52</v>
      </c>
      <c r="M7132" s="28" t="s">
        <v>52</v>
      </c>
      <c r="N7132" s="28" t="s">
        <v>52</v>
      </c>
    </row>
    <row r="7133" spans="1:14" x14ac:dyDescent="0.15">
      <c r="A7133" s="23" t="str">
        <f t="shared" si="298"/>
        <v>ООО "ТАИФ-НК АЗС"</v>
      </c>
      <c r="B7133" s="24" t="s">
        <v>301</v>
      </c>
      <c r="C7133" s="25">
        <v>666.66</v>
      </c>
      <c r="D7133" s="22" t="s">
        <v>9220</v>
      </c>
      <c r="E7133" s="22" t="s">
        <v>53</v>
      </c>
      <c r="F7133" s="23" t="str">
        <f>HYPERLINK("https://www.spark-marketing.ru/Card/Lot/71025671", "Коннекторы 8P8C (RJ-45) (в упаковке 100 шт)")</f>
        <v>Коннекторы 8P8C (RJ-45) (в упаковке 100 шт)</v>
      </c>
      <c r="G7133" s="22" t="s">
        <v>204</v>
      </c>
      <c r="H7133" s="22" t="s">
        <v>303</v>
      </c>
      <c r="I7133" s="26">
        <v>43616.385000000002</v>
      </c>
      <c r="J7133" s="28" t="s">
        <v>52</v>
      </c>
      <c r="K7133" s="28" t="s">
        <v>52</v>
      </c>
      <c r="L7133" s="28" t="s">
        <v>52</v>
      </c>
      <c r="M7133" s="28" t="s">
        <v>52</v>
      </c>
      <c r="N7133" s="28" t="s">
        <v>52</v>
      </c>
    </row>
    <row r="7134" spans="1:14" x14ac:dyDescent="0.15">
      <c r="A7134" s="23" t="str">
        <f t="shared" si="298"/>
        <v>ООО "ТАИФ-НК АЗС"</v>
      </c>
      <c r="B7134" s="24" t="s">
        <v>301</v>
      </c>
      <c r="C7134" s="25">
        <v>21724.89</v>
      </c>
      <c r="D7134" s="22" t="s">
        <v>9220</v>
      </c>
      <c r="E7134" s="22" t="s">
        <v>53</v>
      </c>
      <c r="F7134" s="23" t="str">
        <f>HYPERLINK("https://www.spark-marketing.ru/Card/Lot/71025665", "Комплект беспроводной CROWN CMMK-954W")</f>
        <v>Комплект беспроводной CROWN CMMK-954W</v>
      </c>
      <c r="G7134" s="22" t="s">
        <v>204</v>
      </c>
      <c r="H7134" s="22" t="s">
        <v>303</v>
      </c>
      <c r="I7134" s="26">
        <v>43616.385000000002</v>
      </c>
      <c r="J7134" s="28" t="s">
        <v>52</v>
      </c>
      <c r="K7134" s="28" t="s">
        <v>52</v>
      </c>
      <c r="L7134" s="28" t="s">
        <v>52</v>
      </c>
      <c r="M7134" s="28" t="s">
        <v>52</v>
      </c>
      <c r="N7134" s="28" t="s">
        <v>52</v>
      </c>
    </row>
    <row r="7135" spans="1:14" x14ac:dyDescent="0.15">
      <c r="A7135" s="23" t="str">
        <f>HYPERLINK("https://www.spark-marketing.ru/Card/Person/1067206", "МКУ БК ""УГО И ЧС""")</f>
        <v>МКУ БК "УГО И ЧС"</v>
      </c>
      <c r="B7135" s="24" t="s">
        <v>9218</v>
      </c>
      <c r="C7135" s="25">
        <v>91875</v>
      </c>
      <c r="D7135" s="22" t="s">
        <v>9221</v>
      </c>
      <c r="E7135" s="22" t="s">
        <v>234</v>
      </c>
      <c r="F7135" s="23" t="str">
        <f>HYPERLINK("https://www.spark-marketing.ru/Card/Lot/70990476", "Техническое обслуживание видеокамер")</f>
        <v>Техническое обслуживание видеокамер</v>
      </c>
      <c r="G7135" s="22" t="s">
        <v>402</v>
      </c>
      <c r="H7135" s="22" t="s">
        <v>631</v>
      </c>
      <c r="I7135" s="26">
        <v>43616.411805555603</v>
      </c>
      <c r="J7135" s="28" t="s">
        <v>52</v>
      </c>
      <c r="K7135" s="28" t="s">
        <v>52</v>
      </c>
      <c r="L7135" s="28" t="s">
        <v>52</v>
      </c>
      <c r="M7135" s="28" t="s">
        <v>52</v>
      </c>
      <c r="N7135" s="28" t="s">
        <v>52</v>
      </c>
    </row>
    <row r="7136" spans="1:14" x14ac:dyDescent="0.15">
      <c r="A7136" s="23" t="str">
        <f>HYPERLINK("https://www.spark-marketing.ru/Card/Person/4348446", "ООО ""ТАИФ-НК АЗС""")</f>
        <v>ООО "ТАИФ-НК АЗС"</v>
      </c>
      <c r="B7136" s="24" t="s">
        <v>301</v>
      </c>
      <c r="C7136" s="25">
        <v>14355</v>
      </c>
      <c r="D7136" s="22" t="s">
        <v>9220</v>
      </c>
      <c r="E7136" s="22" t="s">
        <v>53</v>
      </c>
      <c r="F7136" s="23" t="str">
        <f>HYPERLINK("https://www.spark-marketing.ru/Card/Lot/71025669", "Силовой кабель ВВГнг(А)-LS 3x2,5")</f>
        <v>Силовой кабель ВВГнг(А)-LS 3x2,5</v>
      </c>
      <c r="G7136" s="22" t="s">
        <v>204</v>
      </c>
      <c r="H7136" s="22" t="s">
        <v>303</v>
      </c>
      <c r="I7136" s="26">
        <v>43616.385000000002</v>
      </c>
      <c r="J7136" s="28" t="s">
        <v>52</v>
      </c>
      <c r="K7136" s="28" t="s">
        <v>52</v>
      </c>
      <c r="L7136" s="28" t="s">
        <v>52</v>
      </c>
      <c r="M7136" s="28" t="s">
        <v>52</v>
      </c>
      <c r="N7136" s="28" t="s">
        <v>52</v>
      </c>
    </row>
    <row r="7137" spans="1:14" x14ac:dyDescent="0.15">
      <c r="A7137" s="23" t="str">
        <f>HYPERLINK("https://www.spark-marketing.ru/Card/Person/4449416", "МАОУ БУНЬКОВСКАЯ СОШ")</f>
        <v>МАОУ БУНЬКОВСКАЯ СОШ</v>
      </c>
      <c r="B7137" s="24" t="s">
        <v>2477</v>
      </c>
      <c r="C7137" s="25">
        <v>296000</v>
      </c>
      <c r="D7137" s="22" t="s">
        <v>9222</v>
      </c>
      <c r="E7137" s="22" t="s">
        <v>144</v>
      </c>
      <c r="F7137" s="23" t="str">
        <f>HYPERLINK("https://www.spark-marketing.ru/Card/Lot/70986494", "Услуги по охране имущества, обеспечению общественного порядка и соблюдения пропускного режима")</f>
        <v>Услуги по охране имущества, обеспечению общественного порядка и соблюдения пропускного режима</v>
      </c>
      <c r="G7137" s="22" t="s">
        <v>893</v>
      </c>
      <c r="H7137" s="22" t="s">
        <v>893</v>
      </c>
      <c r="I7137" s="26">
        <v>43616.395613425899</v>
      </c>
      <c r="J7137" s="28" t="s">
        <v>52</v>
      </c>
      <c r="K7137" s="28" t="s">
        <v>52</v>
      </c>
      <c r="L7137" s="28" t="s">
        <v>52</v>
      </c>
      <c r="M7137" s="28" t="s">
        <v>52</v>
      </c>
      <c r="N7137" s="28" t="s">
        <v>52</v>
      </c>
    </row>
    <row r="7138" spans="1:14" x14ac:dyDescent="0.15">
      <c r="A7138" s="23" t="str">
        <f>HYPERLINK("https://www.spark-marketing.ru/Card/Person/119770", "ФКУ ИК-11 ГУФСИН РОССИИ ПО ЧЕЛЯБИНСКОЙ ОБЛАСТИ")</f>
        <v>ФКУ ИК-11 ГУФСИН РОССИИ ПО ЧЕЛЯБИНСКОЙ ОБЛАСТИ</v>
      </c>
      <c r="B7138" s="24" t="s">
        <v>9223</v>
      </c>
      <c r="C7138" s="25">
        <v>28502.5</v>
      </c>
      <c r="D7138" s="22" t="s">
        <v>9224</v>
      </c>
      <c r="E7138" s="22" t="s">
        <v>53</v>
      </c>
      <c r="F7138" s="23" t="str">
        <f>HYPERLINK("https://www.spark-marketing.ru/Card/Lot/70989638", "Материалы для проведения технического обслуживания ИТСОН")</f>
        <v>Материалы для проведения технического обслуживания ИТСОН</v>
      </c>
      <c r="G7138" s="22" t="s">
        <v>60</v>
      </c>
      <c r="H7138" s="22" t="s">
        <v>5529</v>
      </c>
      <c r="I7138" s="26">
        <v>43616.4132060185</v>
      </c>
      <c r="J7138" s="28" t="s">
        <v>52</v>
      </c>
      <c r="K7138" s="28" t="s">
        <v>52</v>
      </c>
      <c r="L7138" s="28" t="s">
        <v>52</v>
      </c>
      <c r="M7138" s="28" t="s">
        <v>52</v>
      </c>
      <c r="N7138" s="28" t="s">
        <v>52</v>
      </c>
    </row>
    <row r="7139" spans="1:14" x14ac:dyDescent="0.15">
      <c r="A7139" s="23" t="str">
        <f>HYPERLINK("https://www.spark-marketing.ru/Card/Person/4348446", "ООО ""ТАИФ-НК АЗС""")</f>
        <v>ООО "ТАИФ-НК АЗС"</v>
      </c>
      <c r="B7139" s="24" t="s">
        <v>301</v>
      </c>
      <c r="C7139" s="25">
        <v>71224.89</v>
      </c>
      <c r="D7139" s="22" t="s">
        <v>9220</v>
      </c>
      <c r="E7139" s="22" t="s">
        <v>53</v>
      </c>
      <c r="F7139" s="23" t="str">
        <f>HYPERLINK("https://www.spark-marketing.ru/Card/Lot/71025666", "Кабель HDMI AVE HDAA-20U")</f>
        <v>Кабель HDMI AVE HDAA-20U</v>
      </c>
      <c r="G7139" s="22" t="s">
        <v>204</v>
      </c>
      <c r="H7139" s="22" t="s">
        <v>303</v>
      </c>
      <c r="I7139" s="26">
        <v>43616.385000000002</v>
      </c>
      <c r="J7139" s="28" t="s">
        <v>52</v>
      </c>
      <c r="K7139" s="28" t="s">
        <v>52</v>
      </c>
      <c r="L7139" s="28" t="s">
        <v>52</v>
      </c>
      <c r="M7139" s="28" t="s">
        <v>52</v>
      </c>
      <c r="N7139" s="28" t="s">
        <v>52</v>
      </c>
    </row>
    <row r="7140" spans="1:14" x14ac:dyDescent="0.15">
      <c r="A7140" s="23" t="str">
        <f>HYPERLINK("https://www.spark-marketing.ru/Card/Person/19957", "ГКУ ЯО ""БЕЗОПАСНЫЙ РЕГИОН""")</f>
        <v>ГКУ ЯО "БЕЗОПАСНЫЙ РЕГИОН"</v>
      </c>
      <c r="B7140" s="24" t="s">
        <v>9225</v>
      </c>
      <c r="C7140" s="25">
        <v>4248001.2</v>
      </c>
      <c r="D7140" s="22" t="s">
        <v>9226</v>
      </c>
      <c r="E7140" s="22" t="s">
        <v>59</v>
      </c>
      <c r="F7140" s="23" t="str">
        <f>HYPERLINK("https://www.spark-marketing.ru/Card/Lot/71008066", "выполнение работ по установке видеокамер для видеонаблюдения за территорией в наиболее криминогенных местах и местах массового пребывания граждан")</f>
        <v>выполнение работ по установке видеокамер для видеонаблюдения за территорией в наиболее криминогенных местах и местах массового пребывания граждан</v>
      </c>
      <c r="G7140" s="22" t="s">
        <v>155</v>
      </c>
      <c r="H7140" s="22" t="s">
        <v>156</v>
      </c>
      <c r="I7140" s="26">
        <v>43616.401388888902</v>
      </c>
      <c r="J7140" s="23" t="str">
        <f>HYPERLINK("https://www.spark-marketing.ru/Card/Person/109064", "ООО ""БЕЗОПАСНЫЙ РЕГИОН""")</f>
        <v>ООО "БЕЗОПАСНЫЙ РЕГИОН"</v>
      </c>
      <c r="K7140" s="24" t="s">
        <v>9227</v>
      </c>
      <c r="L7140" s="28" t="s">
        <v>52</v>
      </c>
      <c r="M7140" s="28" t="s">
        <v>52</v>
      </c>
      <c r="N7140" s="28" t="s">
        <v>52</v>
      </c>
    </row>
    <row r="7141" spans="1:14" ht="12.75" hidden="1" outlineLevel="1" x14ac:dyDescent="0.2">
      <c r="A7141" s="23" t="str">
        <f>HYPERLINK("https://www.spark-marketing.ru/Card/Person/19957", "ГКУ ЯО ""БЕЗОПАСНЫЙ РЕГИОН""")</f>
        <v>ГКУ ЯО "БЕЗОПАСНЫЙ РЕГИОН"</v>
      </c>
      <c r="B7141" s="24" t="s">
        <v>9225</v>
      </c>
      <c r="C7141" s="25">
        <v>4248001.2</v>
      </c>
      <c r="D7141" s="22" t="s">
        <v>9226</v>
      </c>
      <c r="E7141" s="22" t="s">
        <v>59</v>
      </c>
      <c r="F7141" s="23" t="str">
        <f>HYPERLINK("https://www.spark-marketing.ru/Card/Lot/71008066", "выполнение работ по установке видеокамер для видеонаблюдения за территорией в наиболее криминогенных местах и местах массового пребывания граждан")</f>
        <v>выполнение работ по установке видеокамер для видеонаблюдения за территорией в наиболее криминогенных местах и местах массового пребывания граждан</v>
      </c>
      <c r="G7141" s="22" t="s">
        <v>155</v>
      </c>
      <c r="H7141" s="22" t="s">
        <v>156</v>
      </c>
      <c r="I7141" s="26">
        <v>43616.401388888902</v>
      </c>
      <c r="J7141" s="23" t="str">
        <f>HYPERLINK("https://www.spark-marketing.ru/Card/Person/109064", "ООО ""БЕЗОПАСНЫЙ РЕГИОН""")</f>
        <v>ООО "БЕЗОПАСНЫЙ РЕГИОН"</v>
      </c>
      <c r="K7141" s="24" t="s">
        <v>9227</v>
      </c>
      <c r="L7141" s="22" t="s">
        <v>10</v>
      </c>
      <c r="M7141" s="25">
        <v>4226761.1900000004</v>
      </c>
      <c r="N7141" s="27">
        <v>5.0000009416193199E-3</v>
      </c>
    </row>
    <row r="7142" spans="1:14" x14ac:dyDescent="0.15">
      <c r="A7142" s="23" t="str">
        <f>HYPERLINK("https://www.spark-marketing.ru/Card/Person/16262", "ФКУ ""ГБ МСЭ ПО САМАРСКОЙ ОБЛАСТИ"" МИНТРУДА РОССИИ.")</f>
        <v>ФКУ "ГБ МСЭ ПО САМАРСКОЙ ОБЛАСТИ" МИНТРУДА РОССИИ.</v>
      </c>
      <c r="B7142" s="24" t="s">
        <v>9228</v>
      </c>
      <c r="C7142" s="25">
        <v>99500</v>
      </c>
      <c r="D7142" s="22" t="s">
        <v>9229</v>
      </c>
      <c r="E7142" s="22" t="s">
        <v>53</v>
      </c>
      <c r="F7142" s="23" t="str">
        <f>HYPERLINK("https://www.spark-marketing.ru/Card/Lot/70989567", "Техническое обслуживание системы видеонаблюдения")</f>
        <v>Техническое обслуживание системы видеонаблюдения</v>
      </c>
      <c r="G7142" s="22" t="s">
        <v>760</v>
      </c>
      <c r="H7142" s="22" t="s">
        <v>1709</v>
      </c>
      <c r="I7142" s="26">
        <v>43616.397731481498</v>
      </c>
      <c r="J7142" s="28" t="s">
        <v>52</v>
      </c>
      <c r="K7142" s="28" t="s">
        <v>52</v>
      </c>
      <c r="L7142" s="28" t="s">
        <v>52</v>
      </c>
      <c r="M7142" s="28" t="s">
        <v>52</v>
      </c>
      <c r="N7142" s="28" t="s">
        <v>52</v>
      </c>
    </row>
    <row r="7143" spans="1:14" x14ac:dyDescent="0.15">
      <c r="A7143" s="23" t="str">
        <f>HYPERLINK("https://www.spark-marketing.ru/Card/Person/214364", "КГКУ ДЕТСКИЙ ДОМ 8")</f>
        <v>КГКУ ДЕТСКИЙ ДОМ 8</v>
      </c>
      <c r="B7143" s="24" t="s">
        <v>8980</v>
      </c>
      <c r="C7143" s="25">
        <v>25000</v>
      </c>
      <c r="D7143" s="22" t="s">
        <v>9230</v>
      </c>
      <c r="E7143" s="22" t="s">
        <v>84</v>
      </c>
      <c r="F7143" s="23" t="str">
        <f>HYPERLINK("https://www.spark-marketing.ru/Card/Lot/70987384", "Монтаж, установка видеонаблюдения, 1 шт")</f>
        <v>Монтаж, установка видеонаблюдения, 1 шт</v>
      </c>
      <c r="G7143" s="22" t="s">
        <v>138</v>
      </c>
      <c r="H7143" s="22" t="s">
        <v>139</v>
      </c>
      <c r="I7143" s="26">
        <v>43616.375740740703</v>
      </c>
      <c r="J7143" s="28" t="s">
        <v>52</v>
      </c>
      <c r="K7143" s="28" t="s">
        <v>52</v>
      </c>
      <c r="L7143" s="28" t="s">
        <v>52</v>
      </c>
      <c r="M7143" s="28" t="s">
        <v>52</v>
      </c>
      <c r="N7143" s="28" t="s">
        <v>52</v>
      </c>
    </row>
    <row r="7144" spans="1:14" x14ac:dyDescent="0.15">
      <c r="A7144" s="23" t="str">
        <f>HYPERLINK("https://www.spark-marketing.ru/Card/Person/4348446", "ООО ""ТАИФ-НК АЗС""")</f>
        <v>ООО "ТАИФ-НК АЗС"</v>
      </c>
      <c r="B7144" s="24" t="s">
        <v>301</v>
      </c>
      <c r="C7144" s="25">
        <v>8333.2999999999993</v>
      </c>
      <c r="D7144" s="22" t="s">
        <v>9220</v>
      </c>
      <c r="E7144" s="22" t="s">
        <v>53</v>
      </c>
      <c r="F7144" s="23" t="str">
        <f>HYPERLINK("https://www.spark-marketing.ru/Card/Lot/71025672", "Коннекторы 8P8C (RJ-45) с экраном (в упаковке 100 шт)")</f>
        <v>Коннекторы 8P8C (RJ-45) с экраном (в упаковке 100 шт)</v>
      </c>
      <c r="G7144" s="22" t="s">
        <v>204</v>
      </c>
      <c r="H7144" s="22" t="s">
        <v>303</v>
      </c>
      <c r="I7144" s="26">
        <v>43616.385000000002</v>
      </c>
      <c r="J7144" s="28" t="s">
        <v>52</v>
      </c>
      <c r="K7144" s="28" t="s">
        <v>52</v>
      </c>
      <c r="L7144" s="28" t="s">
        <v>52</v>
      </c>
      <c r="M7144" s="28" t="s">
        <v>52</v>
      </c>
      <c r="N7144" s="28" t="s">
        <v>52</v>
      </c>
    </row>
    <row r="7145" spans="1:14" x14ac:dyDescent="0.15">
      <c r="A7145" s="23" t="str">
        <f>HYPERLINK("https://www.spark-marketing.ru/Card/Person/214364", "КГКУ ДЕТСКИЙ ДОМ 8")</f>
        <v>КГКУ ДЕТСКИЙ ДОМ 8</v>
      </c>
      <c r="B7145" s="24" t="s">
        <v>8980</v>
      </c>
      <c r="C7145" s="25">
        <v>23000</v>
      </c>
      <c r="D7145" s="22" t="s">
        <v>9231</v>
      </c>
      <c r="E7145" s="22" t="s">
        <v>59</v>
      </c>
      <c r="F7145" s="23" t="str">
        <f>HYPERLINK("https://www.spark-marketing.ru/Card/Lot/70987367", "Установка охранной сигнализации, 1 шт")</f>
        <v>Установка охранной сигнализации, 1 шт</v>
      </c>
      <c r="G7145" s="22" t="s">
        <v>138</v>
      </c>
      <c r="H7145" s="22" t="s">
        <v>139</v>
      </c>
      <c r="I7145" s="26">
        <v>43616.370625000003</v>
      </c>
      <c r="J7145" s="28" t="s">
        <v>52</v>
      </c>
      <c r="K7145" s="28" t="s">
        <v>52</v>
      </c>
      <c r="L7145" s="28" t="s">
        <v>52</v>
      </c>
      <c r="M7145" s="28" t="s">
        <v>52</v>
      </c>
      <c r="N7145" s="28" t="s">
        <v>52</v>
      </c>
    </row>
    <row r="7146" spans="1:14" x14ac:dyDescent="0.15">
      <c r="A7146" s="23" t="str">
        <f>HYPERLINK("https://www.spark-marketing.ru/Card/Person/564692", "ГБПОУ ""СОМК""")</f>
        <v>ГБПОУ "СОМК"</v>
      </c>
      <c r="B7146" s="24" t="s">
        <v>1402</v>
      </c>
      <c r="C7146" s="25">
        <v>61961.52</v>
      </c>
      <c r="D7146" s="22" t="s">
        <v>9232</v>
      </c>
      <c r="E7146" s="22" t="s">
        <v>52</v>
      </c>
      <c r="F7146" s="23" t="str">
        <f>HYPERLINK("https://www.spark-marketing.ru/Card/Lot/70986009", "Услуги охраны")</f>
        <v>Услуги охраны</v>
      </c>
      <c r="G7146" s="22" t="s">
        <v>72</v>
      </c>
      <c r="H7146" s="22" t="s">
        <v>949</v>
      </c>
      <c r="I7146" s="26">
        <v>43616.370833333298</v>
      </c>
      <c r="J7146" s="28" t="s">
        <v>52</v>
      </c>
      <c r="K7146" s="28" t="s">
        <v>52</v>
      </c>
      <c r="L7146" s="28" t="s">
        <v>52</v>
      </c>
      <c r="M7146" s="28" t="s">
        <v>52</v>
      </c>
      <c r="N7146" s="28" t="s">
        <v>52</v>
      </c>
    </row>
    <row r="7147" spans="1:14" hidden="1" outlineLevel="1" x14ac:dyDescent="0.2">
      <c r="A7147" s="23" t="str">
        <f>HYPERLINK("https://www.spark-marketing.ru/Card/Person/564692", "ГБПОУ ""СОМК""")</f>
        <v>ГБПОУ "СОМК"</v>
      </c>
      <c r="B7147" s="24" t="s">
        <v>1402</v>
      </c>
      <c r="C7147" s="25">
        <v>61961.52</v>
      </c>
      <c r="D7147" s="22" t="s">
        <v>9232</v>
      </c>
      <c r="E7147" s="22" t="s">
        <v>52</v>
      </c>
      <c r="F7147" s="23" t="str">
        <f>HYPERLINK("https://www.spark-marketing.ru/Card/Lot/70986009", "Услуги охраны")</f>
        <v>Услуги охраны</v>
      </c>
      <c r="G7147" s="22" t="s">
        <v>72</v>
      </c>
      <c r="H7147" s="22" t="s">
        <v>949</v>
      </c>
      <c r="I7147" s="26">
        <v>43616.370833333298</v>
      </c>
      <c r="J7147" s="23" t="str">
        <f>HYPERLINK("https://www.spark-marketing.ru/Card/Person/1486619", "ООО ЧОП ""ГАРДИАН""")</f>
        <v>ООО ЧОП "ГАРДИАН"</v>
      </c>
      <c r="K7147" s="24" t="s">
        <v>9233</v>
      </c>
      <c r="L7147" s="28" t="s">
        <v>52</v>
      </c>
      <c r="M7147" s="25">
        <v>18000</v>
      </c>
      <c r="N7147" s="27">
        <v>0.70949712014811772</v>
      </c>
    </row>
    <row r="7148" spans="1:14" ht="12.75" hidden="1" outlineLevel="1" x14ac:dyDescent="0.2">
      <c r="A7148" s="23" t="str">
        <f>HYPERLINK("https://www.spark-marketing.ru/Card/Person/564692", "ГБПОУ ""СОМК""")</f>
        <v>ГБПОУ "СОМК"</v>
      </c>
      <c r="B7148" s="24" t="s">
        <v>1402</v>
      </c>
      <c r="C7148" s="25">
        <v>61961.52</v>
      </c>
      <c r="D7148" s="22" t="s">
        <v>9232</v>
      </c>
      <c r="E7148" s="22" t="s">
        <v>52</v>
      </c>
      <c r="F7148" s="23" t="str">
        <f>HYPERLINK("https://www.spark-marketing.ru/Card/Lot/70986009", "Услуги охраны")</f>
        <v>Услуги охраны</v>
      </c>
      <c r="G7148" s="22" t="s">
        <v>72</v>
      </c>
      <c r="H7148" s="22" t="s">
        <v>949</v>
      </c>
      <c r="I7148" s="26">
        <v>43616.370833333298</v>
      </c>
      <c r="J7148" s="23" t="str">
        <f>HYPERLINK("https://www.spark-marketing.ru/Card/Person/31423", "ООО ""ЧОО ""ЗАЩИТА-УНИВЕРСАЛ""")</f>
        <v>ООО "ЧОО "ЗАЩИТА-УНИВЕРСАЛ"</v>
      </c>
      <c r="K7148" s="24" t="s">
        <v>9234</v>
      </c>
      <c r="L7148" s="22" t="s">
        <v>10</v>
      </c>
      <c r="M7148" s="25">
        <v>17690</v>
      </c>
      <c r="N7148" s="27">
        <v>0.71450022530112234</v>
      </c>
    </row>
    <row r="7149" spans="1:14" x14ac:dyDescent="0.15">
      <c r="A7149" s="23" t="str">
        <f>HYPERLINK("https://www.spark-marketing.ru/Card/Person/19413", "УМВД РОССИИ ПО АМУРСКОЙ ОБЛАСТИ")</f>
        <v>УМВД РОССИИ ПО АМУРСКОЙ ОБЛАСТИ</v>
      </c>
      <c r="B7149" s="24" t="s">
        <v>3544</v>
      </c>
      <c r="C7149" s="25">
        <v>494906.5</v>
      </c>
      <c r="D7149" s="22" t="s">
        <v>9235</v>
      </c>
      <c r="E7149" s="22" t="s">
        <v>103</v>
      </c>
      <c r="F7149" s="23" t="str">
        <f>HYPERLINK("https://www.spark-marketing.ru/Card/Lot/70981701", "Оказание услуг по обслуживанию системы видеонаблюдения")</f>
        <v>Оказание услуг по обслуживанию системы видеонаблюдения</v>
      </c>
      <c r="G7149" s="22" t="s">
        <v>230</v>
      </c>
      <c r="H7149" s="22" t="s">
        <v>230</v>
      </c>
      <c r="I7149" s="26">
        <v>43616.373611111099</v>
      </c>
      <c r="J7149" s="23" t="str">
        <f>HYPERLINK("https://www.spark-marketing.ru/Card/Person/266609", "ООО ""МАСКОМ-АМУР""")</f>
        <v>ООО "МАСКОМ-АМУР"</v>
      </c>
      <c r="K7149" s="24" t="s">
        <v>9236</v>
      </c>
      <c r="L7149" s="28" t="s">
        <v>52</v>
      </c>
      <c r="M7149" s="28" t="s">
        <v>52</v>
      </c>
      <c r="N7149" s="28" t="s">
        <v>52</v>
      </c>
    </row>
    <row r="7150" spans="1:14" ht="12.75" hidden="1" outlineLevel="1" x14ac:dyDescent="0.2">
      <c r="A7150" s="23" t="str">
        <f>HYPERLINK("https://www.spark-marketing.ru/Card/Person/19413", "УМВД РОССИИ ПО АМУРСКОЙ ОБЛАСТИ")</f>
        <v>УМВД РОССИИ ПО АМУРСКОЙ ОБЛАСТИ</v>
      </c>
      <c r="B7150" s="24" t="s">
        <v>3544</v>
      </c>
      <c r="C7150" s="25">
        <v>494906.5</v>
      </c>
      <c r="D7150" s="22" t="s">
        <v>9235</v>
      </c>
      <c r="E7150" s="22" t="s">
        <v>103</v>
      </c>
      <c r="F7150" s="23" t="str">
        <f>HYPERLINK("https://www.spark-marketing.ru/Card/Lot/70981701", "Оказание услуг по обслуживанию системы видеонаблюдения")</f>
        <v>Оказание услуг по обслуживанию системы видеонаблюдения</v>
      </c>
      <c r="G7150" s="22" t="s">
        <v>230</v>
      </c>
      <c r="H7150" s="22" t="s">
        <v>230</v>
      </c>
      <c r="I7150" s="26">
        <v>43616.373611111099</v>
      </c>
      <c r="J7150" s="23" t="str">
        <f>HYPERLINK("https://www.spark-marketing.ru/Card/Person/266609", "ООО ""МАСКОМ-АМУР""")</f>
        <v>ООО "МАСКОМ-АМУР"</v>
      </c>
      <c r="K7150" s="24" t="s">
        <v>9236</v>
      </c>
      <c r="L7150" s="22" t="s">
        <v>10</v>
      </c>
      <c r="M7150" s="25">
        <v>492431.96</v>
      </c>
      <c r="N7150" s="27">
        <v>5.0000151543776452E-3</v>
      </c>
    </row>
    <row r="7151" spans="1:14" x14ac:dyDescent="0.15">
      <c r="A7151" s="23" t="str">
        <f>HYPERLINK("https://www.spark-marketing.ru/Card/Person/9480", "ФКУ ДСД ""ДАЛЬНИЙ ВОСТОК""")</f>
        <v>ФКУ ДСД "ДАЛЬНИЙ ВОСТОК"</v>
      </c>
      <c r="B7151" s="24" t="s">
        <v>9237</v>
      </c>
      <c r="C7151" s="25">
        <v>35000</v>
      </c>
      <c r="D7151" s="22" t="s">
        <v>9238</v>
      </c>
      <c r="E7151" s="22" t="s">
        <v>208</v>
      </c>
      <c r="F7151" s="23" t="str">
        <f>HYPERLINK("https://www.spark-marketing.ru/Card/Lot/70987519", "Оказание услуг по установке/замене автомобильной сигнализации (г. Благовещенск)")</f>
        <v>Оказание услуг по установке/замене автомобильной сигнализации (г. Благовещенск)</v>
      </c>
      <c r="G7151" s="22" t="s">
        <v>138</v>
      </c>
      <c r="H7151" s="22" t="s">
        <v>255</v>
      </c>
      <c r="I7151" s="26">
        <v>43616.363206018497</v>
      </c>
      <c r="J7151" s="28" t="s">
        <v>52</v>
      </c>
      <c r="K7151" s="28" t="s">
        <v>52</v>
      </c>
      <c r="L7151" s="28" t="s">
        <v>52</v>
      </c>
      <c r="M7151" s="28" t="s">
        <v>52</v>
      </c>
      <c r="N7151" s="28" t="s">
        <v>52</v>
      </c>
    </row>
    <row r="7152" spans="1:14" x14ac:dyDescent="0.15">
      <c r="A7152" s="23" t="str">
        <f>HYPERLINK("https://www.spark-marketing.ru/Card/Person/25854", "УМВД РОССИИ ПО ПРИМОРСКОМУ КРАЮ")</f>
        <v>УМВД РОССИИ ПО ПРИМОРСКОМУ КРАЮ</v>
      </c>
      <c r="B7152" s="24" t="s">
        <v>9239</v>
      </c>
      <c r="C7152" s="25">
        <v>52525.74</v>
      </c>
      <c r="D7152" s="22" t="s">
        <v>9240</v>
      </c>
      <c r="E7152" s="22" t="s">
        <v>53</v>
      </c>
      <c r="F7152" s="23" t="str">
        <f>HYPERLINK("https://www.spark-marketing.ru/Card/Lot/70986251", "оказание услуг по централизацованной охране объектов")</f>
        <v>оказание услуг по централизацованной охране объектов</v>
      </c>
      <c r="G7152" s="22" t="s">
        <v>409</v>
      </c>
      <c r="H7152" s="22" t="s">
        <v>878</v>
      </c>
      <c r="I7152" s="26">
        <v>43616.323506944398</v>
      </c>
      <c r="J7152" s="28" t="s">
        <v>52</v>
      </c>
      <c r="K7152" s="28" t="s">
        <v>52</v>
      </c>
      <c r="L7152" s="28" t="s">
        <v>52</v>
      </c>
      <c r="M7152" s="28" t="s">
        <v>52</v>
      </c>
      <c r="N7152" s="28" t="s">
        <v>52</v>
      </c>
    </row>
    <row r="7153" spans="1:14" x14ac:dyDescent="0.15">
      <c r="A7153" s="23" t="str">
        <f>HYPERLINK("https://www.spark-marketing.ru/Card/Person/75669", "ОМВД РОССИИ ПО СУРГУТСКОМУ РАЙОНУ")</f>
        <v>ОМВД РОССИИ ПО СУРГУТСКОМУ РАЙОНУ</v>
      </c>
      <c r="B7153" s="24" t="s">
        <v>9241</v>
      </c>
      <c r="C7153" s="25">
        <v>97736</v>
      </c>
      <c r="D7153" s="22" t="s">
        <v>9242</v>
      </c>
      <c r="E7153" s="22" t="s">
        <v>59</v>
      </c>
      <c r="F7153" s="23" t="str">
        <f>HYPERLINK("https://www.spark-marketing.ru/Card/Lot/70986302", "Установка охранной сигнализации, 1 шт")</f>
        <v>Установка охранной сигнализации, 1 шт</v>
      </c>
      <c r="G7153" s="22" t="s">
        <v>119</v>
      </c>
      <c r="H7153" s="22" t="s">
        <v>416</v>
      </c>
      <c r="I7153" s="26">
        <v>43616.3039699074</v>
      </c>
      <c r="J7153" s="28" t="s">
        <v>52</v>
      </c>
      <c r="K7153" s="28" t="s">
        <v>52</v>
      </c>
      <c r="L7153" s="28" t="s">
        <v>52</v>
      </c>
      <c r="M7153" s="28" t="s">
        <v>52</v>
      </c>
      <c r="N7153" s="28" t="s">
        <v>52</v>
      </c>
    </row>
    <row r="7154" spans="1:14" x14ac:dyDescent="0.2">
      <c r="A7154" s="23" t="str">
        <f>HYPERLINK("https://www.spark-marketing.ru/Card/Person/4414177", "ГАУ ДО НСО ""ОЦРТДИЮ""")</f>
        <v>ГАУ ДО НСО "ОЦРТДИЮ"</v>
      </c>
      <c r="B7154" s="24" t="s">
        <v>9243</v>
      </c>
      <c r="C7154" s="25">
        <v>210726</v>
      </c>
      <c r="D7154" s="22" t="s">
        <v>9244</v>
      </c>
      <c r="E7154" s="22" t="s">
        <v>9245</v>
      </c>
      <c r="F7154" s="23" t="str">
        <f>HYPERLINK("https://www.spark-marketing.ru/Card/Lot/70980896", "Выполнение работ по обслуживанию системы видеонаблюдения")</f>
        <v>Выполнение работ по обслуживанию системы видеонаблюдения</v>
      </c>
      <c r="G7154" s="22" t="s">
        <v>209</v>
      </c>
      <c r="H7154" s="22" t="s">
        <v>209</v>
      </c>
      <c r="I7154" s="26">
        <v>43616.226875</v>
      </c>
      <c r="J7154" s="28" t="s">
        <v>52</v>
      </c>
      <c r="K7154" s="28" t="s">
        <v>52</v>
      </c>
      <c r="L7154" s="28" t="s">
        <v>52</v>
      </c>
      <c r="M7154" s="25">
        <v>210726</v>
      </c>
      <c r="N7154" s="27">
        <v>0</v>
      </c>
    </row>
    <row r="7155" spans="1:14" x14ac:dyDescent="0.15">
      <c r="A7155" s="23" t="str">
        <f>HYPERLINK("https://www.spark-marketing.ru/Card/Person/107173", "ФГУП ""УВО МИНТРАНСА РОССИИ""")</f>
        <v>ФГУП "УВО МИНТРАНСА РОССИИ"</v>
      </c>
      <c r="B7155" s="24" t="s">
        <v>1472</v>
      </c>
      <c r="C7155" s="25">
        <v>170244.4</v>
      </c>
      <c r="D7155" s="22" t="s">
        <v>9246</v>
      </c>
      <c r="E7155" s="22" t="s">
        <v>144</v>
      </c>
      <c r="F7155" s="23" t="str">
        <f>HYPERLINK("https://www.spark-marketing.ru/Card/Lot/70984805", "Оказание услуг по выезду тревожной группы при получении сигнала ""Тревога"" с кнопки тревожной сигнализации на объекте Комсомольского - на - Амуре центра ОВД - ДП ""Вышка"", для нужд Приморского филиала ФГУП ""УВО Минтранса России""")</f>
        <v>Оказание услуг по выезду тревожной группы при получении сигнала "Тревога" с кнопки тревожной сигнализации на объекте Комсомольского - на - Амуре центра ОВД - ДП "Вышка", для нужд Приморского филиала ФГУП "УВО Минтранса России"</v>
      </c>
      <c r="G7155" s="22" t="s">
        <v>138</v>
      </c>
      <c r="H7155" s="22" t="s">
        <v>138</v>
      </c>
      <c r="I7155" s="26">
        <v>43616.221458333297</v>
      </c>
      <c r="J7155" s="28" t="s">
        <v>52</v>
      </c>
      <c r="K7155" s="28" t="s">
        <v>52</v>
      </c>
      <c r="L7155" s="28" t="s">
        <v>52</v>
      </c>
      <c r="M7155" s="28" t="s">
        <v>52</v>
      </c>
      <c r="N7155" s="28" t="s">
        <v>52</v>
      </c>
    </row>
    <row r="7156" spans="1:14" x14ac:dyDescent="0.15">
      <c r="A7156" s="23" t="str">
        <f>HYPERLINK("https://www.spark-marketing.ru/Card/Person/107173", "ФГУП ""УВО МИНТРАНСА РОССИИ""")</f>
        <v>ФГУП "УВО МИНТРАНСА РОССИИ"</v>
      </c>
      <c r="B7156" s="24" t="s">
        <v>1472</v>
      </c>
      <c r="C7156" s="25">
        <v>129101.6</v>
      </c>
      <c r="D7156" s="22" t="s">
        <v>9247</v>
      </c>
      <c r="E7156" s="22" t="s">
        <v>144</v>
      </c>
      <c r="F7156" s="23" t="str">
        <f>HYPERLINK("https://www.spark-marketing.ru/Card/Lot/70984286", "Оказание услуг по выезду тревожной группы при получении сигнала ""Тревога"" с кнопки тревожной сигнализации на объекте Хабаровского УЦ ЕС ОрВД филиала ""Аэронавигация Дальнего Востока"", для нужд Приморского филиала ФГУП ""УВО Минтранса России""")</f>
        <v>Оказание услуг по выезду тревожной группы при получении сигнала "Тревога" с кнопки тревожной сигнализации на объекте Хабаровского УЦ ЕС ОрВД филиала "Аэронавигация Дальнего Востока", для нужд Приморского филиала ФГУП "УВО Минтранса России"</v>
      </c>
      <c r="G7156" s="22" t="s">
        <v>409</v>
      </c>
      <c r="H7156" s="22" t="s">
        <v>409</v>
      </c>
      <c r="I7156" s="26">
        <v>43616.214143518497</v>
      </c>
      <c r="J7156" s="28" t="s">
        <v>52</v>
      </c>
      <c r="K7156" s="28" t="s">
        <v>52</v>
      </c>
      <c r="L7156" s="28" t="s">
        <v>52</v>
      </c>
      <c r="M7156" s="28" t="s">
        <v>52</v>
      </c>
      <c r="N7156" s="28" t="s">
        <v>52</v>
      </c>
    </row>
    <row r="7157" spans="1:14" x14ac:dyDescent="0.15">
      <c r="A7157" s="23" t="str">
        <f>HYPERLINK("https://www.spark-marketing.ru/Card/Person/5294", "УПРАВЛЕНИЕ РОСРЕЕСТРА ПО РЕСПУБЛИКЕ БУРЯТИЯ")</f>
        <v>УПРАВЛЕНИЕ РОСРЕЕСТРА ПО РЕСПУБЛИКЕ БУРЯТИЯ</v>
      </c>
      <c r="B7157" s="24" t="s">
        <v>9248</v>
      </c>
      <c r="C7157" s="25">
        <v>16500</v>
      </c>
      <c r="D7157" s="22" t="s">
        <v>9249</v>
      </c>
      <c r="E7157" s="22" t="s">
        <v>53</v>
      </c>
      <c r="F7157" s="23" t="str">
        <f>HYPERLINK("https://www.spark-marketing.ru/Card/Lot/70984340", "монтаж кнопки тревожной сигнализации")</f>
        <v>монтаж кнопки тревожной сигнализации</v>
      </c>
      <c r="G7157" s="22" t="s">
        <v>354</v>
      </c>
      <c r="H7157" s="22" t="s">
        <v>355</v>
      </c>
      <c r="I7157" s="26">
        <v>43616.225868055597</v>
      </c>
      <c r="J7157" s="28" t="s">
        <v>52</v>
      </c>
      <c r="K7157" s="28" t="s">
        <v>52</v>
      </c>
      <c r="L7157" s="28" t="s">
        <v>52</v>
      </c>
      <c r="M7157" s="28" t="s">
        <v>52</v>
      </c>
      <c r="N7157" s="28" t="s">
        <v>52</v>
      </c>
    </row>
    <row r="7158" spans="1:14" x14ac:dyDescent="0.15">
      <c r="A7158" s="23" t="str">
        <f>HYPERLINK("https://www.spark-marketing.ru/Card/Person/107173", "ФГУП ""УВО МИНТРАНСА РОССИИ""")</f>
        <v>ФГУП "УВО МИНТРАНСА РОССИИ"</v>
      </c>
      <c r="B7158" s="24" t="s">
        <v>1472</v>
      </c>
      <c r="C7158" s="25">
        <v>170244.4</v>
      </c>
      <c r="D7158" s="22" t="s">
        <v>9250</v>
      </c>
      <c r="E7158" s="22" t="s">
        <v>144</v>
      </c>
      <c r="F7158" s="23" t="str">
        <f>HYPERLINK("https://www.spark-marketing.ru/Card/Lot/70984247", "Оказание услуг по выезду тревожной группы при получении сигнала ""Тревога"" с кнопки тревожной сигнализации на объекте Благовещенского центра ОВД филиала ""Аэронавигация Дальнего Востока"", для нужд Приморского филиала ФГУП ""УВО Минтранса России""")</f>
        <v>Оказание услуг по выезду тревожной группы при получении сигнала "Тревога" с кнопки тревожной сигнализации на объекте Благовещенского центра ОВД филиала "Аэронавигация Дальнего Востока", для нужд Приморского филиала ФГУП "УВО Минтранса России"</v>
      </c>
      <c r="G7158" s="22" t="s">
        <v>230</v>
      </c>
      <c r="H7158" s="22" t="s">
        <v>230</v>
      </c>
      <c r="I7158" s="26">
        <v>43616.1960763889</v>
      </c>
      <c r="J7158" s="28" t="s">
        <v>52</v>
      </c>
      <c r="K7158" s="28" t="s">
        <v>52</v>
      </c>
      <c r="L7158" s="28" t="s">
        <v>52</v>
      </c>
      <c r="M7158" s="28" t="s">
        <v>52</v>
      </c>
      <c r="N7158" s="28" t="s">
        <v>52</v>
      </c>
    </row>
    <row r="7159" spans="1:14" x14ac:dyDescent="0.15">
      <c r="A7159" s="23" t="str">
        <f>HYPERLINK("https://www.spark-marketing.ru/Card/Person/76143", "МБУ ""ДЕЗ""")</f>
        <v>МБУ "ДЕЗ"</v>
      </c>
      <c r="B7159" s="24" t="s">
        <v>7862</v>
      </c>
      <c r="C7159" s="25">
        <v>18770</v>
      </c>
      <c r="D7159" s="22" t="s">
        <v>9251</v>
      </c>
      <c r="E7159" s="22" t="s">
        <v>53</v>
      </c>
      <c r="F7159" s="23" t="str">
        <f>HYPERLINK("https://www.spark-marketing.ru/Card/Lot/73743315", "Техническое обслуживание системы видеонаблюдения")</f>
        <v>Техническое обслуживание системы видеонаблюдения</v>
      </c>
      <c r="G7159" s="22" t="s">
        <v>204</v>
      </c>
      <c r="H7159" s="22" t="s">
        <v>824</v>
      </c>
      <c r="I7159" s="26">
        <v>43616</v>
      </c>
      <c r="J7159" s="28" t="s">
        <v>52</v>
      </c>
      <c r="K7159" s="28" t="s">
        <v>52</v>
      </c>
      <c r="L7159" s="28" t="s">
        <v>52</v>
      </c>
      <c r="M7159" s="28" t="s">
        <v>52</v>
      </c>
      <c r="N7159" s="28" t="s">
        <v>52</v>
      </c>
    </row>
    <row r="7160" spans="1:14" x14ac:dyDescent="0.15">
      <c r="A7160" s="23" t="str">
        <f>HYPERLINK("https://www.spark-marketing.ru/Card/Person/4416372", "МУП ""МЕЖРАЙОННЫЙ ЩЁЛКОВСКИЙ ВОДОКАНАЛ""")</f>
        <v>МУП "МЕЖРАЙОННЫЙ ЩЁЛКОВСКИЙ ВОДОКАНАЛ"</v>
      </c>
      <c r="B7160" s="24" t="s">
        <v>9252</v>
      </c>
      <c r="C7160" s="25">
        <v>251760.79</v>
      </c>
      <c r="D7160" s="22" t="s">
        <v>9253</v>
      </c>
      <c r="E7160" s="22" t="s">
        <v>49</v>
      </c>
      <c r="F7160" s="23" t="str">
        <f>HYPERLINK("https://www.spark-marketing.ru/Card/Lot/70967203", "Выполнение работ по установке охранно-тревожной сигнализации")</f>
        <v>Выполнение работ по установке охранно-тревожной сигнализации</v>
      </c>
      <c r="G7160" s="22" t="s">
        <v>50</v>
      </c>
      <c r="H7160" s="22" t="s">
        <v>50</v>
      </c>
      <c r="I7160" s="26">
        <v>43615.661550925899</v>
      </c>
      <c r="J7160" s="28" t="s">
        <v>52</v>
      </c>
      <c r="K7160" s="28" t="s">
        <v>52</v>
      </c>
      <c r="L7160" s="28" t="s">
        <v>52</v>
      </c>
      <c r="M7160" s="28" t="s">
        <v>52</v>
      </c>
      <c r="N7160" s="28" t="s">
        <v>52</v>
      </c>
    </row>
    <row r="7161" spans="1:14" x14ac:dyDescent="0.15">
      <c r="A7161" s="23" t="str">
        <f>HYPERLINK("https://www.spark-marketing.ru/Card/Person/6450322", "ЗАКАЗЧИК РП БЕЛАРУСЬ")</f>
        <v>ЗАКАЗЧИК РП БЕЛАРУСЬ</v>
      </c>
      <c r="B7161" s="28" t="s">
        <v>52</v>
      </c>
      <c r="C7161" s="25">
        <v>403163.8</v>
      </c>
      <c r="D7161" s="22" t="s">
        <v>9254</v>
      </c>
      <c r="E7161" s="22" t="s">
        <v>53</v>
      </c>
      <c r="F7161" s="23" t="str">
        <f>HYPERLINK("https://www.spark-marketing.ru/Card/Lot/71005470", "Выполнение ремонтных работ на объекте: «Монтаж и установка системы видеонаблюдения в учреждениях культуры»")</f>
        <v>Выполнение ремонтных работ на объекте: «Монтаж и установка системы видеонаблюдения в учреждениях культуры»</v>
      </c>
      <c r="G7161" s="22" t="s">
        <v>52</v>
      </c>
      <c r="H7161" s="22" t="s">
        <v>52</v>
      </c>
      <c r="I7161" s="26">
        <v>43616</v>
      </c>
      <c r="J7161" s="28" t="s">
        <v>52</v>
      </c>
      <c r="K7161" s="28" t="s">
        <v>52</v>
      </c>
      <c r="L7161" s="28" t="s">
        <v>52</v>
      </c>
      <c r="M7161" s="28" t="s">
        <v>52</v>
      </c>
      <c r="N7161" s="28" t="s">
        <v>52</v>
      </c>
    </row>
    <row r="7162" spans="1:14" x14ac:dyDescent="0.15">
      <c r="A7162" s="23" t="str">
        <f>HYPERLINK("https://www.spark-marketing.ru/Card/Person/1025615", "МОУ ""ТУРОВСКАЯ ООШ""")</f>
        <v>МОУ "ТУРОВСКАЯ ООШ"</v>
      </c>
      <c r="B7162" s="24" t="s">
        <v>9255</v>
      </c>
      <c r="C7162" s="25">
        <v>66000</v>
      </c>
      <c r="D7162" s="22" t="s">
        <v>9256</v>
      </c>
      <c r="E7162" s="22" t="s">
        <v>107</v>
      </c>
      <c r="F7162" s="23" t="str">
        <f>HYPERLINK("https://www.spark-marketing.ru/Card/Lot/70980601", "Выполнение работ по техническому обслуживанию системы видеонаблюдения, домофона (видеодомофона)")</f>
        <v>Выполнение работ по техническому обслуживанию системы видеонаблюдения, домофона (видеодомофона)</v>
      </c>
      <c r="G7162" s="22" t="s">
        <v>50</v>
      </c>
      <c r="H7162" s="22" t="s">
        <v>5160</v>
      </c>
      <c r="I7162" s="26">
        <v>43615.971435185202</v>
      </c>
      <c r="J7162" s="28" t="s">
        <v>52</v>
      </c>
      <c r="K7162" s="28" t="s">
        <v>52</v>
      </c>
      <c r="L7162" s="28" t="s">
        <v>52</v>
      </c>
      <c r="M7162" s="28" t="s">
        <v>52</v>
      </c>
      <c r="N7162" s="28" t="s">
        <v>52</v>
      </c>
    </row>
    <row r="7163" spans="1:14" x14ac:dyDescent="0.15">
      <c r="A7163" s="23" t="str">
        <f>HYPERLINK("https://www.spark-marketing.ru/Card/Person/139777", "УПРАВЛЕНИЕ РОСКОМНАДЗОРА ПО КАЛУЖСКОЙ ОБЛАСТИ")</f>
        <v>УПРАВЛЕНИЕ РОСКОМНАДЗОРА ПО КАЛУЖСКОЙ ОБЛАСТИ</v>
      </c>
      <c r="B7163" s="24" t="s">
        <v>6425</v>
      </c>
      <c r="C7163" s="25">
        <v>99660</v>
      </c>
      <c r="D7163" s="22" t="s">
        <v>9257</v>
      </c>
      <c r="E7163" s="22" t="s">
        <v>53</v>
      </c>
      <c r="F7163" s="23" t="str">
        <f>HYPERLINK("https://www.spark-marketing.ru/Card/Lot/70973345", "Услуги частной охраны, 1 ч")</f>
        <v>Услуги частной охраны, 1 ч</v>
      </c>
      <c r="G7163" s="22" t="s">
        <v>658</v>
      </c>
      <c r="H7163" s="22" t="s">
        <v>741</v>
      </c>
      <c r="I7163" s="26">
        <v>43615.758032407401</v>
      </c>
      <c r="J7163" s="28" t="s">
        <v>52</v>
      </c>
      <c r="K7163" s="28" t="s">
        <v>52</v>
      </c>
      <c r="L7163" s="28" t="s">
        <v>52</v>
      </c>
      <c r="M7163" s="28" t="s">
        <v>52</v>
      </c>
      <c r="N7163" s="28" t="s">
        <v>52</v>
      </c>
    </row>
    <row r="7164" spans="1:14" x14ac:dyDescent="0.15">
      <c r="A7164" s="23" t="str">
        <f>HYPERLINK("https://www.spark-marketing.ru/Card/Person/134355", "УПРАВЛЕНИЕ ЖКХ АДМИНИСТРАЦИИ БОГОРОДСКОГО ГОРОДСКОГО ОКРУГА")</f>
        <v>УПРАВЛЕНИЕ ЖКХ АДМИНИСТРАЦИИ БОГОРОДСКОГО ГОРОДСКОГО ОКРУГА</v>
      </c>
      <c r="B7164" s="24" t="s">
        <v>4172</v>
      </c>
      <c r="C7164" s="25">
        <v>97000</v>
      </c>
      <c r="D7164" s="22" t="s">
        <v>9258</v>
      </c>
      <c r="E7164" s="22" t="s">
        <v>84</v>
      </c>
      <c r="F7164" s="23" t="str">
        <f>HYPERLINK("https://www.spark-marketing.ru/Card/Lot/70976846", "Установка видеокамер на контейнерных площадках")</f>
        <v>Установка видеокамер на контейнерных площадках</v>
      </c>
      <c r="G7164" s="22" t="s">
        <v>50</v>
      </c>
      <c r="H7164" s="22" t="s">
        <v>1276</v>
      </c>
      <c r="I7164" s="26">
        <v>43615.752986111103</v>
      </c>
      <c r="J7164" s="28" t="s">
        <v>52</v>
      </c>
      <c r="K7164" s="28" t="s">
        <v>52</v>
      </c>
      <c r="L7164" s="28" t="s">
        <v>52</v>
      </c>
      <c r="M7164" s="28" t="s">
        <v>52</v>
      </c>
      <c r="N7164" s="28" t="s">
        <v>52</v>
      </c>
    </row>
    <row r="7165" spans="1:14" x14ac:dyDescent="0.15">
      <c r="A7165" s="23" t="str">
        <f>HYPERLINK("https://www.spark-marketing.ru/Card/Person/62287", "АДМИНИСТРАЦИЯ ПИНДУШСКОГО ГОРОДСКОГО ПОСЕЛЕНИЯ")</f>
        <v>АДМИНИСТРАЦИЯ ПИНДУШСКОГО ГОРОДСКОГО ПОСЕЛЕНИЯ</v>
      </c>
      <c r="B7165" s="24" t="s">
        <v>9259</v>
      </c>
      <c r="C7165" s="25">
        <v>148562</v>
      </c>
      <c r="D7165" s="22" t="s">
        <v>9260</v>
      </c>
      <c r="E7165" s="22" t="s">
        <v>59</v>
      </c>
      <c r="F7165" s="23" t="str">
        <f>HYPERLINK("https://www.spark-marketing.ru/Card/Lot/70976501", "Поставка и монтаж системы охранного видеонаблюдения на общественной территории ул. Ленина пгт. Пиндуши Медвежьегорского района Республики Карелия.")</f>
        <v>Поставка и монтаж системы охранного видеонаблюдения на общественной территории ул. Ленина пгт. Пиндуши Медвежьегорского района Республики Карелия.</v>
      </c>
      <c r="G7165" s="22" t="s">
        <v>435</v>
      </c>
      <c r="H7165" s="22" t="s">
        <v>9198</v>
      </c>
      <c r="I7165" s="26">
        <v>43615.731249999997</v>
      </c>
      <c r="J7165" s="23" t="str">
        <f>HYPERLINK("https://www.spark-marketing.ru/Card/Person/199188", "Локкин Алексей Николаевич")</f>
        <v>Локкин Алексей Николаевич</v>
      </c>
      <c r="K7165" s="24" t="s">
        <v>9261</v>
      </c>
      <c r="L7165" s="22" t="s">
        <v>10</v>
      </c>
      <c r="M7165" s="28" t="s">
        <v>52</v>
      </c>
      <c r="N7165" s="28" t="s">
        <v>52</v>
      </c>
    </row>
    <row r="7166" spans="1:14" x14ac:dyDescent="0.15">
      <c r="A7166" s="23" t="str">
        <f>HYPERLINK("https://www.spark-marketing.ru/Card/Person/1022899", "СПБ ГБ ПОУ КПМ")</f>
        <v>СПБ ГБ ПОУ КПМ</v>
      </c>
      <c r="B7166" s="24" t="s">
        <v>3190</v>
      </c>
      <c r="C7166" s="25">
        <v>2418034</v>
      </c>
      <c r="D7166" s="22" t="s">
        <v>9262</v>
      </c>
      <c r="E7166" s="22" t="s">
        <v>84</v>
      </c>
      <c r="F7166" s="23" t="str">
        <f>HYPERLINK("https://www.spark-marketing.ru/Card/Lot/70978138", "Выполнение работ по установке систем видеонаблюдения в здании СПб ГБ ПОУ КПМ по адресу: СПб, Дунайский пр., д.49/126.")</f>
        <v>Выполнение работ по установке систем видеонаблюдения в здании СПб ГБ ПОУ КПМ по адресу: СПб, Дунайский пр., д.49/126.</v>
      </c>
      <c r="G7166" s="22" t="s">
        <v>89</v>
      </c>
      <c r="H7166" s="22" t="s">
        <v>89</v>
      </c>
      <c r="I7166" s="26">
        <v>43615.728472222203</v>
      </c>
      <c r="J7166" s="23" t="str">
        <f>HYPERLINK("https://www.spark-marketing.ru/Card/Person/4502851", "ООО ""МОС""")</f>
        <v>ООО "МОС"</v>
      </c>
      <c r="K7166" s="24" t="s">
        <v>9263</v>
      </c>
      <c r="L7166" s="28" t="s">
        <v>52</v>
      </c>
      <c r="M7166" s="28" t="s">
        <v>52</v>
      </c>
      <c r="N7166" s="28" t="s">
        <v>52</v>
      </c>
    </row>
    <row r="7167" spans="1:14" hidden="1" outlineLevel="1" x14ac:dyDescent="0.15">
      <c r="A7167" s="23" t="str">
        <f>HYPERLINK("https://www.spark-marketing.ru/Card/Person/1022899", "СПБ ГБ ПОУ КПМ")</f>
        <v>СПБ ГБ ПОУ КПМ</v>
      </c>
      <c r="B7167" s="24" t="s">
        <v>3190</v>
      </c>
      <c r="C7167" s="25">
        <v>2418034</v>
      </c>
      <c r="D7167" s="22" t="s">
        <v>9262</v>
      </c>
      <c r="E7167" s="22" t="s">
        <v>84</v>
      </c>
      <c r="F7167" s="23" t="str">
        <f>HYPERLINK("https://www.spark-marketing.ru/Card/Lot/70978138", "Выполнение работ по установке систем видеонаблюдения в здании СПб ГБ ПОУ КПМ по адресу: СПб, Дунайский пр., д.49/126.")</f>
        <v>Выполнение работ по установке систем видеонаблюдения в здании СПб ГБ ПОУ КПМ по адресу: СПб, Дунайский пр., д.49/126.</v>
      </c>
      <c r="G7167" s="22" t="s">
        <v>89</v>
      </c>
      <c r="H7167" s="22" t="s">
        <v>89</v>
      </c>
      <c r="I7167" s="26">
        <v>43615.728472222203</v>
      </c>
      <c r="J7167" s="23" t="str">
        <f>HYPERLINK("https://www.spark-marketing.ru/Card/Person/4502851", "ООО ""МОС""")</f>
        <v>ООО "МОС"</v>
      </c>
      <c r="K7167" s="24" t="s">
        <v>9263</v>
      </c>
      <c r="L7167" s="22" t="s">
        <v>10</v>
      </c>
      <c r="M7167" s="28" t="s">
        <v>52</v>
      </c>
      <c r="N7167" s="28" t="s">
        <v>52</v>
      </c>
    </row>
    <row r="7168" spans="1:14" x14ac:dyDescent="0.15">
      <c r="A7168" s="23" t="str">
        <f t="shared" ref="A7168:A7174" si="299">HYPERLINK("https://www.spark-marketing.ru/Card/Person/553145", "УПРАВЛЕНИЕ СОЦИАЛЬНОЙ ПОЛИТИКИ ПО ЧКАЛОВСКОМУ РАЙОНУ ГОРОДА ЕКАТЕРИНБУРГА")</f>
        <v>УПРАВЛЕНИЕ СОЦИАЛЬНОЙ ПОЛИТИКИ ПО ЧКАЛОВСКОМУ РАЙОНУ ГОРОДА ЕКАТЕРИНБУРГА</v>
      </c>
      <c r="B7168" s="24" t="s">
        <v>9264</v>
      </c>
      <c r="C7168" s="25">
        <v>223110.16</v>
      </c>
      <c r="D7168" s="22" t="s">
        <v>9265</v>
      </c>
      <c r="E7168" s="22" t="s">
        <v>59</v>
      </c>
      <c r="F7168" s="23" t="str">
        <f t="shared" ref="F7168:F7174" si="300">HYPERLINK("https://www.spark-marketing.ru/Card/Lot/70973534", "Установка охранной и тревожной сигнализации")</f>
        <v>Установка охранной и тревожной сигнализации</v>
      </c>
      <c r="G7168" s="22" t="s">
        <v>72</v>
      </c>
      <c r="H7168" s="22" t="s">
        <v>949</v>
      </c>
      <c r="I7168" s="26">
        <v>43615.741666666698</v>
      </c>
      <c r="J7168" s="28" t="s">
        <v>52</v>
      </c>
      <c r="K7168" s="28" t="s">
        <v>52</v>
      </c>
      <c r="L7168" s="28" t="s">
        <v>52</v>
      </c>
      <c r="M7168" s="28" t="s">
        <v>52</v>
      </c>
      <c r="N7168" s="28" t="s">
        <v>52</v>
      </c>
    </row>
    <row r="7169" spans="1:14" hidden="1" outlineLevel="1" x14ac:dyDescent="0.2">
      <c r="A7169" s="23" t="str">
        <f t="shared" si="299"/>
        <v>УПРАВЛЕНИЕ СОЦИАЛЬНОЙ ПОЛИТИКИ ПО ЧКАЛОВСКОМУ РАЙОНУ ГОРОДА ЕКАТЕРИНБУРГА</v>
      </c>
      <c r="B7169" s="24" t="s">
        <v>9264</v>
      </c>
      <c r="C7169" s="25">
        <v>223110.16</v>
      </c>
      <c r="D7169" s="22" t="s">
        <v>9265</v>
      </c>
      <c r="E7169" s="22" t="s">
        <v>59</v>
      </c>
      <c r="F7169" s="23" t="str">
        <f t="shared" si="300"/>
        <v>Установка охранной и тревожной сигнализации</v>
      </c>
      <c r="G7169" s="22" t="s">
        <v>72</v>
      </c>
      <c r="H7169" s="22" t="s">
        <v>949</v>
      </c>
      <c r="I7169" s="26">
        <v>43615.741666666698</v>
      </c>
      <c r="J7169" s="23" t="str">
        <f>HYPERLINK("https://www.spark-marketing.ru/Card/Person/50495", "ООО ""МСП БИЗНЕС МИР""")</f>
        <v>ООО "МСП БИЗНЕС МИР"</v>
      </c>
      <c r="K7169" s="24" t="s">
        <v>6602</v>
      </c>
      <c r="L7169" s="28" t="s">
        <v>52</v>
      </c>
      <c r="M7169" s="25">
        <v>157134.26</v>
      </c>
      <c r="N7169" s="27">
        <v>0.29570997573575314</v>
      </c>
    </row>
    <row r="7170" spans="1:14" ht="12.75" hidden="1" outlineLevel="1" x14ac:dyDescent="0.2">
      <c r="A7170" s="23" t="str">
        <f t="shared" si="299"/>
        <v>УПРАВЛЕНИЕ СОЦИАЛЬНОЙ ПОЛИТИКИ ПО ЧКАЛОВСКОМУ РАЙОНУ ГОРОДА ЕКАТЕРИНБУРГА</v>
      </c>
      <c r="B7170" s="24" t="s">
        <v>9264</v>
      </c>
      <c r="C7170" s="25">
        <v>223110.16</v>
      </c>
      <c r="D7170" s="22" t="s">
        <v>9265</v>
      </c>
      <c r="E7170" s="22" t="s">
        <v>59</v>
      </c>
      <c r="F7170" s="23" t="str">
        <f t="shared" si="300"/>
        <v>Установка охранной и тревожной сигнализации</v>
      </c>
      <c r="G7170" s="22" t="s">
        <v>72</v>
      </c>
      <c r="H7170" s="22" t="s">
        <v>949</v>
      </c>
      <c r="I7170" s="26">
        <v>43615.741666666698</v>
      </c>
      <c r="J7170" s="23" t="str">
        <f>HYPERLINK("https://www.spark-marketing.ru/Card/Person/74083", "ООО ""МСК ""ФОТОН""")</f>
        <v>ООО "МСК "ФОТОН"</v>
      </c>
      <c r="K7170" s="24" t="s">
        <v>8792</v>
      </c>
      <c r="L7170" s="22" t="s">
        <v>10</v>
      </c>
      <c r="M7170" s="25">
        <v>141549.56</v>
      </c>
      <c r="N7170" s="27">
        <v>0.36556201653927367</v>
      </c>
    </row>
    <row r="7171" spans="1:14" hidden="1" outlineLevel="1" x14ac:dyDescent="0.2">
      <c r="A7171" s="23" t="str">
        <f t="shared" si="299"/>
        <v>УПРАВЛЕНИЕ СОЦИАЛЬНОЙ ПОЛИТИКИ ПО ЧКАЛОВСКОМУ РАЙОНУ ГОРОДА ЕКАТЕРИНБУРГА</v>
      </c>
      <c r="B7171" s="24" t="s">
        <v>9264</v>
      </c>
      <c r="C7171" s="25">
        <v>223110.16</v>
      </c>
      <c r="D7171" s="22" t="s">
        <v>9265</v>
      </c>
      <c r="E7171" s="22" t="s">
        <v>59</v>
      </c>
      <c r="F7171" s="23" t="str">
        <f t="shared" si="300"/>
        <v>Установка охранной и тревожной сигнализации</v>
      </c>
      <c r="G7171" s="22" t="s">
        <v>72</v>
      </c>
      <c r="H7171" s="22" t="s">
        <v>949</v>
      </c>
      <c r="I7171" s="26">
        <v>43615.741666666698</v>
      </c>
      <c r="J7171" s="23" t="str">
        <f>HYPERLINK("https://www.spark-marketing.ru/Card/Person/5505768", "ООО ""ПАРИТЕТ-УРАЛ""")</f>
        <v>ООО "ПАРИТЕТ-УРАЛ"</v>
      </c>
      <c r="K7171" s="24" t="s">
        <v>6084</v>
      </c>
      <c r="L7171" s="28" t="s">
        <v>52</v>
      </c>
      <c r="M7171" s="25">
        <v>142665.10999999999</v>
      </c>
      <c r="N7171" s="27">
        <v>0.36056202012494637</v>
      </c>
    </row>
    <row r="7172" spans="1:14" hidden="1" outlineLevel="1" x14ac:dyDescent="0.2">
      <c r="A7172" s="23" t="str">
        <f t="shared" si="299"/>
        <v>УПРАВЛЕНИЕ СОЦИАЛЬНОЙ ПОЛИТИКИ ПО ЧКАЛОВСКОМУ РАЙОНУ ГОРОДА ЕКАТЕРИНБУРГА</v>
      </c>
      <c r="B7172" s="24" t="s">
        <v>9264</v>
      </c>
      <c r="C7172" s="25">
        <v>223110.16</v>
      </c>
      <c r="D7172" s="22" t="s">
        <v>9265</v>
      </c>
      <c r="E7172" s="22" t="s">
        <v>59</v>
      </c>
      <c r="F7172" s="23" t="str">
        <f t="shared" si="300"/>
        <v>Установка охранной и тревожной сигнализации</v>
      </c>
      <c r="G7172" s="22" t="s">
        <v>72</v>
      </c>
      <c r="H7172" s="22" t="s">
        <v>949</v>
      </c>
      <c r="I7172" s="26">
        <v>43615.741666666698</v>
      </c>
      <c r="J7172" s="23" t="str">
        <f>HYPERLINK("https://www.spark-marketing.ru/Card/Person/539295", "ООО ""ЭДГАРД""")</f>
        <v>ООО "ЭДГАРД"</v>
      </c>
      <c r="K7172" s="24" t="s">
        <v>8790</v>
      </c>
      <c r="L7172" s="28" t="s">
        <v>52</v>
      </c>
      <c r="M7172" s="25">
        <v>187564.37</v>
      </c>
      <c r="N7172" s="27">
        <v>0.15931945905108041</v>
      </c>
    </row>
    <row r="7173" spans="1:14" hidden="1" outlineLevel="1" x14ac:dyDescent="0.2">
      <c r="A7173" s="23" t="str">
        <f t="shared" si="299"/>
        <v>УПРАВЛЕНИЕ СОЦИАЛЬНОЙ ПОЛИТИКИ ПО ЧКАЛОВСКОМУ РАЙОНУ ГОРОДА ЕКАТЕРИНБУРГА</v>
      </c>
      <c r="B7173" s="24" t="s">
        <v>9264</v>
      </c>
      <c r="C7173" s="25">
        <v>223110.16</v>
      </c>
      <c r="D7173" s="22" t="s">
        <v>9265</v>
      </c>
      <c r="E7173" s="22" t="s">
        <v>59</v>
      </c>
      <c r="F7173" s="23" t="str">
        <f t="shared" si="300"/>
        <v>Установка охранной и тревожной сигнализации</v>
      </c>
      <c r="G7173" s="22" t="s">
        <v>72</v>
      </c>
      <c r="H7173" s="22" t="s">
        <v>949</v>
      </c>
      <c r="I7173" s="26">
        <v>43615.741666666698</v>
      </c>
      <c r="J7173" s="23" t="str">
        <f>HYPERLINK("https://www.spark-marketing.ru/Card/Person/542863", "ООО ""СОКРАТ УРАЛ - МЦ""")</f>
        <v>ООО "СОКРАТ УРАЛ - МЦ"</v>
      </c>
      <c r="K7173" s="24" t="s">
        <v>9266</v>
      </c>
      <c r="L7173" s="28" t="s">
        <v>52</v>
      </c>
      <c r="M7173" s="25">
        <v>210000</v>
      </c>
      <c r="N7173" s="27">
        <v>5.8760927785628407E-2</v>
      </c>
    </row>
    <row r="7174" spans="1:14" hidden="1" outlineLevel="1" x14ac:dyDescent="0.2">
      <c r="A7174" s="23" t="str">
        <f t="shared" si="299"/>
        <v>УПРАВЛЕНИЕ СОЦИАЛЬНОЙ ПОЛИТИКИ ПО ЧКАЛОВСКОМУ РАЙОНУ ГОРОДА ЕКАТЕРИНБУРГА</v>
      </c>
      <c r="B7174" s="24" t="s">
        <v>9264</v>
      </c>
      <c r="C7174" s="25">
        <v>223110.16</v>
      </c>
      <c r="D7174" s="22" t="s">
        <v>9265</v>
      </c>
      <c r="E7174" s="22" t="s">
        <v>59</v>
      </c>
      <c r="F7174" s="23" t="str">
        <f t="shared" si="300"/>
        <v>Установка охранной и тревожной сигнализации</v>
      </c>
      <c r="G7174" s="22" t="s">
        <v>72</v>
      </c>
      <c r="H7174" s="22" t="s">
        <v>949</v>
      </c>
      <c r="I7174" s="26">
        <v>43615.741666666698</v>
      </c>
      <c r="J7174" s="23" t="str">
        <f>HYPERLINK("https://www.spark-marketing.ru/Card/Person/850561", "ООО ""АСКОН""")</f>
        <v>ООО "АСКОН"</v>
      </c>
      <c r="K7174" s="24" t="s">
        <v>1266</v>
      </c>
      <c r="L7174" s="28" t="s">
        <v>52</v>
      </c>
      <c r="M7174" s="25">
        <v>207492.46</v>
      </c>
      <c r="N7174" s="27">
        <v>6.9999949800582814E-2</v>
      </c>
    </row>
    <row r="7175" spans="1:14" x14ac:dyDescent="0.15">
      <c r="A7175" s="23" t="str">
        <f>HYPERLINK("https://www.spark-marketing.ru/Card/Person/261444", "УПРАВЛЕНИЕ МИНЮСТА РОССИИ ПО БРЯНСКОЙ ОБЛАСТИ")</f>
        <v>УПРАВЛЕНИЕ МИНЮСТА РОССИИ ПО БРЯНСКОЙ ОБЛАСТИ</v>
      </c>
      <c r="B7175" s="24" t="s">
        <v>7152</v>
      </c>
      <c r="C7175" s="25">
        <v>48969.83</v>
      </c>
      <c r="D7175" s="22" t="s">
        <v>9267</v>
      </c>
      <c r="E7175" s="22" t="s">
        <v>53</v>
      </c>
      <c r="F7175" s="23" t="str">
        <f>HYPERLINK("https://www.spark-marketing.ru/Card/Lot/70973243", "Государственная охрана объекта, расположенного по адресу г. Брянск, ул. Степная, д. 2а")</f>
        <v>Государственная охрана объекта, расположенного по адресу г. Брянск, ул. Степная, д. 2а</v>
      </c>
      <c r="G7175" s="22" t="s">
        <v>215</v>
      </c>
      <c r="H7175" s="22" t="s">
        <v>406</v>
      </c>
      <c r="I7175" s="26">
        <v>43615.727743055599</v>
      </c>
      <c r="J7175" s="28" t="s">
        <v>52</v>
      </c>
      <c r="K7175" s="28" t="s">
        <v>52</v>
      </c>
      <c r="L7175" s="28" t="s">
        <v>52</v>
      </c>
      <c r="M7175" s="28" t="s">
        <v>52</v>
      </c>
      <c r="N7175" s="28" t="s">
        <v>52</v>
      </c>
    </row>
    <row r="7176" spans="1:14" x14ac:dyDescent="0.15">
      <c r="A7176" s="23" t="str">
        <f>HYPERLINK("https://www.spark-marketing.ru/Card/Person/1009433", "МО МВД РОССИИ ""ЛИВЕНСКИЙ""")</f>
        <v>МО МВД РОССИИ "ЛИВЕНСКИЙ"</v>
      </c>
      <c r="B7176" s="24" t="s">
        <v>9268</v>
      </c>
      <c r="C7176" s="25">
        <v>15921.3</v>
      </c>
      <c r="D7176" s="22" t="s">
        <v>9269</v>
      </c>
      <c r="E7176" s="22" t="s">
        <v>53</v>
      </c>
      <c r="F7176" s="23" t="str">
        <f>HYPERLINK("https://www.spark-marketing.ru/Card/Lot/70973294", "Охрана объектов, на которые частная охранная деятельность не распространяется, 1 усл. ед")</f>
        <v>Охрана объектов, на которые частная охранная деятельность не распространяется, 1 усл. ед</v>
      </c>
      <c r="G7176" s="22" t="s">
        <v>492</v>
      </c>
      <c r="H7176" s="22" t="s">
        <v>9270</v>
      </c>
      <c r="I7176" s="26">
        <v>43615.736712963</v>
      </c>
      <c r="J7176" s="28" t="s">
        <v>52</v>
      </c>
      <c r="K7176" s="28" t="s">
        <v>52</v>
      </c>
      <c r="L7176" s="28" t="s">
        <v>52</v>
      </c>
      <c r="M7176" s="28" t="s">
        <v>52</v>
      </c>
      <c r="N7176" s="28" t="s">
        <v>52</v>
      </c>
    </row>
    <row r="7177" spans="1:14" x14ac:dyDescent="0.15">
      <c r="A7177" s="23" t="str">
        <f>HYPERLINK("https://www.spark-marketing.ru/Card/Person/133814", "МБУДО ""ДЕТСКАЯ ШКОЛА ИСКУССТВ""")</f>
        <v>МБУДО "ДЕТСКАЯ ШКОЛА ИСКУССТВ"</v>
      </c>
      <c r="B7177" s="24" t="s">
        <v>9271</v>
      </c>
      <c r="C7177" s="25">
        <v>44336.81</v>
      </c>
      <c r="D7177" s="22" t="s">
        <v>9272</v>
      </c>
      <c r="E7177" s="22" t="s">
        <v>103</v>
      </c>
      <c r="F7177" s="23" t="str">
        <f>HYPERLINK("https://www.spark-marketing.ru/Card/Lot/70975644", "Оказание услуг по техническому обслуживанию системы охранного видеонаблюдения для Муниципального бюджетного учреждения дополнительного образования «Детская школа искусств» Нижнекамского муниципального района Республики Татарстан (СМП и СОНО)")</f>
        <v>Оказание услуг по техническому обслуживанию системы охранного видеонаблюдения для Муниципального бюджетного учреждения дополнительного образования «Детская школа искусств» Нижнекамского муниципального района Республики Татарстан (СМП и СОНО)</v>
      </c>
      <c r="G7177" s="22" t="s">
        <v>204</v>
      </c>
      <c r="H7177" s="22" t="s">
        <v>824</v>
      </c>
      <c r="I7177" s="26">
        <v>43615.682638888902</v>
      </c>
      <c r="J7177" s="28" t="s">
        <v>52</v>
      </c>
      <c r="K7177" s="28" t="s">
        <v>52</v>
      </c>
      <c r="L7177" s="28" t="s">
        <v>52</v>
      </c>
      <c r="M7177" s="28" t="s">
        <v>52</v>
      </c>
      <c r="N7177" s="28" t="s">
        <v>52</v>
      </c>
    </row>
    <row r="7178" spans="1:14" ht="12.75" hidden="1" outlineLevel="1" x14ac:dyDescent="0.2">
      <c r="A7178" s="23" t="str">
        <f>HYPERLINK("https://www.spark-marketing.ru/Card/Person/133814", "МБУДО ""ДЕТСКАЯ ШКОЛА ИСКУССТВ""")</f>
        <v>МБУДО "ДЕТСКАЯ ШКОЛА ИСКУССТВ"</v>
      </c>
      <c r="B7178" s="24" t="s">
        <v>9271</v>
      </c>
      <c r="C7178" s="25">
        <v>44336.81</v>
      </c>
      <c r="D7178" s="22" t="s">
        <v>9272</v>
      </c>
      <c r="E7178" s="22" t="s">
        <v>103</v>
      </c>
      <c r="F7178" s="23" t="str">
        <f>HYPERLINK("https://www.spark-marketing.ru/Card/Lot/70975644", "Оказание услуг по техническому обслуживанию системы охранного видеонаблюдения для Муниципального бюджетного учреждения дополнительного образования «Детская школа искусств» Нижнекамского муниципального района Республики Татарстан (СМП и СОНО)")</f>
        <v>Оказание услуг по техническому обслуживанию системы охранного видеонаблюдения для Муниципального бюджетного учреждения дополнительного образования «Детская школа искусств» Нижнекамского муниципального района Республики Татарстан (СМП и СОНО)</v>
      </c>
      <c r="G7178" s="22" t="s">
        <v>204</v>
      </c>
      <c r="H7178" s="22" t="s">
        <v>824</v>
      </c>
      <c r="I7178" s="26">
        <v>43615.682638888902</v>
      </c>
      <c r="J7178" s="23" t="str">
        <f>HYPERLINK("https://www.spark-marketing.ru/Card/Person/138713", "Хакимзянов Рустам Миннерафикович")</f>
        <v>Хакимзянов Рустам Миннерафикович</v>
      </c>
      <c r="K7178" s="24" t="s">
        <v>3470</v>
      </c>
      <c r="L7178" s="22" t="s">
        <v>10</v>
      </c>
      <c r="M7178" s="25">
        <v>4778</v>
      </c>
      <c r="N7178" s="27">
        <v>0.89223401503175348</v>
      </c>
    </row>
    <row r="7179" spans="1:14" hidden="1" outlineLevel="1" x14ac:dyDescent="0.2">
      <c r="A7179" s="23" t="str">
        <f>HYPERLINK("https://www.spark-marketing.ru/Card/Person/133814", "МБУДО ""ДЕТСКАЯ ШКОЛА ИСКУССТВ""")</f>
        <v>МБУДО "ДЕТСКАЯ ШКОЛА ИСКУССТВ"</v>
      </c>
      <c r="B7179" s="24" t="s">
        <v>9271</v>
      </c>
      <c r="C7179" s="25">
        <v>44336.81</v>
      </c>
      <c r="D7179" s="22" t="s">
        <v>9272</v>
      </c>
      <c r="E7179" s="22" t="s">
        <v>103</v>
      </c>
      <c r="F7179" s="23" t="str">
        <f>HYPERLINK("https://www.spark-marketing.ru/Card/Lot/70975644", "Оказание услуг по техническому обслуживанию системы охранного видеонаблюдения для Муниципального бюджетного учреждения дополнительного образования «Детская школа искусств» Нижнекамского муниципального района Республики Татарстан (СМП и СОНО)")</f>
        <v>Оказание услуг по техническому обслуживанию системы охранного видеонаблюдения для Муниципального бюджетного учреждения дополнительного образования «Детская школа искусств» Нижнекамского муниципального района Республики Татарстан (СМП и СОНО)</v>
      </c>
      <c r="G7179" s="22" t="s">
        <v>204</v>
      </c>
      <c r="H7179" s="22" t="s">
        <v>824</v>
      </c>
      <c r="I7179" s="26">
        <v>43615.682638888902</v>
      </c>
      <c r="J7179" s="23" t="str">
        <f>HYPERLINK("https://www.spark-marketing.ru/Card/Person/34725", "ООО ""КОМПЬЮСЕРВИС - НК""")</f>
        <v>ООО "КОМПЬЮСЕРВИС - НК"</v>
      </c>
      <c r="K7179" s="24" t="s">
        <v>3468</v>
      </c>
      <c r="L7179" s="28" t="s">
        <v>52</v>
      </c>
      <c r="M7179" s="25">
        <v>5000</v>
      </c>
      <c r="N7179" s="27">
        <v>0.88722688889886303</v>
      </c>
    </row>
    <row r="7180" spans="1:14" x14ac:dyDescent="0.15">
      <c r="A7180" s="23" t="str">
        <f>HYPERLINK("https://www.spark-marketing.ru/Card/Person/1066429", "МБУК ""КУЛЬТУРА И ДОСУГ""")</f>
        <v>МБУК "КУЛЬТУРА И ДОСУГ"</v>
      </c>
      <c r="B7180" s="24" t="s">
        <v>9273</v>
      </c>
      <c r="C7180" s="25">
        <v>263225.65999999997</v>
      </c>
      <c r="D7180" s="22" t="s">
        <v>9274</v>
      </c>
      <c r="E7180" s="22" t="s">
        <v>194</v>
      </c>
      <c r="F7180" s="23" t="str">
        <f>HYPERLINK("https://www.spark-marketing.ru/Card/Lot/70973632", "Приобретение светового и звукового оборудования. (идентификационный номер: 038-А-МЗ-11)")</f>
        <v>Приобретение светового и звукового оборудования. (идентификационный номер: 038-А-МЗ-11)</v>
      </c>
      <c r="G7180" s="22" t="s">
        <v>142</v>
      </c>
      <c r="H7180" s="22" t="s">
        <v>4521</v>
      </c>
      <c r="I7180" s="26">
        <v>43615.679166666698</v>
      </c>
      <c r="J7180" s="28" t="s">
        <v>52</v>
      </c>
      <c r="K7180" s="28" t="s">
        <v>52</v>
      </c>
      <c r="L7180" s="28" t="s">
        <v>52</v>
      </c>
      <c r="M7180" s="28" t="s">
        <v>52</v>
      </c>
      <c r="N7180" s="28" t="s">
        <v>52</v>
      </c>
    </row>
    <row r="7181" spans="1:14" hidden="1" outlineLevel="1" x14ac:dyDescent="0.2">
      <c r="A7181" s="23" t="str">
        <f>HYPERLINK("https://www.spark-marketing.ru/Card/Person/1066429", "МБУК ""КУЛЬТУРА И ДОСУГ""")</f>
        <v>МБУК "КУЛЬТУРА И ДОСУГ"</v>
      </c>
      <c r="B7181" s="24" t="s">
        <v>9273</v>
      </c>
      <c r="C7181" s="25">
        <v>263225.65999999997</v>
      </c>
      <c r="D7181" s="22" t="s">
        <v>9274</v>
      </c>
      <c r="E7181" s="22" t="s">
        <v>194</v>
      </c>
      <c r="F7181" s="23" t="str">
        <f>HYPERLINK("https://www.spark-marketing.ru/Card/Lot/70973632", "Приобретение светового и звукового оборудования. (идентификационный номер: 038-А-МЗ-11)")</f>
        <v>Приобретение светового и звукового оборудования. (идентификационный номер: 038-А-МЗ-11)</v>
      </c>
      <c r="G7181" s="22" t="s">
        <v>142</v>
      </c>
      <c r="H7181" s="22" t="s">
        <v>4521</v>
      </c>
      <c r="I7181" s="26">
        <v>43615.679166666698</v>
      </c>
      <c r="J7181" s="23" t="str">
        <f>HYPERLINK("https://www.spark-marketing.ru/Card/Person/6512156", "Швецов Михаил Александрович")</f>
        <v>Швецов Михаил Александрович</v>
      </c>
      <c r="K7181" s="24" t="s">
        <v>9275</v>
      </c>
      <c r="L7181" s="28" t="s">
        <v>52</v>
      </c>
      <c r="M7181" s="25">
        <v>198735.29</v>
      </c>
      <c r="N7181" s="27">
        <v>0.24500031645850939</v>
      </c>
    </row>
    <row r="7182" spans="1:14" ht="12.75" hidden="1" outlineLevel="1" x14ac:dyDescent="0.2">
      <c r="A7182" s="23" t="str">
        <f>HYPERLINK("https://www.spark-marketing.ru/Card/Person/1066429", "МБУК ""КУЛЬТУРА И ДОСУГ""")</f>
        <v>МБУК "КУЛЬТУРА И ДОСУГ"</v>
      </c>
      <c r="B7182" s="24" t="s">
        <v>9273</v>
      </c>
      <c r="C7182" s="25">
        <v>263225.65999999997</v>
      </c>
      <c r="D7182" s="22" t="s">
        <v>9274</v>
      </c>
      <c r="E7182" s="22" t="s">
        <v>194</v>
      </c>
      <c r="F7182" s="23" t="str">
        <f>HYPERLINK("https://www.spark-marketing.ru/Card/Lot/70973632", "Приобретение светового и звукового оборудования. (идентификационный номер: 038-А-МЗ-11)")</f>
        <v>Приобретение светового и звукового оборудования. (идентификационный номер: 038-А-МЗ-11)</v>
      </c>
      <c r="G7182" s="22" t="s">
        <v>142</v>
      </c>
      <c r="H7182" s="22" t="s">
        <v>4521</v>
      </c>
      <c r="I7182" s="26">
        <v>43615.679166666698</v>
      </c>
      <c r="J7182" s="23" t="str">
        <f>HYPERLINK("https://www.spark-marketing.ru/Card/Person/783580", "ООО ""ЛТМ-ПСКОВ МЬЮЗИК""")</f>
        <v>ООО "ЛТМ-ПСКОВ МЬЮЗИК"</v>
      </c>
      <c r="K7182" s="24" t="s">
        <v>9276</v>
      </c>
      <c r="L7182" s="22" t="s">
        <v>10</v>
      </c>
      <c r="M7182" s="25">
        <v>197419.16</v>
      </c>
      <c r="N7182" s="27">
        <v>0.25000032291684632</v>
      </c>
    </row>
    <row r="7183" spans="1:14" x14ac:dyDescent="0.15">
      <c r="A7183" s="23" t="str">
        <f>HYPERLINK("https://www.spark-marketing.ru/Card/Person/24322", "АУ КО ""МФЦ""")</f>
        <v>АУ КО "МФЦ"</v>
      </c>
      <c r="B7183" s="24" t="s">
        <v>6369</v>
      </c>
      <c r="C7183" s="25">
        <v>580000</v>
      </c>
      <c r="D7183" s="22" t="s">
        <v>9277</v>
      </c>
      <c r="E7183" s="22" t="s">
        <v>49</v>
      </c>
      <c r="F7183" s="23" t="str">
        <f>HYPERLINK("https://www.spark-marketing.ru/Card/Lot/70970688", "Установка системы видеонаблюдения и аудио оповещения в филиале АУ КО ""МФЦ"" №5 по г. Курску и Курскому району")</f>
        <v>Установка системы видеонаблюдения и аудио оповещения в филиале АУ КО "МФЦ" №5 по г. Курску и Курскому району</v>
      </c>
      <c r="G7183" s="22" t="s">
        <v>3128</v>
      </c>
      <c r="H7183" s="22" t="s">
        <v>3128</v>
      </c>
      <c r="I7183" s="26">
        <v>43615.699768518498</v>
      </c>
      <c r="J7183" s="28" t="s">
        <v>52</v>
      </c>
      <c r="K7183" s="28" t="s">
        <v>52</v>
      </c>
      <c r="L7183" s="28" t="s">
        <v>52</v>
      </c>
      <c r="M7183" s="28" t="s">
        <v>52</v>
      </c>
      <c r="N7183" s="28" t="s">
        <v>52</v>
      </c>
    </row>
    <row r="7184" spans="1:14" x14ac:dyDescent="0.15">
      <c r="A7184" s="23" t="str">
        <f t="shared" ref="A7184:A7191" si="301">HYPERLINK("https://www.spark-marketing.ru/Card/Person/105246", "ГБУ ""МОСКОВСКИЕ ЯРМАРКИ""")</f>
        <v>ГБУ "МОСКОВСКИЕ ЯРМАРКИ"</v>
      </c>
      <c r="B7184" s="24" t="s">
        <v>8777</v>
      </c>
      <c r="C7184" s="25">
        <v>344000.04</v>
      </c>
      <c r="D7184" s="22" t="s">
        <v>9278</v>
      </c>
      <c r="E7184" s="22" t="s">
        <v>103</v>
      </c>
      <c r="F7184" s="23" t="str">
        <f t="shared" ref="F7184:F7191" si="302">HYPERLINK("https://www.spark-marketing.ru/Card/Lot/70977480", "Оказание услуг по техническому обслуживанию систем видеонаблюдения на межрегиональных ярмарках")</f>
        <v>Оказание услуг по техническому обслуживанию систем видеонаблюдения на межрегиональных ярмарках</v>
      </c>
      <c r="G7184" s="22" t="s">
        <v>55</v>
      </c>
      <c r="H7184" s="22" t="s">
        <v>55</v>
      </c>
      <c r="I7184" s="26">
        <v>43615.672222222202</v>
      </c>
      <c r="J7184" s="28" t="s">
        <v>52</v>
      </c>
      <c r="K7184" s="28" t="s">
        <v>52</v>
      </c>
      <c r="L7184" s="28" t="s">
        <v>52</v>
      </c>
      <c r="M7184" s="28" t="s">
        <v>52</v>
      </c>
      <c r="N7184" s="28" t="s">
        <v>52</v>
      </c>
    </row>
    <row r="7185" spans="1:14" hidden="1" outlineLevel="1" x14ac:dyDescent="0.2">
      <c r="A7185" s="23" t="str">
        <f t="shared" si="301"/>
        <v>ГБУ "МОСКОВСКИЕ ЯРМАРКИ"</v>
      </c>
      <c r="B7185" s="24" t="s">
        <v>8777</v>
      </c>
      <c r="C7185" s="25">
        <v>344000.04</v>
      </c>
      <c r="D7185" s="22" t="s">
        <v>9278</v>
      </c>
      <c r="E7185" s="22" t="s">
        <v>103</v>
      </c>
      <c r="F7185" s="23" t="str">
        <f t="shared" si="302"/>
        <v>Оказание услуг по техническому обслуживанию систем видеонаблюдения на межрегиональных ярмарках</v>
      </c>
      <c r="G7185" s="22" t="s">
        <v>55</v>
      </c>
      <c r="H7185" s="22" t="s">
        <v>55</v>
      </c>
      <c r="I7185" s="26">
        <v>43615.672222222202</v>
      </c>
      <c r="J7185" s="23" t="str">
        <f>HYPERLINK("https://www.spark-marketing.ru/Card/Person/6445825", "Судариков Михаил Геннадьевич")</f>
        <v>Судариков Михаил Геннадьевич</v>
      </c>
      <c r="K7185" s="24" t="s">
        <v>1219</v>
      </c>
      <c r="L7185" s="28" t="s">
        <v>52</v>
      </c>
      <c r="M7185" s="25">
        <v>129200</v>
      </c>
      <c r="N7185" s="27">
        <v>0.62441864832341298</v>
      </c>
    </row>
    <row r="7186" spans="1:14" hidden="1" outlineLevel="1" x14ac:dyDescent="0.2">
      <c r="A7186" s="23" t="str">
        <f t="shared" si="301"/>
        <v>ГБУ "МОСКОВСКИЕ ЯРМАРКИ"</v>
      </c>
      <c r="B7186" s="24" t="s">
        <v>8777</v>
      </c>
      <c r="C7186" s="25">
        <v>344000.04</v>
      </c>
      <c r="D7186" s="22" t="s">
        <v>9278</v>
      </c>
      <c r="E7186" s="22" t="s">
        <v>103</v>
      </c>
      <c r="F7186" s="23" t="str">
        <f t="shared" si="302"/>
        <v>Оказание услуг по техническому обслуживанию систем видеонаблюдения на межрегиональных ярмарках</v>
      </c>
      <c r="G7186" s="22" t="s">
        <v>55</v>
      </c>
      <c r="H7186" s="22" t="s">
        <v>55</v>
      </c>
      <c r="I7186" s="26">
        <v>43615.672222222202</v>
      </c>
      <c r="J7186" s="23" t="str">
        <f>HYPERLINK("https://www.spark-marketing.ru/Card/Person/6442213", "ООО ""АЙТИСФЕРА""")</f>
        <v>ООО "АЙТИСФЕРА"</v>
      </c>
      <c r="K7186" s="24" t="s">
        <v>8779</v>
      </c>
      <c r="L7186" s="28" t="s">
        <v>52</v>
      </c>
      <c r="M7186" s="25">
        <v>171579</v>
      </c>
      <c r="N7186" s="27">
        <v>0.50122389520652377</v>
      </c>
    </row>
    <row r="7187" spans="1:14" hidden="1" outlineLevel="1" x14ac:dyDescent="0.2">
      <c r="A7187" s="23" t="str">
        <f t="shared" si="301"/>
        <v>ГБУ "МОСКОВСКИЕ ЯРМАРКИ"</v>
      </c>
      <c r="B7187" s="24" t="s">
        <v>8777</v>
      </c>
      <c r="C7187" s="25">
        <v>344000.04</v>
      </c>
      <c r="D7187" s="22" t="s">
        <v>9278</v>
      </c>
      <c r="E7187" s="22" t="s">
        <v>103</v>
      </c>
      <c r="F7187" s="23" t="str">
        <f t="shared" si="302"/>
        <v>Оказание услуг по техническому обслуживанию систем видеонаблюдения на межрегиональных ярмарках</v>
      </c>
      <c r="G7187" s="22" t="s">
        <v>55</v>
      </c>
      <c r="H7187" s="22" t="s">
        <v>55</v>
      </c>
      <c r="I7187" s="26">
        <v>43615.672222222202</v>
      </c>
      <c r="J7187" s="23" t="str">
        <f>HYPERLINK("https://www.spark-marketing.ru/Card/Person/6615547", "ООО ""МСКА ИНЖИНИРИНГ""")</f>
        <v>ООО "МСКА ИНЖИНИРИНГ"</v>
      </c>
      <c r="K7187" s="24" t="s">
        <v>3977</v>
      </c>
      <c r="L7187" s="28" t="s">
        <v>52</v>
      </c>
      <c r="M7187" s="25">
        <v>160160</v>
      </c>
      <c r="N7187" s="27">
        <v>0.53441865878852801</v>
      </c>
    </row>
    <row r="7188" spans="1:14" ht="12.75" hidden="1" outlineLevel="1" x14ac:dyDescent="0.2">
      <c r="A7188" s="23" t="str">
        <f t="shared" si="301"/>
        <v>ГБУ "МОСКОВСКИЕ ЯРМАРКИ"</v>
      </c>
      <c r="B7188" s="24" t="s">
        <v>8777</v>
      </c>
      <c r="C7188" s="25">
        <v>344000.04</v>
      </c>
      <c r="D7188" s="22" t="s">
        <v>9278</v>
      </c>
      <c r="E7188" s="22" t="s">
        <v>103</v>
      </c>
      <c r="F7188" s="23" t="str">
        <f t="shared" si="302"/>
        <v>Оказание услуг по техническому обслуживанию систем видеонаблюдения на межрегиональных ярмарках</v>
      </c>
      <c r="G7188" s="22" t="s">
        <v>55</v>
      </c>
      <c r="H7188" s="22" t="s">
        <v>55</v>
      </c>
      <c r="I7188" s="26">
        <v>43615.672222222202</v>
      </c>
      <c r="J7188" s="23" t="str">
        <f>HYPERLINK("https://www.spark-marketing.ru/Card/Person/61590", "ООО ""ВЕНТПОЖСЕРВИС""")</f>
        <v>ООО "ВЕНТПОЖСЕРВИС"</v>
      </c>
      <c r="K7188" s="24" t="s">
        <v>1740</v>
      </c>
      <c r="L7188" s="22" t="s">
        <v>10</v>
      </c>
      <c r="M7188" s="25">
        <v>125760</v>
      </c>
      <c r="N7188" s="27">
        <v>0.63441864716062246</v>
      </c>
    </row>
    <row r="7189" spans="1:14" hidden="1" outlineLevel="1" x14ac:dyDescent="0.2">
      <c r="A7189" s="23" t="str">
        <f t="shared" si="301"/>
        <v>ГБУ "МОСКОВСКИЕ ЯРМАРКИ"</v>
      </c>
      <c r="B7189" s="24" t="s">
        <v>8777</v>
      </c>
      <c r="C7189" s="25">
        <v>344000.04</v>
      </c>
      <c r="D7189" s="22" t="s">
        <v>9278</v>
      </c>
      <c r="E7189" s="22" t="s">
        <v>103</v>
      </c>
      <c r="F7189" s="23" t="str">
        <f t="shared" si="302"/>
        <v>Оказание услуг по техническому обслуживанию систем видеонаблюдения на межрегиональных ярмарках</v>
      </c>
      <c r="G7189" s="22" t="s">
        <v>55</v>
      </c>
      <c r="H7189" s="22" t="s">
        <v>55</v>
      </c>
      <c r="I7189" s="26">
        <v>43615.672222222202</v>
      </c>
      <c r="J7189" s="23" t="str">
        <f>HYPERLINK("https://www.spark-marketing.ru/Card/Person/65028", "ООО ""ИМПУЛЬС М""")</f>
        <v>ООО "ИМПУЛЬС М"</v>
      </c>
      <c r="K7189" s="24" t="s">
        <v>7268</v>
      </c>
      <c r="L7189" s="28" t="s">
        <v>52</v>
      </c>
      <c r="M7189" s="25">
        <v>243460</v>
      </c>
      <c r="N7189" s="27">
        <v>0.29226752415493906</v>
      </c>
    </row>
    <row r="7190" spans="1:14" hidden="1" outlineLevel="1" x14ac:dyDescent="0.2">
      <c r="A7190" s="23" t="str">
        <f t="shared" si="301"/>
        <v>ГБУ "МОСКОВСКИЕ ЯРМАРКИ"</v>
      </c>
      <c r="B7190" s="24" t="s">
        <v>8777</v>
      </c>
      <c r="C7190" s="25">
        <v>344000.04</v>
      </c>
      <c r="D7190" s="22" t="s">
        <v>9278</v>
      </c>
      <c r="E7190" s="22" t="s">
        <v>103</v>
      </c>
      <c r="F7190" s="23" t="str">
        <f t="shared" si="302"/>
        <v>Оказание услуг по техническому обслуживанию систем видеонаблюдения на межрегиональных ярмарках</v>
      </c>
      <c r="G7190" s="22" t="s">
        <v>55</v>
      </c>
      <c r="H7190" s="22" t="s">
        <v>55</v>
      </c>
      <c r="I7190" s="26">
        <v>43615.672222222202</v>
      </c>
      <c r="J7190" s="23" t="str">
        <f>HYPERLINK("https://www.spark-marketing.ru/Card/Person/2044313", "ООО ""ЛОГОСГРУП""")</f>
        <v>ООО "ЛОГОСГРУП"</v>
      </c>
      <c r="K7190" s="24" t="s">
        <v>9279</v>
      </c>
      <c r="L7190" s="28" t="s">
        <v>52</v>
      </c>
      <c r="M7190" s="25">
        <v>127479.99</v>
      </c>
      <c r="N7190" s="27">
        <v>0.62941867681178176</v>
      </c>
    </row>
    <row r="7191" spans="1:14" hidden="1" outlineLevel="1" x14ac:dyDescent="0.2">
      <c r="A7191" s="23" t="str">
        <f t="shared" si="301"/>
        <v>ГБУ "МОСКОВСКИЕ ЯРМАРКИ"</v>
      </c>
      <c r="B7191" s="24" t="s">
        <v>8777</v>
      </c>
      <c r="C7191" s="25">
        <v>344000.04</v>
      </c>
      <c r="D7191" s="22" t="s">
        <v>9278</v>
      </c>
      <c r="E7191" s="22" t="s">
        <v>103</v>
      </c>
      <c r="F7191" s="23" t="str">
        <f t="shared" si="302"/>
        <v>Оказание услуг по техническому обслуживанию систем видеонаблюдения на межрегиональных ярмарках</v>
      </c>
      <c r="G7191" s="22" t="s">
        <v>55</v>
      </c>
      <c r="H7191" s="22" t="s">
        <v>55</v>
      </c>
      <c r="I7191" s="26">
        <v>43615.672222222202</v>
      </c>
      <c r="J7191" s="23" t="str">
        <f>HYPERLINK("https://www.spark-marketing.ru/Card/Person/5908031", "ООО ""ГЕРКУЛЕС ИТ""")</f>
        <v>ООО "ГЕРКУЛЕС ИТ"</v>
      </c>
      <c r="K7191" s="24" t="s">
        <v>7266</v>
      </c>
      <c r="L7191" s="28" t="s">
        <v>52</v>
      </c>
      <c r="M7191" s="25">
        <v>246900</v>
      </c>
      <c r="N7191" s="27">
        <v>0.28226752531772964</v>
      </c>
    </row>
    <row r="7192" spans="1:14" x14ac:dyDescent="0.15">
      <c r="A7192" s="23" t="str">
        <f>HYPERLINK("https://www.spark-marketing.ru/Card/Person/46755", "ГКУ «СФК ДКМ»")</f>
        <v>ГКУ «СФК ДКМ»</v>
      </c>
      <c r="B7192" s="24" t="s">
        <v>9280</v>
      </c>
      <c r="C7192" s="25">
        <v>312409.67</v>
      </c>
      <c r="D7192" s="22" t="s">
        <v>9281</v>
      </c>
      <c r="E7192" s="22" t="s">
        <v>84</v>
      </c>
      <c r="F7192" s="23" t="str">
        <f>HYPERLINK("https://www.spark-marketing.ru/Card/Lot/70976110", "Выполнение работ по установке системы контроля и управления доступом комплексной системы видеонаблюдения.")</f>
        <v>Выполнение работ по установке системы контроля и управления доступом комплексной системы видеонаблюдения.</v>
      </c>
      <c r="G7192" s="22" t="s">
        <v>55</v>
      </c>
      <c r="H7192" s="22" t="s">
        <v>55</v>
      </c>
      <c r="I7192" s="26">
        <v>43615.672916666699</v>
      </c>
      <c r="J7192" s="28" t="s">
        <v>52</v>
      </c>
      <c r="K7192" s="28" t="s">
        <v>52</v>
      </c>
      <c r="L7192" s="28" t="s">
        <v>52</v>
      </c>
      <c r="M7192" s="28" t="s">
        <v>52</v>
      </c>
      <c r="N7192" s="28" t="s">
        <v>52</v>
      </c>
    </row>
    <row r="7193" spans="1:14" ht="12.75" hidden="1" outlineLevel="1" x14ac:dyDescent="0.2">
      <c r="A7193" s="23" t="str">
        <f>HYPERLINK("https://www.spark-marketing.ru/Card/Person/46755", "ГКУ «СФК ДКМ»")</f>
        <v>ГКУ «СФК ДКМ»</v>
      </c>
      <c r="B7193" s="24" t="s">
        <v>9280</v>
      </c>
      <c r="C7193" s="25">
        <v>312409.67</v>
      </c>
      <c r="D7193" s="22" t="s">
        <v>9281</v>
      </c>
      <c r="E7193" s="22" t="s">
        <v>84</v>
      </c>
      <c r="F7193" s="23" t="str">
        <f>HYPERLINK("https://www.spark-marketing.ru/Card/Lot/70976110", "Выполнение работ по установке системы контроля и управления доступом комплексной системы видеонаблюдения.")</f>
        <v>Выполнение работ по установке системы контроля и управления доступом комплексной системы видеонаблюдения.</v>
      </c>
      <c r="G7193" s="22" t="s">
        <v>55</v>
      </c>
      <c r="H7193" s="22" t="s">
        <v>55</v>
      </c>
      <c r="I7193" s="26">
        <v>43615.672916666699</v>
      </c>
      <c r="J7193" s="23" t="str">
        <f>HYPERLINK("https://www.spark-marketing.ru/Card/Person/4954405", "ООО ""АНГАРЕЙОН-СБ""")</f>
        <v>ООО "АНГАРЕЙОН-СБ"</v>
      </c>
      <c r="K7193" s="24" t="s">
        <v>3508</v>
      </c>
      <c r="L7193" s="22" t="s">
        <v>10</v>
      </c>
      <c r="M7193" s="25">
        <v>290540.96999999997</v>
      </c>
      <c r="N7193" s="27">
        <v>7.0000073941373198E-2</v>
      </c>
    </row>
    <row r="7194" spans="1:14" hidden="1" outlineLevel="1" x14ac:dyDescent="0.2">
      <c r="A7194" s="23" t="str">
        <f>HYPERLINK("https://www.spark-marketing.ru/Card/Person/46755", "ГКУ «СФК ДКМ»")</f>
        <v>ГКУ «СФК ДКМ»</v>
      </c>
      <c r="B7194" s="24" t="s">
        <v>9280</v>
      </c>
      <c r="C7194" s="25">
        <v>312409.67</v>
      </c>
      <c r="D7194" s="22" t="s">
        <v>9281</v>
      </c>
      <c r="E7194" s="22" t="s">
        <v>84</v>
      </c>
      <c r="F7194" s="23" t="str">
        <f>HYPERLINK("https://www.spark-marketing.ru/Card/Lot/70976110", "Выполнение работ по установке системы контроля и управления доступом комплексной системы видеонаблюдения.")</f>
        <v>Выполнение работ по установке системы контроля и управления доступом комплексной системы видеонаблюдения.</v>
      </c>
      <c r="G7194" s="22" t="s">
        <v>55</v>
      </c>
      <c r="H7194" s="22" t="s">
        <v>55</v>
      </c>
      <c r="I7194" s="26">
        <v>43615.672916666699</v>
      </c>
      <c r="J7194" s="23" t="str">
        <f>HYPERLINK("https://www.spark-marketing.ru/Card/Person/360568", "ООО ""МИР СОЕДИНЕНИЙ""")</f>
        <v>ООО "МИР СОЕДИНЕНИЙ"</v>
      </c>
      <c r="K7194" s="24" t="s">
        <v>9282</v>
      </c>
      <c r="L7194" s="28" t="s">
        <v>52</v>
      </c>
      <c r="M7194" s="25">
        <v>292103.02</v>
      </c>
      <c r="N7194" s="27">
        <v>6.5000068659846547E-2</v>
      </c>
    </row>
    <row r="7195" spans="1:14" x14ac:dyDescent="0.2">
      <c r="A7195" s="23" t="str">
        <f>HYPERLINK("https://www.spark-marketing.ru/Card/Person/1766366", "МАУ ГОЩ ""МФЦ ГОРОДСКОГО ОКРУГА ЩЁЛКОВО""")</f>
        <v>МАУ ГОЩ "МФЦ ГОРОДСКОГО ОКРУГА ЩЁЛКОВО"</v>
      </c>
      <c r="B7195" s="24" t="s">
        <v>9283</v>
      </c>
      <c r="C7195" s="25">
        <v>61609.11</v>
      </c>
      <c r="D7195" s="22" t="s">
        <v>9284</v>
      </c>
      <c r="E7195" s="22" t="s">
        <v>9285</v>
      </c>
      <c r="F7195" s="23" t="str">
        <f>HYPERLINK("https://www.spark-marketing.ru/Card/Lot/70971807", "Возмещение эксплуатационных расходов по коммунальным и охранным услугам")</f>
        <v>Возмещение эксплуатационных расходов по коммунальным и охранным услугам</v>
      </c>
      <c r="G7195" s="22" t="s">
        <v>50</v>
      </c>
      <c r="H7195" s="22" t="s">
        <v>458</v>
      </c>
      <c r="I7195" s="26">
        <v>43615.675000000003</v>
      </c>
      <c r="J7195" s="23" t="str">
        <f>HYPERLINK("https://www.spark-marketing.ru/Card/Person/6313566", "ООО ""СТРОЙИНВЕСТ-Л""")</f>
        <v>ООО "СТРОЙИНВЕСТ-Л"</v>
      </c>
      <c r="K7195" s="24" t="s">
        <v>9286</v>
      </c>
      <c r="L7195" s="28" t="s">
        <v>52</v>
      </c>
      <c r="M7195" s="25">
        <v>61609.11</v>
      </c>
      <c r="N7195" s="27">
        <v>0</v>
      </c>
    </row>
    <row r="7196" spans="1:14" x14ac:dyDescent="0.15">
      <c r="A7196" s="23" t="str">
        <f>HYPERLINK("https://www.spark-marketing.ru/Card/Person/14160", "СПБ ГКУ ""ДОДД""")</f>
        <v>СПБ ГКУ "ДОДД"</v>
      </c>
      <c r="B7196" s="24" t="s">
        <v>9287</v>
      </c>
      <c r="C7196" s="25">
        <v>15297991.199999999</v>
      </c>
      <c r="D7196" s="22" t="s">
        <v>9288</v>
      </c>
      <c r="E7196" s="22" t="s">
        <v>59</v>
      </c>
      <c r="F7196" s="23" t="str">
        <f>HYPERLINK("https://www.spark-marketing.ru/Card/Lot/70975488", "Выполнение работ по установке устройств звуковой голосовой сигнализации.")</f>
        <v>Выполнение работ по установке устройств звуковой голосовой сигнализации.</v>
      </c>
      <c r="G7196" s="22" t="s">
        <v>89</v>
      </c>
      <c r="H7196" s="22" t="s">
        <v>89</v>
      </c>
      <c r="I7196" s="26">
        <v>43615.677083333299</v>
      </c>
      <c r="J7196" s="28" t="s">
        <v>52</v>
      </c>
      <c r="K7196" s="28" t="s">
        <v>52</v>
      </c>
      <c r="L7196" s="28" t="s">
        <v>52</v>
      </c>
      <c r="M7196" s="28" t="s">
        <v>52</v>
      </c>
      <c r="N7196" s="28" t="s">
        <v>52</v>
      </c>
    </row>
    <row r="7197" spans="1:14" hidden="1" outlineLevel="1" x14ac:dyDescent="0.2">
      <c r="A7197" s="23" t="str">
        <f>HYPERLINK("https://www.spark-marketing.ru/Card/Person/14160", "СПБ ГКУ ""ДОДД""")</f>
        <v>СПБ ГКУ "ДОДД"</v>
      </c>
      <c r="B7197" s="24" t="s">
        <v>9287</v>
      </c>
      <c r="C7197" s="25">
        <v>15297991.199999999</v>
      </c>
      <c r="D7197" s="22" t="s">
        <v>9288</v>
      </c>
      <c r="E7197" s="22" t="s">
        <v>59</v>
      </c>
      <c r="F7197" s="23" t="str">
        <f>HYPERLINK("https://www.spark-marketing.ru/Card/Lot/70975488", "Выполнение работ по установке устройств звуковой голосовой сигнализации.")</f>
        <v>Выполнение работ по установке устройств звуковой голосовой сигнализации.</v>
      </c>
      <c r="G7197" s="22" t="s">
        <v>89</v>
      </c>
      <c r="H7197" s="22" t="s">
        <v>89</v>
      </c>
      <c r="I7197" s="26">
        <v>43615.677083333299</v>
      </c>
      <c r="J7197" s="23" t="str">
        <f>HYPERLINK("https://www.spark-marketing.ru/Card/Person/4862654", "ООО ""ДОРКОН""")</f>
        <v>ООО "ДОРКОН"</v>
      </c>
      <c r="K7197" s="24" t="s">
        <v>9289</v>
      </c>
      <c r="L7197" s="28" t="s">
        <v>52</v>
      </c>
      <c r="M7197" s="25">
        <v>15221501.24</v>
      </c>
      <c r="N7197" s="27">
        <v>5.0000002614722381E-3</v>
      </c>
    </row>
    <row r="7198" spans="1:14" ht="12.75" hidden="1" outlineLevel="1" x14ac:dyDescent="0.2">
      <c r="A7198" s="23" t="str">
        <f>HYPERLINK("https://www.spark-marketing.ru/Card/Person/14160", "СПБ ГКУ ""ДОДД""")</f>
        <v>СПБ ГКУ "ДОДД"</v>
      </c>
      <c r="B7198" s="24" t="s">
        <v>9287</v>
      </c>
      <c r="C7198" s="25">
        <v>15297991.199999999</v>
      </c>
      <c r="D7198" s="22" t="s">
        <v>9288</v>
      </c>
      <c r="E7198" s="22" t="s">
        <v>59</v>
      </c>
      <c r="F7198" s="23" t="str">
        <f>HYPERLINK("https://www.spark-marketing.ru/Card/Lot/70975488", "Выполнение работ по установке устройств звуковой голосовой сигнализации.")</f>
        <v>Выполнение работ по установке устройств звуковой голосовой сигнализации.</v>
      </c>
      <c r="G7198" s="22" t="s">
        <v>89</v>
      </c>
      <c r="H7198" s="22" t="s">
        <v>89</v>
      </c>
      <c r="I7198" s="26">
        <v>43615.677083333299</v>
      </c>
      <c r="J7198" s="23" t="str">
        <f>HYPERLINK("https://www.spark-marketing.ru/Card/Person/6619582", "Штырев Максим Владимирович")</f>
        <v>Штырев Максим Владимирович</v>
      </c>
      <c r="K7198" s="24" t="s">
        <v>9290</v>
      </c>
      <c r="L7198" s="22" t="s">
        <v>10</v>
      </c>
      <c r="M7198" s="25">
        <v>15221501.24</v>
      </c>
      <c r="N7198" s="27">
        <v>5.0000002614722381E-3</v>
      </c>
    </row>
    <row r="7199" spans="1:14" x14ac:dyDescent="0.2">
      <c r="A7199" s="23" t="str">
        <f>HYPERLINK("https://www.spark-marketing.ru/Card/Person/543812", "ГУК ТО ""ТУЛЬСКИЙ АКАДЕМИЧЕСКИЙ ТЕАТР ДРАМЫ""")</f>
        <v>ГУК ТО "ТУЛЬСКИЙ АКАДЕМИЧЕСКИЙ ТЕАТР ДРАМЫ"</v>
      </c>
      <c r="B7199" s="24" t="s">
        <v>9291</v>
      </c>
      <c r="C7199" s="25">
        <v>427358.74</v>
      </c>
      <c r="D7199" s="22" t="s">
        <v>9292</v>
      </c>
      <c r="E7199" s="22" t="s">
        <v>3040</v>
      </c>
      <c r="F7199" s="23" t="str">
        <f>HYPERLINK("https://www.spark-marketing.ru/Card/Lot/70968459", "Оказание услуг по организации визуального сопровождения с использованием специального видеооборудования для Международного музыкально-театрального фестиваля «Шедевры мирового искусства» для ГУК ТО «Тульский академический театр драмы»")</f>
        <v>Оказание услуг по организации визуального сопровождения с использованием специального видеооборудования для Международного музыкально-театрального фестиваля «Шедевры мирового искусства» для ГУК ТО «Тульский академический театр драмы»</v>
      </c>
      <c r="G7199" s="22" t="s">
        <v>818</v>
      </c>
      <c r="H7199" s="22" t="s">
        <v>819</v>
      </c>
      <c r="I7199" s="26">
        <v>43615.637754629599</v>
      </c>
      <c r="J7199" s="28" t="s">
        <v>52</v>
      </c>
      <c r="K7199" s="28" t="s">
        <v>52</v>
      </c>
      <c r="L7199" s="28" t="s">
        <v>52</v>
      </c>
      <c r="M7199" s="25">
        <v>427358.74</v>
      </c>
      <c r="N7199" s="27">
        <v>0</v>
      </c>
    </row>
    <row r="7200" spans="1:14" x14ac:dyDescent="0.2">
      <c r="A7200" s="23" t="str">
        <f>HYPERLINK("https://www.spark-marketing.ru/Card/Person/165704", "ФГАОУ ВО ""БЕЛГОРОДСКИЙ ГОСУДАРСТВЕННЫЙ НАЦИОНАЛЬНЫЙ ИССЛЕДОВАТЕЛЬСКИЙ УНИВЕРСИТЕТ"", БЕЛГОРОДСКИЙ ГОСУДАРСТВЕННЫЙ НАЦИОНАЛЬНЫЙ ИССЛЕДОВАТЕЛЬСКИЙ УНИВЕРСИТЕТ, НИУ ""БЕЛГУ""")</f>
        <v>ФГАОУ ВО "БЕЛГОРОДСКИЙ ГОСУДАРСТВЕННЫЙ НАЦИОНАЛЬНЫЙ ИССЛЕДОВАТЕЛЬСКИЙ УНИВЕРСИТЕТ", БЕЛГОРОДСКИЙ ГОСУДАРСТВЕННЫЙ НАЦИОНАЛЬНЫЙ ИССЛЕДОВАТЕЛЬСКИЙ УНИВЕРСИТЕТ, НИУ "БЕЛГУ"</v>
      </c>
      <c r="B7200" s="24" t="s">
        <v>9293</v>
      </c>
      <c r="C7200" s="25">
        <v>30188090</v>
      </c>
      <c r="D7200" s="22" t="s">
        <v>9294</v>
      </c>
      <c r="E7200" s="22" t="s">
        <v>789</v>
      </c>
      <c r="F7200" s="23" t="str">
        <f>HYPERLINK("https://www.spark-marketing.ru/Card/Lot/70969006", "Услуги аутсорсинга по обеспечению контрольно-пропускного режима на объектах НИУ «БелГУ»")</f>
        <v>Услуги аутсорсинга по обеспечению контрольно-пропускного режима на объектах НИУ «БелГУ»</v>
      </c>
      <c r="G7200" s="22" t="s">
        <v>176</v>
      </c>
      <c r="H7200" s="22" t="s">
        <v>176</v>
      </c>
      <c r="I7200" s="26">
        <v>43615.639513888898</v>
      </c>
      <c r="J7200" s="23" t="str">
        <f>HYPERLINK("https://www.spark-marketing.ru/Card/Person/6582010", "ООО ""ПАРТНЕР""")</f>
        <v>ООО "ПАРТНЕР"</v>
      </c>
      <c r="K7200" s="24" t="s">
        <v>9295</v>
      </c>
      <c r="L7200" s="28" t="s">
        <v>52</v>
      </c>
      <c r="M7200" s="25">
        <v>30188090</v>
      </c>
      <c r="N7200" s="27">
        <v>0</v>
      </c>
    </row>
    <row r="7201" spans="1:14" x14ac:dyDescent="0.15">
      <c r="A7201" s="23" t="str">
        <f>HYPERLINK("https://www.spark-marketing.ru/Card/Person/4377086", """СОШ №7 ИМ. А. В. МОКРОУСОВА С УГЛУБЛЕННЫМ ИЗУЧЕНИЕМ АНГЛИЙСКОГО ЯЗЫКА"" Г. СИМФЕРОПОЛЯ")</f>
        <v>"СОШ №7 ИМ. А. В. МОКРОУСОВА С УГЛУБЛЕННЫМ ИЗУЧЕНИЕМ АНГЛИЙСКОГО ЯЗЫКА" Г. СИМФЕРОПОЛЯ</v>
      </c>
      <c r="B7201" s="24" t="s">
        <v>9296</v>
      </c>
      <c r="C7201" s="25">
        <v>35798.400000000001</v>
      </c>
      <c r="D7201" s="22" t="s">
        <v>9297</v>
      </c>
      <c r="E7201" s="22" t="s">
        <v>9298</v>
      </c>
      <c r="F7201" s="23" t="str">
        <f>HYPERLINK("https://www.spark-marketing.ru/Card/Lot/70965944", "Монтажные работы по установке стабилизаторов напряжения в системе охранной сигнализации")</f>
        <v>Монтажные работы по установке стабилизаторов напряжения в системе охранной сигнализации</v>
      </c>
      <c r="G7201" s="22" t="s">
        <v>1053</v>
      </c>
      <c r="H7201" s="22" t="s">
        <v>3239</v>
      </c>
      <c r="I7201" s="26">
        <v>43615.652777777803</v>
      </c>
      <c r="J7201" s="28" t="s">
        <v>52</v>
      </c>
      <c r="K7201" s="28" t="s">
        <v>52</v>
      </c>
      <c r="L7201" s="28" t="s">
        <v>52</v>
      </c>
      <c r="M7201" s="28" t="s">
        <v>52</v>
      </c>
      <c r="N7201" s="28" t="s">
        <v>52</v>
      </c>
    </row>
    <row r="7202" spans="1:14" x14ac:dyDescent="0.15">
      <c r="A7202" s="23" t="str">
        <f t="shared" ref="A7202:A7209" si="303">HYPERLINK("https://www.spark-marketing.ru/Card/Person/105246", "ГБУ ""МОСКОВСКИЕ ЯРМАРКИ""")</f>
        <v>ГБУ "МОСКОВСКИЕ ЯРМАРКИ"</v>
      </c>
      <c r="B7202" s="24" t="s">
        <v>8777</v>
      </c>
      <c r="C7202" s="25">
        <v>226000.02</v>
      </c>
      <c r="D7202" s="22" t="s">
        <v>9299</v>
      </c>
      <c r="E7202" s="22" t="s">
        <v>842</v>
      </c>
      <c r="F7202" s="23" t="str">
        <f t="shared" ref="F7202:F7209" si="304">HYPERLINK("https://www.spark-marketing.ru/Card/Lot/70973498", "Оказание услуг по техническому обслуживанию систем безопасности (система видеонаблюдения и система контроля и управления доступом) на межрегиональной ярмарке по адресу: Семеновская пл., вл.4")</f>
        <v>Оказание услуг по техническому обслуживанию систем безопасности (система видеонаблюдения и система контроля и управления доступом) на межрегиональной ярмарке по адресу: Семеновская пл., вл.4</v>
      </c>
      <c r="G7202" s="22" t="s">
        <v>55</v>
      </c>
      <c r="H7202" s="22" t="s">
        <v>55</v>
      </c>
      <c r="I7202" s="26">
        <v>43615.663888888899</v>
      </c>
      <c r="J7202" s="28" t="s">
        <v>52</v>
      </c>
      <c r="K7202" s="28" t="s">
        <v>52</v>
      </c>
      <c r="L7202" s="28" t="s">
        <v>52</v>
      </c>
      <c r="M7202" s="28" t="s">
        <v>52</v>
      </c>
      <c r="N7202" s="28" t="s">
        <v>52</v>
      </c>
    </row>
    <row r="7203" spans="1:14" hidden="1" outlineLevel="1" x14ac:dyDescent="0.2">
      <c r="A7203" s="23" t="str">
        <f t="shared" si="303"/>
        <v>ГБУ "МОСКОВСКИЕ ЯРМАРКИ"</v>
      </c>
      <c r="B7203" s="24" t="s">
        <v>8777</v>
      </c>
      <c r="C7203" s="25">
        <v>226000.02</v>
      </c>
      <c r="D7203" s="22" t="s">
        <v>9299</v>
      </c>
      <c r="E7203" s="22" t="s">
        <v>842</v>
      </c>
      <c r="F7203" s="23" t="str">
        <f t="shared" si="304"/>
        <v>Оказание услуг по техническому обслуживанию систем безопасности (система видеонаблюдения и система контроля и управления доступом) на межрегиональной ярмарке по адресу: Семеновская пл., вл.4</v>
      </c>
      <c r="G7203" s="22" t="s">
        <v>55</v>
      </c>
      <c r="H7203" s="22" t="s">
        <v>55</v>
      </c>
      <c r="I7203" s="26">
        <v>43615.663888888899</v>
      </c>
      <c r="J7203" s="23" t="str">
        <f>HYPERLINK("https://www.spark-marketing.ru/Card/Person/6445825", "Судариков Михаил Геннадьевич")</f>
        <v>Судариков Михаил Геннадьевич</v>
      </c>
      <c r="K7203" s="24" t="s">
        <v>1219</v>
      </c>
      <c r="L7203" s="28" t="s">
        <v>52</v>
      </c>
      <c r="M7203" s="25">
        <v>93900</v>
      </c>
      <c r="N7203" s="27">
        <v>0.5845133111050167</v>
      </c>
    </row>
    <row r="7204" spans="1:14" hidden="1" outlineLevel="1" x14ac:dyDescent="0.2">
      <c r="A7204" s="23" t="str">
        <f t="shared" si="303"/>
        <v>ГБУ "МОСКОВСКИЕ ЯРМАРКИ"</v>
      </c>
      <c r="B7204" s="24" t="s">
        <v>8777</v>
      </c>
      <c r="C7204" s="25">
        <v>226000.02</v>
      </c>
      <c r="D7204" s="22" t="s">
        <v>9299</v>
      </c>
      <c r="E7204" s="22" t="s">
        <v>842</v>
      </c>
      <c r="F7204" s="23" t="str">
        <f t="shared" si="304"/>
        <v>Оказание услуг по техническому обслуживанию систем безопасности (система видеонаблюдения и система контроля и управления доступом) на межрегиональной ярмарке по адресу: Семеновская пл., вл.4</v>
      </c>
      <c r="G7204" s="22" t="s">
        <v>55</v>
      </c>
      <c r="H7204" s="22" t="s">
        <v>55</v>
      </c>
      <c r="I7204" s="26">
        <v>43615.663888888899</v>
      </c>
      <c r="J7204" s="23" t="str">
        <f>HYPERLINK("https://www.spark-marketing.ru/Card/Person/2572181", "ООО ""ЖИРАФ""")</f>
        <v>ООО "ЖИРАФ"</v>
      </c>
      <c r="K7204" s="24" t="s">
        <v>8683</v>
      </c>
      <c r="L7204" s="28" t="s">
        <v>52</v>
      </c>
      <c r="M7204" s="25">
        <v>90000</v>
      </c>
      <c r="N7204" s="27">
        <v>0.60176994674602247</v>
      </c>
    </row>
    <row r="7205" spans="1:14" hidden="1" outlineLevel="1" x14ac:dyDescent="0.2">
      <c r="A7205" s="23" t="str">
        <f t="shared" si="303"/>
        <v>ГБУ "МОСКОВСКИЕ ЯРМАРКИ"</v>
      </c>
      <c r="B7205" s="24" t="s">
        <v>8777</v>
      </c>
      <c r="C7205" s="25">
        <v>226000.02</v>
      </c>
      <c r="D7205" s="22" t="s">
        <v>9299</v>
      </c>
      <c r="E7205" s="22" t="s">
        <v>842</v>
      </c>
      <c r="F7205" s="23" t="str">
        <f t="shared" si="304"/>
        <v>Оказание услуг по техническому обслуживанию систем безопасности (система видеонаблюдения и система контроля и управления доступом) на межрегиональной ярмарке по адресу: Семеновская пл., вл.4</v>
      </c>
      <c r="G7205" s="22" t="s">
        <v>55</v>
      </c>
      <c r="H7205" s="22" t="s">
        <v>55</v>
      </c>
      <c r="I7205" s="26">
        <v>43615.663888888899</v>
      </c>
      <c r="J7205" s="23" t="str">
        <f>HYPERLINK("https://www.spark-marketing.ru/Card/Person/6442213", "ООО ""АЙТИСФЕРА""")</f>
        <v>ООО "АЙТИСФЕРА"</v>
      </c>
      <c r="K7205" s="24" t="s">
        <v>8779</v>
      </c>
      <c r="L7205" s="28" t="s">
        <v>52</v>
      </c>
      <c r="M7205" s="25">
        <v>123280</v>
      </c>
      <c r="N7205" s="27">
        <v>0.4545133226094405</v>
      </c>
    </row>
    <row r="7206" spans="1:14" hidden="1" outlineLevel="1" x14ac:dyDescent="0.2">
      <c r="A7206" s="23" t="str">
        <f t="shared" si="303"/>
        <v>ГБУ "МОСКОВСКИЕ ЯРМАРКИ"</v>
      </c>
      <c r="B7206" s="24" t="s">
        <v>8777</v>
      </c>
      <c r="C7206" s="25">
        <v>226000.02</v>
      </c>
      <c r="D7206" s="22" t="s">
        <v>9299</v>
      </c>
      <c r="E7206" s="22" t="s">
        <v>842</v>
      </c>
      <c r="F7206" s="23" t="str">
        <f t="shared" si="304"/>
        <v>Оказание услуг по техническому обслуживанию систем безопасности (система видеонаблюдения и система контроля и управления доступом) на межрегиональной ярмарке по адресу: Семеновская пл., вл.4</v>
      </c>
      <c r="G7206" s="22" t="s">
        <v>55</v>
      </c>
      <c r="H7206" s="22" t="s">
        <v>55</v>
      </c>
      <c r="I7206" s="26">
        <v>43615.663888888899</v>
      </c>
      <c r="J7206" s="23" t="str">
        <f>HYPERLINK("https://www.spark-marketing.ru/Card/Person/2044313", "ООО ""ЛОГОСГРУП""")</f>
        <v>ООО "ЛОГОСГРУП"</v>
      </c>
      <c r="K7206" s="24" t="s">
        <v>9279</v>
      </c>
      <c r="L7206" s="28" t="s">
        <v>52</v>
      </c>
      <c r="M7206" s="25">
        <v>106329.99</v>
      </c>
      <c r="N7206" s="27">
        <v>0.52951336022005657</v>
      </c>
    </row>
    <row r="7207" spans="1:14" ht="12.75" hidden="1" outlineLevel="1" x14ac:dyDescent="0.2">
      <c r="A7207" s="23" t="str">
        <f t="shared" si="303"/>
        <v>ГБУ "МОСКОВСКИЕ ЯРМАРКИ"</v>
      </c>
      <c r="B7207" s="24" t="s">
        <v>8777</v>
      </c>
      <c r="C7207" s="25">
        <v>226000.02</v>
      </c>
      <c r="D7207" s="22" t="s">
        <v>9299</v>
      </c>
      <c r="E7207" s="22" t="s">
        <v>842</v>
      </c>
      <c r="F7207" s="23" t="str">
        <f t="shared" si="304"/>
        <v>Оказание услуг по техническому обслуживанию систем безопасности (система видеонаблюдения и система контроля и управления доступом) на межрегиональной ярмарке по адресу: Семеновская пл., вл.4</v>
      </c>
      <c r="G7207" s="22" t="s">
        <v>55</v>
      </c>
      <c r="H7207" s="22" t="s">
        <v>55</v>
      </c>
      <c r="I7207" s="26">
        <v>43615.663888888899</v>
      </c>
      <c r="J7207" s="23" t="str">
        <f>HYPERLINK("https://www.spark-marketing.ru/Card/Person/61590", "ООО ""ВЕНТПОЖСЕРВИС""")</f>
        <v>ООО "ВЕНТПОЖСЕРВИС"</v>
      </c>
      <c r="K7207" s="24" t="s">
        <v>1740</v>
      </c>
      <c r="L7207" s="22" t="s">
        <v>10</v>
      </c>
      <c r="M7207" s="25">
        <v>88870</v>
      </c>
      <c r="N7207" s="27">
        <v>0.60676994630354453</v>
      </c>
    </row>
    <row r="7208" spans="1:14" hidden="1" outlineLevel="1" x14ac:dyDescent="0.2">
      <c r="A7208" s="23" t="str">
        <f t="shared" si="303"/>
        <v>ГБУ "МОСКОВСКИЕ ЯРМАРКИ"</v>
      </c>
      <c r="B7208" s="24" t="s">
        <v>8777</v>
      </c>
      <c r="C7208" s="25">
        <v>226000.02</v>
      </c>
      <c r="D7208" s="22" t="s">
        <v>9299</v>
      </c>
      <c r="E7208" s="22" t="s">
        <v>842</v>
      </c>
      <c r="F7208" s="23" t="str">
        <f t="shared" si="304"/>
        <v>Оказание услуг по техническому обслуживанию систем безопасности (система видеонаблюдения и система контроля и управления доступом) на межрегиональной ярмарке по адресу: Семеновская пл., вл.4</v>
      </c>
      <c r="G7208" s="22" t="s">
        <v>55</v>
      </c>
      <c r="H7208" s="22" t="s">
        <v>55</v>
      </c>
      <c r="I7208" s="26">
        <v>43615.663888888899</v>
      </c>
      <c r="J7208" s="23" t="str">
        <f>HYPERLINK("https://www.spark-marketing.ru/Card/Person/65028", "ООО ""ИМПУЛЬС М""")</f>
        <v>ООО "ИМПУЛЬС М"</v>
      </c>
      <c r="K7208" s="24" t="s">
        <v>7268</v>
      </c>
      <c r="L7208" s="28" t="s">
        <v>52</v>
      </c>
      <c r="M7208" s="25">
        <v>175000</v>
      </c>
      <c r="N7208" s="27">
        <v>0.22566378533948803</v>
      </c>
    </row>
    <row r="7209" spans="1:14" hidden="1" outlineLevel="1" x14ac:dyDescent="0.2">
      <c r="A7209" s="23" t="str">
        <f t="shared" si="303"/>
        <v>ГБУ "МОСКОВСКИЕ ЯРМАРКИ"</v>
      </c>
      <c r="B7209" s="24" t="s">
        <v>8777</v>
      </c>
      <c r="C7209" s="25">
        <v>226000.02</v>
      </c>
      <c r="D7209" s="22" t="s">
        <v>9299</v>
      </c>
      <c r="E7209" s="22" t="s">
        <v>842</v>
      </c>
      <c r="F7209" s="23" t="str">
        <f t="shared" si="304"/>
        <v>Оказание услуг по техническому обслуживанию систем безопасности (система видеонаблюдения и система контроля и управления доступом) на межрегиональной ярмарке по адресу: Семеновская пл., вл.4</v>
      </c>
      <c r="G7209" s="22" t="s">
        <v>55</v>
      </c>
      <c r="H7209" s="22" t="s">
        <v>55</v>
      </c>
      <c r="I7209" s="26">
        <v>43615.663888888899</v>
      </c>
      <c r="J7209" s="23" t="str">
        <f>HYPERLINK("https://www.spark-marketing.ru/Card/Person/5908031", "ООО ""ГЕРКУЛЕС ИТ""")</f>
        <v>ООО "ГЕРКУЛЕС ИТ"</v>
      </c>
      <c r="K7209" s="24" t="s">
        <v>7266</v>
      </c>
      <c r="L7209" s="28" t="s">
        <v>52</v>
      </c>
      <c r="M7209" s="25">
        <v>198990</v>
      </c>
      <c r="N7209" s="27">
        <v>0.11951335225545555</v>
      </c>
    </row>
    <row r="7210" spans="1:14" x14ac:dyDescent="0.15">
      <c r="A7210" s="23" t="str">
        <f>HYPERLINK("https://www.spark-marketing.ru/Card/Person/1661477", "ПАО ""ДЕТСКИЙ МИР""")</f>
        <v>ПАО "ДЕТСКИЙ МИР"</v>
      </c>
      <c r="B7210" s="24" t="s">
        <v>667</v>
      </c>
      <c r="C7210" s="28" t="s">
        <v>52</v>
      </c>
      <c r="D7210" s="22" t="s">
        <v>9300</v>
      </c>
      <c r="E7210" s="22" t="s">
        <v>53</v>
      </c>
      <c r="F7210" s="23" t="str">
        <f>HYPERLINK("https://www.spark-marketing.ru/Card/Lot/71018019", "Оказание услуг по охране объектов ПАО «Детский мир» РО Центр в г. Нижний Новгород сроком на 1 (Один) год.")</f>
        <v>Оказание услуг по охране объектов ПАО «Детский мир» РО Центр в г. Нижний Новгород сроком на 1 (Один) год.</v>
      </c>
      <c r="G7210" s="22" t="s">
        <v>64</v>
      </c>
      <c r="H7210" s="22" t="s">
        <v>64</v>
      </c>
      <c r="I7210" s="26">
        <v>43615.6069444444</v>
      </c>
      <c r="J7210" s="28" t="s">
        <v>52</v>
      </c>
      <c r="K7210" s="28" t="s">
        <v>52</v>
      </c>
      <c r="L7210" s="28" t="s">
        <v>52</v>
      </c>
      <c r="M7210" s="28" t="s">
        <v>52</v>
      </c>
      <c r="N7210" s="28" t="s">
        <v>52</v>
      </c>
    </row>
    <row r="7211" spans="1:14" x14ac:dyDescent="0.15">
      <c r="A7211" s="23" t="str">
        <f>HYPERLINK("https://www.spark-marketing.ru/Card/Person/94591", "ГБУ РС (Я) ""НЮРБИНСКАЯ ЦРБ""")</f>
        <v>ГБУ РС (Я) "НЮРБИНСКАЯ ЦРБ"</v>
      </c>
      <c r="B7211" s="24" t="s">
        <v>9301</v>
      </c>
      <c r="C7211" s="25">
        <v>180000</v>
      </c>
      <c r="D7211" s="22" t="s">
        <v>9302</v>
      </c>
      <c r="E7211" s="22" t="s">
        <v>84</v>
      </c>
      <c r="F7211" s="23" t="str">
        <f>HYPERLINK("https://www.spark-marketing.ru/Card/Lot/70946199", "Оказание услуг по установке видеонаблюдения")</f>
        <v>Оказание услуг по установке видеонаблюдения</v>
      </c>
      <c r="G7211" s="22" t="s">
        <v>424</v>
      </c>
      <c r="H7211" s="22" t="s">
        <v>9303</v>
      </c>
      <c r="I7211" s="26">
        <v>43615.615277777797</v>
      </c>
      <c r="J7211" s="23" t="str">
        <f>HYPERLINK("https://www.spark-marketing.ru/Card/Person/152254", "ООО ""БАСТИОН""")</f>
        <v>ООО "БАСТИОН"</v>
      </c>
      <c r="K7211" s="24" t="s">
        <v>9304</v>
      </c>
      <c r="L7211" s="28" t="s">
        <v>52</v>
      </c>
      <c r="M7211" s="28" t="s">
        <v>52</v>
      </c>
      <c r="N7211" s="28" t="s">
        <v>52</v>
      </c>
    </row>
    <row r="7212" spans="1:14" hidden="1" outlineLevel="1" x14ac:dyDescent="0.15">
      <c r="A7212" s="23" t="str">
        <f>HYPERLINK("https://www.spark-marketing.ru/Card/Person/94591", "ГБУ РС (Я) ""НЮРБИНСКАЯ ЦРБ""")</f>
        <v>ГБУ РС (Я) "НЮРБИНСКАЯ ЦРБ"</v>
      </c>
      <c r="B7212" s="24" t="s">
        <v>9301</v>
      </c>
      <c r="C7212" s="25">
        <v>180000</v>
      </c>
      <c r="D7212" s="22" t="s">
        <v>9302</v>
      </c>
      <c r="E7212" s="22" t="s">
        <v>84</v>
      </c>
      <c r="F7212" s="23" t="str">
        <f>HYPERLINK("https://www.spark-marketing.ru/Card/Lot/70946199", "Оказание услуг по установке видеонаблюдения")</f>
        <v>Оказание услуг по установке видеонаблюдения</v>
      </c>
      <c r="G7212" s="22" t="s">
        <v>424</v>
      </c>
      <c r="H7212" s="22" t="s">
        <v>9303</v>
      </c>
      <c r="I7212" s="26">
        <v>43615.615277777797</v>
      </c>
      <c r="J7212" s="23" t="str">
        <f>HYPERLINK("https://www.spark-marketing.ru/Card/Person/152254", "ООО ""БАСТИОН""")</f>
        <v>ООО "БАСТИОН"</v>
      </c>
      <c r="K7212" s="24" t="s">
        <v>9304</v>
      </c>
      <c r="L7212" s="22" t="s">
        <v>10</v>
      </c>
      <c r="M7212" s="28" t="s">
        <v>52</v>
      </c>
      <c r="N7212" s="28" t="s">
        <v>52</v>
      </c>
    </row>
    <row r="7213" spans="1:14" x14ac:dyDescent="0.15">
      <c r="A7213" s="23" t="str">
        <f>HYPERLINK("https://www.spark-marketing.ru/Card/Person/15012", "МЕЖРАЙОННАЯ ИФНС РОССИИ № 10 ПО ВЛАДИМИРСКОЙ ОБЛАСТИ")</f>
        <v>МЕЖРАЙОННАЯ ИФНС РОССИИ № 10 ПО ВЛАДИМИРСКОЙ ОБЛАСТИ</v>
      </c>
      <c r="B7213" s="24" t="s">
        <v>8899</v>
      </c>
      <c r="C7213" s="25">
        <v>17500</v>
      </c>
      <c r="D7213" s="22" t="s">
        <v>9305</v>
      </c>
      <c r="E7213" s="22" t="s">
        <v>84</v>
      </c>
      <c r="F7213" s="23" t="str">
        <f>HYPERLINK("https://www.spark-marketing.ru/Card/Lot/70958664", "Монтаж, установка видеонаблюдения, 1 шт")</f>
        <v>Монтаж, установка видеонаблюдения, 1 шт</v>
      </c>
      <c r="G7213" s="22" t="s">
        <v>145</v>
      </c>
      <c r="H7213" s="22" t="s">
        <v>146</v>
      </c>
      <c r="I7213" s="26">
        <v>43615.586423611101</v>
      </c>
      <c r="J7213" s="28" t="s">
        <v>52</v>
      </c>
      <c r="K7213" s="28" t="s">
        <v>52</v>
      </c>
      <c r="L7213" s="28" t="s">
        <v>52</v>
      </c>
      <c r="M7213" s="28" t="s">
        <v>52</v>
      </c>
      <c r="N7213" s="28" t="s">
        <v>52</v>
      </c>
    </row>
    <row r="7214" spans="1:14" x14ac:dyDescent="0.15">
      <c r="A7214" s="23" t="str">
        <f>HYPERLINK("https://www.spark-marketing.ru/Card/Person/996361", "МБУК ""САВИНСКИЙ ДК""")</f>
        <v>МБУК "САВИНСКИЙ ДК"</v>
      </c>
      <c r="B7214" s="24" t="s">
        <v>9306</v>
      </c>
      <c r="C7214" s="25">
        <v>60000</v>
      </c>
      <c r="D7214" s="22" t="s">
        <v>9307</v>
      </c>
      <c r="E7214" s="22" t="s">
        <v>107</v>
      </c>
      <c r="F7214" s="23" t="str">
        <f>HYPERLINK("https://www.spark-marketing.ru/Card/Lot/70962821", "Установка видеодомофонов.")</f>
        <v>Установка видеодомофонов.</v>
      </c>
      <c r="G7214" s="22" t="s">
        <v>50</v>
      </c>
      <c r="H7214" s="22" t="s">
        <v>50</v>
      </c>
      <c r="I7214" s="26">
        <v>43615.618125000001</v>
      </c>
      <c r="J7214" s="28" t="s">
        <v>52</v>
      </c>
      <c r="K7214" s="28" t="s">
        <v>52</v>
      </c>
      <c r="L7214" s="28" t="s">
        <v>52</v>
      </c>
      <c r="M7214" s="28" t="s">
        <v>52</v>
      </c>
      <c r="N7214" s="28" t="s">
        <v>52</v>
      </c>
    </row>
    <row r="7215" spans="1:14" x14ac:dyDescent="0.15">
      <c r="A7215" s="23" t="str">
        <f>HYPERLINK("https://www.spark-marketing.ru/Card/Person/19282", "МБДОУ ПЕТРУШИНСКИЙ ДЕТСКИЙ САД ""ЗОЛОТАЯ РЫБКА""")</f>
        <v>МБДОУ ПЕТРУШИНСКИЙ ДЕТСКИЙ САД "ЗОЛОТАЯ РЫБКА"</v>
      </c>
      <c r="B7215" s="24" t="s">
        <v>9308</v>
      </c>
      <c r="C7215" s="25">
        <v>40117</v>
      </c>
      <c r="D7215" s="22" t="s">
        <v>9309</v>
      </c>
      <c r="E7215" s="22" t="s">
        <v>68</v>
      </c>
      <c r="F7215" s="23" t="str">
        <f>HYPERLINK("https://www.spark-marketing.ru/Card/Lot/70959247", "оперативное реагирование")</f>
        <v>оперативное реагирование</v>
      </c>
      <c r="G7215" s="22" t="s">
        <v>402</v>
      </c>
      <c r="H7215" s="22" t="s">
        <v>3921</v>
      </c>
      <c r="I7215" s="26">
        <v>43615.565277777801</v>
      </c>
      <c r="J7215" s="28" t="s">
        <v>52</v>
      </c>
      <c r="K7215" s="28" t="s">
        <v>52</v>
      </c>
      <c r="L7215" s="28" t="s">
        <v>52</v>
      </c>
      <c r="M7215" s="28" t="s">
        <v>52</v>
      </c>
      <c r="N7215" s="28" t="s">
        <v>52</v>
      </c>
    </row>
    <row r="7216" spans="1:14" x14ac:dyDescent="0.15">
      <c r="A7216" s="23" t="str">
        <f>HYPERLINK("https://www.spark-marketing.ru/Card/Person/5911316", "МБДОУ ""ДЕТСКИЙ САД № 205 ""НОВОГРАД"" ГОРОДА ЧЕБОКСАРЫ")</f>
        <v>МБДОУ "ДЕТСКИЙ САД № 205 "НОВОГРАД" ГОРОДА ЧЕБОКСАРЫ</v>
      </c>
      <c r="B7216" s="24" t="s">
        <v>8598</v>
      </c>
      <c r="C7216" s="25">
        <v>30000</v>
      </c>
      <c r="D7216" s="22" t="s">
        <v>9310</v>
      </c>
      <c r="E7216" s="22" t="s">
        <v>194</v>
      </c>
      <c r="F7216" s="23" t="str">
        <f>HYPERLINK("https://www.spark-marketing.ru/Card/Lot/70959359", "Установка видеодомофона на центральную калитку дошкольного учреждения")</f>
        <v>Установка видеодомофона на центральную калитку дошкольного учреждения</v>
      </c>
      <c r="G7216" s="22" t="s">
        <v>1137</v>
      </c>
      <c r="H7216" s="22" t="s">
        <v>1138</v>
      </c>
      <c r="I7216" s="26">
        <v>43615.578472222202</v>
      </c>
      <c r="J7216" s="28" t="s">
        <v>52</v>
      </c>
      <c r="K7216" s="28" t="s">
        <v>52</v>
      </c>
      <c r="L7216" s="28" t="s">
        <v>52</v>
      </c>
      <c r="M7216" s="28" t="s">
        <v>52</v>
      </c>
      <c r="N7216" s="28" t="s">
        <v>52</v>
      </c>
    </row>
    <row r="7217" spans="1:14" x14ac:dyDescent="0.2">
      <c r="A7217" s="23" t="str">
        <f>HYPERLINK("https://www.spark-marketing.ru/Card/Person/6462848", "МАУ ""ГОРИЗОНТ""")</f>
        <v>МАУ "ГОРИЗОНТ"</v>
      </c>
      <c r="B7217" s="24" t="s">
        <v>9311</v>
      </c>
      <c r="C7217" s="25">
        <v>153133.32999999999</v>
      </c>
      <c r="D7217" s="22" t="s">
        <v>9312</v>
      </c>
      <c r="E7217" s="22" t="s">
        <v>49</v>
      </c>
      <c r="F7217" s="23" t="str">
        <f>HYPERLINK("https://www.spark-marketing.ru/Card/Lot/70963205", "Поставка, монтаж и установка системы видеонаблюдения")</f>
        <v>Поставка, монтаж и установка системы видеонаблюдения</v>
      </c>
      <c r="G7217" s="22" t="s">
        <v>50</v>
      </c>
      <c r="H7217" s="22" t="s">
        <v>50</v>
      </c>
      <c r="I7217" s="26">
        <v>43615.532002314802</v>
      </c>
      <c r="J7217" s="28" t="s">
        <v>52</v>
      </c>
      <c r="K7217" s="28" t="s">
        <v>52</v>
      </c>
      <c r="L7217" s="28" t="s">
        <v>52</v>
      </c>
      <c r="M7217" s="25">
        <v>150000</v>
      </c>
      <c r="N7217" s="27">
        <v>2.0461450162417287E-2</v>
      </c>
    </row>
    <row r="7218" spans="1:14" x14ac:dyDescent="0.15">
      <c r="A7218" s="23" t="str">
        <f>HYPERLINK("https://www.spark-marketing.ru/Card/Person/82248", "ГБПОУ НСО ""ЧЕРЕПАНОВСКИЙ ПОЛИТЕХНИЧЕСКИЙ КОЛЛЕДЖ""")</f>
        <v>ГБПОУ НСО "ЧЕРЕПАНОВСКИЙ ПОЛИТЕХНИЧЕСКИЙ КОЛЛЕДЖ"</v>
      </c>
      <c r="B7218" s="24" t="s">
        <v>9313</v>
      </c>
      <c r="C7218" s="25">
        <v>2341.36</v>
      </c>
      <c r="D7218" s="22" t="s">
        <v>9314</v>
      </c>
      <c r="E7218" s="22" t="s">
        <v>52</v>
      </c>
      <c r="F7218" s="23" t="str">
        <f>HYPERLINK("https://www.spark-marketing.ru/Card/Lot/70954979", "Оказание услуг по пультовой охране объекта в случае срабатывания средств тревожной сигнализации.")</f>
        <v>Оказание услуг по пультовой охране объекта в случае срабатывания средств тревожной сигнализации.</v>
      </c>
      <c r="G7218" s="22" t="s">
        <v>209</v>
      </c>
      <c r="H7218" s="22" t="s">
        <v>4605</v>
      </c>
      <c r="I7218" s="26">
        <v>43615.530555555597</v>
      </c>
      <c r="J7218" s="28" t="s">
        <v>52</v>
      </c>
      <c r="K7218" s="28" t="s">
        <v>52</v>
      </c>
      <c r="L7218" s="28" t="s">
        <v>52</v>
      </c>
      <c r="M7218" s="28" t="s">
        <v>52</v>
      </c>
      <c r="N7218" s="28" t="s">
        <v>52</v>
      </c>
    </row>
    <row r="7219" spans="1:14" x14ac:dyDescent="0.15">
      <c r="A7219" s="23" t="str">
        <f>HYPERLINK("https://www.spark-marketing.ru/Card/Person/69955", "МКУ ""КИО"" МО ""МИРНИНСКИЙ РАЙОН"" РС(Я)")</f>
        <v>МКУ "КИО" МО "МИРНИНСКИЙ РАЙОН" РС(Я)</v>
      </c>
      <c r="B7219" s="24" t="s">
        <v>9315</v>
      </c>
      <c r="C7219" s="25">
        <v>121500.75</v>
      </c>
      <c r="D7219" s="22" t="s">
        <v>9316</v>
      </c>
      <c r="E7219" s="22" t="s">
        <v>9317</v>
      </c>
      <c r="F7219" s="23" t="str">
        <f>HYPERLINK("https://www.spark-marketing.ru/Card/Lot/70943595", "оказание услуг по эксплуатационному обслуживанию технических средств охраны, оказание охранных услуг при помощи средств технических объекта, расположенного по адресу: г. Мирный, ул. Индустриальная д.2 корп.9.")</f>
        <v>оказание услуг по эксплуатационному обслуживанию технических средств охраны, оказание охранных услуг при помощи средств технических объекта, расположенного по адресу: г. Мирный, ул. Индустриальная д.2 корп.9.</v>
      </c>
      <c r="G7219" s="22" t="s">
        <v>424</v>
      </c>
      <c r="H7219" s="22" t="s">
        <v>425</v>
      </c>
      <c r="I7219" s="26">
        <v>43615.525694444397</v>
      </c>
      <c r="J7219" s="28" t="s">
        <v>52</v>
      </c>
      <c r="K7219" s="28" t="s">
        <v>52</v>
      </c>
      <c r="L7219" s="28" t="s">
        <v>52</v>
      </c>
      <c r="M7219" s="28" t="s">
        <v>52</v>
      </c>
      <c r="N7219" s="28" t="s">
        <v>52</v>
      </c>
    </row>
    <row r="7220" spans="1:14" ht="12.75" hidden="1" outlineLevel="1" x14ac:dyDescent="0.2">
      <c r="A7220" s="23" t="str">
        <f>HYPERLINK("https://www.spark-marketing.ru/Card/Person/69955", "МКУ ""КИО"" МО ""МИРНИНСКИЙ РАЙОН"" РС(Я)")</f>
        <v>МКУ "КИО" МО "МИРНИНСКИЙ РАЙОН" РС(Я)</v>
      </c>
      <c r="B7220" s="24" t="s">
        <v>9315</v>
      </c>
      <c r="C7220" s="25">
        <v>121500.75</v>
      </c>
      <c r="D7220" s="22" t="s">
        <v>9316</v>
      </c>
      <c r="E7220" s="22" t="s">
        <v>9317</v>
      </c>
      <c r="F7220" s="23" t="str">
        <f>HYPERLINK("https://www.spark-marketing.ru/Card/Lot/70943595", "оказание услуг по эксплуатационному обслуживанию технических средств охраны, оказание охранных услуг при помощи средств технических объекта, расположенного по адресу: г. Мирный, ул. Индустриальная д.2 корп.9.")</f>
        <v>оказание услуг по эксплуатационному обслуживанию технических средств охраны, оказание охранных услуг при помощи средств технических объекта, расположенного по адресу: г. Мирный, ул. Индустриальная д.2 корп.9.</v>
      </c>
      <c r="G7220" s="22" t="s">
        <v>424</v>
      </c>
      <c r="H7220" s="22" t="s">
        <v>425</v>
      </c>
      <c r="I7220" s="26">
        <v>43615.525694444397</v>
      </c>
      <c r="J7220" s="23" t="str">
        <f>HYPERLINK("https://www.spark-marketing.ru/Card/Person/167044", "ООО ЧОО ""ОХРАНА-СЕРВИС-СВЕТЛЫЙ""")</f>
        <v>ООО ЧОО "ОХРАНА-СЕРВИС-СВЕТЛЫЙ"</v>
      </c>
      <c r="K7220" s="24" t="s">
        <v>9318</v>
      </c>
      <c r="L7220" s="22" t="s">
        <v>10</v>
      </c>
      <c r="M7220" s="25">
        <v>19246.55</v>
      </c>
      <c r="N7220" s="27">
        <v>0.84159315888996566</v>
      </c>
    </row>
    <row r="7221" spans="1:14" hidden="1" outlineLevel="1" x14ac:dyDescent="0.2">
      <c r="A7221" s="23" t="str">
        <f>HYPERLINK("https://www.spark-marketing.ru/Card/Person/69955", "МКУ ""КИО"" МО ""МИРНИНСКИЙ РАЙОН"" РС(Я)")</f>
        <v>МКУ "КИО" МО "МИРНИНСКИЙ РАЙОН" РС(Я)</v>
      </c>
      <c r="B7221" s="24" t="s">
        <v>9315</v>
      </c>
      <c r="C7221" s="25">
        <v>121500.75</v>
      </c>
      <c r="D7221" s="22" t="s">
        <v>9316</v>
      </c>
      <c r="E7221" s="22" t="s">
        <v>9317</v>
      </c>
      <c r="F7221" s="23" t="str">
        <f>HYPERLINK("https://www.spark-marketing.ru/Card/Lot/70943595", "оказание услуг по эксплуатационному обслуживанию технических средств охраны, оказание охранных услуг при помощи средств технических объекта, расположенного по адресу: г. Мирный, ул. Индустриальная д.2 корп.9.")</f>
        <v>оказание услуг по эксплуатационному обслуживанию технических средств охраны, оказание охранных услуг при помощи средств технических объекта, расположенного по адресу: г. Мирный, ул. Индустриальная д.2 корп.9.</v>
      </c>
      <c r="G7221" s="22" t="s">
        <v>424</v>
      </c>
      <c r="H7221" s="22" t="s">
        <v>425</v>
      </c>
      <c r="I7221" s="26">
        <v>43615.525694444397</v>
      </c>
      <c r="J7221" s="23" t="str">
        <f>HYPERLINK("https://www.spark-marketing.ru/Card/Person/447014", "ООО ЧОП ""ГАЛИАФ""")</f>
        <v>ООО ЧОП "ГАЛИАФ"</v>
      </c>
      <c r="K7221" s="24" t="s">
        <v>9319</v>
      </c>
      <c r="L7221" s="28" t="s">
        <v>52</v>
      </c>
      <c r="M7221" s="25">
        <v>19854.05</v>
      </c>
      <c r="N7221" s="27">
        <v>0.83659318975397268</v>
      </c>
    </row>
    <row r="7222" spans="1:14" hidden="1" outlineLevel="1" x14ac:dyDescent="0.2">
      <c r="A7222" s="23" t="str">
        <f>HYPERLINK("https://www.spark-marketing.ru/Card/Person/69955", "МКУ ""КИО"" МО ""МИРНИНСКИЙ РАЙОН"" РС(Я)")</f>
        <v>МКУ "КИО" МО "МИРНИНСКИЙ РАЙОН" РС(Я)</v>
      </c>
      <c r="B7222" s="24" t="s">
        <v>9315</v>
      </c>
      <c r="C7222" s="25">
        <v>121500.75</v>
      </c>
      <c r="D7222" s="22" t="s">
        <v>9316</v>
      </c>
      <c r="E7222" s="22" t="s">
        <v>9317</v>
      </c>
      <c r="F7222" s="23" t="str">
        <f>HYPERLINK("https://www.spark-marketing.ru/Card/Lot/70943595", "оказание услуг по эксплуатационному обслуживанию технических средств охраны, оказание охранных услуг при помощи средств технических объекта, расположенного по адресу: г. Мирный, ул. Индустриальная д.2 корп.9.")</f>
        <v>оказание услуг по эксплуатационному обслуживанию технических средств охраны, оказание охранных услуг при помощи средств технических объекта, расположенного по адресу: г. Мирный, ул. Индустриальная д.2 корп.9.</v>
      </c>
      <c r="G7222" s="22" t="s">
        <v>424</v>
      </c>
      <c r="H7222" s="22" t="s">
        <v>425</v>
      </c>
      <c r="I7222" s="26">
        <v>43615.525694444397</v>
      </c>
      <c r="J7222" s="23" t="str">
        <f>HYPERLINK("https://www.spark-marketing.ru/Card/Person/5853361", "ООО ""НОВА""")</f>
        <v>ООО "НОВА"</v>
      </c>
      <c r="K7222" s="24" t="s">
        <v>6361</v>
      </c>
      <c r="L7222" s="28" t="s">
        <v>52</v>
      </c>
      <c r="M7222" s="25">
        <v>90324.05</v>
      </c>
      <c r="N7222" s="27">
        <v>0.25659676997878617</v>
      </c>
    </row>
    <row r="7223" spans="1:14" x14ac:dyDescent="0.15">
      <c r="A7223" s="23" t="str">
        <f>HYPERLINK("https://www.spark-marketing.ru/Card/Person/456138", "КГАУ ""ЦСП""")</f>
        <v>КГАУ "ЦСП"</v>
      </c>
      <c r="B7223" s="24" t="s">
        <v>2031</v>
      </c>
      <c r="C7223" s="25">
        <v>384000</v>
      </c>
      <c r="D7223" s="22" t="s">
        <v>9320</v>
      </c>
      <c r="E7223" s="22" t="s">
        <v>363</v>
      </c>
      <c r="F7223" s="23" t="str">
        <f>HYPERLINK("https://www.spark-marketing.ru/Card/Lot/70944233", "Обеспечение порядка во время массового мероприятия")</f>
        <v>Обеспечение порядка во время массового мероприятия</v>
      </c>
      <c r="G7223" s="22" t="s">
        <v>640</v>
      </c>
      <c r="H7223" s="22" t="s">
        <v>640</v>
      </c>
      <c r="I7223" s="26">
        <v>43615.500949074099</v>
      </c>
      <c r="J7223" s="28" t="s">
        <v>52</v>
      </c>
      <c r="K7223" s="28" t="s">
        <v>52</v>
      </c>
      <c r="L7223" s="28" t="s">
        <v>52</v>
      </c>
      <c r="M7223" s="28" t="s">
        <v>52</v>
      </c>
      <c r="N7223" s="28" t="s">
        <v>52</v>
      </c>
    </row>
    <row r="7224" spans="1:14" x14ac:dyDescent="0.15">
      <c r="A7224" s="23" t="str">
        <f>HYPERLINK("https://www.spark-marketing.ru/Card/Person/16839", "ФГАОУ ВО ""СИБИРСКИЙ ФЕДЕРАЛЬНЫЙ УНИВЕРСИТЕТ"",СИБИРСКИЙ ФЕДЕРАЛЬНЫЙ УНИВЕРСИТЕТ,СФУ")</f>
        <v>ФГАОУ ВО "СИБИРСКИЙ ФЕДЕРАЛЬНЫЙ УНИВЕРСИТЕТ",СИБИРСКИЙ ФЕДЕРАЛЬНЫЙ УНИВЕРСИТЕТ,СФУ</v>
      </c>
      <c r="B7224" s="24" t="s">
        <v>9321</v>
      </c>
      <c r="C7224" s="25">
        <v>3580489.21</v>
      </c>
      <c r="D7224" s="22" t="s">
        <v>9322</v>
      </c>
      <c r="E7224" s="22" t="s">
        <v>854</v>
      </c>
      <c r="F7224" s="23" t="str">
        <f>HYPERLINK("https://www.spark-marketing.ru/Card/Lot/70946552", "конкурс в электронной форме № 02-19/А/эф по выбору Подрядчика на право заключения контракта на выполнение работ по комплексному сопровождению оформления документации на объекты недвижимости ФГАОУ ВО «Сибирский федеральный университет»")</f>
        <v>конкурс в электронной форме № 02-19/А/эф по выбору Подрядчика на право заключения контракта на выполнение работ по комплексному сопровождению оформления документации на объекты недвижимости ФГАОУ ВО «Сибирский федеральный университет»</v>
      </c>
      <c r="G7224" s="22" t="s">
        <v>640</v>
      </c>
      <c r="H7224" s="22" t="s">
        <v>640</v>
      </c>
      <c r="I7224" s="26">
        <v>43615.530624999999</v>
      </c>
      <c r="J7224" s="28" t="s">
        <v>52</v>
      </c>
      <c r="K7224" s="28" t="s">
        <v>52</v>
      </c>
      <c r="L7224" s="28" t="s">
        <v>52</v>
      </c>
      <c r="M7224" s="28" t="s">
        <v>52</v>
      </c>
      <c r="N7224" s="28" t="s">
        <v>52</v>
      </c>
    </row>
    <row r="7225" spans="1:14" x14ac:dyDescent="0.15">
      <c r="A7225" s="23" t="str">
        <f>HYPERLINK("https://www.spark-marketing.ru/Card/Person/137244", "УПРАВЛЕНИЕ РОСРЕЕСТРА ПО СМОЛЕНСКОЙ ОБЛАСТИ")</f>
        <v>УПРАВЛЕНИЕ РОСРЕЕСТРА ПО СМОЛЕНСКОЙ ОБЛАСТИ</v>
      </c>
      <c r="B7225" s="24" t="s">
        <v>2729</v>
      </c>
      <c r="C7225" s="25">
        <v>885272.58</v>
      </c>
      <c r="D7225" s="22" t="s">
        <v>9323</v>
      </c>
      <c r="E7225" s="22" t="s">
        <v>68</v>
      </c>
      <c r="F7225" s="23" t="str">
        <f>HYPERLINK("https://www.spark-marketing.ru/Card/Lot/70958880", "охрана объекта по адресу: г.Смоленск,ул.Полтавская,д.8")</f>
        <v>охрана объекта по адресу: г.Смоленск,ул.Полтавская,д.8</v>
      </c>
      <c r="G7225" s="22" t="s">
        <v>956</v>
      </c>
      <c r="H7225" s="22" t="s">
        <v>956</v>
      </c>
      <c r="I7225" s="26">
        <v>43615.473611111098</v>
      </c>
      <c r="J7225" s="23" t="str">
        <f>HYPERLINK("https://www.spark-marketing.ru/Card/Person/594031", "Фл ФГУП ""Охрана"" Росгвардии по Смоленской области")</f>
        <v>Фл ФГУП "Охрана" Росгвардии по Смоленской области</v>
      </c>
      <c r="K7225" s="24" t="s">
        <v>779</v>
      </c>
      <c r="L7225" s="22" t="s">
        <v>10</v>
      </c>
      <c r="M7225" s="28" t="s">
        <v>52</v>
      </c>
      <c r="N7225" s="28" t="s">
        <v>52</v>
      </c>
    </row>
    <row r="7226" spans="1:14" x14ac:dyDescent="0.15">
      <c r="A7226" s="23" t="str">
        <f>HYPERLINK("https://www.spark-marketing.ru/Card/Person/37956", "ГБУЗ МО ""КЛИМОВСКАЯ ГОРОДСКАЯ БОЛЬНИЦА №2""")</f>
        <v>ГБУЗ МО "КЛИМОВСКАЯ ГОРОДСКАЯ БОЛЬНИЦА №2"</v>
      </c>
      <c r="B7226" s="24" t="s">
        <v>9324</v>
      </c>
      <c r="C7226" s="25">
        <v>85340</v>
      </c>
      <c r="D7226" s="22" t="s">
        <v>9325</v>
      </c>
      <c r="E7226" s="22" t="s">
        <v>3699</v>
      </c>
      <c r="F7226" s="23" t="str">
        <f>HYPERLINK("https://www.spark-marketing.ru/Card/Lot/70952268", "Сопровождение информационой системы мед. организации в части обеспечения регламентных требований (порядка) информационного взаимодействия в ТС ОМС в 2 полугодии 2019 года")</f>
        <v>Сопровождение информационой системы мед. организации в части обеспечения регламентных требований (порядка) информационного взаимодействия в ТС ОМС в 2 полугодии 2019 года</v>
      </c>
      <c r="G7226" s="22" t="s">
        <v>50</v>
      </c>
      <c r="H7226" s="22" t="s">
        <v>569</v>
      </c>
      <c r="I7226" s="26">
        <v>43615.482175925899</v>
      </c>
      <c r="J7226" s="28" t="s">
        <v>52</v>
      </c>
      <c r="K7226" s="28" t="s">
        <v>52</v>
      </c>
      <c r="L7226" s="28" t="s">
        <v>52</v>
      </c>
      <c r="M7226" s="28" t="s">
        <v>52</v>
      </c>
      <c r="N7226" s="28" t="s">
        <v>52</v>
      </c>
    </row>
    <row r="7227" spans="1:14" x14ac:dyDescent="0.15">
      <c r="A7227" s="23" t="str">
        <f>HYPERLINK("https://www.spark-marketing.ru/Card/Person/4361105", "АО ""БЭТ""")</f>
        <v>АО "БЭТ"</v>
      </c>
      <c r="B7227" s="24" t="s">
        <v>4253</v>
      </c>
      <c r="C7227" s="28" t="s">
        <v>52</v>
      </c>
      <c r="D7227" s="22" t="s">
        <v>9326</v>
      </c>
      <c r="E7227" s="22" t="s">
        <v>52</v>
      </c>
      <c r="F7227" s="23" t="str">
        <f>HYPERLINK("https://www.spark-marketing.ru/Card/Lot/70962960", "Запрос предложений № 133/ЗПЭ-БЭТ/19 на право заключения договоров на оказание услуг для нужд заводов - филиалов АО «БЭТ»")</f>
        <v>Запрос предложений № 133/ЗПЭ-БЭТ/19 на право заключения договоров на оказание услуг для нужд заводов - филиалов АО «БЭТ»</v>
      </c>
      <c r="G7227" s="22" t="s">
        <v>55</v>
      </c>
      <c r="H7227" s="22" t="s">
        <v>55</v>
      </c>
      <c r="I7227" s="26">
        <v>43615.486921296302</v>
      </c>
      <c r="J7227" s="28" t="s">
        <v>52</v>
      </c>
      <c r="K7227" s="28" t="s">
        <v>52</v>
      </c>
      <c r="L7227" s="28" t="s">
        <v>52</v>
      </c>
      <c r="M7227" s="28" t="s">
        <v>52</v>
      </c>
      <c r="N7227" s="28" t="s">
        <v>52</v>
      </c>
    </row>
    <row r="7228" spans="1:14" x14ac:dyDescent="0.15">
      <c r="A7228" s="23" t="str">
        <f>HYPERLINK("https://www.spark-marketing.ru/Card/Person/4361105", "АО ""БЭТ""")</f>
        <v>АО "БЭТ"</v>
      </c>
      <c r="B7228" s="24" t="s">
        <v>4253</v>
      </c>
      <c r="C7228" s="28" t="s">
        <v>52</v>
      </c>
      <c r="D7228" s="22" t="s">
        <v>9326</v>
      </c>
      <c r="E7228" s="22" t="s">
        <v>52</v>
      </c>
      <c r="F7228" s="23" t="str">
        <f>HYPERLINK("https://www.spark-marketing.ru/Card/Lot/70962962", "Запрос предложений № 133/ЗПЭ-БЭТ/19 на право заключения договоров на оказание услуг для нужд заводов - филиалов АО «БЭТ»")</f>
        <v>Запрос предложений № 133/ЗПЭ-БЭТ/19 на право заключения договоров на оказание услуг для нужд заводов - филиалов АО «БЭТ»</v>
      </c>
      <c r="G7228" s="22" t="s">
        <v>55</v>
      </c>
      <c r="H7228" s="22" t="s">
        <v>55</v>
      </c>
      <c r="I7228" s="26">
        <v>43615.486921296302</v>
      </c>
      <c r="J7228" s="28" t="s">
        <v>52</v>
      </c>
      <c r="K7228" s="28" t="s">
        <v>52</v>
      </c>
      <c r="L7228" s="28" t="s">
        <v>52</v>
      </c>
      <c r="M7228" s="28" t="s">
        <v>52</v>
      </c>
      <c r="N7228" s="28" t="s">
        <v>52</v>
      </c>
    </row>
    <row r="7229" spans="1:14" x14ac:dyDescent="0.15">
      <c r="A7229" s="23" t="str">
        <f>HYPERLINK("https://www.spark-marketing.ru/Card/Person/4361105", "АО ""БЭТ""")</f>
        <v>АО "БЭТ"</v>
      </c>
      <c r="B7229" s="24" t="s">
        <v>4253</v>
      </c>
      <c r="C7229" s="28" t="s">
        <v>52</v>
      </c>
      <c r="D7229" s="22" t="s">
        <v>9326</v>
      </c>
      <c r="E7229" s="22" t="s">
        <v>52</v>
      </c>
      <c r="F7229" s="23" t="str">
        <f>HYPERLINK("https://www.spark-marketing.ru/Card/Lot/70962961", "Запрос предложений № 133/ЗПЭ-БЭТ/19 на право заключения договоров на оказание услуг для нужд заводов - филиалов АО «БЭТ»")</f>
        <v>Запрос предложений № 133/ЗПЭ-БЭТ/19 на право заключения договоров на оказание услуг для нужд заводов - филиалов АО «БЭТ»</v>
      </c>
      <c r="G7229" s="22" t="s">
        <v>55</v>
      </c>
      <c r="H7229" s="22" t="s">
        <v>55</v>
      </c>
      <c r="I7229" s="26">
        <v>43615.486921296302</v>
      </c>
      <c r="J7229" s="28" t="s">
        <v>52</v>
      </c>
      <c r="K7229" s="28" t="s">
        <v>52</v>
      </c>
      <c r="L7229" s="28" t="s">
        <v>52</v>
      </c>
      <c r="M7229" s="28" t="s">
        <v>52</v>
      </c>
      <c r="N7229" s="28" t="s">
        <v>52</v>
      </c>
    </row>
    <row r="7230" spans="1:14" x14ac:dyDescent="0.15">
      <c r="A7230" s="23" t="str">
        <f>HYPERLINK("https://www.spark-marketing.ru/Card/Person/3570", "УПРАВЛЕНИЕ ПО ОБЕСПЕЧЕНИЮ ДЕЯТЕЛЬНОСТИ МИРОВЫХ СУДЕЙ В ТЮМЕНСКОЙ ОБЛАСТИ")</f>
        <v>УПРАВЛЕНИЕ ПО ОБЕСПЕЧЕНИЮ ДЕЯТЕЛЬНОСТИ МИРОВЫХ СУДЕЙ В ТЮМЕНСКОЙ ОБЛАСТИ</v>
      </c>
      <c r="B7230" s="24" t="s">
        <v>1495</v>
      </c>
      <c r="C7230" s="25">
        <v>2363733.4</v>
      </c>
      <c r="D7230" s="22" t="s">
        <v>9327</v>
      </c>
      <c r="E7230" s="22" t="s">
        <v>68</v>
      </c>
      <c r="F7230" s="23" t="str">
        <f>HYPERLINK("https://www.spark-marketing.ru/Card/Lot/70946043", "Оказание услуг по охране имущества с помощью пульта централизованного наблюдения")</f>
        <v>Оказание услуг по охране имущества с помощью пульта централизованного наблюдения</v>
      </c>
      <c r="G7230" s="22" t="s">
        <v>893</v>
      </c>
      <c r="H7230" s="22" t="s">
        <v>894</v>
      </c>
      <c r="I7230" s="26">
        <v>43615.435416666704</v>
      </c>
      <c r="J7230" s="28" t="s">
        <v>52</v>
      </c>
      <c r="K7230" s="28" t="s">
        <v>52</v>
      </c>
      <c r="L7230" s="28" t="s">
        <v>52</v>
      </c>
      <c r="M7230" s="28" t="s">
        <v>52</v>
      </c>
      <c r="N7230" s="28" t="s">
        <v>52</v>
      </c>
    </row>
    <row r="7231" spans="1:14" hidden="1" outlineLevel="1" x14ac:dyDescent="0.2">
      <c r="A7231" s="23" t="str">
        <f>HYPERLINK("https://www.spark-marketing.ru/Card/Person/3570", "УПРАВЛЕНИЕ ПО ОБЕСПЕЧЕНИЮ ДЕЯТЕЛЬНОСТИ МИРОВЫХ СУДЕЙ В ТЮМЕНСКОЙ ОБЛАСТИ")</f>
        <v>УПРАВЛЕНИЕ ПО ОБЕСПЕЧЕНИЮ ДЕЯТЕЛЬНОСТИ МИРОВЫХ СУДЕЙ В ТЮМЕНСКОЙ ОБЛАСТИ</v>
      </c>
      <c r="B7231" s="24" t="s">
        <v>1495</v>
      </c>
      <c r="C7231" s="25">
        <v>2363733.4</v>
      </c>
      <c r="D7231" s="22" t="s">
        <v>9327</v>
      </c>
      <c r="E7231" s="22" t="s">
        <v>68</v>
      </c>
      <c r="F7231" s="23" t="str">
        <f>HYPERLINK("https://www.spark-marketing.ru/Card/Lot/70946043", "Оказание услуг по охране имущества с помощью пульта централизованного наблюдения")</f>
        <v>Оказание услуг по охране имущества с помощью пульта централизованного наблюдения</v>
      </c>
      <c r="G7231" s="22" t="s">
        <v>893</v>
      </c>
      <c r="H7231" s="22" t="s">
        <v>894</v>
      </c>
      <c r="I7231" s="26">
        <v>43615.435416666704</v>
      </c>
      <c r="J7231" s="23" t="str">
        <f>HYPERLINK("https://www.spark-marketing.ru/Card/Person/535334", "ФГКУ ""УВО ВНГ РОССИИ ПО ТЮМЕНСКОЙ ОБЛАСТИ""")</f>
        <v>ФГКУ "УВО ВНГ РОССИИ ПО ТЮМЕНСКОЙ ОБЛАСТИ"</v>
      </c>
      <c r="K7231" s="24" t="s">
        <v>1497</v>
      </c>
      <c r="L7231" s="28" t="s">
        <v>52</v>
      </c>
      <c r="M7231" s="25">
        <v>1069714.57</v>
      </c>
      <c r="N7231" s="27">
        <v>0.547447030193845</v>
      </c>
    </row>
    <row r="7232" spans="1:14" ht="12.75" hidden="1" outlineLevel="1" x14ac:dyDescent="0.2">
      <c r="A7232" s="23" t="str">
        <f>HYPERLINK("https://www.spark-marketing.ru/Card/Person/3570", "УПРАВЛЕНИЕ ПО ОБЕСПЕЧЕНИЮ ДЕЯТЕЛЬНОСТИ МИРОВЫХ СУДЕЙ В ТЮМЕНСКОЙ ОБЛАСТИ")</f>
        <v>УПРАВЛЕНИЕ ПО ОБЕСПЕЧЕНИЮ ДЕЯТЕЛЬНОСТИ МИРОВЫХ СУДЕЙ В ТЮМЕНСКОЙ ОБЛАСТИ</v>
      </c>
      <c r="B7232" s="24" t="s">
        <v>1495</v>
      </c>
      <c r="C7232" s="25">
        <v>2363733.4</v>
      </c>
      <c r="D7232" s="22" t="s">
        <v>9327</v>
      </c>
      <c r="E7232" s="22" t="s">
        <v>68</v>
      </c>
      <c r="F7232" s="23" t="str">
        <f>HYPERLINK("https://www.spark-marketing.ru/Card/Lot/70946043", "Оказание услуг по охране имущества с помощью пульта централизованного наблюдения")</f>
        <v>Оказание услуг по охране имущества с помощью пульта централизованного наблюдения</v>
      </c>
      <c r="G7232" s="22" t="s">
        <v>893</v>
      </c>
      <c r="H7232" s="22" t="s">
        <v>894</v>
      </c>
      <c r="I7232" s="26">
        <v>43615.435416666704</v>
      </c>
      <c r="J7232" s="23" t="str">
        <f>HYPERLINK("https://www.spark-marketing.ru/Card/Person/4885117", "ФЛ ФГУП ОХРАНА ФЕДЕРАЛЬНОЙ СЛУЖБЫ ВОЙСК НАЦИОНАЛЬНОЙ ГВАРДИИ РФ ПО ТЮМЕНСКОЙ ОБЛ")</f>
        <v>ФЛ ФГУП ОХРАНА ФЕДЕРАЛЬНОЙ СЛУЖБЫ ВОЙСК НАЦИОНАЛЬНОЙ ГВАРДИИ РФ ПО ТЮМЕНСКОЙ ОБЛ</v>
      </c>
      <c r="K7232" s="24" t="s">
        <v>779</v>
      </c>
      <c r="L7232" s="22" t="s">
        <v>10</v>
      </c>
      <c r="M7232" s="25">
        <v>1057895.9099999999</v>
      </c>
      <c r="N7232" s="27">
        <v>0.55244702723242811</v>
      </c>
    </row>
    <row r="7233" spans="1:14" x14ac:dyDescent="0.15">
      <c r="A7233" s="23" t="str">
        <f>HYPERLINK("https://www.spark-marketing.ru/Card/Person/28993", "ГБОУ РО НШИ С ПЛП")</f>
        <v>ГБОУ РО НШИ С ПЛП</v>
      </c>
      <c r="B7233" s="24" t="s">
        <v>9328</v>
      </c>
      <c r="C7233" s="25">
        <v>19000</v>
      </c>
      <c r="D7233" s="22" t="s">
        <v>9329</v>
      </c>
      <c r="E7233" s="22" t="s">
        <v>1130</v>
      </c>
      <c r="F7233" s="23" t="str">
        <f>HYPERLINK("https://www.spark-marketing.ru/Card/Lot/70948774", "Поставка: терминал мониторинга и тревожная кнопка. Монтаж и ввод в эксплуатацию терминала мониторинга")</f>
        <v>Поставка: терминал мониторинга и тревожная кнопка. Монтаж и ввод в эксплуатацию терминала мониторинга</v>
      </c>
      <c r="G7233" s="22" t="s">
        <v>402</v>
      </c>
      <c r="H7233" s="22" t="s">
        <v>3921</v>
      </c>
      <c r="I7233" s="26">
        <v>43615.4555555556</v>
      </c>
      <c r="J7233" s="28" t="s">
        <v>52</v>
      </c>
      <c r="K7233" s="28" t="s">
        <v>52</v>
      </c>
      <c r="L7233" s="28" t="s">
        <v>52</v>
      </c>
      <c r="M7233" s="28" t="s">
        <v>52</v>
      </c>
      <c r="N7233" s="28" t="s">
        <v>52</v>
      </c>
    </row>
    <row r="7234" spans="1:14" x14ac:dyDescent="0.15">
      <c r="A7234" s="23" t="str">
        <f>HYPERLINK("https://www.spark-marketing.ru/Card/Person/178844", "АО ""РЖД-ЗДОРОВЬЕ""")</f>
        <v>АО "РЖД-ЗДОРОВЬЕ"</v>
      </c>
      <c r="B7234" s="24" t="s">
        <v>9330</v>
      </c>
      <c r="C7234" s="25">
        <v>122000</v>
      </c>
      <c r="D7234" s="22" t="s">
        <v>9331</v>
      </c>
      <c r="E7234" s="22" t="s">
        <v>49</v>
      </c>
      <c r="F7234" s="23" t="str">
        <f>HYPERLINK("https://www.spark-marketing.ru/Card/Lot/70953666", "Оказание услуг по проведению модернизации системы видеонаблюдения с установкой видеорегистратора для нужд санатория ""Долина Нарзанов"" г. Ессентуки - филиала АО ""РЖД-ЗДОРОВЬЕ""")</f>
        <v>Оказание услуг по проведению модернизации системы видеонаблюдения с установкой видеорегистратора для нужд санатория "Долина Нарзанов" г. Ессентуки - филиала АО "РЖД-ЗДОРОВЬЕ"</v>
      </c>
      <c r="G7234" s="22" t="s">
        <v>258</v>
      </c>
      <c r="H7234" s="22" t="s">
        <v>258</v>
      </c>
      <c r="I7234" s="26">
        <v>43615.440358796302</v>
      </c>
      <c r="J7234" s="28" t="s">
        <v>52</v>
      </c>
      <c r="K7234" s="28" t="s">
        <v>52</v>
      </c>
      <c r="L7234" s="28" t="s">
        <v>52</v>
      </c>
      <c r="M7234" s="28" t="s">
        <v>52</v>
      </c>
      <c r="N7234" s="28" t="s">
        <v>52</v>
      </c>
    </row>
    <row r="7235" spans="1:14" x14ac:dyDescent="0.15">
      <c r="A7235" s="23" t="str">
        <f>HYPERLINK("https://www.spark-marketing.ru/Card/Person/13002", "филиал ФГБОУ ВПО ""НИУ МЭИ"" в г. Волжском")</f>
        <v>филиал ФГБОУ ВПО "НИУ МЭИ" в г. Волжском</v>
      </c>
      <c r="B7235" s="24" t="s">
        <v>9332</v>
      </c>
      <c r="C7235" s="25">
        <v>160759.43</v>
      </c>
      <c r="D7235" s="22" t="s">
        <v>9333</v>
      </c>
      <c r="E7235" s="22" t="s">
        <v>84</v>
      </c>
      <c r="F7235" s="23" t="str">
        <f>HYPERLINK("https://www.spark-marketing.ru/Card/Lot/70951842", "Поставка и установка системы видеонаблюдения")</f>
        <v>Поставка и установка системы видеонаблюдения</v>
      </c>
      <c r="G7235" s="22" t="s">
        <v>343</v>
      </c>
      <c r="H7235" s="22" t="s">
        <v>2599</v>
      </c>
      <c r="I7235" s="26">
        <v>43615.441666666702</v>
      </c>
      <c r="J7235" s="28" t="s">
        <v>52</v>
      </c>
      <c r="K7235" s="28" t="s">
        <v>52</v>
      </c>
      <c r="L7235" s="28" t="s">
        <v>52</v>
      </c>
      <c r="M7235" s="28" t="s">
        <v>52</v>
      </c>
      <c r="N7235" s="28" t="s">
        <v>52</v>
      </c>
    </row>
    <row r="7236" spans="1:14" hidden="1" outlineLevel="1" x14ac:dyDescent="0.2">
      <c r="A7236" s="23" t="str">
        <f>HYPERLINK("https://www.spark-marketing.ru/Card/Person/13002", "филиал ФГБОУ ВПО ""НИУ МЭИ"" в г. Волжском")</f>
        <v>филиал ФГБОУ ВПО "НИУ МЭИ" в г. Волжском</v>
      </c>
      <c r="B7236" s="24" t="s">
        <v>9332</v>
      </c>
      <c r="C7236" s="25">
        <v>160759.43</v>
      </c>
      <c r="D7236" s="22" t="s">
        <v>9333</v>
      </c>
      <c r="E7236" s="22" t="s">
        <v>84</v>
      </c>
      <c r="F7236" s="23" t="str">
        <f>HYPERLINK("https://www.spark-marketing.ru/Card/Lot/70951842", "Поставка и установка системы видеонаблюдения")</f>
        <v>Поставка и установка системы видеонаблюдения</v>
      </c>
      <c r="G7236" s="22" t="s">
        <v>343</v>
      </c>
      <c r="H7236" s="22" t="s">
        <v>2599</v>
      </c>
      <c r="I7236" s="26">
        <v>43615.441666666702</v>
      </c>
      <c r="J7236" s="23" t="str">
        <f>HYPERLINK("https://www.spark-marketing.ru/Card/Person/233377", "ООО ""СИЛЬВЕР-ЛАЙН""")</f>
        <v>ООО "СИЛЬВЕР-ЛАЙН"</v>
      </c>
      <c r="K7236" s="24" t="s">
        <v>2557</v>
      </c>
      <c r="L7236" s="28" t="s">
        <v>52</v>
      </c>
      <c r="M7236" s="25">
        <v>135037.89000000001</v>
      </c>
      <c r="N7236" s="27">
        <v>0.16000019407881702</v>
      </c>
    </row>
    <row r="7237" spans="1:14" ht="12.75" hidden="1" outlineLevel="1" x14ac:dyDescent="0.2">
      <c r="A7237" s="23" t="str">
        <f>HYPERLINK("https://www.spark-marketing.ru/Card/Person/13002", "филиал ФГБОУ ВПО ""НИУ МЭИ"" в г. Волжском")</f>
        <v>филиал ФГБОУ ВПО "НИУ МЭИ" в г. Волжском</v>
      </c>
      <c r="B7237" s="24" t="s">
        <v>9332</v>
      </c>
      <c r="C7237" s="25">
        <v>160759.43</v>
      </c>
      <c r="D7237" s="22" t="s">
        <v>9333</v>
      </c>
      <c r="E7237" s="22" t="s">
        <v>84</v>
      </c>
      <c r="F7237" s="23" t="str">
        <f>HYPERLINK("https://www.spark-marketing.ru/Card/Lot/70951842", "Поставка и установка системы видеонаблюдения")</f>
        <v>Поставка и установка системы видеонаблюдения</v>
      </c>
      <c r="G7237" s="22" t="s">
        <v>343</v>
      </c>
      <c r="H7237" s="22" t="s">
        <v>2599</v>
      </c>
      <c r="I7237" s="26">
        <v>43615.441666666702</v>
      </c>
      <c r="J7237" s="23" t="str">
        <f>HYPERLINK("https://www.spark-marketing.ru/Card/Person/5908693", "ООО ""ВИДНА""")</f>
        <v>ООО "ВИДНА"</v>
      </c>
      <c r="K7237" s="24" t="s">
        <v>9334</v>
      </c>
      <c r="L7237" s="22" t="s">
        <v>10</v>
      </c>
      <c r="M7237" s="25">
        <v>111335.4</v>
      </c>
      <c r="N7237" s="27">
        <v>0.307440938301411</v>
      </c>
    </row>
    <row r="7238" spans="1:14" hidden="1" outlineLevel="1" x14ac:dyDescent="0.2">
      <c r="A7238" s="23" t="str">
        <f>HYPERLINK("https://www.spark-marketing.ru/Card/Person/13002", "филиал ФГБОУ ВПО ""НИУ МЭИ"" в г. Волжском")</f>
        <v>филиал ФГБОУ ВПО "НИУ МЭИ" в г. Волжском</v>
      </c>
      <c r="B7238" s="24" t="s">
        <v>9332</v>
      </c>
      <c r="C7238" s="25">
        <v>160759.43</v>
      </c>
      <c r="D7238" s="22" t="s">
        <v>9333</v>
      </c>
      <c r="E7238" s="22" t="s">
        <v>84</v>
      </c>
      <c r="F7238" s="23" t="str">
        <f>HYPERLINK("https://www.spark-marketing.ru/Card/Lot/70951842", "Поставка и установка системы видеонаблюдения")</f>
        <v>Поставка и установка системы видеонаблюдения</v>
      </c>
      <c r="G7238" s="22" t="s">
        <v>343</v>
      </c>
      <c r="H7238" s="22" t="s">
        <v>2599</v>
      </c>
      <c r="I7238" s="26">
        <v>43615.441666666702</v>
      </c>
      <c r="J7238" s="23" t="str">
        <f>HYPERLINK("https://www.spark-marketing.ru/Card/Person/291634", "ООО ""СПЕКТР СБ""")</f>
        <v>ООО "СПЕКТР СБ"</v>
      </c>
      <c r="K7238" s="24" t="s">
        <v>9335</v>
      </c>
      <c r="L7238" s="28" t="s">
        <v>52</v>
      </c>
      <c r="M7238" s="25">
        <v>116158.2</v>
      </c>
      <c r="N7238" s="27">
        <v>0.2774408319312901</v>
      </c>
    </row>
    <row r="7239" spans="1:14" hidden="1" outlineLevel="1" x14ac:dyDescent="0.2">
      <c r="A7239" s="23" t="str">
        <f>HYPERLINK("https://www.spark-marketing.ru/Card/Person/13002", "филиал ФГБОУ ВПО ""НИУ МЭИ"" в г. Волжском")</f>
        <v>филиал ФГБОУ ВПО "НИУ МЭИ" в г. Волжском</v>
      </c>
      <c r="B7239" s="24" t="s">
        <v>9332</v>
      </c>
      <c r="C7239" s="25">
        <v>160759.43</v>
      </c>
      <c r="D7239" s="22" t="s">
        <v>9333</v>
      </c>
      <c r="E7239" s="22" t="s">
        <v>84</v>
      </c>
      <c r="F7239" s="23" t="str">
        <f>HYPERLINK("https://www.spark-marketing.ru/Card/Lot/70951842", "Поставка и установка системы видеонаблюдения")</f>
        <v>Поставка и установка системы видеонаблюдения</v>
      </c>
      <c r="G7239" s="22" t="s">
        <v>343</v>
      </c>
      <c r="H7239" s="22" t="s">
        <v>2599</v>
      </c>
      <c r="I7239" s="26">
        <v>43615.441666666702</v>
      </c>
      <c r="J7239" s="23" t="str">
        <f>HYPERLINK("https://www.spark-marketing.ru/Card/Person/4465828", "ООО ""ДОМОФОН-КОМ""")</f>
        <v>ООО "ДОМОФОН-КОМ"</v>
      </c>
      <c r="K7239" s="24" t="s">
        <v>9336</v>
      </c>
      <c r="L7239" s="28" t="s">
        <v>52</v>
      </c>
      <c r="M7239" s="25">
        <v>112139.2</v>
      </c>
      <c r="N7239" s="27">
        <v>0.30244092057305749</v>
      </c>
    </row>
    <row r="7240" spans="1:14" x14ac:dyDescent="0.15">
      <c r="A7240" s="23" t="str">
        <f>HYPERLINK("https://www.spark-marketing.ru/Card/Person/286885", "ФБУ ""КУРСКИЙ ЦСМ""")</f>
        <v>ФБУ "КУРСКИЙ ЦСМ"</v>
      </c>
      <c r="B7240" s="24" t="s">
        <v>9337</v>
      </c>
      <c r="C7240" s="25">
        <v>693328</v>
      </c>
      <c r="D7240" s="22" t="s">
        <v>9338</v>
      </c>
      <c r="E7240" s="22" t="s">
        <v>1242</v>
      </c>
      <c r="F7240" s="23" t="str">
        <f>HYPERLINK("https://www.spark-marketing.ru/Card/Lot/70949083", "Оказание охранных услуг для нужд ФБУ «Курский ЦСМ»")</f>
        <v>Оказание охранных услуг для нужд ФБУ «Курский ЦСМ»</v>
      </c>
      <c r="G7240" s="22" t="s">
        <v>3128</v>
      </c>
      <c r="H7240" s="22" t="s">
        <v>3184</v>
      </c>
      <c r="I7240" s="26">
        <v>43615.4277083333</v>
      </c>
      <c r="J7240" s="28" t="s">
        <v>52</v>
      </c>
      <c r="K7240" s="28" t="s">
        <v>52</v>
      </c>
      <c r="L7240" s="22" t="s">
        <v>10</v>
      </c>
      <c r="M7240" s="28" t="s">
        <v>52</v>
      </c>
      <c r="N7240" s="28" t="s">
        <v>52</v>
      </c>
    </row>
    <row r="7241" spans="1:14" x14ac:dyDescent="0.15">
      <c r="A7241" s="23" t="str">
        <f>HYPERLINK("https://www.spark-marketing.ru/Card/Person/1054725", "НРМОБУ ""КУТЬ-ЯХСКАЯ СОШ""")</f>
        <v>НРМОБУ "КУТЬ-ЯХСКАЯ СОШ"</v>
      </c>
      <c r="B7241" s="24" t="s">
        <v>9339</v>
      </c>
      <c r="C7241" s="25">
        <v>429665.04</v>
      </c>
      <c r="D7241" s="22" t="s">
        <v>9340</v>
      </c>
      <c r="E7241" s="22" t="s">
        <v>52</v>
      </c>
      <c r="F7241" s="23" t="str">
        <f>HYPERLINK("https://www.spark-marketing.ru/Card/Lot/70947180", "Оказание услуг частных охранных служб")</f>
        <v>Оказание услуг частных охранных служб</v>
      </c>
      <c r="G7241" s="22" t="s">
        <v>119</v>
      </c>
      <c r="H7241" s="22" t="s">
        <v>119</v>
      </c>
      <c r="I7241" s="26">
        <v>43615.447916666701</v>
      </c>
      <c r="J7241" s="28" t="s">
        <v>52</v>
      </c>
      <c r="K7241" s="28" t="s">
        <v>52</v>
      </c>
      <c r="L7241" s="28" t="s">
        <v>52</v>
      </c>
      <c r="M7241" s="28" t="s">
        <v>52</v>
      </c>
      <c r="N7241" s="28" t="s">
        <v>52</v>
      </c>
    </row>
    <row r="7242" spans="1:14" ht="12.75" hidden="1" outlineLevel="1" x14ac:dyDescent="0.2">
      <c r="A7242" s="23" t="str">
        <f>HYPERLINK("https://www.spark-marketing.ru/Card/Person/1054725", "НРМОБУ ""КУТЬ-ЯХСКАЯ СОШ""")</f>
        <v>НРМОБУ "КУТЬ-ЯХСКАЯ СОШ"</v>
      </c>
      <c r="B7242" s="24" t="s">
        <v>9339</v>
      </c>
      <c r="C7242" s="25">
        <v>429665.04</v>
      </c>
      <c r="D7242" s="22" t="s">
        <v>9340</v>
      </c>
      <c r="E7242" s="22" t="s">
        <v>52</v>
      </c>
      <c r="F7242" s="23" t="str">
        <f>HYPERLINK("https://www.spark-marketing.ru/Card/Lot/70947180", "Оказание услуг частных охранных служб")</f>
        <v>Оказание услуг частных охранных служб</v>
      </c>
      <c r="G7242" s="22" t="s">
        <v>119</v>
      </c>
      <c r="H7242" s="22" t="s">
        <v>119</v>
      </c>
      <c r="I7242" s="26">
        <v>43615.447916666701</v>
      </c>
      <c r="J7242" s="23" t="str">
        <f>HYPERLINK("https://www.spark-marketing.ru/Card/Person/88382", "ООО ЧОО ""СБ""")</f>
        <v>ООО ЧОО "СБ"</v>
      </c>
      <c r="K7242" s="24" t="s">
        <v>9341</v>
      </c>
      <c r="L7242" s="22" t="s">
        <v>10</v>
      </c>
      <c r="M7242" s="25">
        <v>427516.71</v>
      </c>
      <c r="N7242" s="27">
        <v>5.0000111714930311E-3</v>
      </c>
    </row>
    <row r="7243" spans="1:14" hidden="1" outlineLevel="1" x14ac:dyDescent="0.2">
      <c r="A7243" s="23" t="str">
        <f>HYPERLINK("https://www.spark-marketing.ru/Card/Person/1054725", "НРМОБУ ""КУТЬ-ЯХСКАЯ СОШ""")</f>
        <v>НРМОБУ "КУТЬ-ЯХСКАЯ СОШ"</v>
      </c>
      <c r="B7243" s="24" t="s">
        <v>9339</v>
      </c>
      <c r="C7243" s="25">
        <v>429665.04</v>
      </c>
      <c r="D7243" s="22" t="s">
        <v>9340</v>
      </c>
      <c r="E7243" s="22" t="s">
        <v>52</v>
      </c>
      <c r="F7243" s="23" t="str">
        <f>HYPERLINK("https://www.spark-marketing.ru/Card/Lot/70947180", "Оказание услуг частных охранных служб")</f>
        <v>Оказание услуг частных охранных служб</v>
      </c>
      <c r="G7243" s="22" t="s">
        <v>119</v>
      </c>
      <c r="H7243" s="22" t="s">
        <v>119</v>
      </c>
      <c r="I7243" s="26">
        <v>43615.447916666701</v>
      </c>
      <c r="J7243" s="23" t="str">
        <f>HYPERLINK("https://www.spark-marketing.ru/Card/Person/4851642", "ООО ЧОО ""ОЛИМП-БЕЗОПАСНОСТЬ""")</f>
        <v>ООО ЧОО "ОЛИМП-БЕЗОПАСНОСТЬ"</v>
      </c>
      <c r="K7243" s="24" t="s">
        <v>5255</v>
      </c>
      <c r="L7243" s="28" t="s">
        <v>52</v>
      </c>
      <c r="M7243" s="25">
        <v>427516.71</v>
      </c>
      <c r="N7243" s="27">
        <v>5.0000111714930311E-3</v>
      </c>
    </row>
    <row r="7244" spans="1:14" x14ac:dyDescent="0.15">
      <c r="A7244" s="23" t="str">
        <f>HYPERLINK("https://www.spark-marketing.ru/Card/Person/404738", "ООО ""ГАЗПРОМ СЖИЖЕННЫЙ ГАЗ""")</f>
        <v>ООО "ГАЗПРОМ СЖИЖЕННЫЙ ГАЗ"</v>
      </c>
      <c r="B7244" s="24" t="s">
        <v>7726</v>
      </c>
      <c r="C7244" s="25">
        <v>535798.80000000005</v>
      </c>
      <c r="D7244" s="22" t="s">
        <v>9342</v>
      </c>
      <c r="E7244" s="22" t="s">
        <v>854</v>
      </c>
      <c r="F7244" s="23" t="str">
        <f>HYPERLINK("https://www.spark-marketing.ru/Card/Lot/70948407", "Выполнение работ «Установка системы резервного электропитания для видеонаблюдения ГНС Казань» на объекте расположенного по адресу: Республика Татарстан, г. Казань, ул. Северо-западная, 10.")</f>
        <v>Выполнение работ «Установка системы резервного электропитания для видеонаблюдения ГНС Казань» на объекте расположенного по адресу: Республика Татарстан, г. Казань, ул. Северо-западная, 10.</v>
      </c>
      <c r="G7244" s="22" t="s">
        <v>204</v>
      </c>
      <c r="H7244" s="22" t="s">
        <v>303</v>
      </c>
      <c r="I7244" s="26">
        <v>43615.405381944402</v>
      </c>
      <c r="J7244" s="28" t="s">
        <v>52</v>
      </c>
      <c r="K7244" s="28" t="s">
        <v>52</v>
      </c>
      <c r="L7244" s="28" t="s">
        <v>52</v>
      </c>
      <c r="M7244" s="28" t="s">
        <v>52</v>
      </c>
      <c r="N7244" s="28" t="s">
        <v>52</v>
      </c>
    </row>
    <row r="7245" spans="1:14" x14ac:dyDescent="0.15">
      <c r="A7245" s="23" t="str">
        <f>HYPERLINK("https://www.spark-marketing.ru/Card/Person/4856578", "ГОБУ ""КЦПД ""БЕРЕГ""")</f>
        <v>ГОБУ "КЦПД "БЕРЕГ"</v>
      </c>
      <c r="B7245" s="24" t="s">
        <v>9343</v>
      </c>
      <c r="C7245" s="25">
        <v>350000</v>
      </c>
      <c r="D7245" s="22" t="s">
        <v>9344</v>
      </c>
      <c r="E7245" s="22" t="s">
        <v>52</v>
      </c>
      <c r="F7245" s="23" t="str">
        <f>HYPERLINK("https://www.spark-marketing.ru/Card/Lot/70953960", "Выполнение работ по установке системы внутреннего видеонаблюдения в детских корпусах по адресу: г. Кандалакша ул. Первомайская дом 8А")</f>
        <v>Выполнение работ по установке системы внутреннего видеонаблюдения в детских корпусах по адресу: г. Кандалакша ул. Первомайская дом 8А</v>
      </c>
      <c r="G7245" s="22" t="s">
        <v>190</v>
      </c>
      <c r="H7245" s="22" t="s">
        <v>2866</v>
      </c>
      <c r="I7245" s="26">
        <v>43615.4</v>
      </c>
      <c r="J7245" s="28" t="s">
        <v>52</v>
      </c>
      <c r="K7245" s="28" t="s">
        <v>52</v>
      </c>
      <c r="L7245" s="28" t="s">
        <v>52</v>
      </c>
      <c r="M7245" s="28" t="s">
        <v>52</v>
      </c>
      <c r="N7245" s="28" t="s">
        <v>52</v>
      </c>
    </row>
    <row r="7246" spans="1:14" hidden="1" outlineLevel="1" x14ac:dyDescent="0.2">
      <c r="A7246" s="23" t="str">
        <f>HYPERLINK("https://www.spark-marketing.ru/Card/Person/4856578", "ГОБУ ""КЦПД ""БЕРЕГ""")</f>
        <v>ГОБУ "КЦПД "БЕРЕГ"</v>
      </c>
      <c r="B7246" s="24" t="s">
        <v>9343</v>
      </c>
      <c r="C7246" s="25">
        <v>350000</v>
      </c>
      <c r="D7246" s="22" t="s">
        <v>9344</v>
      </c>
      <c r="E7246" s="22" t="s">
        <v>52</v>
      </c>
      <c r="F7246" s="23" t="str">
        <f>HYPERLINK("https://www.spark-marketing.ru/Card/Lot/70953960", "Выполнение работ по установке системы внутреннего видеонаблюдения в детских корпусах по адресу: г. Кандалакша ул. Первомайская дом 8А")</f>
        <v>Выполнение работ по установке системы внутреннего видеонаблюдения в детских корпусах по адресу: г. Кандалакша ул. Первомайская дом 8А</v>
      </c>
      <c r="G7246" s="22" t="s">
        <v>190</v>
      </c>
      <c r="H7246" s="22" t="s">
        <v>2866</v>
      </c>
      <c r="I7246" s="26">
        <v>43615.4</v>
      </c>
      <c r="J7246" s="23" t="str">
        <f>HYPERLINK("https://www.spark-marketing.ru/Card/Person/416862", "ООО ""ИВКАНД""")</f>
        <v>ООО "ИВКАНД"</v>
      </c>
      <c r="K7246" s="24" t="s">
        <v>9345</v>
      </c>
      <c r="L7246" s="28" t="s">
        <v>52</v>
      </c>
      <c r="M7246" s="25">
        <v>148500</v>
      </c>
      <c r="N7246" s="27">
        <v>0.57571428571428573</v>
      </c>
    </row>
    <row r="7247" spans="1:14" ht="12.75" hidden="1" outlineLevel="1" x14ac:dyDescent="0.2">
      <c r="A7247" s="23" t="str">
        <f>HYPERLINK("https://www.spark-marketing.ru/Card/Person/4856578", "ГОБУ ""КЦПД ""БЕРЕГ""")</f>
        <v>ГОБУ "КЦПД "БЕРЕГ"</v>
      </c>
      <c r="B7247" s="24" t="s">
        <v>9343</v>
      </c>
      <c r="C7247" s="25">
        <v>350000</v>
      </c>
      <c r="D7247" s="22" t="s">
        <v>9344</v>
      </c>
      <c r="E7247" s="22" t="s">
        <v>52</v>
      </c>
      <c r="F7247" s="23" t="str">
        <f>HYPERLINK("https://www.spark-marketing.ru/Card/Lot/70953960", "Выполнение работ по установке системы внутреннего видеонаблюдения в детских корпусах по адресу: г. Кандалакша ул. Первомайская дом 8А")</f>
        <v>Выполнение работ по установке системы внутреннего видеонаблюдения в детских корпусах по адресу: г. Кандалакша ул. Первомайская дом 8А</v>
      </c>
      <c r="G7247" s="22" t="s">
        <v>190</v>
      </c>
      <c r="H7247" s="22" t="s">
        <v>2866</v>
      </c>
      <c r="I7247" s="26">
        <v>43615.4</v>
      </c>
      <c r="J7247" s="23" t="str">
        <f>HYPERLINK("https://www.spark-marketing.ru/Card/Person/369219", "ООО ""ВАЛДАЙ""")</f>
        <v>ООО "ВАЛДАЙ"</v>
      </c>
      <c r="K7247" s="24" t="s">
        <v>9346</v>
      </c>
      <c r="L7247" s="22" t="s">
        <v>10</v>
      </c>
      <c r="M7247" s="25">
        <v>249000</v>
      </c>
      <c r="N7247" s="27">
        <v>0.28857142857142859</v>
      </c>
    </row>
    <row r="7248" spans="1:14" hidden="1" outlineLevel="1" x14ac:dyDescent="0.2">
      <c r="A7248" s="23" t="str">
        <f>HYPERLINK("https://www.spark-marketing.ru/Card/Person/4856578", "ГОБУ ""КЦПД ""БЕРЕГ""")</f>
        <v>ГОБУ "КЦПД "БЕРЕГ"</v>
      </c>
      <c r="B7248" s="24" t="s">
        <v>9343</v>
      </c>
      <c r="C7248" s="25">
        <v>350000</v>
      </c>
      <c r="D7248" s="22" t="s">
        <v>9344</v>
      </c>
      <c r="E7248" s="22" t="s">
        <v>52</v>
      </c>
      <c r="F7248" s="23" t="str">
        <f>HYPERLINK("https://www.spark-marketing.ru/Card/Lot/70953960", "Выполнение работ по установке системы внутреннего видеонаблюдения в детских корпусах по адресу: г. Кандалакша ул. Первомайская дом 8А")</f>
        <v>Выполнение работ по установке системы внутреннего видеонаблюдения в детских корпусах по адресу: г. Кандалакша ул. Первомайская дом 8А</v>
      </c>
      <c r="G7248" s="22" t="s">
        <v>190</v>
      </c>
      <c r="H7248" s="22" t="s">
        <v>2866</v>
      </c>
      <c r="I7248" s="26">
        <v>43615.4</v>
      </c>
      <c r="J7248" s="23" t="str">
        <f>HYPERLINK("https://www.spark-marketing.ru/Card/Person/4338753", "ООО ""ЭЛВИКОМ-СЕРВИС""")</f>
        <v>ООО "ЭЛВИКОМ-СЕРВИС"</v>
      </c>
      <c r="K7248" s="24" t="s">
        <v>9347</v>
      </c>
      <c r="L7248" s="28" t="s">
        <v>52</v>
      </c>
      <c r="M7248" s="25">
        <v>249500</v>
      </c>
      <c r="N7248" s="27">
        <v>0.28714285714285714</v>
      </c>
    </row>
    <row r="7249" spans="1:14" x14ac:dyDescent="0.15">
      <c r="A7249" s="23" t="str">
        <f>HYPERLINK("https://www.spark-marketing.ru/Card/Person/114990", "ГБУЗ РЕСПУБЛИКИ МОРДОВИЯ ""ДЕТСКАЯ ПОЛИКЛИНИКА №2""")</f>
        <v>ГБУЗ РЕСПУБЛИКИ МОРДОВИЯ "ДЕТСКАЯ ПОЛИКЛИНИКА №2"</v>
      </c>
      <c r="B7249" s="24" t="s">
        <v>2757</v>
      </c>
      <c r="C7249" s="25">
        <v>432999.96</v>
      </c>
      <c r="D7249" s="22" t="s">
        <v>9348</v>
      </c>
      <c r="E7249" s="22" t="s">
        <v>52</v>
      </c>
      <c r="F7249" s="23" t="str">
        <f>HYPERLINK("https://www.spark-marketing.ru/Card/Lot/70953550", "оказание услуг по охране имущества и общественного порядка на территории ГБУЗ Республики Мордовия ""Детская поликлиника №2"" по адресу: г.Саранск, ул.Ульянова, д.34")</f>
        <v>оказание услуг по охране имущества и общественного порядка на территории ГБУЗ Республики Мордовия "Детская поликлиника №2" по адресу: г.Саранск, ул.Ульянова, д.34</v>
      </c>
      <c r="G7249" s="22" t="s">
        <v>331</v>
      </c>
      <c r="H7249" s="22" t="s">
        <v>332</v>
      </c>
      <c r="I7249" s="26">
        <v>43615.397916666698</v>
      </c>
      <c r="J7249" s="28" t="s">
        <v>52</v>
      </c>
      <c r="K7249" s="28" t="s">
        <v>52</v>
      </c>
      <c r="L7249" s="28" t="s">
        <v>52</v>
      </c>
      <c r="M7249" s="28" t="s">
        <v>52</v>
      </c>
      <c r="N7249" s="28" t="s">
        <v>52</v>
      </c>
    </row>
    <row r="7250" spans="1:14" ht="12.75" hidden="1" outlineLevel="1" x14ac:dyDescent="0.2">
      <c r="A7250" s="23" t="str">
        <f>HYPERLINK("https://www.spark-marketing.ru/Card/Person/114990", "ГБУЗ РЕСПУБЛИКИ МОРДОВИЯ ""ДЕТСКАЯ ПОЛИКЛИНИКА №2""")</f>
        <v>ГБУЗ РЕСПУБЛИКИ МОРДОВИЯ "ДЕТСКАЯ ПОЛИКЛИНИКА №2"</v>
      </c>
      <c r="B7250" s="24" t="s">
        <v>2757</v>
      </c>
      <c r="C7250" s="25">
        <v>432999.96</v>
      </c>
      <c r="D7250" s="22" t="s">
        <v>9348</v>
      </c>
      <c r="E7250" s="22" t="s">
        <v>52</v>
      </c>
      <c r="F7250" s="23" t="str">
        <f>HYPERLINK("https://www.spark-marketing.ru/Card/Lot/70953550", "оказание услуг по охране имущества и общественного порядка на территории ГБУЗ Республики Мордовия ""Детская поликлиника №2"" по адресу: г.Саранск, ул.Ульянова, д.34")</f>
        <v>оказание услуг по охране имущества и общественного порядка на территории ГБУЗ Республики Мордовия "Детская поликлиника №2" по адресу: г.Саранск, ул.Ульянова, д.34</v>
      </c>
      <c r="G7250" s="22" t="s">
        <v>331</v>
      </c>
      <c r="H7250" s="22" t="s">
        <v>332</v>
      </c>
      <c r="I7250" s="26">
        <v>43615.397916666698</v>
      </c>
      <c r="J7250" s="23" t="str">
        <f>HYPERLINK("https://www.spark-marketing.ru/Card/Person/298294", "ООО ЧОО ""КЕДР-ОС""")</f>
        <v>ООО ЧОО "КЕДР-ОС"</v>
      </c>
      <c r="K7250" s="24" t="s">
        <v>2759</v>
      </c>
      <c r="L7250" s="22" t="s">
        <v>10</v>
      </c>
      <c r="M7250" s="25">
        <v>259799.96</v>
      </c>
      <c r="N7250" s="27">
        <v>0.40000003695150455</v>
      </c>
    </row>
    <row r="7251" spans="1:14" hidden="1" outlineLevel="1" x14ac:dyDescent="0.2">
      <c r="A7251" s="23" t="str">
        <f>HYPERLINK("https://www.spark-marketing.ru/Card/Person/114990", "ГБУЗ РЕСПУБЛИКИ МОРДОВИЯ ""ДЕТСКАЯ ПОЛИКЛИНИКА №2""")</f>
        <v>ГБУЗ РЕСПУБЛИКИ МОРДОВИЯ "ДЕТСКАЯ ПОЛИКЛИНИКА №2"</v>
      </c>
      <c r="B7251" s="24" t="s">
        <v>2757</v>
      </c>
      <c r="C7251" s="25">
        <v>432999.96</v>
      </c>
      <c r="D7251" s="22" t="s">
        <v>9348</v>
      </c>
      <c r="E7251" s="22" t="s">
        <v>52</v>
      </c>
      <c r="F7251" s="23" t="str">
        <f>HYPERLINK("https://www.spark-marketing.ru/Card/Lot/70953550", "оказание услуг по охране имущества и общественного порядка на территории ГБУЗ Республики Мордовия ""Детская поликлиника №2"" по адресу: г.Саранск, ул.Ульянова, д.34")</f>
        <v>оказание услуг по охране имущества и общественного порядка на территории ГБУЗ Республики Мордовия "Детская поликлиника №2" по адресу: г.Саранск, ул.Ульянова, д.34</v>
      </c>
      <c r="G7251" s="22" t="s">
        <v>331</v>
      </c>
      <c r="H7251" s="22" t="s">
        <v>332</v>
      </c>
      <c r="I7251" s="26">
        <v>43615.397916666698</v>
      </c>
      <c r="J7251" s="23" t="str">
        <f>HYPERLINK("https://www.spark-marketing.ru/Card/Person/78131", "ООО ЧОО ""ГРОМ""")</f>
        <v>ООО ЧОО "ГРОМ"</v>
      </c>
      <c r="K7251" s="24" t="s">
        <v>2760</v>
      </c>
      <c r="L7251" s="28" t="s">
        <v>52</v>
      </c>
      <c r="M7251" s="25">
        <v>283614.96000000002</v>
      </c>
      <c r="N7251" s="27">
        <v>0.34500003187067269</v>
      </c>
    </row>
    <row r="7252" spans="1:14" hidden="1" outlineLevel="1" x14ac:dyDescent="0.2">
      <c r="A7252" s="23" t="str">
        <f>HYPERLINK("https://www.spark-marketing.ru/Card/Person/114990", "ГБУЗ РЕСПУБЛИКИ МОРДОВИЯ ""ДЕТСКАЯ ПОЛИКЛИНИКА №2""")</f>
        <v>ГБУЗ РЕСПУБЛИКИ МОРДОВИЯ "ДЕТСКАЯ ПОЛИКЛИНИКА №2"</v>
      </c>
      <c r="B7252" s="24" t="s">
        <v>2757</v>
      </c>
      <c r="C7252" s="25">
        <v>432999.96</v>
      </c>
      <c r="D7252" s="22" t="s">
        <v>9348</v>
      </c>
      <c r="E7252" s="22" t="s">
        <v>52</v>
      </c>
      <c r="F7252" s="23" t="str">
        <f>HYPERLINK("https://www.spark-marketing.ru/Card/Lot/70953550", "оказание услуг по охране имущества и общественного порядка на территории ГБУЗ Республики Мордовия ""Детская поликлиника №2"" по адресу: г.Саранск, ул.Ульянова, д.34")</f>
        <v>оказание услуг по охране имущества и общественного порядка на территории ГБУЗ Республики Мордовия "Детская поликлиника №2" по адресу: г.Саранск, ул.Ульянова, д.34</v>
      </c>
      <c r="G7252" s="22" t="s">
        <v>331</v>
      </c>
      <c r="H7252" s="22" t="s">
        <v>332</v>
      </c>
      <c r="I7252" s="26">
        <v>43615.397916666698</v>
      </c>
      <c r="J7252" s="23" t="str">
        <f>HYPERLINK("https://www.spark-marketing.ru/Card/Person/4516284", "ООО ЧОО ""ЧЕСТЬ""")</f>
        <v>ООО ЧОО "ЧЕСТЬ"</v>
      </c>
      <c r="K7252" s="24" t="s">
        <v>2762</v>
      </c>
      <c r="L7252" s="28" t="s">
        <v>52</v>
      </c>
      <c r="M7252" s="25">
        <v>261964.96</v>
      </c>
      <c r="N7252" s="27">
        <v>0.39500003648961074</v>
      </c>
    </row>
    <row r="7253" spans="1:14" hidden="1" outlineLevel="1" x14ac:dyDescent="0.2">
      <c r="A7253" s="23" t="str">
        <f>HYPERLINK("https://www.spark-marketing.ru/Card/Person/114990", "ГБУЗ РЕСПУБЛИКИ МОРДОВИЯ ""ДЕТСКАЯ ПОЛИКЛИНИКА №2""")</f>
        <v>ГБУЗ РЕСПУБЛИКИ МОРДОВИЯ "ДЕТСКАЯ ПОЛИКЛИНИКА №2"</v>
      </c>
      <c r="B7253" s="24" t="s">
        <v>2757</v>
      </c>
      <c r="C7253" s="25">
        <v>432999.96</v>
      </c>
      <c r="D7253" s="22" t="s">
        <v>9348</v>
      </c>
      <c r="E7253" s="22" t="s">
        <v>52</v>
      </c>
      <c r="F7253" s="23" t="str">
        <f>HYPERLINK("https://www.spark-marketing.ru/Card/Lot/70953550", "оказание услуг по охране имущества и общественного порядка на территории ГБУЗ Республики Мордовия ""Детская поликлиника №2"" по адресу: г.Саранск, ул.Ульянова, д.34")</f>
        <v>оказание услуг по охране имущества и общественного порядка на территории ГБУЗ Республики Мордовия "Детская поликлиника №2" по адресу: г.Саранск, ул.Ульянова, д.34</v>
      </c>
      <c r="G7253" s="22" t="s">
        <v>331</v>
      </c>
      <c r="H7253" s="22" t="s">
        <v>332</v>
      </c>
      <c r="I7253" s="26">
        <v>43615.397916666698</v>
      </c>
      <c r="J7253" s="23" t="str">
        <f>HYPERLINK("https://www.spark-marketing.ru/Card/Person/297860", "ООО ""ЧОО ""МОЛОТ""")</f>
        <v>ООО "ЧОО "МОЛОТ"</v>
      </c>
      <c r="K7253" s="24" t="s">
        <v>9349</v>
      </c>
      <c r="L7253" s="28" t="s">
        <v>52</v>
      </c>
      <c r="M7253" s="25">
        <v>268459.96000000002</v>
      </c>
      <c r="N7253" s="27">
        <v>0.38000003510392932</v>
      </c>
    </row>
    <row r="7254" spans="1:14" x14ac:dyDescent="0.15">
      <c r="A7254" s="23" t="str">
        <f>HYPERLINK("https://www.spark-marketing.ru/Card/Person/1074250", "БОУ Г. ОМСКА ""СРЕДНЯЯ ОБЩЕОБРАЗОВАТЕЛЬНАЯ ШКОЛА № 60""")</f>
        <v>БОУ Г. ОМСКА "СРЕДНЯЯ ОБЩЕОБРАЗОВАТЕЛЬНАЯ ШКОЛА № 60"</v>
      </c>
      <c r="B7254" s="24" t="s">
        <v>8019</v>
      </c>
      <c r="C7254" s="25">
        <v>6000</v>
      </c>
      <c r="D7254" s="22" t="s">
        <v>9350</v>
      </c>
      <c r="E7254" s="22" t="s">
        <v>68</v>
      </c>
      <c r="F7254" s="23" t="str">
        <f>HYPERLINK("https://www.spark-marketing.ru/Card/Lot/70946525", "Оказание охранных услуг посредством передачи тревожных сообщений по каналу GSM")</f>
        <v>Оказание охранных услуг посредством передачи тревожных сообщений по каналу GSM</v>
      </c>
      <c r="G7254" s="22" t="s">
        <v>521</v>
      </c>
      <c r="H7254" s="22" t="s">
        <v>522</v>
      </c>
      <c r="I7254" s="26">
        <v>43615.4</v>
      </c>
      <c r="J7254" s="28" t="s">
        <v>52</v>
      </c>
      <c r="K7254" s="28" t="s">
        <v>52</v>
      </c>
      <c r="L7254" s="28" t="s">
        <v>52</v>
      </c>
      <c r="M7254" s="28" t="s">
        <v>52</v>
      </c>
      <c r="N7254" s="28" t="s">
        <v>52</v>
      </c>
    </row>
    <row r="7255" spans="1:14" x14ac:dyDescent="0.2">
      <c r="A7255" s="23" t="str">
        <f>HYPERLINK("https://www.spark-marketing.ru/Card/Person/1759279", "АО ""РЭМИС""")</f>
        <v>АО "РЭМИС"</v>
      </c>
      <c r="B7255" s="24" t="s">
        <v>9351</v>
      </c>
      <c r="C7255" s="25">
        <v>184800</v>
      </c>
      <c r="D7255" s="22" t="s">
        <v>9352</v>
      </c>
      <c r="E7255" s="22" t="s">
        <v>363</v>
      </c>
      <c r="F7255" s="23" t="str">
        <f>HYPERLINK("https://www.spark-marketing.ru/Card/Lot/70941341", "Услуги по невооруженной охране объекта Заказчика «Строительство отпаечных ЛЭП-110кВ от ВЛ-110 Пашино-Лесная I, II цепь (С-13,14) до границы земельного участка заявителя»")</f>
        <v>Услуги по невооруженной охране объекта Заказчика «Строительство отпаечных ЛЭП-110кВ от ВЛ-110 Пашино-Лесная I, II цепь (С-13,14) до границы земельного участка заявителя»</v>
      </c>
      <c r="G7255" s="22" t="s">
        <v>209</v>
      </c>
      <c r="H7255" s="22" t="s">
        <v>209</v>
      </c>
      <c r="I7255" s="26">
        <v>43615.356041666702</v>
      </c>
      <c r="J7255" s="28" t="s">
        <v>52</v>
      </c>
      <c r="K7255" s="28" t="s">
        <v>52</v>
      </c>
      <c r="L7255" s="28" t="s">
        <v>52</v>
      </c>
      <c r="M7255" s="25">
        <v>184800</v>
      </c>
      <c r="N7255" s="27">
        <v>0</v>
      </c>
    </row>
    <row r="7256" spans="1:14" x14ac:dyDescent="0.15">
      <c r="A7256" s="23" t="str">
        <f>HYPERLINK("https://www.spark-marketing.ru/Card/Person/99623", "ОМВД РОССИИ ПО Г. НЕФТЕЮГАНСКУ")</f>
        <v>ОМВД РОССИИ ПО Г. НЕФТЕЮГАНСКУ</v>
      </c>
      <c r="B7256" s="24" t="s">
        <v>8027</v>
      </c>
      <c r="C7256" s="25">
        <v>88941.68</v>
      </c>
      <c r="D7256" s="22" t="s">
        <v>9353</v>
      </c>
      <c r="E7256" s="22" t="s">
        <v>59</v>
      </c>
      <c r="F7256" s="23" t="str">
        <f>HYPERLINK("https://www.spark-marketing.ru/Card/Lot/70943941", "Установка охранной сигнализации, 1 шт")</f>
        <v>Установка охранной сигнализации, 1 шт</v>
      </c>
      <c r="G7256" s="22" t="s">
        <v>119</v>
      </c>
      <c r="H7256" s="22" t="s">
        <v>120</v>
      </c>
      <c r="I7256" s="26">
        <v>43615.344791666699</v>
      </c>
      <c r="J7256" s="28" t="s">
        <v>52</v>
      </c>
      <c r="K7256" s="28" t="s">
        <v>52</v>
      </c>
      <c r="L7256" s="28" t="s">
        <v>52</v>
      </c>
      <c r="M7256" s="28" t="s">
        <v>52</v>
      </c>
      <c r="N7256" s="28" t="s">
        <v>52</v>
      </c>
    </row>
    <row r="7257" spans="1:14" x14ac:dyDescent="0.15">
      <c r="A7257" s="23" t="str">
        <f>HYPERLINK("https://www.spark-marketing.ru/Card/Person/810", "ГБУЗ ""ТКБ № 3 ДЗМ""")</f>
        <v>ГБУЗ "ТКБ № 3 ДЗМ"</v>
      </c>
      <c r="B7257" s="24" t="s">
        <v>3867</v>
      </c>
      <c r="C7257" s="25">
        <v>868545.53</v>
      </c>
      <c r="D7257" s="22" t="s">
        <v>9354</v>
      </c>
      <c r="E7257" s="22" t="s">
        <v>103</v>
      </c>
      <c r="F7257" s="23" t="str">
        <f>HYPERLINK("https://www.spark-marketing.ru/Card/Lot/70944145", "Комплексное техническое обслуживание системы оповещения и трансляции ГБУЗ ""ТКБ № 3 ДЗМ""")</f>
        <v>Комплексное техническое обслуживание системы оповещения и трансляции ГБУЗ "ТКБ № 3 ДЗМ"</v>
      </c>
      <c r="G7257" s="22" t="s">
        <v>55</v>
      </c>
      <c r="H7257" s="22" t="s">
        <v>55</v>
      </c>
      <c r="I7257" s="26">
        <v>43615.329861111102</v>
      </c>
      <c r="J7257" s="28" t="s">
        <v>52</v>
      </c>
      <c r="K7257" s="28" t="s">
        <v>52</v>
      </c>
      <c r="L7257" s="28" t="s">
        <v>52</v>
      </c>
      <c r="M7257" s="28" t="s">
        <v>52</v>
      </c>
      <c r="N7257" s="28" t="s">
        <v>52</v>
      </c>
    </row>
    <row r="7258" spans="1:14" hidden="1" outlineLevel="1" x14ac:dyDescent="0.2">
      <c r="A7258" s="23" t="str">
        <f>HYPERLINK("https://www.spark-marketing.ru/Card/Person/810", "ГБУЗ ""ТКБ № 3 ДЗМ""")</f>
        <v>ГБУЗ "ТКБ № 3 ДЗМ"</v>
      </c>
      <c r="B7258" s="24" t="s">
        <v>3867</v>
      </c>
      <c r="C7258" s="25">
        <v>868545.53</v>
      </c>
      <c r="D7258" s="22" t="s">
        <v>9354</v>
      </c>
      <c r="E7258" s="22" t="s">
        <v>103</v>
      </c>
      <c r="F7258" s="23" t="str">
        <f>HYPERLINK("https://www.spark-marketing.ru/Card/Lot/70944145", "Комплексное техническое обслуживание системы оповещения и трансляции ГБУЗ ""ТКБ № 3 ДЗМ""")</f>
        <v>Комплексное техническое обслуживание системы оповещения и трансляции ГБУЗ "ТКБ № 3 ДЗМ"</v>
      </c>
      <c r="G7258" s="22" t="s">
        <v>55</v>
      </c>
      <c r="H7258" s="22" t="s">
        <v>55</v>
      </c>
      <c r="I7258" s="26">
        <v>43615.329861111102</v>
      </c>
      <c r="J7258" s="23" t="str">
        <f>HYPERLINK("https://www.spark-marketing.ru/Card/Person/65028", "ООО ""ИМПУЛЬС М""")</f>
        <v>ООО "ИМПУЛЬС М"</v>
      </c>
      <c r="K7258" s="24" t="s">
        <v>7268</v>
      </c>
      <c r="L7258" s="28" t="s">
        <v>52</v>
      </c>
      <c r="M7258" s="25">
        <v>311000</v>
      </c>
      <c r="N7258" s="27">
        <v>0.6419301127483783</v>
      </c>
    </row>
    <row r="7259" spans="1:14" ht="12.75" hidden="1" outlineLevel="1" x14ac:dyDescent="0.2">
      <c r="A7259" s="23" t="str">
        <f>HYPERLINK("https://www.spark-marketing.ru/Card/Person/810", "ГБУЗ ""ТКБ № 3 ДЗМ""")</f>
        <v>ГБУЗ "ТКБ № 3 ДЗМ"</v>
      </c>
      <c r="B7259" s="24" t="s">
        <v>3867</v>
      </c>
      <c r="C7259" s="25">
        <v>868545.53</v>
      </c>
      <c r="D7259" s="22" t="s">
        <v>9354</v>
      </c>
      <c r="E7259" s="22" t="s">
        <v>103</v>
      </c>
      <c r="F7259" s="23" t="str">
        <f>HYPERLINK("https://www.spark-marketing.ru/Card/Lot/70944145", "Комплексное техническое обслуживание системы оповещения и трансляции ГБУЗ ""ТКБ № 3 ДЗМ""")</f>
        <v>Комплексное техническое обслуживание системы оповещения и трансляции ГБУЗ "ТКБ № 3 ДЗМ"</v>
      </c>
      <c r="G7259" s="22" t="s">
        <v>55</v>
      </c>
      <c r="H7259" s="22" t="s">
        <v>55</v>
      </c>
      <c r="I7259" s="26">
        <v>43615.329861111102</v>
      </c>
      <c r="J7259" s="23" t="str">
        <f>HYPERLINK("https://www.spark-marketing.ru/Card/Person/703465", "ООО ""ГАРАНТСТ""")</f>
        <v>ООО "ГАРАНТСТ"</v>
      </c>
      <c r="K7259" s="24" t="s">
        <v>9355</v>
      </c>
      <c r="L7259" s="22" t="s">
        <v>10</v>
      </c>
      <c r="M7259" s="25">
        <v>85381.61</v>
      </c>
      <c r="N7259" s="27">
        <v>0.90169587309947929</v>
      </c>
    </row>
    <row r="7260" spans="1:14" hidden="1" outlineLevel="1" x14ac:dyDescent="0.2">
      <c r="A7260" s="23" t="str">
        <f>HYPERLINK("https://www.spark-marketing.ru/Card/Person/810", "ГБУЗ ""ТКБ № 3 ДЗМ""")</f>
        <v>ГБУЗ "ТКБ № 3 ДЗМ"</v>
      </c>
      <c r="B7260" s="24" t="s">
        <v>3867</v>
      </c>
      <c r="C7260" s="25">
        <v>868545.53</v>
      </c>
      <c r="D7260" s="22" t="s">
        <v>9354</v>
      </c>
      <c r="E7260" s="22" t="s">
        <v>103</v>
      </c>
      <c r="F7260" s="23" t="str">
        <f>HYPERLINK("https://www.spark-marketing.ru/Card/Lot/70944145", "Комплексное техническое обслуживание системы оповещения и трансляции ГБУЗ ""ТКБ № 3 ДЗМ""")</f>
        <v>Комплексное техническое обслуживание системы оповещения и трансляции ГБУЗ "ТКБ № 3 ДЗМ"</v>
      </c>
      <c r="G7260" s="22" t="s">
        <v>55</v>
      </c>
      <c r="H7260" s="22" t="s">
        <v>55</v>
      </c>
      <c r="I7260" s="26">
        <v>43615.329861111102</v>
      </c>
      <c r="J7260" s="23" t="str">
        <f>HYPERLINK("https://www.spark-marketing.ru/Card/Person/2553652", "ООО ""ОПТИМАЛЬНАЯ ЗАЩИТА""")</f>
        <v>ООО "ОПТИМАЛЬНАЯ ЗАЩИТА"</v>
      </c>
      <c r="K7260" s="24" t="s">
        <v>5148</v>
      </c>
      <c r="L7260" s="28" t="s">
        <v>52</v>
      </c>
      <c r="M7260" s="25">
        <v>89724.34</v>
      </c>
      <c r="N7260" s="27">
        <v>0.89669587039380649</v>
      </c>
    </row>
    <row r="7261" spans="1:14" hidden="1" outlineLevel="1" x14ac:dyDescent="0.2">
      <c r="A7261" s="23" t="str">
        <f>HYPERLINK("https://www.spark-marketing.ru/Card/Person/810", "ГБУЗ ""ТКБ № 3 ДЗМ""")</f>
        <v>ГБУЗ "ТКБ № 3 ДЗМ"</v>
      </c>
      <c r="B7261" s="24" t="s">
        <v>3867</v>
      </c>
      <c r="C7261" s="25">
        <v>868545.53</v>
      </c>
      <c r="D7261" s="22" t="s">
        <v>9354</v>
      </c>
      <c r="E7261" s="22" t="s">
        <v>103</v>
      </c>
      <c r="F7261" s="23" t="str">
        <f>HYPERLINK("https://www.spark-marketing.ru/Card/Lot/70944145", "Комплексное техническое обслуживание системы оповещения и трансляции ГБУЗ ""ТКБ № 3 ДЗМ""")</f>
        <v>Комплексное техническое обслуживание системы оповещения и трансляции ГБУЗ "ТКБ № 3 ДЗМ"</v>
      </c>
      <c r="G7261" s="22" t="s">
        <v>55</v>
      </c>
      <c r="H7261" s="22" t="s">
        <v>55</v>
      </c>
      <c r="I7261" s="26">
        <v>43615.329861111102</v>
      </c>
      <c r="J7261" s="23" t="str">
        <f>HYPERLINK("https://www.spark-marketing.ru/Card/Person/143151", "ООО ""СТРАТЕГИЯ БУДУЩЕГО""")</f>
        <v>ООО "СТРАТЕГИЯ БУДУЩЕГО"</v>
      </c>
      <c r="K7261" s="24" t="s">
        <v>9356</v>
      </c>
      <c r="L7261" s="28" t="s">
        <v>52</v>
      </c>
      <c r="M7261" s="25">
        <v>175670.39</v>
      </c>
      <c r="N7261" s="27">
        <v>0.79774187543167718</v>
      </c>
    </row>
    <row r="7262" spans="1:14" x14ac:dyDescent="0.15">
      <c r="A7262" s="23" t="str">
        <f>HYPERLINK("https://www.spark-marketing.ru/Card/Person/122910", "МЕЖРАЙОННАЯ ИФНС РОССИИ № 3 ПО ЗАБАЙКАЛЬСКОМУ КРАЮ")</f>
        <v>МЕЖРАЙОННАЯ ИФНС РОССИИ № 3 ПО ЗАБАЙКАЛЬСКОМУ КРАЮ</v>
      </c>
      <c r="B7262" s="24" t="s">
        <v>9357</v>
      </c>
      <c r="C7262" s="25">
        <v>12800</v>
      </c>
      <c r="D7262" s="22" t="s">
        <v>9358</v>
      </c>
      <c r="E7262" s="22" t="s">
        <v>53</v>
      </c>
      <c r="F7262" s="23" t="str">
        <f>HYPERLINK("https://www.spark-marketing.ru/Card/Lot/70938470", "Услуги по монтажу системы охранной сигнализации (кнопка тревожной сигнализации)")</f>
        <v>Услуги по монтажу системы охранной сигнализации (кнопка тревожной сигнализации)</v>
      </c>
      <c r="G7262" s="22" t="s">
        <v>473</v>
      </c>
      <c r="H7262" s="22" t="s">
        <v>476</v>
      </c>
      <c r="I7262" s="26">
        <v>43615.089340277802</v>
      </c>
      <c r="J7262" s="28" t="s">
        <v>52</v>
      </c>
      <c r="K7262" s="28" t="s">
        <v>52</v>
      </c>
      <c r="L7262" s="28" t="s">
        <v>52</v>
      </c>
      <c r="M7262" s="28" t="s">
        <v>52</v>
      </c>
      <c r="N7262" s="28" t="s">
        <v>52</v>
      </c>
    </row>
    <row r="7263" spans="1:14" x14ac:dyDescent="0.15">
      <c r="A7263" s="23" t="str">
        <f>HYPERLINK("https://www.spark-marketing.ru/Card/Person/6450322", "ЗАКАЗЧИК РП БЕЛАРУСЬ")</f>
        <v>ЗАКАЗЧИК РП БЕЛАРУСЬ</v>
      </c>
      <c r="B7263" s="28" t="s">
        <v>52</v>
      </c>
      <c r="C7263" s="25">
        <v>148621.67199999999</v>
      </c>
      <c r="D7263" s="22" t="s">
        <v>9359</v>
      </c>
      <c r="E7263" s="22" t="s">
        <v>53</v>
      </c>
      <c r="F7263" s="23" t="str">
        <f>HYPERLINK("https://www.spark-marketing.ru/Card/Lot/70962022", "Устройства многофункциональные с функцией копирование и печать данных")</f>
        <v>Устройства многофункциональные с функцией копирование и печать данных</v>
      </c>
      <c r="G7263" s="22" t="s">
        <v>52</v>
      </c>
      <c r="H7263" s="22" t="s">
        <v>52</v>
      </c>
      <c r="I7263" s="26">
        <v>43615</v>
      </c>
      <c r="J7263" s="28" t="s">
        <v>52</v>
      </c>
      <c r="K7263" s="28" t="s">
        <v>52</v>
      </c>
      <c r="L7263" s="28" t="s">
        <v>52</v>
      </c>
      <c r="M7263" s="28" t="s">
        <v>52</v>
      </c>
      <c r="N7263" s="28" t="s">
        <v>52</v>
      </c>
    </row>
    <row r="7264" spans="1:14" x14ac:dyDescent="0.15">
      <c r="A7264" s="23" t="str">
        <f>HYPERLINK("https://www.spark-marketing.ru/Card/Person/6450322", "ЗАКАЗЧИК РП БЕЛАРУСЬ")</f>
        <v>ЗАКАЗЧИК РП БЕЛАРУСЬ</v>
      </c>
      <c r="B7264" s="28" t="s">
        <v>52</v>
      </c>
      <c r="C7264" s="25">
        <v>874629.21200000006</v>
      </c>
      <c r="D7264" s="22" t="s">
        <v>9359</v>
      </c>
      <c r="E7264" s="22" t="s">
        <v>53</v>
      </c>
      <c r="F7264" s="23" t="str">
        <f>HYPERLINK("https://www.spark-marketing.ru/Card/Lot/70962023", "Видеопроекторы")</f>
        <v>Видеопроекторы</v>
      </c>
      <c r="G7264" s="22" t="s">
        <v>52</v>
      </c>
      <c r="H7264" s="22" t="s">
        <v>52</v>
      </c>
      <c r="I7264" s="26">
        <v>43615</v>
      </c>
      <c r="J7264" s="28" t="s">
        <v>52</v>
      </c>
      <c r="K7264" s="28" t="s">
        <v>52</v>
      </c>
      <c r="L7264" s="28" t="s">
        <v>52</v>
      </c>
      <c r="M7264" s="28" t="s">
        <v>52</v>
      </c>
      <c r="N7264" s="28" t="s">
        <v>52</v>
      </c>
    </row>
    <row r="7265" spans="1:14" x14ac:dyDescent="0.15">
      <c r="A7265" s="23" t="str">
        <f>HYPERLINK("https://www.spark-marketing.ru/Card/Person/474065", "ПАО ""БОГУЧАНСКАЯ ГЭС""")</f>
        <v>ПАО "БОГУЧАНСКАЯ ГЭС"</v>
      </c>
      <c r="B7265" s="24" t="s">
        <v>9360</v>
      </c>
      <c r="C7265" s="28" t="s">
        <v>52</v>
      </c>
      <c r="D7265" s="28" t="s">
        <v>52</v>
      </c>
      <c r="E7265" s="22" t="s">
        <v>53</v>
      </c>
      <c r="F7265" s="23" t="str">
        <f>HYPERLINK("https://www.spark-marketing.ru/Card/Lot/70959800", "Уважаемые господа! Организатор конкурса ПАО «Богучанская ГЭС» объявляет процедуру переторжки по лоту: - № БЗ-001 «Охрана объектов ПАО «Богучанская ГЭС» (КПП) 2019-2020 гг.»")</f>
        <v>Уважаемые господа! Организатор конкурса ПАО «Богучанская ГЭС» объявляет процедуру переторжки по лоту: - № БЗ-001 «Охрана объектов ПАО «Богучанская ГЭС» (КПП) 2019-2020 гг.»</v>
      </c>
      <c r="G7265" s="22" t="s">
        <v>640</v>
      </c>
      <c r="H7265" s="22" t="s">
        <v>8233</v>
      </c>
      <c r="I7265" s="26">
        <v>43615</v>
      </c>
      <c r="J7265" s="28" t="s">
        <v>52</v>
      </c>
      <c r="K7265" s="28" t="s">
        <v>52</v>
      </c>
      <c r="L7265" s="28" t="s">
        <v>52</v>
      </c>
      <c r="M7265" s="28" t="s">
        <v>52</v>
      </c>
      <c r="N7265" s="28" t="s">
        <v>52</v>
      </c>
    </row>
    <row r="7266" spans="1:14" x14ac:dyDescent="0.15">
      <c r="A7266" s="23" t="str">
        <f>HYPERLINK("https://www.spark-marketing.ru/Card/Person/474065", "ПАО ""БОГУЧАНСКАЯ ГЭС""")</f>
        <v>ПАО "БОГУЧАНСКАЯ ГЭС"</v>
      </c>
      <c r="B7266" s="24" t="s">
        <v>9360</v>
      </c>
      <c r="C7266" s="28" t="s">
        <v>52</v>
      </c>
      <c r="D7266" s="28" t="s">
        <v>52</v>
      </c>
      <c r="E7266" s="22" t="s">
        <v>53</v>
      </c>
      <c r="F7266" s="23" t="str">
        <f>HYPERLINK("https://www.spark-marketing.ru/Card/Lot/73317356", "Уважаемые господа! Организатор конкурса ПАО «Богучанская ГЭС» объявляет процедуру переторжки по лоту: - № БЗ-001 «Охрана объектов ПАО «Богучанская ГЭС» (КПП) 2019-2020 гг.»")</f>
        <v>Уважаемые господа! Организатор конкурса ПАО «Богучанская ГЭС» объявляет процедуру переторжки по лоту: - № БЗ-001 «Охрана объектов ПАО «Богучанская ГЭС» (КПП) 2019-2020 гг.»</v>
      </c>
      <c r="G7266" s="22" t="s">
        <v>640</v>
      </c>
      <c r="H7266" s="22" t="s">
        <v>8233</v>
      </c>
      <c r="I7266" s="26">
        <v>43615</v>
      </c>
      <c r="J7266" s="28" t="s">
        <v>52</v>
      </c>
      <c r="K7266" s="28" t="s">
        <v>52</v>
      </c>
      <c r="L7266" s="28" t="s">
        <v>52</v>
      </c>
      <c r="M7266" s="28" t="s">
        <v>52</v>
      </c>
      <c r="N7266" s="28" t="s">
        <v>52</v>
      </c>
    </row>
    <row r="7267" spans="1:14" x14ac:dyDescent="0.15">
      <c r="A7267" s="23" t="str">
        <f>HYPERLINK("https://www.spark-marketing.ru/Card/Person/474065", "ПАО ""БОГУЧАНСКАЯ ГЭС""")</f>
        <v>ПАО "БОГУЧАНСКАЯ ГЭС"</v>
      </c>
      <c r="B7267" s="24" t="s">
        <v>9360</v>
      </c>
      <c r="C7267" s="28" t="s">
        <v>52</v>
      </c>
      <c r="D7267" s="28" t="s">
        <v>52</v>
      </c>
      <c r="E7267" s="22" t="s">
        <v>53</v>
      </c>
      <c r="F7267" s="23" t="str">
        <f>HYPERLINK("https://www.spark-marketing.ru/Card/Lot/70959797", "Уважаемые господа! Организатор конкурса ПАО «Богучанская ГЭС» объявляет процедуру переторжки по лоту: - № БЗ-003 «Охрана объектов ПАО ""Богучанская ГЭС""(склады, базы, АБК) 2019-2020 гг.»")</f>
        <v>Уважаемые господа! Организатор конкурса ПАО «Богучанская ГЭС» объявляет процедуру переторжки по лоту: - № БЗ-003 «Охрана объектов ПАО "Богучанская ГЭС"(склады, базы, АБК) 2019-2020 гг.»</v>
      </c>
      <c r="G7267" s="22" t="s">
        <v>640</v>
      </c>
      <c r="H7267" s="22" t="s">
        <v>8233</v>
      </c>
      <c r="I7267" s="26">
        <v>43615</v>
      </c>
      <c r="J7267" s="28" t="s">
        <v>52</v>
      </c>
      <c r="K7267" s="28" t="s">
        <v>52</v>
      </c>
      <c r="L7267" s="28" t="s">
        <v>52</v>
      </c>
      <c r="M7267" s="28" t="s">
        <v>52</v>
      </c>
      <c r="N7267" s="28" t="s">
        <v>52</v>
      </c>
    </row>
    <row r="7268" spans="1:14" x14ac:dyDescent="0.15">
      <c r="A7268" s="23" t="str">
        <f>HYPERLINK("https://www.spark-marketing.ru/Card/Person/4346324", "ПАО ""ФСК ЕЭС""")</f>
        <v>ПАО "ФСК ЕЭС"</v>
      </c>
      <c r="B7268" s="24" t="s">
        <v>361</v>
      </c>
      <c r="C7268" s="25">
        <v>31223000</v>
      </c>
      <c r="D7268" s="22" t="s">
        <v>9361</v>
      </c>
      <c r="E7268" s="22" t="s">
        <v>9362</v>
      </c>
      <c r="F7268" s="23" t="str">
        <f>HYPERLINK("https://www.spark-marketing.ru/Card/Lot/70967496", "Приобретение жилых объектов и услуг по сопровождению сделокпо приобретению жилых объектов")</f>
        <v>Приобретение жилых объектов и услуг по сопровождению сделокпо приобретению жилых объектов</v>
      </c>
      <c r="G7268" s="22" t="s">
        <v>893</v>
      </c>
      <c r="H7268" s="22" t="s">
        <v>893</v>
      </c>
      <c r="I7268" s="26">
        <v>43615.520810185197</v>
      </c>
      <c r="J7268" s="28" t="s">
        <v>52</v>
      </c>
      <c r="K7268" s="28" t="s">
        <v>52</v>
      </c>
      <c r="L7268" s="28" t="s">
        <v>52</v>
      </c>
      <c r="M7268" s="28" t="s">
        <v>52</v>
      </c>
      <c r="N7268" s="28" t="s">
        <v>52</v>
      </c>
    </row>
    <row r="7269" spans="1:14" x14ac:dyDescent="0.15">
      <c r="A7269" s="23" t="str">
        <f>HYPERLINK("https://www.spark-marketing.ru/Card/Person/6450322", "ЗАКАЗЧИК РП БЕЛАРУСЬ")</f>
        <v>ЗАКАЗЧИК РП БЕЛАРУСЬ</v>
      </c>
      <c r="B7269" s="28" t="s">
        <v>52</v>
      </c>
      <c r="C7269" s="25">
        <v>124151.9532</v>
      </c>
      <c r="D7269" s="22" t="s">
        <v>9359</v>
      </c>
      <c r="E7269" s="22" t="s">
        <v>53</v>
      </c>
      <c r="F7269" s="23" t="str">
        <f>HYPERLINK("https://www.spark-marketing.ru/Card/Lot/70962025", "Оборудование для ухода за полами")</f>
        <v>Оборудование для ухода за полами</v>
      </c>
      <c r="G7269" s="22" t="s">
        <v>52</v>
      </c>
      <c r="H7269" s="22" t="s">
        <v>52</v>
      </c>
      <c r="I7269" s="26">
        <v>43615</v>
      </c>
      <c r="J7269" s="28" t="s">
        <v>52</v>
      </c>
      <c r="K7269" s="28" t="s">
        <v>52</v>
      </c>
      <c r="L7269" s="28" t="s">
        <v>52</v>
      </c>
      <c r="M7269" s="28" t="s">
        <v>52</v>
      </c>
      <c r="N7269" s="28" t="s">
        <v>52</v>
      </c>
    </row>
    <row r="7270" spans="1:14" x14ac:dyDescent="0.15">
      <c r="A7270" s="23" t="str">
        <f>HYPERLINK("https://www.spark-marketing.ru/Card/Person/6450322", "ЗАКАЗЧИК РП БЕЛАРУСЬ")</f>
        <v>ЗАКАЗЧИК РП БЕЛАРУСЬ</v>
      </c>
      <c r="B7270" s="28" t="s">
        <v>52</v>
      </c>
      <c r="C7270" s="25">
        <v>68247.817999999999</v>
      </c>
      <c r="D7270" s="22" t="s">
        <v>9359</v>
      </c>
      <c r="E7270" s="22" t="s">
        <v>53</v>
      </c>
      <c r="F7270" s="23" t="str">
        <f>HYPERLINK("https://www.spark-marketing.ru/Card/Lot/70962028", "Кухонное оборудование")</f>
        <v>Кухонное оборудование</v>
      </c>
      <c r="G7270" s="22" t="s">
        <v>52</v>
      </c>
      <c r="H7270" s="22" t="s">
        <v>52</v>
      </c>
      <c r="I7270" s="26">
        <v>43615</v>
      </c>
      <c r="J7270" s="28" t="s">
        <v>52</v>
      </c>
      <c r="K7270" s="28" t="s">
        <v>52</v>
      </c>
      <c r="L7270" s="28" t="s">
        <v>52</v>
      </c>
      <c r="M7270" s="28" t="s">
        <v>52</v>
      </c>
      <c r="N7270" s="28" t="s">
        <v>52</v>
      </c>
    </row>
    <row r="7271" spans="1:14" x14ac:dyDescent="0.15">
      <c r="A7271" s="23" t="str">
        <f>HYPERLINK("https://www.spark-marketing.ru/Card/Person/130109", "ПАО БАНК ""ФК ОТКРЫТИЕ""")</f>
        <v>ПАО БАНК "ФК ОТКРЫТИЕ"</v>
      </c>
      <c r="B7271" s="24" t="s">
        <v>693</v>
      </c>
      <c r="C7271" s="25">
        <v>0</v>
      </c>
      <c r="D7271" s="22" t="s">
        <v>9363</v>
      </c>
      <c r="E7271" s="22" t="s">
        <v>53</v>
      </c>
      <c r="F7271" s="23" t="str">
        <f>HYPERLINK("https://www.spark-marketing.ru/Card/Lot/70981264", "Оказание услуг физической охраны объекта Банка ""ФК Открытие"" в г. Самара, ул. Фрунзе, д.100 Просим предоставить ценовую информацию в соответствии с данным запросом и Техническим заданием по приложенной форме Коммерческого предложения. Из ответа на ...")</f>
        <v>Оказание услуг физической охраны объекта Банка "ФК Открытие" в г. Самара, ул. Фрунзе, д.100 Просим предоставить ценовую информацию в соответствии с данным запросом и Техническим заданием по приложенной форме Коммерческого предложения. Из ответа на ...</v>
      </c>
      <c r="G7271" s="22" t="s">
        <v>55</v>
      </c>
      <c r="H7271" s="22" t="s">
        <v>55</v>
      </c>
      <c r="I7271" s="26">
        <v>43615</v>
      </c>
      <c r="J7271" s="28" t="s">
        <v>52</v>
      </c>
      <c r="K7271" s="28" t="s">
        <v>52</v>
      </c>
      <c r="L7271" s="28" t="s">
        <v>52</v>
      </c>
      <c r="M7271" s="28" t="s">
        <v>52</v>
      </c>
      <c r="N7271" s="28" t="s">
        <v>52</v>
      </c>
    </row>
    <row r="7272" spans="1:14" x14ac:dyDescent="0.15">
      <c r="A7272" s="23" t="str">
        <f>HYPERLINK("https://www.spark-marketing.ru/Card/Person/6450322", "ЗАКАЗЧИК РП БЕЛАРУСЬ")</f>
        <v>ЗАКАЗЧИК РП БЕЛАРУСЬ</v>
      </c>
      <c r="B7272" s="28" t="s">
        <v>52</v>
      </c>
      <c r="C7272" s="25">
        <v>2185795.7200000002</v>
      </c>
      <c r="D7272" s="22" t="s">
        <v>9359</v>
      </c>
      <c r="E7272" s="22" t="s">
        <v>53</v>
      </c>
      <c r="F7272" s="23" t="str">
        <f>HYPERLINK("https://www.spark-marketing.ru/Card/Lot/70962019", "Рентгенотелевизионная установка")</f>
        <v>Рентгенотелевизионная установка</v>
      </c>
      <c r="G7272" s="22" t="s">
        <v>52</v>
      </c>
      <c r="H7272" s="22" t="s">
        <v>52</v>
      </c>
      <c r="I7272" s="26">
        <v>43615</v>
      </c>
      <c r="J7272" s="28" t="s">
        <v>52</v>
      </c>
      <c r="K7272" s="28" t="s">
        <v>52</v>
      </c>
      <c r="L7272" s="28" t="s">
        <v>52</v>
      </c>
      <c r="M7272" s="28" t="s">
        <v>52</v>
      </c>
      <c r="N7272" s="28" t="s">
        <v>52</v>
      </c>
    </row>
    <row r="7273" spans="1:14" x14ac:dyDescent="0.15">
      <c r="A7273" s="23" t="str">
        <f>HYPERLINK("https://www.spark-marketing.ru/Card/Person/474065", "ПАО ""БОГУЧАНСКАЯ ГЭС""")</f>
        <v>ПАО "БОГУЧАНСКАЯ ГЭС"</v>
      </c>
      <c r="B7273" s="24" t="s">
        <v>9360</v>
      </c>
      <c r="C7273" s="28" t="s">
        <v>52</v>
      </c>
      <c r="D7273" s="28" t="s">
        <v>52</v>
      </c>
      <c r="E7273" s="22" t="s">
        <v>53</v>
      </c>
      <c r="F7273" s="23" t="str">
        <f>HYPERLINK("https://www.spark-marketing.ru/Card/Lot/70955305", "Уважаемые господа! Организатор конкурса ПАО «Богучанская ГЭС» объявляет процедуру переторжки по лоту: - № БЗ-002 «Охрана объектов ПАО «Богучанская ГЭС» (автопатруль) 2019-2020 гг.»")</f>
        <v>Уважаемые господа! Организатор конкурса ПАО «Богучанская ГЭС» объявляет процедуру переторжки по лоту: - № БЗ-002 «Охрана объектов ПАО «Богучанская ГЭС» (автопатруль) 2019-2020 гг.»</v>
      </c>
      <c r="G7273" s="22" t="s">
        <v>640</v>
      </c>
      <c r="H7273" s="22" t="s">
        <v>8233</v>
      </c>
      <c r="I7273" s="26">
        <v>43615</v>
      </c>
      <c r="J7273" s="28" t="s">
        <v>52</v>
      </c>
      <c r="K7273" s="28" t="s">
        <v>52</v>
      </c>
      <c r="L7273" s="28" t="s">
        <v>52</v>
      </c>
      <c r="M7273" s="28" t="s">
        <v>52</v>
      </c>
      <c r="N7273" s="28" t="s">
        <v>52</v>
      </c>
    </row>
    <row r="7274" spans="1:14" x14ac:dyDescent="0.15">
      <c r="A7274" s="23" t="str">
        <f>HYPERLINK("https://www.spark-marketing.ru/Card/Person/474065", "ПАО ""БОГУЧАНСКАЯ ГЭС""")</f>
        <v>ПАО "БОГУЧАНСКАЯ ГЭС"</v>
      </c>
      <c r="B7274" s="24" t="s">
        <v>9360</v>
      </c>
      <c r="C7274" s="28" t="s">
        <v>52</v>
      </c>
      <c r="D7274" s="28" t="s">
        <v>52</v>
      </c>
      <c r="E7274" s="22" t="s">
        <v>53</v>
      </c>
      <c r="F7274" s="23" t="str">
        <f>HYPERLINK("https://www.spark-marketing.ru/Card/Lot/73317357", "Уважаемые господа! Организатор конкурса ПАО «Богучанская ГЭС» объявляет процедуру переторжки по лоту: - № БЗ-002 «Охрана объектов ПАО «Богучанская ГЭС» (автопатруль) 2019-2020 гг.»")</f>
        <v>Уважаемые господа! Организатор конкурса ПАО «Богучанская ГЭС» объявляет процедуру переторжки по лоту: - № БЗ-002 «Охрана объектов ПАО «Богучанская ГЭС» (автопатруль) 2019-2020 гг.»</v>
      </c>
      <c r="G7274" s="22" t="s">
        <v>640</v>
      </c>
      <c r="H7274" s="22" t="s">
        <v>8233</v>
      </c>
      <c r="I7274" s="26">
        <v>43615</v>
      </c>
      <c r="J7274" s="28" t="s">
        <v>52</v>
      </c>
      <c r="K7274" s="28" t="s">
        <v>52</v>
      </c>
      <c r="L7274" s="28" t="s">
        <v>52</v>
      </c>
      <c r="M7274" s="28" t="s">
        <v>52</v>
      </c>
      <c r="N7274" s="28" t="s">
        <v>52</v>
      </c>
    </row>
    <row r="7275" spans="1:14" x14ac:dyDescent="0.15">
      <c r="A7275" s="23" t="str">
        <f>HYPERLINK("https://www.spark-marketing.ru/Card/Person/6710800", "ФЛ КРАСНОДАР БУРЕНИЕ ООО ГАЗПРОМ БУРЕНИЕ")</f>
        <v>ФЛ КРАСНОДАР БУРЕНИЕ ООО ГАЗПРОМ БУРЕНИЕ</v>
      </c>
      <c r="B7275" s="28" t="s">
        <v>52</v>
      </c>
      <c r="C7275" s="28" t="s">
        <v>52</v>
      </c>
      <c r="D7275" s="22" t="s">
        <v>9364</v>
      </c>
      <c r="E7275" s="22" t="s">
        <v>53</v>
      </c>
      <c r="F7275" s="23" t="str">
        <f>HYPERLINK("https://www.spark-marketing.ru/Card/Lot/73978810", "Оказание услуг по охране объектов ЧНГКМ")</f>
        <v>Оказание услуг по охране объектов ЧНГКМ</v>
      </c>
      <c r="G7275" s="22" t="s">
        <v>52</v>
      </c>
      <c r="H7275" s="22" t="s">
        <v>52</v>
      </c>
      <c r="I7275" s="26">
        <v>43615</v>
      </c>
      <c r="J7275" s="28" t="s">
        <v>52</v>
      </c>
      <c r="K7275" s="28" t="s">
        <v>52</v>
      </c>
      <c r="L7275" s="28" t="s">
        <v>52</v>
      </c>
      <c r="M7275" s="28" t="s">
        <v>52</v>
      </c>
      <c r="N7275" s="28" t="s">
        <v>52</v>
      </c>
    </row>
    <row r="7276" spans="1:14" x14ac:dyDescent="0.15">
      <c r="A7276" s="23" t="str">
        <f>HYPERLINK("https://www.spark-marketing.ru/Card/Person/6450322", "ЗАКАЗЧИК РП БЕЛАРУСЬ")</f>
        <v>ЗАКАЗЧИК РП БЕЛАРУСЬ</v>
      </c>
      <c r="B7276" s="28" t="s">
        <v>52</v>
      </c>
      <c r="C7276" s="25">
        <v>507427.96799999999</v>
      </c>
      <c r="D7276" s="22" t="s">
        <v>9359</v>
      </c>
      <c r="E7276" s="22" t="s">
        <v>53</v>
      </c>
      <c r="F7276" s="23" t="str">
        <f>HYPERLINK("https://www.spark-marketing.ru/Card/Lot/70962020", "Газоанализатор")</f>
        <v>Газоанализатор</v>
      </c>
      <c r="G7276" s="22" t="s">
        <v>52</v>
      </c>
      <c r="H7276" s="22" t="s">
        <v>52</v>
      </c>
      <c r="I7276" s="26">
        <v>43615</v>
      </c>
      <c r="J7276" s="28" t="s">
        <v>52</v>
      </c>
      <c r="K7276" s="28" t="s">
        <v>52</v>
      </c>
      <c r="L7276" s="28" t="s">
        <v>52</v>
      </c>
      <c r="M7276" s="28" t="s">
        <v>52</v>
      </c>
      <c r="N7276" s="28" t="s">
        <v>52</v>
      </c>
    </row>
    <row r="7277" spans="1:14" x14ac:dyDescent="0.15">
      <c r="A7277" s="23" t="str">
        <f>HYPERLINK("https://www.spark-marketing.ru/Card/Person/6450322", "ЗАКАЗЧИК РП БЕЛАРУСЬ")</f>
        <v>ЗАКАЗЧИК РП БЕЛАРУСЬ</v>
      </c>
      <c r="B7277" s="28" t="s">
        <v>52</v>
      </c>
      <c r="C7277" s="25">
        <v>584226.196</v>
      </c>
      <c r="D7277" s="22" t="s">
        <v>9359</v>
      </c>
      <c r="E7277" s="22" t="s">
        <v>53</v>
      </c>
      <c r="F7277" s="23" t="str">
        <f>HYPERLINK("https://www.spark-marketing.ru/Card/Lot/70962031", "Телевизионное оборудование")</f>
        <v>Телевизионное оборудование</v>
      </c>
      <c r="G7277" s="22" t="s">
        <v>52</v>
      </c>
      <c r="H7277" s="22" t="s">
        <v>52</v>
      </c>
      <c r="I7277" s="26">
        <v>43615</v>
      </c>
      <c r="J7277" s="28" t="s">
        <v>52</v>
      </c>
      <c r="K7277" s="28" t="s">
        <v>52</v>
      </c>
      <c r="L7277" s="28" t="s">
        <v>52</v>
      </c>
      <c r="M7277" s="28" t="s">
        <v>52</v>
      </c>
      <c r="N7277" s="28" t="s">
        <v>52</v>
      </c>
    </row>
    <row r="7278" spans="1:14" x14ac:dyDescent="0.15">
      <c r="A7278" s="23" t="str">
        <f>HYPERLINK("https://www.spark-marketing.ru/Card/Person/6450322", "ЗАКАЗЧИК РП БЕЛАРУСЬ")</f>
        <v>ЗАКАЗЧИК РП БЕЛАРУСЬ</v>
      </c>
      <c r="B7278" s="28" t="s">
        <v>52</v>
      </c>
      <c r="C7278" s="25">
        <v>114730.95600000001</v>
      </c>
      <c r="D7278" s="22" t="s">
        <v>9359</v>
      </c>
      <c r="E7278" s="22" t="s">
        <v>53</v>
      </c>
      <c r="F7278" s="23" t="str">
        <f>HYPERLINK("https://www.spark-marketing.ru/Card/Lot/70962021", "Металлообнаружитель")</f>
        <v>Металлообнаружитель</v>
      </c>
      <c r="G7278" s="22" t="s">
        <v>52</v>
      </c>
      <c r="H7278" s="22" t="s">
        <v>52</v>
      </c>
      <c r="I7278" s="26">
        <v>43615</v>
      </c>
      <c r="J7278" s="28" t="s">
        <v>52</v>
      </c>
      <c r="K7278" s="28" t="s">
        <v>52</v>
      </c>
      <c r="L7278" s="28" t="s">
        <v>52</v>
      </c>
      <c r="M7278" s="28" t="s">
        <v>52</v>
      </c>
      <c r="N7278" s="28" t="s">
        <v>52</v>
      </c>
    </row>
    <row r="7279" spans="1:14" x14ac:dyDescent="0.15">
      <c r="A7279" s="23" t="str">
        <f>HYPERLINK("https://www.spark-marketing.ru/Card/Person/6450322", "ЗАКАЗЧИК РП БЕЛАРУСЬ")</f>
        <v>ЗАКАЗЧИК РП БЕЛАРУСЬ</v>
      </c>
      <c r="B7279" s="28" t="s">
        <v>52</v>
      </c>
      <c r="C7279" s="25">
        <v>81151.164000000004</v>
      </c>
      <c r="D7279" s="22" t="s">
        <v>9359</v>
      </c>
      <c r="E7279" s="22" t="s">
        <v>53</v>
      </c>
      <c r="F7279" s="23" t="str">
        <f>HYPERLINK("https://www.spark-marketing.ru/Card/Lot/70962030", "Весы электронные")</f>
        <v>Весы электронные</v>
      </c>
      <c r="G7279" s="22" t="s">
        <v>52</v>
      </c>
      <c r="H7279" s="22" t="s">
        <v>52</v>
      </c>
      <c r="I7279" s="26">
        <v>43615</v>
      </c>
      <c r="J7279" s="28" t="s">
        <v>52</v>
      </c>
      <c r="K7279" s="28" t="s">
        <v>52</v>
      </c>
      <c r="L7279" s="28" t="s">
        <v>52</v>
      </c>
      <c r="M7279" s="28" t="s">
        <v>52</v>
      </c>
      <c r="N7279" s="28" t="s">
        <v>52</v>
      </c>
    </row>
    <row r="7280" spans="1:14" x14ac:dyDescent="0.15">
      <c r="A7280" s="23" t="str">
        <f>HYPERLINK("https://www.spark-marketing.ru/Card/Person/6450322", "ЗАКАЗЧИК РП БЕЛАРУСЬ")</f>
        <v>ЗАКАЗЧИК РП БЕЛАРУСЬ</v>
      </c>
      <c r="B7280" s="28" t="s">
        <v>52</v>
      </c>
      <c r="C7280" s="25">
        <v>24003.3328</v>
      </c>
      <c r="D7280" s="22" t="s">
        <v>9359</v>
      </c>
      <c r="E7280" s="22" t="s">
        <v>53</v>
      </c>
      <c r="F7280" s="23" t="str">
        <f>HYPERLINK("https://www.spark-marketing.ru/Card/Lot/70962026", "Кассовое оборудование")</f>
        <v>Кассовое оборудование</v>
      </c>
      <c r="G7280" s="22" t="s">
        <v>52</v>
      </c>
      <c r="H7280" s="22" t="s">
        <v>52</v>
      </c>
      <c r="I7280" s="26">
        <v>43615</v>
      </c>
      <c r="J7280" s="28" t="s">
        <v>52</v>
      </c>
      <c r="K7280" s="28" t="s">
        <v>52</v>
      </c>
      <c r="L7280" s="28" t="s">
        <v>52</v>
      </c>
      <c r="M7280" s="28" t="s">
        <v>52</v>
      </c>
      <c r="N7280" s="28" t="s">
        <v>52</v>
      </c>
    </row>
    <row r="7281" spans="1:14" x14ac:dyDescent="0.15">
      <c r="A7281" s="23" t="str">
        <f>HYPERLINK("https://www.spark-marketing.ru/Card/Person/474065", "ПАО ""БОГУЧАНСКАЯ ГЭС""")</f>
        <v>ПАО "БОГУЧАНСКАЯ ГЭС"</v>
      </c>
      <c r="B7281" s="24" t="s">
        <v>9360</v>
      </c>
      <c r="C7281" s="28" t="s">
        <v>52</v>
      </c>
      <c r="D7281" s="28" t="s">
        <v>52</v>
      </c>
      <c r="E7281" s="22" t="s">
        <v>53</v>
      </c>
      <c r="F7281" s="23" t="str">
        <f>HYPERLINK("https://www.spark-marketing.ru/Card/Lot/73317355", "Уважаемые господа! Организатор конкурса ПАО «Богучанская ГЭС» объявляет процедуру переторжки по лоту: - № БЗ-003 «Охрана объектов ПАО ""Богучанская ГЭС""(склады, базы, АБК) 2019-2020 гг.»")</f>
        <v>Уважаемые господа! Организатор конкурса ПАО «Богучанская ГЭС» объявляет процедуру переторжки по лоту: - № БЗ-003 «Охрана объектов ПАО "Богучанская ГЭС"(склады, базы, АБК) 2019-2020 гг.»</v>
      </c>
      <c r="G7281" s="22" t="s">
        <v>640</v>
      </c>
      <c r="H7281" s="22" t="s">
        <v>8233</v>
      </c>
      <c r="I7281" s="26">
        <v>43615</v>
      </c>
      <c r="J7281" s="28" t="s">
        <v>52</v>
      </c>
      <c r="K7281" s="28" t="s">
        <v>52</v>
      </c>
      <c r="L7281" s="28" t="s">
        <v>52</v>
      </c>
      <c r="M7281" s="28" t="s">
        <v>52</v>
      </c>
      <c r="N7281" s="28" t="s">
        <v>52</v>
      </c>
    </row>
    <row r="7282" spans="1:14" x14ac:dyDescent="0.15">
      <c r="A7282" s="23" t="str">
        <f>HYPERLINK("https://www.spark-marketing.ru/Card/Person/6450322", "ЗАКАЗЧИК РП БЕЛАРУСЬ")</f>
        <v>ЗАКАЗЧИК РП БЕЛАРУСЬ</v>
      </c>
      <c r="B7282" s="28" t="s">
        <v>52</v>
      </c>
      <c r="C7282" s="25">
        <v>53261.281199999998</v>
      </c>
      <c r="D7282" s="22" t="s">
        <v>9359</v>
      </c>
      <c r="E7282" s="22" t="s">
        <v>53</v>
      </c>
      <c r="F7282" s="23" t="str">
        <f>HYPERLINK("https://www.spark-marketing.ru/Card/Lot/70962027", "Оборудование сауны")</f>
        <v>Оборудование сауны</v>
      </c>
      <c r="G7282" s="22" t="s">
        <v>52</v>
      </c>
      <c r="H7282" s="22" t="s">
        <v>52</v>
      </c>
      <c r="I7282" s="26">
        <v>43615</v>
      </c>
      <c r="J7282" s="28" t="s">
        <v>52</v>
      </c>
      <c r="K7282" s="28" t="s">
        <v>52</v>
      </c>
      <c r="L7282" s="28" t="s">
        <v>52</v>
      </c>
      <c r="M7282" s="28" t="s">
        <v>52</v>
      </c>
      <c r="N7282" s="28" t="s">
        <v>52</v>
      </c>
    </row>
    <row r="7283" spans="1:14" x14ac:dyDescent="0.15">
      <c r="A7283" s="23" t="str">
        <f>HYPERLINK("https://www.spark-marketing.ru/Card/Person/6450322", "ЗАКАЗЧИК РП БЕЛАРУСЬ")</f>
        <v>ЗАКАЗЧИК РП БЕЛАРУСЬ</v>
      </c>
      <c r="B7283" s="28" t="s">
        <v>52</v>
      </c>
      <c r="C7283" s="25">
        <v>468873.39199999999</v>
      </c>
      <c r="D7283" s="22" t="s">
        <v>9359</v>
      </c>
      <c r="E7283" s="22" t="s">
        <v>53</v>
      </c>
      <c r="F7283" s="23" t="str">
        <f>HYPERLINK("https://www.spark-marketing.ru/Card/Lot/70962029", "Сушильное оборудование")</f>
        <v>Сушильное оборудование</v>
      </c>
      <c r="G7283" s="22" t="s">
        <v>52</v>
      </c>
      <c r="H7283" s="22" t="s">
        <v>52</v>
      </c>
      <c r="I7283" s="26">
        <v>43615</v>
      </c>
      <c r="J7283" s="28" t="s">
        <v>52</v>
      </c>
      <c r="K7283" s="28" t="s">
        <v>52</v>
      </c>
      <c r="L7283" s="28" t="s">
        <v>52</v>
      </c>
      <c r="M7283" s="28" t="s">
        <v>52</v>
      </c>
      <c r="N7283" s="28" t="s">
        <v>52</v>
      </c>
    </row>
    <row r="7284" spans="1:14" x14ac:dyDescent="0.15">
      <c r="A7284" s="23" t="str">
        <f>HYPERLINK("https://www.spark-marketing.ru/Card/Person/6450322", "ЗАКАЗЧИК РП БЕЛАРУСЬ")</f>
        <v>ЗАКАЗЧИК РП БЕЛАРУСЬ</v>
      </c>
      <c r="B7284" s="28" t="s">
        <v>52</v>
      </c>
      <c r="C7284" s="25">
        <v>88333.508400000006</v>
      </c>
      <c r="D7284" s="22" t="s">
        <v>9359</v>
      </c>
      <c r="E7284" s="22" t="s">
        <v>53</v>
      </c>
      <c r="F7284" s="23" t="str">
        <f>HYPERLINK("https://www.spark-marketing.ru/Card/Lot/70962024", "Швейное оборудование")</f>
        <v>Швейное оборудование</v>
      </c>
      <c r="G7284" s="22" t="s">
        <v>52</v>
      </c>
      <c r="H7284" s="22" t="s">
        <v>52</v>
      </c>
      <c r="I7284" s="26">
        <v>43615</v>
      </c>
      <c r="J7284" s="28" t="s">
        <v>52</v>
      </c>
      <c r="K7284" s="28" t="s">
        <v>52</v>
      </c>
      <c r="L7284" s="28" t="s">
        <v>52</v>
      </c>
      <c r="M7284" s="28" t="s">
        <v>52</v>
      </c>
      <c r="N7284" s="28" t="s">
        <v>52</v>
      </c>
    </row>
    <row r="7285" spans="1:14" x14ac:dyDescent="0.15">
      <c r="A7285" s="23" t="str">
        <f>HYPERLINK("https://www.spark-marketing.ru/Card/Person/300946", "ГАУК КО ""КАЛУЖСКАЯ ОБЛАСТНАЯ ФИЛАРМОНИЯ""")</f>
        <v>ГАУК КО "КАЛУЖСКАЯ ОБЛАСТНАЯ ФИЛАРМОНИЯ"</v>
      </c>
      <c r="B7285" s="24" t="s">
        <v>9365</v>
      </c>
      <c r="C7285" s="25">
        <v>168000</v>
      </c>
      <c r="D7285" s="22" t="s">
        <v>9366</v>
      </c>
      <c r="E7285" s="22" t="s">
        <v>137</v>
      </c>
      <c r="F7285" s="23" t="str">
        <f>HYPERLINK("https://www.spark-marketing.ru/Card/Lot/70932790", "Ежемесячное техническое обслуживание комплекса средств охраны и видеонаблюдения для объекта ""Ансамбль Гостиного двора, 1784г.""")</f>
        <v>Ежемесячное техническое обслуживание комплекса средств охраны и видеонаблюдения для объекта "Ансамбль Гостиного двора, 1784г."</v>
      </c>
      <c r="G7285" s="22" t="s">
        <v>658</v>
      </c>
      <c r="H7285" s="22" t="s">
        <v>658</v>
      </c>
      <c r="I7285" s="26">
        <v>43614.761597222197</v>
      </c>
      <c r="J7285" s="28" t="s">
        <v>52</v>
      </c>
      <c r="K7285" s="28" t="s">
        <v>52</v>
      </c>
      <c r="L7285" s="28" t="s">
        <v>52</v>
      </c>
      <c r="M7285" s="28" t="s">
        <v>52</v>
      </c>
      <c r="N7285" s="28" t="s">
        <v>52</v>
      </c>
    </row>
    <row r="7286" spans="1:14" x14ac:dyDescent="0.15">
      <c r="A7286" s="23" t="str">
        <f>HYPERLINK("https://www.spark-marketing.ru/Card/Person/1009433", "МО МВД РОССИИ ""ЛИВЕНСКИЙ""")</f>
        <v>МО МВД РОССИИ "ЛИВЕНСКИЙ"</v>
      </c>
      <c r="B7286" s="24" t="s">
        <v>9268</v>
      </c>
      <c r="C7286" s="25">
        <v>29280.3</v>
      </c>
      <c r="D7286" s="22" t="s">
        <v>9367</v>
      </c>
      <c r="E7286" s="22" t="s">
        <v>53</v>
      </c>
      <c r="F7286" s="23" t="str">
        <f>HYPERLINK("https://www.spark-marketing.ru/Card/Lot/70928789", "Охрана объектов, на которые частная охранная деятельность не распространяется, 1 усл. ед")</f>
        <v>Охрана объектов, на которые частная охранная деятельность не распространяется, 1 усл. ед</v>
      </c>
      <c r="G7286" s="22" t="s">
        <v>492</v>
      </c>
      <c r="H7286" s="22" t="s">
        <v>9270</v>
      </c>
      <c r="I7286" s="26">
        <v>43614.7355902778</v>
      </c>
      <c r="J7286" s="28" t="s">
        <v>52</v>
      </c>
      <c r="K7286" s="28" t="s">
        <v>52</v>
      </c>
      <c r="L7286" s="28" t="s">
        <v>52</v>
      </c>
      <c r="M7286" s="28" t="s">
        <v>52</v>
      </c>
      <c r="N7286" s="28" t="s">
        <v>52</v>
      </c>
    </row>
    <row r="7287" spans="1:14" x14ac:dyDescent="0.15">
      <c r="A7287" s="23" t="str">
        <f>HYPERLINK("https://www.spark-marketing.ru/Card/Person/1731", "УКС АДМИНИСТРАЦИИ ГОРОДА АСТРАХАНИ")</f>
        <v>УКС АДМИНИСТРАЦИИ ГОРОДА АСТРАХАНИ</v>
      </c>
      <c r="B7287" s="24" t="s">
        <v>9368</v>
      </c>
      <c r="C7287" s="25">
        <v>8557176</v>
      </c>
      <c r="D7287" s="22" t="s">
        <v>9369</v>
      </c>
      <c r="E7287" s="22" t="s">
        <v>842</v>
      </c>
      <c r="F7287" s="23" t="str">
        <f>HYPERLINK("https://www.spark-marketing.ru/Card/Lot/70933140", "Размещение нестационарного объекта - пункта охраны правопорядка на  ул. Молдавская, ул. Магистральная, ул. Вильямса, ул. Ветошникова, 2,  пл. Заводская в Трусовском районе г. Астрахани")</f>
        <v>Размещение нестационарного объекта - пункта охраны правопорядка на  ул. Молдавская, ул. Магистральная, ул. Вильямса, ул. Ветошникова, 2,  пл. Заводская в Трусовском районе г. Астрахани</v>
      </c>
      <c r="G7287" s="22" t="s">
        <v>565</v>
      </c>
      <c r="H7287" s="22" t="s">
        <v>566</v>
      </c>
      <c r="I7287" s="26">
        <v>43614.711111111101</v>
      </c>
      <c r="J7287" s="23" t="str">
        <f>HYPERLINK("https://www.spark-marketing.ru/Card/Person/4339733", "Кожевников Александр Александрович")</f>
        <v>Кожевников Александр Александрович</v>
      </c>
      <c r="K7287" s="24" t="s">
        <v>9370</v>
      </c>
      <c r="L7287" s="22" t="s">
        <v>10</v>
      </c>
      <c r="M7287" s="28" t="s">
        <v>52</v>
      </c>
      <c r="N7287" s="28" t="s">
        <v>52</v>
      </c>
    </row>
    <row r="7288" spans="1:14" x14ac:dyDescent="0.15">
      <c r="A7288" s="23" t="str">
        <f>HYPERLINK("https://www.spark-marketing.ru/Card/Person/1731", "УКС АДМИНИСТРАЦИИ ГОРОДА АСТРАХАНИ")</f>
        <v>УКС АДМИНИСТРАЦИИ ГОРОДА АСТРАХАНИ</v>
      </c>
      <c r="B7288" s="24" t="s">
        <v>9368</v>
      </c>
      <c r="C7288" s="25">
        <v>9314191.1999999993</v>
      </c>
      <c r="D7288" s="22" t="s">
        <v>9371</v>
      </c>
      <c r="E7288" s="22" t="s">
        <v>842</v>
      </c>
      <c r="F7288" s="23" t="str">
        <f>HYPERLINK("https://www.spark-marketing.ru/Card/Lot/70932570", "Размещение нестационарного объекта - пункта охраны правопорядка на                    ул. Бульварная, ул. Космонавта Комарова,65, ул. Татищева,56, ул.Новоросийская,12, ул.Яблочкова,28 в Ленинском районе г. Астрахани")</f>
        <v>Размещение нестационарного объекта - пункта охраны правопорядка на                    ул. Бульварная, ул. Космонавта Комарова,65, ул. Татищева,56, ул.Новоросийская,12, ул.Яблочкова,28 в Ленинском районе г. Астрахани</v>
      </c>
      <c r="G7288" s="22" t="s">
        <v>565</v>
      </c>
      <c r="H7288" s="22" t="s">
        <v>566</v>
      </c>
      <c r="I7288" s="26">
        <v>43614.710416666698</v>
      </c>
      <c r="J7288" s="23" t="str">
        <f>HYPERLINK("https://www.spark-marketing.ru/Card/Person/4339733", "Кожевников Александр Александрович")</f>
        <v>Кожевников Александр Александрович</v>
      </c>
      <c r="K7288" s="24" t="s">
        <v>9370</v>
      </c>
      <c r="L7288" s="22" t="s">
        <v>10</v>
      </c>
      <c r="M7288" s="28" t="s">
        <v>52</v>
      </c>
      <c r="N7288" s="28" t="s">
        <v>52</v>
      </c>
    </row>
    <row r="7289" spans="1:14" x14ac:dyDescent="0.15">
      <c r="A7289" s="23" t="str">
        <f>HYPERLINK("https://www.spark-marketing.ru/Card/Person/1032336", "МБОУ ""ООШ № 12"" АГО")</f>
        <v>МБОУ "ООШ № 12" АГО</v>
      </c>
      <c r="B7289" s="24" t="s">
        <v>9372</v>
      </c>
      <c r="C7289" s="25">
        <v>200000</v>
      </c>
      <c r="D7289" s="22" t="s">
        <v>9373</v>
      </c>
      <c r="E7289" s="22" t="s">
        <v>59</v>
      </c>
      <c r="F7289" s="23" t="str">
        <f>HYPERLINK("https://www.spark-marketing.ru/Card/Lot/70924289", "Установка комплекса охранной сигнализации")</f>
        <v>Установка комплекса охранной сигнализации</v>
      </c>
      <c r="G7289" s="22" t="s">
        <v>72</v>
      </c>
      <c r="H7289" s="22" t="s">
        <v>692</v>
      </c>
      <c r="I7289" s="26">
        <v>43614.6784722222</v>
      </c>
      <c r="J7289" s="28" t="s">
        <v>52</v>
      </c>
      <c r="K7289" s="28" t="s">
        <v>52</v>
      </c>
      <c r="L7289" s="28" t="s">
        <v>52</v>
      </c>
      <c r="M7289" s="28" t="s">
        <v>52</v>
      </c>
      <c r="N7289" s="28" t="s">
        <v>52</v>
      </c>
    </row>
    <row r="7290" spans="1:14" ht="12.75" hidden="1" outlineLevel="1" x14ac:dyDescent="0.2">
      <c r="A7290" s="23" t="str">
        <f>HYPERLINK("https://www.spark-marketing.ru/Card/Person/1032336", "МБОУ ""ООШ № 12"" АГО")</f>
        <v>МБОУ "ООШ № 12" АГО</v>
      </c>
      <c r="B7290" s="24" t="s">
        <v>9372</v>
      </c>
      <c r="C7290" s="25">
        <v>200000</v>
      </c>
      <c r="D7290" s="22" t="s">
        <v>9373</v>
      </c>
      <c r="E7290" s="22" t="s">
        <v>59</v>
      </c>
      <c r="F7290" s="23" t="str">
        <f>HYPERLINK("https://www.spark-marketing.ru/Card/Lot/70924289", "Установка комплекса охранной сигнализации")</f>
        <v>Установка комплекса охранной сигнализации</v>
      </c>
      <c r="G7290" s="22" t="s">
        <v>72</v>
      </c>
      <c r="H7290" s="22" t="s">
        <v>692</v>
      </c>
      <c r="I7290" s="26">
        <v>43614.6784722222</v>
      </c>
      <c r="J7290" s="23" t="str">
        <f>HYPERLINK("https://www.spark-marketing.ru/Card/Person/753747", "ООО ""СКУД""")</f>
        <v>ООО "СКУД"</v>
      </c>
      <c r="K7290" s="24" t="s">
        <v>1612</v>
      </c>
      <c r="L7290" s="22" t="s">
        <v>10</v>
      </c>
      <c r="M7290" s="25">
        <v>160000</v>
      </c>
      <c r="N7290" s="27">
        <v>0.2</v>
      </c>
    </row>
    <row r="7291" spans="1:14" hidden="1" outlineLevel="1" x14ac:dyDescent="0.2">
      <c r="A7291" s="23" t="str">
        <f>HYPERLINK("https://www.spark-marketing.ru/Card/Person/1032336", "МБОУ ""ООШ № 12"" АГО")</f>
        <v>МБОУ "ООШ № 12" АГО</v>
      </c>
      <c r="B7291" s="24" t="s">
        <v>9372</v>
      </c>
      <c r="C7291" s="25">
        <v>200000</v>
      </c>
      <c r="D7291" s="22" t="s">
        <v>9373</v>
      </c>
      <c r="E7291" s="22" t="s">
        <v>59</v>
      </c>
      <c r="F7291" s="23" t="str">
        <f>HYPERLINK("https://www.spark-marketing.ru/Card/Lot/70924289", "Установка комплекса охранной сигнализации")</f>
        <v>Установка комплекса охранной сигнализации</v>
      </c>
      <c r="G7291" s="22" t="s">
        <v>72</v>
      </c>
      <c r="H7291" s="22" t="s">
        <v>692</v>
      </c>
      <c r="I7291" s="26">
        <v>43614.6784722222</v>
      </c>
      <c r="J7291" s="23" t="str">
        <f>HYPERLINK("https://www.spark-marketing.ru/Card/Person/50495", "ООО ""МСП БИЗНЕС МИР""")</f>
        <v>ООО "МСП БИЗНЕС МИР"</v>
      </c>
      <c r="K7291" s="24" t="s">
        <v>6602</v>
      </c>
      <c r="L7291" s="28" t="s">
        <v>52</v>
      </c>
      <c r="M7291" s="25">
        <v>161000</v>
      </c>
      <c r="N7291" s="27">
        <v>0.19500000000000001</v>
      </c>
    </row>
    <row r="7292" spans="1:14" x14ac:dyDescent="0.15">
      <c r="A7292" s="23" t="str">
        <f>HYPERLINK("https://www.spark-marketing.ru/Card/Person/4431", "ФКУЗ ""ГКГ МВД РОССИИ""")</f>
        <v>ФКУЗ "ГКГ МВД РОССИИ"</v>
      </c>
      <c r="B7292" s="24" t="s">
        <v>1182</v>
      </c>
      <c r="C7292" s="25">
        <v>99400.47</v>
      </c>
      <c r="D7292" s="22" t="s">
        <v>9374</v>
      </c>
      <c r="E7292" s="22" t="s">
        <v>53</v>
      </c>
      <c r="F7292" s="23" t="str">
        <f>HYPERLINK("https://www.spark-marketing.ru/Card/Lot/70923876", "ТО технических средств охраны")</f>
        <v>ТО технических средств охраны</v>
      </c>
      <c r="G7292" s="22" t="s">
        <v>55</v>
      </c>
      <c r="H7292" s="22" t="s">
        <v>55</v>
      </c>
      <c r="I7292" s="26">
        <v>43614.684386574103</v>
      </c>
      <c r="J7292" s="28" t="s">
        <v>52</v>
      </c>
      <c r="K7292" s="28" t="s">
        <v>52</v>
      </c>
      <c r="L7292" s="28" t="s">
        <v>52</v>
      </c>
      <c r="M7292" s="28" t="s">
        <v>52</v>
      </c>
      <c r="N7292" s="28" t="s">
        <v>52</v>
      </c>
    </row>
    <row r="7293" spans="1:14" x14ac:dyDescent="0.15">
      <c r="A7293" s="23" t="str">
        <f>HYPERLINK("https://www.spark-marketing.ru/Card/Person/11637", "МКУ ""ПЕРМДДД""")</f>
        <v>МКУ "ПЕРМДДД"</v>
      </c>
      <c r="B7293" s="24" t="s">
        <v>9375</v>
      </c>
      <c r="C7293" s="25">
        <v>360000</v>
      </c>
      <c r="D7293" s="22" t="s">
        <v>9376</v>
      </c>
      <c r="E7293" s="22" t="s">
        <v>298</v>
      </c>
      <c r="F7293" s="23" t="str">
        <f>HYPERLINK("https://www.spark-marketing.ru/Card/Lot/70925196", "Обслуживание подсистемы передачи данных комплекса технических средств видеонаблюдения и управления дорожным движением")</f>
        <v>Обслуживание подсистемы передачи данных комплекса технических средств видеонаблюдения и управления дорожным движением</v>
      </c>
      <c r="G7293" s="22" t="s">
        <v>391</v>
      </c>
      <c r="H7293" s="22" t="s">
        <v>391</v>
      </c>
      <c r="I7293" s="26">
        <v>43614.683333333298</v>
      </c>
      <c r="J7293" s="23" t="str">
        <f>HYPERLINK("https://www.spark-marketing.ru/Card/Person/6110004", "Попов Александр Павлович")</f>
        <v>Попов Александр Павлович</v>
      </c>
      <c r="K7293" s="24" t="s">
        <v>9377</v>
      </c>
      <c r="L7293" s="22" t="s">
        <v>10</v>
      </c>
      <c r="M7293" s="28" t="s">
        <v>52</v>
      </c>
      <c r="N7293" s="28" t="s">
        <v>52</v>
      </c>
    </row>
    <row r="7294" spans="1:14" x14ac:dyDescent="0.15">
      <c r="A7294" s="23" t="str">
        <f>HYPERLINK("https://www.spark-marketing.ru/Card/Person/145187", "МБУК ДК ""ЮБИЛЕЙНЫЙ""")</f>
        <v>МБУК ДК "ЮБИЛЕЙНЫЙ"</v>
      </c>
      <c r="B7294" s="24" t="s">
        <v>9378</v>
      </c>
      <c r="C7294" s="25">
        <v>491537</v>
      </c>
      <c r="D7294" s="22" t="s">
        <v>9379</v>
      </c>
      <c r="E7294" s="22" t="s">
        <v>59</v>
      </c>
      <c r="F7294" s="23" t="str">
        <f>HYPERLINK("https://www.spark-marketing.ru/Card/Lot/70930688", "Работы по монтажу  IP видеонаблюдения в МБУК ДК ""Юбилейный"" Свердлова д.37")</f>
        <v>Работы по монтажу  IP видеонаблюдения в МБУК ДК "Юбилейный" Свердлова д.37</v>
      </c>
      <c r="G7294" s="22" t="s">
        <v>145</v>
      </c>
      <c r="H7294" s="22" t="s">
        <v>145</v>
      </c>
      <c r="I7294" s="26">
        <v>43614.672222222202</v>
      </c>
      <c r="J7294" s="23" t="str">
        <f>HYPERLINK("https://www.spark-marketing.ru/Card/Person/526183", "ООО ""АТСМ""")</f>
        <v>ООО "АТСМ"</v>
      </c>
      <c r="K7294" s="24" t="s">
        <v>9380</v>
      </c>
      <c r="L7294" s="28" t="s">
        <v>52</v>
      </c>
      <c r="M7294" s="28" t="s">
        <v>52</v>
      </c>
      <c r="N7294" s="28" t="s">
        <v>52</v>
      </c>
    </row>
    <row r="7295" spans="1:14" ht="12.75" hidden="1" outlineLevel="1" x14ac:dyDescent="0.2">
      <c r="A7295" s="23" t="str">
        <f>HYPERLINK("https://www.spark-marketing.ru/Card/Person/145187", "МБУК ДК ""ЮБИЛЕЙНЫЙ""")</f>
        <v>МБУК ДК "ЮБИЛЕЙНЫЙ"</v>
      </c>
      <c r="B7295" s="24" t="s">
        <v>9378</v>
      </c>
      <c r="C7295" s="25">
        <v>491537</v>
      </c>
      <c r="D7295" s="22" t="s">
        <v>9379</v>
      </c>
      <c r="E7295" s="22" t="s">
        <v>59</v>
      </c>
      <c r="F7295" s="23" t="str">
        <f>HYPERLINK("https://www.spark-marketing.ru/Card/Lot/70930688", "Работы по монтажу  IP видеонаблюдения в МБУК ДК ""Юбилейный"" Свердлова д.37")</f>
        <v>Работы по монтажу  IP видеонаблюдения в МБУК ДК "Юбилейный" Свердлова д.37</v>
      </c>
      <c r="G7295" s="22" t="s">
        <v>145</v>
      </c>
      <c r="H7295" s="22" t="s">
        <v>145</v>
      </c>
      <c r="I7295" s="26">
        <v>43614.672222222202</v>
      </c>
      <c r="J7295" s="23" t="str">
        <f>HYPERLINK("https://www.spark-marketing.ru/Card/Person/526183", "ООО ""АТСМ""")</f>
        <v>ООО "АТСМ"</v>
      </c>
      <c r="K7295" s="24" t="s">
        <v>9380</v>
      </c>
      <c r="L7295" s="22" t="s">
        <v>10</v>
      </c>
      <c r="M7295" s="25">
        <v>489079.3</v>
      </c>
      <c r="N7295" s="27">
        <v>5.0000305165226622E-3</v>
      </c>
    </row>
    <row r="7296" spans="1:14" x14ac:dyDescent="0.15">
      <c r="A7296" s="23" t="str">
        <f>HYPERLINK("https://www.spark-marketing.ru/Card/Person/4431", "ФКУЗ ""ГКГ МВД РОССИИ""")</f>
        <v>ФКУЗ "ГКГ МВД РОССИИ"</v>
      </c>
      <c r="B7296" s="24" t="s">
        <v>1182</v>
      </c>
      <c r="C7296" s="25">
        <v>99400.47</v>
      </c>
      <c r="D7296" s="22" t="s">
        <v>9381</v>
      </c>
      <c r="E7296" s="22" t="s">
        <v>53</v>
      </c>
      <c r="F7296" s="23" t="str">
        <f>HYPERLINK("https://www.spark-marketing.ru/Card/Lot/70923887", "ТО технических средств охраны")</f>
        <v>ТО технических средств охраны</v>
      </c>
      <c r="G7296" s="22" t="s">
        <v>55</v>
      </c>
      <c r="H7296" s="22" t="s">
        <v>55</v>
      </c>
      <c r="I7296" s="26">
        <v>43614.687939814801</v>
      </c>
      <c r="J7296" s="28" t="s">
        <v>52</v>
      </c>
      <c r="K7296" s="28" t="s">
        <v>52</v>
      </c>
      <c r="L7296" s="28" t="s">
        <v>52</v>
      </c>
      <c r="M7296" s="28" t="s">
        <v>52</v>
      </c>
      <c r="N7296" s="28" t="s">
        <v>52</v>
      </c>
    </row>
    <row r="7297" spans="1:14" x14ac:dyDescent="0.15">
      <c r="A7297" s="23" t="str">
        <f>HYPERLINK("https://www.spark-marketing.ru/Card/Person/1007024", "ОТДЕЛ МВД РОССИИ ПО ГИАГИНСКОМУ РАЙОНУ")</f>
        <v>ОТДЕЛ МВД РОССИИ ПО ГИАГИНСКОМУ РАЙОНУ</v>
      </c>
      <c r="B7297" s="24" t="s">
        <v>9382</v>
      </c>
      <c r="C7297" s="25">
        <v>3800</v>
      </c>
      <c r="D7297" s="22" t="s">
        <v>9383</v>
      </c>
      <c r="E7297" s="22" t="s">
        <v>53</v>
      </c>
      <c r="F7297" s="23" t="str">
        <f>HYPERLINK("https://www.spark-marketing.ru/Card/Lot/70923843", "замена, настройка, техническое обслуживание системы сигнализации автоматического контроля загазованности СИКЗ -32")</f>
        <v>замена, настройка, техническое обслуживание системы сигнализации автоматического контроля загазованности СИКЗ -32</v>
      </c>
      <c r="G7297" s="22" t="s">
        <v>1547</v>
      </c>
      <c r="H7297" s="22" t="s">
        <v>1547</v>
      </c>
      <c r="I7297" s="26">
        <v>43614.676793981504</v>
      </c>
      <c r="J7297" s="28" t="s">
        <v>52</v>
      </c>
      <c r="K7297" s="28" t="s">
        <v>52</v>
      </c>
      <c r="L7297" s="28" t="s">
        <v>52</v>
      </c>
      <c r="M7297" s="28" t="s">
        <v>52</v>
      </c>
      <c r="N7297" s="28" t="s">
        <v>52</v>
      </c>
    </row>
    <row r="7298" spans="1:14" x14ac:dyDescent="0.15">
      <c r="A7298" s="23" t="str">
        <f>HYPERLINK("https://www.spark-marketing.ru/Card/Person/1050405", "МБУ ДО ДЮСШ")</f>
        <v>МБУ ДО ДЮСШ</v>
      </c>
      <c r="B7298" s="24" t="s">
        <v>9384</v>
      </c>
      <c r="C7298" s="25">
        <v>50000</v>
      </c>
      <c r="D7298" s="22" t="s">
        <v>9385</v>
      </c>
      <c r="E7298" s="22" t="s">
        <v>107</v>
      </c>
      <c r="F7298" s="23" t="str">
        <f>HYPERLINK("https://www.spark-marketing.ru/Card/Lot/70921731", "Работы по техническому обслуживанию наружного светодиодного видеоэкрана (Табло) объекта МБУ ДО ДЮСШ")</f>
        <v>Работы по техническому обслуживанию наружного светодиодного видеоэкрана (Табло) объекта МБУ ДО ДЮСШ</v>
      </c>
      <c r="G7298" s="22" t="s">
        <v>50</v>
      </c>
      <c r="H7298" s="22" t="s">
        <v>9386</v>
      </c>
      <c r="I7298" s="26">
        <v>43614.669953703698</v>
      </c>
      <c r="J7298" s="28" t="s">
        <v>52</v>
      </c>
      <c r="K7298" s="28" t="s">
        <v>52</v>
      </c>
      <c r="L7298" s="28" t="s">
        <v>52</v>
      </c>
      <c r="M7298" s="28" t="s">
        <v>52</v>
      </c>
      <c r="N7298" s="28" t="s">
        <v>52</v>
      </c>
    </row>
    <row r="7299" spans="1:14" ht="12.75" x14ac:dyDescent="0.2">
      <c r="A7299" s="23" t="str">
        <f>HYPERLINK("https://www.spark-marketing.ru/Card/Person/11813", "ГКУ ""ЛЕНАВТОДОР""")</f>
        <v>ГКУ "ЛЕНАВТОДОР"</v>
      </c>
      <c r="B7299" s="24" t="s">
        <v>3258</v>
      </c>
      <c r="C7299" s="25">
        <v>183589.69</v>
      </c>
      <c r="D7299" s="22" t="s">
        <v>9387</v>
      </c>
      <c r="E7299" s="22" t="s">
        <v>218</v>
      </c>
      <c r="F7299" s="23" t="str">
        <f>HYPERLINK("https://www.spark-marketing.ru/Card/Lot/70933698", "Осуществление инженерного сопровождения (строительного контроля) по объекту: ""Техническое перевооружение перекрестков и пешеходных переходов с устройством светофорных объектов на участках автомобильных дорог регионального значения в Ленинградской об...")</f>
        <v>Осуществление инженерного сопровождения (строительного контроля) по объекту: "Техническое перевооружение перекрестков и пешеходных переходов с устройством светофорных объектов на участках автомобильных дорог регионального значения в Ленинградской об...</v>
      </c>
      <c r="G7299" s="22" t="s">
        <v>861</v>
      </c>
      <c r="H7299" s="22" t="s">
        <v>9388</v>
      </c>
      <c r="I7299" s="26">
        <v>43614.686111111099</v>
      </c>
      <c r="J7299" s="23" t="str">
        <f>HYPERLINK("https://www.spark-marketing.ru/Card/Person/6309033", "ООО ""СТРОЙКОНТРОЛЬПРОЕКТ""")</f>
        <v>ООО "СТРОЙКОНТРОЛЬПРОЕКТ"</v>
      </c>
      <c r="K7299" s="24" t="s">
        <v>9389</v>
      </c>
      <c r="L7299" s="22" t="s">
        <v>10</v>
      </c>
      <c r="M7299" s="25">
        <v>183589.69</v>
      </c>
      <c r="N7299" s="27">
        <v>0</v>
      </c>
    </row>
    <row r="7300" spans="1:14" x14ac:dyDescent="0.2">
      <c r="A7300" s="23" t="str">
        <f>HYPERLINK("https://www.spark-marketing.ru/Card/Person/565549", "ГАПОУ СО ""КУПК""")</f>
        <v>ГАПОУ СО "КУПК"</v>
      </c>
      <c r="B7300" s="24" t="s">
        <v>9390</v>
      </c>
      <c r="C7300" s="25">
        <v>128145.77</v>
      </c>
      <c r="D7300" s="22" t="s">
        <v>9391</v>
      </c>
      <c r="E7300" s="22" t="s">
        <v>49</v>
      </c>
      <c r="F7300" s="23" t="str">
        <f>HYPERLINK("https://www.spark-marketing.ru/Card/Lot/70921139", "Установка системы охранной сигнализации. Адрес: г. Каменск-Уральский, ул. Алюминиевая, д. 60")</f>
        <v>Установка системы охранной сигнализации. Адрес: г. Каменск-Уральский, ул. Алюминиевая, д. 60</v>
      </c>
      <c r="G7300" s="22" t="s">
        <v>72</v>
      </c>
      <c r="H7300" s="22" t="s">
        <v>72</v>
      </c>
      <c r="I7300" s="26">
        <v>43614.657951388901</v>
      </c>
      <c r="J7300" s="28" t="s">
        <v>52</v>
      </c>
      <c r="K7300" s="28" t="s">
        <v>52</v>
      </c>
      <c r="L7300" s="28" t="s">
        <v>52</v>
      </c>
      <c r="M7300" s="25">
        <v>128145.77</v>
      </c>
      <c r="N7300" s="27">
        <v>0</v>
      </c>
    </row>
    <row r="7301" spans="1:14" x14ac:dyDescent="0.15">
      <c r="A7301" s="23" t="str">
        <f>HYPERLINK("https://www.spark-marketing.ru/Card/Person/83203", "АО ""ОНИИП""")</f>
        <v>АО "ОНИИП"</v>
      </c>
      <c r="B7301" s="24" t="s">
        <v>9392</v>
      </c>
      <c r="C7301" s="25">
        <v>1100000</v>
      </c>
      <c r="D7301" s="22" t="s">
        <v>9393</v>
      </c>
      <c r="E7301" s="22" t="s">
        <v>1923</v>
      </c>
      <c r="F7301" s="23" t="str">
        <f>HYPERLINK("https://www.spark-marketing.ru/Card/Lot/70912814", "Оказание услуг по сертификации технических средств обеспечения транспортной безопасности")</f>
        <v>Оказание услуг по сертификации технических средств обеспечения транспортной безопасности</v>
      </c>
      <c r="G7301" s="22" t="s">
        <v>521</v>
      </c>
      <c r="H7301" s="22" t="s">
        <v>521</v>
      </c>
      <c r="I7301" s="26">
        <v>43614.663194444402</v>
      </c>
      <c r="J7301" s="28" t="s">
        <v>52</v>
      </c>
      <c r="K7301" s="28" t="s">
        <v>52</v>
      </c>
      <c r="L7301" s="28" t="s">
        <v>52</v>
      </c>
      <c r="M7301" s="28" t="s">
        <v>52</v>
      </c>
      <c r="N7301" s="28" t="s">
        <v>52</v>
      </c>
    </row>
    <row r="7302" spans="1:14" x14ac:dyDescent="0.2">
      <c r="A7302" s="23" t="str">
        <f>HYPERLINK("https://www.spark-marketing.ru/Card/Person/19005", "СПБ ГБУК ""МИХАЙЛОВСКИЙ ТЕАТР""")</f>
        <v>СПБ ГБУК "МИХАЙЛОВСКИЙ ТЕАТР"</v>
      </c>
      <c r="B7302" s="24" t="s">
        <v>2035</v>
      </c>
      <c r="C7302" s="25">
        <v>499999.99</v>
      </c>
      <c r="D7302" s="22" t="s">
        <v>9394</v>
      </c>
      <c r="E7302" s="22" t="s">
        <v>370</v>
      </c>
      <c r="F7302" s="23" t="str">
        <f>HYPERLINK("https://www.spark-marketing.ru/Card/Lot/70921124", "Услуги по техническому обслуживанию системы охранной сигнализации (ОС), системы видеонаблюдения (СВН), системы контроля и управления доступом /на базе интегрированной системы Parsec Net / и откатных ворот (СКУД)")</f>
        <v>Услуги по техническому обслуживанию системы охранной сигнализации (ОС), системы видеонаблюдения (СВН), системы контроля и управления доступом /на базе интегрированной системы Parsec Net / и откатных ворот (СКУД)</v>
      </c>
      <c r="G7302" s="22" t="s">
        <v>89</v>
      </c>
      <c r="H7302" s="22" t="s">
        <v>89</v>
      </c>
      <c r="I7302" s="26">
        <v>43614.647303240701</v>
      </c>
      <c r="J7302" s="23" t="str">
        <f>HYPERLINK("https://www.spark-marketing.ru/Card/Person/1575836", "ООО ""СПЕЦАВТОМАТИКА""")</f>
        <v>ООО "СПЕЦАВТОМАТИКА"</v>
      </c>
      <c r="K7302" s="24" t="s">
        <v>9395</v>
      </c>
      <c r="L7302" s="28" t="s">
        <v>52</v>
      </c>
      <c r="M7302" s="25">
        <v>499999.99</v>
      </c>
      <c r="N7302" s="27">
        <v>0</v>
      </c>
    </row>
    <row r="7303" spans="1:14" x14ac:dyDescent="0.15">
      <c r="A7303" s="23" t="str">
        <f>HYPERLINK("https://www.spark-marketing.ru/Card/Person/550", "ФКУ ""ЦОУМТС МВД РОССИИ""")</f>
        <v>ФКУ "ЦОУМТС МВД РОССИИ"</v>
      </c>
      <c r="B7303" s="24" t="s">
        <v>954</v>
      </c>
      <c r="C7303" s="25">
        <v>44800</v>
      </c>
      <c r="D7303" s="22" t="s">
        <v>9396</v>
      </c>
      <c r="E7303" s="22" t="s">
        <v>53</v>
      </c>
      <c r="F7303" s="23" t="str">
        <f>HYPERLINK("https://www.spark-marketing.ru/Card/Lot/70920566", "Комплект кнопки тревожной сигнализации для вызова наряда полиции")</f>
        <v>Комплект кнопки тревожной сигнализации для вызова наряда полиции</v>
      </c>
      <c r="G7303" s="22" t="s">
        <v>55</v>
      </c>
      <c r="H7303" s="22" t="s">
        <v>55</v>
      </c>
      <c r="I7303" s="26">
        <v>43614.661597222199</v>
      </c>
      <c r="J7303" s="28" t="s">
        <v>52</v>
      </c>
      <c r="K7303" s="28" t="s">
        <v>52</v>
      </c>
      <c r="L7303" s="28" t="s">
        <v>52</v>
      </c>
      <c r="M7303" s="28" t="s">
        <v>52</v>
      </c>
      <c r="N7303" s="28" t="s">
        <v>52</v>
      </c>
    </row>
    <row r="7304" spans="1:14" x14ac:dyDescent="0.15">
      <c r="A7304" s="23" t="str">
        <f>HYPERLINK("https://www.spark-marketing.ru/Card/Person/6700", "ПЕРМСКИЙ КРАЕВОЙ СУД")</f>
        <v>ПЕРМСКИЙ КРАЕВОЙ СУД</v>
      </c>
      <c r="B7304" s="24" t="s">
        <v>9397</v>
      </c>
      <c r="C7304" s="25">
        <v>1941459.84</v>
      </c>
      <c r="D7304" s="22" t="s">
        <v>9398</v>
      </c>
      <c r="E7304" s="22" t="s">
        <v>68</v>
      </c>
      <c r="F7304" s="23" t="str">
        <f>HYPERLINK("https://www.spark-marketing.ru/Card/Lot/70920063", "Услуги по военизированной охране объектов Пермского краевого суда")</f>
        <v>Услуги по военизированной охране объектов Пермского краевого суда</v>
      </c>
      <c r="G7304" s="22" t="s">
        <v>391</v>
      </c>
      <c r="H7304" s="22" t="s">
        <v>392</v>
      </c>
      <c r="I7304" s="26">
        <v>43614.644444444399</v>
      </c>
      <c r="J7304" s="23" t="str">
        <f>HYPERLINK("https://www.spark-marketing.ru/Card/Person/366508", "Филиал ФГУП ""Охрана"" Росгвардии по Пермскому краю")</f>
        <v>Филиал ФГУП "Охрана" Росгвардии по Пермскому краю</v>
      </c>
      <c r="K7304" s="24" t="s">
        <v>779</v>
      </c>
      <c r="L7304" s="28" t="s">
        <v>52</v>
      </c>
      <c r="M7304" s="28" t="s">
        <v>52</v>
      </c>
      <c r="N7304" s="28" t="s">
        <v>52</v>
      </c>
    </row>
    <row r="7305" spans="1:14" ht="12.75" hidden="1" outlineLevel="1" x14ac:dyDescent="0.2">
      <c r="A7305" s="23" t="str">
        <f>HYPERLINK("https://www.spark-marketing.ru/Card/Person/6700", "ПЕРМСКИЙ КРАЕВОЙ СУД")</f>
        <v>ПЕРМСКИЙ КРАЕВОЙ СУД</v>
      </c>
      <c r="B7305" s="24" t="s">
        <v>9397</v>
      </c>
      <c r="C7305" s="25">
        <v>1941459.84</v>
      </c>
      <c r="D7305" s="22" t="s">
        <v>9398</v>
      </c>
      <c r="E7305" s="22" t="s">
        <v>68</v>
      </c>
      <c r="F7305" s="23" t="str">
        <f>HYPERLINK("https://www.spark-marketing.ru/Card/Lot/70920063", "Услуги по военизированной охране объектов Пермского краевого суда")</f>
        <v>Услуги по военизированной охране объектов Пермского краевого суда</v>
      </c>
      <c r="G7305" s="22" t="s">
        <v>391</v>
      </c>
      <c r="H7305" s="22" t="s">
        <v>392</v>
      </c>
      <c r="I7305" s="26">
        <v>43614.644444444399</v>
      </c>
      <c r="J7305" s="23" t="str">
        <f>HYPERLINK("https://www.spark-marketing.ru/Card/Person/366508", "Филиал ФГУП ""Охрана"" Росгвардии по Пермскому краю")</f>
        <v>Филиал ФГУП "Охрана" Росгвардии по Пермскому краю</v>
      </c>
      <c r="K7305" s="24" t="s">
        <v>779</v>
      </c>
      <c r="L7305" s="22" t="s">
        <v>10</v>
      </c>
      <c r="M7305" s="25">
        <v>1931752.54</v>
      </c>
      <c r="N7305" s="27">
        <v>5.0000004120610599E-3</v>
      </c>
    </row>
    <row r="7306" spans="1:14" x14ac:dyDescent="0.15">
      <c r="A7306" s="23" t="str">
        <f>HYPERLINK("https://www.spark-marketing.ru/Card/Person/69785", "АДМИНИСТРАЦИЯ МУНИЦИПАЛЬНОГО РАЙОНА ""МЕЩОВСКИЙ РАЙОН""")</f>
        <v>АДМИНИСТРАЦИЯ МУНИЦИПАЛЬНОГО РАЙОНА "МЕЩОВСКИЙ РАЙОН"</v>
      </c>
      <c r="B7306" s="24" t="s">
        <v>9399</v>
      </c>
      <c r="C7306" s="25">
        <v>453396.08</v>
      </c>
      <c r="D7306" s="22" t="s">
        <v>9400</v>
      </c>
      <c r="E7306" s="22" t="s">
        <v>59</v>
      </c>
      <c r="F7306" s="23" t="str">
        <f>HYPERLINK("https://www.spark-marketing.ru/Card/Lot/70930727", "Выполнение работ по установке систем охраны, контроля доступа и видеонаблюдения в здании администрации (Реестровый номер: 1301Э-09/19сб)")</f>
        <v>Выполнение работ по установке систем охраны, контроля доступа и видеонаблюдения в здании администрации (Реестровый номер: 1301Э-09/19сб)</v>
      </c>
      <c r="G7306" s="22" t="s">
        <v>658</v>
      </c>
      <c r="H7306" s="22" t="s">
        <v>658</v>
      </c>
      <c r="I7306" s="26">
        <v>43614.637499999997</v>
      </c>
      <c r="J7306" s="28" t="s">
        <v>52</v>
      </c>
      <c r="K7306" s="28" t="s">
        <v>52</v>
      </c>
      <c r="L7306" s="28" t="s">
        <v>52</v>
      </c>
      <c r="M7306" s="28" t="s">
        <v>52</v>
      </c>
      <c r="N7306" s="28" t="s">
        <v>52</v>
      </c>
    </row>
    <row r="7307" spans="1:14" ht="12.75" hidden="1" outlineLevel="1" x14ac:dyDescent="0.2">
      <c r="A7307" s="23" t="str">
        <f>HYPERLINK("https://www.spark-marketing.ru/Card/Person/69785", "АДМИНИСТРАЦИЯ МУНИЦИПАЛЬНОГО РАЙОНА ""МЕЩОВСКИЙ РАЙОН""")</f>
        <v>АДМИНИСТРАЦИЯ МУНИЦИПАЛЬНОГО РАЙОНА "МЕЩОВСКИЙ РАЙОН"</v>
      </c>
      <c r="B7307" s="24" t="s">
        <v>9399</v>
      </c>
      <c r="C7307" s="25">
        <v>453396.08</v>
      </c>
      <c r="D7307" s="22" t="s">
        <v>9400</v>
      </c>
      <c r="E7307" s="22" t="s">
        <v>59</v>
      </c>
      <c r="F7307" s="23" t="str">
        <f>HYPERLINK("https://www.spark-marketing.ru/Card/Lot/70930727", "Выполнение работ по установке систем охраны, контроля доступа и видеонаблюдения в здании администрации (Реестровый номер: 1301Э-09/19сб)")</f>
        <v>Выполнение работ по установке систем охраны, контроля доступа и видеонаблюдения в здании администрации (Реестровый номер: 1301Э-09/19сб)</v>
      </c>
      <c r="G7307" s="22" t="s">
        <v>658</v>
      </c>
      <c r="H7307" s="22" t="s">
        <v>658</v>
      </c>
      <c r="I7307" s="26">
        <v>43614.637499999997</v>
      </c>
      <c r="J7307" s="23" t="str">
        <f>HYPERLINK("https://www.spark-marketing.ru/Card/Person/304414", "ООО ""ВЗГЛЯД""")</f>
        <v>ООО "ВЗГЛЯД"</v>
      </c>
      <c r="K7307" s="24" t="s">
        <v>3265</v>
      </c>
      <c r="L7307" s="22" t="s">
        <v>10</v>
      </c>
      <c r="M7307" s="25">
        <v>344581.04</v>
      </c>
      <c r="N7307" s="27">
        <v>0.23999995765292015</v>
      </c>
    </row>
    <row r="7308" spans="1:14" hidden="1" outlineLevel="1" x14ac:dyDescent="0.2">
      <c r="A7308" s="23" t="str">
        <f>HYPERLINK("https://www.spark-marketing.ru/Card/Person/69785", "АДМИНИСТРАЦИЯ МУНИЦИПАЛЬНОГО РАЙОНА ""МЕЩОВСКИЙ РАЙОН""")</f>
        <v>АДМИНИСТРАЦИЯ МУНИЦИПАЛЬНОГО РАЙОНА "МЕЩОВСКИЙ РАЙОН"</v>
      </c>
      <c r="B7308" s="24" t="s">
        <v>9399</v>
      </c>
      <c r="C7308" s="25">
        <v>453396.08</v>
      </c>
      <c r="D7308" s="22" t="s">
        <v>9400</v>
      </c>
      <c r="E7308" s="22" t="s">
        <v>59</v>
      </c>
      <c r="F7308" s="23" t="str">
        <f>HYPERLINK("https://www.spark-marketing.ru/Card/Lot/70930727", "Выполнение работ по установке систем охраны, контроля доступа и видеонаблюдения в здании администрации (Реестровый номер: 1301Э-09/19сб)")</f>
        <v>Выполнение работ по установке систем охраны, контроля доступа и видеонаблюдения в здании администрации (Реестровый номер: 1301Э-09/19сб)</v>
      </c>
      <c r="G7308" s="22" t="s">
        <v>658</v>
      </c>
      <c r="H7308" s="22" t="s">
        <v>658</v>
      </c>
      <c r="I7308" s="26">
        <v>43614.637499999997</v>
      </c>
      <c r="J7308" s="23" t="str">
        <f>HYPERLINK("https://www.spark-marketing.ru/Card/Person/282437", "ООО ""АПГРЕЙД СЕРВИС""")</f>
        <v>ООО "АПГРЕЙД СЕРВИС"</v>
      </c>
      <c r="K7308" s="24" t="s">
        <v>5653</v>
      </c>
      <c r="L7308" s="28" t="s">
        <v>52</v>
      </c>
      <c r="M7308" s="25">
        <v>398988.56</v>
      </c>
      <c r="N7308" s="27">
        <v>0.11999997882646007</v>
      </c>
    </row>
    <row r="7309" spans="1:14" hidden="1" outlineLevel="1" x14ac:dyDescent="0.2">
      <c r="A7309" s="23" t="str">
        <f>HYPERLINK("https://www.spark-marketing.ru/Card/Person/69785", "АДМИНИСТРАЦИЯ МУНИЦИПАЛЬНОГО РАЙОНА ""МЕЩОВСКИЙ РАЙОН""")</f>
        <v>АДМИНИСТРАЦИЯ МУНИЦИПАЛЬНОГО РАЙОНА "МЕЩОВСКИЙ РАЙОН"</v>
      </c>
      <c r="B7309" s="24" t="s">
        <v>9399</v>
      </c>
      <c r="C7309" s="25">
        <v>453396.08</v>
      </c>
      <c r="D7309" s="22" t="s">
        <v>9400</v>
      </c>
      <c r="E7309" s="22" t="s">
        <v>59</v>
      </c>
      <c r="F7309" s="23" t="str">
        <f>HYPERLINK("https://www.spark-marketing.ru/Card/Lot/70930727", "Выполнение работ по установке систем охраны, контроля доступа и видеонаблюдения в здании администрации (Реестровый номер: 1301Э-09/19сб)")</f>
        <v>Выполнение работ по установке систем охраны, контроля доступа и видеонаблюдения в здании администрации (Реестровый номер: 1301Э-09/19сб)</v>
      </c>
      <c r="G7309" s="22" t="s">
        <v>658</v>
      </c>
      <c r="H7309" s="22" t="s">
        <v>658</v>
      </c>
      <c r="I7309" s="26">
        <v>43614.637499999997</v>
      </c>
      <c r="J7309" s="23" t="str">
        <f>HYPERLINK("https://www.spark-marketing.ru/Card/Person/56063", "ООО ""ЭСО""")</f>
        <v>ООО "ЭСО"</v>
      </c>
      <c r="K7309" s="24" t="s">
        <v>9401</v>
      </c>
      <c r="L7309" s="28" t="s">
        <v>52</v>
      </c>
      <c r="M7309" s="25">
        <v>346848.02</v>
      </c>
      <c r="N7309" s="27">
        <v>0.23499995853515099</v>
      </c>
    </row>
    <row r="7310" spans="1:14" x14ac:dyDescent="0.15">
      <c r="A7310" s="23" t="str">
        <f>HYPERLINK("https://www.spark-marketing.ru/Card/Person/4442", "СУ СК РОССИИ ПО РЕСПУБЛИКЕ ТЫВА")</f>
        <v>СУ СК РОССИИ ПО РЕСПУБЛИКЕ ТЫВА</v>
      </c>
      <c r="B7310" s="24" t="s">
        <v>9402</v>
      </c>
      <c r="C7310" s="25">
        <v>162114.01999999999</v>
      </c>
      <c r="D7310" s="22" t="s">
        <v>9403</v>
      </c>
      <c r="E7310" s="22" t="s">
        <v>68</v>
      </c>
      <c r="F7310" s="23" t="str">
        <f>HYPERLINK("https://www.spark-marketing.ru/Card/Lot/70913099", "Оказание услуг централизованной охраны объектов с помощью пультов централизованного наблюдения (ПЦН) для обеспечения нужд следственного управления Следственного комитета Российской Федерации по Республике Тыва")</f>
        <v>Оказание услуг централизованной охраны объектов с помощью пультов централизованного наблюдения (ПЦН) для обеспечения нужд следственного управления Следственного комитета Российской Федерации по Республике Тыва</v>
      </c>
      <c r="G7310" s="22" t="s">
        <v>2193</v>
      </c>
      <c r="H7310" s="22" t="s">
        <v>2193</v>
      </c>
      <c r="I7310" s="26">
        <v>43614.6340277778</v>
      </c>
      <c r="J7310" s="23" t="str">
        <f>HYPERLINK("https://www.spark-marketing.ru/Card/Person/824606", "ФЛ ФГУП ""ОХРАНА"" Росгвардии по РТ")</f>
        <v>ФЛ ФГУП "ОХРАНА" Росгвардии по РТ</v>
      </c>
      <c r="K7310" s="24" t="s">
        <v>779</v>
      </c>
      <c r="L7310" s="22" t="s">
        <v>10</v>
      </c>
      <c r="M7310" s="28" t="s">
        <v>52</v>
      </c>
      <c r="N7310" s="28" t="s">
        <v>52</v>
      </c>
    </row>
    <row r="7311" spans="1:14" x14ac:dyDescent="0.15">
      <c r="A7311" s="23" t="str">
        <f>HYPERLINK("https://www.spark-marketing.ru/Card/Person/1053249", "УПРАВЛЕНИЕ ГЗ")</f>
        <v>УПРАВЛЕНИЕ ГЗ</v>
      </c>
      <c r="B7311" s="24" t="s">
        <v>9404</v>
      </c>
      <c r="C7311" s="25">
        <v>1568000</v>
      </c>
      <c r="D7311" s="22" t="s">
        <v>9405</v>
      </c>
      <c r="E7311" s="22" t="s">
        <v>1647</v>
      </c>
      <c r="F7311" s="23" t="str">
        <f>HYPERLINK("https://www.spark-marketing.ru/Card/Lot/70920088", "услуги по обеспечению территории Чусовского городского поселения системой видеонаблюдения")</f>
        <v>услуги по обеспечению территории Чусовского городского поселения системой видеонаблюдения</v>
      </c>
      <c r="G7311" s="22" t="s">
        <v>391</v>
      </c>
      <c r="H7311" s="22" t="s">
        <v>391</v>
      </c>
      <c r="I7311" s="26">
        <v>43614.610416666699</v>
      </c>
      <c r="J7311" s="23" t="str">
        <f>HYPERLINK("https://www.spark-marketing.ru/Card/Person/12789", "АО ""ЭР-ТЕЛЕКОМ ХОЛДИНГ""")</f>
        <v>АО "ЭР-ТЕЛЕКОМ ХОЛДИНГ"</v>
      </c>
      <c r="K7311" s="24" t="s">
        <v>3100</v>
      </c>
      <c r="L7311" s="22" t="s">
        <v>10</v>
      </c>
      <c r="M7311" s="28" t="s">
        <v>52</v>
      </c>
      <c r="N7311" s="28" t="s">
        <v>52</v>
      </c>
    </row>
    <row r="7312" spans="1:14" x14ac:dyDescent="0.15">
      <c r="A7312" s="23" t="str">
        <f>HYPERLINK("https://www.spark-marketing.ru/Card/Person/120702", "МУП ""МКС""")</f>
        <v>МУП "МКС"</v>
      </c>
      <c r="B7312" s="24" t="s">
        <v>9406</v>
      </c>
      <c r="C7312" s="25">
        <v>388333.35</v>
      </c>
      <c r="D7312" s="22" t="s">
        <v>9407</v>
      </c>
      <c r="E7312" s="22" t="s">
        <v>2577</v>
      </c>
      <c r="F7312" s="23" t="str">
        <f>HYPERLINK("https://www.spark-marketing.ru/Card/Lot/70910397", "оказать услуги поразработке и составлению Планов обеспечения транспортной безопасности транспортных средств")</f>
        <v>оказать услуги поразработке и составлению Планов обеспечения транспортной безопасности транспортных средств</v>
      </c>
      <c r="G7312" s="22" t="s">
        <v>311</v>
      </c>
      <c r="H7312" s="22" t="s">
        <v>311</v>
      </c>
      <c r="I7312" s="26">
        <v>43614.586620370399</v>
      </c>
      <c r="J7312" s="28" t="s">
        <v>52</v>
      </c>
      <c r="K7312" s="28" t="s">
        <v>52</v>
      </c>
      <c r="L7312" s="28" t="s">
        <v>52</v>
      </c>
      <c r="M7312" s="28" t="s">
        <v>52</v>
      </c>
      <c r="N7312" s="28" t="s">
        <v>52</v>
      </c>
    </row>
    <row r="7313" spans="1:14" x14ac:dyDescent="0.15">
      <c r="A7313" s="23" t="str">
        <f>HYPERLINK("https://www.spark-marketing.ru/Card/Person/132323", "ОПТД")</f>
        <v>ОПТД</v>
      </c>
      <c r="B7313" s="24" t="s">
        <v>5957</v>
      </c>
      <c r="C7313" s="25">
        <v>5000000</v>
      </c>
      <c r="D7313" s="22" t="s">
        <v>9408</v>
      </c>
      <c r="E7313" s="22" t="s">
        <v>52</v>
      </c>
      <c r="F7313" s="23" t="str">
        <f>HYPERLINK("https://www.spark-marketing.ru/Card/Lot/70927393", "Оказание услуг охраны и технического обслуживания средств охраны")</f>
        <v>Оказание услуг охраны и технического обслуживания средств охраны</v>
      </c>
      <c r="G7313" s="22" t="s">
        <v>340</v>
      </c>
      <c r="H7313" s="22" t="s">
        <v>1030</v>
      </c>
      <c r="I7313" s="26">
        <v>43614.610416666699</v>
      </c>
      <c r="J7313" s="28" t="s">
        <v>52</v>
      </c>
      <c r="K7313" s="28" t="s">
        <v>52</v>
      </c>
      <c r="L7313" s="28" t="s">
        <v>52</v>
      </c>
      <c r="M7313" s="28" t="s">
        <v>52</v>
      </c>
      <c r="N7313" s="28" t="s">
        <v>52</v>
      </c>
    </row>
    <row r="7314" spans="1:14" x14ac:dyDescent="0.15">
      <c r="A7314" s="23" t="str">
        <f>HYPERLINK("https://www.spark-marketing.ru/Card/Person/163598", "ОТДЕЛ МВД РОССИИ ПО ГЕОРГИЕВСКОМУ ГОРОДСКОМУ ОКРУГУ")</f>
        <v>ОТДЕЛ МВД РОССИИ ПО ГЕОРГИЕВСКОМУ ГОРОДСКОМУ ОКРУГУ</v>
      </c>
      <c r="B7314" s="24" t="s">
        <v>4022</v>
      </c>
      <c r="C7314" s="25">
        <v>20380.98</v>
      </c>
      <c r="D7314" s="22" t="s">
        <v>9409</v>
      </c>
      <c r="E7314" s="22" t="s">
        <v>53</v>
      </c>
      <c r="F7314" s="23" t="str">
        <f>HYPERLINK("https://www.spark-marketing.ru/Card/Lot/70916709", "Оказание услуг по техническому обслуживанию комплекса технических средств охраны на объектах ОМВД России по Георгиевскому городскому округу")</f>
        <v>Оказание услуг по техническому обслуживанию комплекса технических средств охраны на объектах ОМВД России по Георгиевскому городскому округу</v>
      </c>
      <c r="G7314" s="22" t="s">
        <v>258</v>
      </c>
      <c r="H7314" s="22" t="s">
        <v>4024</v>
      </c>
      <c r="I7314" s="26">
        <v>43614.616168981498</v>
      </c>
      <c r="J7314" s="28" t="s">
        <v>52</v>
      </c>
      <c r="K7314" s="28" t="s">
        <v>52</v>
      </c>
      <c r="L7314" s="28" t="s">
        <v>52</v>
      </c>
      <c r="M7314" s="28" t="s">
        <v>52</v>
      </c>
      <c r="N7314" s="28" t="s">
        <v>52</v>
      </c>
    </row>
    <row r="7315" spans="1:14" x14ac:dyDescent="0.15">
      <c r="A7315" s="23" t="str">
        <f>HYPERLINK("https://www.spark-marketing.ru/Card/Person/61399", "УМВД РОССИИ ПО НЕНЕЦКОМУ АВТОНОМНОМУ ОКРУГУ")</f>
        <v>УМВД РОССИИ ПО НЕНЕЦКОМУ АВТОНОМНОМУ ОКРУГУ</v>
      </c>
      <c r="B7315" s="24" t="s">
        <v>1011</v>
      </c>
      <c r="C7315" s="25">
        <v>81412.92</v>
      </c>
      <c r="D7315" s="22" t="s">
        <v>9410</v>
      </c>
      <c r="E7315" s="22" t="s">
        <v>53</v>
      </c>
      <c r="F7315" s="23" t="str">
        <f>HYPERLINK("https://www.spark-marketing.ru/Card/Lot/70916418", "Охранные услуги на объектах Заказчика,указанные в перечне объектов принятых под охрану")</f>
        <v>Охранные услуги на объектах Заказчика,указанные в перечне объектов принятых под охрану</v>
      </c>
      <c r="G7315" s="22" t="s">
        <v>1014</v>
      </c>
      <c r="H7315" s="22" t="s">
        <v>1015</v>
      </c>
      <c r="I7315" s="26">
        <v>43614.588541666701</v>
      </c>
      <c r="J7315" s="28" t="s">
        <v>52</v>
      </c>
      <c r="K7315" s="28" t="s">
        <v>52</v>
      </c>
      <c r="L7315" s="28" t="s">
        <v>52</v>
      </c>
      <c r="M7315" s="28" t="s">
        <v>52</v>
      </c>
      <c r="N7315" s="28" t="s">
        <v>52</v>
      </c>
    </row>
    <row r="7316" spans="1:14" x14ac:dyDescent="0.15">
      <c r="A7316" s="23" t="str">
        <f>HYPERLINK("https://www.spark-marketing.ru/Card/Person/16966", "ГБУЗ ТО ""РОДДОМ №2""")</f>
        <v>ГБУЗ ТО "РОДДОМ №2"</v>
      </c>
      <c r="B7316" s="24" t="s">
        <v>9411</v>
      </c>
      <c r="C7316" s="25">
        <v>9000</v>
      </c>
      <c r="D7316" s="22" t="s">
        <v>9412</v>
      </c>
      <c r="E7316" s="22" t="s">
        <v>107</v>
      </c>
      <c r="F7316" s="23" t="str">
        <f>HYPERLINK("https://www.spark-marketing.ru/Card/Lot/70920453", "оказание услуг по техническому обслуживанию систем видеонаблюдения")</f>
        <v>оказание услуг по техническому обслуживанию систем видеонаблюдения</v>
      </c>
      <c r="G7316" s="22" t="s">
        <v>893</v>
      </c>
      <c r="H7316" s="22" t="s">
        <v>894</v>
      </c>
      <c r="I7316" s="26">
        <v>43614.615277777797</v>
      </c>
      <c r="J7316" s="28" t="s">
        <v>52</v>
      </c>
      <c r="K7316" s="28" t="s">
        <v>52</v>
      </c>
      <c r="L7316" s="28" t="s">
        <v>52</v>
      </c>
      <c r="M7316" s="28" t="s">
        <v>52</v>
      </c>
      <c r="N7316" s="28" t="s">
        <v>52</v>
      </c>
    </row>
    <row r="7317" spans="1:14" hidden="1" outlineLevel="1" x14ac:dyDescent="0.2">
      <c r="A7317" s="23" t="str">
        <f>HYPERLINK("https://www.spark-marketing.ru/Card/Person/16966", "ГБУЗ ТО ""РОДДОМ №2""")</f>
        <v>ГБУЗ ТО "РОДДОМ №2"</v>
      </c>
      <c r="B7317" s="24" t="s">
        <v>9411</v>
      </c>
      <c r="C7317" s="25">
        <v>9000</v>
      </c>
      <c r="D7317" s="22" t="s">
        <v>9412</v>
      </c>
      <c r="E7317" s="22" t="s">
        <v>107</v>
      </c>
      <c r="F7317" s="23" t="str">
        <f>HYPERLINK("https://www.spark-marketing.ru/Card/Lot/70920453", "оказание услуг по техническому обслуживанию систем видеонаблюдения")</f>
        <v>оказание услуг по техническому обслуживанию систем видеонаблюдения</v>
      </c>
      <c r="G7317" s="22" t="s">
        <v>893</v>
      </c>
      <c r="H7317" s="22" t="s">
        <v>894</v>
      </c>
      <c r="I7317" s="26">
        <v>43614.615277777797</v>
      </c>
      <c r="J7317" s="23" t="str">
        <f>HYPERLINK("https://www.spark-marketing.ru/Card/Person/6443907", "ООО ""СЕРВИССИСТЕМБЕЗОПАСНОСТИ""")</f>
        <v>ООО "СЕРВИССИСТЕМБЕЗОПАСНОСТИ"</v>
      </c>
      <c r="K7317" s="24" t="s">
        <v>9413</v>
      </c>
      <c r="L7317" s="28" t="s">
        <v>52</v>
      </c>
      <c r="M7317" s="25">
        <v>6000</v>
      </c>
      <c r="N7317" s="27">
        <v>0.33333333333333331</v>
      </c>
    </row>
    <row r="7318" spans="1:14" ht="12.75" hidden="1" outlineLevel="1" x14ac:dyDescent="0.2">
      <c r="A7318" s="23" t="str">
        <f>HYPERLINK("https://www.spark-marketing.ru/Card/Person/16966", "ГБУЗ ТО ""РОДДОМ №2""")</f>
        <v>ГБУЗ ТО "РОДДОМ №2"</v>
      </c>
      <c r="B7318" s="24" t="s">
        <v>9411</v>
      </c>
      <c r="C7318" s="25">
        <v>9000</v>
      </c>
      <c r="D7318" s="22" t="s">
        <v>9412</v>
      </c>
      <c r="E7318" s="22" t="s">
        <v>107</v>
      </c>
      <c r="F7318" s="23" t="str">
        <f>HYPERLINK("https://www.spark-marketing.ru/Card/Lot/70920453", "оказание услуг по техническому обслуживанию систем видеонаблюдения")</f>
        <v>оказание услуг по техническому обслуживанию систем видеонаблюдения</v>
      </c>
      <c r="G7318" s="22" t="s">
        <v>893</v>
      </c>
      <c r="H7318" s="22" t="s">
        <v>894</v>
      </c>
      <c r="I7318" s="26">
        <v>43614.615277777797</v>
      </c>
      <c r="J7318" s="23" t="str">
        <f>HYPERLINK("https://www.spark-marketing.ru/Card/Person/235055", "ООО ""ТТСС +""")</f>
        <v>ООО "ТТСС +"</v>
      </c>
      <c r="K7318" s="24" t="s">
        <v>9414</v>
      </c>
      <c r="L7318" s="22" t="s">
        <v>10</v>
      </c>
      <c r="M7318" s="25">
        <v>5900</v>
      </c>
      <c r="N7318" s="27">
        <v>0.34444444444444444</v>
      </c>
    </row>
    <row r="7319" spans="1:14" x14ac:dyDescent="0.15">
      <c r="A7319" s="23" t="str">
        <f>HYPERLINK("https://www.spark-marketing.ru/Card/Person/540410", "МОМВД РОССИИ ""ШАЦКИЙ""")</f>
        <v>МОМВД РОССИИ "ШАЦКИЙ"</v>
      </c>
      <c r="B7319" s="24" t="s">
        <v>9415</v>
      </c>
      <c r="C7319" s="25">
        <v>16305</v>
      </c>
      <c r="D7319" s="22" t="s">
        <v>9416</v>
      </c>
      <c r="E7319" s="22" t="s">
        <v>59</v>
      </c>
      <c r="F7319" s="23" t="str">
        <f>HYPERLINK("https://www.spark-marketing.ru/Card/Lot/70915988", "Установка охранной сигнализации, 1 шт")</f>
        <v>Установка охранной сигнализации, 1 шт</v>
      </c>
      <c r="G7319" s="22" t="s">
        <v>186</v>
      </c>
      <c r="H7319" s="22" t="s">
        <v>9417</v>
      </c>
      <c r="I7319" s="26">
        <v>43614.614004629599</v>
      </c>
      <c r="J7319" s="28" t="s">
        <v>52</v>
      </c>
      <c r="K7319" s="28" t="s">
        <v>52</v>
      </c>
      <c r="L7319" s="28" t="s">
        <v>52</v>
      </c>
      <c r="M7319" s="28" t="s">
        <v>52</v>
      </c>
      <c r="N7319" s="28" t="s">
        <v>52</v>
      </c>
    </row>
    <row r="7320" spans="1:14" x14ac:dyDescent="0.15">
      <c r="A7320" s="23" t="str">
        <f>HYPERLINK("https://www.spark-marketing.ru/Card/Person/86027", "ГБДОУ ДЕТСКИЙ САД № 30 ПУШКИНСКОГО РАЙОНА С-ПБ.")</f>
        <v>ГБДОУ ДЕТСКИЙ САД № 30 ПУШКИНСКОГО РАЙОНА С-ПБ.</v>
      </c>
      <c r="B7320" s="24" t="s">
        <v>9418</v>
      </c>
      <c r="C7320" s="25">
        <v>277503</v>
      </c>
      <c r="D7320" s="22" t="s">
        <v>9419</v>
      </c>
      <c r="E7320" s="22" t="s">
        <v>59</v>
      </c>
      <c r="F7320" s="23" t="str">
        <f>HYPERLINK("https://www.spark-marketing.ru/Card/Lot/70924253", "Установка видеодомофонов ГБДОУ детский сад №30 Пушкинского района С-Пб по адресу: Санкт-Петербург, п. Тярлево, Тярлевская ул., д.12, литер А")</f>
        <v>Установка видеодомофонов ГБДОУ детский сад №30 Пушкинского района С-Пб по адресу: Санкт-Петербург, п. Тярлево, Тярлевская ул., д.12, литер А</v>
      </c>
      <c r="G7320" s="22" t="s">
        <v>89</v>
      </c>
      <c r="H7320" s="22" t="s">
        <v>89</v>
      </c>
      <c r="I7320" s="26">
        <v>43614.559027777803</v>
      </c>
      <c r="J7320" s="28" t="s">
        <v>52</v>
      </c>
      <c r="K7320" s="28" t="s">
        <v>52</v>
      </c>
      <c r="L7320" s="28" t="s">
        <v>52</v>
      </c>
      <c r="M7320" s="28" t="s">
        <v>52</v>
      </c>
      <c r="N7320" s="28" t="s">
        <v>52</v>
      </c>
    </row>
    <row r="7321" spans="1:14" x14ac:dyDescent="0.15">
      <c r="A7321" s="23" t="str">
        <f>HYPERLINK("https://www.spark-marketing.ru/Card/Person/66894", "БУ ""НЯГАНСКАЯ ГОРОДСКАЯ ДЕТСКАЯ ПОЛИКЛИНИКА""")</f>
        <v>БУ "НЯГАНСКАЯ ГОРОДСКАЯ ДЕТСКАЯ ПОЛИКЛИНИКА"</v>
      </c>
      <c r="B7321" s="24" t="s">
        <v>9420</v>
      </c>
      <c r="C7321" s="28" t="s">
        <v>52</v>
      </c>
      <c r="D7321" s="22" t="s">
        <v>9421</v>
      </c>
      <c r="E7321" s="22" t="s">
        <v>52</v>
      </c>
      <c r="F7321" s="23" t="str">
        <f>HYPERLINK("https://www.spark-marketing.ru/Card/Lot/70909679", "Техническое обслуживание комплекса технических средств охраны на объекте (системы тревожной сигнализации, видеонаблюдения)")</f>
        <v>Техническое обслуживание комплекса технических средств охраны на объекте (системы тревожной сигнализации, видеонаблюдения)</v>
      </c>
      <c r="G7321" s="22" t="s">
        <v>119</v>
      </c>
      <c r="H7321" s="22" t="s">
        <v>3798</v>
      </c>
      <c r="I7321" s="26">
        <v>43614.538888888899</v>
      </c>
      <c r="J7321" s="28" t="s">
        <v>52</v>
      </c>
      <c r="K7321" s="28" t="s">
        <v>52</v>
      </c>
      <c r="L7321" s="28" t="s">
        <v>52</v>
      </c>
      <c r="M7321" s="28" t="s">
        <v>52</v>
      </c>
      <c r="N7321" s="28" t="s">
        <v>52</v>
      </c>
    </row>
    <row r="7322" spans="1:14" ht="12.75" x14ac:dyDescent="0.2">
      <c r="A7322" s="23" t="str">
        <f>HYPERLINK("https://www.spark-marketing.ru/Card/Person/92046", "МЕЖРАЙОННАЯ ИФНС РОССИИ № 3 ПО ОМСКОЙ ОБЛАСТИ")</f>
        <v>МЕЖРАЙОННАЯ ИФНС РОССИИ № 3 ПО ОМСКОЙ ОБЛАСТИ</v>
      </c>
      <c r="B7322" s="24" t="s">
        <v>9422</v>
      </c>
      <c r="C7322" s="25">
        <v>85192</v>
      </c>
      <c r="D7322" s="22" t="s">
        <v>9423</v>
      </c>
      <c r="E7322" s="22" t="s">
        <v>68</v>
      </c>
      <c r="F7322" s="23" t="str">
        <f>HYPERLINK("https://www.spark-marketing.ru/Card/Lot/70905270", "Услуги физической охраны")</f>
        <v>Услуги физической охраны</v>
      </c>
      <c r="G7322" s="22" t="s">
        <v>521</v>
      </c>
      <c r="H7322" s="22" t="s">
        <v>521</v>
      </c>
      <c r="I7322" s="26">
        <v>43614.533333333296</v>
      </c>
      <c r="J7322" s="23" t="str">
        <f>HYPERLINK("https://www.spark-marketing.ru/Card/Person/4485266", "ООО ЧОО ""СВОИ""")</f>
        <v>ООО ЧОО "СВОИ"</v>
      </c>
      <c r="K7322" s="24" t="s">
        <v>6675</v>
      </c>
      <c r="L7322" s="22" t="s">
        <v>10</v>
      </c>
      <c r="M7322" s="25">
        <v>74000</v>
      </c>
      <c r="N7322" s="27">
        <v>0.13137383791905344</v>
      </c>
    </row>
    <row r="7323" spans="1:14" x14ac:dyDescent="0.15">
      <c r="A7323" s="23" t="str">
        <f>HYPERLINK("https://www.spark-marketing.ru/Card/Person/259161", "ГБПОУ УФИМСКИЙ ПОЛИТЕХНИЧЕСКИЙ КОЛЛЕДЖ")</f>
        <v>ГБПОУ УФИМСКИЙ ПОЛИТЕХНИЧЕСКИЙ КОЛЛЕДЖ</v>
      </c>
      <c r="B7323" s="24" t="s">
        <v>9424</v>
      </c>
      <c r="C7323" s="25">
        <v>1022100</v>
      </c>
      <c r="D7323" s="22" t="s">
        <v>9425</v>
      </c>
      <c r="E7323" s="22" t="s">
        <v>183</v>
      </c>
      <c r="F7323" s="23" t="str">
        <f>HYPERLINK("https://www.spark-marketing.ru/Card/Lot/70910012", "Услуги охраны объектов ГБПОУ Уфимский политехнический колледж на 2-е полугодие 2019 г")</f>
        <v>Услуги охраны объектов ГБПОУ Уфимский политехнический колледж на 2-е полугодие 2019 г</v>
      </c>
      <c r="G7323" s="22" t="s">
        <v>100</v>
      </c>
      <c r="H7323" s="22" t="s">
        <v>373</v>
      </c>
      <c r="I7323" s="26">
        <v>43614.511805555601</v>
      </c>
      <c r="J7323" s="28" t="s">
        <v>52</v>
      </c>
      <c r="K7323" s="28" t="s">
        <v>52</v>
      </c>
      <c r="L7323" s="28" t="s">
        <v>52</v>
      </c>
      <c r="M7323" s="28" t="s">
        <v>52</v>
      </c>
      <c r="N7323" s="28" t="s">
        <v>52</v>
      </c>
    </row>
    <row r="7324" spans="1:14" ht="12.75" hidden="1" outlineLevel="1" x14ac:dyDescent="0.2">
      <c r="A7324" s="23" t="str">
        <f>HYPERLINK("https://www.spark-marketing.ru/Card/Person/259161", "ГБПОУ УФИМСКИЙ ПОЛИТЕХНИЧЕСКИЙ КОЛЛЕДЖ")</f>
        <v>ГБПОУ УФИМСКИЙ ПОЛИТЕХНИЧЕСКИЙ КОЛЛЕДЖ</v>
      </c>
      <c r="B7324" s="24" t="s">
        <v>9424</v>
      </c>
      <c r="C7324" s="25">
        <v>1022100</v>
      </c>
      <c r="D7324" s="22" t="s">
        <v>9425</v>
      </c>
      <c r="E7324" s="22" t="s">
        <v>183</v>
      </c>
      <c r="F7324" s="23" t="str">
        <f>HYPERLINK("https://www.spark-marketing.ru/Card/Lot/70910012", "Услуги охраны объектов ГБПОУ Уфимский политехнический колледж на 2-е полугодие 2019 г")</f>
        <v>Услуги охраны объектов ГБПОУ Уфимский политехнический колледж на 2-е полугодие 2019 г</v>
      </c>
      <c r="G7324" s="22" t="s">
        <v>100</v>
      </c>
      <c r="H7324" s="22" t="s">
        <v>373</v>
      </c>
      <c r="I7324" s="26">
        <v>43614.511805555601</v>
      </c>
      <c r="J7324" s="23" t="str">
        <f>HYPERLINK("https://www.spark-marketing.ru/Card/Person/2465029", "ООО ЧОП ""ЛЕОН ПЛЮС""")</f>
        <v>ООО ЧОП "ЛЕОН ПЛЮС"</v>
      </c>
      <c r="K7324" s="24" t="s">
        <v>9426</v>
      </c>
      <c r="L7324" s="22" t="s">
        <v>10</v>
      </c>
      <c r="M7324" s="25">
        <v>710462.5</v>
      </c>
      <c r="N7324" s="27">
        <v>0.30489922708149886</v>
      </c>
    </row>
    <row r="7325" spans="1:14" hidden="1" outlineLevel="1" x14ac:dyDescent="0.2">
      <c r="A7325" s="23" t="str">
        <f>HYPERLINK("https://www.spark-marketing.ru/Card/Person/259161", "ГБПОУ УФИМСКИЙ ПОЛИТЕХНИЧЕСКИЙ КОЛЛЕДЖ")</f>
        <v>ГБПОУ УФИМСКИЙ ПОЛИТЕХНИЧЕСКИЙ КОЛЛЕДЖ</v>
      </c>
      <c r="B7325" s="24" t="s">
        <v>9424</v>
      </c>
      <c r="C7325" s="25">
        <v>1022100</v>
      </c>
      <c r="D7325" s="22" t="s">
        <v>9425</v>
      </c>
      <c r="E7325" s="22" t="s">
        <v>183</v>
      </c>
      <c r="F7325" s="23" t="str">
        <f>HYPERLINK("https://www.spark-marketing.ru/Card/Lot/70910012", "Услуги охраны объектов ГБПОУ Уфимский политехнический колледж на 2-е полугодие 2019 г")</f>
        <v>Услуги охраны объектов ГБПОУ Уфимский политехнический колледж на 2-е полугодие 2019 г</v>
      </c>
      <c r="G7325" s="22" t="s">
        <v>100</v>
      </c>
      <c r="H7325" s="22" t="s">
        <v>373</v>
      </c>
      <c r="I7325" s="26">
        <v>43614.511805555601</v>
      </c>
      <c r="J7325" s="23" t="str">
        <f>HYPERLINK("https://www.spark-marketing.ru/Card/Person/4886524", "ООО ЧОО ""ФЕНИКС""")</f>
        <v>ООО ЧОО "ФЕНИКС"</v>
      </c>
      <c r="K7325" s="24" t="s">
        <v>8997</v>
      </c>
      <c r="L7325" s="28" t="s">
        <v>52</v>
      </c>
      <c r="M7325" s="25">
        <v>710462.5</v>
      </c>
      <c r="N7325" s="27">
        <v>0.30489922708149886</v>
      </c>
    </row>
    <row r="7326" spans="1:14" hidden="1" outlineLevel="1" x14ac:dyDescent="0.2">
      <c r="A7326" s="23" t="str">
        <f>HYPERLINK("https://www.spark-marketing.ru/Card/Person/259161", "ГБПОУ УФИМСКИЙ ПОЛИТЕХНИЧЕСКИЙ КОЛЛЕДЖ")</f>
        <v>ГБПОУ УФИМСКИЙ ПОЛИТЕХНИЧЕСКИЙ КОЛЛЕДЖ</v>
      </c>
      <c r="B7326" s="24" t="s">
        <v>9424</v>
      </c>
      <c r="C7326" s="25">
        <v>1022100</v>
      </c>
      <c r="D7326" s="22" t="s">
        <v>9425</v>
      </c>
      <c r="E7326" s="22" t="s">
        <v>183</v>
      </c>
      <c r="F7326" s="23" t="str">
        <f>HYPERLINK("https://www.spark-marketing.ru/Card/Lot/70910012", "Услуги охраны объектов ГБПОУ Уфимский политехнический колледж на 2-е полугодие 2019 г")</f>
        <v>Услуги охраны объектов ГБПОУ Уфимский политехнический колледж на 2-е полугодие 2019 г</v>
      </c>
      <c r="G7326" s="22" t="s">
        <v>100</v>
      </c>
      <c r="H7326" s="22" t="s">
        <v>373</v>
      </c>
      <c r="I7326" s="26">
        <v>43614.511805555601</v>
      </c>
      <c r="J7326" s="23" t="str">
        <f>HYPERLINK("https://www.spark-marketing.ru/Card/Person/4356479", "ООО ЧОП ""ЛЕОНАРД""")</f>
        <v>ООО ЧОП "ЛЕОНАРД"</v>
      </c>
      <c r="K7326" s="24" t="s">
        <v>9427</v>
      </c>
      <c r="L7326" s="28" t="s">
        <v>52</v>
      </c>
      <c r="M7326" s="25">
        <v>879006</v>
      </c>
      <c r="N7326" s="27">
        <v>0.14000000000000001</v>
      </c>
    </row>
    <row r="7327" spans="1:14" x14ac:dyDescent="0.15">
      <c r="A7327" s="23" t="str">
        <f>HYPERLINK("https://www.spark-marketing.ru/Card/Person/66894", "БУ ""НЯГАНСКАЯ ГОРОДСКАЯ ДЕТСКАЯ ПОЛИКЛИНИКА""")</f>
        <v>БУ "НЯГАНСКАЯ ГОРОДСКАЯ ДЕТСКАЯ ПОЛИКЛИНИКА"</v>
      </c>
      <c r="B7327" s="24" t="s">
        <v>9420</v>
      </c>
      <c r="C7327" s="28" t="s">
        <v>52</v>
      </c>
      <c r="D7327" s="22" t="s">
        <v>9428</v>
      </c>
      <c r="E7327" s="22" t="s">
        <v>52</v>
      </c>
      <c r="F7327" s="23" t="str">
        <f>HYPERLINK("https://www.spark-marketing.ru/Card/Lot/70909583", "Товары, работы или услуги на сумму, не превышающую 100 тыс. рублей (в случае заключения заказчиком контракта в соответствии с п. 4 ч. 1 ст. 93 Федерального закона от 05.04.2013 г. № 44-ФЗ)")</f>
        <v>Товары, работы или услуги на сумму, не превышающую 100 тыс. рублей (в случае заключения заказчиком контракта в соответствии с п. 4 ч. 1 ст. 93 Федерального закона от 05.04.2013 г. № 44-ФЗ)</v>
      </c>
      <c r="G7327" s="22" t="s">
        <v>119</v>
      </c>
      <c r="H7327" s="22" t="s">
        <v>3798</v>
      </c>
      <c r="I7327" s="26">
        <v>43614.529861111099</v>
      </c>
      <c r="J7327" s="28" t="s">
        <v>52</v>
      </c>
      <c r="K7327" s="28" t="s">
        <v>52</v>
      </c>
      <c r="L7327" s="28" t="s">
        <v>52</v>
      </c>
      <c r="M7327" s="28" t="s">
        <v>52</v>
      </c>
      <c r="N7327" s="28" t="s">
        <v>52</v>
      </c>
    </row>
    <row r="7328" spans="1:14" x14ac:dyDescent="0.15">
      <c r="A7328" s="23" t="str">
        <f>HYPERLINK("https://www.spark-marketing.ru/Card/Person/4343740", "МИНЗДРАВ РОССИИ")</f>
        <v>МИНЗДРАВ РОССИИ</v>
      </c>
      <c r="B7328" s="24" t="s">
        <v>1666</v>
      </c>
      <c r="C7328" s="25">
        <v>607144677.80999994</v>
      </c>
      <c r="D7328" s="22" t="s">
        <v>9429</v>
      </c>
      <c r="E7328" s="22" t="s">
        <v>53</v>
      </c>
      <c r="F7328" s="23" t="str">
        <f>HYPERLINK("https://www.spark-marketing.ru/Card/Lot/70914668", "Эптаког альфа (активированный), лиофилизат для приготовления раствора для внутривенного введения, 4,8-5,0 мг (240-250 КЕД/240-250 тыс. МЕ) в рамках реализации постановления Правительства Российской Федерации от 26.11.2018 № 1416 ""О порядке организац...")</f>
        <v>Эптаког альфа (активированный), лиофилизат для приготовления раствора для внутривенного введения, 4,8-5,0 мг (240-250 КЕД/240-250 тыс. МЕ) в рамках реализации постановления Правительства Российской Федерации от 26.11.2018 № 1416 "О порядке организац...</v>
      </c>
      <c r="G7328" s="22" t="s">
        <v>230</v>
      </c>
      <c r="H7328" s="22" t="s">
        <v>231</v>
      </c>
      <c r="I7328" s="26">
        <v>43614.487500000003</v>
      </c>
      <c r="J7328" s="23" t="str">
        <f>HYPERLINK("https://www.spark-marketing.ru/Card/Person/42069", "АО ""ФАРМСТАНДАРТ""")</f>
        <v>АО "ФАРМСТАНДАРТ"</v>
      </c>
      <c r="K7328" s="24" t="s">
        <v>1668</v>
      </c>
      <c r="L7328" s="22" t="s">
        <v>10</v>
      </c>
      <c r="M7328" s="28" t="s">
        <v>52</v>
      </c>
      <c r="N7328" s="28" t="s">
        <v>52</v>
      </c>
    </row>
    <row r="7329" spans="1:14" x14ac:dyDescent="0.15">
      <c r="A7329" s="23" t="str">
        <f>HYPERLINK("https://www.spark-marketing.ru/Card/Person/437821", "ГАУ НСО НГАДТ ""КРАСНЫЙ ФАКЕЛ""")</f>
        <v>ГАУ НСО НГАДТ "КРАСНЫЙ ФАКЕЛ"</v>
      </c>
      <c r="B7329" s="24" t="s">
        <v>9430</v>
      </c>
      <c r="C7329" s="25">
        <v>67000</v>
      </c>
      <c r="D7329" s="22" t="s">
        <v>9431</v>
      </c>
      <c r="E7329" s="22" t="s">
        <v>194</v>
      </c>
      <c r="F7329" s="23" t="str">
        <f>HYPERLINK("https://www.spark-marketing.ru/Card/Lot/70905971", "Покупка и установка видеокамер")</f>
        <v>Покупка и установка видеокамер</v>
      </c>
      <c r="G7329" s="22" t="s">
        <v>209</v>
      </c>
      <c r="H7329" s="22" t="s">
        <v>210</v>
      </c>
      <c r="I7329" s="26">
        <v>43614.465972222199</v>
      </c>
      <c r="J7329" s="28" t="s">
        <v>52</v>
      </c>
      <c r="K7329" s="28" t="s">
        <v>52</v>
      </c>
      <c r="L7329" s="28" t="s">
        <v>52</v>
      </c>
      <c r="M7329" s="28" t="s">
        <v>52</v>
      </c>
      <c r="N7329" s="28" t="s">
        <v>52</v>
      </c>
    </row>
    <row r="7330" spans="1:14" x14ac:dyDescent="0.15">
      <c r="A7330" s="23" t="str">
        <f t="shared" ref="A7330:A7335" si="305">HYPERLINK("https://www.spark-marketing.ru/Card/Person/4343740", "МИНЗДРАВ РОССИИ")</f>
        <v>МИНЗДРАВ РОССИИ</v>
      </c>
      <c r="B7330" s="24" t="s">
        <v>1666</v>
      </c>
      <c r="C7330" s="25">
        <v>732081978.64999998</v>
      </c>
      <c r="D7330" s="22" t="s">
        <v>9432</v>
      </c>
      <c r="E7330" s="22" t="s">
        <v>53</v>
      </c>
      <c r="F7330" s="23" t="str">
        <f>HYPERLINK("https://www.spark-marketing.ru/Card/Lot/70914669", "Интерферон бета-1b, лиофилизат для приготовления раствора для подкожного введения и/или раствор для подкожного введения, 8-9,6 млн. МЕ в рамках реализации постановления Правительства Российской Федерации от 26.11.2018 № 1416 ""О порядке организации о...")</f>
        <v>Интерферон бета-1b, лиофилизат для приготовления раствора для подкожного введения и/или раствор для подкожного введения, 8-9,6 млн. МЕ в рамках реализации постановления Правительства Российской Федерации от 26.11.2018 № 1416 "О порядке организации о...</v>
      </c>
      <c r="G7330" s="22" t="s">
        <v>428</v>
      </c>
      <c r="H7330" s="22" t="s">
        <v>429</v>
      </c>
      <c r="I7330" s="26">
        <v>43614.480555555601</v>
      </c>
      <c r="J7330" s="23" t="str">
        <f>HYPERLINK("https://www.spark-marketing.ru/Card/Person/50996", "ООО ""БИОТЭК""")</f>
        <v>ООО "БИОТЭК"</v>
      </c>
      <c r="K7330" s="24" t="s">
        <v>3462</v>
      </c>
      <c r="L7330" s="22" t="s">
        <v>10</v>
      </c>
      <c r="M7330" s="28" t="s">
        <v>52</v>
      </c>
      <c r="N7330" s="28" t="s">
        <v>52</v>
      </c>
    </row>
    <row r="7331" spans="1:14" x14ac:dyDescent="0.15">
      <c r="A7331" s="23" t="str">
        <f t="shared" si="305"/>
        <v>МИНЗДРАВ РОССИИ</v>
      </c>
      <c r="B7331" s="24" t="s">
        <v>1666</v>
      </c>
      <c r="C7331" s="25">
        <v>500481990.77999997</v>
      </c>
      <c r="D7331" s="22" t="s">
        <v>9433</v>
      </c>
      <c r="E7331" s="22" t="s">
        <v>53</v>
      </c>
      <c r="F7331" s="23" t="str">
        <f>HYPERLINK("https://www.spark-marketing.ru/Card/Lot/70914544", "Эптаког альфа (активированный), лиофилизат для приготовления раствора для внутривенного введения, 2-2,4 мг (100-120 КЕД/100-120 тыс. МЕ) в рамках реализации постановления Правительства Российской Федерации от 26.11.2018 № 1416 ""О порядке организации...")</f>
        <v>Эптаког альфа (активированный), лиофилизат для приготовления раствора для внутривенного введения, 2-2,4 мг (100-120 КЕД/100-120 тыс. МЕ) в рамках реализации постановления Правительства Российской Федерации от 26.11.2018 № 1416 "О порядке организации...</v>
      </c>
      <c r="G7331" s="22" t="s">
        <v>428</v>
      </c>
      <c r="H7331" s="22" t="s">
        <v>429</v>
      </c>
      <c r="I7331" s="26">
        <v>43614.4777777778</v>
      </c>
      <c r="J7331" s="23" t="str">
        <f>HYPERLINK("https://www.spark-marketing.ru/Card/Person/9709", "ООО ""МЕДИПАЛ-ОНКО""")</f>
        <v>ООО "МЕДИПАЛ-ОНКО"</v>
      </c>
      <c r="K7331" s="24" t="s">
        <v>9434</v>
      </c>
      <c r="L7331" s="22" t="s">
        <v>10</v>
      </c>
      <c r="M7331" s="28" t="s">
        <v>52</v>
      </c>
      <c r="N7331" s="28" t="s">
        <v>52</v>
      </c>
    </row>
    <row r="7332" spans="1:14" x14ac:dyDescent="0.15">
      <c r="A7332" s="23" t="str">
        <f t="shared" si="305"/>
        <v>МИНЗДРАВ РОССИИ</v>
      </c>
      <c r="B7332" s="24" t="s">
        <v>1666</v>
      </c>
      <c r="C7332" s="25">
        <v>206325554.40000001</v>
      </c>
      <c r="D7332" s="22" t="s">
        <v>9435</v>
      </c>
      <c r="E7332" s="22" t="s">
        <v>53</v>
      </c>
      <c r="F7332" s="23" t="str">
        <f>HYPERLINK("https://www.spark-marketing.ru/Card/Lot/70916312", "Микофеноловая кислота, таблетки, покрытые кишечнорастворимой оболочкой и/или таблетки кишечнорастворимые, покрытые оболочкой, 360 мг в рамках реализации постановления Правительства Российской Федерации от 26.11.2018 № 1416 ""О порядке организации обе...")</f>
        <v>Микофеноловая кислота, таблетки, покрытые кишечнорастворимой оболочкой и/или таблетки кишечнорастворимые, покрытые оболочкой, 360 мг в рамках реализации постановления Правительства Российской Федерации от 26.11.2018 № 1416 "О порядке организации обе...</v>
      </c>
      <c r="G7332" s="22" t="s">
        <v>428</v>
      </c>
      <c r="H7332" s="22" t="s">
        <v>429</v>
      </c>
      <c r="I7332" s="26">
        <v>43614.497916666704</v>
      </c>
      <c r="J7332" s="28" t="s">
        <v>52</v>
      </c>
      <c r="K7332" s="28" t="s">
        <v>52</v>
      </c>
      <c r="L7332" s="28" t="s">
        <v>52</v>
      </c>
      <c r="M7332" s="28" t="s">
        <v>52</v>
      </c>
      <c r="N7332" s="28" t="s">
        <v>52</v>
      </c>
    </row>
    <row r="7333" spans="1:14" hidden="1" outlineLevel="1" x14ac:dyDescent="0.2">
      <c r="A7333" s="23" t="str">
        <f t="shared" si="305"/>
        <v>МИНЗДРАВ РОССИИ</v>
      </c>
      <c r="B7333" s="24" t="s">
        <v>1666</v>
      </c>
      <c r="C7333" s="25">
        <v>206325554.40000001</v>
      </c>
      <c r="D7333" s="22" t="s">
        <v>9435</v>
      </c>
      <c r="E7333" s="22" t="s">
        <v>53</v>
      </c>
      <c r="F7333" s="23" t="str">
        <f>HYPERLINK("https://www.spark-marketing.ru/Card/Lot/70916312", "Микофеноловая кислота, таблетки, покрытые кишечнорастворимой оболочкой и/или таблетки кишечнорастворимые, покрытые оболочкой, 360 мг в рамках реализации постановления Правительства Российской Федерации от 26.11.2018 № 1416 ""О порядке организации обе...")</f>
        <v>Микофеноловая кислота, таблетки, покрытые кишечнорастворимой оболочкой и/или таблетки кишечнорастворимые, покрытые оболочкой, 360 мг в рамках реализации постановления Правительства Российской Федерации от 26.11.2018 № 1416 "О порядке организации обе...</v>
      </c>
      <c r="G7333" s="22" t="s">
        <v>428</v>
      </c>
      <c r="H7333" s="22" t="s">
        <v>429</v>
      </c>
      <c r="I7333" s="26">
        <v>43614.497916666704</v>
      </c>
      <c r="J7333" s="23" t="str">
        <f>HYPERLINK("https://www.spark-marketing.ru/Card/Person/6494891", "ООО ""ПФК""")</f>
        <v>ООО "ПФК"</v>
      </c>
      <c r="K7333" s="24" t="s">
        <v>9436</v>
      </c>
      <c r="L7333" s="28" t="s">
        <v>52</v>
      </c>
      <c r="M7333" s="25">
        <v>203230671.09</v>
      </c>
      <c r="N7333" s="27">
        <v>1.4999999970919744E-2</v>
      </c>
    </row>
    <row r="7334" spans="1:14" hidden="1" outlineLevel="1" x14ac:dyDescent="0.2">
      <c r="A7334" s="23" t="str">
        <f t="shared" si="305"/>
        <v>МИНЗДРАВ РОССИИ</v>
      </c>
      <c r="B7334" s="24" t="s">
        <v>1666</v>
      </c>
      <c r="C7334" s="25">
        <v>206325554.40000001</v>
      </c>
      <c r="D7334" s="22" t="s">
        <v>9435</v>
      </c>
      <c r="E7334" s="22" t="s">
        <v>53</v>
      </c>
      <c r="F7334" s="23" t="str">
        <f>HYPERLINK("https://www.spark-marketing.ru/Card/Lot/70916312", "Микофеноловая кислота, таблетки, покрытые кишечнорастворимой оболочкой и/или таблетки кишечнорастворимые, покрытые оболочкой, 360 мг в рамках реализации постановления Правительства Российской Федерации от 26.11.2018 № 1416 ""О порядке организации обе...")</f>
        <v>Микофеноловая кислота, таблетки, покрытые кишечнорастворимой оболочкой и/или таблетки кишечнорастворимые, покрытые оболочкой, 360 мг в рамках реализации постановления Правительства Российской Федерации от 26.11.2018 № 1416 "О порядке организации обе...</v>
      </c>
      <c r="G7334" s="22" t="s">
        <v>428</v>
      </c>
      <c r="H7334" s="22" t="s">
        <v>429</v>
      </c>
      <c r="I7334" s="26">
        <v>43614.497916666704</v>
      </c>
      <c r="J7334" s="23" t="str">
        <f>HYPERLINK("https://www.spark-marketing.ru/Card/Person/12537", "ООО ""МАМОНТ ФАРМ""")</f>
        <v>ООО "МАМОНТ ФАРМ"</v>
      </c>
      <c r="K7334" s="24" t="s">
        <v>9437</v>
      </c>
      <c r="L7334" s="28" t="s">
        <v>52</v>
      </c>
      <c r="M7334" s="25">
        <v>204262298.86000001</v>
      </c>
      <c r="N7334" s="27">
        <v>9.9999999806131626E-3</v>
      </c>
    </row>
    <row r="7335" spans="1:14" ht="12.75" hidden="1" outlineLevel="1" x14ac:dyDescent="0.2">
      <c r="A7335" s="23" t="str">
        <f t="shared" si="305"/>
        <v>МИНЗДРАВ РОССИИ</v>
      </c>
      <c r="B7335" s="24" t="s">
        <v>1666</v>
      </c>
      <c r="C7335" s="25">
        <v>206325554.40000001</v>
      </c>
      <c r="D7335" s="22" t="s">
        <v>9435</v>
      </c>
      <c r="E7335" s="22" t="s">
        <v>53</v>
      </c>
      <c r="F7335" s="23" t="str">
        <f>HYPERLINK("https://www.spark-marketing.ru/Card/Lot/70916312", "Микофеноловая кислота, таблетки, покрытые кишечнорастворимой оболочкой и/или таблетки кишечнорастворимые, покрытые оболочкой, 360 мг в рамках реализации постановления Правительства Российской Федерации от 26.11.2018 № 1416 ""О порядке организации обе...")</f>
        <v>Микофеноловая кислота, таблетки, покрытые кишечнорастворимой оболочкой и/или таблетки кишечнорастворимые, покрытые оболочкой, 360 мг в рамках реализации постановления Правительства Российской Федерации от 26.11.2018 № 1416 "О порядке организации обе...</v>
      </c>
      <c r="G7335" s="22" t="s">
        <v>428</v>
      </c>
      <c r="H7335" s="22" t="s">
        <v>429</v>
      </c>
      <c r="I7335" s="26">
        <v>43614.497916666704</v>
      </c>
      <c r="J7335" s="23" t="str">
        <f>HYPERLINK("https://www.spark-marketing.ru/Card/Person/4345864", "АО ""Р-ФАРМ""")</f>
        <v>АО "Р-ФАРМ"</v>
      </c>
      <c r="K7335" s="24" t="s">
        <v>5343</v>
      </c>
      <c r="L7335" s="22" t="s">
        <v>10</v>
      </c>
      <c r="M7335" s="25">
        <v>202199043.12</v>
      </c>
      <c r="N7335" s="27">
        <v>2.0000000930568203E-2</v>
      </c>
    </row>
    <row r="7336" spans="1:14" x14ac:dyDescent="0.15">
      <c r="A7336" s="23" t="str">
        <f t="shared" ref="A7336:A7345" si="306">HYPERLINK("https://www.spark-marketing.ru/Card/Person/61298", "ГБУЗ ""ДС № 9 ДЗМ""")</f>
        <v>ГБУЗ "ДС № 9 ДЗМ"</v>
      </c>
      <c r="B7336" s="24" t="s">
        <v>9438</v>
      </c>
      <c r="C7336" s="25">
        <v>328015.37</v>
      </c>
      <c r="D7336" s="22" t="s">
        <v>9439</v>
      </c>
      <c r="E7336" s="22" t="s">
        <v>349</v>
      </c>
      <c r="F7336" s="23" t="str">
        <f t="shared" ref="F7336:F7345" si="307">HYPERLINK("https://www.spark-marketing.ru/Card/Lot/70913061", "оказание услуг на техническое обслуживание систем видеонаблюдения в ГБУЗ «ДС № 9 ДЗМ» и Филиале")</f>
        <v>оказание услуг на техническое обслуживание систем видеонаблюдения в ГБУЗ «ДС № 9 ДЗМ» и Филиале</v>
      </c>
      <c r="G7336" s="22" t="s">
        <v>55</v>
      </c>
      <c r="H7336" s="22" t="s">
        <v>55</v>
      </c>
      <c r="I7336" s="26">
        <v>43614.490277777797</v>
      </c>
      <c r="J7336" s="28" t="s">
        <v>52</v>
      </c>
      <c r="K7336" s="28" t="s">
        <v>52</v>
      </c>
      <c r="L7336" s="28" t="s">
        <v>52</v>
      </c>
      <c r="M7336" s="28" t="s">
        <v>52</v>
      </c>
      <c r="N7336" s="28" t="s">
        <v>52</v>
      </c>
    </row>
    <row r="7337" spans="1:14" hidden="1" outlineLevel="1" x14ac:dyDescent="0.2">
      <c r="A7337" s="23" t="str">
        <f t="shared" si="306"/>
        <v>ГБУЗ "ДС № 9 ДЗМ"</v>
      </c>
      <c r="B7337" s="24" t="s">
        <v>9438</v>
      </c>
      <c r="C7337" s="25">
        <v>328015.37</v>
      </c>
      <c r="D7337" s="22" t="s">
        <v>9439</v>
      </c>
      <c r="E7337" s="22" t="s">
        <v>349</v>
      </c>
      <c r="F7337" s="23" t="str">
        <f t="shared" si="307"/>
        <v>оказание услуг на техническое обслуживание систем видеонаблюдения в ГБУЗ «ДС № 9 ДЗМ» и Филиале</v>
      </c>
      <c r="G7337" s="22" t="s">
        <v>55</v>
      </c>
      <c r="H7337" s="22" t="s">
        <v>55</v>
      </c>
      <c r="I7337" s="26">
        <v>43614.490277777797</v>
      </c>
      <c r="J7337" s="23" t="str">
        <f>HYPERLINK("https://www.spark-marketing.ru/Card/Person/5908031", "ООО ""ГЕРКУЛЕС ИТ""")</f>
        <v>ООО "ГЕРКУЛЕС ИТ"</v>
      </c>
      <c r="K7337" s="24" t="s">
        <v>7266</v>
      </c>
      <c r="L7337" s="28" t="s">
        <v>52</v>
      </c>
      <c r="M7337" s="25">
        <v>300000</v>
      </c>
      <c r="N7337" s="27">
        <v>8.5408711183259489E-2</v>
      </c>
    </row>
    <row r="7338" spans="1:14" hidden="1" outlineLevel="1" x14ac:dyDescent="0.2">
      <c r="A7338" s="23" t="str">
        <f t="shared" si="306"/>
        <v>ГБУЗ "ДС № 9 ДЗМ"</v>
      </c>
      <c r="B7338" s="24" t="s">
        <v>9438</v>
      </c>
      <c r="C7338" s="25">
        <v>328015.37</v>
      </c>
      <c r="D7338" s="22" t="s">
        <v>9439</v>
      </c>
      <c r="E7338" s="22" t="s">
        <v>349</v>
      </c>
      <c r="F7338" s="23" t="str">
        <f t="shared" si="307"/>
        <v>оказание услуг на техническое обслуживание систем видеонаблюдения в ГБУЗ «ДС № 9 ДЗМ» и Филиале</v>
      </c>
      <c r="G7338" s="22" t="s">
        <v>55</v>
      </c>
      <c r="H7338" s="22" t="s">
        <v>55</v>
      </c>
      <c r="I7338" s="26">
        <v>43614.490277777797</v>
      </c>
      <c r="J7338" s="23" t="str">
        <f>HYPERLINK("https://www.spark-marketing.ru/Card/Person/84385", "Ложков Александр Анатольевич")</f>
        <v>Ложков Александр Анатольевич</v>
      </c>
      <c r="K7338" s="24" t="s">
        <v>9440</v>
      </c>
      <c r="L7338" s="28" t="s">
        <v>52</v>
      </c>
      <c r="M7338" s="25">
        <v>242597.29</v>
      </c>
      <c r="N7338" s="27">
        <v>0.26040877291817149</v>
      </c>
    </row>
    <row r="7339" spans="1:14" hidden="1" outlineLevel="1" x14ac:dyDescent="0.2">
      <c r="A7339" s="23" t="str">
        <f t="shared" si="306"/>
        <v>ГБУЗ "ДС № 9 ДЗМ"</v>
      </c>
      <c r="B7339" s="24" t="s">
        <v>9438</v>
      </c>
      <c r="C7339" s="25">
        <v>328015.37</v>
      </c>
      <c r="D7339" s="22" t="s">
        <v>9439</v>
      </c>
      <c r="E7339" s="22" t="s">
        <v>349</v>
      </c>
      <c r="F7339" s="23" t="str">
        <f t="shared" si="307"/>
        <v>оказание услуг на техническое обслуживание систем видеонаблюдения в ГБУЗ «ДС № 9 ДЗМ» и Филиале</v>
      </c>
      <c r="G7339" s="22" t="s">
        <v>55</v>
      </c>
      <c r="H7339" s="22" t="s">
        <v>55</v>
      </c>
      <c r="I7339" s="26">
        <v>43614.490277777797</v>
      </c>
      <c r="J7339" s="23" t="str">
        <f>HYPERLINK("https://www.spark-marketing.ru/Card/Person/6616157", "Володин Алексей Львович")</f>
        <v>Володин Алексей Львович</v>
      </c>
      <c r="K7339" s="24" t="s">
        <v>1742</v>
      </c>
      <c r="L7339" s="28" t="s">
        <v>52</v>
      </c>
      <c r="M7339" s="25">
        <v>88429.98</v>
      </c>
      <c r="N7339" s="27">
        <v>0.73040903540587143</v>
      </c>
    </row>
    <row r="7340" spans="1:14" hidden="1" outlineLevel="1" x14ac:dyDescent="0.2">
      <c r="A7340" s="23" t="str">
        <f t="shared" si="306"/>
        <v>ГБУЗ "ДС № 9 ДЗМ"</v>
      </c>
      <c r="B7340" s="24" t="s">
        <v>9438</v>
      </c>
      <c r="C7340" s="25">
        <v>328015.37</v>
      </c>
      <c r="D7340" s="22" t="s">
        <v>9439</v>
      </c>
      <c r="E7340" s="22" t="s">
        <v>349</v>
      </c>
      <c r="F7340" s="23" t="str">
        <f t="shared" si="307"/>
        <v>оказание услуг на техническое обслуживание систем видеонаблюдения в ГБУЗ «ДС № 9 ДЗМ» и Филиале</v>
      </c>
      <c r="G7340" s="22" t="s">
        <v>55</v>
      </c>
      <c r="H7340" s="22" t="s">
        <v>55</v>
      </c>
      <c r="I7340" s="26">
        <v>43614.490277777797</v>
      </c>
      <c r="J7340" s="23" t="str">
        <f>HYPERLINK("https://www.spark-marketing.ru/Card/Person/6445825", "Судариков Михаил Геннадьевич")</f>
        <v>Судариков Михаил Геннадьевич</v>
      </c>
      <c r="K7340" s="24" t="s">
        <v>1219</v>
      </c>
      <c r="L7340" s="28" t="s">
        <v>52</v>
      </c>
      <c r="M7340" s="25">
        <v>43439.68</v>
      </c>
      <c r="N7340" s="27">
        <v>0.86756815694337741</v>
      </c>
    </row>
    <row r="7341" spans="1:14" ht="12.75" hidden="1" outlineLevel="1" x14ac:dyDescent="0.2">
      <c r="A7341" s="23" t="str">
        <f t="shared" si="306"/>
        <v>ГБУЗ "ДС № 9 ДЗМ"</v>
      </c>
      <c r="B7341" s="24" t="s">
        <v>9438</v>
      </c>
      <c r="C7341" s="25">
        <v>328015.37</v>
      </c>
      <c r="D7341" s="22" t="s">
        <v>9439</v>
      </c>
      <c r="E7341" s="22" t="s">
        <v>349</v>
      </c>
      <c r="F7341" s="23" t="str">
        <f t="shared" si="307"/>
        <v>оказание услуг на техническое обслуживание систем видеонаблюдения в ГБУЗ «ДС № 9 ДЗМ» и Филиале</v>
      </c>
      <c r="G7341" s="22" t="s">
        <v>55</v>
      </c>
      <c r="H7341" s="22" t="s">
        <v>55</v>
      </c>
      <c r="I7341" s="26">
        <v>43614.490277777797</v>
      </c>
      <c r="J7341" s="23" t="str">
        <f>HYPERLINK("https://www.spark-marketing.ru/Card/Person/665030", "ООО ""ОТКРЫТЫЕ СИСТЕМЫ""")</f>
        <v>ООО "ОТКРЫТЫЕ СИСТЕМЫ"</v>
      </c>
      <c r="K7341" s="24" t="s">
        <v>7267</v>
      </c>
      <c r="L7341" s="22" t="s">
        <v>10</v>
      </c>
      <c r="M7341" s="25">
        <v>25398.799999999999</v>
      </c>
      <c r="N7341" s="27">
        <v>0.92256826257867119</v>
      </c>
    </row>
    <row r="7342" spans="1:14" hidden="1" outlineLevel="1" x14ac:dyDescent="0.2">
      <c r="A7342" s="23" t="str">
        <f t="shared" si="306"/>
        <v>ГБУЗ "ДС № 9 ДЗМ"</v>
      </c>
      <c r="B7342" s="24" t="s">
        <v>9438</v>
      </c>
      <c r="C7342" s="25">
        <v>328015.37</v>
      </c>
      <c r="D7342" s="22" t="s">
        <v>9439</v>
      </c>
      <c r="E7342" s="22" t="s">
        <v>349</v>
      </c>
      <c r="F7342" s="23" t="str">
        <f t="shared" si="307"/>
        <v>оказание услуг на техническое обслуживание систем видеонаблюдения в ГБУЗ «ДС № 9 ДЗМ» и Филиале</v>
      </c>
      <c r="G7342" s="22" t="s">
        <v>55</v>
      </c>
      <c r="H7342" s="22" t="s">
        <v>55</v>
      </c>
      <c r="I7342" s="26">
        <v>43614.490277777797</v>
      </c>
      <c r="J7342" s="23" t="str">
        <f>HYPERLINK("https://www.spark-marketing.ru/Card/Person/117499", "ООО ""ПРОФИ-СИСТЕМ""")</f>
        <v>ООО "ПРОФИ-СИСТЕМ"</v>
      </c>
      <c r="K7342" s="24" t="s">
        <v>9441</v>
      </c>
      <c r="L7342" s="28" t="s">
        <v>52</v>
      </c>
      <c r="M7342" s="25">
        <v>27038.880000000001</v>
      </c>
      <c r="N7342" s="27">
        <v>0.91756825297546274</v>
      </c>
    </row>
    <row r="7343" spans="1:14" hidden="1" outlineLevel="1" x14ac:dyDescent="0.2">
      <c r="A7343" s="23" t="str">
        <f t="shared" si="306"/>
        <v>ГБУЗ "ДС № 9 ДЗМ"</v>
      </c>
      <c r="B7343" s="24" t="s">
        <v>9438</v>
      </c>
      <c r="C7343" s="25">
        <v>328015.37</v>
      </c>
      <c r="D7343" s="22" t="s">
        <v>9439</v>
      </c>
      <c r="E7343" s="22" t="s">
        <v>349</v>
      </c>
      <c r="F7343" s="23" t="str">
        <f t="shared" si="307"/>
        <v>оказание услуг на техническое обслуживание систем видеонаблюдения в ГБУЗ «ДС № 9 ДЗМ» и Филиале</v>
      </c>
      <c r="G7343" s="22" t="s">
        <v>55</v>
      </c>
      <c r="H7343" s="22" t="s">
        <v>55</v>
      </c>
      <c r="I7343" s="26">
        <v>43614.490277777797</v>
      </c>
      <c r="J7343" s="23" t="str">
        <f>HYPERLINK("https://www.spark-marketing.ru/Card/Person/2572181", "ООО ""ЖИРАФ""")</f>
        <v>ООО "ЖИРАФ"</v>
      </c>
      <c r="K7343" s="24" t="s">
        <v>8683</v>
      </c>
      <c r="L7343" s="28" t="s">
        <v>52</v>
      </c>
      <c r="M7343" s="25">
        <v>299999.99</v>
      </c>
      <c r="N7343" s="27">
        <v>8.5408741669635788E-2</v>
      </c>
    </row>
    <row r="7344" spans="1:14" hidden="1" outlineLevel="1" x14ac:dyDescent="0.2">
      <c r="A7344" s="23" t="str">
        <f t="shared" si="306"/>
        <v>ГБУЗ "ДС № 9 ДЗМ"</v>
      </c>
      <c r="B7344" s="24" t="s">
        <v>9438</v>
      </c>
      <c r="C7344" s="25">
        <v>328015.37</v>
      </c>
      <c r="D7344" s="22" t="s">
        <v>9439</v>
      </c>
      <c r="E7344" s="22" t="s">
        <v>349</v>
      </c>
      <c r="F7344" s="23" t="str">
        <f t="shared" si="307"/>
        <v>оказание услуг на техническое обслуживание систем видеонаблюдения в ГБУЗ «ДС № 9 ДЗМ» и Филиале</v>
      </c>
      <c r="G7344" s="22" t="s">
        <v>55</v>
      </c>
      <c r="H7344" s="22" t="s">
        <v>55</v>
      </c>
      <c r="I7344" s="26">
        <v>43614.490277777797</v>
      </c>
      <c r="J7344" s="23" t="str">
        <f>HYPERLINK("https://www.spark-marketing.ru/Card/Person/6462474", "ООО ""ФАВОР""")</f>
        <v>ООО "ФАВОР"</v>
      </c>
      <c r="K7344" s="24" t="s">
        <v>2058</v>
      </c>
      <c r="L7344" s="28" t="s">
        <v>52</v>
      </c>
      <c r="M7344" s="25">
        <v>217996.12</v>
      </c>
      <c r="N7344" s="27">
        <v>0.3354088255071706</v>
      </c>
    </row>
    <row r="7345" spans="1:14" hidden="1" outlineLevel="1" x14ac:dyDescent="0.2">
      <c r="A7345" s="23" t="str">
        <f t="shared" si="306"/>
        <v>ГБУЗ "ДС № 9 ДЗМ"</v>
      </c>
      <c r="B7345" s="24" t="s">
        <v>9438</v>
      </c>
      <c r="C7345" s="25">
        <v>328015.37</v>
      </c>
      <c r="D7345" s="22" t="s">
        <v>9439</v>
      </c>
      <c r="E7345" s="22" t="s">
        <v>349</v>
      </c>
      <c r="F7345" s="23" t="str">
        <f t="shared" si="307"/>
        <v>оказание услуг на техническое обслуживание систем видеонаблюдения в ГБУЗ «ДС № 9 ДЗМ» и Филиале</v>
      </c>
      <c r="G7345" s="22" t="s">
        <v>55</v>
      </c>
      <c r="H7345" s="22" t="s">
        <v>55</v>
      </c>
      <c r="I7345" s="26">
        <v>43614.490277777797</v>
      </c>
      <c r="J7345" s="23" t="str">
        <f>HYPERLINK("https://www.spark-marketing.ru/Card/Person/5864585", "ООО ""АКВАТЕХСТРОЙ""")</f>
        <v>ООО "АКВАТЕХСТРОЙ"</v>
      </c>
      <c r="K7345" s="24" t="s">
        <v>9442</v>
      </c>
      <c r="L7345" s="28" t="s">
        <v>52</v>
      </c>
      <c r="M7345" s="25">
        <v>328015.37</v>
      </c>
      <c r="N7345" s="27">
        <v>0</v>
      </c>
    </row>
    <row r="7346" spans="1:14" x14ac:dyDescent="0.15">
      <c r="A7346" s="23" t="str">
        <f>HYPERLINK("https://www.spark-marketing.ru/Card/Person/4343740", "МИНЗДРАВ РОССИИ")</f>
        <v>МИНЗДРАВ РОССИИ</v>
      </c>
      <c r="B7346" s="24" t="s">
        <v>1666</v>
      </c>
      <c r="C7346" s="25">
        <v>46574109</v>
      </c>
      <c r="D7346" s="22" t="s">
        <v>9443</v>
      </c>
      <c r="E7346" s="22" t="s">
        <v>53</v>
      </c>
      <c r="F7346" s="23" t="str">
        <f>HYPERLINK("https://www.spark-marketing.ru/Card/Lot/70914246", "Микофеноловая кислота, таблетки, покрытые кишечнорастворимой оболочкой и/или таблетки кишечнорастворимые, покрытые оболочкой, 180 мг в рамках реализации постановления Правительства Российской Федерации от 26.11.2018 № 1416 ""О порядке организации обе...")</f>
        <v>Микофеноловая кислота, таблетки, покрытые кишечнорастворимой оболочкой и/или таблетки кишечнорастворимые, покрытые оболочкой, 180 мг в рамках реализации постановления Правительства Российской Федерации от 26.11.2018 № 1416 "О порядке организации обе...</v>
      </c>
      <c r="G7346" s="22" t="s">
        <v>428</v>
      </c>
      <c r="H7346" s="22" t="s">
        <v>429</v>
      </c>
      <c r="I7346" s="26">
        <v>43614.478472222203</v>
      </c>
      <c r="J7346" s="28" t="s">
        <v>52</v>
      </c>
      <c r="K7346" s="28" t="s">
        <v>52</v>
      </c>
      <c r="L7346" s="28" t="s">
        <v>52</v>
      </c>
      <c r="M7346" s="28" t="s">
        <v>52</v>
      </c>
      <c r="N7346" s="28" t="s">
        <v>52</v>
      </c>
    </row>
    <row r="7347" spans="1:14" ht="12.75" hidden="1" outlineLevel="1" x14ac:dyDescent="0.2">
      <c r="A7347" s="23" t="str">
        <f>HYPERLINK("https://www.spark-marketing.ru/Card/Person/4343740", "МИНЗДРАВ РОССИИ")</f>
        <v>МИНЗДРАВ РОССИИ</v>
      </c>
      <c r="B7347" s="24" t="s">
        <v>1666</v>
      </c>
      <c r="C7347" s="25">
        <v>46574109</v>
      </c>
      <c r="D7347" s="22" t="s">
        <v>9443</v>
      </c>
      <c r="E7347" s="22" t="s">
        <v>53</v>
      </c>
      <c r="F7347" s="23" t="str">
        <f>HYPERLINK("https://www.spark-marketing.ru/Card/Lot/70914246", "Микофеноловая кислота, таблетки, покрытые кишечнорастворимой оболочкой и/или таблетки кишечнорастворимые, покрытые оболочкой, 180 мг в рамках реализации постановления Правительства Российской Федерации от 26.11.2018 № 1416 ""О порядке организации обе...")</f>
        <v>Микофеноловая кислота, таблетки, покрытые кишечнорастворимой оболочкой и/или таблетки кишечнорастворимые, покрытые оболочкой, 180 мг в рамках реализации постановления Правительства Российской Федерации от 26.11.2018 № 1416 "О порядке организации обе...</v>
      </c>
      <c r="G7347" s="22" t="s">
        <v>428</v>
      </c>
      <c r="H7347" s="22" t="s">
        <v>429</v>
      </c>
      <c r="I7347" s="26">
        <v>43614.478472222203</v>
      </c>
      <c r="J7347" s="23" t="str">
        <f>HYPERLINK("https://www.spark-marketing.ru/Card/Person/4345864", "АО ""Р-ФАРМ""")</f>
        <v>АО "Р-ФАРМ"</v>
      </c>
      <c r="K7347" s="24" t="s">
        <v>5343</v>
      </c>
      <c r="L7347" s="22" t="s">
        <v>10</v>
      </c>
      <c r="M7347" s="25">
        <v>45642626.799999997</v>
      </c>
      <c r="N7347" s="27">
        <v>2.0000000429423136E-2</v>
      </c>
    </row>
    <row r="7348" spans="1:14" hidden="1" outlineLevel="1" x14ac:dyDescent="0.2">
      <c r="A7348" s="23" t="str">
        <f>HYPERLINK("https://www.spark-marketing.ru/Card/Person/4343740", "МИНЗДРАВ РОССИИ")</f>
        <v>МИНЗДРАВ РОССИИ</v>
      </c>
      <c r="B7348" s="24" t="s">
        <v>1666</v>
      </c>
      <c r="C7348" s="25">
        <v>46574109</v>
      </c>
      <c r="D7348" s="22" t="s">
        <v>9443</v>
      </c>
      <c r="E7348" s="22" t="s">
        <v>53</v>
      </c>
      <c r="F7348" s="23" t="str">
        <f>HYPERLINK("https://www.spark-marketing.ru/Card/Lot/70914246", "Микофеноловая кислота, таблетки, покрытые кишечнорастворимой оболочкой и/или таблетки кишечнорастворимые, покрытые оболочкой, 180 мг в рамках реализации постановления Правительства Российской Федерации от 26.11.2018 № 1416 ""О порядке организации обе...")</f>
        <v>Микофеноловая кислота, таблетки, покрытые кишечнорастворимой оболочкой и/или таблетки кишечнорастворимые, покрытые оболочкой, 180 мг в рамках реализации постановления Правительства Российской Федерации от 26.11.2018 № 1416 "О порядке организации обе...</v>
      </c>
      <c r="G7348" s="22" t="s">
        <v>428</v>
      </c>
      <c r="H7348" s="22" t="s">
        <v>429</v>
      </c>
      <c r="I7348" s="26">
        <v>43614.478472222203</v>
      </c>
      <c r="J7348" s="23" t="str">
        <f>HYPERLINK("https://www.spark-marketing.ru/Card/Person/6494891", "ООО ""ПФК""")</f>
        <v>ООО "ПФК"</v>
      </c>
      <c r="K7348" s="24" t="s">
        <v>9436</v>
      </c>
      <c r="L7348" s="28" t="s">
        <v>52</v>
      </c>
      <c r="M7348" s="25">
        <v>45875497.350000001</v>
      </c>
      <c r="N7348" s="27">
        <v>1.5000000322067353E-2</v>
      </c>
    </row>
    <row r="7349" spans="1:14" hidden="1" outlineLevel="1" x14ac:dyDescent="0.2">
      <c r="A7349" s="23" t="str">
        <f>HYPERLINK("https://www.spark-marketing.ru/Card/Person/4343740", "МИНЗДРАВ РОССИИ")</f>
        <v>МИНЗДРАВ РОССИИ</v>
      </c>
      <c r="B7349" s="24" t="s">
        <v>1666</v>
      </c>
      <c r="C7349" s="25">
        <v>46574109</v>
      </c>
      <c r="D7349" s="22" t="s">
        <v>9443</v>
      </c>
      <c r="E7349" s="22" t="s">
        <v>53</v>
      </c>
      <c r="F7349" s="23" t="str">
        <f>HYPERLINK("https://www.spark-marketing.ru/Card/Lot/70914246", "Микофеноловая кислота, таблетки, покрытые кишечнорастворимой оболочкой и/или таблетки кишечнорастворимые, покрытые оболочкой, 180 мг в рамках реализации постановления Правительства Российской Федерации от 26.11.2018 № 1416 ""О порядке организации обе...")</f>
        <v>Микофеноловая кислота, таблетки, покрытые кишечнорастворимой оболочкой и/или таблетки кишечнорастворимые, покрытые оболочкой, 180 мг в рамках реализации постановления Правительства Российской Федерации от 26.11.2018 № 1416 "О порядке организации обе...</v>
      </c>
      <c r="G7349" s="22" t="s">
        <v>428</v>
      </c>
      <c r="H7349" s="22" t="s">
        <v>429</v>
      </c>
      <c r="I7349" s="26">
        <v>43614.478472222203</v>
      </c>
      <c r="J7349" s="23" t="str">
        <f>HYPERLINK("https://www.spark-marketing.ru/Card/Person/12537", "ООО ""МАМОНТ ФАРМ""")</f>
        <v>ООО "МАМОНТ ФАРМ"</v>
      </c>
      <c r="K7349" s="24" t="s">
        <v>9437</v>
      </c>
      <c r="L7349" s="28" t="s">
        <v>52</v>
      </c>
      <c r="M7349" s="25">
        <v>46108367.899999999</v>
      </c>
      <c r="N7349" s="27">
        <v>1.0000000214711568E-2</v>
      </c>
    </row>
    <row r="7350" spans="1:14" x14ac:dyDescent="0.15">
      <c r="A7350" s="23" t="str">
        <f>HYPERLINK("https://www.spark-marketing.ru/Card/Person/4906998", "МУКП ""ЕДДС АЛЕКСЕЕВСКОГО ГОРОДСКОГО ОКРУГА""")</f>
        <v>МУКП "ЕДДС АЛЕКСЕЕВСКОГО ГОРОДСКОГО ОКРУГА"</v>
      </c>
      <c r="B7350" s="24" t="s">
        <v>9444</v>
      </c>
      <c r="C7350" s="25">
        <v>99800</v>
      </c>
      <c r="D7350" s="22" t="s">
        <v>9445</v>
      </c>
      <c r="E7350" s="22" t="s">
        <v>103</v>
      </c>
      <c r="F7350" s="23" t="str">
        <f>HYPERLINK("https://www.spark-marketing.ru/Card/Lot/70907179", "Обслуживание системы видеонаблюдения")</f>
        <v>Обслуживание системы видеонаблюдения</v>
      </c>
      <c r="G7350" s="22" t="s">
        <v>176</v>
      </c>
      <c r="H7350" s="22" t="s">
        <v>9446</v>
      </c>
      <c r="I7350" s="26">
        <v>43614.497222222199</v>
      </c>
      <c r="J7350" s="28" t="s">
        <v>52</v>
      </c>
      <c r="K7350" s="28" t="s">
        <v>52</v>
      </c>
      <c r="L7350" s="28" t="s">
        <v>52</v>
      </c>
      <c r="M7350" s="28" t="s">
        <v>52</v>
      </c>
      <c r="N7350" s="28" t="s">
        <v>52</v>
      </c>
    </row>
    <row r="7351" spans="1:14" x14ac:dyDescent="0.15">
      <c r="A7351" s="23" t="str">
        <f>HYPERLINK("https://www.spark-marketing.ru/Card/Person/78292", "ГКУ ЛО ""ЦБДД""")</f>
        <v>ГКУ ЛО "ЦБДД"</v>
      </c>
      <c r="B7351" s="24" t="s">
        <v>9447</v>
      </c>
      <c r="C7351" s="25">
        <v>31626406.390000001</v>
      </c>
      <c r="D7351" s="22" t="s">
        <v>9448</v>
      </c>
      <c r="E7351" s="22" t="s">
        <v>103</v>
      </c>
      <c r="F7351" s="23" t="str">
        <f>HYPERLINK("https://www.spark-marketing.ru/Card/Lot/70914547", "Оказание услуг по техническому обслуживанию стационарных комплексов автоматической фото-видеофиксации нарушений Правил дорожного движения Российской Федерации")</f>
        <v>Оказание услуг по техническому обслуживанию стационарных комплексов автоматической фото-видеофиксации нарушений Правил дорожного движения Российской Федерации</v>
      </c>
      <c r="G7351" s="22" t="s">
        <v>861</v>
      </c>
      <c r="H7351" s="22" t="s">
        <v>934</v>
      </c>
      <c r="I7351" s="26">
        <v>43614.459027777797</v>
      </c>
      <c r="J7351" s="28" t="s">
        <v>52</v>
      </c>
      <c r="K7351" s="28" t="s">
        <v>52</v>
      </c>
      <c r="L7351" s="28" t="s">
        <v>52</v>
      </c>
      <c r="M7351" s="28" t="s">
        <v>52</v>
      </c>
      <c r="N7351" s="28" t="s">
        <v>52</v>
      </c>
    </row>
    <row r="7352" spans="1:14" ht="12.75" hidden="1" outlineLevel="1" x14ac:dyDescent="0.2">
      <c r="A7352" s="23" t="str">
        <f>HYPERLINK("https://www.spark-marketing.ru/Card/Person/78292", "ГКУ ЛО ""ЦБДД""")</f>
        <v>ГКУ ЛО "ЦБДД"</v>
      </c>
      <c r="B7352" s="24" t="s">
        <v>9447</v>
      </c>
      <c r="C7352" s="25">
        <v>31626406.390000001</v>
      </c>
      <c r="D7352" s="22" t="s">
        <v>9448</v>
      </c>
      <c r="E7352" s="22" t="s">
        <v>103</v>
      </c>
      <c r="F7352" s="23" t="str">
        <f>HYPERLINK("https://www.spark-marketing.ru/Card/Lot/70914547", "Оказание услуг по техническому обслуживанию стационарных комплексов автоматической фото-видеофиксации нарушений Правил дорожного движения Российской Федерации")</f>
        <v>Оказание услуг по техническому обслуживанию стационарных комплексов автоматической фото-видеофиксации нарушений Правил дорожного движения Российской Федерации</v>
      </c>
      <c r="G7352" s="22" t="s">
        <v>861</v>
      </c>
      <c r="H7352" s="22" t="s">
        <v>934</v>
      </c>
      <c r="I7352" s="26">
        <v>43614.459027777797</v>
      </c>
      <c r="J7352" s="23" t="str">
        <f>HYPERLINK("https://www.spark-marketing.ru/Card/Person/6486799", "ООО ""ТЕЛЕКОМСТРОЙ""")</f>
        <v>ООО "ТЕЛЕКОМСТРОЙ"</v>
      </c>
      <c r="K7352" s="24" t="s">
        <v>9449</v>
      </c>
      <c r="L7352" s="22" t="s">
        <v>10</v>
      </c>
      <c r="M7352" s="25">
        <v>31310142.329999998</v>
      </c>
      <c r="N7352" s="27">
        <v>9.9999998766853258E-3</v>
      </c>
    </row>
    <row r="7353" spans="1:14" hidden="1" outlineLevel="1" x14ac:dyDescent="0.2">
      <c r="A7353" s="23" t="str">
        <f>HYPERLINK("https://www.spark-marketing.ru/Card/Person/78292", "ГКУ ЛО ""ЦБДД""")</f>
        <v>ГКУ ЛО "ЦБДД"</v>
      </c>
      <c r="B7353" s="24" t="s">
        <v>9447</v>
      </c>
      <c r="C7353" s="25">
        <v>31626406.390000001</v>
      </c>
      <c r="D7353" s="22" t="s">
        <v>9448</v>
      </c>
      <c r="E7353" s="22" t="s">
        <v>103</v>
      </c>
      <c r="F7353" s="23" t="str">
        <f>HYPERLINK("https://www.spark-marketing.ru/Card/Lot/70914547", "Оказание услуг по техническому обслуживанию стационарных комплексов автоматической фото-видеофиксации нарушений Правил дорожного движения Российской Федерации")</f>
        <v>Оказание услуг по техническому обслуживанию стационарных комплексов автоматической фото-видеофиксации нарушений Правил дорожного движения Российской Федерации</v>
      </c>
      <c r="G7353" s="22" t="s">
        <v>861</v>
      </c>
      <c r="H7353" s="22" t="s">
        <v>934</v>
      </c>
      <c r="I7353" s="26">
        <v>43614.459027777797</v>
      </c>
      <c r="J7353" s="23" t="str">
        <f>HYPERLINK("https://www.spark-marketing.ru/Card/Person/671978", "АО ""РНИЦ ПО ЛЕНИНГРАДСКОЙ ОБЛАСТИ""")</f>
        <v>АО "РНИЦ ПО ЛЕНИНГРАДСКОЙ ОБЛАСТИ"</v>
      </c>
      <c r="K7353" s="24" t="s">
        <v>9450</v>
      </c>
      <c r="L7353" s="28" t="s">
        <v>52</v>
      </c>
      <c r="M7353" s="25">
        <v>31468274.359999999</v>
      </c>
      <c r="N7353" s="27">
        <v>4.9999999383426629E-3</v>
      </c>
    </row>
    <row r="7354" spans="1:14" x14ac:dyDescent="0.15">
      <c r="A7354" s="23" t="str">
        <f>HYPERLINK("https://www.spark-marketing.ru/Card/Person/17932", "ТЕРРИТОРИАЛЬНОЕ УПРАВЛЕНИЕ НАЗАРЬЕВСКОЕ")</f>
        <v>ТЕРРИТОРИАЛЬНОЕ УПРАВЛЕНИЕ НАЗАРЬЕВСКОЕ</v>
      </c>
      <c r="B7354" s="24" t="s">
        <v>2828</v>
      </c>
      <c r="C7354" s="25">
        <v>99990</v>
      </c>
      <c r="D7354" s="22" t="s">
        <v>9451</v>
      </c>
      <c r="E7354" s="22" t="s">
        <v>107</v>
      </c>
      <c r="F7354" s="23" t="str">
        <f>HYPERLINK("https://www.spark-marketing.ru/Card/Lot/70905592", "Закупка в 2019 году услуг по техническому обслуживанию системы видеонаблюдения сельского поселения Назарьевское Одинцовского муниципального района Московской области")</f>
        <v>Закупка в 2019 году услуг по техническому обслуживанию системы видеонаблюдения сельского поселения Назарьевское Одинцовского муниципального района Московской области</v>
      </c>
      <c r="G7354" s="22" t="s">
        <v>50</v>
      </c>
      <c r="H7354" s="22" t="s">
        <v>1045</v>
      </c>
      <c r="I7354" s="26">
        <v>43614.461087962998</v>
      </c>
      <c r="J7354" s="28" t="s">
        <v>52</v>
      </c>
      <c r="K7354" s="28" t="s">
        <v>52</v>
      </c>
      <c r="L7354" s="28" t="s">
        <v>52</v>
      </c>
      <c r="M7354" s="28" t="s">
        <v>52</v>
      </c>
      <c r="N7354" s="28" t="s">
        <v>52</v>
      </c>
    </row>
    <row r="7355" spans="1:14" x14ac:dyDescent="0.15">
      <c r="A7355" s="23" t="str">
        <f t="shared" ref="A7355:A7369" si="308">HYPERLINK("https://www.spark-marketing.ru/Card/Person/20690", "ГБПОУ СО ""КРАСНОУФИМСКИЙ ПЕДАГОГИЧЕСКИЙ КОЛЛЕДЖ""")</f>
        <v>ГБПОУ СО "КРАСНОУФИМСКИЙ ПЕДАГОГИЧЕСКИЙ КОЛЛЕДЖ"</v>
      </c>
      <c r="B7355" s="24" t="s">
        <v>9452</v>
      </c>
      <c r="C7355" s="25">
        <v>300918</v>
      </c>
      <c r="D7355" s="22" t="s">
        <v>9453</v>
      </c>
      <c r="E7355" s="22" t="s">
        <v>52</v>
      </c>
      <c r="F7355" s="23" t="str">
        <f>HYPERLINK("https://www.spark-marketing.ru/Card/Lot/70903650", "Установка системы видеонаблюдения на объекте находящегося по адресу: г. Красноуфимск, ул. Фестивальная, д.4 (общеобразовательное отделение с интернатом для девочек, находящихся в сложной жизненной ситуации).")</f>
        <v>Установка системы видеонаблюдения на объекте находящегося по адресу: г. Красноуфимск, ул. Фестивальная, д.4 (общеобразовательное отделение с интернатом для девочек, находящихся в сложной жизненной ситуации).</v>
      </c>
      <c r="G7355" s="22" t="s">
        <v>72</v>
      </c>
      <c r="H7355" s="22" t="s">
        <v>270</v>
      </c>
      <c r="I7355" s="26">
        <v>43614.444444444402</v>
      </c>
      <c r="J7355" s="28" t="s">
        <v>52</v>
      </c>
      <c r="K7355" s="28" t="s">
        <v>52</v>
      </c>
      <c r="L7355" s="28" t="s">
        <v>52</v>
      </c>
      <c r="M7355" s="28" t="s">
        <v>52</v>
      </c>
      <c r="N7355" s="28" t="s">
        <v>52</v>
      </c>
    </row>
    <row r="7356" spans="1:14" hidden="1" outlineLevel="1" x14ac:dyDescent="0.2">
      <c r="A7356" s="23" t="str">
        <f t="shared" si="308"/>
        <v>ГБПОУ СО "КРАСНОУФИМСКИЙ ПЕДАГОГИЧЕСКИЙ КОЛЛЕДЖ"</v>
      </c>
      <c r="B7356" s="24" t="s">
        <v>9452</v>
      </c>
      <c r="C7356" s="25">
        <v>300918</v>
      </c>
      <c r="D7356" s="22" t="s">
        <v>9453</v>
      </c>
      <c r="E7356" s="22" t="s">
        <v>52</v>
      </c>
      <c r="F7356" s="23" t="str">
        <f>HYPERLINK("https://www.spark-marketing.ru/Card/Lot/70903650", "Установка системы видеонаблюдения на объекте находящегося по адресу: г. Красноуфимск, ул. Фестивальная, д.4 (общеобразовательное отделение с интернатом для девочек, находящихся в сложной жизненной ситуации).")</f>
        <v>Установка системы видеонаблюдения на объекте находящегося по адресу: г. Красноуфимск, ул. Фестивальная, д.4 (общеобразовательное отделение с интернатом для девочек, находящихся в сложной жизненной ситуации).</v>
      </c>
      <c r="G7356" s="22" t="s">
        <v>72</v>
      </c>
      <c r="H7356" s="22" t="s">
        <v>270</v>
      </c>
      <c r="I7356" s="26">
        <v>43614.444444444402</v>
      </c>
      <c r="J7356" s="23" t="str">
        <f>HYPERLINK("https://www.spark-marketing.ru/Card/Person/4408755", "ООО ""ВЕРТИКАЛЬ""")</f>
        <v>ООО "ВЕРТИКАЛЬ"</v>
      </c>
      <c r="K7356" s="24" t="s">
        <v>1210</v>
      </c>
      <c r="L7356" s="28" t="s">
        <v>52</v>
      </c>
      <c r="M7356" s="25">
        <v>185103.33</v>
      </c>
      <c r="N7356" s="27">
        <v>0.38487119414591353</v>
      </c>
    </row>
    <row r="7357" spans="1:14" ht="12.75" hidden="1" outlineLevel="1" x14ac:dyDescent="0.2">
      <c r="A7357" s="23" t="str">
        <f t="shared" si="308"/>
        <v>ГБПОУ СО "КРАСНОУФИМСКИЙ ПЕДАГОГИЧЕСКИЙ КОЛЛЕДЖ"</v>
      </c>
      <c r="B7357" s="24" t="s">
        <v>9452</v>
      </c>
      <c r="C7357" s="25">
        <v>300918</v>
      </c>
      <c r="D7357" s="22" t="s">
        <v>9453</v>
      </c>
      <c r="E7357" s="22" t="s">
        <v>52</v>
      </c>
      <c r="F7357" s="23" t="str">
        <f>HYPERLINK("https://www.spark-marketing.ru/Card/Lot/70903650", "Установка системы видеонаблюдения на объекте находящегося по адресу: г. Красноуфимск, ул. Фестивальная, д.4 (общеобразовательное отделение с интернатом для девочек, находящихся в сложной жизненной ситуации).")</f>
        <v>Установка системы видеонаблюдения на объекте находящегося по адресу: г. Красноуфимск, ул. Фестивальная, д.4 (общеобразовательное отделение с интернатом для девочек, находящихся в сложной жизненной ситуации).</v>
      </c>
      <c r="G7357" s="22" t="s">
        <v>72</v>
      </c>
      <c r="H7357" s="22" t="s">
        <v>270</v>
      </c>
      <c r="I7357" s="26">
        <v>43614.444444444402</v>
      </c>
      <c r="J7357" s="23" t="str">
        <f>HYPERLINK("https://www.spark-marketing.ru/Card/Person/803106", "Лунегов Алексей Евгеньевич")</f>
        <v>Лунегов Алексей Евгеньевич</v>
      </c>
      <c r="K7357" s="24" t="s">
        <v>2506</v>
      </c>
      <c r="L7357" s="22" t="s">
        <v>10</v>
      </c>
      <c r="M7357" s="25">
        <v>168552.02</v>
      </c>
      <c r="N7357" s="27">
        <v>0.43987391914076263</v>
      </c>
    </row>
    <row r="7358" spans="1:14" hidden="1" outlineLevel="1" x14ac:dyDescent="0.2">
      <c r="A7358" s="23" t="str">
        <f t="shared" si="308"/>
        <v>ГБПОУ СО "КРАСНОУФИМСКИЙ ПЕДАГОГИЧЕСКИЙ КОЛЛЕДЖ"</v>
      </c>
      <c r="B7358" s="24" t="s">
        <v>9452</v>
      </c>
      <c r="C7358" s="25">
        <v>300918</v>
      </c>
      <c r="D7358" s="22" t="s">
        <v>9453</v>
      </c>
      <c r="E7358" s="22" t="s">
        <v>52</v>
      </c>
      <c r="F7358" s="23" t="str">
        <f>HYPERLINK("https://www.spark-marketing.ru/Card/Lot/70903650", "Установка системы видеонаблюдения на объекте находящегося по адресу: г. Красноуфимск, ул. Фестивальная, д.4 (общеобразовательное отделение с интернатом для девочек, находящихся в сложной жизненной ситуации).")</f>
        <v>Установка системы видеонаблюдения на объекте находящегося по адресу: г. Красноуфимск, ул. Фестивальная, д.4 (общеобразовательное отделение с интернатом для девочек, находящихся в сложной жизненной ситуации).</v>
      </c>
      <c r="G7358" s="22" t="s">
        <v>72</v>
      </c>
      <c r="H7358" s="22" t="s">
        <v>270</v>
      </c>
      <c r="I7358" s="26">
        <v>43614.444444444402</v>
      </c>
      <c r="J7358" s="23" t="str">
        <f>HYPERLINK("https://www.spark-marketing.ru/Card/Person/6223684", "ООО ""КОРПОРАЦИЯ БЕЗОПАСНОСТИ""")</f>
        <v>ООО "КОРПОРАЦИЯ БЕЗОПАСНОСТИ"</v>
      </c>
      <c r="K7358" s="24" t="s">
        <v>4894</v>
      </c>
      <c r="L7358" s="28" t="s">
        <v>52</v>
      </c>
      <c r="M7358" s="25">
        <v>240000</v>
      </c>
      <c r="N7358" s="27">
        <v>0.20244053197216516</v>
      </c>
    </row>
    <row r="7359" spans="1:14" hidden="1" outlineLevel="1" x14ac:dyDescent="0.2">
      <c r="A7359" s="23" t="str">
        <f t="shared" si="308"/>
        <v>ГБПОУ СО "КРАСНОУФИМСКИЙ ПЕДАГОГИЧЕСКИЙ КОЛЛЕДЖ"</v>
      </c>
      <c r="B7359" s="24" t="s">
        <v>9452</v>
      </c>
      <c r="C7359" s="25">
        <v>300918</v>
      </c>
      <c r="D7359" s="22" t="s">
        <v>9453</v>
      </c>
      <c r="E7359" s="22" t="s">
        <v>52</v>
      </c>
      <c r="F7359" s="23" t="str">
        <f>HYPERLINK("https://www.spark-marketing.ru/Card/Lot/70903650", "Установка системы видеонаблюдения на объекте находящегося по адресу: г. Красноуфимск, ул. Фестивальная, д.4 (общеобразовательное отделение с интернатом для девочек, находящихся в сложной жизненной ситуации).")</f>
        <v>Установка системы видеонаблюдения на объекте находящегося по адресу: г. Красноуфимск, ул. Фестивальная, д.4 (общеобразовательное отделение с интернатом для девочек, находящихся в сложной жизненной ситуации).</v>
      </c>
      <c r="G7359" s="22" t="s">
        <v>72</v>
      </c>
      <c r="H7359" s="22" t="s">
        <v>270</v>
      </c>
      <c r="I7359" s="26">
        <v>43614.444444444402</v>
      </c>
      <c r="J7359" s="23" t="str">
        <f>HYPERLINK("https://www.spark-marketing.ru/Card/Person/857206", "Никулин Дмитрий Евгеньевич")</f>
        <v>Никулин Дмитрий Евгеньевич</v>
      </c>
      <c r="K7359" s="24" t="s">
        <v>7779</v>
      </c>
      <c r="L7359" s="28" t="s">
        <v>52</v>
      </c>
      <c r="M7359" s="25">
        <v>170056.61</v>
      </c>
      <c r="N7359" s="27">
        <v>0.43487391914076262</v>
      </c>
    </row>
    <row r="7360" spans="1:14" x14ac:dyDescent="0.15">
      <c r="A7360" s="23" t="str">
        <f t="shared" si="308"/>
        <v>ГБПОУ СО "КРАСНОУФИМСКИЙ ПЕДАГОГИЧЕСКИЙ КОЛЛЕДЖ"</v>
      </c>
      <c r="B7360" s="24" t="s">
        <v>9452</v>
      </c>
      <c r="C7360" s="25">
        <v>285946</v>
      </c>
      <c r="D7360" s="22" t="s">
        <v>9454</v>
      </c>
      <c r="E7360" s="22" t="s">
        <v>52</v>
      </c>
      <c r="F7360" s="23" t="str">
        <f>HYPERLINK("https://www.spark-marketing.ru/Card/Lot/70903645", "Установка системы видеонаблюдения на объекте находящегося по адресу: г. Красноуфимск, ул. Советская, д. 54 (общежитие №1).")</f>
        <v>Установка системы видеонаблюдения на объекте находящегося по адресу: г. Красноуфимск, ул. Советская, д. 54 (общежитие №1).</v>
      </c>
      <c r="G7360" s="22" t="s">
        <v>72</v>
      </c>
      <c r="H7360" s="22" t="s">
        <v>270</v>
      </c>
      <c r="I7360" s="26">
        <v>43614.444444444402</v>
      </c>
      <c r="J7360" s="28" t="s">
        <v>52</v>
      </c>
      <c r="K7360" s="28" t="s">
        <v>52</v>
      </c>
      <c r="L7360" s="28" t="s">
        <v>52</v>
      </c>
      <c r="M7360" s="28" t="s">
        <v>52</v>
      </c>
      <c r="N7360" s="28" t="s">
        <v>52</v>
      </c>
    </row>
    <row r="7361" spans="1:14" hidden="1" outlineLevel="1" x14ac:dyDescent="0.2">
      <c r="A7361" s="23" t="str">
        <f t="shared" si="308"/>
        <v>ГБПОУ СО "КРАСНОУФИМСКИЙ ПЕДАГОГИЧЕСКИЙ КОЛЛЕДЖ"</v>
      </c>
      <c r="B7361" s="24" t="s">
        <v>9452</v>
      </c>
      <c r="C7361" s="25">
        <v>285946</v>
      </c>
      <c r="D7361" s="22" t="s">
        <v>9454</v>
      </c>
      <c r="E7361" s="22" t="s">
        <v>52</v>
      </c>
      <c r="F7361" s="23" t="str">
        <f>HYPERLINK("https://www.spark-marketing.ru/Card/Lot/70903645", "Установка системы видеонаблюдения на объекте находящегося по адресу: г. Красноуфимск, ул. Советская, д. 54 (общежитие №1).")</f>
        <v>Установка системы видеонаблюдения на объекте находящегося по адресу: г. Красноуфимск, ул. Советская, д. 54 (общежитие №1).</v>
      </c>
      <c r="G7361" s="22" t="s">
        <v>72</v>
      </c>
      <c r="H7361" s="22" t="s">
        <v>270</v>
      </c>
      <c r="I7361" s="26">
        <v>43614.444444444402</v>
      </c>
      <c r="J7361" s="23" t="str">
        <f>HYPERLINK("https://www.spark-marketing.ru/Card/Person/6223684", "ООО ""КОРПОРАЦИЯ БЕЗОПАСНОСТИ""")</f>
        <v>ООО "КОРПОРАЦИЯ БЕЗОПАСНОСТИ"</v>
      </c>
      <c r="K7361" s="24" t="s">
        <v>4894</v>
      </c>
      <c r="L7361" s="28" t="s">
        <v>52</v>
      </c>
      <c r="M7361" s="25">
        <v>235000</v>
      </c>
      <c r="N7361" s="27">
        <v>0.17816650696285313</v>
      </c>
    </row>
    <row r="7362" spans="1:14" hidden="1" outlineLevel="1" x14ac:dyDescent="0.2">
      <c r="A7362" s="23" t="str">
        <f t="shared" si="308"/>
        <v>ГБПОУ СО "КРАСНОУФИМСКИЙ ПЕДАГОГИЧЕСКИЙ КОЛЛЕДЖ"</v>
      </c>
      <c r="B7362" s="24" t="s">
        <v>9452</v>
      </c>
      <c r="C7362" s="25">
        <v>285946</v>
      </c>
      <c r="D7362" s="22" t="s">
        <v>9454</v>
      </c>
      <c r="E7362" s="22" t="s">
        <v>52</v>
      </c>
      <c r="F7362" s="23" t="str">
        <f>HYPERLINK("https://www.spark-marketing.ru/Card/Lot/70903645", "Установка системы видеонаблюдения на объекте находящегося по адресу: г. Красноуфимск, ул. Советская, д. 54 (общежитие №1).")</f>
        <v>Установка системы видеонаблюдения на объекте находящегося по адресу: г. Красноуфимск, ул. Советская, д. 54 (общежитие №1).</v>
      </c>
      <c r="G7362" s="22" t="s">
        <v>72</v>
      </c>
      <c r="H7362" s="22" t="s">
        <v>270</v>
      </c>
      <c r="I7362" s="26">
        <v>43614.444444444402</v>
      </c>
      <c r="J7362" s="23" t="str">
        <f>HYPERLINK("https://www.spark-marketing.ru/Card/Person/50495", "ООО ""МСП БИЗНЕС МИР""")</f>
        <v>ООО "МСП БИЗНЕС МИР"</v>
      </c>
      <c r="K7362" s="24" t="s">
        <v>6602</v>
      </c>
      <c r="L7362" s="28" t="s">
        <v>52</v>
      </c>
      <c r="M7362" s="25">
        <v>260000</v>
      </c>
      <c r="N7362" s="27">
        <v>9.0737411958901337E-2</v>
      </c>
    </row>
    <row r="7363" spans="1:14" ht="12.75" hidden="1" outlineLevel="1" x14ac:dyDescent="0.2">
      <c r="A7363" s="23" t="str">
        <f t="shared" si="308"/>
        <v>ГБПОУ СО "КРАСНОУФИМСКИЙ ПЕДАГОГИЧЕСКИЙ КОЛЛЕДЖ"</v>
      </c>
      <c r="B7363" s="24" t="s">
        <v>9452</v>
      </c>
      <c r="C7363" s="25">
        <v>285946</v>
      </c>
      <c r="D7363" s="22" t="s">
        <v>9454</v>
      </c>
      <c r="E7363" s="22" t="s">
        <v>52</v>
      </c>
      <c r="F7363" s="23" t="str">
        <f>HYPERLINK("https://www.spark-marketing.ru/Card/Lot/70903645", "Установка системы видеонаблюдения на объекте находящегося по адресу: г. Красноуфимск, ул. Советская, д. 54 (общежитие №1).")</f>
        <v>Установка системы видеонаблюдения на объекте находящегося по адресу: г. Красноуфимск, ул. Советская, д. 54 (общежитие №1).</v>
      </c>
      <c r="G7363" s="22" t="s">
        <v>72</v>
      </c>
      <c r="H7363" s="22" t="s">
        <v>270</v>
      </c>
      <c r="I7363" s="26">
        <v>43614.444444444402</v>
      </c>
      <c r="J7363" s="23" t="str">
        <f>HYPERLINK("https://www.spark-marketing.ru/Card/Person/803106", "Лунегов Алексей Евгеньевич")</f>
        <v>Лунегов Алексей Евгеньевич</v>
      </c>
      <c r="K7363" s="24" t="s">
        <v>2506</v>
      </c>
      <c r="L7363" s="22" t="s">
        <v>10</v>
      </c>
      <c r="M7363" s="25">
        <v>224467.61</v>
      </c>
      <c r="N7363" s="27">
        <v>0.215</v>
      </c>
    </row>
    <row r="7364" spans="1:14" hidden="1" outlineLevel="1" x14ac:dyDescent="0.2">
      <c r="A7364" s="23" t="str">
        <f t="shared" si="308"/>
        <v>ГБПОУ СО "КРАСНОУФИМСКИЙ ПЕДАГОГИЧЕСКИЙ КОЛЛЕДЖ"</v>
      </c>
      <c r="B7364" s="24" t="s">
        <v>9452</v>
      </c>
      <c r="C7364" s="25">
        <v>285946</v>
      </c>
      <c r="D7364" s="22" t="s">
        <v>9454</v>
      </c>
      <c r="E7364" s="22" t="s">
        <v>52</v>
      </c>
      <c r="F7364" s="23" t="str">
        <f>HYPERLINK("https://www.spark-marketing.ru/Card/Lot/70903645", "Установка системы видеонаблюдения на объекте находящегося по адресу: г. Красноуфимск, ул. Советская, д. 54 (общежитие №1).")</f>
        <v>Установка системы видеонаблюдения на объекте находящегося по адресу: г. Красноуфимск, ул. Советская, д. 54 (общежитие №1).</v>
      </c>
      <c r="G7364" s="22" t="s">
        <v>72</v>
      </c>
      <c r="H7364" s="22" t="s">
        <v>270</v>
      </c>
      <c r="I7364" s="26">
        <v>43614.444444444402</v>
      </c>
      <c r="J7364" s="23" t="str">
        <f>HYPERLINK("https://www.spark-marketing.ru/Card/Person/5853123", "Ершов Андрей Алексеевич")</f>
        <v>Ершов Андрей Алексеевич</v>
      </c>
      <c r="K7364" s="24" t="s">
        <v>1063</v>
      </c>
      <c r="L7364" s="28" t="s">
        <v>52</v>
      </c>
      <c r="M7364" s="25">
        <v>225897.34</v>
      </c>
      <c r="N7364" s="27">
        <v>0.21</v>
      </c>
    </row>
    <row r="7365" spans="1:14" x14ac:dyDescent="0.15">
      <c r="A7365" s="23" t="str">
        <f t="shared" si="308"/>
        <v>ГБПОУ СО "КРАСНОУФИМСКИЙ ПЕДАГОГИЧЕСКИЙ КОЛЛЕДЖ"</v>
      </c>
      <c r="B7365" s="24" t="s">
        <v>9452</v>
      </c>
      <c r="C7365" s="25">
        <v>154171</v>
      </c>
      <c r="D7365" s="22" t="s">
        <v>9455</v>
      </c>
      <c r="E7365" s="22" t="s">
        <v>52</v>
      </c>
      <c r="F7365" s="23" t="str">
        <f>HYPERLINK("https://www.spark-marketing.ru/Card/Lot/70902429", "Установка системы видеонаблюдения на объекте находящегося по адресу: г. Красноуфимск, ул. Московская, д.17 (спортивно-оздоровительный комплекс).")</f>
        <v>Установка системы видеонаблюдения на объекте находящегося по адресу: г. Красноуфимск, ул. Московская, д.17 (спортивно-оздоровительный комплекс).</v>
      </c>
      <c r="G7365" s="22" t="s">
        <v>72</v>
      </c>
      <c r="H7365" s="22" t="s">
        <v>270</v>
      </c>
      <c r="I7365" s="26">
        <v>43614.444444444402</v>
      </c>
      <c r="J7365" s="28" t="s">
        <v>52</v>
      </c>
      <c r="K7365" s="28" t="s">
        <v>52</v>
      </c>
      <c r="L7365" s="28" t="s">
        <v>52</v>
      </c>
      <c r="M7365" s="28" t="s">
        <v>52</v>
      </c>
      <c r="N7365" s="28" t="s">
        <v>52</v>
      </c>
    </row>
    <row r="7366" spans="1:14" hidden="1" outlineLevel="1" x14ac:dyDescent="0.2">
      <c r="A7366" s="23" t="str">
        <f t="shared" si="308"/>
        <v>ГБПОУ СО "КРАСНОУФИМСКИЙ ПЕДАГОГИЧЕСКИЙ КОЛЛЕДЖ"</v>
      </c>
      <c r="B7366" s="24" t="s">
        <v>9452</v>
      </c>
      <c r="C7366" s="25">
        <v>154171</v>
      </c>
      <c r="D7366" s="22" t="s">
        <v>9455</v>
      </c>
      <c r="E7366" s="22" t="s">
        <v>52</v>
      </c>
      <c r="F7366" s="23" t="str">
        <f>HYPERLINK("https://www.spark-marketing.ru/Card/Lot/70902429", "Установка системы видеонаблюдения на объекте находящегося по адресу: г. Красноуфимск, ул. Московская, д.17 (спортивно-оздоровительный комплекс).")</f>
        <v>Установка системы видеонаблюдения на объекте находящегося по адресу: г. Красноуфимск, ул. Московская, д.17 (спортивно-оздоровительный комплекс).</v>
      </c>
      <c r="G7366" s="22" t="s">
        <v>72</v>
      </c>
      <c r="H7366" s="22" t="s">
        <v>270</v>
      </c>
      <c r="I7366" s="26">
        <v>43614.444444444402</v>
      </c>
      <c r="J7366" s="23" t="str">
        <f>HYPERLINK("https://www.spark-marketing.ru/Card/Person/552843", "Иноземцев Владимир Иванович")</f>
        <v>Иноземцев Владимир Иванович</v>
      </c>
      <c r="K7366" s="24" t="s">
        <v>9456</v>
      </c>
      <c r="L7366" s="28" t="s">
        <v>52</v>
      </c>
      <c r="M7366" s="25">
        <v>152600.14000000001</v>
      </c>
      <c r="N7366" s="27">
        <v>1.0189075766518995E-2</v>
      </c>
    </row>
    <row r="7367" spans="1:14" hidden="1" outlineLevel="1" x14ac:dyDescent="0.2">
      <c r="A7367" s="23" t="str">
        <f t="shared" si="308"/>
        <v>ГБПОУ СО "КРАСНОУФИМСКИЙ ПЕДАГОГИЧЕСКИЙ КОЛЛЕДЖ"</v>
      </c>
      <c r="B7367" s="24" t="s">
        <v>9452</v>
      </c>
      <c r="C7367" s="25">
        <v>154171</v>
      </c>
      <c r="D7367" s="22" t="s">
        <v>9455</v>
      </c>
      <c r="E7367" s="22" t="s">
        <v>52</v>
      </c>
      <c r="F7367" s="23" t="str">
        <f>HYPERLINK("https://www.spark-marketing.ru/Card/Lot/70902429", "Установка системы видеонаблюдения на объекте находящегося по адресу: г. Красноуфимск, ул. Московская, д.17 (спортивно-оздоровительный комплекс).")</f>
        <v>Установка системы видеонаблюдения на объекте находящегося по адресу: г. Красноуфимск, ул. Московская, д.17 (спортивно-оздоровительный комплекс).</v>
      </c>
      <c r="G7367" s="22" t="s">
        <v>72</v>
      </c>
      <c r="H7367" s="22" t="s">
        <v>270</v>
      </c>
      <c r="I7367" s="26">
        <v>43614.444444444402</v>
      </c>
      <c r="J7367" s="23" t="str">
        <f>HYPERLINK("https://www.spark-marketing.ru/Card/Person/857206", "Никулин Дмитрий Евгеньевич")</f>
        <v>Никулин Дмитрий Евгеньевич</v>
      </c>
      <c r="K7367" s="24" t="s">
        <v>7779</v>
      </c>
      <c r="L7367" s="28" t="s">
        <v>52</v>
      </c>
      <c r="M7367" s="25">
        <v>101557.98</v>
      </c>
      <c r="N7367" s="27">
        <v>0.34126405095640555</v>
      </c>
    </row>
    <row r="7368" spans="1:14" ht="12.75" hidden="1" outlineLevel="1" x14ac:dyDescent="0.2">
      <c r="A7368" s="23" t="str">
        <f t="shared" si="308"/>
        <v>ГБПОУ СО "КРАСНОУФИМСКИЙ ПЕДАГОГИЧЕСКИЙ КОЛЛЕДЖ"</v>
      </c>
      <c r="B7368" s="24" t="s">
        <v>9452</v>
      </c>
      <c r="C7368" s="25">
        <v>154171</v>
      </c>
      <c r="D7368" s="22" t="s">
        <v>9455</v>
      </c>
      <c r="E7368" s="22" t="s">
        <v>52</v>
      </c>
      <c r="F7368" s="23" t="str">
        <f>HYPERLINK("https://www.spark-marketing.ru/Card/Lot/70902429", "Установка системы видеонаблюдения на объекте находящегося по адресу: г. Красноуфимск, ул. Московская, д.17 (спортивно-оздоровительный комплекс).")</f>
        <v>Установка системы видеонаблюдения на объекте находящегося по адресу: г. Красноуфимск, ул. Московская, д.17 (спортивно-оздоровительный комплекс).</v>
      </c>
      <c r="G7368" s="22" t="s">
        <v>72</v>
      </c>
      <c r="H7368" s="22" t="s">
        <v>270</v>
      </c>
      <c r="I7368" s="26">
        <v>43614.444444444402</v>
      </c>
      <c r="J7368" s="23" t="str">
        <f>HYPERLINK("https://www.spark-marketing.ru/Card/Person/4408755", "ООО ""ВЕРТИКАЛЬ""")</f>
        <v>ООО "ВЕРТИКАЛЬ"</v>
      </c>
      <c r="K7368" s="24" t="s">
        <v>1210</v>
      </c>
      <c r="L7368" s="22" t="s">
        <v>10</v>
      </c>
      <c r="M7368" s="25">
        <v>100757.98</v>
      </c>
      <c r="N7368" s="27">
        <v>0.3464530942914037</v>
      </c>
    </row>
    <row r="7369" spans="1:14" hidden="1" outlineLevel="1" x14ac:dyDescent="0.2">
      <c r="A7369" s="23" t="str">
        <f t="shared" si="308"/>
        <v>ГБПОУ СО "КРАСНОУФИМСКИЙ ПЕДАГОГИЧЕСКИЙ КОЛЛЕДЖ"</v>
      </c>
      <c r="B7369" s="24" t="s">
        <v>9452</v>
      </c>
      <c r="C7369" s="25">
        <v>154171</v>
      </c>
      <c r="D7369" s="22" t="s">
        <v>9455</v>
      </c>
      <c r="E7369" s="22" t="s">
        <v>52</v>
      </c>
      <c r="F7369" s="23" t="str">
        <f>HYPERLINK("https://www.spark-marketing.ru/Card/Lot/70902429", "Установка системы видеонаблюдения на объекте находящегося по адресу: г. Красноуфимск, ул. Московская, д.17 (спортивно-оздоровительный комплекс).")</f>
        <v>Установка системы видеонаблюдения на объекте находящегося по адресу: г. Красноуфимск, ул. Московская, д.17 (спортивно-оздоровительный комплекс).</v>
      </c>
      <c r="G7369" s="22" t="s">
        <v>72</v>
      </c>
      <c r="H7369" s="22" t="s">
        <v>270</v>
      </c>
      <c r="I7369" s="26">
        <v>43614.444444444402</v>
      </c>
      <c r="J7369" s="23" t="str">
        <f>HYPERLINK("https://www.spark-marketing.ru/Card/Person/5853123", "Ершов Андрей Алексеевич")</f>
        <v>Ершов Андрей Алексеевич</v>
      </c>
      <c r="K7369" s="24" t="s">
        <v>1063</v>
      </c>
      <c r="L7369" s="28" t="s">
        <v>52</v>
      </c>
      <c r="M7369" s="25">
        <v>150000</v>
      </c>
      <c r="N7369" s="27">
        <v>2.7054374687846612E-2</v>
      </c>
    </row>
    <row r="7370" spans="1:14" x14ac:dyDescent="0.15">
      <c r="A7370" s="23" t="str">
        <f>HYPERLINK("https://www.spark-marketing.ru/Card/Person/57317", "УСД В ТАМБОВСКОЙ ОБЛАСТИ")</f>
        <v>УСД В ТАМБОВСКОЙ ОБЛАСТИ</v>
      </c>
      <c r="B7370" s="24" t="s">
        <v>3073</v>
      </c>
      <c r="C7370" s="25">
        <v>407994.24</v>
      </c>
      <c r="D7370" s="22" t="s">
        <v>9457</v>
      </c>
      <c r="E7370" s="22" t="s">
        <v>68</v>
      </c>
      <c r="F7370" s="23" t="str">
        <f>HYPERLINK("https://www.spark-marketing.ru/Card/Lot/70910211", "Оказание услуг по охране объектов военизированными подразделениями, административного здания по адресу: Тамбовская область, г. Тамбов, ул. М. Горького/К. Маркса, 30/126")</f>
        <v>Оказание услуг по охране объектов военизированными подразделениями, административного здания по адресу: Тамбовская область, г. Тамбов, ул. М. Горького/К. Маркса, 30/126</v>
      </c>
      <c r="G7370" s="22" t="s">
        <v>1319</v>
      </c>
      <c r="H7370" s="22" t="s">
        <v>1319</v>
      </c>
      <c r="I7370" s="26">
        <v>43614.443749999999</v>
      </c>
      <c r="J7370" s="28" t="s">
        <v>52</v>
      </c>
      <c r="K7370" s="28" t="s">
        <v>52</v>
      </c>
      <c r="L7370" s="28" t="s">
        <v>52</v>
      </c>
      <c r="M7370" s="28" t="s">
        <v>52</v>
      </c>
      <c r="N7370" s="28" t="s">
        <v>52</v>
      </c>
    </row>
    <row r="7371" spans="1:14" ht="12.75" hidden="1" outlineLevel="1" x14ac:dyDescent="0.2">
      <c r="A7371" s="23" t="str">
        <f>HYPERLINK("https://www.spark-marketing.ru/Card/Person/57317", "УСД В ТАМБОВСКОЙ ОБЛАСТИ")</f>
        <v>УСД В ТАМБОВСКОЙ ОБЛАСТИ</v>
      </c>
      <c r="B7371" s="24" t="s">
        <v>3073</v>
      </c>
      <c r="C7371" s="25">
        <v>407994.24</v>
      </c>
      <c r="D7371" s="22" t="s">
        <v>9457</v>
      </c>
      <c r="E7371" s="22" t="s">
        <v>68</v>
      </c>
      <c r="F7371" s="23" t="str">
        <f>HYPERLINK("https://www.spark-marketing.ru/Card/Lot/70910211", "Оказание услуг по охране объектов военизированными подразделениями, административного здания по адресу: Тамбовская область, г. Тамбов, ул. М. Горького/К. Маркса, 30/126")</f>
        <v>Оказание услуг по охране объектов военизированными подразделениями, административного здания по адресу: Тамбовская область, г. Тамбов, ул. М. Горького/К. Маркса, 30/126</v>
      </c>
      <c r="G7371" s="22" t="s">
        <v>1319</v>
      </c>
      <c r="H7371" s="22" t="s">
        <v>1319</v>
      </c>
      <c r="I7371" s="26">
        <v>43614.443749999999</v>
      </c>
      <c r="J7371" s="23" t="str">
        <f>HYPERLINK("https://www.spark-marketing.ru/Card/Person/666553", "ФГП ВО ЖДТ РОССИИ")</f>
        <v>ФГП ВО ЖДТ РОССИИ</v>
      </c>
      <c r="K7371" s="24" t="s">
        <v>1269</v>
      </c>
      <c r="L7371" s="22" t="s">
        <v>10</v>
      </c>
      <c r="M7371" s="25">
        <v>399834.36</v>
      </c>
      <c r="N7371" s="27">
        <v>1.9999988235128024E-2</v>
      </c>
    </row>
    <row r="7372" spans="1:14" hidden="1" outlineLevel="1" x14ac:dyDescent="0.2">
      <c r="A7372" s="23" t="str">
        <f>HYPERLINK("https://www.spark-marketing.ru/Card/Person/57317", "УСД В ТАМБОВСКОЙ ОБЛАСТИ")</f>
        <v>УСД В ТАМБОВСКОЙ ОБЛАСТИ</v>
      </c>
      <c r="B7372" s="24" t="s">
        <v>3073</v>
      </c>
      <c r="C7372" s="25">
        <v>407994.24</v>
      </c>
      <c r="D7372" s="22" t="s">
        <v>9457</v>
      </c>
      <c r="E7372" s="22" t="s">
        <v>68</v>
      </c>
      <c r="F7372" s="23" t="str">
        <f>HYPERLINK("https://www.spark-marketing.ru/Card/Lot/70910211", "Оказание услуг по охране объектов военизированными подразделениями, административного здания по адресу: Тамбовская область, г. Тамбов, ул. М. Горького/К. Маркса, 30/126")</f>
        <v>Оказание услуг по охране объектов военизированными подразделениями, административного здания по адресу: Тамбовская область, г. Тамбов, ул. М. Горького/К. Маркса, 30/126</v>
      </c>
      <c r="G7372" s="22" t="s">
        <v>1319</v>
      </c>
      <c r="H7372" s="22" t="s">
        <v>1319</v>
      </c>
      <c r="I7372" s="26">
        <v>43614.443749999999</v>
      </c>
      <c r="J7372" s="23" t="str">
        <f>HYPERLINK("https://www.spark-marketing.ru/Card/Person/1525797", "ФЛ ФГУП ""Охрана"" РОСГВАРДИИ по Тамбовской области")</f>
        <v>ФЛ ФГУП "Охрана" РОСГВАРДИИ по Тамбовской области</v>
      </c>
      <c r="K7372" s="24" t="s">
        <v>779</v>
      </c>
      <c r="L7372" s="28" t="s">
        <v>52</v>
      </c>
      <c r="M7372" s="25">
        <v>401874.33</v>
      </c>
      <c r="N7372" s="27">
        <v>1.4999991176346018E-2</v>
      </c>
    </row>
    <row r="7373" spans="1:14" x14ac:dyDescent="0.15">
      <c r="A7373" s="23" t="str">
        <f>HYPERLINK("https://www.spark-marketing.ru/Card/Person/4674", "МОУ СОШ № 8")</f>
        <v>МОУ СОШ № 8</v>
      </c>
      <c r="B7373" s="24" t="s">
        <v>9458</v>
      </c>
      <c r="C7373" s="25">
        <v>63468.56</v>
      </c>
      <c r="D7373" s="22" t="s">
        <v>9459</v>
      </c>
      <c r="E7373" s="22" t="s">
        <v>9460</v>
      </c>
      <c r="F7373" s="23" t="str">
        <f>HYPERLINK("https://www.spark-marketing.ru/Card/Lot/70903210", "Выполнение работ по монтажу и техническому обслуживанию системы видеонаблюдения")</f>
        <v>Выполнение работ по монтажу и техническому обслуживанию системы видеонаблюдения</v>
      </c>
      <c r="G7373" s="22" t="s">
        <v>50</v>
      </c>
      <c r="H7373" s="22" t="s">
        <v>827</v>
      </c>
      <c r="I7373" s="26">
        <v>43614.410821759302</v>
      </c>
      <c r="J7373" s="28" t="s">
        <v>52</v>
      </c>
      <c r="K7373" s="28" t="s">
        <v>52</v>
      </c>
      <c r="L7373" s="28" t="s">
        <v>52</v>
      </c>
      <c r="M7373" s="28" t="s">
        <v>52</v>
      </c>
      <c r="N7373" s="28" t="s">
        <v>52</v>
      </c>
    </row>
    <row r="7374" spans="1:14" x14ac:dyDescent="0.15">
      <c r="A7374" s="23" t="str">
        <f>HYPERLINK("https://www.spark-marketing.ru/Card/Person/6079578", "УПРАВЛЕНИЕ РОСГВАРДИИ ПО РЕСПУБЛИКЕ КАЛМЫКИЯ")</f>
        <v>УПРАВЛЕНИЕ РОСГВАРДИИ ПО РЕСПУБЛИКЕ КАЛМЫКИЯ</v>
      </c>
      <c r="B7374" s="24" t="s">
        <v>9461</v>
      </c>
      <c r="C7374" s="25">
        <v>1000466.67</v>
      </c>
      <c r="D7374" s="22" t="s">
        <v>9462</v>
      </c>
      <c r="E7374" s="22" t="s">
        <v>376</v>
      </c>
      <c r="F7374" s="23" t="str">
        <f>HYPERLINK("https://www.spark-marketing.ru/Card/Lot/70904150", "Поставка светосигнальной громкогорящей установки")</f>
        <v>Поставка светосигнальной громкогорящей установки</v>
      </c>
      <c r="G7374" s="22" t="s">
        <v>1325</v>
      </c>
      <c r="H7374" s="22" t="s">
        <v>2595</v>
      </c>
      <c r="I7374" s="26">
        <v>43614.383333333302</v>
      </c>
      <c r="J7374" s="23" t="str">
        <f>HYPERLINK("https://www.spark-marketing.ru/Card/Person/103208", "ООО ""БРИЗ""")</f>
        <v>ООО "БРИЗ"</v>
      </c>
      <c r="K7374" s="24" t="s">
        <v>2596</v>
      </c>
      <c r="L7374" s="22" t="s">
        <v>10</v>
      </c>
      <c r="M7374" s="28" t="s">
        <v>52</v>
      </c>
      <c r="N7374" s="28" t="s">
        <v>52</v>
      </c>
    </row>
    <row r="7375" spans="1:14" x14ac:dyDescent="0.15">
      <c r="A7375" s="23" t="str">
        <f>HYPERLINK("https://www.spark-marketing.ru/Card/Person/4343550", "МБУ ""ЦОД""")</f>
        <v>МБУ "ЦОД"</v>
      </c>
      <c r="B7375" s="24" t="s">
        <v>9463</v>
      </c>
      <c r="C7375" s="25">
        <v>2134532</v>
      </c>
      <c r="D7375" s="22" t="s">
        <v>9464</v>
      </c>
      <c r="E7375" s="22" t="s">
        <v>59</v>
      </c>
      <c r="F7375" s="23" t="str">
        <f>HYPERLINK("https://www.spark-marketing.ru/Card/Lot/70900868", "Выполнение работ по установке систем видеонаблюдения на перекрестках улиц в муниципальном образовании ""город Екатеринбург""")</f>
        <v>Выполнение работ по установке систем видеонаблюдения на перекрестках улиц в муниципальном образовании "город Екатеринбург"</v>
      </c>
      <c r="G7375" s="22" t="s">
        <v>72</v>
      </c>
      <c r="H7375" s="22" t="s">
        <v>949</v>
      </c>
      <c r="I7375" s="26">
        <v>43614.413194444402</v>
      </c>
      <c r="J7375" s="28" t="s">
        <v>52</v>
      </c>
      <c r="K7375" s="28" t="s">
        <v>52</v>
      </c>
      <c r="L7375" s="28" t="s">
        <v>52</v>
      </c>
      <c r="M7375" s="28" t="s">
        <v>52</v>
      </c>
      <c r="N7375" s="28" t="s">
        <v>52</v>
      </c>
    </row>
    <row r="7376" spans="1:14" ht="12.75" hidden="1" outlineLevel="1" x14ac:dyDescent="0.2">
      <c r="A7376" s="23" t="str">
        <f>HYPERLINK("https://www.spark-marketing.ru/Card/Person/4343550", "МБУ ""ЦОД""")</f>
        <v>МБУ "ЦОД"</v>
      </c>
      <c r="B7376" s="24" t="s">
        <v>9463</v>
      </c>
      <c r="C7376" s="25">
        <v>2134532</v>
      </c>
      <c r="D7376" s="22" t="s">
        <v>9464</v>
      </c>
      <c r="E7376" s="22" t="s">
        <v>59</v>
      </c>
      <c r="F7376" s="23" t="str">
        <f>HYPERLINK("https://www.spark-marketing.ru/Card/Lot/70900868", "Выполнение работ по установке систем видеонаблюдения на перекрестках улиц в муниципальном образовании ""город Екатеринбург""")</f>
        <v>Выполнение работ по установке систем видеонаблюдения на перекрестках улиц в муниципальном образовании "город Екатеринбург"</v>
      </c>
      <c r="G7376" s="22" t="s">
        <v>72</v>
      </c>
      <c r="H7376" s="22" t="s">
        <v>949</v>
      </c>
      <c r="I7376" s="26">
        <v>43614.413194444402</v>
      </c>
      <c r="J7376" s="23" t="str">
        <f>HYPERLINK("https://www.spark-marketing.ru/Card/Person/2045821", "ООО ""ГК ""ДИАЛОГ""")</f>
        <v>ООО "ГК "ДИАЛОГ"</v>
      </c>
      <c r="K7376" s="24" t="s">
        <v>9465</v>
      </c>
      <c r="L7376" s="22" t="s">
        <v>10</v>
      </c>
      <c r="M7376" s="25">
        <v>2123859.2999999998</v>
      </c>
      <c r="N7376" s="27">
        <v>5.00001873947076E-3</v>
      </c>
    </row>
    <row r="7377" spans="1:14" hidden="1" outlineLevel="1" x14ac:dyDescent="0.2">
      <c r="A7377" s="23" t="str">
        <f>HYPERLINK("https://www.spark-marketing.ru/Card/Person/4343550", "МБУ ""ЦОД""")</f>
        <v>МБУ "ЦОД"</v>
      </c>
      <c r="B7377" s="24" t="s">
        <v>9463</v>
      </c>
      <c r="C7377" s="25">
        <v>2134532</v>
      </c>
      <c r="D7377" s="22" t="s">
        <v>9464</v>
      </c>
      <c r="E7377" s="22" t="s">
        <v>59</v>
      </c>
      <c r="F7377" s="23" t="str">
        <f>HYPERLINK("https://www.spark-marketing.ru/Card/Lot/70900868", "Выполнение работ по установке систем видеонаблюдения на перекрестках улиц в муниципальном образовании ""город Екатеринбург""")</f>
        <v>Выполнение работ по установке систем видеонаблюдения на перекрестках улиц в муниципальном образовании "город Екатеринбург"</v>
      </c>
      <c r="G7377" s="22" t="s">
        <v>72</v>
      </c>
      <c r="H7377" s="22" t="s">
        <v>949</v>
      </c>
      <c r="I7377" s="26">
        <v>43614.413194444402</v>
      </c>
      <c r="J7377" s="23" t="str">
        <f>HYPERLINK("https://www.spark-marketing.ru/Card/Person/6447599", "ООО ""ДИСКОНТ""")</f>
        <v>ООО "ДИСКОНТ"</v>
      </c>
      <c r="K7377" s="24" t="s">
        <v>8568</v>
      </c>
      <c r="L7377" s="28" t="s">
        <v>52</v>
      </c>
      <c r="M7377" s="25">
        <v>2123859.2999999998</v>
      </c>
      <c r="N7377" s="27">
        <v>5.00001873947076E-3</v>
      </c>
    </row>
    <row r="7378" spans="1:14" x14ac:dyDescent="0.15">
      <c r="A7378" s="23" t="str">
        <f>HYPERLINK("https://www.spark-marketing.ru/Card/Person/1023161", "СИНИЧИНСКАЯ СРЕДНЯЯ ШКОЛА")</f>
        <v>СИНИЧИНСКАЯ СРЕДНЯЯ ШКОЛА</v>
      </c>
      <c r="B7378" s="24" t="s">
        <v>9466</v>
      </c>
      <c r="C7378" s="25">
        <v>223333.33</v>
      </c>
      <c r="D7378" s="22" t="s">
        <v>9467</v>
      </c>
      <c r="E7378" s="22" t="s">
        <v>208</v>
      </c>
      <c r="F7378" s="23" t="str">
        <f>HYPERLINK("https://www.spark-marketing.ru/Card/Lot/70907228", "Поставка и установка системы контроля и управления доступом, стационарных рамок металлодетектора, системы видеодомофонии")</f>
        <v>Поставка и установка системы контроля и управления доступом, стационарных рамок металлодетектора, системы видеодомофонии</v>
      </c>
      <c r="G7378" s="22" t="s">
        <v>50</v>
      </c>
      <c r="H7378" s="22" t="s">
        <v>399</v>
      </c>
      <c r="I7378" s="26">
        <v>43614.388888888898</v>
      </c>
      <c r="J7378" s="28" t="s">
        <v>52</v>
      </c>
      <c r="K7378" s="28" t="s">
        <v>52</v>
      </c>
      <c r="L7378" s="28" t="s">
        <v>52</v>
      </c>
      <c r="M7378" s="28" t="s">
        <v>52</v>
      </c>
      <c r="N7378" s="28" t="s">
        <v>52</v>
      </c>
    </row>
    <row r="7379" spans="1:14" hidden="1" outlineLevel="1" x14ac:dyDescent="0.2">
      <c r="A7379" s="23" t="str">
        <f>HYPERLINK("https://www.spark-marketing.ru/Card/Person/1023161", "СИНИЧИНСКАЯ СРЕДНЯЯ ШКОЛА")</f>
        <v>СИНИЧИНСКАЯ СРЕДНЯЯ ШКОЛА</v>
      </c>
      <c r="B7379" s="24" t="s">
        <v>9466</v>
      </c>
      <c r="C7379" s="25">
        <v>223333.33</v>
      </c>
      <c r="D7379" s="22" t="s">
        <v>9467</v>
      </c>
      <c r="E7379" s="22" t="s">
        <v>208</v>
      </c>
      <c r="F7379" s="23" t="str">
        <f>HYPERLINK("https://www.spark-marketing.ru/Card/Lot/70907228", "Поставка и установка системы контроля и управления доступом, стационарных рамок металлодетектора, системы видеодомофонии")</f>
        <v>Поставка и установка системы контроля и управления доступом, стационарных рамок металлодетектора, системы видеодомофонии</v>
      </c>
      <c r="G7379" s="22" t="s">
        <v>50</v>
      </c>
      <c r="H7379" s="22" t="s">
        <v>399</v>
      </c>
      <c r="I7379" s="26">
        <v>43614.388888888898</v>
      </c>
      <c r="J7379" s="23" t="str">
        <f>HYPERLINK("https://www.spark-marketing.ru/Card/Person/6445825", "Судариков Михаил Геннадьевич")</f>
        <v>Судариков Михаил Геннадьевич</v>
      </c>
      <c r="K7379" s="24" t="s">
        <v>1219</v>
      </c>
      <c r="L7379" s="28" t="s">
        <v>52</v>
      </c>
      <c r="M7379" s="25">
        <v>190000</v>
      </c>
      <c r="N7379" s="27">
        <v>0.14925371864557788</v>
      </c>
    </row>
    <row r="7380" spans="1:14" ht="12.75" hidden="1" outlineLevel="1" x14ac:dyDescent="0.2">
      <c r="A7380" s="23" t="str">
        <f>HYPERLINK("https://www.spark-marketing.ru/Card/Person/1023161", "СИНИЧИНСКАЯ СРЕДНЯЯ ШКОЛА")</f>
        <v>СИНИЧИНСКАЯ СРЕДНЯЯ ШКОЛА</v>
      </c>
      <c r="B7380" s="24" t="s">
        <v>9466</v>
      </c>
      <c r="C7380" s="25">
        <v>223333.33</v>
      </c>
      <c r="D7380" s="22" t="s">
        <v>9467</v>
      </c>
      <c r="E7380" s="22" t="s">
        <v>208</v>
      </c>
      <c r="F7380" s="23" t="str">
        <f>HYPERLINK("https://www.spark-marketing.ru/Card/Lot/70907228", "Поставка и установка системы контроля и управления доступом, стационарных рамок металлодетектора, системы видеодомофонии")</f>
        <v>Поставка и установка системы контроля и управления доступом, стационарных рамок металлодетектора, системы видеодомофонии</v>
      </c>
      <c r="G7380" s="22" t="s">
        <v>50</v>
      </c>
      <c r="H7380" s="22" t="s">
        <v>399</v>
      </c>
      <c r="I7380" s="26">
        <v>43614.388888888898</v>
      </c>
      <c r="J7380" s="23" t="str">
        <f>HYPERLINK("https://www.spark-marketing.ru/Card/Person/4439350", "ООО ""ЧОО ""ТРИГЛАВ""")</f>
        <v>ООО "ЧОО "ТРИГЛАВ"</v>
      </c>
      <c r="K7380" s="24" t="s">
        <v>1198</v>
      </c>
      <c r="L7380" s="22" t="s">
        <v>10</v>
      </c>
      <c r="M7380" s="25">
        <v>188800</v>
      </c>
      <c r="N7380" s="27">
        <v>0.15462685305413212</v>
      </c>
    </row>
    <row r="7381" spans="1:14" hidden="1" outlineLevel="1" x14ac:dyDescent="0.2">
      <c r="A7381" s="23" t="str">
        <f>HYPERLINK("https://www.spark-marketing.ru/Card/Person/1023161", "СИНИЧИНСКАЯ СРЕДНЯЯ ШКОЛА")</f>
        <v>СИНИЧИНСКАЯ СРЕДНЯЯ ШКОЛА</v>
      </c>
      <c r="B7381" s="24" t="s">
        <v>9466</v>
      </c>
      <c r="C7381" s="25">
        <v>223333.33</v>
      </c>
      <c r="D7381" s="22" t="s">
        <v>9467</v>
      </c>
      <c r="E7381" s="22" t="s">
        <v>208</v>
      </c>
      <c r="F7381" s="23" t="str">
        <f>HYPERLINK("https://www.spark-marketing.ru/Card/Lot/70907228", "Поставка и установка системы контроля и управления доступом, стационарных рамок металлодетектора, системы видеодомофонии")</f>
        <v>Поставка и установка системы контроля и управления доступом, стационарных рамок металлодетектора, системы видеодомофонии</v>
      </c>
      <c r="G7381" s="22" t="s">
        <v>50</v>
      </c>
      <c r="H7381" s="22" t="s">
        <v>399</v>
      </c>
      <c r="I7381" s="26">
        <v>43614.388888888898</v>
      </c>
      <c r="J7381" s="23" t="str">
        <f>HYPERLINK("https://www.spark-marketing.ru/Card/Person/6493571", "ООО ""АНТИГАН""")</f>
        <v>ООО "АНТИГАН"</v>
      </c>
      <c r="K7381" s="24" t="s">
        <v>6048</v>
      </c>
      <c r="L7381" s="28" t="s">
        <v>52</v>
      </c>
      <c r="M7381" s="25">
        <v>214883.33</v>
      </c>
      <c r="N7381" s="27">
        <v>3.783582146023614E-2</v>
      </c>
    </row>
    <row r="7382" spans="1:14" x14ac:dyDescent="0.15">
      <c r="A7382" s="23" t="str">
        <f>HYPERLINK("https://www.spark-marketing.ru/Card/Person/1767664", "ЭЛЕКТРОГОРСКАЯ ДЕТСКАЯ ШКОЛА ИСКУССТВ")</f>
        <v>ЭЛЕКТРОГОРСКАЯ ДЕТСКАЯ ШКОЛА ИСКУССТВ</v>
      </c>
      <c r="B7382" s="24" t="s">
        <v>9468</v>
      </c>
      <c r="C7382" s="25">
        <v>96000</v>
      </c>
      <c r="D7382" s="22" t="s">
        <v>9469</v>
      </c>
      <c r="E7382" s="22" t="s">
        <v>9470</v>
      </c>
      <c r="F7382" s="23" t="str">
        <f>HYPERLINK("https://www.spark-marketing.ru/Card/Lot/70904416", "Техническое обслуживание видеоизображения")</f>
        <v>Техническое обслуживание видеоизображения</v>
      </c>
      <c r="G7382" s="22" t="s">
        <v>50</v>
      </c>
      <c r="H7382" s="22" t="s">
        <v>50</v>
      </c>
      <c r="I7382" s="26">
        <v>43614.407800925903</v>
      </c>
      <c r="J7382" s="28" t="s">
        <v>52</v>
      </c>
      <c r="K7382" s="28" t="s">
        <v>52</v>
      </c>
      <c r="L7382" s="28" t="s">
        <v>52</v>
      </c>
      <c r="M7382" s="28" t="s">
        <v>52</v>
      </c>
      <c r="N7382" s="28" t="s">
        <v>52</v>
      </c>
    </row>
    <row r="7383" spans="1:14" x14ac:dyDescent="0.15">
      <c r="A7383" s="23" t="str">
        <f>HYPERLINK("https://www.spark-marketing.ru/Card/Person/3873", "ГБУ ""ЖИЛИЩНИК РАЙОНА СТРОГИНО""")</f>
        <v>ГБУ "ЖИЛИЩНИК РАЙОНА СТРОГИНО"</v>
      </c>
      <c r="B7383" s="24" t="s">
        <v>9471</v>
      </c>
      <c r="C7383" s="25">
        <v>291951.40999999997</v>
      </c>
      <c r="D7383" s="22" t="s">
        <v>9472</v>
      </c>
      <c r="E7383" s="22" t="s">
        <v>9473</v>
      </c>
      <c r="F7383" s="23" t="str">
        <f>HYPERLINK("https://www.spark-marketing.ru/Card/Lot/70904302", "Выполнение работ по установке оборудования системы видеонаблюдения по адресу: г. Москва, ул. 2-ая Лыковская, д.63")</f>
        <v>Выполнение работ по установке оборудования системы видеонаблюдения по адресу: г. Москва, ул. 2-ая Лыковская, д.63</v>
      </c>
      <c r="G7383" s="22" t="s">
        <v>55</v>
      </c>
      <c r="H7383" s="22" t="s">
        <v>55</v>
      </c>
      <c r="I7383" s="26">
        <v>43614.411620370403</v>
      </c>
      <c r="J7383" s="28" t="s">
        <v>52</v>
      </c>
      <c r="K7383" s="28" t="s">
        <v>52</v>
      </c>
      <c r="L7383" s="28" t="s">
        <v>52</v>
      </c>
      <c r="M7383" s="28" t="s">
        <v>52</v>
      </c>
      <c r="N7383" s="28" t="s">
        <v>52</v>
      </c>
    </row>
    <row r="7384" spans="1:14" x14ac:dyDescent="0.15">
      <c r="A7384" s="23" t="str">
        <f>HYPERLINK("https://www.spark-marketing.ru/Card/Person/372382", "ГКУ ""ЛОЦПП""")</f>
        <v>ГКУ "ЛОЦПП"</v>
      </c>
      <c r="B7384" s="24" t="s">
        <v>9474</v>
      </c>
      <c r="C7384" s="25">
        <v>700000</v>
      </c>
      <c r="D7384" s="22" t="s">
        <v>9475</v>
      </c>
      <c r="E7384" s="22" t="s">
        <v>3699</v>
      </c>
      <c r="F7384" s="23" t="str">
        <f>HYPERLINK("https://www.spark-marketing.ru/Card/Lot/70905209", "Разработка и сопровождение АИС ""Категорирование торговых объектов""")</f>
        <v>Разработка и сопровождение АИС "Категорирование торговых объектов"</v>
      </c>
      <c r="G7384" s="22" t="s">
        <v>861</v>
      </c>
      <c r="H7384" s="22" t="s">
        <v>934</v>
      </c>
      <c r="I7384" s="26">
        <v>43614.408333333296</v>
      </c>
      <c r="J7384" s="28" t="s">
        <v>52</v>
      </c>
      <c r="K7384" s="28" t="s">
        <v>52</v>
      </c>
      <c r="L7384" s="28" t="s">
        <v>52</v>
      </c>
      <c r="M7384" s="28" t="s">
        <v>52</v>
      </c>
      <c r="N7384" s="28" t="s">
        <v>52</v>
      </c>
    </row>
    <row r="7385" spans="1:14" ht="12.75" hidden="1" outlineLevel="1" x14ac:dyDescent="0.2">
      <c r="A7385" s="23" t="str">
        <f>HYPERLINK("https://www.spark-marketing.ru/Card/Person/372382", "ГКУ ""ЛОЦПП""")</f>
        <v>ГКУ "ЛОЦПП"</v>
      </c>
      <c r="B7385" s="24" t="s">
        <v>9474</v>
      </c>
      <c r="C7385" s="25">
        <v>700000</v>
      </c>
      <c r="D7385" s="22" t="s">
        <v>9475</v>
      </c>
      <c r="E7385" s="22" t="s">
        <v>3699</v>
      </c>
      <c r="F7385" s="23" t="str">
        <f>HYPERLINK("https://www.spark-marketing.ru/Card/Lot/70905209", "Разработка и сопровождение АИС ""Категорирование торговых объектов""")</f>
        <v>Разработка и сопровождение АИС "Категорирование торговых объектов"</v>
      </c>
      <c r="G7385" s="22" t="s">
        <v>861</v>
      </c>
      <c r="H7385" s="22" t="s">
        <v>934</v>
      </c>
      <c r="I7385" s="26">
        <v>43614.408333333296</v>
      </c>
      <c r="J7385" s="23" t="str">
        <f>HYPERLINK("https://www.spark-marketing.ru/Card/Person/683641", "ООО ""СОФТПРЕЗИДЕНТ""")</f>
        <v>ООО "СОФТПРЕЗИДЕНТ"</v>
      </c>
      <c r="K7385" s="24" t="s">
        <v>9476</v>
      </c>
      <c r="L7385" s="22" t="s">
        <v>10</v>
      </c>
      <c r="M7385" s="25">
        <v>693000</v>
      </c>
      <c r="N7385" s="27">
        <v>0.01</v>
      </c>
    </row>
    <row r="7386" spans="1:14" hidden="1" outlineLevel="1" x14ac:dyDescent="0.2">
      <c r="A7386" s="23" t="str">
        <f>HYPERLINK("https://www.spark-marketing.ru/Card/Person/372382", "ГКУ ""ЛОЦПП""")</f>
        <v>ГКУ "ЛОЦПП"</v>
      </c>
      <c r="B7386" s="24" t="s">
        <v>9474</v>
      </c>
      <c r="C7386" s="25">
        <v>700000</v>
      </c>
      <c r="D7386" s="22" t="s">
        <v>9475</v>
      </c>
      <c r="E7386" s="22" t="s">
        <v>3699</v>
      </c>
      <c r="F7386" s="23" t="str">
        <f>HYPERLINK("https://www.spark-marketing.ru/Card/Lot/70905209", "Разработка и сопровождение АИС ""Категорирование торговых объектов""")</f>
        <v>Разработка и сопровождение АИС "Категорирование торговых объектов"</v>
      </c>
      <c r="G7386" s="22" t="s">
        <v>861</v>
      </c>
      <c r="H7386" s="22" t="s">
        <v>934</v>
      </c>
      <c r="I7386" s="26">
        <v>43614.408333333296</v>
      </c>
      <c r="J7386" s="23" t="str">
        <f>HYPERLINK("https://www.spark-marketing.ru/Card/Person/324004", "ООО ""РЕГИОН-СЕРВИС""")</f>
        <v>ООО "РЕГИОН-СЕРВИС"</v>
      </c>
      <c r="K7386" s="24" t="s">
        <v>9477</v>
      </c>
      <c r="L7386" s="28" t="s">
        <v>52</v>
      </c>
      <c r="M7386" s="25">
        <v>696500</v>
      </c>
      <c r="N7386" s="27">
        <v>5.0000000000000001E-3</v>
      </c>
    </row>
    <row r="7387" spans="1:14" x14ac:dyDescent="0.15">
      <c r="A7387" s="23" t="str">
        <f>HYPERLINK("https://www.spark-marketing.ru/Card/Person/4434660", "МАДОУ ДЕТСКИЙ САД №14")</f>
        <v>МАДОУ ДЕТСКИЙ САД №14</v>
      </c>
      <c r="B7387" s="24" t="s">
        <v>9478</v>
      </c>
      <c r="C7387" s="25">
        <v>99602</v>
      </c>
      <c r="D7387" s="22" t="s">
        <v>9479</v>
      </c>
      <c r="E7387" s="22" t="s">
        <v>691</v>
      </c>
      <c r="F7387" s="23" t="str">
        <f>HYPERLINK("https://www.spark-marketing.ru/Card/Lot/70904304", "Оказание услуг по установке системы видеонаблюдения")</f>
        <v>Оказание услуг по установке системы видеонаблюдения</v>
      </c>
      <c r="G7387" s="22" t="s">
        <v>50</v>
      </c>
      <c r="H7387" s="22" t="s">
        <v>432</v>
      </c>
      <c r="I7387" s="26">
        <v>43614.411909722199</v>
      </c>
      <c r="J7387" s="28" t="s">
        <v>52</v>
      </c>
      <c r="K7387" s="28" t="s">
        <v>52</v>
      </c>
      <c r="L7387" s="28" t="s">
        <v>52</v>
      </c>
      <c r="M7387" s="28" t="s">
        <v>52</v>
      </c>
      <c r="N7387" s="28" t="s">
        <v>52</v>
      </c>
    </row>
    <row r="7388" spans="1:14" x14ac:dyDescent="0.15">
      <c r="A7388" s="23" t="str">
        <f>HYPERLINK("https://www.spark-marketing.ru/Card/Person/19117", "БУ ""НЕФТЕЮГАНСКАЯ ОКРУЖНАЯ КЛИНИЧЕСКАЯ БОЛЬНИЦА ИМЕНИ В.И.ЯЦКИВ""")</f>
        <v>БУ "НЕФТЕЮГАНСКАЯ ОКРУЖНАЯ КЛИНИЧЕСКАЯ БОЛЬНИЦА ИМЕНИ В.И.ЯЦКИВ"</v>
      </c>
      <c r="B7388" s="24" t="s">
        <v>9480</v>
      </c>
      <c r="C7388" s="28" t="s">
        <v>52</v>
      </c>
      <c r="D7388" s="22" t="s">
        <v>9481</v>
      </c>
      <c r="E7388" s="22" t="s">
        <v>52</v>
      </c>
      <c r="F7388" s="23" t="str">
        <f>HYPERLINK("https://www.spark-marketing.ru/Card/Lot/70901560", "Оказание услуг по техническому обслуживанию комплекса технических средств охраны на объектах")</f>
        <v>Оказание услуг по техническому обслуживанию комплекса технических средств охраны на объектах</v>
      </c>
      <c r="G7388" s="22" t="s">
        <v>119</v>
      </c>
      <c r="H7388" s="22" t="s">
        <v>120</v>
      </c>
      <c r="I7388" s="26">
        <v>43614.332638888904</v>
      </c>
      <c r="J7388" s="28" t="s">
        <v>52</v>
      </c>
      <c r="K7388" s="28" t="s">
        <v>52</v>
      </c>
      <c r="L7388" s="28" t="s">
        <v>52</v>
      </c>
      <c r="M7388" s="28" t="s">
        <v>52</v>
      </c>
      <c r="N7388" s="28" t="s">
        <v>52</v>
      </c>
    </row>
    <row r="7389" spans="1:14" x14ac:dyDescent="0.15">
      <c r="A7389" s="23" t="str">
        <f>HYPERLINK("https://www.spark-marketing.ru/Card/Person/4346324", "ПАО ""ФСК ЕЭС""")</f>
        <v>ПАО "ФСК ЕЭС"</v>
      </c>
      <c r="B7389" s="24" t="s">
        <v>361</v>
      </c>
      <c r="C7389" s="25">
        <v>21950000</v>
      </c>
      <c r="D7389" s="22" t="s">
        <v>9482</v>
      </c>
      <c r="E7389" s="22" t="s">
        <v>9362</v>
      </c>
      <c r="F7389" s="23" t="str">
        <f>HYPERLINK("https://www.spark-marketing.ru/Card/Lot/70909267", "Приобретение жилых объектов и услуг по сопровождению сделокпо приобретению жилых объектов")</f>
        <v>Приобретение жилых объектов и услуг по сопровождению сделокпо приобретению жилых объектов</v>
      </c>
      <c r="G7389" s="22" t="s">
        <v>893</v>
      </c>
      <c r="H7389" s="22" t="s">
        <v>893</v>
      </c>
      <c r="I7389" s="26">
        <v>43614.491226851896</v>
      </c>
      <c r="J7389" s="28" t="s">
        <v>52</v>
      </c>
      <c r="K7389" s="28" t="s">
        <v>52</v>
      </c>
      <c r="L7389" s="28" t="s">
        <v>52</v>
      </c>
      <c r="M7389" s="28" t="s">
        <v>52</v>
      </c>
      <c r="N7389" s="28" t="s">
        <v>52</v>
      </c>
    </row>
    <row r="7390" spans="1:14" x14ac:dyDescent="0.15">
      <c r="A7390" s="23" t="str">
        <f>HYPERLINK("https://www.spark-marketing.ru/Card/Person/4695456", "РУСАЛ")</f>
        <v>РУСАЛ</v>
      </c>
      <c r="B7390" s="28" t="s">
        <v>52</v>
      </c>
      <c r="C7390" s="28" t="s">
        <v>52</v>
      </c>
      <c r="D7390" s="22" t="s">
        <v>9483</v>
      </c>
      <c r="E7390" s="22" t="s">
        <v>53</v>
      </c>
      <c r="F7390" s="23" t="str">
        <f>HYPERLINK("https://www.spark-marketing.ru/Card/Lot/70911060", "Установка ремней безопасности на транспортные средства")</f>
        <v>Установка ремней безопасности на транспортные средства</v>
      </c>
      <c r="G7390" s="22" t="s">
        <v>52</v>
      </c>
      <c r="H7390" s="22" t="s">
        <v>52</v>
      </c>
      <c r="I7390" s="26">
        <v>43614</v>
      </c>
      <c r="J7390" s="28" t="s">
        <v>52</v>
      </c>
      <c r="K7390" s="28" t="s">
        <v>52</v>
      </c>
      <c r="L7390" s="28" t="s">
        <v>52</v>
      </c>
      <c r="M7390" s="28" t="s">
        <v>52</v>
      </c>
      <c r="N7390" s="28" t="s">
        <v>52</v>
      </c>
    </row>
    <row r="7391" spans="1:14" x14ac:dyDescent="0.15">
      <c r="A7391" s="23" t="str">
        <f>HYPERLINK("https://www.spark-marketing.ru/Card/Person/2082230", "АО ""ЗДК ""ЛЕНЗОЛОТО""")</f>
        <v>АО "ЗДК "ЛЕНЗОЛОТО"</v>
      </c>
      <c r="B7391" s="24" t="s">
        <v>9484</v>
      </c>
      <c r="C7391" s="28" t="s">
        <v>52</v>
      </c>
      <c r="D7391" s="22" t="s">
        <v>9485</v>
      </c>
      <c r="E7391" s="22" t="s">
        <v>53</v>
      </c>
      <c r="F7391" s="23" t="str">
        <f>HYPERLINK("https://www.spark-marketing.ru/Card/Lot/71377669", "Установка системы видеонаблюдения цехов ПБ Севзото")</f>
        <v>Установка системы видеонаблюдения цехов ПБ Севзото</v>
      </c>
      <c r="G7391" s="22" t="s">
        <v>281</v>
      </c>
      <c r="H7391" s="22" t="s">
        <v>915</v>
      </c>
      <c r="I7391" s="26">
        <v>43614</v>
      </c>
      <c r="J7391" s="28" t="s">
        <v>52</v>
      </c>
      <c r="K7391" s="28" t="s">
        <v>52</v>
      </c>
      <c r="L7391" s="28" t="s">
        <v>52</v>
      </c>
      <c r="M7391" s="28" t="s">
        <v>52</v>
      </c>
      <c r="N7391" s="28" t="s">
        <v>52</v>
      </c>
    </row>
    <row r="7392" spans="1:14" x14ac:dyDescent="0.15">
      <c r="A7392" s="23" t="str">
        <f>HYPERLINK("https://www.spark-marketing.ru/Card/Person/4346324", "ПАО ""ФСК ЕЭС""")</f>
        <v>ПАО "ФСК ЕЭС"</v>
      </c>
      <c r="B7392" s="24" t="s">
        <v>361</v>
      </c>
      <c r="C7392" s="25">
        <v>3630000</v>
      </c>
      <c r="D7392" s="22" t="s">
        <v>9486</v>
      </c>
      <c r="E7392" s="22" t="s">
        <v>9362</v>
      </c>
      <c r="F7392" s="23" t="str">
        <f>HYPERLINK("https://www.spark-marketing.ru/Card/Lot/70937655", "Приобретение жилых объектов и услуг по сопровождению сделокпо приобретению жилых объектов")</f>
        <v>Приобретение жилых объектов и услуг по сопровождению сделокпо приобретению жилых объектов</v>
      </c>
      <c r="G7392" s="22" t="s">
        <v>893</v>
      </c>
      <c r="H7392" s="22" t="s">
        <v>893</v>
      </c>
      <c r="I7392" s="26">
        <v>43614.527164351799</v>
      </c>
      <c r="J7392" s="28" t="s">
        <v>52</v>
      </c>
      <c r="K7392" s="28" t="s">
        <v>52</v>
      </c>
      <c r="L7392" s="28" t="s">
        <v>52</v>
      </c>
      <c r="M7392" s="28" t="s">
        <v>52</v>
      </c>
      <c r="N7392" s="28" t="s">
        <v>52</v>
      </c>
    </row>
    <row r="7393" spans="1:14" x14ac:dyDescent="0.15">
      <c r="A7393" s="23" t="str">
        <f>HYPERLINK("https://www.spark-marketing.ru/Card/Person/6450322", "ЗАКАЗЧИК РП БЕЛАРУСЬ")</f>
        <v>ЗАКАЗЧИК РП БЕЛАРУСЬ</v>
      </c>
      <c r="B7393" s="28" t="s">
        <v>52</v>
      </c>
      <c r="C7393" s="25">
        <v>310405</v>
      </c>
      <c r="D7393" s="22" t="s">
        <v>9487</v>
      </c>
      <c r="E7393" s="22" t="s">
        <v>53</v>
      </c>
      <c r="F7393" s="23" t="str">
        <f>HYPERLINK("https://www.spark-marketing.ru/Card/Lot/70925269", "Закупка и установка системы видеонаблюдения, контроля и управления доступом в здание мастерских Брестского академического театра драмы")</f>
        <v>Закупка и установка системы видеонаблюдения, контроля и управления доступом в здание мастерских Брестского академического театра драмы</v>
      </c>
      <c r="G7393" s="22" t="s">
        <v>52</v>
      </c>
      <c r="H7393" s="22" t="s">
        <v>52</v>
      </c>
      <c r="I7393" s="26">
        <v>43614</v>
      </c>
      <c r="J7393" s="28" t="s">
        <v>52</v>
      </c>
      <c r="K7393" s="28" t="s">
        <v>52</v>
      </c>
      <c r="L7393" s="28" t="s">
        <v>52</v>
      </c>
      <c r="M7393" s="28" t="s">
        <v>52</v>
      </c>
      <c r="N7393" s="28" t="s">
        <v>52</v>
      </c>
    </row>
    <row r="7394" spans="1:14" x14ac:dyDescent="0.15">
      <c r="A7394" s="23" t="str">
        <f>HYPERLINK("https://www.spark-marketing.ru/Card/Person/1049349", "МБДОУ ""ДЕТСКИЙ САД № 24""")</f>
        <v>МБДОУ "ДЕТСКИЙ САД № 24"</v>
      </c>
      <c r="B7394" s="24" t="s">
        <v>5670</v>
      </c>
      <c r="C7394" s="25">
        <v>46604</v>
      </c>
      <c r="D7394" s="22" t="s">
        <v>9488</v>
      </c>
      <c r="E7394" s="22" t="s">
        <v>84</v>
      </c>
      <c r="F7394" s="23" t="str">
        <f>HYPERLINK("https://www.spark-marketing.ru/Card/Lot/70896612", "Услуги по установке системы видеонаблюдения")</f>
        <v>Услуги по установке системы видеонаблюдения</v>
      </c>
      <c r="G7394" s="22" t="s">
        <v>50</v>
      </c>
      <c r="H7394" s="22" t="s">
        <v>432</v>
      </c>
      <c r="I7394" s="26">
        <v>43613.992615740703</v>
      </c>
      <c r="J7394" s="28" t="s">
        <v>52</v>
      </c>
      <c r="K7394" s="28" t="s">
        <v>52</v>
      </c>
      <c r="L7394" s="28" t="s">
        <v>52</v>
      </c>
      <c r="M7394" s="28" t="s">
        <v>52</v>
      </c>
      <c r="N7394" s="28" t="s">
        <v>52</v>
      </c>
    </row>
    <row r="7395" spans="1:14" x14ac:dyDescent="0.15">
      <c r="A7395" s="23" t="str">
        <f>HYPERLINK("https://www.spark-marketing.ru/Card/Person/1032272", "МУК КДЦ ""ВЕРЕЙСКИЙ""")</f>
        <v>МУК КДЦ "ВЕРЕЙСКИЙ"</v>
      </c>
      <c r="B7395" s="24" t="s">
        <v>9489</v>
      </c>
      <c r="C7395" s="25">
        <v>9500</v>
      </c>
      <c r="D7395" s="22" t="s">
        <v>9490</v>
      </c>
      <c r="E7395" s="22" t="s">
        <v>59</v>
      </c>
      <c r="F7395" s="23" t="str">
        <f>HYPERLINK("https://www.spark-marketing.ru/Card/Lot/70890342", "ТО системы видеонаблюдения")</f>
        <v>ТО системы видеонаблюдения</v>
      </c>
      <c r="G7395" s="22" t="s">
        <v>50</v>
      </c>
      <c r="H7395" s="22" t="s">
        <v>244</v>
      </c>
      <c r="I7395" s="26">
        <v>43613.794374999998</v>
      </c>
      <c r="J7395" s="28" t="s">
        <v>52</v>
      </c>
      <c r="K7395" s="28" t="s">
        <v>52</v>
      </c>
      <c r="L7395" s="28" t="s">
        <v>52</v>
      </c>
      <c r="M7395" s="28" t="s">
        <v>52</v>
      </c>
      <c r="N7395" s="28" t="s">
        <v>52</v>
      </c>
    </row>
    <row r="7396" spans="1:14" x14ac:dyDescent="0.2">
      <c r="A7396" s="23" t="str">
        <f>HYPERLINK("https://www.spark-marketing.ru/Card/Person/4343405", "ФГУП ""ГОСКОРПОРАЦИЯ ПО ОРВД""")</f>
        <v>ФГУП "ГОСКОРПОРАЦИЯ ПО ОРВД"</v>
      </c>
      <c r="B7396" s="24" t="s">
        <v>801</v>
      </c>
      <c r="C7396" s="25">
        <v>1828991.67</v>
      </c>
      <c r="D7396" s="22" t="s">
        <v>9491</v>
      </c>
      <c r="E7396" s="22" t="s">
        <v>7183</v>
      </c>
      <c r="F7396" s="23" t="str">
        <f>HYPERLINK("https://www.spark-marketing.ru/Card/Lot/70893722", "Приобретение и установка взрывозащитного контейнера в целях обеспеченья транспортной безопасности ОТИ Екатеринбургского укрупненного центра ЕС ОрВД филиала «Аэронавигация Урала» ФГУП «Госкорпорация по ОрВД»")</f>
        <v>Приобретение и установка взрывозащитного контейнера в целях обеспеченья транспортной безопасности ОТИ Екатеринбургского укрупненного центра ЕС ОрВД филиала «Аэронавигация Урала» ФГУП «Госкорпорация по ОрВД»</v>
      </c>
      <c r="G7396" s="22" t="s">
        <v>72</v>
      </c>
      <c r="H7396" s="22" t="s">
        <v>949</v>
      </c>
      <c r="I7396" s="26">
        <v>43613.770486111098</v>
      </c>
      <c r="J7396" s="28" t="s">
        <v>52</v>
      </c>
      <c r="K7396" s="28" t="s">
        <v>52</v>
      </c>
      <c r="L7396" s="22" t="s">
        <v>10</v>
      </c>
      <c r="M7396" s="25">
        <v>1800000</v>
      </c>
      <c r="N7396" s="27">
        <v>1.5851176621269138E-2</v>
      </c>
    </row>
    <row r="7397" spans="1:14" x14ac:dyDescent="0.15">
      <c r="A7397" s="23" t="str">
        <f>HYPERLINK("https://www.spark-marketing.ru/Card/Person/1032272", "МУК КДЦ ""ВЕРЕЙСКИЙ""")</f>
        <v>МУК КДЦ "ВЕРЕЙСКИЙ"</v>
      </c>
      <c r="B7397" s="24" t="s">
        <v>9489</v>
      </c>
      <c r="C7397" s="25">
        <v>79294.63</v>
      </c>
      <c r="D7397" s="22" t="s">
        <v>9492</v>
      </c>
      <c r="E7397" s="22" t="s">
        <v>59</v>
      </c>
      <c r="F7397" s="23" t="str">
        <f>HYPERLINK("https://www.spark-marketing.ru/Card/Lot/70890339", "монтаж системы тревожной сигнализации")</f>
        <v>монтаж системы тревожной сигнализации</v>
      </c>
      <c r="G7397" s="22" t="s">
        <v>50</v>
      </c>
      <c r="H7397" s="22" t="s">
        <v>244</v>
      </c>
      <c r="I7397" s="26">
        <v>43613.784363425897</v>
      </c>
      <c r="J7397" s="28" t="s">
        <v>52</v>
      </c>
      <c r="K7397" s="28" t="s">
        <v>52</v>
      </c>
      <c r="L7397" s="28" t="s">
        <v>52</v>
      </c>
      <c r="M7397" s="28" t="s">
        <v>52</v>
      </c>
      <c r="N7397" s="28" t="s">
        <v>52</v>
      </c>
    </row>
    <row r="7398" spans="1:14" x14ac:dyDescent="0.15">
      <c r="A7398" s="23" t="str">
        <f>HYPERLINK("https://www.spark-marketing.ru/Card/Person/1072679", "МБУК ЦБКС КРАСНОГВАРДЕЙСКОГО РАЙОНА")</f>
        <v>МБУК ЦБКС КРАСНОГВАРДЕЙСКОГО РАЙОНА</v>
      </c>
      <c r="B7398" s="24" t="s">
        <v>9493</v>
      </c>
      <c r="C7398" s="25">
        <v>3699621.05</v>
      </c>
      <c r="D7398" s="22" t="s">
        <v>9494</v>
      </c>
      <c r="E7398" s="22" t="s">
        <v>5251</v>
      </c>
      <c r="F7398" s="23" t="str">
        <f>HYPERLINK("https://www.spark-marketing.ru/Card/Lot/70894352", "Поставка, установка и ввод в эксплуатацию оборудования сцены.")</f>
        <v>Поставка, установка и ввод в эксплуатацию оборудования сцены.</v>
      </c>
      <c r="G7398" s="22" t="s">
        <v>384</v>
      </c>
      <c r="H7398" s="22" t="s">
        <v>9495</v>
      </c>
      <c r="I7398" s="26">
        <v>43613.723611111098</v>
      </c>
      <c r="J7398" s="23" t="str">
        <f>HYPERLINK("https://www.spark-marketing.ru/Card/Person/70303", "ООО ""МАКРОЗВУК""")</f>
        <v>ООО "МАКРОЗВУК"</v>
      </c>
      <c r="K7398" s="24" t="s">
        <v>6836</v>
      </c>
      <c r="L7398" s="22" t="s">
        <v>10</v>
      </c>
      <c r="M7398" s="28" t="s">
        <v>52</v>
      </c>
      <c r="N7398" s="28" t="s">
        <v>52</v>
      </c>
    </row>
    <row r="7399" spans="1:14" x14ac:dyDescent="0.15">
      <c r="A7399" s="23" t="str">
        <f>HYPERLINK("https://www.spark-marketing.ru/Card/Person/485267", "ИВП РАН")</f>
        <v>ИВП РАН</v>
      </c>
      <c r="B7399" s="24" t="s">
        <v>9496</v>
      </c>
      <c r="C7399" s="25">
        <v>6063678.3200000003</v>
      </c>
      <c r="D7399" s="22" t="s">
        <v>9497</v>
      </c>
      <c r="E7399" s="22" t="s">
        <v>9498</v>
      </c>
      <c r="F7399" s="23" t="str">
        <f>HYPERLINK("https://www.spark-marketing.ru/Card/Lot/70895297", "Выполнение научно-исследовательских работ по теме: ""Разработка рекомендаций по выбору мероприятий, направленных на охрану поверхностных водных объектов от диффузных загрязнений, на примере малых рек в бассейне р. Чусовая""")</f>
        <v>Выполнение научно-исследовательских работ по теме: "Разработка рекомендаций по выбору мероприятий, направленных на охрану поверхностных водных объектов от диффузных загрязнений, на примере малых рек в бассейне р. Чусовая"</v>
      </c>
      <c r="G7399" s="22" t="s">
        <v>55</v>
      </c>
      <c r="H7399" s="22" t="s">
        <v>55</v>
      </c>
      <c r="I7399" s="26">
        <v>43613.715277777803</v>
      </c>
      <c r="J7399" s="28" t="s">
        <v>52</v>
      </c>
      <c r="K7399" s="28" t="s">
        <v>52</v>
      </c>
      <c r="L7399" s="28" t="s">
        <v>52</v>
      </c>
      <c r="M7399" s="28" t="s">
        <v>52</v>
      </c>
      <c r="N7399" s="28" t="s">
        <v>52</v>
      </c>
    </row>
    <row r="7400" spans="1:14" ht="12.75" hidden="1" outlineLevel="1" x14ac:dyDescent="0.2">
      <c r="A7400" s="23" t="str">
        <f>HYPERLINK("https://www.spark-marketing.ru/Card/Person/485267", "ИВП РАН")</f>
        <v>ИВП РАН</v>
      </c>
      <c r="B7400" s="24" t="s">
        <v>9496</v>
      </c>
      <c r="C7400" s="25">
        <v>6063678.3200000003</v>
      </c>
      <c r="D7400" s="22" t="s">
        <v>9497</v>
      </c>
      <c r="E7400" s="22" t="s">
        <v>9498</v>
      </c>
      <c r="F7400" s="23" t="str">
        <f>HYPERLINK("https://www.spark-marketing.ru/Card/Lot/70895297", "Выполнение научно-исследовательских работ по теме: ""Разработка рекомендаций по выбору мероприятий, направленных на охрану поверхностных водных объектов от диффузных загрязнений, на примере малых рек в бассейне р. Чусовая""")</f>
        <v>Выполнение научно-исследовательских работ по теме: "Разработка рекомендаций по выбору мероприятий, направленных на охрану поверхностных водных объектов от диффузных загрязнений, на примере малых рек в бассейне р. Чусовая"</v>
      </c>
      <c r="G7400" s="22" t="s">
        <v>55</v>
      </c>
      <c r="H7400" s="22" t="s">
        <v>55</v>
      </c>
      <c r="I7400" s="26">
        <v>43613.715277777803</v>
      </c>
      <c r="J7400" s="23" t="str">
        <f>HYPERLINK("https://www.spark-marketing.ru/Card/Person/4353948", "ФГБУ РОСНИИВХ")</f>
        <v>ФГБУ РОСНИИВХ</v>
      </c>
      <c r="K7400" s="24" t="s">
        <v>9499</v>
      </c>
      <c r="L7400" s="22" t="s">
        <v>10</v>
      </c>
      <c r="M7400" s="25">
        <v>6000000</v>
      </c>
      <c r="N7400" s="27">
        <v>1.0501599299878428E-2</v>
      </c>
    </row>
    <row r="7401" spans="1:14" hidden="1" outlineLevel="1" x14ac:dyDescent="0.2">
      <c r="A7401" s="23" t="str">
        <f>HYPERLINK("https://www.spark-marketing.ru/Card/Person/485267", "ИВП РАН")</f>
        <v>ИВП РАН</v>
      </c>
      <c r="B7401" s="24" t="s">
        <v>9496</v>
      </c>
      <c r="C7401" s="25">
        <v>6063678.3200000003</v>
      </c>
      <c r="D7401" s="22" t="s">
        <v>9497</v>
      </c>
      <c r="E7401" s="22" t="s">
        <v>9498</v>
      </c>
      <c r="F7401" s="23" t="str">
        <f>HYPERLINK("https://www.spark-marketing.ru/Card/Lot/70895297", "Выполнение научно-исследовательских работ по теме: ""Разработка рекомендаций по выбору мероприятий, направленных на охрану поверхностных водных объектов от диффузных загрязнений, на примере малых рек в бассейне р. Чусовая""")</f>
        <v>Выполнение научно-исследовательских работ по теме: "Разработка рекомендаций по выбору мероприятий, направленных на охрану поверхностных водных объектов от диффузных загрязнений, на примере малых рек в бассейне р. Чусовая"</v>
      </c>
      <c r="G7401" s="22" t="s">
        <v>55</v>
      </c>
      <c r="H7401" s="22" t="s">
        <v>55</v>
      </c>
      <c r="I7401" s="26">
        <v>43613.715277777803</v>
      </c>
      <c r="J7401" s="23" t="str">
        <f>HYPERLINK("https://www.spark-marketing.ru/Card/Person/1491377", "ООО УРАЛНИИВХ")</f>
        <v>ООО УРАЛНИИВХ</v>
      </c>
      <c r="K7401" s="24" t="s">
        <v>9500</v>
      </c>
      <c r="L7401" s="28" t="s">
        <v>52</v>
      </c>
      <c r="M7401" s="25">
        <v>6040000</v>
      </c>
      <c r="N7401" s="27">
        <v>3.9049432952109504E-3</v>
      </c>
    </row>
    <row r="7402" spans="1:14" x14ac:dyDescent="0.15">
      <c r="A7402" s="23" t="str">
        <f>HYPERLINK("https://www.spark-marketing.ru/Card/Person/4350519", "ФГБОУ ВО ""МГТУ ИМ. Г. И. НОСОВА"", ФГБОУ ВО ""МАГНИТОГОРСКИЙ ГОСУДАРСТВЕННЫЙ ТЕХНИЧЕСКИЙ УНИВЕРСИТЕТ ИМ. Г. И. НОСОВА"", МАГНИТОГОРСКИЙ ГОСУДАРСТВЕННЫЙ ТЕХНИЧЕСКИЙ УНИВЕРСИТЕТ ИМ. Г. И. НОСОВА, МГТУ ИМ. Г. И. НОСОВА")</f>
        <v>ФГБОУ ВО "МГТУ ИМ. Г. И. НОСОВА", ФГБОУ ВО "МАГНИТОГОРСКИЙ ГОСУДАРСТВЕННЫЙ ТЕХНИЧЕСКИЙ УНИВЕРСИТЕТ ИМ. Г. И. НОСОВА", МАГНИТОГОРСКИЙ ГОСУДАРСТВЕННЫЙ ТЕХНИЧЕСКИЙ УНИВЕРСИТЕТ ИМ. Г. И. НОСОВА, МГТУ ИМ. Г. И. НОСОВА</v>
      </c>
      <c r="B7402" s="24" t="s">
        <v>2959</v>
      </c>
      <c r="C7402" s="25">
        <v>330000</v>
      </c>
      <c r="D7402" s="22" t="s">
        <v>9501</v>
      </c>
      <c r="E7402" s="22" t="s">
        <v>144</v>
      </c>
      <c r="F7402" s="23" t="str">
        <f>HYPERLINK("https://www.spark-marketing.ru/Card/Lot/70877630", "Оказание услуг по физической охране Объекта - территории учебно-оздоровительного центра ""ЮНОСТЬ""")</f>
        <v>Оказание услуг по физической охране Объекта - территории учебно-оздоровительного центра "ЮНОСТЬ"</v>
      </c>
      <c r="G7402" s="22" t="s">
        <v>100</v>
      </c>
      <c r="H7402" s="22" t="s">
        <v>100</v>
      </c>
      <c r="I7402" s="26">
        <v>43613.732824074097</v>
      </c>
      <c r="J7402" s="28" t="s">
        <v>52</v>
      </c>
      <c r="K7402" s="28" t="s">
        <v>52</v>
      </c>
      <c r="L7402" s="28" t="s">
        <v>52</v>
      </c>
      <c r="M7402" s="28" t="s">
        <v>52</v>
      </c>
      <c r="N7402" s="28" t="s">
        <v>52</v>
      </c>
    </row>
    <row r="7403" spans="1:14" x14ac:dyDescent="0.15">
      <c r="A7403" s="23" t="str">
        <f>HYPERLINK("https://www.spark-marketing.ru/Card/Person/847496", "МБОО ДО ""ДООЦ ""КРИСТАЛЛ""")</f>
        <v>МБОО ДО "ДООЦ "КРИСТАЛЛ"</v>
      </c>
      <c r="B7403" s="24" t="s">
        <v>9502</v>
      </c>
      <c r="C7403" s="25">
        <v>270000</v>
      </c>
      <c r="D7403" s="22" t="s">
        <v>9503</v>
      </c>
      <c r="E7403" s="22" t="s">
        <v>52</v>
      </c>
      <c r="F7403" s="23" t="str">
        <f>HYPERLINK("https://www.spark-marketing.ru/Card/Lot/70887068", "физическая охрана объекта")</f>
        <v>физическая охрана объекта</v>
      </c>
      <c r="G7403" s="22" t="s">
        <v>1319</v>
      </c>
      <c r="H7403" s="22" t="s">
        <v>9504</v>
      </c>
      <c r="I7403" s="26">
        <v>43613.673611111102</v>
      </c>
      <c r="J7403" s="28" t="s">
        <v>52</v>
      </c>
      <c r="K7403" s="28" t="s">
        <v>52</v>
      </c>
      <c r="L7403" s="28" t="s">
        <v>52</v>
      </c>
      <c r="M7403" s="28" t="s">
        <v>52</v>
      </c>
      <c r="N7403" s="28" t="s">
        <v>52</v>
      </c>
    </row>
    <row r="7404" spans="1:14" ht="12.75" hidden="1" outlineLevel="1" x14ac:dyDescent="0.2">
      <c r="A7404" s="23" t="str">
        <f>HYPERLINK("https://www.spark-marketing.ru/Card/Person/847496", "МБОО ДО ""ДООЦ ""КРИСТАЛЛ""")</f>
        <v>МБОО ДО "ДООЦ "КРИСТАЛЛ"</v>
      </c>
      <c r="B7404" s="24" t="s">
        <v>9502</v>
      </c>
      <c r="C7404" s="25">
        <v>270000</v>
      </c>
      <c r="D7404" s="22" t="s">
        <v>9503</v>
      </c>
      <c r="E7404" s="22" t="s">
        <v>52</v>
      </c>
      <c r="F7404" s="23" t="str">
        <f>HYPERLINK("https://www.spark-marketing.ru/Card/Lot/70887068", "физическая охрана объекта")</f>
        <v>физическая охрана объекта</v>
      </c>
      <c r="G7404" s="22" t="s">
        <v>1319</v>
      </c>
      <c r="H7404" s="22" t="s">
        <v>9504</v>
      </c>
      <c r="I7404" s="26">
        <v>43613.673611111102</v>
      </c>
      <c r="J7404" s="23" t="str">
        <f>HYPERLINK("https://www.spark-marketing.ru/Card/Person/5910447", "ООО ""ЧОО""ЛЕГИОН""")</f>
        <v>ООО "ЧОО"ЛЕГИОН"</v>
      </c>
      <c r="K7404" s="24" t="s">
        <v>9505</v>
      </c>
      <c r="L7404" s="22" t="s">
        <v>10</v>
      </c>
      <c r="M7404" s="25">
        <v>172800</v>
      </c>
      <c r="N7404" s="27">
        <v>0.36</v>
      </c>
    </row>
    <row r="7405" spans="1:14" hidden="1" outlineLevel="1" x14ac:dyDescent="0.2">
      <c r="A7405" s="23" t="str">
        <f>HYPERLINK("https://www.spark-marketing.ru/Card/Person/847496", "МБОО ДО ""ДООЦ ""КРИСТАЛЛ""")</f>
        <v>МБОО ДО "ДООЦ "КРИСТАЛЛ"</v>
      </c>
      <c r="B7405" s="24" t="s">
        <v>9502</v>
      </c>
      <c r="C7405" s="25">
        <v>270000</v>
      </c>
      <c r="D7405" s="22" t="s">
        <v>9503</v>
      </c>
      <c r="E7405" s="22" t="s">
        <v>52</v>
      </c>
      <c r="F7405" s="23" t="str">
        <f>HYPERLINK("https://www.spark-marketing.ru/Card/Lot/70887068", "физическая охрана объекта")</f>
        <v>физическая охрана объекта</v>
      </c>
      <c r="G7405" s="22" t="s">
        <v>1319</v>
      </c>
      <c r="H7405" s="22" t="s">
        <v>9504</v>
      </c>
      <c r="I7405" s="26">
        <v>43613.673611111102</v>
      </c>
      <c r="J7405" s="23" t="str">
        <f>HYPERLINK("https://www.spark-marketing.ru/Card/Person/843621", "ООО ЧОО ""РЕДУТ""")</f>
        <v>ООО ЧОО "РЕДУТ"</v>
      </c>
      <c r="K7405" s="24" t="s">
        <v>9506</v>
      </c>
      <c r="L7405" s="28" t="s">
        <v>52</v>
      </c>
      <c r="M7405" s="25">
        <v>267300</v>
      </c>
      <c r="N7405" s="27">
        <v>0.01</v>
      </c>
    </row>
    <row r="7406" spans="1:14" hidden="1" outlineLevel="1" x14ac:dyDescent="0.2">
      <c r="A7406" s="23" t="str">
        <f>HYPERLINK("https://www.spark-marketing.ru/Card/Person/847496", "МБОО ДО ""ДООЦ ""КРИСТАЛЛ""")</f>
        <v>МБОО ДО "ДООЦ "КРИСТАЛЛ"</v>
      </c>
      <c r="B7406" s="24" t="s">
        <v>9502</v>
      </c>
      <c r="C7406" s="25">
        <v>270000</v>
      </c>
      <c r="D7406" s="22" t="s">
        <v>9503</v>
      </c>
      <c r="E7406" s="22" t="s">
        <v>52</v>
      </c>
      <c r="F7406" s="23" t="str">
        <f>HYPERLINK("https://www.spark-marketing.ru/Card/Lot/70887068", "физическая охрана объекта")</f>
        <v>физическая охрана объекта</v>
      </c>
      <c r="G7406" s="22" t="s">
        <v>1319</v>
      </c>
      <c r="H7406" s="22" t="s">
        <v>9504</v>
      </c>
      <c r="I7406" s="26">
        <v>43613.673611111102</v>
      </c>
      <c r="J7406" s="23" t="str">
        <f>HYPERLINK("https://www.spark-marketing.ru/Card/Person/140336", "ООО ЧОП ""МИР""")</f>
        <v>ООО ЧОП "МИР"</v>
      </c>
      <c r="K7406" s="24" t="s">
        <v>9507</v>
      </c>
      <c r="L7406" s="28" t="s">
        <v>52</v>
      </c>
      <c r="M7406" s="25">
        <v>182250</v>
      </c>
      <c r="N7406" s="27">
        <v>0.32500000000000001</v>
      </c>
    </row>
    <row r="7407" spans="1:14" x14ac:dyDescent="0.15">
      <c r="A7407" s="23" t="str">
        <f>HYPERLINK("https://www.spark-marketing.ru/Card/Person/10834", "ГКУ КО ""ДИРЕКЦИЯ АВТОДОРОГ КУЗБАССА""")</f>
        <v>ГКУ КО "ДИРЕКЦИЯ АВТОДОРОГ КУЗБАССА"</v>
      </c>
      <c r="B7407" s="24" t="s">
        <v>1499</v>
      </c>
      <c r="C7407" s="25">
        <v>2821789.77</v>
      </c>
      <c r="D7407" s="22" t="s">
        <v>9508</v>
      </c>
      <c r="E7407" s="22" t="s">
        <v>107</v>
      </c>
      <c r="F7407" s="23" t="str">
        <f>HYPERLINK("https://www.spark-marketing.ru/Card/Lot/70881728", "Выполнение работ по установке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установка системы контроля удара габаритной рамки и фиксац...")</f>
        <v>Выполнение работ по установке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установка системы контроля удара габаритной рамки и фиксац...</v>
      </c>
      <c r="G7407" s="22" t="s">
        <v>367</v>
      </c>
      <c r="H7407" s="22" t="s">
        <v>881</v>
      </c>
      <c r="I7407" s="26">
        <v>43613.692361111098</v>
      </c>
      <c r="J7407" s="23" t="str">
        <f>HYPERLINK("https://www.spark-marketing.ru/Card/Person/6514543", "ООО ""МАЛЕКС""")</f>
        <v>ООО "МАЛЕКС"</v>
      </c>
      <c r="K7407" s="24" t="s">
        <v>9509</v>
      </c>
      <c r="L7407" s="22" t="s">
        <v>10</v>
      </c>
      <c r="M7407" s="28" t="s">
        <v>52</v>
      </c>
      <c r="N7407" s="28" t="s">
        <v>52</v>
      </c>
    </row>
    <row r="7408" spans="1:14" x14ac:dyDescent="0.15">
      <c r="A7408" s="23" t="str">
        <f>HYPERLINK("https://www.spark-marketing.ru/Card/Person/4924823", "СРЕДНЕРУССКИЙ БАНК ПАО СБЕРБАНК")</f>
        <v>СРЕДНЕРУССКИЙ БАНК ПАО СБЕРБАНК</v>
      </c>
      <c r="B7408" s="28" t="s">
        <v>52</v>
      </c>
      <c r="C7408" s="25">
        <v>16632000</v>
      </c>
      <c r="D7408" s="22" t="s">
        <v>9510</v>
      </c>
      <c r="E7408" s="22" t="s">
        <v>53</v>
      </c>
      <c r="F7408" s="23" t="str">
        <f>HYPERLINK("https://www.spark-marketing.ru/Card/Lot/71017608", "Оказание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Костромского Головного отделения")</f>
        <v>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Костромского Головного отделения</v>
      </c>
      <c r="G7408" s="22" t="s">
        <v>52</v>
      </c>
      <c r="H7408" s="22" t="s">
        <v>52</v>
      </c>
      <c r="I7408" s="26">
        <v>43613.699305555601</v>
      </c>
      <c r="J7408" s="28" t="s">
        <v>52</v>
      </c>
      <c r="K7408" s="28" t="s">
        <v>52</v>
      </c>
      <c r="L7408" s="28" t="s">
        <v>52</v>
      </c>
      <c r="M7408" s="28" t="s">
        <v>52</v>
      </c>
      <c r="N7408" s="28" t="s">
        <v>52</v>
      </c>
    </row>
    <row r="7409" spans="1:14" x14ac:dyDescent="0.15">
      <c r="A7409" s="23" t="str">
        <f>HYPERLINK("https://www.spark-marketing.ru/Card/Person/4924823", "СРЕДНЕРУССКИЙ БАНК ПАО СБЕРБАНК")</f>
        <v>СРЕДНЕРУССКИЙ БАНК ПАО СБЕРБАНК</v>
      </c>
      <c r="B7409" s="28" t="s">
        <v>52</v>
      </c>
      <c r="C7409" s="25">
        <v>16632000</v>
      </c>
      <c r="D7409" s="22" t="s">
        <v>9510</v>
      </c>
      <c r="E7409" s="22" t="s">
        <v>53</v>
      </c>
      <c r="F7409" s="23" t="str">
        <f>HYPERLINK("https://www.spark-marketing.ru/Card/Lot/71017605", "Оказание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Брянского Головного отделения")</f>
        <v>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Брянского Головного отделения</v>
      </c>
      <c r="G7409" s="22" t="s">
        <v>52</v>
      </c>
      <c r="H7409" s="22" t="s">
        <v>52</v>
      </c>
      <c r="I7409" s="26">
        <v>43613.699305555601</v>
      </c>
      <c r="J7409" s="28" t="s">
        <v>52</v>
      </c>
      <c r="K7409" s="28" t="s">
        <v>52</v>
      </c>
      <c r="L7409" s="28" t="s">
        <v>52</v>
      </c>
      <c r="M7409" s="28" t="s">
        <v>52</v>
      </c>
      <c r="N7409" s="28" t="s">
        <v>52</v>
      </c>
    </row>
    <row r="7410" spans="1:14" x14ac:dyDescent="0.15">
      <c r="A7410" s="23" t="str">
        <f>HYPERLINK("https://www.spark-marketing.ru/Card/Person/4924823", "СРЕДНЕРУССКИЙ БАНК ПАО СБЕРБАНК")</f>
        <v>СРЕДНЕРУССКИЙ БАНК ПАО СБЕРБАНК</v>
      </c>
      <c r="B7410" s="28" t="s">
        <v>52</v>
      </c>
      <c r="C7410" s="25">
        <v>16632000</v>
      </c>
      <c r="D7410" s="22" t="s">
        <v>9510</v>
      </c>
      <c r="E7410" s="22" t="s">
        <v>53</v>
      </c>
      <c r="F7410" s="23" t="str">
        <f>HYPERLINK("https://www.spark-marketing.ru/Card/Lot/71017606", "Оказание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Рязанского Головного отделения")</f>
        <v>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Рязанского Головного отделения</v>
      </c>
      <c r="G7410" s="22" t="s">
        <v>52</v>
      </c>
      <c r="H7410" s="22" t="s">
        <v>52</v>
      </c>
      <c r="I7410" s="26">
        <v>43613.699305555601</v>
      </c>
      <c r="J7410" s="28" t="s">
        <v>52</v>
      </c>
      <c r="K7410" s="28" t="s">
        <v>52</v>
      </c>
      <c r="L7410" s="28" t="s">
        <v>52</v>
      </c>
      <c r="M7410" s="28" t="s">
        <v>52</v>
      </c>
      <c r="N7410" s="28" t="s">
        <v>52</v>
      </c>
    </row>
    <row r="7411" spans="1:14" x14ac:dyDescent="0.15">
      <c r="A7411" s="23" t="str">
        <f>HYPERLINK("https://www.spark-marketing.ru/Card/Person/4350910", "МКДОУ ТАБОРИНСКИЙ ДЕТСКИЙ САД")</f>
        <v>МКДОУ ТАБОРИНСКИЙ ДЕТСКИЙ САД</v>
      </c>
      <c r="B7411" s="24" t="s">
        <v>9511</v>
      </c>
      <c r="C7411" s="25">
        <v>356249.76</v>
      </c>
      <c r="D7411" s="22" t="s">
        <v>9512</v>
      </c>
      <c r="E7411" s="22" t="s">
        <v>52</v>
      </c>
      <c r="F7411" s="23" t="str">
        <f>HYPERLINK("https://www.spark-marketing.ru/Card/Lot/70879680", "Услуги по охране")</f>
        <v>Услуги по охране</v>
      </c>
      <c r="G7411" s="22" t="s">
        <v>72</v>
      </c>
      <c r="H7411" s="22" t="s">
        <v>9513</v>
      </c>
      <c r="I7411" s="26">
        <v>43613.672222222202</v>
      </c>
      <c r="J7411" s="23" t="str">
        <f>HYPERLINK("https://www.spark-marketing.ru/Card/Person/804344", "ООО ""ЧОП ""ЛИНКОР""")</f>
        <v>ООО "ЧОП "ЛИНКОР"</v>
      </c>
      <c r="K7411" s="24" t="s">
        <v>9514</v>
      </c>
      <c r="L7411" s="28" t="s">
        <v>52</v>
      </c>
      <c r="M7411" s="28" t="s">
        <v>52</v>
      </c>
      <c r="N7411" s="28" t="s">
        <v>52</v>
      </c>
    </row>
    <row r="7412" spans="1:14" ht="12.75" hidden="1" outlineLevel="1" x14ac:dyDescent="0.2">
      <c r="A7412" s="23" t="str">
        <f>HYPERLINK("https://www.spark-marketing.ru/Card/Person/4350910", "МКДОУ ТАБОРИНСКИЙ ДЕТСКИЙ САД")</f>
        <v>МКДОУ ТАБОРИНСКИЙ ДЕТСКИЙ САД</v>
      </c>
      <c r="B7412" s="24" t="s">
        <v>9511</v>
      </c>
      <c r="C7412" s="25">
        <v>356249.76</v>
      </c>
      <c r="D7412" s="22" t="s">
        <v>9512</v>
      </c>
      <c r="E7412" s="22" t="s">
        <v>52</v>
      </c>
      <c r="F7412" s="23" t="str">
        <f>HYPERLINK("https://www.spark-marketing.ru/Card/Lot/70879680", "Услуги по охране")</f>
        <v>Услуги по охране</v>
      </c>
      <c r="G7412" s="22" t="s">
        <v>72</v>
      </c>
      <c r="H7412" s="22" t="s">
        <v>9513</v>
      </c>
      <c r="I7412" s="26">
        <v>43613.672222222202</v>
      </c>
      <c r="J7412" s="23" t="str">
        <f>HYPERLINK("https://www.spark-marketing.ru/Card/Person/804344", "ООО ""ЧОП ""ЛИНКОР""")</f>
        <v>ООО "ЧОП "ЛИНКОР"</v>
      </c>
      <c r="K7412" s="24" t="s">
        <v>9514</v>
      </c>
      <c r="L7412" s="22" t="s">
        <v>10</v>
      </c>
      <c r="M7412" s="25">
        <v>354468.51</v>
      </c>
      <c r="N7412" s="27">
        <v>5.0000033684233216E-3</v>
      </c>
    </row>
    <row r="7413" spans="1:14" x14ac:dyDescent="0.15">
      <c r="A7413" s="23" t="str">
        <f>HYPERLINK("https://www.spark-marketing.ru/Card/Person/4924823", "СРЕДНЕРУССКИЙ БАНК ПАО СБЕРБАНК")</f>
        <v>СРЕДНЕРУССКИЙ БАНК ПАО СБЕРБАНК</v>
      </c>
      <c r="B7413" s="28" t="s">
        <v>52</v>
      </c>
      <c r="C7413" s="25">
        <v>16632000</v>
      </c>
      <c r="D7413" s="22" t="s">
        <v>9510</v>
      </c>
      <c r="E7413" s="22" t="s">
        <v>53</v>
      </c>
      <c r="F7413" s="23" t="str">
        <f>HYPERLINK("https://www.spark-marketing.ru/Card/Lot/71017607", "Оказание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Ивановского Головного отделения")</f>
        <v>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Ивановского Головного отделения</v>
      </c>
      <c r="G7413" s="22" t="s">
        <v>52</v>
      </c>
      <c r="H7413" s="22" t="s">
        <v>52</v>
      </c>
      <c r="I7413" s="26">
        <v>43613.699305555601</v>
      </c>
      <c r="J7413" s="28" t="s">
        <v>52</v>
      </c>
      <c r="K7413" s="28" t="s">
        <v>52</v>
      </c>
      <c r="L7413" s="28" t="s">
        <v>52</v>
      </c>
      <c r="M7413" s="28" t="s">
        <v>52</v>
      </c>
      <c r="N7413" s="28" t="s">
        <v>52</v>
      </c>
    </row>
    <row r="7414" spans="1:14" x14ac:dyDescent="0.15">
      <c r="A7414" s="23" t="str">
        <f>HYPERLINK("https://www.spark-marketing.ru/Card/Person/564692", "ГБПОУ ""СОМК""")</f>
        <v>ГБПОУ "СОМК"</v>
      </c>
      <c r="B7414" s="24" t="s">
        <v>1402</v>
      </c>
      <c r="C7414" s="25">
        <v>7071120</v>
      </c>
      <c r="D7414" s="22" t="s">
        <v>9515</v>
      </c>
      <c r="E7414" s="22" t="s">
        <v>52</v>
      </c>
      <c r="F7414" s="23" t="str">
        <f>HYPERLINK("https://www.spark-marketing.ru/Card/Lot/70894325", "Услуги охраны объектов ГБПОУ ""СОМК"" (г. Екатеринбург)")</f>
        <v>Услуги охраны объектов ГБПОУ "СОМК" (г. Екатеринбург)</v>
      </c>
      <c r="G7414" s="22" t="s">
        <v>72</v>
      </c>
      <c r="H7414" s="22" t="s">
        <v>949</v>
      </c>
      <c r="I7414" s="26">
        <v>43613.690972222197</v>
      </c>
      <c r="J7414" s="28" t="s">
        <v>52</v>
      </c>
      <c r="K7414" s="28" t="s">
        <v>52</v>
      </c>
      <c r="L7414" s="28" t="s">
        <v>52</v>
      </c>
      <c r="M7414" s="28" t="s">
        <v>52</v>
      </c>
      <c r="N7414" s="28" t="s">
        <v>52</v>
      </c>
    </row>
    <row r="7415" spans="1:14" hidden="1" outlineLevel="1" x14ac:dyDescent="0.2">
      <c r="A7415" s="23" t="str">
        <f>HYPERLINK("https://www.spark-marketing.ru/Card/Person/564692", "ГБПОУ ""СОМК""")</f>
        <v>ГБПОУ "СОМК"</v>
      </c>
      <c r="B7415" s="24" t="s">
        <v>1402</v>
      </c>
      <c r="C7415" s="25">
        <v>7071120</v>
      </c>
      <c r="D7415" s="22" t="s">
        <v>9515</v>
      </c>
      <c r="E7415" s="22" t="s">
        <v>52</v>
      </c>
      <c r="F7415" s="23" t="str">
        <f>HYPERLINK("https://www.spark-marketing.ru/Card/Lot/70894325", "Услуги охраны объектов ГБПОУ ""СОМК"" (г. Екатеринбург)")</f>
        <v>Услуги охраны объектов ГБПОУ "СОМК" (г. Екатеринбург)</v>
      </c>
      <c r="G7415" s="22" t="s">
        <v>72</v>
      </c>
      <c r="H7415" s="22" t="s">
        <v>949</v>
      </c>
      <c r="I7415" s="26">
        <v>43613.690972222197</v>
      </c>
      <c r="J7415" s="23" t="str">
        <f>HYPERLINK("https://www.spark-marketing.ru/Card/Person/797773", "ООО ЧОП ""КАЙМАН""")</f>
        <v>ООО ЧОП "КАЙМАН"</v>
      </c>
      <c r="K7415" s="24" t="s">
        <v>9516</v>
      </c>
      <c r="L7415" s="28" t="s">
        <v>52</v>
      </c>
      <c r="M7415" s="25">
        <v>6646852.7999999998</v>
      </c>
      <c r="N7415" s="27">
        <v>0.06</v>
      </c>
    </row>
    <row r="7416" spans="1:14" hidden="1" outlineLevel="1" x14ac:dyDescent="0.2">
      <c r="A7416" s="23" t="str">
        <f>HYPERLINK("https://www.spark-marketing.ru/Card/Person/564692", "ГБПОУ ""СОМК""")</f>
        <v>ГБПОУ "СОМК"</v>
      </c>
      <c r="B7416" s="24" t="s">
        <v>1402</v>
      </c>
      <c r="C7416" s="25">
        <v>7071120</v>
      </c>
      <c r="D7416" s="22" t="s">
        <v>9515</v>
      </c>
      <c r="E7416" s="22" t="s">
        <v>52</v>
      </c>
      <c r="F7416" s="23" t="str">
        <f>HYPERLINK("https://www.spark-marketing.ru/Card/Lot/70894325", "Услуги охраны объектов ГБПОУ ""СОМК"" (г. Екатеринбург)")</f>
        <v>Услуги охраны объектов ГБПОУ "СОМК" (г. Екатеринбург)</v>
      </c>
      <c r="G7416" s="22" t="s">
        <v>72</v>
      </c>
      <c r="H7416" s="22" t="s">
        <v>949</v>
      </c>
      <c r="I7416" s="26">
        <v>43613.690972222197</v>
      </c>
      <c r="J7416" s="23" t="str">
        <f>HYPERLINK("https://www.spark-marketing.ru/Card/Person/803574", "ООО ЧОП ""АГЕНТСТВО ПРОФЕССИОНАЛЬНОЙ ОХРАНЫ""")</f>
        <v>ООО ЧОП "АГЕНТСТВО ПРОФЕССИОНАЛЬНОЙ ОХРАНЫ"</v>
      </c>
      <c r="K7416" s="24" t="s">
        <v>9517</v>
      </c>
      <c r="L7416" s="28" t="s">
        <v>52</v>
      </c>
      <c r="M7416" s="25">
        <v>5550829.2000000002</v>
      </c>
      <c r="N7416" s="27">
        <v>0.215</v>
      </c>
    </row>
    <row r="7417" spans="1:14" hidden="1" outlineLevel="1" x14ac:dyDescent="0.2">
      <c r="A7417" s="23" t="str">
        <f>HYPERLINK("https://www.spark-marketing.ru/Card/Person/564692", "ГБПОУ ""СОМК""")</f>
        <v>ГБПОУ "СОМК"</v>
      </c>
      <c r="B7417" s="24" t="s">
        <v>1402</v>
      </c>
      <c r="C7417" s="25">
        <v>7071120</v>
      </c>
      <c r="D7417" s="22" t="s">
        <v>9515</v>
      </c>
      <c r="E7417" s="22" t="s">
        <v>52</v>
      </c>
      <c r="F7417" s="23" t="str">
        <f>HYPERLINK("https://www.spark-marketing.ru/Card/Lot/70894325", "Услуги охраны объектов ГБПОУ ""СОМК"" (г. Екатеринбург)")</f>
        <v>Услуги охраны объектов ГБПОУ "СОМК" (г. Екатеринбург)</v>
      </c>
      <c r="G7417" s="22" t="s">
        <v>72</v>
      </c>
      <c r="H7417" s="22" t="s">
        <v>949</v>
      </c>
      <c r="I7417" s="26">
        <v>43613.690972222197</v>
      </c>
      <c r="J7417" s="23" t="str">
        <f>HYPERLINK("https://www.spark-marketing.ru/Card/Person/563761", "ООО ЧОП ""МЕДВЕДЬ-Е1""")</f>
        <v>ООО ЧОП "МЕДВЕДЬ-Е1"</v>
      </c>
      <c r="K7417" s="24" t="s">
        <v>9518</v>
      </c>
      <c r="L7417" s="28" t="s">
        <v>52</v>
      </c>
      <c r="M7417" s="25">
        <v>7035764.4000000004</v>
      </c>
      <c r="N7417" s="27">
        <v>5.0000000000000001E-3</v>
      </c>
    </row>
    <row r="7418" spans="1:14" ht="12.75" hidden="1" outlineLevel="1" x14ac:dyDescent="0.2">
      <c r="A7418" s="23" t="str">
        <f>HYPERLINK("https://www.spark-marketing.ru/Card/Person/564692", "ГБПОУ ""СОМК""")</f>
        <v>ГБПОУ "СОМК"</v>
      </c>
      <c r="B7418" s="24" t="s">
        <v>1402</v>
      </c>
      <c r="C7418" s="25">
        <v>7071120</v>
      </c>
      <c r="D7418" s="22" t="s">
        <v>9515</v>
      </c>
      <c r="E7418" s="22" t="s">
        <v>52</v>
      </c>
      <c r="F7418" s="23" t="str">
        <f>HYPERLINK("https://www.spark-marketing.ru/Card/Lot/70894325", "Услуги охраны объектов ГБПОУ ""СОМК"" (г. Екатеринбург)")</f>
        <v>Услуги охраны объектов ГБПОУ "СОМК" (г. Екатеринбург)</v>
      </c>
      <c r="G7418" s="22" t="s">
        <v>72</v>
      </c>
      <c r="H7418" s="22" t="s">
        <v>949</v>
      </c>
      <c r="I7418" s="26">
        <v>43613.690972222197</v>
      </c>
      <c r="J7418" s="23" t="str">
        <f>HYPERLINK("https://www.spark-marketing.ru/Card/Person/91754", "ООО ЧОО ""ТАЙПАН - Е""")</f>
        <v>ООО ЧОО "ТАЙПАН - Е"</v>
      </c>
      <c r="K7418" s="24" t="s">
        <v>9519</v>
      </c>
      <c r="L7418" s="22" t="s">
        <v>10</v>
      </c>
      <c r="M7418" s="25">
        <v>5515473.5999999996</v>
      </c>
      <c r="N7418" s="27">
        <v>0.22</v>
      </c>
    </row>
    <row r="7419" spans="1:14" x14ac:dyDescent="0.15">
      <c r="A7419" s="23" t="str">
        <f>HYPERLINK("https://www.spark-marketing.ru/Card/Person/77074", """ТФОМС ВОЛГОГРАДСКОЙ ОБЛАСТИ""")</f>
        <v>"ТФОМС ВОЛГОГРАДСКОЙ ОБЛАСТИ"</v>
      </c>
      <c r="B7419" s="24" t="s">
        <v>9520</v>
      </c>
      <c r="C7419" s="25">
        <v>38993.47</v>
      </c>
      <c r="D7419" s="22" t="s">
        <v>9521</v>
      </c>
      <c r="E7419" s="22" t="s">
        <v>59</v>
      </c>
      <c r="F7419" s="23" t="str">
        <f>HYPERLINK("https://www.spark-marketing.ru/Card/Lot/70883440", "Выполнение работ по монтажу и наладке видеодомофона в Хоперском филиале")</f>
        <v>Выполнение работ по монтажу и наладке видеодомофона в Хоперском филиале</v>
      </c>
      <c r="G7419" s="22" t="s">
        <v>343</v>
      </c>
      <c r="H7419" s="22" t="s">
        <v>343</v>
      </c>
      <c r="I7419" s="26">
        <v>43613.704166666699</v>
      </c>
      <c r="J7419" s="23" t="str">
        <f>HYPERLINK("https://www.spark-marketing.ru/Card/Person/266149", "ООО ""ПРОФЕССИОНАЛ-М""")</f>
        <v>ООО "ПРОФЕССИОНАЛ-М"</v>
      </c>
      <c r="K7419" s="24" t="s">
        <v>9522</v>
      </c>
      <c r="L7419" s="22" t="s">
        <v>10</v>
      </c>
      <c r="M7419" s="28" t="s">
        <v>52</v>
      </c>
      <c r="N7419" s="28" t="s">
        <v>52</v>
      </c>
    </row>
    <row r="7420" spans="1:14" x14ac:dyDescent="0.15">
      <c r="A7420" s="23" t="str">
        <f>HYPERLINK("https://www.spark-marketing.ru/Card/Person/77074", """ТФОМС ВОЛГОГРАДСКОЙ ОБЛАСТИ""")</f>
        <v>"ТФОМС ВОЛГОГРАДСКОЙ ОБЛАСТИ"</v>
      </c>
      <c r="B7420" s="24" t="s">
        <v>9520</v>
      </c>
      <c r="C7420" s="25">
        <v>37677.85</v>
      </c>
      <c r="D7420" s="22" t="s">
        <v>9523</v>
      </c>
      <c r="E7420" s="22" t="s">
        <v>59</v>
      </c>
      <c r="F7420" s="23" t="str">
        <f>HYPERLINK("https://www.spark-marketing.ru/Card/Lot/70883492", "Выполнение работ по монтажу и наладке видеодомофона в Северном филиале")</f>
        <v>Выполнение работ по монтажу и наладке видеодомофона в Северном филиале</v>
      </c>
      <c r="G7420" s="22" t="s">
        <v>343</v>
      </c>
      <c r="H7420" s="22" t="s">
        <v>343</v>
      </c>
      <c r="I7420" s="26">
        <v>43613.704861111102</v>
      </c>
      <c r="J7420" s="23" t="str">
        <f>HYPERLINK("https://www.spark-marketing.ru/Card/Person/266149", "ООО ""ПРОФЕССИОНАЛ-М""")</f>
        <v>ООО "ПРОФЕССИОНАЛ-М"</v>
      </c>
      <c r="K7420" s="24" t="s">
        <v>9522</v>
      </c>
      <c r="L7420" s="22" t="s">
        <v>10</v>
      </c>
      <c r="M7420" s="28" t="s">
        <v>52</v>
      </c>
      <c r="N7420" s="28" t="s">
        <v>52</v>
      </c>
    </row>
    <row r="7421" spans="1:14" x14ac:dyDescent="0.15">
      <c r="A7421" s="23" t="str">
        <f>HYPERLINK("https://www.spark-marketing.ru/Card/Person/61117", "УПРАВЛЕНИЕ ОБРАЗОВАНИЯ АДМИНИСТРАЦИИ ГО Г.УФА РБ")</f>
        <v>УПРАВЛЕНИЕ ОБРАЗОВАНИЯ АДМИНИСТРАЦИИ ГО Г.УФА РБ</v>
      </c>
      <c r="B7421" s="24" t="s">
        <v>9524</v>
      </c>
      <c r="C7421" s="25">
        <v>15000</v>
      </c>
      <c r="D7421" s="22" t="s">
        <v>9525</v>
      </c>
      <c r="E7421" s="22" t="s">
        <v>103</v>
      </c>
      <c r="F7421" s="23" t="str">
        <f>HYPERLINK("https://www.spark-marketing.ru/Card/Lot/70876040", "Оказание услуг по техническому обслуживанию систем видеонаблюдения в здании Управления образования Администрации городского округа город Уфа Республики Башкортостан")</f>
        <v>Оказание услуг по техническому обслуживанию систем видеонаблюдения в здании Управления образования Администрации городского округа город Уфа Республики Башкортостан</v>
      </c>
      <c r="G7421" s="22" t="s">
        <v>100</v>
      </c>
      <c r="H7421" s="22" t="s">
        <v>373</v>
      </c>
      <c r="I7421" s="26">
        <v>43613.668749999997</v>
      </c>
      <c r="J7421" s="23" t="str">
        <f>HYPERLINK("https://www.spark-marketing.ru/Card/Person/6528144", "ООО ""ИНТЕЛЛЕКТУАЛЬНЫЕ СИСТЕМЫ""")</f>
        <v>ООО "ИНТЕЛЛЕКТУАЛЬНЫЕ СИСТЕМЫ"</v>
      </c>
      <c r="K7421" s="24" t="s">
        <v>9526</v>
      </c>
      <c r="L7421" s="28" t="s">
        <v>52</v>
      </c>
      <c r="M7421" s="28" t="s">
        <v>52</v>
      </c>
      <c r="N7421" s="28" t="s">
        <v>52</v>
      </c>
    </row>
    <row r="7422" spans="1:14" ht="12.75" hidden="1" outlineLevel="1" x14ac:dyDescent="0.2">
      <c r="A7422" s="23" t="str">
        <f>HYPERLINK("https://www.spark-marketing.ru/Card/Person/61117", "УПРАВЛЕНИЕ ОБРАЗОВАНИЯ АДМИНИСТРАЦИИ ГО Г.УФА РБ")</f>
        <v>УПРАВЛЕНИЕ ОБРАЗОВАНИЯ АДМИНИСТРАЦИИ ГО Г.УФА РБ</v>
      </c>
      <c r="B7422" s="24" t="s">
        <v>9524</v>
      </c>
      <c r="C7422" s="25">
        <v>15000</v>
      </c>
      <c r="D7422" s="22" t="s">
        <v>9525</v>
      </c>
      <c r="E7422" s="22" t="s">
        <v>103</v>
      </c>
      <c r="F7422" s="23" t="str">
        <f>HYPERLINK("https://www.spark-marketing.ru/Card/Lot/70876040", "Оказание услуг по техническому обслуживанию систем видеонаблюдения в здании Управления образования Администрации городского округа город Уфа Республики Башкортостан")</f>
        <v>Оказание услуг по техническому обслуживанию систем видеонаблюдения в здании Управления образования Администрации городского округа город Уфа Республики Башкортостан</v>
      </c>
      <c r="G7422" s="22" t="s">
        <v>100</v>
      </c>
      <c r="H7422" s="22" t="s">
        <v>373</v>
      </c>
      <c r="I7422" s="26">
        <v>43613.668749999997</v>
      </c>
      <c r="J7422" s="23" t="str">
        <f>HYPERLINK("https://www.spark-marketing.ru/Card/Person/6528144", "ООО ""ИНТЕЛЛЕКТУАЛЬНЫЕ СИСТЕМЫ""")</f>
        <v>ООО "ИНТЕЛЛЕКТУАЛЬНЫЕ СИСТЕМЫ"</v>
      </c>
      <c r="K7422" s="24" t="s">
        <v>9526</v>
      </c>
      <c r="L7422" s="22" t="s">
        <v>10</v>
      </c>
      <c r="M7422" s="25">
        <v>14900</v>
      </c>
      <c r="N7422" s="27">
        <v>6.6666666666666671E-3</v>
      </c>
    </row>
    <row r="7423" spans="1:14" x14ac:dyDescent="0.15">
      <c r="A7423" s="23" t="str">
        <f>HYPERLINK("https://www.spark-marketing.ru/Card/Person/4345935", "ДЕПАРТАМЕНТ СМОЛЕНСКОЙ ОБЛАСТИ ПО ЗДРАВООХРАНЕНИЮ")</f>
        <v>ДЕПАРТАМЕНТ СМОЛЕНСКОЙ ОБЛАСТИ ПО ЗДРАВООХРАНЕНИЮ</v>
      </c>
      <c r="B7423" s="24" t="s">
        <v>1449</v>
      </c>
      <c r="C7423" s="25">
        <v>2779613.76</v>
      </c>
      <c r="D7423" s="22" t="s">
        <v>9527</v>
      </c>
      <c r="E7423" s="22" t="s">
        <v>53</v>
      </c>
      <c r="F7423" s="23" t="str">
        <f>HYPERLINK("https://www.spark-marketing.ru/Card/Lot/70891355", "(0228-аэф/тк) Поставка лекарственных препаратов (Тофацитиниб)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f>
        <v>(0228-аэф/тк) Поставка лекарственных препаратов (Тофацитиниб)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v>
      </c>
      <c r="G7423" s="22" t="s">
        <v>956</v>
      </c>
      <c r="H7423" s="22" t="s">
        <v>1451</v>
      </c>
      <c r="I7423" s="26">
        <v>43613.643750000003</v>
      </c>
      <c r="J7423" s="23" t="str">
        <f>HYPERLINK("https://www.spark-marketing.ru/Card/Person/18931", "ООО ""ЮНИЛЕК""")</f>
        <v>ООО "ЮНИЛЕК"</v>
      </c>
      <c r="K7423" s="24" t="s">
        <v>7158</v>
      </c>
      <c r="L7423" s="22" t="s">
        <v>10</v>
      </c>
      <c r="M7423" s="28" t="s">
        <v>52</v>
      </c>
      <c r="N7423" s="28" t="s">
        <v>52</v>
      </c>
    </row>
    <row r="7424" spans="1:14" x14ac:dyDescent="0.15">
      <c r="A7424" s="23" t="str">
        <f>HYPERLINK("https://www.spark-marketing.ru/Card/Person/4345935", "ДЕПАРТАМЕНТ СМОЛЕНСКОЙ ОБЛАСТИ ПО ЗДРАВООХРАНЕНИЮ")</f>
        <v>ДЕПАРТАМЕНТ СМОЛЕНСКОЙ ОБЛАСТИ ПО ЗДРАВООХРАНЕНИЮ</v>
      </c>
      <c r="B7424" s="24" t="s">
        <v>1449</v>
      </c>
      <c r="C7424" s="25">
        <v>615930.30000000005</v>
      </c>
      <c r="D7424" s="22" t="s">
        <v>9528</v>
      </c>
      <c r="E7424" s="22" t="s">
        <v>53</v>
      </c>
      <c r="F7424" s="23" t="str">
        <f>HYPERLINK("https://www.spark-marketing.ru/Card/Lot/70890467", "(0229-аэф/тк) Поставка лекарственных препаратов (Траметиниб)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f>
        <v>(0229-аэф/тк) Поставка лекарственных препаратов (Траметиниб)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v>
      </c>
      <c r="G7424" s="22" t="s">
        <v>956</v>
      </c>
      <c r="H7424" s="22" t="s">
        <v>1451</v>
      </c>
      <c r="I7424" s="26">
        <v>43613.646527777797</v>
      </c>
      <c r="J7424" s="28" t="s">
        <v>52</v>
      </c>
      <c r="K7424" s="28" t="s">
        <v>52</v>
      </c>
      <c r="L7424" s="28" t="s">
        <v>52</v>
      </c>
      <c r="M7424" s="28" t="s">
        <v>52</v>
      </c>
      <c r="N7424" s="28" t="s">
        <v>52</v>
      </c>
    </row>
    <row r="7425" spans="1:14" x14ac:dyDescent="0.15">
      <c r="A7425" s="23" t="str">
        <f>HYPERLINK("https://www.spark-marketing.ru/Card/Person/56042", "УПФР В Г. ВЕЛИКОМ НОВГОРОДЕ И НОВГОРОДСКОМ РАЙОНЕ НОВГОРОДСКОЙ ОБЛАСТИ (МЕЖРАЙОННОЕ)")</f>
        <v>УПФР В Г. ВЕЛИКОМ НОВГОРОДЕ И НОВГОРОДСКОМ РАЙОНЕ НОВГОРОДСКОЙ ОБЛАСТИ (МЕЖРАЙОННОЕ)</v>
      </c>
      <c r="B7425" s="24" t="s">
        <v>9529</v>
      </c>
      <c r="C7425" s="25">
        <v>132697.79999999999</v>
      </c>
      <c r="D7425" s="22" t="s">
        <v>9530</v>
      </c>
      <c r="E7425" s="22" t="s">
        <v>68</v>
      </c>
      <c r="F7425" s="23" t="str">
        <f>HYPERLINK("https://www.spark-marketing.ru/Card/Lot/70887571", "Оказание услуг по охране объектов с использованием кнопки экстренного вызова, охране объектов с помощью централизованного наблюдения")</f>
        <v>Оказание услуг по охране объектов с использованием кнопки экстренного вызова, охране объектов с помощью централизованного наблюдения</v>
      </c>
      <c r="G7425" s="22" t="s">
        <v>959</v>
      </c>
      <c r="H7425" s="22" t="s">
        <v>960</v>
      </c>
      <c r="I7425" s="26">
        <v>43613.651388888902</v>
      </c>
      <c r="J7425" s="23" t="str">
        <f>HYPERLINK("https://www.spark-marketing.ru/Card/Person/26909", "ФГКУ ""ОВО ВНГ РОССИИ ПО НОВГОРОДСКОЙ ОБЛАСТИ""")</f>
        <v>ФГКУ "ОВО ВНГ РОССИИ ПО НОВГОРОДСКОЙ ОБЛАСТИ"</v>
      </c>
      <c r="K7425" s="24" t="s">
        <v>9531</v>
      </c>
      <c r="L7425" s="22" t="s">
        <v>10</v>
      </c>
      <c r="M7425" s="28" t="s">
        <v>52</v>
      </c>
      <c r="N7425" s="28" t="s">
        <v>52</v>
      </c>
    </row>
    <row r="7426" spans="1:14" x14ac:dyDescent="0.2">
      <c r="A7426" s="23" t="str">
        <f>HYPERLINK("https://www.spark-marketing.ru/Card/Person/71047", "ФГБОУ ВО ""ВГУЭС"", ВГУЭС, ВЛАДИВОСТОКСКИЙ ГОСУДАРСТВЕННЫЙ УНИВЕРСИТЕТ ЭКОНОМИКИ И СЕРВИСА, ФГБОУ ВО ""ВЛАДИВОСТОКСКИЙ ГОСУДАРСТВЕННЫЙ УНИВЕРСИТЕТ ЭКОНОМИКИ И СЕРВИСА""")</f>
        <v>ФГБОУ ВО "ВГУЭС", ВГУЭС, ВЛАДИВОСТОКСКИЙ ГОСУДАРСТВЕННЫЙ УНИВЕРСИТЕТ ЭКОНОМИКИ И СЕРВИСА, ФГБОУ ВО "ВЛАДИВОСТОКСКИЙ ГОСУДАРСТВЕННЫЙ УНИВЕРСИТЕТ ЭКОНОМИКИ И СЕРВИСА"</v>
      </c>
      <c r="B7426" s="24" t="s">
        <v>9532</v>
      </c>
      <c r="C7426" s="25">
        <v>21000</v>
      </c>
      <c r="D7426" s="22" t="s">
        <v>9533</v>
      </c>
      <c r="E7426" s="22" t="s">
        <v>49</v>
      </c>
      <c r="F7426" s="23" t="str">
        <f>HYPERLINK("https://www.spark-marketing.ru/Card/Lot/70859633", "Установка системы тревожной сигнализации")</f>
        <v>Установка системы тревожной сигнализации</v>
      </c>
      <c r="G7426" s="22" t="s">
        <v>409</v>
      </c>
      <c r="H7426" s="22" t="s">
        <v>409</v>
      </c>
      <c r="I7426" s="26">
        <v>43613.649282407401</v>
      </c>
      <c r="J7426" s="23" t="str">
        <f>HYPERLINK("https://www.spark-marketing.ru/Card/Person/2554450", "ООО ""ФОТОН-М""")</f>
        <v>ООО "ФОТОН-М"</v>
      </c>
      <c r="K7426" s="24" t="s">
        <v>9534</v>
      </c>
      <c r="L7426" s="28" t="s">
        <v>52</v>
      </c>
      <c r="M7426" s="25">
        <v>21000</v>
      </c>
      <c r="N7426" s="27">
        <v>0</v>
      </c>
    </row>
    <row r="7427" spans="1:14" x14ac:dyDescent="0.15">
      <c r="A7427" s="23" t="str">
        <f>HYPERLINK("https://www.spark-marketing.ru/Card/Person/4343740", "МИНЗДРАВ РОССИИ")</f>
        <v>МИНЗДРАВ РОССИИ</v>
      </c>
      <c r="B7427" s="24" t="s">
        <v>1666</v>
      </c>
      <c r="C7427" s="25">
        <v>915582096</v>
      </c>
      <c r="D7427" s="22" t="s">
        <v>9535</v>
      </c>
      <c r="E7427" s="22" t="s">
        <v>53</v>
      </c>
      <c r="F7427" s="23" t="str">
        <f>HYPERLINK("https://www.spark-marketing.ru/Card/Lot/70894114", "Идурсульфаза, концентрат для приготовления раствора для инфузий, 2 мг/мл, 3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f>
        <v>Идурсульфаза, концентрат для приготовления раствора для инфузий, 2 мг/мл, 3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v>
      </c>
      <c r="G7427" s="22" t="s">
        <v>428</v>
      </c>
      <c r="H7427" s="22" t="s">
        <v>429</v>
      </c>
      <c r="I7427" s="26">
        <v>43613.642361111102</v>
      </c>
      <c r="J7427" s="23" t="str">
        <f>HYPERLINK("https://www.spark-marketing.ru/Card/Person/129611", "АО ""ФАРМИМЭКС""")</f>
        <v>АО "ФАРМИМЭКС"</v>
      </c>
      <c r="K7427" s="24" t="s">
        <v>9536</v>
      </c>
      <c r="L7427" s="22" t="s">
        <v>10</v>
      </c>
      <c r="M7427" s="28" t="s">
        <v>52</v>
      </c>
      <c r="N7427" s="28" t="s">
        <v>52</v>
      </c>
    </row>
    <row r="7428" spans="1:14" x14ac:dyDescent="0.15">
      <c r="A7428" s="23" t="str">
        <f>HYPERLINK("https://www.spark-marketing.ru/Card/Person/4345935", "ДЕПАРТАМЕНТ СМОЛЕНСКОЙ ОБЛАСТИ ПО ЗДРАВООХРАНЕНИЮ")</f>
        <v>ДЕПАРТАМЕНТ СМОЛЕНСКОЙ ОБЛАСТИ ПО ЗДРАВООХРАНЕНИЮ</v>
      </c>
      <c r="B7428" s="24" t="s">
        <v>1449</v>
      </c>
      <c r="C7428" s="25">
        <v>214500</v>
      </c>
      <c r="D7428" s="22" t="s">
        <v>9537</v>
      </c>
      <c r="E7428" s="22" t="s">
        <v>53</v>
      </c>
      <c r="F7428" s="23" t="str">
        <f>HYPERLINK("https://www.spark-marketing.ru/Card/Lot/70887658", "(0230-аэф/тк) Поставка лекарственных препаратов (Бикалутамид)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f>
        <v>(0230-аэф/тк) Поставка лекарственных препаратов (Бикалутамид)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v>
      </c>
      <c r="G7428" s="22" t="s">
        <v>956</v>
      </c>
      <c r="H7428" s="22" t="s">
        <v>1451</v>
      </c>
      <c r="I7428" s="26">
        <v>43613.659027777801</v>
      </c>
      <c r="J7428" s="28" t="s">
        <v>52</v>
      </c>
      <c r="K7428" s="28" t="s">
        <v>52</v>
      </c>
      <c r="L7428" s="28" t="s">
        <v>52</v>
      </c>
      <c r="M7428" s="28" t="s">
        <v>52</v>
      </c>
      <c r="N7428" s="28" t="s">
        <v>52</v>
      </c>
    </row>
    <row r="7429" spans="1:14" x14ac:dyDescent="0.15">
      <c r="A7429" s="23" t="str">
        <f>HYPERLINK("https://www.spark-marketing.ru/Card/Person/150285", "МКУ ""ЕДДС"" ГОРОДА СТАВРОПОЛЯ")</f>
        <v>МКУ "ЕДДС" ГОРОДА СТАВРОПОЛЯ</v>
      </c>
      <c r="B7429" s="24" t="s">
        <v>5150</v>
      </c>
      <c r="C7429" s="25">
        <v>1999999.95</v>
      </c>
      <c r="D7429" s="22" t="s">
        <v>9538</v>
      </c>
      <c r="E7429" s="22" t="s">
        <v>59</v>
      </c>
      <c r="F7429" s="23" t="str">
        <f>HYPERLINK("https://www.spark-marketing.ru/Card/Lot/70881494", "Работы по установке камер видеонаблюдения в местах массового пребывания жителей города Ставрополя")</f>
        <v>Работы по установке камер видеонаблюдения в местах массового пребывания жителей города Ставрополя</v>
      </c>
      <c r="G7429" s="22" t="s">
        <v>258</v>
      </c>
      <c r="H7429" s="22" t="s">
        <v>258</v>
      </c>
      <c r="I7429" s="26">
        <v>43613.614583333299</v>
      </c>
      <c r="J7429" s="23" t="str">
        <f>HYPERLINK("https://www.spark-marketing.ru/Card/Person/4259750", "ООО ""ТЕХНОСТАВ""")</f>
        <v>ООО "ТЕХНОСТАВ"</v>
      </c>
      <c r="K7429" s="24" t="s">
        <v>9539</v>
      </c>
      <c r="L7429" s="28" t="s">
        <v>52</v>
      </c>
      <c r="M7429" s="28" t="s">
        <v>52</v>
      </c>
      <c r="N7429" s="28" t="s">
        <v>52</v>
      </c>
    </row>
    <row r="7430" spans="1:14" ht="12.75" hidden="1" outlineLevel="1" x14ac:dyDescent="0.2">
      <c r="A7430" s="23" t="str">
        <f>HYPERLINK("https://www.spark-marketing.ru/Card/Person/150285", "МКУ ""ЕДДС"" ГОРОДА СТАВРОПОЛЯ")</f>
        <v>МКУ "ЕДДС" ГОРОДА СТАВРОПОЛЯ</v>
      </c>
      <c r="B7430" s="24" t="s">
        <v>5150</v>
      </c>
      <c r="C7430" s="25">
        <v>1999999.95</v>
      </c>
      <c r="D7430" s="22" t="s">
        <v>9538</v>
      </c>
      <c r="E7430" s="22" t="s">
        <v>59</v>
      </c>
      <c r="F7430" s="23" t="str">
        <f>HYPERLINK("https://www.spark-marketing.ru/Card/Lot/70881494", "Работы по установке камер видеонаблюдения в местах массового пребывания жителей города Ставрополя")</f>
        <v>Работы по установке камер видеонаблюдения в местах массового пребывания жителей города Ставрополя</v>
      </c>
      <c r="G7430" s="22" t="s">
        <v>258</v>
      </c>
      <c r="H7430" s="22" t="s">
        <v>258</v>
      </c>
      <c r="I7430" s="26">
        <v>43613.614583333299</v>
      </c>
      <c r="J7430" s="23" t="str">
        <f>HYPERLINK("https://www.spark-marketing.ru/Card/Person/4259750", "ООО ""ТЕХНОСТАВ""")</f>
        <v>ООО "ТЕХНОСТАВ"</v>
      </c>
      <c r="K7430" s="24" t="s">
        <v>9539</v>
      </c>
      <c r="L7430" s="22" t="s">
        <v>10</v>
      </c>
      <c r="M7430" s="25">
        <v>1989999</v>
      </c>
      <c r="N7430" s="27">
        <v>5.0004751250118783E-3</v>
      </c>
    </row>
    <row r="7431" spans="1:14" x14ac:dyDescent="0.2">
      <c r="A7431" s="23" t="str">
        <f>HYPERLINK("https://www.spark-marketing.ru/Card/Person/4348809", "ГУП ""МОСВОДОСТОК""")</f>
        <v>ГУП "МОСВОДОСТОК"</v>
      </c>
      <c r="B7431" s="24" t="s">
        <v>9540</v>
      </c>
      <c r="C7431" s="25">
        <v>2612815.9300000002</v>
      </c>
      <c r="D7431" s="22" t="s">
        <v>9541</v>
      </c>
      <c r="E7431" s="22" t="s">
        <v>9542</v>
      </c>
      <c r="F7431" s="23" t="str">
        <f>HYPERLINK("https://www.spark-marketing.ru/Card/Lot/70874202", "Выполнение работ по устройству гидроизоляции береговой полосы и ложа пруда, включая раскрой, монтаж и термосварку мембраны на объекте: «Выполнение работ по охране водного объекта «пруд Генерала Антонова», расположенного по адресу: г. Москва, ЮЗАО, ул...")</f>
        <v>Выполнение работ по устройству гидроизоляции береговой полосы и ложа пруда, включая раскрой, монтаж и термосварку мембраны на объекте: «Выполнение работ по охране водного объекта «пруд Генерала Антонова», расположенного по адресу: г. Москва, ЮЗАО, ул...</v>
      </c>
      <c r="G7431" s="22" t="s">
        <v>55</v>
      </c>
      <c r="H7431" s="22" t="s">
        <v>55</v>
      </c>
      <c r="I7431" s="26">
        <v>43613.6096875</v>
      </c>
      <c r="J7431" s="28" t="s">
        <v>52</v>
      </c>
      <c r="K7431" s="28" t="s">
        <v>52</v>
      </c>
      <c r="L7431" s="22" t="s">
        <v>10</v>
      </c>
      <c r="M7431" s="25">
        <v>2612815.9300000002</v>
      </c>
      <c r="N7431" s="27">
        <v>0</v>
      </c>
    </row>
    <row r="7432" spans="1:14" x14ac:dyDescent="0.15">
      <c r="A7432" s="23" t="str">
        <f>HYPERLINK("https://www.spark-marketing.ru/Card/Person/128693", "МБУК ""РДК ""ЦЕЛИННИК""")</f>
        <v>МБУК "РДК "ЦЕЛИННИК"</v>
      </c>
      <c r="B7432" s="24" t="s">
        <v>9543</v>
      </c>
      <c r="C7432" s="25">
        <v>3699621.05</v>
      </c>
      <c r="D7432" s="22" t="s">
        <v>9544</v>
      </c>
      <c r="E7432" s="22" t="s">
        <v>5251</v>
      </c>
      <c r="F7432" s="23" t="str">
        <f>HYPERLINK("https://www.spark-marketing.ru/Card/Lot/70883193", "Поставка, установка и ввод в эксплуатацию оборудования сцены")</f>
        <v>Поставка, установка и ввод в эксплуатацию оборудования сцены</v>
      </c>
      <c r="G7432" s="22" t="s">
        <v>384</v>
      </c>
      <c r="H7432" s="22" t="s">
        <v>384</v>
      </c>
      <c r="I7432" s="26">
        <v>43613.59375</v>
      </c>
      <c r="J7432" s="23" t="str">
        <f>HYPERLINK("https://www.spark-marketing.ru/Card/Person/6578992", "Захарова Сания Тазиевна")</f>
        <v>Захарова Сания Тазиевна</v>
      </c>
      <c r="K7432" s="24" t="s">
        <v>6835</v>
      </c>
      <c r="L7432" s="28" t="s">
        <v>52</v>
      </c>
      <c r="M7432" s="28" t="s">
        <v>52</v>
      </c>
      <c r="N7432" s="28" t="s">
        <v>52</v>
      </c>
    </row>
    <row r="7433" spans="1:14" ht="12.75" hidden="1" outlineLevel="1" x14ac:dyDescent="0.2">
      <c r="A7433" s="23" t="str">
        <f>HYPERLINK("https://www.spark-marketing.ru/Card/Person/128693", "МБУК ""РДК ""ЦЕЛИННИК""")</f>
        <v>МБУК "РДК "ЦЕЛИННИК"</v>
      </c>
      <c r="B7433" s="24" t="s">
        <v>9543</v>
      </c>
      <c r="C7433" s="25">
        <v>3699621.05</v>
      </c>
      <c r="D7433" s="22" t="s">
        <v>9544</v>
      </c>
      <c r="E7433" s="22" t="s">
        <v>5251</v>
      </c>
      <c r="F7433" s="23" t="str">
        <f>HYPERLINK("https://www.spark-marketing.ru/Card/Lot/70883193", "Поставка, установка и ввод в эксплуатацию оборудования сцены")</f>
        <v>Поставка, установка и ввод в эксплуатацию оборудования сцены</v>
      </c>
      <c r="G7433" s="22" t="s">
        <v>384</v>
      </c>
      <c r="H7433" s="22" t="s">
        <v>384</v>
      </c>
      <c r="I7433" s="26">
        <v>43613.59375</v>
      </c>
      <c r="J7433" s="23" t="str">
        <f>HYPERLINK("https://www.spark-marketing.ru/Card/Person/6578992", "Захарова Сания Тазиевна")</f>
        <v>Захарова Сания Тазиевна</v>
      </c>
      <c r="K7433" s="24" t="s">
        <v>6835</v>
      </c>
      <c r="L7433" s="22" t="s">
        <v>10</v>
      </c>
      <c r="M7433" s="25">
        <v>3681122.94</v>
      </c>
      <c r="N7433" s="27">
        <v>5.0000012839152806E-3</v>
      </c>
    </row>
    <row r="7434" spans="1:14" x14ac:dyDescent="0.15">
      <c r="A7434" s="23" t="str">
        <f>HYPERLINK("https://www.spark-marketing.ru/Card/Person/47879", "АДМИНИСТРАЦИЯ АРГАЯШСКОГО МУНИЦИПАЛЬНОГО РАЙОНА")</f>
        <v>АДМИНИСТРАЦИЯ АРГАЯШСКОГО МУНИЦИПАЛЬНОГО РАЙОНА</v>
      </c>
      <c r="B7434" s="24" t="s">
        <v>9545</v>
      </c>
      <c r="C7434" s="25">
        <v>2583179</v>
      </c>
      <c r="D7434" s="22" t="s">
        <v>9546</v>
      </c>
      <c r="E7434" s="22" t="s">
        <v>59</v>
      </c>
      <c r="F7434" s="23" t="str">
        <f>HYPERLINK("https://www.spark-marketing.ru/Card/Lot/70875397", "Поставка и установка светофоров типа Т.7 в Аргаяшском муниципальном районе Челябинской области")</f>
        <v>Поставка и установка светофоров типа Т.7 в Аргаяшском муниципальном районе Челябинской области</v>
      </c>
      <c r="G7434" s="22" t="s">
        <v>60</v>
      </c>
      <c r="H7434" s="22" t="s">
        <v>9547</v>
      </c>
      <c r="I7434" s="26">
        <v>43613.546527777798</v>
      </c>
      <c r="J7434" s="23" t="str">
        <f>HYPERLINK("https://www.spark-marketing.ru/Card/Person/1522279", "ООО ГК ""ИСИС""")</f>
        <v>ООО ГК "ИСИС"</v>
      </c>
      <c r="K7434" s="24" t="s">
        <v>9548</v>
      </c>
      <c r="L7434" s="22" t="s">
        <v>10</v>
      </c>
      <c r="M7434" s="28" t="s">
        <v>52</v>
      </c>
      <c r="N7434" s="28" t="s">
        <v>52</v>
      </c>
    </row>
    <row r="7435" spans="1:14" x14ac:dyDescent="0.15">
      <c r="A7435" s="23" t="str">
        <f>HYPERLINK("https://www.spark-marketing.ru/Card/Person/108999", "ГАОУ ""ШКОЛА № 1518""")</f>
        <v>ГАОУ "ШКОЛА № 1518"</v>
      </c>
      <c r="B7435" s="24" t="s">
        <v>3348</v>
      </c>
      <c r="C7435" s="25">
        <v>137410</v>
      </c>
      <c r="D7435" s="22" t="s">
        <v>9549</v>
      </c>
      <c r="E7435" s="22" t="s">
        <v>9550</v>
      </c>
      <c r="F7435" s="23" t="str">
        <f>HYPERLINK("https://www.spark-marketing.ru/Card/Lot/70915653", "Оказание услуг по техническому обслуживанию систем контроля доступа (видеодомофоны) и охранной сигнализации ГАОУ ""Школа № 1518""")</f>
        <v>Оказание услуг по техническому обслуживанию систем контроля доступа (видеодомофоны) и охранной сигнализации ГАОУ "Школа № 1518"</v>
      </c>
      <c r="G7435" s="22" t="s">
        <v>55</v>
      </c>
      <c r="H7435" s="22" t="s">
        <v>55</v>
      </c>
      <c r="I7435" s="26">
        <v>43613.554375</v>
      </c>
      <c r="J7435" s="28" t="s">
        <v>52</v>
      </c>
      <c r="K7435" s="28" t="s">
        <v>52</v>
      </c>
      <c r="L7435" s="28" t="s">
        <v>52</v>
      </c>
      <c r="M7435" s="28" t="s">
        <v>52</v>
      </c>
      <c r="N7435" s="28" t="s">
        <v>52</v>
      </c>
    </row>
    <row r="7436" spans="1:14" x14ac:dyDescent="0.15">
      <c r="A7436" s="23" t="str">
        <f>HYPERLINK("https://www.spark-marketing.ru/Card/Person/4378085", "УПРАВЛЕНИЕ РОСРЕЕСТРА ПО ЧЕЧЕНСКОЙ РЕСПУБЛИКЕ")</f>
        <v>УПРАВЛЕНИЕ РОСРЕЕСТРА ПО ЧЕЧЕНСКОЙ РЕСПУБЛИКЕ</v>
      </c>
      <c r="B7436" s="24" t="s">
        <v>9551</v>
      </c>
      <c r="C7436" s="25">
        <v>85282</v>
      </c>
      <c r="D7436" s="22" t="s">
        <v>9552</v>
      </c>
      <c r="E7436" s="22" t="s">
        <v>68</v>
      </c>
      <c r="F7436" s="23" t="str">
        <f>HYPERLINK("https://www.spark-marketing.ru/Card/Lot/70870255", "Услуги по содержанию кноки экстренного вызова полиции")</f>
        <v>Услуги по содержанию кноки экстренного вызова полиции</v>
      </c>
      <c r="G7436" s="22" t="s">
        <v>724</v>
      </c>
      <c r="H7436" s="22" t="s">
        <v>5711</v>
      </c>
      <c r="I7436" s="26">
        <v>43613.461805555598</v>
      </c>
      <c r="J7436" s="28" t="s">
        <v>52</v>
      </c>
      <c r="K7436" s="28" t="s">
        <v>52</v>
      </c>
      <c r="L7436" s="28" t="s">
        <v>52</v>
      </c>
      <c r="M7436" s="28" t="s">
        <v>52</v>
      </c>
      <c r="N7436" s="28" t="s">
        <v>52</v>
      </c>
    </row>
    <row r="7437" spans="1:14" x14ac:dyDescent="0.2">
      <c r="A7437" s="23" t="str">
        <f>HYPERLINK("https://www.spark-marketing.ru/Card/Person/361177", "АО ""КРАСНОГОРСКАЯ ТЕПЛОСЕТЬ""")</f>
        <v>АО "КРАСНОГОРСКАЯ ТЕПЛОСЕТЬ"</v>
      </c>
      <c r="B7437" s="24" t="s">
        <v>9553</v>
      </c>
      <c r="C7437" s="25">
        <v>409000</v>
      </c>
      <c r="D7437" s="22" t="s">
        <v>9554</v>
      </c>
      <c r="E7437" s="22" t="s">
        <v>3608</v>
      </c>
      <c r="F7437" s="23" t="str">
        <f>HYPERLINK("https://www.spark-marketing.ru/Card/Lot/70865075", "Оказание услуг по техническому обслуживанию и техническому сопровождению АИИС КУЭ на объектах ПАО «Красногорская теплосеть»")</f>
        <v>Оказание услуг по техническому обслуживанию и техническому сопровождению АИИС КУЭ на объектах ПАО «Красногорская теплосеть»</v>
      </c>
      <c r="G7437" s="22" t="s">
        <v>50</v>
      </c>
      <c r="H7437" s="22" t="s">
        <v>50</v>
      </c>
      <c r="I7437" s="26">
        <v>43613.486851851798</v>
      </c>
      <c r="J7437" s="28" t="s">
        <v>52</v>
      </c>
      <c r="K7437" s="28" t="s">
        <v>52</v>
      </c>
      <c r="L7437" s="28" t="s">
        <v>52</v>
      </c>
      <c r="M7437" s="25">
        <v>396000</v>
      </c>
      <c r="N7437" s="27">
        <v>3.1784841075794622E-2</v>
      </c>
    </row>
    <row r="7438" spans="1:14" x14ac:dyDescent="0.15">
      <c r="A7438" s="23" t="str">
        <f>HYPERLINK("https://www.spark-marketing.ru/Card/Person/120877", "ПАО АНК ""БАШНЕФТЬ""")</f>
        <v>ПАО АНК "БАШНЕФТЬ"</v>
      </c>
      <c r="B7438" s="24" t="s">
        <v>6390</v>
      </c>
      <c r="C7438" s="28" t="s">
        <v>52</v>
      </c>
      <c r="D7438" s="22" t="s">
        <v>9555</v>
      </c>
      <c r="E7438" s="22" t="s">
        <v>8137</v>
      </c>
      <c r="F7438" s="23" t="str">
        <f>HYPERLINK("https://www.spark-marketing.ru/Card/Lot/70865360", "Охрана объектов с помощью пульта централизованного наблюдения")</f>
        <v>Охрана объектов с помощью пульта централизованного наблюдения</v>
      </c>
      <c r="G7438" s="22" t="s">
        <v>100</v>
      </c>
      <c r="H7438" s="22" t="s">
        <v>373</v>
      </c>
      <c r="I7438" s="26">
        <v>43613.487500000003</v>
      </c>
      <c r="J7438" s="28" t="s">
        <v>52</v>
      </c>
      <c r="K7438" s="28" t="s">
        <v>52</v>
      </c>
      <c r="L7438" s="28" t="s">
        <v>52</v>
      </c>
      <c r="M7438" s="28" t="s">
        <v>52</v>
      </c>
      <c r="N7438" s="28" t="s">
        <v>52</v>
      </c>
    </row>
    <row r="7439" spans="1:14" x14ac:dyDescent="0.15">
      <c r="A7439" s="23" t="str">
        <f>HYPERLINK("https://www.spark-marketing.ru/Card/Person/4350020", "ПАО ""КУЗБАССЭНЕРГОСБЫТ""")</f>
        <v>ПАО "КУЗБАССЭНЕРГОСБЫТ"</v>
      </c>
      <c r="B7439" s="24" t="s">
        <v>6941</v>
      </c>
      <c r="C7439" s="25">
        <v>2433966</v>
      </c>
      <c r="D7439" s="22" t="s">
        <v>9556</v>
      </c>
      <c r="E7439" s="22" t="s">
        <v>144</v>
      </c>
      <c r="F7439" s="23" t="str">
        <f>HYPERLINK("https://www.spark-marketing.ru/Card/Lot/70857457", "Оказание охранных услуг")</f>
        <v>Оказание охранных услуг</v>
      </c>
      <c r="G7439" s="22" t="s">
        <v>367</v>
      </c>
      <c r="H7439" s="22" t="s">
        <v>881</v>
      </c>
      <c r="I7439" s="26">
        <v>43613.492696759298</v>
      </c>
      <c r="J7439" s="28" t="s">
        <v>52</v>
      </c>
      <c r="K7439" s="28" t="s">
        <v>52</v>
      </c>
      <c r="L7439" s="28" t="s">
        <v>52</v>
      </c>
      <c r="M7439" s="28" t="s">
        <v>52</v>
      </c>
      <c r="N7439" s="28" t="s">
        <v>52</v>
      </c>
    </row>
    <row r="7440" spans="1:14" hidden="1" outlineLevel="1" x14ac:dyDescent="0.15">
      <c r="A7440" s="23" t="str">
        <f>HYPERLINK("https://www.spark-marketing.ru/Card/Person/4350020", "ПАО ""КУЗБАССЭНЕРГОСБЫТ""")</f>
        <v>ПАО "КУЗБАССЭНЕРГОСБЫТ"</v>
      </c>
      <c r="B7440" s="24" t="s">
        <v>6941</v>
      </c>
      <c r="C7440" s="28" t="s">
        <v>52</v>
      </c>
      <c r="D7440" s="22" t="s">
        <v>9556</v>
      </c>
      <c r="E7440" s="22" t="s">
        <v>144</v>
      </c>
      <c r="F7440" s="23" t="str">
        <f>HYPERLINK("https://www.spark-marketing.ru/Card/Lot/70857457", "Оказание охранных услуг")</f>
        <v>Оказание охранных услуг</v>
      </c>
      <c r="G7440" s="22" t="s">
        <v>367</v>
      </c>
      <c r="H7440" s="22" t="s">
        <v>881</v>
      </c>
      <c r="I7440" s="26">
        <v>43613.492696759298</v>
      </c>
      <c r="J7440" s="23" t="str">
        <f>HYPERLINK("https://www.spark-marketing.ru/Card/Person/4544539", "ООО ЧОП ""ГРАНИТ""")</f>
        <v>ООО ЧОП "ГРАНИТ"</v>
      </c>
      <c r="K7440" s="24" t="s">
        <v>9557</v>
      </c>
      <c r="L7440" s="28" t="s">
        <v>52</v>
      </c>
      <c r="M7440" s="28" t="s">
        <v>52</v>
      </c>
      <c r="N7440" s="28" t="s">
        <v>52</v>
      </c>
    </row>
    <row r="7441" spans="1:14" hidden="1" outlineLevel="1" x14ac:dyDescent="0.15">
      <c r="A7441" s="23" t="str">
        <f>HYPERLINK("https://www.spark-marketing.ru/Card/Person/4350020", "ПАО ""КУЗБАССЭНЕРГОСБЫТ""")</f>
        <v>ПАО "КУЗБАССЭНЕРГОСБЫТ"</v>
      </c>
      <c r="B7441" s="24" t="s">
        <v>6941</v>
      </c>
      <c r="C7441" s="28" t="s">
        <v>52</v>
      </c>
      <c r="D7441" s="22" t="s">
        <v>9556</v>
      </c>
      <c r="E7441" s="22" t="s">
        <v>144</v>
      </c>
      <c r="F7441" s="23" t="str">
        <f>HYPERLINK("https://www.spark-marketing.ru/Card/Lot/70857457", "Оказание охранных услуг")</f>
        <v>Оказание охранных услуг</v>
      </c>
      <c r="G7441" s="22" t="s">
        <v>367</v>
      </c>
      <c r="H7441" s="22" t="s">
        <v>881</v>
      </c>
      <c r="I7441" s="26">
        <v>43613.492696759298</v>
      </c>
      <c r="J7441" s="23" t="str">
        <f>HYPERLINK("https://www.spark-marketing.ru/Card/Person/6081848", "ООО ЧОП ""БАРС""")</f>
        <v>ООО ЧОП "БАРС"</v>
      </c>
      <c r="K7441" s="24" t="s">
        <v>9558</v>
      </c>
      <c r="L7441" s="28" t="s">
        <v>52</v>
      </c>
      <c r="M7441" s="28" t="s">
        <v>52</v>
      </c>
      <c r="N7441" s="28" t="s">
        <v>52</v>
      </c>
    </row>
    <row r="7442" spans="1:14" hidden="1" outlineLevel="1" x14ac:dyDescent="0.15">
      <c r="A7442" s="23" t="str">
        <f>HYPERLINK("https://www.spark-marketing.ru/Card/Person/4350020", "ПАО ""КУЗБАССЭНЕРГОСБЫТ""")</f>
        <v>ПАО "КУЗБАССЭНЕРГОСБЫТ"</v>
      </c>
      <c r="B7442" s="24" t="s">
        <v>6941</v>
      </c>
      <c r="C7442" s="28" t="s">
        <v>52</v>
      </c>
      <c r="D7442" s="22" t="s">
        <v>9556</v>
      </c>
      <c r="E7442" s="22" t="s">
        <v>144</v>
      </c>
      <c r="F7442" s="23" t="str">
        <f>HYPERLINK("https://www.spark-marketing.ru/Card/Lot/70857457", "Оказание охранных услуг")</f>
        <v>Оказание охранных услуг</v>
      </c>
      <c r="G7442" s="22" t="s">
        <v>367</v>
      </c>
      <c r="H7442" s="22" t="s">
        <v>881</v>
      </c>
      <c r="I7442" s="26">
        <v>43613.492696759298</v>
      </c>
      <c r="J7442" s="23" t="str">
        <f>HYPERLINK("https://www.spark-marketing.ru/Card/Person/355179", "ООО ЧОП ""ЩИТ ПЛЮС""")</f>
        <v>ООО ЧОП "ЩИТ ПЛЮС"</v>
      </c>
      <c r="K7442" s="24" t="s">
        <v>9559</v>
      </c>
      <c r="L7442" s="22" t="s">
        <v>10</v>
      </c>
      <c r="M7442" s="28" t="s">
        <v>52</v>
      </c>
      <c r="N7442" s="28" t="s">
        <v>52</v>
      </c>
    </row>
    <row r="7443" spans="1:14" x14ac:dyDescent="0.15">
      <c r="A7443" s="23" t="str">
        <f>HYPERLINK("https://www.spark-marketing.ru/Card/Person/1012917", "МБДОУ № 20 Г. АЗОВА")</f>
        <v>МБДОУ № 20 Г. АЗОВА</v>
      </c>
      <c r="B7443" s="24" t="s">
        <v>9560</v>
      </c>
      <c r="C7443" s="25">
        <v>14305</v>
      </c>
      <c r="D7443" s="22" t="s">
        <v>9561</v>
      </c>
      <c r="E7443" s="22" t="s">
        <v>9562</v>
      </c>
      <c r="F7443" s="23" t="str">
        <f>HYPERLINK("https://www.spark-marketing.ru/Card/Lot/70862487", "Установка камер видеонаблюдения")</f>
        <v>Установка камер видеонаблюдения</v>
      </c>
      <c r="G7443" s="22" t="s">
        <v>402</v>
      </c>
      <c r="H7443" s="22" t="s">
        <v>4950</v>
      </c>
      <c r="I7443" s="26">
        <v>43613.461111111101</v>
      </c>
      <c r="J7443" s="28" t="s">
        <v>52</v>
      </c>
      <c r="K7443" s="28" t="s">
        <v>52</v>
      </c>
      <c r="L7443" s="28" t="s">
        <v>52</v>
      </c>
      <c r="M7443" s="28" t="s">
        <v>52</v>
      </c>
      <c r="N7443" s="28" t="s">
        <v>52</v>
      </c>
    </row>
    <row r="7444" spans="1:14" x14ac:dyDescent="0.2">
      <c r="A7444" s="23" t="str">
        <f>HYPERLINK("https://www.spark-marketing.ru/Card/Person/50720", "ГБУЗ ""МГОБ № 62 ДЗМ""")</f>
        <v>ГБУЗ "МГОБ № 62 ДЗМ"</v>
      </c>
      <c r="B7444" s="24" t="s">
        <v>9563</v>
      </c>
      <c r="C7444" s="25">
        <v>111090.91</v>
      </c>
      <c r="D7444" s="22" t="s">
        <v>9564</v>
      </c>
      <c r="E7444" s="22" t="s">
        <v>9565</v>
      </c>
      <c r="F7444" s="23" t="str">
        <f>HYPERLINK("https://www.spark-marketing.ru/Card/Lot/70866201", "Закупка у единственного поставщика на оказание Охранных услуг")</f>
        <v>Закупка у единственного поставщика на оказание Охранных услуг</v>
      </c>
      <c r="G7444" s="22" t="s">
        <v>50</v>
      </c>
      <c r="H7444" s="22" t="s">
        <v>51</v>
      </c>
      <c r="I7444" s="26">
        <v>43613.458969907399</v>
      </c>
      <c r="J7444" s="23" t="str">
        <f>HYPERLINK("https://www.spark-marketing.ru/Card/Person/4368305", "ФГКУ ""УВО ВНГ РОССИИ ПО МОСКОВСКОЙ ОБЛАСТИ""")</f>
        <v>ФГКУ "УВО ВНГ РОССИИ ПО МОСКОВСКОЙ ОБЛАСТИ"</v>
      </c>
      <c r="K7444" s="24" t="s">
        <v>9566</v>
      </c>
      <c r="L7444" s="28" t="s">
        <v>52</v>
      </c>
      <c r="M7444" s="25">
        <v>111090.91</v>
      </c>
      <c r="N7444" s="27">
        <v>0</v>
      </c>
    </row>
    <row r="7445" spans="1:14" x14ac:dyDescent="0.15">
      <c r="A7445" s="23" t="str">
        <f>HYPERLINK("https://www.spark-marketing.ru/Card/Person/4345935", "ДЕПАРТАМЕНТ СМОЛЕНСКОЙ ОБЛАСТИ ПО ЗДРАВООХРАНЕНИЮ")</f>
        <v>ДЕПАРТАМЕНТ СМОЛЕНСКОЙ ОБЛАСТИ ПО ЗДРАВООХРАНЕНИЮ</v>
      </c>
      <c r="B7445" s="24" t="s">
        <v>1449</v>
      </c>
      <c r="C7445" s="25">
        <v>134208</v>
      </c>
      <c r="D7445" s="22" t="s">
        <v>9567</v>
      </c>
      <c r="E7445" s="22" t="s">
        <v>53</v>
      </c>
      <c r="F7445" s="23" t="str">
        <f>HYPERLINK("https://www.spark-marketing.ru/Card/Lot/70864593", "(0247-аэф/тк) Поставка лекарственных препаратов (Беклометазон+Формотерол)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f>
        <v>(0247-аэф/тк) Поставка лекарственных препаратов (Беклометазон+Формотерол)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v>
      </c>
      <c r="G7445" s="22" t="s">
        <v>956</v>
      </c>
      <c r="H7445" s="22" t="s">
        <v>1451</v>
      </c>
      <c r="I7445" s="26">
        <v>43613.432638888902</v>
      </c>
      <c r="J7445" s="23" t="str">
        <f>HYPERLINK("https://www.spark-marketing.ru/Card/Person/503084", "ООО ""ФАРМ-ИННОВАЦИИ""")</f>
        <v>ООО "ФАРМ-ИННОВАЦИИ"</v>
      </c>
      <c r="K7445" s="24" t="s">
        <v>2054</v>
      </c>
      <c r="L7445" s="22" t="s">
        <v>10</v>
      </c>
      <c r="M7445" s="28" t="s">
        <v>52</v>
      </c>
      <c r="N7445" s="28" t="s">
        <v>52</v>
      </c>
    </row>
    <row r="7446" spans="1:14" x14ac:dyDescent="0.15">
      <c r="A7446" s="23" t="str">
        <f>HYPERLINK("https://www.spark-marketing.ru/Card/Person/4345935", "ДЕПАРТАМЕНТ СМОЛЕНСКОЙ ОБЛАСТИ ПО ЗДРАВООХРАНЕНИЮ")</f>
        <v>ДЕПАРТАМЕНТ СМОЛЕНСКОЙ ОБЛАСТИ ПО ЗДРАВООХРАНЕНИЮ</v>
      </c>
      <c r="B7446" s="24" t="s">
        <v>1449</v>
      </c>
      <c r="C7446" s="25">
        <v>2761092.18</v>
      </c>
      <c r="D7446" s="22" t="s">
        <v>9568</v>
      </c>
      <c r="E7446" s="22" t="s">
        <v>53</v>
      </c>
      <c r="F7446" s="23" t="str">
        <f>HYPERLINK("https://www.spark-marketing.ru/Card/Lot/70867671", "(0246-аэф/тк) Поставка лекарственных препаратов (Агалсидаза альфа)для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f>
        <v>(0246-аэф/тк) Поставка лекарственных препаратов (Агалсидаза альфа)для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v>
      </c>
      <c r="G7446" s="22" t="s">
        <v>956</v>
      </c>
      <c r="H7446" s="22" t="s">
        <v>1451</v>
      </c>
      <c r="I7446" s="26">
        <v>43613.431944444397</v>
      </c>
      <c r="J7446" s="23" t="str">
        <f>HYPERLINK("https://www.spark-marketing.ru/Card/Person/501107", "ЗАО ""ФАРМАЦИЯ""")</f>
        <v>ЗАО "ФАРМАЦИЯ"</v>
      </c>
      <c r="K7446" s="24" t="s">
        <v>9569</v>
      </c>
      <c r="L7446" s="22" t="s">
        <v>10</v>
      </c>
      <c r="M7446" s="28" t="s">
        <v>52</v>
      </c>
      <c r="N7446" s="28" t="s">
        <v>52</v>
      </c>
    </row>
    <row r="7447" spans="1:14" x14ac:dyDescent="0.15">
      <c r="A7447" s="23" t="str">
        <f>HYPERLINK("https://www.spark-marketing.ru/Card/Person/4345935", "ДЕПАРТАМЕНТ СМОЛЕНСКОЙ ОБЛАСТИ ПО ЗДРАВООХРАНЕНИЮ")</f>
        <v>ДЕПАРТАМЕНТ СМОЛЕНСКОЙ ОБЛАСТИ ПО ЗДРАВООХРАНЕНИЮ</v>
      </c>
      <c r="B7447" s="24" t="s">
        <v>1449</v>
      </c>
      <c r="C7447" s="25">
        <v>1692326.4</v>
      </c>
      <c r="D7447" s="22" t="s">
        <v>9570</v>
      </c>
      <c r="E7447" s="22" t="s">
        <v>53</v>
      </c>
      <c r="F7447" s="23" t="str">
        <f>HYPERLINK("https://www.spark-marketing.ru/Card/Lot/70867248", "(0245-аэф/тк) Поставка лекарственных препаратов (Абиратерон)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отпуска...")</f>
        <v>(0245-аэф/тк) Поставка лекарственных препаратов (Абиратерон)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отпуска...</v>
      </c>
      <c r="G7447" s="22" t="s">
        <v>956</v>
      </c>
      <c r="H7447" s="22" t="s">
        <v>1451</v>
      </c>
      <c r="I7447" s="26">
        <v>43613.431944444397</v>
      </c>
      <c r="J7447" s="23" t="str">
        <f>HYPERLINK("https://www.spark-marketing.ru/Card/Person/259919", "ООО ""БИОФАРМ""")</f>
        <v>ООО "БИОФАРМ"</v>
      </c>
      <c r="K7447" s="24" t="s">
        <v>2230</v>
      </c>
      <c r="L7447" s="28" t="s">
        <v>52</v>
      </c>
      <c r="M7447" s="28" t="s">
        <v>52</v>
      </c>
      <c r="N7447" s="28" t="s">
        <v>52</v>
      </c>
    </row>
    <row r="7448" spans="1:14" ht="12.75" hidden="1" outlineLevel="1" x14ac:dyDescent="0.2">
      <c r="A7448" s="23" t="str">
        <f>HYPERLINK("https://www.spark-marketing.ru/Card/Person/4345935", "ДЕПАРТАМЕНТ СМОЛЕНСКОЙ ОБЛАСТИ ПО ЗДРАВООХРАНЕНИЮ")</f>
        <v>ДЕПАРТАМЕНТ СМОЛЕНСКОЙ ОБЛАСТИ ПО ЗДРАВООХРАНЕНИЮ</v>
      </c>
      <c r="B7448" s="24" t="s">
        <v>1449</v>
      </c>
      <c r="C7448" s="25">
        <v>1692326.4</v>
      </c>
      <c r="D7448" s="22" t="s">
        <v>9570</v>
      </c>
      <c r="E7448" s="22" t="s">
        <v>53</v>
      </c>
      <c r="F7448" s="23" t="str">
        <f>HYPERLINK("https://www.spark-marketing.ru/Card/Lot/70867248", "(0245-аэф/тк) Поставка лекарственных препаратов (Абиратерон)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отпуска...")</f>
        <v>(0245-аэф/тк) Поставка лекарственных препаратов (Абиратерон)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отпуска...</v>
      </c>
      <c r="G7448" s="22" t="s">
        <v>956</v>
      </c>
      <c r="H7448" s="22" t="s">
        <v>1451</v>
      </c>
      <c r="I7448" s="26">
        <v>43613.431944444397</v>
      </c>
      <c r="J7448" s="23" t="str">
        <f>HYPERLINK("https://www.spark-marketing.ru/Card/Person/259919", "ООО ""БИОФАРМ""")</f>
        <v>ООО "БИОФАРМ"</v>
      </c>
      <c r="K7448" s="24" t="s">
        <v>2230</v>
      </c>
      <c r="L7448" s="22" t="s">
        <v>10</v>
      </c>
      <c r="M7448" s="25">
        <v>1683864.77</v>
      </c>
      <c r="N7448" s="27">
        <v>4.9999988181948828E-3</v>
      </c>
    </row>
    <row r="7449" spans="1:14" x14ac:dyDescent="0.2">
      <c r="A7449" s="23" t="str">
        <f>HYPERLINK("https://www.spark-marketing.ru/Card/Person/50720", "ГБУЗ ""МГОБ № 62 ДЗМ""")</f>
        <v>ГБУЗ "МГОБ № 62 ДЗМ"</v>
      </c>
      <c r="B7449" s="24" t="s">
        <v>9563</v>
      </c>
      <c r="C7449" s="25">
        <v>111090.91</v>
      </c>
      <c r="D7449" s="22" t="s">
        <v>9571</v>
      </c>
      <c r="E7449" s="22" t="s">
        <v>9565</v>
      </c>
      <c r="F7449" s="23" t="str">
        <f>HYPERLINK("https://www.spark-marketing.ru/Card/Lot/70866168", "Закупка у единственного поставщика на оказание Охранных услуг")</f>
        <v>Закупка у единственного поставщика на оказание Охранных услуг</v>
      </c>
      <c r="G7449" s="22" t="s">
        <v>50</v>
      </c>
      <c r="H7449" s="22" t="s">
        <v>51</v>
      </c>
      <c r="I7449" s="26">
        <v>43613.456250000003</v>
      </c>
      <c r="J7449" s="23" t="str">
        <f>HYPERLINK("https://www.spark-marketing.ru/Card/Person/4368305", "ФГКУ ""УВО ВНГ РОССИИ ПО МОСКОВСКОЙ ОБЛАСТИ""")</f>
        <v>ФГКУ "УВО ВНГ РОССИИ ПО МОСКОВСКОЙ ОБЛАСТИ"</v>
      </c>
      <c r="K7449" s="24" t="s">
        <v>9566</v>
      </c>
      <c r="L7449" s="28" t="s">
        <v>52</v>
      </c>
      <c r="M7449" s="25">
        <v>111090.91</v>
      </c>
      <c r="N7449" s="27">
        <v>0</v>
      </c>
    </row>
    <row r="7450" spans="1:14" x14ac:dyDescent="0.15">
      <c r="A7450" s="23" t="str">
        <f>HYPERLINK("https://www.spark-marketing.ru/Card/Person/4345935", "ДЕПАРТАМЕНТ СМОЛЕНСКОЙ ОБЛАСТИ ПО ЗДРАВООХРАНЕНИЮ")</f>
        <v>ДЕПАРТАМЕНТ СМОЛЕНСКОЙ ОБЛАСТИ ПО ЗДРАВООХРАНЕНИЮ</v>
      </c>
      <c r="B7450" s="24" t="s">
        <v>1449</v>
      </c>
      <c r="C7450" s="25">
        <v>2326948.7999999998</v>
      </c>
      <c r="D7450" s="22" t="s">
        <v>9572</v>
      </c>
      <c r="E7450" s="22" t="s">
        <v>53</v>
      </c>
      <c r="F7450" s="23" t="str">
        <f>HYPERLINK("https://www.spark-marketing.ru/Card/Lot/70867636", "(0244-аэф/тк) Поставка лекарственных препаратов (Абиратерон)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отпуска...")</f>
        <v>(0244-аэф/тк) Поставка лекарственных препаратов (Абиратерон)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отпуска...</v>
      </c>
      <c r="G7450" s="22" t="s">
        <v>956</v>
      </c>
      <c r="H7450" s="22" t="s">
        <v>1451</v>
      </c>
      <c r="I7450" s="26">
        <v>43613.431944444397</v>
      </c>
      <c r="J7450" s="23" t="str">
        <f>HYPERLINK("https://www.spark-marketing.ru/Card/Person/259919", "ООО ""БИОФАРМ""")</f>
        <v>ООО "БИОФАРМ"</v>
      </c>
      <c r="K7450" s="24" t="s">
        <v>2230</v>
      </c>
      <c r="L7450" s="28" t="s">
        <v>52</v>
      </c>
      <c r="M7450" s="28" t="s">
        <v>52</v>
      </c>
      <c r="N7450" s="28" t="s">
        <v>52</v>
      </c>
    </row>
    <row r="7451" spans="1:14" ht="12.75" hidden="1" outlineLevel="1" x14ac:dyDescent="0.2">
      <c r="A7451" s="23" t="str">
        <f>HYPERLINK("https://www.spark-marketing.ru/Card/Person/4345935", "ДЕПАРТАМЕНТ СМОЛЕНСКОЙ ОБЛАСТИ ПО ЗДРАВООХРАНЕНИЮ")</f>
        <v>ДЕПАРТАМЕНТ СМОЛЕНСКОЙ ОБЛАСТИ ПО ЗДРАВООХРАНЕНИЮ</v>
      </c>
      <c r="B7451" s="24" t="s">
        <v>1449</v>
      </c>
      <c r="C7451" s="25">
        <v>2326948.7999999998</v>
      </c>
      <c r="D7451" s="22" t="s">
        <v>9572</v>
      </c>
      <c r="E7451" s="22" t="s">
        <v>53</v>
      </c>
      <c r="F7451" s="23" t="str">
        <f>HYPERLINK("https://www.spark-marketing.ru/Card/Lot/70867636", "(0244-аэф/тк) Поставка лекарственных препаратов (Абиратерон)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отпуска...")</f>
        <v>(0244-аэф/тк) Поставка лекарственных препаратов (Абиратерон)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отпуска...</v>
      </c>
      <c r="G7451" s="22" t="s">
        <v>956</v>
      </c>
      <c r="H7451" s="22" t="s">
        <v>1451</v>
      </c>
      <c r="I7451" s="26">
        <v>43613.431944444397</v>
      </c>
      <c r="J7451" s="23" t="str">
        <f>HYPERLINK("https://www.spark-marketing.ru/Card/Person/259919", "ООО ""БИОФАРМ""")</f>
        <v>ООО "БИОФАРМ"</v>
      </c>
      <c r="K7451" s="24" t="s">
        <v>2230</v>
      </c>
      <c r="L7451" s="22" t="s">
        <v>10</v>
      </c>
      <c r="M7451" s="25">
        <v>2315314.06</v>
      </c>
      <c r="N7451" s="27">
        <v>4.9999982810107384E-3</v>
      </c>
    </row>
    <row r="7452" spans="1:14" x14ac:dyDescent="0.15">
      <c r="A7452" s="23" t="str">
        <f>HYPERLINK("https://www.spark-marketing.ru/Card/Person/5898177", "АО АНГАРСКАЯ НЕФТЕХИМИЧЕСКАЯ КОМПАНИЯ")</f>
        <v>АО АНГАРСКАЯ НЕФТЕХИМИЧЕСКАЯ КОМПАНИЯ</v>
      </c>
      <c r="B7452" s="28" t="s">
        <v>52</v>
      </c>
      <c r="C7452" s="28" t="s">
        <v>52</v>
      </c>
      <c r="D7452" s="22" t="s">
        <v>9573</v>
      </c>
      <c r="E7452" s="22" t="s">
        <v>9574</v>
      </c>
      <c r="F7452" s="23" t="str">
        <f>HYPERLINK("https://www.spark-marketing.ru/Card/Lot/70860986", "Системы видеонаблюдения и аудиоконтроля за станциями инженеров АСУ ТП и операторов установок АО «АНХК»")</f>
        <v>Системы видеонаблюдения и аудиоконтроля за станциями инженеров АСУ ТП и операторов установок АО «АНХК»</v>
      </c>
      <c r="G7452" s="22" t="s">
        <v>52</v>
      </c>
      <c r="H7452" s="22" t="s">
        <v>52</v>
      </c>
      <c r="I7452" s="26">
        <v>43613.376388888901</v>
      </c>
      <c r="J7452" s="28" t="s">
        <v>52</v>
      </c>
      <c r="K7452" s="28" t="s">
        <v>52</v>
      </c>
      <c r="L7452" s="28" t="s">
        <v>52</v>
      </c>
      <c r="M7452" s="28" t="s">
        <v>52</v>
      </c>
      <c r="N7452" s="28" t="s">
        <v>52</v>
      </c>
    </row>
    <row r="7453" spans="1:14" x14ac:dyDescent="0.15">
      <c r="A7453" s="23" t="str">
        <f>HYPERLINK("https://www.spark-marketing.ru/Card/Person/74323", "АГЕНТСТВО МИРОВЫХ СУДЕЙ АО")</f>
        <v>АГЕНТСТВО МИРОВЫХ СУДЕЙ АО</v>
      </c>
      <c r="B7453" s="24" t="s">
        <v>1903</v>
      </c>
      <c r="C7453" s="25">
        <v>773467.2</v>
      </c>
      <c r="D7453" s="22" t="s">
        <v>9575</v>
      </c>
      <c r="E7453" s="22" t="s">
        <v>59</v>
      </c>
      <c r="F7453" s="23" t="str">
        <f>HYPERLINK("https://www.spark-marketing.ru/Card/Lot/70866863", "Выполнение работ по монтажу охранной сигнализации с кнопкой тревожной сигнализации и системой охранного видеонаблюдения в помещениях судебных участков Устьянского судебного района, расположенных по адресу: Архангельская область, Устьянский район, п. ...")</f>
        <v>Выполнение работ по монтажу охранной сигнализации с кнопкой тревожной сигнализации и системой охранного видеонаблюдения в помещениях судебных участков Устьянского судебного района, расположенных по адресу: Архангельская область, Устьянский район, п. ...</v>
      </c>
      <c r="G7453" s="22" t="s">
        <v>674</v>
      </c>
      <c r="H7453" s="22" t="s">
        <v>674</v>
      </c>
      <c r="I7453" s="26">
        <v>43613.414583333302</v>
      </c>
      <c r="J7453" s="28" t="s">
        <v>52</v>
      </c>
      <c r="K7453" s="28" t="s">
        <v>52</v>
      </c>
      <c r="L7453" s="28" t="s">
        <v>52</v>
      </c>
      <c r="M7453" s="28" t="s">
        <v>52</v>
      </c>
      <c r="N7453" s="28" t="s">
        <v>52</v>
      </c>
    </row>
    <row r="7454" spans="1:14" ht="12.75" hidden="1" outlineLevel="1" x14ac:dyDescent="0.2">
      <c r="A7454" s="23" t="str">
        <f>HYPERLINK("https://www.spark-marketing.ru/Card/Person/74323", "АГЕНТСТВО МИРОВЫХ СУДЕЙ АО")</f>
        <v>АГЕНТСТВО МИРОВЫХ СУДЕЙ АО</v>
      </c>
      <c r="B7454" s="24" t="s">
        <v>1903</v>
      </c>
      <c r="C7454" s="25">
        <v>773467.2</v>
      </c>
      <c r="D7454" s="22" t="s">
        <v>9575</v>
      </c>
      <c r="E7454" s="22" t="s">
        <v>59</v>
      </c>
      <c r="F7454" s="23" t="str">
        <f>HYPERLINK("https://www.spark-marketing.ru/Card/Lot/70866863", "Выполнение работ по монтажу охранной сигнализации с кнопкой тревожной сигнализации и системой охранного видеонаблюдения в помещениях судебных участков Устьянского судебного района, расположенных по адресу: Архангельская область, Устьянский район, п. ...")</f>
        <v>Выполнение работ по монтажу охранной сигнализации с кнопкой тревожной сигнализации и системой охранного видеонаблюдения в помещениях судебных участков Устьянского судебного района, расположенных по адресу: Архангельская область, Устьянский район, п. ...</v>
      </c>
      <c r="G7454" s="22" t="s">
        <v>674</v>
      </c>
      <c r="H7454" s="22" t="s">
        <v>674</v>
      </c>
      <c r="I7454" s="26">
        <v>43613.414583333302</v>
      </c>
      <c r="J7454" s="23" t="str">
        <f>HYPERLINK("https://www.spark-marketing.ru/Card/Person/61561", "ООО ""СТИ""")</f>
        <v>ООО "СТИ"</v>
      </c>
      <c r="K7454" s="24" t="s">
        <v>9576</v>
      </c>
      <c r="L7454" s="22" t="s">
        <v>10</v>
      </c>
      <c r="M7454" s="25">
        <v>552265.31999999995</v>
      </c>
      <c r="N7454" s="27">
        <v>0.28598740838654824</v>
      </c>
    </row>
    <row r="7455" spans="1:14" hidden="1" outlineLevel="1" x14ac:dyDescent="0.2">
      <c r="A7455" s="23" t="str">
        <f>HYPERLINK("https://www.spark-marketing.ru/Card/Person/74323", "АГЕНТСТВО МИРОВЫХ СУДЕЙ АО")</f>
        <v>АГЕНТСТВО МИРОВЫХ СУДЕЙ АО</v>
      </c>
      <c r="B7455" s="24" t="s">
        <v>1903</v>
      </c>
      <c r="C7455" s="25">
        <v>773467.2</v>
      </c>
      <c r="D7455" s="22" t="s">
        <v>9575</v>
      </c>
      <c r="E7455" s="22" t="s">
        <v>59</v>
      </c>
      <c r="F7455" s="23" t="str">
        <f>HYPERLINK("https://www.spark-marketing.ru/Card/Lot/70866863", "Выполнение работ по монтажу охранной сигнализации с кнопкой тревожной сигнализации и системой охранного видеонаблюдения в помещениях судебных участков Устьянского судебного района, расположенных по адресу: Архангельская область, Устьянский район, п. ...")</f>
        <v>Выполнение работ по монтажу охранной сигнализации с кнопкой тревожной сигнализации и системой охранного видеонаблюдения в помещениях судебных участков Устьянского судебного района, расположенных по адресу: Архангельская область, Устьянский район, п. ...</v>
      </c>
      <c r="G7455" s="22" t="s">
        <v>674</v>
      </c>
      <c r="H7455" s="22" t="s">
        <v>674</v>
      </c>
      <c r="I7455" s="26">
        <v>43613.414583333302</v>
      </c>
      <c r="J7455" s="23" t="str">
        <f>HYPERLINK("https://www.spark-marketing.ru/Card/Person/275692", "ООО ""ТЭЛМА""")</f>
        <v>ООО "ТЭЛМА"</v>
      </c>
      <c r="K7455" s="24" t="s">
        <v>1907</v>
      </c>
      <c r="L7455" s="28" t="s">
        <v>52</v>
      </c>
      <c r="M7455" s="25">
        <v>560000</v>
      </c>
      <c r="N7455" s="27">
        <v>0.27598739804351108</v>
      </c>
    </row>
    <row r="7456" spans="1:14" hidden="1" outlineLevel="1" x14ac:dyDescent="0.2">
      <c r="A7456" s="23" t="str">
        <f>HYPERLINK("https://www.spark-marketing.ru/Card/Person/74323", "АГЕНТСТВО МИРОВЫХ СУДЕЙ АО")</f>
        <v>АГЕНТСТВО МИРОВЫХ СУДЕЙ АО</v>
      </c>
      <c r="B7456" s="24" t="s">
        <v>1903</v>
      </c>
      <c r="C7456" s="25">
        <v>773467.2</v>
      </c>
      <c r="D7456" s="22" t="s">
        <v>9575</v>
      </c>
      <c r="E7456" s="22" t="s">
        <v>59</v>
      </c>
      <c r="F7456" s="23" t="str">
        <f>HYPERLINK("https://www.spark-marketing.ru/Card/Lot/70866863", "Выполнение работ по монтажу охранной сигнализации с кнопкой тревожной сигнализации и системой охранного видеонаблюдения в помещениях судебных участков Устьянского судебного района, расположенных по адресу: Архангельская область, Устьянский район, п. ...")</f>
        <v>Выполнение работ по монтажу охранной сигнализации с кнопкой тревожной сигнализации и системой охранного видеонаблюдения в помещениях судебных участков Устьянского судебного района, расположенных по адресу: Архангельская область, Устьянский район, п. ...</v>
      </c>
      <c r="G7456" s="22" t="s">
        <v>674</v>
      </c>
      <c r="H7456" s="22" t="s">
        <v>674</v>
      </c>
      <c r="I7456" s="26">
        <v>43613.414583333302</v>
      </c>
      <c r="J7456" s="23" t="str">
        <f>HYPERLINK("https://www.spark-marketing.ru/Card/Person/491712", "ООО ""БЛИСС""")</f>
        <v>ООО "БЛИСС"</v>
      </c>
      <c r="K7456" s="24" t="s">
        <v>5827</v>
      </c>
      <c r="L7456" s="28" t="s">
        <v>52</v>
      </c>
      <c r="M7456" s="25">
        <v>556132.66</v>
      </c>
      <c r="N7456" s="27">
        <v>0.28098740321502969</v>
      </c>
    </row>
    <row r="7457" spans="1:14" x14ac:dyDescent="0.15">
      <c r="A7457" s="23" t="str">
        <f>HYPERLINK("https://www.spark-marketing.ru/Card/Person/8160", "ВЕРХОВНЫЙ СУД ЧУВАШСКОЙ РЕСПУБЛИКИ")</f>
        <v>ВЕРХОВНЫЙ СУД ЧУВАШСКОЙ РЕСПУБЛИКИ</v>
      </c>
      <c r="B7457" s="24" t="s">
        <v>9577</v>
      </c>
      <c r="C7457" s="25">
        <v>293526.86</v>
      </c>
      <c r="D7457" s="22" t="s">
        <v>9578</v>
      </c>
      <c r="E7457" s="22" t="s">
        <v>68</v>
      </c>
      <c r="F7457" s="23" t="str">
        <f>HYPERLINK("https://www.spark-marketing.ru/Card/Lot/70862146", "Оказание услуг по осуществлению пропускного и    внутриобъектового    режимов    и    охране имущества")</f>
        <v>Оказание услуг по осуществлению пропускного и    внутриобъектового    режимов    и    охране имущества</v>
      </c>
      <c r="G7457" s="22" t="s">
        <v>1137</v>
      </c>
      <c r="H7457" s="22" t="s">
        <v>1138</v>
      </c>
      <c r="I7457" s="26">
        <v>43613.378472222197</v>
      </c>
      <c r="J7457" s="23" t="str">
        <f>HYPERLINK("https://www.spark-marketing.ru/Card/Person/2119882", "Филиал ФГУП ""Охрана"" Росгвардии по Чувашской Республике")</f>
        <v>Филиал ФГУП "Охрана" Росгвардии по Чувашской Республике</v>
      </c>
      <c r="K7457" s="24" t="s">
        <v>779</v>
      </c>
      <c r="L7457" s="22" t="s">
        <v>10</v>
      </c>
      <c r="M7457" s="28" t="s">
        <v>52</v>
      </c>
      <c r="N7457" s="28" t="s">
        <v>52</v>
      </c>
    </row>
    <row r="7458" spans="1:14" x14ac:dyDescent="0.15">
      <c r="A7458" s="23" t="str">
        <f>HYPERLINK("https://www.spark-marketing.ru/Card/Person/130854", "МБУ ""МФЦ ГОРОДСКОГО ОКРУГА СОЛНЕЧНОГОРСК""")</f>
        <v>МБУ "МФЦ ГОРОДСКОГО ОКРУГА СОЛНЕЧНОГОРСК"</v>
      </c>
      <c r="B7458" s="24" t="s">
        <v>9579</v>
      </c>
      <c r="C7458" s="25">
        <v>21000</v>
      </c>
      <c r="D7458" s="22" t="s">
        <v>9580</v>
      </c>
      <c r="E7458" s="22" t="s">
        <v>103</v>
      </c>
      <c r="F7458" s="23" t="str">
        <f>HYPERLINK("https://www.spark-marketing.ru/Card/Lot/70860749", "Оказание услуг по техническому обслуживанию сигнализации в помещениях по хранению государственной защищенной полиграфической продукции для нужд Муниципального бюджетного учреждения «Многофункциональный центр предоставления государственных и муниципал...")</f>
        <v>Оказание услуг по техническому обслуживанию сигнализации в помещениях по хранению государственной защищенной полиграфической продукции для нужд Муниципального бюджетного учреждения «Многофункциональный центр предоставления государственных и муниципал...</v>
      </c>
      <c r="G7458" s="22" t="s">
        <v>50</v>
      </c>
      <c r="H7458" s="22" t="s">
        <v>265</v>
      </c>
      <c r="I7458" s="26">
        <v>43613.389108796298</v>
      </c>
      <c r="J7458" s="28" t="s">
        <v>52</v>
      </c>
      <c r="K7458" s="28" t="s">
        <v>52</v>
      </c>
      <c r="L7458" s="28" t="s">
        <v>52</v>
      </c>
      <c r="M7458" s="28" t="s">
        <v>52</v>
      </c>
      <c r="N7458" s="28" t="s">
        <v>52</v>
      </c>
    </row>
    <row r="7459" spans="1:14" x14ac:dyDescent="0.2">
      <c r="A7459" s="23" t="str">
        <f>HYPERLINK("https://www.spark-marketing.ru/Card/Person/1756201", "ЛГ МАУ ""ЦК ""НЕФТЯНИК""")</f>
        <v>ЛГ МАУ "ЦК "НЕФТЯНИК"</v>
      </c>
      <c r="B7459" s="24" t="s">
        <v>9581</v>
      </c>
      <c r="C7459" s="25">
        <v>2981448</v>
      </c>
      <c r="D7459" s="22" t="s">
        <v>9582</v>
      </c>
      <c r="E7459" s="22" t="s">
        <v>9583</v>
      </c>
      <c r="F7459" s="23" t="str">
        <f>HYPERLINK("https://www.spark-marketing.ru/Card/Lot/70857396", "Оказание охранных услуг на территории учреждений")</f>
        <v>Оказание охранных услуг на территории учреждений</v>
      </c>
      <c r="G7459" s="22" t="s">
        <v>119</v>
      </c>
      <c r="H7459" s="22" t="s">
        <v>119</v>
      </c>
      <c r="I7459" s="26">
        <v>43613.410937499997</v>
      </c>
      <c r="J7459" s="23" t="str">
        <f>HYPERLINK("https://www.spark-marketing.ru/Card/Person/91651", "ООО ""ЧОП ""БАЗАЛЬТ""")</f>
        <v>ООО "ЧОП "БАЗАЛЬТ"</v>
      </c>
      <c r="K7459" s="24" t="s">
        <v>9584</v>
      </c>
      <c r="L7459" s="28" t="s">
        <v>52</v>
      </c>
      <c r="M7459" s="25">
        <v>2981448</v>
      </c>
      <c r="N7459" s="27">
        <v>0</v>
      </c>
    </row>
    <row r="7460" spans="1:14" x14ac:dyDescent="0.15">
      <c r="A7460" s="23" t="str">
        <f t="shared" ref="A7460:A7467" si="309">HYPERLINK("https://www.spark-marketing.ru/Card/Person/236517", "ТОСП Королёвское УСЗН")</f>
        <v>ТОСП Королёвское УСЗН</v>
      </c>
      <c r="B7460" s="24" t="s">
        <v>9585</v>
      </c>
      <c r="C7460" s="25">
        <v>641521.73</v>
      </c>
      <c r="D7460" s="22" t="s">
        <v>9586</v>
      </c>
      <c r="E7460" s="22" t="s">
        <v>59</v>
      </c>
      <c r="F7460" s="23" t="str">
        <f t="shared" ref="F7460:F7467" si="310">HYPERLINK("https://www.spark-marketing.ru/Card/Lot/70859832", "Монтаж и пуско-наладка автоматической установки охранной сигнализации (АУОС) в помещениях Королёвского управления социальной защиты населения")</f>
        <v>Монтаж и пуско-наладка автоматической установки охранной сигнализации (АУОС) в помещениях Королёвского управления социальной защиты населения</v>
      </c>
      <c r="G7460" s="22" t="s">
        <v>50</v>
      </c>
      <c r="H7460" s="22" t="s">
        <v>938</v>
      </c>
      <c r="I7460" s="26">
        <v>43613.354166666701</v>
      </c>
      <c r="J7460" s="28" t="s">
        <v>52</v>
      </c>
      <c r="K7460" s="28" t="s">
        <v>52</v>
      </c>
      <c r="L7460" s="28" t="s">
        <v>52</v>
      </c>
      <c r="M7460" s="28" t="s">
        <v>52</v>
      </c>
      <c r="N7460" s="28" t="s">
        <v>52</v>
      </c>
    </row>
    <row r="7461" spans="1:14" hidden="1" outlineLevel="1" x14ac:dyDescent="0.2">
      <c r="A7461" s="23" t="str">
        <f t="shared" si="309"/>
        <v>ТОСП Королёвское УСЗН</v>
      </c>
      <c r="B7461" s="24" t="s">
        <v>9585</v>
      </c>
      <c r="C7461" s="25">
        <v>641521.73</v>
      </c>
      <c r="D7461" s="22" t="s">
        <v>9586</v>
      </c>
      <c r="E7461" s="22" t="s">
        <v>59</v>
      </c>
      <c r="F7461" s="23" t="str">
        <f t="shared" si="310"/>
        <v>Монтаж и пуско-наладка автоматической установки охранной сигнализации (АУОС) в помещениях Королёвского управления социальной защиты населения</v>
      </c>
      <c r="G7461" s="22" t="s">
        <v>50</v>
      </c>
      <c r="H7461" s="22" t="s">
        <v>938</v>
      </c>
      <c r="I7461" s="26">
        <v>43613.354166666701</v>
      </c>
      <c r="J7461" s="23" t="str">
        <f>HYPERLINK("https://www.spark-marketing.ru/Card/Person/6262263", "ООО ""АЛЫЙ ПАРУС ТЕХНО ПРО""")</f>
        <v>ООО "АЛЫЙ ПАРУС ТЕХНО ПРО"</v>
      </c>
      <c r="K7461" s="24" t="s">
        <v>1749</v>
      </c>
      <c r="L7461" s="28" t="s">
        <v>52</v>
      </c>
      <c r="M7461" s="25">
        <v>237533.65</v>
      </c>
      <c r="N7461" s="27">
        <v>0.62973405437100316</v>
      </c>
    </row>
    <row r="7462" spans="1:14" ht="12.75" hidden="1" outlineLevel="1" x14ac:dyDescent="0.2">
      <c r="A7462" s="23" t="str">
        <f t="shared" si="309"/>
        <v>ТОСП Королёвское УСЗН</v>
      </c>
      <c r="B7462" s="24" t="s">
        <v>9585</v>
      </c>
      <c r="C7462" s="25">
        <v>641521.73</v>
      </c>
      <c r="D7462" s="22" t="s">
        <v>9586</v>
      </c>
      <c r="E7462" s="22" t="s">
        <v>59</v>
      </c>
      <c r="F7462" s="23" t="str">
        <f t="shared" si="310"/>
        <v>Монтаж и пуско-наладка автоматической установки охранной сигнализации (АУОС) в помещениях Королёвского управления социальной защиты населения</v>
      </c>
      <c r="G7462" s="22" t="s">
        <v>50</v>
      </c>
      <c r="H7462" s="22" t="s">
        <v>938</v>
      </c>
      <c r="I7462" s="26">
        <v>43613.354166666701</v>
      </c>
      <c r="J7462" s="23" t="str">
        <f>HYPERLINK("https://www.spark-marketing.ru/Card/Person/4624048", "ООО ПМК СБ ""ЛАГРОС""")</f>
        <v>ООО ПМК СБ "ЛАГРОС"</v>
      </c>
      <c r="K7462" s="24" t="s">
        <v>9587</v>
      </c>
      <c r="L7462" s="22" t="s">
        <v>10</v>
      </c>
      <c r="M7462" s="25">
        <v>227910.82</v>
      </c>
      <c r="N7462" s="27">
        <v>0.64473406068411743</v>
      </c>
    </row>
    <row r="7463" spans="1:14" hidden="1" outlineLevel="1" x14ac:dyDescent="0.2">
      <c r="A7463" s="23" t="str">
        <f t="shared" si="309"/>
        <v>ТОСП Королёвское УСЗН</v>
      </c>
      <c r="B7463" s="24" t="s">
        <v>9585</v>
      </c>
      <c r="C7463" s="25">
        <v>641521.73</v>
      </c>
      <c r="D7463" s="22" t="s">
        <v>9586</v>
      </c>
      <c r="E7463" s="22" t="s">
        <v>59</v>
      </c>
      <c r="F7463" s="23" t="str">
        <f t="shared" si="310"/>
        <v>Монтаж и пуско-наладка автоматической установки охранной сигнализации (АУОС) в помещениях Королёвского управления социальной защиты населения</v>
      </c>
      <c r="G7463" s="22" t="s">
        <v>50</v>
      </c>
      <c r="H7463" s="22" t="s">
        <v>938</v>
      </c>
      <c r="I7463" s="26">
        <v>43613.354166666701</v>
      </c>
      <c r="J7463" s="23" t="str">
        <f>HYPERLINK("https://www.spark-marketing.ru/Card/Person/709702", "ООО ""МОНС""")</f>
        <v>ООО "МОНС"</v>
      </c>
      <c r="K7463" s="24" t="s">
        <v>9588</v>
      </c>
      <c r="L7463" s="28" t="s">
        <v>52</v>
      </c>
      <c r="M7463" s="25">
        <v>400000</v>
      </c>
      <c r="N7463" s="27">
        <v>0.37648253941452614</v>
      </c>
    </row>
    <row r="7464" spans="1:14" hidden="1" outlineLevel="1" x14ac:dyDescent="0.2">
      <c r="A7464" s="23" t="str">
        <f t="shared" si="309"/>
        <v>ТОСП Королёвское УСЗН</v>
      </c>
      <c r="B7464" s="24" t="s">
        <v>9585</v>
      </c>
      <c r="C7464" s="25">
        <v>641521.73</v>
      </c>
      <c r="D7464" s="22" t="s">
        <v>9586</v>
      </c>
      <c r="E7464" s="22" t="s">
        <v>59</v>
      </c>
      <c r="F7464" s="23" t="str">
        <f t="shared" si="310"/>
        <v>Монтаж и пуско-наладка автоматической установки охранной сигнализации (АУОС) в помещениях Королёвского управления социальной защиты населения</v>
      </c>
      <c r="G7464" s="22" t="s">
        <v>50</v>
      </c>
      <c r="H7464" s="22" t="s">
        <v>938</v>
      </c>
      <c r="I7464" s="26">
        <v>43613.354166666701</v>
      </c>
      <c r="J7464" s="23" t="str">
        <f>HYPERLINK("https://www.spark-marketing.ru/Card/Person/6581370", "ООО ""СТРОЙ ТРЕЙД""")</f>
        <v>ООО "СТРОЙ ТРЕЙД"</v>
      </c>
      <c r="K7464" s="24" t="s">
        <v>9589</v>
      </c>
      <c r="L7464" s="28" t="s">
        <v>52</v>
      </c>
      <c r="M7464" s="25">
        <v>550000</v>
      </c>
      <c r="N7464" s="27">
        <v>0.14266349169497344</v>
      </c>
    </row>
    <row r="7465" spans="1:14" hidden="1" outlineLevel="1" x14ac:dyDescent="0.2">
      <c r="A7465" s="23" t="str">
        <f t="shared" si="309"/>
        <v>ТОСП Королёвское УСЗН</v>
      </c>
      <c r="B7465" s="24" t="s">
        <v>9585</v>
      </c>
      <c r="C7465" s="25">
        <v>641521.73</v>
      </c>
      <c r="D7465" s="22" t="s">
        <v>9586</v>
      </c>
      <c r="E7465" s="22" t="s">
        <v>59</v>
      </c>
      <c r="F7465" s="23" t="str">
        <f t="shared" si="310"/>
        <v>Монтаж и пуско-наладка автоматической установки охранной сигнализации (АУОС) в помещениях Королёвского управления социальной защиты населения</v>
      </c>
      <c r="G7465" s="22" t="s">
        <v>50</v>
      </c>
      <c r="H7465" s="22" t="s">
        <v>938</v>
      </c>
      <c r="I7465" s="26">
        <v>43613.354166666701</v>
      </c>
      <c r="J7465" s="23" t="str">
        <f>HYPERLINK("https://www.spark-marketing.ru/Card/Person/138497", "ООО ""ПТС""")</f>
        <v>ООО "ПТС"</v>
      </c>
      <c r="K7465" s="24" t="s">
        <v>9590</v>
      </c>
      <c r="L7465" s="28" t="s">
        <v>52</v>
      </c>
      <c r="M7465" s="25">
        <v>420000</v>
      </c>
      <c r="N7465" s="27">
        <v>0.34530666638525243</v>
      </c>
    </row>
    <row r="7466" spans="1:14" hidden="1" outlineLevel="1" x14ac:dyDescent="0.2">
      <c r="A7466" s="23" t="str">
        <f t="shared" si="309"/>
        <v>ТОСП Королёвское УСЗН</v>
      </c>
      <c r="B7466" s="24" t="s">
        <v>9585</v>
      </c>
      <c r="C7466" s="25">
        <v>641521.73</v>
      </c>
      <c r="D7466" s="22" t="s">
        <v>9586</v>
      </c>
      <c r="E7466" s="22" t="s">
        <v>59</v>
      </c>
      <c r="F7466" s="23" t="str">
        <f t="shared" si="310"/>
        <v>Монтаж и пуско-наладка автоматической установки охранной сигнализации (АУОС) в помещениях Королёвского управления социальной защиты населения</v>
      </c>
      <c r="G7466" s="22" t="s">
        <v>50</v>
      </c>
      <c r="H7466" s="22" t="s">
        <v>938</v>
      </c>
      <c r="I7466" s="26">
        <v>43613.354166666701</v>
      </c>
      <c r="J7466" s="23" t="str">
        <f>HYPERLINK("https://www.spark-marketing.ru/Card/Person/6573275", "ООО ""КВАДЭЛЕКТРО""")</f>
        <v>ООО "КВАДЭЛЕКТРО"</v>
      </c>
      <c r="K7466" s="24" t="s">
        <v>9591</v>
      </c>
      <c r="L7466" s="28" t="s">
        <v>52</v>
      </c>
      <c r="M7466" s="25">
        <v>231118.43</v>
      </c>
      <c r="N7466" s="27">
        <v>0.63973405857974597</v>
      </c>
    </row>
    <row r="7467" spans="1:14" hidden="1" outlineLevel="1" x14ac:dyDescent="0.2">
      <c r="A7467" s="23" t="str">
        <f t="shared" si="309"/>
        <v>ТОСП Королёвское УСЗН</v>
      </c>
      <c r="B7467" s="24" t="s">
        <v>9585</v>
      </c>
      <c r="C7467" s="25">
        <v>641521.73</v>
      </c>
      <c r="D7467" s="22" t="s">
        <v>9586</v>
      </c>
      <c r="E7467" s="22" t="s">
        <v>59</v>
      </c>
      <c r="F7467" s="23" t="str">
        <f t="shared" si="310"/>
        <v>Монтаж и пуско-наладка автоматической установки охранной сигнализации (АУОС) в помещениях Королёвского управления социальной защиты населения</v>
      </c>
      <c r="G7467" s="22" t="s">
        <v>50</v>
      </c>
      <c r="H7467" s="22" t="s">
        <v>938</v>
      </c>
      <c r="I7467" s="26">
        <v>43613.354166666701</v>
      </c>
      <c r="J7467" s="23" t="str">
        <f>HYPERLINK("https://www.spark-marketing.ru/Card/Person/91163", "ООО "" ИМПУЛЬС """)</f>
        <v>ООО " ИМПУЛЬС "</v>
      </c>
      <c r="K7467" s="24" t="s">
        <v>5036</v>
      </c>
      <c r="L7467" s="28" t="s">
        <v>52</v>
      </c>
      <c r="M7467" s="25">
        <v>349800</v>
      </c>
      <c r="N7467" s="27">
        <v>0.45473398071800314</v>
      </c>
    </row>
    <row r="7468" spans="1:14" x14ac:dyDescent="0.15">
      <c r="A7468" s="23" t="str">
        <f>HYPERLINK("https://www.spark-marketing.ru/Card/Person/57737", "ГБУЗ ""ПТД""")</f>
        <v>ГБУЗ "ПТД"</v>
      </c>
      <c r="B7468" s="24" t="s">
        <v>9592</v>
      </c>
      <c r="C7468" s="25">
        <v>9555.06</v>
      </c>
      <c r="D7468" s="22" t="s">
        <v>9593</v>
      </c>
      <c r="E7468" s="22" t="s">
        <v>349</v>
      </c>
      <c r="F7468" s="23" t="str">
        <f>HYPERLINK("https://www.spark-marketing.ru/Card/Lot/70861304", "Оказание услуг по техническому обслуживанию средств охраны для нужд филиала ГБУЗ ПТД (идентификационный номер: 2894-А-ГЗ-Л)")</f>
        <v>Оказание услуг по техническому обслуживанию средств охраны для нужд филиала ГБУЗ ПТД (идентификационный номер: 2894-А-ГЗ-Л)</v>
      </c>
      <c r="G7468" s="22" t="s">
        <v>142</v>
      </c>
      <c r="H7468" s="22" t="s">
        <v>2320</v>
      </c>
      <c r="I7468" s="26">
        <v>43613.363194444399</v>
      </c>
      <c r="J7468" s="23" t="str">
        <f>HYPERLINK("https://www.spark-marketing.ru/Card/Person/365000", "ООО ""ЧОО ""БАЙКАЛ""")</f>
        <v>ООО "ЧОО "БАЙКАЛ"</v>
      </c>
      <c r="K7468" s="24" t="s">
        <v>9594</v>
      </c>
      <c r="L7468" s="22" t="s">
        <v>10</v>
      </c>
      <c r="M7468" s="28" t="s">
        <v>52</v>
      </c>
      <c r="N7468" s="28" t="s">
        <v>52</v>
      </c>
    </row>
    <row r="7469" spans="1:14" x14ac:dyDescent="0.15">
      <c r="A7469" s="23" t="str">
        <f>HYPERLINK("https://www.spark-marketing.ru/Card/Person/55247", "АО ""КОНЦЕРН ""МОРИНСИС - АГАТ""")</f>
        <v>АО "КОНЦЕРН "МОРИНСИС - АГАТ"</v>
      </c>
      <c r="B7469" s="24" t="s">
        <v>9595</v>
      </c>
      <c r="C7469" s="25">
        <v>0</v>
      </c>
      <c r="D7469" s="22" t="s">
        <v>9596</v>
      </c>
      <c r="E7469" s="22" t="s">
        <v>53</v>
      </c>
      <c r="F7469" s="23" t="str">
        <f>HYPERLINK("https://www.spark-marketing.ru/Card/Lot/70896691", "Оказание услуг по охране объектов и территории, расположенных по адресу: г. Москва, ул. 3-я Владимирская, д. 5а")</f>
        <v>Оказание услуг по охране объектов и территории, расположенных по адресу: г. Москва, ул. 3-я Владимирская, д. 5а</v>
      </c>
      <c r="G7469" s="22" t="s">
        <v>55</v>
      </c>
      <c r="H7469" s="22" t="s">
        <v>55</v>
      </c>
      <c r="I7469" s="26">
        <v>43613</v>
      </c>
      <c r="J7469" s="28" t="s">
        <v>52</v>
      </c>
      <c r="K7469" s="28" t="s">
        <v>52</v>
      </c>
      <c r="L7469" s="28" t="s">
        <v>52</v>
      </c>
      <c r="M7469" s="28" t="s">
        <v>52</v>
      </c>
      <c r="N7469" s="28" t="s">
        <v>52</v>
      </c>
    </row>
    <row r="7470" spans="1:14" x14ac:dyDescent="0.15">
      <c r="A7470" s="23" t="str">
        <f>HYPERLINK("https://www.spark-marketing.ru/Card/Person/55247", "АО ""КОНЦЕРН ""МОРИНСИС - АГАТ""")</f>
        <v>АО "КОНЦЕРН "МОРИНСИС - АГАТ"</v>
      </c>
      <c r="B7470" s="24" t="s">
        <v>9595</v>
      </c>
      <c r="C7470" s="25">
        <v>0</v>
      </c>
      <c r="D7470" s="22" t="s">
        <v>9597</v>
      </c>
      <c r="E7470" s="22" t="s">
        <v>53</v>
      </c>
      <c r="F7470" s="23" t="str">
        <f>HYPERLINK("https://www.spark-marketing.ru/Card/Lot/70896702", "Оказание услуг по охране объектов и территории, расположенных по адресу: г. Москва, ул. Авиамоторная, д.51А")</f>
        <v>Оказание услуг по охране объектов и территории, расположенных по адресу: г. Москва, ул. Авиамоторная, д.51А</v>
      </c>
      <c r="G7470" s="22" t="s">
        <v>55</v>
      </c>
      <c r="H7470" s="22" t="s">
        <v>55</v>
      </c>
      <c r="I7470" s="26">
        <v>43613</v>
      </c>
      <c r="J7470" s="28" t="s">
        <v>52</v>
      </c>
      <c r="K7470" s="28" t="s">
        <v>52</v>
      </c>
      <c r="L7470" s="28" t="s">
        <v>52</v>
      </c>
      <c r="M7470" s="28" t="s">
        <v>52</v>
      </c>
      <c r="N7470" s="28" t="s">
        <v>52</v>
      </c>
    </row>
    <row r="7471" spans="1:14" x14ac:dyDescent="0.15">
      <c r="A7471" s="23" t="str">
        <f>HYPERLINK("https://www.spark-marketing.ru/Card/Person/55247", "АО ""КОНЦЕРН ""МОРИНСИС - АГАТ""")</f>
        <v>АО "КОНЦЕРН "МОРИНСИС - АГАТ"</v>
      </c>
      <c r="B7471" s="24" t="s">
        <v>9595</v>
      </c>
      <c r="C7471" s="25">
        <v>0</v>
      </c>
      <c r="D7471" s="22" t="s">
        <v>9598</v>
      </c>
      <c r="E7471" s="22" t="s">
        <v>53</v>
      </c>
      <c r="F7471" s="23" t="str">
        <f>HYPERLINK("https://www.spark-marketing.ru/Card/Lot/70896687", "Оказание услуг по охране объектов и территории, расположенных по адресу: Московская область, Одинцовский район, пос. Жаворонки, ул. Красного воина, д. 12")</f>
        <v>Оказание услуг по охране объектов и территории, расположенных по адресу: Московская область, Одинцовский район, пос. Жаворонки, ул. Красного воина, д. 12</v>
      </c>
      <c r="G7471" s="22" t="s">
        <v>55</v>
      </c>
      <c r="H7471" s="22" t="s">
        <v>55</v>
      </c>
      <c r="I7471" s="26">
        <v>43613</v>
      </c>
      <c r="J7471" s="28" t="s">
        <v>52</v>
      </c>
      <c r="K7471" s="28" t="s">
        <v>52</v>
      </c>
      <c r="L7471" s="28" t="s">
        <v>52</v>
      </c>
      <c r="M7471" s="28" t="s">
        <v>52</v>
      </c>
      <c r="N7471" s="28" t="s">
        <v>52</v>
      </c>
    </row>
    <row r="7472" spans="1:14" x14ac:dyDescent="0.15">
      <c r="A7472" s="23" t="str">
        <f>HYPERLINK("https://www.spark-marketing.ru/Card/Person/55247", "АО ""КОНЦЕРН ""МОРИНСИС - АГАТ""")</f>
        <v>АО "КОНЦЕРН "МОРИНСИС - АГАТ"</v>
      </c>
      <c r="B7472" s="24" t="s">
        <v>9595</v>
      </c>
      <c r="C7472" s="25">
        <v>0</v>
      </c>
      <c r="D7472" s="22" t="s">
        <v>9599</v>
      </c>
      <c r="E7472" s="22" t="s">
        <v>53</v>
      </c>
      <c r="F7472" s="23" t="str">
        <f>HYPERLINK("https://www.spark-marketing.ru/Card/Lot/70896690", "Оказание услуг по охране объектов и территории, расположенных по адресу: г. Москва, ул. Кусковская, д. 4Б")</f>
        <v>Оказание услуг по охране объектов и территории, расположенных по адресу: г. Москва, ул. Кусковская, д. 4Б</v>
      </c>
      <c r="G7472" s="22" t="s">
        <v>55</v>
      </c>
      <c r="H7472" s="22" t="s">
        <v>55</v>
      </c>
      <c r="I7472" s="26">
        <v>43613</v>
      </c>
      <c r="J7472" s="28" t="s">
        <v>52</v>
      </c>
      <c r="K7472" s="28" t="s">
        <v>52</v>
      </c>
      <c r="L7472" s="28" t="s">
        <v>52</v>
      </c>
      <c r="M7472" s="28" t="s">
        <v>52</v>
      </c>
      <c r="N7472" s="28" t="s">
        <v>52</v>
      </c>
    </row>
    <row r="7473" spans="1:14" x14ac:dyDescent="0.15">
      <c r="A7473" s="23" t="str">
        <f>HYPERLINK("https://www.spark-marketing.ru/Card/Person/55247", "АО ""КОНЦЕРН ""МОРИНСИС - АГАТ""")</f>
        <v>АО "КОНЦЕРН "МОРИНСИС - АГАТ"</v>
      </c>
      <c r="B7473" s="24" t="s">
        <v>9595</v>
      </c>
      <c r="C7473" s="25">
        <v>0</v>
      </c>
      <c r="D7473" s="22" t="s">
        <v>9600</v>
      </c>
      <c r="E7473" s="22" t="s">
        <v>53</v>
      </c>
      <c r="F7473" s="23" t="str">
        <f>HYPERLINK("https://www.spark-marketing.ru/Card/Lot/70896692", "Оказание услуг по охране объектов и территории, расположенных по адресу: г. Москва, ул. Пруд Ключики, д. 12 и д. 12, стр.1")</f>
        <v>Оказание услуг по охране объектов и территории, расположенных по адресу: г. Москва, ул. Пруд Ключики, д. 12 и д. 12, стр.1</v>
      </c>
      <c r="G7473" s="22" t="s">
        <v>55</v>
      </c>
      <c r="H7473" s="22" t="s">
        <v>55</v>
      </c>
      <c r="I7473" s="26">
        <v>43613</v>
      </c>
      <c r="J7473" s="28" t="s">
        <v>52</v>
      </c>
      <c r="K7473" s="28" t="s">
        <v>52</v>
      </c>
      <c r="L7473" s="28" t="s">
        <v>52</v>
      </c>
      <c r="M7473" s="28" t="s">
        <v>52</v>
      </c>
      <c r="N7473" s="28" t="s">
        <v>52</v>
      </c>
    </row>
    <row r="7474" spans="1:14" x14ac:dyDescent="0.15">
      <c r="A7474" s="23" t="str">
        <f>HYPERLINK("https://www.spark-marketing.ru/Card/Person/142764", "МАДОУ № 5 ""ПОЛЯНКА"" Г. ЮЖНО-САХАЛИНСКА")</f>
        <v>МАДОУ № 5 "ПОЛЯНКА" Г. ЮЖНО-САХАЛИНСКА</v>
      </c>
      <c r="B7474" s="24" t="s">
        <v>9601</v>
      </c>
      <c r="C7474" s="25">
        <v>2723486</v>
      </c>
      <c r="D7474" s="22" t="s">
        <v>9602</v>
      </c>
      <c r="E7474" s="22" t="s">
        <v>9603</v>
      </c>
      <c r="F7474" s="23" t="str">
        <f>HYPERLINK("https://www.spark-marketing.ru/Card/Lot/70818435", "Установка системы видеонаблюдения в МАДОУ № 5 «Полянка» г.Южно-Сахалинска")</f>
        <v>Установка системы видеонаблюдения в МАДОУ № 5 «Полянка» г.Южно-Сахалинска</v>
      </c>
      <c r="G7474" s="22" t="s">
        <v>69</v>
      </c>
      <c r="H7474" s="22" t="s">
        <v>69</v>
      </c>
      <c r="I7474" s="26">
        <v>43612.804768518501</v>
      </c>
      <c r="J7474" s="28" t="s">
        <v>52</v>
      </c>
      <c r="K7474" s="28" t="s">
        <v>52</v>
      </c>
      <c r="L7474" s="28" t="s">
        <v>52</v>
      </c>
      <c r="M7474" s="28" t="s">
        <v>52</v>
      </c>
      <c r="N7474" s="28" t="s">
        <v>52</v>
      </c>
    </row>
    <row r="7475" spans="1:14" x14ac:dyDescent="0.15">
      <c r="A7475" s="23" t="str">
        <f>HYPERLINK("https://www.spark-marketing.ru/Card/Person/258249", "ГКУ ""ЦГА РД""")</f>
        <v>ГКУ "ЦГА РД"</v>
      </c>
      <c r="B7475" s="24" t="s">
        <v>9604</v>
      </c>
      <c r="C7475" s="25">
        <v>21000</v>
      </c>
      <c r="D7475" s="22" t="s">
        <v>9605</v>
      </c>
      <c r="E7475" s="22" t="s">
        <v>53</v>
      </c>
      <c r="F7475" s="23" t="str">
        <f>HYPERLINK("https://www.spark-marketing.ru/Card/Lot/73730906", "Техническое обслуживание системы видеонаблюдения")</f>
        <v>Техническое обслуживание системы видеонаблюдения</v>
      </c>
      <c r="G7475" s="22" t="s">
        <v>595</v>
      </c>
      <c r="H7475" s="22" t="s">
        <v>3766</v>
      </c>
      <c r="I7475" s="26">
        <v>43613.438888888901</v>
      </c>
      <c r="J7475" s="28" t="s">
        <v>52</v>
      </c>
      <c r="K7475" s="28" t="s">
        <v>52</v>
      </c>
      <c r="L7475" s="28" t="s">
        <v>52</v>
      </c>
      <c r="M7475" s="28" t="s">
        <v>52</v>
      </c>
      <c r="N7475" s="28" t="s">
        <v>52</v>
      </c>
    </row>
    <row r="7476" spans="1:14" x14ac:dyDescent="0.15">
      <c r="A7476" s="23" t="str">
        <f>HYPERLINK("https://www.spark-marketing.ru/Card/Person/153220", "МАДОУ ""ЦРР - ДЕТСКИЙ САД № 92 ""ЛАДУШКИ"" НМР РТ")</f>
        <v>МАДОУ "ЦРР - ДЕТСКИЙ САД № 92 "ЛАДУШКИ" НМР РТ</v>
      </c>
      <c r="B7476" s="24" t="s">
        <v>9606</v>
      </c>
      <c r="C7476" s="25">
        <v>24850</v>
      </c>
      <c r="D7476" s="22" t="s">
        <v>9607</v>
      </c>
      <c r="E7476" s="22" t="s">
        <v>53</v>
      </c>
      <c r="F7476" s="23" t="str">
        <f>HYPERLINK("https://www.spark-marketing.ru/Card/Lot/73731514", "Техническое обслуживание системы видеонаблюдения")</f>
        <v>Техническое обслуживание системы видеонаблюдения</v>
      </c>
      <c r="G7476" s="22" t="s">
        <v>204</v>
      </c>
      <c r="H7476" s="22" t="s">
        <v>824</v>
      </c>
      <c r="I7476" s="26">
        <v>43613.000694444403</v>
      </c>
      <c r="J7476" s="28" t="s">
        <v>52</v>
      </c>
      <c r="K7476" s="28" t="s">
        <v>52</v>
      </c>
      <c r="L7476" s="28" t="s">
        <v>52</v>
      </c>
      <c r="M7476" s="28" t="s">
        <v>52</v>
      </c>
      <c r="N7476" s="28" t="s">
        <v>52</v>
      </c>
    </row>
    <row r="7477" spans="1:14" x14ac:dyDescent="0.15">
      <c r="A7477" s="23" t="str">
        <f>HYPERLINK("https://www.spark-marketing.ru/Card/Person/1320681", "МАОУ СОШ П. ЦЕМЕНТНЫЙ")</f>
        <v>МАОУ СОШ П. ЦЕМЕНТНЫЙ</v>
      </c>
      <c r="B7477" s="24" t="s">
        <v>9608</v>
      </c>
      <c r="C7477" s="25">
        <v>389000</v>
      </c>
      <c r="D7477" s="22" t="s">
        <v>9609</v>
      </c>
      <c r="E7477" s="22" t="s">
        <v>9610</v>
      </c>
      <c r="F7477" s="23" t="str">
        <f>HYPERLINK("https://www.spark-marketing.ru/Card/Lot/70849434", "Приобретение системы видеонаблюдения с установкой")</f>
        <v>Приобретение системы видеонаблюдения с установкой</v>
      </c>
      <c r="G7477" s="22" t="s">
        <v>72</v>
      </c>
      <c r="H7477" s="22" t="s">
        <v>72</v>
      </c>
      <c r="I7477" s="26">
        <v>43612.885127314803</v>
      </c>
      <c r="J7477" s="28" t="s">
        <v>52</v>
      </c>
      <c r="K7477" s="28" t="s">
        <v>52</v>
      </c>
      <c r="L7477" s="28" t="s">
        <v>52</v>
      </c>
      <c r="M7477" s="28" t="s">
        <v>52</v>
      </c>
      <c r="N7477" s="28" t="s">
        <v>52</v>
      </c>
    </row>
    <row r="7478" spans="1:14" x14ac:dyDescent="0.15">
      <c r="A7478" s="23" t="str">
        <f>HYPERLINK("https://www.spark-marketing.ru/Card/Person/104489", "ГУСО ""ЭКСПЛУАТАЦИЯ И ОБСЛУЖИВАНИЕ ЗДАНИЙ""")</f>
        <v>ГУСО "ЭКСПЛУАТАЦИЯ И ОБСЛУЖИВАНИЕ ЗДАНИЙ"</v>
      </c>
      <c r="B7478" s="24" t="s">
        <v>1632</v>
      </c>
      <c r="C7478" s="25">
        <v>197933.33</v>
      </c>
      <c r="D7478" s="22" t="s">
        <v>9611</v>
      </c>
      <c r="E7478" s="22" t="s">
        <v>1634</v>
      </c>
      <c r="F7478" s="23" t="str">
        <f>HYPERLINK("https://www.spark-marketing.ru/Card/Lot/70849476", "Оказание услуг по техническому обеспечению и техническому обслуживанию звуковой, световой и видео аппаратурой  торжественного мероприятия")</f>
        <v>Оказание услуг по техническому обеспечению и техническому обслуживанию звуковой, световой и видео аппаратурой  торжественного мероприятия</v>
      </c>
      <c r="G7478" s="22" t="s">
        <v>80</v>
      </c>
      <c r="H7478" s="22" t="s">
        <v>81</v>
      </c>
      <c r="I7478" s="26">
        <v>43612.810416666704</v>
      </c>
      <c r="J7478" s="23" t="str">
        <f>HYPERLINK("https://www.spark-marketing.ru/Card/Person/545770", "Обычев Олег Владимирович")</f>
        <v>Обычев Олег Владимирович</v>
      </c>
      <c r="K7478" s="24" t="s">
        <v>1635</v>
      </c>
      <c r="L7478" s="22" t="s">
        <v>10</v>
      </c>
      <c r="M7478" s="28" t="s">
        <v>52</v>
      </c>
      <c r="N7478" s="28" t="s">
        <v>52</v>
      </c>
    </row>
    <row r="7479" spans="1:14" x14ac:dyDescent="0.15">
      <c r="A7479" s="23" t="str">
        <f>HYPERLINK("https://www.spark-marketing.ru/Card/Person/1072469", "МКОУ ""ВЕРХ-СУЗУНСКАЯ СОШ""")</f>
        <v>МКОУ "ВЕРХ-СУЗУНСКАЯ СОШ"</v>
      </c>
      <c r="B7479" s="24" t="s">
        <v>9612</v>
      </c>
      <c r="C7479" s="25">
        <v>12500</v>
      </c>
      <c r="D7479" s="22" t="s">
        <v>9613</v>
      </c>
      <c r="E7479" s="22" t="s">
        <v>59</v>
      </c>
      <c r="F7479" s="23" t="str">
        <f>HYPERLINK("https://www.spark-marketing.ru/Card/Lot/70842755", "Оказание услуг по монтажу кнопки тревожной сигнализации")</f>
        <v>Оказание услуг по монтажу кнопки тревожной сигнализации</v>
      </c>
      <c r="G7479" s="22" t="s">
        <v>209</v>
      </c>
      <c r="H7479" s="22" t="s">
        <v>5208</v>
      </c>
      <c r="I7479" s="26">
        <v>43612.788888888899</v>
      </c>
      <c r="J7479" s="28" t="s">
        <v>52</v>
      </c>
      <c r="K7479" s="28" t="s">
        <v>52</v>
      </c>
      <c r="L7479" s="28" t="s">
        <v>52</v>
      </c>
      <c r="M7479" s="28" t="s">
        <v>52</v>
      </c>
      <c r="N7479" s="28" t="s">
        <v>52</v>
      </c>
    </row>
    <row r="7480" spans="1:14" x14ac:dyDescent="0.15">
      <c r="A7480" s="23" t="str">
        <f>HYPERLINK("https://www.spark-marketing.ru/Card/Person/102199", "ПОСЕЛКОВАЯ АДМИНИСТРАЦИЯ СЕРЕБРЯНЫЙ БОР")</f>
        <v>ПОСЕЛКОВАЯ АДМИНИСТРАЦИЯ СЕРЕБРЯНЫЙ БОР</v>
      </c>
      <c r="B7480" s="24" t="s">
        <v>6476</v>
      </c>
      <c r="C7480" s="25">
        <v>300000</v>
      </c>
      <c r="D7480" s="22" t="s">
        <v>9614</v>
      </c>
      <c r="E7480" s="22" t="s">
        <v>84</v>
      </c>
      <c r="F7480" s="23" t="str">
        <f>HYPERLINK("https://www.spark-marketing.ru/Card/Lot/70836477", "Выполнению работ по установке и обслуживание видеокамер на территории муниципального образования городское поселение «Поселок Серебряный Бор»")</f>
        <v>Выполнению работ по установке и обслуживание видеокамер на территории муниципального образования городское поселение «Поселок Серебряный Бор»</v>
      </c>
      <c r="G7480" s="22" t="s">
        <v>424</v>
      </c>
      <c r="H7480" s="22" t="s">
        <v>6478</v>
      </c>
      <c r="I7480" s="26">
        <v>43612.720833333296</v>
      </c>
      <c r="J7480" s="28" t="s">
        <v>52</v>
      </c>
      <c r="K7480" s="28" t="s">
        <v>52</v>
      </c>
      <c r="L7480" s="28" t="s">
        <v>52</v>
      </c>
      <c r="M7480" s="28" t="s">
        <v>52</v>
      </c>
      <c r="N7480" s="28" t="s">
        <v>52</v>
      </c>
    </row>
    <row r="7481" spans="1:14" x14ac:dyDescent="0.15">
      <c r="A7481" s="23" t="str">
        <f t="shared" ref="A7481:A7487" si="311">HYPERLINK("https://www.spark-marketing.ru/Card/Person/1010917", "МБУ ""ЦЕНТРАЛИЗОВАННАЯ БИБЛИОТЕЧНАЯ СИСТЕМА""")</f>
        <v>МБУ "ЦЕНТРАЛИЗОВАННАЯ БИБЛИОТЕЧНАЯ СИСТЕМА"</v>
      </c>
      <c r="B7481" s="24" t="s">
        <v>9615</v>
      </c>
      <c r="C7481" s="25">
        <v>545800</v>
      </c>
      <c r="D7481" s="22" t="s">
        <v>9616</v>
      </c>
      <c r="E7481" s="22" t="s">
        <v>84</v>
      </c>
      <c r="F7481" s="23" t="str">
        <f t="shared" ref="F7481:F7487" si="312">HYPERLINK("https://www.spark-marketing.ru/Card/Lot/70846886", "Выполнение работ по установке видеонаблюдения в Центральной городской библиотеке")</f>
        <v>Выполнение работ по установке видеонаблюдения в Центральной городской библиотеке</v>
      </c>
      <c r="G7481" s="22" t="s">
        <v>119</v>
      </c>
      <c r="H7481" s="22" t="s">
        <v>9617</v>
      </c>
      <c r="I7481" s="26">
        <v>43612.743055555598</v>
      </c>
      <c r="J7481" s="28" t="s">
        <v>52</v>
      </c>
      <c r="K7481" s="28" t="s">
        <v>52</v>
      </c>
      <c r="L7481" s="28" t="s">
        <v>52</v>
      </c>
      <c r="M7481" s="28" t="s">
        <v>52</v>
      </c>
      <c r="N7481" s="28" t="s">
        <v>52</v>
      </c>
    </row>
    <row r="7482" spans="1:14" hidden="1" outlineLevel="1" x14ac:dyDescent="0.2">
      <c r="A7482" s="23" t="str">
        <f t="shared" si="311"/>
        <v>МБУ "ЦЕНТРАЛИЗОВАННАЯ БИБЛИОТЕЧНАЯ СИСТЕМА"</v>
      </c>
      <c r="B7482" s="24" t="s">
        <v>9615</v>
      </c>
      <c r="C7482" s="25">
        <v>545800</v>
      </c>
      <c r="D7482" s="22" t="s">
        <v>9616</v>
      </c>
      <c r="E7482" s="22" t="s">
        <v>84</v>
      </c>
      <c r="F7482" s="23" t="str">
        <f t="shared" si="312"/>
        <v>Выполнение работ по установке видеонаблюдения в Центральной городской библиотеке</v>
      </c>
      <c r="G7482" s="22" t="s">
        <v>119</v>
      </c>
      <c r="H7482" s="22" t="s">
        <v>9617</v>
      </c>
      <c r="I7482" s="26">
        <v>43612.743055555598</v>
      </c>
      <c r="J7482" s="23" t="str">
        <f>HYPERLINK("https://www.spark-marketing.ru/Card/Person/497781", "Чухно Александр Анатольевич")</f>
        <v>Чухно Александр Анатольевич</v>
      </c>
      <c r="K7482" s="24" t="s">
        <v>9618</v>
      </c>
      <c r="L7482" s="28" t="s">
        <v>52</v>
      </c>
      <c r="M7482" s="25">
        <v>415227.85</v>
      </c>
      <c r="N7482" s="27">
        <v>0.23923076218395017</v>
      </c>
    </row>
    <row r="7483" spans="1:14" hidden="1" outlineLevel="1" x14ac:dyDescent="0.2">
      <c r="A7483" s="23" t="str">
        <f t="shared" si="311"/>
        <v>МБУ "ЦЕНТРАЛИЗОВАННАЯ БИБЛИОТЕЧНАЯ СИСТЕМА"</v>
      </c>
      <c r="B7483" s="24" t="s">
        <v>9615</v>
      </c>
      <c r="C7483" s="25">
        <v>545800</v>
      </c>
      <c r="D7483" s="22" t="s">
        <v>9616</v>
      </c>
      <c r="E7483" s="22" t="s">
        <v>84</v>
      </c>
      <c r="F7483" s="23" t="str">
        <f t="shared" si="312"/>
        <v>Выполнение работ по установке видеонаблюдения в Центральной городской библиотеке</v>
      </c>
      <c r="G7483" s="22" t="s">
        <v>119</v>
      </c>
      <c r="H7483" s="22" t="s">
        <v>9617</v>
      </c>
      <c r="I7483" s="26">
        <v>43612.743055555598</v>
      </c>
      <c r="J7483" s="23" t="str">
        <f>HYPERLINK("https://www.spark-marketing.ru/Card/Person/5854539", "ООО ""СИТИОМ""")</f>
        <v>ООО "СИТИОМ"</v>
      </c>
      <c r="K7483" s="24" t="s">
        <v>7204</v>
      </c>
      <c r="L7483" s="28" t="s">
        <v>52</v>
      </c>
      <c r="M7483" s="25">
        <v>513052</v>
      </c>
      <c r="N7483" s="27">
        <v>0.06</v>
      </c>
    </row>
    <row r="7484" spans="1:14" hidden="1" outlineLevel="1" x14ac:dyDescent="0.2">
      <c r="A7484" s="23" t="str">
        <f t="shared" si="311"/>
        <v>МБУ "ЦЕНТРАЛИЗОВАННАЯ БИБЛИОТЕЧНАЯ СИСТЕМА"</v>
      </c>
      <c r="B7484" s="24" t="s">
        <v>9615</v>
      </c>
      <c r="C7484" s="25">
        <v>545800</v>
      </c>
      <c r="D7484" s="22" t="s">
        <v>9616</v>
      </c>
      <c r="E7484" s="22" t="s">
        <v>84</v>
      </c>
      <c r="F7484" s="23" t="str">
        <f t="shared" si="312"/>
        <v>Выполнение работ по установке видеонаблюдения в Центральной городской библиотеке</v>
      </c>
      <c r="G7484" s="22" t="s">
        <v>119</v>
      </c>
      <c r="H7484" s="22" t="s">
        <v>9617</v>
      </c>
      <c r="I7484" s="26">
        <v>43612.743055555598</v>
      </c>
      <c r="J7484" s="23" t="str">
        <f>HYPERLINK("https://www.spark-marketing.ru/Card/Person/4568019", "Старенький Александр Анатольевич")</f>
        <v>Старенький Александр Анатольевич</v>
      </c>
      <c r="K7484" s="24" t="s">
        <v>5392</v>
      </c>
      <c r="L7484" s="28" t="s">
        <v>52</v>
      </c>
      <c r="M7484" s="25">
        <v>458891.85</v>
      </c>
      <c r="N7484" s="27">
        <v>0.15923076218395016</v>
      </c>
    </row>
    <row r="7485" spans="1:14" hidden="1" outlineLevel="1" x14ac:dyDescent="0.2">
      <c r="A7485" s="23" t="str">
        <f t="shared" si="311"/>
        <v>МБУ "ЦЕНТРАЛИЗОВАННАЯ БИБЛИОТЕЧНАЯ СИСТЕМА"</v>
      </c>
      <c r="B7485" s="24" t="s">
        <v>9615</v>
      </c>
      <c r="C7485" s="25">
        <v>545800</v>
      </c>
      <c r="D7485" s="22" t="s">
        <v>9616</v>
      </c>
      <c r="E7485" s="22" t="s">
        <v>84</v>
      </c>
      <c r="F7485" s="23" t="str">
        <f t="shared" si="312"/>
        <v>Выполнение работ по установке видеонаблюдения в Центральной городской библиотеке</v>
      </c>
      <c r="G7485" s="22" t="s">
        <v>119</v>
      </c>
      <c r="H7485" s="22" t="s">
        <v>9617</v>
      </c>
      <c r="I7485" s="26">
        <v>43612.743055555598</v>
      </c>
      <c r="J7485" s="23" t="str">
        <f>HYPERLINK("https://www.spark-marketing.ru/Card/Person/139290", "Парилов Антон Аркадьевич")</f>
        <v>Парилов Антон Аркадьевич</v>
      </c>
      <c r="K7485" s="24" t="s">
        <v>9619</v>
      </c>
      <c r="L7485" s="28" t="s">
        <v>52</v>
      </c>
      <c r="M7485" s="25">
        <v>300000</v>
      </c>
      <c r="N7485" s="27">
        <v>0.45034811286185417</v>
      </c>
    </row>
    <row r="7486" spans="1:14" ht="12.75" hidden="1" outlineLevel="1" x14ac:dyDescent="0.2">
      <c r="A7486" s="23" t="str">
        <f t="shared" si="311"/>
        <v>МБУ "ЦЕНТРАЛИЗОВАННАЯ БИБЛИОТЕЧНАЯ СИСТЕМА"</v>
      </c>
      <c r="B7486" s="24" t="s">
        <v>9615</v>
      </c>
      <c r="C7486" s="25">
        <v>545800</v>
      </c>
      <c r="D7486" s="22" t="s">
        <v>9616</v>
      </c>
      <c r="E7486" s="22" t="s">
        <v>84</v>
      </c>
      <c r="F7486" s="23" t="str">
        <f t="shared" si="312"/>
        <v>Выполнение работ по установке видеонаблюдения в Центральной городской библиотеке</v>
      </c>
      <c r="G7486" s="22" t="s">
        <v>119</v>
      </c>
      <c r="H7486" s="22" t="s">
        <v>9617</v>
      </c>
      <c r="I7486" s="26">
        <v>43612.743055555598</v>
      </c>
      <c r="J7486" s="23" t="str">
        <f>HYPERLINK("https://www.spark-marketing.ru/Card/Person/6578982", "Родичев Максим Юрьевич")</f>
        <v>Родичев Максим Юрьевич</v>
      </c>
      <c r="K7486" s="24" t="s">
        <v>1478</v>
      </c>
      <c r="L7486" s="22" t="s">
        <v>10</v>
      </c>
      <c r="M7486" s="25">
        <v>297271</v>
      </c>
      <c r="N7486" s="27">
        <v>0.45534811286185417</v>
      </c>
    </row>
    <row r="7487" spans="1:14" hidden="1" outlineLevel="1" x14ac:dyDescent="0.2">
      <c r="A7487" s="23" t="str">
        <f t="shared" si="311"/>
        <v>МБУ "ЦЕНТРАЛИЗОВАННАЯ БИБЛИОТЕЧНАЯ СИСТЕМА"</v>
      </c>
      <c r="B7487" s="24" t="s">
        <v>9615</v>
      </c>
      <c r="C7487" s="25">
        <v>545800</v>
      </c>
      <c r="D7487" s="22" t="s">
        <v>9616</v>
      </c>
      <c r="E7487" s="22" t="s">
        <v>84</v>
      </c>
      <c r="F7487" s="23" t="str">
        <f t="shared" si="312"/>
        <v>Выполнение работ по установке видеонаблюдения в Центральной городской библиотеке</v>
      </c>
      <c r="G7487" s="22" t="s">
        <v>119</v>
      </c>
      <c r="H7487" s="22" t="s">
        <v>9617</v>
      </c>
      <c r="I7487" s="26">
        <v>43612.743055555598</v>
      </c>
      <c r="J7487" s="23" t="str">
        <f>HYPERLINK("https://www.spark-marketing.ru/Card/Person/6328869", "ООО ""ТРЕЙДСЕРВИС""")</f>
        <v>ООО "ТРЕЙДСЕРВИС"</v>
      </c>
      <c r="K7487" s="24" t="s">
        <v>9620</v>
      </c>
      <c r="L7487" s="28" t="s">
        <v>52</v>
      </c>
      <c r="M7487" s="25">
        <v>450000</v>
      </c>
      <c r="N7487" s="27">
        <v>0.17552216929278125</v>
      </c>
    </row>
    <row r="7488" spans="1:14" x14ac:dyDescent="0.15">
      <c r="A7488" s="23" t="str">
        <f>HYPERLINK("https://www.spark-marketing.ru/Card/Person/20635", "ФГБУ ""ФКП РОСРЕЕСТРА""")</f>
        <v>ФГБУ "ФКП РОСРЕЕСТРА"</v>
      </c>
      <c r="B7488" s="24" t="s">
        <v>6686</v>
      </c>
      <c r="C7488" s="25">
        <v>1579006</v>
      </c>
      <c r="D7488" s="22" t="s">
        <v>9621</v>
      </c>
      <c r="E7488" s="22" t="s">
        <v>52</v>
      </c>
      <c r="F7488" s="23" t="str">
        <f>HYPERLINK("https://www.spark-marketing.ru/Card/Lot/70848491", "Оказание услуг по охране помещений для нужд филиала ФГБУ ""ФКП Росреестра"" по Алтайскому краю")</f>
        <v>Оказание услуг по охране помещений для нужд филиала ФГБУ "ФКП Росреестра" по Алтайскому краю</v>
      </c>
      <c r="G7488" s="22" t="s">
        <v>428</v>
      </c>
      <c r="H7488" s="22" t="s">
        <v>428</v>
      </c>
      <c r="I7488" s="26">
        <v>43612.732638888898</v>
      </c>
      <c r="J7488" s="28" t="s">
        <v>52</v>
      </c>
      <c r="K7488" s="28" t="s">
        <v>52</v>
      </c>
      <c r="L7488" s="28" t="s">
        <v>52</v>
      </c>
      <c r="M7488" s="28" t="s">
        <v>52</v>
      </c>
      <c r="N7488" s="28" t="s">
        <v>52</v>
      </c>
    </row>
    <row r="7489" spans="1:14" ht="12.75" hidden="1" outlineLevel="1" x14ac:dyDescent="0.2">
      <c r="A7489" s="23" t="str">
        <f>HYPERLINK("https://www.spark-marketing.ru/Card/Person/20635", "ФГБУ ""ФКП РОСРЕЕСТРА""")</f>
        <v>ФГБУ "ФКП РОСРЕЕСТРА"</v>
      </c>
      <c r="B7489" s="24" t="s">
        <v>6686</v>
      </c>
      <c r="C7489" s="25">
        <v>1579006</v>
      </c>
      <c r="D7489" s="22" t="s">
        <v>9621</v>
      </c>
      <c r="E7489" s="22" t="s">
        <v>52</v>
      </c>
      <c r="F7489" s="23" t="str">
        <f>HYPERLINK("https://www.spark-marketing.ru/Card/Lot/70848491", "Оказание услуг по охране помещений для нужд филиала ФГБУ ""ФКП Росреестра"" по Алтайскому краю")</f>
        <v>Оказание услуг по охране помещений для нужд филиала ФГБУ "ФКП Росреестра" по Алтайскому краю</v>
      </c>
      <c r="G7489" s="22" t="s">
        <v>428</v>
      </c>
      <c r="H7489" s="22" t="s">
        <v>428</v>
      </c>
      <c r="I7489" s="26">
        <v>43612.732638888898</v>
      </c>
      <c r="J7489" s="23" t="str">
        <f>HYPERLINK("https://www.spark-marketing.ru/Card/Person/67251", "ООО ЧОП ""АВАНГАРД""")</f>
        <v>ООО ЧОП "АВАНГАРД"</v>
      </c>
      <c r="K7489" s="24" t="s">
        <v>9622</v>
      </c>
      <c r="L7489" s="22" t="s">
        <v>10</v>
      </c>
      <c r="M7489" s="25">
        <v>1239519.71</v>
      </c>
      <c r="N7489" s="27">
        <v>0.215</v>
      </c>
    </row>
    <row r="7490" spans="1:14" hidden="1" outlineLevel="1" x14ac:dyDescent="0.2">
      <c r="A7490" s="23" t="str">
        <f>HYPERLINK("https://www.spark-marketing.ru/Card/Person/20635", "ФГБУ ""ФКП РОСРЕЕСТРА""")</f>
        <v>ФГБУ "ФКП РОСРЕЕСТРА"</v>
      </c>
      <c r="B7490" s="24" t="s">
        <v>6686</v>
      </c>
      <c r="C7490" s="25">
        <v>1579006</v>
      </c>
      <c r="D7490" s="22" t="s">
        <v>9621</v>
      </c>
      <c r="E7490" s="22" t="s">
        <v>52</v>
      </c>
      <c r="F7490" s="23" t="str">
        <f>HYPERLINK("https://www.spark-marketing.ru/Card/Lot/70848491", "Оказание услуг по охране помещений для нужд филиала ФГБУ ""ФКП Росреестра"" по Алтайскому краю")</f>
        <v>Оказание услуг по охране помещений для нужд филиала ФГБУ "ФКП Росреестра" по Алтайскому краю</v>
      </c>
      <c r="G7490" s="22" t="s">
        <v>428</v>
      </c>
      <c r="H7490" s="22" t="s">
        <v>428</v>
      </c>
      <c r="I7490" s="26">
        <v>43612.732638888898</v>
      </c>
      <c r="J7490" s="23" t="str">
        <f>HYPERLINK("https://www.spark-marketing.ru/Card/Person/6441119", "ООО ""БРАТЕЕВО""")</f>
        <v>ООО "БРАТЕЕВО"</v>
      </c>
      <c r="K7490" s="24" t="s">
        <v>6680</v>
      </c>
      <c r="L7490" s="28" t="s">
        <v>52</v>
      </c>
      <c r="M7490" s="25">
        <v>1247414.74</v>
      </c>
      <c r="N7490" s="27">
        <v>0.21</v>
      </c>
    </row>
    <row r="7491" spans="1:14" x14ac:dyDescent="0.15">
      <c r="A7491" s="23" t="str">
        <f t="shared" ref="A7491:A7496" si="313">HYPERLINK("https://www.spark-marketing.ru/Card/Person/19371", "ГБУ ""ЖИЛИЩНИК РАЙОНА КОПТЕВО""")</f>
        <v>ГБУ "ЖИЛИЩНИК РАЙОНА КОПТЕВО"</v>
      </c>
      <c r="B7491" s="24" t="s">
        <v>9623</v>
      </c>
      <c r="C7491" s="25">
        <v>405477.59</v>
      </c>
      <c r="D7491" s="22" t="s">
        <v>9624</v>
      </c>
      <c r="E7491" s="22" t="s">
        <v>84</v>
      </c>
      <c r="F7491" s="23" t="str">
        <f t="shared" ref="F7491:F7496" si="314">HYPERLINK("https://www.spark-marketing.ru/Card/Lot/70846339", "Выполнение работ по установке и подключению системы видеонаблюдения на базе ГБУ «Жилищник района Коптево» по адресу: ул. Новая Ипатовка, вл.3")</f>
        <v>Выполнение работ по установке и подключению системы видеонаблюдения на базе ГБУ «Жилищник района Коптево» по адресу: ул. Новая Ипатовка, вл.3</v>
      </c>
      <c r="G7491" s="22" t="s">
        <v>55</v>
      </c>
      <c r="H7491" s="22" t="s">
        <v>55</v>
      </c>
      <c r="I7491" s="26">
        <v>43612.671527777798</v>
      </c>
      <c r="J7491" s="28" t="s">
        <v>52</v>
      </c>
      <c r="K7491" s="28" t="s">
        <v>52</v>
      </c>
      <c r="L7491" s="28" t="s">
        <v>52</v>
      </c>
      <c r="M7491" s="28" t="s">
        <v>52</v>
      </c>
      <c r="N7491" s="28" t="s">
        <v>52</v>
      </c>
    </row>
    <row r="7492" spans="1:14" ht="12.75" hidden="1" outlineLevel="1" x14ac:dyDescent="0.2">
      <c r="A7492" s="23" t="str">
        <f t="shared" si="313"/>
        <v>ГБУ "ЖИЛИЩНИК РАЙОНА КОПТЕВО"</v>
      </c>
      <c r="B7492" s="24" t="s">
        <v>9623</v>
      </c>
      <c r="C7492" s="25">
        <v>405477.59</v>
      </c>
      <c r="D7492" s="22" t="s">
        <v>9624</v>
      </c>
      <c r="E7492" s="22" t="s">
        <v>84</v>
      </c>
      <c r="F7492" s="23" t="str">
        <f t="shared" si="314"/>
        <v>Выполнение работ по установке и подключению системы видеонаблюдения на базе ГБУ «Жилищник района Коптево» по адресу: ул. Новая Ипатовка, вл.3</v>
      </c>
      <c r="G7492" s="22" t="s">
        <v>55</v>
      </c>
      <c r="H7492" s="22" t="s">
        <v>55</v>
      </c>
      <c r="I7492" s="26">
        <v>43612.671527777798</v>
      </c>
      <c r="J7492" s="23" t="str">
        <f>HYPERLINK("https://www.spark-marketing.ru/Card/Person/6407297", "Бодрова Вера Юрьевна")</f>
        <v>Бодрова Вера Юрьевна</v>
      </c>
      <c r="K7492" s="24" t="s">
        <v>2694</v>
      </c>
      <c r="L7492" s="22" t="s">
        <v>10</v>
      </c>
      <c r="M7492" s="25">
        <v>231018.07</v>
      </c>
      <c r="N7492" s="27">
        <v>0.43025687313570155</v>
      </c>
    </row>
    <row r="7493" spans="1:14" hidden="1" outlineLevel="1" x14ac:dyDescent="0.2">
      <c r="A7493" s="23" t="str">
        <f t="shared" si="313"/>
        <v>ГБУ "ЖИЛИЩНИК РАЙОНА КОПТЕВО"</v>
      </c>
      <c r="B7493" s="24" t="s">
        <v>9623</v>
      </c>
      <c r="C7493" s="25">
        <v>405477.59</v>
      </c>
      <c r="D7493" s="22" t="s">
        <v>9624</v>
      </c>
      <c r="E7493" s="22" t="s">
        <v>84</v>
      </c>
      <c r="F7493" s="23" t="str">
        <f t="shared" si="314"/>
        <v>Выполнение работ по установке и подключению системы видеонаблюдения на базе ГБУ «Жилищник района Коптево» по адресу: ул. Новая Ипатовка, вл.3</v>
      </c>
      <c r="G7493" s="22" t="s">
        <v>55</v>
      </c>
      <c r="H7493" s="22" t="s">
        <v>55</v>
      </c>
      <c r="I7493" s="26">
        <v>43612.671527777798</v>
      </c>
      <c r="J7493" s="23" t="str">
        <f>HYPERLINK("https://www.spark-marketing.ru/Card/Person/6179217", "Морозова Юлия Николаевна")</f>
        <v>Морозова Юлия Николаевна</v>
      </c>
      <c r="K7493" s="24" t="s">
        <v>1059</v>
      </c>
      <c r="L7493" s="28" t="s">
        <v>52</v>
      </c>
      <c r="M7493" s="25">
        <v>233045.46</v>
      </c>
      <c r="N7493" s="27">
        <v>0.42525686807993507</v>
      </c>
    </row>
    <row r="7494" spans="1:14" hidden="1" outlineLevel="1" x14ac:dyDescent="0.2">
      <c r="A7494" s="23" t="str">
        <f t="shared" si="313"/>
        <v>ГБУ "ЖИЛИЩНИК РАЙОНА КОПТЕВО"</v>
      </c>
      <c r="B7494" s="24" t="s">
        <v>9623</v>
      </c>
      <c r="C7494" s="25">
        <v>405477.59</v>
      </c>
      <c r="D7494" s="22" t="s">
        <v>9624</v>
      </c>
      <c r="E7494" s="22" t="s">
        <v>84</v>
      </c>
      <c r="F7494" s="23" t="str">
        <f t="shared" si="314"/>
        <v>Выполнение работ по установке и подключению системы видеонаблюдения на базе ГБУ «Жилищник района Коптево» по адресу: ул. Новая Ипатовка, вл.3</v>
      </c>
      <c r="G7494" s="22" t="s">
        <v>55</v>
      </c>
      <c r="H7494" s="22" t="s">
        <v>55</v>
      </c>
      <c r="I7494" s="26">
        <v>43612.671527777798</v>
      </c>
      <c r="J7494" s="23" t="str">
        <f>HYPERLINK("https://www.spark-marketing.ru/Card/Person/6576832", "ООО ""САРС-СБ""")</f>
        <v>ООО "САРС-СБ"</v>
      </c>
      <c r="K7494" s="24" t="s">
        <v>2728</v>
      </c>
      <c r="L7494" s="28" t="s">
        <v>52</v>
      </c>
      <c r="M7494" s="25">
        <v>265496.7</v>
      </c>
      <c r="N7494" s="27">
        <v>0.34522472622962963</v>
      </c>
    </row>
    <row r="7495" spans="1:14" hidden="1" outlineLevel="1" x14ac:dyDescent="0.2">
      <c r="A7495" s="23" t="str">
        <f t="shared" si="313"/>
        <v>ГБУ "ЖИЛИЩНИК РАЙОНА КОПТЕВО"</v>
      </c>
      <c r="B7495" s="24" t="s">
        <v>9623</v>
      </c>
      <c r="C7495" s="25">
        <v>405477.59</v>
      </c>
      <c r="D7495" s="22" t="s">
        <v>9624</v>
      </c>
      <c r="E7495" s="22" t="s">
        <v>84</v>
      </c>
      <c r="F7495" s="23" t="str">
        <f t="shared" si="314"/>
        <v>Выполнение работ по установке и подключению системы видеонаблюдения на базе ГБУ «Жилищник района Коптево» по адресу: ул. Новая Ипатовка, вл.3</v>
      </c>
      <c r="G7495" s="22" t="s">
        <v>55</v>
      </c>
      <c r="H7495" s="22" t="s">
        <v>55</v>
      </c>
      <c r="I7495" s="26">
        <v>43612.671527777798</v>
      </c>
      <c r="J7495" s="23" t="str">
        <f>HYPERLINK("https://www.spark-marketing.ru/Card/Person/4703308", "Малштейн Владимир Николаевич")</f>
        <v>Малштейн Владимир Николаевич</v>
      </c>
      <c r="K7495" s="24" t="s">
        <v>5353</v>
      </c>
      <c r="L7495" s="28" t="s">
        <v>52</v>
      </c>
      <c r="M7495" s="25">
        <v>241159.02</v>
      </c>
      <c r="N7495" s="27">
        <v>0.40524698294670242</v>
      </c>
    </row>
    <row r="7496" spans="1:14" hidden="1" outlineLevel="1" x14ac:dyDescent="0.2">
      <c r="A7496" s="23" t="str">
        <f t="shared" si="313"/>
        <v>ГБУ "ЖИЛИЩНИК РАЙОНА КОПТЕВО"</v>
      </c>
      <c r="B7496" s="24" t="s">
        <v>9623</v>
      </c>
      <c r="C7496" s="25">
        <v>405477.59</v>
      </c>
      <c r="D7496" s="22" t="s">
        <v>9624</v>
      </c>
      <c r="E7496" s="22" t="s">
        <v>84</v>
      </c>
      <c r="F7496" s="23" t="str">
        <f t="shared" si="314"/>
        <v>Выполнение работ по установке и подключению системы видеонаблюдения на базе ГБУ «Жилищник района Коптево» по адресу: ул. Новая Ипатовка, вл.3</v>
      </c>
      <c r="G7496" s="22" t="s">
        <v>55</v>
      </c>
      <c r="H7496" s="22" t="s">
        <v>55</v>
      </c>
      <c r="I7496" s="26">
        <v>43612.671527777798</v>
      </c>
      <c r="J7496" s="23" t="str">
        <f>HYPERLINK("https://www.spark-marketing.ru/Card/Person/444206", "ООО ""ЭМЛАБ""")</f>
        <v>ООО "ЭМЛАБ"</v>
      </c>
      <c r="K7496" s="24" t="s">
        <v>1585</v>
      </c>
      <c r="L7496" s="28" t="s">
        <v>52</v>
      </c>
      <c r="M7496" s="25">
        <v>403450.2</v>
      </c>
      <c r="N7496" s="27">
        <v>5.0000050557664601E-3</v>
      </c>
    </row>
    <row r="7497" spans="1:14" x14ac:dyDescent="0.15">
      <c r="A7497" s="23" t="str">
        <f>HYPERLINK("https://www.spark-marketing.ru/Card/Person/4343817", "ЮВБХР ФКУ ""СКОУМТС МВД России""")</f>
        <v>ЮВБХР ФКУ "СКОУМТС МВД России"</v>
      </c>
      <c r="B7497" s="24" t="s">
        <v>2500</v>
      </c>
      <c r="C7497" s="25">
        <v>87035</v>
      </c>
      <c r="D7497" s="22" t="s">
        <v>9625</v>
      </c>
      <c r="E7497" s="22" t="s">
        <v>107</v>
      </c>
      <c r="F7497" s="23" t="str">
        <f>HYPERLINK("https://www.spark-marketing.ru/Card/Lot/70843538", "Обслуживание охраннопожарной сигнализации, видеонаблюдения г.Моздок")</f>
        <v>Обслуживание охраннопожарной сигнализации, видеонаблюдения г.Моздок</v>
      </c>
      <c r="G7497" s="22" t="s">
        <v>833</v>
      </c>
      <c r="H7497" s="22" t="s">
        <v>833</v>
      </c>
      <c r="I7497" s="26">
        <v>43612.684722222199</v>
      </c>
      <c r="J7497" s="28" t="s">
        <v>52</v>
      </c>
      <c r="K7497" s="28" t="s">
        <v>52</v>
      </c>
      <c r="L7497" s="28" t="s">
        <v>52</v>
      </c>
      <c r="M7497" s="28" t="s">
        <v>52</v>
      </c>
      <c r="N7497" s="28" t="s">
        <v>52</v>
      </c>
    </row>
    <row r="7498" spans="1:14" ht="12.75" hidden="1" outlineLevel="1" x14ac:dyDescent="0.2">
      <c r="A7498" s="23" t="str">
        <f>HYPERLINK("https://www.spark-marketing.ru/Card/Person/4343817", "ЮВБХР ФКУ ""СКОУМТС МВД России""")</f>
        <v>ЮВБХР ФКУ "СКОУМТС МВД России"</v>
      </c>
      <c r="B7498" s="24" t="s">
        <v>2500</v>
      </c>
      <c r="C7498" s="25">
        <v>87035</v>
      </c>
      <c r="D7498" s="22" t="s">
        <v>9625</v>
      </c>
      <c r="E7498" s="22" t="s">
        <v>107</v>
      </c>
      <c r="F7498" s="23" t="str">
        <f>HYPERLINK("https://www.spark-marketing.ru/Card/Lot/70843538", "Обслуживание охраннопожарной сигнализации, видеонаблюдения г.Моздок")</f>
        <v>Обслуживание охраннопожарной сигнализации, видеонаблюдения г.Моздок</v>
      </c>
      <c r="G7498" s="22" t="s">
        <v>833</v>
      </c>
      <c r="H7498" s="22" t="s">
        <v>833</v>
      </c>
      <c r="I7498" s="26">
        <v>43612.684722222199</v>
      </c>
      <c r="J7498" s="23" t="str">
        <f>HYPERLINK("https://www.spark-marketing.ru/Card/Person/1131589", "ООО ""С.О.В.А.""")</f>
        <v>ООО "С.О.В.А."</v>
      </c>
      <c r="K7498" s="24" t="s">
        <v>8911</v>
      </c>
      <c r="L7498" s="22" t="s">
        <v>10</v>
      </c>
      <c r="M7498" s="25">
        <v>87035</v>
      </c>
      <c r="N7498" s="27">
        <v>0</v>
      </c>
    </row>
    <row r="7499" spans="1:14" hidden="1" outlineLevel="1" x14ac:dyDescent="0.2">
      <c r="A7499" s="23" t="str">
        <f>HYPERLINK("https://www.spark-marketing.ru/Card/Person/4343817", "ЮВБХР ФКУ ""СКОУМТС МВД России""")</f>
        <v>ЮВБХР ФКУ "СКОУМТС МВД России"</v>
      </c>
      <c r="B7499" s="24" t="s">
        <v>2500</v>
      </c>
      <c r="C7499" s="25">
        <v>87035</v>
      </c>
      <c r="D7499" s="22" t="s">
        <v>9625</v>
      </c>
      <c r="E7499" s="22" t="s">
        <v>107</v>
      </c>
      <c r="F7499" s="23" t="str">
        <f>HYPERLINK("https://www.spark-marketing.ru/Card/Lot/70843538", "Обслуживание охраннопожарной сигнализации, видеонаблюдения г.Моздок")</f>
        <v>Обслуживание охраннопожарной сигнализации, видеонаблюдения г.Моздок</v>
      </c>
      <c r="G7499" s="22" t="s">
        <v>833</v>
      </c>
      <c r="H7499" s="22" t="s">
        <v>833</v>
      </c>
      <c r="I7499" s="26">
        <v>43612.684722222199</v>
      </c>
      <c r="J7499" s="23" t="str">
        <f>HYPERLINK("https://www.spark-marketing.ru/Card/Person/148291", "Нартов Сергей Владимирович")</f>
        <v>Нартов Сергей Владимирович</v>
      </c>
      <c r="K7499" s="24" t="s">
        <v>9626</v>
      </c>
      <c r="L7499" s="28" t="s">
        <v>52</v>
      </c>
      <c r="M7499" s="25">
        <v>87035</v>
      </c>
      <c r="N7499" s="27">
        <v>0</v>
      </c>
    </row>
    <row r="7500" spans="1:14" x14ac:dyDescent="0.15">
      <c r="A7500" s="23" t="str">
        <f>HYPERLINK("https://www.spark-marketing.ru/Card/Person/4413150", "ГАПОУ СО ""ППТ""")</f>
        <v>ГАПОУ СО "ППТ"</v>
      </c>
      <c r="B7500" s="24" t="s">
        <v>9627</v>
      </c>
      <c r="C7500" s="25">
        <v>297408.65999999997</v>
      </c>
      <c r="D7500" s="22" t="s">
        <v>9628</v>
      </c>
      <c r="E7500" s="22" t="s">
        <v>49</v>
      </c>
      <c r="F7500" s="23" t="str">
        <f>HYPERLINK("https://www.spark-marketing.ru/Card/Lot/70831855", "Работы по установке системы видеонаблюдения по адресу: г. Первоуральск, ул. Чкалова, д. 17")</f>
        <v>Работы по установке системы видеонаблюдения по адресу: г. Первоуральск, ул. Чкалова, д. 17</v>
      </c>
      <c r="G7500" s="22" t="s">
        <v>72</v>
      </c>
      <c r="H7500" s="22" t="s">
        <v>72</v>
      </c>
      <c r="I7500" s="26">
        <v>43612.695752314801</v>
      </c>
      <c r="J7500" s="28" t="s">
        <v>52</v>
      </c>
      <c r="K7500" s="28" t="s">
        <v>52</v>
      </c>
      <c r="L7500" s="28" t="s">
        <v>52</v>
      </c>
      <c r="M7500" s="28" t="s">
        <v>52</v>
      </c>
      <c r="N7500" s="28" t="s">
        <v>52</v>
      </c>
    </row>
    <row r="7501" spans="1:14" x14ac:dyDescent="0.15">
      <c r="A7501" s="23" t="str">
        <f>HYPERLINK("https://www.spark-marketing.ru/Card/Person/813613", "ОТДЕЛ МВД РОССИИ ПО ЗУБОВО-ПОЛЯНСКОМУ МУНИЦИПАЛЬНОМУ РАЙОНУ")</f>
        <v>ОТДЕЛ МВД РОССИИ ПО ЗУБОВО-ПОЛЯНСКОМУ МУНИЦИПАЛЬНОМУ РАЙОНУ</v>
      </c>
      <c r="B7501" s="24" t="s">
        <v>9629</v>
      </c>
      <c r="C7501" s="25">
        <v>99955</v>
      </c>
      <c r="D7501" s="22" t="s">
        <v>9630</v>
      </c>
      <c r="E7501" s="22" t="s">
        <v>59</v>
      </c>
      <c r="F7501" s="23" t="str">
        <f>HYPERLINK("https://www.spark-marketing.ru/Card/Lot/70835052", "Работы по установке комплекса охранной сигнализации, 1 шт")</f>
        <v>Работы по установке комплекса охранной сигнализации, 1 шт</v>
      </c>
      <c r="G7501" s="22" t="s">
        <v>331</v>
      </c>
      <c r="H7501" s="22" t="s">
        <v>9631</v>
      </c>
      <c r="I7501" s="26">
        <v>43612.704178240703</v>
      </c>
      <c r="J7501" s="28" t="s">
        <v>52</v>
      </c>
      <c r="K7501" s="28" t="s">
        <v>52</v>
      </c>
      <c r="L7501" s="28" t="s">
        <v>52</v>
      </c>
      <c r="M7501" s="28" t="s">
        <v>52</v>
      </c>
      <c r="N7501" s="28" t="s">
        <v>52</v>
      </c>
    </row>
    <row r="7502" spans="1:14" x14ac:dyDescent="0.15">
      <c r="A7502" s="23" t="str">
        <f>HYPERLINK("https://www.spark-marketing.ru/Card/Person/145382", "ОТДЕЛ МВД РОССИИ ПО ТАТИЩЕВСКОМУ РАЙОНУ САРАТОВСКОЙ ОБЛАСТИ")</f>
        <v>ОТДЕЛ МВД РОССИИ ПО ТАТИЩЕВСКОМУ РАЙОНУ САРАТОВСКОЙ ОБЛАСТИ</v>
      </c>
      <c r="B7502" s="24" t="s">
        <v>8140</v>
      </c>
      <c r="C7502" s="25">
        <v>24540</v>
      </c>
      <c r="D7502" s="22" t="s">
        <v>9632</v>
      </c>
      <c r="E7502" s="22" t="s">
        <v>103</v>
      </c>
      <c r="F7502" s="23" t="str">
        <f>HYPERLINK("https://www.spark-marketing.ru/Card/Lot/70832404", "Оказание услуг по техническому обслуживанию системы видеонаблюденя, 1 усл. ед")</f>
        <v>Оказание услуг по техническому обслуживанию системы видеонаблюденя, 1 усл. ед</v>
      </c>
      <c r="G7502" s="22" t="s">
        <v>80</v>
      </c>
      <c r="H7502" s="22" t="s">
        <v>8142</v>
      </c>
      <c r="I7502" s="26">
        <v>43612.673287037003</v>
      </c>
      <c r="J7502" s="28" t="s">
        <v>52</v>
      </c>
      <c r="K7502" s="28" t="s">
        <v>52</v>
      </c>
      <c r="L7502" s="28" t="s">
        <v>52</v>
      </c>
      <c r="M7502" s="28" t="s">
        <v>52</v>
      </c>
      <c r="N7502" s="28" t="s">
        <v>52</v>
      </c>
    </row>
    <row r="7503" spans="1:14" x14ac:dyDescent="0.15">
      <c r="A7503" s="23" t="str">
        <f>HYPERLINK("https://www.spark-marketing.ru/Card/Person/7466", "АДМИНИСТРАЦИЯ ГОРОДСКОГО ОКРУГА ГОРОД АГИДЕЛЬ РЕСПУБЛИКИ БАШКОРТОСТАН")</f>
        <v>АДМИНИСТРАЦИЯ ГОРОДСКОГО ОКРУГА ГОРОД АГИДЕЛЬ РЕСПУБЛИКИ БАШКОРТОСТАН</v>
      </c>
      <c r="B7503" s="24" t="s">
        <v>9633</v>
      </c>
      <c r="C7503" s="25">
        <v>186000</v>
      </c>
      <c r="D7503" s="22" t="s">
        <v>9634</v>
      </c>
      <c r="E7503" s="22" t="s">
        <v>52</v>
      </c>
      <c r="F7503" s="23" t="str">
        <f>HYPERLINK("https://www.spark-marketing.ru/Card/Lot/70845566", "Оказание охранных услуг (объезд,инспектирование) территории находящихся по адресу: 452920, Республика Башкортостан, город Агидель, ул. Берлин№№ 8,9,10,11,12,15")</f>
        <v>Оказание охранных услуг (объезд,инспектирование) территории находящихся по адресу: 452920, Республика Башкортостан, город Агидель, ул. Берлин№№ 8,9,10,11,12,15</v>
      </c>
      <c r="G7503" s="22" t="s">
        <v>100</v>
      </c>
      <c r="H7503" s="22" t="s">
        <v>9635</v>
      </c>
      <c r="I7503" s="26">
        <v>43612.679861111101</v>
      </c>
      <c r="J7503" s="23" t="str">
        <f>HYPERLINK("https://www.spark-marketing.ru/Card/Person/291120", "ООО ЧОО ""КАЗАЧЬЯ ОХРАНА ЯГУАР""")</f>
        <v>ООО ЧОО "КАЗАЧЬЯ ОХРАНА ЯГУАР"</v>
      </c>
      <c r="K7503" s="24" t="s">
        <v>9636</v>
      </c>
      <c r="L7503" s="22" t="s">
        <v>10</v>
      </c>
      <c r="M7503" s="28" t="s">
        <v>52</v>
      </c>
      <c r="N7503" s="28" t="s">
        <v>52</v>
      </c>
    </row>
    <row r="7504" spans="1:14" x14ac:dyDescent="0.15">
      <c r="A7504" s="23" t="str">
        <f>HYPERLINK("https://www.spark-marketing.ru/Card/Person/4413150", "ГАПОУ СО ""ППТ""")</f>
        <v>ГАПОУ СО "ППТ"</v>
      </c>
      <c r="B7504" s="24" t="s">
        <v>9627</v>
      </c>
      <c r="C7504" s="25">
        <v>547957.98</v>
      </c>
      <c r="D7504" s="22" t="s">
        <v>9637</v>
      </c>
      <c r="E7504" s="22" t="s">
        <v>49</v>
      </c>
      <c r="F7504" s="23" t="str">
        <f>HYPERLINK("https://www.spark-marketing.ru/Card/Lot/70830103", "Работы по установке системы видеонаблюдения и системы контроля и управления доступом по адресу: г. Первоуральск, ул. Гагарина, д. 77")</f>
        <v>Работы по установке системы видеонаблюдения и системы контроля и управления доступом по адресу: г. Первоуральск, ул. Гагарина, д. 77</v>
      </c>
      <c r="G7504" s="22" t="s">
        <v>72</v>
      </c>
      <c r="H7504" s="22" t="s">
        <v>72</v>
      </c>
      <c r="I7504" s="26">
        <v>43612.696562500001</v>
      </c>
      <c r="J7504" s="28" t="s">
        <v>52</v>
      </c>
      <c r="K7504" s="28" t="s">
        <v>52</v>
      </c>
      <c r="L7504" s="28" t="s">
        <v>52</v>
      </c>
      <c r="M7504" s="28" t="s">
        <v>52</v>
      </c>
      <c r="N7504" s="28" t="s">
        <v>52</v>
      </c>
    </row>
    <row r="7505" spans="1:14" x14ac:dyDescent="0.15">
      <c r="A7505" s="23" t="str">
        <f>HYPERLINK("https://www.spark-marketing.ru/Card/Person/65060", "ГБУЗ РК ""СГБ""")</f>
        <v>ГБУЗ РК "СГБ"</v>
      </c>
      <c r="B7505" s="24" t="s">
        <v>9638</v>
      </c>
      <c r="C7505" s="25">
        <v>129627</v>
      </c>
      <c r="D7505" s="22" t="s">
        <v>9639</v>
      </c>
      <c r="E7505" s="22" t="s">
        <v>59</v>
      </c>
      <c r="F7505" s="23" t="str">
        <f>HYPERLINK("https://www.spark-marketing.ru/Card/Lot/70843942", "Оказание услуг по установке системы видеонаблюдения - 2")</f>
        <v>Оказание услуг по установке системы видеонаблюдения - 2</v>
      </c>
      <c r="G7505" s="22" t="s">
        <v>538</v>
      </c>
      <c r="H7505" s="22" t="s">
        <v>707</v>
      </c>
      <c r="I7505" s="26">
        <v>43612.7055555556</v>
      </c>
      <c r="J7505" s="28" t="s">
        <v>52</v>
      </c>
      <c r="K7505" s="28" t="s">
        <v>52</v>
      </c>
      <c r="L7505" s="28" t="s">
        <v>52</v>
      </c>
      <c r="M7505" s="28" t="s">
        <v>52</v>
      </c>
      <c r="N7505" s="28" t="s">
        <v>52</v>
      </c>
    </row>
    <row r="7506" spans="1:14" ht="12.75" hidden="1" outlineLevel="1" x14ac:dyDescent="0.2">
      <c r="A7506" s="23" t="str">
        <f>HYPERLINK("https://www.spark-marketing.ru/Card/Person/65060", "ГБУЗ РК ""СГБ""")</f>
        <v>ГБУЗ РК "СГБ"</v>
      </c>
      <c r="B7506" s="24" t="s">
        <v>9638</v>
      </c>
      <c r="C7506" s="25">
        <v>129627</v>
      </c>
      <c r="D7506" s="22" t="s">
        <v>9639</v>
      </c>
      <c r="E7506" s="22" t="s">
        <v>59</v>
      </c>
      <c r="F7506" s="23" t="str">
        <f>HYPERLINK("https://www.spark-marketing.ru/Card/Lot/70843942", "Оказание услуг по установке системы видеонаблюдения - 2")</f>
        <v>Оказание услуг по установке системы видеонаблюдения - 2</v>
      </c>
      <c r="G7506" s="22" t="s">
        <v>538</v>
      </c>
      <c r="H7506" s="22" t="s">
        <v>707</v>
      </c>
      <c r="I7506" s="26">
        <v>43612.7055555556</v>
      </c>
      <c r="J7506" s="23" t="str">
        <f>HYPERLINK("https://www.spark-marketing.ru/Card/Person/5891112", "ООО ""СТРОЙ-МОНТАЖ""")</f>
        <v>ООО "СТРОЙ-МОНТАЖ"</v>
      </c>
      <c r="K7506" s="24" t="s">
        <v>9640</v>
      </c>
      <c r="L7506" s="22" t="s">
        <v>10</v>
      </c>
      <c r="M7506" s="25">
        <v>80000</v>
      </c>
      <c r="N7506" s="27">
        <v>0.38284462341950365</v>
      </c>
    </row>
    <row r="7507" spans="1:14" hidden="1" outlineLevel="1" x14ac:dyDescent="0.2">
      <c r="A7507" s="23" t="str">
        <f>HYPERLINK("https://www.spark-marketing.ru/Card/Person/65060", "ГБУЗ РК ""СГБ""")</f>
        <v>ГБУЗ РК "СГБ"</v>
      </c>
      <c r="B7507" s="24" t="s">
        <v>9638</v>
      </c>
      <c r="C7507" s="25">
        <v>129627</v>
      </c>
      <c r="D7507" s="22" t="s">
        <v>9639</v>
      </c>
      <c r="E7507" s="22" t="s">
        <v>59</v>
      </c>
      <c r="F7507" s="23" t="str">
        <f>HYPERLINK("https://www.spark-marketing.ru/Card/Lot/70843942", "Оказание услуг по установке системы видеонаблюдения - 2")</f>
        <v>Оказание услуг по установке системы видеонаблюдения - 2</v>
      </c>
      <c r="G7507" s="22" t="s">
        <v>538</v>
      </c>
      <c r="H7507" s="22" t="s">
        <v>707</v>
      </c>
      <c r="I7507" s="26">
        <v>43612.7055555556</v>
      </c>
      <c r="J7507" s="23" t="str">
        <f>HYPERLINK("https://www.spark-marketing.ru/Card/Person/4851179", "Коршунов Александр Александрович")</f>
        <v>Коршунов Александр Александрович</v>
      </c>
      <c r="K7507" s="24" t="s">
        <v>9641</v>
      </c>
      <c r="L7507" s="28" t="s">
        <v>52</v>
      </c>
      <c r="M7507" s="25">
        <v>92351.86</v>
      </c>
      <c r="N7507" s="27">
        <v>0.28755691329738403</v>
      </c>
    </row>
    <row r="7508" spans="1:14" hidden="1" outlineLevel="1" x14ac:dyDescent="0.2">
      <c r="A7508" s="23" t="str">
        <f>HYPERLINK("https://www.spark-marketing.ru/Card/Person/65060", "ГБУЗ РК ""СГБ""")</f>
        <v>ГБУЗ РК "СГБ"</v>
      </c>
      <c r="B7508" s="24" t="s">
        <v>9638</v>
      </c>
      <c r="C7508" s="25">
        <v>129627</v>
      </c>
      <c r="D7508" s="22" t="s">
        <v>9639</v>
      </c>
      <c r="E7508" s="22" t="s">
        <v>59</v>
      </c>
      <c r="F7508" s="23" t="str">
        <f>HYPERLINK("https://www.spark-marketing.ru/Card/Lot/70843942", "Оказание услуг по установке системы видеонаблюдения - 2")</f>
        <v>Оказание услуг по установке системы видеонаблюдения - 2</v>
      </c>
      <c r="G7508" s="22" t="s">
        <v>538</v>
      </c>
      <c r="H7508" s="22" t="s">
        <v>707</v>
      </c>
      <c r="I7508" s="26">
        <v>43612.7055555556</v>
      </c>
      <c r="J7508" s="23" t="str">
        <f>HYPERLINK("https://www.spark-marketing.ru/Card/Person/217523", "ООО ""ДЕНВИК-СИСТЕМЫ БЕЗОПАСНОСТИ""")</f>
        <v>ООО "ДЕНВИК-СИСТЕМЫ БЕЗОПАСНОСТИ"</v>
      </c>
      <c r="K7508" s="24" t="s">
        <v>9642</v>
      </c>
      <c r="L7508" s="28" t="s">
        <v>52</v>
      </c>
      <c r="M7508" s="25">
        <v>80000</v>
      </c>
      <c r="N7508" s="27">
        <v>0.38284462341950365</v>
      </c>
    </row>
    <row r="7509" spans="1:14" hidden="1" outlineLevel="1" x14ac:dyDescent="0.2">
      <c r="A7509" s="23" t="str">
        <f>HYPERLINK("https://www.spark-marketing.ru/Card/Person/65060", "ГБУЗ РК ""СГБ""")</f>
        <v>ГБУЗ РК "СГБ"</v>
      </c>
      <c r="B7509" s="24" t="s">
        <v>9638</v>
      </c>
      <c r="C7509" s="25">
        <v>129627</v>
      </c>
      <c r="D7509" s="22" t="s">
        <v>9639</v>
      </c>
      <c r="E7509" s="22" t="s">
        <v>59</v>
      </c>
      <c r="F7509" s="23" t="str">
        <f>HYPERLINK("https://www.spark-marketing.ru/Card/Lot/70843942", "Оказание услуг по установке системы видеонаблюдения - 2")</f>
        <v>Оказание услуг по установке системы видеонаблюдения - 2</v>
      </c>
      <c r="G7509" s="22" t="s">
        <v>538</v>
      </c>
      <c r="H7509" s="22" t="s">
        <v>707</v>
      </c>
      <c r="I7509" s="26">
        <v>43612.7055555556</v>
      </c>
      <c r="J7509" s="23" t="str">
        <f>HYPERLINK("https://www.spark-marketing.ru/Card/Person/175277", "ООО ""ЭСО""")</f>
        <v>ООО "ЭСО"</v>
      </c>
      <c r="K7509" s="24" t="s">
        <v>9643</v>
      </c>
      <c r="L7509" s="28" t="s">
        <v>52</v>
      </c>
      <c r="M7509" s="25">
        <v>123000</v>
      </c>
      <c r="N7509" s="27">
        <v>5.1123608507486866E-2</v>
      </c>
    </row>
    <row r="7510" spans="1:14" x14ac:dyDescent="0.15">
      <c r="A7510" s="23" t="str">
        <f>HYPERLINK("https://www.spark-marketing.ru/Card/Person/52487", "ГБУ РО ""ОКЦФП""")</f>
        <v>ГБУ РО "ОКЦФП"</v>
      </c>
      <c r="B7510" s="24" t="s">
        <v>9644</v>
      </c>
      <c r="C7510" s="25">
        <v>43000.02</v>
      </c>
      <c r="D7510" s="22" t="s">
        <v>9645</v>
      </c>
      <c r="E7510" s="22" t="s">
        <v>1013</v>
      </c>
      <c r="F7510" s="23" t="str">
        <f>HYPERLINK("https://www.spark-marketing.ru/Card/Lot/70842353", "Оказание услуг по оперативному реагированию при срабатывании тревожной и охранной сигнализации для нужд Шахтинского филиала ГБУ РО ""ОКЦФП""")</f>
        <v>Оказание услуг по оперативному реагированию при срабатывании тревожной и охранной сигнализации для нужд Шахтинского филиала ГБУ РО "ОКЦФП"</v>
      </c>
      <c r="G7510" s="22" t="s">
        <v>402</v>
      </c>
      <c r="H7510" s="22" t="s">
        <v>4374</v>
      </c>
      <c r="I7510" s="26">
        <v>43612.693055555603</v>
      </c>
      <c r="J7510" s="23" t="str">
        <f>HYPERLINK("https://www.spark-marketing.ru/Card/Person/406526", "ООО ОА ""ШАХТИНСКАЯ СЛУЖБА ОХРАНЫ""")</f>
        <v>ООО ОА "ШАХТИНСКАЯ СЛУЖБА ОХРАНЫ"</v>
      </c>
      <c r="K7510" s="24" t="s">
        <v>9646</v>
      </c>
      <c r="L7510" s="22" t="s">
        <v>10</v>
      </c>
      <c r="M7510" s="28" t="s">
        <v>52</v>
      </c>
      <c r="N7510" s="28" t="s">
        <v>52</v>
      </c>
    </row>
    <row r="7511" spans="1:14" x14ac:dyDescent="0.15">
      <c r="A7511" s="23" t="str">
        <f>HYPERLINK("https://www.spark-marketing.ru/Card/Person/1767664", "ЭЛЕКТРОГОРСКАЯ ДЕТСКАЯ ШКОЛА ИСКУССТВ")</f>
        <v>ЭЛЕКТРОГОРСКАЯ ДЕТСКАЯ ШКОЛА ИСКУССТВ</v>
      </c>
      <c r="B7511" s="24" t="s">
        <v>9468</v>
      </c>
      <c r="C7511" s="25">
        <v>104500</v>
      </c>
      <c r="D7511" s="22" t="s">
        <v>9647</v>
      </c>
      <c r="E7511" s="22" t="s">
        <v>9470</v>
      </c>
      <c r="F7511" s="23" t="str">
        <f>HYPERLINK("https://www.spark-marketing.ru/Card/Lot/70833879", "Техническое обслуживание системы видеонаблюдения")</f>
        <v>Техническое обслуживание системы видеонаблюдения</v>
      </c>
      <c r="G7511" s="22" t="s">
        <v>50</v>
      </c>
      <c r="H7511" s="22" t="s">
        <v>50</v>
      </c>
      <c r="I7511" s="26">
        <v>43612.6792361111</v>
      </c>
      <c r="J7511" s="28" t="s">
        <v>52</v>
      </c>
      <c r="K7511" s="28" t="s">
        <v>52</v>
      </c>
      <c r="L7511" s="28" t="s">
        <v>52</v>
      </c>
      <c r="M7511" s="28" t="s">
        <v>52</v>
      </c>
      <c r="N7511" s="28" t="s">
        <v>52</v>
      </c>
    </row>
    <row r="7512" spans="1:14" x14ac:dyDescent="0.15">
      <c r="A7512" s="23" t="str">
        <f>HYPERLINK("https://www.spark-marketing.ru/Card/Person/84949", "СУ СК РОССИИ ПО РЕСПУБЛИКЕ САХА (ЯКУТИЯ)")</f>
        <v>СУ СК РОССИИ ПО РЕСПУБЛИКЕ САХА (ЯКУТИЯ)</v>
      </c>
      <c r="B7512" s="24" t="s">
        <v>9648</v>
      </c>
      <c r="C7512" s="25">
        <v>17561.7</v>
      </c>
      <c r="D7512" s="22" t="s">
        <v>9649</v>
      </c>
      <c r="E7512" s="22" t="s">
        <v>9650</v>
      </c>
      <c r="F7512" s="23" t="str">
        <f>HYPERLINK("https://www.spark-marketing.ru/Card/Lot/70829300", "Услуги по охране объектов при помощи кнопок тревожной сигнализации.")</f>
        <v>Услуги по охране объектов при помощи кнопок тревожной сигнализации.</v>
      </c>
      <c r="G7512" s="22" t="s">
        <v>424</v>
      </c>
      <c r="H7512" s="22" t="s">
        <v>424</v>
      </c>
      <c r="I7512" s="26">
        <v>43612.672222222202</v>
      </c>
      <c r="J7512" s="28" t="s">
        <v>52</v>
      </c>
      <c r="K7512" s="28" t="s">
        <v>52</v>
      </c>
      <c r="L7512" s="28" t="s">
        <v>52</v>
      </c>
      <c r="M7512" s="28" t="s">
        <v>52</v>
      </c>
      <c r="N7512" s="28" t="s">
        <v>52</v>
      </c>
    </row>
    <row r="7513" spans="1:14" x14ac:dyDescent="0.15">
      <c r="A7513" s="23" t="str">
        <f>HYPERLINK("https://www.spark-marketing.ru/Card/Person/13877", "СУ СК РОССИИ ПО КУРГАНСКОЙ ОБЛАСТИ")</f>
        <v>СУ СК РОССИИ ПО КУРГАНСКОЙ ОБЛАСТИ</v>
      </c>
      <c r="B7513" s="24" t="s">
        <v>9651</v>
      </c>
      <c r="C7513" s="25">
        <v>5261841.5999999996</v>
      </c>
      <c r="D7513" s="22" t="s">
        <v>9652</v>
      </c>
      <c r="E7513" s="22" t="s">
        <v>68</v>
      </c>
      <c r="F7513" s="23" t="str">
        <f>HYPERLINK("https://www.spark-marketing.ru/Card/Lot/70849844", "Прочие работы, услуги (оказание услуг по охране объектов Следственного управления Следственного комитета Российской Федерации по Курганской области)")</f>
        <v>Прочие работы, услуги (оказание услуг по охране объектов Следственного управления Следственного комитета Российской Федерации по Курганской области)</v>
      </c>
      <c r="G7513" s="22" t="s">
        <v>626</v>
      </c>
      <c r="H7513" s="22" t="s">
        <v>1508</v>
      </c>
      <c r="I7513" s="26">
        <v>43612.692361111098</v>
      </c>
      <c r="J7513" s="23" t="str">
        <f>HYPERLINK("https://www.spark-marketing.ru/Card/Person/385783", "ФГКУ ""УВО ВНГ РОССИИ ПО КУРГАНСКОЙ ОБЛАСТИ""")</f>
        <v>ФГКУ "УВО ВНГ РОССИИ ПО КУРГАНСКОЙ ОБЛАСТИ"</v>
      </c>
      <c r="K7513" s="24" t="s">
        <v>8831</v>
      </c>
      <c r="L7513" s="22" t="s">
        <v>10</v>
      </c>
      <c r="M7513" s="28" t="s">
        <v>52</v>
      </c>
      <c r="N7513" s="28" t="s">
        <v>52</v>
      </c>
    </row>
    <row r="7514" spans="1:14" x14ac:dyDescent="0.15">
      <c r="A7514" s="23" t="str">
        <f>HYPERLINK("https://www.spark-marketing.ru/Card/Person/59993", "УСД В КАРАЧАЕВО-ЧЕРКЕССКОЙ РЕСПУБЛИКЕ")</f>
        <v>УСД В КАРАЧАЕВО-ЧЕРКЕССКОЙ РЕСПУБЛИКЕ</v>
      </c>
      <c r="B7514" s="24" t="s">
        <v>9653</v>
      </c>
      <c r="C7514" s="25">
        <v>96635.73</v>
      </c>
      <c r="D7514" s="22" t="s">
        <v>9654</v>
      </c>
      <c r="E7514" s="22" t="s">
        <v>68</v>
      </c>
      <c r="F7514" s="23" t="str">
        <f>HYPERLINK("https://www.spark-marketing.ru/Card/Lot/70843671", "Техническая охрана имущества")</f>
        <v>Техническая охрана имущества</v>
      </c>
      <c r="G7514" s="22" t="s">
        <v>3936</v>
      </c>
      <c r="H7514" s="22" t="s">
        <v>7564</v>
      </c>
      <c r="I7514" s="26">
        <v>43612.692361111098</v>
      </c>
      <c r="J7514" s="28" t="s">
        <v>52</v>
      </c>
      <c r="K7514" s="28" t="s">
        <v>52</v>
      </c>
      <c r="L7514" s="28" t="s">
        <v>52</v>
      </c>
      <c r="M7514" s="28" t="s">
        <v>52</v>
      </c>
      <c r="N7514" s="28" t="s">
        <v>52</v>
      </c>
    </row>
    <row r="7515" spans="1:14" x14ac:dyDescent="0.15">
      <c r="A7515" s="23" t="str">
        <f t="shared" ref="A7515:A7520" si="315">HYPERLINK("https://www.spark-marketing.ru/Card/Person/1037684", "ГКОУ СО ""НИЖНЕТАГИЛЬСКАЯ ШКОЛА-ИНТЕРНАТ""")</f>
        <v>ГКОУ СО "НИЖНЕТАГИЛЬСКАЯ ШКОЛА-ИНТЕРНАТ"</v>
      </c>
      <c r="B7515" s="24" t="s">
        <v>9655</v>
      </c>
      <c r="C7515" s="25">
        <v>1041425.28</v>
      </c>
      <c r="D7515" s="22" t="s">
        <v>9656</v>
      </c>
      <c r="E7515" s="22" t="s">
        <v>52</v>
      </c>
      <c r="F7515" s="23" t="str">
        <f t="shared" ref="F7515:F7520" si="316">HYPERLINK("https://www.spark-marketing.ru/Card/Lot/70847887", "Оказание услуг физической охраны")</f>
        <v>Оказание услуг физической охраны</v>
      </c>
      <c r="G7515" s="22" t="s">
        <v>72</v>
      </c>
      <c r="H7515" s="22" t="s">
        <v>3332</v>
      </c>
      <c r="I7515" s="26">
        <v>43612.690972222197</v>
      </c>
      <c r="J7515" s="28" t="s">
        <v>52</v>
      </c>
      <c r="K7515" s="28" t="s">
        <v>52</v>
      </c>
      <c r="L7515" s="28" t="s">
        <v>52</v>
      </c>
      <c r="M7515" s="28" t="s">
        <v>52</v>
      </c>
      <c r="N7515" s="28" t="s">
        <v>52</v>
      </c>
    </row>
    <row r="7516" spans="1:14" hidden="1" outlineLevel="1" x14ac:dyDescent="0.2">
      <c r="A7516" s="23" t="str">
        <f t="shared" si="315"/>
        <v>ГКОУ СО "НИЖНЕТАГИЛЬСКАЯ ШКОЛА-ИНТЕРНАТ"</v>
      </c>
      <c r="B7516" s="24" t="s">
        <v>9655</v>
      </c>
      <c r="C7516" s="25">
        <v>1041425.28</v>
      </c>
      <c r="D7516" s="22" t="s">
        <v>9656</v>
      </c>
      <c r="E7516" s="22" t="s">
        <v>52</v>
      </c>
      <c r="F7516" s="23" t="str">
        <f t="shared" si="316"/>
        <v>Оказание услуг физической охраны</v>
      </c>
      <c r="G7516" s="22" t="s">
        <v>72</v>
      </c>
      <c r="H7516" s="22" t="s">
        <v>3332</v>
      </c>
      <c r="I7516" s="26">
        <v>43612.690972222197</v>
      </c>
      <c r="J7516" s="23" t="str">
        <f>HYPERLINK("https://www.spark-marketing.ru/Card/Person/808019", "ООО ЧОП ""ЭЛЬБРУС""")</f>
        <v>ООО ЧОП "ЭЛЬБРУС"</v>
      </c>
      <c r="K7516" s="24" t="s">
        <v>9657</v>
      </c>
      <c r="L7516" s="28" t="s">
        <v>52</v>
      </c>
      <c r="M7516" s="25">
        <v>887084.01</v>
      </c>
      <c r="N7516" s="27">
        <v>0.14820196221854726</v>
      </c>
    </row>
    <row r="7517" spans="1:14" ht="12.75" hidden="1" outlineLevel="1" x14ac:dyDescent="0.2">
      <c r="A7517" s="23" t="str">
        <f t="shared" si="315"/>
        <v>ГКОУ СО "НИЖНЕТАГИЛЬСКАЯ ШКОЛА-ИНТЕРНАТ"</v>
      </c>
      <c r="B7517" s="24" t="s">
        <v>9655</v>
      </c>
      <c r="C7517" s="25">
        <v>1041425.28</v>
      </c>
      <c r="D7517" s="22" t="s">
        <v>9656</v>
      </c>
      <c r="E7517" s="22" t="s">
        <v>52</v>
      </c>
      <c r="F7517" s="23" t="str">
        <f t="shared" si="316"/>
        <v>Оказание услуг физической охраны</v>
      </c>
      <c r="G7517" s="22" t="s">
        <v>72</v>
      </c>
      <c r="H7517" s="22" t="s">
        <v>3332</v>
      </c>
      <c r="I7517" s="26">
        <v>43612.690972222197</v>
      </c>
      <c r="J7517" s="23" t="str">
        <f>HYPERLINK("https://www.spark-marketing.ru/Card/Person/797545", "ООО ""ЧОП ""САПСАН""""")</f>
        <v>ООО "ЧОП "САПСАН""</v>
      </c>
      <c r="K7517" s="24" t="s">
        <v>3828</v>
      </c>
      <c r="L7517" s="22" t="s">
        <v>10</v>
      </c>
      <c r="M7517" s="25">
        <v>778985.87</v>
      </c>
      <c r="N7517" s="27">
        <v>0.25200022991567861</v>
      </c>
    </row>
    <row r="7518" spans="1:14" hidden="1" outlineLevel="1" x14ac:dyDescent="0.2">
      <c r="A7518" s="23" t="str">
        <f t="shared" si="315"/>
        <v>ГКОУ СО "НИЖНЕТАГИЛЬСКАЯ ШКОЛА-ИНТЕРНАТ"</v>
      </c>
      <c r="B7518" s="24" t="s">
        <v>9655</v>
      </c>
      <c r="C7518" s="25">
        <v>1041425.28</v>
      </c>
      <c r="D7518" s="22" t="s">
        <v>9656</v>
      </c>
      <c r="E7518" s="22" t="s">
        <v>52</v>
      </c>
      <c r="F7518" s="23" t="str">
        <f t="shared" si="316"/>
        <v>Оказание услуг физической охраны</v>
      </c>
      <c r="G7518" s="22" t="s">
        <v>72</v>
      </c>
      <c r="H7518" s="22" t="s">
        <v>3332</v>
      </c>
      <c r="I7518" s="26">
        <v>43612.690972222197</v>
      </c>
      <c r="J7518" s="23" t="str">
        <f>HYPERLINK("https://www.spark-marketing.ru/Card/Person/2582632", "ООО ЧОП ""ТАЛИОН""")</f>
        <v>ООО ЧОП "ТАЛИОН"</v>
      </c>
      <c r="K7518" s="24" t="s">
        <v>3228</v>
      </c>
      <c r="L7518" s="28" t="s">
        <v>52</v>
      </c>
      <c r="M7518" s="25">
        <v>784193</v>
      </c>
      <c r="N7518" s="27">
        <v>0.24700022645887759</v>
      </c>
    </row>
    <row r="7519" spans="1:14" hidden="1" outlineLevel="1" x14ac:dyDescent="0.2">
      <c r="A7519" s="23" t="str">
        <f t="shared" si="315"/>
        <v>ГКОУ СО "НИЖНЕТАГИЛЬСКАЯ ШКОЛА-ИНТЕРНАТ"</v>
      </c>
      <c r="B7519" s="24" t="s">
        <v>9655</v>
      </c>
      <c r="C7519" s="25">
        <v>1041425.28</v>
      </c>
      <c r="D7519" s="22" t="s">
        <v>9656</v>
      </c>
      <c r="E7519" s="22" t="s">
        <v>52</v>
      </c>
      <c r="F7519" s="23" t="str">
        <f t="shared" si="316"/>
        <v>Оказание услуг физической охраны</v>
      </c>
      <c r="G7519" s="22" t="s">
        <v>72</v>
      </c>
      <c r="H7519" s="22" t="s">
        <v>3332</v>
      </c>
      <c r="I7519" s="26">
        <v>43612.690972222197</v>
      </c>
      <c r="J7519" s="23" t="str">
        <f>HYPERLINK("https://www.spark-marketing.ru/Card/Person/58845", "ООО ЧОП ""АГЕНТСТВО БИЗНЕС-БЕЗОПАСНОСТЬ""")</f>
        <v>ООО ЧОП "АГЕНТСТВО БИЗНЕС-БЕЗОПАСНОСТЬ"</v>
      </c>
      <c r="K7519" s="24" t="s">
        <v>1177</v>
      </c>
      <c r="L7519" s="28" t="s">
        <v>52</v>
      </c>
      <c r="M7519" s="25">
        <v>1006848</v>
      </c>
      <c r="N7519" s="27">
        <v>3.320188271212314E-2</v>
      </c>
    </row>
    <row r="7520" spans="1:14" hidden="1" outlineLevel="1" x14ac:dyDescent="0.2">
      <c r="A7520" s="23" t="str">
        <f t="shared" si="315"/>
        <v>ГКОУ СО "НИЖНЕТАГИЛЬСКАЯ ШКОЛА-ИНТЕРНАТ"</v>
      </c>
      <c r="B7520" s="24" t="s">
        <v>9655</v>
      </c>
      <c r="C7520" s="25">
        <v>1041425.28</v>
      </c>
      <c r="D7520" s="22" t="s">
        <v>9656</v>
      </c>
      <c r="E7520" s="22" t="s">
        <v>52</v>
      </c>
      <c r="F7520" s="23" t="str">
        <f t="shared" si="316"/>
        <v>Оказание услуг физической охраны</v>
      </c>
      <c r="G7520" s="22" t="s">
        <v>72</v>
      </c>
      <c r="H7520" s="22" t="s">
        <v>3332</v>
      </c>
      <c r="I7520" s="26">
        <v>43612.690972222197</v>
      </c>
      <c r="J7520" s="23" t="str">
        <f>HYPERLINK("https://www.spark-marketing.ru/Card/Person/5898537", "ООО ЧОП ""ГЕПАРД""")</f>
        <v>ООО ЧОП "ГЕПАРД"</v>
      </c>
      <c r="K7520" s="24" t="s">
        <v>9658</v>
      </c>
      <c r="L7520" s="28" t="s">
        <v>52</v>
      </c>
      <c r="M7520" s="25">
        <v>975605.22</v>
      </c>
      <c r="N7520" s="27">
        <v>6.3201903452929434E-2</v>
      </c>
    </row>
    <row r="7521" spans="1:14" x14ac:dyDescent="0.15">
      <c r="A7521" s="23" t="str">
        <f>HYPERLINK("https://www.spark-marketing.ru/Card/Person/143504", "АДМИНИСТРАЦИЯ КАТАВ-ИВАНОВСКОГО МУНИЦИПАЛЬНОГО РАЙОНА")</f>
        <v>АДМИНИСТРАЦИЯ КАТАВ-ИВАНОВСКОГО МУНИЦИПАЛЬНОГО РАЙОНА</v>
      </c>
      <c r="B7521" s="24" t="s">
        <v>1128</v>
      </c>
      <c r="C7521" s="25">
        <v>32355.54</v>
      </c>
      <c r="D7521" s="22" t="s">
        <v>9659</v>
      </c>
      <c r="E7521" s="22" t="s">
        <v>59</v>
      </c>
      <c r="F7521" s="23" t="str">
        <f>HYPERLINK("https://www.spark-marketing.ru/Card/Lot/70841938", "Оказание услуг по техническому обслуживанию комплекса технических средств охраны")</f>
        <v>Оказание услуг по техническому обслуживанию комплекса технических средств охраны</v>
      </c>
      <c r="G7521" s="22" t="s">
        <v>60</v>
      </c>
      <c r="H7521" s="22" t="s">
        <v>60</v>
      </c>
      <c r="I7521" s="26">
        <v>43612.665972222203</v>
      </c>
      <c r="J7521" s="28" t="s">
        <v>52</v>
      </c>
      <c r="K7521" s="28" t="s">
        <v>52</v>
      </c>
      <c r="L7521" s="28" t="s">
        <v>52</v>
      </c>
      <c r="M7521" s="28" t="s">
        <v>52</v>
      </c>
      <c r="N7521" s="28" t="s">
        <v>52</v>
      </c>
    </row>
    <row r="7522" spans="1:14" hidden="1" outlineLevel="1" x14ac:dyDescent="0.2">
      <c r="A7522" s="23" t="str">
        <f>HYPERLINK("https://www.spark-marketing.ru/Card/Person/143504", "АДМИНИСТРАЦИЯ КАТАВ-ИВАНОВСКОГО МУНИЦИПАЛЬНОГО РАЙОНА")</f>
        <v>АДМИНИСТРАЦИЯ КАТАВ-ИВАНОВСКОГО МУНИЦИПАЛЬНОГО РАЙОНА</v>
      </c>
      <c r="B7522" s="24" t="s">
        <v>1128</v>
      </c>
      <c r="C7522" s="25">
        <v>32355.54</v>
      </c>
      <c r="D7522" s="22" t="s">
        <v>9659</v>
      </c>
      <c r="E7522" s="22" t="s">
        <v>59</v>
      </c>
      <c r="F7522" s="23" t="str">
        <f>HYPERLINK("https://www.spark-marketing.ru/Card/Lot/70841938", "Оказание услуг по техническому обслуживанию комплекса технических средств охраны")</f>
        <v>Оказание услуг по техническому обслуживанию комплекса технических средств охраны</v>
      </c>
      <c r="G7522" s="22" t="s">
        <v>60</v>
      </c>
      <c r="H7522" s="22" t="s">
        <v>60</v>
      </c>
      <c r="I7522" s="26">
        <v>43612.665972222203</v>
      </c>
      <c r="J7522" s="23" t="str">
        <f>HYPERLINK("https://www.spark-marketing.ru/Card/Person/1587249", "ООО ""ПАРТНЁР""")</f>
        <v>ООО "ПАРТНЁР"</v>
      </c>
      <c r="K7522" s="24" t="s">
        <v>9660</v>
      </c>
      <c r="L7522" s="28" t="s">
        <v>52</v>
      </c>
      <c r="M7522" s="25">
        <v>9646.92</v>
      </c>
      <c r="N7522" s="27">
        <v>0.70184642259099983</v>
      </c>
    </row>
    <row r="7523" spans="1:14" ht="12.75" hidden="1" outlineLevel="1" x14ac:dyDescent="0.2">
      <c r="A7523" s="23" t="str">
        <f>HYPERLINK("https://www.spark-marketing.ru/Card/Person/143504", "АДМИНИСТРАЦИЯ КАТАВ-ИВАНОВСКОГО МУНИЦИПАЛЬНОГО РАЙОНА")</f>
        <v>АДМИНИСТРАЦИЯ КАТАВ-ИВАНОВСКОГО МУНИЦИПАЛЬНОГО РАЙОНА</v>
      </c>
      <c r="B7523" s="24" t="s">
        <v>1128</v>
      </c>
      <c r="C7523" s="25">
        <v>32355.54</v>
      </c>
      <c r="D7523" s="22" t="s">
        <v>9659</v>
      </c>
      <c r="E7523" s="22" t="s">
        <v>59</v>
      </c>
      <c r="F7523" s="23" t="str">
        <f>HYPERLINK("https://www.spark-marketing.ru/Card/Lot/70841938", "Оказание услуг по техническому обслуживанию комплекса технических средств охраны")</f>
        <v>Оказание услуг по техническому обслуживанию комплекса технических средств охраны</v>
      </c>
      <c r="G7523" s="22" t="s">
        <v>60</v>
      </c>
      <c r="H7523" s="22" t="s">
        <v>60</v>
      </c>
      <c r="I7523" s="26">
        <v>43612.665972222203</v>
      </c>
      <c r="J7523" s="23" t="str">
        <f>HYPERLINK("https://www.spark-marketing.ru/Card/Person/88930", "ООО БТО ""КОНТУР""")</f>
        <v>ООО БТО "КОНТУР"</v>
      </c>
      <c r="K7523" s="24" t="s">
        <v>9661</v>
      </c>
      <c r="L7523" s="22" t="s">
        <v>10</v>
      </c>
      <c r="M7523" s="25">
        <v>9140.52</v>
      </c>
      <c r="N7523" s="27">
        <v>0.71749752901666919</v>
      </c>
    </row>
    <row r="7524" spans="1:14" x14ac:dyDescent="0.15">
      <c r="A7524" s="23" t="str">
        <f>HYPERLINK("https://www.spark-marketing.ru/Card/Person/87021", "МБОУ ""СОШ №1 ИМ. М. ГОРЬКОГО""")</f>
        <v>МБОУ "СОШ №1 ИМ. М. ГОРЬКОГО"</v>
      </c>
      <c r="B7524" s="24" t="s">
        <v>9662</v>
      </c>
      <c r="C7524" s="25">
        <v>189082.86</v>
      </c>
      <c r="D7524" s="22" t="s">
        <v>9663</v>
      </c>
      <c r="E7524" s="22" t="s">
        <v>84</v>
      </c>
      <c r="F7524" s="23" t="str">
        <f>HYPERLINK("https://www.spark-marketing.ru/Card/Lot/70845596", "Установка (модернизация) внутреннего и наружного видеонаблюдения")</f>
        <v>Установка (модернизация) внутреннего и наружного видеонаблюдения</v>
      </c>
      <c r="G7524" s="22" t="s">
        <v>72</v>
      </c>
      <c r="H7524" s="22" t="s">
        <v>692</v>
      </c>
      <c r="I7524" s="26">
        <v>43612.634722222203</v>
      </c>
      <c r="J7524" s="23" t="str">
        <f>HYPERLINK("https://www.spark-marketing.ru/Card/Person/4354164", "ООО НПФ ""ДАТАКРАТ-Е""")</f>
        <v>ООО НПФ "ДАТАКРАТ-Е"</v>
      </c>
      <c r="K7524" s="24" t="s">
        <v>9664</v>
      </c>
      <c r="L7524" s="28" t="s">
        <v>52</v>
      </c>
      <c r="M7524" s="28" t="s">
        <v>52</v>
      </c>
      <c r="N7524" s="28" t="s">
        <v>52</v>
      </c>
    </row>
    <row r="7525" spans="1:14" ht="12.75" hidden="1" outlineLevel="1" x14ac:dyDescent="0.2">
      <c r="A7525" s="23" t="str">
        <f>HYPERLINK("https://www.spark-marketing.ru/Card/Person/87021", "МБОУ ""СОШ №1 ИМ. М. ГОРЬКОГО""")</f>
        <v>МБОУ "СОШ №1 ИМ. М. ГОРЬКОГО"</v>
      </c>
      <c r="B7525" s="24" t="s">
        <v>9662</v>
      </c>
      <c r="C7525" s="25">
        <v>189082.86</v>
      </c>
      <c r="D7525" s="22" t="s">
        <v>9663</v>
      </c>
      <c r="E7525" s="22" t="s">
        <v>84</v>
      </c>
      <c r="F7525" s="23" t="str">
        <f>HYPERLINK("https://www.spark-marketing.ru/Card/Lot/70845596", "Установка (модернизация) внутреннего и наружного видеонаблюдения")</f>
        <v>Установка (модернизация) внутреннего и наружного видеонаблюдения</v>
      </c>
      <c r="G7525" s="22" t="s">
        <v>72</v>
      </c>
      <c r="H7525" s="22" t="s">
        <v>692</v>
      </c>
      <c r="I7525" s="26">
        <v>43612.634722222203</v>
      </c>
      <c r="J7525" s="23" t="str">
        <f>HYPERLINK("https://www.spark-marketing.ru/Card/Person/4354164", "ООО НПФ ""ДАТАКРАТ-Е""")</f>
        <v>ООО НПФ "ДАТАКРАТ-Е"</v>
      </c>
      <c r="K7525" s="24" t="s">
        <v>9664</v>
      </c>
      <c r="L7525" s="22" t="s">
        <v>10</v>
      </c>
      <c r="M7525" s="25">
        <v>188137.45</v>
      </c>
      <c r="N7525" s="27">
        <v>4.9999772586473467E-3</v>
      </c>
    </row>
    <row r="7526" spans="1:14" x14ac:dyDescent="0.15">
      <c r="A7526" s="23" t="str">
        <f>HYPERLINK("https://www.spark-marketing.ru/Card/Person/77074", """ТФОМС ВОЛГОГРАДСКОЙ ОБЛАСТИ""")</f>
        <v>"ТФОМС ВОЛГОГРАДСКОЙ ОБЛАСТИ"</v>
      </c>
      <c r="B7526" s="24" t="s">
        <v>9520</v>
      </c>
      <c r="C7526" s="25">
        <v>38993.47</v>
      </c>
      <c r="D7526" s="22" t="s">
        <v>9665</v>
      </c>
      <c r="E7526" s="22" t="s">
        <v>59</v>
      </c>
      <c r="F7526" s="23" t="str">
        <f>HYPERLINK("https://www.spark-marketing.ru/Card/Lot/70842242", "Выполнение работ по монтажу и наладке видеодомофона в Южном филиале")</f>
        <v>Выполнение работ по монтажу и наладке видеодомофона в Южном филиале</v>
      </c>
      <c r="G7526" s="22" t="s">
        <v>343</v>
      </c>
      <c r="H7526" s="22" t="s">
        <v>343</v>
      </c>
      <c r="I7526" s="26">
        <v>43612.649305555598</v>
      </c>
      <c r="J7526" s="23" t="str">
        <f>HYPERLINK("https://www.spark-marketing.ru/Card/Person/246297", "Кучеренко Александр Геннадьевич")</f>
        <v>Кучеренко Александр Геннадьевич</v>
      </c>
      <c r="K7526" s="24" t="s">
        <v>9666</v>
      </c>
      <c r="L7526" s="28" t="s">
        <v>52</v>
      </c>
      <c r="M7526" s="28" t="s">
        <v>52</v>
      </c>
      <c r="N7526" s="28" t="s">
        <v>52</v>
      </c>
    </row>
    <row r="7527" spans="1:14" ht="12.75" hidden="1" outlineLevel="1" x14ac:dyDescent="0.2">
      <c r="A7527" s="23" t="str">
        <f>HYPERLINK("https://www.spark-marketing.ru/Card/Person/77074", """ТФОМС ВОЛГОГРАДСКОЙ ОБЛАСТИ""")</f>
        <v>"ТФОМС ВОЛГОГРАДСКОЙ ОБЛАСТИ"</v>
      </c>
      <c r="B7527" s="24" t="s">
        <v>9520</v>
      </c>
      <c r="C7527" s="25">
        <v>38993.47</v>
      </c>
      <c r="D7527" s="22" t="s">
        <v>9665</v>
      </c>
      <c r="E7527" s="22" t="s">
        <v>59</v>
      </c>
      <c r="F7527" s="23" t="str">
        <f>HYPERLINK("https://www.spark-marketing.ru/Card/Lot/70842242", "Выполнение работ по монтажу и наладке видеодомофона в Южном филиале")</f>
        <v>Выполнение работ по монтажу и наладке видеодомофона в Южном филиале</v>
      </c>
      <c r="G7527" s="22" t="s">
        <v>343</v>
      </c>
      <c r="H7527" s="22" t="s">
        <v>343</v>
      </c>
      <c r="I7527" s="26">
        <v>43612.649305555598</v>
      </c>
      <c r="J7527" s="23" t="str">
        <f>HYPERLINK("https://www.spark-marketing.ru/Card/Person/246297", "Кучеренко Александр Геннадьевич")</f>
        <v>Кучеренко Александр Геннадьевич</v>
      </c>
      <c r="K7527" s="24" t="s">
        <v>9666</v>
      </c>
      <c r="L7527" s="22" t="s">
        <v>10</v>
      </c>
      <c r="M7527" s="25">
        <v>38798.5</v>
      </c>
      <c r="N7527" s="27">
        <v>5.0000679600969086E-3</v>
      </c>
    </row>
    <row r="7528" spans="1:14" x14ac:dyDescent="0.15">
      <c r="A7528" s="23" t="str">
        <f>HYPERLINK("https://www.spark-marketing.ru/Card/Person/143504", "АДМИНИСТРАЦИЯ КАТАВ-ИВАНОВСКОГО МУНИЦИПАЛЬНОГО РАЙОНА")</f>
        <v>АДМИНИСТРАЦИЯ КАТАВ-ИВАНОВСКОГО МУНИЦИПАЛЬНОГО РАЙОНА</v>
      </c>
      <c r="B7528" s="24" t="s">
        <v>1128</v>
      </c>
      <c r="C7528" s="25">
        <v>48777.78</v>
      </c>
      <c r="D7528" s="22" t="s">
        <v>9667</v>
      </c>
      <c r="E7528" s="22" t="s">
        <v>59</v>
      </c>
      <c r="F7528" s="23" t="str">
        <f>HYPERLINK("https://www.spark-marketing.ru/Card/Lot/70831898", "Оказание услуг по техническому обслуживанию комплекса технических средств охраны")</f>
        <v>Оказание услуг по техническому обслуживанию комплекса технических средств охраны</v>
      </c>
      <c r="G7528" s="22" t="s">
        <v>60</v>
      </c>
      <c r="H7528" s="22" t="s">
        <v>60</v>
      </c>
      <c r="I7528" s="26">
        <v>43612.641666666699</v>
      </c>
      <c r="J7528" s="28" t="s">
        <v>52</v>
      </c>
      <c r="K7528" s="28" t="s">
        <v>52</v>
      </c>
      <c r="L7528" s="28" t="s">
        <v>52</v>
      </c>
      <c r="M7528" s="28" t="s">
        <v>52</v>
      </c>
      <c r="N7528" s="28" t="s">
        <v>52</v>
      </c>
    </row>
    <row r="7529" spans="1:14" hidden="1" outlineLevel="1" x14ac:dyDescent="0.2">
      <c r="A7529" s="23" t="str">
        <f>HYPERLINK("https://www.spark-marketing.ru/Card/Person/143504", "АДМИНИСТРАЦИЯ КАТАВ-ИВАНОВСКОГО МУНИЦИПАЛЬНОГО РАЙОНА")</f>
        <v>АДМИНИСТРАЦИЯ КАТАВ-ИВАНОВСКОГО МУНИЦИПАЛЬНОГО РАЙОНА</v>
      </c>
      <c r="B7529" s="24" t="s">
        <v>1128</v>
      </c>
      <c r="C7529" s="25">
        <v>48777.78</v>
      </c>
      <c r="D7529" s="22" t="s">
        <v>9667</v>
      </c>
      <c r="E7529" s="22" t="s">
        <v>59</v>
      </c>
      <c r="F7529" s="23" t="str">
        <f>HYPERLINK("https://www.spark-marketing.ru/Card/Lot/70831898", "Оказание услуг по техническому обслуживанию комплекса технических средств охраны")</f>
        <v>Оказание услуг по техническому обслуживанию комплекса технических средств охраны</v>
      </c>
      <c r="G7529" s="22" t="s">
        <v>60</v>
      </c>
      <c r="H7529" s="22" t="s">
        <v>60</v>
      </c>
      <c r="I7529" s="26">
        <v>43612.641666666699</v>
      </c>
      <c r="J7529" s="23" t="str">
        <f>HYPERLINK("https://www.spark-marketing.ru/Card/Person/10487", "ФГУП ""ОХРАНА"" РОСГВАРДИИ")</f>
        <v>ФГУП "ОХРАНА" РОСГВАРДИИ</v>
      </c>
      <c r="K7529" s="24" t="s">
        <v>779</v>
      </c>
      <c r="L7529" s="28" t="s">
        <v>52</v>
      </c>
      <c r="M7529" s="25">
        <v>23400</v>
      </c>
      <c r="N7529" s="27">
        <v>0.52027337037478949</v>
      </c>
    </row>
    <row r="7530" spans="1:14" hidden="1" outlineLevel="1" x14ac:dyDescent="0.2">
      <c r="A7530" s="23" t="str">
        <f>HYPERLINK("https://www.spark-marketing.ru/Card/Person/143504", "АДМИНИСТРАЦИЯ КАТАВ-ИВАНОВСКОГО МУНИЦИПАЛЬНОГО РАЙОНА")</f>
        <v>АДМИНИСТРАЦИЯ КАТАВ-ИВАНОВСКОГО МУНИЦИПАЛЬНОГО РАЙОНА</v>
      </c>
      <c r="B7530" s="24" t="s">
        <v>1128</v>
      </c>
      <c r="C7530" s="25">
        <v>48777.78</v>
      </c>
      <c r="D7530" s="22" t="s">
        <v>9667</v>
      </c>
      <c r="E7530" s="22" t="s">
        <v>59</v>
      </c>
      <c r="F7530" s="23" t="str">
        <f>HYPERLINK("https://www.spark-marketing.ru/Card/Lot/70831898", "Оказание услуг по техническому обслуживанию комплекса технических средств охраны")</f>
        <v>Оказание услуг по техническому обслуживанию комплекса технических средств охраны</v>
      </c>
      <c r="G7530" s="22" t="s">
        <v>60</v>
      </c>
      <c r="H7530" s="22" t="s">
        <v>60</v>
      </c>
      <c r="I7530" s="26">
        <v>43612.641666666699</v>
      </c>
      <c r="J7530" s="23" t="str">
        <f>HYPERLINK("https://www.spark-marketing.ru/Card/Person/536053", "ООО ""ИЦОПТ""")</f>
        <v>ООО "ИЦОПТ"</v>
      </c>
      <c r="K7530" s="24" t="s">
        <v>9668</v>
      </c>
      <c r="L7530" s="28" t="s">
        <v>52</v>
      </c>
      <c r="M7530" s="25">
        <v>27000</v>
      </c>
      <c r="N7530" s="27">
        <v>0.44646927350937249</v>
      </c>
    </row>
    <row r="7531" spans="1:14" ht="12.75" hidden="1" outlineLevel="1" x14ac:dyDescent="0.2">
      <c r="A7531" s="23" t="str">
        <f>HYPERLINK("https://www.spark-marketing.ru/Card/Person/143504", "АДМИНИСТРАЦИЯ КАТАВ-ИВАНОВСКОГО МУНИЦИПАЛЬНОГО РАЙОНА")</f>
        <v>АДМИНИСТРАЦИЯ КАТАВ-ИВАНОВСКОГО МУНИЦИПАЛЬНОГО РАЙОНА</v>
      </c>
      <c r="B7531" s="24" t="s">
        <v>1128</v>
      </c>
      <c r="C7531" s="25">
        <v>48777.78</v>
      </c>
      <c r="D7531" s="22" t="s">
        <v>9667</v>
      </c>
      <c r="E7531" s="22" t="s">
        <v>59</v>
      </c>
      <c r="F7531" s="23" t="str">
        <f>HYPERLINK("https://www.spark-marketing.ru/Card/Lot/70831898", "Оказание услуг по техническому обслуживанию комплекса технических средств охраны")</f>
        <v>Оказание услуг по техническому обслуживанию комплекса технических средств охраны</v>
      </c>
      <c r="G7531" s="22" t="s">
        <v>60</v>
      </c>
      <c r="H7531" s="22" t="s">
        <v>60</v>
      </c>
      <c r="I7531" s="26">
        <v>43612.641666666699</v>
      </c>
      <c r="J7531" s="23" t="str">
        <f>HYPERLINK("https://www.spark-marketing.ru/Card/Person/1587249", "ООО ""ПАРТНЁР""")</f>
        <v>ООО "ПАРТНЁР"</v>
      </c>
      <c r="K7531" s="24" t="s">
        <v>9660</v>
      </c>
      <c r="L7531" s="22" t="s">
        <v>10</v>
      </c>
      <c r="M7531" s="25">
        <v>23156.11</v>
      </c>
      <c r="N7531" s="27">
        <v>0.52527339292604136</v>
      </c>
    </row>
    <row r="7532" spans="1:14" x14ac:dyDescent="0.15">
      <c r="A7532" s="23" t="str">
        <f>HYPERLINK("https://www.spark-marketing.ru/Card/Person/73854", "ОКУ ЛОПС ""ЛЕСНАЯ СКАЗКА""")</f>
        <v>ОКУ ЛОПС "ЛЕСНАЯ СКАЗКА"</v>
      </c>
      <c r="B7532" s="24" t="s">
        <v>9669</v>
      </c>
      <c r="C7532" s="25">
        <v>671232</v>
      </c>
      <c r="D7532" s="22" t="s">
        <v>9670</v>
      </c>
      <c r="E7532" s="22" t="s">
        <v>52</v>
      </c>
      <c r="F7532" s="23" t="str">
        <f>HYPERLINK("https://www.spark-marketing.ru/Card/Lot/70846742", "услуги охраны")</f>
        <v>услуги охраны</v>
      </c>
      <c r="G7532" s="22" t="s">
        <v>629</v>
      </c>
      <c r="H7532" s="22" t="s">
        <v>629</v>
      </c>
      <c r="I7532" s="26">
        <v>43612.620833333298</v>
      </c>
      <c r="J7532" s="23" t="str">
        <f>HYPERLINK("https://www.spark-marketing.ru/Card/Person/701525", "ООО ЧОО ""ПАНТЕРА Л""")</f>
        <v>ООО ЧОО "ПАНТЕРА Л"</v>
      </c>
      <c r="K7532" s="24" t="s">
        <v>5055</v>
      </c>
      <c r="L7532" s="28" t="s">
        <v>52</v>
      </c>
      <c r="M7532" s="28" t="s">
        <v>52</v>
      </c>
      <c r="N7532" s="28" t="s">
        <v>52</v>
      </c>
    </row>
    <row r="7533" spans="1:14" ht="12.75" hidden="1" outlineLevel="1" x14ac:dyDescent="0.2">
      <c r="A7533" s="23" t="str">
        <f>HYPERLINK("https://www.spark-marketing.ru/Card/Person/73854", "ОКУ ЛОПС ""ЛЕСНАЯ СКАЗКА""")</f>
        <v>ОКУ ЛОПС "ЛЕСНАЯ СКАЗКА"</v>
      </c>
      <c r="B7533" s="24" t="s">
        <v>9669</v>
      </c>
      <c r="C7533" s="25">
        <v>671232</v>
      </c>
      <c r="D7533" s="22" t="s">
        <v>9670</v>
      </c>
      <c r="E7533" s="22" t="s">
        <v>52</v>
      </c>
      <c r="F7533" s="23" t="str">
        <f>HYPERLINK("https://www.spark-marketing.ru/Card/Lot/70846742", "услуги охраны")</f>
        <v>услуги охраны</v>
      </c>
      <c r="G7533" s="22" t="s">
        <v>629</v>
      </c>
      <c r="H7533" s="22" t="s">
        <v>629</v>
      </c>
      <c r="I7533" s="26">
        <v>43612.620833333298</v>
      </c>
      <c r="J7533" s="23" t="str">
        <f>HYPERLINK("https://www.spark-marketing.ru/Card/Person/701525", "ООО ЧОО ""ПАНТЕРА Л""")</f>
        <v>ООО ЧОО "ПАНТЕРА Л"</v>
      </c>
      <c r="K7533" s="24" t="s">
        <v>5055</v>
      </c>
      <c r="L7533" s="22" t="s">
        <v>10</v>
      </c>
      <c r="M7533" s="25">
        <v>667875</v>
      </c>
      <c r="N7533" s="27">
        <v>5.0012514302059498E-3</v>
      </c>
    </row>
    <row r="7534" spans="1:14" x14ac:dyDescent="0.15">
      <c r="A7534" s="23" t="str">
        <f t="shared" ref="A7534:A7541" si="317">HYPERLINK("https://www.spark-marketing.ru/Card/Person/16034", "КРАСНОДАРСКИЙ ГОСУДАРСТВЕННЫЙ ИНСТИТУТ КУЛЬТУРЫ")</f>
        <v>КРАСНОДАРСКИЙ ГОСУДАРСТВЕННЫЙ ИНСТИТУТ КУЛЬТУРЫ</v>
      </c>
      <c r="B7534" s="24" t="s">
        <v>9671</v>
      </c>
      <c r="C7534" s="25">
        <v>675426</v>
      </c>
      <c r="D7534" s="22" t="s">
        <v>9672</v>
      </c>
      <c r="E7534" s="22" t="s">
        <v>84</v>
      </c>
      <c r="F7534" s="23" t="str">
        <f t="shared" ref="F7534:F7541" si="318">HYPERLINK("https://www.spark-marketing.ru/Card/Lot/70846441", "Выполнение работ по установке видеонаблюдения в учебных корпусах и в общежитии № 1")</f>
        <v>Выполнение работ по установке видеонаблюдения в учебных корпусах и в общежитии № 1</v>
      </c>
      <c r="G7534" s="22" t="s">
        <v>132</v>
      </c>
      <c r="H7534" s="22" t="s">
        <v>652</v>
      </c>
      <c r="I7534" s="26">
        <v>43612.594444444403</v>
      </c>
      <c r="J7534" s="28" t="s">
        <v>52</v>
      </c>
      <c r="K7534" s="28" t="s">
        <v>52</v>
      </c>
      <c r="L7534" s="28" t="s">
        <v>52</v>
      </c>
      <c r="M7534" s="28" t="s">
        <v>52</v>
      </c>
      <c r="N7534" s="28" t="s">
        <v>52</v>
      </c>
    </row>
    <row r="7535" spans="1:14" hidden="1" outlineLevel="1" x14ac:dyDescent="0.2">
      <c r="A7535" s="23" t="str">
        <f t="shared" si="317"/>
        <v>КРАСНОДАРСКИЙ ГОСУДАРСТВЕННЫЙ ИНСТИТУТ КУЛЬТУРЫ</v>
      </c>
      <c r="B7535" s="24" t="s">
        <v>9671</v>
      </c>
      <c r="C7535" s="25">
        <v>675426</v>
      </c>
      <c r="D7535" s="22" t="s">
        <v>9672</v>
      </c>
      <c r="E7535" s="22" t="s">
        <v>84</v>
      </c>
      <c r="F7535" s="23" t="str">
        <f t="shared" si="318"/>
        <v>Выполнение работ по установке видеонаблюдения в учебных корпусах и в общежитии № 1</v>
      </c>
      <c r="G7535" s="22" t="s">
        <v>132</v>
      </c>
      <c r="H7535" s="22" t="s">
        <v>652</v>
      </c>
      <c r="I7535" s="26">
        <v>43612.594444444403</v>
      </c>
      <c r="J7535" s="23" t="str">
        <f>HYPERLINK("https://www.spark-marketing.ru/Card/Person/107457", "ООО ""ЮГЭЛЕКТРОАВТОМАТИКА""")</f>
        <v>ООО "ЮГЭЛЕКТРОАВТОМАТИКА"</v>
      </c>
      <c r="K7535" s="24" t="s">
        <v>9673</v>
      </c>
      <c r="L7535" s="28" t="s">
        <v>52</v>
      </c>
      <c r="M7535" s="25">
        <v>601128.43999999994</v>
      </c>
      <c r="N7535" s="27">
        <v>0.11000103638296423</v>
      </c>
    </row>
    <row r="7536" spans="1:14" hidden="1" outlineLevel="1" x14ac:dyDescent="0.2">
      <c r="A7536" s="23" t="str">
        <f t="shared" si="317"/>
        <v>КРАСНОДАРСКИЙ ГОСУДАРСТВЕННЫЙ ИНСТИТУТ КУЛЬТУРЫ</v>
      </c>
      <c r="B7536" s="24" t="s">
        <v>9671</v>
      </c>
      <c r="C7536" s="25">
        <v>675426</v>
      </c>
      <c r="D7536" s="22" t="s">
        <v>9672</v>
      </c>
      <c r="E7536" s="22" t="s">
        <v>84</v>
      </c>
      <c r="F7536" s="23" t="str">
        <f t="shared" si="318"/>
        <v>Выполнение работ по установке видеонаблюдения в учебных корпусах и в общежитии № 1</v>
      </c>
      <c r="G7536" s="22" t="s">
        <v>132</v>
      </c>
      <c r="H7536" s="22" t="s">
        <v>652</v>
      </c>
      <c r="I7536" s="26">
        <v>43612.594444444403</v>
      </c>
      <c r="J7536" s="23" t="str">
        <f>HYPERLINK("https://www.spark-marketing.ru/Card/Person/1211049", "ООО ""РСК""")</f>
        <v>ООО "РСК"</v>
      </c>
      <c r="K7536" s="24" t="s">
        <v>1672</v>
      </c>
      <c r="L7536" s="28" t="s">
        <v>52</v>
      </c>
      <c r="M7536" s="25">
        <v>584242</v>
      </c>
      <c r="N7536" s="27">
        <v>0.13500220601516671</v>
      </c>
    </row>
    <row r="7537" spans="1:14" hidden="1" outlineLevel="1" x14ac:dyDescent="0.2">
      <c r="A7537" s="23" t="str">
        <f t="shared" si="317"/>
        <v>КРАСНОДАРСКИЙ ГОСУДАРСТВЕННЫЙ ИНСТИТУТ КУЛЬТУРЫ</v>
      </c>
      <c r="B7537" s="24" t="s">
        <v>9671</v>
      </c>
      <c r="C7537" s="25">
        <v>675426</v>
      </c>
      <c r="D7537" s="22" t="s">
        <v>9672</v>
      </c>
      <c r="E7537" s="22" t="s">
        <v>84</v>
      </c>
      <c r="F7537" s="23" t="str">
        <f t="shared" si="318"/>
        <v>Выполнение работ по установке видеонаблюдения в учебных корпусах и в общежитии № 1</v>
      </c>
      <c r="G7537" s="22" t="s">
        <v>132</v>
      </c>
      <c r="H7537" s="22" t="s">
        <v>652</v>
      </c>
      <c r="I7537" s="26">
        <v>43612.594444444403</v>
      </c>
      <c r="J7537" s="23" t="str">
        <f>HYPERLINK("https://www.spark-marketing.ru/Card/Person/5964605", "Колесников Андрей Викторович")</f>
        <v>Колесников Андрей Викторович</v>
      </c>
      <c r="K7537" s="24" t="s">
        <v>6591</v>
      </c>
      <c r="L7537" s="28" t="s">
        <v>52</v>
      </c>
      <c r="M7537" s="25">
        <v>268310.53999999998</v>
      </c>
      <c r="N7537" s="27">
        <v>0.60275361031408325</v>
      </c>
    </row>
    <row r="7538" spans="1:14" hidden="1" outlineLevel="1" x14ac:dyDescent="0.2">
      <c r="A7538" s="23" t="str">
        <f t="shared" si="317"/>
        <v>КРАСНОДАРСКИЙ ГОСУДАРСТВЕННЫЙ ИНСТИТУТ КУЛЬТУРЫ</v>
      </c>
      <c r="B7538" s="24" t="s">
        <v>9671</v>
      </c>
      <c r="C7538" s="25">
        <v>675426</v>
      </c>
      <c r="D7538" s="22" t="s">
        <v>9672</v>
      </c>
      <c r="E7538" s="22" t="s">
        <v>84</v>
      </c>
      <c r="F7538" s="23" t="str">
        <f t="shared" si="318"/>
        <v>Выполнение работ по установке видеонаблюдения в учебных корпусах и в общежитии № 1</v>
      </c>
      <c r="G7538" s="22" t="s">
        <v>132</v>
      </c>
      <c r="H7538" s="22" t="s">
        <v>652</v>
      </c>
      <c r="I7538" s="26">
        <v>43612.594444444403</v>
      </c>
      <c r="J7538" s="23" t="str">
        <f>HYPERLINK("https://www.spark-marketing.ru/Card/Person/54834", "ООО ""СЕТИ БЕЗОПАСНОСТИ""")</f>
        <v>ООО "СЕТИ БЕЗОПАСНОСТИ"</v>
      </c>
      <c r="K7538" s="24" t="s">
        <v>1985</v>
      </c>
      <c r="L7538" s="28" t="s">
        <v>52</v>
      </c>
      <c r="M7538" s="25">
        <v>607882.69999999995</v>
      </c>
      <c r="N7538" s="27">
        <v>0.10000103638296423</v>
      </c>
    </row>
    <row r="7539" spans="1:14" hidden="1" outlineLevel="1" x14ac:dyDescent="0.2">
      <c r="A7539" s="23" t="str">
        <f t="shared" si="317"/>
        <v>КРАСНОДАРСКИЙ ГОСУДАРСТВЕННЫЙ ИНСТИТУТ КУЛЬТУРЫ</v>
      </c>
      <c r="B7539" s="24" t="s">
        <v>9671</v>
      </c>
      <c r="C7539" s="25">
        <v>675426</v>
      </c>
      <c r="D7539" s="22" t="s">
        <v>9672</v>
      </c>
      <c r="E7539" s="22" t="s">
        <v>84</v>
      </c>
      <c r="F7539" s="23" t="str">
        <f t="shared" si="318"/>
        <v>Выполнение работ по установке видеонаблюдения в учебных корпусах и в общежитии № 1</v>
      </c>
      <c r="G7539" s="22" t="s">
        <v>132</v>
      </c>
      <c r="H7539" s="22" t="s">
        <v>652</v>
      </c>
      <c r="I7539" s="26">
        <v>43612.594444444403</v>
      </c>
      <c r="J7539" s="23" t="str">
        <f>HYPERLINK("https://www.spark-marketing.ru/Card/Person/6142617", "ООО ""АВРОРА СБ""")</f>
        <v>ООО "АВРОРА СБ"</v>
      </c>
      <c r="K7539" s="24" t="s">
        <v>9674</v>
      </c>
      <c r="L7539" s="28" t="s">
        <v>52</v>
      </c>
      <c r="M7539" s="25">
        <v>302081.84000000003</v>
      </c>
      <c r="N7539" s="27">
        <v>0.55275361031408321</v>
      </c>
    </row>
    <row r="7540" spans="1:14" ht="12.75" hidden="1" outlineLevel="1" x14ac:dyDescent="0.2">
      <c r="A7540" s="23" t="str">
        <f t="shared" si="317"/>
        <v>КРАСНОДАРСКИЙ ГОСУДАРСТВЕННЫЙ ИНСТИТУТ КУЛЬТУРЫ</v>
      </c>
      <c r="B7540" s="24" t="s">
        <v>9671</v>
      </c>
      <c r="C7540" s="25">
        <v>675426</v>
      </c>
      <c r="D7540" s="22" t="s">
        <v>9672</v>
      </c>
      <c r="E7540" s="22" t="s">
        <v>84</v>
      </c>
      <c r="F7540" s="23" t="str">
        <f t="shared" si="318"/>
        <v>Выполнение работ по установке видеонаблюдения в учебных корпусах и в общежитии № 1</v>
      </c>
      <c r="G7540" s="22" t="s">
        <v>132</v>
      </c>
      <c r="H7540" s="22" t="s">
        <v>652</v>
      </c>
      <c r="I7540" s="26">
        <v>43612.594444444403</v>
      </c>
      <c r="J7540" s="23" t="str">
        <f>HYPERLINK("https://www.spark-marketing.ru/Card/Person/47132", "ООО""СТРАТУС""")</f>
        <v>ООО"СТРАТУС"</v>
      </c>
      <c r="K7540" s="24" t="s">
        <v>8023</v>
      </c>
      <c r="L7540" s="22" t="s">
        <v>10</v>
      </c>
      <c r="M7540" s="25">
        <v>264933.40999999997</v>
      </c>
      <c r="N7540" s="27">
        <v>0.60775361031408326</v>
      </c>
    </row>
    <row r="7541" spans="1:14" hidden="1" outlineLevel="1" x14ac:dyDescent="0.2">
      <c r="A7541" s="23" t="str">
        <f t="shared" si="317"/>
        <v>КРАСНОДАРСКИЙ ГОСУДАРСТВЕННЫЙ ИНСТИТУТ КУЛЬТУРЫ</v>
      </c>
      <c r="B7541" s="24" t="s">
        <v>9671</v>
      </c>
      <c r="C7541" s="25">
        <v>675426</v>
      </c>
      <c r="D7541" s="22" t="s">
        <v>9672</v>
      </c>
      <c r="E7541" s="22" t="s">
        <v>84</v>
      </c>
      <c r="F7541" s="23" t="str">
        <f t="shared" si="318"/>
        <v>Выполнение работ по установке видеонаблюдения в учебных корпусах и в общежитии № 1</v>
      </c>
      <c r="G7541" s="22" t="s">
        <v>132</v>
      </c>
      <c r="H7541" s="22" t="s">
        <v>652</v>
      </c>
      <c r="I7541" s="26">
        <v>43612.594444444403</v>
      </c>
      <c r="J7541" s="23" t="str">
        <f>HYPERLINK("https://www.spark-marketing.ru/Card/Person/6415822", "ООО ""ИК-СИСТЕМЫ""")</f>
        <v>ООО "ИК-СИСТЕМЫ"</v>
      </c>
      <c r="K7541" s="24" t="s">
        <v>9675</v>
      </c>
      <c r="L7541" s="28" t="s">
        <v>52</v>
      </c>
      <c r="M7541" s="25">
        <v>423658.48</v>
      </c>
      <c r="N7541" s="27">
        <v>0.37275366953596695</v>
      </c>
    </row>
    <row r="7542" spans="1:14" x14ac:dyDescent="0.15">
      <c r="A7542" s="23" t="str">
        <f>HYPERLINK("https://www.spark-marketing.ru/Card/Person/27617", "ГБУЗ ""РАЙОННАЯ БОЛЬНИЦА Г. АША""")</f>
        <v>ГБУЗ "РАЙОННАЯ БОЛЬНИЦА Г. АША"</v>
      </c>
      <c r="B7542" s="24" t="s">
        <v>9676</v>
      </c>
      <c r="C7542" s="25">
        <v>74429.279999999999</v>
      </c>
      <c r="D7542" s="22" t="s">
        <v>9677</v>
      </c>
      <c r="E7542" s="22" t="s">
        <v>68</v>
      </c>
      <c r="F7542" s="23" t="str">
        <f>HYPERLINK("https://www.spark-marketing.ru/Card/Lot/70833634", "Оказание услуг на охрану и техническое обслуживание комплекса технических средств охраны объектов")</f>
        <v>Оказание услуг на охрану и техническое обслуживание комплекса технических средств охраны объектов</v>
      </c>
      <c r="G7542" s="22" t="s">
        <v>60</v>
      </c>
      <c r="H7542" s="22" t="s">
        <v>9678</v>
      </c>
      <c r="I7542" s="26">
        <v>43612.603472222203</v>
      </c>
      <c r="J7542" s="28" t="s">
        <v>52</v>
      </c>
      <c r="K7542" s="28" t="s">
        <v>52</v>
      </c>
      <c r="L7542" s="28" t="s">
        <v>52</v>
      </c>
      <c r="M7542" s="28" t="s">
        <v>52</v>
      </c>
      <c r="N7542" s="28" t="s">
        <v>52</v>
      </c>
    </row>
    <row r="7543" spans="1:14" x14ac:dyDescent="0.2">
      <c r="A7543" s="23" t="str">
        <f>HYPERLINK("https://www.spark-marketing.ru/Card/Person/1759651", "СРЕДНЯЯ ШКОЛА № 30, МАОУ ""СОШ № 30""")</f>
        <v>СРЕДНЯЯ ШКОЛА № 30, МАОУ "СОШ № 30"</v>
      </c>
      <c r="B7543" s="24" t="s">
        <v>9679</v>
      </c>
      <c r="C7543" s="25">
        <v>200000</v>
      </c>
      <c r="D7543" s="22" t="s">
        <v>9680</v>
      </c>
      <c r="E7543" s="22" t="s">
        <v>8385</v>
      </c>
      <c r="F7543" s="23" t="str">
        <f>HYPERLINK("https://www.spark-marketing.ru/Card/Lot/70820487", "Установка комплекса охранной сигнализации")</f>
        <v>Установка комплекса охранной сигнализации</v>
      </c>
      <c r="G7543" s="22" t="s">
        <v>72</v>
      </c>
      <c r="H7543" s="22" t="s">
        <v>72</v>
      </c>
      <c r="I7543" s="26">
        <v>43612.589456018497</v>
      </c>
      <c r="J7543" s="28" t="s">
        <v>52</v>
      </c>
      <c r="K7543" s="28" t="s">
        <v>52</v>
      </c>
      <c r="L7543" s="28" t="s">
        <v>52</v>
      </c>
      <c r="M7543" s="25">
        <v>175000</v>
      </c>
      <c r="N7543" s="27">
        <v>0.125</v>
      </c>
    </row>
    <row r="7544" spans="1:14" x14ac:dyDescent="0.15">
      <c r="A7544" s="23" t="str">
        <f>HYPERLINK("https://www.spark-marketing.ru/Card/Person/866844", "ГБУЗ ""ОПНБ № 5 """)</f>
        <v>ГБУЗ "ОПНБ № 5 "</v>
      </c>
      <c r="B7544" s="24" t="s">
        <v>9681</v>
      </c>
      <c r="C7544" s="25">
        <v>721240.32</v>
      </c>
      <c r="D7544" s="22" t="s">
        <v>9682</v>
      </c>
      <c r="E7544" s="22" t="s">
        <v>59</v>
      </c>
      <c r="F7544" s="23" t="str">
        <f>HYPERLINK("https://www.spark-marketing.ru/Card/Lot/70838888", "Комплексная безопасность: установка видеодомофонов в корпусах, диспансерах.")</f>
        <v>Комплексная безопасность: установка видеодомофонов в корпусах, диспансерах.</v>
      </c>
      <c r="G7544" s="22" t="s">
        <v>60</v>
      </c>
      <c r="H7544" s="22" t="s">
        <v>60</v>
      </c>
      <c r="I7544" s="26">
        <v>43612.613888888904</v>
      </c>
      <c r="J7544" s="28" t="s">
        <v>52</v>
      </c>
      <c r="K7544" s="28" t="s">
        <v>52</v>
      </c>
      <c r="L7544" s="28" t="s">
        <v>52</v>
      </c>
      <c r="M7544" s="28" t="s">
        <v>52</v>
      </c>
      <c r="N7544" s="28" t="s">
        <v>52</v>
      </c>
    </row>
    <row r="7545" spans="1:14" ht="12.75" hidden="1" outlineLevel="1" x14ac:dyDescent="0.2">
      <c r="A7545" s="23" t="str">
        <f>HYPERLINK("https://www.spark-marketing.ru/Card/Person/866844", "ГБУЗ ""ОПНБ № 5 """)</f>
        <v>ГБУЗ "ОПНБ № 5 "</v>
      </c>
      <c r="B7545" s="24" t="s">
        <v>9681</v>
      </c>
      <c r="C7545" s="25">
        <v>721240.32</v>
      </c>
      <c r="D7545" s="22" t="s">
        <v>9682</v>
      </c>
      <c r="E7545" s="22" t="s">
        <v>59</v>
      </c>
      <c r="F7545" s="23" t="str">
        <f>HYPERLINK("https://www.spark-marketing.ru/Card/Lot/70838888", "Комплексная безопасность: установка видеодомофонов в корпусах, диспансерах.")</f>
        <v>Комплексная безопасность: установка видеодомофонов в корпусах, диспансерах.</v>
      </c>
      <c r="G7545" s="22" t="s">
        <v>60</v>
      </c>
      <c r="H7545" s="22" t="s">
        <v>60</v>
      </c>
      <c r="I7545" s="26">
        <v>43612.613888888904</v>
      </c>
      <c r="J7545" s="23" t="str">
        <f>HYPERLINK("https://www.spark-marketing.ru/Card/Person/4354628", "ООО ""УРАЛКАМ""")</f>
        <v>ООО "УРАЛКАМ"</v>
      </c>
      <c r="K7545" s="24" t="s">
        <v>9683</v>
      </c>
      <c r="L7545" s="22" t="s">
        <v>10</v>
      </c>
      <c r="M7545" s="25">
        <v>356356</v>
      </c>
      <c r="N7545" s="27">
        <v>0.50591225959192077</v>
      </c>
    </row>
    <row r="7546" spans="1:14" hidden="1" outlineLevel="1" x14ac:dyDescent="0.2">
      <c r="A7546" s="23" t="str">
        <f>HYPERLINK("https://www.spark-marketing.ru/Card/Person/866844", "ГБУЗ ""ОПНБ № 5 """)</f>
        <v>ГБУЗ "ОПНБ № 5 "</v>
      </c>
      <c r="B7546" s="24" t="s">
        <v>9681</v>
      </c>
      <c r="C7546" s="25">
        <v>721240.32</v>
      </c>
      <c r="D7546" s="22" t="s">
        <v>9682</v>
      </c>
      <c r="E7546" s="22" t="s">
        <v>59</v>
      </c>
      <c r="F7546" s="23" t="str">
        <f>HYPERLINK("https://www.spark-marketing.ru/Card/Lot/70838888", "Комплексная безопасность: установка видеодомофонов в корпусах, диспансерах.")</f>
        <v>Комплексная безопасность: установка видеодомофонов в корпусах, диспансерах.</v>
      </c>
      <c r="G7546" s="22" t="s">
        <v>60</v>
      </c>
      <c r="H7546" s="22" t="s">
        <v>60</v>
      </c>
      <c r="I7546" s="26">
        <v>43612.613888888904</v>
      </c>
      <c r="J7546" s="23" t="str">
        <f>HYPERLINK("https://www.spark-marketing.ru/Card/Person/850561", "ООО ""АСКОН""")</f>
        <v>ООО "АСКОН"</v>
      </c>
      <c r="K7546" s="24" t="s">
        <v>1266</v>
      </c>
      <c r="L7546" s="28" t="s">
        <v>52</v>
      </c>
      <c r="M7546" s="25">
        <v>436337.54</v>
      </c>
      <c r="N7546" s="27">
        <v>0.39501782152168086</v>
      </c>
    </row>
    <row r="7547" spans="1:14" hidden="1" outlineLevel="1" x14ac:dyDescent="0.2">
      <c r="A7547" s="23" t="str">
        <f>HYPERLINK("https://www.spark-marketing.ru/Card/Person/866844", "ГБУЗ ""ОПНБ № 5 """)</f>
        <v>ГБУЗ "ОПНБ № 5 "</v>
      </c>
      <c r="B7547" s="24" t="s">
        <v>9681</v>
      </c>
      <c r="C7547" s="25">
        <v>721240.32</v>
      </c>
      <c r="D7547" s="22" t="s">
        <v>9682</v>
      </c>
      <c r="E7547" s="22" t="s">
        <v>59</v>
      </c>
      <c r="F7547" s="23" t="str">
        <f>HYPERLINK("https://www.spark-marketing.ru/Card/Lot/70838888", "Комплексная безопасность: установка видеодомофонов в корпусах, диспансерах.")</f>
        <v>Комплексная безопасность: установка видеодомофонов в корпусах, диспансерах.</v>
      </c>
      <c r="G7547" s="22" t="s">
        <v>60</v>
      </c>
      <c r="H7547" s="22" t="s">
        <v>60</v>
      </c>
      <c r="I7547" s="26">
        <v>43612.613888888904</v>
      </c>
      <c r="J7547" s="23" t="str">
        <f>HYPERLINK("https://www.spark-marketing.ru/Card/Person/857206", "Никулин Дмитрий Евгеньевич")</f>
        <v>Никулин Дмитрий Евгеньевич</v>
      </c>
      <c r="K7547" s="24" t="s">
        <v>7779</v>
      </c>
      <c r="L7547" s="28" t="s">
        <v>52</v>
      </c>
      <c r="M7547" s="25">
        <v>360602.39</v>
      </c>
      <c r="N7547" s="27">
        <v>0.5000246381123008</v>
      </c>
    </row>
    <row r="7548" spans="1:14" x14ac:dyDescent="0.15">
      <c r="A7548" s="23" t="str">
        <f>HYPERLINK("https://www.spark-marketing.ru/Card/Person/4352456", "УПРАВЛЕНИЕ РОСКОМНАДЗОРА ПО РЕСПУБЛИКЕ КРЫМ И ГОРОДУ СЕВАСТОПОЛЬ")</f>
        <v>УПРАВЛЕНИЕ РОСКОМНАДЗОРА ПО РЕСПУБЛИКЕ КРЫМ И ГОРОДУ СЕВАСТОПОЛЬ</v>
      </c>
      <c r="B7548" s="24" t="s">
        <v>9684</v>
      </c>
      <c r="C7548" s="25">
        <v>802377.6</v>
      </c>
      <c r="D7548" s="22" t="s">
        <v>9685</v>
      </c>
      <c r="E7548" s="22" t="s">
        <v>68</v>
      </c>
      <c r="F7548" s="23" t="str">
        <f>HYPERLINK("https://www.spark-marketing.ru/Card/Lot/70847834", "Оказание услуг по охране, обеспечение внутриобъектового пропускного режима")</f>
        <v>Оказание услуг по охране, обеспечение внутриобъектового пропускного режима</v>
      </c>
      <c r="G7548" s="22" t="s">
        <v>1053</v>
      </c>
      <c r="H7548" s="22" t="s">
        <v>3239</v>
      </c>
      <c r="I7548" s="26">
        <v>43612.622916666704</v>
      </c>
      <c r="J7548" s="28" t="s">
        <v>52</v>
      </c>
      <c r="K7548" s="28" t="s">
        <v>52</v>
      </c>
      <c r="L7548" s="28" t="s">
        <v>52</v>
      </c>
      <c r="M7548" s="28" t="s">
        <v>52</v>
      </c>
      <c r="N7548" s="28" t="s">
        <v>52</v>
      </c>
    </row>
    <row r="7549" spans="1:14" x14ac:dyDescent="0.15">
      <c r="A7549" s="23" t="str">
        <f>HYPERLINK("https://www.spark-marketing.ru/Card/Person/142764", "МАДОУ № 5 ""ПОЛЯНКА"" Г. ЮЖНО-САХАЛИНСКА")</f>
        <v>МАДОУ № 5 "ПОЛЯНКА" Г. ЮЖНО-САХАЛИНСКА</v>
      </c>
      <c r="B7549" s="24" t="s">
        <v>9601</v>
      </c>
      <c r="C7549" s="25">
        <v>2723486</v>
      </c>
      <c r="D7549" s="22" t="s">
        <v>9686</v>
      </c>
      <c r="E7549" s="22" t="s">
        <v>53</v>
      </c>
      <c r="F7549" s="23" t="str">
        <f>HYPERLINK("https://www.spark-marketing.ru/Card/Lot/70896663", "Установка системы видеонаблюдения в МАДОУ № 5 «Полянка» г.Южно-Сахалинска")</f>
        <v>Установка системы видеонаблюдения в МАДОУ № 5 «Полянка» г.Южно-Сахалинска</v>
      </c>
      <c r="G7549" s="22" t="s">
        <v>69</v>
      </c>
      <c r="H7549" s="22" t="s">
        <v>973</v>
      </c>
      <c r="I7549" s="26">
        <v>43612.579062500001</v>
      </c>
      <c r="J7549" s="28" t="s">
        <v>52</v>
      </c>
      <c r="K7549" s="28" t="s">
        <v>52</v>
      </c>
      <c r="L7549" s="28" t="s">
        <v>52</v>
      </c>
      <c r="M7549" s="28" t="s">
        <v>52</v>
      </c>
      <c r="N7549" s="28" t="s">
        <v>52</v>
      </c>
    </row>
    <row r="7550" spans="1:14" x14ac:dyDescent="0.2">
      <c r="A7550" s="23" t="str">
        <f>HYPERLINK("https://www.spark-marketing.ru/Card/Person/666553", "ФГП ВО ЖДТ РОССИИ")</f>
        <v>ФГП ВО ЖДТ РОССИИ</v>
      </c>
      <c r="B7550" s="24" t="s">
        <v>1269</v>
      </c>
      <c r="C7550" s="25">
        <v>42403.199999999997</v>
      </c>
      <c r="D7550" s="22" t="s">
        <v>9687</v>
      </c>
      <c r="E7550" s="22" t="s">
        <v>9688</v>
      </c>
      <c r="F7550" s="23" t="str">
        <f>HYPERLINK("https://www.spark-marketing.ru/Card/Lot/70861016", "Оказание услуг по стирке, глажке постельного белья для нужд Ульяновского отряда филиала ФГП ВО ЖДТ России на Куйбышевской железной дороге")</f>
        <v>Оказание услуг по стирке, глажке постельного белья для нужд Ульяновского отряда филиала ФГП ВО ЖДТ России на Куйбышевской железной дороге</v>
      </c>
      <c r="G7550" s="22" t="s">
        <v>446</v>
      </c>
      <c r="H7550" s="22" t="s">
        <v>446</v>
      </c>
      <c r="I7550" s="26">
        <v>43612.568773148101</v>
      </c>
      <c r="J7550" s="28" t="s">
        <v>52</v>
      </c>
      <c r="K7550" s="28" t="s">
        <v>52</v>
      </c>
      <c r="L7550" s="22" t="s">
        <v>10</v>
      </c>
      <c r="M7550" s="25">
        <v>42403.199999999997</v>
      </c>
      <c r="N7550" s="27">
        <v>0</v>
      </c>
    </row>
    <row r="7551" spans="1:14" x14ac:dyDescent="0.15">
      <c r="A7551" s="23" t="s">
        <v>121</v>
      </c>
      <c r="B7551" s="28" t="s">
        <v>52</v>
      </c>
      <c r="C7551" s="25">
        <v>19422629</v>
      </c>
      <c r="D7551" s="22" t="s">
        <v>9689</v>
      </c>
      <c r="E7551" s="22" t="s">
        <v>59</v>
      </c>
      <c r="F7551" s="23" t="str">
        <f t="shared" ref="F7551:F7565" si="319">HYPERLINK("https://www.spark-marketing.ru/Card/Lot/70840485", "Выполнение работ по монтажу системы видеонаблюдения в учреждениях образования Фрунзенского района Санкт-Петербурга в 2019 году")</f>
        <v>Выполнение работ по монтажу системы видеонаблюдения в учреждениях образования Фрунзенского района Санкт-Петербурга в 2019 году</v>
      </c>
      <c r="G7551" s="22" t="s">
        <v>52</v>
      </c>
      <c r="H7551" s="22" t="s">
        <v>52</v>
      </c>
      <c r="I7551" s="26">
        <v>43612.545833333301</v>
      </c>
      <c r="J7551" s="28" t="s">
        <v>52</v>
      </c>
      <c r="K7551" s="28" t="s">
        <v>52</v>
      </c>
      <c r="L7551" s="28" t="s">
        <v>52</v>
      </c>
      <c r="M7551" s="28" t="s">
        <v>52</v>
      </c>
      <c r="N7551" s="28" t="s">
        <v>52</v>
      </c>
    </row>
    <row r="7552" spans="1:14" hidden="1" outlineLevel="1" x14ac:dyDescent="0.15">
      <c r="A7552" s="23" t="str">
        <f>HYPERLINK("https://www.spark-marketing.ru/Card/Person/14633", "ГБДОУ ЦРР - ДЕТСКИЙ САД № 111 ФРУНЗЕНСКОГО РАЙОНА САНКТ-ПЕТЕРБУРГА")</f>
        <v>ГБДОУ ЦРР - ДЕТСКИЙ САД № 111 ФРУНЗЕНСКОГО РАЙОНА САНКТ-ПЕТЕРБУРГА</v>
      </c>
      <c r="B7552" s="24" t="s">
        <v>9690</v>
      </c>
      <c r="C7552" s="25">
        <v>1226420</v>
      </c>
      <c r="D7552" s="22" t="s">
        <v>9689</v>
      </c>
      <c r="E7552" s="22" t="s">
        <v>59</v>
      </c>
      <c r="F7552" s="23" t="str">
        <f t="shared" si="319"/>
        <v>Выполнение работ по монтажу системы видеонаблюдения в учреждениях образования Фрунзенского района Санкт-Петербурга в 2019 году</v>
      </c>
      <c r="G7552" s="22" t="s">
        <v>89</v>
      </c>
      <c r="H7552" s="22" t="s">
        <v>89</v>
      </c>
      <c r="I7552" s="26">
        <v>43612.545833333301</v>
      </c>
      <c r="J7552" s="28" t="s">
        <v>52</v>
      </c>
      <c r="K7552" s="28" t="s">
        <v>52</v>
      </c>
      <c r="L7552" s="28" t="s">
        <v>52</v>
      </c>
      <c r="M7552" s="28" t="s">
        <v>52</v>
      </c>
      <c r="N7552" s="28" t="s">
        <v>52</v>
      </c>
    </row>
    <row r="7553" spans="1:14" hidden="1" outlineLevel="1" x14ac:dyDescent="0.15">
      <c r="A7553" s="23" t="str">
        <f>HYPERLINK("https://www.spark-marketing.ru/Card/Person/25530", "ГБОУ СОШ № 303 ИМЕНИ ФРИДРИХА ШИЛЛЕРА")</f>
        <v>ГБОУ СОШ № 303 ИМЕНИ ФРИДРИХА ШИЛЛЕРА</v>
      </c>
      <c r="B7553" s="24" t="s">
        <v>9691</v>
      </c>
      <c r="C7553" s="25">
        <v>4014731</v>
      </c>
      <c r="D7553" s="22" t="s">
        <v>9689</v>
      </c>
      <c r="E7553" s="22" t="s">
        <v>59</v>
      </c>
      <c r="F7553" s="23" t="str">
        <f t="shared" si="319"/>
        <v>Выполнение работ по монтажу системы видеонаблюдения в учреждениях образования Фрунзенского района Санкт-Петербурга в 2019 году</v>
      </c>
      <c r="G7553" s="22" t="s">
        <v>89</v>
      </c>
      <c r="H7553" s="22" t="s">
        <v>89</v>
      </c>
      <c r="I7553" s="26">
        <v>43612.545833333301</v>
      </c>
      <c r="J7553" s="28" t="s">
        <v>52</v>
      </c>
      <c r="K7553" s="28" t="s">
        <v>52</v>
      </c>
      <c r="L7553" s="28" t="s">
        <v>52</v>
      </c>
      <c r="M7553" s="28" t="s">
        <v>52</v>
      </c>
      <c r="N7553" s="28" t="s">
        <v>52</v>
      </c>
    </row>
    <row r="7554" spans="1:14" hidden="1" outlineLevel="1" x14ac:dyDescent="0.15">
      <c r="A7554" s="23" t="str">
        <f>HYPERLINK("https://www.spark-marketing.ru/Card/Person/32702", "ГБОУ ГИМНАЗИЯ № 587 ФРУНЗЕНСКОГО РАЙОНА САНКТ-ПЕТЕРБУРГА")</f>
        <v>ГБОУ ГИМНАЗИЯ № 587 ФРУНЗЕНСКОГО РАЙОНА САНКТ-ПЕТЕРБУРГА</v>
      </c>
      <c r="B7554" s="24" t="s">
        <v>9692</v>
      </c>
      <c r="C7554" s="25">
        <v>1146953</v>
      </c>
      <c r="D7554" s="22" t="s">
        <v>9689</v>
      </c>
      <c r="E7554" s="22" t="s">
        <v>59</v>
      </c>
      <c r="F7554" s="23" t="str">
        <f t="shared" si="319"/>
        <v>Выполнение работ по монтажу системы видеонаблюдения в учреждениях образования Фрунзенского района Санкт-Петербурга в 2019 году</v>
      </c>
      <c r="G7554" s="22" t="s">
        <v>89</v>
      </c>
      <c r="H7554" s="22" t="s">
        <v>89</v>
      </c>
      <c r="I7554" s="26">
        <v>43612.545833333301</v>
      </c>
      <c r="J7554" s="28" t="s">
        <v>52</v>
      </c>
      <c r="K7554" s="28" t="s">
        <v>52</v>
      </c>
      <c r="L7554" s="28" t="s">
        <v>52</v>
      </c>
      <c r="M7554" s="28" t="s">
        <v>52</v>
      </c>
      <c r="N7554" s="28" t="s">
        <v>52</v>
      </c>
    </row>
    <row r="7555" spans="1:14" hidden="1" outlineLevel="1" x14ac:dyDescent="0.15">
      <c r="A7555" s="23" t="str">
        <f>HYPERLINK("https://www.spark-marketing.ru/Card/Person/35979", "ГБОУ ШКОЛА № 443 ФРУНЗЕНСКОГО РАЙОНА САНКТ-ПЕТЕРБУРГА")</f>
        <v>ГБОУ ШКОЛА № 443 ФРУНЗЕНСКОГО РАЙОНА САНКТ-ПЕТЕРБУРГА</v>
      </c>
      <c r="B7555" s="24" t="s">
        <v>9693</v>
      </c>
      <c r="C7555" s="25">
        <v>949393</v>
      </c>
      <c r="D7555" s="22" t="s">
        <v>9689</v>
      </c>
      <c r="E7555" s="22" t="s">
        <v>59</v>
      </c>
      <c r="F7555" s="23" t="str">
        <f t="shared" si="319"/>
        <v>Выполнение работ по монтажу системы видеонаблюдения в учреждениях образования Фрунзенского района Санкт-Петербурга в 2019 году</v>
      </c>
      <c r="G7555" s="22" t="s">
        <v>89</v>
      </c>
      <c r="H7555" s="22" t="s">
        <v>89</v>
      </c>
      <c r="I7555" s="26">
        <v>43612.545833333301</v>
      </c>
      <c r="J7555" s="28" t="s">
        <v>52</v>
      </c>
      <c r="K7555" s="28" t="s">
        <v>52</v>
      </c>
      <c r="L7555" s="28" t="s">
        <v>52</v>
      </c>
      <c r="M7555" s="28" t="s">
        <v>52</v>
      </c>
      <c r="N7555" s="28" t="s">
        <v>52</v>
      </c>
    </row>
    <row r="7556" spans="1:14" hidden="1" outlineLevel="1" x14ac:dyDescent="0.15">
      <c r="A7556" s="23" t="str">
        <f>HYPERLINK("https://www.spark-marketing.ru/Card/Person/44842", "ГБУ ДО ЦДЮТТ ФРУНЗЕНСКОГО РАЙОНА САНКТ-ПЕТЕРБУРГА ""МОТОР""")</f>
        <v>ГБУ ДО ЦДЮТТ ФРУНЗЕНСКОГО РАЙОНА САНКТ-ПЕТЕРБУРГА "МОТОР"</v>
      </c>
      <c r="B7556" s="24" t="s">
        <v>9694</v>
      </c>
      <c r="C7556" s="25">
        <v>581506</v>
      </c>
      <c r="D7556" s="22" t="s">
        <v>9689</v>
      </c>
      <c r="E7556" s="22" t="s">
        <v>59</v>
      </c>
      <c r="F7556" s="23" t="str">
        <f t="shared" si="319"/>
        <v>Выполнение работ по монтажу системы видеонаблюдения в учреждениях образования Фрунзенского района Санкт-Петербурга в 2019 году</v>
      </c>
      <c r="G7556" s="22" t="s">
        <v>89</v>
      </c>
      <c r="H7556" s="22" t="s">
        <v>89</v>
      </c>
      <c r="I7556" s="26">
        <v>43612.545833333301</v>
      </c>
      <c r="J7556" s="28" t="s">
        <v>52</v>
      </c>
      <c r="K7556" s="28" t="s">
        <v>52</v>
      </c>
      <c r="L7556" s="28" t="s">
        <v>52</v>
      </c>
      <c r="M7556" s="28" t="s">
        <v>52</v>
      </c>
      <c r="N7556" s="28" t="s">
        <v>52</v>
      </c>
    </row>
    <row r="7557" spans="1:14" hidden="1" outlineLevel="1" x14ac:dyDescent="0.15">
      <c r="A7557" s="23" t="str">
        <f>HYPERLINK("https://www.spark-marketing.ru/Card/Person/59240", "ГБУ ДО ЦТИО ФРУНЗЕНСКОГО РАЙОНА САНКТ-ПЕТЕРБУРГА")</f>
        <v>ГБУ ДО ЦТИО ФРУНЗЕНСКОГО РАЙОНА САНКТ-ПЕТЕРБУРГА</v>
      </c>
      <c r="B7557" s="24" t="s">
        <v>9695</v>
      </c>
      <c r="C7557" s="25">
        <v>5837221</v>
      </c>
      <c r="D7557" s="22" t="s">
        <v>9689</v>
      </c>
      <c r="E7557" s="22" t="s">
        <v>59</v>
      </c>
      <c r="F7557" s="23" t="str">
        <f t="shared" si="319"/>
        <v>Выполнение работ по монтажу системы видеонаблюдения в учреждениях образования Фрунзенского района Санкт-Петербурга в 2019 году</v>
      </c>
      <c r="G7557" s="22" t="s">
        <v>89</v>
      </c>
      <c r="H7557" s="22" t="s">
        <v>89</v>
      </c>
      <c r="I7557" s="26">
        <v>43612.545833333301</v>
      </c>
      <c r="J7557" s="28" t="s">
        <v>52</v>
      </c>
      <c r="K7557" s="28" t="s">
        <v>52</v>
      </c>
      <c r="L7557" s="28" t="s">
        <v>52</v>
      </c>
      <c r="M7557" s="28" t="s">
        <v>52</v>
      </c>
      <c r="N7557" s="28" t="s">
        <v>52</v>
      </c>
    </row>
    <row r="7558" spans="1:14" hidden="1" outlineLevel="1" x14ac:dyDescent="0.15">
      <c r="A7558" s="23" t="str">
        <f>HYPERLINK("https://www.spark-marketing.ru/Card/Person/60938", "ГБОУ СОШ № 215 ФРУНЗЕНСКОГО РАЙОНА САНКТ-ПЕТЕРБУРГА")</f>
        <v>ГБОУ СОШ № 215 ФРУНЗЕНСКОГО РАЙОНА САНКТ-ПЕТЕРБУРГА</v>
      </c>
      <c r="B7558" s="24" t="s">
        <v>9696</v>
      </c>
      <c r="C7558" s="25">
        <v>884159</v>
      </c>
      <c r="D7558" s="22" t="s">
        <v>9689</v>
      </c>
      <c r="E7558" s="22" t="s">
        <v>59</v>
      </c>
      <c r="F7558" s="23" t="str">
        <f t="shared" si="319"/>
        <v>Выполнение работ по монтажу системы видеонаблюдения в учреждениях образования Фрунзенского района Санкт-Петербурга в 2019 году</v>
      </c>
      <c r="G7558" s="22" t="s">
        <v>89</v>
      </c>
      <c r="H7558" s="22" t="s">
        <v>89</v>
      </c>
      <c r="I7558" s="26">
        <v>43612.545833333301</v>
      </c>
      <c r="J7558" s="28" t="s">
        <v>52</v>
      </c>
      <c r="K7558" s="28" t="s">
        <v>52</v>
      </c>
      <c r="L7558" s="28" t="s">
        <v>52</v>
      </c>
      <c r="M7558" s="28" t="s">
        <v>52</v>
      </c>
      <c r="N7558" s="28" t="s">
        <v>52</v>
      </c>
    </row>
    <row r="7559" spans="1:14" hidden="1" outlineLevel="1" x14ac:dyDescent="0.15">
      <c r="A7559" s="23" t="str">
        <f>HYPERLINK("https://www.spark-marketing.ru/Card/Person/101973", "ГБДОУ - ДЕТСКИЙ САД № 97 КОМПЕНСИРУЮЩЕГО ВИДА ФРУНЗЕНСКОГО РАЙОНА СПБ")</f>
        <v>ГБДОУ - ДЕТСКИЙ САД № 97 КОМПЕНСИРУЮЩЕГО ВИДА ФРУНЗЕНСКОГО РАЙОНА СПБ</v>
      </c>
      <c r="B7559" s="24" t="s">
        <v>9697</v>
      </c>
      <c r="C7559" s="25">
        <v>535205</v>
      </c>
      <c r="D7559" s="22" t="s">
        <v>9689</v>
      </c>
      <c r="E7559" s="22" t="s">
        <v>59</v>
      </c>
      <c r="F7559" s="23" t="str">
        <f t="shared" si="319"/>
        <v>Выполнение работ по монтажу системы видеонаблюдения в учреждениях образования Фрунзенского района Санкт-Петербурга в 2019 году</v>
      </c>
      <c r="G7559" s="22" t="s">
        <v>89</v>
      </c>
      <c r="H7559" s="22" t="s">
        <v>89</v>
      </c>
      <c r="I7559" s="26">
        <v>43612.545833333301</v>
      </c>
      <c r="J7559" s="28" t="s">
        <v>52</v>
      </c>
      <c r="K7559" s="28" t="s">
        <v>52</v>
      </c>
      <c r="L7559" s="28" t="s">
        <v>52</v>
      </c>
      <c r="M7559" s="28" t="s">
        <v>52</v>
      </c>
      <c r="N7559" s="28" t="s">
        <v>52</v>
      </c>
    </row>
    <row r="7560" spans="1:14" hidden="1" outlineLevel="1" x14ac:dyDescent="0.15">
      <c r="A7560" s="23" t="str">
        <f>HYPERLINK("https://www.spark-marketing.ru/Card/Person/103010", "ГБДОУ ДЕТСКИЙ САД № 43 КОМБИНИРОВАННОГО ВИДА ФРУНЗЕНСКОГО РАЙОНА САНКТ-ПЕТЕРБУРГА")</f>
        <v>ГБДОУ ДЕТСКИЙ САД № 43 КОМБИНИРОВАННОГО ВИДА ФРУНЗЕНСКОГО РАЙОНА САНКТ-ПЕТЕРБУРГА</v>
      </c>
      <c r="B7560" s="24" t="s">
        <v>9698</v>
      </c>
      <c r="C7560" s="25">
        <v>1379654</v>
      </c>
      <c r="D7560" s="22" t="s">
        <v>9689</v>
      </c>
      <c r="E7560" s="22" t="s">
        <v>59</v>
      </c>
      <c r="F7560" s="23" t="str">
        <f t="shared" si="319"/>
        <v>Выполнение работ по монтажу системы видеонаблюдения в учреждениях образования Фрунзенского района Санкт-Петербурга в 2019 году</v>
      </c>
      <c r="G7560" s="22" t="s">
        <v>89</v>
      </c>
      <c r="H7560" s="22" t="s">
        <v>89</v>
      </c>
      <c r="I7560" s="26">
        <v>43612.545833333301</v>
      </c>
      <c r="J7560" s="28" t="s">
        <v>52</v>
      </c>
      <c r="K7560" s="28" t="s">
        <v>52</v>
      </c>
      <c r="L7560" s="28" t="s">
        <v>52</v>
      </c>
      <c r="M7560" s="28" t="s">
        <v>52</v>
      </c>
      <c r="N7560" s="28" t="s">
        <v>52</v>
      </c>
    </row>
    <row r="7561" spans="1:14" hidden="1" outlineLevel="1" x14ac:dyDescent="0.15">
      <c r="A7561" s="23" t="str">
        <f>HYPERLINK("https://www.spark-marketing.ru/Card/Person/232931", "ГБДОУ ДЕТСКИЙ САД № 85 ФРУНЗЕНСКОГО РАЙОНА САНКТ-ПЕТЕРБУРГА")</f>
        <v>ГБДОУ ДЕТСКИЙ САД № 85 ФРУНЗЕНСКОГО РАЙОНА САНКТ-ПЕТЕРБУРГА</v>
      </c>
      <c r="B7561" s="24" t="s">
        <v>9699</v>
      </c>
      <c r="C7561" s="25">
        <v>1090188</v>
      </c>
      <c r="D7561" s="22" t="s">
        <v>9689</v>
      </c>
      <c r="E7561" s="22" t="s">
        <v>59</v>
      </c>
      <c r="F7561" s="23" t="str">
        <f t="shared" si="319"/>
        <v>Выполнение работ по монтажу системы видеонаблюдения в учреждениях образования Фрунзенского района Санкт-Петербурга в 2019 году</v>
      </c>
      <c r="G7561" s="22" t="s">
        <v>89</v>
      </c>
      <c r="H7561" s="22" t="s">
        <v>89</v>
      </c>
      <c r="I7561" s="26">
        <v>43612.545833333301</v>
      </c>
      <c r="J7561" s="28" t="s">
        <v>52</v>
      </c>
      <c r="K7561" s="28" t="s">
        <v>52</v>
      </c>
      <c r="L7561" s="28" t="s">
        <v>52</v>
      </c>
      <c r="M7561" s="28" t="s">
        <v>52</v>
      </c>
      <c r="N7561" s="28" t="s">
        <v>52</v>
      </c>
    </row>
    <row r="7562" spans="1:14" hidden="1" outlineLevel="1" x14ac:dyDescent="0.15">
      <c r="A7562" s="23" t="str">
        <f>HYPERLINK("https://www.spark-marketing.ru/Card/Person/233129", "ГБДОУ ДЕТСКИЙ САД № 94 КОМБИНИРОВАННОГО ВИДА ФРУНЗЕНСКОГО РАЙОНА СПБ")</f>
        <v>ГБДОУ ДЕТСКИЙ САД № 94 КОМБИНИРОВАННОГО ВИДА ФРУНЗЕНСКОГО РАЙОНА СПБ</v>
      </c>
      <c r="B7562" s="24" t="s">
        <v>9700</v>
      </c>
      <c r="C7562" s="25">
        <v>1336529</v>
      </c>
      <c r="D7562" s="22" t="s">
        <v>9689</v>
      </c>
      <c r="E7562" s="22" t="s">
        <v>59</v>
      </c>
      <c r="F7562" s="23" t="str">
        <f t="shared" si="319"/>
        <v>Выполнение работ по монтажу системы видеонаблюдения в учреждениях образования Фрунзенского района Санкт-Петербурга в 2019 году</v>
      </c>
      <c r="G7562" s="22" t="s">
        <v>89</v>
      </c>
      <c r="H7562" s="22" t="s">
        <v>89</v>
      </c>
      <c r="I7562" s="26">
        <v>43612.545833333301</v>
      </c>
      <c r="J7562" s="28" t="s">
        <v>52</v>
      </c>
      <c r="K7562" s="28" t="s">
        <v>52</v>
      </c>
      <c r="L7562" s="28" t="s">
        <v>52</v>
      </c>
      <c r="M7562" s="28" t="s">
        <v>52</v>
      </c>
      <c r="N7562" s="28" t="s">
        <v>52</v>
      </c>
    </row>
    <row r="7563" spans="1:14" hidden="1" outlineLevel="1" x14ac:dyDescent="0.15">
      <c r="A7563" s="23" t="str">
        <f>HYPERLINK("https://www.spark-marketing.ru/Card/Person/233452", "ГБДОУ ДЕТСКИЙ САД № 76 КОМБИНИРОВАННОГО ВИДА ФРУНЗЕНСКОГО РАЙОНА САНКТ-ПЕТЕРБУРГА")</f>
        <v>ГБДОУ ДЕТСКИЙ САД № 76 КОМБИНИРОВАННОГО ВИДА ФРУНЗЕНСКОГО РАЙОНА САНКТ-ПЕТЕРБУРГА</v>
      </c>
      <c r="B7563" s="24" t="s">
        <v>9701</v>
      </c>
      <c r="C7563" s="25">
        <v>440670</v>
      </c>
      <c r="D7563" s="22" t="s">
        <v>9689</v>
      </c>
      <c r="E7563" s="22" t="s">
        <v>59</v>
      </c>
      <c r="F7563" s="23" t="str">
        <f t="shared" si="319"/>
        <v>Выполнение работ по монтажу системы видеонаблюдения в учреждениях образования Фрунзенского района Санкт-Петербурга в 2019 году</v>
      </c>
      <c r="G7563" s="22" t="s">
        <v>89</v>
      </c>
      <c r="H7563" s="22" t="s">
        <v>89</v>
      </c>
      <c r="I7563" s="26">
        <v>43612.545833333301</v>
      </c>
      <c r="J7563" s="28" t="s">
        <v>52</v>
      </c>
      <c r="K7563" s="28" t="s">
        <v>52</v>
      </c>
      <c r="L7563" s="28" t="s">
        <v>52</v>
      </c>
      <c r="M7563" s="28" t="s">
        <v>52</v>
      </c>
      <c r="N7563" s="28" t="s">
        <v>52</v>
      </c>
    </row>
    <row r="7564" spans="1:14" hidden="1" outlineLevel="1" x14ac:dyDescent="0.2">
      <c r="A7564" s="28" t="s">
        <v>52</v>
      </c>
      <c r="B7564" s="28" t="s">
        <v>52</v>
      </c>
      <c r="C7564" s="28" t="s">
        <v>52</v>
      </c>
      <c r="D7564" s="22" t="s">
        <v>9689</v>
      </c>
      <c r="E7564" s="22" t="s">
        <v>59</v>
      </c>
      <c r="F7564" s="23" t="str">
        <f t="shared" si="319"/>
        <v>Выполнение работ по монтажу системы видеонаблюдения в учреждениях образования Фрунзенского района Санкт-Петербурга в 2019 году</v>
      </c>
      <c r="G7564" s="22" t="s">
        <v>52</v>
      </c>
      <c r="H7564" s="22" t="s">
        <v>52</v>
      </c>
      <c r="I7564" s="26">
        <v>43612.545833333301</v>
      </c>
      <c r="J7564" s="23" t="str">
        <f>HYPERLINK("https://www.spark-marketing.ru/Card/Person/6048845", "ООО ""АВАНГАРД""")</f>
        <v>ООО "АВАНГАРД"</v>
      </c>
      <c r="K7564" s="24" t="s">
        <v>1978</v>
      </c>
      <c r="L7564" s="28" t="s">
        <v>52</v>
      </c>
      <c r="M7564" s="25">
        <v>19325515.850000001</v>
      </c>
      <c r="N7564" s="27">
        <v>5.0000002574316794E-3</v>
      </c>
    </row>
    <row r="7565" spans="1:14" hidden="1" outlineLevel="1" x14ac:dyDescent="0.2">
      <c r="A7565" s="28" t="s">
        <v>52</v>
      </c>
      <c r="B7565" s="28" t="s">
        <v>52</v>
      </c>
      <c r="C7565" s="28" t="s">
        <v>52</v>
      </c>
      <c r="D7565" s="22" t="s">
        <v>9689</v>
      </c>
      <c r="E7565" s="22" t="s">
        <v>59</v>
      </c>
      <c r="F7565" s="23" t="str">
        <f t="shared" si="319"/>
        <v>Выполнение работ по монтажу системы видеонаблюдения в учреждениях образования Фрунзенского района Санкт-Петербурга в 2019 году</v>
      </c>
      <c r="G7565" s="22" t="s">
        <v>52</v>
      </c>
      <c r="H7565" s="22" t="s">
        <v>52</v>
      </c>
      <c r="I7565" s="26">
        <v>43612.545833333301</v>
      </c>
      <c r="J7565" s="23" t="str">
        <f>HYPERLINK("https://www.spark-marketing.ru/Card/Person/6457183", "ООО ""Т-СЕРВИС""")</f>
        <v>ООО "Т-СЕРВИС"</v>
      </c>
      <c r="K7565" s="24" t="s">
        <v>1979</v>
      </c>
      <c r="L7565" s="22" t="s">
        <v>10</v>
      </c>
      <c r="M7565" s="25">
        <v>19228402.699999999</v>
      </c>
      <c r="N7565" s="27">
        <v>1.0000000514863359E-2</v>
      </c>
    </row>
    <row r="7566" spans="1:14" x14ac:dyDescent="0.15">
      <c r="A7566" s="23" t="str">
        <f>HYPERLINK("https://www.spark-marketing.ru/Card/Person/2058635", "ФЛ ФГКУ РОСГРАНСТРОЙ В Г ЧИТЕ")</f>
        <v>ФЛ ФГКУ РОСГРАНСТРОЙ В Г ЧИТЕ</v>
      </c>
      <c r="B7566" s="24" t="s">
        <v>1291</v>
      </c>
      <c r="C7566" s="25">
        <v>1094045.73</v>
      </c>
      <c r="D7566" s="22" t="s">
        <v>9702</v>
      </c>
      <c r="E7566" s="22" t="s">
        <v>52</v>
      </c>
      <c r="F7566" s="23" t="str">
        <f>HYPERLINK("https://www.spark-marketing.ru/Card/Lot/70826781", "Оказание услуг по государственной охране, закрепленного в оперативном управлении ФГКУ Росгранстрой имущества, находящегося на ДАПП Староцурухайтуйский для нужд Читинского филиала ФГКУ Росгранстрой")</f>
        <v>Оказание услуг по государственной охране, закрепленного в оперативном управлении ФГКУ Росгранстрой имущества, находящегося на ДАПП Староцурухайтуйский для нужд Читинского филиала ФГКУ Росгранстрой</v>
      </c>
      <c r="G7566" s="22" t="s">
        <v>473</v>
      </c>
      <c r="H7566" s="22" t="s">
        <v>9703</v>
      </c>
      <c r="I7566" s="26">
        <v>43612.561111111099</v>
      </c>
      <c r="J7566" s="28" t="s">
        <v>52</v>
      </c>
      <c r="K7566" s="28" t="s">
        <v>52</v>
      </c>
      <c r="L7566" s="28" t="s">
        <v>52</v>
      </c>
      <c r="M7566" s="28" t="s">
        <v>52</v>
      </c>
      <c r="N7566" s="28" t="s">
        <v>52</v>
      </c>
    </row>
    <row r="7567" spans="1:14" x14ac:dyDescent="0.15">
      <c r="A7567" s="23" t="str">
        <f>HYPERLINK("https://www.spark-marketing.ru/Card/Person/60250", "МБДОУ Д/С № 6 ""РОДНИЧОК""")</f>
        <v>МБДОУ Д/С № 6 "РОДНИЧОК"</v>
      </c>
      <c r="B7567" s="24" t="s">
        <v>2955</v>
      </c>
      <c r="C7567" s="25">
        <v>35000</v>
      </c>
      <c r="D7567" s="22" t="s">
        <v>9704</v>
      </c>
      <c r="E7567" s="22" t="s">
        <v>732</v>
      </c>
      <c r="F7567" s="23" t="str">
        <f>HYPERLINK("https://www.spark-marketing.ru/Card/Lot/70822665", "На выполнение работ по установке видеодомофона")</f>
        <v>На выполнение работ по установке видеодомофона</v>
      </c>
      <c r="G7567" s="22" t="s">
        <v>50</v>
      </c>
      <c r="H7567" s="22" t="s">
        <v>2957</v>
      </c>
      <c r="I7567" s="26">
        <v>43612.534351851798</v>
      </c>
      <c r="J7567" s="28" t="s">
        <v>52</v>
      </c>
      <c r="K7567" s="28" t="s">
        <v>52</v>
      </c>
      <c r="L7567" s="28" t="s">
        <v>52</v>
      </c>
      <c r="M7567" s="28" t="s">
        <v>52</v>
      </c>
      <c r="N7567" s="28" t="s">
        <v>52</v>
      </c>
    </row>
    <row r="7568" spans="1:14" x14ac:dyDescent="0.15">
      <c r="A7568" s="23" t="str">
        <f>HYPERLINK("https://www.spark-marketing.ru/Card/Person/65060", "ГБУЗ РК ""СГБ""")</f>
        <v>ГБУЗ РК "СГБ"</v>
      </c>
      <c r="B7568" s="24" t="s">
        <v>9638</v>
      </c>
      <c r="C7568" s="25">
        <v>32693</v>
      </c>
      <c r="D7568" s="22" t="s">
        <v>9705</v>
      </c>
      <c r="E7568" s="22" t="s">
        <v>59</v>
      </c>
      <c r="F7568" s="23" t="str">
        <f>HYPERLINK("https://www.spark-marketing.ru/Card/Lot/70831035", "Оказание услуг по установке системы видеонаблюдения")</f>
        <v>Оказание услуг по установке системы видеонаблюдения</v>
      </c>
      <c r="G7568" s="22" t="s">
        <v>538</v>
      </c>
      <c r="H7568" s="22" t="s">
        <v>707</v>
      </c>
      <c r="I7568" s="26">
        <v>43612.529166666704</v>
      </c>
      <c r="J7568" s="28" t="s">
        <v>52</v>
      </c>
      <c r="K7568" s="28" t="s">
        <v>52</v>
      </c>
      <c r="L7568" s="28" t="s">
        <v>52</v>
      </c>
      <c r="M7568" s="28" t="s">
        <v>52</v>
      </c>
      <c r="N7568" s="28" t="s">
        <v>52</v>
      </c>
    </row>
    <row r="7569" spans="1:14" hidden="1" outlineLevel="1" x14ac:dyDescent="0.2">
      <c r="A7569" s="23" t="str">
        <f>HYPERLINK("https://www.spark-marketing.ru/Card/Person/65060", "ГБУЗ РК ""СГБ""")</f>
        <v>ГБУЗ РК "СГБ"</v>
      </c>
      <c r="B7569" s="24" t="s">
        <v>9638</v>
      </c>
      <c r="C7569" s="25">
        <v>32693</v>
      </c>
      <c r="D7569" s="22" t="s">
        <v>9705</v>
      </c>
      <c r="E7569" s="22" t="s">
        <v>59</v>
      </c>
      <c r="F7569" s="23" t="str">
        <f>HYPERLINK("https://www.spark-marketing.ru/Card/Lot/70831035", "Оказание услуг по установке системы видеонаблюдения")</f>
        <v>Оказание услуг по установке системы видеонаблюдения</v>
      </c>
      <c r="G7569" s="22" t="s">
        <v>538</v>
      </c>
      <c r="H7569" s="22" t="s">
        <v>707</v>
      </c>
      <c r="I7569" s="26">
        <v>43612.529166666704</v>
      </c>
      <c r="J7569" s="23" t="str">
        <f>HYPERLINK("https://www.spark-marketing.ru/Card/Person/4851179", "Коршунов Александр Александрович")</f>
        <v>Коршунов Александр Александрович</v>
      </c>
      <c r="K7569" s="24" t="s">
        <v>9641</v>
      </c>
      <c r="L7569" s="28" t="s">
        <v>52</v>
      </c>
      <c r="M7569" s="25">
        <v>20094.07</v>
      </c>
      <c r="N7569" s="27">
        <v>0.38537087449912827</v>
      </c>
    </row>
    <row r="7570" spans="1:14" hidden="1" outlineLevel="1" x14ac:dyDescent="0.2">
      <c r="A7570" s="23" t="str">
        <f>HYPERLINK("https://www.spark-marketing.ru/Card/Person/65060", "ГБУЗ РК ""СГБ""")</f>
        <v>ГБУЗ РК "СГБ"</v>
      </c>
      <c r="B7570" s="24" t="s">
        <v>9638</v>
      </c>
      <c r="C7570" s="25">
        <v>32693</v>
      </c>
      <c r="D7570" s="22" t="s">
        <v>9705</v>
      </c>
      <c r="E7570" s="22" t="s">
        <v>59</v>
      </c>
      <c r="F7570" s="23" t="str">
        <f>HYPERLINK("https://www.spark-marketing.ru/Card/Lot/70831035", "Оказание услуг по установке системы видеонаблюдения")</f>
        <v>Оказание услуг по установке системы видеонаблюдения</v>
      </c>
      <c r="G7570" s="22" t="s">
        <v>538</v>
      </c>
      <c r="H7570" s="22" t="s">
        <v>707</v>
      </c>
      <c r="I7570" s="26">
        <v>43612.529166666704</v>
      </c>
      <c r="J7570" s="23" t="str">
        <f>HYPERLINK("https://www.spark-marketing.ru/Card/Person/217523", "ООО ""ДЕНВИК-СИСТЕМЫ БЕЗОПАСНОСТИ""")</f>
        <v>ООО "ДЕНВИК-СИСТЕМЫ БЕЗОПАСНОСТИ"</v>
      </c>
      <c r="K7570" s="24" t="s">
        <v>9642</v>
      </c>
      <c r="L7570" s="28" t="s">
        <v>52</v>
      </c>
      <c r="M7570" s="25">
        <v>23200</v>
      </c>
      <c r="N7570" s="27">
        <v>0.29036796867831033</v>
      </c>
    </row>
    <row r="7571" spans="1:14" hidden="1" outlineLevel="1" x14ac:dyDescent="0.2">
      <c r="A7571" s="23" t="str">
        <f>HYPERLINK("https://www.spark-marketing.ru/Card/Person/65060", "ГБУЗ РК ""СГБ""")</f>
        <v>ГБУЗ РК "СГБ"</v>
      </c>
      <c r="B7571" s="24" t="s">
        <v>9638</v>
      </c>
      <c r="C7571" s="25">
        <v>32693</v>
      </c>
      <c r="D7571" s="22" t="s">
        <v>9705</v>
      </c>
      <c r="E7571" s="22" t="s">
        <v>59</v>
      </c>
      <c r="F7571" s="23" t="str">
        <f>HYPERLINK("https://www.spark-marketing.ru/Card/Lot/70831035", "Оказание услуг по установке системы видеонаблюдения")</f>
        <v>Оказание услуг по установке системы видеонаблюдения</v>
      </c>
      <c r="G7571" s="22" t="s">
        <v>538</v>
      </c>
      <c r="H7571" s="22" t="s">
        <v>707</v>
      </c>
      <c r="I7571" s="26">
        <v>43612.529166666704</v>
      </c>
      <c r="J7571" s="23" t="str">
        <f>HYPERLINK("https://www.spark-marketing.ru/Card/Person/175277", "ООО ""ЭСО""")</f>
        <v>ООО "ЭСО"</v>
      </c>
      <c r="K7571" s="24" t="s">
        <v>9643</v>
      </c>
      <c r="L7571" s="28" t="s">
        <v>52</v>
      </c>
      <c r="M7571" s="25">
        <v>25300</v>
      </c>
      <c r="N7571" s="27">
        <v>0.22613403480867464</v>
      </c>
    </row>
    <row r="7572" spans="1:14" ht="12.75" hidden="1" outlineLevel="1" x14ac:dyDescent="0.2">
      <c r="A7572" s="23" t="str">
        <f>HYPERLINK("https://www.spark-marketing.ru/Card/Person/65060", "ГБУЗ РК ""СГБ""")</f>
        <v>ГБУЗ РК "СГБ"</v>
      </c>
      <c r="B7572" s="24" t="s">
        <v>9638</v>
      </c>
      <c r="C7572" s="25">
        <v>32693</v>
      </c>
      <c r="D7572" s="22" t="s">
        <v>9705</v>
      </c>
      <c r="E7572" s="22" t="s">
        <v>59</v>
      </c>
      <c r="F7572" s="23" t="str">
        <f>HYPERLINK("https://www.spark-marketing.ru/Card/Lot/70831035", "Оказание услуг по установке системы видеонаблюдения")</f>
        <v>Оказание услуг по установке системы видеонаблюдения</v>
      </c>
      <c r="G7572" s="22" t="s">
        <v>538</v>
      </c>
      <c r="H7572" s="22" t="s">
        <v>707</v>
      </c>
      <c r="I7572" s="26">
        <v>43612.529166666704</v>
      </c>
      <c r="J7572" s="23" t="str">
        <f>HYPERLINK("https://www.spark-marketing.ru/Card/Person/5891112", "ООО ""СТРОЙ-МОНТАЖ""")</f>
        <v>ООО "СТРОЙ-МОНТАЖ"</v>
      </c>
      <c r="K7572" s="24" t="s">
        <v>9640</v>
      </c>
      <c r="L7572" s="22" t="s">
        <v>10</v>
      </c>
      <c r="M7572" s="25">
        <v>19930.599999999999</v>
      </c>
      <c r="N7572" s="27">
        <v>0.39037102743706603</v>
      </c>
    </row>
    <row r="7573" spans="1:14" x14ac:dyDescent="0.2">
      <c r="A7573" s="23" t="str">
        <f>HYPERLINK("https://www.spark-marketing.ru/Card/Person/743274", "ГАУЗ РВФД")</f>
        <v>ГАУЗ РВФД</v>
      </c>
      <c r="B7573" s="24" t="s">
        <v>9706</v>
      </c>
      <c r="C7573" s="25">
        <v>187680</v>
      </c>
      <c r="D7573" s="22" t="s">
        <v>9707</v>
      </c>
      <c r="E7573" s="22" t="s">
        <v>789</v>
      </c>
      <c r="F7573" s="23" t="str">
        <f>HYPERLINK("https://www.spark-marketing.ru/Card/Lot/70814877", "Услуги по охране объекта")</f>
        <v>Услуги по охране объекта</v>
      </c>
      <c r="G7573" s="22" t="s">
        <v>100</v>
      </c>
      <c r="H7573" s="22" t="s">
        <v>100</v>
      </c>
      <c r="I7573" s="26">
        <v>43612.500532407401</v>
      </c>
      <c r="J7573" s="28" t="s">
        <v>52</v>
      </c>
      <c r="K7573" s="28" t="s">
        <v>52</v>
      </c>
      <c r="L7573" s="22" t="s">
        <v>10</v>
      </c>
      <c r="M7573" s="25">
        <v>187460</v>
      </c>
      <c r="N7573" s="27">
        <v>1.1722080136402388E-3</v>
      </c>
    </row>
    <row r="7574" spans="1:14" x14ac:dyDescent="0.15">
      <c r="A7574" s="23" t="str">
        <f>HYPERLINK("https://www.spark-marketing.ru/Card/Person/1001000", "МКУ ""ООП""")</f>
        <v>МКУ "ООП"</v>
      </c>
      <c r="B7574" s="24" t="s">
        <v>4590</v>
      </c>
      <c r="C7574" s="25">
        <v>500000</v>
      </c>
      <c r="D7574" s="22" t="s">
        <v>9708</v>
      </c>
      <c r="E7574" s="22" t="s">
        <v>4592</v>
      </c>
      <c r="F7574" s="23" t="str">
        <f>HYPERLINK("https://www.spark-marketing.ru/Card/Lot/70838777", "Приобретение, пусконаладочные работы и техническое обслуживание системы видеонаблюдения")</f>
        <v>Приобретение, пусконаладочные работы и техническое обслуживание системы видеонаблюдения</v>
      </c>
      <c r="G7574" s="22" t="s">
        <v>861</v>
      </c>
      <c r="H7574" s="22" t="s">
        <v>934</v>
      </c>
      <c r="I7574" s="26">
        <v>43612.506249999999</v>
      </c>
      <c r="J7574" s="23" t="str">
        <f>HYPERLINK("https://www.spark-marketing.ru/Card/Person/6372586", "Краснобородкин Алексей Николаевич")</f>
        <v>Краснобородкин Алексей Николаевич</v>
      </c>
      <c r="K7574" s="24" t="s">
        <v>4593</v>
      </c>
      <c r="L7574" s="28" t="s">
        <v>52</v>
      </c>
      <c r="M7574" s="28" t="s">
        <v>52</v>
      </c>
      <c r="N7574" s="28" t="s">
        <v>52</v>
      </c>
    </row>
    <row r="7575" spans="1:14" ht="12.75" hidden="1" outlineLevel="1" x14ac:dyDescent="0.2">
      <c r="A7575" s="23" t="str">
        <f>HYPERLINK("https://www.spark-marketing.ru/Card/Person/1001000", "МКУ ""ООП""")</f>
        <v>МКУ "ООП"</v>
      </c>
      <c r="B7575" s="24" t="s">
        <v>4590</v>
      </c>
      <c r="C7575" s="25">
        <v>500000</v>
      </c>
      <c r="D7575" s="22" t="s">
        <v>9708</v>
      </c>
      <c r="E7575" s="22" t="s">
        <v>4592</v>
      </c>
      <c r="F7575" s="23" t="str">
        <f>HYPERLINK("https://www.spark-marketing.ru/Card/Lot/70838777", "Приобретение, пусконаладочные работы и техническое обслуживание системы видеонаблюдения")</f>
        <v>Приобретение, пусконаладочные работы и техническое обслуживание системы видеонаблюдения</v>
      </c>
      <c r="G7575" s="22" t="s">
        <v>861</v>
      </c>
      <c r="H7575" s="22" t="s">
        <v>934</v>
      </c>
      <c r="I7575" s="26">
        <v>43612.506249999999</v>
      </c>
      <c r="J7575" s="23" t="str">
        <f>HYPERLINK("https://www.spark-marketing.ru/Card/Person/6372586", "Краснобородкин Алексей Николаевич")</f>
        <v>Краснобородкин Алексей Николаевич</v>
      </c>
      <c r="K7575" s="24" t="s">
        <v>4593</v>
      </c>
      <c r="L7575" s="22" t="s">
        <v>10</v>
      </c>
      <c r="M7575" s="25">
        <v>497500</v>
      </c>
      <c r="N7575" s="27">
        <v>5.0000000000000001E-3</v>
      </c>
    </row>
    <row r="7576" spans="1:14" x14ac:dyDescent="0.15">
      <c r="A7576" s="23" t="str">
        <f>HYPERLINK("https://www.spark-marketing.ru/Card/Person/246579", "МОУ - СОШ ПОСЕЛКА СПУТНИК")</f>
        <v>МОУ - СОШ ПОСЕЛКА СПУТНИК</v>
      </c>
      <c r="B7576" s="24" t="s">
        <v>9709</v>
      </c>
      <c r="C7576" s="25">
        <v>221000</v>
      </c>
      <c r="D7576" s="22" t="s">
        <v>9710</v>
      </c>
      <c r="E7576" s="22" t="s">
        <v>208</v>
      </c>
      <c r="F7576" s="23" t="str">
        <f>HYPERLINK("https://www.spark-marketing.ru/Card/Lot/70835990", "Поставка и установка системы контроля и управления доступом, стационарных рамок металлодетектора, системы видеодомофонии")</f>
        <v>Поставка и установка системы контроля и управления доступом, стационарных рамок металлодетектора, системы видеодомофонии</v>
      </c>
      <c r="G7576" s="22" t="s">
        <v>50</v>
      </c>
      <c r="H7576" s="22" t="s">
        <v>946</v>
      </c>
      <c r="I7576" s="26">
        <v>43612.526388888902</v>
      </c>
      <c r="J7576" s="28" t="s">
        <v>52</v>
      </c>
      <c r="K7576" s="28" t="s">
        <v>52</v>
      </c>
      <c r="L7576" s="28" t="s">
        <v>52</v>
      </c>
      <c r="M7576" s="28" t="s">
        <v>52</v>
      </c>
      <c r="N7576" s="28" t="s">
        <v>52</v>
      </c>
    </row>
    <row r="7577" spans="1:14" ht="12.75" hidden="1" outlineLevel="1" x14ac:dyDescent="0.2">
      <c r="A7577" s="23" t="str">
        <f>HYPERLINK("https://www.spark-marketing.ru/Card/Person/246579", "МОУ - СОШ ПОСЕЛКА СПУТНИК")</f>
        <v>МОУ - СОШ ПОСЕЛКА СПУТНИК</v>
      </c>
      <c r="B7577" s="24" t="s">
        <v>9709</v>
      </c>
      <c r="C7577" s="25">
        <v>221000</v>
      </c>
      <c r="D7577" s="22" t="s">
        <v>9710</v>
      </c>
      <c r="E7577" s="22" t="s">
        <v>208</v>
      </c>
      <c r="F7577" s="23" t="str">
        <f>HYPERLINK("https://www.spark-marketing.ru/Card/Lot/70835990", "Поставка и установка системы контроля и управления доступом, стационарных рамок металлодетектора, системы видеодомофонии")</f>
        <v>Поставка и установка системы контроля и управления доступом, стационарных рамок металлодетектора, системы видеодомофонии</v>
      </c>
      <c r="G7577" s="22" t="s">
        <v>50</v>
      </c>
      <c r="H7577" s="22" t="s">
        <v>946</v>
      </c>
      <c r="I7577" s="26">
        <v>43612.526388888902</v>
      </c>
      <c r="J7577" s="23" t="str">
        <f>HYPERLINK("https://www.spark-marketing.ru/Card/Person/4439350", "ООО ""ЧОО ""ТРИГЛАВ""")</f>
        <v>ООО "ЧОО "ТРИГЛАВ"</v>
      </c>
      <c r="K7577" s="24" t="s">
        <v>1198</v>
      </c>
      <c r="L7577" s="22" t="s">
        <v>10</v>
      </c>
      <c r="M7577" s="25">
        <v>178800</v>
      </c>
      <c r="N7577" s="27">
        <v>0.19095022624434388</v>
      </c>
    </row>
    <row r="7578" spans="1:14" hidden="1" outlineLevel="1" x14ac:dyDescent="0.2">
      <c r="A7578" s="23" t="str">
        <f>HYPERLINK("https://www.spark-marketing.ru/Card/Person/246579", "МОУ - СОШ ПОСЕЛКА СПУТНИК")</f>
        <v>МОУ - СОШ ПОСЕЛКА СПУТНИК</v>
      </c>
      <c r="B7578" s="24" t="s">
        <v>9709</v>
      </c>
      <c r="C7578" s="25">
        <v>221000</v>
      </c>
      <c r="D7578" s="22" t="s">
        <v>9710</v>
      </c>
      <c r="E7578" s="22" t="s">
        <v>208</v>
      </c>
      <c r="F7578" s="23" t="str">
        <f>HYPERLINK("https://www.spark-marketing.ru/Card/Lot/70835990", "Поставка и установка системы контроля и управления доступом, стационарных рамок металлодетектора, системы видеодомофонии")</f>
        <v>Поставка и установка системы контроля и управления доступом, стационарных рамок металлодетектора, системы видеодомофонии</v>
      </c>
      <c r="G7578" s="22" t="s">
        <v>50</v>
      </c>
      <c r="H7578" s="22" t="s">
        <v>946</v>
      </c>
      <c r="I7578" s="26">
        <v>43612.526388888902</v>
      </c>
      <c r="J7578" s="23" t="str">
        <f>HYPERLINK("https://www.spark-marketing.ru/Card/Person/6445825", "Судариков Михаил Геннадьевич")</f>
        <v>Судариков Михаил Геннадьевич</v>
      </c>
      <c r="K7578" s="24" t="s">
        <v>1219</v>
      </c>
      <c r="L7578" s="28" t="s">
        <v>52</v>
      </c>
      <c r="M7578" s="25">
        <v>180000</v>
      </c>
      <c r="N7578" s="27">
        <v>0.18552036199095023</v>
      </c>
    </row>
    <row r="7579" spans="1:14" hidden="1" outlineLevel="1" x14ac:dyDescent="0.2">
      <c r="A7579" s="23" t="str">
        <f>HYPERLINK("https://www.spark-marketing.ru/Card/Person/246579", "МОУ - СОШ ПОСЕЛКА СПУТНИК")</f>
        <v>МОУ - СОШ ПОСЕЛКА СПУТНИК</v>
      </c>
      <c r="B7579" s="24" t="s">
        <v>9709</v>
      </c>
      <c r="C7579" s="25">
        <v>221000</v>
      </c>
      <c r="D7579" s="22" t="s">
        <v>9710</v>
      </c>
      <c r="E7579" s="22" t="s">
        <v>208</v>
      </c>
      <c r="F7579" s="23" t="str">
        <f>HYPERLINK("https://www.spark-marketing.ru/Card/Lot/70835990", "Поставка и установка системы контроля и управления доступом, стационарных рамок металлодетектора, системы видеодомофонии")</f>
        <v>Поставка и установка системы контроля и управления доступом, стационарных рамок металлодетектора, системы видеодомофонии</v>
      </c>
      <c r="G7579" s="22" t="s">
        <v>50</v>
      </c>
      <c r="H7579" s="22" t="s">
        <v>946</v>
      </c>
      <c r="I7579" s="26">
        <v>43612.526388888902</v>
      </c>
      <c r="J7579" s="23" t="str">
        <f>HYPERLINK("https://www.spark-marketing.ru/Card/Person/6493571", "ООО ""АНТИГАН""")</f>
        <v>ООО "АНТИГАН"</v>
      </c>
      <c r="K7579" s="24" t="s">
        <v>6048</v>
      </c>
      <c r="L7579" s="28" t="s">
        <v>52</v>
      </c>
      <c r="M7579" s="25">
        <v>204425</v>
      </c>
      <c r="N7579" s="27">
        <v>7.4999999999999997E-2</v>
      </c>
    </row>
    <row r="7580" spans="1:14" x14ac:dyDescent="0.15">
      <c r="A7580" s="23" t="str">
        <f>HYPERLINK("https://www.spark-marketing.ru/Card/Person/1069511", "МКОУ ""ШИПУНОВСКАЯ СОШ ИМЕНИ В.С. ГАВРИЛОВА""")</f>
        <v>МКОУ "ШИПУНОВСКАЯ СОШ ИМЕНИ В.С. ГАВРИЛОВА"</v>
      </c>
      <c r="B7580" s="24" t="s">
        <v>9711</v>
      </c>
      <c r="C7580" s="25">
        <v>12500</v>
      </c>
      <c r="D7580" s="22" t="s">
        <v>9712</v>
      </c>
      <c r="E7580" s="22" t="s">
        <v>59</v>
      </c>
      <c r="F7580" s="23" t="str">
        <f>HYPERLINK("https://www.spark-marketing.ru/Card/Lot/70818932", "эл.магазин на оказание услуг по монтажу кнопки тревожной сигнализации")</f>
        <v>эл.магазин на оказание услуг по монтажу кнопки тревожной сигнализации</v>
      </c>
      <c r="G7580" s="22" t="s">
        <v>209</v>
      </c>
      <c r="H7580" s="22" t="s">
        <v>5208</v>
      </c>
      <c r="I7580" s="26">
        <v>43612.506249999999</v>
      </c>
      <c r="J7580" s="28" t="s">
        <v>52</v>
      </c>
      <c r="K7580" s="28" t="s">
        <v>52</v>
      </c>
      <c r="L7580" s="28" t="s">
        <v>52</v>
      </c>
      <c r="M7580" s="28" t="s">
        <v>52</v>
      </c>
      <c r="N7580" s="28" t="s">
        <v>52</v>
      </c>
    </row>
    <row r="7581" spans="1:14" x14ac:dyDescent="0.15">
      <c r="A7581" s="23" t="str">
        <f>HYPERLINK("https://www.spark-marketing.ru/Card/Person/4929956", "ГУ ТО ""ПРЕДСТАВИТЕЛЬСТВО ПРАВИТЕЛЬСТВА ТУЛЬСКОЙ ОБЛАСТИ""")</f>
        <v>ГУ ТО "ПРЕДСТАВИТЕЛЬСТВО ПРАВИТЕЛЬСТВА ТУЛЬСКОЙ ОБЛАСТИ"</v>
      </c>
      <c r="B7581" s="24" t="s">
        <v>9713</v>
      </c>
      <c r="C7581" s="25">
        <v>99992</v>
      </c>
      <c r="D7581" s="22" t="s">
        <v>9714</v>
      </c>
      <c r="E7581" s="22" t="s">
        <v>585</v>
      </c>
      <c r="F7581" s="23" t="str">
        <f>HYPERLINK("https://www.spark-marketing.ru/Card/Lot/70834183", "Оказание услуг по обслуживанию датчиков и систем охранной сигнализации")</f>
        <v>Оказание услуг по обслуживанию датчиков и систем охранной сигнализации</v>
      </c>
      <c r="G7581" s="22" t="s">
        <v>55</v>
      </c>
      <c r="H7581" s="22" t="s">
        <v>55</v>
      </c>
      <c r="I7581" s="26">
        <v>43612.488888888904</v>
      </c>
      <c r="J7581" s="28" t="s">
        <v>52</v>
      </c>
      <c r="K7581" s="28" t="s">
        <v>52</v>
      </c>
      <c r="L7581" s="28" t="s">
        <v>52</v>
      </c>
      <c r="M7581" s="28" t="s">
        <v>52</v>
      </c>
      <c r="N7581" s="28" t="s">
        <v>52</v>
      </c>
    </row>
    <row r="7582" spans="1:14" hidden="1" outlineLevel="1" x14ac:dyDescent="0.2">
      <c r="A7582" s="23" t="str">
        <f>HYPERLINK("https://www.spark-marketing.ru/Card/Person/4929956", "ГУ ТО ""ПРЕДСТАВИТЕЛЬСТВО ПРАВИТЕЛЬСТВА ТУЛЬСКОЙ ОБЛАСТИ""")</f>
        <v>ГУ ТО "ПРЕДСТАВИТЕЛЬСТВО ПРАВИТЕЛЬСТВА ТУЛЬСКОЙ ОБЛАСТИ"</v>
      </c>
      <c r="B7582" s="24" t="s">
        <v>9713</v>
      </c>
      <c r="C7582" s="25">
        <v>99992</v>
      </c>
      <c r="D7582" s="22" t="s">
        <v>9714</v>
      </c>
      <c r="E7582" s="22" t="s">
        <v>585</v>
      </c>
      <c r="F7582" s="23" t="str">
        <f>HYPERLINK("https://www.spark-marketing.ru/Card/Lot/70834183", "Оказание услуг по обслуживанию датчиков и систем охранной сигнализации")</f>
        <v>Оказание услуг по обслуживанию датчиков и систем охранной сигнализации</v>
      </c>
      <c r="G7582" s="22" t="s">
        <v>55</v>
      </c>
      <c r="H7582" s="22" t="s">
        <v>55</v>
      </c>
      <c r="I7582" s="26">
        <v>43612.488888888904</v>
      </c>
      <c r="J7582" s="23" t="str">
        <f>HYPERLINK("https://www.spark-marketing.ru/Card/Person/6442213", "ООО ""АЙТИСФЕРА""")</f>
        <v>ООО "АЙТИСФЕРА"</v>
      </c>
      <c r="K7582" s="24" t="s">
        <v>8779</v>
      </c>
      <c r="L7582" s="28" t="s">
        <v>52</v>
      </c>
      <c r="M7582" s="25">
        <v>35300.04</v>
      </c>
      <c r="N7582" s="27">
        <v>0.64697135770861669</v>
      </c>
    </row>
    <row r="7583" spans="1:14" hidden="1" outlineLevel="1" x14ac:dyDescent="0.2">
      <c r="A7583" s="23" t="str">
        <f>HYPERLINK("https://www.spark-marketing.ru/Card/Person/4929956", "ГУ ТО ""ПРЕДСТАВИТЕЛЬСТВО ПРАВИТЕЛЬСТВА ТУЛЬСКОЙ ОБЛАСТИ""")</f>
        <v>ГУ ТО "ПРЕДСТАВИТЕЛЬСТВО ПРАВИТЕЛЬСТВА ТУЛЬСКОЙ ОБЛАСТИ"</v>
      </c>
      <c r="B7583" s="24" t="s">
        <v>9713</v>
      </c>
      <c r="C7583" s="25">
        <v>99992</v>
      </c>
      <c r="D7583" s="22" t="s">
        <v>9714</v>
      </c>
      <c r="E7583" s="22" t="s">
        <v>585</v>
      </c>
      <c r="F7583" s="23" t="str">
        <f>HYPERLINK("https://www.spark-marketing.ru/Card/Lot/70834183", "Оказание услуг по обслуживанию датчиков и систем охранной сигнализации")</f>
        <v>Оказание услуг по обслуживанию датчиков и систем охранной сигнализации</v>
      </c>
      <c r="G7583" s="22" t="s">
        <v>55</v>
      </c>
      <c r="H7583" s="22" t="s">
        <v>55</v>
      </c>
      <c r="I7583" s="26">
        <v>43612.488888888904</v>
      </c>
      <c r="J7583" s="23" t="str">
        <f>HYPERLINK("https://www.spark-marketing.ru/Card/Person/65028", "ООО ""ИМПУЛЬС М""")</f>
        <v>ООО "ИМПУЛЬС М"</v>
      </c>
      <c r="K7583" s="24" t="s">
        <v>7268</v>
      </c>
      <c r="L7583" s="28" t="s">
        <v>52</v>
      </c>
      <c r="M7583" s="25">
        <v>51800</v>
      </c>
      <c r="N7583" s="27">
        <v>0.48195855668453474</v>
      </c>
    </row>
    <row r="7584" spans="1:14" ht="12.75" hidden="1" outlineLevel="1" x14ac:dyDescent="0.2">
      <c r="A7584" s="23" t="str">
        <f>HYPERLINK("https://www.spark-marketing.ru/Card/Person/4929956", "ГУ ТО ""ПРЕДСТАВИТЕЛЬСТВО ПРАВИТЕЛЬСТВА ТУЛЬСКОЙ ОБЛАСТИ""")</f>
        <v>ГУ ТО "ПРЕДСТАВИТЕЛЬСТВО ПРАВИТЕЛЬСТВА ТУЛЬСКОЙ ОБЛАСТИ"</v>
      </c>
      <c r="B7584" s="24" t="s">
        <v>9713</v>
      </c>
      <c r="C7584" s="25">
        <v>99992</v>
      </c>
      <c r="D7584" s="22" t="s">
        <v>9714</v>
      </c>
      <c r="E7584" s="22" t="s">
        <v>585</v>
      </c>
      <c r="F7584" s="23" t="str">
        <f>HYPERLINK("https://www.spark-marketing.ru/Card/Lot/70834183", "Оказание услуг по обслуживанию датчиков и систем охранной сигнализации")</f>
        <v>Оказание услуг по обслуживанию датчиков и систем охранной сигнализации</v>
      </c>
      <c r="G7584" s="22" t="s">
        <v>55</v>
      </c>
      <c r="H7584" s="22" t="s">
        <v>55</v>
      </c>
      <c r="I7584" s="26">
        <v>43612.488888888904</v>
      </c>
      <c r="J7584" s="23" t="str">
        <f>HYPERLINK("https://www.spark-marketing.ru/Card/Person/6462474", "ООО ""ФАВОР""")</f>
        <v>ООО "ФАВОР"</v>
      </c>
      <c r="K7584" s="24" t="s">
        <v>2058</v>
      </c>
      <c r="L7584" s="22" t="s">
        <v>10</v>
      </c>
      <c r="M7584" s="25">
        <v>34800</v>
      </c>
      <c r="N7584" s="27">
        <v>0.65197215777262185</v>
      </c>
    </row>
    <row r="7585" spans="1:14" x14ac:dyDescent="0.2">
      <c r="A7585" s="23" t="str">
        <f>HYPERLINK("https://www.spark-marketing.ru/Card/Person/4387648", "ГАПОУ СО ""СЕРГИНСКИЙ МНОГОПРОФИЛЬНЫЙ ТЕХНИКУМ""")</f>
        <v>ГАПОУ СО "СЕРГИНСКИЙ МНОГОПРОФИЛЬНЫЙ ТЕХНИКУМ"</v>
      </c>
      <c r="B7585" s="24" t="s">
        <v>9715</v>
      </c>
      <c r="C7585" s="25">
        <v>174631.2</v>
      </c>
      <c r="D7585" s="22" t="s">
        <v>9716</v>
      </c>
      <c r="E7585" s="22" t="s">
        <v>691</v>
      </c>
      <c r="F7585" s="23" t="str">
        <f>HYPERLINK("https://www.spark-marketing.ru/Card/Lot/70814012", "Установка системы видеонаблюдения, г.Михайловск, ул.Кирова, 19")</f>
        <v>Установка системы видеонаблюдения, г.Михайловск, ул.Кирова, 19</v>
      </c>
      <c r="G7585" s="22" t="s">
        <v>72</v>
      </c>
      <c r="H7585" s="22" t="s">
        <v>72</v>
      </c>
      <c r="I7585" s="26">
        <v>43612.478460648097</v>
      </c>
      <c r="J7585" s="23" t="str">
        <f>HYPERLINK("https://www.spark-marketing.ru/Card/Person/848029", "ООО ""ЧОП ""МИГ-М""")</f>
        <v>ООО "ЧОП "МИГ-М"</v>
      </c>
      <c r="K7585" s="24" t="s">
        <v>9717</v>
      </c>
      <c r="L7585" s="28" t="s">
        <v>52</v>
      </c>
      <c r="M7585" s="25">
        <v>174596</v>
      </c>
      <c r="N7585" s="27">
        <v>2.0156764656029393E-4</v>
      </c>
    </row>
    <row r="7586" spans="1:14" x14ac:dyDescent="0.15">
      <c r="A7586" s="23" t="str">
        <f>HYPERLINK("https://www.spark-marketing.ru/Card/Person/34667", "ГБУЗ РК ""ВПБ""")</f>
        <v>ГБУЗ РК "ВПБ"</v>
      </c>
      <c r="B7586" s="24" t="s">
        <v>9718</v>
      </c>
      <c r="C7586" s="25">
        <v>234041.04</v>
      </c>
      <c r="D7586" s="22" t="s">
        <v>9719</v>
      </c>
      <c r="E7586" s="22" t="s">
        <v>68</v>
      </c>
      <c r="F7586" s="23" t="str">
        <f>HYPERLINK("https://www.spark-marketing.ru/Card/Lot/70836449", "Оказание услуг по предупреждению и пресечению правонарушений и преступлений с помощью кнопок тревожной сигнализации")</f>
        <v>Оказание услуг по предупреждению и пресечению правонарушений и преступлений с помощью кнопок тревожной сигнализации</v>
      </c>
      <c r="G7586" s="22" t="s">
        <v>538</v>
      </c>
      <c r="H7586" s="22" t="s">
        <v>1833</v>
      </c>
      <c r="I7586" s="26">
        <v>43612.4868055556</v>
      </c>
      <c r="J7586" s="23" t="str">
        <f>HYPERLINK("https://www.spark-marketing.ru/Card/Person/62864", "ФГКУ ""УВО ВНГ РОССИИ ПО РЕСПУБЛИКЕ КОМИ""")</f>
        <v>ФГКУ "УВО ВНГ РОССИИ ПО РЕСПУБЛИКЕ КОМИ"</v>
      </c>
      <c r="K7586" s="24" t="s">
        <v>2533</v>
      </c>
      <c r="L7586" s="22" t="s">
        <v>10</v>
      </c>
      <c r="M7586" s="28" t="s">
        <v>52</v>
      </c>
      <c r="N7586" s="28" t="s">
        <v>52</v>
      </c>
    </row>
    <row r="7587" spans="1:14" x14ac:dyDescent="0.15">
      <c r="A7587" s="23" t="str">
        <f>HYPERLINK("https://www.spark-marketing.ru/Card/Person/4150", "ГБУЗ РБ ТУЙМАЗИНСКАЯ ЦРБ")</f>
        <v>ГБУЗ РБ ТУЙМАЗИНСКАЯ ЦРБ</v>
      </c>
      <c r="B7587" s="24" t="s">
        <v>8990</v>
      </c>
      <c r="C7587" s="25">
        <v>75000</v>
      </c>
      <c r="D7587" s="22" t="s">
        <v>9720</v>
      </c>
      <c r="E7587" s="22" t="s">
        <v>68</v>
      </c>
      <c r="F7587" s="23" t="str">
        <f>HYPERLINK("https://www.spark-marketing.ru/Card/Lot/70820070", "Оказание охранных услуг в зданиях, помещениях, их частях или комбинациях, оборудованных действующим комплексом технических средств охраны")</f>
        <v>Оказание охранных услуг в зданиях, помещениях, их частях или комбинациях, оборудованных действующим комплексом технических средств охраны</v>
      </c>
      <c r="G7587" s="22" t="s">
        <v>100</v>
      </c>
      <c r="H7587" s="22" t="s">
        <v>9721</v>
      </c>
      <c r="I7587" s="26">
        <v>43612.471527777801</v>
      </c>
      <c r="J7587" s="28" t="s">
        <v>52</v>
      </c>
      <c r="K7587" s="28" t="s">
        <v>52</v>
      </c>
      <c r="L7587" s="28" t="s">
        <v>52</v>
      </c>
      <c r="M7587" s="28" t="s">
        <v>52</v>
      </c>
      <c r="N7587" s="28" t="s">
        <v>52</v>
      </c>
    </row>
    <row r="7588" spans="1:14" hidden="1" outlineLevel="1" x14ac:dyDescent="0.2">
      <c r="A7588" s="23" t="str">
        <f>HYPERLINK("https://www.spark-marketing.ru/Card/Person/4150", "ГБУЗ РБ ТУЙМАЗИНСКАЯ ЦРБ")</f>
        <v>ГБУЗ РБ ТУЙМАЗИНСКАЯ ЦРБ</v>
      </c>
      <c r="B7588" s="24" t="s">
        <v>8990</v>
      </c>
      <c r="C7588" s="25">
        <v>75000</v>
      </c>
      <c r="D7588" s="22" t="s">
        <v>9720</v>
      </c>
      <c r="E7588" s="22" t="s">
        <v>68</v>
      </c>
      <c r="F7588" s="23" t="str">
        <f>HYPERLINK("https://www.spark-marketing.ru/Card/Lot/70820070", "Оказание охранных услуг в зданиях, помещениях, их частях или комбинациях, оборудованных действующим комплексом технических средств охраны")</f>
        <v>Оказание охранных услуг в зданиях, помещениях, их частях или комбинациях, оборудованных действующим комплексом технических средств охраны</v>
      </c>
      <c r="G7588" s="22" t="s">
        <v>100</v>
      </c>
      <c r="H7588" s="22" t="s">
        <v>9721</v>
      </c>
      <c r="I7588" s="26">
        <v>43612.471527777801</v>
      </c>
      <c r="J7588" s="23" t="str">
        <f>HYPERLINK("https://www.spark-marketing.ru/Card/Person/599827", "ООО ЧОП ""КУПОЛ""")</f>
        <v>ООО ЧОП "КУПОЛ"</v>
      </c>
      <c r="K7588" s="24" t="s">
        <v>8158</v>
      </c>
      <c r="L7588" s="28" t="s">
        <v>52</v>
      </c>
      <c r="M7588" s="25">
        <v>62250</v>
      </c>
      <c r="N7588" s="27">
        <v>0.17</v>
      </c>
    </row>
    <row r="7589" spans="1:14" ht="12.75" hidden="1" outlineLevel="1" x14ac:dyDescent="0.2">
      <c r="A7589" s="23" t="str">
        <f>HYPERLINK("https://www.spark-marketing.ru/Card/Person/4150", "ГБУЗ РБ ТУЙМАЗИНСКАЯ ЦРБ")</f>
        <v>ГБУЗ РБ ТУЙМАЗИНСКАЯ ЦРБ</v>
      </c>
      <c r="B7589" s="24" t="s">
        <v>8990</v>
      </c>
      <c r="C7589" s="25">
        <v>75000</v>
      </c>
      <c r="D7589" s="22" t="s">
        <v>9720</v>
      </c>
      <c r="E7589" s="22" t="s">
        <v>68</v>
      </c>
      <c r="F7589" s="23" t="str">
        <f>HYPERLINK("https://www.spark-marketing.ru/Card/Lot/70820070", "Оказание охранных услуг в зданиях, помещениях, их частях или комбинациях, оборудованных действующим комплексом технических средств охраны")</f>
        <v>Оказание охранных услуг в зданиях, помещениях, их частях или комбинациях, оборудованных действующим комплексом технических средств охраны</v>
      </c>
      <c r="G7589" s="22" t="s">
        <v>100</v>
      </c>
      <c r="H7589" s="22" t="s">
        <v>9721</v>
      </c>
      <c r="I7589" s="26">
        <v>43612.471527777801</v>
      </c>
      <c r="J7589" s="23" t="str">
        <f>HYPERLINK("https://www.spark-marketing.ru/Card/Person/59508", "ООО ЧОО ""АЛЬТЕРНАТИВА""")</f>
        <v>ООО ЧОО "АЛЬТЕРНАТИВА"</v>
      </c>
      <c r="K7589" s="24" t="s">
        <v>9722</v>
      </c>
      <c r="L7589" s="22" t="s">
        <v>10</v>
      </c>
      <c r="M7589" s="25">
        <v>7125</v>
      </c>
      <c r="N7589" s="27">
        <v>0.90500000000000003</v>
      </c>
    </row>
    <row r="7590" spans="1:14" hidden="1" outlineLevel="1" x14ac:dyDescent="0.2">
      <c r="A7590" s="23" t="str">
        <f>HYPERLINK("https://www.spark-marketing.ru/Card/Person/4150", "ГБУЗ РБ ТУЙМАЗИНСКАЯ ЦРБ")</f>
        <v>ГБУЗ РБ ТУЙМАЗИНСКАЯ ЦРБ</v>
      </c>
      <c r="B7590" s="24" t="s">
        <v>8990</v>
      </c>
      <c r="C7590" s="25">
        <v>75000</v>
      </c>
      <c r="D7590" s="22" t="s">
        <v>9720</v>
      </c>
      <c r="E7590" s="22" t="s">
        <v>68</v>
      </c>
      <c r="F7590" s="23" t="str">
        <f>HYPERLINK("https://www.spark-marketing.ru/Card/Lot/70820070", "Оказание охранных услуг в зданиях, помещениях, их частях или комбинациях, оборудованных действующим комплексом технических средств охраны")</f>
        <v>Оказание охранных услуг в зданиях, помещениях, их частях или комбинациях, оборудованных действующим комплексом технических средств охраны</v>
      </c>
      <c r="G7590" s="22" t="s">
        <v>100</v>
      </c>
      <c r="H7590" s="22" t="s">
        <v>9721</v>
      </c>
      <c r="I7590" s="26">
        <v>43612.471527777801</v>
      </c>
      <c r="J7590" s="23" t="str">
        <f>HYPERLINK("https://www.spark-marketing.ru/Card/Person/1090023", "ООО ЧОП ""БАТЫР""")</f>
        <v>ООО ЧОП "БАТЫР"</v>
      </c>
      <c r="K7590" s="24" t="s">
        <v>8996</v>
      </c>
      <c r="L7590" s="28" t="s">
        <v>52</v>
      </c>
      <c r="M7590" s="25">
        <v>29625</v>
      </c>
      <c r="N7590" s="27">
        <v>0.60499999999999998</v>
      </c>
    </row>
    <row r="7591" spans="1:14" hidden="1" outlineLevel="1" x14ac:dyDescent="0.2">
      <c r="A7591" s="23" t="str">
        <f>HYPERLINK("https://www.spark-marketing.ru/Card/Person/4150", "ГБУЗ РБ ТУЙМАЗИНСКАЯ ЦРБ")</f>
        <v>ГБУЗ РБ ТУЙМАЗИНСКАЯ ЦРБ</v>
      </c>
      <c r="B7591" s="24" t="s">
        <v>8990</v>
      </c>
      <c r="C7591" s="25">
        <v>75000</v>
      </c>
      <c r="D7591" s="22" t="s">
        <v>9720</v>
      </c>
      <c r="E7591" s="22" t="s">
        <v>68</v>
      </c>
      <c r="F7591" s="23" t="str">
        <f>HYPERLINK("https://www.spark-marketing.ru/Card/Lot/70820070", "Оказание охранных услуг в зданиях, помещениях, их частях или комбинациях, оборудованных действующим комплексом технических средств охраны")</f>
        <v>Оказание охранных услуг в зданиях, помещениях, их частях или комбинациях, оборудованных действующим комплексом технических средств охраны</v>
      </c>
      <c r="G7591" s="22" t="s">
        <v>100</v>
      </c>
      <c r="H7591" s="22" t="s">
        <v>9721</v>
      </c>
      <c r="I7591" s="26">
        <v>43612.471527777801</v>
      </c>
      <c r="J7591" s="23" t="str">
        <f>HYPERLINK("https://www.spark-marketing.ru/Card/Person/204515", "ФЛ ФГУП ""Охрана"" Росгвардии по Республике Башкортостан")</f>
        <v>ФЛ ФГУП "Охрана" Росгвардии по Республике Башкортостан</v>
      </c>
      <c r="K7591" s="24" t="s">
        <v>779</v>
      </c>
      <c r="L7591" s="28" t="s">
        <v>52</v>
      </c>
      <c r="M7591" s="25">
        <v>7500</v>
      </c>
      <c r="N7591" s="27">
        <v>0.9</v>
      </c>
    </row>
    <row r="7592" spans="1:14" x14ac:dyDescent="0.15">
      <c r="A7592" s="23" t="str">
        <f>HYPERLINK("https://www.spark-marketing.ru/Card/Person/137323", "СЕВЕРНЫЙ ФЛОТСКИЙ ВОЕННЫЙ СУД")</f>
        <v>СЕВЕРНЫЙ ФЛОТСКИЙ ВОЕННЫЙ СУД</v>
      </c>
      <c r="B7592" s="24" t="s">
        <v>9723</v>
      </c>
      <c r="C7592" s="25">
        <v>844919.16</v>
      </c>
      <c r="D7592" s="22" t="s">
        <v>9724</v>
      </c>
      <c r="E7592" s="22" t="s">
        <v>68</v>
      </c>
      <c r="F7592" s="23" t="str">
        <f>HYPERLINK("https://www.spark-marketing.ru/Card/Lot/70839389", "Оказание услуг по охране объектов, занимаемых Северным флотским военным судом")</f>
        <v>Оказание услуг по охране объектов, занимаемых Северным флотским военным судом</v>
      </c>
      <c r="G7592" s="22" t="s">
        <v>190</v>
      </c>
      <c r="H7592" s="22" t="s">
        <v>9725</v>
      </c>
      <c r="I7592" s="26">
        <v>43612.487500000003</v>
      </c>
      <c r="J7592" s="23" t="str">
        <f>HYPERLINK("https://www.spark-marketing.ru/Card/Person/4537465", "МУРМАНСКИЙ ФЛ ФГУП ""УВО МИНТРАНСА РОССИИ""")</f>
        <v>МУРМАНСКИЙ ФЛ ФГУП "УВО МИНТРАНСА РОССИИ"</v>
      </c>
      <c r="K7592" s="24" t="s">
        <v>1472</v>
      </c>
      <c r="L7592" s="22" t="s">
        <v>10</v>
      </c>
      <c r="M7592" s="28" t="s">
        <v>52</v>
      </c>
      <c r="N7592" s="28" t="s">
        <v>52</v>
      </c>
    </row>
    <row r="7593" spans="1:14" x14ac:dyDescent="0.2">
      <c r="A7593" s="23" t="str">
        <f>HYPERLINK("https://www.spark-marketing.ru/Card/Person/4387648", "ГАПОУ СО ""СЕРГИНСКИЙ МНОГОПРОФИЛЬНЫЙ ТЕХНИКУМ""")</f>
        <v>ГАПОУ СО "СЕРГИНСКИЙ МНОГОПРОФИЛЬНЫЙ ТЕХНИКУМ"</v>
      </c>
      <c r="B7593" s="24" t="s">
        <v>9715</v>
      </c>
      <c r="C7593" s="25">
        <v>545850</v>
      </c>
      <c r="D7593" s="22" t="s">
        <v>9726</v>
      </c>
      <c r="E7593" s="22" t="s">
        <v>691</v>
      </c>
      <c r="F7593" s="23" t="str">
        <f>HYPERLINK("https://www.spark-marketing.ru/Card/Lot/70816433", "Установка системы видеонаблюдения, пгт Верхние Серги, ул. Р.Люксембург, 13-а")</f>
        <v>Установка системы видеонаблюдения, пгт Верхние Серги, ул. Р.Люксембург, 13-а</v>
      </c>
      <c r="G7593" s="22" t="s">
        <v>72</v>
      </c>
      <c r="H7593" s="22" t="s">
        <v>72</v>
      </c>
      <c r="I7593" s="26">
        <v>43612.472627314797</v>
      </c>
      <c r="J7593" s="23" t="str">
        <f>HYPERLINK("https://www.spark-marketing.ru/Card/Person/848029", "ООО ""ЧОП ""МИГ-М""")</f>
        <v>ООО "ЧОП "МИГ-М"</v>
      </c>
      <c r="K7593" s="24" t="s">
        <v>9717</v>
      </c>
      <c r="L7593" s="28" t="s">
        <v>52</v>
      </c>
      <c r="M7593" s="25">
        <v>505319</v>
      </c>
      <c r="N7593" s="27">
        <v>7.4252999908399744E-2</v>
      </c>
    </row>
    <row r="7594" spans="1:14" x14ac:dyDescent="0.15">
      <c r="A7594" s="23" t="str">
        <f>HYPERLINK("https://www.spark-marketing.ru/Card/Person/4150", "ГБУЗ РБ ТУЙМАЗИНСКАЯ ЦРБ")</f>
        <v>ГБУЗ РБ ТУЙМАЗИНСКАЯ ЦРБ</v>
      </c>
      <c r="B7594" s="24" t="s">
        <v>8990</v>
      </c>
      <c r="C7594" s="25">
        <v>435000</v>
      </c>
      <c r="D7594" s="22" t="s">
        <v>9727</v>
      </c>
      <c r="E7594" s="22" t="s">
        <v>68</v>
      </c>
      <c r="F7594" s="23" t="str">
        <f>HYPERLINK("https://www.spark-marketing.ru/Card/Lot/70824489", "Оказание охранных услуг в зданиях, помещениях, их частях или комбинациях, оборудованных действующим комплексом технических средств охраны")</f>
        <v>Оказание охранных услуг в зданиях, помещениях, их частях или комбинациях, оборудованных действующим комплексом технических средств охраны</v>
      </c>
      <c r="G7594" s="22" t="s">
        <v>100</v>
      </c>
      <c r="H7594" s="22" t="s">
        <v>9721</v>
      </c>
      <c r="I7594" s="26">
        <v>43612.434027777803</v>
      </c>
      <c r="J7594" s="28" t="s">
        <v>52</v>
      </c>
      <c r="K7594" s="28" t="s">
        <v>52</v>
      </c>
      <c r="L7594" s="28" t="s">
        <v>52</v>
      </c>
      <c r="M7594" s="28" t="s">
        <v>52</v>
      </c>
      <c r="N7594" s="28" t="s">
        <v>52</v>
      </c>
    </row>
    <row r="7595" spans="1:14" hidden="1" outlineLevel="1" x14ac:dyDescent="0.2">
      <c r="A7595" s="23" t="str">
        <f>HYPERLINK("https://www.spark-marketing.ru/Card/Person/4150", "ГБУЗ РБ ТУЙМАЗИНСКАЯ ЦРБ")</f>
        <v>ГБУЗ РБ ТУЙМАЗИНСКАЯ ЦРБ</v>
      </c>
      <c r="B7595" s="24" t="s">
        <v>8990</v>
      </c>
      <c r="C7595" s="25">
        <v>435000</v>
      </c>
      <c r="D7595" s="22" t="s">
        <v>9727</v>
      </c>
      <c r="E7595" s="22" t="s">
        <v>68</v>
      </c>
      <c r="F7595" s="23" t="str">
        <f>HYPERLINK("https://www.spark-marketing.ru/Card/Lot/70824489", "Оказание охранных услуг в зданиях, помещениях, их частях или комбинациях, оборудованных действующим комплексом технических средств охраны")</f>
        <v>Оказание охранных услуг в зданиях, помещениях, их частях или комбинациях, оборудованных действующим комплексом технических средств охраны</v>
      </c>
      <c r="G7595" s="22" t="s">
        <v>100</v>
      </c>
      <c r="H7595" s="22" t="s">
        <v>9721</v>
      </c>
      <c r="I7595" s="26">
        <v>43612.434027777803</v>
      </c>
      <c r="J7595" s="23" t="str">
        <f>HYPERLINK("https://www.spark-marketing.ru/Card/Person/59508", "ООО ЧОО ""АЛЬТЕРНАТИВА""")</f>
        <v>ООО ЧОО "АЛЬТЕРНАТИВА"</v>
      </c>
      <c r="K7595" s="24" t="s">
        <v>9722</v>
      </c>
      <c r="L7595" s="28" t="s">
        <v>52</v>
      </c>
      <c r="M7595" s="25">
        <v>28200</v>
      </c>
      <c r="N7595" s="27">
        <v>0.93517241379310345</v>
      </c>
    </row>
    <row r="7596" spans="1:14" hidden="1" outlineLevel="1" x14ac:dyDescent="0.2">
      <c r="A7596" s="23" t="str">
        <f>HYPERLINK("https://www.spark-marketing.ru/Card/Person/4150", "ГБУЗ РБ ТУЙМАЗИНСКАЯ ЦРБ")</f>
        <v>ГБУЗ РБ ТУЙМАЗИНСКАЯ ЦРБ</v>
      </c>
      <c r="B7596" s="24" t="s">
        <v>8990</v>
      </c>
      <c r="C7596" s="25">
        <v>435000</v>
      </c>
      <c r="D7596" s="22" t="s">
        <v>9727</v>
      </c>
      <c r="E7596" s="22" t="s">
        <v>68</v>
      </c>
      <c r="F7596" s="23" t="str">
        <f>HYPERLINK("https://www.spark-marketing.ru/Card/Lot/70824489", "Оказание охранных услуг в зданиях, помещениях, их частях или комбинациях, оборудованных действующим комплексом технических средств охраны")</f>
        <v>Оказание охранных услуг в зданиях, помещениях, их частях или комбинациях, оборудованных действующим комплексом технических средств охраны</v>
      </c>
      <c r="G7596" s="22" t="s">
        <v>100</v>
      </c>
      <c r="H7596" s="22" t="s">
        <v>9721</v>
      </c>
      <c r="I7596" s="26">
        <v>43612.434027777803</v>
      </c>
      <c r="J7596" s="23" t="str">
        <f>HYPERLINK("https://www.spark-marketing.ru/Card/Person/1090023", "ООО ЧОП ""БАТЫР""")</f>
        <v>ООО ЧОП "БАТЫР"</v>
      </c>
      <c r="K7596" s="24" t="s">
        <v>8996</v>
      </c>
      <c r="L7596" s="28" t="s">
        <v>52</v>
      </c>
      <c r="M7596" s="25">
        <v>141300</v>
      </c>
      <c r="N7596" s="27">
        <v>0.67517241379310344</v>
      </c>
    </row>
    <row r="7597" spans="1:14" ht="12.75" hidden="1" outlineLevel="1" x14ac:dyDescent="0.2">
      <c r="A7597" s="23" t="str">
        <f>HYPERLINK("https://www.spark-marketing.ru/Card/Person/4150", "ГБУЗ РБ ТУЙМАЗИНСКАЯ ЦРБ")</f>
        <v>ГБУЗ РБ ТУЙМАЗИНСКАЯ ЦРБ</v>
      </c>
      <c r="B7597" s="24" t="s">
        <v>8990</v>
      </c>
      <c r="C7597" s="25">
        <v>435000</v>
      </c>
      <c r="D7597" s="22" t="s">
        <v>9727</v>
      </c>
      <c r="E7597" s="22" t="s">
        <v>68</v>
      </c>
      <c r="F7597" s="23" t="str">
        <f>HYPERLINK("https://www.spark-marketing.ru/Card/Lot/70824489", "Оказание охранных услуг в зданиях, помещениях, их частях или комбинациях, оборудованных действующим комплексом технических средств охраны")</f>
        <v>Оказание охранных услуг в зданиях, помещениях, их частях или комбинациях, оборудованных действующим комплексом технических средств охраны</v>
      </c>
      <c r="G7597" s="22" t="s">
        <v>100</v>
      </c>
      <c r="H7597" s="22" t="s">
        <v>9721</v>
      </c>
      <c r="I7597" s="26">
        <v>43612.434027777803</v>
      </c>
      <c r="J7597" s="23" t="str">
        <f>HYPERLINK("https://www.spark-marketing.ru/Card/Person/204515", "ФЛ ФГУП ""Охрана"" Росгвардии по Республике Башкортостан")</f>
        <v>ФЛ ФГУП "Охрана" Росгвардии по Республике Башкортостан</v>
      </c>
      <c r="K7597" s="24" t="s">
        <v>779</v>
      </c>
      <c r="L7597" s="22" t="s">
        <v>10</v>
      </c>
      <c r="M7597" s="25">
        <v>26025</v>
      </c>
      <c r="N7597" s="27">
        <v>0.94017241379310346</v>
      </c>
    </row>
    <row r="7598" spans="1:14" x14ac:dyDescent="0.15">
      <c r="A7598" s="23" t="str">
        <f>HYPERLINK("https://www.spark-marketing.ru/Card/Person/128693", "МБУК ""РДК ""ЦЕЛИННИК""")</f>
        <v>МБУК "РДК "ЦЕЛИННИК"</v>
      </c>
      <c r="B7598" s="24" t="s">
        <v>9543</v>
      </c>
      <c r="C7598" s="25">
        <v>3699621.05</v>
      </c>
      <c r="D7598" s="22" t="s">
        <v>9728</v>
      </c>
      <c r="E7598" s="22" t="s">
        <v>5251</v>
      </c>
      <c r="F7598" s="23" t="str">
        <f>HYPERLINK("https://www.spark-marketing.ru/Card/Lot/70827191", "Поставка, установка и ввод в эксплуатацию оборудования сцены")</f>
        <v>Поставка, установка и ввод в эксплуатацию оборудования сцены</v>
      </c>
      <c r="G7598" s="22" t="s">
        <v>384</v>
      </c>
      <c r="H7598" s="22" t="s">
        <v>384</v>
      </c>
      <c r="I7598" s="26">
        <v>43612.4465277778</v>
      </c>
      <c r="J7598" s="28" t="s">
        <v>52</v>
      </c>
      <c r="K7598" s="28" t="s">
        <v>52</v>
      </c>
      <c r="L7598" s="28" t="s">
        <v>52</v>
      </c>
      <c r="M7598" s="28" t="s">
        <v>52</v>
      </c>
      <c r="N7598" s="28" t="s">
        <v>52</v>
      </c>
    </row>
    <row r="7599" spans="1:14" x14ac:dyDescent="0.15">
      <c r="A7599" s="23" t="str">
        <f>HYPERLINK("https://www.spark-marketing.ru/Card/Person/2194", "ФБУЗ ""ЦЕНТР ГИГИЕНЫ И ЭПИДЕМИОЛОГИИ В УДМУРТСКОЙ РЕСПУБЛИКЕ""")</f>
        <v>ФБУЗ "ЦЕНТР ГИГИЕНЫ И ЭПИДЕМИОЛОГИИ В УДМУРТСКОЙ РЕСПУБЛИКЕ"</v>
      </c>
      <c r="B7599" s="24" t="s">
        <v>7640</v>
      </c>
      <c r="C7599" s="25">
        <v>373999.98</v>
      </c>
      <c r="D7599" s="22" t="s">
        <v>9729</v>
      </c>
      <c r="E7599" s="22" t="s">
        <v>68</v>
      </c>
      <c r="F7599" s="23" t="str">
        <f>HYPERLINK("https://www.spark-marketing.ru/Card/Lot/70837968", "Охрана Завьялово, Калинина, 56")</f>
        <v>Охрана Завьялово, Калинина, 56</v>
      </c>
      <c r="G7599" s="22" t="s">
        <v>96</v>
      </c>
      <c r="H7599" s="22" t="s">
        <v>96</v>
      </c>
      <c r="I7599" s="26">
        <v>43612.416666666701</v>
      </c>
      <c r="J7599" s="28" t="s">
        <v>52</v>
      </c>
      <c r="K7599" s="28" t="s">
        <v>52</v>
      </c>
      <c r="L7599" s="28" t="s">
        <v>52</v>
      </c>
      <c r="M7599" s="28" t="s">
        <v>52</v>
      </c>
      <c r="N7599" s="28" t="s">
        <v>52</v>
      </c>
    </row>
    <row r="7600" spans="1:14" hidden="1" outlineLevel="1" x14ac:dyDescent="0.2">
      <c r="A7600" s="23" t="str">
        <f>HYPERLINK("https://www.spark-marketing.ru/Card/Person/2194", "ФБУЗ ""ЦЕНТР ГИГИЕНЫ И ЭПИДЕМИОЛОГИИ В УДМУРТСКОЙ РЕСПУБЛИКЕ""")</f>
        <v>ФБУЗ "ЦЕНТР ГИГИЕНЫ И ЭПИДЕМИОЛОГИИ В УДМУРТСКОЙ РЕСПУБЛИКЕ"</v>
      </c>
      <c r="B7600" s="24" t="s">
        <v>7640</v>
      </c>
      <c r="C7600" s="25">
        <v>373999.98</v>
      </c>
      <c r="D7600" s="22" t="s">
        <v>9729</v>
      </c>
      <c r="E7600" s="22" t="s">
        <v>68</v>
      </c>
      <c r="F7600" s="23" t="str">
        <f>HYPERLINK("https://www.spark-marketing.ru/Card/Lot/70837968", "Охрана Завьялово, Калинина, 56")</f>
        <v>Охрана Завьялово, Калинина, 56</v>
      </c>
      <c r="G7600" s="22" t="s">
        <v>96</v>
      </c>
      <c r="H7600" s="22" t="s">
        <v>96</v>
      </c>
      <c r="I7600" s="26">
        <v>43612.416666666701</v>
      </c>
      <c r="J7600" s="23" t="str">
        <f>HYPERLINK("https://www.spark-marketing.ru/Card/Person/4349896", "ООО ""ОП ""ДЕЛОХРАНИТЕЛЬ""")</f>
        <v>ООО "ОП "ДЕЛОХРАНИТЕЛЬ"</v>
      </c>
      <c r="K7600" s="24" t="s">
        <v>9730</v>
      </c>
      <c r="L7600" s="28" t="s">
        <v>52</v>
      </c>
      <c r="M7600" s="25">
        <v>231879.98</v>
      </c>
      <c r="N7600" s="27">
        <v>0.38000002032085672</v>
      </c>
    </row>
    <row r="7601" spans="1:14" ht="12.75" hidden="1" outlineLevel="1" x14ac:dyDescent="0.2">
      <c r="A7601" s="23" t="str">
        <f>HYPERLINK("https://www.spark-marketing.ru/Card/Person/2194", "ФБУЗ ""ЦЕНТР ГИГИЕНЫ И ЭПИДЕМИОЛОГИИ В УДМУРТСКОЙ РЕСПУБЛИКЕ""")</f>
        <v>ФБУЗ "ЦЕНТР ГИГИЕНЫ И ЭПИДЕМИОЛОГИИ В УДМУРТСКОЙ РЕСПУБЛИКЕ"</v>
      </c>
      <c r="B7601" s="24" t="s">
        <v>7640</v>
      </c>
      <c r="C7601" s="25">
        <v>373999.98</v>
      </c>
      <c r="D7601" s="22" t="s">
        <v>9729</v>
      </c>
      <c r="E7601" s="22" t="s">
        <v>68</v>
      </c>
      <c r="F7601" s="23" t="str">
        <f>HYPERLINK("https://www.spark-marketing.ru/Card/Lot/70837968", "Охрана Завьялово, Калинина, 56")</f>
        <v>Охрана Завьялово, Калинина, 56</v>
      </c>
      <c r="G7601" s="22" t="s">
        <v>96</v>
      </c>
      <c r="H7601" s="22" t="s">
        <v>96</v>
      </c>
      <c r="I7601" s="26">
        <v>43612.416666666701</v>
      </c>
      <c r="J7601" s="23" t="str">
        <f>HYPERLINK("https://www.spark-marketing.ru/Card/Person/117332", "ООО ОО ""ЛЕГИОН-ПЛЮС""")</f>
        <v>ООО ОО "ЛЕГИОН-ПЛЮС"</v>
      </c>
      <c r="K7601" s="24" t="s">
        <v>9731</v>
      </c>
      <c r="L7601" s="22" t="s">
        <v>10</v>
      </c>
      <c r="M7601" s="25">
        <v>230009.98</v>
      </c>
      <c r="N7601" s="27">
        <v>0.3850000205882364</v>
      </c>
    </row>
    <row r="7602" spans="1:14" x14ac:dyDescent="0.15">
      <c r="A7602" s="23" t="str">
        <f>HYPERLINK("https://www.spark-marketing.ru/Card/Person/144936", "БОУ ""ЮГОРСКИЙ ФИЗИКО-МАТЕМАТИЧЕСКИЙ ЛИЦЕЙ-ИНТЕРНАТ""")</f>
        <v>БОУ "ЮГОРСКИЙ ФИЗИКО-МАТЕМАТИЧЕСКИЙ ЛИЦЕЙ-ИНТЕРНАТ"</v>
      </c>
      <c r="B7602" s="24" t="s">
        <v>9732</v>
      </c>
      <c r="C7602" s="25">
        <v>1263999.96</v>
      </c>
      <c r="D7602" s="22" t="s">
        <v>9733</v>
      </c>
      <c r="E7602" s="22" t="s">
        <v>52</v>
      </c>
      <c r="F7602" s="23" t="str">
        <f>HYPERLINK("https://www.spark-marketing.ru/Card/Lot/70826620", "Оказание услуг по охране объекта и имущества")</f>
        <v>Оказание услуг по охране объекта и имущества</v>
      </c>
      <c r="G7602" s="22" t="s">
        <v>119</v>
      </c>
      <c r="H7602" s="22" t="s">
        <v>2563</v>
      </c>
      <c r="I7602" s="26">
        <v>43612.449305555601</v>
      </c>
      <c r="J7602" s="28" t="s">
        <v>52</v>
      </c>
      <c r="K7602" s="28" t="s">
        <v>52</v>
      </c>
      <c r="L7602" s="28" t="s">
        <v>52</v>
      </c>
      <c r="M7602" s="28" t="s">
        <v>52</v>
      </c>
      <c r="N7602" s="28" t="s">
        <v>52</v>
      </c>
    </row>
    <row r="7603" spans="1:14" ht="12.75" hidden="1" outlineLevel="1" x14ac:dyDescent="0.2">
      <c r="A7603" s="23" t="str">
        <f>HYPERLINK("https://www.spark-marketing.ru/Card/Person/144936", "БОУ ""ЮГОРСКИЙ ФИЗИКО-МАТЕМАТИЧЕСКИЙ ЛИЦЕЙ-ИНТЕРНАТ""")</f>
        <v>БОУ "ЮГОРСКИЙ ФИЗИКО-МАТЕМАТИЧЕСКИЙ ЛИЦЕЙ-ИНТЕРНАТ"</v>
      </c>
      <c r="B7603" s="24" t="s">
        <v>9732</v>
      </c>
      <c r="C7603" s="25">
        <v>1263999.96</v>
      </c>
      <c r="D7603" s="22" t="s">
        <v>9733</v>
      </c>
      <c r="E7603" s="22" t="s">
        <v>52</v>
      </c>
      <c r="F7603" s="23" t="str">
        <f>HYPERLINK("https://www.spark-marketing.ru/Card/Lot/70826620", "Оказание услуг по охране объекта и имущества")</f>
        <v>Оказание услуг по охране объекта и имущества</v>
      </c>
      <c r="G7603" s="22" t="s">
        <v>119</v>
      </c>
      <c r="H7603" s="22" t="s">
        <v>2563</v>
      </c>
      <c r="I7603" s="26">
        <v>43612.449305555601</v>
      </c>
      <c r="J7603" s="23" t="str">
        <f>HYPERLINK("https://www.spark-marketing.ru/Card/Person/131932", "ООО ""ЧОП ЕРМАК""")</f>
        <v>ООО "ЧОП ЕРМАК"</v>
      </c>
      <c r="K7603" s="24" t="s">
        <v>9734</v>
      </c>
      <c r="L7603" s="22" t="s">
        <v>10</v>
      </c>
      <c r="M7603" s="25">
        <v>929872</v>
      </c>
      <c r="N7603" s="27">
        <v>0.26434174887157436</v>
      </c>
    </row>
    <row r="7604" spans="1:14" hidden="1" outlineLevel="1" x14ac:dyDescent="0.2">
      <c r="A7604" s="23" t="str">
        <f>HYPERLINK("https://www.spark-marketing.ru/Card/Person/144936", "БОУ ""ЮГОРСКИЙ ФИЗИКО-МАТЕМАТИЧЕСКИЙ ЛИЦЕЙ-ИНТЕРНАТ""")</f>
        <v>БОУ "ЮГОРСКИЙ ФИЗИКО-МАТЕМАТИЧЕСКИЙ ЛИЦЕЙ-ИНТЕРНАТ"</v>
      </c>
      <c r="B7604" s="24" t="s">
        <v>9732</v>
      </c>
      <c r="C7604" s="25">
        <v>1263999.96</v>
      </c>
      <c r="D7604" s="22" t="s">
        <v>9733</v>
      </c>
      <c r="E7604" s="22" t="s">
        <v>52</v>
      </c>
      <c r="F7604" s="23" t="str">
        <f>HYPERLINK("https://www.spark-marketing.ru/Card/Lot/70826620", "Оказание услуг по охране объекта и имущества")</f>
        <v>Оказание услуг по охране объекта и имущества</v>
      </c>
      <c r="G7604" s="22" t="s">
        <v>119</v>
      </c>
      <c r="H7604" s="22" t="s">
        <v>2563</v>
      </c>
      <c r="I7604" s="26">
        <v>43612.449305555601</v>
      </c>
      <c r="J7604" s="23" t="str">
        <f>HYPERLINK("https://www.spark-marketing.ru/Card/Person/58845", "ООО ЧОП ""АГЕНТСТВО БИЗНЕС-БЕЗОПАСНОСТЬ""")</f>
        <v>ООО ЧОП "АГЕНТСТВО БИЗНЕС-БЕЗОПАСНОСТЬ"</v>
      </c>
      <c r="K7604" s="24" t="s">
        <v>1177</v>
      </c>
      <c r="L7604" s="28" t="s">
        <v>52</v>
      </c>
      <c r="M7604" s="25">
        <v>936192</v>
      </c>
      <c r="N7604" s="27">
        <v>0.25934174871334648</v>
      </c>
    </row>
    <row r="7605" spans="1:14" hidden="1" outlineLevel="1" x14ac:dyDescent="0.2">
      <c r="A7605" s="23" t="str">
        <f>HYPERLINK("https://www.spark-marketing.ru/Card/Person/144936", "БОУ ""ЮГОРСКИЙ ФИЗИКО-МАТЕМАТИЧЕСКИЙ ЛИЦЕЙ-ИНТЕРНАТ""")</f>
        <v>БОУ "ЮГОРСКИЙ ФИЗИКО-МАТЕМАТИЧЕСКИЙ ЛИЦЕЙ-ИНТЕРНАТ"</v>
      </c>
      <c r="B7605" s="24" t="s">
        <v>9732</v>
      </c>
      <c r="C7605" s="25">
        <v>1263999.96</v>
      </c>
      <c r="D7605" s="22" t="s">
        <v>9733</v>
      </c>
      <c r="E7605" s="22" t="s">
        <v>52</v>
      </c>
      <c r="F7605" s="23" t="str">
        <f>HYPERLINK("https://www.spark-marketing.ru/Card/Lot/70826620", "Оказание услуг по охране объекта и имущества")</f>
        <v>Оказание услуг по охране объекта и имущества</v>
      </c>
      <c r="G7605" s="22" t="s">
        <v>119</v>
      </c>
      <c r="H7605" s="22" t="s">
        <v>2563</v>
      </c>
      <c r="I7605" s="26">
        <v>43612.449305555601</v>
      </c>
      <c r="J7605" s="23" t="str">
        <f>HYPERLINK("https://www.spark-marketing.ru/Card/Person/4851642", "ООО ЧОО ""ОЛИМП-БЕЗОПАСНОСТЬ""")</f>
        <v>ООО ЧОО "ОЛИМП-БЕЗОПАСНОСТЬ"</v>
      </c>
      <c r="K7605" s="24" t="s">
        <v>5255</v>
      </c>
      <c r="L7605" s="28" t="s">
        <v>52</v>
      </c>
      <c r="M7605" s="25">
        <v>1221328</v>
      </c>
      <c r="N7605" s="27">
        <v>3.3759463093653894E-2</v>
      </c>
    </row>
    <row r="7606" spans="1:14" x14ac:dyDescent="0.15">
      <c r="A7606" s="23" t="str">
        <f>HYPERLINK("https://www.spark-marketing.ru/Card/Person/1042731", "ГБОУ ""СПЕЦИАЛЬНАЯ ШКОЛА-ИНТЕРНАТ Г. ЕЛЬЦА""")</f>
        <v>ГБОУ "СПЕЦИАЛЬНАЯ ШКОЛА-ИНТЕРНАТ Г. ЕЛЬЦА"</v>
      </c>
      <c r="B7606" s="24" t="s">
        <v>9735</v>
      </c>
      <c r="C7606" s="25">
        <v>485760</v>
      </c>
      <c r="D7606" s="22" t="s">
        <v>9736</v>
      </c>
      <c r="E7606" s="22" t="s">
        <v>68</v>
      </c>
      <c r="F7606" s="23" t="str">
        <f>HYPERLINK("https://www.spark-marketing.ru/Card/Lot/70838801", "Оказание услуг охраны во 2 полугодии 2019 г")</f>
        <v>Оказание услуг охраны во 2 полугодии 2019 г</v>
      </c>
      <c r="G7606" s="22" t="s">
        <v>629</v>
      </c>
      <c r="H7606" s="22" t="s">
        <v>9737</v>
      </c>
      <c r="I7606" s="26">
        <v>43612.447916666701</v>
      </c>
      <c r="J7606" s="28" t="s">
        <v>52</v>
      </c>
      <c r="K7606" s="28" t="s">
        <v>52</v>
      </c>
      <c r="L7606" s="28" t="s">
        <v>52</v>
      </c>
      <c r="M7606" s="28" t="s">
        <v>52</v>
      </c>
      <c r="N7606" s="28" t="s">
        <v>52</v>
      </c>
    </row>
    <row r="7607" spans="1:14" hidden="1" outlineLevel="1" x14ac:dyDescent="0.2">
      <c r="A7607" s="23" t="str">
        <f>HYPERLINK("https://www.spark-marketing.ru/Card/Person/1042731", "ГБОУ ""СПЕЦИАЛЬНАЯ ШКОЛА-ИНТЕРНАТ Г. ЕЛЬЦА""")</f>
        <v>ГБОУ "СПЕЦИАЛЬНАЯ ШКОЛА-ИНТЕРНАТ Г. ЕЛЬЦА"</v>
      </c>
      <c r="B7607" s="24" t="s">
        <v>9735</v>
      </c>
      <c r="C7607" s="25">
        <v>485760</v>
      </c>
      <c r="D7607" s="22" t="s">
        <v>9736</v>
      </c>
      <c r="E7607" s="22" t="s">
        <v>68</v>
      </c>
      <c r="F7607" s="23" t="str">
        <f>HYPERLINK("https://www.spark-marketing.ru/Card/Lot/70838801", "Оказание услуг охраны во 2 полугодии 2019 г")</f>
        <v>Оказание услуг охраны во 2 полугодии 2019 г</v>
      </c>
      <c r="G7607" s="22" t="s">
        <v>629</v>
      </c>
      <c r="H7607" s="22" t="s">
        <v>9737</v>
      </c>
      <c r="I7607" s="26">
        <v>43612.447916666701</v>
      </c>
      <c r="J7607" s="23" t="str">
        <f>HYPERLINK("https://www.spark-marketing.ru/Card/Person/2584872", "ООО ""ЧОО ""БУЛАТ 48""")</f>
        <v>ООО "ЧОО "БУЛАТ 48"</v>
      </c>
      <c r="K7607" s="24" t="s">
        <v>1604</v>
      </c>
      <c r="L7607" s="28" t="s">
        <v>52</v>
      </c>
      <c r="M7607" s="25">
        <v>441552.97</v>
      </c>
      <c r="N7607" s="27">
        <v>9.1005908267457178E-2</v>
      </c>
    </row>
    <row r="7608" spans="1:14" ht="12.75" hidden="1" outlineLevel="1" x14ac:dyDescent="0.2">
      <c r="A7608" s="23" t="str">
        <f>HYPERLINK("https://www.spark-marketing.ru/Card/Person/1042731", "ГБОУ ""СПЕЦИАЛЬНАЯ ШКОЛА-ИНТЕРНАТ Г. ЕЛЬЦА""")</f>
        <v>ГБОУ "СПЕЦИАЛЬНАЯ ШКОЛА-ИНТЕРНАТ Г. ЕЛЬЦА"</v>
      </c>
      <c r="B7608" s="24" t="s">
        <v>9735</v>
      </c>
      <c r="C7608" s="25">
        <v>485760</v>
      </c>
      <c r="D7608" s="22" t="s">
        <v>9736</v>
      </c>
      <c r="E7608" s="22" t="s">
        <v>68</v>
      </c>
      <c r="F7608" s="23" t="str">
        <f>HYPERLINK("https://www.spark-marketing.ru/Card/Lot/70838801", "Оказание услуг охраны во 2 полугодии 2019 г")</f>
        <v>Оказание услуг охраны во 2 полугодии 2019 г</v>
      </c>
      <c r="G7608" s="22" t="s">
        <v>629</v>
      </c>
      <c r="H7608" s="22" t="s">
        <v>9737</v>
      </c>
      <c r="I7608" s="26">
        <v>43612.447916666701</v>
      </c>
      <c r="J7608" s="23" t="str">
        <f>HYPERLINK("https://www.spark-marketing.ru/Card/Person/6501546", "ООО ЧОО ""ЩИТ-ГАРАНТ""")</f>
        <v>ООО ЧОО "ЩИТ-ГАРАНТ"</v>
      </c>
      <c r="K7608" s="24" t="s">
        <v>4105</v>
      </c>
      <c r="L7608" s="22" t="s">
        <v>10</v>
      </c>
      <c r="M7608" s="25">
        <v>198571.2</v>
      </c>
      <c r="N7608" s="27">
        <v>0.59121541501976282</v>
      </c>
    </row>
    <row r="7609" spans="1:14" hidden="1" outlineLevel="1" x14ac:dyDescent="0.2">
      <c r="A7609" s="23" t="str">
        <f>HYPERLINK("https://www.spark-marketing.ru/Card/Person/1042731", "ГБОУ ""СПЕЦИАЛЬНАЯ ШКОЛА-ИНТЕРНАТ Г. ЕЛЬЦА""")</f>
        <v>ГБОУ "СПЕЦИАЛЬНАЯ ШКОЛА-ИНТЕРНАТ Г. ЕЛЬЦА"</v>
      </c>
      <c r="B7609" s="24" t="s">
        <v>9735</v>
      </c>
      <c r="C7609" s="25">
        <v>485760</v>
      </c>
      <c r="D7609" s="22" t="s">
        <v>9736</v>
      </c>
      <c r="E7609" s="22" t="s">
        <v>68</v>
      </c>
      <c r="F7609" s="23" t="str">
        <f>HYPERLINK("https://www.spark-marketing.ru/Card/Lot/70838801", "Оказание услуг охраны во 2 полугодии 2019 г")</f>
        <v>Оказание услуг охраны во 2 полугодии 2019 г</v>
      </c>
      <c r="G7609" s="22" t="s">
        <v>629</v>
      </c>
      <c r="H7609" s="22" t="s">
        <v>9737</v>
      </c>
      <c r="I7609" s="26">
        <v>43612.447916666701</v>
      </c>
      <c r="J7609" s="23" t="str">
        <f>HYPERLINK("https://www.spark-marketing.ru/Card/Person/705190", "ООО ""ЧОП ""ГРАД""")</f>
        <v>ООО "ЧОП "ГРАД"</v>
      </c>
      <c r="K7609" s="24" t="s">
        <v>9738</v>
      </c>
      <c r="L7609" s="28" t="s">
        <v>52</v>
      </c>
      <c r="M7609" s="25">
        <v>242391.37</v>
      </c>
      <c r="N7609" s="27">
        <v>0.50100590826745717</v>
      </c>
    </row>
    <row r="7610" spans="1:14" hidden="1" outlineLevel="1" x14ac:dyDescent="0.2">
      <c r="A7610" s="23" t="str">
        <f>HYPERLINK("https://www.spark-marketing.ru/Card/Person/1042731", "ГБОУ ""СПЕЦИАЛЬНАЯ ШКОЛА-ИНТЕРНАТ Г. ЕЛЬЦА""")</f>
        <v>ГБОУ "СПЕЦИАЛЬНАЯ ШКОЛА-ИНТЕРНАТ Г. ЕЛЬЦА"</v>
      </c>
      <c r="B7610" s="24" t="s">
        <v>9735</v>
      </c>
      <c r="C7610" s="25">
        <v>485760</v>
      </c>
      <c r="D7610" s="22" t="s">
        <v>9736</v>
      </c>
      <c r="E7610" s="22" t="s">
        <v>68</v>
      </c>
      <c r="F7610" s="23" t="str">
        <f>HYPERLINK("https://www.spark-marketing.ru/Card/Lot/70838801", "Оказание услуг охраны во 2 полугодии 2019 г")</f>
        <v>Оказание услуг охраны во 2 полугодии 2019 г</v>
      </c>
      <c r="G7610" s="22" t="s">
        <v>629</v>
      </c>
      <c r="H7610" s="22" t="s">
        <v>9737</v>
      </c>
      <c r="I7610" s="26">
        <v>43612.447916666701</v>
      </c>
      <c r="J7610" s="23" t="str">
        <f>HYPERLINK("https://www.spark-marketing.ru/Card/Person/2263338", "ООО ЧОП ""СТРАЖ-02""")</f>
        <v>ООО ЧОП "СТРАЖ-02"</v>
      </c>
      <c r="K7610" s="24" t="s">
        <v>9739</v>
      </c>
      <c r="L7610" s="28" t="s">
        <v>52</v>
      </c>
      <c r="M7610" s="25">
        <v>201000</v>
      </c>
      <c r="N7610" s="27">
        <v>0.58621541501976282</v>
      </c>
    </row>
    <row r="7611" spans="1:14" x14ac:dyDescent="0.15">
      <c r="A7611" s="23" t="str">
        <f>HYPERLINK("https://www.spark-marketing.ru/Card/Person/92123", "МБОУ ШКОЛА №8")</f>
        <v>МБОУ ШКОЛА №8</v>
      </c>
      <c r="B7611" s="24" t="s">
        <v>296</v>
      </c>
      <c r="C7611" s="25">
        <v>33600</v>
      </c>
      <c r="D7611" s="22" t="s">
        <v>9740</v>
      </c>
      <c r="E7611" s="22" t="s">
        <v>298</v>
      </c>
      <c r="F7611" s="23" t="str">
        <f>HYPERLINK("https://www.spark-marketing.ru/Card/Lot/70815448", "Услуги по сопровождению (технической поддержки) системы видеофиксации и обработки сведений о правонарушениях (установка камер)")</f>
        <v>Услуги по сопровождению (технической поддержки) системы видеофиксации и обработки сведений о правонарушениях (установка камер)</v>
      </c>
      <c r="G7611" s="22" t="s">
        <v>50</v>
      </c>
      <c r="H7611" s="22" t="s">
        <v>299</v>
      </c>
      <c r="I7611" s="26">
        <v>43612.429814814801</v>
      </c>
      <c r="J7611" s="28" t="s">
        <v>52</v>
      </c>
      <c r="K7611" s="28" t="s">
        <v>52</v>
      </c>
      <c r="L7611" s="28" t="s">
        <v>52</v>
      </c>
      <c r="M7611" s="28" t="s">
        <v>52</v>
      </c>
      <c r="N7611" s="28" t="s">
        <v>52</v>
      </c>
    </row>
    <row r="7612" spans="1:14" x14ac:dyDescent="0.15">
      <c r="A7612" s="23" t="str">
        <f>HYPERLINK("https://www.spark-marketing.ru/Card/Person/2133", "МКУ ""СЕЗ"" ГОРОДСКОГО ОКРУГА БОЛЬШОЙ КАМЕНЬ")</f>
        <v>МКУ "СЕЗ" ГОРОДСКОГО ОКРУГА БОЛЬШОЙ КАМЕНЬ</v>
      </c>
      <c r="B7612" s="24" t="s">
        <v>9741</v>
      </c>
      <c r="C7612" s="25">
        <v>6094450</v>
      </c>
      <c r="D7612" s="22" t="s">
        <v>9742</v>
      </c>
      <c r="E7612" s="22" t="s">
        <v>79</v>
      </c>
      <c r="F7612" s="23" t="str">
        <f>HYPERLINK("https://www.spark-marketing.ru/Card/Lot/70828047", "Выполнение строительно-монтажных работ объекта капитального строительства «Инженерно-технические средства охраны объекта «Котельная №1», расположенного по адресу г. Большой Камень, ул. Ворошилова,42»")</f>
        <v>Выполнение строительно-монтажных работ объекта капитального строительства «Инженерно-технические средства охраны объекта «Котельная №1», расположенного по адресу г. Большой Камень, ул. Ворошилова,42»</v>
      </c>
      <c r="G7612" s="22" t="s">
        <v>409</v>
      </c>
      <c r="H7612" s="22" t="s">
        <v>2470</v>
      </c>
      <c r="I7612" s="26">
        <v>43612.4506944444</v>
      </c>
      <c r="J7612" s="28" t="s">
        <v>52</v>
      </c>
      <c r="K7612" s="28" t="s">
        <v>52</v>
      </c>
      <c r="L7612" s="28" t="s">
        <v>52</v>
      </c>
      <c r="M7612" s="28" t="s">
        <v>52</v>
      </c>
      <c r="N7612" s="28" t="s">
        <v>52</v>
      </c>
    </row>
    <row r="7613" spans="1:14" hidden="1" outlineLevel="1" x14ac:dyDescent="0.2">
      <c r="A7613" s="23" t="str">
        <f>HYPERLINK("https://www.spark-marketing.ru/Card/Person/2133", "МКУ ""СЕЗ"" ГОРОДСКОГО ОКРУГА БОЛЬШОЙ КАМЕНЬ")</f>
        <v>МКУ "СЕЗ" ГОРОДСКОГО ОКРУГА БОЛЬШОЙ КАМЕНЬ</v>
      </c>
      <c r="B7613" s="24" t="s">
        <v>9741</v>
      </c>
      <c r="C7613" s="25">
        <v>6094450</v>
      </c>
      <c r="D7613" s="22" t="s">
        <v>9742</v>
      </c>
      <c r="E7613" s="22" t="s">
        <v>79</v>
      </c>
      <c r="F7613" s="23" t="str">
        <f>HYPERLINK("https://www.spark-marketing.ru/Card/Lot/70828047", "Выполнение строительно-монтажных работ объекта капитального строительства «Инженерно-технические средства охраны объекта «Котельная №1», расположенного по адресу г. Большой Камень, ул. Ворошилова,42»")</f>
        <v>Выполнение строительно-монтажных работ объекта капитального строительства «Инженерно-технические средства охраны объекта «Котельная №1», расположенного по адресу г. Большой Камень, ул. Ворошилова,42»</v>
      </c>
      <c r="G7613" s="22" t="s">
        <v>409</v>
      </c>
      <c r="H7613" s="22" t="s">
        <v>2470</v>
      </c>
      <c r="I7613" s="26">
        <v>43612.4506944444</v>
      </c>
      <c r="J7613" s="23" t="str">
        <f>HYPERLINK("https://www.spark-marketing.ru/Card/Person/5894263", "ООО ""ФРИЗ БК""")</f>
        <v>ООО "ФРИЗ БК"</v>
      </c>
      <c r="K7613" s="24" t="s">
        <v>9743</v>
      </c>
      <c r="L7613" s="28" t="s">
        <v>52</v>
      </c>
      <c r="M7613" s="25">
        <v>6063977.75</v>
      </c>
      <c r="N7613" s="27">
        <v>5.0000000000000001E-3</v>
      </c>
    </row>
    <row r="7614" spans="1:14" ht="12.75" hidden="1" outlineLevel="1" x14ac:dyDescent="0.2">
      <c r="A7614" s="23" t="str">
        <f>HYPERLINK("https://www.spark-marketing.ru/Card/Person/2133", "МКУ ""СЕЗ"" ГОРОДСКОГО ОКРУГА БОЛЬШОЙ КАМЕНЬ")</f>
        <v>МКУ "СЕЗ" ГОРОДСКОГО ОКРУГА БОЛЬШОЙ КАМЕНЬ</v>
      </c>
      <c r="B7614" s="24" t="s">
        <v>9741</v>
      </c>
      <c r="C7614" s="25">
        <v>6094450</v>
      </c>
      <c r="D7614" s="22" t="s">
        <v>9742</v>
      </c>
      <c r="E7614" s="22" t="s">
        <v>79</v>
      </c>
      <c r="F7614" s="23" t="str">
        <f>HYPERLINK("https://www.spark-marketing.ru/Card/Lot/70828047", "Выполнение строительно-монтажных работ объекта капитального строительства «Инженерно-технические средства охраны объекта «Котельная №1», расположенного по адресу г. Большой Камень, ул. Ворошилова,42»")</f>
        <v>Выполнение строительно-монтажных работ объекта капитального строительства «Инженерно-технические средства охраны объекта «Котельная №1», расположенного по адресу г. Большой Камень, ул. Ворошилова,42»</v>
      </c>
      <c r="G7614" s="22" t="s">
        <v>409</v>
      </c>
      <c r="H7614" s="22" t="s">
        <v>2470</v>
      </c>
      <c r="I7614" s="26">
        <v>43612.4506944444</v>
      </c>
      <c r="J7614" s="23" t="str">
        <f>HYPERLINK("https://www.spark-marketing.ru/Card/Person/5881059", "ООО ""АНДЕЗИТ-ДВ""")</f>
        <v>ООО "АНДЕЗИТ-ДВ"</v>
      </c>
      <c r="K7614" s="24" t="s">
        <v>9744</v>
      </c>
      <c r="L7614" s="22" t="s">
        <v>10</v>
      </c>
      <c r="M7614" s="25">
        <v>6033505.5</v>
      </c>
      <c r="N7614" s="27">
        <v>0.01</v>
      </c>
    </row>
    <row r="7615" spans="1:14" x14ac:dyDescent="0.15">
      <c r="A7615" s="23" t="str">
        <f>HYPERLINK("https://www.spark-marketing.ru/Card/Person/145794", "БУ ""ИГРИМСКИЙ ПОЛИТЕХНИЧЕСКИЙ КОЛЛЕДЖ""")</f>
        <v>БУ "ИГРИМСКИЙ ПОЛИТЕХНИЧЕСКИЙ КОЛЛЕДЖ"</v>
      </c>
      <c r="B7615" s="24" t="s">
        <v>9745</v>
      </c>
      <c r="C7615" s="28" t="s">
        <v>52</v>
      </c>
      <c r="D7615" s="22" t="s">
        <v>9746</v>
      </c>
      <c r="E7615" s="22" t="s">
        <v>52</v>
      </c>
      <c r="F7615" s="23" t="str">
        <f>HYPERLINK("https://www.spark-marketing.ru/Card/Lot/70814734", "Установка системы видеонаблюдения")</f>
        <v>Установка системы видеонаблюдения</v>
      </c>
      <c r="G7615" s="22" t="s">
        <v>119</v>
      </c>
      <c r="H7615" s="22" t="s">
        <v>8198</v>
      </c>
      <c r="I7615" s="26">
        <v>43612.433333333298</v>
      </c>
      <c r="J7615" s="28" t="s">
        <v>52</v>
      </c>
      <c r="K7615" s="28" t="s">
        <v>52</v>
      </c>
      <c r="L7615" s="28" t="s">
        <v>52</v>
      </c>
      <c r="M7615" s="28" t="s">
        <v>52</v>
      </c>
      <c r="N7615" s="28" t="s">
        <v>52</v>
      </c>
    </row>
    <row r="7616" spans="1:14" x14ac:dyDescent="0.15">
      <c r="A7616" s="23" t="str">
        <f>HYPERLINK("https://www.spark-marketing.ru/Card/Person/4150", "ГБУЗ РБ ТУЙМАЗИНСКАЯ ЦРБ")</f>
        <v>ГБУЗ РБ ТУЙМАЗИНСКАЯ ЦРБ</v>
      </c>
      <c r="B7616" s="24" t="s">
        <v>8990</v>
      </c>
      <c r="C7616" s="25">
        <v>90000</v>
      </c>
      <c r="D7616" s="22" t="s">
        <v>9747</v>
      </c>
      <c r="E7616" s="22" t="s">
        <v>68</v>
      </c>
      <c r="F7616" s="23" t="str">
        <f>HYPERLINK("https://www.spark-marketing.ru/Card/Lot/70820289", "Оказание охранных услуг в зданиях, помещениях, их частях или комбинациях, оборудованных действующим комплексом технических средств охраны")</f>
        <v>Оказание охранных услуг в зданиях, помещениях, их частях или комбинациях, оборудованных действующим комплексом технических средств охраны</v>
      </c>
      <c r="G7616" s="22" t="s">
        <v>100</v>
      </c>
      <c r="H7616" s="22" t="s">
        <v>9721</v>
      </c>
      <c r="I7616" s="26">
        <v>43612.438888888901</v>
      </c>
      <c r="J7616" s="28" t="s">
        <v>52</v>
      </c>
      <c r="K7616" s="28" t="s">
        <v>52</v>
      </c>
      <c r="L7616" s="28" t="s">
        <v>52</v>
      </c>
      <c r="M7616" s="28" t="s">
        <v>52</v>
      </c>
      <c r="N7616" s="28" t="s">
        <v>52</v>
      </c>
    </row>
    <row r="7617" spans="1:14" ht="12.75" hidden="1" outlineLevel="1" x14ac:dyDescent="0.2">
      <c r="A7617" s="23" t="str">
        <f>HYPERLINK("https://www.spark-marketing.ru/Card/Person/4150", "ГБУЗ РБ ТУЙМАЗИНСКАЯ ЦРБ")</f>
        <v>ГБУЗ РБ ТУЙМАЗИНСКАЯ ЦРБ</v>
      </c>
      <c r="B7617" s="24" t="s">
        <v>8990</v>
      </c>
      <c r="C7617" s="25">
        <v>90000</v>
      </c>
      <c r="D7617" s="22" t="s">
        <v>9747</v>
      </c>
      <c r="E7617" s="22" t="s">
        <v>68</v>
      </c>
      <c r="F7617" s="23" t="str">
        <f>HYPERLINK("https://www.spark-marketing.ru/Card/Lot/70820289", "Оказание охранных услуг в зданиях, помещениях, их частях или комбинациях, оборудованных действующим комплексом технических средств охраны")</f>
        <v>Оказание охранных услуг в зданиях, помещениях, их частях или комбинациях, оборудованных действующим комплексом технических средств охраны</v>
      </c>
      <c r="G7617" s="22" t="s">
        <v>100</v>
      </c>
      <c r="H7617" s="22" t="s">
        <v>9721</v>
      </c>
      <c r="I7617" s="26">
        <v>43612.438888888901</v>
      </c>
      <c r="J7617" s="23" t="str">
        <f>HYPERLINK("https://www.spark-marketing.ru/Card/Person/59508", "ООО ЧОО ""АЛЬТЕРНАТИВА""")</f>
        <v>ООО ЧОО "АЛЬТЕРНАТИВА"</v>
      </c>
      <c r="K7617" s="24" t="s">
        <v>9722</v>
      </c>
      <c r="L7617" s="22" t="s">
        <v>10</v>
      </c>
      <c r="M7617" s="25">
        <v>9900</v>
      </c>
      <c r="N7617" s="27">
        <v>0.89</v>
      </c>
    </row>
    <row r="7618" spans="1:14" hidden="1" outlineLevel="1" x14ac:dyDescent="0.2">
      <c r="A7618" s="23" t="str">
        <f>HYPERLINK("https://www.spark-marketing.ru/Card/Person/4150", "ГБУЗ РБ ТУЙМАЗИНСКАЯ ЦРБ")</f>
        <v>ГБУЗ РБ ТУЙМАЗИНСКАЯ ЦРБ</v>
      </c>
      <c r="B7618" s="24" t="s">
        <v>8990</v>
      </c>
      <c r="C7618" s="25">
        <v>90000</v>
      </c>
      <c r="D7618" s="22" t="s">
        <v>9747</v>
      </c>
      <c r="E7618" s="22" t="s">
        <v>68</v>
      </c>
      <c r="F7618" s="23" t="str">
        <f>HYPERLINK("https://www.spark-marketing.ru/Card/Lot/70820289", "Оказание охранных услуг в зданиях, помещениях, их частях или комбинациях, оборудованных действующим комплексом технических средств охраны")</f>
        <v>Оказание охранных услуг в зданиях, помещениях, их частях или комбинациях, оборудованных действующим комплексом технических средств охраны</v>
      </c>
      <c r="G7618" s="22" t="s">
        <v>100</v>
      </c>
      <c r="H7618" s="22" t="s">
        <v>9721</v>
      </c>
      <c r="I7618" s="26">
        <v>43612.438888888901</v>
      </c>
      <c r="J7618" s="23" t="str">
        <f>HYPERLINK("https://www.spark-marketing.ru/Card/Person/1090023", "ООО ЧОП ""БАТЫР""")</f>
        <v>ООО ЧОП "БАТЫР"</v>
      </c>
      <c r="K7618" s="24" t="s">
        <v>8996</v>
      </c>
      <c r="L7618" s="28" t="s">
        <v>52</v>
      </c>
      <c r="M7618" s="25">
        <v>64350</v>
      </c>
      <c r="N7618" s="27">
        <v>0.28499999999999998</v>
      </c>
    </row>
    <row r="7619" spans="1:14" hidden="1" outlineLevel="1" x14ac:dyDescent="0.2">
      <c r="A7619" s="23" t="str">
        <f>HYPERLINK("https://www.spark-marketing.ru/Card/Person/4150", "ГБУЗ РБ ТУЙМАЗИНСКАЯ ЦРБ")</f>
        <v>ГБУЗ РБ ТУЙМАЗИНСКАЯ ЦРБ</v>
      </c>
      <c r="B7619" s="24" t="s">
        <v>8990</v>
      </c>
      <c r="C7619" s="25">
        <v>90000</v>
      </c>
      <c r="D7619" s="22" t="s">
        <v>9747</v>
      </c>
      <c r="E7619" s="22" t="s">
        <v>68</v>
      </c>
      <c r="F7619" s="23" t="str">
        <f>HYPERLINK("https://www.spark-marketing.ru/Card/Lot/70820289", "Оказание охранных услуг в зданиях, помещениях, их частях или комбинациях, оборудованных действующим комплексом технических средств охраны")</f>
        <v>Оказание охранных услуг в зданиях, помещениях, их частях или комбинациях, оборудованных действующим комплексом технических средств охраны</v>
      </c>
      <c r="G7619" s="22" t="s">
        <v>100</v>
      </c>
      <c r="H7619" s="22" t="s">
        <v>9721</v>
      </c>
      <c r="I7619" s="26">
        <v>43612.438888888901</v>
      </c>
      <c r="J7619" s="23" t="str">
        <f>HYPERLINK("https://www.spark-marketing.ru/Card/Person/204515", "ФЛ ФГУП ""Охрана"" Росгвардии по Республике Башкортостан")</f>
        <v>ФЛ ФГУП "Охрана" Росгвардии по Республике Башкортостан</v>
      </c>
      <c r="K7619" s="24" t="s">
        <v>779</v>
      </c>
      <c r="L7619" s="28" t="s">
        <v>52</v>
      </c>
      <c r="M7619" s="25">
        <v>10350</v>
      </c>
      <c r="N7619" s="27">
        <v>0.88500000000000001</v>
      </c>
    </row>
    <row r="7620" spans="1:14" x14ac:dyDescent="0.15">
      <c r="A7620" s="23" t="str">
        <f>HYPERLINK("https://www.spark-marketing.ru/Card/Person/95245", "ОАО ""РЖД""")</f>
        <v>ОАО "РЖД"</v>
      </c>
      <c r="B7620" s="24" t="s">
        <v>163</v>
      </c>
      <c r="C7620" s="25">
        <v>969360</v>
      </c>
      <c r="D7620" s="22" t="s">
        <v>9748</v>
      </c>
      <c r="E7620" s="22" t="s">
        <v>9749</v>
      </c>
      <c r="F7620" s="23" t="str">
        <f>HYPERLINK("https://www.spark-marketing.ru/Card/Lot/70816407", "На право заключения договора на оказание услуг по изготовлению видеофильма ""О порядке действий локомотивных бригад по соблюдению норм и правил деловой этики ОАО ""РЖД"" при обслуживании пассажиров""")</f>
        <v>На право заключения договора на оказание услуг по изготовлению видеофильма "О порядке действий локомотивных бригад по соблюдению норм и правил деловой этики ОАО "РЖД" при обслуживании пассажиров"</v>
      </c>
      <c r="G7620" s="22" t="s">
        <v>209</v>
      </c>
      <c r="H7620" s="22" t="s">
        <v>209</v>
      </c>
      <c r="I7620" s="26">
        <v>43612.434409722198</v>
      </c>
      <c r="J7620" s="28" t="s">
        <v>52</v>
      </c>
      <c r="K7620" s="28" t="s">
        <v>52</v>
      </c>
      <c r="L7620" s="28" t="s">
        <v>52</v>
      </c>
      <c r="M7620" s="28" t="s">
        <v>52</v>
      </c>
      <c r="N7620" s="28" t="s">
        <v>52</v>
      </c>
    </row>
    <row r="7621" spans="1:14" x14ac:dyDescent="0.15">
      <c r="A7621" s="23" t="str">
        <f>HYPERLINK("https://www.spark-marketing.ru/Card/Person/9960", "СПБ ГБУЗ ""ДЕТСКИЙ ГОРОДСКОЙ МНОГОПРОФИЛЬНЫЙ КЛИНИЧЕСКИЙ СПЕЦИАЛИЗИРОВАННЫЙ ЦЕНТР ВЫСОКИХ МЕДИЦИНСКИХ ТЕХНОЛОГИЙ""")</f>
        <v>СПБ ГБУЗ "ДЕТСКИЙ ГОРОДСКОЙ МНОГОПРОФИЛЬНЫЙ КЛИНИЧЕСКИЙ СПЕЦИАЛИЗИРОВАННЫЙ ЦЕНТР ВЫСОКИХ МЕДИЦИНСКИХ ТЕХНОЛОГИЙ"</v>
      </c>
      <c r="B7621" s="24" t="s">
        <v>9750</v>
      </c>
      <c r="C7621" s="25">
        <v>26000000</v>
      </c>
      <c r="D7621" s="22" t="s">
        <v>9751</v>
      </c>
      <c r="E7621" s="22" t="s">
        <v>732</v>
      </c>
      <c r="F7621" s="23" t="str">
        <f>HYPERLINK("https://www.spark-marketing.ru/Card/Lot/70828589", "Поставка, установка и ввод в эксплуатацию видеоэндохирургической стойки для нужд Санкт-Петербургского государственного бюджетного учреждения здравоохранения «Детская городская больница № 1» в 2019 году.")</f>
        <v>Поставка, установка и ввод в эксплуатацию видеоэндохирургической стойки для нужд Санкт-Петербургского государственного бюджетного учреждения здравоохранения «Детская городская больница № 1» в 2019 году.</v>
      </c>
      <c r="G7621" s="22" t="s">
        <v>89</v>
      </c>
      <c r="H7621" s="22" t="s">
        <v>89</v>
      </c>
      <c r="I7621" s="26">
        <v>43612.3840277778</v>
      </c>
      <c r="J7621" s="23" t="str">
        <f>HYPERLINK("https://www.spark-marketing.ru/Card/Person/43852", "ООО ""ЦМБ""")</f>
        <v>ООО "ЦМБ"</v>
      </c>
      <c r="K7621" s="24" t="s">
        <v>9752</v>
      </c>
      <c r="L7621" s="22" t="s">
        <v>10</v>
      </c>
      <c r="M7621" s="28" t="s">
        <v>52</v>
      </c>
      <c r="N7621" s="28" t="s">
        <v>52</v>
      </c>
    </row>
    <row r="7622" spans="1:14" x14ac:dyDescent="0.15">
      <c r="A7622" s="23" t="str">
        <f>HYPERLINK("https://www.spark-marketing.ru/Card/Person/4366676", "ООО ""БАТО""")</f>
        <v>ООО "БАТО"</v>
      </c>
      <c r="B7622" s="24" t="s">
        <v>7135</v>
      </c>
      <c r="C7622" s="28" t="s">
        <v>52</v>
      </c>
      <c r="D7622" s="22" t="s">
        <v>9753</v>
      </c>
      <c r="E7622" s="22" t="s">
        <v>1923</v>
      </c>
      <c r="F7622" s="23" t="str">
        <f>HYPERLINK("https://www.spark-marketing.ru/Card/Lot/74014407", "Услуги на получение свидетельства о соответствии конструкции транспортного средства требованиям безопасности после внесения изменений трех аэродромных топливозаправщиков.")</f>
        <v>Услуги на получение свидетельства о соответствии конструкции транспортного средства требованиям безопасности после внесения изменений трех аэродромных топливозаправщиков.</v>
      </c>
      <c r="G7622" s="22" t="s">
        <v>132</v>
      </c>
      <c r="H7622" s="22" t="s">
        <v>652</v>
      </c>
      <c r="I7622" s="26">
        <v>43612.406944444403</v>
      </c>
      <c r="J7622" s="28" t="s">
        <v>52</v>
      </c>
      <c r="K7622" s="28" t="s">
        <v>52</v>
      </c>
      <c r="L7622" s="28" t="s">
        <v>52</v>
      </c>
      <c r="M7622" s="28" t="s">
        <v>52</v>
      </c>
      <c r="N7622" s="28" t="s">
        <v>52</v>
      </c>
    </row>
    <row r="7623" spans="1:14" x14ac:dyDescent="0.15">
      <c r="A7623" s="23" t="str">
        <f>HYPERLINK("https://www.spark-marketing.ru/Card/Person/4350417", "СПЕЦИАЛЬНЫЙ ДОМ-ИНТЕРНАТ")</f>
        <v>СПЕЦИАЛЬНЫЙ ДОМ-ИНТЕРНАТ</v>
      </c>
      <c r="B7623" s="24" t="s">
        <v>9754</v>
      </c>
      <c r="C7623" s="25">
        <v>715944</v>
      </c>
      <c r="D7623" s="22" t="s">
        <v>9755</v>
      </c>
      <c r="E7623" s="22" t="s">
        <v>68</v>
      </c>
      <c r="F7623" s="23" t="str">
        <f>HYPERLINK("https://www.spark-marketing.ru/Card/Lot/70838561", "Услуги охраны")</f>
        <v>Услуги охраны</v>
      </c>
      <c r="G7623" s="22" t="s">
        <v>60</v>
      </c>
      <c r="H7623" s="22" t="s">
        <v>60</v>
      </c>
      <c r="I7623" s="26">
        <v>43612.390277777798</v>
      </c>
      <c r="J7623" s="28" t="s">
        <v>52</v>
      </c>
      <c r="K7623" s="28" t="s">
        <v>52</v>
      </c>
      <c r="L7623" s="28" t="s">
        <v>52</v>
      </c>
      <c r="M7623" s="28" t="s">
        <v>52</v>
      </c>
      <c r="N7623" s="28" t="s">
        <v>52</v>
      </c>
    </row>
    <row r="7624" spans="1:14" hidden="1" outlineLevel="1" x14ac:dyDescent="0.2">
      <c r="A7624" s="23" t="str">
        <f>HYPERLINK("https://www.spark-marketing.ru/Card/Person/4350417", "СПЕЦИАЛЬНЫЙ ДОМ-ИНТЕРНАТ")</f>
        <v>СПЕЦИАЛЬНЫЙ ДОМ-ИНТЕРНАТ</v>
      </c>
      <c r="B7624" s="24" t="s">
        <v>9754</v>
      </c>
      <c r="C7624" s="25">
        <v>715944</v>
      </c>
      <c r="D7624" s="22" t="s">
        <v>9755</v>
      </c>
      <c r="E7624" s="22" t="s">
        <v>68</v>
      </c>
      <c r="F7624" s="23" t="str">
        <f>HYPERLINK("https://www.spark-marketing.ru/Card/Lot/70838561", "Услуги охраны")</f>
        <v>Услуги охраны</v>
      </c>
      <c r="G7624" s="22" t="s">
        <v>60</v>
      </c>
      <c r="H7624" s="22" t="s">
        <v>60</v>
      </c>
      <c r="I7624" s="26">
        <v>43612.390277777798</v>
      </c>
      <c r="J7624" s="23" t="str">
        <f>HYPERLINK("https://www.spark-marketing.ru/Card/Person/54348", "ООО ЧОП ""ГРИДЪ""")</f>
        <v>ООО ЧОП "ГРИДЪ"</v>
      </c>
      <c r="K7624" s="24" t="s">
        <v>9756</v>
      </c>
      <c r="L7624" s="28" t="s">
        <v>52</v>
      </c>
      <c r="M7624" s="25">
        <v>601392.96</v>
      </c>
      <c r="N7624" s="27">
        <v>0.16</v>
      </c>
    </row>
    <row r="7625" spans="1:14" ht="12.75" hidden="1" outlineLevel="1" x14ac:dyDescent="0.2">
      <c r="A7625" s="23" t="str">
        <f>HYPERLINK("https://www.spark-marketing.ru/Card/Person/4350417", "СПЕЦИАЛЬНЫЙ ДОМ-ИНТЕРНАТ")</f>
        <v>СПЕЦИАЛЬНЫЙ ДОМ-ИНТЕРНАТ</v>
      </c>
      <c r="B7625" s="24" t="s">
        <v>9754</v>
      </c>
      <c r="C7625" s="25">
        <v>715944</v>
      </c>
      <c r="D7625" s="22" t="s">
        <v>9755</v>
      </c>
      <c r="E7625" s="22" t="s">
        <v>68</v>
      </c>
      <c r="F7625" s="23" t="str">
        <f>HYPERLINK("https://www.spark-marketing.ru/Card/Lot/70838561", "Услуги охраны")</f>
        <v>Услуги охраны</v>
      </c>
      <c r="G7625" s="22" t="s">
        <v>60</v>
      </c>
      <c r="H7625" s="22" t="s">
        <v>60</v>
      </c>
      <c r="I7625" s="26">
        <v>43612.390277777798</v>
      </c>
      <c r="J7625" s="23" t="str">
        <f>HYPERLINK("https://www.spark-marketing.ru/Card/Person/863715", "ООО ЧОО ""ВИПР-ОХРАНА""")</f>
        <v>ООО ЧОО "ВИПР-ОХРАНА"</v>
      </c>
      <c r="K7625" s="24" t="s">
        <v>9757</v>
      </c>
      <c r="L7625" s="22" t="s">
        <v>10</v>
      </c>
      <c r="M7625" s="25">
        <v>597813.24</v>
      </c>
      <c r="N7625" s="27">
        <v>0.16500000000000001</v>
      </c>
    </row>
    <row r="7626" spans="1:14" x14ac:dyDescent="0.15">
      <c r="A7626" s="23" t="str">
        <f>HYPERLINK("https://www.spark-marketing.ru/Card/Person/576953", "ГБУЗ ЧОПАБ")</f>
        <v>ГБУЗ ЧОПАБ</v>
      </c>
      <c r="B7626" s="24" t="s">
        <v>9758</v>
      </c>
      <c r="C7626" s="25">
        <v>67473.350000000006</v>
      </c>
      <c r="D7626" s="22" t="s">
        <v>9759</v>
      </c>
      <c r="E7626" s="22" t="s">
        <v>103</v>
      </c>
      <c r="F7626" s="23" t="str">
        <f>HYPERLINK("https://www.spark-marketing.ru/Card/Lot/70820102", "Обслуживание системы охранного видеонаблюдения")</f>
        <v>Обслуживание системы охранного видеонаблюдения</v>
      </c>
      <c r="G7626" s="22" t="s">
        <v>60</v>
      </c>
      <c r="H7626" s="22" t="s">
        <v>1683</v>
      </c>
      <c r="I7626" s="26">
        <v>43612.383333333302</v>
      </c>
      <c r="J7626" s="28" t="s">
        <v>52</v>
      </c>
      <c r="K7626" s="28" t="s">
        <v>52</v>
      </c>
      <c r="L7626" s="28" t="s">
        <v>52</v>
      </c>
      <c r="M7626" s="28" t="s">
        <v>52</v>
      </c>
      <c r="N7626" s="28" t="s">
        <v>52</v>
      </c>
    </row>
    <row r="7627" spans="1:14" x14ac:dyDescent="0.15">
      <c r="A7627" s="23" t="str">
        <f>HYPERLINK("https://www.spark-marketing.ru/Card/Person/75669", "ОМВД РОССИИ ПО СУРГУТСКОМУ РАЙОНУ")</f>
        <v>ОМВД РОССИИ ПО СУРГУТСКОМУ РАЙОНУ</v>
      </c>
      <c r="B7627" s="24" t="s">
        <v>9241</v>
      </c>
      <c r="C7627" s="25">
        <v>97736</v>
      </c>
      <c r="D7627" s="22" t="s">
        <v>9760</v>
      </c>
      <c r="E7627" s="22" t="s">
        <v>59</v>
      </c>
      <c r="F7627" s="23" t="str">
        <f>HYPERLINK("https://www.spark-marketing.ru/Card/Lot/70813602", "Установка охранной сигнализации, 1 шт")</f>
        <v>Установка охранной сигнализации, 1 шт</v>
      </c>
      <c r="G7627" s="22" t="s">
        <v>119</v>
      </c>
      <c r="H7627" s="22" t="s">
        <v>416</v>
      </c>
      <c r="I7627" s="26">
        <v>43612.3928703704</v>
      </c>
      <c r="J7627" s="28" t="s">
        <v>52</v>
      </c>
      <c r="K7627" s="28" t="s">
        <v>52</v>
      </c>
      <c r="L7627" s="28" t="s">
        <v>52</v>
      </c>
      <c r="M7627" s="28" t="s">
        <v>52</v>
      </c>
      <c r="N7627" s="28" t="s">
        <v>52</v>
      </c>
    </row>
    <row r="7628" spans="1:14" x14ac:dyDescent="0.15">
      <c r="A7628" s="23" t="str">
        <f>HYPERLINK("https://www.spark-marketing.ru/Card/Person/2194", "ФБУЗ ""ЦЕНТР ГИГИЕНЫ И ЭПИДЕМИОЛОГИИ В УДМУРТСКОЙ РЕСПУБЛИКЕ""")</f>
        <v>ФБУЗ "ЦЕНТР ГИГИЕНЫ И ЭПИДЕМИОЛОГИИ В УДМУРТСКОЙ РЕСПУБЛИКЕ"</v>
      </c>
      <c r="B7628" s="24" t="s">
        <v>7640</v>
      </c>
      <c r="C7628" s="25">
        <v>310000.02</v>
      </c>
      <c r="D7628" s="22" t="s">
        <v>9761</v>
      </c>
      <c r="E7628" s="22" t="s">
        <v>68</v>
      </c>
      <c r="F7628" s="23" t="str">
        <f>HYPERLINK("https://www.spark-marketing.ru/Card/Lot/70823278", "Охрана В. Сивкова, 161")</f>
        <v>Охрана В. Сивкова, 161</v>
      </c>
      <c r="G7628" s="22" t="s">
        <v>96</v>
      </c>
      <c r="H7628" s="22" t="s">
        <v>96</v>
      </c>
      <c r="I7628" s="26">
        <v>43612.415972222203</v>
      </c>
      <c r="J7628" s="28" t="s">
        <v>52</v>
      </c>
      <c r="K7628" s="28" t="s">
        <v>52</v>
      </c>
      <c r="L7628" s="28" t="s">
        <v>52</v>
      </c>
      <c r="M7628" s="28" t="s">
        <v>52</v>
      </c>
      <c r="N7628" s="28" t="s">
        <v>52</v>
      </c>
    </row>
    <row r="7629" spans="1:14" ht="12.75" hidden="1" outlineLevel="1" x14ac:dyDescent="0.2">
      <c r="A7629" s="23" t="str">
        <f>HYPERLINK("https://www.spark-marketing.ru/Card/Person/2194", "ФБУЗ ""ЦЕНТР ГИГИЕНЫ И ЭПИДЕМИОЛОГИИ В УДМУРТСКОЙ РЕСПУБЛИКЕ""")</f>
        <v>ФБУЗ "ЦЕНТР ГИГИЕНЫ И ЭПИДЕМИОЛОГИИ В УДМУРТСКОЙ РЕСПУБЛИКЕ"</v>
      </c>
      <c r="B7629" s="24" t="s">
        <v>7640</v>
      </c>
      <c r="C7629" s="25">
        <v>310000.02</v>
      </c>
      <c r="D7629" s="22" t="s">
        <v>9761</v>
      </c>
      <c r="E7629" s="22" t="s">
        <v>68</v>
      </c>
      <c r="F7629" s="23" t="str">
        <f>HYPERLINK("https://www.spark-marketing.ru/Card/Lot/70823278", "Охрана В. Сивкова, 161")</f>
        <v>Охрана В. Сивкова, 161</v>
      </c>
      <c r="G7629" s="22" t="s">
        <v>96</v>
      </c>
      <c r="H7629" s="22" t="s">
        <v>96</v>
      </c>
      <c r="I7629" s="26">
        <v>43612.415972222203</v>
      </c>
      <c r="J7629" s="23" t="str">
        <f>HYPERLINK("https://www.spark-marketing.ru/Card/Person/117332", "ООО ОО ""ЛЕГИОН-ПЛЮС""")</f>
        <v>ООО ОО "ЛЕГИОН-ПЛЮС"</v>
      </c>
      <c r="K7629" s="24" t="s">
        <v>9731</v>
      </c>
      <c r="L7629" s="22" t="s">
        <v>10</v>
      </c>
      <c r="M7629" s="25">
        <v>182900.02</v>
      </c>
      <c r="N7629" s="27">
        <v>0.4099999735483888</v>
      </c>
    </row>
    <row r="7630" spans="1:14" hidden="1" outlineLevel="1" x14ac:dyDescent="0.2">
      <c r="A7630" s="23" t="str">
        <f>HYPERLINK("https://www.spark-marketing.ru/Card/Person/2194", "ФБУЗ ""ЦЕНТР ГИГИЕНЫ И ЭПИДЕМИОЛОГИИ В УДМУРТСКОЙ РЕСПУБЛИКЕ""")</f>
        <v>ФБУЗ "ЦЕНТР ГИГИЕНЫ И ЭПИДЕМИОЛОГИИ В УДМУРТСКОЙ РЕСПУБЛИКЕ"</v>
      </c>
      <c r="B7630" s="24" t="s">
        <v>7640</v>
      </c>
      <c r="C7630" s="25">
        <v>310000.02</v>
      </c>
      <c r="D7630" s="22" t="s">
        <v>9761</v>
      </c>
      <c r="E7630" s="22" t="s">
        <v>68</v>
      </c>
      <c r="F7630" s="23" t="str">
        <f>HYPERLINK("https://www.spark-marketing.ru/Card/Lot/70823278", "Охрана В. Сивкова, 161")</f>
        <v>Охрана В. Сивкова, 161</v>
      </c>
      <c r="G7630" s="22" t="s">
        <v>96</v>
      </c>
      <c r="H7630" s="22" t="s">
        <v>96</v>
      </c>
      <c r="I7630" s="26">
        <v>43612.415972222203</v>
      </c>
      <c r="J7630" s="23" t="str">
        <f>HYPERLINK("https://www.spark-marketing.ru/Card/Person/4349896", "ООО ""ОП ""ДЕЛОХРАНИТЕЛЬ""")</f>
        <v>ООО "ОП "ДЕЛОХРАНИТЕЛЬ"</v>
      </c>
      <c r="K7630" s="24" t="s">
        <v>9730</v>
      </c>
      <c r="L7630" s="28" t="s">
        <v>52</v>
      </c>
      <c r="M7630" s="25">
        <v>184450.02</v>
      </c>
      <c r="N7630" s="27">
        <v>0.40499997387096942</v>
      </c>
    </row>
    <row r="7631" spans="1:14" x14ac:dyDescent="0.15">
      <c r="A7631" s="23" t="str">
        <f>HYPERLINK("https://www.spark-marketing.ru/Card/Person/102275", "ООО ""ГРАНЬ""")</f>
        <v>ООО "ГРАНЬ"</v>
      </c>
      <c r="B7631" s="24" t="s">
        <v>9762</v>
      </c>
      <c r="C7631" s="25">
        <v>0</v>
      </c>
      <c r="D7631" s="22" t="s">
        <v>9763</v>
      </c>
      <c r="E7631" s="22" t="s">
        <v>53</v>
      </c>
      <c r="F7631" s="23" t="str">
        <f>HYPERLINK("https://www.spark-marketing.ru/Card/Lot/70852364", "Кнопка тревожная С2000-КТ")</f>
        <v>Кнопка тревожная С2000-КТ</v>
      </c>
      <c r="G7631" s="22" t="s">
        <v>204</v>
      </c>
      <c r="H7631" s="22" t="s">
        <v>303</v>
      </c>
      <c r="I7631" s="26">
        <v>43612.352222222202</v>
      </c>
      <c r="J7631" s="28" t="s">
        <v>52</v>
      </c>
      <c r="K7631" s="28" t="s">
        <v>52</v>
      </c>
      <c r="L7631" s="28" t="s">
        <v>52</v>
      </c>
      <c r="M7631" s="28" t="s">
        <v>52</v>
      </c>
      <c r="N7631" s="28" t="s">
        <v>52</v>
      </c>
    </row>
    <row r="7632" spans="1:14" x14ac:dyDescent="0.15">
      <c r="A7632" s="23" t="str">
        <f>HYPERLINK("https://www.spark-marketing.ru/Card/Person/107079", "АДМИНИСТРАЦИЯ ГОРОДА КИРОВО-ЧЕПЕЦКА")</f>
        <v>АДМИНИСТРАЦИЯ ГОРОДА КИРОВО-ЧЕПЕЦКА</v>
      </c>
      <c r="B7632" s="24" t="s">
        <v>9764</v>
      </c>
      <c r="C7632" s="25">
        <v>103666.66</v>
      </c>
      <c r="D7632" s="22" t="s">
        <v>9765</v>
      </c>
      <c r="E7632" s="22" t="s">
        <v>103</v>
      </c>
      <c r="F7632" s="23" t="str">
        <f>HYPERLINK("https://www.spark-marketing.ru/Card/Lot/70821397", "Оказание услуг по обслуживанию системы городского видеонаблюдения")</f>
        <v>Оказание услуг по обслуживанию системы городского видеонаблюдения</v>
      </c>
      <c r="G7632" s="22" t="s">
        <v>556</v>
      </c>
      <c r="H7632" s="22" t="s">
        <v>556</v>
      </c>
      <c r="I7632" s="26">
        <v>43612.360416666699</v>
      </c>
      <c r="J7632" s="28" t="s">
        <v>52</v>
      </c>
      <c r="K7632" s="28" t="s">
        <v>52</v>
      </c>
      <c r="L7632" s="28" t="s">
        <v>52</v>
      </c>
      <c r="M7632" s="28" t="s">
        <v>52</v>
      </c>
      <c r="N7632" s="28" t="s">
        <v>52</v>
      </c>
    </row>
    <row r="7633" spans="1:14" hidden="1" outlineLevel="1" x14ac:dyDescent="0.2">
      <c r="A7633" s="23" t="str">
        <f>HYPERLINK("https://www.spark-marketing.ru/Card/Person/107079", "АДМИНИСТРАЦИЯ ГОРОДА КИРОВО-ЧЕПЕЦКА")</f>
        <v>АДМИНИСТРАЦИЯ ГОРОДА КИРОВО-ЧЕПЕЦКА</v>
      </c>
      <c r="B7633" s="24" t="s">
        <v>9764</v>
      </c>
      <c r="C7633" s="25">
        <v>103666.66</v>
      </c>
      <c r="D7633" s="22" t="s">
        <v>9765</v>
      </c>
      <c r="E7633" s="22" t="s">
        <v>103</v>
      </c>
      <c r="F7633" s="23" t="str">
        <f>HYPERLINK("https://www.spark-marketing.ru/Card/Lot/70821397", "Оказание услуг по обслуживанию системы городского видеонаблюдения")</f>
        <v>Оказание услуг по обслуживанию системы городского видеонаблюдения</v>
      </c>
      <c r="G7633" s="22" t="s">
        <v>556</v>
      </c>
      <c r="H7633" s="22" t="s">
        <v>556</v>
      </c>
      <c r="I7633" s="26">
        <v>43612.360416666699</v>
      </c>
      <c r="J7633" s="23" t="str">
        <f>HYPERLINK("https://www.spark-marketing.ru/Card/Person/124260", "ООО ""АРГУС""")</f>
        <v>ООО "АРГУС"</v>
      </c>
      <c r="K7633" s="24" t="s">
        <v>9766</v>
      </c>
      <c r="L7633" s="28" t="s">
        <v>52</v>
      </c>
      <c r="M7633" s="25">
        <v>60000</v>
      </c>
      <c r="N7633" s="27">
        <v>0.42122182773130723</v>
      </c>
    </row>
    <row r="7634" spans="1:14" ht="12.75" hidden="1" outlineLevel="1" x14ac:dyDescent="0.2">
      <c r="A7634" s="23" t="str">
        <f>HYPERLINK("https://www.spark-marketing.ru/Card/Person/107079", "АДМИНИСТРАЦИЯ ГОРОДА КИРОВО-ЧЕПЕЦКА")</f>
        <v>АДМИНИСТРАЦИЯ ГОРОДА КИРОВО-ЧЕПЕЦКА</v>
      </c>
      <c r="B7634" s="24" t="s">
        <v>9764</v>
      </c>
      <c r="C7634" s="25">
        <v>103666.66</v>
      </c>
      <c r="D7634" s="22" t="s">
        <v>9765</v>
      </c>
      <c r="E7634" s="22" t="s">
        <v>103</v>
      </c>
      <c r="F7634" s="23" t="str">
        <f>HYPERLINK("https://www.spark-marketing.ru/Card/Lot/70821397", "Оказание услуг по обслуживанию системы городского видеонаблюдения")</f>
        <v>Оказание услуг по обслуживанию системы городского видеонаблюдения</v>
      </c>
      <c r="G7634" s="22" t="s">
        <v>556</v>
      </c>
      <c r="H7634" s="22" t="s">
        <v>556</v>
      </c>
      <c r="I7634" s="26">
        <v>43612.360416666699</v>
      </c>
      <c r="J7634" s="23" t="str">
        <f>HYPERLINK("https://www.spark-marketing.ru/Card/Person/352975", "ООО ""МЕЖРЕГИОНКОМПЛЕКТ""")</f>
        <v>ООО "МЕЖРЕГИОНКОМПЛЕКТ"</v>
      </c>
      <c r="K7634" s="24" t="s">
        <v>9767</v>
      </c>
      <c r="L7634" s="22" t="s">
        <v>10</v>
      </c>
      <c r="M7634" s="25">
        <v>47000</v>
      </c>
      <c r="N7634" s="27">
        <v>0.5466237650561907</v>
      </c>
    </row>
    <row r="7635" spans="1:14" hidden="1" outlineLevel="1" x14ac:dyDescent="0.2">
      <c r="A7635" s="23" t="str">
        <f>HYPERLINK("https://www.spark-marketing.ru/Card/Person/107079", "АДМИНИСТРАЦИЯ ГОРОДА КИРОВО-ЧЕПЕЦКА")</f>
        <v>АДМИНИСТРАЦИЯ ГОРОДА КИРОВО-ЧЕПЕЦКА</v>
      </c>
      <c r="B7635" s="24" t="s">
        <v>9764</v>
      </c>
      <c r="C7635" s="25">
        <v>103666.66</v>
      </c>
      <c r="D7635" s="22" t="s">
        <v>9765</v>
      </c>
      <c r="E7635" s="22" t="s">
        <v>103</v>
      </c>
      <c r="F7635" s="23" t="str">
        <f>HYPERLINK("https://www.spark-marketing.ru/Card/Lot/70821397", "Оказание услуг по обслуживанию системы городского видеонаблюдения")</f>
        <v>Оказание услуг по обслуживанию системы городского видеонаблюдения</v>
      </c>
      <c r="G7635" s="22" t="s">
        <v>556</v>
      </c>
      <c r="H7635" s="22" t="s">
        <v>556</v>
      </c>
      <c r="I7635" s="26">
        <v>43612.360416666699</v>
      </c>
      <c r="J7635" s="23" t="str">
        <f>HYPERLINK("https://www.spark-marketing.ru/Card/Person/325554", "ООО ""БЕЗОПАСНОСТЬ И ТЕХНИКА""")</f>
        <v>ООО "БЕЗОПАСНОСТЬ И ТЕХНИКА"</v>
      </c>
      <c r="K7635" s="24" t="s">
        <v>9768</v>
      </c>
      <c r="L7635" s="28" t="s">
        <v>52</v>
      </c>
      <c r="M7635" s="25">
        <v>48000</v>
      </c>
      <c r="N7635" s="27">
        <v>0.53697746218504583</v>
      </c>
    </row>
    <row r="7636" spans="1:14" x14ac:dyDescent="0.15">
      <c r="A7636" s="23" t="str">
        <f>HYPERLINK("https://www.spark-marketing.ru/Card/Person/2194", "ФБУЗ ""ЦЕНТР ГИГИЕНЫ И ЭПИДЕМИОЛОГИИ В УДМУРТСКОЙ РЕСПУБЛИКЕ""")</f>
        <v>ФБУЗ "ЦЕНТР ГИГИЕНЫ И ЭПИДЕМИОЛОГИИ В УДМУРТСКОЙ РЕСПУБЛИКЕ"</v>
      </c>
      <c r="B7636" s="24" t="s">
        <v>7640</v>
      </c>
      <c r="C7636" s="25">
        <v>508999.98</v>
      </c>
      <c r="D7636" s="22" t="s">
        <v>9769</v>
      </c>
      <c r="E7636" s="22" t="s">
        <v>68</v>
      </c>
      <c r="F7636" s="23" t="str">
        <f>HYPERLINK("https://www.spark-marketing.ru/Card/Lot/70824866", "Охрана Кирова, 46")</f>
        <v>Охрана Кирова, 46</v>
      </c>
      <c r="G7636" s="22" t="s">
        <v>96</v>
      </c>
      <c r="H7636" s="22" t="s">
        <v>96</v>
      </c>
      <c r="I7636" s="26">
        <v>43612.354166666701</v>
      </c>
      <c r="J7636" s="28" t="s">
        <v>52</v>
      </c>
      <c r="K7636" s="28" t="s">
        <v>52</v>
      </c>
      <c r="L7636" s="28" t="s">
        <v>52</v>
      </c>
      <c r="M7636" s="28" t="s">
        <v>52</v>
      </c>
      <c r="N7636" s="28" t="s">
        <v>52</v>
      </c>
    </row>
    <row r="7637" spans="1:14" ht="12.75" hidden="1" outlineLevel="1" x14ac:dyDescent="0.2">
      <c r="A7637" s="23" t="str">
        <f>HYPERLINK("https://www.spark-marketing.ru/Card/Person/2194", "ФБУЗ ""ЦЕНТР ГИГИЕНЫ И ЭПИДЕМИОЛОГИИ В УДМУРТСКОЙ РЕСПУБЛИКЕ""")</f>
        <v>ФБУЗ "ЦЕНТР ГИГИЕНЫ И ЭПИДЕМИОЛОГИИ В УДМУРТСКОЙ РЕСПУБЛИКЕ"</v>
      </c>
      <c r="B7637" s="24" t="s">
        <v>7640</v>
      </c>
      <c r="C7637" s="25">
        <v>508999.98</v>
      </c>
      <c r="D7637" s="22" t="s">
        <v>9769</v>
      </c>
      <c r="E7637" s="22" t="s">
        <v>68</v>
      </c>
      <c r="F7637" s="23" t="str">
        <f>HYPERLINK("https://www.spark-marketing.ru/Card/Lot/70824866", "Охрана Кирова, 46")</f>
        <v>Охрана Кирова, 46</v>
      </c>
      <c r="G7637" s="22" t="s">
        <v>96</v>
      </c>
      <c r="H7637" s="22" t="s">
        <v>96</v>
      </c>
      <c r="I7637" s="26">
        <v>43612.354166666701</v>
      </c>
      <c r="J7637" s="23" t="str">
        <f>HYPERLINK("https://www.spark-marketing.ru/Card/Person/117332", "ООО ОО ""ЛЕГИОН-ПЛЮС""")</f>
        <v>ООО ОО "ЛЕГИОН-ПЛЮС"</v>
      </c>
      <c r="K7637" s="24" t="s">
        <v>9731</v>
      </c>
      <c r="L7637" s="22" t="s">
        <v>10</v>
      </c>
      <c r="M7637" s="25">
        <v>384294.98</v>
      </c>
      <c r="N7637" s="27">
        <v>0.24500000962671944</v>
      </c>
    </row>
    <row r="7638" spans="1:14" hidden="1" outlineLevel="1" x14ac:dyDescent="0.2">
      <c r="A7638" s="23" t="str">
        <f>HYPERLINK("https://www.spark-marketing.ru/Card/Person/2194", "ФБУЗ ""ЦЕНТР ГИГИЕНЫ И ЭПИДЕМИОЛОГИИ В УДМУРТСКОЙ РЕСПУБЛИКЕ""")</f>
        <v>ФБУЗ "ЦЕНТР ГИГИЕНЫ И ЭПИДЕМИОЛОГИИ В УДМУРТСКОЙ РЕСПУБЛИКЕ"</v>
      </c>
      <c r="B7638" s="24" t="s">
        <v>7640</v>
      </c>
      <c r="C7638" s="25">
        <v>508999.98</v>
      </c>
      <c r="D7638" s="22" t="s">
        <v>9769</v>
      </c>
      <c r="E7638" s="22" t="s">
        <v>68</v>
      </c>
      <c r="F7638" s="23" t="str">
        <f>HYPERLINK("https://www.spark-marketing.ru/Card/Lot/70824866", "Охрана Кирова, 46")</f>
        <v>Охрана Кирова, 46</v>
      </c>
      <c r="G7638" s="22" t="s">
        <v>96</v>
      </c>
      <c r="H7638" s="22" t="s">
        <v>96</v>
      </c>
      <c r="I7638" s="26">
        <v>43612.354166666701</v>
      </c>
      <c r="J7638" s="23" t="str">
        <f>HYPERLINK("https://www.spark-marketing.ru/Card/Person/4349896", "ООО ""ОП ""ДЕЛОХРАНИТЕЛЬ""")</f>
        <v>ООО "ОП "ДЕЛОХРАНИТЕЛЬ"</v>
      </c>
      <c r="K7638" s="24" t="s">
        <v>9730</v>
      </c>
      <c r="L7638" s="28" t="s">
        <v>52</v>
      </c>
      <c r="M7638" s="25">
        <v>391929.98</v>
      </c>
      <c r="N7638" s="27">
        <v>0.23000000903732845</v>
      </c>
    </row>
    <row r="7639" spans="1:14" hidden="1" outlineLevel="1" x14ac:dyDescent="0.2">
      <c r="A7639" s="23" t="str">
        <f>HYPERLINK("https://www.spark-marketing.ru/Card/Person/2194", "ФБУЗ ""ЦЕНТР ГИГИЕНЫ И ЭПИДЕМИОЛОГИИ В УДМУРТСКОЙ РЕСПУБЛИКЕ""")</f>
        <v>ФБУЗ "ЦЕНТР ГИГИЕНЫ И ЭПИДЕМИОЛОГИИ В УДМУРТСКОЙ РЕСПУБЛИКЕ"</v>
      </c>
      <c r="B7639" s="24" t="s">
        <v>7640</v>
      </c>
      <c r="C7639" s="25">
        <v>508999.98</v>
      </c>
      <c r="D7639" s="22" t="s">
        <v>9769</v>
      </c>
      <c r="E7639" s="22" t="s">
        <v>68</v>
      </c>
      <c r="F7639" s="23" t="str">
        <f>HYPERLINK("https://www.spark-marketing.ru/Card/Lot/70824866", "Охрана Кирова, 46")</f>
        <v>Охрана Кирова, 46</v>
      </c>
      <c r="G7639" s="22" t="s">
        <v>96</v>
      </c>
      <c r="H7639" s="22" t="s">
        <v>96</v>
      </c>
      <c r="I7639" s="26">
        <v>43612.354166666701</v>
      </c>
      <c r="J7639" s="23" t="str">
        <f>HYPERLINK("https://www.spark-marketing.ru/Card/Person/4877052", "ООО АГЕНТСТВО ОХРАНЫ ""АРСЕНАЛ""")</f>
        <v>ООО АГЕНТСТВО ОХРАНЫ "АРСЕНАЛ"</v>
      </c>
      <c r="K7639" s="24" t="s">
        <v>5987</v>
      </c>
      <c r="L7639" s="28" t="s">
        <v>52</v>
      </c>
      <c r="M7639" s="25">
        <v>386839.98</v>
      </c>
      <c r="N7639" s="27">
        <v>0.24000000943025576</v>
      </c>
    </row>
    <row r="7640" spans="1:14" x14ac:dyDescent="0.15">
      <c r="A7640" s="23" t="str">
        <f>HYPERLINK("https://www.spark-marketing.ru/Card/Person/122910", "МЕЖРАЙОННАЯ ИФНС РОССИИ № 3 ПО ЗАБАЙКАЛЬСКОМУ КРАЮ")</f>
        <v>МЕЖРАЙОННАЯ ИФНС РОССИИ № 3 ПО ЗАБАЙКАЛЬСКОМУ КРАЮ</v>
      </c>
      <c r="B7640" s="24" t="s">
        <v>9357</v>
      </c>
      <c r="C7640" s="25">
        <v>7256</v>
      </c>
      <c r="D7640" s="22" t="s">
        <v>9770</v>
      </c>
      <c r="E7640" s="22" t="s">
        <v>53</v>
      </c>
      <c r="F7640" s="23" t="str">
        <f>HYPERLINK("https://www.spark-marketing.ru/Card/Lot/70811508", "Услуги по охране объектов с помощью КТС")</f>
        <v>Услуги по охране объектов с помощью КТС</v>
      </c>
      <c r="G7640" s="22" t="s">
        <v>473</v>
      </c>
      <c r="H7640" s="22" t="s">
        <v>476</v>
      </c>
      <c r="I7640" s="26">
        <v>43612.222800925898</v>
      </c>
      <c r="J7640" s="28" t="s">
        <v>52</v>
      </c>
      <c r="K7640" s="28" t="s">
        <v>52</v>
      </c>
      <c r="L7640" s="28" t="s">
        <v>52</v>
      </c>
      <c r="M7640" s="28" t="s">
        <v>52</v>
      </c>
      <c r="N7640" s="28" t="s">
        <v>52</v>
      </c>
    </row>
    <row r="7641" spans="1:14" x14ac:dyDescent="0.15">
      <c r="A7641" s="23" t="str">
        <f>HYPERLINK("https://www.spark-marketing.ru/Card/Person/122910", "МЕЖРАЙОННАЯ ИФНС РОССИИ № 3 ПО ЗАБАЙКАЛЬСКОМУ КРАЮ")</f>
        <v>МЕЖРАЙОННАЯ ИФНС РОССИИ № 3 ПО ЗАБАЙКАЛЬСКОМУ КРАЮ</v>
      </c>
      <c r="B7641" s="24" t="s">
        <v>9357</v>
      </c>
      <c r="C7641" s="25">
        <v>29032</v>
      </c>
      <c r="D7641" s="22" t="s">
        <v>9771</v>
      </c>
      <c r="E7641" s="22" t="s">
        <v>53</v>
      </c>
      <c r="F7641" s="23" t="str">
        <f>HYPERLINK("https://www.spark-marketing.ru/Card/Lot/70811515", "Услуги по централизованной охране объектов")</f>
        <v>Услуги по централизованной охране объектов</v>
      </c>
      <c r="G7641" s="22" t="s">
        <v>473</v>
      </c>
      <c r="H7641" s="22" t="s">
        <v>476</v>
      </c>
      <c r="I7641" s="26">
        <v>43612.230439814797</v>
      </c>
      <c r="J7641" s="28" t="s">
        <v>52</v>
      </c>
      <c r="K7641" s="28" t="s">
        <v>52</v>
      </c>
      <c r="L7641" s="28" t="s">
        <v>52</v>
      </c>
      <c r="M7641" s="28" t="s">
        <v>52</v>
      </c>
      <c r="N7641" s="28" t="s">
        <v>52</v>
      </c>
    </row>
    <row r="7642" spans="1:14" x14ac:dyDescent="0.15">
      <c r="A7642" s="23" t="str">
        <f>HYPERLINK("https://www.spark-marketing.ru/Card/Person/36096", "ФКУЗ ""САНАТОРИЙ ""ПРИМОРЬЕ"" МВД РОССИИ""")</f>
        <v>ФКУЗ "САНАТОРИЙ "ПРИМОРЬЕ" МВД РОССИИ"</v>
      </c>
      <c r="B7642" s="24" t="s">
        <v>9772</v>
      </c>
      <c r="C7642" s="25">
        <v>74970</v>
      </c>
      <c r="D7642" s="22" t="s">
        <v>9773</v>
      </c>
      <c r="E7642" s="22" t="s">
        <v>53</v>
      </c>
      <c r="F7642" s="23" t="str">
        <f>HYPERLINK("https://www.spark-marketing.ru/Card/Lot/70811340", "ТО системы тревожной сигнализации")</f>
        <v>ТО системы тревожной сигнализации</v>
      </c>
      <c r="G7642" s="22" t="s">
        <v>409</v>
      </c>
      <c r="H7642" s="22" t="s">
        <v>878</v>
      </c>
      <c r="I7642" s="26">
        <v>43612.175740740699</v>
      </c>
      <c r="J7642" s="28" t="s">
        <v>52</v>
      </c>
      <c r="K7642" s="28" t="s">
        <v>52</v>
      </c>
      <c r="L7642" s="28" t="s">
        <v>52</v>
      </c>
      <c r="M7642" s="28" t="s">
        <v>52</v>
      </c>
      <c r="N7642" s="28" t="s">
        <v>52</v>
      </c>
    </row>
    <row r="7643" spans="1:14" x14ac:dyDescent="0.2">
      <c r="A7643" s="23" t="str">
        <f>HYPERLINK("https://www.spark-marketing.ru/Card/Person/77706", "АО ""ПОЧТА РОССИИ""")</f>
        <v>АО "ПОЧТА РОССИИ"</v>
      </c>
      <c r="B7643" s="24" t="s">
        <v>1230</v>
      </c>
      <c r="C7643" s="25">
        <v>949440</v>
      </c>
      <c r="D7643" s="22" t="s">
        <v>9774</v>
      </c>
      <c r="E7643" s="22" t="s">
        <v>370</v>
      </c>
      <c r="F7643" s="23" t="str">
        <f>HYPERLINK("https://www.spark-marketing.ru/Card/Lot/70736887", "Лот № 2. Оказание услуг по техническому обслуживанию комплексов технических средств охраны на объектах почтовой связи Краснотурьинского почтамта УФПС Свердловской области - филиала ФГУП ""Почта России"".")</f>
        <v>Лот № 2. Оказание услуг по техническому обслуживанию комплексов технических средств охраны на объектах почтовой связи Краснотурьинского почтамта УФПС Свердловской области - филиала ФГУП "Почта России".</v>
      </c>
      <c r="G7643" s="22" t="s">
        <v>55</v>
      </c>
      <c r="H7643" s="22" t="s">
        <v>55</v>
      </c>
      <c r="I7643" s="26">
        <v>43609.739652777796</v>
      </c>
      <c r="J7643" s="28" t="s">
        <v>52</v>
      </c>
      <c r="K7643" s="28" t="s">
        <v>52</v>
      </c>
      <c r="L7643" s="22" t="s">
        <v>10</v>
      </c>
      <c r="M7643" s="25">
        <v>949400</v>
      </c>
      <c r="N7643" s="27">
        <v>4.2130097741826763E-5</v>
      </c>
    </row>
    <row r="7644" spans="1:14" x14ac:dyDescent="0.15">
      <c r="A7644" s="23" t="str">
        <f>HYPERLINK("https://www.spark-marketing.ru/Card/Person/77706", "АО ""ПОЧТА РОССИИ""")</f>
        <v>АО "ПОЧТА РОССИИ"</v>
      </c>
      <c r="B7644" s="24" t="s">
        <v>1230</v>
      </c>
      <c r="C7644" s="25">
        <v>1093920</v>
      </c>
      <c r="D7644" s="22" t="s">
        <v>9774</v>
      </c>
      <c r="E7644" s="22" t="s">
        <v>370</v>
      </c>
      <c r="F7644" s="23" t="str">
        <f>HYPERLINK("https://www.spark-marketing.ru/Card/Lot/70736888", "Лот № 3. Оказание услуг по техническому обслуживанию комплексов технических средств охраны на объектах почтовой связи Нижнетагильского почтамта УФПС Свердловской области - филиала ФГУП ""Почта России"".")</f>
        <v>Лот № 3. Оказание услуг по техническому обслуживанию комплексов технических средств охраны на объектах почтовой связи Нижнетагильского почтамта УФПС Свердловской области - филиала ФГУП "Почта России".</v>
      </c>
      <c r="G7644" s="22" t="s">
        <v>55</v>
      </c>
      <c r="H7644" s="22" t="s">
        <v>55</v>
      </c>
      <c r="I7644" s="26">
        <v>43609.739652777796</v>
      </c>
      <c r="J7644" s="28" t="s">
        <v>52</v>
      </c>
      <c r="K7644" s="28" t="s">
        <v>52</v>
      </c>
      <c r="L7644" s="28" t="s">
        <v>52</v>
      </c>
      <c r="M7644" s="28" t="s">
        <v>52</v>
      </c>
      <c r="N7644" s="28" t="s">
        <v>52</v>
      </c>
    </row>
    <row r="7645" spans="1:14" x14ac:dyDescent="0.15">
      <c r="A7645" s="23" t="str">
        <f>HYPERLINK("https://www.spark-marketing.ru/Card/Person/77706", "АО ""ПОЧТА РОССИИ""")</f>
        <v>АО "ПОЧТА РОССИИ"</v>
      </c>
      <c r="B7645" s="24" t="s">
        <v>1230</v>
      </c>
      <c r="C7645" s="25">
        <v>660480</v>
      </c>
      <c r="D7645" s="22" t="s">
        <v>9774</v>
      </c>
      <c r="E7645" s="22" t="s">
        <v>370</v>
      </c>
      <c r="F7645" s="23" t="str">
        <f>HYPERLINK("https://www.spark-marketing.ru/Card/Lot/70736889", "Лот № 4. Оказание услуг по техническому обслуживанию комплексов технических средств охраны на объектах почтовой связи Ирбитского почтамта УФПС Свердловской области - филиала ФГУП ""Почта России"".")</f>
        <v>Лот № 4. Оказание услуг по техническому обслуживанию комплексов технических средств охраны на объектах почтовой связи Ирбитского почтамта УФПС Свердловской области - филиала ФГУП "Почта России".</v>
      </c>
      <c r="G7645" s="22" t="s">
        <v>55</v>
      </c>
      <c r="H7645" s="22" t="s">
        <v>55</v>
      </c>
      <c r="I7645" s="26">
        <v>43609.739652777796</v>
      </c>
      <c r="J7645" s="28" t="s">
        <v>52</v>
      </c>
      <c r="K7645" s="28" t="s">
        <v>52</v>
      </c>
      <c r="L7645" s="28" t="s">
        <v>52</v>
      </c>
      <c r="M7645" s="28" t="s">
        <v>52</v>
      </c>
      <c r="N7645" s="28" t="s">
        <v>52</v>
      </c>
    </row>
    <row r="7646" spans="1:14" x14ac:dyDescent="0.15">
      <c r="A7646" s="23" t="str">
        <f>HYPERLINK("https://www.spark-marketing.ru/Card/Person/77706", "АО ""ПОЧТА РОССИИ""")</f>
        <v>АО "ПОЧТА РОССИИ"</v>
      </c>
      <c r="B7646" s="24" t="s">
        <v>1230</v>
      </c>
      <c r="C7646" s="25">
        <v>623040</v>
      </c>
      <c r="D7646" s="22" t="s">
        <v>9774</v>
      </c>
      <c r="E7646" s="22" t="s">
        <v>370</v>
      </c>
      <c r="F7646" s="23" t="str">
        <f>HYPERLINK("https://www.spark-marketing.ru/Card/Lot/70736890", "Лот № 5. Оказание услуг по техническому обслуживанию комплексов технических средств охраны на объектах почтовой связи УФПС Свердловской области - филиала ФГУП ""Почта России"" (г. Талица, г. Камышлов, г. Сухой Лог, п. Троицкий, с. Байкалово, п. Тугул...")</f>
        <v>Лот № 5. Оказание услуг по техническому обслуживанию комплексов технических средств охраны на объектах почтовой связи УФПС Свердловской области - филиала ФГУП "Почта России" (г. Талица, г. Камышлов, г. Сухой Лог, п. Троицкий, с. Байкалово, п. Тугул...</v>
      </c>
      <c r="G7646" s="22" t="s">
        <v>55</v>
      </c>
      <c r="H7646" s="22" t="s">
        <v>55</v>
      </c>
      <c r="I7646" s="26">
        <v>43609.739652777796</v>
      </c>
      <c r="J7646" s="28" t="s">
        <v>52</v>
      </c>
      <c r="K7646" s="28" t="s">
        <v>52</v>
      </c>
      <c r="L7646" s="28" t="s">
        <v>52</v>
      </c>
      <c r="M7646" s="28" t="s">
        <v>52</v>
      </c>
      <c r="N7646" s="28" t="s">
        <v>52</v>
      </c>
    </row>
    <row r="7647" spans="1:14" x14ac:dyDescent="0.15">
      <c r="A7647" s="23" t="str">
        <f>HYPERLINK("https://www.spark-marketing.ru/Card/Person/1765696", "ООО ""ПРЕПРЕГ-ДУБНА""")</f>
        <v>ООО "ПРЕПРЕГ-ДУБНА"</v>
      </c>
      <c r="B7647" s="24" t="s">
        <v>9775</v>
      </c>
      <c r="C7647" s="25">
        <v>526800</v>
      </c>
      <c r="D7647" s="22" t="s">
        <v>9776</v>
      </c>
      <c r="E7647" s="22" t="s">
        <v>53</v>
      </c>
      <c r="F7647" s="23" t="str">
        <f>HYPERLINK("https://www.spark-marketing.ru/Card/Lot/70850809", "Право заключения договора на оказание охранных услуг")</f>
        <v>Право заключения договора на оказание охранных услуг</v>
      </c>
      <c r="G7647" s="22" t="s">
        <v>50</v>
      </c>
      <c r="H7647" s="22" t="s">
        <v>2012</v>
      </c>
      <c r="I7647" s="26">
        <v>43612</v>
      </c>
      <c r="J7647" s="28" t="s">
        <v>52</v>
      </c>
      <c r="K7647" s="28" t="s">
        <v>52</v>
      </c>
      <c r="L7647" s="28" t="s">
        <v>52</v>
      </c>
      <c r="M7647" s="28" t="s">
        <v>52</v>
      </c>
      <c r="N7647" s="28" t="s">
        <v>52</v>
      </c>
    </row>
    <row r="7648" spans="1:14" x14ac:dyDescent="0.2">
      <c r="A7648" s="23" t="str">
        <f>HYPERLINK("https://www.spark-marketing.ru/Card/Person/77706", "АО ""ПОЧТА РОССИИ""")</f>
        <v>АО "ПОЧТА РОССИИ"</v>
      </c>
      <c r="B7648" s="24" t="s">
        <v>1230</v>
      </c>
      <c r="C7648" s="25">
        <v>1341600</v>
      </c>
      <c r="D7648" s="22" t="s">
        <v>9774</v>
      </c>
      <c r="E7648" s="22" t="s">
        <v>370</v>
      </c>
      <c r="F7648" s="23" t="str">
        <f>HYPERLINK("https://www.spark-marketing.ru/Card/Lot/70736886", "Лот № 1. Оказание услуг по техническому обслуживанию комплексов технических средств охраны на объектах почтовой связи Первоуральского почтамта УФПС Свердловской области - филиала ФГУП ""Почта России""")</f>
        <v>Лот № 1. Оказание услуг по техническому обслуживанию комплексов технических средств охраны на объектах почтовой связи Первоуральского почтамта УФПС Свердловской области - филиала ФГУП "Почта России"</v>
      </c>
      <c r="G7648" s="22" t="s">
        <v>55</v>
      </c>
      <c r="H7648" s="22" t="s">
        <v>55</v>
      </c>
      <c r="I7648" s="26">
        <v>43609.739652777796</v>
      </c>
      <c r="J7648" s="28" t="s">
        <v>52</v>
      </c>
      <c r="K7648" s="28" t="s">
        <v>52</v>
      </c>
      <c r="L7648" s="22" t="s">
        <v>10</v>
      </c>
      <c r="M7648" s="25">
        <v>1341600</v>
      </c>
      <c r="N7648" s="27">
        <v>0</v>
      </c>
    </row>
    <row r="7649" spans="1:14" x14ac:dyDescent="0.15">
      <c r="A7649" s="23" t="str">
        <f>HYPERLINK("https://www.spark-marketing.ru/Card/Person/5789170", "ПРЕДПРИЯТИЕ С ИНОСТРАННЫМ КАПИТАЛОМ ООО ЛУКОЙЛ МОЛДОВА")</f>
        <v>ПРЕДПРИЯТИЕ С ИНОСТРАННЫМ КАПИТАЛОМ ООО ЛУКОЙЛ МОЛДОВА</v>
      </c>
      <c r="B7649" s="28" t="s">
        <v>52</v>
      </c>
      <c r="C7649" s="28" t="s">
        <v>52</v>
      </c>
      <c r="D7649" s="28" t="s">
        <v>52</v>
      </c>
      <c r="E7649" s="22" t="s">
        <v>53</v>
      </c>
      <c r="F7649" s="23" t="str">
        <f>HYPERLINK("https://www.spark-marketing.ru/Card/Lot/70851314", "Предоставление услуг по Физической охране сбытовых объектов и административного здания Общества")</f>
        <v>Предоставление услуг по Физической охране сбытовых объектов и административного здания Общества</v>
      </c>
      <c r="G7649" s="22" t="s">
        <v>52</v>
      </c>
      <c r="H7649" s="22" t="s">
        <v>52</v>
      </c>
      <c r="I7649" s="26">
        <v>43612</v>
      </c>
      <c r="J7649" s="28" t="s">
        <v>52</v>
      </c>
      <c r="K7649" s="28" t="s">
        <v>52</v>
      </c>
      <c r="L7649" s="28" t="s">
        <v>52</v>
      </c>
      <c r="M7649" s="28" t="s">
        <v>52</v>
      </c>
      <c r="N7649" s="28" t="s">
        <v>52</v>
      </c>
    </row>
    <row r="7650" spans="1:14" x14ac:dyDescent="0.15">
      <c r="A7650" s="23" t="str">
        <f>HYPERLINK("https://www.spark-marketing.ru/Card/Person/4358629", "АО ""ПРЕПРЕГ-СКМ""")</f>
        <v>АО "ПРЕПРЕГ-СКМ"</v>
      </c>
      <c r="B7650" s="24" t="s">
        <v>8463</v>
      </c>
      <c r="C7650" s="25">
        <v>742500</v>
      </c>
      <c r="D7650" s="22" t="s">
        <v>9777</v>
      </c>
      <c r="E7650" s="22" t="s">
        <v>53</v>
      </c>
      <c r="F7650" s="23" t="str">
        <f>HYPERLINK("https://www.spark-marketing.ru/Card/Lot/70810746", "Право заключения договора на оказание охранных услуг")</f>
        <v>Право заключения договора на оказание охранных услуг</v>
      </c>
      <c r="G7650" s="22" t="s">
        <v>55</v>
      </c>
      <c r="H7650" s="22" t="s">
        <v>55</v>
      </c>
      <c r="I7650" s="26">
        <v>43611</v>
      </c>
      <c r="J7650" s="28" t="s">
        <v>52</v>
      </c>
      <c r="K7650" s="28" t="s">
        <v>52</v>
      </c>
      <c r="L7650" s="28" t="s">
        <v>52</v>
      </c>
      <c r="M7650" s="28" t="s">
        <v>52</v>
      </c>
      <c r="N7650" s="28" t="s">
        <v>52</v>
      </c>
    </row>
    <row r="7651" spans="1:14" x14ac:dyDescent="0.15">
      <c r="A7651" s="23" t="str">
        <f>HYPERLINK("https://www.spark-marketing.ru/Card/Person/14872", "МКУ ""ЖКА""")</f>
        <v>МКУ "ЖКА"</v>
      </c>
      <c r="B7651" s="24" t="s">
        <v>8149</v>
      </c>
      <c r="C7651" s="25">
        <v>184686.6</v>
      </c>
      <c r="D7651" s="22" t="s">
        <v>9778</v>
      </c>
      <c r="E7651" s="22" t="s">
        <v>194</v>
      </c>
      <c r="F7651" s="23" t="str">
        <f>HYPERLINK("https://www.spark-marketing.ru/Card/Lot/70740349", "Поставка и установка систем видеонаблюдения на кладбище пос. Взморье ул. Спасская 14Д и кладбище Зеленоградский район (в районе р. Граевка) МО ""Светловский городской округ""")</f>
        <v>Поставка и установка систем видеонаблюдения на кладбище пос. Взморье ул. Спасская 14Д и кладбище Зеленоградский район (в районе р. Граевка) МО "Светловский городской округ"</v>
      </c>
      <c r="G7651" s="22" t="s">
        <v>247</v>
      </c>
      <c r="H7651" s="22" t="s">
        <v>8151</v>
      </c>
      <c r="I7651" s="26">
        <v>43609.806296296301</v>
      </c>
      <c r="J7651" s="28" t="s">
        <v>52</v>
      </c>
      <c r="K7651" s="28" t="s">
        <v>52</v>
      </c>
      <c r="L7651" s="28" t="s">
        <v>52</v>
      </c>
      <c r="M7651" s="28" t="s">
        <v>52</v>
      </c>
      <c r="N7651" s="28" t="s">
        <v>52</v>
      </c>
    </row>
    <row r="7652" spans="1:14" x14ac:dyDescent="0.15">
      <c r="A7652" s="23" t="str">
        <f>HYPERLINK("https://www.spark-marketing.ru/Card/Person/86831", "ГБУ МО ""НИИПРОЕКТ""")</f>
        <v>ГБУ МО "НИИПРОЕКТ"</v>
      </c>
      <c r="B7652" s="24" t="s">
        <v>9779</v>
      </c>
      <c r="C7652" s="25">
        <v>113662.2</v>
      </c>
      <c r="D7652" s="22" t="s">
        <v>9780</v>
      </c>
      <c r="E7652" s="22" t="s">
        <v>144</v>
      </c>
      <c r="F7652" s="23" t="str">
        <f>HYPERLINK("https://www.spark-marketing.ru/Card/Lot/70739421", "Пультовая охрана объекта")</f>
        <v>Пультовая охрана объекта</v>
      </c>
      <c r="G7652" s="22" t="s">
        <v>50</v>
      </c>
      <c r="H7652" s="22" t="s">
        <v>50</v>
      </c>
      <c r="I7652" s="26">
        <v>43609.710428240702</v>
      </c>
      <c r="J7652" s="28" t="s">
        <v>52</v>
      </c>
      <c r="K7652" s="28" t="s">
        <v>52</v>
      </c>
      <c r="L7652" s="28" t="s">
        <v>52</v>
      </c>
      <c r="M7652" s="28" t="s">
        <v>52</v>
      </c>
      <c r="N7652" s="28" t="s">
        <v>52</v>
      </c>
    </row>
    <row r="7653" spans="1:14" x14ac:dyDescent="0.15">
      <c r="A7653" s="23" t="str">
        <f>HYPERLINK("https://www.spark-marketing.ru/Card/Person/678823", "ГОАУК ""МУРМАНСКИЙ ОБЛАСТНОЙ ДВОРЕЦ КУЛЬТУРЫ И НАРОДНОГО ТВОРЧЕСТВА ИМ. С.М. КИРОВА""")</f>
        <v>ГОАУК "МУРМАНСКИЙ ОБЛАСТНОЙ ДВОРЕЦ КУЛЬТУРЫ И НАРОДНОГО ТВОРЧЕСТВА ИМ. С.М. КИРОВА"</v>
      </c>
      <c r="B7653" s="24" t="s">
        <v>9781</v>
      </c>
      <c r="C7653" s="25">
        <v>2100000</v>
      </c>
      <c r="D7653" s="22" t="s">
        <v>9782</v>
      </c>
      <c r="E7653" s="22" t="s">
        <v>144</v>
      </c>
      <c r="F7653" s="23" t="str">
        <f>HYPERLINK("https://www.spark-marketing.ru/Card/Lot/70738384", "Оказание услуг по охране объектов ГОАУК ""Мурманский областной Дворец культуры и народного творчества им. С.М. Кирова"" и прилегающих к ним территорий, расположенных по адресам: г. Мурманск, ул. Пушкинская, д. 3 и ул. Карла Маркса, Челюскинцев, д. 1/...")</f>
        <v>Оказание услуг по охране объектов ГОАУК "Мурманский областной Дворец культуры и народного творчества им. С.М. Кирова" и прилегающих к ним территорий, расположенных по адресам: г. Мурманск, ул. Пушкинская, д. 3 и ул. Карла Маркса, Челюскинцев, д. 1/...</v>
      </c>
      <c r="G7653" s="22" t="s">
        <v>190</v>
      </c>
      <c r="H7653" s="22" t="s">
        <v>190</v>
      </c>
      <c r="I7653" s="26">
        <v>43609.712002314802</v>
      </c>
      <c r="J7653" s="23" t="str">
        <f>HYPERLINK("https://www.spark-marketing.ru/Card/Person/120397", "ООО ЧОО ""ФЛАГМАН""")</f>
        <v>ООО ЧОО "ФЛАГМАН"</v>
      </c>
      <c r="K7653" s="24" t="s">
        <v>9783</v>
      </c>
      <c r="L7653" s="28" t="s">
        <v>52</v>
      </c>
      <c r="M7653" s="28" t="s">
        <v>52</v>
      </c>
      <c r="N7653" s="28" t="s">
        <v>52</v>
      </c>
    </row>
    <row r="7654" spans="1:14" x14ac:dyDescent="0.2">
      <c r="A7654" s="23" t="str">
        <f>HYPERLINK("https://www.spark-marketing.ru/Card/Person/107173", "ФГУП ""УВО МИНТРАНСА РОССИИ""")</f>
        <v>ФГУП "УВО МИНТРАНСА РОССИИ"</v>
      </c>
      <c r="B7654" s="24" t="s">
        <v>1472</v>
      </c>
      <c r="C7654" s="25">
        <v>291605123.51999998</v>
      </c>
      <c r="D7654" s="22" t="s">
        <v>9784</v>
      </c>
      <c r="E7654" s="22" t="s">
        <v>606</v>
      </c>
      <c r="F7654" s="23" t="str">
        <f>HYPERLINK("https://www.spark-marketing.ru/Card/Lot/70736615", "Выполнение комплекса строительно-монтажных работ на объекте: ""Технические средства обеспечения транспортной безопасности при строительстве железнодорожных подходов к транспортному переходу через Керченский пролив. Этап 2: Строительство соответствующ...")</f>
        <v>Выполнение комплекса строительно-монтажных работ на объекте: "Технические средства обеспечения транспортной безопасности при строительстве железнодорожных подходов к транспортному переходу через Керченский пролив. Этап 2: Строительство соответствующ...</v>
      </c>
      <c r="G7654" s="22" t="s">
        <v>1053</v>
      </c>
      <c r="H7654" s="22" t="s">
        <v>1053</v>
      </c>
      <c r="I7654" s="26">
        <v>43609.698125000003</v>
      </c>
      <c r="J7654" s="28" t="s">
        <v>52</v>
      </c>
      <c r="K7654" s="28" t="s">
        <v>52</v>
      </c>
      <c r="L7654" s="28" t="s">
        <v>52</v>
      </c>
      <c r="M7654" s="25">
        <v>291605123.51999998</v>
      </c>
      <c r="N7654" s="27">
        <v>0</v>
      </c>
    </row>
    <row r="7655" spans="1:14" x14ac:dyDescent="0.15">
      <c r="A7655" s="23" t="str">
        <f>HYPERLINK("https://www.spark-marketing.ru/Card/Person/4378922", "АДМИНИСТРАЦИЯ КРАСНОПЕРЕКОПСКОГО РАЙОНА РЕСПУБЛИКИ КРЫМ")</f>
        <v>АДМИНИСТРАЦИЯ КРАСНОПЕРЕКОПСКОГО РАЙОНА РЕСПУБЛИКИ КРЫМ</v>
      </c>
      <c r="B7655" s="24" t="s">
        <v>9785</v>
      </c>
      <c r="C7655" s="25">
        <v>357966.67</v>
      </c>
      <c r="D7655" s="22" t="s">
        <v>9786</v>
      </c>
      <c r="E7655" s="22" t="s">
        <v>5312</v>
      </c>
      <c r="F7655" s="23" t="str">
        <f>HYPERLINK("https://www.spark-marketing.ru/Card/Lot/70742190", "Установка и настройка оборудования видеоконференцсвязи")</f>
        <v>Установка и настройка оборудования видеоконференцсвязи</v>
      </c>
      <c r="G7655" s="22" t="s">
        <v>1053</v>
      </c>
      <c r="H7655" s="22" t="s">
        <v>9787</v>
      </c>
      <c r="I7655" s="26">
        <v>43609.687719907401</v>
      </c>
      <c r="J7655" s="28" t="s">
        <v>52</v>
      </c>
      <c r="K7655" s="28" t="s">
        <v>52</v>
      </c>
      <c r="L7655" s="28" t="s">
        <v>52</v>
      </c>
      <c r="M7655" s="28" t="s">
        <v>52</v>
      </c>
      <c r="N7655" s="28" t="s">
        <v>52</v>
      </c>
    </row>
    <row r="7656" spans="1:14" ht="12.75" hidden="1" outlineLevel="1" x14ac:dyDescent="0.2">
      <c r="A7656" s="23" t="str">
        <f>HYPERLINK("https://www.spark-marketing.ru/Card/Person/4378922", "АДМИНИСТРАЦИЯ КРАСНОПЕРЕКОПСКОГО РАЙОНА РЕСПУБЛИКИ КРЫМ")</f>
        <v>АДМИНИСТРАЦИЯ КРАСНОПЕРЕКОПСКОГО РАЙОНА РЕСПУБЛИКИ КРЫМ</v>
      </c>
      <c r="B7656" s="24" t="s">
        <v>9785</v>
      </c>
      <c r="C7656" s="25">
        <v>357966.67</v>
      </c>
      <c r="D7656" s="22" t="s">
        <v>9786</v>
      </c>
      <c r="E7656" s="22" t="s">
        <v>5312</v>
      </c>
      <c r="F7656" s="23" t="str">
        <f>HYPERLINK("https://www.spark-marketing.ru/Card/Lot/70742190", "Установка и настройка оборудования видеоконференцсвязи")</f>
        <v>Установка и настройка оборудования видеоконференцсвязи</v>
      </c>
      <c r="G7656" s="22" t="s">
        <v>1053</v>
      </c>
      <c r="H7656" s="22" t="s">
        <v>9787</v>
      </c>
      <c r="I7656" s="26">
        <v>43609.687719907401</v>
      </c>
      <c r="J7656" s="23" t="str">
        <f>HYPERLINK("https://www.spark-marketing.ru/Card/Person/931740", "ООО ""МИКРОЛАЙН ЦЕНТР""")</f>
        <v>ООО "МИКРОЛАЙН ЦЕНТР"</v>
      </c>
      <c r="K7656" s="24" t="s">
        <v>9144</v>
      </c>
      <c r="L7656" s="22" t="s">
        <v>10</v>
      </c>
      <c r="M7656" s="25">
        <v>276732.21000000002</v>
      </c>
      <c r="N7656" s="27">
        <v>0.22693302703293577</v>
      </c>
    </row>
    <row r="7657" spans="1:14" hidden="1" outlineLevel="1" x14ac:dyDescent="0.2">
      <c r="A7657" s="23" t="str">
        <f>HYPERLINK("https://www.spark-marketing.ru/Card/Person/4378922", "АДМИНИСТРАЦИЯ КРАСНОПЕРЕКОПСКОГО РАЙОНА РЕСПУБЛИКИ КРЫМ")</f>
        <v>АДМИНИСТРАЦИЯ КРАСНОПЕРЕКОПСКОГО РАЙОНА РЕСПУБЛИКИ КРЫМ</v>
      </c>
      <c r="B7657" s="24" t="s">
        <v>9785</v>
      </c>
      <c r="C7657" s="25">
        <v>357966.67</v>
      </c>
      <c r="D7657" s="22" t="s">
        <v>9786</v>
      </c>
      <c r="E7657" s="22" t="s">
        <v>5312</v>
      </c>
      <c r="F7657" s="23" t="str">
        <f>HYPERLINK("https://www.spark-marketing.ru/Card/Lot/70742190", "Установка и настройка оборудования видеоконференцсвязи")</f>
        <v>Установка и настройка оборудования видеоконференцсвязи</v>
      </c>
      <c r="G7657" s="22" t="s">
        <v>1053</v>
      </c>
      <c r="H7657" s="22" t="s">
        <v>9787</v>
      </c>
      <c r="I7657" s="26">
        <v>43609.687719907401</v>
      </c>
      <c r="J7657" s="23" t="str">
        <f>HYPERLINK("https://www.spark-marketing.ru/Card/Person/24224", "ЗАО НПО ""СЕНСОР""")</f>
        <v>ЗАО НПО "СЕНСОР"</v>
      </c>
      <c r="K7657" s="24" t="s">
        <v>8501</v>
      </c>
      <c r="L7657" s="28" t="s">
        <v>52</v>
      </c>
      <c r="M7657" s="25">
        <v>278522.03999999998</v>
      </c>
      <c r="N7657" s="27">
        <v>0.22193303639134895</v>
      </c>
    </row>
    <row r="7658" spans="1:14" x14ac:dyDescent="0.15">
      <c r="A7658" s="23" t="str">
        <f>HYPERLINK("https://www.spark-marketing.ru/Card/Person/34193", "АДМИНИСТРАЦИЯ ГОРОДА ТРЕХГОРНОГО")</f>
        <v>АДМИНИСТРАЦИЯ ГОРОДА ТРЕХГОРНОГО</v>
      </c>
      <c r="B7658" s="24" t="s">
        <v>9788</v>
      </c>
      <c r="C7658" s="25">
        <v>76800</v>
      </c>
      <c r="D7658" s="22" t="s">
        <v>9789</v>
      </c>
      <c r="E7658" s="22" t="s">
        <v>52</v>
      </c>
      <c r="F7658" s="23" t="str">
        <f>HYPERLINK("https://www.spark-marketing.ru/Card/Lot/70732599", "Оказание услуг частных охранных служб")</f>
        <v>Оказание услуг частных охранных служб</v>
      </c>
      <c r="G7658" s="22" t="s">
        <v>60</v>
      </c>
      <c r="H7658" s="22" t="s">
        <v>3902</v>
      </c>
      <c r="I7658" s="26">
        <v>43609.659027777801</v>
      </c>
      <c r="J7658" s="23" t="str">
        <f>HYPERLINK("https://www.spark-marketing.ru/Card/Person/548658", "ООО ЧОО ""ЛИДЕР""")</f>
        <v>ООО ЧОО "ЛИДЕР"</v>
      </c>
      <c r="K7658" s="24" t="s">
        <v>9790</v>
      </c>
      <c r="L7658" s="22" t="s">
        <v>10</v>
      </c>
      <c r="M7658" s="28" t="s">
        <v>52</v>
      </c>
      <c r="N7658" s="28" t="s">
        <v>52</v>
      </c>
    </row>
    <row r="7659" spans="1:14" x14ac:dyDescent="0.15">
      <c r="A7659" s="23" t="str">
        <f>HYPERLINK("https://www.spark-marketing.ru/Card/Person/33453", "МКУ ""ТУ ""МЫТИЩИНСКОЕ""")</f>
        <v>МКУ "ТУ "МЫТИЩИНСКОЕ"</v>
      </c>
      <c r="B7659" s="24" t="s">
        <v>4307</v>
      </c>
      <c r="C7659" s="25">
        <v>93500.1</v>
      </c>
      <c r="D7659" s="22" t="s">
        <v>9791</v>
      </c>
      <c r="E7659" s="22" t="s">
        <v>746</v>
      </c>
      <c r="F7659" s="23" t="str">
        <f>HYPERLINK("https://www.spark-marketing.ru/Card/Lot/70735694", "Оказание услуг по техническому обслуживанию системы видеонаблюдения и контроля доступа в административных зданиях")</f>
        <v>Оказание услуг по техническому обслуживанию системы видеонаблюдения и контроля доступа в административных зданиях</v>
      </c>
      <c r="G7659" s="22" t="s">
        <v>50</v>
      </c>
      <c r="H7659" s="22" t="s">
        <v>323</v>
      </c>
      <c r="I7659" s="26">
        <v>43609.648506944402</v>
      </c>
      <c r="J7659" s="28" t="s">
        <v>52</v>
      </c>
      <c r="K7659" s="28" t="s">
        <v>52</v>
      </c>
      <c r="L7659" s="28" t="s">
        <v>52</v>
      </c>
      <c r="M7659" s="28" t="s">
        <v>52</v>
      </c>
      <c r="N7659" s="28" t="s">
        <v>52</v>
      </c>
    </row>
    <row r="7660" spans="1:14" x14ac:dyDescent="0.15">
      <c r="A7660" s="23" t="str">
        <f>HYPERLINK("https://www.spark-marketing.ru/Card/Person/33453", "МКУ ""ТУ ""МЫТИЩИНСКОЕ""")</f>
        <v>МКУ "ТУ "МЫТИЩИНСКОЕ"</v>
      </c>
      <c r="B7660" s="24" t="s">
        <v>4307</v>
      </c>
      <c r="C7660" s="25">
        <v>96000</v>
      </c>
      <c r="D7660" s="22" t="s">
        <v>9792</v>
      </c>
      <c r="E7660" s="22" t="s">
        <v>746</v>
      </c>
      <c r="F7660" s="23" t="str">
        <f>HYPERLINK("https://www.spark-marketing.ru/Card/Lot/70732981", "Оказание охранных услуг и услуг по техническому обслуживанию средств охранной сигнализации и КТС в административных помещениях по 4 адресам")</f>
        <v>Оказание охранных услуг и услуг по техническому обслуживанию средств охранной сигнализации и КТС в административных помещениях по 4 адресам</v>
      </c>
      <c r="G7660" s="22" t="s">
        <v>50</v>
      </c>
      <c r="H7660" s="22" t="s">
        <v>323</v>
      </c>
      <c r="I7660" s="26">
        <v>43609.638124999998</v>
      </c>
      <c r="J7660" s="28" t="s">
        <v>52</v>
      </c>
      <c r="K7660" s="28" t="s">
        <v>52</v>
      </c>
      <c r="L7660" s="28" t="s">
        <v>52</v>
      </c>
      <c r="M7660" s="28" t="s">
        <v>52</v>
      </c>
      <c r="N7660" s="28" t="s">
        <v>52</v>
      </c>
    </row>
    <row r="7661" spans="1:14" x14ac:dyDescent="0.15">
      <c r="A7661" s="23" t="str">
        <f>HYPERLINK("https://www.spark-marketing.ru/Card/Person/130", "ГКУКО ""УДХ КО""")</f>
        <v>ГКУКО "УДХ КО"</v>
      </c>
      <c r="B7661" s="24" t="s">
        <v>9793</v>
      </c>
      <c r="C7661" s="25">
        <v>360000</v>
      </c>
      <c r="D7661" s="22" t="s">
        <v>9794</v>
      </c>
      <c r="E7661" s="22" t="s">
        <v>5333</v>
      </c>
      <c r="F7661" s="23" t="str">
        <f>HYPERLINK("https://www.spark-marketing.ru/Card/Lot/70741190", "на оказание услуг по восстановлению работоспособности и проведению комплексного эксплуатационно-технического обслуживания системы видеонаблюдения за объектами дорожной инфраструктуры Калининградской области")</f>
        <v>на оказание услуг по восстановлению работоспособности и проведению комплексного эксплуатационно-технического обслуживания системы видеонаблюдения за объектами дорожной инфраструктуры Калининградской области</v>
      </c>
      <c r="G7661" s="22" t="s">
        <v>247</v>
      </c>
      <c r="H7661" s="22" t="s">
        <v>576</v>
      </c>
      <c r="I7661" s="26">
        <v>43609.658599536997</v>
      </c>
      <c r="J7661" s="28" t="s">
        <v>52</v>
      </c>
      <c r="K7661" s="28" t="s">
        <v>52</v>
      </c>
      <c r="L7661" s="28" t="s">
        <v>52</v>
      </c>
      <c r="M7661" s="28" t="s">
        <v>52</v>
      </c>
      <c r="N7661" s="28" t="s">
        <v>52</v>
      </c>
    </row>
    <row r="7662" spans="1:14" hidden="1" outlineLevel="1" x14ac:dyDescent="0.2">
      <c r="A7662" s="23" t="str">
        <f>HYPERLINK("https://www.spark-marketing.ru/Card/Person/130", "ГКУКО ""УДХ КО""")</f>
        <v>ГКУКО "УДХ КО"</v>
      </c>
      <c r="B7662" s="24" t="s">
        <v>9793</v>
      </c>
      <c r="C7662" s="25">
        <v>360000</v>
      </c>
      <c r="D7662" s="22" t="s">
        <v>9794</v>
      </c>
      <c r="E7662" s="22" t="s">
        <v>5333</v>
      </c>
      <c r="F7662" s="23" t="str">
        <f>HYPERLINK("https://www.spark-marketing.ru/Card/Lot/70741190", "на оказание услуг по восстановлению работоспособности и проведению комплексного эксплуатационно-технического обслуживания системы видеонаблюдения за объектами дорожной инфраструктуры Калининградской области")</f>
        <v>на оказание услуг по восстановлению работоспособности и проведению комплексного эксплуатационно-технического обслуживания системы видеонаблюдения за объектами дорожной инфраструктуры Калининградской области</v>
      </c>
      <c r="G7662" s="22" t="s">
        <v>247</v>
      </c>
      <c r="H7662" s="22" t="s">
        <v>576</v>
      </c>
      <c r="I7662" s="26">
        <v>43609.658599536997</v>
      </c>
      <c r="J7662" s="23" t="str">
        <f>HYPERLINK("https://www.spark-marketing.ru/Card/Person/301134", "ООО ""ИТСО""")</f>
        <v>ООО "ИТСО"</v>
      </c>
      <c r="K7662" s="24" t="s">
        <v>9795</v>
      </c>
      <c r="L7662" s="28" t="s">
        <v>52</v>
      </c>
      <c r="M7662" s="25">
        <v>64281.279999999999</v>
      </c>
      <c r="N7662" s="27">
        <v>0.82144088888888889</v>
      </c>
    </row>
    <row r="7663" spans="1:14" ht="12.75" hidden="1" outlineLevel="1" x14ac:dyDescent="0.2">
      <c r="A7663" s="23" t="str">
        <f>HYPERLINK("https://www.spark-marketing.ru/Card/Person/130", "ГКУКО ""УДХ КО""")</f>
        <v>ГКУКО "УДХ КО"</v>
      </c>
      <c r="B7663" s="24" t="s">
        <v>9793</v>
      </c>
      <c r="C7663" s="25">
        <v>360000</v>
      </c>
      <c r="D7663" s="22" t="s">
        <v>9794</v>
      </c>
      <c r="E7663" s="22" t="s">
        <v>5333</v>
      </c>
      <c r="F7663" s="23" t="str">
        <f>HYPERLINK("https://www.spark-marketing.ru/Card/Lot/70741190", "на оказание услуг по восстановлению работоспособности и проведению комплексного эксплуатационно-технического обслуживания системы видеонаблюдения за объектами дорожной инфраструктуры Калининградской области")</f>
        <v>на оказание услуг по восстановлению работоспособности и проведению комплексного эксплуатационно-технического обслуживания системы видеонаблюдения за объектами дорожной инфраструктуры Калининградской области</v>
      </c>
      <c r="G7663" s="22" t="s">
        <v>247</v>
      </c>
      <c r="H7663" s="22" t="s">
        <v>576</v>
      </c>
      <c r="I7663" s="26">
        <v>43609.658599536997</v>
      </c>
      <c r="J7663" s="23" t="str">
        <f>HYPERLINK("https://www.spark-marketing.ru/Card/Person/4627952", "ООО ""ИННОВАЦИЯ""")</f>
        <v>ООО "ИННОВАЦИЯ"</v>
      </c>
      <c r="K7663" s="24" t="s">
        <v>9796</v>
      </c>
      <c r="L7663" s="22" t="s">
        <v>10</v>
      </c>
      <c r="M7663" s="25">
        <v>64281.279999999999</v>
      </c>
      <c r="N7663" s="27">
        <v>0.82144088888888889</v>
      </c>
    </row>
    <row r="7664" spans="1:14" hidden="1" outlineLevel="1" x14ac:dyDescent="0.2">
      <c r="A7664" s="23" t="str">
        <f>HYPERLINK("https://www.spark-marketing.ru/Card/Person/130", "ГКУКО ""УДХ КО""")</f>
        <v>ГКУКО "УДХ КО"</v>
      </c>
      <c r="B7664" s="24" t="s">
        <v>9793</v>
      </c>
      <c r="C7664" s="25">
        <v>360000</v>
      </c>
      <c r="D7664" s="22" t="s">
        <v>9794</v>
      </c>
      <c r="E7664" s="22" t="s">
        <v>5333</v>
      </c>
      <c r="F7664" s="23" t="str">
        <f>HYPERLINK("https://www.spark-marketing.ru/Card/Lot/70741190", "на оказание услуг по восстановлению работоспособности и проведению комплексного эксплуатационно-технического обслуживания системы видеонаблюдения за объектами дорожной инфраструктуры Калининградской области")</f>
        <v>на оказание услуг по восстановлению работоспособности и проведению комплексного эксплуатационно-технического обслуживания системы видеонаблюдения за объектами дорожной инфраструктуры Калининградской области</v>
      </c>
      <c r="G7664" s="22" t="s">
        <v>247</v>
      </c>
      <c r="H7664" s="22" t="s">
        <v>576</v>
      </c>
      <c r="I7664" s="26">
        <v>43609.658599536997</v>
      </c>
      <c r="J7664" s="23" t="str">
        <f>HYPERLINK("https://www.spark-marketing.ru/Card/Person/4699037", "ООО ""ТЕЛЕКОМ ИНЖИНИРИНГ КАЛИНИНГРАД""")</f>
        <v>ООО "ТЕЛЕКОМ ИНЖИНИРИНГ КАЛИНИНГРАД"</v>
      </c>
      <c r="K7664" s="24" t="s">
        <v>9797</v>
      </c>
      <c r="L7664" s="28" t="s">
        <v>52</v>
      </c>
      <c r="M7664" s="25">
        <v>64281.279999999999</v>
      </c>
      <c r="N7664" s="27">
        <v>0.82144088888888889</v>
      </c>
    </row>
    <row r="7665" spans="1:14" x14ac:dyDescent="0.15">
      <c r="A7665" s="23" t="str">
        <f>HYPERLINK("https://www.spark-marketing.ru/Card/Person/3312", "АДМИНИСТРАЦИЯ ВЕРХНЕСАЛДИНСКОГО ГОРОДСКОГО ОКРУГА")</f>
        <v>АДМИНИСТРАЦИЯ ВЕРХНЕСАЛДИНСКОГО ГОРОДСКОГО ОКРУГА</v>
      </c>
      <c r="B7665" s="24" t="s">
        <v>5625</v>
      </c>
      <c r="C7665" s="25">
        <v>200000</v>
      </c>
      <c r="D7665" s="22" t="s">
        <v>9798</v>
      </c>
      <c r="E7665" s="22" t="s">
        <v>52</v>
      </c>
      <c r="F7665" s="23" t="str">
        <f>HYPERLINK("https://www.spark-marketing.ru/Card/Lot/70732072", "Установка систем видеонаблюдения в местах с систематическим несанкционированным размещением отходов")</f>
        <v>Установка систем видеонаблюдения в местах с систематическим несанкционированным размещением отходов</v>
      </c>
      <c r="G7665" s="22" t="s">
        <v>72</v>
      </c>
      <c r="H7665" s="22" t="s">
        <v>5321</v>
      </c>
      <c r="I7665" s="26">
        <v>43609.653472222199</v>
      </c>
      <c r="J7665" s="23" t="str">
        <f>HYPERLINK("https://www.spark-marketing.ru/Card/Person/12789", "АО ""ЭР-ТЕЛЕКОМ ХОЛДИНГ""")</f>
        <v>АО "ЭР-ТЕЛЕКОМ ХОЛДИНГ"</v>
      </c>
      <c r="K7665" s="24" t="s">
        <v>3100</v>
      </c>
      <c r="L7665" s="28" t="s">
        <v>52</v>
      </c>
      <c r="M7665" s="28" t="s">
        <v>52</v>
      </c>
      <c r="N7665" s="28" t="s">
        <v>52</v>
      </c>
    </row>
    <row r="7666" spans="1:14" x14ac:dyDescent="0.15">
      <c r="A7666" s="23" t="str">
        <f>HYPERLINK("https://www.spark-marketing.ru/Card/Person/17791", "АДМИНИСТРАЦИЯ АЛЕКСАНДРОВСКОГО РАЙОНА ВЛАДИМИРСКОЙ ОБЛАСТИ")</f>
        <v>АДМИНИСТРАЦИЯ АЛЕКСАНДРОВСКОГО РАЙОНА ВЛАДИМИРСКОЙ ОБЛАСТИ</v>
      </c>
      <c r="B7666" s="24" t="s">
        <v>8083</v>
      </c>
      <c r="C7666" s="25">
        <v>200000</v>
      </c>
      <c r="D7666" s="22" t="s">
        <v>9799</v>
      </c>
      <c r="E7666" s="22" t="s">
        <v>1297</v>
      </c>
      <c r="F7666" s="23" t="str">
        <f>HYPERLINK("https://www.spark-marketing.ru/Card/Lot/70743621", "Поставка, установка, подключение и настройка системы видеонаблюдения")</f>
        <v>Поставка, установка, подключение и настройка системы видеонаблюдения</v>
      </c>
      <c r="G7666" s="22" t="s">
        <v>145</v>
      </c>
      <c r="H7666" s="22" t="s">
        <v>145</v>
      </c>
      <c r="I7666" s="26">
        <v>43609.659768518497</v>
      </c>
      <c r="J7666" s="28" t="s">
        <v>52</v>
      </c>
      <c r="K7666" s="28" t="s">
        <v>52</v>
      </c>
      <c r="L7666" s="28" t="s">
        <v>52</v>
      </c>
      <c r="M7666" s="28" t="s">
        <v>52</v>
      </c>
      <c r="N7666" s="28" t="s">
        <v>52</v>
      </c>
    </row>
    <row r="7667" spans="1:14" ht="12.75" hidden="1" outlineLevel="1" x14ac:dyDescent="0.2">
      <c r="A7667" s="23" t="str">
        <f>HYPERLINK("https://www.spark-marketing.ru/Card/Person/17791", "АДМИНИСТРАЦИЯ АЛЕКСАНДРОВСКОГО РАЙОНА ВЛАДИМИРСКОЙ ОБЛАСТИ")</f>
        <v>АДМИНИСТРАЦИЯ АЛЕКСАНДРОВСКОГО РАЙОНА ВЛАДИМИРСКОЙ ОБЛАСТИ</v>
      </c>
      <c r="B7667" s="24" t="s">
        <v>8083</v>
      </c>
      <c r="C7667" s="25">
        <v>200000</v>
      </c>
      <c r="D7667" s="22" t="s">
        <v>9799</v>
      </c>
      <c r="E7667" s="22" t="s">
        <v>1297</v>
      </c>
      <c r="F7667" s="23" t="str">
        <f>HYPERLINK("https://www.spark-marketing.ru/Card/Lot/70743621", "Поставка, установка, подключение и настройка системы видеонаблюдения")</f>
        <v>Поставка, установка, подключение и настройка системы видеонаблюдения</v>
      </c>
      <c r="G7667" s="22" t="s">
        <v>145</v>
      </c>
      <c r="H7667" s="22" t="s">
        <v>145</v>
      </c>
      <c r="I7667" s="26">
        <v>43609.659768518497</v>
      </c>
      <c r="J7667" s="23" t="str">
        <f>HYPERLINK("https://www.spark-marketing.ru/Card/Person/6340734", "Норова Валентина Николаевна")</f>
        <v>Норова Валентина Николаевна</v>
      </c>
      <c r="K7667" s="24" t="s">
        <v>8086</v>
      </c>
      <c r="L7667" s="22" t="s">
        <v>10</v>
      </c>
      <c r="M7667" s="25">
        <v>168000</v>
      </c>
      <c r="N7667" s="27">
        <v>0.16</v>
      </c>
    </row>
    <row r="7668" spans="1:14" hidden="1" outlineLevel="1" x14ac:dyDescent="0.2">
      <c r="A7668" s="23" t="str">
        <f>HYPERLINK("https://www.spark-marketing.ru/Card/Person/17791", "АДМИНИСТРАЦИЯ АЛЕКСАНДРОВСКОГО РАЙОНА ВЛАДИМИРСКОЙ ОБЛАСТИ")</f>
        <v>АДМИНИСТРАЦИЯ АЛЕКСАНДРОВСКОГО РАЙОНА ВЛАДИМИРСКОЙ ОБЛАСТИ</v>
      </c>
      <c r="B7668" s="24" t="s">
        <v>8083</v>
      </c>
      <c r="C7668" s="25">
        <v>200000</v>
      </c>
      <c r="D7668" s="22" t="s">
        <v>9799</v>
      </c>
      <c r="E7668" s="22" t="s">
        <v>1297</v>
      </c>
      <c r="F7668" s="23" t="str">
        <f>HYPERLINK("https://www.spark-marketing.ru/Card/Lot/70743621", "Поставка, установка, подключение и настройка системы видеонаблюдения")</f>
        <v>Поставка, установка, подключение и настройка системы видеонаблюдения</v>
      </c>
      <c r="G7668" s="22" t="s">
        <v>145</v>
      </c>
      <c r="H7668" s="22" t="s">
        <v>145</v>
      </c>
      <c r="I7668" s="26">
        <v>43609.659768518497</v>
      </c>
      <c r="J7668" s="23" t="str">
        <f>HYPERLINK("https://www.spark-marketing.ru/Card/Person/4765898", "ООО ""НПО ""АТЛАНТ""")</f>
        <v>ООО "НПО "АТЛАНТ"</v>
      </c>
      <c r="K7668" s="24" t="s">
        <v>9800</v>
      </c>
      <c r="L7668" s="28" t="s">
        <v>52</v>
      </c>
      <c r="M7668" s="25">
        <v>189000</v>
      </c>
      <c r="N7668" s="27">
        <v>5.5E-2</v>
      </c>
    </row>
    <row r="7669" spans="1:14" hidden="1" outlineLevel="1" x14ac:dyDescent="0.2">
      <c r="A7669" s="23" t="str">
        <f>HYPERLINK("https://www.spark-marketing.ru/Card/Person/17791", "АДМИНИСТРАЦИЯ АЛЕКСАНДРОВСКОГО РАЙОНА ВЛАДИМИРСКОЙ ОБЛАСТИ")</f>
        <v>АДМИНИСТРАЦИЯ АЛЕКСАНДРОВСКОГО РАЙОНА ВЛАДИМИРСКОЙ ОБЛАСТИ</v>
      </c>
      <c r="B7669" s="24" t="s">
        <v>8083</v>
      </c>
      <c r="C7669" s="25">
        <v>200000</v>
      </c>
      <c r="D7669" s="22" t="s">
        <v>9799</v>
      </c>
      <c r="E7669" s="22" t="s">
        <v>1297</v>
      </c>
      <c r="F7669" s="23" t="str">
        <f>HYPERLINK("https://www.spark-marketing.ru/Card/Lot/70743621", "Поставка, установка, подключение и настройка системы видеонаблюдения")</f>
        <v>Поставка, установка, подключение и настройка системы видеонаблюдения</v>
      </c>
      <c r="G7669" s="22" t="s">
        <v>145</v>
      </c>
      <c r="H7669" s="22" t="s">
        <v>145</v>
      </c>
      <c r="I7669" s="26">
        <v>43609.659768518497</v>
      </c>
      <c r="J7669" s="23" t="str">
        <f>HYPERLINK("https://www.spark-marketing.ru/Card/Person/274212", "ООО ""СТРОЙСФЕРА""")</f>
        <v>ООО "СТРОЙСФЕРА"</v>
      </c>
      <c r="K7669" s="24" t="s">
        <v>8222</v>
      </c>
      <c r="L7669" s="28" t="s">
        <v>52</v>
      </c>
      <c r="M7669" s="25">
        <v>178000</v>
      </c>
      <c r="N7669" s="27">
        <v>0.11</v>
      </c>
    </row>
    <row r="7670" spans="1:14" x14ac:dyDescent="0.15">
      <c r="A7670" s="23" t="str">
        <f>HYPERLINK("https://www.spark-marketing.ru/Card/Person/149486", "МБУ ""КОМБИНАТ БЛАГОУСТРОЙСТВА СОВЕТСКОГО РАЙОНА""")</f>
        <v>МБУ "КОМБИНАТ БЛАГОУСТРОЙСТВА СОВЕТСКОГО РАЙОНА"</v>
      </c>
      <c r="B7670" s="24" t="s">
        <v>9801</v>
      </c>
      <c r="C7670" s="25">
        <v>929687.2</v>
      </c>
      <c r="D7670" s="22" t="s">
        <v>9802</v>
      </c>
      <c r="E7670" s="22" t="s">
        <v>985</v>
      </c>
      <c r="F7670" s="23" t="str">
        <f>HYPERLINK("https://www.spark-marketing.ru/Card/Lot/70743487", "Поставка комплектующих для коммунальной техники")</f>
        <v>Поставка комплектующих для коммунальной техники</v>
      </c>
      <c r="G7670" s="22" t="s">
        <v>552</v>
      </c>
      <c r="H7670" s="22" t="s">
        <v>886</v>
      </c>
      <c r="I7670" s="26">
        <v>43609.652604166702</v>
      </c>
      <c r="J7670" s="23" t="str">
        <f>HYPERLINK("https://www.spark-marketing.ru/Card/Person/6513066", "Колесникова Наталья Ивановна")</f>
        <v>Колесникова Наталья Ивановна</v>
      </c>
      <c r="K7670" s="24" t="s">
        <v>9803</v>
      </c>
      <c r="L7670" s="22" t="s">
        <v>10</v>
      </c>
      <c r="M7670" s="28" t="s">
        <v>52</v>
      </c>
      <c r="N7670" s="28" t="s">
        <v>52</v>
      </c>
    </row>
    <row r="7671" spans="1:14" x14ac:dyDescent="0.2">
      <c r="A7671" s="23" t="str">
        <f>HYPERLINK("https://www.spark-marketing.ru/Card/Person/361583", "МУП ""ЖЭС""")</f>
        <v>МУП "ЖЭС"</v>
      </c>
      <c r="B7671" s="24" t="s">
        <v>9804</v>
      </c>
      <c r="C7671" s="25">
        <v>36313.33</v>
      </c>
      <c r="D7671" s="22" t="s">
        <v>9805</v>
      </c>
      <c r="E7671" s="22" t="s">
        <v>691</v>
      </c>
      <c r="F7671" s="23" t="str">
        <f>HYPERLINK("https://www.spark-marketing.ru/Card/Lot/70734178", "Поставка и установка системы обеспечения безопасности")</f>
        <v>Поставка и установка системы обеспечения безопасности</v>
      </c>
      <c r="G7671" s="22" t="s">
        <v>760</v>
      </c>
      <c r="H7671" s="22" t="s">
        <v>5622</v>
      </c>
      <c r="I7671" s="26">
        <v>43609.622627314799</v>
      </c>
      <c r="J7671" s="28" t="s">
        <v>52</v>
      </c>
      <c r="K7671" s="28" t="s">
        <v>52</v>
      </c>
      <c r="L7671" s="22" t="s">
        <v>10</v>
      </c>
      <c r="M7671" s="25">
        <v>32000</v>
      </c>
      <c r="N7671" s="27">
        <v>0.11878089946584354</v>
      </c>
    </row>
    <row r="7672" spans="1:14" x14ac:dyDescent="0.15">
      <c r="A7672" s="23" t="str">
        <f>HYPERLINK("https://www.spark-marketing.ru/Card/Person/12376", "ФКУ ""ЦХИСО УМВД РОССИИ ПО МУРМАНСКОЙ ОБЛАСТИ""")</f>
        <v>ФКУ "ЦХИСО УМВД РОССИИ ПО МУРМАНСКОЙ ОБЛАСТИ"</v>
      </c>
      <c r="B7672" s="24" t="s">
        <v>8074</v>
      </c>
      <c r="C7672" s="25">
        <v>80330</v>
      </c>
      <c r="D7672" s="22" t="s">
        <v>9806</v>
      </c>
      <c r="E7672" s="22" t="s">
        <v>53</v>
      </c>
      <c r="F7672" s="23" t="str">
        <f>HYPERLINK("https://www.spark-marketing.ru/Card/Lot/70748429", "Оказание услуг по физической охране объекта ФКУ ""ЦХиСО УМВД России по Мурманской области"", расположенного по адресу: г. Мурманск, пр. Кольский, д. 49В")</f>
        <v>Оказание услуг по физической охране объекта ФКУ "ЦХиСО УМВД России по Мурманской области", расположенного по адресу: г. Мурманск, пр. Кольский, д. 49В</v>
      </c>
      <c r="G7672" s="22" t="s">
        <v>190</v>
      </c>
      <c r="H7672" s="22" t="s">
        <v>191</v>
      </c>
      <c r="I7672" s="26">
        <v>43609.611574074101</v>
      </c>
      <c r="J7672" s="28" t="s">
        <v>52</v>
      </c>
      <c r="K7672" s="28" t="s">
        <v>52</v>
      </c>
      <c r="L7672" s="28" t="s">
        <v>52</v>
      </c>
      <c r="M7672" s="28" t="s">
        <v>52</v>
      </c>
      <c r="N7672" s="28" t="s">
        <v>52</v>
      </c>
    </row>
    <row r="7673" spans="1:14" x14ac:dyDescent="0.2">
      <c r="A7673" s="23" t="str">
        <f>HYPERLINK("https://www.spark-marketing.ru/Card/Person/107173", "ФГУП ""УВО МИНТРАНСА РОССИИ""")</f>
        <v>ФГУП "УВО МИНТРАНСА РОССИИ"</v>
      </c>
      <c r="B7673" s="24" t="s">
        <v>1472</v>
      </c>
      <c r="C7673" s="25">
        <v>1108051140.5</v>
      </c>
      <c r="D7673" s="22" t="s">
        <v>9807</v>
      </c>
      <c r="E7673" s="22" t="s">
        <v>606</v>
      </c>
      <c r="F7673" s="23" t="str">
        <f>HYPERLINK("https://www.spark-marketing.ru/Card/Lot/70735343", "Выполнение комплекса строительно-монтажных работ на объекте: ""Технические средства обеспечения транспортной безопасности при строительстве железнодорожных подходов к транспортному переходу через Керченский пролив. Этап 2: Строительство соответствующ...")</f>
        <v>Выполнение комплекса строительно-монтажных работ на объекте: "Технические средства обеспечения транспортной безопасности при строительстве железнодорожных подходов к транспортному переходу через Керченский пролив. Этап 2: Строительство соответствующ...</v>
      </c>
      <c r="G7673" s="22" t="s">
        <v>1053</v>
      </c>
      <c r="H7673" s="22" t="s">
        <v>1053</v>
      </c>
      <c r="I7673" s="26">
        <v>43609.604918981502</v>
      </c>
      <c r="J7673" s="28" t="s">
        <v>52</v>
      </c>
      <c r="K7673" s="28" t="s">
        <v>52</v>
      </c>
      <c r="L7673" s="28" t="s">
        <v>52</v>
      </c>
      <c r="M7673" s="25">
        <v>1108031140</v>
      </c>
      <c r="N7673" s="27">
        <v>1.8050159662283206E-5</v>
      </c>
    </row>
    <row r="7674" spans="1:14" x14ac:dyDescent="0.15">
      <c r="A7674" s="23" t="str">
        <f>HYPERLINK("https://www.spark-marketing.ru/Card/Person/12376", "ФКУ ""ЦХИСО УМВД РОССИИ ПО МУРМАНСКОЙ ОБЛАСТИ""")</f>
        <v>ФКУ "ЦХИСО УМВД РОССИИ ПО МУРМАНСКОЙ ОБЛАСТИ"</v>
      </c>
      <c r="B7674" s="24" t="s">
        <v>8074</v>
      </c>
      <c r="C7674" s="25">
        <v>99720</v>
      </c>
      <c r="D7674" s="22" t="s">
        <v>9808</v>
      </c>
      <c r="E7674" s="22" t="s">
        <v>53</v>
      </c>
      <c r="F7674" s="23" t="str">
        <f>HYPERLINK("https://www.spark-marketing.ru/Card/Lot/70748257", "Оказание услуг по физической охране объекта ФКУ ""ЦХиСО УМВД России по Мурманской области"", расположенного по адресу: г. Мурманск, ул. Планерная, д. 1")</f>
        <v>Оказание услуг по физической охране объекта ФКУ "ЦХиСО УМВД России по Мурманской области", расположенного по адресу: г. Мурманск, ул. Планерная, д. 1</v>
      </c>
      <c r="G7674" s="22" t="s">
        <v>190</v>
      </c>
      <c r="H7674" s="22" t="s">
        <v>191</v>
      </c>
      <c r="I7674" s="26">
        <v>43609.6193055556</v>
      </c>
      <c r="J7674" s="28" t="s">
        <v>52</v>
      </c>
      <c r="K7674" s="28" t="s">
        <v>52</v>
      </c>
      <c r="L7674" s="28" t="s">
        <v>52</v>
      </c>
      <c r="M7674" s="28" t="s">
        <v>52</v>
      </c>
      <c r="N7674" s="28" t="s">
        <v>52</v>
      </c>
    </row>
    <row r="7675" spans="1:14" x14ac:dyDescent="0.15">
      <c r="A7675" s="23" t="str">
        <f>HYPERLINK("https://www.spark-marketing.ru/Card/Person/373623", "МУРМАНСКИЙ ЛО МВД РОССИИ НА ТРАНСПОРТЕ")</f>
        <v>МУРМАНСКИЙ ЛО МВД РОССИИ НА ТРАНСПОРТЕ</v>
      </c>
      <c r="B7675" s="24" t="s">
        <v>9809</v>
      </c>
      <c r="C7675" s="25">
        <v>40000</v>
      </c>
      <c r="D7675" s="22" t="s">
        <v>9810</v>
      </c>
      <c r="E7675" s="22" t="s">
        <v>53</v>
      </c>
      <c r="F7675" s="23" t="str">
        <f>HYPERLINK("https://www.spark-marketing.ru/Card/Lot/70748426", "Услуги по техническому обслуживанию комплекса средств охраны на объектах")</f>
        <v>Услуги по техническому обслуживанию комплекса средств охраны на объектах</v>
      </c>
      <c r="G7675" s="22" t="s">
        <v>190</v>
      </c>
      <c r="H7675" s="22" t="s">
        <v>191</v>
      </c>
      <c r="I7675" s="26">
        <v>43609.610162037003</v>
      </c>
      <c r="J7675" s="28" t="s">
        <v>52</v>
      </c>
      <c r="K7675" s="28" t="s">
        <v>52</v>
      </c>
      <c r="L7675" s="28" t="s">
        <v>52</v>
      </c>
      <c r="M7675" s="28" t="s">
        <v>52</v>
      </c>
      <c r="N7675" s="28" t="s">
        <v>52</v>
      </c>
    </row>
    <row r="7676" spans="1:14" x14ac:dyDescent="0.15">
      <c r="A7676" s="23" t="str">
        <f>HYPERLINK("https://www.spark-marketing.ru/Card/Person/53996", "СУ СК РОССИИ ПО РЕСПУБЛИКЕ КАЛМЫКИЯ")</f>
        <v>СУ СК РОССИИ ПО РЕСПУБЛИКЕ КАЛМЫКИЯ</v>
      </c>
      <c r="B7676" s="24" t="s">
        <v>1323</v>
      </c>
      <c r="C7676" s="25">
        <v>1059968</v>
      </c>
      <c r="D7676" s="22" t="s">
        <v>9811</v>
      </c>
      <c r="E7676" s="22" t="s">
        <v>68</v>
      </c>
      <c r="F7676" s="23" t="str">
        <f>HYPERLINK("https://www.spark-marketing.ru/Card/Lot/70741160", "услуги по специализированной физической охране административного здания следственного управления Следственного комитета Российской Федерации по Республике Калмыкия по адресу: Республика Калмыкия, г. Элиста, ул. Герасименко, д. 57")</f>
        <v>услуги по специализированной физической охране административного здания следственного управления Следственного комитета Российской Федерации по Республике Калмыкия по адресу: Республика Калмыкия, г. Элиста, ул. Герасименко, д. 57</v>
      </c>
      <c r="G7676" s="22" t="s">
        <v>1325</v>
      </c>
      <c r="H7676" s="22" t="s">
        <v>1325</v>
      </c>
      <c r="I7676" s="26">
        <v>43609.604224536997</v>
      </c>
      <c r="J7676" s="23" t="str">
        <f>HYPERLINK("https://www.spark-marketing.ru/Card/Person/1124438", "ФЛ ФГУП ""Охрана"" Росгвардии по Республике Калмыкия")</f>
        <v>ФЛ ФГУП "Охрана" Росгвардии по Республике Калмыкия</v>
      </c>
      <c r="K7676" s="24" t="s">
        <v>779</v>
      </c>
      <c r="L7676" s="22" t="s">
        <v>10</v>
      </c>
      <c r="M7676" s="28" t="s">
        <v>52</v>
      </c>
      <c r="N7676" s="28" t="s">
        <v>52</v>
      </c>
    </row>
    <row r="7677" spans="1:14" x14ac:dyDescent="0.15">
      <c r="A7677" s="23" t="str">
        <f>HYPERLINK("https://www.spark-marketing.ru/Card/Person/108996", "УПРАВЛЕНИЕ РОСРЕЕСТРА ПО ТОМСКОЙ ОБЛАСТИ")</f>
        <v>УПРАВЛЕНИЕ РОСРЕЕСТРА ПО ТОМСКОЙ ОБЛАСТИ</v>
      </c>
      <c r="B7677" s="24" t="s">
        <v>9812</v>
      </c>
      <c r="C7677" s="25">
        <v>14401.44</v>
      </c>
      <c r="D7677" s="22" t="s">
        <v>9813</v>
      </c>
      <c r="E7677" s="22" t="s">
        <v>53</v>
      </c>
      <c r="F7677" s="23" t="str">
        <f>HYPERLINK("https://www.spark-marketing.ru/Card/Lot/70748697", "Оказание услуг по пультовой охране объектов")</f>
        <v>Оказание услуг по пультовой охране объектов</v>
      </c>
      <c r="G7677" s="22" t="s">
        <v>150</v>
      </c>
      <c r="H7677" s="22" t="s">
        <v>1656</v>
      </c>
      <c r="I7677" s="26">
        <v>43609.543981481504</v>
      </c>
      <c r="J7677" s="28" t="s">
        <v>52</v>
      </c>
      <c r="K7677" s="28" t="s">
        <v>52</v>
      </c>
      <c r="L7677" s="28" t="s">
        <v>52</v>
      </c>
      <c r="M7677" s="28" t="s">
        <v>52</v>
      </c>
      <c r="N7677" s="28" t="s">
        <v>52</v>
      </c>
    </row>
    <row r="7678" spans="1:14" x14ac:dyDescent="0.15">
      <c r="A7678" s="23" t="str">
        <f>HYPERLINK("https://www.spark-marketing.ru/Card/Person/85921", "МБОУ ЛИЦЕЙ № 8")</f>
        <v>МБОУ ЛИЦЕЙ № 8</v>
      </c>
      <c r="B7678" s="24" t="s">
        <v>9814</v>
      </c>
      <c r="C7678" s="25">
        <v>56000</v>
      </c>
      <c r="D7678" s="22" t="s">
        <v>9815</v>
      </c>
      <c r="E7678" s="22" t="s">
        <v>194</v>
      </c>
      <c r="F7678" s="23" t="str">
        <f>HYPERLINK("https://www.spark-marketing.ru/Card/Lot/70730207", "Установка видеокамер в кабинеты для ОГЭ")</f>
        <v>Установка видеокамер в кабинеты для ОГЭ</v>
      </c>
      <c r="G7678" s="22" t="s">
        <v>50</v>
      </c>
      <c r="H7678" s="22" t="s">
        <v>265</v>
      </c>
      <c r="I7678" s="26">
        <v>43609.575960648202</v>
      </c>
      <c r="J7678" s="28" t="s">
        <v>52</v>
      </c>
      <c r="K7678" s="28" t="s">
        <v>52</v>
      </c>
      <c r="L7678" s="28" t="s">
        <v>52</v>
      </c>
      <c r="M7678" s="28" t="s">
        <v>52</v>
      </c>
      <c r="N7678" s="28" t="s">
        <v>52</v>
      </c>
    </row>
    <row r="7679" spans="1:14" x14ac:dyDescent="0.15">
      <c r="A7679" s="23" t="str">
        <f>HYPERLINK("https://www.spark-marketing.ru/Card/Person/28993", "ГБОУ РО НШИ С ПЛП")</f>
        <v>ГБОУ РО НШИ С ПЛП</v>
      </c>
      <c r="B7679" s="24" t="s">
        <v>9328</v>
      </c>
      <c r="C7679" s="25">
        <v>14800</v>
      </c>
      <c r="D7679" s="22" t="s">
        <v>9816</v>
      </c>
      <c r="E7679" s="22" t="s">
        <v>1130</v>
      </c>
      <c r="F7679" s="23" t="str">
        <f>HYPERLINK("https://www.spark-marketing.ru/Card/Lot/70735234", "поставка: терминал мониторинга и тревожная кнопка")</f>
        <v>поставка: терминал мониторинга и тревожная кнопка</v>
      </c>
      <c r="G7679" s="22" t="s">
        <v>402</v>
      </c>
      <c r="H7679" s="22" t="s">
        <v>3921</v>
      </c>
      <c r="I7679" s="26">
        <v>43609.522916666698</v>
      </c>
      <c r="J7679" s="28" t="s">
        <v>52</v>
      </c>
      <c r="K7679" s="28" t="s">
        <v>52</v>
      </c>
      <c r="L7679" s="28" t="s">
        <v>52</v>
      </c>
      <c r="M7679" s="28" t="s">
        <v>52</v>
      </c>
      <c r="N7679" s="28" t="s">
        <v>52</v>
      </c>
    </row>
    <row r="7680" spans="1:14" x14ac:dyDescent="0.15">
      <c r="A7680" s="23" t="str">
        <f t="shared" ref="A7680:A7686" si="320">HYPERLINK("https://www.spark-marketing.ru/Card/Person/13993", "ГБУЗ МО ""ОРЕХОВО-ЗУЕВСКАЯ ЦГБ""")</f>
        <v>ГБУЗ МО "ОРЕХОВО-ЗУЕВСКАЯ ЦГБ"</v>
      </c>
      <c r="B7680" s="24" t="s">
        <v>9817</v>
      </c>
      <c r="C7680" s="25">
        <v>116600</v>
      </c>
      <c r="D7680" s="22" t="s">
        <v>9818</v>
      </c>
      <c r="E7680" s="22" t="s">
        <v>376</v>
      </c>
      <c r="F7680" s="23" t="str">
        <f t="shared" ref="F7680:F7686" si="321">HYPERLINK("https://www.spark-marketing.ru/Card/Lot/70732610", "Оказание технического обслуживания систем видеонаблюдения, домофонов, шлагбаумов установленных на объектах ГБУЗ МО""Орехово-Зуевской ЦГБ"" на второе полугодие 2019г.")</f>
        <v>Оказание технического обслуживания систем видеонаблюдения, домофонов, шлагбаумов установленных на объектах ГБУЗ МО"Орехово-Зуевской ЦГБ" на второе полугодие 2019г.</v>
      </c>
      <c r="G7680" s="22" t="s">
        <v>50</v>
      </c>
      <c r="H7680" s="22" t="s">
        <v>104</v>
      </c>
      <c r="I7680" s="26">
        <v>43609.530555555597</v>
      </c>
      <c r="J7680" s="28" t="s">
        <v>52</v>
      </c>
      <c r="K7680" s="28" t="s">
        <v>52</v>
      </c>
      <c r="L7680" s="28" t="s">
        <v>52</v>
      </c>
      <c r="M7680" s="28" t="s">
        <v>52</v>
      </c>
      <c r="N7680" s="28" t="s">
        <v>52</v>
      </c>
    </row>
    <row r="7681" spans="1:14" hidden="1" outlineLevel="1" x14ac:dyDescent="0.2">
      <c r="A7681" s="23" t="str">
        <f t="shared" si="320"/>
        <v>ГБУЗ МО "ОРЕХОВО-ЗУЕВСКАЯ ЦГБ"</v>
      </c>
      <c r="B7681" s="24" t="s">
        <v>9817</v>
      </c>
      <c r="C7681" s="25">
        <v>116600</v>
      </c>
      <c r="D7681" s="22" t="s">
        <v>9818</v>
      </c>
      <c r="E7681" s="22" t="s">
        <v>376</v>
      </c>
      <c r="F7681" s="23" t="str">
        <f t="shared" si="321"/>
        <v>Оказание технического обслуживания систем видеонаблюдения, домофонов, шлагбаумов установленных на объектах ГБУЗ МО"Орехово-Зуевской ЦГБ" на второе полугодие 2019г.</v>
      </c>
      <c r="G7681" s="22" t="s">
        <v>50</v>
      </c>
      <c r="H7681" s="22" t="s">
        <v>104</v>
      </c>
      <c r="I7681" s="26">
        <v>43609.530555555597</v>
      </c>
      <c r="J7681" s="23" t="str">
        <f>HYPERLINK("https://www.spark-marketing.ru/Card/Person/6480189", "ООО ""АБСОЛЮТ ИСК""")</f>
        <v>ООО "АБСОЛЮТ ИСК"</v>
      </c>
      <c r="K7681" s="24" t="s">
        <v>9819</v>
      </c>
      <c r="L7681" s="28" t="s">
        <v>52</v>
      </c>
      <c r="M7681" s="25">
        <v>114900</v>
      </c>
      <c r="N7681" s="27">
        <v>1.4579759862778732E-2</v>
      </c>
    </row>
    <row r="7682" spans="1:14" hidden="1" outlineLevel="1" x14ac:dyDescent="0.2">
      <c r="A7682" s="23" t="str">
        <f t="shared" si="320"/>
        <v>ГБУЗ МО "ОРЕХОВО-ЗУЕВСКАЯ ЦГБ"</v>
      </c>
      <c r="B7682" s="24" t="s">
        <v>9817</v>
      </c>
      <c r="C7682" s="25">
        <v>116600</v>
      </c>
      <c r="D7682" s="22" t="s">
        <v>9818</v>
      </c>
      <c r="E7682" s="22" t="s">
        <v>376</v>
      </c>
      <c r="F7682" s="23" t="str">
        <f t="shared" si="321"/>
        <v>Оказание технического обслуживания систем видеонаблюдения, домофонов, шлагбаумов установленных на объектах ГБУЗ МО"Орехово-Зуевской ЦГБ" на второе полугодие 2019г.</v>
      </c>
      <c r="G7682" s="22" t="s">
        <v>50</v>
      </c>
      <c r="H7682" s="22" t="s">
        <v>104</v>
      </c>
      <c r="I7682" s="26">
        <v>43609.530555555597</v>
      </c>
      <c r="J7682" s="23" t="str">
        <f>HYPERLINK("https://www.spark-marketing.ru/Card/Person/5908744", "ООО ""МСК СЕРВИС""")</f>
        <v>ООО "МСК СЕРВИС"</v>
      </c>
      <c r="K7682" s="24" t="s">
        <v>9820</v>
      </c>
      <c r="L7682" s="28" t="s">
        <v>52</v>
      </c>
      <c r="M7682" s="25">
        <v>109000</v>
      </c>
      <c r="N7682" s="27">
        <v>6.5180102915951971E-2</v>
      </c>
    </row>
    <row r="7683" spans="1:14" hidden="1" outlineLevel="1" x14ac:dyDescent="0.2">
      <c r="A7683" s="23" t="str">
        <f t="shared" si="320"/>
        <v>ГБУЗ МО "ОРЕХОВО-ЗУЕВСКАЯ ЦГБ"</v>
      </c>
      <c r="B7683" s="24" t="s">
        <v>9817</v>
      </c>
      <c r="C7683" s="25">
        <v>116600</v>
      </c>
      <c r="D7683" s="22" t="s">
        <v>9818</v>
      </c>
      <c r="E7683" s="22" t="s">
        <v>376</v>
      </c>
      <c r="F7683" s="23" t="str">
        <f t="shared" si="321"/>
        <v>Оказание технического обслуживания систем видеонаблюдения, домофонов, шлагбаумов установленных на объектах ГБУЗ МО"Орехово-Зуевской ЦГБ" на второе полугодие 2019г.</v>
      </c>
      <c r="G7683" s="22" t="s">
        <v>50</v>
      </c>
      <c r="H7683" s="22" t="s">
        <v>104</v>
      </c>
      <c r="I7683" s="26">
        <v>43609.530555555597</v>
      </c>
      <c r="J7683" s="23" t="str">
        <f>HYPERLINK("https://www.spark-marketing.ru/Card/Person/102343", "ООО ""ЧОП ""МЕГАПОЛИС-ОПТИМА""")</f>
        <v>ООО "ЧОП "МЕГАПОЛИС-ОПТИМА"</v>
      </c>
      <c r="K7683" s="24" t="s">
        <v>1794</v>
      </c>
      <c r="L7683" s="28" t="s">
        <v>52</v>
      </c>
      <c r="M7683" s="25">
        <v>94000</v>
      </c>
      <c r="N7683" s="27">
        <v>0.19382504288164665</v>
      </c>
    </row>
    <row r="7684" spans="1:14" hidden="1" outlineLevel="1" x14ac:dyDescent="0.2">
      <c r="A7684" s="23" t="str">
        <f t="shared" si="320"/>
        <v>ГБУЗ МО "ОРЕХОВО-ЗУЕВСКАЯ ЦГБ"</v>
      </c>
      <c r="B7684" s="24" t="s">
        <v>9817</v>
      </c>
      <c r="C7684" s="25">
        <v>116600</v>
      </c>
      <c r="D7684" s="22" t="s">
        <v>9818</v>
      </c>
      <c r="E7684" s="22" t="s">
        <v>376</v>
      </c>
      <c r="F7684" s="23" t="str">
        <f t="shared" si="321"/>
        <v>Оказание технического обслуживания систем видеонаблюдения, домофонов, шлагбаумов установленных на объектах ГБУЗ МО"Орехово-Зуевской ЦГБ" на второе полугодие 2019г.</v>
      </c>
      <c r="G7684" s="22" t="s">
        <v>50</v>
      </c>
      <c r="H7684" s="22" t="s">
        <v>104</v>
      </c>
      <c r="I7684" s="26">
        <v>43609.530555555597</v>
      </c>
      <c r="J7684" s="23" t="str">
        <f>HYPERLINK("https://www.spark-marketing.ru/Card/Person/417341", "ООО ""ЧОО ""МОСКОВСКИЙ ДОМ: ОХРАНА-СЕРВИС""")</f>
        <v>ООО "ЧОО "МОСКОВСКИЙ ДОМ: ОХРАНА-СЕРВИС"</v>
      </c>
      <c r="K7684" s="24" t="s">
        <v>1493</v>
      </c>
      <c r="L7684" s="28" t="s">
        <v>52</v>
      </c>
      <c r="M7684" s="25">
        <v>62900</v>
      </c>
      <c r="N7684" s="27">
        <v>0.46054888507718694</v>
      </c>
    </row>
    <row r="7685" spans="1:14" ht="12.75" hidden="1" outlineLevel="1" x14ac:dyDescent="0.2">
      <c r="A7685" s="23" t="str">
        <f t="shared" si="320"/>
        <v>ГБУЗ МО "ОРЕХОВО-ЗУЕВСКАЯ ЦГБ"</v>
      </c>
      <c r="B7685" s="24" t="s">
        <v>9817</v>
      </c>
      <c r="C7685" s="25">
        <v>116600</v>
      </c>
      <c r="D7685" s="22" t="s">
        <v>9818</v>
      </c>
      <c r="E7685" s="22" t="s">
        <v>376</v>
      </c>
      <c r="F7685" s="23" t="str">
        <f t="shared" si="321"/>
        <v>Оказание технического обслуживания систем видеонаблюдения, домофонов, шлагбаумов установленных на объектах ГБУЗ МО"Орехово-Зуевской ЦГБ" на второе полугодие 2019г.</v>
      </c>
      <c r="G7685" s="22" t="s">
        <v>50</v>
      </c>
      <c r="H7685" s="22" t="s">
        <v>104</v>
      </c>
      <c r="I7685" s="26">
        <v>43609.530555555597</v>
      </c>
      <c r="J7685" s="23" t="str">
        <f>HYPERLINK("https://www.spark-marketing.ru/Card/Person/6104722", "Чистов Сергей Сергеевич")</f>
        <v>Чистов Сергей Сергеевич</v>
      </c>
      <c r="K7685" s="24" t="s">
        <v>9821</v>
      </c>
      <c r="L7685" s="22" t="s">
        <v>10</v>
      </c>
      <c r="M7685" s="25">
        <v>58500</v>
      </c>
      <c r="N7685" s="27">
        <v>0.49828473413379076</v>
      </c>
    </row>
    <row r="7686" spans="1:14" hidden="1" outlineLevel="1" x14ac:dyDescent="0.2">
      <c r="A7686" s="23" t="str">
        <f t="shared" si="320"/>
        <v>ГБУЗ МО "ОРЕХОВО-ЗУЕВСКАЯ ЦГБ"</v>
      </c>
      <c r="B7686" s="24" t="s">
        <v>9817</v>
      </c>
      <c r="C7686" s="25">
        <v>116600</v>
      </c>
      <c r="D7686" s="22" t="s">
        <v>9818</v>
      </c>
      <c r="E7686" s="22" t="s">
        <v>376</v>
      </c>
      <c r="F7686" s="23" t="str">
        <f t="shared" si="321"/>
        <v>Оказание технического обслуживания систем видеонаблюдения, домофонов, шлагбаумов установленных на объектах ГБУЗ МО"Орехово-Зуевской ЦГБ" на второе полугодие 2019г.</v>
      </c>
      <c r="G7686" s="22" t="s">
        <v>50</v>
      </c>
      <c r="H7686" s="22" t="s">
        <v>104</v>
      </c>
      <c r="I7686" s="26">
        <v>43609.530555555597</v>
      </c>
      <c r="J7686" s="23" t="str">
        <f>HYPERLINK("https://www.spark-marketing.ru/Card/Person/6582852", "Попов Игорь Владиславович")</f>
        <v>Попов Игорь Владиславович</v>
      </c>
      <c r="K7686" s="24" t="s">
        <v>9822</v>
      </c>
      <c r="L7686" s="28" t="s">
        <v>52</v>
      </c>
      <c r="M7686" s="25">
        <v>62800</v>
      </c>
      <c r="N7686" s="27">
        <v>0.46140651801029159</v>
      </c>
    </row>
    <row r="7687" spans="1:14" x14ac:dyDescent="0.15">
      <c r="A7687" s="23" t="str">
        <f>HYPERLINK("https://www.spark-marketing.ru/Card/Person/78407", "МЕЖРАЙОННАЯ ИФНС РОССИИ № 6 ПО ОМСКОЙ ОБЛАСТИ")</f>
        <v>МЕЖРАЙОННАЯ ИФНС РОССИИ № 6 ПО ОМСКОЙ ОБЛАСТИ</v>
      </c>
      <c r="B7687" s="24" t="s">
        <v>9823</v>
      </c>
      <c r="C7687" s="25">
        <v>29320</v>
      </c>
      <c r="D7687" s="22" t="s">
        <v>9824</v>
      </c>
      <c r="E7687" s="22" t="s">
        <v>107</v>
      </c>
      <c r="F7687" s="23" t="str">
        <f>HYPERLINK("https://www.spark-marketing.ru/Card/Lot/70750197", "Техническое обслуживание средств ОС, ОПС, ТС, видеонаблюдения и СКУД, 1 шт")</f>
        <v>Техническое обслуживание средств ОС, ОПС, ТС, видеонаблюдения и СКУД, 1 шт</v>
      </c>
      <c r="G7687" s="22" t="s">
        <v>521</v>
      </c>
      <c r="H7687" s="22" t="s">
        <v>5525</v>
      </c>
      <c r="I7687" s="26">
        <v>43609.517013888901</v>
      </c>
      <c r="J7687" s="28" t="s">
        <v>52</v>
      </c>
      <c r="K7687" s="28" t="s">
        <v>52</v>
      </c>
      <c r="L7687" s="28" t="s">
        <v>52</v>
      </c>
      <c r="M7687" s="28" t="s">
        <v>52</v>
      </c>
      <c r="N7687" s="28" t="s">
        <v>52</v>
      </c>
    </row>
    <row r="7688" spans="1:14" x14ac:dyDescent="0.15">
      <c r="A7688" s="23" t="str">
        <f>HYPERLINK("https://www.spark-marketing.ru/Card/Person/1767664", "ЭЛЕКТРОГОРСКАЯ ДЕТСКАЯ ШКОЛА ИСКУССТВ")</f>
        <v>ЭЛЕКТРОГОРСКАЯ ДЕТСКАЯ ШКОЛА ИСКУССТВ</v>
      </c>
      <c r="B7688" s="24" t="s">
        <v>9468</v>
      </c>
      <c r="C7688" s="25">
        <v>99530</v>
      </c>
      <c r="D7688" s="22" t="s">
        <v>9825</v>
      </c>
      <c r="E7688" s="22" t="s">
        <v>144</v>
      </c>
      <c r="F7688" s="23" t="str">
        <f>HYPERLINK("https://www.spark-marketing.ru/Card/Lot/70725881", "Техническое обслуживание системы охранно-тревожной сигнализации, КТС")</f>
        <v>Техническое обслуживание системы охранно-тревожной сигнализации, КТС</v>
      </c>
      <c r="G7688" s="22" t="s">
        <v>50</v>
      </c>
      <c r="H7688" s="22" t="s">
        <v>50</v>
      </c>
      <c r="I7688" s="26">
        <v>43609.472754629598</v>
      </c>
      <c r="J7688" s="28" t="s">
        <v>52</v>
      </c>
      <c r="K7688" s="28" t="s">
        <v>52</v>
      </c>
      <c r="L7688" s="28" t="s">
        <v>52</v>
      </c>
      <c r="M7688" s="28" t="s">
        <v>52</v>
      </c>
      <c r="N7688" s="28" t="s">
        <v>52</v>
      </c>
    </row>
    <row r="7689" spans="1:14" x14ac:dyDescent="0.15">
      <c r="A7689" s="23" t="str">
        <f>HYPERLINK("https://www.spark-marketing.ru/Card/Person/132905", "МОГБУЗ ""ПОЛИКЛИНИКА №1""")</f>
        <v>МОГБУЗ "ПОЛИКЛИНИКА №1"</v>
      </c>
      <c r="B7689" s="24" t="s">
        <v>9826</v>
      </c>
      <c r="C7689" s="25">
        <v>529920</v>
      </c>
      <c r="D7689" s="22" t="s">
        <v>9827</v>
      </c>
      <c r="E7689" s="22" t="s">
        <v>52</v>
      </c>
      <c r="F7689" s="23" t="str">
        <f>HYPERLINK("https://www.spark-marketing.ru/Card/Lot/70713753", "Оказание услуг по охране помещений травматолого-ортопедического отделения по адресу : г.Магадан, 2 проезд Горького, дом 5")</f>
        <v>Оказание услуг по охране помещений травматолого-ортопедического отделения по адресу : г.Магадан, 2 проезд Горького, дом 5</v>
      </c>
      <c r="G7689" s="22" t="s">
        <v>808</v>
      </c>
      <c r="H7689" s="22" t="s">
        <v>809</v>
      </c>
      <c r="I7689" s="26">
        <v>43609.487500000003</v>
      </c>
      <c r="J7689" s="23" t="str">
        <f>HYPERLINK("https://www.spark-marketing.ru/Card/Person/1274216", "ООО ""ОХРАННОЕ АГЕНТСТВО ""КИРАСА""")</f>
        <v>ООО "ОХРАННОЕ АГЕНТСТВО "КИРАСА"</v>
      </c>
      <c r="K7689" s="24" t="s">
        <v>9828</v>
      </c>
      <c r="L7689" s="22" t="s">
        <v>10</v>
      </c>
      <c r="M7689" s="28" t="s">
        <v>52</v>
      </c>
      <c r="N7689" s="28" t="s">
        <v>52</v>
      </c>
    </row>
    <row r="7690" spans="1:14" x14ac:dyDescent="0.15">
      <c r="A7690" s="23" t="str">
        <f>HYPERLINK("https://www.spark-marketing.ru/Card/Person/127302", "МО МВД РОССИИ ""ТЕЙКОВСКИЙ""")</f>
        <v>МО МВД РОССИИ "ТЕЙКОВСКИЙ"</v>
      </c>
      <c r="B7690" s="24" t="s">
        <v>7924</v>
      </c>
      <c r="C7690" s="25">
        <v>94442.880000000005</v>
      </c>
      <c r="D7690" s="22" t="s">
        <v>9829</v>
      </c>
      <c r="E7690" s="22" t="s">
        <v>107</v>
      </c>
      <c r="F7690" s="23" t="str">
        <f>HYPERLINK("https://www.spark-marketing.ru/Card/Lot/70721676", "Техническое обслуживание и ППР технических средств охраны, 178 шт")</f>
        <v>Техническое обслуживание и ППР технических средств охраны, 178 шт</v>
      </c>
      <c r="G7690" s="22" t="s">
        <v>340</v>
      </c>
      <c r="H7690" s="22" t="s">
        <v>7926</v>
      </c>
      <c r="I7690" s="26">
        <v>43609.462187500001</v>
      </c>
      <c r="J7690" s="28" t="s">
        <v>52</v>
      </c>
      <c r="K7690" s="28" t="s">
        <v>52</v>
      </c>
      <c r="L7690" s="28" t="s">
        <v>52</v>
      </c>
      <c r="M7690" s="28" t="s">
        <v>52</v>
      </c>
      <c r="N7690" s="28" t="s">
        <v>52</v>
      </c>
    </row>
    <row r="7691" spans="1:14" x14ac:dyDescent="0.15">
      <c r="A7691" s="23" t="str">
        <f>HYPERLINK("https://www.spark-marketing.ru/Card/Person/88224", "ФГБУН НЦБМТ ФМБА РОССИИ")</f>
        <v>ФГБУН НЦБМТ ФМБА РОССИИ</v>
      </c>
      <c r="B7691" s="24" t="s">
        <v>9830</v>
      </c>
      <c r="C7691" s="25">
        <v>99722</v>
      </c>
      <c r="D7691" s="22" t="s">
        <v>9831</v>
      </c>
      <c r="E7691" s="22" t="s">
        <v>137</v>
      </c>
      <c r="F7691" s="23" t="str">
        <f>HYPERLINK("https://www.spark-marketing.ru/Card/Lot/70809669", "Оказание услуг по техническому обслуживанию системы видеонаблюдения Филиала «Андреевка» ФГБУН НЦБМТ ФМБА России")</f>
        <v>Оказание услуг по техническому обслуживанию системы видеонаблюдения Филиала «Андреевка» ФГБУН НЦБМТ ФМБА России</v>
      </c>
      <c r="G7691" s="22" t="s">
        <v>50</v>
      </c>
      <c r="H7691" s="22" t="s">
        <v>50</v>
      </c>
      <c r="I7691" s="26">
        <v>43609.4690625</v>
      </c>
      <c r="J7691" s="28" t="s">
        <v>52</v>
      </c>
      <c r="K7691" s="28" t="s">
        <v>52</v>
      </c>
      <c r="L7691" s="28" t="s">
        <v>52</v>
      </c>
      <c r="M7691" s="28" t="s">
        <v>52</v>
      </c>
      <c r="N7691" s="28" t="s">
        <v>52</v>
      </c>
    </row>
    <row r="7692" spans="1:14" x14ac:dyDescent="0.15">
      <c r="A7692" s="23" t="str">
        <f>HYPERLINK("https://www.spark-marketing.ru/Card/Person/86801", "РГБУ ""ПРОИЗВОДСТВЕННО-ТЕХНИЧЕСКОЕ УПРАВЛЕНИЕ ГЛАВЫ И ПРАВИТЕЛЬСТВА КАРАЧАЕВО-ЧЕРКЕССКОЙ РЕСПУБЛИКИ""")</f>
        <v>РГБУ "ПРОИЗВОДСТВЕННО-ТЕХНИЧЕСКОЕ УПРАВЛЕНИЕ ГЛАВЫ И ПРАВИТЕЛЬСТВА КАРАЧАЕВО-ЧЕРКЕССКОЙ РЕСПУБЛИКИ"</v>
      </c>
      <c r="B7692" s="24" t="s">
        <v>9832</v>
      </c>
      <c r="C7692" s="25">
        <v>2767062.48</v>
      </c>
      <c r="D7692" s="22" t="s">
        <v>9833</v>
      </c>
      <c r="E7692" s="22" t="s">
        <v>68</v>
      </c>
      <c r="F7692" s="23" t="str">
        <f>HYPERLINK("https://www.spark-marketing.ru/Card/Lot/70724145", "Охрана объекта по адресу г. Черкесск ул. Ленина 438 правоохранительными органами")</f>
        <v>Охрана объекта по адресу г. Черкесск ул. Ленина 438 правоохранительными органами</v>
      </c>
      <c r="G7692" s="22" t="s">
        <v>3936</v>
      </c>
      <c r="H7692" s="22" t="s">
        <v>7564</v>
      </c>
      <c r="I7692" s="26">
        <v>43609.422916666699</v>
      </c>
      <c r="J7692" s="28" t="s">
        <v>52</v>
      </c>
      <c r="K7692" s="28" t="s">
        <v>52</v>
      </c>
      <c r="L7692" s="28" t="s">
        <v>52</v>
      </c>
      <c r="M7692" s="28" t="s">
        <v>52</v>
      </c>
      <c r="N7692" s="28" t="s">
        <v>52</v>
      </c>
    </row>
    <row r="7693" spans="1:14" x14ac:dyDescent="0.15">
      <c r="A7693" s="23" t="str">
        <f>HYPERLINK("https://www.spark-marketing.ru/Card/Person/940895", "МУП МТУ")</f>
        <v>МУП МТУ</v>
      </c>
      <c r="B7693" s="24" t="s">
        <v>9834</v>
      </c>
      <c r="C7693" s="25">
        <v>175000</v>
      </c>
      <c r="D7693" s="22" t="s">
        <v>9835</v>
      </c>
      <c r="E7693" s="22" t="s">
        <v>2577</v>
      </c>
      <c r="F7693" s="23" t="str">
        <f>HYPERLINK("https://www.spark-marketing.ru/Card/Lot/70719527", "Разработка проекта плана обеспечения транспортной безопасности ТС")</f>
        <v>Разработка проекта плана обеспечения транспортной безопасности ТС</v>
      </c>
      <c r="G7693" s="22" t="s">
        <v>1547</v>
      </c>
      <c r="H7693" s="22" t="s">
        <v>1547</v>
      </c>
      <c r="I7693" s="26">
        <v>43609.379270833299</v>
      </c>
      <c r="J7693" s="28" t="s">
        <v>52</v>
      </c>
      <c r="K7693" s="28" t="s">
        <v>52</v>
      </c>
      <c r="L7693" s="28" t="s">
        <v>52</v>
      </c>
      <c r="M7693" s="28" t="s">
        <v>52</v>
      </c>
      <c r="N7693" s="28" t="s">
        <v>52</v>
      </c>
    </row>
    <row r="7694" spans="1:14" x14ac:dyDescent="0.15">
      <c r="A7694" s="23" t="str">
        <f>HYPERLINK("https://www.spark-marketing.ru/Card/Person/1758888", "ГКУ СО КК ""КРАСНОДАРСКИЙ ЦСА""")</f>
        <v>ГКУ СО КК "КРАСНОДАРСКИЙ ЦСА"</v>
      </c>
      <c r="B7694" s="24" t="s">
        <v>9836</v>
      </c>
      <c r="C7694" s="25">
        <v>469177.2</v>
      </c>
      <c r="D7694" s="22" t="s">
        <v>9837</v>
      </c>
      <c r="E7694" s="22" t="s">
        <v>52</v>
      </c>
      <c r="F7694" s="23" t="str">
        <f>HYPERLINK("https://www.spark-marketing.ru/Card/Lot/70721199", "Услуги охраны (2 полугодие 2019 года)")</f>
        <v>Услуги охраны (2 полугодие 2019 года)</v>
      </c>
      <c r="G7694" s="22" t="s">
        <v>132</v>
      </c>
      <c r="H7694" s="22" t="s">
        <v>717</v>
      </c>
      <c r="I7694" s="26">
        <v>43609.379166666702</v>
      </c>
      <c r="J7694" s="23" t="str">
        <f>HYPERLINK("https://www.spark-marketing.ru/Card/Person/456031", "ООО ЧОО ""ОХРАННОЕ ОБЪЕДИНЕНИЕ ЩИТ КАВКАЗА""")</f>
        <v>ООО ЧОО "ОХРАННОЕ ОБЪЕДИНЕНИЕ ЩИТ КАВКАЗА"</v>
      </c>
      <c r="K7694" s="24" t="s">
        <v>9838</v>
      </c>
      <c r="L7694" s="22" t="s">
        <v>10</v>
      </c>
      <c r="M7694" s="28" t="s">
        <v>52</v>
      </c>
      <c r="N7694" s="28" t="s">
        <v>52</v>
      </c>
    </row>
    <row r="7695" spans="1:14" x14ac:dyDescent="0.15">
      <c r="A7695" s="23" t="str">
        <f>HYPERLINK("https://www.spark-marketing.ru/Card/Person/6394821", "ФЛ ""Башкирия"" ООО ""РН-ПОЖАРНАЯ БЕЗОПАСНОСТЬ""")</f>
        <v>ФЛ "Башкирия" ООО "РН-ПОЖАРНАЯ БЕЗОПАСНОСТЬ"</v>
      </c>
      <c r="B7695" s="24" t="s">
        <v>8556</v>
      </c>
      <c r="C7695" s="28" t="s">
        <v>52</v>
      </c>
      <c r="D7695" s="22" t="s">
        <v>9839</v>
      </c>
      <c r="E7695" s="22" t="s">
        <v>2204</v>
      </c>
      <c r="F7695" s="23" t="str">
        <f>HYPERLINK("https://www.spark-marketing.ru/Card/Lot/74013178", "Поставка и установка автомобильных видеорегистраторов")</f>
        <v>Поставка и установка автомобильных видеорегистраторов</v>
      </c>
      <c r="G7695" s="22" t="s">
        <v>760</v>
      </c>
      <c r="H7695" s="22" t="s">
        <v>1709</v>
      </c>
      <c r="I7695" s="26">
        <v>43609.409722222197</v>
      </c>
      <c r="J7695" s="28" t="s">
        <v>52</v>
      </c>
      <c r="K7695" s="28" t="s">
        <v>52</v>
      </c>
      <c r="L7695" s="28" t="s">
        <v>52</v>
      </c>
      <c r="M7695" s="28" t="s">
        <v>52</v>
      </c>
      <c r="N7695" s="28" t="s">
        <v>52</v>
      </c>
    </row>
    <row r="7696" spans="1:14" x14ac:dyDescent="0.15">
      <c r="A7696" s="23" t="str">
        <f>HYPERLINK("https://www.spark-marketing.ru/Card/Person/18078", "ФКУ ""ЦВР МВД РОССИИ, Г. ВЕЛИКИЙ НОВГОРОД""")</f>
        <v>ФКУ "ЦВР МВД РОССИИ, Г. ВЕЛИКИЙ НОВГОРОД"</v>
      </c>
      <c r="B7696" s="24" t="s">
        <v>9840</v>
      </c>
      <c r="C7696" s="25">
        <v>15929.24</v>
      </c>
      <c r="D7696" s="22" t="s">
        <v>9841</v>
      </c>
      <c r="E7696" s="22" t="s">
        <v>53</v>
      </c>
      <c r="F7696" s="23" t="str">
        <f>HYPERLINK("https://www.spark-marketing.ru/Card/Lot/70747774", "Монтаж, установка, сборка комплексных систем безопасности, 1 шт")</f>
        <v>Монтаж, установка, сборка комплексных систем безопасности, 1 шт</v>
      </c>
      <c r="G7696" s="22" t="s">
        <v>959</v>
      </c>
      <c r="H7696" s="22" t="s">
        <v>960</v>
      </c>
      <c r="I7696" s="26">
        <v>43609.386701388903</v>
      </c>
      <c r="J7696" s="28" t="s">
        <v>52</v>
      </c>
      <c r="K7696" s="28" t="s">
        <v>52</v>
      </c>
      <c r="L7696" s="28" t="s">
        <v>52</v>
      </c>
      <c r="M7696" s="28" t="s">
        <v>52</v>
      </c>
      <c r="N7696" s="28" t="s">
        <v>52</v>
      </c>
    </row>
    <row r="7697" spans="1:14" x14ac:dyDescent="0.15">
      <c r="A7697" s="23" t="str">
        <f>HYPERLINK("https://www.spark-marketing.ru/Card/Person/93331", "БДОУ Г.ОМСКА ""ДЕТСКИЙ САД № 10""")</f>
        <v>БДОУ Г.ОМСКА "ДЕТСКИЙ САД № 10"</v>
      </c>
      <c r="B7697" s="24" t="s">
        <v>9842</v>
      </c>
      <c r="C7697" s="25">
        <v>99799</v>
      </c>
      <c r="D7697" s="22" t="s">
        <v>9843</v>
      </c>
      <c r="E7697" s="22" t="s">
        <v>9844</v>
      </c>
      <c r="F7697" s="23" t="str">
        <f>HYPERLINK("https://www.spark-marketing.ru/Card/Lot/70718208", "Услуги по установке системы видеонаблюдения.")</f>
        <v>Услуги по установке системы видеонаблюдения.</v>
      </c>
      <c r="G7697" s="22" t="s">
        <v>521</v>
      </c>
      <c r="H7697" s="22" t="s">
        <v>522</v>
      </c>
      <c r="I7697" s="26">
        <v>43609.3569444444</v>
      </c>
      <c r="J7697" s="28" t="s">
        <v>52</v>
      </c>
      <c r="K7697" s="28" t="s">
        <v>52</v>
      </c>
      <c r="L7697" s="28" t="s">
        <v>52</v>
      </c>
      <c r="M7697" s="28" t="s">
        <v>52</v>
      </c>
      <c r="N7697" s="28" t="s">
        <v>52</v>
      </c>
    </row>
    <row r="7698" spans="1:14" x14ac:dyDescent="0.15">
      <c r="A7698" s="23" t="str">
        <f>HYPERLINK("https://www.spark-marketing.ru/Card/Person/42758", "АО ""РОССЕЛЬХОЗБАНК""")</f>
        <v>АО "РОССЕЛЬХОЗБАНК"</v>
      </c>
      <c r="B7698" s="24" t="s">
        <v>3030</v>
      </c>
      <c r="C7698" s="25">
        <v>1142664</v>
      </c>
      <c r="D7698" s="22" t="s">
        <v>9845</v>
      </c>
      <c r="E7698" s="22" t="s">
        <v>49</v>
      </c>
      <c r="F7698" s="23" t="str">
        <f>HYPERLINK("https://www.spark-marketing.ru/Card/Lot/70715606", "Выполнение работ по монтажу инженерно-технических систем охраны на объектах Якутского РФ АО «Россельхозбанк»")</f>
        <v>Выполнение работ по монтажу инженерно-технических систем охраны на объектах Якутского РФ АО «Россельхозбанк»</v>
      </c>
      <c r="G7698" s="22" t="s">
        <v>424</v>
      </c>
      <c r="H7698" s="22" t="s">
        <v>424</v>
      </c>
      <c r="I7698" s="26">
        <v>43609.196342592601</v>
      </c>
      <c r="J7698" s="28" t="s">
        <v>52</v>
      </c>
      <c r="K7698" s="28" t="s">
        <v>52</v>
      </c>
      <c r="L7698" s="28" t="s">
        <v>52</v>
      </c>
      <c r="M7698" s="28" t="s">
        <v>52</v>
      </c>
      <c r="N7698" s="28" t="s">
        <v>52</v>
      </c>
    </row>
    <row r="7699" spans="1:14" x14ac:dyDescent="0.15">
      <c r="A7699" s="23" t="str">
        <f>HYPERLINK("https://www.spark-marketing.ru/Card/Person/77706", "АО ""ПОЧТА РОССИИ""")</f>
        <v>АО "ПОЧТА РОССИИ"</v>
      </c>
      <c r="B7699" s="24" t="s">
        <v>1230</v>
      </c>
      <c r="C7699" s="25">
        <v>3800000</v>
      </c>
      <c r="D7699" s="22" t="s">
        <v>9846</v>
      </c>
      <c r="E7699" s="22" t="s">
        <v>370</v>
      </c>
      <c r="F7699" s="23" t="str">
        <f>HYPERLINK("https://www.spark-marketing.ru/Card/Lot/70708833", "Оказание услуг по техническому обслуживанию систем охранной сигнализации на объектах УФПС Республики Коми - филиала ФГУП ""Почта России""")</f>
        <v>Оказание услуг по техническому обслуживанию систем охранной сигнализации на объектах УФПС Республики Коми - филиала ФГУП "Почта России"</v>
      </c>
      <c r="G7699" s="22" t="s">
        <v>55</v>
      </c>
      <c r="H7699" s="22" t="s">
        <v>55</v>
      </c>
      <c r="I7699" s="26">
        <v>43608.757754629602</v>
      </c>
      <c r="J7699" s="28" t="s">
        <v>52</v>
      </c>
      <c r="K7699" s="28" t="s">
        <v>52</v>
      </c>
      <c r="L7699" s="28" t="s">
        <v>52</v>
      </c>
      <c r="M7699" s="28" t="s">
        <v>52</v>
      </c>
      <c r="N7699" s="28" t="s">
        <v>52</v>
      </c>
    </row>
    <row r="7700" spans="1:14" x14ac:dyDescent="0.15">
      <c r="A7700" s="23" t="str">
        <f>HYPERLINK("https://www.spark-marketing.ru/Card/Person/6450322", "ЗАКАЗЧИК РП БЕЛАРУСЬ")</f>
        <v>ЗАКАЗЧИК РП БЕЛАРУСЬ</v>
      </c>
      <c r="B7700" s="28" t="s">
        <v>52</v>
      </c>
      <c r="C7700" s="28" t="s">
        <v>52</v>
      </c>
      <c r="D7700" s="22" t="s">
        <v>9847</v>
      </c>
      <c r="E7700" s="22" t="s">
        <v>53</v>
      </c>
      <c r="F7700" s="23" t="str">
        <f>HYPERLINK("https://www.spark-marketing.ru/Card/Lot/70733426", "Комплексное техническое обслуживание системы конференцсвязи и видеотрансляции, системы видеонаблюдения учебного класса и системы информационного табло в фойе 1-го этажа")</f>
        <v>Комплексное техническое обслуживание системы конференцсвязи и видеотрансляции, системы видеонаблюдения учебного класса и системы информационного табло в фойе 1-го этажа</v>
      </c>
      <c r="G7700" s="22" t="s">
        <v>52</v>
      </c>
      <c r="H7700" s="22" t="s">
        <v>52</v>
      </c>
      <c r="I7700" s="26">
        <v>43609</v>
      </c>
      <c r="J7700" s="28" t="s">
        <v>52</v>
      </c>
      <c r="K7700" s="28" t="s">
        <v>52</v>
      </c>
      <c r="L7700" s="28" t="s">
        <v>52</v>
      </c>
      <c r="M7700" s="28" t="s">
        <v>52</v>
      </c>
      <c r="N7700" s="28" t="s">
        <v>52</v>
      </c>
    </row>
    <row r="7701" spans="1:14" x14ac:dyDescent="0.15">
      <c r="A7701" s="23" t="str">
        <f>HYPERLINK("https://www.spark-marketing.ru/Card/Person/4932584", "МАДОУ МО Г. КРАСНОДАР ""ДЕТСКИЙ САД № 193""")</f>
        <v>МАДОУ МО Г. КРАСНОДАР "ДЕТСКИЙ САД № 193"</v>
      </c>
      <c r="B7701" s="24" t="s">
        <v>9848</v>
      </c>
      <c r="C7701" s="25">
        <v>127000</v>
      </c>
      <c r="D7701" s="22" t="s">
        <v>9849</v>
      </c>
      <c r="E7701" s="22" t="s">
        <v>49</v>
      </c>
      <c r="F7701" s="23" t="str">
        <f>HYPERLINK("https://www.spark-marketing.ru/Card/Lot/70711952", "Установка системы видеонаблюдения")</f>
        <v>Установка системы видеонаблюдения</v>
      </c>
      <c r="G7701" s="22" t="s">
        <v>132</v>
      </c>
      <c r="H7701" s="22" t="s">
        <v>132</v>
      </c>
      <c r="I7701" s="26">
        <v>43608.919537037</v>
      </c>
      <c r="J7701" s="28" t="s">
        <v>52</v>
      </c>
      <c r="K7701" s="28" t="s">
        <v>52</v>
      </c>
      <c r="L7701" s="28" t="s">
        <v>52</v>
      </c>
      <c r="M7701" s="28" t="s">
        <v>52</v>
      </c>
      <c r="N7701" s="28" t="s">
        <v>52</v>
      </c>
    </row>
    <row r="7702" spans="1:14" x14ac:dyDescent="0.15">
      <c r="A7702" s="23" t="str">
        <f>HYPERLINK("https://www.spark-marketing.ru/Card/Person/235551", "МАОУ ""СОШ № 28""")</f>
        <v>МАОУ "СОШ № 28"</v>
      </c>
      <c r="B7702" s="24" t="s">
        <v>9850</v>
      </c>
      <c r="C7702" s="25">
        <v>164456</v>
      </c>
      <c r="D7702" s="22" t="s">
        <v>9851</v>
      </c>
      <c r="E7702" s="22" t="s">
        <v>396</v>
      </c>
      <c r="F7702" s="23" t="str">
        <f>HYPERLINK("https://www.spark-marketing.ru/Card/Lot/70708857", "Установка видеокамер для проведения ОГЭ, по адресу г. Ревда, ул. Мира, 30.")</f>
        <v>Установка видеокамер для проведения ОГЭ, по адресу г. Ревда, ул. Мира, 30.</v>
      </c>
      <c r="G7702" s="22" t="s">
        <v>72</v>
      </c>
      <c r="H7702" s="22" t="s">
        <v>72</v>
      </c>
      <c r="I7702" s="26">
        <v>43608.8274074074</v>
      </c>
      <c r="J7702" s="28" t="s">
        <v>52</v>
      </c>
      <c r="K7702" s="28" t="s">
        <v>52</v>
      </c>
      <c r="L7702" s="28" t="s">
        <v>52</v>
      </c>
      <c r="M7702" s="28" t="s">
        <v>52</v>
      </c>
      <c r="N7702" s="28" t="s">
        <v>52</v>
      </c>
    </row>
    <row r="7703" spans="1:14" x14ac:dyDescent="0.15">
      <c r="A7703" s="23" t="str">
        <f>HYPERLINK("https://www.spark-marketing.ru/Card/Person/1026575", "ГКУСО МО ""ЦЕНТР ""БРИГАНТИНА""")</f>
        <v>ГКУСО МО "ЦЕНТР "БРИГАНТИНА"</v>
      </c>
      <c r="B7703" s="24" t="s">
        <v>9852</v>
      </c>
      <c r="C7703" s="25">
        <v>1950</v>
      </c>
      <c r="D7703" s="22" t="s">
        <v>9853</v>
      </c>
      <c r="E7703" s="22" t="s">
        <v>208</v>
      </c>
      <c r="F7703" s="23" t="str">
        <f>HYPERLINK("https://www.spark-marketing.ru/Card/Lot/70708590", "Поставка кнопки тревожной сигнализации (брелок)")</f>
        <v>Поставка кнопки тревожной сигнализации (брелок)</v>
      </c>
      <c r="G7703" s="22" t="s">
        <v>50</v>
      </c>
      <c r="H7703" s="22" t="s">
        <v>2012</v>
      </c>
      <c r="I7703" s="26">
        <v>43608.753599536998</v>
      </c>
      <c r="J7703" s="28" t="s">
        <v>52</v>
      </c>
      <c r="K7703" s="28" t="s">
        <v>52</v>
      </c>
      <c r="L7703" s="28" t="s">
        <v>52</v>
      </c>
      <c r="M7703" s="28" t="s">
        <v>52</v>
      </c>
      <c r="N7703" s="28" t="s">
        <v>52</v>
      </c>
    </row>
    <row r="7704" spans="1:14" x14ac:dyDescent="0.15">
      <c r="A7704" s="23" t="str">
        <f>HYPERLINK("https://www.spark-marketing.ru/Card/Person/4346698", "КОМИТЕТ ЦИФРОВОГО РАЗВИТИЯ ЛЕНИНГРАДСКОЙ ОБЛАСТИ")</f>
        <v>КОМИТЕТ ЦИФРОВОГО РАЗВИТИЯ ЛЕНИНГРАДСКОЙ ОБЛАСТИ</v>
      </c>
      <c r="B7704" s="24" t="s">
        <v>9854</v>
      </c>
      <c r="C7704" s="25">
        <v>7000000</v>
      </c>
      <c r="D7704" s="22" t="s">
        <v>9855</v>
      </c>
      <c r="E7704" s="22" t="s">
        <v>9856</v>
      </c>
      <c r="F7704" s="23" t="str">
        <f>HYPERLINK("https://www.spark-marketing.ru/Card/Lot/70709365", "Оказание услуг по технической поддержке и сопровождению средств защиты информации для государственных нужд Ленинградской области")</f>
        <v>Оказание услуг по технической поддержке и сопровождению средств защиты информации для государственных нужд Ленинградской области</v>
      </c>
      <c r="G7704" s="22" t="s">
        <v>89</v>
      </c>
      <c r="H7704" s="22" t="s">
        <v>89</v>
      </c>
      <c r="I7704" s="26">
        <v>43608.717361111099</v>
      </c>
      <c r="J7704" s="23" t="str">
        <f>HYPERLINK("https://www.spark-marketing.ru/Card/Person/109913", "ООО ""АЛЬТИРИКС СИСТЕМС""")</f>
        <v>ООО "АЛЬТИРИКС СИСТЕМС"</v>
      </c>
      <c r="K7704" s="24" t="s">
        <v>9857</v>
      </c>
      <c r="L7704" s="22" t="s">
        <v>10</v>
      </c>
      <c r="M7704" s="28" t="s">
        <v>52</v>
      </c>
      <c r="N7704" s="28" t="s">
        <v>52</v>
      </c>
    </row>
    <row r="7705" spans="1:14" x14ac:dyDescent="0.15">
      <c r="A7705" s="23" t="str">
        <f>HYPERLINK("https://www.spark-marketing.ru/Card/Person/145073", "УПРАВЛЕНИЕ ДЕЛАМИ")</f>
        <v>УПРАВЛЕНИЕ ДЕЛАМИ</v>
      </c>
      <c r="B7705" s="24" t="s">
        <v>6462</v>
      </c>
      <c r="C7705" s="25">
        <v>806000</v>
      </c>
      <c r="D7705" s="22" t="s">
        <v>9858</v>
      </c>
      <c r="E7705" s="22" t="s">
        <v>6464</v>
      </c>
      <c r="F7705" s="23" t="str">
        <f>HYPERLINK("https://www.spark-marketing.ru/Card/Lot/70686929", "Установка системы видеонаблюдения на территории Елизовского городского поселения")</f>
        <v>Установка системы видеонаблюдения на территории Елизовского городского поселения</v>
      </c>
      <c r="G7705" s="22" t="s">
        <v>1141</v>
      </c>
      <c r="H7705" s="22" t="s">
        <v>1141</v>
      </c>
      <c r="I7705" s="26">
        <v>43608.702777777798</v>
      </c>
      <c r="J7705" s="28" t="s">
        <v>52</v>
      </c>
      <c r="K7705" s="28" t="s">
        <v>52</v>
      </c>
      <c r="L7705" s="28" t="s">
        <v>52</v>
      </c>
      <c r="M7705" s="28" t="s">
        <v>52</v>
      </c>
      <c r="N7705" s="28" t="s">
        <v>52</v>
      </c>
    </row>
    <row r="7706" spans="1:14" x14ac:dyDescent="0.15">
      <c r="A7706" s="23" t="str">
        <f>HYPERLINK("https://www.spark-marketing.ru/Card/Person/1049745", "МБУ ""КМЦ ""СФЕРА""")</f>
        <v>МБУ "КМЦ "СФЕРА"</v>
      </c>
      <c r="B7706" s="24" t="s">
        <v>9859</v>
      </c>
      <c r="C7706" s="25">
        <v>14000</v>
      </c>
      <c r="D7706" s="22" t="s">
        <v>9860</v>
      </c>
      <c r="E7706" s="22" t="s">
        <v>59</v>
      </c>
      <c r="F7706" s="23" t="str">
        <f>HYPERLINK("https://www.spark-marketing.ru/Card/Lot/70705482", "выполнение работ по установке тревожной сигнализации (КТС).")</f>
        <v>выполнение работ по установке тревожной сигнализации (КТС).</v>
      </c>
      <c r="G7706" s="22" t="s">
        <v>50</v>
      </c>
      <c r="H7706" s="22" t="s">
        <v>504</v>
      </c>
      <c r="I7706" s="26">
        <v>43608.701041666704</v>
      </c>
      <c r="J7706" s="28" t="s">
        <v>52</v>
      </c>
      <c r="K7706" s="28" t="s">
        <v>52</v>
      </c>
      <c r="L7706" s="28" t="s">
        <v>52</v>
      </c>
      <c r="M7706" s="28" t="s">
        <v>52</v>
      </c>
      <c r="N7706" s="28" t="s">
        <v>52</v>
      </c>
    </row>
    <row r="7707" spans="1:14" x14ac:dyDescent="0.15">
      <c r="A7707" s="23" t="str">
        <f>HYPERLINK("https://www.spark-marketing.ru/Card/Person/47698", "АО ""АЭРОВОКЗАЛ ЮЖНО-САХАЛИНСК""")</f>
        <v>АО "АЭРОВОКЗАЛ ЮЖНО-САХАЛИНСК"</v>
      </c>
      <c r="B7707" s="24" t="s">
        <v>9861</v>
      </c>
      <c r="C7707" s="25">
        <v>1506000</v>
      </c>
      <c r="D7707" s="22" t="s">
        <v>9862</v>
      </c>
      <c r="E7707" s="22" t="s">
        <v>2577</v>
      </c>
      <c r="F7707" s="23" t="str">
        <f>HYPERLINK("https://www.spark-marketing.ru/Card/Lot/70687366", "Оказание услуг по организации технологических процессов обеспечения транспортной безопасности в ходе строительства объекта транспортной инфраструктуры воздушного транспорта")</f>
        <v>Оказание услуг по организации технологических процессов обеспечения транспортной безопасности в ходе строительства объекта транспортной инфраструктуры воздушного транспорта</v>
      </c>
      <c r="G7707" s="22" t="s">
        <v>69</v>
      </c>
      <c r="H7707" s="22" t="s">
        <v>69</v>
      </c>
      <c r="I7707" s="26">
        <v>43608.630937499998</v>
      </c>
      <c r="J7707" s="28" t="s">
        <v>52</v>
      </c>
      <c r="K7707" s="28" t="s">
        <v>52</v>
      </c>
      <c r="L7707" s="28" t="s">
        <v>52</v>
      </c>
      <c r="M7707" s="28" t="s">
        <v>52</v>
      </c>
      <c r="N7707" s="28" t="s">
        <v>52</v>
      </c>
    </row>
    <row r="7708" spans="1:14" x14ac:dyDescent="0.15">
      <c r="A7708" s="23" t="str">
        <f>HYPERLINK("https://www.spark-marketing.ru/Card/Person/20995", "ФГКУ ""ЦВК ПО МТО РОСГВАРДИИ""")</f>
        <v>ФГКУ "ЦВК ПО МТО РОСГВАРДИИ"</v>
      </c>
      <c r="B7708" s="24" t="s">
        <v>9863</v>
      </c>
      <c r="C7708" s="25">
        <v>336081</v>
      </c>
      <c r="D7708" s="22" t="s">
        <v>9864</v>
      </c>
      <c r="E7708" s="22" t="s">
        <v>487</v>
      </c>
      <c r="F7708" s="23" t="str">
        <f>HYPERLINK("https://www.spark-marketing.ru/Card/Lot/70702995", "Поставка блок-контейнера и поста охраны")</f>
        <v>Поставка блок-контейнера и поста охраны</v>
      </c>
      <c r="G7708" s="22" t="s">
        <v>55</v>
      </c>
      <c r="H7708" s="22" t="s">
        <v>55</v>
      </c>
      <c r="I7708" s="26">
        <v>43608.642361111102</v>
      </c>
      <c r="J7708" s="28" t="s">
        <v>52</v>
      </c>
      <c r="K7708" s="28" t="s">
        <v>52</v>
      </c>
      <c r="L7708" s="28" t="s">
        <v>52</v>
      </c>
      <c r="M7708" s="28" t="s">
        <v>52</v>
      </c>
      <c r="N7708" s="28" t="s">
        <v>52</v>
      </c>
    </row>
    <row r="7709" spans="1:14" hidden="1" outlineLevel="1" x14ac:dyDescent="0.2">
      <c r="A7709" s="23" t="str">
        <f>HYPERLINK("https://www.spark-marketing.ru/Card/Person/20995", "ФГКУ ""ЦВК ПО МТО РОСГВАРДИИ""")</f>
        <v>ФГКУ "ЦВК ПО МТО РОСГВАРДИИ"</v>
      </c>
      <c r="B7709" s="24" t="s">
        <v>9863</v>
      </c>
      <c r="C7709" s="25">
        <v>336081</v>
      </c>
      <c r="D7709" s="22" t="s">
        <v>9864</v>
      </c>
      <c r="E7709" s="22" t="s">
        <v>487</v>
      </c>
      <c r="F7709" s="23" t="str">
        <f>HYPERLINK("https://www.spark-marketing.ru/Card/Lot/70702995", "Поставка блок-контейнера и поста охраны")</f>
        <v>Поставка блок-контейнера и поста охраны</v>
      </c>
      <c r="G7709" s="22" t="s">
        <v>55</v>
      </c>
      <c r="H7709" s="22" t="s">
        <v>55</v>
      </c>
      <c r="I7709" s="26">
        <v>43608.642361111102</v>
      </c>
      <c r="J7709" s="23" t="str">
        <f>HYPERLINK("https://www.spark-marketing.ru/Card/Person/6575539", "ООО ""ЭКСПОСЕРВИС""")</f>
        <v>ООО "ЭКСПОСЕРВИС"</v>
      </c>
      <c r="K7709" s="24" t="s">
        <v>9865</v>
      </c>
      <c r="L7709" s="28" t="s">
        <v>52</v>
      </c>
      <c r="M7709" s="25">
        <v>221544.65</v>
      </c>
      <c r="N7709" s="27">
        <v>0.34079983694407001</v>
      </c>
    </row>
    <row r="7710" spans="1:14" ht="12.75" hidden="1" outlineLevel="1" x14ac:dyDescent="0.2">
      <c r="A7710" s="23" t="str">
        <f>HYPERLINK("https://www.spark-marketing.ru/Card/Person/20995", "ФГКУ ""ЦВК ПО МТО РОСГВАРДИИ""")</f>
        <v>ФГКУ "ЦВК ПО МТО РОСГВАРДИИ"</v>
      </c>
      <c r="B7710" s="24" t="s">
        <v>9863</v>
      </c>
      <c r="C7710" s="25">
        <v>336081</v>
      </c>
      <c r="D7710" s="22" t="s">
        <v>9864</v>
      </c>
      <c r="E7710" s="22" t="s">
        <v>487</v>
      </c>
      <c r="F7710" s="23" t="str">
        <f>HYPERLINK("https://www.spark-marketing.ru/Card/Lot/70702995", "Поставка блок-контейнера и поста охраны")</f>
        <v>Поставка блок-контейнера и поста охраны</v>
      </c>
      <c r="G7710" s="22" t="s">
        <v>55</v>
      </c>
      <c r="H7710" s="22" t="s">
        <v>55</v>
      </c>
      <c r="I7710" s="26">
        <v>43608.642361111102</v>
      </c>
      <c r="J7710" s="23" t="str">
        <f>HYPERLINK("https://www.spark-marketing.ru/Card/Person/6512407", "ООО ""КОСМОС МОДУЛЬНЫЕ РЕШЕНИЯ""")</f>
        <v>ООО "КОСМОС МОДУЛЬНЫЕ РЕШЕНИЯ"</v>
      </c>
      <c r="K7710" s="24" t="s">
        <v>9866</v>
      </c>
      <c r="L7710" s="22" t="s">
        <v>10</v>
      </c>
      <c r="M7710" s="25">
        <v>219864.24</v>
      </c>
      <c r="N7710" s="27">
        <v>0.34579985182143591</v>
      </c>
    </row>
    <row r="7711" spans="1:14" hidden="1" outlineLevel="1" x14ac:dyDescent="0.2">
      <c r="A7711" s="23" t="str">
        <f>HYPERLINK("https://www.spark-marketing.ru/Card/Person/20995", "ФГКУ ""ЦВК ПО МТО РОСГВАРДИИ""")</f>
        <v>ФГКУ "ЦВК ПО МТО РОСГВАРДИИ"</v>
      </c>
      <c r="B7711" s="24" t="s">
        <v>9863</v>
      </c>
      <c r="C7711" s="25">
        <v>336081</v>
      </c>
      <c r="D7711" s="22" t="s">
        <v>9864</v>
      </c>
      <c r="E7711" s="22" t="s">
        <v>487</v>
      </c>
      <c r="F7711" s="23" t="str">
        <f>HYPERLINK("https://www.spark-marketing.ru/Card/Lot/70702995", "Поставка блок-контейнера и поста охраны")</f>
        <v>Поставка блок-контейнера и поста охраны</v>
      </c>
      <c r="G7711" s="22" t="s">
        <v>55</v>
      </c>
      <c r="H7711" s="22" t="s">
        <v>55</v>
      </c>
      <c r="I7711" s="26">
        <v>43608.642361111102</v>
      </c>
      <c r="J7711" s="23" t="str">
        <f>HYPERLINK("https://www.spark-marketing.ru/Card/Person/2165804", "ООО ""НЗБК""")</f>
        <v>ООО "НЗБК"</v>
      </c>
      <c r="K7711" s="24" t="s">
        <v>7578</v>
      </c>
      <c r="L7711" s="28" t="s">
        <v>52</v>
      </c>
      <c r="M7711" s="25">
        <v>270545.01</v>
      </c>
      <c r="N7711" s="27">
        <v>0.19500058021726904</v>
      </c>
    </row>
    <row r="7712" spans="1:14" x14ac:dyDescent="0.15">
      <c r="A7712" s="23" t="str">
        <f>HYPERLINK("https://www.spark-marketing.ru/Card/Person/64661", "ФГУП ""РАДОН""")</f>
        <v>ФГУП "РАДОН"</v>
      </c>
      <c r="B7712" s="24" t="s">
        <v>9867</v>
      </c>
      <c r="C7712" s="28" t="s">
        <v>52</v>
      </c>
      <c r="D7712" s="22" t="s">
        <v>9868</v>
      </c>
      <c r="E7712" s="22" t="s">
        <v>194</v>
      </c>
      <c r="F7712" s="23" t="str">
        <f>HYPERLINK("https://www.spark-marketing.ru/Card/Lot/70701869", "Поставка комплекса системы оптико-электронного наблюдения (для установки на объекте ФГУП ""РАДОН"", г. Москва, улица Старые Кузьминки)")</f>
        <v>Поставка комплекса системы оптико-электронного наблюдения (для установки на объекте ФГУП "РАДОН", г. Москва, улица Старые Кузьминки)</v>
      </c>
      <c r="G7712" s="22" t="s">
        <v>55</v>
      </c>
      <c r="H7712" s="22" t="s">
        <v>55</v>
      </c>
      <c r="I7712" s="26">
        <v>43608.658460648097</v>
      </c>
      <c r="J7712" s="28" t="s">
        <v>52</v>
      </c>
      <c r="K7712" s="28" t="s">
        <v>52</v>
      </c>
      <c r="L7712" s="28" t="s">
        <v>52</v>
      </c>
      <c r="M7712" s="28" t="s">
        <v>52</v>
      </c>
      <c r="N7712" s="28" t="s">
        <v>52</v>
      </c>
    </row>
    <row r="7713" spans="1:14" x14ac:dyDescent="0.2">
      <c r="A7713" s="23" t="str">
        <f>HYPERLINK("https://www.spark-marketing.ru/Card/Person/47698", "АО ""АЭРОВОКЗАЛ ЮЖНО-САХАЛИНСК""")</f>
        <v>АО "АЭРОВОКЗАЛ ЮЖНО-САХАЛИНСК"</v>
      </c>
      <c r="B7713" s="24" t="s">
        <v>9861</v>
      </c>
      <c r="C7713" s="25">
        <v>1596000</v>
      </c>
      <c r="D7713" s="22" t="s">
        <v>9862</v>
      </c>
      <c r="E7713" s="22" t="s">
        <v>854</v>
      </c>
      <c r="F7713" s="23" t="str">
        <f>HYPERLINK("https://www.spark-marketing.ru/Card/Lot/70687365", "Выполнение комплекса работ по геотехническому мониторингу строительных конструкций на этапе строительства объекта «Строительство нового аэровокзального комплекса в аэропорту Южно-Сахалинск»")</f>
        <v>Выполнение комплекса работ по геотехническому мониторингу строительных конструкций на этапе строительства объекта «Строительство нового аэровокзального комплекса в аэропорту Южно-Сахалинск»</v>
      </c>
      <c r="G7713" s="22" t="s">
        <v>69</v>
      </c>
      <c r="H7713" s="22" t="s">
        <v>69</v>
      </c>
      <c r="I7713" s="26">
        <v>43608.630937499998</v>
      </c>
      <c r="J7713" s="28" t="s">
        <v>52</v>
      </c>
      <c r="K7713" s="28" t="s">
        <v>52</v>
      </c>
      <c r="L7713" s="28" t="s">
        <v>52</v>
      </c>
      <c r="M7713" s="25">
        <v>1596000</v>
      </c>
      <c r="N7713" s="27">
        <v>0</v>
      </c>
    </row>
    <row r="7714" spans="1:14" x14ac:dyDescent="0.15">
      <c r="A7714" s="23" t="str">
        <f>HYPERLINK("https://www.spark-marketing.ru/Card/Person/47698", "АО ""АЭРОВОКЗАЛ ЮЖНО-САХАЛИНСК""")</f>
        <v>АО "АЭРОВОКЗАЛ ЮЖНО-САХАЛИНСК"</v>
      </c>
      <c r="B7714" s="24" t="s">
        <v>9861</v>
      </c>
      <c r="C7714" s="25">
        <v>1596000</v>
      </c>
      <c r="D7714" s="22" t="s">
        <v>9869</v>
      </c>
      <c r="E7714" s="22" t="s">
        <v>854</v>
      </c>
      <c r="F7714" s="23" t="str">
        <f>HYPERLINK("https://www.spark-marketing.ru/Card/Lot/70686489", "Выполнение комплекса работ по геотехническому мониторингу строительных конструкций на этапе строительства объекта «Строительство нового аэровокзального комплекса в аэропорту Южно-Сахалинск»")</f>
        <v>Выполнение комплекса работ по геотехническому мониторингу строительных конструкций на этапе строительства объекта «Строительство нового аэровокзального комплекса в аэропорту Южно-Сахалинск»</v>
      </c>
      <c r="G7714" s="22" t="s">
        <v>69</v>
      </c>
      <c r="H7714" s="22" t="s">
        <v>69</v>
      </c>
      <c r="I7714" s="26">
        <v>43608.619502314803</v>
      </c>
      <c r="J7714" s="28" t="s">
        <v>52</v>
      </c>
      <c r="K7714" s="28" t="s">
        <v>52</v>
      </c>
      <c r="L7714" s="28" t="s">
        <v>52</v>
      </c>
      <c r="M7714" s="28" t="s">
        <v>52</v>
      </c>
      <c r="N7714" s="28" t="s">
        <v>52</v>
      </c>
    </row>
    <row r="7715" spans="1:14" x14ac:dyDescent="0.15">
      <c r="A7715" s="23" t="str">
        <f>HYPERLINK("https://www.spark-marketing.ru/Card/Person/4348663", "ООО ""АТЭС""")</f>
        <v>ООО "АТЭС"</v>
      </c>
      <c r="B7715" s="24" t="s">
        <v>9870</v>
      </c>
      <c r="C7715" s="25">
        <v>1250000</v>
      </c>
      <c r="D7715" s="22" t="s">
        <v>9871</v>
      </c>
      <c r="E7715" s="22" t="s">
        <v>53</v>
      </c>
      <c r="F7715" s="23" t="str">
        <f>HYPERLINK("https://www.spark-marketing.ru/Card/Lot/70705414", "Право заключения договора на оказание услуг по охране объектов для нужд Нововоронежского филиала ООО «АтомТеплоЭлектроСеть»")</f>
        <v>Право заключения договора на оказание услуг по охране объектов для нужд Нововоронежского филиала ООО «АтомТеплоЭлектроСеть»</v>
      </c>
      <c r="G7715" s="22" t="s">
        <v>55</v>
      </c>
      <c r="H7715" s="22" t="s">
        <v>55</v>
      </c>
      <c r="I7715" s="26">
        <v>43608.593287037002</v>
      </c>
      <c r="J7715" s="28" t="s">
        <v>52</v>
      </c>
      <c r="K7715" s="28" t="s">
        <v>52</v>
      </c>
      <c r="L7715" s="28" t="s">
        <v>52</v>
      </c>
      <c r="M7715" s="28" t="s">
        <v>52</v>
      </c>
      <c r="N7715" s="28" t="s">
        <v>52</v>
      </c>
    </row>
    <row r="7716" spans="1:14" x14ac:dyDescent="0.15">
      <c r="A7716" s="23" t="str">
        <f>HYPERLINK("https://www.spark-marketing.ru/Card/Person/9519", "ГБУ РС (Я) ""МЕГИНО-КАНГАЛАССКАЯ ЦРБ""")</f>
        <v>ГБУ РС (Я) "МЕГИНО-КАНГАЛАССКАЯ ЦРБ"</v>
      </c>
      <c r="B7716" s="24" t="s">
        <v>9872</v>
      </c>
      <c r="C7716" s="25">
        <v>1516689.96</v>
      </c>
      <c r="D7716" s="22" t="s">
        <v>9873</v>
      </c>
      <c r="E7716" s="22" t="s">
        <v>68</v>
      </c>
      <c r="F7716" s="23" t="str">
        <f>HYPERLINK("https://www.spark-marketing.ru/Card/Lot/70688696", "оказание услуг на централизованную пультовую охрану с помощью КЭВП и ПЦО для объектов ГБУ РС (Я) «Мегино-Кангаласская ЦРБ»")</f>
        <v>оказание услуг на централизованную пультовую охрану с помощью КЭВП и ПЦО для объектов ГБУ РС (Я) «Мегино-Кангаласская ЦРБ»</v>
      </c>
      <c r="G7716" s="22" t="s">
        <v>424</v>
      </c>
      <c r="H7716" s="22" t="s">
        <v>9874</v>
      </c>
      <c r="I7716" s="26">
        <v>43608.6159722222</v>
      </c>
      <c r="J7716" s="23" t="str">
        <f>HYPERLINK("https://www.spark-marketing.ru/Card/Person/37467", "ФГКУ ""УВО ВНГ РОССИИ ПО РЕСПУБЛИКЕ САХА (ЯКУТИЯ)""")</f>
        <v>ФГКУ "УВО ВНГ РОССИИ ПО РЕСПУБЛИКЕ САХА (ЯКУТИЯ)"</v>
      </c>
      <c r="K7716" s="24" t="s">
        <v>5272</v>
      </c>
      <c r="L7716" s="22" t="s">
        <v>10</v>
      </c>
      <c r="M7716" s="28" t="s">
        <v>52</v>
      </c>
      <c r="N7716" s="28" t="s">
        <v>52</v>
      </c>
    </row>
    <row r="7717" spans="1:14" x14ac:dyDescent="0.15">
      <c r="A7717" s="23" t="str">
        <f>HYPERLINK("https://www.spark-marketing.ru/Card/Person/47698", "АО ""АЭРОВОКЗАЛ ЮЖНО-САХАЛИНСК""")</f>
        <v>АО "АЭРОВОКЗАЛ ЮЖНО-САХАЛИНСК"</v>
      </c>
      <c r="B7717" s="24" t="s">
        <v>9861</v>
      </c>
      <c r="C7717" s="25">
        <v>1506000</v>
      </c>
      <c r="D7717" s="22" t="s">
        <v>9869</v>
      </c>
      <c r="E7717" s="22" t="s">
        <v>2577</v>
      </c>
      <c r="F7717" s="23" t="str">
        <f>HYPERLINK("https://www.spark-marketing.ru/Card/Lot/70686490", "Оказание услуг по организации технологических процессов обеспечения транспортной безопасности в ходе строительства объекта транспортной инфраструктуры воздушного транспорта")</f>
        <v>Оказание услуг по организации технологических процессов обеспечения транспортной безопасности в ходе строительства объекта транспортной инфраструктуры воздушного транспорта</v>
      </c>
      <c r="G7717" s="22" t="s">
        <v>69</v>
      </c>
      <c r="H7717" s="22" t="s">
        <v>69</v>
      </c>
      <c r="I7717" s="26">
        <v>43608.619502314803</v>
      </c>
      <c r="J7717" s="28" t="s">
        <v>52</v>
      </c>
      <c r="K7717" s="28" t="s">
        <v>52</v>
      </c>
      <c r="L7717" s="28" t="s">
        <v>52</v>
      </c>
      <c r="M7717" s="28" t="s">
        <v>52</v>
      </c>
      <c r="N7717" s="28" t="s">
        <v>52</v>
      </c>
    </row>
    <row r="7718" spans="1:14" x14ac:dyDescent="0.15">
      <c r="A7718" s="23" t="str">
        <f>HYPERLINK("https://www.spark-marketing.ru/Card/Person/1661477", "ПАО ""ДЕТСКИЙ МИР""")</f>
        <v>ПАО "ДЕТСКИЙ МИР"</v>
      </c>
      <c r="B7718" s="24" t="s">
        <v>667</v>
      </c>
      <c r="C7718" s="28" t="s">
        <v>52</v>
      </c>
      <c r="D7718" s="22" t="s">
        <v>9875</v>
      </c>
      <c r="E7718" s="22" t="s">
        <v>53</v>
      </c>
      <c r="F7718" s="23" t="str">
        <f>HYPERLINK("https://www.spark-marketing.ru/Card/Lot/70716753", "Лот №2 - Физическая охрана в г. Томск, г. Северск")</f>
        <v>Лот №2 - Физическая охрана в г. Томск, г. Северск</v>
      </c>
      <c r="G7718" s="22" t="s">
        <v>209</v>
      </c>
      <c r="H7718" s="22" t="s">
        <v>209</v>
      </c>
      <c r="I7718" s="26">
        <v>43608.609722222202</v>
      </c>
      <c r="J7718" s="28" t="s">
        <v>52</v>
      </c>
      <c r="K7718" s="28" t="s">
        <v>52</v>
      </c>
      <c r="L7718" s="28" t="s">
        <v>52</v>
      </c>
      <c r="M7718" s="28" t="s">
        <v>52</v>
      </c>
      <c r="N7718" s="28" t="s">
        <v>52</v>
      </c>
    </row>
    <row r="7719" spans="1:14" x14ac:dyDescent="0.15">
      <c r="A7719" s="23" t="str">
        <f>HYPERLINK("https://www.spark-marketing.ru/Card/Person/1661477", "ПАО ""ДЕТСКИЙ МИР""")</f>
        <v>ПАО "ДЕТСКИЙ МИР"</v>
      </c>
      <c r="B7719" s="24" t="s">
        <v>667</v>
      </c>
      <c r="C7719" s="28" t="s">
        <v>52</v>
      </c>
      <c r="D7719" s="22" t="s">
        <v>9876</v>
      </c>
      <c r="E7719" s="22" t="s">
        <v>53</v>
      </c>
      <c r="F7719" s="23" t="str">
        <f>HYPERLINK("https://www.spark-marketing.ru/Card/Lot/70716751", "Оказание услуг по физической охране объектов ПАО «Детский мир» РО Северо-Запад г. Ярославль, г. Вологда, г. Череповец сроком на 1 (Один) год.")</f>
        <v>Оказание услуг по физической охране объектов ПАО «Детский мир» РО Северо-Запад г. Ярославль, г. Вологда, г. Череповец сроком на 1 (Один) год.</v>
      </c>
      <c r="G7719" s="22" t="s">
        <v>155</v>
      </c>
      <c r="H7719" s="22" t="s">
        <v>155</v>
      </c>
      <c r="I7719" s="26">
        <v>43608.605555555601</v>
      </c>
      <c r="J7719" s="28" t="s">
        <v>52</v>
      </c>
      <c r="K7719" s="28" t="s">
        <v>52</v>
      </c>
      <c r="L7719" s="28" t="s">
        <v>52</v>
      </c>
      <c r="M7719" s="28" t="s">
        <v>52</v>
      </c>
      <c r="N7719" s="28" t="s">
        <v>52</v>
      </c>
    </row>
    <row r="7720" spans="1:14" x14ac:dyDescent="0.15">
      <c r="A7720" s="23" t="str">
        <f>HYPERLINK("https://www.spark-marketing.ru/Card/Person/6514854", "СЕВЕРГАЗТОРГ")</f>
        <v>СЕВЕРГАЗТОРГ</v>
      </c>
      <c r="B7720" s="28" t="s">
        <v>52</v>
      </c>
      <c r="C7720" s="25">
        <v>90000</v>
      </c>
      <c r="D7720" s="22" t="s">
        <v>9877</v>
      </c>
      <c r="E7720" s="22" t="s">
        <v>53</v>
      </c>
      <c r="F7720" s="23" t="str">
        <f>HYPERLINK("https://www.spark-marketing.ru/Card/Lot/70927476", "Оказание услуг по охране объектов с помощью пульта централизованного наблюдения для нужд ооо ""севергазторг""")</f>
        <v>Оказание услуг по охране объектов с помощью пульта централизованного наблюдения для нужд ооо "севергазторг"</v>
      </c>
      <c r="G7720" s="22" t="s">
        <v>52</v>
      </c>
      <c r="H7720" s="22" t="s">
        <v>52</v>
      </c>
      <c r="I7720" s="26">
        <v>43608.587500000001</v>
      </c>
      <c r="J7720" s="28" t="s">
        <v>52</v>
      </c>
      <c r="K7720" s="28" t="s">
        <v>52</v>
      </c>
      <c r="L7720" s="28" t="s">
        <v>52</v>
      </c>
      <c r="M7720" s="28" t="s">
        <v>52</v>
      </c>
      <c r="N7720" s="28" t="s">
        <v>52</v>
      </c>
    </row>
    <row r="7721" spans="1:14" x14ac:dyDescent="0.15">
      <c r="A7721" s="23" t="str">
        <f>HYPERLINK("https://www.spark-marketing.ru/Card/Person/4348809", "ГУП ""МОСВОДОСТОК""")</f>
        <v>ГУП "МОСВОДОСТОК"</v>
      </c>
      <c r="B7721" s="24" t="s">
        <v>9540</v>
      </c>
      <c r="C7721" s="25">
        <v>2501840.29</v>
      </c>
      <c r="D7721" s="22" t="s">
        <v>9878</v>
      </c>
      <c r="E7721" s="22" t="s">
        <v>9879</v>
      </c>
      <c r="F7721" s="23" t="str">
        <f>HYPERLINK("https://www.spark-marketing.ru/Card/Lot/70700462", "Выполнение работ по формированию экосистемы пруда на объекте: «Выполнение работ по охране водного объекта «пруд Генерала Антонова», расположенного по адресу: г. Москва, ЮЗАО, ул. Генерала Антонова, д.8»")</f>
        <v>Выполнение работ по формированию экосистемы пруда на объекте: «Выполнение работ по охране водного объекта «пруд Генерала Антонова», расположенного по адресу: г. Москва, ЮЗАО, ул. Генерала Антонова, д.8»</v>
      </c>
      <c r="G7721" s="22" t="s">
        <v>55</v>
      </c>
      <c r="H7721" s="22" t="s">
        <v>55</v>
      </c>
      <c r="I7721" s="26">
        <v>43608.612442129597</v>
      </c>
      <c r="J7721" s="23" t="str">
        <f>HYPERLINK("https://www.spark-marketing.ru/Card/Person/-1", "неизвестно")</f>
        <v>неизвестно</v>
      </c>
      <c r="K7721" s="28" t="s">
        <v>52</v>
      </c>
      <c r="L7721" s="28" t="s">
        <v>52</v>
      </c>
      <c r="M7721" s="28" t="s">
        <v>52</v>
      </c>
      <c r="N7721" s="28" t="s">
        <v>52</v>
      </c>
    </row>
    <row r="7722" spans="1:14" hidden="1" outlineLevel="1" x14ac:dyDescent="0.2">
      <c r="A7722" s="23" t="str">
        <f>HYPERLINK("https://www.spark-marketing.ru/Card/Person/4348809", "ГУП ""МОСВОДОСТОК""")</f>
        <v>ГУП "МОСВОДОСТОК"</v>
      </c>
      <c r="B7722" s="24" t="s">
        <v>9540</v>
      </c>
      <c r="C7722" s="28" t="s">
        <v>52</v>
      </c>
      <c r="D7722" s="22" t="s">
        <v>9878</v>
      </c>
      <c r="E7722" s="22" t="s">
        <v>9879</v>
      </c>
      <c r="F7722" s="23" t="str">
        <f>HYPERLINK("https://www.spark-marketing.ru/Card/Lot/70700462", "Выполнение работ по формированию экосистемы пруда на объекте: «Выполнение работ по охране водного объекта «пруд Генерала Антонова», расположенного по адресу: г. Москва, ЮЗАО, ул. Генерала Антонова, д.8»")</f>
        <v>Выполнение работ по формированию экосистемы пруда на объекте: «Выполнение работ по охране водного объекта «пруд Генерала Антонова», расположенного по адресу: г. Москва, ЮЗАО, ул. Генерала Антонова, д.8»</v>
      </c>
      <c r="G7722" s="22" t="s">
        <v>55</v>
      </c>
      <c r="H7722" s="22" t="s">
        <v>55</v>
      </c>
      <c r="I7722" s="26">
        <v>43608.612442129597</v>
      </c>
      <c r="J7722" s="23" t="str">
        <f>HYPERLINK("https://www.spark-marketing.ru/Card/Person/-1", "неизвестно")</f>
        <v>неизвестно</v>
      </c>
      <c r="K7722" s="28" t="s">
        <v>52</v>
      </c>
      <c r="L7722" s="22" t="s">
        <v>10</v>
      </c>
      <c r="M7722" s="25">
        <v>2489331.08</v>
      </c>
      <c r="N7722" s="27">
        <v>5.0000034174843347E-3</v>
      </c>
    </row>
    <row r="7723" spans="1:14" x14ac:dyDescent="0.15">
      <c r="A7723" s="23" t="str">
        <f>HYPERLINK("https://www.spark-marketing.ru/Card/Person/1661477", "ПАО ""ДЕТСКИЙ МИР""")</f>
        <v>ПАО "ДЕТСКИЙ МИР"</v>
      </c>
      <c r="B7723" s="24" t="s">
        <v>667</v>
      </c>
      <c r="C7723" s="28" t="s">
        <v>52</v>
      </c>
      <c r="D7723" s="22" t="s">
        <v>9875</v>
      </c>
      <c r="E7723" s="22" t="s">
        <v>53</v>
      </c>
      <c r="F7723" s="23" t="str">
        <f>HYPERLINK("https://www.spark-marketing.ru/Card/Lot/70716752", "Лот №1 - Физическая охрана в г. Новосибирск")</f>
        <v>Лот №1 - Физическая охрана в г. Новосибирск</v>
      </c>
      <c r="G7723" s="22" t="s">
        <v>209</v>
      </c>
      <c r="H7723" s="22" t="s">
        <v>209</v>
      </c>
      <c r="I7723" s="26">
        <v>43608.609722222202</v>
      </c>
      <c r="J7723" s="28" t="s">
        <v>52</v>
      </c>
      <c r="K7723" s="28" t="s">
        <v>52</v>
      </c>
      <c r="L7723" s="28" t="s">
        <v>52</v>
      </c>
      <c r="M7723" s="28" t="s">
        <v>52</v>
      </c>
      <c r="N7723" s="28" t="s">
        <v>52</v>
      </c>
    </row>
    <row r="7724" spans="1:14" x14ac:dyDescent="0.15">
      <c r="A7724" s="23" t="str">
        <f>HYPERLINK("https://www.spark-marketing.ru/Card/Person/1661477", "ПАО ""ДЕТСКИЙ МИР""")</f>
        <v>ПАО "ДЕТСКИЙ МИР"</v>
      </c>
      <c r="B7724" s="24" t="s">
        <v>667</v>
      </c>
      <c r="C7724" s="28" t="s">
        <v>52</v>
      </c>
      <c r="D7724" s="22" t="s">
        <v>9875</v>
      </c>
      <c r="E7724" s="22" t="s">
        <v>53</v>
      </c>
      <c r="F7724" s="23" t="str">
        <f>HYPERLINK("https://www.spark-marketing.ru/Card/Lot/70716754", "Лот №3 - Физическая охрана в г. Иркутск, Братск, Ангарск, Улан-Удэ")</f>
        <v>Лот №3 - Физическая охрана в г. Иркутск, Братск, Ангарск, Улан-Удэ</v>
      </c>
      <c r="G7724" s="22" t="s">
        <v>209</v>
      </c>
      <c r="H7724" s="22" t="s">
        <v>209</v>
      </c>
      <c r="I7724" s="26">
        <v>43608.609722222202</v>
      </c>
      <c r="J7724" s="28" t="s">
        <v>52</v>
      </c>
      <c r="K7724" s="28" t="s">
        <v>52</v>
      </c>
      <c r="L7724" s="28" t="s">
        <v>52</v>
      </c>
      <c r="M7724" s="28" t="s">
        <v>52</v>
      </c>
      <c r="N7724" s="28" t="s">
        <v>52</v>
      </c>
    </row>
    <row r="7725" spans="1:14" x14ac:dyDescent="0.15">
      <c r="A7725" s="23" t="str">
        <f>HYPERLINK("https://www.spark-marketing.ru/Card/Person/1445780", "АО ""ТМТП""")</f>
        <v>АО "ТМТП"</v>
      </c>
      <c r="B7725" s="24" t="s">
        <v>9880</v>
      </c>
      <c r="C7725" s="25">
        <v>151200000</v>
      </c>
      <c r="D7725" s="22" t="s">
        <v>9881</v>
      </c>
      <c r="E7725" s="22" t="s">
        <v>3442</v>
      </c>
      <c r="F7725" s="23" t="str">
        <f>HYPERLINK("https://www.spark-marketing.ru/Card/Lot/70698649", "оказание услуг по защите объекта транспортной инфраструктуры «Универсальный перегрузочный комплекс АО «Таганрогский морской торговый порт» от актов незаконного вмешательства единственным поставщиком")</f>
        <v>оказание услуг по защите объекта транспортной инфраструктуры «Универсальный перегрузочный комплекс АО «Таганрогский морской торговый порт» от актов незаконного вмешательства единственным поставщиком</v>
      </c>
      <c r="G7725" s="22" t="s">
        <v>402</v>
      </c>
      <c r="H7725" s="22" t="s">
        <v>402</v>
      </c>
      <c r="I7725" s="26">
        <v>43608.557685185202</v>
      </c>
      <c r="J7725" s="28" t="s">
        <v>52</v>
      </c>
      <c r="K7725" s="28" t="s">
        <v>52</v>
      </c>
      <c r="L7725" s="28" t="s">
        <v>52</v>
      </c>
      <c r="M7725" s="28" t="s">
        <v>52</v>
      </c>
      <c r="N7725" s="28" t="s">
        <v>52</v>
      </c>
    </row>
    <row r="7726" spans="1:14" x14ac:dyDescent="0.15">
      <c r="A7726" s="23" t="str">
        <f>HYPERLINK("https://www.spark-marketing.ru/Card/Person/28728", "ГКУ ""ЦБДД ПЕРМСКОГО КРАЯ""")</f>
        <v>ГКУ "ЦБДД ПЕРМСКОГО КРАЯ"</v>
      </c>
      <c r="B7726" s="24" t="s">
        <v>9882</v>
      </c>
      <c r="C7726" s="25">
        <v>9678400</v>
      </c>
      <c r="D7726" s="22" t="s">
        <v>9883</v>
      </c>
      <c r="E7726" s="22" t="s">
        <v>107</v>
      </c>
      <c r="F7726" s="23" t="str">
        <f>HYPERLINK("https://www.spark-marketing.ru/Card/Lot/70696160", "Оказание услуг по обслуживанию стационарных технических средств автоматической фотовидеофиксации")</f>
        <v>Оказание услуг по обслуживанию стационарных технических средств автоматической фотовидеофиксации</v>
      </c>
      <c r="G7726" s="22" t="s">
        <v>391</v>
      </c>
      <c r="H7726" s="22" t="s">
        <v>391</v>
      </c>
      <c r="I7726" s="26">
        <v>43608.582638888904</v>
      </c>
      <c r="J7726" s="28" t="s">
        <v>52</v>
      </c>
      <c r="K7726" s="28" t="s">
        <v>52</v>
      </c>
      <c r="L7726" s="28" t="s">
        <v>52</v>
      </c>
      <c r="M7726" s="28" t="s">
        <v>52</v>
      </c>
      <c r="N7726" s="28" t="s">
        <v>52</v>
      </c>
    </row>
    <row r="7727" spans="1:14" ht="12.75" hidden="1" outlineLevel="1" x14ac:dyDescent="0.2">
      <c r="A7727" s="23" t="str">
        <f>HYPERLINK("https://www.spark-marketing.ru/Card/Person/28728", "ГКУ ""ЦБДД ПЕРМСКОГО КРАЯ""")</f>
        <v>ГКУ "ЦБДД ПЕРМСКОГО КРАЯ"</v>
      </c>
      <c r="B7727" s="24" t="s">
        <v>9882</v>
      </c>
      <c r="C7727" s="25">
        <v>9678400</v>
      </c>
      <c r="D7727" s="22" t="s">
        <v>9883</v>
      </c>
      <c r="E7727" s="22" t="s">
        <v>107</v>
      </c>
      <c r="F7727" s="23" t="str">
        <f>HYPERLINK("https://www.spark-marketing.ru/Card/Lot/70696160", "Оказание услуг по обслуживанию стационарных технических средств автоматической фотовидеофиксации")</f>
        <v>Оказание услуг по обслуживанию стационарных технических средств автоматической фотовидеофиксации</v>
      </c>
      <c r="G7727" s="22" t="s">
        <v>391</v>
      </c>
      <c r="H7727" s="22" t="s">
        <v>391</v>
      </c>
      <c r="I7727" s="26">
        <v>43608.582638888904</v>
      </c>
      <c r="J7727" s="23" t="str">
        <f>HYPERLINK("https://www.spark-marketing.ru/Card/Person/509696", "ООО ""ТБДД""")</f>
        <v>ООО "ТБДД"</v>
      </c>
      <c r="K7727" s="24" t="s">
        <v>9884</v>
      </c>
      <c r="L7727" s="22" t="s">
        <v>10</v>
      </c>
      <c r="M7727" s="25">
        <v>9630008</v>
      </c>
      <c r="N7727" s="27">
        <v>5.0000000000000001E-3</v>
      </c>
    </row>
    <row r="7728" spans="1:14" hidden="1" outlineLevel="1" x14ac:dyDescent="0.2">
      <c r="A7728" s="23" t="str">
        <f>HYPERLINK("https://www.spark-marketing.ru/Card/Person/28728", "ГКУ ""ЦБДД ПЕРМСКОГО КРАЯ""")</f>
        <v>ГКУ "ЦБДД ПЕРМСКОГО КРАЯ"</v>
      </c>
      <c r="B7728" s="24" t="s">
        <v>9882</v>
      </c>
      <c r="C7728" s="25">
        <v>9678400</v>
      </c>
      <c r="D7728" s="22" t="s">
        <v>9883</v>
      </c>
      <c r="E7728" s="22" t="s">
        <v>107</v>
      </c>
      <c r="F7728" s="23" t="str">
        <f>HYPERLINK("https://www.spark-marketing.ru/Card/Lot/70696160", "Оказание услуг по обслуживанию стационарных технических средств автоматической фотовидеофиксации")</f>
        <v>Оказание услуг по обслуживанию стационарных технических средств автоматической фотовидеофиксации</v>
      </c>
      <c r="G7728" s="22" t="s">
        <v>391</v>
      </c>
      <c r="H7728" s="22" t="s">
        <v>391</v>
      </c>
      <c r="I7728" s="26">
        <v>43608.582638888904</v>
      </c>
      <c r="J7728" s="23" t="str">
        <f>HYPERLINK("https://www.spark-marketing.ru/Card/Person/4791890", "ООО ""СИТИПЛАН""")</f>
        <v>ООО "СИТИПЛАН"</v>
      </c>
      <c r="K7728" s="24" t="s">
        <v>9885</v>
      </c>
      <c r="L7728" s="28" t="s">
        <v>52</v>
      </c>
      <c r="M7728" s="25">
        <v>9630008</v>
      </c>
      <c r="N7728" s="27">
        <v>5.0000000000000001E-3</v>
      </c>
    </row>
    <row r="7729" spans="1:14" x14ac:dyDescent="0.15">
      <c r="A7729" s="23" t="str">
        <f>HYPERLINK("https://www.spark-marketing.ru/Card/Person/4365569", "ФГУП ""РОСМОРПОРТ""")</f>
        <v>ФГУП "РОСМОРПОРТ"</v>
      </c>
      <c r="B7729" s="24" t="s">
        <v>273</v>
      </c>
      <c r="C7729" s="25">
        <v>1775000</v>
      </c>
      <c r="D7729" s="22" t="s">
        <v>9886</v>
      </c>
      <c r="E7729" s="22" t="s">
        <v>2204</v>
      </c>
      <c r="F7729" s="23" t="str">
        <f>HYPERLINK("https://www.spark-marketing.ru/Card/Lot/70698973", "Выполнение работ по модернизации инженерно-технических систем обеспечения транспортной безопасности (замене оборудования систем видеонаблюдения) транспортных средств Азовского бассейнового филиала ФГУП «Росморпорт» (АБФ 105-19)")</f>
        <v>Выполнение работ по модернизации инженерно-технических систем обеспечения транспортной безопасности (замене оборудования систем видеонаблюдения) транспортных средств Азовского бассейнового филиала ФГУП «Росморпорт» (АБФ 105-19)</v>
      </c>
      <c r="G7729" s="22" t="s">
        <v>402</v>
      </c>
      <c r="H7729" s="22" t="s">
        <v>402</v>
      </c>
      <c r="I7729" s="26">
        <v>43608.579976851899</v>
      </c>
      <c r="J7729" s="28" t="s">
        <v>52</v>
      </c>
      <c r="K7729" s="28" t="s">
        <v>52</v>
      </c>
      <c r="L7729" s="28" t="s">
        <v>52</v>
      </c>
      <c r="M7729" s="28" t="s">
        <v>52</v>
      </c>
      <c r="N7729" s="28" t="s">
        <v>52</v>
      </c>
    </row>
    <row r="7730" spans="1:14" x14ac:dyDescent="0.15">
      <c r="A7730" s="23" t="str">
        <f>HYPERLINK("https://www.spark-marketing.ru/Card/Person/37261", "АДМИНИСТРАЦИЯ ЗЕЛЕНОГРАДСКОГО ГОРОДСКОГО ОКРУГА")</f>
        <v>АДМИНИСТРАЦИЯ ЗЕЛЕНОГРАДСКОГО ГОРОДСКОГО ОКРУГА</v>
      </c>
      <c r="B7730" s="24" t="s">
        <v>9887</v>
      </c>
      <c r="C7730" s="25">
        <v>2980000</v>
      </c>
      <c r="D7730" s="22" t="s">
        <v>9888</v>
      </c>
      <c r="E7730" s="22" t="s">
        <v>59</v>
      </c>
      <c r="F7730" s="23" t="str">
        <f>HYPERLINK("https://www.spark-marketing.ru/Card/Lot/70703418", "Оказание услуг по обслуживанию и текущему содержанию уличного освещения на территории МО ""Зеленоградский городской округ""")</f>
        <v>Оказание услуг по обслуживанию и текущему содержанию уличного освещения на территории МО "Зеленоградский городской округ"</v>
      </c>
      <c r="G7730" s="22" t="s">
        <v>247</v>
      </c>
      <c r="H7730" s="22" t="s">
        <v>2670</v>
      </c>
      <c r="I7730" s="26">
        <v>43608.536805555603</v>
      </c>
      <c r="J7730" s="28" t="s">
        <v>52</v>
      </c>
      <c r="K7730" s="28" t="s">
        <v>52</v>
      </c>
      <c r="L7730" s="28" t="s">
        <v>52</v>
      </c>
      <c r="M7730" s="28" t="s">
        <v>52</v>
      </c>
      <c r="N7730" s="28" t="s">
        <v>52</v>
      </c>
    </row>
    <row r="7731" spans="1:14" ht="12.75" hidden="1" outlineLevel="1" x14ac:dyDescent="0.2">
      <c r="A7731" s="23" t="str">
        <f>HYPERLINK("https://www.spark-marketing.ru/Card/Person/37261", "АДМИНИСТРАЦИЯ ЗЕЛЕНОГРАДСКОГО ГОРОДСКОГО ОКРУГА")</f>
        <v>АДМИНИСТРАЦИЯ ЗЕЛЕНОГРАДСКОГО ГОРОДСКОГО ОКРУГА</v>
      </c>
      <c r="B7731" s="24" t="s">
        <v>9887</v>
      </c>
      <c r="C7731" s="25">
        <v>2980000</v>
      </c>
      <c r="D7731" s="22" t="s">
        <v>9888</v>
      </c>
      <c r="E7731" s="22" t="s">
        <v>59</v>
      </c>
      <c r="F7731" s="23" t="str">
        <f>HYPERLINK("https://www.spark-marketing.ru/Card/Lot/70703418", "Оказание услуг по обслуживанию и текущему содержанию уличного освещения на территории МО ""Зеленоградский городской округ""")</f>
        <v>Оказание услуг по обслуживанию и текущему содержанию уличного освещения на территории МО "Зеленоградский городской округ"</v>
      </c>
      <c r="G7731" s="22" t="s">
        <v>247</v>
      </c>
      <c r="H7731" s="22" t="s">
        <v>2670</v>
      </c>
      <c r="I7731" s="26">
        <v>43608.536805555603</v>
      </c>
      <c r="J7731" s="23" t="str">
        <f>HYPERLINK("https://www.spark-marketing.ru/Card/Person/139041", "ООО ""ЦКМ""")</f>
        <v>ООО "ЦКМ"</v>
      </c>
      <c r="K7731" s="24" t="s">
        <v>9889</v>
      </c>
      <c r="L7731" s="22" t="s">
        <v>10</v>
      </c>
      <c r="M7731" s="25">
        <v>847200</v>
      </c>
      <c r="N7731" s="27">
        <v>0.71570469798657721</v>
      </c>
    </row>
    <row r="7732" spans="1:14" hidden="1" outlineLevel="1" x14ac:dyDescent="0.2">
      <c r="A7732" s="23" t="str">
        <f>HYPERLINK("https://www.spark-marketing.ru/Card/Person/37261", "АДМИНИСТРАЦИЯ ЗЕЛЕНОГРАДСКОГО ГОРОДСКОГО ОКРУГА")</f>
        <v>АДМИНИСТРАЦИЯ ЗЕЛЕНОГРАДСКОГО ГОРОДСКОГО ОКРУГА</v>
      </c>
      <c r="B7732" s="24" t="s">
        <v>9887</v>
      </c>
      <c r="C7732" s="25">
        <v>2980000</v>
      </c>
      <c r="D7732" s="22" t="s">
        <v>9888</v>
      </c>
      <c r="E7732" s="22" t="s">
        <v>59</v>
      </c>
      <c r="F7732" s="23" t="str">
        <f>HYPERLINK("https://www.spark-marketing.ru/Card/Lot/70703418", "Оказание услуг по обслуживанию и текущему содержанию уличного освещения на территории МО ""Зеленоградский городской округ""")</f>
        <v>Оказание услуг по обслуживанию и текущему содержанию уличного освещения на территории МО "Зеленоградский городской округ"</v>
      </c>
      <c r="G7732" s="22" t="s">
        <v>247</v>
      </c>
      <c r="H7732" s="22" t="s">
        <v>2670</v>
      </c>
      <c r="I7732" s="26">
        <v>43608.536805555603</v>
      </c>
      <c r="J7732" s="23" t="str">
        <f>HYPERLINK("https://www.spark-marketing.ru/Card/Person/122769", "ООО ""ЭНЕРГОРЕСУРС""")</f>
        <v>ООО "ЭНЕРГОРЕСУРС"</v>
      </c>
      <c r="K7732" s="24" t="s">
        <v>9890</v>
      </c>
      <c r="L7732" s="28" t="s">
        <v>52</v>
      </c>
      <c r="M7732" s="25">
        <v>862100</v>
      </c>
      <c r="N7732" s="27">
        <v>0.71070469798657721</v>
      </c>
    </row>
    <row r="7733" spans="1:14" hidden="1" outlineLevel="1" x14ac:dyDescent="0.2">
      <c r="A7733" s="23" t="str">
        <f>HYPERLINK("https://www.spark-marketing.ru/Card/Person/37261", "АДМИНИСТРАЦИЯ ЗЕЛЕНОГРАДСКОГО ГОРОДСКОГО ОКРУГА")</f>
        <v>АДМИНИСТРАЦИЯ ЗЕЛЕНОГРАДСКОГО ГОРОДСКОГО ОКРУГА</v>
      </c>
      <c r="B7733" s="24" t="s">
        <v>9887</v>
      </c>
      <c r="C7733" s="25">
        <v>2980000</v>
      </c>
      <c r="D7733" s="22" t="s">
        <v>9888</v>
      </c>
      <c r="E7733" s="22" t="s">
        <v>59</v>
      </c>
      <c r="F7733" s="23" t="str">
        <f>HYPERLINK("https://www.spark-marketing.ru/Card/Lot/70703418", "Оказание услуг по обслуживанию и текущему содержанию уличного освещения на территории МО ""Зеленоградский городской округ""")</f>
        <v>Оказание услуг по обслуживанию и текущему содержанию уличного освещения на территории МО "Зеленоградский городской округ"</v>
      </c>
      <c r="G7733" s="22" t="s">
        <v>247</v>
      </c>
      <c r="H7733" s="22" t="s">
        <v>2670</v>
      </c>
      <c r="I7733" s="26">
        <v>43608.536805555603</v>
      </c>
      <c r="J7733" s="23" t="str">
        <f>HYPERLINK("https://www.spark-marketing.ru/Card/Person/5861447", "ООО ""ЛТЛАЙТ""")</f>
        <v>ООО "ЛТЛАЙТ"</v>
      </c>
      <c r="K7733" s="24" t="s">
        <v>9891</v>
      </c>
      <c r="L7733" s="28" t="s">
        <v>52</v>
      </c>
      <c r="M7733" s="25">
        <v>891900</v>
      </c>
      <c r="N7733" s="27">
        <v>0.7007046979865772</v>
      </c>
    </row>
    <row r="7734" spans="1:14" hidden="1" outlineLevel="1" x14ac:dyDescent="0.2">
      <c r="A7734" s="23" t="str">
        <f>HYPERLINK("https://www.spark-marketing.ru/Card/Person/37261", "АДМИНИСТРАЦИЯ ЗЕЛЕНОГРАДСКОГО ГОРОДСКОГО ОКРУГА")</f>
        <v>АДМИНИСТРАЦИЯ ЗЕЛЕНОГРАДСКОГО ГОРОДСКОГО ОКРУГА</v>
      </c>
      <c r="B7734" s="24" t="s">
        <v>9887</v>
      </c>
      <c r="C7734" s="25">
        <v>2980000</v>
      </c>
      <c r="D7734" s="22" t="s">
        <v>9888</v>
      </c>
      <c r="E7734" s="22" t="s">
        <v>59</v>
      </c>
      <c r="F7734" s="23" t="str">
        <f>HYPERLINK("https://www.spark-marketing.ru/Card/Lot/70703418", "Оказание услуг по обслуживанию и текущему содержанию уличного освещения на территории МО ""Зеленоградский городской округ""")</f>
        <v>Оказание услуг по обслуживанию и текущему содержанию уличного освещения на территории МО "Зеленоградский городской округ"</v>
      </c>
      <c r="G7734" s="22" t="s">
        <v>247</v>
      </c>
      <c r="H7734" s="22" t="s">
        <v>2670</v>
      </c>
      <c r="I7734" s="26">
        <v>43608.536805555603</v>
      </c>
      <c r="J7734" s="23" t="str">
        <f>HYPERLINK("https://www.spark-marketing.ru/Card/Person/582820", "ООО ""БЭК""")</f>
        <v>ООО "БЭК"</v>
      </c>
      <c r="K7734" s="24" t="s">
        <v>9892</v>
      </c>
      <c r="L7734" s="28" t="s">
        <v>52</v>
      </c>
      <c r="M7734" s="25">
        <v>2264800</v>
      </c>
      <c r="N7734" s="27">
        <v>0.24</v>
      </c>
    </row>
    <row r="7735" spans="1:14" x14ac:dyDescent="0.15">
      <c r="A7735" s="23" t="str">
        <f>HYPERLINK("https://www.spark-marketing.ru/Card/Person/4365758", "ООО ""ГАЗПРОМ ДОБЫЧА НАДЫМ""")</f>
        <v>ООО "ГАЗПРОМ ДОБЫЧА НАДЫМ"</v>
      </c>
      <c r="B7735" s="24" t="s">
        <v>9893</v>
      </c>
      <c r="C7735" s="25">
        <v>498892.32</v>
      </c>
      <c r="D7735" s="22" t="s">
        <v>9894</v>
      </c>
      <c r="E7735" s="22" t="s">
        <v>2577</v>
      </c>
      <c r="F7735" s="23" t="str">
        <f>HYPERLINK("https://www.spark-marketing.ru/Card/Lot/70689354", "Разработка планов обеспечения транспортной безопасности")</f>
        <v>Разработка планов обеспечения транспортной безопасности</v>
      </c>
      <c r="G7735" s="22" t="s">
        <v>311</v>
      </c>
      <c r="H7735" s="22" t="s">
        <v>9895</v>
      </c>
      <c r="I7735" s="26">
        <v>43608.505393518499</v>
      </c>
      <c r="J7735" s="23" t="str">
        <f>HYPERLINK("https://www.spark-marketing.ru/Card/Person/1724492", "НЕ ПРЕДУСМОТРЕНО")</f>
        <v>НЕ ПРЕДУСМОТРЕНО</v>
      </c>
      <c r="K7735" s="28" t="s">
        <v>52</v>
      </c>
      <c r="L7735" s="28" t="s">
        <v>52</v>
      </c>
      <c r="M7735" s="28" t="s">
        <v>52</v>
      </c>
      <c r="N7735" s="28" t="s">
        <v>52</v>
      </c>
    </row>
    <row r="7736" spans="1:14" x14ac:dyDescent="0.15">
      <c r="A7736" s="23" t="str">
        <f>HYPERLINK("https://www.spark-marketing.ru/Card/Person/77706", "АО ""ПОЧТА РОССИИ""")</f>
        <v>АО "ПОЧТА РОССИИ"</v>
      </c>
      <c r="B7736" s="24" t="s">
        <v>1230</v>
      </c>
      <c r="C7736" s="25">
        <v>4998214.53</v>
      </c>
      <c r="D7736" s="22" t="s">
        <v>9896</v>
      </c>
      <c r="E7736" s="22" t="s">
        <v>9897</v>
      </c>
      <c r="F7736" s="23" t="str">
        <f>HYPERLINK("https://www.spark-marketing.ru/Card/Lot/70697082", "Оказание услуг по перемещению и предоставлению на досмотр, в целях обеспечения авиационной и транспортной безопасности, почтовых отправлений на Грузовом терминале Пулково для нужд УФПС Санкт-Петербурга и Ленинградской области - филиала ФГУП «Почта Ро...")</f>
        <v>Оказание услуг по перемещению и предоставлению на досмотр, в целях обеспечения авиационной и транспортной безопасности, почтовых отправлений на Грузовом терминале Пулково для нужд УФПС Санкт-Петербурга и Ленинградской области - филиала ФГУП «Почта Ро...</v>
      </c>
      <c r="G7736" s="22" t="s">
        <v>55</v>
      </c>
      <c r="H7736" s="22" t="s">
        <v>55</v>
      </c>
      <c r="I7736" s="26">
        <v>43608.530405092599</v>
      </c>
      <c r="J7736" s="28" t="s">
        <v>52</v>
      </c>
      <c r="K7736" s="28" t="s">
        <v>52</v>
      </c>
      <c r="L7736" s="28" t="s">
        <v>52</v>
      </c>
      <c r="M7736" s="28" t="s">
        <v>52</v>
      </c>
      <c r="N7736" s="28" t="s">
        <v>52</v>
      </c>
    </row>
    <row r="7737" spans="1:14" x14ac:dyDescent="0.2">
      <c r="A7737" s="23" t="str">
        <f>HYPERLINK("https://www.spark-marketing.ru/Card/Person/107173", "ФГУП ""УВО МИНТРАНСА РОССИИ""")</f>
        <v>ФГУП "УВО МИНТРАНСА РОССИИ"</v>
      </c>
      <c r="B7737" s="24" t="s">
        <v>1472</v>
      </c>
      <c r="C7737" s="25">
        <v>23410112.719999999</v>
      </c>
      <c r="D7737" s="22" t="s">
        <v>9898</v>
      </c>
      <c r="E7737" s="22" t="s">
        <v>9899</v>
      </c>
      <c r="F7737" s="23" t="str">
        <f>HYPERLINK("https://www.spark-marketing.ru/Card/Lot/70694438", "Выполнение комплекса строительно-монтажных работ на объекте: ""Технические средства обеспечения транспортной безопасности при строительстве железнодорожных подходов к транспортному переходу через Керченский пролив. Этап 2: Строительство соответствующ...")</f>
        <v>Выполнение комплекса строительно-монтажных работ на объекте: "Технические средства обеспечения транспортной безопасности при строительстве железнодорожных подходов к транспортному переходу через Керченский пролив. Этап 2: Строительство соответствующ...</v>
      </c>
      <c r="G7737" s="22" t="s">
        <v>1053</v>
      </c>
      <c r="H7737" s="22" t="s">
        <v>1053</v>
      </c>
      <c r="I7737" s="26">
        <v>43608.504652777803</v>
      </c>
      <c r="J7737" s="28" t="s">
        <v>52</v>
      </c>
      <c r="K7737" s="28" t="s">
        <v>52</v>
      </c>
      <c r="L7737" s="28" t="s">
        <v>52</v>
      </c>
      <c r="M7737" s="25">
        <v>23410000.010000002</v>
      </c>
      <c r="N7737" s="27">
        <v>4.8145859589863603E-6</v>
      </c>
    </row>
    <row r="7738" spans="1:14" x14ac:dyDescent="0.15">
      <c r="A7738" s="23" t="str">
        <f>HYPERLINK("https://www.spark-marketing.ru/Card/Person/563368", "АО ""ВНИИХТ""")</f>
        <v>АО "ВНИИХТ"</v>
      </c>
      <c r="B7738" s="24" t="s">
        <v>9900</v>
      </c>
      <c r="C7738" s="25">
        <v>11087898</v>
      </c>
      <c r="D7738" s="22" t="s">
        <v>9901</v>
      </c>
      <c r="E7738" s="22" t="s">
        <v>3442</v>
      </c>
      <c r="F7738" s="23" t="str">
        <f>HYPERLINK("https://www.spark-marketing.ru/Card/Lot/70712699", "Охрана объектов АО ""ВНИИХТ"" АО ""Атом-охрана""")</f>
        <v>Охрана объектов АО "ВНИИХТ" АО "Атом-охрана"</v>
      </c>
      <c r="G7738" s="22" t="s">
        <v>55</v>
      </c>
      <c r="H7738" s="22" t="s">
        <v>55</v>
      </c>
      <c r="I7738" s="26">
        <v>43608.511886574102</v>
      </c>
      <c r="J7738" s="28" t="s">
        <v>52</v>
      </c>
      <c r="K7738" s="28" t="s">
        <v>52</v>
      </c>
      <c r="L7738" s="28" t="s">
        <v>52</v>
      </c>
      <c r="M7738" s="28" t="s">
        <v>52</v>
      </c>
      <c r="N7738" s="28" t="s">
        <v>52</v>
      </c>
    </row>
    <row r="7739" spans="1:14" x14ac:dyDescent="0.15">
      <c r="A7739" s="23" t="str">
        <f>HYPERLINK("https://www.spark-marketing.ru/Card/Person/16719", "АДМИНИСТРАЦИЯ ПЛЕССКОГО ГОРОДСКОГО ПОСЕЛЕНИЯ")</f>
        <v>АДМИНИСТРАЦИЯ ПЛЕССКОГО ГОРОДСКОГО ПОСЕЛЕНИЯ</v>
      </c>
      <c r="B7739" s="24" t="s">
        <v>9902</v>
      </c>
      <c r="C7739" s="25">
        <v>54000</v>
      </c>
      <c r="D7739" s="22" t="s">
        <v>9903</v>
      </c>
      <c r="E7739" s="22" t="s">
        <v>52</v>
      </c>
      <c r="F7739" s="23" t="str">
        <f>HYPERLINK("https://www.spark-marketing.ru/Card/Lot/70695436", "Оказание услуг по охране объектов Плесского городского поселения")</f>
        <v>Оказание услуг по охране объектов Плесского городского поселения</v>
      </c>
      <c r="G7739" s="22" t="s">
        <v>340</v>
      </c>
      <c r="H7739" s="22" t="s">
        <v>340</v>
      </c>
      <c r="I7739" s="26">
        <v>43608.482638888898</v>
      </c>
      <c r="J7739" s="23" t="str">
        <f>HYPERLINK("https://www.spark-marketing.ru/Card/Person/318378", "ООО ""ЧОП ""БАРЬЕР""")</f>
        <v>ООО "ЧОП "БАРЬЕР"</v>
      </c>
      <c r="K7739" s="24" t="s">
        <v>9904</v>
      </c>
      <c r="L7739" s="22" t="s">
        <v>10</v>
      </c>
      <c r="M7739" s="28" t="s">
        <v>52</v>
      </c>
      <c r="N7739" s="28" t="s">
        <v>52</v>
      </c>
    </row>
    <row r="7740" spans="1:14" x14ac:dyDescent="0.2">
      <c r="A7740" s="23" t="str">
        <f>HYPERLINK("https://www.spark-marketing.ru/Card/Person/1479961", "МАДОУ ДЕТСКИЙ САД № 62, ДЕТСКИЙ САД № 62")</f>
        <v>МАДОУ ДЕТСКИЙ САД № 62, ДЕТСКИЙ САД № 62</v>
      </c>
      <c r="B7740" s="24" t="s">
        <v>8915</v>
      </c>
      <c r="C7740" s="25">
        <v>200000</v>
      </c>
      <c r="D7740" s="22" t="s">
        <v>9905</v>
      </c>
      <c r="E7740" s="22" t="s">
        <v>49</v>
      </c>
      <c r="F7740" s="23" t="str">
        <f>HYPERLINK("https://www.spark-marketing.ru/Card/Lot/70687587", "Установка комплекса охранной сигнализации")</f>
        <v>Установка комплекса охранной сигнализации</v>
      </c>
      <c r="G7740" s="22" t="s">
        <v>72</v>
      </c>
      <c r="H7740" s="22" t="s">
        <v>72</v>
      </c>
      <c r="I7740" s="26">
        <v>43608.463125000002</v>
      </c>
      <c r="J7740" s="23" t="str">
        <f>HYPERLINK("https://www.spark-marketing.ru/Card/Person/6223684", "ООО ""КОРПОРАЦИЯ БЕЗОПАСНОСТИ""")</f>
        <v>ООО "КОРПОРАЦИЯ БЕЗОПАСНОСТИ"</v>
      </c>
      <c r="K7740" s="24" t="s">
        <v>4894</v>
      </c>
      <c r="L7740" s="28" t="s">
        <v>52</v>
      </c>
      <c r="M7740" s="25">
        <v>120000</v>
      </c>
      <c r="N7740" s="27">
        <v>0.4</v>
      </c>
    </row>
    <row r="7741" spans="1:14" x14ac:dyDescent="0.2">
      <c r="A7741" s="23" t="str">
        <f>HYPERLINK("https://www.spark-marketing.ru/Card/Person/9633", "МИНСТРОЙ ИНГУШЕТИИ")</f>
        <v>МИНСТРОЙ ИНГУШЕТИИ</v>
      </c>
      <c r="B7741" s="24" t="s">
        <v>646</v>
      </c>
      <c r="C7741" s="25">
        <v>2136260</v>
      </c>
      <c r="D7741" s="22" t="s">
        <v>9906</v>
      </c>
      <c r="E7741" s="22" t="s">
        <v>218</v>
      </c>
      <c r="F7741" s="23" t="str">
        <f>HYPERLINK("https://www.spark-marketing.ru/Card/Lot/70693221", "Оказание услуг по строительному контролю и техническому сопровождению работ по объекту «Детский сад на 220 мест в с.п. Зязиков-Юрт»")</f>
        <v>Оказание услуг по строительному контролю и техническому сопровождению работ по объекту «Детский сад на 220 мест в с.п. Зязиков-Юрт»</v>
      </c>
      <c r="G7741" s="22" t="s">
        <v>648</v>
      </c>
      <c r="H7741" s="22" t="s">
        <v>648</v>
      </c>
      <c r="I7741" s="26">
        <v>43608.4597222222</v>
      </c>
      <c r="J7741" s="23" t="str">
        <f>HYPERLINK("https://www.spark-marketing.ru/Card/Person/259250", "ГУП""УКС РИ""")</f>
        <v>ГУП"УКС РИ"</v>
      </c>
      <c r="K7741" s="24" t="s">
        <v>7151</v>
      </c>
      <c r="L7741" s="28" t="s">
        <v>52</v>
      </c>
      <c r="M7741" s="25">
        <v>2136260</v>
      </c>
      <c r="N7741" s="27">
        <v>0</v>
      </c>
    </row>
    <row r="7742" spans="1:14" x14ac:dyDescent="0.15">
      <c r="A7742" s="23" t="str">
        <f>HYPERLINK("https://www.spark-marketing.ru/Card/Person/69264", "ГАУЗ ""ГОРОДСКАЯ БОЛЬНИЦА №2""")</f>
        <v>ГАУЗ "ГОРОДСКАЯ БОЛЬНИЦА №2"</v>
      </c>
      <c r="B7742" s="24" t="s">
        <v>9907</v>
      </c>
      <c r="C7742" s="25">
        <v>44484</v>
      </c>
      <c r="D7742" s="22" t="s">
        <v>9908</v>
      </c>
      <c r="E7742" s="22" t="s">
        <v>208</v>
      </c>
      <c r="F7742" s="23" t="str">
        <f>HYPERLINK("https://www.spark-marketing.ru/Card/Lot/70693833", "Оказание услуг по охране объектов")</f>
        <v>Оказание услуг по охране объектов</v>
      </c>
      <c r="G7742" s="22" t="s">
        <v>204</v>
      </c>
      <c r="H7742" s="22" t="s">
        <v>1945</v>
      </c>
      <c r="I7742" s="26">
        <v>43608.461805555598</v>
      </c>
      <c r="J7742" s="28" t="s">
        <v>52</v>
      </c>
      <c r="K7742" s="28" t="s">
        <v>52</v>
      </c>
      <c r="L7742" s="28" t="s">
        <v>52</v>
      </c>
      <c r="M7742" s="28" t="s">
        <v>52</v>
      </c>
      <c r="N7742" s="28" t="s">
        <v>52</v>
      </c>
    </row>
    <row r="7743" spans="1:14" x14ac:dyDescent="0.15">
      <c r="A7743" s="23" t="str">
        <f>HYPERLINK("https://www.spark-marketing.ru/Card/Person/12671", "АДМИНИСТРАЦИЯ СЕВЕРО-ЕНИСЕЙСКОГО РАЙОНА")</f>
        <v>АДМИНИСТРАЦИЯ СЕВЕРО-ЕНИСЕЙСКОГО РАЙОНА</v>
      </c>
      <c r="B7743" s="24" t="s">
        <v>9909</v>
      </c>
      <c r="C7743" s="25">
        <v>82660.039999999994</v>
      </c>
      <c r="D7743" s="22" t="s">
        <v>9910</v>
      </c>
      <c r="E7743" s="22" t="s">
        <v>194</v>
      </c>
      <c r="F7743" s="23" t="str">
        <f>HYPERLINK("https://www.spark-marketing.ru/Card/Lot/70685179", "Оборудование для видеонаблюдения")</f>
        <v>Оборудование для видеонаблюдения</v>
      </c>
      <c r="G7743" s="22" t="s">
        <v>640</v>
      </c>
      <c r="H7743" s="22" t="s">
        <v>640</v>
      </c>
      <c r="I7743" s="26">
        <v>43608.439583333296</v>
      </c>
      <c r="J7743" s="23" t="str">
        <f>HYPERLINK("https://www.spark-marketing.ru/Card/Person/4654232", "Прыгунова Влада Александровна")</f>
        <v>Прыгунова Влада Александровна</v>
      </c>
      <c r="K7743" s="24" t="s">
        <v>9911</v>
      </c>
      <c r="L7743" s="22" t="s">
        <v>10</v>
      </c>
      <c r="M7743" s="28" t="s">
        <v>52</v>
      </c>
      <c r="N7743" s="28" t="s">
        <v>52</v>
      </c>
    </row>
    <row r="7744" spans="1:14" x14ac:dyDescent="0.2">
      <c r="A7744" s="23" t="str">
        <f>HYPERLINK("https://www.spark-marketing.ru/Card/Person/9633", "МИНСТРОЙ ИНГУШЕТИИ")</f>
        <v>МИНСТРОЙ ИНГУШЕТИИ</v>
      </c>
      <c r="B7744" s="24" t="s">
        <v>646</v>
      </c>
      <c r="C7744" s="25">
        <v>2170400</v>
      </c>
      <c r="D7744" s="22" t="s">
        <v>9912</v>
      </c>
      <c r="E7744" s="22" t="s">
        <v>218</v>
      </c>
      <c r="F7744" s="23" t="str">
        <f>HYPERLINK("https://www.spark-marketing.ru/Card/Lot/70692546", "Оказание услуг по строительному контролю и техническому сопровождению работ по объекту «Детский сад на 220 мест в с.п. Гамурзиево»")</f>
        <v>Оказание услуг по строительному контролю и техническому сопровождению работ по объекту «Детский сад на 220 мест в с.п. Гамурзиево»</v>
      </c>
      <c r="G7744" s="22" t="s">
        <v>648</v>
      </c>
      <c r="H7744" s="22" t="s">
        <v>648</v>
      </c>
      <c r="I7744" s="26">
        <v>43608.418749999997</v>
      </c>
      <c r="J7744" s="23" t="str">
        <f>HYPERLINK("https://www.spark-marketing.ru/Card/Person/259250", "ГУП""УКС РИ""")</f>
        <v>ГУП"УКС РИ"</v>
      </c>
      <c r="K7744" s="24" t="s">
        <v>7151</v>
      </c>
      <c r="L7744" s="28" t="s">
        <v>52</v>
      </c>
      <c r="M7744" s="25">
        <v>2170400</v>
      </c>
      <c r="N7744" s="27">
        <v>0</v>
      </c>
    </row>
    <row r="7745" spans="1:14" x14ac:dyDescent="0.15">
      <c r="A7745" s="23" t="str">
        <f>HYPERLINK("https://www.spark-marketing.ru/Card/Person/1243247", "АО ""ТРАНСНЕФТЬ-ПРИВОЛГА""")</f>
        <v>АО "ТРАНСНЕФТЬ-ПРИВОЛГА"</v>
      </c>
      <c r="B7745" s="24" t="s">
        <v>9913</v>
      </c>
      <c r="C7745" s="25">
        <v>4643971.2</v>
      </c>
      <c r="D7745" s="22" t="s">
        <v>9914</v>
      </c>
      <c r="E7745" s="22" t="s">
        <v>8137</v>
      </c>
      <c r="F7745" s="23" t="str">
        <f>HYPERLINK("https://www.spark-marketing.ru/Card/Lot/70689879", "Оказание охранных услуг частной охранной организацией по охране объекта АО ""Транснефть-Приволга"" - участок технологического транспорта и специальной техники цеха технологического транспорта и специальной техники Самарского РНУ")</f>
        <v>Оказание охранных услуг частной охранной организацией по охране объекта АО "Транснефть-Приволга" - участок технологического транспорта и специальной техники цеха технологического транспорта и специальной техники Самарского РНУ</v>
      </c>
      <c r="G7745" s="22" t="s">
        <v>760</v>
      </c>
      <c r="H7745" s="22" t="s">
        <v>1709</v>
      </c>
      <c r="I7745" s="26">
        <v>43608.421597222201</v>
      </c>
      <c r="J7745" s="28" t="s">
        <v>52</v>
      </c>
      <c r="K7745" s="28" t="s">
        <v>52</v>
      </c>
      <c r="L7745" s="28" t="s">
        <v>52</v>
      </c>
      <c r="M7745" s="28" t="s">
        <v>52</v>
      </c>
      <c r="N7745" s="28" t="s">
        <v>52</v>
      </c>
    </row>
    <row r="7746" spans="1:14" x14ac:dyDescent="0.15">
      <c r="A7746" s="23" t="str">
        <f>HYPERLINK("https://www.spark-marketing.ru/Card/Person/35520", "ГОБУЗ МОПЦ")</f>
        <v>ГОБУЗ МОПЦ</v>
      </c>
      <c r="B7746" s="24" t="s">
        <v>9915</v>
      </c>
      <c r="C7746" s="25">
        <v>198000</v>
      </c>
      <c r="D7746" s="22" t="s">
        <v>9916</v>
      </c>
      <c r="E7746" s="22" t="s">
        <v>107</v>
      </c>
      <c r="F7746" s="23" t="str">
        <f>HYPERLINK("https://www.spark-marketing.ru/Card/Lot/70689545", "Оказание услуг по техническому обслуживанию противопожарной сигнализации")</f>
        <v>Оказание услуг по техническому обслуживанию противопожарной сигнализации</v>
      </c>
      <c r="G7746" s="22" t="s">
        <v>190</v>
      </c>
      <c r="H7746" s="22" t="s">
        <v>191</v>
      </c>
      <c r="I7746" s="26">
        <v>43608.3930555556</v>
      </c>
      <c r="J7746" s="28" t="s">
        <v>52</v>
      </c>
      <c r="K7746" s="28" t="s">
        <v>52</v>
      </c>
      <c r="L7746" s="28" t="s">
        <v>52</v>
      </c>
      <c r="M7746" s="28" t="s">
        <v>52</v>
      </c>
      <c r="N7746" s="28" t="s">
        <v>52</v>
      </c>
    </row>
    <row r="7747" spans="1:14" ht="12.75" hidden="1" outlineLevel="1" x14ac:dyDescent="0.2">
      <c r="A7747" s="23" t="str">
        <f>HYPERLINK("https://www.spark-marketing.ru/Card/Person/35520", "ГОБУЗ МОПЦ")</f>
        <v>ГОБУЗ МОПЦ</v>
      </c>
      <c r="B7747" s="24" t="s">
        <v>9915</v>
      </c>
      <c r="C7747" s="25">
        <v>198000</v>
      </c>
      <c r="D7747" s="22" t="s">
        <v>9916</v>
      </c>
      <c r="E7747" s="22" t="s">
        <v>107</v>
      </c>
      <c r="F7747" s="23" t="str">
        <f>HYPERLINK("https://www.spark-marketing.ru/Card/Lot/70689545", "Оказание услуг по техническому обслуживанию противопожарной сигнализации")</f>
        <v>Оказание услуг по техническому обслуживанию противопожарной сигнализации</v>
      </c>
      <c r="G7747" s="22" t="s">
        <v>190</v>
      </c>
      <c r="H7747" s="22" t="s">
        <v>191</v>
      </c>
      <c r="I7747" s="26">
        <v>43608.3930555556</v>
      </c>
      <c r="J7747" s="23" t="str">
        <f>HYPERLINK("https://www.spark-marketing.ru/Card/Person/424148", "ООО ""ППА""")</f>
        <v>ООО "ППА"</v>
      </c>
      <c r="K7747" s="24" t="s">
        <v>4064</v>
      </c>
      <c r="L7747" s="22" t="s">
        <v>10</v>
      </c>
      <c r="M7747" s="25">
        <v>85140</v>
      </c>
      <c r="N7747" s="27">
        <v>0.56999999999999995</v>
      </c>
    </row>
    <row r="7748" spans="1:14" hidden="1" outlineLevel="1" x14ac:dyDescent="0.2">
      <c r="A7748" s="23" t="str">
        <f>HYPERLINK("https://www.spark-marketing.ru/Card/Person/35520", "ГОБУЗ МОПЦ")</f>
        <v>ГОБУЗ МОПЦ</v>
      </c>
      <c r="B7748" s="24" t="s">
        <v>9915</v>
      </c>
      <c r="C7748" s="25">
        <v>198000</v>
      </c>
      <c r="D7748" s="22" t="s">
        <v>9916</v>
      </c>
      <c r="E7748" s="22" t="s">
        <v>107</v>
      </c>
      <c r="F7748" s="23" t="str">
        <f>HYPERLINK("https://www.spark-marketing.ru/Card/Lot/70689545", "Оказание услуг по техническому обслуживанию противопожарной сигнализации")</f>
        <v>Оказание услуг по техническому обслуживанию противопожарной сигнализации</v>
      </c>
      <c r="G7748" s="22" t="s">
        <v>190</v>
      </c>
      <c r="H7748" s="22" t="s">
        <v>191</v>
      </c>
      <c r="I7748" s="26">
        <v>43608.3930555556</v>
      </c>
      <c r="J7748" s="23" t="str">
        <f>HYPERLINK("https://www.spark-marketing.ru/Card/Person/426303", "ООО ""ИСН""")</f>
        <v>ООО "ИСН"</v>
      </c>
      <c r="K7748" s="24" t="s">
        <v>9917</v>
      </c>
      <c r="L7748" s="28" t="s">
        <v>52</v>
      </c>
      <c r="M7748" s="25">
        <v>86130</v>
      </c>
      <c r="N7748" s="27">
        <v>0.56499999999999995</v>
      </c>
    </row>
    <row r="7749" spans="1:14" x14ac:dyDescent="0.15">
      <c r="A7749" s="23" t="str">
        <f>HYPERLINK("https://www.spark-marketing.ru/Card/Person/1011250", "ФКУ СИЗО-1 УФСИН РОССИИ ПО РЕСПУБЛИКЕ ХАКАСИЯ")</f>
        <v>ФКУ СИЗО-1 УФСИН РОССИИ ПО РЕСПУБЛИКЕ ХАКАСИЯ</v>
      </c>
      <c r="B7749" s="24" t="s">
        <v>9918</v>
      </c>
      <c r="C7749" s="25">
        <v>27000</v>
      </c>
      <c r="D7749" s="22" t="s">
        <v>9919</v>
      </c>
      <c r="E7749" s="22" t="s">
        <v>53</v>
      </c>
      <c r="F7749" s="23" t="str">
        <f>HYPERLINK("https://www.spark-marketing.ru/Card/Lot/70753249", "поставка кнопок тревожной сигнализации")</f>
        <v>поставка кнопок тревожной сигнализации</v>
      </c>
      <c r="G7749" s="22" t="s">
        <v>1041</v>
      </c>
      <c r="H7749" s="22" t="s">
        <v>4311</v>
      </c>
      <c r="I7749" s="26">
        <v>43608.3971759259</v>
      </c>
      <c r="J7749" s="28" t="s">
        <v>52</v>
      </c>
      <c r="K7749" s="28" t="s">
        <v>52</v>
      </c>
      <c r="L7749" s="28" t="s">
        <v>52</v>
      </c>
      <c r="M7749" s="28" t="s">
        <v>52</v>
      </c>
      <c r="N7749" s="28" t="s">
        <v>52</v>
      </c>
    </row>
    <row r="7750" spans="1:14" x14ac:dyDescent="0.15">
      <c r="A7750" s="23" t="str">
        <f>HYPERLINK("https://www.spark-marketing.ru/Card/Person/1045140", "МКОУ УГУЙСКАЯ СОШ")</f>
        <v>МКОУ УГУЙСКАЯ СОШ</v>
      </c>
      <c r="B7750" s="24" t="s">
        <v>8649</v>
      </c>
      <c r="C7750" s="25">
        <v>6000</v>
      </c>
      <c r="D7750" s="22" t="s">
        <v>9920</v>
      </c>
      <c r="E7750" s="22" t="s">
        <v>103</v>
      </c>
      <c r="F7750" s="23" t="str">
        <f>HYPERLINK("https://www.spark-marketing.ru/Card/Lot/70686290", "Оказание услуг по техническому обслуживанию системы видеонаблюдения и проведению регламентных работ")</f>
        <v>Оказание услуг по техническому обслуживанию системы видеонаблюдения и проведению регламентных работ</v>
      </c>
      <c r="G7750" s="22" t="s">
        <v>209</v>
      </c>
      <c r="H7750" s="22" t="s">
        <v>8651</v>
      </c>
      <c r="I7750" s="26">
        <v>43608.338194444397</v>
      </c>
      <c r="J7750" s="28" t="s">
        <v>52</v>
      </c>
      <c r="K7750" s="28" t="s">
        <v>52</v>
      </c>
      <c r="L7750" s="28" t="s">
        <v>52</v>
      </c>
      <c r="M7750" s="28" t="s">
        <v>52</v>
      </c>
      <c r="N7750" s="28" t="s">
        <v>52</v>
      </c>
    </row>
    <row r="7751" spans="1:14" x14ac:dyDescent="0.15">
      <c r="A7751" s="23" t="str">
        <f>HYPERLINK("https://www.spark-marketing.ru/Card/Person/6450322", "ЗАКАЗЧИК РП БЕЛАРУСЬ")</f>
        <v>ЗАКАЗЧИК РП БЕЛАРУСЬ</v>
      </c>
      <c r="B7751" s="28" t="s">
        <v>52</v>
      </c>
      <c r="C7751" s="25">
        <v>5314355.0999999996</v>
      </c>
      <c r="D7751" s="22" t="s">
        <v>9921</v>
      </c>
      <c r="E7751" s="22" t="s">
        <v>53</v>
      </c>
      <c r="F7751" s="23" t="str">
        <f>HYPERLINK("https://www.spark-marketing.ru/Card/Lot/70709048", "Услуги по техническому обеспечению (предоставление, доставка, установка, обслуживание и обеспечение работы мобильного звукового, светового, видео и сценического оборудования с обслуживающим персоналом) в рамках организации и проведения театрализованн...")</f>
        <v>Услуги по техническому обеспечению (предоставление, доставка, установка, обслуживание и обеспечение работы мобильного звукового, светового, видео и сценического оборудования с обслуживающим персоналом) в рамках организации и проведения театрализованн...</v>
      </c>
      <c r="G7751" s="22" t="s">
        <v>52</v>
      </c>
      <c r="H7751" s="22" t="s">
        <v>52</v>
      </c>
      <c r="I7751" s="26">
        <v>43608</v>
      </c>
      <c r="J7751" s="28" t="s">
        <v>52</v>
      </c>
      <c r="K7751" s="28" t="s">
        <v>52</v>
      </c>
      <c r="L7751" s="28" t="s">
        <v>52</v>
      </c>
      <c r="M7751" s="28" t="s">
        <v>52</v>
      </c>
      <c r="N7751" s="28" t="s">
        <v>52</v>
      </c>
    </row>
    <row r="7752" spans="1:14" x14ac:dyDescent="0.2">
      <c r="A7752" s="23" t="str">
        <f>HYPERLINK("https://www.spark-marketing.ru/Card/Person/107173", "ФГУП ""УВО МИНТРАНСА РОССИИ""")</f>
        <v>ФГУП "УВО МИНТРАНСА РОССИИ"</v>
      </c>
      <c r="B7752" s="24" t="s">
        <v>1472</v>
      </c>
      <c r="C7752" s="25">
        <v>611510607.90999997</v>
      </c>
      <c r="D7752" s="22" t="s">
        <v>9922</v>
      </c>
      <c r="E7752" s="22" t="s">
        <v>606</v>
      </c>
      <c r="F7752" s="23" t="str">
        <f>HYPERLINK("https://www.spark-marketing.ru/Card/Lot/70680146", "Выполнение комплекса строительно-монтажных работ на ст. Керчь-Южная Новый парк на объекте: «Технические средства обеспечения транспортной безопасности при строительстве железнодорожных подходов к транспортному переходу через Керченский пролив. Этап 2...")</f>
        <v>Выполнение комплекса строительно-монтажных работ на ст. Керчь-Южная Новый парк на объекте: «Технические средства обеспечения транспортной безопасности при строительстве железнодорожных подходов к транспортному переходу через Керченский пролив. Этап 2...</v>
      </c>
      <c r="G7752" s="22" t="s">
        <v>1053</v>
      </c>
      <c r="H7752" s="22" t="s">
        <v>1053</v>
      </c>
      <c r="I7752" s="26">
        <v>43607.841701388897</v>
      </c>
      <c r="J7752" s="28" t="s">
        <v>52</v>
      </c>
      <c r="K7752" s="28" t="s">
        <v>52</v>
      </c>
      <c r="L7752" s="28" t="s">
        <v>52</v>
      </c>
      <c r="M7752" s="25">
        <v>611510607.90999997</v>
      </c>
      <c r="N7752" s="27">
        <v>0</v>
      </c>
    </row>
    <row r="7753" spans="1:14" x14ac:dyDescent="0.15">
      <c r="A7753" s="23" t="str">
        <f>HYPERLINK("https://www.spark-marketing.ru/Card/Person/1077391", "ОГБУ ""КОСТРОМСКАЯ БАЗА ОХРАНЫ ЛЕСОВ""")</f>
        <v>ОГБУ "КОСТРОМСКАЯ БАЗА ОХРАНЫ ЛЕСОВ"</v>
      </c>
      <c r="B7753" s="24" t="s">
        <v>9923</v>
      </c>
      <c r="C7753" s="25">
        <v>56825</v>
      </c>
      <c r="D7753" s="22" t="s">
        <v>9924</v>
      </c>
      <c r="E7753" s="22" t="s">
        <v>107</v>
      </c>
      <c r="F7753" s="23" t="str">
        <f>HYPERLINK("https://www.spark-marketing.ru/Card/Lot/70678676", "Проведение работ по диагностике неисправностей и техническому обслуживанию камер видео наблюдения.")</f>
        <v>Проведение работ по диагностике неисправностей и техническому обслуживанию камер видео наблюдения.</v>
      </c>
      <c r="G7753" s="22" t="s">
        <v>1104</v>
      </c>
      <c r="H7753" s="22" t="s">
        <v>1105</v>
      </c>
      <c r="I7753" s="26">
        <v>43607.771527777797</v>
      </c>
      <c r="J7753" s="28" t="s">
        <v>52</v>
      </c>
      <c r="K7753" s="28" t="s">
        <v>52</v>
      </c>
      <c r="L7753" s="28" t="s">
        <v>52</v>
      </c>
      <c r="M7753" s="28" t="s">
        <v>52</v>
      </c>
      <c r="N7753" s="28" t="s">
        <v>52</v>
      </c>
    </row>
    <row r="7754" spans="1:14" x14ac:dyDescent="0.15">
      <c r="A7754" s="23" t="str">
        <f>HYPERLINK("https://www.spark-marketing.ru/Card/Person/7589", "ГБУЗ АО ""ССМП Г. БЛАГОВЕЩЕНСКА""")</f>
        <v>ГБУЗ АО "ССМП Г. БЛАГОВЕЩЕНСКА"</v>
      </c>
      <c r="B7754" s="24" t="s">
        <v>9925</v>
      </c>
      <c r="C7754" s="25">
        <v>37800</v>
      </c>
      <c r="D7754" s="22" t="s">
        <v>9926</v>
      </c>
      <c r="E7754" s="22" t="s">
        <v>68</v>
      </c>
      <c r="F7754" s="23" t="str">
        <f>HYPERLINK("https://www.spark-marketing.ru/Card/Lot/70663063", "Оказание услуг по охране объектов Заказчика путем контроля за состоянием средств тревожной сигнализации с использованием группы быстрого реагирования")</f>
        <v>Оказание услуг по охране объектов Заказчика путем контроля за состоянием средств тревожной сигнализации с использованием группы быстрого реагирования</v>
      </c>
      <c r="G7754" s="22" t="s">
        <v>230</v>
      </c>
      <c r="H7754" s="22" t="s">
        <v>231</v>
      </c>
      <c r="I7754" s="26">
        <v>43607.724305555603</v>
      </c>
      <c r="J7754" s="28" t="s">
        <v>52</v>
      </c>
      <c r="K7754" s="28" t="s">
        <v>52</v>
      </c>
      <c r="L7754" s="28" t="s">
        <v>52</v>
      </c>
      <c r="M7754" s="28" t="s">
        <v>52</v>
      </c>
      <c r="N7754" s="28" t="s">
        <v>52</v>
      </c>
    </row>
    <row r="7755" spans="1:14" hidden="1" outlineLevel="1" x14ac:dyDescent="0.2">
      <c r="A7755" s="23" t="str">
        <f>HYPERLINK("https://www.spark-marketing.ru/Card/Person/7589", "ГБУЗ АО ""ССМП Г. БЛАГОВЕЩЕНСКА""")</f>
        <v>ГБУЗ АО "ССМП Г. БЛАГОВЕЩЕНСКА"</v>
      </c>
      <c r="B7755" s="24" t="s">
        <v>9925</v>
      </c>
      <c r="C7755" s="25">
        <v>37800</v>
      </c>
      <c r="D7755" s="22" t="s">
        <v>9926</v>
      </c>
      <c r="E7755" s="22" t="s">
        <v>68</v>
      </c>
      <c r="F7755" s="23" t="str">
        <f>HYPERLINK("https://www.spark-marketing.ru/Card/Lot/70663063", "Оказание услуг по охране объектов Заказчика путем контроля за состоянием средств тревожной сигнализации с использованием группы быстрого реагирования")</f>
        <v>Оказание услуг по охране объектов Заказчика путем контроля за состоянием средств тревожной сигнализации с использованием группы быстрого реагирования</v>
      </c>
      <c r="G7755" s="22" t="s">
        <v>230</v>
      </c>
      <c r="H7755" s="22" t="s">
        <v>231</v>
      </c>
      <c r="I7755" s="26">
        <v>43607.724305555603</v>
      </c>
      <c r="J7755" s="23" t="str">
        <f>HYPERLINK("https://www.spark-marketing.ru/Card/Person/1225350", "ООО ЧОО ""ЕРМАК БЕЗОПАСНОСТЬ""")</f>
        <v>ООО ЧОО "ЕРМАК БЕЗОПАСНОСТЬ"</v>
      </c>
      <c r="K7755" s="24" t="s">
        <v>9927</v>
      </c>
      <c r="L7755" s="28" t="s">
        <v>52</v>
      </c>
      <c r="M7755" s="25">
        <v>18168</v>
      </c>
      <c r="N7755" s="27">
        <v>0.51936507936507936</v>
      </c>
    </row>
    <row r="7756" spans="1:14" ht="12.75" hidden="1" outlineLevel="1" x14ac:dyDescent="0.2">
      <c r="A7756" s="23" t="str">
        <f>HYPERLINK("https://www.spark-marketing.ru/Card/Person/7589", "ГБУЗ АО ""ССМП Г. БЛАГОВЕЩЕНСКА""")</f>
        <v>ГБУЗ АО "ССМП Г. БЛАГОВЕЩЕНСКА"</v>
      </c>
      <c r="B7756" s="24" t="s">
        <v>9925</v>
      </c>
      <c r="C7756" s="25">
        <v>37800</v>
      </c>
      <c r="D7756" s="22" t="s">
        <v>9926</v>
      </c>
      <c r="E7756" s="22" t="s">
        <v>68</v>
      </c>
      <c r="F7756" s="23" t="str">
        <f>HYPERLINK("https://www.spark-marketing.ru/Card/Lot/70663063", "Оказание услуг по охране объектов Заказчика путем контроля за состоянием средств тревожной сигнализации с использованием группы быстрого реагирования")</f>
        <v>Оказание услуг по охране объектов Заказчика путем контроля за состоянием средств тревожной сигнализации с использованием группы быстрого реагирования</v>
      </c>
      <c r="G7756" s="22" t="s">
        <v>230</v>
      </c>
      <c r="H7756" s="22" t="s">
        <v>231</v>
      </c>
      <c r="I7756" s="26">
        <v>43607.724305555603</v>
      </c>
      <c r="J7756" s="23" t="str">
        <f>HYPERLINK("https://www.spark-marketing.ru/Card/Person/487038", "ООО ""ОА ""РОСБЕЗОПАСНОСТЬ""")</f>
        <v>ООО "ОА "РОСБЕЗОПАСНОСТЬ"</v>
      </c>
      <c r="K7756" s="24" t="s">
        <v>9928</v>
      </c>
      <c r="L7756" s="22" t="s">
        <v>10</v>
      </c>
      <c r="M7756" s="25">
        <v>17979</v>
      </c>
      <c r="N7756" s="27">
        <v>0.52436507936507937</v>
      </c>
    </row>
    <row r="7757" spans="1:14" x14ac:dyDescent="0.15">
      <c r="A7757" s="23" t="str">
        <f t="shared" ref="A7757:A7763" si="322">HYPERLINK("https://www.spark-marketing.ru/Card/Person/60340", "ГЛАВНОЕ УПРАВЛЕНИЕ РЕГИОНАЛЬНОЙ БЕЗОПАСНОСТИ ТВЕРСКОЙ ОБЛАСТИ")</f>
        <v>ГЛАВНОЕ УПРАВЛЕНИЕ РЕГИОНАЛЬНОЙ БЕЗОПАСНОСТИ ТВЕРСКОЙ ОБЛАСТИ</v>
      </c>
      <c r="B7757" s="24" t="s">
        <v>9929</v>
      </c>
      <c r="C7757" s="25">
        <v>420000</v>
      </c>
      <c r="D7757" s="22" t="s">
        <v>9930</v>
      </c>
      <c r="E7757" s="22" t="s">
        <v>107</v>
      </c>
      <c r="F7757" s="23" t="str">
        <f t="shared" ref="F7757:F7763" si="323">HYPERLINK("https://www.spark-marketing.ru/Card/Lot/70676819", "Оказание услуг по техническому обслуживанию системы видеонаблюдения «Безопасный город» для нужд Главного управления региональной безопасности Тверской области")</f>
        <v>Оказание услуг по техническому обслуживанию системы видеонаблюдения «Безопасный город» для нужд Главного управления региональной безопасности Тверской области</v>
      </c>
      <c r="G7757" s="22" t="s">
        <v>251</v>
      </c>
      <c r="H7757" s="22" t="s">
        <v>252</v>
      </c>
      <c r="I7757" s="26">
        <v>43607.716666666704</v>
      </c>
      <c r="J7757" s="28" t="s">
        <v>52</v>
      </c>
      <c r="K7757" s="28" t="s">
        <v>52</v>
      </c>
      <c r="L7757" s="28" t="s">
        <v>52</v>
      </c>
      <c r="M7757" s="28" t="s">
        <v>52</v>
      </c>
      <c r="N7757" s="28" t="s">
        <v>52</v>
      </c>
    </row>
    <row r="7758" spans="1:14" ht="12.75" hidden="1" outlineLevel="1" x14ac:dyDescent="0.2">
      <c r="A7758" s="23" t="str">
        <f t="shared" si="322"/>
        <v>ГЛАВНОЕ УПРАВЛЕНИЕ РЕГИОНАЛЬНОЙ БЕЗОПАСНОСТИ ТВЕРСКОЙ ОБЛАСТИ</v>
      </c>
      <c r="B7758" s="24" t="s">
        <v>9929</v>
      </c>
      <c r="C7758" s="25">
        <v>420000</v>
      </c>
      <c r="D7758" s="22" t="s">
        <v>9930</v>
      </c>
      <c r="E7758" s="22" t="s">
        <v>107</v>
      </c>
      <c r="F7758" s="23" t="str">
        <f t="shared" si="323"/>
        <v>Оказание услуг по техническому обслуживанию системы видеонаблюдения «Безопасный город» для нужд Главного управления региональной безопасности Тверской области</v>
      </c>
      <c r="G7758" s="22" t="s">
        <v>251</v>
      </c>
      <c r="H7758" s="22" t="s">
        <v>252</v>
      </c>
      <c r="I7758" s="26">
        <v>43607.716666666704</v>
      </c>
      <c r="J7758" s="23" t="str">
        <f>HYPERLINK("https://www.spark-marketing.ru/Card/Person/621761", "ООО ""СНБ МЕДИА ГРУППА""")</f>
        <v>ООО "СНБ МЕДИА ГРУППА"</v>
      </c>
      <c r="K7758" s="24" t="s">
        <v>2509</v>
      </c>
      <c r="L7758" s="22" t="s">
        <v>10</v>
      </c>
      <c r="M7758" s="25">
        <v>98000</v>
      </c>
      <c r="N7758" s="27">
        <v>0.76666666666666672</v>
      </c>
    </row>
    <row r="7759" spans="1:14" hidden="1" outlineLevel="1" x14ac:dyDescent="0.2">
      <c r="A7759" s="23" t="str">
        <f t="shared" si="322"/>
        <v>ГЛАВНОЕ УПРАВЛЕНИЕ РЕГИОНАЛЬНОЙ БЕЗОПАСНОСТИ ТВЕРСКОЙ ОБЛАСТИ</v>
      </c>
      <c r="B7759" s="24" t="s">
        <v>9929</v>
      </c>
      <c r="C7759" s="25">
        <v>420000</v>
      </c>
      <c r="D7759" s="22" t="s">
        <v>9930</v>
      </c>
      <c r="E7759" s="22" t="s">
        <v>107</v>
      </c>
      <c r="F7759" s="23" t="str">
        <f t="shared" si="323"/>
        <v>Оказание услуг по техническому обслуживанию системы видеонаблюдения «Безопасный город» для нужд Главного управления региональной безопасности Тверской области</v>
      </c>
      <c r="G7759" s="22" t="s">
        <v>251</v>
      </c>
      <c r="H7759" s="22" t="s">
        <v>252</v>
      </c>
      <c r="I7759" s="26">
        <v>43607.716666666704</v>
      </c>
      <c r="J7759" s="23" t="str">
        <f>HYPERLINK("https://www.spark-marketing.ru/Card/Person/6476034", "Горбунов Илья Николаевич")</f>
        <v>Горбунов Илья Николаевич</v>
      </c>
      <c r="K7759" s="24" t="s">
        <v>9931</v>
      </c>
      <c r="L7759" s="28" t="s">
        <v>52</v>
      </c>
      <c r="M7759" s="25">
        <v>220000</v>
      </c>
      <c r="N7759" s="27">
        <v>0.47619047619047616</v>
      </c>
    </row>
    <row r="7760" spans="1:14" hidden="1" outlineLevel="1" x14ac:dyDescent="0.2">
      <c r="A7760" s="23" t="str">
        <f t="shared" si="322"/>
        <v>ГЛАВНОЕ УПРАВЛЕНИЕ РЕГИОНАЛЬНОЙ БЕЗОПАСНОСТИ ТВЕРСКОЙ ОБЛАСТИ</v>
      </c>
      <c r="B7760" s="24" t="s">
        <v>9929</v>
      </c>
      <c r="C7760" s="25">
        <v>420000</v>
      </c>
      <c r="D7760" s="22" t="s">
        <v>9930</v>
      </c>
      <c r="E7760" s="22" t="s">
        <v>107</v>
      </c>
      <c r="F7760" s="23" t="str">
        <f t="shared" si="323"/>
        <v>Оказание услуг по техническому обслуживанию системы видеонаблюдения «Безопасный город» для нужд Главного управления региональной безопасности Тверской области</v>
      </c>
      <c r="G7760" s="22" t="s">
        <v>251</v>
      </c>
      <c r="H7760" s="22" t="s">
        <v>252</v>
      </c>
      <c r="I7760" s="26">
        <v>43607.716666666704</v>
      </c>
      <c r="J7760" s="23" t="str">
        <f>HYPERLINK("https://www.spark-marketing.ru/Card/Person/6483601", "ООО ""МК ЭСТЕТ""")</f>
        <v>ООО "МК ЭСТЕТ"</v>
      </c>
      <c r="K7760" s="24" t="s">
        <v>9932</v>
      </c>
      <c r="L7760" s="28" t="s">
        <v>52</v>
      </c>
      <c r="M7760" s="25">
        <v>270000</v>
      </c>
      <c r="N7760" s="27">
        <v>0.35714285714285715</v>
      </c>
    </row>
    <row r="7761" spans="1:14" hidden="1" outlineLevel="1" x14ac:dyDescent="0.2">
      <c r="A7761" s="23" t="str">
        <f t="shared" si="322"/>
        <v>ГЛАВНОЕ УПРАВЛЕНИЕ РЕГИОНАЛЬНОЙ БЕЗОПАСНОСТИ ТВЕРСКОЙ ОБЛАСТИ</v>
      </c>
      <c r="B7761" s="24" t="s">
        <v>9929</v>
      </c>
      <c r="C7761" s="25">
        <v>420000</v>
      </c>
      <c r="D7761" s="22" t="s">
        <v>9930</v>
      </c>
      <c r="E7761" s="22" t="s">
        <v>107</v>
      </c>
      <c r="F7761" s="23" t="str">
        <f t="shared" si="323"/>
        <v>Оказание услуг по техническому обслуживанию системы видеонаблюдения «Безопасный город» для нужд Главного управления региональной безопасности Тверской области</v>
      </c>
      <c r="G7761" s="22" t="s">
        <v>251</v>
      </c>
      <c r="H7761" s="22" t="s">
        <v>252</v>
      </c>
      <c r="I7761" s="26">
        <v>43607.716666666704</v>
      </c>
      <c r="J7761" s="23" t="str">
        <f>HYPERLINK("https://www.spark-marketing.ru/Card/Person/306243", "ООО ""КУБ""")</f>
        <v>ООО "КУБ"</v>
      </c>
      <c r="K7761" s="24" t="s">
        <v>9933</v>
      </c>
      <c r="L7761" s="28" t="s">
        <v>52</v>
      </c>
      <c r="M7761" s="25">
        <v>300000</v>
      </c>
      <c r="N7761" s="27">
        <v>0.2857142857142857</v>
      </c>
    </row>
    <row r="7762" spans="1:14" hidden="1" outlineLevel="1" x14ac:dyDescent="0.2">
      <c r="A7762" s="23" t="str">
        <f t="shared" si="322"/>
        <v>ГЛАВНОЕ УПРАВЛЕНИЕ РЕГИОНАЛЬНОЙ БЕЗОПАСНОСТИ ТВЕРСКОЙ ОБЛАСТИ</v>
      </c>
      <c r="B7762" s="24" t="s">
        <v>9929</v>
      </c>
      <c r="C7762" s="25">
        <v>420000</v>
      </c>
      <c r="D7762" s="22" t="s">
        <v>9930</v>
      </c>
      <c r="E7762" s="22" t="s">
        <v>107</v>
      </c>
      <c r="F7762" s="23" t="str">
        <f t="shared" si="323"/>
        <v>Оказание услуг по техническому обслуживанию системы видеонаблюдения «Безопасный город» для нужд Главного управления региональной безопасности Тверской области</v>
      </c>
      <c r="G7762" s="22" t="s">
        <v>251</v>
      </c>
      <c r="H7762" s="22" t="s">
        <v>252</v>
      </c>
      <c r="I7762" s="26">
        <v>43607.716666666704</v>
      </c>
      <c r="J7762" s="23" t="str">
        <f>HYPERLINK("https://www.spark-marketing.ru/Card/Person/612547", "ООО ЧОО ""Р-1 ТВЕРЬ""")</f>
        <v>ООО ЧОО "Р-1 ТВЕРЬ"</v>
      </c>
      <c r="K7762" s="24" t="s">
        <v>9934</v>
      </c>
      <c r="L7762" s="28" t="s">
        <v>52</v>
      </c>
      <c r="M7762" s="25">
        <v>384000</v>
      </c>
      <c r="N7762" s="27">
        <v>8.5714285714285715E-2</v>
      </c>
    </row>
    <row r="7763" spans="1:14" hidden="1" outlineLevel="1" x14ac:dyDescent="0.2">
      <c r="A7763" s="23" t="str">
        <f t="shared" si="322"/>
        <v>ГЛАВНОЕ УПРАВЛЕНИЕ РЕГИОНАЛЬНОЙ БЕЗОПАСНОСТИ ТВЕРСКОЙ ОБЛАСТИ</v>
      </c>
      <c r="B7763" s="24" t="s">
        <v>9929</v>
      </c>
      <c r="C7763" s="25">
        <v>420000</v>
      </c>
      <c r="D7763" s="22" t="s">
        <v>9930</v>
      </c>
      <c r="E7763" s="22" t="s">
        <v>107</v>
      </c>
      <c r="F7763" s="23" t="str">
        <f t="shared" si="323"/>
        <v>Оказание услуг по техническому обслуживанию системы видеонаблюдения «Безопасный город» для нужд Главного управления региональной безопасности Тверской области</v>
      </c>
      <c r="G7763" s="22" t="s">
        <v>251</v>
      </c>
      <c r="H7763" s="22" t="s">
        <v>252</v>
      </c>
      <c r="I7763" s="26">
        <v>43607.716666666704</v>
      </c>
      <c r="J7763" s="23" t="str">
        <f>HYPERLINK("https://www.spark-marketing.ru/Card/Person/6402207", "Виноградов Павел Павлович")</f>
        <v>Виноградов Павел Павлович</v>
      </c>
      <c r="K7763" s="24" t="s">
        <v>9935</v>
      </c>
      <c r="L7763" s="28" t="s">
        <v>52</v>
      </c>
      <c r="M7763" s="25">
        <v>397000</v>
      </c>
      <c r="N7763" s="27">
        <v>5.4761904761904762E-2</v>
      </c>
    </row>
    <row r="7764" spans="1:14" x14ac:dyDescent="0.2">
      <c r="A7764" s="23" t="str">
        <f>HYPERLINK("https://www.spark-marketing.ru/Card/Person/4366683", "ООО ""ЛУКОЙЛ-КУБАНЬЭНЕРГО""")</f>
        <v>ООО "ЛУКОЙЛ-КУБАНЬЭНЕРГО"</v>
      </c>
      <c r="B7764" s="24" t="s">
        <v>9936</v>
      </c>
      <c r="C7764" s="25">
        <v>4900500</v>
      </c>
      <c r="D7764" s="22" t="s">
        <v>9937</v>
      </c>
      <c r="E7764" s="22" t="s">
        <v>9938</v>
      </c>
      <c r="F7764" s="23" t="str">
        <f>HYPERLINK("https://www.spark-marketing.ru/Card/Lot/70674248", "Техническое обслуживание охранной сигнализации и оборудования видеонаблюдения промплощадки,береговых насосных станций ООО «ЛУКОЙЛ-Кубаньэнерго»")</f>
        <v>Техническое обслуживание охранной сигнализации и оборудования видеонаблюдения промплощадки,береговых насосных станций ООО «ЛУКОЙЛ-Кубаньэнерго»</v>
      </c>
      <c r="G7764" s="22" t="s">
        <v>132</v>
      </c>
      <c r="H7764" s="22" t="s">
        <v>132</v>
      </c>
      <c r="I7764" s="26">
        <v>43607.691921296297</v>
      </c>
      <c r="J7764" s="23" t="str">
        <f>HYPERLINK("https://www.spark-marketing.ru/Card/Person/606246", "ООО ТЕХЦЕНТР ""ЛУКОМ-А""")</f>
        <v>ООО ТЕХЦЕНТР "ЛУКОМ-А"</v>
      </c>
      <c r="K7764" s="24" t="s">
        <v>9939</v>
      </c>
      <c r="L7764" s="28" t="s">
        <v>52</v>
      </c>
      <c r="M7764" s="25">
        <v>4900500</v>
      </c>
      <c r="N7764" s="27">
        <v>0</v>
      </c>
    </row>
    <row r="7765" spans="1:14" x14ac:dyDescent="0.15">
      <c r="A7765" s="23" t="str">
        <f>HYPERLINK("https://www.spark-marketing.ru/Card/Person/4343928", "ФГБОУ ВО КУБАНСКИЙ ГАУ")</f>
        <v>ФГБОУ ВО КУБАНСКИЙ ГАУ</v>
      </c>
      <c r="B7765" s="24" t="s">
        <v>1428</v>
      </c>
      <c r="C7765" s="25">
        <v>632467</v>
      </c>
      <c r="D7765" s="22" t="s">
        <v>9940</v>
      </c>
      <c r="E7765" s="22" t="s">
        <v>144</v>
      </c>
      <c r="F7765" s="23" t="str">
        <f>HYPERLINK("https://www.spark-marketing.ru/Card/Lot/70680928", "Услуги охранные учебных корпусов")</f>
        <v>Услуги охранные учебных корпусов</v>
      </c>
      <c r="G7765" s="22" t="s">
        <v>132</v>
      </c>
      <c r="H7765" s="22" t="s">
        <v>132</v>
      </c>
      <c r="I7765" s="26">
        <v>43607.676874999997</v>
      </c>
      <c r="J7765" s="28" t="s">
        <v>52</v>
      </c>
      <c r="K7765" s="28" t="s">
        <v>52</v>
      </c>
      <c r="L7765" s="28" t="s">
        <v>52</v>
      </c>
      <c r="M7765" s="28" t="s">
        <v>52</v>
      </c>
      <c r="N7765" s="28" t="s">
        <v>52</v>
      </c>
    </row>
    <row r="7766" spans="1:14" x14ac:dyDescent="0.15">
      <c r="A7766" s="23" t="str">
        <f>HYPERLINK("https://www.spark-marketing.ru/Card/Person/1083059", "МБУК ""ЦКС САРАКТАШСКОГО РАЙОНА""")</f>
        <v>МБУК "ЦКС САРАКТАШСКОГО РАЙОНА"</v>
      </c>
      <c r="B7766" s="24" t="s">
        <v>9941</v>
      </c>
      <c r="C7766" s="25">
        <v>2487221.0499999998</v>
      </c>
      <c r="D7766" s="22" t="s">
        <v>9942</v>
      </c>
      <c r="E7766" s="22" t="s">
        <v>5251</v>
      </c>
      <c r="F7766" s="23" t="str">
        <f>HYPERLINK("https://www.spark-marketing.ru/Card/Lot/70668583", "Поставка, установка и ввод в эксплуатацию оборудования сцены")</f>
        <v>Поставка, установка и ввод в эксплуатацию оборудования сцены</v>
      </c>
      <c r="G7766" s="22" t="s">
        <v>384</v>
      </c>
      <c r="H7766" s="22" t="s">
        <v>384</v>
      </c>
      <c r="I7766" s="26">
        <v>43607.675694444399</v>
      </c>
      <c r="J7766" s="23" t="str">
        <f>HYPERLINK("https://www.spark-marketing.ru/Card/Person/760102", "ООО ""УЛЬТРА""")</f>
        <v>ООО "УЛЬТРА"</v>
      </c>
      <c r="K7766" s="24" t="s">
        <v>9943</v>
      </c>
      <c r="L7766" s="28" t="s">
        <v>52</v>
      </c>
      <c r="M7766" s="28" t="s">
        <v>52</v>
      </c>
      <c r="N7766" s="28" t="s">
        <v>52</v>
      </c>
    </row>
    <row r="7767" spans="1:14" hidden="1" outlineLevel="1" x14ac:dyDescent="0.15">
      <c r="A7767" s="23" t="str">
        <f>HYPERLINK("https://www.spark-marketing.ru/Card/Person/1083059", "МБУК ""ЦКС САРАКТАШСКОГО РАЙОНА""")</f>
        <v>МБУК "ЦКС САРАКТАШСКОГО РАЙОНА"</v>
      </c>
      <c r="B7767" s="24" t="s">
        <v>9941</v>
      </c>
      <c r="C7767" s="25">
        <v>2487221.0499999998</v>
      </c>
      <c r="D7767" s="22" t="s">
        <v>9942</v>
      </c>
      <c r="E7767" s="22" t="s">
        <v>5251</v>
      </c>
      <c r="F7767" s="23" t="str">
        <f>HYPERLINK("https://www.spark-marketing.ru/Card/Lot/70668583", "Поставка, установка и ввод в эксплуатацию оборудования сцены")</f>
        <v>Поставка, установка и ввод в эксплуатацию оборудования сцены</v>
      </c>
      <c r="G7767" s="22" t="s">
        <v>384</v>
      </c>
      <c r="H7767" s="22" t="s">
        <v>384</v>
      </c>
      <c r="I7767" s="26">
        <v>43607.675694444399</v>
      </c>
      <c r="J7767" s="23" t="str">
        <f>HYPERLINK("https://www.spark-marketing.ru/Card/Person/760102", "ООО ""УЛЬТРА""")</f>
        <v>ООО "УЛЬТРА"</v>
      </c>
      <c r="K7767" s="24" t="s">
        <v>9943</v>
      </c>
      <c r="L7767" s="22" t="s">
        <v>10</v>
      </c>
      <c r="M7767" s="28" t="s">
        <v>52</v>
      </c>
      <c r="N7767" s="28" t="s">
        <v>52</v>
      </c>
    </row>
    <row r="7768" spans="1:14" x14ac:dyDescent="0.15">
      <c r="A7768" s="23" t="str">
        <f>HYPERLINK("https://www.spark-marketing.ru/Card/Person/68470", "МРУ РОСАЛКОГОЛЬРЕГУЛИРОВАНИЯ ПО ЦЕНТРАЛЬНОМУ ФЕДЕРАЛЬНОМУ ОКРУГУ")</f>
        <v>МРУ РОСАЛКОГОЛЬРЕГУЛИРОВАНИЯ ПО ЦЕНТРАЛЬНОМУ ФЕДЕРАЛЬНОМУ ОКРУГУ</v>
      </c>
      <c r="B7768" s="24" t="s">
        <v>9125</v>
      </c>
      <c r="C7768" s="25">
        <v>33985.199999999997</v>
      </c>
      <c r="D7768" s="22" t="s">
        <v>9944</v>
      </c>
      <c r="E7768" s="22" t="s">
        <v>208</v>
      </c>
      <c r="F7768" s="23" t="str">
        <f>HYPERLINK("https://www.spark-marketing.ru/Card/Lot/70676359", "Монтаж и пуско-наладка технических средств охраны")</f>
        <v>Монтаж и пуско-наладка технических средств охраны</v>
      </c>
      <c r="G7768" s="22" t="s">
        <v>55</v>
      </c>
      <c r="H7768" s="22" t="s">
        <v>55</v>
      </c>
      <c r="I7768" s="26">
        <v>43607.677777777797</v>
      </c>
      <c r="J7768" s="28" t="s">
        <v>52</v>
      </c>
      <c r="K7768" s="28" t="s">
        <v>52</v>
      </c>
      <c r="L7768" s="28" t="s">
        <v>52</v>
      </c>
      <c r="M7768" s="28" t="s">
        <v>52</v>
      </c>
      <c r="N7768" s="28" t="s">
        <v>52</v>
      </c>
    </row>
    <row r="7769" spans="1:14" x14ac:dyDescent="0.15">
      <c r="A7769" s="23" t="str">
        <f>HYPERLINK("https://www.spark-marketing.ru/Card/Person/4343641", "ФЕДЕРАЛЬНАЯ СЛУЖБА ПО ФИНАНСОВОМУ МОНИТОРИНГУ")</f>
        <v>ФЕДЕРАЛЬНАЯ СЛУЖБА ПО ФИНАНСОВОМУ МОНИТОРИНГУ</v>
      </c>
      <c r="B7769" s="24" t="s">
        <v>9945</v>
      </c>
      <c r="C7769" s="25">
        <v>98718.96</v>
      </c>
      <c r="D7769" s="22" t="s">
        <v>9946</v>
      </c>
      <c r="E7769" s="22" t="s">
        <v>53</v>
      </c>
      <c r="F7769" s="23" t="str">
        <f>HYPERLINK("https://www.spark-marketing.ru/Card/Lot/70751246", "Услуги по пультовой охране и техническому обслуживанию комплекса технических средств охраны и объектовой приемопередающей аппаратуры")</f>
        <v>Услуги по пультовой охране и техническому обслуживанию комплекса технических средств охраны и объектовой приемопередающей аппаратуры</v>
      </c>
      <c r="G7769" s="22" t="s">
        <v>55</v>
      </c>
      <c r="H7769" s="22" t="s">
        <v>55</v>
      </c>
      <c r="I7769" s="26">
        <v>43607.6709722222</v>
      </c>
      <c r="J7769" s="28" t="s">
        <v>52</v>
      </c>
      <c r="K7769" s="28" t="s">
        <v>52</v>
      </c>
      <c r="L7769" s="28" t="s">
        <v>52</v>
      </c>
      <c r="M7769" s="28" t="s">
        <v>52</v>
      </c>
      <c r="N7769" s="28" t="s">
        <v>52</v>
      </c>
    </row>
    <row r="7770" spans="1:14" x14ac:dyDescent="0.15">
      <c r="A7770" s="23" t="str">
        <f>HYPERLINK("https://www.spark-marketing.ru/Card/Person/123625", "МДОУ ДСКВ №2 ""РОМАШКА""")</f>
        <v>МДОУ ДСКВ №2 "РОМАШКА"</v>
      </c>
      <c r="B7770" s="24" t="s">
        <v>9947</v>
      </c>
      <c r="C7770" s="25">
        <v>121395.71</v>
      </c>
      <c r="D7770" s="22" t="s">
        <v>9948</v>
      </c>
      <c r="E7770" s="22" t="s">
        <v>84</v>
      </c>
      <c r="F7770" s="23" t="str">
        <f>HYPERLINK("https://www.spark-marketing.ru/Card/Lot/70677493", "Выполнение работ по монтажу и пусконаладке видеокамер и установку монитора для нужд МДОУ ДСКВ №2 ""Ромашка""")</f>
        <v>Выполнение работ по монтажу и пусконаладке видеокамер и установку монитора для нужд МДОУ ДСКВ №2 "Ромашка"</v>
      </c>
      <c r="G7770" s="22" t="s">
        <v>50</v>
      </c>
      <c r="H7770" s="22" t="s">
        <v>50</v>
      </c>
      <c r="I7770" s="26">
        <v>43607.706250000003</v>
      </c>
      <c r="J7770" s="28" t="s">
        <v>52</v>
      </c>
      <c r="K7770" s="28" t="s">
        <v>52</v>
      </c>
      <c r="L7770" s="28" t="s">
        <v>52</v>
      </c>
      <c r="M7770" s="28" t="s">
        <v>52</v>
      </c>
      <c r="N7770" s="28" t="s">
        <v>52</v>
      </c>
    </row>
    <row r="7771" spans="1:14" ht="12.75" hidden="1" outlineLevel="1" x14ac:dyDescent="0.2">
      <c r="A7771" s="23" t="str">
        <f>HYPERLINK("https://www.spark-marketing.ru/Card/Person/123625", "МДОУ ДСКВ №2 ""РОМАШКА""")</f>
        <v>МДОУ ДСКВ №2 "РОМАШКА"</v>
      </c>
      <c r="B7771" s="24" t="s">
        <v>9947</v>
      </c>
      <c r="C7771" s="25">
        <v>121395.71</v>
      </c>
      <c r="D7771" s="22" t="s">
        <v>9948</v>
      </c>
      <c r="E7771" s="22" t="s">
        <v>84</v>
      </c>
      <c r="F7771" s="23" t="str">
        <f>HYPERLINK("https://www.spark-marketing.ru/Card/Lot/70677493", "Выполнение работ по монтажу и пусконаладке видеокамер и установку монитора для нужд МДОУ ДСКВ №2 ""Ромашка""")</f>
        <v>Выполнение работ по монтажу и пусконаладке видеокамер и установку монитора для нужд МДОУ ДСКВ №2 "Ромашка"</v>
      </c>
      <c r="G7771" s="22" t="s">
        <v>50</v>
      </c>
      <c r="H7771" s="22" t="s">
        <v>50</v>
      </c>
      <c r="I7771" s="26">
        <v>43607.706250000003</v>
      </c>
      <c r="J7771" s="23" t="str">
        <f>HYPERLINK("https://www.spark-marketing.ru/Card/Person/709615", "ООО ""ПА""")</f>
        <v>ООО "ПА"</v>
      </c>
      <c r="K7771" s="24" t="s">
        <v>9949</v>
      </c>
      <c r="L7771" s="22" t="s">
        <v>10</v>
      </c>
      <c r="M7771" s="25">
        <v>74458.31</v>
      </c>
      <c r="N7771" s="27">
        <v>0.3866479301451427</v>
      </c>
    </row>
    <row r="7772" spans="1:14" hidden="1" outlineLevel="1" x14ac:dyDescent="0.2">
      <c r="A7772" s="23" t="str">
        <f>HYPERLINK("https://www.spark-marketing.ru/Card/Person/123625", "МДОУ ДСКВ №2 ""РОМАШКА""")</f>
        <v>МДОУ ДСКВ №2 "РОМАШКА"</v>
      </c>
      <c r="B7772" s="24" t="s">
        <v>9947</v>
      </c>
      <c r="C7772" s="25">
        <v>121395.71</v>
      </c>
      <c r="D7772" s="22" t="s">
        <v>9948</v>
      </c>
      <c r="E7772" s="22" t="s">
        <v>84</v>
      </c>
      <c r="F7772" s="23" t="str">
        <f>HYPERLINK("https://www.spark-marketing.ru/Card/Lot/70677493", "Выполнение работ по монтажу и пусконаладке видеокамер и установку монитора для нужд МДОУ ДСКВ №2 ""Ромашка""")</f>
        <v>Выполнение работ по монтажу и пусконаладке видеокамер и установку монитора для нужд МДОУ ДСКВ №2 "Ромашка"</v>
      </c>
      <c r="G7772" s="22" t="s">
        <v>50</v>
      </c>
      <c r="H7772" s="22" t="s">
        <v>50</v>
      </c>
      <c r="I7772" s="26">
        <v>43607.706250000003</v>
      </c>
      <c r="J7772" s="23" t="str">
        <f>HYPERLINK("https://www.spark-marketing.ru/Card/Person/6445825", "Судариков Михаил Геннадьевич")</f>
        <v>Судариков Михаил Геннадьевич</v>
      </c>
      <c r="K7772" s="24" t="s">
        <v>1219</v>
      </c>
      <c r="L7772" s="28" t="s">
        <v>52</v>
      </c>
      <c r="M7772" s="25">
        <v>97116.57</v>
      </c>
      <c r="N7772" s="27">
        <v>0.19999998352495324</v>
      </c>
    </row>
    <row r="7773" spans="1:14" hidden="1" outlineLevel="1" x14ac:dyDescent="0.2">
      <c r="A7773" s="23" t="str">
        <f>HYPERLINK("https://www.spark-marketing.ru/Card/Person/123625", "МДОУ ДСКВ №2 ""РОМАШКА""")</f>
        <v>МДОУ ДСКВ №2 "РОМАШКА"</v>
      </c>
      <c r="B7773" s="24" t="s">
        <v>9947</v>
      </c>
      <c r="C7773" s="25">
        <v>121395.71</v>
      </c>
      <c r="D7773" s="22" t="s">
        <v>9948</v>
      </c>
      <c r="E7773" s="22" t="s">
        <v>84</v>
      </c>
      <c r="F7773" s="23" t="str">
        <f>HYPERLINK("https://www.spark-marketing.ru/Card/Lot/70677493", "Выполнение работ по монтажу и пусконаладке видеокамер и установку монитора для нужд МДОУ ДСКВ №2 ""Ромашка""")</f>
        <v>Выполнение работ по монтажу и пусконаладке видеокамер и установку монитора для нужд МДОУ ДСКВ №2 "Ромашка"</v>
      </c>
      <c r="G7773" s="22" t="s">
        <v>50</v>
      </c>
      <c r="H7773" s="22" t="s">
        <v>50</v>
      </c>
      <c r="I7773" s="26">
        <v>43607.706250000003</v>
      </c>
      <c r="J7773" s="23" t="str">
        <f>HYPERLINK("https://www.spark-marketing.ru/Card/Person/4954405", "ООО ""АНГАРЕЙОН-СБ""")</f>
        <v>ООО "АНГАРЕЙОН-СБ"</v>
      </c>
      <c r="K7773" s="24" t="s">
        <v>3508</v>
      </c>
      <c r="L7773" s="28" t="s">
        <v>52</v>
      </c>
      <c r="M7773" s="25">
        <v>75065.289999999994</v>
      </c>
      <c r="N7773" s="27">
        <v>0.38164791820073379</v>
      </c>
    </row>
    <row r="7774" spans="1:14" x14ac:dyDescent="0.15">
      <c r="A7774" s="23" t="str">
        <f>HYPERLINK("https://www.spark-marketing.ru/Card/Person/4343928", "ФГБОУ ВО КУБАНСКИЙ ГАУ")</f>
        <v>ФГБОУ ВО КУБАНСКИЙ ГАУ</v>
      </c>
      <c r="B7774" s="24" t="s">
        <v>1428</v>
      </c>
      <c r="C7774" s="25">
        <v>476740</v>
      </c>
      <c r="D7774" s="22" t="s">
        <v>9950</v>
      </c>
      <c r="E7774" s="22" t="s">
        <v>144</v>
      </c>
      <c r="F7774" s="23" t="str">
        <f>HYPERLINK("https://www.spark-marketing.ru/Card/Lot/70673879", "Услуги охранные студенческого городка")</f>
        <v>Услуги охранные студенческого городка</v>
      </c>
      <c r="G7774" s="22" t="s">
        <v>132</v>
      </c>
      <c r="H7774" s="22" t="s">
        <v>132</v>
      </c>
      <c r="I7774" s="26">
        <v>43607.680300925902</v>
      </c>
      <c r="J7774" s="28" t="s">
        <v>52</v>
      </c>
      <c r="K7774" s="28" t="s">
        <v>52</v>
      </c>
      <c r="L7774" s="28" t="s">
        <v>52</v>
      </c>
      <c r="M7774" s="28" t="s">
        <v>52</v>
      </c>
      <c r="N7774" s="28" t="s">
        <v>52</v>
      </c>
    </row>
    <row r="7775" spans="1:14" x14ac:dyDescent="0.15">
      <c r="A7775" s="23" t="str">
        <f>HYPERLINK("https://www.spark-marketing.ru/Card/Person/8769", "АДМИНИСТРАЦИЯ ГО ЗАТО СВОБОДНЫЙ")</f>
        <v>АДМИНИСТРАЦИЯ ГО ЗАТО СВОБОДНЫЙ</v>
      </c>
      <c r="B7775" s="24" t="s">
        <v>3233</v>
      </c>
      <c r="C7775" s="25">
        <v>158229.6</v>
      </c>
      <c r="D7775" s="22" t="s">
        <v>9951</v>
      </c>
      <c r="E7775" s="22" t="s">
        <v>59</v>
      </c>
      <c r="F7775" s="23" t="str">
        <f>HYPERLINK("https://www.spark-marketing.ru/Card/Lot/70667288", "Выполнение работ по приобретению и установке светофора Т 7.1")</f>
        <v>Выполнение работ по приобретению и установке светофора Т 7.1</v>
      </c>
      <c r="G7775" s="22" t="s">
        <v>247</v>
      </c>
      <c r="H7775" s="22" t="s">
        <v>247</v>
      </c>
      <c r="I7775" s="26">
        <v>43607.625694444403</v>
      </c>
      <c r="J7775" s="28" t="s">
        <v>52</v>
      </c>
      <c r="K7775" s="28" t="s">
        <v>52</v>
      </c>
      <c r="L7775" s="28" t="s">
        <v>52</v>
      </c>
      <c r="M7775" s="28" t="s">
        <v>52</v>
      </c>
      <c r="N7775" s="28" t="s">
        <v>52</v>
      </c>
    </row>
    <row r="7776" spans="1:14" x14ac:dyDescent="0.15">
      <c r="A7776" s="23" t="str">
        <f>HYPERLINK("https://www.spark-marketing.ru/Card/Person/1052044", "МБДОУ ""ДЕТСКИЙ САД ""ЖУРАВУШКА"""", ДЕТСКИЙ САД ""ЖУРАВУШКА""")</f>
        <v>МБДОУ "ДЕТСКИЙ САД "ЖУРАВУШКА"", ДЕТСКИЙ САД "ЖУРАВУШКА"</v>
      </c>
      <c r="B7776" s="24" t="s">
        <v>9952</v>
      </c>
      <c r="C7776" s="25">
        <v>170322</v>
      </c>
      <c r="D7776" s="22" t="s">
        <v>9953</v>
      </c>
      <c r="E7776" s="22" t="s">
        <v>84</v>
      </c>
      <c r="F7776" s="23" t="str">
        <f>HYPERLINK("https://www.spark-marketing.ru/Card/Lot/70667573", "Установка (модернизация имеющегося) внутреннего и наружного видеонаблюдения")</f>
        <v>Установка (модернизация имеющегося) внутреннего и наружного видеонаблюдения</v>
      </c>
      <c r="G7776" s="22" t="s">
        <v>72</v>
      </c>
      <c r="H7776" s="22" t="s">
        <v>692</v>
      </c>
      <c r="I7776" s="26">
        <v>43607.645833333299</v>
      </c>
      <c r="J7776" s="23" t="str">
        <f>HYPERLINK("https://www.spark-marketing.ru/Card/Person/6321814", "Юдин Сергей Петрович")</f>
        <v>Юдин Сергей Петрович</v>
      </c>
      <c r="K7776" s="24" t="s">
        <v>1264</v>
      </c>
      <c r="L7776" s="22" t="s">
        <v>10</v>
      </c>
      <c r="M7776" s="28" t="s">
        <v>52</v>
      </c>
      <c r="N7776" s="28" t="s">
        <v>52</v>
      </c>
    </row>
    <row r="7777" spans="1:14" x14ac:dyDescent="0.15">
      <c r="A7777" s="23" t="str">
        <f>HYPERLINK("https://www.spark-marketing.ru/Card/Person/37451", "ГБУЗ ""СОКВД""")</f>
        <v>ГБУЗ "СОКВД"</v>
      </c>
      <c r="B7777" s="24" t="s">
        <v>4347</v>
      </c>
      <c r="C7777" s="25">
        <v>724817.84</v>
      </c>
      <c r="D7777" s="22" t="s">
        <v>9954</v>
      </c>
      <c r="E7777" s="22" t="s">
        <v>107</v>
      </c>
      <c r="F7777" s="23" t="str">
        <f>HYPERLINK("https://www.spark-marketing.ru/Card/Lot/70653287", "Оказание услуг по очистке и дезинфекции вентиляционных систем для нужд ГБУЗ СОКВД")</f>
        <v>Оказание услуг по очистке и дезинфекции вентиляционных систем для нужд ГБУЗ СОКВД</v>
      </c>
      <c r="G7777" s="22" t="s">
        <v>69</v>
      </c>
      <c r="H7777" s="22" t="s">
        <v>973</v>
      </c>
      <c r="I7777" s="26">
        <v>43607.658333333296</v>
      </c>
      <c r="J7777" s="23" t="str">
        <f>HYPERLINK("https://www.spark-marketing.ru/Card/Person/486599", "ООО ""ВЕНТЭКО""")</f>
        <v>ООО "ВЕНТЭКО"</v>
      </c>
      <c r="K7777" s="24" t="s">
        <v>4350</v>
      </c>
      <c r="L7777" s="28" t="s">
        <v>52</v>
      </c>
      <c r="M7777" s="28" t="s">
        <v>52</v>
      </c>
      <c r="N7777" s="28" t="s">
        <v>52</v>
      </c>
    </row>
    <row r="7778" spans="1:14" ht="12.75" hidden="1" outlineLevel="1" x14ac:dyDescent="0.2">
      <c r="A7778" s="23" t="str">
        <f>HYPERLINK("https://www.spark-marketing.ru/Card/Person/37451", "ГБУЗ ""СОКВД""")</f>
        <v>ГБУЗ "СОКВД"</v>
      </c>
      <c r="B7778" s="24" t="s">
        <v>4347</v>
      </c>
      <c r="C7778" s="25">
        <v>724817.84</v>
      </c>
      <c r="D7778" s="22" t="s">
        <v>9954</v>
      </c>
      <c r="E7778" s="22" t="s">
        <v>107</v>
      </c>
      <c r="F7778" s="23" t="str">
        <f>HYPERLINK("https://www.spark-marketing.ru/Card/Lot/70653287", "Оказание услуг по очистке и дезинфекции вентиляционных систем для нужд ГБУЗ СОКВД")</f>
        <v>Оказание услуг по очистке и дезинфекции вентиляционных систем для нужд ГБУЗ СОКВД</v>
      </c>
      <c r="G7778" s="22" t="s">
        <v>69</v>
      </c>
      <c r="H7778" s="22" t="s">
        <v>973</v>
      </c>
      <c r="I7778" s="26">
        <v>43607.658333333296</v>
      </c>
      <c r="J7778" s="23" t="str">
        <f>HYPERLINK("https://www.spark-marketing.ru/Card/Person/486599", "ООО ""ВЕНТЭКО""")</f>
        <v>ООО "ВЕНТЭКО"</v>
      </c>
      <c r="K7778" s="24" t="s">
        <v>4350</v>
      </c>
      <c r="L7778" s="22" t="s">
        <v>10</v>
      </c>
      <c r="M7778" s="25">
        <v>720817.84</v>
      </c>
      <c r="N7778" s="27">
        <v>5.5186279631307088E-3</v>
      </c>
    </row>
    <row r="7779" spans="1:14" x14ac:dyDescent="0.15">
      <c r="A7779" s="23" t="str">
        <f>HYPERLINK("https://www.spark-marketing.ru/Card/Person/24877", "ГАУЗ ""ООБ № 3""")</f>
        <v>ГАУЗ "ООБ № 3"</v>
      </c>
      <c r="B7779" s="24" t="s">
        <v>9955</v>
      </c>
      <c r="C7779" s="25">
        <v>1499650.4</v>
      </c>
      <c r="D7779" s="22" t="s">
        <v>9956</v>
      </c>
      <c r="E7779" s="22" t="s">
        <v>144</v>
      </c>
      <c r="F7779" s="23" t="str">
        <f>HYPERLINK("https://www.spark-marketing.ru/Card/Lot/70666873", "Оказание услуг по охране объектов ГАУЗ «ООБ №3»")</f>
        <v>Оказание услуг по охране объектов ГАУЗ «ООБ №3»</v>
      </c>
      <c r="G7779" s="22" t="s">
        <v>384</v>
      </c>
      <c r="H7779" s="22" t="s">
        <v>384</v>
      </c>
      <c r="I7779" s="26">
        <v>43607.637361111098</v>
      </c>
      <c r="J7779" s="28" t="s">
        <v>52</v>
      </c>
      <c r="K7779" s="28" t="s">
        <v>52</v>
      </c>
      <c r="L7779" s="28" t="s">
        <v>52</v>
      </c>
      <c r="M7779" s="28" t="s">
        <v>52</v>
      </c>
      <c r="N7779" s="28" t="s">
        <v>52</v>
      </c>
    </row>
    <row r="7780" spans="1:14" x14ac:dyDescent="0.15">
      <c r="A7780" s="23" t="str">
        <f>HYPERLINK("https://www.spark-marketing.ru/Card/Person/36888", "СПБ ГБУ ""МУЗЕЙ ""НАРВСКАЯ ЗАСТАВА""")</f>
        <v>СПБ ГБУ "МУЗЕЙ "НАРВСКАЯ ЗАСТАВА"</v>
      </c>
      <c r="B7780" s="24" t="s">
        <v>9957</v>
      </c>
      <c r="C7780" s="25">
        <v>546064.4</v>
      </c>
      <c r="D7780" s="22" t="s">
        <v>9958</v>
      </c>
      <c r="E7780" s="22" t="s">
        <v>59</v>
      </c>
      <c r="F7780" s="23" t="str">
        <f>HYPERLINK("https://www.spark-marketing.ru/Card/Lot/70672098", "Устройство системы наружного видеонаблюдения на объекте: СПб ГБУ «Музей «Нарвская застава» по адресу: г. СПб, ул. Ивана Черных, д. 23")</f>
        <v>Устройство системы наружного видеонаблюдения на объекте: СПб ГБУ «Музей «Нарвская застава» по адресу: г. СПб, ул. Ивана Черных, д. 23</v>
      </c>
      <c r="G7780" s="22" t="s">
        <v>89</v>
      </c>
      <c r="H7780" s="22" t="s">
        <v>89</v>
      </c>
      <c r="I7780" s="26">
        <v>43607.6340277778</v>
      </c>
      <c r="J7780" s="28" t="s">
        <v>52</v>
      </c>
      <c r="K7780" s="28" t="s">
        <v>52</v>
      </c>
      <c r="L7780" s="28" t="s">
        <v>52</v>
      </c>
      <c r="M7780" s="28" t="s">
        <v>52</v>
      </c>
      <c r="N7780" s="28" t="s">
        <v>52</v>
      </c>
    </row>
    <row r="7781" spans="1:14" ht="12.75" hidden="1" outlineLevel="1" x14ac:dyDescent="0.2">
      <c r="A7781" s="23" t="str">
        <f>HYPERLINK("https://www.spark-marketing.ru/Card/Person/36888", "СПБ ГБУ ""МУЗЕЙ ""НАРВСКАЯ ЗАСТАВА""")</f>
        <v>СПБ ГБУ "МУЗЕЙ "НАРВСКАЯ ЗАСТАВА"</v>
      </c>
      <c r="B7781" s="24" t="s">
        <v>9957</v>
      </c>
      <c r="C7781" s="25">
        <v>546064.4</v>
      </c>
      <c r="D7781" s="22" t="s">
        <v>9958</v>
      </c>
      <c r="E7781" s="22" t="s">
        <v>59</v>
      </c>
      <c r="F7781" s="23" t="str">
        <f>HYPERLINK("https://www.spark-marketing.ru/Card/Lot/70672098", "Устройство системы наружного видеонаблюдения на объекте: СПб ГБУ «Музей «Нарвская застава» по адресу: г. СПб, ул. Ивана Черных, д. 23")</f>
        <v>Устройство системы наружного видеонаблюдения на объекте: СПб ГБУ «Музей «Нарвская застава» по адресу: г. СПб, ул. Ивана Черных, д. 23</v>
      </c>
      <c r="G7781" s="22" t="s">
        <v>89</v>
      </c>
      <c r="H7781" s="22" t="s">
        <v>89</v>
      </c>
      <c r="I7781" s="26">
        <v>43607.6340277778</v>
      </c>
      <c r="J7781" s="23" t="str">
        <f>HYPERLINK("https://www.spark-marketing.ru/Card/Person/147793", "ООО ""БАЗИС ПЛЮС""")</f>
        <v>ООО "БАЗИС ПЛЮС"</v>
      </c>
      <c r="K7781" s="24" t="s">
        <v>9959</v>
      </c>
      <c r="L7781" s="22" t="s">
        <v>10</v>
      </c>
      <c r="M7781" s="25">
        <v>540603.76</v>
      </c>
      <c r="N7781" s="27">
        <v>9.9999926748566646E-3</v>
      </c>
    </row>
    <row r="7782" spans="1:14" hidden="1" outlineLevel="1" x14ac:dyDescent="0.2">
      <c r="A7782" s="23" t="str">
        <f>HYPERLINK("https://www.spark-marketing.ru/Card/Person/36888", "СПБ ГБУ ""МУЗЕЙ ""НАРВСКАЯ ЗАСТАВА""")</f>
        <v>СПБ ГБУ "МУЗЕЙ "НАРВСКАЯ ЗАСТАВА"</v>
      </c>
      <c r="B7782" s="24" t="s">
        <v>9957</v>
      </c>
      <c r="C7782" s="25">
        <v>546064.4</v>
      </c>
      <c r="D7782" s="22" t="s">
        <v>9958</v>
      </c>
      <c r="E7782" s="22" t="s">
        <v>59</v>
      </c>
      <c r="F7782" s="23" t="str">
        <f>HYPERLINK("https://www.spark-marketing.ru/Card/Lot/70672098", "Устройство системы наружного видеонаблюдения на объекте: СПб ГБУ «Музей «Нарвская застава» по адресу: г. СПб, ул. Ивана Черных, д. 23")</f>
        <v>Устройство системы наружного видеонаблюдения на объекте: СПб ГБУ «Музей «Нарвская застава» по адресу: г. СПб, ул. Ивана Черных, д. 23</v>
      </c>
      <c r="G7782" s="22" t="s">
        <v>89</v>
      </c>
      <c r="H7782" s="22" t="s">
        <v>89</v>
      </c>
      <c r="I7782" s="26">
        <v>43607.6340277778</v>
      </c>
      <c r="J7782" s="23" t="str">
        <f>HYPERLINK("https://www.spark-marketing.ru/Card/Person/4348935", "ООО ""СТРОЙВИЖН""")</f>
        <v>ООО "СТРОЙВИЖН"</v>
      </c>
      <c r="K7782" s="24" t="s">
        <v>9960</v>
      </c>
      <c r="L7782" s="28" t="s">
        <v>52</v>
      </c>
      <c r="M7782" s="25">
        <v>543334.07999999996</v>
      </c>
      <c r="N7782" s="27">
        <v>4.9999963374283323E-3</v>
      </c>
    </row>
    <row r="7783" spans="1:14" x14ac:dyDescent="0.15">
      <c r="A7783" s="23" t="str">
        <f>HYPERLINK("https://www.spark-marketing.ru/Card/Person/4349150", "МБОУ СОШ № 18, МБОУ ""СРЕДНЯЯ ОБЩЕОБРАЗОВАТЕЛЬНАЯ ШКОЛА № 18""")</f>
        <v>МБОУ СОШ № 18, МБОУ "СРЕДНЯЯ ОБЩЕОБРАЗОВАТЕЛЬНАЯ ШКОЛА № 18"</v>
      </c>
      <c r="B7783" s="24" t="s">
        <v>9961</v>
      </c>
      <c r="C7783" s="25">
        <v>263542</v>
      </c>
      <c r="D7783" s="22" t="s">
        <v>9962</v>
      </c>
      <c r="E7783" s="22" t="s">
        <v>84</v>
      </c>
      <c r="F7783" s="23" t="str">
        <f>HYPERLINK("https://www.spark-marketing.ru/Card/Lot/70666963", "Установка (модернизация имеющегося) внутреннего и наружного видеонаблюдения")</f>
        <v>Установка (модернизация имеющегося) внутреннего и наружного видеонаблюдения</v>
      </c>
      <c r="G7783" s="22" t="s">
        <v>72</v>
      </c>
      <c r="H7783" s="22" t="s">
        <v>692</v>
      </c>
      <c r="I7783" s="26">
        <v>43607.645138888904</v>
      </c>
      <c r="J7783" s="23" t="str">
        <f>HYPERLINK("https://www.spark-marketing.ru/Card/Person/6321814", "Юдин Сергей Петрович")</f>
        <v>Юдин Сергей Петрович</v>
      </c>
      <c r="K7783" s="24" t="s">
        <v>1264</v>
      </c>
      <c r="L7783" s="22" t="s">
        <v>10</v>
      </c>
      <c r="M7783" s="28" t="s">
        <v>52</v>
      </c>
      <c r="N7783" s="28" t="s">
        <v>52</v>
      </c>
    </row>
    <row r="7784" spans="1:14" x14ac:dyDescent="0.15">
      <c r="A7784" s="23" t="str">
        <f>HYPERLINK("https://www.spark-marketing.ru/Card/Person/4348813", "АО ""РЖДСТРОЙ""")</f>
        <v>АО "РЖДСТРОЙ"</v>
      </c>
      <c r="B7784" s="24" t="s">
        <v>975</v>
      </c>
      <c r="C7784" s="25">
        <v>814612</v>
      </c>
      <c r="D7784" s="22" t="s">
        <v>9963</v>
      </c>
      <c r="E7784" s="22" t="s">
        <v>5691</v>
      </c>
      <c r="F7784" s="23" t="str">
        <f>HYPERLINK("https://www.spark-marketing.ru/Card/Lot/70690173", "Оказание услуг по геодезическому сопровождению объекта: ""Реконструкция станции Гумрак Приволжской железной дороги. Путепроводная развязка""")</f>
        <v>Оказание услуг по геодезическому сопровождению объекта: "Реконструкция станции Гумрак Приволжской железной дороги. Путепроводная развязка"</v>
      </c>
      <c r="G7784" s="22" t="s">
        <v>55</v>
      </c>
      <c r="H7784" s="22" t="s">
        <v>55</v>
      </c>
      <c r="I7784" s="26">
        <v>43607.601180555597</v>
      </c>
      <c r="J7784" s="28" t="s">
        <v>52</v>
      </c>
      <c r="K7784" s="28" t="s">
        <v>52</v>
      </c>
      <c r="L7784" s="28" t="s">
        <v>52</v>
      </c>
      <c r="M7784" s="28" t="s">
        <v>52</v>
      </c>
      <c r="N7784" s="28" t="s">
        <v>52</v>
      </c>
    </row>
    <row r="7785" spans="1:14" x14ac:dyDescent="0.2">
      <c r="A7785" s="23" t="str">
        <f>HYPERLINK("https://www.spark-marketing.ru/Card/Person/4348813", "АО ""РЖДСТРОЙ""")</f>
        <v>АО "РЖДСТРОЙ"</v>
      </c>
      <c r="B7785" s="24" t="s">
        <v>975</v>
      </c>
      <c r="C7785" s="25">
        <v>1197385.6399999999</v>
      </c>
      <c r="D7785" s="22" t="s">
        <v>9964</v>
      </c>
      <c r="E7785" s="22" t="s">
        <v>5691</v>
      </c>
      <c r="F7785" s="23" t="str">
        <f>HYPERLINK("https://www.spark-marketing.ru/Card/Lot/70690174", "Оказание услуг по геодезическому сопровождению объекта: ""КОМПЛЕКСНАЯ РЕКОНСТРУКЦИЯ УЧАСТКА ИМ.МАКСИМА ГОРЬКОГО-КОТЕЛЬНИКОВО ПРИВОЛЖСКОЙ Ж.Д.СТРОИТЕЛЬСТВО ВТОРОГО ГЛАВНОГО ПУТИ НА УЧАСТКЕ ИМ.МАКСИМА ГОРЬКОГО-ГОРНОПОЛЯНСКИЙ""")</f>
        <v>Оказание услуг по геодезическому сопровождению объекта: "КОМПЛЕКСНАЯ РЕКОНСТРУКЦИЯ УЧАСТКА ИМ.МАКСИМА ГОРЬКОГО-КОТЕЛЬНИКОВО ПРИВОЛЖСКОЙ Ж.Д.СТРОИТЕЛЬСТВО ВТОРОГО ГЛАВНОГО ПУТИ НА УЧАСТКЕ ИМ.МАКСИМА ГОРЬКОГО-ГОРНОПОЛЯНСКИЙ"</v>
      </c>
      <c r="G7785" s="22" t="s">
        <v>55</v>
      </c>
      <c r="H7785" s="22" t="s">
        <v>55</v>
      </c>
      <c r="I7785" s="26">
        <v>43607.607199074097</v>
      </c>
      <c r="J7785" s="28" t="s">
        <v>52</v>
      </c>
      <c r="K7785" s="28" t="s">
        <v>52</v>
      </c>
      <c r="L7785" s="22" t="s">
        <v>10</v>
      </c>
      <c r="M7785" s="25">
        <v>724922.72</v>
      </c>
      <c r="N7785" s="27">
        <v>0.39457874240081919</v>
      </c>
    </row>
    <row r="7786" spans="1:14" x14ac:dyDescent="0.15">
      <c r="A7786" s="23" t="str">
        <f>HYPERLINK("https://www.spark-marketing.ru/Card/Person/255630", "ГБУЗ РК ""КРНД""")</f>
        <v>ГБУЗ РК "КРНД"</v>
      </c>
      <c r="B7786" s="24" t="s">
        <v>7907</v>
      </c>
      <c r="C7786" s="25">
        <v>97348.02</v>
      </c>
      <c r="D7786" s="22" t="s">
        <v>9965</v>
      </c>
      <c r="E7786" s="22" t="s">
        <v>4889</v>
      </c>
      <c r="F7786" s="23" t="str">
        <f>HYPERLINK("https://www.spark-marketing.ru/Card/Lot/70669159", "Оказание услуг по техническому сопровождению объектов ГБУЗ РК «КРНД»")</f>
        <v>Оказание услуг по техническому сопровождению объектов ГБУЗ РК «КРНД»</v>
      </c>
      <c r="G7786" s="22" t="s">
        <v>538</v>
      </c>
      <c r="H7786" s="22" t="s">
        <v>707</v>
      </c>
      <c r="I7786" s="26">
        <v>43607.6069444444</v>
      </c>
      <c r="J7786" s="28" t="s">
        <v>52</v>
      </c>
      <c r="K7786" s="28" t="s">
        <v>52</v>
      </c>
      <c r="L7786" s="28" t="s">
        <v>52</v>
      </c>
      <c r="M7786" s="28" t="s">
        <v>52</v>
      </c>
      <c r="N7786" s="28" t="s">
        <v>52</v>
      </c>
    </row>
    <row r="7787" spans="1:14" x14ac:dyDescent="0.15">
      <c r="A7787" s="23" t="str">
        <f>HYPERLINK("https://www.spark-marketing.ru/Card/Person/4352086", "ГБПОУ МО ""СЕРГИЕВО-ПОСАДСКИЙ АГРАРНЫЙ КОЛЛЕДЖ""")</f>
        <v>ГБПОУ МО "СЕРГИЕВО-ПОСАДСКИЙ АГРАРНЫЙ КОЛЛЕДЖ"</v>
      </c>
      <c r="B7787" s="24" t="s">
        <v>324</v>
      </c>
      <c r="C7787" s="25">
        <v>295000</v>
      </c>
      <c r="D7787" s="22" t="s">
        <v>9966</v>
      </c>
      <c r="E7787" s="22" t="s">
        <v>208</v>
      </c>
      <c r="F7787" s="23" t="str">
        <f>HYPERLINK("https://www.spark-marketing.ru/Card/Lot/70668058", "оснащение автоматизированной системой контроля, ограничения и управления доступом основного входа с установкой видеосистемы, установку устройств ограждения для исключения прохода и установку видеодомофона в здании ГБПОУ МО «Сергиево-Посадский аграрны...")</f>
        <v>оснащение автоматизированной системой контроля, ограничения и управления доступом основного входа с установкой видеосистемы, установку устройств ограждения для исключения прохода и установку видеодомофона в здании ГБПОУ МО «Сергиево-Посадский аграрны...</v>
      </c>
      <c r="G7787" s="22" t="s">
        <v>50</v>
      </c>
      <c r="H7787" s="22" t="s">
        <v>326</v>
      </c>
      <c r="I7787" s="26">
        <v>43607.591666666704</v>
      </c>
      <c r="J7787" s="28" t="s">
        <v>52</v>
      </c>
      <c r="K7787" s="28" t="s">
        <v>52</v>
      </c>
      <c r="L7787" s="28" t="s">
        <v>52</v>
      </c>
      <c r="M7787" s="28" t="s">
        <v>52</v>
      </c>
      <c r="N7787" s="28" t="s">
        <v>52</v>
      </c>
    </row>
    <row r="7788" spans="1:14" hidden="1" outlineLevel="1" x14ac:dyDescent="0.2">
      <c r="A7788" s="23" t="str">
        <f>HYPERLINK("https://www.spark-marketing.ru/Card/Person/4352086", "ГБПОУ МО ""СЕРГИЕВО-ПОСАДСКИЙ АГРАРНЫЙ КОЛЛЕДЖ""")</f>
        <v>ГБПОУ МО "СЕРГИЕВО-ПОСАДСКИЙ АГРАРНЫЙ КОЛЛЕДЖ"</v>
      </c>
      <c r="B7788" s="24" t="s">
        <v>324</v>
      </c>
      <c r="C7788" s="25">
        <v>295000</v>
      </c>
      <c r="D7788" s="22" t="s">
        <v>9966</v>
      </c>
      <c r="E7788" s="22" t="s">
        <v>208</v>
      </c>
      <c r="F7788" s="23" t="str">
        <f>HYPERLINK("https://www.spark-marketing.ru/Card/Lot/70668058", "оснащение автоматизированной системой контроля, ограничения и управления доступом основного входа с установкой видеосистемы, установку устройств ограждения для исключения прохода и установку видеодомофона в здании ГБПОУ МО «Сергиево-Посадский аграрны...")</f>
        <v>оснащение автоматизированной системой контроля, ограничения и управления доступом основного входа с установкой видеосистемы, установку устройств ограждения для исключения прохода и установку видеодомофона в здании ГБПОУ МО «Сергиево-Посадский аграрны...</v>
      </c>
      <c r="G7788" s="22" t="s">
        <v>50</v>
      </c>
      <c r="H7788" s="22" t="s">
        <v>326</v>
      </c>
      <c r="I7788" s="26">
        <v>43607.591666666704</v>
      </c>
      <c r="J7788" s="23" t="str">
        <f>HYPERLINK("https://www.spark-marketing.ru/Card/Person/721252", "ООО ""СЭЙФЕР""")</f>
        <v>ООО "СЭЙФЕР"</v>
      </c>
      <c r="K7788" s="24" t="s">
        <v>6419</v>
      </c>
      <c r="L7788" s="28" t="s">
        <v>52</v>
      </c>
      <c r="M7788" s="25">
        <v>170249.99</v>
      </c>
      <c r="N7788" s="27">
        <v>0.42288138983050849</v>
      </c>
    </row>
    <row r="7789" spans="1:14" ht="12.75" hidden="1" outlineLevel="1" x14ac:dyDescent="0.2">
      <c r="A7789" s="23" t="str">
        <f>HYPERLINK("https://www.spark-marketing.ru/Card/Person/4352086", "ГБПОУ МО ""СЕРГИЕВО-ПОСАДСКИЙ АГРАРНЫЙ КОЛЛЕДЖ""")</f>
        <v>ГБПОУ МО "СЕРГИЕВО-ПОСАДСКИЙ АГРАРНЫЙ КОЛЛЕДЖ"</v>
      </c>
      <c r="B7789" s="24" t="s">
        <v>324</v>
      </c>
      <c r="C7789" s="25">
        <v>295000</v>
      </c>
      <c r="D7789" s="22" t="s">
        <v>9966</v>
      </c>
      <c r="E7789" s="22" t="s">
        <v>208</v>
      </c>
      <c r="F7789" s="23" t="str">
        <f>HYPERLINK("https://www.spark-marketing.ru/Card/Lot/70668058", "оснащение автоматизированной системой контроля, ограничения и управления доступом основного входа с установкой видеосистемы, установку устройств ограждения для исключения прохода и установку видеодомофона в здании ГБПОУ МО «Сергиево-Посадский аграрны...")</f>
        <v>оснащение автоматизированной системой контроля, ограничения и управления доступом основного входа с установкой видеосистемы, установку устройств ограждения для исключения прохода и установку видеодомофона в здании ГБПОУ МО «Сергиево-Посадский аграрны...</v>
      </c>
      <c r="G7789" s="22" t="s">
        <v>50</v>
      </c>
      <c r="H7789" s="22" t="s">
        <v>326</v>
      </c>
      <c r="I7789" s="26">
        <v>43607.591666666704</v>
      </c>
      <c r="J7789" s="23" t="str">
        <f>HYPERLINK("https://www.spark-marketing.ru/Card/Person/89236", "ООО ЧОП ""АБПО ""ОМЕГА""")</f>
        <v>ООО ЧОП "АБПО "ОМЕГА"</v>
      </c>
      <c r="K7789" s="24" t="s">
        <v>9967</v>
      </c>
      <c r="L7789" s="22" t="s">
        <v>10</v>
      </c>
      <c r="M7789" s="25">
        <v>168775</v>
      </c>
      <c r="N7789" s="27">
        <v>0.42788135593220339</v>
      </c>
    </row>
    <row r="7790" spans="1:14" x14ac:dyDescent="0.15">
      <c r="A7790" s="23" t="str">
        <f>HYPERLINK("https://www.spark-marketing.ru/Card/Person/361457", "ООО ""ГАЗПРОМ МЕЖРЕГИОНГАЗ САМАРА""")</f>
        <v>ООО "ГАЗПРОМ МЕЖРЕГИОНГАЗ САМАРА"</v>
      </c>
      <c r="B7790" s="24" t="s">
        <v>9968</v>
      </c>
      <c r="C7790" s="25">
        <v>55800</v>
      </c>
      <c r="D7790" s="22" t="s">
        <v>9969</v>
      </c>
      <c r="E7790" s="22" t="s">
        <v>9970</v>
      </c>
      <c r="F7790" s="23" t="str">
        <f>HYPERLINK("https://www.spark-marketing.ru/Card/Lot/70666857", "Услуга по охране транспортных средств")</f>
        <v>Услуга по охране транспортных средств</v>
      </c>
      <c r="G7790" s="22" t="s">
        <v>760</v>
      </c>
      <c r="H7790" s="22" t="s">
        <v>760</v>
      </c>
      <c r="I7790" s="26">
        <v>43607.599733796298</v>
      </c>
      <c r="J7790" s="28" t="s">
        <v>52</v>
      </c>
      <c r="K7790" s="28" t="s">
        <v>52</v>
      </c>
      <c r="L7790" s="28" t="s">
        <v>52</v>
      </c>
      <c r="M7790" s="28" t="s">
        <v>52</v>
      </c>
      <c r="N7790" s="28" t="s">
        <v>52</v>
      </c>
    </row>
    <row r="7791" spans="1:14" x14ac:dyDescent="0.15">
      <c r="A7791" s="23" t="str">
        <f>HYPERLINK("https://www.spark-marketing.ru/Card/Person/361457", "ООО ""ГАЗПРОМ МЕЖРЕГИОНГАЗ САМАРА""")</f>
        <v>ООО "ГАЗПРОМ МЕЖРЕГИОНГАЗ САМАРА"</v>
      </c>
      <c r="B7791" s="24" t="s">
        <v>9968</v>
      </c>
      <c r="C7791" s="25">
        <v>27900</v>
      </c>
      <c r="D7791" s="22" t="s">
        <v>9971</v>
      </c>
      <c r="E7791" s="22" t="s">
        <v>9970</v>
      </c>
      <c r="F7791" s="23" t="str">
        <f>HYPERLINK("https://www.spark-marketing.ru/Card/Lot/70666797", "Услуга по охране транспортных средств")</f>
        <v>Услуга по охране транспортных средств</v>
      </c>
      <c r="G7791" s="22" t="s">
        <v>760</v>
      </c>
      <c r="H7791" s="22" t="s">
        <v>760</v>
      </c>
      <c r="I7791" s="26">
        <v>43607.597037036998</v>
      </c>
      <c r="J7791" s="28" t="s">
        <v>52</v>
      </c>
      <c r="K7791" s="28" t="s">
        <v>52</v>
      </c>
      <c r="L7791" s="28" t="s">
        <v>52</v>
      </c>
      <c r="M7791" s="28" t="s">
        <v>52</v>
      </c>
      <c r="N7791" s="28" t="s">
        <v>52</v>
      </c>
    </row>
    <row r="7792" spans="1:14" x14ac:dyDescent="0.15">
      <c r="A7792" s="23" t="str">
        <f>HYPERLINK("https://www.spark-marketing.ru/Card/Person/361457", "ООО ""ГАЗПРОМ МЕЖРЕГИОНГАЗ САМАРА""")</f>
        <v>ООО "ГАЗПРОМ МЕЖРЕГИОНГАЗ САМАРА"</v>
      </c>
      <c r="B7792" s="24" t="s">
        <v>9968</v>
      </c>
      <c r="C7792" s="25">
        <v>30600</v>
      </c>
      <c r="D7792" s="22" t="s">
        <v>9972</v>
      </c>
      <c r="E7792" s="22" t="s">
        <v>9970</v>
      </c>
      <c r="F7792" s="23" t="str">
        <f>HYPERLINK("https://www.spark-marketing.ru/Card/Lot/70665543", "Услуга по охране транспортных средств")</f>
        <v>Услуга по охране транспортных средств</v>
      </c>
      <c r="G7792" s="22" t="s">
        <v>760</v>
      </c>
      <c r="H7792" s="22" t="s">
        <v>760</v>
      </c>
      <c r="I7792" s="26">
        <v>43607.58625</v>
      </c>
      <c r="J7792" s="28" t="s">
        <v>52</v>
      </c>
      <c r="K7792" s="28" t="s">
        <v>52</v>
      </c>
      <c r="L7792" s="28" t="s">
        <v>52</v>
      </c>
      <c r="M7792" s="28" t="s">
        <v>52</v>
      </c>
      <c r="N7792" s="28" t="s">
        <v>52</v>
      </c>
    </row>
    <row r="7793" spans="1:14" x14ac:dyDescent="0.15">
      <c r="A7793" s="23" t="str">
        <f>HYPERLINK("https://www.spark-marketing.ru/Card/Person/361457", "ООО ""ГАЗПРОМ МЕЖРЕГИОНГАЗ САМАРА""")</f>
        <v>ООО "ГАЗПРОМ МЕЖРЕГИОНГАЗ САМАРА"</v>
      </c>
      <c r="B7793" s="24" t="s">
        <v>9968</v>
      </c>
      <c r="C7793" s="25">
        <v>27900</v>
      </c>
      <c r="D7793" s="22" t="s">
        <v>9973</v>
      </c>
      <c r="E7793" s="22" t="s">
        <v>9970</v>
      </c>
      <c r="F7793" s="23" t="str">
        <f>HYPERLINK("https://www.spark-marketing.ru/Card/Lot/70665449", "Услуга по охране транспортных средств")</f>
        <v>Услуга по охране транспортных средств</v>
      </c>
      <c r="G7793" s="22" t="s">
        <v>760</v>
      </c>
      <c r="H7793" s="22" t="s">
        <v>760</v>
      </c>
      <c r="I7793" s="26">
        <v>43607.589525463001</v>
      </c>
      <c r="J7793" s="28" t="s">
        <v>52</v>
      </c>
      <c r="K7793" s="28" t="s">
        <v>52</v>
      </c>
      <c r="L7793" s="28" t="s">
        <v>52</v>
      </c>
      <c r="M7793" s="28" t="s">
        <v>52</v>
      </c>
      <c r="N7793" s="28" t="s">
        <v>52</v>
      </c>
    </row>
    <row r="7794" spans="1:14" x14ac:dyDescent="0.15">
      <c r="A7794" s="23" t="str">
        <f>HYPERLINK("https://www.spark-marketing.ru/Card/Person/86901", "ВЕРХОВНЫЙ СУД РЕСПУБЛИКИ КОМИ")</f>
        <v>ВЕРХОВНЫЙ СУД РЕСПУБЛИКИ КОМИ</v>
      </c>
      <c r="B7794" s="24" t="s">
        <v>9974</v>
      </c>
      <c r="C7794" s="25">
        <v>616588.74</v>
      </c>
      <c r="D7794" s="22" t="s">
        <v>9975</v>
      </c>
      <c r="E7794" s="22" t="s">
        <v>68</v>
      </c>
      <c r="F7794" s="23" t="str">
        <f>HYPERLINK("https://www.spark-marketing.ru/Card/Lot/70668028", "Оказание услуг по охране объекта - здания Верховного Суда Республики Коми, имущества находящегося на объекте, прилегающей территории суда")</f>
        <v>Оказание услуг по охране объекта - здания Верховного Суда Республики Коми, имущества находящегося на объекте, прилегающей территории суда</v>
      </c>
      <c r="G7794" s="22" t="s">
        <v>340</v>
      </c>
      <c r="H7794" s="22" t="s">
        <v>340</v>
      </c>
      <c r="I7794" s="26">
        <v>43607.595138888901</v>
      </c>
      <c r="J7794" s="23" t="str">
        <f>HYPERLINK("https://www.spark-marketing.ru/Card/Person/4396729", "филиал ФГУП ""Охрана"" Росгвардии по Республике Коми")</f>
        <v>филиал ФГУП "Охрана" Росгвардии по Республике Коми</v>
      </c>
      <c r="K7794" s="24" t="s">
        <v>779</v>
      </c>
      <c r="L7794" s="22" t="s">
        <v>10</v>
      </c>
      <c r="M7794" s="28" t="s">
        <v>52</v>
      </c>
      <c r="N7794" s="28" t="s">
        <v>52</v>
      </c>
    </row>
    <row r="7795" spans="1:14" x14ac:dyDescent="0.15">
      <c r="A7795" s="23" t="str">
        <f>HYPERLINK("https://www.spark-marketing.ru/Card/Person/1043239", "ОМВД РОССИИ ПО ЧЕРЛАКСКОМУ РАЙОНУ")</f>
        <v>ОМВД РОССИИ ПО ЧЕРЛАКСКОМУ РАЙОНУ</v>
      </c>
      <c r="B7795" s="24" t="s">
        <v>9976</v>
      </c>
      <c r="C7795" s="25">
        <v>7460</v>
      </c>
      <c r="D7795" s="22" t="s">
        <v>9977</v>
      </c>
      <c r="E7795" s="22" t="s">
        <v>53</v>
      </c>
      <c r="F7795" s="23" t="str">
        <f>HYPERLINK("https://www.spark-marketing.ru/Card/Lot/70750942", "Монтаж, установка, сборка прочего оборудования, 1 шт")</f>
        <v>Монтаж, установка, сборка прочего оборудования, 1 шт</v>
      </c>
      <c r="G7795" s="22" t="s">
        <v>521</v>
      </c>
      <c r="H7795" s="22" t="s">
        <v>9978</v>
      </c>
      <c r="I7795" s="26">
        <v>43607.604791666701</v>
      </c>
      <c r="J7795" s="28" t="s">
        <v>52</v>
      </c>
      <c r="K7795" s="28" t="s">
        <v>52</v>
      </c>
      <c r="L7795" s="28" t="s">
        <v>52</v>
      </c>
      <c r="M7795" s="28" t="s">
        <v>52</v>
      </c>
      <c r="N7795" s="28" t="s">
        <v>52</v>
      </c>
    </row>
    <row r="7796" spans="1:14" x14ac:dyDescent="0.15">
      <c r="A7796" s="23" t="str">
        <f>HYPERLINK("https://www.spark-marketing.ru/Card/Person/1007092", "МАОУ ОДИНЦОВСКИЙ ЛИЦЕЙ №6 ИМ. А.С. ПУШКИНА")</f>
        <v>МАОУ ОДИНЦОВСКИЙ ЛИЦЕЙ №6 ИМ. А.С. ПУШКИНА</v>
      </c>
      <c r="B7796" s="24" t="s">
        <v>9979</v>
      </c>
      <c r="C7796" s="25">
        <v>346200</v>
      </c>
      <c r="D7796" s="22" t="s">
        <v>9980</v>
      </c>
      <c r="E7796" s="22" t="s">
        <v>2623</v>
      </c>
      <c r="F7796" s="23" t="str">
        <f>HYPERLINK("https://www.spark-marketing.ru/Card/Lot/70666064", "Закупка в 2019 году по приобретению и установке оборудования для обеспечения работы пунктов проведения экзаменов (замена устаревших камер) для нужд МАОУ Одинцовского лицея №6 им. А.С. Пушкина")</f>
        <v>Закупка в 2019 году по приобретению и установке оборудования для обеспечения работы пунктов проведения экзаменов (замена устаревших камер) для нужд МАОУ Одинцовского лицея №6 им. А.С. Пушкина</v>
      </c>
      <c r="G7796" s="22" t="s">
        <v>50</v>
      </c>
      <c r="H7796" s="22" t="s">
        <v>1045</v>
      </c>
      <c r="I7796" s="26">
        <v>43607.555081018501</v>
      </c>
      <c r="J7796" s="28" t="s">
        <v>52</v>
      </c>
      <c r="K7796" s="28" t="s">
        <v>52</v>
      </c>
      <c r="L7796" s="28" t="s">
        <v>52</v>
      </c>
      <c r="M7796" s="28" t="s">
        <v>52</v>
      </c>
      <c r="N7796" s="28" t="s">
        <v>52</v>
      </c>
    </row>
    <row r="7797" spans="1:14" x14ac:dyDescent="0.15">
      <c r="A7797" s="23" t="str">
        <f>HYPERLINK("https://www.spark-marketing.ru/Card/Person/1007092", "МАОУ ОДИНЦОВСКИЙ ЛИЦЕЙ №6 ИМ. А.С. ПУШКИНА")</f>
        <v>МАОУ ОДИНЦОВСКИЙ ЛИЦЕЙ №6 ИМ. А.С. ПУШКИНА</v>
      </c>
      <c r="B7797" s="24" t="s">
        <v>9979</v>
      </c>
      <c r="C7797" s="25">
        <v>378000</v>
      </c>
      <c r="D7797" s="22" t="s">
        <v>9981</v>
      </c>
      <c r="E7797" s="22" t="s">
        <v>2623</v>
      </c>
      <c r="F7797" s="23" t="str">
        <f>HYPERLINK("https://www.spark-marketing.ru/Card/Lot/70666075", "Закупка в 2019 году на приобретение и установку оборудования для обеспечения работы пунктов проведения экзаменов ( в здании лицея 1 и 2 этажи) для нужд МАОУ Одинцовского лицея №6 им. А.С. Пушкина")</f>
        <v>Закупка в 2019 году на приобретение и установку оборудования для обеспечения работы пунктов проведения экзаменов ( в здании лицея 1 и 2 этажи) для нужд МАОУ Одинцовского лицея №6 им. А.С. Пушкина</v>
      </c>
      <c r="G7797" s="22" t="s">
        <v>50</v>
      </c>
      <c r="H7797" s="22" t="s">
        <v>1045</v>
      </c>
      <c r="I7797" s="26">
        <v>43607.565358796302</v>
      </c>
      <c r="J7797" s="28" t="s">
        <v>52</v>
      </c>
      <c r="K7797" s="28" t="s">
        <v>52</v>
      </c>
      <c r="L7797" s="28" t="s">
        <v>52</v>
      </c>
      <c r="M7797" s="28" t="s">
        <v>52</v>
      </c>
      <c r="N7797" s="28" t="s">
        <v>52</v>
      </c>
    </row>
    <row r="7798" spans="1:14" x14ac:dyDescent="0.15">
      <c r="A7798" s="23" t="str">
        <f>HYPERLINK("https://www.spark-marketing.ru/Card/Person/361457", "ООО ""ГАЗПРОМ МЕЖРЕГИОНГАЗ САМАРА""")</f>
        <v>ООО "ГАЗПРОМ МЕЖРЕГИОНГАЗ САМАРА"</v>
      </c>
      <c r="B7798" s="24" t="s">
        <v>9968</v>
      </c>
      <c r="C7798" s="25">
        <v>30600</v>
      </c>
      <c r="D7798" s="22" t="s">
        <v>9982</v>
      </c>
      <c r="E7798" s="22" t="s">
        <v>9970</v>
      </c>
      <c r="F7798" s="23" t="str">
        <f>HYPERLINK("https://www.spark-marketing.ru/Card/Lot/70664978", "Услуга по охране транспортных средств")</f>
        <v>Услуга по охране транспортных средств</v>
      </c>
      <c r="G7798" s="22" t="s">
        <v>760</v>
      </c>
      <c r="H7798" s="22" t="s">
        <v>760</v>
      </c>
      <c r="I7798" s="26">
        <v>43607.582604166702</v>
      </c>
      <c r="J7798" s="28" t="s">
        <v>52</v>
      </c>
      <c r="K7798" s="28" t="s">
        <v>52</v>
      </c>
      <c r="L7798" s="28" t="s">
        <v>52</v>
      </c>
      <c r="M7798" s="28" t="s">
        <v>52</v>
      </c>
      <c r="N7798" s="28" t="s">
        <v>52</v>
      </c>
    </row>
    <row r="7799" spans="1:14" x14ac:dyDescent="0.15">
      <c r="A7799" s="23" t="str">
        <f>HYPERLINK("https://www.spark-marketing.ru/Card/Person/15420", "УПРАВЛЕНИЕ РОСПОТРЕБНАДЗОРА ПО САМАРСКОЙ ОБЛАСТИ")</f>
        <v>УПРАВЛЕНИЕ РОСПОТРЕБНАДЗОРА ПО САМАРСКОЙ ОБЛАСТИ</v>
      </c>
      <c r="B7799" s="24" t="s">
        <v>5620</v>
      </c>
      <c r="C7799" s="25">
        <v>99600</v>
      </c>
      <c r="D7799" s="22" t="s">
        <v>9983</v>
      </c>
      <c r="E7799" s="22" t="s">
        <v>53</v>
      </c>
      <c r="F7799" s="23" t="str">
        <f>HYPERLINK("https://www.spark-marketing.ru/Card/Lot/70747581", "Техническое обслуживание системы автоматической охранно-тревожной сигнализации")</f>
        <v>Техническое обслуживание системы автоматической охранно-тревожной сигнализации</v>
      </c>
      <c r="G7799" s="22" t="s">
        <v>760</v>
      </c>
      <c r="H7799" s="22" t="s">
        <v>9984</v>
      </c>
      <c r="I7799" s="26">
        <v>43607.559085648201</v>
      </c>
      <c r="J7799" s="28" t="s">
        <v>52</v>
      </c>
      <c r="K7799" s="28" t="s">
        <v>52</v>
      </c>
      <c r="L7799" s="28" t="s">
        <v>52</v>
      </c>
      <c r="M7799" s="28" t="s">
        <v>52</v>
      </c>
      <c r="N7799" s="28" t="s">
        <v>52</v>
      </c>
    </row>
    <row r="7800" spans="1:14" x14ac:dyDescent="0.15">
      <c r="A7800" s="23" t="str">
        <f>HYPERLINK("https://www.spark-marketing.ru/Card/Person/1007092", "МАОУ ОДИНЦОВСКИЙ ЛИЦЕЙ №6 ИМ. А.С. ПУШКИНА")</f>
        <v>МАОУ ОДИНЦОВСКИЙ ЛИЦЕЙ №6 ИМ. А.С. ПУШКИНА</v>
      </c>
      <c r="B7800" s="24" t="s">
        <v>9979</v>
      </c>
      <c r="C7800" s="25">
        <v>210000</v>
      </c>
      <c r="D7800" s="22" t="s">
        <v>9985</v>
      </c>
      <c r="E7800" s="22" t="s">
        <v>84</v>
      </c>
      <c r="F7800" s="23" t="str">
        <f>HYPERLINK("https://www.spark-marketing.ru/Card/Lot/70666070", "Закупка в 2019 году услуг по установке оборудования для обеспечения работы пунктов проведения экзаменов для нужд МАОУ Одинцовского лицея №6 им. А.С. Пушкина")</f>
        <v>Закупка в 2019 году услуг по установке оборудования для обеспечения работы пунктов проведения экзаменов для нужд МАОУ Одинцовского лицея №6 им. А.С. Пушкина</v>
      </c>
      <c r="G7800" s="22" t="s">
        <v>50</v>
      </c>
      <c r="H7800" s="22" t="s">
        <v>1045</v>
      </c>
      <c r="I7800" s="26">
        <v>43607.555347222202</v>
      </c>
      <c r="J7800" s="28" t="s">
        <v>52</v>
      </c>
      <c r="K7800" s="28" t="s">
        <v>52</v>
      </c>
      <c r="L7800" s="28" t="s">
        <v>52</v>
      </c>
      <c r="M7800" s="28" t="s">
        <v>52</v>
      </c>
      <c r="N7800" s="28" t="s">
        <v>52</v>
      </c>
    </row>
    <row r="7801" spans="1:14" ht="12.75" x14ac:dyDescent="0.2">
      <c r="A7801" s="23" t="str">
        <f>HYPERLINK("https://www.spark-marketing.ru/Card/Person/4345826", "ПАО СБЕРБАНК")</f>
        <v>ПАО СБЕРБАНК</v>
      </c>
      <c r="B7801" s="24" t="s">
        <v>5406</v>
      </c>
      <c r="C7801" s="25">
        <v>7629300</v>
      </c>
      <c r="D7801" s="22" t="s">
        <v>9986</v>
      </c>
      <c r="E7801" s="22" t="s">
        <v>691</v>
      </c>
      <c r="F7801" s="23" t="str">
        <f>HYPERLINK("https://www.spark-marketing.ru/Card/Lot/70681284", "Заказчик поручает, а Исполнитель принимает на себя обязательства по проведению в соответствии с условиями Договора работ по техническому обслуживанию оборудования систем видеонаблюдения, контроля и управления доступа, охранной сигнализации на объекте...")</f>
        <v>Заказчик поручает, а Исполнитель принимает на себя обязательства по проведению в соответствии с условиями Договора работ по техническому обслуживанию оборудования систем видеонаблюдения, контроля и управления доступа, охранной сигнализации на объекте...</v>
      </c>
      <c r="G7801" s="22" t="s">
        <v>818</v>
      </c>
      <c r="H7801" s="22" t="s">
        <v>818</v>
      </c>
      <c r="I7801" s="26">
        <v>43607.560347222199</v>
      </c>
      <c r="J7801" s="23" t="str">
        <f>HYPERLINK("https://www.spark-marketing.ru/Card/Person/532199", "ООО ПКП ""РУБЕЖ СВ""")</f>
        <v>ООО ПКП "РУБЕЖ СВ"</v>
      </c>
      <c r="K7801" s="24" t="s">
        <v>9987</v>
      </c>
      <c r="L7801" s="22" t="s">
        <v>10</v>
      </c>
      <c r="M7801" s="25">
        <v>7516829.7000000002</v>
      </c>
      <c r="N7801" s="27">
        <v>1.4741889819511619E-2</v>
      </c>
    </row>
    <row r="7802" spans="1:14" x14ac:dyDescent="0.15">
      <c r="A7802" s="23" t="str">
        <f>HYPERLINK("https://www.spark-marketing.ru/Card/Person/1028584", "ЦХСФ")</f>
        <v>ЦХСФ</v>
      </c>
      <c r="B7802" s="24" t="s">
        <v>9988</v>
      </c>
      <c r="C7802" s="25">
        <v>23666.66</v>
      </c>
      <c r="D7802" s="22" t="s">
        <v>9989</v>
      </c>
      <c r="E7802" s="22" t="s">
        <v>84</v>
      </c>
      <c r="F7802" s="23" t="str">
        <f>HYPERLINK("https://www.spark-marketing.ru/Card/Lot/70663433", "Техническое обслуживание систем видеонаблюдения, 1 шт")</f>
        <v>Техническое обслуживание систем видеонаблюдения, 1 шт</v>
      </c>
      <c r="G7802" s="22" t="s">
        <v>893</v>
      </c>
      <c r="H7802" s="22" t="s">
        <v>7495</v>
      </c>
      <c r="I7802" s="26">
        <v>43607.533032407402</v>
      </c>
      <c r="J7802" s="28" t="s">
        <v>52</v>
      </c>
      <c r="K7802" s="28" t="s">
        <v>52</v>
      </c>
      <c r="L7802" s="28" t="s">
        <v>52</v>
      </c>
      <c r="M7802" s="28" t="s">
        <v>52</v>
      </c>
      <c r="N7802" s="28" t="s">
        <v>52</v>
      </c>
    </row>
    <row r="7803" spans="1:14" x14ac:dyDescent="0.15">
      <c r="A7803" s="23" t="str">
        <f>HYPERLINK("https://www.spark-marketing.ru/Card/Person/63182", "МО МВД РОССИИ ""ШУШЕНСКИЙ""")</f>
        <v>МО МВД РОССИИ "ШУШЕНСКИЙ"</v>
      </c>
      <c r="B7803" s="24" t="s">
        <v>9990</v>
      </c>
      <c r="C7803" s="25">
        <v>1733.4</v>
      </c>
      <c r="D7803" s="22" t="s">
        <v>9991</v>
      </c>
      <c r="E7803" s="22" t="s">
        <v>53</v>
      </c>
      <c r="F7803" s="23" t="str">
        <f>HYPERLINK("https://www.spark-marketing.ru/Card/Lot/70747651", "Обслуживание систем видеонаблюдения")</f>
        <v>Обслуживание систем видеонаблюдения</v>
      </c>
      <c r="G7803" s="22" t="s">
        <v>640</v>
      </c>
      <c r="H7803" s="22" t="s">
        <v>9992</v>
      </c>
      <c r="I7803" s="26">
        <v>43607.504606481503</v>
      </c>
      <c r="J7803" s="28" t="s">
        <v>52</v>
      </c>
      <c r="K7803" s="28" t="s">
        <v>52</v>
      </c>
      <c r="L7803" s="28" t="s">
        <v>52</v>
      </c>
      <c r="M7803" s="28" t="s">
        <v>52</v>
      </c>
      <c r="N7803" s="28" t="s">
        <v>52</v>
      </c>
    </row>
    <row r="7804" spans="1:14" x14ac:dyDescent="0.15">
      <c r="A7804" s="23" t="str">
        <f>HYPERLINK("https://www.spark-marketing.ru/Card/Person/114266", "БУ ""СОВЕТСКИЙ РАЙОННЫЙ ЦЕНТР ДЛЯ НЕСОВЕРШЕННОЛЕТНИХ""")</f>
        <v>БУ "СОВЕТСКИЙ РАЙОННЫЙ ЦЕНТР ДЛЯ НЕСОВЕРШЕННОЛЕТНИХ"</v>
      </c>
      <c r="B7804" s="24" t="s">
        <v>9993</v>
      </c>
      <c r="C7804" s="25">
        <v>24000</v>
      </c>
      <c r="D7804" s="22" t="s">
        <v>9994</v>
      </c>
      <c r="E7804" s="22" t="s">
        <v>103</v>
      </c>
      <c r="F7804" s="23" t="str">
        <f>HYPERLINK("https://www.spark-marketing.ru/Card/Lot/70655785", "Оказание услуг по техническому обслуживанию тревожной сигнализации ""Мираж""")</f>
        <v>Оказание услуг по техническому обслуживанию тревожной сигнализации "Мираж"</v>
      </c>
      <c r="G7804" s="22" t="s">
        <v>119</v>
      </c>
      <c r="H7804" s="22" t="s">
        <v>2515</v>
      </c>
      <c r="I7804" s="26">
        <v>43607.4597222222</v>
      </c>
      <c r="J7804" s="23" t="str">
        <f>HYPERLINK("https://www.spark-marketing.ru/Card/Person/643092", "ООО ""СИБИРЬ-ПЛЮС""")</f>
        <v>ООО "СИБИРЬ-ПЛЮС"</v>
      </c>
      <c r="K7804" s="24" t="s">
        <v>1595</v>
      </c>
      <c r="L7804" s="22" t="s">
        <v>10</v>
      </c>
      <c r="M7804" s="28" t="s">
        <v>52</v>
      </c>
      <c r="N7804" s="28" t="s">
        <v>52</v>
      </c>
    </row>
    <row r="7805" spans="1:14" x14ac:dyDescent="0.15">
      <c r="A7805" s="23" t="str">
        <f>HYPERLINK("https://www.spark-marketing.ru/Card/Person/90543", "АДМИНИСТРАЦИЯ ТОРОПЕЦКОГО РАЙОНА")</f>
        <v>АДМИНИСТРАЦИЯ ТОРОПЕЦКОГО РАЙОНА</v>
      </c>
      <c r="B7805" s="24" t="s">
        <v>4352</v>
      </c>
      <c r="C7805" s="25">
        <v>310900</v>
      </c>
      <c r="D7805" s="22" t="s">
        <v>9995</v>
      </c>
      <c r="E7805" s="22" t="s">
        <v>68</v>
      </c>
      <c r="F7805" s="23" t="str">
        <f>HYPERLINK("https://www.spark-marketing.ru/Card/Lot/70663265", "Оказание услуг по предупреждению и ликвидации болезней животных, их лечению, отлову и содержанию безнадзорных животных, защите населения от болезней, общих для человека и животных на территории Торопецкого района")</f>
        <v>Оказание услуг по предупреждению и ликвидации болезней животных, их лечению, отлову и содержанию безнадзорных животных, защите населения от болезней, общих для человека и животных на территории Торопецкого района</v>
      </c>
      <c r="G7805" s="22" t="s">
        <v>251</v>
      </c>
      <c r="H7805" s="22" t="s">
        <v>251</v>
      </c>
      <c r="I7805" s="26">
        <v>43607.4597222222</v>
      </c>
      <c r="J7805" s="28" t="s">
        <v>52</v>
      </c>
      <c r="K7805" s="28" t="s">
        <v>52</v>
      </c>
      <c r="L7805" s="28" t="s">
        <v>52</v>
      </c>
      <c r="M7805" s="28" t="s">
        <v>52</v>
      </c>
      <c r="N7805" s="28" t="s">
        <v>52</v>
      </c>
    </row>
    <row r="7806" spans="1:14" x14ac:dyDescent="0.2">
      <c r="A7806" s="23" t="str">
        <f>HYPERLINK("https://www.spark-marketing.ru/Card/Person/1078562", "ФГБНУ ""АНЦ ""ДОНСКОЙ""")</f>
        <v>ФГБНУ "АНЦ "ДОНСКОЙ"</v>
      </c>
      <c r="B7806" s="24" t="s">
        <v>9996</v>
      </c>
      <c r="C7806" s="25">
        <v>497054</v>
      </c>
      <c r="D7806" s="22" t="s">
        <v>9997</v>
      </c>
      <c r="E7806" s="22" t="s">
        <v>691</v>
      </c>
      <c r="F7806" s="23" t="str">
        <f>HYPERLINK("https://www.spark-marketing.ru/Card/Lot/70659475", "Выполнение работ по монтажу и техническому обслуживанию системы видеонаблюдения в х. Средние Хороли отд. №4")</f>
        <v>Выполнение работ по монтажу и техническому обслуживанию системы видеонаблюдения в х. Средние Хороли отд. №4</v>
      </c>
      <c r="G7806" s="22" t="s">
        <v>402</v>
      </c>
      <c r="H7806" s="22" t="s">
        <v>402</v>
      </c>
      <c r="I7806" s="26">
        <v>43607.4317592593</v>
      </c>
      <c r="J7806" s="28" t="s">
        <v>52</v>
      </c>
      <c r="K7806" s="28" t="s">
        <v>52</v>
      </c>
      <c r="L7806" s="22" t="s">
        <v>10</v>
      </c>
      <c r="M7806" s="25">
        <v>410370</v>
      </c>
      <c r="N7806" s="27">
        <v>0.17439553851291811</v>
      </c>
    </row>
    <row r="7807" spans="1:14" x14ac:dyDescent="0.15">
      <c r="A7807" s="23" t="str">
        <f>HYPERLINK("https://www.spark-marketing.ru/Card/Person/52487", "ГБУ РО ""ОКЦФП""")</f>
        <v>ГБУ РО "ОКЦФП"</v>
      </c>
      <c r="B7807" s="24" t="s">
        <v>9644</v>
      </c>
      <c r="C7807" s="25">
        <v>249588.82</v>
      </c>
      <c r="D7807" s="22" t="s">
        <v>9998</v>
      </c>
      <c r="E7807" s="22" t="s">
        <v>766</v>
      </c>
      <c r="F7807" s="23" t="str">
        <f>HYPERLINK("https://www.spark-marketing.ru/Card/Lot/70659783", "Выполнение работ по монтажу ограждения для Цимлянского филиала ГБУ РО ""ОКЦФП""")</f>
        <v>Выполнение работ по монтажу ограждения для Цимлянского филиала ГБУ РО "ОКЦФП"</v>
      </c>
      <c r="G7807" s="22" t="s">
        <v>402</v>
      </c>
      <c r="H7807" s="22" t="s">
        <v>402</v>
      </c>
      <c r="I7807" s="26">
        <v>43607.425000000003</v>
      </c>
      <c r="J7807" s="23" t="str">
        <f>HYPERLINK("https://www.spark-marketing.ru/Card/Person/388343", "ООО ""БЛИГОС""")</f>
        <v>ООО "БЛИГОС"</v>
      </c>
      <c r="K7807" s="24" t="s">
        <v>9999</v>
      </c>
      <c r="L7807" s="22" t="s">
        <v>10</v>
      </c>
      <c r="M7807" s="28" t="s">
        <v>52</v>
      </c>
      <c r="N7807" s="28" t="s">
        <v>52</v>
      </c>
    </row>
    <row r="7808" spans="1:14" x14ac:dyDescent="0.15">
      <c r="A7808" s="23" t="str">
        <f>HYPERLINK("https://www.spark-marketing.ru/Card/Person/1026123", "ГКУСОН ""КОМПЛЕКСНЫЙ ЦЕНТР СОЦИАЛЬНОЙ АДАПТАЦИИ ДЛЯ ЛИЦ БЕЗ ОПРЕДЕЛЕННОГО МЕСТА ЖИТЕЛЬСТВА И ЗАНЯТИЙ Г. БРЯНСКА""")</f>
        <v>ГКУСОН "КОМПЛЕКСНЫЙ ЦЕНТР СОЦИАЛЬНОЙ АДАПТАЦИИ ДЛЯ ЛИЦ БЕЗ ОПРЕДЕЛЕННОГО МЕСТА ЖИТЕЛЬСТВА И ЗАНЯТИЙ Г. БРЯНСКА"</v>
      </c>
      <c r="B7808" s="24" t="s">
        <v>10000</v>
      </c>
      <c r="C7808" s="25">
        <v>75816</v>
      </c>
      <c r="D7808" s="22" t="s">
        <v>10001</v>
      </c>
      <c r="E7808" s="22" t="s">
        <v>68</v>
      </c>
      <c r="F7808" s="23" t="str">
        <f>HYPERLINK("https://www.spark-marketing.ru/Card/Lot/70658577", "Охрана объекта")</f>
        <v>Охрана объекта</v>
      </c>
      <c r="G7808" s="22" t="s">
        <v>215</v>
      </c>
      <c r="H7808" s="22" t="s">
        <v>406</v>
      </c>
      <c r="I7808" s="26">
        <v>43607.435416666704</v>
      </c>
      <c r="J7808" s="28" t="s">
        <v>52</v>
      </c>
      <c r="K7808" s="28" t="s">
        <v>52</v>
      </c>
      <c r="L7808" s="28" t="s">
        <v>52</v>
      </c>
      <c r="M7808" s="28" t="s">
        <v>52</v>
      </c>
      <c r="N7808" s="28" t="s">
        <v>52</v>
      </c>
    </row>
    <row r="7809" spans="1:14" x14ac:dyDescent="0.15">
      <c r="A7809" s="23" t="str">
        <f>HYPERLINK("https://www.spark-marketing.ru/Card/Person/14802", "АДМИНИСТРАЦИЯ КАМЕНОЛОМНЕНСКОГО ГОРОДСКОГО ПОСЕЛЕНИЯ")</f>
        <v>АДМИНИСТРАЦИЯ КАМЕНОЛОМНЕНСКОГО ГОРОДСКОГО ПОСЕЛЕНИЯ</v>
      </c>
      <c r="B7809" s="24" t="s">
        <v>10002</v>
      </c>
      <c r="C7809" s="25">
        <v>14975</v>
      </c>
      <c r="D7809" s="22" t="s">
        <v>10003</v>
      </c>
      <c r="E7809" s="22" t="s">
        <v>194</v>
      </c>
      <c r="F7809" s="23" t="str">
        <f>HYPERLINK("https://www.spark-marketing.ru/Card/Lot/70658530", "Услуги по обслуживанию системы видеонаблюдения")</f>
        <v>Услуги по обслуживанию системы видеонаблюдения</v>
      </c>
      <c r="G7809" s="22" t="s">
        <v>402</v>
      </c>
      <c r="H7809" s="22" t="s">
        <v>10004</v>
      </c>
      <c r="I7809" s="26">
        <v>43607.429166666698</v>
      </c>
      <c r="J7809" s="28" t="s">
        <v>52</v>
      </c>
      <c r="K7809" s="28" t="s">
        <v>52</v>
      </c>
      <c r="L7809" s="28" t="s">
        <v>52</v>
      </c>
      <c r="M7809" s="28" t="s">
        <v>52</v>
      </c>
      <c r="N7809" s="28" t="s">
        <v>52</v>
      </c>
    </row>
    <row r="7810" spans="1:14" x14ac:dyDescent="0.15">
      <c r="A7810" s="23" t="str">
        <f>HYPERLINK("https://www.spark-marketing.ru/Card/Person/25576", "АДМИНИСТРАЦИЯ РАЙОНА ""ИЖЕМСКИЙ""")</f>
        <v>АДМИНИСТРАЦИЯ РАЙОНА "ИЖЕМСКИЙ"</v>
      </c>
      <c r="B7810" s="24" t="s">
        <v>10005</v>
      </c>
      <c r="C7810" s="25">
        <v>200000</v>
      </c>
      <c r="D7810" s="22" t="s">
        <v>10006</v>
      </c>
      <c r="E7810" s="22" t="s">
        <v>194</v>
      </c>
      <c r="F7810" s="23" t="str">
        <f>HYPERLINK("https://www.spark-marketing.ru/Card/Lot/70659800", "Поставка уличных камер видеонаблюдения, включая установку (монтаж)")</f>
        <v>Поставка уличных камер видеонаблюдения, включая установку (монтаж)</v>
      </c>
      <c r="G7810" s="22" t="s">
        <v>538</v>
      </c>
      <c r="H7810" s="22" t="s">
        <v>538</v>
      </c>
      <c r="I7810" s="26">
        <v>43607.452777777798</v>
      </c>
      <c r="J7810" s="23" t="str">
        <f>HYPERLINK("https://www.spark-marketing.ru/Card/Person/217523", "ООО ""ДЕНВИК-СИСТЕМЫ БЕЗОПАСНОСТИ""")</f>
        <v>ООО "ДЕНВИК-СИСТЕМЫ БЕЗОПАСНОСТИ"</v>
      </c>
      <c r="K7810" s="24" t="s">
        <v>9642</v>
      </c>
      <c r="L7810" s="28" t="s">
        <v>52</v>
      </c>
      <c r="M7810" s="28" t="s">
        <v>52</v>
      </c>
      <c r="N7810" s="28" t="s">
        <v>52</v>
      </c>
    </row>
    <row r="7811" spans="1:14" hidden="1" outlineLevel="1" x14ac:dyDescent="0.15">
      <c r="A7811" s="23" t="str">
        <f>HYPERLINK("https://www.spark-marketing.ru/Card/Person/25576", "АДМИНИСТРАЦИЯ РАЙОНА ""ИЖЕМСКИЙ""")</f>
        <v>АДМИНИСТРАЦИЯ РАЙОНА "ИЖЕМСКИЙ"</v>
      </c>
      <c r="B7811" s="24" t="s">
        <v>10005</v>
      </c>
      <c r="C7811" s="25">
        <v>200000</v>
      </c>
      <c r="D7811" s="22" t="s">
        <v>10006</v>
      </c>
      <c r="E7811" s="22" t="s">
        <v>194</v>
      </c>
      <c r="F7811" s="23" t="str">
        <f>HYPERLINK("https://www.spark-marketing.ru/Card/Lot/70659800", "Поставка уличных камер видеонаблюдения, включая установку (монтаж)")</f>
        <v>Поставка уличных камер видеонаблюдения, включая установку (монтаж)</v>
      </c>
      <c r="G7811" s="22" t="s">
        <v>538</v>
      </c>
      <c r="H7811" s="22" t="s">
        <v>538</v>
      </c>
      <c r="I7811" s="26">
        <v>43607.452777777798</v>
      </c>
      <c r="J7811" s="23" t="str">
        <f>HYPERLINK("https://www.spark-marketing.ru/Card/Person/217523", "ООО ""ДЕНВИК-СИСТЕМЫ БЕЗОПАСНОСТИ""")</f>
        <v>ООО "ДЕНВИК-СИСТЕМЫ БЕЗОПАСНОСТИ"</v>
      </c>
      <c r="K7811" s="24" t="s">
        <v>9642</v>
      </c>
      <c r="L7811" s="22" t="s">
        <v>10</v>
      </c>
      <c r="M7811" s="28" t="s">
        <v>52</v>
      </c>
      <c r="N7811" s="28" t="s">
        <v>52</v>
      </c>
    </row>
    <row r="7812" spans="1:14" x14ac:dyDescent="0.15">
      <c r="A7812" s="23" t="str">
        <f>HYPERLINK("https://www.spark-marketing.ru/Card/Person/118167", "АДМИНИСТРАЦИЯ СЕЛЬСКОГО ПОСЕЛЕНИЯ СЕЛКОВСКОЕ")</f>
        <v>АДМИНИСТРАЦИЯ СЕЛЬСКОГО ПОСЕЛЕНИЯ СЕЛКОВСКОЕ</v>
      </c>
      <c r="B7812" s="24" t="s">
        <v>10007</v>
      </c>
      <c r="C7812" s="25">
        <v>34000</v>
      </c>
      <c r="D7812" s="22" t="s">
        <v>10008</v>
      </c>
      <c r="E7812" s="22" t="s">
        <v>84</v>
      </c>
      <c r="F7812" s="23" t="str">
        <f>HYPERLINK("https://www.spark-marketing.ru/Card/Lot/70656159", "Поставка и установка системы видеофиксации на здании администрации сельского поселения Селковское")</f>
        <v>Поставка и установка системы видеофиксации на здании администрации сельского поселения Селковское</v>
      </c>
      <c r="G7812" s="22" t="s">
        <v>50</v>
      </c>
      <c r="H7812" s="22" t="s">
        <v>326</v>
      </c>
      <c r="I7812" s="26">
        <v>43607.419722222199</v>
      </c>
      <c r="J7812" s="28" t="s">
        <v>52</v>
      </c>
      <c r="K7812" s="28" t="s">
        <v>52</v>
      </c>
      <c r="L7812" s="28" t="s">
        <v>52</v>
      </c>
      <c r="M7812" s="28" t="s">
        <v>52</v>
      </c>
      <c r="N7812" s="28" t="s">
        <v>52</v>
      </c>
    </row>
    <row r="7813" spans="1:14" x14ac:dyDescent="0.15">
      <c r="A7813" s="23" t="str">
        <f>HYPERLINK("https://www.spark-marketing.ru/Card/Person/88247", "ГКОУ ШКОЛА № 9 Г. ТУАПСЕ")</f>
        <v>ГКОУ ШКОЛА № 9 Г. ТУАПСЕ</v>
      </c>
      <c r="B7813" s="24" t="s">
        <v>8021</v>
      </c>
      <c r="C7813" s="25">
        <v>869936</v>
      </c>
      <c r="D7813" s="22" t="s">
        <v>10009</v>
      </c>
      <c r="E7813" s="22" t="s">
        <v>84</v>
      </c>
      <c r="F7813" s="23" t="str">
        <f>HYPERLINK("https://www.spark-marketing.ru/Card/Lot/70657515", "Монтажные работы по установке системы видеонаблюдения.")</f>
        <v>Монтажные работы по установке системы видеонаблюдения.</v>
      </c>
      <c r="G7813" s="22" t="s">
        <v>132</v>
      </c>
      <c r="H7813" s="22" t="s">
        <v>1874</v>
      </c>
      <c r="I7813" s="26">
        <v>43607.387499999997</v>
      </c>
      <c r="J7813" s="28" t="s">
        <v>52</v>
      </c>
      <c r="K7813" s="28" t="s">
        <v>52</v>
      </c>
      <c r="L7813" s="28" t="s">
        <v>52</v>
      </c>
      <c r="M7813" s="28" t="s">
        <v>52</v>
      </c>
      <c r="N7813" s="28" t="s">
        <v>52</v>
      </c>
    </row>
    <row r="7814" spans="1:14" x14ac:dyDescent="0.15">
      <c r="A7814" s="23" t="str">
        <f>HYPERLINK("https://www.spark-marketing.ru/Card/Person/4938103", "ГБУ ""ПАРКИ И СКВЕРЫ""")</f>
        <v>ГБУ "ПАРКИ И СКВЕРЫ"</v>
      </c>
      <c r="B7814" s="24" t="s">
        <v>10010</v>
      </c>
      <c r="C7814" s="25">
        <v>5431072.9699999997</v>
      </c>
      <c r="D7814" s="22" t="s">
        <v>10011</v>
      </c>
      <c r="E7814" s="22" t="s">
        <v>376</v>
      </c>
      <c r="F7814" s="23" t="str">
        <f>HYPERLINK("https://www.spark-marketing.ru/Card/Lot/70655738", "Поставка комплексов дорожных блокираторов с установкой")</f>
        <v>Поставка комплексов дорожных блокираторов с установкой</v>
      </c>
      <c r="G7814" s="22" t="s">
        <v>714</v>
      </c>
      <c r="H7814" s="22" t="s">
        <v>714</v>
      </c>
      <c r="I7814" s="26">
        <v>43607.375</v>
      </c>
      <c r="J7814" s="23" t="str">
        <f>HYPERLINK("https://www.spark-marketing.ru/Card/Person/1999554", "ООО ""ПСТ АВТОМАТИК""")</f>
        <v>ООО "ПСТ АВТОМАТИК"</v>
      </c>
      <c r="K7814" s="24" t="s">
        <v>10012</v>
      </c>
      <c r="L7814" s="22" t="s">
        <v>10</v>
      </c>
      <c r="M7814" s="28" t="s">
        <v>52</v>
      </c>
      <c r="N7814" s="28" t="s">
        <v>52</v>
      </c>
    </row>
    <row r="7815" spans="1:14" x14ac:dyDescent="0.15">
      <c r="A7815" s="23" t="str">
        <f>HYPERLINK("https://www.spark-marketing.ru/Card/Person/8927", "МБОУ ""Тучковская СОШ №1""")</f>
        <v>МБОУ "Тучковская СОШ №1"</v>
      </c>
      <c r="B7815" s="24" t="s">
        <v>10013</v>
      </c>
      <c r="C7815" s="25">
        <v>995000</v>
      </c>
      <c r="D7815" s="22" t="s">
        <v>10014</v>
      </c>
      <c r="E7815" s="22" t="s">
        <v>84</v>
      </c>
      <c r="F7815" s="23" t="str">
        <f>HYPERLINK("https://www.spark-marketing.ru/Card/Lot/70657559", "Выполнение работ по установке и вводу в эксплуатацию оборудования региональной системы видео трансляции и видео протоколирования в пунктах проведения экзаменов для нужд МБОУ ""Тучковская СОШ №1""")</f>
        <v>Выполнение работ по установке и вводу в эксплуатацию оборудования региональной системы видео трансляции и видео протоколирования в пунктах проведения экзаменов для нужд МБОУ "Тучковская СОШ №1"</v>
      </c>
      <c r="G7815" s="22" t="s">
        <v>50</v>
      </c>
      <c r="H7815" s="22" t="s">
        <v>3869</v>
      </c>
      <c r="I7815" s="26">
        <v>43607.395833333299</v>
      </c>
      <c r="J7815" s="28" t="s">
        <v>52</v>
      </c>
      <c r="K7815" s="28" t="s">
        <v>52</v>
      </c>
      <c r="L7815" s="28" t="s">
        <v>52</v>
      </c>
      <c r="M7815" s="28" t="s">
        <v>52</v>
      </c>
      <c r="N7815" s="28" t="s">
        <v>52</v>
      </c>
    </row>
    <row r="7816" spans="1:14" hidden="1" outlineLevel="1" x14ac:dyDescent="0.2">
      <c r="A7816" s="23" t="str">
        <f>HYPERLINK("https://www.spark-marketing.ru/Card/Person/8927", "МБОУ ""Тучковская СОШ №1""")</f>
        <v>МБОУ "Тучковская СОШ №1"</v>
      </c>
      <c r="B7816" s="24" t="s">
        <v>10013</v>
      </c>
      <c r="C7816" s="25">
        <v>995000</v>
      </c>
      <c r="D7816" s="22" t="s">
        <v>10014</v>
      </c>
      <c r="E7816" s="22" t="s">
        <v>84</v>
      </c>
      <c r="F7816" s="23" t="str">
        <f>HYPERLINK("https://www.spark-marketing.ru/Card/Lot/70657559", "Выполнение работ по установке и вводу в эксплуатацию оборудования региональной системы видео трансляции и видео протоколирования в пунктах проведения экзаменов для нужд МБОУ ""Тучковская СОШ №1""")</f>
        <v>Выполнение работ по установке и вводу в эксплуатацию оборудования региональной системы видео трансляции и видео протоколирования в пунктах проведения экзаменов для нужд МБОУ "Тучковская СОШ №1"</v>
      </c>
      <c r="G7816" s="22" t="s">
        <v>50</v>
      </c>
      <c r="H7816" s="22" t="s">
        <v>3869</v>
      </c>
      <c r="I7816" s="26">
        <v>43607.395833333299</v>
      </c>
      <c r="J7816" s="23" t="str">
        <f>HYPERLINK("https://www.spark-marketing.ru/Card/Person/5912290", "ООО ""ЛАБОРАТОРИЯ ЗАЩИТЫ ИНФОРМАЦИИ""")</f>
        <v>ООО "ЛАБОРАТОРИЯ ЗАЩИТЫ ИНФОРМАЦИИ"</v>
      </c>
      <c r="K7816" s="24" t="s">
        <v>6529</v>
      </c>
      <c r="L7816" s="28" t="s">
        <v>52</v>
      </c>
      <c r="M7816" s="25">
        <v>975100</v>
      </c>
      <c r="N7816" s="27">
        <v>0.02</v>
      </c>
    </row>
    <row r="7817" spans="1:14" ht="12.75" hidden="1" outlineLevel="1" x14ac:dyDescent="0.2">
      <c r="A7817" s="23" t="str">
        <f>HYPERLINK("https://www.spark-marketing.ru/Card/Person/8927", "МБОУ ""Тучковская СОШ №1""")</f>
        <v>МБОУ "Тучковская СОШ №1"</v>
      </c>
      <c r="B7817" s="24" t="s">
        <v>10013</v>
      </c>
      <c r="C7817" s="25">
        <v>995000</v>
      </c>
      <c r="D7817" s="22" t="s">
        <v>10014</v>
      </c>
      <c r="E7817" s="22" t="s">
        <v>84</v>
      </c>
      <c r="F7817" s="23" t="str">
        <f>HYPERLINK("https://www.spark-marketing.ru/Card/Lot/70657559", "Выполнение работ по установке и вводу в эксплуатацию оборудования региональной системы видео трансляции и видео протоколирования в пунктах проведения экзаменов для нужд МБОУ ""Тучковская СОШ №1""")</f>
        <v>Выполнение работ по установке и вводу в эксплуатацию оборудования региональной системы видео трансляции и видео протоколирования в пунктах проведения экзаменов для нужд МБОУ "Тучковская СОШ №1"</v>
      </c>
      <c r="G7817" s="22" t="s">
        <v>50</v>
      </c>
      <c r="H7817" s="22" t="s">
        <v>3869</v>
      </c>
      <c r="I7817" s="26">
        <v>43607.395833333299</v>
      </c>
      <c r="J7817" s="23" t="str">
        <f>HYPERLINK("https://www.spark-marketing.ru/Card/Person/76451", "ООО ""БИС""")</f>
        <v>ООО "БИС"</v>
      </c>
      <c r="K7817" s="24" t="s">
        <v>6528</v>
      </c>
      <c r="L7817" s="22" t="s">
        <v>10</v>
      </c>
      <c r="M7817" s="25">
        <v>970125</v>
      </c>
      <c r="N7817" s="27">
        <v>2.5000000000000001E-2</v>
      </c>
    </row>
    <row r="7818" spans="1:14" x14ac:dyDescent="0.15">
      <c r="A7818" s="23" t="str">
        <f>HYPERLINK("https://www.spark-marketing.ru/Card/Person/6489230", "ГБУЗ ПК ""ГБ № 6""")</f>
        <v>ГБУЗ ПК "ГБ № 6"</v>
      </c>
      <c r="B7818" s="24" t="s">
        <v>10015</v>
      </c>
      <c r="C7818" s="25">
        <v>41882.400000000001</v>
      </c>
      <c r="D7818" s="22" t="s">
        <v>10016</v>
      </c>
      <c r="E7818" s="22" t="s">
        <v>107</v>
      </c>
      <c r="F7818" s="23" t="str">
        <f>HYPERLINK("https://www.spark-marketing.ru/Card/Lot/70652152", "Техническое обслуживание комплекса технических средств")</f>
        <v>Техническое обслуживание комплекса технических средств</v>
      </c>
      <c r="G7818" s="22" t="s">
        <v>391</v>
      </c>
      <c r="H7818" s="22" t="s">
        <v>391</v>
      </c>
      <c r="I7818" s="26">
        <v>43607.336805555598</v>
      </c>
      <c r="J7818" s="28" t="s">
        <v>52</v>
      </c>
      <c r="K7818" s="28" t="s">
        <v>52</v>
      </c>
      <c r="L7818" s="28" t="s">
        <v>52</v>
      </c>
      <c r="M7818" s="28" t="s">
        <v>52</v>
      </c>
      <c r="N7818" s="28" t="s">
        <v>52</v>
      </c>
    </row>
    <row r="7819" spans="1:14" x14ac:dyDescent="0.15">
      <c r="A7819" s="23" t="str">
        <f t="shared" ref="A7819:A7824" si="324">HYPERLINK("https://www.spark-marketing.ru/Card/Person/837", "ГБПОУ ""ВОРОБЬЕВЫ ГОРЫ""; ОБРАЗОВАТЕЛЬНЫЙ КОМПЛЕКС ""ВОРОБЬЕВЫ ГОРЫ""; МОСКОВСКИЙ ДВОРЕЦ ПИОНЕРОВ; МОСКОВСКИЙ ДВОРЕЦ ПИОНЕРОВ НА ВОРОБЬЕВЫХ ГОРАХ; МДП")</f>
        <v>ГБПОУ "ВОРОБЬЕВЫ ГОРЫ"; ОБРАЗОВАТЕЛЬНЫЙ КОМПЛЕКС "ВОРОБЬЕВЫ ГОРЫ"; МОСКОВСКИЙ ДВОРЕЦ ПИОНЕРОВ; МОСКОВСКИЙ ДВОРЕЦ ПИОНЕРОВ НА ВОРОБЬЕВЫХ ГОРАХ; МДП</v>
      </c>
      <c r="B7819" s="24" t="s">
        <v>178</v>
      </c>
      <c r="C7819" s="25">
        <v>518400</v>
      </c>
      <c r="D7819" s="22" t="s">
        <v>10017</v>
      </c>
      <c r="E7819" s="22" t="s">
        <v>107</v>
      </c>
      <c r="F7819" s="23" t="str">
        <f t="shared" ref="F7819:F7824" si="325">HYPERLINK("https://www.spark-marketing.ru/Card/Lot/70654388", "Оказание услуг по техническому обслуживанию комплексов технических средств охраны (оборудования экстренного вызова полиции) объектов ГБПОУ «Воробьевы горы» в 2019-2020 г.г.")</f>
        <v>Оказание услуг по техническому обслуживанию комплексов технических средств охраны (оборудования экстренного вызова полиции) объектов ГБПОУ «Воробьевы горы» в 2019-2020 г.г.</v>
      </c>
      <c r="G7819" s="22" t="s">
        <v>55</v>
      </c>
      <c r="H7819" s="22" t="s">
        <v>55</v>
      </c>
      <c r="I7819" s="26">
        <v>43607.345833333296</v>
      </c>
      <c r="J7819" s="28" t="s">
        <v>52</v>
      </c>
      <c r="K7819" s="28" t="s">
        <v>52</v>
      </c>
      <c r="L7819" s="28" t="s">
        <v>52</v>
      </c>
      <c r="M7819" s="28" t="s">
        <v>52</v>
      </c>
      <c r="N7819" s="28" t="s">
        <v>52</v>
      </c>
    </row>
    <row r="7820" spans="1:14" hidden="1" outlineLevel="1" x14ac:dyDescent="0.2">
      <c r="A7820" s="23" t="str">
        <f t="shared" si="324"/>
        <v>ГБПОУ "ВОРОБЬЕВЫ ГОРЫ"; ОБРАЗОВАТЕЛЬНЫЙ КОМПЛЕКС "ВОРОБЬЕВЫ ГОРЫ"; МОСКОВСКИЙ ДВОРЕЦ ПИОНЕРОВ; МОСКОВСКИЙ ДВОРЕЦ ПИОНЕРОВ НА ВОРОБЬЕВЫХ ГОРАХ; МДП</v>
      </c>
      <c r="B7820" s="24" t="s">
        <v>178</v>
      </c>
      <c r="C7820" s="25">
        <v>518400</v>
      </c>
      <c r="D7820" s="22" t="s">
        <v>10017</v>
      </c>
      <c r="E7820" s="22" t="s">
        <v>107</v>
      </c>
      <c r="F7820" s="23" t="str">
        <f t="shared" si="325"/>
        <v>Оказание услуг по техническому обслуживанию комплексов технических средств охраны (оборудования экстренного вызова полиции) объектов ГБПОУ «Воробьевы горы» в 2019-2020 г.г.</v>
      </c>
      <c r="G7820" s="22" t="s">
        <v>55</v>
      </c>
      <c r="H7820" s="22" t="s">
        <v>55</v>
      </c>
      <c r="I7820" s="26">
        <v>43607.345833333296</v>
      </c>
      <c r="J7820" s="23" t="str">
        <f>HYPERLINK("https://www.spark-marketing.ru/Card/Person/6215027", "ООО ""АЙТИ ГЛОБАЛ СМАРТ""")</f>
        <v>ООО "АЙТИ ГЛОБАЛ СМАРТ"</v>
      </c>
      <c r="K7820" s="24" t="s">
        <v>10018</v>
      </c>
      <c r="L7820" s="28" t="s">
        <v>52</v>
      </c>
      <c r="M7820" s="25">
        <v>378432</v>
      </c>
      <c r="N7820" s="27">
        <v>0.27</v>
      </c>
    </row>
    <row r="7821" spans="1:14" ht="12.75" hidden="1" outlineLevel="1" x14ac:dyDescent="0.2">
      <c r="A7821" s="23" t="str">
        <f t="shared" si="324"/>
        <v>ГБПОУ "ВОРОБЬЕВЫ ГОРЫ"; ОБРАЗОВАТЕЛЬНЫЙ КОМПЛЕКС "ВОРОБЬЕВЫ ГОРЫ"; МОСКОВСКИЙ ДВОРЕЦ ПИОНЕРОВ; МОСКОВСКИЙ ДВОРЕЦ ПИОНЕРОВ НА ВОРОБЬЕВЫХ ГОРАХ; МДП</v>
      </c>
      <c r="B7821" s="24" t="s">
        <v>178</v>
      </c>
      <c r="C7821" s="25">
        <v>518400</v>
      </c>
      <c r="D7821" s="22" t="s">
        <v>10017</v>
      </c>
      <c r="E7821" s="22" t="s">
        <v>107</v>
      </c>
      <c r="F7821" s="23" t="str">
        <f t="shared" si="325"/>
        <v>Оказание услуг по техническому обслуживанию комплексов технических средств охраны (оборудования экстренного вызова полиции) объектов ГБПОУ «Воробьевы горы» в 2019-2020 г.г.</v>
      </c>
      <c r="G7821" s="22" t="s">
        <v>55</v>
      </c>
      <c r="H7821" s="22" t="s">
        <v>55</v>
      </c>
      <c r="I7821" s="26">
        <v>43607.345833333296</v>
      </c>
      <c r="J7821" s="23" t="str">
        <f>HYPERLINK("https://www.spark-marketing.ru/Card/Person/6262263", "ООО ""АЛЫЙ ПАРУС ТЕХНО ПРО""")</f>
        <v>ООО "АЛЫЙ ПАРУС ТЕХНО ПРО"</v>
      </c>
      <c r="K7821" s="24" t="s">
        <v>1749</v>
      </c>
      <c r="L7821" s="22" t="s">
        <v>10</v>
      </c>
      <c r="M7821" s="25">
        <v>240408</v>
      </c>
      <c r="N7821" s="27">
        <v>0.53625</v>
      </c>
    </row>
    <row r="7822" spans="1:14" hidden="1" outlineLevel="1" x14ac:dyDescent="0.2">
      <c r="A7822" s="23" t="str">
        <f t="shared" si="324"/>
        <v>ГБПОУ "ВОРОБЬЕВЫ ГОРЫ"; ОБРАЗОВАТЕЛЬНЫЙ КОМПЛЕКС "ВОРОБЬЕВЫ ГОРЫ"; МОСКОВСКИЙ ДВОРЕЦ ПИОНЕРОВ; МОСКОВСКИЙ ДВОРЕЦ ПИОНЕРОВ НА ВОРОБЬЕВЫХ ГОРАХ; МДП</v>
      </c>
      <c r="B7822" s="24" t="s">
        <v>178</v>
      </c>
      <c r="C7822" s="25">
        <v>518400</v>
      </c>
      <c r="D7822" s="22" t="s">
        <v>10017</v>
      </c>
      <c r="E7822" s="22" t="s">
        <v>107</v>
      </c>
      <c r="F7822" s="23" t="str">
        <f t="shared" si="325"/>
        <v>Оказание услуг по техническому обслуживанию комплексов технических средств охраны (оборудования экстренного вызова полиции) объектов ГБПОУ «Воробьевы горы» в 2019-2020 г.г.</v>
      </c>
      <c r="G7822" s="22" t="s">
        <v>55</v>
      </c>
      <c r="H7822" s="22" t="s">
        <v>55</v>
      </c>
      <c r="I7822" s="26">
        <v>43607.345833333296</v>
      </c>
      <c r="J7822" s="23" t="str">
        <f>HYPERLINK("https://www.spark-marketing.ru/Card/Person/65028", "ООО ""ИМПУЛЬС М""")</f>
        <v>ООО "ИМПУЛЬС М"</v>
      </c>
      <c r="K7822" s="24" t="s">
        <v>7268</v>
      </c>
      <c r="L7822" s="28" t="s">
        <v>52</v>
      </c>
      <c r="M7822" s="25">
        <v>243000</v>
      </c>
      <c r="N7822" s="27">
        <v>0.53125</v>
      </c>
    </row>
    <row r="7823" spans="1:14" hidden="1" outlineLevel="1" x14ac:dyDescent="0.2">
      <c r="A7823" s="23" t="str">
        <f t="shared" si="324"/>
        <v>ГБПОУ "ВОРОБЬЕВЫ ГОРЫ"; ОБРАЗОВАТЕЛЬНЫЙ КОМПЛЕКС "ВОРОБЬЕВЫ ГОРЫ"; МОСКОВСКИЙ ДВОРЕЦ ПИОНЕРОВ; МОСКОВСКИЙ ДВОРЕЦ ПИОНЕРОВ НА ВОРОБЬЕВЫХ ГОРАХ; МДП</v>
      </c>
      <c r="B7823" s="24" t="s">
        <v>178</v>
      </c>
      <c r="C7823" s="25">
        <v>518400</v>
      </c>
      <c r="D7823" s="22" t="s">
        <v>10017</v>
      </c>
      <c r="E7823" s="22" t="s">
        <v>107</v>
      </c>
      <c r="F7823" s="23" t="str">
        <f t="shared" si="325"/>
        <v>Оказание услуг по техническому обслуживанию комплексов технических средств охраны (оборудования экстренного вызова полиции) объектов ГБПОУ «Воробьевы горы» в 2019-2020 г.г.</v>
      </c>
      <c r="G7823" s="22" t="s">
        <v>55</v>
      </c>
      <c r="H7823" s="22" t="s">
        <v>55</v>
      </c>
      <c r="I7823" s="26">
        <v>43607.345833333296</v>
      </c>
      <c r="J7823" s="23" t="str">
        <f>HYPERLINK("https://www.spark-marketing.ru/Card/Person/6462474", "ООО ""ФАВОР""")</f>
        <v>ООО "ФАВОР"</v>
      </c>
      <c r="K7823" s="24" t="s">
        <v>2058</v>
      </c>
      <c r="L7823" s="28" t="s">
        <v>52</v>
      </c>
      <c r="M7823" s="25">
        <v>295488</v>
      </c>
      <c r="N7823" s="27">
        <v>0.43</v>
      </c>
    </row>
    <row r="7824" spans="1:14" hidden="1" outlineLevel="1" x14ac:dyDescent="0.2">
      <c r="A7824" s="23" t="str">
        <f t="shared" si="324"/>
        <v>ГБПОУ "ВОРОБЬЕВЫ ГОРЫ"; ОБРАЗОВАТЕЛЬНЫЙ КОМПЛЕКС "ВОРОБЬЕВЫ ГОРЫ"; МОСКОВСКИЙ ДВОРЕЦ ПИОНЕРОВ; МОСКОВСКИЙ ДВОРЕЦ ПИОНЕРОВ НА ВОРОБЬЕВЫХ ГОРАХ; МДП</v>
      </c>
      <c r="B7824" s="24" t="s">
        <v>178</v>
      </c>
      <c r="C7824" s="25">
        <v>518400</v>
      </c>
      <c r="D7824" s="22" t="s">
        <v>10017</v>
      </c>
      <c r="E7824" s="22" t="s">
        <v>107</v>
      </c>
      <c r="F7824" s="23" t="str">
        <f t="shared" si="325"/>
        <v>Оказание услуг по техническому обслуживанию комплексов технических средств охраны (оборудования экстренного вызова полиции) объектов ГБПОУ «Воробьевы горы» в 2019-2020 г.г.</v>
      </c>
      <c r="G7824" s="22" t="s">
        <v>55</v>
      </c>
      <c r="H7824" s="22" t="s">
        <v>55</v>
      </c>
      <c r="I7824" s="26">
        <v>43607.345833333296</v>
      </c>
      <c r="J7824" s="23" t="str">
        <f>HYPERLINK("https://www.spark-marketing.ru/Card/Person/62200", "ООО ""СЕРВИС""")</f>
        <v>ООО "СЕРВИС"</v>
      </c>
      <c r="K7824" s="24" t="s">
        <v>10019</v>
      </c>
      <c r="L7824" s="28" t="s">
        <v>52</v>
      </c>
      <c r="M7824" s="25">
        <v>365472</v>
      </c>
      <c r="N7824" s="27">
        <v>0.29499999999999998</v>
      </c>
    </row>
    <row r="7825" spans="1:14" x14ac:dyDescent="0.15">
      <c r="A7825" s="23" t="str">
        <f>HYPERLINK("https://www.spark-marketing.ru/Card/Person/94747", "АДМИНИСТРАЦИЯ ЗАПРУДНОВСКОГО СЕЛЬСОВЕТА КСТОВСКОГО МУНИЦИПАЛЬНОГО Р-НА НИЖЕГОРОДСКОЙ ОБЛ.")</f>
        <v>АДМИНИСТРАЦИЯ ЗАПРУДНОВСКОГО СЕЛЬСОВЕТА КСТОВСКОГО МУНИЦИПАЛЬНОГО Р-НА НИЖЕГОРОДСКОЙ ОБЛ.</v>
      </c>
      <c r="B7825" s="24" t="s">
        <v>10020</v>
      </c>
      <c r="C7825" s="25">
        <v>761198</v>
      </c>
      <c r="D7825" s="22" t="s">
        <v>10021</v>
      </c>
      <c r="E7825" s="22" t="s">
        <v>84</v>
      </c>
      <c r="F7825" s="23" t="str">
        <f>HYPERLINK("https://www.spark-marketing.ru/Card/Lot/70654102", "Установка системы видеонаблюдения и организация зоны WiFi на территории зоны отдыха ""Центральная аллея"" Нижегородская область Кстовский район село Запрудное улица Магистральная в районе дома №29(Формирование современной городской среды)")</f>
        <v>Установка системы видеонаблюдения и организация зоны WiFi на территории зоны отдыха "Центральная аллея" Нижегородская область Кстовский район село Запрудное улица Магистральная в районе дома №29(Формирование современной городской среды)</v>
      </c>
      <c r="G7825" s="22" t="s">
        <v>64</v>
      </c>
      <c r="H7825" s="22" t="s">
        <v>64</v>
      </c>
      <c r="I7825" s="26">
        <v>43607.331944444399</v>
      </c>
      <c r="J7825" s="23" t="str">
        <f>HYPERLINK("https://www.spark-marketing.ru/Card/Person/52372", "ООО ""ЭСБ""")</f>
        <v>ООО "ЭСБ"</v>
      </c>
      <c r="K7825" s="24" t="s">
        <v>10022</v>
      </c>
      <c r="L7825" s="28" t="s">
        <v>52</v>
      </c>
      <c r="M7825" s="28" t="s">
        <v>52</v>
      </c>
      <c r="N7825" s="28" t="s">
        <v>52</v>
      </c>
    </row>
    <row r="7826" spans="1:14" ht="12.75" hidden="1" outlineLevel="1" x14ac:dyDescent="0.2">
      <c r="A7826" s="23" t="str">
        <f>HYPERLINK("https://www.spark-marketing.ru/Card/Person/94747", "АДМИНИСТРАЦИЯ ЗАПРУДНОВСКОГО СЕЛЬСОВЕТА КСТОВСКОГО МУНИЦИПАЛЬНОГО Р-НА НИЖЕГОРОДСКОЙ ОБЛ.")</f>
        <v>АДМИНИСТРАЦИЯ ЗАПРУДНОВСКОГО СЕЛЬСОВЕТА КСТОВСКОГО МУНИЦИПАЛЬНОГО Р-НА НИЖЕГОРОДСКОЙ ОБЛ.</v>
      </c>
      <c r="B7826" s="24" t="s">
        <v>10020</v>
      </c>
      <c r="C7826" s="25">
        <v>761198</v>
      </c>
      <c r="D7826" s="22" t="s">
        <v>10021</v>
      </c>
      <c r="E7826" s="22" t="s">
        <v>84</v>
      </c>
      <c r="F7826" s="23" t="str">
        <f>HYPERLINK("https://www.spark-marketing.ru/Card/Lot/70654102", "Установка системы видеонаблюдения и организация зоны WiFi на территории зоны отдыха ""Центральная аллея"" Нижегородская область Кстовский район село Запрудное улица Магистральная в районе дома №29(Формирование современной городской среды)")</f>
        <v>Установка системы видеонаблюдения и организация зоны WiFi на территории зоны отдыха "Центральная аллея" Нижегородская область Кстовский район село Запрудное улица Магистральная в районе дома №29(Формирование современной городской среды)</v>
      </c>
      <c r="G7826" s="22" t="s">
        <v>64</v>
      </c>
      <c r="H7826" s="22" t="s">
        <v>64</v>
      </c>
      <c r="I7826" s="26">
        <v>43607.331944444399</v>
      </c>
      <c r="J7826" s="23" t="str">
        <f>HYPERLINK("https://www.spark-marketing.ru/Card/Person/52372", "ООО ""ЭСБ""")</f>
        <v>ООО "ЭСБ"</v>
      </c>
      <c r="K7826" s="24" t="s">
        <v>10022</v>
      </c>
      <c r="L7826" s="22" t="s">
        <v>10</v>
      </c>
      <c r="M7826" s="25">
        <v>757392.01</v>
      </c>
      <c r="N7826" s="27">
        <v>5.0000000000000001E-3</v>
      </c>
    </row>
    <row r="7827" spans="1:14" x14ac:dyDescent="0.15">
      <c r="A7827" s="23" t="str">
        <f>HYPERLINK("https://www.spark-marketing.ru/Card/Person/1781184", "ООО ""ТАМБОВСКИЙ БЕКОН""")</f>
        <v>ООО "ТАМБОВСКИЙ БЕКОН"</v>
      </c>
      <c r="B7827" s="24" t="s">
        <v>10023</v>
      </c>
      <c r="C7827" s="25">
        <v>0</v>
      </c>
      <c r="D7827" s="22" t="s">
        <v>10024</v>
      </c>
      <c r="E7827" s="22" t="s">
        <v>10025</v>
      </c>
      <c r="F7827" s="23" t="str">
        <f>HYPERLINK("https://www.spark-marketing.ru/Card/Lot/70651630", "Выбор организации для поставки блок-контейнера для размещения постов охраны на строительных площадках ООО«РУСАГРО-ПРИМОРЬЕ")</f>
        <v>Выбор организации для поставки блок-контейнера для размещения постов охраны на строительных площадках ООО«РУСАГРО-ПРИМОРЬЕ</v>
      </c>
      <c r="G7827" s="22" t="s">
        <v>409</v>
      </c>
      <c r="H7827" s="22" t="s">
        <v>6768</v>
      </c>
      <c r="I7827" s="26">
        <v>43607.107858796298</v>
      </c>
      <c r="J7827" s="28" t="s">
        <v>52</v>
      </c>
      <c r="K7827" s="28" t="s">
        <v>52</v>
      </c>
      <c r="L7827" s="28" t="s">
        <v>52</v>
      </c>
      <c r="M7827" s="28" t="s">
        <v>52</v>
      </c>
      <c r="N7827" s="28" t="s">
        <v>52</v>
      </c>
    </row>
    <row r="7828" spans="1:14" x14ac:dyDescent="0.2">
      <c r="A7828" s="23" t="str">
        <f>HYPERLINK("https://www.spark-marketing.ru/Card/Person/10487", "ФГУП ""ОХРАНА"" РОСГВАРДИИ")</f>
        <v>ФГУП "ОХРАНА" РОСГВАРДИИ</v>
      </c>
      <c r="B7828" s="24" t="s">
        <v>779</v>
      </c>
      <c r="C7828" s="25">
        <v>1963167.71</v>
      </c>
      <c r="D7828" s="22" t="s">
        <v>10026</v>
      </c>
      <c r="E7828" s="22" t="s">
        <v>1149</v>
      </c>
      <c r="F7828" s="23" t="str">
        <f>HYPERLINK("https://www.spark-marketing.ru/Card/Lot/70648792", "Поставка офисной техники для нужд Центра охраны объектов промышленности")</f>
        <v>Поставка офисной техники для нужд Центра охраны объектов промышленности</v>
      </c>
      <c r="G7828" s="22" t="s">
        <v>55</v>
      </c>
      <c r="H7828" s="22" t="s">
        <v>55</v>
      </c>
      <c r="I7828" s="26">
        <v>43606.734027777798</v>
      </c>
      <c r="J7828" s="28" t="s">
        <v>52</v>
      </c>
      <c r="K7828" s="28" t="s">
        <v>52</v>
      </c>
      <c r="L7828" s="22" t="s">
        <v>10</v>
      </c>
      <c r="M7828" s="25">
        <v>1940000</v>
      </c>
      <c r="N7828" s="27">
        <v>1.1801187377924018E-2</v>
      </c>
    </row>
    <row r="7829" spans="1:14" x14ac:dyDescent="0.15">
      <c r="A7829" s="23" t="str">
        <f>HYPERLINK("https://www.spark-marketing.ru/Card/Person/4343405", "ФГУП ""ГОСКОРПОРАЦИЯ ПО ОРВД""")</f>
        <v>ФГУП "ГОСКОРПОРАЦИЯ ПО ОРВД"</v>
      </c>
      <c r="B7829" s="24" t="s">
        <v>801</v>
      </c>
      <c r="C7829" s="25">
        <v>1500000</v>
      </c>
      <c r="D7829" s="22" t="s">
        <v>10027</v>
      </c>
      <c r="E7829" s="22" t="s">
        <v>533</v>
      </c>
      <c r="F7829" s="23" t="str">
        <f>HYPERLINK("https://www.spark-marketing.ru/Card/Lot/70649029", "Приобретение и установка сертифицированной системы охранной сигнализации на 12 объектах Домодедовского центра ОВД: ГРМ-135 правая; КРМ-135 правая; ГРМ-315 левая; КРМ-315 левая; РМД; РМА/РМД; АРП «Платан»; РЛС ОЛП (ВПП-1); ОРЛ-А «Лира-А10»; ДЭС ОРЛ-А ...")</f>
        <v>Приобретение и установка сертифицированной системы охранной сигнализации на 12 объектах Домодедовского центра ОВД: ГРМ-135 правая; КРМ-135 правая; ГРМ-315 левая; КРМ-315 левая; РМД; РМА/РМД; АРП «Платан»; РЛС ОЛП (ВПП-1); ОРЛ-А «Лира-А10»; ДЭС ОРЛ-А ...</v>
      </c>
      <c r="G7829" s="22" t="s">
        <v>55</v>
      </c>
      <c r="H7829" s="22" t="s">
        <v>55</v>
      </c>
      <c r="I7829" s="26">
        <v>43606.803900462997</v>
      </c>
      <c r="J7829" s="28" t="s">
        <v>52</v>
      </c>
      <c r="K7829" s="28" t="s">
        <v>52</v>
      </c>
      <c r="L7829" s="28" t="s">
        <v>52</v>
      </c>
      <c r="M7829" s="28" t="s">
        <v>52</v>
      </c>
      <c r="N7829" s="28" t="s">
        <v>52</v>
      </c>
    </row>
    <row r="7830" spans="1:14" x14ac:dyDescent="0.15">
      <c r="A7830" s="23" t="str">
        <f>HYPERLINK("https://www.spark-marketing.ru/Card/Person/6450322", "ЗАКАЗЧИК РП БЕЛАРУСЬ")</f>
        <v>ЗАКАЗЧИК РП БЕЛАРУСЬ</v>
      </c>
      <c r="B7830" s="28" t="s">
        <v>52</v>
      </c>
      <c r="C7830" s="28" t="s">
        <v>52</v>
      </c>
      <c r="D7830" s="22" t="s">
        <v>10028</v>
      </c>
      <c r="E7830" s="22" t="s">
        <v>53</v>
      </c>
      <c r="F7830" s="23" t="str">
        <f>HYPERLINK("https://www.spark-marketing.ru/Card/Lot/70666499", "Выбор подрядной организации на инженерно-геодезическое сопровождение объекта")</f>
        <v>Выбор подрядной организации на инженерно-геодезическое сопровождение объекта</v>
      </c>
      <c r="G7830" s="22" t="s">
        <v>52</v>
      </c>
      <c r="H7830" s="22" t="s">
        <v>52</v>
      </c>
      <c r="I7830" s="26">
        <v>43607</v>
      </c>
      <c r="J7830" s="28" t="s">
        <v>52</v>
      </c>
      <c r="K7830" s="28" t="s">
        <v>52</v>
      </c>
      <c r="L7830" s="28" t="s">
        <v>52</v>
      </c>
      <c r="M7830" s="28" t="s">
        <v>52</v>
      </c>
      <c r="N7830" s="28" t="s">
        <v>52</v>
      </c>
    </row>
    <row r="7831" spans="1:14" x14ac:dyDescent="0.2">
      <c r="A7831" s="23" t="str">
        <f>HYPERLINK("https://www.spark-marketing.ru/Card/Person/6519143", "АО ""КРЫМЭНЕРГО""")</f>
        <v>АО "КРЫМЭНЕРГО"</v>
      </c>
      <c r="B7831" s="24" t="s">
        <v>10029</v>
      </c>
      <c r="C7831" s="25">
        <v>15709.6</v>
      </c>
      <c r="D7831" s="22" t="s">
        <v>10030</v>
      </c>
      <c r="E7831" s="22" t="s">
        <v>144</v>
      </c>
      <c r="F7831" s="23" t="str">
        <f>HYPERLINK("https://www.spark-marketing.ru/Card/Lot/70646646", "Обеспечение стационарной и носимой кнопок для подачи извещения о тревоге (""тревожные кнопки"") группа быстрого реагирования")</f>
        <v>Обеспечение стационарной и носимой кнопок для подачи извещения о тревоге ("тревожные кнопки") группа быстрого реагирования</v>
      </c>
      <c r="G7831" s="22" t="s">
        <v>1053</v>
      </c>
      <c r="H7831" s="22" t="s">
        <v>1053</v>
      </c>
      <c r="I7831" s="26">
        <v>43606.711620370399</v>
      </c>
      <c r="J7831" s="23" t="str">
        <f>HYPERLINK("https://www.spark-marketing.ru/Card/Person/19032", "ФГКУ ""УВО ВНГ РОССИИ ПО РЕСПУБЛИКЕ КРЫМ""")</f>
        <v>ФГКУ "УВО ВНГ РОССИИ ПО РЕСПУБЛИКЕ КРЫМ"</v>
      </c>
      <c r="K7831" s="24" t="s">
        <v>10031</v>
      </c>
      <c r="L7831" s="28" t="s">
        <v>52</v>
      </c>
      <c r="M7831" s="25">
        <v>15709.6</v>
      </c>
      <c r="N7831" s="27">
        <v>0</v>
      </c>
    </row>
    <row r="7832" spans="1:14" x14ac:dyDescent="0.15">
      <c r="A7832" s="23" t="str">
        <f>HYPERLINK("https://www.spark-marketing.ru/Card/Person/4365569", "ФГУП ""РОСМОРПОРТ""")</f>
        <v>ФГУП "РОСМОРПОРТ"</v>
      </c>
      <c r="B7832" s="24" t="s">
        <v>273</v>
      </c>
      <c r="C7832" s="25">
        <v>3000000</v>
      </c>
      <c r="D7832" s="22" t="s">
        <v>10032</v>
      </c>
      <c r="E7832" s="22" t="s">
        <v>370</v>
      </c>
      <c r="F7832" s="23" t="str">
        <f>HYPERLINK("https://www.spark-marketing.ru/Card/Lot/70648889", "Оказание услуг по техническому обслуживанию аварийно-восстановительным работам систеи по заявкам (АЧБФ-Н-208-19)")</f>
        <v>Оказание услуг по техническому обслуживанию аварийно-восстановительным работам систеи по заявкам (АЧБФ-Н-208-19)</v>
      </c>
      <c r="G7832" s="22" t="s">
        <v>132</v>
      </c>
      <c r="H7832" s="22" t="s">
        <v>132</v>
      </c>
      <c r="I7832" s="26">
        <v>43606.746932870403</v>
      </c>
      <c r="J7832" s="28" t="s">
        <v>52</v>
      </c>
      <c r="K7832" s="28" t="s">
        <v>52</v>
      </c>
      <c r="L7832" s="28" t="s">
        <v>52</v>
      </c>
      <c r="M7832" s="28" t="s">
        <v>52</v>
      </c>
      <c r="N7832" s="28" t="s">
        <v>52</v>
      </c>
    </row>
    <row r="7833" spans="1:14" x14ac:dyDescent="0.15">
      <c r="A7833" s="23" t="str">
        <f t="shared" ref="A7833:A7841" si="326">HYPERLINK("https://www.spark-marketing.ru/Card/Person/35553", "СПБ ГБУЗ ""ГОРОДСКАЯ ПОЛИКЛИНИКА №77 НЕВСКОГО РАЙОНА""")</f>
        <v>СПБ ГБУЗ "ГОРОДСКАЯ ПОЛИКЛИНИКА №77 НЕВСКОГО РАЙОНА"</v>
      </c>
      <c r="B7833" s="24" t="s">
        <v>10033</v>
      </c>
      <c r="C7833" s="25">
        <v>2257712.4</v>
      </c>
      <c r="D7833" s="22" t="s">
        <v>10034</v>
      </c>
      <c r="E7833" s="22" t="s">
        <v>59</v>
      </c>
      <c r="F7833" s="23" t="str">
        <f t="shared" ref="F7833:F7841" si="327">HYPERLINK("https://www.spark-marketing.ru/Card/Lot/70646498", "Установка системы охранного видеонаблюдения по адресу: Шлиссельбургский пр., д.25, корп.1")</f>
        <v>Установка системы охранного видеонаблюдения по адресу: Шлиссельбургский пр., д.25, корп.1</v>
      </c>
      <c r="G7833" s="22" t="s">
        <v>89</v>
      </c>
      <c r="H7833" s="22" t="s">
        <v>89</v>
      </c>
      <c r="I7833" s="26">
        <v>43606.706250000003</v>
      </c>
      <c r="J7833" s="28" t="s">
        <v>52</v>
      </c>
      <c r="K7833" s="28" t="s">
        <v>52</v>
      </c>
      <c r="L7833" s="28" t="s">
        <v>52</v>
      </c>
      <c r="M7833" s="28" t="s">
        <v>52</v>
      </c>
      <c r="N7833" s="28" t="s">
        <v>52</v>
      </c>
    </row>
    <row r="7834" spans="1:14" hidden="1" outlineLevel="1" x14ac:dyDescent="0.2">
      <c r="A7834" s="23" t="str">
        <f t="shared" si="326"/>
        <v>СПБ ГБУЗ "ГОРОДСКАЯ ПОЛИКЛИНИКА №77 НЕВСКОГО РАЙОНА"</v>
      </c>
      <c r="B7834" s="24" t="s">
        <v>10033</v>
      </c>
      <c r="C7834" s="25">
        <v>2257712.4</v>
      </c>
      <c r="D7834" s="22" t="s">
        <v>10034</v>
      </c>
      <c r="E7834" s="22" t="s">
        <v>59</v>
      </c>
      <c r="F7834" s="23" t="str">
        <f t="shared" si="327"/>
        <v>Установка системы охранного видеонаблюдения по адресу: Шлиссельбургский пр., д.25, корп.1</v>
      </c>
      <c r="G7834" s="22" t="s">
        <v>89</v>
      </c>
      <c r="H7834" s="22" t="s">
        <v>89</v>
      </c>
      <c r="I7834" s="26">
        <v>43606.706250000003</v>
      </c>
      <c r="J7834" s="23" t="str">
        <f>HYPERLINK("https://www.spark-marketing.ru/Card/Person/94345", "ООО ""СТРОЙСЕРВИСПРОЕКТ""")</f>
        <v>ООО "СТРОЙСЕРВИСПРОЕКТ"</v>
      </c>
      <c r="K7834" s="24" t="s">
        <v>1285</v>
      </c>
      <c r="L7834" s="28" t="s">
        <v>52</v>
      </c>
      <c r="M7834" s="25">
        <v>2065806.86</v>
      </c>
      <c r="N7834" s="27">
        <v>8.4999993799033044E-2</v>
      </c>
    </row>
    <row r="7835" spans="1:14" hidden="1" outlineLevel="1" x14ac:dyDescent="0.2">
      <c r="A7835" s="23" t="str">
        <f t="shared" si="326"/>
        <v>СПБ ГБУЗ "ГОРОДСКАЯ ПОЛИКЛИНИКА №77 НЕВСКОГО РАЙОНА"</v>
      </c>
      <c r="B7835" s="24" t="s">
        <v>10033</v>
      </c>
      <c r="C7835" s="25">
        <v>2257712.4</v>
      </c>
      <c r="D7835" s="22" t="s">
        <v>10034</v>
      </c>
      <c r="E7835" s="22" t="s">
        <v>59</v>
      </c>
      <c r="F7835" s="23" t="str">
        <f t="shared" si="327"/>
        <v>Установка системы охранного видеонаблюдения по адресу: Шлиссельбургский пр., д.25, корп.1</v>
      </c>
      <c r="G7835" s="22" t="s">
        <v>89</v>
      </c>
      <c r="H7835" s="22" t="s">
        <v>89</v>
      </c>
      <c r="I7835" s="26">
        <v>43606.706250000003</v>
      </c>
      <c r="J7835" s="23" t="str">
        <f>HYPERLINK("https://www.spark-marketing.ru/Card/Person/4345955", "ООО ""СБ-СЕРВИС""")</f>
        <v>ООО "СБ-СЕРВИС"</v>
      </c>
      <c r="K7835" s="24" t="s">
        <v>10035</v>
      </c>
      <c r="L7835" s="28" t="s">
        <v>52</v>
      </c>
      <c r="M7835" s="25">
        <v>2110961.1</v>
      </c>
      <c r="N7835" s="27">
        <v>6.4999997342442731E-2</v>
      </c>
    </row>
    <row r="7836" spans="1:14" hidden="1" outlineLevel="1" x14ac:dyDescent="0.2">
      <c r="A7836" s="23" t="str">
        <f t="shared" si="326"/>
        <v>СПБ ГБУЗ "ГОРОДСКАЯ ПОЛИКЛИНИКА №77 НЕВСКОГО РАЙОНА"</v>
      </c>
      <c r="B7836" s="24" t="s">
        <v>10033</v>
      </c>
      <c r="C7836" s="25">
        <v>2257712.4</v>
      </c>
      <c r="D7836" s="22" t="s">
        <v>10034</v>
      </c>
      <c r="E7836" s="22" t="s">
        <v>59</v>
      </c>
      <c r="F7836" s="23" t="str">
        <f t="shared" si="327"/>
        <v>Установка системы охранного видеонаблюдения по адресу: Шлиссельбургский пр., д.25, корп.1</v>
      </c>
      <c r="G7836" s="22" t="s">
        <v>89</v>
      </c>
      <c r="H7836" s="22" t="s">
        <v>89</v>
      </c>
      <c r="I7836" s="26">
        <v>43606.706250000003</v>
      </c>
      <c r="J7836" s="23" t="str">
        <f>HYPERLINK("https://www.spark-marketing.ru/Card/Person/5588621", "ООО ""СЛАВИА""")</f>
        <v>ООО "СЛАВИА"</v>
      </c>
      <c r="K7836" s="24" t="s">
        <v>10036</v>
      </c>
      <c r="L7836" s="28" t="s">
        <v>52</v>
      </c>
      <c r="M7836" s="25">
        <v>2088383.98</v>
      </c>
      <c r="N7836" s="27">
        <v>7.4999995570737887E-2</v>
      </c>
    </row>
    <row r="7837" spans="1:14" hidden="1" outlineLevel="1" x14ac:dyDescent="0.2">
      <c r="A7837" s="23" t="str">
        <f t="shared" si="326"/>
        <v>СПБ ГБУЗ "ГОРОДСКАЯ ПОЛИКЛИНИКА №77 НЕВСКОГО РАЙОНА"</v>
      </c>
      <c r="B7837" s="24" t="s">
        <v>10033</v>
      </c>
      <c r="C7837" s="25">
        <v>2257712.4</v>
      </c>
      <c r="D7837" s="22" t="s">
        <v>10034</v>
      </c>
      <c r="E7837" s="22" t="s">
        <v>59</v>
      </c>
      <c r="F7837" s="23" t="str">
        <f t="shared" si="327"/>
        <v>Установка системы охранного видеонаблюдения по адресу: Шлиссельбургский пр., д.25, корп.1</v>
      </c>
      <c r="G7837" s="22" t="s">
        <v>89</v>
      </c>
      <c r="H7837" s="22" t="s">
        <v>89</v>
      </c>
      <c r="I7837" s="26">
        <v>43606.706250000003</v>
      </c>
      <c r="J7837" s="23" t="str">
        <f>HYPERLINK("https://www.spark-marketing.ru/Card/Person/5389766", "ООО ""ЭЙЧ-ПРО""")</f>
        <v>ООО "ЭЙЧ-ПРО"</v>
      </c>
      <c r="K7837" s="24" t="s">
        <v>10037</v>
      </c>
      <c r="L7837" s="28" t="s">
        <v>52</v>
      </c>
      <c r="M7837" s="25">
        <v>1789871.67</v>
      </c>
      <c r="N7837" s="27">
        <v>0.20721892212666237</v>
      </c>
    </row>
    <row r="7838" spans="1:14" hidden="1" outlineLevel="1" x14ac:dyDescent="0.2">
      <c r="A7838" s="23" t="str">
        <f t="shared" si="326"/>
        <v>СПБ ГБУЗ "ГОРОДСКАЯ ПОЛИКЛИНИКА №77 НЕВСКОГО РАЙОНА"</v>
      </c>
      <c r="B7838" s="24" t="s">
        <v>10033</v>
      </c>
      <c r="C7838" s="25">
        <v>2257712.4</v>
      </c>
      <c r="D7838" s="22" t="s">
        <v>10034</v>
      </c>
      <c r="E7838" s="22" t="s">
        <v>59</v>
      </c>
      <c r="F7838" s="23" t="str">
        <f t="shared" si="327"/>
        <v>Установка системы охранного видеонаблюдения по адресу: Шлиссельбургский пр., д.25, корп.1</v>
      </c>
      <c r="G7838" s="22" t="s">
        <v>89</v>
      </c>
      <c r="H7838" s="22" t="s">
        <v>89</v>
      </c>
      <c r="I7838" s="26">
        <v>43606.706250000003</v>
      </c>
      <c r="J7838" s="23" t="str">
        <f>HYPERLINK("https://www.spark-marketing.ru/Card/Person/132600", "ООО ""АСПЕКТ""")</f>
        <v>ООО "АСПЕКТ"</v>
      </c>
      <c r="K7838" s="24" t="s">
        <v>10038</v>
      </c>
      <c r="L7838" s="28" t="s">
        <v>52</v>
      </c>
      <c r="M7838" s="25">
        <v>1669237.7</v>
      </c>
      <c r="N7838" s="27">
        <v>0.26065086943757759</v>
      </c>
    </row>
    <row r="7839" spans="1:14" hidden="1" outlineLevel="1" x14ac:dyDescent="0.2">
      <c r="A7839" s="23" t="str">
        <f t="shared" si="326"/>
        <v>СПБ ГБУЗ "ГОРОДСКАЯ ПОЛИКЛИНИКА №77 НЕВСКОГО РАЙОНА"</v>
      </c>
      <c r="B7839" s="24" t="s">
        <v>10033</v>
      </c>
      <c r="C7839" s="25">
        <v>2257712.4</v>
      </c>
      <c r="D7839" s="22" t="s">
        <v>10034</v>
      </c>
      <c r="E7839" s="22" t="s">
        <v>59</v>
      </c>
      <c r="F7839" s="23" t="str">
        <f t="shared" si="327"/>
        <v>Установка системы охранного видеонаблюдения по адресу: Шлиссельбургский пр., д.25, корп.1</v>
      </c>
      <c r="G7839" s="22" t="s">
        <v>89</v>
      </c>
      <c r="H7839" s="22" t="s">
        <v>89</v>
      </c>
      <c r="I7839" s="26">
        <v>43606.706250000003</v>
      </c>
      <c r="J7839" s="23" t="str">
        <f>HYPERLINK("https://www.spark-marketing.ru/Card/Person/6486783", "Афсари Тимур Викторович")</f>
        <v>Афсари Тимур Викторович</v>
      </c>
      <c r="K7839" s="24" t="s">
        <v>10039</v>
      </c>
      <c r="L7839" s="28" t="s">
        <v>52</v>
      </c>
      <c r="M7839" s="25">
        <v>1640047.75</v>
      </c>
      <c r="N7839" s="27">
        <v>0.27357986340509977</v>
      </c>
    </row>
    <row r="7840" spans="1:14" ht="12.75" hidden="1" outlineLevel="1" x14ac:dyDescent="0.2">
      <c r="A7840" s="23" t="str">
        <f t="shared" si="326"/>
        <v>СПБ ГБУЗ "ГОРОДСКАЯ ПОЛИКЛИНИКА №77 НЕВСКОГО РАЙОНА"</v>
      </c>
      <c r="B7840" s="24" t="s">
        <v>10033</v>
      </c>
      <c r="C7840" s="25">
        <v>2257712.4</v>
      </c>
      <c r="D7840" s="22" t="s">
        <v>10034</v>
      </c>
      <c r="E7840" s="22" t="s">
        <v>59</v>
      </c>
      <c r="F7840" s="23" t="str">
        <f t="shared" si="327"/>
        <v>Установка системы охранного видеонаблюдения по адресу: Шлиссельбургский пр., д.25, корп.1</v>
      </c>
      <c r="G7840" s="22" t="s">
        <v>89</v>
      </c>
      <c r="H7840" s="22" t="s">
        <v>89</v>
      </c>
      <c r="I7840" s="26">
        <v>43606.706250000003</v>
      </c>
      <c r="J7840" s="23" t="str">
        <f>HYPERLINK("https://www.spark-marketing.ru/Card/Person/6067953", "ООО ""АИСЕРВИС""")</f>
        <v>ООО "АИСЕРВИС"</v>
      </c>
      <c r="K7840" s="24" t="s">
        <v>10040</v>
      </c>
      <c r="L7840" s="22" t="s">
        <v>10</v>
      </c>
      <c r="M7840" s="25">
        <v>1600170.41</v>
      </c>
      <c r="N7840" s="27">
        <v>0.29124258253619906</v>
      </c>
    </row>
    <row r="7841" spans="1:14" hidden="1" outlineLevel="1" x14ac:dyDescent="0.2">
      <c r="A7841" s="23" t="str">
        <f t="shared" si="326"/>
        <v>СПБ ГБУЗ "ГОРОДСКАЯ ПОЛИКЛИНИКА №77 НЕВСКОГО РАЙОНА"</v>
      </c>
      <c r="B7841" s="24" t="s">
        <v>10033</v>
      </c>
      <c r="C7841" s="25">
        <v>2257712.4</v>
      </c>
      <c r="D7841" s="22" t="s">
        <v>10034</v>
      </c>
      <c r="E7841" s="22" t="s">
        <v>59</v>
      </c>
      <c r="F7841" s="23" t="str">
        <f t="shared" si="327"/>
        <v>Установка системы охранного видеонаблюдения по адресу: Шлиссельбургский пр., д.25, корп.1</v>
      </c>
      <c r="G7841" s="22" t="s">
        <v>89</v>
      </c>
      <c r="H7841" s="22" t="s">
        <v>89</v>
      </c>
      <c r="I7841" s="26">
        <v>43606.706250000003</v>
      </c>
      <c r="J7841" s="23" t="str">
        <f>HYPERLINK("https://www.spark-marketing.ru/Card/Person/6293291", "Данвальд Наталья Викторовна")</f>
        <v>Данвальд Наталья Викторовна</v>
      </c>
      <c r="K7841" s="24" t="s">
        <v>10041</v>
      </c>
      <c r="L7841" s="28" t="s">
        <v>52</v>
      </c>
      <c r="M7841" s="25">
        <v>1614464.8</v>
      </c>
      <c r="N7841" s="27">
        <v>0.28491122252772322</v>
      </c>
    </row>
    <row r="7842" spans="1:14" x14ac:dyDescent="0.15">
      <c r="A7842" s="23" t="str">
        <f>HYPERLINK("https://www.spark-marketing.ru/Card/Person/1284601", "МАУ ДО ""ДЮСШ"" Г.ЛЕБЕДЯНЬ")</f>
        <v>МАУ ДО "ДЮСШ" Г.ЛЕБЕДЯНЬ</v>
      </c>
      <c r="B7842" s="24" t="s">
        <v>8223</v>
      </c>
      <c r="C7842" s="25">
        <v>172240</v>
      </c>
      <c r="D7842" s="22" t="s">
        <v>10042</v>
      </c>
      <c r="E7842" s="22" t="s">
        <v>691</v>
      </c>
      <c r="F7842" s="23" t="str">
        <f>HYPERLINK("https://www.spark-marketing.ru/Card/Lot/70647662", "Российский рубль")</f>
        <v>Российский рубль</v>
      </c>
      <c r="G7842" s="22" t="s">
        <v>629</v>
      </c>
      <c r="H7842" s="22" t="s">
        <v>8225</v>
      </c>
      <c r="I7842" s="26">
        <v>43606.694803240702</v>
      </c>
      <c r="J7842" s="28" t="s">
        <v>52</v>
      </c>
      <c r="K7842" s="28" t="s">
        <v>52</v>
      </c>
      <c r="L7842" s="28" t="s">
        <v>52</v>
      </c>
      <c r="M7842" s="28" t="s">
        <v>52</v>
      </c>
      <c r="N7842" s="28" t="s">
        <v>52</v>
      </c>
    </row>
    <row r="7843" spans="1:14" x14ac:dyDescent="0.15">
      <c r="A7843" s="23" t="str">
        <f>HYPERLINK("https://www.spark-marketing.ru/Card/Person/666553", "ФГП ВО ЖДТ РОССИИ")</f>
        <v>ФГП ВО ЖДТ РОССИИ</v>
      </c>
      <c r="B7843" s="24" t="s">
        <v>1269</v>
      </c>
      <c r="C7843" s="25">
        <v>747000</v>
      </c>
      <c r="D7843" s="22" t="s">
        <v>10043</v>
      </c>
      <c r="E7843" s="22" t="s">
        <v>10044</v>
      </c>
      <c r="F7843" s="23" t="str">
        <f>HYPERLINK("https://www.spark-marketing.ru/Card/Lot/70650921", "Оказание услуги по разработке Единого фирменного стиля (Брендбука) федерального государственного предприятия «Ведомственная охрана железнодорожного транспорта Российской Федерации»")</f>
        <v>Оказание услуги по разработке Единого фирменного стиля (Брендбука) федерального государственного предприятия «Ведомственная охрана железнодорожного транспорта Российской Федерации»</v>
      </c>
      <c r="G7843" s="22" t="s">
        <v>55</v>
      </c>
      <c r="H7843" s="22" t="s">
        <v>55</v>
      </c>
      <c r="I7843" s="26">
        <v>43606.679317129601</v>
      </c>
      <c r="J7843" s="28" t="s">
        <v>52</v>
      </c>
      <c r="K7843" s="28" t="s">
        <v>52</v>
      </c>
      <c r="L7843" s="28" t="s">
        <v>52</v>
      </c>
      <c r="M7843" s="28" t="s">
        <v>52</v>
      </c>
      <c r="N7843" s="28" t="s">
        <v>52</v>
      </c>
    </row>
    <row r="7844" spans="1:14" x14ac:dyDescent="0.15">
      <c r="A7844" s="23" t="str">
        <f t="shared" ref="A7844:A7849" si="328">HYPERLINK("https://www.spark-marketing.ru/Card/Person/337294", "ФГБОУ ВО ""НИУ ""МЭИ""")</f>
        <v>ФГБОУ ВО "НИУ "МЭИ"</v>
      </c>
      <c r="B7844" s="24" t="s">
        <v>9332</v>
      </c>
      <c r="C7844" s="25">
        <v>398741.37</v>
      </c>
      <c r="D7844" s="22" t="s">
        <v>10045</v>
      </c>
      <c r="E7844" s="22" t="s">
        <v>194</v>
      </c>
      <c r="F7844" s="23" t="str">
        <f t="shared" ref="F7844:F7849" si="329">HYPERLINK("https://www.spark-marketing.ru/Card/Lot/70645069", "Поставка и установка видеонаблюдения на территории СОСЛ ""Энергия""")</f>
        <v>Поставка и установка видеонаблюдения на территории СОСЛ "Энергия"</v>
      </c>
      <c r="G7844" s="22" t="s">
        <v>55</v>
      </c>
      <c r="H7844" s="22" t="s">
        <v>55</v>
      </c>
      <c r="I7844" s="26">
        <v>43606.6875</v>
      </c>
      <c r="J7844" s="28" t="s">
        <v>52</v>
      </c>
      <c r="K7844" s="28" t="s">
        <v>52</v>
      </c>
      <c r="L7844" s="28" t="s">
        <v>52</v>
      </c>
      <c r="M7844" s="28" t="s">
        <v>52</v>
      </c>
      <c r="N7844" s="28" t="s">
        <v>52</v>
      </c>
    </row>
    <row r="7845" spans="1:14" hidden="1" outlineLevel="1" x14ac:dyDescent="0.2">
      <c r="A7845" s="23" t="str">
        <f t="shared" si="328"/>
        <v>ФГБОУ ВО "НИУ "МЭИ"</v>
      </c>
      <c r="B7845" s="24" t="s">
        <v>9332</v>
      </c>
      <c r="C7845" s="25">
        <v>398741.37</v>
      </c>
      <c r="D7845" s="22" t="s">
        <v>10045</v>
      </c>
      <c r="E7845" s="22" t="s">
        <v>194</v>
      </c>
      <c r="F7845" s="23" t="str">
        <f t="shared" si="329"/>
        <v>Поставка и установка видеонаблюдения на территории СОСЛ "Энергия"</v>
      </c>
      <c r="G7845" s="22" t="s">
        <v>55</v>
      </c>
      <c r="H7845" s="22" t="s">
        <v>55</v>
      </c>
      <c r="I7845" s="26">
        <v>43606.6875</v>
      </c>
      <c r="J7845" s="23" t="str">
        <f>HYPERLINK("https://www.spark-marketing.ru/Card/Person/6510993", "ООО ""ЛВ-СИСТЕМС""")</f>
        <v>ООО "ЛВ-СИСТЕМС"</v>
      </c>
      <c r="K7845" s="24" t="s">
        <v>10046</v>
      </c>
      <c r="L7845" s="28" t="s">
        <v>52</v>
      </c>
      <c r="M7845" s="25">
        <v>301029</v>
      </c>
      <c r="N7845" s="27">
        <v>0.24505199949531195</v>
      </c>
    </row>
    <row r="7846" spans="1:14" hidden="1" outlineLevel="1" x14ac:dyDescent="0.2">
      <c r="A7846" s="23" t="str">
        <f t="shared" si="328"/>
        <v>ФГБОУ ВО "НИУ "МЭИ"</v>
      </c>
      <c r="B7846" s="24" t="s">
        <v>9332</v>
      </c>
      <c r="C7846" s="25">
        <v>398741.37</v>
      </c>
      <c r="D7846" s="22" t="s">
        <v>10045</v>
      </c>
      <c r="E7846" s="22" t="s">
        <v>194</v>
      </c>
      <c r="F7846" s="23" t="str">
        <f t="shared" si="329"/>
        <v>Поставка и установка видеонаблюдения на территории СОСЛ "Энергия"</v>
      </c>
      <c r="G7846" s="22" t="s">
        <v>55</v>
      </c>
      <c r="H7846" s="22" t="s">
        <v>55</v>
      </c>
      <c r="I7846" s="26">
        <v>43606.6875</v>
      </c>
      <c r="J7846" s="23" t="str">
        <f>HYPERLINK("https://www.spark-marketing.ru/Card/Person/1637460", "ООО ""ПРОВИЖЕН""")</f>
        <v>ООО "ПРОВИЖЕН"</v>
      </c>
      <c r="K7846" s="24" t="s">
        <v>10047</v>
      </c>
      <c r="L7846" s="28" t="s">
        <v>52</v>
      </c>
      <c r="M7846" s="25">
        <v>394753.95</v>
      </c>
      <c r="N7846" s="27">
        <v>1.0000015799714988E-2</v>
      </c>
    </row>
    <row r="7847" spans="1:14" hidden="1" outlineLevel="1" x14ac:dyDescent="0.2">
      <c r="A7847" s="23" t="str">
        <f t="shared" si="328"/>
        <v>ФГБОУ ВО "НИУ "МЭИ"</v>
      </c>
      <c r="B7847" s="24" t="s">
        <v>9332</v>
      </c>
      <c r="C7847" s="25">
        <v>398741.37</v>
      </c>
      <c r="D7847" s="22" t="s">
        <v>10045</v>
      </c>
      <c r="E7847" s="22" t="s">
        <v>194</v>
      </c>
      <c r="F7847" s="23" t="str">
        <f t="shared" si="329"/>
        <v>Поставка и установка видеонаблюдения на территории СОСЛ "Энергия"</v>
      </c>
      <c r="G7847" s="22" t="s">
        <v>55</v>
      </c>
      <c r="H7847" s="22" t="s">
        <v>55</v>
      </c>
      <c r="I7847" s="26">
        <v>43606.6875</v>
      </c>
      <c r="J7847" s="23" t="str">
        <f>HYPERLINK("https://www.spark-marketing.ru/Card/Person/6514628", "Алиева Диана Руслановна")</f>
        <v>Алиева Диана Руслановна</v>
      </c>
      <c r="K7847" s="24" t="s">
        <v>10048</v>
      </c>
      <c r="L7847" s="28" t="s">
        <v>52</v>
      </c>
      <c r="M7847" s="25">
        <v>277104.48</v>
      </c>
      <c r="N7847" s="27">
        <v>0.30505209429360192</v>
      </c>
    </row>
    <row r="7848" spans="1:14" ht="12.75" hidden="1" outlineLevel="1" x14ac:dyDescent="0.2">
      <c r="A7848" s="23" t="str">
        <f t="shared" si="328"/>
        <v>ФГБОУ ВО "НИУ "МЭИ"</v>
      </c>
      <c r="B7848" s="24" t="s">
        <v>9332</v>
      </c>
      <c r="C7848" s="25">
        <v>398741.37</v>
      </c>
      <c r="D7848" s="22" t="s">
        <v>10045</v>
      </c>
      <c r="E7848" s="22" t="s">
        <v>194</v>
      </c>
      <c r="F7848" s="23" t="str">
        <f t="shared" si="329"/>
        <v>Поставка и установка видеонаблюдения на территории СОСЛ "Энергия"</v>
      </c>
      <c r="G7848" s="22" t="s">
        <v>55</v>
      </c>
      <c r="H7848" s="22" t="s">
        <v>55</v>
      </c>
      <c r="I7848" s="26">
        <v>43606.6875</v>
      </c>
      <c r="J7848" s="23" t="str">
        <f>HYPERLINK("https://www.spark-marketing.ru/Card/Person/6407297", "Бодрова Вера Юрьевна")</f>
        <v>Бодрова Вера Юрьевна</v>
      </c>
      <c r="K7848" s="24" t="s">
        <v>2694</v>
      </c>
      <c r="L7848" s="22" t="s">
        <v>10</v>
      </c>
      <c r="M7848" s="25">
        <v>275110.77</v>
      </c>
      <c r="N7848" s="27">
        <v>0.31005210219345941</v>
      </c>
    </row>
    <row r="7849" spans="1:14" hidden="1" outlineLevel="1" x14ac:dyDescent="0.2">
      <c r="A7849" s="23" t="str">
        <f t="shared" si="328"/>
        <v>ФГБОУ ВО "НИУ "МЭИ"</v>
      </c>
      <c r="B7849" s="24" t="s">
        <v>9332</v>
      </c>
      <c r="C7849" s="25">
        <v>398741.37</v>
      </c>
      <c r="D7849" s="22" t="s">
        <v>10045</v>
      </c>
      <c r="E7849" s="22" t="s">
        <v>194</v>
      </c>
      <c r="F7849" s="23" t="str">
        <f t="shared" si="329"/>
        <v>Поставка и установка видеонаблюдения на территории СОСЛ "Энергия"</v>
      </c>
      <c r="G7849" s="22" t="s">
        <v>55</v>
      </c>
      <c r="H7849" s="22" t="s">
        <v>55</v>
      </c>
      <c r="I7849" s="26">
        <v>43606.6875</v>
      </c>
      <c r="J7849" s="23" t="str">
        <f>HYPERLINK("https://www.spark-marketing.ru/Card/Person/2043259", "ООО ""ГК ""ЗОРТЕК""")</f>
        <v>ООО "ГК "ЗОРТЕК"</v>
      </c>
      <c r="K7849" s="24" t="s">
        <v>10049</v>
      </c>
      <c r="L7849" s="28" t="s">
        <v>52</v>
      </c>
      <c r="M7849" s="25">
        <v>283085.61</v>
      </c>
      <c r="N7849" s="27">
        <v>0.29005207059402943</v>
      </c>
    </row>
    <row r="7850" spans="1:14" x14ac:dyDescent="0.15">
      <c r="A7850" s="23" t="str">
        <f>HYPERLINK("https://www.spark-marketing.ru/Card/Person/34272", "ГКУСО МО ""МЫТИЩИНСКИЙ СРЦН ""ПРЕОБРАЖЕНИЕ""")</f>
        <v>ГКУСО МО "МЫТИЩИНСКИЙ СРЦН "ПРЕОБРАЖЕНИЕ"</v>
      </c>
      <c r="B7850" s="24" t="s">
        <v>10050</v>
      </c>
      <c r="C7850" s="25">
        <v>9479.16</v>
      </c>
      <c r="D7850" s="22" t="s">
        <v>10051</v>
      </c>
      <c r="E7850" s="22" t="s">
        <v>234</v>
      </c>
      <c r="F7850" s="23" t="str">
        <f>HYPERLINK("https://www.spark-marketing.ru/Card/Lot/70640152", "Оказание услуг по техническому обслуживанию тревожной сигнализации 2019 (II)")</f>
        <v>Оказание услуг по техническому обслуживанию тревожной сигнализации 2019 (II)</v>
      </c>
      <c r="G7850" s="22" t="s">
        <v>50</v>
      </c>
      <c r="H7850" s="22" t="s">
        <v>2088</v>
      </c>
      <c r="I7850" s="26">
        <v>43606.669537037</v>
      </c>
      <c r="J7850" s="28" t="s">
        <v>52</v>
      </c>
      <c r="K7850" s="28" t="s">
        <v>52</v>
      </c>
      <c r="L7850" s="28" t="s">
        <v>52</v>
      </c>
      <c r="M7850" s="28" t="s">
        <v>52</v>
      </c>
      <c r="N7850" s="28" t="s">
        <v>52</v>
      </c>
    </row>
    <row r="7851" spans="1:14" x14ac:dyDescent="0.15">
      <c r="A7851" s="23" t="str">
        <f>HYPERLINK("https://www.spark-marketing.ru/Card/Person/16848", "УФССП РОССИИ ПО САНКТ-ПЕТЕРБУРГУ")</f>
        <v>УФССП РОССИИ ПО САНКТ-ПЕТЕРБУРГУ</v>
      </c>
      <c r="B7851" s="24" t="s">
        <v>10052</v>
      </c>
      <c r="C7851" s="25">
        <v>40000</v>
      </c>
      <c r="D7851" s="22" t="s">
        <v>10053</v>
      </c>
      <c r="E7851" s="22" t="s">
        <v>10054</v>
      </c>
      <c r="F7851" s="23" t="str">
        <f>HYPERLINK("https://www.spark-marketing.ru/Card/Lot/70645714", "Оказание услуг по хранению (охране) арестованного имущества должников")</f>
        <v>Оказание услуг по хранению (охране) арестованного имущества должников</v>
      </c>
      <c r="G7851" s="22" t="s">
        <v>89</v>
      </c>
      <c r="H7851" s="22" t="s">
        <v>89</v>
      </c>
      <c r="I7851" s="26">
        <v>43606.702083333301</v>
      </c>
      <c r="J7851" s="23" t="str">
        <f>HYPERLINK("https://www.spark-marketing.ru/Card/Person/236154", "СПБ ГУП ""ЦЭБ""")</f>
        <v>СПБ ГУП "ЦЭБ"</v>
      </c>
      <c r="K7851" s="24" t="s">
        <v>10055</v>
      </c>
      <c r="L7851" s="22" t="s">
        <v>10</v>
      </c>
      <c r="M7851" s="28" t="s">
        <v>52</v>
      </c>
      <c r="N7851" s="28" t="s">
        <v>52</v>
      </c>
    </row>
    <row r="7852" spans="1:14" x14ac:dyDescent="0.15">
      <c r="A7852" s="23" t="str">
        <f>HYPERLINK("https://www.spark-marketing.ru/Card/Person/4347174", "ГУП ""ВОДОКАНАЛ САНКТ-ПЕТЕРБУРГА""")</f>
        <v>ГУП "ВОДОКАНАЛ САНКТ-ПЕТЕРБУРГА"</v>
      </c>
      <c r="B7852" s="24" t="s">
        <v>1430</v>
      </c>
      <c r="C7852" s="25">
        <v>163000</v>
      </c>
      <c r="D7852" s="22" t="s">
        <v>10056</v>
      </c>
      <c r="E7852" s="22" t="s">
        <v>10057</v>
      </c>
      <c r="F7852" s="23" t="str">
        <f>HYPERLINK("https://www.spark-marketing.ru/Card/Lot/70640299", "Предоставление во временное владение и пользование движимого имущества (мобильная фотобудка) и оказание услуг по техническому сопровождению предоставленного движимого имущества (мобильной фотобудки) в рамках проведения акции «Фотомарафон охраны труда...")</f>
        <v>Предоставление во временное владение и пользование движимого имущества (мобильная фотобудка) и оказание услуг по техническому сопровождению предоставленного движимого имущества (мобильной фотобудки) в рамках проведения акции «Фотомарафон охраны труда...</v>
      </c>
      <c r="G7852" s="22" t="s">
        <v>89</v>
      </c>
      <c r="H7852" s="22" t="s">
        <v>89</v>
      </c>
      <c r="I7852" s="26">
        <v>43606.648310185199</v>
      </c>
      <c r="J7852" s="28" t="s">
        <v>52</v>
      </c>
      <c r="K7852" s="28" t="s">
        <v>52</v>
      </c>
      <c r="L7852" s="28" t="s">
        <v>52</v>
      </c>
      <c r="M7852" s="28" t="s">
        <v>52</v>
      </c>
      <c r="N7852" s="28" t="s">
        <v>52</v>
      </c>
    </row>
    <row r="7853" spans="1:14" x14ac:dyDescent="0.15">
      <c r="A7853" s="23" t="str">
        <f>HYPERLINK("https://www.spark-marketing.ru/Card/Person/4365569", "ФГУП ""РОСМОРПОРТ""")</f>
        <v>ФГУП "РОСМОРПОРТ"</v>
      </c>
      <c r="B7853" s="24" t="s">
        <v>273</v>
      </c>
      <c r="C7853" s="25">
        <v>400000</v>
      </c>
      <c r="D7853" s="22" t="s">
        <v>10058</v>
      </c>
      <c r="E7853" s="22" t="s">
        <v>10059</v>
      </c>
      <c r="F7853" s="23" t="str">
        <f>HYPERLINK("https://www.spark-marketing.ru/Card/Lot/70637795", "Техническое обслуживание средств транспортной безопасности (рентгеновских установок для досмотра грузов и ручной клади)")</f>
        <v>Техническое обслуживание средств транспортной безопасности (рентгеновских установок для досмотра грузов и ручной клади)</v>
      </c>
      <c r="G7853" s="22" t="s">
        <v>55</v>
      </c>
      <c r="H7853" s="22" t="s">
        <v>55</v>
      </c>
      <c r="I7853" s="26">
        <v>43606.625960648104</v>
      </c>
      <c r="J7853" s="28" t="s">
        <v>52</v>
      </c>
      <c r="K7853" s="28" t="s">
        <v>52</v>
      </c>
      <c r="L7853" s="28" t="s">
        <v>52</v>
      </c>
      <c r="M7853" s="28" t="s">
        <v>52</v>
      </c>
      <c r="N7853" s="28" t="s">
        <v>52</v>
      </c>
    </row>
    <row r="7854" spans="1:14" x14ac:dyDescent="0.15">
      <c r="A7854" s="23" t="str">
        <f>HYPERLINK("https://www.spark-marketing.ru/Card/Person/4933660", "ФЛ ГКУ СО ""УРАЛМОНАЦИТ""")</f>
        <v>ФЛ ГКУ СО "УРАЛМОНАЦИТ"</v>
      </c>
      <c r="B7854" s="24" t="s">
        <v>10060</v>
      </c>
      <c r="C7854" s="25">
        <v>999427.92</v>
      </c>
      <c r="D7854" s="22" t="s">
        <v>10061</v>
      </c>
      <c r="E7854" s="22" t="s">
        <v>52</v>
      </c>
      <c r="F7854" s="23" t="str">
        <f>HYPERLINK("https://www.spark-marketing.ru/Card/Lot/70636350", "Услуги государственной охраны для обеспечения нужд ФГКУСО ""УралМонацит"" в МО ""Красноуфимский округ""")</f>
        <v>Услуги государственной охраны для обеспечения нужд ФГКУСО "УралМонацит" в МО "Красноуфимский округ"</v>
      </c>
      <c r="G7854" s="22" t="s">
        <v>72</v>
      </c>
      <c r="H7854" s="22" t="s">
        <v>949</v>
      </c>
      <c r="I7854" s="26">
        <v>43606.626388888901</v>
      </c>
      <c r="J7854" s="23" t="str">
        <f>HYPERLINK("https://www.spark-marketing.ru/Card/Person/10487", "ФГУП ""ОХРАНА"" РОСГВАРДИИ")</f>
        <v>ФГУП "ОХРАНА" РОСГВАРДИИ</v>
      </c>
      <c r="K7854" s="24" t="s">
        <v>779</v>
      </c>
      <c r="L7854" s="22" t="s">
        <v>10</v>
      </c>
      <c r="M7854" s="28" t="s">
        <v>52</v>
      </c>
      <c r="N7854" s="28" t="s">
        <v>52</v>
      </c>
    </row>
    <row r="7855" spans="1:14" x14ac:dyDescent="0.2">
      <c r="A7855" s="23" t="str">
        <f>HYPERLINK("https://www.spark-marketing.ru/Card/Person/1479430", "СРЕДНЯЯ ШКОЛА № 21, МАОУ ""СОШ № 21""")</f>
        <v>СРЕДНЯЯ ШКОЛА № 21, МАОУ "СОШ № 21"</v>
      </c>
      <c r="B7855" s="24" t="s">
        <v>6637</v>
      </c>
      <c r="C7855" s="25">
        <v>316000</v>
      </c>
      <c r="D7855" s="22" t="s">
        <v>10062</v>
      </c>
      <c r="E7855" s="22" t="s">
        <v>10063</v>
      </c>
      <c r="F7855" s="23" t="str">
        <f>HYPERLINK("https://www.spark-marketing.ru/Card/Lot/70633440", "Установка (модернизация) внутреннего и наружного видеонаблюдения")</f>
        <v>Установка (модернизация) внутреннего и наружного видеонаблюдения</v>
      </c>
      <c r="G7855" s="22" t="s">
        <v>72</v>
      </c>
      <c r="H7855" s="22" t="s">
        <v>72</v>
      </c>
      <c r="I7855" s="26">
        <v>43606.583530092597</v>
      </c>
      <c r="J7855" s="28" t="s">
        <v>52</v>
      </c>
      <c r="K7855" s="28" t="s">
        <v>52</v>
      </c>
      <c r="L7855" s="28" t="s">
        <v>52</v>
      </c>
      <c r="M7855" s="25">
        <v>316000</v>
      </c>
      <c r="N7855" s="27">
        <v>0</v>
      </c>
    </row>
    <row r="7856" spans="1:14" x14ac:dyDescent="0.15">
      <c r="A7856" s="23" t="str">
        <f>HYPERLINK("https://www.spark-marketing.ru/Card/Person/28278", "ОГБУ ""ЦР ""СОСНОВЫЙ БОР""")</f>
        <v>ОГБУ "ЦР "СОСНОВЫЙ БОР"</v>
      </c>
      <c r="B7856" s="24" t="s">
        <v>10064</v>
      </c>
      <c r="C7856" s="25">
        <v>1273331.7</v>
      </c>
      <c r="D7856" s="22" t="s">
        <v>10065</v>
      </c>
      <c r="E7856" s="22" t="s">
        <v>52</v>
      </c>
      <c r="F7856" s="23" t="str">
        <f>HYPERLINK("https://www.spark-marketing.ru/Card/Lot/70639179", "Оказание услуг охраны во 2 полугодии 2019 г.")</f>
        <v>Оказание услуг охраны во 2 полугодии 2019 г.</v>
      </c>
      <c r="G7856" s="22" t="s">
        <v>629</v>
      </c>
      <c r="H7856" s="22" t="s">
        <v>1603</v>
      </c>
      <c r="I7856" s="26">
        <v>43606.615277777797</v>
      </c>
      <c r="J7856" s="28" t="s">
        <v>52</v>
      </c>
      <c r="K7856" s="28" t="s">
        <v>52</v>
      </c>
      <c r="L7856" s="28" t="s">
        <v>52</v>
      </c>
      <c r="M7856" s="28" t="s">
        <v>52</v>
      </c>
      <c r="N7856" s="28" t="s">
        <v>52</v>
      </c>
    </row>
    <row r="7857" spans="1:14" hidden="1" outlineLevel="1" x14ac:dyDescent="0.2">
      <c r="A7857" s="23" t="str">
        <f>HYPERLINK("https://www.spark-marketing.ru/Card/Person/28278", "ОГБУ ""ЦР ""СОСНОВЫЙ БОР""")</f>
        <v>ОГБУ "ЦР "СОСНОВЫЙ БОР"</v>
      </c>
      <c r="B7857" s="24" t="s">
        <v>10064</v>
      </c>
      <c r="C7857" s="25">
        <v>1273331.7</v>
      </c>
      <c r="D7857" s="22" t="s">
        <v>10065</v>
      </c>
      <c r="E7857" s="22" t="s">
        <v>52</v>
      </c>
      <c r="F7857" s="23" t="str">
        <f>HYPERLINK("https://www.spark-marketing.ru/Card/Lot/70639179", "Оказание услуг охраны во 2 полугодии 2019 г.")</f>
        <v>Оказание услуг охраны во 2 полугодии 2019 г.</v>
      </c>
      <c r="G7857" s="22" t="s">
        <v>629</v>
      </c>
      <c r="H7857" s="22" t="s">
        <v>1603</v>
      </c>
      <c r="I7857" s="26">
        <v>43606.615277777797</v>
      </c>
      <c r="J7857" s="23" t="str">
        <f>HYPERLINK("https://www.spark-marketing.ru/Card/Person/701525", "ООО ЧОО ""ПАНТЕРА Л""")</f>
        <v>ООО ЧОО "ПАНТЕРА Л"</v>
      </c>
      <c r="K7857" s="24" t="s">
        <v>5055</v>
      </c>
      <c r="L7857" s="28" t="s">
        <v>52</v>
      </c>
      <c r="M7857" s="25">
        <v>1260598.3799999999</v>
      </c>
      <c r="N7857" s="27">
        <v>1.0000002356023965E-2</v>
      </c>
    </row>
    <row r="7858" spans="1:14" ht="12.75" hidden="1" outlineLevel="1" x14ac:dyDescent="0.2">
      <c r="A7858" s="23" t="str">
        <f>HYPERLINK("https://www.spark-marketing.ru/Card/Person/28278", "ОГБУ ""ЦР ""СОСНОВЫЙ БОР""")</f>
        <v>ОГБУ "ЦР "СОСНОВЫЙ БОР"</v>
      </c>
      <c r="B7858" s="24" t="s">
        <v>10064</v>
      </c>
      <c r="C7858" s="25">
        <v>1273331.7</v>
      </c>
      <c r="D7858" s="22" t="s">
        <v>10065</v>
      </c>
      <c r="E7858" s="22" t="s">
        <v>52</v>
      </c>
      <c r="F7858" s="23" t="str">
        <f>HYPERLINK("https://www.spark-marketing.ru/Card/Lot/70639179", "Оказание услуг охраны во 2 полугодии 2019 г.")</f>
        <v>Оказание услуг охраны во 2 полугодии 2019 г.</v>
      </c>
      <c r="G7858" s="22" t="s">
        <v>629</v>
      </c>
      <c r="H7858" s="22" t="s">
        <v>1603</v>
      </c>
      <c r="I7858" s="26">
        <v>43606.615277777797</v>
      </c>
      <c r="J7858" s="23" t="str">
        <f>HYPERLINK("https://www.spark-marketing.ru/Card/Person/6072438", "ООО ЧОО ""НИКА""")</f>
        <v>ООО ЧОО "НИКА"</v>
      </c>
      <c r="K7858" s="24" t="s">
        <v>10066</v>
      </c>
      <c r="L7858" s="22" t="s">
        <v>10</v>
      </c>
      <c r="M7858" s="25">
        <v>1260598.3799999999</v>
      </c>
      <c r="N7858" s="27">
        <v>1.0000002356023965E-2</v>
      </c>
    </row>
    <row r="7859" spans="1:14" x14ac:dyDescent="0.15">
      <c r="A7859" s="23" t="str">
        <f>HYPERLINK("https://www.spark-marketing.ru/Card/Person/24963", "УРГЮУ, ФГБОУ ВО ""УРАЛЬСКИЙ ГОСУДАРСТВЕННЫЙ ЮРИДИЧЕСКИЙ УНИВЕРСИТЕТ"", УРАЛЬСКИЙ ГОСУДАРСТВЕННЫЙ ЮРИДИЧЕСКИЙ УНИВЕРСИТЕТ, ФГБОУ ВО ""УРГЮУ""")</f>
        <v>УРГЮУ, ФГБОУ ВО "УРАЛЬСКИЙ ГОСУДАРСТВЕННЫЙ ЮРИДИЧЕСКИЙ УНИВЕРСИТЕТ", УРАЛЬСКИЙ ГОСУДАРСТВЕННЫЙ ЮРИДИЧЕСКИЙ УНИВЕРСИТЕТ, ФГБОУ ВО "УРГЮУ"</v>
      </c>
      <c r="B7859" s="24" t="s">
        <v>5059</v>
      </c>
      <c r="C7859" s="25">
        <v>582812.16000000003</v>
      </c>
      <c r="D7859" s="22" t="s">
        <v>10067</v>
      </c>
      <c r="E7859" s="22" t="s">
        <v>1840</v>
      </c>
      <c r="F7859" s="23" t="str">
        <f>HYPERLINK("https://www.spark-marketing.ru/Card/Lot/70633551", "Выполнение работ по установке единой функционирующей системы видеонаблюдения в здании ФОК по ул. Колмогорова, 52а в соответствии с прикрепленным извещением")</f>
        <v>Выполнение работ по установке единой функционирующей системы видеонаблюдения в здании ФОК по ул. Колмогорова, 52а в соответствии с прикрепленным извещением</v>
      </c>
      <c r="G7859" s="22" t="s">
        <v>72</v>
      </c>
      <c r="H7859" s="22" t="s">
        <v>949</v>
      </c>
      <c r="I7859" s="26">
        <v>43606.615636574097</v>
      </c>
      <c r="J7859" s="28" t="s">
        <v>52</v>
      </c>
      <c r="K7859" s="28" t="s">
        <v>52</v>
      </c>
      <c r="L7859" s="28" t="s">
        <v>52</v>
      </c>
      <c r="M7859" s="28" t="s">
        <v>52</v>
      </c>
      <c r="N7859" s="28" t="s">
        <v>52</v>
      </c>
    </row>
    <row r="7860" spans="1:14" x14ac:dyDescent="0.2">
      <c r="A7860" s="23" t="str">
        <f>HYPERLINK("https://www.spark-marketing.ru/Card/Person/4374152", "ФКУ ИК-4 УФСИН РОССИИ ПО БРЯНСКОЙ ОБЛАСТИ")</f>
        <v>ФКУ ИК-4 УФСИН РОССИИ ПО БРЯНСКОЙ ОБЛАСТИ</v>
      </c>
      <c r="B7860" s="24" t="s">
        <v>10068</v>
      </c>
      <c r="C7860" s="25">
        <v>10800</v>
      </c>
      <c r="D7860" s="22" t="s">
        <v>10069</v>
      </c>
      <c r="E7860" s="22" t="s">
        <v>208</v>
      </c>
      <c r="F7860" s="23" t="str">
        <f>HYPERLINK("https://www.spark-marketing.ru/Card/Lot/70638091", "Тревожные кнопки")</f>
        <v>Тревожные кнопки</v>
      </c>
      <c r="G7860" s="22" t="s">
        <v>215</v>
      </c>
      <c r="H7860" s="22" t="s">
        <v>10070</v>
      </c>
      <c r="I7860" s="26">
        <v>43606.590277777803</v>
      </c>
      <c r="J7860" s="23" t="str">
        <f>HYPERLINK("https://www.spark-marketing.ru/Card/Person/6573153", "МЕРВА АРТЕМ АНАТОЛЬЕВИЧ")</f>
        <v>МЕРВА АРТЕМ АНАТОЛЬЕВИЧ</v>
      </c>
      <c r="K7860" s="28" t="s">
        <v>52</v>
      </c>
      <c r="L7860" s="22" t="s">
        <v>10</v>
      </c>
      <c r="M7860" s="25">
        <v>9900</v>
      </c>
      <c r="N7860" s="27">
        <v>8.3333333333333329E-2</v>
      </c>
    </row>
    <row r="7861" spans="1:14" x14ac:dyDescent="0.15">
      <c r="A7861" s="23" t="str">
        <f>HYPERLINK("https://www.spark-marketing.ru/Card/Person/1601548", "ООО ""РЕСУРСТРАНС""")</f>
        <v>ООО "РЕСУРСТРАНС"</v>
      </c>
      <c r="B7861" s="24" t="s">
        <v>10071</v>
      </c>
      <c r="C7861" s="25">
        <v>4967081</v>
      </c>
      <c r="D7861" s="22" t="s">
        <v>10072</v>
      </c>
      <c r="E7861" s="22" t="s">
        <v>52</v>
      </c>
      <c r="F7861" s="23" t="str">
        <f>HYPERLINK("https://www.spark-marketing.ru/Card/Lot/70640570", "Открытый запрос коммерческих предложений на оказание охранных услуг в филиале г.Самара")</f>
        <v>Открытый запрос коммерческих предложений на оказание охранных услуг в филиале г.Самара</v>
      </c>
      <c r="G7861" s="22" t="s">
        <v>55</v>
      </c>
      <c r="H7861" s="22" t="s">
        <v>55</v>
      </c>
      <c r="I7861" s="26">
        <v>43606.604652777802</v>
      </c>
      <c r="J7861" s="28" t="s">
        <v>52</v>
      </c>
      <c r="K7861" s="28" t="s">
        <v>52</v>
      </c>
      <c r="L7861" s="28" t="s">
        <v>52</v>
      </c>
      <c r="M7861" s="28" t="s">
        <v>52</v>
      </c>
      <c r="N7861" s="28" t="s">
        <v>52</v>
      </c>
    </row>
    <row r="7862" spans="1:14" x14ac:dyDescent="0.15">
      <c r="A7862" s="23" t="str">
        <f>HYPERLINK("https://www.spark-marketing.ru/Card/Person/1235", "ФКУ ""РОСДОРТЕХНОЛОГИЯ""")</f>
        <v>ФКУ "РОСДОРТЕХНОЛОГИЯ"</v>
      </c>
      <c r="B7862" s="24" t="s">
        <v>8406</v>
      </c>
      <c r="C7862" s="25">
        <v>100000</v>
      </c>
      <c r="D7862" s="22" t="s">
        <v>10073</v>
      </c>
      <c r="E7862" s="22" t="s">
        <v>84</v>
      </c>
      <c r="F7862" s="23" t="str">
        <f>HYPERLINK("https://www.spark-marketing.ru/Card/Lot/70634520", "Монтаж, установка, модернизация систем видеонаблюдения, 1 шт")</f>
        <v>Монтаж, установка, модернизация систем видеонаблюдения, 1 шт</v>
      </c>
      <c r="G7862" s="22" t="s">
        <v>55</v>
      </c>
      <c r="H7862" s="22" t="s">
        <v>55</v>
      </c>
      <c r="I7862" s="26">
        <v>43606.594571759299</v>
      </c>
      <c r="J7862" s="28" t="s">
        <v>52</v>
      </c>
      <c r="K7862" s="28" t="s">
        <v>52</v>
      </c>
      <c r="L7862" s="28" t="s">
        <v>52</v>
      </c>
      <c r="M7862" s="28" t="s">
        <v>52</v>
      </c>
      <c r="N7862" s="28" t="s">
        <v>52</v>
      </c>
    </row>
    <row r="7863" spans="1:14" x14ac:dyDescent="0.15">
      <c r="A7863" s="23" t="str">
        <f t="shared" ref="A7863:A7868" si="330">HYPERLINK("https://www.spark-marketing.ru/Card/Person/4346563", "ПАО ""ГАЗПРОМ""")</f>
        <v>ПАО "ГАЗПРОМ"</v>
      </c>
      <c r="B7863" s="24" t="s">
        <v>1548</v>
      </c>
      <c r="C7863" s="25">
        <v>380425008</v>
      </c>
      <c r="D7863" s="22" t="s">
        <v>10074</v>
      </c>
      <c r="E7863" s="22" t="s">
        <v>1550</v>
      </c>
      <c r="F7863" s="23" t="str">
        <f t="shared" ref="F7863:F7868" si="331">HYPERLINK("https://www.spark-marketing.ru/Card/Lot/70634768", "Оказание автотранспортных услуг Югорскому отряду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среднего предприниматель...")</f>
        <v>Оказание автотранспортных услуг Югорскому отряду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среднего предприниматель...</v>
      </c>
      <c r="G7863" s="22" t="s">
        <v>55</v>
      </c>
      <c r="H7863" s="22" t="s">
        <v>55</v>
      </c>
      <c r="I7863" s="26">
        <v>43606.590578703697</v>
      </c>
      <c r="J7863" s="28" t="s">
        <v>52</v>
      </c>
      <c r="K7863" s="28" t="s">
        <v>52</v>
      </c>
      <c r="L7863" s="28" t="s">
        <v>52</v>
      </c>
      <c r="M7863" s="28" t="s">
        <v>52</v>
      </c>
      <c r="N7863" s="28" t="s">
        <v>52</v>
      </c>
    </row>
    <row r="7864" spans="1:14" hidden="1" outlineLevel="1" x14ac:dyDescent="0.2">
      <c r="A7864" s="23" t="str">
        <f t="shared" si="330"/>
        <v>ПАО "ГАЗПРОМ"</v>
      </c>
      <c r="B7864" s="24" t="s">
        <v>1548</v>
      </c>
      <c r="C7864" s="28" t="s">
        <v>52</v>
      </c>
      <c r="D7864" s="22" t="s">
        <v>10074</v>
      </c>
      <c r="E7864" s="22" t="s">
        <v>1550</v>
      </c>
      <c r="F7864" s="23" t="str">
        <f t="shared" si="331"/>
        <v>Оказание автотранспортных услуг Югорскому отряду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среднего предприниматель...</v>
      </c>
      <c r="G7864" s="22" t="s">
        <v>55</v>
      </c>
      <c r="H7864" s="22" t="s">
        <v>55</v>
      </c>
      <c r="I7864" s="26">
        <v>43606.590578703697</v>
      </c>
      <c r="J7864" s="23" t="str">
        <f>HYPERLINK("https://www.spark-marketing.ru/Card/Person/-1", "неизвестно")</f>
        <v>неизвестно</v>
      </c>
      <c r="K7864" s="28" t="s">
        <v>52</v>
      </c>
      <c r="L7864" s="22" t="s">
        <v>10</v>
      </c>
      <c r="M7864" s="25">
        <v>380425008</v>
      </c>
      <c r="N7864" s="27">
        <v>0</v>
      </c>
    </row>
    <row r="7865" spans="1:14" hidden="1" outlineLevel="1" x14ac:dyDescent="0.15">
      <c r="A7865" s="23" t="str">
        <f t="shared" si="330"/>
        <v>ПАО "ГАЗПРОМ"</v>
      </c>
      <c r="B7865" s="24" t="s">
        <v>1548</v>
      </c>
      <c r="C7865" s="28" t="s">
        <v>52</v>
      </c>
      <c r="D7865" s="22" t="s">
        <v>10074</v>
      </c>
      <c r="E7865" s="22" t="s">
        <v>1550</v>
      </c>
      <c r="F7865" s="23" t="str">
        <f t="shared" si="331"/>
        <v>Оказание автотранспортных услуг Югорскому отряду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среднего предприниматель...</v>
      </c>
      <c r="G7865" s="22" t="s">
        <v>55</v>
      </c>
      <c r="H7865" s="22" t="s">
        <v>55</v>
      </c>
      <c r="I7865" s="26">
        <v>43606.590578703697</v>
      </c>
      <c r="J7865" s="23" t="str">
        <f>HYPERLINK("https://www.spark-marketing.ru/Card/Person/-1", "неизвестно")</f>
        <v>неизвестно</v>
      </c>
      <c r="K7865" s="28" t="s">
        <v>52</v>
      </c>
      <c r="L7865" s="28" t="s">
        <v>52</v>
      </c>
      <c r="M7865" s="28" t="s">
        <v>52</v>
      </c>
      <c r="N7865" s="28" t="s">
        <v>52</v>
      </c>
    </row>
    <row r="7866" spans="1:14" hidden="1" outlineLevel="1" x14ac:dyDescent="0.15">
      <c r="A7866" s="23" t="str">
        <f t="shared" si="330"/>
        <v>ПАО "ГАЗПРОМ"</v>
      </c>
      <c r="B7866" s="24" t="s">
        <v>1548</v>
      </c>
      <c r="C7866" s="28" t="s">
        <v>52</v>
      </c>
      <c r="D7866" s="22" t="s">
        <v>10074</v>
      </c>
      <c r="E7866" s="22" t="s">
        <v>1550</v>
      </c>
      <c r="F7866" s="23" t="str">
        <f t="shared" si="331"/>
        <v>Оказание автотранспортных услуг Югорскому отряду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среднего предприниматель...</v>
      </c>
      <c r="G7866" s="22" t="s">
        <v>55</v>
      </c>
      <c r="H7866" s="22" t="s">
        <v>55</v>
      </c>
      <c r="I7866" s="26">
        <v>43606.590578703697</v>
      </c>
      <c r="J7866" s="23" t="str">
        <f>HYPERLINK("https://www.spark-marketing.ru/Card/Person/-1", "неизвестно")</f>
        <v>неизвестно</v>
      </c>
      <c r="K7866" s="28" t="s">
        <v>52</v>
      </c>
      <c r="L7866" s="28" t="s">
        <v>52</v>
      </c>
      <c r="M7866" s="28" t="s">
        <v>52</v>
      </c>
      <c r="N7866" s="28" t="s">
        <v>52</v>
      </c>
    </row>
    <row r="7867" spans="1:14" hidden="1" outlineLevel="1" x14ac:dyDescent="0.15">
      <c r="A7867" s="23" t="str">
        <f t="shared" si="330"/>
        <v>ПАО "ГАЗПРОМ"</v>
      </c>
      <c r="B7867" s="24" t="s">
        <v>1548</v>
      </c>
      <c r="C7867" s="28" t="s">
        <v>52</v>
      </c>
      <c r="D7867" s="22" t="s">
        <v>10074</v>
      </c>
      <c r="E7867" s="22" t="s">
        <v>1550</v>
      </c>
      <c r="F7867" s="23" t="str">
        <f t="shared" si="331"/>
        <v>Оказание автотранспортных услуг Югорскому отряду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среднего предприниматель...</v>
      </c>
      <c r="G7867" s="22" t="s">
        <v>55</v>
      </c>
      <c r="H7867" s="22" t="s">
        <v>55</v>
      </c>
      <c r="I7867" s="26">
        <v>43606.590578703697</v>
      </c>
      <c r="J7867" s="23" t="str">
        <f>HYPERLINK("https://www.spark-marketing.ru/Card/Person/-1", "неизвестно")</f>
        <v>неизвестно</v>
      </c>
      <c r="K7867" s="28" t="s">
        <v>52</v>
      </c>
      <c r="L7867" s="28" t="s">
        <v>52</v>
      </c>
      <c r="M7867" s="28" t="s">
        <v>52</v>
      </c>
      <c r="N7867" s="28" t="s">
        <v>52</v>
      </c>
    </row>
    <row r="7868" spans="1:14" hidden="1" outlineLevel="1" x14ac:dyDescent="0.15">
      <c r="A7868" s="23" t="str">
        <f t="shared" si="330"/>
        <v>ПАО "ГАЗПРОМ"</v>
      </c>
      <c r="B7868" s="24" t="s">
        <v>1548</v>
      </c>
      <c r="C7868" s="28" t="s">
        <v>52</v>
      </c>
      <c r="D7868" s="22" t="s">
        <v>10074</v>
      </c>
      <c r="E7868" s="22" t="s">
        <v>1550</v>
      </c>
      <c r="F7868" s="23" t="str">
        <f t="shared" si="331"/>
        <v>Оказание автотранспортных услуг Югорскому отряду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среднего предприниматель...</v>
      </c>
      <c r="G7868" s="22" t="s">
        <v>55</v>
      </c>
      <c r="H7868" s="22" t="s">
        <v>55</v>
      </c>
      <c r="I7868" s="26">
        <v>43606.590578703697</v>
      </c>
      <c r="J7868" s="23" t="str">
        <f>HYPERLINK("https://www.spark-marketing.ru/Card/Person/-1", "неизвестно")</f>
        <v>неизвестно</v>
      </c>
      <c r="K7868" s="28" t="s">
        <v>52</v>
      </c>
      <c r="L7868" s="28" t="s">
        <v>52</v>
      </c>
      <c r="M7868" s="28" t="s">
        <v>52</v>
      </c>
      <c r="N7868" s="28" t="s">
        <v>52</v>
      </c>
    </row>
    <row r="7869" spans="1:14" x14ac:dyDescent="0.15">
      <c r="A7869" s="23" t="str">
        <f t="shared" ref="A7869:A7874" si="332">HYPERLINK("https://www.spark-marketing.ru/Card/Person/938063", "ГУПС ""СЕВАВТОТРАНС""")</f>
        <v>ГУПС "СЕВАВТОТРАНС"</v>
      </c>
      <c r="B7869" s="24" t="s">
        <v>3912</v>
      </c>
      <c r="C7869" s="25">
        <v>171760.14</v>
      </c>
      <c r="D7869" s="22" t="s">
        <v>10075</v>
      </c>
      <c r="E7869" s="22" t="s">
        <v>84</v>
      </c>
      <c r="F7869" s="23" t="str">
        <f t="shared" ref="F7869:F7874" si="333">HYPERLINK("https://www.spark-marketing.ru/Card/Lot/70638815", "Реализация мероприятий по транспортной безопасности. Пуско-наладочные работы. Системы контроля управления доступом. Автостанция Инкерман")</f>
        <v>Реализация мероприятий по транспортной безопасности. Пуско-наладочные работы. Системы контроля управления доступом. Автостанция Инкерман</v>
      </c>
      <c r="G7869" s="22" t="s">
        <v>714</v>
      </c>
      <c r="H7869" s="22" t="s">
        <v>714</v>
      </c>
      <c r="I7869" s="26">
        <v>43606.614583333299</v>
      </c>
      <c r="J7869" s="28" t="s">
        <v>52</v>
      </c>
      <c r="K7869" s="28" t="s">
        <v>52</v>
      </c>
      <c r="L7869" s="28" t="s">
        <v>52</v>
      </c>
      <c r="M7869" s="28" t="s">
        <v>52</v>
      </c>
      <c r="N7869" s="28" t="s">
        <v>52</v>
      </c>
    </row>
    <row r="7870" spans="1:14" hidden="1" outlineLevel="1" x14ac:dyDescent="0.2">
      <c r="A7870" s="23" t="str">
        <f t="shared" si="332"/>
        <v>ГУПС "СЕВАВТОТРАНС"</v>
      </c>
      <c r="B7870" s="24" t="s">
        <v>3912</v>
      </c>
      <c r="C7870" s="25">
        <v>171760.14</v>
      </c>
      <c r="D7870" s="22" t="s">
        <v>10075</v>
      </c>
      <c r="E7870" s="22" t="s">
        <v>84</v>
      </c>
      <c r="F7870" s="23" t="str">
        <f t="shared" si="333"/>
        <v>Реализация мероприятий по транспортной безопасности. Пуско-наладочные работы. Системы контроля управления доступом. Автостанция Инкерман</v>
      </c>
      <c r="G7870" s="22" t="s">
        <v>714</v>
      </c>
      <c r="H7870" s="22" t="s">
        <v>714</v>
      </c>
      <c r="I7870" s="26">
        <v>43606.614583333299</v>
      </c>
      <c r="J7870" s="23" t="str">
        <f>HYPERLINK("https://www.spark-marketing.ru/Card/Person/2576628", "ООО ""АЛЬТЕРА""")</f>
        <v>ООО "АЛЬТЕРА"</v>
      </c>
      <c r="K7870" s="24" t="s">
        <v>1718</v>
      </c>
      <c r="L7870" s="28" t="s">
        <v>52</v>
      </c>
      <c r="M7870" s="25">
        <v>116790.22</v>
      </c>
      <c r="N7870" s="27">
        <v>0.32003886349883043</v>
      </c>
    </row>
    <row r="7871" spans="1:14" hidden="1" outlineLevel="1" x14ac:dyDescent="0.2">
      <c r="A7871" s="23" t="str">
        <f t="shared" si="332"/>
        <v>ГУПС "СЕВАВТОТРАНС"</v>
      </c>
      <c r="B7871" s="24" t="s">
        <v>3912</v>
      </c>
      <c r="C7871" s="25">
        <v>171760.14</v>
      </c>
      <c r="D7871" s="22" t="s">
        <v>10075</v>
      </c>
      <c r="E7871" s="22" t="s">
        <v>84</v>
      </c>
      <c r="F7871" s="23" t="str">
        <f t="shared" si="333"/>
        <v>Реализация мероприятий по транспортной безопасности. Пуско-наладочные работы. Системы контроля управления доступом. Автостанция Инкерман</v>
      </c>
      <c r="G7871" s="22" t="s">
        <v>714</v>
      </c>
      <c r="H7871" s="22" t="s">
        <v>714</v>
      </c>
      <c r="I7871" s="26">
        <v>43606.614583333299</v>
      </c>
      <c r="J7871" s="23" t="str">
        <f>HYPERLINK("https://www.spark-marketing.ru/Card/Person/2735", "Харченко Алексей Александрович")</f>
        <v>Харченко Алексей Александрович</v>
      </c>
      <c r="K7871" s="24" t="s">
        <v>10076</v>
      </c>
      <c r="L7871" s="28" t="s">
        <v>52</v>
      </c>
      <c r="M7871" s="25">
        <v>103047.74</v>
      </c>
      <c r="N7871" s="27">
        <v>0.40004857937353799</v>
      </c>
    </row>
    <row r="7872" spans="1:14" hidden="1" outlineLevel="1" x14ac:dyDescent="0.2">
      <c r="A7872" s="23" t="str">
        <f t="shared" si="332"/>
        <v>ГУПС "СЕВАВТОТРАНС"</v>
      </c>
      <c r="B7872" s="24" t="s">
        <v>3912</v>
      </c>
      <c r="C7872" s="25">
        <v>171760.14</v>
      </c>
      <c r="D7872" s="22" t="s">
        <v>10075</v>
      </c>
      <c r="E7872" s="22" t="s">
        <v>84</v>
      </c>
      <c r="F7872" s="23" t="str">
        <f t="shared" si="333"/>
        <v>Реализация мероприятий по транспортной безопасности. Пуско-наладочные работы. Системы контроля управления доступом. Автостанция Инкерман</v>
      </c>
      <c r="G7872" s="22" t="s">
        <v>714</v>
      </c>
      <c r="H7872" s="22" t="s">
        <v>714</v>
      </c>
      <c r="I7872" s="26">
        <v>43606.614583333299</v>
      </c>
      <c r="J7872" s="23" t="str">
        <f>HYPERLINK("https://www.spark-marketing.ru/Card/Person/6442177", "ООО «ЮЖИН»")</f>
        <v>ООО «ЮЖИН»</v>
      </c>
      <c r="K7872" s="24" t="s">
        <v>10077</v>
      </c>
      <c r="L7872" s="28" t="s">
        <v>52</v>
      </c>
      <c r="M7872" s="25">
        <v>127097.08</v>
      </c>
      <c r="N7872" s="27">
        <v>0.26003157659279968</v>
      </c>
    </row>
    <row r="7873" spans="1:14" ht="12.75" hidden="1" outlineLevel="1" x14ac:dyDescent="0.2">
      <c r="A7873" s="23" t="str">
        <f t="shared" si="332"/>
        <v>ГУПС "СЕВАВТОТРАНС"</v>
      </c>
      <c r="B7873" s="24" t="s">
        <v>3912</v>
      </c>
      <c r="C7873" s="25">
        <v>171760.14</v>
      </c>
      <c r="D7873" s="22" t="s">
        <v>10075</v>
      </c>
      <c r="E7873" s="22" t="s">
        <v>84</v>
      </c>
      <c r="F7873" s="23" t="str">
        <f t="shared" si="333"/>
        <v>Реализация мероприятий по транспортной безопасности. Пуско-наладочные работы. Системы контроля управления доступом. Автостанция Инкерман</v>
      </c>
      <c r="G7873" s="22" t="s">
        <v>714</v>
      </c>
      <c r="H7873" s="22" t="s">
        <v>714</v>
      </c>
      <c r="I7873" s="26">
        <v>43606.614583333299</v>
      </c>
      <c r="J7873" s="23" t="str">
        <f>HYPERLINK("https://www.spark-marketing.ru/Card/Person/4855004", "Бакши Игорь Анатольевич")</f>
        <v>Бакши Игорь Анатольевич</v>
      </c>
      <c r="K7873" s="24" t="s">
        <v>10078</v>
      </c>
      <c r="L7873" s="22" t="s">
        <v>10</v>
      </c>
      <c r="M7873" s="25">
        <v>102188.74</v>
      </c>
      <c r="N7873" s="27">
        <v>0.40504973971260155</v>
      </c>
    </row>
    <row r="7874" spans="1:14" hidden="1" outlineLevel="1" x14ac:dyDescent="0.2">
      <c r="A7874" s="23" t="str">
        <f t="shared" si="332"/>
        <v>ГУПС "СЕВАВТОТРАНС"</v>
      </c>
      <c r="B7874" s="24" t="s">
        <v>3912</v>
      </c>
      <c r="C7874" s="25">
        <v>171760.14</v>
      </c>
      <c r="D7874" s="22" t="s">
        <v>10075</v>
      </c>
      <c r="E7874" s="22" t="s">
        <v>84</v>
      </c>
      <c r="F7874" s="23" t="str">
        <f t="shared" si="333"/>
        <v>Реализация мероприятий по транспортной безопасности. Пуско-наладочные работы. Системы контроля управления доступом. Автостанция Инкерман</v>
      </c>
      <c r="G7874" s="22" t="s">
        <v>714</v>
      </c>
      <c r="H7874" s="22" t="s">
        <v>714</v>
      </c>
      <c r="I7874" s="26">
        <v>43606.614583333299</v>
      </c>
      <c r="J7874" s="23" t="str">
        <f>HYPERLINK("https://www.spark-marketing.ru/Card/Person/6081891", "ООО ""ВИКАМ""")</f>
        <v>ООО "ВИКАМ"</v>
      </c>
      <c r="K7874" s="24" t="s">
        <v>3886</v>
      </c>
      <c r="L7874" s="28" t="s">
        <v>52</v>
      </c>
      <c r="M7874" s="25">
        <v>102188.74</v>
      </c>
      <c r="N7874" s="27">
        <v>0.40504973971260155</v>
      </c>
    </row>
    <row r="7875" spans="1:14" x14ac:dyDescent="0.15">
      <c r="A7875" s="23" t="str">
        <f>HYPERLINK("https://www.spark-marketing.ru/Card/Person/1781282", "ООО ""ГАЛЕРЕЯ-АЛЕКС""")</f>
        <v>ООО "ГАЛЕРЕЯ-АЛЕКС"</v>
      </c>
      <c r="B7875" s="24" t="s">
        <v>10079</v>
      </c>
      <c r="C7875" s="25">
        <v>0</v>
      </c>
      <c r="D7875" s="22" t="s">
        <v>10080</v>
      </c>
      <c r="E7875" s="22" t="s">
        <v>208</v>
      </c>
      <c r="F7875" s="23" t="str">
        <f>HYPERLINK("https://www.spark-marketing.ru/Card/Lot/70644764", "Создание и техническое обслуживание системы видеонаблюдения г. Москва и МО")</f>
        <v>Создание и техническое обслуживание системы видеонаблюдения г. Москва и МО</v>
      </c>
      <c r="G7875" s="22" t="s">
        <v>55</v>
      </c>
      <c r="H7875" s="22" t="s">
        <v>55</v>
      </c>
      <c r="I7875" s="26">
        <v>43606.5573842593</v>
      </c>
      <c r="J7875" s="28" t="s">
        <v>52</v>
      </c>
      <c r="K7875" s="28" t="s">
        <v>52</v>
      </c>
      <c r="L7875" s="28" t="s">
        <v>52</v>
      </c>
      <c r="M7875" s="28" t="s">
        <v>52</v>
      </c>
      <c r="N7875" s="28" t="s">
        <v>52</v>
      </c>
    </row>
    <row r="7876" spans="1:14" x14ac:dyDescent="0.15">
      <c r="A7876" s="23" t="str">
        <f>HYPERLINK("https://www.spark-marketing.ru/Card/Person/128942", "МБОУ ШКОЛА № 3")</f>
        <v>МБОУ ШКОЛА № 3</v>
      </c>
      <c r="B7876" s="24" t="s">
        <v>10081</v>
      </c>
      <c r="C7876" s="25">
        <v>10500</v>
      </c>
      <c r="D7876" s="22" t="s">
        <v>10082</v>
      </c>
      <c r="E7876" s="22" t="s">
        <v>103</v>
      </c>
      <c r="F7876" s="23" t="str">
        <f>HYPERLINK("https://www.spark-marketing.ru/Card/Lot/70633717", "Оказание услуг по техническому обслуживанию систем видеонаблюдения и видеорегистрации")</f>
        <v>Оказание услуг по техническому обслуживанию систем видеонаблюдения и видеорегистрации</v>
      </c>
      <c r="G7876" s="22" t="s">
        <v>50</v>
      </c>
      <c r="H7876" s="22" t="s">
        <v>7244</v>
      </c>
      <c r="I7876" s="26">
        <v>43606.575925925899</v>
      </c>
      <c r="J7876" s="28" t="s">
        <v>52</v>
      </c>
      <c r="K7876" s="28" t="s">
        <v>52</v>
      </c>
      <c r="L7876" s="28" t="s">
        <v>52</v>
      </c>
      <c r="M7876" s="28" t="s">
        <v>52</v>
      </c>
      <c r="N7876" s="28" t="s">
        <v>52</v>
      </c>
    </row>
    <row r="7877" spans="1:14" x14ac:dyDescent="0.2">
      <c r="A7877" s="23" t="str">
        <f>HYPERLINK("https://www.spark-marketing.ru/Card/Person/1479430", "СРЕДНЯЯ ШКОЛА № 21, МАОУ ""СОШ № 21""")</f>
        <v>СРЕДНЯЯ ШКОЛА № 21, МАОУ "СОШ № 21"</v>
      </c>
      <c r="B7877" s="24" t="s">
        <v>6637</v>
      </c>
      <c r="C7877" s="25">
        <v>200000</v>
      </c>
      <c r="D7877" s="22" t="s">
        <v>10083</v>
      </c>
      <c r="E7877" s="22" t="s">
        <v>8385</v>
      </c>
      <c r="F7877" s="23" t="str">
        <f>HYPERLINK("https://www.spark-marketing.ru/Card/Lot/70630187", "Установка комплекса охранной сигнализации")</f>
        <v>Установка комплекса охранной сигнализации</v>
      </c>
      <c r="G7877" s="22" t="s">
        <v>72</v>
      </c>
      <c r="H7877" s="22" t="s">
        <v>72</v>
      </c>
      <c r="I7877" s="26">
        <v>43606.575092592597</v>
      </c>
      <c r="J7877" s="28" t="s">
        <v>52</v>
      </c>
      <c r="K7877" s="28" t="s">
        <v>52</v>
      </c>
      <c r="L7877" s="28" t="s">
        <v>52</v>
      </c>
      <c r="M7877" s="25">
        <v>175000</v>
      </c>
      <c r="N7877" s="27">
        <v>0.125</v>
      </c>
    </row>
    <row r="7878" spans="1:14" x14ac:dyDescent="0.15">
      <c r="A7878" s="23" t="str">
        <f t="shared" ref="A7878:A7885" si="334">HYPERLINK("https://www.spark-marketing.ru/Card/Person/1321085", "ГБПОУ СО ""НТПК № 1""")</f>
        <v>ГБПОУ СО "НТПК № 1"</v>
      </c>
      <c r="B7878" s="24" t="s">
        <v>8560</v>
      </c>
      <c r="C7878" s="25">
        <v>662488.31999999995</v>
      </c>
      <c r="D7878" s="22" t="s">
        <v>10084</v>
      </c>
      <c r="E7878" s="22" t="s">
        <v>52</v>
      </c>
      <c r="F7878" s="23" t="str">
        <f t="shared" ref="F7878:F7885" si="335">HYPERLINK("https://www.spark-marketing.ru/Card/Lot/70628521", "Услуги по физической охране")</f>
        <v>Услуги по физической охране</v>
      </c>
      <c r="G7878" s="22" t="s">
        <v>72</v>
      </c>
      <c r="H7878" s="22" t="s">
        <v>3332</v>
      </c>
      <c r="I7878" s="26">
        <v>43606.515972222202</v>
      </c>
      <c r="J7878" s="28" t="s">
        <v>52</v>
      </c>
      <c r="K7878" s="28" t="s">
        <v>52</v>
      </c>
      <c r="L7878" s="28" t="s">
        <v>52</v>
      </c>
      <c r="M7878" s="28" t="s">
        <v>52</v>
      </c>
      <c r="N7878" s="28" t="s">
        <v>52</v>
      </c>
    </row>
    <row r="7879" spans="1:14" hidden="1" outlineLevel="1" x14ac:dyDescent="0.2">
      <c r="A7879" s="23" t="str">
        <f t="shared" si="334"/>
        <v>ГБПОУ СО "НТПК № 1"</v>
      </c>
      <c r="B7879" s="24" t="s">
        <v>8560</v>
      </c>
      <c r="C7879" s="25">
        <v>662488.31999999995</v>
      </c>
      <c r="D7879" s="22" t="s">
        <v>10084</v>
      </c>
      <c r="E7879" s="22" t="s">
        <v>52</v>
      </c>
      <c r="F7879" s="23" t="str">
        <f t="shared" si="335"/>
        <v>Услуги по физической охране</v>
      </c>
      <c r="G7879" s="22" t="s">
        <v>72</v>
      </c>
      <c r="H7879" s="22" t="s">
        <v>3332</v>
      </c>
      <c r="I7879" s="26">
        <v>43606.515972222202</v>
      </c>
      <c r="J7879" s="23" t="str">
        <f>HYPERLINK("https://www.spark-marketing.ru/Card/Person/805797", "ООО ЧОП ""ГЮРЗА""")</f>
        <v>ООО ЧОП "ГЮРЗА"</v>
      </c>
      <c r="K7879" s="24" t="s">
        <v>10085</v>
      </c>
      <c r="L7879" s="28" t="s">
        <v>52</v>
      </c>
      <c r="M7879" s="25">
        <v>639301.24</v>
      </c>
      <c r="N7879" s="27">
        <v>3.4999983094041565E-2</v>
      </c>
    </row>
    <row r="7880" spans="1:14" hidden="1" outlineLevel="1" x14ac:dyDescent="0.2">
      <c r="A7880" s="23" t="str">
        <f t="shared" si="334"/>
        <v>ГБПОУ СО "НТПК № 1"</v>
      </c>
      <c r="B7880" s="24" t="s">
        <v>8560</v>
      </c>
      <c r="C7880" s="25">
        <v>662488.31999999995</v>
      </c>
      <c r="D7880" s="22" t="s">
        <v>10084</v>
      </c>
      <c r="E7880" s="22" t="s">
        <v>52</v>
      </c>
      <c r="F7880" s="23" t="str">
        <f t="shared" si="335"/>
        <v>Услуги по физической охране</v>
      </c>
      <c r="G7880" s="22" t="s">
        <v>72</v>
      </c>
      <c r="H7880" s="22" t="s">
        <v>3332</v>
      </c>
      <c r="I7880" s="26">
        <v>43606.515972222202</v>
      </c>
      <c r="J7880" s="23" t="str">
        <f>HYPERLINK("https://www.spark-marketing.ru/Card/Person/1945223", "ООО ЧОП ""ДЕЛЬТА-ОХРАНА""")</f>
        <v>ООО ЧОП "ДЕЛЬТА-ОХРАНА"</v>
      </c>
      <c r="K7880" s="24" t="s">
        <v>10086</v>
      </c>
      <c r="L7880" s="28" t="s">
        <v>52</v>
      </c>
      <c r="M7880" s="25">
        <v>629363.92000000004</v>
      </c>
      <c r="N7880" s="27">
        <v>4.9999975848630814E-2</v>
      </c>
    </row>
    <row r="7881" spans="1:14" hidden="1" outlineLevel="1" x14ac:dyDescent="0.2">
      <c r="A7881" s="23" t="str">
        <f t="shared" si="334"/>
        <v>ГБПОУ СО "НТПК № 1"</v>
      </c>
      <c r="B7881" s="24" t="s">
        <v>8560</v>
      </c>
      <c r="C7881" s="25">
        <v>662488.31999999995</v>
      </c>
      <c r="D7881" s="22" t="s">
        <v>10084</v>
      </c>
      <c r="E7881" s="22" t="s">
        <v>52</v>
      </c>
      <c r="F7881" s="23" t="str">
        <f t="shared" si="335"/>
        <v>Услуги по физической охране</v>
      </c>
      <c r="G7881" s="22" t="s">
        <v>72</v>
      </c>
      <c r="H7881" s="22" t="s">
        <v>3332</v>
      </c>
      <c r="I7881" s="26">
        <v>43606.515972222202</v>
      </c>
      <c r="J7881" s="23" t="str">
        <f>HYPERLINK("https://www.spark-marketing.ru/Card/Person/77479", "ООО ЧОП ""СООПР ""РЫСЬ-Е""")</f>
        <v>ООО ЧОП "СООПР "РЫСЬ-Е"</v>
      </c>
      <c r="K7881" s="24" t="s">
        <v>10087</v>
      </c>
      <c r="L7881" s="28" t="s">
        <v>52</v>
      </c>
      <c r="M7881" s="25">
        <v>574080</v>
      </c>
      <c r="N7881" s="27">
        <v>0.13344887348353554</v>
      </c>
    </row>
    <row r="7882" spans="1:14" hidden="1" outlineLevel="1" x14ac:dyDescent="0.2">
      <c r="A7882" s="23" t="str">
        <f t="shared" si="334"/>
        <v>ГБПОУ СО "НТПК № 1"</v>
      </c>
      <c r="B7882" s="24" t="s">
        <v>8560</v>
      </c>
      <c r="C7882" s="25">
        <v>662488.31999999995</v>
      </c>
      <c r="D7882" s="22" t="s">
        <v>10084</v>
      </c>
      <c r="E7882" s="22" t="s">
        <v>52</v>
      </c>
      <c r="F7882" s="23" t="str">
        <f t="shared" si="335"/>
        <v>Услуги по физической охране</v>
      </c>
      <c r="G7882" s="22" t="s">
        <v>72</v>
      </c>
      <c r="H7882" s="22" t="s">
        <v>3332</v>
      </c>
      <c r="I7882" s="26">
        <v>43606.515972222202</v>
      </c>
      <c r="J7882" s="23" t="str">
        <f>HYPERLINK("https://www.spark-marketing.ru/Card/Person/100254", "ООО ЧОО ""ВИКТОРИЯ""")</f>
        <v>ООО ЧОО "ВИКТОРИЯ"</v>
      </c>
      <c r="K7882" s="24" t="s">
        <v>1406</v>
      </c>
      <c r="L7882" s="28" t="s">
        <v>52</v>
      </c>
      <c r="M7882" s="25">
        <v>652551</v>
      </c>
      <c r="N7882" s="27">
        <v>1.4999992754589244E-2</v>
      </c>
    </row>
    <row r="7883" spans="1:14" ht="12.75" hidden="1" outlineLevel="1" x14ac:dyDescent="0.2">
      <c r="A7883" s="23" t="str">
        <f t="shared" si="334"/>
        <v>ГБПОУ СО "НТПК № 1"</v>
      </c>
      <c r="B7883" s="24" t="s">
        <v>8560</v>
      </c>
      <c r="C7883" s="25">
        <v>662488.31999999995</v>
      </c>
      <c r="D7883" s="22" t="s">
        <v>10084</v>
      </c>
      <c r="E7883" s="22" t="s">
        <v>52</v>
      </c>
      <c r="F7883" s="23" t="str">
        <f t="shared" si="335"/>
        <v>Услуги по физической охране</v>
      </c>
      <c r="G7883" s="22" t="s">
        <v>72</v>
      </c>
      <c r="H7883" s="22" t="s">
        <v>3332</v>
      </c>
      <c r="I7883" s="26">
        <v>43606.515972222202</v>
      </c>
      <c r="J7883" s="23" t="str">
        <f>HYPERLINK("https://www.spark-marketing.ru/Card/Person/4496304", "ООО ""ЧОП ""АЛЬФА-ЩИТ-БМП""")</f>
        <v>ООО "ЧОП "АЛЬФА-ЩИТ-БМП"</v>
      </c>
      <c r="K7883" s="24" t="s">
        <v>4058</v>
      </c>
      <c r="L7883" s="22" t="s">
        <v>10</v>
      </c>
      <c r="M7883" s="25">
        <v>397692.55</v>
      </c>
      <c r="N7883" s="27">
        <v>0.39969877506670609</v>
      </c>
    </row>
    <row r="7884" spans="1:14" hidden="1" outlineLevel="1" x14ac:dyDescent="0.2">
      <c r="A7884" s="23" t="str">
        <f t="shared" si="334"/>
        <v>ГБПОУ СО "НТПК № 1"</v>
      </c>
      <c r="B7884" s="24" t="s">
        <v>8560</v>
      </c>
      <c r="C7884" s="25">
        <v>662488.31999999995</v>
      </c>
      <c r="D7884" s="22" t="s">
        <v>10084</v>
      </c>
      <c r="E7884" s="22" t="s">
        <v>52</v>
      </c>
      <c r="F7884" s="23" t="str">
        <f t="shared" si="335"/>
        <v>Услуги по физической охране</v>
      </c>
      <c r="G7884" s="22" t="s">
        <v>72</v>
      </c>
      <c r="H7884" s="22" t="s">
        <v>3332</v>
      </c>
      <c r="I7884" s="26">
        <v>43606.515972222202</v>
      </c>
      <c r="J7884" s="23" t="str">
        <f>HYPERLINK("https://www.spark-marketing.ru/Card/Person/58845", "ООО ЧОП ""АГЕНТСТВО БИЗНЕС-БЕЗОПАСНОСТЬ""")</f>
        <v>ООО ЧОП "АГЕНТСТВО БИЗНЕС-БЕЗОПАСНОСТЬ"</v>
      </c>
      <c r="K7884" s="24" t="s">
        <v>1177</v>
      </c>
      <c r="L7884" s="28" t="s">
        <v>52</v>
      </c>
      <c r="M7884" s="25">
        <v>512256</v>
      </c>
      <c r="N7884" s="27">
        <v>0.22676976403146248</v>
      </c>
    </row>
    <row r="7885" spans="1:14" hidden="1" outlineLevel="1" x14ac:dyDescent="0.2">
      <c r="A7885" s="23" t="str">
        <f t="shared" si="334"/>
        <v>ГБПОУ СО "НТПК № 1"</v>
      </c>
      <c r="B7885" s="24" t="s">
        <v>8560</v>
      </c>
      <c r="C7885" s="25">
        <v>662488.31999999995</v>
      </c>
      <c r="D7885" s="22" t="s">
        <v>10084</v>
      </c>
      <c r="E7885" s="22" t="s">
        <v>52</v>
      </c>
      <c r="F7885" s="23" t="str">
        <f t="shared" si="335"/>
        <v>Услуги по физической охране</v>
      </c>
      <c r="G7885" s="22" t="s">
        <v>72</v>
      </c>
      <c r="H7885" s="22" t="s">
        <v>3332</v>
      </c>
      <c r="I7885" s="26">
        <v>43606.515972222202</v>
      </c>
      <c r="J7885" s="23" t="str">
        <f>HYPERLINK("https://www.spark-marketing.ru/Card/Person/1484274", "ООО ЧОП ""ФАНТОН""")</f>
        <v>ООО ЧОП "ФАНТОН"</v>
      </c>
      <c r="K7885" s="24" t="s">
        <v>2921</v>
      </c>
      <c r="L7885" s="28" t="s">
        <v>52</v>
      </c>
      <c r="M7885" s="25">
        <v>419000</v>
      </c>
      <c r="N7885" s="27">
        <v>0.36753601935200908</v>
      </c>
    </row>
    <row r="7886" spans="1:14" x14ac:dyDescent="0.15">
      <c r="A7886" s="23" t="str">
        <f>HYPERLINK("https://www.spark-marketing.ru/Card/Person/105649", "ГОСУДАРСТВЕННЫЙ МУЗЕЙ-ЗАПОВЕДНИК ""ЗАРАЙСКИЙ КРЕМЛЬ""")</f>
        <v>ГОСУДАРСТВЕННЫЙ МУЗЕЙ-ЗАПОВЕДНИК "ЗАРАЙСКИЙ КРЕМЛЬ"</v>
      </c>
      <c r="B7886" s="24" t="s">
        <v>1890</v>
      </c>
      <c r="C7886" s="25">
        <v>96120</v>
      </c>
      <c r="D7886" s="22" t="s">
        <v>10088</v>
      </c>
      <c r="E7886" s="22" t="s">
        <v>103</v>
      </c>
      <c r="F7886" s="23" t="str">
        <f>HYPERLINK("https://www.spark-marketing.ru/Card/Lot/70631643", "Услуги по техническому обслуживанию видеонаблюдения для системы ""Безопасный регион""")</f>
        <v>Услуги по техническому обслуживанию видеонаблюдения для системы "Безопасный регион"</v>
      </c>
      <c r="G7886" s="22" t="s">
        <v>50</v>
      </c>
      <c r="H7886" s="22" t="s">
        <v>1056</v>
      </c>
      <c r="I7886" s="26">
        <v>43606.513993055603</v>
      </c>
      <c r="J7886" s="28" t="s">
        <v>52</v>
      </c>
      <c r="K7886" s="28" t="s">
        <v>52</v>
      </c>
      <c r="L7886" s="28" t="s">
        <v>52</v>
      </c>
      <c r="M7886" s="28" t="s">
        <v>52</v>
      </c>
      <c r="N7886" s="28" t="s">
        <v>52</v>
      </c>
    </row>
    <row r="7887" spans="1:14" x14ac:dyDescent="0.15">
      <c r="A7887" s="23" t="str">
        <f t="shared" ref="A7887:A7892" si="336">HYPERLINK("https://www.spark-marketing.ru/Card/Person/1321085", "ГБПОУ СО ""НТПК № 1""")</f>
        <v>ГБПОУ СО "НТПК № 1"</v>
      </c>
      <c r="B7887" s="24" t="s">
        <v>8560</v>
      </c>
      <c r="C7887" s="25">
        <v>662488.31999999995</v>
      </c>
      <c r="D7887" s="22" t="s">
        <v>10089</v>
      </c>
      <c r="E7887" s="22" t="s">
        <v>52</v>
      </c>
      <c r="F7887" s="23" t="str">
        <f t="shared" ref="F7887:F7892" si="337">HYPERLINK("https://www.spark-marketing.ru/Card/Lot/70628520", "Услуги по физической охране")</f>
        <v>Услуги по физической охране</v>
      </c>
      <c r="G7887" s="22" t="s">
        <v>72</v>
      </c>
      <c r="H7887" s="22" t="s">
        <v>3332</v>
      </c>
      <c r="I7887" s="26">
        <v>43606.515972222202</v>
      </c>
      <c r="J7887" s="28" t="s">
        <v>52</v>
      </c>
      <c r="K7887" s="28" t="s">
        <v>52</v>
      </c>
      <c r="L7887" s="28" t="s">
        <v>52</v>
      </c>
      <c r="M7887" s="28" t="s">
        <v>52</v>
      </c>
      <c r="N7887" s="28" t="s">
        <v>52</v>
      </c>
    </row>
    <row r="7888" spans="1:14" hidden="1" outlineLevel="1" x14ac:dyDescent="0.2">
      <c r="A7888" s="23" t="str">
        <f t="shared" si="336"/>
        <v>ГБПОУ СО "НТПК № 1"</v>
      </c>
      <c r="B7888" s="24" t="s">
        <v>8560</v>
      </c>
      <c r="C7888" s="25">
        <v>662488.31999999995</v>
      </c>
      <c r="D7888" s="22" t="s">
        <v>10089</v>
      </c>
      <c r="E7888" s="22" t="s">
        <v>52</v>
      </c>
      <c r="F7888" s="23" t="str">
        <f t="shared" si="337"/>
        <v>Услуги по физической охране</v>
      </c>
      <c r="G7888" s="22" t="s">
        <v>72</v>
      </c>
      <c r="H7888" s="22" t="s">
        <v>3332</v>
      </c>
      <c r="I7888" s="26">
        <v>43606.515972222202</v>
      </c>
      <c r="J7888" s="23" t="str">
        <f>HYPERLINK("https://www.spark-marketing.ru/Card/Person/58845", "ООО ЧОП ""АГЕНТСТВО БИЗНЕС-БЕЗОПАСНОСТЬ""")</f>
        <v>ООО ЧОП "АГЕНТСТВО БИЗНЕС-БЕЗОПАСНОСТЬ"</v>
      </c>
      <c r="K7888" s="24" t="s">
        <v>1177</v>
      </c>
      <c r="L7888" s="28" t="s">
        <v>52</v>
      </c>
      <c r="M7888" s="25">
        <v>512256</v>
      </c>
      <c r="N7888" s="27">
        <v>0.22676976403146248</v>
      </c>
    </row>
    <row r="7889" spans="1:14" hidden="1" outlineLevel="1" x14ac:dyDescent="0.2">
      <c r="A7889" s="23" t="str">
        <f t="shared" si="336"/>
        <v>ГБПОУ СО "НТПК № 1"</v>
      </c>
      <c r="B7889" s="24" t="s">
        <v>8560</v>
      </c>
      <c r="C7889" s="25">
        <v>662488.31999999995</v>
      </c>
      <c r="D7889" s="22" t="s">
        <v>10089</v>
      </c>
      <c r="E7889" s="22" t="s">
        <v>52</v>
      </c>
      <c r="F7889" s="23" t="str">
        <f t="shared" si="337"/>
        <v>Услуги по физической охране</v>
      </c>
      <c r="G7889" s="22" t="s">
        <v>72</v>
      </c>
      <c r="H7889" s="22" t="s">
        <v>3332</v>
      </c>
      <c r="I7889" s="26">
        <v>43606.515972222202</v>
      </c>
      <c r="J7889" s="23" t="str">
        <f>HYPERLINK("https://www.spark-marketing.ru/Card/Person/1484274", "ООО ЧОП ""ФАНТОН""")</f>
        <v>ООО ЧОП "ФАНТОН"</v>
      </c>
      <c r="K7889" s="24" t="s">
        <v>2921</v>
      </c>
      <c r="L7889" s="28" t="s">
        <v>52</v>
      </c>
      <c r="M7889" s="25">
        <v>419000</v>
      </c>
      <c r="N7889" s="27">
        <v>0.36753601935200908</v>
      </c>
    </row>
    <row r="7890" spans="1:14" hidden="1" outlineLevel="1" x14ac:dyDescent="0.2">
      <c r="A7890" s="23" t="str">
        <f t="shared" si="336"/>
        <v>ГБПОУ СО "НТПК № 1"</v>
      </c>
      <c r="B7890" s="24" t="s">
        <v>8560</v>
      </c>
      <c r="C7890" s="25">
        <v>662488.31999999995</v>
      </c>
      <c r="D7890" s="22" t="s">
        <v>10089</v>
      </c>
      <c r="E7890" s="22" t="s">
        <v>52</v>
      </c>
      <c r="F7890" s="23" t="str">
        <f t="shared" si="337"/>
        <v>Услуги по физической охране</v>
      </c>
      <c r="G7890" s="22" t="s">
        <v>72</v>
      </c>
      <c r="H7890" s="22" t="s">
        <v>3332</v>
      </c>
      <c r="I7890" s="26">
        <v>43606.515972222202</v>
      </c>
      <c r="J7890" s="23" t="str">
        <f>HYPERLINK("https://www.spark-marketing.ru/Card/Person/77479", "ООО ЧОП ""СООПР ""РЫСЬ-Е""")</f>
        <v>ООО ЧОП "СООПР "РЫСЬ-Е"</v>
      </c>
      <c r="K7890" s="24" t="s">
        <v>10087</v>
      </c>
      <c r="L7890" s="28" t="s">
        <v>52</v>
      </c>
      <c r="M7890" s="25">
        <v>574080</v>
      </c>
      <c r="N7890" s="27">
        <v>0.13344887348353554</v>
      </c>
    </row>
    <row r="7891" spans="1:14" hidden="1" outlineLevel="1" x14ac:dyDescent="0.2">
      <c r="A7891" s="23" t="str">
        <f t="shared" si="336"/>
        <v>ГБПОУ СО "НТПК № 1"</v>
      </c>
      <c r="B7891" s="24" t="s">
        <v>8560</v>
      </c>
      <c r="C7891" s="25">
        <v>662488.31999999995</v>
      </c>
      <c r="D7891" s="22" t="s">
        <v>10089</v>
      </c>
      <c r="E7891" s="22" t="s">
        <v>52</v>
      </c>
      <c r="F7891" s="23" t="str">
        <f t="shared" si="337"/>
        <v>Услуги по физической охране</v>
      </c>
      <c r="G7891" s="22" t="s">
        <v>72</v>
      </c>
      <c r="H7891" s="22" t="s">
        <v>3332</v>
      </c>
      <c r="I7891" s="26">
        <v>43606.515972222202</v>
      </c>
      <c r="J7891" s="23" t="str">
        <f>HYPERLINK("https://www.spark-marketing.ru/Card/Person/1945223", "ООО ЧОП ""ДЕЛЬТА-ОХРАНА""")</f>
        <v>ООО ЧОП "ДЕЛЬТА-ОХРАНА"</v>
      </c>
      <c r="K7891" s="24" t="s">
        <v>10086</v>
      </c>
      <c r="L7891" s="28" t="s">
        <v>52</v>
      </c>
      <c r="M7891" s="25">
        <v>616114.14</v>
      </c>
      <c r="N7891" s="27">
        <v>6.9999996377294621E-2</v>
      </c>
    </row>
    <row r="7892" spans="1:14" ht="12.75" hidden="1" outlineLevel="1" x14ac:dyDescent="0.2">
      <c r="A7892" s="23" t="str">
        <f t="shared" si="336"/>
        <v>ГБПОУ СО "НТПК № 1"</v>
      </c>
      <c r="B7892" s="24" t="s">
        <v>8560</v>
      </c>
      <c r="C7892" s="25">
        <v>662488.31999999995</v>
      </c>
      <c r="D7892" s="22" t="s">
        <v>10089</v>
      </c>
      <c r="E7892" s="22" t="s">
        <v>52</v>
      </c>
      <c r="F7892" s="23" t="str">
        <f t="shared" si="337"/>
        <v>Услуги по физической охране</v>
      </c>
      <c r="G7892" s="22" t="s">
        <v>72</v>
      </c>
      <c r="H7892" s="22" t="s">
        <v>3332</v>
      </c>
      <c r="I7892" s="26">
        <v>43606.515972222202</v>
      </c>
      <c r="J7892" s="23" t="str">
        <f>HYPERLINK("https://www.spark-marketing.ru/Card/Person/4496304", "ООО ""ЧОП ""АЛЬФА-ЩИТ-БМП""")</f>
        <v>ООО "ЧОП "АЛЬФА-ЩИТ-БМП"</v>
      </c>
      <c r="K7892" s="24" t="s">
        <v>4058</v>
      </c>
      <c r="L7892" s="22" t="s">
        <v>10</v>
      </c>
      <c r="M7892" s="25">
        <v>406257.86</v>
      </c>
      <c r="N7892" s="27">
        <v>0.38676977731471551</v>
      </c>
    </row>
    <row r="7893" spans="1:14" x14ac:dyDescent="0.15">
      <c r="A7893" s="23" t="str">
        <f>HYPERLINK("https://www.spark-marketing.ru/Card/Person/1008976", "УПРАВЛЕНИЕ МИНЮСТА РОССИИ ПО МАГАДАНСКОЙ ОБЛАСТИ И ЧУКОТСКОМУ АВТОНОМНОМУ ОКРУГУ")</f>
        <v>УПРАВЛЕНИЕ МИНЮСТА РОССИИ ПО МАГАДАНСКОЙ ОБЛАСТИ И ЧУКОТСКОМУ АВТОНОМНОМУ ОКРУГУ</v>
      </c>
      <c r="B7893" s="24" t="s">
        <v>10090</v>
      </c>
      <c r="C7893" s="25">
        <v>71000</v>
      </c>
      <c r="D7893" s="22" t="s">
        <v>10091</v>
      </c>
      <c r="E7893" s="22" t="s">
        <v>53</v>
      </c>
      <c r="F7893" s="23" t="str">
        <f>HYPERLINK("https://www.spark-marketing.ru/Card/Lot/70754057", "Для обеспечения государственных нужд. Электромонтажные работы по установке и пуско-наладке системы охранной сигнализации")</f>
        <v>Для обеспечения государственных нужд. Электромонтажные работы по установке и пуско-наладке системы охранной сигнализации</v>
      </c>
      <c r="G7893" s="22" t="s">
        <v>808</v>
      </c>
      <c r="H7893" s="22" t="s">
        <v>809</v>
      </c>
      <c r="I7893" s="26">
        <v>43606.484479166698</v>
      </c>
      <c r="J7893" s="28" t="s">
        <v>52</v>
      </c>
      <c r="K7893" s="28" t="s">
        <v>52</v>
      </c>
      <c r="L7893" s="28" t="s">
        <v>52</v>
      </c>
      <c r="M7893" s="28" t="s">
        <v>52</v>
      </c>
      <c r="N7893" s="28" t="s">
        <v>52</v>
      </c>
    </row>
    <row r="7894" spans="1:14" x14ac:dyDescent="0.15">
      <c r="A7894" s="23" t="str">
        <f>HYPERLINK("https://www.spark-marketing.ru/Card/Person/116904", "МОУ СОШ №2 ИМ. 37 ГСД КРАСНОЙ АРМИИ")</f>
        <v>МОУ СОШ №2 ИМ. 37 ГСД КРАСНОЙ АРМИИ</v>
      </c>
      <c r="B7894" s="24" t="s">
        <v>10092</v>
      </c>
      <c r="C7894" s="25">
        <v>397447</v>
      </c>
      <c r="D7894" s="22" t="s">
        <v>10093</v>
      </c>
      <c r="E7894" s="22" t="s">
        <v>84</v>
      </c>
      <c r="F7894" s="23" t="str">
        <f>HYPERLINK("https://www.spark-marketing.ru/Card/Lot/70629914", "Услуги по установке системы видеонаблюдения")</f>
        <v>Услуги по установке системы видеонаблюдения</v>
      </c>
      <c r="G7894" s="22" t="s">
        <v>50</v>
      </c>
      <c r="H7894" s="22" t="s">
        <v>827</v>
      </c>
      <c r="I7894" s="26">
        <v>43606.493217592601</v>
      </c>
      <c r="J7894" s="28" t="s">
        <v>52</v>
      </c>
      <c r="K7894" s="28" t="s">
        <v>52</v>
      </c>
      <c r="L7894" s="28" t="s">
        <v>52</v>
      </c>
      <c r="M7894" s="28" t="s">
        <v>52</v>
      </c>
      <c r="N7894" s="28" t="s">
        <v>52</v>
      </c>
    </row>
    <row r="7895" spans="1:14" x14ac:dyDescent="0.15">
      <c r="A7895" s="23" t="str">
        <f>HYPERLINK("https://www.spark-marketing.ru/Card/Person/57540", "ГОБПОУ ""ЛТСИД""")</f>
        <v>ГОБПОУ "ЛТСИД"</v>
      </c>
      <c r="B7895" s="24" t="s">
        <v>10094</v>
      </c>
      <c r="C7895" s="25">
        <v>473666.67</v>
      </c>
      <c r="D7895" s="22" t="s">
        <v>10095</v>
      </c>
      <c r="E7895" s="22" t="s">
        <v>68</v>
      </c>
      <c r="F7895" s="23" t="str">
        <f>HYPERLINK("https://www.spark-marketing.ru/Card/Lot/70631222", "Оказание услуг охраны")</f>
        <v>Оказание услуг охраны</v>
      </c>
      <c r="G7895" s="22" t="s">
        <v>629</v>
      </c>
      <c r="H7895" s="22" t="s">
        <v>1603</v>
      </c>
      <c r="I7895" s="26">
        <v>43606.470833333296</v>
      </c>
      <c r="J7895" s="28" t="s">
        <v>52</v>
      </c>
      <c r="K7895" s="28" t="s">
        <v>52</v>
      </c>
      <c r="L7895" s="28" t="s">
        <v>52</v>
      </c>
      <c r="M7895" s="28" t="s">
        <v>52</v>
      </c>
      <c r="N7895" s="28" t="s">
        <v>52</v>
      </c>
    </row>
    <row r="7896" spans="1:14" hidden="1" outlineLevel="1" x14ac:dyDescent="0.2">
      <c r="A7896" s="23" t="str">
        <f>HYPERLINK("https://www.spark-marketing.ru/Card/Person/57540", "ГОБПОУ ""ЛТСИД""")</f>
        <v>ГОБПОУ "ЛТСИД"</v>
      </c>
      <c r="B7896" s="24" t="s">
        <v>10094</v>
      </c>
      <c r="C7896" s="25">
        <v>473666.67</v>
      </c>
      <c r="D7896" s="22" t="s">
        <v>10095</v>
      </c>
      <c r="E7896" s="22" t="s">
        <v>68</v>
      </c>
      <c r="F7896" s="23" t="str">
        <f>HYPERLINK("https://www.spark-marketing.ru/Card/Lot/70631222", "Оказание услуг охраны")</f>
        <v>Оказание услуг охраны</v>
      </c>
      <c r="G7896" s="22" t="s">
        <v>629</v>
      </c>
      <c r="H7896" s="22" t="s">
        <v>1603</v>
      </c>
      <c r="I7896" s="26">
        <v>43606.470833333296</v>
      </c>
      <c r="J7896" s="23" t="str">
        <f>HYPERLINK("https://www.spark-marketing.ru/Card/Person/701525", "ООО ЧОО ""ПАНТЕРА Л""")</f>
        <v>ООО ЧОО "ПАНТЕРА Л"</v>
      </c>
      <c r="K7896" s="24" t="s">
        <v>5055</v>
      </c>
      <c r="L7896" s="28" t="s">
        <v>52</v>
      </c>
      <c r="M7896" s="25">
        <v>468930.01</v>
      </c>
      <c r="N7896" s="27">
        <v>9.999985855031767E-3</v>
      </c>
    </row>
    <row r="7897" spans="1:14" ht="12.75" hidden="1" outlineLevel="1" x14ac:dyDescent="0.2">
      <c r="A7897" s="23" t="str">
        <f>HYPERLINK("https://www.spark-marketing.ru/Card/Person/57540", "ГОБПОУ ""ЛТСИД""")</f>
        <v>ГОБПОУ "ЛТСИД"</v>
      </c>
      <c r="B7897" s="24" t="s">
        <v>10094</v>
      </c>
      <c r="C7897" s="25">
        <v>473666.67</v>
      </c>
      <c r="D7897" s="22" t="s">
        <v>10095</v>
      </c>
      <c r="E7897" s="22" t="s">
        <v>68</v>
      </c>
      <c r="F7897" s="23" t="str">
        <f>HYPERLINK("https://www.spark-marketing.ru/Card/Lot/70631222", "Оказание услуг охраны")</f>
        <v>Оказание услуг охраны</v>
      </c>
      <c r="G7897" s="22" t="s">
        <v>629</v>
      </c>
      <c r="H7897" s="22" t="s">
        <v>1603</v>
      </c>
      <c r="I7897" s="26">
        <v>43606.470833333296</v>
      </c>
      <c r="J7897" s="23" t="str">
        <f>HYPERLINK("https://www.spark-marketing.ru/Card/Person/6072438", "ООО ЧОО ""НИКА""")</f>
        <v>ООО ЧОО "НИКА"</v>
      </c>
      <c r="K7897" s="24" t="s">
        <v>10066</v>
      </c>
      <c r="L7897" s="22" t="s">
        <v>10</v>
      </c>
      <c r="M7897" s="25">
        <v>468930.01</v>
      </c>
      <c r="N7897" s="27">
        <v>9.999985855031767E-3</v>
      </c>
    </row>
    <row r="7898" spans="1:14" x14ac:dyDescent="0.15">
      <c r="A7898" s="23" t="str">
        <f>HYPERLINK("https://www.spark-marketing.ru/Card/Person/357948", "ОТДЕЛ ГФС РОССИИ В Г. ПЕРМИ")</f>
        <v>ОТДЕЛ ГФС РОССИИ В Г. ПЕРМИ</v>
      </c>
      <c r="B7898" s="24" t="s">
        <v>10096</v>
      </c>
      <c r="C7898" s="25">
        <v>74460</v>
      </c>
      <c r="D7898" s="22" t="s">
        <v>10097</v>
      </c>
      <c r="E7898" s="22" t="s">
        <v>53</v>
      </c>
      <c r="F7898" s="23" t="str">
        <f>HYPERLINK("https://www.spark-marketing.ru/Card/Lot/70755625", "услуги по централизованной охране объектов подразделениями вневедомственной охраны")</f>
        <v>услуги по централизованной охране объектов подразделениями вневедомственной охраны</v>
      </c>
      <c r="G7898" s="22" t="s">
        <v>391</v>
      </c>
      <c r="H7898" s="22" t="s">
        <v>392</v>
      </c>
      <c r="I7898" s="26">
        <v>43606.462696759299</v>
      </c>
      <c r="J7898" s="28" t="s">
        <v>52</v>
      </c>
      <c r="K7898" s="28" t="s">
        <v>52</v>
      </c>
      <c r="L7898" s="28" t="s">
        <v>52</v>
      </c>
      <c r="M7898" s="28" t="s">
        <v>52</v>
      </c>
      <c r="N7898" s="28" t="s">
        <v>52</v>
      </c>
    </row>
    <row r="7899" spans="1:14" x14ac:dyDescent="0.2">
      <c r="A7899" s="23" t="str">
        <f>HYPERLINK("https://www.spark-marketing.ru/Card/Person/408100", "МУП ""ОПТС""")</f>
        <v>МУП "ОПТС"</v>
      </c>
      <c r="B7899" s="24" t="s">
        <v>10098</v>
      </c>
      <c r="C7899" s="25">
        <v>2041775.4</v>
      </c>
      <c r="D7899" s="22" t="s">
        <v>10099</v>
      </c>
      <c r="E7899" s="22" t="s">
        <v>789</v>
      </c>
      <c r="F7899" s="23" t="str">
        <f>HYPERLINK("https://www.spark-marketing.ru/Card/Lot/70625020", "Оказание услуг по вооруженной охране объектов МУП «ОПТС»")</f>
        <v>Оказание услуг по вооруженной охране объектов МУП «ОПТС»</v>
      </c>
      <c r="G7899" s="22" t="s">
        <v>384</v>
      </c>
      <c r="H7899" s="22" t="s">
        <v>10100</v>
      </c>
      <c r="I7899" s="26">
        <v>43606.482951388898</v>
      </c>
      <c r="J7899" s="28" t="s">
        <v>52</v>
      </c>
      <c r="K7899" s="28" t="s">
        <v>52</v>
      </c>
      <c r="L7899" s="28" t="s">
        <v>52</v>
      </c>
      <c r="M7899" s="25">
        <v>2031566.52</v>
      </c>
      <c r="N7899" s="27">
        <v>5.000001469309504E-3</v>
      </c>
    </row>
    <row r="7900" spans="1:14" x14ac:dyDescent="0.15">
      <c r="A7900" s="23" t="str">
        <f>HYPERLINK("https://www.spark-marketing.ru/Card/Person/1272385", "ООО ""НОВОВОРОНЕЖСКАЯ АЭС-АВТО""")</f>
        <v>ООО "НОВОВОРОНЕЖСКАЯ АЭС-АВТО"</v>
      </c>
      <c r="B7900" s="24" t="s">
        <v>10101</v>
      </c>
      <c r="C7900" s="28" t="s">
        <v>52</v>
      </c>
      <c r="D7900" s="22" t="s">
        <v>10102</v>
      </c>
      <c r="E7900" s="22" t="s">
        <v>53</v>
      </c>
      <c r="F7900" s="23" t="str">
        <f>HYPERLINK("https://www.spark-marketing.ru/Card/Lot/70632829", "Оказание услуг по техническому обслуживанию систем тревожной сигнализации на объектах ООО «Нововоронежская АЭС-Авто» (1257767)")</f>
        <v>Оказание услуг по техническому обслуживанию систем тревожной сигнализации на объектах ООО «Нововоронежская АЭС-Авто» (1257767)</v>
      </c>
      <c r="G7900" s="22" t="s">
        <v>552</v>
      </c>
      <c r="H7900" s="22" t="s">
        <v>10103</v>
      </c>
      <c r="I7900" s="26">
        <v>43606.454884259299</v>
      </c>
      <c r="J7900" s="28" t="s">
        <v>52</v>
      </c>
      <c r="K7900" s="28" t="s">
        <v>52</v>
      </c>
      <c r="L7900" s="28" t="s">
        <v>52</v>
      </c>
      <c r="M7900" s="28" t="s">
        <v>52</v>
      </c>
      <c r="N7900" s="28" t="s">
        <v>52</v>
      </c>
    </row>
    <row r="7901" spans="1:14" x14ac:dyDescent="0.15">
      <c r="A7901" s="23" t="str">
        <f>HYPERLINK("https://www.spark-marketing.ru/Card/Person/1761832", "ОАО ""РЫНОЧНЫЙ КОМПЛЕКС ""ЦАРИЦЫНСКИЙ""")</f>
        <v>ОАО "РЫНОЧНЫЙ КОМПЛЕКС "ЦАРИЦЫНСКИЙ"</v>
      </c>
      <c r="B7901" s="24" t="s">
        <v>613</v>
      </c>
      <c r="C7901" s="25">
        <v>293832</v>
      </c>
      <c r="D7901" s="22" t="s">
        <v>10104</v>
      </c>
      <c r="E7901" s="22" t="s">
        <v>615</v>
      </c>
      <c r="F7901" s="23" t="str">
        <f>HYPERLINK("https://www.spark-marketing.ru/Card/Lot/70626561", "оказание услуг по охране объекта")</f>
        <v>оказание услуг по охране объекта</v>
      </c>
      <c r="G7901" s="22" t="s">
        <v>55</v>
      </c>
      <c r="H7901" s="22" t="s">
        <v>55</v>
      </c>
      <c r="I7901" s="26">
        <v>43606.428275462997</v>
      </c>
      <c r="J7901" s="28" t="s">
        <v>52</v>
      </c>
      <c r="K7901" s="28" t="s">
        <v>52</v>
      </c>
      <c r="L7901" s="28" t="s">
        <v>52</v>
      </c>
      <c r="M7901" s="28" t="s">
        <v>52</v>
      </c>
      <c r="N7901" s="28" t="s">
        <v>52</v>
      </c>
    </row>
    <row r="7902" spans="1:14" x14ac:dyDescent="0.15">
      <c r="A7902" s="23" t="str">
        <f>HYPERLINK("https://www.spark-marketing.ru/Card/Person/178649", "КМТО ""ПРЕМЬЕРА""")</f>
        <v>КМТО "ПРЕМЬЕРА"</v>
      </c>
      <c r="B7902" s="24" t="s">
        <v>10105</v>
      </c>
      <c r="C7902" s="25">
        <v>359507.52</v>
      </c>
      <c r="D7902" s="22" t="s">
        <v>10106</v>
      </c>
      <c r="E7902" s="22" t="s">
        <v>390</v>
      </c>
      <c r="F7902" s="23" t="str">
        <f>HYPERLINK("https://www.spark-marketing.ru/Card/Lot/70626959", "Организация и обеспечению охраны имущества Заказчика, находящегося на объекте Заказчика, расположенного по адресу: Краснодарский край, г-к. Анапа, Пионерский проспект, д.4, у ворот со стороны Симферопольского шоссе (1 пост (1 человек) с 08.00 до 08.0...")</f>
        <v>Организация и обеспечению охраны имущества Заказчика, находящегося на объекте Заказчика, расположенного по адресу: Краснодарский край, г-к. Анапа, Пионерский проспект, д.4, у ворот со стороны Симферопольского шоссе (1 пост (1 человек) с 08.00 до 08.0...</v>
      </c>
      <c r="G7902" s="22" t="s">
        <v>132</v>
      </c>
      <c r="H7902" s="22" t="s">
        <v>132</v>
      </c>
      <c r="I7902" s="26">
        <v>43606.425659722197</v>
      </c>
      <c r="J7902" s="28" t="s">
        <v>52</v>
      </c>
      <c r="K7902" s="28" t="s">
        <v>52</v>
      </c>
      <c r="L7902" s="28" t="s">
        <v>52</v>
      </c>
      <c r="M7902" s="28" t="s">
        <v>52</v>
      </c>
      <c r="N7902" s="28" t="s">
        <v>52</v>
      </c>
    </row>
    <row r="7903" spans="1:14" x14ac:dyDescent="0.15">
      <c r="A7903" s="23" t="str">
        <f>HYPERLINK("https://www.spark-marketing.ru/Card/Person/1052601", "БДОУ Г. ОМСКА ""ЦЕНТР РАЗВИТИЯ РЕБЕНКА - ДЕТСКИЙ САД № 15""")</f>
        <v>БДОУ Г. ОМСКА "ЦЕНТР РАЗВИТИЯ РЕБЕНКА - ДЕТСКИЙ САД № 15"</v>
      </c>
      <c r="B7903" s="24" t="s">
        <v>10107</v>
      </c>
      <c r="C7903" s="25">
        <v>21600</v>
      </c>
      <c r="D7903" s="22" t="s">
        <v>10108</v>
      </c>
      <c r="E7903" s="22" t="s">
        <v>79</v>
      </c>
      <c r="F7903" s="23" t="str">
        <f>HYPERLINK("https://www.spark-marketing.ru/Card/Lot/70625040", "Услуги по техническому обслуживанию системы видеонаблюдения.")</f>
        <v>Услуги по техническому обслуживанию системы видеонаблюдения.</v>
      </c>
      <c r="G7903" s="22" t="s">
        <v>521</v>
      </c>
      <c r="H7903" s="22" t="s">
        <v>522</v>
      </c>
      <c r="I7903" s="26">
        <v>43606.429166666698</v>
      </c>
      <c r="J7903" s="28" t="s">
        <v>52</v>
      </c>
      <c r="K7903" s="28" t="s">
        <v>52</v>
      </c>
      <c r="L7903" s="28" t="s">
        <v>52</v>
      </c>
      <c r="M7903" s="28" t="s">
        <v>52</v>
      </c>
      <c r="N7903" s="28" t="s">
        <v>52</v>
      </c>
    </row>
    <row r="7904" spans="1:14" x14ac:dyDescent="0.15">
      <c r="A7904" s="23" t="str">
        <f>HYPERLINK("https://www.spark-marketing.ru/Card/Person/178649", "КМТО ""ПРЕМЬЕРА""")</f>
        <v>КМТО "ПРЕМЬЕРА"</v>
      </c>
      <c r="B7904" s="24" t="s">
        <v>10105</v>
      </c>
      <c r="C7904" s="25">
        <v>359507.52</v>
      </c>
      <c r="D7904" s="22" t="s">
        <v>10109</v>
      </c>
      <c r="E7904" s="22" t="s">
        <v>390</v>
      </c>
      <c r="F7904" s="23" t="str">
        <f>HYPERLINK("https://www.spark-marketing.ru/Card/Lot/70626648", "Организация и обеспечению охраны имущества Заказчика, находящегося на объекте Заказчика, расположенного по адресу: Краснодарский край, г-к. Анапа, Пионерский проспект, д.4, у ворот со стороны Пионерского проспекта (1 пост (1 человек) с 08.00 до 08.00...")</f>
        <v>Организация и обеспечению охраны имущества Заказчика, находящегося на объекте Заказчика, расположенного по адресу: Краснодарский край, г-к. Анапа, Пионерский проспект, д.4, у ворот со стороны Пионерского проспекта (1 пост (1 человек) с 08.00 до 08.00...</v>
      </c>
      <c r="G7904" s="22" t="s">
        <v>132</v>
      </c>
      <c r="H7904" s="22" t="s">
        <v>132</v>
      </c>
      <c r="I7904" s="26">
        <v>43606.435775462996</v>
      </c>
      <c r="J7904" s="28" t="s">
        <v>52</v>
      </c>
      <c r="K7904" s="28" t="s">
        <v>52</v>
      </c>
      <c r="L7904" s="28" t="s">
        <v>52</v>
      </c>
      <c r="M7904" s="28" t="s">
        <v>52</v>
      </c>
      <c r="N7904" s="28" t="s">
        <v>52</v>
      </c>
    </row>
    <row r="7905" spans="1:14" x14ac:dyDescent="0.15">
      <c r="A7905" s="23" t="str">
        <f>HYPERLINK("https://www.spark-marketing.ru/Card/Person/4348584", "АО ""АТОМ-ОХРАНА""")</f>
        <v>АО "АТОМ-ОХРАНА"</v>
      </c>
      <c r="B7905" s="24" t="s">
        <v>1036</v>
      </c>
      <c r="C7905" s="28" t="s">
        <v>52</v>
      </c>
      <c r="D7905" s="22" t="s">
        <v>10110</v>
      </c>
      <c r="E7905" s="22" t="s">
        <v>53</v>
      </c>
      <c r="F7905" s="23" t="str">
        <f>HYPERLINK("https://www.spark-marketing.ru/Card/Lot/70632830", "оказание услуг по техническому обслуживанию автомобилей УАЗ отдельного отряда №307 МУВО №3 АО ""Атом-охрана"" (1257768)")</f>
        <v>оказание услуг по техническому обслуживанию автомобилей УАЗ отдельного отряда №307 МУВО №3 АО "Атом-охрана" (1257768)</v>
      </c>
      <c r="G7905" s="22" t="s">
        <v>55</v>
      </c>
      <c r="H7905" s="22" t="s">
        <v>55</v>
      </c>
      <c r="I7905" s="26">
        <v>43606.454884259299</v>
      </c>
      <c r="J7905" s="28" t="s">
        <v>52</v>
      </c>
      <c r="K7905" s="28" t="s">
        <v>52</v>
      </c>
      <c r="L7905" s="28" t="s">
        <v>52</v>
      </c>
      <c r="M7905" s="28" t="s">
        <v>52</v>
      </c>
      <c r="N7905" s="28" t="s">
        <v>52</v>
      </c>
    </row>
    <row r="7906" spans="1:14" x14ac:dyDescent="0.15">
      <c r="A7906" s="23" t="str">
        <f t="shared" ref="A7906:A7911" si="338">HYPERLINK("https://www.spark-marketing.ru/Card/Person/64896", "ФИЦ КНЦ РАН")</f>
        <v>ФИЦ КНЦ РАН</v>
      </c>
      <c r="B7906" s="24" t="s">
        <v>10111</v>
      </c>
      <c r="C7906" s="25">
        <v>867140</v>
      </c>
      <c r="D7906" s="22" t="s">
        <v>10112</v>
      </c>
      <c r="E7906" s="22" t="s">
        <v>59</v>
      </c>
      <c r="F7906" s="23" t="str">
        <f t="shared" ref="F7906:F7911" si="339">HYPERLINK("https://www.spark-marketing.ru/Card/Lot/70627956", "Выполнение монтажных работ по установке системы видеонаблюдения по адресу: ул. Зиновьева д.18 СОК ""Наука""")</f>
        <v>Выполнение монтажных работ по установке системы видеонаблюдения по адресу: ул. Зиновьева д.18 СОК "Наука"</v>
      </c>
      <c r="G7906" s="22" t="s">
        <v>190</v>
      </c>
      <c r="H7906" s="22" t="s">
        <v>3716</v>
      </c>
      <c r="I7906" s="26">
        <v>43606.435416666704</v>
      </c>
      <c r="J7906" s="28" t="s">
        <v>52</v>
      </c>
      <c r="K7906" s="28" t="s">
        <v>52</v>
      </c>
      <c r="L7906" s="28" t="s">
        <v>52</v>
      </c>
      <c r="M7906" s="28" t="s">
        <v>52</v>
      </c>
      <c r="N7906" s="28" t="s">
        <v>52</v>
      </c>
    </row>
    <row r="7907" spans="1:14" ht="12.75" hidden="1" outlineLevel="1" x14ac:dyDescent="0.2">
      <c r="A7907" s="23" t="str">
        <f t="shared" si="338"/>
        <v>ФИЦ КНЦ РАН</v>
      </c>
      <c r="B7907" s="24" t="s">
        <v>10111</v>
      </c>
      <c r="C7907" s="25">
        <v>867140</v>
      </c>
      <c r="D7907" s="22" t="s">
        <v>10112</v>
      </c>
      <c r="E7907" s="22" t="s">
        <v>59</v>
      </c>
      <c r="F7907" s="23" t="str">
        <f t="shared" si="339"/>
        <v>Выполнение монтажных работ по установке системы видеонаблюдения по адресу: ул. Зиновьева д.18 СОК "Наука"</v>
      </c>
      <c r="G7907" s="22" t="s">
        <v>190</v>
      </c>
      <c r="H7907" s="22" t="s">
        <v>3716</v>
      </c>
      <c r="I7907" s="26">
        <v>43606.435416666704</v>
      </c>
      <c r="J7907" s="23" t="str">
        <f>HYPERLINK("https://www.spark-marketing.ru/Card/Person/113473", "Бойко Леонид Владимирович")</f>
        <v>Бойко Леонид Владимирович</v>
      </c>
      <c r="K7907" s="24" t="s">
        <v>10113</v>
      </c>
      <c r="L7907" s="22" t="s">
        <v>10</v>
      </c>
      <c r="M7907" s="25">
        <v>425664.3</v>
      </c>
      <c r="N7907" s="27">
        <v>0.50911698226353297</v>
      </c>
    </row>
    <row r="7908" spans="1:14" hidden="1" outlineLevel="1" x14ac:dyDescent="0.2">
      <c r="A7908" s="23" t="str">
        <f t="shared" si="338"/>
        <v>ФИЦ КНЦ РАН</v>
      </c>
      <c r="B7908" s="24" t="s">
        <v>10111</v>
      </c>
      <c r="C7908" s="25">
        <v>867140</v>
      </c>
      <c r="D7908" s="22" t="s">
        <v>10112</v>
      </c>
      <c r="E7908" s="22" t="s">
        <v>59</v>
      </c>
      <c r="F7908" s="23" t="str">
        <f t="shared" si="339"/>
        <v>Выполнение монтажных работ по установке системы видеонаблюдения по адресу: ул. Зиновьева д.18 СОК "Наука"</v>
      </c>
      <c r="G7908" s="22" t="s">
        <v>190</v>
      </c>
      <c r="H7908" s="22" t="s">
        <v>3716</v>
      </c>
      <c r="I7908" s="26">
        <v>43606.435416666704</v>
      </c>
      <c r="J7908" s="23" t="str">
        <f>HYPERLINK("https://www.spark-marketing.ru/Card/Person/364259", "ООО ""ИНФОРМ""")</f>
        <v>ООО "ИНФОРМ"</v>
      </c>
      <c r="K7908" s="24" t="s">
        <v>10114</v>
      </c>
      <c r="L7908" s="28" t="s">
        <v>52</v>
      </c>
      <c r="M7908" s="25">
        <v>600969.06999999995</v>
      </c>
      <c r="N7908" s="27">
        <v>0.30695266047005099</v>
      </c>
    </row>
    <row r="7909" spans="1:14" hidden="1" outlineLevel="1" x14ac:dyDescent="0.2">
      <c r="A7909" s="23" t="str">
        <f t="shared" si="338"/>
        <v>ФИЦ КНЦ РАН</v>
      </c>
      <c r="B7909" s="24" t="s">
        <v>10111</v>
      </c>
      <c r="C7909" s="25">
        <v>867140</v>
      </c>
      <c r="D7909" s="22" t="s">
        <v>10112</v>
      </c>
      <c r="E7909" s="22" t="s">
        <v>59</v>
      </c>
      <c r="F7909" s="23" t="str">
        <f t="shared" si="339"/>
        <v>Выполнение монтажных работ по установке системы видеонаблюдения по адресу: ул. Зиновьева д.18 СОК "Наука"</v>
      </c>
      <c r="G7909" s="22" t="s">
        <v>190</v>
      </c>
      <c r="H7909" s="22" t="s">
        <v>3716</v>
      </c>
      <c r="I7909" s="26">
        <v>43606.435416666704</v>
      </c>
      <c r="J7909" s="23" t="str">
        <f>HYPERLINK("https://www.spark-marketing.ru/Card/Person/6582385", "ООО ""ЭКСПЕРТ""")</f>
        <v>ООО "ЭКСПЕРТ"</v>
      </c>
      <c r="K7909" s="24" t="s">
        <v>10115</v>
      </c>
      <c r="L7909" s="28" t="s">
        <v>52</v>
      </c>
      <c r="M7909" s="25">
        <v>780000</v>
      </c>
      <c r="N7909" s="27">
        <v>0.10049127015245519</v>
      </c>
    </row>
    <row r="7910" spans="1:14" hidden="1" outlineLevel="1" x14ac:dyDescent="0.2">
      <c r="A7910" s="23" t="str">
        <f t="shared" si="338"/>
        <v>ФИЦ КНЦ РАН</v>
      </c>
      <c r="B7910" s="24" t="s">
        <v>10111</v>
      </c>
      <c r="C7910" s="25">
        <v>867140</v>
      </c>
      <c r="D7910" s="22" t="s">
        <v>10112</v>
      </c>
      <c r="E7910" s="22" t="s">
        <v>59</v>
      </c>
      <c r="F7910" s="23" t="str">
        <f t="shared" si="339"/>
        <v>Выполнение монтажных работ по установке системы видеонаблюдения по адресу: ул. Зиновьева д.18 СОК "Наука"</v>
      </c>
      <c r="G7910" s="22" t="s">
        <v>190</v>
      </c>
      <c r="H7910" s="22" t="s">
        <v>3716</v>
      </c>
      <c r="I7910" s="26">
        <v>43606.435416666704</v>
      </c>
      <c r="J7910" s="23" t="str">
        <f>HYPERLINK("https://www.spark-marketing.ru/Card/Person/134983", "ООО ""МТСК""")</f>
        <v>ООО "МТСК"</v>
      </c>
      <c r="K7910" s="24" t="s">
        <v>10116</v>
      </c>
      <c r="L7910" s="28" t="s">
        <v>52</v>
      </c>
      <c r="M7910" s="25">
        <v>430000</v>
      </c>
      <c r="N7910" s="27">
        <v>0.50411698226353296</v>
      </c>
    </row>
    <row r="7911" spans="1:14" hidden="1" outlineLevel="1" x14ac:dyDescent="0.2">
      <c r="A7911" s="23" t="str">
        <f t="shared" si="338"/>
        <v>ФИЦ КНЦ РАН</v>
      </c>
      <c r="B7911" s="24" t="s">
        <v>10111</v>
      </c>
      <c r="C7911" s="25">
        <v>867140</v>
      </c>
      <c r="D7911" s="22" t="s">
        <v>10112</v>
      </c>
      <c r="E7911" s="22" t="s">
        <v>59</v>
      </c>
      <c r="F7911" s="23" t="str">
        <f t="shared" si="339"/>
        <v>Выполнение монтажных работ по установке системы видеонаблюдения по адресу: ул. Зиновьева д.18 СОК "Наука"</v>
      </c>
      <c r="G7911" s="22" t="s">
        <v>190</v>
      </c>
      <c r="H7911" s="22" t="s">
        <v>3716</v>
      </c>
      <c r="I7911" s="26">
        <v>43606.435416666704</v>
      </c>
      <c r="J7911" s="23" t="str">
        <f>HYPERLINK("https://www.spark-marketing.ru/Card/Person/729565", "ООО ""ПРОМСЕРВИС""")</f>
        <v>ООО "ПРОМСЕРВИС"</v>
      </c>
      <c r="K7911" s="24" t="s">
        <v>10117</v>
      </c>
      <c r="L7911" s="28" t="s">
        <v>52</v>
      </c>
      <c r="M7911" s="25">
        <v>646019.30000000005</v>
      </c>
      <c r="N7911" s="27">
        <v>0.255</v>
      </c>
    </row>
    <row r="7912" spans="1:14" x14ac:dyDescent="0.15">
      <c r="A7912" s="23" t="str">
        <f>HYPERLINK("https://www.spark-marketing.ru/Card/Person/11748", "УПРАВЛЕНИЕ РОСРЕЕСТРА ПО РЕСПУБЛИКЕ КАРЕЛИЯ")</f>
        <v>УПРАВЛЕНИЕ РОСРЕЕСТРА ПО РЕСПУБЛИКЕ КАРЕЛИЯ</v>
      </c>
      <c r="B7912" s="24" t="s">
        <v>10118</v>
      </c>
      <c r="C7912" s="25">
        <v>184720.26</v>
      </c>
      <c r="D7912" s="22" t="s">
        <v>10119</v>
      </c>
      <c r="E7912" s="22" t="s">
        <v>68</v>
      </c>
      <c r="F7912" s="23" t="str">
        <f>HYPERLINK("https://www.spark-marketing.ru/Card/Lot/70626952", "Пультовая централизованная охрана объекта")</f>
        <v>Пультовая централизованная охрана объекта</v>
      </c>
      <c r="G7912" s="22" t="s">
        <v>435</v>
      </c>
      <c r="H7912" s="22" t="s">
        <v>435</v>
      </c>
      <c r="I7912" s="26">
        <v>43606.421527777798</v>
      </c>
      <c r="J7912" s="23" t="str">
        <f>HYPERLINK("https://www.spark-marketing.ru/Card/Person/183892", "ФЛ ФГУП ""ОХРАНА"" РОСГВАРДИИ ПО РЕСПУБЛИКЕ КАРЕЛИЯ")</f>
        <v>ФЛ ФГУП "ОХРАНА" РОСГВАРДИИ ПО РЕСПУБЛИКЕ КАРЕЛИЯ</v>
      </c>
      <c r="K7912" s="24" t="s">
        <v>779</v>
      </c>
      <c r="L7912" s="22" t="s">
        <v>10</v>
      </c>
      <c r="M7912" s="28" t="s">
        <v>52</v>
      </c>
      <c r="N7912" s="28" t="s">
        <v>52</v>
      </c>
    </row>
    <row r="7913" spans="1:14" x14ac:dyDescent="0.15">
      <c r="A7913" s="23" t="str">
        <f>HYPERLINK("https://www.spark-marketing.ru/Card/Person/1778529", "КГАУ ЦСПСКХК")</f>
        <v>КГАУ ЦСПСКХК</v>
      </c>
      <c r="B7913" s="24" t="s">
        <v>10120</v>
      </c>
      <c r="C7913" s="25">
        <v>298291.40000000002</v>
      </c>
      <c r="D7913" s="22" t="s">
        <v>10121</v>
      </c>
      <c r="E7913" s="22" t="s">
        <v>5531</v>
      </c>
      <c r="F7913" s="23" t="str">
        <f>HYPERLINK("https://www.spark-marketing.ru/Card/Lot/70614627", "Оказание услуг по изготовлению полиграфической продукции для подготовки и проведения первенства России по тхэквондо среди юниоров и юниорок 15 - 17 лет")</f>
        <v>Оказание услуг по изготовлению полиграфической продукции для подготовки и проведения первенства России по тхэквондо среди юниоров и юниорок 15 - 17 лет</v>
      </c>
      <c r="G7913" s="22" t="s">
        <v>138</v>
      </c>
      <c r="H7913" s="22" t="s">
        <v>138</v>
      </c>
      <c r="I7913" s="26">
        <v>43606.421388888899</v>
      </c>
      <c r="J7913" s="28" t="s">
        <v>52</v>
      </c>
      <c r="K7913" s="28" t="s">
        <v>52</v>
      </c>
      <c r="L7913" s="28" t="s">
        <v>52</v>
      </c>
      <c r="M7913" s="28" t="s">
        <v>52</v>
      </c>
      <c r="N7913" s="28" t="s">
        <v>52</v>
      </c>
    </row>
    <row r="7914" spans="1:14" x14ac:dyDescent="0.15">
      <c r="A7914" s="23" t="str">
        <f t="shared" ref="A7914:A7922" si="340">HYPERLINK("https://www.spark-marketing.ru/Card/Person/64719", "БУ ""СУРГУТСКИЙ РЕАБИЛИТАЦИОННЫЙ ЦЕНТР""")</f>
        <v>БУ "СУРГУТСКИЙ РЕАБИЛИТАЦИОННЫЙ ЦЕНТР"</v>
      </c>
      <c r="B7914" s="24" t="s">
        <v>10122</v>
      </c>
      <c r="C7914" s="25">
        <v>125746.02</v>
      </c>
      <c r="D7914" s="22" t="s">
        <v>10123</v>
      </c>
      <c r="E7914" s="22" t="s">
        <v>103</v>
      </c>
      <c r="F7914" s="23" t="str">
        <f t="shared" ref="F7914:F7922" si="341">HYPERLINK("https://www.spark-marketing.ru/Card/Lot/70622788", "Выполнение работ по техническому обслуживанию системы видеонаблюдения")</f>
        <v>Выполнение работ по техническому обслуживанию системы видеонаблюдения</v>
      </c>
      <c r="G7914" s="22" t="s">
        <v>119</v>
      </c>
      <c r="H7914" s="22" t="s">
        <v>463</v>
      </c>
      <c r="I7914" s="26">
        <v>43606.404861111099</v>
      </c>
      <c r="J7914" s="28" t="s">
        <v>52</v>
      </c>
      <c r="K7914" s="28" t="s">
        <v>52</v>
      </c>
      <c r="L7914" s="28" t="s">
        <v>52</v>
      </c>
      <c r="M7914" s="28" t="s">
        <v>52</v>
      </c>
      <c r="N7914" s="28" t="s">
        <v>52</v>
      </c>
    </row>
    <row r="7915" spans="1:14" hidden="1" outlineLevel="1" x14ac:dyDescent="0.2">
      <c r="A7915" s="23" t="str">
        <f t="shared" si="340"/>
        <v>БУ "СУРГУТСКИЙ РЕАБИЛИТАЦИОННЫЙ ЦЕНТР"</v>
      </c>
      <c r="B7915" s="24" t="s">
        <v>10122</v>
      </c>
      <c r="C7915" s="25">
        <v>125746.02</v>
      </c>
      <c r="D7915" s="22" t="s">
        <v>10123</v>
      </c>
      <c r="E7915" s="22" t="s">
        <v>103</v>
      </c>
      <c r="F7915" s="23" t="str">
        <f t="shared" si="341"/>
        <v>Выполнение работ по техническому обслуживанию системы видеонаблюдения</v>
      </c>
      <c r="G7915" s="22" t="s">
        <v>119</v>
      </c>
      <c r="H7915" s="22" t="s">
        <v>463</v>
      </c>
      <c r="I7915" s="26">
        <v>43606.404861111099</v>
      </c>
      <c r="J7915" s="23" t="str">
        <f>HYPERLINK("https://www.spark-marketing.ru/Card/Person/4863542", "ООО ""ЮЭР""")</f>
        <v>ООО "ЮЭР"</v>
      </c>
      <c r="K7915" s="24" t="s">
        <v>6088</v>
      </c>
      <c r="L7915" s="28" t="s">
        <v>52</v>
      </c>
      <c r="M7915" s="25">
        <v>30179.06</v>
      </c>
      <c r="N7915" s="27">
        <v>0.75999987912142264</v>
      </c>
    </row>
    <row r="7916" spans="1:14" hidden="1" outlineLevel="1" x14ac:dyDescent="0.2">
      <c r="A7916" s="23" t="str">
        <f t="shared" si="340"/>
        <v>БУ "СУРГУТСКИЙ РЕАБИЛИТАЦИОННЫЙ ЦЕНТР"</v>
      </c>
      <c r="B7916" s="24" t="s">
        <v>10122</v>
      </c>
      <c r="C7916" s="25">
        <v>125746.02</v>
      </c>
      <c r="D7916" s="22" t="s">
        <v>10123</v>
      </c>
      <c r="E7916" s="22" t="s">
        <v>103</v>
      </c>
      <c r="F7916" s="23" t="str">
        <f t="shared" si="341"/>
        <v>Выполнение работ по техническому обслуживанию системы видеонаблюдения</v>
      </c>
      <c r="G7916" s="22" t="s">
        <v>119</v>
      </c>
      <c r="H7916" s="22" t="s">
        <v>463</v>
      </c>
      <c r="I7916" s="26">
        <v>43606.404861111099</v>
      </c>
      <c r="J7916" s="23" t="str">
        <f>HYPERLINK("https://www.spark-marketing.ru/Card/Person/932332", "ООО ""ВСС""")</f>
        <v>ООО "ВСС"</v>
      </c>
      <c r="K7916" s="24" t="s">
        <v>1331</v>
      </c>
      <c r="L7916" s="28" t="s">
        <v>52</v>
      </c>
      <c r="M7916" s="25">
        <v>52813.34</v>
      </c>
      <c r="N7916" s="27">
        <v>0.57999990775055943</v>
      </c>
    </row>
    <row r="7917" spans="1:14" hidden="1" outlineLevel="1" x14ac:dyDescent="0.2">
      <c r="A7917" s="23" t="str">
        <f t="shared" si="340"/>
        <v>БУ "СУРГУТСКИЙ РЕАБИЛИТАЦИОННЫЙ ЦЕНТР"</v>
      </c>
      <c r="B7917" s="24" t="s">
        <v>10122</v>
      </c>
      <c r="C7917" s="25">
        <v>125746.02</v>
      </c>
      <c r="D7917" s="22" t="s">
        <v>10123</v>
      </c>
      <c r="E7917" s="22" t="s">
        <v>103</v>
      </c>
      <c r="F7917" s="23" t="str">
        <f t="shared" si="341"/>
        <v>Выполнение работ по техническому обслуживанию системы видеонаблюдения</v>
      </c>
      <c r="G7917" s="22" t="s">
        <v>119</v>
      </c>
      <c r="H7917" s="22" t="s">
        <v>463</v>
      </c>
      <c r="I7917" s="26">
        <v>43606.404861111099</v>
      </c>
      <c r="J7917" s="23" t="str">
        <f>HYPERLINK("https://www.spark-marketing.ru/Card/Person/1776184", "ООО ""ГОРОД МАСТЕРОВ""")</f>
        <v>ООО "ГОРОД МАСТЕРОВ"</v>
      </c>
      <c r="K7917" s="24" t="s">
        <v>10124</v>
      </c>
      <c r="L7917" s="28" t="s">
        <v>52</v>
      </c>
      <c r="M7917" s="25">
        <v>32065.25</v>
      </c>
      <c r="N7917" s="27">
        <v>0.7449998815071841</v>
      </c>
    </row>
    <row r="7918" spans="1:14" hidden="1" outlineLevel="1" x14ac:dyDescent="0.2">
      <c r="A7918" s="23" t="str">
        <f t="shared" si="340"/>
        <v>БУ "СУРГУТСКИЙ РЕАБИЛИТАЦИОННЫЙ ЦЕНТР"</v>
      </c>
      <c r="B7918" s="24" t="s">
        <v>10122</v>
      </c>
      <c r="C7918" s="25">
        <v>125746.02</v>
      </c>
      <c r="D7918" s="22" t="s">
        <v>10123</v>
      </c>
      <c r="E7918" s="22" t="s">
        <v>103</v>
      </c>
      <c r="F7918" s="23" t="str">
        <f t="shared" si="341"/>
        <v>Выполнение работ по техническому обслуживанию системы видеонаблюдения</v>
      </c>
      <c r="G7918" s="22" t="s">
        <v>119</v>
      </c>
      <c r="H7918" s="22" t="s">
        <v>463</v>
      </c>
      <c r="I7918" s="26">
        <v>43606.404861111099</v>
      </c>
      <c r="J7918" s="23" t="str">
        <f>HYPERLINK("https://www.spark-marketing.ru/Card/Person/5787365", "Малых Тимофей Иванович")</f>
        <v>Малых Тимофей Иванович</v>
      </c>
      <c r="K7918" s="24" t="s">
        <v>10125</v>
      </c>
      <c r="L7918" s="28" t="s">
        <v>52</v>
      </c>
      <c r="M7918" s="25">
        <v>79848.73</v>
      </c>
      <c r="N7918" s="27">
        <v>0.36499994194647273</v>
      </c>
    </row>
    <row r="7919" spans="1:14" hidden="1" outlineLevel="1" x14ac:dyDescent="0.2">
      <c r="A7919" s="23" t="str">
        <f t="shared" si="340"/>
        <v>БУ "СУРГУТСКИЙ РЕАБИЛИТАЦИОННЫЙ ЦЕНТР"</v>
      </c>
      <c r="B7919" s="24" t="s">
        <v>10122</v>
      </c>
      <c r="C7919" s="25">
        <v>125746.02</v>
      </c>
      <c r="D7919" s="22" t="s">
        <v>10123</v>
      </c>
      <c r="E7919" s="22" t="s">
        <v>103</v>
      </c>
      <c r="F7919" s="23" t="str">
        <f t="shared" si="341"/>
        <v>Выполнение работ по техническому обслуживанию системы видеонаблюдения</v>
      </c>
      <c r="G7919" s="22" t="s">
        <v>119</v>
      </c>
      <c r="H7919" s="22" t="s">
        <v>463</v>
      </c>
      <c r="I7919" s="26">
        <v>43606.404861111099</v>
      </c>
      <c r="J7919" s="23" t="str">
        <f>HYPERLINK("https://www.spark-marketing.ru/Card/Person/117624", "ООО ""ОСТМАСТЕР""")</f>
        <v>ООО "ОСТМАСТЕР"</v>
      </c>
      <c r="K7919" s="24" t="s">
        <v>10126</v>
      </c>
      <c r="L7919" s="28" t="s">
        <v>52</v>
      </c>
      <c r="M7919" s="25">
        <v>81734.92</v>
      </c>
      <c r="N7919" s="27">
        <v>0.34999994433223414</v>
      </c>
    </row>
    <row r="7920" spans="1:14" ht="12.75" hidden="1" outlineLevel="1" x14ac:dyDescent="0.2">
      <c r="A7920" s="23" t="str">
        <f t="shared" si="340"/>
        <v>БУ "СУРГУТСКИЙ РЕАБИЛИТАЦИОННЫЙ ЦЕНТР"</v>
      </c>
      <c r="B7920" s="24" t="s">
        <v>10122</v>
      </c>
      <c r="C7920" s="25">
        <v>125746.02</v>
      </c>
      <c r="D7920" s="22" t="s">
        <v>10123</v>
      </c>
      <c r="E7920" s="22" t="s">
        <v>103</v>
      </c>
      <c r="F7920" s="23" t="str">
        <f t="shared" si="341"/>
        <v>Выполнение работ по техническому обслуживанию системы видеонаблюдения</v>
      </c>
      <c r="G7920" s="22" t="s">
        <v>119</v>
      </c>
      <c r="H7920" s="22" t="s">
        <v>463</v>
      </c>
      <c r="I7920" s="26">
        <v>43606.404861111099</v>
      </c>
      <c r="J7920" s="23" t="str">
        <f>HYPERLINK("https://www.spark-marketing.ru/Card/Person/84508", "ООО ""ТЕХНОЛАЙН""")</f>
        <v>ООО "ТЕХНОЛАЙН"</v>
      </c>
      <c r="K7920" s="24" t="s">
        <v>1357</v>
      </c>
      <c r="L7920" s="22" t="s">
        <v>10</v>
      </c>
      <c r="M7920" s="25">
        <v>29550.33</v>
      </c>
      <c r="N7920" s="27">
        <v>0.76499987832616889</v>
      </c>
    </row>
    <row r="7921" spans="1:14" hidden="1" outlineLevel="1" x14ac:dyDescent="0.2">
      <c r="A7921" s="23" t="str">
        <f t="shared" si="340"/>
        <v>БУ "СУРГУТСКИЙ РЕАБИЛИТАЦИОННЫЙ ЦЕНТР"</v>
      </c>
      <c r="B7921" s="24" t="s">
        <v>10122</v>
      </c>
      <c r="C7921" s="25">
        <v>125746.02</v>
      </c>
      <c r="D7921" s="22" t="s">
        <v>10123</v>
      </c>
      <c r="E7921" s="22" t="s">
        <v>103</v>
      </c>
      <c r="F7921" s="23" t="str">
        <f t="shared" si="341"/>
        <v>Выполнение работ по техническому обслуживанию системы видеонаблюдения</v>
      </c>
      <c r="G7921" s="22" t="s">
        <v>119</v>
      </c>
      <c r="H7921" s="22" t="s">
        <v>463</v>
      </c>
      <c r="I7921" s="26">
        <v>43606.404861111099</v>
      </c>
      <c r="J7921" s="23" t="str">
        <f>HYPERLINK("https://www.spark-marketing.ru/Card/Person/6438474", "ООО ""ИНКЛИМ""")</f>
        <v>ООО "ИНКЛИМ"</v>
      </c>
      <c r="K7921" s="24" t="s">
        <v>10127</v>
      </c>
      <c r="L7921" s="28" t="s">
        <v>52</v>
      </c>
      <c r="M7921" s="25">
        <v>66645.399999999994</v>
      </c>
      <c r="N7921" s="27">
        <v>0.46999992524614298</v>
      </c>
    </row>
    <row r="7922" spans="1:14" hidden="1" outlineLevel="1" x14ac:dyDescent="0.2">
      <c r="A7922" s="23" t="str">
        <f t="shared" si="340"/>
        <v>БУ "СУРГУТСКИЙ РЕАБИЛИТАЦИОННЫЙ ЦЕНТР"</v>
      </c>
      <c r="B7922" s="24" t="s">
        <v>10122</v>
      </c>
      <c r="C7922" s="25">
        <v>125746.02</v>
      </c>
      <c r="D7922" s="22" t="s">
        <v>10123</v>
      </c>
      <c r="E7922" s="22" t="s">
        <v>103</v>
      </c>
      <c r="F7922" s="23" t="str">
        <f t="shared" si="341"/>
        <v>Выполнение работ по техническому обслуживанию системы видеонаблюдения</v>
      </c>
      <c r="G7922" s="22" t="s">
        <v>119</v>
      </c>
      <c r="H7922" s="22" t="s">
        <v>463</v>
      </c>
      <c r="I7922" s="26">
        <v>43606.404861111099</v>
      </c>
      <c r="J7922" s="23" t="str">
        <f>HYPERLINK("https://www.spark-marketing.ru/Card/Person/104500", "Остапенко Виктор Иванович")</f>
        <v>Остапенко Виктор Иванович</v>
      </c>
      <c r="K7922" s="24" t="s">
        <v>3292</v>
      </c>
      <c r="L7922" s="28" t="s">
        <v>52</v>
      </c>
      <c r="M7922" s="25">
        <v>125746.02</v>
      </c>
      <c r="N7922" s="27">
        <v>0</v>
      </c>
    </row>
    <row r="7923" spans="1:14" x14ac:dyDescent="0.15">
      <c r="A7923" s="23" t="str">
        <f>HYPERLINK("https://www.spark-marketing.ru/Card/Person/4348584", "АО ""АТОМ-ОХРАНА""")</f>
        <v>АО "АТОМ-ОХРАНА"</v>
      </c>
      <c r="B7923" s="24" t="s">
        <v>1036</v>
      </c>
      <c r="C7923" s="25">
        <v>0</v>
      </c>
      <c r="D7923" s="22" t="s">
        <v>10128</v>
      </c>
      <c r="E7923" s="22" t="s">
        <v>53</v>
      </c>
      <c r="F7923" s="23" t="str">
        <f>HYPERLINK("https://www.spark-marketing.ru/Card/Lot/70626146", "мониторинг цен в электронной форме на оказание услуг по техническому обслуживанию автомобилей УАЗ отдельного отряда №307 МУВО №3 АО ""Атом-охрана""")</f>
        <v>мониторинг цен в электронной форме на оказание услуг по техническому обслуживанию автомобилей УАЗ отдельного отряда №307 МУВО №3 АО "Атом-охрана"</v>
      </c>
      <c r="G7923" s="22" t="s">
        <v>55</v>
      </c>
      <c r="H7923" s="22" t="s">
        <v>55</v>
      </c>
      <c r="I7923" s="26">
        <v>43606.378020833297</v>
      </c>
      <c r="J7923" s="28" t="s">
        <v>52</v>
      </c>
      <c r="K7923" s="28" t="s">
        <v>52</v>
      </c>
      <c r="L7923" s="28" t="s">
        <v>52</v>
      </c>
      <c r="M7923" s="28" t="s">
        <v>52</v>
      </c>
      <c r="N7923" s="28" t="s">
        <v>52</v>
      </c>
    </row>
    <row r="7924" spans="1:14" x14ac:dyDescent="0.15">
      <c r="A7924" s="23" t="str">
        <f>HYPERLINK("https://www.spark-marketing.ru/Card/Person/1272385", "ООО ""НОВОВОРОНЕЖСКАЯ АЭС-АВТО""")</f>
        <v>ООО "НОВОВОРОНЕЖСКАЯ АЭС-АВТО"</v>
      </c>
      <c r="B7924" s="24" t="s">
        <v>10101</v>
      </c>
      <c r="C7924" s="25">
        <v>0</v>
      </c>
      <c r="D7924" s="22" t="s">
        <v>10129</v>
      </c>
      <c r="E7924" s="22" t="s">
        <v>53</v>
      </c>
      <c r="F7924" s="23" t="str">
        <f>HYPERLINK("https://www.spark-marketing.ru/Card/Lot/70626145", "мониторинг цен в электронной форме на Оказание услуг по техническому обслуживанию систем тревожной сигнализации на объектах ООО «Нововоронежская АЭС-Авто»")</f>
        <v>мониторинг цен в электронной форме на Оказание услуг по техническому обслуживанию систем тревожной сигнализации на объектах ООО «Нововоронежская АЭС-Авто»</v>
      </c>
      <c r="G7924" s="22" t="s">
        <v>552</v>
      </c>
      <c r="H7924" s="22" t="s">
        <v>10103</v>
      </c>
      <c r="I7924" s="26">
        <v>43606.377789351798</v>
      </c>
      <c r="J7924" s="28" t="s">
        <v>52</v>
      </c>
      <c r="K7924" s="28" t="s">
        <v>52</v>
      </c>
      <c r="L7924" s="28" t="s">
        <v>52</v>
      </c>
      <c r="M7924" s="28" t="s">
        <v>52</v>
      </c>
      <c r="N7924" s="28" t="s">
        <v>52</v>
      </c>
    </row>
    <row r="7925" spans="1:14" x14ac:dyDescent="0.15">
      <c r="A7925" s="23" t="str">
        <f>HYPERLINK("https://www.spark-marketing.ru/Card/Person/86156", "МЕЖРАЙОННАЯ ИФНС РОССИИ № 1 ПО САХАЛИНСКОЙ ОБЛАСТИ")</f>
        <v>МЕЖРАЙОННАЯ ИФНС РОССИИ № 1 ПО САХАЛИНСКОЙ ОБЛАСТИ</v>
      </c>
      <c r="B7925" s="24" t="s">
        <v>10130</v>
      </c>
      <c r="C7925" s="25">
        <v>6600</v>
      </c>
      <c r="D7925" s="22" t="s">
        <v>10131</v>
      </c>
      <c r="E7925" s="22" t="s">
        <v>53</v>
      </c>
      <c r="F7925" s="23" t="str">
        <f>HYPERLINK("https://www.spark-marketing.ru/Card/Lot/70752261", "Охранные, противопожарные услуги (мероприятия) по системе контроля и управления доступом (скд), 1 шт")</f>
        <v>Охранные, противопожарные услуги (мероприятия) по системе контроля и управления доступом (скд), 1 шт</v>
      </c>
      <c r="G7925" s="22" t="s">
        <v>69</v>
      </c>
      <c r="H7925" s="22" t="s">
        <v>973</v>
      </c>
      <c r="I7925" s="26">
        <v>43606.168402777803</v>
      </c>
      <c r="J7925" s="28" t="s">
        <v>52</v>
      </c>
      <c r="K7925" s="28" t="s">
        <v>52</v>
      </c>
      <c r="L7925" s="28" t="s">
        <v>52</v>
      </c>
      <c r="M7925" s="28" t="s">
        <v>52</v>
      </c>
      <c r="N7925" s="28" t="s">
        <v>52</v>
      </c>
    </row>
    <row r="7926" spans="1:14" x14ac:dyDescent="0.15">
      <c r="A7926" s="23" t="str">
        <f>HYPERLINK("https://www.spark-marketing.ru/Card/Person/6450322", "ЗАКАЗЧИК РП БЕЛАРУСЬ")</f>
        <v>ЗАКАЗЧИК РП БЕЛАРУСЬ</v>
      </c>
      <c r="B7926" s="28" t="s">
        <v>52</v>
      </c>
      <c r="C7926" s="25">
        <v>385915.61119999998</v>
      </c>
      <c r="D7926" s="22" t="s">
        <v>10132</v>
      </c>
      <c r="E7926" s="22" t="s">
        <v>53</v>
      </c>
      <c r="F7926" s="23" t="str">
        <f>HYPERLINK("https://www.spark-marketing.ru/Card/Lot/70624487", "Закупка комплекта оборудования аудио - видео конференц системы с обеспечением ее установки и настройки (для проведения открытых мероприятий, конференций, семинаров)")</f>
        <v>Закупка комплекта оборудования аудио - видео конференц системы с обеспечением ее установки и настройки (для проведения открытых мероприятий, конференций, семинаров)</v>
      </c>
      <c r="G7926" s="22" t="s">
        <v>52</v>
      </c>
      <c r="H7926" s="22" t="s">
        <v>52</v>
      </c>
      <c r="I7926" s="26">
        <v>43606</v>
      </c>
      <c r="J7926" s="28" t="s">
        <v>52</v>
      </c>
      <c r="K7926" s="28" t="s">
        <v>52</v>
      </c>
      <c r="L7926" s="28" t="s">
        <v>52</v>
      </c>
      <c r="M7926" s="28" t="s">
        <v>52</v>
      </c>
      <c r="N7926" s="28" t="s">
        <v>52</v>
      </c>
    </row>
    <row r="7927" spans="1:14" x14ac:dyDescent="0.15">
      <c r="A7927" s="23" t="str">
        <f>HYPERLINK("https://www.spark-marketing.ru/Card/Person/7871", "ГБУЗ ""ГКБ № 13 ДЗМ""")</f>
        <v>ГБУЗ "ГКБ № 13 ДЗМ"</v>
      </c>
      <c r="B7927" s="24" t="s">
        <v>10133</v>
      </c>
      <c r="C7927" s="25">
        <v>11009491.390000001</v>
      </c>
      <c r="D7927" s="22" t="s">
        <v>10134</v>
      </c>
      <c r="E7927" s="22" t="s">
        <v>3069</v>
      </c>
      <c r="F7927" s="23" t="str">
        <f>HYPERLINK("https://www.spark-marketing.ru/Card/Lot/70613054", "Аукцион в электронной форме на поставку, установку и ввод в эксплуатацию эндоскопической стойки для операций на позвоночнике в соответствии с постановлением Правительства РФ от 21.04.2016 г. № 332(СОМС2018-87)")</f>
        <v>Аукцион в электронной форме на поставку, установку и ввод в эксплуатацию эндоскопической стойки для операций на позвоночнике в соответствии с постановлением Правительства РФ от 21.04.2016 г. № 332(СОМС2018-87)</v>
      </c>
      <c r="G7927" s="22" t="s">
        <v>55</v>
      </c>
      <c r="H7927" s="22" t="s">
        <v>55</v>
      </c>
      <c r="I7927" s="26">
        <v>43605.905555555597</v>
      </c>
      <c r="J7927" s="28" t="s">
        <v>52</v>
      </c>
      <c r="K7927" s="28" t="s">
        <v>52</v>
      </c>
      <c r="L7927" s="28" t="s">
        <v>52</v>
      </c>
      <c r="M7927" s="28" t="s">
        <v>52</v>
      </c>
      <c r="N7927" s="28" t="s">
        <v>52</v>
      </c>
    </row>
    <row r="7928" spans="1:14" ht="12.75" hidden="1" outlineLevel="1" x14ac:dyDescent="0.2">
      <c r="A7928" s="23" t="str">
        <f>HYPERLINK("https://www.spark-marketing.ru/Card/Person/7871", "ГБУЗ ""ГКБ № 13 ДЗМ""")</f>
        <v>ГБУЗ "ГКБ № 13 ДЗМ"</v>
      </c>
      <c r="B7928" s="24" t="s">
        <v>10133</v>
      </c>
      <c r="C7928" s="25">
        <v>11009491.390000001</v>
      </c>
      <c r="D7928" s="22" t="s">
        <v>10134</v>
      </c>
      <c r="E7928" s="22" t="s">
        <v>3069</v>
      </c>
      <c r="F7928" s="23" t="str">
        <f>HYPERLINK("https://www.spark-marketing.ru/Card/Lot/70613054", "Аукцион в электронной форме на поставку, установку и ввод в эксплуатацию эндоскопической стойки для операций на позвоночнике в соответствии с постановлением Правительства РФ от 21.04.2016 г. № 332(СОМС2018-87)")</f>
        <v>Аукцион в электронной форме на поставку, установку и ввод в эксплуатацию эндоскопической стойки для операций на позвоночнике в соответствии с постановлением Правительства РФ от 21.04.2016 г. № 332(СОМС2018-87)</v>
      </c>
      <c r="G7928" s="22" t="s">
        <v>55</v>
      </c>
      <c r="H7928" s="22" t="s">
        <v>55</v>
      </c>
      <c r="I7928" s="26">
        <v>43605.905555555597</v>
      </c>
      <c r="J7928" s="23" t="str">
        <f>HYPERLINK("https://www.spark-marketing.ru/Card/Person/6116976", "ООО ""НЕОМЕД""")</f>
        <v>ООО "НЕОМЕД"</v>
      </c>
      <c r="K7928" s="24" t="s">
        <v>3070</v>
      </c>
      <c r="L7928" s="22" t="s">
        <v>10</v>
      </c>
      <c r="M7928" s="25">
        <v>10899396</v>
      </c>
      <c r="N7928" s="27">
        <v>1.0000043244504504E-2</v>
      </c>
    </row>
    <row r="7929" spans="1:14" hidden="1" outlineLevel="1" x14ac:dyDescent="0.2">
      <c r="A7929" s="23" t="str">
        <f>HYPERLINK("https://www.spark-marketing.ru/Card/Person/7871", "ГБУЗ ""ГКБ № 13 ДЗМ""")</f>
        <v>ГБУЗ "ГКБ № 13 ДЗМ"</v>
      </c>
      <c r="B7929" s="24" t="s">
        <v>10133</v>
      </c>
      <c r="C7929" s="25">
        <v>11009491.390000001</v>
      </c>
      <c r="D7929" s="22" t="s">
        <v>10134</v>
      </c>
      <c r="E7929" s="22" t="s">
        <v>3069</v>
      </c>
      <c r="F7929" s="23" t="str">
        <f>HYPERLINK("https://www.spark-marketing.ru/Card/Lot/70613054", "Аукцион в электронной форме на поставку, установку и ввод в эксплуатацию эндоскопической стойки для операций на позвоночнике в соответствии с постановлением Правительства РФ от 21.04.2016 г. № 332(СОМС2018-87)")</f>
        <v>Аукцион в электронной форме на поставку, установку и ввод в эксплуатацию эндоскопической стойки для операций на позвоночнике в соответствии с постановлением Правительства РФ от 21.04.2016 г. № 332(СОМС2018-87)</v>
      </c>
      <c r="G7929" s="22" t="s">
        <v>55</v>
      </c>
      <c r="H7929" s="22" t="s">
        <v>55</v>
      </c>
      <c r="I7929" s="26">
        <v>43605.905555555597</v>
      </c>
      <c r="J7929" s="23" t="str">
        <f>HYPERLINK("https://www.spark-marketing.ru/Card/Person/4884524", "ООО ""ТРАНС-М 2002""")</f>
        <v>ООО "ТРАНС-М 2002"</v>
      </c>
      <c r="K7929" s="24" t="s">
        <v>7485</v>
      </c>
      <c r="L7929" s="28" t="s">
        <v>52</v>
      </c>
      <c r="M7929" s="25">
        <v>10954443.93</v>
      </c>
      <c r="N7929" s="27">
        <v>5.0000002770336878E-3</v>
      </c>
    </row>
    <row r="7930" spans="1:14" x14ac:dyDescent="0.15">
      <c r="A7930" s="23" t="str">
        <f>HYPERLINK("https://www.spark-marketing.ru/Card/Person/14233", "АДМИНИСТРАЦИЯ МУНИЦИПАЛЬНОГО ОБРАЗОВАНИЯ ГОРОД НОВОРОССИЙСК")</f>
        <v>АДМИНИСТРАЦИЯ МУНИЦИПАЛЬНОГО ОБРАЗОВАНИЯ ГОРОД НОВОРОССИЙСК</v>
      </c>
      <c r="B7930" s="24" t="s">
        <v>8600</v>
      </c>
      <c r="C7930" s="25">
        <v>489041.28</v>
      </c>
      <c r="D7930" s="22" t="s">
        <v>10135</v>
      </c>
      <c r="E7930" s="22" t="s">
        <v>68</v>
      </c>
      <c r="F7930" s="23" t="str">
        <f>HYPERLINK("https://www.spark-marketing.ru/Card/Lot/70612019", "Оказание услуг по охране муниципального имущества в местах массового скопления граждан")</f>
        <v>Оказание услуг по охране муниципального имущества в местах массового скопления граждан</v>
      </c>
      <c r="G7930" s="22" t="s">
        <v>132</v>
      </c>
      <c r="H7930" s="22" t="s">
        <v>452</v>
      </c>
      <c r="I7930" s="26">
        <v>43605.765972222202</v>
      </c>
      <c r="J7930" s="28" t="s">
        <v>52</v>
      </c>
      <c r="K7930" s="28" t="s">
        <v>52</v>
      </c>
      <c r="L7930" s="28" t="s">
        <v>52</v>
      </c>
      <c r="M7930" s="28" t="s">
        <v>52</v>
      </c>
      <c r="N7930" s="28" t="s">
        <v>52</v>
      </c>
    </row>
    <row r="7931" spans="1:14" hidden="1" outlineLevel="1" x14ac:dyDescent="0.2">
      <c r="A7931" s="23" t="str">
        <f>HYPERLINK("https://www.spark-marketing.ru/Card/Person/14233", "АДМИНИСТРАЦИЯ МУНИЦИПАЛЬНОГО ОБРАЗОВАНИЯ ГОРОД НОВОРОССИЙСК")</f>
        <v>АДМИНИСТРАЦИЯ МУНИЦИПАЛЬНОГО ОБРАЗОВАНИЯ ГОРОД НОВОРОССИЙСК</v>
      </c>
      <c r="B7931" s="24" t="s">
        <v>8600</v>
      </c>
      <c r="C7931" s="25">
        <v>489041.28</v>
      </c>
      <c r="D7931" s="22" t="s">
        <v>10135</v>
      </c>
      <c r="E7931" s="22" t="s">
        <v>68</v>
      </c>
      <c r="F7931" s="23" t="str">
        <f>HYPERLINK("https://www.spark-marketing.ru/Card/Lot/70612019", "Оказание услуг по охране муниципального имущества в местах массового скопления граждан")</f>
        <v>Оказание услуг по охране муниципального имущества в местах массового скопления граждан</v>
      </c>
      <c r="G7931" s="22" t="s">
        <v>132</v>
      </c>
      <c r="H7931" s="22" t="s">
        <v>452</v>
      </c>
      <c r="I7931" s="26">
        <v>43605.765972222202</v>
      </c>
      <c r="J7931" s="23" t="str">
        <f>HYPERLINK("https://www.spark-marketing.ru/Card/Person/1557900", "ООО ""ОА ОХРАНА""")</f>
        <v>ООО "ОА ОХРАНА"</v>
      </c>
      <c r="K7931" s="24" t="s">
        <v>10136</v>
      </c>
      <c r="L7931" s="28" t="s">
        <v>52</v>
      </c>
      <c r="M7931" s="25">
        <v>489041.28</v>
      </c>
      <c r="N7931" s="27">
        <v>0</v>
      </c>
    </row>
    <row r="7932" spans="1:14" ht="12.75" hidden="1" outlineLevel="1" x14ac:dyDescent="0.2">
      <c r="A7932" s="23" t="str">
        <f>HYPERLINK("https://www.spark-marketing.ru/Card/Person/14233", "АДМИНИСТРАЦИЯ МУНИЦИПАЛЬНОГО ОБРАЗОВАНИЯ ГОРОД НОВОРОССИЙСК")</f>
        <v>АДМИНИСТРАЦИЯ МУНИЦИПАЛЬНОГО ОБРАЗОВАНИЯ ГОРОД НОВОРОССИЙСК</v>
      </c>
      <c r="B7932" s="24" t="s">
        <v>8600</v>
      </c>
      <c r="C7932" s="25">
        <v>489041.28</v>
      </c>
      <c r="D7932" s="22" t="s">
        <v>10135</v>
      </c>
      <c r="E7932" s="22" t="s">
        <v>68</v>
      </c>
      <c r="F7932" s="23" t="str">
        <f>HYPERLINK("https://www.spark-marketing.ru/Card/Lot/70612019", "Оказание услуг по охране муниципального имущества в местах массового скопления граждан")</f>
        <v>Оказание услуг по охране муниципального имущества в местах массового скопления граждан</v>
      </c>
      <c r="G7932" s="22" t="s">
        <v>132</v>
      </c>
      <c r="H7932" s="22" t="s">
        <v>452</v>
      </c>
      <c r="I7932" s="26">
        <v>43605.765972222202</v>
      </c>
      <c r="J7932" s="23" t="str">
        <f>HYPERLINK("https://www.spark-marketing.ru/Card/Person/2590460", "ООО ЧОП ""СКОРПИОН""")</f>
        <v>ООО ЧОП "СКОРПИОН"</v>
      </c>
      <c r="K7932" s="24" t="s">
        <v>10137</v>
      </c>
      <c r="L7932" s="22" t="s">
        <v>10</v>
      </c>
      <c r="M7932" s="25">
        <v>489041.28</v>
      </c>
      <c r="N7932" s="27">
        <v>0</v>
      </c>
    </row>
    <row r="7933" spans="1:14" x14ac:dyDescent="0.15">
      <c r="A7933" s="23" t="str">
        <f>HYPERLINK("https://www.spark-marketing.ru/Card/Person/139093", "ГКУ СО КК ""КРАСНОДАРСКИЙ РЕАБИЛИТАЦИОННЫЙ ЦЕНТР """)</f>
        <v>ГКУ СО КК "КРАСНОДАРСКИЙ РЕАБИЛИТАЦИОННЫЙ ЦЕНТР "</v>
      </c>
      <c r="B7933" s="24" t="s">
        <v>10138</v>
      </c>
      <c r="C7933" s="25">
        <v>476928</v>
      </c>
      <c r="D7933" s="22" t="s">
        <v>10139</v>
      </c>
      <c r="E7933" s="22" t="s">
        <v>52</v>
      </c>
      <c r="F7933" s="23" t="str">
        <f>HYPERLINK("https://www.spark-marketing.ru/Card/Lot/70611138", "Оказание охранных  услуг")</f>
        <v>Оказание охранных  услуг</v>
      </c>
      <c r="G7933" s="22" t="s">
        <v>132</v>
      </c>
      <c r="H7933" s="22" t="s">
        <v>132</v>
      </c>
      <c r="I7933" s="26">
        <v>43605.752777777801</v>
      </c>
      <c r="J7933" s="28" t="s">
        <v>52</v>
      </c>
      <c r="K7933" s="28" t="s">
        <v>52</v>
      </c>
      <c r="L7933" s="28" t="s">
        <v>52</v>
      </c>
      <c r="M7933" s="28" t="s">
        <v>52</v>
      </c>
      <c r="N7933" s="28" t="s">
        <v>52</v>
      </c>
    </row>
    <row r="7934" spans="1:14" ht="12.75" hidden="1" outlineLevel="1" x14ac:dyDescent="0.2">
      <c r="A7934" s="23" t="str">
        <f>HYPERLINK("https://www.spark-marketing.ru/Card/Person/139093", "ГКУ СО КК ""КРАСНОДАРСКИЙ РЕАБИЛИТАЦИОННЫЙ ЦЕНТР """)</f>
        <v>ГКУ СО КК "КРАСНОДАРСКИЙ РЕАБИЛИТАЦИОННЫЙ ЦЕНТР "</v>
      </c>
      <c r="B7934" s="24" t="s">
        <v>10138</v>
      </c>
      <c r="C7934" s="25">
        <v>476928</v>
      </c>
      <c r="D7934" s="22" t="s">
        <v>10139</v>
      </c>
      <c r="E7934" s="22" t="s">
        <v>52</v>
      </c>
      <c r="F7934" s="23" t="str">
        <f>HYPERLINK("https://www.spark-marketing.ru/Card/Lot/70611138", "Оказание охранных  услуг")</f>
        <v>Оказание охранных  услуг</v>
      </c>
      <c r="G7934" s="22" t="s">
        <v>132</v>
      </c>
      <c r="H7934" s="22" t="s">
        <v>132</v>
      </c>
      <c r="I7934" s="26">
        <v>43605.752777777801</v>
      </c>
      <c r="J7934" s="23" t="str">
        <f>HYPERLINK("https://www.spark-marketing.ru/Card/Person/89226", "ООО ЧОО ""МП-ОХРАНА""")</f>
        <v>ООО ЧОО "МП-ОХРАНА"</v>
      </c>
      <c r="K7934" s="24" t="s">
        <v>10140</v>
      </c>
      <c r="L7934" s="22" t="s">
        <v>10</v>
      </c>
      <c r="M7934" s="25">
        <v>474543.35999999999</v>
      </c>
      <c r="N7934" s="27">
        <v>5.0000000000000001E-3</v>
      </c>
    </row>
    <row r="7935" spans="1:14" hidden="1" outlineLevel="1" x14ac:dyDescent="0.2">
      <c r="A7935" s="23" t="str">
        <f>HYPERLINK("https://www.spark-marketing.ru/Card/Person/139093", "ГКУ СО КК ""КРАСНОДАРСКИЙ РЕАБИЛИТАЦИОННЫЙ ЦЕНТР """)</f>
        <v>ГКУ СО КК "КРАСНОДАРСКИЙ РЕАБИЛИТАЦИОННЫЙ ЦЕНТР "</v>
      </c>
      <c r="B7935" s="24" t="s">
        <v>10138</v>
      </c>
      <c r="C7935" s="25">
        <v>476928</v>
      </c>
      <c r="D7935" s="22" t="s">
        <v>10139</v>
      </c>
      <c r="E7935" s="22" t="s">
        <v>52</v>
      </c>
      <c r="F7935" s="23" t="str">
        <f>HYPERLINK("https://www.spark-marketing.ru/Card/Lot/70611138", "Оказание охранных  услуг")</f>
        <v>Оказание охранных  услуг</v>
      </c>
      <c r="G7935" s="22" t="s">
        <v>132</v>
      </c>
      <c r="H7935" s="22" t="s">
        <v>132</v>
      </c>
      <c r="I7935" s="26">
        <v>43605.752777777801</v>
      </c>
      <c r="J7935" s="23" t="str">
        <f>HYPERLINK("https://www.spark-marketing.ru/Card/Person/108217", "ООО ЧОП ""ОХРАННЫЙ АЛЬЯНС""")</f>
        <v>ООО ЧОП "ОХРАННЫЙ АЛЬЯНС"</v>
      </c>
      <c r="K7935" s="24" t="s">
        <v>10141</v>
      </c>
      <c r="L7935" s="28" t="s">
        <v>52</v>
      </c>
      <c r="M7935" s="25">
        <v>476000</v>
      </c>
      <c r="N7935" s="27">
        <v>1.9457863660762211E-3</v>
      </c>
    </row>
    <row r="7936" spans="1:14" x14ac:dyDescent="0.15">
      <c r="A7936" s="23" t="str">
        <f>HYPERLINK("https://www.spark-marketing.ru/Card/Person/89360", "ФКУ ""ГБ МСЭ ПО ХАБАРОВСКОМУ КРАЮ"" МИНТРУДА РОССИИ")</f>
        <v>ФКУ "ГБ МСЭ ПО ХАБАРОВСКОМУ КРАЮ" МИНТРУДА РОССИИ</v>
      </c>
      <c r="B7936" s="24" t="s">
        <v>10142</v>
      </c>
      <c r="C7936" s="25">
        <v>100667</v>
      </c>
      <c r="D7936" s="22" t="s">
        <v>10143</v>
      </c>
      <c r="E7936" s="22" t="s">
        <v>59</v>
      </c>
      <c r="F7936" s="23" t="str">
        <f>HYPERLINK("https://www.spark-marketing.ru/Card/Lot/70584607", "Оказание услуг по монтажу кнопок тревожной сигнализации")</f>
        <v>Оказание услуг по монтажу кнопок тревожной сигнализации</v>
      </c>
      <c r="G7936" s="22" t="s">
        <v>138</v>
      </c>
      <c r="H7936" s="22" t="s">
        <v>255</v>
      </c>
      <c r="I7936" s="26">
        <v>43605.666666666701</v>
      </c>
      <c r="J7936" s="23" t="str">
        <f>HYPERLINK("https://www.spark-marketing.ru/Card/Person/13168", "ООО ""ЧОО ""БИЗОН - БЕЗОПАСНОСТЬ""")</f>
        <v>ООО "ЧОО "БИЗОН - БЕЗОПАСНОСТЬ"</v>
      </c>
      <c r="K7936" s="24" t="s">
        <v>10144</v>
      </c>
      <c r="L7936" s="22" t="s">
        <v>10</v>
      </c>
      <c r="M7936" s="28" t="s">
        <v>52</v>
      </c>
      <c r="N7936" s="28" t="s">
        <v>52</v>
      </c>
    </row>
    <row r="7937" spans="1:14" x14ac:dyDescent="0.15">
      <c r="A7937" s="23" t="str">
        <f>HYPERLINK("https://www.spark-marketing.ru/Card/Person/1068204", "МБОУ КУБИНСКАЯ СОШ № 1 ИМЕНИ ГЕРОЯ РФ И.В. ТКАЧЕНКО")</f>
        <v>МБОУ КУБИНСКАЯ СОШ № 1 ИМЕНИ ГЕРОЯ РФ И.В. ТКАЧЕНКО</v>
      </c>
      <c r="B7937" s="24" t="s">
        <v>10145</v>
      </c>
      <c r="C7937" s="25">
        <v>301000</v>
      </c>
      <c r="D7937" s="22" t="s">
        <v>10146</v>
      </c>
      <c r="E7937" s="22" t="s">
        <v>10147</v>
      </c>
      <c r="F7937" s="23" t="str">
        <f>HYPERLINK("https://www.spark-marketing.ru/Card/Lot/70600314", "Закупка в 2019 году по приобретению и установке оборудования для обеспечения работы пунктов проведения экзаменов для нужд МБОУ Кубинской СОШ № 1 имени Героя РФ И.В.Ткаченко.")</f>
        <v>Закупка в 2019 году по приобретению и установке оборудования для обеспечения работы пунктов проведения экзаменов для нужд МБОУ Кубинской СОШ № 1 имени Героя РФ И.В.Ткаченко.</v>
      </c>
      <c r="G7937" s="22" t="s">
        <v>50</v>
      </c>
      <c r="H7937" s="22" t="s">
        <v>1045</v>
      </c>
      <c r="I7937" s="26">
        <v>43605.681030092601</v>
      </c>
      <c r="J7937" s="28" t="s">
        <v>52</v>
      </c>
      <c r="K7937" s="28" t="s">
        <v>52</v>
      </c>
      <c r="L7937" s="28" t="s">
        <v>52</v>
      </c>
      <c r="M7937" s="28" t="s">
        <v>52</v>
      </c>
      <c r="N7937" s="28" t="s">
        <v>52</v>
      </c>
    </row>
    <row r="7938" spans="1:14" x14ac:dyDescent="0.15">
      <c r="A7938" s="23" t="str">
        <f>HYPERLINK("https://www.spark-marketing.ru/Card/Person/56223", "АЛТАЙСКАЯ ТАМОЖНЯ")</f>
        <v>АЛТАЙСКАЯ ТАМОЖНЯ</v>
      </c>
      <c r="B7938" s="24" t="s">
        <v>10148</v>
      </c>
      <c r="C7938" s="25">
        <v>860626.2</v>
      </c>
      <c r="D7938" s="22" t="s">
        <v>10149</v>
      </c>
      <c r="E7938" s="22" t="s">
        <v>68</v>
      </c>
      <c r="F7938" s="23" t="str">
        <f>HYPERLINK("https://www.spark-marketing.ru/Card/Lot/70595841", "Оказание услуг по охране и обеспечению пропускного и внутриобъектового режимов на объекте Горнякского таможенного поста Алтайской таможни.")</f>
        <v>Оказание услуг по охране и обеспечению пропускного и внутриобъектового режимов на объекте Горнякского таможенного поста Алтайской таможни.</v>
      </c>
      <c r="G7938" s="22" t="s">
        <v>428</v>
      </c>
      <c r="H7938" s="22" t="s">
        <v>428</v>
      </c>
      <c r="I7938" s="26">
        <v>43605.692361111098</v>
      </c>
      <c r="J7938" s="23" t="str">
        <f>HYPERLINK("https://www.spark-marketing.ru/Card/Person/10487", "ФГУП ""ОХРАНА"" РОСГВАРДИИ")</f>
        <v>ФГУП "ОХРАНА" РОСГВАРДИИ</v>
      </c>
      <c r="K7938" s="24" t="s">
        <v>779</v>
      </c>
      <c r="L7938" s="28" t="s">
        <v>52</v>
      </c>
      <c r="M7938" s="28" t="s">
        <v>52</v>
      </c>
      <c r="N7938" s="28" t="s">
        <v>52</v>
      </c>
    </row>
    <row r="7939" spans="1:14" ht="12.75" hidden="1" outlineLevel="1" x14ac:dyDescent="0.2">
      <c r="A7939" s="23" t="str">
        <f>HYPERLINK("https://www.spark-marketing.ru/Card/Person/56223", "АЛТАЙСКАЯ ТАМОЖНЯ")</f>
        <v>АЛТАЙСКАЯ ТАМОЖНЯ</v>
      </c>
      <c r="B7939" s="24" t="s">
        <v>10148</v>
      </c>
      <c r="C7939" s="25">
        <v>860626.2</v>
      </c>
      <c r="D7939" s="22" t="s">
        <v>10149</v>
      </c>
      <c r="E7939" s="22" t="s">
        <v>68</v>
      </c>
      <c r="F7939" s="23" t="str">
        <f>HYPERLINK("https://www.spark-marketing.ru/Card/Lot/70595841", "Оказание услуг по охране и обеспечению пропускного и внутриобъектового режимов на объекте Горнякского таможенного поста Алтайской таможни.")</f>
        <v>Оказание услуг по охране и обеспечению пропускного и внутриобъектового режимов на объекте Горнякского таможенного поста Алтайской таможни.</v>
      </c>
      <c r="G7939" s="22" t="s">
        <v>428</v>
      </c>
      <c r="H7939" s="22" t="s">
        <v>428</v>
      </c>
      <c r="I7939" s="26">
        <v>43605.692361111098</v>
      </c>
      <c r="J7939" s="23" t="str">
        <f>HYPERLINK("https://www.spark-marketing.ru/Card/Person/10487", "ФГУП ""ОХРАНА"" РОСГВАРДИИ")</f>
        <v>ФГУП "ОХРАНА" РОСГВАРДИИ</v>
      </c>
      <c r="K7939" s="24" t="s">
        <v>779</v>
      </c>
      <c r="L7939" s="22" t="s">
        <v>10</v>
      </c>
      <c r="M7939" s="25">
        <v>856323.07</v>
      </c>
      <c r="N7939" s="27">
        <v>4.9999988380553598E-3</v>
      </c>
    </row>
    <row r="7940" spans="1:14" x14ac:dyDescent="0.15">
      <c r="A7940" s="23" t="str">
        <f>HYPERLINK("https://www.spark-marketing.ru/Card/Person/89856", "АО ""СОЧИНСКИЙ ХЛЕБОКОМБИНАТ""")</f>
        <v>АО "СОЧИНСКИЙ ХЛЕБОКОМБИНАТ"</v>
      </c>
      <c r="B7940" s="24" t="s">
        <v>10150</v>
      </c>
      <c r="C7940" s="25">
        <v>206747</v>
      </c>
      <c r="D7940" s="22" t="s">
        <v>10151</v>
      </c>
      <c r="E7940" s="22" t="s">
        <v>144</v>
      </c>
      <c r="F7940" s="23" t="str">
        <f>HYPERLINK("https://www.spark-marketing.ru/Card/Lot/70603715", "оказание охранных услуг")</f>
        <v>оказание охранных услуг</v>
      </c>
      <c r="G7940" s="22" t="s">
        <v>132</v>
      </c>
      <c r="H7940" s="22" t="s">
        <v>132</v>
      </c>
      <c r="I7940" s="26">
        <v>43605.6808564815</v>
      </c>
      <c r="J7940" s="28" t="s">
        <v>52</v>
      </c>
      <c r="K7940" s="28" t="s">
        <v>52</v>
      </c>
      <c r="L7940" s="28" t="s">
        <v>52</v>
      </c>
      <c r="M7940" s="28" t="s">
        <v>52</v>
      </c>
      <c r="N7940" s="28" t="s">
        <v>52</v>
      </c>
    </row>
    <row r="7941" spans="1:14" x14ac:dyDescent="0.15">
      <c r="A7941" s="23" t="str">
        <f>HYPERLINK("https://www.spark-marketing.ru/Card/Person/139853", "ГОСТРУДИНСПЕКЦИЯ В АМУРСКОЙ ОБЛАСТИ")</f>
        <v>ГОСТРУДИНСПЕКЦИЯ В АМУРСКОЙ ОБЛАСТИ</v>
      </c>
      <c r="B7941" s="24" t="s">
        <v>10152</v>
      </c>
      <c r="C7941" s="25">
        <v>57954.67</v>
      </c>
      <c r="D7941" s="22" t="s">
        <v>10153</v>
      </c>
      <c r="E7941" s="22" t="s">
        <v>68</v>
      </c>
      <c r="F7941" s="23" t="str">
        <f>HYPERLINK("https://www.spark-marketing.ru/Card/Lot/70586886", "Оказание услуг государственной пультовой централизованной охраны с использованием групп быстрого реагирования для охраны объектов административного помещения, прилегающей территории и имущества при помощи средств сигнализации")</f>
        <v>Оказание услуг государственной пультовой централизованной охраны с использованием групп быстрого реагирования для охраны объектов административного помещения, прилегающей территории и имущества при помощи средств сигнализации</v>
      </c>
      <c r="G7941" s="22" t="s">
        <v>230</v>
      </c>
      <c r="H7941" s="22" t="s">
        <v>231</v>
      </c>
      <c r="I7941" s="26">
        <v>43605.670138888898</v>
      </c>
      <c r="J7941" s="23" t="str">
        <f>HYPERLINK("https://www.spark-marketing.ru/Card/Person/1113099", "ФГКУ ""ОВО ВНГ РОССИИ ПО АМУРСКОЙ ОБЛАСТИ""")</f>
        <v>ФГКУ "ОВО ВНГ РОССИИ ПО АМУРСКОЙ ОБЛАСТИ"</v>
      </c>
      <c r="K7941" s="24" t="s">
        <v>10154</v>
      </c>
      <c r="L7941" s="22" t="s">
        <v>10</v>
      </c>
      <c r="M7941" s="28" t="s">
        <v>52</v>
      </c>
      <c r="N7941" s="28" t="s">
        <v>52</v>
      </c>
    </row>
    <row r="7942" spans="1:14" x14ac:dyDescent="0.15">
      <c r="A7942" s="23" t="str">
        <f>HYPERLINK("https://www.spark-marketing.ru/Card/Person/56223", "АЛТАЙСКАЯ ТАМОЖНЯ")</f>
        <v>АЛТАЙСКАЯ ТАМОЖНЯ</v>
      </c>
      <c r="B7942" s="24" t="s">
        <v>10148</v>
      </c>
      <c r="C7942" s="25">
        <v>860626.2</v>
      </c>
      <c r="D7942" s="22" t="s">
        <v>10155</v>
      </c>
      <c r="E7942" s="22" t="s">
        <v>68</v>
      </c>
      <c r="F7942" s="23" t="str">
        <f>HYPERLINK("https://www.spark-marketing.ru/Card/Lot/70595672", "Оказание услуг по охране и обеспечению пропускного и внутриобъектового режимов на объекте Кулундинского таможенного поста Алтайской таможни")</f>
        <v>Оказание услуг по охране и обеспечению пропускного и внутриобъектового режимов на объекте Кулундинского таможенного поста Алтайской таможни</v>
      </c>
      <c r="G7942" s="22" t="s">
        <v>428</v>
      </c>
      <c r="H7942" s="22" t="s">
        <v>428</v>
      </c>
      <c r="I7942" s="26">
        <v>43605.692361111098</v>
      </c>
      <c r="J7942" s="28" t="s">
        <v>52</v>
      </c>
      <c r="K7942" s="28" t="s">
        <v>52</v>
      </c>
      <c r="L7942" s="28" t="s">
        <v>52</v>
      </c>
      <c r="M7942" s="28" t="s">
        <v>52</v>
      </c>
      <c r="N7942" s="28" t="s">
        <v>52</v>
      </c>
    </row>
    <row r="7943" spans="1:14" hidden="1" outlineLevel="1" x14ac:dyDescent="0.2">
      <c r="A7943" s="23" t="str">
        <f>HYPERLINK("https://www.spark-marketing.ru/Card/Person/56223", "АЛТАЙСКАЯ ТАМОЖНЯ")</f>
        <v>АЛТАЙСКАЯ ТАМОЖНЯ</v>
      </c>
      <c r="B7943" s="24" t="s">
        <v>10148</v>
      </c>
      <c r="C7943" s="25">
        <v>860626.2</v>
      </c>
      <c r="D7943" s="22" t="s">
        <v>10155</v>
      </c>
      <c r="E7943" s="22" t="s">
        <v>68</v>
      </c>
      <c r="F7943" s="23" t="str">
        <f>HYPERLINK("https://www.spark-marketing.ru/Card/Lot/70595672", "Оказание услуг по охране и обеспечению пропускного и внутриобъектового режимов на объекте Кулундинского таможенного поста Алтайской таможни")</f>
        <v>Оказание услуг по охране и обеспечению пропускного и внутриобъектового режимов на объекте Кулундинского таможенного поста Алтайской таможни</v>
      </c>
      <c r="G7943" s="22" t="s">
        <v>428</v>
      </c>
      <c r="H7943" s="22" t="s">
        <v>428</v>
      </c>
      <c r="I7943" s="26">
        <v>43605.692361111098</v>
      </c>
      <c r="J7943" s="23" t="str">
        <f>HYPERLINK("https://www.spark-marketing.ru/Card/Person/10487", "ФГУП ""ОХРАНА"" РОСГВАРДИИ")</f>
        <v>ФГУП "ОХРАНА" РОСГВАРДИИ</v>
      </c>
      <c r="K7943" s="24" t="s">
        <v>779</v>
      </c>
      <c r="L7943" s="28" t="s">
        <v>52</v>
      </c>
      <c r="M7943" s="25">
        <v>821898.03</v>
      </c>
      <c r="N7943" s="27">
        <v>4.4999989542498238E-2</v>
      </c>
    </row>
    <row r="7944" spans="1:14" ht="12.75" hidden="1" outlineLevel="1" x14ac:dyDescent="0.2">
      <c r="A7944" s="23" t="str">
        <f>HYPERLINK("https://www.spark-marketing.ru/Card/Person/56223", "АЛТАЙСКАЯ ТАМОЖНЯ")</f>
        <v>АЛТАЙСКАЯ ТАМОЖНЯ</v>
      </c>
      <c r="B7944" s="24" t="s">
        <v>10148</v>
      </c>
      <c r="C7944" s="25">
        <v>860626.2</v>
      </c>
      <c r="D7944" s="22" t="s">
        <v>10155</v>
      </c>
      <c r="E7944" s="22" t="s">
        <v>68</v>
      </c>
      <c r="F7944" s="23" t="str">
        <f>HYPERLINK("https://www.spark-marketing.ru/Card/Lot/70595672", "Оказание услуг по охране и обеспечению пропускного и внутриобъектового режимов на объекте Кулундинского таможенного поста Алтайской таможни")</f>
        <v>Оказание услуг по охране и обеспечению пропускного и внутриобъектового режимов на объекте Кулундинского таможенного поста Алтайской таможни</v>
      </c>
      <c r="G7944" s="22" t="s">
        <v>428</v>
      </c>
      <c r="H7944" s="22" t="s">
        <v>428</v>
      </c>
      <c r="I7944" s="26">
        <v>43605.692361111098</v>
      </c>
      <c r="J7944" s="23" t="str">
        <f>HYPERLINK("https://www.spark-marketing.ru/Card/Person/666553", "ФГП ВО ЖДТ РОССИИ")</f>
        <v>ФГП ВО ЖДТ РОССИИ</v>
      </c>
      <c r="K7944" s="24" t="s">
        <v>1269</v>
      </c>
      <c r="L7944" s="22" t="s">
        <v>10</v>
      </c>
      <c r="M7944" s="25">
        <v>817594.9</v>
      </c>
      <c r="N7944" s="27">
        <v>4.9999988380553605E-2</v>
      </c>
    </row>
    <row r="7945" spans="1:14" x14ac:dyDescent="0.15">
      <c r="A7945" s="23" t="str">
        <f>HYPERLINK("https://www.spark-marketing.ru/Card/Person/70448", "АДМИНИСТРАЦИЯ РЫБНОВСКОГО ГОРОДСКОГО ПОСЕЛЕНИЯ")</f>
        <v>АДМИНИСТРАЦИЯ РЫБНОВСКОГО ГОРОДСКОГО ПОСЕЛЕНИЯ</v>
      </c>
      <c r="B7945" s="24" t="s">
        <v>10156</v>
      </c>
      <c r="C7945" s="25">
        <v>548608.80000000005</v>
      </c>
      <c r="D7945" s="22" t="s">
        <v>10157</v>
      </c>
      <c r="E7945" s="22" t="s">
        <v>194</v>
      </c>
      <c r="F7945" s="23" t="str">
        <f>HYPERLINK("https://www.spark-marketing.ru/Card/Lot/70607371", "Приобретение и установка видеокамер в г. Рыбное Рязанской области")</f>
        <v>Приобретение и установка видеокамер в г. Рыбное Рязанской области</v>
      </c>
      <c r="G7945" s="22" t="s">
        <v>186</v>
      </c>
      <c r="H7945" s="22" t="s">
        <v>186</v>
      </c>
      <c r="I7945" s="26">
        <v>43605.668749999997</v>
      </c>
      <c r="J7945" s="23" t="str">
        <f>HYPERLINK("https://www.spark-marketing.ru/Card/Person/128500", "ООО ""ОНТЕЛЕКОМ""")</f>
        <v>ООО "ОНТЕЛЕКОМ"</v>
      </c>
      <c r="K7945" s="24" t="s">
        <v>10158</v>
      </c>
      <c r="L7945" s="22" t="s">
        <v>10</v>
      </c>
      <c r="M7945" s="28" t="s">
        <v>52</v>
      </c>
      <c r="N7945" s="28" t="s">
        <v>52</v>
      </c>
    </row>
    <row r="7946" spans="1:14" x14ac:dyDescent="0.15">
      <c r="A7946" s="23" t="str">
        <f>HYPERLINK("https://www.spark-marketing.ru/Card/Person/4167", "ФКУ УПРДОР ""ЧЕРНОМОРЬЕ""")</f>
        <v>ФКУ УПРДОР "ЧЕРНОМОРЬЕ"</v>
      </c>
      <c r="B7946" s="24" t="s">
        <v>2875</v>
      </c>
      <c r="C7946" s="25">
        <v>16010687</v>
      </c>
      <c r="D7946" s="22" t="s">
        <v>10159</v>
      </c>
      <c r="E7946" s="22" t="s">
        <v>59</v>
      </c>
      <c r="F7946" s="23" t="str">
        <f>HYPERLINK("https://www.spark-marketing.ru/Card/Lot/70604990", "Выполнение работ по установке автоматических дорожных метеорологических станций, постов видеоконтроля, пунктов учета интенсивности движения на участках автомобильных дорог общего пользования федерального значения Р-217 «Кавказ» автомобильная дорога М...")</f>
        <v>Выполнение работ по установке автоматических дорожных метеорологических станций, постов видеоконтроля, пунктов учета интенсивности движения на участках автомобильных дорог общего пользования федерального значения Р-217 «Кавказ» автомобильная дорога М...</v>
      </c>
      <c r="G7946" s="22" t="s">
        <v>132</v>
      </c>
      <c r="H7946" s="22" t="s">
        <v>132</v>
      </c>
      <c r="I7946" s="26">
        <v>43605.630555555603</v>
      </c>
      <c r="J7946" s="28" t="s">
        <v>52</v>
      </c>
      <c r="K7946" s="28" t="s">
        <v>52</v>
      </c>
      <c r="L7946" s="28" t="s">
        <v>52</v>
      </c>
      <c r="M7946" s="28" t="s">
        <v>52</v>
      </c>
      <c r="N7946" s="28" t="s">
        <v>52</v>
      </c>
    </row>
    <row r="7947" spans="1:14" hidden="1" outlineLevel="1" x14ac:dyDescent="0.2">
      <c r="A7947" s="23" t="str">
        <f>HYPERLINK("https://www.spark-marketing.ru/Card/Person/4167", "ФКУ УПРДОР ""ЧЕРНОМОРЬЕ""")</f>
        <v>ФКУ УПРДОР "ЧЕРНОМОРЬЕ"</v>
      </c>
      <c r="B7947" s="24" t="s">
        <v>2875</v>
      </c>
      <c r="C7947" s="25">
        <v>16010687</v>
      </c>
      <c r="D7947" s="22" t="s">
        <v>10159</v>
      </c>
      <c r="E7947" s="22" t="s">
        <v>59</v>
      </c>
      <c r="F7947" s="23" t="str">
        <f>HYPERLINK("https://www.spark-marketing.ru/Card/Lot/70604990", "Выполнение работ по установке автоматических дорожных метеорологических станций, постов видеоконтроля, пунктов учета интенсивности движения на участках автомобильных дорог общего пользования федерального значения Р-217 «Кавказ» автомобильная дорога М...")</f>
        <v>Выполнение работ по установке автоматических дорожных метеорологических станций, постов видеоконтроля, пунктов учета интенсивности движения на участках автомобильных дорог общего пользования федерального значения Р-217 «Кавказ» автомобильная дорога М...</v>
      </c>
      <c r="G7947" s="22" t="s">
        <v>132</v>
      </c>
      <c r="H7947" s="22" t="s">
        <v>132</v>
      </c>
      <c r="I7947" s="26">
        <v>43605.630555555603</v>
      </c>
      <c r="J7947" s="23" t="str">
        <f>HYPERLINK("https://www.spark-marketing.ru/Card/Person/52159", "ООО ""ВОСТОК-М""")</f>
        <v>ООО "ВОСТОК-М"</v>
      </c>
      <c r="K7947" s="24" t="s">
        <v>10160</v>
      </c>
      <c r="L7947" s="28" t="s">
        <v>52</v>
      </c>
      <c r="M7947" s="25">
        <v>15930633.560000001</v>
      </c>
      <c r="N7947" s="27">
        <v>5.000000312291409E-3</v>
      </c>
    </row>
    <row r="7948" spans="1:14" hidden="1" outlineLevel="1" x14ac:dyDescent="0.2">
      <c r="A7948" s="23" t="str">
        <f>HYPERLINK("https://www.spark-marketing.ru/Card/Person/4167", "ФКУ УПРДОР ""ЧЕРНОМОРЬЕ""")</f>
        <v>ФКУ УПРДОР "ЧЕРНОМОРЬЕ"</v>
      </c>
      <c r="B7948" s="24" t="s">
        <v>2875</v>
      </c>
      <c r="C7948" s="25">
        <v>16010687</v>
      </c>
      <c r="D7948" s="22" t="s">
        <v>10159</v>
      </c>
      <c r="E7948" s="22" t="s">
        <v>59</v>
      </c>
      <c r="F7948" s="23" t="str">
        <f>HYPERLINK("https://www.spark-marketing.ru/Card/Lot/70604990", "Выполнение работ по установке автоматических дорожных метеорологических станций, постов видеоконтроля, пунктов учета интенсивности движения на участках автомобильных дорог общего пользования федерального значения Р-217 «Кавказ» автомобильная дорога М...")</f>
        <v>Выполнение работ по установке автоматических дорожных метеорологических станций, постов видеоконтроля, пунктов учета интенсивности движения на участках автомобильных дорог общего пользования федерального значения Р-217 «Кавказ» автомобильная дорога М...</v>
      </c>
      <c r="G7948" s="22" t="s">
        <v>132</v>
      </c>
      <c r="H7948" s="22" t="s">
        <v>132</v>
      </c>
      <c r="I7948" s="26">
        <v>43605.630555555603</v>
      </c>
      <c r="J7948" s="23" t="str">
        <f>HYPERLINK("https://www.spark-marketing.ru/Card/Person/6345342", "Парфенов Андрей Васильевич")</f>
        <v>Парфенов Андрей Васильевич</v>
      </c>
      <c r="K7948" s="24" t="s">
        <v>10161</v>
      </c>
      <c r="L7948" s="28" t="s">
        <v>52</v>
      </c>
      <c r="M7948" s="25">
        <v>15850580.119999999</v>
      </c>
      <c r="N7948" s="27">
        <v>1.0000000624582818E-2</v>
      </c>
    </row>
    <row r="7949" spans="1:14" ht="12.75" hidden="1" outlineLevel="1" x14ac:dyDescent="0.2">
      <c r="A7949" s="23" t="str">
        <f>HYPERLINK("https://www.spark-marketing.ru/Card/Person/4167", "ФКУ УПРДОР ""ЧЕРНОМОРЬЕ""")</f>
        <v>ФКУ УПРДОР "ЧЕРНОМОРЬЕ"</v>
      </c>
      <c r="B7949" s="24" t="s">
        <v>2875</v>
      </c>
      <c r="C7949" s="25">
        <v>16010687</v>
      </c>
      <c r="D7949" s="22" t="s">
        <v>10159</v>
      </c>
      <c r="E7949" s="22" t="s">
        <v>59</v>
      </c>
      <c r="F7949" s="23" t="str">
        <f>HYPERLINK("https://www.spark-marketing.ru/Card/Lot/70604990", "Выполнение работ по установке автоматических дорожных метеорологических станций, постов видеоконтроля, пунктов учета интенсивности движения на участках автомобильных дорог общего пользования федерального значения Р-217 «Кавказ» автомобильная дорога М...")</f>
        <v>Выполнение работ по установке автоматических дорожных метеорологических станций, постов видеоконтроля, пунктов учета интенсивности движения на участках автомобильных дорог общего пользования федерального значения Р-217 «Кавказ» автомобильная дорога М...</v>
      </c>
      <c r="G7949" s="22" t="s">
        <v>132</v>
      </c>
      <c r="H7949" s="22" t="s">
        <v>132</v>
      </c>
      <c r="I7949" s="26">
        <v>43605.630555555603</v>
      </c>
      <c r="J7949" s="23" t="str">
        <f>HYPERLINK("https://www.spark-marketing.ru/Card/Person/85032", "ООО ""ЦЕНТР ДОРОЖНЫХ ИННОВАЦИЙ""")</f>
        <v>ООО "ЦЕНТР ДОРОЖНЫХ ИННОВАЦИЙ"</v>
      </c>
      <c r="K7949" s="24" t="s">
        <v>10162</v>
      </c>
      <c r="L7949" s="22" t="s">
        <v>10</v>
      </c>
      <c r="M7949" s="25">
        <v>15850580.119999999</v>
      </c>
      <c r="N7949" s="27">
        <v>1.0000000624582818E-2</v>
      </c>
    </row>
    <row r="7950" spans="1:14" x14ac:dyDescent="0.15">
      <c r="A7950" s="23" t="str">
        <f>HYPERLINK("https://www.spark-marketing.ru/Card/Person/107577", "МКУ ""ЕДДС-112""")</f>
        <v>МКУ "ЕДДС-112"</v>
      </c>
      <c r="B7950" s="24" t="s">
        <v>10163</v>
      </c>
      <c r="C7950" s="25">
        <v>21140</v>
      </c>
      <c r="D7950" s="22" t="s">
        <v>10164</v>
      </c>
      <c r="E7950" s="22" t="s">
        <v>732</v>
      </c>
      <c r="F7950" s="23" t="str">
        <f>HYPERLINK("https://www.spark-marketing.ru/Card/Lot/70600113", "Комплект оборудования для установки видеодомофона")</f>
        <v>Комплект оборудования для установки видеодомофона</v>
      </c>
      <c r="G7950" s="22" t="s">
        <v>50</v>
      </c>
      <c r="H7950" s="22" t="s">
        <v>326</v>
      </c>
      <c r="I7950" s="26">
        <v>43605.650439814803</v>
      </c>
      <c r="J7950" s="28" t="s">
        <v>52</v>
      </c>
      <c r="K7950" s="28" t="s">
        <v>52</v>
      </c>
      <c r="L7950" s="28" t="s">
        <v>52</v>
      </c>
      <c r="M7950" s="28" t="s">
        <v>52</v>
      </c>
      <c r="N7950" s="28" t="s">
        <v>52</v>
      </c>
    </row>
    <row r="7951" spans="1:14" x14ac:dyDescent="0.2">
      <c r="A7951" s="23" t="str">
        <f>HYPERLINK("https://www.spark-marketing.ru/Card/Person/111779", "ГАУ РО ""ОКДЦ""")</f>
        <v>ГАУ РО "ОКДЦ"</v>
      </c>
      <c r="B7951" s="24" t="s">
        <v>3620</v>
      </c>
      <c r="C7951" s="25">
        <v>160000</v>
      </c>
      <c r="D7951" s="22" t="s">
        <v>10165</v>
      </c>
      <c r="E7951" s="22" t="s">
        <v>10166</v>
      </c>
      <c r="F7951" s="23" t="str">
        <f>HYPERLINK("https://www.spark-marketing.ru/Card/Lot/70613841", "Закупка услуг по физической охране объектов Заказчика")</f>
        <v>Закупка услуг по физической охране объектов Заказчика</v>
      </c>
      <c r="G7951" s="22" t="s">
        <v>402</v>
      </c>
      <c r="H7951" s="22" t="s">
        <v>402</v>
      </c>
      <c r="I7951" s="26">
        <v>43605.656435185199</v>
      </c>
      <c r="J7951" s="23" t="str">
        <f>HYPERLINK("https://www.spark-marketing.ru/Card/Person/5947173", "ООО ЧОП ""РЕГИОН ОХРАНА""")</f>
        <v>ООО ЧОП "РЕГИОН ОХРАНА"</v>
      </c>
      <c r="K7951" s="24" t="s">
        <v>10167</v>
      </c>
      <c r="L7951" s="28" t="s">
        <v>52</v>
      </c>
      <c r="M7951" s="25">
        <v>160000</v>
      </c>
      <c r="N7951" s="27">
        <v>0</v>
      </c>
    </row>
    <row r="7952" spans="1:14" x14ac:dyDescent="0.15">
      <c r="A7952" s="23" t="str">
        <f>HYPERLINK("https://www.spark-marketing.ru/Card/Person/367876", "МЕЖРАЙОННАЯ ИФНС РОССИИ № 4 ПО ПЕНЗЕНСКОЙ ОБЛАСТИ")</f>
        <v>МЕЖРАЙОННАЯ ИФНС РОССИИ № 4 ПО ПЕНЗЕНСКОЙ ОБЛАСТИ</v>
      </c>
      <c r="B7952" s="24" t="s">
        <v>10168</v>
      </c>
      <c r="C7952" s="25">
        <v>98183.72</v>
      </c>
      <c r="D7952" s="22" t="s">
        <v>10169</v>
      </c>
      <c r="E7952" s="22" t="s">
        <v>53</v>
      </c>
      <c r="F7952" s="23" t="str">
        <f>HYPERLINK("https://www.spark-marketing.ru/Card/Lot/70753774", "Установка системы видеонаблюдения")</f>
        <v>Установка системы видеонаблюдения</v>
      </c>
      <c r="G7952" s="22" t="s">
        <v>514</v>
      </c>
      <c r="H7952" s="22" t="s">
        <v>10170</v>
      </c>
      <c r="I7952" s="26">
        <v>43605.662743055596</v>
      </c>
      <c r="J7952" s="28" t="s">
        <v>52</v>
      </c>
      <c r="K7952" s="28" t="s">
        <v>52</v>
      </c>
      <c r="L7952" s="28" t="s">
        <v>52</v>
      </c>
      <c r="M7952" s="28" t="s">
        <v>52</v>
      </c>
      <c r="N7952" s="28" t="s">
        <v>52</v>
      </c>
    </row>
    <row r="7953" spans="1:14" x14ac:dyDescent="0.15">
      <c r="A7953" s="23" t="str">
        <f>HYPERLINK("https://www.spark-marketing.ru/Card/Person/4365627", "ООО ""РН-БУРЕНИЕ""")</f>
        <v>ООО "РН-БУРЕНИЕ"</v>
      </c>
      <c r="B7953" s="24" t="s">
        <v>4221</v>
      </c>
      <c r="C7953" s="28" t="s">
        <v>52</v>
      </c>
      <c r="D7953" s="22" t="s">
        <v>10171</v>
      </c>
      <c r="E7953" s="22" t="s">
        <v>7092</v>
      </c>
      <c r="F7953" s="23" t="str">
        <f>HYPERLINK("https://www.spark-marketing.ru/Card/Lot/70596646", "Оказание услуг по техническому обслуживанию технических средств охраны и дополнительного оборудования")</f>
        <v>Оказание услуг по техническому обслуживанию технических средств охраны и дополнительного оборудования</v>
      </c>
      <c r="G7953" s="22" t="s">
        <v>55</v>
      </c>
      <c r="H7953" s="22" t="s">
        <v>55</v>
      </c>
      <c r="I7953" s="26">
        <v>43605.6159722222</v>
      </c>
      <c r="J7953" s="28" t="s">
        <v>52</v>
      </c>
      <c r="K7953" s="28" t="s">
        <v>52</v>
      </c>
      <c r="L7953" s="28" t="s">
        <v>52</v>
      </c>
      <c r="M7953" s="28" t="s">
        <v>52</v>
      </c>
      <c r="N7953" s="28" t="s">
        <v>52</v>
      </c>
    </row>
    <row r="7954" spans="1:14" x14ac:dyDescent="0.15">
      <c r="A7954" s="23" t="str">
        <f>HYPERLINK("https://www.spark-marketing.ru/Card/Person/555246", "АО ""УЭХК""")</f>
        <v>АО "УЭХК"</v>
      </c>
      <c r="B7954" s="24" t="s">
        <v>2525</v>
      </c>
      <c r="C7954" s="28" t="s">
        <v>52</v>
      </c>
      <c r="D7954" s="22" t="s">
        <v>10172</v>
      </c>
      <c r="E7954" s="22" t="s">
        <v>53</v>
      </c>
      <c r="F7954" s="23" t="str">
        <f>HYPERLINK("https://www.spark-marketing.ru/Card/Lot/70605973", "Право заключения договора на оказание услуг по физической охране объектов АО «УЭХК». (1257012)")</f>
        <v>Право заключения договора на оказание услуг по физической охране объектов АО «УЭХК». (1257012)</v>
      </c>
      <c r="G7954" s="22" t="s">
        <v>72</v>
      </c>
      <c r="H7954" s="22" t="s">
        <v>2527</v>
      </c>
      <c r="I7954" s="26">
        <v>43605.621550925898</v>
      </c>
      <c r="J7954" s="28" t="s">
        <v>52</v>
      </c>
      <c r="K7954" s="28" t="s">
        <v>52</v>
      </c>
      <c r="L7954" s="28" t="s">
        <v>52</v>
      </c>
      <c r="M7954" s="28" t="s">
        <v>52</v>
      </c>
      <c r="N7954" s="28" t="s">
        <v>52</v>
      </c>
    </row>
    <row r="7955" spans="1:14" x14ac:dyDescent="0.15">
      <c r="A7955" s="23" t="str">
        <f t="shared" ref="A7955:A7962" si="342">HYPERLINK("https://www.spark-marketing.ru/Card/Person/4346563", "ПАО ""ГАЗПРОМ""")</f>
        <v>ПАО "ГАЗПРОМ"</v>
      </c>
      <c r="B7955" s="24" t="s">
        <v>1548</v>
      </c>
      <c r="C7955" s="25">
        <v>225815616</v>
      </c>
      <c r="D7955" s="22" t="s">
        <v>10173</v>
      </c>
      <c r="E7955" s="22" t="s">
        <v>1550</v>
      </c>
      <c r="F7955" s="23" t="str">
        <f t="shared" ref="F7955:F7962" si="343">HYPERLINK("https://www.spark-marketing.ru/Card/Lot/70614081", "Оказание автотранспортных услуг для Тюменского отдела Сургутского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f>
        <v>Оказание автотранспортных услуг для Тюменского отдела Сургутского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v>
      </c>
      <c r="G7955" s="22" t="s">
        <v>55</v>
      </c>
      <c r="H7955" s="22" t="s">
        <v>55</v>
      </c>
      <c r="I7955" s="26">
        <v>43605.595497685201</v>
      </c>
      <c r="J7955" s="28" t="s">
        <v>52</v>
      </c>
      <c r="K7955" s="28" t="s">
        <v>52</v>
      </c>
      <c r="L7955" s="28" t="s">
        <v>52</v>
      </c>
      <c r="M7955" s="28" t="s">
        <v>52</v>
      </c>
      <c r="N7955" s="28" t="s">
        <v>52</v>
      </c>
    </row>
    <row r="7956" spans="1:14" hidden="1" outlineLevel="1" x14ac:dyDescent="0.15">
      <c r="A7956" s="23" t="str">
        <f t="shared" si="342"/>
        <v>ПАО "ГАЗПРОМ"</v>
      </c>
      <c r="B7956" s="24" t="s">
        <v>1548</v>
      </c>
      <c r="C7956" s="28" t="s">
        <v>52</v>
      </c>
      <c r="D7956" s="22" t="s">
        <v>10173</v>
      </c>
      <c r="E7956" s="22" t="s">
        <v>1550</v>
      </c>
      <c r="F7956" s="23" t="str">
        <f t="shared" si="343"/>
        <v>Оказание автотранспортных услуг для Тюменского отдела Сургутского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v>
      </c>
      <c r="G7956" s="22" t="s">
        <v>55</v>
      </c>
      <c r="H7956" s="22" t="s">
        <v>55</v>
      </c>
      <c r="I7956" s="26">
        <v>43605.595497685201</v>
      </c>
      <c r="J7956" s="23" t="str">
        <f t="shared" ref="J7956:J7962" si="344">HYPERLINK("https://www.spark-marketing.ru/Card/Person/-1", "неизвестно")</f>
        <v>неизвестно</v>
      </c>
      <c r="K7956" s="28" t="s">
        <v>52</v>
      </c>
      <c r="L7956" s="28" t="s">
        <v>52</v>
      </c>
      <c r="M7956" s="28" t="s">
        <v>52</v>
      </c>
      <c r="N7956" s="28" t="s">
        <v>52</v>
      </c>
    </row>
    <row r="7957" spans="1:14" hidden="1" outlineLevel="1" x14ac:dyDescent="0.2">
      <c r="A7957" s="23" t="str">
        <f t="shared" si="342"/>
        <v>ПАО "ГАЗПРОМ"</v>
      </c>
      <c r="B7957" s="24" t="s">
        <v>1548</v>
      </c>
      <c r="C7957" s="28" t="s">
        <v>52</v>
      </c>
      <c r="D7957" s="22" t="s">
        <v>10173</v>
      </c>
      <c r="E7957" s="22" t="s">
        <v>1550</v>
      </c>
      <c r="F7957" s="23" t="str">
        <f t="shared" si="343"/>
        <v>Оказание автотранспортных услуг для Тюменского отдела Сургутского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v>
      </c>
      <c r="G7957" s="22" t="s">
        <v>55</v>
      </c>
      <c r="H7957" s="22" t="s">
        <v>55</v>
      </c>
      <c r="I7957" s="26">
        <v>43605.595497685201</v>
      </c>
      <c r="J7957" s="23" t="str">
        <f t="shared" si="344"/>
        <v>неизвестно</v>
      </c>
      <c r="K7957" s="28" t="s">
        <v>52</v>
      </c>
      <c r="L7957" s="22" t="s">
        <v>10</v>
      </c>
      <c r="M7957" s="25">
        <v>214782336</v>
      </c>
      <c r="N7957" s="27">
        <v>4.8859685594108776E-2</v>
      </c>
    </row>
    <row r="7958" spans="1:14" hidden="1" outlineLevel="1" x14ac:dyDescent="0.15">
      <c r="A7958" s="23" t="str">
        <f t="shared" si="342"/>
        <v>ПАО "ГАЗПРОМ"</v>
      </c>
      <c r="B7958" s="24" t="s">
        <v>1548</v>
      </c>
      <c r="C7958" s="28" t="s">
        <v>52</v>
      </c>
      <c r="D7958" s="22" t="s">
        <v>10173</v>
      </c>
      <c r="E7958" s="22" t="s">
        <v>1550</v>
      </c>
      <c r="F7958" s="23" t="str">
        <f t="shared" si="343"/>
        <v>Оказание автотранспортных услуг для Тюменского отдела Сургутского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v>
      </c>
      <c r="G7958" s="22" t="s">
        <v>55</v>
      </c>
      <c r="H7958" s="22" t="s">
        <v>55</v>
      </c>
      <c r="I7958" s="26">
        <v>43605.595497685201</v>
      </c>
      <c r="J7958" s="23" t="str">
        <f t="shared" si="344"/>
        <v>неизвестно</v>
      </c>
      <c r="K7958" s="28" t="s">
        <v>52</v>
      </c>
      <c r="L7958" s="28" t="s">
        <v>52</v>
      </c>
      <c r="M7958" s="28" t="s">
        <v>52</v>
      </c>
      <c r="N7958" s="28" t="s">
        <v>52</v>
      </c>
    </row>
    <row r="7959" spans="1:14" hidden="1" outlineLevel="1" x14ac:dyDescent="0.15">
      <c r="A7959" s="23" t="str">
        <f t="shared" si="342"/>
        <v>ПАО "ГАЗПРОМ"</v>
      </c>
      <c r="B7959" s="24" t="s">
        <v>1548</v>
      </c>
      <c r="C7959" s="28" t="s">
        <v>52</v>
      </c>
      <c r="D7959" s="22" t="s">
        <v>10173</v>
      </c>
      <c r="E7959" s="22" t="s">
        <v>1550</v>
      </c>
      <c r="F7959" s="23" t="str">
        <f t="shared" si="343"/>
        <v>Оказание автотранспортных услуг для Тюменского отдела Сургутского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v>
      </c>
      <c r="G7959" s="22" t="s">
        <v>55</v>
      </c>
      <c r="H7959" s="22" t="s">
        <v>55</v>
      </c>
      <c r="I7959" s="26">
        <v>43605.595497685201</v>
      </c>
      <c r="J7959" s="23" t="str">
        <f t="shared" si="344"/>
        <v>неизвестно</v>
      </c>
      <c r="K7959" s="28" t="s">
        <v>52</v>
      </c>
      <c r="L7959" s="28" t="s">
        <v>52</v>
      </c>
      <c r="M7959" s="28" t="s">
        <v>52</v>
      </c>
      <c r="N7959" s="28" t="s">
        <v>52</v>
      </c>
    </row>
    <row r="7960" spans="1:14" hidden="1" outlineLevel="1" x14ac:dyDescent="0.15">
      <c r="A7960" s="23" t="str">
        <f t="shared" si="342"/>
        <v>ПАО "ГАЗПРОМ"</v>
      </c>
      <c r="B7960" s="24" t="s">
        <v>1548</v>
      </c>
      <c r="C7960" s="28" t="s">
        <v>52</v>
      </c>
      <c r="D7960" s="22" t="s">
        <v>10173</v>
      </c>
      <c r="E7960" s="22" t="s">
        <v>1550</v>
      </c>
      <c r="F7960" s="23" t="str">
        <f t="shared" si="343"/>
        <v>Оказание автотранспортных услуг для Тюменского отдела Сургутского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v>
      </c>
      <c r="G7960" s="22" t="s">
        <v>55</v>
      </c>
      <c r="H7960" s="22" t="s">
        <v>55</v>
      </c>
      <c r="I7960" s="26">
        <v>43605.595497685201</v>
      </c>
      <c r="J7960" s="23" t="str">
        <f t="shared" si="344"/>
        <v>неизвестно</v>
      </c>
      <c r="K7960" s="28" t="s">
        <v>52</v>
      </c>
      <c r="L7960" s="28" t="s">
        <v>52</v>
      </c>
      <c r="M7960" s="28" t="s">
        <v>52</v>
      </c>
      <c r="N7960" s="28" t="s">
        <v>52</v>
      </c>
    </row>
    <row r="7961" spans="1:14" hidden="1" outlineLevel="1" x14ac:dyDescent="0.15">
      <c r="A7961" s="23" t="str">
        <f t="shared" si="342"/>
        <v>ПАО "ГАЗПРОМ"</v>
      </c>
      <c r="B7961" s="24" t="s">
        <v>1548</v>
      </c>
      <c r="C7961" s="28" t="s">
        <v>52</v>
      </c>
      <c r="D7961" s="22" t="s">
        <v>10173</v>
      </c>
      <c r="E7961" s="22" t="s">
        <v>1550</v>
      </c>
      <c r="F7961" s="23" t="str">
        <f t="shared" si="343"/>
        <v>Оказание автотранспортных услуг для Тюменского отдела Сургутского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v>
      </c>
      <c r="G7961" s="22" t="s">
        <v>55</v>
      </c>
      <c r="H7961" s="22" t="s">
        <v>55</v>
      </c>
      <c r="I7961" s="26">
        <v>43605.595497685201</v>
      </c>
      <c r="J7961" s="23" t="str">
        <f t="shared" si="344"/>
        <v>неизвестно</v>
      </c>
      <c r="K7961" s="28" t="s">
        <v>52</v>
      </c>
      <c r="L7961" s="28" t="s">
        <v>52</v>
      </c>
      <c r="M7961" s="28" t="s">
        <v>52</v>
      </c>
      <c r="N7961" s="28" t="s">
        <v>52</v>
      </c>
    </row>
    <row r="7962" spans="1:14" hidden="1" outlineLevel="1" x14ac:dyDescent="0.15">
      <c r="A7962" s="23" t="str">
        <f t="shared" si="342"/>
        <v>ПАО "ГАЗПРОМ"</v>
      </c>
      <c r="B7962" s="24" t="s">
        <v>1548</v>
      </c>
      <c r="C7962" s="28" t="s">
        <v>52</v>
      </c>
      <c r="D7962" s="22" t="s">
        <v>10173</v>
      </c>
      <c r="E7962" s="22" t="s">
        <v>1550</v>
      </c>
      <c r="F7962" s="23" t="str">
        <f t="shared" si="343"/>
        <v>Оказание автотранспортных услуг для Тюменского отдела Сургутского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v>
      </c>
      <c r="G7962" s="22" t="s">
        <v>55</v>
      </c>
      <c r="H7962" s="22" t="s">
        <v>55</v>
      </c>
      <c r="I7962" s="26">
        <v>43605.595497685201</v>
      </c>
      <c r="J7962" s="23" t="str">
        <f t="shared" si="344"/>
        <v>неизвестно</v>
      </c>
      <c r="K7962" s="28" t="s">
        <v>52</v>
      </c>
      <c r="L7962" s="28" t="s">
        <v>52</v>
      </c>
      <c r="M7962" s="28" t="s">
        <v>52</v>
      </c>
      <c r="N7962" s="28" t="s">
        <v>52</v>
      </c>
    </row>
    <row r="7963" spans="1:14" x14ac:dyDescent="0.15">
      <c r="A7963" s="23" t="str">
        <f>HYPERLINK("https://www.spark-marketing.ru/Card/Person/997704", "МБУК ""РЦД""")</f>
        <v>МБУК "РЦД"</v>
      </c>
      <c r="B7963" s="24" t="s">
        <v>10174</v>
      </c>
      <c r="C7963" s="25">
        <v>420000</v>
      </c>
      <c r="D7963" s="22" t="s">
        <v>10175</v>
      </c>
      <c r="E7963" s="22" t="s">
        <v>68</v>
      </c>
      <c r="F7963" s="23" t="str">
        <f>HYPERLINK("https://www.spark-marketing.ru/Card/Lot/70604237", "Оказание услуг вахтеров для нужд МБУК «Дедовичский районный центр досуга»")</f>
        <v>Оказание услуг вахтеров для нужд МБУК «Дедовичский районный центр досуга»</v>
      </c>
      <c r="G7963" s="22" t="s">
        <v>142</v>
      </c>
      <c r="H7963" s="22" t="s">
        <v>10176</v>
      </c>
      <c r="I7963" s="26">
        <v>43605.604861111096</v>
      </c>
      <c r="J7963" s="28" t="s">
        <v>52</v>
      </c>
      <c r="K7963" s="28" t="s">
        <v>52</v>
      </c>
      <c r="L7963" s="28" t="s">
        <v>52</v>
      </c>
      <c r="M7963" s="28" t="s">
        <v>52</v>
      </c>
      <c r="N7963" s="28" t="s">
        <v>52</v>
      </c>
    </row>
    <row r="7964" spans="1:14" ht="12.75" hidden="1" outlineLevel="1" x14ac:dyDescent="0.2">
      <c r="A7964" s="23" t="str">
        <f>HYPERLINK("https://www.spark-marketing.ru/Card/Person/997704", "МБУК ""РЦД""")</f>
        <v>МБУК "РЦД"</v>
      </c>
      <c r="B7964" s="24" t="s">
        <v>10174</v>
      </c>
      <c r="C7964" s="25">
        <v>420000</v>
      </c>
      <c r="D7964" s="22" t="s">
        <v>10175</v>
      </c>
      <c r="E7964" s="22" t="s">
        <v>68</v>
      </c>
      <c r="F7964" s="23" t="str">
        <f>HYPERLINK("https://www.spark-marketing.ru/Card/Lot/70604237", "Оказание услуг вахтеров для нужд МБУК «Дедовичский районный центр досуга»")</f>
        <v>Оказание услуг вахтеров для нужд МБУК «Дедовичский районный центр досуга»</v>
      </c>
      <c r="G7964" s="22" t="s">
        <v>142</v>
      </c>
      <c r="H7964" s="22" t="s">
        <v>10176</v>
      </c>
      <c r="I7964" s="26">
        <v>43605.604861111096</v>
      </c>
      <c r="J7964" s="23" t="str">
        <f>HYPERLINK("https://www.spark-marketing.ru/Card/Person/16183", "ООО ЧОО ""РУСЬ ИЗНАЧАЛЬНАЯ""")</f>
        <v>ООО ЧОО "РУСЬ ИЗНАЧАЛЬНАЯ"</v>
      </c>
      <c r="K7964" s="24" t="s">
        <v>10177</v>
      </c>
      <c r="L7964" s="22" t="s">
        <v>10</v>
      </c>
      <c r="M7964" s="25">
        <v>378000</v>
      </c>
      <c r="N7964" s="27">
        <v>0.1</v>
      </c>
    </row>
    <row r="7965" spans="1:14" hidden="1" outlineLevel="1" x14ac:dyDescent="0.2">
      <c r="A7965" s="23" t="str">
        <f>HYPERLINK("https://www.spark-marketing.ru/Card/Person/997704", "МБУК ""РЦД""")</f>
        <v>МБУК "РЦД"</v>
      </c>
      <c r="B7965" s="24" t="s">
        <v>10174</v>
      </c>
      <c r="C7965" s="25">
        <v>420000</v>
      </c>
      <c r="D7965" s="22" t="s">
        <v>10175</v>
      </c>
      <c r="E7965" s="22" t="s">
        <v>68</v>
      </c>
      <c r="F7965" s="23" t="str">
        <f>HYPERLINK("https://www.spark-marketing.ru/Card/Lot/70604237", "Оказание услуг вахтеров для нужд МБУК «Дедовичский районный центр досуга»")</f>
        <v>Оказание услуг вахтеров для нужд МБУК «Дедовичский районный центр досуга»</v>
      </c>
      <c r="G7965" s="22" t="s">
        <v>142</v>
      </c>
      <c r="H7965" s="22" t="s">
        <v>10176</v>
      </c>
      <c r="I7965" s="26">
        <v>43605.604861111096</v>
      </c>
      <c r="J7965" s="23" t="str">
        <f>HYPERLINK("https://www.spark-marketing.ru/Card/Person/6114506", "ООО ""МИАС ПЛЮС""")</f>
        <v>ООО "МИАС ПЛЮС"</v>
      </c>
      <c r="K7965" s="24" t="s">
        <v>10178</v>
      </c>
      <c r="L7965" s="28" t="s">
        <v>52</v>
      </c>
      <c r="M7965" s="25">
        <v>380100</v>
      </c>
      <c r="N7965" s="27">
        <v>9.5000000000000001E-2</v>
      </c>
    </row>
    <row r="7966" spans="1:14" x14ac:dyDescent="0.15">
      <c r="A7966" s="23" t="str">
        <f>HYPERLINK("https://www.spark-marketing.ru/Card/Person/4366003", "АО ""ЕНИСЕЙСКАЯ ТГК (ТГК-13)""")</f>
        <v>АО "ЕНИСЕЙСКАЯ ТГК (ТГК-13)"</v>
      </c>
      <c r="B7966" s="24" t="s">
        <v>10179</v>
      </c>
      <c r="C7966" s="25">
        <v>993600</v>
      </c>
      <c r="D7966" s="22" t="s">
        <v>10180</v>
      </c>
      <c r="E7966" s="22" t="s">
        <v>10181</v>
      </c>
      <c r="F7966" s="23" t="str">
        <f>HYPERLINK("https://www.spark-marketing.ru/Card/Lot/70583981", "ТО систем охранного видеонаблюдения периметральной охраны Абаканской ТЭЦ")</f>
        <v>ТО систем охранного видеонаблюдения периметральной охраны Абаканской ТЭЦ</v>
      </c>
      <c r="G7966" s="22" t="s">
        <v>640</v>
      </c>
      <c r="H7966" s="22" t="s">
        <v>1524</v>
      </c>
      <c r="I7966" s="26">
        <v>43605.571724537003</v>
      </c>
      <c r="J7966" s="28" t="s">
        <v>52</v>
      </c>
      <c r="K7966" s="28" t="s">
        <v>52</v>
      </c>
      <c r="L7966" s="28" t="s">
        <v>52</v>
      </c>
      <c r="M7966" s="28" t="s">
        <v>52</v>
      </c>
      <c r="N7966" s="28" t="s">
        <v>52</v>
      </c>
    </row>
    <row r="7967" spans="1:14" x14ac:dyDescent="0.15">
      <c r="A7967" s="23" t="str">
        <f>HYPERLINK("https://www.spark-marketing.ru/Card/Person/4471", "САМАРСКАЯ ТАМОЖНЯ")</f>
        <v>САМАРСКАЯ ТАМОЖНЯ</v>
      </c>
      <c r="B7967" s="24" t="s">
        <v>1345</v>
      </c>
      <c r="C7967" s="25">
        <v>3011025.68</v>
      </c>
      <c r="D7967" s="22" t="s">
        <v>10182</v>
      </c>
      <c r="E7967" s="22" t="s">
        <v>68</v>
      </c>
      <c r="F7967" s="23" t="str">
        <f>HYPERLINK("https://www.spark-marketing.ru/Card/Lot/70595418", "Предоставление услуг по охране регионального кинологического центра, гаража таможни, складского комплекса, Самарского таможенного поста, ОТОиТК№3 Самарского таможенного поста")</f>
        <v>Предоставление услуг по охране регионального кинологического центра, гаража таможни, складского комплекса, Самарского таможенного поста, ОТОиТК№3 Самарского таможенного поста</v>
      </c>
      <c r="G7967" s="22" t="s">
        <v>760</v>
      </c>
      <c r="H7967" s="22" t="s">
        <v>760</v>
      </c>
      <c r="I7967" s="26">
        <v>43605.566666666702</v>
      </c>
      <c r="J7967" s="23" t="str">
        <f>HYPERLINK("https://www.spark-marketing.ru/Card/Person/6616557", "ФЛ ФГУП ОХРАНА ФЕДЕРАЛЬНОЙ СЛУЖБЫ ВОЙСК НАЦИОНАЛЬНОЙ ГВАРДИИ РФ ПО САМАРСКОЙ ОБЛ")</f>
        <v>ФЛ ФГУП ОХРАНА ФЕДЕРАЛЬНОЙ СЛУЖБЫ ВОЙСК НАЦИОНАЛЬНОЙ ГВАРДИИ РФ ПО САМАРСКОЙ ОБЛ</v>
      </c>
      <c r="K7967" s="24" t="s">
        <v>779</v>
      </c>
      <c r="L7967" s="28" t="s">
        <v>52</v>
      </c>
      <c r="M7967" s="28" t="s">
        <v>52</v>
      </c>
      <c r="N7967" s="28" t="s">
        <v>52</v>
      </c>
    </row>
    <row r="7968" spans="1:14" ht="12.75" hidden="1" outlineLevel="1" x14ac:dyDescent="0.2">
      <c r="A7968" s="23" t="str">
        <f>HYPERLINK("https://www.spark-marketing.ru/Card/Person/4471", "САМАРСКАЯ ТАМОЖНЯ")</f>
        <v>САМАРСКАЯ ТАМОЖНЯ</v>
      </c>
      <c r="B7968" s="24" t="s">
        <v>1345</v>
      </c>
      <c r="C7968" s="25">
        <v>3011025.68</v>
      </c>
      <c r="D7968" s="22" t="s">
        <v>10182</v>
      </c>
      <c r="E7968" s="22" t="s">
        <v>68</v>
      </c>
      <c r="F7968" s="23" t="str">
        <f>HYPERLINK("https://www.spark-marketing.ru/Card/Lot/70595418", "Предоставление услуг по охране регионального кинологического центра, гаража таможни, складского комплекса, Самарского таможенного поста, ОТОиТК№3 Самарского таможенного поста")</f>
        <v>Предоставление услуг по охране регионального кинологического центра, гаража таможни, складского комплекса, Самарского таможенного поста, ОТОиТК№3 Самарского таможенного поста</v>
      </c>
      <c r="G7968" s="22" t="s">
        <v>760</v>
      </c>
      <c r="H7968" s="22" t="s">
        <v>760</v>
      </c>
      <c r="I7968" s="26">
        <v>43605.566666666702</v>
      </c>
      <c r="J7968" s="23" t="str">
        <f>HYPERLINK("https://www.spark-marketing.ru/Card/Person/6616557", "ФЛ ФГУП ОХРАНА ФЕДЕРАЛЬНОЙ СЛУЖБЫ ВОЙСК НАЦИОНАЛЬНОЙ ГВАРДИИ РФ ПО САМАРСКОЙ ОБЛ")</f>
        <v>ФЛ ФГУП ОХРАНА ФЕДЕРАЛЬНОЙ СЛУЖБЫ ВОЙСК НАЦИОНАЛЬНОЙ ГВАРДИИ РФ ПО САМАРСКОЙ ОБЛ</v>
      </c>
      <c r="K7968" s="24" t="s">
        <v>779</v>
      </c>
      <c r="L7968" s="22" t="s">
        <v>10</v>
      </c>
      <c r="M7968" s="25">
        <v>2995970.55</v>
      </c>
      <c r="N7968" s="27">
        <v>5.0000005313803903E-3</v>
      </c>
    </row>
    <row r="7969" spans="1:14" x14ac:dyDescent="0.15">
      <c r="A7969" s="23" t="str">
        <f t="shared" ref="A7969:A7978" si="345">HYPERLINK("https://www.spark-marketing.ru/Card/Person/4346563", "ПАО ""ГАЗПРОМ""")</f>
        <v>ПАО "ГАЗПРОМ"</v>
      </c>
      <c r="B7969" s="24" t="s">
        <v>1548</v>
      </c>
      <c r="C7969" s="25">
        <v>249954134.40000001</v>
      </c>
      <c r="D7969" s="22" t="s">
        <v>10183</v>
      </c>
      <c r="E7969" s="22" t="s">
        <v>1550</v>
      </c>
      <c r="F7969" s="23" t="str">
        <f t="shared" ref="F7969:F7978" si="346">HYPERLINK("https://www.spark-marketing.ru/Card/Lot/70593372", "Оказание автотранспортных услуг для АУП и отделов Сургутского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сред...")</f>
        <v>Оказание автотранспортных услуг для АУП и отделов Сургутского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сред...</v>
      </c>
      <c r="G7969" s="22" t="s">
        <v>55</v>
      </c>
      <c r="H7969" s="22" t="s">
        <v>55</v>
      </c>
      <c r="I7969" s="26">
        <v>43605.550416666701</v>
      </c>
      <c r="J7969" s="28" t="s">
        <v>52</v>
      </c>
      <c r="K7969" s="28" t="s">
        <v>52</v>
      </c>
      <c r="L7969" s="28" t="s">
        <v>52</v>
      </c>
      <c r="M7969" s="28" t="s">
        <v>52</v>
      </c>
      <c r="N7969" s="28" t="s">
        <v>52</v>
      </c>
    </row>
    <row r="7970" spans="1:14" hidden="1" outlineLevel="1" x14ac:dyDescent="0.15">
      <c r="A7970" s="23" t="str">
        <f t="shared" si="345"/>
        <v>ПАО "ГАЗПРОМ"</v>
      </c>
      <c r="B7970" s="24" t="s">
        <v>1548</v>
      </c>
      <c r="C7970" s="28" t="s">
        <v>52</v>
      </c>
      <c r="D7970" s="22" t="s">
        <v>10183</v>
      </c>
      <c r="E7970" s="22" t="s">
        <v>1550</v>
      </c>
      <c r="F7970" s="23" t="str">
        <f t="shared" si="346"/>
        <v>Оказание автотранспортных услуг для АУП и отделов Сургутского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сред...</v>
      </c>
      <c r="G7970" s="22" t="s">
        <v>55</v>
      </c>
      <c r="H7970" s="22" t="s">
        <v>55</v>
      </c>
      <c r="I7970" s="26">
        <v>43605.550416666701</v>
      </c>
      <c r="J7970" s="23" t="str">
        <f t="shared" ref="J7970:J7978" si="347">HYPERLINK("https://www.spark-marketing.ru/Card/Person/-1", "неизвестно")</f>
        <v>неизвестно</v>
      </c>
      <c r="K7970" s="28" t="s">
        <v>52</v>
      </c>
      <c r="L7970" s="28" t="s">
        <v>52</v>
      </c>
      <c r="M7970" s="28" t="s">
        <v>52</v>
      </c>
      <c r="N7970" s="28" t="s">
        <v>52</v>
      </c>
    </row>
    <row r="7971" spans="1:14" hidden="1" outlineLevel="1" x14ac:dyDescent="0.15">
      <c r="A7971" s="23" t="str">
        <f t="shared" si="345"/>
        <v>ПАО "ГАЗПРОМ"</v>
      </c>
      <c r="B7971" s="24" t="s">
        <v>1548</v>
      </c>
      <c r="C7971" s="28" t="s">
        <v>52</v>
      </c>
      <c r="D7971" s="22" t="s">
        <v>10183</v>
      </c>
      <c r="E7971" s="22" t="s">
        <v>1550</v>
      </c>
      <c r="F7971" s="23" t="str">
        <f t="shared" si="346"/>
        <v>Оказание автотранспортных услуг для АУП и отделов Сургутского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сред...</v>
      </c>
      <c r="G7971" s="22" t="s">
        <v>55</v>
      </c>
      <c r="H7971" s="22" t="s">
        <v>55</v>
      </c>
      <c r="I7971" s="26">
        <v>43605.550416666701</v>
      </c>
      <c r="J7971" s="23" t="str">
        <f t="shared" si="347"/>
        <v>неизвестно</v>
      </c>
      <c r="K7971" s="28" t="s">
        <v>52</v>
      </c>
      <c r="L7971" s="28" t="s">
        <v>52</v>
      </c>
      <c r="M7971" s="28" t="s">
        <v>52</v>
      </c>
      <c r="N7971" s="28" t="s">
        <v>52</v>
      </c>
    </row>
    <row r="7972" spans="1:14" hidden="1" outlineLevel="1" x14ac:dyDescent="0.15">
      <c r="A7972" s="23" t="str">
        <f t="shared" si="345"/>
        <v>ПАО "ГАЗПРОМ"</v>
      </c>
      <c r="B7972" s="24" t="s">
        <v>1548</v>
      </c>
      <c r="C7972" s="28" t="s">
        <v>52</v>
      </c>
      <c r="D7972" s="22" t="s">
        <v>10183</v>
      </c>
      <c r="E7972" s="22" t="s">
        <v>1550</v>
      </c>
      <c r="F7972" s="23" t="str">
        <f t="shared" si="346"/>
        <v>Оказание автотранспортных услуг для АУП и отделов Сургутского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сред...</v>
      </c>
      <c r="G7972" s="22" t="s">
        <v>55</v>
      </c>
      <c r="H7972" s="22" t="s">
        <v>55</v>
      </c>
      <c r="I7972" s="26">
        <v>43605.550416666701</v>
      </c>
      <c r="J7972" s="23" t="str">
        <f t="shared" si="347"/>
        <v>неизвестно</v>
      </c>
      <c r="K7972" s="28" t="s">
        <v>52</v>
      </c>
      <c r="L7972" s="28" t="s">
        <v>52</v>
      </c>
      <c r="M7972" s="28" t="s">
        <v>52</v>
      </c>
      <c r="N7972" s="28" t="s">
        <v>52</v>
      </c>
    </row>
    <row r="7973" spans="1:14" hidden="1" outlineLevel="1" x14ac:dyDescent="0.2">
      <c r="A7973" s="23" t="str">
        <f t="shared" si="345"/>
        <v>ПАО "ГАЗПРОМ"</v>
      </c>
      <c r="B7973" s="24" t="s">
        <v>1548</v>
      </c>
      <c r="C7973" s="28" t="s">
        <v>52</v>
      </c>
      <c r="D7973" s="22" t="s">
        <v>10183</v>
      </c>
      <c r="E7973" s="22" t="s">
        <v>1550</v>
      </c>
      <c r="F7973" s="23" t="str">
        <f t="shared" si="346"/>
        <v>Оказание автотранспортных услуг для АУП и отделов Сургутского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сред...</v>
      </c>
      <c r="G7973" s="22" t="s">
        <v>55</v>
      </c>
      <c r="H7973" s="22" t="s">
        <v>55</v>
      </c>
      <c r="I7973" s="26">
        <v>43605.550416666701</v>
      </c>
      <c r="J7973" s="23" t="str">
        <f t="shared" si="347"/>
        <v>неизвестно</v>
      </c>
      <c r="K7973" s="28" t="s">
        <v>52</v>
      </c>
      <c r="L7973" s="22" t="s">
        <v>10</v>
      </c>
      <c r="M7973" s="25">
        <v>247338403.19999999</v>
      </c>
      <c r="N7973" s="27">
        <v>1.0464844705525302E-2</v>
      </c>
    </row>
    <row r="7974" spans="1:14" hidden="1" outlineLevel="1" x14ac:dyDescent="0.15">
      <c r="A7974" s="23" t="str">
        <f t="shared" si="345"/>
        <v>ПАО "ГАЗПРОМ"</v>
      </c>
      <c r="B7974" s="24" t="s">
        <v>1548</v>
      </c>
      <c r="C7974" s="28" t="s">
        <v>52</v>
      </c>
      <c r="D7974" s="22" t="s">
        <v>10183</v>
      </c>
      <c r="E7974" s="22" t="s">
        <v>1550</v>
      </c>
      <c r="F7974" s="23" t="str">
        <f t="shared" si="346"/>
        <v>Оказание автотранспортных услуг для АУП и отделов Сургутского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сред...</v>
      </c>
      <c r="G7974" s="22" t="s">
        <v>55</v>
      </c>
      <c r="H7974" s="22" t="s">
        <v>55</v>
      </c>
      <c r="I7974" s="26">
        <v>43605.550416666701</v>
      </c>
      <c r="J7974" s="23" t="str">
        <f t="shared" si="347"/>
        <v>неизвестно</v>
      </c>
      <c r="K7974" s="28" t="s">
        <v>52</v>
      </c>
      <c r="L7974" s="28" t="s">
        <v>52</v>
      </c>
      <c r="M7974" s="28" t="s">
        <v>52</v>
      </c>
      <c r="N7974" s="28" t="s">
        <v>52</v>
      </c>
    </row>
    <row r="7975" spans="1:14" hidden="1" outlineLevel="1" x14ac:dyDescent="0.15">
      <c r="A7975" s="23" t="str">
        <f t="shared" si="345"/>
        <v>ПАО "ГАЗПРОМ"</v>
      </c>
      <c r="B7975" s="24" t="s">
        <v>1548</v>
      </c>
      <c r="C7975" s="28" t="s">
        <v>52</v>
      </c>
      <c r="D7975" s="22" t="s">
        <v>10183</v>
      </c>
      <c r="E7975" s="22" t="s">
        <v>1550</v>
      </c>
      <c r="F7975" s="23" t="str">
        <f t="shared" si="346"/>
        <v>Оказание автотранспортных услуг для АУП и отделов Сургутского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сред...</v>
      </c>
      <c r="G7975" s="22" t="s">
        <v>55</v>
      </c>
      <c r="H7975" s="22" t="s">
        <v>55</v>
      </c>
      <c r="I7975" s="26">
        <v>43605.550416666701</v>
      </c>
      <c r="J7975" s="23" t="str">
        <f t="shared" si="347"/>
        <v>неизвестно</v>
      </c>
      <c r="K7975" s="28" t="s">
        <v>52</v>
      </c>
      <c r="L7975" s="28" t="s">
        <v>52</v>
      </c>
      <c r="M7975" s="28" t="s">
        <v>52</v>
      </c>
      <c r="N7975" s="28" t="s">
        <v>52</v>
      </c>
    </row>
    <row r="7976" spans="1:14" hidden="1" outlineLevel="1" x14ac:dyDescent="0.15">
      <c r="A7976" s="23" t="str">
        <f t="shared" si="345"/>
        <v>ПАО "ГАЗПРОМ"</v>
      </c>
      <c r="B7976" s="24" t="s">
        <v>1548</v>
      </c>
      <c r="C7976" s="28" t="s">
        <v>52</v>
      </c>
      <c r="D7976" s="22" t="s">
        <v>10183</v>
      </c>
      <c r="E7976" s="22" t="s">
        <v>1550</v>
      </c>
      <c r="F7976" s="23" t="str">
        <f t="shared" si="346"/>
        <v>Оказание автотранспортных услуг для АУП и отделов Сургутского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сред...</v>
      </c>
      <c r="G7976" s="22" t="s">
        <v>55</v>
      </c>
      <c r="H7976" s="22" t="s">
        <v>55</v>
      </c>
      <c r="I7976" s="26">
        <v>43605.550416666701</v>
      </c>
      <c r="J7976" s="23" t="str">
        <f t="shared" si="347"/>
        <v>неизвестно</v>
      </c>
      <c r="K7976" s="28" t="s">
        <v>52</v>
      </c>
      <c r="L7976" s="28" t="s">
        <v>52</v>
      </c>
      <c r="M7976" s="28" t="s">
        <v>52</v>
      </c>
      <c r="N7976" s="28" t="s">
        <v>52</v>
      </c>
    </row>
    <row r="7977" spans="1:14" hidden="1" outlineLevel="1" x14ac:dyDescent="0.15">
      <c r="A7977" s="23" t="str">
        <f t="shared" si="345"/>
        <v>ПАО "ГАЗПРОМ"</v>
      </c>
      <c r="B7977" s="24" t="s">
        <v>1548</v>
      </c>
      <c r="C7977" s="28" t="s">
        <v>52</v>
      </c>
      <c r="D7977" s="22" t="s">
        <v>10183</v>
      </c>
      <c r="E7977" s="22" t="s">
        <v>1550</v>
      </c>
      <c r="F7977" s="23" t="str">
        <f t="shared" si="346"/>
        <v>Оказание автотранспортных услуг для АУП и отделов Сургутского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сред...</v>
      </c>
      <c r="G7977" s="22" t="s">
        <v>55</v>
      </c>
      <c r="H7977" s="22" t="s">
        <v>55</v>
      </c>
      <c r="I7977" s="26">
        <v>43605.550416666701</v>
      </c>
      <c r="J7977" s="23" t="str">
        <f t="shared" si="347"/>
        <v>неизвестно</v>
      </c>
      <c r="K7977" s="28" t="s">
        <v>52</v>
      </c>
      <c r="L7977" s="28" t="s">
        <v>52</v>
      </c>
      <c r="M7977" s="28" t="s">
        <v>52</v>
      </c>
      <c r="N7977" s="28" t="s">
        <v>52</v>
      </c>
    </row>
    <row r="7978" spans="1:14" hidden="1" outlineLevel="1" x14ac:dyDescent="0.15">
      <c r="A7978" s="23" t="str">
        <f t="shared" si="345"/>
        <v>ПАО "ГАЗПРОМ"</v>
      </c>
      <c r="B7978" s="24" t="s">
        <v>1548</v>
      </c>
      <c r="C7978" s="28" t="s">
        <v>52</v>
      </c>
      <c r="D7978" s="22" t="s">
        <v>10183</v>
      </c>
      <c r="E7978" s="22" t="s">
        <v>1550</v>
      </c>
      <c r="F7978" s="23" t="str">
        <f t="shared" si="346"/>
        <v>Оказание автотранспортных услуг для АУП и отделов Сургутского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сред...</v>
      </c>
      <c r="G7978" s="22" t="s">
        <v>55</v>
      </c>
      <c r="H7978" s="22" t="s">
        <v>55</v>
      </c>
      <c r="I7978" s="26">
        <v>43605.550416666701</v>
      </c>
      <c r="J7978" s="23" t="str">
        <f t="shared" si="347"/>
        <v>неизвестно</v>
      </c>
      <c r="K7978" s="28" t="s">
        <v>52</v>
      </c>
      <c r="L7978" s="28" t="s">
        <v>52</v>
      </c>
      <c r="M7978" s="28" t="s">
        <v>52</v>
      </c>
      <c r="N7978" s="28" t="s">
        <v>52</v>
      </c>
    </row>
    <row r="7979" spans="1:14" x14ac:dyDescent="0.2">
      <c r="A7979" s="23" t="str">
        <f>HYPERLINK("https://www.spark-marketing.ru/Card/Person/1445780", "АО ""ТМТП""")</f>
        <v>АО "ТМТП"</v>
      </c>
      <c r="B7979" s="24" t="s">
        <v>9880</v>
      </c>
      <c r="C7979" s="25">
        <v>15770160</v>
      </c>
      <c r="D7979" s="22" t="s">
        <v>10184</v>
      </c>
      <c r="E7979" s="22" t="s">
        <v>3442</v>
      </c>
      <c r="F7979" s="23" t="str">
        <f>HYPERLINK("https://www.spark-marketing.ru/Card/Lot/70614026", "оказание услуг по защите объекта транспортной инфраструктуры «Универсальный перегрузочный комплекс АО «Таганрогский морской торговый порт» от актов незаконного вмешательства единственным поставщиком")</f>
        <v>оказание услуг по защите объекта транспортной инфраструктуры «Универсальный перегрузочный комплекс АО «Таганрогский морской торговый порт» от актов незаконного вмешательства единственным поставщиком</v>
      </c>
      <c r="G7979" s="22" t="s">
        <v>402</v>
      </c>
      <c r="H7979" s="22" t="s">
        <v>402</v>
      </c>
      <c r="I7979" s="26">
        <v>43605.573437500003</v>
      </c>
      <c r="J7979" s="23" t="str">
        <f>HYPERLINK("https://www.spark-marketing.ru/Card/Person/107173", "ФГУП ""УВО МИНТРАНСА РОССИИ""")</f>
        <v>ФГУП "УВО МИНТРАНСА РОССИИ"</v>
      </c>
      <c r="K7979" s="24" t="s">
        <v>1472</v>
      </c>
      <c r="L7979" s="28" t="s">
        <v>52</v>
      </c>
      <c r="M7979" s="25">
        <v>15770160</v>
      </c>
      <c r="N7979" s="27">
        <v>0</v>
      </c>
    </row>
    <row r="7980" spans="1:14" x14ac:dyDescent="0.15">
      <c r="A7980" s="23" t="str">
        <f>HYPERLINK("https://www.spark-marketing.ru/Card/Person/4377773", "АО ""ЦНИРТИ ИМ. АКАДЕМИКА А.И. БЕРГА""")</f>
        <v>АО "ЦНИРТИ ИМ. АКАДЕМИКА А.И. БЕРГА"</v>
      </c>
      <c r="B7980" s="24" t="s">
        <v>10185</v>
      </c>
      <c r="C7980" s="25">
        <v>187983.89</v>
      </c>
      <c r="D7980" s="22" t="s">
        <v>10186</v>
      </c>
      <c r="E7980" s="22" t="s">
        <v>144</v>
      </c>
      <c r="F7980" s="23" t="str">
        <f>HYPERLINK("https://www.spark-marketing.ru/Card/Lot/70593503", "Оказание услуг по пультовой охране и техническому обслуживанию комплекса технических средств охраны и объектовой приемопередающей аппаратуры")</f>
        <v>Оказание услуг по пультовой охране и техническому обслуживанию комплекса технических средств охраны и объектовой приемопередающей аппаратуры</v>
      </c>
      <c r="G7980" s="22" t="s">
        <v>55</v>
      </c>
      <c r="H7980" s="22" t="s">
        <v>55</v>
      </c>
      <c r="I7980" s="26">
        <v>43605.543171296304</v>
      </c>
      <c r="J7980" s="28" t="s">
        <v>52</v>
      </c>
      <c r="K7980" s="28" t="s">
        <v>52</v>
      </c>
      <c r="L7980" s="28" t="s">
        <v>52</v>
      </c>
      <c r="M7980" s="28" t="s">
        <v>52</v>
      </c>
      <c r="N7980" s="28" t="s">
        <v>52</v>
      </c>
    </row>
    <row r="7981" spans="1:14" x14ac:dyDescent="0.15">
      <c r="A7981" s="23" t="str">
        <f>HYPERLINK("https://www.spark-marketing.ru/Card/Person/1062278", "ГБПОУ ИО ЗЖДТ")</f>
        <v>ГБПОУ ИО ЗЖДТ</v>
      </c>
      <c r="B7981" s="24" t="s">
        <v>10187</v>
      </c>
      <c r="C7981" s="25">
        <v>90634.880000000005</v>
      </c>
      <c r="D7981" s="22" t="s">
        <v>10188</v>
      </c>
      <c r="E7981" s="22" t="s">
        <v>2246</v>
      </c>
      <c r="F7981" s="23" t="str">
        <f>HYPERLINK("https://www.spark-marketing.ru/Card/Lot/70582643", "Васильев Н.Е. Охрана труда на железнодорожном транспорте (1-е изд.) учеб. пособие 2017 Емохонова Л.Г. Мировая художественная культура: В 2 ч. Ч 1 (1-е изд.) учеб. пособие 2017 Емохонова Л.Г. Мировая художественная культура: В 2 ч. Ч 2 (1-е изд.) учеб...")</f>
        <v>Васильев Н.Е. Охрана труда на железнодорожном транспорте (1-е изд.) учеб. пособие 2017 Емохонова Л.Г. Мировая художественная культура: В 2 ч. Ч 1 (1-е изд.) учеб. пособие 2017 Емохонова Л.Г. Мировая художественная культура: В 2 ч. Ч 2 (1-е изд.) учеб...</v>
      </c>
      <c r="G7981" s="22" t="s">
        <v>281</v>
      </c>
      <c r="H7981" s="22" t="s">
        <v>10189</v>
      </c>
      <c r="I7981" s="26">
        <v>43605.547222222202</v>
      </c>
      <c r="J7981" s="28" t="s">
        <v>52</v>
      </c>
      <c r="K7981" s="28" t="s">
        <v>52</v>
      </c>
      <c r="L7981" s="28" t="s">
        <v>52</v>
      </c>
      <c r="M7981" s="28" t="s">
        <v>52</v>
      </c>
      <c r="N7981" s="28" t="s">
        <v>52</v>
      </c>
    </row>
    <row r="7982" spans="1:14" x14ac:dyDescent="0.15">
      <c r="A7982" s="23" t="str">
        <f>HYPERLINK("https://www.spark-marketing.ru/Card/Person/558642", "ВОЕННОЕ СЛЕДСТВЕННОЕ УПРАВЛЕНИЕ СЛЕДСТВЕННОГО КОМИТЕТА РОССИЙСКОЙ ФЕДЕРАЦИИ ПО ЦЕНТРАЛЬНОМУ ВОЕННОМУ ОКРУГУ")</f>
        <v>ВОЕННОЕ СЛЕДСТВЕННОЕ УПРАВЛЕНИЕ СЛЕДСТВЕННОГО КОМИТЕТА РОССИЙСКОЙ ФЕДЕРАЦИИ ПО ЦЕНТРАЛЬНОМУ ВОЕННОМУ ОКРУГУ</v>
      </c>
      <c r="B7982" s="24" t="s">
        <v>10190</v>
      </c>
      <c r="C7982" s="25">
        <v>1000000</v>
      </c>
      <c r="D7982" s="22" t="s">
        <v>10191</v>
      </c>
      <c r="E7982" s="22" t="s">
        <v>208</v>
      </c>
      <c r="F7982" s="23" t="str">
        <f>HYPERLINK("https://www.spark-marketing.ru/Card/Lot/70593834", "Приобретение и установка систем безопасности (видеонаблюдения и СКУД)")</f>
        <v>Приобретение и установка систем безопасности (видеонаблюдения и СКУД)</v>
      </c>
      <c r="G7982" s="22" t="s">
        <v>72</v>
      </c>
      <c r="H7982" s="22" t="s">
        <v>949</v>
      </c>
      <c r="I7982" s="26">
        <v>43605.577777777798</v>
      </c>
      <c r="J7982" s="28" t="s">
        <v>52</v>
      </c>
      <c r="K7982" s="28" t="s">
        <v>52</v>
      </c>
      <c r="L7982" s="28" t="s">
        <v>52</v>
      </c>
      <c r="M7982" s="28" t="s">
        <v>52</v>
      </c>
      <c r="N7982" s="28" t="s">
        <v>52</v>
      </c>
    </row>
    <row r="7983" spans="1:14" hidden="1" outlineLevel="1" x14ac:dyDescent="0.2">
      <c r="A7983" s="23" t="str">
        <f>HYPERLINK("https://www.spark-marketing.ru/Card/Person/558642", "ВОЕННОЕ СЛЕДСТВЕННОЕ УПРАВЛЕНИЕ СЛЕДСТВЕННОГО КОМИТЕТА РОССИЙСКОЙ ФЕДЕРАЦИИ ПО ЦЕНТРАЛЬНОМУ ВОЕННОМУ ОКРУГУ")</f>
        <v>ВОЕННОЕ СЛЕДСТВЕННОЕ УПРАВЛЕНИЕ СЛЕДСТВЕННОГО КОМИТЕТА РОССИЙСКОЙ ФЕДЕРАЦИИ ПО ЦЕНТРАЛЬНОМУ ВОЕННОМУ ОКРУГУ</v>
      </c>
      <c r="B7983" s="24" t="s">
        <v>10190</v>
      </c>
      <c r="C7983" s="25">
        <v>1000000</v>
      </c>
      <c r="D7983" s="22" t="s">
        <v>10191</v>
      </c>
      <c r="E7983" s="22" t="s">
        <v>208</v>
      </c>
      <c r="F7983" s="23" t="str">
        <f>HYPERLINK("https://www.spark-marketing.ru/Card/Lot/70593834", "Приобретение и установка систем безопасности (видеонаблюдения и СКУД)")</f>
        <v>Приобретение и установка систем безопасности (видеонаблюдения и СКУД)</v>
      </c>
      <c r="G7983" s="22" t="s">
        <v>72</v>
      </c>
      <c r="H7983" s="22" t="s">
        <v>949</v>
      </c>
      <c r="I7983" s="26">
        <v>43605.577777777798</v>
      </c>
      <c r="J7983" s="23" t="str">
        <f>HYPERLINK("https://www.spark-marketing.ru/Card/Person/6218341", "ООО ""СЕРВИОНИКА""")</f>
        <v>ООО "СЕРВИОНИКА"</v>
      </c>
      <c r="K7983" s="24" t="s">
        <v>10192</v>
      </c>
      <c r="L7983" s="28" t="s">
        <v>52</v>
      </c>
      <c r="M7983" s="25">
        <v>885000</v>
      </c>
      <c r="N7983" s="27">
        <v>0.115</v>
      </c>
    </row>
    <row r="7984" spans="1:14" ht="12.75" hidden="1" outlineLevel="1" x14ac:dyDescent="0.2">
      <c r="A7984" s="23" t="str">
        <f>HYPERLINK("https://www.spark-marketing.ru/Card/Person/558642", "ВОЕННОЕ СЛЕДСТВЕННОЕ УПРАВЛЕНИЕ СЛЕДСТВЕННОГО КОМИТЕТА РОССИЙСКОЙ ФЕДЕРАЦИИ ПО ЦЕНТРАЛЬНОМУ ВОЕННОМУ ОКРУГУ")</f>
        <v>ВОЕННОЕ СЛЕДСТВЕННОЕ УПРАВЛЕНИЕ СЛЕДСТВЕННОГО КОМИТЕТА РОССИЙСКОЙ ФЕДЕРАЦИИ ПО ЦЕНТРАЛЬНОМУ ВОЕННОМУ ОКРУГУ</v>
      </c>
      <c r="B7984" s="24" t="s">
        <v>10190</v>
      </c>
      <c r="C7984" s="25">
        <v>1000000</v>
      </c>
      <c r="D7984" s="22" t="s">
        <v>10191</v>
      </c>
      <c r="E7984" s="22" t="s">
        <v>208</v>
      </c>
      <c r="F7984" s="23" t="str">
        <f>HYPERLINK("https://www.spark-marketing.ru/Card/Lot/70593834", "Приобретение и установка систем безопасности (видеонаблюдения и СКУД)")</f>
        <v>Приобретение и установка систем безопасности (видеонаблюдения и СКУД)</v>
      </c>
      <c r="G7984" s="22" t="s">
        <v>72</v>
      </c>
      <c r="H7984" s="22" t="s">
        <v>949</v>
      </c>
      <c r="I7984" s="26">
        <v>43605.577777777798</v>
      </c>
      <c r="J7984" s="23" t="str">
        <f>HYPERLINK("https://www.spark-marketing.ru/Card/Person/50495", "ООО ""МСП БИЗНЕС МИР""")</f>
        <v>ООО "МСП БИЗНЕС МИР"</v>
      </c>
      <c r="K7984" s="24" t="s">
        <v>6602</v>
      </c>
      <c r="L7984" s="22" t="s">
        <v>10</v>
      </c>
      <c r="M7984" s="25">
        <v>880000</v>
      </c>
      <c r="N7984" s="27">
        <v>0.12</v>
      </c>
    </row>
    <row r="7985" spans="1:14" x14ac:dyDescent="0.15">
      <c r="A7985" s="23" t="str">
        <f>HYPERLINK("https://www.spark-marketing.ru/Card/Person/555246", "АО ""УЭХК""")</f>
        <v>АО "УЭХК"</v>
      </c>
      <c r="B7985" s="24" t="s">
        <v>2525</v>
      </c>
      <c r="C7985" s="25">
        <v>0</v>
      </c>
      <c r="D7985" s="22" t="s">
        <v>10193</v>
      </c>
      <c r="E7985" s="22" t="s">
        <v>53</v>
      </c>
      <c r="F7985" s="23" t="str">
        <f>HYPERLINK("https://www.spark-marketing.ru/Card/Lot/70597439", "мониторинг цен в электронной форме на Право заключения договора на оказание услуг по физической охране объектов АО «УЭХК».")</f>
        <v>мониторинг цен в электронной форме на Право заключения договора на оказание услуг по физической охране объектов АО «УЭХК».</v>
      </c>
      <c r="G7985" s="22" t="s">
        <v>72</v>
      </c>
      <c r="H7985" s="22" t="s">
        <v>2527</v>
      </c>
      <c r="I7985" s="26">
        <v>43605.573981481502</v>
      </c>
      <c r="J7985" s="28" t="s">
        <v>52</v>
      </c>
      <c r="K7985" s="28" t="s">
        <v>52</v>
      </c>
      <c r="L7985" s="28" t="s">
        <v>52</v>
      </c>
      <c r="M7985" s="28" t="s">
        <v>52</v>
      </c>
      <c r="N7985" s="28" t="s">
        <v>52</v>
      </c>
    </row>
    <row r="7986" spans="1:14" x14ac:dyDescent="0.15">
      <c r="A7986" s="23" t="str">
        <f>HYPERLINK("https://www.spark-marketing.ru/Card/Person/496796", "ГАУСО ""БЕЛОГОРСКИЙ ПСИХОНЕВРОЛОГИЧЕСКИЙ ИНТЕРНАТ""")</f>
        <v>ГАУСО "БЕЛОГОРСКИЙ ПСИХОНЕВРОЛОГИЧЕСКИЙ ИНТЕРНАТ"</v>
      </c>
      <c r="B7986" s="24" t="s">
        <v>10194</v>
      </c>
      <c r="C7986" s="25">
        <v>741004.80000000005</v>
      </c>
      <c r="D7986" s="22" t="s">
        <v>10195</v>
      </c>
      <c r="E7986" s="22" t="s">
        <v>8413</v>
      </c>
      <c r="F7986" s="23" t="str">
        <f>HYPERLINK("https://www.spark-marketing.ru/Card/Lot/70580992", "Услуги по физической охране объекта")</f>
        <v>Услуги по физической охране объекта</v>
      </c>
      <c r="G7986" s="22" t="s">
        <v>230</v>
      </c>
      <c r="H7986" s="22" t="s">
        <v>230</v>
      </c>
      <c r="I7986" s="26">
        <v>43605.526446759301</v>
      </c>
      <c r="J7986" s="28" t="s">
        <v>52</v>
      </c>
      <c r="K7986" s="28" t="s">
        <v>52</v>
      </c>
      <c r="L7986" s="28" t="s">
        <v>52</v>
      </c>
      <c r="M7986" s="28" t="s">
        <v>52</v>
      </c>
      <c r="N7986" s="28" t="s">
        <v>52</v>
      </c>
    </row>
    <row r="7987" spans="1:14" x14ac:dyDescent="0.15">
      <c r="A7987" s="23" t="str">
        <f>HYPERLINK("https://www.spark-marketing.ru/Card/Person/134798", "ГУУ")</f>
        <v>ГУУ</v>
      </c>
      <c r="B7987" s="24" t="s">
        <v>10196</v>
      </c>
      <c r="C7987" s="25">
        <v>354360</v>
      </c>
      <c r="D7987" s="22" t="s">
        <v>10197</v>
      </c>
      <c r="E7987" s="22" t="s">
        <v>370</v>
      </c>
      <c r="F7987" s="23" t="str">
        <f>HYPERLINK("https://www.spark-marketing.ru/Card/Lot/70593496", "Оказание услуг по техническому обслуживанию шлагбаумов, автоматических ворот и комплекта видео,аудио,связи (домофон)")</f>
        <v>Оказание услуг по техническому обслуживанию шлагбаумов, автоматических ворот и комплекта видео,аудио,связи (домофон)</v>
      </c>
      <c r="G7987" s="22" t="s">
        <v>55</v>
      </c>
      <c r="H7987" s="22" t="s">
        <v>55</v>
      </c>
      <c r="I7987" s="26">
        <v>43605.521354166704</v>
      </c>
      <c r="J7987" s="28" t="s">
        <v>52</v>
      </c>
      <c r="K7987" s="28" t="s">
        <v>52</v>
      </c>
      <c r="L7987" s="28" t="s">
        <v>52</v>
      </c>
      <c r="M7987" s="28" t="s">
        <v>52</v>
      </c>
      <c r="N7987" s="28" t="s">
        <v>52</v>
      </c>
    </row>
    <row r="7988" spans="1:14" x14ac:dyDescent="0.2">
      <c r="A7988" s="23" t="str">
        <f>HYPERLINK("https://www.spark-marketing.ru/Card/Person/111779", "ГАУ РО ""ОКДЦ""")</f>
        <v>ГАУ РО "ОКДЦ"</v>
      </c>
      <c r="B7988" s="24" t="s">
        <v>3620</v>
      </c>
      <c r="C7988" s="25">
        <v>89400</v>
      </c>
      <c r="D7988" s="22" t="s">
        <v>10198</v>
      </c>
      <c r="E7988" s="22" t="s">
        <v>10199</v>
      </c>
      <c r="F7988" s="23" t="str">
        <f>HYPERLINK("https://www.spark-marketing.ru/Card/Lot/70594717", "Закупка работ по техническому обслуживанию системы видеонаблюдения")</f>
        <v>Закупка работ по техническому обслуживанию системы видеонаблюдения</v>
      </c>
      <c r="G7988" s="22" t="s">
        <v>402</v>
      </c>
      <c r="H7988" s="22" t="s">
        <v>402</v>
      </c>
      <c r="I7988" s="26">
        <v>43605.517430555599</v>
      </c>
      <c r="J7988" s="23" t="str">
        <f>HYPERLINK("https://www.spark-marketing.ru/Card/Person/2135493", "Даниленко Алексей Александрович")</f>
        <v>Даниленко Алексей Александрович</v>
      </c>
      <c r="K7988" s="24" t="s">
        <v>10200</v>
      </c>
      <c r="L7988" s="28" t="s">
        <v>52</v>
      </c>
      <c r="M7988" s="25">
        <v>89400</v>
      </c>
      <c r="N7988" s="27">
        <v>0</v>
      </c>
    </row>
    <row r="7989" spans="1:14" x14ac:dyDescent="0.2">
      <c r="A7989" s="23" t="str">
        <f>HYPERLINK("https://www.spark-marketing.ru/Card/Person/34936", "МЕСТНАЯ АДМИНИСТРАЦИЯ МО Г. КРАСНОЕ СЕЛО")</f>
        <v>МЕСТНАЯ АДМИНИСТРАЦИЯ МО Г. КРАСНОЕ СЕЛО</v>
      </c>
      <c r="B7989" s="24" t="s">
        <v>10201</v>
      </c>
      <c r="C7989" s="25">
        <v>1904200</v>
      </c>
      <c r="D7989" s="22" t="s">
        <v>10202</v>
      </c>
      <c r="E7989" s="22" t="s">
        <v>1634</v>
      </c>
      <c r="F7989" s="23" t="str">
        <f>HYPERLINK("https://www.spark-marketing.ru/Card/Lot/70594700", "Оказание услуг по организации и проведению местных праздничных мероприятий для жителей муниципального образования города Красное Село: местное праздничное мероприятие - День Дудергофа; праздничное мероприятие, посвящённое Дню семьи, любви и верности;...")</f>
        <v>Оказание услуг по организации и проведению местных праздничных мероприятий для жителей муниципального образования города Красное Село: местное праздничное мероприятие - День Дудергофа; праздничное мероприятие, посвящённое Дню семьи, любви и верности;...</v>
      </c>
      <c r="G7989" s="22" t="s">
        <v>89</v>
      </c>
      <c r="H7989" s="22" t="s">
        <v>89</v>
      </c>
      <c r="I7989" s="26">
        <v>43605.5</v>
      </c>
      <c r="J7989" s="23" t="str">
        <f>HYPERLINK("https://www.spark-marketing.ru/Card/Person/69172", "Хасеневич Юрий Владимирович")</f>
        <v>Хасеневич Юрий Владимирович</v>
      </c>
      <c r="K7989" s="24" t="s">
        <v>10203</v>
      </c>
      <c r="L7989" s="28" t="s">
        <v>52</v>
      </c>
      <c r="M7989" s="25">
        <v>1850000</v>
      </c>
      <c r="N7989" s="27">
        <v>2.8463396702027098E-2</v>
      </c>
    </row>
    <row r="7990" spans="1:14" x14ac:dyDescent="0.15">
      <c r="A7990" s="23" t="str">
        <f>HYPERLINK("https://www.spark-marketing.ru/Card/Person/19743", "АО ХК ""ТАТНЕФТЕПРОДУКТ""")</f>
        <v>АО ХК "ТАТНЕФТЕПРОДУКТ"</v>
      </c>
      <c r="B7990" s="24" t="s">
        <v>4209</v>
      </c>
      <c r="C7990" s="25">
        <v>42000</v>
      </c>
      <c r="D7990" s="22" t="s">
        <v>10204</v>
      </c>
      <c r="E7990" s="22" t="s">
        <v>53</v>
      </c>
      <c r="F7990" s="23" t="str">
        <f>HYPERLINK("https://www.spark-marketing.ru/Card/Lot/70615391", "Техническое обслуживание системы видеонаблюдения нефтебазы на второе полугодие 2019 и первое полугодие 2020 года участка ""Нурлатнефтепродукт"" АО ХК ""Татнефтепродукт""")</f>
        <v>Техническое обслуживание системы видеонаблюдения нефтебазы на второе полугодие 2019 и первое полугодие 2020 года участка "Нурлатнефтепродукт" АО ХК "Татнефтепродукт"</v>
      </c>
      <c r="G7990" s="22" t="s">
        <v>204</v>
      </c>
      <c r="H7990" s="22" t="s">
        <v>303</v>
      </c>
      <c r="I7990" s="26">
        <v>43605.481168981503</v>
      </c>
      <c r="J7990" s="28" t="s">
        <v>52</v>
      </c>
      <c r="K7990" s="28" t="s">
        <v>52</v>
      </c>
      <c r="L7990" s="28" t="s">
        <v>52</v>
      </c>
      <c r="M7990" s="28" t="s">
        <v>52</v>
      </c>
      <c r="N7990" s="28" t="s">
        <v>52</v>
      </c>
    </row>
    <row r="7991" spans="1:14" x14ac:dyDescent="0.15">
      <c r="A7991" s="23" t="str">
        <f t="shared" ref="A7991:A7999" si="348">HYPERLINK("https://www.spark-marketing.ru/Card/Person/137767", "МОУ - СРЕДНЯЯ ОБЩЕОБРАЗОВАТЕЛЬНАЯ ШКОЛА Д. КРАСНЫЙ БАЛТИЕЦ")</f>
        <v>МОУ - СРЕДНЯЯ ОБЩЕОБРАЗОВАТЕЛЬНАЯ ШКОЛА Д. КРАСНЫЙ БАЛТИЕЦ</v>
      </c>
      <c r="B7991" s="24" t="s">
        <v>3631</v>
      </c>
      <c r="C7991" s="25">
        <v>221000</v>
      </c>
      <c r="D7991" s="22" t="s">
        <v>10205</v>
      </c>
      <c r="E7991" s="22" t="s">
        <v>208</v>
      </c>
      <c r="F7991" s="23" t="str">
        <f t="shared" ref="F7991:F7999" si="349">HYPERLINK("https://www.spark-marketing.ru/Card/Lot/70593200", "Поставка и установка системы контроля управлением доступа, арочного металлодетектора, видеодомофона")</f>
        <v>Поставка и установка системы контроля управлением доступа, арочного металлодетектора, видеодомофона</v>
      </c>
      <c r="G7991" s="22" t="s">
        <v>50</v>
      </c>
      <c r="H7991" s="22" t="s">
        <v>946</v>
      </c>
      <c r="I7991" s="26">
        <v>43605.465972222199</v>
      </c>
      <c r="J7991" s="28" t="s">
        <v>52</v>
      </c>
      <c r="K7991" s="28" t="s">
        <v>52</v>
      </c>
      <c r="L7991" s="28" t="s">
        <v>52</v>
      </c>
      <c r="M7991" s="28" t="s">
        <v>52</v>
      </c>
      <c r="N7991" s="28" t="s">
        <v>52</v>
      </c>
    </row>
    <row r="7992" spans="1:14" ht="12.75" hidden="1" outlineLevel="1" x14ac:dyDescent="0.2">
      <c r="A7992" s="23" t="str">
        <f t="shared" si="348"/>
        <v>МОУ - СРЕДНЯЯ ОБЩЕОБРАЗОВАТЕЛЬНАЯ ШКОЛА Д. КРАСНЫЙ БАЛТИЕЦ</v>
      </c>
      <c r="B7992" s="24" t="s">
        <v>3631</v>
      </c>
      <c r="C7992" s="25">
        <v>221000</v>
      </c>
      <c r="D7992" s="22" t="s">
        <v>10205</v>
      </c>
      <c r="E7992" s="22" t="s">
        <v>208</v>
      </c>
      <c r="F7992" s="23" t="str">
        <f t="shared" si="349"/>
        <v>Поставка и установка системы контроля управлением доступа, арочного металлодетектора, видеодомофона</v>
      </c>
      <c r="G7992" s="22" t="s">
        <v>50</v>
      </c>
      <c r="H7992" s="22" t="s">
        <v>946</v>
      </c>
      <c r="I7992" s="26">
        <v>43605.465972222199</v>
      </c>
      <c r="J7992" s="23" t="str">
        <f>HYPERLINK("https://www.spark-marketing.ru/Card/Person/4439350", "ООО ""ЧОО ""ТРИГЛАВ""")</f>
        <v>ООО "ЧОО "ТРИГЛАВ"</v>
      </c>
      <c r="K7992" s="24" t="s">
        <v>1198</v>
      </c>
      <c r="L7992" s="22" t="s">
        <v>10</v>
      </c>
      <c r="M7992" s="25">
        <v>187850</v>
      </c>
      <c r="N7992" s="27">
        <v>0.15</v>
      </c>
    </row>
    <row r="7993" spans="1:14" hidden="1" outlineLevel="1" x14ac:dyDescent="0.2">
      <c r="A7993" s="23" t="str">
        <f t="shared" si="348"/>
        <v>МОУ - СРЕДНЯЯ ОБЩЕОБРАЗОВАТЕЛЬНАЯ ШКОЛА Д. КРАСНЫЙ БАЛТИЕЦ</v>
      </c>
      <c r="B7993" s="24" t="s">
        <v>3631</v>
      </c>
      <c r="C7993" s="25">
        <v>221000</v>
      </c>
      <c r="D7993" s="22" t="s">
        <v>10205</v>
      </c>
      <c r="E7993" s="22" t="s">
        <v>208</v>
      </c>
      <c r="F7993" s="23" t="str">
        <f t="shared" si="349"/>
        <v>Поставка и установка системы контроля управлением доступа, арочного металлодетектора, видеодомофона</v>
      </c>
      <c r="G7993" s="22" t="s">
        <v>50</v>
      </c>
      <c r="H7993" s="22" t="s">
        <v>946</v>
      </c>
      <c r="I7993" s="26">
        <v>43605.465972222199</v>
      </c>
      <c r="J7993" s="23" t="str">
        <f>HYPERLINK("https://www.spark-marketing.ru/Card/Person/6445825", "Судариков Михаил Геннадьевич")</f>
        <v>Судариков Михаил Геннадьевич</v>
      </c>
      <c r="K7993" s="24" t="s">
        <v>1219</v>
      </c>
      <c r="L7993" s="28" t="s">
        <v>52</v>
      </c>
      <c r="M7993" s="25">
        <v>190000</v>
      </c>
      <c r="N7993" s="27">
        <v>0.14027149321266968</v>
      </c>
    </row>
    <row r="7994" spans="1:14" hidden="1" outlineLevel="1" x14ac:dyDescent="0.2">
      <c r="A7994" s="23" t="str">
        <f t="shared" si="348"/>
        <v>МОУ - СРЕДНЯЯ ОБЩЕОБРАЗОВАТЕЛЬНАЯ ШКОЛА Д. КРАСНЫЙ БАЛТИЕЦ</v>
      </c>
      <c r="B7994" s="24" t="s">
        <v>3631</v>
      </c>
      <c r="C7994" s="25">
        <v>221000</v>
      </c>
      <c r="D7994" s="22" t="s">
        <v>10205</v>
      </c>
      <c r="E7994" s="22" t="s">
        <v>208</v>
      </c>
      <c r="F7994" s="23" t="str">
        <f t="shared" si="349"/>
        <v>Поставка и установка системы контроля управлением доступа, арочного металлодетектора, видеодомофона</v>
      </c>
      <c r="G7994" s="22" t="s">
        <v>50</v>
      </c>
      <c r="H7994" s="22" t="s">
        <v>946</v>
      </c>
      <c r="I7994" s="26">
        <v>43605.465972222199</v>
      </c>
      <c r="J7994" s="23" t="str">
        <f>HYPERLINK("https://www.spark-marketing.ru/Card/Person/264812", "ООО ""ЦТБ-КОМИТЕК""")</f>
        <v>ООО "ЦТБ-КОМИТЕК"</v>
      </c>
      <c r="K7994" s="24" t="s">
        <v>10206</v>
      </c>
      <c r="L7994" s="28" t="s">
        <v>52</v>
      </c>
      <c r="M7994" s="25">
        <v>207250</v>
      </c>
      <c r="N7994" s="27">
        <v>6.2217194570135748E-2</v>
      </c>
    </row>
    <row r="7995" spans="1:14" hidden="1" outlineLevel="1" x14ac:dyDescent="0.2">
      <c r="A7995" s="23" t="str">
        <f t="shared" si="348"/>
        <v>МОУ - СРЕДНЯЯ ОБЩЕОБРАЗОВАТЕЛЬНАЯ ШКОЛА Д. КРАСНЫЙ БАЛТИЕЦ</v>
      </c>
      <c r="B7995" s="24" t="s">
        <v>3631</v>
      </c>
      <c r="C7995" s="25">
        <v>221000</v>
      </c>
      <c r="D7995" s="22" t="s">
        <v>10205</v>
      </c>
      <c r="E7995" s="22" t="s">
        <v>208</v>
      </c>
      <c r="F7995" s="23" t="str">
        <f t="shared" si="349"/>
        <v>Поставка и установка системы контроля управлением доступа, арочного металлодетектора, видеодомофона</v>
      </c>
      <c r="G7995" s="22" t="s">
        <v>50</v>
      </c>
      <c r="H7995" s="22" t="s">
        <v>946</v>
      </c>
      <c r="I7995" s="26">
        <v>43605.465972222199</v>
      </c>
      <c r="J7995" s="23" t="str">
        <f>HYPERLINK("https://www.spark-marketing.ru/Card/Person/6510993", "ООО ""ЛВ-СИСТЕМС""")</f>
        <v>ООО "ЛВ-СИСТЕМС"</v>
      </c>
      <c r="K7995" s="24" t="s">
        <v>10046</v>
      </c>
      <c r="L7995" s="28" t="s">
        <v>52</v>
      </c>
      <c r="M7995" s="25">
        <v>216000</v>
      </c>
      <c r="N7995" s="27">
        <v>2.2624434389140271E-2</v>
      </c>
    </row>
    <row r="7996" spans="1:14" hidden="1" outlineLevel="1" x14ac:dyDescent="0.2">
      <c r="A7996" s="23" t="str">
        <f t="shared" si="348"/>
        <v>МОУ - СРЕДНЯЯ ОБЩЕОБРАЗОВАТЕЛЬНАЯ ШКОЛА Д. КРАСНЫЙ БАЛТИЕЦ</v>
      </c>
      <c r="B7996" s="24" t="s">
        <v>3631</v>
      </c>
      <c r="C7996" s="25">
        <v>221000</v>
      </c>
      <c r="D7996" s="22" t="s">
        <v>10205</v>
      </c>
      <c r="E7996" s="22" t="s">
        <v>208</v>
      </c>
      <c r="F7996" s="23" t="str">
        <f t="shared" si="349"/>
        <v>Поставка и установка системы контроля управлением доступа, арочного металлодетектора, видеодомофона</v>
      </c>
      <c r="G7996" s="22" t="s">
        <v>50</v>
      </c>
      <c r="H7996" s="22" t="s">
        <v>946</v>
      </c>
      <c r="I7996" s="26">
        <v>43605.465972222199</v>
      </c>
      <c r="J7996" s="23" t="str">
        <f>HYPERLINK("https://www.spark-marketing.ru/Card/Person/6514628", "Алиева Диана Руслановна")</f>
        <v>Алиева Диана Руслановна</v>
      </c>
      <c r="K7996" s="24" t="s">
        <v>10048</v>
      </c>
      <c r="L7996" s="28" t="s">
        <v>52</v>
      </c>
      <c r="M7996" s="25">
        <v>220000</v>
      </c>
      <c r="N7996" s="27">
        <v>4.5248868778280547E-3</v>
      </c>
    </row>
    <row r="7997" spans="1:14" hidden="1" outlineLevel="1" x14ac:dyDescent="0.2">
      <c r="A7997" s="23" t="str">
        <f t="shared" si="348"/>
        <v>МОУ - СРЕДНЯЯ ОБЩЕОБРАЗОВАТЕЛЬНАЯ ШКОЛА Д. КРАСНЫЙ БАЛТИЕЦ</v>
      </c>
      <c r="B7997" s="24" t="s">
        <v>3631</v>
      </c>
      <c r="C7997" s="25">
        <v>221000</v>
      </c>
      <c r="D7997" s="22" t="s">
        <v>10205</v>
      </c>
      <c r="E7997" s="22" t="s">
        <v>208</v>
      </c>
      <c r="F7997" s="23" t="str">
        <f t="shared" si="349"/>
        <v>Поставка и установка системы контроля управлением доступа, арочного металлодетектора, видеодомофона</v>
      </c>
      <c r="G7997" s="22" t="s">
        <v>50</v>
      </c>
      <c r="H7997" s="22" t="s">
        <v>946</v>
      </c>
      <c r="I7997" s="26">
        <v>43605.465972222199</v>
      </c>
      <c r="J7997" s="23" t="str">
        <f>HYPERLINK("https://www.spark-marketing.ru/Card/Person/412116", "Русляков Дмитрий Николаевич")</f>
        <v>Русляков Дмитрий Николаевич</v>
      </c>
      <c r="K7997" s="24" t="s">
        <v>2111</v>
      </c>
      <c r="L7997" s="28" t="s">
        <v>52</v>
      </c>
      <c r="M7997" s="25">
        <v>220500</v>
      </c>
      <c r="N7997" s="27">
        <v>2.2624434389140274E-3</v>
      </c>
    </row>
    <row r="7998" spans="1:14" hidden="1" outlineLevel="1" x14ac:dyDescent="0.2">
      <c r="A7998" s="23" t="str">
        <f t="shared" si="348"/>
        <v>МОУ - СРЕДНЯЯ ОБЩЕОБРАЗОВАТЕЛЬНАЯ ШКОЛА Д. КРАСНЫЙ БАЛТИЕЦ</v>
      </c>
      <c r="B7998" s="24" t="s">
        <v>3631</v>
      </c>
      <c r="C7998" s="25">
        <v>221000</v>
      </c>
      <c r="D7998" s="22" t="s">
        <v>10205</v>
      </c>
      <c r="E7998" s="22" t="s">
        <v>208</v>
      </c>
      <c r="F7998" s="23" t="str">
        <f t="shared" si="349"/>
        <v>Поставка и установка системы контроля управлением доступа, арочного металлодетектора, видеодомофона</v>
      </c>
      <c r="G7998" s="22" t="s">
        <v>50</v>
      </c>
      <c r="H7998" s="22" t="s">
        <v>946</v>
      </c>
      <c r="I7998" s="26">
        <v>43605.465972222199</v>
      </c>
      <c r="J7998" s="23" t="str">
        <f>HYPERLINK("https://www.spark-marketing.ru/Card/Person/4749401", "Семенищев Михаил Васильевич")</f>
        <v>Семенищев Михаил Васильевич</v>
      </c>
      <c r="K7998" s="24" t="s">
        <v>8748</v>
      </c>
      <c r="L7998" s="28" t="s">
        <v>52</v>
      </c>
      <c r="M7998" s="25">
        <v>221000</v>
      </c>
      <c r="N7998" s="27">
        <v>0</v>
      </c>
    </row>
    <row r="7999" spans="1:14" hidden="1" outlineLevel="1" x14ac:dyDescent="0.2">
      <c r="A7999" s="23" t="str">
        <f t="shared" si="348"/>
        <v>МОУ - СРЕДНЯЯ ОБЩЕОБРАЗОВАТЕЛЬНАЯ ШКОЛА Д. КРАСНЫЙ БАЛТИЕЦ</v>
      </c>
      <c r="B7999" s="24" t="s">
        <v>3631</v>
      </c>
      <c r="C7999" s="25">
        <v>221000</v>
      </c>
      <c r="D7999" s="22" t="s">
        <v>10205</v>
      </c>
      <c r="E7999" s="22" t="s">
        <v>208</v>
      </c>
      <c r="F7999" s="23" t="str">
        <f t="shared" si="349"/>
        <v>Поставка и установка системы контроля управлением доступа, арочного металлодетектора, видеодомофона</v>
      </c>
      <c r="G7999" s="22" t="s">
        <v>50</v>
      </c>
      <c r="H7999" s="22" t="s">
        <v>946</v>
      </c>
      <c r="I7999" s="26">
        <v>43605.465972222199</v>
      </c>
      <c r="J7999" s="23" t="str">
        <f>HYPERLINK("https://www.spark-marketing.ru/Card/Person/1688801", "Назаров Александр Николаевич")</f>
        <v>Назаров Александр Николаевич</v>
      </c>
      <c r="K7999" s="24" t="s">
        <v>10207</v>
      </c>
      <c r="L7999" s="28" t="s">
        <v>52</v>
      </c>
      <c r="M7999" s="25">
        <v>221000</v>
      </c>
      <c r="N7999" s="27">
        <v>0</v>
      </c>
    </row>
    <row r="8000" spans="1:14" x14ac:dyDescent="0.15">
      <c r="A8000" s="23" t="str">
        <f>HYPERLINK("https://www.spark-marketing.ru/Card/Person/6494277", "МКУ ""УПРАВЛЕНИЕ ПО ДЕЛАМ ГОЧС АЗОВСКОГО РАЙОНА""")</f>
        <v>МКУ "УПРАВЛЕНИЕ ПО ДЕЛАМ ГОЧС АЗОВСКОГО РАЙОНА"</v>
      </c>
      <c r="B8000" s="24" t="s">
        <v>10208</v>
      </c>
      <c r="C8000" s="25">
        <v>420000</v>
      </c>
      <c r="D8000" s="22" t="s">
        <v>10209</v>
      </c>
      <c r="E8000" s="22" t="s">
        <v>68</v>
      </c>
      <c r="F8000" s="23" t="str">
        <f>HYPERLINK("https://www.spark-marketing.ru/Card/Lot/70594840", "Услуги, связанные с обеспечением общественного порядка и безопасности, прочие")</f>
        <v>Услуги, связанные с обеспечением общественного порядка и безопасности, прочие</v>
      </c>
      <c r="G8000" s="22" t="s">
        <v>402</v>
      </c>
      <c r="H8000" s="22" t="s">
        <v>10210</v>
      </c>
      <c r="I8000" s="26">
        <v>43605.482638888898</v>
      </c>
      <c r="J8000" s="28" t="s">
        <v>52</v>
      </c>
      <c r="K8000" s="28" t="s">
        <v>52</v>
      </c>
      <c r="L8000" s="28" t="s">
        <v>52</v>
      </c>
      <c r="M8000" s="28" t="s">
        <v>52</v>
      </c>
      <c r="N8000" s="28" t="s">
        <v>52</v>
      </c>
    </row>
    <row r="8001" spans="1:14" ht="12.75" hidden="1" outlineLevel="1" x14ac:dyDescent="0.2">
      <c r="A8001" s="23" t="str">
        <f>HYPERLINK("https://www.spark-marketing.ru/Card/Person/6494277", "МКУ ""УПРАВЛЕНИЕ ПО ДЕЛАМ ГОЧС АЗОВСКОГО РАЙОНА""")</f>
        <v>МКУ "УПРАВЛЕНИЕ ПО ДЕЛАМ ГОЧС АЗОВСКОГО РАЙОНА"</v>
      </c>
      <c r="B8001" s="24" t="s">
        <v>10208</v>
      </c>
      <c r="C8001" s="25">
        <v>420000</v>
      </c>
      <c r="D8001" s="22" t="s">
        <v>10209</v>
      </c>
      <c r="E8001" s="22" t="s">
        <v>68</v>
      </c>
      <c r="F8001" s="23" t="str">
        <f>HYPERLINK("https://www.spark-marketing.ru/Card/Lot/70594840", "Услуги, связанные с обеспечением общественного порядка и безопасности, прочие")</f>
        <v>Услуги, связанные с обеспечением общественного порядка и безопасности, прочие</v>
      </c>
      <c r="G8001" s="22" t="s">
        <v>402</v>
      </c>
      <c r="H8001" s="22" t="s">
        <v>10210</v>
      </c>
      <c r="I8001" s="26">
        <v>43605.482638888898</v>
      </c>
      <c r="J8001" s="23" t="str">
        <f>HYPERLINK("https://www.spark-marketing.ru/Card/Person/790079", "ООО ""ГК ""ВЕГА""")</f>
        <v>ООО "ГК "ВЕГА"</v>
      </c>
      <c r="K8001" s="24" t="s">
        <v>10211</v>
      </c>
      <c r="L8001" s="22" t="s">
        <v>10</v>
      </c>
      <c r="M8001" s="25">
        <v>413700</v>
      </c>
      <c r="N8001" s="27">
        <v>1.4999999999999999E-2</v>
      </c>
    </row>
    <row r="8002" spans="1:14" hidden="1" outlineLevel="1" x14ac:dyDescent="0.2">
      <c r="A8002" s="23" t="str">
        <f>HYPERLINK("https://www.spark-marketing.ru/Card/Person/6494277", "МКУ ""УПРАВЛЕНИЕ ПО ДЕЛАМ ГОЧС АЗОВСКОГО РАЙОНА""")</f>
        <v>МКУ "УПРАВЛЕНИЕ ПО ДЕЛАМ ГОЧС АЗОВСКОГО РАЙОНА"</v>
      </c>
      <c r="B8002" s="24" t="s">
        <v>10208</v>
      </c>
      <c r="C8002" s="25">
        <v>420000</v>
      </c>
      <c r="D8002" s="22" t="s">
        <v>10209</v>
      </c>
      <c r="E8002" s="22" t="s">
        <v>68</v>
      </c>
      <c r="F8002" s="23" t="str">
        <f>HYPERLINK("https://www.spark-marketing.ru/Card/Lot/70594840", "Услуги, связанные с обеспечением общественного порядка и безопасности, прочие")</f>
        <v>Услуги, связанные с обеспечением общественного порядка и безопасности, прочие</v>
      </c>
      <c r="G8002" s="22" t="s">
        <v>402</v>
      </c>
      <c r="H8002" s="22" t="s">
        <v>10210</v>
      </c>
      <c r="I8002" s="26">
        <v>43605.482638888898</v>
      </c>
      <c r="J8002" s="23" t="str">
        <f>HYPERLINK("https://www.spark-marketing.ru/Card/Person/780802", "ООО ""РОСИНФОКОМ""")</f>
        <v>ООО "РОСИНФОКОМ"</v>
      </c>
      <c r="K8002" s="24" t="s">
        <v>10212</v>
      </c>
      <c r="L8002" s="28" t="s">
        <v>52</v>
      </c>
      <c r="M8002" s="25">
        <v>415800</v>
      </c>
      <c r="N8002" s="27">
        <v>0.01</v>
      </c>
    </row>
    <row r="8003" spans="1:14" x14ac:dyDescent="0.15">
      <c r="A8003" s="23" t="str">
        <f>HYPERLINK("https://www.spark-marketing.ru/Card/Person/1479961", "МАДОУ ДЕТСКИЙ САД № 62, ДЕТСКИЙ САД № 62")</f>
        <v>МАДОУ ДЕТСКИЙ САД № 62, ДЕТСКИЙ САД № 62</v>
      </c>
      <c r="B8003" s="24" t="s">
        <v>8915</v>
      </c>
      <c r="C8003" s="25">
        <v>208100</v>
      </c>
      <c r="D8003" s="22" t="s">
        <v>10213</v>
      </c>
      <c r="E8003" s="22" t="s">
        <v>49</v>
      </c>
      <c r="F8003" s="23" t="str">
        <f>HYPERLINK("https://www.spark-marketing.ru/Card/Lot/70581184", "На установку (модернизацию имеющегося) внутреннего и наружного видеонаблюдения")</f>
        <v>На установку (модернизацию имеющегося) внутреннего и наружного видеонаблюдения</v>
      </c>
      <c r="G8003" s="22" t="s">
        <v>72</v>
      </c>
      <c r="H8003" s="22" t="s">
        <v>72</v>
      </c>
      <c r="I8003" s="26">
        <v>43605.418703703697</v>
      </c>
      <c r="J8003" s="28" t="s">
        <v>52</v>
      </c>
      <c r="K8003" s="28" t="s">
        <v>52</v>
      </c>
      <c r="L8003" s="28" t="s">
        <v>52</v>
      </c>
      <c r="M8003" s="28" t="s">
        <v>52</v>
      </c>
      <c r="N8003" s="28" t="s">
        <v>52</v>
      </c>
    </row>
    <row r="8004" spans="1:14" x14ac:dyDescent="0.15">
      <c r="A8004" s="23" t="str">
        <f t="shared" ref="A8004:A8010" si="350">HYPERLINK("https://www.spark-marketing.ru/Card/Person/707", "КУ ""УПРАВЛЕНИЕ АВТОМОБИЛЬНЫХ ДОРОГ""")</f>
        <v>КУ "УПРАВЛЕНИЕ АВТОМОБИЛЬНЫХ ДОРОГ"</v>
      </c>
      <c r="B8004" s="24" t="s">
        <v>10214</v>
      </c>
      <c r="C8004" s="25">
        <v>5760000</v>
      </c>
      <c r="D8004" s="22" t="s">
        <v>10215</v>
      </c>
      <c r="E8004" s="22" t="s">
        <v>218</v>
      </c>
      <c r="F8004" s="23" t="str">
        <f t="shared" ref="F8004:F8010" si="351">HYPERLINK("https://www.spark-marketing.ru/Card/Lot/70581436", "Выполнение работ по разработке планов обеспечения транспортной безопасности мостовых сооружений IV категории, расположенных на автомобильных дорогах общего пользования регионального или межмуниципального значения Ханты-Мансийского автономного округа ...")</f>
        <v>Выполнение работ по разработке планов обеспечения транспортной безопасности мостовых сооружений IV категории, расположенных на автомобильных дорогах общего пользования регионального или межмуниципального значения Ханты-Мансийского автономного округа ...</v>
      </c>
      <c r="G8004" s="22" t="s">
        <v>119</v>
      </c>
      <c r="H8004" s="22" t="s">
        <v>2563</v>
      </c>
      <c r="I8004" s="26">
        <v>43605.425694444399</v>
      </c>
      <c r="J8004" s="28" t="s">
        <v>52</v>
      </c>
      <c r="K8004" s="28" t="s">
        <v>52</v>
      </c>
      <c r="L8004" s="28" t="s">
        <v>52</v>
      </c>
      <c r="M8004" s="28" t="s">
        <v>52</v>
      </c>
      <c r="N8004" s="28" t="s">
        <v>52</v>
      </c>
    </row>
    <row r="8005" spans="1:14" hidden="1" outlineLevel="1" x14ac:dyDescent="0.2">
      <c r="A8005" s="23" t="str">
        <f t="shared" si="350"/>
        <v>КУ "УПРАВЛЕНИЕ АВТОМОБИЛЬНЫХ ДОРОГ"</v>
      </c>
      <c r="B8005" s="24" t="s">
        <v>10214</v>
      </c>
      <c r="C8005" s="25">
        <v>5760000</v>
      </c>
      <c r="D8005" s="22" t="s">
        <v>10215</v>
      </c>
      <c r="E8005" s="22" t="s">
        <v>218</v>
      </c>
      <c r="F8005" s="23" t="str">
        <f t="shared" si="351"/>
        <v>Выполнение работ по разработке планов обеспечения транспортной безопасности мостовых сооружений IV категории, расположенных на автомобильных дорогах общего пользования регионального или межмуниципального значения Ханты-Мансийского автономного округа ...</v>
      </c>
      <c r="G8005" s="22" t="s">
        <v>119</v>
      </c>
      <c r="H8005" s="22" t="s">
        <v>2563</v>
      </c>
      <c r="I8005" s="26">
        <v>43605.425694444399</v>
      </c>
      <c r="J8005" s="23" t="str">
        <f>HYPERLINK("https://www.spark-marketing.ru/Card/Person/244248", "ООО ""ДАЛЬЦЕНТРАВИА""")</f>
        <v>ООО "ДАЛЬЦЕНТРАВИА"</v>
      </c>
      <c r="K8005" s="24" t="s">
        <v>5795</v>
      </c>
      <c r="L8005" s="28" t="s">
        <v>52</v>
      </c>
      <c r="M8005" s="25">
        <v>1892400</v>
      </c>
      <c r="N8005" s="27">
        <v>0.67145833333333338</v>
      </c>
    </row>
    <row r="8006" spans="1:14" hidden="1" outlineLevel="1" x14ac:dyDescent="0.2">
      <c r="A8006" s="23" t="str">
        <f t="shared" si="350"/>
        <v>КУ "УПРАВЛЕНИЕ АВТОМОБИЛЬНЫХ ДОРОГ"</v>
      </c>
      <c r="B8006" s="24" t="s">
        <v>10214</v>
      </c>
      <c r="C8006" s="25">
        <v>5760000</v>
      </c>
      <c r="D8006" s="22" t="s">
        <v>10215</v>
      </c>
      <c r="E8006" s="22" t="s">
        <v>218</v>
      </c>
      <c r="F8006" s="23" t="str">
        <f t="shared" si="351"/>
        <v>Выполнение работ по разработке планов обеспечения транспортной безопасности мостовых сооружений IV категории, расположенных на автомобильных дорогах общего пользования регионального или межмуниципального значения Ханты-Мансийского автономного округа ...</v>
      </c>
      <c r="G8006" s="22" t="s">
        <v>119</v>
      </c>
      <c r="H8006" s="22" t="s">
        <v>2563</v>
      </c>
      <c r="I8006" s="26">
        <v>43605.425694444399</v>
      </c>
      <c r="J8006" s="23" t="str">
        <f>HYPERLINK("https://www.spark-marketing.ru/Card/Person/632048", "ООО ""СБ-УРАЛ""")</f>
        <v>ООО "СБ-УРАЛ"</v>
      </c>
      <c r="K8006" s="24" t="s">
        <v>10216</v>
      </c>
      <c r="L8006" s="28" t="s">
        <v>52</v>
      </c>
      <c r="M8006" s="25">
        <v>4177000</v>
      </c>
      <c r="N8006" s="27">
        <v>0.27482638888888888</v>
      </c>
    </row>
    <row r="8007" spans="1:14" hidden="1" outlineLevel="1" x14ac:dyDescent="0.2">
      <c r="A8007" s="23" t="str">
        <f t="shared" si="350"/>
        <v>КУ "УПРАВЛЕНИЕ АВТОМОБИЛЬНЫХ ДОРОГ"</v>
      </c>
      <c r="B8007" s="24" t="s">
        <v>10214</v>
      </c>
      <c r="C8007" s="25">
        <v>5760000</v>
      </c>
      <c r="D8007" s="22" t="s">
        <v>10215</v>
      </c>
      <c r="E8007" s="22" t="s">
        <v>218</v>
      </c>
      <c r="F8007" s="23" t="str">
        <f t="shared" si="351"/>
        <v>Выполнение работ по разработке планов обеспечения транспортной безопасности мостовых сооружений IV категории, расположенных на автомобильных дорогах общего пользования регионального или межмуниципального значения Ханты-Мансийского автономного округа ...</v>
      </c>
      <c r="G8007" s="22" t="s">
        <v>119</v>
      </c>
      <c r="H8007" s="22" t="s">
        <v>2563</v>
      </c>
      <c r="I8007" s="26">
        <v>43605.425694444399</v>
      </c>
      <c r="J8007" s="23" t="str">
        <f>HYPERLINK("https://www.spark-marketing.ru/Card/Person/1978058", "ООО ""ФОРМУЛА БЕЗОПАСНОСТИ ТРАНСПОРТА""")</f>
        <v>ООО "ФОРМУЛА БЕЗОПАСНОСТИ ТРАНСПОРТА"</v>
      </c>
      <c r="K8007" s="24" t="s">
        <v>3385</v>
      </c>
      <c r="L8007" s="28" t="s">
        <v>52</v>
      </c>
      <c r="M8007" s="25">
        <v>5068800</v>
      </c>
      <c r="N8007" s="27">
        <v>0.12</v>
      </c>
    </row>
    <row r="8008" spans="1:14" ht="12.75" hidden="1" outlineLevel="1" x14ac:dyDescent="0.2">
      <c r="A8008" s="23" t="str">
        <f t="shared" si="350"/>
        <v>КУ "УПРАВЛЕНИЕ АВТОМОБИЛЬНЫХ ДОРОГ"</v>
      </c>
      <c r="B8008" s="24" t="s">
        <v>10214</v>
      </c>
      <c r="C8008" s="25">
        <v>5760000</v>
      </c>
      <c r="D8008" s="22" t="s">
        <v>10215</v>
      </c>
      <c r="E8008" s="22" t="s">
        <v>218</v>
      </c>
      <c r="F8008" s="23" t="str">
        <f t="shared" si="351"/>
        <v>Выполнение работ по разработке планов обеспечения транспортной безопасности мостовых сооружений IV категории, расположенных на автомобильных дорогах общего пользования регионального или межмуниципального значения Ханты-Мансийского автономного округа ...</v>
      </c>
      <c r="G8008" s="22" t="s">
        <v>119</v>
      </c>
      <c r="H8008" s="22" t="s">
        <v>2563</v>
      </c>
      <c r="I8008" s="26">
        <v>43605.425694444399</v>
      </c>
      <c r="J8008" s="23" t="str">
        <f>HYPERLINK("https://www.spark-marketing.ru/Card/Person/4259585", "ООО ""ЭЛИКОМ ТБ""")</f>
        <v>ООО "ЭЛИКОМ ТБ"</v>
      </c>
      <c r="K8008" s="24" t="s">
        <v>6400</v>
      </c>
      <c r="L8008" s="22" t="s">
        <v>10</v>
      </c>
      <c r="M8008" s="25">
        <v>1863600</v>
      </c>
      <c r="N8008" s="27">
        <v>0.67645833333333338</v>
      </c>
    </row>
    <row r="8009" spans="1:14" hidden="1" outlineLevel="1" x14ac:dyDescent="0.2">
      <c r="A8009" s="23" t="str">
        <f t="shared" si="350"/>
        <v>КУ "УПРАВЛЕНИЕ АВТОМОБИЛЬНЫХ ДОРОГ"</v>
      </c>
      <c r="B8009" s="24" t="s">
        <v>10214</v>
      </c>
      <c r="C8009" s="25">
        <v>5760000</v>
      </c>
      <c r="D8009" s="22" t="s">
        <v>10215</v>
      </c>
      <c r="E8009" s="22" t="s">
        <v>218</v>
      </c>
      <c r="F8009" s="23" t="str">
        <f t="shared" si="351"/>
        <v>Выполнение работ по разработке планов обеспечения транспортной безопасности мостовых сооружений IV категории, расположенных на автомобильных дорогах общего пользования регионального или межмуниципального значения Ханты-Мансийского автономного округа ...</v>
      </c>
      <c r="G8009" s="22" t="s">
        <v>119</v>
      </c>
      <c r="H8009" s="22" t="s">
        <v>2563</v>
      </c>
      <c r="I8009" s="26">
        <v>43605.425694444399</v>
      </c>
      <c r="J8009" s="23" t="str">
        <f>HYPERLINK("https://www.spark-marketing.ru/Card/Person/6110146", "ООО ""ИЦ ТЕХНОБЕЗОПАСНОСТЬ""")</f>
        <v>ООО "ИЦ ТЕХНОБЕЗОПАСНОСТЬ"</v>
      </c>
      <c r="K8009" s="24" t="s">
        <v>2240</v>
      </c>
      <c r="L8009" s="28" t="s">
        <v>52</v>
      </c>
      <c r="M8009" s="25">
        <v>2856000</v>
      </c>
      <c r="N8009" s="27">
        <v>0.50416666666666665</v>
      </c>
    </row>
    <row r="8010" spans="1:14" hidden="1" outlineLevel="1" x14ac:dyDescent="0.2">
      <c r="A8010" s="23" t="str">
        <f t="shared" si="350"/>
        <v>КУ "УПРАВЛЕНИЕ АВТОМОБИЛЬНЫХ ДОРОГ"</v>
      </c>
      <c r="B8010" s="24" t="s">
        <v>10214</v>
      </c>
      <c r="C8010" s="25">
        <v>5760000</v>
      </c>
      <c r="D8010" s="22" t="s">
        <v>10215</v>
      </c>
      <c r="E8010" s="22" t="s">
        <v>218</v>
      </c>
      <c r="F8010" s="23" t="str">
        <f t="shared" si="351"/>
        <v>Выполнение работ по разработке планов обеспечения транспортной безопасности мостовых сооружений IV категории, расположенных на автомобильных дорогах общего пользования регионального или межмуниципального значения Ханты-Мансийского автономного округа ...</v>
      </c>
      <c r="G8010" s="22" t="s">
        <v>119</v>
      </c>
      <c r="H8010" s="22" t="s">
        <v>2563</v>
      </c>
      <c r="I8010" s="26">
        <v>43605.425694444399</v>
      </c>
      <c r="J8010" s="23" t="str">
        <f>HYPERLINK("https://www.spark-marketing.ru/Card/Person/6459402", "ООО ""СИСТЕМЫ ТРАНСПОРТНОЙ БЕЗОПАСНОСТИ""")</f>
        <v>ООО "СИСТЕМЫ ТРАНСПОРТНОЙ БЕЗОПАСНОСТИ"</v>
      </c>
      <c r="K8010" s="24" t="s">
        <v>10217</v>
      </c>
      <c r="L8010" s="28" t="s">
        <v>52</v>
      </c>
      <c r="M8010" s="25">
        <v>3932400</v>
      </c>
      <c r="N8010" s="27">
        <v>0.31729166666666669</v>
      </c>
    </row>
    <row r="8011" spans="1:14" x14ac:dyDescent="0.15">
      <c r="A8011" s="23" t="str">
        <f>HYPERLINK("https://www.spark-marketing.ru/Card/Person/78553", "БУ ""СУРГУТСКАЯ ГОРОДСКАЯ КЛИНИЧЕСКАЯ ПОЛИКЛИНИКА № 5""")</f>
        <v>БУ "СУРГУТСКАЯ ГОРОДСКАЯ КЛИНИЧЕСКАЯ ПОЛИКЛИНИКА № 5"</v>
      </c>
      <c r="B8011" s="24" t="s">
        <v>6898</v>
      </c>
      <c r="C8011" s="25">
        <v>398897.28</v>
      </c>
      <c r="D8011" s="22" t="s">
        <v>10218</v>
      </c>
      <c r="E8011" s="22" t="s">
        <v>52</v>
      </c>
      <c r="F8011" s="23" t="str">
        <f>HYPERLINK("https://www.spark-marketing.ru/Card/Lot/70582056", "Оказание услуг по охране объектов")</f>
        <v>Оказание услуг по охране объектов</v>
      </c>
      <c r="G8011" s="22" t="s">
        <v>119</v>
      </c>
      <c r="H8011" s="22" t="s">
        <v>463</v>
      </c>
      <c r="I8011" s="26">
        <v>43605.396527777797</v>
      </c>
      <c r="J8011" s="23" t="str">
        <f>HYPERLINK("https://www.spark-marketing.ru/Card/Person/6441119", "ООО ""БРАТЕЕВО""")</f>
        <v>ООО "БРАТЕЕВО"</v>
      </c>
      <c r="K8011" s="24" t="s">
        <v>6680</v>
      </c>
      <c r="L8011" s="28" t="s">
        <v>52</v>
      </c>
      <c r="M8011" s="28" t="s">
        <v>52</v>
      </c>
      <c r="N8011" s="28" t="s">
        <v>52</v>
      </c>
    </row>
    <row r="8012" spans="1:14" hidden="1" outlineLevel="1" x14ac:dyDescent="0.2">
      <c r="A8012" s="23" t="str">
        <f>HYPERLINK("https://www.spark-marketing.ru/Card/Person/78553", "БУ ""СУРГУТСКАЯ ГОРОДСКАЯ КЛИНИЧЕСКАЯ ПОЛИКЛИНИКА № 5""")</f>
        <v>БУ "СУРГУТСКАЯ ГОРОДСКАЯ КЛИНИЧЕСКАЯ ПОЛИКЛИНИКА № 5"</v>
      </c>
      <c r="B8012" s="24" t="s">
        <v>6898</v>
      </c>
      <c r="C8012" s="25">
        <v>398897.28</v>
      </c>
      <c r="D8012" s="22" t="s">
        <v>10218</v>
      </c>
      <c r="E8012" s="22" t="s">
        <v>52</v>
      </c>
      <c r="F8012" s="23" t="str">
        <f>HYPERLINK("https://www.spark-marketing.ru/Card/Lot/70582056", "Оказание услуг по охране объектов")</f>
        <v>Оказание услуг по охране объектов</v>
      </c>
      <c r="G8012" s="22" t="s">
        <v>119</v>
      </c>
      <c r="H8012" s="22" t="s">
        <v>463</v>
      </c>
      <c r="I8012" s="26">
        <v>43605.396527777797</v>
      </c>
      <c r="J8012" s="23" t="str">
        <f>HYPERLINK("https://www.spark-marketing.ru/Card/Person/6441119", "ООО ""БРАТЕЕВО""")</f>
        <v>ООО "БРАТЕЕВО"</v>
      </c>
      <c r="K8012" s="24" t="s">
        <v>6680</v>
      </c>
      <c r="L8012" s="28" t="s">
        <v>52</v>
      </c>
      <c r="M8012" s="25">
        <v>396902.79</v>
      </c>
      <c r="N8012" s="27">
        <v>5.0000090248797889E-3</v>
      </c>
    </row>
    <row r="8013" spans="1:14" x14ac:dyDescent="0.15">
      <c r="A8013" s="23" t="str">
        <f>HYPERLINK("https://www.spark-marketing.ru/Card/Person/222486", "ГБУЗ РЕСПУБЛИКИ МОРДОВИЯ ""КРАСНОСЛОБОДСКАЯ МБ""")</f>
        <v>ГБУЗ РЕСПУБЛИКИ МОРДОВИЯ "КРАСНОСЛОБОДСКАЯ МБ"</v>
      </c>
      <c r="B8013" s="24" t="s">
        <v>10219</v>
      </c>
      <c r="C8013" s="25">
        <v>870399.96</v>
      </c>
      <c r="D8013" s="22" t="s">
        <v>10220</v>
      </c>
      <c r="E8013" s="22" t="s">
        <v>52</v>
      </c>
      <c r="F8013" s="23" t="str">
        <f>HYPERLINK("https://www.spark-marketing.ru/Card/Lot/70586057", "оказание услуг по охране зданий и территорий ГБУЗ Республики Мордовия ""Краснослободская МБ""")</f>
        <v>оказание услуг по охране зданий и территорий ГБУЗ Республики Мордовия "Краснослободская МБ"</v>
      </c>
      <c r="G8013" s="22" t="s">
        <v>331</v>
      </c>
      <c r="H8013" s="22" t="s">
        <v>10221</v>
      </c>
      <c r="I8013" s="26">
        <v>43605.383333333302</v>
      </c>
      <c r="J8013" s="28" t="s">
        <v>52</v>
      </c>
      <c r="K8013" s="28" t="s">
        <v>52</v>
      </c>
      <c r="L8013" s="28" t="s">
        <v>52</v>
      </c>
      <c r="M8013" s="28" t="s">
        <v>52</v>
      </c>
      <c r="N8013" s="28" t="s">
        <v>52</v>
      </c>
    </row>
    <row r="8014" spans="1:14" ht="12.75" hidden="1" outlineLevel="1" x14ac:dyDescent="0.2">
      <c r="A8014" s="23" t="str">
        <f>HYPERLINK("https://www.spark-marketing.ru/Card/Person/222486", "ГБУЗ РЕСПУБЛИКИ МОРДОВИЯ ""КРАСНОСЛОБОДСКАЯ МБ""")</f>
        <v>ГБУЗ РЕСПУБЛИКИ МОРДОВИЯ "КРАСНОСЛОБОДСКАЯ МБ"</v>
      </c>
      <c r="B8014" s="24" t="s">
        <v>10219</v>
      </c>
      <c r="C8014" s="25">
        <v>870399.96</v>
      </c>
      <c r="D8014" s="22" t="s">
        <v>10220</v>
      </c>
      <c r="E8014" s="22" t="s">
        <v>52</v>
      </c>
      <c r="F8014" s="23" t="str">
        <f>HYPERLINK("https://www.spark-marketing.ru/Card/Lot/70586057", "оказание услуг по охране зданий и территорий ГБУЗ Республики Мордовия ""Краснослободская МБ""")</f>
        <v>оказание услуг по охране зданий и территорий ГБУЗ Республики Мордовия "Краснослободская МБ"</v>
      </c>
      <c r="G8014" s="22" t="s">
        <v>331</v>
      </c>
      <c r="H8014" s="22" t="s">
        <v>10221</v>
      </c>
      <c r="I8014" s="26">
        <v>43605.383333333302</v>
      </c>
      <c r="J8014" s="23" t="str">
        <f>HYPERLINK("https://www.spark-marketing.ru/Card/Person/298294", "ООО ЧОО ""КЕДР-ОС""")</f>
        <v>ООО ЧОО "КЕДР-ОС"</v>
      </c>
      <c r="K8014" s="24" t="s">
        <v>2759</v>
      </c>
      <c r="L8014" s="22" t="s">
        <v>10</v>
      </c>
      <c r="M8014" s="25">
        <v>709375.96</v>
      </c>
      <c r="N8014" s="27">
        <v>0.18500000850183862</v>
      </c>
    </row>
    <row r="8015" spans="1:14" hidden="1" outlineLevel="1" x14ac:dyDescent="0.2">
      <c r="A8015" s="23" t="str">
        <f>HYPERLINK("https://www.spark-marketing.ru/Card/Person/222486", "ГБУЗ РЕСПУБЛИКИ МОРДОВИЯ ""КРАСНОСЛОБОДСКАЯ МБ""")</f>
        <v>ГБУЗ РЕСПУБЛИКИ МОРДОВИЯ "КРАСНОСЛОБОДСКАЯ МБ"</v>
      </c>
      <c r="B8015" s="24" t="s">
        <v>10219</v>
      </c>
      <c r="C8015" s="25">
        <v>870399.96</v>
      </c>
      <c r="D8015" s="22" t="s">
        <v>10220</v>
      </c>
      <c r="E8015" s="22" t="s">
        <v>52</v>
      </c>
      <c r="F8015" s="23" t="str">
        <f>HYPERLINK("https://www.spark-marketing.ru/Card/Lot/70586057", "оказание услуг по охране зданий и территорий ГБУЗ Республики Мордовия ""Краснослободская МБ""")</f>
        <v>оказание услуг по охране зданий и территорий ГБУЗ Республики Мордовия "Краснослободская МБ"</v>
      </c>
      <c r="G8015" s="22" t="s">
        <v>331</v>
      </c>
      <c r="H8015" s="22" t="s">
        <v>10221</v>
      </c>
      <c r="I8015" s="26">
        <v>43605.383333333302</v>
      </c>
      <c r="J8015" s="23" t="str">
        <f>HYPERLINK("https://www.spark-marketing.ru/Card/Person/1130302", "ООО ЧОП ""АЙРУС""")</f>
        <v>ООО ЧОП "АЙРУС"</v>
      </c>
      <c r="K8015" s="24" t="s">
        <v>8989</v>
      </c>
      <c r="L8015" s="28" t="s">
        <v>52</v>
      </c>
      <c r="M8015" s="25">
        <v>713727.96</v>
      </c>
      <c r="N8015" s="27">
        <v>0.1800000082720592</v>
      </c>
    </row>
    <row r="8016" spans="1:14" x14ac:dyDescent="0.15">
      <c r="A8016" s="23" t="str">
        <f>HYPERLINK("https://www.spark-marketing.ru/Card/Person/32071", "УПРАВЛЕНИЕ ГОЧС")</f>
        <v>УПРАВЛЕНИЕ ГОЧС</v>
      </c>
      <c r="B8016" s="24" t="s">
        <v>7516</v>
      </c>
      <c r="C8016" s="25">
        <v>125000</v>
      </c>
      <c r="D8016" s="22" t="s">
        <v>10222</v>
      </c>
      <c r="E8016" s="22" t="s">
        <v>1013</v>
      </c>
      <c r="F8016" s="23" t="str">
        <f>HYPERLINK("https://www.spark-marketing.ru/Card/Lot/70578649", "оказание услуг по размещению видеоматериалов на информационной установке, размещенных на транспорте общего пользования для оповещения и информирования населения об угрозе возникновения или возникновении ЧС природного или техногенного характера на тер...")</f>
        <v>оказание услуг по размещению видеоматериалов на информационной установке, размещенных на транспорте общего пользования для оповещения и информирования населения об угрозе возникновения или возникновении ЧС природного или техногенного характера на тер...</v>
      </c>
      <c r="G8016" s="22" t="s">
        <v>473</v>
      </c>
      <c r="H8016" s="22" t="s">
        <v>476</v>
      </c>
      <c r="I8016" s="26">
        <v>43605.402777777803</v>
      </c>
      <c r="J8016" s="28" t="s">
        <v>52</v>
      </c>
      <c r="K8016" s="28" t="s">
        <v>52</v>
      </c>
      <c r="L8016" s="28" t="s">
        <v>52</v>
      </c>
      <c r="M8016" s="28" t="s">
        <v>52</v>
      </c>
      <c r="N8016" s="28" t="s">
        <v>52</v>
      </c>
    </row>
    <row r="8017" spans="1:14" x14ac:dyDescent="0.15">
      <c r="A8017" s="23" t="str">
        <f>HYPERLINK("https://www.spark-marketing.ru/Card/Person/677716", "МП ТПАТП №3")</f>
        <v>МП ТПАТП №3</v>
      </c>
      <c r="B8017" s="24" t="s">
        <v>1803</v>
      </c>
      <c r="C8017" s="25">
        <v>290720</v>
      </c>
      <c r="D8017" s="22" t="s">
        <v>10223</v>
      </c>
      <c r="E8017" s="22" t="s">
        <v>107</v>
      </c>
      <c r="F8017" s="23" t="str">
        <f>HYPERLINK("https://www.spark-marketing.ru/Card/Lot/70582359", "Оказание услуг по техническому обслуживанию  блоков навигационных и видеорегистраторов RVI-RM08 (с комплектом видеокамер)")</f>
        <v>Оказание услуг по техническому обслуживанию  блоков навигационных и видеорегистраторов RVI-RM08 (с комплектом видеокамер)</v>
      </c>
      <c r="G8017" s="22" t="s">
        <v>760</v>
      </c>
      <c r="H8017" s="22" t="s">
        <v>760</v>
      </c>
      <c r="I8017" s="26">
        <v>43605.372222222199</v>
      </c>
      <c r="J8017" s="23" t="str">
        <f>HYPERLINK("https://www.spark-marketing.ru/Card/Person/1936744", "ООО ""ТЕХНАРЬ""")</f>
        <v>ООО "ТЕХНАРЬ"</v>
      </c>
      <c r="K8017" s="24" t="s">
        <v>1806</v>
      </c>
      <c r="L8017" s="22" t="s">
        <v>10</v>
      </c>
      <c r="M8017" s="28" t="s">
        <v>52</v>
      </c>
      <c r="N8017" s="28" t="s">
        <v>52</v>
      </c>
    </row>
    <row r="8018" spans="1:14" x14ac:dyDescent="0.15">
      <c r="A8018" s="23" t="str">
        <f>HYPERLINK("https://www.spark-marketing.ru/Card/Person/7018", "ГБУ ""ЖИЛИЩНИК РАЙОНА КОСИНО-УХТОМСКИЙ""")</f>
        <v>ГБУ "ЖИЛИЩНИК РАЙОНА КОСИНО-УХТОМСКИЙ"</v>
      </c>
      <c r="B8018" s="24" t="s">
        <v>10224</v>
      </c>
      <c r="C8018" s="25">
        <v>494033.47</v>
      </c>
      <c r="D8018" s="22" t="s">
        <v>10225</v>
      </c>
      <c r="E8018" s="22" t="s">
        <v>1647</v>
      </c>
      <c r="F8018" s="23" t="str">
        <f>HYPERLINK("https://www.spark-marketing.ru/Card/Lot/70585472", "Оказание услуг видеонаблюдения с передачей видеопотока в ЕЦХД г. Москвы и хранением данных")</f>
        <v>Оказание услуг видеонаблюдения с передачей видеопотока в ЕЦХД г. Москвы и хранением данных</v>
      </c>
      <c r="G8018" s="22" t="s">
        <v>55</v>
      </c>
      <c r="H8018" s="22" t="s">
        <v>55</v>
      </c>
      <c r="I8018" s="26">
        <v>43605.372222222199</v>
      </c>
      <c r="J8018" s="23" t="str">
        <f>HYPERLINK("https://www.spark-marketing.ru/Card/Person/35401", "ПАО МГТС")</f>
        <v>ПАО МГТС</v>
      </c>
      <c r="K8018" s="24" t="s">
        <v>56</v>
      </c>
      <c r="L8018" s="22" t="s">
        <v>10</v>
      </c>
      <c r="M8018" s="28" t="s">
        <v>52</v>
      </c>
      <c r="N8018" s="28" t="s">
        <v>52</v>
      </c>
    </row>
    <row r="8019" spans="1:14" x14ac:dyDescent="0.15">
      <c r="A8019" s="23" t="str">
        <f>HYPERLINK("https://www.spark-marketing.ru/Card/Person/11643", "ФКУЗ ""МСЧ МВД РОССИИ ПО АЛТАЙСКОМУ КРАЮ""")</f>
        <v>ФКУЗ "МСЧ МВД РОССИИ ПО АЛТАЙСКОМУ КРАЮ"</v>
      </c>
      <c r="B8019" s="24" t="s">
        <v>10226</v>
      </c>
      <c r="C8019" s="25">
        <v>11219.52</v>
      </c>
      <c r="D8019" s="22" t="s">
        <v>10227</v>
      </c>
      <c r="E8019" s="22" t="s">
        <v>53</v>
      </c>
      <c r="F8019" s="23" t="str">
        <f>HYPERLINK("https://www.spark-marketing.ru/Card/Lot/70755836", "На выполнение экспулатационно-технического обслуживания технических средств охраны")</f>
        <v>На выполнение экспулатационно-технического обслуживания технических средств охраны</v>
      </c>
      <c r="G8019" s="22" t="s">
        <v>428</v>
      </c>
      <c r="H8019" s="22" t="s">
        <v>429</v>
      </c>
      <c r="I8019" s="26">
        <v>43605.318483796298</v>
      </c>
      <c r="J8019" s="28" t="s">
        <v>52</v>
      </c>
      <c r="K8019" s="28" t="s">
        <v>52</v>
      </c>
      <c r="L8019" s="28" t="s">
        <v>52</v>
      </c>
      <c r="M8019" s="28" t="s">
        <v>52</v>
      </c>
      <c r="N8019" s="28" t="s">
        <v>52</v>
      </c>
    </row>
    <row r="8020" spans="1:14" x14ac:dyDescent="0.15">
      <c r="A8020" s="23" t="str">
        <f>HYPERLINK("https://www.spark-marketing.ru/Card/Person/388239", "СИБИРСКОЕ УГЖДН ФЕДЕРАЛЬНОЙ СЛУЖБЫ ПО НАДЗОРУ В СФЕРЕ ТРАНСПОРТА")</f>
        <v>СИБИРСКОЕ УГЖДН ФЕДЕРАЛЬНОЙ СЛУЖБЫ ПО НАДЗОРУ В СФЕРЕ ТРАНСПОРТА</v>
      </c>
      <c r="B8020" s="24" t="s">
        <v>10228</v>
      </c>
      <c r="C8020" s="25">
        <v>30300</v>
      </c>
      <c r="D8020" s="22" t="s">
        <v>10229</v>
      </c>
      <c r="E8020" s="22" t="s">
        <v>53</v>
      </c>
      <c r="F8020" s="23" t="str">
        <f>HYPERLINK("https://www.spark-marketing.ru/Card/Lot/70755833", "Выполнение работ по установке сигнализации и тонировке автомобиля")</f>
        <v>Выполнение работ по установке сигнализации и тонировке автомобиля</v>
      </c>
      <c r="G8020" s="22" t="s">
        <v>209</v>
      </c>
      <c r="H8020" s="22" t="s">
        <v>210</v>
      </c>
      <c r="I8020" s="26">
        <v>43605.315416666701</v>
      </c>
      <c r="J8020" s="28" t="s">
        <v>52</v>
      </c>
      <c r="K8020" s="28" t="s">
        <v>52</v>
      </c>
      <c r="L8020" s="28" t="s">
        <v>52</v>
      </c>
      <c r="M8020" s="28" t="s">
        <v>52</v>
      </c>
      <c r="N8020" s="28" t="s">
        <v>52</v>
      </c>
    </row>
    <row r="8021" spans="1:14" x14ac:dyDescent="0.15">
      <c r="A8021" s="23" t="str">
        <f>HYPERLINK("https://www.spark-marketing.ru/Card/Person/964660", "АО ""КРАСНОЯРСКИЙ РЕЧНОЙ ПОРТ""")</f>
        <v>АО "КРАСНОЯРСКИЙ РЕЧНОЙ ПОРТ"</v>
      </c>
      <c r="B8021" s="24" t="s">
        <v>10230</v>
      </c>
      <c r="C8021" s="28" t="s">
        <v>52</v>
      </c>
      <c r="D8021" s="22" t="s">
        <v>10231</v>
      </c>
      <c r="E8021" s="22" t="s">
        <v>2204</v>
      </c>
      <c r="F8021" s="23" t="str">
        <f>HYPERLINK("https://www.spark-marketing.ru/Card/Lot/70579710", "Сбор коммерческих предложений на установку системы видеонаблюдения")</f>
        <v>Сбор коммерческих предложений на установку системы видеонаблюдения</v>
      </c>
      <c r="G8021" s="22" t="s">
        <v>640</v>
      </c>
      <c r="H8021" s="22" t="s">
        <v>1524</v>
      </c>
      <c r="I8021" s="26">
        <v>43605.269444444399</v>
      </c>
      <c r="J8021" s="28" t="s">
        <v>52</v>
      </c>
      <c r="K8021" s="28" t="s">
        <v>52</v>
      </c>
      <c r="L8021" s="28" t="s">
        <v>52</v>
      </c>
      <c r="M8021" s="28" t="s">
        <v>52</v>
      </c>
      <c r="N8021" s="28" t="s">
        <v>52</v>
      </c>
    </row>
    <row r="8022" spans="1:14" x14ac:dyDescent="0.15">
      <c r="A8022" s="23" t="str">
        <f>HYPERLINK("https://www.spark-marketing.ru/Card/Person/4348425", "ПАО ""ЭНЕЛ РОССИЯ""")</f>
        <v>ПАО "ЭНЕЛ РОССИЯ"</v>
      </c>
      <c r="B8022" s="24" t="s">
        <v>10232</v>
      </c>
      <c r="C8022" s="25">
        <v>0</v>
      </c>
      <c r="D8022" s="22" t="s">
        <v>10233</v>
      </c>
      <c r="E8022" s="22" t="s">
        <v>208</v>
      </c>
      <c r="F8022" s="23" t="str">
        <f>HYPERLINK("https://www.spark-marketing.ru/Card/Lot/70611599", "Участник рассчитывает стоимость коммерческого предложения на 1 год (2020 г). на основании ежемесячных объемов и Графика, указанных в техническом задании")</f>
        <v>Участник рассчитывает стоимость коммерческого предложения на 1 год (2020 г). на основании ежемесячных объемов и Графика, указанных в техническом задании</v>
      </c>
      <c r="G8022" s="22" t="s">
        <v>72</v>
      </c>
      <c r="H8022" s="22" t="s">
        <v>72</v>
      </c>
      <c r="I8022" s="26">
        <v>43605.663553240702</v>
      </c>
      <c r="J8022" s="28" t="s">
        <v>52</v>
      </c>
      <c r="K8022" s="28" t="s">
        <v>52</v>
      </c>
      <c r="L8022" s="28" t="s">
        <v>52</v>
      </c>
      <c r="M8022" s="28" t="s">
        <v>52</v>
      </c>
      <c r="N8022" s="28" t="s">
        <v>52</v>
      </c>
    </row>
    <row r="8023" spans="1:14" x14ac:dyDescent="0.15">
      <c r="A8023" s="23" t="str">
        <f>HYPERLINK("https://www.spark-marketing.ru/Card/Person/12789", "АО ""ЭР-ТЕЛЕКОМ ХОЛДИНГ""")</f>
        <v>АО "ЭР-ТЕЛЕКОМ ХОЛДИНГ"</v>
      </c>
      <c r="B8023" s="24" t="s">
        <v>3100</v>
      </c>
      <c r="C8023" s="25">
        <v>984000</v>
      </c>
      <c r="D8023" s="22" t="s">
        <v>10234</v>
      </c>
      <c r="E8023" s="22" t="s">
        <v>53</v>
      </c>
      <c r="F8023" s="23" t="str">
        <f>HYPERLINK("https://www.spark-marketing.ru/Card/Lot/71142730", "Услуги по физической охране объекта, а также посредством КТС для сотрудников ОКЦ г. Омска")</f>
        <v>Услуги по физической охране объекта, а также посредством КТС для сотрудников ОКЦ г. Омска</v>
      </c>
      <c r="G8023" s="22" t="s">
        <v>391</v>
      </c>
      <c r="H8023" s="22" t="s">
        <v>392</v>
      </c>
      <c r="I8023" s="26">
        <v>43605</v>
      </c>
      <c r="J8023" s="28" t="s">
        <v>52</v>
      </c>
      <c r="K8023" s="28" t="s">
        <v>52</v>
      </c>
      <c r="L8023" s="28" t="s">
        <v>52</v>
      </c>
      <c r="M8023" s="28" t="s">
        <v>52</v>
      </c>
      <c r="N8023" s="28" t="s">
        <v>52</v>
      </c>
    </row>
    <row r="8024" spans="1:14" x14ac:dyDescent="0.15">
      <c r="A8024" s="23" t="str">
        <f>HYPERLINK("https://www.spark-marketing.ru/Card/Person/4348425", "ПАО ""ЭНЕЛ РОССИЯ""")</f>
        <v>ПАО "ЭНЕЛ РОССИЯ"</v>
      </c>
      <c r="B8024" s="24" t="s">
        <v>10232</v>
      </c>
      <c r="C8024" s="25">
        <v>0</v>
      </c>
      <c r="D8024" s="22" t="s">
        <v>10233</v>
      </c>
      <c r="E8024" s="22" t="s">
        <v>208</v>
      </c>
      <c r="F8024" s="23" t="str">
        <f>HYPERLINK("https://www.spark-marketing.ru/Card/Lot/70611600", "Участник рассчитывает стоимость коммерческого предложения на 3 года (01.01.2020 г)-31.12.2022 г). на основании ежемесячных объемов и Графика, указанных в техническом задании")</f>
        <v>Участник рассчитывает стоимость коммерческого предложения на 3 года (01.01.2020 г)-31.12.2022 г). на основании ежемесячных объемов и Графика, указанных в техническом задании</v>
      </c>
      <c r="G8024" s="22" t="s">
        <v>55</v>
      </c>
      <c r="H8024" s="22" t="s">
        <v>55</v>
      </c>
      <c r="I8024" s="26">
        <v>43605.663553240702</v>
      </c>
      <c r="J8024" s="28" t="s">
        <v>52</v>
      </c>
      <c r="K8024" s="28" t="s">
        <v>52</v>
      </c>
      <c r="L8024" s="28" t="s">
        <v>52</v>
      </c>
      <c r="M8024" s="28" t="s">
        <v>52</v>
      </c>
      <c r="N8024" s="28" t="s">
        <v>52</v>
      </c>
    </row>
    <row r="8025" spans="1:14" x14ac:dyDescent="0.15">
      <c r="A8025" s="23" t="str">
        <f>HYPERLINK("https://www.spark-marketing.ru/Card/Person/32765", "ГАПОУ КК ""НКСЭ""")</f>
        <v>ГАПОУ КК "НКСЭ"</v>
      </c>
      <c r="B8025" s="24" t="s">
        <v>10235</v>
      </c>
      <c r="C8025" s="25">
        <v>1017134.55</v>
      </c>
      <c r="D8025" s="22" t="s">
        <v>10236</v>
      </c>
      <c r="E8025" s="22" t="s">
        <v>691</v>
      </c>
      <c r="F8025" s="23" t="str">
        <f>HYPERLINK("https://www.spark-marketing.ru/Card/Lot/70578092", "Монтаж кабельных линий системы видеонаблюдения и установка средств видеонаблюдения (видеокамер)")</f>
        <v>Монтаж кабельных линий системы видеонаблюдения и установка средств видеонаблюдения (видеокамер)</v>
      </c>
      <c r="G8025" s="22" t="s">
        <v>132</v>
      </c>
      <c r="H8025" s="22" t="s">
        <v>132</v>
      </c>
      <c r="I8025" s="26">
        <v>43605.0378009259</v>
      </c>
      <c r="J8025" s="28" t="s">
        <v>52</v>
      </c>
      <c r="K8025" s="28" t="s">
        <v>52</v>
      </c>
      <c r="L8025" s="28" t="s">
        <v>52</v>
      </c>
      <c r="M8025" s="28" t="s">
        <v>52</v>
      </c>
      <c r="N8025" s="28" t="s">
        <v>52</v>
      </c>
    </row>
    <row r="8026" spans="1:14" x14ac:dyDescent="0.15">
      <c r="A8026" s="23" t="str">
        <f>HYPERLINK("https://www.spark-marketing.ru/Card/Person/44531", "БУЗ ВО "" ГРЯЗОВЕЦКАЯ ЦРБ""")</f>
        <v>БУЗ ВО " ГРЯЗОВЕЦКАЯ ЦРБ"</v>
      </c>
      <c r="B8026" s="24" t="s">
        <v>10237</v>
      </c>
      <c r="C8026" s="25">
        <v>23517</v>
      </c>
      <c r="D8026" s="22" t="s">
        <v>10238</v>
      </c>
      <c r="E8026" s="22" t="s">
        <v>68</v>
      </c>
      <c r="F8026" s="23" t="str">
        <f>HYPERLINK("https://www.spark-marketing.ru/Card/Lot/70578108", "Услуги по охране объектов")</f>
        <v>Услуги по охране объектов</v>
      </c>
      <c r="G8026" s="22" t="s">
        <v>902</v>
      </c>
      <c r="H8026" s="22" t="s">
        <v>10239</v>
      </c>
      <c r="I8026" s="26">
        <v>43604.994050925903</v>
      </c>
      <c r="J8026" s="28" t="s">
        <v>52</v>
      </c>
      <c r="K8026" s="28" t="s">
        <v>52</v>
      </c>
      <c r="L8026" s="28" t="s">
        <v>52</v>
      </c>
      <c r="M8026" s="28" t="s">
        <v>52</v>
      </c>
      <c r="N8026" s="28" t="s">
        <v>52</v>
      </c>
    </row>
    <row r="8027" spans="1:14" x14ac:dyDescent="0.15">
      <c r="A8027" s="23" t="str">
        <f>HYPERLINK("https://www.spark-marketing.ru/Card/Person/44531", "БУЗ ВО "" ГРЯЗОВЕЦКАЯ ЦРБ""")</f>
        <v>БУЗ ВО " ГРЯЗОВЕЦКАЯ ЦРБ"</v>
      </c>
      <c r="B8027" s="24" t="s">
        <v>10237</v>
      </c>
      <c r="C8027" s="25">
        <v>2430.9</v>
      </c>
      <c r="D8027" s="22" t="s">
        <v>10240</v>
      </c>
      <c r="E8027" s="22" t="s">
        <v>68</v>
      </c>
      <c r="F8027" s="23" t="str">
        <f>HYPERLINK("https://www.spark-marketing.ru/Card/Lot/70578107", "Услуги по охране объектов")</f>
        <v>Услуги по охране объектов</v>
      </c>
      <c r="G8027" s="22" t="s">
        <v>902</v>
      </c>
      <c r="H8027" s="22" t="s">
        <v>10239</v>
      </c>
      <c r="I8027" s="26">
        <v>43604.994050925903</v>
      </c>
      <c r="J8027" s="28" t="s">
        <v>52</v>
      </c>
      <c r="K8027" s="28" t="s">
        <v>52</v>
      </c>
      <c r="L8027" s="28" t="s">
        <v>52</v>
      </c>
      <c r="M8027" s="28" t="s">
        <v>52</v>
      </c>
      <c r="N8027" s="28" t="s">
        <v>52</v>
      </c>
    </row>
    <row r="8028" spans="1:14" x14ac:dyDescent="0.15">
      <c r="A8028" s="23" t="str">
        <f>HYPERLINK("https://www.spark-marketing.ru/Card/Person/964660", "АО ""КРАСНОЯРСКИЙ РЕЧНОЙ ПОРТ""")</f>
        <v>АО "КРАСНОЯРСКИЙ РЕЧНОЙ ПОРТ"</v>
      </c>
      <c r="B8028" s="24" t="s">
        <v>10230</v>
      </c>
      <c r="C8028" s="25">
        <v>0</v>
      </c>
      <c r="D8028" s="22" t="s">
        <v>10241</v>
      </c>
      <c r="E8028" s="22" t="s">
        <v>53</v>
      </c>
      <c r="F8028" s="23" t="str">
        <f>HYPERLINK("https://www.spark-marketing.ru/Card/Lot/70582012", "Сбор коммерческих предложений на установку системы видеонаблюдения")</f>
        <v>Сбор коммерческих предложений на установку системы видеонаблюдения</v>
      </c>
      <c r="G8028" s="22" t="s">
        <v>640</v>
      </c>
      <c r="H8028" s="22" t="s">
        <v>1524</v>
      </c>
      <c r="I8028" s="26">
        <v>43604.833333333299</v>
      </c>
      <c r="J8028" s="28" t="s">
        <v>52</v>
      </c>
      <c r="K8028" s="28" t="s">
        <v>52</v>
      </c>
      <c r="L8028" s="28" t="s">
        <v>52</v>
      </c>
      <c r="M8028" s="28" t="s">
        <v>52</v>
      </c>
      <c r="N8028" s="28" t="s">
        <v>52</v>
      </c>
    </row>
    <row r="8029" spans="1:14" x14ac:dyDescent="0.15">
      <c r="A8029" s="23" t="str">
        <f>HYPERLINK("https://www.spark-marketing.ru/Card/Person/956229", "МАОУ ЛИЦЕЙ № 7")</f>
        <v>МАОУ ЛИЦЕЙ № 7</v>
      </c>
      <c r="B8029" s="24" t="s">
        <v>10242</v>
      </c>
      <c r="C8029" s="25">
        <v>299409.81</v>
      </c>
      <c r="D8029" s="22" t="s">
        <v>10243</v>
      </c>
      <c r="E8029" s="22" t="s">
        <v>691</v>
      </c>
      <c r="F8029" s="23" t="str">
        <f>HYPERLINK("https://www.spark-marketing.ru/Card/Lot/70566021", "Выполнение работ по устройству видеокамер по периметру здания (установка дополнительных видеокамер) в МАОУ Лицей № 7")</f>
        <v>Выполнение работ по устройству видеокамер по периметру здания (установка дополнительных видеокамер) в МАОУ Лицей № 7</v>
      </c>
      <c r="G8029" s="22" t="s">
        <v>640</v>
      </c>
      <c r="H8029" s="22" t="s">
        <v>640</v>
      </c>
      <c r="I8029" s="26">
        <v>43602.798171296301</v>
      </c>
      <c r="J8029" s="28" t="s">
        <v>52</v>
      </c>
      <c r="K8029" s="28" t="s">
        <v>52</v>
      </c>
      <c r="L8029" s="28" t="s">
        <v>52</v>
      </c>
      <c r="M8029" s="28" t="s">
        <v>52</v>
      </c>
      <c r="N8029" s="28" t="s">
        <v>52</v>
      </c>
    </row>
    <row r="8030" spans="1:14" x14ac:dyDescent="0.15">
      <c r="A8030" s="23" t="str">
        <f>HYPERLINK("https://www.spark-marketing.ru/Card/Person/159203", "ИСПОЛНИТЕЛЬНЫЙ КОМИТЕТ ГОРОДА БУИНСКА")</f>
        <v>ИСПОЛНИТЕЛЬНЫЙ КОМИТЕТ ГОРОДА БУИНСКА</v>
      </c>
      <c r="B8030" s="24" t="s">
        <v>8508</v>
      </c>
      <c r="C8030" s="25">
        <v>154891.6</v>
      </c>
      <c r="D8030" s="22" t="s">
        <v>10244</v>
      </c>
      <c r="E8030" s="22" t="s">
        <v>1297</v>
      </c>
      <c r="F8030" s="23" t="str">
        <f>HYPERLINK("https://www.spark-marketing.ru/Card/Lot/70568994", "Поставка и установка камер видеонаблюдения в Молодежном и Центральном парке г.Буинска РТ")</f>
        <v>Поставка и установка камер видеонаблюдения в Молодежном и Центральном парке г.Буинска РТ</v>
      </c>
      <c r="G8030" s="22" t="s">
        <v>204</v>
      </c>
      <c r="H8030" s="22" t="s">
        <v>8510</v>
      </c>
      <c r="I8030" s="26">
        <v>43602.672916666699</v>
      </c>
      <c r="J8030" s="23" t="str">
        <f>HYPERLINK("https://www.spark-marketing.ru/Card/Person/47174", "ПАО ""ТАТТЕЛЕКОМ""")</f>
        <v>ПАО "ТАТТЕЛЕКОМ"</v>
      </c>
      <c r="K8030" s="24" t="s">
        <v>5128</v>
      </c>
      <c r="L8030" s="22" t="s">
        <v>10</v>
      </c>
      <c r="M8030" s="28" t="s">
        <v>52</v>
      </c>
      <c r="N8030" s="28" t="s">
        <v>52</v>
      </c>
    </row>
    <row r="8031" spans="1:14" x14ac:dyDescent="0.15">
      <c r="A8031" s="23" t="str">
        <f>HYPERLINK("https://www.spark-marketing.ru/Card/Person/52498", "ГКУСО МО ""КЛИНСКИЙ РЦ ""РАДУГА""")</f>
        <v>ГКУСО МО "КЛИНСКИЙ РЦ "РАДУГА"</v>
      </c>
      <c r="B8031" s="24" t="s">
        <v>10245</v>
      </c>
      <c r="C8031" s="25">
        <v>198739.99</v>
      </c>
      <c r="D8031" s="22" t="s">
        <v>10246</v>
      </c>
      <c r="E8031" s="22" t="s">
        <v>59</v>
      </c>
      <c r="F8031" s="23" t="str">
        <f>HYPERLINK("https://www.spark-marketing.ru/Card/Lot/70569723", "Выполнение работ по установке системы охранной сигнализации")</f>
        <v>Выполнение работ по установке системы охранной сигнализации</v>
      </c>
      <c r="G8031" s="22" t="s">
        <v>50</v>
      </c>
      <c r="H8031" s="22" t="s">
        <v>4881</v>
      </c>
      <c r="I8031" s="26">
        <v>43602.683333333298</v>
      </c>
      <c r="J8031" s="28" t="s">
        <v>52</v>
      </c>
      <c r="K8031" s="28" t="s">
        <v>52</v>
      </c>
      <c r="L8031" s="28" t="s">
        <v>52</v>
      </c>
      <c r="M8031" s="28" t="s">
        <v>52</v>
      </c>
      <c r="N8031" s="28" t="s">
        <v>52</v>
      </c>
    </row>
    <row r="8032" spans="1:14" hidden="1" outlineLevel="1" x14ac:dyDescent="0.2">
      <c r="A8032" s="23" t="str">
        <f>HYPERLINK("https://www.spark-marketing.ru/Card/Person/52498", "ГКУСО МО ""КЛИНСКИЙ РЦ ""РАДУГА""")</f>
        <v>ГКУСО МО "КЛИНСКИЙ РЦ "РАДУГА"</v>
      </c>
      <c r="B8032" s="24" t="s">
        <v>10245</v>
      </c>
      <c r="C8032" s="25">
        <v>198739.99</v>
      </c>
      <c r="D8032" s="22" t="s">
        <v>10246</v>
      </c>
      <c r="E8032" s="22" t="s">
        <v>59</v>
      </c>
      <c r="F8032" s="23" t="str">
        <f>HYPERLINK("https://www.spark-marketing.ru/Card/Lot/70569723", "Выполнение работ по установке системы охранной сигнализации")</f>
        <v>Выполнение работ по установке системы охранной сигнализации</v>
      </c>
      <c r="G8032" s="22" t="s">
        <v>50</v>
      </c>
      <c r="H8032" s="22" t="s">
        <v>4881</v>
      </c>
      <c r="I8032" s="26">
        <v>43602.683333333298</v>
      </c>
      <c r="J8032" s="23" t="str">
        <f>HYPERLINK("https://www.spark-marketing.ru/Card/Person/1710533", "ООО ""АЛЕРИС""")</f>
        <v>ООО "АЛЕРИС"</v>
      </c>
      <c r="K8032" s="24" t="s">
        <v>10247</v>
      </c>
      <c r="L8032" s="28" t="s">
        <v>52</v>
      </c>
      <c r="M8032" s="25">
        <v>145000</v>
      </c>
      <c r="N8032" s="27">
        <v>0.27040350560548987</v>
      </c>
    </row>
    <row r="8033" spans="1:14" hidden="1" outlineLevel="1" x14ac:dyDescent="0.2">
      <c r="A8033" s="23" t="str">
        <f>HYPERLINK("https://www.spark-marketing.ru/Card/Person/52498", "ГКУСО МО ""КЛИНСКИЙ РЦ ""РАДУГА""")</f>
        <v>ГКУСО МО "КЛИНСКИЙ РЦ "РАДУГА"</v>
      </c>
      <c r="B8033" s="24" t="s">
        <v>10245</v>
      </c>
      <c r="C8033" s="25">
        <v>198739.99</v>
      </c>
      <c r="D8033" s="22" t="s">
        <v>10246</v>
      </c>
      <c r="E8033" s="22" t="s">
        <v>59</v>
      </c>
      <c r="F8033" s="23" t="str">
        <f>HYPERLINK("https://www.spark-marketing.ru/Card/Lot/70569723", "Выполнение работ по установке системы охранной сигнализации")</f>
        <v>Выполнение работ по установке системы охранной сигнализации</v>
      </c>
      <c r="G8033" s="22" t="s">
        <v>50</v>
      </c>
      <c r="H8033" s="22" t="s">
        <v>4881</v>
      </c>
      <c r="I8033" s="26">
        <v>43602.683333333298</v>
      </c>
      <c r="J8033" s="23" t="str">
        <f>HYPERLINK("https://www.spark-marketing.ru/Card/Person/6471438", "ФЛ ФГУП ОХРАНА ФЕДЕРАЛЬНОЙ СЛУЖБЫ ВОЙСК НАЦИОНАЛЬНОЙ ГВАРДИИ РФ ПО МО")</f>
        <v>ФЛ ФГУП ОХРАНА ФЕДЕРАЛЬНОЙ СЛУЖБЫ ВОЙСК НАЦИОНАЛЬНОЙ ГВАРДИИ РФ ПО МО</v>
      </c>
      <c r="K8033" s="24" t="s">
        <v>779</v>
      </c>
      <c r="L8033" s="28" t="s">
        <v>52</v>
      </c>
      <c r="M8033" s="25">
        <v>170916.41</v>
      </c>
      <c r="N8033" s="27">
        <v>0.13999990641038071</v>
      </c>
    </row>
    <row r="8034" spans="1:14" hidden="1" outlineLevel="1" x14ac:dyDescent="0.2">
      <c r="A8034" s="23" t="str">
        <f>HYPERLINK("https://www.spark-marketing.ru/Card/Person/52498", "ГКУСО МО ""КЛИНСКИЙ РЦ ""РАДУГА""")</f>
        <v>ГКУСО МО "КЛИНСКИЙ РЦ "РАДУГА"</v>
      </c>
      <c r="B8034" s="24" t="s">
        <v>10245</v>
      </c>
      <c r="C8034" s="25">
        <v>198739.99</v>
      </c>
      <c r="D8034" s="22" t="s">
        <v>10246</v>
      </c>
      <c r="E8034" s="22" t="s">
        <v>59</v>
      </c>
      <c r="F8034" s="23" t="str">
        <f>HYPERLINK("https://www.spark-marketing.ru/Card/Lot/70569723", "Выполнение работ по установке системы охранной сигнализации")</f>
        <v>Выполнение работ по установке системы охранной сигнализации</v>
      </c>
      <c r="G8034" s="22" t="s">
        <v>50</v>
      </c>
      <c r="H8034" s="22" t="s">
        <v>4881</v>
      </c>
      <c r="I8034" s="26">
        <v>43602.683333333298</v>
      </c>
      <c r="J8034" s="23" t="str">
        <f>HYPERLINK("https://www.spark-marketing.ru/Card/Person/6251078", "ООО ""КБ""")</f>
        <v>ООО "КБ"</v>
      </c>
      <c r="K8034" s="24" t="s">
        <v>10248</v>
      </c>
      <c r="L8034" s="28" t="s">
        <v>52</v>
      </c>
      <c r="M8034" s="25">
        <v>130094.5</v>
      </c>
      <c r="N8034" s="27">
        <v>0.34540350937926484</v>
      </c>
    </row>
    <row r="8035" spans="1:14" ht="12.75" hidden="1" outlineLevel="1" x14ac:dyDescent="0.2">
      <c r="A8035" s="23" t="str">
        <f>HYPERLINK("https://www.spark-marketing.ru/Card/Person/52498", "ГКУСО МО ""КЛИНСКИЙ РЦ ""РАДУГА""")</f>
        <v>ГКУСО МО "КЛИНСКИЙ РЦ "РАДУГА"</v>
      </c>
      <c r="B8035" s="24" t="s">
        <v>10245</v>
      </c>
      <c r="C8035" s="25">
        <v>198739.99</v>
      </c>
      <c r="D8035" s="22" t="s">
        <v>10246</v>
      </c>
      <c r="E8035" s="22" t="s">
        <v>59</v>
      </c>
      <c r="F8035" s="23" t="str">
        <f>HYPERLINK("https://www.spark-marketing.ru/Card/Lot/70569723", "Выполнение работ по установке системы охранной сигнализации")</f>
        <v>Выполнение работ по установке системы охранной сигнализации</v>
      </c>
      <c r="G8035" s="22" t="s">
        <v>50</v>
      </c>
      <c r="H8035" s="22" t="s">
        <v>4881</v>
      </c>
      <c r="I8035" s="26">
        <v>43602.683333333298</v>
      </c>
      <c r="J8035" s="23" t="str">
        <f>HYPERLINK("https://www.spark-marketing.ru/Card/Person/6365169", "ООО ""ГПБ ЕДИНСТВО""")</f>
        <v>ООО "ГПБ ЕДИНСТВО"</v>
      </c>
      <c r="K8035" s="24" t="s">
        <v>6418</v>
      </c>
      <c r="L8035" s="22" t="s">
        <v>10</v>
      </c>
      <c r="M8035" s="25">
        <v>129100.8</v>
      </c>
      <c r="N8035" s="27">
        <v>0.35040350963084982</v>
      </c>
    </row>
    <row r="8036" spans="1:14" x14ac:dyDescent="0.15">
      <c r="A8036" s="23" t="str">
        <f>HYPERLINK("https://www.spark-marketing.ru/Card/Person/32170", "СУ СК РОССИИ ПО РЕСПУБЛИКЕ АЛТАЙ")</f>
        <v>СУ СК РОССИИ ПО РЕСПУБЛИКЕ АЛТАЙ</v>
      </c>
      <c r="B8036" s="24" t="s">
        <v>10249</v>
      </c>
      <c r="C8036" s="25">
        <v>1139807.3999999999</v>
      </c>
      <c r="D8036" s="22" t="s">
        <v>10250</v>
      </c>
      <c r="E8036" s="22" t="s">
        <v>68</v>
      </c>
      <c r="F8036" s="23" t="str">
        <f>HYPERLINK("https://www.spark-marketing.ru/Card/Lot/70561326", "Оказание услуг по военизированной охране объектов для нужд следственного управления Следственного комитета российской Федерации по Республике Алтай")</f>
        <v>Оказание услуг по военизированной охране объектов для нужд следственного управления Следственного комитета российской Федерации по Республике Алтай</v>
      </c>
      <c r="G8036" s="22" t="s">
        <v>3000</v>
      </c>
      <c r="H8036" s="22" t="s">
        <v>3001</v>
      </c>
      <c r="I8036" s="26">
        <v>43602.668749999997</v>
      </c>
      <c r="J8036" s="23" t="str">
        <f>HYPERLINK("https://www.spark-marketing.ru/Card/Person/10487", "ФГУП ""ОХРАНА"" РОСГВАРДИИ")</f>
        <v>ФГУП "ОХРАНА" РОСГВАРДИИ</v>
      </c>
      <c r="K8036" s="24" t="s">
        <v>779</v>
      </c>
      <c r="L8036" s="22" t="s">
        <v>10</v>
      </c>
      <c r="M8036" s="28" t="s">
        <v>52</v>
      </c>
      <c r="N8036" s="28" t="s">
        <v>52</v>
      </c>
    </row>
    <row r="8037" spans="1:14" x14ac:dyDescent="0.15">
      <c r="A8037" s="23" t="str">
        <f>HYPERLINK("https://www.spark-marketing.ru/Card/Person/11011", "ТУ-4 СЕВЕРО-ЗАПАДНОГО ФИЛИАЛА ОАО ""РОСТЕЛЕКОМ""")</f>
        <v>ТУ-4 СЕВЕРО-ЗАПАДНОГО ФИЛИАЛА ОАО "РОСТЕЛЕКОМ"</v>
      </c>
      <c r="B8037" s="24" t="s">
        <v>607</v>
      </c>
      <c r="C8037" s="28" t="s">
        <v>52</v>
      </c>
      <c r="D8037" s="22" t="s">
        <v>10251</v>
      </c>
      <c r="E8037" s="22" t="s">
        <v>10252</v>
      </c>
      <c r="F8037" s="23" t="str">
        <f>HYPERLINK("https://www.spark-marketing.ru/Card/Lot/70571841", "Открытый аукцион в электронной форме на право заключения договора на сервисное обслуживание оборудования студий видеоконференцсвязи, расположенных по адресу: г. Москва, Киевское ш., 22-й км, д.6, стр.1, Бизнес-парк «Comcity»")</f>
        <v>Открытый аукцион в электронной форме на право заключения договора на сервисное обслуживание оборудования студий видеоконференцсвязи, расположенных по адресу: г. Москва, Киевское ш., 22-й км, д.6, стр.1, Бизнес-парк «Comcity»</v>
      </c>
      <c r="G8037" s="22" t="s">
        <v>89</v>
      </c>
      <c r="H8037" s="22" t="s">
        <v>89</v>
      </c>
      <c r="I8037" s="26">
        <v>43602.697662036997</v>
      </c>
      <c r="J8037" s="28" t="s">
        <v>52</v>
      </c>
      <c r="K8037" s="28" t="s">
        <v>52</v>
      </c>
      <c r="L8037" s="28" t="s">
        <v>52</v>
      </c>
      <c r="M8037" s="28" t="s">
        <v>52</v>
      </c>
      <c r="N8037" s="28" t="s">
        <v>52</v>
      </c>
    </row>
    <row r="8038" spans="1:14" x14ac:dyDescent="0.15">
      <c r="A8038" s="23" t="str">
        <f>HYPERLINK("https://www.spark-marketing.ru/Card/Person/160646", "ОТДЕЛ ГФС РОССИИ В Г. ЙОШКАР-ОЛЕ")</f>
        <v>ОТДЕЛ ГФС РОССИИ В Г. ЙОШКАР-ОЛЕ</v>
      </c>
      <c r="B8038" s="24" t="s">
        <v>10253</v>
      </c>
      <c r="C8038" s="25">
        <v>7189</v>
      </c>
      <c r="D8038" s="22" t="s">
        <v>10254</v>
      </c>
      <c r="E8038" s="22" t="s">
        <v>84</v>
      </c>
      <c r="F8038" s="23" t="str">
        <f>HYPERLINK("https://www.spark-marketing.ru/Card/Lot/70747439", "Монтаж, установка, сборка систем охранного видеонаблюдения, 1 шт")</f>
        <v>Монтаж, установка, сборка систем охранного видеонаблюдения, 1 шт</v>
      </c>
      <c r="G8038" s="22" t="s">
        <v>2514</v>
      </c>
      <c r="H8038" s="22" t="s">
        <v>4189</v>
      </c>
      <c r="I8038" s="26">
        <v>43602.680300925902</v>
      </c>
      <c r="J8038" s="28" t="s">
        <v>52</v>
      </c>
      <c r="K8038" s="28" t="s">
        <v>52</v>
      </c>
      <c r="L8038" s="28" t="s">
        <v>52</v>
      </c>
      <c r="M8038" s="28" t="s">
        <v>52</v>
      </c>
      <c r="N8038" s="28" t="s">
        <v>52</v>
      </c>
    </row>
    <row r="8039" spans="1:14" x14ac:dyDescent="0.15">
      <c r="A8039" s="23" t="str">
        <f>HYPERLINK("https://www.spark-marketing.ru/Card/Person/114266", "БУ ""СОВЕТСКИЙ РАЙОННЫЙ ЦЕНТР ДЛЯ НЕСОВЕРШЕННОЛЕТНИХ""")</f>
        <v>БУ "СОВЕТСКИЙ РАЙОННЫЙ ЦЕНТР ДЛЯ НЕСОВЕРШЕННОЛЕТНИХ"</v>
      </c>
      <c r="B8039" s="24" t="s">
        <v>9993</v>
      </c>
      <c r="C8039" s="25">
        <v>33000</v>
      </c>
      <c r="D8039" s="22" t="s">
        <v>10255</v>
      </c>
      <c r="E8039" s="22" t="s">
        <v>103</v>
      </c>
      <c r="F8039" s="23" t="str">
        <f>HYPERLINK("https://www.spark-marketing.ru/Card/Lot/70564052", "Оказание услуг по техническому обслуживанию системы видеонаблюдения")</f>
        <v>Оказание услуг по техническому обслуживанию системы видеонаблюдения</v>
      </c>
      <c r="G8039" s="22" t="s">
        <v>119</v>
      </c>
      <c r="H8039" s="22" t="s">
        <v>2515</v>
      </c>
      <c r="I8039" s="26">
        <v>43602.6430555556</v>
      </c>
      <c r="J8039" s="28" t="s">
        <v>52</v>
      </c>
      <c r="K8039" s="28" t="s">
        <v>52</v>
      </c>
      <c r="L8039" s="28" t="s">
        <v>52</v>
      </c>
      <c r="M8039" s="28" t="s">
        <v>52</v>
      </c>
      <c r="N8039" s="28" t="s">
        <v>52</v>
      </c>
    </row>
    <row r="8040" spans="1:14" ht="12.75" hidden="1" outlineLevel="1" x14ac:dyDescent="0.2">
      <c r="A8040" s="23" t="str">
        <f>HYPERLINK("https://www.spark-marketing.ru/Card/Person/114266", "БУ ""СОВЕТСКИЙ РАЙОННЫЙ ЦЕНТР ДЛЯ НЕСОВЕРШЕННОЛЕТНИХ""")</f>
        <v>БУ "СОВЕТСКИЙ РАЙОННЫЙ ЦЕНТР ДЛЯ НЕСОВЕРШЕННОЛЕТНИХ"</v>
      </c>
      <c r="B8040" s="24" t="s">
        <v>9993</v>
      </c>
      <c r="C8040" s="25">
        <v>33000</v>
      </c>
      <c r="D8040" s="22" t="s">
        <v>10255</v>
      </c>
      <c r="E8040" s="22" t="s">
        <v>103</v>
      </c>
      <c r="F8040" s="23" t="str">
        <f>HYPERLINK("https://www.spark-marketing.ru/Card/Lot/70564052", "Оказание услуг по техническому обслуживанию системы видеонаблюдения")</f>
        <v>Оказание услуг по техническому обслуживанию системы видеонаблюдения</v>
      </c>
      <c r="G8040" s="22" t="s">
        <v>119</v>
      </c>
      <c r="H8040" s="22" t="s">
        <v>2515</v>
      </c>
      <c r="I8040" s="26">
        <v>43602.6430555556</v>
      </c>
      <c r="J8040" s="23" t="str">
        <f>HYPERLINK("https://www.spark-marketing.ru/Card/Person/643092", "ООО ""СИБИРЬ-ПЛЮС""")</f>
        <v>ООО "СИБИРЬ-ПЛЮС"</v>
      </c>
      <c r="K8040" s="24" t="s">
        <v>1595</v>
      </c>
      <c r="L8040" s="22" t="s">
        <v>10</v>
      </c>
      <c r="M8040" s="25">
        <v>10950</v>
      </c>
      <c r="N8040" s="27">
        <v>0.66818181818181821</v>
      </c>
    </row>
    <row r="8041" spans="1:14" hidden="1" outlineLevel="1" x14ac:dyDescent="0.2">
      <c r="A8041" s="23" t="str">
        <f>HYPERLINK("https://www.spark-marketing.ru/Card/Person/114266", "БУ ""СОВЕТСКИЙ РАЙОННЫЙ ЦЕНТР ДЛЯ НЕСОВЕРШЕННОЛЕТНИХ""")</f>
        <v>БУ "СОВЕТСКИЙ РАЙОННЫЙ ЦЕНТР ДЛЯ НЕСОВЕРШЕННОЛЕТНИХ"</v>
      </c>
      <c r="B8041" s="24" t="s">
        <v>9993</v>
      </c>
      <c r="C8041" s="25">
        <v>33000</v>
      </c>
      <c r="D8041" s="22" t="s">
        <v>10255</v>
      </c>
      <c r="E8041" s="22" t="s">
        <v>103</v>
      </c>
      <c r="F8041" s="23" t="str">
        <f>HYPERLINK("https://www.spark-marketing.ru/Card/Lot/70564052", "Оказание услуг по техническому обслуживанию системы видеонаблюдения")</f>
        <v>Оказание услуг по техническому обслуживанию системы видеонаблюдения</v>
      </c>
      <c r="G8041" s="22" t="s">
        <v>119</v>
      </c>
      <c r="H8041" s="22" t="s">
        <v>2515</v>
      </c>
      <c r="I8041" s="26">
        <v>43602.6430555556</v>
      </c>
      <c r="J8041" s="23" t="str">
        <f>HYPERLINK("https://www.spark-marketing.ru/Card/Person/939297", "ООО ""ЭКСПРЕСС-СВЯЗЬ""")</f>
        <v>ООО "ЭКСПРЕСС-СВЯЗЬ"</v>
      </c>
      <c r="K8041" s="24" t="s">
        <v>8840</v>
      </c>
      <c r="L8041" s="28" t="s">
        <v>52</v>
      </c>
      <c r="M8041" s="25">
        <v>11115</v>
      </c>
      <c r="N8041" s="27">
        <v>0.66318181818181821</v>
      </c>
    </row>
    <row r="8042" spans="1:14" hidden="1" outlineLevel="1" x14ac:dyDescent="0.2">
      <c r="A8042" s="23" t="str">
        <f>HYPERLINK("https://www.spark-marketing.ru/Card/Person/114266", "БУ ""СОВЕТСКИЙ РАЙОННЫЙ ЦЕНТР ДЛЯ НЕСОВЕРШЕННОЛЕТНИХ""")</f>
        <v>БУ "СОВЕТСКИЙ РАЙОННЫЙ ЦЕНТР ДЛЯ НЕСОВЕРШЕННОЛЕТНИХ"</v>
      </c>
      <c r="B8042" s="24" t="s">
        <v>9993</v>
      </c>
      <c r="C8042" s="25">
        <v>33000</v>
      </c>
      <c r="D8042" s="22" t="s">
        <v>10255</v>
      </c>
      <c r="E8042" s="22" t="s">
        <v>103</v>
      </c>
      <c r="F8042" s="23" t="str">
        <f>HYPERLINK("https://www.spark-marketing.ru/Card/Lot/70564052", "Оказание услуг по техническому обслуживанию системы видеонаблюдения")</f>
        <v>Оказание услуг по техническому обслуживанию системы видеонаблюдения</v>
      </c>
      <c r="G8042" s="22" t="s">
        <v>119</v>
      </c>
      <c r="H8042" s="22" t="s">
        <v>2515</v>
      </c>
      <c r="I8042" s="26">
        <v>43602.6430555556</v>
      </c>
      <c r="J8042" s="23" t="str">
        <f>HYPERLINK("https://www.spark-marketing.ru/Card/Person/680923", "ООО ""А Т Э С И К""")</f>
        <v>ООО "А Т Э С И К"</v>
      </c>
      <c r="K8042" s="24" t="s">
        <v>8931</v>
      </c>
      <c r="L8042" s="28" t="s">
        <v>52</v>
      </c>
      <c r="M8042" s="25">
        <v>32505</v>
      </c>
      <c r="N8042" s="27">
        <v>1.4999999999999999E-2</v>
      </c>
    </row>
    <row r="8043" spans="1:14" x14ac:dyDescent="0.15">
      <c r="A8043" s="23" t="str">
        <f>HYPERLINK("https://www.spark-marketing.ru/Card/Person/53856", "МОУ ЛИЦЕЙ № 42")</f>
        <v>МОУ ЛИЦЕЙ № 42</v>
      </c>
      <c r="B8043" s="24" t="s">
        <v>10256</v>
      </c>
      <c r="C8043" s="25">
        <v>396389.53</v>
      </c>
      <c r="D8043" s="22" t="s">
        <v>10257</v>
      </c>
      <c r="E8043" s="22" t="s">
        <v>84</v>
      </c>
      <c r="F8043" s="23" t="str">
        <f>HYPERLINK("https://www.spark-marketing.ru/Card/Lot/70562232", "Работы по установке системы видеонаблюдения")</f>
        <v>Работы по установке системы видеонаблюдения</v>
      </c>
      <c r="G8043" s="22" t="s">
        <v>50</v>
      </c>
      <c r="H8043" s="22" t="s">
        <v>827</v>
      </c>
      <c r="I8043" s="26">
        <v>43602.627708333297</v>
      </c>
      <c r="J8043" s="28" t="s">
        <v>52</v>
      </c>
      <c r="K8043" s="28" t="s">
        <v>52</v>
      </c>
      <c r="L8043" s="28" t="s">
        <v>52</v>
      </c>
      <c r="M8043" s="28" t="s">
        <v>52</v>
      </c>
      <c r="N8043" s="28" t="s">
        <v>52</v>
      </c>
    </row>
    <row r="8044" spans="1:14" x14ac:dyDescent="0.15">
      <c r="A8044" s="23" t="str">
        <f>HYPERLINK("https://www.spark-marketing.ru/Card/Person/89585", "ООО ""ГАЗПРОМ ТРАНСГАЗ ЮГОРСК""")</f>
        <v>ООО "ГАЗПРОМ ТРАНСГАЗ ЮГОРСК"</v>
      </c>
      <c r="B8044" s="24" t="s">
        <v>4073</v>
      </c>
      <c r="C8044" s="25">
        <v>52939988</v>
      </c>
      <c r="D8044" s="22" t="s">
        <v>10258</v>
      </c>
      <c r="E8044" s="22" t="s">
        <v>10259</v>
      </c>
      <c r="F8044" s="23" t="str">
        <f>HYPERLINK("https://www.spark-marketing.ru/Card/Lot/70561522", "Поставка снегоболотохода ДТ-30ПМНК для нужд ООО ""Газпром трансгаз Югорск""")</f>
        <v>Поставка снегоболотохода ДТ-30ПМНК для нужд ООО "Газпром трансгаз Югорск"</v>
      </c>
      <c r="G8044" s="22" t="s">
        <v>119</v>
      </c>
      <c r="H8044" s="22" t="s">
        <v>4075</v>
      </c>
      <c r="I8044" s="26">
        <v>43602.654826388898</v>
      </c>
      <c r="J8044" s="28" t="s">
        <v>52</v>
      </c>
      <c r="K8044" s="28" t="s">
        <v>52</v>
      </c>
      <c r="L8044" s="28" t="s">
        <v>52</v>
      </c>
      <c r="M8044" s="28" t="s">
        <v>52</v>
      </c>
      <c r="N8044" s="28" t="s">
        <v>52</v>
      </c>
    </row>
    <row r="8045" spans="1:14" x14ac:dyDescent="0.15">
      <c r="A8045" s="23" t="str">
        <f>HYPERLINK("https://www.spark-marketing.ru/Card/Person/263900", "МЕЖРАЙОННАЯ ИФНС РОССИИ № 4 ПО ВОЛОГОДСКОЙ ОБЛАСТИ")</f>
        <v>МЕЖРАЙОННАЯ ИФНС РОССИИ № 4 ПО ВОЛОГОДСКОЙ ОБЛАСТИ</v>
      </c>
      <c r="B8045" s="24" t="s">
        <v>6804</v>
      </c>
      <c r="C8045" s="25">
        <v>44619</v>
      </c>
      <c r="D8045" s="22" t="s">
        <v>10260</v>
      </c>
      <c r="E8045" s="22" t="s">
        <v>53</v>
      </c>
      <c r="F8045" s="23" t="str">
        <f>HYPERLINK("https://www.spark-marketing.ru/Card/Lot/70750284", "Монтаж, установка, сборка систем охранного видеонаблюдения, 1 шт")</f>
        <v>Монтаж, установка, сборка систем охранного видеонаблюдения, 1 шт</v>
      </c>
      <c r="G8045" s="22" t="s">
        <v>902</v>
      </c>
      <c r="H8045" s="22" t="s">
        <v>6806</v>
      </c>
      <c r="I8045" s="26">
        <v>43602.627395833297</v>
      </c>
      <c r="J8045" s="28" t="s">
        <v>52</v>
      </c>
      <c r="K8045" s="28" t="s">
        <v>52</v>
      </c>
      <c r="L8045" s="28" t="s">
        <v>52</v>
      </c>
      <c r="M8045" s="28" t="s">
        <v>52</v>
      </c>
      <c r="N8045" s="28" t="s">
        <v>52</v>
      </c>
    </row>
    <row r="8046" spans="1:14" x14ac:dyDescent="0.15">
      <c r="A8046" s="23" t="str">
        <f>HYPERLINK("https://www.spark-marketing.ru/Card/Person/140005", "БУ ""КОНДИНСКИЙ РАЙОННЫЙ КОМПЛЕКСНЫЙ ЦЕНТР СОЦИАЛЬНОГО ОБСЛУЖИВАНИЯ НАСЕЛЕНИЯ""")</f>
        <v>БУ "КОНДИНСКИЙ РАЙОННЫЙ КОМПЛЕКСНЫЙ ЦЕНТР СОЦИАЛЬНОГО ОБСЛУЖИВАНИЯ НАСЕЛЕНИЯ"</v>
      </c>
      <c r="B8046" s="24" t="s">
        <v>10261</v>
      </c>
      <c r="C8046" s="25">
        <v>588785.28</v>
      </c>
      <c r="D8046" s="22" t="s">
        <v>10262</v>
      </c>
      <c r="E8046" s="22" t="s">
        <v>52</v>
      </c>
      <c r="F8046" s="23" t="str">
        <f>HYPERLINK("https://www.spark-marketing.ru/Card/Lot/70564551", "Оказание охранных услуг здания филиала БУ «Кондинский районный комплексный центр социального обслуживания населения» п.Мулымья")</f>
        <v>Оказание охранных услуг здания филиала БУ «Кондинский районный комплексный центр социального обслуживания населения» п.Мулымья</v>
      </c>
      <c r="G8046" s="22" t="s">
        <v>119</v>
      </c>
      <c r="H8046" s="22" t="s">
        <v>10263</v>
      </c>
      <c r="I8046" s="26">
        <v>43602.65625</v>
      </c>
      <c r="J8046" s="28" t="s">
        <v>52</v>
      </c>
      <c r="K8046" s="28" t="s">
        <v>52</v>
      </c>
      <c r="L8046" s="28" t="s">
        <v>52</v>
      </c>
      <c r="M8046" s="28" t="s">
        <v>52</v>
      </c>
      <c r="N8046" s="28" t="s">
        <v>52</v>
      </c>
    </row>
    <row r="8047" spans="1:14" hidden="1" outlineLevel="1" x14ac:dyDescent="0.2">
      <c r="A8047" s="23" t="str">
        <f>HYPERLINK("https://www.spark-marketing.ru/Card/Person/140005", "БУ ""КОНДИНСКИЙ РАЙОННЫЙ КОМПЛЕКСНЫЙ ЦЕНТР СОЦИАЛЬНОГО ОБСЛУЖИВАНИЯ НАСЕЛЕНИЯ""")</f>
        <v>БУ "КОНДИНСКИЙ РАЙОННЫЙ КОМПЛЕКСНЫЙ ЦЕНТР СОЦИАЛЬНОГО ОБСЛУЖИВАНИЯ НАСЕЛЕНИЯ"</v>
      </c>
      <c r="B8047" s="24" t="s">
        <v>10261</v>
      </c>
      <c r="C8047" s="25">
        <v>588785.28</v>
      </c>
      <c r="D8047" s="22" t="s">
        <v>10262</v>
      </c>
      <c r="E8047" s="22" t="s">
        <v>52</v>
      </c>
      <c r="F8047" s="23" t="str">
        <f>HYPERLINK("https://www.spark-marketing.ru/Card/Lot/70564551", "Оказание охранных услуг здания филиала БУ «Кондинский районный комплексный центр социального обслуживания населения» п.Мулымья")</f>
        <v>Оказание охранных услуг здания филиала БУ «Кондинский районный комплексный центр социального обслуживания населения» п.Мулымья</v>
      </c>
      <c r="G8047" s="22" t="s">
        <v>119</v>
      </c>
      <c r="H8047" s="22" t="s">
        <v>10263</v>
      </c>
      <c r="I8047" s="26">
        <v>43602.65625</v>
      </c>
      <c r="J8047" s="23" t="str">
        <f>HYPERLINK("https://www.spark-marketing.ru/Card/Person/109173", "ООО ЧОО АГЕНТСТВО БЕЗОПАСНОСТИ ""АРГУС""")</f>
        <v>ООО ЧОО АГЕНТСТВО БЕЗОПАСНОСТИ "АРГУС"</v>
      </c>
      <c r="K8047" s="24" t="s">
        <v>2564</v>
      </c>
      <c r="L8047" s="28" t="s">
        <v>52</v>
      </c>
      <c r="M8047" s="25">
        <v>439549.48</v>
      </c>
      <c r="N8047" s="27">
        <v>0.25346387735780351</v>
      </c>
    </row>
    <row r="8048" spans="1:14" hidden="1" outlineLevel="1" x14ac:dyDescent="0.2">
      <c r="A8048" s="23" t="str">
        <f>HYPERLINK("https://www.spark-marketing.ru/Card/Person/140005", "БУ ""КОНДИНСКИЙ РАЙОННЫЙ КОМПЛЕКСНЫЙ ЦЕНТР СОЦИАЛЬНОГО ОБСЛУЖИВАНИЯ НАСЕЛЕНИЯ""")</f>
        <v>БУ "КОНДИНСКИЙ РАЙОННЫЙ КОМПЛЕКСНЫЙ ЦЕНТР СОЦИАЛЬНОГО ОБСЛУЖИВАНИЯ НАСЕЛЕНИЯ"</v>
      </c>
      <c r="B8048" s="24" t="s">
        <v>10261</v>
      </c>
      <c r="C8048" s="25">
        <v>588785.28</v>
      </c>
      <c r="D8048" s="22" t="s">
        <v>10262</v>
      </c>
      <c r="E8048" s="22" t="s">
        <v>52</v>
      </c>
      <c r="F8048" s="23" t="str">
        <f>HYPERLINK("https://www.spark-marketing.ru/Card/Lot/70564551", "Оказание охранных услуг здания филиала БУ «Кондинский районный комплексный центр социального обслуживания населения» п.Мулымья")</f>
        <v>Оказание охранных услуг здания филиала БУ «Кондинский районный комплексный центр социального обслуживания населения» п.Мулымья</v>
      </c>
      <c r="G8048" s="22" t="s">
        <v>119</v>
      </c>
      <c r="H8048" s="22" t="s">
        <v>10263</v>
      </c>
      <c r="I8048" s="26">
        <v>43602.65625</v>
      </c>
      <c r="J8048" s="23" t="str">
        <f>HYPERLINK("https://www.spark-marketing.ru/Card/Person/127983", "ООО ЧОО ""ОХРАНА СЕРВИС ЭЛИТ""")</f>
        <v>ООО ЧОО "ОХРАНА СЕРВИС ЭЛИТ"</v>
      </c>
      <c r="K8048" s="24" t="s">
        <v>2565</v>
      </c>
      <c r="L8048" s="28" t="s">
        <v>52</v>
      </c>
      <c r="M8048" s="25">
        <v>459251.76</v>
      </c>
      <c r="N8048" s="27">
        <v>0.22000128807568015</v>
      </c>
    </row>
    <row r="8049" spans="1:14" hidden="1" outlineLevel="1" x14ac:dyDescent="0.2">
      <c r="A8049" s="23" t="str">
        <f>HYPERLINK("https://www.spark-marketing.ru/Card/Person/140005", "БУ ""КОНДИНСКИЙ РАЙОННЫЙ КОМПЛЕКСНЫЙ ЦЕНТР СОЦИАЛЬНОГО ОБСЛУЖИВАНИЯ НАСЕЛЕНИЯ""")</f>
        <v>БУ "КОНДИНСКИЙ РАЙОННЫЙ КОМПЛЕКСНЫЙ ЦЕНТР СОЦИАЛЬНОГО ОБСЛУЖИВАНИЯ НАСЕЛЕНИЯ"</v>
      </c>
      <c r="B8049" s="24" t="s">
        <v>10261</v>
      </c>
      <c r="C8049" s="25">
        <v>588785.28</v>
      </c>
      <c r="D8049" s="22" t="s">
        <v>10262</v>
      </c>
      <c r="E8049" s="22" t="s">
        <v>52</v>
      </c>
      <c r="F8049" s="23" t="str">
        <f>HYPERLINK("https://www.spark-marketing.ru/Card/Lot/70564551", "Оказание охранных услуг здания филиала БУ «Кондинский районный комплексный центр социального обслуживания населения» п.Мулымья")</f>
        <v>Оказание охранных услуг здания филиала БУ «Кондинский районный комплексный центр социального обслуживания населения» п.Мулымья</v>
      </c>
      <c r="G8049" s="22" t="s">
        <v>119</v>
      </c>
      <c r="H8049" s="22" t="s">
        <v>10263</v>
      </c>
      <c r="I8049" s="26">
        <v>43602.65625</v>
      </c>
      <c r="J8049" s="23" t="str">
        <f>HYPERLINK("https://www.spark-marketing.ru/Card/Person/4343858", "ООО ЧОО ""СПРУТ""")</f>
        <v>ООО ЧОО "СПРУТ"</v>
      </c>
      <c r="K8049" s="24" t="s">
        <v>1389</v>
      </c>
      <c r="L8049" s="28" t="s">
        <v>52</v>
      </c>
      <c r="M8049" s="25">
        <v>541682.4</v>
      </c>
      <c r="N8049" s="27">
        <v>8.0000097828532665E-2</v>
      </c>
    </row>
    <row r="8050" spans="1:14" ht="12.75" hidden="1" outlineLevel="1" x14ac:dyDescent="0.2">
      <c r="A8050" s="23" t="str">
        <f>HYPERLINK("https://www.spark-marketing.ru/Card/Person/140005", "БУ ""КОНДИНСКИЙ РАЙОННЫЙ КОМПЛЕКСНЫЙ ЦЕНТР СОЦИАЛЬНОГО ОБСЛУЖИВАНИЯ НАСЕЛЕНИЯ""")</f>
        <v>БУ "КОНДИНСКИЙ РАЙОННЫЙ КОМПЛЕКСНЫЙ ЦЕНТР СОЦИАЛЬНОГО ОБСЛУЖИВАНИЯ НАСЕЛЕНИЯ"</v>
      </c>
      <c r="B8050" s="24" t="s">
        <v>10261</v>
      </c>
      <c r="C8050" s="25">
        <v>588785.28</v>
      </c>
      <c r="D8050" s="22" t="s">
        <v>10262</v>
      </c>
      <c r="E8050" s="22" t="s">
        <v>52</v>
      </c>
      <c r="F8050" s="23" t="str">
        <f>HYPERLINK("https://www.spark-marketing.ru/Card/Lot/70564551", "Оказание охранных услуг здания филиала БУ «Кондинский районный комплексный центр социального обслуживания населения» п.Мулымья")</f>
        <v>Оказание охранных услуг здания филиала БУ «Кондинский районный комплексный центр социального обслуживания населения» п.Мулымья</v>
      </c>
      <c r="G8050" s="22" t="s">
        <v>119</v>
      </c>
      <c r="H8050" s="22" t="s">
        <v>10263</v>
      </c>
      <c r="I8050" s="26">
        <v>43602.65625</v>
      </c>
      <c r="J8050" s="23" t="str">
        <f>HYPERLINK("https://www.spark-marketing.ru/Card/Person/2559159", "ООО ЧОО ""БЕЗОПАСНОСТЬ 163""")</f>
        <v>ООО ЧОО "БЕЗОПАСНОСТЬ 163"</v>
      </c>
      <c r="K8050" s="24" t="s">
        <v>10264</v>
      </c>
      <c r="L8050" s="22" t="s">
        <v>10</v>
      </c>
      <c r="M8050" s="25">
        <v>436605.55</v>
      </c>
      <c r="N8050" s="27">
        <v>0.25846388347208682</v>
      </c>
    </row>
    <row r="8051" spans="1:14" x14ac:dyDescent="0.2">
      <c r="A8051" s="23" t="str">
        <f>HYPERLINK("https://www.spark-marketing.ru/Card/Person/4380338", "ГУП РК «КРЫМАВТОТРАНС»")</f>
        <v>ГУП РК «КРЫМАВТОТРАНС»</v>
      </c>
      <c r="B8051" s="24" t="s">
        <v>10265</v>
      </c>
      <c r="C8051" s="25">
        <v>578799.96</v>
      </c>
      <c r="D8051" s="22" t="s">
        <v>10266</v>
      </c>
      <c r="E8051" s="22" t="s">
        <v>789</v>
      </c>
      <c r="F8051" s="23" t="str">
        <f>HYPERLINK("https://www.spark-marketing.ru/Card/Lot/70567950", "Оказание услуг по техническому обслуживанию системы охранно-тревожной сигнализации")</f>
        <v>Оказание услуг по техническому обслуживанию системы охранно-тревожной сигнализации</v>
      </c>
      <c r="G8051" s="22" t="s">
        <v>1053</v>
      </c>
      <c r="H8051" s="22" t="s">
        <v>1053</v>
      </c>
      <c r="I8051" s="26">
        <v>43602.655324074098</v>
      </c>
      <c r="J8051" s="28" t="s">
        <v>52</v>
      </c>
      <c r="K8051" s="28" t="s">
        <v>52</v>
      </c>
      <c r="L8051" s="28" t="s">
        <v>52</v>
      </c>
      <c r="M8051" s="25">
        <v>444000</v>
      </c>
      <c r="N8051" s="27">
        <v>0.23289559315104308</v>
      </c>
    </row>
    <row r="8052" spans="1:14" x14ac:dyDescent="0.15">
      <c r="A8052" s="23" t="str">
        <f>HYPERLINK("https://www.spark-marketing.ru/Card/Person/26647", "УСД ВО ВЛАДИМИРСКОЙ ОБЛАСТИ")</f>
        <v>УСД ВО ВЛАДИМИРСКОЙ ОБЛАСТИ</v>
      </c>
      <c r="B8052" s="24" t="s">
        <v>8226</v>
      </c>
      <c r="C8052" s="25">
        <v>1384263.72</v>
      </c>
      <c r="D8052" s="22" t="s">
        <v>10267</v>
      </c>
      <c r="E8052" s="22" t="s">
        <v>68</v>
      </c>
      <c r="F8052" s="23" t="str">
        <f>HYPERLINK("https://www.spark-marketing.ru/Card/Lot/70567566", "Закупка услуг для обеспечения государственных нужд ""услуги охраны зданий и помещений судов общей юрисдикции Владимирской области с помощью охранной сигнализации (ПЦН) и кнопки тревожной сигнализации (КТС)"".")</f>
        <v>Закупка услуг для обеспечения государственных нужд "услуги охраны зданий и помещений судов общей юрисдикции Владимирской области с помощью охранной сигнализации (ПЦН) и кнопки тревожной сигнализации (КТС)".</v>
      </c>
      <c r="G8052" s="22" t="s">
        <v>145</v>
      </c>
      <c r="H8052" s="22" t="s">
        <v>145</v>
      </c>
      <c r="I8052" s="26">
        <v>43602.650694444397</v>
      </c>
      <c r="J8052" s="28" t="s">
        <v>52</v>
      </c>
      <c r="K8052" s="28" t="s">
        <v>52</v>
      </c>
      <c r="L8052" s="28" t="s">
        <v>52</v>
      </c>
      <c r="M8052" s="28" t="s">
        <v>52</v>
      </c>
      <c r="N8052" s="28" t="s">
        <v>52</v>
      </c>
    </row>
    <row r="8053" spans="1:14" x14ac:dyDescent="0.15">
      <c r="A8053" s="23" t="str">
        <f>HYPERLINK("https://www.spark-marketing.ru/Card/Person/15378", "КГБУЗ ""ВДП № 3""")</f>
        <v>КГБУЗ "ВДП № 3"</v>
      </c>
      <c r="B8053" s="24" t="s">
        <v>10268</v>
      </c>
      <c r="C8053" s="25">
        <v>440873.5</v>
      </c>
      <c r="D8053" s="22" t="s">
        <v>10269</v>
      </c>
      <c r="E8053" s="22" t="s">
        <v>84</v>
      </c>
      <c r="F8053" s="23" t="str">
        <f>HYPERLINK("https://www.spark-marketing.ru/Card/Lot/70546727", "Монтаж и установка системы видеонаблюдения")</f>
        <v>Монтаж и установка системы видеонаблюдения</v>
      </c>
      <c r="G8053" s="22" t="s">
        <v>409</v>
      </c>
      <c r="H8053" s="22" t="s">
        <v>878</v>
      </c>
      <c r="I8053" s="26">
        <v>43602.618055555598</v>
      </c>
      <c r="J8053" s="28" t="s">
        <v>52</v>
      </c>
      <c r="K8053" s="28" t="s">
        <v>52</v>
      </c>
      <c r="L8053" s="28" t="s">
        <v>52</v>
      </c>
      <c r="M8053" s="28" t="s">
        <v>52</v>
      </c>
      <c r="N8053" s="28" t="s">
        <v>52</v>
      </c>
    </row>
    <row r="8054" spans="1:14" hidden="1" outlineLevel="1" x14ac:dyDescent="0.2">
      <c r="A8054" s="23" t="str">
        <f>HYPERLINK("https://www.spark-marketing.ru/Card/Person/15378", "КГБУЗ ""ВДП № 3""")</f>
        <v>КГБУЗ "ВДП № 3"</v>
      </c>
      <c r="B8054" s="24" t="s">
        <v>10268</v>
      </c>
      <c r="C8054" s="25">
        <v>440873.5</v>
      </c>
      <c r="D8054" s="22" t="s">
        <v>10269</v>
      </c>
      <c r="E8054" s="22" t="s">
        <v>84</v>
      </c>
      <c r="F8054" s="23" t="str">
        <f>HYPERLINK("https://www.spark-marketing.ru/Card/Lot/70546727", "Монтаж и установка системы видеонаблюдения")</f>
        <v>Монтаж и установка системы видеонаблюдения</v>
      </c>
      <c r="G8054" s="22" t="s">
        <v>409</v>
      </c>
      <c r="H8054" s="22" t="s">
        <v>878</v>
      </c>
      <c r="I8054" s="26">
        <v>43602.618055555598</v>
      </c>
      <c r="J8054" s="23" t="str">
        <f>HYPERLINK("https://www.spark-marketing.ru/Card/Person/61255", "ООО ЧОП ""АМУЛЕТ""")</f>
        <v>ООО ЧОП "АМУЛЕТ"</v>
      </c>
      <c r="K8054" s="24" t="s">
        <v>1621</v>
      </c>
      <c r="L8054" s="28" t="s">
        <v>52</v>
      </c>
      <c r="M8054" s="25">
        <v>387968.62</v>
      </c>
      <c r="N8054" s="27">
        <v>0.12000013609345991</v>
      </c>
    </row>
    <row r="8055" spans="1:14" ht="12.75" hidden="1" outlineLevel="1" x14ac:dyDescent="0.2">
      <c r="A8055" s="23" t="str">
        <f>HYPERLINK("https://www.spark-marketing.ru/Card/Person/15378", "КГБУЗ ""ВДП № 3""")</f>
        <v>КГБУЗ "ВДП № 3"</v>
      </c>
      <c r="B8055" s="24" t="s">
        <v>10268</v>
      </c>
      <c r="C8055" s="25">
        <v>440873.5</v>
      </c>
      <c r="D8055" s="22" t="s">
        <v>10269</v>
      </c>
      <c r="E8055" s="22" t="s">
        <v>84</v>
      </c>
      <c r="F8055" s="23" t="str">
        <f>HYPERLINK("https://www.spark-marketing.ru/Card/Lot/70546727", "Монтаж и установка системы видеонаблюдения")</f>
        <v>Монтаж и установка системы видеонаблюдения</v>
      </c>
      <c r="G8055" s="22" t="s">
        <v>409</v>
      </c>
      <c r="H8055" s="22" t="s">
        <v>878</v>
      </c>
      <c r="I8055" s="26">
        <v>43602.618055555598</v>
      </c>
      <c r="J8055" s="23" t="str">
        <f>HYPERLINK("https://www.spark-marketing.ru/Card/Person/6296716", "ООО ""МК ЗЕВС""")</f>
        <v>ООО "МК ЗЕВС"</v>
      </c>
      <c r="K8055" s="24" t="s">
        <v>7869</v>
      </c>
      <c r="L8055" s="22" t="s">
        <v>10</v>
      </c>
      <c r="M8055" s="25">
        <v>385764.25</v>
      </c>
      <c r="N8055" s="27">
        <v>0.12500014176402074</v>
      </c>
    </row>
    <row r="8056" spans="1:14" x14ac:dyDescent="0.15">
      <c r="A8056" s="23" t="str">
        <f>HYPERLINK("https://www.spark-marketing.ru/Card/Person/4415898", "АО ""ВТЗ""")</f>
        <v>АО "ВТЗ"</v>
      </c>
      <c r="B8056" s="24" t="s">
        <v>2597</v>
      </c>
      <c r="C8056" s="28" t="s">
        <v>52</v>
      </c>
      <c r="D8056" s="22" t="s">
        <v>10270</v>
      </c>
      <c r="E8056" s="22" t="s">
        <v>53</v>
      </c>
      <c r="F8056" s="23" t="str">
        <f>HYPERLINK("https://www.spark-marketing.ru/Card/Lot/72410267", "Техническое обслуживание системы видеонаблюдения, системы контроля управления доступом, системы охранной сигнализации")</f>
        <v>Техническое обслуживание системы видеонаблюдения, системы контроля управления доступом, системы охранной сигнализации</v>
      </c>
      <c r="G8056" s="22" t="s">
        <v>343</v>
      </c>
      <c r="H8056" s="22" t="s">
        <v>2599</v>
      </c>
      <c r="I8056" s="26">
        <v>43602.621817129599</v>
      </c>
      <c r="J8056" s="28" t="s">
        <v>52</v>
      </c>
      <c r="K8056" s="28" t="s">
        <v>52</v>
      </c>
      <c r="L8056" s="28" t="s">
        <v>52</v>
      </c>
      <c r="M8056" s="28" t="s">
        <v>52</v>
      </c>
      <c r="N8056" s="28" t="s">
        <v>52</v>
      </c>
    </row>
    <row r="8057" spans="1:14" x14ac:dyDescent="0.15">
      <c r="A8057" s="23" t="str">
        <f>HYPERLINK("https://www.spark-marketing.ru/Card/Person/47235", "ГБУЗ АРХАНГЕЛЬСКОЙ ОБЛАСТИ ""ОНЕЖСКАЯ ЦРБ""")</f>
        <v>ГБУЗ АРХАНГЕЛЬСКОЙ ОБЛАСТИ "ОНЕЖСКАЯ ЦРБ"</v>
      </c>
      <c r="B8057" s="24" t="s">
        <v>10271</v>
      </c>
      <c r="C8057" s="25">
        <v>98100</v>
      </c>
      <c r="D8057" s="22" t="s">
        <v>10272</v>
      </c>
      <c r="E8057" s="22" t="s">
        <v>68</v>
      </c>
      <c r="F8057" s="23" t="str">
        <f>HYPERLINK("https://www.spark-marketing.ru/Card/Lot/70563751", "Оказание услуг по охране объектов при помощи пульта централизованного наблюдения")</f>
        <v>Оказание услуг по охране объектов при помощи пульта централизованного наблюдения</v>
      </c>
      <c r="G8057" s="22" t="s">
        <v>674</v>
      </c>
      <c r="H8057" s="22" t="s">
        <v>674</v>
      </c>
      <c r="I8057" s="26">
        <v>43602.597222222197</v>
      </c>
      <c r="J8057" s="28" t="s">
        <v>52</v>
      </c>
      <c r="K8057" s="28" t="s">
        <v>52</v>
      </c>
      <c r="L8057" s="28" t="s">
        <v>52</v>
      </c>
      <c r="M8057" s="28" t="s">
        <v>52</v>
      </c>
      <c r="N8057" s="28" t="s">
        <v>52</v>
      </c>
    </row>
    <row r="8058" spans="1:14" x14ac:dyDescent="0.15">
      <c r="A8058" s="23" t="str">
        <f>HYPERLINK("https://www.spark-marketing.ru/Card/Person/1014932", "ЛО МВД РОССИИ НА ВОДНОМ ТРАНСПОРТЕ")</f>
        <v>ЛО МВД РОССИИ НА ВОДНОМ ТРАНСПОРТЕ</v>
      </c>
      <c r="B8058" s="24" t="s">
        <v>10273</v>
      </c>
      <c r="C8058" s="25">
        <v>20000</v>
      </c>
      <c r="D8058" s="22" t="s">
        <v>10274</v>
      </c>
      <c r="E8058" s="22" t="s">
        <v>53</v>
      </c>
      <c r="F8058" s="23" t="str">
        <f>HYPERLINK("https://www.spark-marketing.ru/Card/Lot/70749988", "Техническое обслуживание систем видеонаблюдения для нужд ЛО МВД России на ВТ")</f>
        <v>Техническое обслуживание систем видеонаблюдения для нужд ЛО МВД России на ВТ</v>
      </c>
      <c r="G8058" s="22" t="s">
        <v>55</v>
      </c>
      <c r="H8058" s="22" t="s">
        <v>55</v>
      </c>
      <c r="I8058" s="26">
        <v>43602.597118055601</v>
      </c>
      <c r="J8058" s="28" t="s">
        <v>52</v>
      </c>
      <c r="K8058" s="28" t="s">
        <v>52</v>
      </c>
      <c r="L8058" s="28" t="s">
        <v>52</v>
      </c>
      <c r="M8058" s="28" t="s">
        <v>52</v>
      </c>
      <c r="N8058" s="28" t="s">
        <v>52</v>
      </c>
    </row>
    <row r="8059" spans="1:14" x14ac:dyDescent="0.15">
      <c r="A8059" s="23" t="str">
        <f>HYPERLINK("https://www.spark-marketing.ru/Card/Person/140005", "БУ ""КОНДИНСКИЙ РАЙОННЫЙ КОМПЛЕКСНЫЙ ЦЕНТР СОЦИАЛЬНОГО ОБСЛУЖИВАНИЯ НАСЕЛЕНИЯ""")</f>
        <v>БУ "КОНДИНСКИЙ РАЙОННЫЙ КОМПЛЕКСНЫЙ ЦЕНТР СОЦИАЛЬНОГО ОБСЛУЖИВАНИЯ НАСЕЛЕНИЯ"</v>
      </c>
      <c r="B8059" s="24" t="s">
        <v>10261</v>
      </c>
      <c r="C8059" s="25">
        <v>588785.28</v>
      </c>
      <c r="D8059" s="22" t="s">
        <v>10275</v>
      </c>
      <c r="E8059" s="22" t="s">
        <v>52</v>
      </c>
      <c r="F8059" s="23" t="str">
        <f>HYPERLINK("https://www.spark-marketing.ru/Card/Lot/70564550", "Оказание охранных услуг здания филиала БУ «Кондинский районный комплексный центр социального обслуживания населения» пгт. Кондинское")</f>
        <v>Оказание охранных услуг здания филиала БУ «Кондинский районный комплексный центр социального обслуживания населения» пгт. Кондинское</v>
      </c>
      <c r="G8059" s="22" t="s">
        <v>119</v>
      </c>
      <c r="H8059" s="22" t="s">
        <v>10263</v>
      </c>
      <c r="I8059" s="26">
        <v>43602.591666666704</v>
      </c>
      <c r="J8059" s="23" t="str">
        <f>HYPERLINK("https://www.spark-marketing.ru/Card/Person/2559159", "ООО ЧОО ""БЕЗОПАСНОСТЬ 163""")</f>
        <v>ООО ЧОО "БЕЗОПАСНОСТЬ 163"</v>
      </c>
      <c r="K8059" s="24" t="s">
        <v>10264</v>
      </c>
      <c r="L8059" s="28" t="s">
        <v>52</v>
      </c>
      <c r="M8059" s="28" t="s">
        <v>52</v>
      </c>
      <c r="N8059" s="28" t="s">
        <v>52</v>
      </c>
    </row>
    <row r="8060" spans="1:14" ht="12.75" hidden="1" outlineLevel="1" x14ac:dyDescent="0.2">
      <c r="A8060" s="23" t="str">
        <f>HYPERLINK("https://www.spark-marketing.ru/Card/Person/140005", "БУ ""КОНДИНСКИЙ РАЙОННЫЙ КОМПЛЕКСНЫЙ ЦЕНТР СОЦИАЛЬНОГО ОБСЛУЖИВАНИЯ НАСЕЛЕНИЯ""")</f>
        <v>БУ "КОНДИНСКИЙ РАЙОННЫЙ КОМПЛЕКСНЫЙ ЦЕНТР СОЦИАЛЬНОГО ОБСЛУЖИВАНИЯ НАСЕЛЕНИЯ"</v>
      </c>
      <c r="B8060" s="24" t="s">
        <v>10261</v>
      </c>
      <c r="C8060" s="25">
        <v>588785.28</v>
      </c>
      <c r="D8060" s="22" t="s">
        <v>10275</v>
      </c>
      <c r="E8060" s="22" t="s">
        <v>52</v>
      </c>
      <c r="F8060" s="23" t="str">
        <f>HYPERLINK("https://www.spark-marketing.ru/Card/Lot/70564550", "Оказание охранных услуг здания филиала БУ «Кондинский районный комплексный центр социального обслуживания населения» пгт. Кондинское")</f>
        <v>Оказание охранных услуг здания филиала БУ «Кондинский районный комплексный центр социального обслуживания населения» пгт. Кондинское</v>
      </c>
      <c r="G8060" s="22" t="s">
        <v>119</v>
      </c>
      <c r="H8060" s="22" t="s">
        <v>10263</v>
      </c>
      <c r="I8060" s="26">
        <v>43602.591666666704</v>
      </c>
      <c r="J8060" s="23" t="str">
        <f>HYPERLINK("https://www.spark-marketing.ru/Card/Person/2559159", "ООО ЧОО ""БЕЗОПАСНОСТЬ 163""")</f>
        <v>ООО ЧОО "БЕЗОПАСНОСТЬ 163"</v>
      </c>
      <c r="K8060" s="24" t="s">
        <v>10264</v>
      </c>
      <c r="L8060" s="22" t="s">
        <v>10</v>
      </c>
      <c r="M8060" s="25">
        <v>585841.35</v>
      </c>
      <c r="N8060" s="27">
        <v>5.0000061142832916E-3</v>
      </c>
    </row>
    <row r="8061" spans="1:14" x14ac:dyDescent="0.2">
      <c r="A8061" s="23" t="str">
        <f>HYPERLINK("https://www.spark-marketing.ru/Card/Person/677867", "ГП ЧАО ""МЕЖДУНАРОДНЫЙ АЭРОПОРТ АНАДЫРЬ (УГОЛЬНЫЙ)""")</f>
        <v>ГП ЧАО "МЕЖДУНАРОДНЫЙ АЭРОПОРТ АНАДЫРЬ (УГОЛЬНЫЙ)"</v>
      </c>
      <c r="B8061" s="24" t="s">
        <v>10276</v>
      </c>
      <c r="C8061" s="25">
        <v>350000</v>
      </c>
      <c r="D8061" s="22" t="s">
        <v>10277</v>
      </c>
      <c r="E8061" s="22" t="s">
        <v>144</v>
      </c>
      <c r="F8061" s="23" t="str">
        <f>HYPERLINK("https://www.spark-marketing.ru/Card/Lot/70544042", "Разработка плана обеспечения транспортной безопасности")</f>
        <v>Разработка плана обеспечения транспортной безопасности</v>
      </c>
      <c r="G8061" s="22" t="s">
        <v>1544</v>
      </c>
      <c r="H8061" s="22" t="s">
        <v>1544</v>
      </c>
      <c r="I8061" s="26">
        <v>43602.578495370399</v>
      </c>
      <c r="J8061" s="23" t="str">
        <f>HYPERLINK("https://www.spark-marketing.ru/Card/Person/81571", "ООО ""СО ""АНТИТЕРРОР""")</f>
        <v>ООО "СО "АНТИТЕРРОР"</v>
      </c>
      <c r="K8061" s="24" t="s">
        <v>3384</v>
      </c>
      <c r="L8061" s="28" t="s">
        <v>52</v>
      </c>
      <c r="M8061" s="25">
        <v>350000</v>
      </c>
      <c r="N8061" s="27">
        <v>0</v>
      </c>
    </row>
    <row r="8062" spans="1:14" x14ac:dyDescent="0.15">
      <c r="A8062" s="23" t="str">
        <f>HYPERLINK("https://www.spark-marketing.ru/Card/Person/1484036", "МАОУ ""СОШ № 7""")</f>
        <v>МАОУ "СОШ № 7"</v>
      </c>
      <c r="B8062" s="24" t="s">
        <v>10278</v>
      </c>
      <c r="C8062" s="25">
        <v>711682.56000000006</v>
      </c>
      <c r="D8062" s="22" t="s">
        <v>10279</v>
      </c>
      <c r="E8062" s="22" t="s">
        <v>6519</v>
      </c>
      <c r="F8062" s="23" t="str">
        <f>HYPERLINK("https://www.spark-marketing.ru/Card/Lot/70552651", "установка дополнительной системы видеонаблюдения и охранного телевидения (модернизация системы видеонаблюдения)")</f>
        <v>установка дополнительной системы видеонаблюдения и охранного телевидения (модернизация системы видеонаблюдения)</v>
      </c>
      <c r="G8062" s="22" t="s">
        <v>72</v>
      </c>
      <c r="H8062" s="22" t="s">
        <v>72</v>
      </c>
      <c r="I8062" s="26">
        <v>43602.5145486111</v>
      </c>
      <c r="J8062" s="28" t="s">
        <v>52</v>
      </c>
      <c r="K8062" s="28" t="s">
        <v>52</v>
      </c>
      <c r="L8062" s="28" t="s">
        <v>52</v>
      </c>
      <c r="M8062" s="28" t="s">
        <v>52</v>
      </c>
      <c r="N8062" s="28" t="s">
        <v>52</v>
      </c>
    </row>
    <row r="8063" spans="1:14" x14ac:dyDescent="0.15">
      <c r="A8063" s="23" t="str">
        <f>HYPERLINK("https://www.spark-marketing.ru/Card/Person/128097", "МБОУ ""ШКОЛА № 25""")</f>
        <v>МБОУ "ШКОЛА № 25"</v>
      </c>
      <c r="B8063" s="24" t="s">
        <v>10280</v>
      </c>
      <c r="C8063" s="25">
        <v>260000</v>
      </c>
      <c r="D8063" s="22" t="s">
        <v>10281</v>
      </c>
      <c r="E8063" s="22" t="s">
        <v>84</v>
      </c>
      <c r="F8063" s="23" t="str">
        <f>HYPERLINK("https://www.spark-marketing.ru/Card/Lot/70555344", "Установка видеонаблюдения")</f>
        <v>Установка видеонаблюдения</v>
      </c>
      <c r="G8063" s="22" t="s">
        <v>50</v>
      </c>
      <c r="H8063" s="22" t="s">
        <v>432</v>
      </c>
      <c r="I8063" s="26">
        <v>43602.492442129602</v>
      </c>
      <c r="J8063" s="28" t="s">
        <v>52</v>
      </c>
      <c r="K8063" s="28" t="s">
        <v>52</v>
      </c>
      <c r="L8063" s="28" t="s">
        <v>52</v>
      </c>
      <c r="M8063" s="28" t="s">
        <v>52</v>
      </c>
      <c r="N8063" s="28" t="s">
        <v>52</v>
      </c>
    </row>
    <row r="8064" spans="1:14" x14ac:dyDescent="0.15">
      <c r="A8064" s="23" t="str">
        <f>HYPERLINK("https://www.spark-marketing.ru/Card/Person/237335", "БУ «ХАНТЫ-МАНСИЙСКИЙ РЕАБИЛИТАЦИОННЫЙ ЦЕНТР»")</f>
        <v>БУ «ХАНТЫ-МАНСИЙСКИЙ РЕАБИЛИТАЦИОННЫЙ ЦЕНТР»</v>
      </c>
      <c r="B8064" s="24" t="s">
        <v>10282</v>
      </c>
      <c r="C8064" s="25">
        <v>350000</v>
      </c>
      <c r="D8064" s="22" t="s">
        <v>10283</v>
      </c>
      <c r="E8064" s="22" t="s">
        <v>68</v>
      </c>
      <c r="F8064" s="23" t="str">
        <f>HYPERLINK("https://www.spark-marketing.ru/Card/Lot/70551429", "Услуги по охране здания и имущества")</f>
        <v>Услуги по охране здания и имущества</v>
      </c>
      <c r="G8064" s="22" t="s">
        <v>119</v>
      </c>
      <c r="H8064" s="22" t="s">
        <v>2563</v>
      </c>
      <c r="I8064" s="26">
        <v>43602.493750000001</v>
      </c>
      <c r="J8064" s="28" t="s">
        <v>52</v>
      </c>
      <c r="K8064" s="28" t="s">
        <v>52</v>
      </c>
      <c r="L8064" s="28" t="s">
        <v>52</v>
      </c>
      <c r="M8064" s="28" t="s">
        <v>52</v>
      </c>
      <c r="N8064" s="28" t="s">
        <v>52</v>
      </c>
    </row>
    <row r="8065" spans="1:14" hidden="1" outlineLevel="1" x14ac:dyDescent="0.2">
      <c r="A8065" s="23" t="str">
        <f>HYPERLINK("https://www.spark-marketing.ru/Card/Person/237335", "БУ «ХАНТЫ-МАНСИЙСКИЙ РЕАБИЛИТАЦИОННЫЙ ЦЕНТР»")</f>
        <v>БУ «ХАНТЫ-МАНСИЙСКИЙ РЕАБИЛИТАЦИОННЫЙ ЦЕНТР»</v>
      </c>
      <c r="B8065" s="24" t="s">
        <v>10282</v>
      </c>
      <c r="C8065" s="25">
        <v>350000</v>
      </c>
      <c r="D8065" s="22" t="s">
        <v>10283</v>
      </c>
      <c r="E8065" s="22" t="s">
        <v>68</v>
      </c>
      <c r="F8065" s="23" t="str">
        <f>HYPERLINK("https://www.spark-marketing.ru/Card/Lot/70551429", "Услуги по охране здания и имущества")</f>
        <v>Услуги по охране здания и имущества</v>
      </c>
      <c r="G8065" s="22" t="s">
        <v>119</v>
      </c>
      <c r="H8065" s="22" t="s">
        <v>2563</v>
      </c>
      <c r="I8065" s="26">
        <v>43602.493750000001</v>
      </c>
      <c r="J8065" s="23" t="str">
        <f>HYPERLINK("https://www.spark-marketing.ru/Card/Person/127983", "ООО ЧОО ""ОХРАНА СЕРВИС ЭЛИТ""")</f>
        <v>ООО ЧОО "ОХРАНА СЕРВИС ЭЛИТ"</v>
      </c>
      <c r="K8065" s="24" t="s">
        <v>2565</v>
      </c>
      <c r="L8065" s="28" t="s">
        <v>52</v>
      </c>
      <c r="M8065" s="25">
        <v>348250</v>
      </c>
      <c r="N8065" s="27">
        <v>5.0000000000000001E-3</v>
      </c>
    </row>
    <row r="8066" spans="1:14" ht="12.75" hidden="1" outlineLevel="1" x14ac:dyDescent="0.2">
      <c r="A8066" s="23" t="str">
        <f>HYPERLINK("https://www.spark-marketing.ru/Card/Person/237335", "БУ «ХАНТЫ-МАНСИЙСКИЙ РЕАБИЛИТАЦИОННЫЙ ЦЕНТР»")</f>
        <v>БУ «ХАНТЫ-МАНСИЙСКИЙ РЕАБИЛИТАЦИОННЫЙ ЦЕНТР»</v>
      </c>
      <c r="B8066" s="24" t="s">
        <v>10282</v>
      </c>
      <c r="C8066" s="25">
        <v>350000</v>
      </c>
      <c r="D8066" s="22" t="s">
        <v>10283</v>
      </c>
      <c r="E8066" s="22" t="s">
        <v>68</v>
      </c>
      <c r="F8066" s="23" t="str">
        <f>HYPERLINK("https://www.spark-marketing.ru/Card/Lot/70551429", "Услуги по охране здания и имущества")</f>
        <v>Услуги по охране здания и имущества</v>
      </c>
      <c r="G8066" s="22" t="s">
        <v>119</v>
      </c>
      <c r="H8066" s="22" t="s">
        <v>2563</v>
      </c>
      <c r="I8066" s="26">
        <v>43602.493750000001</v>
      </c>
      <c r="J8066" s="23" t="str">
        <f>HYPERLINK("https://www.spark-marketing.ru/Card/Person/109173", "ООО ЧОО АГЕНТСТВО БЕЗОПАСНОСТИ ""АРГУС""")</f>
        <v>ООО ЧОО АГЕНТСТВО БЕЗОПАСНОСТИ "АРГУС"</v>
      </c>
      <c r="K8066" s="24" t="s">
        <v>2564</v>
      </c>
      <c r="L8066" s="22" t="s">
        <v>10</v>
      </c>
      <c r="M8066" s="25">
        <v>348250</v>
      </c>
      <c r="N8066" s="27">
        <v>5.0000000000000001E-3</v>
      </c>
    </row>
    <row r="8067" spans="1:14" hidden="1" outlineLevel="1" x14ac:dyDescent="0.2">
      <c r="A8067" s="23" t="str">
        <f>HYPERLINK("https://www.spark-marketing.ru/Card/Person/237335", "БУ «ХАНТЫ-МАНСИЙСКИЙ РЕАБИЛИТАЦИОННЫЙ ЦЕНТР»")</f>
        <v>БУ «ХАНТЫ-МАНСИЙСКИЙ РЕАБИЛИТАЦИОННЫЙ ЦЕНТР»</v>
      </c>
      <c r="B8067" s="24" t="s">
        <v>10282</v>
      </c>
      <c r="C8067" s="25">
        <v>350000</v>
      </c>
      <c r="D8067" s="22" t="s">
        <v>10283</v>
      </c>
      <c r="E8067" s="22" t="s">
        <v>68</v>
      </c>
      <c r="F8067" s="23" t="str">
        <f>HYPERLINK("https://www.spark-marketing.ru/Card/Lot/70551429", "Услуги по охране здания и имущества")</f>
        <v>Услуги по охране здания и имущества</v>
      </c>
      <c r="G8067" s="22" t="s">
        <v>119</v>
      </c>
      <c r="H8067" s="22" t="s">
        <v>2563</v>
      </c>
      <c r="I8067" s="26">
        <v>43602.493750000001</v>
      </c>
      <c r="J8067" s="23" t="str">
        <f>HYPERLINK("https://www.spark-marketing.ru/Card/Person/87686", "ООО ОА ""ПЕРЕСВЕТ""")</f>
        <v>ООО ОА "ПЕРЕСВЕТ"</v>
      </c>
      <c r="K8067" s="24" t="s">
        <v>2992</v>
      </c>
      <c r="L8067" s="28" t="s">
        <v>52</v>
      </c>
      <c r="M8067" s="25">
        <v>348250</v>
      </c>
      <c r="N8067" s="27">
        <v>5.0000000000000001E-3</v>
      </c>
    </row>
    <row r="8068" spans="1:14" ht="12.75" x14ac:dyDescent="0.2">
      <c r="A8068" s="23" t="str">
        <f>HYPERLINK("https://www.spark-marketing.ru/Card/Person/29890", "ГКУЗ ""САХОБЛТУБДИСПАНСЕР""")</f>
        <v>ГКУЗ "САХОБЛТУБДИСПАНСЕР"</v>
      </c>
      <c r="B8068" s="24" t="s">
        <v>10284</v>
      </c>
      <c r="C8068" s="25">
        <v>89950</v>
      </c>
      <c r="D8068" s="22" t="s">
        <v>10285</v>
      </c>
      <c r="E8068" s="22" t="s">
        <v>79</v>
      </c>
      <c r="F8068" s="23" t="str">
        <f>HYPERLINK("https://www.spark-marketing.ru/Card/Lot/70544360", "Оказание услуг по комплексному обслуживанию системы диспетчерской связи и сигнализации лифтового оборудования")</f>
        <v>Оказание услуг по комплексному обслуживанию системы диспетчерской связи и сигнализации лифтового оборудования</v>
      </c>
      <c r="G8068" s="22" t="s">
        <v>69</v>
      </c>
      <c r="H8068" s="22" t="s">
        <v>973</v>
      </c>
      <c r="I8068" s="26">
        <v>43602.486111111102</v>
      </c>
      <c r="J8068" s="23" t="str">
        <f>HYPERLINK("https://www.spark-marketing.ru/Card/Person/6576401", "ООО ""САХАЛИН ЛИФТ СЕРВИС""")</f>
        <v>ООО "САХАЛИН ЛИФТ СЕРВИС"</v>
      </c>
      <c r="K8068" s="24" t="s">
        <v>10286</v>
      </c>
      <c r="L8068" s="22" t="s">
        <v>10</v>
      </c>
      <c r="M8068" s="25">
        <v>89880</v>
      </c>
      <c r="N8068" s="27">
        <v>7.7821011673151756E-4</v>
      </c>
    </row>
    <row r="8069" spans="1:14" x14ac:dyDescent="0.15">
      <c r="A8069" s="23" t="str">
        <f>HYPERLINK("https://www.spark-marketing.ru/Card/Person/5224", "ФКУ ""ЦХИСО ГУ МВД РОССИИ ПО РОСТОВСКОЙ ОБЛАСТИ""")</f>
        <v>ФКУ "ЦХИСО ГУ МВД РОССИИ ПО РОСТОВСКОЙ ОБЛАСТИ"</v>
      </c>
      <c r="B8069" s="24" t="s">
        <v>4377</v>
      </c>
      <c r="C8069" s="25">
        <v>14267</v>
      </c>
      <c r="D8069" s="22" t="s">
        <v>10287</v>
      </c>
      <c r="E8069" s="22" t="s">
        <v>208</v>
      </c>
      <c r="F8069" s="23" t="str">
        <f>HYPERLINK("https://www.spark-marketing.ru/Card/Lot/70555018", "Охранная сигнализация в комплекте с установкой, 1 шт")</f>
        <v>Охранная сигнализация в комплекте с установкой, 1 шт</v>
      </c>
      <c r="G8069" s="22" t="s">
        <v>402</v>
      </c>
      <c r="H8069" s="22" t="s">
        <v>403</v>
      </c>
      <c r="I8069" s="26">
        <v>43602.479444444398</v>
      </c>
      <c r="J8069" s="28" t="s">
        <v>52</v>
      </c>
      <c r="K8069" s="28" t="s">
        <v>52</v>
      </c>
      <c r="L8069" s="28" t="s">
        <v>52</v>
      </c>
      <c r="M8069" s="28" t="s">
        <v>52</v>
      </c>
      <c r="N8069" s="28" t="s">
        <v>52</v>
      </c>
    </row>
    <row r="8070" spans="1:14" x14ac:dyDescent="0.15">
      <c r="A8070" s="23" t="str">
        <f t="shared" ref="A8070:A8085" si="352">HYPERLINK("https://www.spark-marketing.ru/Card/Person/28250", "ФБУ РЕАБИЛИТАЦИОННЫЙ И УЧЕБНЫЙ ЦЕНТР ФОНДА СОЦИАЛЬНОГО СТРАХОВАНИЯ РОССИЙСКОЙ ФЕДЕРАЦИИ")</f>
        <v>ФБУ РЕАБИЛИТАЦИОННЫЙ И УЧЕБНЫЙ ЦЕНТР ФОНДА СОЦИАЛЬНОГО СТРАХОВАНИЯ РОССИЙСКОЙ ФЕДЕРАЦИИ</v>
      </c>
      <c r="B8070" s="24" t="s">
        <v>10288</v>
      </c>
      <c r="C8070" s="25">
        <v>500000</v>
      </c>
      <c r="D8070" s="22" t="s">
        <v>10289</v>
      </c>
      <c r="E8070" s="22" t="s">
        <v>107</v>
      </c>
      <c r="F8070" s="23" t="str">
        <f t="shared" ref="F8070:F8085" si="353">HYPERLINK("https://www.spark-marketing.ru/Card/Lot/70555103", "Оказание услуг по техническому обслуживанию системы видеонаблюдения")</f>
        <v>Оказание услуг по техническому обслуживанию системы видеонаблюдения</v>
      </c>
      <c r="G8070" s="22" t="s">
        <v>50</v>
      </c>
      <c r="H8070" s="22" t="s">
        <v>1045</v>
      </c>
      <c r="I8070" s="26">
        <v>43602.463194444397</v>
      </c>
      <c r="J8070" s="28" t="s">
        <v>52</v>
      </c>
      <c r="K8070" s="28" t="s">
        <v>52</v>
      </c>
      <c r="L8070" s="28" t="s">
        <v>52</v>
      </c>
      <c r="M8070" s="28" t="s">
        <v>52</v>
      </c>
      <c r="N8070" s="28" t="s">
        <v>52</v>
      </c>
    </row>
    <row r="8071" spans="1:14" ht="12.75" hidden="1" outlineLevel="1" x14ac:dyDescent="0.2">
      <c r="A8071" s="23" t="str">
        <f t="shared" si="352"/>
        <v>ФБУ РЕАБИЛИТАЦИОННЫЙ И УЧЕБНЫЙ ЦЕНТР ФОНДА СОЦИАЛЬНОГО СТРАХОВАНИЯ РОССИЙСКОЙ ФЕДЕРАЦИИ</v>
      </c>
      <c r="B8071" s="24" t="s">
        <v>10288</v>
      </c>
      <c r="C8071" s="25">
        <v>500000</v>
      </c>
      <c r="D8071" s="22" t="s">
        <v>10289</v>
      </c>
      <c r="E8071" s="22" t="s">
        <v>107</v>
      </c>
      <c r="F8071" s="23" t="str">
        <f t="shared" si="353"/>
        <v>Оказание услуг по техническому обслуживанию системы видеонаблюдения</v>
      </c>
      <c r="G8071" s="22" t="s">
        <v>50</v>
      </c>
      <c r="H8071" s="22" t="s">
        <v>1045</v>
      </c>
      <c r="I8071" s="26">
        <v>43602.463194444397</v>
      </c>
      <c r="J8071" s="23" t="str">
        <f>HYPERLINK("https://www.spark-marketing.ru/Card/Person/6364371", "ООО ""ЛТБ""")</f>
        <v>ООО "ЛТБ"</v>
      </c>
      <c r="K8071" s="24" t="s">
        <v>8538</v>
      </c>
      <c r="L8071" s="22" t="s">
        <v>10</v>
      </c>
      <c r="M8071" s="25">
        <v>101086</v>
      </c>
      <c r="N8071" s="27">
        <v>0.79782799999999998</v>
      </c>
    </row>
    <row r="8072" spans="1:14" hidden="1" outlineLevel="1" x14ac:dyDescent="0.2">
      <c r="A8072" s="23" t="str">
        <f t="shared" si="352"/>
        <v>ФБУ РЕАБИЛИТАЦИОННЫЙ И УЧЕБНЫЙ ЦЕНТР ФОНДА СОЦИАЛЬНОГО СТРАХОВАНИЯ РОССИЙСКОЙ ФЕДЕРАЦИИ</v>
      </c>
      <c r="B8072" s="24" t="s">
        <v>10288</v>
      </c>
      <c r="C8072" s="25">
        <v>500000</v>
      </c>
      <c r="D8072" s="22" t="s">
        <v>10289</v>
      </c>
      <c r="E8072" s="22" t="s">
        <v>107</v>
      </c>
      <c r="F8072" s="23" t="str">
        <f t="shared" si="353"/>
        <v>Оказание услуг по техническому обслуживанию системы видеонаблюдения</v>
      </c>
      <c r="G8072" s="22" t="s">
        <v>50</v>
      </c>
      <c r="H8072" s="22" t="s">
        <v>1045</v>
      </c>
      <c r="I8072" s="26">
        <v>43602.463194444397</v>
      </c>
      <c r="J8072" s="23" t="str">
        <f>HYPERLINK("https://www.spark-marketing.ru/Card/Person/6500753", "ООО ""ТЕХСЕРВИС""")</f>
        <v>ООО "ТЕХСЕРВИС"</v>
      </c>
      <c r="K8072" s="24" t="s">
        <v>10290</v>
      </c>
      <c r="L8072" s="28" t="s">
        <v>52</v>
      </c>
      <c r="M8072" s="25">
        <v>209000</v>
      </c>
      <c r="N8072" s="27">
        <v>0.58199999999999996</v>
      </c>
    </row>
    <row r="8073" spans="1:14" hidden="1" outlineLevel="1" x14ac:dyDescent="0.2">
      <c r="A8073" s="23" t="str">
        <f t="shared" si="352"/>
        <v>ФБУ РЕАБИЛИТАЦИОННЫЙ И УЧЕБНЫЙ ЦЕНТР ФОНДА СОЦИАЛЬНОГО СТРАХОВАНИЯ РОССИЙСКОЙ ФЕДЕРАЦИИ</v>
      </c>
      <c r="B8073" s="24" t="s">
        <v>10288</v>
      </c>
      <c r="C8073" s="25">
        <v>500000</v>
      </c>
      <c r="D8073" s="22" t="s">
        <v>10289</v>
      </c>
      <c r="E8073" s="22" t="s">
        <v>107</v>
      </c>
      <c r="F8073" s="23" t="str">
        <f t="shared" si="353"/>
        <v>Оказание услуг по техническому обслуживанию системы видеонаблюдения</v>
      </c>
      <c r="G8073" s="22" t="s">
        <v>50</v>
      </c>
      <c r="H8073" s="22" t="s">
        <v>1045</v>
      </c>
      <c r="I8073" s="26">
        <v>43602.463194444397</v>
      </c>
      <c r="J8073" s="23" t="str">
        <f>HYPERLINK("https://www.spark-marketing.ru/Card/Person/504526", "ООО ""ФОРТ""")</f>
        <v>ООО "ФОРТ"</v>
      </c>
      <c r="K8073" s="24" t="s">
        <v>10291</v>
      </c>
      <c r="L8073" s="28" t="s">
        <v>52</v>
      </c>
      <c r="M8073" s="25">
        <v>240000</v>
      </c>
      <c r="N8073" s="27">
        <v>0.52</v>
      </c>
    </row>
    <row r="8074" spans="1:14" hidden="1" outlineLevel="1" x14ac:dyDescent="0.2">
      <c r="A8074" s="23" t="str">
        <f t="shared" si="352"/>
        <v>ФБУ РЕАБИЛИТАЦИОННЫЙ И УЧЕБНЫЙ ЦЕНТР ФОНДА СОЦИАЛЬНОГО СТРАХОВАНИЯ РОССИЙСКОЙ ФЕДЕРАЦИИ</v>
      </c>
      <c r="B8074" s="24" t="s">
        <v>10288</v>
      </c>
      <c r="C8074" s="25">
        <v>500000</v>
      </c>
      <c r="D8074" s="22" t="s">
        <v>10289</v>
      </c>
      <c r="E8074" s="22" t="s">
        <v>107</v>
      </c>
      <c r="F8074" s="23" t="str">
        <f t="shared" si="353"/>
        <v>Оказание услуг по техническому обслуживанию системы видеонаблюдения</v>
      </c>
      <c r="G8074" s="22" t="s">
        <v>50</v>
      </c>
      <c r="H8074" s="22" t="s">
        <v>1045</v>
      </c>
      <c r="I8074" s="26">
        <v>43602.463194444397</v>
      </c>
      <c r="J8074" s="23" t="str">
        <f>HYPERLINK("https://www.spark-marketing.ru/Card/Person/6462474", "ООО ""ФАВОР""")</f>
        <v>ООО "ФАВОР"</v>
      </c>
      <c r="K8074" s="24" t="s">
        <v>2058</v>
      </c>
      <c r="L8074" s="28" t="s">
        <v>52</v>
      </c>
      <c r="M8074" s="25">
        <v>240000</v>
      </c>
      <c r="N8074" s="27">
        <v>0.52</v>
      </c>
    </row>
    <row r="8075" spans="1:14" hidden="1" outlineLevel="1" x14ac:dyDescent="0.2">
      <c r="A8075" s="23" t="str">
        <f t="shared" si="352"/>
        <v>ФБУ РЕАБИЛИТАЦИОННЫЙ И УЧЕБНЫЙ ЦЕНТР ФОНДА СОЦИАЛЬНОГО СТРАХОВАНИЯ РОССИЙСКОЙ ФЕДЕРАЦИИ</v>
      </c>
      <c r="B8075" s="24" t="s">
        <v>10288</v>
      </c>
      <c r="C8075" s="25">
        <v>500000</v>
      </c>
      <c r="D8075" s="22" t="s">
        <v>10289</v>
      </c>
      <c r="E8075" s="22" t="s">
        <v>107</v>
      </c>
      <c r="F8075" s="23" t="str">
        <f t="shared" si="353"/>
        <v>Оказание услуг по техническому обслуживанию системы видеонаблюдения</v>
      </c>
      <c r="G8075" s="22" t="s">
        <v>50</v>
      </c>
      <c r="H8075" s="22" t="s">
        <v>1045</v>
      </c>
      <c r="I8075" s="26">
        <v>43602.463194444397</v>
      </c>
      <c r="J8075" s="23" t="str">
        <f>HYPERLINK("https://www.spark-marketing.ru/Card/Person/6445825", "Судариков Михаил Геннадьевич")</f>
        <v>Судариков Михаил Геннадьевич</v>
      </c>
      <c r="K8075" s="24" t="s">
        <v>1219</v>
      </c>
      <c r="L8075" s="28" t="s">
        <v>52</v>
      </c>
      <c r="M8075" s="25">
        <v>250000</v>
      </c>
      <c r="N8075" s="27">
        <v>0.5</v>
      </c>
    </row>
    <row r="8076" spans="1:14" hidden="1" outlineLevel="1" x14ac:dyDescent="0.2">
      <c r="A8076" s="23" t="str">
        <f t="shared" si="352"/>
        <v>ФБУ РЕАБИЛИТАЦИОННЫЙ И УЧЕБНЫЙ ЦЕНТР ФОНДА СОЦИАЛЬНОГО СТРАХОВАНИЯ РОССИЙСКОЙ ФЕДЕРАЦИИ</v>
      </c>
      <c r="B8076" s="24" t="s">
        <v>10288</v>
      </c>
      <c r="C8076" s="25">
        <v>500000</v>
      </c>
      <c r="D8076" s="22" t="s">
        <v>10289</v>
      </c>
      <c r="E8076" s="22" t="s">
        <v>107</v>
      </c>
      <c r="F8076" s="23" t="str">
        <f t="shared" si="353"/>
        <v>Оказание услуг по техническому обслуживанию системы видеонаблюдения</v>
      </c>
      <c r="G8076" s="22" t="s">
        <v>50</v>
      </c>
      <c r="H8076" s="22" t="s">
        <v>1045</v>
      </c>
      <c r="I8076" s="26">
        <v>43602.463194444397</v>
      </c>
      <c r="J8076" s="23" t="str">
        <f>HYPERLINK("https://www.spark-marketing.ru/Card/Person/701241", "ООО ""ЛИКОМ-С""")</f>
        <v>ООО "ЛИКОМ-С"</v>
      </c>
      <c r="K8076" s="24" t="s">
        <v>10292</v>
      </c>
      <c r="L8076" s="28" t="s">
        <v>52</v>
      </c>
      <c r="M8076" s="25">
        <v>280000</v>
      </c>
      <c r="N8076" s="27">
        <v>0.44</v>
      </c>
    </row>
    <row r="8077" spans="1:14" hidden="1" outlineLevel="1" x14ac:dyDescent="0.2">
      <c r="A8077" s="23" t="str">
        <f t="shared" si="352"/>
        <v>ФБУ РЕАБИЛИТАЦИОННЫЙ И УЧЕБНЫЙ ЦЕНТР ФОНДА СОЦИАЛЬНОГО СТРАХОВАНИЯ РОССИЙСКОЙ ФЕДЕРАЦИИ</v>
      </c>
      <c r="B8077" s="24" t="s">
        <v>10288</v>
      </c>
      <c r="C8077" s="25">
        <v>500000</v>
      </c>
      <c r="D8077" s="22" t="s">
        <v>10289</v>
      </c>
      <c r="E8077" s="22" t="s">
        <v>107</v>
      </c>
      <c r="F8077" s="23" t="str">
        <f t="shared" si="353"/>
        <v>Оказание услуг по техническому обслуживанию системы видеонаблюдения</v>
      </c>
      <c r="G8077" s="22" t="s">
        <v>50</v>
      </c>
      <c r="H8077" s="22" t="s">
        <v>1045</v>
      </c>
      <c r="I8077" s="26">
        <v>43602.463194444397</v>
      </c>
      <c r="J8077" s="23" t="str">
        <f>HYPERLINK("https://www.spark-marketing.ru/Card/Person/6514628", "Алиева Диана Руслановна")</f>
        <v>Алиева Диана Руслановна</v>
      </c>
      <c r="K8077" s="24" t="s">
        <v>10048</v>
      </c>
      <c r="L8077" s="28" t="s">
        <v>52</v>
      </c>
      <c r="M8077" s="25">
        <v>300000</v>
      </c>
      <c r="N8077" s="27">
        <v>0.4</v>
      </c>
    </row>
    <row r="8078" spans="1:14" hidden="1" outlineLevel="1" x14ac:dyDescent="0.2">
      <c r="A8078" s="23" t="str">
        <f t="shared" si="352"/>
        <v>ФБУ РЕАБИЛИТАЦИОННЫЙ И УЧЕБНЫЙ ЦЕНТР ФОНДА СОЦИАЛЬНОГО СТРАХОВАНИЯ РОССИЙСКОЙ ФЕДЕРАЦИИ</v>
      </c>
      <c r="B8078" s="24" t="s">
        <v>10288</v>
      </c>
      <c r="C8078" s="25">
        <v>500000</v>
      </c>
      <c r="D8078" s="22" t="s">
        <v>10289</v>
      </c>
      <c r="E8078" s="22" t="s">
        <v>107</v>
      </c>
      <c r="F8078" s="23" t="str">
        <f t="shared" si="353"/>
        <v>Оказание услуг по техническому обслуживанию системы видеонаблюдения</v>
      </c>
      <c r="G8078" s="22" t="s">
        <v>50</v>
      </c>
      <c r="H8078" s="22" t="s">
        <v>1045</v>
      </c>
      <c r="I8078" s="26">
        <v>43602.463194444397</v>
      </c>
      <c r="J8078" s="23" t="str">
        <f>HYPERLINK("https://www.spark-marketing.ru/Card/Person/6571780", "ООО ""ТРИ К СИСТЕМС""")</f>
        <v>ООО "ТРИ К СИСТЕМС"</v>
      </c>
      <c r="K8078" s="24" t="s">
        <v>10293</v>
      </c>
      <c r="L8078" s="28" t="s">
        <v>52</v>
      </c>
      <c r="M8078" s="25">
        <v>330000</v>
      </c>
      <c r="N8078" s="27">
        <v>0.34</v>
      </c>
    </row>
    <row r="8079" spans="1:14" hidden="1" outlineLevel="1" x14ac:dyDescent="0.2">
      <c r="A8079" s="23" t="str">
        <f t="shared" si="352"/>
        <v>ФБУ РЕАБИЛИТАЦИОННЫЙ И УЧЕБНЫЙ ЦЕНТР ФОНДА СОЦИАЛЬНОГО СТРАХОВАНИЯ РОССИЙСКОЙ ФЕДЕРАЦИИ</v>
      </c>
      <c r="B8079" s="24" t="s">
        <v>10288</v>
      </c>
      <c r="C8079" s="25">
        <v>500000</v>
      </c>
      <c r="D8079" s="22" t="s">
        <v>10289</v>
      </c>
      <c r="E8079" s="22" t="s">
        <v>107</v>
      </c>
      <c r="F8079" s="23" t="str">
        <f t="shared" si="353"/>
        <v>Оказание услуг по техническому обслуживанию системы видеонаблюдения</v>
      </c>
      <c r="G8079" s="22" t="s">
        <v>50</v>
      </c>
      <c r="H8079" s="22" t="s">
        <v>1045</v>
      </c>
      <c r="I8079" s="26">
        <v>43602.463194444397</v>
      </c>
      <c r="J8079" s="23" t="str">
        <f>HYPERLINK("https://www.spark-marketing.ru/Card/Person/243497", "ООО ""ИНЖЕНЕРНЫЙ ЦЕНТР""")</f>
        <v>ООО "ИНЖЕНЕРНЫЙ ЦЕНТР"</v>
      </c>
      <c r="K8079" s="24" t="s">
        <v>10294</v>
      </c>
      <c r="L8079" s="28" t="s">
        <v>52</v>
      </c>
      <c r="M8079" s="25">
        <v>358800</v>
      </c>
      <c r="N8079" s="27">
        <v>0.28239999999999998</v>
      </c>
    </row>
    <row r="8080" spans="1:14" hidden="1" outlineLevel="1" x14ac:dyDescent="0.2">
      <c r="A8080" s="23" t="str">
        <f t="shared" si="352"/>
        <v>ФБУ РЕАБИЛИТАЦИОННЫЙ И УЧЕБНЫЙ ЦЕНТР ФОНДА СОЦИАЛЬНОГО СТРАХОВАНИЯ РОССИЙСКОЙ ФЕДЕРАЦИИ</v>
      </c>
      <c r="B8080" s="24" t="s">
        <v>10288</v>
      </c>
      <c r="C8080" s="25">
        <v>500000</v>
      </c>
      <c r="D8080" s="22" t="s">
        <v>10289</v>
      </c>
      <c r="E8080" s="22" t="s">
        <v>107</v>
      </c>
      <c r="F8080" s="23" t="str">
        <f t="shared" si="353"/>
        <v>Оказание услуг по техническому обслуживанию системы видеонаблюдения</v>
      </c>
      <c r="G8080" s="22" t="s">
        <v>50</v>
      </c>
      <c r="H8080" s="22" t="s">
        <v>1045</v>
      </c>
      <c r="I8080" s="26">
        <v>43602.463194444397</v>
      </c>
      <c r="J8080" s="23" t="str">
        <f>HYPERLINK("https://www.spark-marketing.ru/Card/Person/5969968", "ООО ""АРТДИЗАЙНПРО""")</f>
        <v>ООО "АРТДИЗАЙНПРО"</v>
      </c>
      <c r="K8080" s="24" t="s">
        <v>8545</v>
      </c>
      <c r="L8080" s="28" t="s">
        <v>52</v>
      </c>
      <c r="M8080" s="25">
        <v>399900</v>
      </c>
      <c r="N8080" s="27">
        <v>0.20019999999999999</v>
      </c>
    </row>
    <row r="8081" spans="1:14" hidden="1" outlineLevel="1" x14ac:dyDescent="0.2">
      <c r="A8081" s="23" t="str">
        <f t="shared" si="352"/>
        <v>ФБУ РЕАБИЛИТАЦИОННЫЙ И УЧЕБНЫЙ ЦЕНТР ФОНДА СОЦИАЛЬНОГО СТРАХОВАНИЯ РОССИЙСКОЙ ФЕДЕРАЦИИ</v>
      </c>
      <c r="B8081" s="24" t="s">
        <v>10288</v>
      </c>
      <c r="C8081" s="25">
        <v>500000</v>
      </c>
      <c r="D8081" s="22" t="s">
        <v>10289</v>
      </c>
      <c r="E8081" s="22" t="s">
        <v>107</v>
      </c>
      <c r="F8081" s="23" t="str">
        <f t="shared" si="353"/>
        <v>Оказание услуг по техническому обслуживанию системы видеонаблюдения</v>
      </c>
      <c r="G8081" s="22" t="s">
        <v>50</v>
      </c>
      <c r="H8081" s="22" t="s">
        <v>1045</v>
      </c>
      <c r="I8081" s="26">
        <v>43602.463194444397</v>
      </c>
      <c r="J8081" s="23" t="str">
        <f>HYPERLINK("https://www.spark-marketing.ru/Card/Person/581010", "ООО ""БАЙКАЛПРОМПОСТАВКА""")</f>
        <v>ООО "БАЙКАЛПРОМПОСТАВКА"</v>
      </c>
      <c r="K8081" s="24" t="s">
        <v>10295</v>
      </c>
      <c r="L8081" s="28" t="s">
        <v>52</v>
      </c>
      <c r="M8081" s="25">
        <v>429000</v>
      </c>
      <c r="N8081" s="27">
        <v>0.14199999999999999</v>
      </c>
    </row>
    <row r="8082" spans="1:14" hidden="1" outlineLevel="1" x14ac:dyDescent="0.2">
      <c r="A8082" s="23" t="str">
        <f t="shared" si="352"/>
        <v>ФБУ РЕАБИЛИТАЦИОННЫЙ И УЧЕБНЫЙ ЦЕНТР ФОНДА СОЦИАЛЬНОГО СТРАХОВАНИЯ РОССИЙСКОЙ ФЕДЕРАЦИИ</v>
      </c>
      <c r="B8082" s="24" t="s">
        <v>10288</v>
      </c>
      <c r="C8082" s="25">
        <v>500000</v>
      </c>
      <c r="D8082" s="22" t="s">
        <v>10289</v>
      </c>
      <c r="E8082" s="22" t="s">
        <v>107</v>
      </c>
      <c r="F8082" s="23" t="str">
        <f t="shared" si="353"/>
        <v>Оказание услуг по техническому обслуживанию системы видеонаблюдения</v>
      </c>
      <c r="G8082" s="22" t="s">
        <v>50</v>
      </c>
      <c r="H8082" s="22" t="s">
        <v>1045</v>
      </c>
      <c r="I8082" s="26">
        <v>43602.463194444397</v>
      </c>
      <c r="J8082" s="23" t="str">
        <f>HYPERLINK("https://www.spark-marketing.ru/Card/Person/1363871", "ООО ""ТЕХНОПОЛИС""")</f>
        <v>ООО "ТЕХНОПОЛИС"</v>
      </c>
      <c r="K8082" s="24" t="s">
        <v>10296</v>
      </c>
      <c r="L8082" s="28" t="s">
        <v>52</v>
      </c>
      <c r="M8082" s="25">
        <v>433758</v>
      </c>
      <c r="N8082" s="27">
        <v>0.13248399999999999</v>
      </c>
    </row>
    <row r="8083" spans="1:14" hidden="1" outlineLevel="1" x14ac:dyDescent="0.2">
      <c r="A8083" s="23" t="str">
        <f t="shared" si="352"/>
        <v>ФБУ РЕАБИЛИТАЦИОННЫЙ И УЧЕБНЫЙ ЦЕНТР ФОНДА СОЦИАЛЬНОГО СТРАХОВАНИЯ РОССИЙСКОЙ ФЕДЕРАЦИИ</v>
      </c>
      <c r="B8083" s="24" t="s">
        <v>10288</v>
      </c>
      <c r="C8083" s="25">
        <v>500000</v>
      </c>
      <c r="D8083" s="22" t="s">
        <v>10289</v>
      </c>
      <c r="E8083" s="22" t="s">
        <v>107</v>
      </c>
      <c r="F8083" s="23" t="str">
        <f t="shared" si="353"/>
        <v>Оказание услуг по техническому обслуживанию системы видеонаблюдения</v>
      </c>
      <c r="G8083" s="22" t="s">
        <v>50</v>
      </c>
      <c r="H8083" s="22" t="s">
        <v>1045</v>
      </c>
      <c r="I8083" s="26">
        <v>43602.463194444397</v>
      </c>
      <c r="J8083" s="23" t="str">
        <f>HYPERLINK("https://www.spark-marketing.ru/Card/Person/5870458", "ООО ""ИНВЭРИАНТ""")</f>
        <v>ООО "ИНВЭРИАНТ"</v>
      </c>
      <c r="K8083" s="24" t="s">
        <v>7259</v>
      </c>
      <c r="L8083" s="28" t="s">
        <v>52</v>
      </c>
      <c r="M8083" s="25">
        <v>445200</v>
      </c>
      <c r="N8083" s="27">
        <v>0.1096</v>
      </c>
    </row>
    <row r="8084" spans="1:14" hidden="1" outlineLevel="1" x14ac:dyDescent="0.2">
      <c r="A8084" s="23" t="str">
        <f t="shared" si="352"/>
        <v>ФБУ РЕАБИЛИТАЦИОННЫЙ И УЧЕБНЫЙ ЦЕНТР ФОНДА СОЦИАЛЬНОГО СТРАХОВАНИЯ РОССИЙСКОЙ ФЕДЕРАЦИИ</v>
      </c>
      <c r="B8084" s="24" t="s">
        <v>10288</v>
      </c>
      <c r="C8084" s="25">
        <v>500000</v>
      </c>
      <c r="D8084" s="22" t="s">
        <v>10289</v>
      </c>
      <c r="E8084" s="22" t="s">
        <v>107</v>
      </c>
      <c r="F8084" s="23" t="str">
        <f t="shared" si="353"/>
        <v>Оказание услуг по техническому обслуживанию системы видеонаблюдения</v>
      </c>
      <c r="G8084" s="22" t="s">
        <v>50</v>
      </c>
      <c r="H8084" s="22" t="s">
        <v>1045</v>
      </c>
      <c r="I8084" s="26">
        <v>43602.463194444397</v>
      </c>
      <c r="J8084" s="23" t="str">
        <f>HYPERLINK("https://www.spark-marketing.ru/Card/Person/5885538", "ООО ""ДЕЛЬТА""")</f>
        <v>ООО "ДЕЛЬТА"</v>
      </c>
      <c r="K8084" s="24" t="s">
        <v>10297</v>
      </c>
      <c r="L8084" s="28" t="s">
        <v>52</v>
      </c>
      <c r="M8084" s="25">
        <v>475000</v>
      </c>
      <c r="N8084" s="27">
        <v>0.05</v>
      </c>
    </row>
    <row r="8085" spans="1:14" hidden="1" outlineLevel="1" x14ac:dyDescent="0.2">
      <c r="A8085" s="23" t="str">
        <f t="shared" si="352"/>
        <v>ФБУ РЕАБИЛИТАЦИОННЫЙ И УЧЕБНЫЙ ЦЕНТР ФОНДА СОЦИАЛЬНОГО СТРАХОВАНИЯ РОССИЙСКОЙ ФЕДЕРАЦИИ</v>
      </c>
      <c r="B8085" s="24" t="s">
        <v>10288</v>
      </c>
      <c r="C8085" s="25">
        <v>500000</v>
      </c>
      <c r="D8085" s="22" t="s">
        <v>10289</v>
      </c>
      <c r="E8085" s="22" t="s">
        <v>107</v>
      </c>
      <c r="F8085" s="23" t="str">
        <f t="shared" si="353"/>
        <v>Оказание услуг по техническому обслуживанию системы видеонаблюдения</v>
      </c>
      <c r="G8085" s="22" t="s">
        <v>50</v>
      </c>
      <c r="H8085" s="22" t="s">
        <v>1045</v>
      </c>
      <c r="I8085" s="26">
        <v>43602.463194444397</v>
      </c>
      <c r="J8085" s="23" t="str">
        <f>HYPERLINK("https://www.spark-marketing.ru/Card/Person/444206", "ООО ""ЭМЛАБ""")</f>
        <v>ООО "ЭМЛАБ"</v>
      </c>
      <c r="K8085" s="24" t="s">
        <v>1585</v>
      </c>
      <c r="L8085" s="28" t="s">
        <v>52</v>
      </c>
      <c r="M8085" s="25">
        <v>480000</v>
      </c>
      <c r="N8085" s="27">
        <v>0.04</v>
      </c>
    </row>
    <row r="8086" spans="1:14" x14ac:dyDescent="0.15">
      <c r="A8086" s="23" t="str">
        <f>HYPERLINK("https://www.spark-marketing.ru/Card/Person/6616961", "С ПЛОЩАДКИ ОТС")</f>
        <v>С ПЛОЩАДКИ ОТС</v>
      </c>
      <c r="B8086" s="28" t="s">
        <v>52</v>
      </c>
      <c r="C8086" s="28" t="s">
        <v>52</v>
      </c>
      <c r="D8086" s="22" t="s">
        <v>10298</v>
      </c>
      <c r="E8086" s="22" t="s">
        <v>52</v>
      </c>
      <c r="F8086" s="23" t="str">
        <f>HYPERLINK("https://www.spark-marketing.ru/Card/Lot/70562139", "Запрос предложений № 126/ЗПЭ-БЭТ/19 на право заключения договора на оказание услуг по охране объектов и имущества Хабаровского завода железобетонных шпал - филиала АО «БЭТ».")</f>
        <v>Запрос предложений № 126/ЗПЭ-БЭТ/19 на право заключения договора на оказание услуг по охране объектов и имущества Хабаровского завода железобетонных шпал - филиала АО «БЭТ».</v>
      </c>
      <c r="G8086" s="22" t="s">
        <v>52</v>
      </c>
      <c r="H8086" s="22" t="s">
        <v>52</v>
      </c>
      <c r="I8086" s="26">
        <v>43602.496921296297</v>
      </c>
      <c r="J8086" s="28" t="s">
        <v>52</v>
      </c>
      <c r="K8086" s="28" t="s">
        <v>52</v>
      </c>
      <c r="L8086" s="28" t="s">
        <v>52</v>
      </c>
      <c r="M8086" s="28" t="s">
        <v>52</v>
      </c>
      <c r="N8086" s="28" t="s">
        <v>52</v>
      </c>
    </row>
    <row r="8087" spans="1:14" x14ac:dyDescent="0.15">
      <c r="A8087" s="23" t="str">
        <f>HYPERLINK("https://www.spark-marketing.ru/Card/Person/4345970", "ФГУП ""ГХК""")</f>
        <v>ФГУП "ГХК"</v>
      </c>
      <c r="B8087" s="24" t="s">
        <v>10299</v>
      </c>
      <c r="C8087" s="25">
        <v>70101459.120000005</v>
      </c>
      <c r="D8087" s="22" t="s">
        <v>10300</v>
      </c>
      <c r="E8087" s="22" t="s">
        <v>53</v>
      </c>
      <c r="F8087" s="23" t="str">
        <f>HYPERLINK("https://www.spark-marketing.ru/Card/Lot/70558049", "Право заключения договора на Охрана категорированных объектов ФГУП ""ГХК"" (ИХЗ, ПТЭ, СЦ, ЦСиП, АТЦ, АХС)")</f>
        <v>Право заключения договора на Охрана категорированных объектов ФГУП "ГХК" (ИХЗ, ПТЭ, СЦ, ЦСиП, АТЦ, АХС)</v>
      </c>
      <c r="G8087" s="22" t="s">
        <v>640</v>
      </c>
      <c r="H8087" s="22" t="s">
        <v>4700</v>
      </c>
      <c r="I8087" s="26">
        <v>43602.482152777797</v>
      </c>
      <c r="J8087" s="28" t="s">
        <v>52</v>
      </c>
      <c r="K8087" s="28" t="s">
        <v>52</v>
      </c>
      <c r="L8087" s="28" t="s">
        <v>52</v>
      </c>
      <c r="M8087" s="28" t="s">
        <v>52</v>
      </c>
      <c r="N8087" s="28" t="s">
        <v>52</v>
      </c>
    </row>
    <row r="8088" spans="1:14" x14ac:dyDescent="0.15">
      <c r="A8088" s="23" t="str">
        <f>HYPERLINK("https://www.spark-marketing.ru/Card/Person/545375", "ФКУ ИК-6 УФСИН РОССИИ ПО РЯЗАНСКОЙ ОБЛАСТИ")</f>
        <v>ФКУ ИК-6 УФСИН РОССИИ ПО РЯЗАНСКОЙ ОБЛАСТИ</v>
      </c>
      <c r="B8088" s="24" t="s">
        <v>8786</v>
      </c>
      <c r="C8088" s="25">
        <v>54000</v>
      </c>
      <c r="D8088" s="22" t="s">
        <v>10301</v>
      </c>
      <c r="E8088" s="22" t="s">
        <v>107</v>
      </c>
      <c r="F8088" s="23" t="str">
        <f>HYPERLINK("https://www.spark-marketing.ru/Card/Lot/70555991", "оказание услуг по обслуживанию автоматики безопасности и сигнализации газовой котельной в 3 квартале 2019 года двух котлов Луч-1,2-95, в 4 квартале 2019 года четырех водогрейных котлов Луч-1,2-95 для нужд ФКУ ИК-6 УФСИН России по Рязанской области")</f>
        <v>оказание услуг по обслуживанию автоматики безопасности и сигнализации газовой котельной в 3 квартале 2019 года двух котлов Луч-1,2-95, в 4 квартале 2019 года четырех водогрейных котлов Луч-1,2-95 для нужд ФКУ ИК-6 УФСИН России по Рязанской области</v>
      </c>
      <c r="G8088" s="22" t="s">
        <v>186</v>
      </c>
      <c r="H8088" s="22" t="s">
        <v>7985</v>
      </c>
      <c r="I8088" s="26">
        <v>43602.486111111102</v>
      </c>
      <c r="J8088" s="28" t="s">
        <v>52</v>
      </c>
      <c r="K8088" s="28" t="s">
        <v>52</v>
      </c>
      <c r="L8088" s="28" t="s">
        <v>52</v>
      </c>
      <c r="M8088" s="28" t="s">
        <v>52</v>
      </c>
      <c r="N8088" s="28" t="s">
        <v>52</v>
      </c>
    </row>
    <row r="8089" spans="1:14" x14ac:dyDescent="0.15">
      <c r="A8089" s="23" t="str">
        <f>HYPERLINK("https://www.spark-marketing.ru/Card/Person/146829", "ФКУ ИК-5 УФСИН РОССИИ ПО ОРЛОВСКОЙ ОБЛАСТИ")</f>
        <v>ФКУ ИК-5 УФСИН РОССИИ ПО ОРЛОВСКОЙ ОБЛАСТИ</v>
      </c>
      <c r="B8089" s="24" t="s">
        <v>10302</v>
      </c>
      <c r="C8089" s="25">
        <v>18135</v>
      </c>
      <c r="D8089" s="22" t="s">
        <v>10303</v>
      </c>
      <c r="E8089" s="22" t="s">
        <v>10304</v>
      </c>
      <c r="F8089" s="23" t="str">
        <f>HYPERLINK("https://www.spark-marketing.ru/Card/Lot/70554794", "Тревожная кнопка вывоза")</f>
        <v>Тревожная кнопка вывоза</v>
      </c>
      <c r="G8089" s="22" t="s">
        <v>492</v>
      </c>
      <c r="H8089" s="22" t="s">
        <v>10305</v>
      </c>
      <c r="I8089" s="26">
        <v>43602.422916666699</v>
      </c>
      <c r="J8089" s="23" t="str">
        <f>HYPERLINK("https://www.spark-marketing.ru/Card/Person/343131", "ООО ""ЩИТ""")</f>
        <v>ООО "ЩИТ"</v>
      </c>
      <c r="K8089" s="24" t="s">
        <v>1798</v>
      </c>
      <c r="L8089" s="28" t="s">
        <v>52</v>
      </c>
      <c r="M8089" s="28" t="s">
        <v>52</v>
      </c>
      <c r="N8089" s="28" t="s">
        <v>52</v>
      </c>
    </row>
    <row r="8090" spans="1:14" ht="12.75" hidden="1" outlineLevel="1" x14ac:dyDescent="0.2">
      <c r="A8090" s="23" t="str">
        <f>HYPERLINK("https://www.spark-marketing.ru/Card/Person/146829", "ФКУ ИК-5 УФСИН РОССИИ ПО ОРЛОВСКОЙ ОБЛАСТИ")</f>
        <v>ФКУ ИК-5 УФСИН РОССИИ ПО ОРЛОВСКОЙ ОБЛАСТИ</v>
      </c>
      <c r="B8090" s="24" t="s">
        <v>10302</v>
      </c>
      <c r="C8090" s="25">
        <v>18135</v>
      </c>
      <c r="D8090" s="22" t="s">
        <v>10303</v>
      </c>
      <c r="E8090" s="22" t="s">
        <v>10304</v>
      </c>
      <c r="F8090" s="23" t="str">
        <f>HYPERLINK("https://www.spark-marketing.ru/Card/Lot/70554794", "Тревожная кнопка вывоза")</f>
        <v>Тревожная кнопка вывоза</v>
      </c>
      <c r="G8090" s="22" t="s">
        <v>492</v>
      </c>
      <c r="H8090" s="22" t="s">
        <v>10305</v>
      </c>
      <c r="I8090" s="26">
        <v>43602.422916666699</v>
      </c>
      <c r="J8090" s="23" t="str">
        <f>HYPERLINK("https://www.spark-marketing.ru/Card/Person/343131", "ООО ""ЩИТ""")</f>
        <v>ООО "ЩИТ"</v>
      </c>
      <c r="K8090" s="24" t="s">
        <v>1798</v>
      </c>
      <c r="L8090" s="22" t="s">
        <v>10</v>
      </c>
      <c r="M8090" s="25">
        <v>18035</v>
      </c>
      <c r="N8090" s="27">
        <v>5.5141990625861594E-3</v>
      </c>
    </row>
    <row r="8091" spans="1:14" x14ac:dyDescent="0.15">
      <c r="A8091" s="23" t="str">
        <f>HYPERLINK("https://www.spark-marketing.ru/Card/Person/4441241", "АО ""САМОТЛОРНЕФТЕГАЗ""")</f>
        <v>АО "САМОТЛОРНЕФТЕГАЗ"</v>
      </c>
      <c r="B8091" s="24" t="s">
        <v>7090</v>
      </c>
      <c r="C8091" s="28" t="s">
        <v>52</v>
      </c>
      <c r="D8091" s="22" t="s">
        <v>10306</v>
      </c>
      <c r="E8091" s="22" t="s">
        <v>7092</v>
      </c>
      <c r="F8091" s="23" t="str">
        <f>HYPERLINK("https://www.spark-marketing.ru/Card/Lot/70550280", "Оказание услуг по обслуживанию технических средств охраны и дополнительного оборудования на объектах АО «Корпорация Югранефть».")</f>
        <v>Оказание услуг по обслуживанию технических средств охраны и дополнительного оборудования на объектах АО «Корпорация Югранефть».</v>
      </c>
      <c r="G8091" s="22" t="s">
        <v>119</v>
      </c>
      <c r="H8091" s="22" t="s">
        <v>952</v>
      </c>
      <c r="I8091" s="26">
        <v>43602.395138888904</v>
      </c>
      <c r="J8091" s="28" t="s">
        <v>52</v>
      </c>
      <c r="K8091" s="28" t="s">
        <v>52</v>
      </c>
      <c r="L8091" s="28" t="s">
        <v>52</v>
      </c>
      <c r="M8091" s="28" t="s">
        <v>52</v>
      </c>
      <c r="N8091" s="28" t="s">
        <v>52</v>
      </c>
    </row>
    <row r="8092" spans="1:14" x14ac:dyDescent="0.15">
      <c r="A8092" s="23" t="str">
        <f>HYPERLINK("https://www.spark-marketing.ru/Card/Person/4366022", "АСУСОН ТО ""ЛЕСНОВСКИЙ ПСИХОНЕВРОЛОГИЧЕСКИЙ ИНТЕРНАТ""")</f>
        <v>АСУСОН ТО "ЛЕСНОВСКИЙ ПСИХОНЕВРОЛОГИЧЕСКИЙ ИНТЕРНАТ"</v>
      </c>
      <c r="B8092" s="24" t="s">
        <v>10307</v>
      </c>
      <c r="C8092" s="25">
        <v>401542</v>
      </c>
      <c r="D8092" s="22" t="s">
        <v>10308</v>
      </c>
      <c r="E8092" s="22" t="s">
        <v>396</v>
      </c>
      <c r="F8092" s="23" t="str">
        <f>HYPERLINK("https://www.spark-marketing.ru/Card/Lot/70547647", "Выполнение работ по монтажу системы видеонаблюдения в жилом корпусе №2 АСУСОН ТО ""Лесновский психоневрологический интернат""")</f>
        <v>Выполнение работ по монтажу системы видеонаблюдения в жилом корпусе №2 АСУСОН ТО "Лесновский психоневрологический интернат"</v>
      </c>
      <c r="G8092" s="22" t="s">
        <v>893</v>
      </c>
      <c r="H8092" s="22" t="s">
        <v>893</v>
      </c>
      <c r="I8092" s="26">
        <v>43602.413888888899</v>
      </c>
      <c r="J8092" s="28" t="s">
        <v>52</v>
      </c>
      <c r="K8092" s="28" t="s">
        <v>52</v>
      </c>
      <c r="L8092" s="28" t="s">
        <v>52</v>
      </c>
      <c r="M8092" s="28" t="s">
        <v>52</v>
      </c>
      <c r="N8092" s="28" t="s">
        <v>52</v>
      </c>
    </row>
    <row r="8093" spans="1:14" hidden="1" outlineLevel="1" x14ac:dyDescent="0.2">
      <c r="A8093" s="23" t="str">
        <f>HYPERLINK("https://www.spark-marketing.ru/Card/Person/4366022", "АСУСОН ТО ""ЛЕСНОВСКИЙ ПСИХОНЕВРОЛОГИЧЕСКИЙ ИНТЕРНАТ""")</f>
        <v>АСУСОН ТО "ЛЕСНОВСКИЙ ПСИХОНЕВРОЛОГИЧЕСКИЙ ИНТЕРНАТ"</v>
      </c>
      <c r="B8093" s="24" t="s">
        <v>10307</v>
      </c>
      <c r="C8093" s="28" t="s">
        <v>52</v>
      </c>
      <c r="D8093" s="22" t="s">
        <v>10308</v>
      </c>
      <c r="E8093" s="22" t="s">
        <v>396</v>
      </c>
      <c r="F8093" s="23" t="str">
        <f>HYPERLINK("https://www.spark-marketing.ru/Card/Lot/70547647", "Выполнение работ по монтажу системы видеонаблюдения в жилом корпусе №2 АСУСОН ТО ""Лесновский психоневрологический интернат""")</f>
        <v>Выполнение работ по монтажу системы видеонаблюдения в жилом корпусе №2 АСУСОН ТО "Лесновский психоневрологический интернат"</v>
      </c>
      <c r="G8093" s="22" t="s">
        <v>893</v>
      </c>
      <c r="H8093" s="22" t="s">
        <v>893</v>
      </c>
      <c r="I8093" s="26">
        <v>43602.413888888899</v>
      </c>
      <c r="J8093" s="23" t="str">
        <f>HYPERLINK("https://www.spark-marketing.ru/Card/Person/6448085", "ООО ""ЯЛУТОРОВСКПОЖСЕРВИС""")</f>
        <v>ООО "ЯЛУТОРОВСКПОЖСЕРВИС"</v>
      </c>
      <c r="K8093" s="24" t="s">
        <v>10309</v>
      </c>
      <c r="L8093" s="22" t="s">
        <v>10</v>
      </c>
      <c r="M8093" s="25">
        <v>401542</v>
      </c>
      <c r="N8093" s="27">
        <v>0</v>
      </c>
    </row>
    <row r="8094" spans="1:14" hidden="1" outlineLevel="1" x14ac:dyDescent="0.2">
      <c r="A8094" s="23" t="str">
        <f>HYPERLINK("https://www.spark-marketing.ru/Card/Person/4366022", "АСУСОН ТО ""ЛЕСНОВСКИЙ ПСИХОНЕВРОЛОГИЧЕСКИЙ ИНТЕРНАТ""")</f>
        <v>АСУСОН ТО "ЛЕСНОВСКИЙ ПСИХОНЕВРОЛОГИЧЕСКИЙ ИНТЕРНАТ"</v>
      </c>
      <c r="B8094" s="24" t="s">
        <v>10307</v>
      </c>
      <c r="C8094" s="28" t="s">
        <v>52</v>
      </c>
      <c r="D8094" s="22" t="s">
        <v>10308</v>
      </c>
      <c r="E8094" s="22" t="s">
        <v>396</v>
      </c>
      <c r="F8094" s="23" t="str">
        <f>HYPERLINK("https://www.spark-marketing.ru/Card/Lot/70547647", "Выполнение работ по монтажу системы видеонаблюдения в жилом корпусе №2 АСУСОН ТО ""Лесновский психоневрологический интернат""")</f>
        <v>Выполнение работ по монтажу системы видеонаблюдения в жилом корпусе №2 АСУСОН ТО "Лесновский психоневрологический интернат"</v>
      </c>
      <c r="G8094" s="22" t="s">
        <v>893</v>
      </c>
      <c r="H8094" s="22" t="s">
        <v>893</v>
      </c>
      <c r="I8094" s="26">
        <v>43602.413888888899</v>
      </c>
      <c r="J8094" s="23" t="str">
        <f>HYPERLINK("https://www.spark-marketing.ru/Card/Person/5769537", "ООО ""АПЕКС""")</f>
        <v>ООО "АПЕКС"</v>
      </c>
      <c r="K8094" s="24" t="s">
        <v>10310</v>
      </c>
      <c r="L8094" s="28" t="s">
        <v>52</v>
      </c>
      <c r="M8094" s="25">
        <v>458960</v>
      </c>
      <c r="N8094" s="27">
        <v>-0.14299375905882822</v>
      </c>
    </row>
    <row r="8095" spans="1:14" hidden="1" outlineLevel="1" x14ac:dyDescent="0.2">
      <c r="A8095" s="23" t="str">
        <f>HYPERLINK("https://www.spark-marketing.ru/Card/Person/4366022", "АСУСОН ТО ""ЛЕСНОВСКИЙ ПСИХОНЕВРОЛОГИЧЕСКИЙ ИНТЕРНАТ""")</f>
        <v>АСУСОН ТО "ЛЕСНОВСКИЙ ПСИХОНЕВРОЛОГИЧЕСКИЙ ИНТЕРНАТ"</v>
      </c>
      <c r="B8095" s="24" t="s">
        <v>10307</v>
      </c>
      <c r="C8095" s="28" t="s">
        <v>52</v>
      </c>
      <c r="D8095" s="22" t="s">
        <v>10308</v>
      </c>
      <c r="E8095" s="22" t="s">
        <v>396</v>
      </c>
      <c r="F8095" s="23" t="str">
        <f>HYPERLINK("https://www.spark-marketing.ru/Card/Lot/70547647", "Выполнение работ по монтажу системы видеонаблюдения в жилом корпусе №2 АСУСОН ТО ""Лесновский психоневрологический интернат""")</f>
        <v>Выполнение работ по монтажу системы видеонаблюдения в жилом корпусе №2 АСУСОН ТО "Лесновский психоневрологический интернат"</v>
      </c>
      <c r="G8095" s="22" t="s">
        <v>893</v>
      </c>
      <c r="H8095" s="22" t="s">
        <v>893</v>
      </c>
      <c r="I8095" s="26">
        <v>43602.413888888899</v>
      </c>
      <c r="J8095" s="23" t="str">
        <f>HYPERLINK("https://www.spark-marketing.ru/Card/Person/1960314", "ООО ""СИСТЕМЫ БЕЗОПАСНОСТИ""")</f>
        <v>ООО "СИСТЕМЫ БЕЗОПАСНОСТИ"</v>
      </c>
      <c r="K8095" s="24" t="s">
        <v>10311</v>
      </c>
      <c r="L8095" s="28" t="s">
        <v>52</v>
      </c>
      <c r="M8095" s="25">
        <v>446510</v>
      </c>
      <c r="N8095" s="27">
        <v>-0.11198828516070548</v>
      </c>
    </row>
    <row r="8096" spans="1:14" x14ac:dyDescent="0.15">
      <c r="A8096" s="23" t="str">
        <f>HYPERLINK("https://www.spark-marketing.ru/Card/Person/17197", "БГТУ ИМ. В.Г. ШУХОВА")</f>
        <v>БГТУ ИМ. В.Г. ШУХОВА</v>
      </c>
      <c r="B8096" s="24" t="s">
        <v>10312</v>
      </c>
      <c r="C8096" s="25">
        <v>634855.19999999995</v>
      </c>
      <c r="D8096" s="22" t="s">
        <v>10313</v>
      </c>
      <c r="E8096" s="22" t="s">
        <v>68</v>
      </c>
      <c r="F8096" s="23" t="str">
        <f>HYPERLINK("https://www.spark-marketing.ru/Card/Lot/70552791", "Оказание услуг по охране объектов БГТУ им. В. Г. Шухова по средством централизованного наблюдения")</f>
        <v>Оказание услуг по охране объектов БГТУ им. В. Г. Шухова по средством централизованного наблюдения</v>
      </c>
      <c r="G8096" s="22" t="s">
        <v>176</v>
      </c>
      <c r="H8096" s="22" t="s">
        <v>318</v>
      </c>
      <c r="I8096" s="26">
        <v>43602.414583333302</v>
      </c>
      <c r="J8096" s="23" t="str">
        <f>HYPERLINK("https://www.spark-marketing.ru/Card/Person/4371401", "ФГКУ ""УВО ВНГ РОССИИ ПО БЕЛГОРОДСКОЙ ОБЛАСТИ""")</f>
        <v>ФГКУ "УВО ВНГ РОССИИ ПО БЕЛГОРОДСКОЙ ОБЛАСТИ"</v>
      </c>
      <c r="K8096" s="24" t="s">
        <v>5579</v>
      </c>
      <c r="L8096" s="22" t="s">
        <v>10</v>
      </c>
      <c r="M8096" s="28" t="s">
        <v>52</v>
      </c>
      <c r="N8096" s="28" t="s">
        <v>52</v>
      </c>
    </row>
    <row r="8097" spans="1:14" x14ac:dyDescent="0.15">
      <c r="A8097" s="23" t="str">
        <f>HYPERLINK("https://www.spark-marketing.ru/Card/Person/52476", "ГКУ НО ""ЦБДД""")</f>
        <v>ГКУ НО "ЦБДД"</v>
      </c>
      <c r="B8097" s="24" t="s">
        <v>10314</v>
      </c>
      <c r="C8097" s="25">
        <v>2665225</v>
      </c>
      <c r="D8097" s="22" t="s">
        <v>10315</v>
      </c>
      <c r="E8097" s="22" t="s">
        <v>349</v>
      </c>
      <c r="F8097" s="23" t="str">
        <f>HYPERLINK("https://www.spark-marketing.ru/Card/Lot/70547571", "Оказание комплекса услуг по техническому обслуживанию системы оперативного видеонаблюдения и регистрации в местах массового скопления людей и прохождения транспорта на территории г.Бор Нижегородской области с заменой комплектующих")</f>
        <v>Оказание комплекса услуг по техническому обслуживанию системы оперативного видеонаблюдения и регистрации в местах массового скопления людей и прохождения транспорта на территории г.Бор Нижегородской области с заменой комплектующих</v>
      </c>
      <c r="G8097" s="22" t="s">
        <v>64</v>
      </c>
      <c r="H8097" s="22" t="s">
        <v>65</v>
      </c>
      <c r="I8097" s="26">
        <v>43602.335416666698</v>
      </c>
      <c r="J8097" s="28" t="s">
        <v>52</v>
      </c>
      <c r="K8097" s="28" t="s">
        <v>52</v>
      </c>
      <c r="L8097" s="28" t="s">
        <v>52</v>
      </c>
      <c r="M8097" s="28" t="s">
        <v>52</v>
      </c>
      <c r="N8097" s="28" t="s">
        <v>52</v>
      </c>
    </row>
    <row r="8098" spans="1:14" hidden="1" outlineLevel="1" x14ac:dyDescent="0.2">
      <c r="A8098" s="23" t="str">
        <f>HYPERLINK("https://www.spark-marketing.ru/Card/Person/52476", "ГКУ НО ""ЦБДД""")</f>
        <v>ГКУ НО "ЦБДД"</v>
      </c>
      <c r="B8098" s="24" t="s">
        <v>10314</v>
      </c>
      <c r="C8098" s="25">
        <v>2665225</v>
      </c>
      <c r="D8098" s="22" t="s">
        <v>10315</v>
      </c>
      <c r="E8098" s="22" t="s">
        <v>349</v>
      </c>
      <c r="F8098" s="23" t="str">
        <f>HYPERLINK("https://www.spark-marketing.ru/Card/Lot/70547571", "Оказание комплекса услуг по техническому обслуживанию системы оперативного видеонаблюдения и регистрации в местах массового скопления людей и прохождения транспорта на территории г.Бор Нижегородской области с заменой комплектующих")</f>
        <v>Оказание комплекса услуг по техническому обслуживанию системы оперативного видеонаблюдения и регистрации в местах массового скопления людей и прохождения транспорта на территории г.Бор Нижегородской области с заменой комплектующих</v>
      </c>
      <c r="G8098" s="22" t="s">
        <v>64</v>
      </c>
      <c r="H8098" s="22" t="s">
        <v>65</v>
      </c>
      <c r="I8098" s="26">
        <v>43602.335416666698</v>
      </c>
      <c r="J8098" s="23" t="str">
        <f>HYPERLINK("https://www.spark-marketing.ru/Card/Person/1263818", "ООО ""АЙ ПИ-СЕРВИС""")</f>
        <v>ООО "АЙ ПИ-СЕРВИС"</v>
      </c>
      <c r="K8098" s="24" t="s">
        <v>10316</v>
      </c>
      <c r="L8098" s="28" t="s">
        <v>52</v>
      </c>
      <c r="M8098" s="25">
        <v>466171.21</v>
      </c>
      <c r="N8098" s="27">
        <v>0.82509123619957037</v>
      </c>
    </row>
    <row r="8099" spans="1:14" hidden="1" outlineLevel="1" x14ac:dyDescent="0.2">
      <c r="A8099" s="23" t="str">
        <f>HYPERLINK("https://www.spark-marketing.ru/Card/Person/52476", "ГКУ НО ""ЦБДД""")</f>
        <v>ГКУ НО "ЦБДД"</v>
      </c>
      <c r="B8099" s="24" t="s">
        <v>10314</v>
      </c>
      <c r="C8099" s="25">
        <v>2665225</v>
      </c>
      <c r="D8099" s="22" t="s">
        <v>10315</v>
      </c>
      <c r="E8099" s="22" t="s">
        <v>349</v>
      </c>
      <c r="F8099" s="23" t="str">
        <f>HYPERLINK("https://www.spark-marketing.ru/Card/Lot/70547571", "Оказание комплекса услуг по техническому обслуживанию системы оперативного видеонаблюдения и регистрации в местах массового скопления людей и прохождения транспорта на территории г.Бор Нижегородской области с заменой комплектующих")</f>
        <v>Оказание комплекса услуг по техническому обслуживанию системы оперативного видеонаблюдения и регистрации в местах массового скопления людей и прохождения транспорта на территории г.Бор Нижегородской области с заменой комплектующих</v>
      </c>
      <c r="G8099" s="22" t="s">
        <v>64</v>
      </c>
      <c r="H8099" s="22" t="s">
        <v>65</v>
      </c>
      <c r="I8099" s="26">
        <v>43602.335416666698</v>
      </c>
      <c r="J8099" s="23" t="str">
        <f>HYPERLINK("https://www.spark-marketing.ru/Card/Person/515252", "ООО ""ГРИН""")</f>
        <v>ООО "ГРИН"</v>
      </c>
      <c r="K8099" s="24" t="s">
        <v>10317</v>
      </c>
      <c r="L8099" s="28" t="s">
        <v>52</v>
      </c>
      <c r="M8099" s="25">
        <v>250278.8</v>
      </c>
      <c r="N8099" s="27">
        <v>0.90609468243769287</v>
      </c>
    </row>
    <row r="8100" spans="1:14" ht="12.75" hidden="1" outlineLevel="1" x14ac:dyDescent="0.2">
      <c r="A8100" s="23" t="str">
        <f>HYPERLINK("https://www.spark-marketing.ru/Card/Person/52476", "ГКУ НО ""ЦБДД""")</f>
        <v>ГКУ НО "ЦБДД"</v>
      </c>
      <c r="B8100" s="24" t="s">
        <v>10314</v>
      </c>
      <c r="C8100" s="25">
        <v>2665225</v>
      </c>
      <c r="D8100" s="22" t="s">
        <v>10315</v>
      </c>
      <c r="E8100" s="22" t="s">
        <v>349</v>
      </c>
      <c r="F8100" s="23" t="str">
        <f>HYPERLINK("https://www.spark-marketing.ru/Card/Lot/70547571", "Оказание комплекса услуг по техническому обслуживанию системы оперативного видеонаблюдения и регистрации в местах массового скопления людей и прохождения транспорта на территории г.Бор Нижегородской области с заменой комплектующих")</f>
        <v>Оказание комплекса услуг по техническому обслуживанию системы оперативного видеонаблюдения и регистрации в местах массового скопления людей и прохождения транспорта на территории г.Бор Нижегородской области с заменой комплектующих</v>
      </c>
      <c r="G8100" s="22" t="s">
        <v>64</v>
      </c>
      <c r="H8100" s="22" t="s">
        <v>65</v>
      </c>
      <c r="I8100" s="26">
        <v>43602.335416666698</v>
      </c>
      <c r="J8100" s="23" t="str">
        <f>HYPERLINK("https://www.spark-marketing.ru/Card/Person/4956619", "ООО ""ИТБ""")</f>
        <v>ООО "ИТБ"</v>
      </c>
      <c r="K8100" s="24" t="s">
        <v>10318</v>
      </c>
      <c r="L8100" s="22" t="s">
        <v>10</v>
      </c>
      <c r="M8100" s="25">
        <v>246747.2</v>
      </c>
      <c r="N8100" s="27">
        <v>0.90741974880169596</v>
      </c>
    </row>
    <row r="8101" spans="1:14" x14ac:dyDescent="0.15">
      <c r="A8101" s="23" t="str">
        <f>HYPERLINK("https://www.spark-marketing.ru/Card/Person/420667", "МКОУ ""ШАРЧИНСКАЯ СОШ""")</f>
        <v>МКОУ "ШАРЧИНСКАЯ СОШ"</v>
      </c>
      <c r="B8101" s="24" t="s">
        <v>10319</v>
      </c>
      <c r="C8101" s="25">
        <v>12500</v>
      </c>
      <c r="D8101" s="22" t="s">
        <v>10320</v>
      </c>
      <c r="E8101" s="22" t="s">
        <v>59</v>
      </c>
      <c r="F8101" s="23" t="str">
        <f>HYPERLINK("https://www.spark-marketing.ru/Card/Lot/70545113", "Оказание услуг по монтажу кнопки тревожной сигнализации")</f>
        <v>Оказание услуг по монтажу кнопки тревожной сигнализации</v>
      </c>
      <c r="G8101" s="22" t="s">
        <v>209</v>
      </c>
      <c r="H8101" s="22" t="s">
        <v>5208</v>
      </c>
      <c r="I8101" s="26">
        <v>43602.223611111098</v>
      </c>
      <c r="J8101" s="28" t="s">
        <v>52</v>
      </c>
      <c r="K8101" s="28" t="s">
        <v>52</v>
      </c>
      <c r="L8101" s="28" t="s">
        <v>52</v>
      </c>
      <c r="M8101" s="28" t="s">
        <v>52</v>
      </c>
      <c r="N8101" s="28" t="s">
        <v>52</v>
      </c>
    </row>
    <row r="8102" spans="1:14" x14ac:dyDescent="0.15">
      <c r="A8102" s="23" t="str">
        <f>HYPERLINK("https://www.spark-marketing.ru/Card/Person/1065326", "МКОУ ""ХОЛОДНОВСКАЯ ООШ""")</f>
        <v>МКОУ "ХОЛОДНОВСКАЯ ООШ"</v>
      </c>
      <c r="B8102" s="24" t="s">
        <v>10321</v>
      </c>
      <c r="C8102" s="25">
        <v>12500</v>
      </c>
      <c r="D8102" s="22" t="s">
        <v>10322</v>
      </c>
      <c r="E8102" s="22" t="s">
        <v>59</v>
      </c>
      <c r="F8102" s="23" t="str">
        <f>HYPERLINK("https://www.spark-marketing.ru/Card/Lot/70542695", "Оказание услуг по монтажу кнопки тревожной сигнализации")</f>
        <v>Оказание услуг по монтажу кнопки тревожной сигнализации</v>
      </c>
      <c r="G8102" s="22" t="s">
        <v>209</v>
      </c>
      <c r="H8102" s="22" t="s">
        <v>5208</v>
      </c>
      <c r="I8102" s="26">
        <v>43602.204166666699</v>
      </c>
      <c r="J8102" s="28" t="s">
        <v>52</v>
      </c>
      <c r="K8102" s="28" t="s">
        <v>52</v>
      </c>
      <c r="L8102" s="28" t="s">
        <v>52</v>
      </c>
      <c r="M8102" s="28" t="s">
        <v>52</v>
      </c>
      <c r="N8102" s="28" t="s">
        <v>52</v>
      </c>
    </row>
    <row r="8103" spans="1:14" x14ac:dyDescent="0.15">
      <c r="A8103" s="23" t="str">
        <f>HYPERLINK("https://www.spark-marketing.ru/Card/Person/11493", "Макрорегиональный филиал ""Центр"" ОАО междугородной и международной электрической связи ""Ростелеком""")</f>
        <v>Макрорегиональный филиал "Центр" ОАО междугородной и международной электрической связи "Ростелеком"</v>
      </c>
      <c r="B8103" s="24" t="s">
        <v>607</v>
      </c>
      <c r="C8103" s="25">
        <v>0</v>
      </c>
      <c r="D8103" s="22" t="s">
        <v>10323</v>
      </c>
      <c r="E8103" s="22" t="s">
        <v>53</v>
      </c>
      <c r="F8103" s="23" t="str">
        <f>HYPERLINK("https://www.spark-marketing.ru/Card/Lot/70573425", "Сервисное обслуживание оборудования студий видеоконференцсвязи, расположенных по адресу: г. Москва, Киевское ш., 22-й км, д.6, стр.1, Бизнес-парк «Comcity»")</f>
        <v>Сервисное обслуживание оборудования студий видеоконференцсвязи, расположенных по адресу: г. Москва, Киевское ш., 22-й км, д.6, стр.1, Бизнес-парк «Comcity»</v>
      </c>
      <c r="G8103" s="22" t="s">
        <v>89</v>
      </c>
      <c r="H8103" s="22" t="s">
        <v>89</v>
      </c>
      <c r="I8103" s="26">
        <v>43602</v>
      </c>
      <c r="J8103" s="28" t="s">
        <v>52</v>
      </c>
      <c r="K8103" s="28" t="s">
        <v>52</v>
      </c>
      <c r="L8103" s="28" t="s">
        <v>52</v>
      </c>
      <c r="M8103" s="28" t="s">
        <v>52</v>
      </c>
      <c r="N8103" s="28" t="s">
        <v>52</v>
      </c>
    </row>
    <row r="8104" spans="1:14" x14ac:dyDescent="0.15">
      <c r="A8104" s="23" t="str">
        <f>HYPERLINK("https://www.spark-marketing.ru/Card/Person/6450322", "ЗАКАЗЧИК РП БЕЛАРУСЬ")</f>
        <v>ЗАКАЗЧИК РП БЕЛАРУСЬ</v>
      </c>
      <c r="B8104" s="28" t="s">
        <v>52</v>
      </c>
      <c r="C8104" s="28" t="s">
        <v>52</v>
      </c>
      <c r="D8104" s="22" t="s">
        <v>10324</v>
      </c>
      <c r="E8104" s="22" t="s">
        <v>53</v>
      </c>
      <c r="F8104" s="23" t="str">
        <f>HYPERLINK("https://www.spark-marketing.ru/Card/Lot/70562899", "Услуги по предоставлению, доставке, установке и обеспечению работы диодных экранов для торжественного мероприятия 27 июля в г .Бресте.")</f>
        <v>Услуги по предоставлению, доставке, установке и обеспечению работы диодных экранов для торжественного мероприятия 27 июля в г .Бресте.</v>
      </c>
      <c r="G8104" s="22" t="s">
        <v>52</v>
      </c>
      <c r="H8104" s="22" t="s">
        <v>52</v>
      </c>
      <c r="I8104" s="26">
        <v>43602</v>
      </c>
      <c r="J8104" s="28" t="s">
        <v>52</v>
      </c>
      <c r="K8104" s="28" t="s">
        <v>52</v>
      </c>
      <c r="L8104" s="28" t="s">
        <v>52</v>
      </c>
      <c r="M8104" s="28" t="s">
        <v>52</v>
      </c>
      <c r="N8104" s="28" t="s">
        <v>52</v>
      </c>
    </row>
    <row r="8105" spans="1:14" x14ac:dyDescent="0.15">
      <c r="A8105" s="23" t="str">
        <f>HYPERLINK("https://www.spark-marketing.ru/Card/Person/6450322", "ЗАКАЗЧИК РП БЕЛАРУСЬ")</f>
        <v>ЗАКАЗЧИК РП БЕЛАРУСЬ</v>
      </c>
      <c r="B8105" s="28" t="s">
        <v>52</v>
      </c>
      <c r="C8105" s="28" t="s">
        <v>52</v>
      </c>
      <c r="D8105" s="22" t="s">
        <v>10324</v>
      </c>
      <c r="E8105" s="22" t="s">
        <v>53</v>
      </c>
      <c r="F8105" s="23" t="str">
        <f>HYPERLINK("https://www.spark-marketing.ru/Card/Lot/70562897", "Услуги по предоставлению, доставке, установке и обеспечению работы звукового оборудования торжественного мероприятия 27 июля в г .Бресте.")</f>
        <v>Услуги по предоставлению, доставке, установке и обеспечению работы звукового оборудования торжественного мероприятия 27 июля в г .Бресте.</v>
      </c>
      <c r="G8105" s="22" t="s">
        <v>52</v>
      </c>
      <c r="H8105" s="22" t="s">
        <v>52</v>
      </c>
      <c r="I8105" s="26">
        <v>43602</v>
      </c>
      <c r="J8105" s="28" t="s">
        <v>52</v>
      </c>
      <c r="K8105" s="28" t="s">
        <v>52</v>
      </c>
      <c r="L8105" s="28" t="s">
        <v>52</v>
      </c>
      <c r="M8105" s="28" t="s">
        <v>52</v>
      </c>
      <c r="N8105" s="28" t="s">
        <v>52</v>
      </c>
    </row>
    <row r="8106" spans="1:14" x14ac:dyDescent="0.15">
      <c r="A8106" s="23" t="str">
        <f>HYPERLINK("https://www.spark-marketing.ru/Card/Person/6450322", "ЗАКАЗЧИК РП БЕЛАРУСЬ")</f>
        <v>ЗАКАЗЧИК РП БЕЛАРУСЬ</v>
      </c>
      <c r="B8106" s="28" t="s">
        <v>52</v>
      </c>
      <c r="C8106" s="28" t="s">
        <v>52</v>
      </c>
      <c r="D8106" s="22" t="s">
        <v>10324</v>
      </c>
      <c r="E8106" s="22" t="s">
        <v>53</v>
      </c>
      <c r="F8106" s="23" t="str">
        <f>HYPERLINK("https://www.spark-marketing.ru/Card/Lot/70562900", "Услуги по предоставлению, доставке, установке и обеспечению работы видео оборудования торжественного мероприятия 27июля в г .Бресте.")</f>
        <v>Услуги по предоставлению, доставке, установке и обеспечению работы видео оборудования торжественного мероприятия 27июля в г .Бресте.</v>
      </c>
      <c r="G8106" s="22" t="s">
        <v>52</v>
      </c>
      <c r="H8106" s="22" t="s">
        <v>52</v>
      </c>
      <c r="I8106" s="26">
        <v>43602</v>
      </c>
      <c r="J8106" s="28" t="s">
        <v>52</v>
      </c>
      <c r="K8106" s="28" t="s">
        <v>52</v>
      </c>
      <c r="L8106" s="28" t="s">
        <v>52</v>
      </c>
      <c r="M8106" s="28" t="s">
        <v>52</v>
      </c>
      <c r="N8106" s="28" t="s">
        <v>52</v>
      </c>
    </row>
    <row r="8107" spans="1:14" x14ac:dyDescent="0.15">
      <c r="A8107" s="23" t="str">
        <f>HYPERLINK("https://www.spark-marketing.ru/Card/Person/6450322", "ЗАКАЗЧИК РП БЕЛАРУСЬ")</f>
        <v>ЗАКАЗЧИК РП БЕЛАРУСЬ</v>
      </c>
      <c r="B8107" s="28" t="s">
        <v>52</v>
      </c>
      <c r="C8107" s="25">
        <v>0</v>
      </c>
      <c r="D8107" s="22" t="s">
        <v>10325</v>
      </c>
      <c r="E8107" s="22" t="s">
        <v>53</v>
      </c>
      <c r="F8107" s="23" t="str">
        <f>HYPERLINK("https://www.spark-marketing.ru/Card/Lot/70560829", "«Выполнение расчета рассеивания по разделу «Охрана окружающей среды» по объекту №12277 «Подключение сушильной камеры мод.Н4815. Главный корпус. Рессорный цех. «Минский рессорный завод» по пр.Партизанскому, 101 в Минске».")</f>
        <v>«Выполнение расчета рассеивания по разделу «Охрана окружающей среды» по объекту №12277 «Подключение сушильной камеры мод.Н4815. Главный корпус. Рессорный цех. «Минский рессорный завод» по пр.Партизанскому, 101 в Минске».</v>
      </c>
      <c r="G8107" s="22" t="s">
        <v>52</v>
      </c>
      <c r="H8107" s="22" t="s">
        <v>52</v>
      </c>
      <c r="I8107" s="26">
        <v>43602</v>
      </c>
      <c r="J8107" s="28" t="s">
        <v>52</v>
      </c>
      <c r="K8107" s="28" t="s">
        <v>52</v>
      </c>
      <c r="L8107" s="28" t="s">
        <v>52</v>
      </c>
      <c r="M8107" s="28" t="s">
        <v>52</v>
      </c>
      <c r="N8107" s="28" t="s">
        <v>52</v>
      </c>
    </row>
    <row r="8108" spans="1:14" x14ac:dyDescent="0.15">
      <c r="A8108" s="23" t="str">
        <f>HYPERLINK("https://www.spark-marketing.ru/Card/Person/6450322", "ЗАКАЗЧИК РП БЕЛАРУСЬ")</f>
        <v>ЗАКАЗЧИК РП БЕЛАРУСЬ</v>
      </c>
      <c r="B8108" s="28" t="s">
        <v>52</v>
      </c>
      <c r="C8108" s="28" t="s">
        <v>52</v>
      </c>
      <c r="D8108" s="22" t="s">
        <v>10324</v>
      </c>
      <c r="E8108" s="22" t="s">
        <v>53</v>
      </c>
      <c r="F8108" s="23" t="str">
        <f>HYPERLINK("https://www.spark-marketing.ru/Card/Lot/70562898", "Услуги по предоставлению, доставке, установке и обеспечению работы светового оборудования для проведения торжественного мероприятия")</f>
        <v>Услуги по предоставлению, доставке, установке и обеспечению работы светового оборудования для проведения торжественного мероприятия</v>
      </c>
      <c r="G8108" s="22" t="s">
        <v>52</v>
      </c>
      <c r="H8108" s="22" t="s">
        <v>52</v>
      </c>
      <c r="I8108" s="26">
        <v>43602</v>
      </c>
      <c r="J8108" s="28" t="s">
        <v>52</v>
      </c>
      <c r="K8108" s="28" t="s">
        <v>52</v>
      </c>
      <c r="L8108" s="28" t="s">
        <v>52</v>
      </c>
      <c r="M8108" s="28" t="s">
        <v>52</v>
      </c>
      <c r="N8108" s="28" t="s">
        <v>52</v>
      </c>
    </row>
    <row r="8109" spans="1:14" x14ac:dyDescent="0.15">
      <c r="A8109" s="23" t="str">
        <f>HYPERLINK("https://www.spark-marketing.ru/Card/Person/89585", "ООО ""ГАЗПРОМ ТРАНСГАЗ ЮГОРСК""")</f>
        <v>ООО "ГАЗПРОМ ТРАНСГАЗ ЮГОРСК"</v>
      </c>
      <c r="B8109" s="24" t="s">
        <v>4073</v>
      </c>
      <c r="C8109" s="25">
        <v>20385672</v>
      </c>
      <c r="D8109" s="22" t="s">
        <v>10326</v>
      </c>
      <c r="E8109" s="22" t="s">
        <v>10327</v>
      </c>
      <c r="F8109" s="23" t="str">
        <f>HYPERLINK("https://www.spark-marketing.ru/Card/Lot/70539353", "Поставка агрегатов сварочных самоходных АПС415.012Б-Б для нужд ООО ""Газпром трансгаз Югорск""")</f>
        <v>Поставка агрегатов сварочных самоходных АПС415.012Б-Б для нужд ООО "Газпром трансгаз Югорск"</v>
      </c>
      <c r="G8109" s="22" t="s">
        <v>119</v>
      </c>
      <c r="H8109" s="22" t="s">
        <v>4075</v>
      </c>
      <c r="I8109" s="26">
        <v>43601.814606481501</v>
      </c>
      <c r="J8109" s="28" t="s">
        <v>52</v>
      </c>
      <c r="K8109" s="28" t="s">
        <v>52</v>
      </c>
      <c r="L8109" s="28" t="s">
        <v>52</v>
      </c>
      <c r="M8109" s="28" t="s">
        <v>52</v>
      </c>
      <c r="N8109" s="28" t="s">
        <v>52</v>
      </c>
    </row>
    <row r="8110" spans="1:14" x14ac:dyDescent="0.15">
      <c r="A8110" s="23" t="str">
        <f>HYPERLINK("https://www.spark-marketing.ru/Card/Person/2591531", "ООО ""КВС""")</f>
        <v>ООО "КВС"</v>
      </c>
      <c r="B8110" s="24" t="s">
        <v>8005</v>
      </c>
      <c r="C8110" s="25">
        <v>29747808</v>
      </c>
      <c r="D8110" s="22" t="s">
        <v>10328</v>
      </c>
      <c r="E8110" s="22" t="s">
        <v>6058</v>
      </c>
      <c r="F8110" s="23" t="str">
        <f>HYPERLINK("https://www.spark-marketing.ru/Card/Lot/70537793", "Оказание услуг по охране объектов")</f>
        <v>Оказание услуг по охране объектов</v>
      </c>
      <c r="G8110" s="22" t="s">
        <v>80</v>
      </c>
      <c r="H8110" s="22" t="s">
        <v>80</v>
      </c>
      <c r="I8110" s="26">
        <v>43601.755092592597</v>
      </c>
      <c r="J8110" s="28" t="s">
        <v>52</v>
      </c>
      <c r="K8110" s="28" t="s">
        <v>52</v>
      </c>
      <c r="L8110" s="28" t="s">
        <v>52</v>
      </c>
      <c r="M8110" s="28" t="s">
        <v>52</v>
      </c>
      <c r="N8110" s="28" t="s">
        <v>52</v>
      </c>
    </row>
    <row r="8111" spans="1:14" x14ac:dyDescent="0.15">
      <c r="A8111" s="23" t="str">
        <f>HYPERLINK("https://www.spark-marketing.ru/Card/Person/4415359", "ГАПОУ СО ""УКТП""")</f>
        <v>ГАПОУ СО "УКТП"</v>
      </c>
      <c r="B8111" s="24" t="s">
        <v>10329</v>
      </c>
      <c r="C8111" s="25">
        <v>2008502</v>
      </c>
      <c r="D8111" s="22" t="s">
        <v>10330</v>
      </c>
      <c r="E8111" s="22" t="s">
        <v>49</v>
      </c>
      <c r="F8111" s="23" t="str">
        <f>HYPERLINK("https://www.spark-marketing.ru/Card/Lot/70530032", "Установка систем: охранной сигнализации, видеонаблюдения, контроля и управления доступа и модернизацию системы видеонаблюдения.")</f>
        <v>Установка систем: охранной сигнализации, видеонаблюдения, контроля и управления доступа и модернизацию системы видеонаблюдения.</v>
      </c>
      <c r="G8111" s="22" t="s">
        <v>72</v>
      </c>
      <c r="H8111" s="22" t="s">
        <v>72</v>
      </c>
      <c r="I8111" s="26">
        <v>43601.7094097222</v>
      </c>
      <c r="J8111" s="28" t="s">
        <v>52</v>
      </c>
      <c r="K8111" s="28" t="s">
        <v>52</v>
      </c>
      <c r="L8111" s="28" t="s">
        <v>52</v>
      </c>
      <c r="M8111" s="28" t="s">
        <v>52</v>
      </c>
      <c r="N8111" s="28" t="s">
        <v>52</v>
      </c>
    </row>
    <row r="8112" spans="1:14" x14ac:dyDescent="0.15">
      <c r="A8112" s="23" t="str">
        <f>HYPERLINK("https://www.spark-marketing.ru/Card/Person/129258", "МБУК ""ГОРОДСКОЙ ТЕАТР""")</f>
        <v>МБУК "ГОРОДСКОЙ ТЕАТР"</v>
      </c>
      <c r="B8112" s="24" t="s">
        <v>10331</v>
      </c>
      <c r="C8112" s="25">
        <v>511640</v>
      </c>
      <c r="D8112" s="22" t="s">
        <v>10332</v>
      </c>
      <c r="E8112" s="22" t="s">
        <v>1634</v>
      </c>
      <c r="F8112" s="23" t="str">
        <f>HYPERLINK("https://www.spark-marketing.ru/Card/Lot/70538539", "Услуга по предоставлению светодиодного оборудования, обслуживанию и видео сопровождению мероприятий на светодиодных экранах")</f>
        <v>Услуга по предоставлению светодиодного оборудования, обслуживанию и видео сопровождению мероприятий на светодиодных экранах</v>
      </c>
      <c r="G8112" s="22" t="s">
        <v>132</v>
      </c>
      <c r="H8112" s="22" t="s">
        <v>6733</v>
      </c>
      <c r="I8112" s="26">
        <v>43601.733333333301</v>
      </c>
      <c r="J8112" s="28" t="s">
        <v>52</v>
      </c>
      <c r="K8112" s="28" t="s">
        <v>52</v>
      </c>
      <c r="L8112" s="28" t="s">
        <v>52</v>
      </c>
      <c r="M8112" s="28" t="s">
        <v>52</v>
      </c>
      <c r="N8112" s="28" t="s">
        <v>52</v>
      </c>
    </row>
    <row r="8113" spans="1:14" hidden="1" outlineLevel="1" x14ac:dyDescent="0.2">
      <c r="A8113" s="23" t="str">
        <f>HYPERLINK("https://www.spark-marketing.ru/Card/Person/129258", "МБУК ""ГОРОДСКОЙ ТЕАТР""")</f>
        <v>МБУК "ГОРОДСКОЙ ТЕАТР"</v>
      </c>
      <c r="B8113" s="24" t="s">
        <v>10331</v>
      </c>
      <c r="C8113" s="25">
        <v>511640</v>
      </c>
      <c r="D8113" s="22" t="s">
        <v>10332</v>
      </c>
      <c r="E8113" s="22" t="s">
        <v>1634</v>
      </c>
      <c r="F8113" s="23" t="str">
        <f>HYPERLINK("https://www.spark-marketing.ru/Card/Lot/70538539", "Услуга по предоставлению светодиодного оборудования, обслуживанию и видео сопровождению мероприятий на светодиодных экранах")</f>
        <v>Услуга по предоставлению светодиодного оборудования, обслуживанию и видео сопровождению мероприятий на светодиодных экранах</v>
      </c>
      <c r="G8113" s="22" t="s">
        <v>132</v>
      </c>
      <c r="H8113" s="22" t="s">
        <v>6733</v>
      </c>
      <c r="I8113" s="26">
        <v>43601.733333333301</v>
      </c>
      <c r="J8113" s="23" t="str">
        <f>HYPERLINK("https://www.spark-marketing.ru/Card/Person/4756645", "ООО ""СТАРСАУНДС""")</f>
        <v>ООО "СТАРСАУНДС"</v>
      </c>
      <c r="K8113" s="24" t="s">
        <v>5783</v>
      </c>
      <c r="L8113" s="28" t="s">
        <v>52</v>
      </c>
      <c r="M8113" s="25">
        <v>450000</v>
      </c>
      <c r="N8113" s="27">
        <v>0.120475334219373</v>
      </c>
    </row>
    <row r="8114" spans="1:14" ht="12.75" hidden="1" outlineLevel="1" x14ac:dyDescent="0.2">
      <c r="A8114" s="23" t="str">
        <f>HYPERLINK("https://www.spark-marketing.ru/Card/Person/129258", "МБУК ""ГОРОДСКОЙ ТЕАТР""")</f>
        <v>МБУК "ГОРОДСКОЙ ТЕАТР"</v>
      </c>
      <c r="B8114" s="24" t="s">
        <v>10331</v>
      </c>
      <c r="C8114" s="25">
        <v>511640</v>
      </c>
      <c r="D8114" s="22" t="s">
        <v>10332</v>
      </c>
      <c r="E8114" s="22" t="s">
        <v>1634</v>
      </c>
      <c r="F8114" s="23" t="str">
        <f>HYPERLINK("https://www.spark-marketing.ru/Card/Lot/70538539", "Услуга по предоставлению светодиодного оборудования, обслуживанию и видео сопровождению мероприятий на светодиодных экранах")</f>
        <v>Услуга по предоставлению светодиодного оборудования, обслуживанию и видео сопровождению мероприятий на светодиодных экранах</v>
      </c>
      <c r="G8114" s="22" t="s">
        <v>132</v>
      </c>
      <c r="H8114" s="22" t="s">
        <v>6733</v>
      </c>
      <c r="I8114" s="26">
        <v>43601.733333333301</v>
      </c>
      <c r="J8114" s="23" t="str">
        <f>HYPERLINK("https://www.spark-marketing.ru/Card/Person/1207971", "Караман Татьяна Ивановна")</f>
        <v>Караман Татьяна Ивановна</v>
      </c>
      <c r="K8114" s="24" t="s">
        <v>10333</v>
      </c>
      <c r="L8114" s="22" t="s">
        <v>10</v>
      </c>
      <c r="M8114" s="25">
        <v>447441.8</v>
      </c>
      <c r="N8114" s="27">
        <v>0.12547533421937299</v>
      </c>
    </row>
    <row r="8115" spans="1:14" x14ac:dyDescent="0.15">
      <c r="A8115" s="23" t="str">
        <f>HYPERLINK("https://www.spark-marketing.ru/Card/Person/4343718", "ФГУП ""НИТИ ИМ. А. П. АЛЕКСАНДРОВА""")</f>
        <v>ФГУП "НИТИ ИМ. А. П. АЛЕКСАНДРОВА"</v>
      </c>
      <c r="B8115" s="24" t="s">
        <v>1917</v>
      </c>
      <c r="C8115" s="25">
        <v>322000</v>
      </c>
      <c r="D8115" s="22" t="s">
        <v>10334</v>
      </c>
      <c r="E8115" s="22" t="s">
        <v>10335</v>
      </c>
      <c r="F8115" s="23" t="str">
        <f>HYPERLINK("https://www.spark-marketing.ru/Card/Lot/70538396", "Оснащение транспортных средств техническими средствами обеспечения транспортной безопасности.")</f>
        <v>Оснащение транспортных средств техническими средствами обеспечения транспортной безопасности.</v>
      </c>
      <c r="G8115" s="22" t="s">
        <v>861</v>
      </c>
      <c r="H8115" s="22" t="s">
        <v>1920</v>
      </c>
      <c r="I8115" s="26">
        <v>43601.711018518501</v>
      </c>
      <c r="J8115" s="28" t="s">
        <v>52</v>
      </c>
      <c r="K8115" s="28" t="s">
        <v>52</v>
      </c>
      <c r="L8115" s="28" t="s">
        <v>52</v>
      </c>
      <c r="M8115" s="28" t="s">
        <v>52</v>
      </c>
      <c r="N8115" s="28" t="s">
        <v>52</v>
      </c>
    </row>
    <row r="8116" spans="1:14" x14ac:dyDescent="0.15">
      <c r="A8116" s="23" t="str">
        <f>HYPERLINK("https://www.spark-marketing.ru/Card/Person/165020", "ООО ""АЭРОЭКСПРЕСС""")</f>
        <v>ООО "АЭРОЭКСПРЕСС"</v>
      </c>
      <c r="B8116" s="24" t="s">
        <v>4417</v>
      </c>
      <c r="C8116" s="25">
        <v>0</v>
      </c>
      <c r="D8116" s="22" t="s">
        <v>10336</v>
      </c>
      <c r="E8116" s="22" t="s">
        <v>208</v>
      </c>
      <c r="F8116" s="23" t="str">
        <f>HYPERLINK("https://www.spark-marketing.ru/Card/Lot/70540127", "Накопитель съемный видеонаблюдения 960GB 94521")</f>
        <v>Накопитель съемный видеонаблюдения 960GB 94521</v>
      </c>
      <c r="G8116" s="22" t="s">
        <v>55</v>
      </c>
      <c r="H8116" s="22" t="s">
        <v>55</v>
      </c>
      <c r="I8116" s="26">
        <v>43601.668749999997</v>
      </c>
      <c r="J8116" s="28" t="s">
        <v>52</v>
      </c>
      <c r="K8116" s="28" t="s">
        <v>52</v>
      </c>
      <c r="L8116" s="28" t="s">
        <v>52</v>
      </c>
      <c r="M8116" s="28" t="s">
        <v>52</v>
      </c>
      <c r="N8116" s="28" t="s">
        <v>52</v>
      </c>
    </row>
    <row r="8117" spans="1:14" x14ac:dyDescent="0.15">
      <c r="A8117" s="23" t="str">
        <f>HYPERLINK("https://www.spark-marketing.ru/Card/Person/76540", "ГОБУ ""МЦПД ""РОВЕСНИК""")</f>
        <v>ГОБУ "МЦПД "РОВЕСНИК"</v>
      </c>
      <c r="B8117" s="24" t="s">
        <v>10337</v>
      </c>
      <c r="C8117" s="25">
        <v>195000</v>
      </c>
      <c r="D8117" s="22" t="s">
        <v>10338</v>
      </c>
      <c r="E8117" s="22" t="s">
        <v>84</v>
      </c>
      <c r="F8117" s="23" t="str">
        <f>HYPERLINK("https://www.spark-marketing.ru/Card/Lot/70533225", "Выполнение работ по установке видеонаблюдения в жилом корпусе по адресу: г. Мурманск, ул. Марата, дом 19")</f>
        <v>Выполнение работ по установке видеонаблюдения в жилом корпусе по адресу: г. Мурманск, ул. Марата, дом 19</v>
      </c>
      <c r="G8117" s="22" t="s">
        <v>190</v>
      </c>
      <c r="H8117" s="22" t="s">
        <v>191</v>
      </c>
      <c r="I8117" s="26">
        <v>43601.627083333296</v>
      </c>
      <c r="J8117" s="28" t="s">
        <v>52</v>
      </c>
      <c r="K8117" s="28" t="s">
        <v>52</v>
      </c>
      <c r="L8117" s="28" t="s">
        <v>52</v>
      </c>
      <c r="M8117" s="28" t="s">
        <v>52</v>
      </c>
      <c r="N8117" s="28" t="s">
        <v>52</v>
      </c>
    </row>
    <row r="8118" spans="1:14" ht="12.75" hidden="1" outlineLevel="1" x14ac:dyDescent="0.2">
      <c r="A8118" s="23" t="str">
        <f>HYPERLINK("https://www.spark-marketing.ru/Card/Person/76540", "ГОБУ ""МЦПД ""РОВЕСНИК""")</f>
        <v>ГОБУ "МЦПД "РОВЕСНИК"</v>
      </c>
      <c r="B8118" s="24" t="s">
        <v>10337</v>
      </c>
      <c r="C8118" s="25">
        <v>195000</v>
      </c>
      <c r="D8118" s="22" t="s">
        <v>10338</v>
      </c>
      <c r="E8118" s="22" t="s">
        <v>84</v>
      </c>
      <c r="F8118" s="23" t="str">
        <f>HYPERLINK("https://www.spark-marketing.ru/Card/Lot/70533225", "Выполнение работ по установке видеонаблюдения в жилом корпусе по адресу: г. Мурманск, ул. Марата, дом 19")</f>
        <v>Выполнение работ по установке видеонаблюдения в жилом корпусе по адресу: г. Мурманск, ул. Марата, дом 19</v>
      </c>
      <c r="G8118" s="22" t="s">
        <v>190</v>
      </c>
      <c r="H8118" s="22" t="s">
        <v>191</v>
      </c>
      <c r="I8118" s="26">
        <v>43601.627083333296</v>
      </c>
      <c r="J8118" s="23" t="str">
        <f>HYPERLINK("https://www.spark-marketing.ru/Card/Person/386697", "ООО ""РУСЬ""")</f>
        <v>ООО "РУСЬ"</v>
      </c>
      <c r="K8118" s="24" t="s">
        <v>10339</v>
      </c>
      <c r="L8118" s="22" t="s">
        <v>10</v>
      </c>
      <c r="M8118" s="25">
        <v>125000</v>
      </c>
      <c r="N8118" s="27">
        <v>0.35897435897435898</v>
      </c>
    </row>
    <row r="8119" spans="1:14" hidden="1" outlineLevel="1" x14ac:dyDescent="0.2">
      <c r="A8119" s="23" t="str">
        <f>HYPERLINK("https://www.spark-marketing.ru/Card/Person/76540", "ГОБУ ""МЦПД ""РОВЕСНИК""")</f>
        <v>ГОБУ "МЦПД "РОВЕСНИК"</v>
      </c>
      <c r="B8119" s="24" t="s">
        <v>10337</v>
      </c>
      <c r="C8119" s="25">
        <v>195000</v>
      </c>
      <c r="D8119" s="22" t="s">
        <v>10338</v>
      </c>
      <c r="E8119" s="22" t="s">
        <v>84</v>
      </c>
      <c r="F8119" s="23" t="str">
        <f>HYPERLINK("https://www.spark-marketing.ru/Card/Lot/70533225", "Выполнение работ по установке видеонаблюдения в жилом корпусе по адресу: г. Мурманск, ул. Марата, дом 19")</f>
        <v>Выполнение работ по установке видеонаблюдения в жилом корпусе по адресу: г. Мурманск, ул. Марата, дом 19</v>
      </c>
      <c r="G8119" s="22" t="s">
        <v>190</v>
      </c>
      <c r="H8119" s="22" t="s">
        <v>191</v>
      </c>
      <c r="I8119" s="26">
        <v>43601.627083333296</v>
      </c>
      <c r="J8119" s="23" t="str">
        <f>HYPERLINK("https://www.spark-marketing.ru/Card/Person/6578169", "Иконников Александр Сергеевич")</f>
        <v>Иконников Александр Сергеевич</v>
      </c>
      <c r="K8119" s="24" t="s">
        <v>10340</v>
      </c>
      <c r="L8119" s="28" t="s">
        <v>52</v>
      </c>
      <c r="M8119" s="25">
        <v>150000</v>
      </c>
      <c r="N8119" s="27">
        <v>0.23076923076923078</v>
      </c>
    </row>
    <row r="8120" spans="1:14" hidden="1" outlineLevel="1" x14ac:dyDescent="0.2">
      <c r="A8120" s="23" t="str">
        <f>HYPERLINK("https://www.spark-marketing.ru/Card/Person/76540", "ГОБУ ""МЦПД ""РОВЕСНИК""")</f>
        <v>ГОБУ "МЦПД "РОВЕСНИК"</v>
      </c>
      <c r="B8120" s="24" t="s">
        <v>10337</v>
      </c>
      <c r="C8120" s="25">
        <v>195000</v>
      </c>
      <c r="D8120" s="22" t="s">
        <v>10338</v>
      </c>
      <c r="E8120" s="22" t="s">
        <v>84</v>
      </c>
      <c r="F8120" s="23" t="str">
        <f>HYPERLINK("https://www.spark-marketing.ru/Card/Lot/70533225", "Выполнение работ по установке видеонаблюдения в жилом корпусе по адресу: г. Мурманск, ул. Марата, дом 19")</f>
        <v>Выполнение работ по установке видеонаблюдения в жилом корпусе по адресу: г. Мурманск, ул. Марата, дом 19</v>
      </c>
      <c r="G8120" s="22" t="s">
        <v>190</v>
      </c>
      <c r="H8120" s="22" t="s">
        <v>191</v>
      </c>
      <c r="I8120" s="26">
        <v>43601.627083333296</v>
      </c>
      <c r="J8120" s="23" t="str">
        <f>HYPERLINK("https://www.spark-marketing.ru/Card/Person/6580469", "Пирогов Евгений Игоревич")</f>
        <v>Пирогов Евгений Игоревич</v>
      </c>
      <c r="K8120" s="24" t="s">
        <v>10341</v>
      </c>
      <c r="L8120" s="28" t="s">
        <v>52</v>
      </c>
      <c r="M8120" s="25">
        <v>141999</v>
      </c>
      <c r="N8120" s="27">
        <v>0.27179999999999999</v>
      </c>
    </row>
    <row r="8121" spans="1:14" x14ac:dyDescent="0.15">
      <c r="A8121" s="23" t="str">
        <f>HYPERLINK("https://www.spark-marketing.ru/Card/Person/4730499", "МАДОУ Д/С №42 ""РУСАЛОЧКА""")</f>
        <v>МАДОУ Д/С №42 "РУСАЛОЧКА"</v>
      </c>
      <c r="B8121" s="24" t="s">
        <v>10342</v>
      </c>
      <c r="C8121" s="25">
        <v>10000</v>
      </c>
      <c r="D8121" s="22" t="s">
        <v>10343</v>
      </c>
      <c r="E8121" s="22" t="s">
        <v>84</v>
      </c>
      <c r="F8121" s="23" t="str">
        <f>HYPERLINK("https://www.spark-marketing.ru/Card/Lot/70528501", "Оказание услуг по установке жёсткого диска для системы видеонаблюдения")</f>
        <v>Оказание услуг по установке жёсткого диска для системы видеонаблюдения</v>
      </c>
      <c r="G8121" s="22" t="s">
        <v>50</v>
      </c>
      <c r="H8121" s="22" t="s">
        <v>4782</v>
      </c>
      <c r="I8121" s="26">
        <v>43601.628344907404</v>
      </c>
      <c r="J8121" s="28" t="s">
        <v>52</v>
      </c>
      <c r="K8121" s="28" t="s">
        <v>52</v>
      </c>
      <c r="L8121" s="28" t="s">
        <v>52</v>
      </c>
      <c r="M8121" s="28" t="s">
        <v>52</v>
      </c>
      <c r="N8121" s="28" t="s">
        <v>52</v>
      </c>
    </row>
    <row r="8122" spans="1:14" x14ac:dyDescent="0.15">
      <c r="A8122" s="23" t="str">
        <f t="shared" ref="A8122:A8132" si="354">HYPERLINK("https://www.spark-marketing.ru/Card/Person/4351189", "МБОУ ООШ № 13 АГО")</f>
        <v>МБОУ ООШ № 13 АГО</v>
      </c>
      <c r="B8122" s="24" t="s">
        <v>10344</v>
      </c>
      <c r="C8122" s="25">
        <v>200000</v>
      </c>
      <c r="D8122" s="22" t="s">
        <v>10345</v>
      </c>
      <c r="E8122" s="22" t="s">
        <v>59</v>
      </c>
      <c r="F8122" s="23" t="str">
        <f t="shared" ref="F8122:F8127" si="355">HYPERLINK("https://www.spark-marketing.ru/Card/Lot/70529054", "услуги по установке комплекса охранной сигнализации в здании по адресу ул. Школьная, 30")</f>
        <v>услуги по установке комплекса охранной сигнализации в здании по адресу ул. Школьная, 30</v>
      </c>
      <c r="G8122" s="22" t="s">
        <v>72</v>
      </c>
      <c r="H8122" s="22" t="s">
        <v>692</v>
      </c>
      <c r="I8122" s="26">
        <v>43601.658333333296</v>
      </c>
      <c r="J8122" s="28" t="s">
        <v>52</v>
      </c>
      <c r="K8122" s="28" t="s">
        <v>52</v>
      </c>
      <c r="L8122" s="28" t="s">
        <v>52</v>
      </c>
      <c r="M8122" s="28" t="s">
        <v>52</v>
      </c>
      <c r="N8122" s="28" t="s">
        <v>52</v>
      </c>
    </row>
    <row r="8123" spans="1:14" hidden="1" outlineLevel="1" x14ac:dyDescent="0.2">
      <c r="A8123" s="23" t="str">
        <f t="shared" si="354"/>
        <v>МБОУ ООШ № 13 АГО</v>
      </c>
      <c r="B8123" s="24" t="s">
        <v>10344</v>
      </c>
      <c r="C8123" s="25">
        <v>200000</v>
      </c>
      <c r="D8123" s="22" t="s">
        <v>10345</v>
      </c>
      <c r="E8123" s="22" t="s">
        <v>59</v>
      </c>
      <c r="F8123" s="23" t="str">
        <f t="shared" si="355"/>
        <v>услуги по установке комплекса охранной сигнализации в здании по адресу ул. Школьная, 30</v>
      </c>
      <c r="G8123" s="22" t="s">
        <v>72</v>
      </c>
      <c r="H8123" s="22" t="s">
        <v>692</v>
      </c>
      <c r="I8123" s="26">
        <v>43601.658333333296</v>
      </c>
      <c r="J8123" s="23" t="str">
        <f>HYPERLINK("https://www.spark-marketing.ru/Card/Person/753747", "ООО ""СКУД""")</f>
        <v>ООО "СКУД"</v>
      </c>
      <c r="K8123" s="24" t="s">
        <v>1612</v>
      </c>
      <c r="L8123" s="28" t="s">
        <v>52</v>
      </c>
      <c r="M8123" s="25">
        <v>106000</v>
      </c>
      <c r="N8123" s="27">
        <v>0.47</v>
      </c>
    </row>
    <row r="8124" spans="1:14" hidden="1" outlineLevel="1" x14ac:dyDescent="0.2">
      <c r="A8124" s="23" t="str">
        <f t="shared" si="354"/>
        <v>МБОУ ООШ № 13 АГО</v>
      </c>
      <c r="B8124" s="24" t="s">
        <v>10344</v>
      </c>
      <c r="C8124" s="25">
        <v>200000</v>
      </c>
      <c r="D8124" s="22" t="s">
        <v>10345</v>
      </c>
      <c r="E8124" s="22" t="s">
        <v>59</v>
      </c>
      <c r="F8124" s="23" t="str">
        <f t="shared" si="355"/>
        <v>услуги по установке комплекса охранной сигнализации в здании по адресу ул. Школьная, 30</v>
      </c>
      <c r="G8124" s="22" t="s">
        <v>72</v>
      </c>
      <c r="H8124" s="22" t="s">
        <v>692</v>
      </c>
      <c r="I8124" s="26">
        <v>43601.658333333296</v>
      </c>
      <c r="J8124" s="23" t="str">
        <f>HYPERLINK("https://www.spark-marketing.ru/Card/Person/4892439", "ООО КОМПАНИЯ ""СФЕРА БЕЗОПАСНОСТИ""")</f>
        <v>ООО КОМПАНИЯ "СФЕРА БЕЗОПАСНОСТИ"</v>
      </c>
      <c r="K8124" s="24" t="s">
        <v>8791</v>
      </c>
      <c r="L8124" s="28" t="s">
        <v>52</v>
      </c>
      <c r="M8124" s="25">
        <v>134000</v>
      </c>
      <c r="N8124" s="27">
        <v>0.33</v>
      </c>
    </row>
    <row r="8125" spans="1:14" ht="12.75" hidden="1" outlineLevel="1" x14ac:dyDescent="0.2">
      <c r="A8125" s="23" t="str">
        <f t="shared" si="354"/>
        <v>МБОУ ООШ № 13 АГО</v>
      </c>
      <c r="B8125" s="24" t="s">
        <v>10344</v>
      </c>
      <c r="C8125" s="25">
        <v>200000</v>
      </c>
      <c r="D8125" s="22" t="s">
        <v>10345</v>
      </c>
      <c r="E8125" s="22" t="s">
        <v>59</v>
      </c>
      <c r="F8125" s="23" t="str">
        <f t="shared" si="355"/>
        <v>услуги по установке комплекса охранной сигнализации в здании по адресу ул. Школьная, 30</v>
      </c>
      <c r="G8125" s="22" t="s">
        <v>72</v>
      </c>
      <c r="H8125" s="22" t="s">
        <v>692</v>
      </c>
      <c r="I8125" s="26">
        <v>43601.658333333296</v>
      </c>
      <c r="J8125" s="23" t="str">
        <f>HYPERLINK("https://www.spark-marketing.ru/Card/Person/4343374", "ООО ""АВАНГАРД""")</f>
        <v>ООО "АВАНГАРД"</v>
      </c>
      <c r="K8125" s="24" t="s">
        <v>10346</v>
      </c>
      <c r="L8125" s="22" t="s">
        <v>10</v>
      </c>
      <c r="M8125" s="25">
        <v>98000</v>
      </c>
      <c r="N8125" s="27">
        <v>0.51</v>
      </c>
    </row>
    <row r="8126" spans="1:14" hidden="1" outlineLevel="1" x14ac:dyDescent="0.2">
      <c r="A8126" s="23" t="str">
        <f t="shared" si="354"/>
        <v>МБОУ ООШ № 13 АГО</v>
      </c>
      <c r="B8126" s="24" t="s">
        <v>10344</v>
      </c>
      <c r="C8126" s="25">
        <v>200000</v>
      </c>
      <c r="D8126" s="22" t="s">
        <v>10345</v>
      </c>
      <c r="E8126" s="22" t="s">
        <v>59</v>
      </c>
      <c r="F8126" s="23" t="str">
        <f t="shared" si="355"/>
        <v>услуги по установке комплекса охранной сигнализации в здании по адресу ул. Школьная, 30</v>
      </c>
      <c r="G8126" s="22" t="s">
        <v>72</v>
      </c>
      <c r="H8126" s="22" t="s">
        <v>692</v>
      </c>
      <c r="I8126" s="26">
        <v>43601.658333333296</v>
      </c>
      <c r="J8126" s="23" t="str">
        <f>HYPERLINK("https://www.spark-marketing.ru/Card/Person/850561", "ООО ""АСКОН""")</f>
        <v>ООО "АСКОН"</v>
      </c>
      <c r="K8126" s="24" t="s">
        <v>1266</v>
      </c>
      <c r="L8126" s="28" t="s">
        <v>52</v>
      </c>
      <c r="M8126" s="25">
        <v>116000</v>
      </c>
      <c r="N8126" s="27">
        <v>0.42</v>
      </c>
    </row>
    <row r="8127" spans="1:14" hidden="1" outlineLevel="1" x14ac:dyDescent="0.2">
      <c r="A8127" s="23" t="str">
        <f t="shared" si="354"/>
        <v>МБОУ ООШ № 13 АГО</v>
      </c>
      <c r="B8127" s="24" t="s">
        <v>10344</v>
      </c>
      <c r="C8127" s="25">
        <v>200000</v>
      </c>
      <c r="D8127" s="22" t="s">
        <v>10345</v>
      </c>
      <c r="E8127" s="22" t="s">
        <v>59</v>
      </c>
      <c r="F8127" s="23" t="str">
        <f t="shared" si="355"/>
        <v>услуги по установке комплекса охранной сигнализации в здании по адресу ул. Школьная, 30</v>
      </c>
      <c r="G8127" s="22" t="s">
        <v>72</v>
      </c>
      <c r="H8127" s="22" t="s">
        <v>692</v>
      </c>
      <c r="I8127" s="26">
        <v>43601.658333333296</v>
      </c>
      <c r="J8127" s="23" t="str">
        <f>HYPERLINK("https://www.spark-marketing.ru/Card/Person/74083", "ООО ""МСК ""ФОТОН""")</f>
        <v>ООО "МСК "ФОТОН"</v>
      </c>
      <c r="K8127" s="24" t="s">
        <v>8792</v>
      </c>
      <c r="L8127" s="28" t="s">
        <v>52</v>
      </c>
      <c r="M8127" s="25">
        <v>99000</v>
      </c>
      <c r="N8127" s="27">
        <v>0.505</v>
      </c>
    </row>
    <row r="8128" spans="1:14" x14ac:dyDescent="0.15">
      <c r="A8128" s="23" t="str">
        <f t="shared" si="354"/>
        <v>МБОУ ООШ № 13 АГО</v>
      </c>
      <c r="B8128" s="24" t="s">
        <v>10344</v>
      </c>
      <c r="C8128" s="25">
        <v>200000</v>
      </c>
      <c r="D8128" s="22" t="s">
        <v>10347</v>
      </c>
      <c r="E8128" s="22" t="s">
        <v>59</v>
      </c>
      <c r="F8128" s="23" t="str">
        <f>HYPERLINK("https://www.spark-marketing.ru/Card/Lot/70529055", "услуги по установке комплекса охранной сигнализации в здании по адресу ул. Долонина,21")</f>
        <v>услуги по установке комплекса охранной сигнализации в здании по адресу ул. Долонина,21</v>
      </c>
      <c r="G8128" s="22" t="s">
        <v>72</v>
      </c>
      <c r="H8128" s="22" t="s">
        <v>692</v>
      </c>
      <c r="I8128" s="26">
        <v>43601.658333333296</v>
      </c>
      <c r="J8128" s="28" t="s">
        <v>52</v>
      </c>
      <c r="K8128" s="28" t="s">
        <v>52</v>
      </c>
      <c r="L8128" s="28" t="s">
        <v>52</v>
      </c>
      <c r="M8128" s="28" t="s">
        <v>52</v>
      </c>
      <c r="N8128" s="28" t="s">
        <v>52</v>
      </c>
    </row>
    <row r="8129" spans="1:14" hidden="1" outlineLevel="1" x14ac:dyDescent="0.2">
      <c r="A8129" s="23" t="str">
        <f t="shared" si="354"/>
        <v>МБОУ ООШ № 13 АГО</v>
      </c>
      <c r="B8129" s="24" t="s">
        <v>10344</v>
      </c>
      <c r="C8129" s="25">
        <v>200000</v>
      </c>
      <c r="D8129" s="22" t="s">
        <v>10347</v>
      </c>
      <c r="E8129" s="22" t="s">
        <v>59</v>
      </c>
      <c r="F8129" s="23" t="str">
        <f>HYPERLINK("https://www.spark-marketing.ru/Card/Lot/70529055", "услуги по установке комплекса охранной сигнализации в здании по адресу ул. Долонина,21")</f>
        <v>услуги по установке комплекса охранной сигнализации в здании по адресу ул. Долонина,21</v>
      </c>
      <c r="G8129" s="22" t="s">
        <v>72</v>
      </c>
      <c r="H8129" s="22" t="s">
        <v>692</v>
      </c>
      <c r="I8129" s="26">
        <v>43601.658333333296</v>
      </c>
      <c r="J8129" s="23" t="str">
        <f>HYPERLINK("https://www.spark-marketing.ru/Card/Person/753747", "ООО ""СКУД""")</f>
        <v>ООО "СКУД"</v>
      </c>
      <c r="K8129" s="24" t="s">
        <v>1612</v>
      </c>
      <c r="L8129" s="28" t="s">
        <v>52</v>
      </c>
      <c r="M8129" s="25">
        <v>101000</v>
      </c>
      <c r="N8129" s="27">
        <v>0.495</v>
      </c>
    </row>
    <row r="8130" spans="1:14" hidden="1" outlineLevel="1" x14ac:dyDescent="0.2">
      <c r="A8130" s="23" t="str">
        <f t="shared" si="354"/>
        <v>МБОУ ООШ № 13 АГО</v>
      </c>
      <c r="B8130" s="24" t="s">
        <v>10344</v>
      </c>
      <c r="C8130" s="25">
        <v>200000</v>
      </c>
      <c r="D8130" s="22" t="s">
        <v>10347</v>
      </c>
      <c r="E8130" s="22" t="s">
        <v>59</v>
      </c>
      <c r="F8130" s="23" t="str">
        <f>HYPERLINK("https://www.spark-marketing.ru/Card/Lot/70529055", "услуги по установке комплекса охранной сигнализации в здании по адресу ул. Долонина,21")</f>
        <v>услуги по установке комплекса охранной сигнализации в здании по адресу ул. Долонина,21</v>
      </c>
      <c r="G8130" s="22" t="s">
        <v>72</v>
      </c>
      <c r="H8130" s="22" t="s">
        <v>692</v>
      </c>
      <c r="I8130" s="26">
        <v>43601.658333333296</v>
      </c>
      <c r="J8130" s="23" t="str">
        <f>HYPERLINK("https://www.spark-marketing.ru/Card/Person/5886089", "ООО СК ""СТРОЙЦЕНТР""")</f>
        <v>ООО СК "СТРОЙЦЕНТР"</v>
      </c>
      <c r="K8130" s="24" t="s">
        <v>10348</v>
      </c>
      <c r="L8130" s="28" t="s">
        <v>52</v>
      </c>
      <c r="M8130" s="25">
        <v>170000</v>
      </c>
      <c r="N8130" s="27">
        <v>0.15</v>
      </c>
    </row>
    <row r="8131" spans="1:14" hidden="1" outlineLevel="1" x14ac:dyDescent="0.2">
      <c r="A8131" s="23" t="str">
        <f t="shared" si="354"/>
        <v>МБОУ ООШ № 13 АГО</v>
      </c>
      <c r="B8131" s="24" t="s">
        <v>10344</v>
      </c>
      <c r="C8131" s="25">
        <v>200000</v>
      </c>
      <c r="D8131" s="22" t="s">
        <v>10347</v>
      </c>
      <c r="E8131" s="22" t="s">
        <v>59</v>
      </c>
      <c r="F8131" s="23" t="str">
        <f>HYPERLINK("https://www.spark-marketing.ru/Card/Lot/70529055", "услуги по установке комплекса охранной сигнализации в здании по адресу ул. Долонина,21")</f>
        <v>услуги по установке комплекса охранной сигнализации в здании по адресу ул. Долонина,21</v>
      </c>
      <c r="G8131" s="22" t="s">
        <v>72</v>
      </c>
      <c r="H8131" s="22" t="s">
        <v>692</v>
      </c>
      <c r="I8131" s="26">
        <v>43601.658333333296</v>
      </c>
      <c r="J8131" s="23" t="str">
        <f>HYPERLINK("https://www.spark-marketing.ru/Card/Person/850561", "ООО ""АСКОН""")</f>
        <v>ООО "АСКОН"</v>
      </c>
      <c r="K8131" s="24" t="s">
        <v>1266</v>
      </c>
      <c r="L8131" s="28" t="s">
        <v>52</v>
      </c>
      <c r="M8131" s="25">
        <v>116000</v>
      </c>
      <c r="N8131" s="27">
        <v>0.42</v>
      </c>
    </row>
    <row r="8132" spans="1:14" ht="12.75" hidden="1" outlineLevel="1" x14ac:dyDescent="0.2">
      <c r="A8132" s="23" t="str">
        <f t="shared" si="354"/>
        <v>МБОУ ООШ № 13 АГО</v>
      </c>
      <c r="B8132" s="24" t="s">
        <v>10344</v>
      </c>
      <c r="C8132" s="25">
        <v>200000</v>
      </c>
      <c r="D8132" s="22" t="s">
        <v>10347</v>
      </c>
      <c r="E8132" s="22" t="s">
        <v>59</v>
      </c>
      <c r="F8132" s="23" t="str">
        <f>HYPERLINK("https://www.spark-marketing.ru/Card/Lot/70529055", "услуги по установке комплекса охранной сигнализации в здании по адресу ул. Долонина,21")</f>
        <v>услуги по установке комплекса охранной сигнализации в здании по адресу ул. Долонина,21</v>
      </c>
      <c r="G8132" s="22" t="s">
        <v>72</v>
      </c>
      <c r="H8132" s="22" t="s">
        <v>692</v>
      </c>
      <c r="I8132" s="26">
        <v>43601.658333333296</v>
      </c>
      <c r="J8132" s="23" t="str">
        <f>HYPERLINK("https://www.spark-marketing.ru/Card/Person/74083", "ООО ""МСК ""ФОТОН""")</f>
        <v>ООО "МСК "ФОТОН"</v>
      </c>
      <c r="K8132" s="24" t="s">
        <v>8792</v>
      </c>
      <c r="L8132" s="22" t="s">
        <v>10</v>
      </c>
      <c r="M8132" s="25">
        <v>100000</v>
      </c>
      <c r="N8132" s="27">
        <v>0.5</v>
      </c>
    </row>
    <row r="8133" spans="1:14" x14ac:dyDescent="0.15">
      <c r="A8133" s="23" t="str">
        <f>HYPERLINK("https://www.spark-marketing.ru/Card/Person/84708", "ИФНС РОССИИ ПО КАНАВИНСКОМУ РАЙОНУ Г.Н.НОВГОРОДА")</f>
        <v>ИФНС РОССИИ ПО КАНАВИНСКОМУ РАЙОНУ Г.Н.НОВГОРОДА</v>
      </c>
      <c r="B8133" s="24" t="s">
        <v>10349</v>
      </c>
      <c r="C8133" s="25">
        <v>71136</v>
      </c>
      <c r="D8133" s="22" t="s">
        <v>10350</v>
      </c>
      <c r="E8133" s="22" t="s">
        <v>53</v>
      </c>
      <c r="F8133" s="23" t="str">
        <f>HYPERLINK("https://www.spark-marketing.ru/Card/Lot/70755481", "Оказание охранных услуг")</f>
        <v>Оказание охранных услуг</v>
      </c>
      <c r="G8133" s="22" t="s">
        <v>64</v>
      </c>
      <c r="H8133" s="22" t="s">
        <v>65</v>
      </c>
      <c r="I8133" s="26">
        <v>43601.607280092598</v>
      </c>
      <c r="J8133" s="28" t="s">
        <v>52</v>
      </c>
      <c r="K8133" s="28" t="s">
        <v>52</v>
      </c>
      <c r="L8133" s="28" t="s">
        <v>52</v>
      </c>
      <c r="M8133" s="28" t="s">
        <v>52</v>
      </c>
      <c r="N8133" s="28" t="s">
        <v>52</v>
      </c>
    </row>
    <row r="8134" spans="1:14" x14ac:dyDescent="0.15">
      <c r="A8134" s="23" t="str">
        <f>HYPERLINK("https://www.spark-marketing.ru/Card/Person/1683079", "ООО ""ЧОП ""КЕННАРД""")</f>
        <v>ООО "ЧОП "КЕННАРД"</v>
      </c>
      <c r="B8134" s="24" t="s">
        <v>1949</v>
      </c>
      <c r="C8134" s="25">
        <v>604576.27</v>
      </c>
      <c r="D8134" s="22" t="s">
        <v>10351</v>
      </c>
      <c r="E8134" s="22" t="s">
        <v>53</v>
      </c>
      <c r="F8134" s="23" t="str">
        <f>HYPERLINK("https://www.spark-marketing.ru/Card/Lot/70543538", "Автомобиль Chevrolet Niva 1.7 МТ 4WD Бензиновый 80л.с. Комплектация L (без кондиционера), Цвет - кварц. Дополнительное оборудование с установкой: Сигнализация с автозапуском, Комплект зимней резины с дисками, Комплект ковров салон+багажник, Пакет ауд...")</f>
        <v>Автомобиль Chevrolet Niva 1.7 МТ 4WD Бензиновый 80л.с. Комплектация L (без кондиционера), Цвет - кварц. Дополнительное оборудование с установкой: Сигнализация с автозапуском, Комплект зимней резины с дисками, Комплект ковров салон+багажник, Пакет ауд...</v>
      </c>
      <c r="G8134" s="22" t="s">
        <v>204</v>
      </c>
      <c r="H8134" s="22" t="s">
        <v>303</v>
      </c>
      <c r="I8134" s="26">
        <v>43601.600219907399</v>
      </c>
      <c r="J8134" s="28" t="s">
        <v>52</v>
      </c>
      <c r="K8134" s="28" t="s">
        <v>52</v>
      </c>
      <c r="L8134" s="28" t="s">
        <v>52</v>
      </c>
      <c r="M8134" s="28" t="s">
        <v>52</v>
      </c>
      <c r="N8134" s="28" t="s">
        <v>52</v>
      </c>
    </row>
    <row r="8135" spans="1:14" x14ac:dyDescent="0.15">
      <c r="A8135" s="23" t="str">
        <f>HYPERLINK("https://www.spark-marketing.ru/Card/Person/1906270", "ООО ""СК 10ГПЗ""")</f>
        <v>ООО "СК 10ГПЗ"</v>
      </c>
      <c r="B8135" s="24" t="s">
        <v>10352</v>
      </c>
      <c r="C8135" s="28" t="s">
        <v>52</v>
      </c>
      <c r="D8135" s="22" t="s">
        <v>10353</v>
      </c>
      <c r="E8135" s="22" t="s">
        <v>53</v>
      </c>
      <c r="F8135" s="23" t="str">
        <f>HYPERLINK("https://www.spark-marketing.ru/Card/Lot/71003032", "Выполнение инженерно-геодезических работ по сопровождению строительства объекта по адресу: г. Ростов-на-Дону, ул. 8 Марта, 7.")</f>
        <v>Выполнение инженерно-геодезических работ по сопровождению строительства объекта по адресу: г. Ростов-на-Дону, ул. 8 Марта, 7.</v>
      </c>
      <c r="G8135" s="22" t="s">
        <v>402</v>
      </c>
      <c r="H8135" s="22" t="s">
        <v>402</v>
      </c>
      <c r="I8135" s="26">
        <v>43601.585416666698</v>
      </c>
      <c r="J8135" s="28" t="s">
        <v>52</v>
      </c>
      <c r="K8135" s="28" t="s">
        <v>52</v>
      </c>
      <c r="L8135" s="28" t="s">
        <v>52</v>
      </c>
      <c r="M8135" s="28" t="s">
        <v>52</v>
      </c>
      <c r="N8135" s="28" t="s">
        <v>52</v>
      </c>
    </row>
    <row r="8136" spans="1:14" x14ac:dyDescent="0.15">
      <c r="A8136" s="23" t="str">
        <f>HYPERLINK("https://www.spark-marketing.ru/Card/Person/289542", "ФГКУ ""УВО ВНГ РОССИИ ПО КЕМЕРОВСКОЙ ОБЛАСТИ""")</f>
        <v>ФГКУ "УВО ВНГ РОССИИ ПО КЕМЕРОВСКОЙ ОБЛАСТИ"</v>
      </c>
      <c r="B8136" s="24" t="s">
        <v>1760</v>
      </c>
      <c r="C8136" s="25">
        <v>864287.49</v>
      </c>
      <c r="D8136" s="22" t="s">
        <v>10354</v>
      </c>
      <c r="E8136" s="22" t="s">
        <v>591</v>
      </c>
      <c r="F8136" s="23" t="str">
        <f>HYPERLINK("https://www.spark-marketing.ru/Card/Lot/70518225", "Оказание услуг по размешению оборудования систем передачи извещений в целях организации охраны объектов и мест проживания и хранения имущества граждан")</f>
        <v>Оказание услуг по размешению оборудования систем передачи извещений в целях организации охраны объектов и мест проживания и хранения имущества граждан</v>
      </c>
      <c r="G8136" s="22" t="s">
        <v>367</v>
      </c>
      <c r="H8136" s="22" t="s">
        <v>367</v>
      </c>
      <c r="I8136" s="26">
        <v>43601.597916666702</v>
      </c>
      <c r="J8136" s="23" t="str">
        <f>HYPERLINK("https://www.spark-marketing.ru/Card/Person/10991", "ПАО ""РОСТЕЛЕКОМ""")</f>
        <v>ПАО "РОСТЕЛЕКОМ"</v>
      </c>
      <c r="K8136" s="24" t="s">
        <v>607</v>
      </c>
      <c r="L8136" s="22" t="s">
        <v>10</v>
      </c>
      <c r="M8136" s="28" t="s">
        <v>52</v>
      </c>
      <c r="N8136" s="28" t="s">
        <v>52</v>
      </c>
    </row>
    <row r="8137" spans="1:14" x14ac:dyDescent="0.2">
      <c r="A8137" s="23" t="str">
        <f>HYPERLINK("https://www.spark-marketing.ru/Card/Person/16328", "УПРАВЛЕНИЕ ПО ОБЕСПЕЧЕНИЮ ДЕЯТЕЛЬНОСТИ МИРОВЫХ СУДЕЙ МОСКОВСКОЙ ОБЛАСТИ")</f>
        <v>УПРАВЛЕНИЕ ПО ОБЕСПЕЧЕНИЮ ДЕЯТЕЛЬНОСТИ МИРОВЫХ СУДЕЙ МОСКОВСКОЙ ОБЛАСТИ</v>
      </c>
      <c r="B8137" s="24" t="s">
        <v>10355</v>
      </c>
      <c r="C8137" s="25">
        <v>23808952.32</v>
      </c>
      <c r="D8137" s="22" t="s">
        <v>10356</v>
      </c>
      <c r="E8137" s="22" t="s">
        <v>68</v>
      </c>
      <c r="F8137" s="23" t="str">
        <f>HYPERLINK("https://www.spark-marketing.ru/Card/Lot/70532476", "Оказание услуг по охране объектов и имущества Управления по обеспечению деятельности мировых судей Московской области")</f>
        <v>Оказание услуг по охране объектов и имущества Управления по обеспечению деятельности мировых судей Московской области</v>
      </c>
      <c r="G8137" s="22" t="s">
        <v>50</v>
      </c>
      <c r="H8137" s="22" t="s">
        <v>10357</v>
      </c>
      <c r="I8137" s="26">
        <v>43601.614583333299</v>
      </c>
      <c r="J8137" s="23" t="str">
        <f>HYPERLINK("https://www.spark-marketing.ru/Card/Person/4368305", "ФГКУ ""УВО ВНГ РОССИИ ПО МОСКОВСКОЙ ОБЛАСТИ""")</f>
        <v>ФГКУ "УВО ВНГ РОССИИ ПО МОСКОВСКОЙ ОБЛАСТИ"</v>
      </c>
      <c r="K8137" s="24" t="s">
        <v>9566</v>
      </c>
      <c r="L8137" s="28" t="s">
        <v>52</v>
      </c>
      <c r="M8137" s="25">
        <v>23808952.32</v>
      </c>
      <c r="N8137" s="27">
        <v>0</v>
      </c>
    </row>
    <row r="8138" spans="1:14" x14ac:dyDescent="0.15">
      <c r="A8138" s="23" t="str">
        <f>HYPERLINK("https://www.spark-marketing.ru/Card/Person/160646", "ОТДЕЛ ГФС РОССИИ В Г. ЙОШКАР-ОЛЕ")</f>
        <v>ОТДЕЛ ГФС РОССИИ В Г. ЙОШКАР-ОЛЕ</v>
      </c>
      <c r="B8138" s="24" t="s">
        <v>10253</v>
      </c>
      <c r="C8138" s="25">
        <v>7189</v>
      </c>
      <c r="D8138" s="22" t="s">
        <v>10358</v>
      </c>
      <c r="E8138" s="22" t="s">
        <v>84</v>
      </c>
      <c r="F8138" s="23" t="str">
        <f>HYPERLINK("https://www.spark-marketing.ru/Card/Lot/70526519", "Монтаж, установка, сборка систем охранного видеонаблюдения, 1 шт")</f>
        <v>Монтаж, установка, сборка систем охранного видеонаблюдения, 1 шт</v>
      </c>
      <c r="G8138" s="22" t="s">
        <v>2514</v>
      </c>
      <c r="H8138" s="22" t="s">
        <v>4189</v>
      </c>
      <c r="I8138" s="26">
        <v>43601.579525462999</v>
      </c>
      <c r="J8138" s="28" t="s">
        <v>52</v>
      </c>
      <c r="K8138" s="28" t="s">
        <v>52</v>
      </c>
      <c r="L8138" s="28" t="s">
        <v>52</v>
      </c>
      <c r="M8138" s="28" t="s">
        <v>52</v>
      </c>
      <c r="N8138" s="28" t="s">
        <v>52</v>
      </c>
    </row>
    <row r="8139" spans="1:14" x14ac:dyDescent="0.15">
      <c r="A8139" s="23" t="str">
        <f>HYPERLINK("https://www.spark-marketing.ru/Card/Person/1079669", "МБОУ ""ХАТУНСКАЯ СОШ""")</f>
        <v>МБОУ "ХАТУНСКАЯ СОШ"</v>
      </c>
      <c r="B8139" s="24" t="s">
        <v>3011</v>
      </c>
      <c r="C8139" s="25">
        <v>65376</v>
      </c>
      <c r="D8139" s="22" t="s">
        <v>10359</v>
      </c>
      <c r="E8139" s="22" t="s">
        <v>107</v>
      </c>
      <c r="F8139" s="23" t="str">
        <f>HYPERLINK("https://www.spark-marketing.ru/Card/Lot/70527373", "Услуги по техническому обслуживанию (содержанию) систем охранной (противовзломной) сигнализации")</f>
        <v>Услуги по техническому обслуживанию (содержанию) систем охранной (противовзломной) сигнализации</v>
      </c>
      <c r="G8139" s="22" t="s">
        <v>50</v>
      </c>
      <c r="H8139" s="22" t="s">
        <v>5791</v>
      </c>
      <c r="I8139" s="26">
        <v>43601.575891203698</v>
      </c>
      <c r="J8139" s="28" t="s">
        <v>52</v>
      </c>
      <c r="K8139" s="28" t="s">
        <v>52</v>
      </c>
      <c r="L8139" s="28" t="s">
        <v>52</v>
      </c>
      <c r="M8139" s="28" t="s">
        <v>52</v>
      </c>
      <c r="N8139" s="28" t="s">
        <v>52</v>
      </c>
    </row>
    <row r="8140" spans="1:14" x14ac:dyDescent="0.15">
      <c r="A8140" s="23" t="str">
        <f>HYPERLINK("https://www.spark-marketing.ru/Card/Person/1779975", "МАДОУ Д/С №50 ""УМКА""")</f>
        <v>МАДОУ Д/С №50 "УМКА"</v>
      </c>
      <c r="B8140" s="24" t="s">
        <v>10360</v>
      </c>
      <c r="C8140" s="25">
        <v>63000</v>
      </c>
      <c r="D8140" s="22" t="s">
        <v>10361</v>
      </c>
      <c r="E8140" s="22" t="s">
        <v>107</v>
      </c>
      <c r="F8140" s="23" t="str">
        <f>HYPERLINK("https://www.spark-marketing.ru/Card/Lot/70522587", "Оказание услуг по техническому обслуживанию системы доступа (домофон) и системы видеонаблюдения")</f>
        <v>Оказание услуг по техническому обслуживанию системы доступа (домофон) и системы видеонаблюдения</v>
      </c>
      <c r="G8140" s="22" t="s">
        <v>50</v>
      </c>
      <c r="H8140" s="22" t="s">
        <v>4782</v>
      </c>
      <c r="I8140" s="26">
        <v>43601.513124999998</v>
      </c>
      <c r="J8140" s="28" t="s">
        <v>52</v>
      </c>
      <c r="K8140" s="28" t="s">
        <v>52</v>
      </c>
      <c r="L8140" s="28" t="s">
        <v>52</v>
      </c>
      <c r="M8140" s="28" t="s">
        <v>52</v>
      </c>
      <c r="N8140" s="28" t="s">
        <v>52</v>
      </c>
    </row>
    <row r="8141" spans="1:14" ht="12.75" x14ac:dyDescent="0.2">
      <c r="A8141" s="23" t="str">
        <f>HYPERLINK("https://www.spark-marketing.ru/Card/Person/5704", "ФГУ ""КВ""")</f>
        <v>ФГУ "КВ"</v>
      </c>
      <c r="B8141" s="24" t="s">
        <v>650</v>
      </c>
      <c r="C8141" s="25">
        <v>325886.40000000002</v>
      </c>
      <c r="D8141" s="22" t="s">
        <v>10362</v>
      </c>
      <c r="E8141" s="22" t="s">
        <v>68</v>
      </c>
      <c r="F8141" s="23" t="str">
        <f>HYPERLINK("https://www.spark-marketing.ru/Card/Lot/70529773", "Оказание охранных услуг в зданиях, помещениях, их частях или комбинациях, оборудованных действующим комплексом технических средств охраны (тревожной сигнализации).")</f>
        <v>Оказание охранных услуг в зданиях, помещениях, их частях или комбинациях, оборудованных действующим комплексом технических средств охраны (тревожной сигнализации).</v>
      </c>
      <c r="G8141" s="22" t="s">
        <v>132</v>
      </c>
      <c r="H8141" s="22" t="s">
        <v>652</v>
      </c>
      <c r="I8141" s="26">
        <v>43601.534722222197</v>
      </c>
      <c r="J8141" s="23" t="str">
        <f>HYPERLINK("https://www.spark-marketing.ru/Card/Person/10487", "ФГУП ""ОХРАНА"" РОСГВАРДИИ")</f>
        <v>ФГУП "ОХРАНА" РОСГВАРДИИ</v>
      </c>
      <c r="K8141" s="24" t="s">
        <v>779</v>
      </c>
      <c r="L8141" s="22" t="s">
        <v>10</v>
      </c>
      <c r="M8141" s="25">
        <v>210240</v>
      </c>
      <c r="N8141" s="27">
        <v>0.35486721753347178</v>
      </c>
    </row>
    <row r="8142" spans="1:14" x14ac:dyDescent="0.15">
      <c r="A8142" s="23" t="str">
        <f>HYPERLINK("https://www.spark-marketing.ru/Card/Person/4766422", "УПРАВЛЕНИЕ ЮСТИЦИИ АЛТАЙСКОГО КРАЯ")</f>
        <v>УПРАВЛЕНИЕ ЮСТИЦИИ АЛТАЙСКОГО КРАЯ</v>
      </c>
      <c r="B8142" s="24" t="s">
        <v>10363</v>
      </c>
      <c r="C8142" s="25">
        <v>28000</v>
      </c>
      <c r="D8142" s="22" t="s">
        <v>10364</v>
      </c>
      <c r="E8142" s="22" t="s">
        <v>208</v>
      </c>
      <c r="F8142" s="23" t="str">
        <f>HYPERLINK("https://www.spark-marketing.ru/Card/Lot/70521824", "Товары, работы или услуги на сумму, не превышающую 100 тыс. рублей (в случае заключения заказчиком контракта в соответствии с пунктом 4 части 1 статьи 93 Федерального закона)")</f>
        <v>Товары, работы или услуги на сумму, не превышающую 100 тыс. рублей (в случае заключения заказчиком контракта в соответствии с пунктом 4 части 1 статьи 93 Федерального закона)</v>
      </c>
      <c r="G8142" s="22" t="s">
        <v>428</v>
      </c>
      <c r="H8142" s="22" t="s">
        <v>429</v>
      </c>
      <c r="I8142" s="26">
        <v>43601.504166666702</v>
      </c>
      <c r="J8142" s="28" t="s">
        <v>52</v>
      </c>
      <c r="K8142" s="28" t="s">
        <v>52</v>
      </c>
      <c r="L8142" s="28" t="s">
        <v>52</v>
      </c>
      <c r="M8142" s="28" t="s">
        <v>52</v>
      </c>
      <c r="N8142" s="28" t="s">
        <v>52</v>
      </c>
    </row>
    <row r="8143" spans="1:14" x14ac:dyDescent="0.15">
      <c r="A8143" s="23" t="str">
        <f>HYPERLINK("https://www.spark-marketing.ru/Card/Person/4750310", "МБУ ""ЦИКД И СД""")</f>
        <v>МБУ "ЦИКД И СД"</v>
      </c>
      <c r="B8143" s="24" t="s">
        <v>10365</v>
      </c>
      <c r="C8143" s="25">
        <v>5000</v>
      </c>
      <c r="D8143" s="22" t="s">
        <v>10366</v>
      </c>
      <c r="E8143" s="22" t="s">
        <v>107</v>
      </c>
      <c r="F8143" s="23" t="str">
        <f>HYPERLINK("https://www.spark-marketing.ru/Card/Lot/70520416", "Техническое обслуживание тревожной кнопки")</f>
        <v>Техническое обслуживание тревожной кнопки</v>
      </c>
      <c r="G8143" s="22" t="s">
        <v>50</v>
      </c>
      <c r="H8143" s="22" t="s">
        <v>265</v>
      </c>
      <c r="I8143" s="26">
        <v>43601.493101851898</v>
      </c>
      <c r="J8143" s="28" t="s">
        <v>52</v>
      </c>
      <c r="K8143" s="28" t="s">
        <v>52</v>
      </c>
      <c r="L8143" s="28" t="s">
        <v>52</v>
      </c>
      <c r="M8143" s="28" t="s">
        <v>52</v>
      </c>
      <c r="N8143" s="28" t="s">
        <v>52</v>
      </c>
    </row>
    <row r="8144" spans="1:14" x14ac:dyDescent="0.2">
      <c r="A8144" s="23" t="str">
        <f>HYPERLINK("https://www.spark-marketing.ru/Card/Person/33555", "ГБУ ""ЖИЛИЩНИК РАЙОНА ТВЕРСКОЙ""")</f>
        <v>ГБУ "ЖИЛИЩНИК РАЙОНА ТВЕРСКОЙ"</v>
      </c>
      <c r="B8144" s="24" t="s">
        <v>10367</v>
      </c>
      <c r="C8144" s="25">
        <v>299477.01</v>
      </c>
      <c r="D8144" s="22" t="s">
        <v>10368</v>
      </c>
      <c r="E8144" s="22" t="s">
        <v>175</v>
      </c>
      <c r="F8144" s="23" t="str">
        <f>HYPERLINK("https://www.spark-marketing.ru/Card/Lot/70518542", "Обслуживание системы видеонаблюдения, контроля и управления доступом на объектах Учреждения, расположенных по адресам: ул. Складочная, вл.5А, подмостовое пространство под Садовой-Самотечной ул. (на 7 мес)")</f>
        <v>Обслуживание системы видеонаблюдения, контроля и управления доступом на объектах Учреждения, расположенных по адресам: ул. Складочная, вл.5А, подмостовое пространство под Садовой-Самотечной ул. (на 7 мес)</v>
      </c>
      <c r="G8144" s="22" t="s">
        <v>55</v>
      </c>
      <c r="H8144" s="22" t="s">
        <v>55</v>
      </c>
      <c r="I8144" s="26">
        <v>43601.441898148201</v>
      </c>
      <c r="J8144" s="28" t="s">
        <v>52</v>
      </c>
      <c r="K8144" s="28" t="s">
        <v>52</v>
      </c>
      <c r="L8144" s="28" t="s">
        <v>52</v>
      </c>
      <c r="M8144" s="25">
        <v>299477.01</v>
      </c>
      <c r="N8144" s="27">
        <v>0</v>
      </c>
    </row>
    <row r="8145" spans="1:14" x14ac:dyDescent="0.15">
      <c r="A8145" s="23" t="str">
        <f>HYPERLINK("https://www.spark-marketing.ru/Card/Person/812467", "ИЖЕВСКИЙ ЛО МВД РОССИИ НА ТРАНСПОРТЕ")</f>
        <v>ИЖЕВСКИЙ ЛО МВД РОССИИ НА ТРАНСПОРТЕ</v>
      </c>
      <c r="B8145" s="24" t="s">
        <v>4517</v>
      </c>
      <c r="C8145" s="25">
        <v>7200</v>
      </c>
      <c r="D8145" s="22" t="s">
        <v>10369</v>
      </c>
      <c r="E8145" s="22" t="s">
        <v>103</v>
      </c>
      <c r="F8145" s="23" t="str">
        <f>HYPERLINK("https://www.spark-marketing.ru/Card/Lot/70756395", "Техническое обслуживание сигнализации, 8 усл. ед")</f>
        <v>Техническое обслуживание сигнализации, 8 усл. ед</v>
      </c>
      <c r="G8145" s="22" t="s">
        <v>96</v>
      </c>
      <c r="H8145" s="22" t="s">
        <v>1342</v>
      </c>
      <c r="I8145" s="26">
        <v>43601.424004629604</v>
      </c>
      <c r="J8145" s="28" t="s">
        <v>52</v>
      </c>
      <c r="K8145" s="28" t="s">
        <v>52</v>
      </c>
      <c r="L8145" s="28" t="s">
        <v>52</v>
      </c>
      <c r="M8145" s="28" t="s">
        <v>52</v>
      </c>
      <c r="N8145" s="28" t="s">
        <v>52</v>
      </c>
    </row>
    <row r="8146" spans="1:14" x14ac:dyDescent="0.15">
      <c r="A8146" s="23" t="str">
        <f>HYPERLINK("https://www.spark-marketing.ru/Card/Person/139584", "ГОБПОУ ""ЕКЭП И ОТ""")</f>
        <v>ГОБПОУ "ЕКЭП И ОТ"</v>
      </c>
      <c r="B8146" s="24" t="s">
        <v>10370</v>
      </c>
      <c r="C8146" s="25">
        <v>2252160</v>
      </c>
      <c r="D8146" s="22" t="s">
        <v>10371</v>
      </c>
      <c r="E8146" s="22" t="s">
        <v>52</v>
      </c>
      <c r="F8146" s="23" t="str">
        <f>HYPERLINK("https://www.spark-marketing.ru/Card/Lot/70518547", "Услуги охраны")</f>
        <v>Услуги охраны</v>
      </c>
      <c r="G8146" s="22" t="s">
        <v>629</v>
      </c>
      <c r="H8146" s="22" t="s">
        <v>9737</v>
      </c>
      <c r="I8146" s="26">
        <v>43601.432638888902</v>
      </c>
      <c r="J8146" s="28" t="s">
        <v>52</v>
      </c>
      <c r="K8146" s="28" t="s">
        <v>52</v>
      </c>
      <c r="L8146" s="28" t="s">
        <v>52</v>
      </c>
      <c r="M8146" s="28" t="s">
        <v>52</v>
      </c>
      <c r="N8146" s="28" t="s">
        <v>52</v>
      </c>
    </row>
    <row r="8147" spans="1:14" ht="12.75" hidden="1" outlineLevel="1" x14ac:dyDescent="0.2">
      <c r="A8147" s="23" t="str">
        <f>HYPERLINK("https://www.spark-marketing.ru/Card/Person/139584", "ГОБПОУ ""ЕКЭП И ОТ""")</f>
        <v>ГОБПОУ "ЕКЭП И ОТ"</v>
      </c>
      <c r="B8147" s="24" t="s">
        <v>10370</v>
      </c>
      <c r="C8147" s="25">
        <v>2252160</v>
      </c>
      <c r="D8147" s="22" t="s">
        <v>10371</v>
      </c>
      <c r="E8147" s="22" t="s">
        <v>52</v>
      </c>
      <c r="F8147" s="23" t="str">
        <f>HYPERLINK("https://www.spark-marketing.ru/Card/Lot/70518547", "Услуги охраны")</f>
        <v>Услуги охраны</v>
      </c>
      <c r="G8147" s="22" t="s">
        <v>629</v>
      </c>
      <c r="H8147" s="22" t="s">
        <v>9737</v>
      </c>
      <c r="I8147" s="26">
        <v>43601.432638888902</v>
      </c>
      <c r="J8147" s="23" t="str">
        <f>HYPERLINK("https://www.spark-marketing.ru/Card/Person/705190", "ООО ""ЧОП ""ГРАД""")</f>
        <v>ООО "ЧОП "ГРАД"</v>
      </c>
      <c r="K8147" s="24" t="s">
        <v>9738</v>
      </c>
      <c r="L8147" s="22" t="s">
        <v>10</v>
      </c>
      <c r="M8147" s="25">
        <v>1174249.7</v>
      </c>
      <c r="N8147" s="27">
        <v>0.47861177713839159</v>
      </c>
    </row>
    <row r="8148" spans="1:14" hidden="1" outlineLevel="1" x14ac:dyDescent="0.2">
      <c r="A8148" s="23" t="str">
        <f>HYPERLINK("https://www.spark-marketing.ru/Card/Person/139584", "ГОБПОУ ""ЕКЭП И ОТ""")</f>
        <v>ГОБПОУ "ЕКЭП И ОТ"</v>
      </c>
      <c r="B8148" s="24" t="s">
        <v>10370</v>
      </c>
      <c r="C8148" s="25">
        <v>2252160</v>
      </c>
      <c r="D8148" s="22" t="s">
        <v>10371</v>
      </c>
      <c r="E8148" s="22" t="s">
        <v>52</v>
      </c>
      <c r="F8148" s="23" t="str">
        <f>HYPERLINK("https://www.spark-marketing.ru/Card/Lot/70518547", "Услуги охраны")</f>
        <v>Услуги охраны</v>
      </c>
      <c r="G8148" s="22" t="s">
        <v>629</v>
      </c>
      <c r="H8148" s="22" t="s">
        <v>9737</v>
      </c>
      <c r="I8148" s="26">
        <v>43601.432638888902</v>
      </c>
      <c r="J8148" s="23" t="str">
        <f>HYPERLINK("https://www.spark-marketing.ru/Card/Person/2585920", "ООО ""ЧОО ""РУБЕЖ-СТ""")</f>
        <v>ООО "ЧОО "РУБЕЖ-СТ"</v>
      </c>
      <c r="K8148" s="24" t="s">
        <v>10372</v>
      </c>
      <c r="L8148" s="28" t="s">
        <v>52</v>
      </c>
      <c r="M8148" s="25">
        <v>1850000</v>
      </c>
      <c r="N8148" s="27">
        <v>0.17856635407786303</v>
      </c>
    </row>
    <row r="8149" spans="1:14" hidden="1" outlineLevel="1" x14ac:dyDescent="0.2">
      <c r="A8149" s="23" t="str">
        <f>HYPERLINK("https://www.spark-marketing.ru/Card/Person/139584", "ГОБПОУ ""ЕКЭП И ОТ""")</f>
        <v>ГОБПОУ "ЕКЭП И ОТ"</v>
      </c>
      <c r="B8149" s="24" t="s">
        <v>10370</v>
      </c>
      <c r="C8149" s="25">
        <v>2252160</v>
      </c>
      <c r="D8149" s="22" t="s">
        <v>10371</v>
      </c>
      <c r="E8149" s="22" t="s">
        <v>52</v>
      </c>
      <c r="F8149" s="23" t="str">
        <f>HYPERLINK("https://www.spark-marketing.ru/Card/Lot/70518547", "Услуги охраны")</f>
        <v>Услуги охраны</v>
      </c>
      <c r="G8149" s="22" t="s">
        <v>629</v>
      </c>
      <c r="H8149" s="22" t="s">
        <v>9737</v>
      </c>
      <c r="I8149" s="26">
        <v>43601.432638888902</v>
      </c>
      <c r="J8149" s="23" t="str">
        <f>HYPERLINK("https://www.spark-marketing.ru/Card/Person/86283", "ООО ""ЧОП ""САРМАТ""")</f>
        <v>ООО "ЧОП "САРМАТ"</v>
      </c>
      <c r="K8149" s="24" t="s">
        <v>10373</v>
      </c>
      <c r="L8149" s="28" t="s">
        <v>52</v>
      </c>
      <c r="M8149" s="25">
        <v>1185510.5</v>
      </c>
      <c r="N8149" s="27">
        <v>0.47361177713839159</v>
      </c>
    </row>
    <row r="8150" spans="1:14" hidden="1" outlineLevel="1" x14ac:dyDescent="0.2">
      <c r="A8150" s="23" t="str">
        <f>HYPERLINK("https://www.spark-marketing.ru/Card/Person/139584", "ГОБПОУ ""ЕКЭП И ОТ""")</f>
        <v>ГОБПОУ "ЕКЭП И ОТ"</v>
      </c>
      <c r="B8150" s="24" t="s">
        <v>10370</v>
      </c>
      <c r="C8150" s="25">
        <v>2252160</v>
      </c>
      <c r="D8150" s="22" t="s">
        <v>10371</v>
      </c>
      <c r="E8150" s="22" t="s">
        <v>52</v>
      </c>
      <c r="F8150" s="23" t="str">
        <f>HYPERLINK("https://www.spark-marketing.ru/Card/Lot/70518547", "Услуги охраны")</f>
        <v>Услуги охраны</v>
      </c>
      <c r="G8150" s="22" t="s">
        <v>629</v>
      </c>
      <c r="H8150" s="22" t="s">
        <v>9737</v>
      </c>
      <c r="I8150" s="26">
        <v>43601.432638888902</v>
      </c>
      <c r="J8150" s="23" t="str">
        <f>HYPERLINK("https://www.spark-marketing.ru/Card/Person/2263338", "ООО ЧОП ""СТРАЖ-02""")</f>
        <v>ООО ЧОП "СТРАЖ-02"</v>
      </c>
      <c r="K8150" s="24" t="s">
        <v>9739</v>
      </c>
      <c r="L8150" s="28" t="s">
        <v>52</v>
      </c>
      <c r="M8150" s="25">
        <v>1242000</v>
      </c>
      <c r="N8150" s="27">
        <v>0.4485294117647059</v>
      </c>
    </row>
    <row r="8151" spans="1:14" x14ac:dyDescent="0.15">
      <c r="A8151" s="23" t="str">
        <f>HYPERLINK("https://www.spark-marketing.ru/Card/Person/1767579", "МАДОУ Д/С №35 ""ДЕЛЬФИН""")</f>
        <v>МАДОУ Д/С №35 "ДЕЛЬФИН"</v>
      </c>
      <c r="B8151" s="24" t="s">
        <v>8572</v>
      </c>
      <c r="C8151" s="25">
        <v>57500</v>
      </c>
      <c r="D8151" s="22" t="s">
        <v>10374</v>
      </c>
      <c r="E8151" s="22" t="s">
        <v>103</v>
      </c>
      <c r="F8151" s="23" t="str">
        <f>HYPERLINK("https://www.spark-marketing.ru/Card/Lot/70516788", "Оказание услуг по техническому обслуживанию систем видеонаблюдения и домофона")</f>
        <v>Оказание услуг по техническому обслуживанию систем видеонаблюдения и домофона</v>
      </c>
      <c r="G8151" s="22" t="s">
        <v>50</v>
      </c>
      <c r="H8151" s="22" t="s">
        <v>4782</v>
      </c>
      <c r="I8151" s="26">
        <v>43601.431099537003</v>
      </c>
      <c r="J8151" s="28" t="s">
        <v>52</v>
      </c>
      <c r="K8151" s="28" t="s">
        <v>52</v>
      </c>
      <c r="L8151" s="28" t="s">
        <v>52</v>
      </c>
      <c r="M8151" s="28" t="s">
        <v>52</v>
      </c>
      <c r="N8151" s="28" t="s">
        <v>52</v>
      </c>
    </row>
    <row r="8152" spans="1:14" x14ac:dyDescent="0.15">
      <c r="A8152" s="23" t="str">
        <f>HYPERLINK("https://www.spark-marketing.ru/Card/Person/1068365", "МКОУ ""КЛЮЧИКОВСКАЯ СОШ""")</f>
        <v>МКОУ "КЛЮЧИКОВСКАЯ СОШ"</v>
      </c>
      <c r="B8152" s="24" t="s">
        <v>10375</v>
      </c>
      <c r="C8152" s="25">
        <v>12500</v>
      </c>
      <c r="D8152" s="22" t="s">
        <v>10376</v>
      </c>
      <c r="E8152" s="22" t="s">
        <v>59</v>
      </c>
      <c r="F8152" s="23" t="str">
        <f>HYPERLINK("https://www.spark-marketing.ru/Card/Lot/70513756", "эл.магазин монтаж тревожной кнопки")</f>
        <v>эл.магазин монтаж тревожной кнопки</v>
      </c>
      <c r="G8152" s="22" t="s">
        <v>209</v>
      </c>
      <c r="H8152" s="22" t="s">
        <v>5208</v>
      </c>
      <c r="I8152" s="26">
        <v>43601.375694444403</v>
      </c>
      <c r="J8152" s="28" t="s">
        <v>52</v>
      </c>
      <c r="K8152" s="28" t="s">
        <v>52</v>
      </c>
      <c r="L8152" s="28" t="s">
        <v>52</v>
      </c>
      <c r="M8152" s="28" t="s">
        <v>52</v>
      </c>
      <c r="N8152" s="28" t="s">
        <v>52</v>
      </c>
    </row>
    <row r="8153" spans="1:14" x14ac:dyDescent="0.15">
      <c r="A8153" s="23" t="str">
        <f>HYPERLINK("https://www.spark-marketing.ru/Card/Person/10991", "ПАО ""РОСТЕЛЕКОМ""")</f>
        <v>ПАО "РОСТЕЛЕКОМ"</v>
      </c>
      <c r="B8153" s="24" t="s">
        <v>607</v>
      </c>
      <c r="C8153" s="25">
        <v>2700000</v>
      </c>
      <c r="D8153" s="22" t="s">
        <v>10377</v>
      </c>
      <c r="E8153" s="22" t="s">
        <v>2149</v>
      </c>
      <c r="F8153" s="23" t="str">
        <f>HYPERLINK("https://www.spark-marketing.ru/Card/Lot/70515178", "Оказание услуг по централизованной охране объектов на территории Орловской области.")</f>
        <v>Оказание услуг по централизованной охране объектов на территории Орловской области.</v>
      </c>
      <c r="G8153" s="22" t="s">
        <v>89</v>
      </c>
      <c r="H8153" s="22" t="s">
        <v>89</v>
      </c>
      <c r="I8153" s="26">
        <v>43601.412638888898</v>
      </c>
      <c r="J8153" s="23" t="str">
        <f>HYPERLINK("https://www.spark-marketing.ru/Card/Person/-1", "неизвестно")</f>
        <v>неизвестно</v>
      </c>
      <c r="K8153" s="28" t="s">
        <v>52</v>
      </c>
      <c r="L8153" s="28" t="s">
        <v>52</v>
      </c>
      <c r="M8153" s="28" t="s">
        <v>52</v>
      </c>
      <c r="N8153" s="28" t="s">
        <v>52</v>
      </c>
    </row>
    <row r="8154" spans="1:14" hidden="1" outlineLevel="1" x14ac:dyDescent="0.2">
      <c r="A8154" s="23" t="str">
        <f>HYPERLINK("https://www.spark-marketing.ru/Card/Person/10991", "ПАО ""РОСТЕЛЕКОМ""")</f>
        <v>ПАО "РОСТЕЛЕКОМ"</v>
      </c>
      <c r="B8154" s="24" t="s">
        <v>607</v>
      </c>
      <c r="C8154" s="28" t="s">
        <v>52</v>
      </c>
      <c r="D8154" s="22" t="s">
        <v>10377</v>
      </c>
      <c r="E8154" s="22" t="s">
        <v>2149</v>
      </c>
      <c r="F8154" s="23" t="str">
        <f>HYPERLINK("https://www.spark-marketing.ru/Card/Lot/70515178", "Оказание услуг по централизованной охране объектов на территории Орловской области.")</f>
        <v>Оказание услуг по централизованной охране объектов на территории Орловской области.</v>
      </c>
      <c r="G8154" s="22" t="s">
        <v>89</v>
      </c>
      <c r="H8154" s="22" t="s">
        <v>89</v>
      </c>
      <c r="I8154" s="26">
        <v>43601.412638888898</v>
      </c>
      <c r="J8154" s="23" t="str">
        <f>HYPERLINK("https://www.spark-marketing.ru/Card/Person/-1", "неизвестно")</f>
        <v>неизвестно</v>
      </c>
      <c r="K8154" s="28" t="s">
        <v>52</v>
      </c>
      <c r="L8154" s="22" t="s">
        <v>10</v>
      </c>
      <c r="M8154" s="25">
        <v>2686500</v>
      </c>
      <c r="N8154" s="27">
        <v>5.0000000000000001E-3</v>
      </c>
    </row>
    <row r="8155" spans="1:14" x14ac:dyDescent="0.2">
      <c r="A8155" s="23" t="str">
        <f>HYPERLINK("https://www.spark-marketing.ru/Card/Person/10991", "ПАО ""РОСТЕЛЕКОМ""")</f>
        <v>ПАО "РОСТЕЛЕКОМ"</v>
      </c>
      <c r="B8155" s="24" t="s">
        <v>607</v>
      </c>
      <c r="C8155" s="25">
        <v>6300000</v>
      </c>
      <c r="D8155" s="22" t="s">
        <v>10377</v>
      </c>
      <c r="E8155" s="22" t="s">
        <v>2149</v>
      </c>
      <c r="F8155" s="23" t="str">
        <f>HYPERLINK("https://www.spark-marketing.ru/Card/Lot/70515177", "Оказание услуг по централизованной охране объектов на территории г. Орла.")</f>
        <v>Оказание услуг по централизованной охране объектов на территории г. Орла.</v>
      </c>
      <c r="G8155" s="22" t="s">
        <v>89</v>
      </c>
      <c r="H8155" s="22" t="s">
        <v>89</v>
      </c>
      <c r="I8155" s="26">
        <v>43601.412638888898</v>
      </c>
      <c r="J8155" s="28" t="s">
        <v>52</v>
      </c>
      <c r="K8155" s="28" t="s">
        <v>52</v>
      </c>
      <c r="L8155" s="22" t="s">
        <v>10</v>
      </c>
      <c r="M8155" s="25">
        <v>6300000</v>
      </c>
      <c r="N8155" s="27">
        <v>0</v>
      </c>
    </row>
    <row r="8156" spans="1:14" x14ac:dyDescent="0.15">
      <c r="A8156" s="23" t="str">
        <f>HYPERLINK("https://www.spark-marketing.ru/Card/Person/2592942", "ООО ЧОП ""РН-ОХРАНА-НИЖНЕВАРТОВСК""")</f>
        <v>ООО ЧОП "РН-ОХРАНА-НИЖНЕВАРТОВСК"</v>
      </c>
      <c r="B8156" s="24" t="s">
        <v>8815</v>
      </c>
      <c r="C8156" s="28" t="s">
        <v>52</v>
      </c>
      <c r="D8156" s="22" t="s">
        <v>10378</v>
      </c>
      <c r="E8156" s="22" t="s">
        <v>53</v>
      </c>
      <c r="F8156" s="23" t="str">
        <f>HYPERLINK("https://www.spark-marketing.ru/Card/Lot/70481985", "Номер закупки 18. Поставка тревожных кнопок и ЗИП")</f>
        <v>Номер закупки 18. Поставка тревожных кнопок и ЗИП</v>
      </c>
      <c r="G8156" s="22" t="s">
        <v>119</v>
      </c>
      <c r="H8156" s="22" t="s">
        <v>952</v>
      </c>
      <c r="I8156" s="26">
        <v>43600.309027777803</v>
      </c>
      <c r="J8156" s="28" t="s">
        <v>52</v>
      </c>
      <c r="K8156" s="28" t="s">
        <v>52</v>
      </c>
      <c r="L8156" s="28" t="s">
        <v>52</v>
      </c>
      <c r="M8156" s="28" t="s">
        <v>52</v>
      </c>
      <c r="N8156" s="28" t="s">
        <v>52</v>
      </c>
    </row>
    <row r="8157" spans="1:14" x14ac:dyDescent="0.15">
      <c r="A8157" s="23" t="str">
        <f>HYPERLINK("https://www.spark-marketing.ru/Card/Person/1777754", "МАДОУ Д/С №28 ""СОЛНЫШКО""")</f>
        <v>МАДОУ Д/С №28 "СОЛНЫШКО"</v>
      </c>
      <c r="B8157" s="24" t="s">
        <v>10379</v>
      </c>
      <c r="C8157" s="25">
        <v>20000</v>
      </c>
      <c r="D8157" s="22" t="s">
        <v>10380</v>
      </c>
      <c r="E8157" s="22" t="s">
        <v>107</v>
      </c>
      <c r="F8157" s="23" t="str">
        <f>HYPERLINK("https://www.spark-marketing.ru/Card/Lot/70513083", "Оказание услуг по техническому обслуживанию системы доступа (домофонов) и системы видеонаблюдения")</f>
        <v>Оказание услуг по техническому обслуживанию системы доступа (домофонов) и системы видеонаблюдения</v>
      </c>
      <c r="G8157" s="22" t="s">
        <v>50</v>
      </c>
      <c r="H8157" s="22" t="s">
        <v>4782</v>
      </c>
      <c r="I8157" s="26">
        <v>43601.367604166699</v>
      </c>
      <c r="J8157" s="28" t="s">
        <v>52</v>
      </c>
      <c r="K8157" s="28" t="s">
        <v>52</v>
      </c>
      <c r="L8157" s="28" t="s">
        <v>52</v>
      </c>
      <c r="M8157" s="28" t="s">
        <v>52</v>
      </c>
      <c r="N8157" s="28" t="s">
        <v>52</v>
      </c>
    </row>
    <row r="8158" spans="1:14" x14ac:dyDescent="0.15">
      <c r="A8158" s="23" t="str">
        <f>HYPERLINK("https://www.spark-marketing.ru/Card/Person/1071015", "МКДОУ ""ШИПУНОВСКИЙ ДЕТСКИЙ САД""")</f>
        <v>МКДОУ "ШИПУНОВСКИЙ ДЕТСКИЙ САД"</v>
      </c>
      <c r="B8158" s="24" t="s">
        <v>10381</v>
      </c>
      <c r="C8158" s="25">
        <v>12500</v>
      </c>
      <c r="D8158" s="22" t="s">
        <v>10382</v>
      </c>
      <c r="E8158" s="22" t="s">
        <v>59</v>
      </c>
      <c r="F8158" s="23" t="str">
        <f>HYPERLINK("https://www.spark-marketing.ru/Card/Lot/70508737", "эл.магазин монтаж кнопки тревожной сигнализации")</f>
        <v>эл.магазин монтаж кнопки тревожной сигнализации</v>
      </c>
      <c r="G8158" s="22" t="s">
        <v>209</v>
      </c>
      <c r="H8158" s="22" t="s">
        <v>5208</v>
      </c>
      <c r="I8158" s="26">
        <v>43601.1875</v>
      </c>
      <c r="J8158" s="28" t="s">
        <v>52</v>
      </c>
      <c r="K8158" s="28" t="s">
        <v>52</v>
      </c>
      <c r="L8158" s="28" t="s">
        <v>52</v>
      </c>
      <c r="M8158" s="28" t="s">
        <v>52</v>
      </c>
      <c r="N8158" s="28" t="s">
        <v>52</v>
      </c>
    </row>
    <row r="8159" spans="1:14" x14ac:dyDescent="0.15">
      <c r="A8159" s="23" t="str">
        <f>HYPERLINK("https://www.spark-marketing.ru/Card/Person/6450322", "ЗАКАЗЧИК РП БЕЛАРУСЬ")</f>
        <v>ЗАКАЗЧИК РП БЕЛАРУСЬ</v>
      </c>
      <c r="B8159" s="28" t="s">
        <v>52</v>
      </c>
      <c r="C8159" s="25">
        <v>402711.4</v>
      </c>
      <c r="D8159" s="22" t="s">
        <v>10383</v>
      </c>
      <c r="E8159" s="22" t="s">
        <v>53</v>
      </c>
      <c r="F8159" s="23" t="str">
        <f>HYPERLINK("https://www.spark-marketing.ru/Card/Lot/70528712", "Выполнение ремонтных работ на объекте: «Монтаж и установка системы видеонаблюдения в учреждениях культуры»")</f>
        <v>Выполнение ремонтных работ на объекте: «Монтаж и установка системы видеонаблюдения в учреждениях культуры»</v>
      </c>
      <c r="G8159" s="22" t="s">
        <v>52</v>
      </c>
      <c r="H8159" s="22" t="s">
        <v>52</v>
      </c>
      <c r="I8159" s="26">
        <v>43601</v>
      </c>
      <c r="J8159" s="28" t="s">
        <v>52</v>
      </c>
      <c r="K8159" s="28" t="s">
        <v>52</v>
      </c>
      <c r="L8159" s="28" t="s">
        <v>52</v>
      </c>
      <c r="M8159" s="28" t="s">
        <v>52</v>
      </c>
      <c r="N8159" s="28" t="s">
        <v>52</v>
      </c>
    </row>
    <row r="8160" spans="1:14" x14ac:dyDescent="0.2">
      <c r="A8160" s="23" t="str">
        <f>HYPERLINK("https://www.spark-marketing.ru/Card/Person/4386454", "АО ""МКЖД""")</f>
        <v>АО "МКЖД"</v>
      </c>
      <c r="B8160" s="24" t="s">
        <v>619</v>
      </c>
      <c r="C8160" s="25">
        <v>40340159.359999999</v>
      </c>
      <c r="D8160" s="22" t="s">
        <v>10384</v>
      </c>
      <c r="E8160" s="22" t="s">
        <v>621</v>
      </c>
      <c r="F8160" s="23" t="str">
        <f>HYPERLINK("https://www.spark-marketing.ru/Card/Lot/70552619", "Выполнение работ в рамках реализации мероприятий по улучшению обслуживания пассажиров на объектах технологических частей ТПУ на Московском центральном кольце в части транспортной безопасности и мероприятий по улучшению обслуживания для маломобильных ...")</f>
        <v>Выполнение работ в рамках реализации мероприятий по улучшению обслуживания пассажиров на объектах технологических частей ТПУ на Московском центральном кольце в части транспортной безопасности и мероприятий по улучшению обслуживания для маломобильных ...</v>
      </c>
      <c r="G8160" s="22" t="s">
        <v>55</v>
      </c>
      <c r="H8160" s="22" t="s">
        <v>55</v>
      </c>
      <c r="I8160" s="26">
        <v>43602.431851851798</v>
      </c>
      <c r="J8160" s="28" t="s">
        <v>52</v>
      </c>
      <c r="K8160" s="28" t="s">
        <v>52</v>
      </c>
      <c r="L8160" s="22" t="s">
        <v>10</v>
      </c>
      <c r="M8160" s="25">
        <v>39936757.759999998</v>
      </c>
      <c r="N8160" s="27">
        <v>1.0000000158650836E-2</v>
      </c>
    </row>
    <row r="8161" spans="1:14" x14ac:dyDescent="0.15">
      <c r="A8161" s="23" t="str">
        <f>HYPERLINK("https://www.spark-marketing.ru/Card/Person/1045535", "МБУК ТУГОЛЕССКИЙ ДК")</f>
        <v>МБУК ТУГОЛЕССКИЙ ДК</v>
      </c>
      <c r="B8161" s="24" t="s">
        <v>10385</v>
      </c>
      <c r="C8161" s="25">
        <v>24228.82</v>
      </c>
      <c r="D8161" s="22" t="s">
        <v>10386</v>
      </c>
      <c r="E8161" s="22" t="s">
        <v>59</v>
      </c>
      <c r="F8161" s="23" t="str">
        <f>HYPERLINK("https://www.spark-marketing.ru/Card/Lot/70506356", "Оказание услуги на монтажные работы по установке системы тревожной сигнализации")</f>
        <v>Оказание услуги на монтажные работы по установке системы тревожной сигнализации</v>
      </c>
      <c r="G8161" s="22" t="s">
        <v>50</v>
      </c>
      <c r="H8161" s="22" t="s">
        <v>756</v>
      </c>
      <c r="I8161" s="26">
        <v>43600.7944444444</v>
      </c>
      <c r="J8161" s="28" t="s">
        <v>52</v>
      </c>
      <c r="K8161" s="28" t="s">
        <v>52</v>
      </c>
      <c r="L8161" s="28" t="s">
        <v>52</v>
      </c>
      <c r="M8161" s="28" t="s">
        <v>52</v>
      </c>
      <c r="N8161" s="28" t="s">
        <v>52</v>
      </c>
    </row>
    <row r="8162" spans="1:14" x14ac:dyDescent="0.15">
      <c r="A8162" s="23" t="str">
        <f>HYPERLINK("https://www.spark-marketing.ru/Card/Person/1069618", "МКДОУ ""БОЛТОВСКИЙ ДЕТСКИЙ САД""")</f>
        <v>МКДОУ "БОЛТОВСКИЙ ДЕТСКИЙ САД"</v>
      </c>
      <c r="B8162" s="24" t="s">
        <v>10387</v>
      </c>
      <c r="C8162" s="25">
        <v>12500</v>
      </c>
      <c r="D8162" s="22" t="s">
        <v>10388</v>
      </c>
      <c r="E8162" s="22" t="s">
        <v>59</v>
      </c>
      <c r="F8162" s="23" t="str">
        <f>HYPERLINK("https://www.spark-marketing.ru/Card/Lot/70504680", "Оказание услуг по монтажу кнопки тревожной сигнализации")</f>
        <v>Оказание услуг по монтажу кнопки тревожной сигнализации</v>
      </c>
      <c r="G8162" s="22" t="s">
        <v>209</v>
      </c>
      <c r="H8162" s="22" t="s">
        <v>5208</v>
      </c>
      <c r="I8162" s="26">
        <v>43600.765277777798</v>
      </c>
      <c r="J8162" s="28" t="s">
        <v>52</v>
      </c>
      <c r="K8162" s="28" t="s">
        <v>52</v>
      </c>
      <c r="L8162" s="28" t="s">
        <v>52</v>
      </c>
      <c r="M8162" s="28" t="s">
        <v>52</v>
      </c>
      <c r="N8162" s="28" t="s">
        <v>52</v>
      </c>
    </row>
    <row r="8163" spans="1:14" x14ac:dyDescent="0.15">
      <c r="A8163" s="23" t="str">
        <f>HYPERLINK("https://www.spark-marketing.ru/Card/Person/1075284", "МКОУ ""БОЛТОВСКАЯ СОШ""")</f>
        <v>МКОУ "БОЛТОВСКАЯ СОШ"</v>
      </c>
      <c r="B8163" s="24" t="s">
        <v>10389</v>
      </c>
      <c r="C8163" s="25">
        <v>12500</v>
      </c>
      <c r="D8163" s="22" t="s">
        <v>10390</v>
      </c>
      <c r="E8163" s="22" t="s">
        <v>59</v>
      </c>
      <c r="F8163" s="23" t="str">
        <f>HYPERLINK("https://www.spark-marketing.ru/Card/Lot/70504685", "Оказание услуг по монтажу кнопки тревожной сигнализации")</f>
        <v>Оказание услуг по монтажу кнопки тревожной сигнализации</v>
      </c>
      <c r="G8163" s="22" t="s">
        <v>209</v>
      </c>
      <c r="H8163" s="22" t="s">
        <v>5208</v>
      </c>
      <c r="I8163" s="26">
        <v>43600.774305555598</v>
      </c>
      <c r="J8163" s="28" t="s">
        <v>52</v>
      </c>
      <c r="K8163" s="28" t="s">
        <v>52</v>
      </c>
      <c r="L8163" s="28" t="s">
        <v>52</v>
      </c>
      <c r="M8163" s="28" t="s">
        <v>52</v>
      </c>
      <c r="N8163" s="28" t="s">
        <v>52</v>
      </c>
    </row>
    <row r="8164" spans="1:14" x14ac:dyDescent="0.15">
      <c r="A8164" s="23" t="str">
        <f>HYPERLINK("https://www.spark-marketing.ru/Card/Person/4345935", "ДЕПАРТАМЕНТ СМОЛЕНСКОЙ ОБЛАСТИ ПО ЗДРАВООХРАНЕНИЮ")</f>
        <v>ДЕПАРТАМЕНТ СМОЛЕНСКОЙ ОБЛАСТИ ПО ЗДРАВООХРАНЕНИЮ</v>
      </c>
      <c r="B8164" s="24" t="s">
        <v>1449</v>
      </c>
      <c r="C8164" s="25">
        <v>764187.96</v>
      </c>
      <c r="D8164" s="22" t="s">
        <v>10391</v>
      </c>
      <c r="E8164" s="22" t="s">
        <v>53</v>
      </c>
      <c r="F8164" s="23" t="str">
        <f>HYPERLINK("https://www.spark-marketing.ru/Card/Lot/70503944", "№2038 - аэф/т Поставка лекарственных препаратов (Икатибант)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отпускае...")</f>
        <v>№2038 - аэф/т Поставка лекарственных препаратов (Икатибант)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отпускае...</v>
      </c>
      <c r="G8164" s="22" t="s">
        <v>956</v>
      </c>
      <c r="H8164" s="22" t="s">
        <v>1451</v>
      </c>
      <c r="I8164" s="26">
        <v>43600.737500000003</v>
      </c>
      <c r="J8164" s="28" t="s">
        <v>52</v>
      </c>
      <c r="K8164" s="28" t="s">
        <v>52</v>
      </c>
      <c r="L8164" s="28" t="s">
        <v>52</v>
      </c>
      <c r="M8164" s="28" t="s">
        <v>52</v>
      </c>
      <c r="N8164" s="28" t="s">
        <v>52</v>
      </c>
    </row>
    <row r="8165" spans="1:14" x14ac:dyDescent="0.15">
      <c r="A8165" s="23" t="str">
        <f>HYPERLINK("https://www.spark-marketing.ru/Card/Person/25838", "ФКУ ""ЦХИСО МВД ПО РЕСПУБЛИКЕ КАЛМЫКИЯ""")</f>
        <v>ФКУ "ЦХИСО МВД ПО РЕСПУБЛИКЕ КАЛМЫКИЯ"</v>
      </c>
      <c r="B8165" s="24" t="s">
        <v>10392</v>
      </c>
      <c r="C8165" s="25">
        <v>17000</v>
      </c>
      <c r="D8165" s="22" t="s">
        <v>10393</v>
      </c>
      <c r="E8165" s="22" t="s">
        <v>53</v>
      </c>
      <c r="F8165" s="23" t="str">
        <f>HYPERLINK("https://www.spark-marketing.ru/Card/Lot/70756406", "выполнение работ по монтажу (пуско-наладку) автоматической установки охранной сигнализации в МО МВД России ""Лаганский""")</f>
        <v>выполнение работ по монтажу (пуско-наладку) автоматической установки охранной сигнализации в МО МВД России "Лаганский"</v>
      </c>
      <c r="G8165" s="22" t="s">
        <v>1325</v>
      </c>
      <c r="H8165" s="22" t="s">
        <v>1325</v>
      </c>
      <c r="I8165" s="26">
        <v>43600.720752314803</v>
      </c>
      <c r="J8165" s="28" t="s">
        <v>52</v>
      </c>
      <c r="K8165" s="28" t="s">
        <v>52</v>
      </c>
      <c r="L8165" s="28" t="s">
        <v>52</v>
      </c>
      <c r="M8165" s="28" t="s">
        <v>52</v>
      </c>
      <c r="N8165" s="28" t="s">
        <v>52</v>
      </c>
    </row>
    <row r="8166" spans="1:14" x14ac:dyDescent="0.15">
      <c r="A8166" s="23" t="str">
        <f>HYPERLINK("https://www.spark-marketing.ru/Card/Person/1070812", "МКОУ ""МАЛЫШЕВСКАЯ СОШ""")</f>
        <v>МКОУ "МАЛЫШЕВСКАЯ СОШ"</v>
      </c>
      <c r="B8166" s="24" t="s">
        <v>10394</v>
      </c>
      <c r="C8166" s="25">
        <v>12500</v>
      </c>
      <c r="D8166" s="22" t="s">
        <v>10395</v>
      </c>
      <c r="E8166" s="22" t="s">
        <v>59</v>
      </c>
      <c r="F8166" s="23" t="str">
        <f>HYPERLINK("https://www.spark-marketing.ru/Card/Lot/70503660", "Оказание услуг по монтажу кнопки тревожной сигнализации")</f>
        <v>Оказание услуг по монтажу кнопки тревожной сигнализации</v>
      </c>
      <c r="G8166" s="22" t="s">
        <v>209</v>
      </c>
      <c r="H8166" s="22" t="s">
        <v>5208</v>
      </c>
      <c r="I8166" s="26">
        <v>43600.747222222199</v>
      </c>
      <c r="J8166" s="28" t="s">
        <v>52</v>
      </c>
      <c r="K8166" s="28" t="s">
        <v>52</v>
      </c>
      <c r="L8166" s="28" t="s">
        <v>52</v>
      </c>
      <c r="M8166" s="28" t="s">
        <v>52</v>
      </c>
      <c r="N8166" s="28" t="s">
        <v>52</v>
      </c>
    </row>
    <row r="8167" spans="1:14" x14ac:dyDescent="0.15">
      <c r="A8167" s="23" t="str">
        <f>HYPERLINK("https://www.spark-marketing.ru/Card/Person/1025225", "ГКОУ СО ""КРАСНОУРАЛЬСКАЯ ШКОЛА""")</f>
        <v>ГКОУ СО "КРАСНОУРАЛЬСКАЯ ШКОЛА"</v>
      </c>
      <c r="B8167" s="24" t="s">
        <v>10396</v>
      </c>
      <c r="C8167" s="25">
        <v>97048.1</v>
      </c>
      <c r="D8167" s="22" t="s">
        <v>10397</v>
      </c>
      <c r="E8167" s="22" t="s">
        <v>59</v>
      </c>
      <c r="F8167" s="23" t="str">
        <f>HYPERLINK("https://www.spark-marketing.ru/Card/Lot/70496851", "установка системы видеонаблюдения")</f>
        <v>установка системы видеонаблюдения</v>
      </c>
      <c r="G8167" s="22" t="s">
        <v>72</v>
      </c>
      <c r="H8167" s="22" t="s">
        <v>3825</v>
      </c>
      <c r="I8167" s="26">
        <v>43600.7006944444</v>
      </c>
      <c r="J8167" s="23" t="str">
        <f>HYPERLINK("https://www.spark-marketing.ru/Card/Person/6491681", "ООО ""ТЕРРИТОРИЯ""")</f>
        <v>ООО "ТЕРРИТОРИЯ"</v>
      </c>
      <c r="K8167" s="24" t="s">
        <v>10398</v>
      </c>
      <c r="L8167" s="28" t="s">
        <v>52</v>
      </c>
      <c r="M8167" s="28" t="s">
        <v>52</v>
      </c>
      <c r="N8167" s="28" t="s">
        <v>52</v>
      </c>
    </row>
    <row r="8168" spans="1:14" ht="12.75" hidden="1" outlineLevel="1" x14ac:dyDescent="0.2">
      <c r="A8168" s="23" t="str">
        <f>HYPERLINK("https://www.spark-marketing.ru/Card/Person/1025225", "ГКОУ СО ""КРАСНОУРАЛЬСКАЯ ШКОЛА""")</f>
        <v>ГКОУ СО "КРАСНОУРАЛЬСКАЯ ШКОЛА"</v>
      </c>
      <c r="B8168" s="24" t="s">
        <v>10396</v>
      </c>
      <c r="C8168" s="25">
        <v>97048.1</v>
      </c>
      <c r="D8168" s="22" t="s">
        <v>10397</v>
      </c>
      <c r="E8168" s="22" t="s">
        <v>59</v>
      </c>
      <c r="F8168" s="23" t="str">
        <f>HYPERLINK("https://www.spark-marketing.ru/Card/Lot/70496851", "установка системы видеонаблюдения")</f>
        <v>установка системы видеонаблюдения</v>
      </c>
      <c r="G8168" s="22" t="s">
        <v>72</v>
      </c>
      <c r="H8168" s="22" t="s">
        <v>3825</v>
      </c>
      <c r="I8168" s="26">
        <v>43600.7006944444</v>
      </c>
      <c r="J8168" s="23" t="str">
        <f>HYPERLINK("https://www.spark-marketing.ru/Card/Person/6491681", "ООО ""ТЕРРИТОРИЯ""")</f>
        <v>ООО "ТЕРРИТОРИЯ"</v>
      </c>
      <c r="K8168" s="24" t="s">
        <v>10398</v>
      </c>
      <c r="L8168" s="22" t="s">
        <v>10</v>
      </c>
      <c r="M8168" s="25">
        <v>96562.86</v>
      </c>
      <c r="N8168" s="27">
        <v>4.9999948479156212E-3</v>
      </c>
    </row>
    <row r="8169" spans="1:14" x14ac:dyDescent="0.15">
      <c r="A8169" s="23" t="str">
        <f>HYPERLINK("https://www.spark-marketing.ru/Card/Person/821053", "филиал ФГБУ ""Россельхозцентр"" по РМ")</f>
        <v>филиал ФГБУ "Россельхозцентр" по РМ</v>
      </c>
      <c r="B8169" s="24" t="s">
        <v>5071</v>
      </c>
      <c r="C8169" s="25">
        <v>96902.2</v>
      </c>
      <c r="D8169" s="22" t="s">
        <v>10399</v>
      </c>
      <c r="E8169" s="22" t="s">
        <v>84</v>
      </c>
      <c r="F8169" s="23" t="str">
        <f>HYPERLINK("https://www.spark-marketing.ru/Card/Lot/70500957", "Оказание услуг по установки системы видеонаблюдения")</f>
        <v>Оказание услуг по установки системы видеонаблюдения</v>
      </c>
      <c r="G8169" s="22" t="s">
        <v>331</v>
      </c>
      <c r="H8169" s="22" t="s">
        <v>332</v>
      </c>
      <c r="I8169" s="26">
        <v>43600.673611111102</v>
      </c>
      <c r="J8169" s="28" t="s">
        <v>52</v>
      </c>
      <c r="K8169" s="28" t="s">
        <v>52</v>
      </c>
      <c r="L8169" s="28" t="s">
        <v>52</v>
      </c>
      <c r="M8169" s="28" t="s">
        <v>52</v>
      </c>
      <c r="N8169" s="28" t="s">
        <v>52</v>
      </c>
    </row>
    <row r="8170" spans="1:14" ht="12.75" hidden="1" outlineLevel="1" x14ac:dyDescent="0.2">
      <c r="A8170" s="23" t="str">
        <f>HYPERLINK("https://www.spark-marketing.ru/Card/Person/821053", "филиал ФГБУ ""Россельхозцентр"" по РМ")</f>
        <v>филиал ФГБУ "Россельхозцентр" по РМ</v>
      </c>
      <c r="B8170" s="24" t="s">
        <v>5071</v>
      </c>
      <c r="C8170" s="25">
        <v>96902.2</v>
      </c>
      <c r="D8170" s="22" t="s">
        <v>10399</v>
      </c>
      <c r="E8170" s="22" t="s">
        <v>84</v>
      </c>
      <c r="F8170" s="23" t="str">
        <f>HYPERLINK("https://www.spark-marketing.ru/Card/Lot/70500957", "Оказание услуг по установки системы видеонаблюдения")</f>
        <v>Оказание услуг по установки системы видеонаблюдения</v>
      </c>
      <c r="G8170" s="22" t="s">
        <v>331</v>
      </c>
      <c r="H8170" s="22" t="s">
        <v>332</v>
      </c>
      <c r="I8170" s="26">
        <v>43600.673611111102</v>
      </c>
      <c r="J8170" s="23" t="str">
        <f>HYPERLINK("https://www.spark-marketing.ru/Card/Person/72912", "ООО ""ГАНИМЕД СБ""")</f>
        <v>ООО "ГАНИМЕД СБ"</v>
      </c>
      <c r="K8170" s="24" t="s">
        <v>10400</v>
      </c>
      <c r="L8170" s="22" t="s">
        <v>10</v>
      </c>
      <c r="M8170" s="25">
        <v>78009.14</v>
      </c>
      <c r="N8170" s="27">
        <v>0.19497039282905856</v>
      </c>
    </row>
    <row r="8171" spans="1:14" hidden="1" outlineLevel="1" x14ac:dyDescent="0.2">
      <c r="A8171" s="23" t="str">
        <f>HYPERLINK("https://www.spark-marketing.ru/Card/Person/821053", "филиал ФГБУ ""Россельхозцентр"" по РМ")</f>
        <v>филиал ФГБУ "Россельхозцентр" по РМ</v>
      </c>
      <c r="B8171" s="24" t="s">
        <v>5071</v>
      </c>
      <c r="C8171" s="25">
        <v>96902.2</v>
      </c>
      <c r="D8171" s="22" t="s">
        <v>10399</v>
      </c>
      <c r="E8171" s="22" t="s">
        <v>84</v>
      </c>
      <c r="F8171" s="23" t="str">
        <f>HYPERLINK("https://www.spark-marketing.ru/Card/Lot/70500957", "Оказание услуг по установки системы видеонаблюдения")</f>
        <v>Оказание услуг по установки системы видеонаблюдения</v>
      </c>
      <c r="G8171" s="22" t="s">
        <v>331</v>
      </c>
      <c r="H8171" s="22" t="s">
        <v>332</v>
      </c>
      <c r="I8171" s="26">
        <v>43600.673611111102</v>
      </c>
      <c r="J8171" s="23" t="str">
        <f>HYPERLINK("https://www.spark-marketing.ru/Card/Person/6065398", "ООО ""РЕМСАРОВ""")</f>
        <v>ООО "РЕМСАРОВ"</v>
      </c>
      <c r="K8171" s="24" t="s">
        <v>10401</v>
      </c>
      <c r="L8171" s="28" t="s">
        <v>52</v>
      </c>
      <c r="M8171" s="25">
        <v>82854.25</v>
      </c>
      <c r="N8171" s="27">
        <v>0.14497039282905858</v>
      </c>
    </row>
    <row r="8172" spans="1:14" x14ac:dyDescent="0.15">
      <c r="A8172" s="23" t="str">
        <f>HYPERLINK("https://www.spark-marketing.ru/Card/Person/1651930", "ГУПГС ""СМП""")</f>
        <v>ГУПГС "СМП"</v>
      </c>
      <c r="B8172" s="24" t="s">
        <v>10402</v>
      </c>
      <c r="C8172" s="25">
        <v>15481400.039999999</v>
      </c>
      <c r="D8172" s="22" t="s">
        <v>10403</v>
      </c>
      <c r="E8172" s="22" t="s">
        <v>144</v>
      </c>
      <c r="F8172" s="23" t="str">
        <f>HYPERLINK("https://www.spark-marketing.ru/Card/Lot/70502837", "Оказание услуг по защите от актов незаконного вмешательства объектов транспортной инфраструктуры ГУПГС ""СМП""")</f>
        <v>Оказание услуг по защите от актов незаконного вмешательства объектов транспортной инфраструктуры ГУПГС "СМП"</v>
      </c>
      <c r="G8172" s="22" t="s">
        <v>714</v>
      </c>
      <c r="H8172" s="22" t="s">
        <v>714</v>
      </c>
      <c r="I8172" s="26">
        <v>43600.692997685197</v>
      </c>
      <c r="J8172" s="28" t="s">
        <v>52</v>
      </c>
      <c r="K8172" s="28" t="s">
        <v>52</v>
      </c>
      <c r="L8172" s="28" t="s">
        <v>52</v>
      </c>
      <c r="M8172" s="28" t="s">
        <v>52</v>
      </c>
      <c r="N8172" s="28" t="s">
        <v>52</v>
      </c>
    </row>
    <row r="8173" spans="1:14" x14ac:dyDescent="0.15">
      <c r="A8173" s="23" t="str">
        <f>HYPERLINK("https://www.spark-marketing.ru/Card/Person/28390", "ФБУЗ ""ЦЕНТР ГИГИЕНЫ И ЭПИДЕМИОЛОГИИ В ТАМБОВСКОЙ ОБЛАСТИ""")</f>
        <v>ФБУЗ "ЦЕНТР ГИГИЕНЫ И ЭПИДЕМИОЛОГИИ В ТАМБОВСКОЙ ОБЛАСТИ"</v>
      </c>
      <c r="B8173" s="24" t="s">
        <v>10404</v>
      </c>
      <c r="C8173" s="25">
        <v>104935.67</v>
      </c>
      <c r="D8173" s="22" t="s">
        <v>10405</v>
      </c>
      <c r="E8173" s="22" t="s">
        <v>49</v>
      </c>
      <c r="F8173" s="23" t="str">
        <f>HYPERLINK("https://www.spark-marketing.ru/Card/Lot/70502766", "Оказание услуг по установке видеонаблюдения для нужд ФБУЗ ""Центр гигиены эпидемиологии в Тамбовской области"" по адресу: г. Тамбов, ул. Рахманинова 5А")</f>
        <v>Оказание услуг по установке видеонаблюдения для нужд ФБУЗ "Центр гигиены эпидемиологии в Тамбовской области" по адресу: г. Тамбов, ул. Рахманинова 5А</v>
      </c>
      <c r="G8173" s="22" t="s">
        <v>1319</v>
      </c>
      <c r="H8173" s="22" t="s">
        <v>1320</v>
      </c>
      <c r="I8173" s="26">
        <v>43600.7012384259</v>
      </c>
      <c r="J8173" s="28" t="s">
        <v>52</v>
      </c>
      <c r="K8173" s="28" t="s">
        <v>52</v>
      </c>
      <c r="L8173" s="28" t="s">
        <v>52</v>
      </c>
      <c r="M8173" s="28" t="s">
        <v>52</v>
      </c>
      <c r="N8173" s="28" t="s">
        <v>52</v>
      </c>
    </row>
    <row r="8174" spans="1:14" x14ac:dyDescent="0.15">
      <c r="A8174" s="23" t="str">
        <f>HYPERLINK("https://www.spark-marketing.ru/Card/Person/139643", "ГОБПОУ ТАТТ")</f>
        <v>ГОБПОУ ТАТТ</v>
      </c>
      <c r="B8174" s="24" t="s">
        <v>10406</v>
      </c>
      <c r="C8174" s="25">
        <v>48000</v>
      </c>
      <c r="D8174" s="22" t="s">
        <v>10407</v>
      </c>
      <c r="E8174" s="22" t="s">
        <v>68</v>
      </c>
      <c r="F8174" s="23" t="str">
        <f>HYPERLINK("https://www.spark-marketing.ru/Card/Lot/70498076", "Обслуживание ОПС")</f>
        <v>Обслуживание ОПС</v>
      </c>
      <c r="G8174" s="22" t="s">
        <v>629</v>
      </c>
      <c r="H8174" s="22" t="s">
        <v>8145</v>
      </c>
      <c r="I8174" s="26">
        <v>43600.627777777801</v>
      </c>
      <c r="J8174" s="28" t="s">
        <v>52</v>
      </c>
      <c r="K8174" s="28" t="s">
        <v>52</v>
      </c>
      <c r="L8174" s="28" t="s">
        <v>52</v>
      </c>
      <c r="M8174" s="28" t="s">
        <v>52</v>
      </c>
      <c r="N8174" s="28" t="s">
        <v>52</v>
      </c>
    </row>
    <row r="8175" spans="1:14" hidden="1" outlineLevel="1" x14ac:dyDescent="0.2">
      <c r="A8175" s="23" t="str">
        <f>HYPERLINK("https://www.spark-marketing.ru/Card/Person/139643", "ГОБПОУ ТАТТ")</f>
        <v>ГОБПОУ ТАТТ</v>
      </c>
      <c r="B8175" s="24" t="s">
        <v>10406</v>
      </c>
      <c r="C8175" s="25">
        <v>48000</v>
      </c>
      <c r="D8175" s="22" t="s">
        <v>10407</v>
      </c>
      <c r="E8175" s="22" t="s">
        <v>68</v>
      </c>
      <c r="F8175" s="23" t="str">
        <f>HYPERLINK("https://www.spark-marketing.ru/Card/Lot/70498076", "Обслуживание ОПС")</f>
        <v>Обслуживание ОПС</v>
      </c>
      <c r="G8175" s="22" t="s">
        <v>629</v>
      </c>
      <c r="H8175" s="22" t="s">
        <v>8145</v>
      </c>
      <c r="I8175" s="26">
        <v>43600.627777777801</v>
      </c>
      <c r="J8175" s="23" t="str">
        <f>HYPERLINK("https://www.spark-marketing.ru/Card/Person/705745", "Карпов Александр Андреевич")</f>
        <v>Карпов Александр Андреевич</v>
      </c>
      <c r="K8175" s="24" t="s">
        <v>10408</v>
      </c>
      <c r="L8175" s="28" t="s">
        <v>52</v>
      </c>
      <c r="M8175" s="25">
        <v>47400</v>
      </c>
      <c r="N8175" s="27">
        <v>1.2500000000000001E-2</v>
      </c>
    </row>
    <row r="8176" spans="1:14" ht="12.75" hidden="1" outlineLevel="1" x14ac:dyDescent="0.2">
      <c r="A8176" s="23" t="str">
        <f>HYPERLINK("https://www.spark-marketing.ru/Card/Person/139643", "ГОБПОУ ТАТТ")</f>
        <v>ГОБПОУ ТАТТ</v>
      </c>
      <c r="B8176" s="24" t="s">
        <v>10406</v>
      </c>
      <c r="C8176" s="25">
        <v>48000</v>
      </c>
      <c r="D8176" s="22" t="s">
        <v>10407</v>
      </c>
      <c r="E8176" s="22" t="s">
        <v>68</v>
      </c>
      <c r="F8176" s="23" t="str">
        <f>HYPERLINK("https://www.spark-marketing.ru/Card/Lot/70498076", "Обслуживание ОПС")</f>
        <v>Обслуживание ОПС</v>
      </c>
      <c r="G8176" s="22" t="s">
        <v>629</v>
      </c>
      <c r="H8176" s="22" t="s">
        <v>8145</v>
      </c>
      <c r="I8176" s="26">
        <v>43600.627777777801</v>
      </c>
      <c r="J8176" s="23" t="str">
        <f>HYPERLINK("https://www.spark-marketing.ru/Card/Person/360490", "ООО ""СОС""")</f>
        <v>ООО "СОС"</v>
      </c>
      <c r="K8176" s="24" t="s">
        <v>10409</v>
      </c>
      <c r="L8176" s="22" t="s">
        <v>10</v>
      </c>
      <c r="M8176" s="25">
        <v>47160</v>
      </c>
      <c r="N8176" s="27">
        <v>1.7500000000000002E-2</v>
      </c>
    </row>
    <row r="8177" spans="1:14" hidden="1" outlineLevel="1" x14ac:dyDescent="0.2">
      <c r="A8177" s="23" t="str">
        <f>HYPERLINK("https://www.spark-marketing.ru/Card/Person/139643", "ГОБПОУ ТАТТ")</f>
        <v>ГОБПОУ ТАТТ</v>
      </c>
      <c r="B8177" s="24" t="s">
        <v>10406</v>
      </c>
      <c r="C8177" s="25">
        <v>48000</v>
      </c>
      <c r="D8177" s="22" t="s">
        <v>10407</v>
      </c>
      <c r="E8177" s="22" t="s">
        <v>68</v>
      </c>
      <c r="F8177" s="23" t="str">
        <f>HYPERLINK("https://www.spark-marketing.ru/Card/Lot/70498076", "Обслуживание ОПС")</f>
        <v>Обслуживание ОПС</v>
      </c>
      <c r="G8177" s="22" t="s">
        <v>629</v>
      </c>
      <c r="H8177" s="22" t="s">
        <v>8145</v>
      </c>
      <c r="I8177" s="26">
        <v>43600.627777777801</v>
      </c>
      <c r="J8177" s="23" t="str">
        <f>HYPERLINK("https://www.spark-marketing.ru/Card/Person/515382", "ООО ""КСБ""")</f>
        <v>ООО "КСБ"</v>
      </c>
      <c r="K8177" s="24" t="s">
        <v>10410</v>
      </c>
      <c r="L8177" s="28" t="s">
        <v>52</v>
      </c>
      <c r="M8177" s="25">
        <v>47760</v>
      </c>
      <c r="N8177" s="27">
        <v>5.0000000000000001E-3</v>
      </c>
    </row>
    <row r="8178" spans="1:14" x14ac:dyDescent="0.15">
      <c r="A8178" s="23" t="str">
        <f>HYPERLINK("https://www.spark-marketing.ru/Card/Person/18123", "ГКУСО ""УЗПСО""")</f>
        <v>ГКУСО "УЗПСО"</v>
      </c>
      <c r="B8178" s="24" t="s">
        <v>6436</v>
      </c>
      <c r="C8178" s="25">
        <v>948597.33</v>
      </c>
      <c r="D8178" s="22" t="s">
        <v>10411</v>
      </c>
      <c r="E8178" s="22" t="s">
        <v>52</v>
      </c>
      <c r="F8178" s="23" t="str">
        <f>HYPERLINK("https://www.spark-marketing.ru/Card/Lot/70492213", "Круглосуточная охрана территории объекта ГКУСО ""Управление зданиями Правительства Свердловской области""")</f>
        <v>Круглосуточная охрана территории объекта ГКУСО "Управление зданиями Правительства Свердловской области"</v>
      </c>
      <c r="G8178" s="22" t="s">
        <v>72</v>
      </c>
      <c r="H8178" s="22" t="s">
        <v>6438</v>
      </c>
      <c r="I8178" s="26">
        <v>43600.610416666699</v>
      </c>
      <c r="J8178" s="28" t="s">
        <v>52</v>
      </c>
      <c r="K8178" s="28" t="s">
        <v>52</v>
      </c>
      <c r="L8178" s="28" t="s">
        <v>52</v>
      </c>
      <c r="M8178" s="28" t="s">
        <v>52</v>
      </c>
      <c r="N8178" s="28" t="s">
        <v>52</v>
      </c>
    </row>
    <row r="8179" spans="1:14" x14ac:dyDescent="0.15">
      <c r="A8179" s="23" t="str">
        <f>HYPERLINK("https://www.spark-marketing.ru/Card/Person/1070971", "МКДОУ ""ЗАКОВРЯЖИНСКИЙ ДЕТСКИЙ САД""")</f>
        <v>МКДОУ "ЗАКОВРЯЖИНСКИЙ ДЕТСКИЙ САД"</v>
      </c>
      <c r="B8179" s="24" t="s">
        <v>10412</v>
      </c>
      <c r="C8179" s="25">
        <v>12500</v>
      </c>
      <c r="D8179" s="22" t="s">
        <v>10413</v>
      </c>
      <c r="E8179" s="22" t="s">
        <v>208</v>
      </c>
      <c r="F8179" s="23" t="str">
        <f>HYPERLINK("https://www.spark-marketing.ru/Card/Lot/70498361", "Услуги по монтажу кнопки тревожной сигнализации")</f>
        <v>Услуги по монтажу кнопки тревожной сигнализации</v>
      </c>
      <c r="G8179" s="22" t="s">
        <v>209</v>
      </c>
      <c r="H8179" s="22" t="s">
        <v>5208</v>
      </c>
      <c r="I8179" s="26">
        <v>43600.590277777803</v>
      </c>
      <c r="J8179" s="28" t="s">
        <v>52</v>
      </c>
      <c r="K8179" s="28" t="s">
        <v>52</v>
      </c>
      <c r="L8179" s="28" t="s">
        <v>52</v>
      </c>
      <c r="M8179" s="28" t="s">
        <v>52</v>
      </c>
      <c r="N8179" s="28" t="s">
        <v>52</v>
      </c>
    </row>
    <row r="8180" spans="1:14" x14ac:dyDescent="0.15">
      <c r="A8180" s="23" t="str">
        <f>HYPERLINK("https://www.spark-marketing.ru/Card/Person/812467", "ИЖЕВСКИЙ ЛО МВД РОССИИ НА ТРАНСПОРТЕ")</f>
        <v>ИЖЕВСКИЙ ЛО МВД РОССИИ НА ТРАНСПОРТЕ</v>
      </c>
      <c r="B8180" s="24" t="s">
        <v>4517</v>
      </c>
      <c r="C8180" s="25">
        <v>12000</v>
      </c>
      <c r="D8180" s="22" t="s">
        <v>10414</v>
      </c>
      <c r="E8180" s="22" t="s">
        <v>103</v>
      </c>
      <c r="F8180" s="23" t="str">
        <f>HYPERLINK("https://www.spark-marketing.ru/Card/Lot/70492755", "Техническое обслуживание сигнализации, 8 усл. ед")</f>
        <v>Техническое обслуживание сигнализации, 8 усл. ед</v>
      </c>
      <c r="G8180" s="22" t="s">
        <v>96</v>
      </c>
      <c r="H8180" s="22" t="s">
        <v>1342</v>
      </c>
      <c r="I8180" s="26">
        <v>43600.605462963002</v>
      </c>
      <c r="J8180" s="28" t="s">
        <v>52</v>
      </c>
      <c r="K8180" s="28" t="s">
        <v>52</v>
      </c>
      <c r="L8180" s="28" t="s">
        <v>52</v>
      </c>
      <c r="M8180" s="28" t="s">
        <v>52</v>
      </c>
      <c r="N8180" s="28" t="s">
        <v>52</v>
      </c>
    </row>
    <row r="8181" spans="1:14" x14ac:dyDescent="0.15">
      <c r="A8181" s="23" t="str">
        <f>HYPERLINK("https://www.spark-marketing.ru/Card/Person/243796", "МКОУ ""МЕРЕТСКАЯ СОШ""")</f>
        <v>МКОУ "МЕРЕТСКАЯ СОШ"</v>
      </c>
      <c r="B8181" s="24" t="s">
        <v>10415</v>
      </c>
      <c r="C8181" s="25">
        <v>12500</v>
      </c>
      <c r="D8181" s="22" t="s">
        <v>10416</v>
      </c>
      <c r="E8181" s="22" t="s">
        <v>208</v>
      </c>
      <c r="F8181" s="23" t="str">
        <f>HYPERLINK("https://www.spark-marketing.ru/Card/Lot/70499031", "Услуги по монтажу кнопки тревожной сигнализации")</f>
        <v>Услуги по монтажу кнопки тревожной сигнализации</v>
      </c>
      <c r="G8181" s="22" t="s">
        <v>209</v>
      </c>
      <c r="H8181" s="22" t="s">
        <v>5208</v>
      </c>
      <c r="I8181" s="26">
        <v>43600.594444444403</v>
      </c>
      <c r="J8181" s="28" t="s">
        <v>52</v>
      </c>
      <c r="K8181" s="28" t="s">
        <v>52</v>
      </c>
      <c r="L8181" s="28" t="s">
        <v>52</v>
      </c>
      <c r="M8181" s="28" t="s">
        <v>52</v>
      </c>
      <c r="N8181" s="28" t="s">
        <v>52</v>
      </c>
    </row>
    <row r="8182" spans="1:14" x14ac:dyDescent="0.15">
      <c r="A8182" s="23" t="str">
        <f>HYPERLINK("https://www.spark-marketing.ru/Card/Person/6563", "ФГБУ ""ЦЕНТР ГЕОДЕЗИИ, КАРТОГРАФИИ И ИПД""")</f>
        <v>ФГБУ "ЦЕНТР ГЕОДЕЗИИ, КАРТОГРАФИИ И ИПД"</v>
      </c>
      <c r="B8182" s="24" t="s">
        <v>6871</v>
      </c>
      <c r="C8182" s="25">
        <v>17490.96</v>
      </c>
      <c r="D8182" s="22" t="s">
        <v>10417</v>
      </c>
      <c r="E8182" s="22" t="s">
        <v>68</v>
      </c>
      <c r="F8182" s="23" t="str">
        <f>HYPERLINK("https://www.spark-marketing.ru/Card/Lot/70496090", "На оказание услуг по охране имущества посредством пульта централизованного наблюдения  ФГБУ ""Центр геодезии, картографии и ИПД"", по адресу: г. Севастополь, ул. Очаковцев, д.50")</f>
        <v>На оказание услуг по охране имущества посредством пульта централизованного наблюдения  ФГБУ "Центр геодезии, картографии и ИПД", по адресу: г. Севастополь, ул. Очаковцев, д.50</v>
      </c>
      <c r="G8182" s="22" t="s">
        <v>714</v>
      </c>
      <c r="H8182" s="22" t="s">
        <v>714</v>
      </c>
      <c r="I8182" s="26">
        <v>43600.603472222203</v>
      </c>
      <c r="J8182" s="28" t="s">
        <v>52</v>
      </c>
      <c r="K8182" s="28" t="s">
        <v>52</v>
      </c>
      <c r="L8182" s="28" t="s">
        <v>52</v>
      </c>
      <c r="M8182" s="28" t="s">
        <v>52</v>
      </c>
      <c r="N8182" s="28" t="s">
        <v>52</v>
      </c>
    </row>
    <row r="8183" spans="1:14" x14ac:dyDescent="0.15">
      <c r="A8183" s="23" t="str">
        <f>HYPERLINK("https://www.spark-marketing.ru/Card/Person/1071652", "МКОУ ""БИТКОВСКАЯ СОШ """)</f>
        <v>МКОУ "БИТКОВСКАЯ СОШ "</v>
      </c>
      <c r="B8183" s="24" t="s">
        <v>10418</v>
      </c>
      <c r="C8183" s="25">
        <v>12500</v>
      </c>
      <c r="D8183" s="22" t="s">
        <v>10419</v>
      </c>
      <c r="E8183" s="22" t="s">
        <v>208</v>
      </c>
      <c r="F8183" s="23" t="str">
        <f>HYPERLINK("https://www.spark-marketing.ru/Card/Lot/70498346", "Услуги по монтажу кнопки тревожной сигнализации")</f>
        <v>Услуги по монтажу кнопки тревожной сигнализации</v>
      </c>
      <c r="G8183" s="22" t="s">
        <v>209</v>
      </c>
      <c r="H8183" s="22" t="s">
        <v>5208</v>
      </c>
      <c r="I8183" s="26">
        <v>43600.586805555598</v>
      </c>
      <c r="J8183" s="28" t="s">
        <v>52</v>
      </c>
      <c r="K8183" s="28" t="s">
        <v>52</v>
      </c>
      <c r="L8183" s="28" t="s">
        <v>52</v>
      </c>
      <c r="M8183" s="28" t="s">
        <v>52</v>
      </c>
      <c r="N8183" s="28" t="s">
        <v>52</v>
      </c>
    </row>
    <row r="8184" spans="1:14" x14ac:dyDescent="0.15">
      <c r="A8184" s="23" t="str">
        <f>HYPERLINK("https://www.spark-marketing.ru/Card/Person/6563", "ФГБУ ""ЦЕНТР ГЕОДЕЗИИ, КАРТОГРАФИИ И ИПД""")</f>
        <v>ФГБУ "ЦЕНТР ГЕОДЕЗИИ, КАРТОГРАФИИ И ИПД"</v>
      </c>
      <c r="B8184" s="24" t="s">
        <v>6871</v>
      </c>
      <c r="C8184" s="25">
        <v>120204.7</v>
      </c>
      <c r="D8184" s="22" t="s">
        <v>10420</v>
      </c>
      <c r="E8184" s="22" t="s">
        <v>68</v>
      </c>
      <c r="F8184" s="23" t="str">
        <f>HYPERLINK("https://www.spark-marketing.ru/Card/Lot/70496377", "На оказание услуг по централизованной охране объекта Учреждения по адресу: г. Красноярск. ул. Иртышская, д.2А, стр.4")</f>
        <v>На оказание услуг по централизованной охране объекта Учреждения по адресу: г. Красноярск. ул. Иртышская, д.2А, стр.4</v>
      </c>
      <c r="G8184" s="22" t="s">
        <v>640</v>
      </c>
      <c r="H8184" s="22" t="s">
        <v>640</v>
      </c>
      <c r="I8184" s="26">
        <v>43600.6027777778</v>
      </c>
      <c r="J8184" s="28" t="s">
        <v>52</v>
      </c>
      <c r="K8184" s="28" t="s">
        <v>52</v>
      </c>
      <c r="L8184" s="28" t="s">
        <v>52</v>
      </c>
      <c r="M8184" s="28" t="s">
        <v>52</v>
      </c>
      <c r="N8184" s="28" t="s">
        <v>52</v>
      </c>
    </row>
    <row r="8185" spans="1:14" x14ac:dyDescent="0.15">
      <c r="A8185" s="23" t="str">
        <f>HYPERLINK("https://www.spark-marketing.ru/Card/Person/640327", "УСД В ЧЕЧЕНСКОЙ РЕСПУБЛИКЕ")</f>
        <v>УСД В ЧЕЧЕНСКОЙ РЕСПУБЛИКЕ</v>
      </c>
      <c r="B8185" s="24" t="s">
        <v>10421</v>
      </c>
      <c r="C8185" s="25">
        <v>144100</v>
      </c>
      <c r="D8185" s="22" t="s">
        <v>10422</v>
      </c>
      <c r="E8185" s="22" t="s">
        <v>103</v>
      </c>
      <c r="F8185" s="23" t="str">
        <f>HYPERLINK("https://www.spark-marketing.ru/Card/Lot/70496677", "Оказание услуг по техническому  обслуживанию систем видеонаблюдения в УСД")</f>
        <v>Оказание услуг по техническому  обслуживанию систем видеонаблюдения в УСД</v>
      </c>
      <c r="G8185" s="22" t="s">
        <v>724</v>
      </c>
      <c r="H8185" s="22" t="s">
        <v>5711</v>
      </c>
      <c r="I8185" s="26">
        <v>43600.59375</v>
      </c>
      <c r="J8185" s="23" t="str">
        <f>HYPERLINK("https://www.spark-marketing.ru/Card/Person/6479153", "ООО ""ИНЖСЕРВИС""")</f>
        <v>ООО "ИНЖСЕРВИС"</v>
      </c>
      <c r="K8185" s="24" t="s">
        <v>10423</v>
      </c>
      <c r="L8185" s="22" t="s">
        <v>10</v>
      </c>
      <c r="M8185" s="28" t="s">
        <v>52</v>
      </c>
      <c r="N8185" s="28" t="s">
        <v>52</v>
      </c>
    </row>
    <row r="8186" spans="1:14" x14ac:dyDescent="0.15">
      <c r="A8186" s="23" t="str">
        <f>HYPERLINK("https://www.spark-marketing.ru/Card/Person/6563", "ФГБУ ""ЦЕНТР ГЕОДЕЗИИ, КАРТОГРАФИИ И ИПД""")</f>
        <v>ФГБУ "ЦЕНТР ГЕОДЕЗИИ, КАРТОГРАФИИ И ИПД"</v>
      </c>
      <c r="B8186" s="24" t="s">
        <v>6871</v>
      </c>
      <c r="C8186" s="25">
        <v>146292</v>
      </c>
      <c r="D8186" s="22" t="s">
        <v>10424</v>
      </c>
      <c r="E8186" s="22" t="s">
        <v>68</v>
      </c>
      <c r="F8186" s="23" t="str">
        <f>HYPERLINK("https://www.spark-marketing.ru/Card/Lot/70496729", "на оказание услуг по охране имущества посредством тревожной сигнализации в здании ФГБУ ""Центр геодезии, картографии и ИПД"" по адресу: г. Инза, ул. Вокзальная, д.140")</f>
        <v>на оказание услуг по охране имущества посредством тревожной сигнализации в здании ФГБУ "Центр геодезии, картографии и ИПД" по адресу: г. Инза, ул. Вокзальная, д.140</v>
      </c>
      <c r="G8186" s="22" t="s">
        <v>446</v>
      </c>
      <c r="H8186" s="22" t="s">
        <v>446</v>
      </c>
      <c r="I8186" s="26">
        <v>43600.6027777778</v>
      </c>
      <c r="J8186" s="28" t="s">
        <v>52</v>
      </c>
      <c r="K8186" s="28" t="s">
        <v>52</v>
      </c>
      <c r="L8186" s="28" t="s">
        <v>52</v>
      </c>
      <c r="M8186" s="28" t="s">
        <v>52</v>
      </c>
      <c r="N8186" s="28" t="s">
        <v>52</v>
      </c>
    </row>
    <row r="8187" spans="1:14" x14ac:dyDescent="0.15">
      <c r="A8187" s="23" t="str">
        <f>HYPERLINK("https://www.spark-marketing.ru/Card/Person/6563", "ФГБУ ""ЦЕНТР ГЕОДЕЗИИ, КАРТОГРАФИИ И ИПД""")</f>
        <v>ФГБУ "ЦЕНТР ГЕОДЕЗИИ, КАРТОГРАФИИ И ИПД"</v>
      </c>
      <c r="B8187" s="24" t="s">
        <v>6871</v>
      </c>
      <c r="C8187" s="25">
        <v>72000</v>
      </c>
      <c r="D8187" s="22" t="s">
        <v>10425</v>
      </c>
      <c r="E8187" s="22" t="s">
        <v>68</v>
      </c>
      <c r="F8187" s="23" t="str">
        <f>HYPERLINK("https://www.spark-marketing.ru/Card/Lot/70495086", "На оказание услуг по охране имущества посредством пульта централизованного наблюдения в ФГБУ ""Центр геодезии, картографии и ИПД"" по адресу: г. С-Петербург, Пулковское ш., д.65, стр.1 лит. БА")</f>
        <v>На оказание услуг по охране имущества посредством пульта централизованного наблюдения в ФГБУ "Центр геодезии, картографии и ИПД" по адресу: г. С-Петербург, Пулковское ш., д.65, стр.1 лит. БА</v>
      </c>
      <c r="G8187" s="22" t="s">
        <v>89</v>
      </c>
      <c r="H8187" s="22" t="s">
        <v>89</v>
      </c>
      <c r="I8187" s="26">
        <v>43600.597222222197</v>
      </c>
      <c r="J8187" s="28" t="s">
        <v>52</v>
      </c>
      <c r="K8187" s="28" t="s">
        <v>52</v>
      </c>
      <c r="L8187" s="28" t="s">
        <v>52</v>
      </c>
      <c r="M8187" s="28" t="s">
        <v>52</v>
      </c>
      <c r="N8187" s="28" t="s">
        <v>52</v>
      </c>
    </row>
    <row r="8188" spans="1:14" x14ac:dyDescent="0.15">
      <c r="A8188" s="23" t="str">
        <f>HYPERLINK("https://www.spark-marketing.ru/Card/Person/53755", "МБУЗ ""КДЦ""")</f>
        <v>МБУЗ "КДЦ"</v>
      </c>
      <c r="B8188" s="24" t="s">
        <v>10426</v>
      </c>
      <c r="C8188" s="25">
        <v>891999.96</v>
      </c>
      <c r="D8188" s="22" t="s">
        <v>10427</v>
      </c>
      <c r="E8188" s="22" t="s">
        <v>68</v>
      </c>
      <c r="F8188" s="23" t="str">
        <f>HYPERLINK("https://www.spark-marketing.ru/Card/Lot/70496168", "Определений исполнителя на право оказания услуги по круглосуточной охране объекта, принадлежащего Заказчику на праве Муниципальной собственности г. Таганрога, расположенного по адресу: г. Таганрог, ул. Дзержинского, 156.")</f>
        <v>Определений исполнителя на право оказания услуги по круглосуточной охране объекта, принадлежащего Заказчику на праве Муниципальной собственности г. Таганрога, расположенного по адресу: г. Таганрог, ул. Дзержинского, 156.</v>
      </c>
      <c r="G8188" s="22" t="s">
        <v>402</v>
      </c>
      <c r="H8188" s="22" t="s">
        <v>5520</v>
      </c>
      <c r="I8188" s="26">
        <v>43600.603472222203</v>
      </c>
      <c r="J8188" s="28" t="s">
        <v>52</v>
      </c>
      <c r="K8188" s="28" t="s">
        <v>52</v>
      </c>
      <c r="L8188" s="28" t="s">
        <v>52</v>
      </c>
      <c r="M8188" s="28" t="s">
        <v>52</v>
      </c>
      <c r="N8188" s="28" t="s">
        <v>52</v>
      </c>
    </row>
    <row r="8189" spans="1:14" ht="12.75" hidden="1" outlineLevel="1" x14ac:dyDescent="0.2">
      <c r="A8189" s="23" t="str">
        <f>HYPERLINK("https://www.spark-marketing.ru/Card/Person/53755", "МБУЗ ""КДЦ""")</f>
        <v>МБУЗ "КДЦ"</v>
      </c>
      <c r="B8189" s="24" t="s">
        <v>10426</v>
      </c>
      <c r="C8189" s="25">
        <v>891999.96</v>
      </c>
      <c r="D8189" s="22" t="s">
        <v>10427</v>
      </c>
      <c r="E8189" s="22" t="s">
        <v>68</v>
      </c>
      <c r="F8189" s="23" t="str">
        <f>HYPERLINK("https://www.spark-marketing.ru/Card/Lot/70496168", "Определений исполнителя на право оказания услуги по круглосуточной охране объекта, принадлежащего Заказчику на праве Муниципальной собственности г. Таганрога, расположенного по адресу: г. Таганрог, ул. Дзержинского, 156.")</f>
        <v>Определений исполнителя на право оказания услуги по круглосуточной охране объекта, принадлежащего Заказчику на праве Муниципальной собственности г. Таганрога, расположенного по адресу: г. Таганрог, ул. Дзержинского, 156.</v>
      </c>
      <c r="G8189" s="22" t="s">
        <v>402</v>
      </c>
      <c r="H8189" s="22" t="s">
        <v>5520</v>
      </c>
      <c r="I8189" s="26">
        <v>43600.603472222203</v>
      </c>
      <c r="J8189" s="23" t="str">
        <f>HYPERLINK("https://www.spark-marketing.ru/Card/Person/994435", "ООО ""ЧОП ""МАНГУСТ""")</f>
        <v>ООО "ЧОП "МАНГУСТ"</v>
      </c>
      <c r="K8189" s="24" t="s">
        <v>10428</v>
      </c>
      <c r="L8189" s="22" t="s">
        <v>10</v>
      </c>
      <c r="M8189" s="25">
        <v>834019.96</v>
      </c>
      <c r="N8189" s="27">
        <v>6.5000002914798335E-2</v>
      </c>
    </row>
    <row r="8190" spans="1:14" hidden="1" outlineLevel="1" x14ac:dyDescent="0.2">
      <c r="A8190" s="23" t="str">
        <f>HYPERLINK("https://www.spark-marketing.ru/Card/Person/53755", "МБУЗ ""КДЦ""")</f>
        <v>МБУЗ "КДЦ"</v>
      </c>
      <c r="B8190" s="24" t="s">
        <v>10426</v>
      </c>
      <c r="C8190" s="25">
        <v>891999.96</v>
      </c>
      <c r="D8190" s="22" t="s">
        <v>10427</v>
      </c>
      <c r="E8190" s="22" t="s">
        <v>68</v>
      </c>
      <c r="F8190" s="23" t="str">
        <f>HYPERLINK("https://www.spark-marketing.ru/Card/Lot/70496168", "Определений исполнителя на право оказания услуги по круглосуточной охране объекта, принадлежащего Заказчику на праве Муниципальной собственности г. Таганрога, расположенного по адресу: г. Таганрог, ул. Дзержинского, 156.")</f>
        <v>Определений исполнителя на право оказания услуги по круглосуточной охране объекта, принадлежащего Заказчику на праве Муниципальной собственности г. Таганрога, расположенного по адресу: г. Таганрог, ул. Дзержинского, 156.</v>
      </c>
      <c r="G8190" s="22" t="s">
        <v>402</v>
      </c>
      <c r="H8190" s="22" t="s">
        <v>5520</v>
      </c>
      <c r="I8190" s="26">
        <v>43600.603472222203</v>
      </c>
      <c r="J8190" s="23" t="str">
        <f>HYPERLINK("https://www.spark-marketing.ru/Card/Person/357147", "ООО ЧОО ""ОРИОН-5""")</f>
        <v>ООО ЧОО "ОРИОН-5"</v>
      </c>
      <c r="K8190" s="24" t="s">
        <v>10429</v>
      </c>
      <c r="L8190" s="28" t="s">
        <v>52</v>
      </c>
      <c r="M8190" s="25">
        <v>834019.96</v>
      </c>
      <c r="N8190" s="27">
        <v>6.5000002914798335E-2</v>
      </c>
    </row>
    <row r="8191" spans="1:14" hidden="1" outlineLevel="1" x14ac:dyDescent="0.2">
      <c r="A8191" s="23" t="str">
        <f>HYPERLINK("https://www.spark-marketing.ru/Card/Person/53755", "МБУЗ ""КДЦ""")</f>
        <v>МБУЗ "КДЦ"</v>
      </c>
      <c r="B8191" s="24" t="s">
        <v>10426</v>
      </c>
      <c r="C8191" s="25">
        <v>891999.96</v>
      </c>
      <c r="D8191" s="22" t="s">
        <v>10427</v>
      </c>
      <c r="E8191" s="22" t="s">
        <v>68</v>
      </c>
      <c r="F8191" s="23" t="str">
        <f>HYPERLINK("https://www.spark-marketing.ru/Card/Lot/70496168", "Определений исполнителя на право оказания услуги по круглосуточной охране объекта, принадлежащего Заказчику на праве Муниципальной собственности г. Таганрога, расположенного по адресу: г. Таганрог, ул. Дзержинского, 156.")</f>
        <v>Определений исполнителя на право оказания услуги по круглосуточной охране объекта, принадлежащего Заказчику на праве Муниципальной собственности г. Таганрога, расположенного по адресу: г. Таганрог, ул. Дзержинского, 156.</v>
      </c>
      <c r="G8191" s="22" t="s">
        <v>402</v>
      </c>
      <c r="H8191" s="22" t="s">
        <v>5520</v>
      </c>
      <c r="I8191" s="26">
        <v>43600.603472222203</v>
      </c>
      <c r="J8191" s="23" t="str">
        <f>HYPERLINK("https://www.spark-marketing.ru/Card/Person/237383", "ООО ""ЧОО ""ВЕКТОР""")</f>
        <v>ООО "ЧОО "ВЕКТОР"</v>
      </c>
      <c r="K8191" s="24" t="s">
        <v>10430</v>
      </c>
      <c r="L8191" s="28" t="s">
        <v>52</v>
      </c>
      <c r="M8191" s="25">
        <v>834019.96</v>
      </c>
      <c r="N8191" s="27">
        <v>6.5000002914798335E-2</v>
      </c>
    </row>
    <row r="8192" spans="1:14" x14ac:dyDescent="0.15">
      <c r="A8192" s="23" t="str">
        <f>HYPERLINK("https://www.spark-marketing.ru/Card/Person/1068900", "МКОУ ""ЗАКОВРЯЖИНСКАЯ СОШ""")</f>
        <v>МКОУ "ЗАКОВРЯЖИНСКАЯ СОШ"</v>
      </c>
      <c r="B8192" s="24" t="s">
        <v>10431</v>
      </c>
      <c r="C8192" s="25">
        <v>12500</v>
      </c>
      <c r="D8192" s="22" t="s">
        <v>10432</v>
      </c>
      <c r="E8192" s="22" t="s">
        <v>208</v>
      </c>
      <c r="F8192" s="23" t="str">
        <f>HYPERLINK("https://www.spark-marketing.ru/Card/Lot/70498277", "Услуги по монтажу кнопки тревожной сигнализации")</f>
        <v>Услуги по монтажу кнопки тревожной сигнализации</v>
      </c>
      <c r="G8192" s="22" t="s">
        <v>209</v>
      </c>
      <c r="H8192" s="22" t="s">
        <v>5208</v>
      </c>
      <c r="I8192" s="26">
        <v>43600.578472222202</v>
      </c>
      <c r="J8192" s="28" t="s">
        <v>52</v>
      </c>
      <c r="K8192" s="28" t="s">
        <v>52</v>
      </c>
      <c r="L8192" s="28" t="s">
        <v>52</v>
      </c>
      <c r="M8192" s="28" t="s">
        <v>52</v>
      </c>
      <c r="N8192" s="28" t="s">
        <v>52</v>
      </c>
    </row>
    <row r="8193" spans="1:14" x14ac:dyDescent="0.15">
      <c r="A8193" s="23" t="str">
        <f t="shared" ref="A8193:A8202" si="356">HYPERLINK("https://www.spark-marketing.ru/Card/Person/560308", "ГБПОУ СО ""СУХОЛОЖСКИЙ МНОГОПРОФИЛЬНЫЙ ТЕХНИКУМ""")</f>
        <v>ГБПОУ СО "СУХОЛОЖСКИЙ МНОГОПРОФИЛЬНЫЙ ТЕХНИКУМ"</v>
      </c>
      <c r="B8193" s="24" t="s">
        <v>10433</v>
      </c>
      <c r="C8193" s="25">
        <v>625458</v>
      </c>
      <c r="D8193" s="22" t="s">
        <v>10434</v>
      </c>
      <c r="E8193" s="22" t="s">
        <v>84</v>
      </c>
      <c r="F8193" s="23" t="str">
        <f t="shared" ref="F8193:F8202" si="357">HYPERLINK("https://www.spark-marketing.ru/Card/Lot/70484987", "Установка системы видеонаблюдения по адресу; Свердловская область, г. Сухой Лог, ул. Юбилейная, д.10; ул.Горького, д.9")</f>
        <v>Установка системы видеонаблюдения по адресу; Свердловская область, г. Сухой Лог, ул. Юбилейная, д.10; ул.Горького, д.9</v>
      </c>
      <c r="G8193" s="22" t="s">
        <v>72</v>
      </c>
      <c r="H8193" s="22" t="s">
        <v>10435</v>
      </c>
      <c r="I8193" s="26">
        <v>43600.541666666701</v>
      </c>
      <c r="J8193" s="28" t="s">
        <v>52</v>
      </c>
      <c r="K8193" s="28" t="s">
        <v>52</v>
      </c>
      <c r="L8193" s="28" t="s">
        <v>52</v>
      </c>
      <c r="M8193" s="28" t="s">
        <v>52</v>
      </c>
      <c r="N8193" s="28" t="s">
        <v>52</v>
      </c>
    </row>
    <row r="8194" spans="1:14" hidden="1" outlineLevel="1" x14ac:dyDescent="0.2">
      <c r="A8194" s="23" t="str">
        <f t="shared" si="356"/>
        <v>ГБПОУ СО "СУХОЛОЖСКИЙ МНОГОПРОФИЛЬНЫЙ ТЕХНИКУМ"</v>
      </c>
      <c r="B8194" s="24" t="s">
        <v>10433</v>
      </c>
      <c r="C8194" s="25">
        <v>625458</v>
      </c>
      <c r="D8194" s="22" t="s">
        <v>10434</v>
      </c>
      <c r="E8194" s="22" t="s">
        <v>84</v>
      </c>
      <c r="F8194" s="23" t="str">
        <f t="shared" si="357"/>
        <v>Установка системы видеонаблюдения по адресу; Свердловская область, г. Сухой Лог, ул. Юбилейная, д.10; ул.Горького, д.9</v>
      </c>
      <c r="G8194" s="22" t="s">
        <v>72</v>
      </c>
      <c r="H8194" s="22" t="s">
        <v>10435</v>
      </c>
      <c r="I8194" s="26">
        <v>43600.541666666701</v>
      </c>
      <c r="J8194" s="23" t="str">
        <f>HYPERLINK("https://www.spark-marketing.ru/Card/Person/5853123", "Ершов Андрей Алексеевич")</f>
        <v>Ершов Андрей Алексеевич</v>
      </c>
      <c r="K8194" s="24" t="s">
        <v>1063</v>
      </c>
      <c r="L8194" s="28" t="s">
        <v>52</v>
      </c>
      <c r="M8194" s="25">
        <v>599000</v>
      </c>
      <c r="N8194" s="27">
        <v>4.2301801240051291E-2</v>
      </c>
    </row>
    <row r="8195" spans="1:14" hidden="1" outlineLevel="1" x14ac:dyDescent="0.2">
      <c r="A8195" s="23" t="str">
        <f t="shared" si="356"/>
        <v>ГБПОУ СО "СУХОЛОЖСКИЙ МНОГОПРОФИЛЬНЫЙ ТЕХНИКУМ"</v>
      </c>
      <c r="B8195" s="24" t="s">
        <v>10433</v>
      </c>
      <c r="C8195" s="25">
        <v>625458</v>
      </c>
      <c r="D8195" s="22" t="s">
        <v>10434</v>
      </c>
      <c r="E8195" s="22" t="s">
        <v>84</v>
      </c>
      <c r="F8195" s="23" t="str">
        <f t="shared" si="357"/>
        <v>Установка системы видеонаблюдения по адресу; Свердловская область, г. Сухой Лог, ул. Юбилейная, д.10; ул.Горького, д.9</v>
      </c>
      <c r="G8195" s="22" t="s">
        <v>72</v>
      </c>
      <c r="H8195" s="22" t="s">
        <v>10435</v>
      </c>
      <c r="I8195" s="26">
        <v>43600.541666666701</v>
      </c>
      <c r="J8195" s="23" t="str">
        <f>HYPERLINK("https://www.spark-marketing.ru/Card/Person/6236196", "ООО ""ВИДЕОСЕРВИС""")</f>
        <v>ООО "ВИДЕОСЕРВИС"</v>
      </c>
      <c r="K8195" s="24" t="s">
        <v>7810</v>
      </c>
      <c r="L8195" s="28" t="s">
        <v>52</v>
      </c>
      <c r="M8195" s="25">
        <v>372872.71</v>
      </c>
      <c r="N8195" s="27">
        <v>0.40384052965986528</v>
      </c>
    </row>
    <row r="8196" spans="1:14" hidden="1" outlineLevel="1" x14ac:dyDescent="0.2">
      <c r="A8196" s="23" t="str">
        <f t="shared" si="356"/>
        <v>ГБПОУ СО "СУХОЛОЖСКИЙ МНОГОПРОФИЛЬНЫЙ ТЕХНИКУМ"</v>
      </c>
      <c r="B8196" s="24" t="s">
        <v>10433</v>
      </c>
      <c r="C8196" s="25">
        <v>625458</v>
      </c>
      <c r="D8196" s="22" t="s">
        <v>10434</v>
      </c>
      <c r="E8196" s="22" t="s">
        <v>84</v>
      </c>
      <c r="F8196" s="23" t="str">
        <f t="shared" si="357"/>
        <v>Установка системы видеонаблюдения по адресу; Свердловская область, г. Сухой Лог, ул. Юбилейная, д.10; ул.Горького, д.9</v>
      </c>
      <c r="G8196" s="22" t="s">
        <v>72</v>
      </c>
      <c r="H8196" s="22" t="s">
        <v>10435</v>
      </c>
      <c r="I8196" s="26">
        <v>43600.541666666701</v>
      </c>
      <c r="J8196" s="23" t="str">
        <f>HYPERLINK("https://www.spark-marketing.ru/Card/Person/850561", "ООО ""АСКОН""")</f>
        <v>ООО "АСКОН"</v>
      </c>
      <c r="K8196" s="24" t="s">
        <v>1266</v>
      </c>
      <c r="L8196" s="28" t="s">
        <v>52</v>
      </c>
      <c r="M8196" s="25">
        <v>600439.68000000005</v>
      </c>
      <c r="N8196" s="27">
        <v>0.04</v>
      </c>
    </row>
    <row r="8197" spans="1:14" hidden="1" outlineLevel="1" x14ac:dyDescent="0.2">
      <c r="A8197" s="23" t="str">
        <f t="shared" si="356"/>
        <v>ГБПОУ СО "СУХОЛОЖСКИЙ МНОГОПРОФИЛЬНЫЙ ТЕХНИКУМ"</v>
      </c>
      <c r="B8197" s="24" t="s">
        <v>10433</v>
      </c>
      <c r="C8197" s="25">
        <v>625458</v>
      </c>
      <c r="D8197" s="22" t="s">
        <v>10434</v>
      </c>
      <c r="E8197" s="22" t="s">
        <v>84</v>
      </c>
      <c r="F8197" s="23" t="str">
        <f t="shared" si="357"/>
        <v>Установка системы видеонаблюдения по адресу; Свердловская область, г. Сухой Лог, ул. Юбилейная, д.10; ул.Горького, д.9</v>
      </c>
      <c r="G8197" s="22" t="s">
        <v>72</v>
      </c>
      <c r="H8197" s="22" t="s">
        <v>10435</v>
      </c>
      <c r="I8197" s="26">
        <v>43600.541666666701</v>
      </c>
      <c r="J8197" s="23" t="str">
        <f>HYPERLINK("https://www.spark-marketing.ru/Card/Person/809109", "ООО ""ТЕХСЕРВИС""")</f>
        <v>ООО "ТЕХСЕРВИС"</v>
      </c>
      <c r="K8197" s="24" t="s">
        <v>10436</v>
      </c>
      <c r="L8197" s="28" t="s">
        <v>52</v>
      </c>
      <c r="M8197" s="25">
        <v>420067.28</v>
      </c>
      <c r="N8197" s="27">
        <v>0.32838451182973116</v>
      </c>
    </row>
    <row r="8198" spans="1:14" hidden="1" outlineLevel="1" x14ac:dyDescent="0.2">
      <c r="A8198" s="23" t="str">
        <f t="shared" si="356"/>
        <v>ГБПОУ СО "СУХОЛОЖСКИЙ МНОГОПРОФИЛЬНЫЙ ТЕХНИКУМ"</v>
      </c>
      <c r="B8198" s="24" t="s">
        <v>10433</v>
      </c>
      <c r="C8198" s="25">
        <v>625458</v>
      </c>
      <c r="D8198" s="22" t="s">
        <v>10434</v>
      </c>
      <c r="E8198" s="22" t="s">
        <v>84</v>
      </c>
      <c r="F8198" s="23" t="str">
        <f t="shared" si="357"/>
        <v>Установка системы видеонаблюдения по адресу; Свердловская область, г. Сухой Лог, ул. Юбилейная, д.10; ул.Горького, д.9</v>
      </c>
      <c r="G8198" s="22" t="s">
        <v>72</v>
      </c>
      <c r="H8198" s="22" t="s">
        <v>10435</v>
      </c>
      <c r="I8198" s="26">
        <v>43600.541666666701</v>
      </c>
      <c r="J8198" s="23" t="str">
        <f>HYPERLINK("https://www.spark-marketing.ru/Card/Person/802032", "ООО ""НОВАДОМ""")</f>
        <v>ООО "НОВАДОМ"</v>
      </c>
      <c r="K8198" s="24" t="s">
        <v>10437</v>
      </c>
      <c r="L8198" s="28" t="s">
        <v>52</v>
      </c>
      <c r="M8198" s="25">
        <v>506872.71</v>
      </c>
      <c r="N8198" s="27">
        <v>0.18959752693226403</v>
      </c>
    </row>
    <row r="8199" spans="1:14" hidden="1" outlineLevel="1" x14ac:dyDescent="0.2">
      <c r="A8199" s="23" t="str">
        <f t="shared" si="356"/>
        <v>ГБПОУ СО "СУХОЛОЖСКИЙ МНОГОПРОФИЛЬНЫЙ ТЕХНИКУМ"</v>
      </c>
      <c r="B8199" s="24" t="s">
        <v>10433</v>
      </c>
      <c r="C8199" s="25">
        <v>625458</v>
      </c>
      <c r="D8199" s="22" t="s">
        <v>10434</v>
      </c>
      <c r="E8199" s="22" t="s">
        <v>84</v>
      </c>
      <c r="F8199" s="23" t="str">
        <f t="shared" si="357"/>
        <v>Установка системы видеонаблюдения по адресу; Свердловская область, г. Сухой Лог, ул. Юбилейная, д.10; ул.Горького, д.9</v>
      </c>
      <c r="G8199" s="22" t="s">
        <v>72</v>
      </c>
      <c r="H8199" s="22" t="s">
        <v>10435</v>
      </c>
      <c r="I8199" s="26">
        <v>43600.541666666701</v>
      </c>
      <c r="J8199" s="23" t="str">
        <f>HYPERLINK("https://www.spark-marketing.ru/Card/Person/972994", "ООО ""КОМПЛЕКСНЫЕ СИСТЕМЫ""")</f>
        <v>ООО "КОМПЛЕКСНЫЕ СИСТЕМЫ"</v>
      </c>
      <c r="K8199" s="24" t="s">
        <v>10438</v>
      </c>
      <c r="L8199" s="28" t="s">
        <v>52</v>
      </c>
      <c r="M8199" s="25">
        <v>594185.1</v>
      </c>
      <c r="N8199" s="27">
        <v>0.05</v>
      </c>
    </row>
    <row r="8200" spans="1:14" hidden="1" outlineLevel="1" x14ac:dyDescent="0.2">
      <c r="A8200" s="23" t="str">
        <f t="shared" si="356"/>
        <v>ГБПОУ СО "СУХОЛОЖСКИЙ МНОГОПРОФИЛЬНЫЙ ТЕХНИКУМ"</v>
      </c>
      <c r="B8200" s="24" t="s">
        <v>10433</v>
      </c>
      <c r="C8200" s="25">
        <v>625458</v>
      </c>
      <c r="D8200" s="22" t="s">
        <v>10434</v>
      </c>
      <c r="E8200" s="22" t="s">
        <v>84</v>
      </c>
      <c r="F8200" s="23" t="str">
        <f t="shared" si="357"/>
        <v>Установка системы видеонаблюдения по адресу; Свердловская область, г. Сухой Лог, ул. Юбилейная, д.10; ул.Горького, д.9</v>
      </c>
      <c r="G8200" s="22" t="s">
        <v>72</v>
      </c>
      <c r="H8200" s="22" t="s">
        <v>10435</v>
      </c>
      <c r="I8200" s="26">
        <v>43600.541666666701</v>
      </c>
      <c r="J8200" s="23" t="str">
        <f>HYPERLINK("https://www.spark-marketing.ru/Card/Person/802084", "ООО ""ГЕФЕСТ""")</f>
        <v>ООО "ГЕФЕСТ"</v>
      </c>
      <c r="K8200" s="24" t="s">
        <v>3414</v>
      </c>
      <c r="L8200" s="28" t="s">
        <v>52</v>
      </c>
      <c r="M8200" s="25">
        <v>619203.42000000004</v>
      </c>
      <c r="N8200" s="27">
        <v>0.01</v>
      </c>
    </row>
    <row r="8201" spans="1:14" hidden="1" outlineLevel="1" x14ac:dyDescent="0.2">
      <c r="A8201" s="23" t="str">
        <f t="shared" si="356"/>
        <v>ГБПОУ СО "СУХОЛОЖСКИЙ МНОГОПРОФИЛЬНЫЙ ТЕХНИКУМ"</v>
      </c>
      <c r="B8201" s="24" t="s">
        <v>10433</v>
      </c>
      <c r="C8201" s="25">
        <v>625458</v>
      </c>
      <c r="D8201" s="22" t="s">
        <v>10434</v>
      </c>
      <c r="E8201" s="22" t="s">
        <v>84</v>
      </c>
      <c r="F8201" s="23" t="str">
        <f t="shared" si="357"/>
        <v>Установка системы видеонаблюдения по адресу; Свердловская область, г. Сухой Лог, ул. Юбилейная, д.10; ул.Горького, д.9</v>
      </c>
      <c r="G8201" s="22" t="s">
        <v>72</v>
      </c>
      <c r="H8201" s="22" t="s">
        <v>10435</v>
      </c>
      <c r="I8201" s="26">
        <v>43600.541666666701</v>
      </c>
      <c r="J8201" s="23" t="str">
        <f>HYPERLINK("https://www.spark-marketing.ru/Card/Person/1499460", "ООО ""СТРОЙКОНСАЛТИНГ""")</f>
        <v>ООО "СТРОЙКОНСАЛТИНГ"</v>
      </c>
      <c r="K8201" s="24" t="s">
        <v>10439</v>
      </c>
      <c r="L8201" s="28" t="s">
        <v>52</v>
      </c>
      <c r="M8201" s="25">
        <v>510000</v>
      </c>
      <c r="N8201" s="27">
        <v>0.18459752693226403</v>
      </c>
    </row>
    <row r="8202" spans="1:14" ht="12.75" hidden="1" outlineLevel="1" x14ac:dyDescent="0.2">
      <c r="A8202" s="23" t="str">
        <f t="shared" si="356"/>
        <v>ГБПОУ СО "СУХОЛОЖСКИЙ МНОГОПРОФИЛЬНЫЙ ТЕХНИКУМ"</v>
      </c>
      <c r="B8202" s="24" t="s">
        <v>10433</v>
      </c>
      <c r="C8202" s="25">
        <v>625458</v>
      </c>
      <c r="D8202" s="22" t="s">
        <v>10434</v>
      </c>
      <c r="E8202" s="22" t="s">
        <v>84</v>
      </c>
      <c r="F8202" s="23" t="str">
        <f t="shared" si="357"/>
        <v>Установка системы видеонаблюдения по адресу; Свердловская область, г. Сухой Лог, ул. Юбилейная, д.10; ул.Горького, д.9</v>
      </c>
      <c r="G8202" s="22" t="s">
        <v>72</v>
      </c>
      <c r="H8202" s="22" t="s">
        <v>10435</v>
      </c>
      <c r="I8202" s="26">
        <v>43600.541666666701</v>
      </c>
      <c r="J8202" s="23" t="str">
        <f>HYPERLINK("https://www.spark-marketing.ru/Card/Person/4408755", "ООО ""ВЕРТИКАЛЬ""")</f>
        <v>ООО "ВЕРТИКАЛЬ"</v>
      </c>
      <c r="K8202" s="24" t="s">
        <v>1210</v>
      </c>
      <c r="L8202" s="22" t="s">
        <v>10</v>
      </c>
      <c r="M8202" s="25">
        <v>369700</v>
      </c>
      <c r="N8202" s="27">
        <v>0.40891314844481963</v>
      </c>
    </row>
    <row r="8203" spans="1:14" x14ac:dyDescent="0.2">
      <c r="A8203" s="23" t="str">
        <f>HYPERLINK("https://www.spark-marketing.ru/Card/Person/46655", "МАУЗ ОТКЗ ГКБ № 1")</f>
        <v>МАУЗ ОТКЗ ГКБ № 1</v>
      </c>
      <c r="B8203" s="24" t="s">
        <v>10440</v>
      </c>
      <c r="C8203" s="25">
        <v>126144.37</v>
      </c>
      <c r="D8203" s="22" t="s">
        <v>10441</v>
      </c>
      <c r="E8203" s="22" t="s">
        <v>370</v>
      </c>
      <c r="F8203" s="23" t="str">
        <f>HYPERLINK("https://www.spark-marketing.ru/Card/Lot/70487069", "Выполнение работ по техническому обслуживанию эндоскопического оборудования")</f>
        <v>Выполнение работ по техническому обслуживанию эндоскопического оборудования</v>
      </c>
      <c r="G8203" s="22" t="s">
        <v>60</v>
      </c>
      <c r="H8203" s="22" t="s">
        <v>60</v>
      </c>
      <c r="I8203" s="26">
        <v>43600.545937499999</v>
      </c>
      <c r="J8203" s="23" t="str">
        <f>HYPERLINK("https://www.spark-marketing.ru/Card/Person/47269", "АО ""АМГ""")</f>
        <v>АО "АМГ"</v>
      </c>
      <c r="K8203" s="24" t="s">
        <v>10442</v>
      </c>
      <c r="L8203" s="28" t="s">
        <v>52</v>
      </c>
      <c r="M8203" s="25">
        <v>126144.37</v>
      </c>
      <c r="N8203" s="27">
        <v>0</v>
      </c>
    </row>
    <row r="8204" spans="1:14" x14ac:dyDescent="0.15">
      <c r="A8204" s="23" t="str">
        <f>HYPERLINK("https://www.spark-marketing.ru/Card/Person/1075953", "МБУ ДСОЛ ""СОЛНЫШКО""")</f>
        <v>МБУ ДСОЛ "СОЛНЫШКО"</v>
      </c>
      <c r="B8204" s="24" t="s">
        <v>10443</v>
      </c>
      <c r="C8204" s="25">
        <v>36669</v>
      </c>
      <c r="D8204" s="22" t="s">
        <v>10444</v>
      </c>
      <c r="E8204" s="22" t="s">
        <v>208</v>
      </c>
      <c r="F8204" s="23" t="str">
        <f>HYPERLINK("https://www.spark-marketing.ru/Card/Lot/70498262", "установку дополнительных камер видеонаблюдения на вертикальные опоры в соответствии с техническим заданием Приложение № 1 к настоящему Контракту.")</f>
        <v>установку дополнительных камер видеонаблюдения на вертикальные опоры в соответствии с техническим заданием Приложение № 1 к настоящему Контракту.</v>
      </c>
      <c r="G8204" s="22" t="s">
        <v>402</v>
      </c>
      <c r="H8204" s="22" t="s">
        <v>10445</v>
      </c>
      <c r="I8204" s="26">
        <v>43600.574305555601</v>
      </c>
      <c r="J8204" s="28" t="s">
        <v>52</v>
      </c>
      <c r="K8204" s="28" t="s">
        <v>52</v>
      </c>
      <c r="L8204" s="28" t="s">
        <v>52</v>
      </c>
      <c r="M8204" s="28" t="s">
        <v>52</v>
      </c>
      <c r="N8204" s="28" t="s">
        <v>52</v>
      </c>
    </row>
    <row r="8205" spans="1:14" x14ac:dyDescent="0.15">
      <c r="A8205" s="23" t="str">
        <f>HYPERLINK("https://www.spark-marketing.ru/Card/Person/1068171", "МКОУ ""КАРГАПОЛОВСКАЯ СОШ""")</f>
        <v>МКОУ "КАРГАПОЛОВСКАЯ СОШ"</v>
      </c>
      <c r="B8205" s="24" t="s">
        <v>10446</v>
      </c>
      <c r="C8205" s="25">
        <v>12500</v>
      </c>
      <c r="D8205" s="22" t="s">
        <v>10447</v>
      </c>
      <c r="E8205" s="22" t="s">
        <v>208</v>
      </c>
      <c r="F8205" s="23" t="str">
        <f>HYPERLINK("https://www.spark-marketing.ru/Card/Lot/70498271", "Услуги по монтажу кнопки тревожной сигнализации")</f>
        <v>Услуги по монтажу кнопки тревожной сигнализации</v>
      </c>
      <c r="G8205" s="22" t="s">
        <v>209</v>
      </c>
      <c r="H8205" s="22" t="s">
        <v>5208</v>
      </c>
      <c r="I8205" s="26">
        <v>43600.577083333301</v>
      </c>
      <c r="J8205" s="28" t="s">
        <v>52</v>
      </c>
      <c r="K8205" s="28" t="s">
        <v>52</v>
      </c>
      <c r="L8205" s="28" t="s">
        <v>52</v>
      </c>
      <c r="M8205" s="28" t="s">
        <v>52</v>
      </c>
      <c r="N8205" s="28" t="s">
        <v>52</v>
      </c>
    </row>
    <row r="8206" spans="1:14" x14ac:dyDescent="0.15">
      <c r="A8206" s="23" t="str">
        <f t="shared" ref="A8206:A8212" si="358">HYPERLINK("https://www.spark-marketing.ru/Card/Person/27049", "ГБУЗ ""ЦЕНТР КРОВИ ИМЕНИ О.К. ГАВРИЛОВА ДЗМ""")</f>
        <v>ГБУЗ "ЦЕНТР КРОВИ ИМЕНИ О.К. ГАВРИЛОВА ДЗМ"</v>
      </c>
      <c r="B8206" s="24" t="s">
        <v>10448</v>
      </c>
      <c r="C8206" s="25">
        <v>249032.05</v>
      </c>
      <c r="D8206" s="22" t="s">
        <v>10449</v>
      </c>
      <c r="E8206" s="22" t="s">
        <v>5034</v>
      </c>
      <c r="F8206" s="23" t="str">
        <f t="shared" ref="F8206:F8212" si="359">HYPERLINK("https://www.spark-marketing.ru/Card/Lot/70493889", "«Аукцион в электронной форме на право заключения контракта на выполнение работ (оказания услуг) по техническому обслуживанию систем видеонаблюдения и охранной сигнализации для Государственного бюджетного учреждения здравоохранения города Москвы «Цент...")</f>
        <v>«Аукцион в электронной форме на право заключения контракта на выполнение работ (оказания услуг) по техническому обслуживанию систем видеонаблюдения и охранной сигнализации для Государственного бюджетного учреждения здравоохранения города Москвы «Цент...</v>
      </c>
      <c r="G8206" s="22" t="s">
        <v>55</v>
      </c>
      <c r="H8206" s="22" t="s">
        <v>55</v>
      </c>
      <c r="I8206" s="26">
        <v>43600.567361111098</v>
      </c>
      <c r="J8206" s="28" t="s">
        <v>52</v>
      </c>
      <c r="K8206" s="28" t="s">
        <v>52</v>
      </c>
      <c r="L8206" s="28" t="s">
        <v>52</v>
      </c>
      <c r="M8206" s="28" t="s">
        <v>52</v>
      </c>
      <c r="N8206" s="28" t="s">
        <v>52</v>
      </c>
    </row>
    <row r="8207" spans="1:14" hidden="1" outlineLevel="1" x14ac:dyDescent="0.2">
      <c r="A8207" s="23" t="str">
        <f t="shared" si="358"/>
        <v>ГБУЗ "ЦЕНТР КРОВИ ИМЕНИ О.К. ГАВРИЛОВА ДЗМ"</v>
      </c>
      <c r="B8207" s="24" t="s">
        <v>10448</v>
      </c>
      <c r="C8207" s="25">
        <v>249032.05</v>
      </c>
      <c r="D8207" s="22" t="s">
        <v>10449</v>
      </c>
      <c r="E8207" s="22" t="s">
        <v>5034</v>
      </c>
      <c r="F8207" s="23" t="str">
        <f t="shared" si="359"/>
        <v>«Аукцион в электронной форме на право заключения контракта на выполнение работ (оказания услуг) по техническому обслуживанию систем видеонаблюдения и охранной сигнализации для Государственного бюджетного учреждения здравоохранения города Москвы «Цент...</v>
      </c>
      <c r="G8207" s="22" t="s">
        <v>55</v>
      </c>
      <c r="H8207" s="22" t="s">
        <v>55</v>
      </c>
      <c r="I8207" s="26">
        <v>43600.567361111098</v>
      </c>
      <c r="J8207" s="23" t="str">
        <f>HYPERLINK("https://www.spark-marketing.ru/Card/Person/6364371", "ООО ""ЛТБ""")</f>
        <v>ООО "ЛТБ"</v>
      </c>
      <c r="K8207" s="24" t="s">
        <v>8538</v>
      </c>
      <c r="L8207" s="28" t="s">
        <v>52</v>
      </c>
      <c r="M8207" s="25">
        <v>40222.639999999999</v>
      </c>
      <c r="N8207" s="27">
        <v>0.83848408267128671</v>
      </c>
    </row>
    <row r="8208" spans="1:14" ht="12.75" hidden="1" outlineLevel="1" x14ac:dyDescent="0.2">
      <c r="A8208" s="23" t="str">
        <f t="shared" si="358"/>
        <v>ГБУЗ "ЦЕНТР КРОВИ ИМЕНИ О.К. ГАВРИЛОВА ДЗМ"</v>
      </c>
      <c r="B8208" s="24" t="s">
        <v>10448</v>
      </c>
      <c r="C8208" s="25">
        <v>249032.05</v>
      </c>
      <c r="D8208" s="22" t="s">
        <v>10449</v>
      </c>
      <c r="E8208" s="22" t="s">
        <v>5034</v>
      </c>
      <c r="F8208" s="23" t="str">
        <f t="shared" si="359"/>
        <v>«Аукцион в электронной форме на право заключения контракта на выполнение работ (оказания услуг) по техническому обслуживанию систем видеонаблюдения и охранной сигнализации для Государственного бюджетного учреждения здравоохранения города Москвы «Цент...</v>
      </c>
      <c r="G8208" s="22" t="s">
        <v>55</v>
      </c>
      <c r="H8208" s="22" t="s">
        <v>55</v>
      </c>
      <c r="I8208" s="26">
        <v>43600.567361111098</v>
      </c>
      <c r="J8208" s="23" t="str">
        <f>HYPERLINK("https://www.spark-marketing.ru/Card/Person/14846", "ООО ""ФЭЗЕРА""")</f>
        <v>ООО "ФЭЗЕРА"</v>
      </c>
      <c r="K8208" s="24" t="s">
        <v>1216</v>
      </c>
      <c r="L8208" s="22" t="s">
        <v>10</v>
      </c>
      <c r="M8208" s="25">
        <v>38977.480000000003</v>
      </c>
      <c r="N8208" s="27">
        <v>0.84348408166739985</v>
      </c>
    </row>
    <row r="8209" spans="1:14" hidden="1" outlineLevel="1" x14ac:dyDescent="0.2">
      <c r="A8209" s="23" t="str">
        <f t="shared" si="358"/>
        <v>ГБУЗ "ЦЕНТР КРОВИ ИМЕНИ О.К. ГАВРИЛОВА ДЗМ"</v>
      </c>
      <c r="B8209" s="24" t="s">
        <v>10448</v>
      </c>
      <c r="C8209" s="25">
        <v>249032.05</v>
      </c>
      <c r="D8209" s="22" t="s">
        <v>10449</v>
      </c>
      <c r="E8209" s="22" t="s">
        <v>5034</v>
      </c>
      <c r="F8209" s="23" t="str">
        <f t="shared" si="359"/>
        <v>«Аукцион в электронной форме на право заключения контракта на выполнение работ (оказания услуг) по техническому обслуживанию систем видеонаблюдения и охранной сигнализации для Государственного бюджетного учреждения здравоохранения города Москвы «Цент...</v>
      </c>
      <c r="G8209" s="22" t="s">
        <v>55</v>
      </c>
      <c r="H8209" s="22" t="s">
        <v>55</v>
      </c>
      <c r="I8209" s="26">
        <v>43600.567361111098</v>
      </c>
      <c r="J8209" s="23" t="str">
        <f>HYPERLINK("https://www.spark-marketing.ru/Card/Person/65028", "ООО ""ИМПУЛЬС М""")</f>
        <v>ООО "ИМПУЛЬС М"</v>
      </c>
      <c r="K8209" s="24" t="s">
        <v>7268</v>
      </c>
      <c r="L8209" s="28" t="s">
        <v>52</v>
      </c>
      <c r="M8209" s="25">
        <v>168000</v>
      </c>
      <c r="N8209" s="27">
        <v>0.32538803740321776</v>
      </c>
    </row>
    <row r="8210" spans="1:14" hidden="1" outlineLevel="1" x14ac:dyDescent="0.2">
      <c r="A8210" s="23" t="str">
        <f t="shared" si="358"/>
        <v>ГБУЗ "ЦЕНТР КРОВИ ИМЕНИ О.К. ГАВРИЛОВА ДЗМ"</v>
      </c>
      <c r="B8210" s="24" t="s">
        <v>10448</v>
      </c>
      <c r="C8210" s="25">
        <v>249032.05</v>
      </c>
      <c r="D8210" s="22" t="s">
        <v>10449</v>
      </c>
      <c r="E8210" s="22" t="s">
        <v>5034</v>
      </c>
      <c r="F8210" s="23" t="str">
        <f t="shared" si="359"/>
        <v>«Аукцион в электронной форме на право заключения контракта на выполнение работ (оказания услуг) по техническому обслуживанию систем видеонаблюдения и охранной сигнализации для Государственного бюджетного учреждения здравоохранения города Москвы «Цент...</v>
      </c>
      <c r="G8210" s="22" t="s">
        <v>55</v>
      </c>
      <c r="H8210" s="22" t="s">
        <v>55</v>
      </c>
      <c r="I8210" s="26">
        <v>43600.567361111098</v>
      </c>
      <c r="J8210" s="23" t="str">
        <f>HYPERLINK("https://www.spark-marketing.ru/Card/Person/2572181", "ООО ""ЖИРАФ""")</f>
        <v>ООО "ЖИРАФ"</v>
      </c>
      <c r="K8210" s="24" t="s">
        <v>8683</v>
      </c>
      <c r="L8210" s="28" t="s">
        <v>52</v>
      </c>
      <c r="M8210" s="25">
        <v>97500</v>
      </c>
      <c r="N8210" s="27">
        <v>0.60848412885008174</v>
      </c>
    </row>
    <row r="8211" spans="1:14" hidden="1" outlineLevel="1" x14ac:dyDescent="0.2">
      <c r="A8211" s="23" t="str">
        <f t="shared" si="358"/>
        <v>ГБУЗ "ЦЕНТР КРОВИ ИМЕНИ О.К. ГАВРИЛОВА ДЗМ"</v>
      </c>
      <c r="B8211" s="24" t="s">
        <v>10448</v>
      </c>
      <c r="C8211" s="25">
        <v>249032.05</v>
      </c>
      <c r="D8211" s="22" t="s">
        <v>10449</v>
      </c>
      <c r="E8211" s="22" t="s">
        <v>5034</v>
      </c>
      <c r="F8211" s="23" t="str">
        <f t="shared" si="359"/>
        <v>«Аукцион в электронной форме на право заключения контракта на выполнение работ (оказания услуг) по техническому обслуживанию систем видеонаблюдения и охранной сигнализации для Государственного бюджетного учреждения здравоохранения города Москвы «Цент...</v>
      </c>
      <c r="G8211" s="22" t="s">
        <v>55</v>
      </c>
      <c r="H8211" s="22" t="s">
        <v>55</v>
      </c>
      <c r="I8211" s="26">
        <v>43600.567361111098</v>
      </c>
      <c r="J8211" s="23" t="str">
        <f>HYPERLINK("https://www.spark-marketing.ru/Card/Person/6407297", "Бодрова Вера Юрьевна")</f>
        <v>Бодрова Вера Юрьевна</v>
      </c>
      <c r="K8211" s="24" t="s">
        <v>2694</v>
      </c>
      <c r="L8211" s="28" t="s">
        <v>52</v>
      </c>
      <c r="M8211" s="25">
        <v>82558.080000000002</v>
      </c>
      <c r="N8211" s="27">
        <v>0.66848411680343955</v>
      </c>
    </row>
    <row r="8212" spans="1:14" hidden="1" outlineLevel="1" x14ac:dyDescent="0.2">
      <c r="A8212" s="23" t="str">
        <f t="shared" si="358"/>
        <v>ГБУЗ "ЦЕНТР КРОВИ ИМЕНИ О.К. ГАВРИЛОВА ДЗМ"</v>
      </c>
      <c r="B8212" s="24" t="s">
        <v>10448</v>
      </c>
      <c r="C8212" s="25">
        <v>249032.05</v>
      </c>
      <c r="D8212" s="22" t="s">
        <v>10449</v>
      </c>
      <c r="E8212" s="22" t="s">
        <v>5034</v>
      </c>
      <c r="F8212" s="23" t="str">
        <f t="shared" si="359"/>
        <v>«Аукцион в электронной форме на право заключения контракта на выполнение работ (оказания услуг) по техническому обслуживанию систем видеонаблюдения и охранной сигнализации для Государственного бюджетного учреждения здравоохранения города Москвы «Цент...</v>
      </c>
      <c r="G8212" s="22" t="s">
        <v>55</v>
      </c>
      <c r="H8212" s="22" t="s">
        <v>55</v>
      </c>
      <c r="I8212" s="26">
        <v>43600.567361111098</v>
      </c>
      <c r="J8212" s="23" t="str">
        <f>HYPERLINK("https://www.spark-marketing.ru/Card/Person/84385", "Ложков Александр Анатольевич")</f>
        <v>Ложков Александр Анатольевич</v>
      </c>
      <c r="K8212" s="24" t="s">
        <v>9440</v>
      </c>
      <c r="L8212" s="28" t="s">
        <v>52</v>
      </c>
      <c r="M8212" s="25">
        <v>218754.84</v>
      </c>
      <c r="N8212" s="27">
        <v>0.12157957178604119</v>
      </c>
    </row>
    <row r="8213" spans="1:14" x14ac:dyDescent="0.15">
      <c r="A8213" s="23" t="str">
        <f>HYPERLINK("https://www.spark-marketing.ru/Card/Person/139768", "МДОУ ""Д/С № 28 О.В."" Г.МАГНИТОГОРСКА")</f>
        <v>МДОУ "Д/С № 28 О.В." Г.МАГНИТОГОРСКА</v>
      </c>
      <c r="B8213" s="24" t="s">
        <v>10450</v>
      </c>
      <c r="C8213" s="25">
        <v>2833.32</v>
      </c>
      <c r="D8213" s="22" t="s">
        <v>10451</v>
      </c>
      <c r="E8213" s="22" t="s">
        <v>84</v>
      </c>
      <c r="F8213" s="23" t="str">
        <f>HYPERLINK("https://www.spark-marketing.ru/Card/Lot/70495099", "Установка камер видеонаблюдения")</f>
        <v>Установка камер видеонаблюдения</v>
      </c>
      <c r="G8213" s="22" t="s">
        <v>60</v>
      </c>
      <c r="H8213" s="22" t="s">
        <v>221</v>
      </c>
      <c r="I8213" s="26">
        <v>43600.524305555598</v>
      </c>
      <c r="J8213" s="28" t="s">
        <v>52</v>
      </c>
      <c r="K8213" s="28" t="s">
        <v>52</v>
      </c>
      <c r="L8213" s="28" t="s">
        <v>52</v>
      </c>
      <c r="M8213" s="28" t="s">
        <v>52</v>
      </c>
      <c r="N8213" s="28" t="s">
        <v>52</v>
      </c>
    </row>
    <row r="8214" spans="1:14" x14ac:dyDescent="0.15">
      <c r="A8214" s="23" t="str">
        <f>HYPERLINK("https://www.spark-marketing.ru/Card/Person/34197", "ГКУСО МО ""СЕРГИЕВО-ПОСАДСКИЙ СРЦН""")</f>
        <v>ГКУСО МО "СЕРГИЕВО-ПОСАДСКИЙ СРЦН"</v>
      </c>
      <c r="B8214" s="24" t="s">
        <v>644</v>
      </c>
      <c r="C8214" s="25">
        <v>158622.81</v>
      </c>
      <c r="D8214" s="22" t="s">
        <v>10452</v>
      </c>
      <c r="E8214" s="22" t="s">
        <v>59</v>
      </c>
      <c r="F8214" s="23" t="str">
        <f>HYPERLINK("https://www.spark-marketing.ru/Card/Lot/70493669", "Работы по установке систем охранной (противовзломной) сигнализации")</f>
        <v>Работы по установке систем охранной (противовзломной) сигнализации</v>
      </c>
      <c r="G8214" s="22" t="s">
        <v>50</v>
      </c>
      <c r="H8214" s="22" t="s">
        <v>326</v>
      </c>
      <c r="I8214" s="26">
        <v>43600.515972222202</v>
      </c>
      <c r="J8214" s="28" t="s">
        <v>52</v>
      </c>
      <c r="K8214" s="28" t="s">
        <v>52</v>
      </c>
      <c r="L8214" s="28" t="s">
        <v>52</v>
      </c>
      <c r="M8214" s="28" t="s">
        <v>52</v>
      </c>
      <c r="N8214" s="28" t="s">
        <v>52</v>
      </c>
    </row>
    <row r="8215" spans="1:14" ht="12.75" hidden="1" outlineLevel="1" x14ac:dyDescent="0.2">
      <c r="A8215" s="23" t="str">
        <f>HYPERLINK("https://www.spark-marketing.ru/Card/Person/34197", "ГКУСО МО ""СЕРГИЕВО-ПОСАДСКИЙ СРЦН""")</f>
        <v>ГКУСО МО "СЕРГИЕВО-ПОСАДСКИЙ СРЦН"</v>
      </c>
      <c r="B8215" s="24" t="s">
        <v>644</v>
      </c>
      <c r="C8215" s="25">
        <v>158622.81</v>
      </c>
      <c r="D8215" s="22" t="s">
        <v>10452</v>
      </c>
      <c r="E8215" s="22" t="s">
        <v>59</v>
      </c>
      <c r="F8215" s="23" t="str">
        <f>HYPERLINK("https://www.spark-marketing.ru/Card/Lot/70493669", "Работы по установке систем охранной (противовзломной) сигнализации")</f>
        <v>Работы по установке систем охранной (противовзломной) сигнализации</v>
      </c>
      <c r="G8215" s="22" t="s">
        <v>50</v>
      </c>
      <c r="H8215" s="22" t="s">
        <v>326</v>
      </c>
      <c r="I8215" s="26">
        <v>43600.515972222202</v>
      </c>
      <c r="J8215" s="23" t="str">
        <f>HYPERLINK("https://www.spark-marketing.ru/Card/Person/6471438", "ФЛ ФГУП ОХРАНА ФЕДЕРАЛЬНОЙ СЛУЖБЫ ВОЙСК НАЦИОНАЛЬНОЙ ГВАРДИИ РФ ПО МО")</f>
        <v>ФЛ ФГУП ОХРАНА ФЕДЕРАЛЬНОЙ СЛУЖБЫ ВОЙСК НАЦИОНАЛЬНОЙ ГВАРДИИ РФ ПО МО</v>
      </c>
      <c r="K8215" s="24" t="s">
        <v>779</v>
      </c>
      <c r="L8215" s="22" t="s">
        <v>10</v>
      </c>
      <c r="M8215" s="25">
        <v>140381.04999999999</v>
      </c>
      <c r="N8215" s="27">
        <v>0.11500086273846744</v>
      </c>
    </row>
    <row r="8216" spans="1:14" hidden="1" outlineLevel="1" x14ac:dyDescent="0.2">
      <c r="A8216" s="23" t="str">
        <f>HYPERLINK("https://www.spark-marketing.ru/Card/Person/34197", "ГКУСО МО ""СЕРГИЕВО-ПОСАДСКИЙ СРЦН""")</f>
        <v>ГКУСО МО "СЕРГИЕВО-ПОСАДСКИЙ СРЦН"</v>
      </c>
      <c r="B8216" s="24" t="s">
        <v>644</v>
      </c>
      <c r="C8216" s="25">
        <v>158622.81</v>
      </c>
      <c r="D8216" s="22" t="s">
        <v>10452</v>
      </c>
      <c r="E8216" s="22" t="s">
        <v>59</v>
      </c>
      <c r="F8216" s="23" t="str">
        <f>HYPERLINK("https://www.spark-marketing.ru/Card/Lot/70493669", "Работы по установке систем охранной (противовзломной) сигнализации")</f>
        <v>Работы по установке систем охранной (противовзломной) сигнализации</v>
      </c>
      <c r="G8216" s="22" t="s">
        <v>50</v>
      </c>
      <c r="H8216" s="22" t="s">
        <v>326</v>
      </c>
      <c r="I8216" s="26">
        <v>43600.515972222202</v>
      </c>
      <c r="J8216" s="23" t="str">
        <f>HYPERLINK("https://www.spark-marketing.ru/Card/Person/138497", "ООО ""ПТС""")</f>
        <v>ООО "ПТС"</v>
      </c>
      <c r="K8216" s="24" t="s">
        <v>9590</v>
      </c>
      <c r="L8216" s="28" t="s">
        <v>52</v>
      </c>
      <c r="M8216" s="25">
        <v>140381.04999999999</v>
      </c>
      <c r="N8216" s="27">
        <v>0.11500086273846744</v>
      </c>
    </row>
    <row r="8217" spans="1:14" x14ac:dyDescent="0.15">
      <c r="A8217" s="23" t="str">
        <f>HYPERLINK("https://www.spark-marketing.ru/Card/Person/52487", "ГБУ РО ""ОКЦФП""")</f>
        <v>ГБУ РО "ОКЦФП"</v>
      </c>
      <c r="B8217" s="24" t="s">
        <v>9644</v>
      </c>
      <c r="C8217" s="25">
        <v>7795</v>
      </c>
      <c r="D8217" s="22" t="s">
        <v>10453</v>
      </c>
      <c r="E8217" s="22" t="s">
        <v>194</v>
      </c>
      <c r="F8217" s="23" t="str">
        <f>HYPERLINK("https://www.spark-marketing.ru/Card/Lot/70494466", "Поставка мегафонов ручных для обеспечения автономной системы оповещения для нужд Гуковского филиала ГБУ РО ""ОКЦФП"" в рамках реализации государственной программы Ростовской области «Обеспечение порядка и профилактика правонарушений»")</f>
        <v>Поставка мегафонов ручных для обеспечения автономной системы оповещения для нужд Гуковского филиала ГБУ РО "ОКЦФП" в рамках реализации государственной программы Ростовской области «Обеспечение порядка и профилактика правонарушений»</v>
      </c>
      <c r="G8217" s="22" t="s">
        <v>402</v>
      </c>
      <c r="H8217" s="22" t="s">
        <v>10454</v>
      </c>
      <c r="I8217" s="26">
        <v>43600.535416666702</v>
      </c>
      <c r="J8217" s="28" t="s">
        <v>52</v>
      </c>
      <c r="K8217" s="28" t="s">
        <v>52</v>
      </c>
      <c r="L8217" s="28" t="s">
        <v>52</v>
      </c>
      <c r="M8217" s="28" t="s">
        <v>52</v>
      </c>
      <c r="N8217" s="28" t="s">
        <v>52</v>
      </c>
    </row>
    <row r="8218" spans="1:14" x14ac:dyDescent="0.2">
      <c r="A8218" s="23" t="str">
        <f>HYPERLINK("https://www.spark-marketing.ru/Card/Person/1325166", "МАУДО ""ДШИ №1""")</f>
        <v>МАУДО "ДШИ №1"</v>
      </c>
      <c r="B8218" s="24" t="s">
        <v>10455</v>
      </c>
      <c r="C8218" s="25">
        <v>99378.8</v>
      </c>
      <c r="D8218" s="22" t="s">
        <v>10456</v>
      </c>
      <c r="E8218" s="22" t="s">
        <v>691</v>
      </c>
      <c r="F8218" s="23" t="str">
        <f>HYPERLINK("https://www.spark-marketing.ru/Card/Lot/70490704", "оказание услуги по установке системы видеонаблюдения")</f>
        <v>оказание услуги по установке системы видеонаблюдения</v>
      </c>
      <c r="G8218" s="22" t="s">
        <v>80</v>
      </c>
      <c r="H8218" s="22" t="s">
        <v>80</v>
      </c>
      <c r="I8218" s="26">
        <v>43600.535266203697</v>
      </c>
      <c r="J8218" s="23" t="str">
        <f>HYPERLINK("https://www.spark-marketing.ru/Card/Person/-1", "неизвестно")</f>
        <v>неизвестно</v>
      </c>
      <c r="K8218" s="28" t="s">
        <v>52</v>
      </c>
      <c r="L8218" s="28" t="s">
        <v>52</v>
      </c>
      <c r="M8218" s="25">
        <v>84999</v>
      </c>
      <c r="N8218" s="27">
        <v>0.14469685687490691</v>
      </c>
    </row>
    <row r="8219" spans="1:14" x14ac:dyDescent="0.2">
      <c r="A8219" s="23" t="str">
        <f>HYPERLINK("https://www.spark-marketing.ru/Card/Person/1759651", "СРЕДНЯЯ ШКОЛА № 30, МАОУ ""СОШ № 30""")</f>
        <v>СРЕДНЯЯ ШКОЛА № 30, МАОУ "СОШ № 30"</v>
      </c>
      <c r="B8219" s="24" t="s">
        <v>9679</v>
      </c>
      <c r="C8219" s="25">
        <v>189004.79999999999</v>
      </c>
      <c r="D8219" s="22" t="s">
        <v>10457</v>
      </c>
      <c r="E8219" s="22" t="s">
        <v>691</v>
      </c>
      <c r="F8219" s="23" t="str">
        <f>HYPERLINK("https://www.spark-marketing.ru/Card/Lot/70487019", "Установка (модернизация) внутреннего и наружного видеонаблюдения")</f>
        <v>Установка (модернизация) внутреннего и наружного видеонаблюдения</v>
      </c>
      <c r="G8219" s="22" t="s">
        <v>72</v>
      </c>
      <c r="H8219" s="22" t="s">
        <v>72</v>
      </c>
      <c r="I8219" s="26">
        <v>43600.524097222202</v>
      </c>
      <c r="J8219" s="28" t="s">
        <v>52</v>
      </c>
      <c r="K8219" s="28" t="s">
        <v>52</v>
      </c>
      <c r="L8219" s="28" t="s">
        <v>52</v>
      </c>
      <c r="M8219" s="25">
        <v>189000</v>
      </c>
      <c r="N8219" s="27">
        <v>2.5396180414465664E-5</v>
      </c>
    </row>
    <row r="8220" spans="1:14" x14ac:dyDescent="0.15">
      <c r="A8220" s="23" t="str">
        <f>HYPERLINK("https://www.spark-marketing.ru/Card/Person/9722", "ГБУЗ НСО ""ГНОКГВВ""")</f>
        <v>ГБУЗ НСО "ГНОКГВВ"</v>
      </c>
      <c r="B8220" s="24" t="s">
        <v>10458</v>
      </c>
      <c r="C8220" s="25">
        <v>48622.080000000002</v>
      </c>
      <c r="D8220" s="22" t="s">
        <v>10459</v>
      </c>
      <c r="E8220" s="22" t="s">
        <v>68</v>
      </c>
      <c r="F8220" s="23" t="str">
        <f>HYPERLINK("https://www.spark-marketing.ru/Card/Lot/70488113", "Оказание услуг по пультовой охране объекта срабатывания средств тревожной сигнализации в ГБУЗ НСО ""ГНОКГВВ""")</f>
        <v>Оказание услуг по пультовой охране объекта срабатывания средств тревожной сигнализации в ГБУЗ НСО "ГНОКГВВ"</v>
      </c>
      <c r="G8220" s="22" t="s">
        <v>209</v>
      </c>
      <c r="H8220" s="22" t="s">
        <v>210</v>
      </c>
      <c r="I8220" s="26">
        <v>43600.490277777797</v>
      </c>
      <c r="J8220" s="28" t="s">
        <v>52</v>
      </c>
      <c r="K8220" s="28" t="s">
        <v>52</v>
      </c>
      <c r="L8220" s="28" t="s">
        <v>52</v>
      </c>
      <c r="M8220" s="28" t="s">
        <v>52</v>
      </c>
      <c r="N8220" s="28" t="s">
        <v>52</v>
      </c>
    </row>
    <row r="8221" spans="1:14" x14ac:dyDescent="0.2">
      <c r="A8221" s="23" t="str">
        <f>HYPERLINK("https://www.spark-marketing.ru/Card/Person/4434631", "МДОУ ""ЦРР - Д/С № 147"" Г. МАГНИТОГОРСКА")</f>
        <v>МДОУ "ЦРР - Д/С № 147" Г. МАГНИТОГОРСКА</v>
      </c>
      <c r="B8221" s="24" t="s">
        <v>8338</v>
      </c>
      <c r="C8221" s="25">
        <v>295140</v>
      </c>
      <c r="D8221" s="22" t="s">
        <v>10460</v>
      </c>
      <c r="E8221" s="22" t="s">
        <v>144</v>
      </c>
      <c r="F8221" s="23" t="str">
        <f>HYPERLINK("https://www.spark-marketing.ru/Card/Lot/70482042", "Оказание услуг по охране объектов Заказчика с помощью технических средств охраны")</f>
        <v>Оказание услуг по охране объектов Заказчика с помощью технических средств охраны</v>
      </c>
      <c r="G8221" s="22" t="s">
        <v>60</v>
      </c>
      <c r="H8221" s="22" t="s">
        <v>60</v>
      </c>
      <c r="I8221" s="26">
        <v>43600.462812500002</v>
      </c>
      <c r="J8221" s="28" t="s">
        <v>52</v>
      </c>
      <c r="K8221" s="28" t="s">
        <v>52</v>
      </c>
      <c r="L8221" s="22" t="s">
        <v>10</v>
      </c>
      <c r="M8221" s="25">
        <v>295140</v>
      </c>
      <c r="N8221" s="27">
        <v>0</v>
      </c>
    </row>
    <row r="8222" spans="1:14" x14ac:dyDescent="0.15">
      <c r="A8222" s="23" t="str">
        <f>HYPERLINK("https://www.spark-marketing.ru/Card/Person/10670", "НИЖЕГОРОДСКИЙ ОБЛАСТНОЙ СУД")</f>
        <v>НИЖЕГОРОДСКИЙ ОБЛАСТНОЙ СУД</v>
      </c>
      <c r="B8222" s="24" t="s">
        <v>10461</v>
      </c>
      <c r="C8222" s="25">
        <v>570000</v>
      </c>
      <c r="D8222" s="22" t="s">
        <v>10462</v>
      </c>
      <c r="E8222" s="22" t="s">
        <v>585</v>
      </c>
      <c r="F8222" s="23" t="str">
        <f>HYPERLINK("https://www.spark-marketing.ru/Card/Lot/70485449", "Услуги по техническому обслуживанию оборудования (ОПС , пропускной режим , система видеонаблюдения, СКУД)")</f>
        <v>Услуги по техническому обслуживанию оборудования (ОПС , пропускной режим , система видеонаблюдения, СКУД)</v>
      </c>
      <c r="G8222" s="22" t="s">
        <v>64</v>
      </c>
      <c r="H8222" s="22" t="s">
        <v>65</v>
      </c>
      <c r="I8222" s="26">
        <v>43600.471527777801</v>
      </c>
      <c r="J8222" s="23" t="str">
        <f>HYPERLINK("https://www.spark-marketing.ru/Card/Person/338603", "ООО ""ВИДИС""")</f>
        <v>ООО "ВИДИС"</v>
      </c>
      <c r="K8222" s="24" t="s">
        <v>7838</v>
      </c>
      <c r="L8222" s="22" t="s">
        <v>10</v>
      </c>
      <c r="M8222" s="28" t="s">
        <v>52</v>
      </c>
      <c r="N8222" s="28" t="s">
        <v>52</v>
      </c>
    </row>
    <row r="8223" spans="1:14" x14ac:dyDescent="0.15">
      <c r="A8223" s="23" t="str">
        <f>HYPERLINK("https://www.spark-marketing.ru/Card/Person/4365758", "ООО ""ГАЗПРОМ ДОБЫЧА НАДЫМ""")</f>
        <v>ООО "ГАЗПРОМ ДОБЫЧА НАДЫМ"</v>
      </c>
      <c r="B8223" s="24" t="s">
        <v>9893</v>
      </c>
      <c r="C8223" s="25">
        <v>1148789.68</v>
      </c>
      <c r="D8223" s="22" t="s">
        <v>10463</v>
      </c>
      <c r="E8223" s="22" t="s">
        <v>606</v>
      </c>
      <c r="F8223" s="23" t="str">
        <f>HYPERLINK("https://www.spark-marketing.ru/Card/Lot/70478529", "Оказание услуг по супервайзерскому сопровождению по завершению строительства объектов: «Скважина наблюдательная № 6900 куста газовых скважин № 69 УКПГ - 1 Бованенковского НГКМ», «Скважина газовая эксплуатационная №6402 куста газовых скважин №64 УКПГ-...")</f>
        <v>Оказание услуг по супервайзерскому сопровождению по завершению строительства объектов: «Скважина наблюдательная № 6900 куста газовых скважин № 69 УКПГ - 1 Бованенковского НГКМ», «Скважина газовая эксплуатационная №6402 куста газовых скважин №64 УКПГ-...</v>
      </c>
      <c r="G8223" s="22" t="s">
        <v>311</v>
      </c>
      <c r="H8223" s="22" t="s">
        <v>9895</v>
      </c>
      <c r="I8223" s="26">
        <v>43600.417418981502</v>
      </c>
      <c r="J8223" s="28" t="s">
        <v>52</v>
      </c>
      <c r="K8223" s="28" t="s">
        <v>52</v>
      </c>
      <c r="L8223" s="28" t="s">
        <v>52</v>
      </c>
      <c r="M8223" s="28" t="s">
        <v>52</v>
      </c>
      <c r="N8223" s="28" t="s">
        <v>52</v>
      </c>
    </row>
    <row r="8224" spans="1:14" x14ac:dyDescent="0.2">
      <c r="A8224" s="23" t="str">
        <f>HYPERLINK("https://www.spark-marketing.ru/Card/Person/1777814", "МАОУ СОШ №41 ГОРОДА ТЮМЕНИ")</f>
        <v>МАОУ СОШ №41 ГОРОДА ТЮМЕНИ</v>
      </c>
      <c r="B8224" s="24" t="s">
        <v>10464</v>
      </c>
      <c r="C8224" s="25">
        <v>555660</v>
      </c>
      <c r="D8224" s="22" t="s">
        <v>10465</v>
      </c>
      <c r="E8224" s="22" t="s">
        <v>363</v>
      </c>
      <c r="F8224" s="23" t="str">
        <f>HYPERLINK("https://www.spark-marketing.ru/Card/Lot/70476720", "Оказание охранных услуг")</f>
        <v>Оказание охранных услуг</v>
      </c>
      <c r="G8224" s="22" t="s">
        <v>893</v>
      </c>
      <c r="H8224" s="22" t="s">
        <v>893</v>
      </c>
      <c r="I8224" s="26">
        <v>43600.3780555556</v>
      </c>
      <c r="J8224" s="23" t="str">
        <f>HYPERLINK("https://www.spark-marketing.ru/Card/Person/241977", "ООО ""ЧОП ""АВАНПОСТ""")</f>
        <v>ООО "ЧОП "АВАНПОСТ"</v>
      </c>
      <c r="K8224" s="24" t="s">
        <v>10466</v>
      </c>
      <c r="L8224" s="28" t="s">
        <v>52</v>
      </c>
      <c r="M8224" s="25">
        <v>539000</v>
      </c>
      <c r="N8224" s="27">
        <v>2.9982363315696647E-2</v>
      </c>
    </row>
    <row r="8225" spans="1:14" x14ac:dyDescent="0.15">
      <c r="A8225" s="23" t="str">
        <f>HYPERLINK("https://www.spark-marketing.ru/Card/Person/1006153", "МОУ СОШ № 1 Г. ТАЛДОМА")</f>
        <v>МОУ СОШ № 1 Г. ТАЛДОМА</v>
      </c>
      <c r="B8225" s="24" t="s">
        <v>10467</v>
      </c>
      <c r="C8225" s="25">
        <v>13500</v>
      </c>
      <c r="D8225" s="22" t="s">
        <v>10468</v>
      </c>
      <c r="E8225" s="22" t="s">
        <v>103</v>
      </c>
      <c r="F8225" s="23" t="str">
        <f>HYPERLINK("https://www.spark-marketing.ru/Card/Lot/70480182", "Услуга по техническому обслуживанию системы видеонаблюдения на 2 полугодие 2019 г.")</f>
        <v>Услуга по техническому обслуживанию системы видеонаблюдения на 2 полугодие 2019 г.</v>
      </c>
      <c r="G8225" s="22" t="s">
        <v>50</v>
      </c>
      <c r="H8225" s="22" t="s">
        <v>5042</v>
      </c>
      <c r="I8225" s="26">
        <v>43600.388483796298</v>
      </c>
      <c r="J8225" s="28" t="s">
        <v>52</v>
      </c>
      <c r="K8225" s="28" t="s">
        <v>52</v>
      </c>
      <c r="L8225" s="28" t="s">
        <v>52</v>
      </c>
      <c r="M8225" s="28" t="s">
        <v>52</v>
      </c>
      <c r="N8225" s="28" t="s">
        <v>52</v>
      </c>
    </row>
    <row r="8226" spans="1:14" x14ac:dyDescent="0.2">
      <c r="A8226" s="23" t="str">
        <f>HYPERLINK("https://www.spark-marketing.ru/Card/Person/4365841", "ООО ""ГАЗПРОМ ДОБЫЧА УРЕНГОЙ""")</f>
        <v>ООО "ГАЗПРОМ ДОБЫЧА УРЕНГОЙ"</v>
      </c>
      <c r="B8226" s="24" t="s">
        <v>4510</v>
      </c>
      <c r="C8226" s="25">
        <v>2262000</v>
      </c>
      <c r="D8226" s="22" t="s">
        <v>10469</v>
      </c>
      <c r="E8226" s="22" t="s">
        <v>2577</v>
      </c>
      <c r="F8226" s="23" t="str">
        <f>HYPERLINK("https://www.spark-marketing.ru/Card/Lot/70475936", "Оказание услуг по разработке планов обеспечения транспортной безопасности транспортных средств ООО ""Газпром добыча Уренгой""")</f>
        <v>Оказание услуг по разработке планов обеспечения транспортной безопасности транспортных средств ООО "Газпром добыча Уренгой"</v>
      </c>
      <c r="G8226" s="22" t="s">
        <v>311</v>
      </c>
      <c r="H8226" s="22" t="s">
        <v>4513</v>
      </c>
      <c r="I8226" s="26">
        <v>43600.351793981499</v>
      </c>
      <c r="J8226" s="28" t="s">
        <v>52</v>
      </c>
      <c r="K8226" s="28" t="s">
        <v>52</v>
      </c>
      <c r="L8226" s="22" t="s">
        <v>10</v>
      </c>
      <c r="M8226" s="25">
        <v>1824000</v>
      </c>
      <c r="N8226" s="27">
        <v>0.19363395225464192</v>
      </c>
    </row>
    <row r="8227" spans="1:14" x14ac:dyDescent="0.2">
      <c r="A8227" s="23" t="str">
        <f>HYPERLINK("https://www.spark-marketing.ru/Card/Person/1694948", "АО ""НОВАТОР""")</f>
        <v>АО "НОВАТОР"</v>
      </c>
      <c r="B8227" s="24" t="s">
        <v>10470</v>
      </c>
      <c r="C8227" s="25">
        <v>490000</v>
      </c>
      <c r="D8227" s="22" t="s">
        <v>10471</v>
      </c>
      <c r="E8227" s="22" t="s">
        <v>10472</v>
      </c>
      <c r="F8227" s="23" t="str">
        <f>HYPERLINK("https://www.spark-marketing.ru/Card/Lot/70478459", "Оказание услуг по документационному обеспечению пропускного режима")</f>
        <v>Оказание услуг по документационному обеспечению пропускного режима</v>
      </c>
      <c r="G8227" s="22" t="s">
        <v>50</v>
      </c>
      <c r="H8227" s="22" t="s">
        <v>50</v>
      </c>
      <c r="I8227" s="26">
        <v>43600.357650462996</v>
      </c>
      <c r="J8227" s="23" t="str">
        <f>HYPERLINK("https://www.spark-marketing.ru/Card/Person/100904", "АО ""НИИЭМ""")</f>
        <v>АО "НИИЭМ"</v>
      </c>
      <c r="K8227" s="24" t="s">
        <v>10473</v>
      </c>
      <c r="L8227" s="28" t="s">
        <v>52</v>
      </c>
      <c r="M8227" s="25">
        <v>491616</v>
      </c>
      <c r="N8227" s="27">
        <v>-3.2979591836734693E-3</v>
      </c>
    </row>
    <row r="8228" spans="1:14" x14ac:dyDescent="0.15">
      <c r="A8228" s="23" t="str">
        <f>HYPERLINK("https://www.spark-marketing.ru/Card/Person/1041458", "ОТДЕЛЕНИЕ МВД РОССИИ ПО АЛЕКСАНДРОВСКОМУ РАЙОНУ")</f>
        <v>ОТДЕЛЕНИЕ МВД РОССИИ ПО АЛЕКСАНДРОВСКОМУ РАЙОНУ</v>
      </c>
      <c r="B8228" s="24" t="s">
        <v>10474</v>
      </c>
      <c r="C8228" s="25">
        <v>10000</v>
      </c>
      <c r="D8228" s="22" t="s">
        <v>10475</v>
      </c>
      <c r="E8228" s="22" t="s">
        <v>103</v>
      </c>
      <c r="F8228" s="23" t="str">
        <f>HYPERLINK("https://www.spark-marketing.ru/Card/Lot/70477729", "Техническое обслуживание сигнализации, 3 усл. ед")</f>
        <v>Техническое обслуживание сигнализации, 3 усл. ед</v>
      </c>
      <c r="G8228" s="22" t="s">
        <v>391</v>
      </c>
      <c r="H8228" s="22" t="s">
        <v>10476</v>
      </c>
      <c r="I8228" s="26">
        <v>43600.353692129604</v>
      </c>
      <c r="J8228" s="28" t="s">
        <v>52</v>
      </c>
      <c r="K8228" s="28" t="s">
        <v>52</v>
      </c>
      <c r="L8228" s="28" t="s">
        <v>52</v>
      </c>
      <c r="M8228" s="28" t="s">
        <v>52</v>
      </c>
      <c r="N8228" s="28" t="s">
        <v>52</v>
      </c>
    </row>
    <row r="8229" spans="1:14" x14ac:dyDescent="0.15">
      <c r="A8229" s="23" t="str">
        <f>HYPERLINK("https://www.spark-marketing.ru/Card/Person/5898153", "БОРХИММАШ")</f>
        <v>БОРХИММАШ</v>
      </c>
      <c r="B8229" s="28" t="s">
        <v>52</v>
      </c>
      <c r="C8229" s="28" t="s">
        <v>52</v>
      </c>
      <c r="D8229" s="28" t="s">
        <v>52</v>
      </c>
      <c r="E8229" s="22" t="s">
        <v>53</v>
      </c>
      <c r="F8229" s="23" t="str">
        <f>HYPERLINK("https://www.spark-marketing.ru/Card/Lot/70487638", "Техническое задание на сервисное обслуживание системы отопления главного корпуса ц.№12 АО «Борхиммаш». 1. Объект: «АО «Борхиммаш» главный корпус». 2. Вид работ: согласно п.9.5 и 9.6 «Правил технической эксплуатации и требований безопасности труда в г...")</f>
        <v>Техническое задание на сервисное обслуживание системы отопления главного корпуса ц.№12 АО «Борхиммаш». 1. Объект: «АО «Борхиммаш» главный корпус». 2. Вид работ: согласно п.9.5 и 9.6 «Правил технической эксплуатации и требований безопасности труда в г...</v>
      </c>
      <c r="G8229" s="22" t="s">
        <v>52</v>
      </c>
      <c r="H8229" s="22" t="s">
        <v>52</v>
      </c>
      <c r="I8229" s="26">
        <v>43600</v>
      </c>
      <c r="J8229" s="28" t="s">
        <v>52</v>
      </c>
      <c r="K8229" s="28" t="s">
        <v>52</v>
      </c>
      <c r="L8229" s="28" t="s">
        <v>52</v>
      </c>
      <c r="M8229" s="28" t="s">
        <v>52</v>
      </c>
      <c r="N8229" s="28" t="s">
        <v>52</v>
      </c>
    </row>
    <row r="8230" spans="1:14" x14ac:dyDescent="0.15">
      <c r="A8230" s="23" t="str">
        <f>HYPERLINK("https://www.spark-marketing.ru/Card/Person/6710800", "ФЛ КРАСНОДАР БУРЕНИЕ ООО ГАЗПРОМ БУРЕНИЕ")</f>
        <v>ФЛ КРАСНОДАР БУРЕНИЕ ООО ГАЗПРОМ БУРЕНИЕ</v>
      </c>
      <c r="B8230" s="28" t="s">
        <v>52</v>
      </c>
      <c r="C8230" s="28" t="s">
        <v>52</v>
      </c>
      <c r="D8230" s="22" t="s">
        <v>10477</v>
      </c>
      <c r="E8230" s="22" t="s">
        <v>53</v>
      </c>
      <c r="F8230" s="23" t="str">
        <f>HYPERLINK("https://www.spark-marketing.ru/Card/Lot/73978229", "Оказание услуг по охране объектов")</f>
        <v>Оказание услуг по охране объектов</v>
      </c>
      <c r="G8230" s="22" t="s">
        <v>52</v>
      </c>
      <c r="H8230" s="22" t="s">
        <v>52</v>
      </c>
      <c r="I8230" s="26">
        <v>43600</v>
      </c>
      <c r="J8230" s="28" t="s">
        <v>52</v>
      </c>
      <c r="K8230" s="28" t="s">
        <v>52</v>
      </c>
      <c r="L8230" s="28" t="s">
        <v>52</v>
      </c>
      <c r="M8230" s="28" t="s">
        <v>52</v>
      </c>
      <c r="N8230" s="28" t="s">
        <v>52</v>
      </c>
    </row>
    <row r="8231" spans="1:14" x14ac:dyDescent="0.15">
      <c r="A8231" s="23" t="str">
        <f>HYPERLINK("https://www.spark-marketing.ru/Card/Person/117072", "ФГБОУ ВО ""ЗАБГУ""")</f>
        <v>ФГБОУ ВО "ЗАБГУ"</v>
      </c>
      <c r="B8231" s="24" t="s">
        <v>10478</v>
      </c>
      <c r="C8231" s="25">
        <v>492099.93</v>
      </c>
      <c r="D8231" s="22" t="s">
        <v>10479</v>
      </c>
      <c r="E8231" s="22" t="s">
        <v>49</v>
      </c>
      <c r="F8231" s="23" t="str">
        <f>HYPERLINK("https://www.spark-marketing.ru/Card/Lot/70448500", "Выполнение работ по техническому обслуживанию систем видеонаблюдения и охранной сигнализации объектов ЗабГУ")</f>
        <v>Выполнение работ по техническому обслуживанию систем видеонаблюдения и охранной сигнализации объектов ЗабГУ</v>
      </c>
      <c r="G8231" s="22" t="s">
        <v>473</v>
      </c>
      <c r="H8231" s="22" t="s">
        <v>473</v>
      </c>
      <c r="I8231" s="26">
        <v>43599.722569444399</v>
      </c>
      <c r="J8231" s="28" t="s">
        <v>52</v>
      </c>
      <c r="K8231" s="28" t="s">
        <v>52</v>
      </c>
      <c r="L8231" s="28" t="s">
        <v>52</v>
      </c>
      <c r="M8231" s="28" t="s">
        <v>52</v>
      </c>
      <c r="N8231" s="28" t="s">
        <v>52</v>
      </c>
    </row>
    <row r="8232" spans="1:14" x14ac:dyDescent="0.15">
      <c r="A8232" s="23" t="str">
        <f>HYPERLINK("https://www.spark-marketing.ru/Card/Person/4348518", "ПАО ""ЗИО-ПОДОЛЬСК""")</f>
        <v>ПАО "ЗИО-ПОДОЛЬСК"</v>
      </c>
      <c r="B8232" s="24" t="s">
        <v>8344</v>
      </c>
      <c r="C8232" s="28" t="s">
        <v>52</v>
      </c>
      <c r="D8232" s="22" t="s">
        <v>10480</v>
      </c>
      <c r="E8232" s="22" t="s">
        <v>53</v>
      </c>
      <c r="F8232" s="23" t="str">
        <f>HYPERLINK("https://www.spark-marketing.ru/Card/Lot/70470294", "техническое обслуживание системы охранной и тревожной сигнализации склада хранения вооружения ПП №8 ПАО «Машиностроительный завод «ЗиО-Подольск». (1252586)")</f>
        <v>техническое обслуживание системы охранной и тревожной сигнализации склада хранения вооружения ПП №8 ПАО «Машиностроительный завод «ЗиО-Подольск». (1252586)</v>
      </c>
      <c r="G8232" s="22" t="s">
        <v>50</v>
      </c>
      <c r="H8232" s="22" t="s">
        <v>569</v>
      </c>
      <c r="I8232" s="26">
        <v>43599.704884259299</v>
      </c>
      <c r="J8232" s="28" t="s">
        <v>52</v>
      </c>
      <c r="K8232" s="28" t="s">
        <v>52</v>
      </c>
      <c r="L8232" s="28" t="s">
        <v>52</v>
      </c>
      <c r="M8232" s="28" t="s">
        <v>52</v>
      </c>
      <c r="N8232" s="28" t="s">
        <v>52</v>
      </c>
    </row>
    <row r="8233" spans="1:14" x14ac:dyDescent="0.15">
      <c r="A8233" s="23" t="str">
        <f>HYPERLINK("https://www.spark-marketing.ru/Card/Person/126768", "МБОУ ""СОШ №2""")</f>
        <v>МБОУ "СОШ №2"</v>
      </c>
      <c r="B8233" s="24" t="s">
        <v>10481</v>
      </c>
      <c r="C8233" s="25">
        <v>64000</v>
      </c>
      <c r="D8233" s="22" t="s">
        <v>10482</v>
      </c>
      <c r="E8233" s="22" t="s">
        <v>103</v>
      </c>
      <c r="F8233" s="23" t="str">
        <f>HYPERLINK("https://www.spark-marketing.ru/Card/Lot/70464621", "Оказание услуг по техническому обслуживанию системы видеонаблюдения")</f>
        <v>Оказание услуг по техническому обслуживанию системы видеонаблюдения</v>
      </c>
      <c r="G8233" s="22" t="s">
        <v>50</v>
      </c>
      <c r="H8233" s="22" t="s">
        <v>1960</v>
      </c>
      <c r="I8233" s="26">
        <v>43599.702175925901</v>
      </c>
      <c r="J8233" s="28" t="s">
        <v>52</v>
      </c>
      <c r="K8233" s="28" t="s">
        <v>52</v>
      </c>
      <c r="L8233" s="28" t="s">
        <v>52</v>
      </c>
      <c r="M8233" s="28" t="s">
        <v>52</v>
      </c>
      <c r="N8233" s="28" t="s">
        <v>52</v>
      </c>
    </row>
    <row r="8234" spans="1:14" x14ac:dyDescent="0.15">
      <c r="A8234" s="23" t="str">
        <f>HYPERLINK("https://www.spark-marketing.ru/Card/Person/61988", "УПРАВЛЕНИЕ РОСПОТРЕБНАДЗОРА ПО АСТРАХАНСКОЙ ОБЛАСТИ")</f>
        <v>УПРАВЛЕНИЕ РОСПОТРЕБНАДЗОРА ПО АСТРАХАНСКОЙ ОБЛАСТИ</v>
      </c>
      <c r="B8234" s="24" t="s">
        <v>10483</v>
      </c>
      <c r="C8234" s="25">
        <v>51669.279999999999</v>
      </c>
      <c r="D8234" s="22" t="s">
        <v>10484</v>
      </c>
      <c r="E8234" s="22" t="s">
        <v>53</v>
      </c>
      <c r="F8234" s="23" t="str">
        <f>HYPERLINK("https://www.spark-marketing.ru/Card/Lot/70757064", "Услуги пультовой охраны, мониторинг систем охранной и аварийной сигнализации, 1 шт")</f>
        <v>Услуги пультовой охраны, мониторинг систем охранной и аварийной сигнализации, 1 шт</v>
      </c>
      <c r="G8234" s="22" t="s">
        <v>565</v>
      </c>
      <c r="H8234" s="22" t="s">
        <v>566</v>
      </c>
      <c r="I8234" s="26">
        <v>43599.6859722222</v>
      </c>
      <c r="J8234" s="28" t="s">
        <v>52</v>
      </c>
      <c r="K8234" s="28" t="s">
        <v>52</v>
      </c>
      <c r="L8234" s="28" t="s">
        <v>52</v>
      </c>
      <c r="M8234" s="28" t="s">
        <v>52</v>
      </c>
      <c r="N8234" s="28" t="s">
        <v>52</v>
      </c>
    </row>
    <row r="8235" spans="1:14" x14ac:dyDescent="0.15">
      <c r="A8235" s="23" t="str">
        <f>HYPERLINK("https://www.spark-marketing.ru/Card/Person/4348518", "ПАО ""ЗИО-ПОДОЛЬСК""")</f>
        <v>ПАО "ЗИО-ПОДОЛЬСК"</v>
      </c>
      <c r="B8235" s="24" t="s">
        <v>8344</v>
      </c>
      <c r="C8235" s="25">
        <v>0</v>
      </c>
      <c r="D8235" s="22" t="s">
        <v>10485</v>
      </c>
      <c r="E8235" s="22" t="s">
        <v>53</v>
      </c>
      <c r="F8235" s="23" t="str">
        <f>HYPERLINK("https://www.spark-marketing.ru/Card/Lot/70469896", "мониторинг цен в электронной форме на техническое обслуживание системы охранной и тревожной сигнализации склада хранения вооружения ПП №8 ПАО «Машиностроительный завод «ЗиО-Подольск».")</f>
        <v>мониторинг цен в электронной форме на техническое обслуживание системы охранной и тревожной сигнализации склада хранения вооружения ПП №8 ПАО «Машиностроительный завод «ЗиО-Подольск».</v>
      </c>
      <c r="G8235" s="22" t="s">
        <v>50</v>
      </c>
      <c r="H8235" s="22" t="s">
        <v>569</v>
      </c>
      <c r="I8235" s="26">
        <v>43599.687152777798</v>
      </c>
      <c r="J8235" s="28" t="s">
        <v>52</v>
      </c>
      <c r="K8235" s="28" t="s">
        <v>52</v>
      </c>
      <c r="L8235" s="28" t="s">
        <v>52</v>
      </c>
      <c r="M8235" s="28" t="s">
        <v>52</v>
      </c>
      <c r="N8235" s="28" t="s">
        <v>52</v>
      </c>
    </row>
    <row r="8236" spans="1:14" x14ac:dyDescent="0.15">
      <c r="A8236" s="23" t="str">
        <f>HYPERLINK("https://www.spark-marketing.ru/Card/Person/151252", "МБДОУ № 19 ""СНЕЖИНКА""")</f>
        <v>МБДОУ № 19 "СНЕЖИНКА"</v>
      </c>
      <c r="B8236" s="24" t="s">
        <v>10486</v>
      </c>
      <c r="C8236" s="25">
        <v>650000</v>
      </c>
      <c r="D8236" s="22" t="s">
        <v>10487</v>
      </c>
      <c r="E8236" s="22" t="s">
        <v>194</v>
      </c>
      <c r="F8236" s="23" t="str">
        <f>HYPERLINK("https://www.spark-marketing.ru/Card/Lot/70462977", "Выполнение работ по оснащению системами  видеонаблюдения, приобретение оборудования  в МБДОУ № 19 «Снежинка» по адресам: пр.Морской, 14А, пр.Морской, 12Б")</f>
        <v>Выполнение работ по оснащению системами  видеонаблюдения, приобретение оборудования  в МБДОУ № 19 «Снежинка» по адресам: пр.Морской, 14А, пр.Морской, 12Б</v>
      </c>
      <c r="G8236" s="22" t="s">
        <v>674</v>
      </c>
      <c r="H8236" s="22" t="s">
        <v>675</v>
      </c>
      <c r="I8236" s="26">
        <v>43599.636111111096</v>
      </c>
      <c r="J8236" s="28" t="s">
        <v>52</v>
      </c>
      <c r="K8236" s="28" t="s">
        <v>52</v>
      </c>
      <c r="L8236" s="28" t="s">
        <v>52</v>
      </c>
      <c r="M8236" s="28" t="s">
        <v>52</v>
      </c>
      <c r="N8236" s="28" t="s">
        <v>52</v>
      </c>
    </row>
    <row r="8237" spans="1:14" hidden="1" outlineLevel="1" x14ac:dyDescent="0.2">
      <c r="A8237" s="23" t="str">
        <f>HYPERLINK("https://www.spark-marketing.ru/Card/Person/151252", "МБДОУ № 19 ""СНЕЖИНКА""")</f>
        <v>МБДОУ № 19 "СНЕЖИНКА"</v>
      </c>
      <c r="B8237" s="24" t="s">
        <v>10486</v>
      </c>
      <c r="C8237" s="25">
        <v>650000</v>
      </c>
      <c r="D8237" s="22" t="s">
        <v>10487</v>
      </c>
      <c r="E8237" s="22" t="s">
        <v>194</v>
      </c>
      <c r="F8237" s="23" t="str">
        <f>HYPERLINK("https://www.spark-marketing.ru/Card/Lot/70462977", "Выполнение работ по оснащению системами  видеонаблюдения, приобретение оборудования  в МБДОУ № 19 «Снежинка» по адресам: пр.Морской, 14А, пр.Морской, 12Б")</f>
        <v>Выполнение работ по оснащению системами  видеонаблюдения, приобретение оборудования  в МБДОУ № 19 «Снежинка» по адресам: пр.Морской, 14А, пр.Морской, 12Б</v>
      </c>
      <c r="G8237" s="22" t="s">
        <v>674</v>
      </c>
      <c r="H8237" s="22" t="s">
        <v>675</v>
      </c>
      <c r="I8237" s="26">
        <v>43599.636111111096</v>
      </c>
      <c r="J8237" s="23" t="str">
        <f>HYPERLINK("https://www.spark-marketing.ru/Card/Person/82344", "ООО ""КОНСТАНТА-ПЛЮС""")</f>
        <v>ООО "КОНСТАНТА-ПЛЮС"</v>
      </c>
      <c r="K8237" s="24" t="s">
        <v>10488</v>
      </c>
      <c r="L8237" s="28" t="s">
        <v>52</v>
      </c>
      <c r="M8237" s="25">
        <v>423000</v>
      </c>
      <c r="N8237" s="27">
        <v>0.34923076923076923</v>
      </c>
    </row>
    <row r="8238" spans="1:14" hidden="1" outlineLevel="1" x14ac:dyDescent="0.2">
      <c r="A8238" s="23" t="str">
        <f>HYPERLINK("https://www.spark-marketing.ru/Card/Person/151252", "МБДОУ № 19 ""СНЕЖИНКА""")</f>
        <v>МБДОУ № 19 "СНЕЖИНКА"</v>
      </c>
      <c r="B8238" s="24" t="s">
        <v>10486</v>
      </c>
      <c r="C8238" s="25">
        <v>650000</v>
      </c>
      <c r="D8238" s="22" t="s">
        <v>10487</v>
      </c>
      <c r="E8238" s="22" t="s">
        <v>194</v>
      </c>
      <c r="F8238" s="23" t="str">
        <f>HYPERLINK("https://www.spark-marketing.ru/Card/Lot/70462977", "Выполнение работ по оснащению системами  видеонаблюдения, приобретение оборудования  в МБДОУ № 19 «Снежинка» по адресам: пр.Морской, 14А, пр.Морской, 12Б")</f>
        <v>Выполнение работ по оснащению системами  видеонаблюдения, приобретение оборудования  в МБДОУ № 19 «Снежинка» по адресам: пр.Морской, 14А, пр.Морской, 12Б</v>
      </c>
      <c r="G8238" s="22" t="s">
        <v>674</v>
      </c>
      <c r="H8238" s="22" t="s">
        <v>675</v>
      </c>
      <c r="I8238" s="26">
        <v>43599.636111111096</v>
      </c>
      <c r="J8238" s="23" t="str">
        <f>HYPERLINK("https://www.spark-marketing.ru/Card/Person/267915", "ООО ""М.О.П.С.""")</f>
        <v>ООО "М.О.П.С."</v>
      </c>
      <c r="K8238" s="24" t="s">
        <v>10489</v>
      </c>
      <c r="L8238" s="28" t="s">
        <v>52</v>
      </c>
      <c r="M8238" s="25">
        <v>440000</v>
      </c>
      <c r="N8238" s="27">
        <v>0.32307692307692309</v>
      </c>
    </row>
    <row r="8239" spans="1:14" hidden="1" outlineLevel="1" x14ac:dyDescent="0.2">
      <c r="A8239" s="23" t="str">
        <f>HYPERLINK("https://www.spark-marketing.ru/Card/Person/151252", "МБДОУ № 19 ""СНЕЖИНКА""")</f>
        <v>МБДОУ № 19 "СНЕЖИНКА"</v>
      </c>
      <c r="B8239" s="24" t="s">
        <v>10486</v>
      </c>
      <c r="C8239" s="25">
        <v>650000</v>
      </c>
      <c r="D8239" s="22" t="s">
        <v>10487</v>
      </c>
      <c r="E8239" s="22" t="s">
        <v>194</v>
      </c>
      <c r="F8239" s="23" t="str">
        <f>HYPERLINK("https://www.spark-marketing.ru/Card/Lot/70462977", "Выполнение работ по оснащению системами  видеонаблюдения, приобретение оборудования  в МБДОУ № 19 «Снежинка» по адресам: пр.Морской, 14А, пр.Морской, 12Б")</f>
        <v>Выполнение работ по оснащению системами  видеонаблюдения, приобретение оборудования  в МБДОУ № 19 «Снежинка» по адресам: пр.Морской, 14А, пр.Морской, 12Б</v>
      </c>
      <c r="G8239" s="22" t="s">
        <v>674</v>
      </c>
      <c r="H8239" s="22" t="s">
        <v>675</v>
      </c>
      <c r="I8239" s="26">
        <v>43599.636111111096</v>
      </c>
      <c r="J8239" s="23" t="str">
        <f>HYPERLINK("https://www.spark-marketing.ru/Card/Person/6393903", "Цивкунов Константин Сергеевич")</f>
        <v>Цивкунов Константин Сергеевич</v>
      </c>
      <c r="K8239" s="24" t="s">
        <v>10490</v>
      </c>
      <c r="L8239" s="28" t="s">
        <v>52</v>
      </c>
      <c r="M8239" s="25">
        <v>590000</v>
      </c>
      <c r="N8239" s="27">
        <v>9.2307692307692313E-2</v>
      </c>
    </row>
    <row r="8240" spans="1:14" ht="12.75" hidden="1" outlineLevel="1" x14ac:dyDescent="0.2">
      <c r="A8240" s="23" t="str">
        <f>HYPERLINK("https://www.spark-marketing.ru/Card/Person/151252", "МБДОУ № 19 ""СНЕЖИНКА""")</f>
        <v>МБДОУ № 19 "СНЕЖИНКА"</v>
      </c>
      <c r="B8240" s="24" t="s">
        <v>10486</v>
      </c>
      <c r="C8240" s="25">
        <v>650000</v>
      </c>
      <c r="D8240" s="22" t="s">
        <v>10487</v>
      </c>
      <c r="E8240" s="22" t="s">
        <v>194</v>
      </c>
      <c r="F8240" s="23" t="str">
        <f>HYPERLINK("https://www.spark-marketing.ru/Card/Lot/70462977", "Выполнение работ по оснащению системами  видеонаблюдения, приобретение оборудования  в МБДОУ № 19 «Снежинка» по адресам: пр.Морской, 14А, пр.Морской, 12Б")</f>
        <v>Выполнение работ по оснащению системами  видеонаблюдения, приобретение оборудования  в МБДОУ № 19 «Снежинка» по адресам: пр.Морской, 14А, пр.Морской, 12Б</v>
      </c>
      <c r="G8240" s="22" t="s">
        <v>674</v>
      </c>
      <c r="H8240" s="22" t="s">
        <v>675</v>
      </c>
      <c r="I8240" s="26">
        <v>43599.636111111096</v>
      </c>
      <c r="J8240" s="23" t="str">
        <f>HYPERLINK("https://www.spark-marketing.ru/Card/Person/4338753", "ООО ""ЭЛВИКОМ-СЕРВИС""")</f>
        <v>ООО "ЭЛВИКОМ-СЕРВИС"</v>
      </c>
      <c r="K8240" s="24" t="s">
        <v>9347</v>
      </c>
      <c r="L8240" s="22" t="s">
        <v>10</v>
      </c>
      <c r="M8240" s="25">
        <v>422500</v>
      </c>
      <c r="N8240" s="27">
        <v>0.35</v>
      </c>
    </row>
    <row r="8241" spans="1:14" x14ac:dyDescent="0.15">
      <c r="A8241" s="23" t="str">
        <f>HYPERLINK("https://www.spark-marketing.ru/Card/Person/52264", "МАУО ""НАДЕЖДА""")</f>
        <v>МАУО "НАДЕЖДА"</v>
      </c>
      <c r="B8241" s="24" t="s">
        <v>10491</v>
      </c>
      <c r="C8241" s="25">
        <v>125248.97</v>
      </c>
      <c r="D8241" s="22" t="s">
        <v>10492</v>
      </c>
      <c r="E8241" s="22" t="s">
        <v>103</v>
      </c>
      <c r="F8241" s="23" t="str">
        <f>HYPERLINK("https://www.spark-marketing.ru/Card/Lot/70463559", "Оказание услуг по техническому обслуживанию системы охранного видеонаблюдения для Муниципального автономного общеобразовательного учреждения «Нижнекамская школа-интернат «Надежда» для детей с ограниченными воз-можностями здоровья» (СМП и СОНО)")</f>
        <v>Оказание услуг по техническому обслуживанию системы охранного видеонаблюдения для Муниципального автономного общеобразовательного учреждения «Нижнекамская школа-интернат «Надежда» для детей с ограниченными воз-можностями здоровья» (СМП и СОНО)</v>
      </c>
      <c r="G8241" s="22" t="s">
        <v>204</v>
      </c>
      <c r="H8241" s="22" t="s">
        <v>824</v>
      </c>
      <c r="I8241" s="26">
        <v>43599.646527777797</v>
      </c>
      <c r="J8241" s="28" t="s">
        <v>52</v>
      </c>
      <c r="K8241" s="28" t="s">
        <v>52</v>
      </c>
      <c r="L8241" s="28" t="s">
        <v>52</v>
      </c>
      <c r="M8241" s="28" t="s">
        <v>52</v>
      </c>
      <c r="N8241" s="28" t="s">
        <v>52</v>
      </c>
    </row>
    <row r="8242" spans="1:14" hidden="1" outlineLevel="1" x14ac:dyDescent="0.2">
      <c r="A8242" s="23" t="str">
        <f>HYPERLINK("https://www.spark-marketing.ru/Card/Person/52264", "МАУО ""НАДЕЖДА""")</f>
        <v>МАУО "НАДЕЖДА"</v>
      </c>
      <c r="B8242" s="24" t="s">
        <v>10491</v>
      </c>
      <c r="C8242" s="25">
        <v>125248.97</v>
      </c>
      <c r="D8242" s="22" t="s">
        <v>10492</v>
      </c>
      <c r="E8242" s="22" t="s">
        <v>103</v>
      </c>
      <c r="F8242" s="23" t="str">
        <f>HYPERLINK("https://www.spark-marketing.ru/Card/Lot/70463559", "Оказание услуг по техническому обслуживанию системы охранного видеонаблюдения для Муниципального автономного общеобразовательного учреждения «Нижнекамская школа-интернат «Надежда» для детей с ограниченными воз-можностями здоровья» (СМП и СОНО)")</f>
        <v>Оказание услуг по техническому обслуживанию системы охранного видеонаблюдения для Муниципального автономного общеобразовательного учреждения «Нижнекамская школа-интернат «Надежда» для детей с ограниченными воз-можностями здоровья» (СМП и СОНО)</v>
      </c>
      <c r="G8242" s="22" t="s">
        <v>204</v>
      </c>
      <c r="H8242" s="22" t="s">
        <v>824</v>
      </c>
      <c r="I8242" s="26">
        <v>43599.646527777797</v>
      </c>
      <c r="J8242" s="23" t="str">
        <f>HYPERLINK("https://www.spark-marketing.ru/Card/Person/400993", "ООО ""РИТМ-ЗАЩИТА""")</f>
        <v>ООО "РИТМ-ЗАЩИТА"</v>
      </c>
      <c r="K8242" s="24" t="s">
        <v>10493</v>
      </c>
      <c r="L8242" s="28" t="s">
        <v>52</v>
      </c>
      <c r="M8242" s="25">
        <v>67003.759999999995</v>
      </c>
      <c r="N8242" s="27">
        <v>0.46503544101001387</v>
      </c>
    </row>
    <row r="8243" spans="1:14" ht="12.75" hidden="1" outlineLevel="1" x14ac:dyDescent="0.2">
      <c r="A8243" s="23" t="str">
        <f>HYPERLINK("https://www.spark-marketing.ru/Card/Person/52264", "МАУО ""НАДЕЖДА""")</f>
        <v>МАУО "НАДЕЖДА"</v>
      </c>
      <c r="B8243" s="24" t="s">
        <v>10491</v>
      </c>
      <c r="C8243" s="25">
        <v>125248.97</v>
      </c>
      <c r="D8243" s="22" t="s">
        <v>10492</v>
      </c>
      <c r="E8243" s="22" t="s">
        <v>103</v>
      </c>
      <c r="F8243" s="23" t="str">
        <f>HYPERLINK("https://www.spark-marketing.ru/Card/Lot/70463559", "Оказание услуг по техническому обслуживанию системы охранного видеонаблюдения для Муниципального автономного общеобразовательного учреждения «Нижнекамская школа-интернат «Надежда» для детей с ограниченными воз-можностями здоровья» (СМП и СОНО)")</f>
        <v>Оказание услуг по техническому обслуживанию системы охранного видеонаблюдения для Муниципального автономного общеобразовательного учреждения «Нижнекамская школа-интернат «Надежда» для детей с ограниченными воз-можностями здоровья» (СМП и СОНО)</v>
      </c>
      <c r="G8243" s="22" t="s">
        <v>204</v>
      </c>
      <c r="H8243" s="22" t="s">
        <v>824</v>
      </c>
      <c r="I8243" s="26">
        <v>43599.646527777797</v>
      </c>
      <c r="J8243" s="23" t="str">
        <f>HYPERLINK("https://www.spark-marketing.ru/Card/Person/34725", "ООО ""КОМПЬЮСЕРВИС - НК""")</f>
        <v>ООО "КОМПЬЮСЕРВИС - НК"</v>
      </c>
      <c r="K8243" s="24" t="s">
        <v>3468</v>
      </c>
      <c r="L8243" s="22" t="s">
        <v>10</v>
      </c>
      <c r="M8243" s="25">
        <v>7000</v>
      </c>
      <c r="N8243" s="27">
        <v>0.94411131684356364</v>
      </c>
    </row>
    <row r="8244" spans="1:14" hidden="1" outlineLevel="1" x14ac:dyDescent="0.2">
      <c r="A8244" s="23" t="str">
        <f>HYPERLINK("https://www.spark-marketing.ru/Card/Person/52264", "МАУО ""НАДЕЖДА""")</f>
        <v>МАУО "НАДЕЖДА"</v>
      </c>
      <c r="B8244" s="24" t="s">
        <v>10491</v>
      </c>
      <c r="C8244" s="25">
        <v>125248.97</v>
      </c>
      <c r="D8244" s="22" t="s">
        <v>10492</v>
      </c>
      <c r="E8244" s="22" t="s">
        <v>103</v>
      </c>
      <c r="F8244" s="23" t="str">
        <f>HYPERLINK("https://www.spark-marketing.ru/Card/Lot/70463559", "Оказание услуг по техническому обслуживанию системы охранного видеонаблюдения для Муниципального автономного общеобразовательного учреждения «Нижнекамская школа-интернат «Надежда» для детей с ограниченными воз-можностями здоровья» (СМП и СОНО)")</f>
        <v>Оказание услуг по техническому обслуживанию системы охранного видеонаблюдения для Муниципального автономного общеобразовательного учреждения «Нижнекамская школа-интернат «Надежда» для детей с ограниченными воз-можностями здоровья» (СМП и СОНО)</v>
      </c>
      <c r="G8244" s="22" t="s">
        <v>204</v>
      </c>
      <c r="H8244" s="22" t="s">
        <v>824</v>
      </c>
      <c r="I8244" s="26">
        <v>43599.646527777797</v>
      </c>
      <c r="J8244" s="23" t="str">
        <f>HYPERLINK("https://www.spark-marketing.ru/Card/Person/367317", "ООО ""ЕВРОСТИЛЬ - СЕРВИС""")</f>
        <v>ООО "ЕВРОСТИЛЬ - СЕРВИС"</v>
      </c>
      <c r="K8244" s="24" t="s">
        <v>10494</v>
      </c>
      <c r="L8244" s="28" t="s">
        <v>52</v>
      </c>
      <c r="M8244" s="25">
        <v>112724.17</v>
      </c>
      <c r="N8244" s="27">
        <v>9.9999225542533404E-2</v>
      </c>
    </row>
    <row r="8245" spans="1:14" hidden="1" outlineLevel="1" x14ac:dyDescent="0.2">
      <c r="A8245" s="23" t="str">
        <f>HYPERLINK("https://www.spark-marketing.ru/Card/Person/52264", "МАУО ""НАДЕЖДА""")</f>
        <v>МАУО "НАДЕЖДА"</v>
      </c>
      <c r="B8245" s="24" t="s">
        <v>10491</v>
      </c>
      <c r="C8245" s="25">
        <v>125248.97</v>
      </c>
      <c r="D8245" s="22" t="s">
        <v>10492</v>
      </c>
      <c r="E8245" s="22" t="s">
        <v>103</v>
      </c>
      <c r="F8245" s="23" t="str">
        <f>HYPERLINK("https://www.spark-marketing.ru/Card/Lot/70463559", "Оказание услуг по техническому обслуживанию системы охранного видеонаблюдения для Муниципального автономного общеобразовательного учреждения «Нижнекамская школа-интернат «Надежда» для детей с ограниченными воз-можностями здоровья» (СМП и СОНО)")</f>
        <v>Оказание услуг по техническому обслуживанию системы охранного видеонаблюдения для Муниципального автономного общеобразовательного учреждения «Нижнекамская школа-интернат «Надежда» для детей с ограниченными воз-можностями здоровья» (СМП и СОНО)</v>
      </c>
      <c r="G8245" s="22" t="s">
        <v>204</v>
      </c>
      <c r="H8245" s="22" t="s">
        <v>824</v>
      </c>
      <c r="I8245" s="26">
        <v>43599.646527777797</v>
      </c>
      <c r="J8245" s="23" t="str">
        <f>HYPERLINK("https://www.spark-marketing.ru/Card/Person/138713", "Хакимзянов Рустам Миннерафикович")</f>
        <v>Хакимзянов Рустам Миннерафикович</v>
      </c>
      <c r="K8245" s="24" t="s">
        <v>3470</v>
      </c>
      <c r="L8245" s="28" t="s">
        <v>52</v>
      </c>
      <c r="M8245" s="25">
        <v>8219</v>
      </c>
      <c r="N8245" s="27">
        <v>0.93437870187674998</v>
      </c>
    </row>
    <row r="8246" spans="1:14" x14ac:dyDescent="0.15">
      <c r="A8246" s="23" t="str">
        <f>HYPERLINK("https://www.spark-marketing.ru/Card/Person/4343405", "ФГУП ""ГОСКОРПОРАЦИЯ ПО ОРВД""")</f>
        <v>ФГУП "ГОСКОРПОРАЦИЯ ПО ОРВД"</v>
      </c>
      <c r="B8246" s="24" t="s">
        <v>801</v>
      </c>
      <c r="C8246" s="25">
        <v>2415000</v>
      </c>
      <c r="D8246" s="22" t="s">
        <v>10495</v>
      </c>
      <c r="E8246" s="22" t="s">
        <v>144</v>
      </c>
      <c r="F8246" s="23" t="str">
        <f>HYPERLINK("https://www.spark-marketing.ru/Card/Lot/70464336", "Оказание услуг по защите объекта транспортной инфраструктуры ""ДП ""Вышка"" Владикавказского центра ОВД филиала «Аэронавигация Юга» от актов незаконного вмешательства.")</f>
        <v>Оказание услуг по защите объекта транспортной инфраструктуры "ДП "Вышка" Владикавказского центра ОВД филиала «Аэронавигация Юга» от актов незаконного вмешательства.</v>
      </c>
      <c r="G8246" s="22" t="s">
        <v>833</v>
      </c>
      <c r="H8246" s="22" t="s">
        <v>833</v>
      </c>
      <c r="I8246" s="26">
        <v>43599.662268518499</v>
      </c>
      <c r="J8246" s="28" t="s">
        <v>52</v>
      </c>
      <c r="K8246" s="28" t="s">
        <v>52</v>
      </c>
      <c r="L8246" s="28" t="s">
        <v>52</v>
      </c>
      <c r="M8246" s="28" t="s">
        <v>52</v>
      </c>
      <c r="N8246" s="28" t="s">
        <v>52</v>
      </c>
    </row>
    <row r="8247" spans="1:14" x14ac:dyDescent="0.15">
      <c r="A8247" s="23" t="str">
        <f>HYPERLINK("https://www.spark-marketing.ru/Card/Person/114614", "МБДОУ ДЕТСКИЙ САД № 5 ""ТЕРЕМОК""")</f>
        <v>МБДОУ ДЕТСКИЙ САД № 5 "ТЕРЕМОК"</v>
      </c>
      <c r="B8247" s="24" t="s">
        <v>10496</v>
      </c>
      <c r="C8247" s="25">
        <v>40000</v>
      </c>
      <c r="D8247" s="22" t="s">
        <v>10497</v>
      </c>
      <c r="E8247" s="22" t="s">
        <v>103</v>
      </c>
      <c r="F8247" s="23" t="str">
        <f>HYPERLINK("https://www.spark-marketing.ru/Card/Lot/70460695", "Оказание услуг по техническому обслуживанию системы видеонаблюдения на 2019 год")</f>
        <v>Оказание услуг по техническому обслуживанию системы видеонаблюдения на 2019 год</v>
      </c>
      <c r="G8247" s="22" t="s">
        <v>50</v>
      </c>
      <c r="H8247" s="22" t="s">
        <v>3866</v>
      </c>
      <c r="I8247" s="26">
        <v>43599.638530092598</v>
      </c>
      <c r="J8247" s="28" t="s">
        <v>52</v>
      </c>
      <c r="K8247" s="28" t="s">
        <v>52</v>
      </c>
      <c r="L8247" s="28" t="s">
        <v>52</v>
      </c>
      <c r="M8247" s="28" t="s">
        <v>52</v>
      </c>
      <c r="N8247" s="28" t="s">
        <v>52</v>
      </c>
    </row>
    <row r="8248" spans="1:14" x14ac:dyDescent="0.15">
      <c r="A8248" s="23" t="str">
        <f>HYPERLINK("https://www.spark-marketing.ru/Card/Person/1359589", "ОГАУЗ ""ТОКБ""")</f>
        <v>ОГАУЗ "ТОКБ"</v>
      </c>
      <c r="B8248" s="24" t="s">
        <v>1240</v>
      </c>
      <c r="C8248" s="25">
        <v>126880</v>
      </c>
      <c r="D8248" s="22" t="s">
        <v>10498</v>
      </c>
      <c r="E8248" s="22" t="s">
        <v>68</v>
      </c>
      <c r="F8248" s="23" t="str">
        <f>HYPERLINK("https://www.spark-marketing.ru/Card/Lot/70450204", "Оказание услуг по охране объектов ОГАУЗ «ТОКБ« и прилегающей к ним территории")</f>
        <v>Оказание услуг по охране объектов ОГАУЗ «ТОКБ« и прилегающей к ним территории</v>
      </c>
      <c r="G8248" s="22" t="s">
        <v>150</v>
      </c>
      <c r="H8248" s="22" t="s">
        <v>1656</v>
      </c>
      <c r="I8248" s="26">
        <v>43599.520833333299</v>
      </c>
      <c r="J8248" s="28" t="s">
        <v>52</v>
      </c>
      <c r="K8248" s="28" t="s">
        <v>52</v>
      </c>
      <c r="L8248" s="28" t="s">
        <v>52</v>
      </c>
      <c r="M8248" s="28" t="s">
        <v>52</v>
      </c>
      <c r="N8248" s="28" t="s">
        <v>52</v>
      </c>
    </row>
    <row r="8249" spans="1:14" x14ac:dyDescent="0.2">
      <c r="A8249" s="23" t="str">
        <f>HYPERLINK("https://www.spark-marketing.ru/Card/Person/4373529", "МАОУ СОШ № 1")</f>
        <v>МАОУ СОШ № 1</v>
      </c>
      <c r="B8249" s="24" t="s">
        <v>10499</v>
      </c>
      <c r="C8249" s="25">
        <v>168696</v>
      </c>
      <c r="D8249" s="22" t="s">
        <v>10500</v>
      </c>
      <c r="E8249" s="22" t="s">
        <v>10501</v>
      </c>
      <c r="F8249" s="23" t="str">
        <f>HYPERLINK("https://www.spark-marketing.ru/Card/Lot/70445845", "Установка системы видеонаблюдения в здании МАОУ СОШ №1, г. Кушва, ул. Союзов, д.14.")</f>
        <v>Установка системы видеонаблюдения в здании МАОУ СОШ №1, г. Кушва, ул. Союзов, д.14.</v>
      </c>
      <c r="G8249" s="22" t="s">
        <v>72</v>
      </c>
      <c r="H8249" s="22" t="s">
        <v>72</v>
      </c>
      <c r="I8249" s="26">
        <v>43599.520439814798</v>
      </c>
      <c r="J8249" s="23" t="str">
        <f>HYPERLINK("https://www.spark-marketing.ru/Card/Person/4574745", "ООО ПСБ ""СОВА-ОКО""")</f>
        <v>ООО ПСБ "СОВА-ОКО"</v>
      </c>
      <c r="K8249" s="24" t="s">
        <v>10502</v>
      </c>
      <c r="L8249" s="28" t="s">
        <v>52</v>
      </c>
      <c r="M8249" s="25">
        <v>168696</v>
      </c>
      <c r="N8249" s="27">
        <v>0</v>
      </c>
    </row>
    <row r="8250" spans="1:14" x14ac:dyDescent="0.15">
      <c r="A8250" s="23" t="str">
        <f>HYPERLINK("https://www.spark-marketing.ru/Card/Person/6572768", "МКУ ""УПРАВЛЕНИЕ ТЕХНИЧЕСКОГО ОБЕСПЕЧЕНИЯ И ЭКСПЛУАТАЦИИ ИМУЩЕСТВА АНАДЫРСКОГО МУНИЦИПАЛЬНОГО РАЙОНА""")</f>
        <v>МКУ "УПРАВЛЕНИЕ ТЕХНИЧЕСКОГО ОБЕСПЕЧЕНИЯ И ЭКСПЛУАТАЦИИ ИМУЩЕСТВА АНАДЫРСКОГО МУНИЦИПАЛЬНОГО РАЙОНА"</v>
      </c>
      <c r="B8250" s="24" t="s">
        <v>10503</v>
      </c>
      <c r="C8250" s="25">
        <v>1312000</v>
      </c>
      <c r="D8250" s="22" t="s">
        <v>10504</v>
      </c>
      <c r="E8250" s="22" t="s">
        <v>52</v>
      </c>
      <c r="F8250" s="23" t="str">
        <f>HYPERLINK("https://www.spark-marketing.ru/Card/Lot/70436873", "Оказание охранных услуг для нужд  МКУ «Управление технического обеспечения и эксплуатации имущества Анадырского муниципального района»")</f>
        <v>Оказание охранных услуг для нужд  МКУ «Управление технического обеспечения и эксплуатации имущества Анадырского муниципального района»</v>
      </c>
      <c r="G8250" s="22" t="s">
        <v>1544</v>
      </c>
      <c r="H8250" s="22" t="s">
        <v>8237</v>
      </c>
      <c r="I8250" s="26">
        <v>43599.529861111099</v>
      </c>
      <c r="J8250" s="23" t="str">
        <f>HYPERLINK("https://www.spark-marketing.ru/Card/Person/650243", "ООО ""ЧОП ""ГРАНТ""")</f>
        <v>ООО "ЧОП "ГРАНТ"</v>
      </c>
      <c r="K8250" s="24" t="s">
        <v>10505</v>
      </c>
      <c r="L8250" s="22" t="s">
        <v>10</v>
      </c>
      <c r="M8250" s="28" t="s">
        <v>52</v>
      </c>
      <c r="N8250" s="28" t="s">
        <v>52</v>
      </c>
    </row>
    <row r="8251" spans="1:14" x14ac:dyDescent="0.15">
      <c r="A8251" s="23" t="str">
        <f>HYPERLINK("https://www.spark-marketing.ru/Card/Person/1777878", "МАДОУ Д/С №21 ""ПИНГВИНЧИК""")</f>
        <v>МАДОУ Д/С №21 "ПИНГВИНЧИК"</v>
      </c>
      <c r="B8251" s="24" t="s">
        <v>10506</v>
      </c>
      <c r="C8251" s="25">
        <v>250000</v>
      </c>
      <c r="D8251" s="22" t="s">
        <v>10507</v>
      </c>
      <c r="E8251" s="22" t="s">
        <v>59</v>
      </c>
      <c r="F8251" s="23" t="str">
        <f>HYPERLINK("https://www.spark-marketing.ru/Card/Lot/70447461", "Работы по монтажу и установке системы видеонаблюдения")</f>
        <v>Работы по монтажу и установке системы видеонаблюдения</v>
      </c>
      <c r="G8251" s="22" t="s">
        <v>50</v>
      </c>
      <c r="H8251" s="22" t="s">
        <v>4782</v>
      </c>
      <c r="I8251" s="26">
        <v>43599.471990740698</v>
      </c>
      <c r="J8251" s="28" t="s">
        <v>52</v>
      </c>
      <c r="K8251" s="28" t="s">
        <v>52</v>
      </c>
      <c r="L8251" s="28" t="s">
        <v>52</v>
      </c>
      <c r="M8251" s="28" t="s">
        <v>52</v>
      </c>
      <c r="N8251" s="28" t="s">
        <v>52</v>
      </c>
    </row>
    <row r="8252" spans="1:14" x14ac:dyDescent="0.15">
      <c r="A8252" s="23" t="str">
        <f>HYPERLINK("https://www.spark-marketing.ru/Card/Person/1033402", "ГБУ ""КАББАЛКЛЕСХОЗ И ЛЕСНАЯ ОХРАНА""")</f>
        <v>ГБУ "КАББАЛКЛЕСХОЗ И ЛЕСНАЯ ОХРАНА"</v>
      </c>
      <c r="B8252" s="24" t="s">
        <v>2456</v>
      </c>
      <c r="C8252" s="25">
        <v>3550000</v>
      </c>
      <c r="D8252" s="22" t="s">
        <v>10508</v>
      </c>
      <c r="E8252" s="22" t="s">
        <v>2458</v>
      </c>
      <c r="F8252" s="23" t="str">
        <f>HYPERLINK("https://www.spark-marketing.ru/Card/Lot/70449748", "Приобретение Камаз 5354-306030-50 для нужд ГБУ ""Каббалклесхоз и лесная охрана""")</f>
        <v>Приобретение Камаз 5354-306030-50 для нужд ГБУ "Каббалклесхоз и лесная охрана"</v>
      </c>
      <c r="G8252" s="22" t="s">
        <v>110</v>
      </c>
      <c r="H8252" s="22" t="s">
        <v>111</v>
      </c>
      <c r="I8252" s="26">
        <v>43599.490277777797</v>
      </c>
      <c r="J8252" s="28" t="s">
        <v>52</v>
      </c>
      <c r="K8252" s="28" t="s">
        <v>52</v>
      </c>
      <c r="L8252" s="28" t="s">
        <v>52</v>
      </c>
      <c r="M8252" s="28" t="s">
        <v>52</v>
      </c>
      <c r="N8252" s="28" t="s">
        <v>52</v>
      </c>
    </row>
    <row r="8253" spans="1:14" x14ac:dyDescent="0.15">
      <c r="A8253" s="23" t="str">
        <f>HYPERLINK("https://www.spark-marketing.ru/Card/Person/1030793", "ГКУ МО ЛОТОШИНСКИЙ ЦЗН")</f>
        <v>ГКУ МО ЛОТОШИНСКИЙ ЦЗН</v>
      </c>
      <c r="B8253" s="24" t="s">
        <v>10509</v>
      </c>
      <c r="C8253" s="25">
        <v>1480</v>
      </c>
      <c r="D8253" s="22" t="s">
        <v>10510</v>
      </c>
      <c r="E8253" s="22" t="s">
        <v>585</v>
      </c>
      <c r="F8253" s="23" t="str">
        <f>HYPERLINK("https://www.spark-marketing.ru/Card/Lot/70447482", "Проверка технического состояния транспортного средства на предмет его соответствия обязательным требованиям безопасности транспортных средств")</f>
        <v>Проверка технического состояния транспортного средства на предмет его соответствия обязательным требованиям безопасности транспортных средств</v>
      </c>
      <c r="G8253" s="22" t="s">
        <v>50</v>
      </c>
      <c r="H8253" s="22" t="s">
        <v>5168</v>
      </c>
      <c r="I8253" s="26">
        <v>43599.482465277797</v>
      </c>
      <c r="J8253" s="28" t="s">
        <v>52</v>
      </c>
      <c r="K8253" s="28" t="s">
        <v>52</v>
      </c>
      <c r="L8253" s="28" t="s">
        <v>52</v>
      </c>
      <c r="M8253" s="28" t="s">
        <v>52</v>
      </c>
      <c r="N8253" s="28" t="s">
        <v>52</v>
      </c>
    </row>
    <row r="8254" spans="1:14" x14ac:dyDescent="0.15">
      <c r="A8254" s="23" t="str">
        <f>HYPERLINK("https://www.spark-marketing.ru/Card/Person/1033402", "ГБУ ""КАББАЛКЛЕСХОЗ И ЛЕСНАЯ ОХРАНА""")</f>
        <v>ГБУ "КАББАЛКЛЕСХОЗ И ЛЕСНАЯ ОХРАНА"</v>
      </c>
      <c r="B8254" s="24" t="s">
        <v>2456</v>
      </c>
      <c r="C8254" s="25">
        <v>1200000</v>
      </c>
      <c r="D8254" s="22" t="s">
        <v>10511</v>
      </c>
      <c r="E8254" s="22" t="s">
        <v>2458</v>
      </c>
      <c r="F8254" s="23" t="str">
        <f>HYPERLINK("https://www.spark-marketing.ru/Card/Lot/70448617", "Приобретение Автомобиля Газ-32217 для нужд ГБУ ""Каббалклесхоз и лесная охрана"" в 2019 году")</f>
        <v>Приобретение Автомобиля Газ-32217 для нужд ГБУ "Каббалклесхоз и лесная охрана" в 2019 году</v>
      </c>
      <c r="G8254" s="22" t="s">
        <v>110</v>
      </c>
      <c r="H8254" s="22" t="s">
        <v>111</v>
      </c>
      <c r="I8254" s="26">
        <v>43599.467361111099</v>
      </c>
      <c r="J8254" s="28" t="s">
        <v>52</v>
      </c>
      <c r="K8254" s="28" t="s">
        <v>52</v>
      </c>
      <c r="L8254" s="28" t="s">
        <v>52</v>
      </c>
      <c r="M8254" s="28" t="s">
        <v>52</v>
      </c>
      <c r="N8254" s="28" t="s">
        <v>52</v>
      </c>
    </row>
    <row r="8255" spans="1:14" hidden="1" outlineLevel="1" x14ac:dyDescent="0.2">
      <c r="A8255" s="23" t="str">
        <f>HYPERLINK("https://www.spark-marketing.ru/Card/Person/1033402", "ГБУ ""КАББАЛКЛЕСХОЗ И ЛЕСНАЯ ОХРАНА""")</f>
        <v>ГБУ "КАББАЛКЛЕСХОЗ И ЛЕСНАЯ ОХРАНА"</v>
      </c>
      <c r="B8255" s="24" t="s">
        <v>2456</v>
      </c>
      <c r="C8255" s="25">
        <v>1200000</v>
      </c>
      <c r="D8255" s="22" t="s">
        <v>10511</v>
      </c>
      <c r="E8255" s="22" t="s">
        <v>2458</v>
      </c>
      <c r="F8255" s="23" t="str">
        <f>HYPERLINK("https://www.spark-marketing.ru/Card/Lot/70448617", "Приобретение Автомобиля Газ-32217 для нужд ГБУ ""Каббалклесхоз и лесная охрана"" в 2019 году")</f>
        <v>Приобретение Автомобиля Газ-32217 для нужд ГБУ "Каббалклесхоз и лесная охрана" в 2019 году</v>
      </c>
      <c r="G8255" s="22" t="s">
        <v>110</v>
      </c>
      <c r="H8255" s="22" t="s">
        <v>111</v>
      </c>
      <c r="I8255" s="26">
        <v>43599.467361111099</v>
      </c>
      <c r="J8255" s="23" t="str">
        <f>HYPERLINK("https://www.spark-marketing.ru/Card/Person/6498460", "ООО ""КАД""")</f>
        <v>ООО "КАД"</v>
      </c>
      <c r="K8255" s="24" t="s">
        <v>10512</v>
      </c>
      <c r="L8255" s="28" t="s">
        <v>52</v>
      </c>
      <c r="M8255" s="25">
        <v>1170000</v>
      </c>
      <c r="N8255" s="27">
        <v>2.5000000000000001E-2</v>
      </c>
    </row>
    <row r="8256" spans="1:14" ht="12.75" hidden="1" outlineLevel="1" x14ac:dyDescent="0.2">
      <c r="A8256" s="23" t="str">
        <f>HYPERLINK("https://www.spark-marketing.ru/Card/Person/1033402", "ГБУ ""КАББАЛКЛЕСХОЗ И ЛЕСНАЯ ОХРАНА""")</f>
        <v>ГБУ "КАББАЛКЛЕСХОЗ И ЛЕСНАЯ ОХРАНА"</v>
      </c>
      <c r="B8256" s="24" t="s">
        <v>2456</v>
      </c>
      <c r="C8256" s="25">
        <v>1200000</v>
      </c>
      <c r="D8256" s="22" t="s">
        <v>10511</v>
      </c>
      <c r="E8256" s="22" t="s">
        <v>2458</v>
      </c>
      <c r="F8256" s="23" t="str">
        <f>HYPERLINK("https://www.spark-marketing.ru/Card/Lot/70448617", "Приобретение Автомобиля Газ-32217 для нужд ГБУ ""Каббалклесхоз и лесная охрана"" в 2019 году")</f>
        <v>Приобретение Автомобиля Газ-32217 для нужд ГБУ "Каббалклесхоз и лесная охрана" в 2019 году</v>
      </c>
      <c r="G8256" s="22" t="s">
        <v>110</v>
      </c>
      <c r="H8256" s="22" t="s">
        <v>111</v>
      </c>
      <c r="I8256" s="26">
        <v>43599.467361111099</v>
      </c>
      <c r="J8256" s="23" t="str">
        <f>HYPERLINK("https://www.spark-marketing.ru/Card/Person/25380", "ООО ФИРМА ""ДВАРИС""")</f>
        <v>ООО ФИРМА "ДВАРИС"</v>
      </c>
      <c r="K8256" s="24" t="s">
        <v>10513</v>
      </c>
      <c r="L8256" s="22" t="s">
        <v>10</v>
      </c>
      <c r="M8256" s="25">
        <v>1164000</v>
      </c>
      <c r="N8256" s="27">
        <v>0.03</v>
      </c>
    </row>
    <row r="8257" spans="1:14" x14ac:dyDescent="0.15">
      <c r="A8257" s="23" t="str">
        <f>HYPERLINK("https://www.spark-marketing.ru/Card/Person/1033402", "ГБУ ""КАББАЛКЛЕСХОЗ И ЛЕСНАЯ ОХРАНА""")</f>
        <v>ГБУ "КАББАЛКЛЕСХОЗ И ЛЕСНАЯ ОХРАНА"</v>
      </c>
      <c r="B8257" s="24" t="s">
        <v>2456</v>
      </c>
      <c r="C8257" s="25">
        <v>2100000</v>
      </c>
      <c r="D8257" s="22" t="s">
        <v>10514</v>
      </c>
      <c r="E8257" s="22" t="s">
        <v>2458</v>
      </c>
      <c r="F8257" s="23" t="str">
        <f>HYPERLINK("https://www.spark-marketing.ru/Card/Lot/70447217", "Приобретение Автомобилей УАЗ Патриот для нужд ГБУ ""Каббалклесхоз и лесная охрана"" в 2019 году")</f>
        <v>Приобретение Автомобилей УАЗ Патриот для нужд ГБУ "Каббалклесхоз и лесная охрана" в 2019 году</v>
      </c>
      <c r="G8257" s="22" t="s">
        <v>110</v>
      </c>
      <c r="H8257" s="22" t="s">
        <v>111</v>
      </c>
      <c r="I8257" s="26">
        <v>43599.462500000001</v>
      </c>
      <c r="J8257" s="23" t="str">
        <f>HYPERLINK("https://www.spark-marketing.ru/Card/Person/162460", "ООО ""ТСС КАВКАЗ""")</f>
        <v>ООО "ТСС КАВКАЗ"</v>
      </c>
      <c r="K8257" s="24" t="s">
        <v>2459</v>
      </c>
      <c r="L8257" s="22" t="s">
        <v>10</v>
      </c>
      <c r="M8257" s="28" t="s">
        <v>52</v>
      </c>
      <c r="N8257" s="28" t="s">
        <v>52</v>
      </c>
    </row>
    <row r="8258" spans="1:14" x14ac:dyDescent="0.15">
      <c r="A8258" s="23" t="str">
        <f>HYPERLINK("https://www.spark-marketing.ru/Card/Person/56566", "ГБУЗ ВО ""ОЦЛФК И СМ""")</f>
        <v>ГБУЗ ВО "ОЦЛФК И СМ"</v>
      </c>
      <c r="B8258" s="24" t="s">
        <v>10515</v>
      </c>
      <c r="C8258" s="25">
        <v>31999.98</v>
      </c>
      <c r="D8258" s="22" t="s">
        <v>10516</v>
      </c>
      <c r="E8258" s="22" t="s">
        <v>68</v>
      </c>
      <c r="F8258" s="23" t="str">
        <f>HYPERLINK("https://www.spark-marketing.ru/Card/Lot/70444982", "закупка услуг по охране объекта с использованием кнопки тревожной сигнализации")</f>
        <v>закупка услуг по охране объекта с использованием кнопки тревожной сигнализации</v>
      </c>
      <c r="G8258" s="22" t="s">
        <v>145</v>
      </c>
      <c r="H8258" s="22" t="s">
        <v>146</v>
      </c>
      <c r="I8258" s="26">
        <v>43599.420138888898</v>
      </c>
      <c r="J8258" s="28" t="s">
        <v>52</v>
      </c>
      <c r="K8258" s="28" t="s">
        <v>52</v>
      </c>
      <c r="L8258" s="28" t="s">
        <v>52</v>
      </c>
      <c r="M8258" s="28" t="s">
        <v>52</v>
      </c>
      <c r="N8258" s="28" t="s">
        <v>52</v>
      </c>
    </row>
    <row r="8259" spans="1:14" ht="12.75" hidden="1" outlineLevel="1" x14ac:dyDescent="0.2">
      <c r="A8259" s="23" t="str">
        <f>HYPERLINK("https://www.spark-marketing.ru/Card/Person/56566", "ГБУЗ ВО ""ОЦЛФК И СМ""")</f>
        <v>ГБУЗ ВО "ОЦЛФК И СМ"</v>
      </c>
      <c r="B8259" s="24" t="s">
        <v>10515</v>
      </c>
      <c r="C8259" s="25">
        <v>31999.98</v>
      </c>
      <c r="D8259" s="22" t="s">
        <v>10516</v>
      </c>
      <c r="E8259" s="22" t="s">
        <v>68</v>
      </c>
      <c r="F8259" s="23" t="str">
        <f>HYPERLINK("https://www.spark-marketing.ru/Card/Lot/70444982", "закупка услуг по охране объекта с использованием кнопки тревожной сигнализации")</f>
        <v>закупка услуг по охране объекта с использованием кнопки тревожной сигнализации</v>
      </c>
      <c r="G8259" s="22" t="s">
        <v>145</v>
      </c>
      <c r="H8259" s="22" t="s">
        <v>146</v>
      </c>
      <c r="I8259" s="26">
        <v>43599.420138888898</v>
      </c>
      <c r="J8259" s="23" t="str">
        <f>HYPERLINK("https://www.spark-marketing.ru/Card/Person/71574", "ООО ЧОП ""ФОРПОСТ""")</f>
        <v>ООО ЧОП "ФОРПОСТ"</v>
      </c>
      <c r="K8259" s="24" t="s">
        <v>10517</v>
      </c>
      <c r="L8259" s="22" t="s">
        <v>10</v>
      </c>
      <c r="M8259" s="25">
        <v>3679.98</v>
      </c>
      <c r="N8259" s="27">
        <v>0.88500055312534576</v>
      </c>
    </row>
    <row r="8260" spans="1:14" hidden="1" outlineLevel="1" x14ac:dyDescent="0.2">
      <c r="A8260" s="23" t="str">
        <f>HYPERLINK("https://www.spark-marketing.ru/Card/Person/56566", "ГБУЗ ВО ""ОЦЛФК И СМ""")</f>
        <v>ГБУЗ ВО "ОЦЛФК И СМ"</v>
      </c>
      <c r="B8260" s="24" t="s">
        <v>10515</v>
      </c>
      <c r="C8260" s="25">
        <v>31999.98</v>
      </c>
      <c r="D8260" s="22" t="s">
        <v>10516</v>
      </c>
      <c r="E8260" s="22" t="s">
        <v>68</v>
      </c>
      <c r="F8260" s="23" t="str">
        <f>HYPERLINK("https://www.spark-marketing.ru/Card/Lot/70444982", "закупка услуг по охране объекта с использованием кнопки тревожной сигнализации")</f>
        <v>закупка услуг по охране объекта с использованием кнопки тревожной сигнализации</v>
      </c>
      <c r="G8260" s="22" t="s">
        <v>145</v>
      </c>
      <c r="H8260" s="22" t="s">
        <v>146</v>
      </c>
      <c r="I8260" s="26">
        <v>43599.420138888898</v>
      </c>
      <c r="J8260" s="23" t="str">
        <f>HYPERLINK("https://www.spark-marketing.ru/Card/Person/17745", "ООО ЧОП ""ВПСН - СОБОЛЬ""")</f>
        <v>ООО ЧОП "ВПСН - СОБОЛЬ"</v>
      </c>
      <c r="K8260" s="24" t="s">
        <v>10518</v>
      </c>
      <c r="L8260" s="28" t="s">
        <v>52</v>
      </c>
      <c r="M8260" s="25">
        <v>3839.98</v>
      </c>
      <c r="N8260" s="27">
        <v>0.88000055000034372</v>
      </c>
    </row>
    <row r="8261" spans="1:14" x14ac:dyDescent="0.15">
      <c r="A8261" s="23" t="str">
        <f>HYPERLINK("https://www.spark-marketing.ru/Card/Person/11771", "ГБУСО СШОР ПО БОКСУ")</f>
        <v>ГБУСО СШОР ПО БОКСУ</v>
      </c>
      <c r="B8261" s="24" t="s">
        <v>10519</v>
      </c>
      <c r="C8261" s="25">
        <v>188187.91</v>
      </c>
      <c r="D8261" s="22" t="s">
        <v>10520</v>
      </c>
      <c r="E8261" s="22" t="s">
        <v>59</v>
      </c>
      <c r="F8261" s="23" t="str">
        <f>HYPERLINK("https://www.spark-marketing.ru/Card/Lot/70443620", "Установка системы видеонаблюдения")</f>
        <v>Установка системы видеонаблюдения</v>
      </c>
      <c r="G8261" s="22" t="s">
        <v>80</v>
      </c>
      <c r="H8261" s="22" t="s">
        <v>81</v>
      </c>
      <c r="I8261" s="26">
        <v>43599.449305555601</v>
      </c>
      <c r="J8261" s="28" t="s">
        <v>52</v>
      </c>
      <c r="K8261" s="28" t="s">
        <v>52</v>
      </c>
      <c r="L8261" s="28" t="s">
        <v>52</v>
      </c>
      <c r="M8261" s="28" t="s">
        <v>52</v>
      </c>
      <c r="N8261" s="28" t="s">
        <v>52</v>
      </c>
    </row>
    <row r="8262" spans="1:14" ht="12.75" hidden="1" outlineLevel="1" x14ac:dyDescent="0.2">
      <c r="A8262" s="23" t="str">
        <f>HYPERLINK("https://www.spark-marketing.ru/Card/Person/11771", "ГБУСО СШОР ПО БОКСУ")</f>
        <v>ГБУСО СШОР ПО БОКСУ</v>
      </c>
      <c r="B8262" s="24" t="s">
        <v>10519</v>
      </c>
      <c r="C8262" s="25">
        <v>188187.91</v>
      </c>
      <c r="D8262" s="22" t="s">
        <v>10520</v>
      </c>
      <c r="E8262" s="22" t="s">
        <v>59</v>
      </c>
      <c r="F8262" s="23" t="str">
        <f>HYPERLINK("https://www.spark-marketing.ru/Card/Lot/70443620", "Установка системы видеонаблюдения")</f>
        <v>Установка системы видеонаблюдения</v>
      </c>
      <c r="G8262" s="22" t="s">
        <v>80</v>
      </c>
      <c r="H8262" s="22" t="s">
        <v>81</v>
      </c>
      <c r="I8262" s="26">
        <v>43599.449305555601</v>
      </c>
      <c r="J8262" s="23" t="str">
        <f>HYPERLINK("https://www.spark-marketing.ru/Card/Person/233377", "ООО ""СИЛЬВЕР-ЛАЙН""")</f>
        <v>ООО "СИЛЬВЕР-ЛАЙН"</v>
      </c>
      <c r="K8262" s="24" t="s">
        <v>2557</v>
      </c>
      <c r="L8262" s="22" t="s">
        <v>10</v>
      </c>
      <c r="M8262" s="25">
        <v>137854.64000000001</v>
      </c>
      <c r="N8262" s="27">
        <v>0.26746282479039168</v>
      </c>
    </row>
    <row r="8263" spans="1:14" hidden="1" outlineLevel="1" x14ac:dyDescent="0.2">
      <c r="A8263" s="23" t="str">
        <f>HYPERLINK("https://www.spark-marketing.ru/Card/Person/11771", "ГБУСО СШОР ПО БОКСУ")</f>
        <v>ГБУСО СШОР ПО БОКСУ</v>
      </c>
      <c r="B8263" s="24" t="s">
        <v>10519</v>
      </c>
      <c r="C8263" s="25">
        <v>188187.91</v>
      </c>
      <c r="D8263" s="22" t="s">
        <v>10520</v>
      </c>
      <c r="E8263" s="22" t="s">
        <v>59</v>
      </c>
      <c r="F8263" s="23" t="str">
        <f>HYPERLINK("https://www.spark-marketing.ru/Card/Lot/70443620", "Установка системы видеонаблюдения")</f>
        <v>Установка системы видеонаблюдения</v>
      </c>
      <c r="G8263" s="22" t="s">
        <v>80</v>
      </c>
      <c r="H8263" s="22" t="s">
        <v>81</v>
      </c>
      <c r="I8263" s="26">
        <v>43599.449305555601</v>
      </c>
      <c r="J8263" s="23" t="str">
        <f>HYPERLINK("https://www.spark-marketing.ru/Card/Person/4855672", "Соннова Екатерина Александровна")</f>
        <v>Соннова Екатерина Александровна</v>
      </c>
      <c r="K8263" s="24" t="s">
        <v>2556</v>
      </c>
      <c r="L8263" s="28" t="s">
        <v>52</v>
      </c>
      <c r="M8263" s="25">
        <v>138795.57999999999</v>
      </c>
      <c r="N8263" s="27">
        <v>0.26246282239916474</v>
      </c>
    </row>
    <row r="8264" spans="1:14" x14ac:dyDescent="0.15">
      <c r="A8264" s="23" t="str">
        <f>HYPERLINK("https://www.spark-marketing.ru/Card/Person/69264", "ГАУЗ ""ГОРОДСКАЯ БОЛЬНИЦА №2""")</f>
        <v>ГАУЗ "ГОРОДСКАЯ БОЛЬНИЦА №2"</v>
      </c>
      <c r="B8264" s="24" t="s">
        <v>9907</v>
      </c>
      <c r="C8264" s="25">
        <v>133452</v>
      </c>
      <c r="D8264" s="22" t="s">
        <v>10521</v>
      </c>
      <c r="E8264" s="22" t="s">
        <v>208</v>
      </c>
      <c r="F8264" s="23" t="str">
        <f>HYPERLINK("https://www.spark-marketing.ru/Card/Lot/70445185", "Предоставление услуг по охране объектов.")</f>
        <v>Предоставление услуг по охране объектов.</v>
      </c>
      <c r="G8264" s="22" t="s">
        <v>204</v>
      </c>
      <c r="H8264" s="22" t="s">
        <v>1945</v>
      </c>
      <c r="I8264" s="26">
        <v>43599.422222222202</v>
      </c>
      <c r="J8264" s="28" t="s">
        <v>52</v>
      </c>
      <c r="K8264" s="28" t="s">
        <v>52</v>
      </c>
      <c r="L8264" s="28" t="s">
        <v>52</v>
      </c>
      <c r="M8264" s="28" t="s">
        <v>52</v>
      </c>
      <c r="N8264" s="28" t="s">
        <v>52</v>
      </c>
    </row>
    <row r="8265" spans="1:14" x14ac:dyDescent="0.15">
      <c r="A8265" s="23" t="str">
        <f>HYPERLINK("https://www.spark-marketing.ru/Card/Person/4348584", "АО ""АТОМ-ОХРАНА""")</f>
        <v>АО "АТОМ-ОХРАНА"</v>
      </c>
      <c r="B8265" s="24" t="s">
        <v>1036</v>
      </c>
      <c r="C8265" s="28" t="s">
        <v>52</v>
      </c>
      <c r="D8265" s="22" t="s">
        <v>10522</v>
      </c>
      <c r="E8265" s="22" t="s">
        <v>53</v>
      </c>
      <c r="F8265" s="23" t="str">
        <f>HYPERLINK("https://www.spark-marketing.ru/Card/Lot/70452694", "Оказание услуг по техническому обслуживанию в гарантийный период эксплуатации автомобиля марки Peugeot Traveller МУВО № 4 АО «Атом-охрана» (1251828)")</f>
        <v>Оказание услуг по техническому обслуживанию в гарантийный период эксплуатации автомобиля марки Peugeot Traveller МУВО № 4 АО «Атом-охрана» (1251828)</v>
      </c>
      <c r="G8265" s="22" t="s">
        <v>55</v>
      </c>
      <c r="H8265" s="22" t="s">
        <v>55</v>
      </c>
      <c r="I8265" s="26">
        <v>43599.454872685201</v>
      </c>
      <c r="J8265" s="28" t="s">
        <v>52</v>
      </c>
      <c r="K8265" s="28" t="s">
        <v>52</v>
      </c>
      <c r="L8265" s="28" t="s">
        <v>52</v>
      </c>
      <c r="M8265" s="28" t="s">
        <v>52</v>
      </c>
      <c r="N8265" s="28" t="s">
        <v>52</v>
      </c>
    </row>
    <row r="8266" spans="1:14" x14ac:dyDescent="0.15">
      <c r="A8266" s="23" t="str">
        <f>HYPERLINK("https://www.spark-marketing.ru/Card/Person/35233", "ГБУЗ СО ""МАЛЫШЕВСКАЯ ГБ""")</f>
        <v>ГБУЗ СО "МАЛЫШЕВСКАЯ ГБ"</v>
      </c>
      <c r="B8266" s="24" t="s">
        <v>10523</v>
      </c>
      <c r="C8266" s="25">
        <v>84785.12</v>
      </c>
      <c r="D8266" s="22" t="s">
        <v>10524</v>
      </c>
      <c r="E8266" s="22" t="s">
        <v>52</v>
      </c>
      <c r="F8266" s="23" t="str">
        <f>HYPERLINK("https://www.spark-marketing.ru/Card/Lot/70439791", "оказание охранных услуг по охране объектов")</f>
        <v>оказание охранных услуг по охране объектов</v>
      </c>
      <c r="G8266" s="22" t="s">
        <v>72</v>
      </c>
      <c r="H8266" s="22" t="s">
        <v>692</v>
      </c>
      <c r="I8266" s="26">
        <v>43599.392361111102</v>
      </c>
      <c r="J8266" s="28" t="s">
        <v>52</v>
      </c>
      <c r="K8266" s="28" t="s">
        <v>52</v>
      </c>
      <c r="L8266" s="28" t="s">
        <v>52</v>
      </c>
      <c r="M8266" s="28" t="s">
        <v>52</v>
      </c>
      <c r="N8266" s="28" t="s">
        <v>52</v>
      </c>
    </row>
    <row r="8267" spans="1:14" ht="12.75" hidden="1" outlineLevel="1" x14ac:dyDescent="0.2">
      <c r="A8267" s="23" t="str">
        <f>HYPERLINK("https://www.spark-marketing.ru/Card/Person/35233", "ГБУЗ СО ""МАЛЫШЕВСКАЯ ГБ""")</f>
        <v>ГБУЗ СО "МАЛЫШЕВСКАЯ ГБ"</v>
      </c>
      <c r="B8267" s="24" t="s">
        <v>10523</v>
      </c>
      <c r="C8267" s="25">
        <v>84785.12</v>
      </c>
      <c r="D8267" s="22" t="s">
        <v>10524</v>
      </c>
      <c r="E8267" s="22" t="s">
        <v>52</v>
      </c>
      <c r="F8267" s="23" t="str">
        <f>HYPERLINK("https://www.spark-marketing.ru/Card/Lot/70439791", "оказание охранных услуг по охране объектов")</f>
        <v>оказание охранных услуг по охране объектов</v>
      </c>
      <c r="G8267" s="22" t="s">
        <v>72</v>
      </c>
      <c r="H8267" s="22" t="s">
        <v>692</v>
      </c>
      <c r="I8267" s="26">
        <v>43599.392361111102</v>
      </c>
      <c r="J8267" s="23" t="str">
        <f>HYPERLINK("https://www.spark-marketing.ru/Card/Person/535845", "ФГКУ ""УВО ВНГ РОССИИ ПО СВЕРДЛОВСКОЙ ОБЛАСТИ""")</f>
        <v>ФГКУ "УВО ВНГ РОССИИ ПО СВЕРДЛОВСКОЙ ОБЛАСТИ"</v>
      </c>
      <c r="K8267" s="24" t="s">
        <v>3139</v>
      </c>
      <c r="L8267" s="22" t="s">
        <v>10</v>
      </c>
      <c r="M8267" s="25">
        <v>79710.720000000001</v>
      </c>
      <c r="N8267" s="27">
        <v>5.9850124644513093E-2</v>
      </c>
    </row>
    <row r="8268" spans="1:14" hidden="1" outlineLevel="1" x14ac:dyDescent="0.2">
      <c r="A8268" s="23" t="str">
        <f>HYPERLINK("https://www.spark-marketing.ru/Card/Person/35233", "ГБУЗ СО ""МАЛЫШЕВСКАЯ ГБ""")</f>
        <v>ГБУЗ СО "МАЛЫШЕВСКАЯ ГБ"</v>
      </c>
      <c r="B8268" s="24" t="s">
        <v>10523</v>
      </c>
      <c r="C8268" s="25">
        <v>84785.12</v>
      </c>
      <c r="D8268" s="22" t="s">
        <v>10524</v>
      </c>
      <c r="E8268" s="22" t="s">
        <v>52</v>
      </c>
      <c r="F8268" s="23" t="str">
        <f>HYPERLINK("https://www.spark-marketing.ru/Card/Lot/70439791", "оказание охранных услуг по охране объектов")</f>
        <v>оказание охранных услуг по охране объектов</v>
      </c>
      <c r="G8268" s="22" t="s">
        <v>72</v>
      </c>
      <c r="H8268" s="22" t="s">
        <v>692</v>
      </c>
      <c r="I8268" s="26">
        <v>43599.392361111102</v>
      </c>
      <c r="J8268" s="23" t="str">
        <f>HYPERLINK("https://www.spark-marketing.ru/Card/Person/6457697", "ООО ЧОО ""АЛЬФА-ЕКБ""")</f>
        <v>ООО ЧОО "АЛЬФА-ЕКБ"</v>
      </c>
      <c r="K8268" s="24" t="s">
        <v>10525</v>
      </c>
      <c r="L8268" s="28" t="s">
        <v>52</v>
      </c>
      <c r="M8268" s="25">
        <v>84700</v>
      </c>
      <c r="N8268" s="27">
        <v>1.0039497496730559E-3</v>
      </c>
    </row>
    <row r="8269" spans="1:14" x14ac:dyDescent="0.15">
      <c r="A8269" s="23" t="str">
        <f>HYPERLINK("https://www.spark-marketing.ru/Card/Person/487189", "ГАПОУ АО ""ВЕЛЬСКИЙ ИНДУСТРИАЛЬНО-ЭКОНОМИЧЕСКИЙ КОЛЛЕДЖ""")</f>
        <v>ГАПОУ АО "ВЕЛЬСКИЙ ИНДУСТРИАЛЬНО-ЭКОНОМИЧЕСКИЙ КОЛЛЕДЖ"</v>
      </c>
      <c r="B8269" s="24" t="s">
        <v>10526</v>
      </c>
      <c r="C8269" s="25">
        <v>150000</v>
      </c>
      <c r="D8269" s="22" t="s">
        <v>10527</v>
      </c>
      <c r="E8269" s="22" t="s">
        <v>9470</v>
      </c>
      <c r="F8269" s="23" t="str">
        <f>HYPERLINK("https://www.spark-marketing.ru/Card/Lot/70443230", "Установка системы видеонаблюдения")</f>
        <v>Установка системы видеонаблюдения</v>
      </c>
      <c r="G8269" s="22" t="s">
        <v>674</v>
      </c>
      <c r="H8269" s="22" t="s">
        <v>674</v>
      </c>
      <c r="I8269" s="26">
        <v>43599.3976273148</v>
      </c>
      <c r="J8269" s="28" t="s">
        <v>52</v>
      </c>
      <c r="K8269" s="28" t="s">
        <v>52</v>
      </c>
      <c r="L8269" s="28" t="s">
        <v>52</v>
      </c>
      <c r="M8269" s="28" t="s">
        <v>52</v>
      </c>
      <c r="N8269" s="28" t="s">
        <v>52</v>
      </c>
    </row>
    <row r="8270" spans="1:14" x14ac:dyDescent="0.15">
      <c r="A8270" s="23" t="str">
        <f>HYPERLINK("https://www.spark-marketing.ru/Card/Person/3723", "ГБУЗ СО ""ЦРБ ВЕРХОТУРСКОГО РАЙОНА""")</f>
        <v>ГБУЗ СО "ЦРБ ВЕРХОТУРСКОГО РАЙОНА"</v>
      </c>
      <c r="B8270" s="24" t="s">
        <v>10528</v>
      </c>
      <c r="C8270" s="25">
        <v>132088.5</v>
      </c>
      <c r="D8270" s="22" t="s">
        <v>10529</v>
      </c>
      <c r="E8270" s="22" t="s">
        <v>68</v>
      </c>
      <c r="F8270" s="23" t="str">
        <f>HYPERLINK("https://www.spark-marketing.ru/Card/Lot/70439779", "Приобретение услуги по охране объектов")</f>
        <v>Приобретение услуги по охране объектов</v>
      </c>
      <c r="G8270" s="22" t="s">
        <v>72</v>
      </c>
      <c r="H8270" s="22" t="s">
        <v>7748</v>
      </c>
      <c r="I8270" s="26">
        <v>43599.389583333301</v>
      </c>
      <c r="J8270" s="23" t="str">
        <f>HYPERLINK("https://www.spark-marketing.ru/Card/Person/808361", "ООО ЧОО ""ЛАНЦЕЛОТ""")</f>
        <v>ООО ЧОО "ЛАНЦЕЛОТ"</v>
      </c>
      <c r="K8270" s="24" t="s">
        <v>2338</v>
      </c>
      <c r="L8270" s="22" t="s">
        <v>10</v>
      </c>
      <c r="M8270" s="28" t="s">
        <v>52</v>
      </c>
      <c r="N8270" s="28" t="s">
        <v>52</v>
      </c>
    </row>
    <row r="8271" spans="1:14" x14ac:dyDescent="0.15">
      <c r="A8271" s="23" t="str">
        <f>HYPERLINK("https://www.spark-marketing.ru/Card/Person/4348584", "АО ""АТОМ-ОХРАНА""")</f>
        <v>АО "АТОМ-ОХРАНА"</v>
      </c>
      <c r="B8271" s="24" t="s">
        <v>1036</v>
      </c>
      <c r="C8271" s="25">
        <v>0</v>
      </c>
      <c r="D8271" s="22" t="s">
        <v>10530</v>
      </c>
      <c r="E8271" s="22" t="s">
        <v>53</v>
      </c>
      <c r="F8271" s="23" t="str">
        <f>HYPERLINK("https://www.spark-marketing.ru/Card/Lot/70444376", "мониторинг цен в электронной форме на Оказание услуг по техническому обслуживанию в гарантийный период эксплуатации автомобиля марки Peugeot Traveller МУВО № 4 АО «Атом-охрана»")</f>
        <v>мониторинг цен в электронной форме на Оказание услуг по техническому обслуживанию в гарантийный период эксплуатации автомобиля марки Peugeot Traveller МУВО № 4 АО «Атом-охрана»</v>
      </c>
      <c r="G8271" s="22" t="s">
        <v>55</v>
      </c>
      <c r="H8271" s="22" t="s">
        <v>55</v>
      </c>
      <c r="I8271" s="26">
        <v>43599.393229166701</v>
      </c>
      <c r="J8271" s="28" t="s">
        <v>52</v>
      </c>
      <c r="K8271" s="28" t="s">
        <v>52</v>
      </c>
      <c r="L8271" s="28" t="s">
        <v>52</v>
      </c>
      <c r="M8271" s="28" t="s">
        <v>52</v>
      </c>
      <c r="N8271" s="28" t="s">
        <v>52</v>
      </c>
    </row>
    <row r="8272" spans="1:14" x14ac:dyDescent="0.15">
      <c r="A8272" s="23" t="str">
        <f>HYPERLINK("https://www.spark-marketing.ru/Card/Person/60990", "ИРКУТСКАЯ ТАМОЖНЯ")</f>
        <v>ИРКУТСКАЯ ТАМОЖНЯ</v>
      </c>
      <c r="B8272" s="24" t="s">
        <v>10531</v>
      </c>
      <c r="C8272" s="25">
        <v>416042.64</v>
      </c>
      <c r="D8272" s="22" t="s">
        <v>10532</v>
      </c>
      <c r="E8272" s="22" t="s">
        <v>68</v>
      </c>
      <c r="F8272" s="23" t="str">
        <f>HYPERLINK("https://www.spark-marketing.ru/Card/Lot/70438041", "оказание услуг по охране объектов Иркутской таможни")</f>
        <v>оказание услуг по охране объектов Иркутской таможни</v>
      </c>
      <c r="G8272" s="22" t="s">
        <v>281</v>
      </c>
      <c r="H8272" s="22" t="s">
        <v>2008</v>
      </c>
      <c r="I8272" s="26">
        <v>43599.381249999999</v>
      </c>
      <c r="J8272" s="23" t="str">
        <f>HYPERLINK("https://www.spark-marketing.ru/Card/Person/270948", "ФЛ ФГУП ""ОХРАНА"" РОСГВАРДИИ ПО ИРКУТСКОЙ ОБЛАСТИ")</f>
        <v>ФЛ ФГУП "ОХРАНА" РОСГВАРДИИ ПО ИРКУТСКОЙ ОБЛАСТИ</v>
      </c>
      <c r="K8272" s="24" t="s">
        <v>779</v>
      </c>
      <c r="L8272" s="22" t="s">
        <v>10</v>
      </c>
      <c r="M8272" s="28" t="s">
        <v>52</v>
      </c>
      <c r="N8272" s="28" t="s">
        <v>52</v>
      </c>
    </row>
    <row r="8273" spans="1:14" x14ac:dyDescent="0.15">
      <c r="A8273" s="23" t="str">
        <f>HYPERLINK("https://www.spark-marketing.ru/Card/Person/81691", "БОУ Г. ОМСКА ""СРЕДНЯЯ ОБЩЕОБРАЗОВАТЕЛЬНАЯ ШКОЛА № 39 С УГЛУБЛЕННЫМ ИЗУЧЕНИЕМ ОТДЕЛЬНЫХ ПРЕДМЕТОВ""")</f>
        <v>БОУ Г. ОМСКА "СРЕДНЯЯ ОБЩЕОБРАЗОВАТЕЛЬНАЯ ШКОЛА № 39 С УГЛУБЛЕННЫМ ИЗУЧЕНИЕМ ОТДЕЛЬНЫХ ПРЕДМЕТОВ"</v>
      </c>
      <c r="B8273" s="24" t="s">
        <v>7299</v>
      </c>
      <c r="C8273" s="25">
        <v>99999.6</v>
      </c>
      <c r="D8273" s="22" t="s">
        <v>10533</v>
      </c>
      <c r="E8273" s="22" t="s">
        <v>9844</v>
      </c>
      <c r="F8273" s="23" t="str">
        <f>HYPERLINK("https://www.spark-marketing.ru/Card/Lot/70441237", "Выполнение работ по установке системы видеонаблюдения.")</f>
        <v>Выполнение работ по установке системы видеонаблюдения.</v>
      </c>
      <c r="G8273" s="22" t="s">
        <v>521</v>
      </c>
      <c r="H8273" s="22" t="s">
        <v>522</v>
      </c>
      <c r="I8273" s="26">
        <v>43599.370138888902</v>
      </c>
      <c r="J8273" s="28" t="s">
        <v>52</v>
      </c>
      <c r="K8273" s="28" t="s">
        <v>52</v>
      </c>
      <c r="L8273" s="28" t="s">
        <v>52</v>
      </c>
      <c r="M8273" s="28" t="s">
        <v>52</v>
      </c>
      <c r="N8273" s="28" t="s">
        <v>52</v>
      </c>
    </row>
    <row r="8274" spans="1:14" x14ac:dyDescent="0.15">
      <c r="A8274" s="23" t="str">
        <f>HYPERLINK("https://www.spark-marketing.ru/Card/Person/59833", "ГУЗ ""БЕЛЕВСКАЯ ЦРБ""")</f>
        <v>ГУЗ "БЕЛЕВСКАЯ ЦРБ"</v>
      </c>
      <c r="B8274" s="24" t="s">
        <v>10534</v>
      </c>
      <c r="C8274" s="25">
        <v>585031.68000000005</v>
      </c>
      <c r="D8274" s="22" t="s">
        <v>10535</v>
      </c>
      <c r="E8274" s="22" t="s">
        <v>52</v>
      </c>
      <c r="F8274" s="23" t="str">
        <f>HYPERLINK("https://www.spark-marketing.ru/Card/Lot/70435841", "Оказание услуг по охране объекта(стационар) и имущества ,обеспечение внутриобъектного и пропускного режима")</f>
        <v>Оказание услуг по охране объекта(стационар) и имущества ,обеспечение внутриобъектного и пропускного режима</v>
      </c>
      <c r="G8274" s="22" t="s">
        <v>818</v>
      </c>
      <c r="H8274" s="22" t="s">
        <v>10536</v>
      </c>
      <c r="I8274" s="26">
        <v>43598.809027777803</v>
      </c>
      <c r="J8274" s="28" t="s">
        <v>52</v>
      </c>
      <c r="K8274" s="28" t="s">
        <v>52</v>
      </c>
      <c r="L8274" s="28" t="s">
        <v>52</v>
      </c>
      <c r="M8274" s="28" t="s">
        <v>52</v>
      </c>
      <c r="N8274" s="28" t="s">
        <v>52</v>
      </c>
    </row>
    <row r="8275" spans="1:14" ht="12.75" hidden="1" outlineLevel="1" x14ac:dyDescent="0.2">
      <c r="A8275" s="23" t="str">
        <f>HYPERLINK("https://www.spark-marketing.ru/Card/Person/59833", "ГУЗ ""БЕЛЕВСКАЯ ЦРБ""")</f>
        <v>ГУЗ "БЕЛЕВСКАЯ ЦРБ"</v>
      </c>
      <c r="B8275" s="24" t="s">
        <v>10534</v>
      </c>
      <c r="C8275" s="25">
        <v>585031.68000000005</v>
      </c>
      <c r="D8275" s="22" t="s">
        <v>10535</v>
      </c>
      <c r="E8275" s="22" t="s">
        <v>52</v>
      </c>
      <c r="F8275" s="23" t="str">
        <f>HYPERLINK("https://www.spark-marketing.ru/Card/Lot/70435841", "Оказание услуг по охране объекта(стационар) и имущества ,обеспечение внутриобъектного и пропускного режима")</f>
        <v>Оказание услуг по охране объекта(стационар) и имущества ,обеспечение внутриобъектного и пропускного режима</v>
      </c>
      <c r="G8275" s="22" t="s">
        <v>818</v>
      </c>
      <c r="H8275" s="22" t="s">
        <v>10536</v>
      </c>
      <c r="I8275" s="26">
        <v>43598.809027777803</v>
      </c>
      <c r="J8275" s="23" t="str">
        <f>HYPERLINK("https://www.spark-marketing.ru/Card/Person/245562", "ООО ЧОО ""КАРАТ""")</f>
        <v>ООО ЧОО "КАРАТ"</v>
      </c>
      <c r="K8275" s="24" t="s">
        <v>10537</v>
      </c>
      <c r="L8275" s="22" t="s">
        <v>10</v>
      </c>
      <c r="M8275" s="25">
        <v>231087.35999999999</v>
      </c>
      <c r="N8275" s="27">
        <v>0.60500026254988448</v>
      </c>
    </row>
    <row r="8276" spans="1:14" hidden="1" outlineLevel="1" x14ac:dyDescent="0.2">
      <c r="A8276" s="23" t="str">
        <f>HYPERLINK("https://www.spark-marketing.ru/Card/Person/59833", "ГУЗ ""БЕЛЕВСКАЯ ЦРБ""")</f>
        <v>ГУЗ "БЕЛЕВСКАЯ ЦРБ"</v>
      </c>
      <c r="B8276" s="24" t="s">
        <v>10534</v>
      </c>
      <c r="C8276" s="25">
        <v>585031.68000000005</v>
      </c>
      <c r="D8276" s="22" t="s">
        <v>10535</v>
      </c>
      <c r="E8276" s="22" t="s">
        <v>52</v>
      </c>
      <c r="F8276" s="23" t="str">
        <f>HYPERLINK("https://www.spark-marketing.ru/Card/Lot/70435841", "Оказание услуг по охране объекта(стационар) и имущества ,обеспечение внутриобъектного и пропускного режима")</f>
        <v>Оказание услуг по охране объекта(стационар) и имущества ,обеспечение внутриобъектного и пропускного режима</v>
      </c>
      <c r="G8276" s="22" t="s">
        <v>818</v>
      </c>
      <c r="H8276" s="22" t="s">
        <v>10536</v>
      </c>
      <c r="I8276" s="26">
        <v>43598.809027777803</v>
      </c>
      <c r="J8276" s="23" t="str">
        <f>HYPERLINK("https://www.spark-marketing.ru/Card/Person/6501546", "ООО ЧОО ""ЩИТ-ГАРАНТ""")</f>
        <v>ООО ЧОО "ЩИТ-ГАРАНТ"</v>
      </c>
      <c r="K8276" s="24" t="s">
        <v>4105</v>
      </c>
      <c r="L8276" s="28" t="s">
        <v>52</v>
      </c>
      <c r="M8276" s="25">
        <v>260338.94</v>
      </c>
      <c r="N8276" s="27">
        <v>0.5550002693871211</v>
      </c>
    </row>
    <row r="8277" spans="1:14" x14ac:dyDescent="0.15">
      <c r="A8277" s="23" t="str">
        <f>HYPERLINK("https://www.spark-marketing.ru/Card/Person/4346563", "ПАО ""ГАЗПРОМ""")</f>
        <v>ПАО "ГАЗПРОМ"</v>
      </c>
      <c r="B8277" s="24" t="s">
        <v>1548</v>
      </c>
      <c r="C8277" s="25">
        <v>224837736.5</v>
      </c>
      <c r="D8277" s="22" t="s">
        <v>10538</v>
      </c>
      <c r="E8277" s="22" t="s">
        <v>1550</v>
      </c>
      <c r="F8277" s="23" t="str">
        <f>HYPERLINK("https://www.spark-marketing.ru/Card/Lot/70435343", "Оказание автотранспортных услуг для Челябинского отдела Свердловского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f>
        <v>Оказание автотранспортных услуг для Челябинского отдела Свердловского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v>
      </c>
      <c r="G8277" s="22" t="s">
        <v>55</v>
      </c>
      <c r="H8277" s="22" t="s">
        <v>55</v>
      </c>
      <c r="I8277" s="26">
        <v>43598.7649537037</v>
      </c>
      <c r="J8277" s="28" t="s">
        <v>52</v>
      </c>
      <c r="K8277" s="28" t="s">
        <v>52</v>
      </c>
      <c r="L8277" s="28" t="s">
        <v>52</v>
      </c>
      <c r="M8277" s="28" t="s">
        <v>52</v>
      </c>
      <c r="N8277" s="28" t="s">
        <v>52</v>
      </c>
    </row>
    <row r="8278" spans="1:14" hidden="1" outlineLevel="1" x14ac:dyDescent="0.15">
      <c r="A8278" s="23" t="str">
        <f>HYPERLINK("https://www.spark-marketing.ru/Card/Person/4346563", "ПАО ""ГАЗПРОМ""")</f>
        <v>ПАО "ГАЗПРОМ"</v>
      </c>
      <c r="B8278" s="24" t="s">
        <v>1548</v>
      </c>
      <c r="C8278" s="28" t="s">
        <v>52</v>
      </c>
      <c r="D8278" s="22" t="s">
        <v>10538</v>
      </c>
      <c r="E8278" s="22" t="s">
        <v>1550</v>
      </c>
      <c r="F8278" s="23" t="str">
        <f>HYPERLINK("https://www.spark-marketing.ru/Card/Lot/70435343", "Оказание автотранспортных услуг для Челябинского отдела Свердловского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f>
        <v>Оказание автотранспортных услуг для Челябинского отдела Свердловского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v>
      </c>
      <c r="G8278" s="22" t="s">
        <v>55</v>
      </c>
      <c r="H8278" s="22" t="s">
        <v>55</v>
      </c>
      <c r="I8278" s="26">
        <v>43598.7649537037</v>
      </c>
      <c r="J8278" s="23" t="str">
        <f>HYPERLINK("https://www.spark-marketing.ru/Card/Person/-1", "неизвестно")</f>
        <v>неизвестно</v>
      </c>
      <c r="K8278" s="28" t="s">
        <v>52</v>
      </c>
      <c r="L8278" s="28" t="s">
        <v>52</v>
      </c>
      <c r="M8278" s="28" t="s">
        <v>52</v>
      </c>
      <c r="N8278" s="28" t="s">
        <v>52</v>
      </c>
    </row>
    <row r="8279" spans="1:14" hidden="1" outlineLevel="1" x14ac:dyDescent="0.15">
      <c r="A8279" s="23" t="str">
        <f>HYPERLINK("https://www.spark-marketing.ru/Card/Person/4346563", "ПАО ""ГАЗПРОМ""")</f>
        <v>ПАО "ГАЗПРОМ"</v>
      </c>
      <c r="B8279" s="24" t="s">
        <v>1548</v>
      </c>
      <c r="C8279" s="28" t="s">
        <v>52</v>
      </c>
      <c r="D8279" s="22" t="s">
        <v>10538</v>
      </c>
      <c r="E8279" s="22" t="s">
        <v>1550</v>
      </c>
      <c r="F8279" s="23" t="str">
        <f>HYPERLINK("https://www.spark-marketing.ru/Card/Lot/70435343", "Оказание автотранспортных услуг для Челябинского отдела Свердловского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f>
        <v>Оказание автотранспортных услуг для Челябинского отдела Свердловского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v>
      </c>
      <c r="G8279" s="22" t="s">
        <v>55</v>
      </c>
      <c r="H8279" s="22" t="s">
        <v>55</v>
      </c>
      <c r="I8279" s="26">
        <v>43598.7649537037</v>
      </c>
      <c r="J8279" s="23" t="str">
        <f>HYPERLINK("https://www.spark-marketing.ru/Card/Person/-1", "неизвестно")</f>
        <v>неизвестно</v>
      </c>
      <c r="K8279" s="28" t="s">
        <v>52</v>
      </c>
      <c r="L8279" s="28" t="s">
        <v>52</v>
      </c>
      <c r="M8279" s="28" t="s">
        <v>52</v>
      </c>
      <c r="N8279" s="28" t="s">
        <v>52</v>
      </c>
    </row>
    <row r="8280" spans="1:14" hidden="1" outlineLevel="1" x14ac:dyDescent="0.15">
      <c r="A8280" s="23" t="str">
        <f>HYPERLINK("https://www.spark-marketing.ru/Card/Person/4346563", "ПАО ""ГАЗПРОМ""")</f>
        <v>ПАО "ГАЗПРОМ"</v>
      </c>
      <c r="B8280" s="24" t="s">
        <v>1548</v>
      </c>
      <c r="C8280" s="28" t="s">
        <v>52</v>
      </c>
      <c r="D8280" s="22" t="s">
        <v>10538</v>
      </c>
      <c r="E8280" s="22" t="s">
        <v>1550</v>
      </c>
      <c r="F8280" s="23" t="str">
        <f>HYPERLINK("https://www.spark-marketing.ru/Card/Lot/70435343", "Оказание автотранспортных услуг для Челябинского отдела Свердловского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f>
        <v>Оказание автотранспортных услуг для Челябинского отдела Свердловского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v>
      </c>
      <c r="G8280" s="22" t="s">
        <v>55</v>
      </c>
      <c r="H8280" s="22" t="s">
        <v>55</v>
      </c>
      <c r="I8280" s="26">
        <v>43598.7649537037</v>
      </c>
      <c r="J8280" s="23" t="str">
        <f>HYPERLINK("https://www.spark-marketing.ru/Card/Person/-1", "неизвестно")</f>
        <v>неизвестно</v>
      </c>
      <c r="K8280" s="28" t="s">
        <v>52</v>
      </c>
      <c r="L8280" s="28" t="s">
        <v>52</v>
      </c>
      <c r="M8280" s="28" t="s">
        <v>52</v>
      </c>
      <c r="N8280" s="28" t="s">
        <v>52</v>
      </c>
    </row>
    <row r="8281" spans="1:14" hidden="1" outlineLevel="1" x14ac:dyDescent="0.2">
      <c r="A8281" s="23" t="str">
        <f>HYPERLINK("https://www.spark-marketing.ru/Card/Person/4346563", "ПАО ""ГАЗПРОМ""")</f>
        <v>ПАО "ГАЗПРОМ"</v>
      </c>
      <c r="B8281" s="24" t="s">
        <v>1548</v>
      </c>
      <c r="C8281" s="28" t="s">
        <v>52</v>
      </c>
      <c r="D8281" s="22" t="s">
        <v>10538</v>
      </c>
      <c r="E8281" s="22" t="s">
        <v>1550</v>
      </c>
      <c r="F8281" s="23" t="str">
        <f>HYPERLINK("https://www.spark-marketing.ru/Card/Lot/70435343", "Оказание автотранспортных услуг для Челябинского отдела Свердловского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f>
        <v>Оказание автотранспортных услуг для Челябинского отдела Свердловского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v>
      </c>
      <c r="G8281" s="22" t="s">
        <v>55</v>
      </c>
      <c r="H8281" s="22" t="s">
        <v>55</v>
      </c>
      <c r="I8281" s="26">
        <v>43598.7649537037</v>
      </c>
      <c r="J8281" s="23" t="str">
        <f>HYPERLINK("https://www.spark-marketing.ru/Card/Person/-1", "неизвестно")</f>
        <v>неизвестно</v>
      </c>
      <c r="K8281" s="28" t="s">
        <v>52</v>
      </c>
      <c r="L8281" s="22" t="s">
        <v>10</v>
      </c>
      <c r="M8281" s="25">
        <v>194534468.08000001</v>
      </c>
      <c r="N8281" s="27">
        <v>0.1347783912599565</v>
      </c>
    </row>
    <row r="8282" spans="1:14" x14ac:dyDescent="0.15">
      <c r="A8282" s="23" t="str">
        <f>HYPERLINK("https://www.spark-marketing.ru/Card/Person/16031", "ФГБУ ""НМИЦ АГП ИМ. В.И.КУЛАКОВА"" МИНЗДРАВА РОССИИ")</f>
        <v>ФГБУ "НМИЦ АГП ИМ. В.И.КУЛАКОВА" МИНЗДРАВА РОССИИ</v>
      </c>
      <c r="B8282" s="24" t="s">
        <v>10539</v>
      </c>
      <c r="C8282" s="25">
        <v>937751.44</v>
      </c>
      <c r="D8282" s="22" t="s">
        <v>10540</v>
      </c>
      <c r="E8282" s="22" t="s">
        <v>10541</v>
      </c>
      <c r="F8282" s="23" t="str">
        <f>HYPERLINK("https://www.spark-marketing.ru/Card/Lot/70435444", "Техническое обслуживанию систем контроля управления доступом и систем видеонаблюдения")</f>
        <v>Техническое обслуживанию систем контроля управления доступом и систем видеонаблюдения</v>
      </c>
      <c r="G8282" s="22" t="s">
        <v>55</v>
      </c>
      <c r="H8282" s="22" t="s">
        <v>55</v>
      </c>
      <c r="I8282" s="26">
        <v>43598.779756944401</v>
      </c>
      <c r="J8282" s="28" t="s">
        <v>52</v>
      </c>
      <c r="K8282" s="28" t="s">
        <v>52</v>
      </c>
      <c r="L8282" s="28" t="s">
        <v>52</v>
      </c>
      <c r="M8282" s="28" t="s">
        <v>52</v>
      </c>
      <c r="N8282" s="28" t="s">
        <v>52</v>
      </c>
    </row>
    <row r="8283" spans="1:14" hidden="1" outlineLevel="1" x14ac:dyDescent="0.2">
      <c r="A8283" s="23" t="str">
        <f>HYPERLINK("https://www.spark-marketing.ru/Card/Person/16031", "ФГБУ ""НМИЦ АГП ИМ. В.И.КУЛАКОВА"" МИНЗДРАВА РОССИИ")</f>
        <v>ФГБУ "НМИЦ АГП ИМ. В.И.КУЛАКОВА" МИНЗДРАВА РОССИИ</v>
      </c>
      <c r="B8283" s="24" t="s">
        <v>10539</v>
      </c>
      <c r="C8283" s="28" t="s">
        <v>52</v>
      </c>
      <c r="D8283" s="22" t="s">
        <v>10540</v>
      </c>
      <c r="E8283" s="22" t="s">
        <v>10541</v>
      </c>
      <c r="F8283" s="23" t="str">
        <f>HYPERLINK("https://www.spark-marketing.ru/Card/Lot/70435444", "Техническое обслуживанию систем контроля управления доступом и систем видеонаблюдения")</f>
        <v>Техническое обслуживанию систем контроля управления доступом и систем видеонаблюдения</v>
      </c>
      <c r="G8283" s="22" t="s">
        <v>55</v>
      </c>
      <c r="H8283" s="22" t="s">
        <v>55</v>
      </c>
      <c r="I8283" s="26">
        <v>43598.779756944401</v>
      </c>
      <c r="J8283" s="23" t="str">
        <f>HYPERLINK("https://www.spark-marketing.ru/Card/Person/2572181", "ООО ""ЖИРАФ""")</f>
        <v>ООО "ЖИРАФ"</v>
      </c>
      <c r="K8283" s="24" t="s">
        <v>8683</v>
      </c>
      <c r="L8283" s="28" t="s">
        <v>52</v>
      </c>
      <c r="M8283" s="25">
        <v>480000</v>
      </c>
      <c r="N8283" s="27">
        <v>0.48813728294568121</v>
      </c>
    </row>
    <row r="8284" spans="1:14" hidden="1" outlineLevel="1" x14ac:dyDescent="0.2">
      <c r="A8284" s="23" t="str">
        <f>HYPERLINK("https://www.spark-marketing.ru/Card/Person/16031", "ФГБУ ""НМИЦ АГП ИМ. В.И.КУЛАКОВА"" МИНЗДРАВА РОССИИ")</f>
        <v>ФГБУ "НМИЦ АГП ИМ. В.И.КУЛАКОВА" МИНЗДРАВА РОССИИ</v>
      </c>
      <c r="B8284" s="24" t="s">
        <v>10539</v>
      </c>
      <c r="C8284" s="28" t="s">
        <v>52</v>
      </c>
      <c r="D8284" s="22" t="s">
        <v>10540</v>
      </c>
      <c r="E8284" s="22" t="s">
        <v>10541</v>
      </c>
      <c r="F8284" s="23" t="str">
        <f>HYPERLINK("https://www.spark-marketing.ru/Card/Lot/70435444", "Техническое обслуживанию систем контроля управления доступом и систем видеонаблюдения")</f>
        <v>Техническое обслуживанию систем контроля управления доступом и систем видеонаблюдения</v>
      </c>
      <c r="G8284" s="22" t="s">
        <v>55</v>
      </c>
      <c r="H8284" s="22" t="s">
        <v>55</v>
      </c>
      <c r="I8284" s="26">
        <v>43598.779756944401</v>
      </c>
      <c r="J8284" s="23" t="str">
        <f>HYPERLINK("https://www.spark-marketing.ru/Card/Person/4731334", "ООО ""ПРОФИНФОРМЗАЩИТА""")</f>
        <v>ООО "ПРОФИНФОРМЗАЩИТА"</v>
      </c>
      <c r="K8284" s="24" t="s">
        <v>10542</v>
      </c>
      <c r="L8284" s="28" t="s">
        <v>52</v>
      </c>
      <c r="M8284" s="25">
        <v>465000</v>
      </c>
      <c r="N8284" s="27">
        <v>0.50413299285362867</v>
      </c>
    </row>
    <row r="8285" spans="1:14" hidden="1" outlineLevel="1" x14ac:dyDescent="0.2">
      <c r="A8285" s="23" t="str">
        <f>HYPERLINK("https://www.spark-marketing.ru/Card/Person/16031", "ФГБУ ""НМИЦ АГП ИМ. В.И.КУЛАКОВА"" МИНЗДРАВА РОССИИ")</f>
        <v>ФГБУ "НМИЦ АГП ИМ. В.И.КУЛАКОВА" МИНЗДРАВА РОССИИ</v>
      </c>
      <c r="B8285" s="24" t="s">
        <v>10539</v>
      </c>
      <c r="C8285" s="28" t="s">
        <v>52</v>
      </c>
      <c r="D8285" s="22" t="s">
        <v>10540</v>
      </c>
      <c r="E8285" s="22" t="s">
        <v>10541</v>
      </c>
      <c r="F8285" s="23" t="str">
        <f>HYPERLINK("https://www.spark-marketing.ru/Card/Lot/70435444", "Техническое обслуживанию систем контроля управления доступом и систем видеонаблюдения")</f>
        <v>Техническое обслуживанию систем контроля управления доступом и систем видеонаблюдения</v>
      </c>
      <c r="G8285" s="22" t="s">
        <v>55</v>
      </c>
      <c r="H8285" s="22" t="s">
        <v>55</v>
      </c>
      <c r="I8285" s="26">
        <v>43598.779756944401</v>
      </c>
      <c r="J8285" s="23" t="str">
        <f>HYPERLINK("https://www.spark-marketing.ru/Card/Person/10921", "ООО ""АЙТИ ФОРТ""")</f>
        <v>ООО "АЙТИ ФОРТ"</v>
      </c>
      <c r="K8285" s="24" t="s">
        <v>8546</v>
      </c>
      <c r="L8285" s="28" t="s">
        <v>52</v>
      </c>
      <c r="M8285" s="25">
        <v>800000</v>
      </c>
      <c r="N8285" s="27">
        <v>0.14689547157613536</v>
      </c>
    </row>
    <row r="8286" spans="1:14" hidden="1" outlineLevel="1" x14ac:dyDescent="0.2">
      <c r="A8286" s="23" t="str">
        <f>HYPERLINK("https://www.spark-marketing.ru/Card/Person/16031", "ФГБУ ""НМИЦ АГП ИМ. В.И.КУЛАКОВА"" МИНЗДРАВА РОССИИ")</f>
        <v>ФГБУ "НМИЦ АГП ИМ. В.И.КУЛАКОВА" МИНЗДРАВА РОССИИ</v>
      </c>
      <c r="B8286" s="24" t="s">
        <v>10539</v>
      </c>
      <c r="C8286" s="28" t="s">
        <v>52</v>
      </c>
      <c r="D8286" s="22" t="s">
        <v>10540</v>
      </c>
      <c r="E8286" s="22" t="s">
        <v>10541</v>
      </c>
      <c r="F8286" s="23" t="str">
        <f>HYPERLINK("https://www.spark-marketing.ru/Card/Lot/70435444", "Техническое обслуживанию систем контроля управления доступом и систем видеонаблюдения")</f>
        <v>Техническое обслуживанию систем контроля управления доступом и систем видеонаблюдения</v>
      </c>
      <c r="G8286" s="22" t="s">
        <v>55</v>
      </c>
      <c r="H8286" s="22" t="s">
        <v>55</v>
      </c>
      <c r="I8286" s="26">
        <v>43598.779756944401</v>
      </c>
      <c r="J8286" s="23" t="str">
        <f>HYPERLINK("https://www.spark-marketing.ru/Card/Person/665030", "ООО ""ОТКРЫТЫЕ СИСТЕМЫ""")</f>
        <v>ООО "ОТКРЫТЫЕ СИСТЕМЫ"</v>
      </c>
      <c r="K8286" s="24" t="s">
        <v>7267</v>
      </c>
      <c r="L8286" s="28" t="s">
        <v>52</v>
      </c>
      <c r="M8286" s="25">
        <v>840000</v>
      </c>
      <c r="N8286" s="27">
        <v>0.10424024515494212</v>
      </c>
    </row>
    <row r="8287" spans="1:14" x14ac:dyDescent="0.15">
      <c r="A8287" s="23" t="str">
        <f>HYPERLINK("https://www.spark-marketing.ru/Card/Person/81547", "ФАУ ""РОСДОРНИИ""")</f>
        <v>ФАУ "РОСДОРНИИ"</v>
      </c>
      <c r="B8287" s="24" t="s">
        <v>10543</v>
      </c>
      <c r="C8287" s="25">
        <v>6869725</v>
      </c>
      <c r="D8287" s="22" t="s">
        <v>10544</v>
      </c>
      <c r="E8287" s="22" t="s">
        <v>2577</v>
      </c>
      <c r="F8287" s="23" t="str">
        <f>HYPERLINK("https://www.spark-marketing.ru/Card/Lot/70435337", "Разработка сметных нормативов на содержание инженерно-технических средств обеспечения транспортной безопасности объектов дорожного хозяйства")</f>
        <v>Разработка сметных нормативов на содержание инженерно-технических средств обеспечения транспортной безопасности объектов дорожного хозяйства</v>
      </c>
      <c r="G8287" s="22" t="s">
        <v>55</v>
      </c>
      <c r="H8287" s="22" t="s">
        <v>55</v>
      </c>
      <c r="I8287" s="26">
        <v>43598.762893518498</v>
      </c>
      <c r="J8287" s="28" t="s">
        <v>52</v>
      </c>
      <c r="K8287" s="28" t="s">
        <v>52</v>
      </c>
      <c r="L8287" s="28" t="s">
        <v>52</v>
      </c>
      <c r="M8287" s="28" t="s">
        <v>52</v>
      </c>
      <c r="N8287" s="28" t="s">
        <v>52</v>
      </c>
    </row>
    <row r="8288" spans="1:14" x14ac:dyDescent="0.15">
      <c r="A8288" s="23" t="str">
        <f>HYPERLINK("https://www.spark-marketing.ru/Card/Person/4346563", "ПАО ""ГАЗПРОМ""")</f>
        <v>ПАО "ГАЗПРОМ"</v>
      </c>
      <c r="B8288" s="24" t="s">
        <v>1548</v>
      </c>
      <c r="C8288" s="25">
        <v>304707672</v>
      </c>
      <c r="D8288" s="22" t="s">
        <v>10545</v>
      </c>
      <c r="E8288" s="22" t="s">
        <v>1550</v>
      </c>
      <c r="F8288" s="23" t="str">
        <f>HYPERLINK("https://www.spark-marketing.ru/Card/Lot/70435336", "Оказание автотранспортных услуг для АУП и отделов Свердловского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ср...")</f>
        <v>Оказание автотранспортных услуг для АУП и отделов Свердловского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ср...</v>
      </c>
      <c r="G8288" s="22" t="s">
        <v>55</v>
      </c>
      <c r="H8288" s="22" t="s">
        <v>55</v>
      </c>
      <c r="I8288" s="26">
        <v>43598.762777777803</v>
      </c>
      <c r="J8288" s="28" t="s">
        <v>52</v>
      </c>
      <c r="K8288" s="28" t="s">
        <v>52</v>
      </c>
      <c r="L8288" s="28" t="s">
        <v>52</v>
      </c>
      <c r="M8288" s="28" t="s">
        <v>52</v>
      </c>
      <c r="N8288" s="28" t="s">
        <v>52</v>
      </c>
    </row>
    <row r="8289" spans="1:14" hidden="1" outlineLevel="1" x14ac:dyDescent="0.15">
      <c r="A8289" s="23" t="str">
        <f>HYPERLINK("https://www.spark-marketing.ru/Card/Person/4346563", "ПАО ""ГАЗПРОМ""")</f>
        <v>ПАО "ГАЗПРОМ"</v>
      </c>
      <c r="B8289" s="24" t="s">
        <v>1548</v>
      </c>
      <c r="C8289" s="28" t="s">
        <v>52</v>
      </c>
      <c r="D8289" s="22" t="s">
        <v>10545</v>
      </c>
      <c r="E8289" s="22" t="s">
        <v>1550</v>
      </c>
      <c r="F8289" s="23" t="str">
        <f>HYPERLINK("https://www.spark-marketing.ru/Card/Lot/70435336", "Оказание автотранспортных услуг для АУП и отделов Свердловского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ср...")</f>
        <v>Оказание автотранспортных услуг для АУП и отделов Свердловского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ср...</v>
      </c>
      <c r="G8289" s="22" t="s">
        <v>55</v>
      </c>
      <c r="H8289" s="22" t="s">
        <v>55</v>
      </c>
      <c r="I8289" s="26">
        <v>43598.762777777803</v>
      </c>
      <c r="J8289" s="23" t="str">
        <f>HYPERLINK("https://www.spark-marketing.ru/Card/Person/-1", "неизвестно")</f>
        <v>неизвестно</v>
      </c>
      <c r="K8289" s="28" t="s">
        <v>52</v>
      </c>
      <c r="L8289" s="28" t="s">
        <v>52</v>
      </c>
      <c r="M8289" s="28" t="s">
        <v>52</v>
      </c>
      <c r="N8289" s="28" t="s">
        <v>52</v>
      </c>
    </row>
    <row r="8290" spans="1:14" hidden="1" outlineLevel="1" x14ac:dyDescent="0.2">
      <c r="A8290" s="23" t="str">
        <f>HYPERLINK("https://www.spark-marketing.ru/Card/Person/4346563", "ПАО ""ГАЗПРОМ""")</f>
        <v>ПАО "ГАЗПРОМ"</v>
      </c>
      <c r="B8290" s="24" t="s">
        <v>1548</v>
      </c>
      <c r="C8290" s="28" t="s">
        <v>52</v>
      </c>
      <c r="D8290" s="22" t="s">
        <v>10545</v>
      </c>
      <c r="E8290" s="22" t="s">
        <v>1550</v>
      </c>
      <c r="F8290" s="23" t="str">
        <f>HYPERLINK("https://www.spark-marketing.ru/Card/Lot/70435336", "Оказание автотранспортных услуг для АУП и отделов Свердловского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ср...")</f>
        <v>Оказание автотранспортных услуг для АУП и отделов Свердловского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ср...</v>
      </c>
      <c r="G8290" s="22" t="s">
        <v>55</v>
      </c>
      <c r="H8290" s="22" t="s">
        <v>55</v>
      </c>
      <c r="I8290" s="26">
        <v>43598.762777777803</v>
      </c>
      <c r="J8290" s="23" t="str">
        <f>HYPERLINK("https://www.spark-marketing.ru/Card/Person/-1", "неизвестно")</f>
        <v>неизвестно</v>
      </c>
      <c r="K8290" s="28" t="s">
        <v>52</v>
      </c>
      <c r="L8290" s="22" t="s">
        <v>10</v>
      </c>
      <c r="M8290" s="25">
        <v>289712894.39999998</v>
      </c>
      <c r="N8290" s="27">
        <v>4.9210371047040784E-2</v>
      </c>
    </row>
    <row r="8291" spans="1:14" hidden="1" outlineLevel="1" x14ac:dyDescent="0.15">
      <c r="A8291" s="23" t="str">
        <f>HYPERLINK("https://www.spark-marketing.ru/Card/Person/4346563", "ПАО ""ГАЗПРОМ""")</f>
        <v>ПАО "ГАЗПРОМ"</v>
      </c>
      <c r="B8291" s="24" t="s">
        <v>1548</v>
      </c>
      <c r="C8291" s="28" t="s">
        <v>52</v>
      </c>
      <c r="D8291" s="22" t="s">
        <v>10545</v>
      </c>
      <c r="E8291" s="22" t="s">
        <v>1550</v>
      </c>
      <c r="F8291" s="23" t="str">
        <f>HYPERLINK("https://www.spark-marketing.ru/Card/Lot/70435336", "Оказание автотранспортных услуг для АУП и отделов Свердловского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ср...")</f>
        <v>Оказание автотранспортных услуг для АУП и отделов Свердловского отряда охраны филиала ПАО «Газпром» «Южно-Уральское межрегиональное управление охраны ПАО «Газпром» в г. Екатеринбурге для нужд ПАО «Газпром» в 2019-2022 годах (для субъектов малого и ср...</v>
      </c>
      <c r="G8291" s="22" t="s">
        <v>55</v>
      </c>
      <c r="H8291" s="22" t="s">
        <v>55</v>
      </c>
      <c r="I8291" s="26">
        <v>43598.762777777803</v>
      </c>
      <c r="J8291" s="23" t="str">
        <f>HYPERLINK("https://www.spark-marketing.ru/Card/Person/-1", "неизвестно")</f>
        <v>неизвестно</v>
      </c>
      <c r="K8291" s="28" t="s">
        <v>52</v>
      </c>
      <c r="L8291" s="28" t="s">
        <v>52</v>
      </c>
      <c r="M8291" s="28" t="s">
        <v>52</v>
      </c>
      <c r="N8291" s="28" t="s">
        <v>52</v>
      </c>
    </row>
    <row r="8292" spans="1:14" ht="12.75" x14ac:dyDescent="0.2">
      <c r="A8292" s="23" t="str">
        <f>HYPERLINK("https://www.spark-marketing.ru/Card/Person/259764", "АДМИНИСТРАЦИЯ ГОРОДСКОГО ПОСЕЛЕНИЯ - ПОСЕЛОК СЕЛИЖАРОВО")</f>
        <v>АДМИНИСТРАЦИЯ ГОРОДСКОГО ПОСЕЛЕНИЯ - ПОСЕЛОК СЕЛИЖАРОВО</v>
      </c>
      <c r="B8292" s="24" t="s">
        <v>10546</v>
      </c>
      <c r="C8292" s="25">
        <v>32800</v>
      </c>
      <c r="D8292" s="22" t="s">
        <v>10547</v>
      </c>
      <c r="E8292" s="22" t="s">
        <v>194</v>
      </c>
      <c r="F8292" s="23" t="str">
        <f>HYPERLINK("https://www.spark-marketing.ru/Card/Lot/70434219", "Приобретение и установка системы видеонаблюдения")</f>
        <v>Приобретение и установка системы видеонаблюдения</v>
      </c>
      <c r="G8292" s="22" t="s">
        <v>251</v>
      </c>
      <c r="H8292" s="22" t="s">
        <v>10548</v>
      </c>
      <c r="I8292" s="26">
        <v>43598.722916666702</v>
      </c>
      <c r="J8292" s="23" t="str">
        <f>HYPERLINK("https://www.spark-marketing.ru/Card/Person/2557127", "ООО ""ТЕЛЕБОР""")</f>
        <v>ООО "ТЕЛЕБОР"</v>
      </c>
      <c r="K8292" s="24" t="s">
        <v>10549</v>
      </c>
      <c r="L8292" s="22" t="s">
        <v>10</v>
      </c>
      <c r="M8292" s="25">
        <v>32000</v>
      </c>
      <c r="N8292" s="27">
        <v>2.4390243902439025E-2</v>
      </c>
    </row>
    <row r="8293" spans="1:14" x14ac:dyDescent="0.15">
      <c r="A8293" s="23" t="str">
        <f>HYPERLINK("https://www.spark-marketing.ru/Card/Person/14256", "СПБ ГБСУСО ""ПСИХОНЕВРОЛОГИЧЕСКИЙ ИНТЕРНАТ № 3""")</f>
        <v>СПБ ГБСУСО "ПСИХОНЕВРОЛОГИЧЕСКИЙ ИНТЕРНАТ № 3"</v>
      </c>
      <c r="B8293" s="24" t="s">
        <v>10550</v>
      </c>
      <c r="C8293" s="25">
        <v>7538501</v>
      </c>
      <c r="D8293" s="22" t="s">
        <v>10551</v>
      </c>
      <c r="E8293" s="22" t="s">
        <v>59</v>
      </c>
      <c r="F8293" s="23" t="str">
        <f>HYPERLINK("https://www.spark-marketing.ru/Card/Lot/70431328", "Выполнение работ по установке системы видеонаблюдения на территории и зданиях СПб ГБСУ СО ""Психоневрологический интернат №3"" (1 очередь)")</f>
        <v>Выполнение работ по установке системы видеонаблюдения на территории и зданиях СПб ГБСУ СО "Психоневрологический интернат №3" (1 очередь)</v>
      </c>
      <c r="G8293" s="22" t="s">
        <v>89</v>
      </c>
      <c r="H8293" s="22" t="s">
        <v>89</v>
      </c>
      <c r="I8293" s="26">
        <v>43598.634722222203</v>
      </c>
      <c r="J8293" s="28" t="s">
        <v>52</v>
      </c>
      <c r="K8293" s="28" t="s">
        <v>52</v>
      </c>
      <c r="L8293" s="28" t="s">
        <v>52</v>
      </c>
      <c r="M8293" s="28" t="s">
        <v>52</v>
      </c>
      <c r="N8293" s="28" t="s">
        <v>52</v>
      </c>
    </row>
    <row r="8294" spans="1:14" ht="12.75" hidden="1" outlineLevel="1" x14ac:dyDescent="0.2">
      <c r="A8294" s="23" t="str">
        <f>HYPERLINK("https://www.spark-marketing.ru/Card/Person/14256", "СПБ ГБСУСО ""ПСИХОНЕВРОЛОГИЧЕСКИЙ ИНТЕРНАТ № 3""")</f>
        <v>СПБ ГБСУСО "ПСИХОНЕВРОЛОГИЧЕСКИЙ ИНТЕРНАТ № 3"</v>
      </c>
      <c r="B8294" s="24" t="s">
        <v>10550</v>
      </c>
      <c r="C8294" s="25">
        <v>7538501</v>
      </c>
      <c r="D8294" s="22" t="s">
        <v>10551</v>
      </c>
      <c r="E8294" s="22" t="s">
        <v>59</v>
      </c>
      <c r="F8294" s="23" t="str">
        <f>HYPERLINK("https://www.spark-marketing.ru/Card/Lot/70431328", "Выполнение работ по установке системы видеонаблюдения на территории и зданиях СПб ГБСУ СО ""Психоневрологический интернат №3"" (1 очередь)")</f>
        <v>Выполнение работ по установке системы видеонаблюдения на территории и зданиях СПб ГБСУ СО "Психоневрологический интернат №3" (1 очередь)</v>
      </c>
      <c r="G8294" s="22" t="s">
        <v>89</v>
      </c>
      <c r="H8294" s="22" t="s">
        <v>89</v>
      </c>
      <c r="I8294" s="26">
        <v>43598.634722222203</v>
      </c>
      <c r="J8294" s="23" t="str">
        <f>HYPERLINK("https://www.spark-marketing.ru/Card/Person/4348920", "ООО ""ВКР""")</f>
        <v>ООО "ВКР"</v>
      </c>
      <c r="K8294" s="24" t="s">
        <v>10552</v>
      </c>
      <c r="L8294" s="22" t="s">
        <v>10</v>
      </c>
      <c r="M8294" s="25">
        <v>7538501</v>
      </c>
      <c r="N8294" s="27">
        <v>0</v>
      </c>
    </row>
    <row r="8295" spans="1:14" hidden="1" outlineLevel="1" x14ac:dyDescent="0.2">
      <c r="A8295" s="23" t="str">
        <f>HYPERLINK("https://www.spark-marketing.ru/Card/Person/14256", "СПБ ГБСУСО ""ПСИХОНЕВРОЛОГИЧЕСКИЙ ИНТЕРНАТ № 3""")</f>
        <v>СПБ ГБСУСО "ПСИХОНЕВРОЛОГИЧЕСКИЙ ИНТЕРНАТ № 3"</v>
      </c>
      <c r="B8295" s="24" t="s">
        <v>10550</v>
      </c>
      <c r="C8295" s="25">
        <v>7538501</v>
      </c>
      <c r="D8295" s="22" t="s">
        <v>10551</v>
      </c>
      <c r="E8295" s="22" t="s">
        <v>59</v>
      </c>
      <c r="F8295" s="23" t="str">
        <f>HYPERLINK("https://www.spark-marketing.ru/Card/Lot/70431328", "Выполнение работ по установке системы видеонаблюдения на территории и зданиях СПб ГБСУ СО ""Психоневрологический интернат №3"" (1 очередь)")</f>
        <v>Выполнение работ по установке системы видеонаблюдения на территории и зданиях СПб ГБСУ СО "Психоневрологический интернат №3" (1 очередь)</v>
      </c>
      <c r="G8295" s="22" t="s">
        <v>89</v>
      </c>
      <c r="H8295" s="22" t="s">
        <v>89</v>
      </c>
      <c r="I8295" s="26">
        <v>43598.634722222203</v>
      </c>
      <c r="J8295" s="23" t="str">
        <f>HYPERLINK("https://www.spark-marketing.ru/Card/Person/6299870", "ООО ""ПЕГАС""")</f>
        <v>ООО "ПЕГАС"</v>
      </c>
      <c r="K8295" s="24" t="s">
        <v>10553</v>
      </c>
      <c r="L8295" s="28" t="s">
        <v>52</v>
      </c>
      <c r="M8295" s="25">
        <v>7538501</v>
      </c>
      <c r="N8295" s="27">
        <v>0</v>
      </c>
    </row>
    <row r="8296" spans="1:14" x14ac:dyDescent="0.15">
      <c r="A8296" s="23" t="str">
        <f>HYPERLINK("https://www.spark-marketing.ru/Card/Person/6529866", "МБУК ""ЦРК""")</f>
        <v>МБУК "ЦРК"</v>
      </c>
      <c r="B8296" s="24" t="s">
        <v>6832</v>
      </c>
      <c r="C8296" s="25">
        <v>3229871.05</v>
      </c>
      <c r="D8296" s="22" t="s">
        <v>10554</v>
      </c>
      <c r="E8296" s="22" t="s">
        <v>5251</v>
      </c>
      <c r="F8296" s="23" t="str">
        <f>HYPERLINK("https://www.spark-marketing.ru/Card/Lot/70424616", "Поставка, установка и ввод в эксплуатацию оборудования сцены")</f>
        <v>Поставка, установка и ввод в эксплуатацию оборудования сцены</v>
      </c>
      <c r="G8296" s="22" t="s">
        <v>384</v>
      </c>
      <c r="H8296" s="22" t="s">
        <v>6834</v>
      </c>
      <c r="I8296" s="26">
        <v>43598.6381944444</v>
      </c>
      <c r="J8296" s="23" t="str">
        <f>HYPERLINK("https://www.spark-marketing.ru/Card/Person/612061", "ООО ""АВЛ""")</f>
        <v>ООО "АВЛ"</v>
      </c>
      <c r="K8296" s="24" t="s">
        <v>10555</v>
      </c>
      <c r="L8296" s="22" t="s">
        <v>10</v>
      </c>
      <c r="M8296" s="28" t="s">
        <v>52</v>
      </c>
      <c r="N8296" s="28" t="s">
        <v>52</v>
      </c>
    </row>
    <row r="8297" spans="1:14" x14ac:dyDescent="0.15">
      <c r="A8297" s="23" t="str">
        <f>HYPERLINK("https://www.spark-marketing.ru/Card/Person/13124", "ФБУ ЦЕНТР РЕАБИЛИТАЦИИ ФОНДА СОЦИАЛЬНОГО СТРАХОВАНИЯ РОССИЙСКОЙ ФЕДЕРАЦИИ ""КРИСТАЛЛ""")</f>
        <v>ФБУ ЦЕНТР РЕАБИЛИТАЦИИ ФОНДА СОЦИАЛЬНОГО СТРАХОВАНИЯ РОССИЙСКОЙ ФЕДЕРАЦИИ "КРИСТАЛЛ"</v>
      </c>
      <c r="B8297" s="24" t="s">
        <v>10556</v>
      </c>
      <c r="C8297" s="25">
        <v>363000</v>
      </c>
      <c r="D8297" s="22" t="s">
        <v>10557</v>
      </c>
      <c r="E8297" s="22" t="s">
        <v>10558</v>
      </c>
      <c r="F8297" s="23" t="str">
        <f>HYPERLINK("https://www.spark-marketing.ru/Card/Lot/70426662", "Оказание услуг по предоставлению во временное пользование оборудования для оказания охранных услуг")</f>
        <v>Оказание услуг по предоставлению во временное пользование оборудования для оказания охранных услуг</v>
      </c>
      <c r="G8297" s="22" t="s">
        <v>132</v>
      </c>
      <c r="H8297" s="22" t="s">
        <v>132</v>
      </c>
      <c r="I8297" s="26">
        <v>43598.629861111098</v>
      </c>
      <c r="J8297" s="23" t="str">
        <f>HYPERLINK("https://www.spark-marketing.ru/Card/Person/154689", "ООО ЧОО ""САРМАТ""")</f>
        <v>ООО ЧОО "САРМАТ"</v>
      </c>
      <c r="K8297" s="24" t="s">
        <v>10559</v>
      </c>
      <c r="L8297" s="22" t="s">
        <v>10</v>
      </c>
      <c r="M8297" s="28" t="s">
        <v>52</v>
      </c>
      <c r="N8297" s="28" t="s">
        <v>52</v>
      </c>
    </row>
    <row r="8298" spans="1:14" ht="12.75" x14ac:dyDescent="0.2">
      <c r="A8298" s="23" t="str">
        <f>HYPERLINK("https://www.spark-marketing.ru/Card/Person/1482264", "ГАПОУ СО ""ВМТ""")</f>
        <v>ГАПОУ СО "ВМТ"</v>
      </c>
      <c r="B8298" s="24" t="s">
        <v>10560</v>
      </c>
      <c r="C8298" s="25">
        <v>2656862.2000000002</v>
      </c>
      <c r="D8298" s="22" t="s">
        <v>10561</v>
      </c>
      <c r="E8298" s="22" t="s">
        <v>49</v>
      </c>
      <c r="F8298" s="23" t="str">
        <f>HYPERLINK("https://www.spark-marketing.ru/Card/Lot/70409772", "Выполнение работ по установке систем контроля и управления доступом, видеонаблюдения для нужд ГАПОУ СО «Высокогорский многопрофильный техникум»")</f>
        <v>Выполнение работ по установке систем контроля и управления доступом, видеонаблюдения для нужд ГАПОУ СО «Высокогорский многопрофильный техникум»</v>
      </c>
      <c r="G8298" s="22" t="s">
        <v>72</v>
      </c>
      <c r="H8298" s="22" t="s">
        <v>72</v>
      </c>
      <c r="I8298" s="26">
        <v>43598.597268518497</v>
      </c>
      <c r="J8298" s="23" t="str">
        <f>HYPERLINK("https://www.spark-marketing.ru/Card/Person/809900", "ООО ""МАСТЕР ЛЮКС""")</f>
        <v>ООО "МАСТЕР ЛЮКС"</v>
      </c>
      <c r="K8298" s="24" t="s">
        <v>10562</v>
      </c>
      <c r="L8298" s="22" t="s">
        <v>10</v>
      </c>
      <c r="M8298" s="25">
        <v>2656862.2000000002</v>
      </c>
      <c r="N8298" s="27">
        <v>0</v>
      </c>
    </row>
    <row r="8299" spans="1:14" x14ac:dyDescent="0.15">
      <c r="A8299" s="23" t="str">
        <f t="shared" ref="A8299:A8307" si="360">HYPERLINK("https://www.spark-marketing.ru/Card/Person/4390842", "АО ""АРХАНГЕЛЬСКОБЛГАЗ""")</f>
        <v>АО "АРХАНГЕЛЬСКОБЛГАЗ"</v>
      </c>
      <c r="B8299" s="24" t="s">
        <v>10563</v>
      </c>
      <c r="C8299" s="25">
        <v>170</v>
      </c>
      <c r="D8299" s="22" t="s">
        <v>10564</v>
      </c>
      <c r="E8299" s="22" t="s">
        <v>363</v>
      </c>
      <c r="F8299" s="23" t="str">
        <f>HYPERLINK("https://www.spark-marketing.ru/Card/Lot/70418180", "Оказание услуг физической охраны объекта. Россия, Архангельская обл., Северодвинск, проезд Грузовой, 8, Газонаполнительная станция (ГНС), площадь 29555кв.м. В течении одного года с даты заключения договора.")</f>
        <v>Оказание услуг физической охраны объекта. Россия, Архангельская обл., Северодвинск, проезд Грузовой, 8, Газонаполнительная станция (ГНС), площадь 29555кв.м. В течении одного года с даты заключения договора.</v>
      </c>
      <c r="G8299" s="22" t="s">
        <v>674</v>
      </c>
      <c r="H8299" s="22" t="s">
        <v>674</v>
      </c>
      <c r="I8299" s="26">
        <v>43598.559293981503</v>
      </c>
      <c r="J8299" s="28" t="s">
        <v>52</v>
      </c>
      <c r="K8299" s="28" t="s">
        <v>52</v>
      </c>
      <c r="L8299" s="28" t="s">
        <v>52</v>
      </c>
      <c r="M8299" s="28" t="s">
        <v>52</v>
      </c>
      <c r="N8299" s="28" t="s">
        <v>52</v>
      </c>
    </row>
    <row r="8300" spans="1:14" hidden="1" outlineLevel="1" x14ac:dyDescent="0.2">
      <c r="A8300" s="23" t="str">
        <f t="shared" si="360"/>
        <v>АО "АРХАНГЕЛЬСКОБЛГАЗ"</v>
      </c>
      <c r="B8300" s="24" t="s">
        <v>10563</v>
      </c>
      <c r="C8300" s="28" t="s">
        <v>52</v>
      </c>
      <c r="D8300" s="22" t="s">
        <v>10564</v>
      </c>
      <c r="E8300" s="22" t="s">
        <v>363</v>
      </c>
      <c r="F8300" s="23" t="str">
        <f>HYPERLINK("https://www.spark-marketing.ru/Card/Lot/70418180", "Оказание услуг физической охраны объекта. Россия, Архангельская обл., Северодвинск, проезд Грузовой, 8, Газонаполнительная станция (ГНС), площадь 29555кв.м. В течении одного года с даты заключения договора.")</f>
        <v>Оказание услуг физической охраны объекта. Россия, Архангельская обл., Северодвинск, проезд Грузовой, 8, Газонаполнительная станция (ГНС), площадь 29555кв.м. В течении одного года с даты заключения договора.</v>
      </c>
      <c r="G8300" s="22" t="s">
        <v>674</v>
      </c>
      <c r="H8300" s="22" t="s">
        <v>674</v>
      </c>
      <c r="I8300" s="26">
        <v>43598.559293981503</v>
      </c>
      <c r="J8300" s="23" t="str">
        <f>HYPERLINK("https://www.spark-marketing.ru/Card/Person/1091063", "ООО ""ЧОО ""ПИТОН ЩИТ""")</f>
        <v>ООО "ЧОО "ПИТОН ЩИТ"</v>
      </c>
      <c r="K8300" s="24" t="s">
        <v>10565</v>
      </c>
      <c r="L8300" s="28" t="s">
        <v>52</v>
      </c>
      <c r="M8300" s="25">
        <v>145</v>
      </c>
      <c r="N8300" s="27">
        <v>0.14705882352941177</v>
      </c>
    </row>
    <row r="8301" spans="1:14" hidden="1" outlineLevel="1" x14ac:dyDescent="0.2">
      <c r="A8301" s="23" t="str">
        <f t="shared" si="360"/>
        <v>АО "АРХАНГЕЛЬСКОБЛГАЗ"</v>
      </c>
      <c r="B8301" s="24" t="s">
        <v>10563</v>
      </c>
      <c r="C8301" s="28" t="s">
        <v>52</v>
      </c>
      <c r="D8301" s="22" t="s">
        <v>10564</v>
      </c>
      <c r="E8301" s="22" t="s">
        <v>363</v>
      </c>
      <c r="F8301" s="23" t="str">
        <f>HYPERLINK("https://www.spark-marketing.ru/Card/Lot/70418180", "Оказание услуг физической охраны объекта. Россия, Архангельская обл., Северодвинск, проезд Грузовой, 8, Газонаполнительная станция (ГНС), площадь 29555кв.м. В течении одного года с даты заключения договора.")</f>
        <v>Оказание услуг физической охраны объекта. Россия, Архангельская обл., Северодвинск, проезд Грузовой, 8, Газонаполнительная станция (ГНС), площадь 29555кв.м. В течении одного года с даты заключения договора.</v>
      </c>
      <c r="G8301" s="22" t="s">
        <v>674</v>
      </c>
      <c r="H8301" s="22" t="s">
        <v>674</v>
      </c>
      <c r="I8301" s="26">
        <v>43598.559293981503</v>
      </c>
      <c r="J8301" s="23" t="str">
        <f>HYPERLINK("https://www.spark-marketing.ru/Card/Person/233695", "ООО ЧОП ""АРСЕНАЛ-РЕГИОН""")</f>
        <v>ООО ЧОП "АРСЕНАЛ-РЕГИОН"</v>
      </c>
      <c r="K8301" s="24" t="s">
        <v>10566</v>
      </c>
      <c r="L8301" s="28" t="s">
        <v>52</v>
      </c>
      <c r="M8301" s="25">
        <v>165</v>
      </c>
      <c r="N8301" s="27">
        <v>2.9411764705882353E-2</v>
      </c>
    </row>
    <row r="8302" spans="1:14" hidden="1" outlineLevel="1" x14ac:dyDescent="0.2">
      <c r="A8302" s="23" t="str">
        <f t="shared" si="360"/>
        <v>АО "АРХАНГЕЛЬСКОБЛГАЗ"</v>
      </c>
      <c r="B8302" s="24" t="s">
        <v>10563</v>
      </c>
      <c r="C8302" s="28" t="s">
        <v>52</v>
      </c>
      <c r="D8302" s="22" t="s">
        <v>10564</v>
      </c>
      <c r="E8302" s="22" t="s">
        <v>363</v>
      </c>
      <c r="F8302" s="23" t="str">
        <f>HYPERLINK("https://www.spark-marketing.ru/Card/Lot/70418180", "Оказание услуг физической охраны объекта. Россия, Архангельская обл., Северодвинск, проезд Грузовой, 8, Газонаполнительная станция (ГНС), площадь 29555кв.м. В течении одного года с даты заключения договора.")</f>
        <v>Оказание услуг физической охраны объекта. Россия, Архангельская обл., Северодвинск, проезд Грузовой, 8, Газонаполнительная станция (ГНС), площадь 29555кв.м. В течении одного года с даты заключения договора.</v>
      </c>
      <c r="G8302" s="22" t="s">
        <v>674</v>
      </c>
      <c r="H8302" s="22" t="s">
        <v>674</v>
      </c>
      <c r="I8302" s="26">
        <v>43598.559293981503</v>
      </c>
      <c r="J8302" s="23" t="str">
        <f>HYPERLINK("https://www.spark-marketing.ru/Card/Person/1096201", "ООО ""ЧОО ""АЛМАЗ-А""")</f>
        <v>ООО "ЧОО "АЛМАЗ-А"</v>
      </c>
      <c r="K8302" s="24" t="s">
        <v>10567</v>
      </c>
      <c r="L8302" s="22" t="s">
        <v>10</v>
      </c>
      <c r="M8302" s="25">
        <v>129</v>
      </c>
      <c r="N8302" s="27">
        <v>0.2411764705882353</v>
      </c>
    </row>
    <row r="8303" spans="1:14" x14ac:dyDescent="0.15">
      <c r="A8303" s="23" t="str">
        <f t="shared" si="360"/>
        <v>АО "АРХАНГЕЛЬСКОБЛГАЗ"</v>
      </c>
      <c r="B8303" s="24" t="s">
        <v>10563</v>
      </c>
      <c r="C8303" s="25">
        <v>160</v>
      </c>
      <c r="D8303" s="22" t="s">
        <v>10568</v>
      </c>
      <c r="E8303" s="22" t="s">
        <v>363</v>
      </c>
      <c r="F8303" s="23" t="str">
        <f>HYPERLINK("https://www.spark-marketing.ru/Card/Lot/70416749", "Оказание услуг физической охраны объекта. Россия, Архангельск, ул. Красных партизан, 40, Газонаполнительный пункт (ГНП) площадь 6023 кв.м..")</f>
        <v>Оказание услуг физической охраны объекта. Россия, Архангельск, ул. Красных партизан, 40, Газонаполнительный пункт (ГНП) площадь 6023 кв.м..</v>
      </c>
      <c r="G8303" s="22" t="s">
        <v>674</v>
      </c>
      <c r="H8303" s="22" t="s">
        <v>674</v>
      </c>
      <c r="I8303" s="26">
        <v>43598.548321759299</v>
      </c>
      <c r="J8303" s="28" t="s">
        <v>52</v>
      </c>
      <c r="K8303" s="28" t="s">
        <v>52</v>
      </c>
      <c r="L8303" s="28" t="s">
        <v>52</v>
      </c>
      <c r="M8303" s="28" t="s">
        <v>52</v>
      </c>
      <c r="N8303" s="28" t="s">
        <v>52</v>
      </c>
    </row>
    <row r="8304" spans="1:14" hidden="1" outlineLevel="1" x14ac:dyDescent="0.2">
      <c r="A8304" s="23" t="str">
        <f t="shared" si="360"/>
        <v>АО "АРХАНГЕЛЬСКОБЛГАЗ"</v>
      </c>
      <c r="B8304" s="24" t="s">
        <v>10563</v>
      </c>
      <c r="C8304" s="28" t="s">
        <v>52</v>
      </c>
      <c r="D8304" s="22" t="s">
        <v>10568</v>
      </c>
      <c r="E8304" s="22" t="s">
        <v>363</v>
      </c>
      <c r="F8304" s="23" t="str">
        <f>HYPERLINK("https://www.spark-marketing.ru/Card/Lot/70416749", "Оказание услуг физической охраны объекта. Россия, Архангельск, ул. Красных партизан, 40, Газонаполнительный пункт (ГНП) площадь 6023 кв.м..")</f>
        <v>Оказание услуг физической охраны объекта. Россия, Архангельск, ул. Красных партизан, 40, Газонаполнительный пункт (ГНП) площадь 6023 кв.м..</v>
      </c>
      <c r="G8304" s="22" t="s">
        <v>674</v>
      </c>
      <c r="H8304" s="22" t="s">
        <v>674</v>
      </c>
      <c r="I8304" s="26">
        <v>43598.548321759299</v>
      </c>
      <c r="J8304" s="23" t="str">
        <f>HYPERLINK("https://www.spark-marketing.ru/Card/Person/123669", "ООО ЧОП ""ДЕЛЬТА-А""")</f>
        <v>ООО ЧОП "ДЕЛЬТА-А"</v>
      </c>
      <c r="K8304" s="24" t="s">
        <v>10569</v>
      </c>
      <c r="L8304" s="28" t="s">
        <v>52</v>
      </c>
      <c r="M8304" s="25">
        <v>156.30000000000001</v>
      </c>
      <c r="N8304" s="27">
        <v>2.3125E-2</v>
      </c>
    </row>
    <row r="8305" spans="1:14" hidden="1" outlineLevel="1" x14ac:dyDescent="0.2">
      <c r="A8305" s="23" t="str">
        <f t="shared" si="360"/>
        <v>АО "АРХАНГЕЛЬСКОБЛГАЗ"</v>
      </c>
      <c r="B8305" s="24" t="s">
        <v>10563</v>
      </c>
      <c r="C8305" s="28" t="s">
        <v>52</v>
      </c>
      <c r="D8305" s="22" t="s">
        <v>10568</v>
      </c>
      <c r="E8305" s="22" t="s">
        <v>363</v>
      </c>
      <c r="F8305" s="23" t="str">
        <f>HYPERLINK("https://www.spark-marketing.ru/Card/Lot/70416749", "Оказание услуг физической охраны объекта. Россия, Архангельск, ул. Красных партизан, 40, Газонаполнительный пункт (ГНП) площадь 6023 кв.м..")</f>
        <v>Оказание услуг физической охраны объекта. Россия, Архангельск, ул. Красных партизан, 40, Газонаполнительный пункт (ГНП) площадь 6023 кв.м..</v>
      </c>
      <c r="G8305" s="22" t="s">
        <v>674</v>
      </c>
      <c r="H8305" s="22" t="s">
        <v>674</v>
      </c>
      <c r="I8305" s="26">
        <v>43598.548321759299</v>
      </c>
      <c r="J8305" s="23" t="str">
        <f>HYPERLINK("https://www.spark-marketing.ru/Card/Person/233695", "ООО ЧОП ""АРСЕНАЛ-РЕГИОН""")</f>
        <v>ООО ЧОП "АРСЕНАЛ-РЕГИОН"</v>
      </c>
      <c r="K8305" s="24" t="s">
        <v>10566</v>
      </c>
      <c r="L8305" s="28" t="s">
        <v>52</v>
      </c>
      <c r="M8305" s="25">
        <v>160</v>
      </c>
      <c r="N8305" s="27">
        <v>0</v>
      </c>
    </row>
    <row r="8306" spans="1:14" hidden="1" outlineLevel="1" x14ac:dyDescent="0.2">
      <c r="A8306" s="23" t="str">
        <f t="shared" si="360"/>
        <v>АО "АРХАНГЕЛЬСКОБЛГАЗ"</v>
      </c>
      <c r="B8306" s="24" t="s">
        <v>10563</v>
      </c>
      <c r="C8306" s="28" t="s">
        <v>52</v>
      </c>
      <c r="D8306" s="22" t="s">
        <v>10568</v>
      </c>
      <c r="E8306" s="22" t="s">
        <v>363</v>
      </c>
      <c r="F8306" s="23" t="str">
        <f>HYPERLINK("https://www.spark-marketing.ru/Card/Lot/70416749", "Оказание услуг физической охраны объекта. Россия, Архангельск, ул. Красных партизан, 40, Газонаполнительный пункт (ГНП) площадь 6023 кв.м..")</f>
        <v>Оказание услуг физической охраны объекта. Россия, Архангельск, ул. Красных партизан, 40, Газонаполнительный пункт (ГНП) площадь 6023 кв.м..</v>
      </c>
      <c r="G8306" s="22" t="s">
        <v>674</v>
      </c>
      <c r="H8306" s="22" t="s">
        <v>674</v>
      </c>
      <c r="I8306" s="26">
        <v>43598.548321759299</v>
      </c>
      <c r="J8306" s="23" t="str">
        <f>HYPERLINK("https://www.spark-marketing.ru/Card/Person/1096201", "ООО ""ЧОО ""АЛМАЗ-А""")</f>
        <v>ООО "ЧОО "АЛМАЗ-А"</v>
      </c>
      <c r="K8306" s="24" t="s">
        <v>10567</v>
      </c>
      <c r="L8306" s="28" t="s">
        <v>52</v>
      </c>
      <c r="M8306" s="25">
        <v>150</v>
      </c>
      <c r="N8306" s="27">
        <v>6.25E-2</v>
      </c>
    </row>
    <row r="8307" spans="1:14" hidden="1" outlineLevel="1" x14ac:dyDescent="0.2">
      <c r="A8307" s="23" t="str">
        <f t="shared" si="360"/>
        <v>АО "АРХАНГЕЛЬСКОБЛГАЗ"</v>
      </c>
      <c r="B8307" s="24" t="s">
        <v>10563</v>
      </c>
      <c r="C8307" s="28" t="s">
        <v>52</v>
      </c>
      <c r="D8307" s="22" t="s">
        <v>10568</v>
      </c>
      <c r="E8307" s="22" t="s">
        <v>363</v>
      </c>
      <c r="F8307" s="23" t="str">
        <f>HYPERLINK("https://www.spark-marketing.ru/Card/Lot/70416749", "Оказание услуг физической охраны объекта. Россия, Архангельск, ул. Красных партизан, 40, Газонаполнительный пункт (ГНП) площадь 6023 кв.м..")</f>
        <v>Оказание услуг физической охраны объекта. Россия, Архангельск, ул. Красных партизан, 40, Газонаполнительный пункт (ГНП) площадь 6023 кв.м..</v>
      </c>
      <c r="G8307" s="22" t="s">
        <v>674</v>
      </c>
      <c r="H8307" s="22" t="s">
        <v>674</v>
      </c>
      <c r="I8307" s="26">
        <v>43598.548321759299</v>
      </c>
      <c r="J8307" s="23" t="str">
        <f>HYPERLINK("https://www.spark-marketing.ru/Card/Person/270115", "ООО ЧОО ""ТОПАЗ""")</f>
        <v>ООО ЧОО "ТОПАЗ"</v>
      </c>
      <c r="K8307" s="24" t="s">
        <v>10570</v>
      </c>
      <c r="L8307" s="22" t="s">
        <v>10</v>
      </c>
      <c r="M8307" s="25">
        <v>149</v>
      </c>
      <c r="N8307" s="27">
        <v>6.8750000000000006E-2</v>
      </c>
    </row>
    <row r="8308" spans="1:14" x14ac:dyDescent="0.15">
      <c r="A8308" s="23" t="str">
        <f t="shared" ref="A8308:A8318" si="361">HYPERLINK("https://www.spark-marketing.ru/Card/Person/6965", "ГБУЗ ""ПКБ № 4 ДЗМ""")</f>
        <v>ГБУЗ "ПКБ № 4 ДЗМ"</v>
      </c>
      <c r="B8308" s="24" t="s">
        <v>9092</v>
      </c>
      <c r="C8308" s="25">
        <v>2374414.19</v>
      </c>
      <c r="D8308" s="22" t="s">
        <v>10571</v>
      </c>
      <c r="E8308" s="22" t="s">
        <v>349</v>
      </c>
      <c r="F8308" s="23" t="str">
        <f t="shared" ref="F8308:F8318" si="362">HYPERLINK("https://www.spark-marketing.ru/Card/Lot/70424083", "Оказание услуг по техническому обслуживанию систем видеонаблюдения, систем контроля и управления доступом ГБУЗ «ПКБ №4 ДЗМ» в 2019 году")</f>
        <v>Оказание услуг по техническому обслуживанию систем видеонаблюдения, систем контроля и управления доступом ГБУЗ «ПКБ №4 ДЗМ» в 2019 году</v>
      </c>
      <c r="G8308" s="22" t="s">
        <v>55</v>
      </c>
      <c r="H8308" s="22" t="s">
        <v>55</v>
      </c>
      <c r="I8308" s="26">
        <v>43598.565277777801</v>
      </c>
      <c r="J8308" s="28" t="s">
        <v>52</v>
      </c>
      <c r="K8308" s="28" t="s">
        <v>52</v>
      </c>
      <c r="L8308" s="28" t="s">
        <v>52</v>
      </c>
      <c r="M8308" s="28" t="s">
        <v>52</v>
      </c>
      <c r="N8308" s="28" t="s">
        <v>52</v>
      </c>
    </row>
    <row r="8309" spans="1:14" hidden="1" outlineLevel="1" x14ac:dyDescent="0.2">
      <c r="A8309" s="23" t="str">
        <f t="shared" si="361"/>
        <v>ГБУЗ "ПКБ № 4 ДЗМ"</v>
      </c>
      <c r="B8309" s="24" t="s">
        <v>9092</v>
      </c>
      <c r="C8309" s="25">
        <v>2374414.19</v>
      </c>
      <c r="D8309" s="22" t="s">
        <v>10571</v>
      </c>
      <c r="E8309" s="22" t="s">
        <v>349</v>
      </c>
      <c r="F8309" s="23" t="str">
        <f t="shared" si="362"/>
        <v>Оказание услуг по техническому обслуживанию систем видеонаблюдения, систем контроля и управления доступом ГБУЗ «ПКБ №4 ДЗМ» в 2019 году</v>
      </c>
      <c r="G8309" s="22" t="s">
        <v>55</v>
      </c>
      <c r="H8309" s="22" t="s">
        <v>55</v>
      </c>
      <c r="I8309" s="26">
        <v>43598.565277777801</v>
      </c>
      <c r="J8309" s="23" t="str">
        <f>HYPERLINK("https://www.spark-marketing.ru/Card/Person/6503420", "ООО ""СМ-ПАРТНЕРСЕРВИС""")</f>
        <v>ООО "СМ-ПАРТНЕРСЕРВИС"</v>
      </c>
      <c r="K8309" s="24" t="s">
        <v>10572</v>
      </c>
      <c r="L8309" s="28" t="s">
        <v>52</v>
      </c>
      <c r="M8309" s="25">
        <v>1750000</v>
      </c>
      <c r="N8309" s="27">
        <v>0.26297610274979027</v>
      </c>
    </row>
    <row r="8310" spans="1:14" hidden="1" outlineLevel="1" x14ac:dyDescent="0.2">
      <c r="A8310" s="23" t="str">
        <f t="shared" si="361"/>
        <v>ГБУЗ "ПКБ № 4 ДЗМ"</v>
      </c>
      <c r="B8310" s="24" t="s">
        <v>9092</v>
      </c>
      <c r="C8310" s="25">
        <v>2374414.19</v>
      </c>
      <c r="D8310" s="22" t="s">
        <v>10571</v>
      </c>
      <c r="E8310" s="22" t="s">
        <v>349</v>
      </c>
      <c r="F8310" s="23" t="str">
        <f t="shared" si="362"/>
        <v>Оказание услуг по техническому обслуживанию систем видеонаблюдения, систем контроля и управления доступом ГБУЗ «ПКБ №4 ДЗМ» в 2019 году</v>
      </c>
      <c r="G8310" s="22" t="s">
        <v>55</v>
      </c>
      <c r="H8310" s="22" t="s">
        <v>55</v>
      </c>
      <c r="I8310" s="26">
        <v>43598.565277777801</v>
      </c>
      <c r="J8310" s="23" t="str">
        <f>HYPERLINK("https://www.spark-marketing.ru/Card/Person/5906298", "ООО ""ПРОФМЕХАНИКА""")</f>
        <v>ООО "ПРОФМЕХАНИКА"</v>
      </c>
      <c r="K8310" s="24" t="s">
        <v>10573</v>
      </c>
      <c r="L8310" s="28" t="s">
        <v>52</v>
      </c>
      <c r="M8310" s="25">
        <v>1787933</v>
      </c>
      <c r="N8310" s="27">
        <v>0.24700037275299472</v>
      </c>
    </row>
    <row r="8311" spans="1:14" hidden="1" outlineLevel="1" x14ac:dyDescent="0.2">
      <c r="A8311" s="23" t="str">
        <f t="shared" si="361"/>
        <v>ГБУЗ "ПКБ № 4 ДЗМ"</v>
      </c>
      <c r="B8311" s="24" t="s">
        <v>9092</v>
      </c>
      <c r="C8311" s="25">
        <v>2374414.19</v>
      </c>
      <c r="D8311" s="22" t="s">
        <v>10571</v>
      </c>
      <c r="E8311" s="22" t="s">
        <v>349</v>
      </c>
      <c r="F8311" s="23" t="str">
        <f t="shared" si="362"/>
        <v>Оказание услуг по техническому обслуживанию систем видеонаблюдения, систем контроля и управления доступом ГБУЗ «ПКБ №4 ДЗМ» в 2019 году</v>
      </c>
      <c r="G8311" s="22" t="s">
        <v>55</v>
      </c>
      <c r="H8311" s="22" t="s">
        <v>55</v>
      </c>
      <c r="I8311" s="26">
        <v>43598.565277777801</v>
      </c>
      <c r="J8311" s="23" t="str">
        <f>HYPERLINK("https://www.spark-marketing.ru/Card/Person/589840", "ООО ""СЛУЖБА ВРЕМЕНИ""")</f>
        <v>ООО "СЛУЖБА ВРЕМЕНИ"</v>
      </c>
      <c r="K8311" s="24" t="s">
        <v>10574</v>
      </c>
      <c r="L8311" s="28" t="s">
        <v>52</v>
      </c>
      <c r="M8311" s="25">
        <v>1864383.79</v>
      </c>
      <c r="N8311" s="27">
        <v>0.21480262464233335</v>
      </c>
    </row>
    <row r="8312" spans="1:14" hidden="1" outlineLevel="1" x14ac:dyDescent="0.2">
      <c r="A8312" s="23" t="str">
        <f t="shared" si="361"/>
        <v>ГБУЗ "ПКБ № 4 ДЗМ"</v>
      </c>
      <c r="B8312" s="24" t="s">
        <v>9092</v>
      </c>
      <c r="C8312" s="25">
        <v>2374414.19</v>
      </c>
      <c r="D8312" s="22" t="s">
        <v>10571</v>
      </c>
      <c r="E8312" s="22" t="s">
        <v>349</v>
      </c>
      <c r="F8312" s="23" t="str">
        <f t="shared" si="362"/>
        <v>Оказание услуг по техническому обслуживанию систем видеонаблюдения, систем контроля и управления доступом ГБУЗ «ПКБ №4 ДЗМ» в 2019 году</v>
      </c>
      <c r="G8312" s="22" t="s">
        <v>55</v>
      </c>
      <c r="H8312" s="22" t="s">
        <v>55</v>
      </c>
      <c r="I8312" s="26">
        <v>43598.565277777801</v>
      </c>
      <c r="J8312" s="23" t="str">
        <f>HYPERLINK("https://www.spark-marketing.ru/Card/Person/699561", "ООО ""ТЕО-БЕЗОПАСНОСТЬ""")</f>
        <v>ООО "ТЕО-БЕЗОПАСНОСТЬ"</v>
      </c>
      <c r="K8312" s="24" t="s">
        <v>10575</v>
      </c>
      <c r="L8312" s="28" t="s">
        <v>52</v>
      </c>
      <c r="M8312" s="25">
        <v>450639.65</v>
      </c>
      <c r="N8312" s="27">
        <v>0.8102101765151597</v>
      </c>
    </row>
    <row r="8313" spans="1:14" hidden="1" outlineLevel="1" x14ac:dyDescent="0.2">
      <c r="A8313" s="23" t="str">
        <f t="shared" si="361"/>
        <v>ГБУЗ "ПКБ № 4 ДЗМ"</v>
      </c>
      <c r="B8313" s="24" t="s">
        <v>9092</v>
      </c>
      <c r="C8313" s="25">
        <v>2374414.19</v>
      </c>
      <c r="D8313" s="22" t="s">
        <v>10571</v>
      </c>
      <c r="E8313" s="22" t="s">
        <v>349</v>
      </c>
      <c r="F8313" s="23" t="str">
        <f t="shared" si="362"/>
        <v>Оказание услуг по техническому обслуживанию систем видеонаблюдения, систем контроля и управления доступом ГБУЗ «ПКБ №4 ДЗМ» в 2019 году</v>
      </c>
      <c r="G8313" s="22" t="s">
        <v>55</v>
      </c>
      <c r="H8313" s="22" t="s">
        <v>55</v>
      </c>
      <c r="I8313" s="26">
        <v>43598.565277777801</v>
      </c>
      <c r="J8313" s="23" t="str">
        <f>HYPERLINK("https://www.spark-marketing.ru/Card/Person/6511501", "ООО ""ДИСКОНТ-ВИДЕО М""")</f>
        <v>ООО "ДИСКОНТ-ВИДЕО М"</v>
      </c>
      <c r="K8313" s="24" t="s">
        <v>10576</v>
      </c>
      <c r="L8313" s="28" t="s">
        <v>52</v>
      </c>
      <c r="M8313" s="25">
        <v>1452511.87</v>
      </c>
      <c r="N8313" s="27">
        <v>0.38826516615452</v>
      </c>
    </row>
    <row r="8314" spans="1:14" hidden="1" outlineLevel="1" x14ac:dyDescent="0.2">
      <c r="A8314" s="23" t="str">
        <f t="shared" si="361"/>
        <v>ГБУЗ "ПКБ № 4 ДЗМ"</v>
      </c>
      <c r="B8314" s="24" t="s">
        <v>9092</v>
      </c>
      <c r="C8314" s="25">
        <v>2374414.19</v>
      </c>
      <c r="D8314" s="22" t="s">
        <v>10571</v>
      </c>
      <c r="E8314" s="22" t="s">
        <v>349</v>
      </c>
      <c r="F8314" s="23" t="str">
        <f t="shared" si="362"/>
        <v>Оказание услуг по техническому обслуживанию систем видеонаблюдения, систем контроля и управления доступом ГБУЗ «ПКБ №4 ДЗМ» в 2019 году</v>
      </c>
      <c r="G8314" s="22" t="s">
        <v>55</v>
      </c>
      <c r="H8314" s="22" t="s">
        <v>55</v>
      </c>
      <c r="I8314" s="26">
        <v>43598.565277777801</v>
      </c>
      <c r="J8314" s="23" t="str">
        <f>HYPERLINK("https://www.spark-marketing.ru/Card/Person/1615919", "ООО ""ТСП""")</f>
        <v>ООО "ТСП"</v>
      </c>
      <c r="K8314" s="24" t="s">
        <v>10577</v>
      </c>
      <c r="L8314" s="28" t="s">
        <v>52</v>
      </c>
      <c r="M8314" s="25">
        <v>1393151.52</v>
      </c>
      <c r="N8314" s="27">
        <v>0.41326516415402653</v>
      </c>
    </row>
    <row r="8315" spans="1:14" hidden="1" outlineLevel="1" x14ac:dyDescent="0.2">
      <c r="A8315" s="23" t="str">
        <f t="shared" si="361"/>
        <v>ГБУЗ "ПКБ № 4 ДЗМ"</v>
      </c>
      <c r="B8315" s="24" t="s">
        <v>9092</v>
      </c>
      <c r="C8315" s="25">
        <v>2374414.19</v>
      </c>
      <c r="D8315" s="22" t="s">
        <v>10571</v>
      </c>
      <c r="E8315" s="22" t="s">
        <v>349</v>
      </c>
      <c r="F8315" s="23" t="str">
        <f t="shared" si="362"/>
        <v>Оказание услуг по техническому обслуживанию систем видеонаблюдения, систем контроля и управления доступом ГБУЗ «ПКБ №4 ДЗМ» в 2019 году</v>
      </c>
      <c r="G8315" s="22" t="s">
        <v>55</v>
      </c>
      <c r="H8315" s="22" t="s">
        <v>55</v>
      </c>
      <c r="I8315" s="26">
        <v>43598.565277777801</v>
      </c>
      <c r="J8315" s="23" t="str">
        <f>HYPERLINK("https://www.spark-marketing.ru/Card/Person/91163", "ООО "" ИМПУЛЬС """)</f>
        <v>ООО " ИМПУЛЬС "</v>
      </c>
      <c r="K8315" s="24" t="s">
        <v>5036</v>
      </c>
      <c r="L8315" s="28" t="s">
        <v>52</v>
      </c>
      <c r="M8315" s="25">
        <v>2338797.98</v>
      </c>
      <c r="N8315" s="27">
        <v>1.4999998799703939E-2</v>
      </c>
    </row>
    <row r="8316" spans="1:14" hidden="1" outlineLevel="1" x14ac:dyDescent="0.2">
      <c r="A8316" s="23" t="str">
        <f t="shared" si="361"/>
        <v>ГБУЗ "ПКБ № 4 ДЗМ"</v>
      </c>
      <c r="B8316" s="24" t="s">
        <v>9092</v>
      </c>
      <c r="C8316" s="25">
        <v>2374414.19</v>
      </c>
      <c r="D8316" s="22" t="s">
        <v>10571</v>
      </c>
      <c r="E8316" s="22" t="s">
        <v>349</v>
      </c>
      <c r="F8316" s="23" t="str">
        <f t="shared" si="362"/>
        <v>Оказание услуг по техническому обслуживанию систем видеонаблюдения, систем контроля и управления доступом ГБУЗ «ПКБ №4 ДЗМ» в 2019 году</v>
      </c>
      <c r="G8316" s="22" t="s">
        <v>55</v>
      </c>
      <c r="H8316" s="22" t="s">
        <v>55</v>
      </c>
      <c r="I8316" s="26">
        <v>43598.565277777801</v>
      </c>
      <c r="J8316" s="23" t="str">
        <f>HYPERLINK("https://www.spark-marketing.ru/Card/Person/58054", "ООО ""СПЕКТР-АПС""")</f>
        <v>ООО "СПЕКТР-АПС"</v>
      </c>
      <c r="K8316" s="24" t="s">
        <v>4808</v>
      </c>
      <c r="L8316" s="28" t="s">
        <v>52</v>
      </c>
      <c r="M8316" s="25">
        <v>692699.35</v>
      </c>
      <c r="N8316" s="27">
        <v>0.7082651573944645</v>
      </c>
    </row>
    <row r="8317" spans="1:14" ht="12.75" hidden="1" outlineLevel="1" x14ac:dyDescent="0.2">
      <c r="A8317" s="23" t="str">
        <f t="shared" si="361"/>
        <v>ГБУЗ "ПКБ № 4 ДЗМ"</v>
      </c>
      <c r="B8317" s="24" t="s">
        <v>9092</v>
      </c>
      <c r="C8317" s="25">
        <v>2374414.19</v>
      </c>
      <c r="D8317" s="22" t="s">
        <v>10571</v>
      </c>
      <c r="E8317" s="22" t="s">
        <v>349</v>
      </c>
      <c r="F8317" s="23" t="str">
        <f t="shared" si="362"/>
        <v>Оказание услуг по техническому обслуживанию систем видеонаблюдения, систем контроля и управления доступом ГБУЗ «ПКБ №4 ДЗМ» в 2019 году</v>
      </c>
      <c r="G8317" s="22" t="s">
        <v>55</v>
      </c>
      <c r="H8317" s="22" t="s">
        <v>55</v>
      </c>
      <c r="I8317" s="26">
        <v>43598.565277777801</v>
      </c>
      <c r="J8317" s="23" t="str">
        <f>HYPERLINK("https://www.spark-marketing.ru/Card/Person/61471", "ООО ""ЭКСПЕРТСБ""")</f>
        <v>ООО "ЭКСПЕРТСБ"</v>
      </c>
      <c r="K8317" s="24" t="s">
        <v>10578</v>
      </c>
      <c r="L8317" s="22" t="s">
        <v>10</v>
      </c>
      <c r="M8317" s="25">
        <v>403151.37</v>
      </c>
      <c r="N8317" s="27">
        <v>0.83021017491476501</v>
      </c>
    </row>
    <row r="8318" spans="1:14" hidden="1" outlineLevel="1" x14ac:dyDescent="0.2">
      <c r="A8318" s="23" t="str">
        <f t="shared" si="361"/>
        <v>ГБУЗ "ПКБ № 4 ДЗМ"</v>
      </c>
      <c r="B8318" s="24" t="s">
        <v>9092</v>
      </c>
      <c r="C8318" s="25">
        <v>2374414.19</v>
      </c>
      <c r="D8318" s="22" t="s">
        <v>10571</v>
      </c>
      <c r="E8318" s="22" t="s">
        <v>349</v>
      </c>
      <c r="F8318" s="23" t="str">
        <f t="shared" si="362"/>
        <v>Оказание услуг по техническому обслуживанию систем видеонаблюдения, систем контроля и управления доступом ГБУЗ «ПКБ №4 ДЗМ» в 2019 году</v>
      </c>
      <c r="G8318" s="22" t="s">
        <v>55</v>
      </c>
      <c r="H8318" s="22" t="s">
        <v>55</v>
      </c>
      <c r="I8318" s="26">
        <v>43598.565277777801</v>
      </c>
      <c r="J8318" s="23" t="str">
        <f>HYPERLINK("https://www.spark-marketing.ru/Card/Person/2556334", "ООО ""КС МОНТАЖ""")</f>
        <v>ООО "КС МОНТАЖ"</v>
      </c>
      <c r="K8318" s="24" t="s">
        <v>10579</v>
      </c>
      <c r="L8318" s="28" t="s">
        <v>52</v>
      </c>
      <c r="M8318" s="25">
        <v>403151.37</v>
      </c>
      <c r="N8318" s="27">
        <v>0.83021017491476501</v>
      </c>
    </row>
    <row r="8319" spans="1:14" x14ac:dyDescent="0.15">
      <c r="A8319" s="23" t="s">
        <v>121</v>
      </c>
      <c r="B8319" s="28" t="s">
        <v>52</v>
      </c>
      <c r="C8319" s="25">
        <v>1793221</v>
      </c>
      <c r="D8319" s="22" t="s">
        <v>10580</v>
      </c>
      <c r="E8319" s="22" t="s">
        <v>84</v>
      </c>
      <c r="F8319" s="23" t="str">
        <f t="shared" ref="F8319:F8335" si="363">HYPERLINK("https://www.spark-marketing.ru/Card/Lot/70422018", "Установка систем видеонаблюдения")</f>
        <v>Установка систем видеонаблюдения</v>
      </c>
      <c r="G8319" s="22" t="s">
        <v>52</v>
      </c>
      <c r="H8319" s="22" t="s">
        <v>52</v>
      </c>
      <c r="I8319" s="26">
        <v>43598.576388888898</v>
      </c>
      <c r="J8319" s="28" t="s">
        <v>52</v>
      </c>
      <c r="K8319" s="28" t="s">
        <v>52</v>
      </c>
      <c r="L8319" s="28" t="s">
        <v>52</v>
      </c>
      <c r="M8319" s="28" t="s">
        <v>52</v>
      </c>
      <c r="N8319" s="28" t="s">
        <v>52</v>
      </c>
    </row>
    <row r="8320" spans="1:14" hidden="1" outlineLevel="1" x14ac:dyDescent="0.15">
      <c r="A8320" s="23" t="str">
        <f>HYPERLINK("https://www.spark-marketing.ru/Card/Person/152574", "МБДОУ Д/С № 5 Г. ЛЕБЕДЯНЬ")</f>
        <v>МБДОУ Д/С № 5 Г. ЛЕБЕДЯНЬ</v>
      </c>
      <c r="B8320" s="24" t="s">
        <v>10581</v>
      </c>
      <c r="C8320" s="25">
        <v>144970</v>
      </c>
      <c r="D8320" s="22" t="s">
        <v>10580</v>
      </c>
      <c r="E8320" s="22" t="s">
        <v>84</v>
      </c>
      <c r="F8320" s="23" t="str">
        <f t="shared" si="363"/>
        <v>Установка систем видеонаблюдения</v>
      </c>
      <c r="G8320" s="22" t="s">
        <v>629</v>
      </c>
      <c r="H8320" s="22" t="s">
        <v>629</v>
      </c>
      <c r="I8320" s="26">
        <v>43598.576388888898</v>
      </c>
      <c r="J8320" s="28" t="s">
        <v>52</v>
      </c>
      <c r="K8320" s="28" t="s">
        <v>52</v>
      </c>
      <c r="L8320" s="28" t="s">
        <v>52</v>
      </c>
      <c r="M8320" s="28" t="s">
        <v>52</v>
      </c>
      <c r="N8320" s="28" t="s">
        <v>52</v>
      </c>
    </row>
    <row r="8321" spans="1:14" hidden="1" outlineLevel="1" x14ac:dyDescent="0.15">
      <c r="A8321" s="23" t="str">
        <f>HYPERLINK("https://www.spark-marketing.ru/Card/Person/1051599", "МБДОУ Д/С П. САХЗАВОДА")</f>
        <v>МБДОУ Д/С П. САХЗАВОДА</v>
      </c>
      <c r="B8321" s="24" t="s">
        <v>10582</v>
      </c>
      <c r="C8321" s="25">
        <v>164800</v>
      </c>
      <c r="D8321" s="22" t="s">
        <v>10580</v>
      </c>
      <c r="E8321" s="22" t="s">
        <v>84</v>
      </c>
      <c r="F8321" s="23" t="str">
        <f t="shared" si="363"/>
        <v>Установка систем видеонаблюдения</v>
      </c>
      <c r="G8321" s="22" t="s">
        <v>629</v>
      </c>
      <c r="H8321" s="22" t="s">
        <v>8225</v>
      </c>
      <c r="I8321" s="26">
        <v>43598.576388888898</v>
      </c>
      <c r="J8321" s="28" t="s">
        <v>52</v>
      </c>
      <c r="K8321" s="28" t="s">
        <v>52</v>
      </c>
      <c r="L8321" s="28" t="s">
        <v>52</v>
      </c>
      <c r="M8321" s="28" t="s">
        <v>52</v>
      </c>
      <c r="N8321" s="28" t="s">
        <v>52</v>
      </c>
    </row>
    <row r="8322" spans="1:14" hidden="1" outlineLevel="1" x14ac:dyDescent="0.15">
      <c r="A8322" s="23" t="str">
        <f>HYPERLINK("https://www.spark-marketing.ru/Card/Person/1051633", "МБДОУ С.РОМАНОВО")</f>
        <v>МБДОУ С.РОМАНОВО</v>
      </c>
      <c r="B8322" s="24" t="s">
        <v>10583</v>
      </c>
      <c r="C8322" s="25">
        <v>142160</v>
      </c>
      <c r="D8322" s="22" t="s">
        <v>10580</v>
      </c>
      <c r="E8322" s="22" t="s">
        <v>84</v>
      </c>
      <c r="F8322" s="23" t="str">
        <f t="shared" si="363"/>
        <v>Установка систем видеонаблюдения</v>
      </c>
      <c r="G8322" s="22" t="s">
        <v>629</v>
      </c>
      <c r="H8322" s="22" t="s">
        <v>8225</v>
      </c>
      <c r="I8322" s="26">
        <v>43598.576388888898</v>
      </c>
      <c r="J8322" s="28" t="s">
        <v>52</v>
      </c>
      <c r="K8322" s="28" t="s">
        <v>52</v>
      </c>
      <c r="L8322" s="28" t="s">
        <v>52</v>
      </c>
      <c r="M8322" s="28" t="s">
        <v>52</v>
      </c>
      <c r="N8322" s="28" t="s">
        <v>52</v>
      </c>
    </row>
    <row r="8323" spans="1:14" hidden="1" outlineLevel="1" x14ac:dyDescent="0.15">
      <c r="A8323" s="23" t="str">
        <f>HYPERLINK("https://www.spark-marketing.ru/Card/Person/1052692", "МБУ ДО ДЮЦ Г. ЛЕБЕДЯНЬ ЛИПЕЦКОЙ ОБЛАСТИ")</f>
        <v>МБУ ДО ДЮЦ Г. ЛЕБЕДЯНЬ ЛИПЕЦКОЙ ОБЛАСТИ</v>
      </c>
      <c r="B8323" s="24" t="s">
        <v>10584</v>
      </c>
      <c r="C8323" s="25">
        <v>155250</v>
      </c>
      <c r="D8323" s="22" t="s">
        <v>10580</v>
      </c>
      <c r="E8323" s="22" t="s">
        <v>84</v>
      </c>
      <c r="F8323" s="23" t="str">
        <f t="shared" si="363"/>
        <v>Установка систем видеонаблюдения</v>
      </c>
      <c r="G8323" s="22" t="s">
        <v>629</v>
      </c>
      <c r="H8323" s="22" t="s">
        <v>629</v>
      </c>
      <c r="I8323" s="26">
        <v>43598.576388888898</v>
      </c>
      <c r="J8323" s="28" t="s">
        <v>52</v>
      </c>
      <c r="K8323" s="28" t="s">
        <v>52</v>
      </c>
      <c r="L8323" s="28" t="s">
        <v>52</v>
      </c>
      <c r="M8323" s="28" t="s">
        <v>52</v>
      </c>
      <c r="N8323" s="28" t="s">
        <v>52</v>
      </c>
    </row>
    <row r="8324" spans="1:14" hidden="1" outlineLevel="1" x14ac:dyDescent="0.15">
      <c r="A8324" s="23" t="str">
        <f>HYPERLINK("https://www.spark-marketing.ru/Card/Person/1052741", "МБДОУ П.СВХ. АГРОНОМ")</f>
        <v>МБДОУ П.СВХ. АГРОНОМ</v>
      </c>
      <c r="B8324" s="24" t="s">
        <v>10585</v>
      </c>
      <c r="C8324" s="25">
        <v>165800</v>
      </c>
      <c r="D8324" s="22" t="s">
        <v>10580</v>
      </c>
      <c r="E8324" s="22" t="s">
        <v>84</v>
      </c>
      <c r="F8324" s="23" t="str">
        <f t="shared" si="363"/>
        <v>Установка систем видеонаблюдения</v>
      </c>
      <c r="G8324" s="22" t="s">
        <v>629</v>
      </c>
      <c r="H8324" s="22" t="s">
        <v>8225</v>
      </c>
      <c r="I8324" s="26">
        <v>43598.576388888898</v>
      </c>
      <c r="J8324" s="28" t="s">
        <v>52</v>
      </c>
      <c r="K8324" s="28" t="s">
        <v>52</v>
      </c>
      <c r="L8324" s="28" t="s">
        <v>52</v>
      </c>
      <c r="M8324" s="28" t="s">
        <v>52</v>
      </c>
      <c r="N8324" s="28" t="s">
        <v>52</v>
      </c>
    </row>
    <row r="8325" spans="1:14" hidden="1" outlineLevel="1" x14ac:dyDescent="0.15">
      <c r="A8325" s="23" t="str">
        <f>HYPERLINK("https://www.spark-marketing.ru/Card/Person/1052742", "МБДОУ С. БОЛЬШОЕ ПОПОВО")</f>
        <v>МБДОУ С. БОЛЬШОЕ ПОПОВО</v>
      </c>
      <c r="B8325" s="24" t="s">
        <v>10586</v>
      </c>
      <c r="C8325" s="25">
        <v>101000</v>
      </c>
      <c r="D8325" s="22" t="s">
        <v>10580</v>
      </c>
      <c r="E8325" s="22" t="s">
        <v>84</v>
      </c>
      <c r="F8325" s="23" t="str">
        <f t="shared" si="363"/>
        <v>Установка систем видеонаблюдения</v>
      </c>
      <c r="G8325" s="22" t="s">
        <v>629</v>
      </c>
      <c r="H8325" s="22" t="s">
        <v>8225</v>
      </c>
      <c r="I8325" s="26">
        <v>43598.576388888898</v>
      </c>
      <c r="J8325" s="28" t="s">
        <v>52</v>
      </c>
      <c r="K8325" s="28" t="s">
        <v>52</v>
      </c>
      <c r="L8325" s="28" t="s">
        <v>52</v>
      </c>
      <c r="M8325" s="28" t="s">
        <v>52</v>
      </c>
      <c r="N8325" s="28" t="s">
        <v>52</v>
      </c>
    </row>
    <row r="8326" spans="1:14" hidden="1" outlineLevel="1" x14ac:dyDescent="0.15">
      <c r="A8326" s="23" t="str">
        <f>HYPERLINK("https://www.spark-marketing.ru/Card/Person/1053282", "МБУ ДО СЮН Г.ЛЕБЕДЯНЬ")</f>
        <v>МБУ ДО СЮН Г.ЛЕБЕДЯНЬ</v>
      </c>
      <c r="B8326" s="24" t="s">
        <v>10587</v>
      </c>
      <c r="C8326" s="25">
        <v>112280</v>
      </c>
      <c r="D8326" s="22" t="s">
        <v>10580</v>
      </c>
      <c r="E8326" s="22" t="s">
        <v>84</v>
      </c>
      <c r="F8326" s="23" t="str">
        <f t="shared" si="363"/>
        <v>Установка систем видеонаблюдения</v>
      </c>
      <c r="G8326" s="22" t="s">
        <v>629</v>
      </c>
      <c r="H8326" s="22" t="s">
        <v>629</v>
      </c>
      <c r="I8326" s="26">
        <v>43598.576388888898</v>
      </c>
      <c r="J8326" s="28" t="s">
        <v>52</v>
      </c>
      <c r="K8326" s="28" t="s">
        <v>52</v>
      </c>
      <c r="L8326" s="28" t="s">
        <v>52</v>
      </c>
      <c r="M8326" s="28" t="s">
        <v>52</v>
      </c>
      <c r="N8326" s="28" t="s">
        <v>52</v>
      </c>
    </row>
    <row r="8327" spans="1:14" hidden="1" outlineLevel="1" x14ac:dyDescent="0.15">
      <c r="A8327" s="23" t="str">
        <f>HYPERLINK("https://www.spark-marketing.ru/Card/Person/1053391", "МБДОУ Д/С ""ЁЛОЧКА"" С.ТРОЕКУРОВО")</f>
        <v>МБДОУ Д/С "ЁЛОЧКА" С.ТРОЕКУРОВО</v>
      </c>
      <c r="B8327" s="24" t="s">
        <v>10588</v>
      </c>
      <c r="C8327" s="25">
        <v>165890</v>
      </c>
      <c r="D8327" s="22" t="s">
        <v>10580</v>
      </c>
      <c r="E8327" s="22" t="s">
        <v>84</v>
      </c>
      <c r="F8327" s="23" t="str">
        <f t="shared" si="363"/>
        <v>Установка систем видеонаблюдения</v>
      </c>
      <c r="G8327" s="22" t="s">
        <v>629</v>
      </c>
      <c r="H8327" s="22" t="s">
        <v>8225</v>
      </c>
      <c r="I8327" s="26">
        <v>43598.576388888898</v>
      </c>
      <c r="J8327" s="28" t="s">
        <v>52</v>
      </c>
      <c r="K8327" s="28" t="s">
        <v>52</v>
      </c>
      <c r="L8327" s="28" t="s">
        <v>52</v>
      </c>
      <c r="M8327" s="28" t="s">
        <v>52</v>
      </c>
      <c r="N8327" s="28" t="s">
        <v>52</v>
      </c>
    </row>
    <row r="8328" spans="1:14" hidden="1" outlineLevel="1" x14ac:dyDescent="0.15">
      <c r="A8328" s="23" t="str">
        <f>HYPERLINK("https://www.spark-marketing.ru/Card/Person/1053425", "МБДОУ С. КУЙМАНЬ")</f>
        <v>МБДОУ С. КУЙМАНЬ</v>
      </c>
      <c r="B8328" s="24" t="s">
        <v>10589</v>
      </c>
      <c r="C8328" s="25">
        <v>133991</v>
      </c>
      <c r="D8328" s="22" t="s">
        <v>10580</v>
      </c>
      <c r="E8328" s="22" t="s">
        <v>84</v>
      </c>
      <c r="F8328" s="23" t="str">
        <f t="shared" si="363"/>
        <v>Установка систем видеонаблюдения</v>
      </c>
      <c r="G8328" s="22" t="s">
        <v>629</v>
      </c>
      <c r="H8328" s="22" t="s">
        <v>8225</v>
      </c>
      <c r="I8328" s="26">
        <v>43598.576388888898</v>
      </c>
      <c r="J8328" s="28" t="s">
        <v>52</v>
      </c>
      <c r="K8328" s="28" t="s">
        <v>52</v>
      </c>
      <c r="L8328" s="28" t="s">
        <v>52</v>
      </c>
      <c r="M8328" s="28" t="s">
        <v>52</v>
      </c>
      <c r="N8328" s="28" t="s">
        <v>52</v>
      </c>
    </row>
    <row r="8329" spans="1:14" hidden="1" outlineLevel="1" x14ac:dyDescent="0.15">
      <c r="A8329" s="23" t="str">
        <f>HYPERLINK("https://www.spark-marketing.ru/Card/Person/1053478", "МБДОУ С. ДОКТОРОВО")</f>
        <v>МБДОУ С. ДОКТОРОВО</v>
      </c>
      <c r="B8329" s="24" t="s">
        <v>10590</v>
      </c>
      <c r="C8329" s="25">
        <v>98640</v>
      </c>
      <c r="D8329" s="22" t="s">
        <v>10580</v>
      </c>
      <c r="E8329" s="22" t="s">
        <v>84</v>
      </c>
      <c r="F8329" s="23" t="str">
        <f t="shared" si="363"/>
        <v>Установка систем видеонаблюдения</v>
      </c>
      <c r="G8329" s="22" t="s">
        <v>629</v>
      </c>
      <c r="H8329" s="22" t="s">
        <v>8225</v>
      </c>
      <c r="I8329" s="26">
        <v>43598.576388888898</v>
      </c>
      <c r="J8329" s="28" t="s">
        <v>52</v>
      </c>
      <c r="K8329" s="28" t="s">
        <v>52</v>
      </c>
      <c r="L8329" s="28" t="s">
        <v>52</v>
      </c>
      <c r="M8329" s="28" t="s">
        <v>52</v>
      </c>
      <c r="N8329" s="28" t="s">
        <v>52</v>
      </c>
    </row>
    <row r="8330" spans="1:14" hidden="1" outlineLevel="1" x14ac:dyDescent="0.15">
      <c r="A8330" s="23" t="str">
        <f>HYPERLINK("https://www.spark-marketing.ru/Card/Person/1053546", "МБДОУ Д/С П. КУЛЬТУРА")</f>
        <v>МБДОУ Д/С П. КУЛЬТУРА</v>
      </c>
      <c r="B8330" s="24" t="s">
        <v>10591</v>
      </c>
      <c r="C8330" s="25">
        <v>93500</v>
      </c>
      <c r="D8330" s="22" t="s">
        <v>10580</v>
      </c>
      <c r="E8330" s="22" t="s">
        <v>84</v>
      </c>
      <c r="F8330" s="23" t="str">
        <f t="shared" si="363"/>
        <v>Установка систем видеонаблюдения</v>
      </c>
      <c r="G8330" s="22" t="s">
        <v>629</v>
      </c>
      <c r="H8330" s="22" t="s">
        <v>8225</v>
      </c>
      <c r="I8330" s="26">
        <v>43598.576388888898</v>
      </c>
      <c r="J8330" s="28" t="s">
        <v>52</v>
      </c>
      <c r="K8330" s="28" t="s">
        <v>52</v>
      </c>
      <c r="L8330" s="28" t="s">
        <v>52</v>
      </c>
      <c r="M8330" s="28" t="s">
        <v>52</v>
      </c>
      <c r="N8330" s="28" t="s">
        <v>52</v>
      </c>
    </row>
    <row r="8331" spans="1:14" hidden="1" outlineLevel="1" x14ac:dyDescent="0.15">
      <c r="A8331" s="23" t="str">
        <f>HYPERLINK("https://www.spark-marketing.ru/Card/Person/1060875", "МБДОУ Д/С №6 Г.ЛЕБЕДЯНЬ")</f>
        <v>МБДОУ Д/С №6 Г.ЛЕБЕДЯНЬ</v>
      </c>
      <c r="B8331" s="24" t="s">
        <v>10592</v>
      </c>
      <c r="C8331" s="25">
        <v>168140</v>
      </c>
      <c r="D8331" s="22" t="s">
        <v>10580</v>
      </c>
      <c r="E8331" s="22" t="s">
        <v>84</v>
      </c>
      <c r="F8331" s="23" t="str">
        <f t="shared" si="363"/>
        <v>Установка систем видеонаблюдения</v>
      </c>
      <c r="G8331" s="22" t="s">
        <v>629</v>
      </c>
      <c r="H8331" s="22" t="s">
        <v>629</v>
      </c>
      <c r="I8331" s="26">
        <v>43598.576388888898</v>
      </c>
      <c r="J8331" s="28" t="s">
        <v>52</v>
      </c>
      <c r="K8331" s="28" t="s">
        <v>52</v>
      </c>
      <c r="L8331" s="28" t="s">
        <v>52</v>
      </c>
      <c r="M8331" s="28" t="s">
        <v>52</v>
      </c>
      <c r="N8331" s="28" t="s">
        <v>52</v>
      </c>
    </row>
    <row r="8332" spans="1:14" hidden="1" outlineLevel="1" x14ac:dyDescent="0.15">
      <c r="A8332" s="23" t="str">
        <f>HYPERLINK("https://www.spark-marketing.ru/Card/Person/1067190", "МБДОУ Д/С № 1 Г. ЛЕБЕДЯНЬ")</f>
        <v>МБДОУ Д/С № 1 Г. ЛЕБЕДЯНЬ</v>
      </c>
      <c r="B8332" s="24" t="s">
        <v>10593</v>
      </c>
      <c r="C8332" s="25">
        <v>146800</v>
      </c>
      <c r="D8332" s="22" t="s">
        <v>10580</v>
      </c>
      <c r="E8332" s="22" t="s">
        <v>84</v>
      </c>
      <c r="F8332" s="23" t="str">
        <f t="shared" si="363"/>
        <v>Установка систем видеонаблюдения</v>
      </c>
      <c r="G8332" s="22" t="s">
        <v>629</v>
      </c>
      <c r="H8332" s="22" t="s">
        <v>629</v>
      </c>
      <c r="I8332" s="26">
        <v>43598.576388888898</v>
      </c>
      <c r="J8332" s="28" t="s">
        <v>52</v>
      </c>
      <c r="K8332" s="28" t="s">
        <v>52</v>
      </c>
      <c r="L8332" s="28" t="s">
        <v>52</v>
      </c>
      <c r="M8332" s="28" t="s">
        <v>52</v>
      </c>
      <c r="N8332" s="28" t="s">
        <v>52</v>
      </c>
    </row>
    <row r="8333" spans="1:14" hidden="1" outlineLevel="1" x14ac:dyDescent="0.2">
      <c r="A8333" s="28" t="s">
        <v>52</v>
      </c>
      <c r="B8333" s="28" t="s">
        <v>52</v>
      </c>
      <c r="C8333" s="28" t="s">
        <v>52</v>
      </c>
      <c r="D8333" s="22" t="s">
        <v>10580</v>
      </c>
      <c r="E8333" s="22" t="s">
        <v>84</v>
      </c>
      <c r="F8333" s="23" t="str">
        <f t="shared" si="363"/>
        <v>Установка систем видеонаблюдения</v>
      </c>
      <c r="G8333" s="22" t="s">
        <v>52</v>
      </c>
      <c r="H8333" s="22" t="s">
        <v>52</v>
      </c>
      <c r="I8333" s="26">
        <v>43598.576388888898</v>
      </c>
      <c r="J8333" s="23" t="str">
        <f>HYPERLINK("https://www.spark-marketing.ru/Card/Person/150793", "ООО ""ПЕЛЕН""")</f>
        <v>ООО "ПЕЛЕН"</v>
      </c>
      <c r="K8333" s="24" t="s">
        <v>3054</v>
      </c>
      <c r="L8333" s="28" t="s">
        <v>52</v>
      </c>
      <c r="M8333" s="25">
        <v>1784254.89</v>
      </c>
      <c r="N8333" s="27">
        <v>5.0000027882787451E-3</v>
      </c>
    </row>
    <row r="8334" spans="1:14" hidden="1" outlineLevel="1" x14ac:dyDescent="0.2">
      <c r="A8334" s="28" t="s">
        <v>52</v>
      </c>
      <c r="B8334" s="28" t="s">
        <v>52</v>
      </c>
      <c r="C8334" s="28" t="s">
        <v>52</v>
      </c>
      <c r="D8334" s="22" t="s">
        <v>10580</v>
      </c>
      <c r="E8334" s="22" t="s">
        <v>84</v>
      </c>
      <c r="F8334" s="23" t="str">
        <f t="shared" si="363"/>
        <v>Установка систем видеонаблюдения</v>
      </c>
      <c r="G8334" s="22" t="s">
        <v>52</v>
      </c>
      <c r="H8334" s="22" t="s">
        <v>52</v>
      </c>
      <c r="I8334" s="26">
        <v>43598.576388888898</v>
      </c>
      <c r="J8334" s="23" t="str">
        <f>HYPERLINK("https://www.spark-marketing.ru/Card/Person/613373", "ООО ""ТАГАТ-А""")</f>
        <v>ООО "ТАГАТ-А"</v>
      </c>
      <c r="K8334" s="24" t="s">
        <v>10594</v>
      </c>
      <c r="L8334" s="28" t="s">
        <v>52</v>
      </c>
      <c r="M8334" s="25">
        <v>1653954.4</v>
      </c>
      <c r="N8334" s="27">
        <v>7.7662820143194838E-2</v>
      </c>
    </row>
    <row r="8335" spans="1:14" hidden="1" outlineLevel="1" x14ac:dyDescent="0.2">
      <c r="A8335" s="28" t="s">
        <v>52</v>
      </c>
      <c r="B8335" s="28" t="s">
        <v>52</v>
      </c>
      <c r="C8335" s="28" t="s">
        <v>52</v>
      </c>
      <c r="D8335" s="22" t="s">
        <v>10580</v>
      </c>
      <c r="E8335" s="22" t="s">
        <v>84</v>
      </c>
      <c r="F8335" s="23" t="str">
        <f t="shared" si="363"/>
        <v>Установка систем видеонаблюдения</v>
      </c>
      <c r="G8335" s="22" t="s">
        <v>52</v>
      </c>
      <c r="H8335" s="22" t="s">
        <v>52</v>
      </c>
      <c r="I8335" s="26">
        <v>43598.576388888898</v>
      </c>
      <c r="J8335" s="23" t="str">
        <f>HYPERLINK("https://www.spark-marketing.ru/Card/Person/1367310", "ООО ""АСК ГРУПП""")</f>
        <v>ООО "АСК ГРУПП"</v>
      </c>
      <c r="K8335" s="24" t="s">
        <v>10595</v>
      </c>
      <c r="L8335" s="22" t="s">
        <v>10</v>
      </c>
      <c r="M8335" s="25">
        <v>1605357.05</v>
      </c>
      <c r="N8335" s="27">
        <v>0.10476341176017903</v>
      </c>
    </row>
    <row r="8336" spans="1:14" x14ac:dyDescent="0.15">
      <c r="A8336" s="23" t="str">
        <f t="shared" ref="A8336:A8342" si="364">HYPERLINK("https://www.spark-marketing.ru/Card/Person/110466", "МБУК ""ДВОРЕЦ КУЛЬТУРЫ""")</f>
        <v>МБУК "ДВОРЕЦ КУЛЬТУРЫ"</v>
      </c>
      <c r="B8336" s="24" t="s">
        <v>10596</v>
      </c>
      <c r="C8336" s="25">
        <v>686497</v>
      </c>
      <c r="D8336" s="22" t="s">
        <v>10597</v>
      </c>
      <c r="E8336" s="22" t="s">
        <v>59</v>
      </c>
      <c r="F8336" s="23" t="str">
        <f t="shared" ref="F8336:F8342" si="365">HYPERLINK("https://www.spark-marketing.ru/Card/Lot/70400719", "Устройство системы наружного и внутреннего видеонаблюдения.")</f>
        <v>Устройство системы наружного и внутреннего видеонаблюдения.</v>
      </c>
      <c r="G8336" s="22" t="s">
        <v>138</v>
      </c>
      <c r="H8336" s="22" t="s">
        <v>1245</v>
      </c>
      <c r="I8336" s="26">
        <v>43598.508333333302</v>
      </c>
      <c r="J8336" s="28" t="s">
        <v>52</v>
      </c>
      <c r="K8336" s="28" t="s">
        <v>52</v>
      </c>
      <c r="L8336" s="28" t="s">
        <v>52</v>
      </c>
      <c r="M8336" s="28" t="s">
        <v>52</v>
      </c>
      <c r="N8336" s="28" t="s">
        <v>52</v>
      </c>
    </row>
    <row r="8337" spans="1:14" ht="12.75" hidden="1" outlineLevel="1" x14ac:dyDescent="0.2">
      <c r="A8337" s="23" t="str">
        <f t="shared" si="364"/>
        <v>МБУК "ДВОРЕЦ КУЛЬТУРЫ"</v>
      </c>
      <c r="B8337" s="24" t="s">
        <v>10596</v>
      </c>
      <c r="C8337" s="25">
        <v>686497</v>
      </c>
      <c r="D8337" s="22" t="s">
        <v>10597</v>
      </c>
      <c r="E8337" s="22" t="s">
        <v>59</v>
      </c>
      <c r="F8337" s="23" t="str">
        <f t="shared" si="365"/>
        <v>Устройство системы наружного и внутреннего видеонаблюдения.</v>
      </c>
      <c r="G8337" s="22" t="s">
        <v>138</v>
      </c>
      <c r="H8337" s="22" t="s">
        <v>1245</v>
      </c>
      <c r="I8337" s="26">
        <v>43598.508333333302</v>
      </c>
      <c r="J8337" s="23" t="str">
        <f>HYPERLINK("https://www.spark-marketing.ru/Card/Person/5954318", "ООО ""АГАТ РИТЕЙЛ""")</f>
        <v>ООО "АГАТ РИТЕЙЛ"</v>
      </c>
      <c r="K8337" s="24" t="s">
        <v>10598</v>
      </c>
      <c r="L8337" s="22" t="s">
        <v>10</v>
      </c>
      <c r="M8337" s="25">
        <v>276800.11</v>
      </c>
      <c r="N8337" s="27">
        <v>0.59679341643153572</v>
      </c>
    </row>
    <row r="8338" spans="1:14" hidden="1" outlineLevel="1" x14ac:dyDescent="0.2">
      <c r="A8338" s="23" t="str">
        <f t="shared" si="364"/>
        <v>МБУК "ДВОРЕЦ КУЛЬТУРЫ"</v>
      </c>
      <c r="B8338" s="24" t="s">
        <v>10596</v>
      </c>
      <c r="C8338" s="25">
        <v>686497</v>
      </c>
      <c r="D8338" s="22" t="s">
        <v>10597</v>
      </c>
      <c r="E8338" s="22" t="s">
        <v>59</v>
      </c>
      <c r="F8338" s="23" t="str">
        <f t="shared" si="365"/>
        <v>Устройство системы наружного и внутреннего видеонаблюдения.</v>
      </c>
      <c r="G8338" s="22" t="s">
        <v>138</v>
      </c>
      <c r="H8338" s="22" t="s">
        <v>1245</v>
      </c>
      <c r="I8338" s="26">
        <v>43598.508333333302</v>
      </c>
      <c r="J8338" s="23" t="str">
        <f>HYPERLINK("https://www.spark-marketing.ru/Card/Person/168681", "ООО ""АРКОС""")</f>
        <v>ООО "АРКОС"</v>
      </c>
      <c r="K8338" s="24" t="s">
        <v>10599</v>
      </c>
      <c r="L8338" s="28" t="s">
        <v>52</v>
      </c>
      <c r="M8338" s="25">
        <v>469999.99</v>
      </c>
      <c r="N8338" s="27">
        <v>0.31536483043625829</v>
      </c>
    </row>
    <row r="8339" spans="1:14" hidden="1" outlineLevel="1" x14ac:dyDescent="0.2">
      <c r="A8339" s="23" t="str">
        <f t="shared" si="364"/>
        <v>МБУК "ДВОРЕЦ КУЛЬТУРЫ"</v>
      </c>
      <c r="B8339" s="24" t="s">
        <v>10596</v>
      </c>
      <c r="C8339" s="25">
        <v>686497</v>
      </c>
      <c r="D8339" s="22" t="s">
        <v>10597</v>
      </c>
      <c r="E8339" s="22" t="s">
        <v>59</v>
      </c>
      <c r="F8339" s="23" t="str">
        <f t="shared" si="365"/>
        <v>Устройство системы наружного и внутреннего видеонаблюдения.</v>
      </c>
      <c r="G8339" s="22" t="s">
        <v>138</v>
      </c>
      <c r="H8339" s="22" t="s">
        <v>1245</v>
      </c>
      <c r="I8339" s="26">
        <v>43598.508333333302</v>
      </c>
      <c r="J8339" s="23" t="str">
        <f>HYPERLINK("https://www.spark-marketing.ru/Card/Person/185063", "ООО ""МАСШТАБ""")</f>
        <v>ООО "МАСШТАБ"</v>
      </c>
      <c r="K8339" s="24" t="s">
        <v>10600</v>
      </c>
      <c r="L8339" s="28" t="s">
        <v>52</v>
      </c>
      <c r="M8339" s="25">
        <v>686496.99</v>
      </c>
      <c r="N8339" s="27">
        <v>1.4566706045328677E-8</v>
      </c>
    </row>
    <row r="8340" spans="1:14" hidden="1" outlineLevel="1" x14ac:dyDescent="0.2">
      <c r="A8340" s="23" t="str">
        <f t="shared" si="364"/>
        <v>МБУК "ДВОРЕЦ КУЛЬТУРЫ"</v>
      </c>
      <c r="B8340" s="24" t="s">
        <v>10596</v>
      </c>
      <c r="C8340" s="25">
        <v>686497</v>
      </c>
      <c r="D8340" s="22" t="s">
        <v>10597</v>
      </c>
      <c r="E8340" s="22" t="s">
        <v>59</v>
      </c>
      <c r="F8340" s="23" t="str">
        <f t="shared" si="365"/>
        <v>Устройство системы наружного и внутреннего видеонаблюдения.</v>
      </c>
      <c r="G8340" s="22" t="s">
        <v>138</v>
      </c>
      <c r="H8340" s="22" t="s">
        <v>1245</v>
      </c>
      <c r="I8340" s="26">
        <v>43598.508333333302</v>
      </c>
      <c r="J8340" s="23" t="str">
        <f>HYPERLINK("https://www.spark-marketing.ru/Card/Person/107582", "Башлаев Владимир Юрьевич")</f>
        <v>Башлаев Владимир Юрьевич</v>
      </c>
      <c r="K8340" s="24" t="s">
        <v>1652</v>
      </c>
      <c r="L8340" s="28" t="s">
        <v>52</v>
      </c>
      <c r="M8340" s="25">
        <v>280000</v>
      </c>
      <c r="N8340" s="27">
        <v>0.59213223073079713</v>
      </c>
    </row>
    <row r="8341" spans="1:14" hidden="1" outlineLevel="1" x14ac:dyDescent="0.2">
      <c r="A8341" s="23" t="str">
        <f t="shared" si="364"/>
        <v>МБУК "ДВОРЕЦ КУЛЬТУРЫ"</v>
      </c>
      <c r="B8341" s="24" t="s">
        <v>10596</v>
      </c>
      <c r="C8341" s="25">
        <v>686497</v>
      </c>
      <c r="D8341" s="22" t="s">
        <v>10597</v>
      </c>
      <c r="E8341" s="22" t="s">
        <v>59</v>
      </c>
      <c r="F8341" s="23" t="str">
        <f t="shared" si="365"/>
        <v>Устройство системы наружного и внутреннего видеонаблюдения.</v>
      </c>
      <c r="G8341" s="22" t="s">
        <v>138</v>
      </c>
      <c r="H8341" s="22" t="s">
        <v>1245</v>
      </c>
      <c r="I8341" s="26">
        <v>43598.508333333302</v>
      </c>
      <c r="J8341" s="23" t="str">
        <f>HYPERLINK("https://www.spark-marketing.ru/Card/Person/198499", "ООО ""ДВСБ""")</f>
        <v>ООО "ДВСБ"</v>
      </c>
      <c r="K8341" s="24" t="s">
        <v>1650</v>
      </c>
      <c r="L8341" s="28" t="s">
        <v>52</v>
      </c>
      <c r="M8341" s="25">
        <v>480000</v>
      </c>
      <c r="N8341" s="27">
        <v>0.30079810982422356</v>
      </c>
    </row>
    <row r="8342" spans="1:14" hidden="1" outlineLevel="1" x14ac:dyDescent="0.2">
      <c r="A8342" s="23" t="str">
        <f t="shared" si="364"/>
        <v>МБУК "ДВОРЕЦ КУЛЬТУРЫ"</v>
      </c>
      <c r="B8342" s="24" t="s">
        <v>10596</v>
      </c>
      <c r="C8342" s="25">
        <v>686497</v>
      </c>
      <c r="D8342" s="22" t="s">
        <v>10597</v>
      </c>
      <c r="E8342" s="22" t="s">
        <v>59</v>
      </c>
      <c r="F8342" s="23" t="str">
        <f t="shared" si="365"/>
        <v>Устройство системы наружного и внутреннего видеонаблюдения.</v>
      </c>
      <c r="G8342" s="22" t="s">
        <v>138</v>
      </c>
      <c r="H8342" s="22" t="s">
        <v>1245</v>
      </c>
      <c r="I8342" s="26">
        <v>43598.508333333302</v>
      </c>
      <c r="J8342" s="23" t="str">
        <f>HYPERLINK("https://www.spark-marketing.ru/Card/Person/6441151", "ООО ""КОМЭН""")</f>
        <v>ООО "КОМЭН"</v>
      </c>
      <c r="K8342" s="24" t="s">
        <v>10601</v>
      </c>
      <c r="L8342" s="28" t="s">
        <v>52</v>
      </c>
      <c r="M8342" s="25">
        <v>390072.28</v>
      </c>
      <c r="N8342" s="27">
        <v>0.43179317608088602</v>
      </c>
    </row>
    <row r="8343" spans="1:14" x14ac:dyDescent="0.15">
      <c r="A8343" s="23" t="str">
        <f>HYPERLINK("https://www.spark-marketing.ru/Card/Person/102694", "МУ МВД РОССИИ ""ИРКУТСКОЕ""")</f>
        <v>МУ МВД РОССИИ "ИРКУТСКОЕ"</v>
      </c>
      <c r="B8343" s="24" t="s">
        <v>4071</v>
      </c>
      <c r="C8343" s="25">
        <v>17500</v>
      </c>
      <c r="D8343" s="22" t="s">
        <v>10602</v>
      </c>
      <c r="E8343" s="22" t="s">
        <v>53</v>
      </c>
      <c r="F8343" s="23" t="str">
        <f>HYPERLINK("https://www.spark-marketing.ru/Card/Lot/70756603", "Охрана объекта")</f>
        <v>Охрана объекта</v>
      </c>
      <c r="G8343" s="22" t="s">
        <v>281</v>
      </c>
      <c r="H8343" s="22" t="s">
        <v>2008</v>
      </c>
      <c r="I8343" s="26">
        <v>43598.508090277799</v>
      </c>
      <c r="J8343" s="28" t="s">
        <v>52</v>
      </c>
      <c r="K8343" s="28" t="s">
        <v>52</v>
      </c>
      <c r="L8343" s="28" t="s">
        <v>52</v>
      </c>
      <c r="M8343" s="28" t="s">
        <v>52</v>
      </c>
      <c r="N8343" s="28" t="s">
        <v>52</v>
      </c>
    </row>
    <row r="8344" spans="1:14" x14ac:dyDescent="0.15">
      <c r="A8344" s="23" t="str">
        <f>HYPERLINK("https://www.spark-marketing.ru/Card/Person/10851", "СПБ ГБУЗ ""ГОРОДСКАЯ КЛИНИЧЕСКАЯ БОЛЬНИЦА № 31""")</f>
        <v>СПБ ГБУЗ "ГОРОДСКАЯ КЛИНИЧЕСКАЯ БОЛЬНИЦА № 31"</v>
      </c>
      <c r="B8344" s="24" t="s">
        <v>10603</v>
      </c>
      <c r="C8344" s="25">
        <v>4604804.04</v>
      </c>
      <c r="D8344" s="22" t="s">
        <v>10604</v>
      </c>
      <c r="E8344" s="22" t="s">
        <v>52</v>
      </c>
      <c r="F8344" s="23" t="str">
        <f>HYPERLINK("https://www.spark-marketing.ru/Card/Lot/70418357", "Оказание услуг по обеспечению общественного порядка на территории больницы")</f>
        <v>Оказание услуг по обеспечению общественного порядка на территории больницы</v>
      </c>
      <c r="G8344" s="22" t="s">
        <v>89</v>
      </c>
      <c r="H8344" s="22" t="s">
        <v>89</v>
      </c>
      <c r="I8344" s="26">
        <v>43598.5090277778</v>
      </c>
      <c r="J8344" s="23" t="str">
        <f>HYPERLINK("https://www.spark-marketing.ru/Card/Person/62723", "ООО ""ОП ""ЛОКОМОТИВ""")</f>
        <v>ООО "ОП "ЛОКОМОТИВ"</v>
      </c>
      <c r="K8344" s="24" t="s">
        <v>10605</v>
      </c>
      <c r="L8344" s="28" t="s">
        <v>52</v>
      </c>
      <c r="M8344" s="28" t="s">
        <v>52</v>
      </c>
      <c r="N8344" s="28" t="s">
        <v>52</v>
      </c>
    </row>
    <row r="8345" spans="1:14" hidden="1" outlineLevel="1" x14ac:dyDescent="0.15">
      <c r="A8345" s="23" t="str">
        <f>HYPERLINK("https://www.spark-marketing.ru/Card/Person/10851", "СПБ ГБУЗ ""ГОРОДСКАЯ КЛИНИЧЕСКАЯ БОЛЬНИЦА № 31""")</f>
        <v>СПБ ГБУЗ "ГОРОДСКАЯ КЛИНИЧЕСКАЯ БОЛЬНИЦА № 31"</v>
      </c>
      <c r="B8345" s="24" t="s">
        <v>10603</v>
      </c>
      <c r="C8345" s="25">
        <v>4604804.04</v>
      </c>
      <c r="D8345" s="22" t="s">
        <v>10604</v>
      </c>
      <c r="E8345" s="22" t="s">
        <v>52</v>
      </c>
      <c r="F8345" s="23" t="str">
        <f>HYPERLINK("https://www.spark-marketing.ru/Card/Lot/70418357", "Оказание услуг по обеспечению общественного порядка на территории больницы")</f>
        <v>Оказание услуг по обеспечению общественного порядка на территории больницы</v>
      </c>
      <c r="G8345" s="22" t="s">
        <v>89</v>
      </c>
      <c r="H8345" s="22" t="s">
        <v>89</v>
      </c>
      <c r="I8345" s="26">
        <v>43598.5090277778</v>
      </c>
      <c r="J8345" s="23" t="str">
        <f>HYPERLINK("https://www.spark-marketing.ru/Card/Person/62723", "ООО ""ОП ""ЛОКОМОТИВ""")</f>
        <v>ООО "ОП "ЛОКОМОТИВ"</v>
      </c>
      <c r="K8345" s="24" t="s">
        <v>10605</v>
      </c>
      <c r="L8345" s="22" t="s">
        <v>10</v>
      </c>
      <c r="M8345" s="28" t="s">
        <v>52</v>
      </c>
      <c r="N8345" s="28" t="s">
        <v>52</v>
      </c>
    </row>
    <row r="8346" spans="1:14" x14ac:dyDescent="0.15">
      <c r="A8346" s="23" t="str">
        <f>HYPERLINK("https://www.spark-marketing.ru/Card/Person/130780", "АО ""ИЗУМРУД""")</f>
        <v>АО "ИЗУМРУД"</v>
      </c>
      <c r="B8346" s="24" t="s">
        <v>10606</v>
      </c>
      <c r="C8346" s="25">
        <v>7150000</v>
      </c>
      <c r="D8346" s="22" t="s">
        <v>10607</v>
      </c>
      <c r="E8346" s="22" t="s">
        <v>10608</v>
      </c>
      <c r="F8346" s="23" t="str">
        <f>HYPERLINK("https://www.spark-marketing.ru/Card/Lot/70399968", "Услуги по охране периметра и объектов АО Изумруд")</f>
        <v>Услуги по охране периметра и объектов АО Изумруд</v>
      </c>
      <c r="G8346" s="22" t="s">
        <v>409</v>
      </c>
      <c r="H8346" s="22" t="s">
        <v>409</v>
      </c>
      <c r="I8346" s="26">
        <v>43598.440173611103</v>
      </c>
      <c r="J8346" s="28" t="s">
        <v>52</v>
      </c>
      <c r="K8346" s="28" t="s">
        <v>52</v>
      </c>
      <c r="L8346" s="28" t="s">
        <v>52</v>
      </c>
      <c r="M8346" s="28" t="s">
        <v>52</v>
      </c>
      <c r="N8346" s="28" t="s">
        <v>52</v>
      </c>
    </row>
    <row r="8347" spans="1:14" x14ac:dyDescent="0.15">
      <c r="A8347" s="23" t="str">
        <f>HYPERLINK("https://www.spark-marketing.ru/Card/Person/4343947", "УФССП РОССИИ ПО ВОЛОГОДСКОЙ ОБЛАСТИ")</f>
        <v>УФССП РОССИИ ПО ВОЛОГОДСКОЙ ОБЛАСТИ</v>
      </c>
      <c r="B8347" s="24" t="s">
        <v>10609</v>
      </c>
      <c r="C8347" s="25">
        <v>190060</v>
      </c>
      <c r="D8347" s="22" t="s">
        <v>10610</v>
      </c>
      <c r="E8347" s="22" t="s">
        <v>180</v>
      </c>
      <c r="F8347" s="23" t="str">
        <f>HYPERLINK("https://www.spark-marketing.ru/Card/Lot/70408773", "Приобретение и установка автоматического шлагбаума с видеофиксацией по адресу: г. Вологда, ул. Петрозаводская, д. 3")</f>
        <v>Приобретение и установка автоматического шлагбаума с видеофиксацией по адресу: г. Вологда, ул. Петрозаводская, д. 3</v>
      </c>
      <c r="G8347" s="22" t="s">
        <v>902</v>
      </c>
      <c r="H8347" s="22" t="s">
        <v>902</v>
      </c>
      <c r="I8347" s="26">
        <v>43598.443749999999</v>
      </c>
      <c r="J8347" s="23" t="str">
        <f>HYPERLINK("https://www.spark-marketing.ru/Card/Person/518134", "ООО ""ПРОФИ""")</f>
        <v>ООО "ПРОФИ"</v>
      </c>
      <c r="K8347" s="24" t="s">
        <v>10611</v>
      </c>
      <c r="L8347" s="22" t="s">
        <v>10</v>
      </c>
      <c r="M8347" s="28" t="s">
        <v>52</v>
      </c>
      <c r="N8347" s="28" t="s">
        <v>52</v>
      </c>
    </row>
    <row r="8348" spans="1:14" x14ac:dyDescent="0.15">
      <c r="A8348" s="23" t="str">
        <f>HYPERLINK("https://www.spark-marketing.ru/Card/Person/1001036", "ОТДЕЛ МВД РОССИИ ПО Г. ВЫКСА")</f>
        <v>ОТДЕЛ МВД РОССИИ ПО Г. ВЫКСА</v>
      </c>
      <c r="B8348" s="24" t="s">
        <v>3285</v>
      </c>
      <c r="C8348" s="25">
        <v>44000</v>
      </c>
      <c r="D8348" s="22" t="s">
        <v>10612</v>
      </c>
      <c r="E8348" s="22" t="s">
        <v>107</v>
      </c>
      <c r="F8348" s="23" t="str">
        <f>HYPERLINK("https://www.spark-marketing.ru/Card/Lot/70404242", "Техническое обслуживание инженерно-технических средств охраны, 44 шт")</f>
        <v>Техническое обслуживание инженерно-технических средств охраны, 44 шт</v>
      </c>
      <c r="G8348" s="22" t="s">
        <v>64</v>
      </c>
      <c r="H8348" s="22" t="s">
        <v>3287</v>
      </c>
      <c r="I8348" s="26">
        <v>43598.421122685198</v>
      </c>
      <c r="J8348" s="28" t="s">
        <v>52</v>
      </c>
      <c r="K8348" s="28" t="s">
        <v>52</v>
      </c>
      <c r="L8348" s="28" t="s">
        <v>52</v>
      </c>
      <c r="M8348" s="28" t="s">
        <v>52</v>
      </c>
      <c r="N8348" s="28" t="s">
        <v>52</v>
      </c>
    </row>
    <row r="8349" spans="1:14" x14ac:dyDescent="0.15">
      <c r="A8349" s="23" t="str">
        <f>HYPERLINK("https://www.spark-marketing.ru/Card/Person/8059", "ГБУ МО ""МОСАВТОДОР""")</f>
        <v>ГБУ МО "МОСАВТОДОР"</v>
      </c>
      <c r="B8349" s="24" t="s">
        <v>2968</v>
      </c>
      <c r="C8349" s="25">
        <v>99025.32</v>
      </c>
      <c r="D8349" s="22" t="s">
        <v>10613</v>
      </c>
      <c r="E8349" s="22" t="s">
        <v>746</v>
      </c>
      <c r="F8349" s="23" t="str">
        <f>HYPERLINK("https://www.spark-marketing.ru/Card/Lot/70405813", "Оказание услуг по обслуживанию мобильных туалетных кабин,расположенных в пунктах управления транспортной безопасности")</f>
        <v>Оказание услуг по обслуживанию мобильных туалетных кабин,расположенных в пунктах управления транспортной безопасности</v>
      </c>
      <c r="G8349" s="22" t="s">
        <v>50</v>
      </c>
      <c r="H8349" s="22" t="s">
        <v>51</v>
      </c>
      <c r="I8349" s="26">
        <v>43598.430879629603</v>
      </c>
      <c r="J8349" s="28" t="s">
        <v>52</v>
      </c>
      <c r="K8349" s="28" t="s">
        <v>52</v>
      </c>
      <c r="L8349" s="28" t="s">
        <v>52</v>
      </c>
      <c r="M8349" s="28" t="s">
        <v>52</v>
      </c>
      <c r="N8349" s="28" t="s">
        <v>52</v>
      </c>
    </row>
    <row r="8350" spans="1:14" x14ac:dyDescent="0.15">
      <c r="A8350" s="23" t="str">
        <f>HYPERLINK("https://www.spark-marketing.ru/Card/Person/47411", "ГБУЗ РБ ГОРОДСКАЯ ИНФЕКЦИОННАЯ БОЛЬНИЦА Г. СТЕРЛИТАМАК")</f>
        <v>ГБУЗ РБ ГОРОДСКАЯ ИНФЕКЦИОННАЯ БОЛЬНИЦА Г. СТЕРЛИТАМАК</v>
      </c>
      <c r="B8350" s="24" t="s">
        <v>2797</v>
      </c>
      <c r="C8350" s="25">
        <v>213036</v>
      </c>
      <c r="D8350" s="22" t="s">
        <v>10614</v>
      </c>
      <c r="E8350" s="22" t="s">
        <v>68</v>
      </c>
      <c r="F8350" s="23" t="str">
        <f>HYPERLINK("https://www.spark-marketing.ru/Card/Lot/70404031", "услуги, связанные с обеспечением общественного порядка и безопасности (услуги по охране территории объекта, помещений и имущества)")</f>
        <v>услуги, связанные с обеспечением общественного порядка и безопасности (услуги по охране территории объекта, помещений и имущества)</v>
      </c>
      <c r="G8350" s="22" t="s">
        <v>100</v>
      </c>
      <c r="H8350" s="22" t="s">
        <v>2799</v>
      </c>
      <c r="I8350" s="26">
        <v>43598.457638888904</v>
      </c>
      <c r="J8350" s="28" t="s">
        <v>52</v>
      </c>
      <c r="K8350" s="28" t="s">
        <v>52</v>
      </c>
      <c r="L8350" s="28" t="s">
        <v>52</v>
      </c>
      <c r="M8350" s="28" t="s">
        <v>52</v>
      </c>
      <c r="N8350" s="28" t="s">
        <v>52</v>
      </c>
    </row>
    <row r="8351" spans="1:14" hidden="1" outlineLevel="1" x14ac:dyDescent="0.2">
      <c r="A8351" s="23" t="str">
        <f>HYPERLINK("https://www.spark-marketing.ru/Card/Person/47411", "ГБУЗ РБ ГОРОДСКАЯ ИНФЕКЦИОННАЯ БОЛЬНИЦА Г. СТЕРЛИТАМАК")</f>
        <v>ГБУЗ РБ ГОРОДСКАЯ ИНФЕКЦИОННАЯ БОЛЬНИЦА Г. СТЕРЛИТАМАК</v>
      </c>
      <c r="B8351" s="24" t="s">
        <v>2797</v>
      </c>
      <c r="C8351" s="25">
        <v>213036</v>
      </c>
      <c r="D8351" s="22" t="s">
        <v>10614</v>
      </c>
      <c r="E8351" s="22" t="s">
        <v>68</v>
      </c>
      <c r="F8351" s="23" t="str">
        <f>HYPERLINK("https://www.spark-marketing.ru/Card/Lot/70404031", "услуги, связанные с обеспечением общественного порядка и безопасности (услуги по охране территории объекта, помещений и имущества)")</f>
        <v>услуги, связанные с обеспечением общественного порядка и безопасности (услуги по охране территории объекта, помещений и имущества)</v>
      </c>
      <c r="G8351" s="22" t="s">
        <v>100</v>
      </c>
      <c r="H8351" s="22" t="s">
        <v>2799</v>
      </c>
      <c r="I8351" s="26">
        <v>43598.457638888904</v>
      </c>
      <c r="J8351" s="23" t="str">
        <f>HYPERLINK("https://www.spark-marketing.ru/Card/Person/1892674", "ООО ""ЧОО ""ТРИТОН""")</f>
        <v>ООО "ЧОО "ТРИТОН"</v>
      </c>
      <c r="K8351" s="24" t="s">
        <v>2800</v>
      </c>
      <c r="L8351" s="28" t="s">
        <v>52</v>
      </c>
      <c r="M8351" s="25">
        <v>172559.16</v>
      </c>
      <c r="N8351" s="27">
        <v>0.19</v>
      </c>
    </row>
    <row r="8352" spans="1:14" hidden="1" outlineLevel="1" x14ac:dyDescent="0.2">
      <c r="A8352" s="23" t="str">
        <f>HYPERLINK("https://www.spark-marketing.ru/Card/Person/47411", "ГБУЗ РБ ГОРОДСКАЯ ИНФЕКЦИОННАЯ БОЛЬНИЦА Г. СТЕРЛИТАМАК")</f>
        <v>ГБУЗ РБ ГОРОДСКАЯ ИНФЕКЦИОННАЯ БОЛЬНИЦА Г. СТЕРЛИТАМАК</v>
      </c>
      <c r="B8352" s="24" t="s">
        <v>2797</v>
      </c>
      <c r="C8352" s="25">
        <v>213036</v>
      </c>
      <c r="D8352" s="22" t="s">
        <v>10614</v>
      </c>
      <c r="E8352" s="22" t="s">
        <v>68</v>
      </c>
      <c r="F8352" s="23" t="str">
        <f>HYPERLINK("https://www.spark-marketing.ru/Card/Lot/70404031", "услуги, связанные с обеспечением общественного порядка и безопасности (услуги по охране территории объекта, помещений и имущества)")</f>
        <v>услуги, связанные с обеспечением общественного порядка и безопасности (услуги по охране территории объекта, помещений и имущества)</v>
      </c>
      <c r="G8352" s="22" t="s">
        <v>100</v>
      </c>
      <c r="H8352" s="22" t="s">
        <v>2799</v>
      </c>
      <c r="I8352" s="26">
        <v>43598.457638888904</v>
      </c>
      <c r="J8352" s="23" t="str">
        <f>HYPERLINK("https://www.spark-marketing.ru/Card/Person/4886524", "ООО ЧОО ""ФЕНИКС""")</f>
        <v>ООО ЧОО "ФЕНИКС"</v>
      </c>
      <c r="K8352" s="24" t="s">
        <v>8997</v>
      </c>
      <c r="L8352" s="28" t="s">
        <v>52</v>
      </c>
      <c r="M8352" s="25">
        <v>187471.68</v>
      </c>
      <c r="N8352" s="27">
        <v>0.12</v>
      </c>
    </row>
    <row r="8353" spans="1:14" hidden="1" outlineLevel="1" x14ac:dyDescent="0.2">
      <c r="A8353" s="23" t="str">
        <f>HYPERLINK("https://www.spark-marketing.ru/Card/Person/47411", "ГБУЗ РБ ГОРОДСКАЯ ИНФЕКЦИОННАЯ БОЛЬНИЦА Г. СТЕРЛИТАМАК")</f>
        <v>ГБУЗ РБ ГОРОДСКАЯ ИНФЕКЦИОННАЯ БОЛЬНИЦА Г. СТЕРЛИТАМАК</v>
      </c>
      <c r="B8353" s="24" t="s">
        <v>2797</v>
      </c>
      <c r="C8353" s="25">
        <v>213036</v>
      </c>
      <c r="D8353" s="22" t="s">
        <v>10614</v>
      </c>
      <c r="E8353" s="22" t="s">
        <v>68</v>
      </c>
      <c r="F8353" s="23" t="str">
        <f>HYPERLINK("https://www.spark-marketing.ru/Card/Lot/70404031", "услуги, связанные с обеспечением общественного порядка и безопасности (услуги по охране территории объекта, помещений и имущества)")</f>
        <v>услуги, связанные с обеспечением общественного порядка и безопасности (услуги по охране территории объекта, помещений и имущества)</v>
      </c>
      <c r="G8353" s="22" t="s">
        <v>100</v>
      </c>
      <c r="H8353" s="22" t="s">
        <v>2799</v>
      </c>
      <c r="I8353" s="26">
        <v>43598.457638888904</v>
      </c>
      <c r="J8353" s="23" t="str">
        <f>HYPERLINK("https://www.spark-marketing.ru/Card/Person/138362", "ООО ЧОО ""ВЫМПЕЛ""")</f>
        <v>ООО ЧОО "ВЫМПЕЛ"</v>
      </c>
      <c r="K8353" s="24" t="s">
        <v>10615</v>
      </c>
      <c r="L8353" s="28" t="s">
        <v>52</v>
      </c>
      <c r="M8353" s="25">
        <v>170428.79999999999</v>
      </c>
      <c r="N8353" s="27">
        <v>0.2</v>
      </c>
    </row>
    <row r="8354" spans="1:14" ht="12.75" hidden="1" outlineLevel="1" x14ac:dyDescent="0.2">
      <c r="A8354" s="23" t="str">
        <f>HYPERLINK("https://www.spark-marketing.ru/Card/Person/47411", "ГБУЗ РБ ГОРОДСКАЯ ИНФЕКЦИОННАЯ БОЛЬНИЦА Г. СТЕРЛИТАМАК")</f>
        <v>ГБУЗ РБ ГОРОДСКАЯ ИНФЕКЦИОННАЯ БОЛЬНИЦА Г. СТЕРЛИТАМАК</v>
      </c>
      <c r="B8354" s="24" t="s">
        <v>2797</v>
      </c>
      <c r="C8354" s="25">
        <v>213036</v>
      </c>
      <c r="D8354" s="22" t="s">
        <v>10614</v>
      </c>
      <c r="E8354" s="22" t="s">
        <v>68</v>
      </c>
      <c r="F8354" s="23" t="str">
        <f>HYPERLINK("https://www.spark-marketing.ru/Card/Lot/70404031", "услуги, связанные с обеспечением общественного порядка и безопасности (услуги по охране территории объекта, помещений и имущества)")</f>
        <v>услуги, связанные с обеспечением общественного порядка и безопасности (услуги по охране территории объекта, помещений и имущества)</v>
      </c>
      <c r="G8354" s="22" t="s">
        <v>100</v>
      </c>
      <c r="H8354" s="22" t="s">
        <v>2799</v>
      </c>
      <c r="I8354" s="26">
        <v>43598.457638888904</v>
      </c>
      <c r="J8354" s="23" t="str">
        <f>HYPERLINK("https://www.spark-marketing.ru/Card/Person/2276981", "ООО ""ЧОП ""БАСТИОН""")</f>
        <v>ООО "ЧОП "БАСТИОН"</v>
      </c>
      <c r="K8354" s="24" t="s">
        <v>2801</v>
      </c>
      <c r="L8354" s="22" t="s">
        <v>10</v>
      </c>
      <c r="M8354" s="25">
        <v>169363.62</v>
      </c>
      <c r="N8354" s="27">
        <v>0.20499999999999999</v>
      </c>
    </row>
    <row r="8355" spans="1:14" x14ac:dyDescent="0.2">
      <c r="A8355" s="23" t="str">
        <f>HYPERLINK("https://www.spark-marketing.ru/Card/Person/4346324", "ПАО ""ФСК ЕЭС""")</f>
        <v>ПАО "ФСК ЕЭС"</v>
      </c>
      <c r="B8355" s="24" t="s">
        <v>361</v>
      </c>
      <c r="C8355" s="25">
        <v>8575310</v>
      </c>
      <c r="D8355" s="22" t="s">
        <v>10616</v>
      </c>
      <c r="E8355" s="22" t="s">
        <v>9362</v>
      </c>
      <c r="F8355" s="23" t="str">
        <f>HYPERLINK("https://www.spark-marketing.ru/Card/Lot/70420526", "Приобретение жилых объектов и услуг по сопровождению сделокпо приобретению жилых объектов")</f>
        <v>Приобретение жилых объектов и услуг по сопровождению сделокпо приобретению жилых объектов</v>
      </c>
      <c r="G8355" s="22" t="s">
        <v>55</v>
      </c>
      <c r="H8355" s="22" t="s">
        <v>55</v>
      </c>
      <c r="I8355" s="26">
        <v>43598.612708333298</v>
      </c>
      <c r="J8355" s="28" t="s">
        <v>52</v>
      </c>
      <c r="K8355" s="28" t="s">
        <v>52</v>
      </c>
      <c r="L8355" s="22" t="s">
        <v>10</v>
      </c>
      <c r="M8355" s="25">
        <v>7791633.5</v>
      </c>
      <c r="N8355" s="27">
        <v>9.1387541674878225E-2</v>
      </c>
    </row>
    <row r="8356" spans="1:14" x14ac:dyDescent="0.15">
      <c r="A8356" s="23" t="str">
        <f>HYPERLINK("https://www.spark-marketing.ru/Card/Person/1986432", "ПАО СНГЕО")</f>
        <v>ПАО СНГЕО</v>
      </c>
      <c r="B8356" s="24" t="s">
        <v>6615</v>
      </c>
      <c r="C8356" s="25">
        <v>2577225.6</v>
      </c>
      <c r="D8356" s="22" t="s">
        <v>10617</v>
      </c>
      <c r="E8356" s="22" t="s">
        <v>53</v>
      </c>
      <c r="F8356" s="23" t="str">
        <f>HYPERLINK("https://www.spark-marketing.ru/Card/Lot/70418799", "Оказание услуг по невооруженной физической охране объектов ПАО СНГЕО по адресу г. Самара, ул. Аврора 114А")</f>
        <v>Оказание услуг по невооруженной физической охране объектов ПАО СНГЕО по адресу г. Самара, ул. Аврора 114А</v>
      </c>
      <c r="G8356" s="22" t="s">
        <v>760</v>
      </c>
      <c r="H8356" s="22" t="s">
        <v>1709</v>
      </c>
      <c r="I8356" s="26">
        <v>43597.958333333299</v>
      </c>
      <c r="J8356" s="28" t="s">
        <v>52</v>
      </c>
      <c r="K8356" s="28" t="s">
        <v>52</v>
      </c>
      <c r="L8356" s="28" t="s">
        <v>52</v>
      </c>
      <c r="M8356" s="28" t="s">
        <v>52</v>
      </c>
      <c r="N8356" s="28" t="s">
        <v>52</v>
      </c>
    </row>
    <row r="8357" spans="1:14" x14ac:dyDescent="0.15">
      <c r="A8357" s="23" t="str">
        <f>HYPERLINK("https://www.spark-marketing.ru/Card/Person/1986432", "ПАО СНГЕО")</f>
        <v>ПАО СНГЕО</v>
      </c>
      <c r="B8357" s="24" t="s">
        <v>6615</v>
      </c>
      <c r="C8357" s="25">
        <v>1138819.2</v>
      </c>
      <c r="D8357" s="22" t="s">
        <v>10618</v>
      </c>
      <c r="E8357" s="22" t="s">
        <v>53</v>
      </c>
      <c r="F8357" s="23" t="str">
        <f>HYPERLINK("https://www.spark-marketing.ru/Card/Lot/70418800", "Оказание услуг по физической невооруженной охране объектов ПАО СНГЕО расположенных по адресу: г. Самара, ул. Спортивная, 21")</f>
        <v>Оказание услуг по физической невооруженной охране объектов ПАО СНГЕО расположенных по адресу: г. Самара, ул. Спортивная, 21</v>
      </c>
      <c r="G8357" s="22" t="s">
        <v>760</v>
      </c>
      <c r="H8357" s="22" t="s">
        <v>1709</v>
      </c>
      <c r="I8357" s="26">
        <v>43597.958333333299</v>
      </c>
      <c r="J8357" s="28" t="s">
        <v>52</v>
      </c>
      <c r="K8357" s="28" t="s">
        <v>52</v>
      </c>
      <c r="L8357" s="28" t="s">
        <v>52</v>
      </c>
      <c r="M8357" s="28" t="s">
        <v>52</v>
      </c>
      <c r="N8357" s="28" t="s">
        <v>52</v>
      </c>
    </row>
    <row r="8358" spans="1:14" x14ac:dyDescent="0.15">
      <c r="A8358" s="23" t="str">
        <f>HYPERLINK("https://www.spark-marketing.ru/Card/Person/58896", "ФКУЗ САНАТОРИЙ ИМ. С.М. КИРОВА ФСИН РОССИИ")</f>
        <v>ФКУЗ САНАТОРИЙ ИМ. С.М. КИРОВА ФСИН РОССИИ</v>
      </c>
      <c r="B8358" s="24" t="s">
        <v>10619</v>
      </c>
      <c r="C8358" s="25">
        <v>22650</v>
      </c>
      <c r="D8358" s="22" t="s">
        <v>10620</v>
      </c>
      <c r="E8358" s="22" t="s">
        <v>53</v>
      </c>
      <c r="F8358" s="23" t="str">
        <f>HYPERLINK("https://www.spark-marketing.ru/Card/Lot/70758728", "Закупка оборудования и установка системы видеонаблюдения")</f>
        <v>Закупка оборудования и установка системы видеонаблюдения</v>
      </c>
      <c r="G8358" s="22" t="s">
        <v>110</v>
      </c>
      <c r="H8358" s="22" t="s">
        <v>111</v>
      </c>
      <c r="I8358" s="26">
        <v>43595.491215277798</v>
      </c>
      <c r="J8358" s="28" t="s">
        <v>52</v>
      </c>
      <c r="K8358" s="28" t="s">
        <v>52</v>
      </c>
      <c r="L8358" s="28" t="s">
        <v>52</v>
      </c>
      <c r="M8358" s="28" t="s">
        <v>52</v>
      </c>
      <c r="N8358" s="28" t="s">
        <v>52</v>
      </c>
    </row>
    <row r="8359" spans="1:14" x14ac:dyDescent="0.15">
      <c r="A8359" s="23" t="str">
        <f>HYPERLINK("https://www.spark-marketing.ru/Card/Person/37261", "АДМИНИСТРАЦИЯ ЗЕЛЕНОГРАДСКОГО ГОРОДСКОГО ОКРУГА")</f>
        <v>АДМИНИСТРАЦИЯ ЗЕЛЕНОГРАДСКОГО ГОРОДСКОГО ОКРУГА</v>
      </c>
      <c r="B8359" s="24" t="s">
        <v>9887</v>
      </c>
      <c r="C8359" s="25">
        <v>385432</v>
      </c>
      <c r="D8359" s="22" t="s">
        <v>10621</v>
      </c>
      <c r="E8359" s="22" t="s">
        <v>84</v>
      </c>
      <c r="F8359" s="23" t="str">
        <f>HYPERLINK("https://www.spark-marketing.ru/Card/Lot/70388395", "Выполнение работ по установке и подключению камер видеонаблюдения к системе АПК ""Безопасный город"" в г.Зеленоградске Калининградской области")</f>
        <v>Выполнение работ по установке и подключению камер видеонаблюдения к системе АПК "Безопасный город" в г.Зеленоградске Калининградской области</v>
      </c>
      <c r="G8359" s="22" t="s">
        <v>247</v>
      </c>
      <c r="H8359" s="22" t="s">
        <v>2670</v>
      </c>
      <c r="I8359" s="26">
        <v>43593.715972222199</v>
      </c>
      <c r="J8359" s="28" t="s">
        <v>52</v>
      </c>
      <c r="K8359" s="28" t="s">
        <v>52</v>
      </c>
      <c r="L8359" s="28" t="s">
        <v>52</v>
      </c>
      <c r="M8359" s="28" t="s">
        <v>52</v>
      </c>
      <c r="N8359" s="28" t="s">
        <v>52</v>
      </c>
    </row>
    <row r="8360" spans="1:14" ht="12.75" hidden="1" outlineLevel="1" x14ac:dyDescent="0.2">
      <c r="A8360" s="23" t="str">
        <f>HYPERLINK("https://www.spark-marketing.ru/Card/Person/37261", "АДМИНИСТРАЦИЯ ЗЕЛЕНОГРАДСКОГО ГОРОДСКОГО ОКРУГА")</f>
        <v>АДМИНИСТРАЦИЯ ЗЕЛЕНОГРАДСКОГО ГОРОДСКОГО ОКРУГА</v>
      </c>
      <c r="B8360" s="24" t="s">
        <v>9887</v>
      </c>
      <c r="C8360" s="25">
        <v>385432</v>
      </c>
      <c r="D8360" s="22" t="s">
        <v>10621</v>
      </c>
      <c r="E8360" s="22" t="s">
        <v>84</v>
      </c>
      <c r="F8360" s="23" t="str">
        <f>HYPERLINK("https://www.spark-marketing.ru/Card/Lot/70388395", "Выполнение работ по установке и подключению камер видеонаблюдения к системе АПК ""Безопасный город"" в г.Зеленоградске Калининградской области")</f>
        <v>Выполнение работ по установке и подключению камер видеонаблюдения к системе АПК "Безопасный город" в г.Зеленоградске Калининградской области</v>
      </c>
      <c r="G8360" s="22" t="s">
        <v>247</v>
      </c>
      <c r="H8360" s="22" t="s">
        <v>2670</v>
      </c>
      <c r="I8360" s="26">
        <v>43593.715972222199</v>
      </c>
      <c r="J8360" s="23" t="str">
        <f>HYPERLINK("https://www.spark-marketing.ru/Card/Person/151974", "ООО ""РОС ИТБ""")</f>
        <v>ООО "РОС ИТБ"</v>
      </c>
      <c r="K8360" s="24" t="s">
        <v>10622</v>
      </c>
      <c r="L8360" s="22" t="s">
        <v>10</v>
      </c>
      <c r="M8360" s="25">
        <v>310272.76</v>
      </c>
      <c r="N8360" s="27">
        <v>0.19500000000000001</v>
      </c>
    </row>
    <row r="8361" spans="1:14" hidden="1" outlineLevel="1" x14ac:dyDescent="0.2">
      <c r="A8361" s="23" t="str">
        <f>HYPERLINK("https://www.spark-marketing.ru/Card/Person/37261", "АДМИНИСТРАЦИЯ ЗЕЛЕНОГРАДСКОГО ГОРОДСКОГО ОКРУГА")</f>
        <v>АДМИНИСТРАЦИЯ ЗЕЛЕНОГРАДСКОГО ГОРОДСКОГО ОКРУГА</v>
      </c>
      <c r="B8361" s="24" t="s">
        <v>9887</v>
      </c>
      <c r="C8361" s="25">
        <v>385432</v>
      </c>
      <c r="D8361" s="22" t="s">
        <v>10621</v>
      </c>
      <c r="E8361" s="22" t="s">
        <v>84</v>
      </c>
      <c r="F8361" s="23" t="str">
        <f>HYPERLINK("https://www.spark-marketing.ru/Card/Lot/70388395", "Выполнение работ по установке и подключению камер видеонаблюдения к системе АПК ""Безопасный город"" в г.Зеленоградске Калининградской области")</f>
        <v>Выполнение работ по установке и подключению камер видеонаблюдения к системе АПК "Безопасный город" в г.Зеленоградске Калининградской области</v>
      </c>
      <c r="G8361" s="22" t="s">
        <v>247</v>
      </c>
      <c r="H8361" s="22" t="s">
        <v>2670</v>
      </c>
      <c r="I8361" s="26">
        <v>43593.715972222199</v>
      </c>
      <c r="J8361" s="23" t="str">
        <f>HYPERLINK("https://www.spark-marketing.ru/Card/Person/6507468", "ООО ""ЗАПАД-СВЯЗЬ-БЕЗОПАСНОСТЬ""")</f>
        <v>ООО "ЗАПАД-СВЯЗЬ-БЕЗОПАСНОСТЬ"</v>
      </c>
      <c r="K8361" s="24" t="s">
        <v>2671</v>
      </c>
      <c r="L8361" s="28" t="s">
        <v>52</v>
      </c>
      <c r="M8361" s="25">
        <v>329544.36</v>
      </c>
      <c r="N8361" s="27">
        <v>0.14499999999999999</v>
      </c>
    </row>
    <row r="8362" spans="1:14" x14ac:dyDescent="0.15">
      <c r="A8362" s="23" t="str">
        <f>HYPERLINK("https://www.spark-marketing.ru/Card/Person/166544", "МО МВД РОССИИ ""ЛЕСОЗАВОДСКИЙ""")</f>
        <v>МО МВД РОССИИ "ЛЕСОЗАВОДСКИЙ"</v>
      </c>
      <c r="B8362" s="24" t="s">
        <v>10623</v>
      </c>
      <c r="C8362" s="25">
        <v>30670.2</v>
      </c>
      <c r="D8362" s="22" t="s">
        <v>10624</v>
      </c>
      <c r="E8362" s="22" t="s">
        <v>68</v>
      </c>
      <c r="F8362" s="23" t="str">
        <f>HYPERLINK("https://www.spark-marketing.ru/Card/Lot/70370490", "Услуги по охране объектов")</f>
        <v>Услуги по охране объектов</v>
      </c>
      <c r="G8362" s="22" t="s">
        <v>409</v>
      </c>
      <c r="H8362" s="22" t="s">
        <v>10625</v>
      </c>
      <c r="I8362" s="26">
        <v>43593.704166666699</v>
      </c>
      <c r="J8362" s="28" t="s">
        <v>52</v>
      </c>
      <c r="K8362" s="28" t="s">
        <v>52</v>
      </c>
      <c r="L8362" s="28" t="s">
        <v>52</v>
      </c>
      <c r="M8362" s="28" t="s">
        <v>52</v>
      </c>
      <c r="N8362" s="28" t="s">
        <v>52</v>
      </c>
    </row>
    <row r="8363" spans="1:14" ht="12.75" x14ac:dyDescent="0.2">
      <c r="A8363" s="23" t="str">
        <f>HYPERLINK("https://www.spark-marketing.ru/Card/Person/4348809", "ГУП ""МОСВОДОСТОК""")</f>
        <v>ГУП "МОСВОДОСТОК"</v>
      </c>
      <c r="B8363" s="24" t="s">
        <v>9540</v>
      </c>
      <c r="C8363" s="25">
        <v>2807363.72</v>
      </c>
      <c r="D8363" s="22" t="s">
        <v>10626</v>
      </c>
      <c r="E8363" s="22" t="s">
        <v>9879</v>
      </c>
      <c r="F8363" s="23" t="str">
        <f>HYPERLINK("https://www.spark-marketing.ru/Card/Lot/70385886", "Выполнение работ по формированию экосистемы пруда на объекте: «Выполнение работ по охране водного объекта «пруд Рокотовский», расположенного по адресу: г. Москва, ЮЗАО, ул. Рокотова, д.4»")</f>
        <v>Выполнение работ по формированию экосистемы пруда на объекте: «Выполнение работ по охране водного объекта «пруд Рокотовский», расположенного по адресу: г. Москва, ЮЗАО, ул. Рокотова, д.4»</v>
      </c>
      <c r="G8363" s="22" t="s">
        <v>55</v>
      </c>
      <c r="H8363" s="22" t="s">
        <v>55</v>
      </c>
      <c r="I8363" s="26">
        <v>43593.667824074102</v>
      </c>
      <c r="J8363" s="23" t="str">
        <f>HYPERLINK("https://www.spark-marketing.ru/Card/Person/6258764", "ООО ""ВЕКТОР""")</f>
        <v>ООО "ВЕКТОР"</v>
      </c>
      <c r="K8363" s="24" t="s">
        <v>10627</v>
      </c>
      <c r="L8363" s="22" t="s">
        <v>10</v>
      </c>
      <c r="M8363" s="25">
        <v>2807363.72</v>
      </c>
      <c r="N8363" s="27">
        <v>0</v>
      </c>
    </row>
    <row r="8364" spans="1:14" x14ac:dyDescent="0.15">
      <c r="A8364" s="23" t="str">
        <f>HYPERLINK("https://www.spark-marketing.ru/Card/Person/166544", "МО МВД РОССИИ ""ЛЕСОЗАВОДСКИЙ""")</f>
        <v>МО МВД РОССИИ "ЛЕСОЗАВОДСКИЙ"</v>
      </c>
      <c r="B8364" s="24" t="s">
        <v>10623</v>
      </c>
      <c r="C8364" s="25">
        <v>73710</v>
      </c>
      <c r="D8364" s="22" t="s">
        <v>10628</v>
      </c>
      <c r="E8364" s="22" t="s">
        <v>68</v>
      </c>
      <c r="F8364" s="23" t="str">
        <f>HYPERLINK("https://www.spark-marketing.ru/Card/Lot/70370122", "Услуги по охране объектов")</f>
        <v>Услуги по охране объектов</v>
      </c>
      <c r="G8364" s="22" t="s">
        <v>409</v>
      </c>
      <c r="H8364" s="22" t="s">
        <v>10625</v>
      </c>
      <c r="I8364" s="26">
        <v>43593.704166666699</v>
      </c>
      <c r="J8364" s="28" t="s">
        <v>52</v>
      </c>
      <c r="K8364" s="28" t="s">
        <v>52</v>
      </c>
      <c r="L8364" s="28" t="s">
        <v>52</v>
      </c>
      <c r="M8364" s="28" t="s">
        <v>52</v>
      </c>
      <c r="N8364" s="28" t="s">
        <v>52</v>
      </c>
    </row>
    <row r="8365" spans="1:14" x14ac:dyDescent="0.15">
      <c r="A8365" s="23" t="str">
        <f>HYPERLINK("https://www.spark-marketing.ru/Card/Person/1597231", "АО ""ВНИИАЭС""")</f>
        <v>АО "ВНИИАЭС"</v>
      </c>
      <c r="B8365" s="24" t="s">
        <v>8617</v>
      </c>
      <c r="C8365" s="25">
        <v>0</v>
      </c>
      <c r="D8365" s="22" t="s">
        <v>10629</v>
      </c>
      <c r="E8365" s="22" t="s">
        <v>53</v>
      </c>
      <c r="F8365" s="23" t="str">
        <f>HYPERLINK("https://www.spark-marketing.ru/Card/Lot/70388614", "мониторинг цен в электронной форме на Оказание охранных услуг")</f>
        <v>мониторинг цен в электронной форме на Оказание охранных услуг</v>
      </c>
      <c r="G8365" s="22" t="s">
        <v>55</v>
      </c>
      <c r="H8365" s="22" t="s">
        <v>55</v>
      </c>
      <c r="I8365" s="26">
        <v>43593.676585648202</v>
      </c>
      <c r="J8365" s="28" t="s">
        <v>52</v>
      </c>
      <c r="K8365" s="28" t="s">
        <v>52</v>
      </c>
      <c r="L8365" s="28" t="s">
        <v>52</v>
      </c>
      <c r="M8365" s="28" t="s">
        <v>52</v>
      </c>
      <c r="N8365" s="28" t="s">
        <v>52</v>
      </c>
    </row>
    <row r="8366" spans="1:14" x14ac:dyDescent="0.15">
      <c r="A8366" s="23" t="str">
        <f>HYPERLINK("https://www.spark-marketing.ru/Card/Person/1597231", "АО ""ВНИИАЭС""")</f>
        <v>АО "ВНИИАЭС"</v>
      </c>
      <c r="B8366" s="24" t="s">
        <v>8617</v>
      </c>
      <c r="C8366" s="28" t="s">
        <v>52</v>
      </c>
      <c r="D8366" s="22" t="s">
        <v>10630</v>
      </c>
      <c r="E8366" s="22" t="s">
        <v>53</v>
      </c>
      <c r="F8366" s="23" t="str">
        <f>HYPERLINK("https://www.spark-marketing.ru/Card/Lot/70389473", "Оказание охранных услуг (1250334)")</f>
        <v>Оказание охранных услуг (1250334)</v>
      </c>
      <c r="G8366" s="22" t="s">
        <v>55</v>
      </c>
      <c r="H8366" s="22" t="s">
        <v>55</v>
      </c>
      <c r="I8366" s="26">
        <v>43593.704872685201</v>
      </c>
      <c r="J8366" s="28" t="s">
        <v>52</v>
      </c>
      <c r="K8366" s="28" t="s">
        <v>52</v>
      </c>
      <c r="L8366" s="28" t="s">
        <v>52</v>
      </c>
      <c r="M8366" s="28" t="s">
        <v>52</v>
      </c>
      <c r="N8366" s="28" t="s">
        <v>52</v>
      </c>
    </row>
    <row r="8367" spans="1:14" x14ac:dyDescent="0.15">
      <c r="A8367" s="23" t="str">
        <f>HYPERLINK("https://www.spark-marketing.ru/Card/Person/63798", "ГКУ ЦЗН ГОРОДА НИЖНЕГО НОВГОРОДА")</f>
        <v>ГКУ ЦЗН ГОРОДА НИЖНЕГО НОВГОРОДА</v>
      </c>
      <c r="B8367" s="24" t="s">
        <v>2464</v>
      </c>
      <c r="C8367" s="25">
        <v>291253.03000000003</v>
      </c>
      <c r="D8367" s="22" t="s">
        <v>10631</v>
      </c>
      <c r="E8367" s="22" t="s">
        <v>68</v>
      </c>
      <c r="F8367" s="23" t="str">
        <f>HYPERLINK("https://www.spark-marketing.ru/Card/Lot/70384747", "Оказание услуг по обеспечению общественного порядка и безопасности: круглосуточная охрана помещения ЦЗН в 2019 г.")</f>
        <v>Оказание услуг по обеспечению общественного порядка и безопасности: круглосуточная охрана помещения ЦЗН в 2019 г.</v>
      </c>
      <c r="G8367" s="22" t="s">
        <v>64</v>
      </c>
      <c r="H8367" s="22" t="s">
        <v>65</v>
      </c>
      <c r="I8367" s="26">
        <v>43593.635416666701</v>
      </c>
      <c r="J8367" s="23" t="str">
        <f>HYPERLINK("https://www.spark-marketing.ru/Card/Person/526990", "ООО ""ЧОО ""СКАЛА-НН""")</f>
        <v>ООО "ЧОО "СКАЛА-НН"</v>
      </c>
      <c r="K8367" s="24" t="s">
        <v>10632</v>
      </c>
      <c r="L8367" s="22" t="s">
        <v>10</v>
      </c>
      <c r="M8367" s="28" t="s">
        <v>52</v>
      </c>
      <c r="N8367" s="28" t="s">
        <v>52</v>
      </c>
    </row>
    <row r="8368" spans="1:14" x14ac:dyDescent="0.15">
      <c r="A8368" s="23" t="str">
        <f>HYPERLINK("https://www.spark-marketing.ru/Card/Person/53804", "МО МВД РОССИИ ПО ЗАТО Г. СЕВЕРОМОРСК И Г. ОСТРОВНОЙ")</f>
        <v>МО МВД РОССИИ ПО ЗАТО Г. СЕВЕРОМОРСК И Г. ОСТРОВНОЙ</v>
      </c>
      <c r="B8368" s="24" t="s">
        <v>10633</v>
      </c>
      <c r="C8368" s="25">
        <v>35000</v>
      </c>
      <c r="D8368" s="22" t="s">
        <v>10634</v>
      </c>
      <c r="E8368" s="22" t="s">
        <v>107</v>
      </c>
      <c r="F8368" s="23" t="str">
        <f>HYPERLINK("https://www.spark-marketing.ru/Card/Lot/70758235", "Техническое обслуживание средств ОС, ОПС, ТС, видеонаблюдения и СКУД, 1 шт")</f>
        <v>Техническое обслуживание средств ОС, ОПС, ТС, видеонаблюдения и СКУД, 1 шт</v>
      </c>
      <c r="G8368" s="22" t="s">
        <v>190</v>
      </c>
      <c r="H8368" s="22" t="s">
        <v>9725</v>
      </c>
      <c r="I8368" s="26">
        <v>43593.644618055601</v>
      </c>
      <c r="J8368" s="28" t="s">
        <v>52</v>
      </c>
      <c r="K8368" s="28" t="s">
        <v>52</v>
      </c>
      <c r="L8368" s="28" t="s">
        <v>52</v>
      </c>
      <c r="M8368" s="28" t="s">
        <v>52</v>
      </c>
      <c r="N8368" s="28" t="s">
        <v>52</v>
      </c>
    </row>
    <row r="8369" spans="1:14" x14ac:dyDescent="0.15">
      <c r="A8369" s="23" t="str">
        <f>HYPERLINK("https://www.spark-marketing.ru/Card/Person/57842", "МОСКОВСКО-ОКСКОЕ БВУ")</f>
        <v>МОСКОВСКО-ОКСКОЕ БВУ</v>
      </c>
      <c r="B8369" s="24" t="s">
        <v>10635</v>
      </c>
      <c r="C8369" s="25">
        <v>1020000</v>
      </c>
      <c r="D8369" s="22" t="s">
        <v>10636</v>
      </c>
      <c r="E8369" s="22" t="s">
        <v>183</v>
      </c>
      <c r="F8369" s="23" t="str">
        <f>HYPERLINK("https://www.spark-marketing.ru/Card/Lot/70384851", "Услуги по охране имущества")</f>
        <v>Услуги по охране имущества</v>
      </c>
      <c r="G8369" s="22" t="s">
        <v>50</v>
      </c>
      <c r="H8369" s="22" t="s">
        <v>2012</v>
      </c>
      <c r="I8369" s="26">
        <v>43593.6159722222</v>
      </c>
      <c r="J8369" s="28" t="s">
        <v>52</v>
      </c>
      <c r="K8369" s="28" t="s">
        <v>52</v>
      </c>
      <c r="L8369" s="28" t="s">
        <v>52</v>
      </c>
      <c r="M8369" s="28" t="s">
        <v>52</v>
      </c>
      <c r="N8369" s="28" t="s">
        <v>52</v>
      </c>
    </row>
    <row r="8370" spans="1:14" ht="12.75" hidden="1" outlineLevel="1" x14ac:dyDescent="0.2">
      <c r="A8370" s="23" t="str">
        <f>HYPERLINK("https://www.spark-marketing.ru/Card/Person/57842", "МОСКОВСКО-ОКСКОЕ БВУ")</f>
        <v>МОСКОВСКО-ОКСКОЕ БВУ</v>
      </c>
      <c r="B8370" s="24" t="s">
        <v>10635</v>
      </c>
      <c r="C8370" s="25">
        <v>1020000</v>
      </c>
      <c r="D8370" s="22" t="s">
        <v>10636</v>
      </c>
      <c r="E8370" s="22" t="s">
        <v>183</v>
      </c>
      <c r="F8370" s="23" t="str">
        <f>HYPERLINK("https://www.spark-marketing.ru/Card/Lot/70384851", "Услуги по охране имущества")</f>
        <v>Услуги по охране имущества</v>
      </c>
      <c r="G8370" s="22" t="s">
        <v>50</v>
      </c>
      <c r="H8370" s="22" t="s">
        <v>2012</v>
      </c>
      <c r="I8370" s="26">
        <v>43593.6159722222</v>
      </c>
      <c r="J8370" s="23" t="str">
        <f>HYPERLINK("https://www.spark-marketing.ru/Card/Person/75844", "ООО ""ЧОП ""ДУБРАВА""")</f>
        <v>ООО "ЧОП "ДУБРАВА"</v>
      </c>
      <c r="K8370" s="24" t="s">
        <v>10637</v>
      </c>
      <c r="L8370" s="22" t="s">
        <v>10</v>
      </c>
      <c r="M8370" s="25">
        <v>1015200</v>
      </c>
      <c r="N8370" s="27">
        <v>4.7058823529411761E-3</v>
      </c>
    </row>
    <row r="8371" spans="1:14" hidden="1" outlineLevel="1" x14ac:dyDescent="0.2">
      <c r="A8371" s="23" t="str">
        <f>HYPERLINK("https://www.spark-marketing.ru/Card/Person/57842", "МОСКОВСКО-ОКСКОЕ БВУ")</f>
        <v>МОСКОВСКО-ОКСКОЕ БВУ</v>
      </c>
      <c r="B8371" s="24" t="s">
        <v>10635</v>
      </c>
      <c r="C8371" s="25">
        <v>1020000</v>
      </c>
      <c r="D8371" s="22" t="s">
        <v>10636</v>
      </c>
      <c r="E8371" s="22" t="s">
        <v>183</v>
      </c>
      <c r="F8371" s="23" t="str">
        <f>HYPERLINK("https://www.spark-marketing.ru/Card/Lot/70384851", "Услуги по охране имущества")</f>
        <v>Услуги по охране имущества</v>
      </c>
      <c r="G8371" s="22" t="s">
        <v>50</v>
      </c>
      <c r="H8371" s="22" t="s">
        <v>2012</v>
      </c>
      <c r="I8371" s="26">
        <v>43593.6159722222</v>
      </c>
      <c r="J8371" s="23" t="str">
        <f>HYPERLINK("https://www.spark-marketing.ru/Card/Person/82007", "ООО ЧОП ""ГРОМ""")</f>
        <v>ООО ЧОП "ГРОМ"</v>
      </c>
      <c r="K8371" s="24" t="s">
        <v>10638</v>
      </c>
      <c r="L8371" s="28" t="s">
        <v>52</v>
      </c>
      <c r="M8371" s="25">
        <v>1013100</v>
      </c>
      <c r="N8371" s="27">
        <v>6.7647058823529409E-3</v>
      </c>
    </row>
    <row r="8372" spans="1:14" x14ac:dyDescent="0.15">
      <c r="A8372" s="23" t="str">
        <f>HYPERLINK("https://www.spark-marketing.ru/Card/Person/33584", "ФГКУЗ ""САНАТОРИЙ ""РОССИЯ"" ВОЙСК НАЦИОНАЛЬНОЙ ГВАРДИИ""")</f>
        <v>ФГКУЗ "САНАТОРИЙ "РОССИЯ" ВОЙСК НАЦИОНАЛЬНОЙ ГВАРДИИ"</v>
      </c>
      <c r="B8372" s="24" t="s">
        <v>10639</v>
      </c>
      <c r="C8372" s="25">
        <v>7772</v>
      </c>
      <c r="D8372" s="22" t="s">
        <v>10640</v>
      </c>
      <c r="E8372" s="22" t="s">
        <v>53</v>
      </c>
      <c r="F8372" s="23" t="str">
        <f>HYPERLINK("https://www.spark-marketing.ru/Card/Lot/70760201", "Услуги по техническому обслуживанию комплекса средств охраны")</f>
        <v>Услуги по техническому обслуживанию комплекса средств охраны</v>
      </c>
      <c r="G8372" s="22" t="s">
        <v>258</v>
      </c>
      <c r="H8372" s="22" t="s">
        <v>259</v>
      </c>
      <c r="I8372" s="26">
        <v>43593.585555555597</v>
      </c>
      <c r="J8372" s="28" t="s">
        <v>52</v>
      </c>
      <c r="K8372" s="28" t="s">
        <v>52</v>
      </c>
      <c r="L8372" s="28" t="s">
        <v>52</v>
      </c>
      <c r="M8372" s="28" t="s">
        <v>52</v>
      </c>
      <c r="N8372" s="28" t="s">
        <v>52</v>
      </c>
    </row>
    <row r="8373" spans="1:14" x14ac:dyDescent="0.15">
      <c r="A8373" s="23" t="str">
        <f>HYPERLINK("https://www.spark-marketing.ru/Card/Person/68129", "БУ ""ПЕРВАЯ ЧЕБОКСАРСКАЯ ГБ ИМ. П.Н. ОСИПОВА"" МИНЗДРАВА ЧУВАШИИ")</f>
        <v>БУ "ПЕРВАЯ ЧЕБОКСАРСКАЯ ГБ ИМ. П.Н. ОСИПОВА" МИНЗДРАВА ЧУВАШИИ</v>
      </c>
      <c r="B8373" s="24" t="s">
        <v>10641</v>
      </c>
      <c r="C8373" s="25">
        <v>180000</v>
      </c>
      <c r="D8373" s="22" t="s">
        <v>10642</v>
      </c>
      <c r="E8373" s="22" t="s">
        <v>218</v>
      </c>
      <c r="F8373" s="23" t="str">
        <f>HYPERLINK("https://www.spark-marketing.ru/Card/Lot/70382053", "оказание услуг охраны объектов БУ «Первая Чебоксарская ГБ им. П.Н. Осипова» Минздрава Чувашии, оборудованных действующим комплексом технических средств охраны при помощи пульта централизованного наблюдения")</f>
        <v>оказание услуг охраны объектов БУ «Первая Чебоксарская ГБ им. П.Н. Осипова» Минздрава Чувашии, оборудованных действующим комплексом технических средств охраны при помощи пульта централизованного наблюдения</v>
      </c>
      <c r="G8373" s="22" t="s">
        <v>1137</v>
      </c>
      <c r="H8373" s="22" t="s">
        <v>1137</v>
      </c>
      <c r="I8373" s="26">
        <v>43593.596527777801</v>
      </c>
      <c r="J8373" s="28" t="s">
        <v>52</v>
      </c>
      <c r="K8373" s="28" t="s">
        <v>52</v>
      </c>
      <c r="L8373" s="28" t="s">
        <v>52</v>
      </c>
      <c r="M8373" s="28" t="s">
        <v>52</v>
      </c>
      <c r="N8373" s="28" t="s">
        <v>52</v>
      </c>
    </row>
    <row r="8374" spans="1:14" hidden="1" outlineLevel="1" x14ac:dyDescent="0.2">
      <c r="A8374" s="23" t="str">
        <f>HYPERLINK("https://www.spark-marketing.ru/Card/Person/68129", "БУ ""ПЕРВАЯ ЧЕБОКСАРСКАЯ ГБ ИМ. П.Н. ОСИПОВА"" МИНЗДРАВА ЧУВАШИИ")</f>
        <v>БУ "ПЕРВАЯ ЧЕБОКСАРСКАЯ ГБ ИМ. П.Н. ОСИПОВА" МИНЗДРАВА ЧУВАШИИ</v>
      </c>
      <c r="B8374" s="24" t="s">
        <v>10641</v>
      </c>
      <c r="C8374" s="25">
        <v>180000</v>
      </c>
      <c r="D8374" s="22" t="s">
        <v>10642</v>
      </c>
      <c r="E8374" s="22" t="s">
        <v>218</v>
      </c>
      <c r="F8374" s="23" t="str">
        <f>HYPERLINK("https://www.spark-marketing.ru/Card/Lot/70382053", "оказание услуг охраны объектов БУ «Первая Чебоксарская ГБ им. П.Н. Осипова» Минздрава Чувашии, оборудованных действующим комплексом технических средств охраны при помощи пульта централизованного наблюдения")</f>
        <v>оказание услуг охраны объектов БУ «Первая Чебоксарская ГБ им. П.Н. Осипова» Минздрава Чувашии, оборудованных действующим комплексом технических средств охраны при помощи пульта централизованного наблюдения</v>
      </c>
      <c r="G8374" s="22" t="s">
        <v>1137</v>
      </c>
      <c r="H8374" s="22" t="s">
        <v>1137</v>
      </c>
      <c r="I8374" s="26">
        <v>43593.596527777801</v>
      </c>
      <c r="J8374" s="23" t="str">
        <f>HYPERLINK("https://www.spark-marketing.ru/Card/Person/366508", "Филиал ФГУП ""Охрана"" Росгвардии по Пермскому краю")</f>
        <v>Филиал ФГУП "Охрана" Росгвардии по Пермскому краю</v>
      </c>
      <c r="K8374" s="24" t="s">
        <v>779</v>
      </c>
      <c r="L8374" s="28" t="s">
        <v>52</v>
      </c>
      <c r="M8374" s="25">
        <v>72000</v>
      </c>
      <c r="N8374" s="27">
        <v>0.6</v>
      </c>
    </row>
    <row r="8375" spans="1:14" ht="12.75" hidden="1" outlineLevel="1" x14ac:dyDescent="0.2">
      <c r="A8375" s="23" t="str">
        <f>HYPERLINK("https://www.spark-marketing.ru/Card/Person/68129", "БУ ""ПЕРВАЯ ЧЕБОКСАРСКАЯ ГБ ИМ. П.Н. ОСИПОВА"" МИНЗДРАВА ЧУВАШИИ")</f>
        <v>БУ "ПЕРВАЯ ЧЕБОКСАРСКАЯ ГБ ИМ. П.Н. ОСИПОВА" МИНЗДРАВА ЧУВАШИИ</v>
      </c>
      <c r="B8375" s="24" t="s">
        <v>10641</v>
      </c>
      <c r="C8375" s="25">
        <v>180000</v>
      </c>
      <c r="D8375" s="22" t="s">
        <v>10642</v>
      </c>
      <c r="E8375" s="22" t="s">
        <v>218</v>
      </c>
      <c r="F8375" s="23" t="str">
        <f>HYPERLINK("https://www.spark-marketing.ru/Card/Lot/70382053", "оказание услуг охраны объектов БУ «Первая Чебоксарская ГБ им. П.Н. Осипова» Минздрава Чувашии, оборудованных действующим комплексом технических средств охраны при помощи пульта централизованного наблюдения")</f>
        <v>оказание услуг охраны объектов БУ «Первая Чебоксарская ГБ им. П.Н. Осипова» Минздрава Чувашии, оборудованных действующим комплексом технических средств охраны при помощи пульта централизованного наблюдения</v>
      </c>
      <c r="G8375" s="22" t="s">
        <v>1137</v>
      </c>
      <c r="H8375" s="22" t="s">
        <v>1137</v>
      </c>
      <c r="I8375" s="26">
        <v>43593.596527777801</v>
      </c>
      <c r="J8375" s="23" t="str">
        <f>HYPERLINK("https://www.spark-marketing.ru/Card/Person/456132", "ООО ""ЧОО ""АЛЬФА""")</f>
        <v>ООО "ЧОО "АЛЬФА"</v>
      </c>
      <c r="K8375" s="24" t="s">
        <v>6293</v>
      </c>
      <c r="L8375" s="22" t="s">
        <v>10</v>
      </c>
      <c r="M8375" s="25">
        <v>56700</v>
      </c>
      <c r="N8375" s="27">
        <v>0.68500000000000005</v>
      </c>
    </row>
    <row r="8376" spans="1:14" hidden="1" outlineLevel="1" x14ac:dyDescent="0.2">
      <c r="A8376" s="23" t="str">
        <f>HYPERLINK("https://www.spark-marketing.ru/Card/Person/68129", "БУ ""ПЕРВАЯ ЧЕБОКСАРСКАЯ ГБ ИМ. П.Н. ОСИПОВА"" МИНЗДРАВА ЧУВАШИИ")</f>
        <v>БУ "ПЕРВАЯ ЧЕБОКСАРСКАЯ ГБ ИМ. П.Н. ОСИПОВА" МИНЗДРАВА ЧУВАШИИ</v>
      </c>
      <c r="B8376" s="24" t="s">
        <v>10641</v>
      </c>
      <c r="C8376" s="25">
        <v>180000</v>
      </c>
      <c r="D8376" s="22" t="s">
        <v>10642</v>
      </c>
      <c r="E8376" s="22" t="s">
        <v>218</v>
      </c>
      <c r="F8376" s="23" t="str">
        <f>HYPERLINK("https://www.spark-marketing.ru/Card/Lot/70382053", "оказание услуг охраны объектов БУ «Первая Чебоксарская ГБ им. П.Н. Осипова» Минздрава Чувашии, оборудованных действующим комплексом технических средств охраны при помощи пульта централизованного наблюдения")</f>
        <v>оказание услуг охраны объектов БУ «Первая Чебоксарская ГБ им. П.Н. Осипова» Минздрава Чувашии, оборудованных действующим комплексом технических средств охраны при помощи пульта централизованного наблюдения</v>
      </c>
      <c r="G8376" s="22" t="s">
        <v>1137</v>
      </c>
      <c r="H8376" s="22" t="s">
        <v>1137</v>
      </c>
      <c r="I8376" s="26">
        <v>43593.596527777801</v>
      </c>
      <c r="J8376" s="23" t="str">
        <f>HYPERLINK("https://www.spark-marketing.ru/Card/Person/1969531", "ООО ""ЧОО ""ДЕЛЬТА""")</f>
        <v>ООО "ЧОО "ДЕЛЬТА"</v>
      </c>
      <c r="K8376" s="24" t="s">
        <v>10643</v>
      </c>
      <c r="L8376" s="28" t="s">
        <v>52</v>
      </c>
      <c r="M8376" s="25">
        <v>57600</v>
      </c>
      <c r="N8376" s="27">
        <v>0.68</v>
      </c>
    </row>
    <row r="8377" spans="1:14" x14ac:dyDescent="0.15">
      <c r="A8377" s="23" t="str">
        <f>HYPERLINK("https://www.spark-marketing.ru/Card/Person/14859", "ИФНС РОССИИ ПО ОКТЯБРЬСКОМУ РАЙОНУ Г. ВЛАДИМИРА")</f>
        <v>ИФНС РОССИИ ПО ОКТЯБРЬСКОМУ РАЙОНУ Г. ВЛАДИМИРА</v>
      </c>
      <c r="B8377" s="24" t="s">
        <v>5381</v>
      </c>
      <c r="C8377" s="25">
        <v>17334.72</v>
      </c>
      <c r="D8377" s="22" t="s">
        <v>10644</v>
      </c>
      <c r="E8377" s="22" t="s">
        <v>84</v>
      </c>
      <c r="F8377" s="23" t="str">
        <f>HYPERLINK("https://www.spark-marketing.ru/Card/Lot/70377666", "Монтаж, установка, сборка систем охранного видеонаблюдения, 1 шт")</f>
        <v>Монтаж, установка, сборка систем охранного видеонаблюдения, 1 шт</v>
      </c>
      <c r="G8377" s="22" t="s">
        <v>145</v>
      </c>
      <c r="H8377" s="22" t="s">
        <v>146</v>
      </c>
      <c r="I8377" s="26">
        <v>43593.584641203699</v>
      </c>
      <c r="J8377" s="28" t="s">
        <v>52</v>
      </c>
      <c r="K8377" s="28" t="s">
        <v>52</v>
      </c>
      <c r="L8377" s="28" t="s">
        <v>52</v>
      </c>
      <c r="M8377" s="28" t="s">
        <v>52</v>
      </c>
      <c r="N8377" s="28" t="s">
        <v>52</v>
      </c>
    </row>
    <row r="8378" spans="1:14" x14ac:dyDescent="0.15">
      <c r="A8378" s="23" t="str">
        <f>HYPERLINK("https://www.spark-marketing.ru/Card/Person/2229876", "ОАО ""СЕВЕРНЕФТЕГАЗПРОМ""")</f>
        <v>ОАО "СЕВЕРНЕФТЕГАЗПРОМ"</v>
      </c>
      <c r="B8378" s="24" t="s">
        <v>3140</v>
      </c>
      <c r="C8378" s="25">
        <v>147498084</v>
      </c>
      <c r="D8378" s="22" t="s">
        <v>10645</v>
      </c>
      <c r="E8378" s="22" t="s">
        <v>79</v>
      </c>
      <c r="F8378" s="23" t="str">
        <f>HYPERLINK("https://www.spark-marketing.ru/Card/Lot/70380530", "Дооборудование комплексом инженерно-технических средств охраны объектов ОАО ""Севернефтегазпром""")</f>
        <v>Дооборудование комплексом инженерно-технических средств охраны объектов ОАО "Севернефтегазпром"</v>
      </c>
      <c r="G8378" s="22" t="s">
        <v>311</v>
      </c>
      <c r="H8378" s="22" t="s">
        <v>3143</v>
      </c>
      <c r="I8378" s="26">
        <v>43593.6159722222</v>
      </c>
      <c r="J8378" s="28" t="s">
        <v>52</v>
      </c>
      <c r="K8378" s="28" t="s">
        <v>52</v>
      </c>
      <c r="L8378" s="28" t="s">
        <v>52</v>
      </c>
      <c r="M8378" s="28" t="s">
        <v>52</v>
      </c>
      <c r="N8378" s="28" t="s">
        <v>52</v>
      </c>
    </row>
    <row r="8379" spans="1:14" x14ac:dyDescent="0.15">
      <c r="A8379" s="23" t="str">
        <f>HYPERLINK("https://www.spark-marketing.ru/Card/Person/32736", "МКУ ""ЭЛЕКТРОННЫЙ КРАСНОДАР""")</f>
        <v>МКУ "ЭЛЕКТРОННЫЙ КРАСНОДАР"</v>
      </c>
      <c r="B8379" s="24" t="s">
        <v>9069</v>
      </c>
      <c r="C8379" s="25">
        <v>411211.01</v>
      </c>
      <c r="D8379" s="22" t="s">
        <v>10646</v>
      </c>
      <c r="E8379" s="22" t="s">
        <v>2623</v>
      </c>
      <c r="F8379" s="23" t="str">
        <f>HYPERLINK("https://www.spark-marketing.ru/Card/Lot/70381240", "Оказание услуг по техническому обслуживанию видеоконференцсвязи")</f>
        <v>Оказание услуг по техническому обслуживанию видеоконференцсвязи</v>
      </c>
      <c r="G8379" s="22" t="s">
        <v>132</v>
      </c>
      <c r="H8379" s="22" t="s">
        <v>652</v>
      </c>
      <c r="I8379" s="26">
        <v>43593.587500000001</v>
      </c>
      <c r="J8379" s="28" t="s">
        <v>52</v>
      </c>
      <c r="K8379" s="28" t="s">
        <v>52</v>
      </c>
      <c r="L8379" s="28" t="s">
        <v>52</v>
      </c>
      <c r="M8379" s="28" t="s">
        <v>52</v>
      </c>
      <c r="N8379" s="28" t="s">
        <v>52</v>
      </c>
    </row>
    <row r="8380" spans="1:14" x14ac:dyDescent="0.15">
      <c r="A8380" s="23" t="str">
        <f t="shared" ref="A8380:A8385" si="366">HYPERLINK("https://www.spark-marketing.ru/Card/Person/488932", "ГБПОУ АО ""ПЛЕСЕЦКИЙ ТОРГОВО-ПРОМЫШЛЕННЫЙ ТЕХНИКУМ""")</f>
        <v>ГБПОУ АО "ПЛЕСЕЦКИЙ ТОРГОВО-ПРОМЫШЛЕННЫЙ ТЕХНИКУМ"</v>
      </c>
      <c r="B8380" s="24" t="s">
        <v>10647</v>
      </c>
      <c r="C8380" s="25">
        <v>150000</v>
      </c>
      <c r="D8380" s="22" t="s">
        <v>10648</v>
      </c>
      <c r="E8380" s="22" t="s">
        <v>84</v>
      </c>
      <c r="F8380" s="23" t="str">
        <f t="shared" ref="F8380:F8385" si="367">HYPERLINK("https://www.spark-marketing.ru/Card/Lot/70382660", "Установка системы видеонаблюдения")</f>
        <v>Установка системы видеонаблюдения</v>
      </c>
      <c r="G8380" s="22" t="s">
        <v>674</v>
      </c>
      <c r="H8380" s="22" t="s">
        <v>10649</v>
      </c>
      <c r="I8380" s="26">
        <v>43593.585416666698</v>
      </c>
      <c r="J8380" s="28" t="s">
        <v>52</v>
      </c>
      <c r="K8380" s="28" t="s">
        <v>52</v>
      </c>
      <c r="L8380" s="28" t="s">
        <v>52</v>
      </c>
      <c r="M8380" s="28" t="s">
        <v>52</v>
      </c>
      <c r="N8380" s="28" t="s">
        <v>52</v>
      </c>
    </row>
    <row r="8381" spans="1:14" ht="12.75" hidden="1" outlineLevel="1" x14ac:dyDescent="0.2">
      <c r="A8381" s="23" t="str">
        <f t="shared" si="366"/>
        <v>ГБПОУ АО "ПЛЕСЕЦКИЙ ТОРГОВО-ПРОМЫШЛЕННЫЙ ТЕХНИКУМ"</v>
      </c>
      <c r="B8381" s="24" t="s">
        <v>10647</v>
      </c>
      <c r="C8381" s="25">
        <v>150000</v>
      </c>
      <c r="D8381" s="22" t="s">
        <v>10648</v>
      </c>
      <c r="E8381" s="22" t="s">
        <v>84</v>
      </c>
      <c r="F8381" s="23" t="str">
        <f t="shared" si="367"/>
        <v>Установка системы видеонаблюдения</v>
      </c>
      <c r="G8381" s="22" t="s">
        <v>674</v>
      </c>
      <c r="H8381" s="22" t="s">
        <v>10649</v>
      </c>
      <c r="I8381" s="26">
        <v>43593.585416666698</v>
      </c>
      <c r="J8381" s="23" t="str">
        <f>HYPERLINK("https://www.spark-marketing.ru/Card/Person/493221", "Горбунов Сергей Олегович")</f>
        <v>Горбунов Сергей Олегович</v>
      </c>
      <c r="K8381" s="24" t="s">
        <v>10650</v>
      </c>
      <c r="L8381" s="22" t="s">
        <v>10</v>
      </c>
      <c r="M8381" s="25">
        <v>109000</v>
      </c>
      <c r="N8381" s="27">
        <v>0.27333333333333332</v>
      </c>
    </row>
    <row r="8382" spans="1:14" hidden="1" outlineLevel="1" x14ac:dyDescent="0.2">
      <c r="A8382" s="23" t="str">
        <f t="shared" si="366"/>
        <v>ГБПОУ АО "ПЛЕСЕЦКИЙ ТОРГОВО-ПРОМЫШЛЕННЫЙ ТЕХНИКУМ"</v>
      </c>
      <c r="B8382" s="24" t="s">
        <v>10647</v>
      </c>
      <c r="C8382" s="25">
        <v>150000</v>
      </c>
      <c r="D8382" s="22" t="s">
        <v>10648</v>
      </c>
      <c r="E8382" s="22" t="s">
        <v>84</v>
      </c>
      <c r="F8382" s="23" t="str">
        <f t="shared" si="367"/>
        <v>Установка системы видеонаблюдения</v>
      </c>
      <c r="G8382" s="22" t="s">
        <v>674</v>
      </c>
      <c r="H8382" s="22" t="s">
        <v>10649</v>
      </c>
      <c r="I8382" s="26">
        <v>43593.585416666698</v>
      </c>
      <c r="J8382" s="23" t="str">
        <f>HYPERLINK("https://www.spark-marketing.ru/Card/Person/1222105", "ООО ""ПОЖИНТЕХ""")</f>
        <v>ООО "ПОЖИНТЕХ"</v>
      </c>
      <c r="K8382" s="24" t="s">
        <v>10651</v>
      </c>
      <c r="L8382" s="28" t="s">
        <v>52</v>
      </c>
      <c r="M8382" s="25">
        <v>120000</v>
      </c>
      <c r="N8382" s="27">
        <v>0.2</v>
      </c>
    </row>
    <row r="8383" spans="1:14" hidden="1" outlineLevel="1" x14ac:dyDescent="0.2">
      <c r="A8383" s="23" t="str">
        <f t="shared" si="366"/>
        <v>ГБПОУ АО "ПЛЕСЕЦКИЙ ТОРГОВО-ПРОМЫШЛЕННЫЙ ТЕХНИКУМ"</v>
      </c>
      <c r="B8383" s="24" t="s">
        <v>10647</v>
      </c>
      <c r="C8383" s="25">
        <v>150000</v>
      </c>
      <c r="D8383" s="22" t="s">
        <v>10648</v>
      </c>
      <c r="E8383" s="22" t="s">
        <v>84</v>
      </c>
      <c r="F8383" s="23" t="str">
        <f t="shared" si="367"/>
        <v>Установка системы видеонаблюдения</v>
      </c>
      <c r="G8383" s="22" t="s">
        <v>674</v>
      </c>
      <c r="H8383" s="22" t="s">
        <v>10649</v>
      </c>
      <c r="I8383" s="26">
        <v>43593.585416666698</v>
      </c>
      <c r="J8383" s="23" t="str">
        <f>HYPERLINK("https://www.spark-marketing.ru/Card/Person/1220141", "ООО ""ИНЖЕНЕРНЫЙ ЦЕНТР БАСТИОН""")</f>
        <v>ООО "ИНЖЕНЕРНЫЙ ЦЕНТР БАСТИОН"</v>
      </c>
      <c r="K8383" s="24" t="s">
        <v>10652</v>
      </c>
      <c r="L8383" s="28" t="s">
        <v>52</v>
      </c>
      <c r="M8383" s="25">
        <v>125000</v>
      </c>
      <c r="N8383" s="27">
        <v>0.16666666666666666</v>
      </c>
    </row>
    <row r="8384" spans="1:14" hidden="1" outlineLevel="1" x14ac:dyDescent="0.2">
      <c r="A8384" s="23" t="str">
        <f t="shared" si="366"/>
        <v>ГБПОУ АО "ПЛЕСЕЦКИЙ ТОРГОВО-ПРОМЫШЛЕННЫЙ ТЕХНИКУМ"</v>
      </c>
      <c r="B8384" s="24" t="s">
        <v>10647</v>
      </c>
      <c r="C8384" s="25">
        <v>150000</v>
      </c>
      <c r="D8384" s="22" t="s">
        <v>10648</v>
      </c>
      <c r="E8384" s="22" t="s">
        <v>84</v>
      </c>
      <c r="F8384" s="23" t="str">
        <f t="shared" si="367"/>
        <v>Установка системы видеонаблюдения</v>
      </c>
      <c r="G8384" s="22" t="s">
        <v>674</v>
      </c>
      <c r="H8384" s="22" t="s">
        <v>10649</v>
      </c>
      <c r="I8384" s="26">
        <v>43593.585416666698</v>
      </c>
      <c r="J8384" s="23" t="str">
        <f>HYPERLINK("https://www.spark-marketing.ru/Card/Person/4338753", "ООО ""ЭЛВИКОМ-СЕРВИС""")</f>
        <v>ООО "ЭЛВИКОМ-СЕРВИС"</v>
      </c>
      <c r="K8384" s="24" t="s">
        <v>9347</v>
      </c>
      <c r="L8384" s="28" t="s">
        <v>52</v>
      </c>
      <c r="M8384" s="25">
        <v>125000</v>
      </c>
      <c r="N8384" s="27">
        <v>0.16666666666666666</v>
      </c>
    </row>
    <row r="8385" spans="1:14" hidden="1" outlineLevel="1" x14ac:dyDescent="0.2">
      <c r="A8385" s="23" t="str">
        <f t="shared" si="366"/>
        <v>ГБПОУ АО "ПЛЕСЕЦКИЙ ТОРГОВО-ПРОМЫШЛЕННЫЙ ТЕХНИКУМ"</v>
      </c>
      <c r="B8385" s="24" t="s">
        <v>10647</v>
      </c>
      <c r="C8385" s="25">
        <v>150000</v>
      </c>
      <c r="D8385" s="22" t="s">
        <v>10648</v>
      </c>
      <c r="E8385" s="22" t="s">
        <v>84</v>
      </c>
      <c r="F8385" s="23" t="str">
        <f t="shared" si="367"/>
        <v>Установка системы видеонаблюдения</v>
      </c>
      <c r="G8385" s="22" t="s">
        <v>674</v>
      </c>
      <c r="H8385" s="22" t="s">
        <v>10649</v>
      </c>
      <c r="I8385" s="26">
        <v>43593.585416666698</v>
      </c>
      <c r="J8385" s="23" t="str">
        <f>HYPERLINK("https://www.spark-marketing.ru/Card/Person/490835", "ООО ""СЭМ""")</f>
        <v>ООО "СЭМ"</v>
      </c>
      <c r="K8385" s="24" t="s">
        <v>10653</v>
      </c>
      <c r="L8385" s="28" t="s">
        <v>52</v>
      </c>
      <c r="M8385" s="25">
        <v>145000</v>
      </c>
      <c r="N8385" s="27">
        <v>3.3333333333333333E-2</v>
      </c>
    </row>
    <row r="8386" spans="1:14" x14ac:dyDescent="0.15">
      <c r="A8386" s="23" t="str">
        <f>HYPERLINK("https://www.spark-marketing.ru/Card/Person/128806", "МБОУ ""ВЕСЁЛОВСКАЯ СОШ № 1""")</f>
        <v>МБОУ "ВЕСЁЛОВСКАЯ СОШ № 1"</v>
      </c>
      <c r="B8386" s="24" t="s">
        <v>10654</v>
      </c>
      <c r="C8386" s="25">
        <v>44640</v>
      </c>
      <c r="D8386" s="22" t="s">
        <v>10655</v>
      </c>
      <c r="E8386" s="22" t="s">
        <v>59</v>
      </c>
      <c r="F8386" s="23" t="str">
        <f>HYPERLINK("https://www.spark-marketing.ru/Card/Lot/70379224", "Установка системы видеонаблюдения   МБОУ «Веселовская  СОШ № 1» (дошкольная группа).")</f>
        <v>Установка системы видеонаблюдения   МБОУ «Веселовская  СОШ № 1» (дошкольная группа).</v>
      </c>
      <c r="G8386" s="22" t="s">
        <v>384</v>
      </c>
      <c r="H8386" s="22" t="s">
        <v>384</v>
      </c>
      <c r="I8386" s="26">
        <v>43593.604166666701</v>
      </c>
      <c r="J8386" s="23" t="str">
        <f>HYPERLINK("https://www.spark-marketing.ru/Card/Person/418017", "Кожемякин Григорий Валерьевич")</f>
        <v>Кожемякин Григорий Валерьевич</v>
      </c>
      <c r="K8386" s="24" t="s">
        <v>3982</v>
      </c>
      <c r="L8386" s="28" t="s">
        <v>52</v>
      </c>
      <c r="M8386" s="28" t="s">
        <v>52</v>
      </c>
      <c r="N8386" s="28" t="s">
        <v>52</v>
      </c>
    </row>
    <row r="8387" spans="1:14" ht="12.75" hidden="1" outlineLevel="1" x14ac:dyDescent="0.2">
      <c r="A8387" s="23" t="str">
        <f>HYPERLINK("https://www.spark-marketing.ru/Card/Person/128806", "МБОУ ""ВЕСЁЛОВСКАЯ СОШ № 1""")</f>
        <v>МБОУ "ВЕСЁЛОВСКАЯ СОШ № 1"</v>
      </c>
      <c r="B8387" s="24" t="s">
        <v>10654</v>
      </c>
      <c r="C8387" s="25">
        <v>44640</v>
      </c>
      <c r="D8387" s="22" t="s">
        <v>10655</v>
      </c>
      <c r="E8387" s="22" t="s">
        <v>59</v>
      </c>
      <c r="F8387" s="23" t="str">
        <f>HYPERLINK("https://www.spark-marketing.ru/Card/Lot/70379224", "Установка системы видеонаблюдения   МБОУ «Веселовская  СОШ № 1» (дошкольная группа).")</f>
        <v>Установка системы видеонаблюдения   МБОУ «Веселовская  СОШ № 1» (дошкольная группа).</v>
      </c>
      <c r="G8387" s="22" t="s">
        <v>384</v>
      </c>
      <c r="H8387" s="22" t="s">
        <v>384</v>
      </c>
      <c r="I8387" s="26">
        <v>43593.604166666701</v>
      </c>
      <c r="J8387" s="23" t="str">
        <f>HYPERLINK("https://www.spark-marketing.ru/Card/Person/418017", "Кожемякин Григорий Валерьевич")</f>
        <v>Кожемякин Григорий Валерьевич</v>
      </c>
      <c r="K8387" s="24" t="s">
        <v>3982</v>
      </c>
      <c r="L8387" s="22" t="s">
        <v>10</v>
      </c>
      <c r="M8387" s="25">
        <v>44416.800000000003</v>
      </c>
      <c r="N8387" s="27">
        <v>5.0000000000000001E-3</v>
      </c>
    </row>
    <row r="8388" spans="1:14" x14ac:dyDescent="0.15">
      <c r="A8388" s="23" t="str">
        <f>HYPERLINK("https://www.spark-marketing.ru/Card/Person/4349347", "МУ ""СЛУЖБА ТРАНСПОРТА""")</f>
        <v>МУ "СЛУЖБА ТРАНСПОРТА"</v>
      </c>
      <c r="B8388" s="24" t="s">
        <v>4900</v>
      </c>
      <c r="C8388" s="25">
        <v>1494576</v>
      </c>
      <c r="D8388" s="22" t="s">
        <v>10656</v>
      </c>
      <c r="E8388" s="22" t="s">
        <v>52</v>
      </c>
      <c r="F8388" s="23" t="str">
        <f>HYPERLINK("https://www.spark-marketing.ru/Card/Lot/70382666", "оказание услуг по круглосуточной физической охране зданий, помещений, обеспечение жизни и здоровья находящегося на объекте персонала (сотрудников) и посетителей в Административных зданиях")</f>
        <v>оказание услуг по круглосуточной физической охране зданий, помещений, обеспечение жизни и здоровья находящегося на объекте персонала (сотрудников) и посетителей в Административных зданиях</v>
      </c>
      <c r="G8388" s="22" t="s">
        <v>155</v>
      </c>
      <c r="H8388" s="22" t="s">
        <v>10657</v>
      </c>
      <c r="I8388" s="26">
        <v>43593.59375</v>
      </c>
      <c r="J8388" s="23" t="str">
        <f>HYPERLINK("https://www.spark-marketing.ru/Card/Person/872820", "ООО ЧОП ""АРГУС С""")</f>
        <v>ООО ЧОП "АРГУС С"</v>
      </c>
      <c r="K8388" s="24" t="s">
        <v>4904</v>
      </c>
      <c r="L8388" s="22" t="s">
        <v>10</v>
      </c>
      <c r="M8388" s="28" t="s">
        <v>52</v>
      </c>
      <c r="N8388" s="28" t="s">
        <v>52</v>
      </c>
    </row>
    <row r="8389" spans="1:14" x14ac:dyDescent="0.15">
      <c r="A8389" s="23" t="str">
        <f>HYPERLINK("https://www.spark-marketing.ru/Card/Person/1753552", "АО ""НПК ""КБМ""")</f>
        <v>АО "НПК "КБМ"</v>
      </c>
      <c r="B8389" s="24" t="s">
        <v>8691</v>
      </c>
      <c r="C8389" s="25">
        <v>1960394.84</v>
      </c>
      <c r="D8389" s="22" t="s">
        <v>10658</v>
      </c>
      <c r="E8389" s="22" t="s">
        <v>5061</v>
      </c>
      <c r="F8389" s="23" t="str">
        <f>HYPERLINK("https://www.spark-marketing.ru/Card/Lot/70381823", "0204-2019-00370 Выполнение работ по установке шлагбаума, системы видеонаблюдения и противотаранного блокиратора на объекте №6")</f>
        <v>0204-2019-00370 Выполнение работ по установке шлагбаума, системы видеонаблюдения и противотаранного блокиратора на объекте №6</v>
      </c>
      <c r="G8389" s="22" t="s">
        <v>50</v>
      </c>
      <c r="H8389" s="22" t="s">
        <v>682</v>
      </c>
      <c r="I8389" s="26">
        <v>43593.624664351897</v>
      </c>
      <c r="J8389" s="28" t="s">
        <v>52</v>
      </c>
      <c r="K8389" s="28" t="s">
        <v>52</v>
      </c>
      <c r="L8389" s="28" t="s">
        <v>52</v>
      </c>
      <c r="M8389" s="28" t="s">
        <v>52</v>
      </c>
      <c r="N8389" s="28" t="s">
        <v>52</v>
      </c>
    </row>
    <row r="8390" spans="1:14" x14ac:dyDescent="0.15">
      <c r="A8390" s="23" t="str">
        <f>HYPERLINK("https://www.spark-marketing.ru/Card/Person/4352851", "МБОУ ""САГАРЧИНСКАЯ СОШ""")</f>
        <v>МБОУ "САГАРЧИНСКАЯ СОШ"</v>
      </c>
      <c r="B8390" s="24" t="s">
        <v>10659</v>
      </c>
      <c r="C8390" s="25">
        <v>41410</v>
      </c>
      <c r="D8390" s="22" t="s">
        <v>10660</v>
      </c>
      <c r="E8390" s="22" t="s">
        <v>59</v>
      </c>
      <c r="F8390" s="23" t="str">
        <f>HYPERLINK("https://www.spark-marketing.ru/Card/Lot/70379245", "Установка системы видеонаблюдения в филиале муниципального бюджетного общеобразовательного учреждения «Сагарчинская средняя школа Акбулакского района Оренбургской области» в с. Тамдысай.")</f>
        <v>Установка системы видеонаблюдения в филиале муниципального бюджетного общеобразовательного учреждения «Сагарчинская средняя школа Акбулакского района Оренбургской области» в с. Тамдысай.</v>
      </c>
      <c r="G8390" s="22" t="s">
        <v>384</v>
      </c>
      <c r="H8390" s="22" t="s">
        <v>384</v>
      </c>
      <c r="I8390" s="26">
        <v>43593.604166666701</v>
      </c>
      <c r="J8390" s="23" t="str">
        <f t="shared" ref="J8390:J8397" si="368">HYPERLINK("https://www.spark-marketing.ru/Card/Person/418017", "Кожемякин Григорий Валерьевич")</f>
        <v>Кожемякин Григорий Валерьевич</v>
      </c>
      <c r="K8390" s="24" t="s">
        <v>3982</v>
      </c>
      <c r="L8390" s="28" t="s">
        <v>52</v>
      </c>
      <c r="M8390" s="28" t="s">
        <v>52</v>
      </c>
      <c r="N8390" s="28" t="s">
        <v>52</v>
      </c>
    </row>
    <row r="8391" spans="1:14" ht="12.75" hidden="1" outlineLevel="1" x14ac:dyDescent="0.2">
      <c r="A8391" s="23" t="str">
        <f>HYPERLINK("https://www.spark-marketing.ru/Card/Person/4352851", "МБОУ ""САГАРЧИНСКАЯ СОШ""")</f>
        <v>МБОУ "САГАРЧИНСКАЯ СОШ"</v>
      </c>
      <c r="B8391" s="24" t="s">
        <v>10659</v>
      </c>
      <c r="C8391" s="25">
        <v>41410</v>
      </c>
      <c r="D8391" s="22" t="s">
        <v>10660</v>
      </c>
      <c r="E8391" s="22" t="s">
        <v>59</v>
      </c>
      <c r="F8391" s="23" t="str">
        <f>HYPERLINK("https://www.spark-marketing.ru/Card/Lot/70379245", "Установка системы видеонаблюдения в филиале муниципального бюджетного общеобразовательного учреждения «Сагарчинская средняя школа Акбулакского района Оренбургской области» в с. Тамдысай.")</f>
        <v>Установка системы видеонаблюдения в филиале муниципального бюджетного общеобразовательного учреждения «Сагарчинская средняя школа Акбулакского района Оренбургской области» в с. Тамдысай.</v>
      </c>
      <c r="G8391" s="22" t="s">
        <v>384</v>
      </c>
      <c r="H8391" s="22" t="s">
        <v>384</v>
      </c>
      <c r="I8391" s="26">
        <v>43593.604166666701</v>
      </c>
      <c r="J8391" s="23" t="str">
        <f t="shared" si="368"/>
        <v>Кожемякин Григорий Валерьевич</v>
      </c>
      <c r="K8391" s="24" t="s">
        <v>3982</v>
      </c>
      <c r="L8391" s="22" t="s">
        <v>10</v>
      </c>
      <c r="M8391" s="25">
        <v>41202.949999999997</v>
      </c>
      <c r="N8391" s="27">
        <v>5.0000000000000001E-3</v>
      </c>
    </row>
    <row r="8392" spans="1:14" x14ac:dyDescent="0.15">
      <c r="A8392" s="23" t="str">
        <f>HYPERLINK("https://www.spark-marketing.ru/Card/Person/139201", "МБОУ ""НОВОУСПЕНОВСКАЯ СОШ""")</f>
        <v>МБОУ "НОВОУСПЕНОВСКАЯ СОШ"</v>
      </c>
      <c r="B8392" s="24" t="s">
        <v>10661</v>
      </c>
      <c r="C8392" s="25">
        <v>36180</v>
      </c>
      <c r="D8392" s="22" t="s">
        <v>10662</v>
      </c>
      <c r="E8392" s="22" t="s">
        <v>59</v>
      </c>
      <c r="F8392" s="23" t="str">
        <f>HYPERLINK("https://www.spark-marketing.ru/Card/Lot/70373718", "Установка системы видеонаблюдения   МБОУ «Новоуспеновская  СОШ» (дошкольная группа).")</f>
        <v>Установка системы видеонаблюдения   МБОУ «Новоуспеновская  СОШ» (дошкольная группа).</v>
      </c>
      <c r="G8392" s="22" t="s">
        <v>384</v>
      </c>
      <c r="H8392" s="22" t="s">
        <v>384</v>
      </c>
      <c r="I8392" s="26">
        <v>43593.552777777797</v>
      </c>
      <c r="J8392" s="23" t="str">
        <f t="shared" si="368"/>
        <v>Кожемякин Григорий Валерьевич</v>
      </c>
      <c r="K8392" s="24" t="s">
        <v>3982</v>
      </c>
      <c r="L8392" s="28" t="s">
        <v>52</v>
      </c>
      <c r="M8392" s="28" t="s">
        <v>52</v>
      </c>
      <c r="N8392" s="28" t="s">
        <v>52</v>
      </c>
    </row>
    <row r="8393" spans="1:14" ht="12.75" hidden="1" outlineLevel="1" x14ac:dyDescent="0.2">
      <c r="A8393" s="23" t="str">
        <f>HYPERLINK("https://www.spark-marketing.ru/Card/Person/139201", "МБОУ ""НОВОУСПЕНОВСКАЯ СОШ""")</f>
        <v>МБОУ "НОВОУСПЕНОВСКАЯ СОШ"</v>
      </c>
      <c r="B8393" s="24" t="s">
        <v>10661</v>
      </c>
      <c r="C8393" s="25">
        <v>36180</v>
      </c>
      <c r="D8393" s="22" t="s">
        <v>10662</v>
      </c>
      <c r="E8393" s="22" t="s">
        <v>59</v>
      </c>
      <c r="F8393" s="23" t="str">
        <f>HYPERLINK("https://www.spark-marketing.ru/Card/Lot/70373718", "Установка системы видеонаблюдения   МБОУ «Новоуспеновская  СОШ» (дошкольная группа).")</f>
        <v>Установка системы видеонаблюдения   МБОУ «Новоуспеновская  СОШ» (дошкольная группа).</v>
      </c>
      <c r="G8393" s="22" t="s">
        <v>384</v>
      </c>
      <c r="H8393" s="22" t="s">
        <v>384</v>
      </c>
      <c r="I8393" s="26">
        <v>43593.552777777797</v>
      </c>
      <c r="J8393" s="23" t="str">
        <f t="shared" si="368"/>
        <v>Кожемякин Григорий Валерьевич</v>
      </c>
      <c r="K8393" s="24" t="s">
        <v>3982</v>
      </c>
      <c r="L8393" s="22" t="s">
        <v>10</v>
      </c>
      <c r="M8393" s="25">
        <v>35999.1</v>
      </c>
      <c r="N8393" s="27">
        <v>5.0000000000000001E-3</v>
      </c>
    </row>
    <row r="8394" spans="1:14" x14ac:dyDescent="0.15">
      <c r="A8394" s="23" t="str">
        <f>HYPERLINK("https://www.spark-marketing.ru/Card/Person/4352845", "МБОУ ""НОВОПАВЛОВСКАЯ СОШ""")</f>
        <v>МБОУ "НОВОПАВЛОВСКАЯ СОШ"</v>
      </c>
      <c r="B8394" s="24" t="s">
        <v>10663</v>
      </c>
      <c r="C8394" s="25">
        <v>57470</v>
      </c>
      <c r="D8394" s="22" t="s">
        <v>10664</v>
      </c>
      <c r="E8394" s="22" t="s">
        <v>59</v>
      </c>
      <c r="F8394" s="23" t="str">
        <f>HYPERLINK("https://www.spark-marketing.ru/Card/Lot/70375440", "Установка системы видеонаблюдения   МБОУ «Новопавловская  СОШ» (дошкольная группа).")</f>
        <v>Установка системы видеонаблюдения   МБОУ «Новопавловская  СОШ» (дошкольная группа).</v>
      </c>
      <c r="G8394" s="22" t="s">
        <v>384</v>
      </c>
      <c r="H8394" s="22" t="s">
        <v>384</v>
      </c>
      <c r="I8394" s="26">
        <v>43593.552083333299</v>
      </c>
      <c r="J8394" s="23" t="str">
        <f t="shared" si="368"/>
        <v>Кожемякин Григорий Валерьевич</v>
      </c>
      <c r="K8394" s="24" t="s">
        <v>3982</v>
      </c>
      <c r="L8394" s="28" t="s">
        <v>52</v>
      </c>
      <c r="M8394" s="28" t="s">
        <v>52</v>
      </c>
      <c r="N8394" s="28" t="s">
        <v>52</v>
      </c>
    </row>
    <row r="8395" spans="1:14" ht="12.75" hidden="1" outlineLevel="1" x14ac:dyDescent="0.2">
      <c r="A8395" s="23" t="str">
        <f>HYPERLINK("https://www.spark-marketing.ru/Card/Person/4352845", "МБОУ ""НОВОПАВЛОВСКАЯ СОШ""")</f>
        <v>МБОУ "НОВОПАВЛОВСКАЯ СОШ"</v>
      </c>
      <c r="B8395" s="24" t="s">
        <v>10663</v>
      </c>
      <c r="C8395" s="25">
        <v>57470</v>
      </c>
      <c r="D8395" s="22" t="s">
        <v>10664</v>
      </c>
      <c r="E8395" s="22" t="s">
        <v>59</v>
      </c>
      <c r="F8395" s="23" t="str">
        <f>HYPERLINK("https://www.spark-marketing.ru/Card/Lot/70375440", "Установка системы видеонаблюдения   МБОУ «Новопавловская  СОШ» (дошкольная группа).")</f>
        <v>Установка системы видеонаблюдения   МБОУ «Новопавловская  СОШ» (дошкольная группа).</v>
      </c>
      <c r="G8395" s="22" t="s">
        <v>384</v>
      </c>
      <c r="H8395" s="22" t="s">
        <v>384</v>
      </c>
      <c r="I8395" s="26">
        <v>43593.552083333299</v>
      </c>
      <c r="J8395" s="23" t="str">
        <f t="shared" si="368"/>
        <v>Кожемякин Григорий Валерьевич</v>
      </c>
      <c r="K8395" s="24" t="s">
        <v>3982</v>
      </c>
      <c r="L8395" s="22" t="s">
        <v>10</v>
      </c>
      <c r="M8395" s="25">
        <v>57182.65</v>
      </c>
      <c r="N8395" s="27">
        <v>5.0000000000000001E-3</v>
      </c>
    </row>
    <row r="8396" spans="1:14" x14ac:dyDescent="0.15">
      <c r="A8396" s="23" t="str">
        <f>HYPERLINK("https://www.spark-marketing.ru/Card/Person/4699370", "МБОУ ""КАЙРАКТЫНСКАЯ СОШ""")</f>
        <v>МБОУ "КАЙРАКТЫНСКАЯ СОШ"</v>
      </c>
      <c r="B8396" s="24" t="s">
        <v>10665</v>
      </c>
      <c r="C8396" s="25">
        <v>44640</v>
      </c>
      <c r="D8396" s="22" t="s">
        <v>10666</v>
      </c>
      <c r="E8396" s="22" t="s">
        <v>59</v>
      </c>
      <c r="F8396" s="23" t="str">
        <f>HYPERLINK("https://www.spark-marketing.ru/Card/Lot/70373688", "Установка системы видеонаблюдения   МБОУ «Кайрактынская  СОШ» (дошкольная группа).")</f>
        <v>Установка системы видеонаблюдения   МБОУ «Кайрактынская  СОШ» (дошкольная группа).</v>
      </c>
      <c r="G8396" s="22" t="s">
        <v>384</v>
      </c>
      <c r="H8396" s="22" t="s">
        <v>384</v>
      </c>
      <c r="I8396" s="26">
        <v>43593.552777777797</v>
      </c>
      <c r="J8396" s="23" t="str">
        <f t="shared" si="368"/>
        <v>Кожемякин Григорий Валерьевич</v>
      </c>
      <c r="K8396" s="24" t="s">
        <v>3982</v>
      </c>
      <c r="L8396" s="28" t="s">
        <v>52</v>
      </c>
      <c r="M8396" s="28" t="s">
        <v>52</v>
      </c>
      <c r="N8396" s="28" t="s">
        <v>52</v>
      </c>
    </row>
    <row r="8397" spans="1:14" ht="12.75" hidden="1" outlineLevel="1" x14ac:dyDescent="0.2">
      <c r="A8397" s="23" t="str">
        <f>HYPERLINK("https://www.spark-marketing.ru/Card/Person/4699370", "МБОУ ""КАЙРАКТЫНСКАЯ СОШ""")</f>
        <v>МБОУ "КАЙРАКТЫНСКАЯ СОШ"</v>
      </c>
      <c r="B8397" s="24" t="s">
        <v>10665</v>
      </c>
      <c r="C8397" s="25">
        <v>44640</v>
      </c>
      <c r="D8397" s="22" t="s">
        <v>10666</v>
      </c>
      <c r="E8397" s="22" t="s">
        <v>59</v>
      </c>
      <c r="F8397" s="23" t="str">
        <f>HYPERLINK("https://www.spark-marketing.ru/Card/Lot/70373688", "Установка системы видеонаблюдения   МБОУ «Кайрактынская  СОШ» (дошкольная группа).")</f>
        <v>Установка системы видеонаблюдения   МБОУ «Кайрактынская  СОШ» (дошкольная группа).</v>
      </c>
      <c r="G8397" s="22" t="s">
        <v>384</v>
      </c>
      <c r="H8397" s="22" t="s">
        <v>384</v>
      </c>
      <c r="I8397" s="26">
        <v>43593.552777777797</v>
      </c>
      <c r="J8397" s="23" t="str">
        <f t="shared" si="368"/>
        <v>Кожемякин Григорий Валерьевич</v>
      </c>
      <c r="K8397" s="24" t="s">
        <v>3982</v>
      </c>
      <c r="L8397" s="22" t="s">
        <v>10</v>
      </c>
      <c r="M8397" s="25">
        <v>44416.800000000003</v>
      </c>
      <c r="N8397" s="27">
        <v>5.0000000000000001E-3</v>
      </c>
    </row>
    <row r="8398" spans="1:14" x14ac:dyDescent="0.15">
      <c r="A8398" s="23" t="str">
        <f>HYPERLINK("https://www.spark-marketing.ru/Card/Person/4358530", "АО ""ВАНКОРНЕФТЬ""")</f>
        <v>АО "ВАНКОРНЕФТЬ"</v>
      </c>
      <c r="B8398" s="24" t="s">
        <v>10667</v>
      </c>
      <c r="C8398" s="25">
        <v>69729549</v>
      </c>
      <c r="D8398" s="22" t="s">
        <v>10668</v>
      </c>
      <c r="E8398" s="22" t="s">
        <v>606</v>
      </c>
      <c r="F8398" s="23" t="str">
        <f>HYPERLINK("https://www.spark-marketing.ru/Card/Lot/74025248", "ВН-19-СМР-018. «УПСВ-Юг отсыпка и монтаж ограждения подстанции «Тихоновская», факела высокого давления. Инженерно-технические средства охраны объекта УПСВ-Юг. ЦПС отсыпка грунта под ограждение на участках 2,4,5, ограждения УПГ-2, отсыпка и укрепление...")</f>
        <v>ВН-19-СМР-018. «УПСВ-Юг отсыпка и монтаж ограждения подстанции «Тихоновская», факела высокого давления. Инженерно-технические средства охраны объекта УПСВ-Юг. ЦПС отсыпка грунта под ограждение на участках 2,4,5, ограждения УПГ-2, отсыпка и укрепление...</v>
      </c>
      <c r="G8398" s="22" t="s">
        <v>640</v>
      </c>
      <c r="H8398" s="22" t="s">
        <v>10669</v>
      </c>
      <c r="I8398" s="26">
        <v>43593.574305555601</v>
      </c>
      <c r="J8398" s="28" t="s">
        <v>52</v>
      </c>
      <c r="K8398" s="28" t="s">
        <v>52</v>
      </c>
      <c r="L8398" s="28" t="s">
        <v>52</v>
      </c>
      <c r="M8398" s="28" t="s">
        <v>52</v>
      </c>
      <c r="N8398" s="28" t="s">
        <v>52</v>
      </c>
    </row>
    <row r="8399" spans="1:14" x14ac:dyDescent="0.15">
      <c r="A8399" s="23" t="str">
        <f>HYPERLINK("https://www.spark-marketing.ru/Card/Person/4348372", "АО ""СО ЕЭС""")</f>
        <v>АО "СО ЕЭС"</v>
      </c>
      <c r="B8399" s="24" t="s">
        <v>10670</v>
      </c>
      <c r="C8399" s="25">
        <v>54233093.350000001</v>
      </c>
      <c r="D8399" s="22" t="s">
        <v>10671</v>
      </c>
      <c r="E8399" s="22" t="s">
        <v>10672</v>
      </c>
      <c r="F8399" s="23" t="str">
        <f>HYPERLINK("https://www.spark-marketing.ru/Card/Lot/70378994", "Право заключения договора оказания услуг по техническому обслуживанию корпоративной системы голосовой и видеосвязи на базе протокола IP (КСАЙП) в АО «СО ЕЭС»")</f>
        <v>Право заключения договора оказания услуг по техническому обслуживанию корпоративной системы голосовой и видеосвязи на базе протокола IP (КСАЙП) в АО «СО ЕЭС»</v>
      </c>
      <c r="G8399" s="22" t="s">
        <v>55</v>
      </c>
      <c r="H8399" s="22" t="s">
        <v>55</v>
      </c>
      <c r="I8399" s="26">
        <v>43593.571921296301</v>
      </c>
      <c r="J8399" s="28" t="s">
        <v>52</v>
      </c>
      <c r="K8399" s="28" t="s">
        <v>52</v>
      </c>
      <c r="L8399" s="28" t="s">
        <v>52</v>
      </c>
      <c r="M8399" s="28" t="s">
        <v>52</v>
      </c>
      <c r="N8399" s="28" t="s">
        <v>52</v>
      </c>
    </row>
    <row r="8400" spans="1:14" x14ac:dyDescent="0.15">
      <c r="A8400" s="23" t="str">
        <f>HYPERLINK("https://www.spark-marketing.ru/Card/Person/4348484", "ОАО ""МРСК УРАЛА""")</f>
        <v>ОАО "МРСК УРАЛА"</v>
      </c>
      <c r="B8400" s="24" t="s">
        <v>3612</v>
      </c>
      <c r="C8400" s="25">
        <v>5089430.74</v>
      </c>
      <c r="D8400" s="22" t="s">
        <v>10673</v>
      </c>
      <c r="E8400" s="22" t="s">
        <v>49</v>
      </c>
      <c r="F8400" s="23" t="str">
        <f>HYPERLINK("https://www.spark-marketing.ru/Card/Lot/70375701", "СМР. Модернизация ПС 110 кВ (установка систем видеонаблюдения) ПО ""ЗЭС"" (4 шт.)")</f>
        <v>СМР. Модернизация ПС 110 кВ (установка систем видеонаблюдения) ПО "ЗЭС" (4 шт.)</v>
      </c>
      <c r="G8400" s="22" t="s">
        <v>72</v>
      </c>
      <c r="H8400" s="22" t="s">
        <v>949</v>
      </c>
      <c r="I8400" s="26">
        <v>43593.551724536999</v>
      </c>
      <c r="J8400" s="28" t="s">
        <v>52</v>
      </c>
      <c r="K8400" s="28" t="s">
        <v>52</v>
      </c>
      <c r="L8400" s="28" t="s">
        <v>52</v>
      </c>
      <c r="M8400" s="28" t="s">
        <v>52</v>
      </c>
      <c r="N8400" s="28" t="s">
        <v>52</v>
      </c>
    </row>
    <row r="8401" spans="1:14" x14ac:dyDescent="0.15">
      <c r="A8401" s="23" t="str">
        <f t="shared" ref="A8401:A8411" si="369">HYPERLINK("https://www.spark-marketing.ru/Card/Person/810", "ГБУЗ ""ТКБ № 3 ДЗМ""")</f>
        <v>ГБУЗ "ТКБ № 3 ДЗМ"</v>
      </c>
      <c r="B8401" s="24" t="s">
        <v>3867</v>
      </c>
      <c r="C8401" s="25">
        <v>1020091.44</v>
      </c>
      <c r="D8401" s="22" t="s">
        <v>10674</v>
      </c>
      <c r="E8401" s="22" t="s">
        <v>103</v>
      </c>
      <c r="F8401" s="23" t="str">
        <f t="shared" ref="F8401:F8411" si="370">HYPERLINK("https://www.spark-marketing.ru/Card/Lot/70382142", "Оказание услуг по техническому обслуживанию системы видеонаблюдения и телефонии в ГБУЗ ""ТКБ №3 ДЗМ""")</f>
        <v>Оказание услуг по техническому обслуживанию системы видеонаблюдения и телефонии в ГБУЗ "ТКБ №3 ДЗМ"</v>
      </c>
      <c r="G8401" s="22" t="s">
        <v>55</v>
      </c>
      <c r="H8401" s="22" t="s">
        <v>55</v>
      </c>
      <c r="I8401" s="26">
        <v>43593.5805555556</v>
      </c>
      <c r="J8401" s="28" t="s">
        <v>52</v>
      </c>
      <c r="K8401" s="28" t="s">
        <v>52</v>
      </c>
      <c r="L8401" s="28" t="s">
        <v>52</v>
      </c>
      <c r="M8401" s="28" t="s">
        <v>52</v>
      </c>
      <c r="N8401" s="28" t="s">
        <v>52</v>
      </c>
    </row>
    <row r="8402" spans="1:14" hidden="1" outlineLevel="1" x14ac:dyDescent="0.2">
      <c r="A8402" s="23" t="str">
        <f t="shared" si="369"/>
        <v>ГБУЗ "ТКБ № 3 ДЗМ"</v>
      </c>
      <c r="B8402" s="24" t="s">
        <v>3867</v>
      </c>
      <c r="C8402" s="25">
        <v>1020091.44</v>
      </c>
      <c r="D8402" s="22" t="s">
        <v>10674</v>
      </c>
      <c r="E8402" s="22" t="s">
        <v>103</v>
      </c>
      <c r="F8402" s="23" t="str">
        <f t="shared" si="370"/>
        <v>Оказание услуг по техническому обслуживанию системы видеонаблюдения и телефонии в ГБУЗ "ТКБ №3 ДЗМ"</v>
      </c>
      <c r="G8402" s="22" t="s">
        <v>55</v>
      </c>
      <c r="H8402" s="22" t="s">
        <v>55</v>
      </c>
      <c r="I8402" s="26">
        <v>43593.5805555556</v>
      </c>
      <c r="J8402" s="23" t="str">
        <f>HYPERLINK("https://www.spark-marketing.ru/Card/Person/6440095", "ООО ""РЕМСТРОЙ""")</f>
        <v>ООО "РЕМСТРОЙ"</v>
      </c>
      <c r="K8402" s="24" t="s">
        <v>10675</v>
      </c>
      <c r="L8402" s="28" t="s">
        <v>52</v>
      </c>
      <c r="M8402" s="25">
        <v>112209.56</v>
      </c>
      <c r="N8402" s="27">
        <v>0.89000048858365088</v>
      </c>
    </row>
    <row r="8403" spans="1:14" hidden="1" outlineLevel="1" x14ac:dyDescent="0.2">
      <c r="A8403" s="23" t="str">
        <f t="shared" si="369"/>
        <v>ГБУЗ "ТКБ № 3 ДЗМ"</v>
      </c>
      <c r="B8403" s="24" t="s">
        <v>3867</v>
      </c>
      <c r="C8403" s="25">
        <v>1020091.44</v>
      </c>
      <c r="D8403" s="22" t="s">
        <v>10674</v>
      </c>
      <c r="E8403" s="22" t="s">
        <v>103</v>
      </c>
      <c r="F8403" s="23" t="str">
        <f t="shared" si="370"/>
        <v>Оказание услуг по техническому обслуживанию системы видеонаблюдения и телефонии в ГБУЗ "ТКБ №3 ДЗМ"</v>
      </c>
      <c r="G8403" s="22" t="s">
        <v>55</v>
      </c>
      <c r="H8403" s="22" t="s">
        <v>55</v>
      </c>
      <c r="I8403" s="26">
        <v>43593.5805555556</v>
      </c>
      <c r="J8403" s="23" t="str">
        <f>HYPERLINK("https://www.spark-marketing.ru/Card/Person/151594", "ООО ЧППООО ""КАСКА""")</f>
        <v>ООО ЧППООО "КАСКА"</v>
      </c>
      <c r="K8403" s="24" t="s">
        <v>10676</v>
      </c>
      <c r="L8403" s="28" t="s">
        <v>52</v>
      </c>
      <c r="M8403" s="25">
        <v>127510.94</v>
      </c>
      <c r="N8403" s="27">
        <v>0.87500048034909494</v>
      </c>
    </row>
    <row r="8404" spans="1:14" hidden="1" outlineLevel="1" x14ac:dyDescent="0.2">
      <c r="A8404" s="23" t="str">
        <f t="shared" si="369"/>
        <v>ГБУЗ "ТКБ № 3 ДЗМ"</v>
      </c>
      <c r="B8404" s="24" t="s">
        <v>3867</v>
      </c>
      <c r="C8404" s="25">
        <v>1020091.44</v>
      </c>
      <c r="D8404" s="22" t="s">
        <v>10674</v>
      </c>
      <c r="E8404" s="22" t="s">
        <v>103</v>
      </c>
      <c r="F8404" s="23" t="str">
        <f t="shared" si="370"/>
        <v>Оказание услуг по техническому обслуживанию системы видеонаблюдения и телефонии в ГБУЗ "ТКБ №3 ДЗМ"</v>
      </c>
      <c r="G8404" s="22" t="s">
        <v>55</v>
      </c>
      <c r="H8404" s="22" t="s">
        <v>55</v>
      </c>
      <c r="I8404" s="26">
        <v>43593.5805555556</v>
      </c>
      <c r="J8404" s="23" t="str">
        <f>HYPERLINK("https://www.spark-marketing.ru/Card/Person/6218340", "ООО ""ИКАНД""")</f>
        <v>ООО "ИКАНД"</v>
      </c>
      <c r="K8404" s="24" t="s">
        <v>10677</v>
      </c>
      <c r="L8404" s="28" t="s">
        <v>52</v>
      </c>
      <c r="M8404" s="25">
        <v>561050.04</v>
      </c>
      <c r="N8404" s="27">
        <v>0.4500002470366774</v>
      </c>
    </row>
    <row r="8405" spans="1:14" hidden="1" outlineLevel="1" x14ac:dyDescent="0.2">
      <c r="A8405" s="23" t="str">
        <f t="shared" si="369"/>
        <v>ГБУЗ "ТКБ № 3 ДЗМ"</v>
      </c>
      <c r="B8405" s="24" t="s">
        <v>3867</v>
      </c>
      <c r="C8405" s="25">
        <v>1020091.44</v>
      </c>
      <c r="D8405" s="22" t="s">
        <v>10674</v>
      </c>
      <c r="E8405" s="22" t="s">
        <v>103</v>
      </c>
      <c r="F8405" s="23" t="str">
        <f t="shared" si="370"/>
        <v>Оказание услуг по техническому обслуживанию системы видеонаблюдения и телефонии в ГБУЗ "ТКБ №3 ДЗМ"</v>
      </c>
      <c r="G8405" s="22" t="s">
        <v>55</v>
      </c>
      <c r="H8405" s="22" t="s">
        <v>55</v>
      </c>
      <c r="I8405" s="26">
        <v>43593.5805555556</v>
      </c>
      <c r="J8405" s="23" t="str">
        <f>HYPERLINK("https://www.spark-marketing.ru/Card/Person/6229703", "ООО ""АКТИВСТРОЙ""")</f>
        <v>ООО "АКТИВСТРОЙ"</v>
      </c>
      <c r="K8405" s="24" t="s">
        <v>10678</v>
      </c>
      <c r="L8405" s="28" t="s">
        <v>52</v>
      </c>
      <c r="M8405" s="25">
        <v>402935.78</v>
      </c>
      <c r="N8405" s="27">
        <v>0.60500033212708848</v>
      </c>
    </row>
    <row r="8406" spans="1:14" hidden="1" outlineLevel="1" x14ac:dyDescent="0.2">
      <c r="A8406" s="23" t="str">
        <f t="shared" si="369"/>
        <v>ГБУЗ "ТКБ № 3 ДЗМ"</v>
      </c>
      <c r="B8406" s="24" t="s">
        <v>3867</v>
      </c>
      <c r="C8406" s="25">
        <v>1020091.44</v>
      </c>
      <c r="D8406" s="22" t="s">
        <v>10674</v>
      </c>
      <c r="E8406" s="22" t="s">
        <v>103</v>
      </c>
      <c r="F8406" s="23" t="str">
        <f t="shared" si="370"/>
        <v>Оказание услуг по техническому обслуживанию системы видеонаблюдения и телефонии в ГБУЗ "ТКБ №3 ДЗМ"</v>
      </c>
      <c r="G8406" s="22" t="s">
        <v>55</v>
      </c>
      <c r="H8406" s="22" t="s">
        <v>55</v>
      </c>
      <c r="I8406" s="26">
        <v>43593.5805555556</v>
      </c>
      <c r="J8406" s="23" t="str">
        <f>HYPERLINK("https://www.spark-marketing.ru/Card/Person/84385", "Ложков Александр Анатольевич")</f>
        <v>Ложков Александр Анатольевич</v>
      </c>
      <c r="K8406" s="24" t="s">
        <v>9440</v>
      </c>
      <c r="L8406" s="28" t="s">
        <v>52</v>
      </c>
      <c r="M8406" s="25">
        <v>560000</v>
      </c>
      <c r="N8406" s="27">
        <v>0.45102960573808953</v>
      </c>
    </row>
    <row r="8407" spans="1:14" hidden="1" outlineLevel="1" x14ac:dyDescent="0.2">
      <c r="A8407" s="23" t="str">
        <f t="shared" si="369"/>
        <v>ГБУЗ "ТКБ № 3 ДЗМ"</v>
      </c>
      <c r="B8407" s="24" t="s">
        <v>3867</v>
      </c>
      <c r="C8407" s="25">
        <v>1020091.44</v>
      </c>
      <c r="D8407" s="22" t="s">
        <v>10674</v>
      </c>
      <c r="E8407" s="22" t="s">
        <v>103</v>
      </c>
      <c r="F8407" s="23" t="str">
        <f t="shared" si="370"/>
        <v>Оказание услуг по техническому обслуживанию системы видеонаблюдения и телефонии в ГБУЗ "ТКБ №3 ДЗМ"</v>
      </c>
      <c r="G8407" s="22" t="s">
        <v>55</v>
      </c>
      <c r="H8407" s="22" t="s">
        <v>55</v>
      </c>
      <c r="I8407" s="26">
        <v>43593.5805555556</v>
      </c>
      <c r="J8407" s="23" t="str">
        <f>HYPERLINK("https://www.spark-marketing.ru/Card/Person/6364371", "ООО ""ЛТБ""")</f>
        <v>ООО "ЛТБ"</v>
      </c>
      <c r="K8407" s="24" t="s">
        <v>8538</v>
      </c>
      <c r="L8407" s="28" t="s">
        <v>52</v>
      </c>
      <c r="M8407" s="25">
        <v>744666.6</v>
      </c>
      <c r="N8407" s="27">
        <v>0.27000014822200646</v>
      </c>
    </row>
    <row r="8408" spans="1:14" hidden="1" outlineLevel="1" x14ac:dyDescent="0.2">
      <c r="A8408" s="23" t="str">
        <f t="shared" si="369"/>
        <v>ГБУЗ "ТКБ № 3 ДЗМ"</v>
      </c>
      <c r="B8408" s="24" t="s">
        <v>3867</v>
      </c>
      <c r="C8408" s="25">
        <v>1020091.44</v>
      </c>
      <c r="D8408" s="22" t="s">
        <v>10674</v>
      </c>
      <c r="E8408" s="22" t="s">
        <v>103</v>
      </c>
      <c r="F8408" s="23" t="str">
        <f t="shared" si="370"/>
        <v>Оказание услуг по техническому обслуживанию системы видеонаблюдения и телефонии в ГБУЗ "ТКБ №3 ДЗМ"</v>
      </c>
      <c r="G8408" s="22" t="s">
        <v>55</v>
      </c>
      <c r="H8408" s="22" t="s">
        <v>55</v>
      </c>
      <c r="I8408" s="26">
        <v>43593.5805555556</v>
      </c>
      <c r="J8408" s="23" t="str">
        <f>HYPERLINK("https://www.spark-marketing.ru/Card/Person/6511501", "ООО ""ДИСКОНТ-ВИДЕО М""")</f>
        <v>ООО "ДИСКОНТ-ВИДЕО М"</v>
      </c>
      <c r="K8408" s="24" t="s">
        <v>10576</v>
      </c>
      <c r="L8408" s="28" t="s">
        <v>52</v>
      </c>
      <c r="M8408" s="25">
        <v>933383.62</v>
      </c>
      <c r="N8408" s="27">
        <v>8.5000046662483508E-2</v>
      </c>
    </row>
    <row r="8409" spans="1:14" ht="12.75" hidden="1" outlineLevel="1" x14ac:dyDescent="0.2">
      <c r="A8409" s="23" t="str">
        <f t="shared" si="369"/>
        <v>ГБУЗ "ТКБ № 3 ДЗМ"</v>
      </c>
      <c r="B8409" s="24" t="s">
        <v>3867</v>
      </c>
      <c r="C8409" s="25">
        <v>1020091.44</v>
      </c>
      <c r="D8409" s="22" t="s">
        <v>10674</v>
      </c>
      <c r="E8409" s="22" t="s">
        <v>103</v>
      </c>
      <c r="F8409" s="23" t="str">
        <f t="shared" si="370"/>
        <v>Оказание услуг по техническому обслуживанию системы видеонаблюдения и телефонии в ГБУЗ "ТКБ №3 ДЗМ"</v>
      </c>
      <c r="G8409" s="22" t="s">
        <v>55</v>
      </c>
      <c r="H8409" s="22" t="s">
        <v>55</v>
      </c>
      <c r="I8409" s="26">
        <v>43593.5805555556</v>
      </c>
      <c r="J8409" s="23" t="str">
        <f>HYPERLINK("https://www.spark-marketing.ru/Card/Person/703465", "ООО ""ГАРАНТСТ""")</f>
        <v>ООО "ГАРАНТСТ"</v>
      </c>
      <c r="K8409" s="24" t="s">
        <v>9355</v>
      </c>
      <c r="L8409" s="22" t="s">
        <v>10</v>
      </c>
      <c r="M8409" s="25">
        <v>117310.02</v>
      </c>
      <c r="N8409" s="27">
        <v>0.88500048583879887</v>
      </c>
    </row>
    <row r="8410" spans="1:14" hidden="1" outlineLevel="1" x14ac:dyDescent="0.2">
      <c r="A8410" s="23" t="str">
        <f t="shared" si="369"/>
        <v>ГБУЗ "ТКБ № 3 ДЗМ"</v>
      </c>
      <c r="B8410" s="24" t="s">
        <v>3867</v>
      </c>
      <c r="C8410" s="25">
        <v>1020091.44</v>
      </c>
      <c r="D8410" s="22" t="s">
        <v>10674</v>
      </c>
      <c r="E8410" s="22" t="s">
        <v>103</v>
      </c>
      <c r="F8410" s="23" t="str">
        <f t="shared" si="370"/>
        <v>Оказание услуг по техническому обслуживанию системы видеонаблюдения и телефонии в ГБУЗ "ТКБ №3 ДЗМ"</v>
      </c>
      <c r="G8410" s="22" t="s">
        <v>55</v>
      </c>
      <c r="H8410" s="22" t="s">
        <v>55</v>
      </c>
      <c r="I8410" s="26">
        <v>43593.5805555556</v>
      </c>
      <c r="J8410" s="23" t="str">
        <f>HYPERLINK("https://www.spark-marketing.ru/Card/Person/6218387", "ООО ""КАПИТАЛ СТРОЙ""")</f>
        <v>ООО "КАПИТАЛ СТРОЙ"</v>
      </c>
      <c r="K8410" s="24" t="s">
        <v>10679</v>
      </c>
      <c r="L8410" s="28" t="s">
        <v>52</v>
      </c>
      <c r="M8410" s="25">
        <v>720000</v>
      </c>
      <c r="N8410" s="27">
        <v>0.29418092166325793</v>
      </c>
    </row>
    <row r="8411" spans="1:14" hidden="1" outlineLevel="1" x14ac:dyDescent="0.2">
      <c r="A8411" s="23" t="str">
        <f t="shared" si="369"/>
        <v>ГБУЗ "ТКБ № 3 ДЗМ"</v>
      </c>
      <c r="B8411" s="24" t="s">
        <v>3867</v>
      </c>
      <c r="C8411" s="25">
        <v>1020091.44</v>
      </c>
      <c r="D8411" s="22" t="s">
        <v>10674</v>
      </c>
      <c r="E8411" s="22" t="s">
        <v>103</v>
      </c>
      <c r="F8411" s="23" t="str">
        <f t="shared" si="370"/>
        <v>Оказание услуг по техническому обслуживанию системы видеонаблюдения и телефонии в ГБУЗ "ТКБ №3 ДЗМ"</v>
      </c>
      <c r="G8411" s="22" t="s">
        <v>55</v>
      </c>
      <c r="H8411" s="22" t="s">
        <v>55</v>
      </c>
      <c r="I8411" s="26">
        <v>43593.5805555556</v>
      </c>
      <c r="J8411" s="23" t="str">
        <f>HYPERLINK("https://www.spark-marketing.ru/Card/Person/6487671", "ООО ""ЭКСПЕРТГРУПП""")</f>
        <v>ООО "ЭКСПЕРТГРУПП"</v>
      </c>
      <c r="K8411" s="24" t="s">
        <v>10680</v>
      </c>
      <c r="L8411" s="28" t="s">
        <v>52</v>
      </c>
      <c r="M8411" s="25">
        <v>234620.6</v>
      </c>
      <c r="N8411" s="27">
        <v>0.77000042270720359</v>
      </c>
    </row>
    <row r="8412" spans="1:14" x14ac:dyDescent="0.15">
      <c r="A8412" s="23" t="str">
        <f>HYPERLINK("https://www.spark-marketing.ru/Card/Person/330018", "ФЛ Калининская АЭС")</f>
        <v>ФЛ Калининская АЭС</v>
      </c>
      <c r="B8412" s="24" t="s">
        <v>211</v>
      </c>
      <c r="C8412" s="28" t="s">
        <v>52</v>
      </c>
      <c r="D8412" s="22" t="s">
        <v>10681</v>
      </c>
      <c r="E8412" s="22" t="s">
        <v>53</v>
      </c>
      <c r="F8412" s="23" t="str">
        <f>HYPERLINK("https://www.spark-marketing.ru/Card/Lot/70381627", "Оказание услуг по охране объектов Калининской АЭС (1250039)")</f>
        <v>Оказание услуг по охране объектов Калининской АЭС (1250039)</v>
      </c>
      <c r="G8412" s="22" t="s">
        <v>55</v>
      </c>
      <c r="H8412" s="22" t="s">
        <v>55</v>
      </c>
      <c r="I8412" s="26">
        <v>43593.5382060185</v>
      </c>
      <c r="J8412" s="28" t="s">
        <v>52</v>
      </c>
      <c r="K8412" s="28" t="s">
        <v>52</v>
      </c>
      <c r="L8412" s="28" t="s">
        <v>52</v>
      </c>
      <c r="M8412" s="28" t="s">
        <v>52</v>
      </c>
      <c r="N8412" s="28" t="s">
        <v>52</v>
      </c>
    </row>
    <row r="8413" spans="1:14" x14ac:dyDescent="0.15">
      <c r="A8413" s="23" t="str">
        <f>HYPERLINK("https://www.spark-marketing.ru/Card/Person/4924821", "УРАЛЬСКИЙ БАНК ПАО СБЕРБАНК")</f>
        <v>УРАЛЬСКИЙ БАНК ПАО СБЕРБАНК</v>
      </c>
      <c r="B8413" s="28" t="s">
        <v>52</v>
      </c>
      <c r="C8413" s="25">
        <v>6830332</v>
      </c>
      <c r="D8413" s="22" t="s">
        <v>10682</v>
      </c>
      <c r="E8413" s="22" t="s">
        <v>53</v>
      </c>
      <c r="F8413" s="23" t="str">
        <f>HYPERLINK("https://www.spark-marketing.ru/Card/Lot/70398530", "Выполнение работ по техническому обслуживанию технических средств охраны на объектах на объектах Сургутского ОСБ № 5940 ПАО Сбербанк, расположенных в г. Нефтеюганск и Нефтеюганском районе")</f>
        <v>Выполнение работ по техническому обслуживанию технических средств охраны на объектах на объектах Сургутского ОСБ № 5940 ПАО Сбербанк, расположенных в г. Нефтеюганск и Нефтеюганском районе</v>
      </c>
      <c r="G8413" s="22" t="s">
        <v>52</v>
      </c>
      <c r="H8413" s="22" t="s">
        <v>52</v>
      </c>
      <c r="I8413" s="26">
        <v>43593.530555555597</v>
      </c>
      <c r="J8413" s="28" t="s">
        <v>52</v>
      </c>
      <c r="K8413" s="28" t="s">
        <v>52</v>
      </c>
      <c r="L8413" s="28" t="s">
        <v>52</v>
      </c>
      <c r="M8413" s="28" t="s">
        <v>52</v>
      </c>
      <c r="N8413" s="28" t="s">
        <v>52</v>
      </c>
    </row>
    <row r="8414" spans="1:14" x14ac:dyDescent="0.15">
      <c r="A8414" s="23" t="str">
        <f>HYPERLINK("https://www.spark-marketing.ru/Card/Person/330018", "ФЛ Калининская АЭС")</f>
        <v>ФЛ Калининская АЭС</v>
      </c>
      <c r="B8414" s="24" t="s">
        <v>211</v>
      </c>
      <c r="C8414" s="25">
        <v>0</v>
      </c>
      <c r="D8414" s="22" t="s">
        <v>10683</v>
      </c>
      <c r="E8414" s="22" t="s">
        <v>53</v>
      </c>
      <c r="F8414" s="23" t="str">
        <f>HYPERLINK("https://www.spark-marketing.ru/Card/Lot/70380317", "мониторинг цен в электронной форме на Оказание услуг по охране объектов Калининской АЭС")</f>
        <v>мониторинг цен в электронной форме на Оказание услуг по охране объектов Калининской АЭС</v>
      </c>
      <c r="G8414" s="22" t="s">
        <v>55</v>
      </c>
      <c r="H8414" s="22" t="s">
        <v>55</v>
      </c>
      <c r="I8414" s="26">
        <v>43593.536261574103</v>
      </c>
      <c r="J8414" s="28" t="s">
        <v>52</v>
      </c>
      <c r="K8414" s="28" t="s">
        <v>52</v>
      </c>
      <c r="L8414" s="28" t="s">
        <v>52</v>
      </c>
      <c r="M8414" s="28" t="s">
        <v>52</v>
      </c>
      <c r="N8414" s="28" t="s">
        <v>52</v>
      </c>
    </row>
    <row r="8415" spans="1:14" x14ac:dyDescent="0.15">
      <c r="A8415" s="23" t="str">
        <f t="shared" ref="A8415:A8422" si="371">HYPERLINK("https://www.spark-marketing.ru/Card/Person/35148", "ГБУЗ ВЫСЕЛКОВСКАЯ ЦРБ")</f>
        <v>ГБУЗ ВЫСЕЛКОВСКАЯ ЦРБ</v>
      </c>
      <c r="B8415" s="24" t="s">
        <v>10684</v>
      </c>
      <c r="C8415" s="25">
        <v>237837.33</v>
      </c>
      <c r="D8415" s="22" t="s">
        <v>10685</v>
      </c>
      <c r="E8415" s="22" t="s">
        <v>84</v>
      </c>
      <c r="F8415" s="23" t="str">
        <f t="shared" ref="F8415:F8422" si="372">HYPERLINK("https://www.spark-marketing.ru/Card/Lot/70374083", "Поставка и установка системы видеонаблюдения")</f>
        <v>Поставка и установка системы видеонаблюдения</v>
      </c>
      <c r="G8415" s="22" t="s">
        <v>132</v>
      </c>
      <c r="H8415" s="22" t="s">
        <v>5183</v>
      </c>
      <c r="I8415" s="26">
        <v>43593.486111111102</v>
      </c>
      <c r="J8415" s="28" t="s">
        <v>52</v>
      </c>
      <c r="K8415" s="28" t="s">
        <v>52</v>
      </c>
      <c r="L8415" s="28" t="s">
        <v>52</v>
      </c>
      <c r="M8415" s="28" t="s">
        <v>52</v>
      </c>
      <c r="N8415" s="28" t="s">
        <v>52</v>
      </c>
    </row>
    <row r="8416" spans="1:14" ht="12.75" hidden="1" outlineLevel="1" x14ac:dyDescent="0.2">
      <c r="A8416" s="23" t="str">
        <f t="shared" si="371"/>
        <v>ГБУЗ ВЫСЕЛКОВСКАЯ ЦРБ</v>
      </c>
      <c r="B8416" s="24" t="s">
        <v>10684</v>
      </c>
      <c r="C8416" s="25">
        <v>237837.33</v>
      </c>
      <c r="D8416" s="22" t="s">
        <v>10685</v>
      </c>
      <c r="E8416" s="22" t="s">
        <v>84</v>
      </c>
      <c r="F8416" s="23" t="str">
        <f t="shared" si="372"/>
        <v>Поставка и установка системы видеонаблюдения</v>
      </c>
      <c r="G8416" s="22" t="s">
        <v>132</v>
      </c>
      <c r="H8416" s="22" t="s">
        <v>5183</v>
      </c>
      <c r="I8416" s="26">
        <v>43593.486111111102</v>
      </c>
      <c r="J8416" s="23" t="str">
        <f>HYPERLINK("https://www.spark-marketing.ru/Card/Person/152934", "ООО ""СП-ХОЛДИНГ""")</f>
        <v>ООО "СП-ХОЛДИНГ"</v>
      </c>
      <c r="K8416" s="24" t="s">
        <v>10686</v>
      </c>
      <c r="L8416" s="22" t="s">
        <v>10</v>
      </c>
      <c r="M8416" s="25">
        <v>142226.48000000001</v>
      </c>
      <c r="N8416" s="27">
        <v>0.40200102313627556</v>
      </c>
    </row>
    <row r="8417" spans="1:14" hidden="1" outlineLevel="1" x14ac:dyDescent="0.2">
      <c r="A8417" s="23" t="str">
        <f t="shared" si="371"/>
        <v>ГБУЗ ВЫСЕЛКОВСКАЯ ЦРБ</v>
      </c>
      <c r="B8417" s="24" t="s">
        <v>10684</v>
      </c>
      <c r="C8417" s="25">
        <v>237837.33</v>
      </c>
      <c r="D8417" s="22" t="s">
        <v>10685</v>
      </c>
      <c r="E8417" s="22" t="s">
        <v>84</v>
      </c>
      <c r="F8417" s="23" t="str">
        <f t="shared" si="372"/>
        <v>Поставка и установка системы видеонаблюдения</v>
      </c>
      <c r="G8417" s="22" t="s">
        <v>132</v>
      </c>
      <c r="H8417" s="22" t="s">
        <v>5183</v>
      </c>
      <c r="I8417" s="26">
        <v>43593.486111111102</v>
      </c>
      <c r="J8417" s="23" t="str">
        <f>HYPERLINK("https://www.spark-marketing.ru/Card/Person/1444717", "Соколов Михаил Львович")</f>
        <v>Соколов Михаил Львович</v>
      </c>
      <c r="K8417" s="24" t="s">
        <v>2839</v>
      </c>
      <c r="L8417" s="28" t="s">
        <v>52</v>
      </c>
      <c r="M8417" s="25">
        <v>160000</v>
      </c>
      <c r="N8417" s="27">
        <v>0.32727129084404033</v>
      </c>
    </row>
    <row r="8418" spans="1:14" hidden="1" outlineLevel="1" x14ac:dyDescent="0.2">
      <c r="A8418" s="23" t="str">
        <f t="shared" si="371"/>
        <v>ГБУЗ ВЫСЕЛКОВСКАЯ ЦРБ</v>
      </c>
      <c r="B8418" s="24" t="s">
        <v>10684</v>
      </c>
      <c r="C8418" s="25">
        <v>237837.33</v>
      </c>
      <c r="D8418" s="22" t="s">
        <v>10685</v>
      </c>
      <c r="E8418" s="22" t="s">
        <v>84</v>
      </c>
      <c r="F8418" s="23" t="str">
        <f t="shared" si="372"/>
        <v>Поставка и установка системы видеонаблюдения</v>
      </c>
      <c r="G8418" s="22" t="s">
        <v>132</v>
      </c>
      <c r="H8418" s="22" t="s">
        <v>5183</v>
      </c>
      <c r="I8418" s="26">
        <v>43593.486111111102</v>
      </c>
      <c r="J8418" s="23" t="str">
        <f>HYPERLINK("https://www.spark-marketing.ru/Card/Person/6142617", "ООО ""АВРОРА СБ""")</f>
        <v>ООО "АВРОРА СБ"</v>
      </c>
      <c r="K8418" s="24" t="s">
        <v>9674</v>
      </c>
      <c r="L8418" s="28" t="s">
        <v>52</v>
      </c>
      <c r="M8418" s="25">
        <v>199405.39</v>
      </c>
      <c r="N8418" s="27">
        <v>0.16158918366599559</v>
      </c>
    </row>
    <row r="8419" spans="1:14" hidden="1" outlineLevel="1" x14ac:dyDescent="0.2">
      <c r="A8419" s="23" t="str">
        <f t="shared" si="371"/>
        <v>ГБУЗ ВЫСЕЛКОВСКАЯ ЦРБ</v>
      </c>
      <c r="B8419" s="24" t="s">
        <v>10684</v>
      </c>
      <c r="C8419" s="25">
        <v>237837.33</v>
      </c>
      <c r="D8419" s="22" t="s">
        <v>10685</v>
      </c>
      <c r="E8419" s="22" t="s">
        <v>84</v>
      </c>
      <c r="F8419" s="23" t="str">
        <f t="shared" si="372"/>
        <v>Поставка и установка системы видеонаблюдения</v>
      </c>
      <c r="G8419" s="22" t="s">
        <v>132</v>
      </c>
      <c r="H8419" s="22" t="s">
        <v>5183</v>
      </c>
      <c r="I8419" s="26">
        <v>43593.486111111102</v>
      </c>
      <c r="J8419" s="23" t="str">
        <f>HYPERLINK("https://www.spark-marketing.ru/Card/Person/5826836", "Радченко Максим Сергеевич")</f>
        <v>Радченко Максим Сергеевич</v>
      </c>
      <c r="K8419" s="24" t="s">
        <v>10687</v>
      </c>
      <c r="L8419" s="28" t="s">
        <v>52</v>
      </c>
      <c r="M8419" s="25">
        <v>160077.44</v>
      </c>
      <c r="N8419" s="27">
        <v>0.32694569014880887</v>
      </c>
    </row>
    <row r="8420" spans="1:14" hidden="1" outlineLevel="1" x14ac:dyDescent="0.2">
      <c r="A8420" s="23" t="str">
        <f t="shared" si="371"/>
        <v>ГБУЗ ВЫСЕЛКОВСКАЯ ЦРБ</v>
      </c>
      <c r="B8420" s="24" t="s">
        <v>10684</v>
      </c>
      <c r="C8420" s="25">
        <v>237837.33</v>
      </c>
      <c r="D8420" s="22" t="s">
        <v>10685</v>
      </c>
      <c r="E8420" s="22" t="s">
        <v>84</v>
      </c>
      <c r="F8420" s="23" t="str">
        <f t="shared" si="372"/>
        <v>Поставка и установка системы видеонаблюдения</v>
      </c>
      <c r="G8420" s="22" t="s">
        <v>132</v>
      </c>
      <c r="H8420" s="22" t="s">
        <v>5183</v>
      </c>
      <c r="I8420" s="26">
        <v>43593.486111111102</v>
      </c>
      <c r="J8420" s="23" t="str">
        <f>HYPERLINK("https://www.spark-marketing.ru/Card/Person/487856", "ООО ""МОНТАЖСПЕЦСЕРВИС""")</f>
        <v>ООО "МОНТАЖСПЕЦСЕРВИС"</v>
      </c>
      <c r="K8420" s="24" t="s">
        <v>9161</v>
      </c>
      <c r="L8420" s="28" t="s">
        <v>52</v>
      </c>
      <c r="M8420" s="25">
        <v>189891.87</v>
      </c>
      <c r="N8420" s="27">
        <v>0.20158929634805436</v>
      </c>
    </row>
    <row r="8421" spans="1:14" hidden="1" outlineLevel="1" x14ac:dyDescent="0.2">
      <c r="A8421" s="23" t="str">
        <f t="shared" si="371"/>
        <v>ГБУЗ ВЫСЕЛКОВСКАЯ ЦРБ</v>
      </c>
      <c r="B8421" s="24" t="s">
        <v>10684</v>
      </c>
      <c r="C8421" s="25">
        <v>237837.33</v>
      </c>
      <c r="D8421" s="22" t="s">
        <v>10685</v>
      </c>
      <c r="E8421" s="22" t="s">
        <v>84</v>
      </c>
      <c r="F8421" s="23" t="str">
        <f t="shared" si="372"/>
        <v>Поставка и установка системы видеонаблюдения</v>
      </c>
      <c r="G8421" s="22" t="s">
        <v>132</v>
      </c>
      <c r="H8421" s="22" t="s">
        <v>5183</v>
      </c>
      <c r="I8421" s="26">
        <v>43593.486111111102</v>
      </c>
      <c r="J8421" s="23" t="str">
        <f>HYPERLINK("https://www.spark-marketing.ru/Card/Person/6492186", "Ленинградский Евгений Владимирович")</f>
        <v>Ленинградский Евгений Владимирович</v>
      </c>
      <c r="K8421" s="24" t="s">
        <v>4320</v>
      </c>
      <c r="L8421" s="28" t="s">
        <v>52</v>
      </c>
      <c r="M8421" s="25">
        <v>151740</v>
      </c>
      <c r="N8421" s="27">
        <v>0.36200091045421673</v>
      </c>
    </row>
    <row r="8422" spans="1:14" hidden="1" outlineLevel="1" x14ac:dyDescent="0.2">
      <c r="A8422" s="23" t="str">
        <f t="shared" si="371"/>
        <v>ГБУЗ ВЫСЕЛКОВСКАЯ ЦРБ</v>
      </c>
      <c r="B8422" s="24" t="s">
        <v>10684</v>
      </c>
      <c r="C8422" s="25">
        <v>237837.33</v>
      </c>
      <c r="D8422" s="22" t="s">
        <v>10685</v>
      </c>
      <c r="E8422" s="22" t="s">
        <v>84</v>
      </c>
      <c r="F8422" s="23" t="str">
        <f t="shared" si="372"/>
        <v>Поставка и установка системы видеонаблюдения</v>
      </c>
      <c r="G8422" s="22" t="s">
        <v>132</v>
      </c>
      <c r="H8422" s="22" t="s">
        <v>5183</v>
      </c>
      <c r="I8422" s="26">
        <v>43593.486111111102</v>
      </c>
      <c r="J8422" s="23" t="str">
        <f>HYPERLINK("https://www.spark-marketing.ru/Card/Person/4715617", "Стромова Юлия Михайловна")</f>
        <v>Стромова Юлия Михайловна</v>
      </c>
      <c r="K8422" s="24" t="s">
        <v>3887</v>
      </c>
      <c r="L8422" s="28" t="s">
        <v>52</v>
      </c>
      <c r="M8422" s="25">
        <v>143415.67000000001</v>
      </c>
      <c r="N8422" s="27">
        <v>0.39700100905101821</v>
      </c>
    </row>
    <row r="8423" spans="1:14" x14ac:dyDescent="0.15">
      <c r="A8423" s="23" t="str">
        <f>HYPERLINK("https://www.spark-marketing.ru/Card/Person/56510", "АДМИНИСТРАЦИЯ ОКТЯБРЬСКОГО РАЙОНА ГОРОДА ОРСКА")</f>
        <v>АДМИНИСТРАЦИЯ ОКТЯБРЬСКОГО РАЙОНА ГОРОДА ОРСКА</v>
      </c>
      <c r="B8423" s="24" t="s">
        <v>10688</v>
      </c>
      <c r="C8423" s="25">
        <v>585000</v>
      </c>
      <c r="D8423" s="22" t="s">
        <v>10689</v>
      </c>
      <c r="E8423" s="22" t="s">
        <v>52</v>
      </c>
      <c r="F8423" s="23" t="str">
        <f>HYPERLINK("https://www.spark-marketing.ru/Card/Lot/70369995", "Услуги по обеспечению общественного порядка и безопасности на территории Октябрьского района г. Орска")</f>
        <v>Услуги по обеспечению общественного порядка и безопасности на территории Октябрьского района г. Орска</v>
      </c>
      <c r="G8423" s="22" t="s">
        <v>384</v>
      </c>
      <c r="H8423" s="22" t="s">
        <v>10100</v>
      </c>
      <c r="I8423" s="26">
        <v>43593.490277777797</v>
      </c>
      <c r="J8423" s="23" t="str">
        <f>HYPERLINK("https://www.spark-marketing.ru/Card/Person/110747", "МУП ""САТУ""")</f>
        <v>МУП "САТУ"</v>
      </c>
      <c r="K8423" s="24" t="s">
        <v>10690</v>
      </c>
      <c r="L8423" s="28" t="s">
        <v>52</v>
      </c>
      <c r="M8423" s="28" t="s">
        <v>52</v>
      </c>
      <c r="N8423" s="28" t="s">
        <v>52</v>
      </c>
    </row>
    <row r="8424" spans="1:14" ht="12.75" hidden="1" outlineLevel="1" x14ac:dyDescent="0.2">
      <c r="A8424" s="23" t="str">
        <f>HYPERLINK("https://www.spark-marketing.ru/Card/Person/56510", "АДМИНИСТРАЦИЯ ОКТЯБРЬСКОГО РАЙОНА ГОРОДА ОРСКА")</f>
        <v>АДМИНИСТРАЦИЯ ОКТЯБРЬСКОГО РАЙОНА ГОРОДА ОРСКА</v>
      </c>
      <c r="B8424" s="24" t="s">
        <v>10688</v>
      </c>
      <c r="C8424" s="25">
        <v>585000</v>
      </c>
      <c r="D8424" s="22" t="s">
        <v>10689</v>
      </c>
      <c r="E8424" s="22" t="s">
        <v>52</v>
      </c>
      <c r="F8424" s="23" t="str">
        <f>HYPERLINK("https://www.spark-marketing.ru/Card/Lot/70369995", "Услуги по обеспечению общественного порядка и безопасности на территории Октябрьского района г. Орска")</f>
        <v>Услуги по обеспечению общественного порядка и безопасности на территории Октябрьского района г. Орска</v>
      </c>
      <c r="G8424" s="22" t="s">
        <v>384</v>
      </c>
      <c r="H8424" s="22" t="s">
        <v>10100</v>
      </c>
      <c r="I8424" s="26">
        <v>43593.490277777797</v>
      </c>
      <c r="J8424" s="23" t="str">
        <f>HYPERLINK("https://www.spark-marketing.ru/Card/Person/110747", "МУП ""САТУ""")</f>
        <v>МУП "САТУ"</v>
      </c>
      <c r="K8424" s="24" t="s">
        <v>10690</v>
      </c>
      <c r="L8424" s="22" t="s">
        <v>10</v>
      </c>
      <c r="M8424" s="25">
        <v>582075</v>
      </c>
      <c r="N8424" s="27">
        <v>5.0000000000000001E-3</v>
      </c>
    </row>
    <row r="8425" spans="1:14" x14ac:dyDescent="0.15">
      <c r="A8425" s="23" t="str">
        <f>HYPERLINK("https://www.spark-marketing.ru/Card/Person/4441241", "АО ""САМОТЛОРНЕФТЕГАЗ""")</f>
        <v>АО "САМОТЛОРНЕФТЕГАЗ"</v>
      </c>
      <c r="B8425" s="24" t="s">
        <v>7090</v>
      </c>
      <c r="C8425" s="28" t="s">
        <v>52</v>
      </c>
      <c r="D8425" s="22" t="s">
        <v>10691</v>
      </c>
      <c r="E8425" s="22" t="s">
        <v>7092</v>
      </c>
      <c r="F8425" s="23" t="str">
        <f>HYPERLINK("https://www.spark-marketing.ru/Card/Lot/70371632", "Оказание услуг по техническому обслуживанию систем охранной сигнализации (ОС), системы контроля доступа (СКД), систем видеонаблюдения (СВН) и инжиниринга на объектах АО «Корпорация Югранефть»")</f>
        <v>Оказание услуг по техническому обслуживанию систем охранной сигнализации (ОС), системы контроля доступа (СКД), систем видеонаблюдения (СВН) и инжиниринга на объектах АО «Корпорация Югранефть»</v>
      </c>
      <c r="G8425" s="22" t="s">
        <v>119</v>
      </c>
      <c r="H8425" s="22" t="s">
        <v>952</v>
      </c>
      <c r="I8425" s="26">
        <v>43593.478472222203</v>
      </c>
      <c r="J8425" s="28" t="s">
        <v>52</v>
      </c>
      <c r="K8425" s="28" t="s">
        <v>52</v>
      </c>
      <c r="L8425" s="28" t="s">
        <v>52</v>
      </c>
      <c r="M8425" s="28" t="s">
        <v>52</v>
      </c>
      <c r="N8425" s="28" t="s">
        <v>52</v>
      </c>
    </row>
    <row r="8426" spans="1:14" ht="12.75" x14ac:dyDescent="0.2">
      <c r="A8426" s="23" t="str">
        <f>HYPERLINK("https://www.spark-marketing.ru/Card/Person/134955", "МЕЖРАЙОННАЯ ИФНС РОССИИ № 3 ПО РЕСПУБЛИКЕ САХА (ЯКУТИЯ)")</f>
        <v>МЕЖРАЙОННАЯ ИФНС РОССИИ № 3 ПО РЕСПУБЛИКЕ САХА (ЯКУТИЯ)</v>
      </c>
      <c r="B8426" s="24" t="s">
        <v>10692</v>
      </c>
      <c r="C8426" s="25">
        <v>103934.25</v>
      </c>
      <c r="D8426" s="22" t="s">
        <v>10693</v>
      </c>
      <c r="E8426" s="22" t="s">
        <v>68</v>
      </c>
      <c r="F8426" s="23" t="str">
        <f>HYPERLINK("https://www.spark-marketing.ru/Card/Lot/70362200", "услуги охраны Вилюйск")</f>
        <v>услуги охраны Вилюйск</v>
      </c>
      <c r="G8426" s="22" t="s">
        <v>424</v>
      </c>
      <c r="H8426" s="22" t="s">
        <v>10694</v>
      </c>
      <c r="I8426" s="26">
        <v>43593.4819444444</v>
      </c>
      <c r="J8426" s="23" t="str">
        <f>HYPERLINK("https://www.spark-marketing.ru/Card/Person/4389871", "ОВО по Вилюйскому району ФГКУ УВО ВНГ России по Республике Саха (Якутия)")</f>
        <v>ОВО по Вилюйскому району ФГКУ УВО ВНГ России по Республике Саха (Якутия)</v>
      </c>
      <c r="K8426" s="24" t="s">
        <v>5272</v>
      </c>
      <c r="L8426" s="22" t="s">
        <v>10</v>
      </c>
      <c r="M8426" s="25">
        <v>103934.25</v>
      </c>
      <c r="N8426" s="27">
        <v>0</v>
      </c>
    </row>
    <row r="8427" spans="1:14" x14ac:dyDescent="0.2">
      <c r="A8427" s="23" t="str">
        <f>HYPERLINK("https://www.spark-marketing.ru/Card/Person/4353138", "ФБУ ""ГИЛС И НП""")</f>
        <v>ФБУ "ГИЛС И НП"</v>
      </c>
      <c r="B8427" s="24" t="s">
        <v>10695</v>
      </c>
      <c r="C8427" s="25">
        <v>252900</v>
      </c>
      <c r="D8427" s="22" t="s">
        <v>10696</v>
      </c>
      <c r="E8427" s="22" t="s">
        <v>370</v>
      </c>
      <c r="F8427" s="23" t="str">
        <f>HYPERLINK("https://www.spark-marketing.ru/Card/Lot/70373010", "Оказание услуг по техническому обслуживанию СКУД, систем периметральной сигнализации и видеонаблюдения.")</f>
        <v>Оказание услуг по техническому обслуживанию СКУД, систем периметральной сигнализации и видеонаблюдения.</v>
      </c>
      <c r="G8427" s="22" t="s">
        <v>55</v>
      </c>
      <c r="H8427" s="22" t="s">
        <v>55</v>
      </c>
      <c r="I8427" s="26">
        <v>43593.491087962997</v>
      </c>
      <c r="J8427" s="28" t="s">
        <v>52</v>
      </c>
      <c r="K8427" s="28" t="s">
        <v>52</v>
      </c>
      <c r="L8427" s="28" t="s">
        <v>52</v>
      </c>
      <c r="M8427" s="25">
        <v>252900</v>
      </c>
      <c r="N8427" s="27">
        <v>0</v>
      </c>
    </row>
    <row r="8428" spans="1:14" x14ac:dyDescent="0.15">
      <c r="A8428" s="23" t="str">
        <f t="shared" ref="A8428:A8437" si="373">HYPERLINK("https://www.spark-marketing.ru/Card/Person/2138", "КОУ ""СПЕЦИАЛЬНАЯ УЧЕБНО-ВОСПИТАТЕЛЬНАЯ ШКОЛА № 2""")</f>
        <v>КОУ "СПЕЦИАЛЬНАЯ УЧЕБНО-ВОСПИТАТЕЛЬНАЯ ШКОЛА № 2"</v>
      </c>
      <c r="B8428" s="24" t="s">
        <v>10697</v>
      </c>
      <c r="C8428" s="25">
        <v>570763.19999999995</v>
      </c>
      <c r="D8428" s="22" t="s">
        <v>10698</v>
      </c>
      <c r="E8428" s="22" t="s">
        <v>79</v>
      </c>
      <c r="F8428" s="23" t="str">
        <f t="shared" ref="F8428:F8437" si="374">HYPERLINK("https://www.spark-marketing.ru/Card/Lot/70365076", "Монтажные работы по установке (расширению) системы видеонаблюдения")</f>
        <v>Монтажные работы по установке (расширению) системы видеонаблюдения</v>
      </c>
      <c r="G8428" s="22" t="s">
        <v>119</v>
      </c>
      <c r="H8428" s="22" t="s">
        <v>463</v>
      </c>
      <c r="I8428" s="26">
        <v>43593.4194444444</v>
      </c>
      <c r="J8428" s="28" t="s">
        <v>52</v>
      </c>
      <c r="K8428" s="28" t="s">
        <v>52</v>
      </c>
      <c r="L8428" s="28" t="s">
        <v>52</v>
      </c>
      <c r="M8428" s="28" t="s">
        <v>52</v>
      </c>
      <c r="N8428" s="28" t="s">
        <v>52</v>
      </c>
    </row>
    <row r="8429" spans="1:14" hidden="1" outlineLevel="1" x14ac:dyDescent="0.2">
      <c r="A8429" s="23" t="str">
        <f t="shared" si="373"/>
        <v>КОУ "СПЕЦИАЛЬНАЯ УЧЕБНО-ВОСПИТАТЕЛЬНАЯ ШКОЛА № 2"</v>
      </c>
      <c r="B8429" s="24" t="s">
        <v>10697</v>
      </c>
      <c r="C8429" s="25">
        <v>570763.19999999995</v>
      </c>
      <c r="D8429" s="22" t="s">
        <v>10698</v>
      </c>
      <c r="E8429" s="22" t="s">
        <v>79</v>
      </c>
      <c r="F8429" s="23" t="str">
        <f t="shared" si="374"/>
        <v>Монтажные работы по установке (расширению) системы видеонаблюдения</v>
      </c>
      <c r="G8429" s="22" t="s">
        <v>119</v>
      </c>
      <c r="H8429" s="22" t="s">
        <v>463</v>
      </c>
      <c r="I8429" s="26">
        <v>43593.4194444444</v>
      </c>
      <c r="J8429" s="23" t="str">
        <f>HYPERLINK("https://www.spark-marketing.ru/Card/Person/6572825", "Тишков Сергей Александрович")</f>
        <v>Тишков Сергей Александрович</v>
      </c>
      <c r="K8429" s="24" t="s">
        <v>10699</v>
      </c>
      <c r="L8429" s="28" t="s">
        <v>52</v>
      </c>
      <c r="M8429" s="25">
        <v>519968.58</v>
      </c>
      <c r="N8429" s="27">
        <v>8.8994209857958612E-2</v>
      </c>
    </row>
    <row r="8430" spans="1:14" hidden="1" outlineLevel="1" x14ac:dyDescent="0.2">
      <c r="A8430" s="23" t="str">
        <f t="shared" si="373"/>
        <v>КОУ "СПЕЦИАЛЬНАЯ УЧЕБНО-ВОСПИТАТЕЛЬНАЯ ШКОЛА № 2"</v>
      </c>
      <c r="B8430" s="24" t="s">
        <v>10697</v>
      </c>
      <c r="C8430" s="25">
        <v>570763.19999999995</v>
      </c>
      <c r="D8430" s="22" t="s">
        <v>10698</v>
      </c>
      <c r="E8430" s="22" t="s">
        <v>79</v>
      </c>
      <c r="F8430" s="23" t="str">
        <f t="shared" si="374"/>
        <v>Монтажные работы по установке (расширению) системы видеонаблюдения</v>
      </c>
      <c r="G8430" s="22" t="s">
        <v>119</v>
      </c>
      <c r="H8430" s="22" t="s">
        <v>463</v>
      </c>
      <c r="I8430" s="26">
        <v>43593.4194444444</v>
      </c>
      <c r="J8430" s="23" t="str">
        <f>HYPERLINK("https://www.spark-marketing.ru/Card/Person/932332", "ООО ""ВСС""")</f>
        <v>ООО "ВСС"</v>
      </c>
      <c r="K8430" s="24" t="s">
        <v>1331</v>
      </c>
      <c r="L8430" s="28" t="s">
        <v>52</v>
      </c>
      <c r="M8430" s="25">
        <v>550000</v>
      </c>
      <c r="N8430" s="27">
        <v>3.637795849487143E-2</v>
      </c>
    </row>
    <row r="8431" spans="1:14" ht="12.75" hidden="1" outlineLevel="1" x14ac:dyDescent="0.2">
      <c r="A8431" s="23" t="str">
        <f t="shared" si="373"/>
        <v>КОУ "СПЕЦИАЛЬНАЯ УЧЕБНО-ВОСПИТАТЕЛЬНАЯ ШКОЛА № 2"</v>
      </c>
      <c r="B8431" s="24" t="s">
        <v>10697</v>
      </c>
      <c r="C8431" s="25">
        <v>570763.19999999995</v>
      </c>
      <c r="D8431" s="22" t="s">
        <v>10698</v>
      </c>
      <c r="E8431" s="22" t="s">
        <v>79</v>
      </c>
      <c r="F8431" s="23" t="str">
        <f t="shared" si="374"/>
        <v>Монтажные работы по установке (расширению) системы видеонаблюдения</v>
      </c>
      <c r="G8431" s="22" t="s">
        <v>119</v>
      </c>
      <c r="H8431" s="22" t="s">
        <v>463</v>
      </c>
      <c r="I8431" s="26">
        <v>43593.4194444444</v>
      </c>
      <c r="J8431" s="23" t="str">
        <f>HYPERLINK("https://www.spark-marketing.ru/Card/Person/89839", "ООО ""ТИТАН""")</f>
        <v>ООО "ТИТАН"</v>
      </c>
      <c r="K8431" s="24" t="s">
        <v>1356</v>
      </c>
      <c r="L8431" s="22" t="s">
        <v>10</v>
      </c>
      <c r="M8431" s="25">
        <v>347759.57</v>
      </c>
      <c r="N8431" s="27">
        <v>0.39071129673391697</v>
      </c>
    </row>
    <row r="8432" spans="1:14" hidden="1" outlineLevel="1" x14ac:dyDescent="0.2">
      <c r="A8432" s="23" t="str">
        <f t="shared" si="373"/>
        <v>КОУ "СПЕЦИАЛЬНАЯ УЧЕБНО-ВОСПИТАТЕЛЬНАЯ ШКОЛА № 2"</v>
      </c>
      <c r="B8432" s="24" t="s">
        <v>10697</v>
      </c>
      <c r="C8432" s="25">
        <v>570763.19999999995</v>
      </c>
      <c r="D8432" s="22" t="s">
        <v>10698</v>
      </c>
      <c r="E8432" s="22" t="s">
        <v>79</v>
      </c>
      <c r="F8432" s="23" t="str">
        <f t="shared" si="374"/>
        <v>Монтажные работы по установке (расширению) системы видеонаблюдения</v>
      </c>
      <c r="G8432" s="22" t="s">
        <v>119</v>
      </c>
      <c r="H8432" s="22" t="s">
        <v>463</v>
      </c>
      <c r="I8432" s="26">
        <v>43593.4194444444</v>
      </c>
      <c r="J8432" s="23" t="str">
        <f>HYPERLINK("https://www.spark-marketing.ru/Card/Person/6236196", "ООО ""ВИДЕОСЕРВИС""")</f>
        <v>ООО "ВИДЕОСЕРВИС"</v>
      </c>
      <c r="K8432" s="24" t="s">
        <v>7810</v>
      </c>
      <c r="L8432" s="28" t="s">
        <v>52</v>
      </c>
      <c r="M8432" s="25">
        <v>359174.85</v>
      </c>
      <c r="N8432" s="27">
        <v>0.37071126870127574</v>
      </c>
    </row>
    <row r="8433" spans="1:14" hidden="1" outlineLevel="1" x14ac:dyDescent="0.2">
      <c r="A8433" s="23" t="str">
        <f t="shared" si="373"/>
        <v>КОУ "СПЕЦИАЛЬНАЯ УЧЕБНО-ВОСПИТАТЕЛЬНАЯ ШКОЛА № 2"</v>
      </c>
      <c r="B8433" s="24" t="s">
        <v>10697</v>
      </c>
      <c r="C8433" s="25">
        <v>570763.19999999995</v>
      </c>
      <c r="D8433" s="22" t="s">
        <v>10698</v>
      </c>
      <c r="E8433" s="22" t="s">
        <v>79</v>
      </c>
      <c r="F8433" s="23" t="str">
        <f t="shared" si="374"/>
        <v>Монтажные работы по установке (расширению) системы видеонаблюдения</v>
      </c>
      <c r="G8433" s="22" t="s">
        <v>119</v>
      </c>
      <c r="H8433" s="22" t="s">
        <v>463</v>
      </c>
      <c r="I8433" s="26">
        <v>43593.4194444444</v>
      </c>
      <c r="J8433" s="23" t="str">
        <f>HYPERLINK("https://www.spark-marketing.ru/Card/Person/802084", "ООО ""ГЕФЕСТ""")</f>
        <v>ООО "ГЕФЕСТ"</v>
      </c>
      <c r="K8433" s="24" t="s">
        <v>3414</v>
      </c>
      <c r="L8433" s="28" t="s">
        <v>52</v>
      </c>
      <c r="M8433" s="25">
        <v>444789.85</v>
      </c>
      <c r="N8433" s="27">
        <v>0.22071035764043653</v>
      </c>
    </row>
    <row r="8434" spans="1:14" hidden="1" outlineLevel="1" x14ac:dyDescent="0.2">
      <c r="A8434" s="23" t="str">
        <f t="shared" si="373"/>
        <v>КОУ "СПЕЦИАЛЬНАЯ УЧЕБНО-ВОСПИТАТЕЛЬНАЯ ШКОЛА № 2"</v>
      </c>
      <c r="B8434" s="24" t="s">
        <v>10697</v>
      </c>
      <c r="C8434" s="25">
        <v>570763.19999999995</v>
      </c>
      <c r="D8434" s="22" t="s">
        <v>10698</v>
      </c>
      <c r="E8434" s="22" t="s">
        <v>79</v>
      </c>
      <c r="F8434" s="23" t="str">
        <f t="shared" si="374"/>
        <v>Монтажные работы по установке (расширению) системы видеонаблюдения</v>
      </c>
      <c r="G8434" s="22" t="s">
        <v>119</v>
      </c>
      <c r="H8434" s="22" t="s">
        <v>463</v>
      </c>
      <c r="I8434" s="26">
        <v>43593.4194444444</v>
      </c>
      <c r="J8434" s="23" t="str">
        <f>HYPERLINK("https://www.spark-marketing.ru/Card/Person/6576736", "ООО ""ПАНДА""")</f>
        <v>ООО "ПАНДА"</v>
      </c>
      <c r="K8434" s="24" t="s">
        <v>10700</v>
      </c>
      <c r="L8434" s="28" t="s">
        <v>52</v>
      </c>
      <c r="M8434" s="25">
        <v>447643.67</v>
      </c>
      <c r="N8434" s="27">
        <v>0.21571035063227623</v>
      </c>
    </row>
    <row r="8435" spans="1:14" hidden="1" outlineLevel="1" x14ac:dyDescent="0.2">
      <c r="A8435" s="23" t="str">
        <f t="shared" si="373"/>
        <v>КОУ "СПЕЦИАЛЬНАЯ УЧЕБНО-ВОСПИТАТЕЛЬНАЯ ШКОЛА № 2"</v>
      </c>
      <c r="B8435" s="24" t="s">
        <v>10697</v>
      </c>
      <c r="C8435" s="25">
        <v>570763.19999999995</v>
      </c>
      <c r="D8435" s="22" t="s">
        <v>10698</v>
      </c>
      <c r="E8435" s="22" t="s">
        <v>79</v>
      </c>
      <c r="F8435" s="23" t="str">
        <f t="shared" si="374"/>
        <v>Монтажные работы по установке (расширению) системы видеонаблюдения</v>
      </c>
      <c r="G8435" s="22" t="s">
        <v>119</v>
      </c>
      <c r="H8435" s="22" t="s">
        <v>463</v>
      </c>
      <c r="I8435" s="26">
        <v>43593.4194444444</v>
      </c>
      <c r="J8435" s="23" t="str">
        <f>HYPERLINK("https://www.spark-marketing.ru/Card/Person/6438474", "ООО ""ИНКЛИМ""")</f>
        <v>ООО "ИНКЛИМ"</v>
      </c>
      <c r="K8435" s="24" t="s">
        <v>10127</v>
      </c>
      <c r="L8435" s="28" t="s">
        <v>52</v>
      </c>
      <c r="M8435" s="25">
        <v>356321.03</v>
      </c>
      <c r="N8435" s="27">
        <v>0.37571127570943608</v>
      </c>
    </row>
    <row r="8436" spans="1:14" hidden="1" outlineLevel="1" x14ac:dyDescent="0.2">
      <c r="A8436" s="23" t="str">
        <f t="shared" si="373"/>
        <v>КОУ "СПЕЦИАЛЬНАЯ УЧЕБНО-ВОСПИТАТЕЛЬНАЯ ШКОЛА № 2"</v>
      </c>
      <c r="B8436" s="24" t="s">
        <v>10697</v>
      </c>
      <c r="C8436" s="25">
        <v>570763.19999999995</v>
      </c>
      <c r="D8436" s="22" t="s">
        <v>10698</v>
      </c>
      <c r="E8436" s="22" t="s">
        <v>79</v>
      </c>
      <c r="F8436" s="23" t="str">
        <f t="shared" si="374"/>
        <v>Монтажные работы по установке (расширению) системы видеонаблюдения</v>
      </c>
      <c r="G8436" s="22" t="s">
        <v>119</v>
      </c>
      <c r="H8436" s="22" t="s">
        <v>463</v>
      </c>
      <c r="I8436" s="26">
        <v>43593.4194444444</v>
      </c>
      <c r="J8436" s="23" t="str">
        <f>HYPERLINK("https://www.spark-marketing.ru/Card/Person/6578025", "Акопов Михаил Артемович")</f>
        <v>Акопов Михаил Артемович</v>
      </c>
      <c r="K8436" s="24" t="s">
        <v>10701</v>
      </c>
      <c r="L8436" s="28" t="s">
        <v>52</v>
      </c>
      <c r="M8436" s="25">
        <v>350613.39</v>
      </c>
      <c r="N8436" s="27">
        <v>0.38571128972575669</v>
      </c>
    </row>
    <row r="8437" spans="1:14" hidden="1" outlineLevel="1" x14ac:dyDescent="0.2">
      <c r="A8437" s="23" t="str">
        <f t="shared" si="373"/>
        <v>КОУ "СПЕЦИАЛЬНАЯ УЧЕБНО-ВОСПИТАТЕЛЬНАЯ ШКОЛА № 2"</v>
      </c>
      <c r="B8437" s="24" t="s">
        <v>10697</v>
      </c>
      <c r="C8437" s="25">
        <v>570763.19999999995</v>
      </c>
      <c r="D8437" s="22" t="s">
        <v>10698</v>
      </c>
      <c r="E8437" s="22" t="s">
        <v>79</v>
      </c>
      <c r="F8437" s="23" t="str">
        <f t="shared" si="374"/>
        <v>Монтажные работы по установке (расширению) системы видеонаблюдения</v>
      </c>
      <c r="G8437" s="22" t="s">
        <v>119</v>
      </c>
      <c r="H8437" s="22" t="s">
        <v>463</v>
      </c>
      <c r="I8437" s="26">
        <v>43593.4194444444</v>
      </c>
      <c r="J8437" s="23" t="str">
        <f>HYPERLINK("https://www.spark-marketing.ru/Card/Person/5853123", "Ершов Андрей Алексеевич")</f>
        <v>Ершов Андрей Алексеевич</v>
      </c>
      <c r="K8437" s="24" t="s">
        <v>1063</v>
      </c>
      <c r="L8437" s="28" t="s">
        <v>52</v>
      </c>
      <c r="M8437" s="25">
        <v>461912.77</v>
      </c>
      <c r="N8437" s="27">
        <v>0.19071031559147472</v>
      </c>
    </row>
    <row r="8438" spans="1:14" x14ac:dyDescent="0.15">
      <c r="A8438" s="23" t="str">
        <f>HYPERLINK("https://www.spark-marketing.ru/Card/Person/7451", "ФКУ ""ЦХИСО УПРАВЛЕНИЯ МИНИСТЕРСТВА ВНУТРЕННИХ ДЕЛ РОССИЙСКОЙ ФЕДЕРАЦИИ ПО АМУРСКОЙ ОБЛАСТИ""")</f>
        <v>ФКУ "ЦХИСО УПРАВЛЕНИЯ МИНИСТЕРСТВА ВНУТРЕННИХ ДЕЛ РОССИЙСКОЙ ФЕДЕРАЦИИ ПО АМУРСКОЙ ОБЛАСТИ"</v>
      </c>
      <c r="B8438" s="24" t="s">
        <v>10702</v>
      </c>
      <c r="C8438" s="25">
        <v>8161.4</v>
      </c>
      <c r="D8438" s="22" t="s">
        <v>10703</v>
      </c>
      <c r="E8438" s="22" t="s">
        <v>53</v>
      </c>
      <c r="F8438" s="23" t="str">
        <f>HYPERLINK("https://www.spark-marketing.ru/Card/Lot/70759375", "Услуги пультовой охраны с использованием тревожной кнопки, 1 шт")</f>
        <v>Услуги пультовой охраны с использованием тревожной кнопки, 1 шт</v>
      </c>
      <c r="G8438" s="22" t="s">
        <v>230</v>
      </c>
      <c r="H8438" s="22" t="s">
        <v>231</v>
      </c>
      <c r="I8438" s="26">
        <v>43593.4452199074</v>
      </c>
      <c r="J8438" s="28" t="s">
        <v>52</v>
      </c>
      <c r="K8438" s="28" t="s">
        <v>52</v>
      </c>
      <c r="L8438" s="28" t="s">
        <v>52</v>
      </c>
      <c r="M8438" s="28" t="s">
        <v>52</v>
      </c>
      <c r="N8438" s="28" t="s">
        <v>52</v>
      </c>
    </row>
    <row r="8439" spans="1:14" x14ac:dyDescent="0.15">
      <c r="A8439" s="23" t="str">
        <f>HYPERLINK("https://www.spark-marketing.ru/Card/Person/255225", "ГАУСО ""РЦДПОВ ""ДОВЕРИЕ""")</f>
        <v>ГАУСО "РЦДПОВ "ДОВЕРИЕ"</v>
      </c>
      <c r="B8439" s="24" t="s">
        <v>10704</v>
      </c>
      <c r="C8439" s="25">
        <v>18233.330000000002</v>
      </c>
      <c r="D8439" s="22" t="s">
        <v>10705</v>
      </c>
      <c r="E8439" s="22" t="s">
        <v>103</v>
      </c>
      <c r="F8439" s="23" t="str">
        <f>HYPERLINK("https://www.spark-marketing.ru/Card/Lot/70369639", "Техническое обслуживание системы видеонаблюдения на 2 полугодие 2019 года")</f>
        <v>Техническое обслуживание системы видеонаблюдения на 2 полугодие 2019 года</v>
      </c>
      <c r="G8439" s="22" t="s">
        <v>204</v>
      </c>
      <c r="H8439" s="22" t="s">
        <v>10706</v>
      </c>
      <c r="I8439" s="26">
        <v>43593.418055555601</v>
      </c>
      <c r="J8439" s="28" t="s">
        <v>52</v>
      </c>
      <c r="K8439" s="28" t="s">
        <v>52</v>
      </c>
      <c r="L8439" s="28" t="s">
        <v>52</v>
      </c>
      <c r="M8439" s="28" t="s">
        <v>52</v>
      </c>
      <c r="N8439" s="28" t="s">
        <v>52</v>
      </c>
    </row>
    <row r="8440" spans="1:14" ht="12.75" hidden="1" outlineLevel="1" x14ac:dyDescent="0.2">
      <c r="A8440" s="23" t="str">
        <f>HYPERLINK("https://www.spark-marketing.ru/Card/Person/255225", "ГАУСО ""РЦДПОВ ""ДОВЕРИЕ""")</f>
        <v>ГАУСО "РЦДПОВ "ДОВЕРИЕ"</v>
      </c>
      <c r="B8440" s="24" t="s">
        <v>10704</v>
      </c>
      <c r="C8440" s="25">
        <v>18233.330000000002</v>
      </c>
      <c r="D8440" s="22" t="s">
        <v>10705</v>
      </c>
      <c r="E8440" s="22" t="s">
        <v>103</v>
      </c>
      <c r="F8440" s="23" t="str">
        <f>HYPERLINK("https://www.spark-marketing.ru/Card/Lot/70369639", "Техническое обслуживание системы видеонаблюдения на 2 полугодие 2019 года")</f>
        <v>Техническое обслуживание системы видеонаблюдения на 2 полугодие 2019 года</v>
      </c>
      <c r="G8440" s="22" t="s">
        <v>204</v>
      </c>
      <c r="H8440" s="22" t="s">
        <v>10706</v>
      </c>
      <c r="I8440" s="26">
        <v>43593.418055555601</v>
      </c>
      <c r="J8440" s="23" t="str">
        <f>HYPERLINK("https://www.spark-marketing.ru/Card/Person/5874819", "ООО ЧОО ""ФОРСЕК""")</f>
        <v>ООО ЧОО "ФОРСЕК"</v>
      </c>
      <c r="K8440" s="24" t="s">
        <v>8877</v>
      </c>
      <c r="L8440" s="22" t="s">
        <v>10</v>
      </c>
      <c r="M8440" s="25">
        <v>11050</v>
      </c>
      <c r="N8440" s="27">
        <v>0.39396698244368966</v>
      </c>
    </row>
    <row r="8441" spans="1:14" hidden="1" outlineLevel="1" x14ac:dyDescent="0.2">
      <c r="A8441" s="23" t="str">
        <f>HYPERLINK("https://www.spark-marketing.ru/Card/Person/255225", "ГАУСО ""РЦДПОВ ""ДОВЕРИЕ""")</f>
        <v>ГАУСО "РЦДПОВ "ДОВЕРИЕ"</v>
      </c>
      <c r="B8441" s="24" t="s">
        <v>10704</v>
      </c>
      <c r="C8441" s="25">
        <v>18233.330000000002</v>
      </c>
      <c r="D8441" s="22" t="s">
        <v>10705</v>
      </c>
      <c r="E8441" s="22" t="s">
        <v>103</v>
      </c>
      <c r="F8441" s="23" t="str">
        <f>HYPERLINK("https://www.spark-marketing.ru/Card/Lot/70369639", "Техническое обслуживание системы видеонаблюдения на 2 полугодие 2019 года")</f>
        <v>Техническое обслуживание системы видеонаблюдения на 2 полугодие 2019 года</v>
      </c>
      <c r="G8441" s="22" t="s">
        <v>204</v>
      </c>
      <c r="H8441" s="22" t="s">
        <v>10706</v>
      </c>
      <c r="I8441" s="26">
        <v>43593.418055555601</v>
      </c>
      <c r="J8441" s="23" t="str">
        <f>HYPERLINK("https://www.spark-marketing.ru/Card/Person/290063", "ООО ""РСБ""")</f>
        <v>ООО "РСБ"</v>
      </c>
      <c r="K8441" s="24" t="s">
        <v>10707</v>
      </c>
      <c r="L8441" s="28" t="s">
        <v>52</v>
      </c>
      <c r="M8441" s="25">
        <v>11700</v>
      </c>
      <c r="N8441" s="27">
        <v>0.35831798141096555</v>
      </c>
    </row>
    <row r="8442" spans="1:14" x14ac:dyDescent="0.15">
      <c r="A8442" s="23" t="str">
        <f>HYPERLINK("https://www.spark-marketing.ru/Card/Person/22663", "ФГБОУ ВО ПГФА МИНЗДРАВА РОССИИ")</f>
        <v>ФГБОУ ВО ПГФА МИНЗДРАВА РОССИИ</v>
      </c>
      <c r="B8442" s="24" t="s">
        <v>10708</v>
      </c>
      <c r="C8442" s="25">
        <v>1393579.92</v>
      </c>
      <c r="D8442" s="22" t="s">
        <v>10709</v>
      </c>
      <c r="E8442" s="22" t="s">
        <v>68</v>
      </c>
      <c r="F8442" s="23" t="str">
        <f>HYPERLINK("https://www.spark-marketing.ru/Card/Lot/70367369", "Закупка услуг по физической охране объектов, вооруженное сопровождение кассира с денежными средствами, пресечение очевидных правонарушений и преступлений при помощи кнопки тревожной сигнализации.")</f>
        <v>Закупка услуг по физической охране объектов, вооруженное сопровождение кассира с денежными средствами, пресечение очевидных правонарушений и преступлений при помощи кнопки тревожной сигнализации.</v>
      </c>
      <c r="G8442" s="22" t="s">
        <v>391</v>
      </c>
      <c r="H8442" s="22" t="s">
        <v>392</v>
      </c>
      <c r="I8442" s="26">
        <v>43593.451388888898</v>
      </c>
      <c r="J8442" s="28" t="s">
        <v>52</v>
      </c>
      <c r="K8442" s="28" t="s">
        <v>52</v>
      </c>
      <c r="L8442" s="28" t="s">
        <v>52</v>
      </c>
      <c r="M8442" s="28" t="s">
        <v>52</v>
      </c>
      <c r="N8442" s="28" t="s">
        <v>52</v>
      </c>
    </row>
    <row r="8443" spans="1:14" ht="12.75" hidden="1" outlineLevel="1" x14ac:dyDescent="0.2">
      <c r="A8443" s="23" t="str">
        <f>HYPERLINK("https://www.spark-marketing.ru/Card/Person/22663", "ФГБОУ ВО ПГФА МИНЗДРАВА РОССИИ")</f>
        <v>ФГБОУ ВО ПГФА МИНЗДРАВА РОССИИ</v>
      </c>
      <c r="B8443" s="24" t="s">
        <v>10708</v>
      </c>
      <c r="C8443" s="25">
        <v>1393579.92</v>
      </c>
      <c r="D8443" s="22" t="s">
        <v>10709</v>
      </c>
      <c r="E8443" s="22" t="s">
        <v>68</v>
      </c>
      <c r="F8443" s="23" t="str">
        <f>HYPERLINK("https://www.spark-marketing.ru/Card/Lot/70367369", "Закупка услуг по физической охране объектов, вооруженное сопровождение кассира с денежными средствами, пресечение очевидных правонарушений и преступлений при помощи кнопки тревожной сигнализации.")</f>
        <v>Закупка услуг по физической охране объектов, вооруженное сопровождение кассира с денежными средствами, пресечение очевидных правонарушений и преступлений при помощи кнопки тревожной сигнализации.</v>
      </c>
      <c r="G8443" s="22" t="s">
        <v>391</v>
      </c>
      <c r="H8443" s="22" t="s">
        <v>392</v>
      </c>
      <c r="I8443" s="26">
        <v>43593.451388888898</v>
      </c>
      <c r="J8443" s="23" t="str">
        <f>HYPERLINK("https://www.spark-marketing.ru/Card/Person/401870", "ООО ЧАСТНОЕ ОХРАННОЕ ПРЕДПРИЯТИЕ ""ГРОМ""")</f>
        <v>ООО ЧАСТНОЕ ОХРАННОЕ ПРЕДПРИЯТИЕ "ГРОМ"</v>
      </c>
      <c r="K8443" s="24" t="s">
        <v>10710</v>
      </c>
      <c r="L8443" s="22" t="s">
        <v>10</v>
      </c>
      <c r="M8443" s="25">
        <v>1177575.02</v>
      </c>
      <c r="N8443" s="27">
        <v>0.15500000889794679</v>
      </c>
    </row>
    <row r="8444" spans="1:14" hidden="1" outlineLevel="1" x14ac:dyDescent="0.2">
      <c r="A8444" s="23" t="str">
        <f>HYPERLINK("https://www.spark-marketing.ru/Card/Person/22663", "ФГБОУ ВО ПГФА МИНЗДРАВА РОССИИ")</f>
        <v>ФГБОУ ВО ПГФА МИНЗДРАВА РОССИИ</v>
      </c>
      <c r="B8444" s="24" t="s">
        <v>10708</v>
      </c>
      <c r="C8444" s="25">
        <v>1393579.92</v>
      </c>
      <c r="D8444" s="22" t="s">
        <v>10709</v>
      </c>
      <c r="E8444" s="22" t="s">
        <v>68</v>
      </c>
      <c r="F8444" s="23" t="str">
        <f>HYPERLINK("https://www.spark-marketing.ru/Card/Lot/70367369", "Закупка услуг по физической охране объектов, вооруженное сопровождение кассира с денежными средствами, пресечение очевидных правонарушений и преступлений при помощи кнопки тревожной сигнализации.")</f>
        <v>Закупка услуг по физической охране объектов, вооруженное сопровождение кассира с денежными средствами, пресечение очевидных правонарушений и преступлений при помощи кнопки тревожной сигнализации.</v>
      </c>
      <c r="G8444" s="22" t="s">
        <v>391</v>
      </c>
      <c r="H8444" s="22" t="s">
        <v>392</v>
      </c>
      <c r="I8444" s="26">
        <v>43593.451388888898</v>
      </c>
      <c r="J8444" s="23" t="str">
        <f>HYPERLINK("https://www.spark-marketing.ru/Card/Person/1430246", "ООО ""ОДИССЕЙ-СБ""")</f>
        <v>ООО "ОДИССЕЙ-СБ"</v>
      </c>
      <c r="K8444" s="24" t="s">
        <v>10711</v>
      </c>
      <c r="L8444" s="28" t="s">
        <v>52</v>
      </c>
      <c r="M8444" s="25">
        <v>1184542.92</v>
      </c>
      <c r="N8444" s="27">
        <v>0.15000000861091625</v>
      </c>
    </row>
    <row r="8445" spans="1:14" x14ac:dyDescent="0.2">
      <c r="A8445" s="23" t="str">
        <f>HYPERLINK("https://www.spark-marketing.ru/Card/Person/553852", "ГАПОУ СО ""КИРОВГРАДСКИЙ ТЕХНИКУМ ПТС""")</f>
        <v>ГАПОУ СО "КИРОВГРАДСКИЙ ТЕХНИКУМ ПТС"</v>
      </c>
      <c r="B8445" s="24" t="s">
        <v>10712</v>
      </c>
      <c r="C8445" s="25">
        <v>688724.3</v>
      </c>
      <c r="D8445" s="22" t="s">
        <v>10713</v>
      </c>
      <c r="E8445" s="22" t="s">
        <v>10714</v>
      </c>
      <c r="F8445" s="23" t="str">
        <f>HYPERLINK("https://www.spark-marketing.ru/Card/Lot/70364523", "Установка системы видеонаблюдения, системы контроля и управления доступом")</f>
        <v>Установка системы видеонаблюдения, системы контроля и управления доступом</v>
      </c>
      <c r="G8445" s="22" t="s">
        <v>72</v>
      </c>
      <c r="H8445" s="22" t="s">
        <v>7807</v>
      </c>
      <c r="I8445" s="26">
        <v>43593.401574074102</v>
      </c>
      <c r="J8445" s="23" t="str">
        <f>HYPERLINK("https://www.spark-marketing.ru/Card/Person/234849", "ООО ""МЕЛДАНА""")</f>
        <v>ООО "МЕЛДАНА"</v>
      </c>
      <c r="K8445" s="24" t="s">
        <v>10715</v>
      </c>
      <c r="L8445" s="28" t="s">
        <v>52</v>
      </c>
      <c r="M8445" s="25">
        <v>680724.3</v>
      </c>
      <c r="N8445" s="27">
        <v>1.1615678436204443E-2</v>
      </c>
    </row>
    <row r="8446" spans="1:14" x14ac:dyDescent="0.15">
      <c r="A8446" s="23" t="str">
        <f>HYPERLINK("https://www.spark-marketing.ru/Card/Person/134736", "ГБУЗ АО ""АОПБ""")</f>
        <v>ГБУЗ АО "АОПБ"</v>
      </c>
      <c r="B8446" s="24" t="s">
        <v>10716</v>
      </c>
      <c r="C8446" s="25">
        <v>148144.70000000001</v>
      </c>
      <c r="D8446" s="22" t="s">
        <v>10717</v>
      </c>
      <c r="E8446" s="22" t="s">
        <v>84</v>
      </c>
      <c r="F8446" s="23" t="str">
        <f>HYPERLINK("https://www.spark-marketing.ru/Card/Lot/70361068", "Выполнение работ по установке видеонаблюдения в детском отделении ОСП г. Благовещенск, расположенном по адресу: Амурская область, г. Благовещенск, ул. Больничная, д. 32")</f>
        <v>Выполнение работ по установке видеонаблюдения в детском отделении ОСП г. Благовещенск, расположенном по адресу: Амурская область, г. Благовещенск, ул. Больничная, д. 32</v>
      </c>
      <c r="G8446" s="22" t="s">
        <v>230</v>
      </c>
      <c r="H8446" s="22" t="s">
        <v>231</v>
      </c>
      <c r="I8446" s="26">
        <v>43593.390277777798</v>
      </c>
      <c r="J8446" s="28" t="s">
        <v>52</v>
      </c>
      <c r="K8446" s="28" t="s">
        <v>52</v>
      </c>
      <c r="L8446" s="28" t="s">
        <v>52</v>
      </c>
      <c r="M8446" s="28" t="s">
        <v>52</v>
      </c>
      <c r="N8446" s="28" t="s">
        <v>52</v>
      </c>
    </row>
    <row r="8447" spans="1:14" hidden="1" outlineLevel="1" x14ac:dyDescent="0.2">
      <c r="A8447" s="23" t="str">
        <f>HYPERLINK("https://www.spark-marketing.ru/Card/Person/134736", "ГБУЗ АО ""АОПБ""")</f>
        <v>ГБУЗ АО "АОПБ"</v>
      </c>
      <c r="B8447" s="24" t="s">
        <v>10716</v>
      </c>
      <c r="C8447" s="25">
        <v>148144.70000000001</v>
      </c>
      <c r="D8447" s="22" t="s">
        <v>10717</v>
      </c>
      <c r="E8447" s="22" t="s">
        <v>84</v>
      </c>
      <c r="F8447" s="23" t="str">
        <f>HYPERLINK("https://www.spark-marketing.ru/Card/Lot/70361068", "Выполнение работ по установке видеонаблюдения в детском отделении ОСП г. Благовещенск, расположенном по адресу: Амурская область, г. Благовещенск, ул. Больничная, д. 32")</f>
        <v>Выполнение работ по установке видеонаблюдения в детском отделении ОСП г. Благовещенск, расположенном по адресу: Амурская область, г. Благовещенск, ул. Больничная, д. 32</v>
      </c>
      <c r="G8447" s="22" t="s">
        <v>230</v>
      </c>
      <c r="H8447" s="22" t="s">
        <v>231</v>
      </c>
      <c r="I8447" s="26">
        <v>43593.390277777798</v>
      </c>
      <c r="J8447" s="23" t="str">
        <f>HYPERLINK("https://www.spark-marketing.ru/Card/Person/342706", "Кантолинская Татьяна Семеновна")</f>
        <v>Кантолинская Татьяна Семеновна</v>
      </c>
      <c r="K8447" s="24" t="s">
        <v>10718</v>
      </c>
      <c r="L8447" s="28" t="s">
        <v>52</v>
      </c>
      <c r="M8447" s="25">
        <v>77000</v>
      </c>
      <c r="N8447" s="27">
        <v>0.48023790253718157</v>
      </c>
    </row>
    <row r="8448" spans="1:14" ht="12.75" hidden="1" outlineLevel="1" x14ac:dyDescent="0.2">
      <c r="A8448" s="23" t="str">
        <f>HYPERLINK("https://www.spark-marketing.ru/Card/Person/134736", "ГБУЗ АО ""АОПБ""")</f>
        <v>ГБУЗ АО "АОПБ"</v>
      </c>
      <c r="B8448" s="24" t="s">
        <v>10716</v>
      </c>
      <c r="C8448" s="25">
        <v>148144.70000000001</v>
      </c>
      <c r="D8448" s="22" t="s">
        <v>10717</v>
      </c>
      <c r="E8448" s="22" t="s">
        <v>84</v>
      </c>
      <c r="F8448" s="23" t="str">
        <f>HYPERLINK("https://www.spark-marketing.ru/Card/Lot/70361068", "Выполнение работ по установке видеонаблюдения в детском отделении ОСП г. Благовещенск, расположенном по адресу: Амурская область, г. Благовещенск, ул. Больничная, д. 32")</f>
        <v>Выполнение работ по установке видеонаблюдения в детском отделении ОСП г. Благовещенск, расположенном по адресу: Амурская область, г. Благовещенск, ул. Больничная, д. 32</v>
      </c>
      <c r="G8448" s="22" t="s">
        <v>230</v>
      </c>
      <c r="H8448" s="22" t="s">
        <v>231</v>
      </c>
      <c r="I8448" s="26">
        <v>43593.390277777798</v>
      </c>
      <c r="J8448" s="23" t="str">
        <f>HYPERLINK("https://www.spark-marketing.ru/Card/Person/6581209", "Малёв Дмитрий Геннадьевич")</f>
        <v>Малёв Дмитрий Геннадьевич</v>
      </c>
      <c r="K8448" s="24" t="s">
        <v>10719</v>
      </c>
      <c r="L8448" s="22" t="s">
        <v>10</v>
      </c>
      <c r="M8448" s="25">
        <v>76293.89</v>
      </c>
      <c r="N8448" s="27">
        <v>0.48500425597405777</v>
      </c>
    </row>
    <row r="8449" spans="1:14" x14ac:dyDescent="0.15">
      <c r="A8449" s="23" t="str">
        <f>HYPERLINK("https://www.spark-marketing.ru/Card/Person/265199", "АМУРСТАТ")</f>
        <v>АМУРСТАТ</v>
      </c>
      <c r="B8449" s="24" t="s">
        <v>10720</v>
      </c>
      <c r="C8449" s="25">
        <v>46866.559999999998</v>
      </c>
      <c r="D8449" s="22" t="s">
        <v>10721</v>
      </c>
      <c r="E8449" s="22" t="s">
        <v>53</v>
      </c>
      <c r="F8449" s="23" t="str">
        <f>HYPERLINK("https://www.spark-marketing.ru/Card/Lot/70761674", "Предоставление охранных услуг на объекте")</f>
        <v>Предоставление охранных услуг на объекте</v>
      </c>
      <c r="G8449" s="22" t="s">
        <v>230</v>
      </c>
      <c r="H8449" s="22" t="s">
        <v>231</v>
      </c>
      <c r="I8449" s="26">
        <v>43593.349062499998</v>
      </c>
      <c r="J8449" s="28" t="s">
        <v>52</v>
      </c>
      <c r="K8449" s="28" t="s">
        <v>52</v>
      </c>
      <c r="L8449" s="28" t="s">
        <v>52</v>
      </c>
      <c r="M8449" s="28" t="s">
        <v>52</v>
      </c>
      <c r="N8449" s="28" t="s">
        <v>52</v>
      </c>
    </row>
    <row r="8450" spans="1:14" x14ac:dyDescent="0.15">
      <c r="A8450" s="23" t="str">
        <f>HYPERLINK("https://www.spark-marketing.ru/Card/Person/6282491", "ФЛ ООО РН ТРАНСПОРТ Г УФА")</f>
        <v>ФЛ ООО РН ТРАНСПОРТ Г УФА</v>
      </c>
      <c r="B8450" s="28" t="s">
        <v>52</v>
      </c>
      <c r="C8450" s="28" t="s">
        <v>52</v>
      </c>
      <c r="D8450" s="22" t="s">
        <v>10722</v>
      </c>
      <c r="E8450" s="22" t="s">
        <v>2577</v>
      </c>
      <c r="F8450" s="23" t="str">
        <f>HYPERLINK("https://www.spark-marketing.ru/Card/Lot/70363724", "Оказание услуг по разработке планов обеспечения транспортной безопасности транспортных средств (11 групп)")</f>
        <v>Оказание услуг по разработке планов обеспечения транспортной безопасности транспортных средств (11 групп)</v>
      </c>
      <c r="G8450" s="22" t="s">
        <v>52</v>
      </c>
      <c r="H8450" s="22" t="s">
        <v>52</v>
      </c>
      <c r="I8450" s="26">
        <v>43593.313888888901</v>
      </c>
      <c r="J8450" s="28" t="s">
        <v>52</v>
      </c>
      <c r="K8450" s="28" t="s">
        <v>52</v>
      </c>
      <c r="L8450" s="28" t="s">
        <v>52</v>
      </c>
      <c r="M8450" s="28" t="s">
        <v>52</v>
      </c>
      <c r="N8450" s="28" t="s">
        <v>52</v>
      </c>
    </row>
    <row r="8451" spans="1:14" x14ac:dyDescent="0.15">
      <c r="A8451" s="23" t="str">
        <f>HYPERLINK("https://www.spark-marketing.ru/Card/Person/4346563", "ПАО ""ГАЗПРОМ""")</f>
        <v>ПАО "ГАЗПРОМ"</v>
      </c>
      <c r="B8451" s="24" t="s">
        <v>1548</v>
      </c>
      <c r="C8451" s="25">
        <v>107871057.41</v>
      </c>
      <c r="D8451" s="22" t="s">
        <v>10723</v>
      </c>
      <c r="E8451" s="22" t="s">
        <v>1550</v>
      </c>
      <c r="F8451" s="23" t="str">
        <f>HYPERLINK("https://www.spark-marketing.ru/Card/Lot/70357632", "Оказание автотранспортных услуг АУП и Хабаровскому отряду охраны филиала ПАО «Газпром» «Дальневосточное межрегиональное управление охраны ПАО «Газпром» в г. Хабаровске для нужд ПАО «Газпром» в 2019-2021 годах (для субъектов малого и среднего предприн...")</f>
        <v>Оказание автотранспортных услуг АУП и Хабаровскому отряду охраны филиала ПАО «Газпром» «Дальневосточное межрегиональное управление охраны ПАО «Газпром» в г. Хабаровске для нужд ПАО «Газпром» в 2019-2021 годах (для субъектов малого и среднего предприн...</v>
      </c>
      <c r="G8451" s="22" t="s">
        <v>55</v>
      </c>
      <c r="H8451" s="22" t="s">
        <v>55</v>
      </c>
      <c r="I8451" s="26">
        <v>43592.817685185197</v>
      </c>
      <c r="J8451" s="28" t="s">
        <v>52</v>
      </c>
      <c r="K8451" s="28" t="s">
        <v>52</v>
      </c>
      <c r="L8451" s="28" t="s">
        <v>52</v>
      </c>
      <c r="M8451" s="28" t="s">
        <v>52</v>
      </c>
      <c r="N8451" s="28" t="s">
        <v>52</v>
      </c>
    </row>
    <row r="8452" spans="1:14" hidden="1" outlineLevel="1" x14ac:dyDescent="0.15">
      <c r="A8452" s="23" t="str">
        <f>HYPERLINK("https://www.spark-marketing.ru/Card/Person/4346563", "ПАО ""ГАЗПРОМ""")</f>
        <v>ПАО "ГАЗПРОМ"</v>
      </c>
      <c r="B8452" s="24" t="s">
        <v>1548</v>
      </c>
      <c r="C8452" s="28" t="s">
        <v>52</v>
      </c>
      <c r="D8452" s="22" t="s">
        <v>10723</v>
      </c>
      <c r="E8452" s="22" t="s">
        <v>1550</v>
      </c>
      <c r="F8452" s="23" t="str">
        <f>HYPERLINK("https://www.spark-marketing.ru/Card/Lot/70357632", "Оказание автотранспортных услуг АУП и Хабаровскому отряду охраны филиала ПАО «Газпром» «Дальневосточное межрегиональное управление охраны ПАО «Газпром» в г. Хабаровске для нужд ПАО «Газпром» в 2019-2021 годах (для субъектов малого и среднего предприн...")</f>
        <v>Оказание автотранспортных услуг АУП и Хабаровскому отряду охраны филиала ПАО «Газпром» «Дальневосточное межрегиональное управление охраны ПАО «Газпром» в г. Хабаровске для нужд ПАО «Газпром» в 2019-2021 годах (для субъектов малого и среднего предприн...</v>
      </c>
      <c r="G8452" s="22" t="s">
        <v>55</v>
      </c>
      <c r="H8452" s="22" t="s">
        <v>55</v>
      </c>
      <c r="I8452" s="26">
        <v>43592.817685185197</v>
      </c>
      <c r="J8452" s="23" t="str">
        <f>HYPERLINK("https://www.spark-marketing.ru/Card/Person/-1", "неизвестно")</f>
        <v>неизвестно</v>
      </c>
      <c r="K8452" s="28" t="s">
        <v>52</v>
      </c>
      <c r="L8452" s="28" t="s">
        <v>52</v>
      </c>
      <c r="M8452" s="28" t="s">
        <v>52</v>
      </c>
      <c r="N8452" s="28" t="s">
        <v>52</v>
      </c>
    </row>
    <row r="8453" spans="1:14" hidden="1" outlineLevel="1" x14ac:dyDescent="0.2">
      <c r="A8453" s="23" t="str">
        <f>HYPERLINK("https://www.spark-marketing.ru/Card/Person/4346563", "ПАО ""ГАЗПРОМ""")</f>
        <v>ПАО "ГАЗПРОМ"</v>
      </c>
      <c r="B8453" s="24" t="s">
        <v>1548</v>
      </c>
      <c r="C8453" s="28" t="s">
        <v>52</v>
      </c>
      <c r="D8453" s="22" t="s">
        <v>10723</v>
      </c>
      <c r="E8453" s="22" t="s">
        <v>1550</v>
      </c>
      <c r="F8453" s="23" t="str">
        <f>HYPERLINK("https://www.spark-marketing.ru/Card/Lot/70357632", "Оказание автотранспортных услуг АУП и Хабаровскому отряду охраны филиала ПАО «Газпром» «Дальневосточное межрегиональное управление охраны ПАО «Газпром» в г. Хабаровске для нужд ПАО «Газпром» в 2019-2021 годах (для субъектов малого и среднего предприн...")</f>
        <v>Оказание автотранспортных услуг АУП и Хабаровскому отряду охраны филиала ПАО «Газпром» «Дальневосточное межрегиональное управление охраны ПАО «Газпром» в г. Хабаровске для нужд ПАО «Газпром» в 2019-2021 годах (для субъектов малого и среднего предприн...</v>
      </c>
      <c r="G8453" s="22" t="s">
        <v>55</v>
      </c>
      <c r="H8453" s="22" t="s">
        <v>55</v>
      </c>
      <c r="I8453" s="26">
        <v>43592.817685185197</v>
      </c>
      <c r="J8453" s="23" t="str">
        <f>HYPERLINK("https://www.spark-marketing.ru/Card/Person/-1", "неизвестно")</f>
        <v>неизвестно</v>
      </c>
      <c r="K8453" s="28" t="s">
        <v>52</v>
      </c>
      <c r="L8453" s="22" t="s">
        <v>10</v>
      </c>
      <c r="M8453" s="25">
        <v>86106446</v>
      </c>
      <c r="N8453" s="27">
        <v>0.20176506963565141</v>
      </c>
    </row>
    <row r="8454" spans="1:14" hidden="1" outlineLevel="1" x14ac:dyDescent="0.15">
      <c r="A8454" s="23" t="str">
        <f>HYPERLINK("https://www.spark-marketing.ru/Card/Person/4346563", "ПАО ""ГАЗПРОМ""")</f>
        <v>ПАО "ГАЗПРОМ"</v>
      </c>
      <c r="B8454" s="24" t="s">
        <v>1548</v>
      </c>
      <c r="C8454" s="28" t="s">
        <v>52</v>
      </c>
      <c r="D8454" s="22" t="s">
        <v>10723</v>
      </c>
      <c r="E8454" s="22" t="s">
        <v>1550</v>
      </c>
      <c r="F8454" s="23" t="str">
        <f>HYPERLINK("https://www.spark-marketing.ru/Card/Lot/70357632", "Оказание автотранспортных услуг АУП и Хабаровскому отряду охраны филиала ПАО «Газпром» «Дальневосточное межрегиональное управление охраны ПАО «Газпром» в г. Хабаровске для нужд ПАО «Газпром» в 2019-2021 годах (для субъектов малого и среднего предприн...")</f>
        <v>Оказание автотранспортных услуг АУП и Хабаровскому отряду охраны филиала ПАО «Газпром» «Дальневосточное межрегиональное управление охраны ПАО «Газпром» в г. Хабаровске для нужд ПАО «Газпром» в 2019-2021 годах (для субъектов малого и среднего предприн...</v>
      </c>
      <c r="G8454" s="22" t="s">
        <v>55</v>
      </c>
      <c r="H8454" s="22" t="s">
        <v>55</v>
      </c>
      <c r="I8454" s="26">
        <v>43592.817685185197</v>
      </c>
      <c r="J8454" s="23" t="str">
        <f>HYPERLINK("https://www.spark-marketing.ru/Card/Person/-1", "неизвестно")</f>
        <v>неизвестно</v>
      </c>
      <c r="K8454" s="28" t="s">
        <v>52</v>
      </c>
      <c r="L8454" s="28" t="s">
        <v>52</v>
      </c>
      <c r="M8454" s="28" t="s">
        <v>52</v>
      </c>
      <c r="N8454" s="28" t="s">
        <v>52</v>
      </c>
    </row>
    <row r="8455" spans="1:14" hidden="1" outlineLevel="1" x14ac:dyDescent="0.15">
      <c r="A8455" s="23" t="str">
        <f>HYPERLINK("https://www.spark-marketing.ru/Card/Person/4346563", "ПАО ""ГАЗПРОМ""")</f>
        <v>ПАО "ГАЗПРОМ"</v>
      </c>
      <c r="B8455" s="24" t="s">
        <v>1548</v>
      </c>
      <c r="C8455" s="28" t="s">
        <v>52</v>
      </c>
      <c r="D8455" s="22" t="s">
        <v>10723</v>
      </c>
      <c r="E8455" s="22" t="s">
        <v>1550</v>
      </c>
      <c r="F8455" s="23" t="str">
        <f>HYPERLINK("https://www.spark-marketing.ru/Card/Lot/70357632", "Оказание автотранспортных услуг АУП и Хабаровскому отряду охраны филиала ПАО «Газпром» «Дальневосточное межрегиональное управление охраны ПАО «Газпром» в г. Хабаровске для нужд ПАО «Газпром» в 2019-2021 годах (для субъектов малого и среднего предприн...")</f>
        <v>Оказание автотранспортных услуг АУП и Хабаровскому отряду охраны филиала ПАО «Газпром» «Дальневосточное межрегиональное управление охраны ПАО «Газпром» в г. Хабаровске для нужд ПАО «Газпром» в 2019-2021 годах (для субъектов малого и среднего предприн...</v>
      </c>
      <c r="G8455" s="22" t="s">
        <v>55</v>
      </c>
      <c r="H8455" s="22" t="s">
        <v>55</v>
      </c>
      <c r="I8455" s="26">
        <v>43592.817685185197</v>
      </c>
      <c r="J8455" s="23" t="str">
        <f>HYPERLINK("https://www.spark-marketing.ru/Card/Person/-1", "неизвестно")</f>
        <v>неизвестно</v>
      </c>
      <c r="K8455" s="28" t="s">
        <v>52</v>
      </c>
      <c r="L8455" s="28" t="s">
        <v>52</v>
      </c>
      <c r="M8455" s="28" t="s">
        <v>52</v>
      </c>
      <c r="N8455" s="28" t="s">
        <v>52</v>
      </c>
    </row>
    <row r="8456" spans="1:14" x14ac:dyDescent="0.15">
      <c r="A8456" s="23" t="str">
        <f>HYPERLINK("https://www.spark-marketing.ru/Card/Person/18873", "УСД В КЕМЕРОВСКОЙ ОБЛАСТИ")</f>
        <v>УСД В КЕМЕРОВСКОЙ ОБЛАСТИ</v>
      </c>
      <c r="B8456" s="24" t="s">
        <v>7512</v>
      </c>
      <c r="C8456" s="25">
        <v>31633.919999999998</v>
      </c>
      <c r="D8456" s="22" t="s">
        <v>10724</v>
      </c>
      <c r="E8456" s="22" t="s">
        <v>68</v>
      </c>
      <c r="F8456" s="23" t="str">
        <f>HYPERLINK("https://www.spark-marketing.ru/Card/Lot/70353074", "Оказание охранных услуг с использованием технических средств охранной сигнализации в Крапивинском районном суде Кемеровской области")</f>
        <v>Оказание охранных услуг с использованием технических средств охранной сигнализации в Крапивинском районном суде Кемеровской области</v>
      </c>
      <c r="G8456" s="22" t="s">
        <v>367</v>
      </c>
      <c r="H8456" s="22" t="s">
        <v>367</v>
      </c>
      <c r="I8456" s="26">
        <v>43592.832638888904</v>
      </c>
      <c r="J8456" s="28" t="s">
        <v>52</v>
      </c>
      <c r="K8456" s="28" t="s">
        <v>52</v>
      </c>
      <c r="L8456" s="28" t="s">
        <v>52</v>
      </c>
      <c r="M8456" s="28" t="s">
        <v>52</v>
      </c>
      <c r="N8456" s="28" t="s">
        <v>52</v>
      </c>
    </row>
    <row r="8457" spans="1:14" x14ac:dyDescent="0.15">
      <c r="A8457" s="23" t="str">
        <f t="shared" ref="A8457:A8464" si="375">HYPERLINK("https://www.spark-marketing.ru/Card/Person/4346563", "ПАО ""ГАЗПРОМ""")</f>
        <v>ПАО "ГАЗПРОМ"</v>
      </c>
      <c r="B8457" s="24" t="s">
        <v>1548</v>
      </c>
      <c r="C8457" s="25">
        <v>123991968</v>
      </c>
      <c r="D8457" s="22" t="s">
        <v>10725</v>
      </c>
      <c r="E8457" s="22" t="s">
        <v>1550</v>
      </c>
      <c r="F8457" s="23" t="str">
        <f t="shared" ref="F8457:F8464" si="376">HYPERLINK("https://www.spark-marketing.ru/Card/Lot/70357631", "Оказание автотранспортных услуг Приморскому отряду охраны филиала ПАО «Газпром» «Дальневосточное межрегиональное управление охраны ПАО «Газпром» в г. Хабаровске для нужд ПАО «Газпром» в 2019-2021 годах (для субъектов малого и среднего предприниматель...")</f>
        <v>Оказание автотранспортных услуг Приморскому отряду охраны филиала ПАО «Газпром» «Дальневосточное межрегиональное управление охраны ПАО «Газпром» в г. Хабаровске для нужд ПАО «Газпром» в 2019-2021 годах (для субъектов малого и среднего предприниматель...</v>
      </c>
      <c r="G8457" s="22" t="s">
        <v>55</v>
      </c>
      <c r="H8457" s="22" t="s">
        <v>55</v>
      </c>
      <c r="I8457" s="26">
        <v>43592.816307870402</v>
      </c>
      <c r="J8457" s="28" t="s">
        <v>52</v>
      </c>
      <c r="K8457" s="28" t="s">
        <v>52</v>
      </c>
      <c r="L8457" s="28" t="s">
        <v>52</v>
      </c>
      <c r="M8457" s="28" t="s">
        <v>52</v>
      </c>
      <c r="N8457" s="28" t="s">
        <v>52</v>
      </c>
    </row>
    <row r="8458" spans="1:14" hidden="1" outlineLevel="1" x14ac:dyDescent="0.2">
      <c r="A8458" s="23" t="str">
        <f t="shared" si="375"/>
        <v>ПАО "ГАЗПРОМ"</v>
      </c>
      <c r="B8458" s="24" t="s">
        <v>1548</v>
      </c>
      <c r="C8458" s="28" t="s">
        <v>52</v>
      </c>
      <c r="D8458" s="22" t="s">
        <v>10725</v>
      </c>
      <c r="E8458" s="22" t="s">
        <v>1550</v>
      </c>
      <c r="F8458" s="23" t="str">
        <f t="shared" si="376"/>
        <v>Оказание автотранспортных услуг Приморскому отряду охраны филиала ПАО «Газпром» «Дальневосточное межрегиональное управление охраны ПАО «Газпром» в г. Хабаровске для нужд ПАО «Газпром» в 2019-2021 годах (для субъектов малого и среднего предприниматель...</v>
      </c>
      <c r="G8458" s="22" t="s">
        <v>55</v>
      </c>
      <c r="H8458" s="22" t="s">
        <v>55</v>
      </c>
      <c r="I8458" s="26">
        <v>43592.816307870402</v>
      </c>
      <c r="J8458" s="23" t="str">
        <f t="shared" ref="J8458:J8464" si="377">HYPERLINK("https://www.spark-marketing.ru/Card/Person/-1", "неизвестно")</f>
        <v>неизвестно</v>
      </c>
      <c r="K8458" s="28" t="s">
        <v>52</v>
      </c>
      <c r="L8458" s="22" t="s">
        <v>10</v>
      </c>
      <c r="M8458" s="25">
        <v>118689857.76000001</v>
      </c>
      <c r="N8458" s="27">
        <v>4.2761723404535365E-2</v>
      </c>
    </row>
    <row r="8459" spans="1:14" hidden="1" outlineLevel="1" x14ac:dyDescent="0.15">
      <c r="A8459" s="23" t="str">
        <f t="shared" si="375"/>
        <v>ПАО "ГАЗПРОМ"</v>
      </c>
      <c r="B8459" s="24" t="s">
        <v>1548</v>
      </c>
      <c r="C8459" s="28" t="s">
        <v>52</v>
      </c>
      <c r="D8459" s="22" t="s">
        <v>10725</v>
      </c>
      <c r="E8459" s="22" t="s">
        <v>1550</v>
      </c>
      <c r="F8459" s="23" t="str">
        <f t="shared" si="376"/>
        <v>Оказание автотранспортных услуг Приморскому отряду охраны филиала ПАО «Газпром» «Дальневосточное межрегиональное управление охраны ПАО «Газпром» в г. Хабаровске для нужд ПАО «Газпром» в 2019-2021 годах (для субъектов малого и среднего предприниматель...</v>
      </c>
      <c r="G8459" s="22" t="s">
        <v>55</v>
      </c>
      <c r="H8459" s="22" t="s">
        <v>55</v>
      </c>
      <c r="I8459" s="26">
        <v>43592.816307870402</v>
      </c>
      <c r="J8459" s="23" t="str">
        <f t="shared" si="377"/>
        <v>неизвестно</v>
      </c>
      <c r="K8459" s="28" t="s">
        <v>52</v>
      </c>
      <c r="L8459" s="28" t="s">
        <v>52</v>
      </c>
      <c r="M8459" s="28" t="s">
        <v>52</v>
      </c>
      <c r="N8459" s="28" t="s">
        <v>52</v>
      </c>
    </row>
    <row r="8460" spans="1:14" hidden="1" outlineLevel="1" x14ac:dyDescent="0.15">
      <c r="A8460" s="23" t="str">
        <f t="shared" si="375"/>
        <v>ПАО "ГАЗПРОМ"</v>
      </c>
      <c r="B8460" s="24" t="s">
        <v>1548</v>
      </c>
      <c r="C8460" s="28" t="s">
        <v>52</v>
      </c>
      <c r="D8460" s="22" t="s">
        <v>10725</v>
      </c>
      <c r="E8460" s="22" t="s">
        <v>1550</v>
      </c>
      <c r="F8460" s="23" t="str">
        <f t="shared" si="376"/>
        <v>Оказание автотранспортных услуг Приморскому отряду охраны филиала ПАО «Газпром» «Дальневосточное межрегиональное управление охраны ПАО «Газпром» в г. Хабаровске для нужд ПАО «Газпром» в 2019-2021 годах (для субъектов малого и среднего предприниматель...</v>
      </c>
      <c r="G8460" s="22" t="s">
        <v>55</v>
      </c>
      <c r="H8460" s="22" t="s">
        <v>55</v>
      </c>
      <c r="I8460" s="26">
        <v>43592.816307870402</v>
      </c>
      <c r="J8460" s="23" t="str">
        <f t="shared" si="377"/>
        <v>неизвестно</v>
      </c>
      <c r="K8460" s="28" t="s">
        <v>52</v>
      </c>
      <c r="L8460" s="28" t="s">
        <v>52</v>
      </c>
      <c r="M8460" s="28" t="s">
        <v>52</v>
      </c>
      <c r="N8460" s="28" t="s">
        <v>52</v>
      </c>
    </row>
    <row r="8461" spans="1:14" hidden="1" outlineLevel="1" x14ac:dyDescent="0.15">
      <c r="A8461" s="23" t="str">
        <f t="shared" si="375"/>
        <v>ПАО "ГАЗПРОМ"</v>
      </c>
      <c r="B8461" s="24" t="s">
        <v>1548</v>
      </c>
      <c r="C8461" s="28" t="s">
        <v>52</v>
      </c>
      <c r="D8461" s="22" t="s">
        <v>10725</v>
      </c>
      <c r="E8461" s="22" t="s">
        <v>1550</v>
      </c>
      <c r="F8461" s="23" t="str">
        <f t="shared" si="376"/>
        <v>Оказание автотранспортных услуг Приморскому отряду охраны филиала ПАО «Газпром» «Дальневосточное межрегиональное управление охраны ПАО «Газпром» в г. Хабаровске для нужд ПАО «Газпром» в 2019-2021 годах (для субъектов малого и среднего предприниматель...</v>
      </c>
      <c r="G8461" s="22" t="s">
        <v>55</v>
      </c>
      <c r="H8461" s="22" t="s">
        <v>55</v>
      </c>
      <c r="I8461" s="26">
        <v>43592.816307870402</v>
      </c>
      <c r="J8461" s="23" t="str">
        <f t="shared" si="377"/>
        <v>неизвестно</v>
      </c>
      <c r="K8461" s="28" t="s">
        <v>52</v>
      </c>
      <c r="L8461" s="28" t="s">
        <v>52</v>
      </c>
      <c r="M8461" s="28" t="s">
        <v>52</v>
      </c>
      <c r="N8461" s="28" t="s">
        <v>52</v>
      </c>
    </row>
    <row r="8462" spans="1:14" hidden="1" outlineLevel="1" x14ac:dyDescent="0.15">
      <c r="A8462" s="23" t="str">
        <f t="shared" si="375"/>
        <v>ПАО "ГАЗПРОМ"</v>
      </c>
      <c r="B8462" s="24" t="s">
        <v>1548</v>
      </c>
      <c r="C8462" s="28" t="s">
        <v>52</v>
      </c>
      <c r="D8462" s="22" t="s">
        <v>10725</v>
      </c>
      <c r="E8462" s="22" t="s">
        <v>1550</v>
      </c>
      <c r="F8462" s="23" t="str">
        <f t="shared" si="376"/>
        <v>Оказание автотранспортных услуг Приморскому отряду охраны филиала ПАО «Газпром» «Дальневосточное межрегиональное управление охраны ПАО «Газпром» в г. Хабаровске для нужд ПАО «Газпром» в 2019-2021 годах (для субъектов малого и среднего предприниматель...</v>
      </c>
      <c r="G8462" s="22" t="s">
        <v>55</v>
      </c>
      <c r="H8462" s="22" t="s">
        <v>55</v>
      </c>
      <c r="I8462" s="26">
        <v>43592.816307870402</v>
      </c>
      <c r="J8462" s="23" t="str">
        <f t="shared" si="377"/>
        <v>неизвестно</v>
      </c>
      <c r="K8462" s="28" t="s">
        <v>52</v>
      </c>
      <c r="L8462" s="28" t="s">
        <v>52</v>
      </c>
      <c r="M8462" s="28" t="s">
        <v>52</v>
      </c>
      <c r="N8462" s="28" t="s">
        <v>52</v>
      </c>
    </row>
    <row r="8463" spans="1:14" hidden="1" outlineLevel="1" x14ac:dyDescent="0.15">
      <c r="A8463" s="23" t="str">
        <f t="shared" si="375"/>
        <v>ПАО "ГАЗПРОМ"</v>
      </c>
      <c r="B8463" s="24" t="s">
        <v>1548</v>
      </c>
      <c r="C8463" s="28" t="s">
        <v>52</v>
      </c>
      <c r="D8463" s="22" t="s">
        <v>10725</v>
      </c>
      <c r="E8463" s="22" t="s">
        <v>1550</v>
      </c>
      <c r="F8463" s="23" t="str">
        <f t="shared" si="376"/>
        <v>Оказание автотранспортных услуг Приморскому отряду охраны филиала ПАО «Газпром» «Дальневосточное межрегиональное управление охраны ПАО «Газпром» в г. Хабаровске для нужд ПАО «Газпром» в 2019-2021 годах (для субъектов малого и среднего предприниматель...</v>
      </c>
      <c r="G8463" s="22" t="s">
        <v>55</v>
      </c>
      <c r="H8463" s="22" t="s">
        <v>55</v>
      </c>
      <c r="I8463" s="26">
        <v>43592.816307870402</v>
      </c>
      <c r="J8463" s="23" t="str">
        <f t="shared" si="377"/>
        <v>неизвестно</v>
      </c>
      <c r="K8463" s="28" t="s">
        <v>52</v>
      </c>
      <c r="L8463" s="28" t="s">
        <v>52</v>
      </c>
      <c r="M8463" s="28" t="s">
        <v>52</v>
      </c>
      <c r="N8463" s="28" t="s">
        <v>52</v>
      </c>
    </row>
    <row r="8464" spans="1:14" hidden="1" outlineLevel="1" x14ac:dyDescent="0.15">
      <c r="A8464" s="23" t="str">
        <f t="shared" si="375"/>
        <v>ПАО "ГАЗПРОМ"</v>
      </c>
      <c r="B8464" s="24" t="s">
        <v>1548</v>
      </c>
      <c r="C8464" s="28" t="s">
        <v>52</v>
      </c>
      <c r="D8464" s="22" t="s">
        <v>10725</v>
      </c>
      <c r="E8464" s="22" t="s">
        <v>1550</v>
      </c>
      <c r="F8464" s="23" t="str">
        <f t="shared" si="376"/>
        <v>Оказание автотранспортных услуг Приморскому отряду охраны филиала ПАО «Газпром» «Дальневосточное межрегиональное управление охраны ПАО «Газпром» в г. Хабаровске для нужд ПАО «Газпром» в 2019-2021 годах (для субъектов малого и среднего предприниматель...</v>
      </c>
      <c r="G8464" s="22" t="s">
        <v>55</v>
      </c>
      <c r="H8464" s="22" t="s">
        <v>55</v>
      </c>
      <c r="I8464" s="26">
        <v>43592.816307870402</v>
      </c>
      <c r="J8464" s="23" t="str">
        <f t="shared" si="377"/>
        <v>неизвестно</v>
      </c>
      <c r="K8464" s="28" t="s">
        <v>52</v>
      </c>
      <c r="L8464" s="28" t="s">
        <v>52</v>
      </c>
      <c r="M8464" s="28" t="s">
        <v>52</v>
      </c>
      <c r="N8464" s="28" t="s">
        <v>52</v>
      </c>
    </row>
    <row r="8465" spans="1:14" x14ac:dyDescent="0.15">
      <c r="A8465" s="23" t="str">
        <f t="shared" ref="A8465:A8471" si="378">HYPERLINK("https://www.spark-marketing.ru/Card/Person/4350490", "МБУ ""ВОИС""")</f>
        <v>МБУ "ВОИС"</v>
      </c>
      <c r="B8465" s="24" t="s">
        <v>2079</v>
      </c>
      <c r="C8465" s="25">
        <v>1763000</v>
      </c>
      <c r="D8465" s="22" t="s">
        <v>10726</v>
      </c>
      <c r="E8465" s="22" t="s">
        <v>842</v>
      </c>
      <c r="F8465" s="23" t="str">
        <f t="shared" ref="F8465:F8471" si="379">HYPERLINK("https://www.spark-marketing.ru/Card/Lot/70353760", "Выполнение работ по разработке планов обеспечения транспортной безопасности объектов транспортной инфраструктуры, находящихся в оперативном управлении МБУ ""ВОИС""")</f>
        <v>Выполнение работ по разработке планов обеспечения транспортной безопасности объектов транспортной инфраструктуры, находящихся в оперативном управлении МБУ "ВОИС"</v>
      </c>
      <c r="G8465" s="22" t="s">
        <v>72</v>
      </c>
      <c r="H8465" s="22" t="s">
        <v>949</v>
      </c>
      <c r="I8465" s="26">
        <v>43592.754166666702</v>
      </c>
      <c r="J8465" s="28" t="s">
        <v>52</v>
      </c>
      <c r="K8465" s="28" t="s">
        <v>52</v>
      </c>
      <c r="L8465" s="28" t="s">
        <v>52</v>
      </c>
      <c r="M8465" s="28" t="s">
        <v>52</v>
      </c>
      <c r="N8465" s="28" t="s">
        <v>52</v>
      </c>
    </row>
    <row r="8466" spans="1:14" ht="12.75" hidden="1" outlineLevel="1" x14ac:dyDescent="0.2">
      <c r="A8466" s="23" t="str">
        <f t="shared" si="378"/>
        <v>МБУ "ВОИС"</v>
      </c>
      <c r="B8466" s="24" t="s">
        <v>2079</v>
      </c>
      <c r="C8466" s="25">
        <v>1763000</v>
      </c>
      <c r="D8466" s="22" t="s">
        <v>10726</v>
      </c>
      <c r="E8466" s="22" t="s">
        <v>842</v>
      </c>
      <c r="F8466" s="23" t="str">
        <f t="shared" si="379"/>
        <v>Выполнение работ по разработке планов обеспечения транспортной безопасности объектов транспортной инфраструктуры, находящихся в оперативном управлении МБУ "ВОИС"</v>
      </c>
      <c r="G8466" s="22" t="s">
        <v>72</v>
      </c>
      <c r="H8466" s="22" t="s">
        <v>949</v>
      </c>
      <c r="I8466" s="26">
        <v>43592.754166666702</v>
      </c>
      <c r="J8466" s="23" t="str">
        <f>HYPERLINK("https://www.spark-marketing.ru/Card/Person/244248", "ООО ""ДАЛЬЦЕНТРАВИА""")</f>
        <v>ООО "ДАЛЬЦЕНТРАВИА"</v>
      </c>
      <c r="K8466" s="24" t="s">
        <v>5795</v>
      </c>
      <c r="L8466" s="22" t="s">
        <v>10</v>
      </c>
      <c r="M8466" s="25">
        <v>499000</v>
      </c>
      <c r="N8466" s="27">
        <v>0.71695972773681227</v>
      </c>
    </row>
    <row r="8467" spans="1:14" hidden="1" outlineLevel="1" x14ac:dyDescent="0.2">
      <c r="A8467" s="23" t="str">
        <f t="shared" si="378"/>
        <v>МБУ "ВОИС"</v>
      </c>
      <c r="B8467" s="24" t="s">
        <v>2079</v>
      </c>
      <c r="C8467" s="25">
        <v>1763000</v>
      </c>
      <c r="D8467" s="22" t="s">
        <v>10726</v>
      </c>
      <c r="E8467" s="22" t="s">
        <v>842</v>
      </c>
      <c r="F8467" s="23" t="str">
        <f t="shared" si="379"/>
        <v>Выполнение работ по разработке планов обеспечения транспортной безопасности объектов транспортной инфраструктуры, находящихся в оперативном управлении МБУ "ВОИС"</v>
      </c>
      <c r="G8467" s="22" t="s">
        <v>72</v>
      </c>
      <c r="H8467" s="22" t="s">
        <v>949</v>
      </c>
      <c r="I8467" s="26">
        <v>43592.754166666702</v>
      </c>
      <c r="J8467" s="23" t="str">
        <f>HYPERLINK("https://www.spark-marketing.ru/Card/Person/632048", "ООО ""СБ-УРАЛ""")</f>
        <v>ООО "СБ-УРАЛ"</v>
      </c>
      <c r="K8467" s="24" t="s">
        <v>10216</v>
      </c>
      <c r="L8467" s="28" t="s">
        <v>52</v>
      </c>
      <c r="M8467" s="25">
        <v>1380000</v>
      </c>
      <c r="N8467" s="27">
        <v>0.21724333522404993</v>
      </c>
    </row>
    <row r="8468" spans="1:14" hidden="1" outlineLevel="1" x14ac:dyDescent="0.2">
      <c r="A8468" s="23" t="str">
        <f t="shared" si="378"/>
        <v>МБУ "ВОИС"</v>
      </c>
      <c r="B8468" s="24" t="s">
        <v>2079</v>
      </c>
      <c r="C8468" s="25">
        <v>1763000</v>
      </c>
      <c r="D8468" s="22" t="s">
        <v>10726</v>
      </c>
      <c r="E8468" s="22" t="s">
        <v>842</v>
      </c>
      <c r="F8468" s="23" t="str">
        <f t="shared" si="379"/>
        <v>Выполнение работ по разработке планов обеспечения транспортной безопасности объектов транспортной инфраструктуры, находящихся в оперативном управлении МБУ "ВОИС"</v>
      </c>
      <c r="G8468" s="22" t="s">
        <v>72</v>
      </c>
      <c r="H8468" s="22" t="s">
        <v>949</v>
      </c>
      <c r="I8468" s="26">
        <v>43592.754166666702</v>
      </c>
      <c r="J8468" s="23" t="str">
        <f>HYPERLINK("https://www.spark-marketing.ru/Card/Person/6110146", "ООО ""ИЦ ТЕХНОБЕЗОПАСНОСТЬ""")</f>
        <v>ООО "ИЦ ТЕХНОБЕЗОПАСНОСТЬ"</v>
      </c>
      <c r="K8468" s="24" t="s">
        <v>2240</v>
      </c>
      <c r="L8468" s="28" t="s">
        <v>52</v>
      </c>
      <c r="M8468" s="25">
        <v>590000</v>
      </c>
      <c r="N8468" s="27">
        <v>0.6653431650595576</v>
      </c>
    </row>
    <row r="8469" spans="1:14" hidden="1" outlineLevel="1" x14ac:dyDescent="0.2">
      <c r="A8469" s="23" t="str">
        <f t="shared" si="378"/>
        <v>МБУ "ВОИС"</v>
      </c>
      <c r="B8469" s="24" t="s">
        <v>2079</v>
      </c>
      <c r="C8469" s="25">
        <v>1763000</v>
      </c>
      <c r="D8469" s="22" t="s">
        <v>10726</v>
      </c>
      <c r="E8469" s="22" t="s">
        <v>842</v>
      </c>
      <c r="F8469" s="23" t="str">
        <f t="shared" si="379"/>
        <v>Выполнение работ по разработке планов обеспечения транспортной безопасности объектов транспортной инфраструктуры, находящихся в оперативном управлении МБУ "ВОИС"</v>
      </c>
      <c r="G8469" s="22" t="s">
        <v>72</v>
      </c>
      <c r="H8469" s="22" t="s">
        <v>949</v>
      </c>
      <c r="I8469" s="26">
        <v>43592.754166666702</v>
      </c>
      <c r="J8469" s="23" t="str">
        <f>HYPERLINK("https://www.spark-marketing.ru/Card/Person/1874647", "УРАЛЬСКИЙ ФЛ ФГУП ""УВО МИНТРАНСА РОССИИ""")</f>
        <v>УРАЛЬСКИЙ ФЛ ФГУП "УВО МИНТРАНСА РОССИИ"</v>
      </c>
      <c r="K8469" s="24" t="s">
        <v>1472</v>
      </c>
      <c r="L8469" s="28" t="s">
        <v>52</v>
      </c>
      <c r="M8469" s="25">
        <v>1754185</v>
      </c>
      <c r="N8469" s="27">
        <v>5.0000000000000001E-3</v>
      </c>
    </row>
    <row r="8470" spans="1:14" hidden="1" outlineLevel="1" x14ac:dyDescent="0.2">
      <c r="A8470" s="23" t="str">
        <f t="shared" si="378"/>
        <v>МБУ "ВОИС"</v>
      </c>
      <c r="B8470" s="24" t="s">
        <v>2079</v>
      </c>
      <c r="C8470" s="25">
        <v>1763000</v>
      </c>
      <c r="D8470" s="22" t="s">
        <v>10726</v>
      </c>
      <c r="E8470" s="22" t="s">
        <v>842</v>
      </c>
      <c r="F8470" s="23" t="str">
        <f t="shared" si="379"/>
        <v>Выполнение работ по разработке планов обеспечения транспортной безопасности объектов транспортной инфраструктуры, находящихся в оперативном управлении МБУ "ВОИС"</v>
      </c>
      <c r="G8470" s="22" t="s">
        <v>72</v>
      </c>
      <c r="H8470" s="22" t="s">
        <v>949</v>
      </c>
      <c r="I8470" s="26">
        <v>43592.754166666702</v>
      </c>
      <c r="J8470" s="23" t="str">
        <f>HYPERLINK("https://www.spark-marketing.ru/Card/Person/1978058", "ООО ""ФОРМУЛА БЕЗОПАСНОСТИ ТРАНСПОРТА""")</f>
        <v>ООО "ФОРМУЛА БЕЗОПАСНОСТИ ТРАНСПОРТА"</v>
      </c>
      <c r="K8470" s="24" t="s">
        <v>3385</v>
      </c>
      <c r="L8470" s="28" t="s">
        <v>52</v>
      </c>
      <c r="M8470" s="25">
        <v>541185</v>
      </c>
      <c r="N8470" s="27">
        <v>0.69303176403857059</v>
      </c>
    </row>
    <row r="8471" spans="1:14" hidden="1" outlineLevel="1" x14ac:dyDescent="0.2">
      <c r="A8471" s="23" t="str">
        <f t="shared" si="378"/>
        <v>МБУ "ВОИС"</v>
      </c>
      <c r="B8471" s="24" t="s">
        <v>2079</v>
      </c>
      <c r="C8471" s="25">
        <v>1763000</v>
      </c>
      <c r="D8471" s="22" t="s">
        <v>10726</v>
      </c>
      <c r="E8471" s="22" t="s">
        <v>842</v>
      </c>
      <c r="F8471" s="23" t="str">
        <f t="shared" si="379"/>
        <v>Выполнение работ по разработке планов обеспечения транспортной безопасности объектов транспортной инфраструктуры, находящихся в оперативном управлении МБУ "ВОИС"</v>
      </c>
      <c r="G8471" s="22" t="s">
        <v>72</v>
      </c>
      <c r="H8471" s="22" t="s">
        <v>949</v>
      </c>
      <c r="I8471" s="26">
        <v>43592.754166666702</v>
      </c>
      <c r="J8471" s="23" t="str">
        <f>HYPERLINK("https://www.spark-marketing.ru/Card/Person/5966443", "ООО ""НАО""")</f>
        <v>ООО "НАО"</v>
      </c>
      <c r="K8471" s="24" t="s">
        <v>2873</v>
      </c>
      <c r="L8471" s="28" t="s">
        <v>52</v>
      </c>
      <c r="M8471" s="25">
        <v>1031355</v>
      </c>
      <c r="N8471" s="27">
        <v>0.41499999999999998</v>
      </c>
    </row>
    <row r="8472" spans="1:14" x14ac:dyDescent="0.2">
      <c r="A8472" s="23" t="str">
        <f>HYPERLINK("https://www.spark-marketing.ru/Card/Person/4354951", "АО ""ЭЛЕКТРОСЕТЬСЕРВИС ЕНЭС""")</f>
        <v>АО "ЭЛЕКТРОСЕТЬСЕРВИС ЕНЭС"</v>
      </c>
      <c r="B8472" s="24" t="s">
        <v>2302</v>
      </c>
      <c r="C8472" s="25">
        <v>967200</v>
      </c>
      <c r="D8472" s="22" t="s">
        <v>10727</v>
      </c>
      <c r="E8472" s="22" t="s">
        <v>363</v>
      </c>
      <c r="F8472" s="23" t="str">
        <f>HYPERLINK("https://www.spark-marketing.ru/Card/Lot/70353686", "Закупка услуг по охране объекта филиала АО ""Электросетьсервис ЕНЭС"" Новгородская СПБ")</f>
        <v>Закупка услуг по охране объекта филиала АО "Электросетьсервис ЕНЭС" Новгородская СПБ</v>
      </c>
      <c r="G8472" s="22" t="s">
        <v>50</v>
      </c>
      <c r="H8472" s="22" t="s">
        <v>50</v>
      </c>
      <c r="I8472" s="26">
        <v>43592.761898148201</v>
      </c>
      <c r="J8472" s="23" t="str">
        <f>HYPERLINK("https://www.spark-marketing.ru/Card/Person/2593706", "ООО ""ОХРАННАЯ ФИРМА ""ПАТРИОТ""")</f>
        <v>ООО "ОХРАННАЯ ФИРМА "ПАТРИОТ"</v>
      </c>
      <c r="K8472" s="24" t="s">
        <v>10728</v>
      </c>
      <c r="L8472" s="28" t="s">
        <v>52</v>
      </c>
      <c r="M8472" s="25">
        <v>967200</v>
      </c>
      <c r="N8472" s="27">
        <v>0</v>
      </c>
    </row>
    <row r="8473" spans="1:14" x14ac:dyDescent="0.15">
      <c r="A8473" s="23" t="str">
        <f>HYPERLINK("https://www.spark-marketing.ru/Card/Person/63383", "ГКУ ТО ""ЦБ МО ТО""")</f>
        <v>ГКУ ТО "ЦБ МО ТО"</v>
      </c>
      <c r="B8473" s="24" t="s">
        <v>10729</v>
      </c>
      <c r="C8473" s="25">
        <v>221777.5</v>
      </c>
      <c r="D8473" s="22" t="s">
        <v>10730</v>
      </c>
      <c r="E8473" s="22" t="s">
        <v>52</v>
      </c>
      <c r="F8473" s="23" t="str">
        <f>HYPERLINK("https://www.spark-marketing.ru/Card/Lot/70356427", "Оказание охранных услуг")</f>
        <v>Оказание охранных услуг</v>
      </c>
      <c r="G8473" s="22" t="s">
        <v>818</v>
      </c>
      <c r="H8473" s="22" t="s">
        <v>819</v>
      </c>
      <c r="I8473" s="26">
        <v>43592.769444444399</v>
      </c>
      <c r="J8473" s="28" t="s">
        <v>52</v>
      </c>
      <c r="K8473" s="28" t="s">
        <v>52</v>
      </c>
      <c r="L8473" s="28" t="s">
        <v>52</v>
      </c>
      <c r="M8473" s="28" t="s">
        <v>52</v>
      </c>
      <c r="N8473" s="28" t="s">
        <v>52</v>
      </c>
    </row>
    <row r="8474" spans="1:14" x14ac:dyDescent="0.15">
      <c r="A8474" s="23" t="str">
        <f>HYPERLINK("https://www.spark-marketing.ru/Card/Person/64814", "АО ""ВОЕНТЕЛЕКОМ""")</f>
        <v>АО "ВОЕНТЕЛЕКОМ"</v>
      </c>
      <c r="B8474" s="24" t="s">
        <v>10731</v>
      </c>
      <c r="C8474" s="25">
        <v>2380000</v>
      </c>
      <c r="D8474" s="22" t="s">
        <v>10732</v>
      </c>
      <c r="E8474" s="22" t="s">
        <v>363</v>
      </c>
      <c r="F8474" s="23" t="str">
        <f>HYPERLINK("https://www.spark-marketing.ru/Card/Lot/70351334", "Услуги охраны")</f>
        <v>Услуги охраны</v>
      </c>
      <c r="G8474" s="22" t="s">
        <v>89</v>
      </c>
      <c r="H8474" s="22" t="s">
        <v>89</v>
      </c>
      <c r="I8474" s="26">
        <v>43592.725138888898</v>
      </c>
      <c r="J8474" s="28" t="s">
        <v>52</v>
      </c>
      <c r="K8474" s="28" t="s">
        <v>52</v>
      </c>
      <c r="L8474" s="28" t="s">
        <v>52</v>
      </c>
      <c r="M8474" s="28" t="s">
        <v>52</v>
      </c>
      <c r="N8474" s="28" t="s">
        <v>52</v>
      </c>
    </row>
    <row r="8475" spans="1:14" hidden="1" outlineLevel="1" x14ac:dyDescent="0.2">
      <c r="A8475" s="23" t="str">
        <f>HYPERLINK("https://www.spark-marketing.ru/Card/Person/64814", "АО ""ВОЕНТЕЛЕКОМ""")</f>
        <v>АО "ВОЕНТЕЛЕКОМ"</v>
      </c>
      <c r="B8475" s="24" t="s">
        <v>10731</v>
      </c>
      <c r="C8475" s="28" t="s">
        <v>52</v>
      </c>
      <c r="D8475" s="22" t="s">
        <v>10732</v>
      </c>
      <c r="E8475" s="22" t="s">
        <v>363</v>
      </c>
      <c r="F8475" s="23" t="str">
        <f>HYPERLINK("https://www.spark-marketing.ru/Card/Lot/70351334", "Услуги охраны")</f>
        <v>Услуги охраны</v>
      </c>
      <c r="G8475" s="22" t="s">
        <v>89</v>
      </c>
      <c r="H8475" s="22" t="s">
        <v>89</v>
      </c>
      <c r="I8475" s="26">
        <v>43592.725138888898</v>
      </c>
      <c r="J8475" s="23" t="str">
        <f>HYPERLINK("https://www.spark-marketing.ru/Card/Person/939507", "ООО ""ОО ""ПРЕТОР""""")</f>
        <v>ООО "ОО "ПРЕТОР""</v>
      </c>
      <c r="K8475" s="24" t="s">
        <v>10733</v>
      </c>
      <c r="L8475" s="28" t="s">
        <v>52</v>
      </c>
      <c r="M8475" s="25">
        <v>2380000</v>
      </c>
      <c r="N8475" s="27">
        <v>0</v>
      </c>
    </row>
    <row r="8476" spans="1:14" hidden="1" outlineLevel="1" x14ac:dyDescent="0.2">
      <c r="A8476" s="23" t="str">
        <f>HYPERLINK("https://www.spark-marketing.ru/Card/Person/64814", "АО ""ВОЕНТЕЛЕКОМ""")</f>
        <v>АО "ВОЕНТЕЛЕКОМ"</v>
      </c>
      <c r="B8476" s="24" t="s">
        <v>10731</v>
      </c>
      <c r="C8476" s="28" t="s">
        <v>52</v>
      </c>
      <c r="D8476" s="22" t="s">
        <v>10732</v>
      </c>
      <c r="E8476" s="22" t="s">
        <v>363</v>
      </c>
      <c r="F8476" s="23" t="str">
        <f>HYPERLINK("https://www.spark-marketing.ru/Card/Lot/70351334", "Услуги охраны")</f>
        <v>Услуги охраны</v>
      </c>
      <c r="G8476" s="22" t="s">
        <v>89</v>
      </c>
      <c r="H8476" s="22" t="s">
        <v>89</v>
      </c>
      <c r="I8476" s="26">
        <v>43592.725138888898</v>
      </c>
      <c r="J8476" s="23" t="str">
        <f>HYPERLINK("https://www.spark-marketing.ru/Card/Person/18325", "ООО ЧОП ""ПЕРЕСВЕТ-СБ""")</f>
        <v>ООО ЧОП "ПЕРЕСВЕТ-СБ"</v>
      </c>
      <c r="K8476" s="24" t="s">
        <v>7965</v>
      </c>
      <c r="L8476" s="28" t="s">
        <v>52</v>
      </c>
      <c r="M8476" s="25">
        <v>2338000</v>
      </c>
      <c r="N8476" s="27">
        <v>1.7647058823529412E-2</v>
      </c>
    </row>
    <row r="8477" spans="1:14" hidden="1" outlineLevel="1" x14ac:dyDescent="0.2">
      <c r="A8477" s="23" t="str">
        <f>HYPERLINK("https://www.spark-marketing.ru/Card/Person/64814", "АО ""ВОЕНТЕЛЕКОМ""")</f>
        <v>АО "ВОЕНТЕЛЕКОМ"</v>
      </c>
      <c r="B8477" s="24" t="s">
        <v>10731</v>
      </c>
      <c r="C8477" s="28" t="s">
        <v>52</v>
      </c>
      <c r="D8477" s="22" t="s">
        <v>10732</v>
      </c>
      <c r="E8477" s="22" t="s">
        <v>363</v>
      </c>
      <c r="F8477" s="23" t="str">
        <f>HYPERLINK("https://www.spark-marketing.ru/Card/Lot/70351334", "Услуги охраны")</f>
        <v>Услуги охраны</v>
      </c>
      <c r="G8477" s="22" t="s">
        <v>89</v>
      </c>
      <c r="H8477" s="22" t="s">
        <v>89</v>
      </c>
      <c r="I8477" s="26">
        <v>43592.725138888898</v>
      </c>
      <c r="J8477" s="23" t="str">
        <f>HYPERLINK("https://www.spark-marketing.ru/Card/Person/930814", "ООО ""ЧОО ""ВИТЯЗЬ""")</f>
        <v>ООО "ЧОО "ВИТЯЗЬ"</v>
      </c>
      <c r="K8477" s="24" t="s">
        <v>10734</v>
      </c>
      <c r="L8477" s="22" t="s">
        <v>10</v>
      </c>
      <c r="M8477" s="25">
        <v>2332399.92</v>
      </c>
      <c r="N8477" s="27">
        <v>2.0000033613445378E-2</v>
      </c>
    </row>
    <row r="8478" spans="1:14" x14ac:dyDescent="0.15">
      <c r="A8478" s="23" t="str">
        <f>HYPERLINK("https://www.spark-marketing.ru/Card/Person/35520", "ГОБУЗ МОПЦ")</f>
        <v>ГОБУЗ МОПЦ</v>
      </c>
      <c r="B8478" s="24" t="s">
        <v>9915</v>
      </c>
      <c r="C8478" s="25">
        <v>150000</v>
      </c>
      <c r="D8478" s="22" t="s">
        <v>10735</v>
      </c>
      <c r="E8478" s="22" t="s">
        <v>107</v>
      </c>
      <c r="F8478" s="23" t="str">
        <f>HYPERLINK("https://www.spark-marketing.ru/Card/Lot/70355925", "Оказание услуг по техническому обслуживанию системы видеонаблюдения")</f>
        <v>Оказание услуг по техническому обслуживанию системы видеонаблюдения</v>
      </c>
      <c r="G8478" s="22" t="s">
        <v>190</v>
      </c>
      <c r="H8478" s="22" t="s">
        <v>191</v>
      </c>
      <c r="I8478" s="26">
        <v>43592.732638888898</v>
      </c>
      <c r="J8478" s="28" t="s">
        <v>52</v>
      </c>
      <c r="K8478" s="28" t="s">
        <v>52</v>
      </c>
      <c r="L8478" s="28" t="s">
        <v>52</v>
      </c>
      <c r="M8478" s="28" t="s">
        <v>52</v>
      </c>
      <c r="N8478" s="28" t="s">
        <v>52</v>
      </c>
    </row>
    <row r="8479" spans="1:14" ht="12.75" hidden="1" outlineLevel="1" x14ac:dyDescent="0.2">
      <c r="A8479" s="23" t="str">
        <f>HYPERLINK("https://www.spark-marketing.ru/Card/Person/35520", "ГОБУЗ МОПЦ")</f>
        <v>ГОБУЗ МОПЦ</v>
      </c>
      <c r="B8479" s="24" t="s">
        <v>9915</v>
      </c>
      <c r="C8479" s="25">
        <v>150000</v>
      </c>
      <c r="D8479" s="22" t="s">
        <v>10735</v>
      </c>
      <c r="E8479" s="22" t="s">
        <v>107</v>
      </c>
      <c r="F8479" s="23" t="str">
        <f>HYPERLINK("https://www.spark-marketing.ru/Card/Lot/70355925", "Оказание услуг по техническому обслуживанию системы видеонаблюдения")</f>
        <v>Оказание услуг по техническому обслуживанию системы видеонаблюдения</v>
      </c>
      <c r="G8479" s="22" t="s">
        <v>190</v>
      </c>
      <c r="H8479" s="22" t="s">
        <v>191</v>
      </c>
      <c r="I8479" s="26">
        <v>43592.732638888898</v>
      </c>
      <c r="J8479" s="23" t="str">
        <f>HYPERLINK("https://www.spark-marketing.ru/Card/Person/424148", "ООО ""ППА""")</f>
        <v>ООО "ППА"</v>
      </c>
      <c r="K8479" s="24" t="s">
        <v>4064</v>
      </c>
      <c r="L8479" s="22" t="s">
        <v>10</v>
      </c>
      <c r="M8479" s="25">
        <v>54000</v>
      </c>
      <c r="N8479" s="27">
        <v>0.64</v>
      </c>
    </row>
    <row r="8480" spans="1:14" hidden="1" outlineLevel="1" x14ac:dyDescent="0.2">
      <c r="A8480" s="23" t="str">
        <f>HYPERLINK("https://www.spark-marketing.ru/Card/Person/35520", "ГОБУЗ МОПЦ")</f>
        <v>ГОБУЗ МОПЦ</v>
      </c>
      <c r="B8480" s="24" t="s">
        <v>9915</v>
      </c>
      <c r="C8480" s="25">
        <v>150000</v>
      </c>
      <c r="D8480" s="22" t="s">
        <v>10735</v>
      </c>
      <c r="E8480" s="22" t="s">
        <v>107</v>
      </c>
      <c r="F8480" s="23" t="str">
        <f>HYPERLINK("https://www.spark-marketing.ru/Card/Lot/70355925", "Оказание услуг по техническому обслуживанию системы видеонаблюдения")</f>
        <v>Оказание услуг по техническому обслуживанию системы видеонаблюдения</v>
      </c>
      <c r="G8480" s="22" t="s">
        <v>190</v>
      </c>
      <c r="H8480" s="22" t="s">
        <v>191</v>
      </c>
      <c r="I8480" s="26">
        <v>43592.732638888898</v>
      </c>
      <c r="J8480" s="23" t="str">
        <f>HYPERLINK("https://www.spark-marketing.ru/Card/Person/24781", "ООО ""МАРТ ПОЛАР""")</f>
        <v>ООО "МАРТ ПОЛАР"</v>
      </c>
      <c r="K8480" s="24" t="s">
        <v>6105</v>
      </c>
      <c r="L8480" s="28" t="s">
        <v>52</v>
      </c>
      <c r="M8480" s="25">
        <v>79250</v>
      </c>
      <c r="N8480" s="27">
        <v>0.47166666666666668</v>
      </c>
    </row>
    <row r="8481" spans="1:14" hidden="1" outlineLevel="1" x14ac:dyDescent="0.2">
      <c r="A8481" s="23" t="str">
        <f>HYPERLINK("https://www.spark-marketing.ru/Card/Person/35520", "ГОБУЗ МОПЦ")</f>
        <v>ГОБУЗ МОПЦ</v>
      </c>
      <c r="B8481" s="24" t="s">
        <v>9915</v>
      </c>
      <c r="C8481" s="25">
        <v>150000</v>
      </c>
      <c r="D8481" s="22" t="s">
        <v>10735</v>
      </c>
      <c r="E8481" s="22" t="s">
        <v>107</v>
      </c>
      <c r="F8481" s="23" t="str">
        <f>HYPERLINK("https://www.spark-marketing.ru/Card/Lot/70355925", "Оказание услуг по техническому обслуживанию системы видеонаблюдения")</f>
        <v>Оказание услуг по техническому обслуживанию системы видеонаблюдения</v>
      </c>
      <c r="G8481" s="22" t="s">
        <v>190</v>
      </c>
      <c r="H8481" s="22" t="s">
        <v>191</v>
      </c>
      <c r="I8481" s="26">
        <v>43592.732638888898</v>
      </c>
      <c r="J8481" s="23" t="str">
        <f>HYPERLINK("https://www.spark-marketing.ru/Card/Person/5885429", "ООО ""РЕШЕНИЕ""")</f>
        <v>ООО "РЕШЕНИЕ"</v>
      </c>
      <c r="K8481" s="24" t="s">
        <v>4066</v>
      </c>
      <c r="L8481" s="28" t="s">
        <v>52</v>
      </c>
      <c r="M8481" s="25">
        <v>55000</v>
      </c>
      <c r="N8481" s="27">
        <v>0.6333333333333333</v>
      </c>
    </row>
    <row r="8482" spans="1:14" x14ac:dyDescent="0.15">
      <c r="A8482" s="23" t="str">
        <f>HYPERLINK("https://www.spark-marketing.ru/Card/Person/117815", "АДМИНИСТРАЦИЯ ГЛАЗОВСКОГО РАЙОНА")</f>
        <v>АДМИНИСТРАЦИЯ ГЛАЗОВСКОГО РАЙОНА</v>
      </c>
      <c r="B8482" s="24" t="s">
        <v>10736</v>
      </c>
      <c r="C8482" s="25">
        <v>49063.42</v>
      </c>
      <c r="D8482" s="22" t="s">
        <v>10737</v>
      </c>
      <c r="E8482" s="22" t="s">
        <v>59</v>
      </c>
      <c r="F8482" s="23" t="str">
        <f>HYPERLINK("https://www.spark-marketing.ru/Card/Lot/70350561", "Оказание услуг по содержанию и техническому обслуживанию объектов уличного освещения населенных пунктов муниципального образования ""Адамское"" Глазовского района УР.")</f>
        <v>Оказание услуг по содержанию и техническому обслуживанию объектов уличного освещения населенных пунктов муниципального образования "Адамское" Глазовского района УР.</v>
      </c>
      <c r="G8482" s="22" t="s">
        <v>96</v>
      </c>
      <c r="H8482" s="22" t="s">
        <v>96</v>
      </c>
      <c r="I8482" s="26">
        <v>43592.692361111098</v>
      </c>
      <c r="J8482" s="23" t="str">
        <f>HYPERLINK("https://www.spark-marketing.ru/Card/Person/53244", "ООО ""СПЕЦЭНЕРГОМОНТАЖ""")</f>
        <v>ООО "СПЕЦЭНЕРГОМОНТАЖ"</v>
      </c>
      <c r="K8482" s="24" t="s">
        <v>10738</v>
      </c>
      <c r="L8482" s="22" t="s">
        <v>10</v>
      </c>
      <c r="M8482" s="28" t="s">
        <v>52</v>
      </c>
      <c r="N8482" s="28" t="s">
        <v>52</v>
      </c>
    </row>
    <row r="8483" spans="1:14" x14ac:dyDescent="0.15">
      <c r="A8483" s="23" t="str">
        <f>HYPERLINK("https://www.spark-marketing.ru/Card/Person/142517", "МАОУ СОШ № 3 ИМЕНИ ГЕРОЯ РОССИИ СЕРГЕЯ РОМАШИНА Г. ЮЖНО-САХАЛИНСКА")</f>
        <v>МАОУ СОШ № 3 ИМЕНИ ГЕРОЯ РОССИИ СЕРГЕЯ РОМАШИНА Г. ЮЖНО-САХАЛИНСКА</v>
      </c>
      <c r="B8483" s="24" t="s">
        <v>10739</v>
      </c>
      <c r="C8483" s="25">
        <v>4082287</v>
      </c>
      <c r="D8483" s="22" t="s">
        <v>10740</v>
      </c>
      <c r="E8483" s="22" t="s">
        <v>49</v>
      </c>
      <c r="F8483" s="23" t="str">
        <f>HYPERLINK("https://www.spark-marketing.ru/Card/Lot/70334109", "Установка системы видеонаблюдения в МАОУ СОШ №3 имени Героя России Сергея Ромашина г. Южно-Сахалинска")</f>
        <v>Установка системы видеонаблюдения в МАОУ СОШ №3 имени Героя России Сергея Ромашина г. Южно-Сахалинска</v>
      </c>
      <c r="G8483" s="22" t="s">
        <v>69</v>
      </c>
      <c r="H8483" s="22" t="s">
        <v>69</v>
      </c>
      <c r="I8483" s="26">
        <v>43592.696851851899</v>
      </c>
      <c r="J8483" s="28" t="s">
        <v>52</v>
      </c>
      <c r="K8483" s="28" t="s">
        <v>52</v>
      </c>
      <c r="L8483" s="28" t="s">
        <v>52</v>
      </c>
      <c r="M8483" s="28" t="s">
        <v>52</v>
      </c>
      <c r="N8483" s="28" t="s">
        <v>52</v>
      </c>
    </row>
    <row r="8484" spans="1:14" hidden="1" outlineLevel="1" x14ac:dyDescent="0.2">
      <c r="A8484" s="23" t="str">
        <f>HYPERLINK("https://www.spark-marketing.ru/Card/Person/142517", "МАОУ СОШ № 3 ИМЕНИ ГЕРОЯ РОССИИ СЕРГЕЯ РОМАШИНА Г. ЮЖНО-САХАЛИНСКА")</f>
        <v>МАОУ СОШ № 3 ИМЕНИ ГЕРОЯ РОССИИ СЕРГЕЯ РОМАШИНА Г. ЮЖНО-САХАЛИНСКА</v>
      </c>
      <c r="B8484" s="24" t="s">
        <v>10739</v>
      </c>
      <c r="C8484" s="28" t="s">
        <v>52</v>
      </c>
      <c r="D8484" s="22" t="s">
        <v>10740</v>
      </c>
      <c r="E8484" s="22" t="s">
        <v>49</v>
      </c>
      <c r="F8484" s="23" t="str">
        <f>HYPERLINK("https://www.spark-marketing.ru/Card/Lot/70334109", "Установка системы видеонаблюдения в МАОУ СОШ №3 имени Героя России Сергея Ромашина г. Южно-Сахалинска")</f>
        <v>Установка системы видеонаблюдения в МАОУ СОШ №3 имени Героя России Сергея Ромашина г. Южно-Сахалинска</v>
      </c>
      <c r="G8484" s="22" t="s">
        <v>69</v>
      </c>
      <c r="H8484" s="22" t="s">
        <v>69</v>
      </c>
      <c r="I8484" s="26">
        <v>43592.696851851899</v>
      </c>
      <c r="J8484" s="23" t="str">
        <f>HYPERLINK("https://www.spark-marketing.ru/Card/Person/801443", "ООО ""ЗОЛОТОЙ ВЕК""")</f>
        <v>ООО "ЗОЛОТОЙ ВЕК"</v>
      </c>
      <c r="K8484" s="24" t="s">
        <v>2069</v>
      </c>
      <c r="L8484" s="28" t="s">
        <v>52</v>
      </c>
      <c r="M8484" s="25">
        <v>4080260</v>
      </c>
      <c r="N8484" s="27">
        <v>4.9653539792768125E-4</v>
      </c>
    </row>
    <row r="8485" spans="1:14" hidden="1" outlineLevel="1" x14ac:dyDescent="0.2">
      <c r="A8485" s="23" t="str">
        <f>HYPERLINK("https://www.spark-marketing.ru/Card/Person/142517", "МАОУ СОШ № 3 ИМЕНИ ГЕРОЯ РОССИИ СЕРГЕЯ РОМАШИНА Г. ЮЖНО-САХАЛИНСКА")</f>
        <v>МАОУ СОШ № 3 ИМЕНИ ГЕРОЯ РОССИИ СЕРГЕЯ РОМАШИНА Г. ЮЖНО-САХАЛИНСКА</v>
      </c>
      <c r="B8485" s="24" t="s">
        <v>10739</v>
      </c>
      <c r="C8485" s="28" t="s">
        <v>52</v>
      </c>
      <c r="D8485" s="22" t="s">
        <v>10740</v>
      </c>
      <c r="E8485" s="22" t="s">
        <v>49</v>
      </c>
      <c r="F8485" s="23" t="str">
        <f>HYPERLINK("https://www.spark-marketing.ru/Card/Lot/70334109", "Установка системы видеонаблюдения в МАОУ СОШ №3 имени Героя России Сергея Ромашина г. Южно-Сахалинска")</f>
        <v>Установка системы видеонаблюдения в МАОУ СОШ №3 имени Героя России Сергея Ромашина г. Южно-Сахалинска</v>
      </c>
      <c r="G8485" s="22" t="s">
        <v>69</v>
      </c>
      <c r="H8485" s="22" t="s">
        <v>69</v>
      </c>
      <c r="I8485" s="26">
        <v>43592.696851851899</v>
      </c>
      <c r="J8485" s="23" t="str">
        <f>HYPERLINK("https://www.spark-marketing.ru/Card/Person/557559", "ООО ""ГЕРМЕС-ПРОФИ""")</f>
        <v>ООО "ГЕРМЕС-ПРОФИ"</v>
      </c>
      <c r="K8485" s="24" t="s">
        <v>10741</v>
      </c>
      <c r="L8485" s="28" t="s">
        <v>52</v>
      </c>
      <c r="M8485" s="25">
        <v>4082287</v>
      </c>
      <c r="N8485" s="27">
        <v>0</v>
      </c>
    </row>
    <row r="8486" spans="1:14" hidden="1" outlineLevel="1" x14ac:dyDescent="0.2">
      <c r="A8486" s="23" t="str">
        <f>HYPERLINK("https://www.spark-marketing.ru/Card/Person/142517", "МАОУ СОШ № 3 ИМЕНИ ГЕРОЯ РОССИИ СЕРГЕЯ РОМАШИНА Г. ЮЖНО-САХАЛИНСКА")</f>
        <v>МАОУ СОШ № 3 ИМЕНИ ГЕРОЯ РОССИИ СЕРГЕЯ РОМАШИНА Г. ЮЖНО-САХАЛИНСКА</v>
      </c>
      <c r="B8486" s="24" t="s">
        <v>10739</v>
      </c>
      <c r="C8486" s="28" t="s">
        <v>52</v>
      </c>
      <c r="D8486" s="22" t="s">
        <v>10740</v>
      </c>
      <c r="E8486" s="22" t="s">
        <v>49</v>
      </c>
      <c r="F8486" s="23" t="str">
        <f>HYPERLINK("https://www.spark-marketing.ru/Card/Lot/70334109", "Установка системы видеонаблюдения в МАОУ СОШ №3 имени Героя России Сергея Ромашина г. Южно-Сахалинска")</f>
        <v>Установка системы видеонаблюдения в МАОУ СОШ №3 имени Героя России Сергея Ромашина г. Южно-Сахалинска</v>
      </c>
      <c r="G8486" s="22" t="s">
        <v>69</v>
      </c>
      <c r="H8486" s="22" t="s">
        <v>69</v>
      </c>
      <c r="I8486" s="26">
        <v>43592.696851851899</v>
      </c>
      <c r="J8486" s="23" t="str">
        <f>HYPERLINK("https://www.spark-marketing.ru/Card/Person/4360601", "ООО ""КОМПЬЮТЕРНЫЙ САЛОН""")</f>
        <v>ООО "КОМПЬЮТЕРНЫЙ САЛОН"</v>
      </c>
      <c r="K8486" s="24" t="s">
        <v>10742</v>
      </c>
      <c r="L8486" s="28" t="s">
        <v>52</v>
      </c>
      <c r="M8486" s="25">
        <v>3751279</v>
      </c>
      <c r="N8486" s="27">
        <v>8.1083961024788306E-2</v>
      </c>
    </row>
    <row r="8487" spans="1:14" ht="12.75" x14ac:dyDescent="0.2">
      <c r="A8487" s="23" t="str">
        <f>HYPERLINK("https://www.spark-marketing.ru/Card/Person/6405556", "АО ""УСТЭК-ЧЕЛЯБИНСК""")</f>
        <v>АО "УСТЭК-ЧЕЛЯБИНСК"</v>
      </c>
      <c r="B8487" s="24" t="s">
        <v>10743</v>
      </c>
      <c r="C8487" s="25">
        <v>340000</v>
      </c>
      <c r="D8487" s="22" t="s">
        <v>10744</v>
      </c>
      <c r="E8487" s="22" t="s">
        <v>930</v>
      </c>
      <c r="F8487" s="23" t="str">
        <f>HYPERLINK("https://www.spark-marketing.ru/Card/Lot/70343023", "Обслуживание систем безопасности")</f>
        <v>Обслуживание систем безопасности</v>
      </c>
      <c r="G8487" s="22" t="s">
        <v>60</v>
      </c>
      <c r="H8487" s="22" t="s">
        <v>60</v>
      </c>
      <c r="I8487" s="26">
        <v>43592.633541666699</v>
      </c>
      <c r="J8487" s="23" t="str">
        <f>HYPERLINK("https://www.spark-marketing.ru/Card/Person/1905065", "ЗАЯВКА")</f>
        <v>ЗАЯВКА</v>
      </c>
      <c r="K8487" s="24" t="s">
        <v>10745</v>
      </c>
      <c r="L8487" s="22" t="s">
        <v>10</v>
      </c>
      <c r="M8487" s="25">
        <v>330000</v>
      </c>
      <c r="N8487" s="27">
        <v>2.9411764705882353E-2</v>
      </c>
    </row>
    <row r="8488" spans="1:14" x14ac:dyDescent="0.15">
      <c r="A8488" s="23" t="str">
        <f>HYPERLINK("https://www.spark-marketing.ru/Card/Person/738130", "ФКУ СИЗО-1 УФСИН РОССИИ ПО РЕСПУБЛИКЕ МАРИЙ ЭЛ")</f>
        <v>ФКУ СИЗО-1 УФСИН РОССИИ ПО РЕСПУБЛИКЕ МАРИЙ ЭЛ</v>
      </c>
      <c r="B8488" s="24" t="s">
        <v>8743</v>
      </c>
      <c r="C8488" s="25">
        <v>8325</v>
      </c>
      <c r="D8488" s="22" t="s">
        <v>10746</v>
      </c>
      <c r="E8488" s="22" t="s">
        <v>53</v>
      </c>
      <c r="F8488" s="23" t="str">
        <f>HYPERLINK("https://www.spark-marketing.ru/Card/Lot/70757947", "товар для технического обслуживания технических средств охраны и надзора")</f>
        <v>товар для технического обслуживания технических средств охраны и надзора</v>
      </c>
      <c r="G8488" s="22" t="s">
        <v>2514</v>
      </c>
      <c r="H8488" s="22" t="s">
        <v>4189</v>
      </c>
      <c r="I8488" s="26">
        <v>43592.63</v>
      </c>
      <c r="J8488" s="28" t="s">
        <v>52</v>
      </c>
      <c r="K8488" s="28" t="s">
        <v>52</v>
      </c>
      <c r="L8488" s="28" t="s">
        <v>52</v>
      </c>
      <c r="M8488" s="28" t="s">
        <v>52</v>
      </c>
      <c r="N8488" s="28" t="s">
        <v>52</v>
      </c>
    </row>
    <row r="8489" spans="1:14" x14ac:dyDescent="0.15">
      <c r="A8489" s="23" t="str">
        <f>HYPERLINK("https://www.spark-marketing.ru/Card/Person/237416", "КУ ""КОГАЛЫМСКИЙ ЦЕНТР ЗАНЯТОСТИ НАСЕЛЕНИЯ""")</f>
        <v>КУ "КОГАЛЫМСКИЙ ЦЕНТР ЗАНЯТОСТИ НАСЕЛЕНИЯ"</v>
      </c>
      <c r="B8489" s="24" t="s">
        <v>10747</v>
      </c>
      <c r="C8489" s="28" t="s">
        <v>52</v>
      </c>
      <c r="D8489" s="22" t="s">
        <v>10748</v>
      </c>
      <c r="E8489" s="22" t="s">
        <v>52</v>
      </c>
      <c r="F8489" s="23" t="str">
        <f>HYPERLINK("https://www.spark-marketing.ru/Card/Lot/70344435", "Оказание услуг по охране объекта посредством пульта централизованного наблюдения и кнопки тревожной сигнализации для нужд казенного учреждения Ханты-Мансийского автономного округа - Югры «Когалымский центр занятости населения»")</f>
        <v>Оказание услуг по охране объекта посредством пульта централизованного наблюдения и кнопки тревожной сигнализации для нужд казенного учреждения Ханты-Мансийского автономного округа - Югры «Когалымский центр занятости населения»</v>
      </c>
      <c r="G8489" s="22" t="s">
        <v>119</v>
      </c>
      <c r="H8489" s="22" t="s">
        <v>9617</v>
      </c>
      <c r="I8489" s="26">
        <v>43592.623611111099</v>
      </c>
      <c r="J8489" s="28" t="s">
        <v>52</v>
      </c>
      <c r="K8489" s="28" t="s">
        <v>52</v>
      </c>
      <c r="L8489" s="28" t="s">
        <v>52</v>
      </c>
      <c r="M8489" s="28" t="s">
        <v>52</v>
      </c>
      <c r="N8489" s="28" t="s">
        <v>52</v>
      </c>
    </row>
    <row r="8490" spans="1:14" x14ac:dyDescent="0.15">
      <c r="A8490" s="23" t="str">
        <f>HYPERLINK("https://www.spark-marketing.ru/Card/Person/263900", "МЕЖРАЙОННАЯ ИФНС РОССИИ № 4 ПО ВОЛОГОДСКОЙ ОБЛАСТИ")</f>
        <v>МЕЖРАЙОННАЯ ИФНС РОССИИ № 4 ПО ВОЛОГОДСКОЙ ОБЛАСТИ</v>
      </c>
      <c r="B8490" s="24" t="s">
        <v>6804</v>
      </c>
      <c r="C8490" s="25">
        <v>34197</v>
      </c>
      <c r="D8490" s="22" t="s">
        <v>10749</v>
      </c>
      <c r="E8490" s="22" t="s">
        <v>84</v>
      </c>
      <c r="F8490" s="23" t="str">
        <f>HYPERLINK("https://www.spark-marketing.ru/Card/Lot/70343354", "Монтаж, установка, сборка систем охранного видеонаблюдения, 1 шт")</f>
        <v>Монтаж, установка, сборка систем охранного видеонаблюдения, 1 шт</v>
      </c>
      <c r="G8490" s="22" t="s">
        <v>902</v>
      </c>
      <c r="H8490" s="22" t="s">
        <v>6806</v>
      </c>
      <c r="I8490" s="26">
        <v>43592.5867939815</v>
      </c>
      <c r="J8490" s="28" t="s">
        <v>52</v>
      </c>
      <c r="K8490" s="28" t="s">
        <v>52</v>
      </c>
      <c r="L8490" s="28" t="s">
        <v>52</v>
      </c>
      <c r="M8490" s="28" t="s">
        <v>52</v>
      </c>
      <c r="N8490" s="28" t="s">
        <v>52</v>
      </c>
    </row>
    <row r="8491" spans="1:14" x14ac:dyDescent="0.2">
      <c r="A8491" s="23" t="str">
        <f>HYPERLINK("https://www.spark-marketing.ru/Card/Person/1744524", "АО ""КЦТЛ""")</f>
        <v>АО "КЦТЛ"</v>
      </c>
      <c r="B8491" s="24" t="s">
        <v>5228</v>
      </c>
      <c r="C8491" s="25">
        <v>1520000</v>
      </c>
      <c r="D8491" s="22" t="s">
        <v>10750</v>
      </c>
      <c r="E8491" s="22" t="s">
        <v>5223</v>
      </c>
      <c r="F8491" s="23" t="str">
        <f>HYPERLINK("https://www.spark-marketing.ru/Card/Lot/70345994", "Оказание услуги по защите объекта транспортной инфраструктуры - «причально-перегрузочный комплекс СВ-1, СВ-2, СВ-3» ПАО «КЦТЛ от актов незаконного вмешательства")</f>
        <v>Оказание услуги по защите объекта транспортной инфраструктуры - «причально-перегрузочный комплекс СВ-1, СВ-2, СВ-3» ПАО «КЦТЛ от актов незаконного вмешательства</v>
      </c>
      <c r="G8491" s="22" t="s">
        <v>89</v>
      </c>
      <c r="H8491" s="22" t="s">
        <v>89</v>
      </c>
      <c r="I8491" s="26">
        <v>43592.623761574097</v>
      </c>
      <c r="J8491" s="28" t="s">
        <v>52</v>
      </c>
      <c r="K8491" s="28" t="s">
        <v>52</v>
      </c>
      <c r="L8491" s="28" t="s">
        <v>52</v>
      </c>
      <c r="M8491" s="25">
        <v>1520000</v>
      </c>
      <c r="N8491" s="27">
        <v>0</v>
      </c>
    </row>
    <row r="8492" spans="1:14" x14ac:dyDescent="0.15">
      <c r="A8492" s="23" t="str">
        <f>HYPERLINK("https://www.spark-marketing.ru/Card/Person/1758705", "ООО ""СБЕРБАНК-СЕРВИС""")</f>
        <v>ООО "СБЕРБАНК-СЕРВИС"</v>
      </c>
      <c r="B8492" s="24" t="s">
        <v>10751</v>
      </c>
      <c r="C8492" s="25">
        <v>3815146</v>
      </c>
      <c r="D8492" s="22" t="s">
        <v>10752</v>
      </c>
      <c r="E8492" s="22" t="s">
        <v>691</v>
      </c>
      <c r="F8492" s="23" t="str">
        <f>HYPERLINK("https://www.spark-marketing.ru/Card/Lot/70342887", "Выбор Поставщика на выполнение работ по установке системы видеонаблюдения и системы контроля учета доступом")</f>
        <v>Выбор Поставщика на выполнение работ по установке системы видеонаблюдения и системы контроля учета доступом</v>
      </c>
      <c r="G8492" s="22" t="s">
        <v>55</v>
      </c>
      <c r="H8492" s="22" t="s">
        <v>55</v>
      </c>
      <c r="I8492" s="26">
        <v>43592.5217708333</v>
      </c>
      <c r="J8492" s="28" t="s">
        <v>52</v>
      </c>
      <c r="K8492" s="28" t="s">
        <v>52</v>
      </c>
      <c r="L8492" s="28" t="s">
        <v>52</v>
      </c>
      <c r="M8492" s="28" t="s">
        <v>52</v>
      </c>
      <c r="N8492" s="28" t="s">
        <v>52</v>
      </c>
    </row>
    <row r="8493" spans="1:14" x14ac:dyDescent="0.15">
      <c r="A8493" s="23" t="str">
        <f>HYPERLINK("https://www.spark-marketing.ru/Card/Person/1078097", "МБУК ""МЕЖПОСЕЛЕНЧЕСКАЯ БИБЛИОТЕКА ПУШКИНСКОГО МУНИЦИПАЛЬНОГО РАЙОНА МОСКОВСКОЙ ОБЛАСТИ""")</f>
        <v>МБУК "МЕЖПОСЕЛЕНЧЕСКАЯ БИБЛИОТЕКА ПУШКИНСКОГО МУНИЦИПАЛЬНОГО РАЙОНА МОСКОВСКОЙ ОБЛАСТИ"</v>
      </c>
      <c r="B8493" s="24" t="s">
        <v>74</v>
      </c>
      <c r="C8493" s="25">
        <v>15000</v>
      </c>
      <c r="D8493" s="22" t="s">
        <v>10753</v>
      </c>
      <c r="E8493" s="22" t="s">
        <v>59</v>
      </c>
      <c r="F8493" s="23" t="str">
        <f>HYPERLINK("https://www.spark-marketing.ru/Card/Lot/70340811", "Выполнение работ по установке кнопки тревожной сигнализации (КТС)")</f>
        <v>Выполнение работ по установке кнопки тревожной сигнализации (КТС)</v>
      </c>
      <c r="G8493" s="22" t="s">
        <v>50</v>
      </c>
      <c r="H8493" s="22" t="s">
        <v>76</v>
      </c>
      <c r="I8493" s="26">
        <v>43592.524027777799</v>
      </c>
      <c r="J8493" s="28" t="s">
        <v>52</v>
      </c>
      <c r="K8493" s="28" t="s">
        <v>52</v>
      </c>
      <c r="L8493" s="28" t="s">
        <v>52</v>
      </c>
      <c r="M8493" s="28" t="s">
        <v>52</v>
      </c>
      <c r="N8493" s="28" t="s">
        <v>52</v>
      </c>
    </row>
    <row r="8494" spans="1:14" x14ac:dyDescent="0.15">
      <c r="A8494" s="23" t="str">
        <f>HYPERLINK("https://www.spark-marketing.ru/Card/Person/1042679", "ОТДМВД РОССИИ ПО ЛОПАТИНСКОМУ РАЙОНУ")</f>
        <v>ОТДМВД РОССИИ ПО ЛОПАТИНСКОМУ РАЙОНУ</v>
      </c>
      <c r="B8494" s="24" t="s">
        <v>10754</v>
      </c>
      <c r="C8494" s="25">
        <v>20000</v>
      </c>
      <c r="D8494" s="22" t="s">
        <v>10755</v>
      </c>
      <c r="E8494" s="22" t="s">
        <v>84</v>
      </c>
      <c r="F8494" s="23" t="str">
        <f>HYPERLINK("https://www.spark-marketing.ru/Card/Lot/70758974", "Монтаж, установка, сборка видеонаблюдения, 1 шт")</f>
        <v>Монтаж, установка, сборка видеонаблюдения, 1 шт</v>
      </c>
      <c r="G8494" s="22" t="s">
        <v>514</v>
      </c>
      <c r="H8494" s="22" t="s">
        <v>10756</v>
      </c>
      <c r="I8494" s="26">
        <v>43592.534710648099</v>
      </c>
      <c r="J8494" s="28" t="s">
        <v>52</v>
      </c>
      <c r="K8494" s="28" t="s">
        <v>52</v>
      </c>
      <c r="L8494" s="28" t="s">
        <v>52</v>
      </c>
      <c r="M8494" s="28" t="s">
        <v>52</v>
      </c>
      <c r="N8494" s="28" t="s">
        <v>52</v>
      </c>
    </row>
    <row r="8495" spans="1:14" ht="12.75" x14ac:dyDescent="0.2">
      <c r="A8495" s="23" t="str">
        <f>HYPERLINK("https://www.spark-marketing.ru/Card/Person/65348", "ФКУ ИК-35 УФСИН РОССИИ ПО РЕСПУБЛИКЕ ХАКАСИЯ")</f>
        <v>ФКУ ИК-35 УФСИН РОССИИ ПО РЕСПУБЛИКЕ ХАКАСИЯ</v>
      </c>
      <c r="B8495" s="24" t="s">
        <v>10757</v>
      </c>
      <c r="C8495" s="25">
        <v>48000</v>
      </c>
      <c r="D8495" s="22" t="s">
        <v>10758</v>
      </c>
      <c r="E8495" s="22" t="s">
        <v>937</v>
      </c>
      <c r="F8495" s="23" t="str">
        <f>HYPERLINK("https://www.spark-marketing.ru/Card/Lot/70329544", "Проведение технического обслуживания технических средств охраны и надзора")</f>
        <v>Проведение технического обслуживания технических средств охраны и надзора</v>
      </c>
      <c r="G8495" s="22" t="s">
        <v>1041</v>
      </c>
      <c r="H8495" s="22" t="s">
        <v>4311</v>
      </c>
      <c r="I8495" s="26">
        <v>43592.472916666702</v>
      </c>
      <c r="J8495" s="23" t="str">
        <f>HYPERLINK("https://www.spark-marketing.ru/Card/Person/390030", "ООО ""АЛЬТЕРНАТИВА""")</f>
        <v>ООО "АЛЬТЕРНАТИВА"</v>
      </c>
      <c r="K8495" s="24" t="s">
        <v>10759</v>
      </c>
      <c r="L8495" s="22" t="s">
        <v>10</v>
      </c>
      <c r="M8495" s="25">
        <v>43000</v>
      </c>
      <c r="N8495" s="27">
        <v>0.10416666666666667</v>
      </c>
    </row>
    <row r="8496" spans="1:14" x14ac:dyDescent="0.2">
      <c r="A8496" s="23" t="str">
        <f>HYPERLINK("https://www.spark-marketing.ru/Card/Person/4346324", "ПАО ""ФСК ЕЭС""")</f>
        <v>ПАО "ФСК ЕЭС"</v>
      </c>
      <c r="B8496" s="24" t="s">
        <v>361</v>
      </c>
      <c r="C8496" s="25">
        <v>51468660</v>
      </c>
      <c r="D8496" s="22" t="s">
        <v>10760</v>
      </c>
      <c r="E8496" s="22" t="s">
        <v>10761</v>
      </c>
      <c r="F8496" s="23" t="str">
        <f>HYPERLINK("https://www.spark-marketing.ru/Card/Lot/70336261", "Выполнение комплекса работ (РД, СМР, ПНР, поставка МТРиО) по оснащению инженерно-техническими средствами охраны объектов в рамках титула «Оснащение инженерно-техническими средствами охраны объектов МЭС Северо-Запада ПС 220 кВ Сыктывкар» для нужд фили...")</f>
        <v>Выполнение комплекса работ (РД, СМР, ПНР, поставка МТРиО) по оснащению инженерно-техническими средствами охраны объектов в рамках титула «Оснащение инженерно-техническими средствами охраны объектов МЭС Северо-Запада ПС 220 кВ Сыктывкар» для нужд фили...</v>
      </c>
      <c r="G8496" s="22" t="s">
        <v>89</v>
      </c>
      <c r="H8496" s="22" t="s">
        <v>89</v>
      </c>
      <c r="I8496" s="26">
        <v>43592.463587963</v>
      </c>
      <c r="J8496" s="28" t="s">
        <v>52</v>
      </c>
      <c r="K8496" s="28" t="s">
        <v>52</v>
      </c>
      <c r="L8496" s="22" t="s">
        <v>10</v>
      </c>
      <c r="M8496" s="25">
        <v>51300000</v>
      </c>
      <c r="N8496" s="27">
        <v>3.2769456208885175E-3</v>
      </c>
    </row>
    <row r="8497" spans="1:14" x14ac:dyDescent="0.15">
      <c r="A8497" s="23" t="str">
        <f>HYPERLINK("https://www.spark-marketing.ru/Card/Person/116214", "ЧЕЛЯБИНСКИЙ ПСИХОНЕВРОЛОГИЧЕСКИЙ ИНТЕРНАТ")</f>
        <v>ЧЕЛЯБИНСКИЙ ПСИХОНЕВРОЛОГИЧЕСКИЙ ИНТЕРНАТ</v>
      </c>
      <c r="B8497" s="24" t="s">
        <v>2951</v>
      </c>
      <c r="C8497" s="25">
        <v>306691.20000000001</v>
      </c>
      <c r="D8497" s="22" t="s">
        <v>10762</v>
      </c>
      <c r="E8497" s="22" t="s">
        <v>68</v>
      </c>
      <c r="F8497" s="23" t="str">
        <f>HYPERLINK("https://www.spark-marketing.ru/Card/Lot/70334453", "Охранные услуги")</f>
        <v>Охранные услуги</v>
      </c>
      <c r="G8497" s="22" t="s">
        <v>60</v>
      </c>
      <c r="H8497" s="22" t="s">
        <v>1683</v>
      </c>
      <c r="I8497" s="26">
        <v>43592.470833333296</v>
      </c>
      <c r="J8497" s="28" t="s">
        <v>52</v>
      </c>
      <c r="K8497" s="28" t="s">
        <v>52</v>
      </c>
      <c r="L8497" s="28" t="s">
        <v>52</v>
      </c>
      <c r="M8497" s="28" t="s">
        <v>52</v>
      </c>
      <c r="N8497" s="28" t="s">
        <v>52</v>
      </c>
    </row>
    <row r="8498" spans="1:14" hidden="1" outlineLevel="1" x14ac:dyDescent="0.2">
      <c r="A8498" s="23" t="str">
        <f>HYPERLINK("https://www.spark-marketing.ru/Card/Person/116214", "ЧЕЛЯБИНСКИЙ ПСИХОНЕВРОЛОГИЧЕСКИЙ ИНТЕРНАТ")</f>
        <v>ЧЕЛЯБИНСКИЙ ПСИХОНЕВРОЛОГИЧЕСКИЙ ИНТЕРНАТ</v>
      </c>
      <c r="B8498" s="24" t="s">
        <v>2951</v>
      </c>
      <c r="C8498" s="25">
        <v>306691.20000000001</v>
      </c>
      <c r="D8498" s="22" t="s">
        <v>10762</v>
      </c>
      <c r="E8498" s="22" t="s">
        <v>68</v>
      </c>
      <c r="F8498" s="23" t="str">
        <f>HYPERLINK("https://www.spark-marketing.ru/Card/Lot/70334453", "Охранные услуги")</f>
        <v>Охранные услуги</v>
      </c>
      <c r="G8498" s="22" t="s">
        <v>60</v>
      </c>
      <c r="H8498" s="22" t="s">
        <v>1683</v>
      </c>
      <c r="I8498" s="26">
        <v>43592.470833333296</v>
      </c>
      <c r="J8498" s="23" t="str">
        <f>HYPERLINK("https://www.spark-marketing.ru/Card/Person/100254", "ООО ЧОО ""ВИКТОРИЯ""")</f>
        <v>ООО ЧОО "ВИКТОРИЯ"</v>
      </c>
      <c r="K8498" s="24" t="s">
        <v>1406</v>
      </c>
      <c r="L8498" s="28" t="s">
        <v>52</v>
      </c>
      <c r="M8498" s="25">
        <v>248419.8</v>
      </c>
      <c r="N8498" s="27">
        <v>0.1900002347638276</v>
      </c>
    </row>
    <row r="8499" spans="1:14" ht="12.75" hidden="1" outlineLevel="1" x14ac:dyDescent="0.2">
      <c r="A8499" s="23" t="str">
        <f>HYPERLINK("https://www.spark-marketing.ru/Card/Person/116214", "ЧЕЛЯБИНСКИЙ ПСИХОНЕВРОЛОГИЧЕСКИЙ ИНТЕРНАТ")</f>
        <v>ЧЕЛЯБИНСКИЙ ПСИХОНЕВРОЛОГИЧЕСКИЙ ИНТЕРНАТ</v>
      </c>
      <c r="B8499" s="24" t="s">
        <v>2951</v>
      </c>
      <c r="C8499" s="25">
        <v>306691.20000000001</v>
      </c>
      <c r="D8499" s="22" t="s">
        <v>10762</v>
      </c>
      <c r="E8499" s="22" t="s">
        <v>68</v>
      </c>
      <c r="F8499" s="23" t="str">
        <f>HYPERLINK("https://www.spark-marketing.ru/Card/Lot/70334453", "Охранные услуги")</f>
        <v>Охранные услуги</v>
      </c>
      <c r="G8499" s="22" t="s">
        <v>60</v>
      </c>
      <c r="H8499" s="22" t="s">
        <v>1683</v>
      </c>
      <c r="I8499" s="26">
        <v>43592.470833333296</v>
      </c>
      <c r="J8499" s="23" t="str">
        <f>HYPERLINK("https://www.spark-marketing.ru/Card/Person/115070", "ХКО ""КАШИРИНСКИЙ""")</f>
        <v>ХКО "КАШИРИНСКИЙ"</v>
      </c>
      <c r="K8499" s="24" t="s">
        <v>10763</v>
      </c>
      <c r="L8499" s="22" t="s">
        <v>10</v>
      </c>
      <c r="M8499" s="25">
        <v>168679.96</v>
      </c>
      <c r="N8499" s="27">
        <v>0.45000065212174328</v>
      </c>
    </row>
    <row r="8500" spans="1:14" hidden="1" outlineLevel="1" x14ac:dyDescent="0.2">
      <c r="A8500" s="23" t="str">
        <f>HYPERLINK("https://www.spark-marketing.ru/Card/Person/116214", "ЧЕЛЯБИНСКИЙ ПСИХОНЕВРОЛОГИЧЕСКИЙ ИНТЕРНАТ")</f>
        <v>ЧЕЛЯБИНСКИЙ ПСИХОНЕВРОЛОГИЧЕСКИЙ ИНТЕРНАТ</v>
      </c>
      <c r="B8500" s="24" t="s">
        <v>2951</v>
      </c>
      <c r="C8500" s="25">
        <v>306691.20000000001</v>
      </c>
      <c r="D8500" s="22" t="s">
        <v>10762</v>
      </c>
      <c r="E8500" s="22" t="s">
        <v>68</v>
      </c>
      <c r="F8500" s="23" t="str">
        <f>HYPERLINK("https://www.spark-marketing.ru/Card/Lot/70334453", "Охранные услуги")</f>
        <v>Охранные услуги</v>
      </c>
      <c r="G8500" s="22" t="s">
        <v>60</v>
      </c>
      <c r="H8500" s="22" t="s">
        <v>1683</v>
      </c>
      <c r="I8500" s="26">
        <v>43592.470833333296</v>
      </c>
      <c r="J8500" s="23" t="str">
        <f>HYPERLINK("https://www.spark-marketing.ru/Card/Person/857018", "ООО ЧОП ""ФАГОТ""")</f>
        <v>ООО ЧОП "ФАГОТ"</v>
      </c>
      <c r="K8500" s="24" t="s">
        <v>2953</v>
      </c>
      <c r="L8500" s="28" t="s">
        <v>52</v>
      </c>
      <c r="M8500" s="25">
        <v>184014.52</v>
      </c>
      <c r="N8500" s="27">
        <v>0.40000065212174329</v>
      </c>
    </row>
    <row r="8501" spans="1:14" hidden="1" outlineLevel="1" x14ac:dyDescent="0.2">
      <c r="A8501" s="23" t="str">
        <f>HYPERLINK("https://www.spark-marketing.ru/Card/Person/116214", "ЧЕЛЯБИНСКИЙ ПСИХОНЕВРОЛОГИЧЕСКИЙ ИНТЕРНАТ")</f>
        <v>ЧЕЛЯБИНСКИЙ ПСИХОНЕВРОЛОГИЧЕСКИЙ ИНТЕРНАТ</v>
      </c>
      <c r="B8501" s="24" t="s">
        <v>2951</v>
      </c>
      <c r="C8501" s="25">
        <v>306691.20000000001</v>
      </c>
      <c r="D8501" s="22" t="s">
        <v>10762</v>
      </c>
      <c r="E8501" s="22" t="s">
        <v>68</v>
      </c>
      <c r="F8501" s="23" t="str">
        <f>HYPERLINK("https://www.spark-marketing.ru/Card/Lot/70334453", "Охранные услуги")</f>
        <v>Охранные услуги</v>
      </c>
      <c r="G8501" s="22" t="s">
        <v>60</v>
      </c>
      <c r="H8501" s="22" t="s">
        <v>1683</v>
      </c>
      <c r="I8501" s="26">
        <v>43592.470833333296</v>
      </c>
      <c r="J8501" s="23" t="str">
        <f>HYPERLINK("https://www.spark-marketing.ru/Card/Person/5928863", "ООО ""ЧОО ""ЛЕГИОН +""")</f>
        <v>ООО "ЧОО "ЛЕГИОН +"</v>
      </c>
      <c r="K8501" s="24" t="s">
        <v>10764</v>
      </c>
      <c r="L8501" s="28" t="s">
        <v>52</v>
      </c>
      <c r="M8501" s="25">
        <v>246886.34</v>
      </c>
      <c r="N8501" s="27">
        <v>0.19500024780626246</v>
      </c>
    </row>
    <row r="8502" spans="1:14" x14ac:dyDescent="0.15">
      <c r="A8502" s="23" t="str">
        <f>HYPERLINK("https://www.spark-marketing.ru/Card/Person/4344165", "ПРАВИТЕЛЬСТВО КРАЯ")</f>
        <v>ПРАВИТЕЛЬСТВО КРАЯ</v>
      </c>
      <c r="B8502" s="24" t="s">
        <v>271</v>
      </c>
      <c r="C8502" s="25">
        <v>10800</v>
      </c>
      <c r="D8502" s="22" t="s">
        <v>10765</v>
      </c>
      <c r="E8502" s="22" t="s">
        <v>53</v>
      </c>
      <c r="F8502" s="23" t="str">
        <f>HYPERLINK("https://www.spark-marketing.ru/Card/Lot/70758758", "Оказание услуг по охране объектов")</f>
        <v>Оказание услуг по охране объектов</v>
      </c>
      <c r="G8502" s="22" t="s">
        <v>138</v>
      </c>
      <c r="H8502" s="22" t="s">
        <v>10766</v>
      </c>
      <c r="I8502" s="26">
        <v>43592.462696759299</v>
      </c>
      <c r="J8502" s="28" t="s">
        <v>52</v>
      </c>
      <c r="K8502" s="28" t="s">
        <v>52</v>
      </c>
      <c r="L8502" s="28" t="s">
        <v>52</v>
      </c>
      <c r="M8502" s="28" t="s">
        <v>52</v>
      </c>
      <c r="N8502" s="28" t="s">
        <v>52</v>
      </c>
    </row>
    <row r="8503" spans="1:14" x14ac:dyDescent="0.15">
      <c r="A8503" s="23" t="str">
        <f>HYPERLINK("https://www.spark-marketing.ru/Card/Person/4352437", "МБОУДО ""ДОЛ ""БЕРЕЗКА"" Г. ЧЕБОКСАРЫ")</f>
        <v>МБОУДО "ДОЛ "БЕРЕЗКА" Г. ЧЕБОКСАРЫ</v>
      </c>
      <c r="B8503" s="24" t="s">
        <v>10767</v>
      </c>
      <c r="C8503" s="25">
        <v>11024</v>
      </c>
      <c r="D8503" s="22" t="s">
        <v>10768</v>
      </c>
      <c r="E8503" s="22" t="s">
        <v>5799</v>
      </c>
      <c r="F8503" s="23" t="str">
        <f>HYPERLINK("https://www.spark-marketing.ru/Card/Lot/70334060", "Оказание услуг по предупреждению и пресечению правонарушений и преступлений с помощью кнопки тревожной сигнализации (КТС) на объекте МБОУДО «ДОЛ» Березка» г. Чебоксары.")</f>
        <v>Оказание услуг по предупреждению и пресечению правонарушений и преступлений с помощью кнопки тревожной сигнализации (КТС) на объекте МБОУДО «ДОЛ» Березка» г. Чебоксары.</v>
      </c>
      <c r="G8503" s="22" t="s">
        <v>1137</v>
      </c>
      <c r="H8503" s="22" t="s">
        <v>10769</v>
      </c>
      <c r="I8503" s="26">
        <v>43592.452777777798</v>
      </c>
      <c r="J8503" s="28" t="s">
        <v>52</v>
      </c>
      <c r="K8503" s="28" t="s">
        <v>52</v>
      </c>
      <c r="L8503" s="28" t="s">
        <v>52</v>
      </c>
      <c r="M8503" s="28" t="s">
        <v>52</v>
      </c>
      <c r="N8503" s="28" t="s">
        <v>52</v>
      </c>
    </row>
    <row r="8504" spans="1:14" x14ac:dyDescent="0.15">
      <c r="A8504" s="23" t="str">
        <f>HYPERLINK("https://www.spark-marketing.ru/Card/Person/22349", "ФГБУЗ ЦЕНТР КРОВИ ФМБА РОССИИ")</f>
        <v>ФГБУЗ ЦЕНТР КРОВИ ФМБА РОССИИ</v>
      </c>
      <c r="B8504" s="24" t="s">
        <v>4758</v>
      </c>
      <c r="C8504" s="25">
        <v>204937957.12</v>
      </c>
      <c r="D8504" s="22" t="s">
        <v>10770</v>
      </c>
      <c r="E8504" s="22" t="s">
        <v>3699</v>
      </c>
      <c r="F8504" s="23" t="str">
        <f>HYPERLINK("https://www.spark-marketing.ru/Card/Lot/70337035", "Оказание услуг по техническому сопровождению единой информационной базы данных в целях реализации мероприятий, связанных с обеспечением безопасности донорской крови и ее компонентов для объектов службы крови России, включая услуги по технической защи...")</f>
        <v>Оказание услуг по техническому сопровождению единой информационной базы данных в целях реализации мероприятий, связанных с обеспечением безопасности донорской крови и ее компонентов для объектов службы крови России, включая услуги по технической защи...</v>
      </c>
      <c r="G8504" s="22" t="s">
        <v>55</v>
      </c>
      <c r="H8504" s="22" t="s">
        <v>55</v>
      </c>
      <c r="I8504" s="26">
        <v>43592.436805555597</v>
      </c>
      <c r="J8504" s="28" t="s">
        <v>52</v>
      </c>
      <c r="K8504" s="28" t="s">
        <v>52</v>
      </c>
      <c r="L8504" s="28" t="s">
        <v>52</v>
      </c>
      <c r="M8504" s="28" t="s">
        <v>52</v>
      </c>
      <c r="N8504" s="28" t="s">
        <v>52</v>
      </c>
    </row>
    <row r="8505" spans="1:14" hidden="1" outlineLevel="1" x14ac:dyDescent="0.2">
      <c r="A8505" s="23" t="str">
        <f>HYPERLINK("https://www.spark-marketing.ru/Card/Person/22349", "ФГБУЗ ЦЕНТР КРОВИ ФМБА РОССИИ")</f>
        <v>ФГБУЗ ЦЕНТР КРОВИ ФМБА РОССИИ</v>
      </c>
      <c r="B8505" s="24" t="s">
        <v>4758</v>
      </c>
      <c r="C8505" s="25">
        <v>204937957.12</v>
      </c>
      <c r="D8505" s="22" t="s">
        <v>10770</v>
      </c>
      <c r="E8505" s="22" t="s">
        <v>3699</v>
      </c>
      <c r="F8505" s="23" t="str">
        <f>HYPERLINK("https://www.spark-marketing.ru/Card/Lot/70337035", "Оказание услуг по техническому сопровождению единой информационной базы данных в целях реализации мероприятий, связанных с обеспечением безопасности донорской крови и ее компонентов для объектов службы крови России, включая услуги по технической защи...")</f>
        <v>Оказание услуг по техническому сопровождению единой информационной базы данных в целях реализации мероприятий, связанных с обеспечением безопасности донорской крови и ее компонентов для объектов службы крови России, включая услуги по технической защи...</v>
      </c>
      <c r="G8505" s="22" t="s">
        <v>55</v>
      </c>
      <c r="H8505" s="22" t="s">
        <v>55</v>
      </c>
      <c r="I8505" s="26">
        <v>43592.436805555597</v>
      </c>
      <c r="J8505" s="23" t="str">
        <f>HYPERLINK("https://www.spark-marketing.ru/Card/Person/4346171", "ООО ""ПРОГРАММНЫЙ ПРОДУКТ""")</f>
        <v>ООО "ПРОГРАММНЫЙ ПРОДУКТ"</v>
      </c>
      <c r="K8505" s="24" t="s">
        <v>4760</v>
      </c>
      <c r="L8505" s="28" t="s">
        <v>52</v>
      </c>
      <c r="M8505" s="25">
        <v>204900000</v>
      </c>
      <c r="N8505" s="27">
        <v>1.8521273722746476E-4</v>
      </c>
    </row>
    <row r="8506" spans="1:14" ht="12.75" hidden="1" outlineLevel="1" x14ac:dyDescent="0.2">
      <c r="A8506" s="23" t="str">
        <f>HYPERLINK("https://www.spark-marketing.ru/Card/Person/22349", "ФГБУЗ ЦЕНТР КРОВИ ФМБА РОССИИ")</f>
        <v>ФГБУЗ ЦЕНТР КРОВИ ФМБА РОССИИ</v>
      </c>
      <c r="B8506" s="24" t="s">
        <v>4758</v>
      </c>
      <c r="C8506" s="25">
        <v>204937957.12</v>
      </c>
      <c r="D8506" s="22" t="s">
        <v>10770</v>
      </c>
      <c r="E8506" s="22" t="s">
        <v>3699</v>
      </c>
      <c r="F8506" s="23" t="str">
        <f>HYPERLINK("https://www.spark-marketing.ru/Card/Lot/70337035", "Оказание услуг по техническому сопровождению единой информационной базы данных в целях реализации мероприятий, связанных с обеспечением безопасности донорской крови и ее компонентов для объектов службы крови России, включая услуги по технической защи...")</f>
        <v>Оказание услуг по техническому сопровождению единой информационной базы данных в целях реализации мероприятий, связанных с обеспечением безопасности донорской крови и ее компонентов для объектов службы крови России, включая услуги по технической защи...</v>
      </c>
      <c r="G8506" s="22" t="s">
        <v>55</v>
      </c>
      <c r="H8506" s="22" t="s">
        <v>55</v>
      </c>
      <c r="I8506" s="26">
        <v>43592.436805555597</v>
      </c>
      <c r="J8506" s="23" t="str">
        <f>HYPERLINK("https://www.spark-marketing.ru/Card/Person/31730", "ФГУП ""СВЭКО""")</f>
        <v>ФГУП "СВЭКО"</v>
      </c>
      <c r="K8506" s="24" t="s">
        <v>10771</v>
      </c>
      <c r="L8506" s="22" t="s">
        <v>10</v>
      </c>
      <c r="M8506" s="25">
        <v>204636000</v>
      </c>
      <c r="N8506" s="27">
        <v>1.4734074850916519E-3</v>
      </c>
    </row>
    <row r="8507" spans="1:14" x14ac:dyDescent="0.15">
      <c r="A8507" s="23" t="str">
        <f>HYPERLINK("https://www.spark-marketing.ru/Card/Person/4350821", "АДМИНИСТРАЦИЯ ЦНИНСКОГО СЕЛЬСОВЕТА ТАМБОВСКОГО РАЙОНА ТАМБОВСКОЙ ОБЛАСТИ")</f>
        <v>АДМИНИСТРАЦИЯ ЦНИНСКОГО СЕЛЬСОВЕТА ТАМБОВСКОГО РАЙОНА ТАМБОВСКОЙ ОБЛАСТИ</v>
      </c>
      <c r="B8507" s="24" t="s">
        <v>10772</v>
      </c>
      <c r="C8507" s="25">
        <v>401243</v>
      </c>
      <c r="D8507" s="22" t="s">
        <v>10773</v>
      </c>
      <c r="E8507" s="22" t="s">
        <v>59</v>
      </c>
      <c r="F8507" s="23" t="str">
        <f>HYPERLINK("https://www.spark-marketing.ru/Card/Lot/70336905", "Выполнение работ по установке опор уличного освещения на территории пос.Строитель Тамбовского района Тамбовской области")</f>
        <v>Выполнение работ по установке опор уличного освещения на территории пос.Строитель Тамбовского района Тамбовской области</v>
      </c>
      <c r="G8507" s="22" t="s">
        <v>1319</v>
      </c>
      <c r="H8507" s="22" t="s">
        <v>10774</v>
      </c>
      <c r="I8507" s="26">
        <v>43592.420833333301</v>
      </c>
      <c r="J8507" s="28" t="s">
        <v>52</v>
      </c>
      <c r="K8507" s="28" t="s">
        <v>52</v>
      </c>
      <c r="L8507" s="28" t="s">
        <v>52</v>
      </c>
      <c r="M8507" s="28" t="s">
        <v>52</v>
      </c>
      <c r="N8507" s="28" t="s">
        <v>52</v>
      </c>
    </row>
    <row r="8508" spans="1:14" hidden="1" outlineLevel="1" x14ac:dyDescent="0.2">
      <c r="A8508" s="23" t="str">
        <f>HYPERLINK("https://www.spark-marketing.ru/Card/Person/4350821", "АДМИНИСТРАЦИЯ ЦНИНСКОГО СЕЛЬСОВЕТА ТАМБОВСКОГО РАЙОНА ТАМБОВСКОЙ ОБЛАСТИ")</f>
        <v>АДМИНИСТРАЦИЯ ЦНИНСКОГО СЕЛЬСОВЕТА ТАМБОВСКОГО РАЙОНА ТАМБОВСКОЙ ОБЛАСТИ</v>
      </c>
      <c r="B8508" s="24" t="s">
        <v>10772</v>
      </c>
      <c r="C8508" s="25">
        <v>401243</v>
      </c>
      <c r="D8508" s="22" t="s">
        <v>10773</v>
      </c>
      <c r="E8508" s="22" t="s">
        <v>59</v>
      </c>
      <c r="F8508" s="23" t="str">
        <f>HYPERLINK("https://www.spark-marketing.ru/Card/Lot/70336905", "Выполнение работ по установке опор уличного освещения на территории пос.Строитель Тамбовского района Тамбовской области")</f>
        <v>Выполнение работ по установке опор уличного освещения на территории пос.Строитель Тамбовского района Тамбовской области</v>
      </c>
      <c r="G8508" s="22" t="s">
        <v>1319</v>
      </c>
      <c r="H8508" s="22" t="s">
        <v>10774</v>
      </c>
      <c r="I8508" s="26">
        <v>43592.420833333301</v>
      </c>
      <c r="J8508" s="23" t="str">
        <f>HYPERLINK("https://www.spark-marketing.ru/Card/Person/60714", "ООО ""СЕТЬСТРОЙ-М""")</f>
        <v>ООО "СЕТЬСТРОЙ-М"</v>
      </c>
      <c r="K8508" s="24" t="s">
        <v>10775</v>
      </c>
      <c r="L8508" s="28" t="s">
        <v>52</v>
      </c>
      <c r="M8508" s="25">
        <v>401242.99</v>
      </c>
      <c r="N8508" s="27">
        <v>2.4922553166036541E-8</v>
      </c>
    </row>
    <row r="8509" spans="1:14" hidden="1" outlineLevel="1" x14ac:dyDescent="0.2">
      <c r="A8509" s="23" t="str">
        <f>HYPERLINK("https://www.spark-marketing.ru/Card/Person/4350821", "АДМИНИСТРАЦИЯ ЦНИНСКОГО СЕЛЬСОВЕТА ТАМБОВСКОГО РАЙОНА ТАМБОВСКОЙ ОБЛАСТИ")</f>
        <v>АДМИНИСТРАЦИЯ ЦНИНСКОГО СЕЛЬСОВЕТА ТАМБОВСКОГО РАЙОНА ТАМБОВСКОЙ ОБЛАСТИ</v>
      </c>
      <c r="B8509" s="24" t="s">
        <v>10772</v>
      </c>
      <c r="C8509" s="25">
        <v>401243</v>
      </c>
      <c r="D8509" s="22" t="s">
        <v>10773</v>
      </c>
      <c r="E8509" s="22" t="s">
        <v>59</v>
      </c>
      <c r="F8509" s="23" t="str">
        <f>HYPERLINK("https://www.spark-marketing.ru/Card/Lot/70336905", "Выполнение работ по установке опор уличного освещения на территории пос.Строитель Тамбовского района Тамбовской области")</f>
        <v>Выполнение работ по установке опор уличного освещения на территории пос.Строитель Тамбовского района Тамбовской области</v>
      </c>
      <c r="G8509" s="22" t="s">
        <v>1319</v>
      </c>
      <c r="H8509" s="22" t="s">
        <v>10774</v>
      </c>
      <c r="I8509" s="26">
        <v>43592.420833333301</v>
      </c>
      <c r="J8509" s="23" t="str">
        <f>HYPERLINK("https://www.spark-marketing.ru/Card/Person/246180", "ООО ""ТАЙФУН""")</f>
        <v>ООО "ТАЙФУН"</v>
      </c>
      <c r="K8509" s="24" t="s">
        <v>5286</v>
      </c>
      <c r="L8509" s="28" t="s">
        <v>52</v>
      </c>
      <c r="M8509" s="25">
        <v>348950.24</v>
      </c>
      <c r="N8509" s="27">
        <v>0.1303269091298789</v>
      </c>
    </row>
    <row r="8510" spans="1:14" ht="12.75" hidden="1" outlineLevel="1" x14ac:dyDescent="0.2">
      <c r="A8510" s="23" t="str">
        <f>HYPERLINK("https://www.spark-marketing.ru/Card/Person/4350821", "АДМИНИСТРАЦИЯ ЦНИНСКОГО СЕЛЬСОВЕТА ТАМБОВСКОГО РАЙОНА ТАМБОВСКОЙ ОБЛАСТИ")</f>
        <v>АДМИНИСТРАЦИЯ ЦНИНСКОГО СЕЛЬСОВЕТА ТАМБОВСКОГО РАЙОНА ТАМБОВСКОЙ ОБЛАСТИ</v>
      </c>
      <c r="B8510" s="24" t="s">
        <v>10772</v>
      </c>
      <c r="C8510" s="25">
        <v>401243</v>
      </c>
      <c r="D8510" s="22" t="s">
        <v>10773</v>
      </c>
      <c r="E8510" s="22" t="s">
        <v>59</v>
      </c>
      <c r="F8510" s="23" t="str">
        <f>HYPERLINK("https://www.spark-marketing.ru/Card/Lot/70336905", "Выполнение работ по установке опор уличного освещения на территории пос.Строитель Тамбовского района Тамбовской области")</f>
        <v>Выполнение работ по установке опор уличного освещения на территории пос.Строитель Тамбовского района Тамбовской области</v>
      </c>
      <c r="G8510" s="22" t="s">
        <v>1319</v>
      </c>
      <c r="H8510" s="22" t="s">
        <v>10774</v>
      </c>
      <c r="I8510" s="26">
        <v>43592.420833333301</v>
      </c>
      <c r="J8510" s="23" t="str">
        <f>HYPERLINK("https://www.spark-marketing.ru/Card/Person/841332", "ООО ""СВЯЗЬ-ТАМБОВ""")</f>
        <v>ООО "СВЯЗЬ-ТАМБОВ"</v>
      </c>
      <c r="K8510" s="24" t="s">
        <v>10776</v>
      </c>
      <c r="L8510" s="22" t="s">
        <v>10</v>
      </c>
      <c r="M8510" s="25">
        <v>346944.02</v>
      </c>
      <c r="N8510" s="27">
        <v>0.13532692159115547</v>
      </c>
    </row>
    <row r="8511" spans="1:14" x14ac:dyDescent="0.15">
      <c r="A8511" s="23" t="str">
        <f>HYPERLINK("https://www.spark-marketing.ru/Card/Person/1683079", "ООО ""ЧОП ""КЕННАРД""")</f>
        <v>ООО "ЧОП "КЕННАРД"</v>
      </c>
      <c r="B8511" s="24" t="s">
        <v>1949</v>
      </c>
      <c r="C8511" s="25">
        <v>644</v>
      </c>
      <c r="D8511" s="22" t="s">
        <v>10777</v>
      </c>
      <c r="E8511" s="22" t="s">
        <v>53</v>
      </c>
      <c r="F8511" s="23" t="str">
        <f>HYPERLINK("https://www.spark-marketing.ru/Card/Lot/70360082", "Рубашка мужская с коротким рукавом цвет «василек» «Жилдом» с центральной застежкой на пуговицах. Спинка с кокеткой. На полочках два нагрудных накладных кармана с клапаном на пуговицах. На правой полочке жаккардовый шеврон «служба охраны». Рукав однош...")</f>
        <v>Рубашка мужская с коротким рукавом цвет «василек» «Жилдом» с центральной застежкой на пуговицах. Спинка с кокеткой. На полочках два нагрудных накладных кармана с клапаном на пуговицах. На правой полочке жаккардовый шеврон «служба охраны». Рукав однош...</v>
      </c>
      <c r="G8511" s="22" t="s">
        <v>204</v>
      </c>
      <c r="H8511" s="22" t="s">
        <v>303</v>
      </c>
      <c r="I8511" s="26">
        <v>43592.440925925897</v>
      </c>
      <c r="J8511" s="28" t="s">
        <v>52</v>
      </c>
      <c r="K8511" s="28" t="s">
        <v>52</v>
      </c>
      <c r="L8511" s="28" t="s">
        <v>52</v>
      </c>
      <c r="M8511" s="28" t="s">
        <v>52</v>
      </c>
      <c r="N8511" s="28" t="s">
        <v>52</v>
      </c>
    </row>
    <row r="8512" spans="1:14" x14ac:dyDescent="0.15">
      <c r="A8512" s="23" t="str">
        <f>HYPERLINK("https://www.spark-marketing.ru/Card/Person/1683079", "ООО ""ЧОП ""КЕННАРД""")</f>
        <v>ООО "ЧОП "КЕННАРД"</v>
      </c>
      <c r="B8512" s="24" t="s">
        <v>1949</v>
      </c>
      <c r="C8512" s="25">
        <v>694</v>
      </c>
      <c r="D8512" s="22" t="s">
        <v>10777</v>
      </c>
      <c r="E8512" s="22" t="s">
        <v>53</v>
      </c>
      <c r="F8512" s="23" t="str">
        <f>HYPERLINK("https://www.spark-marketing.ru/Card/Lot/70360086", "Рубашка мужская с коротким рукавом цвет голубой, отделка черная. С центральной застежкой на пуговицах. Спинка с кокеткой. На полочках два нагрудных накладных кармана с клапаном из отделочной ткани на пуговицах. На правой полочке шеврон шелкография «о...")</f>
        <v>Рубашка мужская с коротким рукавом цвет голубой, отделка черная. С центральной застежкой на пуговицах. Спинка с кокеткой. На полочках два нагрудных накладных кармана с клапаном из отделочной ткани на пуговицах. На правой полочке шеврон шелкография «о...</v>
      </c>
      <c r="G8512" s="22" t="s">
        <v>204</v>
      </c>
      <c r="H8512" s="22" t="s">
        <v>303</v>
      </c>
      <c r="I8512" s="26">
        <v>43592.440925925897</v>
      </c>
      <c r="J8512" s="28" t="s">
        <v>52</v>
      </c>
      <c r="K8512" s="28" t="s">
        <v>52</v>
      </c>
      <c r="L8512" s="28" t="s">
        <v>52</v>
      </c>
      <c r="M8512" s="28" t="s">
        <v>52</v>
      </c>
      <c r="N8512" s="28" t="s">
        <v>52</v>
      </c>
    </row>
    <row r="8513" spans="1:14" x14ac:dyDescent="0.15">
      <c r="A8513" s="23" t="str">
        <f>HYPERLINK("https://www.spark-marketing.ru/Card/Person/1683079", "ООО ""ЧОП ""КЕННАРД""")</f>
        <v>ООО "ЧОП "КЕННАРД"</v>
      </c>
      <c r="B8513" s="24" t="s">
        <v>1949</v>
      </c>
      <c r="C8513" s="25">
        <v>441</v>
      </c>
      <c r="D8513" s="22" t="s">
        <v>10777</v>
      </c>
      <c r="E8513" s="22" t="s">
        <v>53</v>
      </c>
      <c r="F8513" s="23" t="str">
        <f>HYPERLINK("https://www.spark-marketing.ru/Card/Lot/70360094", "Жилет с надписью «Охрана» ткань «Премьер-Standart-250», ВО, состав 35% ХЛ, 65% ПЭ Поверхностная плотность ткани, г/м2 - 250+/-10, Воздухопроницаемость, дм3/м2.с - не менее 15, Разрывная нагрузка ткани, Н, не менее: по основе 1300, по утку 900; Устойч...")</f>
        <v>Жилет с надписью «Охрана» ткань «Премьер-Standart-250», ВО, состав 35% ХЛ, 65% ПЭ Поверхностная плотность ткани, г/м2 - 250+/-10, Воздухопроницаемость, дм3/м2.с - не менее 15, Разрывная нагрузка ткани, Н, не менее: по основе 1300, по утку 900; Устойч...</v>
      </c>
      <c r="G8513" s="22" t="s">
        <v>204</v>
      </c>
      <c r="H8513" s="22" t="s">
        <v>303</v>
      </c>
      <c r="I8513" s="26">
        <v>43592.440925925897</v>
      </c>
      <c r="J8513" s="28" t="s">
        <v>52</v>
      </c>
      <c r="K8513" s="28" t="s">
        <v>52</v>
      </c>
      <c r="L8513" s="28" t="s">
        <v>52</v>
      </c>
      <c r="M8513" s="28" t="s">
        <v>52</v>
      </c>
      <c r="N8513" s="28" t="s">
        <v>52</v>
      </c>
    </row>
    <row r="8514" spans="1:14" x14ac:dyDescent="0.15">
      <c r="A8514" s="23" t="str">
        <f>HYPERLINK("https://www.spark-marketing.ru/Card/Person/4434918", "МАДОУ УМР УПОРОВСКИЙ ДЕТСКИЙ САД ""СОЛНЫШКО""")</f>
        <v>МАДОУ УМР УПОРОВСКИЙ ДЕТСКИЙ САД "СОЛНЫШКО"</v>
      </c>
      <c r="B8514" s="24" t="s">
        <v>10778</v>
      </c>
      <c r="C8514" s="25">
        <v>475497.96</v>
      </c>
      <c r="D8514" s="22" t="s">
        <v>10779</v>
      </c>
      <c r="E8514" s="22" t="s">
        <v>144</v>
      </c>
      <c r="F8514" s="23" t="str">
        <f>HYPERLINK("https://www.spark-marketing.ru/Card/Lot/70330887", "Услуги по охране имущества, обеспечению общественного порядка и соблюдение пропускного режима")</f>
        <v>Услуги по охране имущества, обеспечению общественного порядка и соблюдение пропускного режима</v>
      </c>
      <c r="G8514" s="22" t="s">
        <v>893</v>
      </c>
      <c r="H8514" s="22" t="s">
        <v>893</v>
      </c>
      <c r="I8514" s="26">
        <v>43592.424988425897</v>
      </c>
      <c r="J8514" s="28" t="s">
        <v>52</v>
      </c>
      <c r="K8514" s="28" t="s">
        <v>52</v>
      </c>
      <c r="L8514" s="28" t="s">
        <v>52</v>
      </c>
      <c r="M8514" s="28" t="s">
        <v>52</v>
      </c>
      <c r="N8514" s="28" t="s">
        <v>52</v>
      </c>
    </row>
    <row r="8515" spans="1:14" hidden="1" outlineLevel="1" x14ac:dyDescent="0.2">
      <c r="A8515" s="23" t="str">
        <f>HYPERLINK("https://www.spark-marketing.ru/Card/Person/4434918", "МАДОУ УМР УПОРОВСКИЙ ДЕТСКИЙ САД ""СОЛНЫШКО""")</f>
        <v>МАДОУ УМР УПОРОВСКИЙ ДЕТСКИЙ САД "СОЛНЫШКО"</v>
      </c>
      <c r="B8515" s="24" t="s">
        <v>10778</v>
      </c>
      <c r="C8515" s="28" t="s">
        <v>52</v>
      </c>
      <c r="D8515" s="22" t="s">
        <v>10779</v>
      </c>
      <c r="E8515" s="22" t="s">
        <v>144</v>
      </c>
      <c r="F8515" s="23" t="str">
        <f>HYPERLINK("https://www.spark-marketing.ru/Card/Lot/70330887", "Услуги по охране имущества, обеспечению общественного порядка и соблюдение пропускного режима")</f>
        <v>Услуги по охране имущества, обеспечению общественного порядка и соблюдение пропускного режима</v>
      </c>
      <c r="G8515" s="22" t="s">
        <v>893</v>
      </c>
      <c r="H8515" s="22" t="s">
        <v>893</v>
      </c>
      <c r="I8515" s="26">
        <v>43592.424988425897</v>
      </c>
      <c r="J8515" s="23" t="str">
        <f>HYPERLINK("https://www.spark-marketing.ru/Card/Person/4413271", "ООО ""ЧОП ПАРТНЕР""")</f>
        <v>ООО "ЧОП ПАРТНЕР"</v>
      </c>
      <c r="K8515" s="24" t="s">
        <v>10780</v>
      </c>
      <c r="L8515" s="28" t="s">
        <v>52</v>
      </c>
      <c r="M8515" s="25">
        <v>479000</v>
      </c>
      <c r="N8515" s="27">
        <v>-7.3649947940891275E-3</v>
      </c>
    </row>
    <row r="8516" spans="1:14" hidden="1" outlineLevel="1" x14ac:dyDescent="0.2">
      <c r="A8516" s="23" t="str">
        <f>HYPERLINK("https://www.spark-marketing.ru/Card/Person/4434918", "МАДОУ УМР УПОРОВСКИЙ ДЕТСКИЙ САД ""СОЛНЫШКО""")</f>
        <v>МАДОУ УМР УПОРОВСКИЙ ДЕТСКИЙ САД "СОЛНЫШКО"</v>
      </c>
      <c r="B8516" s="24" t="s">
        <v>10778</v>
      </c>
      <c r="C8516" s="28" t="s">
        <v>52</v>
      </c>
      <c r="D8516" s="22" t="s">
        <v>10779</v>
      </c>
      <c r="E8516" s="22" t="s">
        <v>144</v>
      </c>
      <c r="F8516" s="23" t="str">
        <f>HYPERLINK("https://www.spark-marketing.ru/Card/Lot/70330887", "Услуги по охране имущества, обеспечению общественного порядка и соблюдение пропускного режима")</f>
        <v>Услуги по охране имущества, обеспечению общественного порядка и соблюдение пропускного режима</v>
      </c>
      <c r="G8516" s="22" t="s">
        <v>893</v>
      </c>
      <c r="H8516" s="22" t="s">
        <v>893</v>
      </c>
      <c r="I8516" s="26">
        <v>43592.424988425897</v>
      </c>
      <c r="J8516" s="23" t="str">
        <f>HYPERLINK("https://www.spark-marketing.ru/Card/Person/4831", "ООО ""ЧОО ""БАСТИОН""")</f>
        <v>ООО "ЧОО "БАСТИОН"</v>
      </c>
      <c r="K8516" s="24" t="s">
        <v>10781</v>
      </c>
      <c r="L8516" s="28" t="s">
        <v>52</v>
      </c>
      <c r="M8516" s="25">
        <v>480000</v>
      </c>
      <c r="N8516" s="27">
        <v>-9.4680532383356591E-3</v>
      </c>
    </row>
    <row r="8517" spans="1:14" hidden="1" outlineLevel="1" x14ac:dyDescent="0.2">
      <c r="A8517" s="23" t="str">
        <f>HYPERLINK("https://www.spark-marketing.ru/Card/Person/4434918", "МАДОУ УМР УПОРОВСКИЙ ДЕТСКИЙ САД ""СОЛНЫШКО""")</f>
        <v>МАДОУ УМР УПОРОВСКИЙ ДЕТСКИЙ САД "СОЛНЫШКО"</v>
      </c>
      <c r="B8517" s="24" t="s">
        <v>10778</v>
      </c>
      <c r="C8517" s="28" t="s">
        <v>52</v>
      </c>
      <c r="D8517" s="22" t="s">
        <v>10779</v>
      </c>
      <c r="E8517" s="22" t="s">
        <v>144</v>
      </c>
      <c r="F8517" s="23" t="str">
        <f>HYPERLINK("https://www.spark-marketing.ru/Card/Lot/70330887", "Услуги по охране имущества, обеспечению общественного порядка и соблюдение пропускного режима")</f>
        <v>Услуги по охране имущества, обеспечению общественного порядка и соблюдение пропускного режима</v>
      </c>
      <c r="G8517" s="22" t="s">
        <v>893</v>
      </c>
      <c r="H8517" s="22" t="s">
        <v>893</v>
      </c>
      <c r="I8517" s="26">
        <v>43592.424988425897</v>
      </c>
      <c r="J8517" s="23" t="str">
        <f>HYPERLINK("https://www.spark-marketing.ru/Card/Person/102477", "ООО НЧОП ""СКОРПИОН""")</f>
        <v>ООО НЧОП "СКОРПИОН"</v>
      </c>
      <c r="K8517" s="24" t="s">
        <v>10782</v>
      </c>
      <c r="L8517" s="28" t="s">
        <v>52</v>
      </c>
      <c r="M8517" s="25">
        <v>475000</v>
      </c>
      <c r="N8517" s="27">
        <v>1.0472389828970034E-3</v>
      </c>
    </row>
    <row r="8518" spans="1:14" x14ac:dyDescent="0.15">
      <c r="A8518" s="23" t="str">
        <f>HYPERLINK("https://www.spark-marketing.ru/Card/Person/263900", "МЕЖРАЙОННАЯ ИФНС РОССИИ № 4 ПО ВОЛОГОДСКОЙ ОБЛАСТИ")</f>
        <v>МЕЖРАЙОННАЯ ИФНС РОССИИ № 4 ПО ВОЛОГОДСКОЙ ОБЛАСТИ</v>
      </c>
      <c r="B8518" s="24" t="s">
        <v>6804</v>
      </c>
      <c r="C8518" s="25">
        <v>44619</v>
      </c>
      <c r="D8518" s="22" t="s">
        <v>10783</v>
      </c>
      <c r="E8518" s="22" t="s">
        <v>84</v>
      </c>
      <c r="F8518" s="23" t="str">
        <f>HYPERLINK("https://www.spark-marketing.ru/Card/Lot/70331288", "Монтаж, установка, сборка систем охранного видеонаблюдения, 1 шт")</f>
        <v>Монтаж, установка, сборка систем охранного видеонаблюдения, 1 шт</v>
      </c>
      <c r="G8518" s="22" t="s">
        <v>902</v>
      </c>
      <c r="H8518" s="22" t="s">
        <v>6806</v>
      </c>
      <c r="I8518" s="26">
        <v>43592.380358796298</v>
      </c>
      <c r="J8518" s="28" t="s">
        <v>52</v>
      </c>
      <c r="K8518" s="28" t="s">
        <v>52</v>
      </c>
      <c r="L8518" s="28" t="s">
        <v>52</v>
      </c>
      <c r="M8518" s="28" t="s">
        <v>52</v>
      </c>
      <c r="N8518" s="28" t="s">
        <v>52</v>
      </c>
    </row>
    <row r="8519" spans="1:14" x14ac:dyDescent="0.15">
      <c r="A8519" s="23" t="str">
        <f>HYPERLINK("https://www.spark-marketing.ru/Card/Person/1047734", "МКУ ""УПРАВЛЕНИЕ ПО ДЕЛАМ ГО И ЧС Г. СМОЛЕНСКА""")</f>
        <v>МКУ "УПРАВЛЕНИЕ ПО ДЕЛАМ ГО И ЧС Г. СМОЛЕНСКА"</v>
      </c>
      <c r="B8519" s="24" t="s">
        <v>10784</v>
      </c>
      <c r="C8519" s="25">
        <v>377712</v>
      </c>
      <c r="D8519" s="22" t="s">
        <v>10785</v>
      </c>
      <c r="E8519" s="22" t="s">
        <v>52</v>
      </c>
      <c r="F8519" s="23" t="str">
        <f>HYPERLINK("https://www.spark-marketing.ru/Card/Lot/70333837", "Услуги охраны")</f>
        <v>Услуги охраны</v>
      </c>
      <c r="G8519" s="22" t="s">
        <v>956</v>
      </c>
      <c r="H8519" s="22" t="s">
        <v>1451</v>
      </c>
      <c r="I8519" s="26">
        <v>43592.382638888899</v>
      </c>
      <c r="J8519" s="28" t="s">
        <v>52</v>
      </c>
      <c r="K8519" s="28" t="s">
        <v>52</v>
      </c>
      <c r="L8519" s="28" t="s">
        <v>52</v>
      </c>
      <c r="M8519" s="28" t="s">
        <v>52</v>
      </c>
      <c r="N8519" s="28" t="s">
        <v>52</v>
      </c>
    </row>
    <row r="8520" spans="1:14" hidden="1" outlineLevel="1" x14ac:dyDescent="0.2">
      <c r="A8520" s="23" t="str">
        <f>HYPERLINK("https://www.spark-marketing.ru/Card/Person/1047734", "МКУ ""УПРАВЛЕНИЕ ПО ДЕЛАМ ГО И ЧС Г. СМОЛЕНСКА""")</f>
        <v>МКУ "УПРАВЛЕНИЕ ПО ДЕЛАМ ГО И ЧС Г. СМОЛЕНСКА"</v>
      </c>
      <c r="B8520" s="24" t="s">
        <v>10784</v>
      </c>
      <c r="C8520" s="25">
        <v>377712</v>
      </c>
      <c r="D8520" s="22" t="s">
        <v>10785</v>
      </c>
      <c r="E8520" s="22" t="s">
        <v>52</v>
      </c>
      <c r="F8520" s="23" t="str">
        <f>HYPERLINK("https://www.spark-marketing.ru/Card/Lot/70333837", "Услуги охраны")</f>
        <v>Услуги охраны</v>
      </c>
      <c r="G8520" s="22" t="s">
        <v>956</v>
      </c>
      <c r="H8520" s="22" t="s">
        <v>1451</v>
      </c>
      <c r="I8520" s="26">
        <v>43592.382638888899</v>
      </c>
      <c r="J8520" s="23" t="str">
        <f>HYPERLINK("https://www.spark-marketing.ru/Card/Person/5915815", "ООО ЧОП ""ФИЛИН""")</f>
        <v>ООО ЧОП "ФИЛИН"</v>
      </c>
      <c r="K8520" s="24" t="s">
        <v>8527</v>
      </c>
      <c r="L8520" s="28" t="s">
        <v>52</v>
      </c>
      <c r="M8520" s="25">
        <v>253067.04</v>
      </c>
      <c r="N8520" s="27">
        <v>0.33</v>
      </c>
    </row>
    <row r="8521" spans="1:14" ht="12.75" hidden="1" outlineLevel="1" x14ac:dyDescent="0.2">
      <c r="A8521" s="23" t="str">
        <f>HYPERLINK("https://www.spark-marketing.ru/Card/Person/1047734", "МКУ ""УПРАВЛЕНИЕ ПО ДЕЛАМ ГО И ЧС Г. СМОЛЕНСКА""")</f>
        <v>МКУ "УПРАВЛЕНИЕ ПО ДЕЛАМ ГО И ЧС Г. СМОЛЕНСКА"</v>
      </c>
      <c r="B8521" s="24" t="s">
        <v>10784</v>
      </c>
      <c r="C8521" s="25">
        <v>377712</v>
      </c>
      <c r="D8521" s="22" t="s">
        <v>10785</v>
      </c>
      <c r="E8521" s="22" t="s">
        <v>52</v>
      </c>
      <c r="F8521" s="23" t="str">
        <f>HYPERLINK("https://www.spark-marketing.ru/Card/Lot/70333837", "Услуги охраны")</f>
        <v>Услуги охраны</v>
      </c>
      <c r="G8521" s="22" t="s">
        <v>956</v>
      </c>
      <c r="H8521" s="22" t="s">
        <v>1451</v>
      </c>
      <c r="I8521" s="26">
        <v>43592.382638888899</v>
      </c>
      <c r="J8521" s="23" t="str">
        <f>HYPERLINK("https://www.spark-marketing.ru/Card/Person/18325", "ООО ЧОП ""ПЕРЕСВЕТ-СБ""")</f>
        <v>ООО ЧОП "ПЕРЕСВЕТ-СБ"</v>
      </c>
      <c r="K8521" s="24" t="s">
        <v>7965</v>
      </c>
      <c r="L8521" s="22" t="s">
        <v>10</v>
      </c>
      <c r="M8521" s="25">
        <v>251178.48</v>
      </c>
      <c r="N8521" s="27">
        <v>0.33500000000000002</v>
      </c>
    </row>
    <row r="8522" spans="1:14" x14ac:dyDescent="0.15">
      <c r="A8522" s="23" t="str">
        <f>HYPERLINK("https://www.spark-marketing.ru/Card/Person/13397", "ГБУЗ НО ""ГОРОДСКАЯ БОЛЬНИЦА № 33""")</f>
        <v>ГБУЗ НО "ГОРОДСКАЯ БОЛЬНИЦА № 33"</v>
      </c>
      <c r="B8522" s="24" t="s">
        <v>10786</v>
      </c>
      <c r="C8522" s="25">
        <v>984238.07999999996</v>
      </c>
      <c r="D8522" s="22" t="s">
        <v>10787</v>
      </c>
      <c r="E8522" s="22" t="s">
        <v>68</v>
      </c>
      <c r="F8522" s="23" t="str">
        <f>HYPERLINK("https://www.spark-marketing.ru/Card/Lot/70333351", "Оказание охранных услуг")</f>
        <v>Оказание охранных услуг</v>
      </c>
      <c r="G8522" s="22" t="s">
        <v>64</v>
      </c>
      <c r="H8522" s="22" t="s">
        <v>64</v>
      </c>
      <c r="I8522" s="26">
        <v>43592.377083333296</v>
      </c>
      <c r="J8522" s="28" t="s">
        <v>52</v>
      </c>
      <c r="K8522" s="28" t="s">
        <v>52</v>
      </c>
      <c r="L8522" s="28" t="s">
        <v>52</v>
      </c>
      <c r="M8522" s="28" t="s">
        <v>52</v>
      </c>
      <c r="N8522" s="28" t="s">
        <v>52</v>
      </c>
    </row>
    <row r="8523" spans="1:14" hidden="1" outlineLevel="1" x14ac:dyDescent="0.2">
      <c r="A8523" s="23" t="str">
        <f>HYPERLINK("https://www.spark-marketing.ru/Card/Person/13397", "ГБУЗ НО ""ГОРОДСКАЯ БОЛЬНИЦА № 33""")</f>
        <v>ГБУЗ НО "ГОРОДСКАЯ БОЛЬНИЦА № 33"</v>
      </c>
      <c r="B8523" s="24" t="s">
        <v>10786</v>
      </c>
      <c r="C8523" s="25">
        <v>984238.07999999996</v>
      </c>
      <c r="D8523" s="22" t="s">
        <v>10787</v>
      </c>
      <c r="E8523" s="22" t="s">
        <v>68</v>
      </c>
      <c r="F8523" s="23" t="str">
        <f>HYPERLINK("https://www.spark-marketing.ru/Card/Lot/70333351", "Оказание охранных услуг")</f>
        <v>Оказание охранных услуг</v>
      </c>
      <c r="G8523" s="22" t="s">
        <v>64</v>
      </c>
      <c r="H8523" s="22" t="s">
        <v>64</v>
      </c>
      <c r="I8523" s="26">
        <v>43592.377083333296</v>
      </c>
      <c r="J8523" s="23" t="str">
        <f>HYPERLINK("https://www.spark-marketing.ru/Card/Person/6276096", "ООО ""ОА ""ВЕГА""")</f>
        <v>ООО "ОА "ВЕГА"</v>
      </c>
      <c r="K8523" s="24" t="s">
        <v>10788</v>
      </c>
      <c r="L8523" s="28" t="s">
        <v>52</v>
      </c>
      <c r="M8523" s="25">
        <v>856287.14</v>
      </c>
      <c r="N8523" s="27">
        <v>0.1299999894334509</v>
      </c>
    </row>
    <row r="8524" spans="1:14" ht="12.75" hidden="1" outlineLevel="1" x14ac:dyDescent="0.2">
      <c r="A8524" s="23" t="str">
        <f>HYPERLINK("https://www.spark-marketing.ru/Card/Person/13397", "ГБУЗ НО ""ГОРОДСКАЯ БОЛЬНИЦА № 33""")</f>
        <v>ГБУЗ НО "ГОРОДСКАЯ БОЛЬНИЦА № 33"</v>
      </c>
      <c r="B8524" s="24" t="s">
        <v>10786</v>
      </c>
      <c r="C8524" s="25">
        <v>984238.07999999996</v>
      </c>
      <c r="D8524" s="22" t="s">
        <v>10787</v>
      </c>
      <c r="E8524" s="22" t="s">
        <v>68</v>
      </c>
      <c r="F8524" s="23" t="str">
        <f>HYPERLINK("https://www.spark-marketing.ru/Card/Lot/70333351", "Оказание охранных услуг")</f>
        <v>Оказание охранных услуг</v>
      </c>
      <c r="G8524" s="22" t="s">
        <v>64</v>
      </c>
      <c r="H8524" s="22" t="s">
        <v>64</v>
      </c>
      <c r="I8524" s="26">
        <v>43592.377083333296</v>
      </c>
      <c r="J8524" s="23" t="str">
        <f>HYPERLINK("https://www.spark-marketing.ru/Card/Person/2503443", "ООО ЧОО ""БАГИРА""")</f>
        <v>ООО ЧОО "БАГИРА"</v>
      </c>
      <c r="K8524" s="24" t="s">
        <v>10789</v>
      </c>
      <c r="L8524" s="22" t="s">
        <v>10</v>
      </c>
      <c r="M8524" s="25">
        <v>851365.95</v>
      </c>
      <c r="N8524" s="27">
        <v>0.13499998902704516</v>
      </c>
    </row>
    <row r="8525" spans="1:14" ht="12.75" x14ac:dyDescent="0.2">
      <c r="A8525" s="23" t="str">
        <f>HYPERLINK("https://www.spark-marketing.ru/Card/Person/5458", "УПРАВЛЕНИЕ РОСРЕЕСТРА ПО ПЕНЗЕНСКОЙ ОБЛАСТИ")</f>
        <v>УПРАВЛЕНИЕ РОСРЕЕСТРА ПО ПЕНЗЕНСКОЙ ОБЛАСТИ</v>
      </c>
      <c r="B8525" s="24" t="s">
        <v>6479</v>
      </c>
      <c r="C8525" s="25">
        <v>349123.2</v>
      </c>
      <c r="D8525" s="22" t="s">
        <v>10790</v>
      </c>
      <c r="E8525" s="22" t="s">
        <v>52</v>
      </c>
      <c r="F8525" s="23" t="str">
        <f>HYPERLINK("https://www.spark-marketing.ru/Card/Lot/70334086", "Услуги по охране помещений")</f>
        <v>Услуги по охране помещений</v>
      </c>
      <c r="G8525" s="22" t="s">
        <v>514</v>
      </c>
      <c r="H8525" s="22" t="s">
        <v>2167</v>
      </c>
      <c r="I8525" s="26">
        <v>43592.386805555601</v>
      </c>
      <c r="J8525" s="23" t="str">
        <f>HYPERLINK("https://www.spark-marketing.ru/Card/Person/397163", "ФЛ ФГУП ""ОХРАНА"" РОСГВАРДИИ ПО ПЕНЗЕНСКОЙ ОБЛАСТИ")</f>
        <v>ФЛ ФГУП "ОХРАНА" РОСГВАРДИИ ПО ПЕНЗЕНСКОЙ ОБЛАСТИ</v>
      </c>
      <c r="K8525" s="24" t="s">
        <v>779</v>
      </c>
      <c r="L8525" s="22" t="s">
        <v>10</v>
      </c>
      <c r="M8525" s="25">
        <v>349123.2</v>
      </c>
      <c r="N8525" s="27">
        <v>0</v>
      </c>
    </row>
    <row r="8526" spans="1:14" x14ac:dyDescent="0.15">
      <c r="A8526" s="23" t="str">
        <f>HYPERLINK("https://www.spark-marketing.ru/Card/Person/1343923", "Фл АО ""Атомэнергоремонт"" - ""Смоленскатомэнергоремонт""")</f>
        <v>Фл АО "Атомэнергоремонт" - "Смоленскатомэнергоремонт"</v>
      </c>
      <c r="B8526" s="24" t="s">
        <v>10791</v>
      </c>
      <c r="C8526" s="28" t="s">
        <v>52</v>
      </c>
      <c r="D8526" s="22" t="s">
        <v>10792</v>
      </c>
      <c r="E8526" s="22" t="s">
        <v>53</v>
      </c>
      <c r="F8526" s="23" t="str">
        <f>HYPERLINK("https://www.spark-marketing.ru/Card/Lot/70338989", "Оказание услуг по проверке приборов безопасности крана-манипулятора КАМАЗ-4308 с краново-манипуляторной установкой РМ 9022 и крана автомобильного КС-5576Б")</f>
        <v>Оказание услуг по проверке приборов безопасности крана-манипулятора КАМАЗ-4308 с краново-манипуляторной установкой РМ 9022 и крана автомобильного КС-5576Б</v>
      </c>
      <c r="G8526" s="22" t="s">
        <v>55</v>
      </c>
      <c r="H8526" s="22" t="s">
        <v>55</v>
      </c>
      <c r="I8526" s="26">
        <v>43592.365462962996</v>
      </c>
      <c r="J8526" s="28" t="s">
        <v>52</v>
      </c>
      <c r="K8526" s="28" t="s">
        <v>52</v>
      </c>
      <c r="L8526" s="28" t="s">
        <v>52</v>
      </c>
      <c r="M8526" s="28" t="s">
        <v>52</v>
      </c>
      <c r="N8526" s="28" t="s">
        <v>52</v>
      </c>
    </row>
    <row r="8527" spans="1:14" x14ac:dyDescent="0.15">
      <c r="A8527" s="23" t="str">
        <f>HYPERLINK("https://www.spark-marketing.ru/Card/Person/10039", "АРБИТРАЖНЫЙ СУД КРАСНОДАРСКОГО КРАЯ")</f>
        <v>АРБИТРАЖНЫЙ СУД КРАСНОДАРСКОГО КРАЯ</v>
      </c>
      <c r="B8527" s="24" t="s">
        <v>2819</v>
      </c>
      <c r="C8527" s="25">
        <v>45990</v>
      </c>
      <c r="D8527" s="22" t="s">
        <v>10793</v>
      </c>
      <c r="E8527" s="22" t="s">
        <v>68</v>
      </c>
      <c r="F8527" s="23" t="str">
        <f>HYPERLINK("https://www.spark-marketing.ru/Card/Lot/70332140", "Охрана здания (пультовая охрана)")</f>
        <v>Охрана здания (пультовая охрана)</v>
      </c>
      <c r="G8527" s="22" t="s">
        <v>132</v>
      </c>
      <c r="H8527" s="22" t="s">
        <v>652</v>
      </c>
      <c r="I8527" s="26">
        <v>43592.365277777797</v>
      </c>
      <c r="J8527" s="28" t="s">
        <v>52</v>
      </c>
      <c r="K8527" s="28" t="s">
        <v>52</v>
      </c>
      <c r="L8527" s="28" t="s">
        <v>52</v>
      </c>
      <c r="M8527" s="28" t="s">
        <v>52</v>
      </c>
      <c r="N8527" s="28" t="s">
        <v>52</v>
      </c>
    </row>
    <row r="8528" spans="1:14" x14ac:dyDescent="0.15">
      <c r="A8528" s="23" t="str">
        <f>HYPERLINK("https://www.spark-marketing.ru/Card/Person/47235", "ГБУЗ АРХАНГЕЛЬСКОЙ ОБЛАСТИ ""ОНЕЖСКАЯ ЦРБ""")</f>
        <v>ГБУЗ АРХАНГЕЛЬСКОЙ ОБЛАСТИ "ОНЕЖСКАЯ ЦРБ"</v>
      </c>
      <c r="B8528" s="24" t="s">
        <v>10271</v>
      </c>
      <c r="C8528" s="25">
        <v>99000</v>
      </c>
      <c r="D8528" s="22" t="s">
        <v>10794</v>
      </c>
      <c r="E8528" s="22" t="s">
        <v>68</v>
      </c>
      <c r="F8528" s="23" t="str">
        <f>HYPERLINK("https://www.spark-marketing.ru/Card/Lot/70325264", "Оказание услуг по охране объектов при помощи пульта централизованного наблюдения")</f>
        <v>Оказание услуг по охране объектов при помощи пульта централизованного наблюдения</v>
      </c>
      <c r="G8528" s="22" t="s">
        <v>674</v>
      </c>
      <c r="H8528" s="22" t="s">
        <v>674</v>
      </c>
      <c r="I8528" s="26">
        <v>43592.025694444397</v>
      </c>
      <c r="J8528" s="28" t="s">
        <v>52</v>
      </c>
      <c r="K8528" s="28" t="s">
        <v>52</v>
      </c>
      <c r="L8528" s="28" t="s">
        <v>52</v>
      </c>
      <c r="M8528" s="28" t="s">
        <v>52</v>
      </c>
      <c r="N8528" s="28" t="s">
        <v>52</v>
      </c>
    </row>
    <row r="8529" spans="1:14" x14ac:dyDescent="0.15">
      <c r="A8529" s="23" t="str">
        <f>HYPERLINK("https://www.spark-marketing.ru/Card/Person/58277", "ФГУП ""ЦЭНКИ""")</f>
        <v>ФГУП "ЦЭНКИ"</v>
      </c>
      <c r="B8529" s="24" t="s">
        <v>3774</v>
      </c>
      <c r="C8529" s="25">
        <v>0</v>
      </c>
      <c r="D8529" s="22" t="s">
        <v>10795</v>
      </c>
      <c r="E8529" s="22" t="s">
        <v>53</v>
      </c>
      <c r="F8529" s="23" t="str">
        <f>HYPERLINK("https://www.spark-marketing.ru/Card/Lot/70340628", "Поставка комплектующий для оснащения тревожными кнопками постов охраны")</f>
        <v>Поставка комплектующий для оснащения тревожными кнопками постов охраны</v>
      </c>
      <c r="G8529" s="22" t="s">
        <v>55</v>
      </c>
      <c r="H8529" s="22" t="s">
        <v>55</v>
      </c>
      <c r="I8529" s="26">
        <v>43592</v>
      </c>
      <c r="J8529" s="28" t="s">
        <v>52</v>
      </c>
      <c r="K8529" s="28" t="s">
        <v>52</v>
      </c>
      <c r="L8529" s="28" t="s">
        <v>52</v>
      </c>
      <c r="M8529" s="28" t="s">
        <v>52</v>
      </c>
      <c r="N8529" s="28" t="s">
        <v>52</v>
      </c>
    </row>
    <row r="8530" spans="1:14" x14ac:dyDescent="0.15">
      <c r="A8530" s="23" t="str">
        <f t="shared" ref="A8530:A8535" si="380">HYPERLINK("https://www.spark-marketing.ru/Card/Person/1002969", "МБУ ДО ЦДТ ИЛИ ЦЕНТР ДЕТСКОГО ТВОРЧЕСТВА")</f>
        <v>МБУ ДО ЦДТ ИЛИ ЦЕНТР ДЕТСКОГО ТВОРЧЕСТВА</v>
      </c>
      <c r="B8530" s="24" t="s">
        <v>10796</v>
      </c>
      <c r="C8530" s="25">
        <v>128600</v>
      </c>
      <c r="D8530" s="22" t="s">
        <v>10797</v>
      </c>
      <c r="E8530" s="22" t="s">
        <v>59</v>
      </c>
      <c r="F8530" s="23" t="str">
        <f t="shared" ref="F8530:F8535" si="381">HYPERLINK("https://www.spark-marketing.ru/Card/Lot/70324504", "Установка внутреннего и наружного видеонаблюдения")</f>
        <v>Установка внутреннего и наружного видеонаблюдения</v>
      </c>
      <c r="G8530" s="22" t="s">
        <v>72</v>
      </c>
      <c r="H8530" s="22" t="s">
        <v>692</v>
      </c>
      <c r="I8530" s="26">
        <v>43592</v>
      </c>
      <c r="J8530" s="28" t="s">
        <v>52</v>
      </c>
      <c r="K8530" s="28" t="s">
        <v>52</v>
      </c>
      <c r="L8530" s="28" t="s">
        <v>52</v>
      </c>
      <c r="M8530" s="28" t="s">
        <v>52</v>
      </c>
      <c r="N8530" s="28" t="s">
        <v>52</v>
      </c>
    </row>
    <row r="8531" spans="1:14" hidden="1" outlineLevel="1" x14ac:dyDescent="0.2">
      <c r="A8531" s="23" t="str">
        <f t="shared" si="380"/>
        <v>МБУ ДО ЦДТ ИЛИ ЦЕНТР ДЕТСКОГО ТВОРЧЕСТВА</v>
      </c>
      <c r="B8531" s="24" t="s">
        <v>10796</v>
      </c>
      <c r="C8531" s="25">
        <v>128600</v>
      </c>
      <c r="D8531" s="22" t="s">
        <v>10797</v>
      </c>
      <c r="E8531" s="22" t="s">
        <v>59</v>
      </c>
      <c r="F8531" s="23" t="str">
        <f t="shared" si="381"/>
        <v>Установка внутреннего и наружного видеонаблюдения</v>
      </c>
      <c r="G8531" s="22" t="s">
        <v>72</v>
      </c>
      <c r="H8531" s="22" t="s">
        <v>692</v>
      </c>
      <c r="I8531" s="26">
        <v>43592</v>
      </c>
      <c r="J8531" s="23" t="str">
        <f>HYPERLINK("https://www.spark-marketing.ru/Card/Person/5853123", "Ершов Андрей Алексеевич")</f>
        <v>Ершов Андрей Алексеевич</v>
      </c>
      <c r="K8531" s="24" t="s">
        <v>1063</v>
      </c>
      <c r="L8531" s="28" t="s">
        <v>52</v>
      </c>
      <c r="M8531" s="25">
        <v>80330.710000000006</v>
      </c>
      <c r="N8531" s="27">
        <v>0.37534440124416796</v>
      </c>
    </row>
    <row r="8532" spans="1:14" hidden="1" outlineLevel="1" x14ac:dyDescent="0.2">
      <c r="A8532" s="23" t="str">
        <f t="shared" si="380"/>
        <v>МБУ ДО ЦДТ ИЛИ ЦЕНТР ДЕТСКОГО ТВОРЧЕСТВА</v>
      </c>
      <c r="B8532" s="24" t="s">
        <v>10796</v>
      </c>
      <c r="C8532" s="25">
        <v>128600</v>
      </c>
      <c r="D8532" s="22" t="s">
        <v>10797</v>
      </c>
      <c r="E8532" s="22" t="s">
        <v>59</v>
      </c>
      <c r="F8532" s="23" t="str">
        <f t="shared" si="381"/>
        <v>Установка внутреннего и наружного видеонаблюдения</v>
      </c>
      <c r="G8532" s="22" t="s">
        <v>72</v>
      </c>
      <c r="H8532" s="22" t="s">
        <v>692</v>
      </c>
      <c r="I8532" s="26">
        <v>43592</v>
      </c>
      <c r="J8532" s="23" t="str">
        <f>HYPERLINK("https://www.spark-marketing.ru/Card/Person/4408755", "ООО ""ВЕРТИКАЛЬ""")</f>
        <v>ООО "ВЕРТИКАЛЬ"</v>
      </c>
      <c r="K8532" s="24" t="s">
        <v>1210</v>
      </c>
      <c r="L8532" s="28" t="s">
        <v>52</v>
      </c>
      <c r="M8532" s="25">
        <v>64400</v>
      </c>
      <c r="N8532" s="27">
        <v>0.49922239502332816</v>
      </c>
    </row>
    <row r="8533" spans="1:14" hidden="1" outlineLevel="1" x14ac:dyDescent="0.2">
      <c r="A8533" s="23" t="str">
        <f t="shared" si="380"/>
        <v>МБУ ДО ЦДТ ИЛИ ЦЕНТР ДЕТСКОГО ТВОРЧЕСТВА</v>
      </c>
      <c r="B8533" s="24" t="s">
        <v>10796</v>
      </c>
      <c r="C8533" s="25">
        <v>128600</v>
      </c>
      <c r="D8533" s="22" t="s">
        <v>10797</v>
      </c>
      <c r="E8533" s="22" t="s">
        <v>59</v>
      </c>
      <c r="F8533" s="23" t="str">
        <f t="shared" si="381"/>
        <v>Установка внутреннего и наружного видеонаблюдения</v>
      </c>
      <c r="G8533" s="22" t="s">
        <v>72</v>
      </c>
      <c r="H8533" s="22" t="s">
        <v>692</v>
      </c>
      <c r="I8533" s="26">
        <v>43592</v>
      </c>
      <c r="J8533" s="23" t="str">
        <f>HYPERLINK("https://www.spark-marketing.ru/Card/Person/6580377", "ООО ""МГ ГРУПП""")</f>
        <v>ООО "МГ ГРУПП"</v>
      </c>
      <c r="K8533" s="24" t="s">
        <v>10798</v>
      </c>
      <c r="L8533" s="28" t="s">
        <v>52</v>
      </c>
      <c r="M8533" s="25">
        <v>59111.71</v>
      </c>
      <c r="N8533" s="27">
        <v>0.54034440124416794</v>
      </c>
    </row>
    <row r="8534" spans="1:14" hidden="1" outlineLevel="1" x14ac:dyDescent="0.2">
      <c r="A8534" s="23" t="str">
        <f t="shared" si="380"/>
        <v>МБУ ДО ЦДТ ИЛИ ЦЕНТР ДЕТСКОГО ТВОРЧЕСТВА</v>
      </c>
      <c r="B8534" s="24" t="s">
        <v>10796</v>
      </c>
      <c r="C8534" s="25">
        <v>128600</v>
      </c>
      <c r="D8534" s="22" t="s">
        <v>10797</v>
      </c>
      <c r="E8534" s="22" t="s">
        <v>59</v>
      </c>
      <c r="F8534" s="23" t="str">
        <f t="shared" si="381"/>
        <v>Установка внутреннего и наружного видеонаблюдения</v>
      </c>
      <c r="G8534" s="22" t="s">
        <v>72</v>
      </c>
      <c r="H8534" s="22" t="s">
        <v>692</v>
      </c>
      <c r="I8534" s="26">
        <v>43592</v>
      </c>
      <c r="J8534" s="23" t="str">
        <f>HYPERLINK("https://www.spark-marketing.ru/Card/Person/6457300", "ООО НПФ ""СБ""")</f>
        <v>ООО НПФ "СБ"</v>
      </c>
      <c r="K8534" s="24" t="s">
        <v>10799</v>
      </c>
      <c r="L8534" s="28" t="s">
        <v>52</v>
      </c>
      <c r="M8534" s="25">
        <v>60397.71</v>
      </c>
      <c r="N8534" s="27">
        <v>0.53034440124416793</v>
      </c>
    </row>
    <row r="8535" spans="1:14" ht="12.75" hidden="1" outlineLevel="1" x14ac:dyDescent="0.2">
      <c r="A8535" s="23" t="str">
        <f t="shared" si="380"/>
        <v>МБУ ДО ЦДТ ИЛИ ЦЕНТР ДЕТСКОГО ТВОРЧЕСТВА</v>
      </c>
      <c r="B8535" s="24" t="s">
        <v>10796</v>
      </c>
      <c r="C8535" s="25">
        <v>128600</v>
      </c>
      <c r="D8535" s="22" t="s">
        <v>10797</v>
      </c>
      <c r="E8535" s="22" t="s">
        <v>59</v>
      </c>
      <c r="F8535" s="23" t="str">
        <f t="shared" si="381"/>
        <v>Установка внутреннего и наружного видеонаблюдения</v>
      </c>
      <c r="G8535" s="22" t="s">
        <v>72</v>
      </c>
      <c r="H8535" s="22" t="s">
        <v>692</v>
      </c>
      <c r="I8535" s="26">
        <v>43592</v>
      </c>
      <c r="J8535" s="23" t="str">
        <f>HYPERLINK("https://www.spark-marketing.ru/Card/Person/6236196", "ООО ""ВИДЕОСЕРВИС""")</f>
        <v>ООО "ВИДЕОСЕРВИС"</v>
      </c>
      <c r="K8535" s="24" t="s">
        <v>7810</v>
      </c>
      <c r="L8535" s="22" t="s">
        <v>10</v>
      </c>
      <c r="M8535" s="25">
        <v>58468.71</v>
      </c>
      <c r="N8535" s="27">
        <v>0.54534440124416794</v>
      </c>
    </row>
    <row r="8536" spans="1:14" x14ac:dyDescent="0.15">
      <c r="A8536" s="23" t="str">
        <f>HYPERLINK("https://www.spark-marketing.ru/Card/Person/47235", "ГБУЗ АРХАНГЕЛЬСКОЙ ОБЛАСТИ ""ОНЕЖСКАЯ ЦРБ""")</f>
        <v>ГБУЗ АРХАНГЕЛЬСКОЙ ОБЛАСТИ "ОНЕЖСКАЯ ЦРБ"</v>
      </c>
      <c r="B8536" s="24" t="s">
        <v>10271</v>
      </c>
      <c r="C8536" s="25">
        <v>99000</v>
      </c>
      <c r="D8536" s="22" t="s">
        <v>10800</v>
      </c>
      <c r="E8536" s="22" t="s">
        <v>68</v>
      </c>
      <c r="F8536" s="23" t="str">
        <f>HYPERLINK("https://www.spark-marketing.ru/Card/Lot/70325263", "Оказание услуг по охране объектов при помощи пульта централизованного наблюдения")</f>
        <v>Оказание услуг по охране объектов при помощи пульта централизованного наблюдения</v>
      </c>
      <c r="G8536" s="22" t="s">
        <v>674</v>
      </c>
      <c r="H8536" s="22" t="s">
        <v>674</v>
      </c>
      <c r="I8536" s="26">
        <v>43592.021527777797</v>
      </c>
      <c r="J8536" s="28" t="s">
        <v>52</v>
      </c>
      <c r="K8536" s="28" t="s">
        <v>52</v>
      </c>
      <c r="L8536" s="28" t="s">
        <v>52</v>
      </c>
      <c r="M8536" s="28" t="s">
        <v>52</v>
      </c>
      <c r="N8536" s="28" t="s">
        <v>52</v>
      </c>
    </row>
    <row r="8537" spans="1:14" x14ac:dyDescent="0.15">
      <c r="A8537" s="23" t="str">
        <f>HYPERLINK("https://www.spark-marketing.ru/Card/Person/16904", "ПРОКУРАТУРА ОРЛОВСКОЙ ОБЛАСТИ")</f>
        <v>ПРОКУРАТУРА ОРЛОВСКОЙ ОБЛАСТИ</v>
      </c>
      <c r="B8537" s="24" t="s">
        <v>10801</v>
      </c>
      <c r="C8537" s="25">
        <v>648414</v>
      </c>
      <c r="D8537" s="22" t="s">
        <v>10802</v>
      </c>
      <c r="E8537" s="22" t="s">
        <v>68</v>
      </c>
      <c r="F8537" s="23" t="str">
        <f>HYPERLINK("https://www.spark-marketing.ru/Card/Lot/70324119", "На оказание охранных услуг по контролю за состоянием технических средств охранной сигнализации (СТС)")</f>
        <v>На оказание охранных услуг по контролю за состоянием технических средств охранной сигнализации (СТС)</v>
      </c>
      <c r="G8537" s="22" t="s">
        <v>492</v>
      </c>
      <c r="H8537" s="22" t="s">
        <v>492</v>
      </c>
      <c r="I8537" s="26">
        <v>43591.931250000001</v>
      </c>
      <c r="J8537" s="28" t="s">
        <v>52</v>
      </c>
      <c r="K8537" s="28" t="s">
        <v>52</v>
      </c>
      <c r="L8537" s="28" t="s">
        <v>52</v>
      </c>
      <c r="M8537" s="28" t="s">
        <v>52</v>
      </c>
      <c r="N8537" s="28" t="s">
        <v>52</v>
      </c>
    </row>
    <row r="8538" spans="1:14" x14ac:dyDescent="0.15">
      <c r="A8538" s="23" t="str">
        <f>HYPERLINK("https://www.spark-marketing.ru/Card/Person/16904", "ПРОКУРАТУРА ОРЛОВСКОЙ ОБЛАСТИ")</f>
        <v>ПРОКУРАТУРА ОРЛОВСКОЙ ОБЛАСТИ</v>
      </c>
      <c r="B8538" s="24" t="s">
        <v>10801</v>
      </c>
      <c r="C8538" s="25">
        <v>648414</v>
      </c>
      <c r="D8538" s="22" t="s">
        <v>10803</v>
      </c>
      <c r="E8538" s="22" t="s">
        <v>68</v>
      </c>
      <c r="F8538" s="23" t="str">
        <f>HYPERLINK("https://www.spark-marketing.ru/Card/Lot/70323825", "На оказание охранных услуг с помощью технических средств охранной сигнализации (ТСС) режимных комнат объектов прокуратуры Орловской области")</f>
        <v>На оказание охранных услуг с помощью технических средств охранной сигнализации (ТСС) режимных комнат объектов прокуратуры Орловской области</v>
      </c>
      <c r="G8538" s="22" t="s">
        <v>492</v>
      </c>
      <c r="H8538" s="22" t="s">
        <v>492</v>
      </c>
      <c r="I8538" s="26">
        <v>43591.909027777801</v>
      </c>
      <c r="J8538" s="28" t="s">
        <v>52</v>
      </c>
      <c r="K8538" s="28" t="s">
        <v>52</v>
      </c>
      <c r="L8538" s="28" t="s">
        <v>52</v>
      </c>
      <c r="M8538" s="28" t="s">
        <v>52</v>
      </c>
      <c r="N8538" s="28" t="s">
        <v>52</v>
      </c>
    </row>
    <row r="8539" spans="1:14" ht="12.75" x14ac:dyDescent="0.2">
      <c r="A8539" s="23" t="str">
        <f>HYPERLINK("https://www.spark-marketing.ru/Card/Person/134955", "МЕЖРАЙОННАЯ ИФНС РОССИИ № 3 ПО РЕСПУБЛИКЕ САХА (ЯКУТИЯ)")</f>
        <v>МЕЖРАЙОННАЯ ИФНС РОССИИ № 3 ПО РЕСПУБЛИКЕ САХА (ЯКУТИЯ)</v>
      </c>
      <c r="B8539" s="24" t="s">
        <v>10692</v>
      </c>
      <c r="C8539" s="25">
        <v>103271.7</v>
      </c>
      <c r="D8539" s="22" t="s">
        <v>10804</v>
      </c>
      <c r="E8539" s="22" t="s">
        <v>68</v>
      </c>
      <c r="F8539" s="23" t="str">
        <f>HYPERLINK("https://www.spark-marketing.ru/Card/Lot/70346505", "услуги охраны Нюрба")</f>
        <v>услуги охраны Нюрба</v>
      </c>
      <c r="G8539" s="22" t="s">
        <v>424</v>
      </c>
      <c r="H8539" s="22" t="s">
        <v>10805</v>
      </c>
      <c r="I8539" s="26">
        <v>43592.899305555598</v>
      </c>
      <c r="J8539" s="23" t="str">
        <f>HYPERLINK("https://www.spark-marketing.ru/Card/Person/6493444", "ОВО ПО НЮРБИНСКОМУ РН ФЛ ФГКУ УВО ВНГ РОССИИ ПО РС")</f>
        <v>ОВО ПО НЮРБИНСКОМУ РН ФЛ ФГКУ УВО ВНГ РОССИИ ПО РС</v>
      </c>
      <c r="K8539" s="24" t="s">
        <v>5272</v>
      </c>
      <c r="L8539" s="22" t="s">
        <v>10</v>
      </c>
      <c r="M8539" s="25">
        <v>97790.7</v>
      </c>
      <c r="N8539" s="27">
        <v>5.3073591313012182E-2</v>
      </c>
    </row>
    <row r="8540" spans="1:14" x14ac:dyDescent="0.15">
      <c r="A8540" s="23" t="str">
        <f>HYPERLINK("https://www.spark-marketing.ru/Card/Person/72746", "ИФНС РОССИИ № 4 ПО Г. КРАСНОДАРУ")</f>
        <v>ИФНС РОССИИ № 4 ПО Г. КРАСНОДАРУ</v>
      </c>
      <c r="B8540" s="24" t="s">
        <v>10806</v>
      </c>
      <c r="C8540" s="25">
        <v>1483.57</v>
      </c>
      <c r="D8540" s="22" t="s">
        <v>10807</v>
      </c>
      <c r="E8540" s="22" t="s">
        <v>53</v>
      </c>
      <c r="F8540" s="23" t="str">
        <f>HYPERLINK("https://www.spark-marketing.ru/Card/Lot/70760903", "Техническое обслуживание комплекса технических средств охраны")</f>
        <v>Техническое обслуживание комплекса технических средств охраны</v>
      </c>
      <c r="G8540" s="22" t="s">
        <v>132</v>
      </c>
      <c r="H8540" s="22" t="s">
        <v>652</v>
      </c>
      <c r="I8540" s="26">
        <v>43591.775081018503</v>
      </c>
      <c r="J8540" s="28" t="s">
        <v>52</v>
      </c>
      <c r="K8540" s="28" t="s">
        <v>52</v>
      </c>
      <c r="L8540" s="28" t="s">
        <v>52</v>
      </c>
      <c r="M8540" s="28" t="s">
        <v>52</v>
      </c>
      <c r="N8540" s="28" t="s">
        <v>52</v>
      </c>
    </row>
    <row r="8541" spans="1:14" ht="12.75" x14ac:dyDescent="0.2">
      <c r="A8541" s="23" t="str">
        <f>HYPERLINK("https://www.spark-marketing.ru/Card/Person/134955", "МЕЖРАЙОННАЯ ИФНС РОССИИ № 3 ПО РЕСПУБЛИКЕ САХА (ЯКУТИЯ)")</f>
        <v>МЕЖРАЙОННАЯ ИФНС РОССИИ № 3 ПО РЕСПУБЛИКЕ САХА (ЯКУТИЯ)</v>
      </c>
      <c r="B8541" s="24" t="s">
        <v>10692</v>
      </c>
      <c r="C8541" s="25">
        <v>94728.78</v>
      </c>
      <c r="D8541" s="22" t="s">
        <v>10808</v>
      </c>
      <c r="E8541" s="22" t="s">
        <v>68</v>
      </c>
      <c r="F8541" s="23" t="str">
        <f>HYPERLINK("https://www.spark-marketing.ru/Card/Lot/70350822", "услуги охраны Сунтар")</f>
        <v>услуги охраны Сунтар</v>
      </c>
      <c r="G8541" s="22" t="s">
        <v>424</v>
      </c>
      <c r="H8541" s="22" t="s">
        <v>10809</v>
      </c>
      <c r="I8541" s="26">
        <v>43592.907638888901</v>
      </c>
      <c r="J8541" s="23" t="str">
        <f>HYPERLINK("https://www.spark-marketing.ru/Card/Person/6576413", "ОВО ПО СУНТАРСКОМУ РН – ФЛ ФГКУ УВО ВОЙСК НАЦИОНАЛЬНОЙ ГВАРДИИ РФ ПО РП САХА")</f>
        <v>ОВО ПО СУНТАРСКОМУ РН – ФЛ ФГКУ УВО ВОЙСК НАЦИОНАЛЬНОЙ ГВАРДИИ РФ ПО РП САХА</v>
      </c>
      <c r="K8541" s="24" t="s">
        <v>5272</v>
      </c>
      <c r="L8541" s="22" t="s">
        <v>10</v>
      </c>
      <c r="M8541" s="25">
        <v>94728.78</v>
      </c>
      <c r="N8541" s="27">
        <v>0</v>
      </c>
    </row>
    <row r="8542" spans="1:14" x14ac:dyDescent="0.2">
      <c r="A8542" s="23" t="str">
        <f>HYPERLINK("https://www.spark-marketing.ru/Card/Person/1762923", "ООО ""НУТЭП""")</f>
        <v>ООО "НУТЭП"</v>
      </c>
      <c r="B8542" s="24" t="s">
        <v>10810</v>
      </c>
      <c r="C8542" s="25">
        <v>32000000</v>
      </c>
      <c r="D8542" s="22" t="s">
        <v>10811</v>
      </c>
      <c r="E8542" s="22" t="s">
        <v>10761</v>
      </c>
      <c r="F8542" s="23" t="str">
        <f>HYPERLINK("https://www.spark-marketing.ru/Card/Lot/70320492", "Монтаж и пуско-наладка инженерно-технических средств обеспечения транс-портной безопасности объекта транспортной инфраструктуры")</f>
        <v>Монтаж и пуско-наладка инженерно-технических средств обеспечения транс-портной безопасности объекта транспортной инфраструктуры</v>
      </c>
      <c r="G8542" s="22" t="s">
        <v>132</v>
      </c>
      <c r="H8542" s="22" t="s">
        <v>452</v>
      </c>
      <c r="I8542" s="26">
        <v>43591.773159722201</v>
      </c>
      <c r="J8542" s="28" t="s">
        <v>52</v>
      </c>
      <c r="K8542" s="28" t="s">
        <v>52</v>
      </c>
      <c r="L8542" s="22" t="s">
        <v>10</v>
      </c>
      <c r="M8542" s="25">
        <v>31700797.199999999</v>
      </c>
      <c r="N8542" s="27">
        <v>9.3500874999999997E-3</v>
      </c>
    </row>
    <row r="8543" spans="1:14" x14ac:dyDescent="0.15">
      <c r="A8543" s="23" t="str">
        <f>HYPERLINK("https://www.spark-marketing.ru/Card/Person/4345875", "АО ""ТЕЛЕКАНАЛ 360""")</f>
        <v>АО "ТЕЛЕКАНАЛ 360"</v>
      </c>
      <c r="B8543" s="24" t="s">
        <v>865</v>
      </c>
      <c r="C8543" s="25">
        <v>320978.26</v>
      </c>
      <c r="D8543" s="22" t="s">
        <v>10812</v>
      </c>
      <c r="E8543" s="22" t="s">
        <v>165</v>
      </c>
      <c r="F8543" s="23" t="str">
        <f>HYPERLINK("https://www.spark-marketing.ru/Card/Lot/70320624", "Оказание услуг по установке и настройке двух серверов системы передачи видеосигнала в реальном времени, по конфигурации видеопульта Grass Valley Carrera АСБ1; по настройке playout Brio Medianavigator, установленных в аппаратных АСБ2 и АСБ3 в студийно...")</f>
        <v>Оказание услуг по установке и настройке двух серверов системы передачи видеосигнала в реальном времени, по конфигурации видеопульта Grass Valley Carrera АСБ1; по настройке playout Brio Medianavigator, установленных в аппаратных АСБ2 и АСБ3 в студийно...</v>
      </c>
      <c r="G8543" s="22" t="s">
        <v>50</v>
      </c>
      <c r="H8543" s="22" t="s">
        <v>51</v>
      </c>
      <c r="I8543" s="26">
        <v>43591.775381944397</v>
      </c>
      <c r="J8543" s="28" t="s">
        <v>52</v>
      </c>
      <c r="K8543" s="28" t="s">
        <v>52</v>
      </c>
      <c r="L8543" s="28" t="s">
        <v>52</v>
      </c>
      <c r="M8543" s="28" t="s">
        <v>52</v>
      </c>
      <c r="N8543" s="28" t="s">
        <v>52</v>
      </c>
    </row>
    <row r="8544" spans="1:14" x14ac:dyDescent="0.15">
      <c r="A8544" s="23" t="str">
        <f>HYPERLINK("https://www.spark-marketing.ru/Card/Person/117394", "ФКУЗ ""МСЧ МВД РОССИИ ПО БРЯНСКОЙ ОБЛАСТИ""")</f>
        <v>ФКУЗ "МСЧ МВД РОССИИ ПО БРЯНСКОЙ ОБЛАСТИ"</v>
      </c>
      <c r="B8544" s="24" t="s">
        <v>493</v>
      </c>
      <c r="C8544" s="25">
        <v>40320</v>
      </c>
      <c r="D8544" s="22" t="s">
        <v>10813</v>
      </c>
      <c r="E8544" s="22" t="s">
        <v>53</v>
      </c>
      <c r="F8544" s="23" t="str">
        <f>HYPERLINK("https://www.spark-marketing.ru/Card/Lot/70760521", "Физическая охрана территории, объектов недвижимости и имущества")</f>
        <v>Физическая охрана территории, объектов недвижимости и имущества</v>
      </c>
      <c r="G8544" s="22" t="s">
        <v>215</v>
      </c>
      <c r="H8544" s="22" t="s">
        <v>406</v>
      </c>
      <c r="I8544" s="26">
        <v>43591.715196759302</v>
      </c>
      <c r="J8544" s="28" t="s">
        <v>52</v>
      </c>
      <c r="K8544" s="28" t="s">
        <v>52</v>
      </c>
      <c r="L8544" s="28" t="s">
        <v>52</v>
      </c>
      <c r="M8544" s="28" t="s">
        <v>52</v>
      </c>
      <c r="N8544" s="28" t="s">
        <v>52</v>
      </c>
    </row>
    <row r="8545" spans="1:14" x14ac:dyDescent="0.15">
      <c r="A8545" s="23" t="str">
        <f>HYPERLINK("https://www.spark-marketing.ru/Card/Person/4346563", "ПАО ""ГАЗПРОМ""")</f>
        <v>ПАО "ГАЗПРОМ"</v>
      </c>
      <c r="B8545" s="24" t="s">
        <v>1548</v>
      </c>
      <c r="C8545" s="25">
        <v>153203704.40000001</v>
      </c>
      <c r="D8545" s="22" t="s">
        <v>10814</v>
      </c>
      <c r="E8545" s="22" t="s">
        <v>6443</v>
      </c>
      <c r="F8545" s="23" t="str">
        <f>HYPERLINK("https://www.spark-marketing.ru/Card/Lot/70320558", "Выполнение строительно-монтажных и пусконаладочных работ ""вхолостую"" на объекте «Комплекс инженерно-технических средств охраны скважин газовых эксплуатационных №№ 1082 УППГ-1, 8э УППГ-1, 85д УППГ-1, 546 УППГ-1, 63 УППГ-2, 4450 УППГ-4, 613 УППГ-6, 9...")</f>
        <v>Выполнение строительно-монтажных и пусконаладочных работ "вхолостую" на объекте «Комплекс инженерно-технических средств охраны скважин газовых эксплуатационных №№ 1082 УППГ-1, 8э УППГ-1, 85д УППГ-1, 546 УППГ-1, 63 УППГ-2, 4450 УППГ-4, 613 УППГ-6, 9...</v>
      </c>
      <c r="G8545" s="22" t="s">
        <v>55</v>
      </c>
      <c r="H8545" s="22" t="s">
        <v>55</v>
      </c>
      <c r="I8545" s="26">
        <v>43591.729166666701</v>
      </c>
      <c r="J8545" s="28" t="s">
        <v>52</v>
      </c>
      <c r="K8545" s="28" t="s">
        <v>52</v>
      </c>
      <c r="L8545" s="28" t="s">
        <v>52</v>
      </c>
      <c r="M8545" s="28" t="s">
        <v>52</v>
      </c>
      <c r="N8545" s="28" t="s">
        <v>52</v>
      </c>
    </row>
    <row r="8546" spans="1:14" x14ac:dyDescent="0.15">
      <c r="A8546" s="23" t="str">
        <f>HYPERLINK("https://www.spark-marketing.ru/Card/Person/4224", "ГКУ НСО ""НОВОСИБОБЛФАРМ""")</f>
        <v>ГКУ НСО "НОВОСИБОБЛФАРМ"</v>
      </c>
      <c r="B8546" s="24" t="s">
        <v>10815</v>
      </c>
      <c r="C8546" s="25">
        <v>121999.98</v>
      </c>
      <c r="D8546" s="22" t="s">
        <v>10816</v>
      </c>
      <c r="E8546" s="22" t="s">
        <v>68</v>
      </c>
      <c r="F8546" s="23" t="str">
        <f>HYPERLINK("https://www.spark-marketing.ru/Card/Lot/70314138", "Оказание охранных услуг с использованием средств сигнализации Заказчика")</f>
        <v>Оказание охранных услуг с использованием средств сигнализации Заказчика</v>
      </c>
      <c r="G8546" s="22" t="s">
        <v>209</v>
      </c>
      <c r="H8546" s="22" t="s">
        <v>210</v>
      </c>
      <c r="I8546" s="26">
        <v>43591.738888888904</v>
      </c>
      <c r="J8546" s="28" t="s">
        <v>52</v>
      </c>
      <c r="K8546" s="28" t="s">
        <v>52</v>
      </c>
      <c r="L8546" s="28" t="s">
        <v>52</v>
      </c>
      <c r="M8546" s="28" t="s">
        <v>52</v>
      </c>
      <c r="N8546" s="28" t="s">
        <v>52</v>
      </c>
    </row>
    <row r="8547" spans="1:14" hidden="1" outlineLevel="1" x14ac:dyDescent="0.2">
      <c r="A8547" s="23" t="str">
        <f>HYPERLINK("https://www.spark-marketing.ru/Card/Person/4224", "ГКУ НСО ""НОВОСИБОБЛФАРМ""")</f>
        <v>ГКУ НСО "НОВОСИБОБЛФАРМ"</v>
      </c>
      <c r="B8547" s="24" t="s">
        <v>10815</v>
      </c>
      <c r="C8547" s="25">
        <v>121999.98</v>
      </c>
      <c r="D8547" s="22" t="s">
        <v>10816</v>
      </c>
      <c r="E8547" s="22" t="s">
        <v>68</v>
      </c>
      <c r="F8547" s="23" t="str">
        <f>HYPERLINK("https://www.spark-marketing.ru/Card/Lot/70314138", "Оказание охранных услуг с использованием средств сигнализации Заказчика")</f>
        <v>Оказание охранных услуг с использованием средств сигнализации Заказчика</v>
      </c>
      <c r="G8547" s="22" t="s">
        <v>209</v>
      </c>
      <c r="H8547" s="22" t="s">
        <v>210</v>
      </c>
      <c r="I8547" s="26">
        <v>43591.738888888904</v>
      </c>
      <c r="J8547" s="23" t="str">
        <f>HYPERLINK("https://www.spark-marketing.ru/Card/Person/247331", "ООО ЧОП ПУЛЬТОВАЯ ОХРАНА ""ПОДРАЗДЕЛЕНИЕ ""Д""")</f>
        <v>ООО ЧОП ПУЛЬТОВАЯ ОХРАНА "ПОДРАЗДЕЛЕНИЕ "Д"</v>
      </c>
      <c r="K8547" s="24" t="s">
        <v>10817</v>
      </c>
      <c r="L8547" s="28" t="s">
        <v>52</v>
      </c>
      <c r="M8547" s="25">
        <v>86620.01</v>
      </c>
      <c r="N8547" s="27">
        <v>0.28999980163931177</v>
      </c>
    </row>
    <row r="8548" spans="1:14" ht="12.75" hidden="1" outlineLevel="1" x14ac:dyDescent="0.2">
      <c r="A8548" s="23" t="str">
        <f>HYPERLINK("https://www.spark-marketing.ru/Card/Person/4224", "ГКУ НСО ""НОВОСИБОБЛФАРМ""")</f>
        <v>ГКУ НСО "НОВОСИБОБЛФАРМ"</v>
      </c>
      <c r="B8548" s="24" t="s">
        <v>10815</v>
      </c>
      <c r="C8548" s="25">
        <v>121999.98</v>
      </c>
      <c r="D8548" s="22" t="s">
        <v>10816</v>
      </c>
      <c r="E8548" s="22" t="s">
        <v>68</v>
      </c>
      <c r="F8548" s="23" t="str">
        <f>HYPERLINK("https://www.spark-marketing.ru/Card/Lot/70314138", "Оказание охранных услуг с использованием средств сигнализации Заказчика")</f>
        <v>Оказание охранных услуг с использованием средств сигнализации Заказчика</v>
      </c>
      <c r="G8548" s="22" t="s">
        <v>209</v>
      </c>
      <c r="H8548" s="22" t="s">
        <v>210</v>
      </c>
      <c r="I8548" s="26">
        <v>43591.738888888904</v>
      </c>
      <c r="J8548" s="23" t="str">
        <f>HYPERLINK("https://www.spark-marketing.ru/Card/Person/719453", "ООО АБ ""ОСПАС""")</f>
        <v>ООО АБ "ОСПАС"</v>
      </c>
      <c r="K8548" s="24" t="s">
        <v>10818</v>
      </c>
      <c r="L8548" s="22" t="s">
        <v>10</v>
      </c>
      <c r="M8548" s="25">
        <v>46360.02</v>
      </c>
      <c r="N8548" s="27">
        <v>0.61999977377045468</v>
      </c>
    </row>
    <row r="8549" spans="1:14" hidden="1" outlineLevel="1" x14ac:dyDescent="0.2">
      <c r="A8549" s="23" t="str">
        <f>HYPERLINK("https://www.spark-marketing.ru/Card/Person/4224", "ГКУ НСО ""НОВОСИБОБЛФАРМ""")</f>
        <v>ГКУ НСО "НОВОСИБОБЛФАРМ"</v>
      </c>
      <c r="B8549" s="24" t="s">
        <v>10815</v>
      </c>
      <c r="C8549" s="25">
        <v>121999.98</v>
      </c>
      <c r="D8549" s="22" t="s">
        <v>10816</v>
      </c>
      <c r="E8549" s="22" t="s">
        <v>68</v>
      </c>
      <c r="F8549" s="23" t="str">
        <f>HYPERLINK("https://www.spark-marketing.ru/Card/Lot/70314138", "Оказание охранных услуг с использованием средств сигнализации Заказчика")</f>
        <v>Оказание охранных услуг с использованием средств сигнализации Заказчика</v>
      </c>
      <c r="G8549" s="22" t="s">
        <v>209</v>
      </c>
      <c r="H8549" s="22" t="s">
        <v>210</v>
      </c>
      <c r="I8549" s="26">
        <v>43591.738888888904</v>
      </c>
      <c r="J8549" s="23" t="str">
        <f>HYPERLINK("https://www.spark-marketing.ru/Card/Person/10487", "ФГУП ""ОХРАНА"" РОСГВАРДИИ")</f>
        <v>ФГУП "ОХРАНА" РОСГВАРДИИ</v>
      </c>
      <c r="K8549" s="24" t="s">
        <v>779</v>
      </c>
      <c r="L8549" s="28" t="s">
        <v>52</v>
      </c>
      <c r="M8549" s="25">
        <v>46970.02</v>
      </c>
      <c r="N8549" s="27">
        <v>0.61499977295078245</v>
      </c>
    </row>
    <row r="8550" spans="1:14" x14ac:dyDescent="0.2">
      <c r="A8550" s="23" t="str">
        <f>HYPERLINK("https://www.spark-marketing.ru/Card/Person/5888558", "ГБХР ФКУ ""ЦОУМТС МВД России""")</f>
        <v>ГБХР ФКУ "ЦОУМТС МВД России"</v>
      </c>
      <c r="B8550" s="24" t="s">
        <v>954</v>
      </c>
      <c r="C8550" s="25">
        <v>851742.71999999997</v>
      </c>
      <c r="D8550" s="22" t="s">
        <v>10819</v>
      </c>
      <c r="E8550" s="22" t="s">
        <v>68</v>
      </c>
      <c r="F8550" s="23" t="str">
        <f>HYPERLINK("https://www.spark-marketing.ru/Card/Lot/70320338", "Военизированная охрана объектов")</f>
        <v>Военизированная охрана объектов</v>
      </c>
      <c r="G8550" s="22" t="s">
        <v>956</v>
      </c>
      <c r="H8550" s="22" t="s">
        <v>956</v>
      </c>
      <c r="I8550" s="26">
        <v>43591.747222222199</v>
      </c>
      <c r="J8550" s="23" t="str">
        <f>HYPERLINK("https://www.spark-marketing.ru/Card/Person/594031", "Фл ФГУП ""Охрана"" Росгвардии по Смоленской области")</f>
        <v>Фл ФГУП "Охрана" Росгвардии по Смоленской области</v>
      </c>
      <c r="K8550" s="24" t="s">
        <v>779</v>
      </c>
      <c r="L8550" s="28" t="s">
        <v>52</v>
      </c>
      <c r="M8550" s="25">
        <v>851742.71999999997</v>
      </c>
      <c r="N8550" s="27">
        <v>0</v>
      </c>
    </row>
    <row r="8551" spans="1:14" x14ac:dyDescent="0.15">
      <c r="A8551" s="23" t="str">
        <f>HYPERLINK("https://www.spark-marketing.ru/Card/Person/73162", "ПРИВОЛЖСКОЕ СУТ СК РОССИИ")</f>
        <v>ПРИВОЛЖСКОЕ СУТ СК РОССИИ</v>
      </c>
      <c r="B8551" s="24" t="s">
        <v>10820</v>
      </c>
      <c r="C8551" s="25">
        <v>116182.8</v>
      </c>
      <c r="D8551" s="22" t="s">
        <v>10821</v>
      </c>
      <c r="E8551" s="22" t="s">
        <v>68</v>
      </c>
      <c r="F8551" s="23" t="str">
        <f>HYPERLINK("https://www.spark-marketing.ru/Card/Lot/70318476", "оказание охранных услуг при помощи технических средств охраны (г. Уфа)")</f>
        <v>оказание охранных услуг при помощи технических средств охраны (г. Уфа)</v>
      </c>
      <c r="G8551" s="22" t="s">
        <v>100</v>
      </c>
      <c r="H8551" s="22" t="s">
        <v>373</v>
      </c>
      <c r="I8551" s="26">
        <v>43591.679166666698</v>
      </c>
      <c r="J8551" s="28" t="s">
        <v>52</v>
      </c>
      <c r="K8551" s="28" t="s">
        <v>52</v>
      </c>
      <c r="L8551" s="28" t="s">
        <v>52</v>
      </c>
      <c r="M8551" s="28" t="s">
        <v>52</v>
      </c>
      <c r="N8551" s="28" t="s">
        <v>52</v>
      </c>
    </row>
    <row r="8552" spans="1:14" x14ac:dyDescent="0.15">
      <c r="A8552" s="23" t="str">
        <f>HYPERLINK("https://www.spark-marketing.ru/Card/Person/4380338", "ГУП РК «КРЫМАВТОТРАНС»")</f>
        <v>ГУП РК «КРЫМАВТОТРАНС»</v>
      </c>
      <c r="B8552" s="24" t="s">
        <v>10265</v>
      </c>
      <c r="C8552" s="25">
        <v>578799.96</v>
      </c>
      <c r="D8552" s="22" t="s">
        <v>10822</v>
      </c>
      <c r="E8552" s="22" t="s">
        <v>789</v>
      </c>
      <c r="F8552" s="23" t="str">
        <f>HYPERLINK("https://www.spark-marketing.ru/Card/Lot/70318936", "Оказание услуг по техническому обслуживанию системы охранно-тревожной сигнализации")</f>
        <v>Оказание услуг по техническому обслуживанию системы охранно-тревожной сигнализации</v>
      </c>
      <c r="G8552" s="22" t="s">
        <v>1053</v>
      </c>
      <c r="H8552" s="22" t="s">
        <v>1053</v>
      </c>
      <c r="I8552" s="26">
        <v>43591.694618055597</v>
      </c>
      <c r="J8552" s="28" t="s">
        <v>52</v>
      </c>
      <c r="K8552" s="28" t="s">
        <v>52</v>
      </c>
      <c r="L8552" s="28" t="s">
        <v>52</v>
      </c>
      <c r="M8552" s="28" t="s">
        <v>52</v>
      </c>
      <c r="N8552" s="28" t="s">
        <v>52</v>
      </c>
    </row>
    <row r="8553" spans="1:14" x14ac:dyDescent="0.15">
      <c r="A8553" s="23" t="str">
        <f>HYPERLINK("https://www.spark-marketing.ru/Card/Person/4537528", "СНОФ ""РО КАПИТАЛЬНОГО РЕМОНТА МКД ЧЕЛЯБИНСКОЙ ОБЛАСТИ""")</f>
        <v>СНОФ "РО КАПИТАЛЬНОГО РЕМОНТА МКД ЧЕЛЯБИНСКОЙ ОБЛАСТИ"</v>
      </c>
      <c r="B8553" s="24" t="s">
        <v>10823</v>
      </c>
      <c r="C8553" s="25">
        <v>247360</v>
      </c>
      <c r="D8553" s="22" t="s">
        <v>10824</v>
      </c>
      <c r="E8553" s="22" t="s">
        <v>8093</v>
      </c>
      <c r="F8553" s="23" t="str">
        <f>HYPERLINK("https://www.spark-marketing.ru/Card/Lot/70315649", "Оказание услуг по изготовлению и трансляции видеороликов Регионального оператора на базе информационных установок «ПМТ-медиа» с монитором 24 дюйма, расположенных в муниципальном общественном транспорте города Челябинска.")</f>
        <v>Оказание услуг по изготовлению и трансляции видеороликов Регионального оператора на базе информационных установок «ПМТ-медиа» с монитором 24 дюйма, расположенных в муниципальном общественном транспорте города Челябинска.</v>
      </c>
      <c r="G8553" s="22" t="s">
        <v>60</v>
      </c>
      <c r="H8553" s="22" t="s">
        <v>1683</v>
      </c>
      <c r="I8553" s="26">
        <v>43591.704166666699</v>
      </c>
      <c r="J8553" s="23" t="str">
        <f>HYPERLINK("https://www.spark-marketing.ru/Card/Person/6067543", "ООО ""ГРУППА КОМПАНИЙ ""АЛЬФА""")</f>
        <v>ООО "ГРУППА КОМПАНИЙ "АЛЬФА"</v>
      </c>
      <c r="K8553" s="24" t="s">
        <v>10825</v>
      </c>
      <c r="L8553" s="22" t="s">
        <v>10</v>
      </c>
      <c r="M8553" s="28" t="s">
        <v>52</v>
      </c>
      <c r="N8553" s="28" t="s">
        <v>52</v>
      </c>
    </row>
    <row r="8554" spans="1:14" x14ac:dyDescent="0.15">
      <c r="A8554" s="23" t="str">
        <f>HYPERLINK("https://www.spark-marketing.ru/Card/Person/4537528", "СНОФ ""РО КАПИТАЛЬНОГО РЕМОНТА МКД ЧЕЛЯБИНСКОЙ ОБЛАСТИ""")</f>
        <v>СНОФ "РО КАПИТАЛЬНОГО РЕМОНТА МКД ЧЕЛЯБИНСКОЙ ОБЛАСТИ"</v>
      </c>
      <c r="B8554" s="24" t="s">
        <v>10823</v>
      </c>
      <c r="C8554" s="25">
        <v>247360</v>
      </c>
      <c r="D8554" s="22" t="s">
        <v>10826</v>
      </c>
      <c r="E8554" s="22" t="s">
        <v>8093</v>
      </c>
      <c r="F8554" s="23" t="str">
        <f>HYPERLINK("https://www.spark-marketing.ru/Card/Lot/70313870", "Оказание услуг по изготовлению и трансляции видеороликов Регионального оператора на базе информационных установок «ПМТ-медиа» с монитором 24 дюйма, расположенных в муниципальном общественном транспорте города Челябинска.")</f>
        <v>Оказание услуг по изготовлению и трансляции видеороликов Регионального оператора на базе информационных установок «ПМТ-медиа» с монитором 24 дюйма, расположенных в муниципальном общественном транспорте города Челябинска.</v>
      </c>
      <c r="G8554" s="22" t="s">
        <v>60</v>
      </c>
      <c r="H8554" s="22" t="s">
        <v>1683</v>
      </c>
      <c r="I8554" s="26">
        <v>43591.672916666699</v>
      </c>
      <c r="J8554" s="28" t="s">
        <v>52</v>
      </c>
      <c r="K8554" s="28" t="s">
        <v>52</v>
      </c>
      <c r="L8554" s="28" t="s">
        <v>52</v>
      </c>
      <c r="M8554" s="28" t="s">
        <v>52</v>
      </c>
      <c r="N8554" s="28" t="s">
        <v>52</v>
      </c>
    </row>
    <row r="8555" spans="1:14" x14ac:dyDescent="0.15">
      <c r="A8555" s="23" t="str">
        <f>HYPERLINK("https://www.spark-marketing.ru/Card/Person/9127", "ГБУЗ ККПНД")</f>
        <v>ГБУЗ ККПНД</v>
      </c>
      <c r="B8555" s="24" t="s">
        <v>10827</v>
      </c>
      <c r="C8555" s="25">
        <v>1841118.52</v>
      </c>
      <c r="D8555" s="22" t="s">
        <v>10828</v>
      </c>
      <c r="E8555" s="22" t="s">
        <v>194</v>
      </c>
      <c r="F8555" s="23" t="str">
        <f>HYPERLINK("https://www.spark-marketing.ru/Card/Lot/70304507", "установка системы видеонаблюдения (поставка, монтаж, ввод в эксплуатацию)")</f>
        <v>установка системы видеонаблюдения (поставка, монтаж, ввод в эксплуатацию)</v>
      </c>
      <c r="G8555" s="22" t="s">
        <v>1141</v>
      </c>
      <c r="H8555" s="22" t="s">
        <v>1142</v>
      </c>
      <c r="I8555" s="26">
        <v>43591.636805555601</v>
      </c>
      <c r="J8555" s="28" t="s">
        <v>52</v>
      </c>
      <c r="K8555" s="28" t="s">
        <v>52</v>
      </c>
      <c r="L8555" s="28" t="s">
        <v>52</v>
      </c>
      <c r="M8555" s="28" t="s">
        <v>52</v>
      </c>
      <c r="N8555" s="28" t="s">
        <v>52</v>
      </c>
    </row>
    <row r="8556" spans="1:14" ht="12.75" hidden="1" outlineLevel="1" x14ac:dyDescent="0.2">
      <c r="A8556" s="23" t="str">
        <f>HYPERLINK("https://www.spark-marketing.ru/Card/Person/9127", "ГБУЗ ККПНД")</f>
        <v>ГБУЗ ККПНД</v>
      </c>
      <c r="B8556" s="24" t="s">
        <v>10827</v>
      </c>
      <c r="C8556" s="25">
        <v>1841118.52</v>
      </c>
      <c r="D8556" s="22" t="s">
        <v>10828</v>
      </c>
      <c r="E8556" s="22" t="s">
        <v>194</v>
      </c>
      <c r="F8556" s="23" t="str">
        <f>HYPERLINK("https://www.spark-marketing.ru/Card/Lot/70304507", "установка системы видеонаблюдения (поставка, монтаж, ввод в эксплуатацию)")</f>
        <v>установка системы видеонаблюдения (поставка, монтаж, ввод в эксплуатацию)</v>
      </c>
      <c r="G8556" s="22" t="s">
        <v>1141</v>
      </c>
      <c r="H8556" s="22" t="s">
        <v>1142</v>
      </c>
      <c r="I8556" s="26">
        <v>43591.636805555601</v>
      </c>
      <c r="J8556" s="23" t="str">
        <f>HYPERLINK("https://www.spark-marketing.ru/Card/Person/4853249", "ООО ""НПО ""СПЕЦПРОЕКТМОНТАЖ""")</f>
        <v>ООО "НПО "СПЕЦПРОЕКТМОНТАЖ"</v>
      </c>
      <c r="K8556" s="24" t="s">
        <v>10829</v>
      </c>
      <c r="L8556" s="22" t="s">
        <v>10</v>
      </c>
      <c r="M8556" s="25">
        <v>1325605.48</v>
      </c>
      <c r="N8556" s="27">
        <v>0.2799999209176387</v>
      </c>
    </row>
    <row r="8557" spans="1:14" hidden="1" outlineLevel="1" x14ac:dyDescent="0.2">
      <c r="A8557" s="23" t="str">
        <f>HYPERLINK("https://www.spark-marketing.ru/Card/Person/9127", "ГБУЗ ККПНД")</f>
        <v>ГБУЗ ККПНД</v>
      </c>
      <c r="B8557" s="24" t="s">
        <v>10827</v>
      </c>
      <c r="C8557" s="25">
        <v>1841118.52</v>
      </c>
      <c r="D8557" s="22" t="s">
        <v>10828</v>
      </c>
      <c r="E8557" s="22" t="s">
        <v>194</v>
      </c>
      <c r="F8557" s="23" t="str">
        <f>HYPERLINK("https://www.spark-marketing.ru/Card/Lot/70304507", "установка системы видеонаблюдения (поставка, монтаж, ввод в эксплуатацию)")</f>
        <v>установка системы видеонаблюдения (поставка, монтаж, ввод в эксплуатацию)</v>
      </c>
      <c r="G8557" s="22" t="s">
        <v>1141</v>
      </c>
      <c r="H8557" s="22" t="s">
        <v>1142</v>
      </c>
      <c r="I8557" s="26">
        <v>43591.636805555601</v>
      </c>
      <c r="J8557" s="23" t="str">
        <f>HYPERLINK("https://www.spark-marketing.ru/Card/Person/10991", "ПАО ""РОСТЕЛЕКОМ""")</f>
        <v>ПАО "РОСТЕЛЕКОМ"</v>
      </c>
      <c r="K8557" s="24" t="s">
        <v>607</v>
      </c>
      <c r="L8557" s="28" t="s">
        <v>52</v>
      </c>
      <c r="M8557" s="25">
        <v>1334811.07</v>
      </c>
      <c r="N8557" s="27">
        <v>0.27499992232982373</v>
      </c>
    </row>
    <row r="8558" spans="1:14" hidden="1" outlineLevel="1" x14ac:dyDescent="0.2">
      <c r="A8558" s="23" t="str">
        <f>HYPERLINK("https://www.spark-marketing.ru/Card/Person/9127", "ГБУЗ ККПНД")</f>
        <v>ГБУЗ ККПНД</v>
      </c>
      <c r="B8558" s="24" t="s">
        <v>10827</v>
      </c>
      <c r="C8558" s="25">
        <v>1841118.52</v>
      </c>
      <c r="D8558" s="22" t="s">
        <v>10828</v>
      </c>
      <c r="E8558" s="22" t="s">
        <v>194</v>
      </c>
      <c r="F8558" s="23" t="str">
        <f>HYPERLINK("https://www.spark-marketing.ru/Card/Lot/70304507", "установка системы видеонаблюдения (поставка, монтаж, ввод в эксплуатацию)")</f>
        <v>установка системы видеонаблюдения (поставка, монтаж, ввод в эксплуатацию)</v>
      </c>
      <c r="G8558" s="22" t="s">
        <v>1141</v>
      </c>
      <c r="H8558" s="22" t="s">
        <v>1142</v>
      </c>
      <c r="I8558" s="26">
        <v>43591.636805555601</v>
      </c>
      <c r="J8558" s="23" t="str">
        <f>HYPERLINK("https://www.spark-marketing.ru/Card/Person/4878495", "Денисов Максим Васильевич")</f>
        <v>Денисов Максим Васильевич</v>
      </c>
      <c r="K8558" s="24" t="s">
        <v>7273</v>
      </c>
      <c r="L8558" s="28" t="s">
        <v>52</v>
      </c>
      <c r="M8558" s="25">
        <v>1390044.61</v>
      </c>
      <c r="N8558" s="27">
        <v>0.24499993080293386</v>
      </c>
    </row>
    <row r="8559" spans="1:14" x14ac:dyDescent="0.15">
      <c r="A8559" s="23" t="str">
        <f>HYPERLINK("https://www.spark-marketing.ru/Card/Person/35198", "ФКУ ""ДЕЗ СКИТР""")</f>
        <v>ФКУ "ДЕЗ СКИТР"</v>
      </c>
      <c r="B8559" s="24" t="s">
        <v>2310</v>
      </c>
      <c r="C8559" s="25">
        <v>99999</v>
      </c>
      <c r="D8559" s="22" t="s">
        <v>10830</v>
      </c>
      <c r="E8559" s="22" t="s">
        <v>53</v>
      </c>
      <c r="F8559" s="23" t="str">
        <f>HYPERLINK("https://www.spark-marketing.ru/Card/Lot/70762284", "охранные услуги на возмездной основе")</f>
        <v>охранные услуги на возмездной основе</v>
      </c>
      <c r="G8559" s="22" t="s">
        <v>55</v>
      </c>
      <c r="H8559" s="22" t="s">
        <v>55</v>
      </c>
      <c r="I8559" s="26">
        <v>43591.596932870401</v>
      </c>
      <c r="J8559" s="28" t="s">
        <v>52</v>
      </c>
      <c r="K8559" s="28" t="s">
        <v>52</v>
      </c>
      <c r="L8559" s="28" t="s">
        <v>52</v>
      </c>
      <c r="M8559" s="28" t="s">
        <v>52</v>
      </c>
      <c r="N8559" s="28" t="s">
        <v>52</v>
      </c>
    </row>
    <row r="8560" spans="1:14" x14ac:dyDescent="0.15">
      <c r="A8560" s="23" t="str">
        <f>HYPERLINK("https://www.spark-marketing.ru/Card/Person/1761832", "ОАО ""РЫНОЧНЫЙ КОМПЛЕКС ""ЦАРИЦЫНСКИЙ""")</f>
        <v>ОАО "РЫНОЧНЫЙ КОМПЛЕКС "ЦАРИЦЫНСКИЙ"</v>
      </c>
      <c r="B8560" s="24" t="s">
        <v>613</v>
      </c>
      <c r="C8560" s="25">
        <v>293832</v>
      </c>
      <c r="D8560" s="22" t="s">
        <v>10831</v>
      </c>
      <c r="E8560" s="22" t="s">
        <v>615</v>
      </c>
      <c r="F8560" s="23" t="str">
        <f>HYPERLINK("https://www.spark-marketing.ru/Card/Lot/70314182", "оказание услуг по охране объекта")</f>
        <v>оказание услуг по охране объекта</v>
      </c>
      <c r="G8560" s="22" t="s">
        <v>55</v>
      </c>
      <c r="H8560" s="22" t="s">
        <v>55</v>
      </c>
      <c r="I8560" s="26">
        <v>43591.593101851897</v>
      </c>
      <c r="J8560" s="28" t="s">
        <v>52</v>
      </c>
      <c r="K8560" s="28" t="s">
        <v>52</v>
      </c>
      <c r="L8560" s="28" t="s">
        <v>52</v>
      </c>
      <c r="M8560" s="28" t="s">
        <v>52</v>
      </c>
      <c r="N8560" s="28" t="s">
        <v>52</v>
      </c>
    </row>
    <row r="8561" spans="1:14" x14ac:dyDescent="0.15">
      <c r="A8561" s="23" t="str">
        <f>HYPERLINK("https://www.spark-marketing.ru/Card/Person/35198", "ФКУ ""ДЕЗ СКИТР""")</f>
        <v>ФКУ "ДЕЗ СКИТР"</v>
      </c>
      <c r="B8561" s="24" t="s">
        <v>2310</v>
      </c>
      <c r="C8561" s="25">
        <v>99999</v>
      </c>
      <c r="D8561" s="22" t="s">
        <v>10832</v>
      </c>
      <c r="E8561" s="22" t="s">
        <v>53</v>
      </c>
      <c r="F8561" s="23" t="str">
        <f>HYPERLINK("https://www.spark-marketing.ru/Card/Lot/70762288", "охранные услуги на возмездной основе")</f>
        <v>охранные услуги на возмездной основе</v>
      </c>
      <c r="G8561" s="22" t="s">
        <v>55</v>
      </c>
      <c r="H8561" s="22" t="s">
        <v>55</v>
      </c>
      <c r="I8561" s="26">
        <v>43591.598043981503</v>
      </c>
      <c r="J8561" s="28" t="s">
        <v>52</v>
      </c>
      <c r="K8561" s="28" t="s">
        <v>52</v>
      </c>
      <c r="L8561" s="28" t="s">
        <v>52</v>
      </c>
      <c r="M8561" s="28" t="s">
        <v>52</v>
      </c>
      <c r="N8561" s="28" t="s">
        <v>52</v>
      </c>
    </row>
    <row r="8562" spans="1:14" x14ac:dyDescent="0.2">
      <c r="A8562" s="23" t="str">
        <f>HYPERLINK("https://www.spark-marketing.ru/Card/Person/567510", "АО ""ПП СПБ МФ""")</f>
        <v>АО "ПП СПБ МФ"</v>
      </c>
      <c r="B8562" s="24" t="s">
        <v>10833</v>
      </c>
      <c r="C8562" s="25">
        <v>2167269.1</v>
      </c>
      <c r="D8562" s="22" t="s">
        <v>10834</v>
      </c>
      <c r="E8562" s="22" t="s">
        <v>1923</v>
      </c>
      <c r="F8562" s="23" t="str">
        <f>HYPERLINK("https://www.spark-marketing.ru/Card/Lot/70314162", "Оказание услуг по сертификации технических средств обеспечения транспортной безопасности")</f>
        <v>Оказание услуг по сертификации технических средств обеспечения транспортной безопасности</v>
      </c>
      <c r="G8562" s="22" t="s">
        <v>89</v>
      </c>
      <c r="H8562" s="22" t="s">
        <v>89</v>
      </c>
      <c r="I8562" s="26">
        <v>43591.589791666702</v>
      </c>
      <c r="J8562" s="23" t="str">
        <f>HYPERLINK("https://www.spark-marketing.ru/Card/Person/106069", "ФГУП ЦНИИС")</f>
        <v>ФГУП ЦНИИС</v>
      </c>
      <c r="K8562" s="24" t="s">
        <v>10835</v>
      </c>
      <c r="L8562" s="28" t="s">
        <v>52</v>
      </c>
      <c r="M8562" s="25">
        <v>2167269.1</v>
      </c>
      <c r="N8562" s="27">
        <v>0</v>
      </c>
    </row>
    <row r="8563" spans="1:14" x14ac:dyDescent="0.15">
      <c r="A8563" s="23" t="str">
        <f>HYPERLINK("https://www.spark-marketing.ru/Card/Person/1026471", "ГБУК МКЧ ""ОСТРОВ САХАЛИН""")</f>
        <v>ГБУК МКЧ "ОСТРОВ САХАЛИН"</v>
      </c>
      <c r="B8563" s="24" t="s">
        <v>10836</v>
      </c>
      <c r="C8563" s="25">
        <v>1067009.73</v>
      </c>
      <c r="D8563" s="22" t="s">
        <v>10837</v>
      </c>
      <c r="E8563" s="22" t="s">
        <v>68</v>
      </c>
      <c r="F8563" s="23" t="str">
        <f>HYPERLINK("https://www.spark-marketing.ru/Card/Lot/70304529", "Оказание услуг по физической охране объекта в рамках проведения выставки ""Национальные сокровища ,России. Москва-Сахалин"".2019""")</f>
        <v>Оказание услуг по физической охране объекта в рамках проведения выставки "Национальные сокровища ,России. Москва-Сахалин".2019"</v>
      </c>
      <c r="G8563" s="22" t="s">
        <v>69</v>
      </c>
      <c r="H8563" s="22" t="s">
        <v>973</v>
      </c>
      <c r="I8563" s="26">
        <v>43591.552083333299</v>
      </c>
      <c r="J8563" s="28" t="s">
        <v>52</v>
      </c>
      <c r="K8563" s="28" t="s">
        <v>52</v>
      </c>
      <c r="L8563" s="28" t="s">
        <v>52</v>
      </c>
      <c r="M8563" s="28" t="s">
        <v>52</v>
      </c>
      <c r="N8563" s="28" t="s">
        <v>52</v>
      </c>
    </row>
    <row r="8564" spans="1:14" x14ac:dyDescent="0.15">
      <c r="A8564" s="23" t="str">
        <f>HYPERLINK("https://www.spark-marketing.ru/Card/Person/4352490", "УПРАВЛЕНИЕ РОСКОМНАДЗОРА ПО БРЯНСКОЙ ОБЛАСТИ")</f>
        <v>УПРАВЛЕНИЕ РОСКОМНАДЗОРА ПО БРЯНСКОЙ ОБЛАСТИ</v>
      </c>
      <c r="B8564" s="24" t="s">
        <v>10838</v>
      </c>
      <c r="C8564" s="25">
        <v>39422.339999999997</v>
      </c>
      <c r="D8564" s="22" t="s">
        <v>10839</v>
      </c>
      <c r="E8564" s="22" t="s">
        <v>53</v>
      </c>
      <c r="F8564" s="23" t="str">
        <f>HYPERLINK("https://www.spark-marketing.ru/Card/Lot/70761509", "Пультовая охрана объекта и техническое обслуживание ТСО")</f>
        <v>Пультовая охрана объекта и техническое обслуживание ТСО</v>
      </c>
      <c r="G8564" s="22" t="s">
        <v>215</v>
      </c>
      <c r="H8564" s="22" t="s">
        <v>406</v>
      </c>
      <c r="I8564" s="26">
        <v>43591.511064814797</v>
      </c>
      <c r="J8564" s="28" t="s">
        <v>52</v>
      </c>
      <c r="K8564" s="28" t="s">
        <v>52</v>
      </c>
      <c r="L8564" s="28" t="s">
        <v>52</v>
      </c>
      <c r="M8564" s="28" t="s">
        <v>52</v>
      </c>
      <c r="N8564" s="28" t="s">
        <v>52</v>
      </c>
    </row>
    <row r="8565" spans="1:14" x14ac:dyDescent="0.15">
      <c r="A8565" s="23" t="str">
        <f>HYPERLINK("https://www.spark-marketing.ru/Card/Person/4343554", "РОССОТРУДНИЧЕСТВО")</f>
        <v>РОССОТРУДНИЧЕСТВО</v>
      </c>
      <c r="B8565" s="24" t="s">
        <v>10840</v>
      </c>
      <c r="C8565" s="25">
        <v>19000</v>
      </c>
      <c r="D8565" s="22" t="s">
        <v>10841</v>
      </c>
      <c r="E8565" s="22" t="s">
        <v>107</v>
      </c>
      <c r="F8565" s="23" t="str">
        <f>HYPERLINK("https://www.spark-marketing.ru/Card/Lot/70761794", "Техническое обслуживание камер видеонаблюдения, 1 шт")</f>
        <v>Техническое обслуживание камер видеонаблюдения, 1 шт</v>
      </c>
      <c r="G8565" s="22" t="s">
        <v>55</v>
      </c>
      <c r="H8565" s="22" t="s">
        <v>55</v>
      </c>
      <c r="I8565" s="26">
        <v>43591.539490740703</v>
      </c>
      <c r="J8565" s="28" t="s">
        <v>52</v>
      </c>
      <c r="K8565" s="28" t="s">
        <v>52</v>
      </c>
      <c r="L8565" s="28" t="s">
        <v>52</v>
      </c>
      <c r="M8565" s="28" t="s">
        <v>52</v>
      </c>
      <c r="N8565" s="28" t="s">
        <v>52</v>
      </c>
    </row>
    <row r="8566" spans="1:14" x14ac:dyDescent="0.15">
      <c r="A8566" s="23" t="str">
        <f>HYPERLINK("https://www.spark-marketing.ru/Card/Person/4352490", "УПРАВЛЕНИЕ РОСКОМНАДЗОРА ПО БРЯНСКОЙ ОБЛАСТИ")</f>
        <v>УПРАВЛЕНИЕ РОСКОМНАДЗОРА ПО БРЯНСКОЙ ОБЛАСТИ</v>
      </c>
      <c r="B8566" s="24" t="s">
        <v>10838</v>
      </c>
      <c r="C8566" s="25">
        <v>65703.899999999994</v>
      </c>
      <c r="D8566" s="22" t="s">
        <v>10842</v>
      </c>
      <c r="E8566" s="22" t="s">
        <v>53</v>
      </c>
      <c r="F8566" s="23" t="str">
        <f>HYPERLINK("https://www.spark-marketing.ru/Card/Lot/70761517", "Пультовая охрана объекта и техническое обслуживание ТСО")</f>
        <v>Пультовая охрана объекта и техническое обслуживание ТСО</v>
      </c>
      <c r="G8566" s="22" t="s">
        <v>215</v>
      </c>
      <c r="H8566" s="22" t="s">
        <v>406</v>
      </c>
      <c r="I8566" s="26">
        <v>43591.5141435185</v>
      </c>
      <c r="J8566" s="28" t="s">
        <v>52</v>
      </c>
      <c r="K8566" s="28" t="s">
        <v>52</v>
      </c>
      <c r="L8566" s="28" t="s">
        <v>52</v>
      </c>
      <c r="M8566" s="28" t="s">
        <v>52</v>
      </c>
      <c r="N8566" s="28" t="s">
        <v>52</v>
      </c>
    </row>
    <row r="8567" spans="1:14" x14ac:dyDescent="0.15">
      <c r="A8567" s="23" t="str">
        <f>HYPERLINK("https://www.spark-marketing.ru/Card/Person/35198", "ФКУ ""ДЕЗ СКИТР""")</f>
        <v>ФКУ "ДЕЗ СКИТР"</v>
      </c>
      <c r="B8567" s="24" t="s">
        <v>2310</v>
      </c>
      <c r="C8567" s="25">
        <v>71149.64</v>
      </c>
      <c r="D8567" s="22" t="s">
        <v>10843</v>
      </c>
      <c r="E8567" s="22" t="s">
        <v>53</v>
      </c>
      <c r="F8567" s="23" t="str">
        <f>HYPERLINK("https://www.spark-marketing.ru/Card/Lot/70761120", "на оказание услуг по техническому обслуживанию видеонаблюдения нежилого здания по адресу: г. Москва, ул. Архитектора Власова, д.21, стр.3.")</f>
        <v>на оказание услуг по техническому обслуживанию видеонаблюдения нежилого здания по адресу: г. Москва, ул. Архитектора Власова, д.21, стр.3.</v>
      </c>
      <c r="G8567" s="22" t="s">
        <v>55</v>
      </c>
      <c r="H8567" s="22" t="s">
        <v>55</v>
      </c>
      <c r="I8567" s="26">
        <v>43591.474756944401</v>
      </c>
      <c r="J8567" s="28" t="s">
        <v>52</v>
      </c>
      <c r="K8567" s="28" t="s">
        <v>52</v>
      </c>
      <c r="L8567" s="28" t="s">
        <v>52</v>
      </c>
      <c r="M8567" s="28" t="s">
        <v>52</v>
      </c>
      <c r="N8567" s="28" t="s">
        <v>52</v>
      </c>
    </row>
    <row r="8568" spans="1:14" x14ac:dyDescent="0.15">
      <c r="A8568" s="23" t="str">
        <f>HYPERLINK("https://www.spark-marketing.ru/Card/Person/336682", "МКУ ""ЦЕНТР""")</f>
        <v>МКУ "ЦЕНТР"</v>
      </c>
      <c r="B8568" s="24" t="s">
        <v>10844</v>
      </c>
      <c r="C8568" s="25">
        <v>103593.60000000001</v>
      </c>
      <c r="D8568" s="22" t="s">
        <v>10845</v>
      </c>
      <c r="E8568" s="22" t="s">
        <v>107</v>
      </c>
      <c r="F8568" s="23" t="str">
        <f>HYPERLINK("https://www.spark-marketing.ru/Card/Lot/70305641", "Услуга по охране объекта ОПС")</f>
        <v>Услуга по охране объекта ОПС</v>
      </c>
      <c r="G8568" s="22" t="s">
        <v>281</v>
      </c>
      <c r="H8568" s="22" t="s">
        <v>10846</v>
      </c>
      <c r="I8568" s="26">
        <v>43591.470833333296</v>
      </c>
      <c r="J8568" s="23" t="str">
        <f>HYPERLINK("https://www.spark-marketing.ru/Card/Person/4393154", "ФГКУ ""УВО ВНГ РОССИИ ПО ИРКУТСКОЙ ОБЛАСТИ""")</f>
        <v>ФГКУ "УВО ВНГ РОССИИ ПО ИРКУТСКОЙ ОБЛАСТИ"</v>
      </c>
      <c r="K8568" s="24" t="s">
        <v>9037</v>
      </c>
      <c r="L8568" s="28" t="s">
        <v>52</v>
      </c>
      <c r="M8568" s="28" t="s">
        <v>52</v>
      </c>
      <c r="N8568" s="28" t="s">
        <v>52</v>
      </c>
    </row>
    <row r="8569" spans="1:14" ht="12.75" hidden="1" outlineLevel="1" x14ac:dyDescent="0.2">
      <c r="A8569" s="23" t="str">
        <f>HYPERLINK("https://www.spark-marketing.ru/Card/Person/336682", "МКУ ""ЦЕНТР""")</f>
        <v>МКУ "ЦЕНТР"</v>
      </c>
      <c r="B8569" s="24" t="s">
        <v>10844</v>
      </c>
      <c r="C8569" s="25">
        <v>103593.60000000001</v>
      </c>
      <c r="D8569" s="22" t="s">
        <v>10845</v>
      </c>
      <c r="E8569" s="22" t="s">
        <v>107</v>
      </c>
      <c r="F8569" s="23" t="str">
        <f>HYPERLINK("https://www.spark-marketing.ru/Card/Lot/70305641", "Услуга по охране объекта ОПС")</f>
        <v>Услуга по охране объекта ОПС</v>
      </c>
      <c r="G8569" s="22" t="s">
        <v>281</v>
      </c>
      <c r="H8569" s="22" t="s">
        <v>10846</v>
      </c>
      <c r="I8569" s="26">
        <v>43591.470833333296</v>
      </c>
      <c r="J8569" s="23" t="str">
        <f>HYPERLINK("https://www.spark-marketing.ru/Card/Person/4393154", "ФГКУ ""УВО ВНГ РОССИИ ПО ИРКУТСКОЙ ОБЛАСТИ""")</f>
        <v>ФГКУ "УВО ВНГ РОССИИ ПО ИРКУТСКОЙ ОБЛАСТИ"</v>
      </c>
      <c r="K8569" s="24" t="s">
        <v>9037</v>
      </c>
      <c r="L8569" s="22" t="s">
        <v>10</v>
      </c>
      <c r="M8569" s="25">
        <v>103075.63</v>
      </c>
      <c r="N8569" s="27">
        <v>5.0000193062119669E-3</v>
      </c>
    </row>
    <row r="8570" spans="1:14" x14ac:dyDescent="0.15">
      <c r="A8570" s="23" t="str">
        <f>HYPERLINK("https://www.spark-marketing.ru/Card/Person/1006976", "ГКОУ СО ""НИЖНЕТАГИЛЬСКАЯ ШКОЛА-ИНТЕРНАТ № 1""")</f>
        <v>ГКОУ СО "НИЖНЕТАГИЛЬСКАЯ ШКОЛА-ИНТЕРНАТ № 1"</v>
      </c>
      <c r="B8570" s="24" t="s">
        <v>10847</v>
      </c>
      <c r="C8570" s="25">
        <v>242368.8</v>
      </c>
      <c r="D8570" s="22" t="s">
        <v>10848</v>
      </c>
      <c r="E8570" s="22" t="s">
        <v>52</v>
      </c>
      <c r="F8570" s="23" t="str">
        <f>HYPERLINK("https://www.spark-marketing.ru/Card/Lot/70307582", "Монтаж системы контроля и управления доступом (СКУД) в здании спального корпуса по адресу г. Нижний Тагил, ул. Карла Либкнехта, 37")</f>
        <v>Монтаж системы контроля и управления доступом (СКУД) в здании спального корпуса по адресу г. Нижний Тагил, ул. Карла Либкнехта, 37</v>
      </c>
      <c r="G8570" s="22" t="s">
        <v>72</v>
      </c>
      <c r="H8570" s="22" t="s">
        <v>3332</v>
      </c>
      <c r="I8570" s="26">
        <v>43591.422916666699</v>
      </c>
      <c r="J8570" s="23" t="str">
        <f>HYPERLINK("https://www.spark-marketing.ru/Card/Person/30892", "Каплун Матвей Владимирович")</f>
        <v>Каплун Матвей Владимирович</v>
      </c>
      <c r="K8570" s="24" t="s">
        <v>6603</v>
      </c>
      <c r="L8570" s="28" t="s">
        <v>52</v>
      </c>
      <c r="M8570" s="28" t="s">
        <v>52</v>
      </c>
      <c r="N8570" s="28" t="s">
        <v>52</v>
      </c>
    </row>
    <row r="8571" spans="1:14" ht="12.75" hidden="1" outlineLevel="1" x14ac:dyDescent="0.2">
      <c r="A8571" s="23" t="str">
        <f>HYPERLINK("https://www.spark-marketing.ru/Card/Person/1006976", "ГКОУ СО ""НИЖНЕТАГИЛЬСКАЯ ШКОЛА-ИНТЕРНАТ № 1""")</f>
        <v>ГКОУ СО "НИЖНЕТАГИЛЬСКАЯ ШКОЛА-ИНТЕРНАТ № 1"</v>
      </c>
      <c r="B8571" s="24" t="s">
        <v>10847</v>
      </c>
      <c r="C8571" s="25">
        <v>242368.8</v>
      </c>
      <c r="D8571" s="22" t="s">
        <v>10848</v>
      </c>
      <c r="E8571" s="22" t="s">
        <v>52</v>
      </c>
      <c r="F8571" s="23" t="str">
        <f>HYPERLINK("https://www.spark-marketing.ru/Card/Lot/70307582", "Монтаж системы контроля и управления доступом (СКУД) в здании спального корпуса по адресу г. Нижний Тагил, ул. Карла Либкнехта, 37")</f>
        <v>Монтаж системы контроля и управления доступом (СКУД) в здании спального корпуса по адресу г. Нижний Тагил, ул. Карла Либкнехта, 37</v>
      </c>
      <c r="G8571" s="22" t="s">
        <v>72</v>
      </c>
      <c r="H8571" s="22" t="s">
        <v>3332</v>
      </c>
      <c r="I8571" s="26">
        <v>43591.422916666699</v>
      </c>
      <c r="J8571" s="23" t="str">
        <f>HYPERLINK("https://www.spark-marketing.ru/Card/Person/30892", "Каплун Матвей Владимирович")</f>
        <v>Каплун Матвей Владимирович</v>
      </c>
      <c r="K8571" s="24" t="s">
        <v>6603</v>
      </c>
      <c r="L8571" s="22" t="s">
        <v>10</v>
      </c>
      <c r="M8571" s="25">
        <v>241156.96</v>
      </c>
      <c r="N8571" s="27">
        <v>4.999983496225587E-3</v>
      </c>
    </row>
    <row r="8572" spans="1:14" x14ac:dyDescent="0.15">
      <c r="A8572" s="23" t="str">
        <f>HYPERLINK("https://www.spark-marketing.ru/Card/Person/28270", "ФКУ ИК-7 УФСИН РОССИИ ПО РЕСПУБЛИКЕ БАШКОРТОСТАН")</f>
        <v>ФКУ ИК-7 УФСИН РОССИИ ПО РЕСПУБЛИКЕ БАШКОРТОСТАН</v>
      </c>
      <c r="B8572" s="24" t="s">
        <v>10849</v>
      </c>
      <c r="C8572" s="25">
        <v>12450</v>
      </c>
      <c r="D8572" s="22" t="s">
        <v>10850</v>
      </c>
      <c r="E8572" s="22" t="s">
        <v>53</v>
      </c>
      <c r="F8572" s="23" t="str">
        <f>HYPERLINK("https://www.spark-marketing.ru/Card/Lot/70762445", "Услуги по техосмотру автотранспортных средств, 1 усл. ед")</f>
        <v>Услуги по техосмотру автотранспортных средств, 1 усл. ед</v>
      </c>
      <c r="G8572" s="22" t="s">
        <v>100</v>
      </c>
      <c r="H8572" s="22" t="s">
        <v>4833</v>
      </c>
      <c r="I8572" s="26">
        <v>43591.448541666701</v>
      </c>
      <c r="J8572" s="28" t="s">
        <v>52</v>
      </c>
      <c r="K8572" s="28" t="s">
        <v>52</v>
      </c>
      <c r="L8572" s="28" t="s">
        <v>52</v>
      </c>
      <c r="M8572" s="28" t="s">
        <v>52</v>
      </c>
      <c r="N8572" s="28" t="s">
        <v>52</v>
      </c>
    </row>
    <row r="8573" spans="1:14" x14ac:dyDescent="0.15">
      <c r="A8573" s="23" t="str">
        <f>HYPERLINK("https://www.spark-marketing.ru/Card/Person/148530", "ГБДОУ НАО ""ЦРР-ДС ""СКАЗКА""")</f>
        <v>ГБДОУ НАО "ЦРР-ДС "СКАЗКА"</v>
      </c>
      <c r="B8573" s="24" t="s">
        <v>10851</v>
      </c>
      <c r="C8573" s="25">
        <v>35000</v>
      </c>
      <c r="D8573" s="22" t="s">
        <v>10852</v>
      </c>
      <c r="E8573" s="22" t="s">
        <v>349</v>
      </c>
      <c r="F8573" s="23" t="str">
        <f>HYPERLINK("https://www.spark-marketing.ru/Card/Lot/70309036", "Оказание услуг по установке охранной сигнализации")</f>
        <v>Оказание услуг по установке охранной сигнализации</v>
      </c>
      <c r="G8573" s="22" t="s">
        <v>1014</v>
      </c>
      <c r="H8573" s="22" t="s">
        <v>1015</v>
      </c>
      <c r="I8573" s="26">
        <v>43591.452083333301</v>
      </c>
      <c r="J8573" s="28" t="s">
        <v>52</v>
      </c>
      <c r="K8573" s="28" t="s">
        <v>52</v>
      </c>
      <c r="L8573" s="28" t="s">
        <v>52</v>
      </c>
      <c r="M8573" s="28" t="s">
        <v>52</v>
      </c>
      <c r="N8573" s="28" t="s">
        <v>52</v>
      </c>
    </row>
    <row r="8574" spans="1:14" x14ac:dyDescent="0.15">
      <c r="A8574" s="23" t="str">
        <f>HYPERLINK("https://www.spark-marketing.ru/Card/Person/4348696", "ГКОУ СО ""СЕРОВСКИЙ ДЕТСКИЙ ДОМ-ШКОЛА""")</f>
        <v>ГКОУ СО "СЕРОВСКИЙ ДЕТСКИЙ ДОМ-ШКОЛА"</v>
      </c>
      <c r="B8574" s="24" t="s">
        <v>10853</v>
      </c>
      <c r="C8574" s="25">
        <v>266794</v>
      </c>
      <c r="D8574" s="22" t="s">
        <v>10854</v>
      </c>
      <c r="E8574" s="22" t="s">
        <v>59</v>
      </c>
      <c r="F8574" s="23" t="str">
        <f>HYPERLINK("https://www.spark-marketing.ru/Card/Lot/70307422", "выполнение работ по установке систем охранной сигнализации в ГКОУ СО ""Серовский детский дом-школа""")</f>
        <v>выполнение работ по установке систем охранной сигнализации в ГКОУ СО "Серовский детский дом-школа"</v>
      </c>
      <c r="G8574" s="22" t="s">
        <v>72</v>
      </c>
      <c r="H8574" s="22" t="s">
        <v>10855</v>
      </c>
      <c r="I8574" s="26">
        <v>43591.420138888898</v>
      </c>
      <c r="J8574" s="28" t="s">
        <v>52</v>
      </c>
      <c r="K8574" s="28" t="s">
        <v>52</v>
      </c>
      <c r="L8574" s="28" t="s">
        <v>52</v>
      </c>
      <c r="M8574" s="28" t="s">
        <v>52</v>
      </c>
      <c r="N8574" s="28" t="s">
        <v>52</v>
      </c>
    </row>
    <row r="8575" spans="1:14" hidden="1" outlineLevel="1" x14ac:dyDescent="0.2">
      <c r="A8575" s="23" t="str">
        <f>HYPERLINK("https://www.spark-marketing.ru/Card/Person/4348696", "ГКОУ СО ""СЕРОВСКИЙ ДЕТСКИЙ ДОМ-ШКОЛА""")</f>
        <v>ГКОУ СО "СЕРОВСКИЙ ДЕТСКИЙ ДОМ-ШКОЛА"</v>
      </c>
      <c r="B8575" s="24" t="s">
        <v>10853</v>
      </c>
      <c r="C8575" s="25">
        <v>266794</v>
      </c>
      <c r="D8575" s="22" t="s">
        <v>10854</v>
      </c>
      <c r="E8575" s="22" t="s">
        <v>59</v>
      </c>
      <c r="F8575" s="23" t="str">
        <f>HYPERLINK("https://www.spark-marketing.ru/Card/Lot/70307422", "выполнение работ по установке систем охранной сигнализации в ГКОУ СО ""Серовский детский дом-школа""")</f>
        <v>выполнение работ по установке систем охранной сигнализации в ГКОУ СО "Серовский детский дом-школа"</v>
      </c>
      <c r="G8575" s="22" t="s">
        <v>72</v>
      </c>
      <c r="H8575" s="22" t="s">
        <v>10855</v>
      </c>
      <c r="I8575" s="26">
        <v>43591.420138888898</v>
      </c>
      <c r="J8575" s="23" t="str">
        <f>HYPERLINK("https://www.spark-marketing.ru/Card/Person/74083", "ООО ""МСК ""ФОТОН""")</f>
        <v>ООО "МСК "ФОТОН"</v>
      </c>
      <c r="K8575" s="24" t="s">
        <v>8792</v>
      </c>
      <c r="L8575" s="28" t="s">
        <v>52</v>
      </c>
      <c r="M8575" s="25">
        <v>230000</v>
      </c>
      <c r="N8575" s="27">
        <v>0.13791164718846752</v>
      </c>
    </row>
    <row r="8576" spans="1:14" hidden="1" outlineLevel="1" x14ac:dyDescent="0.2">
      <c r="A8576" s="23" t="str">
        <f>HYPERLINK("https://www.spark-marketing.ru/Card/Person/4348696", "ГКОУ СО ""СЕРОВСКИЙ ДЕТСКИЙ ДОМ-ШКОЛА""")</f>
        <v>ГКОУ СО "СЕРОВСКИЙ ДЕТСКИЙ ДОМ-ШКОЛА"</v>
      </c>
      <c r="B8576" s="24" t="s">
        <v>10853</v>
      </c>
      <c r="C8576" s="25">
        <v>266794</v>
      </c>
      <c r="D8576" s="22" t="s">
        <v>10854</v>
      </c>
      <c r="E8576" s="22" t="s">
        <v>59</v>
      </c>
      <c r="F8576" s="23" t="str">
        <f>HYPERLINK("https://www.spark-marketing.ru/Card/Lot/70307422", "выполнение работ по установке систем охранной сигнализации в ГКОУ СО ""Серовский детский дом-школа""")</f>
        <v>выполнение работ по установке систем охранной сигнализации в ГКОУ СО "Серовский детский дом-школа"</v>
      </c>
      <c r="G8576" s="22" t="s">
        <v>72</v>
      </c>
      <c r="H8576" s="22" t="s">
        <v>10855</v>
      </c>
      <c r="I8576" s="26">
        <v>43591.420138888898</v>
      </c>
      <c r="J8576" s="23" t="str">
        <f>HYPERLINK("https://www.spark-marketing.ru/Card/Person/576883", "ООО ""ФЕНИКС""")</f>
        <v>ООО "ФЕНИКС"</v>
      </c>
      <c r="K8576" s="24" t="s">
        <v>10856</v>
      </c>
      <c r="L8576" s="28" t="s">
        <v>52</v>
      </c>
      <c r="M8576" s="25">
        <v>248330.15</v>
      </c>
      <c r="N8576" s="27">
        <v>6.9206391448083535E-2</v>
      </c>
    </row>
    <row r="8577" spans="1:14" ht="12.75" hidden="1" outlineLevel="1" x14ac:dyDescent="0.2">
      <c r="A8577" s="23" t="str">
        <f>HYPERLINK("https://www.spark-marketing.ru/Card/Person/4348696", "ГКОУ СО ""СЕРОВСКИЙ ДЕТСКИЙ ДОМ-ШКОЛА""")</f>
        <v>ГКОУ СО "СЕРОВСКИЙ ДЕТСКИЙ ДОМ-ШКОЛА"</v>
      </c>
      <c r="B8577" s="24" t="s">
        <v>10853</v>
      </c>
      <c r="C8577" s="25">
        <v>266794</v>
      </c>
      <c r="D8577" s="22" t="s">
        <v>10854</v>
      </c>
      <c r="E8577" s="22" t="s">
        <v>59</v>
      </c>
      <c r="F8577" s="23" t="str">
        <f>HYPERLINK("https://www.spark-marketing.ru/Card/Lot/70307422", "выполнение работ по установке систем охранной сигнализации в ГКОУ СО ""Серовский детский дом-школа""")</f>
        <v>выполнение работ по установке систем охранной сигнализации в ГКОУ СО "Серовский детский дом-школа"</v>
      </c>
      <c r="G8577" s="22" t="s">
        <v>72</v>
      </c>
      <c r="H8577" s="22" t="s">
        <v>10855</v>
      </c>
      <c r="I8577" s="26">
        <v>43591.420138888898</v>
      </c>
      <c r="J8577" s="23" t="str">
        <f>HYPERLINK("https://www.spark-marketing.ru/Card/Person/5505768", "ООО ""ПАРИТЕТ-УРАЛ""")</f>
        <v>ООО "ПАРИТЕТ-УРАЛ"</v>
      </c>
      <c r="K8577" s="24" t="s">
        <v>6084</v>
      </c>
      <c r="L8577" s="22" t="s">
        <v>10</v>
      </c>
      <c r="M8577" s="25">
        <v>165969.44</v>
      </c>
      <c r="N8577" s="27">
        <v>0.37791164718846748</v>
      </c>
    </row>
    <row r="8578" spans="1:14" hidden="1" outlineLevel="1" x14ac:dyDescent="0.2">
      <c r="A8578" s="23" t="str">
        <f>HYPERLINK("https://www.spark-marketing.ru/Card/Person/4348696", "ГКОУ СО ""СЕРОВСКИЙ ДЕТСКИЙ ДОМ-ШКОЛА""")</f>
        <v>ГКОУ СО "СЕРОВСКИЙ ДЕТСКИЙ ДОМ-ШКОЛА"</v>
      </c>
      <c r="B8578" s="24" t="s">
        <v>10853</v>
      </c>
      <c r="C8578" s="25">
        <v>266794</v>
      </c>
      <c r="D8578" s="22" t="s">
        <v>10854</v>
      </c>
      <c r="E8578" s="22" t="s">
        <v>59</v>
      </c>
      <c r="F8578" s="23" t="str">
        <f>HYPERLINK("https://www.spark-marketing.ru/Card/Lot/70307422", "выполнение работ по установке систем охранной сигнализации в ГКОУ СО ""Серовский детский дом-школа""")</f>
        <v>выполнение работ по установке систем охранной сигнализации в ГКОУ СО "Серовский детский дом-школа"</v>
      </c>
      <c r="G8578" s="22" t="s">
        <v>72</v>
      </c>
      <c r="H8578" s="22" t="s">
        <v>10855</v>
      </c>
      <c r="I8578" s="26">
        <v>43591.420138888898</v>
      </c>
      <c r="J8578" s="23" t="str">
        <f>HYPERLINK("https://www.spark-marketing.ru/Card/Person/1475841", "Ярошевич Анатолий Павлович")</f>
        <v>Ярошевич Анатолий Павлович</v>
      </c>
      <c r="K8578" s="24" t="s">
        <v>10857</v>
      </c>
      <c r="L8578" s="28" t="s">
        <v>52</v>
      </c>
      <c r="M8578" s="25">
        <v>167303.41</v>
      </c>
      <c r="N8578" s="27">
        <v>0.37291164718846753</v>
      </c>
    </row>
    <row r="8579" spans="1:14" x14ac:dyDescent="0.15">
      <c r="A8579" s="23" t="str">
        <f>HYPERLINK("https://www.spark-marketing.ru/Card/Person/2672", "УПРАВЛЕНИЕ РОСПОТРЕБНАДЗОРА ПО РЕСПУБЛИКЕ ХАКАСИЯ")</f>
        <v>УПРАВЛЕНИЕ РОСПОТРЕБНАДЗОРА ПО РЕСПУБЛИКЕ ХАКАСИЯ</v>
      </c>
      <c r="B8579" s="24" t="s">
        <v>10858</v>
      </c>
      <c r="C8579" s="25">
        <v>1383689.76</v>
      </c>
      <c r="D8579" s="22" t="s">
        <v>10859</v>
      </c>
      <c r="E8579" s="22" t="s">
        <v>68</v>
      </c>
      <c r="F8579" s="23" t="str">
        <f>HYPERLINK("https://www.spark-marketing.ru/Card/Lot/70304562", "Услуги по физической охране административного здания")</f>
        <v>Услуги по физической охране административного здания</v>
      </c>
      <c r="G8579" s="22" t="s">
        <v>1041</v>
      </c>
      <c r="H8579" s="22" t="s">
        <v>4311</v>
      </c>
      <c r="I8579" s="26">
        <v>43591.377777777801</v>
      </c>
      <c r="J8579" s="23" t="str">
        <f>HYPERLINK("https://www.spark-marketing.ru/Card/Person/52658", "ФГКУ ""ОВО ВНГ РОССИИ ПО РЕСПУБЛИКЕ ХАКАСИЯ""")</f>
        <v>ФГКУ "ОВО ВНГ РОССИИ ПО РЕСПУБЛИКЕ ХАКАСИЯ"</v>
      </c>
      <c r="K8579" s="24" t="s">
        <v>10860</v>
      </c>
      <c r="L8579" s="22" t="s">
        <v>10</v>
      </c>
      <c r="M8579" s="28" t="s">
        <v>52</v>
      </c>
      <c r="N8579" s="28" t="s">
        <v>52</v>
      </c>
    </row>
    <row r="8580" spans="1:14" x14ac:dyDescent="0.15">
      <c r="A8580" s="23" t="str">
        <f>HYPERLINK("https://www.spark-marketing.ru/Card/Person/15420", "УПРАВЛЕНИЕ РОСПОТРЕБНАДЗОРА ПО САМАРСКОЙ ОБЛАСТИ")</f>
        <v>УПРАВЛЕНИЕ РОСПОТРЕБНАДЗОРА ПО САМАРСКОЙ ОБЛАСТИ</v>
      </c>
      <c r="B8580" s="24" t="s">
        <v>5620</v>
      </c>
      <c r="C8580" s="25">
        <v>10005.6</v>
      </c>
      <c r="D8580" s="22" t="s">
        <v>10861</v>
      </c>
      <c r="E8580" s="22" t="s">
        <v>53</v>
      </c>
      <c r="F8580" s="23" t="str">
        <f>HYPERLINK("https://www.spark-marketing.ru/Card/Lot/70761753", "Пультовая охрана помещения")</f>
        <v>Пультовая охрана помещения</v>
      </c>
      <c r="G8580" s="22" t="s">
        <v>760</v>
      </c>
      <c r="H8580" s="22" t="s">
        <v>1709</v>
      </c>
      <c r="I8580" s="26">
        <v>43591.380219907398</v>
      </c>
      <c r="J8580" s="28" t="s">
        <v>52</v>
      </c>
      <c r="K8580" s="28" t="s">
        <v>52</v>
      </c>
      <c r="L8580" s="28" t="s">
        <v>52</v>
      </c>
      <c r="M8580" s="28" t="s">
        <v>52</v>
      </c>
      <c r="N8580" s="28" t="s">
        <v>52</v>
      </c>
    </row>
    <row r="8581" spans="1:14" x14ac:dyDescent="0.15">
      <c r="A8581" s="23" t="str">
        <f>HYPERLINK("https://www.spark-marketing.ru/Card/Person/1007576", "МБУ ""УМИ""")</f>
        <v>МБУ "УМИ"</v>
      </c>
      <c r="B8581" s="24" t="s">
        <v>10862</v>
      </c>
      <c r="C8581" s="25">
        <v>1560615.6</v>
      </c>
      <c r="D8581" s="22" t="s">
        <v>10863</v>
      </c>
      <c r="E8581" s="22" t="s">
        <v>59</v>
      </c>
      <c r="F8581" s="23" t="str">
        <f>HYPERLINK("https://www.spark-marketing.ru/Card/Lot/70304510", "Установка системы видеонаблюдения на территории мемориала труженикам тыла, мемориала воинской славы и городского парка города Карасука Новосибирской области")</f>
        <v>Установка системы видеонаблюдения на территории мемориала труженикам тыла, мемориала воинской славы и городского парка города Карасука Новосибирской области</v>
      </c>
      <c r="G8581" s="22" t="s">
        <v>209</v>
      </c>
      <c r="H8581" s="22" t="s">
        <v>2703</v>
      </c>
      <c r="I8581" s="26">
        <v>43591.380555555603</v>
      </c>
      <c r="J8581" s="23" t="str">
        <f>HYPERLINK("https://www.spark-marketing.ru/Card/Person/427260", "ООО ""ГАРАНТ СЕРВИС""")</f>
        <v>ООО "ГАРАНТ СЕРВИС"</v>
      </c>
      <c r="K8581" s="24" t="s">
        <v>3316</v>
      </c>
      <c r="L8581" s="28" t="s">
        <v>52</v>
      </c>
      <c r="M8581" s="28" t="s">
        <v>52</v>
      </c>
      <c r="N8581" s="28" t="s">
        <v>52</v>
      </c>
    </row>
    <row r="8582" spans="1:14" hidden="1" outlineLevel="1" x14ac:dyDescent="0.15">
      <c r="A8582" s="23" t="str">
        <f>HYPERLINK("https://www.spark-marketing.ru/Card/Person/1007576", "МБУ ""УМИ""")</f>
        <v>МБУ "УМИ"</v>
      </c>
      <c r="B8582" s="24" t="s">
        <v>10862</v>
      </c>
      <c r="C8582" s="25">
        <v>1560615.6</v>
      </c>
      <c r="D8582" s="22" t="s">
        <v>10863</v>
      </c>
      <c r="E8582" s="22" t="s">
        <v>59</v>
      </c>
      <c r="F8582" s="23" t="str">
        <f>HYPERLINK("https://www.spark-marketing.ru/Card/Lot/70304510", "Установка системы видеонаблюдения на территории мемориала труженикам тыла, мемориала воинской славы и городского парка города Карасука Новосибирской области")</f>
        <v>Установка системы видеонаблюдения на территории мемориала труженикам тыла, мемориала воинской славы и городского парка города Карасука Новосибирской области</v>
      </c>
      <c r="G8582" s="22" t="s">
        <v>209</v>
      </c>
      <c r="H8582" s="22" t="s">
        <v>2703</v>
      </c>
      <c r="I8582" s="26">
        <v>43591.380555555603</v>
      </c>
      <c r="J8582" s="23" t="str">
        <f>HYPERLINK("https://www.spark-marketing.ru/Card/Person/427260", "ООО ""ГАРАНТ СЕРВИС""")</f>
        <v>ООО "ГАРАНТ СЕРВИС"</v>
      </c>
      <c r="K8582" s="24" t="s">
        <v>3316</v>
      </c>
      <c r="L8582" s="22" t="s">
        <v>10</v>
      </c>
      <c r="M8582" s="28" t="s">
        <v>52</v>
      </c>
      <c r="N8582" s="28" t="s">
        <v>52</v>
      </c>
    </row>
    <row r="8583" spans="1:14" x14ac:dyDescent="0.15">
      <c r="A8583" s="23" t="str">
        <f>HYPERLINK("https://www.spark-marketing.ru/Card/Person/95245", "ОАО ""РЖД""")</f>
        <v>ОАО "РЖД"</v>
      </c>
      <c r="B8583" s="24" t="s">
        <v>163</v>
      </c>
      <c r="C8583" s="25">
        <v>537643.87</v>
      </c>
      <c r="D8583" s="22" t="s">
        <v>10864</v>
      </c>
      <c r="E8583" s="22" t="s">
        <v>370</v>
      </c>
      <c r="F8583" s="23" t="str">
        <f>HYPERLINK("https://www.spark-marketing.ru/Card/Lot/70308221", "На право заключения договора оказания услуг по техническому обслуживанию технических средств защищенности (видеодомофонов и домофонов) (Ярославская дистанция гражданских сооружений)")</f>
        <v>На право заключения договора оказания услуг по техническому обслуживанию технических средств защищенности (видеодомофонов и домофонов) (Ярославская дистанция гражданских сооружений)</v>
      </c>
      <c r="G8583" s="22" t="s">
        <v>340</v>
      </c>
      <c r="H8583" s="22" t="s">
        <v>340</v>
      </c>
      <c r="I8583" s="26">
        <v>43591.403796296298</v>
      </c>
      <c r="J8583" s="28" t="s">
        <v>52</v>
      </c>
      <c r="K8583" s="28" t="s">
        <v>52</v>
      </c>
      <c r="L8583" s="28" t="s">
        <v>52</v>
      </c>
      <c r="M8583" s="28" t="s">
        <v>52</v>
      </c>
      <c r="N8583" s="28" t="s">
        <v>52</v>
      </c>
    </row>
    <row r="8584" spans="1:14" x14ac:dyDescent="0.15">
      <c r="A8584" s="23" t="str">
        <f>HYPERLINK("https://www.spark-marketing.ru/Card/Person/20317", "ГБУЗ ""ГП № 195 ДЗМ""")</f>
        <v>ГБУЗ "ГП № 195 ДЗМ"</v>
      </c>
      <c r="B8584" s="24" t="s">
        <v>10865</v>
      </c>
      <c r="C8584" s="25">
        <v>414400.56</v>
      </c>
      <c r="D8584" s="22" t="s">
        <v>10866</v>
      </c>
      <c r="E8584" s="22" t="s">
        <v>103</v>
      </c>
      <c r="F8584" s="23" t="str">
        <f>HYPERLINK("https://www.spark-marketing.ru/Card/Lot/70308875", "Оказание услуг по охране комнат хранения наркотических лекарственных средств и психотропных веществ с использованием технических средств охранной сигнализации и кнопки тревожной сигнализации через пульт централизованной охраны для нужд ГБУЗ «ГП №195 ...")</f>
        <v>Оказание услуг по охране комнат хранения наркотических лекарственных средств и психотропных веществ с использованием технических средств охранной сигнализации и кнопки тревожной сигнализации через пульт централизованной охраны для нужд ГБУЗ «ГП №195 ...</v>
      </c>
      <c r="G8584" s="22" t="s">
        <v>55</v>
      </c>
      <c r="H8584" s="22" t="s">
        <v>55</v>
      </c>
      <c r="I8584" s="26">
        <v>43591.409027777801</v>
      </c>
      <c r="J8584" s="28" t="s">
        <v>52</v>
      </c>
      <c r="K8584" s="28" t="s">
        <v>52</v>
      </c>
      <c r="L8584" s="28" t="s">
        <v>52</v>
      </c>
      <c r="M8584" s="28" t="s">
        <v>52</v>
      </c>
      <c r="N8584" s="28" t="s">
        <v>52</v>
      </c>
    </row>
    <row r="8585" spans="1:14" ht="12.75" hidden="1" outlineLevel="1" x14ac:dyDescent="0.2">
      <c r="A8585" s="23" t="str">
        <f>HYPERLINK("https://www.spark-marketing.ru/Card/Person/20317", "ГБУЗ ""ГП № 195 ДЗМ""")</f>
        <v>ГБУЗ "ГП № 195 ДЗМ"</v>
      </c>
      <c r="B8585" s="24" t="s">
        <v>10865</v>
      </c>
      <c r="C8585" s="25">
        <v>414400.56</v>
      </c>
      <c r="D8585" s="22" t="s">
        <v>10866</v>
      </c>
      <c r="E8585" s="22" t="s">
        <v>103</v>
      </c>
      <c r="F8585" s="23" t="str">
        <f>HYPERLINK("https://www.spark-marketing.ru/Card/Lot/70308875", "Оказание услуг по охране комнат хранения наркотических лекарственных средств и психотропных веществ с использованием технических средств охранной сигнализации и кнопки тревожной сигнализации через пульт централизованной охраны для нужд ГБУЗ «ГП №195 ...")</f>
        <v>Оказание услуг по охране комнат хранения наркотических лекарственных средств и психотропных веществ с использованием технических средств охранной сигнализации и кнопки тревожной сигнализации через пульт централизованной охраны для нужд ГБУЗ «ГП №195 ...</v>
      </c>
      <c r="G8585" s="22" t="s">
        <v>55</v>
      </c>
      <c r="H8585" s="22" t="s">
        <v>55</v>
      </c>
      <c r="I8585" s="26">
        <v>43591.409027777801</v>
      </c>
      <c r="J8585" s="23" t="str">
        <f>HYPERLINK("https://www.spark-marketing.ru/Card/Person/1976859", "ООО ЧОО ""ДЕЛЬТА""")</f>
        <v>ООО ЧОО "ДЕЛЬТА"</v>
      </c>
      <c r="K8585" s="24" t="s">
        <v>8928</v>
      </c>
      <c r="L8585" s="22" t="s">
        <v>10</v>
      </c>
      <c r="M8585" s="25">
        <v>335664.18</v>
      </c>
      <c r="N8585" s="27">
        <v>0.19000066023076803</v>
      </c>
    </row>
    <row r="8586" spans="1:14" hidden="1" outlineLevel="1" x14ac:dyDescent="0.2">
      <c r="A8586" s="23" t="str">
        <f>HYPERLINK("https://www.spark-marketing.ru/Card/Person/20317", "ГБУЗ ""ГП № 195 ДЗМ""")</f>
        <v>ГБУЗ "ГП № 195 ДЗМ"</v>
      </c>
      <c r="B8586" s="24" t="s">
        <v>10865</v>
      </c>
      <c r="C8586" s="25">
        <v>414400.56</v>
      </c>
      <c r="D8586" s="22" t="s">
        <v>10866</v>
      </c>
      <c r="E8586" s="22" t="s">
        <v>103</v>
      </c>
      <c r="F8586" s="23" t="str">
        <f>HYPERLINK("https://www.spark-marketing.ru/Card/Lot/70308875", "Оказание услуг по охране комнат хранения наркотических лекарственных средств и психотропных веществ с использованием технических средств охранной сигнализации и кнопки тревожной сигнализации через пульт централизованной охраны для нужд ГБУЗ «ГП №195 ...")</f>
        <v>Оказание услуг по охране комнат хранения наркотических лекарственных средств и психотропных веществ с использованием технических средств охранной сигнализации и кнопки тревожной сигнализации через пульт централизованной охраны для нужд ГБУЗ «ГП №195 ...</v>
      </c>
      <c r="G8586" s="22" t="s">
        <v>55</v>
      </c>
      <c r="H8586" s="22" t="s">
        <v>55</v>
      </c>
      <c r="I8586" s="26">
        <v>43591.409027777801</v>
      </c>
      <c r="J8586" s="23" t="str">
        <f>HYPERLINK("https://www.spark-marketing.ru/Card/Person/612235", "ООО ЧОО ""АКБ""")</f>
        <v>ООО ЧОО "АКБ"</v>
      </c>
      <c r="K8586" s="24" t="s">
        <v>10867</v>
      </c>
      <c r="L8586" s="28" t="s">
        <v>52</v>
      </c>
      <c r="M8586" s="25">
        <v>335664.18</v>
      </c>
      <c r="N8586" s="27">
        <v>0.19000066023076803</v>
      </c>
    </row>
    <row r="8587" spans="1:14" x14ac:dyDescent="0.15">
      <c r="A8587" s="23" t="str">
        <f>HYPERLINK("https://www.spark-marketing.ru/Card/Person/78553", "БУ ""СУРГУТСКАЯ ГОРОДСКАЯ КЛИНИЧЕСКАЯ ПОЛИКЛИНИКА № 5""")</f>
        <v>БУ "СУРГУТСКАЯ ГОРОДСКАЯ КЛИНИЧЕСКАЯ ПОЛИКЛИНИКА № 5"</v>
      </c>
      <c r="B8587" s="24" t="s">
        <v>6898</v>
      </c>
      <c r="C8587" s="25">
        <v>398897.28</v>
      </c>
      <c r="D8587" s="22" t="s">
        <v>10868</v>
      </c>
      <c r="E8587" s="22" t="s">
        <v>52</v>
      </c>
      <c r="F8587" s="23" t="str">
        <f>HYPERLINK("https://www.spark-marketing.ru/Card/Lot/70305875", "Оказание услуг по охране объектов")</f>
        <v>Оказание услуг по охране объектов</v>
      </c>
      <c r="G8587" s="22" t="s">
        <v>119</v>
      </c>
      <c r="H8587" s="22" t="s">
        <v>463</v>
      </c>
      <c r="I8587" s="26">
        <v>43591.379166666702</v>
      </c>
      <c r="J8587" s="28" t="s">
        <v>52</v>
      </c>
      <c r="K8587" s="28" t="s">
        <v>52</v>
      </c>
      <c r="L8587" s="28" t="s">
        <v>52</v>
      </c>
      <c r="M8587" s="28" t="s">
        <v>52</v>
      </c>
      <c r="N8587" s="28" t="s">
        <v>52</v>
      </c>
    </row>
    <row r="8588" spans="1:14" x14ac:dyDescent="0.15">
      <c r="A8588" s="23" t="str">
        <f>HYPERLINK("https://www.spark-marketing.ru/Card/Person/59389", "МБОУ ""ТС(К)ШИ VIII ВИДА""")</f>
        <v>МБОУ "ТС(К)ШИ VIII ВИДА"</v>
      </c>
      <c r="B8588" s="24" t="s">
        <v>10869</v>
      </c>
      <c r="C8588" s="25">
        <v>15000</v>
      </c>
      <c r="D8588" s="22" t="s">
        <v>10870</v>
      </c>
      <c r="E8588" s="22" t="s">
        <v>294</v>
      </c>
      <c r="F8588" s="23" t="str">
        <f>HYPERLINK("https://www.spark-marketing.ru/Card/Lot/70306410", "Оказание услуг по техническому обслуживанию системы видеонаблюдения")</f>
        <v>Оказание услуг по техническому обслуживанию системы видеонаблюдения</v>
      </c>
      <c r="G8588" s="22" t="s">
        <v>50</v>
      </c>
      <c r="H8588" s="22" t="s">
        <v>1207</v>
      </c>
      <c r="I8588" s="26">
        <v>43591.357326388897</v>
      </c>
      <c r="J8588" s="28" t="s">
        <v>52</v>
      </c>
      <c r="K8588" s="28" t="s">
        <v>52</v>
      </c>
      <c r="L8588" s="28" t="s">
        <v>52</v>
      </c>
      <c r="M8588" s="28" t="s">
        <v>52</v>
      </c>
      <c r="N8588" s="28" t="s">
        <v>52</v>
      </c>
    </row>
    <row r="8589" spans="1:14" x14ac:dyDescent="0.15">
      <c r="A8589" s="23" t="str">
        <f>HYPERLINK("https://www.spark-marketing.ru/Card/Person/4348435", "ООО ""ТД ПОЛИМЕТАЛЛ""")</f>
        <v>ООО "ТД ПОЛИМЕТАЛЛ"</v>
      </c>
      <c r="B8589" s="24" t="s">
        <v>374</v>
      </c>
      <c r="C8589" s="25">
        <v>696.63</v>
      </c>
      <c r="D8589" s="22" t="s">
        <v>10871</v>
      </c>
      <c r="E8589" s="22" t="s">
        <v>527</v>
      </c>
      <c r="F8589" s="23" t="str">
        <f>HYPERLINK("https://www.spark-marketing.ru/Card/Lot/70309301", "Правила по охране труда при погрузочно-разгрузочных работах и размещении грузов. Приказ № 642н Минтруда России от 17.09.2014. Приказ зарегистрирован Минюстом России 05.11.2014, рег. № 34558, опубликован в Российской газете от 30.12.2014 № 298 и вступ...")</f>
        <v>Правила по охране труда при погрузочно-разгрузочных работах и размещении грузов. Приказ № 642н Минтруда России от 17.09.2014. Приказ зарегистрирован Минюстом России 05.11.2014, рег. № 34558, опубликован в Российской газете от 30.12.2014 № 298 и вступ...</v>
      </c>
      <c r="G8589" s="22" t="s">
        <v>89</v>
      </c>
      <c r="H8589" s="22" t="s">
        <v>89</v>
      </c>
      <c r="I8589" s="26">
        <v>43591.371539351901</v>
      </c>
      <c r="J8589" s="28" t="s">
        <v>52</v>
      </c>
      <c r="K8589" s="28" t="s">
        <v>52</v>
      </c>
      <c r="L8589" s="28" t="s">
        <v>52</v>
      </c>
      <c r="M8589" s="28" t="s">
        <v>52</v>
      </c>
      <c r="N8589" s="28" t="s">
        <v>52</v>
      </c>
    </row>
    <row r="8590" spans="1:14" x14ac:dyDescent="0.15">
      <c r="A8590" s="23" t="str">
        <f>HYPERLINK("https://www.spark-marketing.ru/Card/Person/15420", "УПРАВЛЕНИЕ РОСПОТРЕБНАДЗОРА ПО САМАРСКОЙ ОБЛАСТИ")</f>
        <v>УПРАВЛЕНИЕ РОСПОТРЕБНАДЗОРА ПО САМАРСКОЙ ОБЛАСТИ</v>
      </c>
      <c r="B8590" s="24" t="s">
        <v>5620</v>
      </c>
      <c r="C8590" s="25">
        <v>17445.36</v>
      </c>
      <c r="D8590" s="22" t="s">
        <v>10872</v>
      </c>
      <c r="E8590" s="22" t="s">
        <v>53</v>
      </c>
      <c r="F8590" s="23" t="str">
        <f>HYPERLINK("https://www.spark-marketing.ru/Card/Lot/70761649", "Пультовая охрана помещения")</f>
        <v>Пультовая охрана помещения</v>
      </c>
      <c r="G8590" s="22" t="s">
        <v>760</v>
      </c>
      <c r="H8590" s="22" t="s">
        <v>1709</v>
      </c>
      <c r="I8590" s="26">
        <v>43591.366990740702</v>
      </c>
      <c r="J8590" s="28" t="s">
        <v>52</v>
      </c>
      <c r="K8590" s="28" t="s">
        <v>52</v>
      </c>
      <c r="L8590" s="28" t="s">
        <v>52</v>
      </c>
      <c r="M8590" s="28" t="s">
        <v>52</v>
      </c>
      <c r="N8590" s="28" t="s">
        <v>52</v>
      </c>
    </row>
    <row r="8591" spans="1:14" x14ac:dyDescent="0.15">
      <c r="A8591" s="23" t="str">
        <f>HYPERLINK("https://www.spark-marketing.ru/Card/Person/15420", "УПРАВЛЕНИЕ РОСПОТРЕБНАДЗОРА ПО САМАРСКОЙ ОБЛАСТИ")</f>
        <v>УПРАВЛЕНИЕ РОСПОТРЕБНАДЗОРА ПО САМАРСКОЙ ОБЛАСТИ</v>
      </c>
      <c r="B8591" s="24" t="s">
        <v>5620</v>
      </c>
      <c r="C8591" s="25">
        <v>8722.68</v>
      </c>
      <c r="D8591" s="22" t="s">
        <v>10873</v>
      </c>
      <c r="E8591" s="22" t="s">
        <v>53</v>
      </c>
      <c r="F8591" s="23" t="str">
        <f>HYPERLINK("https://www.spark-marketing.ru/Card/Lot/70761567", "Пультовая охрана помещения")</f>
        <v>Пультовая охрана помещения</v>
      </c>
      <c r="G8591" s="22" t="s">
        <v>760</v>
      </c>
      <c r="H8591" s="22" t="s">
        <v>1709</v>
      </c>
      <c r="I8591" s="26">
        <v>43591.360150462999</v>
      </c>
      <c r="J8591" s="28" t="s">
        <v>52</v>
      </c>
      <c r="K8591" s="28" t="s">
        <v>52</v>
      </c>
      <c r="L8591" s="28" t="s">
        <v>52</v>
      </c>
      <c r="M8591" s="28" t="s">
        <v>52</v>
      </c>
      <c r="N8591" s="28" t="s">
        <v>52</v>
      </c>
    </row>
    <row r="8592" spans="1:14" x14ac:dyDescent="0.15">
      <c r="A8592" s="23" t="str">
        <f>HYPERLINK("https://www.spark-marketing.ru/Card/Person/1051821", "МКУ ДО ""ИМЦ""")</f>
        <v>МКУ ДО "ИМЦ"</v>
      </c>
      <c r="B8592" s="24" t="s">
        <v>10874</v>
      </c>
      <c r="C8592" s="25">
        <v>18000</v>
      </c>
      <c r="D8592" s="22" t="s">
        <v>10875</v>
      </c>
      <c r="E8592" s="22" t="s">
        <v>59</v>
      </c>
      <c r="F8592" s="23" t="str">
        <f>HYPERLINK("https://www.spark-marketing.ru/Card/Lot/70305948", "Техническое обслуживание (ТО) системы тревожной сигнализации (ТС) на объекте заказчика (№ 44-ФЗ)")</f>
        <v>Техническое обслуживание (ТО) системы тревожной сигнализации (ТС) на объекте заказчика (№ 44-ФЗ)</v>
      </c>
      <c r="G8592" s="22" t="s">
        <v>209</v>
      </c>
      <c r="H8592" s="22" t="s">
        <v>5633</v>
      </c>
      <c r="I8592" s="26">
        <v>43591.315277777801</v>
      </c>
      <c r="J8592" s="28" t="s">
        <v>52</v>
      </c>
      <c r="K8592" s="28" t="s">
        <v>52</v>
      </c>
      <c r="L8592" s="28" t="s">
        <v>52</v>
      </c>
      <c r="M8592" s="28" t="s">
        <v>52</v>
      </c>
      <c r="N8592" s="28" t="s">
        <v>52</v>
      </c>
    </row>
    <row r="8593" spans="1:14" x14ac:dyDescent="0.15">
      <c r="A8593" s="23" t="str">
        <f>HYPERLINK("https://www.spark-marketing.ru/Card/Person/25886", "СЕВЕРО-ВОСТОЧНОЕ ТУ РОСРЫБОЛОВСТВА")</f>
        <v>СЕВЕРО-ВОСТОЧНОЕ ТУ РОСРЫБОЛОВСТВА</v>
      </c>
      <c r="B8593" s="24" t="s">
        <v>10876</v>
      </c>
      <c r="C8593" s="25">
        <v>37693.89</v>
      </c>
      <c r="D8593" s="22" t="s">
        <v>10877</v>
      </c>
      <c r="E8593" s="22" t="s">
        <v>53</v>
      </c>
      <c r="F8593" s="23" t="str">
        <f>HYPERLINK("https://www.spark-marketing.ru/Card/Lot/70761165", "техническое обслуживание комплекса технических средств охраны")</f>
        <v>техническое обслуживание комплекса технических средств охраны</v>
      </c>
      <c r="G8593" s="22" t="s">
        <v>1141</v>
      </c>
      <c r="H8593" s="22" t="s">
        <v>1142</v>
      </c>
      <c r="I8593" s="26">
        <v>43591.275219907402</v>
      </c>
      <c r="J8593" s="28" t="s">
        <v>52</v>
      </c>
      <c r="K8593" s="28" t="s">
        <v>52</v>
      </c>
      <c r="L8593" s="28" t="s">
        <v>52</v>
      </c>
      <c r="M8593" s="28" t="s">
        <v>52</v>
      </c>
      <c r="N8593" s="28" t="s">
        <v>52</v>
      </c>
    </row>
    <row r="8594" spans="1:14" x14ac:dyDescent="0.15">
      <c r="A8594" s="23" t="str">
        <f>HYPERLINK("https://www.spark-marketing.ru/Card/Person/72517", "УФССП РОССИИ ПО РЕСПУБЛИКЕ САХА (ЯКУТИЯ)")</f>
        <v>УФССП РОССИИ ПО РЕСПУБЛИКЕ САХА (ЯКУТИЯ)</v>
      </c>
      <c r="B8594" s="24" t="s">
        <v>5045</v>
      </c>
      <c r="C8594" s="25">
        <v>33196.11</v>
      </c>
      <c r="D8594" s="22" t="s">
        <v>10878</v>
      </c>
      <c r="E8594" s="22" t="s">
        <v>53</v>
      </c>
      <c r="F8594" s="23" t="str">
        <f>HYPERLINK("https://www.spark-marketing.ru/Card/Lot/70761070", "услуги по охране объекта")</f>
        <v>услуги по охране объекта</v>
      </c>
      <c r="G8594" s="22" t="s">
        <v>424</v>
      </c>
      <c r="H8594" s="22" t="s">
        <v>1186</v>
      </c>
      <c r="I8594" s="26">
        <v>43591.223518518498</v>
      </c>
      <c r="J8594" s="28" t="s">
        <v>52</v>
      </c>
      <c r="K8594" s="28" t="s">
        <v>52</v>
      </c>
      <c r="L8594" s="28" t="s">
        <v>52</v>
      </c>
      <c r="M8594" s="28" t="s">
        <v>52</v>
      </c>
      <c r="N8594" s="28" t="s">
        <v>52</v>
      </c>
    </row>
    <row r="8595" spans="1:14" x14ac:dyDescent="0.15">
      <c r="A8595" s="23" t="str">
        <f>HYPERLINK("https://www.spark-marketing.ru/Card/Person/266656", "КАМЧАТСКОЕ МТУ РОСАВИАЦИИ")</f>
        <v>КАМЧАТСКОЕ МТУ РОСАВИАЦИИ</v>
      </c>
      <c r="B8595" s="24" t="s">
        <v>1139</v>
      </c>
      <c r="C8595" s="25">
        <v>45771</v>
      </c>
      <c r="D8595" s="22" t="s">
        <v>10879</v>
      </c>
      <c r="E8595" s="22" t="s">
        <v>53</v>
      </c>
      <c r="F8595" s="23" t="str">
        <f>HYPERLINK("https://www.spark-marketing.ru/Card/Lot/70762323", "Услуги пультовой охраны, мониторинг систем охранной и аварийной сигнализации, 3 шт")</f>
        <v>Услуги пультовой охраны, мониторинг систем охранной и аварийной сигнализации, 3 шт</v>
      </c>
      <c r="G8595" s="22" t="s">
        <v>1141</v>
      </c>
      <c r="H8595" s="22" t="s">
        <v>1142</v>
      </c>
      <c r="I8595" s="26">
        <v>43591.157199074099</v>
      </c>
      <c r="J8595" s="28" t="s">
        <v>52</v>
      </c>
      <c r="K8595" s="28" t="s">
        <v>52</v>
      </c>
      <c r="L8595" s="28" t="s">
        <v>52</v>
      </c>
      <c r="M8595" s="28" t="s">
        <v>52</v>
      </c>
      <c r="N8595" s="28" t="s">
        <v>52</v>
      </c>
    </row>
    <row r="8596" spans="1:14" x14ac:dyDescent="0.15">
      <c r="A8596" s="23" t="str">
        <f>HYPERLINK("https://www.spark-marketing.ru/Card/Person/4415454", "ПАО ""СТЗ""")</f>
        <v>ПАО "СТЗ"</v>
      </c>
      <c r="B8596" s="24" t="s">
        <v>2517</v>
      </c>
      <c r="C8596" s="28" t="s">
        <v>52</v>
      </c>
      <c r="D8596" s="22" t="s">
        <v>10880</v>
      </c>
      <c r="E8596" s="22" t="s">
        <v>53</v>
      </c>
      <c r="F8596" s="23" t="str">
        <f>HYPERLINK("https://www.spark-marketing.ru/Card/Lot/72408041", "Приобретение видеоборудования Arecont Vision (ТО№3)")</f>
        <v>Приобретение видеоборудования Arecont Vision (ТО№3)</v>
      </c>
      <c r="G8596" s="22" t="s">
        <v>72</v>
      </c>
      <c r="H8596" s="22" t="s">
        <v>2519</v>
      </c>
      <c r="I8596" s="26">
        <v>43590.906041666698</v>
      </c>
      <c r="J8596" s="28" t="s">
        <v>52</v>
      </c>
      <c r="K8596" s="28" t="s">
        <v>52</v>
      </c>
      <c r="L8596" s="28" t="s">
        <v>52</v>
      </c>
      <c r="M8596" s="28" t="s">
        <v>52</v>
      </c>
      <c r="N8596" s="28" t="s">
        <v>52</v>
      </c>
    </row>
    <row r="8597" spans="1:14" x14ac:dyDescent="0.2">
      <c r="A8597" s="23" t="str">
        <f>HYPERLINK("https://www.spark-marketing.ru/Card/Person/9633", "МИНСТРОЙ ИНГУШЕТИИ")</f>
        <v>МИНСТРОЙ ИНГУШЕТИИ</v>
      </c>
      <c r="B8597" s="24" t="s">
        <v>646</v>
      </c>
      <c r="C8597" s="25">
        <v>3579310</v>
      </c>
      <c r="D8597" s="22" t="s">
        <v>10881</v>
      </c>
      <c r="E8597" s="22" t="s">
        <v>218</v>
      </c>
      <c r="F8597" s="23" t="str">
        <f>HYPERLINK("https://www.spark-marketing.ru/Card/Lot/70302359", "Оказание услуг по строительному контролю и техническому сопровождению работ по объекту «Строительство детского сада на 220 мест в г. Сунжа»")</f>
        <v>Оказание услуг по строительному контролю и техническому сопровождению работ по объекту «Строительство детского сада на 220 мест в г. Сунжа»</v>
      </c>
      <c r="G8597" s="22" t="s">
        <v>648</v>
      </c>
      <c r="H8597" s="22" t="s">
        <v>648</v>
      </c>
      <c r="I8597" s="26">
        <v>43589.693749999999</v>
      </c>
      <c r="J8597" s="23" t="str">
        <f>HYPERLINK("https://www.spark-marketing.ru/Card/Person/259250", "ГУП""УКС РИ""")</f>
        <v>ГУП"УКС РИ"</v>
      </c>
      <c r="K8597" s="24" t="s">
        <v>7151</v>
      </c>
      <c r="L8597" s="28" t="s">
        <v>52</v>
      </c>
      <c r="M8597" s="25">
        <v>3579310</v>
      </c>
      <c r="N8597" s="27">
        <v>0</v>
      </c>
    </row>
    <row r="8598" spans="1:14" x14ac:dyDescent="0.15">
      <c r="A8598" s="23" t="str">
        <f>HYPERLINK("https://www.spark-marketing.ru/Card/Person/6450322", "ЗАКАЗЧИК РП БЕЛАРУСЬ")</f>
        <v>ЗАКАЗЧИК РП БЕЛАРУСЬ</v>
      </c>
      <c r="B8598" s="28" t="s">
        <v>52</v>
      </c>
      <c r="C8598" s="25">
        <v>2301795</v>
      </c>
      <c r="D8598" s="22" t="s">
        <v>10882</v>
      </c>
      <c r="E8598" s="22" t="s">
        <v>53</v>
      </c>
      <c r="F8598" s="23" t="str">
        <f>HYPERLINK("https://www.spark-marketing.ru/Card/Lot/70302135", "Техническое обслуживание систем видеонаблюдения станции Минск-Пассажирский.")</f>
        <v>Техническое обслуживание систем видеонаблюдения станции Минск-Пассажирский.</v>
      </c>
      <c r="G8598" s="22" t="s">
        <v>52</v>
      </c>
      <c r="H8598" s="22" t="s">
        <v>52</v>
      </c>
      <c r="I8598" s="26">
        <v>43589</v>
      </c>
      <c r="J8598" s="28" t="s">
        <v>52</v>
      </c>
      <c r="K8598" s="28" t="s">
        <v>52</v>
      </c>
      <c r="L8598" s="28" t="s">
        <v>52</v>
      </c>
      <c r="M8598" s="28" t="s">
        <v>52</v>
      </c>
      <c r="N8598" s="28" t="s">
        <v>52</v>
      </c>
    </row>
    <row r="8599" spans="1:14" x14ac:dyDescent="0.15">
      <c r="A8599" s="23" t="str">
        <f>HYPERLINK("https://www.spark-marketing.ru/Card/Person/6450322", "ЗАКАЗЧИК РП БЕЛАРУСЬ")</f>
        <v>ЗАКАЗЧИК РП БЕЛАРУСЬ</v>
      </c>
      <c r="B8599" s="28" t="s">
        <v>52</v>
      </c>
      <c r="C8599" s="28" t="s">
        <v>52</v>
      </c>
      <c r="D8599" s="22" t="s">
        <v>10883</v>
      </c>
      <c r="E8599" s="22" t="s">
        <v>53</v>
      </c>
      <c r="F8599" s="23" t="str">
        <f>HYPERLINK("https://www.spark-marketing.ru/Card/Lot/70298452", "Техническое обслуживание систем контроля и управления доступом")</f>
        <v>Техническое обслуживание систем контроля и управления доступом</v>
      </c>
      <c r="G8599" s="22" t="s">
        <v>52</v>
      </c>
      <c r="H8599" s="22" t="s">
        <v>52</v>
      </c>
      <c r="I8599" s="26">
        <v>43588</v>
      </c>
      <c r="J8599" s="28" t="s">
        <v>52</v>
      </c>
      <c r="K8599" s="28" t="s">
        <v>52</v>
      </c>
      <c r="L8599" s="28" t="s">
        <v>52</v>
      </c>
      <c r="M8599" s="28" t="s">
        <v>52</v>
      </c>
      <c r="N8599" s="28" t="s">
        <v>52</v>
      </c>
    </row>
    <row r="8600" spans="1:14" x14ac:dyDescent="0.15">
      <c r="A8600" s="23" t="str">
        <f>HYPERLINK("https://www.spark-marketing.ru/Card/Person/6450322", "ЗАКАЗЧИК РП БЕЛАРУСЬ")</f>
        <v>ЗАКАЗЧИК РП БЕЛАРУСЬ</v>
      </c>
      <c r="B8600" s="28" t="s">
        <v>52</v>
      </c>
      <c r="C8600" s="28" t="s">
        <v>52</v>
      </c>
      <c r="D8600" s="22" t="s">
        <v>10883</v>
      </c>
      <c r="E8600" s="22" t="s">
        <v>53</v>
      </c>
      <c r="F8600" s="23" t="str">
        <f>HYPERLINK("https://www.spark-marketing.ru/Card/Lot/70298451", "Техническое обслуживание систем видеонаблюдения")</f>
        <v>Техническое обслуживание систем видеонаблюдения</v>
      </c>
      <c r="G8600" s="22" t="s">
        <v>52</v>
      </c>
      <c r="H8600" s="22" t="s">
        <v>52</v>
      </c>
      <c r="I8600" s="26">
        <v>43588</v>
      </c>
      <c r="J8600" s="28" t="s">
        <v>52</v>
      </c>
      <c r="K8600" s="28" t="s">
        <v>52</v>
      </c>
      <c r="L8600" s="28" t="s">
        <v>52</v>
      </c>
      <c r="M8600" s="28" t="s">
        <v>52</v>
      </c>
      <c r="N8600" s="28" t="s">
        <v>52</v>
      </c>
    </row>
    <row r="8601" spans="1:14" x14ac:dyDescent="0.15">
      <c r="A8601" s="23" t="str">
        <f>HYPERLINK("https://www.spark-marketing.ru/Card/Person/161039", "АО ""КУЗБАССЭНЕРГО""")</f>
        <v>АО "КУЗБАССЭНЕРГО"</v>
      </c>
      <c r="B8601" s="24" t="s">
        <v>10884</v>
      </c>
      <c r="C8601" s="25">
        <v>0</v>
      </c>
      <c r="D8601" s="22" t="s">
        <v>10885</v>
      </c>
      <c r="E8601" s="22" t="s">
        <v>53</v>
      </c>
      <c r="F8601" s="23" t="str">
        <f>HYPERLINK("https://www.spark-marketing.ru/Card/Lot/70297436", "На право оказания услуг по объекту: ""Пост охраны № 5. (инв. №3079). Устройство дополнительных ограждений""")</f>
        <v>На право оказания услуг по объекту: "Пост охраны № 5. (инв. №3079). Устройство дополнительных ограждений"</v>
      </c>
      <c r="G8601" s="22" t="s">
        <v>367</v>
      </c>
      <c r="H8601" s="22" t="s">
        <v>881</v>
      </c>
      <c r="I8601" s="26">
        <v>43587.833333333299</v>
      </c>
      <c r="J8601" s="28" t="s">
        <v>52</v>
      </c>
      <c r="K8601" s="28" t="s">
        <v>52</v>
      </c>
      <c r="L8601" s="28" t="s">
        <v>52</v>
      </c>
      <c r="M8601" s="28" t="s">
        <v>52</v>
      </c>
      <c r="N8601" s="28" t="s">
        <v>52</v>
      </c>
    </row>
    <row r="8602" spans="1:14" x14ac:dyDescent="0.15">
      <c r="A8602" s="23" t="str">
        <f>HYPERLINK("https://www.spark-marketing.ru/Card/Person/161039", "АО ""КУЗБАССЭНЕРГО""")</f>
        <v>АО "КУЗБАССЭНЕРГО"</v>
      </c>
      <c r="B8602" s="24" t="s">
        <v>10884</v>
      </c>
      <c r="C8602" s="25">
        <v>0</v>
      </c>
      <c r="D8602" s="22" t="s">
        <v>10886</v>
      </c>
      <c r="E8602" s="22" t="s">
        <v>53</v>
      </c>
      <c r="F8602" s="23" t="str">
        <f>HYPERLINK("https://www.spark-marketing.ru/Card/Lot/70297434", "на право оказания услуг по объекту: ""Пост охраны № 5. (инв. №3079). Установка дополнительных ограждений. Электромонтажные работы""")</f>
        <v>на право оказания услуг по объекту: "Пост охраны № 5. (инв. №3079). Установка дополнительных ограждений. Электромонтажные работы"</v>
      </c>
      <c r="G8602" s="22" t="s">
        <v>367</v>
      </c>
      <c r="H8602" s="22" t="s">
        <v>881</v>
      </c>
      <c r="I8602" s="26">
        <v>43587.833333333299</v>
      </c>
      <c r="J8602" s="28" t="s">
        <v>52</v>
      </c>
      <c r="K8602" s="28" t="s">
        <v>52</v>
      </c>
      <c r="L8602" s="28" t="s">
        <v>52</v>
      </c>
      <c r="M8602" s="28" t="s">
        <v>52</v>
      </c>
      <c r="N8602" s="28" t="s">
        <v>52</v>
      </c>
    </row>
    <row r="8603" spans="1:14" x14ac:dyDescent="0.15">
      <c r="A8603" s="23" t="str">
        <f>HYPERLINK("https://www.spark-marketing.ru/Card/Person/161039", "АО ""КУЗБАССЭНЕРГО""")</f>
        <v>АО "КУЗБАССЭНЕРГО"</v>
      </c>
      <c r="B8603" s="24" t="s">
        <v>10884</v>
      </c>
      <c r="C8603" s="25">
        <v>0</v>
      </c>
      <c r="D8603" s="22" t="s">
        <v>10887</v>
      </c>
      <c r="E8603" s="22" t="s">
        <v>53</v>
      </c>
      <c r="F8603" s="23" t="str">
        <f>HYPERLINK("https://www.spark-marketing.ru/Card/Lot/70297036", "на право оказания услуг по объекту: ""Пост охраны № 2. (инв. №3073). Устройство дополнительных ограждений""")</f>
        <v>на право оказания услуг по объекту: "Пост охраны № 2. (инв. №3073). Устройство дополнительных ограждений"</v>
      </c>
      <c r="G8603" s="22" t="s">
        <v>367</v>
      </c>
      <c r="H8603" s="22" t="s">
        <v>881</v>
      </c>
      <c r="I8603" s="26">
        <v>43587.833333333299</v>
      </c>
      <c r="J8603" s="28" t="s">
        <v>52</v>
      </c>
      <c r="K8603" s="28" t="s">
        <v>52</v>
      </c>
      <c r="L8603" s="28" t="s">
        <v>52</v>
      </c>
      <c r="M8603" s="28" t="s">
        <v>52</v>
      </c>
      <c r="N8603" s="28" t="s">
        <v>52</v>
      </c>
    </row>
    <row r="8604" spans="1:14" x14ac:dyDescent="0.15">
      <c r="A8604" s="23" t="str">
        <f>HYPERLINK("https://www.spark-marketing.ru/Card/Person/5878", "ГБУЗ НСО ""КУЙБЫШЕВСКАЯ ЦРБ""")</f>
        <v>ГБУЗ НСО "КУЙБЫШЕВСКАЯ ЦРБ"</v>
      </c>
      <c r="B8604" s="24" t="s">
        <v>3802</v>
      </c>
      <c r="C8604" s="25">
        <v>326650.38</v>
      </c>
      <c r="D8604" s="22" t="s">
        <v>10888</v>
      </c>
      <c r="E8604" s="22" t="s">
        <v>52</v>
      </c>
      <c r="F8604" s="23" t="str">
        <f>HYPERLINK("https://www.spark-marketing.ru/Card/Lot/70294847", "Оказание услуг по пультовой охране объекта кнопкой тревожной сигнализации и экстренному прибытию группы мобильного реагирования на объект в случае срабатывания средств тревожной сигнализации")</f>
        <v>Оказание услуг по пультовой охране объекта кнопкой тревожной сигнализации и экстренному прибытию группы мобильного реагирования на объект в случае срабатывания средств тревожной сигнализации</v>
      </c>
      <c r="G8604" s="22" t="s">
        <v>209</v>
      </c>
      <c r="H8604" s="22" t="s">
        <v>3804</v>
      </c>
      <c r="I8604" s="26">
        <v>43587.636805555601</v>
      </c>
      <c r="J8604" s="28" t="s">
        <v>52</v>
      </c>
      <c r="K8604" s="28" t="s">
        <v>52</v>
      </c>
      <c r="L8604" s="28" t="s">
        <v>52</v>
      </c>
      <c r="M8604" s="28" t="s">
        <v>52</v>
      </c>
      <c r="N8604" s="28" t="s">
        <v>52</v>
      </c>
    </row>
    <row r="8605" spans="1:14" hidden="1" outlineLevel="1" x14ac:dyDescent="0.2">
      <c r="A8605" s="23" t="str">
        <f>HYPERLINK("https://www.spark-marketing.ru/Card/Person/5878", "ГБУЗ НСО ""КУЙБЫШЕВСКАЯ ЦРБ""")</f>
        <v>ГБУЗ НСО "КУЙБЫШЕВСКАЯ ЦРБ"</v>
      </c>
      <c r="B8605" s="24" t="s">
        <v>3802</v>
      </c>
      <c r="C8605" s="25">
        <v>326650.38</v>
      </c>
      <c r="D8605" s="22" t="s">
        <v>10888</v>
      </c>
      <c r="E8605" s="22" t="s">
        <v>52</v>
      </c>
      <c r="F8605" s="23" t="str">
        <f>HYPERLINK("https://www.spark-marketing.ru/Card/Lot/70294847", "Оказание услуг по пультовой охране объекта кнопкой тревожной сигнализации и экстренному прибытию группы мобильного реагирования на объект в случае срабатывания средств тревожной сигнализации")</f>
        <v>Оказание услуг по пультовой охране объекта кнопкой тревожной сигнализации и экстренному прибытию группы мобильного реагирования на объект в случае срабатывания средств тревожной сигнализации</v>
      </c>
      <c r="G8605" s="22" t="s">
        <v>209</v>
      </c>
      <c r="H8605" s="22" t="s">
        <v>3804</v>
      </c>
      <c r="I8605" s="26">
        <v>43587.636805555601</v>
      </c>
      <c r="J8605" s="23" t="str">
        <f>HYPERLINK("https://www.spark-marketing.ru/Card/Person/14953", "ФГКУ ""УВО ВНГ РОССИИ ПО НОВОСИБИРСКОЙ ОБЛАСТИ""")</f>
        <v>ФГКУ "УВО ВНГ РОССИИ ПО НОВОСИБИРСКОЙ ОБЛАСТИ"</v>
      </c>
      <c r="K8605" s="24" t="s">
        <v>10889</v>
      </c>
      <c r="L8605" s="28" t="s">
        <v>52</v>
      </c>
      <c r="M8605" s="25">
        <v>199256.73</v>
      </c>
      <c r="N8605" s="27">
        <v>0.39000000551047881</v>
      </c>
    </row>
    <row r="8606" spans="1:14" ht="12.75" hidden="1" outlineLevel="1" x14ac:dyDescent="0.2">
      <c r="A8606" s="23" t="str">
        <f>HYPERLINK("https://www.spark-marketing.ru/Card/Person/5878", "ГБУЗ НСО ""КУЙБЫШЕВСКАЯ ЦРБ""")</f>
        <v>ГБУЗ НСО "КУЙБЫШЕВСКАЯ ЦРБ"</v>
      </c>
      <c r="B8606" s="24" t="s">
        <v>3802</v>
      </c>
      <c r="C8606" s="25">
        <v>326650.38</v>
      </c>
      <c r="D8606" s="22" t="s">
        <v>10888</v>
      </c>
      <c r="E8606" s="22" t="s">
        <v>52</v>
      </c>
      <c r="F8606" s="23" t="str">
        <f>HYPERLINK("https://www.spark-marketing.ru/Card/Lot/70294847", "Оказание услуг по пультовой охране объекта кнопкой тревожной сигнализации и экстренному прибытию группы мобильного реагирования на объект в случае срабатывания средств тревожной сигнализации")</f>
        <v>Оказание услуг по пультовой охране объекта кнопкой тревожной сигнализации и экстренному прибытию группы мобильного реагирования на объект в случае срабатывания средств тревожной сигнализации</v>
      </c>
      <c r="G8606" s="22" t="s">
        <v>209</v>
      </c>
      <c r="H8606" s="22" t="s">
        <v>3804</v>
      </c>
      <c r="I8606" s="26">
        <v>43587.636805555601</v>
      </c>
      <c r="J8606" s="23" t="str">
        <f>HYPERLINK("https://www.spark-marketing.ru/Card/Person/383514", "ООО ЧОП ""ОХРАНА - ЦЕНТР""")</f>
        <v>ООО ЧОП "ОХРАНА - ЦЕНТР"</v>
      </c>
      <c r="K8606" s="24" t="s">
        <v>3805</v>
      </c>
      <c r="L8606" s="22" t="s">
        <v>10</v>
      </c>
      <c r="M8606" s="25">
        <v>197623.47</v>
      </c>
      <c r="N8606" s="27">
        <v>0.39500003030763348</v>
      </c>
    </row>
    <row r="8607" spans="1:14" x14ac:dyDescent="0.15">
      <c r="A8607" s="23" t="str">
        <f>HYPERLINK("https://www.spark-marketing.ru/Card/Person/1052601", "БДОУ Г. ОМСКА ""ЦЕНТР РАЗВИТИЯ РЕБЕНКА - ДЕТСКИЙ САД № 15""")</f>
        <v>БДОУ Г. ОМСКА "ЦЕНТР РАЗВИТИЯ РЕБЕНКА - ДЕТСКИЙ САД № 15"</v>
      </c>
      <c r="B8607" s="24" t="s">
        <v>10107</v>
      </c>
      <c r="C8607" s="28" t="s">
        <v>52</v>
      </c>
      <c r="D8607" s="22" t="s">
        <v>10890</v>
      </c>
      <c r="E8607" s="22" t="s">
        <v>9844</v>
      </c>
      <c r="F8607" s="23" t="str">
        <f>HYPERLINK("https://www.spark-marketing.ru/Card/Lot/70295900", "Услуги по установке видеонаблюдение.")</f>
        <v>Услуги по установке видеонаблюдение.</v>
      </c>
      <c r="G8607" s="22" t="s">
        <v>521</v>
      </c>
      <c r="H8607" s="22" t="s">
        <v>522</v>
      </c>
      <c r="I8607" s="26">
        <v>43587.662499999999</v>
      </c>
      <c r="J8607" s="28" t="s">
        <v>52</v>
      </c>
      <c r="K8607" s="28" t="s">
        <v>52</v>
      </c>
      <c r="L8607" s="28" t="s">
        <v>52</v>
      </c>
      <c r="M8607" s="28" t="s">
        <v>52</v>
      </c>
      <c r="N8607" s="28" t="s">
        <v>52</v>
      </c>
    </row>
    <row r="8608" spans="1:14" x14ac:dyDescent="0.15">
      <c r="A8608" s="23" t="str">
        <f>HYPERLINK("https://www.spark-marketing.ru/Card/Person/5878", "ГБУЗ НСО ""КУЙБЫШЕВСКАЯ ЦРБ""")</f>
        <v>ГБУЗ НСО "КУЙБЫШЕВСКАЯ ЦРБ"</v>
      </c>
      <c r="B8608" s="24" t="s">
        <v>3802</v>
      </c>
      <c r="C8608" s="25">
        <v>175000</v>
      </c>
      <c r="D8608" s="22" t="s">
        <v>10891</v>
      </c>
      <c r="E8608" s="22" t="s">
        <v>107</v>
      </c>
      <c r="F8608" s="23" t="str">
        <f>HYPERLINK("https://www.spark-marketing.ru/Card/Lot/70294883", "Оказание услуг по техническому обслуживанию технических средств охраны")</f>
        <v>Оказание услуг по техническому обслуживанию технических средств охраны</v>
      </c>
      <c r="G8608" s="22" t="s">
        <v>209</v>
      </c>
      <c r="H8608" s="22" t="s">
        <v>3804</v>
      </c>
      <c r="I8608" s="26">
        <v>43587.634722222203</v>
      </c>
      <c r="J8608" s="23" t="str">
        <f>HYPERLINK("https://www.spark-marketing.ru/Card/Person/422770", "ООО ""ПОИСК""")</f>
        <v>ООО "ПОИСК"</v>
      </c>
      <c r="K8608" s="24" t="s">
        <v>10892</v>
      </c>
      <c r="L8608" s="22" t="s">
        <v>10</v>
      </c>
      <c r="M8608" s="28" t="s">
        <v>52</v>
      </c>
      <c r="N8608" s="28" t="s">
        <v>52</v>
      </c>
    </row>
    <row r="8609" spans="1:14" x14ac:dyDescent="0.15">
      <c r="A8609" s="23" t="str">
        <f>HYPERLINK("https://www.spark-marketing.ru/Card/Person/6450322", "ЗАКАЗЧИК РП БЕЛАРУСЬ")</f>
        <v>ЗАКАЗЧИК РП БЕЛАРУСЬ</v>
      </c>
      <c r="B8609" s="28" t="s">
        <v>52</v>
      </c>
      <c r="C8609" s="25">
        <v>517051.2</v>
      </c>
      <c r="D8609" s="22" t="s">
        <v>10893</v>
      </c>
      <c r="E8609" s="22" t="s">
        <v>53</v>
      </c>
      <c r="F8609" s="23" t="str">
        <f>HYPERLINK("https://www.spark-marketing.ru/Card/Lot/70295709", "Строительство объекта ""под ключ"": ""Установка системы видеонаблюдения на территории ООО ""Цилиндрс-Бел""")</f>
        <v>Строительство объекта "под ключ": "Установка системы видеонаблюдения на территории ООО "Цилиндрс-Бел"</v>
      </c>
      <c r="G8609" s="22" t="s">
        <v>52</v>
      </c>
      <c r="H8609" s="22" t="s">
        <v>52</v>
      </c>
      <c r="I8609" s="26">
        <v>43587</v>
      </c>
      <c r="J8609" s="28" t="s">
        <v>52</v>
      </c>
      <c r="K8609" s="28" t="s">
        <v>52</v>
      </c>
      <c r="L8609" s="28" t="s">
        <v>52</v>
      </c>
      <c r="M8609" s="28" t="s">
        <v>52</v>
      </c>
      <c r="N8609" s="28" t="s">
        <v>52</v>
      </c>
    </row>
    <row r="8610" spans="1:14" x14ac:dyDescent="0.15">
      <c r="A8610" s="23" t="str">
        <f>HYPERLINK("https://www.spark-marketing.ru/Card/Person/125583", "АДМИНИСТРАЦИЯ ЗАПОЛЯРНОГО РАЙОНА")</f>
        <v>АДМИНИСТРАЦИЯ ЗАПОЛЯРНОГО РАЙОНА</v>
      </c>
      <c r="B8610" s="24" t="s">
        <v>10894</v>
      </c>
      <c r="C8610" s="25">
        <v>475900</v>
      </c>
      <c r="D8610" s="22" t="s">
        <v>10895</v>
      </c>
      <c r="E8610" s="22" t="s">
        <v>52</v>
      </c>
      <c r="F8610" s="23" t="str">
        <f>HYPERLINK("https://www.spark-marketing.ru/Card/Lot/70288991", "Установка системы видеонаблюдения в местах массового пребывания людей, расположенных на территории МО ""Андегский сельсовет"" НАО")</f>
        <v>Установка системы видеонаблюдения в местах массового пребывания людей, расположенных на территории МО "Андегский сельсовет" НАО</v>
      </c>
      <c r="G8610" s="22" t="s">
        <v>1014</v>
      </c>
      <c r="H8610" s="22" t="s">
        <v>10896</v>
      </c>
      <c r="I8610" s="26">
        <v>43585.970138888901</v>
      </c>
      <c r="J8610" s="28" t="s">
        <v>52</v>
      </c>
      <c r="K8610" s="28" t="s">
        <v>52</v>
      </c>
      <c r="L8610" s="28" t="s">
        <v>52</v>
      </c>
      <c r="M8610" s="28" t="s">
        <v>52</v>
      </c>
      <c r="N8610" s="28" t="s">
        <v>52</v>
      </c>
    </row>
    <row r="8611" spans="1:14" hidden="1" outlineLevel="1" x14ac:dyDescent="0.2">
      <c r="A8611" s="23" t="str">
        <f>HYPERLINK("https://www.spark-marketing.ru/Card/Person/125583", "АДМИНИСТРАЦИЯ ЗАПОЛЯРНОГО РАЙОНА")</f>
        <v>АДМИНИСТРАЦИЯ ЗАПОЛЯРНОГО РАЙОНА</v>
      </c>
      <c r="B8611" s="24" t="s">
        <v>10894</v>
      </c>
      <c r="C8611" s="25">
        <v>475900</v>
      </c>
      <c r="D8611" s="22" t="s">
        <v>10895</v>
      </c>
      <c r="E8611" s="22" t="s">
        <v>52</v>
      </c>
      <c r="F8611" s="23" t="str">
        <f>HYPERLINK("https://www.spark-marketing.ru/Card/Lot/70288991", "Установка системы видеонаблюдения в местах массового пребывания людей, расположенных на территории МО ""Андегский сельсовет"" НАО")</f>
        <v>Установка системы видеонаблюдения в местах массового пребывания людей, расположенных на территории МО "Андегский сельсовет" НАО</v>
      </c>
      <c r="G8611" s="22" t="s">
        <v>1014</v>
      </c>
      <c r="H8611" s="22" t="s">
        <v>10896</v>
      </c>
      <c r="I8611" s="26">
        <v>43585.970138888901</v>
      </c>
      <c r="J8611" s="23" t="str">
        <f>HYPERLINK("https://www.spark-marketing.ru/Card/Person/1664099", "ООО ""ОП ""БЕКЕТ""")</f>
        <v>ООО "ОП "БЕКЕТ"</v>
      </c>
      <c r="K8611" s="24" t="s">
        <v>4358</v>
      </c>
      <c r="L8611" s="28" t="s">
        <v>52</v>
      </c>
      <c r="M8611" s="25">
        <v>420763.18</v>
      </c>
      <c r="N8611" s="27">
        <v>0.11585799537718008</v>
      </c>
    </row>
    <row r="8612" spans="1:14" hidden="1" outlineLevel="1" x14ac:dyDescent="0.2">
      <c r="A8612" s="23" t="str">
        <f>HYPERLINK("https://www.spark-marketing.ru/Card/Person/125583", "АДМИНИСТРАЦИЯ ЗАПОЛЯРНОГО РАЙОНА")</f>
        <v>АДМИНИСТРАЦИЯ ЗАПОЛЯРНОГО РАЙОНА</v>
      </c>
      <c r="B8612" s="24" t="s">
        <v>10894</v>
      </c>
      <c r="C8612" s="25">
        <v>475900</v>
      </c>
      <c r="D8612" s="22" t="s">
        <v>10895</v>
      </c>
      <c r="E8612" s="22" t="s">
        <v>52</v>
      </c>
      <c r="F8612" s="23" t="str">
        <f>HYPERLINK("https://www.spark-marketing.ru/Card/Lot/70288991", "Установка системы видеонаблюдения в местах массового пребывания людей, расположенных на территории МО ""Андегский сельсовет"" НАО")</f>
        <v>Установка системы видеонаблюдения в местах массового пребывания людей, расположенных на территории МО "Андегский сельсовет" НАО</v>
      </c>
      <c r="G8612" s="22" t="s">
        <v>1014</v>
      </c>
      <c r="H8612" s="22" t="s">
        <v>10896</v>
      </c>
      <c r="I8612" s="26">
        <v>43585.970138888901</v>
      </c>
      <c r="J8612" s="23" t="str">
        <f>HYPERLINK("https://www.spark-marketing.ru/Card/Person/171473", "ООО ""БИСМАРК.ТВ""")</f>
        <v>ООО "БИСМАРК.ТВ"</v>
      </c>
      <c r="K8612" s="24" t="s">
        <v>10897</v>
      </c>
      <c r="L8612" s="28" t="s">
        <v>52</v>
      </c>
      <c r="M8612" s="25">
        <v>342239.68</v>
      </c>
      <c r="N8612" s="27">
        <v>0.28085799537718009</v>
      </c>
    </row>
    <row r="8613" spans="1:14" ht="12.75" hidden="1" outlineLevel="1" x14ac:dyDescent="0.2">
      <c r="A8613" s="23" t="str">
        <f>HYPERLINK("https://www.spark-marketing.ru/Card/Person/125583", "АДМИНИСТРАЦИЯ ЗАПОЛЯРНОГО РАЙОНА")</f>
        <v>АДМИНИСТРАЦИЯ ЗАПОЛЯРНОГО РАЙОНА</v>
      </c>
      <c r="B8613" s="24" t="s">
        <v>10894</v>
      </c>
      <c r="C8613" s="25">
        <v>475900</v>
      </c>
      <c r="D8613" s="22" t="s">
        <v>10895</v>
      </c>
      <c r="E8613" s="22" t="s">
        <v>52</v>
      </c>
      <c r="F8613" s="23" t="str">
        <f>HYPERLINK("https://www.spark-marketing.ru/Card/Lot/70288991", "Установка системы видеонаблюдения в местах массового пребывания людей, расположенных на территории МО ""Андегский сельсовет"" НАО")</f>
        <v>Установка системы видеонаблюдения в местах массового пребывания людей, расположенных на территории МО "Андегский сельсовет" НАО</v>
      </c>
      <c r="G8613" s="22" t="s">
        <v>1014</v>
      </c>
      <c r="H8613" s="22" t="s">
        <v>10896</v>
      </c>
      <c r="I8613" s="26">
        <v>43585.970138888901</v>
      </c>
      <c r="J8613" s="23" t="str">
        <f>HYPERLINK("https://www.spark-marketing.ru/Card/Person/6249377", "Абдукодиров Абдулатиф")</f>
        <v>Абдукодиров Абдулатиф</v>
      </c>
      <c r="K8613" s="24" t="s">
        <v>10898</v>
      </c>
      <c r="L8613" s="22" t="s">
        <v>10</v>
      </c>
      <c r="M8613" s="25">
        <v>339860.18</v>
      </c>
      <c r="N8613" s="27">
        <v>0.2858579953771801</v>
      </c>
    </row>
    <row r="8614" spans="1:14" hidden="1" outlineLevel="1" x14ac:dyDescent="0.2">
      <c r="A8614" s="23" t="str">
        <f>HYPERLINK("https://www.spark-marketing.ru/Card/Person/125583", "АДМИНИСТРАЦИЯ ЗАПОЛЯРНОГО РАЙОНА")</f>
        <v>АДМИНИСТРАЦИЯ ЗАПОЛЯРНОГО РАЙОНА</v>
      </c>
      <c r="B8614" s="24" t="s">
        <v>10894</v>
      </c>
      <c r="C8614" s="25">
        <v>475900</v>
      </c>
      <c r="D8614" s="22" t="s">
        <v>10895</v>
      </c>
      <c r="E8614" s="22" t="s">
        <v>52</v>
      </c>
      <c r="F8614" s="23" t="str">
        <f>HYPERLINK("https://www.spark-marketing.ru/Card/Lot/70288991", "Установка системы видеонаблюдения в местах массового пребывания людей, расположенных на территории МО ""Андегский сельсовет"" НАО")</f>
        <v>Установка системы видеонаблюдения в местах массового пребывания людей, расположенных на территории МО "Андегский сельсовет" НАО</v>
      </c>
      <c r="G8614" s="22" t="s">
        <v>1014</v>
      </c>
      <c r="H8614" s="22" t="s">
        <v>10896</v>
      </c>
      <c r="I8614" s="26">
        <v>43585.970138888901</v>
      </c>
      <c r="J8614" s="23" t="str">
        <f>HYPERLINK("https://www.spark-marketing.ru/Card/Person/930967", "ООО ""М-АЙТИ НАО""")</f>
        <v>ООО "М-АЙТИ НАО"</v>
      </c>
      <c r="K8614" s="24" t="s">
        <v>7861</v>
      </c>
      <c r="L8614" s="28" t="s">
        <v>52</v>
      </c>
      <c r="M8614" s="25">
        <v>350000</v>
      </c>
      <c r="N8614" s="27">
        <v>0.26455137633956716</v>
      </c>
    </row>
    <row r="8615" spans="1:14" x14ac:dyDescent="0.15">
      <c r="A8615" s="23" t="str">
        <f>HYPERLINK("https://www.spark-marketing.ru/Card/Person/32399", "АДМИНИСТРАЦИЯ ЗАТО СИБИРСКИЙ")</f>
        <v>АДМИНИСТРАЦИЯ ЗАТО СИБИРСКИЙ</v>
      </c>
      <c r="B8615" s="24" t="s">
        <v>10899</v>
      </c>
      <c r="C8615" s="25">
        <v>92677.68</v>
      </c>
      <c r="D8615" s="22" t="s">
        <v>10900</v>
      </c>
      <c r="E8615" s="22" t="s">
        <v>59</v>
      </c>
      <c r="F8615" s="23" t="str">
        <f>HYPERLINK("https://www.spark-marketing.ru/Card/Lot/70281948", "Выполнение работ по монтажу системы видеонаблюдения (включая настройку и техническое обслуживание)")</f>
        <v>Выполнение работ по монтажу системы видеонаблюдения (включая настройку и техническое обслуживание)</v>
      </c>
      <c r="G8615" s="22" t="s">
        <v>428</v>
      </c>
      <c r="H8615" s="22" t="s">
        <v>428</v>
      </c>
      <c r="I8615" s="26">
        <v>43585.869444444397</v>
      </c>
      <c r="J8615" s="28" t="s">
        <v>52</v>
      </c>
      <c r="K8615" s="28" t="s">
        <v>52</v>
      </c>
      <c r="L8615" s="28" t="s">
        <v>52</v>
      </c>
      <c r="M8615" s="28" t="s">
        <v>52</v>
      </c>
      <c r="N8615" s="28" t="s">
        <v>52</v>
      </c>
    </row>
    <row r="8616" spans="1:14" ht="12.75" hidden="1" outlineLevel="1" x14ac:dyDescent="0.2">
      <c r="A8616" s="23" t="str">
        <f>HYPERLINK("https://www.spark-marketing.ru/Card/Person/32399", "АДМИНИСТРАЦИЯ ЗАТО СИБИРСКИЙ")</f>
        <v>АДМИНИСТРАЦИЯ ЗАТО СИБИРСКИЙ</v>
      </c>
      <c r="B8616" s="24" t="s">
        <v>10899</v>
      </c>
      <c r="C8616" s="25">
        <v>92677.68</v>
      </c>
      <c r="D8616" s="22" t="s">
        <v>10900</v>
      </c>
      <c r="E8616" s="22" t="s">
        <v>59</v>
      </c>
      <c r="F8616" s="23" t="str">
        <f>HYPERLINK("https://www.spark-marketing.ru/Card/Lot/70281948", "Выполнение работ по монтажу системы видеонаблюдения (включая настройку и техническое обслуживание)")</f>
        <v>Выполнение работ по монтажу системы видеонаблюдения (включая настройку и техническое обслуживание)</v>
      </c>
      <c r="G8616" s="22" t="s">
        <v>428</v>
      </c>
      <c r="H8616" s="22" t="s">
        <v>428</v>
      </c>
      <c r="I8616" s="26">
        <v>43585.869444444397</v>
      </c>
      <c r="J8616" s="23" t="str">
        <f>HYPERLINK("https://www.spark-marketing.ru/Card/Person/992881", "Ратушин Егор Геннадьевич")</f>
        <v>Ратушин Егор Геннадьевич</v>
      </c>
      <c r="K8616" s="24" t="s">
        <v>10901</v>
      </c>
      <c r="L8616" s="22" t="s">
        <v>10</v>
      </c>
      <c r="M8616" s="25">
        <v>73183.88</v>
      </c>
      <c r="N8616" s="27">
        <v>0.21033974954919027</v>
      </c>
    </row>
    <row r="8617" spans="1:14" hidden="1" outlineLevel="1" x14ac:dyDescent="0.2">
      <c r="A8617" s="23" t="str">
        <f>HYPERLINK("https://www.spark-marketing.ru/Card/Person/32399", "АДМИНИСТРАЦИЯ ЗАТО СИБИРСКИЙ")</f>
        <v>АДМИНИСТРАЦИЯ ЗАТО СИБИРСКИЙ</v>
      </c>
      <c r="B8617" s="24" t="s">
        <v>10899</v>
      </c>
      <c r="C8617" s="25">
        <v>92677.68</v>
      </c>
      <c r="D8617" s="22" t="s">
        <v>10900</v>
      </c>
      <c r="E8617" s="22" t="s">
        <v>59</v>
      </c>
      <c r="F8617" s="23" t="str">
        <f>HYPERLINK("https://www.spark-marketing.ru/Card/Lot/70281948", "Выполнение работ по монтажу системы видеонаблюдения (включая настройку и техническое обслуживание)")</f>
        <v>Выполнение работ по монтажу системы видеонаблюдения (включая настройку и техническое обслуживание)</v>
      </c>
      <c r="G8617" s="22" t="s">
        <v>428</v>
      </c>
      <c r="H8617" s="22" t="s">
        <v>428</v>
      </c>
      <c r="I8617" s="26">
        <v>43585.869444444397</v>
      </c>
      <c r="J8617" s="23" t="str">
        <f>HYPERLINK("https://www.spark-marketing.ru/Card/Person/6499927", "ООО ""ПРОФСБ""")</f>
        <v>ООО "ПРОФСБ"</v>
      </c>
      <c r="K8617" s="24" t="s">
        <v>3199</v>
      </c>
      <c r="L8617" s="28" t="s">
        <v>52</v>
      </c>
      <c r="M8617" s="25">
        <v>73647.27</v>
      </c>
      <c r="N8617" s="27">
        <v>0.20533973228505503</v>
      </c>
    </row>
    <row r="8618" spans="1:14" hidden="1" outlineLevel="1" x14ac:dyDescent="0.2">
      <c r="A8618" s="23" t="str">
        <f>HYPERLINK("https://www.spark-marketing.ru/Card/Person/32399", "АДМИНИСТРАЦИЯ ЗАТО СИБИРСКИЙ")</f>
        <v>АДМИНИСТРАЦИЯ ЗАТО СИБИРСКИЙ</v>
      </c>
      <c r="B8618" s="24" t="s">
        <v>10899</v>
      </c>
      <c r="C8618" s="25">
        <v>92677.68</v>
      </c>
      <c r="D8618" s="22" t="s">
        <v>10900</v>
      </c>
      <c r="E8618" s="22" t="s">
        <v>59</v>
      </c>
      <c r="F8618" s="23" t="str">
        <f>HYPERLINK("https://www.spark-marketing.ru/Card/Lot/70281948", "Выполнение работ по монтажу системы видеонаблюдения (включая настройку и техническое обслуживание)")</f>
        <v>Выполнение работ по монтажу системы видеонаблюдения (включая настройку и техническое обслуживание)</v>
      </c>
      <c r="G8618" s="22" t="s">
        <v>428</v>
      </c>
      <c r="H8618" s="22" t="s">
        <v>428</v>
      </c>
      <c r="I8618" s="26">
        <v>43585.869444444397</v>
      </c>
      <c r="J8618" s="23" t="str">
        <f>HYPERLINK("https://www.spark-marketing.ru/Card/Person/106748", "ООО ""РЕЗУЛЬТАТ""")</f>
        <v>ООО "РЕЗУЛЬТАТ"</v>
      </c>
      <c r="K8618" s="24" t="s">
        <v>2655</v>
      </c>
      <c r="L8618" s="28" t="s">
        <v>52</v>
      </c>
      <c r="M8618" s="25">
        <v>78751</v>
      </c>
      <c r="N8618" s="27">
        <v>0.15027005423528081</v>
      </c>
    </row>
    <row r="8619" spans="1:14" x14ac:dyDescent="0.15">
      <c r="A8619" s="23" t="str">
        <f>HYPERLINK("https://www.spark-marketing.ru/Card/Person/6462848", "МАУ ""ГОРИЗОНТ""")</f>
        <v>МАУ "ГОРИЗОНТ"</v>
      </c>
      <c r="B8619" s="24" t="s">
        <v>9311</v>
      </c>
      <c r="C8619" s="25">
        <v>159707</v>
      </c>
      <c r="D8619" s="22" t="s">
        <v>10902</v>
      </c>
      <c r="E8619" s="22" t="s">
        <v>49</v>
      </c>
      <c r="F8619" s="23" t="str">
        <f>HYPERLINK("https://www.spark-marketing.ru/Card/Lot/70283751", "Поставка, монтаж и установка системы видеонаблюдения в палаточном лагере МАУ ""ГОРИЗОНТ""")</f>
        <v>Поставка, монтаж и установка системы видеонаблюдения в палаточном лагере МАУ "ГОРИЗОНТ"</v>
      </c>
      <c r="G8619" s="22" t="s">
        <v>50</v>
      </c>
      <c r="H8619" s="22" t="s">
        <v>50</v>
      </c>
      <c r="I8619" s="26">
        <v>43585.763854166697</v>
      </c>
      <c r="J8619" s="28" t="s">
        <v>52</v>
      </c>
      <c r="K8619" s="28" t="s">
        <v>52</v>
      </c>
      <c r="L8619" s="28" t="s">
        <v>52</v>
      </c>
      <c r="M8619" s="28" t="s">
        <v>52</v>
      </c>
      <c r="N8619" s="28" t="s">
        <v>52</v>
      </c>
    </row>
    <row r="8620" spans="1:14" x14ac:dyDescent="0.15">
      <c r="A8620" s="23" t="str">
        <f>HYPERLINK("https://www.spark-marketing.ru/Card/Person/526355", "ФГБОУ ВО ""РЭУ ИМ. Г.В. ПЛЕХАНОВА"", РЭУ ИМ. Г.В. ПЛЕХАНОВА")</f>
        <v>ФГБОУ ВО "РЭУ ИМ. Г.В. ПЛЕХАНОВА", РЭУ ИМ. Г.В. ПЛЕХАНОВА</v>
      </c>
      <c r="B8620" s="24" t="s">
        <v>10903</v>
      </c>
      <c r="C8620" s="25">
        <v>283865.31</v>
      </c>
      <c r="D8620" s="22" t="s">
        <v>10904</v>
      </c>
      <c r="E8620" s="22" t="s">
        <v>10905</v>
      </c>
      <c r="F8620" s="23" t="str">
        <f>HYPERLINK("https://www.spark-marketing.ru/Card/Lot/70283031", "Оказание услуг по техническому обслуживанию системы охранной и тревожной сигнализации и пультовой охране с пульта централизованной охраны (ПЦО) для нужд Краснодарского филиала РЭУ им. Г.В. Плеханова 2019 год")</f>
        <v>Оказание услуг по техническому обслуживанию системы охранной и тревожной сигнализации и пультовой охране с пульта централизованной охраны (ПЦО) для нужд Краснодарского филиала РЭУ им. Г.В. Плеханова 2019 год</v>
      </c>
      <c r="G8620" s="22" t="s">
        <v>132</v>
      </c>
      <c r="H8620" s="22" t="s">
        <v>132</v>
      </c>
      <c r="I8620" s="26">
        <v>43585.778993055603</v>
      </c>
      <c r="J8620" s="28" t="s">
        <v>52</v>
      </c>
      <c r="K8620" s="28" t="s">
        <v>52</v>
      </c>
      <c r="L8620" s="28" t="s">
        <v>52</v>
      </c>
      <c r="M8620" s="28" t="s">
        <v>52</v>
      </c>
      <c r="N8620" s="28" t="s">
        <v>52</v>
      </c>
    </row>
    <row r="8621" spans="1:14" x14ac:dyDescent="0.15">
      <c r="A8621" s="23" t="str">
        <f>HYPERLINK("https://www.spark-marketing.ru/Card/Person/89362", "МБОУ ""СОШ №54"" Г. ЧЕБОКСАРЫ")</f>
        <v>МБОУ "СОШ №54" Г. ЧЕБОКСАРЫ</v>
      </c>
      <c r="B8621" s="24" t="s">
        <v>10906</v>
      </c>
      <c r="C8621" s="25">
        <v>6950.95</v>
      </c>
      <c r="D8621" s="22" t="s">
        <v>10907</v>
      </c>
      <c r="E8621" s="22" t="s">
        <v>1013</v>
      </c>
      <c r="F8621" s="23" t="str">
        <f>HYPERLINK("https://www.spark-marketing.ru/Card/Lot/70275772", "Услуги по предупреждению и пресечению правонарушений и преступлений с помощью кнопки тревожной сигнализации")</f>
        <v>Услуги по предупреждению и пресечению правонарушений и преступлений с помощью кнопки тревожной сигнализации</v>
      </c>
      <c r="G8621" s="22" t="s">
        <v>1137</v>
      </c>
      <c r="H8621" s="22" t="s">
        <v>1138</v>
      </c>
      <c r="I8621" s="26">
        <v>43585.724999999999</v>
      </c>
      <c r="J8621" s="28" t="s">
        <v>52</v>
      </c>
      <c r="K8621" s="28" t="s">
        <v>52</v>
      </c>
      <c r="L8621" s="28" t="s">
        <v>52</v>
      </c>
      <c r="M8621" s="28" t="s">
        <v>52</v>
      </c>
      <c r="N8621" s="28" t="s">
        <v>52</v>
      </c>
    </row>
    <row r="8622" spans="1:14" x14ac:dyDescent="0.15">
      <c r="A8622" s="23" t="str">
        <f>HYPERLINK("https://www.spark-marketing.ru/Card/Person/34419", "ГБУ ""ЖИЛИЩНИК РАЙОНА ДОРОГОМИЛОВО""")</f>
        <v>ГБУ "ЖИЛИЩНИК РАЙОНА ДОРОГОМИЛОВО"</v>
      </c>
      <c r="B8622" s="24" t="s">
        <v>10908</v>
      </c>
      <c r="C8622" s="25">
        <v>940517</v>
      </c>
      <c r="D8622" s="22" t="s">
        <v>10909</v>
      </c>
      <c r="E8622" s="22" t="s">
        <v>84</v>
      </c>
      <c r="F8622" s="23" t="str">
        <f>HYPERLINK("https://www.spark-marketing.ru/Card/Lot/70285169", "Выполнение работ по установке системы контроля доступа")</f>
        <v>Выполнение работ по установке системы контроля доступа</v>
      </c>
      <c r="G8622" s="22" t="s">
        <v>55</v>
      </c>
      <c r="H8622" s="22" t="s">
        <v>55</v>
      </c>
      <c r="I8622" s="26">
        <v>43585.719444444403</v>
      </c>
      <c r="J8622" s="23" t="str">
        <f>HYPERLINK("https://www.spark-marketing.ru/Card/Person/123100", "ООО ""ЮПИТЕР""")</f>
        <v>ООО "ЮПИТЕР"</v>
      </c>
      <c r="K8622" s="24" t="s">
        <v>10910</v>
      </c>
      <c r="L8622" s="28" t="s">
        <v>52</v>
      </c>
      <c r="M8622" s="28" t="s">
        <v>52</v>
      </c>
      <c r="N8622" s="28" t="s">
        <v>52</v>
      </c>
    </row>
    <row r="8623" spans="1:14" ht="12.75" hidden="1" outlineLevel="1" x14ac:dyDescent="0.2">
      <c r="A8623" s="23" t="str">
        <f>HYPERLINK("https://www.spark-marketing.ru/Card/Person/34419", "ГБУ ""ЖИЛИЩНИК РАЙОНА ДОРОГОМИЛОВО""")</f>
        <v>ГБУ "ЖИЛИЩНИК РАЙОНА ДОРОГОМИЛОВО"</v>
      </c>
      <c r="B8623" s="24" t="s">
        <v>10908</v>
      </c>
      <c r="C8623" s="25">
        <v>940517</v>
      </c>
      <c r="D8623" s="22" t="s">
        <v>10909</v>
      </c>
      <c r="E8623" s="22" t="s">
        <v>84</v>
      </c>
      <c r="F8623" s="23" t="str">
        <f>HYPERLINK("https://www.spark-marketing.ru/Card/Lot/70285169", "Выполнение работ по установке системы контроля доступа")</f>
        <v>Выполнение работ по установке системы контроля доступа</v>
      </c>
      <c r="G8623" s="22" t="s">
        <v>55</v>
      </c>
      <c r="H8623" s="22" t="s">
        <v>55</v>
      </c>
      <c r="I8623" s="26">
        <v>43585.719444444403</v>
      </c>
      <c r="J8623" s="23" t="str">
        <f>HYPERLINK("https://www.spark-marketing.ru/Card/Person/123100", "ООО ""ЮПИТЕР""")</f>
        <v>ООО "ЮПИТЕР"</v>
      </c>
      <c r="K8623" s="24" t="s">
        <v>10910</v>
      </c>
      <c r="L8623" s="22" t="s">
        <v>10</v>
      </c>
      <c r="M8623" s="25">
        <v>935814.41</v>
      </c>
      <c r="N8623" s="27">
        <v>5.0000053162250124E-3</v>
      </c>
    </row>
    <row r="8624" spans="1:14" x14ac:dyDescent="0.15">
      <c r="A8624" s="23" t="str">
        <f>HYPERLINK("https://www.spark-marketing.ru/Card/Person/1220", "ГБУ ""ЖИЛИЩНИК РАЙОНА РАМЕНКИ""")</f>
        <v>ГБУ "ЖИЛИЩНИК РАЙОНА РАМЕНКИ"</v>
      </c>
      <c r="B8624" s="24" t="s">
        <v>10911</v>
      </c>
      <c r="C8624" s="25">
        <v>940517</v>
      </c>
      <c r="D8624" s="22" t="s">
        <v>10912</v>
      </c>
      <c r="E8624" s="22" t="s">
        <v>84</v>
      </c>
      <c r="F8624" s="23" t="str">
        <f>HYPERLINK("https://www.spark-marketing.ru/Card/Lot/70285170", "Выполнение работ по установке системы контроля доступа")</f>
        <v>Выполнение работ по установке системы контроля доступа</v>
      </c>
      <c r="G8624" s="22" t="s">
        <v>55</v>
      </c>
      <c r="H8624" s="22" t="s">
        <v>55</v>
      </c>
      <c r="I8624" s="26">
        <v>43585.713888888902</v>
      </c>
      <c r="J8624" s="23" t="str">
        <f>HYPERLINK("https://www.spark-marketing.ru/Card/Person/123100", "ООО ""ЮПИТЕР""")</f>
        <v>ООО "ЮПИТЕР"</v>
      </c>
      <c r="K8624" s="24" t="s">
        <v>10910</v>
      </c>
      <c r="L8624" s="28" t="s">
        <v>52</v>
      </c>
      <c r="M8624" s="28" t="s">
        <v>52</v>
      </c>
      <c r="N8624" s="28" t="s">
        <v>52</v>
      </c>
    </row>
    <row r="8625" spans="1:14" ht="12.75" hidden="1" outlineLevel="1" x14ac:dyDescent="0.2">
      <c r="A8625" s="23" t="str">
        <f>HYPERLINK("https://www.spark-marketing.ru/Card/Person/1220", "ГБУ ""ЖИЛИЩНИК РАЙОНА РАМЕНКИ""")</f>
        <v>ГБУ "ЖИЛИЩНИК РАЙОНА РАМЕНКИ"</v>
      </c>
      <c r="B8625" s="24" t="s">
        <v>10911</v>
      </c>
      <c r="C8625" s="25">
        <v>940517</v>
      </c>
      <c r="D8625" s="22" t="s">
        <v>10912</v>
      </c>
      <c r="E8625" s="22" t="s">
        <v>84</v>
      </c>
      <c r="F8625" s="23" t="str">
        <f>HYPERLINK("https://www.spark-marketing.ru/Card/Lot/70285170", "Выполнение работ по установке системы контроля доступа")</f>
        <v>Выполнение работ по установке системы контроля доступа</v>
      </c>
      <c r="G8625" s="22" t="s">
        <v>55</v>
      </c>
      <c r="H8625" s="22" t="s">
        <v>55</v>
      </c>
      <c r="I8625" s="26">
        <v>43585.713888888902</v>
      </c>
      <c r="J8625" s="23" t="str">
        <f>HYPERLINK("https://www.spark-marketing.ru/Card/Person/123100", "ООО ""ЮПИТЕР""")</f>
        <v>ООО "ЮПИТЕР"</v>
      </c>
      <c r="K8625" s="24" t="s">
        <v>10910</v>
      </c>
      <c r="L8625" s="22" t="s">
        <v>10</v>
      </c>
      <c r="M8625" s="25">
        <v>935814.41</v>
      </c>
      <c r="N8625" s="27">
        <v>5.0000053162250124E-3</v>
      </c>
    </row>
    <row r="8626" spans="1:14" x14ac:dyDescent="0.15">
      <c r="A8626" s="23" t="str">
        <f>HYPERLINK("https://www.spark-marketing.ru/Card/Person/29613", "ГБУ ""ЖИЛИЩНИК РАЙОНА ОЧАКОВО-МАТВЕЕВСКОЕ""")</f>
        <v>ГБУ "ЖИЛИЩНИК РАЙОНА ОЧАКОВО-МАТВЕЕВСКОЕ"</v>
      </c>
      <c r="B8626" s="24" t="s">
        <v>10913</v>
      </c>
      <c r="C8626" s="25">
        <v>1955793</v>
      </c>
      <c r="D8626" s="22" t="s">
        <v>10914</v>
      </c>
      <c r="E8626" s="22" t="s">
        <v>84</v>
      </c>
      <c r="F8626" s="23" t="str">
        <f>HYPERLINK("https://www.spark-marketing.ru/Card/Lot/70285289", "Выполнение работ по установке системы контроля доступа")</f>
        <v>Выполнение работ по установке системы контроля доступа</v>
      </c>
      <c r="G8626" s="22" t="s">
        <v>55</v>
      </c>
      <c r="H8626" s="22" t="s">
        <v>55</v>
      </c>
      <c r="I8626" s="26">
        <v>43585.721527777801</v>
      </c>
      <c r="J8626" s="28" t="s">
        <v>52</v>
      </c>
      <c r="K8626" s="28" t="s">
        <v>52</v>
      </c>
      <c r="L8626" s="28" t="s">
        <v>52</v>
      </c>
      <c r="M8626" s="28" t="s">
        <v>52</v>
      </c>
      <c r="N8626" s="28" t="s">
        <v>52</v>
      </c>
    </row>
    <row r="8627" spans="1:14" ht="12.75" hidden="1" outlineLevel="1" x14ac:dyDescent="0.2">
      <c r="A8627" s="23" t="str">
        <f>HYPERLINK("https://www.spark-marketing.ru/Card/Person/29613", "ГБУ ""ЖИЛИЩНИК РАЙОНА ОЧАКОВО-МАТВЕЕВСКОЕ""")</f>
        <v>ГБУ "ЖИЛИЩНИК РАЙОНА ОЧАКОВО-МАТВЕЕВСКОЕ"</v>
      </c>
      <c r="B8627" s="24" t="s">
        <v>10913</v>
      </c>
      <c r="C8627" s="25">
        <v>1955793</v>
      </c>
      <c r="D8627" s="22" t="s">
        <v>10914</v>
      </c>
      <c r="E8627" s="22" t="s">
        <v>84</v>
      </c>
      <c r="F8627" s="23" t="str">
        <f>HYPERLINK("https://www.spark-marketing.ru/Card/Lot/70285289", "Выполнение работ по установке системы контроля доступа")</f>
        <v>Выполнение работ по установке системы контроля доступа</v>
      </c>
      <c r="G8627" s="22" t="s">
        <v>55</v>
      </c>
      <c r="H8627" s="22" t="s">
        <v>55</v>
      </c>
      <c r="I8627" s="26">
        <v>43585.721527777801</v>
      </c>
      <c r="J8627" s="23" t="str">
        <f>HYPERLINK("https://www.spark-marketing.ru/Card/Person/123100", "ООО ""ЮПИТЕР""")</f>
        <v>ООО "ЮПИТЕР"</v>
      </c>
      <c r="K8627" s="24" t="s">
        <v>10910</v>
      </c>
      <c r="L8627" s="22" t="s">
        <v>10</v>
      </c>
      <c r="M8627" s="25">
        <v>1926456.09</v>
      </c>
      <c r="N8627" s="27">
        <v>1.5000007669523309E-2</v>
      </c>
    </row>
    <row r="8628" spans="1:14" hidden="1" outlineLevel="1" x14ac:dyDescent="0.2">
      <c r="A8628" s="23" t="str">
        <f>HYPERLINK("https://www.spark-marketing.ru/Card/Person/29613", "ГБУ ""ЖИЛИЩНИК РАЙОНА ОЧАКОВО-МАТВЕЕВСКОЕ""")</f>
        <v>ГБУ "ЖИЛИЩНИК РАЙОНА ОЧАКОВО-МАТВЕЕВСКОЕ"</v>
      </c>
      <c r="B8628" s="24" t="s">
        <v>10913</v>
      </c>
      <c r="C8628" s="25">
        <v>1955793</v>
      </c>
      <c r="D8628" s="22" t="s">
        <v>10914</v>
      </c>
      <c r="E8628" s="22" t="s">
        <v>84</v>
      </c>
      <c r="F8628" s="23" t="str">
        <f>HYPERLINK("https://www.spark-marketing.ru/Card/Lot/70285289", "Выполнение работ по установке системы контроля доступа")</f>
        <v>Выполнение работ по установке системы контроля доступа</v>
      </c>
      <c r="G8628" s="22" t="s">
        <v>55</v>
      </c>
      <c r="H8628" s="22" t="s">
        <v>55</v>
      </c>
      <c r="I8628" s="26">
        <v>43585.721527777801</v>
      </c>
      <c r="J8628" s="23" t="str">
        <f>HYPERLINK("https://www.spark-marketing.ru/Card/Person/4709270", "ООО ""ЭЛПРОМСНАБ""")</f>
        <v>ООО "ЭЛПРОМСНАБ"</v>
      </c>
      <c r="K8628" s="24" t="s">
        <v>10915</v>
      </c>
      <c r="L8628" s="28" t="s">
        <v>52</v>
      </c>
      <c r="M8628" s="25">
        <v>1936235.06</v>
      </c>
      <c r="N8628" s="27">
        <v>1.0000005113015539E-2</v>
      </c>
    </row>
    <row r="8629" spans="1:14" x14ac:dyDescent="0.15">
      <c r="A8629" s="23" t="str">
        <f>HYPERLINK("https://www.spark-marketing.ru/Card/Person/372382", "ГКУ ""ЛОЦПП""")</f>
        <v>ГКУ "ЛОЦПП"</v>
      </c>
      <c r="B8629" s="24" t="s">
        <v>9474</v>
      </c>
      <c r="C8629" s="25">
        <v>700000</v>
      </c>
      <c r="D8629" s="22" t="s">
        <v>10916</v>
      </c>
      <c r="E8629" s="22" t="s">
        <v>3699</v>
      </c>
      <c r="F8629" s="23" t="str">
        <f>HYPERLINK("https://www.spark-marketing.ru/Card/Lot/70285582", "Разработка и сопровождение АИС ""Категорирование торговых объектов""")</f>
        <v>Разработка и сопровождение АИС "Категорирование торговых объектов"</v>
      </c>
      <c r="G8629" s="22" t="s">
        <v>861</v>
      </c>
      <c r="H8629" s="22" t="s">
        <v>934</v>
      </c>
      <c r="I8629" s="26">
        <v>43585.7</v>
      </c>
      <c r="J8629" s="23" t="str">
        <f>HYPERLINK("https://www.spark-marketing.ru/Card/Person/683641", "ООО ""СОФТПРЕЗИДЕНТ""")</f>
        <v>ООО "СОФТПРЕЗИДЕНТ"</v>
      </c>
      <c r="K8629" s="24" t="s">
        <v>9476</v>
      </c>
      <c r="L8629" s="28" t="s">
        <v>52</v>
      </c>
      <c r="M8629" s="28" t="s">
        <v>52</v>
      </c>
      <c r="N8629" s="28" t="s">
        <v>52</v>
      </c>
    </row>
    <row r="8630" spans="1:14" x14ac:dyDescent="0.15">
      <c r="A8630" s="23" t="str">
        <f>HYPERLINK("https://www.spark-marketing.ru/Card/Person/3752", "ПНИПУ, ФГБОУ ВО ""ПЕРМСКИЙ НАЦИОНАЛЬНЫЙ ИССЛЕДОВАТЕЛЬСКИЙ ПОЛИТЕХНИЧЕСКИЙ УНИВЕРСИТЕТ"", ФГБОУ ВО ""ПНИПУ""")</f>
        <v>ПНИПУ, ФГБОУ ВО "ПЕРМСКИЙ НАЦИОНАЛЬНЫЙ ИССЛЕДОВАТЕЛЬСКИЙ ПОЛИТЕХНИЧЕСКИЙ УНИВЕРСИТЕТ", ФГБОУ ВО "ПНИПУ"</v>
      </c>
      <c r="B8630" s="24" t="s">
        <v>3768</v>
      </c>
      <c r="C8630" s="25">
        <v>164666.73000000001</v>
      </c>
      <c r="D8630" s="22" t="s">
        <v>10917</v>
      </c>
      <c r="E8630" s="22" t="s">
        <v>137</v>
      </c>
      <c r="F8630" s="23" t="str">
        <f>HYPERLINK("https://www.spark-marketing.ru/Card/Lot/70269558", "Оказание услуг по техническому обслуживанию системы видеонаблюдения в БФ ПНИПУ. 9066")</f>
        <v>Оказание услуг по техническому обслуживанию системы видеонаблюдения в БФ ПНИПУ. 9066</v>
      </c>
      <c r="G8630" s="22" t="s">
        <v>391</v>
      </c>
      <c r="H8630" s="22" t="s">
        <v>391</v>
      </c>
      <c r="I8630" s="26">
        <v>43585.677337963003</v>
      </c>
      <c r="J8630" s="28" t="s">
        <v>52</v>
      </c>
      <c r="K8630" s="28" t="s">
        <v>52</v>
      </c>
      <c r="L8630" s="28" t="s">
        <v>52</v>
      </c>
      <c r="M8630" s="28" t="s">
        <v>52</v>
      </c>
      <c r="N8630" s="28" t="s">
        <v>52</v>
      </c>
    </row>
    <row r="8631" spans="1:14" x14ac:dyDescent="0.15">
      <c r="A8631" s="23" t="str">
        <f>HYPERLINK("https://www.spark-marketing.ru/Card/Person/1045183", "ГАПОУ БТЭИР ИМЕНИ ГЕРОЯ СОВЕТСКОГО СОЮЗА М.А.АФАНАСЬЕВА")</f>
        <v>ГАПОУ БТЭИР ИМЕНИ ГЕРОЯ СОВЕТСКОГО СОЮЗА М.А.АФАНАСЬЕВА</v>
      </c>
      <c r="B8631" s="24" t="s">
        <v>10918</v>
      </c>
      <c r="C8631" s="25">
        <v>148249</v>
      </c>
      <c r="D8631" s="22" t="s">
        <v>10919</v>
      </c>
      <c r="E8631" s="22" t="s">
        <v>49</v>
      </c>
      <c r="F8631" s="23" t="str">
        <f>HYPERLINK("https://www.spark-marketing.ru/Card/Lot/70289375", "Установка дополнительного оборудования для системы видеонаблюдения")</f>
        <v>Установка дополнительного оборудования для системы видеонаблюдения</v>
      </c>
      <c r="G8631" s="22" t="s">
        <v>215</v>
      </c>
      <c r="H8631" s="22" t="s">
        <v>215</v>
      </c>
      <c r="I8631" s="26">
        <v>43585.679444444402</v>
      </c>
      <c r="J8631" s="28" t="s">
        <v>52</v>
      </c>
      <c r="K8631" s="28" t="s">
        <v>52</v>
      </c>
      <c r="L8631" s="28" t="s">
        <v>52</v>
      </c>
      <c r="M8631" s="28" t="s">
        <v>52</v>
      </c>
      <c r="N8631" s="28" t="s">
        <v>52</v>
      </c>
    </row>
    <row r="8632" spans="1:14" x14ac:dyDescent="0.15">
      <c r="A8632" s="23" t="str">
        <f>HYPERLINK("https://www.spark-marketing.ru/Card/Person/58939", "МКУ ""УЖКХ Г. СТЕРЛИТАМАК""")</f>
        <v>МКУ "УЖКХ Г. СТЕРЛИТАМАК"</v>
      </c>
      <c r="B8632" s="24" t="s">
        <v>6568</v>
      </c>
      <c r="C8632" s="25">
        <v>200000</v>
      </c>
      <c r="D8632" s="22" t="s">
        <v>10920</v>
      </c>
      <c r="E8632" s="22" t="s">
        <v>234</v>
      </c>
      <c r="F8632" s="23" t="str">
        <f>HYPERLINK("https://www.spark-marketing.ru/Card/Lot/70282367", "Оказание услуг по обслуживанию системы видеонаблюдения с организацией и обслуживанием каналов связи в г. Стерлитамак")</f>
        <v>Оказание услуг по обслуживанию системы видеонаблюдения с организацией и обслуживанием каналов связи в г. Стерлитамак</v>
      </c>
      <c r="G8632" s="22" t="s">
        <v>100</v>
      </c>
      <c r="H8632" s="22" t="s">
        <v>2799</v>
      </c>
      <c r="I8632" s="26">
        <v>43585.65</v>
      </c>
      <c r="J8632" s="28" t="s">
        <v>52</v>
      </c>
      <c r="K8632" s="28" t="s">
        <v>52</v>
      </c>
      <c r="L8632" s="28" t="s">
        <v>52</v>
      </c>
      <c r="M8632" s="28" t="s">
        <v>52</v>
      </c>
      <c r="N8632" s="28" t="s">
        <v>52</v>
      </c>
    </row>
    <row r="8633" spans="1:14" ht="12.75" hidden="1" outlineLevel="1" x14ac:dyDescent="0.2">
      <c r="A8633" s="23" t="str">
        <f>HYPERLINK("https://www.spark-marketing.ru/Card/Person/58939", "МКУ ""УЖКХ Г. СТЕРЛИТАМАК""")</f>
        <v>МКУ "УЖКХ Г. СТЕРЛИТАМАК"</v>
      </c>
      <c r="B8633" s="24" t="s">
        <v>6568</v>
      </c>
      <c r="C8633" s="25">
        <v>200000</v>
      </c>
      <c r="D8633" s="22" t="s">
        <v>10920</v>
      </c>
      <c r="E8633" s="22" t="s">
        <v>234</v>
      </c>
      <c r="F8633" s="23" t="str">
        <f>HYPERLINK("https://www.spark-marketing.ru/Card/Lot/70282367", "Оказание услуг по обслуживанию системы видеонаблюдения с организацией и обслуживанием каналов связи в г. Стерлитамак")</f>
        <v>Оказание услуг по обслуживанию системы видеонаблюдения с организацией и обслуживанием каналов связи в г. Стерлитамак</v>
      </c>
      <c r="G8633" s="22" t="s">
        <v>100</v>
      </c>
      <c r="H8633" s="22" t="s">
        <v>2799</v>
      </c>
      <c r="I8633" s="26">
        <v>43585.65</v>
      </c>
      <c r="J8633" s="23" t="str">
        <f>HYPERLINK("https://www.spark-marketing.ru/Card/Person/4354389", "ПАО ""БАШИНФОРМСВЯЗЬ""")</f>
        <v>ПАО "БАШИНФОРМСВЯЗЬ"</v>
      </c>
      <c r="K8633" s="24" t="s">
        <v>6572</v>
      </c>
      <c r="L8633" s="22" t="s">
        <v>10</v>
      </c>
      <c r="M8633" s="25">
        <v>130000</v>
      </c>
      <c r="N8633" s="27">
        <v>0.35</v>
      </c>
    </row>
    <row r="8634" spans="1:14" hidden="1" outlineLevel="1" x14ac:dyDescent="0.2">
      <c r="A8634" s="23" t="str">
        <f>HYPERLINK("https://www.spark-marketing.ru/Card/Person/58939", "МКУ ""УЖКХ Г. СТЕРЛИТАМАК""")</f>
        <v>МКУ "УЖКХ Г. СТЕРЛИТАМАК"</v>
      </c>
      <c r="B8634" s="24" t="s">
        <v>6568</v>
      </c>
      <c r="C8634" s="25">
        <v>200000</v>
      </c>
      <c r="D8634" s="22" t="s">
        <v>10920</v>
      </c>
      <c r="E8634" s="22" t="s">
        <v>234</v>
      </c>
      <c r="F8634" s="23" t="str">
        <f>HYPERLINK("https://www.spark-marketing.ru/Card/Lot/70282367", "Оказание услуг по обслуживанию системы видеонаблюдения с организацией и обслуживанием каналов связи в г. Стерлитамак")</f>
        <v>Оказание услуг по обслуживанию системы видеонаблюдения с организацией и обслуживанием каналов связи в г. Стерлитамак</v>
      </c>
      <c r="G8634" s="22" t="s">
        <v>100</v>
      </c>
      <c r="H8634" s="22" t="s">
        <v>2799</v>
      </c>
      <c r="I8634" s="26">
        <v>43585.65</v>
      </c>
      <c r="J8634" s="23" t="str">
        <f>HYPERLINK("https://www.spark-marketing.ru/Card/Person/6215246", "ООО ""АЛЬФА-РЕНЕССАНС""")</f>
        <v>ООО "АЛЬФА-РЕНЕССАНС"</v>
      </c>
      <c r="K8634" s="24" t="s">
        <v>10921</v>
      </c>
      <c r="L8634" s="28" t="s">
        <v>52</v>
      </c>
      <c r="M8634" s="25">
        <v>150000</v>
      </c>
      <c r="N8634" s="27">
        <v>0.25</v>
      </c>
    </row>
    <row r="8635" spans="1:14" x14ac:dyDescent="0.15">
      <c r="A8635" s="23" t="str">
        <f>HYPERLINK("https://www.spark-marketing.ru/Card/Person/971733", "КГАУК ""ЦКС""")</f>
        <v>КГАУК "ЦКС"</v>
      </c>
      <c r="B8635" s="24" t="s">
        <v>8820</v>
      </c>
      <c r="C8635" s="25">
        <v>613260</v>
      </c>
      <c r="D8635" s="22" t="s">
        <v>10922</v>
      </c>
      <c r="E8635" s="22" t="s">
        <v>10923</v>
      </c>
      <c r="F8635" s="23" t="str">
        <f>HYPERLINK("https://www.spark-marketing.ru/Card/Lot/70261136", "Услуги по организации и проведению Торжественного собрания и праздничного концерта в рамках Цикла праздничных мероприятий, посвященных Дню Победы с участием Красноярского государственного академического ансамбля танца Сибири им. М.С. Годенко, Красноя...")</f>
        <v>Услуги по организации и проведению Торжественного собрания и праздничного концерта в рамках Цикла праздничных мероприятий, посвященных Дню Победы с участием Красноярского государственного академического ансамбля танца Сибири им. М.С. Годенко, Красноя...</v>
      </c>
      <c r="G8635" s="22" t="s">
        <v>640</v>
      </c>
      <c r="H8635" s="22" t="s">
        <v>640</v>
      </c>
      <c r="I8635" s="26">
        <v>43585.651944444398</v>
      </c>
      <c r="J8635" s="28" t="s">
        <v>52</v>
      </c>
      <c r="K8635" s="28" t="s">
        <v>52</v>
      </c>
      <c r="L8635" s="28" t="s">
        <v>52</v>
      </c>
      <c r="M8635" s="28" t="s">
        <v>52</v>
      </c>
      <c r="N8635" s="28" t="s">
        <v>52</v>
      </c>
    </row>
    <row r="8636" spans="1:14" x14ac:dyDescent="0.15">
      <c r="A8636" s="23" t="str">
        <f>HYPERLINK("https://www.spark-marketing.ru/Card/Person/4348450", "ПАО ""МРСК ЮГА""")</f>
        <v>ПАО "МРСК ЮГА"</v>
      </c>
      <c r="B8636" s="24" t="s">
        <v>10924</v>
      </c>
      <c r="C8636" s="25">
        <v>7408078.7999999998</v>
      </c>
      <c r="D8636" s="22" t="s">
        <v>10925</v>
      </c>
      <c r="E8636" s="22" t="s">
        <v>1242</v>
      </c>
      <c r="F8636" s="23" t="str">
        <f>HYPERLINK("https://www.spark-marketing.ru/Card/Lot/70289405", "Услуги по физической охране объектов филиала ПАО «МРСК Юга» - «Волгоградэнерго» и проведения мероприятий с правоохранительными органами путем объезда, осмотра и патрулирования силами групп быстрого реагирования.")</f>
        <v>Услуги по физической охране объектов филиала ПАО «МРСК Юга» - «Волгоградэнерго» и проведения мероприятий с правоохранительными органами путем объезда, осмотра и патрулирования силами групп быстрого реагирования.</v>
      </c>
      <c r="G8636" s="22" t="s">
        <v>402</v>
      </c>
      <c r="H8636" s="22" t="s">
        <v>403</v>
      </c>
      <c r="I8636" s="26">
        <v>43585.626157407401</v>
      </c>
      <c r="J8636" s="28" t="s">
        <v>52</v>
      </c>
      <c r="K8636" s="28" t="s">
        <v>52</v>
      </c>
      <c r="L8636" s="28" t="s">
        <v>52</v>
      </c>
      <c r="M8636" s="28" t="s">
        <v>52</v>
      </c>
      <c r="N8636" s="28" t="s">
        <v>52</v>
      </c>
    </row>
    <row r="8637" spans="1:14" hidden="1" outlineLevel="1" x14ac:dyDescent="0.2">
      <c r="A8637" s="23" t="str">
        <f>HYPERLINK("https://www.spark-marketing.ru/Card/Person/4348450", "ПАО ""МРСК ЮГА""")</f>
        <v>ПАО "МРСК ЮГА"</v>
      </c>
      <c r="B8637" s="24" t="s">
        <v>10924</v>
      </c>
      <c r="C8637" s="28" t="s">
        <v>52</v>
      </c>
      <c r="D8637" s="22" t="s">
        <v>10925</v>
      </c>
      <c r="E8637" s="22" t="s">
        <v>1242</v>
      </c>
      <c r="F8637" s="23" t="str">
        <f>HYPERLINK("https://www.spark-marketing.ru/Card/Lot/70289405", "Услуги по физической охране объектов филиала ПАО «МРСК Юга» - «Волгоградэнерго» и проведения мероприятий с правоохранительными органами путем объезда, осмотра и патрулирования силами групп быстрого реагирования.")</f>
        <v>Услуги по физической охране объектов филиала ПАО «МРСК Юга» - «Волгоградэнерго» и проведения мероприятий с правоохранительными органами путем объезда, осмотра и патрулирования силами групп быстрого реагирования.</v>
      </c>
      <c r="G8637" s="22" t="s">
        <v>402</v>
      </c>
      <c r="H8637" s="22" t="s">
        <v>403</v>
      </c>
      <c r="I8637" s="26">
        <v>43585.626157407401</v>
      </c>
      <c r="J8637" s="23" t="str">
        <f>HYPERLINK("https://www.spark-marketing.ru/Card/Person/4356568", "ООО ""ЧОП ""ТРОЯ""")</f>
        <v>ООО "ЧОП "ТРОЯ"</v>
      </c>
      <c r="K8637" s="24" t="s">
        <v>10926</v>
      </c>
      <c r="L8637" s="22" t="s">
        <v>10</v>
      </c>
      <c r="M8637" s="25">
        <v>7311083.0499999998</v>
      </c>
      <c r="N8637" s="27">
        <v>1.3093239504957749E-2</v>
      </c>
    </row>
    <row r="8638" spans="1:14" hidden="1" outlineLevel="1" x14ac:dyDescent="0.2">
      <c r="A8638" s="23" t="str">
        <f>HYPERLINK("https://www.spark-marketing.ru/Card/Person/4348450", "ПАО ""МРСК ЮГА""")</f>
        <v>ПАО "МРСК ЮГА"</v>
      </c>
      <c r="B8638" s="24" t="s">
        <v>10924</v>
      </c>
      <c r="C8638" s="28" t="s">
        <v>52</v>
      </c>
      <c r="D8638" s="22" t="s">
        <v>10925</v>
      </c>
      <c r="E8638" s="22" t="s">
        <v>1242</v>
      </c>
      <c r="F8638" s="23" t="str">
        <f>HYPERLINK("https://www.spark-marketing.ru/Card/Lot/70289405", "Услуги по физической охране объектов филиала ПАО «МРСК Юга» - «Волгоградэнерго» и проведения мероприятий с правоохранительными органами путем объезда, осмотра и патрулирования силами групп быстрого реагирования.")</f>
        <v>Услуги по физической охране объектов филиала ПАО «МРСК Юга» - «Волгоградэнерго» и проведения мероприятий с правоохранительными органами путем объезда, осмотра и патрулирования силами групп быстрого реагирования.</v>
      </c>
      <c r="G8638" s="22" t="s">
        <v>402</v>
      </c>
      <c r="H8638" s="22" t="s">
        <v>403</v>
      </c>
      <c r="I8638" s="26">
        <v>43585.626157407401</v>
      </c>
      <c r="J8638" s="23" t="str">
        <f>HYPERLINK("https://www.spark-marketing.ru/Card/Person/146337", "ООО ЧОО ""ЙИСН ТУГ""")</f>
        <v>ООО ЧОО "ЙИСН ТУГ"</v>
      </c>
      <c r="K8638" s="24" t="s">
        <v>10927</v>
      </c>
      <c r="L8638" s="28" t="s">
        <v>52</v>
      </c>
      <c r="M8638" s="25">
        <v>7408078.7999999998</v>
      </c>
      <c r="N8638" s="27">
        <v>0</v>
      </c>
    </row>
    <row r="8639" spans="1:14" hidden="1" outlineLevel="1" x14ac:dyDescent="0.2">
      <c r="A8639" s="23" t="str">
        <f>HYPERLINK("https://www.spark-marketing.ru/Card/Person/4348450", "ПАО ""МРСК ЮГА""")</f>
        <v>ПАО "МРСК ЮГА"</v>
      </c>
      <c r="B8639" s="24" t="s">
        <v>10924</v>
      </c>
      <c r="C8639" s="28" t="s">
        <v>52</v>
      </c>
      <c r="D8639" s="22" t="s">
        <v>10925</v>
      </c>
      <c r="E8639" s="22" t="s">
        <v>1242</v>
      </c>
      <c r="F8639" s="23" t="str">
        <f>HYPERLINK("https://www.spark-marketing.ru/Card/Lot/70289405", "Услуги по физической охране объектов филиала ПАО «МРСК Юга» - «Волгоградэнерго» и проведения мероприятий с правоохранительными органами путем объезда, осмотра и патрулирования силами групп быстрого реагирования.")</f>
        <v>Услуги по физической охране объектов филиала ПАО «МРСК Юга» - «Волгоградэнерго» и проведения мероприятий с правоохранительными органами путем объезда, осмотра и патрулирования силами групп быстрого реагирования.</v>
      </c>
      <c r="G8639" s="22" t="s">
        <v>402</v>
      </c>
      <c r="H8639" s="22" t="s">
        <v>403</v>
      </c>
      <c r="I8639" s="26">
        <v>43585.626157407401</v>
      </c>
      <c r="J8639" s="23" t="str">
        <f>HYPERLINK("https://www.spark-marketing.ru/Card/Person/509327", "ООО ЧОП ""ЦАРЬГРАД""")</f>
        <v>ООО ЧОП "ЦАРЬГРАД"</v>
      </c>
      <c r="K8639" s="24" t="s">
        <v>10928</v>
      </c>
      <c r="L8639" s="28" t="s">
        <v>52</v>
      </c>
      <c r="M8639" s="25">
        <v>0</v>
      </c>
      <c r="N8639" s="27">
        <v>1</v>
      </c>
    </row>
    <row r="8640" spans="1:14" x14ac:dyDescent="0.15">
      <c r="A8640" s="23" t="str">
        <f>HYPERLINK("https://www.spark-marketing.ru/Card/Person/4348008", "ТЮМЕНСКАЯ ТАМОЖНЯ")</f>
        <v>ТЮМЕНСКАЯ ТАМОЖНЯ</v>
      </c>
      <c r="B8640" s="24" t="s">
        <v>2446</v>
      </c>
      <c r="C8640" s="25">
        <v>946062.22</v>
      </c>
      <c r="D8640" s="22" t="s">
        <v>10929</v>
      </c>
      <c r="E8640" s="22" t="s">
        <v>68</v>
      </c>
      <c r="F8640" s="23" t="str">
        <f>HYPERLINK("https://www.spark-marketing.ru/Card/Lot/70276591", "Оказание услуг по государственной охране административного здания оТО и ТК № 2 (г. Петухово) Курганского таможенного поста Тюменской таможни и находящегося в нем имущества (физическая охрана со специальными средствами) и обеспечение пропускного и вну...")</f>
        <v>Оказание услуг по государственной охране административного здания оТО и ТК № 2 (г. Петухово) Курганского таможенного поста Тюменской таможни и находящегося в нем имущества (физическая охрана со специальными средствами) и обеспечение пропускного и вну...</v>
      </c>
      <c r="G8640" s="22" t="s">
        <v>626</v>
      </c>
      <c r="H8640" s="22" t="s">
        <v>626</v>
      </c>
      <c r="I8640" s="26">
        <v>43585.634722222203</v>
      </c>
      <c r="J8640" s="23" t="str">
        <f>HYPERLINK("https://www.spark-marketing.ru/Card/Person/10487", "ФГУП ""ОХРАНА"" РОСГВАРДИИ")</f>
        <v>ФГУП "ОХРАНА" РОСГВАРДИИ</v>
      </c>
      <c r="K8640" s="24" t="s">
        <v>779</v>
      </c>
      <c r="L8640" s="28" t="s">
        <v>52</v>
      </c>
      <c r="M8640" s="28" t="s">
        <v>52</v>
      </c>
      <c r="N8640" s="28" t="s">
        <v>52</v>
      </c>
    </row>
    <row r="8641" spans="1:14" ht="12.75" hidden="1" outlineLevel="1" x14ac:dyDescent="0.2">
      <c r="A8641" s="23" t="str">
        <f>HYPERLINK("https://www.spark-marketing.ru/Card/Person/4348008", "ТЮМЕНСКАЯ ТАМОЖНЯ")</f>
        <v>ТЮМЕНСКАЯ ТАМОЖНЯ</v>
      </c>
      <c r="B8641" s="24" t="s">
        <v>2446</v>
      </c>
      <c r="C8641" s="25">
        <v>946062.22</v>
      </c>
      <c r="D8641" s="22" t="s">
        <v>10929</v>
      </c>
      <c r="E8641" s="22" t="s">
        <v>68</v>
      </c>
      <c r="F8641" s="23" t="str">
        <f>HYPERLINK("https://www.spark-marketing.ru/Card/Lot/70276591", "Оказание услуг по государственной охране административного здания оТО и ТК № 2 (г. Петухово) Курганского таможенного поста Тюменской таможни и находящегося в нем имущества (физическая охрана со специальными средствами) и обеспечение пропускного и вну...")</f>
        <v>Оказание услуг по государственной охране административного здания оТО и ТК № 2 (г. Петухово) Курганского таможенного поста Тюменской таможни и находящегося в нем имущества (физическая охрана со специальными средствами) и обеспечение пропускного и вну...</v>
      </c>
      <c r="G8641" s="22" t="s">
        <v>626</v>
      </c>
      <c r="H8641" s="22" t="s">
        <v>626</v>
      </c>
      <c r="I8641" s="26">
        <v>43585.634722222203</v>
      </c>
      <c r="J8641" s="23" t="str">
        <f>HYPERLINK("https://www.spark-marketing.ru/Card/Person/10487", "ФГУП ""ОХРАНА"" РОСГВАРДИИ")</f>
        <v>ФГУП "ОХРАНА" РОСГВАРДИИ</v>
      </c>
      <c r="K8641" s="24" t="s">
        <v>779</v>
      </c>
      <c r="L8641" s="22" t="s">
        <v>10</v>
      </c>
      <c r="M8641" s="25">
        <v>941331.91</v>
      </c>
      <c r="N8641" s="27">
        <v>4.9999988372857757E-3</v>
      </c>
    </row>
    <row r="8642" spans="1:14" x14ac:dyDescent="0.15">
      <c r="A8642" s="23" t="str">
        <f>HYPERLINK("https://www.spark-marketing.ru/Card/Person/12474", "МБУК ""КУРМАНАЕВСКАЯ ЦКС""")</f>
        <v>МБУК "КУРМАНАЕВСКАЯ ЦКС"</v>
      </c>
      <c r="B8642" s="24" t="s">
        <v>10930</v>
      </c>
      <c r="C8642" s="25">
        <v>3699621.05</v>
      </c>
      <c r="D8642" s="22" t="s">
        <v>10931</v>
      </c>
      <c r="E8642" s="22" t="s">
        <v>5251</v>
      </c>
      <c r="F8642" s="23" t="str">
        <f>HYPERLINK("https://www.spark-marketing.ru/Card/Lot/70279264", "Поставка, установка и ввод в эксплуатацию оборудования сцены")</f>
        <v>Поставка, установка и ввод в эксплуатацию оборудования сцены</v>
      </c>
      <c r="G8642" s="22" t="s">
        <v>384</v>
      </c>
      <c r="H8642" s="22" t="s">
        <v>384</v>
      </c>
      <c r="I8642" s="26">
        <v>43585.657638888901</v>
      </c>
      <c r="J8642" s="28" t="s">
        <v>52</v>
      </c>
      <c r="K8642" s="28" t="s">
        <v>52</v>
      </c>
      <c r="L8642" s="28" t="s">
        <v>52</v>
      </c>
      <c r="M8642" s="28" t="s">
        <v>52</v>
      </c>
      <c r="N8642" s="28" t="s">
        <v>52</v>
      </c>
    </row>
    <row r="8643" spans="1:14" hidden="1" outlineLevel="1" x14ac:dyDescent="0.15">
      <c r="A8643" s="23" t="str">
        <f>HYPERLINK("https://www.spark-marketing.ru/Card/Person/12474", "МБУК ""КУРМАНАЕВСКАЯ ЦКС""")</f>
        <v>МБУК "КУРМАНАЕВСКАЯ ЦКС"</v>
      </c>
      <c r="B8643" s="24" t="s">
        <v>10930</v>
      </c>
      <c r="C8643" s="25">
        <v>3699621.05</v>
      </c>
      <c r="D8643" s="22" t="s">
        <v>10931</v>
      </c>
      <c r="E8643" s="22" t="s">
        <v>5251</v>
      </c>
      <c r="F8643" s="23" t="str">
        <f>HYPERLINK("https://www.spark-marketing.ru/Card/Lot/70279264", "Поставка, установка и ввод в эксплуатацию оборудования сцены")</f>
        <v>Поставка, установка и ввод в эксплуатацию оборудования сцены</v>
      </c>
      <c r="G8643" s="22" t="s">
        <v>384</v>
      </c>
      <c r="H8643" s="22" t="s">
        <v>384</v>
      </c>
      <c r="I8643" s="26">
        <v>43585.657638888901</v>
      </c>
      <c r="J8643" s="23" t="str">
        <f>HYPERLINK("https://www.spark-marketing.ru/Card/Person/612061", "ООО ""АВЛ""")</f>
        <v>ООО "АВЛ"</v>
      </c>
      <c r="K8643" s="24" t="s">
        <v>10555</v>
      </c>
      <c r="L8643" s="22" t="s">
        <v>10</v>
      </c>
      <c r="M8643" s="28" t="s">
        <v>52</v>
      </c>
      <c r="N8643" s="28" t="s">
        <v>52</v>
      </c>
    </row>
    <row r="8644" spans="1:14" hidden="1" outlineLevel="1" x14ac:dyDescent="0.15">
      <c r="A8644" s="23" t="str">
        <f>HYPERLINK("https://www.spark-marketing.ru/Card/Person/12474", "МБУК ""КУРМАНАЕВСКАЯ ЦКС""")</f>
        <v>МБУК "КУРМАНАЕВСКАЯ ЦКС"</v>
      </c>
      <c r="B8644" s="24" t="s">
        <v>10930</v>
      </c>
      <c r="C8644" s="25">
        <v>3699621.05</v>
      </c>
      <c r="D8644" s="22" t="s">
        <v>10931</v>
      </c>
      <c r="E8644" s="22" t="s">
        <v>5251</v>
      </c>
      <c r="F8644" s="23" t="str">
        <f>HYPERLINK("https://www.spark-marketing.ru/Card/Lot/70279264", "Поставка, установка и ввод в эксплуатацию оборудования сцены")</f>
        <v>Поставка, установка и ввод в эксплуатацию оборудования сцены</v>
      </c>
      <c r="G8644" s="22" t="s">
        <v>384</v>
      </c>
      <c r="H8644" s="22" t="s">
        <v>384</v>
      </c>
      <c r="I8644" s="26">
        <v>43585.657638888901</v>
      </c>
      <c r="J8644" s="23" t="str">
        <f>HYPERLINK("https://www.spark-marketing.ru/Card/Person/612061", "ООО ""АВЛ""")</f>
        <v>ООО "АВЛ"</v>
      </c>
      <c r="K8644" s="24" t="s">
        <v>10555</v>
      </c>
      <c r="L8644" s="22" t="s">
        <v>10</v>
      </c>
      <c r="M8644" s="28" t="s">
        <v>52</v>
      </c>
      <c r="N8644" s="28" t="s">
        <v>52</v>
      </c>
    </row>
    <row r="8645" spans="1:14" x14ac:dyDescent="0.15">
      <c r="A8645" s="23" t="str">
        <f>HYPERLINK("https://www.spark-marketing.ru/Card/Person/4348008", "ТЮМЕНСКАЯ ТАМОЖНЯ")</f>
        <v>ТЮМЕНСКАЯ ТАМОЖНЯ</v>
      </c>
      <c r="B8645" s="24" t="s">
        <v>2446</v>
      </c>
      <c r="C8645" s="25">
        <v>1381994.88</v>
      </c>
      <c r="D8645" s="22" t="s">
        <v>10932</v>
      </c>
      <c r="E8645" s="22" t="s">
        <v>68</v>
      </c>
      <c r="F8645" s="23" t="str">
        <f>HYPERLINK("https://www.spark-marketing.ru/Card/Lot/70278218", "Оказание услуг по государственной охране служебного гаража Тюменской таможни и находящегося в нем имущества (физическая охрана со специальными средствами) и обеспечение пропускного и внутриобъектового режимов")</f>
        <v>Оказание услуг по государственной охране служебного гаража Тюменской таможни и находящегося в нем имущества (физическая охрана со специальными средствами) и обеспечение пропускного и внутриобъектового режимов</v>
      </c>
      <c r="G8645" s="22" t="s">
        <v>893</v>
      </c>
      <c r="H8645" s="22" t="s">
        <v>893</v>
      </c>
      <c r="I8645" s="26">
        <v>43585.609722222202</v>
      </c>
      <c r="J8645" s="28" t="s">
        <v>52</v>
      </c>
      <c r="K8645" s="28" t="s">
        <v>52</v>
      </c>
      <c r="L8645" s="28" t="s">
        <v>52</v>
      </c>
      <c r="M8645" s="28" t="s">
        <v>52</v>
      </c>
      <c r="N8645" s="28" t="s">
        <v>52</v>
      </c>
    </row>
    <row r="8646" spans="1:14" ht="12.75" hidden="1" outlineLevel="1" x14ac:dyDescent="0.2">
      <c r="A8646" s="23" t="str">
        <f>HYPERLINK("https://www.spark-marketing.ru/Card/Person/4348008", "ТЮМЕНСКАЯ ТАМОЖНЯ")</f>
        <v>ТЮМЕНСКАЯ ТАМОЖНЯ</v>
      </c>
      <c r="B8646" s="24" t="s">
        <v>2446</v>
      </c>
      <c r="C8646" s="25">
        <v>1381994.88</v>
      </c>
      <c r="D8646" s="22" t="s">
        <v>10932</v>
      </c>
      <c r="E8646" s="22" t="s">
        <v>68</v>
      </c>
      <c r="F8646" s="23" t="str">
        <f>HYPERLINK("https://www.spark-marketing.ru/Card/Lot/70278218", "Оказание услуг по государственной охране служебного гаража Тюменской таможни и находящегося в нем имущества (физическая охрана со специальными средствами) и обеспечение пропускного и внутриобъектового режимов")</f>
        <v>Оказание услуг по государственной охране служебного гаража Тюменской таможни и находящегося в нем имущества (физическая охрана со специальными средствами) и обеспечение пропускного и внутриобъектового режимов</v>
      </c>
      <c r="G8646" s="22" t="s">
        <v>893</v>
      </c>
      <c r="H8646" s="22" t="s">
        <v>893</v>
      </c>
      <c r="I8646" s="26">
        <v>43585.609722222202</v>
      </c>
      <c r="J8646" s="23" t="str">
        <f>HYPERLINK("https://www.spark-marketing.ru/Card/Person/4536862", "ФЛ ФГП ВО ЖДТ РОССИИ НА СВЖД")</f>
        <v>ФЛ ФГП ВО ЖДТ РОССИИ НА СВЖД</v>
      </c>
      <c r="K8646" s="24" t="s">
        <v>1269</v>
      </c>
      <c r="L8646" s="22" t="s">
        <v>10</v>
      </c>
      <c r="M8646" s="25">
        <v>1298707.25</v>
      </c>
      <c r="N8646" s="27">
        <v>6.0266236297489034E-2</v>
      </c>
    </row>
    <row r="8647" spans="1:14" hidden="1" outlineLevel="1" x14ac:dyDescent="0.2">
      <c r="A8647" s="23" t="str">
        <f>HYPERLINK("https://www.spark-marketing.ru/Card/Person/4348008", "ТЮМЕНСКАЯ ТАМОЖНЯ")</f>
        <v>ТЮМЕНСКАЯ ТАМОЖНЯ</v>
      </c>
      <c r="B8647" s="24" t="s">
        <v>2446</v>
      </c>
      <c r="C8647" s="25">
        <v>1381994.88</v>
      </c>
      <c r="D8647" s="22" t="s">
        <v>10932</v>
      </c>
      <c r="E8647" s="22" t="s">
        <v>68</v>
      </c>
      <c r="F8647" s="23" t="str">
        <f>HYPERLINK("https://www.spark-marketing.ru/Card/Lot/70278218", "Оказание услуг по государственной охране служебного гаража Тюменской таможни и находящегося в нем имущества (физическая охрана со специальными средствами) и обеспечение пропускного и внутриобъектового режимов")</f>
        <v>Оказание услуг по государственной охране служебного гаража Тюменской таможни и находящегося в нем имущества (физическая охрана со специальными средствами) и обеспечение пропускного и внутриобъектового режимов</v>
      </c>
      <c r="G8647" s="22" t="s">
        <v>893</v>
      </c>
      <c r="H8647" s="22" t="s">
        <v>893</v>
      </c>
      <c r="I8647" s="26">
        <v>43585.609722222202</v>
      </c>
      <c r="J8647" s="23" t="str">
        <f>HYPERLINK("https://www.spark-marketing.ru/Card/Person/10487", "ФГУП ""ОХРАНА"" РОСГВАРДИИ")</f>
        <v>ФГУП "ОХРАНА" РОСГВАРДИИ</v>
      </c>
      <c r="K8647" s="24" t="s">
        <v>779</v>
      </c>
      <c r="L8647" s="28" t="s">
        <v>52</v>
      </c>
      <c r="M8647" s="25">
        <v>1305617.22</v>
      </c>
      <c r="N8647" s="27">
        <v>5.5266239481292431E-2</v>
      </c>
    </row>
    <row r="8648" spans="1:14" x14ac:dyDescent="0.15">
      <c r="A8648" s="23" t="str">
        <f>HYPERLINK("https://www.spark-marketing.ru/Card/Person/65537", "УСД В РЕСПУБЛИКЕ АДЫГЕЯ")</f>
        <v>УСД В РЕСПУБЛИКЕ АДЫГЕЯ</v>
      </c>
      <c r="B8648" s="24" t="s">
        <v>10933</v>
      </c>
      <c r="C8648" s="25">
        <v>60000</v>
      </c>
      <c r="D8648" s="22" t="s">
        <v>10934</v>
      </c>
      <c r="E8648" s="22" t="s">
        <v>376</v>
      </c>
      <c r="F8648" s="23" t="str">
        <f>HYPERLINK("https://www.spark-marketing.ru/Card/Lot/70282024", "Поставка и установка шлагбаума")</f>
        <v>Поставка и установка шлагбаума</v>
      </c>
      <c r="G8648" s="22" t="s">
        <v>1547</v>
      </c>
      <c r="H8648" s="22" t="s">
        <v>1547</v>
      </c>
      <c r="I8648" s="26">
        <v>43585.615277777797</v>
      </c>
      <c r="J8648" s="23" t="str">
        <f>HYPERLINK("https://www.spark-marketing.ru/Card/Person/6515554", "Кашкин Николай Николаевич")</f>
        <v>Кашкин Николай Николаевич</v>
      </c>
      <c r="K8648" s="24" t="s">
        <v>10935</v>
      </c>
      <c r="L8648" s="22" t="s">
        <v>10</v>
      </c>
      <c r="M8648" s="28" t="s">
        <v>52</v>
      </c>
      <c r="N8648" s="28" t="s">
        <v>52</v>
      </c>
    </row>
    <row r="8649" spans="1:14" x14ac:dyDescent="0.15">
      <c r="A8649" s="23" t="str">
        <f>HYPERLINK("https://www.spark-marketing.ru/Card/Person/6019", "ГБУСО МО ""КОМПЛЕКСНЫЙ ЦЕНТР СОЦИАЛЬНОГО ОБСЛУЖИВАНИЯ И РЕАБИЛИТАЦИИ ""ОПТИМИСТ""")</f>
        <v>ГБУСО МО "КОМПЛЕКСНЫЙ ЦЕНТР СОЦИАЛЬНОГО ОБСЛУЖИВАНИЯ И РЕАБИЛИТАЦИИ "ОПТИМИСТ"</v>
      </c>
      <c r="B8649" s="24" t="s">
        <v>10936</v>
      </c>
      <c r="C8649" s="25">
        <v>166300</v>
      </c>
      <c r="D8649" s="22" t="s">
        <v>10937</v>
      </c>
      <c r="E8649" s="22" t="s">
        <v>103</v>
      </c>
      <c r="F8649" s="23" t="str">
        <f>HYPERLINK("https://www.spark-marketing.ru/Card/Lot/70282587", "Услуги по установке тахографа и замене блоков средств криптографической защиты информации (СКЗИ) тахографа навигационно-криптографических модулей (НКМ) с их последующей активацией и калибровкой, поверкой ранее установленных и активированных тахографо...")</f>
        <v>Услуги по установке тахографа и замене блоков средств криптографической защиты информации (СКЗИ) тахографа навигационно-криптографических модулей (НКМ) с их последующей активацией и калибровкой, поверкой ранее установленных и активированных тахографо...</v>
      </c>
      <c r="G8649" s="22" t="s">
        <v>50</v>
      </c>
      <c r="H8649" s="22" t="s">
        <v>326</v>
      </c>
      <c r="I8649" s="26">
        <v>43585.611111111102</v>
      </c>
      <c r="J8649" s="28" t="s">
        <v>52</v>
      </c>
      <c r="K8649" s="28" t="s">
        <v>52</v>
      </c>
      <c r="L8649" s="28" t="s">
        <v>52</v>
      </c>
      <c r="M8649" s="28" t="s">
        <v>52</v>
      </c>
      <c r="N8649" s="28" t="s">
        <v>52</v>
      </c>
    </row>
    <row r="8650" spans="1:14" hidden="1" outlineLevel="1" x14ac:dyDescent="0.2">
      <c r="A8650" s="23" t="str">
        <f>HYPERLINK("https://www.spark-marketing.ru/Card/Person/6019", "ГБУСО МО ""КОМПЛЕКСНЫЙ ЦЕНТР СОЦИАЛЬНОГО ОБСЛУЖИВАНИЯ И РЕАБИЛИТАЦИИ ""ОПТИМИСТ""")</f>
        <v>ГБУСО МО "КОМПЛЕКСНЫЙ ЦЕНТР СОЦИАЛЬНОГО ОБСЛУЖИВАНИЯ И РЕАБИЛИТАЦИИ "ОПТИМИСТ"</v>
      </c>
      <c r="B8650" s="24" t="s">
        <v>10936</v>
      </c>
      <c r="C8650" s="25">
        <v>166300</v>
      </c>
      <c r="D8650" s="22" t="s">
        <v>10937</v>
      </c>
      <c r="E8650" s="22" t="s">
        <v>103</v>
      </c>
      <c r="F8650" s="23" t="str">
        <f>HYPERLINK("https://www.spark-marketing.ru/Card/Lot/70282587", "Услуги по установке тахографа и замене блоков средств криптографической защиты информации (СКЗИ) тахографа навигационно-криптографических модулей (НКМ) с их последующей активацией и калибровкой, поверкой ранее установленных и активированных тахографо...")</f>
        <v>Услуги по установке тахографа и замене блоков средств криптографической защиты информации (СКЗИ) тахографа навигационно-криптографических модулей (НКМ) с их последующей активацией и калибровкой, поверкой ранее установленных и активированных тахографо...</v>
      </c>
      <c r="G8650" s="22" t="s">
        <v>50</v>
      </c>
      <c r="H8650" s="22" t="s">
        <v>326</v>
      </c>
      <c r="I8650" s="26">
        <v>43585.611111111102</v>
      </c>
      <c r="J8650" s="23" t="str">
        <f>HYPERLINK("https://www.spark-marketing.ru/Card/Person/820718", "ООО ""МОСАВТОКАРТ""")</f>
        <v>ООО "МОСАВТОКАРТ"</v>
      </c>
      <c r="K8650" s="24" t="s">
        <v>10938</v>
      </c>
      <c r="L8650" s="28" t="s">
        <v>52</v>
      </c>
      <c r="M8650" s="25">
        <v>155000</v>
      </c>
      <c r="N8650" s="27">
        <v>6.7949488875526154E-2</v>
      </c>
    </row>
    <row r="8651" spans="1:14" ht="12.75" hidden="1" outlineLevel="1" x14ac:dyDescent="0.2">
      <c r="A8651" s="23" t="str">
        <f>HYPERLINK("https://www.spark-marketing.ru/Card/Person/6019", "ГБУСО МО ""КОМПЛЕКСНЫЙ ЦЕНТР СОЦИАЛЬНОГО ОБСЛУЖИВАНИЯ И РЕАБИЛИТАЦИИ ""ОПТИМИСТ""")</f>
        <v>ГБУСО МО "КОМПЛЕКСНЫЙ ЦЕНТР СОЦИАЛЬНОГО ОБСЛУЖИВАНИЯ И РЕАБИЛИТАЦИИ "ОПТИМИСТ"</v>
      </c>
      <c r="B8651" s="24" t="s">
        <v>10936</v>
      </c>
      <c r="C8651" s="25">
        <v>166300</v>
      </c>
      <c r="D8651" s="22" t="s">
        <v>10937</v>
      </c>
      <c r="E8651" s="22" t="s">
        <v>103</v>
      </c>
      <c r="F8651" s="23" t="str">
        <f>HYPERLINK("https://www.spark-marketing.ru/Card/Lot/70282587", "Услуги по установке тахографа и замене блоков средств криптографической защиты информации (СКЗИ) тахографа навигационно-криптографических модулей (НКМ) с их последующей активацией и калибровкой, поверкой ранее установленных и активированных тахографо...")</f>
        <v>Услуги по установке тахографа и замене блоков средств криптографической защиты информации (СКЗИ) тахографа навигационно-криптографических модулей (НКМ) с их последующей активацией и калибровкой, поверкой ранее установленных и активированных тахографо...</v>
      </c>
      <c r="G8651" s="22" t="s">
        <v>50</v>
      </c>
      <c r="H8651" s="22" t="s">
        <v>326</v>
      </c>
      <c r="I8651" s="26">
        <v>43585.611111111102</v>
      </c>
      <c r="J8651" s="23" t="str">
        <f>HYPERLINK("https://www.spark-marketing.ru/Card/Person/1346684", "Егоров Сергей Иванович")</f>
        <v>Егоров Сергей Иванович</v>
      </c>
      <c r="K8651" s="24" t="s">
        <v>10939</v>
      </c>
      <c r="L8651" s="22" t="s">
        <v>10</v>
      </c>
      <c r="M8651" s="25">
        <v>152613</v>
      </c>
      <c r="N8651" s="27">
        <v>8.2303066746843054E-2</v>
      </c>
    </row>
    <row r="8652" spans="1:14" hidden="1" outlineLevel="1" x14ac:dyDescent="0.2">
      <c r="A8652" s="23" t="str">
        <f>HYPERLINK("https://www.spark-marketing.ru/Card/Person/6019", "ГБУСО МО ""КОМПЛЕКСНЫЙ ЦЕНТР СОЦИАЛЬНОГО ОБСЛУЖИВАНИЯ И РЕАБИЛИТАЦИИ ""ОПТИМИСТ""")</f>
        <v>ГБУСО МО "КОМПЛЕКСНЫЙ ЦЕНТР СОЦИАЛЬНОГО ОБСЛУЖИВАНИЯ И РЕАБИЛИТАЦИИ "ОПТИМИСТ"</v>
      </c>
      <c r="B8652" s="24" t="s">
        <v>10936</v>
      </c>
      <c r="C8652" s="25">
        <v>166300</v>
      </c>
      <c r="D8652" s="22" t="s">
        <v>10937</v>
      </c>
      <c r="E8652" s="22" t="s">
        <v>103</v>
      </c>
      <c r="F8652" s="23" t="str">
        <f>HYPERLINK("https://www.spark-marketing.ru/Card/Lot/70282587", "Услуги по установке тахографа и замене блоков средств криптографической защиты информации (СКЗИ) тахографа навигационно-криптографических модулей (НКМ) с их последующей активацией и калибровкой, поверкой ранее установленных и активированных тахографо...")</f>
        <v>Услуги по установке тахографа и замене блоков средств криптографической защиты информации (СКЗИ) тахографа навигационно-криптографических модулей (НКМ) с их последующей активацией и калибровкой, поверкой ранее установленных и активированных тахографо...</v>
      </c>
      <c r="G8652" s="22" t="s">
        <v>50</v>
      </c>
      <c r="H8652" s="22" t="s">
        <v>326</v>
      </c>
      <c r="I8652" s="26">
        <v>43585.611111111102</v>
      </c>
      <c r="J8652" s="23" t="str">
        <f>HYPERLINK("https://www.spark-marketing.ru/Card/Person/1691970", "ООО ""ЭРА-ГЛОНАСС""")</f>
        <v>ООО "ЭРА-ГЛОНАСС"</v>
      </c>
      <c r="K8652" s="24" t="s">
        <v>4431</v>
      </c>
      <c r="L8652" s="28" t="s">
        <v>52</v>
      </c>
      <c r="M8652" s="25">
        <v>164568.5</v>
      </c>
      <c r="N8652" s="27">
        <v>1.0411906193625977E-2</v>
      </c>
    </row>
    <row r="8653" spans="1:14" hidden="1" outlineLevel="1" x14ac:dyDescent="0.2">
      <c r="A8653" s="23" t="str">
        <f>HYPERLINK("https://www.spark-marketing.ru/Card/Person/6019", "ГБУСО МО ""КОМПЛЕКСНЫЙ ЦЕНТР СОЦИАЛЬНОГО ОБСЛУЖИВАНИЯ И РЕАБИЛИТАЦИИ ""ОПТИМИСТ""")</f>
        <v>ГБУСО МО "КОМПЛЕКСНЫЙ ЦЕНТР СОЦИАЛЬНОГО ОБСЛУЖИВАНИЯ И РЕАБИЛИТАЦИИ "ОПТИМИСТ"</v>
      </c>
      <c r="B8653" s="24" t="s">
        <v>10936</v>
      </c>
      <c r="C8653" s="25">
        <v>166300</v>
      </c>
      <c r="D8653" s="22" t="s">
        <v>10937</v>
      </c>
      <c r="E8653" s="22" t="s">
        <v>103</v>
      </c>
      <c r="F8653" s="23" t="str">
        <f>HYPERLINK("https://www.spark-marketing.ru/Card/Lot/70282587", "Услуги по установке тахографа и замене блоков средств криптографической защиты информации (СКЗИ) тахографа навигационно-криптографических модулей (НКМ) с их последующей активацией и калибровкой, поверкой ранее установленных и активированных тахографо...")</f>
        <v>Услуги по установке тахографа и замене блоков средств криптографической защиты информации (СКЗИ) тахографа навигационно-криптографических модулей (НКМ) с их последующей активацией и калибровкой, поверкой ранее установленных и активированных тахографо...</v>
      </c>
      <c r="G8653" s="22" t="s">
        <v>50</v>
      </c>
      <c r="H8653" s="22" t="s">
        <v>326</v>
      </c>
      <c r="I8653" s="26">
        <v>43585.611111111102</v>
      </c>
      <c r="J8653" s="23" t="str">
        <f>HYPERLINK("https://www.spark-marketing.ru/Card/Person/487202", "ООО ""ИСК""")</f>
        <v>ООО "ИСК"</v>
      </c>
      <c r="K8653" s="24" t="s">
        <v>7370</v>
      </c>
      <c r="L8653" s="28" t="s">
        <v>52</v>
      </c>
      <c r="M8653" s="25">
        <v>153453.5</v>
      </c>
      <c r="N8653" s="27">
        <v>7.7248947684906796E-2</v>
      </c>
    </row>
    <row r="8654" spans="1:14" x14ac:dyDescent="0.15">
      <c r="A8654" s="23" t="str">
        <f>HYPERLINK("https://www.spark-marketing.ru/Card/Person/53804", "МО МВД РОССИИ ПО ЗАТО Г. СЕВЕРОМОРСК И Г. ОСТРОВНОЙ")</f>
        <v>МО МВД РОССИИ ПО ЗАТО Г. СЕВЕРОМОРСК И Г. ОСТРОВНОЙ</v>
      </c>
      <c r="B8654" s="24" t="s">
        <v>10633</v>
      </c>
      <c r="C8654" s="25">
        <v>35000</v>
      </c>
      <c r="D8654" s="22" t="s">
        <v>10940</v>
      </c>
      <c r="E8654" s="22" t="s">
        <v>107</v>
      </c>
      <c r="F8654" s="23" t="str">
        <f>HYPERLINK("https://www.spark-marketing.ru/Card/Lot/70266030", "Техническое обслуживание средств ОС, ОПС, ТС, видеонаблюдения и СКУД, 1 шт")</f>
        <v>Техническое обслуживание средств ОС, ОПС, ТС, видеонаблюдения и СКУД, 1 шт</v>
      </c>
      <c r="G8654" s="22" t="s">
        <v>190</v>
      </c>
      <c r="H8654" s="22" t="s">
        <v>9725</v>
      </c>
      <c r="I8654" s="26">
        <v>43585.5860763889</v>
      </c>
      <c r="J8654" s="28" t="s">
        <v>52</v>
      </c>
      <c r="K8654" s="28" t="s">
        <v>52</v>
      </c>
      <c r="L8654" s="28" t="s">
        <v>52</v>
      </c>
      <c r="M8654" s="28" t="s">
        <v>52</v>
      </c>
      <c r="N8654" s="28" t="s">
        <v>52</v>
      </c>
    </row>
    <row r="8655" spans="1:14" x14ac:dyDescent="0.15">
      <c r="A8655" s="23" t="str">
        <f>HYPERLINK("https://www.spark-marketing.ru/Card/Person/123075", "ГАУЗ АО ""ДЕТСКАЯ ГКБ""")</f>
        <v>ГАУЗ АО "ДЕТСКАЯ ГКБ"</v>
      </c>
      <c r="B8655" s="24" t="s">
        <v>10941</v>
      </c>
      <c r="C8655" s="25">
        <v>1046640</v>
      </c>
      <c r="D8655" s="22" t="s">
        <v>10942</v>
      </c>
      <c r="E8655" s="22" t="s">
        <v>1242</v>
      </c>
      <c r="F8655" s="23" t="str">
        <f>HYPERLINK("https://www.spark-marketing.ru/Card/Lot/70251655", "Оказание услуг по физической охране имущества Заказчика, обеспечение общественного правопорядка на объектах ГАУЗ АО ""Детская ГКБ""")</f>
        <v>Оказание услуг по физической охране имущества Заказчика, обеспечение общественного правопорядка на объектах ГАУЗ АО "Детская ГКБ"</v>
      </c>
      <c r="G8655" s="22" t="s">
        <v>230</v>
      </c>
      <c r="H8655" s="22" t="s">
        <v>230</v>
      </c>
      <c r="I8655" s="26">
        <v>43585.596851851798</v>
      </c>
      <c r="J8655" s="28" t="s">
        <v>52</v>
      </c>
      <c r="K8655" s="28" t="s">
        <v>52</v>
      </c>
      <c r="L8655" s="28" t="s">
        <v>52</v>
      </c>
      <c r="M8655" s="28" t="s">
        <v>52</v>
      </c>
      <c r="N8655" s="28" t="s">
        <v>52</v>
      </c>
    </row>
    <row r="8656" spans="1:14" x14ac:dyDescent="0.15">
      <c r="A8656" s="23" t="str">
        <f t="shared" ref="A8656:A8662" si="382">HYPERLINK("https://www.spark-marketing.ru/Card/Person/34132", "СПБ ГБПОУ ""УОР № 1""")</f>
        <v>СПБ ГБПОУ "УОР № 1"</v>
      </c>
      <c r="B8656" s="24" t="s">
        <v>10943</v>
      </c>
      <c r="C8656" s="25">
        <v>2949888</v>
      </c>
      <c r="D8656" s="22" t="s">
        <v>10944</v>
      </c>
      <c r="E8656" s="22" t="s">
        <v>52</v>
      </c>
      <c r="F8656" s="23" t="str">
        <f t="shared" ref="F8656:F8662" si="383">HYPERLINK("https://www.spark-marketing.ru/Card/Lot/70279701", "Оказание услуг по организации безопасности учащихся, сотрудников, посетителей и обеспечения охраны объектов, территории, имущества СПб ГБПОУ ""УОР № 1"" расположенного по адресам: г. Санкт-Петербург, ул. Хлопина, д. 10; ул. Гжатская, д. 4 на 2 полуго...")</f>
        <v>Оказание услуг по организации безопасности учащихся, сотрудников, посетителей и обеспечения охраны объектов, территории, имущества СПб ГБПОУ "УОР № 1" расположенного по адресам: г. Санкт-Петербург, ул. Хлопина, д. 10; ул. Гжатская, д. 4 на 2 полуго...</v>
      </c>
      <c r="G8656" s="22" t="s">
        <v>89</v>
      </c>
      <c r="H8656" s="22" t="s">
        <v>89</v>
      </c>
      <c r="I8656" s="26">
        <v>43585.589583333298</v>
      </c>
      <c r="J8656" s="28" t="s">
        <v>52</v>
      </c>
      <c r="K8656" s="28" t="s">
        <v>52</v>
      </c>
      <c r="L8656" s="28" t="s">
        <v>52</v>
      </c>
      <c r="M8656" s="28" t="s">
        <v>52</v>
      </c>
      <c r="N8656" s="28" t="s">
        <v>52</v>
      </c>
    </row>
    <row r="8657" spans="1:14" hidden="1" outlineLevel="1" x14ac:dyDescent="0.2">
      <c r="A8657" s="23" t="str">
        <f t="shared" si="382"/>
        <v>СПБ ГБПОУ "УОР № 1"</v>
      </c>
      <c r="B8657" s="24" t="s">
        <v>10943</v>
      </c>
      <c r="C8657" s="25">
        <v>2949888</v>
      </c>
      <c r="D8657" s="22" t="s">
        <v>10944</v>
      </c>
      <c r="E8657" s="22" t="s">
        <v>52</v>
      </c>
      <c r="F8657" s="23" t="str">
        <f t="shared" si="383"/>
        <v>Оказание услуг по организации безопасности учащихся, сотрудников, посетителей и обеспечения охраны объектов, территории, имущества СПб ГБПОУ "УОР № 1" расположенного по адресам: г. Санкт-Петербург, ул. Хлопина, д. 10; ул. Гжатская, д. 4 на 2 полуго...</v>
      </c>
      <c r="G8657" s="22" t="s">
        <v>89</v>
      </c>
      <c r="H8657" s="22" t="s">
        <v>89</v>
      </c>
      <c r="I8657" s="26">
        <v>43585.589583333298</v>
      </c>
      <c r="J8657" s="23" t="str">
        <f>HYPERLINK("https://www.spark-marketing.ru/Card/Person/1957699", "ООО ""ОП ""ТРАНС-СЕКЬЮРИТИ""""")</f>
        <v>ООО "ОП "ТРАНС-СЕКЬЮРИТИ""</v>
      </c>
      <c r="K8657" s="24" t="s">
        <v>4138</v>
      </c>
      <c r="L8657" s="28" t="s">
        <v>52</v>
      </c>
      <c r="M8657" s="25">
        <v>2284760.64</v>
      </c>
      <c r="N8657" s="27">
        <v>0.22547546211923977</v>
      </c>
    </row>
    <row r="8658" spans="1:14" hidden="1" outlineLevel="1" x14ac:dyDescent="0.2">
      <c r="A8658" s="23" t="str">
        <f t="shared" si="382"/>
        <v>СПБ ГБПОУ "УОР № 1"</v>
      </c>
      <c r="B8658" s="24" t="s">
        <v>10943</v>
      </c>
      <c r="C8658" s="25">
        <v>2949888</v>
      </c>
      <c r="D8658" s="22" t="s">
        <v>10944</v>
      </c>
      <c r="E8658" s="22" t="s">
        <v>52</v>
      </c>
      <c r="F8658" s="23" t="str">
        <f t="shared" si="383"/>
        <v>Оказание услуг по организации безопасности учащихся, сотрудников, посетителей и обеспечения охраны объектов, территории, имущества СПб ГБПОУ "УОР № 1" расположенного по адресам: г. Санкт-Петербург, ул. Хлопина, д. 10; ул. Гжатская, д. 4 на 2 полуго...</v>
      </c>
      <c r="G8658" s="22" t="s">
        <v>89</v>
      </c>
      <c r="H8658" s="22" t="s">
        <v>89</v>
      </c>
      <c r="I8658" s="26">
        <v>43585.589583333298</v>
      </c>
      <c r="J8658" s="23" t="str">
        <f>HYPERLINK("https://www.spark-marketing.ru/Card/Person/6470268", "ООО ""ОП ""РАТНИК ОСН""")</f>
        <v>ООО "ОП "РАТНИК ОСН"</v>
      </c>
      <c r="K8658" s="24" t="s">
        <v>7374</v>
      </c>
      <c r="L8658" s="28" t="s">
        <v>52</v>
      </c>
      <c r="M8658" s="25">
        <v>2152014.7999999998</v>
      </c>
      <c r="N8658" s="27">
        <v>0.27047576043565041</v>
      </c>
    </row>
    <row r="8659" spans="1:14" ht="12.75" hidden="1" outlineLevel="1" x14ac:dyDescent="0.2">
      <c r="A8659" s="23" t="str">
        <f t="shared" si="382"/>
        <v>СПБ ГБПОУ "УОР № 1"</v>
      </c>
      <c r="B8659" s="24" t="s">
        <v>10943</v>
      </c>
      <c r="C8659" s="25">
        <v>2949888</v>
      </c>
      <c r="D8659" s="22" t="s">
        <v>10944</v>
      </c>
      <c r="E8659" s="22" t="s">
        <v>52</v>
      </c>
      <c r="F8659" s="23" t="str">
        <f t="shared" si="383"/>
        <v>Оказание услуг по организации безопасности учащихся, сотрудников, посетителей и обеспечения охраны объектов, территории, имущества СПб ГБПОУ "УОР № 1" расположенного по адресам: г. Санкт-Петербург, ул. Хлопина, д. 10; ул. Гжатская, д. 4 на 2 полуго...</v>
      </c>
      <c r="G8659" s="22" t="s">
        <v>89</v>
      </c>
      <c r="H8659" s="22" t="s">
        <v>89</v>
      </c>
      <c r="I8659" s="26">
        <v>43585.589583333298</v>
      </c>
      <c r="J8659" s="23" t="str">
        <f>HYPERLINK("https://www.spark-marketing.ru/Card/Person/18325", "ООО ЧОП ""ПЕРЕСВЕТ-СБ""")</f>
        <v>ООО ЧОП "ПЕРЕСВЕТ-СБ"</v>
      </c>
      <c r="K8659" s="24" t="s">
        <v>7965</v>
      </c>
      <c r="L8659" s="22" t="s">
        <v>10</v>
      </c>
      <c r="M8659" s="25">
        <v>2107766</v>
      </c>
      <c r="N8659" s="27">
        <v>0.28547592315369263</v>
      </c>
    </row>
    <row r="8660" spans="1:14" hidden="1" outlineLevel="1" x14ac:dyDescent="0.2">
      <c r="A8660" s="23" t="str">
        <f t="shared" si="382"/>
        <v>СПБ ГБПОУ "УОР № 1"</v>
      </c>
      <c r="B8660" s="24" t="s">
        <v>10943</v>
      </c>
      <c r="C8660" s="25">
        <v>2949888</v>
      </c>
      <c r="D8660" s="22" t="s">
        <v>10944</v>
      </c>
      <c r="E8660" s="22" t="s">
        <v>52</v>
      </c>
      <c r="F8660" s="23" t="str">
        <f t="shared" si="383"/>
        <v>Оказание услуг по организации безопасности учащихся, сотрудников, посетителей и обеспечения охраны объектов, территории, имущества СПб ГБПОУ "УОР № 1" расположенного по адресам: г. Санкт-Петербург, ул. Хлопина, д. 10; ул. Гжатская, д. 4 на 2 полуго...</v>
      </c>
      <c r="G8660" s="22" t="s">
        <v>89</v>
      </c>
      <c r="H8660" s="22" t="s">
        <v>89</v>
      </c>
      <c r="I8660" s="26">
        <v>43585.589583333298</v>
      </c>
      <c r="J8660" s="23" t="str">
        <f>HYPERLINK("https://www.spark-marketing.ru/Card/Person/59908", "ООО ""ЧОО СЛУЖБЫ СПЗС МВД""")</f>
        <v>ООО "ЧОО СЛУЖБЫ СПЗС МВД"</v>
      </c>
      <c r="K8660" s="24" t="s">
        <v>10945</v>
      </c>
      <c r="L8660" s="28" t="s">
        <v>52</v>
      </c>
      <c r="M8660" s="25">
        <v>2949888</v>
      </c>
      <c r="N8660" s="27">
        <v>0</v>
      </c>
    </row>
    <row r="8661" spans="1:14" hidden="1" outlineLevel="1" x14ac:dyDescent="0.2">
      <c r="A8661" s="23" t="str">
        <f t="shared" si="382"/>
        <v>СПБ ГБПОУ "УОР № 1"</v>
      </c>
      <c r="B8661" s="24" t="s">
        <v>10943</v>
      </c>
      <c r="C8661" s="25">
        <v>2949888</v>
      </c>
      <c r="D8661" s="22" t="s">
        <v>10944</v>
      </c>
      <c r="E8661" s="22" t="s">
        <v>52</v>
      </c>
      <c r="F8661" s="23" t="str">
        <f t="shared" si="383"/>
        <v>Оказание услуг по организации безопасности учащихся, сотрудников, посетителей и обеспечения охраны объектов, территории, имущества СПб ГБПОУ "УОР № 1" расположенного по адресам: г. Санкт-Петербург, ул. Хлопина, д. 10; ул. Гжатская, д. 4 на 2 полуго...</v>
      </c>
      <c r="G8661" s="22" t="s">
        <v>89</v>
      </c>
      <c r="H8661" s="22" t="s">
        <v>89</v>
      </c>
      <c r="I8661" s="26">
        <v>43585.589583333298</v>
      </c>
      <c r="J8661" s="23" t="str">
        <f>HYPERLINK("https://www.spark-marketing.ru/Card/Person/1318208", "ООО ""ОО ""РОСОХРАНА""")</f>
        <v>ООО "ОО "РОСОХРАНА"</v>
      </c>
      <c r="K8661" s="24" t="s">
        <v>10946</v>
      </c>
      <c r="L8661" s="28" t="s">
        <v>52</v>
      </c>
      <c r="M8661" s="25">
        <v>2544000</v>
      </c>
      <c r="N8661" s="27">
        <v>0.13759437646446238</v>
      </c>
    </row>
    <row r="8662" spans="1:14" hidden="1" outlineLevel="1" x14ac:dyDescent="0.2">
      <c r="A8662" s="23" t="str">
        <f t="shared" si="382"/>
        <v>СПБ ГБПОУ "УОР № 1"</v>
      </c>
      <c r="B8662" s="24" t="s">
        <v>10943</v>
      </c>
      <c r="C8662" s="25">
        <v>2949888</v>
      </c>
      <c r="D8662" s="22" t="s">
        <v>10944</v>
      </c>
      <c r="E8662" s="22" t="s">
        <v>52</v>
      </c>
      <c r="F8662" s="23" t="str">
        <f t="shared" si="383"/>
        <v>Оказание услуг по организации безопасности учащихся, сотрудников, посетителей и обеспечения охраны объектов, территории, имущества СПб ГБПОУ "УОР № 1" расположенного по адресам: г. Санкт-Петербург, ул. Хлопина, д. 10; ул. Гжатская, д. 4 на 2 полуго...</v>
      </c>
      <c r="G8662" s="22" t="s">
        <v>89</v>
      </c>
      <c r="H8662" s="22" t="s">
        <v>89</v>
      </c>
      <c r="I8662" s="26">
        <v>43585.589583333298</v>
      </c>
      <c r="J8662" s="23" t="str">
        <f>HYPERLINK("https://www.spark-marketing.ru/Card/Person/2294213", "ООО ОП ""АТТОРНЕЙ-СЕКЬЮРИТИ""")</f>
        <v>ООО ОП "АТТОРНЕЙ-СЕКЬЮРИТИ"</v>
      </c>
      <c r="K8662" s="24" t="s">
        <v>10947</v>
      </c>
      <c r="L8662" s="28" t="s">
        <v>52</v>
      </c>
      <c r="M8662" s="25">
        <v>2122515.56</v>
      </c>
      <c r="N8662" s="27">
        <v>0.28047588247418209</v>
      </c>
    </row>
    <row r="8663" spans="1:14" ht="12.75" x14ac:dyDescent="0.2">
      <c r="A8663" s="23" t="str">
        <f>HYPERLINK("https://www.spark-marketing.ru/Card/Person/25573", "ГФУ ИНЖЕНЕРНЫХ ЗАЩИТ ЧЕБОКСАРСКОГО ВОДОХРАНИЛИЩА ПО НИЖЕГОРОДСКОЙ ОБЛАСТИ")</f>
        <v>ГФУ ИНЖЕНЕРНЫХ ЗАЩИТ ЧЕБОКСАРСКОГО ВОДОХРАНИЛИЩА ПО НИЖЕГОРОДСКОЙ ОБЛАСТИ</v>
      </c>
      <c r="B8663" s="24" t="s">
        <v>10948</v>
      </c>
      <c r="C8663" s="25">
        <v>43310.1</v>
      </c>
      <c r="D8663" s="22" t="s">
        <v>10949</v>
      </c>
      <c r="E8663" s="22" t="s">
        <v>59</v>
      </c>
      <c r="F8663" s="23" t="str">
        <f>HYPERLINK("https://www.spark-marketing.ru/Card/Lot/70280728", "Работы по монтажу охранной сигнализации - тревожной кнопки в зданиях ГФУ")</f>
        <v>Работы по монтажу охранной сигнализации - тревожной кнопки в зданиях ГФУ</v>
      </c>
      <c r="G8663" s="22" t="s">
        <v>64</v>
      </c>
      <c r="H8663" s="22" t="s">
        <v>64</v>
      </c>
      <c r="I8663" s="26">
        <v>43585.602083333302</v>
      </c>
      <c r="J8663" s="23" t="str">
        <f>HYPERLINK("https://www.spark-marketing.ru/Card/Person/990706", "ФЛ ФГУП ""Охрана"" Росгвардии по Нижегородской области")</f>
        <v>ФЛ ФГУП "Охрана" Росгвардии по Нижегородской области</v>
      </c>
      <c r="K8663" s="24" t="s">
        <v>779</v>
      </c>
      <c r="L8663" s="22" t="s">
        <v>10</v>
      </c>
      <c r="M8663" s="25">
        <v>34422.07</v>
      </c>
      <c r="N8663" s="27">
        <v>0.20521841325695392</v>
      </c>
    </row>
    <row r="8664" spans="1:14" x14ac:dyDescent="0.15">
      <c r="A8664" s="23" t="str">
        <f>HYPERLINK("https://www.spark-marketing.ru/Card/Person/148712", "ФКУ ИК-2 УФСИН РОССИИ ПО АСТРАХАНСКОЙ ОБЛАСТИ")</f>
        <v>ФКУ ИК-2 УФСИН РОССИИ ПО АСТРАХАНСКОЙ ОБЛАСТИ</v>
      </c>
      <c r="B8664" s="24" t="s">
        <v>10950</v>
      </c>
      <c r="C8664" s="25">
        <v>19411.919999999998</v>
      </c>
      <c r="D8664" s="22" t="s">
        <v>10951</v>
      </c>
      <c r="E8664" s="22" t="s">
        <v>53</v>
      </c>
      <c r="F8664" s="23" t="str">
        <f>HYPERLINK("https://www.spark-marketing.ru/Card/Lot/70763302", "техническое обслуживание комплекса средств охраны и технологическое обеспечение работоспособности систем передачи извещений")</f>
        <v>техническое обслуживание комплекса средств охраны и технологическое обеспечение работоспособности систем передачи извещений</v>
      </c>
      <c r="G8664" s="22" t="s">
        <v>565</v>
      </c>
      <c r="H8664" s="22" t="s">
        <v>566</v>
      </c>
      <c r="I8664" s="26">
        <v>43585.607222222199</v>
      </c>
      <c r="J8664" s="28" t="s">
        <v>52</v>
      </c>
      <c r="K8664" s="28" t="s">
        <v>52</v>
      </c>
      <c r="L8664" s="28" t="s">
        <v>52</v>
      </c>
      <c r="M8664" s="28" t="s">
        <v>52</v>
      </c>
      <c r="N8664" s="28" t="s">
        <v>52</v>
      </c>
    </row>
    <row r="8665" spans="1:14" x14ac:dyDescent="0.15">
      <c r="A8665" s="23" t="str">
        <f>HYPERLINK("https://www.spark-marketing.ru/Card/Person/4365569", "ФГУП ""РОСМОРПОРТ""")</f>
        <v>ФГУП "РОСМОРПОРТ"</v>
      </c>
      <c r="B8665" s="24" t="s">
        <v>273</v>
      </c>
      <c r="C8665" s="25">
        <v>22692203.370000001</v>
      </c>
      <c r="D8665" s="22" t="s">
        <v>10952</v>
      </c>
      <c r="E8665" s="22" t="s">
        <v>10953</v>
      </c>
      <c r="F8665" s="23" t="str">
        <f>HYPERLINK("https://www.spark-marketing.ru/Card/Lot/70289718", "Выполнение работ по техническому перевооружению (модернизации) инженерно-технических средств обеспечения транспортной безопасности (ИТСОТБ) акватории морского порта Калининград Калининградского управления Северо-Западного бассейнового филиала ФГУП ""...")</f>
        <v>Выполнение работ по техническому перевооружению (модернизации) инженерно-технических средств обеспечения транспортной безопасности (ИТСОТБ) акватории морского порта Калининград Калининградского управления Северо-Западного бассейнового филиала ФГУП "...</v>
      </c>
      <c r="G8665" s="22" t="s">
        <v>55</v>
      </c>
      <c r="H8665" s="22" t="s">
        <v>55</v>
      </c>
      <c r="I8665" s="26">
        <v>43585.549814814804</v>
      </c>
      <c r="J8665" s="28" t="s">
        <v>52</v>
      </c>
      <c r="K8665" s="28" t="s">
        <v>52</v>
      </c>
      <c r="L8665" s="28" t="s">
        <v>52</v>
      </c>
      <c r="M8665" s="28" t="s">
        <v>52</v>
      </c>
      <c r="N8665" s="28" t="s">
        <v>52</v>
      </c>
    </row>
    <row r="8666" spans="1:14" hidden="1" outlineLevel="1" x14ac:dyDescent="0.2">
      <c r="A8666" s="23" t="str">
        <f>HYPERLINK("https://www.spark-marketing.ru/Card/Person/4365569", "ФГУП ""РОСМОРПОРТ""")</f>
        <v>ФГУП "РОСМОРПОРТ"</v>
      </c>
      <c r="B8666" s="24" t="s">
        <v>273</v>
      </c>
      <c r="C8666" s="28" t="s">
        <v>52</v>
      </c>
      <c r="D8666" s="22" t="s">
        <v>10952</v>
      </c>
      <c r="E8666" s="22" t="s">
        <v>10953</v>
      </c>
      <c r="F8666" s="23" t="str">
        <f>HYPERLINK("https://www.spark-marketing.ru/Card/Lot/70289718", "Выполнение работ по техническому перевооружению (модернизации) инженерно-технических средств обеспечения транспортной безопасности (ИТСОТБ) акватории морского порта Калининград Калининградского управления Северо-Западного бассейнового филиала ФГУП ""...")</f>
        <v>Выполнение работ по техническому перевооружению (модернизации) инженерно-технических средств обеспечения транспортной безопасности (ИТСОТБ) акватории морского порта Калининград Калининградского управления Северо-Западного бассейнового филиала ФГУП "...</v>
      </c>
      <c r="G8666" s="22" t="s">
        <v>55</v>
      </c>
      <c r="H8666" s="22" t="s">
        <v>55</v>
      </c>
      <c r="I8666" s="26">
        <v>43585.549814814804</v>
      </c>
      <c r="J8666" s="23" t="str">
        <f>HYPERLINK("https://www.spark-marketing.ru/Card/Person/130866", "ООО ""ТРАНЗАС НАВИГАТОР""")</f>
        <v>ООО "ТРАНЗАС НАВИГАТОР"</v>
      </c>
      <c r="K8666" s="24" t="s">
        <v>10954</v>
      </c>
      <c r="L8666" s="22" t="s">
        <v>10</v>
      </c>
      <c r="M8666" s="25">
        <v>17758800</v>
      </c>
      <c r="N8666" s="27">
        <v>0.21740521577213417</v>
      </c>
    </row>
    <row r="8667" spans="1:14" hidden="1" outlineLevel="1" x14ac:dyDescent="0.2">
      <c r="A8667" s="23" t="str">
        <f>HYPERLINK("https://www.spark-marketing.ru/Card/Person/4365569", "ФГУП ""РОСМОРПОРТ""")</f>
        <v>ФГУП "РОСМОРПОРТ"</v>
      </c>
      <c r="B8667" s="24" t="s">
        <v>273</v>
      </c>
      <c r="C8667" s="28" t="s">
        <v>52</v>
      </c>
      <c r="D8667" s="22" t="s">
        <v>10952</v>
      </c>
      <c r="E8667" s="22" t="s">
        <v>10953</v>
      </c>
      <c r="F8667" s="23" t="str">
        <f>HYPERLINK("https://www.spark-marketing.ru/Card/Lot/70289718", "Выполнение работ по техническому перевооружению (модернизации) инженерно-технических средств обеспечения транспортной безопасности (ИТСОТБ) акватории морского порта Калининград Калининградского управления Северо-Западного бассейнового филиала ФГУП ""...")</f>
        <v>Выполнение работ по техническому перевооружению (модернизации) инженерно-технических средств обеспечения транспортной безопасности (ИТСОТБ) акватории морского порта Калининград Калининградского управления Северо-Западного бассейнового филиала ФГУП "...</v>
      </c>
      <c r="G8667" s="22" t="s">
        <v>55</v>
      </c>
      <c r="H8667" s="22" t="s">
        <v>55</v>
      </c>
      <c r="I8667" s="26">
        <v>43585.549814814804</v>
      </c>
      <c r="J8667" s="23" t="str">
        <f>HYPERLINK("https://www.spark-marketing.ru/Card/Person/5823345", "ООО ""РТС""")</f>
        <v>ООО "РТС"</v>
      </c>
      <c r="K8667" s="24" t="s">
        <v>10955</v>
      </c>
      <c r="L8667" s="28" t="s">
        <v>52</v>
      </c>
      <c r="M8667" s="25">
        <v>19158682.5</v>
      </c>
      <c r="N8667" s="27">
        <v>0.15571519487928862</v>
      </c>
    </row>
    <row r="8668" spans="1:14" hidden="1" outlineLevel="1" x14ac:dyDescent="0.2">
      <c r="A8668" s="23" t="str">
        <f>HYPERLINK("https://www.spark-marketing.ru/Card/Person/4365569", "ФГУП ""РОСМОРПОРТ""")</f>
        <v>ФГУП "РОСМОРПОРТ"</v>
      </c>
      <c r="B8668" s="24" t="s">
        <v>273</v>
      </c>
      <c r="C8668" s="28" t="s">
        <v>52</v>
      </c>
      <c r="D8668" s="22" t="s">
        <v>10952</v>
      </c>
      <c r="E8668" s="22" t="s">
        <v>10953</v>
      </c>
      <c r="F8668" s="23" t="str">
        <f>HYPERLINK("https://www.spark-marketing.ru/Card/Lot/70289718", "Выполнение работ по техническому перевооружению (модернизации) инженерно-технических средств обеспечения транспортной безопасности (ИТСОТБ) акватории морского порта Калининград Калининградского управления Северо-Западного бассейнового филиала ФГУП ""...")</f>
        <v>Выполнение работ по техническому перевооружению (модернизации) инженерно-технических средств обеспечения транспортной безопасности (ИТСОТБ) акватории морского порта Калининград Калининградского управления Северо-Западного бассейнового филиала ФГУП "...</v>
      </c>
      <c r="G8668" s="22" t="s">
        <v>55</v>
      </c>
      <c r="H8668" s="22" t="s">
        <v>55</v>
      </c>
      <c r="I8668" s="26">
        <v>43585.549814814804</v>
      </c>
      <c r="J8668" s="23" t="str">
        <f>HYPERLINK("https://www.spark-marketing.ru/Card/Person/236361", "ООО ""РИФ""")</f>
        <v>ООО "РИФ"</v>
      </c>
      <c r="K8668" s="24" t="s">
        <v>10956</v>
      </c>
      <c r="L8668" s="28" t="s">
        <v>52</v>
      </c>
      <c r="M8668" s="25">
        <v>21241968</v>
      </c>
      <c r="N8668" s="27">
        <v>6.390897112782222E-2</v>
      </c>
    </row>
    <row r="8669" spans="1:14" x14ac:dyDescent="0.15">
      <c r="A8669" s="23" t="str">
        <f>HYPERLINK("https://www.spark-marketing.ru/Card/Person/82087", "ФКУ ИК-9 ГУФСИН РОССИИ ПО ПЕРМСКОМУ КРАЮ")</f>
        <v>ФКУ ИК-9 ГУФСИН РОССИИ ПО ПЕРМСКОМУ КРАЮ</v>
      </c>
      <c r="B8669" s="24" t="s">
        <v>10957</v>
      </c>
      <c r="C8669" s="25">
        <v>90000</v>
      </c>
      <c r="D8669" s="22" t="s">
        <v>10958</v>
      </c>
      <c r="E8669" s="22" t="s">
        <v>53</v>
      </c>
      <c r="F8669" s="23" t="str">
        <f>HYPERLINK("https://www.spark-marketing.ru/Card/Lot/70762900", "Техническое обслуживание котельной")</f>
        <v>Техническое обслуживание котельной</v>
      </c>
      <c r="G8669" s="22" t="s">
        <v>391</v>
      </c>
      <c r="H8669" s="22" t="s">
        <v>7418</v>
      </c>
      <c r="I8669" s="26">
        <v>43585.563067129602</v>
      </c>
      <c r="J8669" s="28" t="s">
        <v>52</v>
      </c>
      <c r="K8669" s="28" t="s">
        <v>52</v>
      </c>
      <c r="L8669" s="28" t="s">
        <v>52</v>
      </c>
      <c r="M8669" s="28" t="s">
        <v>52</v>
      </c>
      <c r="N8669" s="28" t="s">
        <v>52</v>
      </c>
    </row>
    <row r="8670" spans="1:14" x14ac:dyDescent="0.2">
      <c r="A8670" s="23" t="str">
        <f>HYPERLINK("https://www.spark-marketing.ru/Card/Person/1547389", "АО ""ТК ""КОНВЕЙ ПЛЮС""")</f>
        <v>АО "ТК "КОНВЕЙ ПЛЮС"</v>
      </c>
      <c r="B8670" s="24" t="s">
        <v>10959</v>
      </c>
      <c r="C8670" s="25">
        <v>1200000</v>
      </c>
      <c r="D8670" s="22" t="s">
        <v>10960</v>
      </c>
      <c r="E8670" s="22" t="s">
        <v>5405</v>
      </c>
      <c r="F8670" s="23" t="str">
        <f>HYPERLINK("https://www.spark-marketing.ru/Card/Lot/70290373", "Услуги по подготовке сертификации технической системы обеспечения транспортной безопасности, установленной на объектах транспортной инфраструктуры АО «Морпорт СПб»")</f>
        <v>Услуги по подготовке сертификации технической системы обеспечения транспортной безопасности, установленной на объектах транспортной инфраструктуры АО «Морпорт СПб»</v>
      </c>
      <c r="G8670" s="22" t="s">
        <v>89</v>
      </c>
      <c r="H8670" s="22" t="s">
        <v>89</v>
      </c>
      <c r="I8670" s="26">
        <v>43585.557002314803</v>
      </c>
      <c r="J8670" s="23" t="str">
        <f>HYPERLINK("https://www.spark-marketing.ru/Card/Person/4442075", "ООО ""ВОДНЫЙ ЭКСПЕРТ""")</f>
        <v>ООО "ВОДНЫЙ ЭКСПЕРТ"</v>
      </c>
      <c r="K8670" s="24" t="s">
        <v>10961</v>
      </c>
      <c r="L8670" s="28" t="s">
        <v>52</v>
      </c>
      <c r="M8670" s="25">
        <v>1200000</v>
      </c>
      <c r="N8670" s="27">
        <v>0</v>
      </c>
    </row>
    <row r="8671" spans="1:14" x14ac:dyDescent="0.15">
      <c r="A8671" s="23" t="str">
        <f>HYPERLINK("https://www.spark-marketing.ru/Card/Person/4348451", "ПАО ""Т ПЛЮС""")</f>
        <v>ПАО "Т ПЛЮС"</v>
      </c>
      <c r="B8671" s="24" t="s">
        <v>47</v>
      </c>
      <c r="C8671" s="25">
        <v>5997985.9000000004</v>
      </c>
      <c r="D8671" s="22" t="s">
        <v>10962</v>
      </c>
      <c r="E8671" s="22" t="s">
        <v>278</v>
      </c>
      <c r="F8671" s="23" t="str">
        <f>HYPERLINK("https://www.spark-marketing.ru/Card/Lot/70293218", "Выполнение строительно-монтажных работ «Техническое перевооружение ограждения внешнего периметра мазутного хозяйства, въездных ворот. Установка сигнализации периметра и видеонаблюдения. 1ПК»")</f>
        <v>Выполнение строительно-монтажных работ «Техническое перевооружение ограждения внешнего периметра мазутного хозяйства, въездных ворот. Установка сигнализации периметра и видеонаблюдения. 1ПК»</v>
      </c>
      <c r="G8671" s="22" t="s">
        <v>72</v>
      </c>
      <c r="H8671" s="22" t="s">
        <v>72</v>
      </c>
      <c r="I8671" s="26">
        <v>43585.526701388902</v>
      </c>
      <c r="J8671" s="28" t="s">
        <v>52</v>
      </c>
      <c r="K8671" s="28" t="s">
        <v>52</v>
      </c>
      <c r="L8671" s="28" t="s">
        <v>52</v>
      </c>
      <c r="M8671" s="28" t="s">
        <v>52</v>
      </c>
      <c r="N8671" s="28" t="s">
        <v>52</v>
      </c>
    </row>
    <row r="8672" spans="1:14" x14ac:dyDescent="0.15">
      <c r="A8672" s="23" t="str">
        <f>HYPERLINK("https://www.spark-marketing.ru/Card/Person/6187390", "УПРАВЛЕНИЕ РОСГВАРДИИ ПО НОВОСИБИРСКОЙ ОБЛАСТИ")</f>
        <v>УПРАВЛЕНИЕ РОСГВАРДИИ ПО НОВОСИБИРСКОЙ ОБЛАСТИ</v>
      </c>
      <c r="B8672" s="24" t="s">
        <v>10963</v>
      </c>
      <c r="C8672" s="25">
        <v>1615000</v>
      </c>
      <c r="D8672" s="22" t="s">
        <v>10964</v>
      </c>
      <c r="E8672" s="22" t="s">
        <v>107</v>
      </c>
      <c r="F8672" s="23" t="str">
        <f>HYPERLINK("https://www.spark-marketing.ru/Card/Lot/70253997", "выполнение работ по техническому обслуживанию комплекса высотного видеонаблюдения ОКО")</f>
        <v>выполнение работ по техническому обслуживанию комплекса высотного видеонаблюдения ОКО</v>
      </c>
      <c r="G8672" s="22" t="s">
        <v>209</v>
      </c>
      <c r="H8672" s="22" t="s">
        <v>209</v>
      </c>
      <c r="I8672" s="26">
        <v>43585.533333333296</v>
      </c>
      <c r="J8672" s="23" t="str">
        <f>HYPERLINK("https://www.spark-marketing.ru/Card/Person/77717", "ООО ""ТЕХВИЖЕН""")</f>
        <v>ООО "ТЕХВИЖЕН"</v>
      </c>
      <c r="K8672" s="24" t="s">
        <v>10965</v>
      </c>
      <c r="L8672" s="22" t="s">
        <v>10</v>
      </c>
      <c r="M8672" s="28" t="s">
        <v>52</v>
      </c>
      <c r="N8672" s="28" t="s">
        <v>52</v>
      </c>
    </row>
    <row r="8673" spans="1:14" x14ac:dyDescent="0.15">
      <c r="A8673" s="23" t="str">
        <f>HYPERLINK("https://www.spark-marketing.ru/Card/Person/875668", "ОТДЕЛ МВД РОССИИ ПО АПШЕРОНСКОМУ РАЙОНУ")</f>
        <v>ОТДЕЛ МВД РОССИИ ПО АПШЕРОНСКОМУ РАЙОНУ</v>
      </c>
      <c r="B8673" s="24" t="s">
        <v>10966</v>
      </c>
      <c r="C8673" s="25">
        <v>4113.13</v>
      </c>
      <c r="D8673" s="22" t="s">
        <v>10967</v>
      </c>
      <c r="E8673" s="22" t="s">
        <v>53</v>
      </c>
      <c r="F8673" s="23" t="str">
        <f>HYPERLINK("https://www.spark-marketing.ru/Card/Lot/70763403", "Расчет размера вреда, причиненного почвам, как объекту охраны окружающей среды")</f>
        <v>Расчет размера вреда, причиненного почвам, как объекту охраны окружающей среды</v>
      </c>
      <c r="G8673" s="22" t="s">
        <v>132</v>
      </c>
      <c r="H8673" s="22" t="s">
        <v>10968</v>
      </c>
      <c r="I8673" s="26">
        <v>43585.518564814804</v>
      </c>
      <c r="J8673" s="28" t="s">
        <v>52</v>
      </c>
      <c r="K8673" s="28" t="s">
        <v>52</v>
      </c>
      <c r="L8673" s="28" t="s">
        <v>52</v>
      </c>
      <c r="M8673" s="28" t="s">
        <v>52</v>
      </c>
      <c r="N8673" s="28" t="s">
        <v>52</v>
      </c>
    </row>
    <row r="8674" spans="1:14" x14ac:dyDescent="0.15">
      <c r="A8674" s="23" t="str">
        <f>HYPERLINK("https://www.spark-marketing.ru/Card/Person/1731", "УКС АДМИНИСТРАЦИИ ГОРОДА АСТРАХАНИ")</f>
        <v>УКС АДМИНИСТРАЦИИ ГОРОДА АСТРАХАНИ</v>
      </c>
      <c r="B8674" s="24" t="s">
        <v>9368</v>
      </c>
      <c r="C8674" s="25">
        <v>8557176</v>
      </c>
      <c r="D8674" s="22" t="s">
        <v>10969</v>
      </c>
      <c r="E8674" s="22" t="s">
        <v>842</v>
      </c>
      <c r="F8674" s="23" t="str">
        <f>HYPERLINK("https://www.spark-marketing.ru/Card/Lot/70269034", "Размещение нестационарного объекта - пункта охраны правопорядка на                     ул. Молдавская, ул. Магистральная,                    ул. Вильямса, ул. Ветошникова, 2,                   пл. Заводская в Трусовском районе г. Астрахани")</f>
        <v>Размещение нестационарного объекта - пункта охраны правопорядка на                     ул. Молдавская, ул. Магистральная,                    ул. Вильямса, ул. Ветошникова, 2,                   пл. Заводская в Трусовском районе г. Астрахани</v>
      </c>
      <c r="G8674" s="22" t="s">
        <v>565</v>
      </c>
      <c r="H8674" s="22" t="s">
        <v>566</v>
      </c>
      <c r="I8674" s="26">
        <v>43585.514583333301</v>
      </c>
      <c r="J8674" s="28" t="s">
        <v>52</v>
      </c>
      <c r="K8674" s="28" t="s">
        <v>52</v>
      </c>
      <c r="L8674" s="28" t="s">
        <v>52</v>
      </c>
      <c r="M8674" s="28" t="s">
        <v>52</v>
      </c>
      <c r="N8674" s="28" t="s">
        <v>52</v>
      </c>
    </row>
    <row r="8675" spans="1:14" x14ac:dyDescent="0.2">
      <c r="A8675" s="23" t="str">
        <f>HYPERLINK("https://www.spark-marketing.ru/Card/Person/73552", "ФГУП ""ГВСУ ПО СПЕЦИАЛЬНЫМ ОБЪЕКТАМ""")</f>
        <v>ФГУП "ГВСУ ПО СПЕЦИАЛЬНЫМ ОБЪЕКТАМ"</v>
      </c>
      <c r="B8675" s="24" t="s">
        <v>10970</v>
      </c>
      <c r="C8675" s="25">
        <v>3960000</v>
      </c>
      <c r="D8675" s="22" t="s">
        <v>10971</v>
      </c>
      <c r="E8675" s="22" t="s">
        <v>144</v>
      </c>
      <c r="F8675" s="23" t="str">
        <f>HYPERLINK("https://www.spark-marketing.ru/Card/Lot/70289530", "Оказание услуг по охране объекта «Строительство объектов базового военного городка № 34»")</f>
        <v>Оказание услуг по охране объекта «Строительство объектов базового военного городка № 34»</v>
      </c>
      <c r="G8675" s="22" t="s">
        <v>446</v>
      </c>
      <c r="H8675" s="22" t="s">
        <v>446</v>
      </c>
      <c r="I8675" s="26">
        <v>43585.5225347222</v>
      </c>
      <c r="J8675" s="23" t="str">
        <f>HYPERLINK("https://www.spark-marketing.ru/Card/Person/20926", "ООО АО ""РЕАЛ-ТЕХНО""")</f>
        <v>ООО АО "РЕАЛ-ТЕХНО"</v>
      </c>
      <c r="K8675" s="24" t="s">
        <v>10972</v>
      </c>
      <c r="L8675" s="28" t="s">
        <v>52</v>
      </c>
      <c r="M8675" s="25">
        <v>3960000</v>
      </c>
      <c r="N8675" s="27">
        <v>0</v>
      </c>
    </row>
    <row r="8676" spans="1:14" x14ac:dyDescent="0.15">
      <c r="A8676" s="23" t="str">
        <f>HYPERLINK("https://www.spark-marketing.ru/Card/Person/1731", "УКС АДМИНИСТРАЦИИ ГОРОДА АСТРАХАНИ")</f>
        <v>УКС АДМИНИСТРАЦИИ ГОРОДА АСТРАХАНИ</v>
      </c>
      <c r="B8676" s="24" t="s">
        <v>9368</v>
      </c>
      <c r="C8676" s="25">
        <v>9314191.1999999993</v>
      </c>
      <c r="D8676" s="22" t="s">
        <v>10973</v>
      </c>
      <c r="E8676" s="22" t="s">
        <v>842</v>
      </c>
      <c r="F8676" s="23" t="str">
        <f>HYPERLINK("https://www.spark-marketing.ru/Card/Lot/70268808", "Размещение нестационарного объекта - пункта охраны правопорядка на   ул. Бульварная, ул. Космонавта Комарова,65, ул. Татищева,56, ул.Новоросийская,12, ул.Яблочкова,28 в Ленинском районе г. Астрахани")</f>
        <v>Размещение нестационарного объекта - пункта охраны правопорядка на   ул. Бульварная, ул. Космонавта Комарова,65, ул. Татищева,56, ул.Новоросийская,12, ул.Яблочкова,28 в Ленинском районе г. Астрахани</v>
      </c>
      <c r="G8676" s="22" t="s">
        <v>565</v>
      </c>
      <c r="H8676" s="22" t="s">
        <v>566</v>
      </c>
      <c r="I8676" s="26">
        <v>43585.537499999999</v>
      </c>
      <c r="J8676" s="28" t="s">
        <v>52</v>
      </c>
      <c r="K8676" s="28" t="s">
        <v>52</v>
      </c>
      <c r="L8676" s="28" t="s">
        <v>52</v>
      </c>
      <c r="M8676" s="28" t="s">
        <v>52</v>
      </c>
      <c r="N8676" s="28" t="s">
        <v>52</v>
      </c>
    </row>
    <row r="8677" spans="1:14" x14ac:dyDescent="0.15">
      <c r="A8677" s="23" t="str">
        <f>HYPERLINK("https://www.spark-marketing.ru/Card/Person/1026332", "МДОУ ДЕТСКИЙ САД №38")</f>
        <v>МДОУ ДЕТСКИЙ САД №38</v>
      </c>
      <c r="B8677" s="24" t="s">
        <v>10974</v>
      </c>
      <c r="C8677" s="25">
        <v>12175</v>
      </c>
      <c r="D8677" s="22" t="s">
        <v>10975</v>
      </c>
      <c r="E8677" s="22" t="s">
        <v>59</v>
      </c>
      <c r="F8677" s="23" t="str">
        <f>HYPERLINK("https://www.spark-marketing.ru/Card/Lot/70262368", "Установка видеодомофона")</f>
        <v>Установка видеодомофона</v>
      </c>
      <c r="G8677" s="22" t="s">
        <v>50</v>
      </c>
      <c r="H8677" s="22" t="s">
        <v>104</v>
      </c>
      <c r="I8677" s="26">
        <v>43585.513414351903</v>
      </c>
      <c r="J8677" s="28" t="s">
        <v>52</v>
      </c>
      <c r="K8677" s="28" t="s">
        <v>52</v>
      </c>
      <c r="L8677" s="28" t="s">
        <v>52</v>
      </c>
      <c r="M8677" s="28" t="s">
        <v>52</v>
      </c>
      <c r="N8677" s="28" t="s">
        <v>52</v>
      </c>
    </row>
    <row r="8678" spans="1:14" ht="12.75" x14ac:dyDescent="0.2">
      <c r="A8678" s="23" t="str">
        <f>HYPERLINK("https://www.spark-marketing.ru/Card/Person/338313", "АО ""ТАМБОВСКИЕ КОММУНАЛЬНЫЕ СИСТЕМЫ""")</f>
        <v>АО "ТАМБОВСКИЕ КОММУНАЛЬНЫЕ СИСТЕМЫ"</v>
      </c>
      <c r="B8678" s="24" t="s">
        <v>10976</v>
      </c>
      <c r="C8678" s="25">
        <v>2366616</v>
      </c>
      <c r="D8678" s="22" t="s">
        <v>10977</v>
      </c>
      <c r="E8678" s="22" t="s">
        <v>144</v>
      </c>
      <c r="F8678" s="23" t="str">
        <f>HYPERLINK("https://www.spark-marketing.ru/Card/Lot/70290482", "оказание услуг по охране трех объектов с прилегающей территорией АО «Тамбовские коммунальные системы»")</f>
        <v>оказание услуг по охране трех объектов с прилегающей территорией АО «Тамбовские коммунальные системы»</v>
      </c>
      <c r="G8678" s="22" t="s">
        <v>1319</v>
      </c>
      <c r="H8678" s="22" t="s">
        <v>1320</v>
      </c>
      <c r="I8678" s="26">
        <v>43585.538356481498</v>
      </c>
      <c r="J8678" s="23" t="str">
        <f>HYPERLINK("https://www.spark-marketing.ru/Card/Person/839445", "ТОКО")</f>
        <v>ТОКО</v>
      </c>
      <c r="K8678" s="24" t="s">
        <v>10978</v>
      </c>
      <c r="L8678" s="22" t="s">
        <v>10</v>
      </c>
      <c r="M8678" s="25">
        <v>2366616</v>
      </c>
      <c r="N8678" s="27">
        <v>0</v>
      </c>
    </row>
    <row r="8679" spans="1:14" x14ac:dyDescent="0.15">
      <c r="A8679" s="23" t="str">
        <f>HYPERLINK("https://www.spark-marketing.ru/Card/Person/104384", "АДМИНИСТРАЦИЯ ГОРОДСКОГО ОКРУГА ВИЧУГА")</f>
        <v>АДМИНИСТРАЦИЯ ГОРОДСКОГО ОКРУГА ВИЧУГА</v>
      </c>
      <c r="B8679" s="24" t="s">
        <v>10979</v>
      </c>
      <c r="C8679" s="25">
        <v>301295</v>
      </c>
      <c r="D8679" s="22" t="s">
        <v>10980</v>
      </c>
      <c r="E8679" s="22" t="s">
        <v>59</v>
      </c>
      <c r="F8679" s="23" t="str">
        <f>HYPERLINK("https://www.spark-marketing.ru/Card/Lot/70274644", "Техническое обслуживание электрических сетей уличного освещения в городском округе Вичуга на 2019 год")</f>
        <v>Техническое обслуживание электрических сетей уличного освещения в городском округе Вичуга на 2019 год</v>
      </c>
      <c r="G8679" s="22" t="s">
        <v>340</v>
      </c>
      <c r="H8679" s="22" t="s">
        <v>340</v>
      </c>
      <c r="I8679" s="26">
        <v>43585.5131944444</v>
      </c>
      <c r="J8679" s="23" t="str">
        <f>HYPERLINK("https://www.spark-marketing.ru/Card/Person/300505", "ООО ""ЭНЕРГОПЛЮС""")</f>
        <v>ООО "ЭНЕРГОПЛЮС"</v>
      </c>
      <c r="K8679" s="24" t="s">
        <v>10981</v>
      </c>
      <c r="L8679" s="22" t="s">
        <v>10</v>
      </c>
      <c r="M8679" s="28" t="s">
        <v>52</v>
      </c>
      <c r="N8679" s="28" t="s">
        <v>52</v>
      </c>
    </row>
    <row r="8680" spans="1:14" ht="12.75" x14ac:dyDescent="0.2">
      <c r="A8680" s="23" t="str">
        <f>HYPERLINK("https://www.spark-marketing.ru/Card/Person/338313", "АО ""ТАМБОВСКИЕ КОММУНАЛЬНЫЕ СИСТЕМЫ""")</f>
        <v>АО "ТАМБОВСКИЕ КОММУНАЛЬНЫЕ СИСТЕМЫ"</v>
      </c>
      <c r="B8680" s="24" t="s">
        <v>10976</v>
      </c>
      <c r="C8680" s="25">
        <v>465325</v>
      </c>
      <c r="D8680" s="22" t="s">
        <v>10982</v>
      </c>
      <c r="E8680" s="22" t="s">
        <v>144</v>
      </c>
      <c r="F8680" s="23" t="str">
        <f>HYPERLINK("https://www.spark-marketing.ru/Card/Lot/70261756", "оказание услуг по охране 3-го подъёма ВЗУ № 7")</f>
        <v>оказание услуг по охране 3-го подъёма ВЗУ № 7</v>
      </c>
      <c r="G8680" s="22" t="s">
        <v>1319</v>
      </c>
      <c r="H8680" s="22" t="s">
        <v>1320</v>
      </c>
      <c r="I8680" s="26">
        <v>43585.536076388897</v>
      </c>
      <c r="J8680" s="23" t="str">
        <f>HYPERLINK("https://www.spark-marketing.ru/Card/Person/839445", "ТОКО")</f>
        <v>ТОКО</v>
      </c>
      <c r="K8680" s="24" t="s">
        <v>10978</v>
      </c>
      <c r="L8680" s="22" t="s">
        <v>10</v>
      </c>
      <c r="M8680" s="25">
        <v>465325</v>
      </c>
      <c r="N8680" s="27">
        <v>0</v>
      </c>
    </row>
    <row r="8681" spans="1:14" x14ac:dyDescent="0.15">
      <c r="A8681" s="23" t="str">
        <f>HYPERLINK("https://www.spark-marketing.ru/Card/Person/4348443", "ООО ТРЕСТ ""ТСНХРС""")</f>
        <v>ООО ТРЕСТ "ТСНХРС"</v>
      </c>
      <c r="B8681" s="24" t="s">
        <v>10983</v>
      </c>
      <c r="C8681" s="25">
        <v>0</v>
      </c>
      <c r="D8681" s="22" t="s">
        <v>10984</v>
      </c>
      <c r="E8681" s="22" t="s">
        <v>53</v>
      </c>
      <c r="F8681" s="23" t="str">
        <f>HYPERLINK("https://www.spark-marketing.ru/Card/Lot/70291663", "Тревожная радио кнопка")</f>
        <v>Тревожная радио кнопка</v>
      </c>
      <c r="G8681" s="22" t="s">
        <v>204</v>
      </c>
      <c r="H8681" s="22" t="s">
        <v>824</v>
      </c>
      <c r="I8681" s="26">
        <v>43585.489513888897</v>
      </c>
      <c r="J8681" s="28" t="s">
        <v>52</v>
      </c>
      <c r="K8681" s="28" t="s">
        <v>52</v>
      </c>
      <c r="L8681" s="28" t="s">
        <v>52</v>
      </c>
      <c r="M8681" s="28" t="s">
        <v>52</v>
      </c>
      <c r="N8681" s="28" t="s">
        <v>52</v>
      </c>
    </row>
    <row r="8682" spans="1:14" x14ac:dyDescent="0.15">
      <c r="A8682" s="23" t="str">
        <f>HYPERLINK("https://www.spark-marketing.ru/Card/Person/4343928", "ФГБОУ ВО КУБАНСКИЙ ГАУ")</f>
        <v>ФГБОУ ВО КУБАНСКИЙ ГАУ</v>
      </c>
      <c r="B8682" s="24" t="s">
        <v>1428</v>
      </c>
      <c r="C8682" s="25">
        <v>613793.76</v>
      </c>
      <c r="D8682" s="22" t="s">
        <v>10985</v>
      </c>
      <c r="E8682" s="22" t="s">
        <v>144</v>
      </c>
      <c r="F8682" s="23" t="str">
        <f>HYPERLINK("https://www.spark-marketing.ru/Card/Lot/70262487", "Услуги охранные")</f>
        <v>Услуги охранные</v>
      </c>
      <c r="G8682" s="22" t="s">
        <v>132</v>
      </c>
      <c r="H8682" s="22" t="s">
        <v>132</v>
      </c>
      <c r="I8682" s="26">
        <v>43585.494467592602</v>
      </c>
      <c r="J8682" s="28" t="s">
        <v>52</v>
      </c>
      <c r="K8682" s="28" t="s">
        <v>52</v>
      </c>
      <c r="L8682" s="28" t="s">
        <v>52</v>
      </c>
      <c r="M8682" s="28" t="s">
        <v>52</v>
      </c>
      <c r="N8682" s="28" t="s">
        <v>52</v>
      </c>
    </row>
    <row r="8683" spans="1:14" x14ac:dyDescent="0.15">
      <c r="A8683" s="23" t="str">
        <f>HYPERLINK("https://www.spark-marketing.ru/Card/Person/1731", "УКС АДМИНИСТРАЦИИ ГОРОДА АСТРАХАНИ")</f>
        <v>УКС АДМИНИСТРАЦИИ ГОРОДА АСТРАХАНИ</v>
      </c>
      <c r="B8683" s="24" t="s">
        <v>9368</v>
      </c>
      <c r="C8683" s="25">
        <v>6845740.7999999998</v>
      </c>
      <c r="D8683" s="22" t="s">
        <v>10986</v>
      </c>
      <c r="E8683" s="22" t="s">
        <v>842</v>
      </c>
      <c r="F8683" s="23" t="str">
        <f>HYPERLINK("https://www.spark-marketing.ru/Card/Lot/70268987", "Размещение нестационарного объекта - пункта охраны правопорядка на ул. Адмирала Нахимова,139 А, ул. Б. Хмельницкого, ул. Кубанская, ул. Н. Островского,57  в Советском районе г. Астрахани")</f>
        <v>Размещение нестационарного объекта - пункта охраны правопорядка на ул. Адмирала Нахимова,139 А, ул. Б. Хмельницкого, ул. Кубанская, ул. Н. Островского,57  в Советском районе г. Астрахани</v>
      </c>
      <c r="G8683" s="22" t="s">
        <v>565</v>
      </c>
      <c r="H8683" s="22" t="s">
        <v>566</v>
      </c>
      <c r="I8683" s="26">
        <v>43585.484027777798</v>
      </c>
      <c r="J8683" s="23" t="str">
        <f>HYPERLINK("https://www.spark-marketing.ru/Card/Person/4339733", "Кожевников Александр Александрович")</f>
        <v>Кожевников Александр Александрович</v>
      </c>
      <c r="K8683" s="24" t="s">
        <v>9370</v>
      </c>
      <c r="L8683" s="22" t="s">
        <v>10</v>
      </c>
      <c r="M8683" s="28" t="s">
        <v>52</v>
      </c>
      <c r="N8683" s="28" t="s">
        <v>52</v>
      </c>
    </row>
    <row r="8684" spans="1:14" x14ac:dyDescent="0.15">
      <c r="A8684" s="23" t="str">
        <f>HYPERLINK("https://www.spark-marketing.ru/Card/Person/4379290", "Ханты-Мансийский ОВО - филиал ФГКУ УВО ВНГ России по Ханты-Мансийскому автономному округу - Югре")</f>
        <v>Ханты-Мансийский ОВО - филиал ФГКУ УВО ВНГ России по Ханты-Мансийскому автономному округу - Югре</v>
      </c>
      <c r="B8684" s="24" t="s">
        <v>1963</v>
      </c>
      <c r="C8684" s="25">
        <v>21450.29</v>
      </c>
      <c r="D8684" s="22" t="s">
        <v>10987</v>
      </c>
      <c r="E8684" s="22" t="s">
        <v>1647</v>
      </c>
      <c r="F8684" s="23" t="str">
        <f>HYPERLINK("https://www.spark-marketing.ru/Card/Lot/70254687", "абонентская плата за размещение оборудования для услуг охранной сигнализации")</f>
        <v>абонентская плата за размещение оборудования для услуг охранной сигнализации</v>
      </c>
      <c r="G8684" s="22" t="s">
        <v>119</v>
      </c>
      <c r="H8684" s="22" t="s">
        <v>2563</v>
      </c>
      <c r="I8684" s="26">
        <v>43585.480555555601</v>
      </c>
      <c r="J8684" s="28" t="s">
        <v>52</v>
      </c>
      <c r="K8684" s="28" t="s">
        <v>52</v>
      </c>
      <c r="L8684" s="28" t="s">
        <v>52</v>
      </c>
      <c r="M8684" s="28" t="s">
        <v>52</v>
      </c>
      <c r="N8684" s="28" t="s">
        <v>52</v>
      </c>
    </row>
    <row r="8685" spans="1:14" x14ac:dyDescent="0.15">
      <c r="A8685" s="23" t="str">
        <f>HYPERLINK("https://www.spark-marketing.ru/Card/Person/997563", "МБУ ""СШ ""ОЛИМП"" ГОРОДСКОГО ОКРУГА ФРЯЗИНО""")</f>
        <v>МБУ "СШ "ОЛИМП" ГОРОДСКОГО ОКРУГА ФРЯЗИНО"</v>
      </c>
      <c r="B8685" s="24" t="s">
        <v>10988</v>
      </c>
      <c r="C8685" s="25">
        <v>41745</v>
      </c>
      <c r="D8685" s="22" t="s">
        <v>10989</v>
      </c>
      <c r="E8685" s="22" t="s">
        <v>59</v>
      </c>
      <c r="F8685" s="23" t="str">
        <f>HYPERLINK("https://www.spark-marketing.ru/Card/Lot/70259396", "Установка и монтаж системы тревожной сигнализации")</f>
        <v>Установка и монтаж системы тревожной сигнализации</v>
      </c>
      <c r="G8685" s="22" t="s">
        <v>50</v>
      </c>
      <c r="H8685" s="22" t="s">
        <v>10990</v>
      </c>
      <c r="I8685" s="26">
        <v>43585.494050925903</v>
      </c>
      <c r="J8685" s="28" t="s">
        <v>52</v>
      </c>
      <c r="K8685" s="28" t="s">
        <v>52</v>
      </c>
      <c r="L8685" s="28" t="s">
        <v>52</v>
      </c>
      <c r="M8685" s="28" t="s">
        <v>52</v>
      </c>
      <c r="N8685" s="28" t="s">
        <v>52</v>
      </c>
    </row>
    <row r="8686" spans="1:14" x14ac:dyDescent="0.15">
      <c r="A8686" s="23" t="str">
        <f t="shared" ref="A8686:A8693" si="384">HYPERLINK("https://www.spark-marketing.ru/Card/Person/232833", "МБДОУ Д/С ""СЕВЕРНОЕ СИЯНИЕ""")</f>
        <v>МБДОУ Д/С "СЕВЕРНОЕ СИЯНИЕ"</v>
      </c>
      <c r="B8686" s="24" t="s">
        <v>10991</v>
      </c>
      <c r="C8686" s="25">
        <v>781768.56</v>
      </c>
      <c r="D8686" s="22" t="s">
        <v>10992</v>
      </c>
      <c r="E8686" s="22" t="s">
        <v>59</v>
      </c>
      <c r="F8686" s="23" t="str">
        <f t="shared" ref="F8686:F8693" si="385">HYPERLINK("https://www.spark-marketing.ru/Card/Lot/70261915", "Выполнение работ по монтажу системы видеонаблюдения")</f>
        <v>Выполнение работ по монтажу системы видеонаблюдения</v>
      </c>
      <c r="G8686" s="22" t="s">
        <v>119</v>
      </c>
      <c r="H8686" s="22" t="s">
        <v>416</v>
      </c>
      <c r="I8686" s="26">
        <v>43585.473611111098</v>
      </c>
      <c r="J8686" s="28" t="s">
        <v>52</v>
      </c>
      <c r="K8686" s="28" t="s">
        <v>52</v>
      </c>
      <c r="L8686" s="28" t="s">
        <v>52</v>
      </c>
      <c r="M8686" s="28" t="s">
        <v>52</v>
      </c>
      <c r="N8686" s="28" t="s">
        <v>52</v>
      </c>
    </row>
    <row r="8687" spans="1:14" hidden="1" outlineLevel="1" x14ac:dyDescent="0.2">
      <c r="A8687" s="23" t="str">
        <f t="shared" si="384"/>
        <v>МБДОУ Д/С "СЕВЕРНОЕ СИЯНИЕ"</v>
      </c>
      <c r="B8687" s="24" t="s">
        <v>10991</v>
      </c>
      <c r="C8687" s="25">
        <v>781768.56</v>
      </c>
      <c r="D8687" s="22" t="s">
        <v>10992</v>
      </c>
      <c r="E8687" s="22" t="s">
        <v>59</v>
      </c>
      <c r="F8687" s="23" t="str">
        <f t="shared" si="385"/>
        <v>Выполнение работ по монтажу системы видеонаблюдения</v>
      </c>
      <c r="G8687" s="22" t="s">
        <v>119</v>
      </c>
      <c r="H8687" s="22" t="s">
        <v>416</v>
      </c>
      <c r="I8687" s="26">
        <v>43585.473611111098</v>
      </c>
      <c r="J8687" s="23" t="str">
        <f>HYPERLINK("https://www.spark-marketing.ru/Card/Person/932332", "ООО ""ВСС""")</f>
        <v>ООО "ВСС"</v>
      </c>
      <c r="K8687" s="24" t="s">
        <v>1331</v>
      </c>
      <c r="L8687" s="28" t="s">
        <v>52</v>
      </c>
      <c r="M8687" s="25">
        <v>684038.19</v>
      </c>
      <c r="N8687" s="27">
        <v>0.12501189610388017</v>
      </c>
    </row>
    <row r="8688" spans="1:14" hidden="1" outlineLevel="1" x14ac:dyDescent="0.2">
      <c r="A8688" s="23" t="str">
        <f t="shared" si="384"/>
        <v>МБДОУ Д/С "СЕВЕРНОЕ СИЯНИЕ"</v>
      </c>
      <c r="B8688" s="24" t="s">
        <v>10991</v>
      </c>
      <c r="C8688" s="25">
        <v>781768.56</v>
      </c>
      <c r="D8688" s="22" t="s">
        <v>10992</v>
      </c>
      <c r="E8688" s="22" t="s">
        <v>59</v>
      </c>
      <c r="F8688" s="23" t="str">
        <f t="shared" si="385"/>
        <v>Выполнение работ по монтажу системы видеонаблюдения</v>
      </c>
      <c r="G8688" s="22" t="s">
        <v>119</v>
      </c>
      <c r="H8688" s="22" t="s">
        <v>416</v>
      </c>
      <c r="I8688" s="26">
        <v>43585.473611111098</v>
      </c>
      <c r="J8688" s="23" t="str">
        <f>HYPERLINK("https://www.spark-marketing.ru/Card/Person/6578982", "Родичев Максим Юрьевич")</f>
        <v>Родичев Максим Юрьевич</v>
      </c>
      <c r="K8688" s="24" t="s">
        <v>1478</v>
      </c>
      <c r="L8688" s="28" t="s">
        <v>52</v>
      </c>
      <c r="M8688" s="25">
        <v>336122.94</v>
      </c>
      <c r="N8688" s="27">
        <v>0.570048020350166</v>
      </c>
    </row>
    <row r="8689" spans="1:14" ht="12.75" hidden="1" outlineLevel="1" x14ac:dyDescent="0.2">
      <c r="A8689" s="23" t="str">
        <f t="shared" si="384"/>
        <v>МБДОУ Д/С "СЕВЕРНОЕ СИЯНИЕ"</v>
      </c>
      <c r="B8689" s="24" t="s">
        <v>10991</v>
      </c>
      <c r="C8689" s="25">
        <v>781768.56</v>
      </c>
      <c r="D8689" s="22" t="s">
        <v>10992</v>
      </c>
      <c r="E8689" s="22" t="s">
        <v>59</v>
      </c>
      <c r="F8689" s="23" t="str">
        <f t="shared" si="385"/>
        <v>Выполнение работ по монтажу системы видеонаблюдения</v>
      </c>
      <c r="G8689" s="22" t="s">
        <v>119</v>
      </c>
      <c r="H8689" s="22" t="s">
        <v>416</v>
      </c>
      <c r="I8689" s="26">
        <v>43585.473611111098</v>
      </c>
      <c r="J8689" s="23" t="str">
        <f>HYPERLINK("https://www.spark-marketing.ru/Card/Person/6496380", "ООО ""ВКУС ГОРОДА""")</f>
        <v>ООО "ВКУС ГОРОДА"</v>
      </c>
      <c r="K8689" s="24" t="s">
        <v>10993</v>
      </c>
      <c r="L8689" s="22" t="s">
        <v>10</v>
      </c>
      <c r="M8689" s="25">
        <v>332214.09000000003</v>
      </c>
      <c r="N8689" s="27">
        <v>0.57504802956005296</v>
      </c>
    </row>
    <row r="8690" spans="1:14" hidden="1" outlineLevel="1" x14ac:dyDescent="0.2">
      <c r="A8690" s="23" t="str">
        <f t="shared" si="384"/>
        <v>МБДОУ Д/С "СЕВЕРНОЕ СИЯНИЕ"</v>
      </c>
      <c r="B8690" s="24" t="s">
        <v>10991</v>
      </c>
      <c r="C8690" s="25">
        <v>781768.56</v>
      </c>
      <c r="D8690" s="22" t="s">
        <v>10992</v>
      </c>
      <c r="E8690" s="22" t="s">
        <v>59</v>
      </c>
      <c r="F8690" s="23" t="str">
        <f t="shared" si="385"/>
        <v>Выполнение работ по монтажу системы видеонаблюдения</v>
      </c>
      <c r="G8690" s="22" t="s">
        <v>119</v>
      </c>
      <c r="H8690" s="22" t="s">
        <v>416</v>
      </c>
      <c r="I8690" s="26">
        <v>43585.473611111098</v>
      </c>
      <c r="J8690" s="23" t="str">
        <f>HYPERLINK("https://www.spark-marketing.ru/Card/Person/6236196", "ООО ""ВИДЕОСЕРВИС""")</f>
        <v>ООО "ВИДЕОСЕРВИС"</v>
      </c>
      <c r="K8690" s="24" t="s">
        <v>7810</v>
      </c>
      <c r="L8690" s="28" t="s">
        <v>52</v>
      </c>
      <c r="M8690" s="25">
        <v>363484.89</v>
      </c>
      <c r="N8690" s="27">
        <v>0.53504795588095788</v>
      </c>
    </row>
    <row r="8691" spans="1:14" hidden="1" outlineLevel="1" x14ac:dyDescent="0.2">
      <c r="A8691" s="23" t="str">
        <f t="shared" si="384"/>
        <v>МБДОУ Д/С "СЕВЕРНОЕ СИЯНИЕ"</v>
      </c>
      <c r="B8691" s="24" t="s">
        <v>10991</v>
      </c>
      <c r="C8691" s="25">
        <v>781768.56</v>
      </c>
      <c r="D8691" s="22" t="s">
        <v>10992</v>
      </c>
      <c r="E8691" s="22" t="s">
        <v>59</v>
      </c>
      <c r="F8691" s="23" t="str">
        <f t="shared" si="385"/>
        <v>Выполнение работ по монтажу системы видеонаблюдения</v>
      </c>
      <c r="G8691" s="22" t="s">
        <v>119</v>
      </c>
      <c r="H8691" s="22" t="s">
        <v>416</v>
      </c>
      <c r="I8691" s="26">
        <v>43585.473611111098</v>
      </c>
      <c r="J8691" s="23" t="str">
        <f>HYPERLINK("https://www.spark-marketing.ru/Card/Person/6452955", "ООО ""ЛИДЕР""")</f>
        <v>ООО "ЛИДЕР"</v>
      </c>
      <c r="K8691" s="24" t="s">
        <v>1358</v>
      </c>
      <c r="L8691" s="28" t="s">
        <v>52</v>
      </c>
      <c r="M8691" s="25">
        <v>422117.64</v>
      </c>
      <c r="N8691" s="27">
        <v>0.4600478177326548</v>
      </c>
    </row>
    <row r="8692" spans="1:14" hidden="1" outlineLevel="1" x14ac:dyDescent="0.2">
      <c r="A8692" s="23" t="str">
        <f t="shared" si="384"/>
        <v>МБДОУ Д/С "СЕВЕРНОЕ СИЯНИЕ"</v>
      </c>
      <c r="B8692" s="24" t="s">
        <v>10991</v>
      </c>
      <c r="C8692" s="25">
        <v>781768.56</v>
      </c>
      <c r="D8692" s="22" t="s">
        <v>10992</v>
      </c>
      <c r="E8692" s="22" t="s">
        <v>59</v>
      </c>
      <c r="F8692" s="23" t="str">
        <f t="shared" si="385"/>
        <v>Выполнение работ по монтажу системы видеонаблюдения</v>
      </c>
      <c r="G8692" s="22" t="s">
        <v>119</v>
      </c>
      <c r="H8692" s="22" t="s">
        <v>416</v>
      </c>
      <c r="I8692" s="26">
        <v>43585.473611111098</v>
      </c>
      <c r="J8692" s="23" t="str">
        <f>HYPERLINK("https://www.spark-marketing.ru/Card/Person/5853123", "Ершов Андрей Алексеевич")</f>
        <v>Ершов Андрей Алексеевич</v>
      </c>
      <c r="K8692" s="24" t="s">
        <v>1063</v>
      </c>
      <c r="L8692" s="28" t="s">
        <v>52</v>
      </c>
      <c r="M8692" s="25">
        <v>398664.54</v>
      </c>
      <c r="N8692" s="27">
        <v>0.49004787299197605</v>
      </c>
    </row>
    <row r="8693" spans="1:14" hidden="1" outlineLevel="1" x14ac:dyDescent="0.2">
      <c r="A8693" s="23" t="str">
        <f t="shared" si="384"/>
        <v>МБДОУ Д/С "СЕВЕРНОЕ СИЯНИЕ"</v>
      </c>
      <c r="B8693" s="24" t="s">
        <v>10991</v>
      </c>
      <c r="C8693" s="25">
        <v>781768.56</v>
      </c>
      <c r="D8693" s="22" t="s">
        <v>10992</v>
      </c>
      <c r="E8693" s="22" t="s">
        <v>59</v>
      </c>
      <c r="F8693" s="23" t="str">
        <f t="shared" si="385"/>
        <v>Выполнение работ по монтажу системы видеонаблюдения</v>
      </c>
      <c r="G8693" s="22" t="s">
        <v>119</v>
      </c>
      <c r="H8693" s="22" t="s">
        <v>416</v>
      </c>
      <c r="I8693" s="26">
        <v>43585.473611111098</v>
      </c>
      <c r="J8693" s="23" t="str">
        <f>HYPERLINK("https://www.spark-marketing.ru/Card/Person/104500", "Остапенко Виктор Иванович")</f>
        <v>Остапенко Виктор Иванович</v>
      </c>
      <c r="K8693" s="24" t="s">
        <v>3292</v>
      </c>
      <c r="L8693" s="28" t="s">
        <v>52</v>
      </c>
      <c r="M8693" s="25">
        <v>699675.89</v>
      </c>
      <c r="N8693" s="27">
        <v>0.10500891721713648</v>
      </c>
    </row>
    <row r="8694" spans="1:14" x14ac:dyDescent="0.15">
      <c r="A8694" s="23" t="str">
        <f>HYPERLINK("https://www.spark-marketing.ru/Card/Person/4348443", "ООО ТРЕСТ ""ТСНХРС""")</f>
        <v>ООО ТРЕСТ "ТСНХРС"</v>
      </c>
      <c r="B8694" s="24" t="s">
        <v>10983</v>
      </c>
      <c r="C8694" s="25">
        <v>0</v>
      </c>
      <c r="D8694" s="22" t="s">
        <v>10984</v>
      </c>
      <c r="E8694" s="22" t="s">
        <v>53</v>
      </c>
      <c r="F8694" s="23" t="str">
        <f>HYPERLINK("https://www.spark-marketing.ru/Card/Lot/70291661", "Тревожная кнопка")</f>
        <v>Тревожная кнопка</v>
      </c>
      <c r="G8694" s="22" t="s">
        <v>204</v>
      </c>
      <c r="H8694" s="22" t="s">
        <v>824</v>
      </c>
      <c r="I8694" s="26">
        <v>43585.489513888897</v>
      </c>
      <c r="J8694" s="28" t="s">
        <v>52</v>
      </c>
      <c r="K8694" s="28" t="s">
        <v>52</v>
      </c>
      <c r="L8694" s="28" t="s">
        <v>52</v>
      </c>
      <c r="M8694" s="28" t="s">
        <v>52</v>
      </c>
      <c r="N8694" s="28" t="s">
        <v>52</v>
      </c>
    </row>
    <row r="8695" spans="1:14" x14ac:dyDescent="0.15">
      <c r="A8695" s="23" t="str">
        <f>HYPERLINK("https://www.spark-marketing.ru/Card/Person/38694", "ФГУП ""МОСКОВСКОЕ ПРОП"" МИНТРУДА РОССИИ")</f>
        <v>ФГУП "МОСКОВСКОЕ ПРОП" МИНТРУДА РОССИИ</v>
      </c>
      <c r="B8695" s="24" t="s">
        <v>10994</v>
      </c>
      <c r="C8695" s="25">
        <v>1291072.32</v>
      </c>
      <c r="D8695" s="22" t="s">
        <v>10995</v>
      </c>
      <c r="E8695" s="22" t="s">
        <v>183</v>
      </c>
      <c r="F8695" s="23" t="str">
        <f>HYPERLINK("https://www.spark-marketing.ru/Card/Lot/70268673", "Оказание услуг по физической охране объектов (зданий, сооружений, прилегающей территории) во II полугодии 2019 года и в I полугодии 2020 года для нужд ""Кировского"" филиала")</f>
        <v>Оказание услуг по физической охране объектов (зданий, сооружений, прилегающей территории) во II полугодии 2019 года и в I полугодии 2020 года для нужд "Кировского" филиала</v>
      </c>
      <c r="G8695" s="22" t="s">
        <v>556</v>
      </c>
      <c r="H8695" s="22" t="s">
        <v>557</v>
      </c>
      <c r="I8695" s="26">
        <v>43585.458333333299</v>
      </c>
      <c r="J8695" s="23" t="str">
        <f>HYPERLINK("https://www.spark-marketing.ru/Card/Person/2010461", "ООО ""ЧОО ""ЭВЕРЕСТ""")</f>
        <v>ООО "ЧОО "ЭВЕРЕСТ"</v>
      </c>
      <c r="K8695" s="24" t="s">
        <v>10996</v>
      </c>
      <c r="L8695" s="22" t="s">
        <v>10</v>
      </c>
      <c r="M8695" s="28" t="s">
        <v>52</v>
      </c>
      <c r="N8695" s="28" t="s">
        <v>52</v>
      </c>
    </row>
    <row r="8696" spans="1:14" x14ac:dyDescent="0.15">
      <c r="A8696" s="23" t="str">
        <f>HYPERLINK("https://www.spark-marketing.ru/Card/Person/61671", "ГБДОУ ДЕТСКИЙ САД № 70 КИРОВСКОГО РАЙОНА САНКТ-ПЕТЕРБУРГА")</f>
        <v>ГБДОУ ДЕТСКИЙ САД № 70 КИРОВСКОГО РАЙОНА САНКТ-ПЕТЕРБУРГА</v>
      </c>
      <c r="B8696" s="24" t="s">
        <v>10997</v>
      </c>
      <c r="C8696" s="25">
        <v>1248327.8799999999</v>
      </c>
      <c r="D8696" s="22" t="s">
        <v>10998</v>
      </c>
      <c r="E8696" s="22" t="s">
        <v>59</v>
      </c>
      <c r="F8696" s="23" t="str">
        <f>HYPERLINK("https://www.spark-marketing.ru/Card/Lot/70268229", "Выполнение работ по монтажу системы охранного видеонаблюдения зданий ГБДОУ Детский сад №70 Кировского района Санкт-Петербурга")</f>
        <v>Выполнение работ по монтажу системы охранного видеонаблюдения зданий ГБДОУ Детский сад №70 Кировского района Санкт-Петербурга</v>
      </c>
      <c r="G8696" s="22" t="s">
        <v>89</v>
      </c>
      <c r="H8696" s="22" t="s">
        <v>89</v>
      </c>
      <c r="I8696" s="26">
        <v>43585.4506944444</v>
      </c>
      <c r="J8696" s="23" t="str">
        <f>HYPERLINK("https://www.spark-marketing.ru/Card/Person/1548969", "ООО ""ОМЕГА""")</f>
        <v>ООО "ОМЕГА"</v>
      </c>
      <c r="K8696" s="24" t="s">
        <v>1352</v>
      </c>
      <c r="L8696" s="28" t="s">
        <v>52</v>
      </c>
      <c r="M8696" s="28" t="s">
        <v>52</v>
      </c>
      <c r="N8696" s="28" t="s">
        <v>52</v>
      </c>
    </row>
    <row r="8697" spans="1:14" ht="12.75" hidden="1" outlineLevel="1" x14ac:dyDescent="0.2">
      <c r="A8697" s="23" t="str">
        <f>HYPERLINK("https://www.spark-marketing.ru/Card/Person/61671", "ГБДОУ ДЕТСКИЙ САД № 70 КИРОВСКОГО РАЙОНА САНКТ-ПЕТЕРБУРГА")</f>
        <v>ГБДОУ ДЕТСКИЙ САД № 70 КИРОВСКОГО РАЙОНА САНКТ-ПЕТЕРБУРГА</v>
      </c>
      <c r="B8697" s="24" t="s">
        <v>10997</v>
      </c>
      <c r="C8697" s="25">
        <v>1248327.8799999999</v>
      </c>
      <c r="D8697" s="22" t="s">
        <v>10998</v>
      </c>
      <c r="E8697" s="22" t="s">
        <v>59</v>
      </c>
      <c r="F8697" s="23" t="str">
        <f>HYPERLINK("https://www.spark-marketing.ru/Card/Lot/70268229", "Выполнение работ по монтажу системы охранного видеонаблюдения зданий ГБДОУ Детский сад №70 Кировского района Санкт-Петербурга")</f>
        <v>Выполнение работ по монтажу системы охранного видеонаблюдения зданий ГБДОУ Детский сад №70 Кировского района Санкт-Петербурга</v>
      </c>
      <c r="G8697" s="22" t="s">
        <v>89</v>
      </c>
      <c r="H8697" s="22" t="s">
        <v>89</v>
      </c>
      <c r="I8697" s="26">
        <v>43585.4506944444</v>
      </c>
      <c r="J8697" s="23" t="str">
        <f>HYPERLINK("https://www.spark-marketing.ru/Card/Person/1548969", "ООО ""ОМЕГА""")</f>
        <v>ООО "ОМЕГА"</v>
      </c>
      <c r="K8697" s="24" t="s">
        <v>1352</v>
      </c>
      <c r="L8697" s="22" t="s">
        <v>10</v>
      </c>
      <c r="M8697" s="25">
        <v>1242086.24</v>
      </c>
      <c r="N8697" s="27">
        <v>5.0000004806429544E-3</v>
      </c>
    </row>
    <row r="8698" spans="1:14" x14ac:dyDescent="0.15">
      <c r="A8698" s="23" t="str">
        <f>HYPERLINK("https://www.spark-marketing.ru/Card/Person/738130", "ФКУ СИЗО-1 УФСИН РОССИИ ПО РЕСПУБЛИКЕ МАРИЙ ЭЛ")</f>
        <v>ФКУ СИЗО-1 УФСИН РОССИИ ПО РЕСПУБЛИКЕ МАРИЙ ЭЛ</v>
      </c>
      <c r="B8698" s="24" t="s">
        <v>8743</v>
      </c>
      <c r="C8698" s="25">
        <v>8325</v>
      </c>
      <c r="D8698" s="22" t="s">
        <v>10999</v>
      </c>
      <c r="E8698" s="22" t="s">
        <v>53</v>
      </c>
      <c r="F8698" s="23" t="str">
        <f>HYPERLINK("https://www.spark-marketing.ru/Card/Lot/70762862", "товар для технического обслуживания технических средств охраны и надзора")</f>
        <v>товар для технического обслуживания технических средств охраны и надзора</v>
      </c>
      <c r="G8698" s="22" t="s">
        <v>2514</v>
      </c>
      <c r="H8698" s="22" t="s">
        <v>4189</v>
      </c>
      <c r="I8698" s="26">
        <v>43585.4514583333</v>
      </c>
      <c r="J8698" s="28" t="s">
        <v>52</v>
      </c>
      <c r="K8698" s="28" t="s">
        <v>52</v>
      </c>
      <c r="L8698" s="28" t="s">
        <v>52</v>
      </c>
      <c r="M8698" s="28" t="s">
        <v>52</v>
      </c>
      <c r="N8698" s="28" t="s">
        <v>52</v>
      </c>
    </row>
    <row r="8699" spans="1:14" x14ac:dyDescent="0.15">
      <c r="A8699" s="23" t="str">
        <f>HYPERLINK("https://www.spark-marketing.ru/Card/Person/32456", "АДМИНИСТРАЦИЯ ЛАЗАРЕВСКОГО ВНУТРИГОРОДСКОГО РАЙОНА ГОРОДА СОЧИ")</f>
        <v>АДМИНИСТРАЦИЯ ЛАЗАРЕВСКОГО ВНУТРИГОРОДСКОГО РАЙОНА ГОРОДА СОЧИ</v>
      </c>
      <c r="B8699" s="24" t="s">
        <v>11000</v>
      </c>
      <c r="C8699" s="25">
        <v>459264</v>
      </c>
      <c r="D8699" s="22" t="s">
        <v>11001</v>
      </c>
      <c r="E8699" s="22" t="s">
        <v>68</v>
      </c>
      <c r="F8699" s="23" t="str">
        <f>HYPERLINK("https://www.spark-marketing.ru/Card/Lot/70267492", "Оказание охранных услуг во 2 полугодии 2019 года")</f>
        <v>Оказание охранных услуг во 2 полугодии 2019 года</v>
      </c>
      <c r="G8699" s="22" t="s">
        <v>132</v>
      </c>
      <c r="H8699" s="22" t="s">
        <v>132</v>
      </c>
      <c r="I8699" s="26">
        <v>43585.453472222202</v>
      </c>
      <c r="J8699" s="28" t="s">
        <v>52</v>
      </c>
      <c r="K8699" s="28" t="s">
        <v>52</v>
      </c>
      <c r="L8699" s="28" t="s">
        <v>52</v>
      </c>
      <c r="M8699" s="28" t="s">
        <v>52</v>
      </c>
      <c r="N8699" s="28" t="s">
        <v>52</v>
      </c>
    </row>
    <row r="8700" spans="1:14" hidden="1" outlineLevel="1" x14ac:dyDescent="0.2">
      <c r="A8700" s="23" t="str">
        <f>HYPERLINK("https://www.spark-marketing.ru/Card/Person/32456", "АДМИНИСТРАЦИЯ ЛАЗАРЕВСКОГО ВНУТРИГОРОДСКОГО РАЙОНА ГОРОДА СОЧИ")</f>
        <v>АДМИНИСТРАЦИЯ ЛАЗАРЕВСКОГО ВНУТРИГОРОДСКОГО РАЙОНА ГОРОДА СОЧИ</v>
      </c>
      <c r="B8700" s="24" t="s">
        <v>11000</v>
      </c>
      <c r="C8700" s="25">
        <v>459264</v>
      </c>
      <c r="D8700" s="22" t="s">
        <v>11001</v>
      </c>
      <c r="E8700" s="22" t="s">
        <v>68</v>
      </c>
      <c r="F8700" s="23" t="str">
        <f>HYPERLINK("https://www.spark-marketing.ru/Card/Lot/70267492", "Оказание охранных услуг во 2 полугодии 2019 года")</f>
        <v>Оказание охранных услуг во 2 полугодии 2019 года</v>
      </c>
      <c r="G8700" s="22" t="s">
        <v>132</v>
      </c>
      <c r="H8700" s="22" t="s">
        <v>132</v>
      </c>
      <c r="I8700" s="26">
        <v>43585.453472222202</v>
      </c>
      <c r="J8700" s="23" t="str">
        <f>HYPERLINK("https://www.spark-marketing.ru/Card/Person/113866", "ООО ""ЧОО ""СОКОЛ""")</f>
        <v>ООО "ЧОО "СОКОЛ"</v>
      </c>
      <c r="K8700" s="24" t="s">
        <v>11002</v>
      </c>
      <c r="L8700" s="28" t="s">
        <v>52</v>
      </c>
      <c r="M8700" s="25">
        <v>432768</v>
      </c>
      <c r="N8700" s="27">
        <v>5.7692307692307696E-2</v>
      </c>
    </row>
    <row r="8701" spans="1:14" ht="12.75" hidden="1" outlineLevel="1" x14ac:dyDescent="0.2">
      <c r="A8701" s="23" t="str">
        <f>HYPERLINK("https://www.spark-marketing.ru/Card/Person/32456", "АДМИНИСТРАЦИЯ ЛАЗАРЕВСКОГО ВНУТРИГОРОДСКОГО РАЙОНА ГОРОДА СОЧИ")</f>
        <v>АДМИНИСТРАЦИЯ ЛАЗАРЕВСКОГО ВНУТРИГОРОДСКОГО РАЙОНА ГОРОДА СОЧИ</v>
      </c>
      <c r="B8701" s="24" t="s">
        <v>11000</v>
      </c>
      <c r="C8701" s="25">
        <v>459264</v>
      </c>
      <c r="D8701" s="22" t="s">
        <v>11001</v>
      </c>
      <c r="E8701" s="22" t="s">
        <v>68</v>
      </c>
      <c r="F8701" s="23" t="str">
        <f>HYPERLINK("https://www.spark-marketing.ru/Card/Lot/70267492", "Оказание охранных услуг во 2 полугодии 2019 года")</f>
        <v>Оказание охранных услуг во 2 полугодии 2019 года</v>
      </c>
      <c r="G8701" s="22" t="s">
        <v>132</v>
      </c>
      <c r="H8701" s="22" t="s">
        <v>132</v>
      </c>
      <c r="I8701" s="26">
        <v>43585.453472222202</v>
      </c>
      <c r="J8701" s="23" t="str">
        <f>HYPERLINK("https://www.spark-marketing.ru/Card/Person/461410", "ООО ""ОСА ""СКОРПИОН""")</f>
        <v>ООО "ОСА "СКОРПИОН"</v>
      </c>
      <c r="K8701" s="24" t="s">
        <v>6843</v>
      </c>
      <c r="L8701" s="22" t="s">
        <v>10</v>
      </c>
      <c r="M8701" s="25">
        <v>295607.03999999998</v>
      </c>
      <c r="N8701" s="27">
        <v>0.35634615384615387</v>
      </c>
    </row>
    <row r="8702" spans="1:14" hidden="1" outlineLevel="1" x14ac:dyDescent="0.2">
      <c r="A8702" s="23" t="str">
        <f>HYPERLINK("https://www.spark-marketing.ru/Card/Person/32456", "АДМИНИСТРАЦИЯ ЛАЗАРЕВСКОГО ВНУТРИГОРОДСКОГО РАЙОНА ГОРОДА СОЧИ")</f>
        <v>АДМИНИСТРАЦИЯ ЛАЗАРЕВСКОГО ВНУТРИГОРОДСКОГО РАЙОНА ГОРОДА СОЧИ</v>
      </c>
      <c r="B8702" s="24" t="s">
        <v>11000</v>
      </c>
      <c r="C8702" s="25">
        <v>459264</v>
      </c>
      <c r="D8702" s="22" t="s">
        <v>11001</v>
      </c>
      <c r="E8702" s="22" t="s">
        <v>68</v>
      </c>
      <c r="F8702" s="23" t="str">
        <f>HYPERLINK("https://www.spark-marketing.ru/Card/Lot/70267492", "Оказание охранных услуг во 2 полугодии 2019 года")</f>
        <v>Оказание охранных услуг во 2 полугодии 2019 года</v>
      </c>
      <c r="G8702" s="22" t="s">
        <v>132</v>
      </c>
      <c r="H8702" s="22" t="s">
        <v>132</v>
      </c>
      <c r="I8702" s="26">
        <v>43585.453472222202</v>
      </c>
      <c r="J8702" s="23" t="str">
        <f>HYPERLINK("https://www.spark-marketing.ru/Card/Person/133649", "ООО ЧОО ""ОХРАННОЕ ОБЪЕДИНЕНИЕ МИР""")</f>
        <v>ООО ЧОО "ОХРАННОЕ ОБЪЕДИНЕНИЕ МИР"</v>
      </c>
      <c r="K8702" s="24" t="s">
        <v>2934</v>
      </c>
      <c r="L8702" s="28" t="s">
        <v>52</v>
      </c>
      <c r="M8702" s="25">
        <v>324000</v>
      </c>
      <c r="N8702" s="27">
        <v>0.29452341137123744</v>
      </c>
    </row>
    <row r="8703" spans="1:14" hidden="1" outlineLevel="1" x14ac:dyDescent="0.2">
      <c r="A8703" s="23" t="str">
        <f>HYPERLINK("https://www.spark-marketing.ru/Card/Person/32456", "АДМИНИСТРАЦИЯ ЛАЗАРЕВСКОГО ВНУТРИГОРОДСКОГО РАЙОНА ГОРОДА СОЧИ")</f>
        <v>АДМИНИСТРАЦИЯ ЛАЗАРЕВСКОГО ВНУТРИГОРОДСКОГО РАЙОНА ГОРОДА СОЧИ</v>
      </c>
      <c r="B8703" s="24" t="s">
        <v>11000</v>
      </c>
      <c r="C8703" s="25">
        <v>459264</v>
      </c>
      <c r="D8703" s="22" t="s">
        <v>11001</v>
      </c>
      <c r="E8703" s="22" t="s">
        <v>68</v>
      </c>
      <c r="F8703" s="23" t="str">
        <f>HYPERLINK("https://www.spark-marketing.ru/Card/Lot/70267492", "Оказание охранных услуг во 2 полугодии 2019 года")</f>
        <v>Оказание охранных услуг во 2 полугодии 2019 года</v>
      </c>
      <c r="G8703" s="22" t="s">
        <v>132</v>
      </c>
      <c r="H8703" s="22" t="s">
        <v>132</v>
      </c>
      <c r="I8703" s="26">
        <v>43585.453472222202</v>
      </c>
      <c r="J8703" s="23" t="str">
        <f>HYPERLINK("https://www.spark-marketing.ru/Card/Person/1829429", "ООО ЧОО ""ВЕРТИКАЛЬ""")</f>
        <v>ООО ЧОО "ВЕРТИКАЛЬ"</v>
      </c>
      <c r="K8703" s="24" t="s">
        <v>11003</v>
      </c>
      <c r="L8703" s="28" t="s">
        <v>52</v>
      </c>
      <c r="M8703" s="25">
        <v>318000</v>
      </c>
      <c r="N8703" s="27">
        <v>0.30758779264214048</v>
      </c>
    </row>
    <row r="8704" spans="1:14" x14ac:dyDescent="0.15">
      <c r="A8704" s="23" t="str">
        <f>HYPERLINK("https://www.spark-marketing.ru/Card/Person/1781483", "МУП МОГОК РК ""ДРСПУ""")</f>
        <v>МУП МОГОК РК "ДРСПУ"</v>
      </c>
      <c r="B8704" s="24" t="s">
        <v>11004</v>
      </c>
      <c r="C8704" s="25">
        <v>315960</v>
      </c>
      <c r="D8704" s="22" t="s">
        <v>11005</v>
      </c>
      <c r="E8704" s="22" t="s">
        <v>49</v>
      </c>
      <c r="F8704" s="23" t="str">
        <f>HYPERLINK("https://www.spark-marketing.ru/Card/Lot/70257146", "Выполнение работ по установке системы охранной сигнализации в служебных кабинетах и крытом корпусе МУП МОГОК РК ""ДРСПУ""")</f>
        <v>Выполнение работ по установке системы охранной сигнализации в служебных кабинетах и крытом корпусе МУП МОГОК РК "ДРСПУ"</v>
      </c>
      <c r="G8704" s="22" t="s">
        <v>1053</v>
      </c>
      <c r="H8704" s="22" t="s">
        <v>1053</v>
      </c>
      <c r="I8704" s="26">
        <v>43585.437881944403</v>
      </c>
      <c r="J8704" s="28" t="s">
        <v>52</v>
      </c>
      <c r="K8704" s="28" t="s">
        <v>52</v>
      </c>
      <c r="L8704" s="28" t="s">
        <v>52</v>
      </c>
      <c r="M8704" s="28" t="s">
        <v>52</v>
      </c>
      <c r="N8704" s="28" t="s">
        <v>52</v>
      </c>
    </row>
    <row r="8705" spans="1:14" x14ac:dyDescent="0.15">
      <c r="A8705" s="23" t="str">
        <f>HYPERLINK("https://www.spark-marketing.ru/Card/Person/1064578", "МУ ""ОТДЕЛ КУЛЬТУРЫ АЧХОЙ-МАРТАНОВСКОГО МУНИЦИПАЛЬНОГО РАЙОНА""")</f>
        <v>МУ "ОТДЕЛ КУЛЬТУРЫ АЧХОЙ-МАРТАНОВСКОГО МУНИЦИПАЛЬНОГО РАЙОНА"</v>
      </c>
      <c r="B8705" s="24" t="s">
        <v>11006</v>
      </c>
      <c r="C8705" s="25">
        <v>1022070</v>
      </c>
      <c r="D8705" s="22" t="s">
        <v>11007</v>
      </c>
      <c r="E8705" s="22" t="s">
        <v>218</v>
      </c>
      <c r="F8705" s="23" t="str">
        <f>HYPERLINK("https://www.spark-marketing.ru/Card/Lot/70262171", "Оказание услуг по осуществлению строительного контроля и техническому сопровождению работ по объекту муниципального заказа "" Строительство сельского дома культуры в с.Янди, Ачхой-Мартановского муниципального района")</f>
        <v>Оказание услуг по осуществлению строительного контроля и техническому сопровождению работ по объекту муниципального заказа " Строительство сельского дома культуры в с.Янди, Ачхой-Мартановского муниципального района</v>
      </c>
      <c r="G8705" s="22" t="s">
        <v>724</v>
      </c>
      <c r="H8705" s="22" t="s">
        <v>724</v>
      </c>
      <c r="I8705" s="26">
        <v>43585.399305555598</v>
      </c>
      <c r="J8705" s="23" t="str">
        <f>HYPERLINK("https://www.spark-marketing.ru/Card/Person/976351", "ООО ""КАСКАД""")</f>
        <v>ООО "КАСКАД"</v>
      </c>
      <c r="K8705" s="24" t="s">
        <v>11008</v>
      </c>
      <c r="L8705" s="22" t="s">
        <v>10</v>
      </c>
      <c r="M8705" s="28" t="s">
        <v>52</v>
      </c>
      <c r="N8705" s="28" t="s">
        <v>52</v>
      </c>
    </row>
    <row r="8706" spans="1:14" x14ac:dyDescent="0.15">
      <c r="A8706" s="23" t="str">
        <f>HYPERLINK("https://www.spark-marketing.ru/Card/Person/4369400", "ООО АВИАПРЕДПРИЯТИЕ ""ГАЗПРОМ АВИА""")</f>
        <v>ООО АВИАПРЕДПРИЯТИЕ "ГАЗПРОМ АВИА"</v>
      </c>
      <c r="B8706" s="24" t="s">
        <v>6295</v>
      </c>
      <c r="C8706" s="25">
        <v>500000</v>
      </c>
      <c r="D8706" s="22" t="s">
        <v>11009</v>
      </c>
      <c r="E8706" s="22" t="s">
        <v>5405</v>
      </c>
      <c r="F8706" s="23" t="str">
        <f>HYPERLINK("https://www.spark-marketing.ru/Card/Lot/70257926", "Выполнение работ по разработке дополнений к Плану обеспечения транспортной безопасности объекта транспортной инфраструктуры - аэропорт ""Остафьево"" и проектов организационно-распорядительных документов, направленных на реализацию мер по обеспечению ...")</f>
        <v>Выполнение работ по разработке дополнений к Плану обеспечения транспортной безопасности объекта транспортной инфраструктуры - аэропорт "Остафьево" и проектов организационно-распорядительных документов, направленных на реализацию мер по обеспечению ...</v>
      </c>
      <c r="G8706" s="22" t="s">
        <v>55</v>
      </c>
      <c r="H8706" s="22" t="s">
        <v>55</v>
      </c>
      <c r="I8706" s="26">
        <v>43585.4066550926</v>
      </c>
      <c r="J8706" s="28" t="s">
        <v>52</v>
      </c>
      <c r="K8706" s="28" t="s">
        <v>52</v>
      </c>
      <c r="L8706" s="28" t="s">
        <v>52</v>
      </c>
      <c r="M8706" s="28" t="s">
        <v>52</v>
      </c>
      <c r="N8706" s="28" t="s">
        <v>52</v>
      </c>
    </row>
    <row r="8707" spans="1:14" x14ac:dyDescent="0.15">
      <c r="A8707" s="23" t="str">
        <f>HYPERLINK("https://www.spark-marketing.ru/Card/Person/947080", "МЕЖРАЙОННАЯ ИФНС РОССИИ №4 ПО ПРИМОРСКОМУ КРАЮ")</f>
        <v>МЕЖРАЙОННАЯ ИФНС РОССИИ №4 ПО ПРИМОРСКОМУ КРАЮ</v>
      </c>
      <c r="B8707" s="24" t="s">
        <v>11010</v>
      </c>
      <c r="C8707" s="25">
        <v>12361.02</v>
      </c>
      <c r="D8707" s="22" t="s">
        <v>11011</v>
      </c>
      <c r="E8707" s="22" t="s">
        <v>53</v>
      </c>
      <c r="F8707" s="23" t="str">
        <f>HYPERLINK("https://www.spark-marketing.ru/Card/Lot/70764794", "Оказание услуг по экстренному выезду наряда охраны при срабатыванию кнопки тревожной сигнализации")</f>
        <v>Оказание услуг по экстренному выезду наряда охраны при срабатыванию кнопки тревожной сигнализации</v>
      </c>
      <c r="G8707" s="22" t="s">
        <v>409</v>
      </c>
      <c r="H8707" s="22" t="s">
        <v>3740</v>
      </c>
      <c r="I8707" s="26">
        <v>43585.4077314815</v>
      </c>
      <c r="J8707" s="28" t="s">
        <v>52</v>
      </c>
      <c r="K8707" s="28" t="s">
        <v>52</v>
      </c>
      <c r="L8707" s="28" t="s">
        <v>52</v>
      </c>
      <c r="M8707" s="28" t="s">
        <v>52</v>
      </c>
      <c r="N8707" s="28" t="s">
        <v>52</v>
      </c>
    </row>
    <row r="8708" spans="1:14" x14ac:dyDescent="0.15">
      <c r="A8708" s="23" t="str">
        <f>HYPERLINK("https://www.spark-marketing.ru/Card/Person/4369400", "ООО АВИАПРЕДПРИЯТИЕ ""ГАЗПРОМ АВИА""")</f>
        <v>ООО АВИАПРЕДПРИЯТИЕ "ГАЗПРОМ АВИА"</v>
      </c>
      <c r="B8708" s="24" t="s">
        <v>6295</v>
      </c>
      <c r="C8708" s="25">
        <v>33630</v>
      </c>
      <c r="D8708" s="22" t="s">
        <v>11012</v>
      </c>
      <c r="E8708" s="22" t="s">
        <v>144</v>
      </c>
      <c r="F8708" s="23" t="str">
        <f>HYPERLINK("https://www.spark-marketing.ru/Card/Lot/70253558", "Обеспечение пропускного режима")</f>
        <v>Обеспечение пропускного режима</v>
      </c>
      <c r="G8708" s="22" t="s">
        <v>55</v>
      </c>
      <c r="H8708" s="22" t="s">
        <v>55</v>
      </c>
      <c r="I8708" s="26">
        <v>43585.403831018499</v>
      </c>
      <c r="J8708" s="28" t="s">
        <v>52</v>
      </c>
      <c r="K8708" s="28" t="s">
        <v>52</v>
      </c>
      <c r="L8708" s="28" t="s">
        <v>52</v>
      </c>
      <c r="M8708" s="28" t="s">
        <v>52</v>
      </c>
      <c r="N8708" s="28" t="s">
        <v>52</v>
      </c>
    </row>
    <row r="8709" spans="1:14" x14ac:dyDescent="0.15">
      <c r="A8709" s="23" t="str">
        <f>HYPERLINK("https://www.spark-marketing.ru/Card/Person/10834", "ГКУ КО ""ДИРЕКЦИЯ АВТОДОРОГ КУЗБАССА""")</f>
        <v>ГКУ КО "ДИРЕКЦИЯ АВТОДОРОГ КУЗБАССА"</v>
      </c>
      <c r="B8709" s="24" t="s">
        <v>1499</v>
      </c>
      <c r="C8709" s="25">
        <v>2589797.33</v>
      </c>
      <c r="D8709" s="22" t="s">
        <v>11013</v>
      </c>
      <c r="E8709" s="22" t="s">
        <v>723</v>
      </c>
      <c r="F8709" s="23" t="str">
        <f>HYPERLINK("https://www.spark-marketing.ru/Card/Lot/70245655",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автомобильных дорогах об...")</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автомобильных дорогах об...</v>
      </c>
      <c r="G8709" s="22" t="s">
        <v>367</v>
      </c>
      <c r="H8709" s="22" t="s">
        <v>881</v>
      </c>
      <c r="I8709" s="26">
        <v>43585.366666666698</v>
      </c>
      <c r="J8709" s="23" t="str">
        <f>HYPERLINK("https://www.spark-marketing.ru/Card/Person/264779", "ООО ""ПРОСИСТЕМ""")</f>
        <v>ООО "ПРОСИСТЕМ"</v>
      </c>
      <c r="K8709" s="24" t="s">
        <v>1528</v>
      </c>
      <c r="L8709" s="22" t="s">
        <v>10</v>
      </c>
      <c r="M8709" s="28" t="s">
        <v>52</v>
      </c>
      <c r="N8709" s="28" t="s">
        <v>52</v>
      </c>
    </row>
    <row r="8710" spans="1:14" x14ac:dyDescent="0.15">
      <c r="A8710" s="23" t="str">
        <f t="shared" ref="A8710:A8716" si="386">HYPERLINK("https://www.spark-marketing.ru/Card/Person/69781", "ГБУЗ ТО ""ТССМП""")</f>
        <v>ГБУЗ ТО "ТССМП"</v>
      </c>
      <c r="B8710" s="24" t="s">
        <v>11014</v>
      </c>
      <c r="C8710" s="25">
        <v>490000</v>
      </c>
      <c r="D8710" s="22" t="s">
        <v>11015</v>
      </c>
      <c r="E8710" s="22" t="s">
        <v>52</v>
      </c>
      <c r="F8710" s="23" t="str">
        <f t="shared" ref="F8710:F8716" si="387">HYPERLINK("https://www.spark-marketing.ru/Card/Lot/70252039", "Поставка и установка системы видеонаблюдения")</f>
        <v>Поставка и установка системы видеонаблюдения</v>
      </c>
      <c r="G8710" s="22" t="s">
        <v>251</v>
      </c>
      <c r="H8710" s="22" t="s">
        <v>252</v>
      </c>
      <c r="I8710" s="26">
        <v>43585.354861111096</v>
      </c>
      <c r="J8710" s="28" t="s">
        <v>52</v>
      </c>
      <c r="K8710" s="28" t="s">
        <v>52</v>
      </c>
      <c r="L8710" s="28" t="s">
        <v>52</v>
      </c>
      <c r="M8710" s="28" t="s">
        <v>52</v>
      </c>
      <c r="N8710" s="28" t="s">
        <v>52</v>
      </c>
    </row>
    <row r="8711" spans="1:14" hidden="1" outlineLevel="1" x14ac:dyDescent="0.2">
      <c r="A8711" s="23" t="str">
        <f t="shared" si="386"/>
        <v>ГБУЗ ТО "ТССМП"</v>
      </c>
      <c r="B8711" s="24" t="s">
        <v>11014</v>
      </c>
      <c r="C8711" s="25">
        <v>490000</v>
      </c>
      <c r="D8711" s="22" t="s">
        <v>11015</v>
      </c>
      <c r="E8711" s="22" t="s">
        <v>52</v>
      </c>
      <c r="F8711" s="23" t="str">
        <f t="shared" si="387"/>
        <v>Поставка и установка системы видеонаблюдения</v>
      </c>
      <c r="G8711" s="22" t="s">
        <v>251</v>
      </c>
      <c r="H8711" s="22" t="s">
        <v>252</v>
      </c>
      <c r="I8711" s="26">
        <v>43585.354861111096</v>
      </c>
      <c r="J8711" s="23" t="str">
        <f>HYPERLINK("https://www.spark-marketing.ru/Card/Person/240623", "ООО ""ТРИОЛИТ""")</f>
        <v>ООО "ТРИОЛИТ"</v>
      </c>
      <c r="K8711" s="24" t="s">
        <v>11016</v>
      </c>
      <c r="L8711" s="28" t="s">
        <v>52</v>
      </c>
      <c r="M8711" s="25">
        <v>359350</v>
      </c>
      <c r="N8711" s="27">
        <v>0.26663265306122447</v>
      </c>
    </row>
    <row r="8712" spans="1:14" hidden="1" outlineLevel="1" x14ac:dyDescent="0.2">
      <c r="A8712" s="23" t="str">
        <f t="shared" si="386"/>
        <v>ГБУЗ ТО "ТССМП"</v>
      </c>
      <c r="B8712" s="24" t="s">
        <v>11014</v>
      </c>
      <c r="C8712" s="25">
        <v>490000</v>
      </c>
      <c r="D8712" s="22" t="s">
        <v>11015</v>
      </c>
      <c r="E8712" s="22" t="s">
        <v>52</v>
      </c>
      <c r="F8712" s="23" t="str">
        <f t="shared" si="387"/>
        <v>Поставка и установка системы видеонаблюдения</v>
      </c>
      <c r="G8712" s="22" t="s">
        <v>251</v>
      </c>
      <c r="H8712" s="22" t="s">
        <v>252</v>
      </c>
      <c r="I8712" s="26">
        <v>43585.354861111096</v>
      </c>
      <c r="J8712" s="23" t="str">
        <f>HYPERLINK("https://www.spark-marketing.ru/Card/Person/611750", "Петров Роман Сергеевич")</f>
        <v>Петров Роман Сергеевич</v>
      </c>
      <c r="K8712" s="24" t="s">
        <v>11017</v>
      </c>
      <c r="L8712" s="28" t="s">
        <v>52</v>
      </c>
      <c r="M8712" s="25">
        <v>332400</v>
      </c>
      <c r="N8712" s="27">
        <v>0.32163265306122452</v>
      </c>
    </row>
    <row r="8713" spans="1:14" hidden="1" outlineLevel="1" x14ac:dyDescent="0.2">
      <c r="A8713" s="23" t="str">
        <f t="shared" si="386"/>
        <v>ГБУЗ ТО "ТССМП"</v>
      </c>
      <c r="B8713" s="24" t="s">
        <v>11014</v>
      </c>
      <c r="C8713" s="25">
        <v>490000</v>
      </c>
      <c r="D8713" s="22" t="s">
        <v>11015</v>
      </c>
      <c r="E8713" s="22" t="s">
        <v>52</v>
      </c>
      <c r="F8713" s="23" t="str">
        <f t="shared" si="387"/>
        <v>Поставка и установка системы видеонаблюдения</v>
      </c>
      <c r="G8713" s="22" t="s">
        <v>251</v>
      </c>
      <c r="H8713" s="22" t="s">
        <v>252</v>
      </c>
      <c r="I8713" s="26">
        <v>43585.354861111096</v>
      </c>
      <c r="J8713" s="23" t="str">
        <f>HYPERLINK("https://www.spark-marketing.ru/Card/Person/621761", "ООО ""СНБ МЕДИА ГРУППА""")</f>
        <v>ООО "СНБ МЕДИА ГРУППА"</v>
      </c>
      <c r="K8713" s="24" t="s">
        <v>2509</v>
      </c>
      <c r="L8713" s="28" t="s">
        <v>52</v>
      </c>
      <c r="M8713" s="25">
        <v>364250</v>
      </c>
      <c r="N8713" s="27">
        <v>0.25663265306122451</v>
      </c>
    </row>
    <row r="8714" spans="1:14" hidden="1" outlineLevel="1" x14ac:dyDescent="0.2">
      <c r="A8714" s="23" t="str">
        <f t="shared" si="386"/>
        <v>ГБУЗ ТО "ТССМП"</v>
      </c>
      <c r="B8714" s="24" t="s">
        <v>11014</v>
      </c>
      <c r="C8714" s="25">
        <v>490000</v>
      </c>
      <c r="D8714" s="22" t="s">
        <v>11015</v>
      </c>
      <c r="E8714" s="22" t="s">
        <v>52</v>
      </c>
      <c r="F8714" s="23" t="str">
        <f t="shared" si="387"/>
        <v>Поставка и установка системы видеонаблюдения</v>
      </c>
      <c r="G8714" s="22" t="s">
        <v>251</v>
      </c>
      <c r="H8714" s="22" t="s">
        <v>252</v>
      </c>
      <c r="I8714" s="26">
        <v>43585.354861111096</v>
      </c>
      <c r="J8714" s="23" t="str">
        <f>HYPERLINK("https://www.spark-marketing.ru/Card/Person/616617", "ООО ""АЙТИГРУПП""")</f>
        <v>ООО "АЙТИГРУПП"</v>
      </c>
      <c r="K8714" s="24" t="s">
        <v>2507</v>
      </c>
      <c r="L8714" s="28" t="s">
        <v>52</v>
      </c>
      <c r="M8714" s="25">
        <v>349550</v>
      </c>
      <c r="N8714" s="27">
        <v>0.28663265306122448</v>
      </c>
    </row>
    <row r="8715" spans="1:14" hidden="1" outlineLevel="1" x14ac:dyDescent="0.2">
      <c r="A8715" s="23" t="str">
        <f t="shared" si="386"/>
        <v>ГБУЗ ТО "ТССМП"</v>
      </c>
      <c r="B8715" s="24" t="s">
        <v>11014</v>
      </c>
      <c r="C8715" s="25">
        <v>490000</v>
      </c>
      <c r="D8715" s="22" t="s">
        <v>11015</v>
      </c>
      <c r="E8715" s="22" t="s">
        <v>52</v>
      </c>
      <c r="F8715" s="23" t="str">
        <f t="shared" si="387"/>
        <v>Поставка и установка системы видеонаблюдения</v>
      </c>
      <c r="G8715" s="22" t="s">
        <v>251</v>
      </c>
      <c r="H8715" s="22" t="s">
        <v>252</v>
      </c>
      <c r="I8715" s="26">
        <v>43585.354861111096</v>
      </c>
      <c r="J8715" s="23" t="str">
        <f>HYPERLINK("https://www.spark-marketing.ru/Card/Person/264812", "ООО ""ЦТБ-КОМИТЕК""")</f>
        <v>ООО "ЦТБ-КОМИТЕК"</v>
      </c>
      <c r="K8715" s="24" t="s">
        <v>10206</v>
      </c>
      <c r="L8715" s="28" t="s">
        <v>52</v>
      </c>
      <c r="M8715" s="25">
        <v>334850</v>
      </c>
      <c r="N8715" s="27">
        <v>0.31663265306122451</v>
      </c>
    </row>
    <row r="8716" spans="1:14" ht="12.75" hidden="1" outlineLevel="1" x14ac:dyDescent="0.2">
      <c r="A8716" s="23" t="str">
        <f t="shared" si="386"/>
        <v>ГБУЗ ТО "ТССМП"</v>
      </c>
      <c r="B8716" s="24" t="s">
        <v>11014</v>
      </c>
      <c r="C8716" s="25">
        <v>490000</v>
      </c>
      <c r="D8716" s="22" t="s">
        <v>11015</v>
      </c>
      <c r="E8716" s="22" t="s">
        <v>52</v>
      </c>
      <c r="F8716" s="23" t="str">
        <f t="shared" si="387"/>
        <v>Поставка и установка системы видеонаблюдения</v>
      </c>
      <c r="G8716" s="22" t="s">
        <v>251</v>
      </c>
      <c r="H8716" s="22" t="s">
        <v>252</v>
      </c>
      <c r="I8716" s="26">
        <v>43585.354861111096</v>
      </c>
      <c r="J8716" s="23" t="str">
        <f>HYPERLINK("https://www.spark-marketing.ru/Card/Person/6402207", "Виноградов Павел Павлович")</f>
        <v>Виноградов Павел Павлович</v>
      </c>
      <c r="K8716" s="24" t="s">
        <v>9935</v>
      </c>
      <c r="L8716" s="22" t="s">
        <v>10</v>
      </c>
      <c r="M8716" s="25">
        <v>329950</v>
      </c>
      <c r="N8716" s="27">
        <v>0.32663265306122446</v>
      </c>
    </row>
    <row r="8717" spans="1:14" ht="12.75" x14ac:dyDescent="0.2">
      <c r="A8717" s="23" t="str">
        <f>HYPERLINK("https://www.spark-marketing.ru/Card/Person/4343754", "СГТУ ИМЕНИ ГАГАРИНА Ю.А.; САРАТОВСКИЙ УНИВЕРСИТЕТ")</f>
        <v>СГТУ ИМЕНИ ГАГАРИНА Ю.А.; САРАТОВСКИЙ УНИВЕРСИТЕТ</v>
      </c>
      <c r="B8717" s="24" t="s">
        <v>11018</v>
      </c>
      <c r="C8717" s="25">
        <v>145000</v>
      </c>
      <c r="D8717" s="22" t="s">
        <v>11019</v>
      </c>
      <c r="E8717" s="22" t="s">
        <v>5214</v>
      </c>
      <c r="F8717" s="23" t="str">
        <f>HYPERLINK("https://www.spark-marketing.ru/Card/Lot/70248644", "Техническое обеспечение и техническое облуживание звуковой, световой и видео аппаратурой торжественного мероприятия для нужд ЭТИ (филиал) СГТУ имени Гагарина Ю.А.")</f>
        <v>Техническое обеспечение и техническое облуживание звуковой, световой и видео аппаратурой торжественного мероприятия для нужд ЭТИ (филиал) СГТУ имени Гагарина Ю.А.</v>
      </c>
      <c r="G8717" s="22" t="s">
        <v>80</v>
      </c>
      <c r="H8717" s="22" t="s">
        <v>3150</v>
      </c>
      <c r="I8717" s="26">
        <v>43585.3655671296</v>
      </c>
      <c r="J8717" s="23" t="str">
        <f>HYPERLINK("https://www.spark-marketing.ru/Card/Person/545770", "Обычев Олег Владимирович")</f>
        <v>Обычев Олег Владимирович</v>
      </c>
      <c r="K8717" s="24" t="s">
        <v>1635</v>
      </c>
      <c r="L8717" s="22" t="s">
        <v>10</v>
      </c>
      <c r="M8717" s="25">
        <v>142000</v>
      </c>
      <c r="N8717" s="27">
        <v>2.0689655172413793E-2</v>
      </c>
    </row>
    <row r="8718" spans="1:14" x14ac:dyDescent="0.15">
      <c r="A8718" s="23" t="str">
        <f>HYPERLINK("https://www.spark-marketing.ru/Card/Person/77064", "ГАУЗ ""КЛИНИКА МЕДИЦИНСКОГО УНИВЕРСИТЕТА""")</f>
        <v>ГАУЗ "КЛИНИКА МЕДИЦИНСКОГО УНИВЕРСИТЕТА"</v>
      </c>
      <c r="B8718" s="24" t="s">
        <v>11020</v>
      </c>
      <c r="C8718" s="25">
        <v>287485.74</v>
      </c>
      <c r="D8718" s="22" t="s">
        <v>11021</v>
      </c>
      <c r="E8718" s="22" t="s">
        <v>68</v>
      </c>
      <c r="F8718" s="23" t="str">
        <f>HYPERLINK("https://www.spark-marketing.ru/Card/Lot/70253533", "Предоставление услуг по охране объектов посредством комплекса технических средств охраны и осуществление экстренного выезда наряда полиции для ГАУЗ ""КМУ""")</f>
        <v>Предоставление услуг по охране объектов посредством комплекса технических средств охраны и осуществление экстренного выезда наряда полиции для ГАУЗ "КМУ"</v>
      </c>
      <c r="G8718" s="22" t="s">
        <v>204</v>
      </c>
      <c r="H8718" s="22" t="s">
        <v>303</v>
      </c>
      <c r="I8718" s="26">
        <v>43585.350694444402</v>
      </c>
      <c r="J8718" s="28" t="s">
        <v>52</v>
      </c>
      <c r="K8718" s="28" t="s">
        <v>52</v>
      </c>
      <c r="L8718" s="28" t="s">
        <v>52</v>
      </c>
      <c r="M8718" s="28" t="s">
        <v>52</v>
      </c>
      <c r="N8718" s="28" t="s">
        <v>52</v>
      </c>
    </row>
    <row r="8719" spans="1:14" x14ac:dyDescent="0.15">
      <c r="A8719" s="23" t="str">
        <f>HYPERLINK("https://www.spark-marketing.ru/Card/Person/29330", "МКУ ""УКХ""")</f>
        <v>МКУ "УКХ"</v>
      </c>
      <c r="B8719" s="24" t="s">
        <v>1769</v>
      </c>
      <c r="C8719" s="25">
        <v>216172.94</v>
      </c>
      <c r="D8719" s="22" t="s">
        <v>11022</v>
      </c>
      <c r="E8719" s="22" t="s">
        <v>59</v>
      </c>
      <c r="F8719" s="23" t="str">
        <f>HYPERLINK("https://www.spark-marketing.ru/Card/Lot/70246164", "Выполнение работ по устройству системы видеонаблюдения городской площади ГО Карпинск")</f>
        <v>Выполнение работ по устройству системы видеонаблюдения городской площади ГО Карпинск</v>
      </c>
      <c r="G8719" s="22" t="s">
        <v>72</v>
      </c>
      <c r="H8719" s="22" t="s">
        <v>1771</v>
      </c>
      <c r="I8719" s="26">
        <v>43585.336805555598</v>
      </c>
      <c r="J8719" s="28" t="s">
        <v>52</v>
      </c>
      <c r="K8719" s="28" t="s">
        <v>52</v>
      </c>
      <c r="L8719" s="28" t="s">
        <v>52</v>
      </c>
      <c r="M8719" s="28" t="s">
        <v>52</v>
      </c>
      <c r="N8719" s="28" t="s">
        <v>52</v>
      </c>
    </row>
    <row r="8720" spans="1:14" x14ac:dyDescent="0.15">
      <c r="A8720" s="23" t="str">
        <f>HYPERLINK("https://www.spark-marketing.ru/Card/Person/367573", "УПРАВЛЕНИЕ РОСРЕЗЕРВА ПО СИБИРСКОМУ ФЕДЕРАЛЬНОМУ ОКРУГУ")</f>
        <v>УПРАВЛЕНИЕ РОСРЕЗЕРВА ПО СИБИРСКОМУ ФЕДЕРАЛЬНОМУ ОКРУГУ</v>
      </c>
      <c r="B8720" s="24" t="s">
        <v>6994</v>
      </c>
      <c r="C8720" s="25">
        <v>25102.2</v>
      </c>
      <c r="D8720" s="22" t="s">
        <v>11023</v>
      </c>
      <c r="E8720" s="22" t="s">
        <v>53</v>
      </c>
      <c r="F8720" s="23" t="str">
        <f>HYPERLINK("https://www.spark-marketing.ru/Card/Lot/70764381", "Услуги по обслуживанию технических средств охраны")</f>
        <v>Услуги по обслуживанию технических средств охраны</v>
      </c>
      <c r="G8720" s="22" t="s">
        <v>209</v>
      </c>
      <c r="H8720" s="22" t="s">
        <v>210</v>
      </c>
      <c r="I8720" s="26">
        <v>43585.2593865741</v>
      </c>
      <c r="J8720" s="28" t="s">
        <v>52</v>
      </c>
      <c r="K8720" s="28" t="s">
        <v>52</v>
      </c>
      <c r="L8720" s="28" t="s">
        <v>52</v>
      </c>
      <c r="M8720" s="28" t="s">
        <v>52</v>
      </c>
      <c r="N8720" s="28" t="s">
        <v>52</v>
      </c>
    </row>
    <row r="8721" spans="1:14" x14ac:dyDescent="0.15">
      <c r="A8721" s="23" t="str">
        <f>HYPERLINK("https://www.spark-marketing.ru/Card/Person/1726097", "УФПС КЕМЕРОВСКОЙ ОБЛ ФЛ ФГУП ПОЧТА РОССИИ")</f>
        <v>УФПС КЕМЕРОВСКОЙ ОБЛ ФЛ ФГУП ПОЧТА РОССИИ</v>
      </c>
      <c r="B8721" s="24" t="s">
        <v>1424</v>
      </c>
      <c r="C8721" s="25">
        <v>478224</v>
      </c>
      <c r="D8721" s="22" t="s">
        <v>11024</v>
      </c>
      <c r="E8721" s="22" t="s">
        <v>53</v>
      </c>
      <c r="F8721" s="23" t="str">
        <f>HYPERLINK("https://www.spark-marketing.ru/Card/Lot/71233872", "оказание услуг по охране имущества, принадлежащего ОСП Топкинского почтамта УФПС Кемеровской области - филиала ФГУП ""Почта России"" при его транспортировке")</f>
        <v>оказание услуг по охране имущества, принадлежащего ОСП Топкинского почтамта УФПС Кемеровской области - филиала ФГУП "Почта России" при его транспортировке</v>
      </c>
      <c r="G8721" s="22" t="s">
        <v>367</v>
      </c>
      <c r="H8721" s="22" t="s">
        <v>367</v>
      </c>
      <c r="I8721" s="26">
        <v>43585.2722222222</v>
      </c>
      <c r="J8721" s="28" t="s">
        <v>52</v>
      </c>
      <c r="K8721" s="28" t="s">
        <v>52</v>
      </c>
      <c r="L8721" s="28" t="s">
        <v>52</v>
      </c>
      <c r="M8721" s="28" t="s">
        <v>52</v>
      </c>
      <c r="N8721" s="28" t="s">
        <v>52</v>
      </c>
    </row>
    <row r="8722" spans="1:14" x14ac:dyDescent="0.15">
      <c r="A8722" s="23" t="str">
        <f>HYPERLINK("https://www.spark-marketing.ru/Card/Person/4365629", "ГАУК НСО ""ДИРЕКЦИЯ ПРОГРАММ""")</f>
        <v>ГАУК НСО "ДИРЕКЦИЯ ПРОГРАММ"</v>
      </c>
      <c r="B8722" s="24" t="s">
        <v>11025</v>
      </c>
      <c r="C8722" s="25">
        <v>300000</v>
      </c>
      <c r="D8722" s="22" t="s">
        <v>11026</v>
      </c>
      <c r="E8722" s="22" t="s">
        <v>1634</v>
      </c>
      <c r="F8722" s="23" t="str">
        <f>HYPERLINK("https://www.spark-marketing.ru/Card/Lot/70245615", "Оказание услуг по видеообеспечению совместного мероприятия в рамках организации и проведения торжественного собрания и праздничного концерта (видеопроизводство и адаптирование видеоконтента для мероприятия, техническое обеспечение видеооборудованием,...")</f>
        <v>Оказание услуг по видеообеспечению совместного мероприятия в рамках организации и проведения торжественного собрания и праздничного концерта (видеопроизводство и адаптирование видеоконтента для мероприятия, техническое обеспечение видеооборудованием,...</v>
      </c>
      <c r="G8722" s="22" t="s">
        <v>209</v>
      </c>
      <c r="H8722" s="22" t="s">
        <v>210</v>
      </c>
      <c r="I8722" s="26">
        <v>43585.234722222202</v>
      </c>
      <c r="J8722" s="28" t="s">
        <v>52</v>
      </c>
      <c r="K8722" s="28" t="s">
        <v>52</v>
      </c>
      <c r="L8722" s="28" t="s">
        <v>52</v>
      </c>
      <c r="M8722" s="28" t="s">
        <v>52</v>
      </c>
      <c r="N8722" s="28" t="s">
        <v>52</v>
      </c>
    </row>
    <row r="8723" spans="1:14" x14ac:dyDescent="0.15">
      <c r="A8723" s="23" t="str">
        <f>HYPERLINK("https://www.spark-marketing.ru/Card/Person/1070004", "МКДОУ ""КЛЮЧИКОВСКИЙ ДЕТСКИЙ САД""")</f>
        <v>МКДОУ "КЛЮЧИКОВСКИЙ ДЕТСКИЙ САД"</v>
      </c>
      <c r="B8723" s="24" t="s">
        <v>11027</v>
      </c>
      <c r="C8723" s="25">
        <v>12500</v>
      </c>
      <c r="D8723" s="22" t="s">
        <v>11028</v>
      </c>
      <c r="E8723" s="22" t="s">
        <v>59</v>
      </c>
      <c r="F8723" s="23" t="str">
        <f>HYPERLINK("https://www.spark-marketing.ru/Card/Lot/70245485", "ЭЛ. магазин на оказание услуг по монтажу кнопки тревожной сигнализации")</f>
        <v>ЭЛ. магазин на оказание услуг по монтажу кнопки тревожной сигнализации</v>
      </c>
      <c r="G8723" s="22" t="s">
        <v>209</v>
      </c>
      <c r="H8723" s="22" t="s">
        <v>5208</v>
      </c>
      <c r="I8723" s="26">
        <v>43585.223611111098</v>
      </c>
      <c r="J8723" s="28" t="s">
        <v>52</v>
      </c>
      <c r="K8723" s="28" t="s">
        <v>52</v>
      </c>
      <c r="L8723" s="28" t="s">
        <v>52</v>
      </c>
      <c r="M8723" s="28" t="s">
        <v>52</v>
      </c>
      <c r="N8723" s="28" t="s">
        <v>52</v>
      </c>
    </row>
    <row r="8724" spans="1:14" x14ac:dyDescent="0.15">
      <c r="A8724" s="23" t="str">
        <f>HYPERLINK("https://www.spark-marketing.ru/Card/Person/1070877", "МКОУ ""ШАЙДУРОВСКАЯ СОШ ИМЕНИ ГЕРОЯ СОВЕТСКОГО СОЮЗА Г. И. ВЫГЛАЗОВА""")</f>
        <v>МКОУ "ШАЙДУРОВСКАЯ СОШ ИМЕНИ ГЕРОЯ СОВЕТСКОГО СОЮЗА Г. И. ВЫГЛАЗОВА"</v>
      </c>
      <c r="B8724" s="24" t="s">
        <v>11029</v>
      </c>
      <c r="C8724" s="25">
        <v>12500</v>
      </c>
      <c r="D8724" s="22" t="s">
        <v>11030</v>
      </c>
      <c r="E8724" s="22" t="s">
        <v>59</v>
      </c>
      <c r="F8724" s="23" t="str">
        <f>HYPERLINK("https://www.spark-marketing.ru/Card/Lot/70243074", "ЭЛ.магазин на оказание услуг по монтажу кнопки тревожной сигнализации")</f>
        <v>ЭЛ.магазин на оказание услуг по монтажу кнопки тревожной сигнализации</v>
      </c>
      <c r="G8724" s="22" t="s">
        <v>209</v>
      </c>
      <c r="H8724" s="22" t="s">
        <v>5208</v>
      </c>
      <c r="I8724" s="26">
        <v>43585.180555555598</v>
      </c>
      <c r="J8724" s="28" t="s">
        <v>52</v>
      </c>
      <c r="K8724" s="28" t="s">
        <v>52</v>
      </c>
      <c r="L8724" s="28" t="s">
        <v>52</v>
      </c>
      <c r="M8724" s="28" t="s">
        <v>52</v>
      </c>
      <c r="N8724" s="28" t="s">
        <v>52</v>
      </c>
    </row>
    <row r="8725" spans="1:14" x14ac:dyDescent="0.15">
      <c r="A8725" s="23" t="str">
        <f>HYPERLINK("https://www.spark-marketing.ru/Card/Person/1069026", "МКДОУ ""БОБРОВСКИЙ ДЕТСКИЙ САД""")</f>
        <v>МКДОУ "БОБРОВСКИЙ ДЕТСКИЙ САД"</v>
      </c>
      <c r="B8725" s="24" t="s">
        <v>11031</v>
      </c>
      <c r="C8725" s="25">
        <v>12500</v>
      </c>
      <c r="D8725" s="22" t="s">
        <v>11032</v>
      </c>
      <c r="E8725" s="22" t="s">
        <v>59</v>
      </c>
      <c r="F8725" s="23" t="str">
        <f>HYPERLINK("https://www.spark-marketing.ru/Card/Lot/70243086", "ЭЛ.магазин на оказание услуг по монтажу кнопки тревожной сигнализации")</f>
        <v>ЭЛ.магазин на оказание услуг по монтажу кнопки тревожной сигнализации</v>
      </c>
      <c r="G8725" s="22" t="s">
        <v>209</v>
      </c>
      <c r="H8725" s="22" t="s">
        <v>5208</v>
      </c>
      <c r="I8725" s="26">
        <v>43585.197916666701</v>
      </c>
      <c r="J8725" s="28" t="s">
        <v>52</v>
      </c>
      <c r="K8725" s="28" t="s">
        <v>52</v>
      </c>
      <c r="L8725" s="28" t="s">
        <v>52</v>
      </c>
      <c r="M8725" s="28" t="s">
        <v>52</v>
      </c>
      <c r="N8725" s="28" t="s">
        <v>52</v>
      </c>
    </row>
    <row r="8726" spans="1:14" x14ac:dyDescent="0.15">
      <c r="A8726" s="23" t="str">
        <f>HYPERLINK("https://www.spark-marketing.ru/Card/Person/149378", "МКОУ ""БОБРОВСКАЯ СОШ""")</f>
        <v>МКОУ "БОБРОВСКАЯ СОШ"</v>
      </c>
      <c r="B8726" s="24" t="s">
        <v>5424</v>
      </c>
      <c r="C8726" s="25">
        <v>12500</v>
      </c>
      <c r="D8726" s="22" t="s">
        <v>11033</v>
      </c>
      <c r="E8726" s="22" t="s">
        <v>59</v>
      </c>
      <c r="F8726" s="23" t="str">
        <f>HYPERLINK("https://www.spark-marketing.ru/Card/Lot/70243093", "ЭЛ.магазин на оказание услуг по монтажу кнопки тревожной сигнализации")</f>
        <v>ЭЛ.магазин на оказание услуг по монтажу кнопки тревожной сигнализации</v>
      </c>
      <c r="G8726" s="22" t="s">
        <v>209</v>
      </c>
      <c r="H8726" s="22" t="s">
        <v>5208</v>
      </c>
      <c r="I8726" s="26">
        <v>43585.207638888904</v>
      </c>
      <c r="J8726" s="28" t="s">
        <v>52</v>
      </c>
      <c r="K8726" s="28" t="s">
        <v>52</v>
      </c>
      <c r="L8726" s="28" t="s">
        <v>52</v>
      </c>
      <c r="M8726" s="28" t="s">
        <v>52</v>
      </c>
      <c r="N8726" s="28" t="s">
        <v>52</v>
      </c>
    </row>
    <row r="8727" spans="1:14" x14ac:dyDescent="0.15">
      <c r="A8727" s="23" t="str">
        <f>HYPERLINK("https://www.spark-marketing.ru/Card/Person/6450322", "ЗАКАЗЧИК РП БЕЛАРУСЬ")</f>
        <v>ЗАКАЗЧИК РП БЕЛАРУСЬ</v>
      </c>
      <c r="B8727" s="28" t="s">
        <v>52</v>
      </c>
      <c r="C8727" s="25">
        <v>80105.076000000001</v>
      </c>
      <c r="D8727" s="22" t="s">
        <v>11034</v>
      </c>
      <c r="E8727" s="22" t="s">
        <v>53</v>
      </c>
      <c r="F8727" s="23" t="str">
        <f>HYPERLINK("https://www.spark-marketing.ru/Card/Lot/70269881", "Весы электронные")</f>
        <v>Весы электронные</v>
      </c>
      <c r="G8727" s="22" t="s">
        <v>52</v>
      </c>
      <c r="H8727" s="22" t="s">
        <v>52</v>
      </c>
      <c r="I8727" s="26">
        <v>43585</v>
      </c>
      <c r="J8727" s="28" t="s">
        <v>52</v>
      </c>
      <c r="K8727" s="28" t="s">
        <v>52</v>
      </c>
      <c r="L8727" s="28" t="s">
        <v>52</v>
      </c>
      <c r="M8727" s="28" t="s">
        <v>52</v>
      </c>
      <c r="N8727" s="28" t="s">
        <v>52</v>
      </c>
    </row>
    <row r="8728" spans="1:14" x14ac:dyDescent="0.15">
      <c r="A8728" s="23" t="str">
        <f>HYPERLINK("https://www.spark-marketing.ru/Card/Person/6450322", "ЗАКАЗЧИК РП БЕЛАРУСЬ")</f>
        <v>ЗАКАЗЧИК РП БЕЛАРУСЬ</v>
      </c>
      <c r="B8728" s="28" t="s">
        <v>52</v>
      </c>
      <c r="C8728" s="25">
        <v>52574.710800000001</v>
      </c>
      <c r="D8728" s="22" t="s">
        <v>11034</v>
      </c>
      <c r="E8728" s="22" t="s">
        <v>53</v>
      </c>
      <c r="F8728" s="23" t="str">
        <f>HYPERLINK("https://www.spark-marketing.ru/Card/Lot/70269878", "Оборудование сауны")</f>
        <v>Оборудование сауны</v>
      </c>
      <c r="G8728" s="22" t="s">
        <v>52</v>
      </c>
      <c r="H8728" s="22" t="s">
        <v>52</v>
      </c>
      <c r="I8728" s="26">
        <v>43585</v>
      </c>
      <c r="J8728" s="28" t="s">
        <v>52</v>
      </c>
      <c r="K8728" s="28" t="s">
        <v>52</v>
      </c>
      <c r="L8728" s="28" t="s">
        <v>52</v>
      </c>
      <c r="M8728" s="28" t="s">
        <v>52</v>
      </c>
      <c r="N8728" s="28" t="s">
        <v>52</v>
      </c>
    </row>
    <row r="8729" spans="1:14" x14ac:dyDescent="0.15">
      <c r="A8729" s="23" t="str">
        <f>HYPERLINK("https://www.spark-marketing.ru/Card/Person/4343563", "РТРС")</f>
        <v>РТРС</v>
      </c>
      <c r="B8729" s="24" t="s">
        <v>1414</v>
      </c>
      <c r="C8729" s="25">
        <v>4856730.3499999996</v>
      </c>
      <c r="D8729" s="22" t="s">
        <v>11035</v>
      </c>
      <c r="E8729" s="22" t="s">
        <v>49</v>
      </c>
      <c r="F8729" s="23" t="str">
        <f>HYPERLINK("https://www.spark-marketing.ru/Card/Lot/70247777", "Поставка и монтаж системы охраны объектов с функцией удаленного управления доступом (28 объектов филиала)")</f>
        <v>Поставка и монтаж системы охраны объектов с функцией удаленного управления доступом (28 объектов филиала)</v>
      </c>
      <c r="G8729" s="22" t="s">
        <v>60</v>
      </c>
      <c r="H8729" s="22" t="s">
        <v>60</v>
      </c>
      <c r="I8729" s="26">
        <v>43584.6749305556</v>
      </c>
      <c r="J8729" s="28" t="s">
        <v>52</v>
      </c>
      <c r="K8729" s="28" t="s">
        <v>52</v>
      </c>
      <c r="L8729" s="28" t="s">
        <v>52</v>
      </c>
      <c r="M8729" s="28" t="s">
        <v>52</v>
      </c>
      <c r="N8729" s="28" t="s">
        <v>52</v>
      </c>
    </row>
    <row r="8730" spans="1:14" hidden="1" outlineLevel="1" x14ac:dyDescent="0.2">
      <c r="A8730" s="23" t="str">
        <f>HYPERLINK("https://www.spark-marketing.ru/Card/Person/4343563", "РТРС")</f>
        <v>РТРС</v>
      </c>
      <c r="B8730" s="24" t="s">
        <v>1414</v>
      </c>
      <c r="C8730" s="28" t="s">
        <v>52</v>
      </c>
      <c r="D8730" s="22" t="s">
        <v>11035</v>
      </c>
      <c r="E8730" s="22" t="s">
        <v>49</v>
      </c>
      <c r="F8730" s="23" t="str">
        <f>HYPERLINK("https://www.spark-marketing.ru/Card/Lot/70247777", "Поставка и монтаж системы охраны объектов с функцией удаленного управления доступом (28 объектов филиала)")</f>
        <v>Поставка и монтаж системы охраны объектов с функцией удаленного управления доступом (28 объектов филиала)</v>
      </c>
      <c r="G8730" s="22" t="s">
        <v>60</v>
      </c>
      <c r="H8730" s="22" t="s">
        <v>60</v>
      </c>
      <c r="I8730" s="26">
        <v>43584.6749305556</v>
      </c>
      <c r="J8730" s="23" t="str">
        <f>HYPERLINK("https://www.spark-marketing.ru/Card/Person/6576090", "ООО ""СЛАБОТОЧНЫЕ СИСТЕМЫ""")</f>
        <v>ООО "СЛАБОТОЧНЫЕ СИСТЕМЫ"</v>
      </c>
      <c r="K8730" s="24" t="s">
        <v>11036</v>
      </c>
      <c r="L8730" s="22" t="s">
        <v>10</v>
      </c>
      <c r="M8730" s="25">
        <v>4830000</v>
      </c>
      <c r="N8730" s="27">
        <v>5.5037747772017035E-3</v>
      </c>
    </row>
    <row r="8731" spans="1:14" hidden="1" outlineLevel="1" x14ac:dyDescent="0.2">
      <c r="A8731" s="23" t="str">
        <f>HYPERLINK("https://www.spark-marketing.ru/Card/Person/4343563", "РТРС")</f>
        <v>РТРС</v>
      </c>
      <c r="B8731" s="24" t="s">
        <v>1414</v>
      </c>
      <c r="C8731" s="28" t="s">
        <v>52</v>
      </c>
      <c r="D8731" s="22" t="s">
        <v>11035</v>
      </c>
      <c r="E8731" s="22" t="s">
        <v>49</v>
      </c>
      <c r="F8731" s="23" t="str">
        <f>HYPERLINK("https://www.spark-marketing.ru/Card/Lot/70247777", "Поставка и монтаж системы охраны объектов с функцией удаленного управления доступом (28 объектов филиала)")</f>
        <v>Поставка и монтаж системы охраны объектов с функцией удаленного управления доступом (28 объектов филиала)</v>
      </c>
      <c r="G8731" s="22" t="s">
        <v>60</v>
      </c>
      <c r="H8731" s="22" t="s">
        <v>60</v>
      </c>
      <c r="I8731" s="26">
        <v>43584.6749305556</v>
      </c>
      <c r="J8731" s="23" t="str">
        <f>HYPERLINK("https://www.spark-marketing.ru/Card/Person/5885193", "ООО ""АВС-УРАЛ ЮГ""")</f>
        <v>ООО "АВС-УРАЛ ЮГ"</v>
      </c>
      <c r="K8731" s="24" t="s">
        <v>11037</v>
      </c>
      <c r="L8731" s="28" t="s">
        <v>52</v>
      </c>
      <c r="M8731" s="25">
        <v>4711028</v>
      </c>
      <c r="N8731" s="27">
        <v>3.0000090492979501E-2</v>
      </c>
    </row>
    <row r="8732" spans="1:14" x14ac:dyDescent="0.15">
      <c r="A8732" s="23" t="str">
        <f t="shared" ref="A8732:A8737" si="388">HYPERLINK("https://www.spark-marketing.ru/Card/Person/6450322", "ЗАКАЗЧИК РП БЕЛАРУСЬ")</f>
        <v>ЗАКАЗЧИК РП БЕЛАРУСЬ</v>
      </c>
      <c r="B8732" s="28" t="s">
        <v>52</v>
      </c>
      <c r="C8732" s="25">
        <v>67368.062000000005</v>
      </c>
      <c r="D8732" s="22" t="s">
        <v>11034</v>
      </c>
      <c r="E8732" s="22" t="s">
        <v>53</v>
      </c>
      <c r="F8732" s="23" t="str">
        <f>HYPERLINK("https://www.spark-marketing.ru/Card/Lot/70269879", "Кухонное оборудование")</f>
        <v>Кухонное оборудование</v>
      </c>
      <c r="G8732" s="22" t="s">
        <v>52</v>
      </c>
      <c r="H8732" s="22" t="s">
        <v>52</v>
      </c>
      <c r="I8732" s="26">
        <v>43585</v>
      </c>
      <c r="J8732" s="28" t="s">
        <v>52</v>
      </c>
      <c r="K8732" s="28" t="s">
        <v>52</v>
      </c>
      <c r="L8732" s="28" t="s">
        <v>52</v>
      </c>
      <c r="M8732" s="28" t="s">
        <v>52</v>
      </c>
      <c r="N8732" s="28" t="s">
        <v>52</v>
      </c>
    </row>
    <row r="8733" spans="1:14" x14ac:dyDescent="0.15">
      <c r="A8733" s="23" t="str">
        <f t="shared" si="388"/>
        <v>ЗАКАЗЧИК РП БЕЛАРУСЬ</v>
      </c>
      <c r="B8733" s="28" t="s">
        <v>52</v>
      </c>
      <c r="C8733" s="25">
        <v>863354.70799999998</v>
      </c>
      <c r="D8733" s="22" t="s">
        <v>11034</v>
      </c>
      <c r="E8733" s="22" t="s">
        <v>53</v>
      </c>
      <c r="F8733" s="23" t="str">
        <f>HYPERLINK("https://www.spark-marketing.ru/Card/Lot/70269981", "Видеопроекторы")</f>
        <v>Видеопроекторы</v>
      </c>
      <c r="G8733" s="22" t="s">
        <v>52</v>
      </c>
      <c r="H8733" s="22" t="s">
        <v>52</v>
      </c>
      <c r="I8733" s="26">
        <v>43585</v>
      </c>
      <c r="J8733" s="28" t="s">
        <v>52</v>
      </c>
      <c r="K8733" s="28" t="s">
        <v>52</v>
      </c>
      <c r="L8733" s="28" t="s">
        <v>52</v>
      </c>
      <c r="M8733" s="28" t="s">
        <v>52</v>
      </c>
      <c r="N8733" s="28" t="s">
        <v>52</v>
      </c>
    </row>
    <row r="8734" spans="1:14" x14ac:dyDescent="0.15">
      <c r="A8734" s="23" t="str">
        <f t="shared" si="388"/>
        <v>ЗАКАЗЧИК РП БЕЛАРУСЬ</v>
      </c>
      <c r="B8734" s="28" t="s">
        <v>52</v>
      </c>
      <c r="C8734" s="25">
        <v>2157619.48</v>
      </c>
      <c r="D8734" s="22" t="s">
        <v>11034</v>
      </c>
      <c r="E8734" s="22" t="s">
        <v>53</v>
      </c>
      <c r="F8734" s="23" t="str">
        <f>HYPERLINK("https://www.spark-marketing.ru/Card/Lot/70269977", "Рентгенотелевизионная установка")</f>
        <v>Рентгенотелевизионная установка</v>
      </c>
      <c r="G8734" s="22" t="s">
        <v>52</v>
      </c>
      <c r="H8734" s="22" t="s">
        <v>52</v>
      </c>
      <c r="I8734" s="26">
        <v>43585</v>
      </c>
      <c r="J8734" s="28" t="s">
        <v>52</v>
      </c>
      <c r="K8734" s="28" t="s">
        <v>52</v>
      </c>
      <c r="L8734" s="28" t="s">
        <v>52</v>
      </c>
      <c r="M8734" s="28" t="s">
        <v>52</v>
      </c>
      <c r="N8734" s="28" t="s">
        <v>52</v>
      </c>
    </row>
    <row r="8735" spans="1:14" x14ac:dyDescent="0.15">
      <c r="A8735" s="23" t="str">
        <f t="shared" si="388"/>
        <v>ЗАКАЗЧИК РП БЕЛАРУСЬ</v>
      </c>
      <c r="B8735" s="28" t="s">
        <v>52</v>
      </c>
      <c r="C8735" s="25">
        <v>23693.915199999999</v>
      </c>
      <c r="D8735" s="22" t="s">
        <v>11034</v>
      </c>
      <c r="E8735" s="22" t="s">
        <v>53</v>
      </c>
      <c r="F8735" s="23" t="str">
        <f>HYPERLINK("https://www.spark-marketing.ru/Card/Lot/70269877", "Кассовое оборудование")</f>
        <v>Кассовое оборудование</v>
      </c>
      <c r="G8735" s="22" t="s">
        <v>52</v>
      </c>
      <c r="H8735" s="22" t="s">
        <v>52</v>
      </c>
      <c r="I8735" s="26">
        <v>43585</v>
      </c>
      <c r="J8735" s="28" t="s">
        <v>52</v>
      </c>
      <c r="K8735" s="28" t="s">
        <v>52</v>
      </c>
      <c r="L8735" s="28" t="s">
        <v>52</v>
      </c>
      <c r="M8735" s="28" t="s">
        <v>52</v>
      </c>
      <c r="N8735" s="28" t="s">
        <v>52</v>
      </c>
    </row>
    <row r="8736" spans="1:14" x14ac:dyDescent="0.15">
      <c r="A8736" s="23" t="str">
        <f t="shared" si="388"/>
        <v>ЗАКАЗЧИК РП БЕЛАРУСЬ</v>
      </c>
      <c r="B8736" s="28" t="s">
        <v>52</v>
      </c>
      <c r="C8736" s="25">
        <v>462829.32799999998</v>
      </c>
      <c r="D8736" s="22" t="s">
        <v>11034</v>
      </c>
      <c r="E8736" s="22" t="s">
        <v>53</v>
      </c>
      <c r="F8736" s="23" t="str">
        <f>HYPERLINK("https://www.spark-marketing.ru/Card/Lot/70269880", "Сушильное оборудование")</f>
        <v>Сушильное оборудование</v>
      </c>
      <c r="G8736" s="22" t="s">
        <v>52</v>
      </c>
      <c r="H8736" s="22" t="s">
        <v>52</v>
      </c>
      <c r="I8736" s="26">
        <v>43585</v>
      </c>
      <c r="J8736" s="28" t="s">
        <v>52</v>
      </c>
      <c r="K8736" s="28" t="s">
        <v>52</v>
      </c>
      <c r="L8736" s="28" t="s">
        <v>52</v>
      </c>
      <c r="M8736" s="28" t="s">
        <v>52</v>
      </c>
      <c r="N8736" s="28" t="s">
        <v>52</v>
      </c>
    </row>
    <row r="8737" spans="1:14" x14ac:dyDescent="0.15">
      <c r="A8737" s="23" t="str">
        <f t="shared" si="388"/>
        <v>ЗАКАЗЧИК РП БЕЛАРУСЬ</v>
      </c>
      <c r="B8737" s="28" t="s">
        <v>52</v>
      </c>
      <c r="C8737" s="25">
        <v>500886.91200000001</v>
      </c>
      <c r="D8737" s="22" t="s">
        <v>11034</v>
      </c>
      <c r="E8737" s="22" t="s">
        <v>53</v>
      </c>
      <c r="F8737" s="23" t="str">
        <f>HYPERLINK("https://www.spark-marketing.ru/Card/Lot/70269978", "Газоанализатор")</f>
        <v>Газоанализатор</v>
      </c>
      <c r="G8737" s="22" t="s">
        <v>52</v>
      </c>
      <c r="H8737" s="22" t="s">
        <v>52</v>
      </c>
      <c r="I8737" s="26">
        <v>43585</v>
      </c>
      <c r="J8737" s="28" t="s">
        <v>52</v>
      </c>
      <c r="K8737" s="28" t="s">
        <v>52</v>
      </c>
      <c r="L8737" s="28" t="s">
        <v>52</v>
      </c>
      <c r="M8737" s="28" t="s">
        <v>52</v>
      </c>
      <c r="N8737" s="28" t="s">
        <v>52</v>
      </c>
    </row>
    <row r="8738" spans="1:14" x14ac:dyDescent="0.15">
      <c r="A8738" s="23" t="str">
        <f>HYPERLINK("https://www.spark-marketing.ru/Card/Person/254586", "МБДОО ""ДЕТСКИЙ САД ОБЩЕРАЗВИВАЮЩЕГО ВИДА №1""")</f>
        <v>МБДОО "ДЕТСКИЙ САД ОБЩЕРАЗВИВАЮЩЕГО ВИДА №1"</v>
      </c>
      <c r="B8738" s="24" t="s">
        <v>11038</v>
      </c>
      <c r="C8738" s="25">
        <v>12000</v>
      </c>
      <c r="D8738" s="22" t="s">
        <v>11039</v>
      </c>
      <c r="E8738" s="22" t="s">
        <v>53</v>
      </c>
      <c r="F8738" s="23" t="str">
        <f>HYPERLINK("https://www.spark-marketing.ru/Card/Lot/73727155", "Техническое обслуживание системы видеонаблюдения")</f>
        <v>Техническое обслуживание системы видеонаблюдения</v>
      </c>
      <c r="G8738" s="22" t="s">
        <v>204</v>
      </c>
      <c r="H8738" s="22" t="s">
        <v>4395</v>
      </c>
      <c r="I8738" s="26">
        <v>43585.000694444403</v>
      </c>
      <c r="J8738" s="28" t="s">
        <v>52</v>
      </c>
      <c r="K8738" s="28" t="s">
        <v>52</v>
      </c>
      <c r="L8738" s="28" t="s">
        <v>52</v>
      </c>
      <c r="M8738" s="28" t="s">
        <v>52</v>
      </c>
      <c r="N8738" s="28" t="s">
        <v>52</v>
      </c>
    </row>
    <row r="8739" spans="1:14" x14ac:dyDescent="0.15">
      <c r="A8739" s="23" t="str">
        <f>HYPERLINK("https://www.spark-marketing.ru/Card/Person/6450322", "ЗАКАЗЧИК РП БЕЛАРУСЬ")</f>
        <v>ЗАКАЗЧИК РП БЕЛАРУСЬ</v>
      </c>
      <c r="B8739" s="28" t="s">
        <v>52</v>
      </c>
      <c r="C8739" s="25">
        <v>576695.16399999999</v>
      </c>
      <c r="D8739" s="22" t="s">
        <v>11034</v>
      </c>
      <c r="E8739" s="22" t="s">
        <v>53</v>
      </c>
      <c r="F8739" s="23" t="str">
        <f>HYPERLINK("https://www.spark-marketing.ru/Card/Lot/70269882", "Телевизионное оборудование")</f>
        <v>Телевизионное оборудование</v>
      </c>
      <c r="G8739" s="22" t="s">
        <v>52</v>
      </c>
      <c r="H8739" s="22" t="s">
        <v>52</v>
      </c>
      <c r="I8739" s="26">
        <v>43585</v>
      </c>
      <c r="J8739" s="28" t="s">
        <v>52</v>
      </c>
      <c r="K8739" s="28" t="s">
        <v>52</v>
      </c>
      <c r="L8739" s="28" t="s">
        <v>52</v>
      </c>
      <c r="M8739" s="28" t="s">
        <v>52</v>
      </c>
      <c r="N8739" s="28" t="s">
        <v>52</v>
      </c>
    </row>
    <row r="8740" spans="1:14" x14ac:dyDescent="0.15">
      <c r="A8740" s="23" t="str">
        <f>HYPERLINK("https://www.spark-marketing.ru/Card/Person/6450322", "ЗАКАЗЧИК РП БЕЛАРУСЬ")</f>
        <v>ЗАКАЗЧИК РП БЕЛАРУСЬ</v>
      </c>
      <c r="B8740" s="28" t="s">
        <v>52</v>
      </c>
      <c r="C8740" s="25">
        <v>113252.004</v>
      </c>
      <c r="D8740" s="22" t="s">
        <v>11034</v>
      </c>
      <c r="E8740" s="22" t="s">
        <v>53</v>
      </c>
      <c r="F8740" s="23" t="str">
        <f>HYPERLINK("https://www.spark-marketing.ru/Card/Lot/70269979", "Металлообнаружитель")</f>
        <v>Металлообнаружитель</v>
      </c>
      <c r="G8740" s="22" t="s">
        <v>52</v>
      </c>
      <c r="H8740" s="22" t="s">
        <v>52</v>
      </c>
      <c r="I8740" s="26">
        <v>43585</v>
      </c>
      <c r="J8740" s="28" t="s">
        <v>52</v>
      </c>
      <c r="K8740" s="28" t="s">
        <v>52</v>
      </c>
      <c r="L8740" s="28" t="s">
        <v>52</v>
      </c>
      <c r="M8740" s="28" t="s">
        <v>52</v>
      </c>
      <c r="N8740" s="28" t="s">
        <v>52</v>
      </c>
    </row>
    <row r="8741" spans="1:14" x14ac:dyDescent="0.15">
      <c r="A8741" s="23" t="str">
        <f>HYPERLINK("https://www.spark-marketing.ru/Card/Person/6450322", "ЗАКАЗЧИК РП БЕЛАРУСЬ")</f>
        <v>ЗАКАЗЧИК РП БЕЛАРУСЬ</v>
      </c>
      <c r="B8741" s="28" t="s">
        <v>52</v>
      </c>
      <c r="C8741" s="25">
        <v>122551.5588</v>
      </c>
      <c r="D8741" s="22" t="s">
        <v>11034</v>
      </c>
      <c r="E8741" s="22" t="s">
        <v>53</v>
      </c>
      <c r="F8741" s="23" t="str">
        <f>HYPERLINK("https://www.spark-marketing.ru/Card/Lot/70269876", "Оборудование для ухода за полами")</f>
        <v>Оборудование для ухода за полами</v>
      </c>
      <c r="G8741" s="22" t="s">
        <v>52</v>
      </c>
      <c r="H8741" s="22" t="s">
        <v>52</v>
      </c>
      <c r="I8741" s="26">
        <v>43585</v>
      </c>
      <c r="J8741" s="28" t="s">
        <v>52</v>
      </c>
      <c r="K8741" s="28" t="s">
        <v>52</v>
      </c>
      <c r="L8741" s="28" t="s">
        <v>52</v>
      </c>
      <c r="M8741" s="28" t="s">
        <v>52</v>
      </c>
      <c r="N8741" s="28" t="s">
        <v>52</v>
      </c>
    </row>
    <row r="8742" spans="1:14" x14ac:dyDescent="0.15">
      <c r="A8742" s="23" t="str">
        <f>HYPERLINK("https://www.spark-marketing.ru/Card/Person/6450322", "ЗАКАЗЧИК РП БЕЛАРУСЬ")</f>
        <v>ЗАКАЗЧИК РП БЕЛАРУСЬ</v>
      </c>
      <c r="B8742" s="28" t="s">
        <v>52</v>
      </c>
      <c r="C8742" s="25">
        <v>87194.835600000006</v>
      </c>
      <c r="D8742" s="22" t="s">
        <v>11034</v>
      </c>
      <c r="E8742" s="22" t="s">
        <v>53</v>
      </c>
      <c r="F8742" s="23" t="str">
        <f>HYPERLINK("https://www.spark-marketing.ru/Card/Lot/70269982", "Швейное оборудование")</f>
        <v>Швейное оборудование</v>
      </c>
      <c r="G8742" s="22" t="s">
        <v>52</v>
      </c>
      <c r="H8742" s="22" t="s">
        <v>52</v>
      </c>
      <c r="I8742" s="26">
        <v>43585</v>
      </c>
      <c r="J8742" s="28" t="s">
        <v>52</v>
      </c>
      <c r="K8742" s="28" t="s">
        <v>52</v>
      </c>
      <c r="L8742" s="28" t="s">
        <v>52</v>
      </c>
      <c r="M8742" s="28" t="s">
        <v>52</v>
      </c>
      <c r="N8742" s="28" t="s">
        <v>52</v>
      </c>
    </row>
    <row r="8743" spans="1:14" x14ac:dyDescent="0.15">
      <c r="A8743" s="23" t="str">
        <f>HYPERLINK("https://www.spark-marketing.ru/Card/Person/6450322", "ЗАКАЗЧИК РП БЕЛАРУСЬ")</f>
        <v>ЗАКАЗЧИК РП БЕЛАРУСЬ</v>
      </c>
      <c r="B8743" s="28" t="s">
        <v>52</v>
      </c>
      <c r="C8743" s="25">
        <v>146705.848</v>
      </c>
      <c r="D8743" s="22" t="s">
        <v>11034</v>
      </c>
      <c r="E8743" s="22" t="s">
        <v>53</v>
      </c>
      <c r="F8743" s="23" t="str">
        <f>HYPERLINK("https://www.spark-marketing.ru/Card/Lot/70269980", "Устройства многофункциональные с функцией копирование и печать данных")</f>
        <v>Устройства многофункциональные с функцией копирование и печать данных</v>
      </c>
      <c r="G8743" s="22" t="s">
        <v>52</v>
      </c>
      <c r="H8743" s="22" t="s">
        <v>52</v>
      </c>
      <c r="I8743" s="26">
        <v>43585</v>
      </c>
      <c r="J8743" s="28" t="s">
        <v>52</v>
      </c>
      <c r="K8743" s="28" t="s">
        <v>52</v>
      </c>
      <c r="L8743" s="28" t="s">
        <v>52</v>
      </c>
      <c r="M8743" s="28" t="s">
        <v>52</v>
      </c>
      <c r="N8743" s="28" t="s">
        <v>52</v>
      </c>
    </row>
    <row r="8744" spans="1:14" x14ac:dyDescent="0.15">
      <c r="A8744" s="23" t="str">
        <f>HYPERLINK("https://www.spark-marketing.ru/Card/Person/1042438", "МБОУ Г.АСТРАХАНИ ""СОШ №23""")</f>
        <v>МБОУ Г.АСТРАХАНИ "СОШ №23"</v>
      </c>
      <c r="B8744" s="24" t="s">
        <v>11040</v>
      </c>
      <c r="C8744" s="25">
        <v>11200</v>
      </c>
      <c r="D8744" s="22" t="s">
        <v>11041</v>
      </c>
      <c r="E8744" s="22" t="s">
        <v>53</v>
      </c>
      <c r="F8744" s="23" t="str">
        <f>HYPERLINK("https://www.spark-marketing.ru/Card/Lot/73699737", "Техническое обслуживание системы видеонаблюдения")</f>
        <v>Техническое обслуживание системы видеонаблюдения</v>
      </c>
      <c r="G8744" s="22" t="s">
        <v>565</v>
      </c>
      <c r="H8744" s="22" t="s">
        <v>566</v>
      </c>
      <c r="I8744" s="26">
        <v>43584.959027777797</v>
      </c>
      <c r="J8744" s="28" t="s">
        <v>52</v>
      </c>
      <c r="K8744" s="28" t="s">
        <v>52</v>
      </c>
      <c r="L8744" s="28" t="s">
        <v>52</v>
      </c>
      <c r="M8744" s="28" t="s">
        <v>52</v>
      </c>
      <c r="N8744" s="28" t="s">
        <v>52</v>
      </c>
    </row>
    <row r="8745" spans="1:14" x14ac:dyDescent="0.15">
      <c r="A8745" s="23" t="str">
        <f>HYPERLINK("https://www.spark-marketing.ru/Card/Person/1028041", "МОУ МОКРОВСКАЯ СОШ")</f>
        <v>МОУ МОКРОВСКАЯ СОШ</v>
      </c>
      <c r="B8745" s="24" t="s">
        <v>11042</v>
      </c>
      <c r="C8745" s="25">
        <v>54600</v>
      </c>
      <c r="D8745" s="22" t="s">
        <v>11043</v>
      </c>
      <c r="E8745" s="22" t="s">
        <v>208</v>
      </c>
      <c r="F8745" s="23" t="str">
        <f>HYPERLINK("https://www.spark-marketing.ru/Card/Lot/70240890", "Поставка и установка комплекта видеодомофона")</f>
        <v>Поставка и установка комплекта видеодомофона</v>
      </c>
      <c r="G8745" s="22" t="s">
        <v>50</v>
      </c>
      <c r="H8745" s="22" t="s">
        <v>946</v>
      </c>
      <c r="I8745" s="26">
        <v>43584.940381944398</v>
      </c>
      <c r="J8745" s="28" t="s">
        <v>52</v>
      </c>
      <c r="K8745" s="28" t="s">
        <v>52</v>
      </c>
      <c r="L8745" s="28" t="s">
        <v>52</v>
      </c>
      <c r="M8745" s="28" t="s">
        <v>52</v>
      </c>
      <c r="N8745" s="28" t="s">
        <v>52</v>
      </c>
    </row>
    <row r="8746" spans="1:14" x14ac:dyDescent="0.15">
      <c r="A8746" s="23" t="str">
        <f>HYPERLINK("https://www.spark-marketing.ru/Card/Person/101584", "РГУ НЕФТИ И ГАЗА (НИУ) ИМЕНИ И.М. ГУБКИНА; ФГАОУ ВО ""РГУ НЕФТИ И ГАЗА (НИУ) ИМЕНИ И.М. ГУБКИНА""; ГУБКИНСКИЙ УНИВЕРСИТЕТ")</f>
        <v>РГУ НЕФТИ И ГАЗА (НИУ) ИМЕНИ И.М. ГУБКИНА; ФГАОУ ВО "РГУ НЕФТИ И ГАЗА (НИУ) ИМЕНИ И.М. ГУБКИНА"; ГУБКИНСКИЙ УНИВЕРСИТЕТ</v>
      </c>
      <c r="B8746" s="24" t="s">
        <v>11044</v>
      </c>
      <c r="C8746" s="25">
        <v>156260</v>
      </c>
      <c r="D8746" s="22" t="s">
        <v>11045</v>
      </c>
      <c r="E8746" s="22" t="s">
        <v>49</v>
      </c>
      <c r="F8746" s="23" t="str">
        <f>HYPERLINK("https://www.spark-marketing.ru/Card/Lot/70240799", "Закупка работ по установке системы видеонаблюдения для нужд филиала РГУ нефти и газа (НИУ) имени И. М. Губкина в г. Оренбурге")</f>
        <v>Закупка работ по установке системы видеонаблюдения для нужд филиала РГУ нефти и газа (НИУ) имени И. М. Губкина в г. Оренбурге</v>
      </c>
      <c r="G8746" s="22" t="s">
        <v>384</v>
      </c>
      <c r="H8746" s="22" t="s">
        <v>384</v>
      </c>
      <c r="I8746" s="26">
        <v>43584.886018518497</v>
      </c>
      <c r="J8746" s="28" t="s">
        <v>52</v>
      </c>
      <c r="K8746" s="28" t="s">
        <v>52</v>
      </c>
      <c r="L8746" s="28" t="s">
        <v>52</v>
      </c>
      <c r="M8746" s="28" t="s">
        <v>52</v>
      </c>
      <c r="N8746" s="28" t="s">
        <v>52</v>
      </c>
    </row>
    <row r="8747" spans="1:14" hidden="1" outlineLevel="1" x14ac:dyDescent="0.2">
      <c r="A8747" s="23" t="str">
        <f>HYPERLINK("https://www.spark-marketing.ru/Card/Person/101584", "РГУ НЕФТИ И ГАЗА (НИУ) ИМЕНИ И.М. ГУБКИНА; ФГАОУ ВО ""РГУ НЕФТИ И ГАЗА (НИУ) ИМЕНИ И.М. ГУБКИНА""; ГУБКИНСКИЙ УНИВЕРСИТЕТ")</f>
        <v>РГУ НЕФТИ И ГАЗА (НИУ) ИМЕНИ И.М. ГУБКИНА; ФГАОУ ВО "РГУ НЕФТИ И ГАЗА (НИУ) ИМЕНИ И.М. ГУБКИНА"; ГУБКИНСКИЙ УНИВЕРСИТЕТ</v>
      </c>
      <c r="B8747" s="24" t="s">
        <v>11044</v>
      </c>
      <c r="C8747" s="28" t="s">
        <v>52</v>
      </c>
      <c r="D8747" s="22" t="s">
        <v>11045</v>
      </c>
      <c r="E8747" s="22" t="s">
        <v>49</v>
      </c>
      <c r="F8747" s="23" t="str">
        <f>HYPERLINK("https://www.spark-marketing.ru/Card/Lot/70240799", "Закупка работ по установке системы видеонаблюдения для нужд филиала РГУ нефти и газа (НИУ) имени И. М. Губкина в г. Оренбурге")</f>
        <v>Закупка работ по установке системы видеонаблюдения для нужд филиала РГУ нефти и газа (НИУ) имени И. М. Губкина в г. Оренбурге</v>
      </c>
      <c r="G8747" s="22" t="s">
        <v>384</v>
      </c>
      <c r="H8747" s="22" t="s">
        <v>384</v>
      </c>
      <c r="I8747" s="26">
        <v>43584.886018518497</v>
      </c>
      <c r="J8747" s="23" t="str">
        <f>HYPERLINK("https://www.spark-marketing.ru/Card/Person/390597", "ООО ""КОМПЛЕКС-СНАСТ""")</f>
        <v>ООО "КОМПЛЕКС-СНАСТ"</v>
      </c>
      <c r="K8747" s="24" t="s">
        <v>11046</v>
      </c>
      <c r="L8747" s="28" t="s">
        <v>52</v>
      </c>
      <c r="M8747" s="25">
        <v>125218.7</v>
      </c>
      <c r="N8747" s="27">
        <v>0.19865160629719697</v>
      </c>
    </row>
    <row r="8748" spans="1:14" hidden="1" outlineLevel="1" x14ac:dyDescent="0.2">
      <c r="A8748" s="23" t="str">
        <f>HYPERLINK("https://www.spark-marketing.ru/Card/Person/101584", "РГУ НЕФТИ И ГАЗА (НИУ) ИМЕНИ И.М. ГУБКИНА; ФГАОУ ВО ""РГУ НЕФТИ И ГАЗА (НИУ) ИМЕНИ И.М. ГУБКИНА""; ГУБКИНСКИЙ УНИВЕРСИТЕТ")</f>
        <v>РГУ НЕФТИ И ГАЗА (НИУ) ИМЕНИ И.М. ГУБКИНА; ФГАОУ ВО "РГУ НЕФТИ И ГАЗА (НИУ) ИМЕНИ И.М. ГУБКИНА"; ГУБКИНСКИЙ УНИВЕРСИТЕТ</v>
      </c>
      <c r="B8748" s="24" t="s">
        <v>11044</v>
      </c>
      <c r="C8748" s="28" t="s">
        <v>52</v>
      </c>
      <c r="D8748" s="22" t="s">
        <v>11045</v>
      </c>
      <c r="E8748" s="22" t="s">
        <v>49</v>
      </c>
      <c r="F8748" s="23" t="str">
        <f>HYPERLINK("https://www.spark-marketing.ru/Card/Lot/70240799", "Закупка работ по установке системы видеонаблюдения для нужд филиала РГУ нефти и газа (НИУ) имени И. М. Губкина в г. Оренбурге")</f>
        <v>Закупка работ по установке системы видеонаблюдения для нужд филиала РГУ нефти и газа (НИУ) имени И. М. Губкина в г. Оренбурге</v>
      </c>
      <c r="G8748" s="22" t="s">
        <v>384</v>
      </c>
      <c r="H8748" s="22" t="s">
        <v>384</v>
      </c>
      <c r="I8748" s="26">
        <v>43584.886018518497</v>
      </c>
      <c r="J8748" s="23" t="str">
        <f>HYPERLINK("https://www.spark-marketing.ru/Card/Person/389896", "Богданенко Евгений Станиславович")</f>
        <v>Богданенко Евгений Станиславович</v>
      </c>
      <c r="K8748" s="24" t="s">
        <v>11047</v>
      </c>
      <c r="L8748" s="22" t="s">
        <v>10</v>
      </c>
      <c r="M8748" s="25">
        <v>124000</v>
      </c>
      <c r="N8748" s="27">
        <v>0.20645078714962242</v>
      </c>
    </row>
    <row r="8749" spans="1:14" x14ac:dyDescent="0.15">
      <c r="A8749" s="23" t="str">
        <f>HYPERLINK("https://www.spark-marketing.ru/Card/Person/1002852", "МОУ ДО ""ЦРТДИЮ ""РОВЕСНИК""")</f>
        <v>МОУ ДО "ЦРТДИЮ "РОВЕСНИК"</v>
      </c>
      <c r="B8749" s="24" t="s">
        <v>11048</v>
      </c>
      <c r="C8749" s="25">
        <v>56660</v>
      </c>
      <c r="D8749" s="22" t="s">
        <v>11049</v>
      </c>
      <c r="E8749" s="22" t="s">
        <v>11050</v>
      </c>
      <c r="F8749" s="23" t="str">
        <f>HYPERLINK("https://www.spark-marketing.ru/Card/Lot/70240208", "Поставка и установка мультимедийного видеопроектора с экраном")</f>
        <v>Поставка и установка мультимедийного видеопроектора с экраном</v>
      </c>
      <c r="G8749" s="22" t="s">
        <v>50</v>
      </c>
      <c r="H8749" s="22" t="s">
        <v>295</v>
      </c>
      <c r="I8749" s="26">
        <v>43584.867488425902</v>
      </c>
      <c r="J8749" s="28" t="s">
        <v>52</v>
      </c>
      <c r="K8749" s="28" t="s">
        <v>52</v>
      </c>
      <c r="L8749" s="28" t="s">
        <v>52</v>
      </c>
      <c r="M8749" s="28" t="s">
        <v>52</v>
      </c>
      <c r="N8749" s="28" t="s">
        <v>52</v>
      </c>
    </row>
    <row r="8750" spans="1:14" x14ac:dyDescent="0.15">
      <c r="A8750" s="23" t="str">
        <f>HYPERLINK("https://www.spark-marketing.ru/Card/Person/1023351", "МБУ ДК ""ЦЕМЕНТНИК""")</f>
        <v>МБУ ДК "ЦЕМЕНТНИК"</v>
      </c>
      <c r="B8750" s="24" t="s">
        <v>11051</v>
      </c>
      <c r="C8750" s="25">
        <v>17500</v>
      </c>
      <c r="D8750" s="22" t="s">
        <v>11052</v>
      </c>
      <c r="E8750" s="22" t="s">
        <v>107</v>
      </c>
      <c r="F8750" s="23" t="str">
        <f>HYPERLINK("https://www.spark-marketing.ru/Card/Lot/70239781", "Услуги на техническое обслуживание видеонаблюдения")</f>
        <v>Услуги на техническое обслуживание видеонаблюдения</v>
      </c>
      <c r="G8750" s="22" t="s">
        <v>50</v>
      </c>
      <c r="H8750" s="22" t="s">
        <v>682</v>
      </c>
      <c r="I8750" s="26">
        <v>43584.804976851898</v>
      </c>
      <c r="J8750" s="28" t="s">
        <v>52</v>
      </c>
      <c r="K8750" s="28" t="s">
        <v>52</v>
      </c>
      <c r="L8750" s="28" t="s">
        <v>52</v>
      </c>
      <c r="M8750" s="28" t="s">
        <v>52</v>
      </c>
      <c r="N8750" s="28" t="s">
        <v>52</v>
      </c>
    </row>
    <row r="8751" spans="1:14" x14ac:dyDescent="0.15">
      <c r="A8751" s="23" t="str">
        <f>HYPERLINK("https://www.spark-marketing.ru/Card/Person/75843", "БУ ""ПСИХОНЕВРОЛОГИЧЕСКАЯ БОЛЬНИЦА ИМЕНИ СВЯТОЙ ПРЕПОДОБНОМУЧЕНИЦЫ ЕЛИЗАВЕТЫ""")</f>
        <v>БУ "ПСИХОНЕВРОЛОГИЧЕСКАЯ БОЛЬНИЦА ИМЕНИ СВЯТОЙ ПРЕПОДОБНОМУЧЕНИЦЫ ЕЛИЗАВЕТЫ"</v>
      </c>
      <c r="B8751" s="24" t="s">
        <v>11053</v>
      </c>
      <c r="C8751" s="25">
        <v>878400</v>
      </c>
      <c r="D8751" s="22" t="s">
        <v>11054</v>
      </c>
      <c r="E8751" s="22" t="s">
        <v>68</v>
      </c>
      <c r="F8751" s="23" t="str">
        <f>HYPERLINK("https://www.spark-marketing.ru/Card/Lot/70237021", "Оказание охранных услуг")</f>
        <v>Оказание охранных услуг</v>
      </c>
      <c r="G8751" s="22" t="s">
        <v>119</v>
      </c>
      <c r="H8751" s="22" t="s">
        <v>2371</v>
      </c>
      <c r="I8751" s="26">
        <v>43584.779166666704</v>
      </c>
      <c r="J8751" s="28" t="s">
        <v>52</v>
      </c>
      <c r="K8751" s="28" t="s">
        <v>52</v>
      </c>
      <c r="L8751" s="28" t="s">
        <v>52</v>
      </c>
      <c r="M8751" s="28" t="s">
        <v>52</v>
      </c>
      <c r="N8751" s="28" t="s">
        <v>52</v>
      </c>
    </row>
    <row r="8752" spans="1:14" ht="12.75" hidden="1" outlineLevel="1" x14ac:dyDescent="0.2">
      <c r="A8752" s="23" t="str">
        <f>HYPERLINK("https://www.spark-marketing.ru/Card/Person/75843", "БУ ""ПСИХОНЕВРОЛОГИЧЕСКАЯ БОЛЬНИЦА ИМЕНИ СВЯТОЙ ПРЕПОДОБНОМУЧЕНИЦЫ ЕЛИЗАВЕТЫ""")</f>
        <v>БУ "ПСИХОНЕВРОЛОГИЧЕСКАЯ БОЛЬНИЦА ИМЕНИ СВЯТОЙ ПРЕПОДОБНОМУЧЕНИЦЫ ЕЛИЗАВЕТЫ"</v>
      </c>
      <c r="B8752" s="24" t="s">
        <v>11053</v>
      </c>
      <c r="C8752" s="25">
        <v>878400</v>
      </c>
      <c r="D8752" s="22" t="s">
        <v>11054</v>
      </c>
      <c r="E8752" s="22" t="s">
        <v>68</v>
      </c>
      <c r="F8752" s="23" t="str">
        <f>HYPERLINK("https://www.spark-marketing.ru/Card/Lot/70237021", "Оказание охранных услуг")</f>
        <v>Оказание охранных услуг</v>
      </c>
      <c r="G8752" s="22" t="s">
        <v>119</v>
      </c>
      <c r="H8752" s="22" t="s">
        <v>2371</v>
      </c>
      <c r="I8752" s="26">
        <v>43584.779166666704</v>
      </c>
      <c r="J8752" s="23" t="str">
        <f>HYPERLINK("https://www.spark-marketing.ru/Card/Person/938019", "ООО ЧОО ЮК ""ФСБ""")</f>
        <v>ООО ЧОО ЮК "ФСБ"</v>
      </c>
      <c r="K8752" s="24" t="s">
        <v>7794</v>
      </c>
      <c r="L8752" s="22" t="s">
        <v>10</v>
      </c>
      <c r="M8752" s="25">
        <v>399360.16</v>
      </c>
      <c r="N8752" s="27">
        <v>0.54535500910746815</v>
      </c>
    </row>
    <row r="8753" spans="1:14" hidden="1" outlineLevel="1" x14ac:dyDescent="0.2">
      <c r="A8753" s="23" t="str">
        <f>HYPERLINK("https://www.spark-marketing.ru/Card/Person/75843", "БУ ""ПСИХОНЕВРОЛОГИЧЕСКАЯ БОЛЬНИЦА ИМЕНИ СВЯТОЙ ПРЕПОДОБНОМУЧЕНИЦЫ ЕЛИЗАВЕТЫ""")</f>
        <v>БУ "ПСИХОНЕВРОЛОГИЧЕСКАЯ БОЛЬНИЦА ИМЕНИ СВЯТОЙ ПРЕПОДОБНОМУЧЕНИЦЫ ЕЛИЗАВЕТЫ"</v>
      </c>
      <c r="B8753" s="24" t="s">
        <v>11053</v>
      </c>
      <c r="C8753" s="25">
        <v>878400</v>
      </c>
      <c r="D8753" s="22" t="s">
        <v>11054</v>
      </c>
      <c r="E8753" s="22" t="s">
        <v>68</v>
      </c>
      <c r="F8753" s="23" t="str">
        <f>HYPERLINK("https://www.spark-marketing.ru/Card/Lot/70237021", "Оказание охранных услуг")</f>
        <v>Оказание охранных услуг</v>
      </c>
      <c r="G8753" s="22" t="s">
        <v>119</v>
      </c>
      <c r="H8753" s="22" t="s">
        <v>2371</v>
      </c>
      <c r="I8753" s="26">
        <v>43584.779166666704</v>
      </c>
      <c r="J8753" s="23" t="str">
        <f>HYPERLINK("https://www.spark-marketing.ru/Card/Person/87686", "ООО ОА ""ПЕРЕСВЕТ""")</f>
        <v>ООО ОА "ПЕРЕСВЕТ"</v>
      </c>
      <c r="K8753" s="24" t="s">
        <v>2992</v>
      </c>
      <c r="L8753" s="28" t="s">
        <v>52</v>
      </c>
      <c r="M8753" s="25">
        <v>412536.16</v>
      </c>
      <c r="N8753" s="27">
        <v>0.53035500910746813</v>
      </c>
    </row>
    <row r="8754" spans="1:14" hidden="1" outlineLevel="1" x14ac:dyDescent="0.2">
      <c r="A8754" s="23" t="str">
        <f>HYPERLINK("https://www.spark-marketing.ru/Card/Person/75843", "БУ ""ПСИХОНЕВРОЛОГИЧЕСКАЯ БОЛЬНИЦА ИМЕНИ СВЯТОЙ ПРЕПОДОБНОМУЧЕНИЦЫ ЕЛИЗАВЕТЫ""")</f>
        <v>БУ "ПСИХОНЕВРОЛОГИЧЕСКАЯ БОЛЬНИЦА ИМЕНИ СВЯТОЙ ПРЕПОДОБНОМУЧЕНИЦЫ ЕЛИЗАВЕТЫ"</v>
      </c>
      <c r="B8754" s="24" t="s">
        <v>11053</v>
      </c>
      <c r="C8754" s="25">
        <v>878400</v>
      </c>
      <c r="D8754" s="22" t="s">
        <v>11054</v>
      </c>
      <c r="E8754" s="22" t="s">
        <v>68</v>
      </c>
      <c r="F8754" s="23" t="str">
        <f>HYPERLINK("https://www.spark-marketing.ru/Card/Lot/70237021", "Оказание охранных услуг")</f>
        <v>Оказание охранных услуг</v>
      </c>
      <c r="G8754" s="22" t="s">
        <v>119</v>
      </c>
      <c r="H8754" s="22" t="s">
        <v>2371</v>
      </c>
      <c r="I8754" s="26">
        <v>43584.779166666704</v>
      </c>
      <c r="J8754" s="23" t="str">
        <f>HYPERLINK("https://www.spark-marketing.ru/Card/Person/90221", "ООО ЧОП ""ОМЕГА-М""")</f>
        <v>ООО ЧОП "ОМЕГА-М"</v>
      </c>
      <c r="K8754" s="24" t="s">
        <v>11055</v>
      </c>
      <c r="L8754" s="28" t="s">
        <v>52</v>
      </c>
      <c r="M8754" s="25">
        <v>394968.16</v>
      </c>
      <c r="N8754" s="27">
        <v>0.55035500910746815</v>
      </c>
    </row>
    <row r="8755" spans="1:14" hidden="1" outlineLevel="1" x14ac:dyDescent="0.2">
      <c r="A8755" s="23" t="str">
        <f>HYPERLINK("https://www.spark-marketing.ru/Card/Person/75843", "БУ ""ПСИХОНЕВРОЛОГИЧЕСКАЯ БОЛЬНИЦА ИМЕНИ СВЯТОЙ ПРЕПОДОБНОМУЧЕНИЦЫ ЕЛИЗАВЕТЫ""")</f>
        <v>БУ "ПСИХОНЕВРОЛОГИЧЕСКАЯ БОЛЬНИЦА ИМЕНИ СВЯТОЙ ПРЕПОДОБНОМУЧЕНИЦЫ ЕЛИЗАВЕТЫ"</v>
      </c>
      <c r="B8755" s="24" t="s">
        <v>11053</v>
      </c>
      <c r="C8755" s="25">
        <v>878400</v>
      </c>
      <c r="D8755" s="22" t="s">
        <v>11054</v>
      </c>
      <c r="E8755" s="22" t="s">
        <v>68</v>
      </c>
      <c r="F8755" s="23" t="str">
        <f>HYPERLINK("https://www.spark-marketing.ru/Card/Lot/70237021", "Оказание охранных услуг")</f>
        <v>Оказание охранных услуг</v>
      </c>
      <c r="G8755" s="22" t="s">
        <v>119</v>
      </c>
      <c r="H8755" s="22" t="s">
        <v>2371</v>
      </c>
      <c r="I8755" s="26">
        <v>43584.779166666704</v>
      </c>
      <c r="J8755" s="23" t="str">
        <f>HYPERLINK("https://www.spark-marketing.ru/Card/Person/936256", "ООО ""ЧОП ""ЮГРА-БЕЗОПАСНОСТЬ""")</f>
        <v>ООО "ЧОП "ЮГРА-БЕЗОПАСНОСТЬ"</v>
      </c>
      <c r="K8755" s="24" t="s">
        <v>11056</v>
      </c>
      <c r="L8755" s="28" t="s">
        <v>52</v>
      </c>
      <c r="M8755" s="25">
        <v>527040</v>
      </c>
      <c r="N8755" s="27">
        <v>0.4</v>
      </c>
    </row>
    <row r="8756" spans="1:14" x14ac:dyDescent="0.15">
      <c r="A8756" s="23" t="str">
        <f>HYPERLINK("https://www.spark-marketing.ru/Card/Person/4348528", "АО ИК ""АСЭ""")</f>
        <v>АО ИК "АСЭ"</v>
      </c>
      <c r="B8756" s="24" t="s">
        <v>62</v>
      </c>
      <c r="C8756" s="28" t="s">
        <v>52</v>
      </c>
      <c r="D8756" s="22" t="s">
        <v>11057</v>
      </c>
      <c r="E8756" s="22" t="s">
        <v>53</v>
      </c>
      <c r="F8756" s="23" t="str">
        <f>HYPERLINK("https://www.spark-marketing.ru/Card/Lot/70240501", "Прошу предоставить коммерческое предложение на оказание услуг по сертификации системы управления охраной труда АО «АТОМПРОЕКТ» при авторском сопровождении строительства зарубежных объектов использования атомной энергии на соответствие требованиям Меж...")</f>
        <v>Прошу предоставить коммерческое предложение на оказание услуг по сертификации системы управления охраной труда АО «АТОМПРОЕКТ» при авторском сопровождении строительства зарубежных объектов использования атомной энергии на соответствие требованиям Меж...</v>
      </c>
      <c r="G8756" s="22" t="s">
        <v>64</v>
      </c>
      <c r="H8756" s="22" t="s">
        <v>65</v>
      </c>
      <c r="I8756" s="26">
        <v>43584.788217592599</v>
      </c>
      <c r="J8756" s="28" t="s">
        <v>52</v>
      </c>
      <c r="K8756" s="28" t="s">
        <v>52</v>
      </c>
      <c r="L8756" s="28" t="s">
        <v>52</v>
      </c>
      <c r="M8756" s="28" t="s">
        <v>52</v>
      </c>
      <c r="N8756" s="28" t="s">
        <v>52</v>
      </c>
    </row>
    <row r="8757" spans="1:14" x14ac:dyDescent="0.15">
      <c r="A8757" s="23" t="str">
        <f>HYPERLINK("https://www.spark-marketing.ru/Card/Person/2097942", "АО ""КОНЦЕРН РОСЭНЕРГОАТОМ""")</f>
        <v>АО "КОНЦЕРН РОСЭНЕРГОАТОМ"</v>
      </c>
      <c r="B8757" s="24" t="s">
        <v>211</v>
      </c>
      <c r="C8757" s="25">
        <v>9097601.0800000001</v>
      </c>
      <c r="D8757" s="22" t="s">
        <v>11058</v>
      </c>
      <c r="E8757" s="22" t="s">
        <v>68</v>
      </c>
      <c r="F8757" s="23" t="str">
        <f>HYPERLINK("https://www.spark-marketing.ru/Card/Lot/70240527", "Оказание охранных услуг офисных помещений АО «Концерн Росэнергоатом» расположенных по адресам: г. Москва, Проектируемый пр-д № 4062, д. 6, стр. 5, стр. 25")</f>
        <v>Оказание охранных услуг офисных помещений АО «Концерн Росэнергоатом» расположенных по адресам: г. Москва, Проектируемый пр-д № 4062, д. 6, стр. 5, стр. 25</v>
      </c>
      <c r="G8757" s="22" t="s">
        <v>55</v>
      </c>
      <c r="H8757" s="22" t="s">
        <v>55</v>
      </c>
      <c r="I8757" s="26">
        <v>43584.759224537003</v>
      </c>
      <c r="J8757" s="28" t="s">
        <v>52</v>
      </c>
      <c r="K8757" s="28" t="s">
        <v>52</v>
      </c>
      <c r="L8757" s="28" t="s">
        <v>52</v>
      </c>
      <c r="M8757" s="28" t="s">
        <v>52</v>
      </c>
      <c r="N8757" s="28" t="s">
        <v>52</v>
      </c>
    </row>
    <row r="8758" spans="1:14" x14ac:dyDescent="0.15">
      <c r="A8758" s="23" t="str">
        <f>HYPERLINK("https://www.spark-marketing.ru/Card/Person/164719", "УСК ""НЕФТЕХИМИК"" ПАО ""НКНХ""")</f>
        <v>УСК "НЕФТЕХИМИК" ПАО "НКНХ"</v>
      </c>
      <c r="B8758" s="24" t="s">
        <v>1858</v>
      </c>
      <c r="C8758" s="25">
        <v>0</v>
      </c>
      <c r="D8758" s="22" t="s">
        <v>11059</v>
      </c>
      <c r="E8758" s="22" t="s">
        <v>53</v>
      </c>
      <c r="F8758" s="23" t="str">
        <f>HYPERLINK("https://www.spark-marketing.ru/Card/Lot/70244515", "Ежемесячное техническое обслуживание приборов и систем контроля, управления сигнализацией и противоаварийной автоматической защиты, сигнализатора контроля загазованности")</f>
        <v>Ежемесячное техническое обслуживание приборов и систем контроля, управления сигнализацией и противоаварийной автоматической защиты, сигнализатора контроля загазованности</v>
      </c>
      <c r="G8758" s="22" t="s">
        <v>204</v>
      </c>
      <c r="H8758" s="22" t="s">
        <v>824</v>
      </c>
      <c r="I8758" s="26">
        <v>43584.734189814801</v>
      </c>
      <c r="J8758" s="28" t="s">
        <v>52</v>
      </c>
      <c r="K8758" s="28" t="s">
        <v>52</v>
      </c>
      <c r="L8758" s="28" t="s">
        <v>52</v>
      </c>
      <c r="M8758" s="28" t="s">
        <v>52</v>
      </c>
      <c r="N8758" s="28" t="s">
        <v>52</v>
      </c>
    </row>
    <row r="8759" spans="1:14" x14ac:dyDescent="0.15">
      <c r="A8759" s="23" t="str">
        <f>HYPERLINK("https://www.spark-marketing.ru/Card/Person/125583", "АДМИНИСТРАЦИЯ ЗАПОЛЯРНОГО РАЙОНА")</f>
        <v>АДМИНИСТРАЦИЯ ЗАПОЛЯРНОГО РАЙОНА</v>
      </c>
      <c r="B8759" s="24" t="s">
        <v>10894</v>
      </c>
      <c r="C8759" s="25">
        <v>570800</v>
      </c>
      <c r="D8759" s="22" t="s">
        <v>11060</v>
      </c>
      <c r="E8759" s="22" t="s">
        <v>52</v>
      </c>
      <c r="F8759" s="23" t="str">
        <f>HYPERLINK("https://www.spark-marketing.ru/Card/Lot/70237452", "Установка системы видеонаблюдения в местах массового пребывания людей, расположенных на территории МО ""Приморско-Куйский сельсовет"" НАО")</f>
        <v>Установка системы видеонаблюдения в местах массового пребывания людей, расположенных на территории МО "Приморско-Куйский сельсовет" НАО</v>
      </c>
      <c r="G8759" s="22" t="s">
        <v>1014</v>
      </c>
      <c r="H8759" s="22" t="s">
        <v>11061</v>
      </c>
      <c r="I8759" s="26">
        <v>43584.728472222203</v>
      </c>
      <c r="J8759" s="28" t="s">
        <v>52</v>
      </c>
      <c r="K8759" s="28" t="s">
        <v>52</v>
      </c>
      <c r="L8759" s="28" t="s">
        <v>52</v>
      </c>
      <c r="M8759" s="28" t="s">
        <v>52</v>
      </c>
      <c r="N8759" s="28" t="s">
        <v>52</v>
      </c>
    </row>
    <row r="8760" spans="1:14" hidden="1" outlineLevel="1" x14ac:dyDescent="0.2">
      <c r="A8760" s="23" t="str">
        <f>HYPERLINK("https://www.spark-marketing.ru/Card/Person/125583", "АДМИНИСТРАЦИЯ ЗАПОЛЯРНОГО РАЙОНА")</f>
        <v>АДМИНИСТРАЦИЯ ЗАПОЛЯРНОГО РАЙОНА</v>
      </c>
      <c r="B8760" s="24" t="s">
        <v>10894</v>
      </c>
      <c r="C8760" s="25">
        <v>570800</v>
      </c>
      <c r="D8760" s="22" t="s">
        <v>11060</v>
      </c>
      <c r="E8760" s="22" t="s">
        <v>52</v>
      </c>
      <c r="F8760" s="23" t="str">
        <f>HYPERLINK("https://www.spark-marketing.ru/Card/Lot/70237452", "Установка системы видеонаблюдения в местах массового пребывания людей, расположенных на территории МО ""Приморско-Куйский сельсовет"" НАО")</f>
        <v>Установка системы видеонаблюдения в местах массового пребывания людей, расположенных на территории МО "Приморско-Куйский сельсовет" НАО</v>
      </c>
      <c r="G8760" s="22" t="s">
        <v>1014</v>
      </c>
      <c r="H8760" s="22" t="s">
        <v>11061</v>
      </c>
      <c r="I8760" s="26">
        <v>43584.728472222203</v>
      </c>
      <c r="J8760" s="23" t="str">
        <f>HYPERLINK("https://www.spark-marketing.ru/Card/Person/930967", "ООО ""М-АЙТИ НАО""")</f>
        <v>ООО "М-АЙТИ НАО"</v>
      </c>
      <c r="K8760" s="24" t="s">
        <v>7861</v>
      </c>
      <c r="L8760" s="28" t="s">
        <v>52</v>
      </c>
      <c r="M8760" s="25">
        <v>400000</v>
      </c>
      <c r="N8760" s="27">
        <v>0.29922915206727402</v>
      </c>
    </row>
    <row r="8761" spans="1:14" hidden="1" outlineLevel="1" x14ac:dyDescent="0.2">
      <c r="A8761" s="23" t="str">
        <f>HYPERLINK("https://www.spark-marketing.ru/Card/Person/125583", "АДМИНИСТРАЦИЯ ЗАПОЛЯРНОГО РАЙОНА")</f>
        <v>АДМИНИСТРАЦИЯ ЗАПОЛЯРНОГО РАЙОНА</v>
      </c>
      <c r="B8761" s="24" t="s">
        <v>10894</v>
      </c>
      <c r="C8761" s="25">
        <v>570800</v>
      </c>
      <c r="D8761" s="22" t="s">
        <v>11060</v>
      </c>
      <c r="E8761" s="22" t="s">
        <v>52</v>
      </c>
      <c r="F8761" s="23" t="str">
        <f>HYPERLINK("https://www.spark-marketing.ru/Card/Lot/70237452", "Установка системы видеонаблюдения в местах массового пребывания людей, расположенных на территории МО ""Приморско-Куйский сельсовет"" НАО")</f>
        <v>Установка системы видеонаблюдения в местах массового пребывания людей, расположенных на территории МО "Приморско-Куйский сельсовет" НАО</v>
      </c>
      <c r="G8761" s="22" t="s">
        <v>1014</v>
      </c>
      <c r="H8761" s="22" t="s">
        <v>11061</v>
      </c>
      <c r="I8761" s="26">
        <v>43584.728472222203</v>
      </c>
      <c r="J8761" s="23" t="str">
        <f>HYPERLINK("https://www.spark-marketing.ru/Card/Person/171473", "ООО ""БИСМАРК.ТВ""")</f>
        <v>ООО "БИСМАРК.ТВ"</v>
      </c>
      <c r="K8761" s="24" t="s">
        <v>10897</v>
      </c>
      <c r="L8761" s="28" t="s">
        <v>52</v>
      </c>
      <c r="M8761" s="25">
        <v>399560</v>
      </c>
      <c r="N8761" s="27">
        <v>0.3</v>
      </c>
    </row>
    <row r="8762" spans="1:14" ht="12.75" hidden="1" outlineLevel="1" x14ac:dyDescent="0.2">
      <c r="A8762" s="23" t="str">
        <f>HYPERLINK("https://www.spark-marketing.ru/Card/Person/125583", "АДМИНИСТРАЦИЯ ЗАПОЛЯРНОГО РАЙОНА")</f>
        <v>АДМИНИСТРАЦИЯ ЗАПОЛЯРНОГО РАЙОНА</v>
      </c>
      <c r="B8762" s="24" t="s">
        <v>10894</v>
      </c>
      <c r="C8762" s="25">
        <v>570800</v>
      </c>
      <c r="D8762" s="22" t="s">
        <v>11060</v>
      </c>
      <c r="E8762" s="22" t="s">
        <v>52</v>
      </c>
      <c r="F8762" s="23" t="str">
        <f>HYPERLINK("https://www.spark-marketing.ru/Card/Lot/70237452", "Установка системы видеонаблюдения в местах массового пребывания людей, расположенных на территории МО ""Приморско-Куйский сельсовет"" НАО")</f>
        <v>Установка системы видеонаблюдения в местах массового пребывания людей, расположенных на территории МО "Приморско-Куйский сельсовет" НАО</v>
      </c>
      <c r="G8762" s="22" t="s">
        <v>1014</v>
      </c>
      <c r="H8762" s="22" t="s">
        <v>11061</v>
      </c>
      <c r="I8762" s="26">
        <v>43584.728472222203</v>
      </c>
      <c r="J8762" s="23" t="str">
        <f>HYPERLINK("https://www.spark-marketing.ru/Card/Person/6249377", "Абдукодиров Абдулатиф")</f>
        <v>Абдукодиров Абдулатиф</v>
      </c>
      <c r="K8762" s="24" t="s">
        <v>10898</v>
      </c>
      <c r="L8762" s="22" t="s">
        <v>10</v>
      </c>
      <c r="M8762" s="25">
        <v>396706</v>
      </c>
      <c r="N8762" s="27">
        <v>0.30499999999999999</v>
      </c>
    </row>
    <row r="8763" spans="1:14" x14ac:dyDescent="0.15">
      <c r="A8763" s="23" t="str">
        <f>HYPERLINK("https://www.spark-marketing.ru/Card/Person/164719", "УСК ""НЕФТЕХИМИК"" ПАО ""НКНХ""")</f>
        <v>УСК "НЕФТЕХИМИК" ПАО "НКНХ"</v>
      </c>
      <c r="B8763" s="24" t="s">
        <v>1858</v>
      </c>
      <c r="C8763" s="25">
        <v>0</v>
      </c>
      <c r="D8763" s="22" t="s">
        <v>11059</v>
      </c>
      <c r="E8763" s="22" t="s">
        <v>53</v>
      </c>
      <c r="F8763" s="23" t="str">
        <f>HYPERLINK("https://www.spark-marketing.ru/Card/Lot/70244514", "Ежемесячное техническое обслуживание системы автоматизации и сигнализации котлов HP-20")</f>
        <v>Ежемесячное техническое обслуживание системы автоматизации и сигнализации котлов HP-20</v>
      </c>
      <c r="G8763" s="22" t="s">
        <v>204</v>
      </c>
      <c r="H8763" s="22" t="s">
        <v>824</v>
      </c>
      <c r="I8763" s="26">
        <v>43584.734189814801</v>
      </c>
      <c r="J8763" s="28" t="s">
        <v>52</v>
      </c>
      <c r="K8763" s="28" t="s">
        <v>52</v>
      </c>
      <c r="L8763" s="28" t="s">
        <v>52</v>
      </c>
      <c r="M8763" s="28" t="s">
        <v>52</v>
      </c>
      <c r="N8763" s="28" t="s">
        <v>52</v>
      </c>
    </row>
    <row r="8764" spans="1:14" x14ac:dyDescent="0.2">
      <c r="A8764" s="23" t="str">
        <f>HYPERLINK("https://www.spark-marketing.ru/Card/Person/4348805", "АО ""ИНТЕР РАО-ЭЛЕКТРОГЕНЕРАЦИЯ""")</f>
        <v>АО "ИНТЕР РАО-ЭЛЕКТРОГЕНЕРАЦИЯ"</v>
      </c>
      <c r="B8764" s="24" t="s">
        <v>11062</v>
      </c>
      <c r="C8764" s="25">
        <v>2716000</v>
      </c>
      <c r="D8764" s="22" t="s">
        <v>11063</v>
      </c>
      <c r="E8764" s="22" t="s">
        <v>370</v>
      </c>
      <c r="F8764" s="23" t="str">
        <f>HYPERLINK("https://www.spark-marketing.ru/Card/Lot/70232515", "Годовое обслуживание комплекса инженерно-технических средств охраны (ИТСО) для Прегольской ТЭС")</f>
        <v>Годовое обслуживание комплекса инженерно-технических средств охраны (ИТСО) для Прегольской ТЭС</v>
      </c>
      <c r="G8764" s="22" t="s">
        <v>55</v>
      </c>
      <c r="H8764" s="22" t="s">
        <v>55</v>
      </c>
      <c r="I8764" s="26">
        <v>43584.744039351899</v>
      </c>
      <c r="J8764" s="28" t="s">
        <v>52</v>
      </c>
      <c r="K8764" s="28" t="s">
        <v>52</v>
      </c>
      <c r="L8764" s="22" t="s">
        <v>10</v>
      </c>
      <c r="M8764" s="25">
        <v>2390080</v>
      </c>
      <c r="N8764" s="27">
        <v>0.12</v>
      </c>
    </row>
    <row r="8765" spans="1:14" x14ac:dyDescent="0.15">
      <c r="A8765" s="23" t="str">
        <f>HYPERLINK("https://www.spark-marketing.ru/Card/Person/2097942", "АО ""КОНЦЕРН РОСЭНЕРГОАТОМ""")</f>
        <v>АО "КОНЦЕРН РОСЭНЕРГОАТОМ"</v>
      </c>
      <c r="B8765" s="24" t="s">
        <v>211</v>
      </c>
      <c r="C8765" s="25">
        <v>9097601.0800000001</v>
      </c>
      <c r="D8765" s="22" t="s">
        <v>11064</v>
      </c>
      <c r="E8765" s="22" t="s">
        <v>144</v>
      </c>
      <c r="F8765" s="23" t="str">
        <f>HYPERLINK("https://www.spark-marketing.ru/Card/Lot/70227677", "Право заключения договора на Оказание охранных услуг офисных помещений АО «Концерн Росэнергоатом» расположенных по адресам: г. Москва, Проектируемый пр-д № 4062, д. 6, стр. 5, стр. 25")</f>
        <v>Право заключения договора на Оказание охранных услуг офисных помещений АО «Концерн Росэнергоатом» расположенных по адресам: г. Москва, Проектируемый пр-д № 4062, д. 6, стр. 5, стр. 25</v>
      </c>
      <c r="G8765" s="22" t="s">
        <v>55</v>
      </c>
      <c r="H8765" s="22" t="s">
        <v>55</v>
      </c>
      <c r="I8765" s="26">
        <v>43584.731759259303</v>
      </c>
      <c r="J8765" s="28" t="s">
        <v>52</v>
      </c>
      <c r="K8765" s="28" t="s">
        <v>52</v>
      </c>
      <c r="L8765" s="28" t="s">
        <v>52</v>
      </c>
      <c r="M8765" s="28" t="s">
        <v>52</v>
      </c>
      <c r="N8765" s="28" t="s">
        <v>52</v>
      </c>
    </row>
    <row r="8766" spans="1:14" x14ac:dyDescent="0.15">
      <c r="A8766" s="23" t="str">
        <f>HYPERLINK("https://www.spark-marketing.ru/Card/Person/20171", "АДМИНИСТРАЦИЯ ГО - Г. ВОЛЖСКИЙ")</f>
        <v>АДМИНИСТРАЦИЯ ГО - Г. ВОЛЖСКИЙ</v>
      </c>
      <c r="B8766" s="24" t="s">
        <v>11065</v>
      </c>
      <c r="C8766" s="25">
        <v>55000</v>
      </c>
      <c r="D8766" s="22" t="s">
        <v>11066</v>
      </c>
      <c r="E8766" s="22" t="s">
        <v>2246</v>
      </c>
      <c r="F8766" s="23" t="str">
        <f>HYPERLINK("https://www.spark-marketing.ru/Card/Lot/70234097", "Оказание услуг по изготовлению и поставке плакатов и памяток для населения по мероприятию «Обеспечение безопасности людей на водных объектах, охране их жизни и здоровья»")</f>
        <v>Оказание услуг по изготовлению и поставке плакатов и памяток для населения по мероприятию «Обеспечение безопасности людей на водных объектах, охране их жизни и здоровья»</v>
      </c>
      <c r="G8766" s="22" t="s">
        <v>343</v>
      </c>
      <c r="H8766" s="22" t="s">
        <v>2599</v>
      </c>
      <c r="I8766" s="26">
        <v>43584.722916666702</v>
      </c>
      <c r="J8766" s="28" t="s">
        <v>52</v>
      </c>
      <c r="K8766" s="28" t="s">
        <v>52</v>
      </c>
      <c r="L8766" s="28" t="s">
        <v>52</v>
      </c>
      <c r="M8766" s="28" t="s">
        <v>52</v>
      </c>
      <c r="N8766" s="28" t="s">
        <v>52</v>
      </c>
    </row>
    <row r="8767" spans="1:14" ht="12.75" hidden="1" outlineLevel="1" x14ac:dyDescent="0.2">
      <c r="A8767" s="23" t="str">
        <f>HYPERLINK("https://www.spark-marketing.ru/Card/Person/20171", "АДМИНИСТРАЦИЯ ГО - Г. ВОЛЖСКИЙ")</f>
        <v>АДМИНИСТРАЦИЯ ГО - Г. ВОЛЖСКИЙ</v>
      </c>
      <c r="B8767" s="24" t="s">
        <v>11065</v>
      </c>
      <c r="C8767" s="25">
        <v>55000</v>
      </c>
      <c r="D8767" s="22" t="s">
        <v>11066</v>
      </c>
      <c r="E8767" s="22" t="s">
        <v>2246</v>
      </c>
      <c r="F8767" s="23" t="str">
        <f>HYPERLINK("https://www.spark-marketing.ru/Card/Lot/70234097", "Оказание услуг по изготовлению и поставке плакатов и памяток для населения по мероприятию «Обеспечение безопасности людей на водных объектах, охране их жизни и здоровья»")</f>
        <v>Оказание услуг по изготовлению и поставке плакатов и памяток для населения по мероприятию «Обеспечение безопасности людей на водных объектах, охране их жизни и здоровья»</v>
      </c>
      <c r="G8767" s="22" t="s">
        <v>343</v>
      </c>
      <c r="H8767" s="22" t="s">
        <v>2599</v>
      </c>
      <c r="I8767" s="26">
        <v>43584.722916666702</v>
      </c>
      <c r="J8767" s="23" t="str">
        <f>HYPERLINK("https://www.spark-marketing.ru/Card/Person/486259", "Бронников Илья Андреевич")</f>
        <v>Бронников Илья Андреевич</v>
      </c>
      <c r="K8767" s="24" t="s">
        <v>11067</v>
      </c>
      <c r="L8767" s="22" t="s">
        <v>10</v>
      </c>
      <c r="M8767" s="25">
        <v>50725</v>
      </c>
      <c r="N8767" s="27">
        <v>7.7727272727272728E-2</v>
      </c>
    </row>
    <row r="8768" spans="1:14" hidden="1" outlineLevel="1" x14ac:dyDescent="0.2">
      <c r="A8768" s="23" t="str">
        <f>HYPERLINK("https://www.spark-marketing.ru/Card/Person/20171", "АДМИНИСТРАЦИЯ ГО - Г. ВОЛЖСКИЙ")</f>
        <v>АДМИНИСТРАЦИЯ ГО - Г. ВОЛЖСКИЙ</v>
      </c>
      <c r="B8768" s="24" t="s">
        <v>11065</v>
      </c>
      <c r="C8768" s="25">
        <v>55000</v>
      </c>
      <c r="D8768" s="22" t="s">
        <v>11066</v>
      </c>
      <c r="E8768" s="22" t="s">
        <v>2246</v>
      </c>
      <c r="F8768" s="23" t="str">
        <f>HYPERLINK("https://www.spark-marketing.ru/Card/Lot/70234097", "Оказание услуг по изготовлению и поставке плакатов и памяток для населения по мероприятию «Обеспечение безопасности людей на водных объектах, охране их жизни и здоровья»")</f>
        <v>Оказание услуг по изготовлению и поставке плакатов и памяток для населения по мероприятию «Обеспечение безопасности людей на водных объектах, охране их жизни и здоровья»</v>
      </c>
      <c r="G8768" s="22" t="s">
        <v>343</v>
      </c>
      <c r="H8768" s="22" t="s">
        <v>2599</v>
      </c>
      <c r="I8768" s="26">
        <v>43584.722916666702</v>
      </c>
      <c r="J8768" s="23" t="str">
        <f>HYPERLINK("https://www.spark-marketing.ru/Card/Person/6501181", "ООО ""МИР""")</f>
        <v>ООО "МИР"</v>
      </c>
      <c r="K8768" s="24" t="s">
        <v>11068</v>
      </c>
      <c r="L8768" s="28" t="s">
        <v>52</v>
      </c>
      <c r="M8768" s="25">
        <v>51000</v>
      </c>
      <c r="N8768" s="27">
        <v>7.2727272727272724E-2</v>
      </c>
    </row>
    <row r="8769" spans="1:14" x14ac:dyDescent="0.15">
      <c r="A8769" s="23" t="str">
        <f>HYPERLINK("https://www.spark-marketing.ru/Card/Person/193037", "АО ""ГАЗПРОМ ГАЗОРАСПРЕДЕЛЕНИЕ КРАСНОДАР""")</f>
        <v>АО "ГАЗПРОМ ГАЗОРАСПРЕДЕЛЕНИЕ КРАСНОДАР"</v>
      </c>
      <c r="B8769" s="24" t="s">
        <v>11069</v>
      </c>
      <c r="C8769" s="25">
        <v>31640.33</v>
      </c>
      <c r="D8769" s="22" t="s">
        <v>11070</v>
      </c>
      <c r="E8769" s="22" t="s">
        <v>1840</v>
      </c>
      <c r="F8769" s="23" t="str">
        <f>HYPERLINK("https://www.spark-marketing.ru/Card/Lot/70230055", "Техническое обслуживание системы видеонаблюдения")</f>
        <v>Техническое обслуживание системы видеонаблюдения</v>
      </c>
      <c r="G8769" s="22" t="s">
        <v>132</v>
      </c>
      <c r="H8769" s="22" t="s">
        <v>652</v>
      </c>
      <c r="I8769" s="26">
        <v>43584.738958333299</v>
      </c>
      <c r="J8769" s="28" t="s">
        <v>52</v>
      </c>
      <c r="K8769" s="28" t="s">
        <v>52</v>
      </c>
      <c r="L8769" s="28" t="s">
        <v>52</v>
      </c>
      <c r="M8769" s="28" t="s">
        <v>52</v>
      </c>
      <c r="N8769" s="28" t="s">
        <v>52</v>
      </c>
    </row>
    <row r="8770" spans="1:14" x14ac:dyDescent="0.15">
      <c r="A8770" s="23" t="str">
        <f>HYPERLINK("https://www.spark-marketing.ru/Card/Person/4348528", "АО ИК ""АСЭ""")</f>
        <v>АО ИК "АСЭ"</v>
      </c>
      <c r="B8770" s="24" t="s">
        <v>62</v>
      </c>
      <c r="C8770" s="25">
        <v>0</v>
      </c>
      <c r="D8770" s="22" t="s">
        <v>11071</v>
      </c>
      <c r="E8770" s="22" t="s">
        <v>53</v>
      </c>
      <c r="F8770" s="23" t="str">
        <f>HYPERLINK("https://www.spark-marketing.ru/Card/Lot/70240639", "мониторинг цен в электронной форме на Прошу предоставить коммерческое предложение на оказание услуг по сертификации системы управления охраной труда АО «АТОМПРОЕКТ» при авторском сопровождении строительства зарубежных объектов использования атомной э...")</f>
        <v>мониторинг цен в электронной форме на Прошу предоставить коммерческое предложение на оказание услуг по сертификации системы управления охраной труда АО «АТОМПРОЕКТ» при авторском сопровождении строительства зарубежных объектов использования атомной э...</v>
      </c>
      <c r="G8770" s="22" t="s">
        <v>64</v>
      </c>
      <c r="H8770" s="22" t="s">
        <v>65</v>
      </c>
      <c r="I8770" s="26">
        <v>43584.727303240703</v>
      </c>
      <c r="J8770" s="28" t="s">
        <v>52</v>
      </c>
      <c r="K8770" s="28" t="s">
        <v>52</v>
      </c>
      <c r="L8770" s="28" t="s">
        <v>52</v>
      </c>
      <c r="M8770" s="28" t="s">
        <v>52</v>
      </c>
      <c r="N8770" s="28" t="s">
        <v>52</v>
      </c>
    </row>
    <row r="8771" spans="1:14" x14ac:dyDescent="0.15">
      <c r="A8771" s="23" t="str">
        <f>HYPERLINK("https://www.spark-marketing.ru/Card/Person/16112", "ПРОКУРАТУРА ВЛАДИМИРСКОЙ ОБЛАСТИ")</f>
        <v>ПРОКУРАТУРА ВЛАДИМИРСКОЙ ОБЛАСТИ</v>
      </c>
      <c r="B8771" s="24" t="s">
        <v>11072</v>
      </c>
      <c r="C8771" s="25">
        <v>522147.84000000003</v>
      </c>
      <c r="D8771" s="22" t="s">
        <v>11073</v>
      </c>
      <c r="E8771" s="22" t="s">
        <v>68</v>
      </c>
      <c r="F8771" s="23" t="str">
        <f>HYPERLINK("https://www.spark-marketing.ru/Card/Lot/70238145", "Услуги по охране зданий и сооружений (постовая)")</f>
        <v>Услуги по охране зданий и сооружений (постовая)</v>
      </c>
      <c r="G8771" s="22" t="s">
        <v>145</v>
      </c>
      <c r="H8771" s="22" t="s">
        <v>145</v>
      </c>
      <c r="I8771" s="26">
        <v>43584.680555555598</v>
      </c>
      <c r="J8771" s="28" t="s">
        <v>52</v>
      </c>
      <c r="K8771" s="28" t="s">
        <v>52</v>
      </c>
      <c r="L8771" s="28" t="s">
        <v>52</v>
      </c>
      <c r="M8771" s="28" t="s">
        <v>52</v>
      </c>
      <c r="N8771" s="28" t="s">
        <v>52</v>
      </c>
    </row>
    <row r="8772" spans="1:14" ht="12.75" hidden="1" outlineLevel="1" x14ac:dyDescent="0.2">
      <c r="A8772" s="23" t="str">
        <f>HYPERLINK("https://www.spark-marketing.ru/Card/Person/16112", "ПРОКУРАТУРА ВЛАДИМИРСКОЙ ОБЛАСТИ")</f>
        <v>ПРОКУРАТУРА ВЛАДИМИРСКОЙ ОБЛАСТИ</v>
      </c>
      <c r="B8772" s="24" t="s">
        <v>11072</v>
      </c>
      <c r="C8772" s="25">
        <v>522147.84000000003</v>
      </c>
      <c r="D8772" s="22" t="s">
        <v>11073</v>
      </c>
      <c r="E8772" s="22" t="s">
        <v>68</v>
      </c>
      <c r="F8772" s="23" t="str">
        <f>HYPERLINK("https://www.spark-marketing.ru/Card/Lot/70238145", "Услуги по охране зданий и сооружений (постовая)")</f>
        <v>Услуги по охране зданий и сооружений (постовая)</v>
      </c>
      <c r="G8772" s="22" t="s">
        <v>145</v>
      </c>
      <c r="H8772" s="22" t="s">
        <v>145</v>
      </c>
      <c r="I8772" s="26">
        <v>43584.680555555598</v>
      </c>
      <c r="J8772" s="23" t="str">
        <f>HYPERLINK("https://www.spark-marketing.ru/Card/Person/366508", "Филиал ФГУП ""Охрана"" Росгвардии по Пермскому краю")</f>
        <v>Филиал ФГУП "Охрана" Росгвардии по Пермскому краю</v>
      </c>
      <c r="K8772" s="24" t="s">
        <v>779</v>
      </c>
      <c r="L8772" s="22" t="s">
        <v>10</v>
      </c>
      <c r="M8772" s="25">
        <v>522147.84000000003</v>
      </c>
      <c r="N8772" s="27">
        <v>0</v>
      </c>
    </row>
    <row r="8773" spans="1:14" hidden="1" outlineLevel="1" x14ac:dyDescent="0.15">
      <c r="A8773" s="23" t="str">
        <f>HYPERLINK("https://www.spark-marketing.ru/Card/Person/16112", "ПРОКУРАТУРА ВЛАДИМИРСКОЙ ОБЛАСТИ")</f>
        <v>ПРОКУРАТУРА ВЛАДИМИРСКОЙ ОБЛАСТИ</v>
      </c>
      <c r="B8773" s="24" t="s">
        <v>11072</v>
      </c>
      <c r="C8773" s="25">
        <v>522147.84000000003</v>
      </c>
      <c r="D8773" s="22" t="s">
        <v>11073</v>
      </c>
      <c r="E8773" s="22" t="s">
        <v>68</v>
      </c>
      <c r="F8773" s="23" t="str">
        <f>HYPERLINK("https://www.spark-marketing.ru/Card/Lot/70238145", "Услуги по охране зданий и сооружений (постовая)")</f>
        <v>Услуги по охране зданий и сооружений (постовая)</v>
      </c>
      <c r="G8773" s="22" t="s">
        <v>145</v>
      </c>
      <c r="H8773" s="22" t="s">
        <v>145</v>
      </c>
      <c r="I8773" s="26">
        <v>43584.680555555598</v>
      </c>
      <c r="J8773" s="23" t="str">
        <f>HYPERLINK("https://www.spark-marketing.ru/Card/Person/504276", "ООО ЧОО ""МАНГУСТ""")</f>
        <v>ООО ЧОО "МАНГУСТ"</v>
      </c>
      <c r="K8773" s="24" t="s">
        <v>11074</v>
      </c>
      <c r="L8773" s="28" t="s">
        <v>52</v>
      </c>
      <c r="M8773" s="28" t="s">
        <v>52</v>
      </c>
      <c r="N8773" s="28" t="s">
        <v>52</v>
      </c>
    </row>
    <row r="8774" spans="1:14" x14ac:dyDescent="0.15">
      <c r="A8774" s="23" t="str">
        <f>HYPERLINK("https://www.spark-marketing.ru/Card/Person/1761832", "ОАО ""РЫНОЧНЫЙ КОМПЛЕКС ""ЦАРИЦЫНСКИЙ""")</f>
        <v>ОАО "РЫНОЧНЫЙ КОМПЛЕКС "ЦАРИЦЫНСКИЙ"</v>
      </c>
      <c r="B8774" s="24" t="s">
        <v>613</v>
      </c>
      <c r="C8774" s="25">
        <v>293832</v>
      </c>
      <c r="D8774" s="22" t="s">
        <v>11075</v>
      </c>
      <c r="E8774" s="22" t="s">
        <v>615</v>
      </c>
      <c r="F8774" s="23" t="str">
        <f>HYPERLINK("https://www.spark-marketing.ru/Card/Lot/70224719", "оказание услуг по охране объекта")</f>
        <v>оказание услуг по охране объекта</v>
      </c>
      <c r="G8774" s="22" t="s">
        <v>55</v>
      </c>
      <c r="H8774" s="22" t="s">
        <v>55</v>
      </c>
      <c r="I8774" s="26">
        <v>43584.667326388902</v>
      </c>
      <c r="J8774" s="28" t="s">
        <v>52</v>
      </c>
      <c r="K8774" s="28" t="s">
        <v>52</v>
      </c>
      <c r="L8774" s="28" t="s">
        <v>52</v>
      </c>
      <c r="M8774" s="28" t="s">
        <v>52</v>
      </c>
      <c r="N8774" s="28" t="s">
        <v>52</v>
      </c>
    </row>
    <row r="8775" spans="1:14" x14ac:dyDescent="0.15">
      <c r="A8775" s="23" t="str">
        <f>HYPERLINK("https://www.spark-marketing.ru/Card/Person/145392", "МКУ АГП СР ""АФИПСКАЯ ЕДИНАЯ СЛУЖБА""")</f>
        <v>МКУ АГП СР "АФИПСКАЯ ЕДИНАЯ СЛУЖБА"</v>
      </c>
      <c r="B8775" s="24" t="s">
        <v>9159</v>
      </c>
      <c r="C8775" s="25">
        <v>69470</v>
      </c>
      <c r="D8775" s="22" t="s">
        <v>11076</v>
      </c>
      <c r="E8775" s="22" t="s">
        <v>1297</v>
      </c>
      <c r="F8775" s="23" t="str">
        <f>HYPERLINK("https://www.spark-marketing.ru/Card/Lot/70229265", "Поставка и установка камеры видеонаблюдения на кладбище по адресу: Северский район, 5-й км трассы пгт. Афипский х. Коваленко")</f>
        <v>Поставка и установка камеры видеонаблюдения на кладбище по адресу: Северский район, 5-й км трассы пгт. Афипский х. Коваленко</v>
      </c>
      <c r="G8775" s="22" t="s">
        <v>132</v>
      </c>
      <c r="H8775" s="22" t="s">
        <v>2560</v>
      </c>
      <c r="I8775" s="26">
        <v>43584.676388888904</v>
      </c>
      <c r="J8775" s="28" t="s">
        <v>52</v>
      </c>
      <c r="K8775" s="28" t="s">
        <v>52</v>
      </c>
      <c r="L8775" s="28" t="s">
        <v>52</v>
      </c>
      <c r="M8775" s="28" t="s">
        <v>52</v>
      </c>
      <c r="N8775" s="28" t="s">
        <v>52</v>
      </c>
    </row>
    <row r="8776" spans="1:14" ht="12.75" hidden="1" outlineLevel="1" x14ac:dyDescent="0.2">
      <c r="A8776" s="23" t="str">
        <f>HYPERLINK("https://www.spark-marketing.ru/Card/Person/145392", "МКУ АГП СР ""АФИПСКАЯ ЕДИНАЯ СЛУЖБА""")</f>
        <v>МКУ АГП СР "АФИПСКАЯ ЕДИНАЯ СЛУЖБА"</v>
      </c>
      <c r="B8776" s="24" t="s">
        <v>9159</v>
      </c>
      <c r="C8776" s="25">
        <v>69470</v>
      </c>
      <c r="D8776" s="22" t="s">
        <v>11076</v>
      </c>
      <c r="E8776" s="22" t="s">
        <v>1297</v>
      </c>
      <c r="F8776" s="23" t="str">
        <f>HYPERLINK("https://www.spark-marketing.ru/Card/Lot/70229265", "Поставка и установка камеры видеонаблюдения на кладбище по адресу: Северский район, 5-й км трассы пгт. Афипский х. Коваленко")</f>
        <v>Поставка и установка камеры видеонаблюдения на кладбище по адресу: Северский район, 5-й км трассы пгт. Афипский х. Коваленко</v>
      </c>
      <c r="G8776" s="22" t="s">
        <v>132</v>
      </c>
      <c r="H8776" s="22" t="s">
        <v>2560</v>
      </c>
      <c r="I8776" s="26">
        <v>43584.676388888904</v>
      </c>
      <c r="J8776" s="23" t="str">
        <f>HYPERLINK("https://www.spark-marketing.ru/Card/Person/152934", "ООО ""СП-ХОЛДИНГ""")</f>
        <v>ООО "СП-ХОЛДИНГ"</v>
      </c>
      <c r="K8776" s="24" t="s">
        <v>10686</v>
      </c>
      <c r="L8776" s="22" t="s">
        <v>10</v>
      </c>
      <c r="M8776" s="25">
        <v>69470</v>
      </c>
      <c r="N8776" s="27">
        <v>0</v>
      </c>
    </row>
    <row r="8777" spans="1:14" hidden="1" outlineLevel="1" x14ac:dyDescent="0.2">
      <c r="A8777" s="23" t="str">
        <f>HYPERLINK("https://www.spark-marketing.ru/Card/Person/145392", "МКУ АГП СР ""АФИПСКАЯ ЕДИНАЯ СЛУЖБА""")</f>
        <v>МКУ АГП СР "АФИПСКАЯ ЕДИНАЯ СЛУЖБА"</v>
      </c>
      <c r="B8777" s="24" t="s">
        <v>9159</v>
      </c>
      <c r="C8777" s="25">
        <v>69470</v>
      </c>
      <c r="D8777" s="22" t="s">
        <v>11076</v>
      </c>
      <c r="E8777" s="22" t="s">
        <v>1297</v>
      </c>
      <c r="F8777" s="23" t="str">
        <f>HYPERLINK("https://www.spark-marketing.ru/Card/Lot/70229265", "Поставка и установка камеры видеонаблюдения на кладбище по адресу: Северский район, 5-й км трассы пгт. Афипский х. Коваленко")</f>
        <v>Поставка и установка камеры видеонаблюдения на кладбище по адресу: Северский район, 5-й км трассы пгт. Афипский х. Коваленко</v>
      </c>
      <c r="G8777" s="22" t="s">
        <v>132</v>
      </c>
      <c r="H8777" s="22" t="s">
        <v>2560</v>
      </c>
      <c r="I8777" s="26">
        <v>43584.676388888904</v>
      </c>
      <c r="J8777" s="23" t="str">
        <f>HYPERLINK("https://www.spark-marketing.ru/Card/Person/6142617", "ООО ""АВРОРА СБ""")</f>
        <v>ООО "АВРОРА СБ"</v>
      </c>
      <c r="K8777" s="24" t="s">
        <v>9674</v>
      </c>
      <c r="L8777" s="28" t="s">
        <v>52</v>
      </c>
      <c r="M8777" s="25">
        <v>69470</v>
      </c>
      <c r="N8777" s="27">
        <v>0</v>
      </c>
    </row>
    <row r="8778" spans="1:14" x14ac:dyDescent="0.15">
      <c r="A8778" s="23" t="str">
        <f>HYPERLINK("https://www.spark-marketing.ru/Card/Person/4366643", "АО ""ГИПРОГАЗЦЕНТР""")</f>
        <v>АО "ГИПРОГАЗЦЕНТР"</v>
      </c>
      <c r="B8778" s="24" t="s">
        <v>11077</v>
      </c>
      <c r="C8778" s="25">
        <v>21000.62</v>
      </c>
      <c r="D8778" s="22" t="s">
        <v>11078</v>
      </c>
      <c r="E8778" s="22" t="s">
        <v>11079</v>
      </c>
      <c r="F8778" s="23" t="str">
        <f>HYPERLINK("https://www.spark-marketing.ru/Card/Lot/70225866", "Работа по техническому обслуживанию и государственная поверка приборов, систем сигнализации и контроля загазованности по углекислому газу и угарному газу помещений 3-х котельных, два раза в год, по адресу: г. Н.Новгород, ул. Ковалихинский овраг, 7.")</f>
        <v>Работа по техническому обслуживанию и государственная поверка приборов, систем сигнализации и контроля загазованности по углекислому газу и угарному газу помещений 3-х котельных, два раза в год, по адресу: г. Н.Новгород, ул. Ковалихинский овраг, 7.</v>
      </c>
      <c r="G8778" s="22" t="s">
        <v>64</v>
      </c>
      <c r="H8778" s="22" t="s">
        <v>65</v>
      </c>
      <c r="I8778" s="26">
        <v>43584.682002314803</v>
      </c>
      <c r="J8778" s="28" t="s">
        <v>52</v>
      </c>
      <c r="K8778" s="28" t="s">
        <v>52</v>
      </c>
      <c r="L8778" s="28" t="s">
        <v>52</v>
      </c>
      <c r="M8778" s="28" t="s">
        <v>52</v>
      </c>
      <c r="N8778" s="28" t="s">
        <v>52</v>
      </c>
    </row>
    <row r="8779" spans="1:14" x14ac:dyDescent="0.15">
      <c r="A8779" s="23" t="str">
        <f>HYPERLINK("https://www.spark-marketing.ru/Card/Person/1753226", "ООО ""ГАЗПРОМ ПЕРЕРАБОТКА""")</f>
        <v>ООО "ГАЗПРОМ ПЕРЕРАБОТКА"</v>
      </c>
      <c r="B8779" s="24" t="s">
        <v>11080</v>
      </c>
      <c r="C8779" s="25">
        <v>92038334.659999996</v>
      </c>
      <c r="D8779" s="22" t="s">
        <v>11081</v>
      </c>
      <c r="E8779" s="22" t="s">
        <v>621</v>
      </c>
      <c r="F8779" s="23" t="str">
        <f>HYPERLINK("https://www.spark-marketing.ru/Card/Lot/70225912", "Строительно-монтажные работы")</f>
        <v>Строительно-монтажные работы</v>
      </c>
      <c r="G8779" s="22" t="s">
        <v>89</v>
      </c>
      <c r="H8779" s="22" t="s">
        <v>89</v>
      </c>
      <c r="I8779" s="26">
        <v>43584.687326388899</v>
      </c>
      <c r="J8779" s="28" t="s">
        <v>52</v>
      </c>
      <c r="K8779" s="28" t="s">
        <v>52</v>
      </c>
      <c r="L8779" s="28" t="s">
        <v>52</v>
      </c>
      <c r="M8779" s="28" t="s">
        <v>52</v>
      </c>
      <c r="N8779" s="28" t="s">
        <v>52</v>
      </c>
    </row>
    <row r="8780" spans="1:14" x14ac:dyDescent="0.15">
      <c r="A8780" s="23" t="str">
        <f>HYPERLINK("https://www.spark-marketing.ru/Card/Person/28748", "ГБУЗ ""ГБ"" Г. ЯСНОГО")</f>
        <v>ГБУЗ "ГБ" Г. ЯСНОГО</v>
      </c>
      <c r="B8780" s="24" t="s">
        <v>11082</v>
      </c>
      <c r="C8780" s="25">
        <v>311680.8</v>
      </c>
      <c r="D8780" s="22" t="s">
        <v>11083</v>
      </c>
      <c r="E8780" s="22" t="s">
        <v>68</v>
      </c>
      <c r="F8780" s="23" t="str">
        <f>HYPERLINK("https://www.spark-marketing.ru/Card/Lot/70231696", "Оказание охранных услуг")</f>
        <v>Оказание охранных услуг</v>
      </c>
      <c r="G8780" s="22" t="s">
        <v>384</v>
      </c>
      <c r="H8780" s="22" t="s">
        <v>11084</v>
      </c>
      <c r="I8780" s="26">
        <v>43584.684722222199</v>
      </c>
      <c r="J8780" s="28" t="s">
        <v>52</v>
      </c>
      <c r="K8780" s="28" t="s">
        <v>52</v>
      </c>
      <c r="L8780" s="28" t="s">
        <v>52</v>
      </c>
      <c r="M8780" s="28" t="s">
        <v>52</v>
      </c>
      <c r="N8780" s="28" t="s">
        <v>52</v>
      </c>
    </row>
    <row r="8781" spans="1:14" x14ac:dyDescent="0.15">
      <c r="A8781" s="23" t="str">
        <f>HYPERLINK("https://www.spark-marketing.ru/Card/Person/426546", "ЛО ГУП ""НЕДВИЖИМОСТЬ""")</f>
        <v>ЛО ГУП "НЕДВИЖИМОСТЬ"</v>
      </c>
      <c r="B8781" s="24" t="s">
        <v>7521</v>
      </c>
      <c r="C8781" s="25">
        <v>1292544</v>
      </c>
      <c r="D8781" s="22" t="s">
        <v>11085</v>
      </c>
      <c r="E8781" s="22" t="s">
        <v>144</v>
      </c>
      <c r="F8781" s="23" t="str">
        <f>HYPERLINK("https://www.spark-marketing.ru/Card/Lot/70227903", "Оказание услуг по обеспечению контрольно-пропускного режима и охране объекта по адресу: Санкт-Петербург, ул. Торжковская, дом 4.")</f>
        <v>Оказание услуг по обеспечению контрольно-пропускного режима и охране объекта по адресу: Санкт-Петербург, ул. Торжковская, дом 4.</v>
      </c>
      <c r="G8781" s="22" t="s">
        <v>89</v>
      </c>
      <c r="H8781" s="22" t="s">
        <v>89</v>
      </c>
      <c r="I8781" s="26">
        <v>43584.693298611099</v>
      </c>
      <c r="J8781" s="28" t="s">
        <v>52</v>
      </c>
      <c r="K8781" s="28" t="s">
        <v>52</v>
      </c>
      <c r="L8781" s="28" t="s">
        <v>52</v>
      </c>
      <c r="M8781" s="28" t="s">
        <v>52</v>
      </c>
      <c r="N8781" s="28" t="s">
        <v>52</v>
      </c>
    </row>
    <row r="8782" spans="1:14" hidden="1" outlineLevel="1" x14ac:dyDescent="0.2">
      <c r="A8782" s="23" t="str">
        <f>HYPERLINK("https://www.spark-marketing.ru/Card/Person/426546", "ЛО ГУП ""НЕДВИЖИМОСТЬ""")</f>
        <v>ЛО ГУП "НЕДВИЖИМОСТЬ"</v>
      </c>
      <c r="B8782" s="24" t="s">
        <v>7521</v>
      </c>
      <c r="C8782" s="28" t="s">
        <v>52</v>
      </c>
      <c r="D8782" s="22" t="s">
        <v>11085</v>
      </c>
      <c r="E8782" s="22" t="s">
        <v>144</v>
      </c>
      <c r="F8782" s="23" t="str">
        <f>HYPERLINK("https://www.spark-marketing.ru/Card/Lot/70227903", "Оказание услуг по обеспечению контрольно-пропускного режима и охране объекта по адресу: Санкт-Петербург, ул. Торжковская, дом 4.")</f>
        <v>Оказание услуг по обеспечению контрольно-пропускного режима и охране объекта по адресу: Санкт-Петербург, ул. Торжковская, дом 4.</v>
      </c>
      <c r="G8782" s="22" t="s">
        <v>89</v>
      </c>
      <c r="H8782" s="22" t="s">
        <v>89</v>
      </c>
      <c r="I8782" s="26">
        <v>43584.693298611099</v>
      </c>
      <c r="J8782" s="23" t="str">
        <f>HYPERLINK("https://www.spark-marketing.ru/Card/Person/4349824", "ООО ОП ""БОЯР""")</f>
        <v>ООО ОП "БОЯР"</v>
      </c>
      <c r="K8782" s="24" t="s">
        <v>11086</v>
      </c>
      <c r="L8782" s="22" t="s">
        <v>10</v>
      </c>
      <c r="M8782" s="25">
        <v>1048723</v>
      </c>
      <c r="N8782" s="27">
        <v>0.18863651836997425</v>
      </c>
    </row>
    <row r="8783" spans="1:14" hidden="1" outlineLevel="1" x14ac:dyDescent="0.2">
      <c r="A8783" s="23" t="str">
        <f>HYPERLINK("https://www.spark-marketing.ru/Card/Person/426546", "ЛО ГУП ""НЕДВИЖИМОСТЬ""")</f>
        <v>ЛО ГУП "НЕДВИЖИМОСТЬ"</v>
      </c>
      <c r="B8783" s="24" t="s">
        <v>7521</v>
      </c>
      <c r="C8783" s="28" t="s">
        <v>52</v>
      </c>
      <c r="D8783" s="22" t="s">
        <v>11085</v>
      </c>
      <c r="E8783" s="22" t="s">
        <v>144</v>
      </c>
      <c r="F8783" s="23" t="str">
        <f>HYPERLINK("https://www.spark-marketing.ru/Card/Lot/70227903", "Оказание услуг по обеспечению контрольно-пропускного режима и охране объекта по адресу: Санкт-Петербург, ул. Торжковская, дом 4.")</f>
        <v>Оказание услуг по обеспечению контрольно-пропускного режима и охране объекта по адресу: Санкт-Петербург, ул. Торжковская, дом 4.</v>
      </c>
      <c r="G8783" s="22" t="s">
        <v>89</v>
      </c>
      <c r="H8783" s="22" t="s">
        <v>89</v>
      </c>
      <c r="I8783" s="26">
        <v>43584.693298611099</v>
      </c>
      <c r="J8783" s="23" t="str">
        <f>HYPERLINK("https://www.spark-marketing.ru/Card/Person/1957699", "ООО ""ОП ""ТРАНС-СЕКЬЮРИТИ""""")</f>
        <v>ООО "ОП "ТРАНС-СЕКЬЮРИТИ""</v>
      </c>
      <c r="K8783" s="24" t="s">
        <v>4138</v>
      </c>
      <c r="L8783" s="28" t="s">
        <v>52</v>
      </c>
      <c r="M8783" s="25">
        <v>1182600</v>
      </c>
      <c r="N8783" s="27">
        <v>8.5060160427807494E-2</v>
      </c>
    </row>
    <row r="8784" spans="1:14" hidden="1" outlineLevel="1" x14ac:dyDescent="0.2">
      <c r="A8784" s="23" t="str">
        <f>HYPERLINK("https://www.spark-marketing.ru/Card/Person/426546", "ЛО ГУП ""НЕДВИЖИМОСТЬ""")</f>
        <v>ЛО ГУП "НЕДВИЖИМОСТЬ"</v>
      </c>
      <c r="B8784" s="24" t="s">
        <v>7521</v>
      </c>
      <c r="C8784" s="28" t="s">
        <v>52</v>
      </c>
      <c r="D8784" s="22" t="s">
        <v>11085</v>
      </c>
      <c r="E8784" s="22" t="s">
        <v>144</v>
      </c>
      <c r="F8784" s="23" t="str">
        <f>HYPERLINK("https://www.spark-marketing.ru/Card/Lot/70227903", "Оказание услуг по обеспечению контрольно-пропускного режима и охране объекта по адресу: Санкт-Петербург, ул. Торжковская, дом 4.")</f>
        <v>Оказание услуг по обеспечению контрольно-пропускного режима и охране объекта по адресу: Санкт-Петербург, ул. Торжковская, дом 4.</v>
      </c>
      <c r="G8784" s="22" t="s">
        <v>89</v>
      </c>
      <c r="H8784" s="22" t="s">
        <v>89</v>
      </c>
      <c r="I8784" s="26">
        <v>43584.693298611099</v>
      </c>
      <c r="J8784" s="23" t="str">
        <f>HYPERLINK("https://www.spark-marketing.ru/Card/Person/899385", "ООО ""АСБ"" ЧОП")</f>
        <v>ООО "АСБ" ЧОП</v>
      </c>
      <c r="K8784" s="24" t="s">
        <v>11087</v>
      </c>
      <c r="L8784" s="28" t="s">
        <v>52</v>
      </c>
      <c r="M8784" s="25">
        <v>1230000</v>
      </c>
      <c r="N8784" s="27">
        <v>4.8388294711824126E-2</v>
      </c>
    </row>
    <row r="8785" spans="1:14" hidden="1" outlineLevel="1" x14ac:dyDescent="0.2">
      <c r="A8785" s="23" t="str">
        <f>HYPERLINK("https://www.spark-marketing.ru/Card/Person/426546", "ЛО ГУП ""НЕДВИЖИМОСТЬ""")</f>
        <v>ЛО ГУП "НЕДВИЖИМОСТЬ"</v>
      </c>
      <c r="B8785" s="24" t="s">
        <v>7521</v>
      </c>
      <c r="C8785" s="28" t="s">
        <v>52</v>
      </c>
      <c r="D8785" s="22" t="s">
        <v>11085</v>
      </c>
      <c r="E8785" s="22" t="s">
        <v>144</v>
      </c>
      <c r="F8785" s="23" t="str">
        <f>HYPERLINK("https://www.spark-marketing.ru/Card/Lot/70227903", "Оказание услуг по обеспечению контрольно-пропускного режима и охране объекта по адресу: Санкт-Петербург, ул. Торжковская, дом 4.")</f>
        <v>Оказание услуг по обеспечению контрольно-пропускного режима и охране объекта по адресу: Санкт-Петербург, ул. Торжковская, дом 4.</v>
      </c>
      <c r="G8785" s="22" t="s">
        <v>89</v>
      </c>
      <c r="H8785" s="22" t="s">
        <v>89</v>
      </c>
      <c r="I8785" s="26">
        <v>43584.693298611099</v>
      </c>
      <c r="J8785" s="23" t="str">
        <f>HYPERLINK("https://www.spark-marketing.ru/Card/Person/2582543", "ООО ""ОП ""ЭГО-СИСТЕМА""")</f>
        <v>ООО "ОП "ЭГО-СИСТЕМА"</v>
      </c>
      <c r="K8785" s="24" t="s">
        <v>11088</v>
      </c>
      <c r="L8785" s="28" t="s">
        <v>52</v>
      </c>
      <c r="M8785" s="25">
        <v>1250000</v>
      </c>
      <c r="N8785" s="27">
        <v>3.2914933650227768E-2</v>
      </c>
    </row>
    <row r="8786" spans="1:14" x14ac:dyDescent="0.15">
      <c r="A8786" s="23" t="str">
        <f>HYPERLINK("https://www.spark-marketing.ru/Card/Person/29268", "ФКУ УПРДОР ""СЕВЕРО-ЗАПАД""")</f>
        <v>ФКУ УПРДОР "СЕВЕРО-ЗАПАД"</v>
      </c>
      <c r="B8786" s="24" t="s">
        <v>3513</v>
      </c>
      <c r="C8786" s="25">
        <v>895836965</v>
      </c>
      <c r="D8786" s="22" t="s">
        <v>11089</v>
      </c>
      <c r="E8786" s="22" t="s">
        <v>723</v>
      </c>
      <c r="F8786" s="23" t="str">
        <f>HYPERLINK("https://www.spark-marketing.ru/Card/Lot/70238613", "Лот № 19: Выполнение работ по  оснащению категорированных объектов Кольцевой автомобильной дороги вокруг г. Санкт-Петербург (А-118) средствами обеспечения транспортной безопасности в рамках расходов на оснащение объектов дорожного хозяйства инженерно...")</f>
        <v>Лот № 19: Выполнение работ по  оснащению категорированных объектов Кольцевой автомобильной дороги вокруг г. Санкт-Петербург (А-118) средствами обеспечения транспортной безопасности в рамках расходов на оснащение объектов дорожного хозяйства инженерно...</v>
      </c>
      <c r="G8786" s="22" t="s">
        <v>89</v>
      </c>
      <c r="H8786" s="22" t="s">
        <v>89</v>
      </c>
      <c r="I8786" s="26">
        <v>43584.675000000003</v>
      </c>
      <c r="J8786" s="23" t="str">
        <f>HYPERLINK("https://www.spark-marketing.ru/Card/Person/6174758", "ООО ""ЛТСС""")</f>
        <v>ООО "ЛТСС"</v>
      </c>
      <c r="K8786" s="24" t="s">
        <v>11090</v>
      </c>
      <c r="L8786" s="22" t="s">
        <v>10</v>
      </c>
      <c r="M8786" s="28" t="s">
        <v>52</v>
      </c>
      <c r="N8786" s="28" t="s">
        <v>52</v>
      </c>
    </row>
    <row r="8787" spans="1:14" x14ac:dyDescent="0.15">
      <c r="A8787" s="23" t="str">
        <f>HYPERLINK("https://www.spark-marketing.ru/Card/Person/562051", "СПБ-БАЛТИЙСКИЙ ЛО МВД РОССИИ НА ТРАНСПОРТЕ")</f>
        <v>СПБ-БАЛТИЙСКИЙ ЛО МВД РОССИИ НА ТРАНСПОРТЕ</v>
      </c>
      <c r="B8787" s="24" t="s">
        <v>11091</v>
      </c>
      <c r="C8787" s="25">
        <v>23733.599999999999</v>
      </c>
      <c r="D8787" s="22" t="s">
        <v>11092</v>
      </c>
      <c r="E8787" s="22" t="s">
        <v>53</v>
      </c>
      <c r="F8787" s="23" t="str">
        <f>HYPERLINK("https://www.spark-marketing.ru/Card/Lot/70765090", "Услуги по техническому обслуживанию комплекса технических средств охраны")</f>
        <v>Услуги по техническому обслуживанию комплекса технических средств охраны</v>
      </c>
      <c r="G8787" s="22" t="s">
        <v>89</v>
      </c>
      <c r="H8787" s="22" t="s">
        <v>89</v>
      </c>
      <c r="I8787" s="26">
        <v>43584.697986111103</v>
      </c>
      <c r="J8787" s="28" t="s">
        <v>52</v>
      </c>
      <c r="K8787" s="28" t="s">
        <v>52</v>
      </c>
      <c r="L8787" s="28" t="s">
        <v>52</v>
      </c>
      <c r="M8787" s="28" t="s">
        <v>52</v>
      </c>
      <c r="N8787" s="28" t="s">
        <v>52</v>
      </c>
    </row>
    <row r="8788" spans="1:14" x14ac:dyDescent="0.15">
      <c r="A8788" s="23" t="str">
        <f>HYPERLINK("https://www.spark-marketing.ru/Card/Person/29268", "ФКУ УПРДОР ""СЕВЕРО-ЗАПАД""")</f>
        <v>ФКУ УПРДОР "СЕВЕРО-ЗАПАД"</v>
      </c>
      <c r="B8788" s="24" t="s">
        <v>3513</v>
      </c>
      <c r="C8788" s="25">
        <v>879289357</v>
      </c>
      <c r="D8788" s="22" t="s">
        <v>11093</v>
      </c>
      <c r="E8788" s="22" t="s">
        <v>723</v>
      </c>
      <c r="F8788" s="23" t="str">
        <f>HYPERLINK("https://www.spark-marketing.ru/Card/Lot/70238614", "Лот № 18: Выполнение работ по оснащению категорированных объектов Кольцевой автомобильной дороги вокруг г. Санкт-Петербург (А-118) средствами обеспечения транспортной безопасности в рамках расходов на оснащение объектов дорожного хозяйства инженерно-...")</f>
        <v>Лот № 18: Выполнение работ по оснащению категорированных объектов Кольцевой автомобильной дороги вокруг г. Санкт-Петербург (А-118) средствами обеспечения транспортной безопасности в рамках расходов на оснащение объектов дорожного хозяйства инженерно-...</v>
      </c>
      <c r="G8788" s="22" t="s">
        <v>89</v>
      </c>
      <c r="H8788" s="22" t="s">
        <v>89</v>
      </c>
      <c r="I8788" s="26">
        <v>43584.670833333301</v>
      </c>
      <c r="J8788" s="23" t="str">
        <f>HYPERLINK("https://www.spark-marketing.ru/Card/Person/6174758", "ООО ""ЛТСС""")</f>
        <v>ООО "ЛТСС"</v>
      </c>
      <c r="K8788" s="24" t="s">
        <v>11090</v>
      </c>
      <c r="L8788" s="22" t="s">
        <v>10</v>
      </c>
      <c r="M8788" s="28" t="s">
        <v>52</v>
      </c>
      <c r="N8788" s="28" t="s">
        <v>52</v>
      </c>
    </row>
    <row r="8789" spans="1:14" x14ac:dyDescent="0.15">
      <c r="A8789" s="23" t="str">
        <f>HYPERLINK("https://www.spark-marketing.ru/Card/Person/7325", "ГБУЗ ""ГКБ №40 ДЗМ""")</f>
        <v>ГБУЗ "ГКБ №40 ДЗМ"</v>
      </c>
      <c r="B8789" s="24" t="s">
        <v>11094</v>
      </c>
      <c r="C8789" s="25">
        <v>1951366.01</v>
      </c>
      <c r="D8789" s="22" t="s">
        <v>11095</v>
      </c>
      <c r="E8789" s="22" t="s">
        <v>103</v>
      </c>
      <c r="F8789" s="23" t="str">
        <f>HYPERLINK("https://www.spark-marketing.ru/Card/Lot/70233007", "Оказание услуг по техническому обслуживанию систем видеонаблюдения и палатной сигнализации государственного бюджетного учреждения здравоохранения города Москвы «Городская клиническая больница №40 Департамента здравоохранения города Москвы» и Обособле...")</f>
        <v>Оказание услуг по техническому обслуживанию систем видеонаблюдения и палатной сигнализации государственного бюджетного учреждения здравоохранения города Москвы «Городская клиническая больница №40 Департамента здравоохранения города Москвы» и Обособле...</v>
      </c>
      <c r="G8789" s="22" t="s">
        <v>55</v>
      </c>
      <c r="H8789" s="22" t="s">
        <v>55</v>
      </c>
      <c r="I8789" s="26">
        <v>43584.642361111102</v>
      </c>
      <c r="J8789" s="28" t="s">
        <v>52</v>
      </c>
      <c r="K8789" s="28" t="s">
        <v>52</v>
      </c>
      <c r="L8789" s="28" t="s">
        <v>52</v>
      </c>
      <c r="M8789" s="28" t="s">
        <v>52</v>
      </c>
      <c r="N8789" s="28" t="s">
        <v>52</v>
      </c>
    </row>
    <row r="8790" spans="1:14" ht="12.75" hidden="1" outlineLevel="1" x14ac:dyDescent="0.2">
      <c r="A8790" s="23" t="str">
        <f>HYPERLINK("https://www.spark-marketing.ru/Card/Person/7325", "ГБУЗ ""ГКБ №40 ДЗМ""")</f>
        <v>ГБУЗ "ГКБ №40 ДЗМ"</v>
      </c>
      <c r="B8790" s="24" t="s">
        <v>11094</v>
      </c>
      <c r="C8790" s="25">
        <v>1951366.01</v>
      </c>
      <c r="D8790" s="22" t="s">
        <v>11095</v>
      </c>
      <c r="E8790" s="22" t="s">
        <v>103</v>
      </c>
      <c r="F8790" s="23" t="str">
        <f>HYPERLINK("https://www.spark-marketing.ru/Card/Lot/70233007", "Оказание услуг по техническому обслуживанию систем видеонаблюдения и палатной сигнализации государственного бюджетного учреждения здравоохранения города Москвы «Городская клиническая больница №40 Департамента здравоохранения города Москвы» и Обособле...")</f>
        <v>Оказание услуг по техническому обслуживанию систем видеонаблюдения и палатной сигнализации государственного бюджетного учреждения здравоохранения города Москвы «Городская клиническая больница №40 Департамента здравоохранения города Москвы» и Обособле...</v>
      </c>
      <c r="G8790" s="22" t="s">
        <v>55</v>
      </c>
      <c r="H8790" s="22" t="s">
        <v>55</v>
      </c>
      <c r="I8790" s="26">
        <v>43584.642361111102</v>
      </c>
      <c r="J8790" s="23" t="str">
        <f>HYPERLINK("https://www.spark-marketing.ru/Card/Person/127226", "ООО ""ОБС""")</f>
        <v>ООО "ОБС"</v>
      </c>
      <c r="K8790" s="24" t="s">
        <v>11096</v>
      </c>
      <c r="L8790" s="22" t="s">
        <v>10</v>
      </c>
      <c r="M8790" s="25">
        <v>1852800</v>
      </c>
      <c r="N8790" s="27">
        <v>5.0511287731203232E-2</v>
      </c>
    </row>
    <row r="8791" spans="1:14" hidden="1" outlineLevel="1" x14ac:dyDescent="0.2">
      <c r="A8791" s="23" t="str">
        <f>HYPERLINK("https://www.spark-marketing.ru/Card/Person/7325", "ГБУЗ ""ГКБ №40 ДЗМ""")</f>
        <v>ГБУЗ "ГКБ №40 ДЗМ"</v>
      </c>
      <c r="B8791" s="24" t="s">
        <v>11094</v>
      </c>
      <c r="C8791" s="25">
        <v>1951366.01</v>
      </c>
      <c r="D8791" s="22" t="s">
        <v>11095</v>
      </c>
      <c r="E8791" s="22" t="s">
        <v>103</v>
      </c>
      <c r="F8791" s="23" t="str">
        <f>HYPERLINK("https://www.spark-marketing.ru/Card/Lot/70233007", "Оказание услуг по техническому обслуживанию систем видеонаблюдения и палатной сигнализации государственного бюджетного учреждения здравоохранения города Москвы «Городская клиническая больница №40 Департамента здравоохранения города Москвы» и Обособле...")</f>
        <v>Оказание услуг по техническому обслуживанию систем видеонаблюдения и палатной сигнализации государственного бюджетного учреждения здравоохранения города Москвы «Городская клиническая больница №40 Департамента здравоохранения города Москвы» и Обособле...</v>
      </c>
      <c r="G8791" s="22" t="s">
        <v>55</v>
      </c>
      <c r="H8791" s="22" t="s">
        <v>55</v>
      </c>
      <c r="I8791" s="26">
        <v>43584.642361111102</v>
      </c>
      <c r="J8791" s="23" t="str">
        <f>HYPERLINK("https://www.spark-marketing.ru/Card/Person/6070756", "Вециямов Роман Евгеньевич")</f>
        <v>Вециямов Роман Евгеньевич</v>
      </c>
      <c r="K8791" s="24" t="s">
        <v>11097</v>
      </c>
      <c r="L8791" s="28" t="s">
        <v>52</v>
      </c>
      <c r="M8791" s="25">
        <v>1863554.54</v>
      </c>
      <c r="N8791" s="27">
        <v>4.4999999769392313E-2</v>
      </c>
    </row>
    <row r="8792" spans="1:14" hidden="1" outlineLevel="1" x14ac:dyDescent="0.2">
      <c r="A8792" s="23" t="str">
        <f>HYPERLINK("https://www.spark-marketing.ru/Card/Person/7325", "ГБУЗ ""ГКБ №40 ДЗМ""")</f>
        <v>ГБУЗ "ГКБ №40 ДЗМ"</v>
      </c>
      <c r="B8792" s="24" t="s">
        <v>11094</v>
      </c>
      <c r="C8792" s="25">
        <v>1951366.01</v>
      </c>
      <c r="D8792" s="22" t="s">
        <v>11095</v>
      </c>
      <c r="E8792" s="22" t="s">
        <v>103</v>
      </c>
      <c r="F8792" s="23" t="str">
        <f>HYPERLINK("https://www.spark-marketing.ru/Card/Lot/70233007", "Оказание услуг по техническому обслуживанию систем видеонаблюдения и палатной сигнализации государственного бюджетного учреждения здравоохранения города Москвы «Городская клиническая больница №40 Департамента здравоохранения города Москвы» и Обособле...")</f>
        <v>Оказание услуг по техническому обслуживанию систем видеонаблюдения и палатной сигнализации государственного бюджетного учреждения здравоохранения города Москвы «Городская клиническая больница №40 Департамента здравоохранения города Москвы» и Обособле...</v>
      </c>
      <c r="G8792" s="22" t="s">
        <v>55</v>
      </c>
      <c r="H8792" s="22" t="s">
        <v>55</v>
      </c>
      <c r="I8792" s="26">
        <v>43584.642361111102</v>
      </c>
      <c r="J8792" s="23" t="str">
        <f>HYPERLINK("https://www.spark-marketing.ru/Card/Person/127097", "ООО ""ПОЖТЕХКОМПЛЕКТ""")</f>
        <v>ООО "ПОЖТЕХКОМПЛЕКТ"</v>
      </c>
      <c r="K8792" s="24" t="s">
        <v>9095</v>
      </c>
      <c r="L8792" s="28" t="s">
        <v>52</v>
      </c>
      <c r="M8792" s="25">
        <v>1883068.2</v>
      </c>
      <c r="N8792" s="27">
        <v>3.4999999820638464E-2</v>
      </c>
    </row>
    <row r="8793" spans="1:14" x14ac:dyDescent="0.15">
      <c r="A8793" s="23" t="str">
        <f>HYPERLINK("https://www.spark-marketing.ru/Card/Person/4348528", "АО ИК ""АСЭ""")</f>
        <v>АО ИК "АСЭ"</v>
      </c>
      <c r="B8793" s="24" t="s">
        <v>62</v>
      </c>
      <c r="C8793" s="25">
        <v>1032395.4</v>
      </c>
      <c r="D8793" s="22" t="s">
        <v>11098</v>
      </c>
      <c r="E8793" s="22" t="s">
        <v>53</v>
      </c>
      <c r="F8793" s="23" t="str">
        <f>HYPERLINK("https://www.spark-marketing.ru/Card/Lot/70226245", "Право заключения договора на оказание услуг по охране объекта МИФ АО «Атомэнергопроект» (388Пр/ЗК-019)")</f>
        <v>Право заключения договора на оказание услуг по охране объекта МИФ АО «Атомэнергопроект» (388Пр/ЗК-019)</v>
      </c>
      <c r="G8793" s="22" t="s">
        <v>64</v>
      </c>
      <c r="H8793" s="22" t="s">
        <v>65</v>
      </c>
      <c r="I8793" s="26">
        <v>43584.635347222204</v>
      </c>
      <c r="J8793" s="28" t="s">
        <v>52</v>
      </c>
      <c r="K8793" s="28" t="s">
        <v>52</v>
      </c>
      <c r="L8793" s="28" t="s">
        <v>52</v>
      </c>
      <c r="M8793" s="28" t="s">
        <v>52</v>
      </c>
      <c r="N8793" s="28" t="s">
        <v>52</v>
      </c>
    </row>
    <row r="8794" spans="1:14" x14ac:dyDescent="0.15">
      <c r="A8794" s="23" t="str">
        <f>HYPERLINK("https://www.spark-marketing.ru/Card/Person/1037162", "МБУ ""ПКИО""")</f>
        <v>МБУ "ПКИО"</v>
      </c>
      <c r="B8794" s="24" t="s">
        <v>11099</v>
      </c>
      <c r="C8794" s="25">
        <v>211486.44</v>
      </c>
      <c r="D8794" s="22" t="s">
        <v>11100</v>
      </c>
      <c r="E8794" s="22" t="s">
        <v>11101</v>
      </c>
      <c r="F8794" s="23" t="str">
        <f>HYPERLINK("https://www.spark-marketing.ru/Card/Lot/70222140", "охрана объекта заказчика")</f>
        <v>охрана объекта заказчика</v>
      </c>
      <c r="G8794" s="22" t="s">
        <v>402</v>
      </c>
      <c r="H8794" s="22" t="s">
        <v>4954</v>
      </c>
      <c r="I8794" s="26">
        <v>43584.660416666702</v>
      </c>
      <c r="J8794" s="28" t="s">
        <v>52</v>
      </c>
      <c r="K8794" s="28" t="s">
        <v>52</v>
      </c>
      <c r="L8794" s="28" t="s">
        <v>52</v>
      </c>
      <c r="M8794" s="28" t="s">
        <v>52</v>
      </c>
      <c r="N8794" s="28" t="s">
        <v>52</v>
      </c>
    </row>
    <row r="8795" spans="1:14" x14ac:dyDescent="0.15">
      <c r="A8795" s="23" t="str">
        <f>HYPERLINK("https://www.spark-marketing.ru/Card/Person/4348857", "МДОУ №3 Г. МОЖАЙСКА")</f>
        <v>МДОУ №3 Г. МОЖАЙСКА</v>
      </c>
      <c r="B8795" s="24" t="s">
        <v>11102</v>
      </c>
      <c r="C8795" s="25">
        <v>54600</v>
      </c>
      <c r="D8795" s="22" t="s">
        <v>11103</v>
      </c>
      <c r="E8795" s="22" t="s">
        <v>208</v>
      </c>
      <c r="F8795" s="23" t="str">
        <f>HYPERLINK("https://www.spark-marketing.ru/Card/Lot/70222057", "Поставка и установка видеодомофона на калитку")</f>
        <v>Поставка и установка видеодомофона на калитку</v>
      </c>
      <c r="G8795" s="22" t="s">
        <v>50</v>
      </c>
      <c r="H8795" s="22" t="s">
        <v>946</v>
      </c>
      <c r="I8795" s="26">
        <v>43584.660046296303</v>
      </c>
      <c r="J8795" s="28" t="s">
        <v>52</v>
      </c>
      <c r="K8795" s="28" t="s">
        <v>52</v>
      </c>
      <c r="L8795" s="28" t="s">
        <v>52</v>
      </c>
      <c r="M8795" s="28" t="s">
        <v>52</v>
      </c>
      <c r="N8795" s="28" t="s">
        <v>52</v>
      </c>
    </row>
    <row r="8796" spans="1:14" x14ac:dyDescent="0.15">
      <c r="A8796" s="23" t="str">
        <f>HYPERLINK("https://www.spark-marketing.ru/Card/Person/369191", "МЕЖРАЙОННАЯ ИФНС РОССИИ № 1 ПО МУРМАНСКОЙ ОБЛАСТИ")</f>
        <v>МЕЖРАЙОННАЯ ИФНС РОССИИ № 1 ПО МУРМАНСКОЙ ОБЛАСТИ</v>
      </c>
      <c r="B8796" s="24" t="s">
        <v>2864</v>
      </c>
      <c r="C8796" s="25">
        <v>88057.55</v>
      </c>
      <c r="D8796" s="22" t="s">
        <v>11104</v>
      </c>
      <c r="E8796" s="22" t="s">
        <v>53</v>
      </c>
      <c r="F8796" s="23" t="str">
        <f>HYPERLINK("https://www.spark-marketing.ru/Card/Lot/70766124", "Услуги по охране объектов при помощи технических средств охраны")</f>
        <v>Услуги по охране объектов при помощи технических средств охраны</v>
      </c>
      <c r="G8796" s="22" t="s">
        <v>190</v>
      </c>
      <c r="H8796" s="22" t="s">
        <v>2866</v>
      </c>
      <c r="I8796" s="26">
        <v>43584.626226851899</v>
      </c>
      <c r="J8796" s="28" t="s">
        <v>52</v>
      </c>
      <c r="K8796" s="28" t="s">
        <v>52</v>
      </c>
      <c r="L8796" s="28" t="s">
        <v>52</v>
      </c>
      <c r="M8796" s="28" t="s">
        <v>52</v>
      </c>
      <c r="N8796" s="28" t="s">
        <v>52</v>
      </c>
    </row>
    <row r="8797" spans="1:14" x14ac:dyDescent="0.15">
      <c r="A8797" s="23" t="str">
        <f>HYPERLINK("https://www.spark-marketing.ru/Card/Person/257756", "МБУ АСС Г. СТЕРЛИТАМАК")</f>
        <v>МБУ АСС Г. СТЕРЛИТАМАК</v>
      </c>
      <c r="B8797" s="24" t="s">
        <v>11105</v>
      </c>
      <c r="C8797" s="25">
        <v>2493537.5</v>
      </c>
      <c r="D8797" s="22" t="s">
        <v>11106</v>
      </c>
      <c r="E8797" s="22" t="s">
        <v>194</v>
      </c>
      <c r="F8797" s="23" t="str">
        <f>HYPERLINK("https://www.spark-marketing.ru/Card/Lot/70225704", "Изготовление и установка системы визуализации информации (видеостена)")</f>
        <v>Изготовление и установка системы визуализации информации (видеостена)</v>
      </c>
      <c r="G8797" s="22" t="s">
        <v>100</v>
      </c>
      <c r="H8797" s="22" t="s">
        <v>2799</v>
      </c>
      <c r="I8797" s="26">
        <v>43584.628472222197</v>
      </c>
      <c r="J8797" s="28" t="s">
        <v>52</v>
      </c>
      <c r="K8797" s="28" t="s">
        <v>52</v>
      </c>
      <c r="L8797" s="28" t="s">
        <v>52</v>
      </c>
      <c r="M8797" s="28" t="s">
        <v>52</v>
      </c>
      <c r="N8797" s="28" t="s">
        <v>52</v>
      </c>
    </row>
    <row r="8798" spans="1:14" hidden="1" outlineLevel="1" x14ac:dyDescent="0.2">
      <c r="A8798" s="23" t="str">
        <f>HYPERLINK("https://www.spark-marketing.ru/Card/Person/257756", "МБУ АСС Г. СТЕРЛИТАМАК")</f>
        <v>МБУ АСС Г. СТЕРЛИТАМАК</v>
      </c>
      <c r="B8798" s="24" t="s">
        <v>11105</v>
      </c>
      <c r="C8798" s="25">
        <v>2493537.5</v>
      </c>
      <c r="D8798" s="22" t="s">
        <v>11106</v>
      </c>
      <c r="E8798" s="22" t="s">
        <v>194</v>
      </c>
      <c r="F8798" s="23" t="str">
        <f>HYPERLINK("https://www.spark-marketing.ru/Card/Lot/70225704", "Изготовление и установка системы визуализации информации (видеостена)")</f>
        <v>Изготовление и установка системы визуализации информации (видеостена)</v>
      </c>
      <c r="G8798" s="22" t="s">
        <v>100</v>
      </c>
      <c r="H8798" s="22" t="s">
        <v>2799</v>
      </c>
      <c r="I8798" s="26">
        <v>43584.628472222197</v>
      </c>
      <c r="J8798" s="23" t="str">
        <f>HYPERLINK("https://www.spark-marketing.ru/Card/Person/84281", "ООО ""МЕДИАСНАБ""")</f>
        <v>ООО "МЕДИАСНАБ"</v>
      </c>
      <c r="K8798" s="24" t="s">
        <v>1997</v>
      </c>
      <c r="L8798" s="28" t="s">
        <v>52</v>
      </c>
      <c r="M8798" s="25">
        <v>1932491.25</v>
      </c>
      <c r="N8798" s="27">
        <v>0.22500012532396244</v>
      </c>
    </row>
    <row r="8799" spans="1:14" hidden="1" outlineLevel="1" x14ac:dyDescent="0.2">
      <c r="A8799" s="23" t="str">
        <f>HYPERLINK("https://www.spark-marketing.ru/Card/Person/257756", "МБУ АСС Г. СТЕРЛИТАМАК")</f>
        <v>МБУ АСС Г. СТЕРЛИТАМАК</v>
      </c>
      <c r="B8799" s="24" t="s">
        <v>11105</v>
      </c>
      <c r="C8799" s="25">
        <v>2493537.5</v>
      </c>
      <c r="D8799" s="22" t="s">
        <v>11106</v>
      </c>
      <c r="E8799" s="22" t="s">
        <v>194</v>
      </c>
      <c r="F8799" s="23" t="str">
        <f>HYPERLINK("https://www.spark-marketing.ru/Card/Lot/70225704", "Изготовление и установка системы визуализации информации (видеостена)")</f>
        <v>Изготовление и установка системы визуализации информации (видеостена)</v>
      </c>
      <c r="G8799" s="22" t="s">
        <v>100</v>
      </c>
      <c r="H8799" s="22" t="s">
        <v>2799</v>
      </c>
      <c r="I8799" s="26">
        <v>43584.628472222197</v>
      </c>
      <c r="J8799" s="23" t="str">
        <f>HYPERLINK("https://www.spark-marketing.ru/Card/Person/6503617", "ООО ""ЦЕНТР СЕТЕВОЙ БЕЗОПАСНОСТИ""")</f>
        <v>ООО "ЦЕНТР СЕТЕВОЙ БЕЗОПАСНОСТИ"</v>
      </c>
      <c r="K8799" s="24" t="s">
        <v>1996</v>
      </c>
      <c r="L8799" s="28" t="s">
        <v>52</v>
      </c>
      <c r="M8799" s="25">
        <v>1845217.42</v>
      </c>
      <c r="N8799" s="27">
        <v>0.26000013234210434</v>
      </c>
    </row>
    <row r="8800" spans="1:14" hidden="1" outlineLevel="1" x14ac:dyDescent="0.2">
      <c r="A8800" s="23" t="str">
        <f>HYPERLINK("https://www.spark-marketing.ru/Card/Person/257756", "МБУ АСС Г. СТЕРЛИТАМАК")</f>
        <v>МБУ АСС Г. СТЕРЛИТАМАК</v>
      </c>
      <c r="B8800" s="24" t="s">
        <v>11105</v>
      </c>
      <c r="C8800" s="25">
        <v>2493537.5</v>
      </c>
      <c r="D8800" s="22" t="s">
        <v>11106</v>
      </c>
      <c r="E8800" s="22" t="s">
        <v>194</v>
      </c>
      <c r="F8800" s="23" t="str">
        <f>HYPERLINK("https://www.spark-marketing.ru/Card/Lot/70225704", "Изготовление и установка системы визуализации информации (видеостена)")</f>
        <v>Изготовление и установка системы визуализации информации (видеостена)</v>
      </c>
      <c r="G8800" s="22" t="s">
        <v>100</v>
      </c>
      <c r="H8800" s="22" t="s">
        <v>2799</v>
      </c>
      <c r="I8800" s="26">
        <v>43584.628472222197</v>
      </c>
      <c r="J8800" s="23" t="str">
        <f>HYPERLINK("https://www.spark-marketing.ru/Card/Person/6174306", "Климентьев Виктор Анатольевич")</f>
        <v>Климентьев Виктор Анатольевич</v>
      </c>
      <c r="K8800" s="24" t="s">
        <v>11107</v>
      </c>
      <c r="L8800" s="28" t="s">
        <v>52</v>
      </c>
      <c r="M8800" s="25">
        <v>2306521.9500000002</v>
      </c>
      <c r="N8800" s="27">
        <v>7.5000095246211457E-2</v>
      </c>
    </row>
    <row r="8801" spans="1:14" ht="12.75" hidden="1" outlineLevel="1" x14ac:dyDescent="0.2">
      <c r="A8801" s="23" t="str">
        <f>HYPERLINK("https://www.spark-marketing.ru/Card/Person/257756", "МБУ АСС Г. СТЕРЛИТАМАК")</f>
        <v>МБУ АСС Г. СТЕРЛИТАМАК</v>
      </c>
      <c r="B8801" s="24" t="s">
        <v>11105</v>
      </c>
      <c r="C8801" s="25">
        <v>2493537.5</v>
      </c>
      <c r="D8801" s="22" t="s">
        <v>11106</v>
      </c>
      <c r="E8801" s="22" t="s">
        <v>194</v>
      </c>
      <c r="F8801" s="23" t="str">
        <f>HYPERLINK("https://www.spark-marketing.ru/Card/Lot/70225704", "Изготовление и установка системы визуализации информации (видеостена)")</f>
        <v>Изготовление и установка системы визуализации информации (видеостена)</v>
      </c>
      <c r="G8801" s="22" t="s">
        <v>100</v>
      </c>
      <c r="H8801" s="22" t="s">
        <v>2799</v>
      </c>
      <c r="I8801" s="26">
        <v>43584.628472222197</v>
      </c>
      <c r="J8801" s="23" t="str">
        <f>HYPERLINK("https://www.spark-marketing.ru/Card/Person/5963926", "ООО ""ГЕФЕСТ КАПИТАЛ""")</f>
        <v>ООО "ГЕФЕСТ КАПИТАЛ"</v>
      </c>
      <c r="K8801" s="24" t="s">
        <v>11108</v>
      </c>
      <c r="L8801" s="22" t="s">
        <v>10</v>
      </c>
      <c r="M8801" s="25">
        <v>1832749.73</v>
      </c>
      <c r="N8801" s="27">
        <v>0.26500013334469602</v>
      </c>
    </row>
    <row r="8802" spans="1:14" x14ac:dyDescent="0.15">
      <c r="A8802" s="23" t="str">
        <f>HYPERLINK("https://www.spark-marketing.ru/Card/Person/75843", "БУ ""ПСИХОНЕВРОЛОГИЧЕСКАЯ БОЛЬНИЦА ИМЕНИ СВЯТОЙ ПРЕПОДОБНОМУЧЕНИЦЫ ЕЛИЗАВЕТЫ""")</f>
        <v>БУ "ПСИХОНЕВРОЛОГИЧЕСКАЯ БОЛЬНИЦА ИМЕНИ СВЯТОЙ ПРЕПОДОБНОМУЧЕНИЦЫ ЕЛИЗАВЕТЫ"</v>
      </c>
      <c r="B8802" s="24" t="s">
        <v>11053</v>
      </c>
      <c r="C8802" s="25">
        <v>878400</v>
      </c>
      <c r="D8802" s="22" t="s">
        <v>11109</v>
      </c>
      <c r="E8802" s="22" t="s">
        <v>68</v>
      </c>
      <c r="F8802" s="23" t="str">
        <f>HYPERLINK("https://www.spark-marketing.ru/Card/Lot/70224406", "Оказание охранных услуг")</f>
        <v>Оказание охранных услуг</v>
      </c>
      <c r="G8802" s="22" t="s">
        <v>119</v>
      </c>
      <c r="H8802" s="22" t="s">
        <v>2371</v>
      </c>
      <c r="I8802" s="26">
        <v>43584.625694444403</v>
      </c>
      <c r="J8802" s="28" t="s">
        <v>52</v>
      </c>
      <c r="K8802" s="28" t="s">
        <v>52</v>
      </c>
      <c r="L8802" s="28" t="s">
        <v>52</v>
      </c>
      <c r="M8802" s="28" t="s">
        <v>52</v>
      </c>
      <c r="N8802" s="28" t="s">
        <v>52</v>
      </c>
    </row>
    <row r="8803" spans="1:14" ht="12.75" hidden="1" outlineLevel="1" x14ac:dyDescent="0.2">
      <c r="A8803" s="23" t="str">
        <f>HYPERLINK("https://www.spark-marketing.ru/Card/Person/75843", "БУ ""ПСИХОНЕВРОЛОГИЧЕСКАЯ БОЛЬНИЦА ИМЕНИ СВЯТОЙ ПРЕПОДОБНОМУЧЕНИЦЫ ЕЛИЗАВЕТЫ""")</f>
        <v>БУ "ПСИХОНЕВРОЛОГИЧЕСКАЯ БОЛЬНИЦА ИМЕНИ СВЯТОЙ ПРЕПОДОБНОМУЧЕНИЦЫ ЕЛИЗАВЕТЫ"</v>
      </c>
      <c r="B8803" s="24" t="s">
        <v>11053</v>
      </c>
      <c r="C8803" s="25">
        <v>878400</v>
      </c>
      <c r="D8803" s="22" t="s">
        <v>11109</v>
      </c>
      <c r="E8803" s="22" t="s">
        <v>68</v>
      </c>
      <c r="F8803" s="23" t="str">
        <f>HYPERLINK("https://www.spark-marketing.ru/Card/Lot/70224406", "Оказание охранных услуг")</f>
        <v>Оказание охранных услуг</v>
      </c>
      <c r="G8803" s="22" t="s">
        <v>119</v>
      </c>
      <c r="H8803" s="22" t="s">
        <v>2371</v>
      </c>
      <c r="I8803" s="26">
        <v>43584.625694444403</v>
      </c>
      <c r="J8803" s="23" t="str">
        <f>HYPERLINK("https://www.spark-marketing.ru/Card/Person/87686", "ООО ОА ""ПЕРЕСВЕТ""")</f>
        <v>ООО ОА "ПЕРЕСВЕТ"</v>
      </c>
      <c r="K8803" s="24" t="s">
        <v>2992</v>
      </c>
      <c r="L8803" s="22" t="s">
        <v>10</v>
      </c>
      <c r="M8803" s="25">
        <v>408222.11</v>
      </c>
      <c r="N8803" s="27">
        <v>0.53526626821493628</v>
      </c>
    </row>
    <row r="8804" spans="1:14" hidden="1" outlineLevel="1" x14ac:dyDescent="0.2">
      <c r="A8804" s="23" t="str">
        <f>HYPERLINK("https://www.spark-marketing.ru/Card/Person/75843", "БУ ""ПСИХОНЕВРОЛОГИЧЕСКАЯ БОЛЬНИЦА ИМЕНИ СВЯТОЙ ПРЕПОДОБНОМУЧЕНИЦЫ ЕЛИЗАВЕТЫ""")</f>
        <v>БУ "ПСИХОНЕВРОЛОГИЧЕСКАЯ БОЛЬНИЦА ИМЕНИ СВЯТОЙ ПРЕПОДОБНОМУЧЕНИЦЫ ЕЛИЗАВЕТЫ"</v>
      </c>
      <c r="B8804" s="24" t="s">
        <v>11053</v>
      </c>
      <c r="C8804" s="25">
        <v>878400</v>
      </c>
      <c r="D8804" s="22" t="s">
        <v>11109</v>
      </c>
      <c r="E8804" s="22" t="s">
        <v>68</v>
      </c>
      <c r="F8804" s="23" t="str">
        <f>HYPERLINK("https://www.spark-marketing.ru/Card/Lot/70224406", "Оказание охранных услуг")</f>
        <v>Оказание охранных услуг</v>
      </c>
      <c r="G8804" s="22" t="s">
        <v>119</v>
      </c>
      <c r="H8804" s="22" t="s">
        <v>2371</v>
      </c>
      <c r="I8804" s="26">
        <v>43584.625694444403</v>
      </c>
      <c r="J8804" s="23" t="str">
        <f>HYPERLINK("https://www.spark-marketing.ru/Card/Person/1893814", "ООО ЧОП ""ТИТАН""")</f>
        <v>ООО ЧОП "ТИТАН"</v>
      </c>
      <c r="K8804" s="24" t="s">
        <v>11110</v>
      </c>
      <c r="L8804" s="28" t="s">
        <v>52</v>
      </c>
      <c r="M8804" s="25">
        <v>785934.11</v>
      </c>
      <c r="N8804" s="27">
        <v>0.10526626821493625</v>
      </c>
    </row>
    <row r="8805" spans="1:14" hidden="1" outlineLevel="1" x14ac:dyDescent="0.2">
      <c r="A8805" s="23" t="str">
        <f>HYPERLINK("https://www.spark-marketing.ru/Card/Person/75843", "БУ ""ПСИХОНЕВРОЛОГИЧЕСКАЯ БОЛЬНИЦА ИМЕНИ СВЯТОЙ ПРЕПОДОБНОМУЧЕНИЦЫ ЕЛИЗАВЕТЫ""")</f>
        <v>БУ "ПСИХОНЕВРОЛОГИЧЕСКАЯ БОЛЬНИЦА ИМЕНИ СВЯТОЙ ПРЕПОДОБНОМУЧЕНИЦЫ ЕЛИЗАВЕТЫ"</v>
      </c>
      <c r="B8805" s="24" t="s">
        <v>11053</v>
      </c>
      <c r="C8805" s="25">
        <v>878400</v>
      </c>
      <c r="D8805" s="22" t="s">
        <v>11109</v>
      </c>
      <c r="E8805" s="22" t="s">
        <v>68</v>
      </c>
      <c r="F8805" s="23" t="str">
        <f>HYPERLINK("https://www.spark-marketing.ru/Card/Lot/70224406", "Оказание охранных услуг")</f>
        <v>Оказание охранных услуг</v>
      </c>
      <c r="G8805" s="22" t="s">
        <v>119</v>
      </c>
      <c r="H8805" s="22" t="s">
        <v>2371</v>
      </c>
      <c r="I8805" s="26">
        <v>43584.625694444403</v>
      </c>
      <c r="J8805" s="23" t="str">
        <f>HYPERLINK("https://www.spark-marketing.ru/Card/Person/4343858", "ООО ЧОО ""СПРУТ""")</f>
        <v>ООО ЧОО "СПРУТ"</v>
      </c>
      <c r="K8805" s="24" t="s">
        <v>1389</v>
      </c>
      <c r="L8805" s="28" t="s">
        <v>52</v>
      </c>
      <c r="M8805" s="25">
        <v>623430.11</v>
      </c>
      <c r="N8805" s="27">
        <v>0.29026626821493623</v>
      </c>
    </row>
    <row r="8806" spans="1:14" hidden="1" outlineLevel="1" x14ac:dyDescent="0.2">
      <c r="A8806" s="23" t="str">
        <f>HYPERLINK("https://www.spark-marketing.ru/Card/Person/75843", "БУ ""ПСИХОНЕВРОЛОГИЧЕСКАЯ БОЛЬНИЦА ИМЕНИ СВЯТОЙ ПРЕПОДОБНОМУЧЕНИЦЫ ЕЛИЗАВЕТЫ""")</f>
        <v>БУ "ПСИХОНЕВРОЛОГИЧЕСКАЯ БОЛЬНИЦА ИМЕНИ СВЯТОЙ ПРЕПОДОБНОМУЧЕНИЦЫ ЕЛИЗАВЕТЫ"</v>
      </c>
      <c r="B8806" s="24" t="s">
        <v>11053</v>
      </c>
      <c r="C8806" s="25">
        <v>878400</v>
      </c>
      <c r="D8806" s="22" t="s">
        <v>11109</v>
      </c>
      <c r="E8806" s="22" t="s">
        <v>68</v>
      </c>
      <c r="F8806" s="23" t="str">
        <f>HYPERLINK("https://www.spark-marketing.ru/Card/Lot/70224406", "Оказание охранных услуг")</f>
        <v>Оказание охранных услуг</v>
      </c>
      <c r="G8806" s="22" t="s">
        <v>119</v>
      </c>
      <c r="H8806" s="22" t="s">
        <v>2371</v>
      </c>
      <c r="I8806" s="26">
        <v>43584.625694444403</v>
      </c>
      <c r="J8806" s="23" t="str">
        <f>HYPERLINK("https://www.spark-marketing.ru/Card/Person/6441119", "ООО ""БРАТЕЕВО""")</f>
        <v>ООО "БРАТЕЕВО"</v>
      </c>
      <c r="K8806" s="24" t="s">
        <v>6680</v>
      </c>
      <c r="L8806" s="28" t="s">
        <v>52</v>
      </c>
      <c r="M8806" s="25">
        <v>403830.11</v>
      </c>
      <c r="N8806" s="27">
        <v>0.54026626821493628</v>
      </c>
    </row>
    <row r="8807" spans="1:14" x14ac:dyDescent="0.15">
      <c r="A8807" s="23" t="str">
        <f>HYPERLINK("https://www.spark-marketing.ru/Card/Person/34924", "УФССП РОССИИ ПО ИВАНОВСКОЙ ОБЛАСТИ")</f>
        <v>УФССП РОССИИ ПО ИВАНОВСКОЙ ОБЛАСТИ</v>
      </c>
      <c r="B8807" s="24" t="s">
        <v>11111</v>
      </c>
      <c r="C8807" s="25">
        <v>12698.4</v>
      </c>
      <c r="D8807" s="22" t="s">
        <v>11112</v>
      </c>
      <c r="E8807" s="22" t="s">
        <v>53</v>
      </c>
      <c r="F8807" s="23" t="str">
        <f>HYPERLINK("https://www.spark-marketing.ru/Card/Lot/70766329", "Услуги пультовой охраны с использованием тревожной кнопки, 2220 шт")</f>
        <v>Услуги пультовой охраны с использованием тревожной кнопки, 2220 шт</v>
      </c>
      <c r="G8807" s="22" t="s">
        <v>340</v>
      </c>
      <c r="H8807" s="22" t="s">
        <v>1030</v>
      </c>
      <c r="I8807" s="26">
        <v>43584.647731481498</v>
      </c>
      <c r="J8807" s="28" t="s">
        <v>52</v>
      </c>
      <c r="K8807" s="28" t="s">
        <v>52</v>
      </c>
      <c r="L8807" s="28" t="s">
        <v>52</v>
      </c>
      <c r="M8807" s="28" t="s">
        <v>52</v>
      </c>
      <c r="N8807" s="28" t="s">
        <v>52</v>
      </c>
    </row>
    <row r="8808" spans="1:14" x14ac:dyDescent="0.15">
      <c r="A8808" s="23" t="str">
        <f>HYPERLINK("https://www.spark-marketing.ru/Card/Person/4348857", "МДОУ №3 Г. МОЖАЙСКА")</f>
        <v>МДОУ №3 Г. МОЖАЙСКА</v>
      </c>
      <c r="B8808" s="24" t="s">
        <v>11102</v>
      </c>
      <c r="C8808" s="25">
        <v>28800</v>
      </c>
      <c r="D8808" s="22" t="s">
        <v>11113</v>
      </c>
      <c r="E8808" s="22" t="s">
        <v>194</v>
      </c>
      <c r="F8808" s="23" t="str">
        <f>HYPERLINK("https://www.spark-marketing.ru/Card/Lot/70221968", "Поставка и установка видеонаблюдения")</f>
        <v>Поставка и установка видеонаблюдения</v>
      </c>
      <c r="G8808" s="22" t="s">
        <v>50</v>
      </c>
      <c r="H8808" s="22" t="s">
        <v>946</v>
      </c>
      <c r="I8808" s="26">
        <v>43584.649953703702</v>
      </c>
      <c r="J8808" s="28" t="s">
        <v>52</v>
      </c>
      <c r="K8808" s="28" t="s">
        <v>52</v>
      </c>
      <c r="L8808" s="28" t="s">
        <v>52</v>
      </c>
      <c r="M8808" s="28" t="s">
        <v>52</v>
      </c>
      <c r="N8808" s="28" t="s">
        <v>52</v>
      </c>
    </row>
    <row r="8809" spans="1:14" x14ac:dyDescent="0.15">
      <c r="A8809" s="23" t="str">
        <f>HYPERLINK("https://www.spark-marketing.ru/Card/Person/123625", "МДОУ ДСКВ №2 ""РОМАШКА""")</f>
        <v>МДОУ ДСКВ №2 "РОМАШКА"</v>
      </c>
      <c r="B8809" s="24" t="s">
        <v>9947</v>
      </c>
      <c r="C8809" s="25">
        <v>69352.94</v>
      </c>
      <c r="D8809" s="22" t="s">
        <v>11114</v>
      </c>
      <c r="E8809" s="22" t="s">
        <v>107</v>
      </c>
      <c r="F8809" s="23" t="str">
        <f>HYPERLINK("https://www.spark-marketing.ru/Card/Lot/70221848", "Монтаж видеодомофона на центральной калитке для нужд МДОУ ДСКВ № 2 ""Ромашка""")</f>
        <v>Монтаж видеодомофона на центральной калитке для нужд МДОУ ДСКВ № 2 "Ромашка"</v>
      </c>
      <c r="G8809" s="22" t="s">
        <v>50</v>
      </c>
      <c r="H8809" s="22" t="s">
        <v>5042</v>
      </c>
      <c r="I8809" s="26">
        <v>43584.638819444401</v>
      </c>
      <c r="J8809" s="28" t="s">
        <v>52</v>
      </c>
      <c r="K8809" s="28" t="s">
        <v>52</v>
      </c>
      <c r="L8809" s="28" t="s">
        <v>52</v>
      </c>
      <c r="M8809" s="28" t="s">
        <v>52</v>
      </c>
      <c r="N8809" s="28" t="s">
        <v>52</v>
      </c>
    </row>
    <row r="8810" spans="1:14" x14ac:dyDescent="0.15">
      <c r="A8810" s="23" t="str">
        <f>HYPERLINK("https://www.spark-marketing.ru/Card/Person/34924", "УФССП РОССИИ ПО ИВАНОВСКОЙ ОБЛАСТИ")</f>
        <v>УФССП РОССИИ ПО ИВАНОВСКОЙ ОБЛАСТИ</v>
      </c>
      <c r="B8810" s="24" t="s">
        <v>11111</v>
      </c>
      <c r="C8810" s="25">
        <v>52476</v>
      </c>
      <c r="D8810" s="22" t="s">
        <v>11115</v>
      </c>
      <c r="E8810" s="22" t="s">
        <v>53</v>
      </c>
      <c r="F8810" s="23" t="str">
        <f>HYPERLINK("https://www.spark-marketing.ru/Card/Lot/70766130", "Услуги пультовой охраны, мониторинг систем охранной и аварийной сигнализации, 15300 шт")</f>
        <v>Услуги пультовой охраны, мониторинг систем охранной и аварийной сигнализации, 15300 шт</v>
      </c>
      <c r="G8810" s="22" t="s">
        <v>340</v>
      </c>
      <c r="H8810" s="22" t="s">
        <v>1030</v>
      </c>
      <c r="I8810" s="26">
        <v>43584.628668981502</v>
      </c>
      <c r="J8810" s="28" t="s">
        <v>52</v>
      </c>
      <c r="K8810" s="28" t="s">
        <v>52</v>
      </c>
      <c r="L8810" s="28" t="s">
        <v>52</v>
      </c>
      <c r="M8810" s="28" t="s">
        <v>52</v>
      </c>
      <c r="N8810" s="28" t="s">
        <v>52</v>
      </c>
    </row>
    <row r="8811" spans="1:14" x14ac:dyDescent="0.15">
      <c r="A8811" s="23" t="str">
        <f>HYPERLINK("https://www.spark-marketing.ru/Card/Person/1033324", "МИНПРИРОДЫ КАЛИНИНГРАДСКОЙ ОБЛАСТИ")</f>
        <v>МИНПРИРОДЫ КАЛИНИНГРАДСКОЙ ОБЛАСТИ</v>
      </c>
      <c r="B8811" s="24" t="s">
        <v>11116</v>
      </c>
      <c r="C8811" s="25">
        <v>1500000</v>
      </c>
      <c r="D8811" s="22" t="s">
        <v>11117</v>
      </c>
      <c r="E8811" s="22" t="s">
        <v>218</v>
      </c>
      <c r="F8811" s="23" t="str">
        <f>HYPERLINK("https://www.spark-marketing.ru/Card/Lot/70238693", "Осуществление мер по охране водных объектов или их частей: выполнение работ по разработке документации «Схема (предпроектные работы) рек-водоприемников гидросистемы на территории Калининградской области»")</f>
        <v>Осуществление мер по охране водных объектов или их частей: выполнение работ по разработке документации «Схема (предпроектные работы) рек-водоприемников гидросистемы на территории Калининградской области»</v>
      </c>
      <c r="G8811" s="22" t="s">
        <v>247</v>
      </c>
      <c r="H8811" s="22" t="s">
        <v>576</v>
      </c>
      <c r="I8811" s="26">
        <v>43584.627083333296</v>
      </c>
      <c r="J8811" s="23" t="str">
        <f>HYPERLINK("https://www.spark-marketing.ru/Card/Person/4349707", "АО ИНСТИТУТ ""ЗАПВОДПРОЕКТ""")</f>
        <v>АО ИНСТИТУТ "ЗАПВОДПРОЕКТ"</v>
      </c>
      <c r="K8811" s="24" t="s">
        <v>11118</v>
      </c>
      <c r="L8811" s="22" t="s">
        <v>10</v>
      </c>
      <c r="M8811" s="28" t="s">
        <v>52</v>
      </c>
      <c r="N8811" s="28" t="s">
        <v>52</v>
      </c>
    </row>
    <row r="8812" spans="1:14" x14ac:dyDescent="0.15">
      <c r="A8812" s="23" t="str">
        <f>HYPERLINK("https://www.spark-marketing.ru/Card/Person/1553", "ФГБУЗ ЦКБВЛ ФМБА РОССИИ")</f>
        <v>ФГБУЗ ЦКБВЛ ФМБА РОССИИ</v>
      </c>
      <c r="B8812" s="24" t="s">
        <v>11119</v>
      </c>
      <c r="C8812" s="25">
        <v>10032000</v>
      </c>
      <c r="D8812" s="22" t="s">
        <v>11120</v>
      </c>
      <c r="E8812" s="22" t="s">
        <v>5267</v>
      </c>
      <c r="F8812" s="23" t="str">
        <f>HYPERLINK("https://www.spark-marketing.ru/Card/Lot/70239462", "Оказание услуг охраны объектов ФГБУЗ ЦКБВЛ ФМБА России и Филиалов")</f>
        <v>Оказание услуг охраны объектов ФГБУЗ ЦКБВЛ ФМБА России и Филиалов</v>
      </c>
      <c r="G8812" s="22" t="s">
        <v>50</v>
      </c>
      <c r="H8812" s="22" t="s">
        <v>265</v>
      </c>
      <c r="I8812" s="26">
        <v>43584.6652777778</v>
      </c>
      <c r="J8812" s="23" t="str">
        <f>HYPERLINK("https://www.spark-marketing.ru/Card/Person/84122", "ООО ЧОП ""СВ""")</f>
        <v>ООО ЧОП "СВ"</v>
      </c>
      <c r="K8812" s="24" t="s">
        <v>11121</v>
      </c>
      <c r="L8812" s="22" t="s">
        <v>10</v>
      </c>
      <c r="M8812" s="28" t="s">
        <v>52</v>
      </c>
      <c r="N8812" s="28" t="s">
        <v>52</v>
      </c>
    </row>
    <row r="8813" spans="1:14" x14ac:dyDescent="0.15">
      <c r="A8813" s="23" t="str">
        <f>HYPERLINK("https://www.spark-marketing.ru/Card/Person/66289", "АО ""НИИТФА""")</f>
        <v>АО "НИИТФА"</v>
      </c>
      <c r="B8813" s="24" t="s">
        <v>11122</v>
      </c>
      <c r="C8813" s="25">
        <v>409992</v>
      </c>
      <c r="D8813" s="22" t="s">
        <v>11123</v>
      </c>
      <c r="E8813" s="22" t="s">
        <v>53</v>
      </c>
      <c r="F8813" s="23" t="str">
        <f>HYPERLINK("https://www.spark-marketing.ru/Card/Lot/70226192", "Право заключения договора на Оказание услуг по обеспечению работоспособности и обслуживанию системы контроля доступа, видеонаблюдения и охранной сигнализации")</f>
        <v>Право заключения договора на Оказание услуг по обеспечению работоспособности и обслуживанию системы контроля доступа, видеонаблюдения и охранной сигнализации</v>
      </c>
      <c r="G8813" s="22" t="s">
        <v>55</v>
      </c>
      <c r="H8813" s="22" t="s">
        <v>55</v>
      </c>
      <c r="I8813" s="26">
        <v>43584.599224537</v>
      </c>
      <c r="J8813" s="28" t="s">
        <v>52</v>
      </c>
      <c r="K8813" s="28" t="s">
        <v>52</v>
      </c>
      <c r="L8813" s="28" t="s">
        <v>52</v>
      </c>
      <c r="M8813" s="28" t="s">
        <v>52</v>
      </c>
      <c r="N8813" s="28" t="s">
        <v>52</v>
      </c>
    </row>
    <row r="8814" spans="1:14" x14ac:dyDescent="0.15">
      <c r="A8814" s="23" t="str">
        <f>HYPERLINK("https://www.spark-marketing.ru/Card/Person/4924823", "СРЕДНЕРУССКИЙ БАНК ПАО СБЕРБАНК")</f>
        <v>СРЕДНЕРУССКИЙ БАНК ПАО СБЕРБАНК</v>
      </c>
      <c r="B8814" s="28" t="s">
        <v>52</v>
      </c>
      <c r="C8814" s="25">
        <v>16632000</v>
      </c>
      <c r="D8814" s="22" t="s">
        <v>11124</v>
      </c>
      <c r="E8814" s="22" t="s">
        <v>53</v>
      </c>
      <c r="F8814" s="23" t="str">
        <f>HYPERLINK("https://www.spark-marketing.ru/Card/Lot/70322646", "Оказание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Ивановского Головного отделения")</f>
        <v>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Ивановского Головного отделения</v>
      </c>
      <c r="G8814" s="22" t="s">
        <v>52</v>
      </c>
      <c r="H8814" s="22" t="s">
        <v>52</v>
      </c>
      <c r="I8814" s="26">
        <v>43584.586111111101</v>
      </c>
      <c r="J8814" s="28" t="s">
        <v>52</v>
      </c>
      <c r="K8814" s="28" t="s">
        <v>52</v>
      </c>
      <c r="L8814" s="28" t="s">
        <v>52</v>
      </c>
      <c r="M8814" s="28" t="s">
        <v>52</v>
      </c>
      <c r="N8814" s="28" t="s">
        <v>52</v>
      </c>
    </row>
    <row r="8815" spans="1:14" x14ac:dyDescent="0.15">
      <c r="A8815" s="23" t="str">
        <f>HYPERLINK("https://www.spark-marketing.ru/Card/Person/4924823", "СРЕДНЕРУССКИЙ БАНК ПАО СБЕРБАНК")</f>
        <v>СРЕДНЕРУССКИЙ БАНК ПАО СБЕРБАНК</v>
      </c>
      <c r="B8815" s="28" t="s">
        <v>52</v>
      </c>
      <c r="C8815" s="25">
        <v>16632000</v>
      </c>
      <c r="D8815" s="22" t="s">
        <v>11124</v>
      </c>
      <c r="E8815" s="22" t="s">
        <v>53</v>
      </c>
      <c r="F8815" s="23" t="str">
        <f>HYPERLINK("https://www.spark-marketing.ru/Card/Lot/70322644", "Оказание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Брянского Головного отделения")</f>
        <v>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Брянского Головного отделения</v>
      </c>
      <c r="G8815" s="22" t="s">
        <v>52</v>
      </c>
      <c r="H8815" s="22" t="s">
        <v>52</v>
      </c>
      <c r="I8815" s="26">
        <v>43584.586111111101</v>
      </c>
      <c r="J8815" s="28" t="s">
        <v>52</v>
      </c>
      <c r="K8815" s="28" t="s">
        <v>52</v>
      </c>
      <c r="L8815" s="28" t="s">
        <v>52</v>
      </c>
      <c r="M8815" s="28" t="s">
        <v>52</v>
      </c>
      <c r="N8815" s="28" t="s">
        <v>52</v>
      </c>
    </row>
    <row r="8816" spans="1:14" x14ac:dyDescent="0.15">
      <c r="A8816" s="23" t="str">
        <f>HYPERLINK("https://www.spark-marketing.ru/Card/Person/37118", "Межрегиональный филиал ФКУ ""ЦОКР"" в г.Владимире")</f>
        <v>Межрегиональный филиал ФКУ "ЦОКР" в г.Владимире</v>
      </c>
      <c r="B8816" s="24" t="s">
        <v>962</v>
      </c>
      <c r="C8816" s="25">
        <v>22800</v>
      </c>
      <c r="D8816" s="22" t="s">
        <v>11125</v>
      </c>
      <c r="E8816" s="22" t="s">
        <v>53</v>
      </c>
      <c r="F8816" s="23" t="str">
        <f>HYPERLINK("https://www.spark-marketing.ru/Card/Lot/70765939", "Техническое обслуживание систем охранно-тревожной сигнализации, контроля доступа и автоматической системы доступа на территорию Управления Федерального казначейства по Калужской области")</f>
        <v>Техническое обслуживание систем охранно-тревожной сигнализации, контроля доступа и автоматической системы доступа на территорию Управления Федерального казначейства по Калужской области</v>
      </c>
      <c r="G8816" s="22" t="s">
        <v>340</v>
      </c>
      <c r="H8816" s="22" t="s">
        <v>11126</v>
      </c>
      <c r="I8816" s="26">
        <v>43584.611388888901</v>
      </c>
      <c r="J8816" s="28" t="s">
        <v>52</v>
      </c>
      <c r="K8816" s="28" t="s">
        <v>52</v>
      </c>
      <c r="L8816" s="28" t="s">
        <v>52</v>
      </c>
      <c r="M8816" s="28" t="s">
        <v>52</v>
      </c>
      <c r="N8816" s="28" t="s">
        <v>52</v>
      </c>
    </row>
    <row r="8817" spans="1:14" x14ac:dyDescent="0.2">
      <c r="A8817" s="23" t="str">
        <f>HYPERLINK("https://www.spark-marketing.ru/Card/Person/18123", "ГКУСО ""УЗПСО""")</f>
        <v>ГКУСО "УЗПСО"</v>
      </c>
      <c r="B8817" s="24" t="s">
        <v>6436</v>
      </c>
      <c r="C8817" s="25">
        <v>952288</v>
      </c>
      <c r="D8817" s="22" t="s">
        <v>11127</v>
      </c>
      <c r="E8817" s="22" t="s">
        <v>52</v>
      </c>
      <c r="F8817" s="23" t="str">
        <f>HYPERLINK("https://www.spark-marketing.ru/Card/Lot/70218786", "Круглосуточная охрана административных зданий ГКУСО ""Управление зданиями Правительства Свердловской области""")</f>
        <v>Круглосуточная охрана административных зданий ГКУСО "Управление зданиями Правительства Свердловской области"</v>
      </c>
      <c r="G8817" s="22" t="s">
        <v>72</v>
      </c>
      <c r="H8817" s="22" t="s">
        <v>949</v>
      </c>
      <c r="I8817" s="26">
        <v>43584.601388888899</v>
      </c>
      <c r="J8817" s="23" t="str">
        <f>HYPERLINK("https://www.spark-marketing.ru/Card/Person/58845", "ООО ЧОП ""АГЕНТСТВО БИЗНЕС-БЕЗОПАСНОСТЬ""")</f>
        <v>ООО ЧОП "АГЕНТСТВО БИЗНЕС-БЕЗОПАСНОСТЬ"</v>
      </c>
      <c r="K8817" s="24" t="s">
        <v>1177</v>
      </c>
      <c r="L8817" s="28" t="s">
        <v>52</v>
      </c>
      <c r="M8817" s="25">
        <v>952288</v>
      </c>
      <c r="N8817" s="27">
        <v>0</v>
      </c>
    </row>
    <row r="8818" spans="1:14" x14ac:dyDescent="0.15">
      <c r="A8818" s="23" t="str">
        <f>HYPERLINK("https://www.spark-marketing.ru/Card/Person/746199", "МАОУ СОШ № 48 Г. УЛАН-УДЭ")</f>
        <v>МАОУ СОШ № 48 Г. УЛАН-УДЭ</v>
      </c>
      <c r="B8818" s="24" t="s">
        <v>11128</v>
      </c>
      <c r="C8818" s="25">
        <v>120120</v>
      </c>
      <c r="D8818" s="22" t="s">
        <v>11129</v>
      </c>
      <c r="E8818" s="22" t="s">
        <v>11130</v>
      </c>
      <c r="F8818" s="23" t="str">
        <f>HYPERLINK("https://www.spark-marketing.ru/Card/Lot/70203358", "Установка видеонаблюдения")</f>
        <v>Установка видеонаблюдения</v>
      </c>
      <c r="G8818" s="22" t="s">
        <v>354</v>
      </c>
      <c r="H8818" s="22" t="s">
        <v>354</v>
      </c>
      <c r="I8818" s="26">
        <v>43584.598530092597</v>
      </c>
      <c r="J8818" s="28" t="s">
        <v>52</v>
      </c>
      <c r="K8818" s="28" t="s">
        <v>52</v>
      </c>
      <c r="L8818" s="28" t="s">
        <v>52</v>
      </c>
      <c r="M8818" s="28" t="s">
        <v>52</v>
      </c>
      <c r="N8818" s="28" t="s">
        <v>52</v>
      </c>
    </row>
    <row r="8819" spans="1:14" x14ac:dyDescent="0.15">
      <c r="A8819" s="23" t="str">
        <f>HYPERLINK("https://www.spark-marketing.ru/Card/Person/4924823", "СРЕДНЕРУССКИЙ БАНК ПАО СБЕРБАНК")</f>
        <v>СРЕДНЕРУССКИЙ БАНК ПАО СБЕРБАНК</v>
      </c>
      <c r="B8819" s="28" t="s">
        <v>52</v>
      </c>
      <c r="C8819" s="25">
        <v>16632000</v>
      </c>
      <c r="D8819" s="22" t="s">
        <v>11124</v>
      </c>
      <c r="E8819" s="22" t="s">
        <v>53</v>
      </c>
      <c r="F8819" s="23" t="str">
        <f>HYPERLINK("https://www.spark-marketing.ru/Card/Lot/70322647", "Оказание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Костромского Головного отделения")</f>
        <v>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Костромского Головного отделения</v>
      </c>
      <c r="G8819" s="22" t="s">
        <v>52</v>
      </c>
      <c r="H8819" s="22" t="s">
        <v>52</v>
      </c>
      <c r="I8819" s="26">
        <v>43584.586111111101</v>
      </c>
      <c r="J8819" s="28" t="s">
        <v>52</v>
      </c>
      <c r="K8819" s="28" t="s">
        <v>52</v>
      </c>
      <c r="L8819" s="28" t="s">
        <v>52</v>
      </c>
      <c r="M8819" s="28" t="s">
        <v>52</v>
      </c>
      <c r="N8819" s="28" t="s">
        <v>52</v>
      </c>
    </row>
    <row r="8820" spans="1:14" x14ac:dyDescent="0.15">
      <c r="A8820" s="23" t="str">
        <f>HYPERLINK("https://www.spark-marketing.ru/Card/Person/4924823", "СРЕДНЕРУССКИЙ БАНК ПАО СБЕРБАНК")</f>
        <v>СРЕДНЕРУССКИЙ БАНК ПАО СБЕРБАНК</v>
      </c>
      <c r="B8820" s="28" t="s">
        <v>52</v>
      </c>
      <c r="C8820" s="25">
        <v>16632000</v>
      </c>
      <c r="D8820" s="22" t="s">
        <v>11124</v>
      </c>
      <c r="E8820" s="22" t="s">
        <v>53</v>
      </c>
      <c r="F8820" s="23" t="str">
        <f>HYPERLINK("https://www.spark-marketing.ru/Card/Lot/70322645", "Оказание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Рязанского Головного отделения")</f>
        <v>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Рязанского Головного отделения</v>
      </c>
      <c r="G8820" s="22" t="s">
        <v>52</v>
      </c>
      <c r="H8820" s="22" t="s">
        <v>52</v>
      </c>
      <c r="I8820" s="26">
        <v>43584.586111111101</v>
      </c>
      <c r="J8820" s="28" t="s">
        <v>52</v>
      </c>
      <c r="K8820" s="28" t="s">
        <v>52</v>
      </c>
      <c r="L8820" s="28" t="s">
        <v>52</v>
      </c>
      <c r="M8820" s="28" t="s">
        <v>52</v>
      </c>
      <c r="N8820" s="28" t="s">
        <v>52</v>
      </c>
    </row>
    <row r="8821" spans="1:14" x14ac:dyDescent="0.15">
      <c r="A8821" s="23" t="str">
        <f>HYPERLINK("https://www.spark-marketing.ru/Card/Person/148594", "МКУ АДМИНИСТРАЦИЯ РП. НОВОБУРЕЙСКИЙ")</f>
        <v>МКУ АДМИНИСТРАЦИЯ РП. НОВОБУРЕЙСКИЙ</v>
      </c>
      <c r="B8821" s="24" t="s">
        <v>9043</v>
      </c>
      <c r="C8821" s="25">
        <v>921967.02</v>
      </c>
      <c r="D8821" s="22" t="s">
        <v>11131</v>
      </c>
      <c r="E8821" s="22" t="s">
        <v>59</v>
      </c>
      <c r="F8821" s="23" t="str">
        <f>HYPERLINK("https://www.spark-marketing.ru/Card/Lot/70198692", "Модернизация пешеходного перехода возле МОБУ СОШ №1 с установкой светофорного объекта (ул. Советская 53)")</f>
        <v>Модернизация пешеходного перехода возле МОБУ СОШ №1 с установкой светофорного объекта (ул. Советская 53)</v>
      </c>
      <c r="G8821" s="22" t="s">
        <v>230</v>
      </c>
      <c r="H8821" s="22" t="s">
        <v>5593</v>
      </c>
      <c r="I8821" s="26">
        <v>43584.552083333299</v>
      </c>
      <c r="J8821" s="23" t="str">
        <f>HYPERLINK("https://www.spark-marketing.ru/Card/Person/4394009", "Бужуров Виктор Владимирович")</f>
        <v>Бужуров Виктор Владимирович</v>
      </c>
      <c r="K8821" s="24" t="s">
        <v>9045</v>
      </c>
      <c r="L8821" s="22" t="s">
        <v>10</v>
      </c>
      <c r="M8821" s="28" t="s">
        <v>52</v>
      </c>
      <c r="N8821" s="28" t="s">
        <v>52</v>
      </c>
    </row>
    <row r="8822" spans="1:14" x14ac:dyDescent="0.15">
      <c r="A8822" s="23" t="str">
        <f>HYPERLINK("https://www.spark-marketing.ru/Card/Person/13864", "ГБДОУ ДЕТСКИЙ САД № 44 ВАСИЛЕОСТРОВСКОГО РАЙОНА")</f>
        <v>ГБДОУ ДЕТСКИЙ САД № 44 ВАСИЛЕОСТРОВСКОГО РАЙОНА</v>
      </c>
      <c r="B8822" s="24" t="s">
        <v>11132</v>
      </c>
      <c r="C8822" s="25">
        <v>1893751.4</v>
      </c>
      <c r="D8822" s="22" t="s">
        <v>11133</v>
      </c>
      <c r="E8822" s="22" t="s">
        <v>59</v>
      </c>
      <c r="F8822" s="23" t="str">
        <f>HYPERLINK("https://www.spark-marketing.ru/Card/Lot/70226496", "Выполнение работ по монтажу системы видеонаблюдения здании")</f>
        <v>Выполнение работ по монтажу системы видеонаблюдения здании</v>
      </c>
      <c r="G8822" s="22" t="s">
        <v>89</v>
      </c>
      <c r="H8822" s="22" t="s">
        <v>89</v>
      </c>
      <c r="I8822" s="26">
        <v>43584.579166666699</v>
      </c>
      <c r="J8822" s="28" t="s">
        <v>52</v>
      </c>
      <c r="K8822" s="28" t="s">
        <v>52</v>
      </c>
      <c r="L8822" s="28" t="s">
        <v>52</v>
      </c>
      <c r="M8822" s="28" t="s">
        <v>52</v>
      </c>
      <c r="N8822" s="28" t="s">
        <v>52</v>
      </c>
    </row>
    <row r="8823" spans="1:14" ht="12.75" hidden="1" outlineLevel="1" x14ac:dyDescent="0.2">
      <c r="A8823" s="23" t="str">
        <f>HYPERLINK("https://www.spark-marketing.ru/Card/Person/13864", "ГБДОУ ДЕТСКИЙ САД № 44 ВАСИЛЕОСТРОВСКОГО РАЙОНА")</f>
        <v>ГБДОУ ДЕТСКИЙ САД № 44 ВАСИЛЕОСТРОВСКОГО РАЙОНА</v>
      </c>
      <c r="B8823" s="24" t="s">
        <v>11132</v>
      </c>
      <c r="C8823" s="25">
        <v>1893751.4</v>
      </c>
      <c r="D8823" s="22" t="s">
        <v>11133</v>
      </c>
      <c r="E8823" s="22" t="s">
        <v>59</v>
      </c>
      <c r="F8823" s="23" t="str">
        <f>HYPERLINK("https://www.spark-marketing.ru/Card/Lot/70226496", "Выполнение работ по монтажу системы видеонаблюдения здании")</f>
        <v>Выполнение работ по монтажу системы видеонаблюдения здании</v>
      </c>
      <c r="G8823" s="22" t="s">
        <v>89</v>
      </c>
      <c r="H8823" s="22" t="s">
        <v>89</v>
      </c>
      <c r="I8823" s="26">
        <v>43584.579166666699</v>
      </c>
      <c r="J8823" s="23" t="str">
        <f>HYPERLINK("https://www.spark-marketing.ru/Card/Person/146672", "ООО ""ПМД ТСБ""")</f>
        <v>ООО "ПМД ТСБ"</v>
      </c>
      <c r="K8823" s="24" t="s">
        <v>11134</v>
      </c>
      <c r="L8823" s="22" t="s">
        <v>10</v>
      </c>
      <c r="M8823" s="25">
        <v>1893751.4</v>
      </c>
      <c r="N8823" s="27">
        <v>0</v>
      </c>
    </row>
    <row r="8824" spans="1:14" hidden="1" outlineLevel="1" x14ac:dyDescent="0.2">
      <c r="A8824" s="23" t="str">
        <f>HYPERLINK("https://www.spark-marketing.ru/Card/Person/13864", "ГБДОУ ДЕТСКИЙ САД № 44 ВАСИЛЕОСТРОВСКОГО РАЙОНА")</f>
        <v>ГБДОУ ДЕТСКИЙ САД № 44 ВАСИЛЕОСТРОВСКОГО РАЙОНА</v>
      </c>
      <c r="B8824" s="24" t="s">
        <v>11132</v>
      </c>
      <c r="C8824" s="25">
        <v>1893751.4</v>
      </c>
      <c r="D8824" s="22" t="s">
        <v>11133</v>
      </c>
      <c r="E8824" s="22" t="s">
        <v>59</v>
      </c>
      <c r="F8824" s="23" t="str">
        <f>HYPERLINK("https://www.spark-marketing.ru/Card/Lot/70226496", "Выполнение работ по монтажу системы видеонаблюдения здании")</f>
        <v>Выполнение работ по монтажу системы видеонаблюдения здании</v>
      </c>
      <c r="G8824" s="22" t="s">
        <v>89</v>
      </c>
      <c r="H8824" s="22" t="s">
        <v>89</v>
      </c>
      <c r="I8824" s="26">
        <v>43584.579166666699</v>
      </c>
      <c r="J8824" s="23" t="str">
        <f>HYPERLINK("https://www.spark-marketing.ru/Card/Person/4714954", "ООО ""ФЛАВИЯ""")</f>
        <v>ООО "ФЛАВИЯ"</v>
      </c>
      <c r="K8824" s="24" t="s">
        <v>11135</v>
      </c>
      <c r="L8824" s="28" t="s">
        <v>52</v>
      </c>
      <c r="M8824" s="25">
        <v>1893751.4</v>
      </c>
      <c r="N8824" s="27">
        <v>0</v>
      </c>
    </row>
    <row r="8825" spans="1:14" x14ac:dyDescent="0.15">
      <c r="A8825" s="23" t="str">
        <f>HYPERLINK("https://www.spark-marketing.ru/Card/Person/1057212", "УПРАВЛЕНИЕ МИНЮСТА РОССИИ ПО АСТРАХАНСКОЙ ОБЛАСТИ")</f>
        <v>УПРАВЛЕНИЕ МИНЮСТА РОССИИ ПО АСТРАХАНСКОЙ ОБЛАСТИ</v>
      </c>
      <c r="B8825" s="24" t="s">
        <v>11136</v>
      </c>
      <c r="C8825" s="25">
        <v>28885</v>
      </c>
      <c r="D8825" s="22" t="s">
        <v>11137</v>
      </c>
      <c r="E8825" s="22" t="s">
        <v>53</v>
      </c>
      <c r="F8825" s="23" t="str">
        <f>HYPERLINK("https://www.spark-marketing.ru/Card/Lot/70766890", "услуг по охране объекта военизированными подразделениями")</f>
        <v>услуг по охране объекта военизированными подразделениями</v>
      </c>
      <c r="G8825" s="22" t="s">
        <v>565</v>
      </c>
      <c r="H8825" s="22" t="s">
        <v>566</v>
      </c>
      <c r="I8825" s="26">
        <v>43584.542349536998</v>
      </c>
      <c r="J8825" s="28" t="s">
        <v>52</v>
      </c>
      <c r="K8825" s="28" t="s">
        <v>52</v>
      </c>
      <c r="L8825" s="28" t="s">
        <v>52</v>
      </c>
      <c r="M8825" s="28" t="s">
        <v>52</v>
      </c>
      <c r="N8825" s="28" t="s">
        <v>52</v>
      </c>
    </row>
    <row r="8826" spans="1:14" x14ac:dyDescent="0.15">
      <c r="A8826" s="23" t="str">
        <f>HYPERLINK("https://www.spark-marketing.ru/Card/Person/1047003", "ОТДМВД РОССИИ ПО КАМЕШКИРСКОМУ РАЙОНУ")</f>
        <v>ОТДМВД РОССИИ ПО КАМЕШКИРСКОМУ РАЙОНУ</v>
      </c>
      <c r="B8826" s="24" t="s">
        <v>11138</v>
      </c>
      <c r="C8826" s="25">
        <v>20000</v>
      </c>
      <c r="D8826" s="22" t="s">
        <v>11139</v>
      </c>
      <c r="E8826" s="22" t="s">
        <v>53</v>
      </c>
      <c r="F8826" s="23" t="str">
        <f>HYPERLINK("https://www.spark-marketing.ru/Card/Lot/70765635", "Монтаж, установка, сборка видеонаблюдения, 1 шт")</f>
        <v>Монтаж, установка, сборка видеонаблюдения, 1 шт</v>
      </c>
      <c r="G8826" s="22" t="s">
        <v>514</v>
      </c>
      <c r="H8826" s="22" t="s">
        <v>11140</v>
      </c>
      <c r="I8826" s="26">
        <v>43584.575543981497</v>
      </c>
      <c r="J8826" s="28" t="s">
        <v>52</v>
      </c>
      <c r="K8826" s="28" t="s">
        <v>52</v>
      </c>
      <c r="L8826" s="28" t="s">
        <v>52</v>
      </c>
      <c r="M8826" s="28" t="s">
        <v>52</v>
      </c>
      <c r="N8826" s="28" t="s">
        <v>52</v>
      </c>
    </row>
    <row r="8827" spans="1:14" x14ac:dyDescent="0.15">
      <c r="A8827" s="23" t="str">
        <f>HYPERLINK("https://www.spark-marketing.ru/Card/Person/57280", "ФГБОУ ВО ВГМУ ИМ. Н. Н. БУРДЕНКО МИНЗДРАВА РОССИИ")</f>
        <v>ФГБОУ ВО ВГМУ ИМ. Н. Н. БУРДЕНКО МИНЗДРАВА РОССИИ</v>
      </c>
      <c r="B8827" s="24" t="s">
        <v>9182</v>
      </c>
      <c r="C8827" s="25">
        <v>261000</v>
      </c>
      <c r="D8827" s="22" t="s">
        <v>11141</v>
      </c>
      <c r="E8827" s="22" t="s">
        <v>2777</v>
      </c>
      <c r="F8827" s="23" t="str">
        <f>HYPERLINK("https://www.spark-marketing.ru/Card/Lot/70216146", "Техническое обслуживание систем видеонаблюдения на объектах Заказчика")</f>
        <v>Техническое обслуживание систем видеонаблюдения на объектах Заказчика</v>
      </c>
      <c r="G8827" s="22" t="s">
        <v>552</v>
      </c>
      <c r="H8827" s="22" t="s">
        <v>552</v>
      </c>
      <c r="I8827" s="26">
        <v>43584.575671296298</v>
      </c>
      <c r="J8827" s="28" t="s">
        <v>52</v>
      </c>
      <c r="K8827" s="28" t="s">
        <v>52</v>
      </c>
      <c r="L8827" s="28" t="s">
        <v>52</v>
      </c>
      <c r="M8827" s="28" t="s">
        <v>52</v>
      </c>
      <c r="N8827" s="28" t="s">
        <v>52</v>
      </c>
    </row>
    <row r="8828" spans="1:14" x14ac:dyDescent="0.15">
      <c r="A8828" s="23" t="str">
        <f>HYPERLINK("https://www.spark-marketing.ru/Card/Person/30894", "ГБУЗ РБ ЯНАУЛЬСКАЯ ЦРБ")</f>
        <v>ГБУЗ РБ ЯНАУЛЬСКАЯ ЦРБ</v>
      </c>
      <c r="B8828" s="24" t="s">
        <v>669</v>
      </c>
      <c r="C8828" s="25">
        <v>316542.59999999998</v>
      </c>
      <c r="D8828" s="22" t="s">
        <v>11142</v>
      </c>
      <c r="E8828" s="22" t="s">
        <v>68</v>
      </c>
      <c r="F8828" s="23" t="str">
        <f>HYPERLINK("https://www.spark-marketing.ru/Card/Lot/70216042", "Оказание услуг по охране объектов")</f>
        <v>Оказание услуг по охране объектов</v>
      </c>
      <c r="G8828" s="22" t="s">
        <v>100</v>
      </c>
      <c r="H8828" s="22" t="s">
        <v>671</v>
      </c>
      <c r="I8828" s="26">
        <v>43584.535416666702</v>
      </c>
      <c r="J8828" s="23" t="str">
        <f>HYPERLINK("https://www.spark-marketing.ru/Card/Person/12176", "ФГКУ ""УВО ВНГ РОССИИ ПО РЕСПУБЛИКЕ БАШКОРТОСТАН""")</f>
        <v>ФГКУ "УВО ВНГ РОССИИ ПО РЕСПУБЛИКЕ БАШКОРТОСТАН"</v>
      </c>
      <c r="K8828" s="24" t="s">
        <v>11143</v>
      </c>
      <c r="L8828" s="28" t="s">
        <v>52</v>
      </c>
      <c r="M8828" s="28" t="s">
        <v>52</v>
      </c>
      <c r="N8828" s="28" t="s">
        <v>52</v>
      </c>
    </row>
    <row r="8829" spans="1:14" ht="12.75" hidden="1" outlineLevel="1" x14ac:dyDescent="0.2">
      <c r="A8829" s="23" t="str">
        <f>HYPERLINK("https://www.spark-marketing.ru/Card/Person/30894", "ГБУЗ РБ ЯНАУЛЬСКАЯ ЦРБ")</f>
        <v>ГБУЗ РБ ЯНАУЛЬСКАЯ ЦРБ</v>
      </c>
      <c r="B8829" s="24" t="s">
        <v>669</v>
      </c>
      <c r="C8829" s="25">
        <v>316542.59999999998</v>
      </c>
      <c r="D8829" s="22" t="s">
        <v>11142</v>
      </c>
      <c r="E8829" s="22" t="s">
        <v>68</v>
      </c>
      <c r="F8829" s="23" t="str">
        <f>HYPERLINK("https://www.spark-marketing.ru/Card/Lot/70216042", "Оказание услуг по охране объектов")</f>
        <v>Оказание услуг по охране объектов</v>
      </c>
      <c r="G8829" s="22" t="s">
        <v>100</v>
      </c>
      <c r="H8829" s="22" t="s">
        <v>671</v>
      </c>
      <c r="I8829" s="26">
        <v>43584.535416666702</v>
      </c>
      <c r="J8829" s="23" t="str">
        <f>HYPERLINK("https://www.spark-marketing.ru/Card/Person/12176", "ФГКУ ""УВО ВНГ РОССИИ ПО РЕСПУБЛИКЕ БАШКОРТОСТАН""")</f>
        <v>ФГКУ "УВО ВНГ РОССИИ ПО РЕСПУБЛИКЕ БАШКОРТОСТАН"</v>
      </c>
      <c r="K8829" s="24" t="s">
        <v>11143</v>
      </c>
      <c r="L8829" s="22" t="s">
        <v>10</v>
      </c>
      <c r="M8829" s="25">
        <v>314959.89</v>
      </c>
      <c r="N8829" s="27">
        <v>4.9999905226026454E-3</v>
      </c>
    </row>
    <row r="8830" spans="1:14" x14ac:dyDescent="0.15">
      <c r="A8830" s="23" t="str">
        <f>HYPERLINK("https://www.spark-marketing.ru/Card/Person/107173", "ФГУП ""УВО МИНТРАНСА РОССИИ""")</f>
        <v>ФГУП "УВО МИНТРАНСА РОССИИ"</v>
      </c>
      <c r="B8830" s="24" t="s">
        <v>1472</v>
      </c>
      <c r="C8830" s="25">
        <v>59740229</v>
      </c>
      <c r="D8830" s="22" t="s">
        <v>11144</v>
      </c>
      <c r="E8830" s="22" t="s">
        <v>11145</v>
      </c>
      <c r="F8830" s="23" t="str">
        <f>HYPERLINK("https://www.spark-marketing.ru/Card/Lot/70214417", "Выполнение комплекса подготовительных работ на объекте: «Технические средства обеспечения транспортной безопасности при строительстве железнодорожных подходов к транспортному переходу через Керченский пролив». ЭТАП2: «Строительство соответствующей ин...")</f>
        <v>Выполнение комплекса подготовительных работ на объекте: «Технические средства обеспечения транспортной безопасности при строительстве железнодорожных подходов к транспортному переходу через Керченский пролив». ЭТАП2: «Строительство соответствующей ин...</v>
      </c>
      <c r="G8830" s="22" t="s">
        <v>1053</v>
      </c>
      <c r="H8830" s="22" t="s">
        <v>1053</v>
      </c>
      <c r="I8830" s="26">
        <v>43584.528622685197</v>
      </c>
      <c r="J8830" s="28" t="s">
        <v>52</v>
      </c>
      <c r="K8830" s="28" t="s">
        <v>52</v>
      </c>
      <c r="L8830" s="28" t="s">
        <v>52</v>
      </c>
      <c r="M8830" s="28" t="s">
        <v>52</v>
      </c>
      <c r="N8830" s="28" t="s">
        <v>52</v>
      </c>
    </row>
    <row r="8831" spans="1:14" x14ac:dyDescent="0.15">
      <c r="A8831" s="23" t="str">
        <f>HYPERLINK("https://www.spark-marketing.ru/Card/Person/59806", "ГБДОУ ДЕТСКИЙ САД № 11 ВАСИЛЕОСТРОВСКОГО РАЙОНА")</f>
        <v>ГБДОУ ДЕТСКИЙ САД № 11 ВАСИЛЕОСТРОВСКОГО РАЙОНА</v>
      </c>
      <c r="B8831" s="24" t="s">
        <v>11146</v>
      </c>
      <c r="C8831" s="25">
        <v>2409080.11</v>
      </c>
      <c r="D8831" s="22" t="s">
        <v>11147</v>
      </c>
      <c r="E8831" s="22" t="s">
        <v>84</v>
      </c>
      <c r="F8831" s="23" t="str">
        <f>HYPERLINK("https://www.spark-marketing.ru/Card/Lot/70218889", "Выполнение работ по установке системы видеонаблюдения")</f>
        <v>Выполнение работ по установке системы видеонаблюдения</v>
      </c>
      <c r="G8831" s="22" t="s">
        <v>89</v>
      </c>
      <c r="H8831" s="22" t="s">
        <v>89</v>
      </c>
      <c r="I8831" s="26">
        <v>43584.511111111096</v>
      </c>
      <c r="J8831" s="23" t="str">
        <f>HYPERLINK("https://www.spark-marketing.ru/Card/Person/146672", "ООО ""ПМД ТСБ""")</f>
        <v>ООО "ПМД ТСБ"</v>
      </c>
      <c r="K8831" s="24" t="s">
        <v>11134</v>
      </c>
      <c r="L8831" s="22" t="s">
        <v>10</v>
      </c>
      <c r="M8831" s="28" t="s">
        <v>52</v>
      </c>
      <c r="N8831" s="28" t="s">
        <v>52</v>
      </c>
    </row>
    <row r="8832" spans="1:14" x14ac:dyDescent="0.15">
      <c r="A8832" s="23" t="str">
        <f>HYPERLINK("https://www.spark-marketing.ru/Card/Person/1078097", "МБУК ""МЕЖПОСЕЛЕНЧЕСКАЯ БИБЛИОТЕКА ПУШКИНСКОГО МУНИЦИПАЛЬНОГО РАЙОНА МОСКОВСКОЙ ОБЛАСТИ""")</f>
        <v>МБУК "МЕЖПОСЕЛЕНЧЕСКАЯ БИБЛИОТЕКА ПУШКИНСКОГО МУНИЦИПАЛЬНОГО РАЙОНА МОСКОВСКОЙ ОБЛАСТИ"</v>
      </c>
      <c r="B8832" s="24" t="s">
        <v>74</v>
      </c>
      <c r="C8832" s="25">
        <v>35000</v>
      </c>
      <c r="D8832" s="22" t="s">
        <v>11148</v>
      </c>
      <c r="E8832" s="22" t="s">
        <v>59</v>
      </c>
      <c r="F8832" s="23" t="str">
        <f>HYPERLINK("https://www.spark-marketing.ru/Card/Lot/70209058", "Выполнение работ по установке кнопки тревожной сигнализации (КТС)")</f>
        <v>Выполнение работ по установке кнопки тревожной сигнализации (КТС)</v>
      </c>
      <c r="G8832" s="22" t="s">
        <v>50</v>
      </c>
      <c r="H8832" s="22" t="s">
        <v>76</v>
      </c>
      <c r="I8832" s="26">
        <v>43584.471817129597</v>
      </c>
      <c r="J8832" s="28" t="s">
        <v>52</v>
      </c>
      <c r="K8832" s="28" t="s">
        <v>52</v>
      </c>
      <c r="L8832" s="28" t="s">
        <v>52</v>
      </c>
      <c r="M8832" s="28" t="s">
        <v>52</v>
      </c>
      <c r="N8832" s="28" t="s">
        <v>52</v>
      </c>
    </row>
    <row r="8833" spans="1:14" x14ac:dyDescent="0.15">
      <c r="A8833" s="23" t="str">
        <f t="shared" ref="A8833:A8839" si="389">HYPERLINK("https://www.spark-marketing.ru/Card/Person/16910", "УСД В НОВГОРОДСКОЙ ОБЛАСТИ")</f>
        <v>УСД В НОВГОРОДСКОЙ ОБЛАСТИ</v>
      </c>
      <c r="B8833" s="24" t="s">
        <v>1482</v>
      </c>
      <c r="C8833" s="25">
        <v>626143</v>
      </c>
      <c r="D8833" s="22" t="s">
        <v>11149</v>
      </c>
      <c r="E8833" s="22" t="s">
        <v>194</v>
      </c>
      <c r="F8833" s="23" t="str">
        <f t="shared" ref="F8833:F8839" si="390">HYPERLINK("https://www.spark-marketing.ru/Card/Lot/70216803", "Поставка с установкой системы видеонаблюдения для Старорусского районного суда (г. Старая Русса)")</f>
        <v>Поставка с установкой системы видеонаблюдения для Старорусского районного суда (г. Старая Русса)</v>
      </c>
      <c r="G8833" s="22" t="s">
        <v>959</v>
      </c>
      <c r="H8833" s="22" t="s">
        <v>959</v>
      </c>
      <c r="I8833" s="26">
        <v>43584.476388888899</v>
      </c>
      <c r="J8833" s="28" t="s">
        <v>52</v>
      </c>
      <c r="K8833" s="28" t="s">
        <v>52</v>
      </c>
      <c r="L8833" s="28" t="s">
        <v>52</v>
      </c>
      <c r="M8833" s="28" t="s">
        <v>52</v>
      </c>
      <c r="N8833" s="28" t="s">
        <v>52</v>
      </c>
    </row>
    <row r="8834" spans="1:14" hidden="1" outlineLevel="1" x14ac:dyDescent="0.2">
      <c r="A8834" s="23" t="str">
        <f t="shared" si="389"/>
        <v>УСД В НОВГОРОДСКОЙ ОБЛАСТИ</v>
      </c>
      <c r="B8834" s="24" t="s">
        <v>1482</v>
      </c>
      <c r="C8834" s="25">
        <v>626143</v>
      </c>
      <c r="D8834" s="22" t="s">
        <v>11149</v>
      </c>
      <c r="E8834" s="22" t="s">
        <v>194</v>
      </c>
      <c r="F8834" s="23" t="str">
        <f t="shared" si="390"/>
        <v>Поставка с установкой системы видеонаблюдения для Старорусского районного суда (г. Старая Русса)</v>
      </c>
      <c r="G8834" s="22" t="s">
        <v>959</v>
      </c>
      <c r="H8834" s="22" t="s">
        <v>959</v>
      </c>
      <c r="I8834" s="26">
        <v>43584.476388888899</v>
      </c>
      <c r="J8834" s="23" t="str">
        <f>HYPERLINK("https://www.spark-marketing.ru/Card/Person/55651", "ООО ""ЭЛЕКТРА-Н""")</f>
        <v>ООО "ЭЛЕКТРА-Н"</v>
      </c>
      <c r="K8834" s="24" t="s">
        <v>1484</v>
      </c>
      <c r="L8834" s="28" t="s">
        <v>52</v>
      </c>
      <c r="M8834" s="25">
        <v>459844.4</v>
      </c>
      <c r="N8834" s="27">
        <v>0.2655920452676146</v>
      </c>
    </row>
    <row r="8835" spans="1:14" hidden="1" outlineLevel="1" x14ac:dyDescent="0.2">
      <c r="A8835" s="23" t="str">
        <f t="shared" si="389"/>
        <v>УСД В НОВГОРОДСКОЙ ОБЛАСТИ</v>
      </c>
      <c r="B8835" s="24" t="s">
        <v>1482</v>
      </c>
      <c r="C8835" s="25">
        <v>626143</v>
      </c>
      <c r="D8835" s="22" t="s">
        <v>11149</v>
      </c>
      <c r="E8835" s="22" t="s">
        <v>194</v>
      </c>
      <c r="F8835" s="23" t="str">
        <f t="shared" si="390"/>
        <v>Поставка с установкой системы видеонаблюдения для Старорусского районного суда (г. Старая Русса)</v>
      </c>
      <c r="G8835" s="22" t="s">
        <v>959</v>
      </c>
      <c r="H8835" s="22" t="s">
        <v>959</v>
      </c>
      <c r="I8835" s="26">
        <v>43584.476388888899</v>
      </c>
      <c r="J8835" s="23" t="str">
        <f>HYPERLINK("https://www.spark-marketing.ru/Card/Person/643900", "ООО ""ШЛЕЙФ""")</f>
        <v>ООО "ШЛЕЙФ"</v>
      </c>
      <c r="K8835" s="24" t="s">
        <v>11150</v>
      </c>
      <c r="L8835" s="28" t="s">
        <v>52</v>
      </c>
      <c r="M8835" s="25">
        <v>462975.12</v>
      </c>
      <c r="N8835" s="27">
        <v>0.2605920372822183</v>
      </c>
    </row>
    <row r="8836" spans="1:14" hidden="1" outlineLevel="1" x14ac:dyDescent="0.2">
      <c r="A8836" s="23" t="str">
        <f t="shared" si="389"/>
        <v>УСД В НОВГОРОДСКОЙ ОБЛАСТИ</v>
      </c>
      <c r="B8836" s="24" t="s">
        <v>1482</v>
      </c>
      <c r="C8836" s="25">
        <v>626143</v>
      </c>
      <c r="D8836" s="22" t="s">
        <v>11149</v>
      </c>
      <c r="E8836" s="22" t="s">
        <v>194</v>
      </c>
      <c r="F8836" s="23" t="str">
        <f t="shared" si="390"/>
        <v>Поставка с установкой системы видеонаблюдения для Старорусского районного суда (г. Старая Русса)</v>
      </c>
      <c r="G8836" s="22" t="s">
        <v>959</v>
      </c>
      <c r="H8836" s="22" t="s">
        <v>959</v>
      </c>
      <c r="I8836" s="26">
        <v>43584.476388888899</v>
      </c>
      <c r="J8836" s="23" t="str">
        <f>HYPERLINK("https://www.spark-marketing.ru/Card/Person/1691635", "ООО ""ТРАНЗИТ-ТЕЛЕКОМ""")</f>
        <v>ООО "ТРАНЗИТ-ТЕЛЕКОМ"</v>
      </c>
      <c r="K8836" s="24" t="s">
        <v>11151</v>
      </c>
      <c r="L8836" s="28" t="s">
        <v>52</v>
      </c>
      <c r="M8836" s="25">
        <v>453582.96</v>
      </c>
      <c r="N8836" s="27">
        <v>0.27559206123840718</v>
      </c>
    </row>
    <row r="8837" spans="1:14" hidden="1" outlineLevel="1" x14ac:dyDescent="0.2">
      <c r="A8837" s="23" t="str">
        <f t="shared" si="389"/>
        <v>УСД В НОВГОРОДСКОЙ ОБЛАСТИ</v>
      </c>
      <c r="B8837" s="24" t="s">
        <v>1482</v>
      </c>
      <c r="C8837" s="25">
        <v>626143</v>
      </c>
      <c r="D8837" s="22" t="s">
        <v>11149</v>
      </c>
      <c r="E8837" s="22" t="s">
        <v>194</v>
      </c>
      <c r="F8837" s="23" t="str">
        <f t="shared" si="390"/>
        <v>Поставка с установкой системы видеонаблюдения для Старорусского районного суда (г. Старая Русса)</v>
      </c>
      <c r="G8837" s="22" t="s">
        <v>959</v>
      </c>
      <c r="H8837" s="22" t="s">
        <v>959</v>
      </c>
      <c r="I8837" s="26">
        <v>43584.476388888899</v>
      </c>
      <c r="J8837" s="23" t="str">
        <f>HYPERLINK("https://www.spark-marketing.ru/Card/Person/5787259", "ООО ""ОТС +""")</f>
        <v>ООО "ОТС +"</v>
      </c>
      <c r="K8837" s="24" t="s">
        <v>11152</v>
      </c>
      <c r="L8837" s="28" t="s">
        <v>52</v>
      </c>
      <c r="M8837" s="25">
        <v>434798.64</v>
      </c>
      <c r="N8837" s="27">
        <v>0.30559210915078505</v>
      </c>
    </row>
    <row r="8838" spans="1:14" ht="12.75" hidden="1" outlineLevel="1" x14ac:dyDescent="0.2">
      <c r="A8838" s="23" t="str">
        <f t="shared" si="389"/>
        <v>УСД В НОВГОРОДСКОЙ ОБЛАСТИ</v>
      </c>
      <c r="B8838" s="24" t="s">
        <v>1482</v>
      </c>
      <c r="C8838" s="25">
        <v>626143</v>
      </c>
      <c r="D8838" s="22" t="s">
        <v>11149</v>
      </c>
      <c r="E8838" s="22" t="s">
        <v>194</v>
      </c>
      <c r="F8838" s="23" t="str">
        <f t="shared" si="390"/>
        <v>Поставка с установкой системы видеонаблюдения для Старорусского районного суда (г. Старая Русса)</v>
      </c>
      <c r="G8838" s="22" t="s">
        <v>959</v>
      </c>
      <c r="H8838" s="22" t="s">
        <v>959</v>
      </c>
      <c r="I8838" s="26">
        <v>43584.476388888899</v>
      </c>
      <c r="J8838" s="23" t="str">
        <f>HYPERLINK("https://www.spark-marketing.ru/Card/Person/6328694", "ООО ""НСБ""")</f>
        <v>ООО "НСБ"</v>
      </c>
      <c r="K8838" s="24" t="s">
        <v>6711</v>
      </c>
      <c r="L8838" s="22" t="s">
        <v>10</v>
      </c>
      <c r="M8838" s="25">
        <v>403491.44</v>
      </c>
      <c r="N8838" s="27">
        <v>0.35559218900474809</v>
      </c>
    </row>
    <row r="8839" spans="1:14" hidden="1" outlineLevel="1" x14ac:dyDescent="0.2">
      <c r="A8839" s="23" t="str">
        <f t="shared" si="389"/>
        <v>УСД В НОВГОРОДСКОЙ ОБЛАСТИ</v>
      </c>
      <c r="B8839" s="24" t="s">
        <v>1482</v>
      </c>
      <c r="C8839" s="25">
        <v>626143</v>
      </c>
      <c r="D8839" s="22" t="s">
        <v>11149</v>
      </c>
      <c r="E8839" s="22" t="s">
        <v>194</v>
      </c>
      <c r="F8839" s="23" t="str">
        <f t="shared" si="390"/>
        <v>Поставка с установкой системы видеонаблюдения для Старорусского районного суда (г. Старая Русса)</v>
      </c>
      <c r="G8839" s="22" t="s">
        <v>959</v>
      </c>
      <c r="H8839" s="22" t="s">
        <v>959</v>
      </c>
      <c r="I8839" s="26">
        <v>43584.476388888899</v>
      </c>
      <c r="J8839" s="23" t="str">
        <f>HYPERLINK("https://www.spark-marketing.ru/Card/Person/614951", "ООО ""МИР БЕЗОПАСНОСТИ""")</f>
        <v>ООО "МИР БЕЗОПАСНОСТИ"</v>
      </c>
      <c r="K8839" s="24" t="s">
        <v>11153</v>
      </c>
      <c r="L8839" s="28" t="s">
        <v>52</v>
      </c>
      <c r="M8839" s="25">
        <v>406084.95</v>
      </c>
      <c r="N8839" s="27">
        <v>0.35145014796939356</v>
      </c>
    </row>
    <row r="8840" spans="1:14" x14ac:dyDescent="0.15">
      <c r="A8840" s="23" t="str">
        <f>HYPERLINK("https://www.spark-marketing.ru/Card/Person/61835", "ГБДОУ ДЕТСКИЙ САД № 71 КИРОВСКОГО РАЙОНА САНКТ-ПЕТЕРБУРГА")</f>
        <v>ГБДОУ ДЕТСКИЙ САД № 71 КИРОВСКОГО РАЙОНА САНКТ-ПЕТЕРБУРГА</v>
      </c>
      <c r="B8840" s="24" t="s">
        <v>11154</v>
      </c>
      <c r="C8840" s="25">
        <v>1988972</v>
      </c>
      <c r="D8840" s="22" t="s">
        <v>11155</v>
      </c>
      <c r="E8840" s="22" t="s">
        <v>68</v>
      </c>
      <c r="F8840" s="23" t="str">
        <f>HYPERLINK("https://www.spark-marketing.ru/Card/Lot/70216547", "Монтаж комплексной системы обеспечения безопасности")</f>
        <v>Монтаж комплексной системы обеспечения безопасности</v>
      </c>
      <c r="G8840" s="22" t="s">
        <v>89</v>
      </c>
      <c r="H8840" s="22" t="s">
        <v>89</v>
      </c>
      <c r="I8840" s="26">
        <v>43584.474305555603</v>
      </c>
      <c r="J8840" s="28" t="s">
        <v>52</v>
      </c>
      <c r="K8840" s="28" t="s">
        <v>52</v>
      </c>
      <c r="L8840" s="28" t="s">
        <v>52</v>
      </c>
      <c r="M8840" s="28" t="s">
        <v>52</v>
      </c>
      <c r="N8840" s="28" t="s">
        <v>52</v>
      </c>
    </row>
    <row r="8841" spans="1:14" hidden="1" outlineLevel="1" x14ac:dyDescent="0.2">
      <c r="A8841" s="23" t="str">
        <f>HYPERLINK("https://www.spark-marketing.ru/Card/Person/61835", "ГБДОУ ДЕТСКИЙ САД № 71 КИРОВСКОГО РАЙОНА САНКТ-ПЕТЕРБУРГА")</f>
        <v>ГБДОУ ДЕТСКИЙ САД № 71 КИРОВСКОГО РАЙОНА САНКТ-ПЕТЕРБУРГА</v>
      </c>
      <c r="B8841" s="24" t="s">
        <v>11154</v>
      </c>
      <c r="C8841" s="25">
        <v>1988972</v>
      </c>
      <c r="D8841" s="22" t="s">
        <v>11155</v>
      </c>
      <c r="E8841" s="22" t="s">
        <v>68</v>
      </c>
      <c r="F8841" s="23" t="str">
        <f>HYPERLINK("https://www.spark-marketing.ru/Card/Lot/70216547", "Монтаж комплексной системы обеспечения безопасности")</f>
        <v>Монтаж комплексной системы обеспечения безопасности</v>
      </c>
      <c r="G8841" s="22" t="s">
        <v>89</v>
      </c>
      <c r="H8841" s="22" t="s">
        <v>89</v>
      </c>
      <c r="I8841" s="26">
        <v>43584.474305555603</v>
      </c>
      <c r="J8841" s="23" t="str">
        <f>HYPERLINK("https://www.spark-marketing.ru/Card/Person/4857651", "ООО ""МИКРОДОМ""")</f>
        <v>ООО "МИКРОДОМ"</v>
      </c>
      <c r="K8841" s="24" t="s">
        <v>11156</v>
      </c>
      <c r="L8841" s="28" t="s">
        <v>52</v>
      </c>
      <c r="M8841" s="25">
        <v>1601122.46</v>
      </c>
      <c r="N8841" s="27">
        <v>0.19500000000000001</v>
      </c>
    </row>
    <row r="8842" spans="1:14" ht="12.75" hidden="1" outlineLevel="1" x14ac:dyDescent="0.2">
      <c r="A8842" s="23" t="str">
        <f>HYPERLINK("https://www.spark-marketing.ru/Card/Person/61835", "ГБДОУ ДЕТСКИЙ САД № 71 КИРОВСКОГО РАЙОНА САНКТ-ПЕТЕРБУРГА")</f>
        <v>ГБДОУ ДЕТСКИЙ САД № 71 КИРОВСКОГО РАЙОНА САНКТ-ПЕТЕРБУРГА</v>
      </c>
      <c r="B8842" s="24" t="s">
        <v>11154</v>
      </c>
      <c r="C8842" s="25">
        <v>1988972</v>
      </c>
      <c r="D8842" s="22" t="s">
        <v>11155</v>
      </c>
      <c r="E8842" s="22" t="s">
        <v>68</v>
      </c>
      <c r="F8842" s="23" t="str">
        <f>HYPERLINK("https://www.spark-marketing.ru/Card/Lot/70216547", "Монтаж комплексной системы обеспечения безопасности")</f>
        <v>Монтаж комплексной системы обеспечения безопасности</v>
      </c>
      <c r="G8842" s="22" t="s">
        <v>89</v>
      </c>
      <c r="H8842" s="22" t="s">
        <v>89</v>
      </c>
      <c r="I8842" s="26">
        <v>43584.474305555603</v>
      </c>
      <c r="J8842" s="23" t="str">
        <f>HYPERLINK("https://www.spark-marketing.ru/Card/Person/2576628", "ООО ""АЛЬТЕРА""")</f>
        <v>ООО "АЛЬТЕРА"</v>
      </c>
      <c r="K8842" s="24" t="s">
        <v>1718</v>
      </c>
      <c r="L8842" s="22" t="s">
        <v>10</v>
      </c>
      <c r="M8842" s="25">
        <v>1591177.6</v>
      </c>
      <c r="N8842" s="27">
        <v>0.2</v>
      </c>
    </row>
    <row r="8843" spans="1:14" hidden="1" outlineLevel="1" x14ac:dyDescent="0.2">
      <c r="A8843" s="23" t="str">
        <f>HYPERLINK("https://www.spark-marketing.ru/Card/Person/61835", "ГБДОУ ДЕТСКИЙ САД № 71 КИРОВСКОГО РАЙОНА САНКТ-ПЕТЕРБУРГА")</f>
        <v>ГБДОУ ДЕТСКИЙ САД № 71 КИРОВСКОГО РАЙОНА САНКТ-ПЕТЕРБУРГА</v>
      </c>
      <c r="B8843" s="24" t="s">
        <v>11154</v>
      </c>
      <c r="C8843" s="25">
        <v>1988972</v>
      </c>
      <c r="D8843" s="22" t="s">
        <v>11155</v>
      </c>
      <c r="E8843" s="22" t="s">
        <v>68</v>
      </c>
      <c r="F8843" s="23" t="str">
        <f>HYPERLINK("https://www.spark-marketing.ru/Card/Lot/70216547", "Монтаж комплексной системы обеспечения безопасности")</f>
        <v>Монтаж комплексной системы обеспечения безопасности</v>
      </c>
      <c r="G8843" s="22" t="s">
        <v>89</v>
      </c>
      <c r="H8843" s="22" t="s">
        <v>89</v>
      </c>
      <c r="I8843" s="26">
        <v>43584.474305555603</v>
      </c>
      <c r="J8843" s="23" t="str">
        <f>HYPERLINK("https://www.spark-marketing.ru/Card/Person/4345955", "ООО ""СБ-СЕРВИС""")</f>
        <v>ООО "СБ-СЕРВИС"</v>
      </c>
      <c r="K8843" s="24" t="s">
        <v>10035</v>
      </c>
      <c r="L8843" s="28" t="s">
        <v>52</v>
      </c>
      <c r="M8843" s="25">
        <v>1740350.5</v>
      </c>
      <c r="N8843" s="27">
        <v>0.125</v>
      </c>
    </row>
    <row r="8844" spans="1:14" x14ac:dyDescent="0.15">
      <c r="A8844" s="23" t="str">
        <f>HYPERLINK("https://www.spark-marketing.ru/Card/Person/163138", "МП ГЖКУ")</f>
        <v>МП ГЖКУ</v>
      </c>
      <c r="B8844" s="24" t="s">
        <v>11157</v>
      </c>
      <c r="C8844" s="25">
        <v>898380</v>
      </c>
      <c r="D8844" s="22" t="s">
        <v>11158</v>
      </c>
      <c r="E8844" s="22" t="s">
        <v>606</v>
      </c>
      <c r="F8844" s="23" t="str">
        <f>HYPERLINK("https://www.spark-marketing.ru/Card/Lot/70199627", "Выполнение работ по установке системы мониторинга и видеонаблюдения на многоквартирном доме, обслуживаемом Заказчиком и расположенном по адресу: г. Железногорск, проезд. Мира, д. 21")</f>
        <v>Выполнение работ по установке системы мониторинга и видеонаблюдения на многоквартирном доме, обслуживаемом Заказчиком и расположенном по адресу: г. Железногорск, проезд. Мира, д. 21</v>
      </c>
      <c r="G8844" s="22" t="s">
        <v>640</v>
      </c>
      <c r="H8844" s="22" t="s">
        <v>640</v>
      </c>
      <c r="I8844" s="26">
        <v>43584.483344907399</v>
      </c>
      <c r="J8844" s="28" t="s">
        <v>52</v>
      </c>
      <c r="K8844" s="28" t="s">
        <v>52</v>
      </c>
      <c r="L8844" s="28" t="s">
        <v>52</v>
      </c>
      <c r="M8844" s="28" t="s">
        <v>52</v>
      </c>
      <c r="N8844" s="28" t="s">
        <v>52</v>
      </c>
    </row>
    <row r="8845" spans="1:14" x14ac:dyDescent="0.15">
      <c r="A8845" s="23" t="str">
        <f>HYPERLINK("https://www.spark-marketing.ru/Card/Person/998507", "МБОУ ПЕТРОВСКАЯ СРЕДНЯЯ ОБЩЕОБРАЗОВАТЕЛЬНАЯ ШКОЛА")</f>
        <v>МБОУ ПЕТРОВСКАЯ СРЕДНЯЯ ОБЩЕОБРАЗОВАТЕЛЬНАЯ ШКОЛА</v>
      </c>
      <c r="B8845" s="24" t="s">
        <v>11159</v>
      </c>
      <c r="C8845" s="25">
        <v>130000</v>
      </c>
      <c r="D8845" s="22" t="s">
        <v>11160</v>
      </c>
      <c r="E8845" s="22" t="s">
        <v>84</v>
      </c>
      <c r="F8845" s="23" t="str">
        <f>HYPERLINK("https://www.spark-marketing.ru/Card/Lot/70205365", "оказание услуг по установке и настройки камер видеонаблюдения")</f>
        <v>оказание услуг по установке и настройки камер видеонаблюдения</v>
      </c>
      <c r="G8845" s="22" t="s">
        <v>50</v>
      </c>
      <c r="H8845" s="22" t="s">
        <v>2332</v>
      </c>
      <c r="I8845" s="26">
        <v>43584.440451388902</v>
      </c>
      <c r="J8845" s="28" t="s">
        <v>52</v>
      </c>
      <c r="K8845" s="28" t="s">
        <v>52</v>
      </c>
      <c r="L8845" s="28" t="s">
        <v>52</v>
      </c>
      <c r="M8845" s="28" t="s">
        <v>52</v>
      </c>
      <c r="N8845" s="28" t="s">
        <v>52</v>
      </c>
    </row>
    <row r="8846" spans="1:14" x14ac:dyDescent="0.15">
      <c r="A8846" s="23" t="str">
        <f>HYPERLINK("https://www.spark-marketing.ru/Card/Person/117813", "КГКУ ""ЕДИНЫЙ СТРОЙЗАКАЗЧИК""")</f>
        <v>КГКУ "ЕДИНЫЙ СТРОЙЗАКАЗЧИК"</v>
      </c>
      <c r="B8846" s="24" t="s">
        <v>3789</v>
      </c>
      <c r="C8846" s="25">
        <v>67116</v>
      </c>
      <c r="D8846" s="22" t="s">
        <v>11161</v>
      </c>
      <c r="E8846" s="22" t="s">
        <v>194</v>
      </c>
      <c r="F8846" s="23" t="str">
        <f>HYPERLINK("https://www.spark-marketing.ru/Card/Lot/70197754", "Поставка и установка аудио-видео техники для объекта: «Локтевский район, с. Покровка, строительство средней общеобразовательной школы на 90 учащихся, сблокированной с детским садом на 40 мест»")</f>
        <v>Поставка и установка аудио-видео техники для объекта: «Локтевский район, с. Покровка, строительство средней общеобразовательной школы на 90 учащихся, сблокированной с детским садом на 40 мест»</v>
      </c>
      <c r="G8846" s="22" t="s">
        <v>428</v>
      </c>
      <c r="H8846" s="22" t="s">
        <v>11162</v>
      </c>
      <c r="I8846" s="26">
        <v>43584.425000000003</v>
      </c>
      <c r="J8846" s="23" t="str">
        <f>HYPERLINK("https://www.spark-marketing.ru/Card/Person/4856081", "ООО ""ЛД-ТРЕЙД""")</f>
        <v>ООО "ЛД-ТРЕЙД"</v>
      </c>
      <c r="K8846" s="24" t="s">
        <v>3791</v>
      </c>
      <c r="L8846" s="28" t="s">
        <v>52</v>
      </c>
      <c r="M8846" s="28" t="s">
        <v>52</v>
      </c>
      <c r="N8846" s="28" t="s">
        <v>52</v>
      </c>
    </row>
    <row r="8847" spans="1:14" hidden="1" outlineLevel="1" x14ac:dyDescent="0.15">
      <c r="A8847" s="23" t="str">
        <f>HYPERLINK("https://www.spark-marketing.ru/Card/Person/117813", "КГКУ ""ЕДИНЫЙ СТРОЙЗАКАЗЧИК""")</f>
        <v>КГКУ "ЕДИНЫЙ СТРОЙЗАКАЗЧИК"</v>
      </c>
      <c r="B8847" s="24" t="s">
        <v>3789</v>
      </c>
      <c r="C8847" s="25">
        <v>67116</v>
      </c>
      <c r="D8847" s="22" t="s">
        <v>11161</v>
      </c>
      <c r="E8847" s="22" t="s">
        <v>194</v>
      </c>
      <c r="F8847" s="23" t="str">
        <f>HYPERLINK("https://www.spark-marketing.ru/Card/Lot/70197754", "Поставка и установка аудио-видео техники для объекта: «Локтевский район, с. Покровка, строительство средней общеобразовательной школы на 90 учащихся, сблокированной с детским садом на 40 мест»")</f>
        <v>Поставка и установка аудио-видео техники для объекта: «Локтевский район, с. Покровка, строительство средней общеобразовательной школы на 90 учащихся, сблокированной с детским садом на 40 мест»</v>
      </c>
      <c r="G8847" s="22" t="s">
        <v>428</v>
      </c>
      <c r="H8847" s="22" t="s">
        <v>11162</v>
      </c>
      <c r="I8847" s="26">
        <v>43584.425000000003</v>
      </c>
      <c r="J8847" s="23" t="str">
        <f>HYPERLINK("https://www.spark-marketing.ru/Card/Person/4856081", "ООО ""ЛД-ТРЕЙД""")</f>
        <v>ООО "ЛД-ТРЕЙД"</v>
      </c>
      <c r="K8847" s="24" t="s">
        <v>3791</v>
      </c>
      <c r="L8847" s="22" t="s">
        <v>10</v>
      </c>
      <c r="M8847" s="28" t="s">
        <v>52</v>
      </c>
      <c r="N8847" s="28" t="s">
        <v>52</v>
      </c>
    </row>
    <row r="8848" spans="1:14" x14ac:dyDescent="0.15">
      <c r="A8848" s="23" t="str">
        <f>HYPERLINK("https://www.spark-marketing.ru/Card/Person/20080", "УПРАВЛЕНИЕ РОССЕЛЬХОЗНАДЗОРА ПО КУРГАНСКОЙ ОБЛАСТИ")</f>
        <v>УПРАВЛЕНИЕ РОССЕЛЬХОЗНАДЗОРА ПО КУРГАНСКОЙ ОБЛАСТИ</v>
      </c>
      <c r="B8848" s="24" t="s">
        <v>11163</v>
      </c>
      <c r="C8848" s="25">
        <v>634200</v>
      </c>
      <c r="D8848" s="22" t="s">
        <v>11164</v>
      </c>
      <c r="E8848" s="22" t="s">
        <v>52</v>
      </c>
      <c r="F8848" s="23" t="str">
        <f>HYPERLINK("https://www.spark-marketing.ru/Card/Lot/70205016", "Оказание услуг по обеспечению контрольно-пропускного режима")</f>
        <v>Оказание услуг по обеспечению контрольно-пропускного режима</v>
      </c>
      <c r="G8848" s="22" t="s">
        <v>626</v>
      </c>
      <c r="H8848" s="22" t="s">
        <v>1508</v>
      </c>
      <c r="I8848" s="26">
        <v>43584.4506944444</v>
      </c>
      <c r="J8848" s="28" t="s">
        <v>52</v>
      </c>
      <c r="K8848" s="28" t="s">
        <v>52</v>
      </c>
      <c r="L8848" s="28" t="s">
        <v>52</v>
      </c>
      <c r="M8848" s="28" t="s">
        <v>52</v>
      </c>
      <c r="N8848" s="28" t="s">
        <v>52</v>
      </c>
    </row>
    <row r="8849" spans="1:14" ht="12.75" hidden="1" outlineLevel="1" x14ac:dyDescent="0.2">
      <c r="A8849" s="23" t="str">
        <f>HYPERLINK("https://www.spark-marketing.ru/Card/Person/20080", "УПРАВЛЕНИЕ РОССЕЛЬХОЗНАДЗОРА ПО КУРГАНСКОЙ ОБЛАСТИ")</f>
        <v>УПРАВЛЕНИЕ РОССЕЛЬХОЗНАДЗОРА ПО КУРГАНСКОЙ ОБЛАСТИ</v>
      </c>
      <c r="B8849" s="24" t="s">
        <v>11163</v>
      </c>
      <c r="C8849" s="25">
        <v>634200</v>
      </c>
      <c r="D8849" s="22" t="s">
        <v>11164</v>
      </c>
      <c r="E8849" s="22" t="s">
        <v>52</v>
      </c>
      <c r="F8849" s="23" t="str">
        <f>HYPERLINK("https://www.spark-marketing.ru/Card/Lot/70205016", "Оказание услуг по обеспечению контрольно-пропускного режима")</f>
        <v>Оказание услуг по обеспечению контрольно-пропускного режима</v>
      </c>
      <c r="G8849" s="22" t="s">
        <v>626</v>
      </c>
      <c r="H8849" s="22" t="s">
        <v>1508</v>
      </c>
      <c r="I8849" s="26">
        <v>43584.4506944444</v>
      </c>
      <c r="J8849" s="23" t="str">
        <f>HYPERLINK("https://www.spark-marketing.ru/Card/Person/534247", "ООО ЧОО ""ВАРЯГ-1""")</f>
        <v>ООО ЧОО "ВАРЯГ-1"</v>
      </c>
      <c r="K8849" s="24" t="s">
        <v>3231</v>
      </c>
      <c r="L8849" s="22" t="s">
        <v>10</v>
      </c>
      <c r="M8849" s="25">
        <v>516873</v>
      </c>
      <c r="N8849" s="27">
        <v>0.185</v>
      </c>
    </row>
    <row r="8850" spans="1:14" hidden="1" outlineLevel="1" x14ac:dyDescent="0.2">
      <c r="A8850" s="23" t="str">
        <f>HYPERLINK("https://www.spark-marketing.ru/Card/Person/20080", "УПРАВЛЕНИЕ РОССЕЛЬХОЗНАДЗОРА ПО КУРГАНСКОЙ ОБЛАСТИ")</f>
        <v>УПРАВЛЕНИЕ РОССЕЛЬХОЗНАДЗОРА ПО КУРГАНСКОЙ ОБЛАСТИ</v>
      </c>
      <c r="B8850" s="24" t="s">
        <v>11163</v>
      </c>
      <c r="C8850" s="25">
        <v>634200</v>
      </c>
      <c r="D8850" s="22" t="s">
        <v>11164</v>
      </c>
      <c r="E8850" s="22" t="s">
        <v>52</v>
      </c>
      <c r="F8850" s="23" t="str">
        <f>HYPERLINK("https://www.spark-marketing.ru/Card/Lot/70205016", "Оказание услуг по обеспечению контрольно-пропускного режима")</f>
        <v>Оказание услуг по обеспечению контрольно-пропускного режима</v>
      </c>
      <c r="G8850" s="22" t="s">
        <v>626</v>
      </c>
      <c r="H8850" s="22" t="s">
        <v>1508</v>
      </c>
      <c r="I8850" s="26">
        <v>43584.4506944444</v>
      </c>
      <c r="J8850" s="23" t="str">
        <f>HYPERLINK("https://www.spark-marketing.ru/Card/Person/100254", "ООО ЧОО ""ВИКТОРИЯ""")</f>
        <v>ООО ЧОО "ВИКТОРИЯ"</v>
      </c>
      <c r="K8850" s="24" t="s">
        <v>1406</v>
      </c>
      <c r="L8850" s="28" t="s">
        <v>52</v>
      </c>
      <c r="M8850" s="25">
        <v>520044</v>
      </c>
      <c r="N8850" s="27">
        <v>0.18</v>
      </c>
    </row>
    <row r="8851" spans="1:14" x14ac:dyDescent="0.15">
      <c r="A8851" s="23" t="str">
        <f>HYPERLINK("https://www.spark-marketing.ru/Card/Person/56074", "МДОУ Д/С № 47 ""ПЕТУШОК""")</f>
        <v>МДОУ Д/С № 47 "ПЕТУШОК"</v>
      </c>
      <c r="B8851" s="24" t="s">
        <v>11165</v>
      </c>
      <c r="C8851" s="25">
        <v>690230</v>
      </c>
      <c r="D8851" s="22" t="s">
        <v>11166</v>
      </c>
      <c r="E8851" s="22" t="s">
        <v>84</v>
      </c>
      <c r="F8851" s="23" t="str">
        <f>HYPERLINK("https://www.spark-marketing.ru/Card/Lot/70211202", "Оказание услуг по установке системы видеонаблюдения")</f>
        <v>Оказание услуг по установке системы видеонаблюдения</v>
      </c>
      <c r="G8851" s="22" t="s">
        <v>50</v>
      </c>
      <c r="H8851" s="22" t="s">
        <v>5291</v>
      </c>
      <c r="I8851" s="26">
        <v>43584.447916666701</v>
      </c>
      <c r="J8851" s="23" t="str">
        <f>HYPERLINK("https://www.spark-marketing.ru/Card/Person/6149119", "ООО ""НОПАКОМ""")</f>
        <v>ООО "НОПАКОМ"</v>
      </c>
      <c r="K8851" s="24" t="s">
        <v>9097</v>
      </c>
      <c r="L8851" s="28" t="s">
        <v>52</v>
      </c>
      <c r="M8851" s="28" t="s">
        <v>52</v>
      </c>
      <c r="N8851" s="28" t="s">
        <v>52</v>
      </c>
    </row>
    <row r="8852" spans="1:14" ht="12.75" hidden="1" outlineLevel="1" x14ac:dyDescent="0.2">
      <c r="A8852" s="23" t="str">
        <f>HYPERLINK("https://www.spark-marketing.ru/Card/Person/56074", "МДОУ Д/С № 47 ""ПЕТУШОК""")</f>
        <v>МДОУ Д/С № 47 "ПЕТУШОК"</v>
      </c>
      <c r="B8852" s="24" t="s">
        <v>11165</v>
      </c>
      <c r="C8852" s="25">
        <v>690230</v>
      </c>
      <c r="D8852" s="22" t="s">
        <v>11166</v>
      </c>
      <c r="E8852" s="22" t="s">
        <v>84</v>
      </c>
      <c r="F8852" s="23" t="str">
        <f>HYPERLINK("https://www.spark-marketing.ru/Card/Lot/70211202", "Оказание услуг по установке системы видеонаблюдения")</f>
        <v>Оказание услуг по установке системы видеонаблюдения</v>
      </c>
      <c r="G8852" s="22" t="s">
        <v>50</v>
      </c>
      <c r="H8852" s="22" t="s">
        <v>5291</v>
      </c>
      <c r="I8852" s="26">
        <v>43584.447916666701</v>
      </c>
      <c r="J8852" s="23" t="str">
        <f>HYPERLINK("https://www.spark-marketing.ru/Card/Person/6149119", "ООО ""НОПАКОМ""")</f>
        <v>ООО "НОПАКОМ"</v>
      </c>
      <c r="K8852" s="24" t="s">
        <v>9097</v>
      </c>
      <c r="L8852" s="22" t="s">
        <v>10</v>
      </c>
      <c r="M8852" s="25">
        <v>686778.85</v>
      </c>
      <c r="N8852" s="27">
        <v>5.0000000000000001E-3</v>
      </c>
    </row>
    <row r="8853" spans="1:14" x14ac:dyDescent="0.15">
      <c r="A8853" s="23" t="str">
        <f>HYPERLINK("https://www.spark-marketing.ru/Card/Person/32281", "ГБУЗ ""ГП № 66 ДЗМ""")</f>
        <v>ГБУЗ "ГП № 66 ДЗМ"</v>
      </c>
      <c r="B8853" s="24" t="s">
        <v>11167</v>
      </c>
      <c r="C8853" s="25">
        <v>2358771.36</v>
      </c>
      <c r="D8853" s="22" t="s">
        <v>11168</v>
      </c>
      <c r="E8853" s="22" t="s">
        <v>349</v>
      </c>
      <c r="F8853" s="23" t="str">
        <f>HYPERLINK("https://www.spark-marketing.ru/Card/Lot/70211281", "Аукцион в электронной форме техническое обслуживание системы видеонаблюдения и системы контроля управления доступом на территорию ГБУЗ "" ГП №66 ДЗМ"" в 2019 году")</f>
        <v>Аукцион в электронной форме техническое обслуживание системы видеонаблюдения и системы контроля управления доступом на территорию ГБУЗ " ГП №66 ДЗМ" в 2019 году</v>
      </c>
      <c r="G8853" s="22" t="s">
        <v>55</v>
      </c>
      <c r="H8853" s="22" t="s">
        <v>55</v>
      </c>
      <c r="I8853" s="26">
        <v>43584.449305555601</v>
      </c>
      <c r="J8853" s="28" t="s">
        <v>52</v>
      </c>
      <c r="K8853" s="28" t="s">
        <v>52</v>
      </c>
      <c r="L8853" s="28" t="s">
        <v>52</v>
      </c>
      <c r="M8853" s="28" t="s">
        <v>52</v>
      </c>
      <c r="N8853" s="28" t="s">
        <v>52</v>
      </c>
    </row>
    <row r="8854" spans="1:14" hidden="1" outlineLevel="1" x14ac:dyDescent="0.2">
      <c r="A8854" s="23" t="str">
        <f>HYPERLINK("https://www.spark-marketing.ru/Card/Person/32281", "ГБУЗ ""ГП № 66 ДЗМ""")</f>
        <v>ГБУЗ "ГП № 66 ДЗМ"</v>
      </c>
      <c r="B8854" s="24" t="s">
        <v>11167</v>
      </c>
      <c r="C8854" s="25">
        <v>2358771.36</v>
      </c>
      <c r="D8854" s="22" t="s">
        <v>11168</v>
      </c>
      <c r="E8854" s="22" t="s">
        <v>349</v>
      </c>
      <c r="F8854" s="23" t="str">
        <f>HYPERLINK("https://www.spark-marketing.ru/Card/Lot/70211281", "Аукцион в электронной форме техническое обслуживание системы видеонаблюдения и системы контроля управления доступом на территорию ГБУЗ "" ГП №66 ДЗМ"" в 2019 году")</f>
        <v>Аукцион в электронной форме техническое обслуживание системы видеонаблюдения и системы контроля управления доступом на территорию ГБУЗ " ГП №66 ДЗМ" в 2019 году</v>
      </c>
      <c r="G8854" s="22" t="s">
        <v>55</v>
      </c>
      <c r="H8854" s="22" t="s">
        <v>55</v>
      </c>
      <c r="I8854" s="26">
        <v>43584.449305555601</v>
      </c>
      <c r="J8854" s="23" t="str">
        <f>HYPERLINK("https://www.spark-marketing.ru/Card/Person/6070756", "Вециямов Роман Евгеньевич")</f>
        <v>Вециямов Роман Евгеньевич</v>
      </c>
      <c r="K8854" s="24" t="s">
        <v>11097</v>
      </c>
      <c r="L8854" s="28" t="s">
        <v>52</v>
      </c>
      <c r="M8854" s="25">
        <v>2264420.48</v>
      </c>
      <c r="N8854" s="27">
        <v>4.0000010853107865E-2</v>
      </c>
    </row>
    <row r="8855" spans="1:14" ht="12.75" hidden="1" outlineLevel="1" x14ac:dyDescent="0.2">
      <c r="A8855" s="23" t="str">
        <f>HYPERLINK("https://www.spark-marketing.ru/Card/Person/32281", "ГБУЗ ""ГП № 66 ДЗМ""")</f>
        <v>ГБУЗ "ГП № 66 ДЗМ"</v>
      </c>
      <c r="B8855" s="24" t="s">
        <v>11167</v>
      </c>
      <c r="C8855" s="25">
        <v>2358771.36</v>
      </c>
      <c r="D8855" s="22" t="s">
        <v>11168</v>
      </c>
      <c r="E8855" s="22" t="s">
        <v>349</v>
      </c>
      <c r="F8855" s="23" t="str">
        <f>HYPERLINK("https://www.spark-marketing.ru/Card/Lot/70211281", "Аукцион в электронной форме техническое обслуживание системы видеонаблюдения и системы контроля управления доступом на территорию ГБУЗ "" ГП №66 ДЗМ"" в 2019 году")</f>
        <v>Аукцион в электронной форме техническое обслуживание системы видеонаблюдения и системы контроля управления доступом на территорию ГБУЗ " ГП №66 ДЗМ" в 2019 году</v>
      </c>
      <c r="G8855" s="22" t="s">
        <v>55</v>
      </c>
      <c r="H8855" s="22" t="s">
        <v>55</v>
      </c>
      <c r="I8855" s="26">
        <v>43584.449305555601</v>
      </c>
      <c r="J8855" s="23" t="str">
        <f>HYPERLINK("https://www.spark-marketing.ru/Card/Person/127097", "ООО ""ПОЖТЕХКОМПЛЕКТ""")</f>
        <v>ООО "ПОЖТЕХКОМПЛЕКТ"</v>
      </c>
      <c r="K8855" s="24" t="s">
        <v>9095</v>
      </c>
      <c r="L8855" s="22" t="s">
        <v>10</v>
      </c>
      <c r="M8855" s="25">
        <v>2252626.62</v>
      </c>
      <c r="N8855" s="27">
        <v>4.5000012209746351E-2</v>
      </c>
    </row>
    <row r="8856" spans="1:14" x14ac:dyDescent="0.15">
      <c r="A8856" s="23" t="str">
        <f>HYPERLINK("https://www.spark-marketing.ru/Card/Person/1027287", "ФГБУ ""АМП САХАЛИНА, КУРИЛ И КАМЧАТКИ""")</f>
        <v>ФГБУ "АМП САХАЛИНА, КУРИЛ И КАМЧАТКИ"</v>
      </c>
      <c r="B8856" s="24" t="s">
        <v>11169</v>
      </c>
      <c r="C8856" s="25">
        <v>907634</v>
      </c>
      <c r="D8856" s="22" t="s">
        <v>11170</v>
      </c>
      <c r="E8856" s="22" t="s">
        <v>165</v>
      </c>
      <c r="F8856" s="23" t="str">
        <f>HYPERLINK("https://www.spark-marketing.ru/Card/Lot/70195841", "Выполнение работ по установке системы видеонаблюдения")</f>
        <v>Выполнение работ по установке системы видеонаблюдения</v>
      </c>
      <c r="G8856" s="22" t="s">
        <v>69</v>
      </c>
      <c r="H8856" s="22" t="s">
        <v>11171</v>
      </c>
      <c r="I8856" s="26">
        <v>43584.4063425926</v>
      </c>
      <c r="J8856" s="28" t="s">
        <v>52</v>
      </c>
      <c r="K8856" s="28" t="s">
        <v>52</v>
      </c>
      <c r="L8856" s="28" t="s">
        <v>52</v>
      </c>
      <c r="M8856" s="28" t="s">
        <v>52</v>
      </c>
      <c r="N8856" s="28" t="s">
        <v>52</v>
      </c>
    </row>
    <row r="8857" spans="1:14" hidden="1" outlineLevel="1" x14ac:dyDescent="0.2">
      <c r="A8857" s="23" t="str">
        <f>HYPERLINK("https://www.spark-marketing.ru/Card/Person/1027287", "ФГБУ ""АМП САХАЛИНА, КУРИЛ И КАМЧАТКИ""")</f>
        <v>ФГБУ "АМП САХАЛИНА, КУРИЛ И КАМЧАТКИ"</v>
      </c>
      <c r="B8857" s="24" t="s">
        <v>11169</v>
      </c>
      <c r="C8857" s="28" t="s">
        <v>52</v>
      </c>
      <c r="D8857" s="22" t="s">
        <v>11170</v>
      </c>
      <c r="E8857" s="22" t="s">
        <v>165</v>
      </c>
      <c r="F8857" s="23" t="str">
        <f>HYPERLINK("https://www.spark-marketing.ru/Card/Lot/70195841", "Выполнение работ по установке системы видеонаблюдения")</f>
        <v>Выполнение работ по установке системы видеонаблюдения</v>
      </c>
      <c r="G8857" s="22" t="s">
        <v>69</v>
      </c>
      <c r="H8857" s="22" t="s">
        <v>11171</v>
      </c>
      <c r="I8857" s="26">
        <v>43584.4063425926</v>
      </c>
      <c r="J8857" s="23" t="str">
        <f>HYPERLINK("https://www.spark-marketing.ru/Card/Person/557559", "ООО ""ГЕРМЕС-ПРОФИ""")</f>
        <v>ООО "ГЕРМЕС-ПРОФИ"</v>
      </c>
      <c r="K8857" s="24" t="s">
        <v>10741</v>
      </c>
      <c r="L8857" s="28" t="s">
        <v>52</v>
      </c>
      <c r="M8857" s="25">
        <v>0</v>
      </c>
      <c r="N8857" s="27">
        <v>1</v>
      </c>
    </row>
    <row r="8858" spans="1:14" hidden="1" outlineLevel="1" x14ac:dyDescent="0.2">
      <c r="A8858" s="23" t="str">
        <f>HYPERLINK("https://www.spark-marketing.ru/Card/Person/1027287", "ФГБУ ""АМП САХАЛИНА, КУРИЛ И КАМЧАТКИ""")</f>
        <v>ФГБУ "АМП САХАЛИНА, КУРИЛ И КАМЧАТКИ"</v>
      </c>
      <c r="B8858" s="24" t="s">
        <v>11169</v>
      </c>
      <c r="C8858" s="28" t="s">
        <v>52</v>
      </c>
      <c r="D8858" s="22" t="s">
        <v>11170</v>
      </c>
      <c r="E8858" s="22" t="s">
        <v>165</v>
      </c>
      <c r="F8858" s="23" t="str">
        <f>HYPERLINK("https://www.spark-marketing.ru/Card/Lot/70195841", "Выполнение работ по установке системы видеонаблюдения")</f>
        <v>Выполнение работ по установке системы видеонаблюдения</v>
      </c>
      <c r="G8858" s="22" t="s">
        <v>69</v>
      </c>
      <c r="H8858" s="22" t="s">
        <v>11171</v>
      </c>
      <c r="I8858" s="26">
        <v>43584.4063425926</v>
      </c>
      <c r="J8858" s="23" t="str">
        <f>HYPERLINK("https://www.spark-marketing.ru/Card/Person/2583372", "ООО ""СЛАП ПРО""")</f>
        <v>ООО "СЛАП ПРО"</v>
      </c>
      <c r="K8858" s="24" t="s">
        <v>11172</v>
      </c>
      <c r="L8858" s="28" t="s">
        <v>52</v>
      </c>
      <c r="M8858" s="25">
        <v>0</v>
      </c>
      <c r="N8858" s="27">
        <v>1</v>
      </c>
    </row>
    <row r="8859" spans="1:14" hidden="1" outlineLevel="1" x14ac:dyDescent="0.2">
      <c r="A8859" s="23" t="str">
        <f>HYPERLINK("https://www.spark-marketing.ru/Card/Person/1027287", "ФГБУ ""АМП САХАЛИНА, КУРИЛ И КАМЧАТКИ""")</f>
        <v>ФГБУ "АМП САХАЛИНА, КУРИЛ И КАМЧАТКИ"</v>
      </c>
      <c r="B8859" s="24" t="s">
        <v>11169</v>
      </c>
      <c r="C8859" s="28" t="s">
        <v>52</v>
      </c>
      <c r="D8859" s="22" t="s">
        <v>11170</v>
      </c>
      <c r="E8859" s="22" t="s">
        <v>165</v>
      </c>
      <c r="F8859" s="23" t="str">
        <f>HYPERLINK("https://www.spark-marketing.ru/Card/Lot/70195841", "Выполнение работ по установке системы видеонаблюдения")</f>
        <v>Выполнение работ по установке системы видеонаблюдения</v>
      </c>
      <c r="G8859" s="22" t="s">
        <v>69</v>
      </c>
      <c r="H8859" s="22" t="s">
        <v>11171</v>
      </c>
      <c r="I8859" s="26">
        <v>43584.4063425926</v>
      </c>
      <c r="J8859" s="23" t="str">
        <f>HYPERLINK("https://www.spark-marketing.ru/Card/Person/467889", "ООО ""СИСТЕМЫ БЕЗОПАСНОСТИ""")</f>
        <v>ООО "СИСТЕМЫ БЕЗОПАСНОСТИ"</v>
      </c>
      <c r="K8859" s="24" t="s">
        <v>11173</v>
      </c>
      <c r="L8859" s="22" t="s">
        <v>10</v>
      </c>
      <c r="M8859" s="25">
        <v>788070.5</v>
      </c>
      <c r="N8859" s="27">
        <v>0.13173096203976492</v>
      </c>
    </row>
    <row r="8860" spans="1:14" x14ac:dyDescent="0.15">
      <c r="A8860" s="23" t="str">
        <f>HYPERLINK("https://www.spark-marketing.ru/Card/Person/3779", "МКУ ""УКХ Г. ОРЛА""")</f>
        <v>МКУ "УКХ Г. ОРЛА"</v>
      </c>
      <c r="B8860" s="24" t="s">
        <v>11174</v>
      </c>
      <c r="C8860" s="25">
        <v>229064.95</v>
      </c>
      <c r="D8860" s="22" t="s">
        <v>11175</v>
      </c>
      <c r="E8860" s="22" t="s">
        <v>52</v>
      </c>
      <c r="F8860" s="23" t="str">
        <f>HYPERLINK("https://www.spark-marketing.ru/Card/Lot/70204483", "Оказание услуг по охране пляжа на озере ""Светлая жизнь"" в г. Орле")</f>
        <v>Оказание услуг по охране пляжа на озере "Светлая жизнь" в г. Орле</v>
      </c>
      <c r="G8860" s="22" t="s">
        <v>492</v>
      </c>
      <c r="H8860" s="22" t="s">
        <v>5024</v>
      </c>
      <c r="I8860" s="26">
        <v>43584.383333333302</v>
      </c>
      <c r="J8860" s="28" t="s">
        <v>52</v>
      </c>
      <c r="K8860" s="28" t="s">
        <v>52</v>
      </c>
      <c r="L8860" s="28" t="s">
        <v>52</v>
      </c>
      <c r="M8860" s="28" t="s">
        <v>52</v>
      </c>
      <c r="N8860" s="28" t="s">
        <v>52</v>
      </c>
    </row>
    <row r="8861" spans="1:14" x14ac:dyDescent="0.15">
      <c r="A8861" s="23" t="str">
        <f>HYPERLINK("https://www.spark-marketing.ru/Card/Person/13807", "МИНЗДРАВ РД")</f>
        <v>МИНЗДРАВ РД</v>
      </c>
      <c r="B8861" s="24" t="s">
        <v>11176</v>
      </c>
      <c r="C8861" s="25">
        <v>12499278.699999999</v>
      </c>
      <c r="D8861" s="22" t="s">
        <v>11177</v>
      </c>
      <c r="E8861" s="22" t="s">
        <v>4445</v>
      </c>
      <c r="F8861" s="23" t="str">
        <f>HYPERLINK("https://www.spark-marketing.ru/Card/Lot/70208854", "Услуга по осуществлению  организационных  мероприятий для отпуска полноценного питания беременным женщинам, кормящим матерям, а также детям в возрасте до  трех лет по заключению врачей, в соответствии с постановлением Правительства Республики Дагеста...")</f>
        <v>Услуга по осуществлению  организационных  мероприятий для отпуска полноценного питания беременным женщинам, кормящим матерям, а также детям в возрасте до  трех лет по заключению врачей, в соответствии с постановлением Правительства Республики Дагеста...</v>
      </c>
      <c r="G8861" s="22" t="s">
        <v>595</v>
      </c>
      <c r="H8861" s="22" t="s">
        <v>595</v>
      </c>
      <c r="I8861" s="26">
        <v>43584.405555555597</v>
      </c>
      <c r="J8861" s="23" t="str">
        <f>HYPERLINK("https://www.spark-marketing.ru/Card/Person/4408291", "ГАУ АПУ МЗ РД")</f>
        <v>ГАУ АПУ МЗ РД</v>
      </c>
      <c r="K8861" s="24" t="s">
        <v>11178</v>
      </c>
      <c r="L8861" s="22" t="s">
        <v>10</v>
      </c>
      <c r="M8861" s="28" t="s">
        <v>52</v>
      </c>
      <c r="N8861" s="28" t="s">
        <v>52</v>
      </c>
    </row>
    <row r="8862" spans="1:14" x14ac:dyDescent="0.15">
      <c r="A8862" s="23" t="str">
        <f>HYPERLINK("https://www.spark-marketing.ru/Card/Person/1895", "ФКУ УПРДОР ""РОССИЯ""")</f>
        <v>ФКУ УПРДОР "РОССИЯ"</v>
      </c>
      <c r="B8862" s="24" t="s">
        <v>3268</v>
      </c>
      <c r="C8862" s="25">
        <v>92692.800000000003</v>
      </c>
      <c r="D8862" s="22" t="s">
        <v>11179</v>
      </c>
      <c r="E8862" s="22" t="s">
        <v>53</v>
      </c>
      <c r="F8862" s="23" t="str">
        <f>HYPERLINK("https://www.spark-marketing.ru/Card/Lot/70764735", "Охрана объектов пультом централизованного наблюдения (GSM канал)")</f>
        <v>Охрана объектов пультом централизованного наблюдения (GSM канал)</v>
      </c>
      <c r="G8862" s="22" t="s">
        <v>959</v>
      </c>
      <c r="H8862" s="22" t="s">
        <v>960</v>
      </c>
      <c r="I8862" s="26">
        <v>43584.404490740701</v>
      </c>
      <c r="J8862" s="28" t="s">
        <v>52</v>
      </c>
      <c r="K8862" s="28" t="s">
        <v>52</v>
      </c>
      <c r="L8862" s="28" t="s">
        <v>52</v>
      </c>
      <c r="M8862" s="28" t="s">
        <v>52</v>
      </c>
      <c r="N8862" s="28" t="s">
        <v>52</v>
      </c>
    </row>
    <row r="8863" spans="1:14" x14ac:dyDescent="0.15">
      <c r="A8863" s="23" t="str">
        <f>HYPERLINK("https://www.spark-marketing.ru/Card/Person/62326", "АРБИТРАЖНЫЙ СУД РЕСПУБЛИКИ КОМИ")</f>
        <v>АРБИТРАЖНЫЙ СУД РЕСПУБЛИКИ КОМИ</v>
      </c>
      <c r="B8863" s="24" t="s">
        <v>11180</v>
      </c>
      <c r="C8863" s="25">
        <v>630275.75</v>
      </c>
      <c r="D8863" s="22" t="s">
        <v>11181</v>
      </c>
      <c r="E8863" s="22" t="s">
        <v>68</v>
      </c>
      <c r="F8863" s="23" t="str">
        <f>HYPERLINK("https://www.spark-marketing.ru/Card/Lot/70205032", "Обеспечение охраны (услуги по специализированной физической охране помещений и имущества)")</f>
        <v>Обеспечение охраны (услуги по специализированной физической охране помещений и имущества)</v>
      </c>
      <c r="G8863" s="22" t="s">
        <v>538</v>
      </c>
      <c r="H8863" s="22" t="s">
        <v>707</v>
      </c>
      <c r="I8863" s="26">
        <v>43584.366666666698</v>
      </c>
      <c r="J8863" s="23" t="str">
        <f>HYPERLINK("https://www.spark-marketing.ru/Card/Person/4396729", "филиал ФГУП ""Охрана"" Росгвардии по Республике Коми")</f>
        <v>филиал ФГУП "Охрана" Росгвардии по Республике Коми</v>
      </c>
      <c r="K8863" s="24" t="s">
        <v>779</v>
      </c>
      <c r="L8863" s="22" t="s">
        <v>10</v>
      </c>
      <c r="M8863" s="28" t="s">
        <v>52</v>
      </c>
      <c r="N8863" s="28" t="s">
        <v>52</v>
      </c>
    </row>
    <row r="8864" spans="1:14" x14ac:dyDescent="0.15">
      <c r="A8864" s="23" t="str">
        <f>HYPERLINK("https://www.spark-marketing.ru/Card/Person/996846", "ГБПОУ СО ""НТЖТ""")</f>
        <v>ГБПОУ СО "НТЖТ"</v>
      </c>
      <c r="B8864" s="24" t="s">
        <v>11182</v>
      </c>
      <c r="C8864" s="25">
        <v>561370</v>
      </c>
      <c r="D8864" s="22" t="s">
        <v>11183</v>
      </c>
      <c r="E8864" s="22" t="s">
        <v>84</v>
      </c>
      <c r="F8864" s="23" t="str">
        <f>HYPERLINK("https://www.spark-marketing.ru/Card/Lot/70199050", "Реализация мероприятий по антитеррористической защищенности объектов")</f>
        <v>Реализация мероприятий по антитеррористической защищенности объектов</v>
      </c>
      <c r="G8864" s="22" t="s">
        <v>72</v>
      </c>
      <c r="H8864" s="22" t="s">
        <v>3332</v>
      </c>
      <c r="I8864" s="26">
        <v>43584.371527777803</v>
      </c>
      <c r="J8864" s="23" t="str">
        <f>HYPERLINK("https://www.spark-marketing.ru/Card/Person/803106", "Лунегов Алексей Евгеньевич")</f>
        <v>Лунегов Алексей Евгеньевич</v>
      </c>
      <c r="K8864" s="24" t="s">
        <v>2506</v>
      </c>
      <c r="L8864" s="22" t="s">
        <v>10</v>
      </c>
      <c r="M8864" s="28" t="s">
        <v>52</v>
      </c>
      <c r="N8864" s="28" t="s">
        <v>52</v>
      </c>
    </row>
    <row r="8865" spans="1:14" x14ac:dyDescent="0.15">
      <c r="A8865" s="23" t="str">
        <f>HYPERLINK("https://www.spark-marketing.ru/Card/Person/996846", "ГБПОУ СО ""НТЖТ""")</f>
        <v>ГБПОУ СО "НТЖТ"</v>
      </c>
      <c r="B8865" s="24" t="s">
        <v>11182</v>
      </c>
      <c r="C8865" s="25">
        <v>626982</v>
      </c>
      <c r="D8865" s="22" t="s">
        <v>11184</v>
      </c>
      <c r="E8865" s="22" t="s">
        <v>84</v>
      </c>
      <c r="F8865" s="23" t="str">
        <f>HYPERLINK("https://www.spark-marketing.ru/Card/Lot/70198977", "Реализация мероприятий по антитеррористической защищенности объектов")</f>
        <v>Реализация мероприятий по антитеррористической защищенности объектов</v>
      </c>
      <c r="G8865" s="22" t="s">
        <v>72</v>
      </c>
      <c r="H8865" s="22" t="s">
        <v>3332</v>
      </c>
      <c r="I8865" s="26">
        <v>43584.371527777803</v>
      </c>
      <c r="J8865" s="23" t="str">
        <f>HYPERLINK("https://www.spark-marketing.ru/Card/Person/803106", "Лунегов Алексей Евгеньевич")</f>
        <v>Лунегов Алексей Евгеньевич</v>
      </c>
      <c r="K8865" s="24" t="s">
        <v>2506</v>
      </c>
      <c r="L8865" s="22" t="s">
        <v>10</v>
      </c>
      <c r="M8865" s="28" t="s">
        <v>52</v>
      </c>
      <c r="N8865" s="28" t="s">
        <v>52</v>
      </c>
    </row>
    <row r="8866" spans="1:14" x14ac:dyDescent="0.15">
      <c r="A8866" s="23" t="str">
        <f>HYPERLINK("https://www.spark-marketing.ru/Card/Person/584803", "МОУ НОВО-ТОМЫШЕВСКАЯ ОШ")</f>
        <v>МОУ НОВО-ТОМЫШЕВСКАЯ ОШ</v>
      </c>
      <c r="B8866" s="24" t="s">
        <v>11185</v>
      </c>
      <c r="C8866" s="25">
        <v>6152.44</v>
      </c>
      <c r="D8866" s="22" t="s">
        <v>11186</v>
      </c>
      <c r="E8866" s="22" t="s">
        <v>53</v>
      </c>
      <c r="F8866" s="23" t="str">
        <f>HYPERLINK("https://www.spark-marketing.ru/Card/Lot/70764348", "Услуги пультовой охраны с использованием тревожной кнопки, 1 шт")</f>
        <v>Услуги пультовой охраны с использованием тревожной кнопки, 1 шт</v>
      </c>
      <c r="G8866" s="22" t="s">
        <v>446</v>
      </c>
      <c r="H8866" s="22" t="s">
        <v>11187</v>
      </c>
      <c r="I8866" s="26">
        <v>43584.361435185201</v>
      </c>
      <c r="J8866" s="28" t="s">
        <v>52</v>
      </c>
      <c r="K8866" s="28" t="s">
        <v>52</v>
      </c>
      <c r="L8866" s="28" t="s">
        <v>52</v>
      </c>
      <c r="M8866" s="28" t="s">
        <v>52</v>
      </c>
      <c r="N8866" s="28" t="s">
        <v>52</v>
      </c>
    </row>
    <row r="8867" spans="1:14" x14ac:dyDescent="0.15">
      <c r="A8867" s="23" t="str">
        <f>HYPERLINK("https://www.spark-marketing.ru/Card/Person/1309183", "ГАУССО НСО ""КПИ""")</f>
        <v>ГАУССО НСО "КПИ"</v>
      </c>
      <c r="B8867" s="24" t="s">
        <v>11188</v>
      </c>
      <c r="C8867" s="25">
        <v>84000</v>
      </c>
      <c r="D8867" s="22" t="s">
        <v>11189</v>
      </c>
      <c r="E8867" s="22" t="s">
        <v>59</v>
      </c>
      <c r="F8867" s="23" t="str">
        <f>HYPERLINK("https://www.spark-marketing.ru/Card/Lot/70196932", "Обслуживание системы видеонаблюдения")</f>
        <v>Обслуживание системы видеонаблюдения</v>
      </c>
      <c r="G8867" s="22" t="s">
        <v>209</v>
      </c>
      <c r="H8867" s="22" t="s">
        <v>11190</v>
      </c>
      <c r="I8867" s="26">
        <v>43584.221527777801</v>
      </c>
      <c r="J8867" s="28" t="s">
        <v>52</v>
      </c>
      <c r="K8867" s="28" t="s">
        <v>52</v>
      </c>
      <c r="L8867" s="28" t="s">
        <v>52</v>
      </c>
      <c r="M8867" s="28" t="s">
        <v>52</v>
      </c>
      <c r="N8867" s="28" t="s">
        <v>52</v>
      </c>
    </row>
    <row r="8868" spans="1:14" x14ac:dyDescent="0.15">
      <c r="A8868" s="23" t="str">
        <f>HYPERLINK("https://www.spark-marketing.ru/Card/Person/130109", "ПАО БАНК ""ФК ОТКРЫТИЕ""")</f>
        <v>ПАО БАНК "ФК ОТКРЫТИЕ"</v>
      </c>
      <c r="B8868" s="24" t="s">
        <v>693</v>
      </c>
      <c r="C8868" s="25">
        <v>0</v>
      </c>
      <c r="D8868" s="22" t="s">
        <v>11191</v>
      </c>
      <c r="E8868" s="22" t="s">
        <v>53</v>
      </c>
      <c r="F8868" s="23" t="str">
        <f>HYPERLINK("https://www.spark-marketing.ru/Card/Lot/70241185", "Оказание услуг по физической охране на объекте ПАО Банка ""ФК Открытие"" в г. Ульяновск")</f>
        <v>Оказание услуг по физической охране на объекте ПАО Банка "ФК Открытие" в г. Ульяновск</v>
      </c>
      <c r="G8868" s="22" t="s">
        <v>55</v>
      </c>
      <c r="H8868" s="22" t="s">
        <v>55</v>
      </c>
      <c r="I8868" s="26">
        <v>43584</v>
      </c>
      <c r="J8868" s="28" t="s">
        <v>52</v>
      </c>
      <c r="K8868" s="28" t="s">
        <v>52</v>
      </c>
      <c r="L8868" s="28" t="s">
        <v>52</v>
      </c>
      <c r="M8868" s="28" t="s">
        <v>52</v>
      </c>
      <c r="N8868" s="28" t="s">
        <v>52</v>
      </c>
    </row>
    <row r="8869" spans="1:14" x14ac:dyDescent="0.15">
      <c r="A8869" s="23" t="str">
        <f>HYPERLINK("https://www.spark-marketing.ru/Card/Person/4343405", "ФГУП ""ГОСКОРПОРАЦИЯ ПО ОРВД""")</f>
        <v>ФГУП "ГОСКОРПОРАЦИЯ ПО ОРВД"</v>
      </c>
      <c r="B8869" s="24" t="s">
        <v>801</v>
      </c>
      <c r="C8869" s="25">
        <v>1999932.68</v>
      </c>
      <c r="D8869" s="22" t="s">
        <v>11192</v>
      </c>
      <c r="E8869" s="22" t="s">
        <v>533</v>
      </c>
      <c r="F8869" s="23" t="str">
        <f>HYPERLINK("https://www.spark-marketing.ru/Card/Lot/70144742", "Приобретение и установка системы периметровой охранной сигнализации объекта передающего радиоцентра (ПРЦ) Шереметьевского центра ОВД.")</f>
        <v>Приобретение и установка системы периметровой охранной сигнализации объекта передающего радиоцентра (ПРЦ) Шереметьевского центра ОВД.</v>
      </c>
      <c r="G8869" s="22" t="s">
        <v>55</v>
      </c>
      <c r="H8869" s="22" t="s">
        <v>55</v>
      </c>
      <c r="I8869" s="26">
        <v>43581.786886574097</v>
      </c>
      <c r="J8869" s="28" t="s">
        <v>52</v>
      </c>
      <c r="K8869" s="28" t="s">
        <v>52</v>
      </c>
      <c r="L8869" s="28" t="s">
        <v>52</v>
      </c>
      <c r="M8869" s="28" t="s">
        <v>52</v>
      </c>
      <c r="N8869" s="28" t="s">
        <v>52</v>
      </c>
    </row>
    <row r="8870" spans="1:14" x14ac:dyDescent="0.15">
      <c r="A8870" s="23" t="str">
        <f>HYPERLINK("https://www.spark-marketing.ru/Card/Person/6450322", "ЗАКАЗЧИК РП БЕЛАРУСЬ")</f>
        <v>ЗАКАЗЧИК РП БЕЛАРУСЬ</v>
      </c>
      <c r="B8870" s="28" t="s">
        <v>52</v>
      </c>
      <c r="C8870" s="25">
        <v>4509401.4000000004</v>
      </c>
      <c r="D8870" s="22" t="s">
        <v>11193</v>
      </c>
      <c r="E8870" s="22" t="s">
        <v>53</v>
      </c>
      <c r="F8870" s="23" t="str">
        <f>HYPERLINK("https://www.spark-marketing.ru/Card/Lot/70222085", "Приборы по каналам связи GSM 3G и Ethernet 8-и шлейфные (работа в составе СПИ «АСОС Алеся»)")</f>
        <v>Приборы по каналам связи GSM 3G и Ethernet 8-и шлейфные (работа в составе СПИ «АСОС Алеся»)</v>
      </c>
      <c r="G8870" s="22" t="s">
        <v>52</v>
      </c>
      <c r="H8870" s="22" t="s">
        <v>52</v>
      </c>
      <c r="I8870" s="26">
        <v>43584</v>
      </c>
      <c r="J8870" s="28" t="s">
        <v>52</v>
      </c>
      <c r="K8870" s="28" t="s">
        <v>52</v>
      </c>
      <c r="L8870" s="28" t="s">
        <v>52</v>
      </c>
      <c r="M8870" s="28" t="s">
        <v>52</v>
      </c>
      <c r="N8870" s="28" t="s">
        <v>52</v>
      </c>
    </row>
    <row r="8871" spans="1:14" x14ac:dyDescent="0.15">
      <c r="A8871" s="23" t="str">
        <f>HYPERLINK("https://www.spark-marketing.ru/Card/Person/6450322", "ЗАКАЗЧИК РП БЕЛАРУСЬ")</f>
        <v>ЗАКАЗЧИК РП БЕЛАРУСЬ</v>
      </c>
      <c r="B8871" s="28" t="s">
        <v>52</v>
      </c>
      <c r="C8871" s="25">
        <v>2898900.9</v>
      </c>
      <c r="D8871" s="22" t="s">
        <v>11193</v>
      </c>
      <c r="E8871" s="22" t="s">
        <v>53</v>
      </c>
      <c r="F8871" s="23" t="str">
        <f>HYPERLINK("https://www.spark-marketing.ru/Card/Lot/70222083", "Приборы по каналам связи GSM 3G и Ethernet 4-х шлейфные (работа в составе СПИ «АСОС Алеся» и (или) РСПИ «Новатех-РДО»)")</f>
        <v>Приборы по каналам связи GSM 3G и Ethernet 4-х шлейфные (работа в составе СПИ «АСОС Алеся» и (или) РСПИ «Новатех-РДО»)</v>
      </c>
      <c r="G8871" s="22" t="s">
        <v>52</v>
      </c>
      <c r="H8871" s="22" t="s">
        <v>52</v>
      </c>
      <c r="I8871" s="26">
        <v>43584</v>
      </c>
      <c r="J8871" s="28" t="s">
        <v>52</v>
      </c>
      <c r="K8871" s="28" t="s">
        <v>52</v>
      </c>
      <c r="L8871" s="28" t="s">
        <v>52</v>
      </c>
      <c r="M8871" s="28" t="s">
        <v>52</v>
      </c>
      <c r="N8871" s="28" t="s">
        <v>52</v>
      </c>
    </row>
    <row r="8872" spans="1:14" x14ac:dyDescent="0.15">
      <c r="A8872" s="23" t="str">
        <f>HYPERLINK("https://www.spark-marketing.ru/Card/Person/4343405", "ФГУП ""ГОСКОРПОРАЦИЯ ПО ОРВД""")</f>
        <v>ФГУП "ГОСКОРПОРАЦИЯ ПО ОРВД"</v>
      </c>
      <c r="B8872" s="24" t="s">
        <v>801</v>
      </c>
      <c r="C8872" s="25">
        <v>1250000</v>
      </c>
      <c r="D8872" s="22" t="s">
        <v>11194</v>
      </c>
      <c r="E8872" s="22" t="s">
        <v>778</v>
      </c>
      <c r="F8872" s="23" t="str">
        <f>HYPERLINK("https://www.spark-marketing.ru/Card/Lot/70111382", "Поставка и монтаж мобильного здания поста охраны на объекте ОРЛ-Т+ОПРС+ПРЦ+ПМРЦ Жигаловского ОВД. Для нужд филиала ""ВостСибаэронавигация""")</f>
        <v>Поставка и монтаж мобильного здания поста охраны на объекте ОРЛ-Т+ОПРС+ПРЦ+ПМРЦ Жигаловского ОВД. Для нужд филиала "ВостСибаэронавигация"</v>
      </c>
      <c r="G8872" s="22" t="s">
        <v>281</v>
      </c>
      <c r="H8872" s="22" t="s">
        <v>281</v>
      </c>
      <c r="I8872" s="26">
        <v>43581.175706018497</v>
      </c>
      <c r="J8872" s="28" t="s">
        <v>52</v>
      </c>
      <c r="K8872" s="28" t="s">
        <v>52</v>
      </c>
      <c r="L8872" s="28" t="s">
        <v>52</v>
      </c>
      <c r="M8872" s="28" t="s">
        <v>52</v>
      </c>
      <c r="N8872" s="28" t="s">
        <v>52</v>
      </c>
    </row>
    <row r="8873" spans="1:14" x14ac:dyDescent="0.15">
      <c r="A8873" s="23" t="str">
        <f>HYPERLINK("https://www.spark-marketing.ru/Card/Person/4351530", "ООО ""ПЕТЕРБУРГГАЗ""")</f>
        <v>ООО "ПЕТЕРБУРГГАЗ"</v>
      </c>
      <c r="B8873" s="24" t="s">
        <v>11195</v>
      </c>
      <c r="C8873" s="25">
        <v>4508992</v>
      </c>
      <c r="D8873" s="22" t="s">
        <v>11196</v>
      </c>
      <c r="E8873" s="22" t="s">
        <v>175</v>
      </c>
      <c r="F8873" s="23" t="str">
        <f>HYPERLINK("https://www.spark-marketing.ru/Card/Lot/70266073", "Выполнение работ по техническому обслуживанию оборудования систем видеонаблюдения и видеорегистрации, систем контроля доступа и управления доступом ГРО ""ПетербургГаз""")</f>
        <v>Выполнение работ по техническому обслуживанию оборудования систем видеонаблюдения и видеорегистрации, систем контроля доступа и управления доступом ГРО "ПетербургГаз"</v>
      </c>
      <c r="G8873" s="22" t="s">
        <v>89</v>
      </c>
      <c r="H8873" s="22" t="s">
        <v>89</v>
      </c>
      <c r="I8873" s="26">
        <v>43585.392835648097</v>
      </c>
      <c r="J8873" s="28" t="s">
        <v>52</v>
      </c>
      <c r="K8873" s="28" t="s">
        <v>52</v>
      </c>
      <c r="L8873" s="28" t="s">
        <v>52</v>
      </c>
      <c r="M8873" s="28" t="s">
        <v>52</v>
      </c>
      <c r="N8873" s="28" t="s">
        <v>52</v>
      </c>
    </row>
    <row r="8874" spans="1:14" hidden="1" outlineLevel="1" x14ac:dyDescent="0.15">
      <c r="A8874" s="23" t="str">
        <f>HYPERLINK("https://www.spark-marketing.ru/Card/Person/4351530", "ООО ""ПЕТЕРБУРГГАЗ""")</f>
        <v>ООО "ПЕТЕРБУРГГАЗ"</v>
      </c>
      <c r="B8874" s="24" t="s">
        <v>11195</v>
      </c>
      <c r="C8874" s="28" t="s">
        <v>52</v>
      </c>
      <c r="D8874" s="22" t="s">
        <v>11196</v>
      </c>
      <c r="E8874" s="22" t="s">
        <v>175</v>
      </c>
      <c r="F8874" s="23" t="str">
        <f>HYPERLINK("https://www.spark-marketing.ru/Card/Lot/70266073", "Выполнение работ по техническому обслуживанию оборудования систем видеонаблюдения и видеорегистрации, систем контроля доступа и управления доступом ГРО ""ПетербургГаз""")</f>
        <v>Выполнение работ по техническому обслуживанию оборудования систем видеонаблюдения и видеорегистрации, систем контроля доступа и управления доступом ГРО "ПетербургГаз"</v>
      </c>
      <c r="G8874" s="22" t="s">
        <v>89</v>
      </c>
      <c r="H8874" s="22" t="s">
        <v>89</v>
      </c>
      <c r="I8874" s="26">
        <v>43585.392835648097</v>
      </c>
      <c r="J8874" s="23" t="str">
        <f>HYPERLINK("https://www.spark-marketing.ru/Card/Person/93104", "ООО ""ТСБ""")</f>
        <v>ООО "ТСБ"</v>
      </c>
      <c r="K8874" s="24" t="s">
        <v>11197</v>
      </c>
      <c r="L8874" s="28" t="s">
        <v>52</v>
      </c>
      <c r="M8874" s="28" t="s">
        <v>52</v>
      </c>
      <c r="N8874" s="28" t="s">
        <v>52</v>
      </c>
    </row>
    <row r="8875" spans="1:14" hidden="1" outlineLevel="1" x14ac:dyDescent="0.15">
      <c r="A8875" s="23" t="str">
        <f>HYPERLINK("https://www.spark-marketing.ru/Card/Person/4351530", "ООО ""ПЕТЕРБУРГГАЗ""")</f>
        <v>ООО "ПЕТЕРБУРГГАЗ"</v>
      </c>
      <c r="B8875" s="24" t="s">
        <v>11195</v>
      </c>
      <c r="C8875" s="28" t="s">
        <v>52</v>
      </c>
      <c r="D8875" s="22" t="s">
        <v>11196</v>
      </c>
      <c r="E8875" s="22" t="s">
        <v>175</v>
      </c>
      <c r="F8875" s="23" t="str">
        <f>HYPERLINK("https://www.spark-marketing.ru/Card/Lot/70266073", "Выполнение работ по техническому обслуживанию оборудования систем видеонаблюдения и видеорегистрации, систем контроля доступа и управления доступом ГРО ""ПетербургГаз""")</f>
        <v>Выполнение работ по техническому обслуживанию оборудования систем видеонаблюдения и видеорегистрации, систем контроля доступа и управления доступом ГРО "ПетербургГаз"</v>
      </c>
      <c r="G8875" s="22" t="s">
        <v>89</v>
      </c>
      <c r="H8875" s="22" t="s">
        <v>89</v>
      </c>
      <c r="I8875" s="26">
        <v>43585.392835648097</v>
      </c>
      <c r="J8875" s="23" t="str">
        <f>HYPERLINK("https://www.spark-marketing.ru/Card/Person/145558", "ООО ""ИТГ""")</f>
        <v>ООО "ИТГ"</v>
      </c>
      <c r="K8875" s="24" t="s">
        <v>11198</v>
      </c>
      <c r="L8875" s="28" t="s">
        <v>52</v>
      </c>
      <c r="M8875" s="28" t="s">
        <v>52</v>
      </c>
      <c r="N8875" s="28" t="s">
        <v>52</v>
      </c>
    </row>
    <row r="8876" spans="1:14" hidden="1" outlineLevel="1" x14ac:dyDescent="0.2">
      <c r="A8876" s="23" t="str">
        <f>HYPERLINK("https://www.spark-marketing.ru/Card/Person/4351530", "ООО ""ПЕТЕРБУРГГАЗ""")</f>
        <v>ООО "ПЕТЕРБУРГГАЗ"</v>
      </c>
      <c r="B8876" s="24" t="s">
        <v>11195</v>
      </c>
      <c r="C8876" s="28" t="s">
        <v>52</v>
      </c>
      <c r="D8876" s="22" t="s">
        <v>11196</v>
      </c>
      <c r="E8876" s="22" t="s">
        <v>175</v>
      </c>
      <c r="F8876" s="23" t="str">
        <f>HYPERLINK("https://www.spark-marketing.ru/Card/Lot/70266073", "Выполнение работ по техническому обслуживанию оборудования систем видеонаблюдения и видеорегистрации, систем контроля доступа и управления доступом ГРО ""ПетербургГаз""")</f>
        <v>Выполнение работ по техническому обслуживанию оборудования систем видеонаблюдения и видеорегистрации, систем контроля доступа и управления доступом ГРО "ПетербургГаз"</v>
      </c>
      <c r="G8876" s="22" t="s">
        <v>89</v>
      </c>
      <c r="H8876" s="22" t="s">
        <v>89</v>
      </c>
      <c r="I8876" s="26">
        <v>43585.392835648097</v>
      </c>
      <c r="J8876" s="23" t="str">
        <f>HYPERLINK("https://www.spark-marketing.ru/Card/Person/4857651", "ООО ""МИКРОДОМ""")</f>
        <v>ООО "МИКРОДОМ"</v>
      </c>
      <c r="K8876" s="24" t="s">
        <v>11156</v>
      </c>
      <c r="L8876" s="28" t="s">
        <v>52</v>
      </c>
      <c r="M8876" s="25">
        <v>2685833.33</v>
      </c>
      <c r="N8876" s="27">
        <v>0.40433841310873914</v>
      </c>
    </row>
    <row r="8877" spans="1:14" hidden="1" outlineLevel="1" x14ac:dyDescent="0.2">
      <c r="A8877" s="23" t="str">
        <f>HYPERLINK("https://www.spark-marketing.ru/Card/Person/4351530", "ООО ""ПЕТЕРБУРГГАЗ""")</f>
        <v>ООО "ПЕТЕРБУРГГАЗ"</v>
      </c>
      <c r="B8877" s="24" t="s">
        <v>11195</v>
      </c>
      <c r="C8877" s="28" t="s">
        <v>52</v>
      </c>
      <c r="D8877" s="22" t="s">
        <v>11196</v>
      </c>
      <c r="E8877" s="22" t="s">
        <v>175</v>
      </c>
      <c r="F8877" s="23" t="str">
        <f>HYPERLINK("https://www.spark-marketing.ru/Card/Lot/70266073", "Выполнение работ по техническому обслуживанию оборудования систем видеонаблюдения и видеорегистрации, систем контроля доступа и управления доступом ГРО ""ПетербургГаз""")</f>
        <v>Выполнение работ по техническому обслуживанию оборудования систем видеонаблюдения и видеорегистрации, систем контроля доступа и управления доступом ГРО "ПетербургГаз"</v>
      </c>
      <c r="G8877" s="22" t="s">
        <v>89</v>
      </c>
      <c r="H8877" s="22" t="s">
        <v>89</v>
      </c>
      <c r="I8877" s="26">
        <v>43585.392835648097</v>
      </c>
      <c r="J8877" s="23" t="str">
        <f>HYPERLINK("https://www.spark-marketing.ru/Card/Person/562793", "ООО ""КРИАДОН""")</f>
        <v>ООО "КРИАДОН"</v>
      </c>
      <c r="K8877" s="24" t="s">
        <v>11199</v>
      </c>
      <c r="L8877" s="22" t="s">
        <v>10</v>
      </c>
      <c r="M8877" s="25">
        <v>4060000</v>
      </c>
      <c r="N8877" s="27">
        <v>9.9577022979858917E-2</v>
      </c>
    </row>
    <row r="8878" spans="1:14" x14ac:dyDescent="0.15">
      <c r="A8878" s="23" t="str">
        <f>HYPERLINK("https://www.spark-marketing.ru/Card/Person/6450322", "ЗАКАЗЧИК РП БЕЛАРУСЬ")</f>
        <v>ЗАКАЗЧИК РП БЕЛАРУСЬ</v>
      </c>
      <c r="B8878" s="28" t="s">
        <v>52</v>
      </c>
      <c r="C8878" s="25">
        <v>1610500.5</v>
      </c>
      <c r="D8878" s="22" t="s">
        <v>11193</v>
      </c>
      <c r="E8878" s="22" t="s">
        <v>53</v>
      </c>
      <c r="F8878" s="23" t="str">
        <f>HYPERLINK("https://www.spark-marketing.ru/Card/Lot/70222084", "Приборы по каналам связи GSM 3G и Ethernet 8-и шлейфные (работа в составе СПИ «АСОС Алеся» и (или) РСПИ «Новатех-РДО»)")</f>
        <v>Приборы по каналам связи GSM 3G и Ethernet 8-и шлейфные (работа в составе СПИ «АСОС Алеся» и (или) РСПИ «Новатех-РДО»)</v>
      </c>
      <c r="G8878" s="22" t="s">
        <v>52</v>
      </c>
      <c r="H8878" s="22" t="s">
        <v>52</v>
      </c>
      <c r="I8878" s="26">
        <v>43584</v>
      </c>
      <c r="J8878" s="28" t="s">
        <v>52</v>
      </c>
      <c r="K8878" s="28" t="s">
        <v>52</v>
      </c>
      <c r="L8878" s="28" t="s">
        <v>52</v>
      </c>
      <c r="M8878" s="28" t="s">
        <v>52</v>
      </c>
      <c r="N8878" s="28" t="s">
        <v>52</v>
      </c>
    </row>
    <row r="8879" spans="1:14" x14ac:dyDescent="0.15">
      <c r="A8879" s="23" t="str">
        <f>HYPERLINK("https://www.spark-marketing.ru/Card/Person/46578", "ГБУЗ ""ДГП № 69 ДЗМ""")</f>
        <v>ГБУЗ "ДГП № 69 ДЗМ"</v>
      </c>
      <c r="B8879" s="24" t="s">
        <v>4827</v>
      </c>
      <c r="C8879" s="25">
        <v>66570</v>
      </c>
      <c r="D8879" s="22" t="s">
        <v>11200</v>
      </c>
      <c r="E8879" s="22" t="s">
        <v>107</v>
      </c>
      <c r="F8879" s="23" t="str">
        <f>HYPERLINK("https://www.spark-marketing.ru/Card/Lot/70195343", "Оказание услуг пультовой охраны с использованием тревожной кнопки")</f>
        <v>Оказание услуг пультовой охраны с использованием тревожной кнопки</v>
      </c>
      <c r="G8879" s="22" t="s">
        <v>55</v>
      </c>
      <c r="H8879" s="22" t="s">
        <v>55</v>
      </c>
      <c r="I8879" s="26">
        <v>43583.834027777797</v>
      </c>
      <c r="J8879" s="28" t="s">
        <v>52</v>
      </c>
      <c r="K8879" s="28" t="s">
        <v>52</v>
      </c>
      <c r="L8879" s="28" t="s">
        <v>52</v>
      </c>
      <c r="M8879" s="28" t="s">
        <v>52</v>
      </c>
      <c r="N8879" s="28" t="s">
        <v>52</v>
      </c>
    </row>
    <row r="8880" spans="1:14" ht="12.75" hidden="1" outlineLevel="1" x14ac:dyDescent="0.2">
      <c r="A8880" s="23" t="str">
        <f>HYPERLINK("https://www.spark-marketing.ru/Card/Person/46578", "ГБУЗ ""ДГП № 69 ДЗМ""")</f>
        <v>ГБУЗ "ДГП № 69 ДЗМ"</v>
      </c>
      <c r="B8880" s="24" t="s">
        <v>4827</v>
      </c>
      <c r="C8880" s="25">
        <v>66570</v>
      </c>
      <c r="D8880" s="22" t="s">
        <v>11200</v>
      </c>
      <c r="E8880" s="22" t="s">
        <v>107</v>
      </c>
      <c r="F8880" s="23" t="str">
        <f>HYPERLINK("https://www.spark-marketing.ru/Card/Lot/70195343", "Оказание услуг пультовой охраны с использованием тревожной кнопки")</f>
        <v>Оказание услуг пультовой охраны с использованием тревожной кнопки</v>
      </c>
      <c r="G8880" s="22" t="s">
        <v>55</v>
      </c>
      <c r="H8880" s="22" t="s">
        <v>55</v>
      </c>
      <c r="I8880" s="26">
        <v>43583.834027777797</v>
      </c>
      <c r="J8880" s="23" t="str">
        <f>HYPERLINK("https://www.spark-marketing.ru/Card/Person/1976859", "ООО ЧОО ""ДЕЛЬТА""")</f>
        <v>ООО ЧОО "ДЕЛЬТА"</v>
      </c>
      <c r="K8880" s="24" t="s">
        <v>8928</v>
      </c>
      <c r="L8880" s="22" t="s">
        <v>10</v>
      </c>
      <c r="M8880" s="25">
        <v>38467.15</v>
      </c>
      <c r="N8880" s="27">
        <v>0.42215487456812378</v>
      </c>
    </row>
    <row r="8881" spans="1:14" hidden="1" outlineLevel="1" x14ac:dyDescent="0.2">
      <c r="A8881" s="23" t="str">
        <f>HYPERLINK("https://www.spark-marketing.ru/Card/Person/46578", "ГБУЗ ""ДГП № 69 ДЗМ""")</f>
        <v>ГБУЗ "ДГП № 69 ДЗМ"</v>
      </c>
      <c r="B8881" s="24" t="s">
        <v>4827</v>
      </c>
      <c r="C8881" s="25">
        <v>66570</v>
      </c>
      <c r="D8881" s="22" t="s">
        <v>11200</v>
      </c>
      <c r="E8881" s="22" t="s">
        <v>107</v>
      </c>
      <c r="F8881" s="23" t="str">
        <f>HYPERLINK("https://www.spark-marketing.ru/Card/Lot/70195343", "Оказание услуг пультовой охраны с использованием тревожной кнопки")</f>
        <v>Оказание услуг пультовой охраны с использованием тревожной кнопки</v>
      </c>
      <c r="G8881" s="22" t="s">
        <v>55</v>
      </c>
      <c r="H8881" s="22" t="s">
        <v>55</v>
      </c>
      <c r="I8881" s="26">
        <v>43583.834027777797</v>
      </c>
      <c r="J8881" s="23" t="str">
        <f>HYPERLINK("https://www.spark-marketing.ru/Card/Person/60875", "ООО ЧОП ""ГОЛДЕКС""")</f>
        <v>ООО ЧОП "ГОЛДЕКС"</v>
      </c>
      <c r="K8881" s="24" t="s">
        <v>1378</v>
      </c>
      <c r="L8881" s="28" t="s">
        <v>52</v>
      </c>
      <c r="M8881" s="25">
        <v>38800</v>
      </c>
      <c r="N8881" s="27">
        <v>0.41715487456812378</v>
      </c>
    </row>
    <row r="8882" spans="1:14" x14ac:dyDescent="0.15">
      <c r="A8882" s="23" t="str">
        <f>HYPERLINK("https://www.spark-marketing.ru/Card/Person/1052601", "БДОУ Г. ОМСКА ""ЦЕНТР РАЗВИТИЯ РЕБЕНКА - ДЕТСКИЙ САД № 15""")</f>
        <v>БДОУ Г. ОМСКА "ЦЕНТР РАЗВИТИЯ РЕБЕНКА - ДЕТСКИЙ САД № 15"</v>
      </c>
      <c r="B8882" s="24" t="s">
        <v>10107</v>
      </c>
      <c r="C8882" s="28" t="s">
        <v>52</v>
      </c>
      <c r="D8882" s="22" t="s">
        <v>11201</v>
      </c>
      <c r="E8882" s="22" t="s">
        <v>9844</v>
      </c>
      <c r="F8882" s="23" t="str">
        <f>HYPERLINK("https://www.spark-marketing.ru/Card/Lot/70194857", "Услуги по установке видеонаблюдение.")</f>
        <v>Услуги по установке видеонаблюдение.</v>
      </c>
      <c r="G8882" s="22" t="s">
        <v>521</v>
      </c>
      <c r="H8882" s="22" t="s">
        <v>522</v>
      </c>
      <c r="I8882" s="26">
        <v>43583.443749999999</v>
      </c>
      <c r="J8882" s="28" t="s">
        <v>52</v>
      </c>
      <c r="K8882" s="28" t="s">
        <v>52</v>
      </c>
      <c r="L8882" s="28" t="s">
        <v>52</v>
      </c>
      <c r="M8882" s="28" t="s">
        <v>52</v>
      </c>
      <c r="N8882" s="28" t="s">
        <v>52</v>
      </c>
    </row>
    <row r="8883" spans="1:14" x14ac:dyDescent="0.15">
      <c r="A8883" s="23" t="str">
        <f>HYPERLINK("https://www.spark-marketing.ru/Card/Person/10487", "ФГУП ""ОХРАНА"" РОСГВАРДИИ")</f>
        <v>ФГУП "ОХРАНА" РОСГВАРДИИ</v>
      </c>
      <c r="B8883" s="24" t="s">
        <v>779</v>
      </c>
      <c r="C8883" s="25">
        <v>52394.1</v>
      </c>
      <c r="D8883" s="22" t="s">
        <v>11202</v>
      </c>
      <c r="E8883" s="22" t="s">
        <v>1419</v>
      </c>
      <c r="F8883" s="23" t="str">
        <f>HYPERLINK("https://www.spark-marketing.ru/Card/Lot/70194672", "Поставка электротоваров для нужд Управления по Сибирскому Федеральному округу Центра охраны объектов промышленности")</f>
        <v>Поставка электротоваров для нужд Управления по Сибирскому Федеральному округу Центра охраны объектов промышленности</v>
      </c>
      <c r="G8883" s="22" t="s">
        <v>428</v>
      </c>
      <c r="H8883" s="22" t="s">
        <v>428</v>
      </c>
      <c r="I8883" s="26">
        <v>43581.5765046296</v>
      </c>
      <c r="J8883" s="28" t="s">
        <v>52</v>
      </c>
      <c r="K8883" s="28" t="s">
        <v>52</v>
      </c>
      <c r="L8883" s="28" t="s">
        <v>52</v>
      </c>
      <c r="M8883" s="28" t="s">
        <v>52</v>
      </c>
      <c r="N8883" s="28" t="s">
        <v>52</v>
      </c>
    </row>
    <row r="8884" spans="1:14" hidden="1" outlineLevel="1" x14ac:dyDescent="0.2">
      <c r="A8884" s="23" t="str">
        <f>HYPERLINK("https://www.spark-marketing.ru/Card/Person/10487", "ФГУП ""ОХРАНА"" РОСГВАРДИИ")</f>
        <v>ФГУП "ОХРАНА" РОСГВАРДИИ</v>
      </c>
      <c r="B8884" s="24" t="s">
        <v>779</v>
      </c>
      <c r="C8884" s="28" t="s">
        <v>52</v>
      </c>
      <c r="D8884" s="22" t="s">
        <v>11202</v>
      </c>
      <c r="E8884" s="22" t="s">
        <v>1419</v>
      </c>
      <c r="F8884" s="23" t="str">
        <f>HYPERLINK("https://www.spark-marketing.ru/Card/Lot/70194672", "Поставка электротоваров для нужд Управления по Сибирскому Федеральному округу Центра охраны объектов промышленности")</f>
        <v>Поставка электротоваров для нужд Управления по Сибирскому Федеральному округу Центра охраны объектов промышленности</v>
      </c>
      <c r="G8884" s="22" t="s">
        <v>428</v>
      </c>
      <c r="H8884" s="22" t="s">
        <v>428</v>
      </c>
      <c r="I8884" s="26">
        <v>43581.5765046296</v>
      </c>
      <c r="J8884" s="23" t="str">
        <f>HYPERLINK("https://www.spark-marketing.ru/Card/Person/6447610", "ООО ""ЭЛЕКТРОПОЛЕ""")</f>
        <v>ООО "ЭЛЕКТРОПОЛЕ"</v>
      </c>
      <c r="K8884" s="24" t="s">
        <v>11203</v>
      </c>
      <c r="L8884" s="28" t="s">
        <v>52</v>
      </c>
      <c r="M8884" s="25">
        <v>37398.019999999997</v>
      </c>
      <c r="N8884" s="27">
        <v>0.28621695954315468</v>
      </c>
    </row>
    <row r="8885" spans="1:14" hidden="1" outlineLevel="1" x14ac:dyDescent="0.2">
      <c r="A8885" s="23" t="str">
        <f>HYPERLINK("https://www.spark-marketing.ru/Card/Person/10487", "ФГУП ""ОХРАНА"" РОСГВАРДИИ")</f>
        <v>ФГУП "ОХРАНА" РОСГВАРДИИ</v>
      </c>
      <c r="B8885" s="24" t="s">
        <v>779</v>
      </c>
      <c r="C8885" s="28" t="s">
        <v>52</v>
      </c>
      <c r="D8885" s="22" t="s">
        <v>11202</v>
      </c>
      <c r="E8885" s="22" t="s">
        <v>1419</v>
      </c>
      <c r="F8885" s="23" t="str">
        <f>HYPERLINK("https://www.spark-marketing.ru/Card/Lot/70194672", "Поставка электротоваров для нужд Управления по Сибирскому Федеральному округу Центра охраны объектов промышленности")</f>
        <v>Поставка электротоваров для нужд Управления по Сибирскому Федеральному округу Центра охраны объектов промышленности</v>
      </c>
      <c r="G8885" s="22" t="s">
        <v>428</v>
      </c>
      <c r="H8885" s="22" t="s">
        <v>428</v>
      </c>
      <c r="I8885" s="26">
        <v>43581.5765046296</v>
      </c>
      <c r="J8885" s="23" t="str">
        <f>HYPERLINK("https://www.spark-marketing.ru/Card/Person/165326", "ООО ""БАКО+""")</f>
        <v>ООО "БАКО+"</v>
      </c>
      <c r="K8885" s="24" t="s">
        <v>11204</v>
      </c>
      <c r="L8885" s="22" t="s">
        <v>10</v>
      </c>
      <c r="M8885" s="25">
        <v>32771.5</v>
      </c>
      <c r="N8885" s="27">
        <v>0.3745192683909066</v>
      </c>
    </row>
    <row r="8886" spans="1:14" x14ac:dyDescent="0.2">
      <c r="A8886" s="23" t="str">
        <f>HYPERLINK("https://www.spark-marketing.ru/Card/Person/4348513", "ФГУП ""ГВСУ № 4""")</f>
        <v>ФГУП "ГВСУ № 4"</v>
      </c>
      <c r="B8886" s="24" t="s">
        <v>7654</v>
      </c>
      <c r="C8886" s="25">
        <v>54750400</v>
      </c>
      <c r="D8886" s="22" t="s">
        <v>11205</v>
      </c>
      <c r="E8886" s="22" t="s">
        <v>606</v>
      </c>
      <c r="F8886" s="23" t="str">
        <f>HYPERLINK("https://www.spark-marketing.ru/Card/Lot/70144889", "Выполнение строительно-монтажных и пусконаладочных работ инженерно-технического заграждения и технических средств охраны по объекту")</f>
        <v>Выполнение строительно-монтажных и пусконаладочных работ инженерно-технического заграждения и технических средств охраны по объекту</v>
      </c>
      <c r="G8886" s="22" t="s">
        <v>595</v>
      </c>
      <c r="H8886" s="22" t="s">
        <v>595</v>
      </c>
      <c r="I8886" s="26">
        <v>43581.795405092598</v>
      </c>
      <c r="J8886" s="23" t="str">
        <f>HYPERLINK("https://www.spark-marketing.ru/Card/Person/555317", "ООО ""АРХОНТ""")</f>
        <v>ООО "АРХОНТ"</v>
      </c>
      <c r="K8886" s="24" t="s">
        <v>7656</v>
      </c>
      <c r="L8886" s="28" t="s">
        <v>52</v>
      </c>
      <c r="M8886" s="25">
        <v>40324044</v>
      </c>
      <c r="N8886" s="27">
        <v>0.26349316169379583</v>
      </c>
    </row>
    <row r="8887" spans="1:14" x14ac:dyDescent="0.15">
      <c r="A8887" s="23" t="str">
        <f>HYPERLINK("https://www.spark-marketing.ru/Card/Person/1022070", "МБОУ ТР СОШ № 2")</f>
        <v>МБОУ ТР СОШ № 2</v>
      </c>
      <c r="B8887" s="24" t="s">
        <v>11206</v>
      </c>
      <c r="C8887" s="25">
        <v>305210</v>
      </c>
      <c r="D8887" s="22" t="s">
        <v>11207</v>
      </c>
      <c r="E8887" s="22" t="s">
        <v>84</v>
      </c>
      <c r="F8887" s="23" t="str">
        <f>HYPERLINK("https://www.spark-marketing.ru/Card/Lot/70143364", "Выполнение работ по установке внутреннего видеонаблюдения в здании МБОУ ТР ООШ №2")</f>
        <v>Выполнение работ по установке внутреннего видеонаблюдения в здании МБОУ ТР ООШ №2</v>
      </c>
      <c r="G8887" s="22" t="s">
        <v>251</v>
      </c>
      <c r="H8887" s="22" t="s">
        <v>251</v>
      </c>
      <c r="I8887" s="26">
        <v>43581.765277777798</v>
      </c>
      <c r="J8887" s="28" t="s">
        <v>52</v>
      </c>
      <c r="K8887" s="28" t="s">
        <v>52</v>
      </c>
      <c r="L8887" s="28" t="s">
        <v>52</v>
      </c>
      <c r="M8887" s="28" t="s">
        <v>52</v>
      </c>
      <c r="N8887" s="28" t="s">
        <v>52</v>
      </c>
    </row>
    <row r="8888" spans="1:14" ht="12.75" hidden="1" outlineLevel="1" x14ac:dyDescent="0.2">
      <c r="A8888" s="23" t="str">
        <f>HYPERLINK("https://www.spark-marketing.ru/Card/Person/1022070", "МБОУ ТР СОШ № 2")</f>
        <v>МБОУ ТР СОШ № 2</v>
      </c>
      <c r="B8888" s="24" t="s">
        <v>11206</v>
      </c>
      <c r="C8888" s="25">
        <v>305210</v>
      </c>
      <c r="D8888" s="22" t="s">
        <v>11207</v>
      </c>
      <c r="E8888" s="22" t="s">
        <v>84</v>
      </c>
      <c r="F8888" s="23" t="str">
        <f>HYPERLINK("https://www.spark-marketing.ru/Card/Lot/70143364", "Выполнение работ по установке внутреннего видеонаблюдения в здании МБОУ ТР ООШ №2")</f>
        <v>Выполнение работ по установке внутреннего видеонаблюдения в здании МБОУ ТР ООШ №2</v>
      </c>
      <c r="G8888" s="22" t="s">
        <v>251</v>
      </c>
      <c r="H8888" s="22" t="s">
        <v>251</v>
      </c>
      <c r="I8888" s="26">
        <v>43581.765277777798</v>
      </c>
      <c r="J8888" s="23" t="str">
        <f>HYPERLINK("https://www.spark-marketing.ru/Card/Person/612198", "ООО ""ЭЛЕКТРО""")</f>
        <v>ООО "ЭЛЕКТРО"</v>
      </c>
      <c r="K8888" s="24" t="s">
        <v>11208</v>
      </c>
      <c r="L8888" s="22" t="s">
        <v>10</v>
      </c>
      <c r="M8888" s="25">
        <v>302157.90000000002</v>
      </c>
      <c r="N8888" s="27">
        <v>0.01</v>
      </c>
    </row>
    <row r="8889" spans="1:14" hidden="1" outlineLevel="1" x14ac:dyDescent="0.2">
      <c r="A8889" s="23" t="str">
        <f>HYPERLINK("https://www.spark-marketing.ru/Card/Person/1022070", "МБОУ ТР СОШ № 2")</f>
        <v>МБОУ ТР СОШ № 2</v>
      </c>
      <c r="B8889" s="24" t="s">
        <v>11206</v>
      </c>
      <c r="C8889" s="25">
        <v>305210</v>
      </c>
      <c r="D8889" s="22" t="s">
        <v>11207</v>
      </c>
      <c r="E8889" s="22" t="s">
        <v>84</v>
      </c>
      <c r="F8889" s="23" t="str">
        <f>HYPERLINK("https://www.spark-marketing.ru/Card/Lot/70143364", "Выполнение работ по установке внутреннего видеонаблюдения в здании МБОУ ТР ООШ №2")</f>
        <v>Выполнение работ по установке внутреннего видеонаблюдения в здании МБОУ ТР ООШ №2</v>
      </c>
      <c r="G8889" s="22" t="s">
        <v>251</v>
      </c>
      <c r="H8889" s="22" t="s">
        <v>251</v>
      </c>
      <c r="I8889" s="26">
        <v>43581.765277777798</v>
      </c>
      <c r="J8889" s="23" t="str">
        <f>HYPERLINK("https://www.spark-marketing.ru/Card/Person/986836", "ООО ТЦ ""РУБИКОН""")</f>
        <v>ООО ТЦ "РУБИКОН"</v>
      </c>
      <c r="K8889" s="24" t="s">
        <v>5133</v>
      </c>
      <c r="L8889" s="28" t="s">
        <v>52</v>
      </c>
      <c r="M8889" s="25">
        <v>303683.95</v>
      </c>
      <c r="N8889" s="27">
        <v>5.0000000000000001E-3</v>
      </c>
    </row>
    <row r="8890" spans="1:14" x14ac:dyDescent="0.2">
      <c r="A8890" s="23" t="str">
        <f>HYPERLINK("https://www.spark-marketing.ru/Card/Person/130873", "МИНЭКОНОМРАЗВИТИЯ ИНГУШЕТИИ")</f>
        <v>МИНЭКОНОМРАЗВИТИЯ ИНГУШЕТИИ</v>
      </c>
      <c r="B8890" s="24" t="s">
        <v>11209</v>
      </c>
      <c r="C8890" s="25">
        <v>15472330</v>
      </c>
      <c r="D8890" s="22" t="s">
        <v>11210</v>
      </c>
      <c r="E8890" s="22" t="s">
        <v>218</v>
      </c>
      <c r="F8890" s="23" t="str">
        <f>HYPERLINK("https://www.spark-marketing.ru/Card/Lot/70141273", "Оказание услуг по строительному контролю и техническому сопровождению работ по объекту «Строительство комплекса обеспечивающей инфраструктуры для санаторно-курортного комплекса туристического кластера ""АЧАЛУКИ""»")</f>
        <v>Оказание услуг по строительному контролю и техническому сопровождению работ по объекту «Строительство комплекса обеспечивающей инфраструктуры для санаторно-курортного комплекса туристического кластера "АЧАЛУКИ"»</v>
      </c>
      <c r="G8890" s="22" t="s">
        <v>648</v>
      </c>
      <c r="H8890" s="22" t="s">
        <v>648</v>
      </c>
      <c r="I8890" s="26">
        <v>43581.708333333299</v>
      </c>
      <c r="J8890" s="23" t="str">
        <f>HYPERLINK("https://www.spark-marketing.ru/Card/Person/259250", "ГУП""УКС РИ""")</f>
        <v>ГУП"УКС РИ"</v>
      </c>
      <c r="K8890" s="24" t="s">
        <v>7151</v>
      </c>
      <c r="L8890" s="28" t="s">
        <v>52</v>
      </c>
      <c r="M8890" s="25">
        <v>15472330</v>
      </c>
      <c r="N8890" s="27">
        <v>0</v>
      </c>
    </row>
    <row r="8891" spans="1:14" x14ac:dyDescent="0.15">
      <c r="A8891" s="23" t="str">
        <f>HYPERLINK("https://www.spark-marketing.ru/Card/Person/27324", "ВЫБОРГСКАЯ ТАМОЖНЯ")</f>
        <v>ВЫБОРГСКАЯ ТАМОЖНЯ</v>
      </c>
      <c r="B8891" s="24" t="s">
        <v>11211</v>
      </c>
      <c r="C8891" s="25">
        <v>376616.7</v>
      </c>
      <c r="D8891" s="22" t="s">
        <v>11212</v>
      </c>
      <c r="E8891" s="22" t="s">
        <v>68</v>
      </c>
      <c r="F8891" s="23" t="str">
        <f>HYPERLINK("https://www.spark-marketing.ru/Card/Lot/70143274", "Оказание услуг по часовой охране среднего таможенного судна ""Иван Фомин"" и судового имущества")</f>
        <v>Оказание услуг по часовой охране среднего таможенного судна "Иван Фомин" и судового имущества</v>
      </c>
      <c r="G8891" s="22" t="s">
        <v>861</v>
      </c>
      <c r="H8891" s="22" t="s">
        <v>861</v>
      </c>
      <c r="I8891" s="26">
        <v>43581.706944444399</v>
      </c>
      <c r="J8891" s="28" t="s">
        <v>52</v>
      </c>
      <c r="K8891" s="28" t="s">
        <v>52</v>
      </c>
      <c r="L8891" s="28" t="s">
        <v>52</v>
      </c>
      <c r="M8891" s="28" t="s">
        <v>52</v>
      </c>
      <c r="N8891" s="28" t="s">
        <v>52</v>
      </c>
    </row>
    <row r="8892" spans="1:14" ht="12.75" hidden="1" outlineLevel="1" x14ac:dyDescent="0.2">
      <c r="A8892" s="23" t="str">
        <f>HYPERLINK("https://www.spark-marketing.ru/Card/Person/27324", "ВЫБОРГСКАЯ ТАМОЖНЯ")</f>
        <v>ВЫБОРГСКАЯ ТАМОЖНЯ</v>
      </c>
      <c r="B8892" s="24" t="s">
        <v>11211</v>
      </c>
      <c r="C8892" s="25">
        <v>376616.7</v>
      </c>
      <c r="D8892" s="22" t="s">
        <v>11212</v>
      </c>
      <c r="E8892" s="22" t="s">
        <v>68</v>
      </c>
      <c r="F8892" s="23" t="str">
        <f>HYPERLINK("https://www.spark-marketing.ru/Card/Lot/70143274", "Оказание услуг по часовой охране среднего таможенного судна ""Иван Фомин"" и судового имущества")</f>
        <v>Оказание услуг по часовой охране среднего таможенного судна "Иван Фомин" и судового имущества</v>
      </c>
      <c r="G8892" s="22" t="s">
        <v>861</v>
      </c>
      <c r="H8892" s="22" t="s">
        <v>861</v>
      </c>
      <c r="I8892" s="26">
        <v>43581.706944444399</v>
      </c>
      <c r="J8892" s="23" t="str">
        <f>HYPERLINK("https://www.spark-marketing.ru/Card/Person/682935", "ООО ОП""ГРАНД-ВЫБОРГ""")</f>
        <v>ООО ОП"ГРАНД-ВЫБОРГ"</v>
      </c>
      <c r="K8892" s="24" t="s">
        <v>11213</v>
      </c>
      <c r="L8892" s="22" t="s">
        <v>10</v>
      </c>
      <c r="M8892" s="25">
        <v>376616.7</v>
      </c>
      <c r="N8892" s="27">
        <v>0</v>
      </c>
    </row>
    <row r="8893" spans="1:14" hidden="1" outlineLevel="1" x14ac:dyDescent="0.2">
      <c r="A8893" s="23" t="str">
        <f>HYPERLINK("https://www.spark-marketing.ru/Card/Person/27324", "ВЫБОРГСКАЯ ТАМОЖНЯ")</f>
        <v>ВЫБОРГСКАЯ ТАМОЖНЯ</v>
      </c>
      <c r="B8893" s="24" t="s">
        <v>11211</v>
      </c>
      <c r="C8893" s="25">
        <v>376616.7</v>
      </c>
      <c r="D8893" s="22" t="s">
        <v>11212</v>
      </c>
      <c r="E8893" s="22" t="s">
        <v>68</v>
      </c>
      <c r="F8893" s="23" t="str">
        <f>HYPERLINK("https://www.spark-marketing.ru/Card/Lot/70143274", "Оказание услуг по часовой охране среднего таможенного судна ""Иван Фомин"" и судового имущества")</f>
        <v>Оказание услуг по часовой охране среднего таможенного судна "Иван Фомин" и судового имущества</v>
      </c>
      <c r="G8893" s="22" t="s">
        <v>861</v>
      </c>
      <c r="H8893" s="22" t="s">
        <v>861</v>
      </c>
      <c r="I8893" s="26">
        <v>43581.706944444399</v>
      </c>
      <c r="J8893" s="23" t="str">
        <f>HYPERLINK("https://www.spark-marketing.ru/Card/Person/434011", "ООО ""ОП ""ПРИОРИТЕТ""")</f>
        <v>ООО "ОП "ПРИОРИТЕТ"</v>
      </c>
      <c r="K8893" s="24" t="s">
        <v>11214</v>
      </c>
      <c r="L8893" s="28" t="s">
        <v>52</v>
      </c>
      <c r="M8893" s="25">
        <v>376616.7</v>
      </c>
      <c r="N8893" s="27">
        <v>0</v>
      </c>
    </row>
    <row r="8894" spans="1:14" ht="12.75" x14ac:dyDescent="0.2">
      <c r="A8894" s="23" t="str">
        <f>HYPERLINK("https://www.spark-marketing.ru/Card/Person/8312", "УСД В БЕЛГОРОДСКОЙ ОБЛАСТИ")</f>
        <v>УСД В БЕЛГОРОДСКОЙ ОБЛАСТИ</v>
      </c>
      <c r="B8894" s="24" t="s">
        <v>11215</v>
      </c>
      <c r="C8894" s="25">
        <v>486314.4</v>
      </c>
      <c r="D8894" s="22" t="s">
        <v>11216</v>
      </c>
      <c r="E8894" s="22" t="s">
        <v>9650</v>
      </c>
      <c r="F8894" s="23" t="str">
        <f>HYPERLINK("https://www.spark-marketing.ru/Card/Lot/70141767", "Охрана объектов посредством ПЦН районных (городских) судов Белгородской области")</f>
        <v>Охрана объектов посредством ПЦН районных (городских) судов Белгородской области</v>
      </c>
      <c r="G8894" s="22" t="s">
        <v>176</v>
      </c>
      <c r="H8894" s="22" t="s">
        <v>176</v>
      </c>
      <c r="I8894" s="26">
        <v>43581.668749999997</v>
      </c>
      <c r="J8894" s="23" t="str">
        <f>HYPERLINK("https://www.spark-marketing.ru/Card/Person/4371401", "ФГКУ ""УВО ВНГ РОССИИ ПО БЕЛГОРОДСКОЙ ОБЛАСТИ""")</f>
        <v>ФГКУ "УВО ВНГ РОССИИ ПО БЕЛГОРОДСКОЙ ОБЛАСТИ"</v>
      </c>
      <c r="K8894" s="24" t="s">
        <v>5579</v>
      </c>
      <c r="L8894" s="22" t="s">
        <v>10</v>
      </c>
      <c r="M8894" s="25">
        <v>486314.4</v>
      </c>
      <c r="N8894" s="27">
        <v>0</v>
      </c>
    </row>
    <row r="8895" spans="1:14" x14ac:dyDescent="0.15">
      <c r="A8895" s="23" t="str">
        <f>HYPERLINK("https://www.spark-marketing.ru/Card/Person/4072", "ФГБОУ ВО ""ПОВОЛЖСКАЯ ГАФКСИТ""")</f>
        <v>ФГБОУ ВО "ПОВОЛЖСКАЯ ГАФКСИТ"</v>
      </c>
      <c r="B8895" s="24" t="s">
        <v>11217</v>
      </c>
      <c r="C8895" s="25">
        <v>492533.33</v>
      </c>
      <c r="D8895" s="22" t="s">
        <v>11218</v>
      </c>
      <c r="E8895" s="22" t="s">
        <v>103</v>
      </c>
      <c r="F8895" s="23" t="str">
        <f>HYPERLINK("https://www.spark-marketing.ru/Card/Lot/70141655", "Оказание услуг по техническому обслуживанию систем видеонаблюдения УСК ""ДВВС""")</f>
        <v>Оказание услуг по техническому обслуживанию систем видеонаблюдения УСК "ДВВС"</v>
      </c>
      <c r="G8895" s="22" t="s">
        <v>204</v>
      </c>
      <c r="H8895" s="22" t="s">
        <v>303</v>
      </c>
      <c r="I8895" s="26">
        <v>43581.677777777797</v>
      </c>
      <c r="J8895" s="28" t="s">
        <v>52</v>
      </c>
      <c r="K8895" s="28" t="s">
        <v>52</v>
      </c>
      <c r="L8895" s="28" t="s">
        <v>52</v>
      </c>
      <c r="M8895" s="28" t="s">
        <v>52</v>
      </c>
      <c r="N8895" s="28" t="s">
        <v>52</v>
      </c>
    </row>
    <row r="8896" spans="1:14" ht="12.75" hidden="1" outlineLevel="1" x14ac:dyDescent="0.2">
      <c r="A8896" s="23" t="str">
        <f>HYPERLINK("https://www.spark-marketing.ru/Card/Person/4072", "ФГБОУ ВО ""ПОВОЛЖСКАЯ ГАФКСИТ""")</f>
        <v>ФГБОУ ВО "ПОВОЛЖСКАЯ ГАФКСИТ"</v>
      </c>
      <c r="B8896" s="24" t="s">
        <v>11217</v>
      </c>
      <c r="C8896" s="25">
        <v>492533.33</v>
      </c>
      <c r="D8896" s="22" t="s">
        <v>11218</v>
      </c>
      <c r="E8896" s="22" t="s">
        <v>103</v>
      </c>
      <c r="F8896" s="23" t="str">
        <f>HYPERLINK("https://www.spark-marketing.ru/Card/Lot/70141655", "Оказание услуг по техническому обслуживанию систем видеонаблюдения УСК ""ДВВС""")</f>
        <v>Оказание услуг по техническому обслуживанию систем видеонаблюдения УСК "ДВВС"</v>
      </c>
      <c r="G8896" s="22" t="s">
        <v>204</v>
      </c>
      <c r="H8896" s="22" t="s">
        <v>303</v>
      </c>
      <c r="I8896" s="26">
        <v>43581.677777777797</v>
      </c>
      <c r="J8896" s="23" t="str">
        <f>HYPERLINK("https://www.spark-marketing.ru/Card/Person/2564247", "ООО ""ПРОФМОНТАЖСЕРВИС""")</f>
        <v>ООО "ПРОФМОНТАЖСЕРВИС"</v>
      </c>
      <c r="K8896" s="24" t="s">
        <v>11219</v>
      </c>
      <c r="L8896" s="22" t="s">
        <v>10</v>
      </c>
      <c r="M8896" s="25">
        <v>279000</v>
      </c>
      <c r="N8896" s="27">
        <v>0.43354087326435348</v>
      </c>
    </row>
    <row r="8897" spans="1:14" hidden="1" outlineLevel="1" x14ac:dyDescent="0.2">
      <c r="A8897" s="23" t="str">
        <f>HYPERLINK("https://www.spark-marketing.ru/Card/Person/4072", "ФГБОУ ВО ""ПОВОЛЖСКАЯ ГАФКСИТ""")</f>
        <v>ФГБОУ ВО "ПОВОЛЖСКАЯ ГАФКСИТ"</v>
      </c>
      <c r="B8897" s="24" t="s">
        <v>11217</v>
      </c>
      <c r="C8897" s="25">
        <v>492533.33</v>
      </c>
      <c r="D8897" s="22" t="s">
        <v>11218</v>
      </c>
      <c r="E8897" s="22" t="s">
        <v>103</v>
      </c>
      <c r="F8897" s="23" t="str">
        <f>HYPERLINK("https://www.spark-marketing.ru/Card/Lot/70141655", "Оказание услуг по техническому обслуживанию систем видеонаблюдения УСК ""ДВВС""")</f>
        <v>Оказание услуг по техническому обслуживанию систем видеонаблюдения УСК "ДВВС"</v>
      </c>
      <c r="G8897" s="22" t="s">
        <v>204</v>
      </c>
      <c r="H8897" s="22" t="s">
        <v>303</v>
      </c>
      <c r="I8897" s="26">
        <v>43581.677777777797</v>
      </c>
      <c r="J8897" s="23" t="str">
        <f>HYPERLINK("https://www.spark-marketing.ru/Card/Person/371074", "ООО ""СПМ""")</f>
        <v>ООО "СПМ"</v>
      </c>
      <c r="K8897" s="24" t="s">
        <v>5464</v>
      </c>
      <c r="L8897" s="28" t="s">
        <v>52</v>
      </c>
      <c r="M8897" s="25">
        <v>432537.33</v>
      </c>
      <c r="N8897" s="27">
        <v>0.12181104576212132</v>
      </c>
    </row>
    <row r="8898" spans="1:14" hidden="1" outlineLevel="1" x14ac:dyDescent="0.2">
      <c r="A8898" s="23" t="str">
        <f>HYPERLINK("https://www.spark-marketing.ru/Card/Person/4072", "ФГБОУ ВО ""ПОВОЛЖСКАЯ ГАФКСИТ""")</f>
        <v>ФГБОУ ВО "ПОВОЛЖСКАЯ ГАФКСИТ"</v>
      </c>
      <c r="B8898" s="24" t="s">
        <v>11217</v>
      </c>
      <c r="C8898" s="25">
        <v>492533.33</v>
      </c>
      <c r="D8898" s="22" t="s">
        <v>11218</v>
      </c>
      <c r="E8898" s="22" t="s">
        <v>103</v>
      </c>
      <c r="F8898" s="23" t="str">
        <f>HYPERLINK("https://www.spark-marketing.ru/Card/Lot/70141655", "Оказание услуг по техническому обслуживанию систем видеонаблюдения УСК ""ДВВС""")</f>
        <v>Оказание услуг по техническому обслуживанию систем видеонаблюдения УСК "ДВВС"</v>
      </c>
      <c r="G8898" s="22" t="s">
        <v>204</v>
      </c>
      <c r="H8898" s="22" t="s">
        <v>303</v>
      </c>
      <c r="I8898" s="26">
        <v>43581.677777777797</v>
      </c>
      <c r="J8898" s="23" t="str">
        <f>HYPERLINK("https://www.spark-marketing.ru/Card/Person/399134", "ООО ""КБ СПЕЦТЕХЗАЩИТА""")</f>
        <v>ООО "КБ СПЕЦТЕХЗАЩИТА"</v>
      </c>
      <c r="K8898" s="24" t="s">
        <v>11220</v>
      </c>
      <c r="L8898" s="28" t="s">
        <v>52</v>
      </c>
      <c r="M8898" s="25">
        <v>282000</v>
      </c>
      <c r="N8898" s="27">
        <v>0.42744991491235729</v>
      </c>
    </row>
    <row r="8899" spans="1:14" hidden="1" outlineLevel="1" x14ac:dyDescent="0.2">
      <c r="A8899" s="23" t="str">
        <f>HYPERLINK("https://www.spark-marketing.ru/Card/Person/4072", "ФГБОУ ВО ""ПОВОЛЖСКАЯ ГАФКСИТ""")</f>
        <v>ФГБОУ ВО "ПОВОЛЖСКАЯ ГАФКСИТ"</v>
      </c>
      <c r="B8899" s="24" t="s">
        <v>11217</v>
      </c>
      <c r="C8899" s="25">
        <v>492533.33</v>
      </c>
      <c r="D8899" s="22" t="s">
        <v>11218</v>
      </c>
      <c r="E8899" s="22" t="s">
        <v>103</v>
      </c>
      <c r="F8899" s="23" t="str">
        <f>HYPERLINK("https://www.spark-marketing.ru/Card/Lot/70141655", "Оказание услуг по техническому обслуживанию систем видеонаблюдения УСК ""ДВВС""")</f>
        <v>Оказание услуг по техническому обслуживанию систем видеонаблюдения УСК "ДВВС"</v>
      </c>
      <c r="G8899" s="22" t="s">
        <v>204</v>
      </c>
      <c r="H8899" s="22" t="s">
        <v>303</v>
      </c>
      <c r="I8899" s="26">
        <v>43581.677777777797</v>
      </c>
      <c r="J8899" s="23" t="str">
        <f>HYPERLINK("https://www.spark-marketing.ru/Card/Person/597913", "ООО ""ТЕХНОТЕЛ""")</f>
        <v>ООО "ТЕХНОТЕЛ"</v>
      </c>
      <c r="K8899" s="24" t="s">
        <v>11221</v>
      </c>
      <c r="L8899" s="28" t="s">
        <v>52</v>
      </c>
      <c r="M8899" s="25">
        <v>307000</v>
      </c>
      <c r="N8899" s="27">
        <v>0.37669192864572232</v>
      </c>
    </row>
    <row r="8900" spans="1:14" x14ac:dyDescent="0.2">
      <c r="A8900" s="23" t="str">
        <f>HYPERLINK("https://www.spark-marketing.ru/Card/Person/4366067", "ООО ""ГАЗПРОМ ГЕОЛОГОРАЗВЕДКА""")</f>
        <v>ООО "ГАЗПРОМ ГЕОЛОГОРАЗВЕДКА"</v>
      </c>
      <c r="B8900" s="24" t="s">
        <v>11222</v>
      </c>
      <c r="C8900" s="25">
        <v>3003256.8</v>
      </c>
      <c r="D8900" s="22" t="s">
        <v>11223</v>
      </c>
      <c r="E8900" s="22" t="s">
        <v>11224</v>
      </c>
      <c r="F8900" s="23" t="str">
        <f>HYPERLINK("https://www.spark-marketing.ru/Card/Lot/70130767", "Оказание услуг в области транспортной безопасности")</f>
        <v>Оказание услуг в области транспортной безопасности</v>
      </c>
      <c r="G8900" s="22" t="s">
        <v>893</v>
      </c>
      <c r="H8900" s="22" t="s">
        <v>894</v>
      </c>
      <c r="I8900" s="26">
        <v>43581.672488425902</v>
      </c>
      <c r="J8900" s="23" t="str">
        <f>HYPERLINK("https://www.spark-marketing.ru/Card/Person/-1", "неизвестно")</f>
        <v>неизвестно</v>
      </c>
      <c r="K8900" s="28" t="s">
        <v>52</v>
      </c>
      <c r="L8900" s="22" t="s">
        <v>10</v>
      </c>
      <c r="M8900" s="25">
        <v>2999353.76</v>
      </c>
      <c r="N8900" s="27">
        <v>1.2996024848757521E-3</v>
      </c>
    </row>
    <row r="8901" spans="1:14" x14ac:dyDescent="0.15">
      <c r="A8901" s="23" t="str">
        <f>HYPERLINK("https://www.spark-marketing.ru/Card/Person/9016", "ГБУЗ ""ГП № 5 ДЗМ""")</f>
        <v>ГБУЗ "ГП № 5 ДЗМ"</v>
      </c>
      <c r="B8901" s="24" t="s">
        <v>11225</v>
      </c>
      <c r="C8901" s="25">
        <v>577439.76</v>
      </c>
      <c r="D8901" s="22" t="s">
        <v>11226</v>
      </c>
      <c r="E8901" s="22" t="s">
        <v>84</v>
      </c>
      <c r="F8901" s="23" t="str">
        <f>HYPERLINK("https://www.spark-marketing.ru/Card/Lot/70141909", "Выполнение работ по модернизации средств сигнализации в комнатах хранения наркотиков на объектах ГБУЗ «ГП №5 ДЗМ»")</f>
        <v>Выполнение работ по модернизации средств сигнализации в комнатах хранения наркотиков на объектах ГБУЗ «ГП №5 ДЗМ»</v>
      </c>
      <c r="G8901" s="22" t="s">
        <v>55</v>
      </c>
      <c r="H8901" s="22" t="s">
        <v>55</v>
      </c>
      <c r="I8901" s="26">
        <v>43581.663194444402</v>
      </c>
      <c r="J8901" s="28" t="s">
        <v>52</v>
      </c>
      <c r="K8901" s="28" t="s">
        <v>52</v>
      </c>
      <c r="L8901" s="28" t="s">
        <v>52</v>
      </c>
      <c r="M8901" s="28" t="s">
        <v>52</v>
      </c>
      <c r="N8901" s="28" t="s">
        <v>52</v>
      </c>
    </row>
    <row r="8902" spans="1:14" hidden="1" outlineLevel="1" x14ac:dyDescent="0.2">
      <c r="A8902" s="23" t="str">
        <f>HYPERLINK("https://www.spark-marketing.ru/Card/Person/9016", "ГБУЗ ""ГП № 5 ДЗМ""")</f>
        <v>ГБУЗ "ГП № 5 ДЗМ"</v>
      </c>
      <c r="B8902" s="24" t="s">
        <v>11225</v>
      </c>
      <c r="C8902" s="25">
        <v>577439.76</v>
      </c>
      <c r="D8902" s="22" t="s">
        <v>11226</v>
      </c>
      <c r="E8902" s="22" t="s">
        <v>84</v>
      </c>
      <c r="F8902" s="23" t="str">
        <f>HYPERLINK("https://www.spark-marketing.ru/Card/Lot/70141909", "Выполнение работ по модернизации средств сигнализации в комнатах хранения наркотиков на объектах ГБУЗ «ГП №5 ДЗМ»")</f>
        <v>Выполнение работ по модернизации средств сигнализации в комнатах хранения наркотиков на объектах ГБУЗ «ГП №5 ДЗМ»</v>
      </c>
      <c r="G8902" s="22" t="s">
        <v>55</v>
      </c>
      <c r="H8902" s="22" t="s">
        <v>55</v>
      </c>
      <c r="I8902" s="26">
        <v>43581.663194444402</v>
      </c>
      <c r="J8902" s="23" t="str">
        <f>HYPERLINK("https://www.spark-marketing.ru/Card/Person/6492460", "ООО ""ЕРМАК""")</f>
        <v>ООО "ЕРМАК"</v>
      </c>
      <c r="K8902" s="24" t="s">
        <v>11227</v>
      </c>
      <c r="L8902" s="28" t="s">
        <v>52</v>
      </c>
      <c r="M8902" s="25">
        <v>563003.76</v>
      </c>
      <c r="N8902" s="27">
        <v>2.5000010390694261E-2</v>
      </c>
    </row>
    <row r="8903" spans="1:14" hidden="1" outlineLevel="1" x14ac:dyDescent="0.2">
      <c r="A8903" s="23" t="str">
        <f>HYPERLINK("https://www.spark-marketing.ru/Card/Person/9016", "ГБУЗ ""ГП № 5 ДЗМ""")</f>
        <v>ГБУЗ "ГП № 5 ДЗМ"</v>
      </c>
      <c r="B8903" s="24" t="s">
        <v>11225</v>
      </c>
      <c r="C8903" s="25">
        <v>577439.76</v>
      </c>
      <c r="D8903" s="22" t="s">
        <v>11226</v>
      </c>
      <c r="E8903" s="22" t="s">
        <v>84</v>
      </c>
      <c r="F8903" s="23" t="str">
        <f>HYPERLINK("https://www.spark-marketing.ru/Card/Lot/70141909", "Выполнение работ по модернизации средств сигнализации в комнатах хранения наркотиков на объектах ГБУЗ «ГП №5 ДЗМ»")</f>
        <v>Выполнение работ по модернизации средств сигнализации в комнатах хранения наркотиков на объектах ГБУЗ «ГП №5 ДЗМ»</v>
      </c>
      <c r="G8903" s="22" t="s">
        <v>55</v>
      </c>
      <c r="H8903" s="22" t="s">
        <v>55</v>
      </c>
      <c r="I8903" s="26">
        <v>43581.663194444402</v>
      </c>
      <c r="J8903" s="23" t="str">
        <f>HYPERLINK("https://www.spark-marketing.ru/Card/Person/6262263", "ООО ""АЛЫЙ ПАРУС ТЕХНО ПРО""")</f>
        <v>ООО "АЛЫЙ ПАРУС ТЕХНО ПРО"</v>
      </c>
      <c r="K8903" s="24" t="s">
        <v>1749</v>
      </c>
      <c r="L8903" s="28" t="s">
        <v>52</v>
      </c>
      <c r="M8903" s="25">
        <v>485049.36</v>
      </c>
      <c r="N8903" s="27">
        <v>0.16000006650044327</v>
      </c>
    </row>
    <row r="8904" spans="1:14" ht="12.75" hidden="1" outlineLevel="1" x14ac:dyDescent="0.2">
      <c r="A8904" s="23" t="str">
        <f>HYPERLINK("https://www.spark-marketing.ru/Card/Person/9016", "ГБУЗ ""ГП № 5 ДЗМ""")</f>
        <v>ГБУЗ "ГП № 5 ДЗМ"</v>
      </c>
      <c r="B8904" s="24" t="s">
        <v>11225</v>
      </c>
      <c r="C8904" s="25">
        <v>577439.76</v>
      </c>
      <c r="D8904" s="22" t="s">
        <v>11226</v>
      </c>
      <c r="E8904" s="22" t="s">
        <v>84</v>
      </c>
      <c r="F8904" s="23" t="str">
        <f>HYPERLINK("https://www.spark-marketing.ru/Card/Lot/70141909", "Выполнение работ по модернизации средств сигнализации в комнатах хранения наркотиков на объектах ГБУЗ «ГП №5 ДЗМ»")</f>
        <v>Выполнение работ по модернизации средств сигнализации в комнатах хранения наркотиков на объектах ГБУЗ «ГП №5 ДЗМ»</v>
      </c>
      <c r="G8904" s="22" t="s">
        <v>55</v>
      </c>
      <c r="H8904" s="22" t="s">
        <v>55</v>
      </c>
      <c r="I8904" s="26">
        <v>43581.663194444402</v>
      </c>
      <c r="J8904" s="23" t="str">
        <f>HYPERLINK("https://www.spark-marketing.ru/Card/Person/2595569", "ООО ""ИСК""")</f>
        <v>ООО "ИСК"</v>
      </c>
      <c r="K8904" s="24" t="s">
        <v>11228</v>
      </c>
      <c r="L8904" s="22" t="s">
        <v>10</v>
      </c>
      <c r="M8904" s="25">
        <v>482162.16</v>
      </c>
      <c r="N8904" s="27">
        <v>0.16500006857858213</v>
      </c>
    </row>
    <row r="8905" spans="1:14" x14ac:dyDescent="0.15">
      <c r="A8905" s="23" t="str">
        <f>HYPERLINK("https://www.spark-marketing.ru/Card/Person/171770", "УПРАВЛЕНИЕ МИНЮСТА РОССИИ ПО РЕСПУБЛИКЕ КОМИ")</f>
        <v>УПРАВЛЕНИЕ МИНЮСТА РОССИИ ПО РЕСПУБЛИКЕ КОМИ</v>
      </c>
      <c r="B8905" s="24" t="s">
        <v>3376</v>
      </c>
      <c r="C8905" s="25">
        <v>81265.759999999995</v>
      </c>
      <c r="D8905" s="22" t="s">
        <v>11229</v>
      </c>
      <c r="E8905" s="22" t="s">
        <v>53</v>
      </c>
      <c r="F8905" s="23" t="str">
        <f>HYPERLINK("https://www.spark-marketing.ru/Card/Lot/70765337", "охрана объектов")</f>
        <v>охрана объектов</v>
      </c>
      <c r="G8905" s="22" t="s">
        <v>538</v>
      </c>
      <c r="H8905" s="22" t="s">
        <v>707</v>
      </c>
      <c r="I8905" s="26">
        <v>43581.637407407397</v>
      </c>
      <c r="J8905" s="28" t="s">
        <v>52</v>
      </c>
      <c r="K8905" s="28" t="s">
        <v>52</v>
      </c>
      <c r="L8905" s="28" t="s">
        <v>52</v>
      </c>
      <c r="M8905" s="28" t="s">
        <v>52</v>
      </c>
      <c r="N8905" s="28" t="s">
        <v>52</v>
      </c>
    </row>
    <row r="8906" spans="1:14" x14ac:dyDescent="0.15">
      <c r="A8906" s="23" t="str">
        <f>HYPERLINK("https://www.spark-marketing.ru/Card/Person/4379766", "МА ВМО НАХИМОВСКОГО МО")</f>
        <v>МА ВМО НАХИМОВСКОГО МО</v>
      </c>
      <c r="B8906" s="24" t="s">
        <v>4228</v>
      </c>
      <c r="C8906" s="25">
        <v>75153</v>
      </c>
      <c r="D8906" s="22" t="s">
        <v>11230</v>
      </c>
      <c r="E8906" s="22" t="s">
        <v>68</v>
      </c>
      <c r="F8906" s="23" t="str">
        <f>HYPERLINK("https://www.spark-marketing.ru/Card/Lot/70140565", "Мероприятия, направленные на обеспечение общественного порядка во внутригородском муниципальном образовании города Севастополя Нахимовского муниципального округа (Муниципальная программа ""Правопорядок внутригородского муниципального образования горо...")</f>
        <v>Мероприятия, направленные на обеспечение общественного порядка во внутригородском муниципальном образовании города Севастополя Нахимовского муниципального округа (Муниципальная программа "Правопорядок внутригородского муниципального образования горо...</v>
      </c>
      <c r="G8906" s="22" t="s">
        <v>714</v>
      </c>
      <c r="H8906" s="22" t="s">
        <v>714</v>
      </c>
      <c r="I8906" s="26">
        <v>43581.657638888901</v>
      </c>
      <c r="J8906" s="23" t="str">
        <f>HYPERLINK("https://www.spark-marketing.ru/Card/Person/4707955", "ФОНД ""ТЫ - ЛЕГЕНДА""")</f>
        <v>ФОНД "ТЫ - ЛЕГЕНДА"</v>
      </c>
      <c r="K8906" s="24" t="s">
        <v>11231</v>
      </c>
      <c r="L8906" s="22" t="s">
        <v>10</v>
      </c>
      <c r="M8906" s="28" t="s">
        <v>52</v>
      </c>
      <c r="N8906" s="28" t="s">
        <v>52</v>
      </c>
    </row>
    <row r="8907" spans="1:14" x14ac:dyDescent="0.15">
      <c r="A8907" s="23" t="str">
        <f>HYPERLINK("https://www.spark-marketing.ru/Card/Person/20485", "СПБ ГБУ ""КРОНШТАДТСКИЙ ОСЦ""")</f>
        <v>СПБ ГБУ "КРОНШТАДТСКИЙ ОСЦ"</v>
      </c>
      <c r="B8907" s="24" t="s">
        <v>11232</v>
      </c>
      <c r="C8907" s="25">
        <v>102003</v>
      </c>
      <c r="D8907" s="22" t="s">
        <v>11233</v>
      </c>
      <c r="E8907" s="22" t="s">
        <v>11234</v>
      </c>
      <c r="F8907" s="23" t="str">
        <f>HYPERLINK("https://www.spark-marketing.ru/Card/Lot/70141414", "Выполнение работ по установке тревожной сигнализации (ТС) и по установке системы контроля и управления доступом (СКУД) в здании по адресу: Санкт-Петербург, г. Кронштадт, ул. Гидростроителей, д.6 (клуб «Эйс»)")</f>
        <v>Выполнение работ по установке тревожной сигнализации (ТС) и по установке системы контроля и управления доступом (СКУД) в здании по адресу: Санкт-Петербург, г. Кронштадт, ул. Гидростроителей, д.6 (клуб «Эйс»)</v>
      </c>
      <c r="G8907" s="22" t="s">
        <v>89</v>
      </c>
      <c r="H8907" s="22" t="s">
        <v>89</v>
      </c>
      <c r="I8907" s="26">
        <v>43581.649305555598</v>
      </c>
      <c r="J8907" s="23" t="str">
        <f>HYPERLINK("https://www.spark-marketing.ru/Card/Person/450990", "ООО ""СЕЙГАЛ""")</f>
        <v>ООО "СЕЙГАЛ"</v>
      </c>
      <c r="K8907" s="24" t="s">
        <v>11235</v>
      </c>
      <c r="L8907" s="28" t="s">
        <v>52</v>
      </c>
      <c r="M8907" s="28" t="s">
        <v>52</v>
      </c>
      <c r="N8907" s="28" t="s">
        <v>52</v>
      </c>
    </row>
    <row r="8908" spans="1:14" hidden="1" outlineLevel="1" x14ac:dyDescent="0.15">
      <c r="A8908" s="23" t="str">
        <f>HYPERLINK("https://www.spark-marketing.ru/Card/Person/20485", "СПБ ГБУ ""КРОНШТАДТСКИЙ ОСЦ""")</f>
        <v>СПБ ГБУ "КРОНШТАДТСКИЙ ОСЦ"</v>
      </c>
      <c r="B8908" s="24" t="s">
        <v>11232</v>
      </c>
      <c r="C8908" s="25">
        <v>102003</v>
      </c>
      <c r="D8908" s="22" t="s">
        <v>11233</v>
      </c>
      <c r="E8908" s="22" t="s">
        <v>11234</v>
      </c>
      <c r="F8908" s="23" t="str">
        <f>HYPERLINK("https://www.spark-marketing.ru/Card/Lot/70141414", "Выполнение работ по установке тревожной сигнализации (ТС) и по установке системы контроля и управления доступом (СКУД) в здании по адресу: Санкт-Петербург, г. Кронштадт, ул. Гидростроителей, д.6 (клуб «Эйс»)")</f>
        <v>Выполнение работ по установке тревожной сигнализации (ТС) и по установке системы контроля и управления доступом (СКУД) в здании по адресу: Санкт-Петербург, г. Кронштадт, ул. Гидростроителей, д.6 (клуб «Эйс»)</v>
      </c>
      <c r="G8908" s="22" t="s">
        <v>89</v>
      </c>
      <c r="H8908" s="22" t="s">
        <v>89</v>
      </c>
      <c r="I8908" s="26">
        <v>43581.649305555598</v>
      </c>
      <c r="J8908" s="23" t="str">
        <f>HYPERLINK("https://www.spark-marketing.ru/Card/Person/450990", "ООО ""СЕЙГАЛ""")</f>
        <v>ООО "СЕЙГАЛ"</v>
      </c>
      <c r="K8908" s="24" t="s">
        <v>11235</v>
      </c>
      <c r="L8908" s="22" t="s">
        <v>10</v>
      </c>
      <c r="M8908" s="28" t="s">
        <v>52</v>
      </c>
      <c r="N8908" s="28" t="s">
        <v>52</v>
      </c>
    </row>
    <row r="8909" spans="1:14" x14ac:dyDescent="0.15">
      <c r="A8909" s="23" t="str">
        <f>HYPERLINK("https://www.spark-marketing.ru/Card/Person/58517", "СПЕЦСВЯЗЬ ФСО РОССИИ")</f>
        <v>СПЕЦСВЯЗЬ ФСО РОССИИ</v>
      </c>
      <c r="B8909" s="24" t="s">
        <v>11236</v>
      </c>
      <c r="C8909" s="25">
        <v>2483333.33</v>
      </c>
      <c r="D8909" s="22" t="s">
        <v>11237</v>
      </c>
      <c r="E8909" s="22" t="s">
        <v>298</v>
      </c>
      <c r="F8909" s="23" t="str">
        <f>HYPERLINK("https://www.spark-marketing.ru/Card/Lot/70139225", "Оказание услуг по техническому сопровождению Автоматизированной системы на объекте №410")</f>
        <v>Оказание услуг по техническому сопровождению Автоматизированной системы на объекте №410</v>
      </c>
      <c r="G8909" s="22" t="s">
        <v>55</v>
      </c>
      <c r="H8909" s="22" t="s">
        <v>55</v>
      </c>
      <c r="I8909" s="26">
        <v>43581.6472222222</v>
      </c>
      <c r="J8909" s="28" t="s">
        <v>52</v>
      </c>
      <c r="K8909" s="28" t="s">
        <v>52</v>
      </c>
      <c r="L8909" s="28" t="s">
        <v>52</v>
      </c>
      <c r="M8909" s="28" t="s">
        <v>52</v>
      </c>
      <c r="N8909" s="28" t="s">
        <v>52</v>
      </c>
    </row>
    <row r="8910" spans="1:14" x14ac:dyDescent="0.15">
      <c r="A8910" s="23" t="str">
        <f>HYPERLINK("https://www.spark-marketing.ru/Card/Person/62451", "ЗАПАДНО-СИБИРСКОЕ СУТ СК РОССИИ")</f>
        <v>ЗАПАДНО-СИБИРСКОЕ СУТ СК РОССИИ</v>
      </c>
      <c r="B8910" s="24" t="s">
        <v>11238</v>
      </c>
      <c r="C8910" s="25">
        <v>9862.64</v>
      </c>
      <c r="D8910" s="22" t="s">
        <v>11239</v>
      </c>
      <c r="E8910" s="22" t="s">
        <v>68</v>
      </c>
      <c r="F8910" s="23" t="str">
        <f>HYPERLINK("https://www.spark-marketing.ru/Card/Lot/70127048", "Оказание услуг по охране с помощью кнопки тревожной сигнализации объекта Западно-Сибирского следственного управления на транспорте Следственного комитета Российской Федерации (г. Красноярск)")</f>
        <v>Оказание услуг по охране с помощью кнопки тревожной сигнализации объекта Западно-Сибирского следственного управления на транспорте Следственного комитета Российской Федерации (г. Красноярск)</v>
      </c>
      <c r="G8910" s="22" t="s">
        <v>640</v>
      </c>
      <c r="H8910" s="22" t="s">
        <v>640</v>
      </c>
      <c r="I8910" s="26">
        <v>43581.647916666698</v>
      </c>
      <c r="J8910" s="28" t="s">
        <v>52</v>
      </c>
      <c r="K8910" s="28" t="s">
        <v>52</v>
      </c>
      <c r="L8910" s="28" t="s">
        <v>52</v>
      </c>
      <c r="M8910" s="28" t="s">
        <v>52</v>
      </c>
      <c r="N8910" s="28" t="s">
        <v>52</v>
      </c>
    </row>
    <row r="8911" spans="1:14" x14ac:dyDescent="0.2">
      <c r="A8911" s="23" t="str">
        <f>HYPERLINK("https://www.spark-marketing.ru/Card/Person/1458057", "ГАПОУ СО ""ПКТИМ""")</f>
        <v>ГАПОУ СО "ПКТИМ"</v>
      </c>
      <c r="B8911" s="24" t="s">
        <v>11240</v>
      </c>
      <c r="C8911" s="25">
        <v>2054400</v>
      </c>
      <c r="D8911" s="22" t="s">
        <v>11241</v>
      </c>
      <c r="E8911" s="22" t="s">
        <v>144</v>
      </c>
      <c r="F8911" s="23" t="str">
        <f>HYPERLINK("https://www.spark-marketing.ru/Card/Lot/70134971", "Оказание услуги по охране объекта, соблюдение пропускного режима")</f>
        <v>Оказание услуги по охране объекта, соблюдение пропускного режима</v>
      </c>
      <c r="G8911" s="22" t="s">
        <v>80</v>
      </c>
      <c r="H8911" s="22" t="s">
        <v>80</v>
      </c>
      <c r="I8911" s="26">
        <v>43581.629016203697</v>
      </c>
      <c r="J8911" s="23" t="str">
        <f>HYPERLINK("https://www.spark-marketing.ru/Card/Person/508415", "ООО ""ЧОП ""БОЕВОЕ СОДРУЖЕСТВО""")</f>
        <v>ООО "ЧОП "БОЕВОЕ СОДРУЖЕСТВО"</v>
      </c>
      <c r="K8911" s="24" t="s">
        <v>11242</v>
      </c>
      <c r="L8911" s="28" t="s">
        <v>52</v>
      </c>
      <c r="M8911" s="25">
        <v>0</v>
      </c>
      <c r="N8911" s="27">
        <v>1</v>
      </c>
    </row>
    <row r="8912" spans="1:14" x14ac:dyDescent="0.2">
      <c r="A8912" s="23" t="str">
        <f>HYPERLINK("https://www.spark-marketing.ru/Card/Person/30851", "ДОНСКОЙ ГОСУДАРСТВЕННЫЙ ТЕХНИЧЕСКИЙ УНИВЕРСИТЕТ; ДГТУ")</f>
        <v>ДОНСКОЙ ГОСУДАРСТВЕННЫЙ ТЕХНИЧЕСКИЙ УНИВЕРСИТЕТ; ДГТУ</v>
      </c>
      <c r="B8912" s="24" t="s">
        <v>6027</v>
      </c>
      <c r="C8912" s="25">
        <v>21888000</v>
      </c>
      <c r="D8912" s="22" t="s">
        <v>11243</v>
      </c>
      <c r="E8912" s="22" t="s">
        <v>68</v>
      </c>
      <c r="F8912" s="23" t="str">
        <f>HYPERLINK("https://www.spark-marketing.ru/Card/Lot/69983056", "Оказание услуг по обеспечению общественного порядка и организации пропускного режима на объектах университета (охраны объектов)")</f>
        <v>Оказание услуг по обеспечению общественного порядка и организации пропускного режима на объектах университета (охраны объектов)</v>
      </c>
      <c r="G8912" s="22" t="s">
        <v>402</v>
      </c>
      <c r="H8912" s="22" t="s">
        <v>402</v>
      </c>
      <c r="I8912" s="26">
        <v>43577.601388888899</v>
      </c>
      <c r="J8912" s="23" t="str">
        <f>HYPERLINK("https://www.spark-marketing.ru/Card/Person/5951018", "ООО ЧОП ""СКОРПИОН-ДОН""")</f>
        <v>ООО ЧОП "СКОРПИОН-ДОН"</v>
      </c>
      <c r="K8912" s="24" t="s">
        <v>11244</v>
      </c>
      <c r="L8912" s="28" t="s">
        <v>52</v>
      </c>
      <c r="M8912" s="25">
        <v>21797000</v>
      </c>
      <c r="N8912" s="27">
        <v>4.1575292397660821E-3</v>
      </c>
    </row>
    <row r="8913" spans="1:14" x14ac:dyDescent="0.15">
      <c r="A8913" s="23" t="str">
        <f>HYPERLINK("https://www.spark-marketing.ru/Card/Person/5969512", "УЧРЕЖДЕНИЯ")</f>
        <v>УЧРЕЖДЕНИЯ</v>
      </c>
      <c r="B8913" s="28" t="s">
        <v>52</v>
      </c>
      <c r="C8913" s="28" t="s">
        <v>52</v>
      </c>
      <c r="D8913" s="22" t="s">
        <v>11245</v>
      </c>
      <c r="E8913" s="22" t="s">
        <v>53</v>
      </c>
      <c r="F8913" s="23" t="str">
        <f>HYPERLINK("https://www.spark-marketing.ru/Card/Lot/70141497", "Установка камер видеонаблюдения и тревожных мониторов")</f>
        <v>Установка камер видеонаблюдения и тревожных мониторов</v>
      </c>
      <c r="G8913" s="22" t="s">
        <v>52</v>
      </c>
      <c r="H8913" s="22" t="s">
        <v>52</v>
      </c>
      <c r="I8913" s="26">
        <v>43581.6655439815</v>
      </c>
      <c r="J8913" s="28" t="s">
        <v>52</v>
      </c>
      <c r="K8913" s="28" t="s">
        <v>52</v>
      </c>
      <c r="L8913" s="28" t="s">
        <v>52</v>
      </c>
      <c r="M8913" s="28" t="s">
        <v>52</v>
      </c>
      <c r="N8913" s="28" t="s">
        <v>52</v>
      </c>
    </row>
    <row r="8914" spans="1:14" x14ac:dyDescent="0.15">
      <c r="A8914" s="23" t="str">
        <f>HYPERLINK("https://www.spark-marketing.ru/Card/Person/18873", "УСД В КЕМЕРОВСКОЙ ОБЛАСТИ")</f>
        <v>УСД В КЕМЕРОВСКОЙ ОБЛАСТИ</v>
      </c>
      <c r="B8914" s="24" t="s">
        <v>7512</v>
      </c>
      <c r="C8914" s="25">
        <v>63891.6</v>
      </c>
      <c r="D8914" s="22" t="s">
        <v>11246</v>
      </c>
      <c r="E8914" s="22" t="s">
        <v>68</v>
      </c>
      <c r="F8914" s="23" t="str">
        <f>HYPERLINK("https://www.spark-marketing.ru/Card/Lot/70127915", "оказание охранных услуг с использованием технических средств охранной сигнализации в Управлении Судебного департамента в Кемеровской области")</f>
        <v>оказание охранных услуг с использованием технических средств охранной сигнализации в Управлении Судебного департамента в Кемеровской области</v>
      </c>
      <c r="G8914" s="22" t="s">
        <v>367</v>
      </c>
      <c r="H8914" s="22" t="s">
        <v>367</v>
      </c>
      <c r="I8914" s="26">
        <v>43581.659027777801</v>
      </c>
      <c r="J8914" s="28" t="s">
        <v>52</v>
      </c>
      <c r="K8914" s="28" t="s">
        <v>52</v>
      </c>
      <c r="L8914" s="28" t="s">
        <v>52</v>
      </c>
      <c r="M8914" s="28" t="s">
        <v>52</v>
      </c>
      <c r="N8914" s="28" t="s">
        <v>52</v>
      </c>
    </row>
    <row r="8915" spans="1:14" x14ac:dyDescent="0.15">
      <c r="A8915" s="23" t="str">
        <f>HYPERLINK("https://www.spark-marketing.ru/Card/Person/72688", "ФГБУ ННПЦ МСЭ И РИ МИНТРУДА РОССИИ")</f>
        <v>ФГБУ ННПЦ МСЭ И РИ МИНТРУДА РОССИИ</v>
      </c>
      <c r="B8915" s="24" t="s">
        <v>364</v>
      </c>
      <c r="C8915" s="25">
        <v>99666.64</v>
      </c>
      <c r="D8915" s="22" t="s">
        <v>11247</v>
      </c>
      <c r="E8915" s="22" t="s">
        <v>234</v>
      </c>
      <c r="F8915" s="23" t="str">
        <f>HYPERLINK("https://www.spark-marketing.ru/Card/Lot/70125818", "Оказание услуг по техническому обслуживанию системы видеонаблюдения")</f>
        <v>Оказание услуг по техническому обслуживанию системы видеонаблюдения</v>
      </c>
      <c r="G8915" s="22" t="s">
        <v>367</v>
      </c>
      <c r="H8915" s="22" t="s">
        <v>2640</v>
      </c>
      <c r="I8915" s="26">
        <v>43581.586111111101</v>
      </c>
      <c r="J8915" s="28" t="s">
        <v>52</v>
      </c>
      <c r="K8915" s="28" t="s">
        <v>52</v>
      </c>
      <c r="L8915" s="28" t="s">
        <v>52</v>
      </c>
      <c r="M8915" s="28" t="s">
        <v>52</v>
      </c>
      <c r="N8915" s="28" t="s">
        <v>52</v>
      </c>
    </row>
    <row r="8916" spans="1:14" hidden="1" outlineLevel="1" x14ac:dyDescent="0.2">
      <c r="A8916" s="23" t="str">
        <f>HYPERLINK("https://www.spark-marketing.ru/Card/Person/72688", "ФГБУ ННПЦ МСЭ И РИ МИНТРУДА РОССИИ")</f>
        <v>ФГБУ ННПЦ МСЭ И РИ МИНТРУДА РОССИИ</v>
      </c>
      <c r="B8916" s="24" t="s">
        <v>364</v>
      </c>
      <c r="C8916" s="25">
        <v>99666.64</v>
      </c>
      <c r="D8916" s="22" t="s">
        <v>11247</v>
      </c>
      <c r="E8916" s="22" t="s">
        <v>234</v>
      </c>
      <c r="F8916" s="23" t="str">
        <f>HYPERLINK("https://www.spark-marketing.ru/Card/Lot/70125818", "Оказание услуг по техническому обслуживанию системы видеонаблюдения")</f>
        <v>Оказание услуг по техническому обслуживанию системы видеонаблюдения</v>
      </c>
      <c r="G8916" s="22" t="s">
        <v>367</v>
      </c>
      <c r="H8916" s="22" t="s">
        <v>2640</v>
      </c>
      <c r="I8916" s="26">
        <v>43581.586111111101</v>
      </c>
      <c r="J8916" s="23" t="str">
        <f>HYPERLINK("https://www.spark-marketing.ru/Card/Person/6405585", "Фрезе Юрий Владимирович")</f>
        <v>Фрезе Юрий Владимирович</v>
      </c>
      <c r="K8916" s="24" t="s">
        <v>11248</v>
      </c>
      <c r="L8916" s="28" t="s">
        <v>52</v>
      </c>
      <c r="M8916" s="25">
        <v>84000</v>
      </c>
      <c r="N8916" s="27">
        <v>0.15719040995061137</v>
      </c>
    </row>
    <row r="8917" spans="1:14" ht="12.75" hidden="1" outlineLevel="1" x14ac:dyDescent="0.2">
      <c r="A8917" s="23" t="str">
        <f>HYPERLINK("https://www.spark-marketing.ru/Card/Person/72688", "ФГБУ ННПЦ МСЭ И РИ МИНТРУДА РОССИИ")</f>
        <v>ФГБУ ННПЦ МСЭ И РИ МИНТРУДА РОССИИ</v>
      </c>
      <c r="B8917" s="24" t="s">
        <v>364</v>
      </c>
      <c r="C8917" s="25">
        <v>99666.64</v>
      </c>
      <c r="D8917" s="22" t="s">
        <v>11247</v>
      </c>
      <c r="E8917" s="22" t="s">
        <v>234</v>
      </c>
      <c r="F8917" s="23" t="str">
        <f>HYPERLINK("https://www.spark-marketing.ru/Card/Lot/70125818", "Оказание услуг по техническому обслуживанию системы видеонаблюдения")</f>
        <v>Оказание услуг по техническому обслуживанию системы видеонаблюдения</v>
      </c>
      <c r="G8917" s="22" t="s">
        <v>367</v>
      </c>
      <c r="H8917" s="22" t="s">
        <v>2640</v>
      </c>
      <c r="I8917" s="26">
        <v>43581.586111111101</v>
      </c>
      <c r="J8917" s="23" t="str">
        <f>HYPERLINK("https://www.spark-marketing.ru/Card/Person/59808", "ООО ""ФОРТУНА ПЛЮС""")</f>
        <v>ООО "ФОРТУНА ПЛЮС"</v>
      </c>
      <c r="K8917" s="24" t="s">
        <v>4403</v>
      </c>
      <c r="L8917" s="22" t="s">
        <v>10</v>
      </c>
      <c r="M8917" s="25">
        <v>46345.33</v>
      </c>
      <c r="N8917" s="27">
        <v>0.53499656454757583</v>
      </c>
    </row>
    <row r="8918" spans="1:14" hidden="1" outlineLevel="1" x14ac:dyDescent="0.2">
      <c r="A8918" s="23" t="str">
        <f>HYPERLINK("https://www.spark-marketing.ru/Card/Person/72688", "ФГБУ ННПЦ МСЭ И РИ МИНТРУДА РОССИИ")</f>
        <v>ФГБУ ННПЦ МСЭ И РИ МИНТРУДА РОССИИ</v>
      </c>
      <c r="B8918" s="24" t="s">
        <v>364</v>
      </c>
      <c r="C8918" s="25">
        <v>99666.64</v>
      </c>
      <c r="D8918" s="22" t="s">
        <v>11247</v>
      </c>
      <c r="E8918" s="22" t="s">
        <v>234</v>
      </c>
      <c r="F8918" s="23" t="str">
        <f>HYPERLINK("https://www.spark-marketing.ru/Card/Lot/70125818", "Оказание услуг по техническому обслуживанию системы видеонаблюдения")</f>
        <v>Оказание услуг по техническому обслуживанию системы видеонаблюдения</v>
      </c>
      <c r="G8918" s="22" t="s">
        <v>367</v>
      </c>
      <c r="H8918" s="22" t="s">
        <v>2640</v>
      </c>
      <c r="I8918" s="26">
        <v>43581.586111111101</v>
      </c>
      <c r="J8918" s="23" t="str">
        <f>HYPERLINK("https://www.spark-marketing.ru/Card/Person/6402542", "ООО ""ЦЕНТР СБ""")</f>
        <v>ООО "ЦЕНТР СБ"</v>
      </c>
      <c r="K8918" s="24" t="s">
        <v>2133</v>
      </c>
      <c r="L8918" s="28" t="s">
        <v>52</v>
      </c>
      <c r="M8918" s="25">
        <v>46345.33</v>
      </c>
      <c r="N8918" s="27">
        <v>0.53499656454757583</v>
      </c>
    </row>
    <row r="8919" spans="1:14" x14ac:dyDescent="0.15">
      <c r="A8919" s="23" t="str">
        <f>HYPERLINK("https://www.spark-marketing.ru/Card/Person/40815", "ДАЛЬНЕВОСТОЧНЫЙ БАНК ПАО ""СБЕРБАНК""")</f>
        <v>ДАЛЬНЕВОСТОЧНЫЙ БАНК ПАО "СБЕРБАНК"</v>
      </c>
      <c r="B8919" s="24" t="s">
        <v>5406</v>
      </c>
      <c r="C8919" s="25">
        <v>4962870.96</v>
      </c>
      <c r="D8919" s="22" t="s">
        <v>11249</v>
      </c>
      <c r="E8919" s="22" t="s">
        <v>53</v>
      </c>
      <c r="F8919" s="23" t="str">
        <f>HYPERLINK("https://www.spark-marketing.ru/Card/Lot/70323202", "выбор организации на оказание охранных услуг с использованием технических средств охраны объектов Дальневосточного банка ПАО Сбербанк, расположенных на территории пос. Эгвекинот, пос. Беринговский, пос. Провидения Чукотского Автономного округа")</f>
        <v>выбор организации на оказание охранных услуг с использованием технических средств охраны объектов Дальневосточного банка ПАО Сбербанк, расположенных на территории пос. Эгвекинот, пос. Беринговский, пос. Провидения Чукотского Автономного округа</v>
      </c>
      <c r="G8919" s="22" t="s">
        <v>55</v>
      </c>
      <c r="H8919" s="22" t="s">
        <v>55</v>
      </c>
      <c r="I8919" s="26">
        <v>43581.615277777797</v>
      </c>
      <c r="J8919" s="28" t="s">
        <v>52</v>
      </c>
      <c r="K8919" s="28" t="s">
        <v>52</v>
      </c>
      <c r="L8919" s="28" t="s">
        <v>52</v>
      </c>
      <c r="M8919" s="28" t="s">
        <v>52</v>
      </c>
      <c r="N8919" s="28" t="s">
        <v>52</v>
      </c>
    </row>
    <row r="8920" spans="1:14" x14ac:dyDescent="0.15">
      <c r="A8920" s="23" t="str">
        <f>HYPERLINK("https://www.spark-marketing.ru/Card/Person/605", "ГБУЗ ""СОКБ""")</f>
        <v>ГБУЗ "СОКБ"</v>
      </c>
      <c r="B8920" s="24" t="s">
        <v>11250</v>
      </c>
      <c r="C8920" s="25">
        <v>704000</v>
      </c>
      <c r="D8920" s="22" t="s">
        <v>11251</v>
      </c>
      <c r="E8920" s="22" t="s">
        <v>84</v>
      </c>
      <c r="F8920" s="23" t="str">
        <f>HYPERLINK("https://www.spark-marketing.ru/Card/Lot/70133769", "Выполнение работ по монтажу систем видеонаблюдения в рамках мероприятия по противодействию терроризма.")</f>
        <v>Выполнение работ по монтажу систем видеонаблюдения в рамках мероприятия по противодействию терроризма.</v>
      </c>
      <c r="G8920" s="22" t="s">
        <v>311</v>
      </c>
      <c r="H8920" s="22" t="s">
        <v>312</v>
      </c>
      <c r="I8920" s="26">
        <v>43581.618750000001</v>
      </c>
      <c r="J8920" s="28" t="s">
        <v>52</v>
      </c>
      <c r="K8920" s="28" t="s">
        <v>52</v>
      </c>
      <c r="L8920" s="28" t="s">
        <v>52</v>
      </c>
      <c r="M8920" s="28" t="s">
        <v>52</v>
      </c>
      <c r="N8920" s="28" t="s">
        <v>52</v>
      </c>
    </row>
    <row r="8921" spans="1:14" ht="12.75" hidden="1" outlineLevel="1" x14ac:dyDescent="0.2">
      <c r="A8921" s="23" t="str">
        <f>HYPERLINK("https://www.spark-marketing.ru/Card/Person/605", "ГБУЗ ""СОКБ""")</f>
        <v>ГБУЗ "СОКБ"</v>
      </c>
      <c r="B8921" s="24" t="s">
        <v>11250</v>
      </c>
      <c r="C8921" s="25">
        <v>704000</v>
      </c>
      <c r="D8921" s="22" t="s">
        <v>11251</v>
      </c>
      <c r="E8921" s="22" t="s">
        <v>84</v>
      </c>
      <c r="F8921" s="23" t="str">
        <f>HYPERLINK("https://www.spark-marketing.ru/Card/Lot/70133769", "Выполнение работ по монтажу систем видеонаблюдения в рамках мероприятия по противодействию терроризма.")</f>
        <v>Выполнение работ по монтажу систем видеонаблюдения в рамках мероприятия по противодействию терроризма.</v>
      </c>
      <c r="G8921" s="22" t="s">
        <v>311</v>
      </c>
      <c r="H8921" s="22" t="s">
        <v>312</v>
      </c>
      <c r="I8921" s="26">
        <v>43581.618750000001</v>
      </c>
      <c r="J8921" s="23" t="str">
        <f>HYPERLINK("https://www.spark-marketing.ru/Card/Person/6218803", "ООО ""СПСУ""")</f>
        <v>ООО "СПСУ"</v>
      </c>
      <c r="K8921" s="24" t="s">
        <v>11252</v>
      </c>
      <c r="L8921" s="22" t="s">
        <v>10</v>
      </c>
      <c r="M8921" s="25">
        <v>503360</v>
      </c>
      <c r="N8921" s="27">
        <v>0.28499999999999998</v>
      </c>
    </row>
    <row r="8922" spans="1:14" hidden="1" outlineLevel="1" x14ac:dyDescent="0.2">
      <c r="A8922" s="23" t="str">
        <f>HYPERLINK("https://www.spark-marketing.ru/Card/Person/605", "ГБУЗ ""СОКБ""")</f>
        <v>ГБУЗ "СОКБ"</v>
      </c>
      <c r="B8922" s="24" t="s">
        <v>11250</v>
      </c>
      <c r="C8922" s="25">
        <v>704000</v>
      </c>
      <c r="D8922" s="22" t="s">
        <v>11251</v>
      </c>
      <c r="E8922" s="22" t="s">
        <v>84</v>
      </c>
      <c r="F8922" s="23" t="str">
        <f>HYPERLINK("https://www.spark-marketing.ru/Card/Lot/70133769", "Выполнение работ по монтажу систем видеонаблюдения в рамках мероприятия по противодействию терроризма.")</f>
        <v>Выполнение работ по монтажу систем видеонаблюдения в рамках мероприятия по противодействию терроризма.</v>
      </c>
      <c r="G8922" s="22" t="s">
        <v>311</v>
      </c>
      <c r="H8922" s="22" t="s">
        <v>312</v>
      </c>
      <c r="I8922" s="26">
        <v>43581.618750000001</v>
      </c>
      <c r="J8922" s="23" t="str">
        <f>HYPERLINK("https://www.spark-marketing.ru/Card/Person/674282", "ООО ""АВАНПОСТ""")</f>
        <v>ООО "АВАНПОСТ"</v>
      </c>
      <c r="K8922" s="24" t="s">
        <v>11253</v>
      </c>
      <c r="L8922" s="28" t="s">
        <v>52</v>
      </c>
      <c r="M8922" s="25">
        <v>506880</v>
      </c>
      <c r="N8922" s="27">
        <v>0.28000000000000003</v>
      </c>
    </row>
    <row r="8923" spans="1:14" x14ac:dyDescent="0.15">
      <c r="A8923" s="23" t="str">
        <f>HYPERLINK("https://www.spark-marketing.ru/Card/Person/1661477", "ПАО ""ДЕТСКИЙ МИР""")</f>
        <v>ПАО "ДЕТСКИЙ МИР"</v>
      </c>
      <c r="B8923" s="24" t="s">
        <v>667</v>
      </c>
      <c r="C8923" s="28" t="s">
        <v>52</v>
      </c>
      <c r="D8923" s="22" t="s">
        <v>11254</v>
      </c>
      <c r="E8923" s="22" t="s">
        <v>53</v>
      </c>
      <c r="F8923" s="23" t="str">
        <f>HYPERLINK("https://www.spark-marketing.ru/Card/Lot/70310809", "Установка охранно-тревожной сигнализации в магазинах ПАО «Детский мир» РО Москва и РО Центр")</f>
        <v>Установка охранно-тревожной сигнализации в магазинах ПАО «Детский мир» РО Москва и РО Центр</v>
      </c>
      <c r="G8923" s="22" t="s">
        <v>55</v>
      </c>
      <c r="H8923" s="22" t="s">
        <v>55</v>
      </c>
      <c r="I8923" s="26">
        <v>43581.577777777798</v>
      </c>
      <c r="J8923" s="28" t="s">
        <v>52</v>
      </c>
      <c r="K8923" s="28" t="s">
        <v>52</v>
      </c>
      <c r="L8923" s="28" t="s">
        <v>52</v>
      </c>
      <c r="M8923" s="28" t="s">
        <v>52</v>
      </c>
      <c r="N8923" s="28" t="s">
        <v>52</v>
      </c>
    </row>
    <row r="8924" spans="1:14" x14ac:dyDescent="0.15">
      <c r="A8924" s="23" t="str">
        <f>HYPERLINK("https://www.spark-marketing.ru/Card/Person/14359", "БУ ""ЦЕНТР АДАПТИВНОГО СПОРТА ЮГРЫ""")</f>
        <v>БУ "ЦЕНТР АДАПТИВНОГО СПОРТА ЮГРЫ"</v>
      </c>
      <c r="B8924" s="24" t="s">
        <v>11255</v>
      </c>
      <c r="C8924" s="28" t="s">
        <v>52</v>
      </c>
      <c r="D8924" s="22" t="s">
        <v>11256</v>
      </c>
      <c r="E8924" s="22" t="s">
        <v>52</v>
      </c>
      <c r="F8924" s="23" t="str">
        <f>HYPERLINK("https://www.spark-marketing.ru/Card/Lot/70131047", "Оказание услуг по охране объекта «Спортивный комплекс для людей с ограниченными возможностями», расположенный по адресу: г.п. Пионерский, ул. Заводская, д.13а")</f>
        <v>Оказание услуг по охране объекта «Спортивный комплекс для людей с ограниченными возможностями», расположенный по адресу: г.п. Пионерский, ул. Заводская, д.13а</v>
      </c>
      <c r="G8924" s="22" t="s">
        <v>119</v>
      </c>
      <c r="H8924" s="22" t="s">
        <v>2563</v>
      </c>
      <c r="I8924" s="26">
        <v>43581.570138888899</v>
      </c>
      <c r="J8924" s="28" t="s">
        <v>52</v>
      </c>
      <c r="K8924" s="28" t="s">
        <v>52</v>
      </c>
      <c r="L8924" s="28" t="s">
        <v>52</v>
      </c>
      <c r="M8924" s="28" t="s">
        <v>52</v>
      </c>
      <c r="N8924" s="28" t="s">
        <v>52</v>
      </c>
    </row>
    <row r="8925" spans="1:14" x14ac:dyDescent="0.15">
      <c r="A8925" s="23" t="str">
        <f t="shared" ref="A8925:A8931" si="391">HYPERLINK("https://www.spark-marketing.ru/Card/Person/60532", "ГБОУ ГИМНАЗИЯ № 642 ""ЗЕМЛЯ И ВСЕЛЕННАЯ"" САНКТ-ПЕТЕРБУРГА")</f>
        <v>ГБОУ ГИМНАЗИЯ № 642 "ЗЕМЛЯ И ВСЕЛЕННАЯ" САНКТ-ПЕТЕРБУРГА</v>
      </c>
      <c r="B8925" s="24" t="s">
        <v>11257</v>
      </c>
      <c r="C8925" s="25">
        <v>1755410.59</v>
      </c>
      <c r="D8925" s="22" t="s">
        <v>11258</v>
      </c>
      <c r="E8925" s="22" t="s">
        <v>59</v>
      </c>
      <c r="F8925" s="23" t="str">
        <f t="shared" ref="F8925:F8931" si="392">HYPERLINK("https://www.spark-marketing.ru/Card/Lot/70136476", "Выполнение работ по монтажу системы видеонаблюдения")</f>
        <v>Выполнение работ по монтажу системы видеонаблюдения</v>
      </c>
      <c r="G8925" s="22" t="s">
        <v>89</v>
      </c>
      <c r="H8925" s="22" t="s">
        <v>89</v>
      </c>
      <c r="I8925" s="26">
        <v>43581.5756944444</v>
      </c>
      <c r="J8925" s="28" t="s">
        <v>52</v>
      </c>
      <c r="K8925" s="28" t="s">
        <v>52</v>
      </c>
      <c r="L8925" s="28" t="s">
        <v>52</v>
      </c>
      <c r="M8925" s="28" t="s">
        <v>52</v>
      </c>
      <c r="N8925" s="28" t="s">
        <v>52</v>
      </c>
    </row>
    <row r="8926" spans="1:14" hidden="1" outlineLevel="1" x14ac:dyDescent="0.2">
      <c r="A8926" s="23" t="str">
        <f t="shared" si="391"/>
        <v>ГБОУ ГИМНАЗИЯ № 642 "ЗЕМЛЯ И ВСЕЛЕННАЯ" САНКТ-ПЕТЕРБУРГА</v>
      </c>
      <c r="B8926" s="24" t="s">
        <v>11257</v>
      </c>
      <c r="C8926" s="25">
        <v>1755410.59</v>
      </c>
      <c r="D8926" s="22" t="s">
        <v>11258</v>
      </c>
      <c r="E8926" s="22" t="s">
        <v>59</v>
      </c>
      <c r="F8926" s="23" t="str">
        <f t="shared" si="392"/>
        <v>Выполнение работ по монтажу системы видеонаблюдения</v>
      </c>
      <c r="G8926" s="22" t="s">
        <v>89</v>
      </c>
      <c r="H8926" s="22" t="s">
        <v>89</v>
      </c>
      <c r="I8926" s="26">
        <v>43581.5756944444</v>
      </c>
      <c r="J8926" s="23" t="str">
        <f>HYPERLINK("https://www.spark-marketing.ru/Card/Person/146672", "ООО ""ПМД ТСБ""")</f>
        <v>ООО "ПМД ТСБ"</v>
      </c>
      <c r="K8926" s="24" t="s">
        <v>11134</v>
      </c>
      <c r="L8926" s="28" t="s">
        <v>52</v>
      </c>
      <c r="M8926" s="25">
        <v>1424891.8</v>
      </c>
      <c r="N8926" s="27">
        <v>0.18828574459038669</v>
      </c>
    </row>
    <row r="8927" spans="1:14" hidden="1" outlineLevel="1" x14ac:dyDescent="0.2">
      <c r="A8927" s="23" t="str">
        <f t="shared" si="391"/>
        <v>ГБОУ ГИМНАЗИЯ № 642 "ЗЕМЛЯ И ВСЕЛЕННАЯ" САНКТ-ПЕТЕРБУРГА</v>
      </c>
      <c r="B8927" s="24" t="s">
        <v>11257</v>
      </c>
      <c r="C8927" s="25">
        <v>1755410.59</v>
      </c>
      <c r="D8927" s="22" t="s">
        <v>11258</v>
      </c>
      <c r="E8927" s="22" t="s">
        <v>59</v>
      </c>
      <c r="F8927" s="23" t="str">
        <f t="shared" si="392"/>
        <v>Выполнение работ по монтажу системы видеонаблюдения</v>
      </c>
      <c r="G8927" s="22" t="s">
        <v>89</v>
      </c>
      <c r="H8927" s="22" t="s">
        <v>89</v>
      </c>
      <c r="I8927" s="26">
        <v>43581.5756944444</v>
      </c>
      <c r="J8927" s="23" t="str">
        <f>HYPERLINK("https://www.spark-marketing.ru/Card/Person/99764", "ООО ""ОП ""СИСТЕМА""")</f>
        <v>ООО "ОП "СИСТЕМА"</v>
      </c>
      <c r="K8927" s="24" t="s">
        <v>1717</v>
      </c>
      <c r="L8927" s="28" t="s">
        <v>52</v>
      </c>
      <c r="M8927" s="25">
        <v>1451222.95</v>
      </c>
      <c r="N8927" s="27">
        <v>0.17328574963194224</v>
      </c>
    </row>
    <row r="8928" spans="1:14" hidden="1" outlineLevel="1" x14ac:dyDescent="0.2">
      <c r="A8928" s="23" t="str">
        <f t="shared" si="391"/>
        <v>ГБОУ ГИМНАЗИЯ № 642 "ЗЕМЛЯ И ВСЕЛЕННАЯ" САНКТ-ПЕТЕРБУРГА</v>
      </c>
      <c r="B8928" s="24" t="s">
        <v>11257</v>
      </c>
      <c r="C8928" s="25">
        <v>1755410.59</v>
      </c>
      <c r="D8928" s="22" t="s">
        <v>11258</v>
      </c>
      <c r="E8928" s="22" t="s">
        <v>59</v>
      </c>
      <c r="F8928" s="23" t="str">
        <f t="shared" si="392"/>
        <v>Выполнение работ по монтажу системы видеонаблюдения</v>
      </c>
      <c r="G8928" s="22" t="s">
        <v>89</v>
      </c>
      <c r="H8928" s="22" t="s">
        <v>89</v>
      </c>
      <c r="I8928" s="26">
        <v>43581.5756944444</v>
      </c>
      <c r="J8928" s="23" t="str">
        <f>HYPERLINK("https://www.spark-marketing.ru/Card/Person/138256", "ООО ""ХАЙ-ТЕК СЕВЕРО-ЗАПАД""")</f>
        <v>ООО "ХАЙ-ТЕК СЕВЕРО-ЗАПАД"</v>
      </c>
      <c r="K8928" s="24" t="s">
        <v>11259</v>
      </c>
      <c r="L8928" s="28" t="s">
        <v>52</v>
      </c>
      <c r="M8928" s="25">
        <v>1500000</v>
      </c>
      <c r="N8928" s="27">
        <v>0.14549905956759665</v>
      </c>
    </row>
    <row r="8929" spans="1:14" ht="12.75" hidden="1" outlineLevel="1" x14ac:dyDescent="0.2">
      <c r="A8929" s="23" t="str">
        <f t="shared" si="391"/>
        <v>ГБОУ ГИМНАЗИЯ № 642 "ЗЕМЛЯ И ВСЕЛЕННАЯ" САНКТ-ПЕТЕРБУРГА</v>
      </c>
      <c r="B8929" s="24" t="s">
        <v>11257</v>
      </c>
      <c r="C8929" s="25">
        <v>1755410.59</v>
      </c>
      <c r="D8929" s="22" t="s">
        <v>11258</v>
      </c>
      <c r="E8929" s="22" t="s">
        <v>59</v>
      </c>
      <c r="F8929" s="23" t="str">
        <f t="shared" si="392"/>
        <v>Выполнение работ по монтажу системы видеонаблюдения</v>
      </c>
      <c r="G8929" s="22" t="s">
        <v>89</v>
      </c>
      <c r="H8929" s="22" t="s">
        <v>89</v>
      </c>
      <c r="I8929" s="26">
        <v>43581.5756944444</v>
      </c>
      <c r="J8929" s="23" t="str">
        <f>HYPERLINK("https://www.spark-marketing.ru/Card/Person/2576628", "ООО ""АЛЬТЕРА""")</f>
        <v>ООО "АЛЬТЕРА"</v>
      </c>
      <c r="K8929" s="24" t="s">
        <v>1718</v>
      </c>
      <c r="L8929" s="22" t="s">
        <v>10</v>
      </c>
      <c r="M8929" s="25">
        <v>1284458.97</v>
      </c>
      <c r="N8929" s="27">
        <v>0.26828573479210921</v>
      </c>
    </row>
    <row r="8930" spans="1:14" hidden="1" outlineLevel="1" x14ac:dyDescent="0.2">
      <c r="A8930" s="23" t="str">
        <f t="shared" si="391"/>
        <v>ГБОУ ГИМНАЗИЯ № 642 "ЗЕМЛЯ И ВСЕЛЕННАЯ" САНКТ-ПЕТЕРБУРГА</v>
      </c>
      <c r="B8930" s="24" t="s">
        <v>11257</v>
      </c>
      <c r="C8930" s="25">
        <v>1755410.59</v>
      </c>
      <c r="D8930" s="22" t="s">
        <v>11258</v>
      </c>
      <c r="E8930" s="22" t="s">
        <v>59</v>
      </c>
      <c r="F8930" s="23" t="str">
        <f t="shared" si="392"/>
        <v>Выполнение работ по монтажу системы видеонаблюдения</v>
      </c>
      <c r="G8930" s="22" t="s">
        <v>89</v>
      </c>
      <c r="H8930" s="22" t="s">
        <v>89</v>
      </c>
      <c r="I8930" s="26">
        <v>43581.5756944444</v>
      </c>
      <c r="J8930" s="23" t="str">
        <f>HYPERLINK("https://www.spark-marketing.ru/Card/Person/4345955", "ООО ""СБ-СЕРВИС""")</f>
        <v>ООО "СБ-СЕРВИС"</v>
      </c>
      <c r="K8930" s="24" t="s">
        <v>10035</v>
      </c>
      <c r="L8930" s="28" t="s">
        <v>52</v>
      </c>
      <c r="M8930" s="25">
        <v>1400000</v>
      </c>
      <c r="N8930" s="27">
        <v>0.20246578892975689</v>
      </c>
    </row>
    <row r="8931" spans="1:14" hidden="1" outlineLevel="1" x14ac:dyDescent="0.2">
      <c r="A8931" s="23" t="str">
        <f t="shared" si="391"/>
        <v>ГБОУ ГИМНАЗИЯ № 642 "ЗЕМЛЯ И ВСЕЛЕННАЯ" САНКТ-ПЕТЕРБУРГА</v>
      </c>
      <c r="B8931" s="24" t="s">
        <v>11257</v>
      </c>
      <c r="C8931" s="25">
        <v>1755410.59</v>
      </c>
      <c r="D8931" s="22" t="s">
        <v>11258</v>
      </c>
      <c r="E8931" s="22" t="s">
        <v>59</v>
      </c>
      <c r="F8931" s="23" t="str">
        <f t="shared" si="392"/>
        <v>Выполнение работ по монтажу системы видеонаблюдения</v>
      </c>
      <c r="G8931" s="22" t="s">
        <v>89</v>
      </c>
      <c r="H8931" s="22" t="s">
        <v>89</v>
      </c>
      <c r="I8931" s="26">
        <v>43581.5756944444</v>
      </c>
      <c r="J8931" s="23" t="str">
        <f>HYPERLINK("https://www.spark-marketing.ru/Card/Person/6509804", "ООО ""СИТИ ГРУПП""")</f>
        <v>ООО "СИТИ ГРУПП"</v>
      </c>
      <c r="K8931" s="24" t="s">
        <v>11260</v>
      </c>
      <c r="L8931" s="28" t="s">
        <v>52</v>
      </c>
      <c r="M8931" s="25">
        <v>1293236.02</v>
      </c>
      <c r="N8931" s="27">
        <v>0.26328573647262776</v>
      </c>
    </row>
    <row r="8932" spans="1:14" x14ac:dyDescent="0.15">
      <c r="A8932" s="23" t="str">
        <f>HYPERLINK("https://www.spark-marketing.ru/Card/Person/4344188", "РОСАВТОДОР")</f>
        <v>РОСАВТОДОР</v>
      </c>
      <c r="B8932" s="24" t="s">
        <v>7107</v>
      </c>
      <c r="C8932" s="25">
        <v>99000</v>
      </c>
      <c r="D8932" s="22" t="s">
        <v>11261</v>
      </c>
      <c r="E8932" s="22" t="s">
        <v>6172</v>
      </c>
      <c r="F8932" s="23" t="str">
        <f>HYPERLINK("https://www.spark-marketing.ru/Card/Lot/70764368", "Разработка рекомендаций по определению способности юридического лица осуществлять защиту объектов транспортной инфраструктуры и транспортных средств от актов незаконного вмешательства в сфере дорожного хозяйства, автомобильного транспорта и городског...")</f>
        <v>Разработка рекомендаций по определению способности юридического лица осуществлять защиту объектов транспортной инфраструктуры и транспортных средств от актов незаконного вмешательства в сфере дорожного хозяйства, автомобильного транспорта и городског...</v>
      </c>
      <c r="G8932" s="22" t="s">
        <v>55</v>
      </c>
      <c r="H8932" s="22" t="s">
        <v>55</v>
      </c>
      <c r="I8932" s="26">
        <v>43581.569756944402</v>
      </c>
      <c r="J8932" s="28" t="s">
        <v>52</v>
      </c>
      <c r="K8932" s="28" t="s">
        <v>52</v>
      </c>
      <c r="L8932" s="28" t="s">
        <v>52</v>
      </c>
      <c r="M8932" s="28" t="s">
        <v>52</v>
      </c>
      <c r="N8932" s="28" t="s">
        <v>52</v>
      </c>
    </row>
    <row r="8933" spans="1:14" x14ac:dyDescent="0.15">
      <c r="A8933" s="23" t="str">
        <f>HYPERLINK("https://www.spark-marketing.ru/Card/Person/12526", "ГБУ МО ОК ""ЛЕВКОВО""")</f>
        <v>ГБУ МО ОК "ЛЕВКОВО"</v>
      </c>
      <c r="B8933" s="24" t="s">
        <v>11262</v>
      </c>
      <c r="C8933" s="25">
        <v>100000</v>
      </c>
      <c r="D8933" s="22" t="s">
        <v>11263</v>
      </c>
      <c r="E8933" s="22" t="s">
        <v>691</v>
      </c>
      <c r="F8933" s="23" t="str">
        <f>HYPERLINK("https://www.spark-marketing.ru/Card/Lot/70125547", "Установка системы видеонаблюдения")</f>
        <v>Установка системы видеонаблюдения</v>
      </c>
      <c r="G8933" s="22" t="s">
        <v>50</v>
      </c>
      <c r="H8933" s="22" t="s">
        <v>50</v>
      </c>
      <c r="I8933" s="26">
        <v>43581.520416666703</v>
      </c>
      <c r="J8933" s="28" t="s">
        <v>52</v>
      </c>
      <c r="K8933" s="28" t="s">
        <v>52</v>
      </c>
      <c r="L8933" s="28" t="s">
        <v>52</v>
      </c>
      <c r="M8933" s="28" t="s">
        <v>52</v>
      </c>
      <c r="N8933" s="28" t="s">
        <v>52</v>
      </c>
    </row>
    <row r="8934" spans="1:14" hidden="1" outlineLevel="1" x14ac:dyDescent="0.2">
      <c r="A8934" s="23" t="str">
        <f>HYPERLINK("https://www.spark-marketing.ru/Card/Person/12526", "ГБУ МО ОК ""ЛЕВКОВО""")</f>
        <v>ГБУ МО ОК "ЛЕВКОВО"</v>
      </c>
      <c r="B8934" s="24" t="s">
        <v>11262</v>
      </c>
      <c r="C8934" s="28" t="s">
        <v>52</v>
      </c>
      <c r="D8934" s="22" t="s">
        <v>11263</v>
      </c>
      <c r="E8934" s="22" t="s">
        <v>691</v>
      </c>
      <c r="F8934" s="23" t="str">
        <f>HYPERLINK("https://www.spark-marketing.ru/Card/Lot/70125547", "Установка системы видеонаблюдения")</f>
        <v>Установка системы видеонаблюдения</v>
      </c>
      <c r="G8934" s="22" t="s">
        <v>50</v>
      </c>
      <c r="H8934" s="22" t="s">
        <v>50</v>
      </c>
      <c r="I8934" s="26">
        <v>43581.520416666703</v>
      </c>
      <c r="J8934" s="23" t="str">
        <f>HYPERLINK("https://www.spark-marketing.ru/Card/Person/70087", "ООО ""ЦИФРА ОДИН""")</f>
        <v>ООО "ЦИФРА ОДИН"</v>
      </c>
      <c r="K8934" s="24" t="s">
        <v>11264</v>
      </c>
      <c r="L8934" s="22" t="s">
        <v>10</v>
      </c>
      <c r="M8934" s="25">
        <v>60000</v>
      </c>
      <c r="N8934" s="27">
        <v>0.4</v>
      </c>
    </row>
    <row r="8935" spans="1:14" hidden="1" outlineLevel="1" x14ac:dyDescent="0.2">
      <c r="A8935" s="23" t="str">
        <f>HYPERLINK("https://www.spark-marketing.ru/Card/Person/12526", "ГБУ МО ОК ""ЛЕВКОВО""")</f>
        <v>ГБУ МО ОК "ЛЕВКОВО"</v>
      </c>
      <c r="B8935" s="24" t="s">
        <v>11262</v>
      </c>
      <c r="C8935" s="28" t="s">
        <v>52</v>
      </c>
      <c r="D8935" s="22" t="s">
        <v>11263</v>
      </c>
      <c r="E8935" s="22" t="s">
        <v>691</v>
      </c>
      <c r="F8935" s="23" t="str">
        <f>HYPERLINK("https://www.spark-marketing.ru/Card/Lot/70125547", "Установка системы видеонаблюдения")</f>
        <v>Установка системы видеонаблюдения</v>
      </c>
      <c r="G8935" s="22" t="s">
        <v>50</v>
      </c>
      <c r="H8935" s="22" t="s">
        <v>50</v>
      </c>
      <c r="I8935" s="26">
        <v>43581.520416666703</v>
      </c>
      <c r="J8935" s="23" t="str">
        <f>HYPERLINK("https://www.spark-marketing.ru/Card/Person/1638291", "ООО ""ВПК СЕРВИС""")</f>
        <v>ООО "ВПК СЕРВИС"</v>
      </c>
      <c r="K8935" s="24" t="s">
        <v>11265</v>
      </c>
      <c r="L8935" s="28" t="s">
        <v>52</v>
      </c>
      <c r="M8935" s="25">
        <v>90000</v>
      </c>
      <c r="N8935" s="27">
        <v>0.1</v>
      </c>
    </row>
    <row r="8936" spans="1:14" x14ac:dyDescent="0.15">
      <c r="A8936" s="23" t="str">
        <f>HYPERLINK("https://www.spark-marketing.ru/Card/Person/127476", "МЭРИЯ ГОРОДА")</f>
        <v>МЭРИЯ ГОРОДА</v>
      </c>
      <c r="B8936" s="24" t="s">
        <v>11266</v>
      </c>
      <c r="C8936" s="25">
        <v>841899.3</v>
      </c>
      <c r="D8936" s="22" t="s">
        <v>11267</v>
      </c>
      <c r="E8936" s="22" t="s">
        <v>1647</v>
      </c>
      <c r="F8936" s="23" t="str">
        <f>HYPERLINK("https://www.spark-marketing.ru/Card/Lot/70113989", "Оказание услуг по обслуживанию микропроцессорных пластиковых карт «Социальная карта», «Карта школьника» и программному сопровождению в соответствии с установленным законодательством порядке для обеспечения нужд муниципального образования «Город Бироб...")</f>
        <v>Оказание услуг по обслуживанию микропроцессорных пластиковых карт «Социальная карта», «Карта школьника» и программному сопровождению в соответствии с установленным законодательством порядке для обеспечения нужд муниципального образования «Город Бироб...</v>
      </c>
      <c r="G8936" s="22" t="s">
        <v>6409</v>
      </c>
      <c r="H8936" s="22" t="s">
        <v>6410</v>
      </c>
      <c r="I8936" s="26">
        <v>43581.536111111098</v>
      </c>
      <c r="J8936" s="28" t="s">
        <v>52</v>
      </c>
      <c r="K8936" s="28" t="s">
        <v>52</v>
      </c>
      <c r="L8936" s="28" t="s">
        <v>52</v>
      </c>
      <c r="M8936" s="28" t="s">
        <v>52</v>
      </c>
      <c r="N8936" s="28" t="s">
        <v>52</v>
      </c>
    </row>
    <row r="8937" spans="1:14" x14ac:dyDescent="0.15">
      <c r="A8937" s="23" t="str">
        <f>HYPERLINK("https://www.spark-marketing.ru/Card/Person/25983", "АДМИНИСТРАЦИЯ АТКАРСКОГО МУНИЦИПАЛЬНОГО РАЙОНА")</f>
        <v>АДМИНИСТРАЦИЯ АТКАРСКОГО МУНИЦИПАЛЬНОГО РАЙОНА</v>
      </c>
      <c r="B8937" s="24" t="s">
        <v>11268</v>
      </c>
      <c r="C8937" s="25">
        <v>100000</v>
      </c>
      <c r="D8937" s="22" t="s">
        <v>11269</v>
      </c>
      <c r="E8937" s="22" t="s">
        <v>59</v>
      </c>
      <c r="F8937" s="23" t="str">
        <f>HYPERLINK("https://www.spark-marketing.ru/Card/Lot/70126914", "Установка новых систем видеонаблюдения")</f>
        <v>Установка новых систем видеонаблюдения</v>
      </c>
      <c r="G8937" s="22" t="s">
        <v>80</v>
      </c>
      <c r="H8937" s="22" t="s">
        <v>11270</v>
      </c>
      <c r="I8937" s="26">
        <v>43581.501388888901</v>
      </c>
      <c r="J8937" s="28" t="s">
        <v>52</v>
      </c>
      <c r="K8937" s="28" t="s">
        <v>52</v>
      </c>
      <c r="L8937" s="28" t="s">
        <v>52</v>
      </c>
      <c r="M8937" s="28" t="s">
        <v>52</v>
      </c>
      <c r="N8937" s="28" t="s">
        <v>52</v>
      </c>
    </row>
    <row r="8938" spans="1:14" hidden="1" outlineLevel="1" x14ac:dyDescent="0.2">
      <c r="A8938" s="23" t="str">
        <f>HYPERLINK("https://www.spark-marketing.ru/Card/Person/25983", "АДМИНИСТРАЦИЯ АТКАРСКОГО МУНИЦИПАЛЬНОГО РАЙОНА")</f>
        <v>АДМИНИСТРАЦИЯ АТКАРСКОГО МУНИЦИПАЛЬНОГО РАЙОНА</v>
      </c>
      <c r="B8938" s="24" t="s">
        <v>11268</v>
      </c>
      <c r="C8938" s="25">
        <v>100000</v>
      </c>
      <c r="D8938" s="22" t="s">
        <v>11269</v>
      </c>
      <c r="E8938" s="22" t="s">
        <v>59</v>
      </c>
      <c r="F8938" s="23" t="str">
        <f>HYPERLINK("https://www.spark-marketing.ru/Card/Lot/70126914", "Установка новых систем видеонаблюдения")</f>
        <v>Установка новых систем видеонаблюдения</v>
      </c>
      <c r="G8938" s="22" t="s">
        <v>80</v>
      </c>
      <c r="H8938" s="22" t="s">
        <v>11270</v>
      </c>
      <c r="I8938" s="26">
        <v>43581.501388888901</v>
      </c>
      <c r="J8938" s="23" t="str">
        <f>HYPERLINK("https://www.spark-marketing.ru/Card/Person/74710", "ООО ""АВЕРС-ВИДЕО""")</f>
        <v>ООО "АВЕРС-ВИДЕО"</v>
      </c>
      <c r="K8938" s="24" t="s">
        <v>2555</v>
      </c>
      <c r="L8938" s="28" t="s">
        <v>52</v>
      </c>
      <c r="M8938" s="25">
        <v>63500</v>
      </c>
      <c r="N8938" s="27">
        <v>0.36499999999999999</v>
      </c>
    </row>
    <row r="8939" spans="1:14" ht="12.75" hidden="1" outlineLevel="1" x14ac:dyDescent="0.2">
      <c r="A8939" s="23" t="str">
        <f>HYPERLINK("https://www.spark-marketing.ru/Card/Person/25983", "АДМИНИСТРАЦИЯ АТКАРСКОГО МУНИЦИПАЛЬНОГО РАЙОНА")</f>
        <v>АДМИНИСТРАЦИЯ АТКАРСКОГО МУНИЦИПАЛЬНОГО РАЙОНА</v>
      </c>
      <c r="B8939" s="24" t="s">
        <v>11268</v>
      </c>
      <c r="C8939" s="25">
        <v>100000</v>
      </c>
      <c r="D8939" s="22" t="s">
        <v>11269</v>
      </c>
      <c r="E8939" s="22" t="s">
        <v>59</v>
      </c>
      <c r="F8939" s="23" t="str">
        <f>HYPERLINK("https://www.spark-marketing.ru/Card/Lot/70126914", "Установка новых систем видеонаблюдения")</f>
        <v>Установка новых систем видеонаблюдения</v>
      </c>
      <c r="G8939" s="22" t="s">
        <v>80</v>
      </c>
      <c r="H8939" s="22" t="s">
        <v>11270</v>
      </c>
      <c r="I8939" s="26">
        <v>43581.501388888901</v>
      </c>
      <c r="J8939" s="23" t="str">
        <f>HYPERLINK("https://www.spark-marketing.ru/Card/Person/5512065", "Мугрузин Артем Александрович")</f>
        <v>Мугрузин Артем Александрович</v>
      </c>
      <c r="K8939" s="24" t="s">
        <v>4286</v>
      </c>
      <c r="L8939" s="22" t="s">
        <v>10</v>
      </c>
      <c r="M8939" s="25">
        <v>63000</v>
      </c>
      <c r="N8939" s="27">
        <v>0.37</v>
      </c>
    </row>
    <row r="8940" spans="1:14" hidden="1" outlineLevel="1" x14ac:dyDescent="0.2">
      <c r="A8940" s="23" t="str">
        <f>HYPERLINK("https://www.spark-marketing.ru/Card/Person/25983", "АДМИНИСТРАЦИЯ АТКАРСКОГО МУНИЦИПАЛЬНОГО РАЙОНА")</f>
        <v>АДМИНИСТРАЦИЯ АТКАРСКОГО МУНИЦИПАЛЬНОГО РАЙОНА</v>
      </c>
      <c r="B8940" s="24" t="s">
        <v>11268</v>
      </c>
      <c r="C8940" s="25">
        <v>100000</v>
      </c>
      <c r="D8940" s="22" t="s">
        <v>11269</v>
      </c>
      <c r="E8940" s="22" t="s">
        <v>59</v>
      </c>
      <c r="F8940" s="23" t="str">
        <f>HYPERLINK("https://www.spark-marketing.ru/Card/Lot/70126914", "Установка новых систем видеонаблюдения")</f>
        <v>Установка новых систем видеонаблюдения</v>
      </c>
      <c r="G8940" s="22" t="s">
        <v>80</v>
      </c>
      <c r="H8940" s="22" t="s">
        <v>11270</v>
      </c>
      <c r="I8940" s="26">
        <v>43581.501388888901</v>
      </c>
      <c r="J8940" s="23" t="str">
        <f>HYPERLINK("https://www.spark-marketing.ru/Card/Person/36638", "ООО ""РАДОН-ТЕХ""")</f>
        <v>ООО "РАДОН-ТЕХ"</v>
      </c>
      <c r="K8940" s="24" t="s">
        <v>4285</v>
      </c>
      <c r="L8940" s="28" t="s">
        <v>52</v>
      </c>
      <c r="M8940" s="25">
        <v>79000</v>
      </c>
      <c r="N8940" s="27">
        <v>0.21</v>
      </c>
    </row>
    <row r="8941" spans="1:14" x14ac:dyDescent="0.15">
      <c r="A8941" s="23" t="str">
        <f>HYPERLINK("https://www.spark-marketing.ru/Card/Person/46783", "УПРАВЛЕНИЕ РОСРЕЕСТРА ПО КАБАРДИНО-БАЛКАРСКОЙ РЕСПУБЛИКЕ")</f>
        <v>УПРАВЛЕНИЕ РОСРЕЕСТРА ПО КАБАРДИНО-БАЛКАРСКОЙ РЕСПУБЛИКЕ</v>
      </c>
      <c r="B8941" s="24" t="s">
        <v>11271</v>
      </c>
      <c r="C8941" s="25">
        <v>5664.06</v>
      </c>
      <c r="D8941" s="22" t="s">
        <v>11272</v>
      </c>
      <c r="E8941" s="22" t="s">
        <v>53</v>
      </c>
      <c r="F8941" s="23" t="str">
        <f>HYPERLINK("https://www.spark-marketing.ru/Card/Lot/70765419", "Услуги по охране с использованием кнопки тревожной сигнализации")</f>
        <v>Услуги по охране с использованием кнопки тревожной сигнализации</v>
      </c>
      <c r="G8941" s="22" t="s">
        <v>110</v>
      </c>
      <c r="H8941" s="22" t="s">
        <v>111</v>
      </c>
      <c r="I8941" s="26">
        <v>43581.502569444398</v>
      </c>
      <c r="J8941" s="28" t="s">
        <v>52</v>
      </c>
      <c r="K8941" s="28" t="s">
        <v>52</v>
      </c>
      <c r="L8941" s="28" t="s">
        <v>52</v>
      </c>
      <c r="M8941" s="28" t="s">
        <v>52</v>
      </c>
      <c r="N8941" s="28" t="s">
        <v>52</v>
      </c>
    </row>
    <row r="8942" spans="1:14" x14ac:dyDescent="0.15">
      <c r="A8942" s="23" t="str">
        <f>HYPERLINK("https://www.spark-marketing.ru/Card/Person/48822", "МКУ ""СЛУЖБА МУНИЦИПАЛЬНОГО ЗАКАЗА В ЖКХ""")</f>
        <v>МКУ "СЛУЖБА МУНИЦИПАЛЬНОГО ЗАКАЗА В ЖКХ"</v>
      </c>
      <c r="B8942" s="24" t="s">
        <v>2561</v>
      </c>
      <c r="C8942" s="25">
        <v>2804740.9</v>
      </c>
      <c r="D8942" s="22" t="s">
        <v>11273</v>
      </c>
      <c r="E8942" s="22" t="s">
        <v>103</v>
      </c>
      <c r="F8942" s="23" t="str">
        <f>HYPERLINK("https://www.spark-marketing.ru/Card/Lot/70119717", "Выполнение работ по обслуживанию системы видеонаблюдения")</f>
        <v>Выполнение работ по обслуживанию системы видеонаблюдения</v>
      </c>
      <c r="G8942" s="22" t="s">
        <v>119</v>
      </c>
      <c r="H8942" s="22" t="s">
        <v>2563</v>
      </c>
      <c r="I8942" s="26">
        <v>43581.465277777803</v>
      </c>
      <c r="J8942" s="28" t="s">
        <v>52</v>
      </c>
      <c r="K8942" s="28" t="s">
        <v>52</v>
      </c>
      <c r="L8942" s="28" t="s">
        <v>52</v>
      </c>
      <c r="M8942" s="28" t="s">
        <v>52</v>
      </c>
      <c r="N8942" s="28" t="s">
        <v>52</v>
      </c>
    </row>
    <row r="8943" spans="1:14" ht="12.75" hidden="1" outlineLevel="1" x14ac:dyDescent="0.2">
      <c r="A8943" s="23" t="str">
        <f>HYPERLINK("https://www.spark-marketing.ru/Card/Person/48822", "МКУ ""СЛУЖБА МУНИЦИПАЛЬНОГО ЗАКАЗА В ЖКХ""")</f>
        <v>МКУ "СЛУЖБА МУНИЦИПАЛЬНОГО ЗАКАЗА В ЖКХ"</v>
      </c>
      <c r="B8943" s="24" t="s">
        <v>2561</v>
      </c>
      <c r="C8943" s="25">
        <v>2804740.9</v>
      </c>
      <c r="D8943" s="22" t="s">
        <v>11273</v>
      </c>
      <c r="E8943" s="22" t="s">
        <v>103</v>
      </c>
      <c r="F8943" s="23" t="str">
        <f>HYPERLINK("https://www.spark-marketing.ru/Card/Lot/70119717", "Выполнение работ по обслуживанию системы видеонаблюдения")</f>
        <v>Выполнение работ по обслуживанию системы видеонаблюдения</v>
      </c>
      <c r="G8943" s="22" t="s">
        <v>119</v>
      </c>
      <c r="H8943" s="22" t="s">
        <v>2563</v>
      </c>
      <c r="I8943" s="26">
        <v>43581.465277777803</v>
      </c>
      <c r="J8943" s="23" t="str">
        <f>HYPERLINK("https://www.spark-marketing.ru/Card/Person/89839", "ООО ""ТИТАН""")</f>
        <v>ООО "ТИТАН"</v>
      </c>
      <c r="K8943" s="24" t="s">
        <v>1356</v>
      </c>
      <c r="L8943" s="22" t="s">
        <v>10</v>
      </c>
      <c r="M8943" s="25">
        <v>2804740.9</v>
      </c>
      <c r="N8943" s="27">
        <v>0</v>
      </c>
    </row>
    <row r="8944" spans="1:14" hidden="1" outlineLevel="1" x14ac:dyDescent="0.2">
      <c r="A8944" s="23" t="str">
        <f>HYPERLINK("https://www.spark-marketing.ru/Card/Person/48822", "МКУ ""СЛУЖБА МУНИЦИПАЛЬНОГО ЗАКАЗА В ЖКХ""")</f>
        <v>МКУ "СЛУЖБА МУНИЦИПАЛЬНОГО ЗАКАЗА В ЖКХ"</v>
      </c>
      <c r="B8944" s="24" t="s">
        <v>2561</v>
      </c>
      <c r="C8944" s="25">
        <v>2804740.9</v>
      </c>
      <c r="D8944" s="22" t="s">
        <v>11273</v>
      </c>
      <c r="E8944" s="22" t="s">
        <v>103</v>
      </c>
      <c r="F8944" s="23" t="str">
        <f>HYPERLINK("https://www.spark-marketing.ru/Card/Lot/70119717", "Выполнение работ по обслуживанию системы видеонаблюдения")</f>
        <v>Выполнение работ по обслуживанию системы видеонаблюдения</v>
      </c>
      <c r="G8944" s="22" t="s">
        <v>119</v>
      </c>
      <c r="H8944" s="22" t="s">
        <v>2563</v>
      </c>
      <c r="I8944" s="26">
        <v>43581.465277777803</v>
      </c>
      <c r="J8944" s="23" t="str">
        <f>HYPERLINK("https://www.spark-marketing.ru/Card/Person/2594343", "ООО ""ГС""")</f>
        <v>ООО "ГС"</v>
      </c>
      <c r="K8944" s="24" t="s">
        <v>11274</v>
      </c>
      <c r="L8944" s="28" t="s">
        <v>52</v>
      </c>
      <c r="M8944" s="25">
        <v>2804740.9</v>
      </c>
      <c r="N8944" s="27">
        <v>0</v>
      </c>
    </row>
    <row r="8945" spans="1:14" hidden="1" outlineLevel="1" x14ac:dyDescent="0.2">
      <c r="A8945" s="23" t="str">
        <f>HYPERLINK("https://www.spark-marketing.ru/Card/Person/48822", "МКУ ""СЛУЖБА МУНИЦИПАЛЬНОГО ЗАКАЗА В ЖКХ""")</f>
        <v>МКУ "СЛУЖБА МУНИЦИПАЛЬНОГО ЗАКАЗА В ЖКХ"</v>
      </c>
      <c r="B8945" s="24" t="s">
        <v>2561</v>
      </c>
      <c r="C8945" s="25">
        <v>2804740.9</v>
      </c>
      <c r="D8945" s="22" t="s">
        <v>11273</v>
      </c>
      <c r="E8945" s="22" t="s">
        <v>103</v>
      </c>
      <c r="F8945" s="23" t="str">
        <f>HYPERLINK("https://www.spark-marketing.ru/Card/Lot/70119717", "Выполнение работ по обслуживанию системы видеонаблюдения")</f>
        <v>Выполнение работ по обслуживанию системы видеонаблюдения</v>
      </c>
      <c r="G8945" s="22" t="s">
        <v>119</v>
      </c>
      <c r="H8945" s="22" t="s">
        <v>2563</v>
      </c>
      <c r="I8945" s="26">
        <v>43581.465277777803</v>
      </c>
      <c r="J8945" s="23" t="str">
        <f>HYPERLINK("https://www.spark-marketing.ru/Card/Person/6305548", "ООО ""АККОРД""")</f>
        <v>ООО "АККОРД"</v>
      </c>
      <c r="K8945" s="24" t="s">
        <v>11275</v>
      </c>
      <c r="L8945" s="28" t="s">
        <v>52</v>
      </c>
      <c r="M8945" s="25">
        <v>2804740.9</v>
      </c>
      <c r="N8945" s="27">
        <v>0</v>
      </c>
    </row>
    <row r="8946" spans="1:14" x14ac:dyDescent="0.15">
      <c r="A8946" s="23" t="str">
        <f t="shared" ref="A8946:A8951" si="393">HYPERLINK("https://www.spark-marketing.ru/Card/Person/237205", "ГБДОУ ДЕТСКИЙ САД № 23 КОМБИНИРОВАННОГО ВИДА ПУШКИНСКОГО РАЙОНА САНКТ-ПЕТЕРБУРГА")</f>
        <v>ГБДОУ ДЕТСКИЙ САД № 23 КОМБИНИРОВАННОГО ВИДА ПУШКИНСКОГО РАЙОНА САНКТ-ПЕТЕРБУРГА</v>
      </c>
      <c r="B8946" s="24" t="s">
        <v>11276</v>
      </c>
      <c r="C8946" s="25">
        <v>571649</v>
      </c>
      <c r="D8946" s="22" t="s">
        <v>11277</v>
      </c>
      <c r="E8946" s="22" t="s">
        <v>59</v>
      </c>
      <c r="F8946" s="23" t="str">
        <f t="shared" ref="F8946:F8951" si="394">HYPERLINK("https://www.spark-marketing.ru/Card/Lot/70125601", "Монтаж системы видеонаблюдения в здании ГБДОУ № 23 комбинированного вида Пушкинского района Санкт-Петербурга по адресу: Санкт-Петербург, г. Павловск, ул. Берёзовая 22, литер А")</f>
        <v>Монтаж системы видеонаблюдения в здании ГБДОУ № 23 комбинированного вида Пушкинского района Санкт-Петербурга по адресу: Санкт-Петербург, г. Павловск, ул. Берёзовая 22, литер А</v>
      </c>
      <c r="G8946" s="22" t="s">
        <v>89</v>
      </c>
      <c r="H8946" s="22" t="s">
        <v>89</v>
      </c>
      <c r="I8946" s="26">
        <v>43581.46875</v>
      </c>
      <c r="J8946" s="28" t="s">
        <v>52</v>
      </c>
      <c r="K8946" s="28" t="s">
        <v>52</v>
      </c>
      <c r="L8946" s="28" t="s">
        <v>52</v>
      </c>
      <c r="M8946" s="28" t="s">
        <v>52</v>
      </c>
      <c r="N8946" s="28" t="s">
        <v>52</v>
      </c>
    </row>
    <row r="8947" spans="1:14" ht="12.75" hidden="1" outlineLevel="1" x14ac:dyDescent="0.2">
      <c r="A8947" s="23" t="str">
        <f t="shared" si="393"/>
        <v>ГБДОУ ДЕТСКИЙ САД № 23 КОМБИНИРОВАННОГО ВИДА ПУШКИНСКОГО РАЙОНА САНКТ-ПЕТЕРБУРГА</v>
      </c>
      <c r="B8947" s="24" t="s">
        <v>11276</v>
      </c>
      <c r="C8947" s="25">
        <v>571649</v>
      </c>
      <c r="D8947" s="22" t="s">
        <v>11277</v>
      </c>
      <c r="E8947" s="22" t="s">
        <v>59</v>
      </c>
      <c r="F8947" s="23" t="str">
        <f t="shared" si="394"/>
        <v>Монтаж системы видеонаблюдения в здании ГБДОУ № 23 комбинированного вида Пушкинского района Санкт-Петербурга по адресу: Санкт-Петербург, г. Павловск, ул. Берёзовая 22, литер А</v>
      </c>
      <c r="G8947" s="22" t="s">
        <v>89</v>
      </c>
      <c r="H8947" s="22" t="s">
        <v>89</v>
      </c>
      <c r="I8947" s="26">
        <v>43581.46875</v>
      </c>
      <c r="J8947" s="23" t="str">
        <f>HYPERLINK("https://www.spark-marketing.ru/Card/Person/1556733", "Михайлов Дмитрий Олегович")</f>
        <v>Михайлов Дмитрий Олегович</v>
      </c>
      <c r="K8947" s="24" t="s">
        <v>11278</v>
      </c>
      <c r="L8947" s="22" t="s">
        <v>10</v>
      </c>
      <c r="M8947" s="25">
        <v>440000</v>
      </c>
      <c r="N8947" s="27">
        <v>0.23029691296582344</v>
      </c>
    </row>
    <row r="8948" spans="1:14" hidden="1" outlineLevel="1" x14ac:dyDescent="0.2">
      <c r="A8948" s="23" t="str">
        <f t="shared" si="393"/>
        <v>ГБДОУ ДЕТСКИЙ САД № 23 КОМБИНИРОВАННОГО ВИДА ПУШКИНСКОГО РАЙОНА САНКТ-ПЕТЕРБУРГА</v>
      </c>
      <c r="B8948" s="24" t="s">
        <v>11276</v>
      </c>
      <c r="C8948" s="25">
        <v>571649</v>
      </c>
      <c r="D8948" s="22" t="s">
        <v>11277</v>
      </c>
      <c r="E8948" s="22" t="s">
        <v>59</v>
      </c>
      <c r="F8948" s="23" t="str">
        <f t="shared" si="394"/>
        <v>Монтаж системы видеонаблюдения в здании ГБДОУ № 23 комбинированного вида Пушкинского района Санкт-Петербурга по адресу: Санкт-Петербург, г. Павловск, ул. Берёзовая 22, литер А</v>
      </c>
      <c r="G8948" s="22" t="s">
        <v>89</v>
      </c>
      <c r="H8948" s="22" t="s">
        <v>89</v>
      </c>
      <c r="I8948" s="26">
        <v>43581.46875</v>
      </c>
      <c r="J8948" s="23" t="str">
        <f>HYPERLINK("https://www.spark-marketing.ru/Card/Person/913501", "ООО ""СОВРЕМЕННЫЕ СИСТЕМЫ БЕЗОПАСНОСТИ""")</f>
        <v>ООО "СОВРЕМЕННЫЕ СИСТЕМЫ БЕЗОПАСНОСТИ"</v>
      </c>
      <c r="K8948" s="24" t="s">
        <v>9115</v>
      </c>
      <c r="L8948" s="28" t="s">
        <v>52</v>
      </c>
      <c r="M8948" s="25">
        <v>560216</v>
      </c>
      <c r="N8948" s="27">
        <v>2.0000034986503955E-2</v>
      </c>
    </row>
    <row r="8949" spans="1:14" hidden="1" outlineLevel="1" x14ac:dyDescent="0.2">
      <c r="A8949" s="23" t="str">
        <f t="shared" si="393"/>
        <v>ГБДОУ ДЕТСКИЙ САД № 23 КОМБИНИРОВАННОГО ВИДА ПУШКИНСКОГО РАЙОНА САНКТ-ПЕТЕРБУРГА</v>
      </c>
      <c r="B8949" s="24" t="s">
        <v>11276</v>
      </c>
      <c r="C8949" s="25">
        <v>571649</v>
      </c>
      <c r="D8949" s="22" t="s">
        <v>11277</v>
      </c>
      <c r="E8949" s="22" t="s">
        <v>59</v>
      </c>
      <c r="F8949" s="23" t="str">
        <f t="shared" si="394"/>
        <v>Монтаж системы видеонаблюдения в здании ГБДОУ № 23 комбинированного вида Пушкинского района Санкт-Петербурга по адресу: Санкт-Петербург, г. Павловск, ул. Берёзовая 22, литер А</v>
      </c>
      <c r="G8949" s="22" t="s">
        <v>89</v>
      </c>
      <c r="H8949" s="22" t="s">
        <v>89</v>
      </c>
      <c r="I8949" s="26">
        <v>43581.46875</v>
      </c>
      <c r="J8949" s="23" t="str">
        <f>HYPERLINK("https://www.spark-marketing.ru/Card/Person/132600", "ООО ""АСПЕКТ""")</f>
        <v>ООО "АСПЕКТ"</v>
      </c>
      <c r="K8949" s="24" t="s">
        <v>10038</v>
      </c>
      <c r="L8949" s="28" t="s">
        <v>52</v>
      </c>
      <c r="M8949" s="25">
        <v>447141.75</v>
      </c>
      <c r="N8949" s="27">
        <v>0.21780366973439996</v>
      </c>
    </row>
    <row r="8950" spans="1:14" hidden="1" outlineLevel="1" x14ac:dyDescent="0.2">
      <c r="A8950" s="23" t="str">
        <f t="shared" si="393"/>
        <v>ГБДОУ ДЕТСКИЙ САД № 23 КОМБИНИРОВАННОГО ВИДА ПУШКИНСКОГО РАЙОНА САНКТ-ПЕТЕРБУРГА</v>
      </c>
      <c r="B8950" s="24" t="s">
        <v>11276</v>
      </c>
      <c r="C8950" s="25">
        <v>571649</v>
      </c>
      <c r="D8950" s="22" t="s">
        <v>11277</v>
      </c>
      <c r="E8950" s="22" t="s">
        <v>59</v>
      </c>
      <c r="F8950" s="23" t="str">
        <f t="shared" si="394"/>
        <v>Монтаж системы видеонаблюдения в здании ГБДОУ № 23 комбинированного вида Пушкинского района Санкт-Петербурга по адресу: Санкт-Петербург, г. Павловск, ул. Берёзовая 22, литер А</v>
      </c>
      <c r="G8950" s="22" t="s">
        <v>89</v>
      </c>
      <c r="H8950" s="22" t="s">
        <v>89</v>
      </c>
      <c r="I8950" s="26">
        <v>43581.46875</v>
      </c>
      <c r="J8950" s="23" t="str">
        <f>HYPERLINK("https://www.spark-marketing.ru/Card/Person/6369243", "Караулова Ирина Геннадьевна")</f>
        <v>Караулова Ирина Геннадьевна</v>
      </c>
      <c r="K8950" s="24" t="s">
        <v>11279</v>
      </c>
      <c r="L8950" s="28" t="s">
        <v>52</v>
      </c>
      <c r="M8950" s="25">
        <v>524283.5</v>
      </c>
      <c r="N8950" s="27">
        <v>8.2857662656630207E-2</v>
      </c>
    </row>
    <row r="8951" spans="1:14" hidden="1" outlineLevel="1" x14ac:dyDescent="0.2">
      <c r="A8951" s="23" t="str">
        <f t="shared" si="393"/>
        <v>ГБДОУ ДЕТСКИЙ САД № 23 КОМБИНИРОВАННОГО ВИДА ПУШКИНСКОГО РАЙОНА САНКТ-ПЕТЕРБУРГА</v>
      </c>
      <c r="B8951" s="24" t="s">
        <v>11276</v>
      </c>
      <c r="C8951" s="25">
        <v>571649</v>
      </c>
      <c r="D8951" s="22" t="s">
        <v>11277</v>
      </c>
      <c r="E8951" s="22" t="s">
        <v>59</v>
      </c>
      <c r="F8951" s="23" t="str">
        <f t="shared" si="394"/>
        <v>Монтаж системы видеонаблюдения в здании ГБДОУ № 23 комбинированного вида Пушкинского района Санкт-Петербурга по адресу: Санкт-Петербург, г. Павловск, ул. Берёзовая 22, литер А</v>
      </c>
      <c r="G8951" s="22" t="s">
        <v>89</v>
      </c>
      <c r="H8951" s="22" t="s">
        <v>89</v>
      </c>
      <c r="I8951" s="26">
        <v>43581.46875</v>
      </c>
      <c r="J8951" s="23" t="str">
        <f>HYPERLINK("https://www.spark-marketing.ru/Card/Person/2576628", "ООО ""АЛЬТЕРА""")</f>
        <v>ООО "АЛЬТЕРА"</v>
      </c>
      <c r="K8951" s="24" t="s">
        <v>1718</v>
      </c>
      <c r="L8951" s="28" t="s">
        <v>52</v>
      </c>
      <c r="M8951" s="25">
        <v>523000</v>
      </c>
      <c r="N8951" s="27">
        <v>8.5102921548012855E-2</v>
      </c>
    </row>
    <row r="8952" spans="1:14" x14ac:dyDescent="0.2">
      <c r="A8952" s="23" t="str">
        <f>HYPERLINK("https://www.spark-marketing.ru/Card/Person/1297156", "ГОАУСОН ""КОЛЬСКИЙ КЦСОН""")</f>
        <v>ГОАУСОН "КОЛЬСКИЙ КЦСОН"</v>
      </c>
      <c r="B8952" s="24" t="s">
        <v>11280</v>
      </c>
      <c r="C8952" s="25">
        <v>57433.33</v>
      </c>
      <c r="D8952" s="22" t="s">
        <v>11281</v>
      </c>
      <c r="E8952" s="22" t="s">
        <v>49</v>
      </c>
      <c r="F8952" s="23" t="str">
        <f>HYPERLINK("https://www.spark-marketing.ru/Card/Lot/70118876", "Работы по установке системы видеонаблюдения")</f>
        <v>Работы по установке системы видеонаблюдения</v>
      </c>
      <c r="G8952" s="22" t="s">
        <v>190</v>
      </c>
      <c r="H8952" s="22" t="s">
        <v>190</v>
      </c>
      <c r="I8952" s="26">
        <v>43581.426701388897</v>
      </c>
      <c r="J8952" s="23" t="str">
        <f>HYPERLINK("https://www.spark-marketing.ru/Card/Person/386697", "ООО ""РУСЬ""")</f>
        <v>ООО "РУСЬ"</v>
      </c>
      <c r="K8952" s="24" t="s">
        <v>10339</v>
      </c>
      <c r="L8952" s="28" t="s">
        <v>52</v>
      </c>
      <c r="M8952" s="25">
        <v>54700</v>
      </c>
      <c r="N8952" s="27">
        <v>4.7591355054634653E-2</v>
      </c>
    </row>
    <row r="8953" spans="1:14" x14ac:dyDescent="0.15">
      <c r="A8953" s="23" t="str">
        <f t="shared" ref="A8953:A8958" si="395">HYPERLINK("https://www.spark-marketing.ru/Card/Person/237205", "ГБДОУ ДЕТСКИЙ САД № 23 КОМБИНИРОВАННОГО ВИДА ПУШКИНСКОГО РАЙОНА САНКТ-ПЕТЕРБУРГА")</f>
        <v>ГБДОУ ДЕТСКИЙ САД № 23 КОМБИНИРОВАННОГО ВИДА ПУШКИНСКОГО РАЙОНА САНКТ-ПЕТЕРБУРГА</v>
      </c>
      <c r="B8953" s="24" t="s">
        <v>11276</v>
      </c>
      <c r="C8953" s="25">
        <v>565985</v>
      </c>
      <c r="D8953" s="22" t="s">
        <v>11282</v>
      </c>
      <c r="E8953" s="22" t="s">
        <v>59</v>
      </c>
      <c r="F8953" s="23" t="str">
        <f t="shared" ref="F8953:F8958" si="396">HYPERLINK("https://www.spark-marketing.ru/Card/Lot/70125605", "Монтаж системы видеонаблюдения в здании ГБДОУ № 23 комбинированного вида Пушкинского района Санкт-Петербурга по адресу: г.Санкт-Петербург, ул. Мичурина 1, литер А.")</f>
        <v>Монтаж системы видеонаблюдения в здании ГБДОУ № 23 комбинированного вида Пушкинского района Санкт-Петербурга по адресу: г.Санкт-Петербург, ул. Мичурина 1, литер А.</v>
      </c>
      <c r="G8953" s="22" t="s">
        <v>89</v>
      </c>
      <c r="H8953" s="22" t="s">
        <v>89</v>
      </c>
      <c r="I8953" s="26">
        <v>43581.4555555556</v>
      </c>
      <c r="J8953" s="28" t="s">
        <v>52</v>
      </c>
      <c r="K8953" s="28" t="s">
        <v>52</v>
      </c>
      <c r="L8953" s="28" t="s">
        <v>52</v>
      </c>
      <c r="M8953" s="28" t="s">
        <v>52</v>
      </c>
      <c r="N8953" s="28" t="s">
        <v>52</v>
      </c>
    </row>
    <row r="8954" spans="1:14" hidden="1" outlineLevel="1" x14ac:dyDescent="0.2">
      <c r="A8954" s="23" t="str">
        <f t="shared" si="395"/>
        <v>ГБДОУ ДЕТСКИЙ САД № 23 КОМБИНИРОВАННОГО ВИДА ПУШКИНСКОГО РАЙОНА САНКТ-ПЕТЕРБУРГА</v>
      </c>
      <c r="B8954" s="24" t="s">
        <v>11276</v>
      </c>
      <c r="C8954" s="25">
        <v>565985</v>
      </c>
      <c r="D8954" s="22" t="s">
        <v>11282</v>
      </c>
      <c r="E8954" s="22" t="s">
        <v>59</v>
      </c>
      <c r="F8954" s="23" t="str">
        <f t="shared" si="396"/>
        <v>Монтаж системы видеонаблюдения в здании ГБДОУ № 23 комбинированного вида Пушкинского района Санкт-Петербурга по адресу: г.Санкт-Петербург, ул. Мичурина 1, литер А.</v>
      </c>
      <c r="G8954" s="22" t="s">
        <v>89</v>
      </c>
      <c r="H8954" s="22" t="s">
        <v>89</v>
      </c>
      <c r="I8954" s="26">
        <v>43581.4555555556</v>
      </c>
      <c r="J8954" s="23" t="str">
        <f>HYPERLINK("https://www.spark-marketing.ru/Card/Person/2576628", "ООО ""АЛЬТЕРА""")</f>
        <v>ООО "АЛЬТЕРА"</v>
      </c>
      <c r="K8954" s="24" t="s">
        <v>1718</v>
      </c>
      <c r="L8954" s="28" t="s">
        <v>52</v>
      </c>
      <c r="M8954" s="25">
        <v>493000</v>
      </c>
      <c r="N8954" s="27">
        <v>0.12895218071150297</v>
      </c>
    </row>
    <row r="8955" spans="1:14" ht="12.75" hidden="1" outlineLevel="1" x14ac:dyDescent="0.2">
      <c r="A8955" s="23" t="str">
        <f t="shared" si="395"/>
        <v>ГБДОУ ДЕТСКИЙ САД № 23 КОМБИНИРОВАННОГО ВИДА ПУШКИНСКОГО РАЙОНА САНКТ-ПЕТЕРБУРГА</v>
      </c>
      <c r="B8955" s="24" t="s">
        <v>11276</v>
      </c>
      <c r="C8955" s="25">
        <v>565985</v>
      </c>
      <c r="D8955" s="22" t="s">
        <v>11282</v>
      </c>
      <c r="E8955" s="22" t="s">
        <v>59</v>
      </c>
      <c r="F8955" s="23" t="str">
        <f t="shared" si="396"/>
        <v>Монтаж системы видеонаблюдения в здании ГБДОУ № 23 комбинированного вида Пушкинского района Санкт-Петербурга по адресу: г.Санкт-Петербург, ул. Мичурина 1, литер А.</v>
      </c>
      <c r="G8955" s="22" t="s">
        <v>89</v>
      </c>
      <c r="H8955" s="22" t="s">
        <v>89</v>
      </c>
      <c r="I8955" s="26">
        <v>43581.4555555556</v>
      </c>
      <c r="J8955" s="23" t="str">
        <f>HYPERLINK("https://www.spark-marketing.ru/Card/Person/1556733", "Михайлов Дмитрий Олегович")</f>
        <v>Михайлов Дмитрий Олегович</v>
      </c>
      <c r="K8955" s="24" t="s">
        <v>11278</v>
      </c>
      <c r="L8955" s="22" t="s">
        <v>10</v>
      </c>
      <c r="M8955" s="25">
        <v>420000</v>
      </c>
      <c r="N8955" s="27">
        <v>0.25793086389215264</v>
      </c>
    </row>
    <row r="8956" spans="1:14" hidden="1" outlineLevel="1" x14ac:dyDescent="0.2">
      <c r="A8956" s="23" t="str">
        <f t="shared" si="395"/>
        <v>ГБДОУ ДЕТСКИЙ САД № 23 КОМБИНИРОВАННОГО ВИДА ПУШКИНСКОГО РАЙОНА САНКТ-ПЕТЕРБУРГА</v>
      </c>
      <c r="B8956" s="24" t="s">
        <v>11276</v>
      </c>
      <c r="C8956" s="25">
        <v>565985</v>
      </c>
      <c r="D8956" s="22" t="s">
        <v>11282</v>
      </c>
      <c r="E8956" s="22" t="s">
        <v>59</v>
      </c>
      <c r="F8956" s="23" t="str">
        <f t="shared" si="396"/>
        <v>Монтаж системы видеонаблюдения в здании ГБДОУ № 23 комбинированного вида Пушкинского района Санкт-Петербурга по адресу: г.Санкт-Петербург, ул. Мичурина 1, литер А.</v>
      </c>
      <c r="G8956" s="22" t="s">
        <v>89</v>
      </c>
      <c r="H8956" s="22" t="s">
        <v>89</v>
      </c>
      <c r="I8956" s="26">
        <v>43581.4555555556</v>
      </c>
      <c r="J8956" s="23" t="str">
        <f>HYPERLINK("https://www.spark-marketing.ru/Card/Person/913501", "ООО ""СОВРЕМЕННЫЕ СИСТЕМЫ БЕЗОПАСНОСТИ""")</f>
        <v>ООО "СОВРЕМЕННЫЕ СИСТЕМЫ БЕЗОПАСНОСТИ"</v>
      </c>
      <c r="K8956" s="24" t="s">
        <v>9115</v>
      </c>
      <c r="L8956" s="28" t="s">
        <v>52</v>
      </c>
      <c r="M8956" s="25">
        <v>551835.35</v>
      </c>
      <c r="N8956" s="27">
        <v>2.5000044170781912E-2</v>
      </c>
    </row>
    <row r="8957" spans="1:14" hidden="1" outlineLevel="1" x14ac:dyDescent="0.2">
      <c r="A8957" s="23" t="str">
        <f t="shared" si="395"/>
        <v>ГБДОУ ДЕТСКИЙ САД № 23 КОМБИНИРОВАННОГО ВИДА ПУШКИНСКОГО РАЙОНА САНКТ-ПЕТЕРБУРГА</v>
      </c>
      <c r="B8957" s="24" t="s">
        <v>11276</v>
      </c>
      <c r="C8957" s="25">
        <v>565985</v>
      </c>
      <c r="D8957" s="22" t="s">
        <v>11282</v>
      </c>
      <c r="E8957" s="22" t="s">
        <v>59</v>
      </c>
      <c r="F8957" s="23" t="str">
        <f t="shared" si="396"/>
        <v>Монтаж системы видеонаблюдения в здании ГБДОУ № 23 комбинированного вида Пушкинского района Санкт-Петербурга по адресу: г.Санкт-Петербург, ул. Мичурина 1, литер А.</v>
      </c>
      <c r="G8957" s="22" t="s">
        <v>89</v>
      </c>
      <c r="H8957" s="22" t="s">
        <v>89</v>
      </c>
      <c r="I8957" s="26">
        <v>43581.4555555556</v>
      </c>
      <c r="J8957" s="23" t="str">
        <f>HYPERLINK("https://www.spark-marketing.ru/Card/Person/132600", "ООО ""АСПЕКТ""")</f>
        <v>ООО "АСПЕКТ"</v>
      </c>
      <c r="K8957" s="24" t="s">
        <v>10038</v>
      </c>
      <c r="L8957" s="28" t="s">
        <v>52</v>
      </c>
      <c r="M8957" s="25">
        <v>427170.07</v>
      </c>
      <c r="N8957" s="27">
        <v>0.24526255996183643</v>
      </c>
    </row>
    <row r="8958" spans="1:14" hidden="1" outlineLevel="1" x14ac:dyDescent="0.2">
      <c r="A8958" s="23" t="str">
        <f t="shared" si="395"/>
        <v>ГБДОУ ДЕТСКИЙ САД № 23 КОМБИНИРОВАННОГО ВИДА ПУШКИНСКОГО РАЙОНА САНКТ-ПЕТЕРБУРГА</v>
      </c>
      <c r="B8958" s="24" t="s">
        <v>11276</v>
      </c>
      <c r="C8958" s="25">
        <v>565985</v>
      </c>
      <c r="D8958" s="22" t="s">
        <v>11282</v>
      </c>
      <c r="E8958" s="22" t="s">
        <v>59</v>
      </c>
      <c r="F8958" s="23" t="str">
        <f t="shared" si="396"/>
        <v>Монтаж системы видеонаблюдения в здании ГБДОУ № 23 комбинированного вида Пушкинского района Санкт-Петербурга по адресу: г.Санкт-Петербург, ул. Мичурина 1, литер А.</v>
      </c>
      <c r="G8958" s="22" t="s">
        <v>89</v>
      </c>
      <c r="H8958" s="22" t="s">
        <v>89</v>
      </c>
      <c r="I8958" s="26">
        <v>43581.4555555556</v>
      </c>
      <c r="J8958" s="23" t="str">
        <f>HYPERLINK("https://www.spark-marketing.ru/Card/Person/6369243", "Караулова Ирина Геннадьевна")</f>
        <v>Караулова Ирина Геннадьевна</v>
      </c>
      <c r="K8958" s="24" t="s">
        <v>11279</v>
      </c>
      <c r="L8958" s="28" t="s">
        <v>52</v>
      </c>
      <c r="M8958" s="25">
        <v>494340.14</v>
      </c>
      <c r="N8958" s="27">
        <v>0.12658437944468492</v>
      </c>
    </row>
    <row r="8959" spans="1:14" x14ac:dyDescent="0.15">
      <c r="A8959" s="23" t="str">
        <f>HYPERLINK("https://www.spark-marketing.ru/Card/Person/1062439", "ФКУ ""ГБ МСЭ ПО ТАМБОВСКОЙ ОБЛАСТИ"" МИНТРУДА РОССИИ")</f>
        <v>ФКУ "ГБ МСЭ ПО ТАМБОВСКОЙ ОБЛАСТИ" МИНТРУДА РОССИИ</v>
      </c>
      <c r="B8959" s="24" t="s">
        <v>11283</v>
      </c>
      <c r="C8959" s="25">
        <v>47981.68</v>
      </c>
      <c r="D8959" s="22" t="s">
        <v>11284</v>
      </c>
      <c r="E8959" s="22" t="s">
        <v>53</v>
      </c>
      <c r="F8959" s="23" t="str">
        <f>HYPERLINK("https://www.spark-marketing.ru/Card/Lot/70766782", "Тех. обслуживание комплекса технических средств охраны")</f>
        <v>Тех. обслуживание комплекса технических средств охраны</v>
      </c>
      <c r="G8959" s="22" t="s">
        <v>1319</v>
      </c>
      <c r="H8959" s="22" t="s">
        <v>1320</v>
      </c>
      <c r="I8959" s="26">
        <v>43581.440833333298</v>
      </c>
      <c r="J8959" s="28" t="s">
        <v>52</v>
      </c>
      <c r="K8959" s="28" t="s">
        <v>52</v>
      </c>
      <c r="L8959" s="28" t="s">
        <v>52</v>
      </c>
      <c r="M8959" s="28" t="s">
        <v>52</v>
      </c>
      <c r="N8959" s="28" t="s">
        <v>52</v>
      </c>
    </row>
    <row r="8960" spans="1:14" x14ac:dyDescent="0.15">
      <c r="A8960" s="23" t="str">
        <f>HYPERLINK("https://www.spark-marketing.ru/Card/Person/30200", "УФНС РОССИИ ПО ВОРОНЕЖСКОЙ ОБЛАСТИ")</f>
        <v>УФНС РОССИИ ПО ВОРОНЕЖСКОЙ ОБЛАСТИ</v>
      </c>
      <c r="B8960" s="24" t="s">
        <v>4385</v>
      </c>
      <c r="C8960" s="25">
        <v>52388.639999999999</v>
      </c>
      <c r="D8960" s="22" t="s">
        <v>11285</v>
      </c>
      <c r="E8960" s="22" t="s">
        <v>53</v>
      </c>
      <c r="F8960" s="23" t="str">
        <f>HYPERLINK("https://www.spark-marketing.ru/Card/Lot/70766472", "Услуги пультовой охраны с использованием тревожной кнопки, 1 шт")</f>
        <v>Услуги пультовой охраны с использованием тревожной кнопки, 1 шт</v>
      </c>
      <c r="G8960" s="22" t="s">
        <v>552</v>
      </c>
      <c r="H8960" s="22" t="s">
        <v>886</v>
      </c>
      <c r="I8960" s="26">
        <v>43581.417766203696</v>
      </c>
      <c r="J8960" s="28" t="s">
        <v>52</v>
      </c>
      <c r="K8960" s="28" t="s">
        <v>52</v>
      </c>
      <c r="L8960" s="28" t="s">
        <v>52</v>
      </c>
      <c r="M8960" s="28" t="s">
        <v>52</v>
      </c>
      <c r="N8960" s="28" t="s">
        <v>52</v>
      </c>
    </row>
    <row r="8961" spans="1:14" x14ac:dyDescent="0.15">
      <c r="A8961" s="23" t="str">
        <f>HYPERLINK("https://www.spark-marketing.ru/Card/Person/1037162", "МБУ ""ПКИО""")</f>
        <v>МБУ "ПКИО"</v>
      </c>
      <c r="B8961" s="24" t="s">
        <v>11099</v>
      </c>
      <c r="C8961" s="25">
        <v>211486.44</v>
      </c>
      <c r="D8961" s="22" t="s">
        <v>11286</v>
      </c>
      <c r="E8961" s="22" t="s">
        <v>11101</v>
      </c>
      <c r="F8961" s="23" t="str">
        <f>HYPERLINK("https://www.spark-marketing.ru/Card/Lot/70120571", "охрана объекта заказчика")</f>
        <v>охрана объекта заказчика</v>
      </c>
      <c r="G8961" s="22" t="s">
        <v>402</v>
      </c>
      <c r="H8961" s="22" t="s">
        <v>4954</v>
      </c>
      <c r="I8961" s="26">
        <v>43581.441666666702</v>
      </c>
      <c r="J8961" s="28" t="s">
        <v>52</v>
      </c>
      <c r="K8961" s="28" t="s">
        <v>52</v>
      </c>
      <c r="L8961" s="28" t="s">
        <v>52</v>
      </c>
      <c r="M8961" s="28" t="s">
        <v>52</v>
      </c>
      <c r="N8961" s="28" t="s">
        <v>52</v>
      </c>
    </row>
    <row r="8962" spans="1:14" x14ac:dyDescent="0.15">
      <c r="A8962" s="23" t="str">
        <f>HYPERLINK("https://www.spark-marketing.ru/Card/Person/93956", "ГБУ РО ""КВД""")</f>
        <v>ГБУ РО "КВД"</v>
      </c>
      <c r="B8962" s="24" t="s">
        <v>11287</v>
      </c>
      <c r="C8962" s="25">
        <v>15866.69</v>
      </c>
      <c r="D8962" s="22" t="s">
        <v>11288</v>
      </c>
      <c r="E8962" s="22" t="s">
        <v>103</v>
      </c>
      <c r="F8962" s="23" t="str">
        <f>HYPERLINK("https://www.spark-marketing.ru/Card/Lot/70122015", "Закупка услуги по техническому обслуживанию системы видеонаблюдения для нужд Каменск-Шахтинского филиала ГБУ РО ""КВД""")</f>
        <v>Закупка услуги по техническому обслуживанию системы видеонаблюдения для нужд Каменск-Шахтинского филиала ГБУ РО "КВД"</v>
      </c>
      <c r="G8962" s="22" t="s">
        <v>402</v>
      </c>
      <c r="H8962" s="22" t="s">
        <v>402</v>
      </c>
      <c r="I8962" s="26">
        <v>43581.4194444444</v>
      </c>
      <c r="J8962" s="23" t="str">
        <f>HYPERLINK("https://www.spark-marketing.ru/Card/Person/392146", "Твардовский Павел Константинович")</f>
        <v>Твардовский Павел Константинович</v>
      </c>
      <c r="K8962" s="24" t="s">
        <v>6138</v>
      </c>
      <c r="L8962" s="28" t="s">
        <v>52</v>
      </c>
      <c r="M8962" s="28" t="s">
        <v>52</v>
      </c>
      <c r="N8962" s="28" t="s">
        <v>52</v>
      </c>
    </row>
    <row r="8963" spans="1:14" ht="12.75" hidden="1" outlineLevel="1" x14ac:dyDescent="0.2">
      <c r="A8963" s="23" t="str">
        <f>HYPERLINK("https://www.spark-marketing.ru/Card/Person/93956", "ГБУ РО ""КВД""")</f>
        <v>ГБУ РО "КВД"</v>
      </c>
      <c r="B8963" s="24" t="s">
        <v>11287</v>
      </c>
      <c r="C8963" s="25">
        <v>15866.69</v>
      </c>
      <c r="D8963" s="22" t="s">
        <v>11288</v>
      </c>
      <c r="E8963" s="22" t="s">
        <v>103</v>
      </c>
      <c r="F8963" s="23" t="str">
        <f>HYPERLINK("https://www.spark-marketing.ru/Card/Lot/70122015", "Закупка услуги по техническому обслуживанию системы видеонаблюдения для нужд Каменск-Шахтинского филиала ГБУ РО ""КВД""")</f>
        <v>Закупка услуги по техническому обслуживанию системы видеонаблюдения для нужд Каменск-Шахтинского филиала ГБУ РО "КВД"</v>
      </c>
      <c r="G8963" s="22" t="s">
        <v>402</v>
      </c>
      <c r="H8963" s="22" t="s">
        <v>402</v>
      </c>
      <c r="I8963" s="26">
        <v>43581.4194444444</v>
      </c>
      <c r="J8963" s="23" t="str">
        <f>HYPERLINK("https://www.spark-marketing.ru/Card/Person/392146", "Твардовский Павел Константинович")</f>
        <v>Твардовский Павел Константинович</v>
      </c>
      <c r="K8963" s="24" t="s">
        <v>6138</v>
      </c>
      <c r="L8963" s="22" t="s">
        <v>10</v>
      </c>
      <c r="M8963" s="25">
        <v>15073.36</v>
      </c>
      <c r="N8963" s="27">
        <v>4.9999716386971697E-2</v>
      </c>
    </row>
    <row r="8964" spans="1:14" x14ac:dyDescent="0.15">
      <c r="A8964" s="23" t="str">
        <f>HYPERLINK("https://www.spark-marketing.ru/Card/Person/168653", "ИЕНГРИНСКАЯ НАСЛЕЖНАЯ АДМИНИСТРАЦИЯ")</f>
        <v>ИЕНГРИНСКАЯ НАСЛЕЖНАЯ АДМИНИСТРАЦИЯ</v>
      </c>
      <c r="B8964" s="24" t="s">
        <v>11289</v>
      </c>
      <c r="C8964" s="25">
        <v>2000000</v>
      </c>
      <c r="D8964" s="22" t="s">
        <v>11290</v>
      </c>
      <c r="E8964" s="22" t="s">
        <v>84</v>
      </c>
      <c r="F8964" s="23" t="str">
        <f>HYPERLINK("https://www.spark-marketing.ru/Card/Lot/70111657", "Оказание услуг по техническому обслуживанию системы видеонаблюдения и предоставлению каналов связи")</f>
        <v>Оказание услуг по техническому обслуживанию системы видеонаблюдения и предоставлению каналов связи</v>
      </c>
      <c r="G8964" s="22" t="s">
        <v>424</v>
      </c>
      <c r="H8964" s="22" t="s">
        <v>6478</v>
      </c>
      <c r="I8964" s="26">
        <v>43581.431250000001</v>
      </c>
      <c r="J8964" s="23" t="str">
        <f>HYPERLINK("https://www.spark-marketing.ru/Card/Person/10991", "ПАО ""РОСТЕЛЕКОМ""")</f>
        <v>ПАО "РОСТЕЛЕКОМ"</v>
      </c>
      <c r="K8964" s="24" t="s">
        <v>607</v>
      </c>
      <c r="L8964" s="28" t="s">
        <v>52</v>
      </c>
      <c r="M8964" s="28" t="s">
        <v>52</v>
      </c>
      <c r="N8964" s="28" t="s">
        <v>52</v>
      </c>
    </row>
    <row r="8965" spans="1:14" hidden="1" outlineLevel="1" x14ac:dyDescent="0.15">
      <c r="A8965" s="23" t="str">
        <f>HYPERLINK("https://www.spark-marketing.ru/Card/Person/168653", "ИЕНГРИНСКАЯ НАСЛЕЖНАЯ АДМИНИСТРАЦИЯ")</f>
        <v>ИЕНГРИНСКАЯ НАСЛЕЖНАЯ АДМИНИСТРАЦИЯ</v>
      </c>
      <c r="B8965" s="24" t="s">
        <v>11289</v>
      </c>
      <c r="C8965" s="25">
        <v>2000000</v>
      </c>
      <c r="D8965" s="22" t="s">
        <v>11290</v>
      </c>
      <c r="E8965" s="22" t="s">
        <v>84</v>
      </c>
      <c r="F8965" s="23" t="str">
        <f>HYPERLINK("https://www.spark-marketing.ru/Card/Lot/70111657", "Оказание услуг по техническому обслуживанию системы видеонаблюдения и предоставлению каналов связи")</f>
        <v>Оказание услуг по техническому обслуживанию системы видеонаблюдения и предоставлению каналов связи</v>
      </c>
      <c r="G8965" s="22" t="s">
        <v>424</v>
      </c>
      <c r="H8965" s="22" t="s">
        <v>6478</v>
      </c>
      <c r="I8965" s="26">
        <v>43581.431250000001</v>
      </c>
      <c r="J8965" s="23" t="str">
        <f>HYPERLINK("https://www.spark-marketing.ru/Card/Person/10991", "ПАО ""РОСТЕЛЕКОМ""")</f>
        <v>ПАО "РОСТЕЛЕКОМ"</v>
      </c>
      <c r="K8965" s="24" t="s">
        <v>607</v>
      </c>
      <c r="L8965" s="22" t="s">
        <v>10</v>
      </c>
      <c r="M8965" s="28" t="s">
        <v>52</v>
      </c>
      <c r="N8965" s="28" t="s">
        <v>52</v>
      </c>
    </row>
    <row r="8966" spans="1:14" x14ac:dyDescent="0.15">
      <c r="A8966" s="23" t="str">
        <f>HYPERLINK("https://www.spark-marketing.ru/Card/Person/4343928", "ФГБОУ ВО КУБАНСКИЙ ГАУ")</f>
        <v>ФГБОУ ВО КУБАНСКИЙ ГАУ</v>
      </c>
      <c r="B8966" s="24" t="s">
        <v>1428</v>
      </c>
      <c r="C8966" s="25">
        <v>571362</v>
      </c>
      <c r="D8966" s="22" t="s">
        <v>11291</v>
      </c>
      <c r="E8966" s="22" t="s">
        <v>144</v>
      </c>
      <c r="F8966" s="23" t="str">
        <f>HYPERLINK("https://www.spark-marketing.ru/Card/Lot/70193879", "Услуги охранные учебных корпусов")</f>
        <v>Услуги охранные учебных корпусов</v>
      </c>
      <c r="G8966" s="22" t="s">
        <v>132</v>
      </c>
      <c r="H8966" s="22" t="s">
        <v>132</v>
      </c>
      <c r="I8966" s="26">
        <v>43581.429166666698</v>
      </c>
      <c r="J8966" s="28" t="s">
        <v>52</v>
      </c>
      <c r="K8966" s="28" t="s">
        <v>52</v>
      </c>
      <c r="L8966" s="28" t="s">
        <v>52</v>
      </c>
      <c r="M8966" s="28" t="s">
        <v>52</v>
      </c>
      <c r="N8966" s="28" t="s">
        <v>52</v>
      </c>
    </row>
    <row r="8967" spans="1:14" x14ac:dyDescent="0.15">
      <c r="A8967" s="23" t="str">
        <f>HYPERLINK("https://www.spark-marketing.ru/Card/Person/9958", "УПРАВЛЕНИЕ РОСРЕЕСТРА ПО САРАТОВСКОЙ ОБЛАСТИ")</f>
        <v>УПРАВЛЕНИЕ РОСРЕЕСТРА ПО САРАТОВСКОЙ ОБЛАСТИ</v>
      </c>
      <c r="B8967" s="24" t="s">
        <v>11292</v>
      </c>
      <c r="C8967" s="25">
        <v>33300</v>
      </c>
      <c r="D8967" s="22" t="s">
        <v>11293</v>
      </c>
      <c r="E8967" s="22" t="s">
        <v>491</v>
      </c>
      <c r="F8967" s="23" t="str">
        <f>HYPERLINK("https://www.spark-marketing.ru/Card/Lot/70121866", "Оказание услуг по составлению отчета по форме 2 -ТП ""Отходы"" ""Сведения об образовании, использовании, обезвреживании, транспортировке и размещению отходов производства и потребления"" (37 объектов) и сопровождение в Управление Росприроднадзора по ...")</f>
        <v>Оказание услуг по составлению отчета по форме 2 -ТП "Отходы" "Сведения об образовании, использовании, обезвреживании, транспортировке и размещению отходов производства и потребления" (37 объектов) и сопровождение в Управление Росприроднадзора по ...</v>
      </c>
      <c r="G8967" s="22" t="s">
        <v>80</v>
      </c>
      <c r="H8967" s="22" t="s">
        <v>80</v>
      </c>
      <c r="I8967" s="26">
        <v>43581.454166666699</v>
      </c>
      <c r="J8967" s="28" t="s">
        <v>52</v>
      </c>
      <c r="K8967" s="28" t="s">
        <v>52</v>
      </c>
      <c r="L8967" s="28" t="s">
        <v>52</v>
      </c>
      <c r="M8967" s="28" t="s">
        <v>52</v>
      </c>
      <c r="N8967" s="28" t="s">
        <v>52</v>
      </c>
    </row>
    <row r="8968" spans="1:14" ht="12.75" hidden="1" outlineLevel="1" x14ac:dyDescent="0.2">
      <c r="A8968" s="23" t="str">
        <f>HYPERLINK("https://www.spark-marketing.ru/Card/Person/9958", "УПРАВЛЕНИЕ РОСРЕЕСТРА ПО САРАТОВСКОЙ ОБЛАСТИ")</f>
        <v>УПРАВЛЕНИЕ РОСРЕЕСТРА ПО САРАТОВСКОЙ ОБЛАСТИ</v>
      </c>
      <c r="B8968" s="24" t="s">
        <v>11292</v>
      </c>
      <c r="C8968" s="25">
        <v>33300</v>
      </c>
      <c r="D8968" s="22" t="s">
        <v>11293</v>
      </c>
      <c r="E8968" s="22" t="s">
        <v>491</v>
      </c>
      <c r="F8968" s="23" t="str">
        <f>HYPERLINK("https://www.spark-marketing.ru/Card/Lot/70121866", "Оказание услуг по составлению отчета по форме 2 -ТП ""Отходы"" ""Сведения об образовании, использовании, обезвреживании, транспортировке и размещению отходов производства и потребления"" (37 объектов) и сопровождение в Управление Росприроднадзора по ...")</f>
        <v>Оказание услуг по составлению отчета по форме 2 -ТП "Отходы" "Сведения об образовании, использовании, обезвреживании, транспортировке и размещению отходов производства и потребления" (37 объектов) и сопровождение в Управление Росприроднадзора по ...</v>
      </c>
      <c r="G8968" s="22" t="s">
        <v>80</v>
      </c>
      <c r="H8968" s="22" t="s">
        <v>80</v>
      </c>
      <c r="I8968" s="26">
        <v>43581.454166666699</v>
      </c>
      <c r="J8968" s="23" t="str">
        <f>HYPERLINK("https://www.spark-marketing.ru/Card/Person/6110125", "ООО ""ЭКОЛОГИЯ-ПРОФИ""")</f>
        <v>ООО "ЭКОЛОГИЯ-ПРОФИ"</v>
      </c>
      <c r="K8968" s="24" t="s">
        <v>11294</v>
      </c>
      <c r="L8968" s="22" t="s">
        <v>10</v>
      </c>
      <c r="M8968" s="25">
        <v>29600</v>
      </c>
      <c r="N8968" s="27">
        <v>0.1111111111111111</v>
      </c>
    </row>
    <row r="8969" spans="1:14" hidden="1" outlineLevel="1" x14ac:dyDescent="0.2">
      <c r="A8969" s="23" t="str">
        <f>HYPERLINK("https://www.spark-marketing.ru/Card/Person/9958", "УПРАВЛЕНИЕ РОСРЕЕСТРА ПО САРАТОВСКОЙ ОБЛАСТИ")</f>
        <v>УПРАВЛЕНИЕ РОСРЕЕСТРА ПО САРАТОВСКОЙ ОБЛАСТИ</v>
      </c>
      <c r="B8969" s="24" t="s">
        <v>11292</v>
      </c>
      <c r="C8969" s="25">
        <v>33300</v>
      </c>
      <c r="D8969" s="22" t="s">
        <v>11293</v>
      </c>
      <c r="E8969" s="22" t="s">
        <v>491</v>
      </c>
      <c r="F8969" s="23" t="str">
        <f>HYPERLINK("https://www.spark-marketing.ru/Card/Lot/70121866", "Оказание услуг по составлению отчета по форме 2 -ТП ""Отходы"" ""Сведения об образовании, использовании, обезвреживании, транспортировке и размещению отходов производства и потребления"" (37 объектов) и сопровождение в Управление Росприроднадзора по ...")</f>
        <v>Оказание услуг по составлению отчета по форме 2 -ТП "Отходы" "Сведения об образовании, использовании, обезвреживании, транспортировке и размещению отходов производства и потребления" (37 объектов) и сопровождение в Управление Росприроднадзора по ...</v>
      </c>
      <c r="G8969" s="22" t="s">
        <v>80</v>
      </c>
      <c r="H8969" s="22" t="s">
        <v>80</v>
      </c>
      <c r="I8969" s="26">
        <v>43581.454166666699</v>
      </c>
      <c r="J8969" s="23" t="str">
        <f>HYPERLINK("https://www.spark-marketing.ru/Card/Person/6519095", "ООО ""ДОНСКАЯ ЭКОЛОГИЯ""")</f>
        <v>ООО "ДОНСКАЯ ЭКОЛОГИЯ"</v>
      </c>
      <c r="K8969" s="24" t="s">
        <v>11295</v>
      </c>
      <c r="L8969" s="28" t="s">
        <v>52</v>
      </c>
      <c r="M8969" s="25">
        <v>29610</v>
      </c>
      <c r="N8969" s="27">
        <v>0.11081081081081082</v>
      </c>
    </row>
    <row r="8970" spans="1:14" hidden="1" outlineLevel="1" x14ac:dyDescent="0.2">
      <c r="A8970" s="23" t="str">
        <f>HYPERLINK("https://www.spark-marketing.ru/Card/Person/9958", "УПРАВЛЕНИЕ РОСРЕЕСТРА ПО САРАТОВСКОЙ ОБЛАСТИ")</f>
        <v>УПРАВЛЕНИЕ РОСРЕЕСТРА ПО САРАТОВСКОЙ ОБЛАСТИ</v>
      </c>
      <c r="B8970" s="24" t="s">
        <v>11292</v>
      </c>
      <c r="C8970" s="25">
        <v>33300</v>
      </c>
      <c r="D8970" s="22" t="s">
        <v>11293</v>
      </c>
      <c r="E8970" s="22" t="s">
        <v>491</v>
      </c>
      <c r="F8970" s="23" t="str">
        <f>HYPERLINK("https://www.spark-marketing.ru/Card/Lot/70121866", "Оказание услуг по составлению отчета по форме 2 -ТП ""Отходы"" ""Сведения об образовании, использовании, обезвреживании, транспортировке и размещению отходов производства и потребления"" (37 объектов) и сопровождение в Управление Росприроднадзора по ...")</f>
        <v>Оказание услуг по составлению отчета по форме 2 -ТП "Отходы" "Сведения об образовании, использовании, обезвреживании, транспортировке и размещению отходов производства и потребления" (37 объектов) и сопровождение в Управление Росприроднадзора по ...</v>
      </c>
      <c r="G8970" s="22" t="s">
        <v>80</v>
      </c>
      <c r="H8970" s="22" t="s">
        <v>80</v>
      </c>
      <c r="I8970" s="26">
        <v>43581.454166666699</v>
      </c>
      <c r="J8970" s="23" t="str">
        <f>HYPERLINK("https://www.spark-marketing.ru/Card/Person/4176876", "ООО ""АНАЛИТИЧЕСКИЙ ЦЕНТР ""ЭКОС""")</f>
        <v>ООО "АНАЛИТИЧЕСКИЙ ЦЕНТР "ЭКОС"</v>
      </c>
      <c r="K8970" s="24" t="s">
        <v>11296</v>
      </c>
      <c r="L8970" s="28" t="s">
        <v>52</v>
      </c>
      <c r="M8970" s="25">
        <v>30000</v>
      </c>
      <c r="N8970" s="27">
        <v>9.90990990990991E-2</v>
      </c>
    </row>
    <row r="8971" spans="1:14" x14ac:dyDescent="0.15">
      <c r="A8971" s="23" t="str">
        <f t="shared" ref="A8971:A8977" si="397">HYPERLINK("https://www.spark-marketing.ru/Card/Person/8143", "МКУ ""ХЭУ""")</f>
        <v>МКУ "ХЭУ"</v>
      </c>
      <c r="B8971" s="24" t="s">
        <v>11297</v>
      </c>
      <c r="C8971" s="25">
        <v>197535.52</v>
      </c>
      <c r="D8971" s="22" t="s">
        <v>11298</v>
      </c>
      <c r="E8971" s="22" t="s">
        <v>107</v>
      </c>
      <c r="F8971" s="23" t="str">
        <f t="shared" ref="F8971:F8977" si="398">HYPERLINK("https://www.spark-marketing.ru/Card/Lot/70118129", "Оказание услуг по техническому обслуживанию систем видеонаблюдения.")</f>
        <v>Оказание услуг по техническому обслуживанию систем видеонаблюдения.</v>
      </c>
      <c r="G8971" s="22" t="s">
        <v>119</v>
      </c>
      <c r="H8971" s="22" t="s">
        <v>463</v>
      </c>
      <c r="I8971" s="26">
        <v>43581.430555555598</v>
      </c>
      <c r="J8971" s="28" t="s">
        <v>52</v>
      </c>
      <c r="K8971" s="28" t="s">
        <v>52</v>
      </c>
      <c r="L8971" s="28" t="s">
        <v>52</v>
      </c>
      <c r="M8971" s="28" t="s">
        <v>52</v>
      </c>
      <c r="N8971" s="28" t="s">
        <v>52</v>
      </c>
    </row>
    <row r="8972" spans="1:14" hidden="1" outlineLevel="1" x14ac:dyDescent="0.2">
      <c r="A8972" s="23" t="str">
        <f t="shared" si="397"/>
        <v>МКУ "ХЭУ"</v>
      </c>
      <c r="B8972" s="24" t="s">
        <v>11297</v>
      </c>
      <c r="C8972" s="25">
        <v>197535.52</v>
      </c>
      <c r="D8972" s="22" t="s">
        <v>11298</v>
      </c>
      <c r="E8972" s="22" t="s">
        <v>107</v>
      </c>
      <c r="F8972" s="23" t="str">
        <f t="shared" si="398"/>
        <v>Оказание услуг по техническому обслуживанию систем видеонаблюдения.</v>
      </c>
      <c r="G8972" s="22" t="s">
        <v>119</v>
      </c>
      <c r="H8972" s="22" t="s">
        <v>463</v>
      </c>
      <c r="I8972" s="26">
        <v>43581.430555555598</v>
      </c>
      <c r="J8972" s="23" t="str">
        <f>HYPERLINK("https://www.spark-marketing.ru/Card/Person/84508", "ООО ""ТЕХНОЛАЙН""")</f>
        <v>ООО "ТЕХНОЛАЙН"</v>
      </c>
      <c r="K8972" s="24" t="s">
        <v>1357</v>
      </c>
      <c r="L8972" s="28" t="s">
        <v>52</v>
      </c>
      <c r="M8972" s="25">
        <v>175806.56</v>
      </c>
      <c r="N8972" s="27">
        <v>0.11000026729369988</v>
      </c>
    </row>
    <row r="8973" spans="1:14" hidden="1" outlineLevel="1" x14ac:dyDescent="0.2">
      <c r="A8973" s="23" t="str">
        <f t="shared" si="397"/>
        <v>МКУ "ХЭУ"</v>
      </c>
      <c r="B8973" s="24" t="s">
        <v>11297</v>
      </c>
      <c r="C8973" s="25">
        <v>197535.52</v>
      </c>
      <c r="D8973" s="22" t="s">
        <v>11298</v>
      </c>
      <c r="E8973" s="22" t="s">
        <v>107</v>
      </c>
      <c r="F8973" s="23" t="str">
        <f t="shared" si="398"/>
        <v>Оказание услуг по техническому обслуживанию систем видеонаблюдения.</v>
      </c>
      <c r="G8973" s="22" t="s">
        <v>119</v>
      </c>
      <c r="H8973" s="22" t="s">
        <v>463</v>
      </c>
      <c r="I8973" s="26">
        <v>43581.430555555598</v>
      </c>
      <c r="J8973" s="23" t="str">
        <f>HYPERLINK("https://www.spark-marketing.ru/Card/Person/6443260", "ООО ""ГРУППА КОМПАНИЙ ""АДМИРАЛ""")</f>
        <v>ООО "ГРУППА КОМПАНИЙ "АДМИРАЛ"</v>
      </c>
      <c r="K8973" s="24" t="s">
        <v>11299</v>
      </c>
      <c r="L8973" s="28" t="s">
        <v>52</v>
      </c>
      <c r="M8973" s="25">
        <v>107656.64</v>
      </c>
      <c r="N8973" s="27">
        <v>0.45500110562394042</v>
      </c>
    </row>
    <row r="8974" spans="1:14" ht="12.75" hidden="1" outlineLevel="1" x14ac:dyDescent="0.2">
      <c r="A8974" s="23" t="str">
        <f t="shared" si="397"/>
        <v>МКУ "ХЭУ"</v>
      </c>
      <c r="B8974" s="24" t="s">
        <v>11297</v>
      </c>
      <c r="C8974" s="25">
        <v>197535.52</v>
      </c>
      <c r="D8974" s="22" t="s">
        <v>11298</v>
      </c>
      <c r="E8974" s="22" t="s">
        <v>107</v>
      </c>
      <c r="F8974" s="23" t="str">
        <f t="shared" si="398"/>
        <v>Оказание услуг по техническому обслуживанию систем видеонаблюдения.</v>
      </c>
      <c r="G8974" s="22" t="s">
        <v>119</v>
      </c>
      <c r="H8974" s="22" t="s">
        <v>463</v>
      </c>
      <c r="I8974" s="26">
        <v>43581.430555555598</v>
      </c>
      <c r="J8974" s="23" t="str">
        <f>HYPERLINK("https://www.spark-marketing.ru/Card/Person/56598", "ООО ""ЮМС""")</f>
        <v>ООО "ЮМС"</v>
      </c>
      <c r="K8974" s="24" t="s">
        <v>1359</v>
      </c>
      <c r="L8974" s="22" t="s">
        <v>10</v>
      </c>
      <c r="M8974" s="25">
        <v>36543.78</v>
      </c>
      <c r="N8974" s="27">
        <v>0.81500147416525393</v>
      </c>
    </row>
    <row r="8975" spans="1:14" hidden="1" outlineLevel="1" x14ac:dyDescent="0.2">
      <c r="A8975" s="23" t="str">
        <f t="shared" si="397"/>
        <v>МКУ "ХЭУ"</v>
      </c>
      <c r="B8975" s="24" t="s">
        <v>11297</v>
      </c>
      <c r="C8975" s="25">
        <v>197535.52</v>
      </c>
      <c r="D8975" s="22" t="s">
        <v>11298</v>
      </c>
      <c r="E8975" s="22" t="s">
        <v>107</v>
      </c>
      <c r="F8975" s="23" t="str">
        <f t="shared" si="398"/>
        <v>Оказание услуг по техническому обслуживанию систем видеонаблюдения.</v>
      </c>
      <c r="G8975" s="22" t="s">
        <v>119</v>
      </c>
      <c r="H8975" s="22" t="s">
        <v>463</v>
      </c>
      <c r="I8975" s="26">
        <v>43581.430555555598</v>
      </c>
      <c r="J8975" s="23" t="str">
        <f>HYPERLINK("https://www.spark-marketing.ru/Card/Person/932332", "ООО ""ВСС""")</f>
        <v>ООО "ВСС"</v>
      </c>
      <c r="K8975" s="24" t="s">
        <v>1331</v>
      </c>
      <c r="L8975" s="28" t="s">
        <v>52</v>
      </c>
      <c r="M8975" s="25">
        <v>53334.32</v>
      </c>
      <c r="N8975" s="27">
        <v>0.73000136886773581</v>
      </c>
    </row>
    <row r="8976" spans="1:14" hidden="1" outlineLevel="1" x14ac:dyDescent="0.2">
      <c r="A8976" s="23" t="str">
        <f t="shared" si="397"/>
        <v>МКУ "ХЭУ"</v>
      </c>
      <c r="B8976" s="24" t="s">
        <v>11297</v>
      </c>
      <c r="C8976" s="25">
        <v>197535.52</v>
      </c>
      <c r="D8976" s="22" t="s">
        <v>11298</v>
      </c>
      <c r="E8976" s="22" t="s">
        <v>107</v>
      </c>
      <c r="F8976" s="23" t="str">
        <f t="shared" si="398"/>
        <v>Оказание услуг по техническому обслуживанию систем видеонаблюдения.</v>
      </c>
      <c r="G8976" s="22" t="s">
        <v>119</v>
      </c>
      <c r="H8976" s="22" t="s">
        <v>463</v>
      </c>
      <c r="I8976" s="26">
        <v>43581.430555555598</v>
      </c>
      <c r="J8976" s="23" t="str">
        <f>HYPERLINK("https://www.spark-marketing.ru/Card/Person/1776184", "ООО ""ГОРОД МАСТЕРОВ""")</f>
        <v>ООО "ГОРОД МАСТЕРОВ"</v>
      </c>
      <c r="K8976" s="24" t="s">
        <v>10124</v>
      </c>
      <c r="L8976" s="28" t="s">
        <v>52</v>
      </c>
      <c r="M8976" s="25">
        <v>37531.46</v>
      </c>
      <c r="N8976" s="27">
        <v>0.81000146201554024</v>
      </c>
    </row>
    <row r="8977" spans="1:14" hidden="1" outlineLevel="1" x14ac:dyDescent="0.2">
      <c r="A8977" s="23" t="str">
        <f t="shared" si="397"/>
        <v>МКУ "ХЭУ"</v>
      </c>
      <c r="B8977" s="24" t="s">
        <v>11297</v>
      </c>
      <c r="C8977" s="25">
        <v>197535.52</v>
      </c>
      <c r="D8977" s="22" t="s">
        <v>11298</v>
      </c>
      <c r="E8977" s="22" t="s">
        <v>107</v>
      </c>
      <c r="F8977" s="23" t="str">
        <f t="shared" si="398"/>
        <v>Оказание услуг по техническому обслуживанию систем видеонаблюдения.</v>
      </c>
      <c r="G8977" s="22" t="s">
        <v>119</v>
      </c>
      <c r="H8977" s="22" t="s">
        <v>463</v>
      </c>
      <c r="I8977" s="26">
        <v>43581.430555555598</v>
      </c>
      <c r="J8977" s="23" t="str">
        <f>HYPERLINK("https://www.spark-marketing.ru/Card/Person/139110", "ООО ""СППБ""")</f>
        <v>ООО "СППБ"</v>
      </c>
      <c r="K8977" s="24" t="s">
        <v>1332</v>
      </c>
      <c r="L8977" s="28" t="s">
        <v>52</v>
      </c>
      <c r="M8977" s="25">
        <v>141237.76000000001</v>
      </c>
      <c r="N8977" s="27">
        <v>0.28500069253367699</v>
      </c>
    </row>
    <row r="8978" spans="1:14" x14ac:dyDescent="0.15">
      <c r="A8978" s="23" t="str">
        <f>HYPERLINK("https://www.spark-marketing.ru/Card/Person/30200", "УФНС РОССИИ ПО ВОРОНЕЖСКОЙ ОБЛАСТИ")</f>
        <v>УФНС РОССИИ ПО ВОРОНЕЖСКОЙ ОБЛАСТИ</v>
      </c>
      <c r="B8978" s="24" t="s">
        <v>4385</v>
      </c>
      <c r="C8978" s="25">
        <v>52388.639999999999</v>
      </c>
      <c r="D8978" s="22" t="s">
        <v>11300</v>
      </c>
      <c r="E8978" s="22" t="s">
        <v>53</v>
      </c>
      <c r="F8978" s="23" t="str">
        <f>HYPERLINK("https://www.spark-marketing.ru/Card/Lot/70766486", "Услуги пультовой охраны с использованием тревожной кнопки, 1 шт")</f>
        <v>Услуги пультовой охраны с использованием тревожной кнопки, 1 шт</v>
      </c>
      <c r="G8978" s="22" t="s">
        <v>552</v>
      </c>
      <c r="H8978" s="22" t="s">
        <v>886</v>
      </c>
      <c r="I8978" s="26">
        <v>43581.419560185197</v>
      </c>
      <c r="J8978" s="28" t="s">
        <v>52</v>
      </c>
      <c r="K8978" s="28" t="s">
        <v>52</v>
      </c>
      <c r="L8978" s="28" t="s">
        <v>52</v>
      </c>
      <c r="M8978" s="28" t="s">
        <v>52</v>
      </c>
      <c r="N8978" s="28" t="s">
        <v>52</v>
      </c>
    </row>
    <row r="8979" spans="1:14" x14ac:dyDescent="0.15">
      <c r="A8979" s="23" t="str">
        <f>HYPERLINK("https://www.spark-marketing.ru/Card/Person/4343928", "ФГБОУ ВО КУБАНСКИЙ ГАУ")</f>
        <v>ФГБОУ ВО КУБАНСКИЙ ГАУ</v>
      </c>
      <c r="B8979" s="24" t="s">
        <v>1428</v>
      </c>
      <c r="C8979" s="25">
        <v>496584</v>
      </c>
      <c r="D8979" s="22" t="s">
        <v>11301</v>
      </c>
      <c r="E8979" s="22" t="s">
        <v>144</v>
      </c>
      <c r="F8979" s="23" t="str">
        <f>HYPERLINK("https://www.spark-marketing.ru/Card/Lot/70193835", "Услуги охранные студгородка")</f>
        <v>Услуги охранные студгородка</v>
      </c>
      <c r="G8979" s="22" t="s">
        <v>132</v>
      </c>
      <c r="H8979" s="22" t="s">
        <v>132</v>
      </c>
      <c r="I8979" s="26">
        <v>43581.432488425897</v>
      </c>
      <c r="J8979" s="28" t="s">
        <v>52</v>
      </c>
      <c r="K8979" s="28" t="s">
        <v>52</v>
      </c>
      <c r="L8979" s="28" t="s">
        <v>52</v>
      </c>
      <c r="M8979" s="28" t="s">
        <v>52</v>
      </c>
      <c r="N8979" s="28" t="s">
        <v>52</v>
      </c>
    </row>
    <row r="8980" spans="1:14" x14ac:dyDescent="0.15">
      <c r="A8980" s="23" t="str">
        <f>HYPERLINK("https://www.spark-marketing.ru/Card/Person/60574", "БУЗ ВО ""БУТУРЛИНОВСКАЯ РБ""")</f>
        <v>БУЗ ВО "БУТУРЛИНОВСКАЯ РБ"</v>
      </c>
      <c r="B8980" s="24" t="s">
        <v>11302</v>
      </c>
      <c r="C8980" s="25">
        <v>177093.84</v>
      </c>
      <c r="D8980" s="22" t="s">
        <v>11303</v>
      </c>
      <c r="E8980" s="22" t="s">
        <v>52</v>
      </c>
      <c r="F8980" s="23" t="str">
        <f>HYPERLINK("https://www.spark-marketing.ru/Card/Lot/70119777", "Централизованная охрана объектов")</f>
        <v>Централизованная охрана объектов</v>
      </c>
      <c r="G8980" s="22" t="s">
        <v>552</v>
      </c>
      <c r="H8980" s="22" t="s">
        <v>11304</v>
      </c>
      <c r="I8980" s="26">
        <v>43581.393750000003</v>
      </c>
      <c r="J8980" s="28" t="s">
        <v>52</v>
      </c>
      <c r="K8980" s="28" t="s">
        <v>52</v>
      </c>
      <c r="L8980" s="28" t="s">
        <v>52</v>
      </c>
      <c r="M8980" s="28" t="s">
        <v>52</v>
      </c>
      <c r="N8980" s="28" t="s">
        <v>52</v>
      </c>
    </row>
    <row r="8981" spans="1:14" x14ac:dyDescent="0.15">
      <c r="A8981" s="23" t="str">
        <f>HYPERLINK("https://www.spark-marketing.ru/Card/Person/16299", "БУ ВО ""СУРГУТСКИЙ ГОСУДАРСТВЕННЫЙ УНИВЕРСИТЕТ"", СУРГУТСКИЙ ГОСУДАРСТВЕННЫЙ УНИВЕРСИТЕТ, СУРГУ")</f>
        <v>БУ ВО "СУРГУТСКИЙ ГОСУДАРСТВЕННЫЙ УНИВЕРСИТЕТ", СУРГУТСКИЙ ГОСУДАРСТВЕННЫЙ УНИВЕРСИТЕТ, СУРГУ</v>
      </c>
      <c r="B8981" s="24" t="s">
        <v>8302</v>
      </c>
      <c r="C8981" s="28" t="s">
        <v>52</v>
      </c>
      <c r="D8981" s="22" t="s">
        <v>11305</v>
      </c>
      <c r="E8981" s="22" t="s">
        <v>52</v>
      </c>
      <c r="F8981" s="23" t="str">
        <f>HYPERLINK("https://www.spark-marketing.ru/Card/Lot/70116462", "Оказание охранных услуг")</f>
        <v>Оказание охранных услуг</v>
      </c>
      <c r="G8981" s="22" t="s">
        <v>119</v>
      </c>
      <c r="H8981" s="22" t="s">
        <v>463</v>
      </c>
      <c r="I8981" s="26">
        <v>43581.378472222197</v>
      </c>
      <c r="J8981" s="28" t="s">
        <v>52</v>
      </c>
      <c r="K8981" s="28" t="s">
        <v>52</v>
      </c>
      <c r="L8981" s="28" t="s">
        <v>52</v>
      </c>
      <c r="M8981" s="28" t="s">
        <v>52</v>
      </c>
      <c r="N8981" s="28" t="s">
        <v>52</v>
      </c>
    </row>
    <row r="8982" spans="1:14" x14ac:dyDescent="0.15">
      <c r="A8982" s="23" t="str">
        <f>HYPERLINK("https://www.spark-marketing.ru/Card/Person/13411", "АДМИНИСТРАЦИЯ МО ГО ""СЫКТЫВКАР""")</f>
        <v>АДМИНИСТРАЦИЯ МО ГО "СЫКТЫВКАР"</v>
      </c>
      <c r="B8982" s="24" t="s">
        <v>11306</v>
      </c>
      <c r="C8982" s="25">
        <v>199500</v>
      </c>
      <c r="D8982" s="22" t="s">
        <v>11307</v>
      </c>
      <c r="E8982" s="22" t="s">
        <v>107</v>
      </c>
      <c r="F8982" s="23" t="str">
        <f>HYPERLINK("https://www.spark-marketing.ru/Card/Lot/70119691", "Оказание услуг по техническому обслуживанию оборудования системы видеонаблюдения")</f>
        <v>Оказание услуг по техническому обслуживанию оборудования системы видеонаблюдения</v>
      </c>
      <c r="G8982" s="22" t="s">
        <v>538</v>
      </c>
      <c r="H8982" s="22" t="s">
        <v>707</v>
      </c>
      <c r="I8982" s="26">
        <v>43581.411805555603</v>
      </c>
      <c r="J8982" s="28" t="s">
        <v>52</v>
      </c>
      <c r="K8982" s="28" t="s">
        <v>52</v>
      </c>
      <c r="L8982" s="28" t="s">
        <v>52</v>
      </c>
      <c r="M8982" s="28" t="s">
        <v>52</v>
      </c>
      <c r="N8982" s="28" t="s">
        <v>52</v>
      </c>
    </row>
    <row r="8983" spans="1:14" ht="12.75" hidden="1" outlineLevel="1" x14ac:dyDescent="0.2">
      <c r="A8983" s="23" t="str">
        <f>HYPERLINK("https://www.spark-marketing.ru/Card/Person/13411", "АДМИНИСТРАЦИЯ МО ГО ""СЫКТЫВКАР""")</f>
        <v>АДМИНИСТРАЦИЯ МО ГО "СЫКТЫВКАР"</v>
      </c>
      <c r="B8983" s="24" t="s">
        <v>11306</v>
      </c>
      <c r="C8983" s="25">
        <v>199500</v>
      </c>
      <c r="D8983" s="22" t="s">
        <v>11307</v>
      </c>
      <c r="E8983" s="22" t="s">
        <v>107</v>
      </c>
      <c r="F8983" s="23" t="str">
        <f>HYPERLINK("https://www.spark-marketing.ru/Card/Lot/70119691", "Оказание услуг по техническому обслуживанию оборудования системы видеонаблюдения")</f>
        <v>Оказание услуг по техническому обслуживанию оборудования системы видеонаблюдения</v>
      </c>
      <c r="G8983" s="22" t="s">
        <v>538</v>
      </c>
      <c r="H8983" s="22" t="s">
        <v>707</v>
      </c>
      <c r="I8983" s="26">
        <v>43581.411805555603</v>
      </c>
      <c r="J8983" s="23" t="str">
        <f>HYPERLINK("https://www.spark-marketing.ru/Card/Person/217523", "ООО ""ДЕНВИК-СИСТЕМЫ БЕЗОПАСНОСТИ""")</f>
        <v>ООО "ДЕНВИК-СИСТЕМЫ БЕЗОПАСНОСТИ"</v>
      </c>
      <c r="K8983" s="24" t="s">
        <v>9642</v>
      </c>
      <c r="L8983" s="22" t="s">
        <v>10</v>
      </c>
      <c r="M8983" s="25">
        <v>196005</v>
      </c>
      <c r="N8983" s="27">
        <v>1.7518796992481205E-2</v>
      </c>
    </row>
    <row r="8984" spans="1:14" hidden="1" outlineLevel="1" x14ac:dyDescent="0.2">
      <c r="A8984" s="23" t="str">
        <f>HYPERLINK("https://www.spark-marketing.ru/Card/Person/13411", "АДМИНИСТРАЦИЯ МО ГО ""СЫКТЫВКАР""")</f>
        <v>АДМИНИСТРАЦИЯ МО ГО "СЫКТЫВКАР"</v>
      </c>
      <c r="B8984" s="24" t="s">
        <v>11306</v>
      </c>
      <c r="C8984" s="25">
        <v>199500</v>
      </c>
      <c r="D8984" s="22" t="s">
        <v>11307</v>
      </c>
      <c r="E8984" s="22" t="s">
        <v>107</v>
      </c>
      <c r="F8984" s="23" t="str">
        <f>HYPERLINK("https://www.spark-marketing.ru/Card/Lot/70119691", "Оказание услуг по техническому обслуживанию оборудования системы видеонаблюдения")</f>
        <v>Оказание услуг по техническому обслуживанию оборудования системы видеонаблюдения</v>
      </c>
      <c r="G8984" s="22" t="s">
        <v>538</v>
      </c>
      <c r="H8984" s="22" t="s">
        <v>707</v>
      </c>
      <c r="I8984" s="26">
        <v>43581.411805555603</v>
      </c>
      <c r="J8984" s="23" t="str">
        <f>HYPERLINK("https://www.spark-marketing.ru/Card/Person/278779", "ЗАО ""ПАРМАТЕЛ""")</f>
        <v>ЗАО "ПАРМАТЕЛ"</v>
      </c>
      <c r="K8984" s="24" t="s">
        <v>11308</v>
      </c>
      <c r="L8984" s="28" t="s">
        <v>52</v>
      </c>
      <c r="M8984" s="25">
        <v>197002.5</v>
      </c>
      <c r="N8984" s="27">
        <v>1.2518796992481204E-2</v>
      </c>
    </row>
    <row r="8985" spans="1:14" x14ac:dyDescent="0.15">
      <c r="A8985" s="23" t="str">
        <f>HYPERLINK("https://www.spark-marketing.ru/Card/Person/153951", "КУ РА ""УКС РА""")</f>
        <v>КУ РА "УКС РА"</v>
      </c>
      <c r="B8985" s="24" t="s">
        <v>11309</v>
      </c>
      <c r="C8985" s="25">
        <v>1005751</v>
      </c>
      <c r="D8985" s="22" t="s">
        <v>11310</v>
      </c>
      <c r="E8985" s="22" t="s">
        <v>79</v>
      </c>
      <c r="F8985" s="23" t="str">
        <f>HYPERLINK("https://www.spark-marketing.ru/Card/Lot/70111858", "Выполнение работ по установке системы видеонаблюдения на строительном объекте: ""Строительство ограждений территории ОЭЗ ТРТ в Республике Алтай в составе проекта ""Внутриплощадочные объекты инфраструктуры особой экономической зоны туристско-рекреацио...")</f>
        <v>Выполнение работ по установке системы видеонаблюдения на строительном объекте: "Строительство ограждений территории ОЭЗ ТРТ в Республике Алтай в составе проекта "Внутриплощадочные объекты инфраструктуры особой экономической зоны туристско-рекреацио...</v>
      </c>
      <c r="G8985" s="22" t="s">
        <v>3000</v>
      </c>
      <c r="H8985" s="22" t="s">
        <v>3001</v>
      </c>
      <c r="I8985" s="26">
        <v>43581.3618055556</v>
      </c>
      <c r="J8985" s="28" t="s">
        <v>52</v>
      </c>
      <c r="K8985" s="28" t="s">
        <v>52</v>
      </c>
      <c r="L8985" s="28" t="s">
        <v>52</v>
      </c>
      <c r="M8985" s="28" t="s">
        <v>52</v>
      </c>
      <c r="N8985" s="28" t="s">
        <v>52</v>
      </c>
    </row>
    <row r="8986" spans="1:14" hidden="1" outlineLevel="1" x14ac:dyDescent="0.2">
      <c r="A8986" s="23" t="str">
        <f>HYPERLINK("https://www.spark-marketing.ru/Card/Person/153951", "КУ РА ""УКС РА""")</f>
        <v>КУ РА "УКС РА"</v>
      </c>
      <c r="B8986" s="24" t="s">
        <v>11309</v>
      </c>
      <c r="C8986" s="25">
        <v>1005751</v>
      </c>
      <c r="D8986" s="22" t="s">
        <v>11310</v>
      </c>
      <c r="E8986" s="22" t="s">
        <v>79</v>
      </c>
      <c r="F8986" s="23" t="str">
        <f>HYPERLINK("https://www.spark-marketing.ru/Card/Lot/70111858", "Выполнение работ по установке системы видеонаблюдения на строительном объекте: ""Строительство ограждений территории ОЭЗ ТРТ в Республике Алтай в составе проекта ""Внутриплощадочные объекты инфраструктуры особой экономической зоны туристско-рекреацио...")</f>
        <v>Выполнение работ по установке системы видеонаблюдения на строительном объекте: "Строительство ограждений территории ОЭЗ ТРТ в Республике Алтай в составе проекта "Внутриплощадочные объекты инфраструктуры особой экономической зоны туристско-рекреацио...</v>
      </c>
      <c r="G8986" s="22" t="s">
        <v>3000</v>
      </c>
      <c r="H8986" s="22" t="s">
        <v>3001</v>
      </c>
      <c r="I8986" s="26">
        <v>43581.3618055556</v>
      </c>
      <c r="J8986" s="23" t="str">
        <f>HYPERLINK("https://www.spark-marketing.ru/Card/Person/4518428", "ООО ""СМК ""КАРАТ""")</f>
        <v>ООО "СМК "КАРАТ"</v>
      </c>
      <c r="K8986" s="24" t="s">
        <v>11311</v>
      </c>
      <c r="L8986" s="28" t="s">
        <v>52</v>
      </c>
      <c r="M8986" s="25">
        <v>824710.24</v>
      </c>
      <c r="N8986" s="27">
        <v>0.18000554809291763</v>
      </c>
    </row>
    <row r="8987" spans="1:14" ht="12.75" hidden="1" outlineLevel="1" x14ac:dyDescent="0.2">
      <c r="A8987" s="23" t="str">
        <f>HYPERLINK("https://www.spark-marketing.ru/Card/Person/153951", "КУ РА ""УКС РА""")</f>
        <v>КУ РА "УКС РА"</v>
      </c>
      <c r="B8987" s="24" t="s">
        <v>11309</v>
      </c>
      <c r="C8987" s="25">
        <v>1005751</v>
      </c>
      <c r="D8987" s="22" t="s">
        <v>11310</v>
      </c>
      <c r="E8987" s="22" t="s">
        <v>79</v>
      </c>
      <c r="F8987" s="23" t="str">
        <f>HYPERLINK("https://www.spark-marketing.ru/Card/Lot/70111858", "Выполнение работ по установке системы видеонаблюдения на строительном объекте: ""Строительство ограждений территории ОЭЗ ТРТ в Республике Алтай в составе проекта ""Внутриплощадочные объекты инфраструктуры особой экономической зоны туристско-рекреацио...")</f>
        <v>Выполнение работ по установке системы видеонаблюдения на строительном объекте: "Строительство ограждений территории ОЭЗ ТРТ в Республике Алтай в составе проекта "Внутриплощадочные объекты инфраструктуры особой экономической зоны туристско-рекреацио...</v>
      </c>
      <c r="G8987" s="22" t="s">
        <v>3000</v>
      </c>
      <c r="H8987" s="22" t="s">
        <v>3001</v>
      </c>
      <c r="I8987" s="26">
        <v>43581.3618055556</v>
      </c>
      <c r="J8987" s="23" t="str">
        <f>HYPERLINK("https://www.spark-marketing.ru/Card/Person/6499927", "ООО ""ПРОФСБ""")</f>
        <v>ООО "ПРОФСБ"</v>
      </c>
      <c r="K8987" s="24" t="s">
        <v>3199</v>
      </c>
      <c r="L8987" s="22" t="s">
        <v>10</v>
      </c>
      <c r="M8987" s="25">
        <v>457590.48</v>
      </c>
      <c r="N8987" s="27">
        <v>0.54502607504243095</v>
      </c>
    </row>
    <row r="8988" spans="1:14" hidden="1" outlineLevel="1" x14ac:dyDescent="0.2">
      <c r="A8988" s="23" t="str">
        <f>HYPERLINK("https://www.spark-marketing.ru/Card/Person/153951", "КУ РА ""УКС РА""")</f>
        <v>КУ РА "УКС РА"</v>
      </c>
      <c r="B8988" s="24" t="s">
        <v>11309</v>
      </c>
      <c r="C8988" s="25">
        <v>1005751</v>
      </c>
      <c r="D8988" s="22" t="s">
        <v>11310</v>
      </c>
      <c r="E8988" s="22" t="s">
        <v>79</v>
      </c>
      <c r="F8988" s="23" t="str">
        <f>HYPERLINK("https://www.spark-marketing.ru/Card/Lot/70111858", "Выполнение работ по установке системы видеонаблюдения на строительном объекте: ""Строительство ограждений территории ОЭЗ ТРТ в Республике Алтай в составе проекта ""Внутриплощадочные объекты инфраструктуры особой экономической зоны туристско-рекреацио...")</f>
        <v>Выполнение работ по установке системы видеонаблюдения на строительном объекте: "Строительство ограждений территории ОЭЗ ТРТ в Республике Алтай в составе проекта "Внутриплощадочные объекты инфраструктуры особой экономической зоны туристско-рекреацио...</v>
      </c>
      <c r="G8988" s="22" t="s">
        <v>3000</v>
      </c>
      <c r="H8988" s="22" t="s">
        <v>3001</v>
      </c>
      <c r="I8988" s="26">
        <v>43581.3618055556</v>
      </c>
      <c r="J8988" s="23" t="str">
        <f>HYPERLINK("https://www.spark-marketing.ru/Card/Person/447752", "ООО ""АЛТАЙ СБ""")</f>
        <v>ООО "АЛТАЙ СБ"</v>
      </c>
      <c r="K8988" s="24" t="s">
        <v>2654</v>
      </c>
      <c r="L8988" s="28" t="s">
        <v>52</v>
      </c>
      <c r="M8988" s="25">
        <v>623547</v>
      </c>
      <c r="N8988" s="27">
        <v>0.38001851352869648</v>
      </c>
    </row>
    <row r="8989" spans="1:14" hidden="1" outlineLevel="1" x14ac:dyDescent="0.2">
      <c r="A8989" s="23" t="str">
        <f>HYPERLINK("https://www.spark-marketing.ru/Card/Person/153951", "КУ РА ""УКС РА""")</f>
        <v>КУ РА "УКС РА"</v>
      </c>
      <c r="B8989" s="24" t="s">
        <v>11309</v>
      </c>
      <c r="C8989" s="25">
        <v>1005751</v>
      </c>
      <c r="D8989" s="22" t="s">
        <v>11310</v>
      </c>
      <c r="E8989" s="22" t="s">
        <v>79</v>
      </c>
      <c r="F8989" s="23" t="str">
        <f>HYPERLINK("https://www.spark-marketing.ru/Card/Lot/70111858", "Выполнение работ по установке системы видеонаблюдения на строительном объекте: ""Строительство ограждений территории ОЭЗ ТРТ в Республике Алтай в составе проекта ""Внутриплощадочные объекты инфраструктуры особой экономической зоны туристско-рекреацио...")</f>
        <v>Выполнение работ по установке системы видеонаблюдения на строительном объекте: "Строительство ограждений территории ОЭЗ ТРТ в Республике Алтай в составе проекта "Внутриплощадочные объекты инфраструктуры особой экономической зоны туристско-рекреацио...</v>
      </c>
      <c r="G8989" s="22" t="s">
        <v>3000</v>
      </c>
      <c r="H8989" s="22" t="s">
        <v>3001</v>
      </c>
      <c r="I8989" s="26">
        <v>43581.3618055556</v>
      </c>
      <c r="J8989" s="23" t="str">
        <f>HYPERLINK("https://www.spark-marketing.ru/Card/Person/931705", "Лузанов Антон Александрович")</f>
        <v>Лузанов Антон Александрович</v>
      </c>
      <c r="K8989" s="24" t="s">
        <v>5348</v>
      </c>
      <c r="L8989" s="28" t="s">
        <v>52</v>
      </c>
      <c r="M8989" s="25">
        <v>462619.24</v>
      </c>
      <c r="N8989" s="27">
        <v>0.54002607007102155</v>
      </c>
    </row>
    <row r="8990" spans="1:14" x14ac:dyDescent="0.15">
      <c r="A8990" s="23" t="str">
        <f>HYPERLINK("https://www.spark-marketing.ru/Card/Person/4348563", "АО ""ОТЭК""")</f>
        <v>АО "ОТЭК"</v>
      </c>
      <c r="B8990" s="24" t="s">
        <v>11312</v>
      </c>
      <c r="C8990" s="25">
        <v>2736983.81</v>
      </c>
      <c r="D8990" s="22" t="s">
        <v>11313</v>
      </c>
      <c r="E8990" s="22" t="s">
        <v>53</v>
      </c>
      <c r="F8990" s="23" t="str">
        <f>HYPERLINK("https://www.spark-marketing.ru/Card/Lot/70116215", "Право заключения договора на услуги по охране объекта (здание по адресу ул.Строителей 3А, Новоуральск) (для нужд Филиала АО ""ОТЭК"" в г. Новоуральске)")</f>
        <v>Право заключения договора на услуги по охране объекта (здание по адресу ул.Строителей 3А, Новоуральск) (для нужд Филиала АО "ОТЭК" в г. Новоуральске)</v>
      </c>
      <c r="G8990" s="22" t="s">
        <v>55</v>
      </c>
      <c r="H8990" s="22" t="s">
        <v>55</v>
      </c>
      <c r="I8990" s="26">
        <v>43581.3073842593</v>
      </c>
      <c r="J8990" s="28" t="s">
        <v>52</v>
      </c>
      <c r="K8990" s="28" t="s">
        <v>52</v>
      </c>
      <c r="L8990" s="28" t="s">
        <v>52</v>
      </c>
      <c r="M8990" s="28" t="s">
        <v>52</v>
      </c>
      <c r="N8990" s="28" t="s">
        <v>52</v>
      </c>
    </row>
    <row r="8991" spans="1:14" x14ac:dyDescent="0.15">
      <c r="A8991" s="23" t="str">
        <f>HYPERLINK("https://www.spark-marketing.ru/Card/Person/101405", "ОГАУ ""ЦСП СК ТО""")</f>
        <v>ОГАУ "ЦСП СК ТО"</v>
      </c>
      <c r="B8991" s="24" t="s">
        <v>11314</v>
      </c>
      <c r="C8991" s="25">
        <v>6400</v>
      </c>
      <c r="D8991" s="22" t="s">
        <v>11315</v>
      </c>
      <c r="E8991" s="22" t="s">
        <v>68</v>
      </c>
      <c r="F8991" s="23" t="str">
        <f>HYPERLINK("https://www.spark-marketing.ru/Card/Lot/70112557", "Услуги по охране объекта с использованием кнопки тревожной сигнализации (КТС).")</f>
        <v>Услуги по охране объекта с использованием кнопки тревожной сигнализации (КТС).</v>
      </c>
      <c r="G8991" s="22" t="s">
        <v>150</v>
      </c>
      <c r="H8991" s="22" t="s">
        <v>1656</v>
      </c>
      <c r="I8991" s="26">
        <v>43581.262499999997</v>
      </c>
      <c r="J8991" s="28" t="s">
        <v>52</v>
      </c>
      <c r="K8991" s="28" t="s">
        <v>52</v>
      </c>
      <c r="L8991" s="28" t="s">
        <v>52</v>
      </c>
      <c r="M8991" s="28" t="s">
        <v>52</v>
      </c>
      <c r="N8991" s="28" t="s">
        <v>52</v>
      </c>
    </row>
    <row r="8992" spans="1:14" x14ac:dyDescent="0.15">
      <c r="A8992" s="23" t="str">
        <f>HYPERLINK("https://www.spark-marketing.ru/Card/Person/6515992", "АО ЕВРАЗ ЗСМК")</f>
        <v>АО ЕВРАЗ ЗСМК</v>
      </c>
      <c r="B8992" s="28" t="s">
        <v>52</v>
      </c>
      <c r="C8992" s="28" t="s">
        <v>52</v>
      </c>
      <c r="D8992" s="22" t="s">
        <v>11316</v>
      </c>
      <c r="E8992" s="22" t="s">
        <v>53</v>
      </c>
      <c r="F8992" s="23" t="str">
        <f>HYPERLINK("https://www.spark-marketing.ru/Card/Lot/70120078", "Установка автоматизированной системы видео контроля коммерческого осмотра поездов и вагонов на станции Новокузнецк-Северный АО «ЕВРАЗ ЗСМК»")</f>
        <v>Установка автоматизированной системы видео контроля коммерческого осмотра поездов и вагонов на станции Новокузнецк-Северный АО «ЕВРАЗ ЗСМК»</v>
      </c>
      <c r="G8992" s="22" t="s">
        <v>52</v>
      </c>
      <c r="H8992" s="22" t="s">
        <v>52</v>
      </c>
      <c r="I8992" s="26">
        <v>43581</v>
      </c>
      <c r="J8992" s="28" t="s">
        <v>52</v>
      </c>
      <c r="K8992" s="28" t="s">
        <v>52</v>
      </c>
      <c r="L8992" s="28" t="s">
        <v>52</v>
      </c>
      <c r="M8992" s="28" t="s">
        <v>52</v>
      </c>
      <c r="N8992" s="28" t="s">
        <v>52</v>
      </c>
    </row>
    <row r="8993" spans="1:14" x14ac:dyDescent="0.15">
      <c r="A8993" s="23" t="str">
        <f>HYPERLINK("https://www.spark-marketing.ru/Card/Person/5789170", "ПРЕДПРИЯТИЕ С ИНОСТРАННЫМ КАПИТАЛОМ ООО ЛУКОЙЛ МОЛДОВА")</f>
        <v>ПРЕДПРИЯТИЕ С ИНОСТРАННЫМ КАПИТАЛОМ ООО ЛУКОЙЛ МОЛДОВА</v>
      </c>
      <c r="B8993" s="28" t="s">
        <v>52</v>
      </c>
      <c r="C8993" s="28" t="s">
        <v>52</v>
      </c>
      <c r="D8993" s="28" t="s">
        <v>52</v>
      </c>
      <c r="E8993" s="22" t="s">
        <v>53</v>
      </c>
      <c r="F8993" s="23" t="str">
        <f>HYPERLINK("https://www.spark-marketing.ru/Card/Lot/70118566", "«Предоставление услуг по охране сбытовых объектов и административного здания Общества Лот №1 Предоставление услуг по технической охране Лот №2 Предоставление услуг по физической охране»")</f>
        <v>«Предоставление услуг по охране сбытовых объектов и административного здания Общества Лот №1 Предоставление услуг по технической охране Лот №2 Предоставление услуг по физической охране»</v>
      </c>
      <c r="G8993" s="22" t="s">
        <v>52</v>
      </c>
      <c r="H8993" s="22" t="s">
        <v>52</v>
      </c>
      <c r="I8993" s="26">
        <v>43581</v>
      </c>
      <c r="J8993" s="28" t="s">
        <v>52</v>
      </c>
      <c r="K8993" s="28" t="s">
        <v>52</v>
      </c>
      <c r="L8993" s="28" t="s">
        <v>52</v>
      </c>
      <c r="M8993" s="28" t="s">
        <v>52</v>
      </c>
      <c r="N8993" s="28" t="s">
        <v>52</v>
      </c>
    </row>
    <row r="8994" spans="1:14" x14ac:dyDescent="0.15">
      <c r="A8994" s="23" t="str">
        <f>HYPERLINK("https://www.spark-marketing.ru/Card/Person/10674", "ФГБОУ ВО ""ЧГУ ИМ. И.Н. УЛЬЯНОВА""")</f>
        <v>ФГБОУ ВО "ЧГУ ИМ. И.Н. УЛЬЯНОВА"</v>
      </c>
      <c r="B8994" s="24" t="s">
        <v>11317</v>
      </c>
      <c r="C8994" s="25">
        <v>1033290</v>
      </c>
      <c r="D8994" s="22" t="s">
        <v>11318</v>
      </c>
      <c r="E8994" s="22" t="s">
        <v>49</v>
      </c>
      <c r="F8994" s="23" t="str">
        <f>HYPERLINK("https://www.spark-marketing.ru/Card/Lot/70111008", "Установка системы видеонаблюдения")</f>
        <v>Установка системы видеонаблюдения</v>
      </c>
      <c r="G8994" s="22" t="s">
        <v>1137</v>
      </c>
      <c r="H8994" s="22" t="s">
        <v>1137</v>
      </c>
      <c r="I8994" s="26">
        <v>43580.608645833301</v>
      </c>
      <c r="J8994" s="28" t="s">
        <v>52</v>
      </c>
      <c r="K8994" s="28" t="s">
        <v>52</v>
      </c>
      <c r="L8994" s="28" t="s">
        <v>52</v>
      </c>
      <c r="M8994" s="28" t="s">
        <v>52</v>
      </c>
      <c r="N8994" s="28" t="s">
        <v>52</v>
      </c>
    </row>
    <row r="8995" spans="1:14" x14ac:dyDescent="0.15">
      <c r="A8995" s="23" t="str">
        <f>HYPERLINK("https://www.spark-marketing.ru/Card/Person/1002531", "ГБПОУ НСО ""БПК""")</f>
        <v>ГБПОУ НСО "БПК"</v>
      </c>
      <c r="B8995" s="24" t="s">
        <v>7480</v>
      </c>
      <c r="C8995" s="25">
        <v>24000</v>
      </c>
      <c r="D8995" s="22" t="s">
        <v>11319</v>
      </c>
      <c r="E8995" s="22" t="s">
        <v>68</v>
      </c>
      <c r="F8995" s="23" t="str">
        <f>HYPERLINK("https://www.spark-marketing.ru/Card/Lot/70107831", "Оказание услуг по охране с использованием комплекта ТСО")</f>
        <v>Оказание услуг по охране с использованием комплекта ТСО</v>
      </c>
      <c r="G8995" s="22" t="s">
        <v>209</v>
      </c>
      <c r="H8995" s="22" t="s">
        <v>6912</v>
      </c>
      <c r="I8995" s="26">
        <v>43580.886111111096</v>
      </c>
      <c r="J8995" s="28" t="s">
        <v>52</v>
      </c>
      <c r="K8995" s="28" t="s">
        <v>52</v>
      </c>
      <c r="L8995" s="28" t="s">
        <v>52</v>
      </c>
      <c r="M8995" s="28" t="s">
        <v>52</v>
      </c>
      <c r="N8995" s="28" t="s">
        <v>52</v>
      </c>
    </row>
    <row r="8996" spans="1:14" x14ac:dyDescent="0.2">
      <c r="A8996" s="23" t="str">
        <f>HYPERLINK("https://www.spark-marketing.ru/Card/Person/703125", "ООО ""РИЦ""")</f>
        <v>ООО "РИЦ"</v>
      </c>
      <c r="B8996" s="24" t="s">
        <v>4078</v>
      </c>
      <c r="C8996" s="25">
        <v>1845907.44</v>
      </c>
      <c r="D8996" s="22" t="s">
        <v>11320</v>
      </c>
      <c r="E8996" s="22" t="s">
        <v>11321</v>
      </c>
      <c r="F8996" s="23" t="str">
        <f>HYPERLINK("https://www.spark-marketing.ru/Card/Lot/70107764", "На услуги по созданию образов системы комплексов ФВФ и передачу оборудования для оказании комплексной услуги по сервисному обслуживанию автоматизированной системы видеоконтроля дорожной ситуации, фотовидеофиксации нарушений правил дорожного движения,...")</f>
        <v>На услуги по созданию образов системы комплексов ФВФ и передачу оборудования для оказании комплексной услуги по сервисному обслуживанию автоматизированной системы видеоконтроля дорожной ситуации, фотовидеофиксации нарушений правил дорожного движения,...</v>
      </c>
      <c r="G8996" s="22" t="s">
        <v>473</v>
      </c>
      <c r="H8996" s="22" t="s">
        <v>473</v>
      </c>
      <c r="I8996" s="26">
        <v>43580.8383217593</v>
      </c>
      <c r="J8996" s="28" t="s">
        <v>52</v>
      </c>
      <c r="K8996" s="28" t="s">
        <v>52</v>
      </c>
      <c r="L8996" s="28" t="s">
        <v>52</v>
      </c>
      <c r="M8996" s="25">
        <v>1845907.44</v>
      </c>
      <c r="N8996" s="27">
        <v>0</v>
      </c>
    </row>
    <row r="8997" spans="1:14" x14ac:dyDescent="0.15">
      <c r="A8997" s="23" t="str">
        <f>HYPERLINK("https://www.spark-marketing.ru/Card/Person/4353137", "ПАО ""МОСЭНЕРГО""")</f>
        <v>ПАО "МОСЭНЕРГО"</v>
      </c>
      <c r="B8997" s="24" t="s">
        <v>11322</v>
      </c>
      <c r="C8997" s="25">
        <v>4360159.38</v>
      </c>
      <c r="D8997" s="22" t="s">
        <v>11323</v>
      </c>
      <c r="E8997" s="22" t="s">
        <v>1923</v>
      </c>
      <c r="F8997" s="23" t="str">
        <f>HYPERLINK("https://www.spark-marketing.ru/Card/Lot/70106495", "Разработка нормативно-разрешительной документации в части охраны атмосферного воздуха для объекта I и II категории негативного воздействия на окружающую среду")</f>
        <v>Разработка нормативно-разрешительной документации в части охраны атмосферного воздуха для объекта I и II категории негативного воздействия на окружающую среду</v>
      </c>
      <c r="G8997" s="22" t="s">
        <v>55</v>
      </c>
      <c r="H8997" s="22" t="s">
        <v>55</v>
      </c>
      <c r="I8997" s="26">
        <v>43580.777800925898</v>
      </c>
      <c r="J8997" s="28" t="s">
        <v>52</v>
      </c>
      <c r="K8997" s="28" t="s">
        <v>52</v>
      </c>
      <c r="L8997" s="28" t="s">
        <v>52</v>
      </c>
      <c r="M8997" s="28" t="s">
        <v>52</v>
      </c>
      <c r="N8997" s="28" t="s">
        <v>52</v>
      </c>
    </row>
    <row r="8998" spans="1:14" x14ac:dyDescent="0.15">
      <c r="A8998" s="23" t="str">
        <f>HYPERLINK("https://www.spark-marketing.ru/Card/Person/18481", "ФГУП ""РОСРАО""")</f>
        <v>ФГУП "РОСРАО"</v>
      </c>
      <c r="B8998" s="24" t="s">
        <v>1615</v>
      </c>
      <c r="C8998" s="25">
        <v>4950000</v>
      </c>
      <c r="D8998" s="22" t="s">
        <v>11324</v>
      </c>
      <c r="E8998" s="22" t="s">
        <v>11325</v>
      </c>
      <c r="F8998" s="23" t="str">
        <f>HYPERLINK("https://www.spark-marketing.ru/Card/Lot/70107965", "Оказание услуг для сопровождения процедуры закрепления объектов за ФГУП «РосРАО»")</f>
        <v>Оказание услуг для сопровождения процедуры закрепления объектов за ФГУП «РосРАО»</v>
      </c>
      <c r="G8998" s="22" t="s">
        <v>55</v>
      </c>
      <c r="H8998" s="22" t="s">
        <v>55</v>
      </c>
      <c r="I8998" s="26">
        <v>43580.7882060185</v>
      </c>
      <c r="J8998" s="28" t="s">
        <v>52</v>
      </c>
      <c r="K8998" s="28" t="s">
        <v>52</v>
      </c>
      <c r="L8998" s="28" t="s">
        <v>52</v>
      </c>
      <c r="M8998" s="28" t="s">
        <v>52</v>
      </c>
      <c r="N8998" s="28" t="s">
        <v>52</v>
      </c>
    </row>
    <row r="8999" spans="1:14" ht="12.75" x14ac:dyDescent="0.2">
      <c r="A8999" s="23" t="str">
        <f>HYPERLINK("https://www.spark-marketing.ru/Card/Person/4343405", "ФГУП ""ГОСКОРПОРАЦИЯ ПО ОРВД""")</f>
        <v>ФГУП "ГОСКОРПОРАЦИЯ ПО ОРВД"</v>
      </c>
      <c r="B8999" s="24" t="s">
        <v>801</v>
      </c>
      <c r="C8999" s="25">
        <v>649000</v>
      </c>
      <c r="D8999" s="22" t="s">
        <v>11326</v>
      </c>
      <c r="E8999" s="22" t="s">
        <v>49</v>
      </c>
      <c r="F8999" s="23" t="str">
        <f>HYPERLINK("https://www.spark-marketing.ru/Card/Lot/70106395", "Выполнение работ по установке поста (пункта) управления обеспечением транспортной безопасности ОТИ «Котлас РЦ ЕС ОрВД» для нужд Архангельского центра ОВД филиала «Аэронавигация Северо-Запада» ФГУП «Госкорпорация по ОрВД»")</f>
        <v>Выполнение работ по установке поста (пункта) управления обеспечением транспортной безопасности ОТИ «Котлас РЦ ЕС ОрВД» для нужд Архангельского центра ОВД филиала «Аэронавигация Северо-Запада» ФГУП «Госкорпорация по ОрВД»</v>
      </c>
      <c r="G8999" s="22" t="s">
        <v>674</v>
      </c>
      <c r="H8999" s="22" t="s">
        <v>11327</v>
      </c>
      <c r="I8999" s="26">
        <v>43580.761087963001</v>
      </c>
      <c r="J8999" s="23" t="str">
        <f>HYPERLINK("https://www.spark-marketing.ru/Card/Person/1114856", "ООО ""ДОМОФОН СЕРВИС""")</f>
        <v>ООО "ДОМОФОН СЕРВИС"</v>
      </c>
      <c r="K8999" s="24" t="s">
        <v>2234</v>
      </c>
      <c r="L8999" s="22" t="s">
        <v>10</v>
      </c>
      <c r="M8999" s="25">
        <v>645000</v>
      </c>
      <c r="N8999" s="27">
        <v>6.1633281972265025E-3</v>
      </c>
    </row>
    <row r="9000" spans="1:14" x14ac:dyDescent="0.15">
      <c r="A9000" s="23" t="str">
        <f>HYPERLINK("https://www.spark-marketing.ru/Card/Person/3504", "ФКУ УПРДОР ""КАСПИЙ""")</f>
        <v>ФКУ УПРДОР "КАСПИЙ"</v>
      </c>
      <c r="B9000" s="24" t="s">
        <v>1277</v>
      </c>
      <c r="C9000" s="25">
        <v>25200000</v>
      </c>
      <c r="D9000" s="22" t="s">
        <v>11328</v>
      </c>
      <c r="E9000" s="22" t="s">
        <v>84</v>
      </c>
      <c r="F9000" s="23" t="str">
        <f>HYPERLINK("https://www.spark-marketing.ru/Card/Lot/70104027", "Установка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дорожного движения) в Астраханской области, Республике Дагестан, Республике Калмы...")</f>
        <v>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дорожного движения) в Астраханской области, Республике Дагестан, Республике Калмы...</v>
      </c>
      <c r="G9000" s="22" t="s">
        <v>595</v>
      </c>
      <c r="H9000" s="22" t="s">
        <v>595</v>
      </c>
      <c r="I9000" s="26">
        <v>43580.737500000003</v>
      </c>
      <c r="J9000" s="28" t="s">
        <v>52</v>
      </c>
      <c r="K9000" s="28" t="s">
        <v>52</v>
      </c>
      <c r="L9000" s="28" t="s">
        <v>52</v>
      </c>
      <c r="M9000" s="28" t="s">
        <v>52</v>
      </c>
      <c r="N9000" s="28" t="s">
        <v>52</v>
      </c>
    </row>
    <row r="9001" spans="1:14" hidden="1" outlineLevel="1" x14ac:dyDescent="0.2">
      <c r="A9001" s="23" t="str">
        <f>HYPERLINK("https://www.spark-marketing.ru/Card/Person/3504", "ФКУ УПРДОР ""КАСПИЙ""")</f>
        <v>ФКУ УПРДОР "КАСПИЙ"</v>
      </c>
      <c r="B9001" s="24" t="s">
        <v>1277</v>
      </c>
      <c r="C9001" s="25">
        <v>25200000</v>
      </c>
      <c r="D9001" s="22" t="s">
        <v>11328</v>
      </c>
      <c r="E9001" s="22" t="s">
        <v>84</v>
      </c>
      <c r="F9001" s="23" t="str">
        <f>HYPERLINK("https://www.spark-marketing.ru/Card/Lot/70104027", "Установка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дорожного движения) в Астраханской области, Республике Дагестан, Республике Калмы...")</f>
        <v>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дорожного движения) в Астраханской области, Республике Дагестан, Республике Калмы...</v>
      </c>
      <c r="G9001" s="22" t="s">
        <v>595</v>
      </c>
      <c r="H9001" s="22" t="s">
        <v>595</v>
      </c>
      <c r="I9001" s="26">
        <v>43580.737500000003</v>
      </c>
      <c r="J9001" s="23" t="str">
        <f>HYPERLINK("https://www.spark-marketing.ru/Card/Person/6529613", "ООО ""НИЭС""")</f>
        <v>ООО "НИЭС"</v>
      </c>
      <c r="K9001" s="24" t="s">
        <v>3187</v>
      </c>
      <c r="L9001" s="28" t="s">
        <v>52</v>
      </c>
      <c r="M9001" s="25">
        <v>25199999.989999998</v>
      </c>
      <c r="N9001" s="27">
        <v>3.9682539682539682E-10</v>
      </c>
    </row>
    <row r="9002" spans="1:14" ht="12.75" hidden="1" outlineLevel="1" x14ac:dyDescent="0.2">
      <c r="A9002" s="23" t="str">
        <f>HYPERLINK("https://www.spark-marketing.ru/Card/Person/3504", "ФКУ УПРДОР ""КАСПИЙ""")</f>
        <v>ФКУ УПРДОР "КАСПИЙ"</v>
      </c>
      <c r="B9002" s="24" t="s">
        <v>1277</v>
      </c>
      <c r="C9002" s="25">
        <v>25200000</v>
      </c>
      <c r="D9002" s="22" t="s">
        <v>11328</v>
      </c>
      <c r="E9002" s="22" t="s">
        <v>84</v>
      </c>
      <c r="F9002" s="23" t="str">
        <f>HYPERLINK("https://www.spark-marketing.ru/Card/Lot/70104027", "Установка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дорожного движения) в Астраханской области, Республике Дагестан, Республике Калмы...")</f>
        <v>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дорожного движения) в Астраханской области, Республике Дагестан, Республике Калмы...</v>
      </c>
      <c r="G9002" s="22" t="s">
        <v>595</v>
      </c>
      <c r="H9002" s="22" t="s">
        <v>595</v>
      </c>
      <c r="I9002" s="26">
        <v>43580.737500000003</v>
      </c>
      <c r="J9002" s="23" t="str">
        <f>HYPERLINK("https://www.spark-marketing.ru/Card/Person/1354238", "ООО ""ЛАБОРАТОРИЯ ЦИФРОВОГО ЗРЕНИЯ""")</f>
        <v>ООО "ЛАБОРАТОРИЯ ЦИФРОВОГО ЗРЕНИЯ"</v>
      </c>
      <c r="K9002" s="24" t="s">
        <v>1191</v>
      </c>
      <c r="L9002" s="22" t="s">
        <v>10</v>
      </c>
      <c r="M9002" s="25">
        <v>25074000</v>
      </c>
      <c r="N9002" s="27">
        <v>5.0000000000000001E-3</v>
      </c>
    </row>
    <row r="9003" spans="1:14" x14ac:dyDescent="0.15">
      <c r="A9003" s="23" t="str">
        <f>HYPERLINK("https://www.spark-marketing.ru/Card/Person/641791", "УПФР В Г. КРАСНОКАМЕНСКЕ ЗАБАЙКАЛЬСКОГО КРАЯ (МЕЖРАЙОННОЕ)")</f>
        <v>УПФР В Г. КРАСНОКАМЕНСКЕ ЗАБАЙКАЛЬСКОГО КРАЯ (МЕЖРАЙОННОЕ)</v>
      </c>
      <c r="B9003" s="24" t="s">
        <v>11329</v>
      </c>
      <c r="C9003" s="25">
        <v>11570.01</v>
      </c>
      <c r="D9003" s="22" t="s">
        <v>11330</v>
      </c>
      <c r="E9003" s="22" t="s">
        <v>234</v>
      </c>
      <c r="F9003" s="23" t="str">
        <f>HYPERLINK("https://www.spark-marketing.ru/Card/Lot/70086081", "Оказание услуг по техническому обслуживанию систем видеонаблюдения в здании Клиентской службы (на правах отдела) (в Приаргунском районе), расположенного по адресу: Забайкальский край, п. Приаргунск, ул. Воинов - Интернационалистов, д.1")</f>
        <v>Оказание услуг по техническому обслуживанию систем видеонаблюдения в здании Клиентской службы (на правах отдела) (в Приаргунском районе), расположенного по адресу: Забайкальский край, п. Приаргунск, ул. Воинов - Интернационалистов, д.1</v>
      </c>
      <c r="G9003" s="22" t="s">
        <v>473</v>
      </c>
      <c r="H9003" s="22" t="s">
        <v>473</v>
      </c>
      <c r="I9003" s="26">
        <v>43580.715277777803</v>
      </c>
      <c r="J9003" s="23" t="str">
        <f>HYPERLINK("https://www.spark-marketing.ru/Card/Person/4440827", "ООО ЧОО ""СОКОЛ""")</f>
        <v>ООО ЧОО "СОКОЛ"</v>
      </c>
      <c r="K9003" s="24" t="s">
        <v>11331</v>
      </c>
      <c r="L9003" s="22" t="s">
        <v>10</v>
      </c>
      <c r="M9003" s="28" t="s">
        <v>52</v>
      </c>
      <c r="N9003" s="28" t="s">
        <v>52</v>
      </c>
    </row>
    <row r="9004" spans="1:14" x14ac:dyDescent="0.15">
      <c r="A9004" s="23" t="str">
        <f>HYPERLINK("https://www.spark-marketing.ru/Card/Person/4343554", "РОССОТРУДНИЧЕСТВО")</f>
        <v>РОССОТРУДНИЧЕСТВО</v>
      </c>
      <c r="B9004" s="24" t="s">
        <v>10840</v>
      </c>
      <c r="C9004" s="25">
        <v>49860</v>
      </c>
      <c r="D9004" s="22" t="s">
        <v>11332</v>
      </c>
      <c r="E9004" s="22" t="s">
        <v>107</v>
      </c>
      <c r="F9004" s="23" t="str">
        <f>HYPERLINK("https://www.spark-marketing.ru/Card/Lot/70152936", "Техническое обслуживание камер видеонаблюдения, 1 шт")</f>
        <v>Техническое обслуживание камер видеонаблюдения, 1 шт</v>
      </c>
      <c r="G9004" s="22" t="s">
        <v>55</v>
      </c>
      <c r="H9004" s="22" t="s">
        <v>55</v>
      </c>
      <c r="I9004" s="26">
        <v>43580.746886574103</v>
      </c>
      <c r="J9004" s="28" t="s">
        <v>52</v>
      </c>
      <c r="K9004" s="28" t="s">
        <v>52</v>
      </c>
      <c r="L9004" s="28" t="s">
        <v>52</v>
      </c>
      <c r="M9004" s="28" t="s">
        <v>52</v>
      </c>
      <c r="N9004" s="28" t="s">
        <v>52</v>
      </c>
    </row>
    <row r="9005" spans="1:14" x14ac:dyDescent="0.2">
      <c r="A9005" s="23" t="str">
        <f>HYPERLINK("https://www.spark-marketing.ru/Card/Person/1758413", "МАУ ""СК ""ВИКТОРИЯ""")</f>
        <v>МАУ "СК "ВИКТОРИЯ"</v>
      </c>
      <c r="B9005" s="24" t="s">
        <v>11333</v>
      </c>
      <c r="C9005" s="25">
        <v>78334</v>
      </c>
      <c r="D9005" s="22" t="s">
        <v>11334</v>
      </c>
      <c r="E9005" s="22" t="s">
        <v>11335</v>
      </c>
      <c r="F9005" s="23" t="str">
        <f>HYPERLINK("https://www.spark-marketing.ru/Card/Lot/70105080", "Поставка и установка камер видеонаблюдения для нужд Керченского филиала МАУДО ""ЦДО ""Виктория"" в 2019 году")</f>
        <v>Поставка и установка камер видеонаблюдения для нужд Керченского филиала МАУДО "ЦДО "Виктория" в 2019 году</v>
      </c>
      <c r="G9005" s="22" t="s">
        <v>50</v>
      </c>
      <c r="H9005" s="22" t="s">
        <v>938</v>
      </c>
      <c r="I9005" s="26">
        <v>43580.732476851903</v>
      </c>
      <c r="J9005" s="23" t="str">
        <f>HYPERLINK("https://www.spark-marketing.ru/Card/Person/6572964", "Шмелева Надежда Григорьевна")</f>
        <v>Шмелева Надежда Григорьевна</v>
      </c>
      <c r="K9005" s="24" t="s">
        <v>11336</v>
      </c>
      <c r="L9005" s="28" t="s">
        <v>52</v>
      </c>
      <c r="M9005" s="25">
        <v>78334</v>
      </c>
      <c r="N9005" s="27">
        <v>0</v>
      </c>
    </row>
    <row r="9006" spans="1:14" x14ac:dyDescent="0.15">
      <c r="A9006" s="23" t="str">
        <f>HYPERLINK("https://www.spark-marketing.ru/Card/Person/4365569", "ФГУП ""РОСМОРПОРТ""")</f>
        <v>ФГУП "РОСМОРПОРТ"</v>
      </c>
      <c r="B9006" s="24" t="s">
        <v>273</v>
      </c>
      <c r="C9006" s="28" t="s">
        <v>52</v>
      </c>
      <c r="D9006" s="22" t="s">
        <v>11337</v>
      </c>
      <c r="E9006" s="22" t="s">
        <v>2577</v>
      </c>
      <c r="F9006" s="23" t="str">
        <f>HYPERLINK("https://www.spark-marketing.ru/Card/Lot/74017651", "разработка плана обеспечения транспортной безопасности (ПОТБ) земснаряд «Белое море» Архангельского филиала ФГУП ""Росморпорт"" согласно требованиям Федерального закона от 09.02.2007 № 16-ФЗ «О транспортной безопасности» и МК ОСПС, утверждение данног...")</f>
        <v>разработка плана обеспечения транспортной безопасности (ПОТБ) земснаряд «Белое море» Архангельского филиала ФГУП "Росморпорт" согласно требованиям Федерального закона от 09.02.2007 № 16-ФЗ «О транспортной безопасности» и МК ОСПС, утверждение данног...</v>
      </c>
      <c r="G9006" s="22" t="s">
        <v>674</v>
      </c>
      <c r="H9006" s="22" t="s">
        <v>1905</v>
      </c>
      <c r="I9006" s="26">
        <v>43580.734722222202</v>
      </c>
      <c r="J9006" s="28" t="s">
        <v>52</v>
      </c>
      <c r="K9006" s="28" t="s">
        <v>52</v>
      </c>
      <c r="L9006" s="28" t="s">
        <v>52</v>
      </c>
      <c r="M9006" s="28" t="s">
        <v>52</v>
      </c>
      <c r="N9006" s="28" t="s">
        <v>52</v>
      </c>
    </row>
    <row r="9007" spans="1:14" x14ac:dyDescent="0.2">
      <c r="A9007" s="23" t="str">
        <f>HYPERLINK("https://www.spark-marketing.ru/Card/Person/2701", "МБУ ""ОТДЫХ"" Г. МАГНИТОГОРСКА")</f>
        <v>МБУ "ОТДЫХ" Г. МАГНИТОГОРСКА</v>
      </c>
      <c r="B9007" s="24" t="s">
        <v>11338</v>
      </c>
      <c r="C9007" s="25">
        <v>20520</v>
      </c>
      <c r="D9007" s="22" t="s">
        <v>11339</v>
      </c>
      <c r="E9007" s="22" t="s">
        <v>137</v>
      </c>
      <c r="F9007" s="23" t="str">
        <f>HYPERLINK("https://www.spark-marketing.ru/Card/Lot/70097686", "Услуги по техническому обслуживанию систем охранного видеонаблюдения")</f>
        <v>Услуги по техническому обслуживанию систем охранного видеонаблюдения</v>
      </c>
      <c r="G9007" s="22" t="s">
        <v>60</v>
      </c>
      <c r="H9007" s="22" t="s">
        <v>60</v>
      </c>
      <c r="I9007" s="26">
        <v>43580.721354166701</v>
      </c>
      <c r="J9007" s="23" t="str">
        <f>HYPERLINK("https://www.spark-marketing.ru/Card/Person/853391", "ООО ""ДОМОФОНОФФ""")</f>
        <v>ООО "ДОМОФОНОФФ"</v>
      </c>
      <c r="K9007" s="24" t="s">
        <v>11340</v>
      </c>
      <c r="L9007" s="28" t="s">
        <v>52</v>
      </c>
      <c r="M9007" s="25">
        <v>15000</v>
      </c>
      <c r="N9007" s="27">
        <v>0.26900584795321636</v>
      </c>
    </row>
    <row r="9008" spans="1:14" x14ac:dyDescent="0.15">
      <c r="A9008" s="23" t="str">
        <f t="shared" ref="A9008:A9013" si="399">HYPERLINK("https://www.spark-marketing.ru/Card/Person/641791", "УПФР В Г. КРАСНОКАМЕНСКЕ ЗАБАЙКАЛЬСКОГО КРАЯ (МЕЖРАЙОННОЕ)")</f>
        <v>УПФР В Г. КРАСНОКАМЕНСКЕ ЗАБАЙКАЛЬСКОГО КРАЯ (МЕЖРАЙОННОЕ)</v>
      </c>
      <c r="B9008" s="24" t="s">
        <v>11329</v>
      </c>
      <c r="C9008" s="25">
        <v>11570.01</v>
      </c>
      <c r="D9008" s="22" t="s">
        <v>11341</v>
      </c>
      <c r="E9008" s="22" t="s">
        <v>234</v>
      </c>
      <c r="F9008" s="23" t="str">
        <f>HYPERLINK("https://www.spark-marketing.ru/Card/Lot/70086082", "Оказание услуг по техническому обслуживанию систем видеонаблюдения в здании Клиентской службы (на правах отдела) (в Нерчинско-Заводском районе), расположенного по адресу: Забайкальский край, с. Нерчинский Завод, ул. Булгаковой, д.2")</f>
        <v>Оказание услуг по техническому обслуживанию систем видеонаблюдения в здании Клиентской службы (на правах отдела) (в Нерчинско-Заводском районе), расположенного по адресу: Забайкальский край, с. Нерчинский Завод, ул. Булгаковой, д.2</v>
      </c>
      <c r="G9008" s="22" t="s">
        <v>473</v>
      </c>
      <c r="H9008" s="22" t="s">
        <v>473</v>
      </c>
      <c r="I9008" s="26">
        <v>43580.715972222199</v>
      </c>
      <c r="J9008" s="28" t="s">
        <v>52</v>
      </c>
      <c r="K9008" s="28" t="s">
        <v>52</v>
      </c>
      <c r="L9008" s="28" t="s">
        <v>52</v>
      </c>
      <c r="M9008" s="28" t="s">
        <v>52</v>
      </c>
      <c r="N9008" s="28" t="s">
        <v>52</v>
      </c>
    </row>
    <row r="9009" spans="1:14" ht="12.75" hidden="1" outlineLevel="1" x14ac:dyDescent="0.2">
      <c r="A9009" s="23" t="str">
        <f t="shared" si="399"/>
        <v>УПФР В Г. КРАСНОКАМЕНСКЕ ЗАБАЙКАЛЬСКОГО КРАЯ (МЕЖРАЙОННОЕ)</v>
      </c>
      <c r="B9009" s="24" t="s">
        <v>11329</v>
      </c>
      <c r="C9009" s="25">
        <v>11570.01</v>
      </c>
      <c r="D9009" s="22" t="s">
        <v>11341</v>
      </c>
      <c r="E9009" s="22" t="s">
        <v>234</v>
      </c>
      <c r="F9009" s="23" t="str">
        <f>HYPERLINK("https://www.spark-marketing.ru/Card/Lot/70086082", "Оказание услуг по техническому обслуживанию систем видеонаблюдения в здании Клиентской службы (на правах отдела) (в Нерчинско-Заводском районе), расположенного по адресу: Забайкальский край, с. Нерчинский Завод, ул. Булгаковой, д.2")</f>
        <v>Оказание услуг по техническому обслуживанию систем видеонаблюдения в здании Клиентской службы (на правах отдела) (в Нерчинско-Заводском районе), расположенного по адресу: Забайкальский край, с. Нерчинский Завод, ул. Булгаковой, д.2</v>
      </c>
      <c r="G9009" s="22" t="s">
        <v>473</v>
      </c>
      <c r="H9009" s="22" t="s">
        <v>473</v>
      </c>
      <c r="I9009" s="26">
        <v>43580.715972222199</v>
      </c>
      <c r="J9009" s="23" t="str">
        <f>HYPERLINK("https://www.spark-marketing.ru/Card/Person/6502348", "ООО ""КОНСТАНТА""")</f>
        <v>ООО "КОНСТАНТА"</v>
      </c>
      <c r="K9009" s="24" t="s">
        <v>11342</v>
      </c>
      <c r="L9009" s="22" t="s">
        <v>10</v>
      </c>
      <c r="M9009" s="25">
        <v>7400</v>
      </c>
      <c r="N9009" s="27">
        <v>0.36041541882850575</v>
      </c>
    </row>
    <row r="9010" spans="1:14" hidden="1" outlineLevel="1" x14ac:dyDescent="0.2">
      <c r="A9010" s="23" t="str">
        <f t="shared" si="399"/>
        <v>УПФР В Г. КРАСНОКАМЕНСКЕ ЗАБАЙКАЛЬСКОГО КРАЯ (МЕЖРАЙОННОЕ)</v>
      </c>
      <c r="B9010" s="24" t="s">
        <v>11329</v>
      </c>
      <c r="C9010" s="25">
        <v>11570.01</v>
      </c>
      <c r="D9010" s="22" t="s">
        <v>11341</v>
      </c>
      <c r="E9010" s="22" t="s">
        <v>234</v>
      </c>
      <c r="F9010" s="23" t="str">
        <f>HYPERLINK("https://www.spark-marketing.ru/Card/Lot/70086082", "Оказание услуг по техническому обслуживанию систем видеонаблюдения в здании Клиентской службы (на правах отдела) (в Нерчинско-Заводском районе), расположенного по адресу: Забайкальский край, с. Нерчинский Завод, ул. Булгаковой, д.2")</f>
        <v>Оказание услуг по техническому обслуживанию систем видеонаблюдения в здании Клиентской службы (на правах отдела) (в Нерчинско-Заводском районе), расположенного по адресу: Забайкальский край, с. Нерчинский Завод, ул. Булгаковой, д.2</v>
      </c>
      <c r="G9010" s="22" t="s">
        <v>473</v>
      </c>
      <c r="H9010" s="22" t="s">
        <v>473</v>
      </c>
      <c r="I9010" s="26">
        <v>43580.715972222199</v>
      </c>
      <c r="J9010" s="23" t="str">
        <f>HYPERLINK("https://www.spark-marketing.ru/Card/Person/4440827", "ООО ЧОО ""СОКОЛ""")</f>
        <v>ООО ЧОО "СОКОЛ"</v>
      </c>
      <c r="K9010" s="24" t="s">
        <v>11331</v>
      </c>
      <c r="L9010" s="28" t="s">
        <v>52</v>
      </c>
      <c r="M9010" s="25">
        <v>7900</v>
      </c>
      <c r="N9010" s="27">
        <v>0.31720024442502642</v>
      </c>
    </row>
    <row r="9011" spans="1:14" x14ac:dyDescent="0.15">
      <c r="A9011" s="23" t="str">
        <f t="shared" si="399"/>
        <v>УПФР В Г. КРАСНОКАМЕНСКЕ ЗАБАЙКАЛЬСКОГО КРАЯ (МЕЖРАЙОННОЕ)</v>
      </c>
      <c r="B9011" s="24" t="s">
        <v>11329</v>
      </c>
      <c r="C9011" s="25">
        <v>11570.01</v>
      </c>
      <c r="D9011" s="22" t="s">
        <v>11343</v>
      </c>
      <c r="E9011" s="22" t="s">
        <v>234</v>
      </c>
      <c r="F9011" s="23" t="str">
        <f>HYPERLINK("https://www.spark-marketing.ru/Card/Lot/70086080", "Оказание услуг по техническому обслуживанию систем видеонаблюдения в здании УПФР в г. Краснокаменске Забайкальского края  (межрайонное), расположенного по адресу: Забайкальский край, г. Краснокаменск, д.505")</f>
        <v>Оказание услуг по техническому обслуживанию систем видеонаблюдения в здании УПФР в г. Краснокаменске Забайкальского края  (межрайонное), расположенного по адресу: Забайкальский край, г. Краснокаменск, д.505</v>
      </c>
      <c r="G9011" s="22" t="s">
        <v>473</v>
      </c>
      <c r="H9011" s="22" t="s">
        <v>473</v>
      </c>
      <c r="I9011" s="26">
        <v>43580.713888888902</v>
      </c>
      <c r="J9011" s="28" t="s">
        <v>52</v>
      </c>
      <c r="K9011" s="28" t="s">
        <v>52</v>
      </c>
      <c r="L9011" s="28" t="s">
        <v>52</v>
      </c>
      <c r="M9011" s="28" t="s">
        <v>52</v>
      </c>
      <c r="N9011" s="28" t="s">
        <v>52</v>
      </c>
    </row>
    <row r="9012" spans="1:14" hidden="1" outlineLevel="1" x14ac:dyDescent="0.2">
      <c r="A9012" s="23" t="str">
        <f t="shared" si="399"/>
        <v>УПФР В Г. КРАСНОКАМЕНСКЕ ЗАБАЙКАЛЬСКОГО КРАЯ (МЕЖРАЙОННОЕ)</v>
      </c>
      <c r="B9012" s="24" t="s">
        <v>11329</v>
      </c>
      <c r="C9012" s="25">
        <v>11570.01</v>
      </c>
      <c r="D9012" s="22" t="s">
        <v>11343</v>
      </c>
      <c r="E9012" s="22" t="s">
        <v>234</v>
      </c>
      <c r="F9012" s="23" t="str">
        <f>HYPERLINK("https://www.spark-marketing.ru/Card/Lot/70086080", "Оказание услуг по техническому обслуживанию систем видеонаблюдения в здании УПФР в г. Краснокаменске Забайкальского края  (межрайонное), расположенного по адресу: Забайкальский край, г. Краснокаменск, д.505")</f>
        <v>Оказание услуг по техническому обслуживанию систем видеонаблюдения в здании УПФР в г. Краснокаменске Забайкальского края  (межрайонное), расположенного по адресу: Забайкальский край, г. Краснокаменск, д.505</v>
      </c>
      <c r="G9012" s="22" t="s">
        <v>473</v>
      </c>
      <c r="H9012" s="22" t="s">
        <v>473</v>
      </c>
      <c r="I9012" s="26">
        <v>43580.713888888902</v>
      </c>
      <c r="J9012" s="23" t="str">
        <f>HYPERLINK("https://www.spark-marketing.ru/Card/Person/46433", "ООО ЧОП ""РУБИКОН ПЛЮС""")</f>
        <v>ООО ЧОП "РУБИКОН ПЛЮС"</v>
      </c>
      <c r="K9012" s="24" t="s">
        <v>11344</v>
      </c>
      <c r="L9012" s="28" t="s">
        <v>52</v>
      </c>
      <c r="M9012" s="25">
        <v>4900</v>
      </c>
      <c r="N9012" s="27">
        <v>0.57649129084590245</v>
      </c>
    </row>
    <row r="9013" spans="1:14" ht="12.75" hidden="1" outlineLevel="1" x14ac:dyDescent="0.2">
      <c r="A9013" s="23" t="str">
        <f t="shared" si="399"/>
        <v>УПФР В Г. КРАСНОКАМЕНСКЕ ЗАБАЙКАЛЬСКОГО КРАЯ (МЕЖРАЙОННОЕ)</v>
      </c>
      <c r="B9013" s="24" t="s">
        <v>11329</v>
      </c>
      <c r="C9013" s="25">
        <v>11570.01</v>
      </c>
      <c r="D9013" s="22" t="s">
        <v>11343</v>
      </c>
      <c r="E9013" s="22" t="s">
        <v>234</v>
      </c>
      <c r="F9013" s="23" t="str">
        <f>HYPERLINK("https://www.spark-marketing.ru/Card/Lot/70086080", "Оказание услуг по техническому обслуживанию систем видеонаблюдения в здании УПФР в г. Краснокаменске Забайкальского края  (межрайонное), расположенного по адресу: Забайкальский край, г. Краснокаменск, д.505")</f>
        <v>Оказание услуг по техническому обслуживанию систем видеонаблюдения в здании УПФР в г. Краснокаменске Забайкальского края  (межрайонное), расположенного по адресу: Забайкальский край, г. Краснокаменск, д.505</v>
      </c>
      <c r="G9013" s="22" t="s">
        <v>473</v>
      </c>
      <c r="H9013" s="22" t="s">
        <v>473</v>
      </c>
      <c r="I9013" s="26">
        <v>43580.713888888902</v>
      </c>
      <c r="J9013" s="23" t="str">
        <f>HYPERLINK("https://www.spark-marketing.ru/Card/Person/6502348", "ООО ""КОНСТАНТА""")</f>
        <v>ООО "КОНСТАНТА"</v>
      </c>
      <c r="K9013" s="24" t="s">
        <v>11342</v>
      </c>
      <c r="L9013" s="22" t="s">
        <v>10</v>
      </c>
      <c r="M9013" s="25">
        <v>4400</v>
      </c>
      <c r="N9013" s="27">
        <v>0.61970646524938178</v>
      </c>
    </row>
    <row r="9014" spans="1:14" x14ac:dyDescent="0.15">
      <c r="A9014" s="23" t="str">
        <f>HYPERLINK("https://www.spark-marketing.ru/Card/Person/208054", "ОАО ""322 АРЗ""")</f>
        <v>ОАО "322 АРЗ"</v>
      </c>
      <c r="B9014" s="24" t="s">
        <v>11345</v>
      </c>
      <c r="C9014" s="25">
        <v>30000000</v>
      </c>
      <c r="D9014" s="22" t="s">
        <v>11346</v>
      </c>
      <c r="E9014" s="22" t="s">
        <v>11347</v>
      </c>
      <c r="F9014" s="23" t="str">
        <f>HYPERLINK("https://www.spark-marketing.ru/Card/Lot/70081653", "Оказание комплекса охранных услуг (физическая охрана)")</f>
        <v>Оказание комплекса охранных услуг (физическая охрана)</v>
      </c>
      <c r="G9014" s="22" t="s">
        <v>409</v>
      </c>
      <c r="H9014" s="22" t="s">
        <v>7868</v>
      </c>
      <c r="I9014" s="26">
        <v>43580.691979166702</v>
      </c>
      <c r="J9014" s="28" t="s">
        <v>52</v>
      </c>
      <c r="K9014" s="28" t="s">
        <v>52</v>
      </c>
      <c r="L9014" s="28" t="s">
        <v>52</v>
      </c>
      <c r="M9014" s="28" t="s">
        <v>52</v>
      </c>
      <c r="N9014" s="28" t="s">
        <v>52</v>
      </c>
    </row>
    <row r="9015" spans="1:14" x14ac:dyDescent="0.15">
      <c r="A9015" s="23" t="str">
        <f>HYPERLINK("https://www.spark-marketing.ru/Card/Person/27050", "АДМИНИСТРАЦИЯ МУНИЦИПАЛЬНОГО ОБРАЗОВАНИЯ ТОСНЕНСКИЙ РАЙОН ЛЕНИНГРАДСКОЙ ОБЛАСТИ")</f>
        <v>АДМИНИСТРАЦИЯ МУНИЦИПАЛЬНОГО ОБРАЗОВАНИЯ ТОСНЕНСКИЙ РАЙОН ЛЕНИНГРАДСКОЙ ОБЛАСТИ</v>
      </c>
      <c r="B9015" s="24" t="s">
        <v>11348</v>
      </c>
      <c r="C9015" s="25">
        <v>709608</v>
      </c>
      <c r="D9015" s="22" t="s">
        <v>11349</v>
      </c>
      <c r="E9015" s="22" t="s">
        <v>183</v>
      </c>
      <c r="F9015" s="23" t="str">
        <f>HYPERLINK("https://www.spark-marketing.ru/Card/Lot/70103738", "Оказание услуг по охране и обеспечению пропускного и внутриобъектового режимов здания администрации")</f>
        <v>Оказание услуг по охране и обеспечению пропускного и внутриобъектового режимов здания администрации</v>
      </c>
      <c r="G9015" s="22" t="s">
        <v>861</v>
      </c>
      <c r="H9015" s="22" t="s">
        <v>11350</v>
      </c>
      <c r="I9015" s="26">
        <v>43580.693055555603</v>
      </c>
      <c r="J9015" s="28" t="s">
        <v>52</v>
      </c>
      <c r="K9015" s="28" t="s">
        <v>52</v>
      </c>
      <c r="L9015" s="28" t="s">
        <v>52</v>
      </c>
      <c r="M9015" s="28" t="s">
        <v>52</v>
      </c>
      <c r="N9015" s="28" t="s">
        <v>52</v>
      </c>
    </row>
    <row r="9016" spans="1:14" hidden="1" outlineLevel="1" x14ac:dyDescent="0.2">
      <c r="A9016" s="23" t="str">
        <f>HYPERLINK("https://www.spark-marketing.ru/Card/Person/27050", "АДМИНИСТРАЦИЯ МУНИЦИПАЛЬНОГО ОБРАЗОВАНИЯ ТОСНЕНСКИЙ РАЙОН ЛЕНИНГРАДСКОЙ ОБЛАСТИ")</f>
        <v>АДМИНИСТРАЦИЯ МУНИЦИПАЛЬНОГО ОБРАЗОВАНИЯ ТОСНЕНСКИЙ РАЙОН ЛЕНИНГРАДСКОЙ ОБЛАСТИ</v>
      </c>
      <c r="B9016" s="24" t="s">
        <v>11348</v>
      </c>
      <c r="C9016" s="25">
        <v>709608</v>
      </c>
      <c r="D9016" s="22" t="s">
        <v>11349</v>
      </c>
      <c r="E9016" s="22" t="s">
        <v>183</v>
      </c>
      <c r="F9016" s="23" t="str">
        <f>HYPERLINK("https://www.spark-marketing.ru/Card/Lot/70103738", "Оказание услуг по охране и обеспечению пропускного и внутриобъектового режимов здания администрации")</f>
        <v>Оказание услуг по охране и обеспечению пропускного и внутриобъектового режимов здания администрации</v>
      </c>
      <c r="G9016" s="22" t="s">
        <v>861</v>
      </c>
      <c r="H9016" s="22" t="s">
        <v>11350</v>
      </c>
      <c r="I9016" s="26">
        <v>43580.693055555603</v>
      </c>
      <c r="J9016" s="23" t="str">
        <f>HYPERLINK("https://www.spark-marketing.ru/Card/Person/387838", "ООО ""ОП ""ТОСНО-ЩИТ""")</f>
        <v>ООО "ОП "ТОСНО-ЩИТ"</v>
      </c>
      <c r="K9016" s="24" t="s">
        <v>11351</v>
      </c>
      <c r="L9016" s="28" t="s">
        <v>52</v>
      </c>
      <c r="M9016" s="25">
        <v>702511.92</v>
      </c>
      <c r="N9016" s="27">
        <v>0.01</v>
      </c>
    </row>
    <row r="9017" spans="1:14" ht="12.75" hidden="1" outlineLevel="1" x14ac:dyDescent="0.2">
      <c r="A9017" s="23" t="str">
        <f>HYPERLINK("https://www.spark-marketing.ru/Card/Person/27050", "АДМИНИСТРАЦИЯ МУНИЦИПАЛЬНОГО ОБРАЗОВАНИЯ ТОСНЕНСКИЙ РАЙОН ЛЕНИНГРАДСКОЙ ОБЛАСТИ")</f>
        <v>АДМИНИСТРАЦИЯ МУНИЦИПАЛЬНОГО ОБРАЗОВАНИЯ ТОСНЕНСКИЙ РАЙОН ЛЕНИНГРАДСКОЙ ОБЛАСТИ</v>
      </c>
      <c r="B9017" s="24" t="s">
        <v>11348</v>
      </c>
      <c r="C9017" s="25">
        <v>709608</v>
      </c>
      <c r="D9017" s="22" t="s">
        <v>11349</v>
      </c>
      <c r="E9017" s="22" t="s">
        <v>183</v>
      </c>
      <c r="F9017" s="23" t="str">
        <f>HYPERLINK("https://www.spark-marketing.ru/Card/Lot/70103738", "Оказание услуг по охране и обеспечению пропускного и внутриобъектового режимов здания администрации")</f>
        <v>Оказание услуг по охране и обеспечению пропускного и внутриобъектового режимов здания администрации</v>
      </c>
      <c r="G9017" s="22" t="s">
        <v>861</v>
      </c>
      <c r="H9017" s="22" t="s">
        <v>11350</v>
      </c>
      <c r="I9017" s="26">
        <v>43580.693055555603</v>
      </c>
      <c r="J9017" s="23" t="str">
        <f>HYPERLINK("https://www.spark-marketing.ru/Card/Person/669789", "ООО ""ОП ""К° ЩИТ""")</f>
        <v>ООО "ОП "К° ЩИТ"</v>
      </c>
      <c r="K9017" s="24" t="s">
        <v>11352</v>
      </c>
      <c r="L9017" s="22" t="s">
        <v>10</v>
      </c>
      <c r="M9017" s="25">
        <v>698693.88</v>
      </c>
      <c r="N9017" s="27">
        <v>1.5380491764467142E-2</v>
      </c>
    </row>
    <row r="9018" spans="1:14" x14ac:dyDescent="0.2">
      <c r="A9018" s="23" t="str">
        <f>HYPERLINK("https://www.spark-marketing.ru/Card/Person/18481", "ФГУП ""РОСРАО""")</f>
        <v>ФГУП "РОСРАО"</v>
      </c>
      <c r="B9018" s="24" t="s">
        <v>1615</v>
      </c>
      <c r="C9018" s="25">
        <v>4950000</v>
      </c>
      <c r="D9018" s="22" t="s">
        <v>11353</v>
      </c>
      <c r="E9018" s="22" t="s">
        <v>1077</v>
      </c>
      <c r="F9018" s="23" t="str">
        <f>HYPERLINK("https://www.spark-marketing.ru/Card/Lot/70101446", "Право заключения договора на Оказание услуг для сопровождения процедуры закрепления объектов за ФГУП «РосРАО»")</f>
        <v>Право заключения договора на Оказание услуг для сопровождения процедуры закрепления объектов за ФГУП «РосРАО»</v>
      </c>
      <c r="G9018" s="22" t="s">
        <v>55</v>
      </c>
      <c r="H9018" s="22" t="s">
        <v>55</v>
      </c>
      <c r="I9018" s="26">
        <v>43580.6972453704</v>
      </c>
      <c r="J9018" s="23" t="str">
        <f>HYPERLINK("https://www.spark-marketing.ru/Card/Person/4902373", "ООО ""ПРОФЭКСПЕРТ""")</f>
        <v>ООО "ПРОФЭКСПЕРТ"</v>
      </c>
      <c r="K9018" s="24" t="s">
        <v>11354</v>
      </c>
      <c r="L9018" s="28" t="s">
        <v>52</v>
      </c>
      <c r="M9018" s="25">
        <v>4118400</v>
      </c>
      <c r="N9018" s="27">
        <v>0.16800000000000001</v>
      </c>
    </row>
    <row r="9019" spans="1:14" x14ac:dyDescent="0.15">
      <c r="A9019" s="23" t="str">
        <f>HYPERLINK("https://www.spark-marketing.ru/Card/Person/71287", "БГТУ ""ВОЕНМЕХ"" ИМ. Д.Ф. УСТИНОВА")</f>
        <v>БГТУ "ВОЕНМЕХ" ИМ. Д.Ф. УСТИНОВА</v>
      </c>
      <c r="B9019" s="24" t="s">
        <v>11355</v>
      </c>
      <c r="C9019" s="25">
        <v>33000</v>
      </c>
      <c r="D9019" s="22" t="s">
        <v>11356</v>
      </c>
      <c r="E9019" s="22" t="s">
        <v>137</v>
      </c>
      <c r="F9019" s="23" t="str">
        <f>HYPERLINK("https://www.spark-marketing.ru/Card/Lot/70110157", "Оказание услуг по техническому обслуживанию видеонаблюдения в ДОЛ «Ракета»")</f>
        <v>Оказание услуг по техническому обслуживанию видеонаблюдения в ДОЛ «Ракета»</v>
      </c>
      <c r="G9019" s="22" t="s">
        <v>89</v>
      </c>
      <c r="H9019" s="22" t="s">
        <v>89</v>
      </c>
      <c r="I9019" s="26">
        <v>43580.667638888903</v>
      </c>
      <c r="J9019" s="28" t="s">
        <v>52</v>
      </c>
      <c r="K9019" s="28" t="s">
        <v>52</v>
      </c>
      <c r="L9019" s="28" t="s">
        <v>52</v>
      </c>
      <c r="M9019" s="28" t="s">
        <v>52</v>
      </c>
      <c r="N9019" s="28" t="s">
        <v>52</v>
      </c>
    </row>
    <row r="9020" spans="1:14" hidden="1" outlineLevel="1" x14ac:dyDescent="0.2">
      <c r="A9020" s="23" t="str">
        <f>HYPERLINK("https://www.spark-marketing.ru/Card/Person/71287", "БГТУ ""ВОЕНМЕХ"" ИМ. Д.Ф. УСТИНОВА")</f>
        <v>БГТУ "ВОЕНМЕХ" ИМ. Д.Ф. УСТИНОВА</v>
      </c>
      <c r="B9020" s="24" t="s">
        <v>11355</v>
      </c>
      <c r="C9020" s="28" t="s">
        <v>52</v>
      </c>
      <c r="D9020" s="22" t="s">
        <v>11356</v>
      </c>
      <c r="E9020" s="22" t="s">
        <v>137</v>
      </c>
      <c r="F9020" s="23" t="str">
        <f>HYPERLINK("https://www.spark-marketing.ru/Card/Lot/70110157", "Оказание услуг по техническому обслуживанию видеонаблюдения в ДОЛ «Ракета»")</f>
        <v>Оказание услуг по техническому обслуживанию видеонаблюдения в ДОЛ «Ракета»</v>
      </c>
      <c r="G9020" s="22" t="s">
        <v>89</v>
      </c>
      <c r="H9020" s="22" t="s">
        <v>89</v>
      </c>
      <c r="I9020" s="26">
        <v>43580.667638888903</v>
      </c>
      <c r="J9020" s="23" t="str">
        <f>HYPERLINK("https://www.spark-marketing.ru/Card/Person/6372586", "Краснобородкин Алексей Николаевич")</f>
        <v>Краснобородкин Алексей Николаевич</v>
      </c>
      <c r="K9020" s="24" t="s">
        <v>4593</v>
      </c>
      <c r="L9020" s="28" t="s">
        <v>52</v>
      </c>
      <c r="M9020" s="25">
        <v>0</v>
      </c>
      <c r="N9020" s="27">
        <v>1</v>
      </c>
    </row>
    <row r="9021" spans="1:14" hidden="1" outlineLevel="1" x14ac:dyDescent="0.2">
      <c r="A9021" s="23" t="str">
        <f>HYPERLINK("https://www.spark-marketing.ru/Card/Person/71287", "БГТУ ""ВОЕНМЕХ"" ИМ. Д.Ф. УСТИНОВА")</f>
        <v>БГТУ "ВОЕНМЕХ" ИМ. Д.Ф. УСТИНОВА</v>
      </c>
      <c r="B9021" s="24" t="s">
        <v>11355</v>
      </c>
      <c r="C9021" s="28" t="s">
        <v>52</v>
      </c>
      <c r="D9021" s="22" t="s">
        <v>11356</v>
      </c>
      <c r="E9021" s="22" t="s">
        <v>137</v>
      </c>
      <c r="F9021" s="23" t="str">
        <f>HYPERLINK("https://www.spark-marketing.ru/Card/Lot/70110157", "Оказание услуг по техническому обслуживанию видеонаблюдения в ДОЛ «Ракета»")</f>
        <v>Оказание услуг по техническому обслуживанию видеонаблюдения в ДОЛ «Ракета»</v>
      </c>
      <c r="G9021" s="22" t="s">
        <v>89</v>
      </c>
      <c r="H9021" s="22" t="s">
        <v>89</v>
      </c>
      <c r="I9021" s="26">
        <v>43580.667638888903</v>
      </c>
      <c r="J9021" s="23" t="str">
        <f>HYPERLINK("https://www.spark-marketing.ru/Card/Person/4864187", "ООО ""СБ СТЭЛС""")</f>
        <v>ООО "СБ СТЭЛС"</v>
      </c>
      <c r="K9021" s="24" t="s">
        <v>7240</v>
      </c>
      <c r="L9021" s="28" t="s">
        <v>52</v>
      </c>
      <c r="M9021" s="25">
        <v>0</v>
      </c>
      <c r="N9021" s="27">
        <v>1</v>
      </c>
    </row>
    <row r="9022" spans="1:14" hidden="1" outlineLevel="1" x14ac:dyDescent="0.2">
      <c r="A9022" s="23" t="str">
        <f>HYPERLINK("https://www.spark-marketing.ru/Card/Person/71287", "БГТУ ""ВОЕНМЕХ"" ИМ. Д.Ф. УСТИНОВА")</f>
        <v>БГТУ "ВОЕНМЕХ" ИМ. Д.Ф. УСТИНОВА</v>
      </c>
      <c r="B9022" s="24" t="s">
        <v>11355</v>
      </c>
      <c r="C9022" s="28" t="s">
        <v>52</v>
      </c>
      <c r="D9022" s="22" t="s">
        <v>11356</v>
      </c>
      <c r="E9022" s="22" t="s">
        <v>137</v>
      </c>
      <c r="F9022" s="23" t="str">
        <f>HYPERLINK("https://www.spark-marketing.ru/Card/Lot/70110157", "Оказание услуг по техническому обслуживанию видеонаблюдения в ДОЛ «Ракета»")</f>
        <v>Оказание услуг по техническому обслуживанию видеонаблюдения в ДОЛ «Ракета»</v>
      </c>
      <c r="G9022" s="22" t="s">
        <v>89</v>
      </c>
      <c r="H9022" s="22" t="s">
        <v>89</v>
      </c>
      <c r="I9022" s="26">
        <v>43580.667638888903</v>
      </c>
      <c r="J9022" s="23" t="str">
        <f>HYPERLINK("https://www.spark-marketing.ru/Card/Person/94345", "ООО ""СТРОЙСЕРВИСПРОЕКТ""")</f>
        <v>ООО "СТРОЙСЕРВИСПРОЕКТ"</v>
      </c>
      <c r="K9022" s="24" t="s">
        <v>1285</v>
      </c>
      <c r="L9022" s="28" t="s">
        <v>52</v>
      </c>
      <c r="M9022" s="25">
        <v>0</v>
      </c>
      <c r="N9022" s="27">
        <v>1</v>
      </c>
    </row>
    <row r="9023" spans="1:14" x14ac:dyDescent="0.15">
      <c r="A9023" s="23" t="str">
        <f>HYPERLINK("https://www.spark-marketing.ru/Card/Person/111062", "ГБУЗ ""ЦРБ ИМ. ХАЦУКОВА А.А.""")</f>
        <v>ГБУЗ "ЦРБ ИМ. ХАЦУКОВА А.А."</v>
      </c>
      <c r="B9023" s="24" t="s">
        <v>11357</v>
      </c>
      <c r="C9023" s="25">
        <v>183878.1</v>
      </c>
      <c r="D9023" s="22" t="s">
        <v>11358</v>
      </c>
      <c r="E9023" s="22" t="s">
        <v>11359</v>
      </c>
      <c r="F9023" s="23" t="str">
        <f>HYPERLINK("https://www.spark-marketing.ru/Card/Lot/70103404", "централизованная охрана объектов")</f>
        <v>централизованная охрана объектов</v>
      </c>
      <c r="G9023" s="22" t="s">
        <v>110</v>
      </c>
      <c r="H9023" s="22" t="s">
        <v>110</v>
      </c>
      <c r="I9023" s="26">
        <v>43580.689583333296</v>
      </c>
      <c r="J9023" s="28" t="s">
        <v>52</v>
      </c>
      <c r="K9023" s="28" t="s">
        <v>52</v>
      </c>
      <c r="L9023" s="28" t="s">
        <v>52</v>
      </c>
      <c r="M9023" s="28" t="s">
        <v>52</v>
      </c>
      <c r="N9023" s="28" t="s">
        <v>52</v>
      </c>
    </row>
    <row r="9024" spans="1:14" x14ac:dyDescent="0.15">
      <c r="A9024" s="23" t="str">
        <f>HYPERLINK("https://www.spark-marketing.ru/Card/Person/251954", "ПАО ""ТГК-1""")</f>
        <v>ПАО "ТГК-1"</v>
      </c>
      <c r="B9024" s="24" t="s">
        <v>11360</v>
      </c>
      <c r="C9024" s="25">
        <v>20000000</v>
      </c>
      <c r="D9024" s="22" t="s">
        <v>11361</v>
      </c>
      <c r="E9024" s="22" t="s">
        <v>5831</v>
      </c>
      <c r="F9024" s="23" t="str">
        <f>HYPERLINK("https://www.spark-marketing.ru/Card/Lot/70103208", "ПИР. Создание комплекса инженерно-технических средств охраны (КИТСО) на объектах каскада Кемских ГЭС филиала ""Карельский"" (Кривопорожская ГЭС)")</f>
        <v>ПИР. Создание комплекса инженерно-технических средств охраны (КИТСО) на объектах каскада Кемских ГЭС филиала "Карельский" (Кривопорожская ГЭС)</v>
      </c>
      <c r="G9024" s="22" t="s">
        <v>435</v>
      </c>
      <c r="H9024" s="22" t="s">
        <v>435</v>
      </c>
      <c r="I9024" s="26">
        <v>43580.677384259303</v>
      </c>
      <c r="J9024" s="28" t="s">
        <v>52</v>
      </c>
      <c r="K9024" s="28" t="s">
        <v>52</v>
      </c>
      <c r="L9024" s="28" t="s">
        <v>52</v>
      </c>
      <c r="M9024" s="28" t="s">
        <v>52</v>
      </c>
      <c r="N9024" s="28" t="s">
        <v>52</v>
      </c>
    </row>
    <row r="9025" spans="1:14" x14ac:dyDescent="0.15">
      <c r="A9025" s="23" t="str">
        <f>HYPERLINK("https://www.spark-marketing.ru/Card/Person/4997", "ФГУП ""ВНИИА""")</f>
        <v>ФГУП "ВНИИА"</v>
      </c>
      <c r="B9025" s="24" t="s">
        <v>794</v>
      </c>
      <c r="C9025" s="25">
        <v>991783.21</v>
      </c>
      <c r="D9025" s="22" t="s">
        <v>11362</v>
      </c>
      <c r="E9025" s="22" t="s">
        <v>3456</v>
      </c>
      <c r="F9025" s="23" t="str">
        <f>HYPERLINK("https://www.spark-marketing.ru/Card/Lot/70098187", "Производство геотехнического мониторинга несущих конструкций здания и производство геодезического сопровождения при капитальном строительстве объекта «Строительство производственно-технологического комплекса для обеспечения производства специальных п...")</f>
        <v>Производство геотехнического мониторинга несущих конструкций здания и производство геодезического сопровождения при капитальном строительстве объекта «Строительство производственно-технологического комплекса для обеспечения производства специальных п...</v>
      </c>
      <c r="G9025" s="22" t="s">
        <v>55</v>
      </c>
      <c r="H9025" s="22" t="s">
        <v>55</v>
      </c>
      <c r="I9025" s="26">
        <v>43580.640729166698</v>
      </c>
      <c r="J9025" s="28" t="s">
        <v>52</v>
      </c>
      <c r="K9025" s="28" t="s">
        <v>52</v>
      </c>
      <c r="L9025" s="28" t="s">
        <v>52</v>
      </c>
      <c r="M9025" s="28" t="s">
        <v>52</v>
      </c>
      <c r="N9025" s="28" t="s">
        <v>52</v>
      </c>
    </row>
    <row r="9026" spans="1:14" ht="12.75" x14ac:dyDescent="0.2">
      <c r="A9026" s="23" t="str">
        <f>HYPERLINK("https://www.spark-marketing.ru/Card/Person/4392859", "ООО ""ЕНИСЕЙЭНЕРГОКОМ""")</f>
        <v>ООО "ЕНИСЕЙЭНЕРГОКОМ"</v>
      </c>
      <c r="B9026" s="24" t="s">
        <v>11363</v>
      </c>
      <c r="C9026" s="25">
        <v>4915066.42</v>
      </c>
      <c r="D9026" s="22" t="s">
        <v>11364</v>
      </c>
      <c r="E9026" s="22" t="s">
        <v>11365</v>
      </c>
      <c r="F9026" s="23" t="str">
        <f>HYPERLINK("https://www.spark-marketing.ru/Card/Lot/70089852", "Оказание услуг по техническому обслуживанию и обеспечению круглосуточной работы технических средств охраны и связи на объектах ООО ""Енисейэнергоком""")</f>
        <v>Оказание услуг по техническому обслуживанию и обеспечению круглосуточной работы технических средств охраны и связи на объектах ООО "Енисейэнергоком"</v>
      </c>
      <c r="G9026" s="22" t="s">
        <v>640</v>
      </c>
      <c r="H9026" s="22" t="s">
        <v>640</v>
      </c>
      <c r="I9026" s="26">
        <v>43580.656527777799</v>
      </c>
      <c r="J9026" s="23" t="str">
        <f>HYPERLINK("https://www.spark-marketing.ru/Card/Person/478703", "ООО ""ФОРТЕ""")</f>
        <v>ООО "ФОРТЕ"</v>
      </c>
      <c r="K9026" s="24" t="s">
        <v>11366</v>
      </c>
      <c r="L9026" s="22" t="s">
        <v>10</v>
      </c>
      <c r="M9026" s="25">
        <v>4915040</v>
      </c>
      <c r="N9026" s="27">
        <v>5.3753088447581956E-6</v>
      </c>
    </row>
    <row r="9027" spans="1:14" x14ac:dyDescent="0.15">
      <c r="A9027" s="23" t="str">
        <f>HYPERLINK("https://www.spark-marketing.ru/Card/Person/1046847", "МБДОУ № 34 ""ЗВЕЗДОЧКА"" С. НОВЫЙ ЕГОРЛЫК")</f>
        <v>МБДОУ № 34 "ЗВЕЗДОЧКА" С. НОВЫЙ ЕГОРЛЫК</v>
      </c>
      <c r="B9027" s="24" t="s">
        <v>11367</v>
      </c>
      <c r="C9027" s="25">
        <v>37000</v>
      </c>
      <c r="D9027" s="22" t="s">
        <v>11368</v>
      </c>
      <c r="E9027" s="22" t="s">
        <v>84</v>
      </c>
      <c r="F9027" s="23" t="str">
        <f>HYPERLINK("https://www.spark-marketing.ru/Card/Lot/70093840", "Установка видеонаблюдения")</f>
        <v>Установка видеонаблюдения</v>
      </c>
      <c r="G9027" s="22" t="s">
        <v>402</v>
      </c>
      <c r="H9027" s="22" t="s">
        <v>4954</v>
      </c>
      <c r="I9027" s="26">
        <v>43580.590277777803</v>
      </c>
      <c r="J9027" s="28" t="s">
        <v>52</v>
      </c>
      <c r="K9027" s="28" t="s">
        <v>52</v>
      </c>
      <c r="L9027" s="28" t="s">
        <v>52</v>
      </c>
      <c r="M9027" s="28" t="s">
        <v>52</v>
      </c>
      <c r="N9027" s="28" t="s">
        <v>52</v>
      </c>
    </row>
    <row r="9028" spans="1:14" x14ac:dyDescent="0.15">
      <c r="A9028" s="23" t="str">
        <f>HYPERLINK("https://www.spark-marketing.ru/Card/Person/769", "ФКУ ""ЦОКР""")</f>
        <v>ФКУ "ЦОКР"</v>
      </c>
      <c r="B9028" s="24" t="s">
        <v>962</v>
      </c>
      <c r="C9028" s="25">
        <v>99000</v>
      </c>
      <c r="D9028" s="22" t="s">
        <v>11369</v>
      </c>
      <c r="E9028" s="22" t="s">
        <v>84</v>
      </c>
      <c r="F9028" s="23" t="str">
        <f>HYPERLINK("https://www.spark-marketing.ru/Card/Lot/70089507", "Выполнение работ по установке беспроводной камеры видеонаблюдения и автоматики управления привода шлагбаума для нужд Управления Федерального казначейства по Новосибирской области.")</f>
        <v>Выполнение работ по установке беспроводной камеры видеонаблюдения и автоматики управления привода шлагбаума для нужд Управления Федерального казначейства по Новосибирской области.</v>
      </c>
      <c r="G9028" s="22" t="s">
        <v>209</v>
      </c>
      <c r="H9028" s="22" t="s">
        <v>209</v>
      </c>
      <c r="I9028" s="26">
        <v>43580.610416666699</v>
      </c>
      <c r="J9028" s="28" t="s">
        <v>52</v>
      </c>
      <c r="K9028" s="28" t="s">
        <v>52</v>
      </c>
      <c r="L9028" s="28" t="s">
        <v>52</v>
      </c>
      <c r="M9028" s="28" t="s">
        <v>52</v>
      </c>
      <c r="N9028" s="28" t="s">
        <v>52</v>
      </c>
    </row>
    <row r="9029" spans="1:14" hidden="1" outlineLevel="1" x14ac:dyDescent="0.2">
      <c r="A9029" s="23" t="str">
        <f>HYPERLINK("https://www.spark-marketing.ru/Card/Person/769", "ФКУ ""ЦОКР""")</f>
        <v>ФКУ "ЦОКР"</v>
      </c>
      <c r="B9029" s="24" t="s">
        <v>962</v>
      </c>
      <c r="C9029" s="25">
        <v>99000</v>
      </c>
      <c r="D9029" s="22" t="s">
        <v>11369</v>
      </c>
      <c r="E9029" s="22" t="s">
        <v>84</v>
      </c>
      <c r="F9029" s="23" t="str">
        <f>HYPERLINK("https://www.spark-marketing.ru/Card/Lot/70089507", "Выполнение работ по установке беспроводной камеры видеонаблюдения и автоматики управления привода шлагбаума для нужд Управления Федерального казначейства по Новосибирской области.")</f>
        <v>Выполнение работ по установке беспроводной камеры видеонаблюдения и автоматики управления привода шлагбаума для нужд Управления Федерального казначейства по Новосибирской области.</v>
      </c>
      <c r="G9029" s="22" t="s">
        <v>209</v>
      </c>
      <c r="H9029" s="22" t="s">
        <v>209</v>
      </c>
      <c r="I9029" s="26">
        <v>43580.610416666699</v>
      </c>
      <c r="J9029" s="23" t="str">
        <f>HYPERLINK("https://www.spark-marketing.ru/Card/Person/6402542", "ООО ""ЦЕНТР СБ""")</f>
        <v>ООО "ЦЕНТР СБ"</v>
      </c>
      <c r="K9029" s="24" t="s">
        <v>2133</v>
      </c>
      <c r="L9029" s="28" t="s">
        <v>52</v>
      </c>
      <c r="M9029" s="25">
        <v>79690</v>
      </c>
      <c r="N9029" s="27">
        <v>0.19505050505050506</v>
      </c>
    </row>
    <row r="9030" spans="1:14" ht="12.75" hidden="1" outlineLevel="1" x14ac:dyDescent="0.2">
      <c r="A9030" s="23" t="str">
        <f>HYPERLINK("https://www.spark-marketing.ru/Card/Person/769", "ФКУ ""ЦОКР""")</f>
        <v>ФКУ "ЦОКР"</v>
      </c>
      <c r="B9030" s="24" t="s">
        <v>962</v>
      </c>
      <c r="C9030" s="25">
        <v>99000</v>
      </c>
      <c r="D9030" s="22" t="s">
        <v>11369</v>
      </c>
      <c r="E9030" s="22" t="s">
        <v>84</v>
      </c>
      <c r="F9030" s="23" t="str">
        <f>HYPERLINK("https://www.spark-marketing.ru/Card/Lot/70089507", "Выполнение работ по установке беспроводной камеры видеонаблюдения и автоматики управления привода шлагбаума для нужд Управления Федерального казначейства по Новосибирской области.")</f>
        <v>Выполнение работ по установке беспроводной камеры видеонаблюдения и автоматики управления привода шлагбаума для нужд Управления Федерального казначейства по Новосибирской области.</v>
      </c>
      <c r="G9030" s="22" t="s">
        <v>209</v>
      </c>
      <c r="H9030" s="22" t="s">
        <v>209</v>
      </c>
      <c r="I9030" s="26">
        <v>43580.610416666699</v>
      </c>
      <c r="J9030" s="23" t="str">
        <f>HYPERLINK("https://www.spark-marketing.ru/Card/Person/235335", "ООО""МВС""")</f>
        <v>ООО"МВС"</v>
      </c>
      <c r="K9030" s="24" t="s">
        <v>8482</v>
      </c>
      <c r="L9030" s="22" t="s">
        <v>10</v>
      </c>
      <c r="M9030" s="25">
        <v>74740</v>
      </c>
      <c r="N9030" s="27">
        <v>0.24505050505050505</v>
      </c>
    </row>
    <row r="9031" spans="1:14" hidden="1" outlineLevel="1" x14ac:dyDescent="0.2">
      <c r="A9031" s="23" t="str">
        <f>HYPERLINK("https://www.spark-marketing.ru/Card/Person/769", "ФКУ ""ЦОКР""")</f>
        <v>ФКУ "ЦОКР"</v>
      </c>
      <c r="B9031" s="24" t="s">
        <v>962</v>
      </c>
      <c r="C9031" s="25">
        <v>99000</v>
      </c>
      <c r="D9031" s="22" t="s">
        <v>11369</v>
      </c>
      <c r="E9031" s="22" t="s">
        <v>84</v>
      </c>
      <c r="F9031" s="23" t="str">
        <f>HYPERLINK("https://www.spark-marketing.ru/Card/Lot/70089507", "Выполнение работ по установке беспроводной камеры видеонаблюдения и автоматики управления привода шлагбаума для нужд Управления Федерального казначейства по Новосибирской области.")</f>
        <v>Выполнение работ по установке беспроводной камеры видеонаблюдения и автоматики управления привода шлагбаума для нужд Управления Федерального казначейства по Новосибирской области.</v>
      </c>
      <c r="G9031" s="22" t="s">
        <v>209</v>
      </c>
      <c r="H9031" s="22" t="s">
        <v>209</v>
      </c>
      <c r="I9031" s="26">
        <v>43580.610416666699</v>
      </c>
      <c r="J9031" s="23" t="str">
        <f>HYPERLINK("https://www.spark-marketing.ru/Card/Person/389896", "Богданенко Евгений Станиславович")</f>
        <v>Богданенко Евгений Станиславович</v>
      </c>
      <c r="K9031" s="24" t="s">
        <v>11047</v>
      </c>
      <c r="L9031" s="28" t="s">
        <v>52</v>
      </c>
      <c r="M9031" s="25">
        <v>85135</v>
      </c>
      <c r="N9031" s="27">
        <v>0.14005050505050506</v>
      </c>
    </row>
    <row r="9032" spans="1:14" x14ac:dyDescent="0.2">
      <c r="A9032" s="23" t="str">
        <f>HYPERLINK("https://www.spark-marketing.ru/Card/Person/64043", "ГБУЗ МО ""ПБ № 28""")</f>
        <v>ГБУЗ МО "ПБ № 28"</v>
      </c>
      <c r="B9032" s="24" t="s">
        <v>11370</v>
      </c>
      <c r="C9032" s="25">
        <v>119000</v>
      </c>
      <c r="D9032" s="22" t="s">
        <v>11371</v>
      </c>
      <c r="E9032" s="22" t="s">
        <v>691</v>
      </c>
      <c r="F9032" s="23" t="str">
        <f>HYPERLINK("https://www.spark-marketing.ru/Card/Lot/70095097", "Оказание услуг по техническое обслуживание оборудования и камер видеонаблюдения")</f>
        <v>Оказание услуг по техническое обслуживание оборудования и камер видеонаблюдения</v>
      </c>
      <c r="G9032" s="22" t="s">
        <v>50</v>
      </c>
      <c r="H9032" s="22" t="s">
        <v>50</v>
      </c>
      <c r="I9032" s="26">
        <v>43580.6191203704</v>
      </c>
      <c r="J9032" s="23" t="str">
        <f>HYPERLINK("https://www.spark-marketing.ru/Card/Person/65028", "ООО ""ИМПУЛЬС М""")</f>
        <v>ООО "ИМПУЛЬС М"</v>
      </c>
      <c r="K9032" s="24" t="s">
        <v>7268</v>
      </c>
      <c r="L9032" s="28" t="s">
        <v>52</v>
      </c>
      <c r="M9032" s="25">
        <v>80000</v>
      </c>
      <c r="N9032" s="27">
        <v>0.32773109243697479</v>
      </c>
    </row>
    <row r="9033" spans="1:14" x14ac:dyDescent="0.15">
      <c r="A9033" s="23" t="str">
        <f>HYPERLINK("https://www.spark-marketing.ru/Card/Person/4414846", "ООО ""МГЭС СТАВРОПОЛЬЯ И КЧР""")</f>
        <v>ООО "МГЭС СТАВРОПОЛЬЯ И КЧР"</v>
      </c>
      <c r="B9033" s="24" t="s">
        <v>11372</v>
      </c>
      <c r="C9033" s="25">
        <v>6760000</v>
      </c>
      <c r="D9033" s="22" t="s">
        <v>11373</v>
      </c>
      <c r="E9033" s="22" t="s">
        <v>11374</v>
      </c>
      <c r="F9033" s="23" t="str">
        <f>HYPERLINK("https://www.spark-marketing.ru/Card/Lot/70089288", "Услуги по разработке технологических регламентов на производство бетонных работ, разработке составов бетона, сопровождение бетонныхработ на объекте строительства Красногорской МГЭС-2")</f>
        <v>Услуги по разработке технологических регламентов на производство бетонных работ, разработке составов бетона, сопровождение бетонныхработ на объекте строительства Красногорской МГЭС-2</v>
      </c>
      <c r="G9033" s="22" t="s">
        <v>55</v>
      </c>
      <c r="H9033" s="22" t="s">
        <v>55</v>
      </c>
      <c r="I9033" s="26">
        <v>43580.510567129597</v>
      </c>
      <c r="J9033" s="28" t="s">
        <v>52</v>
      </c>
      <c r="K9033" s="28" t="s">
        <v>52</v>
      </c>
      <c r="L9033" s="28" t="s">
        <v>52</v>
      </c>
      <c r="M9033" s="28" t="s">
        <v>52</v>
      </c>
      <c r="N9033" s="28" t="s">
        <v>52</v>
      </c>
    </row>
    <row r="9034" spans="1:14" hidden="1" outlineLevel="1" x14ac:dyDescent="0.2">
      <c r="A9034" s="23" t="str">
        <f>HYPERLINK("https://www.spark-marketing.ru/Card/Person/4414846", "ООО ""МГЭС СТАВРОПОЛЬЯ И КЧР""")</f>
        <v>ООО "МГЭС СТАВРОПОЛЬЯ И КЧР"</v>
      </c>
      <c r="B9034" s="24" t="s">
        <v>11372</v>
      </c>
      <c r="C9034" s="28" t="s">
        <v>52</v>
      </c>
      <c r="D9034" s="22" t="s">
        <v>11373</v>
      </c>
      <c r="E9034" s="22" t="s">
        <v>11374</v>
      </c>
      <c r="F9034" s="23" t="str">
        <f>HYPERLINK("https://www.spark-marketing.ru/Card/Lot/70089288", "Услуги по разработке технологических регламентов на производство бетонных работ, разработке составов бетона, сопровождение бетонныхработ на объекте строительства Красногорской МГЭС-2")</f>
        <v>Услуги по разработке технологических регламентов на производство бетонных работ, разработке составов бетона, сопровождение бетонныхработ на объекте строительства Красногорской МГЭС-2</v>
      </c>
      <c r="G9034" s="22" t="s">
        <v>55</v>
      </c>
      <c r="H9034" s="22" t="s">
        <v>55</v>
      </c>
      <c r="I9034" s="26">
        <v>43580.510567129597</v>
      </c>
      <c r="J9034" s="23" t="str">
        <f>HYPERLINK("https://www.spark-marketing.ru/Card/Person/4359005", "ООО ""ЮЦПК ПРОМЫШЛЕННАЯ БЕЗОПАСНОСТЬ""")</f>
        <v>ООО "ЮЦПК ПРОМЫШЛЕННАЯ БЕЗОПАСНОСТЬ"</v>
      </c>
      <c r="K9034" s="24" t="s">
        <v>11375</v>
      </c>
      <c r="L9034" s="28" t="s">
        <v>52</v>
      </c>
      <c r="M9034" s="25">
        <v>0</v>
      </c>
      <c r="N9034" s="27">
        <v>1</v>
      </c>
    </row>
    <row r="9035" spans="1:14" hidden="1" outlineLevel="1" x14ac:dyDescent="0.2">
      <c r="A9035" s="23" t="str">
        <f>HYPERLINK("https://www.spark-marketing.ru/Card/Person/4414846", "ООО ""МГЭС СТАВРОПОЛЬЯ И КЧР""")</f>
        <v>ООО "МГЭС СТАВРОПОЛЬЯ И КЧР"</v>
      </c>
      <c r="B9035" s="24" t="s">
        <v>11372</v>
      </c>
      <c r="C9035" s="28" t="s">
        <v>52</v>
      </c>
      <c r="D9035" s="22" t="s">
        <v>11373</v>
      </c>
      <c r="E9035" s="22" t="s">
        <v>11374</v>
      </c>
      <c r="F9035" s="23" t="str">
        <f>HYPERLINK("https://www.spark-marketing.ru/Card/Lot/70089288", "Услуги по разработке технологических регламентов на производство бетонных работ, разработке составов бетона, сопровождение бетонныхработ на объекте строительства Красногорской МГЭС-2")</f>
        <v>Услуги по разработке технологических регламентов на производство бетонных работ, разработке составов бетона, сопровождение бетонныхработ на объекте строительства Красногорской МГЭС-2</v>
      </c>
      <c r="G9035" s="22" t="s">
        <v>55</v>
      </c>
      <c r="H9035" s="22" t="s">
        <v>55</v>
      </c>
      <c r="I9035" s="26">
        <v>43580.510567129597</v>
      </c>
      <c r="J9035" s="23" t="str">
        <f>HYPERLINK("https://www.spark-marketing.ru/Card/Person/214697", "ООО ""КАВКАЗЭЛЕКТРОСЕРВИС""")</f>
        <v>ООО "КАВКАЗЭЛЕКТРОСЕРВИС"</v>
      </c>
      <c r="K9035" s="24" t="s">
        <v>11376</v>
      </c>
      <c r="L9035" s="28" t="s">
        <v>52</v>
      </c>
      <c r="M9035" s="25">
        <v>0</v>
      </c>
      <c r="N9035" s="27">
        <v>1</v>
      </c>
    </row>
    <row r="9036" spans="1:14" hidden="1" outlineLevel="1" x14ac:dyDescent="0.2">
      <c r="A9036" s="23" t="str">
        <f>HYPERLINK("https://www.spark-marketing.ru/Card/Person/4414846", "ООО ""МГЭС СТАВРОПОЛЬЯ И КЧР""")</f>
        <v>ООО "МГЭС СТАВРОПОЛЬЯ И КЧР"</v>
      </c>
      <c r="B9036" s="24" t="s">
        <v>11372</v>
      </c>
      <c r="C9036" s="28" t="s">
        <v>52</v>
      </c>
      <c r="D9036" s="22" t="s">
        <v>11373</v>
      </c>
      <c r="E9036" s="22" t="s">
        <v>11374</v>
      </c>
      <c r="F9036" s="23" t="str">
        <f>HYPERLINK("https://www.spark-marketing.ru/Card/Lot/70089288", "Услуги по разработке технологических регламентов на производство бетонных работ, разработке составов бетона, сопровождение бетонныхработ на объекте строительства Красногорской МГЭС-2")</f>
        <v>Услуги по разработке технологических регламентов на производство бетонных работ, разработке составов бетона, сопровождение бетонныхработ на объекте строительства Красногорской МГЭС-2</v>
      </c>
      <c r="G9036" s="22" t="s">
        <v>55</v>
      </c>
      <c r="H9036" s="22" t="s">
        <v>55</v>
      </c>
      <c r="I9036" s="26">
        <v>43580.510567129597</v>
      </c>
      <c r="J9036" s="23" t="str">
        <f>HYPERLINK("https://www.spark-marketing.ru/Card/Person/38029", "АО ""ВНИИГ ИМ.Б.Е.ВЕДЕНЕЕВА""")</f>
        <v>АО "ВНИИГ ИМ.Б.Е.ВЕДЕНЕЕВА"</v>
      </c>
      <c r="K9036" s="24" t="s">
        <v>11377</v>
      </c>
      <c r="L9036" s="22" t="s">
        <v>10</v>
      </c>
      <c r="M9036" s="25">
        <v>6760000</v>
      </c>
      <c r="N9036" s="27">
        <v>0</v>
      </c>
    </row>
    <row r="9037" spans="1:14" x14ac:dyDescent="0.15">
      <c r="A9037" s="23" t="str">
        <f>HYPERLINK("https://www.spark-marketing.ru/Card/Person/4415230", "УФПС РП ИНГУШЕТИЯ ФЛ ФГУП ПОЧТА РОССИИ")</f>
        <v>УФПС РП ИНГУШЕТИЯ ФЛ ФГУП ПОЧТА РОССИИ</v>
      </c>
      <c r="B9037" s="24" t="s">
        <v>1424</v>
      </c>
      <c r="C9037" s="25">
        <v>456000</v>
      </c>
      <c r="D9037" s="22" t="s">
        <v>11378</v>
      </c>
      <c r="E9037" s="22" t="s">
        <v>53</v>
      </c>
      <c r="F9037" s="23" t="str">
        <f>HYPERLINK("https://www.spark-marketing.ru/Card/Lot/71233522", "Оказание услуг по охране объектов почтовой связи УФПС Республики Ингушетия филиала ФГУП ""Почта России""")</f>
        <v>Оказание услуг по охране объектов почтовой связи УФПС Республики Ингушетия филиала ФГУП "Почта России"</v>
      </c>
      <c r="G9037" s="22" t="s">
        <v>648</v>
      </c>
      <c r="H9037" s="22" t="s">
        <v>648</v>
      </c>
      <c r="I9037" s="26">
        <v>43580.529166666704</v>
      </c>
      <c r="J9037" s="28" t="s">
        <v>52</v>
      </c>
      <c r="K9037" s="28" t="s">
        <v>52</v>
      </c>
      <c r="L9037" s="28" t="s">
        <v>52</v>
      </c>
      <c r="M9037" s="28" t="s">
        <v>52</v>
      </c>
      <c r="N9037" s="28" t="s">
        <v>52</v>
      </c>
    </row>
    <row r="9038" spans="1:14" x14ac:dyDescent="0.15">
      <c r="A9038" s="23" t="str">
        <f>HYPERLINK("https://www.spark-marketing.ru/Card/Person/111062", "ГБУЗ ""ЦРБ ИМ. ХАЦУКОВА А.А.""")</f>
        <v>ГБУЗ "ЦРБ ИМ. ХАЦУКОВА А.А."</v>
      </c>
      <c r="B9038" s="24" t="s">
        <v>11357</v>
      </c>
      <c r="C9038" s="25">
        <v>124184.34</v>
      </c>
      <c r="D9038" s="22" t="s">
        <v>11379</v>
      </c>
      <c r="E9038" s="22" t="s">
        <v>11359</v>
      </c>
      <c r="F9038" s="23" t="str">
        <f>HYPERLINK("https://www.spark-marketing.ru/Card/Lot/70103831", "пользование тревожной кнопкой (КТС)")</f>
        <v>пользование тревожной кнопкой (КТС)</v>
      </c>
      <c r="G9038" s="22" t="s">
        <v>110</v>
      </c>
      <c r="H9038" s="22" t="s">
        <v>110</v>
      </c>
      <c r="I9038" s="26">
        <v>43580.522916666698</v>
      </c>
      <c r="J9038" s="28" t="s">
        <v>52</v>
      </c>
      <c r="K9038" s="28" t="s">
        <v>52</v>
      </c>
      <c r="L9038" s="28" t="s">
        <v>52</v>
      </c>
      <c r="M9038" s="28" t="s">
        <v>52</v>
      </c>
      <c r="N9038" s="28" t="s">
        <v>52</v>
      </c>
    </row>
    <row r="9039" spans="1:14" x14ac:dyDescent="0.15">
      <c r="A9039" s="23" t="str">
        <f>HYPERLINK("https://www.spark-marketing.ru/Card/Person/15695", "ГБУЗ ЛО ""ВЫБОРГСКАЯ МБ""")</f>
        <v>ГБУЗ ЛО "ВЫБОРГСКАЯ МБ"</v>
      </c>
      <c r="B9039" s="24" t="s">
        <v>11380</v>
      </c>
      <c r="C9039" s="25">
        <v>998791</v>
      </c>
      <c r="D9039" s="22" t="s">
        <v>11381</v>
      </c>
      <c r="E9039" s="22" t="s">
        <v>59</v>
      </c>
      <c r="F9039" s="23" t="str">
        <f>HYPERLINK("https://www.spark-marketing.ru/Card/Lot/70096699", "Оказание услуг по установке системы видеонаблюдения.")</f>
        <v>Оказание услуг по установке системы видеонаблюдения.</v>
      </c>
      <c r="G9039" s="22" t="s">
        <v>861</v>
      </c>
      <c r="H9039" s="22" t="s">
        <v>11382</v>
      </c>
      <c r="I9039" s="26">
        <v>43580.537499999999</v>
      </c>
      <c r="J9039" s="28" t="s">
        <v>52</v>
      </c>
      <c r="K9039" s="28" t="s">
        <v>52</v>
      </c>
      <c r="L9039" s="28" t="s">
        <v>52</v>
      </c>
      <c r="M9039" s="28" t="s">
        <v>52</v>
      </c>
      <c r="N9039" s="28" t="s">
        <v>52</v>
      </c>
    </row>
    <row r="9040" spans="1:14" hidden="1" outlineLevel="1" x14ac:dyDescent="0.2">
      <c r="A9040" s="23" t="str">
        <f>HYPERLINK("https://www.spark-marketing.ru/Card/Person/15695", "ГБУЗ ЛО ""ВЫБОРГСКАЯ МБ""")</f>
        <v>ГБУЗ ЛО "ВЫБОРГСКАЯ МБ"</v>
      </c>
      <c r="B9040" s="24" t="s">
        <v>11380</v>
      </c>
      <c r="C9040" s="25">
        <v>998791</v>
      </c>
      <c r="D9040" s="22" t="s">
        <v>11381</v>
      </c>
      <c r="E9040" s="22" t="s">
        <v>59</v>
      </c>
      <c r="F9040" s="23" t="str">
        <f>HYPERLINK("https://www.spark-marketing.ru/Card/Lot/70096699", "Оказание услуг по установке системы видеонаблюдения.")</f>
        <v>Оказание услуг по установке системы видеонаблюдения.</v>
      </c>
      <c r="G9040" s="22" t="s">
        <v>861</v>
      </c>
      <c r="H9040" s="22" t="s">
        <v>11382</v>
      </c>
      <c r="I9040" s="26">
        <v>43580.537499999999</v>
      </c>
      <c r="J9040" s="23" t="str">
        <f>HYPERLINK("https://www.spark-marketing.ru/Card/Person/394730", "ООО ""СКБ""")</f>
        <v>ООО "СКБ"</v>
      </c>
      <c r="K9040" s="24" t="s">
        <v>7046</v>
      </c>
      <c r="L9040" s="28" t="s">
        <v>52</v>
      </c>
      <c r="M9040" s="25">
        <v>665968.86</v>
      </c>
      <c r="N9040" s="27">
        <v>0.33322500903592445</v>
      </c>
    </row>
    <row r="9041" spans="1:14" hidden="1" outlineLevel="1" x14ac:dyDescent="0.2">
      <c r="A9041" s="23" t="str">
        <f>HYPERLINK("https://www.spark-marketing.ru/Card/Person/15695", "ГБУЗ ЛО ""ВЫБОРГСКАЯ МБ""")</f>
        <v>ГБУЗ ЛО "ВЫБОРГСКАЯ МБ"</v>
      </c>
      <c r="B9041" s="24" t="s">
        <v>11380</v>
      </c>
      <c r="C9041" s="25">
        <v>998791</v>
      </c>
      <c r="D9041" s="22" t="s">
        <v>11381</v>
      </c>
      <c r="E9041" s="22" t="s">
        <v>59</v>
      </c>
      <c r="F9041" s="23" t="str">
        <f>HYPERLINK("https://www.spark-marketing.ru/Card/Lot/70096699", "Оказание услуг по установке системы видеонаблюдения.")</f>
        <v>Оказание услуг по установке системы видеонаблюдения.</v>
      </c>
      <c r="G9041" s="22" t="s">
        <v>861</v>
      </c>
      <c r="H9041" s="22" t="s">
        <v>11382</v>
      </c>
      <c r="I9041" s="26">
        <v>43580.537499999999</v>
      </c>
      <c r="J9041" s="23" t="str">
        <f>HYPERLINK("https://www.spark-marketing.ru/Card/Person/171473", "ООО ""БИСМАРК.ТВ""")</f>
        <v>ООО "БИСМАРК.ТВ"</v>
      </c>
      <c r="K9041" s="24" t="s">
        <v>10897</v>
      </c>
      <c r="L9041" s="28" t="s">
        <v>52</v>
      </c>
      <c r="M9041" s="25">
        <v>978815.16</v>
      </c>
      <c r="N9041" s="27">
        <v>2.000002002420927E-2</v>
      </c>
    </row>
    <row r="9042" spans="1:14" ht="12.75" hidden="1" outlineLevel="1" x14ac:dyDescent="0.2">
      <c r="A9042" s="23" t="str">
        <f>HYPERLINK("https://www.spark-marketing.ru/Card/Person/15695", "ГБУЗ ЛО ""ВЫБОРГСКАЯ МБ""")</f>
        <v>ГБУЗ ЛО "ВЫБОРГСКАЯ МБ"</v>
      </c>
      <c r="B9042" s="24" t="s">
        <v>11380</v>
      </c>
      <c r="C9042" s="25">
        <v>998791</v>
      </c>
      <c r="D9042" s="22" t="s">
        <v>11381</v>
      </c>
      <c r="E9042" s="22" t="s">
        <v>59</v>
      </c>
      <c r="F9042" s="23" t="str">
        <f>HYPERLINK("https://www.spark-marketing.ru/Card/Lot/70096699", "Оказание услуг по установке системы видеонаблюдения.")</f>
        <v>Оказание услуг по установке системы видеонаблюдения.</v>
      </c>
      <c r="G9042" s="22" t="s">
        <v>861</v>
      </c>
      <c r="H9042" s="22" t="s">
        <v>11382</v>
      </c>
      <c r="I9042" s="26">
        <v>43580.537499999999</v>
      </c>
      <c r="J9042" s="23" t="str">
        <f>HYPERLINK("https://www.spark-marketing.ru/Card/Person/870073", "ООО ""АЛЬБИОН - ОХРАННЫЕ СИСТЕМЫ""")</f>
        <v>ООО "АЛЬБИОН - ОХРАННЫЕ СИСТЕМЫ"</v>
      </c>
      <c r="K9042" s="24" t="s">
        <v>11383</v>
      </c>
      <c r="L9042" s="22" t="s">
        <v>10</v>
      </c>
      <c r="M9042" s="25">
        <v>660974.9</v>
      </c>
      <c r="N9042" s="27">
        <v>0.33822501404197675</v>
      </c>
    </row>
    <row r="9043" spans="1:14" hidden="1" outlineLevel="1" x14ac:dyDescent="0.2">
      <c r="A9043" s="23" t="str">
        <f>HYPERLINK("https://www.spark-marketing.ru/Card/Person/15695", "ГБУЗ ЛО ""ВЫБОРГСКАЯ МБ""")</f>
        <v>ГБУЗ ЛО "ВЫБОРГСКАЯ МБ"</v>
      </c>
      <c r="B9043" s="24" t="s">
        <v>11380</v>
      </c>
      <c r="C9043" s="25">
        <v>998791</v>
      </c>
      <c r="D9043" s="22" t="s">
        <v>11381</v>
      </c>
      <c r="E9043" s="22" t="s">
        <v>59</v>
      </c>
      <c r="F9043" s="23" t="str">
        <f>HYPERLINK("https://www.spark-marketing.ru/Card/Lot/70096699", "Оказание услуг по установке системы видеонаблюдения.")</f>
        <v>Оказание услуг по установке системы видеонаблюдения.</v>
      </c>
      <c r="G9043" s="22" t="s">
        <v>861</v>
      </c>
      <c r="H9043" s="22" t="s">
        <v>11382</v>
      </c>
      <c r="I9043" s="26">
        <v>43580.537499999999</v>
      </c>
      <c r="J9043" s="23" t="str">
        <f>HYPERLINK("https://www.spark-marketing.ru/Card/Person/5950116", "ООО ""АСБ""")</f>
        <v>ООО "АСБ"</v>
      </c>
      <c r="K9043" s="24" t="s">
        <v>11384</v>
      </c>
      <c r="L9043" s="28" t="s">
        <v>52</v>
      </c>
      <c r="M9043" s="25">
        <v>988803.08</v>
      </c>
      <c r="N9043" s="27">
        <v>1.0000010012104635E-2</v>
      </c>
    </row>
    <row r="9044" spans="1:14" x14ac:dyDescent="0.15">
      <c r="A9044" s="23" t="str">
        <f>HYPERLINK("https://www.spark-marketing.ru/Card/Person/4414846", "ООО ""МГЭС СТАВРОПОЛЬЯ И КЧР""")</f>
        <v>ООО "МГЭС СТАВРОПОЛЬЯ И КЧР"</v>
      </c>
      <c r="B9044" s="24" t="s">
        <v>11372</v>
      </c>
      <c r="C9044" s="25">
        <v>6760000</v>
      </c>
      <c r="D9044" s="22" t="s">
        <v>11385</v>
      </c>
      <c r="E9044" s="22" t="s">
        <v>11374</v>
      </c>
      <c r="F9044" s="23" t="str">
        <f>HYPERLINK("https://www.spark-marketing.ru/Card/Lot/70089296", "Услуги по разработке технологических регламентов на производство бетонных работ, разработке составов бетона, сопровождение бетонныхработ на объекте строительства Красногорской МГЭС-1")</f>
        <v>Услуги по разработке технологических регламентов на производство бетонных работ, разработке составов бетона, сопровождение бетонныхработ на объекте строительства Красногорской МГЭС-1</v>
      </c>
      <c r="G9044" s="22" t="s">
        <v>55</v>
      </c>
      <c r="H9044" s="22" t="s">
        <v>55</v>
      </c>
      <c r="I9044" s="26">
        <v>43580.510960648098</v>
      </c>
      <c r="J9044" s="28" t="s">
        <v>52</v>
      </c>
      <c r="K9044" s="28" t="s">
        <v>52</v>
      </c>
      <c r="L9044" s="28" t="s">
        <v>52</v>
      </c>
      <c r="M9044" s="28" t="s">
        <v>52</v>
      </c>
      <c r="N9044" s="28" t="s">
        <v>52</v>
      </c>
    </row>
    <row r="9045" spans="1:14" hidden="1" outlineLevel="1" x14ac:dyDescent="0.2">
      <c r="A9045" s="23" t="str">
        <f>HYPERLINK("https://www.spark-marketing.ru/Card/Person/4414846", "ООО ""МГЭС СТАВРОПОЛЬЯ И КЧР""")</f>
        <v>ООО "МГЭС СТАВРОПОЛЬЯ И КЧР"</v>
      </c>
      <c r="B9045" s="24" t="s">
        <v>11372</v>
      </c>
      <c r="C9045" s="28" t="s">
        <v>52</v>
      </c>
      <c r="D9045" s="22" t="s">
        <v>11385</v>
      </c>
      <c r="E9045" s="22" t="s">
        <v>11374</v>
      </c>
      <c r="F9045" s="23" t="str">
        <f>HYPERLINK("https://www.spark-marketing.ru/Card/Lot/70089296", "Услуги по разработке технологических регламентов на производство бетонных работ, разработке составов бетона, сопровождение бетонныхработ на объекте строительства Красногорской МГЭС-1")</f>
        <v>Услуги по разработке технологических регламентов на производство бетонных работ, разработке составов бетона, сопровождение бетонныхработ на объекте строительства Красногорской МГЭС-1</v>
      </c>
      <c r="G9045" s="22" t="s">
        <v>55</v>
      </c>
      <c r="H9045" s="22" t="s">
        <v>55</v>
      </c>
      <c r="I9045" s="26">
        <v>43580.510960648098</v>
      </c>
      <c r="J9045" s="23" t="str">
        <f>HYPERLINK("https://www.spark-marketing.ru/Card/Person/214697", "ООО ""КАВКАЗЭЛЕКТРОСЕРВИС""")</f>
        <v>ООО "КАВКАЗЭЛЕКТРОСЕРВИС"</v>
      </c>
      <c r="K9045" s="24" t="s">
        <v>11376</v>
      </c>
      <c r="L9045" s="28" t="s">
        <v>52</v>
      </c>
      <c r="M9045" s="25">
        <v>0</v>
      </c>
      <c r="N9045" s="27">
        <v>1</v>
      </c>
    </row>
    <row r="9046" spans="1:14" hidden="1" outlineLevel="1" x14ac:dyDescent="0.2">
      <c r="A9046" s="23" t="str">
        <f>HYPERLINK("https://www.spark-marketing.ru/Card/Person/4414846", "ООО ""МГЭС СТАВРОПОЛЬЯ И КЧР""")</f>
        <v>ООО "МГЭС СТАВРОПОЛЬЯ И КЧР"</v>
      </c>
      <c r="B9046" s="24" t="s">
        <v>11372</v>
      </c>
      <c r="C9046" s="28" t="s">
        <v>52</v>
      </c>
      <c r="D9046" s="22" t="s">
        <v>11385</v>
      </c>
      <c r="E9046" s="22" t="s">
        <v>11374</v>
      </c>
      <c r="F9046" s="23" t="str">
        <f>HYPERLINK("https://www.spark-marketing.ru/Card/Lot/70089296", "Услуги по разработке технологических регламентов на производство бетонных работ, разработке составов бетона, сопровождение бетонныхработ на объекте строительства Красногорской МГЭС-1")</f>
        <v>Услуги по разработке технологических регламентов на производство бетонных работ, разработке составов бетона, сопровождение бетонныхработ на объекте строительства Красногорской МГЭС-1</v>
      </c>
      <c r="G9046" s="22" t="s">
        <v>55</v>
      </c>
      <c r="H9046" s="22" t="s">
        <v>55</v>
      </c>
      <c r="I9046" s="26">
        <v>43580.510960648098</v>
      </c>
      <c r="J9046" s="23" t="str">
        <f>HYPERLINK("https://www.spark-marketing.ru/Card/Person/38029", "АО ""ВНИИГ ИМ.Б.Е.ВЕДЕНЕЕВА""")</f>
        <v>АО "ВНИИГ ИМ.Б.Е.ВЕДЕНЕЕВА"</v>
      </c>
      <c r="K9046" s="24" t="s">
        <v>11377</v>
      </c>
      <c r="L9046" s="22" t="s">
        <v>10</v>
      </c>
      <c r="M9046" s="25">
        <v>6760000</v>
      </c>
      <c r="N9046" s="27">
        <v>0</v>
      </c>
    </row>
    <row r="9047" spans="1:14" hidden="1" outlineLevel="1" x14ac:dyDescent="0.2">
      <c r="A9047" s="23" t="str">
        <f>HYPERLINK("https://www.spark-marketing.ru/Card/Person/4414846", "ООО ""МГЭС СТАВРОПОЛЬЯ И КЧР""")</f>
        <v>ООО "МГЭС СТАВРОПОЛЬЯ И КЧР"</v>
      </c>
      <c r="B9047" s="24" t="s">
        <v>11372</v>
      </c>
      <c r="C9047" s="28" t="s">
        <v>52</v>
      </c>
      <c r="D9047" s="22" t="s">
        <v>11385</v>
      </c>
      <c r="E9047" s="22" t="s">
        <v>11374</v>
      </c>
      <c r="F9047" s="23" t="str">
        <f>HYPERLINK("https://www.spark-marketing.ru/Card/Lot/70089296", "Услуги по разработке технологических регламентов на производство бетонных работ, разработке составов бетона, сопровождение бетонныхработ на объекте строительства Красногорской МГЭС-1")</f>
        <v>Услуги по разработке технологических регламентов на производство бетонных работ, разработке составов бетона, сопровождение бетонныхработ на объекте строительства Красногорской МГЭС-1</v>
      </c>
      <c r="G9047" s="22" t="s">
        <v>55</v>
      </c>
      <c r="H9047" s="22" t="s">
        <v>55</v>
      </c>
      <c r="I9047" s="26">
        <v>43580.510960648098</v>
      </c>
      <c r="J9047" s="23" t="str">
        <f>HYPERLINK("https://www.spark-marketing.ru/Card/Person/4359005", "ООО ""ЮЦПК ПРОМЫШЛЕННАЯ БЕЗОПАСНОСТЬ""")</f>
        <v>ООО "ЮЦПК ПРОМЫШЛЕННАЯ БЕЗОПАСНОСТЬ"</v>
      </c>
      <c r="K9047" s="24" t="s">
        <v>11375</v>
      </c>
      <c r="L9047" s="28" t="s">
        <v>52</v>
      </c>
      <c r="M9047" s="25">
        <v>0</v>
      </c>
      <c r="N9047" s="27">
        <v>1</v>
      </c>
    </row>
    <row r="9048" spans="1:14" x14ac:dyDescent="0.15">
      <c r="A9048" s="23" t="str">
        <f>HYPERLINK("https://www.spark-marketing.ru/Card/Person/75694", "МБОУ ОДИНЦОВСКАЯ ГИМНАЗИЯ №4")</f>
        <v>МБОУ ОДИНЦОВСКАЯ ГИМНАЗИЯ №4</v>
      </c>
      <c r="B9048" s="24" t="s">
        <v>11386</v>
      </c>
      <c r="C9048" s="25">
        <v>71000</v>
      </c>
      <c r="D9048" s="22" t="s">
        <v>11387</v>
      </c>
      <c r="E9048" s="22" t="s">
        <v>11388</v>
      </c>
      <c r="F9048" s="23" t="str">
        <f>HYPERLINK("https://www.spark-marketing.ru/Card/Lot/70089240", "Закупка в 2019 году услуги по техническому сопровождению региональной системы видеотрансляции и видеопротоколирования в пунктах проведения экзаменов, для нужд МБОУ Одинцовская гимназия №4")</f>
        <v>Закупка в 2019 году услуги по техническому сопровождению региональной системы видеотрансляции и видеопротоколирования в пунктах проведения экзаменов, для нужд МБОУ Одинцовская гимназия №4</v>
      </c>
      <c r="G9048" s="22" t="s">
        <v>50</v>
      </c>
      <c r="H9048" s="22" t="s">
        <v>1045</v>
      </c>
      <c r="I9048" s="26">
        <v>43580.5140972222</v>
      </c>
      <c r="J9048" s="28" t="s">
        <v>52</v>
      </c>
      <c r="K9048" s="28" t="s">
        <v>52</v>
      </c>
      <c r="L9048" s="28" t="s">
        <v>52</v>
      </c>
      <c r="M9048" s="28" t="s">
        <v>52</v>
      </c>
      <c r="N9048" s="28" t="s">
        <v>52</v>
      </c>
    </row>
    <row r="9049" spans="1:14" x14ac:dyDescent="0.15">
      <c r="A9049" s="23" t="str">
        <f>HYPERLINK("https://www.spark-marketing.ru/Card/Person/120986", "БАНК ""ВБРР"" (АО)")</f>
        <v>БАНК "ВБРР" (АО)</v>
      </c>
      <c r="B9049" s="24" t="s">
        <v>7876</v>
      </c>
      <c r="C9049" s="28" t="s">
        <v>52</v>
      </c>
      <c r="D9049" s="22" t="s">
        <v>11389</v>
      </c>
      <c r="E9049" s="22" t="s">
        <v>144</v>
      </c>
      <c r="F9049" s="23" t="str">
        <f>HYPERLINK("https://www.spark-marketing.ru/Card/Lot/70089281", "Оказание услуг физической вооруженной охраны имущества на объектах Банка «ВБРР» (АО), расположенных по адресам: г. Москва, ул. Сущевский вал, д. 65, корп. 1; г. Москва, ул. Шаболовка, д. 10, корп. 2; г. Москва, Кадашевская набережная, д. 6/1/2, стр. ...")</f>
        <v>Оказание услуг физической вооруженной охраны имущества на объектах Банка «ВБРР» (АО), расположенных по адресам: г. Москва, ул. Сущевский вал, д. 65, корп. 1; г. Москва, ул. Шаболовка, д. 10, корп. 2; г. Москва, Кадашевская набережная, д. 6/1/2, стр. ...</v>
      </c>
      <c r="G9049" s="22" t="s">
        <v>55</v>
      </c>
      <c r="H9049" s="22" t="s">
        <v>55</v>
      </c>
      <c r="I9049" s="26">
        <v>43580.519444444399</v>
      </c>
      <c r="J9049" s="28" t="s">
        <v>52</v>
      </c>
      <c r="K9049" s="28" t="s">
        <v>52</v>
      </c>
      <c r="L9049" s="28" t="s">
        <v>52</v>
      </c>
      <c r="M9049" s="28" t="s">
        <v>52</v>
      </c>
      <c r="N9049" s="28" t="s">
        <v>52</v>
      </c>
    </row>
    <row r="9050" spans="1:14" x14ac:dyDescent="0.15">
      <c r="A9050" s="23" t="str">
        <f t="shared" ref="A9050:A9055" si="400">HYPERLINK("https://www.spark-marketing.ru/Card/Person/86027", "ГБДОУ ДЕТСКИЙ САД № 30 ПУШКИНСКОГО РАЙОНА С-ПБ.")</f>
        <v>ГБДОУ ДЕТСКИЙ САД № 30 ПУШКИНСКОГО РАЙОНА С-ПБ.</v>
      </c>
      <c r="B9050" s="24" t="s">
        <v>9418</v>
      </c>
      <c r="C9050" s="25">
        <v>1169251</v>
      </c>
      <c r="D9050" s="22" t="s">
        <v>11390</v>
      </c>
      <c r="E9050" s="22" t="s">
        <v>59</v>
      </c>
      <c r="F9050" s="23" t="str">
        <f t="shared" ref="F9050:F9055" si="401">HYPERLINK("https://www.spark-marketing.ru/Card/Lot/70087950", "Монтаж системы видеонаблюдения в здании ГБДОУ детский сад №30 Пушкинского района С-Пб по адресу: Санкт-Петербург, п. Тярлево, Тярлевская ул., д.12, литер А")</f>
        <v>Монтаж системы видеонаблюдения в здании ГБДОУ детский сад №30 Пушкинского района С-Пб по адресу: Санкт-Петербург, п. Тярлево, Тярлевская ул., д.12, литер А</v>
      </c>
      <c r="G9050" s="22" t="s">
        <v>89</v>
      </c>
      <c r="H9050" s="22" t="s">
        <v>89</v>
      </c>
      <c r="I9050" s="26">
        <v>43580.468055555597</v>
      </c>
      <c r="J9050" s="28" t="s">
        <v>52</v>
      </c>
      <c r="K9050" s="28" t="s">
        <v>52</v>
      </c>
      <c r="L9050" s="28" t="s">
        <v>52</v>
      </c>
      <c r="M9050" s="28" t="s">
        <v>52</v>
      </c>
      <c r="N9050" s="28" t="s">
        <v>52</v>
      </c>
    </row>
    <row r="9051" spans="1:14" hidden="1" outlineLevel="1" x14ac:dyDescent="0.2">
      <c r="A9051" s="23" t="str">
        <f t="shared" si="400"/>
        <v>ГБДОУ ДЕТСКИЙ САД № 30 ПУШКИНСКОГО РАЙОНА С-ПБ.</v>
      </c>
      <c r="B9051" s="24" t="s">
        <v>9418</v>
      </c>
      <c r="C9051" s="25">
        <v>1169251</v>
      </c>
      <c r="D9051" s="22" t="s">
        <v>11390</v>
      </c>
      <c r="E9051" s="22" t="s">
        <v>59</v>
      </c>
      <c r="F9051" s="23" t="str">
        <f t="shared" si="401"/>
        <v>Монтаж системы видеонаблюдения в здании ГБДОУ детский сад №30 Пушкинского района С-Пб по адресу: Санкт-Петербург, п. Тярлево, Тярлевская ул., д.12, литер А</v>
      </c>
      <c r="G9051" s="22" t="s">
        <v>89</v>
      </c>
      <c r="H9051" s="22" t="s">
        <v>89</v>
      </c>
      <c r="I9051" s="26">
        <v>43580.468055555597</v>
      </c>
      <c r="J9051" s="23" t="str">
        <f>HYPERLINK("https://www.spark-marketing.ru/Card/Person/6293291", "Данвальд Наталья Викторовна")</f>
        <v>Данвальд Наталья Викторовна</v>
      </c>
      <c r="K9051" s="24" t="s">
        <v>10041</v>
      </c>
      <c r="L9051" s="28" t="s">
        <v>52</v>
      </c>
      <c r="M9051" s="25">
        <v>721382.28</v>
      </c>
      <c r="N9051" s="27">
        <v>0.38303898820698035</v>
      </c>
    </row>
    <row r="9052" spans="1:14" hidden="1" outlineLevel="1" x14ac:dyDescent="0.2">
      <c r="A9052" s="23" t="str">
        <f t="shared" si="400"/>
        <v>ГБДОУ ДЕТСКИЙ САД № 30 ПУШКИНСКОГО РАЙОНА С-ПБ.</v>
      </c>
      <c r="B9052" s="24" t="s">
        <v>9418</v>
      </c>
      <c r="C9052" s="25">
        <v>1169251</v>
      </c>
      <c r="D9052" s="22" t="s">
        <v>11390</v>
      </c>
      <c r="E9052" s="22" t="s">
        <v>59</v>
      </c>
      <c r="F9052" s="23" t="str">
        <f t="shared" si="401"/>
        <v>Монтаж системы видеонаблюдения в здании ГБДОУ детский сад №30 Пушкинского района С-Пб по адресу: Санкт-Петербург, п. Тярлево, Тярлевская ул., д.12, литер А</v>
      </c>
      <c r="G9052" s="22" t="s">
        <v>89</v>
      </c>
      <c r="H9052" s="22" t="s">
        <v>89</v>
      </c>
      <c r="I9052" s="26">
        <v>43580.468055555597</v>
      </c>
      <c r="J9052" s="23" t="str">
        <f>HYPERLINK("https://www.spark-marketing.ru/Card/Person/171473", "ООО ""БИСМАРК.ТВ""")</f>
        <v>ООО "БИСМАРК.ТВ"</v>
      </c>
      <c r="K9052" s="24" t="s">
        <v>10897</v>
      </c>
      <c r="L9052" s="28" t="s">
        <v>52</v>
      </c>
      <c r="M9052" s="25">
        <v>850000</v>
      </c>
      <c r="N9052" s="27">
        <v>0.27303889412966076</v>
      </c>
    </row>
    <row r="9053" spans="1:14" hidden="1" outlineLevel="1" x14ac:dyDescent="0.2">
      <c r="A9053" s="23" t="str">
        <f t="shared" si="400"/>
        <v>ГБДОУ ДЕТСКИЙ САД № 30 ПУШКИНСКОГО РАЙОНА С-ПБ.</v>
      </c>
      <c r="B9053" s="24" t="s">
        <v>9418</v>
      </c>
      <c r="C9053" s="25">
        <v>1169251</v>
      </c>
      <c r="D9053" s="22" t="s">
        <v>11390</v>
      </c>
      <c r="E9053" s="22" t="s">
        <v>59</v>
      </c>
      <c r="F9053" s="23" t="str">
        <f t="shared" si="401"/>
        <v>Монтаж системы видеонаблюдения в здании ГБДОУ детский сад №30 Пушкинского района С-Пб по адресу: Санкт-Петербург, п. Тярлево, Тярлевская ул., д.12, литер А</v>
      </c>
      <c r="G9053" s="22" t="s">
        <v>89</v>
      </c>
      <c r="H9053" s="22" t="s">
        <v>89</v>
      </c>
      <c r="I9053" s="26">
        <v>43580.468055555597</v>
      </c>
      <c r="J9053" s="23" t="str">
        <f>HYPERLINK("https://www.spark-marketing.ru/Card/Person/877770", "ООО ""СИЯНИЕ""")</f>
        <v>ООО "СИЯНИЕ"</v>
      </c>
      <c r="K9053" s="24" t="s">
        <v>5976</v>
      </c>
      <c r="L9053" s="28" t="s">
        <v>52</v>
      </c>
      <c r="M9053" s="25">
        <v>880000</v>
      </c>
      <c r="N9053" s="27">
        <v>0.24738144333423703</v>
      </c>
    </row>
    <row r="9054" spans="1:14" ht="12.75" hidden="1" outlineLevel="1" x14ac:dyDescent="0.2">
      <c r="A9054" s="23" t="str">
        <f t="shared" si="400"/>
        <v>ГБДОУ ДЕТСКИЙ САД № 30 ПУШКИНСКОГО РАЙОНА С-ПБ.</v>
      </c>
      <c r="B9054" s="24" t="s">
        <v>9418</v>
      </c>
      <c r="C9054" s="25">
        <v>1169251</v>
      </c>
      <c r="D9054" s="22" t="s">
        <v>11390</v>
      </c>
      <c r="E9054" s="22" t="s">
        <v>59</v>
      </c>
      <c r="F9054" s="23" t="str">
        <f t="shared" si="401"/>
        <v>Монтаж системы видеонаблюдения в здании ГБДОУ детский сад №30 Пушкинского района С-Пб по адресу: Санкт-Петербург, п. Тярлево, Тярлевская ул., д.12, литер А</v>
      </c>
      <c r="G9054" s="22" t="s">
        <v>89</v>
      </c>
      <c r="H9054" s="22" t="s">
        <v>89</v>
      </c>
      <c r="I9054" s="26">
        <v>43580.468055555597</v>
      </c>
      <c r="J9054" s="23" t="str">
        <f>HYPERLINK("https://www.spark-marketing.ru/Card/Person/132600", "ООО ""АСПЕКТ""")</f>
        <v>ООО "АСПЕКТ"</v>
      </c>
      <c r="K9054" s="24" t="s">
        <v>10038</v>
      </c>
      <c r="L9054" s="22" t="s">
        <v>10</v>
      </c>
      <c r="M9054" s="25">
        <v>715536.02</v>
      </c>
      <c r="N9054" s="27">
        <v>0.38803899248322216</v>
      </c>
    </row>
    <row r="9055" spans="1:14" hidden="1" outlineLevel="1" x14ac:dyDescent="0.2">
      <c r="A9055" s="23" t="str">
        <f t="shared" si="400"/>
        <v>ГБДОУ ДЕТСКИЙ САД № 30 ПУШКИНСКОГО РАЙОНА С-ПБ.</v>
      </c>
      <c r="B9055" s="24" t="s">
        <v>9418</v>
      </c>
      <c r="C9055" s="25">
        <v>1169251</v>
      </c>
      <c r="D9055" s="22" t="s">
        <v>11390</v>
      </c>
      <c r="E9055" s="22" t="s">
        <v>59</v>
      </c>
      <c r="F9055" s="23" t="str">
        <f t="shared" si="401"/>
        <v>Монтаж системы видеонаблюдения в здании ГБДОУ детский сад №30 Пушкинского района С-Пб по адресу: Санкт-Петербург, п. Тярлево, Тярлевская ул., д.12, литер А</v>
      </c>
      <c r="G9055" s="22" t="s">
        <v>89</v>
      </c>
      <c r="H9055" s="22" t="s">
        <v>89</v>
      </c>
      <c r="I9055" s="26">
        <v>43580.468055555597</v>
      </c>
      <c r="J9055" s="23" t="str">
        <f>HYPERLINK("https://www.spark-marketing.ru/Card/Person/6398454", "Сидоров Артем Юрьевич")</f>
        <v>Сидоров Артем Юрьевич</v>
      </c>
      <c r="K9055" s="24" t="s">
        <v>11391</v>
      </c>
      <c r="L9055" s="28" t="s">
        <v>52</v>
      </c>
      <c r="M9055" s="25">
        <v>1168543</v>
      </c>
      <c r="N9055" s="27">
        <v>6.0551583877200014E-4</v>
      </c>
    </row>
    <row r="9056" spans="1:14" x14ac:dyDescent="0.15">
      <c r="A9056" s="23" t="str">
        <f>HYPERLINK("https://www.spark-marketing.ru/Card/Person/153420", "АО ""218 АРЗ""")</f>
        <v>АО "218 АРЗ"</v>
      </c>
      <c r="B9056" s="24" t="s">
        <v>11392</v>
      </c>
      <c r="C9056" s="25">
        <v>14084521.18</v>
      </c>
      <c r="D9056" s="22" t="s">
        <v>11393</v>
      </c>
      <c r="E9056" s="22" t="s">
        <v>4223</v>
      </c>
      <c r="F9056" s="23" t="str">
        <f>HYPERLINK("https://www.spark-marketing.ru/Card/Lot/70086443", "1717-2019-00321 Оказание услуг по обеспечению охраны объекта Филиала АО ""218 АРЗ"" ""712 АРЗ""")</f>
        <v>1717-2019-00321 Оказание услуг по обеспечению охраны объекта Филиала АО "218 АРЗ" "712 АРЗ"</v>
      </c>
      <c r="G9056" s="22" t="s">
        <v>861</v>
      </c>
      <c r="H9056" s="22" t="s">
        <v>6896</v>
      </c>
      <c r="I9056" s="26">
        <v>43580.481782407398</v>
      </c>
      <c r="J9056" s="28" t="s">
        <v>52</v>
      </c>
      <c r="K9056" s="28" t="s">
        <v>52</v>
      </c>
      <c r="L9056" s="28" t="s">
        <v>52</v>
      </c>
      <c r="M9056" s="28" t="s">
        <v>52</v>
      </c>
      <c r="N9056" s="28" t="s">
        <v>52</v>
      </c>
    </row>
    <row r="9057" spans="1:14" x14ac:dyDescent="0.15">
      <c r="A9057" s="23" t="str">
        <f>HYPERLINK("https://www.spark-marketing.ru/Card/Person/28437", "ГБПОУ МО ""ЖУКОВСКИЙ ТЕХНИКУМ""")</f>
        <v>ГБПОУ МО "ЖУКОВСКИЙ ТЕХНИКУМ"</v>
      </c>
      <c r="B9057" s="24" t="s">
        <v>11394</v>
      </c>
      <c r="C9057" s="25">
        <v>104000</v>
      </c>
      <c r="D9057" s="22" t="s">
        <v>11395</v>
      </c>
      <c r="E9057" s="22" t="s">
        <v>103</v>
      </c>
      <c r="F9057" s="23" t="str">
        <f>HYPERLINK("https://www.spark-marketing.ru/Card/Lot/70086130", "Техническое обслуживание системы видеонаблюдения")</f>
        <v>Техническое обслуживание системы видеонаблюдения</v>
      </c>
      <c r="G9057" s="22" t="s">
        <v>50</v>
      </c>
      <c r="H9057" s="22" t="s">
        <v>6661</v>
      </c>
      <c r="I9057" s="26">
        <v>43580.4824884259</v>
      </c>
      <c r="J9057" s="28" t="s">
        <v>52</v>
      </c>
      <c r="K9057" s="28" t="s">
        <v>52</v>
      </c>
      <c r="L9057" s="28" t="s">
        <v>52</v>
      </c>
      <c r="M9057" s="28" t="s">
        <v>52</v>
      </c>
      <c r="N9057" s="28" t="s">
        <v>52</v>
      </c>
    </row>
    <row r="9058" spans="1:14" x14ac:dyDescent="0.15">
      <c r="A9058" s="23" t="str">
        <f>HYPERLINK("https://www.spark-marketing.ru/Card/Person/233651", "ФКУ ИК-5 ГУФСИН РОССИИ ПО КРАСНОЯРСКОМУ КРАЮ")</f>
        <v>ФКУ ИК-5 ГУФСИН РОССИИ ПО КРАСНОЯРСКОМУ КРАЮ</v>
      </c>
      <c r="B9058" s="24" t="s">
        <v>11396</v>
      </c>
      <c r="C9058" s="25">
        <v>5288</v>
      </c>
      <c r="D9058" s="22" t="s">
        <v>11397</v>
      </c>
      <c r="E9058" s="22" t="s">
        <v>53</v>
      </c>
      <c r="F9058" s="23" t="str">
        <f>HYPERLINK("https://www.spark-marketing.ru/Card/Lot/70768416", "Услуги по проверке технического состояния транспортных средств на предмет их соответствия обязательным требованиям безопасности транспортных средств")</f>
        <v>Услуги по проверке технического состояния транспортных средств на предмет их соответствия обязательным требованиям безопасности транспортных средств</v>
      </c>
      <c r="G9058" s="22" t="s">
        <v>640</v>
      </c>
      <c r="H9058" s="22" t="s">
        <v>11398</v>
      </c>
      <c r="I9058" s="26">
        <v>43580.471377314803</v>
      </c>
      <c r="J9058" s="28" t="s">
        <v>52</v>
      </c>
      <c r="K9058" s="28" t="s">
        <v>52</v>
      </c>
      <c r="L9058" s="28" t="s">
        <v>52</v>
      </c>
      <c r="M9058" s="28" t="s">
        <v>52</v>
      </c>
      <c r="N9058" s="28" t="s">
        <v>52</v>
      </c>
    </row>
    <row r="9059" spans="1:14" ht="12.75" x14ac:dyDescent="0.2">
      <c r="A9059" s="23" t="str">
        <f>HYPERLINK("https://www.spark-marketing.ru/Card/Person/4345826", "ПАО СБЕРБАНК")</f>
        <v>ПАО СБЕРБАНК</v>
      </c>
      <c r="B9059" s="24" t="s">
        <v>5406</v>
      </c>
      <c r="C9059" s="25">
        <v>4962870.96</v>
      </c>
      <c r="D9059" s="22" t="s">
        <v>11399</v>
      </c>
      <c r="E9059" s="22" t="s">
        <v>144</v>
      </c>
      <c r="F9059" s="23" t="str">
        <f>HYPERLINK("https://www.spark-marketing.ru/Card/Lot/70089656", "Оказание охранных услуг с использованием технических средств охраны объектов Дальневосточного банка ПАО Сбербанк, расположенных на территории пос. Эгвекинот, пос. Беринговский, пос. Провидение Чукотского Автономного округа")</f>
        <v>Оказание охранных услуг с использованием технических средств охраны объектов Дальневосточного банка ПАО Сбербанк, расположенных на территории пос. Эгвекинот, пос. Беринговский, пос. Провидение Чукотского Автономного округа</v>
      </c>
      <c r="G9059" s="22" t="s">
        <v>1544</v>
      </c>
      <c r="H9059" s="22" t="s">
        <v>1544</v>
      </c>
      <c r="I9059" s="26">
        <v>43580.497384259303</v>
      </c>
      <c r="J9059" s="23" t="str">
        <f>HYPERLINK("https://www.spark-marketing.ru/Card/Person/6580971", "АНАДЫРСКИЙ ОВО ФЛ ФГКУ УВО МВД РОССИИ ЧУКОТСКОМУ АВТОНОМНОМУ ОКРУГУ")</f>
        <v>АНАДЫРСКИЙ ОВО ФЛ ФГКУ УВО МВД РОССИИ ЧУКОТСКОМУ АВТОНОМНОМУ ОКРУГУ</v>
      </c>
      <c r="K9059" s="24" t="s">
        <v>8193</v>
      </c>
      <c r="L9059" s="22" t="s">
        <v>10</v>
      </c>
      <c r="M9059" s="25">
        <v>4962870.96</v>
      </c>
      <c r="N9059" s="27">
        <v>0</v>
      </c>
    </row>
    <row r="9060" spans="1:14" x14ac:dyDescent="0.2">
      <c r="A9060" s="23" t="str">
        <f>HYPERLINK("https://www.spark-marketing.ru/Card/Person/26833", "ГБУ ""ЖИЛИЩНИК АЛТУФЬЕВСКОГО РАЙОНА""")</f>
        <v>ГБУ "ЖИЛИЩНИК АЛТУФЬЕВСКОГО РАЙОНА"</v>
      </c>
      <c r="B9060" s="24" t="s">
        <v>11400</v>
      </c>
      <c r="C9060" s="25">
        <v>89921.86</v>
      </c>
      <c r="D9060" s="22" t="s">
        <v>11401</v>
      </c>
      <c r="E9060" s="22" t="s">
        <v>11321</v>
      </c>
      <c r="F9060" s="23" t="str">
        <f>HYPERLINK("https://www.spark-marketing.ru/Card/Lot/70088069", "Выполнение работ по установке камер видеонаблюдения ГБУ ""Жилищник Алтуфьевского района"", адрес : Бибиревская ул.,владение10")</f>
        <v>Выполнение работ по установке камер видеонаблюдения ГБУ "Жилищник Алтуфьевского района", адрес : Бибиревская ул.,владение10</v>
      </c>
      <c r="G9060" s="22" t="s">
        <v>55</v>
      </c>
      <c r="H9060" s="22" t="s">
        <v>55</v>
      </c>
      <c r="I9060" s="26">
        <v>43580.473715277803</v>
      </c>
      <c r="J9060" s="28" t="s">
        <v>52</v>
      </c>
      <c r="K9060" s="28" t="s">
        <v>52</v>
      </c>
      <c r="L9060" s="28" t="s">
        <v>52</v>
      </c>
      <c r="M9060" s="25">
        <v>89921.86</v>
      </c>
      <c r="N9060" s="27">
        <v>0</v>
      </c>
    </row>
    <row r="9061" spans="1:14" x14ac:dyDescent="0.15">
      <c r="A9061" s="23" t="str">
        <f>HYPERLINK("https://www.spark-marketing.ru/Card/Person/4343656", "ГОКУ ""НОВГОРОДАВТОДОР""")</f>
        <v>ГОКУ "НОВГОРОДАВТОДОР"</v>
      </c>
      <c r="B9061" s="24" t="s">
        <v>7586</v>
      </c>
      <c r="C9061" s="25">
        <v>43228186.799999997</v>
      </c>
      <c r="D9061" s="22" t="s">
        <v>11402</v>
      </c>
      <c r="E9061" s="22" t="s">
        <v>842</v>
      </c>
      <c r="F9061" s="23" t="str">
        <f>HYPERLINK("https://www.spark-marketing.ru/Card/Lot/70087832", "Выполнение работ по объекту: «Устройство (строительство) инженерно-технических систем обеспечения транспортной безопасности категорированного объекта «Мост через р.Волхов на км 0+921 на автомобильной дороге от автомобильной дороги «Великий Новгород-Х...")</f>
        <v>Выполнение работ по объекту: «Устройство (строительство) инженерно-технических систем обеспечения транспортной безопасности категорированного объекта «Мост через р.Волхов на км 0+921 на автомобильной дороге от автомобильной дороги «Великий Новгород-Х...</v>
      </c>
      <c r="G9061" s="22" t="s">
        <v>959</v>
      </c>
      <c r="H9061" s="22" t="s">
        <v>960</v>
      </c>
      <c r="I9061" s="26">
        <v>43580.438194444403</v>
      </c>
      <c r="J9061" s="23" t="str">
        <f>HYPERLINK("https://www.spark-marketing.ru/Card/Person/10991", "ПАО ""РОСТЕЛЕКОМ""")</f>
        <v>ПАО "РОСТЕЛЕКОМ"</v>
      </c>
      <c r="K9061" s="24" t="s">
        <v>607</v>
      </c>
      <c r="L9061" s="28" t="s">
        <v>52</v>
      </c>
      <c r="M9061" s="28" t="s">
        <v>52</v>
      </c>
      <c r="N9061" s="28" t="s">
        <v>52</v>
      </c>
    </row>
    <row r="9062" spans="1:14" x14ac:dyDescent="0.15">
      <c r="A9062" s="23" t="str">
        <f>HYPERLINK("https://www.spark-marketing.ru/Card/Person/1777495", "АО ""КРОНШТАДТСКИЙ МОРСКОЙ ЗАВОД""")</f>
        <v>АО "КРОНШТАДТСКИЙ МОРСКОЙ ЗАВОД"</v>
      </c>
      <c r="B9062" s="24" t="s">
        <v>1845</v>
      </c>
      <c r="C9062" s="25">
        <v>950000</v>
      </c>
      <c r="D9062" s="22" t="s">
        <v>11403</v>
      </c>
      <c r="E9062" s="22" t="s">
        <v>1149</v>
      </c>
      <c r="F9062" s="23" t="str">
        <f>HYPERLINK("https://www.spark-marketing.ru/Card/Lot/70087097", "Установка системы видеонаблюдения в цех №1 и №10, установка системы контроля управления доступом в цех №10")</f>
        <v>Установка системы видеонаблюдения в цех №1 и №10, установка системы контроля управления доступом в цех №10</v>
      </c>
      <c r="G9062" s="22" t="s">
        <v>89</v>
      </c>
      <c r="H9062" s="22" t="s">
        <v>89</v>
      </c>
      <c r="I9062" s="26">
        <v>43580.456817129598</v>
      </c>
      <c r="J9062" s="28" t="s">
        <v>52</v>
      </c>
      <c r="K9062" s="28" t="s">
        <v>52</v>
      </c>
      <c r="L9062" s="28" t="s">
        <v>52</v>
      </c>
      <c r="M9062" s="28" t="s">
        <v>52</v>
      </c>
      <c r="N9062" s="28" t="s">
        <v>52</v>
      </c>
    </row>
    <row r="9063" spans="1:14" x14ac:dyDescent="0.15">
      <c r="A9063" s="23" t="str">
        <f>HYPERLINK("https://www.spark-marketing.ru/Card/Person/12761", "АДМИНИСТРАЦИЯ РГО МО")</f>
        <v>АДМИНИСТРАЦИЯ РГО МО</v>
      </c>
      <c r="B9063" s="24" t="s">
        <v>1394</v>
      </c>
      <c r="C9063" s="25">
        <v>198000</v>
      </c>
      <c r="D9063" s="22" t="s">
        <v>11404</v>
      </c>
      <c r="E9063" s="22" t="s">
        <v>103</v>
      </c>
      <c r="F9063" s="23" t="str">
        <f>HYPERLINK("https://www.spark-marketing.ru/Card/Lot/70084510", "Оказание услуг по обслуживанию систем видеонаблюдения на дорогах")</f>
        <v>Оказание услуг по обслуживанию систем видеонаблюдения на дорогах</v>
      </c>
      <c r="G9063" s="22" t="s">
        <v>50</v>
      </c>
      <c r="H9063" s="22" t="s">
        <v>1207</v>
      </c>
      <c r="I9063" s="26">
        <v>43580.415972222203</v>
      </c>
      <c r="J9063" s="28" t="s">
        <v>52</v>
      </c>
      <c r="K9063" s="28" t="s">
        <v>52</v>
      </c>
      <c r="L9063" s="28" t="s">
        <v>52</v>
      </c>
      <c r="M9063" s="28" t="s">
        <v>52</v>
      </c>
      <c r="N9063" s="28" t="s">
        <v>52</v>
      </c>
    </row>
    <row r="9064" spans="1:14" ht="12.75" hidden="1" outlineLevel="1" x14ac:dyDescent="0.2">
      <c r="A9064" s="23" t="str">
        <f>HYPERLINK("https://www.spark-marketing.ru/Card/Person/12761", "АДМИНИСТРАЦИЯ РГО МО")</f>
        <v>АДМИНИСТРАЦИЯ РГО МО</v>
      </c>
      <c r="B9064" s="24" t="s">
        <v>1394</v>
      </c>
      <c r="C9064" s="25">
        <v>198000</v>
      </c>
      <c r="D9064" s="22" t="s">
        <v>11404</v>
      </c>
      <c r="E9064" s="22" t="s">
        <v>103</v>
      </c>
      <c r="F9064" s="23" t="str">
        <f>HYPERLINK("https://www.spark-marketing.ru/Card/Lot/70084510", "Оказание услуг по обслуживанию систем видеонаблюдения на дорогах")</f>
        <v>Оказание услуг по обслуживанию систем видеонаблюдения на дорогах</v>
      </c>
      <c r="G9064" s="22" t="s">
        <v>50</v>
      </c>
      <c r="H9064" s="22" t="s">
        <v>1207</v>
      </c>
      <c r="I9064" s="26">
        <v>43580.415972222203</v>
      </c>
      <c r="J9064" s="23" t="str">
        <f>HYPERLINK("https://www.spark-marketing.ru/Card/Person/1354015", "ООО ""ЭДЕЛЬВЕЙС""")</f>
        <v>ООО "ЭДЕЛЬВЕЙС"</v>
      </c>
      <c r="K9064" s="24" t="s">
        <v>1396</v>
      </c>
      <c r="L9064" s="22" t="s">
        <v>10</v>
      </c>
      <c r="M9064" s="25">
        <v>197010</v>
      </c>
      <c r="N9064" s="27">
        <v>5.0000000000000001E-3</v>
      </c>
    </row>
    <row r="9065" spans="1:14" hidden="1" outlineLevel="1" x14ac:dyDescent="0.2">
      <c r="A9065" s="23" t="str">
        <f>HYPERLINK("https://www.spark-marketing.ru/Card/Person/12761", "АДМИНИСТРАЦИЯ РГО МО")</f>
        <v>АДМИНИСТРАЦИЯ РГО МО</v>
      </c>
      <c r="B9065" s="24" t="s">
        <v>1394</v>
      </c>
      <c r="C9065" s="25">
        <v>198000</v>
      </c>
      <c r="D9065" s="22" t="s">
        <v>11404</v>
      </c>
      <c r="E9065" s="22" t="s">
        <v>103</v>
      </c>
      <c r="F9065" s="23" t="str">
        <f>HYPERLINK("https://www.spark-marketing.ru/Card/Lot/70084510", "Оказание услуг по обслуживанию систем видеонаблюдения на дорогах")</f>
        <v>Оказание услуг по обслуживанию систем видеонаблюдения на дорогах</v>
      </c>
      <c r="G9065" s="22" t="s">
        <v>50</v>
      </c>
      <c r="H9065" s="22" t="s">
        <v>1207</v>
      </c>
      <c r="I9065" s="26">
        <v>43580.415972222203</v>
      </c>
      <c r="J9065" s="23" t="str">
        <f>HYPERLINK("https://www.spark-marketing.ru/Card/Person/6445825", "Судариков Михаил Геннадьевич")</f>
        <v>Судариков Михаил Геннадьевич</v>
      </c>
      <c r="K9065" s="24" t="s">
        <v>1219</v>
      </c>
      <c r="L9065" s="28" t="s">
        <v>52</v>
      </c>
      <c r="M9065" s="25">
        <v>197999.99</v>
      </c>
      <c r="N9065" s="27">
        <v>5.0505050505050506E-8</v>
      </c>
    </row>
    <row r="9066" spans="1:14" x14ac:dyDescent="0.15">
      <c r="A9066" s="23" t="str">
        <f>HYPERLINK("https://www.spark-marketing.ru/Card/Person/4343656", "ГОКУ ""НОВГОРОДАВТОДОР""")</f>
        <v>ГОКУ "НОВГОРОДАВТОДОР"</v>
      </c>
      <c r="B9066" s="24" t="s">
        <v>7586</v>
      </c>
      <c r="C9066" s="25">
        <v>952900.8</v>
      </c>
      <c r="D9066" s="22" t="s">
        <v>11405</v>
      </c>
      <c r="E9066" s="22" t="s">
        <v>218</v>
      </c>
      <c r="F9066" s="23" t="str">
        <f>HYPERLINK("https://www.spark-marketing.ru/Card/Lot/70086306", "Оказание услуг по строительному контролю за выполнением работ по объекту: «Устройство (строительство) инженерно-технических систем обеспечения транспортной безопасности категорированного объекта «Мост через р.Волхов на км 0+921 на автомобильной дорог...")</f>
        <v>Оказание услуг по строительному контролю за выполнением работ по объекту: «Устройство (строительство) инженерно-технических систем обеспечения транспортной безопасности категорированного объекта «Мост через р.Волхов на км 0+921 на автомобильной дорог...</v>
      </c>
      <c r="G9066" s="22" t="s">
        <v>959</v>
      </c>
      <c r="H9066" s="22" t="s">
        <v>960</v>
      </c>
      <c r="I9066" s="26">
        <v>43580.415972222203</v>
      </c>
      <c r="J9066" s="28" t="s">
        <v>52</v>
      </c>
      <c r="K9066" s="28" t="s">
        <v>52</v>
      </c>
      <c r="L9066" s="28" t="s">
        <v>52</v>
      </c>
      <c r="M9066" s="28" t="s">
        <v>52</v>
      </c>
      <c r="N9066" s="28" t="s">
        <v>52</v>
      </c>
    </row>
    <row r="9067" spans="1:14" hidden="1" outlineLevel="1" x14ac:dyDescent="0.2">
      <c r="A9067" s="23" t="str">
        <f>HYPERLINK("https://www.spark-marketing.ru/Card/Person/4343656", "ГОКУ ""НОВГОРОДАВТОДОР""")</f>
        <v>ГОКУ "НОВГОРОДАВТОДОР"</v>
      </c>
      <c r="B9067" s="24" t="s">
        <v>7586</v>
      </c>
      <c r="C9067" s="25">
        <v>952900.8</v>
      </c>
      <c r="D9067" s="22" t="s">
        <v>11405</v>
      </c>
      <c r="E9067" s="22" t="s">
        <v>218</v>
      </c>
      <c r="F9067" s="23" t="str">
        <f>HYPERLINK("https://www.spark-marketing.ru/Card/Lot/70086306", "Оказание услуг по строительному контролю за выполнением работ по объекту: «Устройство (строительство) инженерно-технических систем обеспечения транспортной безопасности категорированного объекта «Мост через р.Волхов на км 0+921 на автомобильной дорог...")</f>
        <v>Оказание услуг по строительному контролю за выполнением работ по объекту: «Устройство (строительство) инженерно-технических систем обеспечения транспортной безопасности категорированного объекта «Мост через р.Волхов на км 0+921 на автомобильной дорог...</v>
      </c>
      <c r="G9067" s="22" t="s">
        <v>959</v>
      </c>
      <c r="H9067" s="22" t="s">
        <v>960</v>
      </c>
      <c r="I9067" s="26">
        <v>43580.415972222203</v>
      </c>
      <c r="J9067" s="23" t="str">
        <f>HYPERLINK("https://www.spark-marketing.ru/Card/Person/25906", "АО ""ПСТМ""")</f>
        <v>АО "ПСТМ"</v>
      </c>
      <c r="K9067" s="24" t="s">
        <v>2241</v>
      </c>
      <c r="L9067" s="28" t="s">
        <v>52</v>
      </c>
      <c r="M9067" s="25">
        <v>598000</v>
      </c>
      <c r="N9067" s="27">
        <v>0.3724425459607128</v>
      </c>
    </row>
    <row r="9068" spans="1:14" ht="12.75" hidden="1" outlineLevel="1" x14ac:dyDescent="0.2">
      <c r="A9068" s="23" t="str">
        <f>HYPERLINK("https://www.spark-marketing.ru/Card/Person/4343656", "ГОКУ ""НОВГОРОДАВТОДОР""")</f>
        <v>ГОКУ "НОВГОРОДАВТОДОР"</v>
      </c>
      <c r="B9068" s="24" t="s">
        <v>7586</v>
      </c>
      <c r="C9068" s="25">
        <v>952900.8</v>
      </c>
      <c r="D9068" s="22" t="s">
        <v>11405</v>
      </c>
      <c r="E9068" s="22" t="s">
        <v>218</v>
      </c>
      <c r="F9068" s="23" t="str">
        <f>HYPERLINK("https://www.spark-marketing.ru/Card/Lot/70086306", "Оказание услуг по строительному контролю за выполнением работ по объекту: «Устройство (строительство) инженерно-технических систем обеспечения транспортной безопасности категорированного объекта «Мост через р.Волхов на км 0+921 на автомобильной дорог...")</f>
        <v>Оказание услуг по строительному контролю за выполнением работ по объекту: «Устройство (строительство) инженерно-технических систем обеспечения транспортной безопасности категорированного объекта «Мост через р.Волхов на км 0+921 на автомобильной дорог...</v>
      </c>
      <c r="G9068" s="22" t="s">
        <v>959</v>
      </c>
      <c r="H9068" s="22" t="s">
        <v>960</v>
      </c>
      <c r="I9068" s="26">
        <v>43580.415972222203</v>
      </c>
      <c r="J9068" s="23" t="str">
        <f>HYPERLINK("https://www.spark-marketing.ru/Card/Person/4953630", "ООО ""АЛЕКСГРУПП""")</f>
        <v>ООО "АЛЕКСГРУПП"</v>
      </c>
      <c r="K9068" s="24" t="s">
        <v>11406</v>
      </c>
      <c r="L9068" s="22" t="s">
        <v>10</v>
      </c>
      <c r="M9068" s="25">
        <v>600000</v>
      </c>
      <c r="N9068" s="27">
        <v>0.37034369159937741</v>
      </c>
    </row>
    <row r="9069" spans="1:14" hidden="1" outlineLevel="1" x14ac:dyDescent="0.2">
      <c r="A9069" s="23" t="str">
        <f>HYPERLINK("https://www.spark-marketing.ru/Card/Person/4343656", "ГОКУ ""НОВГОРОДАВТОДОР""")</f>
        <v>ГОКУ "НОВГОРОДАВТОДОР"</v>
      </c>
      <c r="B9069" s="24" t="s">
        <v>7586</v>
      </c>
      <c r="C9069" s="25">
        <v>952900.8</v>
      </c>
      <c r="D9069" s="22" t="s">
        <v>11405</v>
      </c>
      <c r="E9069" s="22" t="s">
        <v>218</v>
      </c>
      <c r="F9069" s="23" t="str">
        <f>HYPERLINK("https://www.spark-marketing.ru/Card/Lot/70086306", "Оказание услуг по строительному контролю за выполнением работ по объекту: «Устройство (строительство) инженерно-технических систем обеспечения транспортной безопасности категорированного объекта «Мост через р.Волхов на км 0+921 на автомобильной дорог...")</f>
        <v>Оказание услуг по строительному контролю за выполнением работ по объекту: «Устройство (строительство) инженерно-технических систем обеспечения транспортной безопасности категорированного объекта «Мост через р.Волхов на км 0+921 на автомобильной дорог...</v>
      </c>
      <c r="G9069" s="22" t="s">
        <v>959</v>
      </c>
      <c r="H9069" s="22" t="s">
        <v>960</v>
      </c>
      <c r="I9069" s="26">
        <v>43580.415972222203</v>
      </c>
      <c r="J9069" s="23" t="str">
        <f>HYPERLINK("https://www.spark-marketing.ru/Card/Person/4389472", "ООО ""МАЙККОМП""")</f>
        <v>ООО "МАЙККОМП"</v>
      </c>
      <c r="K9069" s="24" t="s">
        <v>8755</v>
      </c>
      <c r="L9069" s="28" t="s">
        <v>52</v>
      </c>
      <c r="M9069" s="25">
        <v>630000</v>
      </c>
      <c r="N9069" s="27">
        <v>0.33886087617934629</v>
      </c>
    </row>
    <row r="9070" spans="1:14" x14ac:dyDescent="0.15">
      <c r="A9070" s="23" t="str">
        <f>HYPERLINK("https://www.spark-marketing.ru/Card/Person/86120", "ГБДОУ ДЕТСКИЙ САД №31 КОМБИНИРОВАННОГО ВИДА ПУШКИНСКОГО РАЙОНА САНКТ-ПЕТЕРБУРГА")</f>
        <v>ГБДОУ ДЕТСКИЙ САД №31 КОМБИНИРОВАННОГО ВИДА ПУШКИНСКОГО РАЙОНА САНКТ-ПЕТЕРБУРГА</v>
      </c>
      <c r="B9070" s="24" t="s">
        <v>11407</v>
      </c>
      <c r="C9070" s="25">
        <v>1144493</v>
      </c>
      <c r="D9070" s="22" t="s">
        <v>11408</v>
      </c>
      <c r="E9070" s="22" t="s">
        <v>59</v>
      </c>
      <c r="F9070" s="23" t="str">
        <f>HYPERLINK("https://www.spark-marketing.ru/Card/Lot/70086799", "Монтаж системы видеонаблюдения в здании ГБДОУ детский сад № 31 комбинированного вида Пушкинского района Санкт-Петербурга по адресу: Санкт-Петербург, г. Пушкин, Петербургское шоссе, дом 5 а, литер А")</f>
        <v>Монтаж системы видеонаблюдения в здании ГБДОУ детский сад № 31 комбинированного вида Пушкинского района Санкт-Петербурга по адресу: Санкт-Петербург, г. Пушкин, Петербургское шоссе, дом 5 а, литер А</v>
      </c>
      <c r="G9070" s="22" t="s">
        <v>89</v>
      </c>
      <c r="H9070" s="22" t="s">
        <v>89</v>
      </c>
      <c r="I9070" s="26">
        <v>43580.405555555597</v>
      </c>
      <c r="J9070" s="28" t="s">
        <v>52</v>
      </c>
      <c r="K9070" s="28" t="s">
        <v>52</v>
      </c>
      <c r="L9070" s="28" t="s">
        <v>52</v>
      </c>
      <c r="M9070" s="28" t="s">
        <v>52</v>
      </c>
      <c r="N9070" s="28" t="s">
        <v>52</v>
      </c>
    </row>
    <row r="9071" spans="1:14" ht="12.75" hidden="1" outlineLevel="1" x14ac:dyDescent="0.2">
      <c r="A9071" s="23" t="str">
        <f>HYPERLINK("https://www.spark-marketing.ru/Card/Person/86120", "ГБДОУ ДЕТСКИЙ САД №31 КОМБИНИРОВАННОГО ВИДА ПУШКИНСКОГО РАЙОНА САНКТ-ПЕТЕРБУРГА")</f>
        <v>ГБДОУ ДЕТСКИЙ САД №31 КОМБИНИРОВАННОГО ВИДА ПУШКИНСКОГО РАЙОНА САНКТ-ПЕТЕРБУРГА</v>
      </c>
      <c r="B9071" s="24" t="s">
        <v>11407</v>
      </c>
      <c r="C9071" s="25">
        <v>1144493</v>
      </c>
      <c r="D9071" s="22" t="s">
        <v>11408</v>
      </c>
      <c r="E9071" s="22" t="s">
        <v>59</v>
      </c>
      <c r="F9071" s="23" t="str">
        <f>HYPERLINK("https://www.spark-marketing.ru/Card/Lot/70086799", "Монтаж системы видеонаблюдения в здании ГБДОУ детский сад № 31 комбинированного вида Пушкинского района Санкт-Петербурга по адресу: Санкт-Петербург, г. Пушкин, Петербургское шоссе, дом 5 а, литер А")</f>
        <v>Монтаж системы видеонаблюдения в здании ГБДОУ детский сад № 31 комбинированного вида Пушкинского района Санкт-Петербурга по адресу: Санкт-Петербург, г. Пушкин, Петербургское шоссе, дом 5 а, литер А</v>
      </c>
      <c r="G9071" s="22" t="s">
        <v>89</v>
      </c>
      <c r="H9071" s="22" t="s">
        <v>89</v>
      </c>
      <c r="I9071" s="26">
        <v>43580.405555555597</v>
      </c>
      <c r="J9071" s="23" t="str">
        <f>HYPERLINK("https://www.spark-marketing.ru/Card/Person/132600", "ООО ""АСПЕКТ""")</f>
        <v>ООО "АСПЕКТ"</v>
      </c>
      <c r="K9071" s="24" t="s">
        <v>10038</v>
      </c>
      <c r="L9071" s="22" t="s">
        <v>10</v>
      </c>
      <c r="M9071" s="25">
        <v>886981.9</v>
      </c>
      <c r="N9071" s="27">
        <v>0.22500015290613398</v>
      </c>
    </row>
    <row r="9072" spans="1:14" hidden="1" outlineLevel="1" x14ac:dyDescent="0.2">
      <c r="A9072" s="23" t="str">
        <f>HYPERLINK("https://www.spark-marketing.ru/Card/Person/86120", "ГБДОУ ДЕТСКИЙ САД №31 КОМБИНИРОВАННОГО ВИДА ПУШКИНСКОГО РАЙОНА САНКТ-ПЕТЕРБУРГА")</f>
        <v>ГБДОУ ДЕТСКИЙ САД №31 КОМБИНИРОВАННОГО ВИДА ПУШКИНСКОГО РАЙОНА САНКТ-ПЕТЕРБУРГА</v>
      </c>
      <c r="B9072" s="24" t="s">
        <v>11407</v>
      </c>
      <c r="C9072" s="25">
        <v>1144493</v>
      </c>
      <c r="D9072" s="22" t="s">
        <v>11408</v>
      </c>
      <c r="E9072" s="22" t="s">
        <v>59</v>
      </c>
      <c r="F9072" s="23" t="str">
        <f>HYPERLINK("https://www.spark-marketing.ru/Card/Lot/70086799", "Монтаж системы видеонаблюдения в здании ГБДОУ детский сад № 31 комбинированного вида Пушкинского района Санкт-Петербурга по адресу: Санкт-Петербург, г. Пушкин, Петербургское шоссе, дом 5 а, литер А")</f>
        <v>Монтаж системы видеонаблюдения в здании ГБДОУ детский сад № 31 комбинированного вида Пушкинского района Санкт-Петербурга по адресу: Санкт-Петербург, г. Пушкин, Петербургское шоссе, дом 5 а, литер А</v>
      </c>
      <c r="G9072" s="22" t="s">
        <v>89</v>
      </c>
      <c r="H9072" s="22" t="s">
        <v>89</v>
      </c>
      <c r="I9072" s="26">
        <v>43580.405555555597</v>
      </c>
      <c r="J9072" s="23" t="str">
        <f>HYPERLINK("https://www.spark-marketing.ru/Card/Person/6398454", "Сидоров Артем Юрьевич")</f>
        <v>Сидоров Артем Юрьевич</v>
      </c>
      <c r="K9072" s="24" t="s">
        <v>11391</v>
      </c>
      <c r="L9072" s="28" t="s">
        <v>52</v>
      </c>
      <c r="M9072" s="25">
        <v>1144400</v>
      </c>
      <c r="N9072" s="27">
        <v>8.1258688344970216E-5</v>
      </c>
    </row>
    <row r="9073" spans="1:14" hidden="1" outlineLevel="1" x14ac:dyDescent="0.2">
      <c r="A9073" s="23" t="str">
        <f>HYPERLINK("https://www.spark-marketing.ru/Card/Person/86120", "ГБДОУ ДЕТСКИЙ САД №31 КОМБИНИРОВАННОГО ВИДА ПУШКИНСКОГО РАЙОНА САНКТ-ПЕТЕРБУРГА")</f>
        <v>ГБДОУ ДЕТСКИЙ САД №31 КОМБИНИРОВАННОГО ВИДА ПУШКИНСКОГО РАЙОНА САНКТ-ПЕТЕРБУРГА</v>
      </c>
      <c r="B9073" s="24" t="s">
        <v>11407</v>
      </c>
      <c r="C9073" s="25">
        <v>1144493</v>
      </c>
      <c r="D9073" s="22" t="s">
        <v>11408</v>
      </c>
      <c r="E9073" s="22" t="s">
        <v>59</v>
      </c>
      <c r="F9073" s="23" t="str">
        <f>HYPERLINK("https://www.spark-marketing.ru/Card/Lot/70086799", "Монтаж системы видеонаблюдения в здании ГБДОУ детский сад № 31 комбинированного вида Пушкинского района Санкт-Петербурга по адресу: Санкт-Петербург, г. Пушкин, Петербургское шоссе, дом 5 а, литер А")</f>
        <v>Монтаж системы видеонаблюдения в здании ГБДОУ детский сад № 31 комбинированного вида Пушкинского района Санкт-Петербурга по адресу: Санкт-Петербург, г. Пушкин, Петербургское шоссе, дом 5 а, литер А</v>
      </c>
      <c r="G9073" s="22" t="s">
        <v>89</v>
      </c>
      <c r="H9073" s="22" t="s">
        <v>89</v>
      </c>
      <c r="I9073" s="26">
        <v>43580.405555555597</v>
      </c>
      <c r="J9073" s="23" t="str">
        <f>HYPERLINK("https://www.spark-marketing.ru/Card/Person/4891027", "ООО ""ПЭК""")</f>
        <v>ООО "ПЭК"</v>
      </c>
      <c r="K9073" s="24" t="s">
        <v>11409</v>
      </c>
      <c r="L9073" s="28" t="s">
        <v>52</v>
      </c>
      <c r="M9073" s="25">
        <v>892704.37</v>
      </c>
      <c r="N9073" s="27">
        <v>0.22000014853738731</v>
      </c>
    </row>
    <row r="9074" spans="1:14" hidden="1" outlineLevel="1" x14ac:dyDescent="0.2">
      <c r="A9074" s="23" t="str">
        <f>HYPERLINK("https://www.spark-marketing.ru/Card/Person/86120", "ГБДОУ ДЕТСКИЙ САД №31 КОМБИНИРОВАННОГО ВИДА ПУШКИНСКОГО РАЙОНА САНКТ-ПЕТЕРБУРГА")</f>
        <v>ГБДОУ ДЕТСКИЙ САД №31 КОМБИНИРОВАННОГО ВИДА ПУШКИНСКОГО РАЙОНА САНКТ-ПЕТЕРБУРГА</v>
      </c>
      <c r="B9074" s="24" t="s">
        <v>11407</v>
      </c>
      <c r="C9074" s="25">
        <v>1144493</v>
      </c>
      <c r="D9074" s="22" t="s">
        <v>11408</v>
      </c>
      <c r="E9074" s="22" t="s">
        <v>59</v>
      </c>
      <c r="F9074" s="23" t="str">
        <f>HYPERLINK("https://www.spark-marketing.ru/Card/Lot/70086799", "Монтаж системы видеонаблюдения в здании ГБДОУ детский сад № 31 комбинированного вида Пушкинского района Санкт-Петербурга по адресу: Санкт-Петербург, г. Пушкин, Петербургское шоссе, дом 5 а, литер А")</f>
        <v>Монтаж системы видеонаблюдения в здании ГБДОУ детский сад № 31 комбинированного вида Пушкинского района Санкт-Петербурга по адресу: Санкт-Петербург, г. Пушкин, Петербургское шоссе, дом 5 а, литер А</v>
      </c>
      <c r="G9074" s="22" t="s">
        <v>89</v>
      </c>
      <c r="H9074" s="22" t="s">
        <v>89</v>
      </c>
      <c r="I9074" s="26">
        <v>43580.405555555597</v>
      </c>
      <c r="J9074" s="23" t="str">
        <f>HYPERLINK("https://www.spark-marketing.ru/Card/Person/4358827", "ООО ""ТЕХНОТЕК""")</f>
        <v>ООО "ТЕХНОТЕК"</v>
      </c>
      <c r="K9074" s="24" t="s">
        <v>11410</v>
      </c>
      <c r="L9074" s="28" t="s">
        <v>52</v>
      </c>
      <c r="M9074" s="25">
        <v>955651.49</v>
      </c>
      <c r="N9074" s="27">
        <v>0.16500014416864062</v>
      </c>
    </row>
    <row r="9075" spans="1:14" x14ac:dyDescent="0.15">
      <c r="A9075" s="23" t="str">
        <f>HYPERLINK("https://www.spark-marketing.ru/Card/Person/85031", "УСД В ЛИПЕЦКОЙ ОБЛАСТИ")</f>
        <v>УСД В ЛИПЕЦКОЙ ОБЛАСТИ</v>
      </c>
      <c r="B9075" s="24" t="s">
        <v>11411</v>
      </c>
      <c r="C9075" s="25">
        <v>616106</v>
      </c>
      <c r="D9075" s="22" t="s">
        <v>11412</v>
      </c>
      <c r="E9075" s="22" t="s">
        <v>180</v>
      </c>
      <c r="F9075" s="23" t="str">
        <f>HYPERLINK("https://www.spark-marketing.ru/Card/Lot/70082656", "Приобретение и установка системы тревожной сигнализации в здании Елецкого городского суда, расположенного по адресу: г. Елец, ул. Коммунаров, д. 38а")</f>
        <v>Приобретение и установка системы тревожной сигнализации в здании Елецкого городского суда, расположенного по адресу: г. Елец, ул. Коммунаров, д. 38а</v>
      </c>
      <c r="G9075" s="22" t="s">
        <v>629</v>
      </c>
      <c r="H9075" s="22" t="s">
        <v>9737</v>
      </c>
      <c r="I9075" s="26">
        <v>43580.376388888901</v>
      </c>
      <c r="J9075" s="28" t="s">
        <v>52</v>
      </c>
      <c r="K9075" s="28" t="s">
        <v>52</v>
      </c>
      <c r="L9075" s="28" t="s">
        <v>52</v>
      </c>
      <c r="M9075" s="28" t="s">
        <v>52</v>
      </c>
      <c r="N9075" s="28" t="s">
        <v>52</v>
      </c>
    </row>
    <row r="9076" spans="1:14" hidden="1" outlineLevel="1" x14ac:dyDescent="0.2">
      <c r="A9076" s="23" t="str">
        <f>HYPERLINK("https://www.spark-marketing.ru/Card/Person/85031", "УСД В ЛИПЕЦКОЙ ОБЛАСТИ")</f>
        <v>УСД В ЛИПЕЦКОЙ ОБЛАСТИ</v>
      </c>
      <c r="B9076" s="24" t="s">
        <v>11411</v>
      </c>
      <c r="C9076" s="25">
        <v>616106</v>
      </c>
      <c r="D9076" s="22" t="s">
        <v>11412</v>
      </c>
      <c r="E9076" s="22" t="s">
        <v>180</v>
      </c>
      <c r="F9076" s="23" t="str">
        <f>HYPERLINK("https://www.spark-marketing.ru/Card/Lot/70082656", "Приобретение и установка системы тревожной сигнализации в здании Елецкого городского суда, расположенного по адресу: г. Елец, ул. Коммунаров, д. 38а")</f>
        <v>Приобретение и установка системы тревожной сигнализации в здании Елецкого городского суда, расположенного по адресу: г. Елец, ул. Коммунаров, д. 38а</v>
      </c>
      <c r="G9076" s="22" t="s">
        <v>629</v>
      </c>
      <c r="H9076" s="22" t="s">
        <v>9737</v>
      </c>
      <c r="I9076" s="26">
        <v>43580.376388888901</v>
      </c>
      <c r="J9076" s="23" t="str">
        <f>HYPERLINK("https://www.spark-marketing.ru/Card/Person/2021950", "ООО ""СПИ""")</f>
        <v>ООО "СПИ"</v>
      </c>
      <c r="K9076" s="24" t="s">
        <v>11413</v>
      </c>
      <c r="L9076" s="28" t="s">
        <v>52</v>
      </c>
      <c r="M9076" s="25">
        <v>613025.47</v>
      </c>
      <c r="N9076" s="27">
        <v>5.0000000000000001E-3</v>
      </c>
    </row>
    <row r="9077" spans="1:14" ht="12.75" hidden="1" outlineLevel="1" x14ac:dyDescent="0.2">
      <c r="A9077" s="23" t="str">
        <f>HYPERLINK("https://www.spark-marketing.ru/Card/Person/85031", "УСД В ЛИПЕЦКОЙ ОБЛАСТИ")</f>
        <v>УСД В ЛИПЕЦКОЙ ОБЛАСТИ</v>
      </c>
      <c r="B9077" s="24" t="s">
        <v>11411</v>
      </c>
      <c r="C9077" s="25">
        <v>616106</v>
      </c>
      <c r="D9077" s="22" t="s">
        <v>11412</v>
      </c>
      <c r="E9077" s="22" t="s">
        <v>180</v>
      </c>
      <c r="F9077" s="23" t="str">
        <f>HYPERLINK("https://www.spark-marketing.ru/Card/Lot/70082656", "Приобретение и установка системы тревожной сигнализации в здании Елецкого городского суда, расположенного по адресу: г. Елец, ул. Коммунаров, д. 38а")</f>
        <v>Приобретение и установка системы тревожной сигнализации в здании Елецкого городского суда, расположенного по адресу: г. Елец, ул. Коммунаров, д. 38а</v>
      </c>
      <c r="G9077" s="22" t="s">
        <v>629</v>
      </c>
      <c r="H9077" s="22" t="s">
        <v>9737</v>
      </c>
      <c r="I9077" s="26">
        <v>43580.376388888901</v>
      </c>
      <c r="J9077" s="23" t="str">
        <f>HYPERLINK("https://www.spark-marketing.ru/Card/Person/18883", "ООО ""БЭКСТР""")</f>
        <v>ООО "БЭКСТР"</v>
      </c>
      <c r="K9077" s="24" t="s">
        <v>9050</v>
      </c>
      <c r="L9077" s="22" t="s">
        <v>10</v>
      </c>
      <c r="M9077" s="25">
        <v>613025.47</v>
      </c>
      <c r="N9077" s="27">
        <v>5.0000000000000001E-3</v>
      </c>
    </row>
    <row r="9078" spans="1:14" x14ac:dyDescent="0.15">
      <c r="A9078" s="23" t="str">
        <f>HYPERLINK("https://www.spark-marketing.ru/Card/Person/4348484", "ОАО ""МРСК УРАЛА""")</f>
        <v>ОАО "МРСК УРАЛА"</v>
      </c>
      <c r="B9078" s="24" t="s">
        <v>3612</v>
      </c>
      <c r="C9078" s="25">
        <v>1731754.09</v>
      </c>
      <c r="D9078" s="22" t="s">
        <v>11414</v>
      </c>
      <c r="E9078" s="22" t="s">
        <v>49</v>
      </c>
      <c r="F9078" s="23" t="str">
        <f>HYPERLINK("https://www.spark-marketing.ru/Card/Lot/70068630", "СМР. Модернизация ПС 35-110 кВ (установка периметральной сигнализации) ПО ""ЦЭС"" (2 шт)")</f>
        <v>СМР. Модернизация ПС 35-110 кВ (установка периметральной сигнализации) ПО "ЦЭС" (2 шт)</v>
      </c>
      <c r="G9078" s="22" t="s">
        <v>72</v>
      </c>
      <c r="H9078" s="22" t="s">
        <v>949</v>
      </c>
      <c r="I9078" s="26">
        <v>43580.412905092599</v>
      </c>
      <c r="J9078" s="23" t="str">
        <f>HYPERLINK("https://www.spark-marketing.ru/Card/Person/1905065", "ЗАЯВКА")</f>
        <v>ЗАЯВКА</v>
      </c>
      <c r="K9078" s="24" t="s">
        <v>10745</v>
      </c>
      <c r="L9078" s="28" t="s">
        <v>52</v>
      </c>
      <c r="M9078" s="28" t="s">
        <v>52</v>
      </c>
      <c r="N9078" s="28" t="s">
        <v>52</v>
      </c>
    </row>
    <row r="9079" spans="1:14" x14ac:dyDescent="0.15">
      <c r="A9079" s="23" t="str">
        <f>HYPERLINK("https://www.spark-marketing.ru/Card/Person/1024201", "МОУ ""СОШ № 20""")</f>
        <v>МОУ "СОШ № 20"</v>
      </c>
      <c r="B9079" s="24" t="s">
        <v>11415</v>
      </c>
      <c r="C9079" s="25">
        <v>14000</v>
      </c>
      <c r="D9079" s="22" t="s">
        <v>11416</v>
      </c>
      <c r="E9079" s="22" t="s">
        <v>298</v>
      </c>
      <c r="F9079" s="23" t="str">
        <f>HYPERLINK("https://www.spark-marketing.ru/Card/Lot/70081210", "Услуга по установке видеокамеры в помещение пункта приема экзаменов")</f>
        <v>Услуга по установке видеокамеры в помещение пункта приема экзаменов</v>
      </c>
      <c r="G9079" s="22" t="s">
        <v>50</v>
      </c>
      <c r="H9079" s="22" t="s">
        <v>747</v>
      </c>
      <c r="I9079" s="26">
        <v>43580.398969907401</v>
      </c>
      <c r="J9079" s="28" t="s">
        <v>52</v>
      </c>
      <c r="K9079" s="28" t="s">
        <v>52</v>
      </c>
      <c r="L9079" s="28" t="s">
        <v>52</v>
      </c>
      <c r="M9079" s="28" t="s">
        <v>52</v>
      </c>
      <c r="N9079" s="28" t="s">
        <v>52</v>
      </c>
    </row>
    <row r="9080" spans="1:14" x14ac:dyDescent="0.2">
      <c r="A9080" s="23" t="str">
        <f>HYPERLINK("https://www.spark-marketing.ru/Card/Person/1021502", "КГАУ ""УКТУРЛЕСХОЗ""")</f>
        <v>КГАУ "УКТУРЛЕСХОЗ"</v>
      </c>
      <c r="B9080" s="24" t="s">
        <v>11417</v>
      </c>
      <c r="C9080" s="25">
        <v>5270400</v>
      </c>
      <c r="D9080" s="22" t="s">
        <v>11418</v>
      </c>
      <c r="E9080" s="22" t="s">
        <v>144</v>
      </c>
      <c r="F9080" s="23" t="str">
        <f>HYPERLINK("https://www.spark-marketing.ru/Card/Lot/70068603", "Оказание охранных услуг для нужд Краевое государственное автономное учреждение ""Уктурское лесное хозяйство""")</f>
        <v>Оказание охранных услуг для нужд Краевое государственное автономное учреждение "Уктурское лесное хозяйство"</v>
      </c>
      <c r="G9080" s="22" t="s">
        <v>138</v>
      </c>
      <c r="H9080" s="22" t="s">
        <v>138</v>
      </c>
      <c r="I9080" s="26">
        <v>43580.399930555599</v>
      </c>
      <c r="J9080" s="23" t="str">
        <f>HYPERLINK("https://www.spark-marketing.ru/Card/Person/1955695", "ООО ""ЧОО""ВИКИНГ""")</f>
        <v>ООО "ЧОО"ВИКИНГ"</v>
      </c>
      <c r="K9080" s="24" t="s">
        <v>11419</v>
      </c>
      <c r="L9080" s="28" t="s">
        <v>52</v>
      </c>
      <c r="M9080" s="25">
        <v>5270400</v>
      </c>
      <c r="N9080" s="27">
        <v>0</v>
      </c>
    </row>
    <row r="9081" spans="1:14" x14ac:dyDescent="0.15">
      <c r="A9081" s="23" t="str">
        <f>HYPERLINK("https://www.spark-marketing.ru/Card/Person/102694", "МУ МВД РОССИИ ""ИРКУТСКОЕ""")</f>
        <v>МУ МВД РОССИИ "ИРКУТСКОЕ"</v>
      </c>
      <c r="B9081" s="24" t="s">
        <v>4071</v>
      </c>
      <c r="C9081" s="25">
        <v>18000</v>
      </c>
      <c r="D9081" s="22" t="s">
        <v>11420</v>
      </c>
      <c r="E9081" s="22" t="s">
        <v>53</v>
      </c>
      <c r="F9081" s="23" t="str">
        <f>HYPERLINK("https://www.spark-marketing.ru/Card/Lot/70767837", "Услуги по техническому обслуживанию комплекса технических средств охраны")</f>
        <v>Услуги по техническому обслуживанию комплекса технических средств охраны</v>
      </c>
      <c r="G9081" s="22" t="s">
        <v>281</v>
      </c>
      <c r="H9081" s="22" t="s">
        <v>2008</v>
      </c>
      <c r="I9081" s="26">
        <v>43580.232951388898</v>
      </c>
      <c r="J9081" s="28" t="s">
        <v>52</v>
      </c>
      <c r="K9081" s="28" t="s">
        <v>52</v>
      </c>
      <c r="L9081" s="28" t="s">
        <v>52</v>
      </c>
      <c r="M9081" s="28" t="s">
        <v>52</v>
      </c>
      <c r="N9081" s="28" t="s">
        <v>52</v>
      </c>
    </row>
    <row r="9082" spans="1:14" x14ac:dyDescent="0.15">
      <c r="A9082" s="23" t="str">
        <f>HYPERLINK("https://www.spark-marketing.ru/Card/Person/4939393", "АО ""ВТУ""")</f>
        <v>АО "ВТУ"</v>
      </c>
      <c r="B9082" s="24" t="s">
        <v>11421</v>
      </c>
      <c r="C9082" s="28" t="s">
        <v>52</v>
      </c>
      <c r="D9082" s="22" t="s">
        <v>11422</v>
      </c>
      <c r="E9082" s="22" t="s">
        <v>52</v>
      </c>
      <c r="F9082" s="23" t="str">
        <f>HYPERLINK("https://www.spark-marketing.ru/Card/Lot/70063461", "Оказание услуг по физической охране территории склада и объекта получателя АО «ВТУ»")</f>
        <v>Оказание услуг по физической охране территории склада и объекта получателя АО «ВТУ»</v>
      </c>
      <c r="G9082" s="22" t="s">
        <v>138</v>
      </c>
      <c r="H9082" s="22" t="s">
        <v>5477</v>
      </c>
      <c r="I9082" s="26">
        <v>43580.128472222197</v>
      </c>
      <c r="J9082" s="28" t="s">
        <v>52</v>
      </c>
      <c r="K9082" s="28" t="s">
        <v>52</v>
      </c>
      <c r="L9082" s="28" t="s">
        <v>52</v>
      </c>
      <c r="M9082" s="28" t="s">
        <v>52</v>
      </c>
      <c r="N9082" s="28" t="s">
        <v>52</v>
      </c>
    </row>
    <row r="9083" spans="1:14" x14ac:dyDescent="0.15">
      <c r="A9083" s="23" t="str">
        <f>HYPERLINK("https://www.spark-marketing.ru/Card/Person/4348629", "АО ""ПО ЭХЗ""АО ""ПО ""ЭЛЕКТРОХИМИЧЕСКИЙ ЗАВОД""")</f>
        <v>АО "ПО ЭХЗ"АО "ПО "ЭЛЕКТРОХИМИЧЕСКИЙ ЗАВОД"</v>
      </c>
      <c r="B9083" s="24" t="s">
        <v>3111</v>
      </c>
      <c r="C9083" s="25">
        <v>221664</v>
      </c>
      <c r="D9083" s="22" t="s">
        <v>11423</v>
      </c>
      <c r="E9083" s="22" t="s">
        <v>53</v>
      </c>
      <c r="F9083" s="23" t="str">
        <f>HYPERLINK("https://www.spark-marketing.ru/Card/Lot/70092522", "Право заключения договора на оказание услуг по охране объектов")</f>
        <v>Право заключения договора на оказание услуг по охране объектов</v>
      </c>
      <c r="G9083" s="22" t="s">
        <v>640</v>
      </c>
      <c r="H9083" s="22" t="s">
        <v>3113</v>
      </c>
      <c r="I9083" s="26">
        <v>43580</v>
      </c>
      <c r="J9083" s="28" t="s">
        <v>52</v>
      </c>
      <c r="K9083" s="28" t="s">
        <v>52</v>
      </c>
      <c r="L9083" s="28" t="s">
        <v>52</v>
      </c>
      <c r="M9083" s="28" t="s">
        <v>52</v>
      </c>
      <c r="N9083" s="28" t="s">
        <v>52</v>
      </c>
    </row>
    <row r="9084" spans="1:14" x14ac:dyDescent="0.15">
      <c r="A9084" s="23" t="str">
        <f>HYPERLINK("https://www.spark-marketing.ru/Card/Person/456138", "КГАУ ""ЦСП""")</f>
        <v>КГАУ "ЦСП"</v>
      </c>
      <c r="B9084" s="24" t="s">
        <v>2031</v>
      </c>
      <c r="C9084" s="25">
        <v>11980800</v>
      </c>
      <c r="D9084" s="22" t="s">
        <v>11424</v>
      </c>
      <c r="E9084" s="22" t="s">
        <v>363</v>
      </c>
      <c r="F9084" s="23" t="str">
        <f>HYPERLINK("https://www.spark-marketing.ru/Card/Lot/70083719", "Оказание охранных услуг")</f>
        <v>Оказание охранных услуг</v>
      </c>
      <c r="G9084" s="22" t="s">
        <v>640</v>
      </c>
      <c r="H9084" s="22" t="s">
        <v>640</v>
      </c>
      <c r="I9084" s="26">
        <v>43579.807210648098</v>
      </c>
      <c r="J9084" s="28" t="s">
        <v>52</v>
      </c>
      <c r="K9084" s="28" t="s">
        <v>52</v>
      </c>
      <c r="L9084" s="28" t="s">
        <v>52</v>
      </c>
      <c r="M9084" s="28" t="s">
        <v>52</v>
      </c>
      <c r="N9084" s="28" t="s">
        <v>52</v>
      </c>
    </row>
    <row r="9085" spans="1:14" x14ac:dyDescent="0.15">
      <c r="A9085" s="23" t="str">
        <f>HYPERLINK("https://www.spark-marketing.ru/Card/Person/2701", "МБУ ""ОТДЫХ"" Г. МАГНИТОГОРСКА")</f>
        <v>МБУ "ОТДЫХ" Г. МАГНИТОГОРСКА</v>
      </c>
      <c r="B9085" s="24" t="s">
        <v>11338</v>
      </c>
      <c r="C9085" s="25">
        <v>23700</v>
      </c>
      <c r="D9085" s="22" t="s">
        <v>11425</v>
      </c>
      <c r="E9085" s="22" t="s">
        <v>137</v>
      </c>
      <c r="F9085" s="23" t="str">
        <f>HYPERLINK("https://www.spark-marketing.ru/Card/Lot/70076061", "Услуги по техническому обслуживанию систем охранного видеонаблюдения")</f>
        <v>Услуги по техническому обслуживанию систем охранного видеонаблюдения</v>
      </c>
      <c r="G9085" s="22" t="s">
        <v>100</v>
      </c>
      <c r="H9085" s="22" t="s">
        <v>100</v>
      </c>
      <c r="I9085" s="26">
        <v>43579.7179861111</v>
      </c>
      <c r="J9085" s="28" t="s">
        <v>52</v>
      </c>
      <c r="K9085" s="28" t="s">
        <v>52</v>
      </c>
      <c r="L9085" s="28" t="s">
        <v>52</v>
      </c>
      <c r="M9085" s="28" t="s">
        <v>52</v>
      </c>
      <c r="N9085" s="28" t="s">
        <v>52</v>
      </c>
    </row>
    <row r="9086" spans="1:14" hidden="1" outlineLevel="1" x14ac:dyDescent="0.2">
      <c r="A9086" s="23" t="str">
        <f>HYPERLINK("https://www.spark-marketing.ru/Card/Person/2701", "МБУ ""ОТДЫХ"" Г. МАГНИТОГОРСКА")</f>
        <v>МБУ "ОТДЫХ" Г. МАГНИТОГОРСКА</v>
      </c>
      <c r="B9086" s="24" t="s">
        <v>11338</v>
      </c>
      <c r="C9086" s="28" t="s">
        <v>52</v>
      </c>
      <c r="D9086" s="22" t="s">
        <v>11425</v>
      </c>
      <c r="E9086" s="22" t="s">
        <v>137</v>
      </c>
      <c r="F9086" s="23" t="str">
        <f>HYPERLINK("https://www.spark-marketing.ru/Card/Lot/70076061", "Услуги по техническому обслуживанию систем охранного видеонаблюдения")</f>
        <v>Услуги по техническому обслуживанию систем охранного видеонаблюдения</v>
      </c>
      <c r="G9086" s="22" t="s">
        <v>100</v>
      </c>
      <c r="H9086" s="22" t="s">
        <v>100</v>
      </c>
      <c r="I9086" s="26">
        <v>43579.7179861111</v>
      </c>
      <c r="J9086" s="23" t="str">
        <f>HYPERLINK("https://www.spark-marketing.ru/Card/Person/986547", "Усачева Наталья Ивановна")</f>
        <v>Усачева Наталья Ивановна</v>
      </c>
      <c r="K9086" s="24" t="s">
        <v>4193</v>
      </c>
      <c r="L9086" s="22" t="s">
        <v>10</v>
      </c>
      <c r="M9086" s="25">
        <v>19500</v>
      </c>
      <c r="N9086" s="27">
        <v>0.17721518987341772</v>
      </c>
    </row>
    <row r="9087" spans="1:14" hidden="1" outlineLevel="1" x14ac:dyDescent="0.2">
      <c r="A9087" s="23" t="str">
        <f>HYPERLINK("https://www.spark-marketing.ru/Card/Person/2701", "МБУ ""ОТДЫХ"" Г. МАГНИТОГОРСКА")</f>
        <v>МБУ "ОТДЫХ" Г. МАГНИТОГОРСКА</v>
      </c>
      <c r="B9087" s="24" t="s">
        <v>11338</v>
      </c>
      <c r="C9087" s="28" t="s">
        <v>52</v>
      </c>
      <c r="D9087" s="22" t="s">
        <v>11425</v>
      </c>
      <c r="E9087" s="22" t="s">
        <v>137</v>
      </c>
      <c r="F9087" s="23" t="str">
        <f>HYPERLINK("https://www.spark-marketing.ru/Card/Lot/70076061", "Услуги по техническому обслуживанию систем охранного видеонаблюдения")</f>
        <v>Услуги по техническому обслуживанию систем охранного видеонаблюдения</v>
      </c>
      <c r="G9087" s="22" t="s">
        <v>100</v>
      </c>
      <c r="H9087" s="22" t="s">
        <v>100</v>
      </c>
      <c r="I9087" s="26">
        <v>43579.7179861111</v>
      </c>
      <c r="J9087" s="23" t="str">
        <f>HYPERLINK("https://www.spark-marketing.ru/Card/Person/571761", "ООО ЧОО ""ДОЗОР-М""")</f>
        <v>ООО ЧОО "ДОЗОР-М"</v>
      </c>
      <c r="K9087" s="24" t="s">
        <v>11426</v>
      </c>
      <c r="L9087" s="28" t="s">
        <v>52</v>
      </c>
      <c r="M9087" s="25">
        <v>19950</v>
      </c>
      <c r="N9087" s="27">
        <v>0.15822784810126583</v>
      </c>
    </row>
    <row r="9088" spans="1:14" hidden="1" outlineLevel="1" x14ac:dyDescent="0.2">
      <c r="A9088" s="23" t="str">
        <f>HYPERLINK("https://www.spark-marketing.ru/Card/Person/2701", "МБУ ""ОТДЫХ"" Г. МАГНИТОГОРСКА")</f>
        <v>МБУ "ОТДЫХ" Г. МАГНИТОГОРСКА</v>
      </c>
      <c r="B9088" s="24" t="s">
        <v>11338</v>
      </c>
      <c r="C9088" s="28" t="s">
        <v>52</v>
      </c>
      <c r="D9088" s="22" t="s">
        <v>11425</v>
      </c>
      <c r="E9088" s="22" t="s">
        <v>137</v>
      </c>
      <c r="F9088" s="23" t="str">
        <f>HYPERLINK("https://www.spark-marketing.ru/Card/Lot/70076061", "Услуги по техническому обслуживанию систем охранного видеонаблюдения")</f>
        <v>Услуги по техническому обслуживанию систем охранного видеонаблюдения</v>
      </c>
      <c r="G9088" s="22" t="s">
        <v>100</v>
      </c>
      <c r="H9088" s="22" t="s">
        <v>100</v>
      </c>
      <c r="I9088" s="26">
        <v>43579.7179861111</v>
      </c>
      <c r="J9088" s="23" t="str">
        <f>HYPERLINK("https://www.spark-marketing.ru/Card/Person/986288", "ООО ""МАГСИС""")</f>
        <v>ООО "МАГСИС"</v>
      </c>
      <c r="K9088" s="24" t="s">
        <v>11427</v>
      </c>
      <c r="L9088" s="28" t="s">
        <v>52</v>
      </c>
      <c r="M9088" s="25">
        <v>23500</v>
      </c>
      <c r="N9088" s="27">
        <v>8.4388185654008432E-3</v>
      </c>
    </row>
    <row r="9089" spans="1:14" x14ac:dyDescent="0.15">
      <c r="A9089" s="23" t="str">
        <f>HYPERLINK("https://www.spark-marketing.ru/Card/Person/94256", "ГБДОУ №17 ПУШКИНСКОГО РАЙОНА САНКТ-ПЕТЕРБУРГА")</f>
        <v>ГБДОУ №17 ПУШКИНСКОГО РАЙОНА САНКТ-ПЕТЕРБУРГА</v>
      </c>
      <c r="B9089" s="24" t="s">
        <v>11428</v>
      </c>
      <c r="C9089" s="25">
        <v>2199616</v>
      </c>
      <c r="D9089" s="22" t="s">
        <v>11429</v>
      </c>
      <c r="E9089" s="22" t="s">
        <v>59</v>
      </c>
      <c r="F9089" s="23" t="str">
        <f>HYPERLINK("https://www.spark-marketing.ru/Card/Lot/70072336", "Монтаж системы видеонаблюдения в здании ГБДОУ № 17 Пушкинского района Санкт-Петербурга по адресу: Санкт-Петербург,г.Пушкин, ул.Ленинградская,д.43,литер А")</f>
        <v>Монтаж системы видеонаблюдения в здании ГБДОУ № 17 Пушкинского района Санкт-Петербурга по адресу: Санкт-Петербург,г.Пушкин, ул.Ленинградская,д.43,литер А</v>
      </c>
      <c r="G9089" s="22" t="s">
        <v>89</v>
      </c>
      <c r="H9089" s="22" t="s">
        <v>89</v>
      </c>
      <c r="I9089" s="26">
        <v>43579.712534722203</v>
      </c>
      <c r="J9089" s="28" t="s">
        <v>52</v>
      </c>
      <c r="K9089" s="28" t="s">
        <v>52</v>
      </c>
      <c r="L9089" s="28" t="s">
        <v>52</v>
      </c>
      <c r="M9089" s="28" t="s">
        <v>52</v>
      </c>
      <c r="N9089" s="28" t="s">
        <v>52</v>
      </c>
    </row>
    <row r="9090" spans="1:14" ht="12.75" hidden="1" outlineLevel="1" x14ac:dyDescent="0.2">
      <c r="A9090" s="23" t="str">
        <f>HYPERLINK("https://www.spark-marketing.ru/Card/Person/94256", "ГБДОУ №17 ПУШКИНСКОГО РАЙОНА САНКТ-ПЕТЕРБУРГА")</f>
        <v>ГБДОУ №17 ПУШКИНСКОГО РАЙОНА САНКТ-ПЕТЕРБУРГА</v>
      </c>
      <c r="B9090" s="24" t="s">
        <v>11428</v>
      </c>
      <c r="C9090" s="25">
        <v>2199616</v>
      </c>
      <c r="D9090" s="22" t="s">
        <v>11429</v>
      </c>
      <c r="E9090" s="22" t="s">
        <v>59</v>
      </c>
      <c r="F9090" s="23" t="str">
        <f>HYPERLINK("https://www.spark-marketing.ru/Card/Lot/70072336", "Монтаж системы видеонаблюдения в здании ГБДОУ № 17 Пушкинского района Санкт-Петербурга по адресу: Санкт-Петербург,г.Пушкин, ул.Ленинградская,д.43,литер А")</f>
        <v>Монтаж системы видеонаблюдения в здании ГБДОУ № 17 Пушкинского района Санкт-Петербурга по адресу: Санкт-Петербург,г.Пушкин, ул.Ленинградская,д.43,литер А</v>
      </c>
      <c r="G9090" s="22" t="s">
        <v>89</v>
      </c>
      <c r="H9090" s="22" t="s">
        <v>89</v>
      </c>
      <c r="I9090" s="26">
        <v>43579.712534722203</v>
      </c>
      <c r="J9090" s="23" t="str">
        <f>HYPERLINK("https://www.spark-marketing.ru/Card/Person/132600", "ООО ""АСПЕКТ""")</f>
        <v>ООО "АСПЕКТ"</v>
      </c>
      <c r="K9090" s="24" t="s">
        <v>10038</v>
      </c>
      <c r="L9090" s="22" t="s">
        <v>10</v>
      </c>
      <c r="M9090" s="25">
        <v>1495738.88</v>
      </c>
      <c r="N9090" s="27">
        <v>0.32</v>
      </c>
    </row>
    <row r="9091" spans="1:14" hidden="1" outlineLevel="1" x14ac:dyDescent="0.2">
      <c r="A9091" s="23" t="str">
        <f>HYPERLINK("https://www.spark-marketing.ru/Card/Person/94256", "ГБДОУ №17 ПУШКИНСКОГО РАЙОНА САНКТ-ПЕТЕРБУРГА")</f>
        <v>ГБДОУ №17 ПУШКИНСКОГО РАЙОНА САНКТ-ПЕТЕРБУРГА</v>
      </c>
      <c r="B9091" s="24" t="s">
        <v>11428</v>
      </c>
      <c r="C9091" s="25">
        <v>2199616</v>
      </c>
      <c r="D9091" s="22" t="s">
        <v>11429</v>
      </c>
      <c r="E9091" s="22" t="s">
        <v>59</v>
      </c>
      <c r="F9091" s="23" t="str">
        <f>HYPERLINK("https://www.spark-marketing.ru/Card/Lot/70072336", "Монтаж системы видеонаблюдения в здании ГБДОУ № 17 Пушкинского района Санкт-Петербурга по адресу: Санкт-Петербург,г.Пушкин, ул.Ленинградская,д.43,литер А")</f>
        <v>Монтаж системы видеонаблюдения в здании ГБДОУ № 17 Пушкинского района Санкт-Петербурга по адресу: Санкт-Петербург,г.Пушкин, ул.Ленинградская,д.43,литер А</v>
      </c>
      <c r="G9091" s="22" t="s">
        <v>89</v>
      </c>
      <c r="H9091" s="22" t="s">
        <v>89</v>
      </c>
      <c r="I9091" s="26">
        <v>43579.712534722203</v>
      </c>
      <c r="J9091" s="23" t="str">
        <f>HYPERLINK("https://www.spark-marketing.ru/Card/Person/877770", "ООО ""СИЯНИЕ""")</f>
        <v>ООО "СИЯНИЕ"</v>
      </c>
      <c r="K9091" s="24" t="s">
        <v>5976</v>
      </c>
      <c r="L9091" s="28" t="s">
        <v>52</v>
      </c>
      <c r="M9091" s="25">
        <v>1506736.96</v>
      </c>
      <c r="N9091" s="27">
        <v>0.315</v>
      </c>
    </row>
    <row r="9092" spans="1:14" hidden="1" outlineLevel="1" x14ac:dyDescent="0.2">
      <c r="A9092" s="23" t="str">
        <f>HYPERLINK("https://www.spark-marketing.ru/Card/Person/94256", "ГБДОУ №17 ПУШКИНСКОГО РАЙОНА САНКТ-ПЕТЕРБУРГА")</f>
        <v>ГБДОУ №17 ПУШКИНСКОГО РАЙОНА САНКТ-ПЕТЕРБУРГА</v>
      </c>
      <c r="B9092" s="24" t="s">
        <v>11428</v>
      </c>
      <c r="C9092" s="25">
        <v>2199616</v>
      </c>
      <c r="D9092" s="22" t="s">
        <v>11429</v>
      </c>
      <c r="E9092" s="22" t="s">
        <v>59</v>
      </c>
      <c r="F9092" s="23" t="str">
        <f>HYPERLINK("https://www.spark-marketing.ru/Card/Lot/70072336", "Монтаж системы видеонаблюдения в здании ГБДОУ № 17 Пушкинского района Санкт-Петербурга по адресу: Санкт-Петербург,г.Пушкин, ул.Ленинградская,д.43,литер А")</f>
        <v>Монтаж системы видеонаблюдения в здании ГБДОУ № 17 Пушкинского района Санкт-Петербурга по адресу: Санкт-Петербург,г.Пушкин, ул.Ленинградская,д.43,литер А</v>
      </c>
      <c r="G9092" s="22" t="s">
        <v>89</v>
      </c>
      <c r="H9092" s="22" t="s">
        <v>89</v>
      </c>
      <c r="I9092" s="26">
        <v>43579.712534722203</v>
      </c>
      <c r="J9092" s="23" t="str">
        <f>HYPERLINK("https://www.spark-marketing.ru/Card/Person/6398454", "Сидоров Артем Юрьевич")</f>
        <v>Сидоров Артем Юрьевич</v>
      </c>
      <c r="K9092" s="24" t="s">
        <v>11391</v>
      </c>
      <c r="L9092" s="28" t="s">
        <v>52</v>
      </c>
      <c r="M9092" s="25">
        <v>2199000</v>
      </c>
      <c r="N9092" s="27">
        <v>2.8004888125927435E-4</v>
      </c>
    </row>
    <row r="9093" spans="1:14" hidden="1" outlineLevel="1" x14ac:dyDescent="0.2">
      <c r="A9093" s="23" t="str">
        <f>HYPERLINK("https://www.spark-marketing.ru/Card/Person/94256", "ГБДОУ №17 ПУШКИНСКОГО РАЙОНА САНКТ-ПЕТЕРБУРГА")</f>
        <v>ГБДОУ №17 ПУШКИНСКОГО РАЙОНА САНКТ-ПЕТЕРБУРГА</v>
      </c>
      <c r="B9093" s="24" t="s">
        <v>11428</v>
      </c>
      <c r="C9093" s="25">
        <v>2199616</v>
      </c>
      <c r="D9093" s="22" t="s">
        <v>11429</v>
      </c>
      <c r="E9093" s="22" t="s">
        <v>59</v>
      </c>
      <c r="F9093" s="23" t="str">
        <f>HYPERLINK("https://www.spark-marketing.ru/Card/Lot/70072336", "Монтаж системы видеонаблюдения в здании ГБДОУ № 17 Пушкинского района Санкт-Петербурга по адресу: Санкт-Петербург,г.Пушкин, ул.Ленинградская,д.43,литер А")</f>
        <v>Монтаж системы видеонаблюдения в здании ГБДОУ № 17 Пушкинского района Санкт-Петербурга по адресу: Санкт-Петербург,г.Пушкин, ул.Ленинградская,д.43,литер А</v>
      </c>
      <c r="G9093" s="22" t="s">
        <v>89</v>
      </c>
      <c r="H9093" s="22" t="s">
        <v>89</v>
      </c>
      <c r="I9093" s="26">
        <v>43579.712534722203</v>
      </c>
      <c r="J9093" s="23" t="str">
        <f>HYPERLINK("https://www.spark-marketing.ru/Card/Person/4345955", "ООО ""СБ-СЕРВИС""")</f>
        <v>ООО "СБ-СЕРВИС"</v>
      </c>
      <c r="K9093" s="24" t="s">
        <v>10035</v>
      </c>
      <c r="L9093" s="28" t="s">
        <v>52</v>
      </c>
      <c r="M9093" s="25">
        <v>1847677.44</v>
      </c>
      <c r="N9093" s="27">
        <v>0.16</v>
      </c>
    </row>
    <row r="9094" spans="1:14" x14ac:dyDescent="0.15">
      <c r="A9094" s="23" t="str">
        <f>HYPERLINK("https://www.spark-marketing.ru/Card/Person/1778467", "МАДОУ ДЕТСКИЙ САД № 17")</f>
        <v>МАДОУ ДЕТСКИЙ САД № 17</v>
      </c>
      <c r="B9094" s="24" t="s">
        <v>11430</v>
      </c>
      <c r="C9094" s="25">
        <v>104665</v>
      </c>
      <c r="D9094" s="22" t="s">
        <v>11431</v>
      </c>
      <c r="E9094" s="22" t="s">
        <v>103</v>
      </c>
      <c r="F9094" s="23" t="str">
        <f>HYPERLINK("https://www.spark-marketing.ru/Card/Lot/70058290", "Оказание услуг технического обслуживания домофонов, системы видеонаблюдения и видеорегистрации")</f>
        <v>Оказание услуг технического обслуживания домофонов, системы видеонаблюдения и видеорегистрации</v>
      </c>
      <c r="G9094" s="22" t="s">
        <v>50</v>
      </c>
      <c r="H9094" s="22" t="s">
        <v>3866</v>
      </c>
      <c r="I9094" s="26">
        <v>43579.711851851898</v>
      </c>
      <c r="J9094" s="28" t="s">
        <v>52</v>
      </c>
      <c r="K9094" s="28" t="s">
        <v>52</v>
      </c>
      <c r="L9094" s="28" t="s">
        <v>52</v>
      </c>
      <c r="M9094" s="28" t="s">
        <v>52</v>
      </c>
      <c r="N9094" s="28" t="s">
        <v>52</v>
      </c>
    </row>
    <row r="9095" spans="1:14" x14ac:dyDescent="0.15">
      <c r="A9095" s="23" t="str">
        <f>HYPERLINK("https://www.spark-marketing.ru/Card/Person/6563", "ФГБУ ""ЦЕНТР ГЕОДЕЗИИ, КАРТОГРАФИИ И ИПД""")</f>
        <v>ФГБУ "ЦЕНТР ГЕОДЕЗИИ, КАРТОГРАФИИ И ИПД"</v>
      </c>
      <c r="B9095" s="24" t="s">
        <v>6871</v>
      </c>
      <c r="C9095" s="25">
        <v>2389855.1</v>
      </c>
      <c r="D9095" s="22" t="s">
        <v>11432</v>
      </c>
      <c r="E9095" s="22" t="s">
        <v>68</v>
      </c>
      <c r="F9095" s="23" t="str">
        <f>HYPERLINK("https://www.spark-marketing.ru/Card/Lot/70075108", "на оказание услуг по  охране имущества и осуществлению внутриобъектового и пропускного режимов в помещениях ФГБУ «Центр геодезии, картографии и ИПД» по адресам: г. Москва,  ул. Онежская, д.26, стр.1-стр.5 и Волгоградский пр-т, д.45, стр.1,")</f>
        <v>на оказание услуг по  охране имущества и осуществлению внутриобъектового и пропускного режимов в помещениях ФГБУ «Центр геодезии, картографии и ИПД» по адресам: г. Москва,  ул. Онежская, д.26, стр.1-стр.5 и Волгоградский пр-т, д.45, стр.1,</v>
      </c>
      <c r="G9095" s="22" t="s">
        <v>55</v>
      </c>
      <c r="H9095" s="22" t="s">
        <v>55</v>
      </c>
      <c r="I9095" s="26">
        <v>43579.686724537001</v>
      </c>
      <c r="J9095" s="28" t="s">
        <v>52</v>
      </c>
      <c r="K9095" s="28" t="s">
        <v>52</v>
      </c>
      <c r="L9095" s="28" t="s">
        <v>52</v>
      </c>
      <c r="M9095" s="28" t="s">
        <v>52</v>
      </c>
      <c r="N9095" s="28" t="s">
        <v>52</v>
      </c>
    </row>
    <row r="9096" spans="1:14" x14ac:dyDescent="0.15">
      <c r="A9096" s="23" t="str">
        <f>HYPERLINK("https://www.spark-marketing.ru/Card/Person/554101", "ООО ""ЖКС № 1 ФРУНЗЕНСКОГО РАЙОНА""")</f>
        <v>ООО "ЖКС № 1 ФРУНЗЕНСКОГО РАЙОНА"</v>
      </c>
      <c r="B9096" s="24" t="s">
        <v>7328</v>
      </c>
      <c r="C9096" s="25">
        <v>66600</v>
      </c>
      <c r="D9096" s="22" t="s">
        <v>11433</v>
      </c>
      <c r="E9096" s="22" t="s">
        <v>691</v>
      </c>
      <c r="F9096" s="23" t="str">
        <f>HYPERLINK("https://www.spark-marketing.ru/Card/Lot/70076639", "Договор на проведение работ по установке оборудования видеонаблюдения в жилом доме по адресу: Расстанная ул., д.18, литера А")</f>
        <v>Договор на проведение работ по установке оборудования видеонаблюдения в жилом доме по адресу: Расстанная ул., д.18, литера А</v>
      </c>
      <c r="G9096" s="22" t="s">
        <v>89</v>
      </c>
      <c r="H9096" s="22" t="s">
        <v>89</v>
      </c>
      <c r="I9096" s="26">
        <v>43579.7011921296</v>
      </c>
      <c r="J9096" s="28" t="s">
        <v>52</v>
      </c>
      <c r="K9096" s="28" t="s">
        <v>52</v>
      </c>
      <c r="L9096" s="28" t="s">
        <v>52</v>
      </c>
      <c r="M9096" s="28" t="s">
        <v>52</v>
      </c>
      <c r="N9096" s="28" t="s">
        <v>52</v>
      </c>
    </row>
    <row r="9097" spans="1:14" hidden="1" outlineLevel="1" x14ac:dyDescent="0.2">
      <c r="A9097" s="23" t="str">
        <f>HYPERLINK("https://www.spark-marketing.ru/Card/Person/554101", "ООО ""ЖКС № 1 ФРУНЗЕНСКОГО РАЙОНА""")</f>
        <v>ООО "ЖКС № 1 ФРУНЗЕНСКОГО РАЙОНА"</v>
      </c>
      <c r="B9097" s="24" t="s">
        <v>7328</v>
      </c>
      <c r="C9097" s="28" t="s">
        <v>52</v>
      </c>
      <c r="D9097" s="22" t="s">
        <v>11433</v>
      </c>
      <c r="E9097" s="22" t="s">
        <v>691</v>
      </c>
      <c r="F9097" s="23" t="str">
        <f>HYPERLINK("https://www.spark-marketing.ru/Card/Lot/70076639", "Договор на проведение работ по установке оборудования видеонаблюдения в жилом доме по адресу: Расстанная ул., д.18, литера А")</f>
        <v>Договор на проведение работ по установке оборудования видеонаблюдения в жилом доме по адресу: Расстанная ул., д.18, литера А</v>
      </c>
      <c r="G9097" s="22" t="s">
        <v>89</v>
      </c>
      <c r="H9097" s="22" t="s">
        <v>89</v>
      </c>
      <c r="I9097" s="26">
        <v>43579.7011921296</v>
      </c>
      <c r="J9097" s="23" t="str">
        <f>HYPERLINK("https://www.spark-marketing.ru/Card/Person/1565539", "ООО ""ЭЛЬТОН-СИСТЕМС""")</f>
        <v>ООО "ЭЛЬТОН-СИСТЕМС"</v>
      </c>
      <c r="K9097" s="24" t="s">
        <v>11434</v>
      </c>
      <c r="L9097" s="22" t="s">
        <v>10</v>
      </c>
      <c r="M9097" s="25">
        <v>51647</v>
      </c>
      <c r="N9097" s="27">
        <v>0.22451951951951951</v>
      </c>
    </row>
    <row r="9098" spans="1:14" hidden="1" outlineLevel="1" x14ac:dyDescent="0.2">
      <c r="A9098" s="23" t="str">
        <f>HYPERLINK("https://www.spark-marketing.ru/Card/Person/554101", "ООО ""ЖКС № 1 ФРУНЗЕНСКОГО РАЙОНА""")</f>
        <v>ООО "ЖКС № 1 ФРУНЗЕНСКОГО РАЙОНА"</v>
      </c>
      <c r="B9098" s="24" t="s">
        <v>7328</v>
      </c>
      <c r="C9098" s="28" t="s">
        <v>52</v>
      </c>
      <c r="D9098" s="22" t="s">
        <v>11433</v>
      </c>
      <c r="E9098" s="22" t="s">
        <v>691</v>
      </c>
      <c r="F9098" s="23" t="str">
        <f>HYPERLINK("https://www.spark-marketing.ru/Card/Lot/70076639", "Договор на проведение работ по установке оборудования видеонаблюдения в жилом доме по адресу: Расстанная ул., д.18, литера А")</f>
        <v>Договор на проведение работ по установке оборудования видеонаблюдения в жилом доме по адресу: Расстанная ул., д.18, литера А</v>
      </c>
      <c r="G9098" s="22" t="s">
        <v>89</v>
      </c>
      <c r="H9098" s="22" t="s">
        <v>89</v>
      </c>
      <c r="I9098" s="26">
        <v>43579.7011921296</v>
      </c>
      <c r="J9098" s="23" t="str">
        <f>HYPERLINK("https://www.spark-marketing.ru/Card/Person/6574330", "ООО ""АЛЬФА""")</f>
        <v>ООО "АЛЬФА"</v>
      </c>
      <c r="K9098" s="24" t="s">
        <v>11435</v>
      </c>
      <c r="L9098" s="28" t="s">
        <v>52</v>
      </c>
      <c r="M9098" s="25">
        <v>52000</v>
      </c>
      <c r="N9098" s="27">
        <v>0.21921921921921922</v>
      </c>
    </row>
    <row r="9099" spans="1:14" hidden="1" outlineLevel="1" x14ac:dyDescent="0.2">
      <c r="A9099" s="23" t="str">
        <f>HYPERLINK("https://www.spark-marketing.ru/Card/Person/554101", "ООО ""ЖКС № 1 ФРУНЗЕНСКОГО РАЙОНА""")</f>
        <v>ООО "ЖКС № 1 ФРУНЗЕНСКОГО РАЙОНА"</v>
      </c>
      <c r="B9099" s="24" t="s">
        <v>7328</v>
      </c>
      <c r="C9099" s="28" t="s">
        <v>52</v>
      </c>
      <c r="D9099" s="22" t="s">
        <v>11433</v>
      </c>
      <c r="E9099" s="22" t="s">
        <v>691</v>
      </c>
      <c r="F9099" s="23" t="str">
        <f>HYPERLINK("https://www.spark-marketing.ru/Card/Lot/70076639", "Договор на проведение работ по установке оборудования видеонаблюдения в жилом доме по адресу: Расстанная ул., д.18, литера А")</f>
        <v>Договор на проведение работ по установке оборудования видеонаблюдения в жилом доме по адресу: Расстанная ул., д.18, литера А</v>
      </c>
      <c r="G9099" s="22" t="s">
        <v>89</v>
      </c>
      <c r="H9099" s="22" t="s">
        <v>89</v>
      </c>
      <c r="I9099" s="26">
        <v>43579.7011921296</v>
      </c>
      <c r="J9099" s="23" t="str">
        <f>HYPERLINK("https://www.spark-marketing.ru/Card/Person/5893952", "ООО ""ВОКРУГ БЕЗОПАСНОСТИ""")</f>
        <v>ООО "ВОКРУГ БЕЗОПАСНОСТИ"</v>
      </c>
      <c r="K9099" s="24" t="s">
        <v>1368</v>
      </c>
      <c r="L9099" s="28" t="s">
        <v>52</v>
      </c>
      <c r="M9099" s="25">
        <v>59500</v>
      </c>
      <c r="N9099" s="27">
        <v>0.1066066066066066</v>
      </c>
    </row>
    <row r="9100" spans="1:14" x14ac:dyDescent="0.15">
      <c r="A9100" s="23" t="str">
        <f>HYPERLINK("https://www.spark-marketing.ru/Card/Person/225318", "ОАО "" АЭРОПОРТ АНАПА """)</f>
        <v>ОАО " АЭРОПОРТ АНАПА "</v>
      </c>
      <c r="B9100" s="24" t="s">
        <v>11436</v>
      </c>
      <c r="C9100" s="25">
        <v>500000</v>
      </c>
      <c r="D9100" s="22" t="s">
        <v>11437</v>
      </c>
      <c r="E9100" s="22" t="s">
        <v>2577</v>
      </c>
      <c r="F9100" s="23" t="str">
        <f>HYPERLINK("https://www.spark-marketing.ru/Card/Lot/70083935", "Выполнение работ по разработке проектов изменений (дополнений) в план обеспечения транспортной безопасности ОТИ и организационно-распорядительных документов, направленных на реализацию мер по обеспечению транспортной безопасности")</f>
        <v>Выполнение работ по разработке проектов изменений (дополнений) в план обеспечения транспортной безопасности ОТИ и организационно-распорядительных документов, направленных на реализацию мер по обеспечению транспортной безопасности</v>
      </c>
      <c r="G9100" s="22" t="s">
        <v>132</v>
      </c>
      <c r="H9100" s="22" t="s">
        <v>6733</v>
      </c>
      <c r="I9100" s="26">
        <v>43579.701724537001</v>
      </c>
      <c r="J9100" s="28" t="s">
        <v>52</v>
      </c>
      <c r="K9100" s="28" t="s">
        <v>52</v>
      </c>
      <c r="L9100" s="28" t="s">
        <v>52</v>
      </c>
      <c r="M9100" s="28" t="s">
        <v>52</v>
      </c>
      <c r="N9100" s="28" t="s">
        <v>52</v>
      </c>
    </row>
    <row r="9101" spans="1:14" hidden="1" outlineLevel="1" x14ac:dyDescent="0.2">
      <c r="A9101" s="23" t="str">
        <f>HYPERLINK("https://www.spark-marketing.ru/Card/Person/225318", "ОАО "" АЭРОПОРТ АНАПА """)</f>
        <v>ОАО " АЭРОПОРТ АНАПА "</v>
      </c>
      <c r="B9101" s="24" t="s">
        <v>11436</v>
      </c>
      <c r="C9101" s="28" t="s">
        <v>52</v>
      </c>
      <c r="D9101" s="22" t="s">
        <v>11437</v>
      </c>
      <c r="E9101" s="22" t="s">
        <v>2577</v>
      </c>
      <c r="F9101" s="23" t="str">
        <f>HYPERLINK("https://www.spark-marketing.ru/Card/Lot/70083935", "Выполнение работ по разработке проектов изменений (дополнений) в план обеспечения транспортной безопасности ОТИ и организационно-распорядительных документов, направленных на реализацию мер по обеспечению транспортной безопасности")</f>
        <v>Выполнение работ по разработке проектов изменений (дополнений) в план обеспечения транспортной безопасности ОТИ и организационно-распорядительных документов, направленных на реализацию мер по обеспечению транспортной безопасности</v>
      </c>
      <c r="G9101" s="22" t="s">
        <v>132</v>
      </c>
      <c r="H9101" s="22" t="s">
        <v>6733</v>
      </c>
      <c r="I9101" s="26">
        <v>43579.701724537001</v>
      </c>
      <c r="J9101" s="23" t="str">
        <f>HYPERLINK("https://www.spark-marketing.ru/Card/Person/-1", "неизвестно")</f>
        <v>неизвестно</v>
      </c>
      <c r="K9101" s="28" t="s">
        <v>52</v>
      </c>
      <c r="L9101" s="28" t="s">
        <v>52</v>
      </c>
      <c r="M9101" s="25">
        <v>350000</v>
      </c>
      <c r="N9101" s="27">
        <v>0.3</v>
      </c>
    </row>
    <row r="9102" spans="1:14" hidden="1" outlineLevel="1" x14ac:dyDescent="0.2">
      <c r="A9102" s="23" t="str">
        <f>HYPERLINK("https://www.spark-marketing.ru/Card/Person/225318", "ОАО "" АЭРОПОРТ АНАПА """)</f>
        <v>ОАО " АЭРОПОРТ АНАПА "</v>
      </c>
      <c r="B9102" s="24" t="s">
        <v>11436</v>
      </c>
      <c r="C9102" s="28" t="s">
        <v>52</v>
      </c>
      <c r="D9102" s="22" t="s">
        <v>11437</v>
      </c>
      <c r="E9102" s="22" t="s">
        <v>2577</v>
      </c>
      <c r="F9102" s="23" t="str">
        <f>HYPERLINK("https://www.spark-marketing.ru/Card/Lot/70083935", "Выполнение работ по разработке проектов изменений (дополнений) в план обеспечения транспортной безопасности ОТИ и организационно-распорядительных документов, направленных на реализацию мер по обеспечению транспортной безопасности")</f>
        <v>Выполнение работ по разработке проектов изменений (дополнений) в план обеспечения транспортной безопасности ОТИ и организационно-распорядительных документов, направленных на реализацию мер по обеспечению транспортной безопасности</v>
      </c>
      <c r="G9102" s="22" t="s">
        <v>132</v>
      </c>
      <c r="H9102" s="22" t="s">
        <v>6733</v>
      </c>
      <c r="I9102" s="26">
        <v>43579.701724537001</v>
      </c>
      <c r="J9102" s="23" t="str">
        <f>HYPERLINK("https://www.spark-marketing.ru/Card/Person/-1", "неизвестно")</f>
        <v>неизвестно</v>
      </c>
      <c r="K9102" s="28" t="s">
        <v>52</v>
      </c>
      <c r="L9102" s="22" t="s">
        <v>10</v>
      </c>
      <c r="M9102" s="25">
        <v>380000</v>
      </c>
      <c r="N9102" s="27">
        <v>0.24</v>
      </c>
    </row>
    <row r="9103" spans="1:14" x14ac:dyDescent="0.15">
      <c r="A9103" s="23" t="str">
        <f>HYPERLINK("https://www.spark-marketing.ru/Card/Person/4858917", "МЕЖРЕГИОНАЛЬНЫЙ ФЛ ФКУ ""ЦОКР"" В Г. СТАВРОПОЛЕ")</f>
        <v>МЕЖРЕГИОНАЛЬНЫЙ ФЛ ФКУ "ЦОКР" В Г. СТАВРОПОЛЕ</v>
      </c>
      <c r="B9103" s="24" t="s">
        <v>962</v>
      </c>
      <c r="C9103" s="25">
        <v>79999</v>
      </c>
      <c r="D9103" s="22" t="s">
        <v>11438</v>
      </c>
      <c r="E9103" s="22" t="s">
        <v>103</v>
      </c>
      <c r="F9103" s="23" t="str">
        <f>HYPERLINK("https://www.spark-marketing.ru/Card/Lot/70090581", "Оказание услуг  по техническому обслуживанию систем видеонаблюдения для нужд Управления Федерального казначейства по Кабардино-Балкарской Республике и его территориальных отделов")</f>
        <v>Оказание услуг  по техническому обслуживанию систем видеонаблюдения для нужд Управления Федерального казначейства по Кабардино-Балкарской Республике и его территориальных отделов</v>
      </c>
      <c r="G9103" s="22" t="s">
        <v>110</v>
      </c>
      <c r="H9103" s="22" t="s">
        <v>110</v>
      </c>
      <c r="I9103" s="26">
        <v>43579.701944444401</v>
      </c>
      <c r="J9103" s="28" t="s">
        <v>52</v>
      </c>
      <c r="K9103" s="28" t="s">
        <v>52</v>
      </c>
      <c r="L9103" s="28" t="s">
        <v>52</v>
      </c>
      <c r="M9103" s="28" t="s">
        <v>52</v>
      </c>
      <c r="N9103" s="28" t="s">
        <v>52</v>
      </c>
    </row>
    <row r="9104" spans="1:14" ht="12.75" hidden="1" outlineLevel="1" x14ac:dyDescent="0.2">
      <c r="A9104" s="23" t="str">
        <f>HYPERLINK("https://www.spark-marketing.ru/Card/Person/4858917", "МЕЖРЕГИОНАЛЬНЫЙ ФЛ ФКУ ""ЦОКР"" В Г. СТАВРОПОЛЕ")</f>
        <v>МЕЖРЕГИОНАЛЬНЫЙ ФЛ ФКУ "ЦОКР" В Г. СТАВРОПОЛЕ</v>
      </c>
      <c r="B9104" s="24" t="s">
        <v>962</v>
      </c>
      <c r="C9104" s="25">
        <v>79999</v>
      </c>
      <c r="D9104" s="22" t="s">
        <v>11438</v>
      </c>
      <c r="E9104" s="22" t="s">
        <v>103</v>
      </c>
      <c r="F9104" s="23" t="str">
        <f>HYPERLINK("https://www.spark-marketing.ru/Card/Lot/70090581", "Оказание услуг  по техническому обслуживанию систем видеонаблюдения для нужд Управления Федерального казначейства по Кабардино-Балкарской Республике и его территориальных отделов")</f>
        <v>Оказание услуг  по техническому обслуживанию систем видеонаблюдения для нужд Управления Федерального казначейства по Кабардино-Балкарской Республике и его территориальных отделов</v>
      </c>
      <c r="G9104" s="22" t="s">
        <v>110</v>
      </c>
      <c r="H9104" s="22" t="s">
        <v>110</v>
      </c>
      <c r="I9104" s="26">
        <v>43579.701944444401</v>
      </c>
      <c r="J9104" s="23" t="str">
        <f>HYPERLINK("https://www.spark-marketing.ru/Card/Person/4903934", "ФЛ ФГУП ОХРАНА ФЕДЕРАЛЬНОЙ СЛУЖБЫ ВОЙСК НАЦИОНАЛЬНОЙ ГВАРДИИ РОССИИЙСКОЙ ФЕДЕРАЦИИ ПО КАБАРДИНО БАЛКАРСКОЙ РП")</f>
        <v>ФЛ ФГУП ОХРАНА ФЕДЕРАЛЬНОЙ СЛУЖБЫ ВОЙСК НАЦИОНАЛЬНОЙ ГВАРДИИ РОССИИЙСКОЙ ФЕДЕРАЦИИ ПО КАБАРДИНО БАЛКАРСКОЙ РП</v>
      </c>
      <c r="K9104" s="24" t="s">
        <v>779</v>
      </c>
      <c r="L9104" s="22" t="s">
        <v>10</v>
      </c>
      <c r="M9104" s="25">
        <v>72313.789999999994</v>
      </c>
      <c r="N9104" s="27">
        <v>9.606632582907286E-2</v>
      </c>
    </row>
    <row r="9105" spans="1:14" hidden="1" outlineLevel="1" x14ac:dyDescent="0.2">
      <c r="A9105" s="23" t="str">
        <f>HYPERLINK("https://www.spark-marketing.ru/Card/Person/4858917", "МЕЖРЕГИОНАЛЬНЫЙ ФЛ ФКУ ""ЦОКР"" В Г. СТАВРОПОЛЕ")</f>
        <v>МЕЖРЕГИОНАЛЬНЫЙ ФЛ ФКУ "ЦОКР" В Г. СТАВРОПОЛЕ</v>
      </c>
      <c r="B9105" s="24" t="s">
        <v>962</v>
      </c>
      <c r="C9105" s="25">
        <v>79999</v>
      </c>
      <c r="D9105" s="22" t="s">
        <v>11438</v>
      </c>
      <c r="E9105" s="22" t="s">
        <v>103</v>
      </c>
      <c r="F9105" s="23" t="str">
        <f>HYPERLINK("https://www.spark-marketing.ru/Card/Lot/70090581", "Оказание услуг  по техническому обслуживанию систем видеонаблюдения для нужд Управления Федерального казначейства по Кабардино-Балкарской Республике и его территориальных отделов")</f>
        <v>Оказание услуг  по техническому обслуживанию систем видеонаблюдения для нужд Управления Федерального казначейства по Кабардино-Балкарской Республике и его территориальных отделов</v>
      </c>
      <c r="G9105" s="22" t="s">
        <v>110</v>
      </c>
      <c r="H9105" s="22" t="s">
        <v>110</v>
      </c>
      <c r="I9105" s="26">
        <v>43579.701944444401</v>
      </c>
      <c r="J9105" s="23" t="str">
        <f>HYPERLINK("https://www.spark-marketing.ru/Card/Person/780600", "ООО ""КОНТИНЕНТ""")</f>
        <v>ООО "КОНТИНЕНТ"</v>
      </c>
      <c r="K9105" s="24" t="s">
        <v>1600</v>
      </c>
      <c r="L9105" s="28" t="s">
        <v>52</v>
      </c>
      <c r="M9105" s="25">
        <v>72713.789999999994</v>
      </c>
      <c r="N9105" s="27">
        <v>9.1066263328291597E-2</v>
      </c>
    </row>
    <row r="9106" spans="1:14" x14ac:dyDescent="0.15">
      <c r="A9106" s="23" t="str">
        <f>HYPERLINK("https://www.spark-marketing.ru/Card/Person/4343365", "ФКУ ""УРАЛУПРАВТОДОР""")</f>
        <v>ФКУ "УРАЛУПРАВТОДОР"</v>
      </c>
      <c r="B9106" s="24" t="s">
        <v>2437</v>
      </c>
      <c r="C9106" s="25">
        <v>550</v>
      </c>
      <c r="D9106" s="22" t="s">
        <v>11439</v>
      </c>
      <c r="E9106" s="22" t="s">
        <v>5924</v>
      </c>
      <c r="F9106" s="23" t="str">
        <f>HYPERLINK("https://www.spark-marketing.ru/Card/Lot/70090640", "Осуществление технологического присоединения к электрическим сетям ВРУ-0,22 кВ комплекса фото-видеофиксации на объекте: «Выполнение работ по установке элементов обустройства автомобильных дорог общего пользования федерального значения» (на участке км...")</f>
        <v>Осуществление технологического присоединения к электрическим сетям ВРУ-0,22 кВ комплекса фото-видеофиксации на объекте: «Выполнение работ по установке элементов обустройства автомобильных дорог общего пользования федерального значения» (на участке км...</v>
      </c>
      <c r="G9106" s="22" t="s">
        <v>119</v>
      </c>
      <c r="H9106" s="22" t="s">
        <v>119</v>
      </c>
      <c r="I9106" s="26">
        <v>43579.670312499999</v>
      </c>
      <c r="J9106" s="28" t="s">
        <v>52</v>
      </c>
      <c r="K9106" s="28" t="s">
        <v>52</v>
      </c>
      <c r="L9106" s="28" t="s">
        <v>52</v>
      </c>
      <c r="M9106" s="28" t="s">
        <v>52</v>
      </c>
      <c r="N9106" s="28" t="s">
        <v>52</v>
      </c>
    </row>
    <row r="9107" spans="1:14" x14ac:dyDescent="0.15">
      <c r="A9107" s="23" t="str">
        <f>HYPERLINK("https://www.spark-marketing.ru/Card/Person/1496505", "ГАПОУ СО ""ПОЛИПРОФИЛЬНЫЙ ТЕХНИКУМ ИМ. О.В. ТЕРЁШКИНА"", ГАПОУ СО ""ПТ ИМ. О.В. ТЕРЁШКИНА""")</f>
        <v>ГАПОУ СО "ПОЛИПРОФИЛЬНЫЙ ТЕХНИКУМ ИМ. О.В. ТЕРЁШКИНА", ГАПОУ СО "ПТ ИМ. О.В. ТЕРЁШКИНА"</v>
      </c>
      <c r="B9107" s="24" t="s">
        <v>11440</v>
      </c>
      <c r="C9107" s="25">
        <v>350000</v>
      </c>
      <c r="D9107" s="22" t="s">
        <v>11441</v>
      </c>
      <c r="E9107" s="22" t="s">
        <v>49</v>
      </c>
      <c r="F9107" s="23" t="str">
        <f>HYPERLINK("https://www.spark-marketing.ru/Card/Lot/70075835", "Российский рубль")</f>
        <v>Российский рубль</v>
      </c>
      <c r="G9107" s="22" t="s">
        <v>72</v>
      </c>
      <c r="H9107" s="22" t="s">
        <v>11442</v>
      </c>
      <c r="I9107" s="26">
        <v>43579.630613425899</v>
      </c>
      <c r="J9107" s="28" t="s">
        <v>52</v>
      </c>
      <c r="K9107" s="28" t="s">
        <v>52</v>
      </c>
      <c r="L9107" s="28" t="s">
        <v>52</v>
      </c>
      <c r="M9107" s="28" t="s">
        <v>52</v>
      </c>
      <c r="N9107" s="28" t="s">
        <v>52</v>
      </c>
    </row>
    <row r="9108" spans="1:14" hidden="1" outlineLevel="1" x14ac:dyDescent="0.15">
      <c r="A9108" s="23" t="str">
        <f>HYPERLINK("https://www.spark-marketing.ru/Card/Person/1496505", "ГАПОУ СО ""ПОЛИПРОФИЛЬНЫЙ ТЕХНИКУМ ИМ. О.В. ТЕРЁШКИНА"", ГАПОУ СО ""ПТ ИМ. О.В. ТЕРЁШКИНА""")</f>
        <v>ГАПОУ СО "ПОЛИПРОФИЛЬНЫЙ ТЕХНИКУМ ИМ. О.В. ТЕРЁШКИНА", ГАПОУ СО "ПТ ИМ. О.В. ТЕРЁШКИНА"</v>
      </c>
      <c r="B9108" s="24" t="s">
        <v>11440</v>
      </c>
      <c r="C9108" s="28" t="s">
        <v>52</v>
      </c>
      <c r="D9108" s="22" t="s">
        <v>11441</v>
      </c>
      <c r="E9108" s="22" t="s">
        <v>49</v>
      </c>
      <c r="F9108" s="23" t="str">
        <f>HYPERLINK("https://www.spark-marketing.ru/Card/Lot/70075835", "Российский рубль")</f>
        <v>Российский рубль</v>
      </c>
      <c r="G9108" s="22" t="s">
        <v>72</v>
      </c>
      <c r="H9108" s="22" t="s">
        <v>11442</v>
      </c>
      <c r="I9108" s="26">
        <v>43579.630613425899</v>
      </c>
      <c r="J9108" s="23" t="str">
        <f>HYPERLINK("https://www.spark-marketing.ru/Card/Person/572248", "ООО ""ПОЖСЕРВИС""")</f>
        <v>ООО "ПОЖСЕРВИС"</v>
      </c>
      <c r="K9108" s="24" t="s">
        <v>3830</v>
      </c>
      <c r="L9108" s="28" t="s">
        <v>52</v>
      </c>
      <c r="M9108" s="28" t="s">
        <v>52</v>
      </c>
      <c r="N9108" s="28" t="s">
        <v>52</v>
      </c>
    </row>
    <row r="9109" spans="1:14" hidden="1" outlineLevel="1" x14ac:dyDescent="0.2">
      <c r="A9109" s="23" t="str">
        <f>HYPERLINK("https://www.spark-marketing.ru/Card/Person/1496505", "ГАПОУ СО ""ПОЛИПРОФИЛЬНЫЙ ТЕХНИКУМ ИМ. О.В. ТЕРЁШКИНА"", ГАПОУ СО ""ПТ ИМ. О.В. ТЕРЁШКИНА""")</f>
        <v>ГАПОУ СО "ПОЛИПРОФИЛЬНЫЙ ТЕХНИКУМ ИМ. О.В. ТЕРЁШКИНА", ГАПОУ СО "ПТ ИМ. О.В. ТЕРЁШКИНА"</v>
      </c>
      <c r="B9109" s="24" t="s">
        <v>11440</v>
      </c>
      <c r="C9109" s="28" t="s">
        <v>52</v>
      </c>
      <c r="D9109" s="22" t="s">
        <v>11441</v>
      </c>
      <c r="E9109" s="22" t="s">
        <v>49</v>
      </c>
      <c r="F9109" s="23" t="str">
        <f>HYPERLINK("https://www.spark-marketing.ru/Card/Lot/70075835", "Российский рубль")</f>
        <v>Российский рубль</v>
      </c>
      <c r="G9109" s="22" t="s">
        <v>72</v>
      </c>
      <c r="H9109" s="22" t="s">
        <v>11442</v>
      </c>
      <c r="I9109" s="26">
        <v>43579.630613425899</v>
      </c>
      <c r="J9109" s="23" t="str">
        <f>HYPERLINK("https://www.spark-marketing.ru/Card/Person/5853123", "Ершов Андрей Алексеевич")</f>
        <v>Ершов Андрей Алексеевич</v>
      </c>
      <c r="K9109" s="24" t="s">
        <v>1063</v>
      </c>
      <c r="L9109" s="28" t="s">
        <v>52</v>
      </c>
      <c r="M9109" s="25">
        <v>339500</v>
      </c>
      <c r="N9109" s="27">
        <v>0.03</v>
      </c>
    </row>
    <row r="9110" spans="1:14" hidden="1" outlineLevel="1" x14ac:dyDescent="0.2">
      <c r="A9110" s="23" t="str">
        <f>HYPERLINK("https://www.spark-marketing.ru/Card/Person/1496505", "ГАПОУ СО ""ПОЛИПРОФИЛЬНЫЙ ТЕХНИКУМ ИМ. О.В. ТЕРЁШКИНА"", ГАПОУ СО ""ПТ ИМ. О.В. ТЕРЁШКИНА""")</f>
        <v>ГАПОУ СО "ПОЛИПРОФИЛЬНЫЙ ТЕХНИКУМ ИМ. О.В. ТЕРЁШКИНА", ГАПОУ СО "ПТ ИМ. О.В. ТЕРЁШКИНА"</v>
      </c>
      <c r="B9110" s="24" t="s">
        <v>11440</v>
      </c>
      <c r="C9110" s="28" t="s">
        <v>52</v>
      </c>
      <c r="D9110" s="22" t="s">
        <v>11441</v>
      </c>
      <c r="E9110" s="22" t="s">
        <v>49</v>
      </c>
      <c r="F9110" s="23" t="str">
        <f>HYPERLINK("https://www.spark-marketing.ru/Card/Lot/70075835", "Российский рубль")</f>
        <v>Российский рубль</v>
      </c>
      <c r="G9110" s="22" t="s">
        <v>72</v>
      </c>
      <c r="H9110" s="22" t="s">
        <v>11442</v>
      </c>
      <c r="I9110" s="26">
        <v>43579.630613425899</v>
      </c>
      <c r="J9110" s="23" t="str">
        <f>HYPERLINK("https://www.spark-marketing.ru/Card/Person/104137", "ООО ""РУБЕЖ""")</f>
        <v>ООО "РУБЕЖ"</v>
      </c>
      <c r="K9110" s="24" t="s">
        <v>4693</v>
      </c>
      <c r="L9110" s="22" t="s">
        <v>10</v>
      </c>
      <c r="M9110" s="25">
        <v>337750</v>
      </c>
      <c r="N9110" s="27">
        <v>3.5000000000000003E-2</v>
      </c>
    </row>
    <row r="9111" spans="1:14" x14ac:dyDescent="0.15">
      <c r="A9111" s="23" t="str">
        <f>HYPERLINK("https://www.spark-marketing.ru/Card/Person/6487028", "АДМИНИСТРАЦИЯ АЛЕКСЕЕВСКОГО ГОРОДСКОГО ОКРУГА")</f>
        <v>АДМИНИСТРАЦИЯ АЛЕКСЕЕВСКОГО ГОРОДСКОГО ОКРУГА</v>
      </c>
      <c r="B9111" s="24" t="s">
        <v>11443</v>
      </c>
      <c r="C9111" s="25">
        <v>8615.41</v>
      </c>
      <c r="D9111" s="22" t="s">
        <v>11444</v>
      </c>
      <c r="E9111" s="22" t="s">
        <v>68</v>
      </c>
      <c r="F9111" s="23" t="str">
        <f>HYPERLINK("https://www.spark-marketing.ru/Card/Lot/70065416", "Услуги по централизованной охране объектов, помещений")</f>
        <v>Услуги по централизованной охране объектов, помещений</v>
      </c>
      <c r="G9111" s="22" t="s">
        <v>176</v>
      </c>
      <c r="H9111" s="22" t="s">
        <v>9446</v>
      </c>
      <c r="I9111" s="26">
        <v>43579.653912037</v>
      </c>
      <c r="J9111" s="28" t="s">
        <v>52</v>
      </c>
      <c r="K9111" s="28" t="s">
        <v>52</v>
      </c>
      <c r="L9111" s="28" t="s">
        <v>52</v>
      </c>
      <c r="M9111" s="28" t="s">
        <v>52</v>
      </c>
      <c r="N9111" s="28" t="s">
        <v>52</v>
      </c>
    </row>
    <row r="9112" spans="1:14" ht="12.75" x14ac:dyDescent="0.2">
      <c r="A9112" s="23" t="str">
        <f>HYPERLINK("https://www.spark-marketing.ru/Card/Person/175299", "МУП МРКВК")</f>
        <v>МУП МРКВК</v>
      </c>
      <c r="B9112" s="24" t="s">
        <v>11445</v>
      </c>
      <c r="C9112" s="25">
        <v>169986.67</v>
      </c>
      <c r="D9112" s="22" t="s">
        <v>11446</v>
      </c>
      <c r="E9112" s="22" t="s">
        <v>363</v>
      </c>
      <c r="F9112" s="23" t="str">
        <f>HYPERLINK("https://www.spark-marketing.ru/Card/Lot/70075967", "Российский рубль")</f>
        <v>Российский рубль</v>
      </c>
      <c r="G9112" s="22" t="s">
        <v>100</v>
      </c>
      <c r="H9112" s="22" t="s">
        <v>11447</v>
      </c>
      <c r="I9112" s="26">
        <v>43579.6480787037</v>
      </c>
      <c r="J9112" s="23" t="str">
        <f>HYPERLINK("https://www.spark-marketing.ru/Card/Person/4400467", "ООО ""ЧОО "" БЕРКУТ""")</f>
        <v>ООО "ЧОО " БЕРКУТ"</v>
      </c>
      <c r="K9112" s="24" t="s">
        <v>11448</v>
      </c>
      <c r="L9112" s="22" t="s">
        <v>10</v>
      </c>
      <c r="M9112" s="25">
        <v>142884</v>
      </c>
      <c r="N9112" s="27">
        <v>0.15943997255784823</v>
      </c>
    </row>
    <row r="9113" spans="1:14" x14ac:dyDescent="0.15">
      <c r="A9113" s="23" t="str">
        <f>HYPERLINK("https://www.spark-marketing.ru/Card/Person/4353137", "ПАО ""МОСЭНЕРГО""")</f>
        <v>ПАО "МОСЭНЕРГО"</v>
      </c>
      <c r="B9113" s="24" t="s">
        <v>11322</v>
      </c>
      <c r="C9113" s="25">
        <v>4743673.12</v>
      </c>
      <c r="D9113" s="22" t="s">
        <v>11449</v>
      </c>
      <c r="E9113" s="22" t="s">
        <v>1923</v>
      </c>
      <c r="F9113" s="23" t="str">
        <f>HYPERLINK("https://www.spark-marketing.ru/Card/Lot/70083796", "Разработка нормативно-разрешительной документации в части охраны атмосферного воздуха для объектов III категории негативного воздействия на окружающую среду")</f>
        <v>Разработка нормативно-разрешительной документации в части охраны атмосферного воздуха для объектов III категории негативного воздействия на окружающую среду</v>
      </c>
      <c r="G9113" s="22" t="s">
        <v>55</v>
      </c>
      <c r="H9113" s="22" t="s">
        <v>55</v>
      </c>
      <c r="I9113" s="26">
        <v>43579.658206018503</v>
      </c>
      <c r="J9113" s="28" t="s">
        <v>52</v>
      </c>
      <c r="K9113" s="28" t="s">
        <v>52</v>
      </c>
      <c r="L9113" s="28" t="s">
        <v>52</v>
      </c>
      <c r="M9113" s="28" t="s">
        <v>52</v>
      </c>
      <c r="N9113" s="28" t="s">
        <v>52</v>
      </c>
    </row>
    <row r="9114" spans="1:14" x14ac:dyDescent="0.15">
      <c r="A9114" s="23" t="str">
        <f>HYPERLINK("https://www.spark-marketing.ru/Card/Person/640784", "УПФР В Г. СОКОЛ ВОЛОГОДСКОЙ ОБЛАСТИ (МЕЖРАЙОННОЕ)")</f>
        <v>УПФР В Г. СОКОЛ ВОЛОГОДСКОЙ ОБЛАСТИ (МЕЖРАЙОННОЕ)</v>
      </c>
      <c r="B9114" s="24" t="s">
        <v>11450</v>
      </c>
      <c r="C9114" s="25">
        <v>34080</v>
      </c>
      <c r="D9114" s="22" t="s">
        <v>11451</v>
      </c>
      <c r="E9114" s="22" t="s">
        <v>107</v>
      </c>
      <c r="F9114" s="23" t="str">
        <f>HYPERLINK("https://www.spark-marketing.ru/Card/Lot/70090739", "Оказание услуг по техническому обслуживанию систем видеонаблюдения в административных зданиях Управления")</f>
        <v>Оказание услуг по техническому обслуживанию систем видеонаблюдения в административных зданиях Управления</v>
      </c>
      <c r="G9114" s="22" t="s">
        <v>902</v>
      </c>
      <c r="H9114" s="22" t="s">
        <v>11452</v>
      </c>
      <c r="I9114" s="26">
        <v>43579.651608796303</v>
      </c>
      <c r="J9114" s="23" t="str">
        <f>HYPERLINK("https://www.spark-marketing.ru/Card/Person/139830", "ООО ЧОП ""ПАТРУЛЬ""")</f>
        <v>ООО ЧОП "ПАТРУЛЬ"</v>
      </c>
      <c r="K9114" s="24" t="s">
        <v>11453</v>
      </c>
      <c r="L9114" s="28" t="s">
        <v>52</v>
      </c>
      <c r="M9114" s="28" t="s">
        <v>52</v>
      </c>
      <c r="N9114" s="28" t="s">
        <v>52</v>
      </c>
    </row>
    <row r="9115" spans="1:14" ht="12.75" hidden="1" outlineLevel="1" x14ac:dyDescent="0.2">
      <c r="A9115" s="23" t="str">
        <f>HYPERLINK("https://www.spark-marketing.ru/Card/Person/640784", "УПФР В Г. СОКОЛ ВОЛОГОДСКОЙ ОБЛАСТИ (МЕЖРАЙОННОЕ)")</f>
        <v>УПФР В Г. СОКОЛ ВОЛОГОДСКОЙ ОБЛАСТИ (МЕЖРАЙОННОЕ)</v>
      </c>
      <c r="B9115" s="24" t="s">
        <v>11450</v>
      </c>
      <c r="C9115" s="25">
        <v>34080</v>
      </c>
      <c r="D9115" s="22" t="s">
        <v>11451</v>
      </c>
      <c r="E9115" s="22" t="s">
        <v>107</v>
      </c>
      <c r="F9115" s="23" t="str">
        <f>HYPERLINK("https://www.spark-marketing.ru/Card/Lot/70090739", "Оказание услуг по техническому обслуживанию систем видеонаблюдения в административных зданиях Управления")</f>
        <v>Оказание услуг по техническому обслуживанию систем видеонаблюдения в административных зданиях Управления</v>
      </c>
      <c r="G9115" s="22" t="s">
        <v>902</v>
      </c>
      <c r="H9115" s="22" t="s">
        <v>11452</v>
      </c>
      <c r="I9115" s="26">
        <v>43579.651608796303</v>
      </c>
      <c r="J9115" s="23" t="str">
        <f>HYPERLINK("https://www.spark-marketing.ru/Card/Person/139830", "ООО ЧОП ""ПАТРУЛЬ""")</f>
        <v>ООО ЧОП "ПАТРУЛЬ"</v>
      </c>
      <c r="K9115" s="24" t="s">
        <v>11453</v>
      </c>
      <c r="L9115" s="22" t="s">
        <v>10</v>
      </c>
      <c r="M9115" s="25">
        <v>33909.599999999999</v>
      </c>
      <c r="N9115" s="27">
        <v>5.0000000000000001E-3</v>
      </c>
    </row>
    <row r="9116" spans="1:14" x14ac:dyDescent="0.15">
      <c r="A9116" s="23" t="str">
        <f>HYPERLINK("https://www.spark-marketing.ru/Card/Person/10991", "ПАО ""РОСТЕЛЕКОМ""")</f>
        <v>ПАО "РОСТЕЛЕКОМ"</v>
      </c>
      <c r="B9116" s="24" t="s">
        <v>607</v>
      </c>
      <c r="C9116" s="25">
        <v>20000000</v>
      </c>
      <c r="D9116" s="22" t="s">
        <v>11454</v>
      </c>
      <c r="E9116" s="22" t="s">
        <v>2149</v>
      </c>
      <c r="F9116" s="23" t="str">
        <f>HYPERLINK("https://www.spark-marketing.ru/Card/Lot/70083271", "Заключение договора на установку и обслуживание кнопки тревожной сигнализации и оказание услуг по мониторингу событий с реагированием мобильными группами ФГКУ УВО ВНГ России")</f>
        <v>Заключение договора на установку и обслуживание кнопки тревожной сигнализации и оказание услуг по мониторингу событий с реагированием мобильными группами ФГКУ УВО ВНГ России</v>
      </c>
      <c r="G9116" s="22" t="s">
        <v>89</v>
      </c>
      <c r="H9116" s="22" t="s">
        <v>89</v>
      </c>
      <c r="I9116" s="26">
        <v>43579.6639699074</v>
      </c>
      <c r="J9116" s="28" t="s">
        <v>52</v>
      </c>
      <c r="K9116" s="28" t="s">
        <v>52</v>
      </c>
      <c r="L9116" s="28" t="s">
        <v>52</v>
      </c>
      <c r="M9116" s="28" t="s">
        <v>52</v>
      </c>
      <c r="N9116" s="28" t="s">
        <v>52</v>
      </c>
    </row>
    <row r="9117" spans="1:14" hidden="1" outlineLevel="1" x14ac:dyDescent="0.15">
      <c r="A9117" s="23" t="str">
        <f>HYPERLINK("https://www.spark-marketing.ru/Card/Person/10991", "ПАО ""РОСТЕЛЕКОМ""")</f>
        <v>ПАО "РОСТЕЛЕКОМ"</v>
      </c>
      <c r="B9117" s="24" t="s">
        <v>607</v>
      </c>
      <c r="C9117" s="28" t="s">
        <v>52</v>
      </c>
      <c r="D9117" s="22" t="s">
        <v>11454</v>
      </c>
      <c r="E9117" s="22" t="s">
        <v>2149</v>
      </c>
      <c r="F9117" s="23" t="str">
        <f>HYPERLINK("https://www.spark-marketing.ru/Card/Lot/70083271", "Заключение договора на установку и обслуживание кнопки тревожной сигнализации и оказание услуг по мониторингу событий с реагированием мобильными группами ФГКУ УВО ВНГ России")</f>
        <v>Заключение договора на установку и обслуживание кнопки тревожной сигнализации и оказание услуг по мониторингу событий с реагированием мобильными группами ФГКУ УВО ВНГ России</v>
      </c>
      <c r="G9117" s="22" t="s">
        <v>89</v>
      </c>
      <c r="H9117" s="22" t="s">
        <v>89</v>
      </c>
      <c r="I9117" s="26">
        <v>43579.6639699074</v>
      </c>
      <c r="J9117" s="23" t="str">
        <f>HYPERLINK("https://www.spark-marketing.ru/Card/Person/1905065", "ЗАЯВКА")</f>
        <v>ЗАЯВКА</v>
      </c>
      <c r="K9117" s="24" t="s">
        <v>10745</v>
      </c>
      <c r="L9117" s="28" t="s">
        <v>52</v>
      </c>
      <c r="M9117" s="28" t="s">
        <v>52</v>
      </c>
      <c r="N9117" s="28" t="s">
        <v>52</v>
      </c>
    </row>
    <row r="9118" spans="1:14" hidden="1" outlineLevel="1" x14ac:dyDescent="0.15">
      <c r="A9118" s="23" t="str">
        <f>HYPERLINK("https://www.spark-marketing.ru/Card/Person/10991", "ПАО ""РОСТЕЛЕКОМ""")</f>
        <v>ПАО "РОСТЕЛЕКОМ"</v>
      </c>
      <c r="B9118" s="24" t="s">
        <v>607</v>
      </c>
      <c r="C9118" s="28" t="s">
        <v>52</v>
      </c>
      <c r="D9118" s="22" t="s">
        <v>11454</v>
      </c>
      <c r="E9118" s="22" t="s">
        <v>2149</v>
      </c>
      <c r="F9118" s="23" t="str">
        <f>HYPERLINK("https://www.spark-marketing.ru/Card/Lot/70083271", "Заключение договора на установку и обслуживание кнопки тревожной сигнализации и оказание услуг по мониторингу событий с реагированием мобильными группами ФГКУ УВО ВНГ России")</f>
        <v>Заключение договора на установку и обслуживание кнопки тревожной сигнализации и оказание услуг по мониторингу событий с реагированием мобильными группами ФГКУ УВО ВНГ России</v>
      </c>
      <c r="G9118" s="22" t="s">
        <v>89</v>
      </c>
      <c r="H9118" s="22" t="s">
        <v>89</v>
      </c>
      <c r="I9118" s="26">
        <v>43579.6639699074</v>
      </c>
      <c r="J9118" s="23" t="str">
        <f>HYPERLINK("https://www.spark-marketing.ru/Card/Person/1905065", "ЗАЯВКА")</f>
        <v>ЗАЯВКА</v>
      </c>
      <c r="K9118" s="24" t="s">
        <v>10745</v>
      </c>
      <c r="L9118" s="28" t="s">
        <v>52</v>
      </c>
      <c r="M9118" s="28" t="s">
        <v>52</v>
      </c>
      <c r="N9118" s="28" t="s">
        <v>52</v>
      </c>
    </row>
    <row r="9119" spans="1:14" x14ac:dyDescent="0.15">
      <c r="A9119" s="23" t="str">
        <f>HYPERLINK("https://www.spark-marketing.ru/Card/Person/1028625", "ОГБУЗ МЦ МР РЕЗЕРВ КО")</f>
        <v>ОГБУЗ МЦ МР РЕЗЕРВ КО</v>
      </c>
      <c r="B9119" s="24" t="s">
        <v>11455</v>
      </c>
      <c r="C9119" s="25">
        <v>65206.62</v>
      </c>
      <c r="D9119" s="22" t="s">
        <v>11456</v>
      </c>
      <c r="E9119" s="22" t="s">
        <v>68</v>
      </c>
      <c r="F9119" s="23" t="str">
        <f>HYPERLINK("https://www.spark-marketing.ru/Card/Lot/70056159", "организация охраны объектов, подключенных на пульт централизованного наблюдения и экстренному вызову наряда полиции")</f>
        <v>организация охраны объектов, подключенных на пульт централизованного наблюдения и экстренному вызову наряда полиции</v>
      </c>
      <c r="G9119" s="22" t="s">
        <v>1104</v>
      </c>
      <c r="H9119" s="22" t="s">
        <v>1105</v>
      </c>
      <c r="I9119" s="26">
        <v>43579.644444444399</v>
      </c>
      <c r="J9119" s="28" t="s">
        <v>52</v>
      </c>
      <c r="K9119" s="28" t="s">
        <v>52</v>
      </c>
      <c r="L9119" s="28" t="s">
        <v>52</v>
      </c>
      <c r="M9119" s="28" t="s">
        <v>52</v>
      </c>
      <c r="N9119" s="28" t="s">
        <v>52</v>
      </c>
    </row>
    <row r="9120" spans="1:14" x14ac:dyDescent="0.15">
      <c r="A9120" s="23" t="str">
        <f>HYPERLINK("https://www.spark-marketing.ru/Card/Person/64341", "МБДОУ ДЕТСКИЙ САД № 43")</f>
        <v>МБДОУ ДЕТСКИЙ САД № 43</v>
      </c>
      <c r="B9120" s="24" t="s">
        <v>11457</v>
      </c>
      <c r="C9120" s="25">
        <v>8700</v>
      </c>
      <c r="D9120" s="22" t="s">
        <v>11458</v>
      </c>
      <c r="E9120" s="22" t="s">
        <v>59</v>
      </c>
      <c r="F9120" s="23" t="str">
        <f>HYPERLINK("https://www.spark-marketing.ru/Card/Lot/70055650", "Установка камер видеонаблюдения")</f>
        <v>Установка камер видеонаблюдения</v>
      </c>
      <c r="G9120" s="22" t="s">
        <v>402</v>
      </c>
      <c r="H9120" s="22" t="s">
        <v>2663</v>
      </c>
      <c r="I9120" s="26">
        <v>43579.618055555598</v>
      </c>
      <c r="J9120" s="28" t="s">
        <v>52</v>
      </c>
      <c r="K9120" s="28" t="s">
        <v>52</v>
      </c>
      <c r="L9120" s="28" t="s">
        <v>52</v>
      </c>
      <c r="M9120" s="28" t="s">
        <v>52</v>
      </c>
      <c r="N9120" s="28" t="s">
        <v>52</v>
      </c>
    </row>
    <row r="9121" spans="1:14" x14ac:dyDescent="0.15">
      <c r="A9121" s="23" t="str">
        <f>HYPERLINK("https://www.spark-marketing.ru/Card/Person/1661477", "ПАО ""ДЕТСКИЙ МИР""")</f>
        <v>ПАО "ДЕТСКИЙ МИР"</v>
      </c>
      <c r="B9121" s="24" t="s">
        <v>667</v>
      </c>
      <c r="C9121" s="28" t="s">
        <v>52</v>
      </c>
      <c r="D9121" s="22" t="s">
        <v>11459</v>
      </c>
      <c r="E9121" s="22" t="s">
        <v>53</v>
      </c>
      <c r="F9121" s="23" t="str">
        <f>HYPERLINK("https://www.spark-marketing.ru/Card/Lot/70310804", "Оказание услуг по физической охране объектов ПАО «Детский мир» г. Тула сроком на 1 (Один) год.")</f>
        <v>Оказание услуг по физической охране объектов ПАО «Детский мир» г. Тула сроком на 1 (Один) год.</v>
      </c>
      <c r="G9121" s="22" t="s">
        <v>818</v>
      </c>
      <c r="H9121" s="22" t="s">
        <v>818</v>
      </c>
      <c r="I9121" s="26">
        <v>43579.590277777803</v>
      </c>
      <c r="J9121" s="28" t="s">
        <v>52</v>
      </c>
      <c r="K9121" s="28" t="s">
        <v>52</v>
      </c>
      <c r="L9121" s="28" t="s">
        <v>52</v>
      </c>
      <c r="M9121" s="28" t="s">
        <v>52</v>
      </c>
      <c r="N9121" s="28" t="s">
        <v>52</v>
      </c>
    </row>
    <row r="9122" spans="1:14" x14ac:dyDescent="0.15">
      <c r="A9122" s="23" t="str">
        <f>HYPERLINK("https://www.spark-marketing.ru/Card/Person/1661477", "ПАО ""ДЕТСКИЙ МИР""")</f>
        <v>ПАО "ДЕТСКИЙ МИР"</v>
      </c>
      <c r="B9122" s="24" t="s">
        <v>667</v>
      </c>
      <c r="C9122" s="28" t="s">
        <v>52</v>
      </c>
      <c r="D9122" s="22" t="s">
        <v>11460</v>
      </c>
      <c r="E9122" s="22" t="s">
        <v>53</v>
      </c>
      <c r="F9122" s="23" t="str">
        <f>HYPERLINK("https://www.spark-marketing.ru/Card/Lot/70310803", "Оказание услуг по физической охране объектов ПАО «Детский мир» г. Саратов сроком на 1 (Один) год.")</f>
        <v>Оказание услуг по физической охране объектов ПАО «Детский мир» г. Саратов сроком на 1 (Один) год.</v>
      </c>
      <c r="G9122" s="22" t="s">
        <v>80</v>
      </c>
      <c r="H9122" s="22" t="s">
        <v>80</v>
      </c>
      <c r="I9122" s="26">
        <v>43579.588194444397</v>
      </c>
      <c r="J9122" s="28" t="s">
        <v>52</v>
      </c>
      <c r="K9122" s="28" t="s">
        <v>52</v>
      </c>
      <c r="L9122" s="28" t="s">
        <v>52</v>
      </c>
      <c r="M9122" s="28" t="s">
        <v>52</v>
      </c>
      <c r="N9122" s="28" t="s">
        <v>52</v>
      </c>
    </row>
    <row r="9123" spans="1:14" x14ac:dyDescent="0.15">
      <c r="A9123" s="23" t="str">
        <f t="shared" ref="A9123:A9128" si="402">HYPERLINK("https://www.spark-marketing.ru/Card/Person/92371", "ГБДОУ ДЕТСКИЙ САД № 27 КОМБИНИРОВАННОГО ВИДА ПУШКИНСКОГО РАЙОНА САНКТ-ПЕТЕРБУРГА")</f>
        <v>ГБДОУ ДЕТСКИЙ САД № 27 КОМБИНИРОВАННОГО ВИДА ПУШКИНСКОГО РАЙОНА САНКТ-ПЕТЕРБУРГА</v>
      </c>
      <c r="B9123" s="24" t="s">
        <v>11461</v>
      </c>
      <c r="C9123" s="25">
        <v>1359734</v>
      </c>
      <c r="D9123" s="22" t="s">
        <v>11462</v>
      </c>
      <c r="E9123" s="22" t="s">
        <v>59</v>
      </c>
      <c r="F9123" s="23" t="str">
        <f t="shared" ref="F9123:F9128" si="403">HYPERLINK("https://www.spark-marketing.ru/Card/Lot/70073252", "Монтаж системы видеонаблюдения в здании ГБДОУ детский сад №27 комбинированного вида Пушкинского района Санкт-Петербурга по адресу: Санкт-Петербург, ул. Генерала Хазова, дом №10, литер А, помещение 1-н")</f>
        <v>Монтаж системы видеонаблюдения в здании ГБДОУ детский сад №27 комбинированного вида Пушкинского района Санкт-Петербурга по адресу: Санкт-Петербург, ул. Генерала Хазова, дом №10, литер А, помещение 1-н</v>
      </c>
      <c r="G9123" s="22" t="s">
        <v>89</v>
      </c>
      <c r="H9123" s="22" t="s">
        <v>89</v>
      </c>
      <c r="I9123" s="26">
        <v>43579.543020833298</v>
      </c>
      <c r="J9123" s="28" t="s">
        <v>52</v>
      </c>
      <c r="K9123" s="28" t="s">
        <v>52</v>
      </c>
      <c r="L9123" s="28" t="s">
        <v>52</v>
      </c>
      <c r="M9123" s="28" t="s">
        <v>52</v>
      </c>
      <c r="N9123" s="28" t="s">
        <v>52</v>
      </c>
    </row>
    <row r="9124" spans="1:14" ht="12.75" hidden="1" outlineLevel="1" x14ac:dyDescent="0.2">
      <c r="A9124" s="23" t="str">
        <f t="shared" si="402"/>
        <v>ГБДОУ ДЕТСКИЙ САД № 27 КОМБИНИРОВАННОГО ВИДА ПУШКИНСКОГО РАЙОНА САНКТ-ПЕТЕРБУРГА</v>
      </c>
      <c r="B9124" s="24" t="s">
        <v>11461</v>
      </c>
      <c r="C9124" s="25">
        <v>1359734</v>
      </c>
      <c r="D9124" s="22" t="s">
        <v>11462</v>
      </c>
      <c r="E9124" s="22" t="s">
        <v>59</v>
      </c>
      <c r="F9124" s="23" t="str">
        <f t="shared" si="403"/>
        <v>Монтаж системы видеонаблюдения в здании ГБДОУ детский сад №27 комбинированного вида Пушкинского района Санкт-Петербурга по адресу: Санкт-Петербург, ул. Генерала Хазова, дом №10, литер А, помещение 1-н</v>
      </c>
      <c r="G9124" s="22" t="s">
        <v>89</v>
      </c>
      <c r="H9124" s="22" t="s">
        <v>89</v>
      </c>
      <c r="I9124" s="26">
        <v>43579.543020833298</v>
      </c>
      <c r="J9124" s="23" t="str">
        <f>HYPERLINK("https://www.spark-marketing.ru/Card/Person/171473", "ООО ""БИСМАРК.ТВ""")</f>
        <v>ООО "БИСМАРК.ТВ"</v>
      </c>
      <c r="K9124" s="24" t="s">
        <v>10897</v>
      </c>
      <c r="L9124" s="22" t="s">
        <v>10</v>
      </c>
      <c r="M9124" s="25">
        <v>754652.37</v>
      </c>
      <c r="N9124" s="27">
        <v>0.44500000000000001</v>
      </c>
    </row>
    <row r="9125" spans="1:14" hidden="1" outlineLevel="1" x14ac:dyDescent="0.2">
      <c r="A9125" s="23" t="str">
        <f t="shared" si="402"/>
        <v>ГБДОУ ДЕТСКИЙ САД № 27 КОМБИНИРОВАННОГО ВИДА ПУШКИНСКОГО РАЙОНА САНКТ-ПЕТЕРБУРГА</v>
      </c>
      <c r="B9125" s="24" t="s">
        <v>11461</v>
      </c>
      <c r="C9125" s="25">
        <v>1359734</v>
      </c>
      <c r="D9125" s="22" t="s">
        <v>11462</v>
      </c>
      <c r="E9125" s="22" t="s">
        <v>59</v>
      </c>
      <c r="F9125" s="23" t="str">
        <f t="shared" si="403"/>
        <v>Монтаж системы видеонаблюдения в здании ГБДОУ детский сад №27 комбинированного вида Пушкинского района Санкт-Петербурга по адресу: Санкт-Петербург, ул. Генерала Хазова, дом №10, литер А, помещение 1-н</v>
      </c>
      <c r="G9125" s="22" t="s">
        <v>89</v>
      </c>
      <c r="H9125" s="22" t="s">
        <v>89</v>
      </c>
      <c r="I9125" s="26">
        <v>43579.543020833298</v>
      </c>
      <c r="J9125" s="23" t="str">
        <f>HYPERLINK("https://www.spark-marketing.ru/Card/Person/877770", "ООО ""СИЯНИЕ""")</f>
        <v>ООО "СИЯНИЕ"</v>
      </c>
      <c r="K9125" s="24" t="s">
        <v>5976</v>
      </c>
      <c r="L9125" s="28" t="s">
        <v>52</v>
      </c>
      <c r="M9125" s="25">
        <v>1094585.8700000001</v>
      </c>
      <c r="N9125" s="27">
        <v>0.19500000000000001</v>
      </c>
    </row>
    <row r="9126" spans="1:14" hidden="1" outlineLevel="1" x14ac:dyDescent="0.2">
      <c r="A9126" s="23" t="str">
        <f t="shared" si="402"/>
        <v>ГБДОУ ДЕТСКИЙ САД № 27 КОМБИНИРОВАННОГО ВИДА ПУШКИНСКОГО РАЙОНА САНКТ-ПЕТЕРБУРГА</v>
      </c>
      <c r="B9126" s="24" t="s">
        <v>11461</v>
      </c>
      <c r="C9126" s="25">
        <v>1359734</v>
      </c>
      <c r="D9126" s="22" t="s">
        <v>11462</v>
      </c>
      <c r="E9126" s="22" t="s">
        <v>59</v>
      </c>
      <c r="F9126" s="23" t="str">
        <f t="shared" si="403"/>
        <v>Монтаж системы видеонаблюдения в здании ГБДОУ детский сад №27 комбинированного вида Пушкинского района Санкт-Петербурга по адресу: Санкт-Петербург, ул. Генерала Хазова, дом №10, литер А, помещение 1-н</v>
      </c>
      <c r="G9126" s="22" t="s">
        <v>89</v>
      </c>
      <c r="H9126" s="22" t="s">
        <v>89</v>
      </c>
      <c r="I9126" s="26">
        <v>43579.543020833298</v>
      </c>
      <c r="J9126" s="23" t="str">
        <f>HYPERLINK("https://www.spark-marketing.ru/Card/Person/132600", "ООО ""АСПЕКТ""")</f>
        <v>ООО "АСПЕКТ"</v>
      </c>
      <c r="K9126" s="24" t="s">
        <v>10038</v>
      </c>
      <c r="L9126" s="28" t="s">
        <v>52</v>
      </c>
      <c r="M9126" s="25">
        <v>761451.04</v>
      </c>
      <c r="N9126" s="27">
        <v>0.44</v>
      </c>
    </row>
    <row r="9127" spans="1:14" hidden="1" outlineLevel="1" x14ac:dyDescent="0.2">
      <c r="A9127" s="23" t="str">
        <f t="shared" si="402"/>
        <v>ГБДОУ ДЕТСКИЙ САД № 27 КОМБИНИРОВАННОГО ВИДА ПУШКИНСКОГО РАЙОНА САНКТ-ПЕТЕРБУРГА</v>
      </c>
      <c r="B9127" s="24" t="s">
        <v>11461</v>
      </c>
      <c r="C9127" s="25">
        <v>1359734</v>
      </c>
      <c r="D9127" s="22" t="s">
        <v>11462</v>
      </c>
      <c r="E9127" s="22" t="s">
        <v>59</v>
      </c>
      <c r="F9127" s="23" t="str">
        <f t="shared" si="403"/>
        <v>Монтаж системы видеонаблюдения в здании ГБДОУ детский сад №27 комбинированного вида Пушкинского района Санкт-Петербурга по адресу: Санкт-Петербург, ул. Генерала Хазова, дом №10, литер А, помещение 1-н</v>
      </c>
      <c r="G9127" s="22" t="s">
        <v>89</v>
      </c>
      <c r="H9127" s="22" t="s">
        <v>89</v>
      </c>
      <c r="I9127" s="26">
        <v>43579.543020833298</v>
      </c>
      <c r="J9127" s="23" t="str">
        <f>HYPERLINK("https://www.spark-marketing.ru/Card/Person/6398454", "Сидоров Артем Юрьевич")</f>
        <v>Сидоров Артем Юрьевич</v>
      </c>
      <c r="K9127" s="24" t="s">
        <v>11391</v>
      </c>
      <c r="L9127" s="28" t="s">
        <v>52</v>
      </c>
      <c r="M9127" s="25">
        <v>1359000</v>
      </c>
      <c r="N9127" s="27">
        <v>5.3981146312440521E-4</v>
      </c>
    </row>
    <row r="9128" spans="1:14" hidden="1" outlineLevel="1" x14ac:dyDescent="0.2">
      <c r="A9128" s="23" t="str">
        <f t="shared" si="402"/>
        <v>ГБДОУ ДЕТСКИЙ САД № 27 КОМБИНИРОВАННОГО ВИДА ПУШКИНСКОГО РАЙОНА САНКТ-ПЕТЕРБУРГА</v>
      </c>
      <c r="B9128" s="24" t="s">
        <v>11461</v>
      </c>
      <c r="C9128" s="25">
        <v>1359734</v>
      </c>
      <c r="D9128" s="22" t="s">
        <v>11462</v>
      </c>
      <c r="E9128" s="22" t="s">
        <v>59</v>
      </c>
      <c r="F9128" s="23" t="str">
        <f t="shared" si="403"/>
        <v>Монтаж системы видеонаблюдения в здании ГБДОУ детский сад №27 комбинированного вида Пушкинского района Санкт-Петербурга по адресу: Санкт-Петербург, ул. Генерала Хазова, дом №10, литер А, помещение 1-н</v>
      </c>
      <c r="G9128" s="22" t="s">
        <v>89</v>
      </c>
      <c r="H9128" s="22" t="s">
        <v>89</v>
      </c>
      <c r="I9128" s="26">
        <v>43579.543020833298</v>
      </c>
      <c r="J9128" s="23" t="str">
        <f>HYPERLINK("https://www.spark-marketing.ru/Card/Person/4345955", "ООО ""СБ-СЕРВИС""")</f>
        <v>ООО "СБ-СЕРВИС"</v>
      </c>
      <c r="K9128" s="24" t="s">
        <v>10035</v>
      </c>
      <c r="L9128" s="28" t="s">
        <v>52</v>
      </c>
      <c r="M9128" s="25">
        <v>1182968.58</v>
      </c>
      <c r="N9128" s="27">
        <v>0.13</v>
      </c>
    </row>
    <row r="9129" spans="1:14" x14ac:dyDescent="0.15">
      <c r="A9129" s="23" t="str">
        <f>HYPERLINK("https://www.spark-marketing.ru/Card/Person/420107", "ПРЕДСТАВИТЕЛЬСТВО МИД РОССИИ В Г. ОМСКЕ")</f>
        <v>ПРЕДСТАВИТЕЛЬСТВО МИД РОССИИ В Г. ОМСКЕ</v>
      </c>
      <c r="B9129" s="24" t="s">
        <v>5988</v>
      </c>
      <c r="C9129" s="25">
        <v>29760</v>
      </c>
      <c r="D9129" s="22" t="s">
        <v>11463</v>
      </c>
      <c r="E9129" s="22" t="s">
        <v>53</v>
      </c>
      <c r="F9129" s="23" t="str">
        <f>HYPERLINK("https://www.spark-marketing.ru/Card/Lot/70769098", "техническое обслуживание комплекса технических средств охраны")</f>
        <v>техническое обслуживание комплекса технических средств охраны</v>
      </c>
      <c r="G9129" s="22" t="s">
        <v>521</v>
      </c>
      <c r="H9129" s="22" t="s">
        <v>522</v>
      </c>
      <c r="I9129" s="26">
        <v>43579.552673611099</v>
      </c>
      <c r="J9129" s="28" t="s">
        <v>52</v>
      </c>
      <c r="K9129" s="28" t="s">
        <v>52</v>
      </c>
      <c r="L9129" s="28" t="s">
        <v>52</v>
      </c>
      <c r="M9129" s="28" t="s">
        <v>52</v>
      </c>
      <c r="N9129" s="28" t="s">
        <v>52</v>
      </c>
    </row>
    <row r="9130" spans="1:14" x14ac:dyDescent="0.15">
      <c r="A9130" s="23" t="str">
        <f>HYPERLINK("https://www.spark-marketing.ru/Card/Person/4348563", "АО ""ОТЭК""")</f>
        <v>АО "ОТЭК"</v>
      </c>
      <c r="B9130" s="24" t="s">
        <v>11312</v>
      </c>
      <c r="C9130" s="25">
        <v>135955.20000000001</v>
      </c>
      <c r="D9130" s="22" t="s">
        <v>11464</v>
      </c>
      <c r="E9130" s="22" t="s">
        <v>144</v>
      </c>
      <c r="F9130" s="23" t="str">
        <f>HYPERLINK("https://www.spark-marketing.ru/Card/Lot/70077007", "Услуги по обеспечению централизованной охраны ТЭЦ с использованием кнопки тревожной сигнализации (для нужд Филиала АО ""ОТЭК"" в г. Новоуральске)")</f>
        <v>Услуги по обеспечению централизованной охраны ТЭЦ с использованием кнопки тревожной сигнализации (для нужд Филиала АО "ОТЭК" в г. Новоуральске)</v>
      </c>
      <c r="G9130" s="22" t="s">
        <v>55</v>
      </c>
      <c r="H9130" s="22" t="s">
        <v>55</v>
      </c>
      <c r="I9130" s="26">
        <v>43579.569305555597</v>
      </c>
      <c r="J9130" s="28" t="s">
        <v>52</v>
      </c>
      <c r="K9130" s="28" t="s">
        <v>52</v>
      </c>
      <c r="L9130" s="28" t="s">
        <v>52</v>
      </c>
      <c r="M9130" s="28" t="s">
        <v>52</v>
      </c>
      <c r="N9130" s="28" t="s">
        <v>52</v>
      </c>
    </row>
    <row r="9131" spans="1:14" x14ac:dyDescent="0.15">
      <c r="A9131" s="23" t="str">
        <f>HYPERLINK("https://www.spark-marketing.ru/Card/Person/123805", "ПАО ""МРСК ВОЛГИ""")</f>
        <v>ПАО "МРСК ВОЛГИ"</v>
      </c>
      <c r="B9131" s="24" t="s">
        <v>11465</v>
      </c>
      <c r="C9131" s="25">
        <v>713340</v>
      </c>
      <c r="D9131" s="22" t="s">
        <v>11466</v>
      </c>
      <c r="E9131" s="22" t="s">
        <v>49</v>
      </c>
      <c r="F9131" s="23" t="str">
        <f>HYPERLINK("https://www.spark-marketing.ru/Card/Lot/70078548", "Оказание услуг по обслуживанию охранной сигнализации, СКУД и видеонаблюдения на объектах филиала ПАО ""МРСК Волги"" - ""Мордовэнерго"". (191313/79)")</f>
        <v>Оказание услуг по обслуживанию охранной сигнализации, СКУД и видеонаблюдения на объектах филиала ПАО "МРСК Волги" - "Мордовэнерго". (191313/79)</v>
      </c>
      <c r="G9131" s="22" t="s">
        <v>80</v>
      </c>
      <c r="H9131" s="22" t="s">
        <v>81</v>
      </c>
      <c r="I9131" s="26">
        <v>43579.529745370397</v>
      </c>
      <c r="J9131" s="28" t="s">
        <v>52</v>
      </c>
      <c r="K9131" s="28" t="s">
        <v>52</v>
      </c>
      <c r="L9131" s="28" t="s">
        <v>52</v>
      </c>
      <c r="M9131" s="28" t="s">
        <v>52</v>
      </c>
      <c r="N9131" s="28" t="s">
        <v>52</v>
      </c>
    </row>
    <row r="9132" spans="1:14" hidden="1" outlineLevel="1" x14ac:dyDescent="0.2">
      <c r="A9132" s="23" t="str">
        <f>HYPERLINK("https://www.spark-marketing.ru/Card/Person/123805", "ПАО ""МРСК ВОЛГИ""")</f>
        <v>ПАО "МРСК ВОЛГИ"</v>
      </c>
      <c r="B9132" s="24" t="s">
        <v>11465</v>
      </c>
      <c r="C9132" s="28" t="s">
        <v>52</v>
      </c>
      <c r="D9132" s="22" t="s">
        <v>11466</v>
      </c>
      <c r="E9132" s="22" t="s">
        <v>49</v>
      </c>
      <c r="F9132" s="23" t="str">
        <f>HYPERLINK("https://www.spark-marketing.ru/Card/Lot/70078548", "Оказание услуг по обслуживанию охранной сигнализации, СКУД и видеонаблюдения на объектах филиала ПАО ""МРСК Волги"" - ""Мордовэнерго"". (191313/79)")</f>
        <v>Оказание услуг по обслуживанию охранной сигнализации, СКУД и видеонаблюдения на объектах филиала ПАО "МРСК Волги" - "Мордовэнерго". (191313/79)</v>
      </c>
      <c r="G9132" s="22" t="s">
        <v>80</v>
      </c>
      <c r="H9132" s="22" t="s">
        <v>81</v>
      </c>
      <c r="I9132" s="26">
        <v>43579.529745370397</v>
      </c>
      <c r="J9132" s="23" t="str">
        <f>HYPERLINK("https://www.spark-marketing.ru/Card/Person/190676", "ООО ЧОО ""КЕДР""")</f>
        <v>ООО ЧОО "КЕДР"</v>
      </c>
      <c r="K9132" s="24" t="s">
        <v>11467</v>
      </c>
      <c r="L9132" s="28" t="s">
        <v>52</v>
      </c>
      <c r="M9132" s="25">
        <v>667678.19999999995</v>
      </c>
      <c r="N9132" s="27">
        <v>6.401127092270166E-2</v>
      </c>
    </row>
    <row r="9133" spans="1:14" hidden="1" outlineLevel="1" x14ac:dyDescent="0.2">
      <c r="A9133" s="23" t="str">
        <f>HYPERLINK("https://www.spark-marketing.ru/Card/Person/123805", "ПАО ""МРСК ВОЛГИ""")</f>
        <v>ПАО "МРСК ВОЛГИ"</v>
      </c>
      <c r="B9133" s="24" t="s">
        <v>11465</v>
      </c>
      <c r="C9133" s="28" t="s">
        <v>52</v>
      </c>
      <c r="D9133" s="22" t="s">
        <v>11466</v>
      </c>
      <c r="E9133" s="22" t="s">
        <v>49</v>
      </c>
      <c r="F9133" s="23" t="str">
        <f>HYPERLINK("https://www.spark-marketing.ru/Card/Lot/70078548", "Оказание услуг по обслуживанию охранной сигнализации, СКУД и видеонаблюдения на объектах филиала ПАО ""МРСК Волги"" - ""Мордовэнерго"". (191313/79)")</f>
        <v>Оказание услуг по обслуживанию охранной сигнализации, СКУД и видеонаблюдения на объектах филиала ПАО "МРСК Волги" - "Мордовэнерго". (191313/79)</v>
      </c>
      <c r="G9133" s="22" t="s">
        <v>80</v>
      </c>
      <c r="H9133" s="22" t="s">
        <v>81</v>
      </c>
      <c r="I9133" s="26">
        <v>43579.529745370397</v>
      </c>
      <c r="J9133" s="23" t="str">
        <f>HYPERLINK("https://www.spark-marketing.ru/Card/Person/159165", "ООО ""САРАНСКТЕХПРИБОР""")</f>
        <v>ООО "САРАНСКТЕХПРИБОР"</v>
      </c>
      <c r="K9133" s="24" t="s">
        <v>11468</v>
      </c>
      <c r="L9133" s="28" t="s">
        <v>52</v>
      </c>
      <c r="M9133" s="25">
        <v>645877.80000000005</v>
      </c>
      <c r="N9133" s="27">
        <v>9.4572293716881153E-2</v>
      </c>
    </row>
    <row r="9134" spans="1:14" x14ac:dyDescent="0.15">
      <c r="A9134" s="23" t="str">
        <f>HYPERLINK("https://www.spark-marketing.ru/Card/Person/127006", "ФГУП ""ВЕДОМСТВЕННАЯ ОХРАНА"" МИНЭНЕРГО РОССИИ")</f>
        <v>ФГУП "ВЕДОМСТВЕННАЯ ОХРАНА" МИНЭНЕРГО РОССИИ</v>
      </c>
      <c r="B9134" s="24" t="s">
        <v>11469</v>
      </c>
      <c r="C9134" s="25">
        <v>658590.56999999995</v>
      </c>
      <c r="D9134" s="22" t="s">
        <v>11470</v>
      </c>
      <c r="E9134" s="22" t="s">
        <v>144</v>
      </c>
      <c r="F9134" s="23" t="str">
        <f>HYPERLINK("https://www.spark-marketing.ru/Card/Lot/70076518", "Охранные услуги")</f>
        <v>Охранные услуги</v>
      </c>
      <c r="G9134" s="22" t="s">
        <v>1137</v>
      </c>
      <c r="H9134" s="22" t="s">
        <v>1137</v>
      </c>
      <c r="I9134" s="26">
        <v>43579.505196759303</v>
      </c>
      <c r="J9134" s="28" t="s">
        <v>52</v>
      </c>
      <c r="K9134" s="28" t="s">
        <v>52</v>
      </c>
      <c r="L9134" s="28" t="s">
        <v>52</v>
      </c>
      <c r="M9134" s="28" t="s">
        <v>52</v>
      </c>
      <c r="N9134" s="28" t="s">
        <v>52</v>
      </c>
    </row>
    <row r="9135" spans="1:14" x14ac:dyDescent="0.15">
      <c r="A9135" s="23" t="str">
        <f>HYPERLINK("https://www.spark-marketing.ru/Card/Person/46783", "УПРАВЛЕНИЕ РОСРЕЕСТРА ПО КАБАРДИНО-БАЛКАРСКОЙ РЕСПУБЛИКЕ")</f>
        <v>УПРАВЛЕНИЕ РОСРЕЕСТРА ПО КАБАРДИНО-БАЛКАРСКОЙ РЕСПУБЛИКЕ</v>
      </c>
      <c r="B9135" s="24" t="s">
        <v>11271</v>
      </c>
      <c r="C9135" s="25">
        <v>5751.1</v>
      </c>
      <c r="D9135" s="22" t="s">
        <v>11471</v>
      </c>
      <c r="E9135" s="22" t="s">
        <v>53</v>
      </c>
      <c r="F9135" s="23" t="str">
        <f>HYPERLINK("https://www.spark-marketing.ru/Card/Lot/70768904", "Услуги по охране с использованием кнопки тревожной сигнализации")</f>
        <v>Услуги по охране с использованием кнопки тревожной сигнализации</v>
      </c>
      <c r="G9135" s="22" t="s">
        <v>110</v>
      </c>
      <c r="H9135" s="22" t="s">
        <v>111</v>
      </c>
      <c r="I9135" s="26">
        <v>43579.532974537004</v>
      </c>
      <c r="J9135" s="28" t="s">
        <v>52</v>
      </c>
      <c r="K9135" s="28" t="s">
        <v>52</v>
      </c>
      <c r="L9135" s="28" t="s">
        <v>52</v>
      </c>
      <c r="M9135" s="28" t="s">
        <v>52</v>
      </c>
      <c r="N9135" s="28" t="s">
        <v>52</v>
      </c>
    </row>
    <row r="9136" spans="1:14" x14ac:dyDescent="0.15">
      <c r="A9136" s="23" t="str">
        <f>HYPERLINK("https://www.spark-marketing.ru/Card/Person/127006", "ФГУП ""ВЕДОМСТВЕННАЯ ОХРАНА"" МИНЭНЕРГО РОССИИ")</f>
        <v>ФГУП "ВЕДОМСТВЕННАЯ ОХРАНА" МИНЭНЕРГО РОССИИ</v>
      </c>
      <c r="B9136" s="24" t="s">
        <v>11469</v>
      </c>
      <c r="C9136" s="25">
        <v>561537.9</v>
      </c>
      <c r="D9136" s="22" t="s">
        <v>11472</v>
      </c>
      <c r="E9136" s="22" t="s">
        <v>144</v>
      </c>
      <c r="F9136" s="23" t="str">
        <f>HYPERLINK("https://www.spark-marketing.ru/Card/Lot/70076671", "Охранные услуги")</f>
        <v>Охранные услуги</v>
      </c>
      <c r="G9136" s="22" t="s">
        <v>1137</v>
      </c>
      <c r="H9136" s="22" t="s">
        <v>1137</v>
      </c>
      <c r="I9136" s="26">
        <v>43579.513784722199</v>
      </c>
      <c r="J9136" s="28" t="s">
        <v>52</v>
      </c>
      <c r="K9136" s="28" t="s">
        <v>52</v>
      </c>
      <c r="L9136" s="28" t="s">
        <v>52</v>
      </c>
      <c r="M9136" s="28" t="s">
        <v>52</v>
      </c>
      <c r="N9136" s="28" t="s">
        <v>52</v>
      </c>
    </row>
    <row r="9137" spans="1:14" x14ac:dyDescent="0.15">
      <c r="A9137" s="23" t="str">
        <f>HYPERLINK("https://www.spark-marketing.ru/Card/Person/1074132", "МКУ ""УХО"" ГОРОДА КУРЧАТОВА")</f>
        <v>МКУ "УХО" ГОРОДА КУРЧАТОВА</v>
      </c>
      <c r="B9137" s="24" t="s">
        <v>11473</v>
      </c>
      <c r="C9137" s="25">
        <v>195850</v>
      </c>
      <c r="D9137" s="22" t="s">
        <v>11474</v>
      </c>
      <c r="E9137" s="22" t="s">
        <v>11475</v>
      </c>
      <c r="F9137" s="23" t="str">
        <f>HYPERLINK("https://www.spark-marketing.ru/Card/Lot/70066674", "Поставка видеооборудования для нужд Муниципального казенного учреждения ""Управление хозяйственного обслуживания"" города Курчатова")</f>
        <v>Поставка видеооборудования для нужд Муниципального казенного учреждения "Управление хозяйственного обслуживания" города Курчатова</v>
      </c>
      <c r="G9137" s="22" t="s">
        <v>3128</v>
      </c>
      <c r="H9137" s="22" t="s">
        <v>5942</v>
      </c>
      <c r="I9137" s="26">
        <v>43579.493194444403</v>
      </c>
      <c r="J9137" s="28" t="s">
        <v>52</v>
      </c>
      <c r="K9137" s="28" t="s">
        <v>52</v>
      </c>
      <c r="L9137" s="28" t="s">
        <v>52</v>
      </c>
      <c r="M9137" s="28" t="s">
        <v>52</v>
      </c>
      <c r="N9137" s="28" t="s">
        <v>52</v>
      </c>
    </row>
    <row r="9138" spans="1:14" ht="12.75" x14ac:dyDescent="0.2">
      <c r="A9138" s="23" t="str">
        <f>HYPERLINK("https://www.spark-marketing.ru/Card/Person/2049498", "РОССИЙСКАЯ АКАДЕМИЯ НАРОДНОГО ХОЗЯЙСТВА И ГОСУДАРСТВЕННОЙ СЛУЖБЫ ПРИ ПРЕЗИДЕНТЕ РОССИЙСКОЙ ФЕДЕРАЦИИ, АКАДЕМИЯ ПРИ ПРЕЗИДЕНТЕ РОССИЙСКОЙ ФЕДЕРАЦИИ, ПРЕЗИДЕНТСКАЯ АКАДЕМИЯ, РАНХИГС, ФГБОУ ВО ""РОССИЙСКАЯ АКАДЕМИЯ НАРОДНОГО ХОЗЯЙСТВА И ГОСУДАРСТВЕННОЙ ...")</f>
        <v>РОССИЙСКАЯ АКАДЕМИЯ НАРОДНОГО ХОЗЯЙСТВА И ГОСУДАРСТВЕННОЙ СЛУЖБЫ ПРИ ПРЕЗИДЕНТЕ РОССИЙСКОЙ ФЕДЕРАЦИИ, АКАДЕМИЯ ПРИ ПРЕЗИДЕНТЕ РОССИЙСКОЙ ФЕДЕРАЦИИ, ПРЕЗИДЕНТСКАЯ АКАДЕМИЯ, РАНХИГС, ФГБОУ ВО "РОССИЙСКАЯ АКАДЕМИЯ НАРОДНОГО ХОЗЯЙСТВА И ГОСУДАРСТВЕННОЙ ...</v>
      </c>
      <c r="B9138" s="24" t="s">
        <v>11476</v>
      </c>
      <c r="C9138" s="25">
        <v>105139.02</v>
      </c>
      <c r="D9138" s="22" t="s">
        <v>11477</v>
      </c>
      <c r="E9138" s="22" t="s">
        <v>789</v>
      </c>
      <c r="F9138" s="23" t="str">
        <f>HYPERLINK("https://www.spark-marketing.ru/Card/Lot/70050882", "Услуги на возмещение расходов за жилые / нежилые помещения, переданные в оперативное управление и места общего пользования, связанных с оплатой физической охраны здания общежития, технического обслуживания телевизионной системы охраны и наблюдения, т...")</f>
        <v>Услуги на возмещение расходов за жилые / нежилые помещения, переданные в оперативное управление и места общего пользования, связанных с оплатой физической охраны здания общежития, технического обслуживания телевизионной системы охраны и наблюдения, т...</v>
      </c>
      <c r="G9138" s="22" t="s">
        <v>204</v>
      </c>
      <c r="H9138" s="22" t="s">
        <v>204</v>
      </c>
      <c r="I9138" s="26">
        <v>43579.484525462998</v>
      </c>
      <c r="J9138" s="23" t="str">
        <f>HYPERLINK("https://www.spark-marketing.ru/Card/Person/3509669", "БАНК РОССИИ")</f>
        <v>БАНК РОССИИ</v>
      </c>
      <c r="K9138" s="24" t="s">
        <v>624</v>
      </c>
      <c r="L9138" s="22" t="s">
        <v>10</v>
      </c>
      <c r="M9138" s="25">
        <v>105139.02</v>
      </c>
      <c r="N9138" s="27">
        <v>0</v>
      </c>
    </row>
    <row r="9139" spans="1:14" x14ac:dyDescent="0.15">
      <c r="A9139" s="23" t="str">
        <f>HYPERLINK("https://www.spark-marketing.ru/Card/Person/77209", "МБУ ""ГЦСОН ""РОДНИК""")</f>
        <v>МБУ "ГЦСОН "РОДНИК"</v>
      </c>
      <c r="B9139" s="24" t="s">
        <v>11478</v>
      </c>
      <c r="C9139" s="25">
        <v>42258.33</v>
      </c>
      <c r="D9139" s="22" t="s">
        <v>11479</v>
      </c>
      <c r="E9139" s="22" t="s">
        <v>59</v>
      </c>
      <c r="F9139" s="23" t="str">
        <f>HYPERLINK("https://www.spark-marketing.ru/Card/Lot/70043204", "Выполнение работ по установке видеодомофона")</f>
        <v>Выполнение работ по установке видеодомофона</v>
      </c>
      <c r="G9139" s="22" t="s">
        <v>640</v>
      </c>
      <c r="H9139" s="22" t="s">
        <v>640</v>
      </c>
      <c r="I9139" s="26">
        <v>43579.461111111101</v>
      </c>
      <c r="J9139" s="23" t="str">
        <f>HYPERLINK("https://www.spark-marketing.ru/Card/Person/6313379", "Петров Максим Васильевич")</f>
        <v>Петров Максим Васильевич</v>
      </c>
      <c r="K9139" s="24" t="s">
        <v>11480</v>
      </c>
      <c r="L9139" s="28" t="s">
        <v>52</v>
      </c>
      <c r="M9139" s="28" t="s">
        <v>52</v>
      </c>
      <c r="N9139" s="28" t="s">
        <v>52</v>
      </c>
    </row>
    <row r="9140" spans="1:14" x14ac:dyDescent="0.15">
      <c r="A9140" s="23" t="str">
        <f>HYPERLINK("https://www.spark-marketing.ru/Card/Person/127006", "ФГУП ""ВЕДОМСТВЕННАЯ ОХРАНА"" МИНЭНЕРГО РОССИИ")</f>
        <v>ФГУП "ВЕДОМСТВЕННАЯ ОХРАНА" МИНЭНЕРГО РОССИИ</v>
      </c>
      <c r="B9140" s="24" t="s">
        <v>11469</v>
      </c>
      <c r="C9140" s="25">
        <v>623361.6</v>
      </c>
      <c r="D9140" s="22" t="s">
        <v>11481</v>
      </c>
      <c r="E9140" s="22" t="s">
        <v>144</v>
      </c>
      <c r="F9140" s="23" t="str">
        <f>HYPERLINK("https://www.spark-marketing.ru/Card/Lot/70050851", "Охранные услуги")</f>
        <v>Охранные услуги</v>
      </c>
      <c r="G9140" s="22" t="s">
        <v>384</v>
      </c>
      <c r="H9140" s="22" t="s">
        <v>384</v>
      </c>
      <c r="I9140" s="26">
        <v>43579.480752314797</v>
      </c>
      <c r="J9140" s="28" t="s">
        <v>52</v>
      </c>
      <c r="K9140" s="28" t="s">
        <v>52</v>
      </c>
      <c r="L9140" s="28" t="s">
        <v>52</v>
      </c>
      <c r="M9140" s="28" t="s">
        <v>52</v>
      </c>
      <c r="N9140" s="28" t="s">
        <v>52</v>
      </c>
    </row>
    <row r="9141" spans="1:14" x14ac:dyDescent="0.15">
      <c r="A9141" s="23" t="str">
        <f>HYPERLINK("https://www.spark-marketing.ru/Card/Person/127006", "ФГУП ""ВЕДОМСТВЕННАЯ ОХРАНА"" МИНЭНЕРГО РОССИИ")</f>
        <v>ФГУП "ВЕДОМСТВЕННАЯ ОХРАНА" МИНЭНЕРГО РОССИИ</v>
      </c>
      <c r="B9141" s="24" t="s">
        <v>11469</v>
      </c>
      <c r="C9141" s="25">
        <v>543996</v>
      </c>
      <c r="D9141" s="22" t="s">
        <v>11482</v>
      </c>
      <c r="E9141" s="22" t="s">
        <v>144</v>
      </c>
      <c r="F9141" s="23" t="str">
        <f>HYPERLINK("https://www.spark-marketing.ru/Card/Lot/70076502", "Охранные услуги")</f>
        <v>Охранные услуги</v>
      </c>
      <c r="G9141" s="22" t="s">
        <v>64</v>
      </c>
      <c r="H9141" s="22" t="s">
        <v>64</v>
      </c>
      <c r="I9141" s="26">
        <v>43579.496874999997</v>
      </c>
      <c r="J9141" s="28" t="s">
        <v>52</v>
      </c>
      <c r="K9141" s="28" t="s">
        <v>52</v>
      </c>
      <c r="L9141" s="28" t="s">
        <v>52</v>
      </c>
      <c r="M9141" s="28" t="s">
        <v>52</v>
      </c>
      <c r="N9141" s="28" t="s">
        <v>52</v>
      </c>
    </row>
    <row r="9142" spans="1:14" x14ac:dyDescent="0.15">
      <c r="A9142" s="23" t="str">
        <f>HYPERLINK("https://www.spark-marketing.ru/Card/Person/1027920", "МБОУ АЛАБУШЕВСКАЯ СОШ")</f>
        <v>МБОУ АЛАБУШЕВСКАЯ СОШ</v>
      </c>
      <c r="B9142" s="24" t="s">
        <v>11483</v>
      </c>
      <c r="C9142" s="25">
        <v>25300</v>
      </c>
      <c r="D9142" s="22" t="s">
        <v>11484</v>
      </c>
      <c r="E9142" s="22" t="s">
        <v>59</v>
      </c>
      <c r="F9142" s="23" t="str">
        <f>HYPERLINK("https://www.spark-marketing.ru/Card/Lot/70052221", "Монтаж и пуско-наладка системы тревожной сигнализации")</f>
        <v>Монтаж и пуско-наладка системы тревожной сигнализации</v>
      </c>
      <c r="G9142" s="22" t="s">
        <v>50</v>
      </c>
      <c r="H9142" s="22" t="s">
        <v>265</v>
      </c>
      <c r="I9142" s="26">
        <v>43579.492893518502</v>
      </c>
      <c r="J9142" s="28" t="s">
        <v>52</v>
      </c>
      <c r="K9142" s="28" t="s">
        <v>52</v>
      </c>
      <c r="L9142" s="28" t="s">
        <v>52</v>
      </c>
      <c r="M9142" s="28" t="s">
        <v>52</v>
      </c>
      <c r="N9142" s="28" t="s">
        <v>52</v>
      </c>
    </row>
    <row r="9143" spans="1:14" x14ac:dyDescent="0.15">
      <c r="A9143" s="23" t="str">
        <f>HYPERLINK("https://www.spark-marketing.ru/Card/Person/127006", "ФГУП ""ВЕДОМСТВЕННАЯ ОХРАНА"" МИНЭНЕРГО РОССИИ")</f>
        <v>ФГУП "ВЕДОМСТВЕННАЯ ОХРАНА" МИНЭНЕРГО РОССИИ</v>
      </c>
      <c r="B9143" s="24" t="s">
        <v>11469</v>
      </c>
      <c r="C9143" s="25">
        <v>732069</v>
      </c>
      <c r="D9143" s="22" t="s">
        <v>11485</v>
      </c>
      <c r="E9143" s="22" t="s">
        <v>144</v>
      </c>
      <c r="F9143" s="23" t="str">
        <f>HYPERLINK("https://www.spark-marketing.ru/Card/Lot/70078451", "Охранные услуги")</f>
        <v>Охранные услуги</v>
      </c>
      <c r="G9143" s="22" t="s">
        <v>424</v>
      </c>
      <c r="H9143" s="22" t="s">
        <v>424</v>
      </c>
      <c r="I9143" s="26">
        <v>43579.469120370399</v>
      </c>
      <c r="J9143" s="28" t="s">
        <v>52</v>
      </c>
      <c r="K9143" s="28" t="s">
        <v>52</v>
      </c>
      <c r="L9143" s="28" t="s">
        <v>52</v>
      </c>
      <c r="M9143" s="28" t="s">
        <v>52</v>
      </c>
      <c r="N9143" s="28" t="s">
        <v>52</v>
      </c>
    </row>
    <row r="9144" spans="1:14" x14ac:dyDescent="0.15">
      <c r="A9144" s="23" t="str">
        <f>HYPERLINK("https://www.spark-marketing.ru/Card/Person/4392981", "УФПС Чувашской Республики-филиал ФГУП ""Почта России""")</f>
        <v>УФПС Чувашской Республики-филиал ФГУП "Почта России"</v>
      </c>
      <c r="B9144" s="24" t="s">
        <v>1424</v>
      </c>
      <c r="C9144" s="25">
        <v>75544.38</v>
      </c>
      <c r="D9144" s="22" t="s">
        <v>11486</v>
      </c>
      <c r="E9144" s="22" t="s">
        <v>53</v>
      </c>
      <c r="F9144" s="23" t="str">
        <f>HYPERLINK("https://www.spark-marketing.ru/Card/Lot/71232942", "Оказание услуг по замене блоков с системой криптографической защиты информации и настройке тахографического оборудования для транспортных средств УФПС Чувашской Республике - филиала ФГУП «Почта России»")</f>
        <v>Оказание услуг по замене блоков с системой криптографической защиты информации и настройке тахографического оборудования для транспортных средств УФПС Чувашской Республике - филиала ФГУП «Почта России»</v>
      </c>
      <c r="G9144" s="22" t="s">
        <v>1137</v>
      </c>
      <c r="H9144" s="22" t="s">
        <v>1137</v>
      </c>
      <c r="I9144" s="26">
        <v>43579.436805555597</v>
      </c>
      <c r="J9144" s="28" t="s">
        <v>52</v>
      </c>
      <c r="K9144" s="28" t="s">
        <v>52</v>
      </c>
      <c r="L9144" s="28" t="s">
        <v>52</v>
      </c>
      <c r="M9144" s="28" t="s">
        <v>52</v>
      </c>
      <c r="N9144" s="28" t="s">
        <v>52</v>
      </c>
    </row>
    <row r="9145" spans="1:14" x14ac:dyDescent="0.15">
      <c r="A9145" s="23" t="str">
        <f>HYPERLINK("https://www.spark-marketing.ru/Card/Person/1298897", "МОУ ""ДМИТРОВСКАЯ ГИМНАЗИЯ ""ЛОГОС""")</f>
        <v>МОУ "ДМИТРОВСКАЯ ГИМНАЗИЯ "ЛОГОС"</v>
      </c>
      <c r="B9145" s="24" t="s">
        <v>11487</v>
      </c>
      <c r="C9145" s="25">
        <v>12827</v>
      </c>
      <c r="D9145" s="22" t="s">
        <v>11488</v>
      </c>
      <c r="E9145" s="22" t="s">
        <v>107</v>
      </c>
      <c r="F9145" s="23" t="str">
        <f>HYPERLINK("https://www.spark-marketing.ru/Card/Lot/70049422", "Установка видеокамеры")</f>
        <v>Установка видеокамеры</v>
      </c>
      <c r="G9145" s="22" t="s">
        <v>50</v>
      </c>
      <c r="H9145" s="22" t="s">
        <v>504</v>
      </c>
      <c r="I9145" s="26">
        <v>43579.451446759304</v>
      </c>
      <c r="J9145" s="28" t="s">
        <v>52</v>
      </c>
      <c r="K9145" s="28" t="s">
        <v>52</v>
      </c>
      <c r="L9145" s="28" t="s">
        <v>52</v>
      </c>
      <c r="M9145" s="28" t="s">
        <v>52</v>
      </c>
      <c r="N9145" s="28" t="s">
        <v>52</v>
      </c>
    </row>
    <row r="9146" spans="1:14" x14ac:dyDescent="0.15">
      <c r="A9146" s="23" t="str">
        <f>HYPERLINK("https://www.spark-marketing.ru/Card/Person/127006", "ФГУП ""ВЕДОМСТВЕННАЯ ОХРАНА"" МИНЭНЕРГО РОССИИ")</f>
        <v>ФГУП "ВЕДОМСТВЕННАЯ ОХРАНА" МИНЭНЕРГО РОССИИ</v>
      </c>
      <c r="B9146" s="24" t="s">
        <v>11469</v>
      </c>
      <c r="C9146" s="25">
        <v>522023.04</v>
      </c>
      <c r="D9146" s="22" t="s">
        <v>11489</v>
      </c>
      <c r="E9146" s="22" t="s">
        <v>144</v>
      </c>
      <c r="F9146" s="23" t="str">
        <f>HYPERLINK("https://www.spark-marketing.ru/Card/Lot/70048969", "Охранные услуги")</f>
        <v>Охранные услуги</v>
      </c>
      <c r="G9146" s="22" t="s">
        <v>538</v>
      </c>
      <c r="H9146" s="22" t="s">
        <v>538</v>
      </c>
      <c r="I9146" s="26">
        <v>43579.448541666701</v>
      </c>
      <c r="J9146" s="28" t="s">
        <v>52</v>
      </c>
      <c r="K9146" s="28" t="s">
        <v>52</v>
      </c>
      <c r="L9146" s="28" t="s">
        <v>52</v>
      </c>
      <c r="M9146" s="28" t="s">
        <v>52</v>
      </c>
      <c r="N9146" s="28" t="s">
        <v>52</v>
      </c>
    </row>
    <row r="9147" spans="1:14" x14ac:dyDescent="0.15">
      <c r="A9147" s="23" t="str">
        <f>HYPERLINK("https://www.spark-marketing.ru/Card/Person/294428", "ГУП НАО ""НАРЬЯН-МАРСКАЯ ЭЛЕКТРОСТАНЦИЯ""")</f>
        <v>ГУП НАО "НАРЬЯН-МАРСКАЯ ЭЛЕКТРОСТАНЦИЯ"</v>
      </c>
      <c r="B9147" s="24" t="s">
        <v>11490</v>
      </c>
      <c r="C9147" s="25">
        <v>5808523.6799999997</v>
      </c>
      <c r="D9147" s="22" t="s">
        <v>11491</v>
      </c>
      <c r="E9147" s="22" t="s">
        <v>363</v>
      </c>
      <c r="F9147" s="23" t="str">
        <f>HYPERLINK("https://www.spark-marketing.ru/Card/Lot/70048137", "Оказание услуг по охране объекта и поддержание пропускного режима на ГУП НАО «Нарьян-Марская электростанция» по улице 60-летия Октября 37")</f>
        <v>Оказание услуг по охране объекта и поддержание пропускного режима на ГУП НАО «Нарьян-Марская электростанция» по улице 60-летия Октября 37</v>
      </c>
      <c r="G9147" s="22" t="s">
        <v>1014</v>
      </c>
      <c r="H9147" s="22" t="s">
        <v>1014</v>
      </c>
      <c r="I9147" s="26">
        <v>43579.418912036999</v>
      </c>
      <c r="J9147" s="28" t="s">
        <v>52</v>
      </c>
      <c r="K9147" s="28" t="s">
        <v>52</v>
      </c>
      <c r="L9147" s="28" t="s">
        <v>52</v>
      </c>
      <c r="M9147" s="28" t="s">
        <v>52</v>
      </c>
      <c r="N9147" s="28" t="s">
        <v>52</v>
      </c>
    </row>
    <row r="9148" spans="1:14" x14ac:dyDescent="0.2">
      <c r="A9148" s="23" t="str">
        <f>HYPERLINK("https://www.spark-marketing.ru/Card/Person/359144", "МУП ""ПУШКИНСКАЯ ЭЛЕКТРОСЕТЬ""")</f>
        <v>МУП "ПУШКИНСКАЯ ЭЛЕКТРОСЕТЬ"</v>
      </c>
      <c r="B9148" s="24" t="s">
        <v>11492</v>
      </c>
      <c r="C9148" s="25">
        <v>36350</v>
      </c>
      <c r="D9148" s="22" t="s">
        <v>11493</v>
      </c>
      <c r="E9148" s="22" t="s">
        <v>370</v>
      </c>
      <c r="F9148" s="23" t="str">
        <f>HYPERLINK("https://www.spark-marketing.ru/Card/Lot/70048131", "Оказание услуг по установке электромагнитного замка и видеодомофонов для нужд МУП «Пушкинская электросеть»")</f>
        <v>Оказание услуг по установке электромагнитного замка и видеодомофонов для нужд МУП «Пушкинская электросеть»</v>
      </c>
      <c r="G9148" s="22" t="s">
        <v>50</v>
      </c>
      <c r="H9148" s="22" t="s">
        <v>50</v>
      </c>
      <c r="I9148" s="26">
        <v>43579.417569444398</v>
      </c>
      <c r="J9148" s="23" t="str">
        <f>HYPERLINK("https://www.spark-marketing.ru/Card/Person/724731", "ООО ""ФИРМА ""ДИАЛОГ-К""")</f>
        <v>ООО "ФИРМА "ДИАЛОГ-К"</v>
      </c>
      <c r="K9148" s="24" t="s">
        <v>11494</v>
      </c>
      <c r="L9148" s="28" t="s">
        <v>52</v>
      </c>
      <c r="M9148" s="25">
        <v>36350</v>
      </c>
      <c r="N9148" s="27">
        <v>0</v>
      </c>
    </row>
    <row r="9149" spans="1:14" x14ac:dyDescent="0.15">
      <c r="A9149" s="23" t="str">
        <f>HYPERLINK("https://www.spark-marketing.ru/Card/Person/44967", "ФГАОУ ВО ""ДАЛЬНЕВОСТОЧНЫЙ ФЕДЕРАЛЬНЫЙ УНИВЕРСИТЕТ"", ДАЛЬНЕВОСТОЧНЫЙ ФЕДЕРАЛЬНЫЙ УНИВЕРСИТЕТ, ФГАОУ ВО ДВФУ, ДВФУ")</f>
        <v>ФГАОУ ВО "ДАЛЬНЕВОСТОЧНЫЙ ФЕДЕРАЛЬНЫЙ УНИВЕРСИТЕТ", ДАЛЬНЕВОСТОЧНЫЙ ФЕДЕРАЛЬНЫЙ УНИВЕРСИТЕТ, ФГАОУ ВО ДВФУ, ДВФУ</v>
      </c>
      <c r="B9149" s="24" t="s">
        <v>11495</v>
      </c>
      <c r="C9149" s="25">
        <v>5000000</v>
      </c>
      <c r="D9149" s="22" t="s">
        <v>11496</v>
      </c>
      <c r="E9149" s="22" t="s">
        <v>11497</v>
      </c>
      <c r="F9149" s="23" t="str">
        <f>HYPERLINK("https://www.spark-marketing.ru/Card/Lot/70039952", "Выполнение научно-технической работы по разработке требований к бетону по морозостойкости стен и днища сухого дока в рамках программы научно-технического сопровождения строительства объекта: «Создание судостроительного комплекса «Звезда»")</f>
        <v>Выполнение научно-технической работы по разработке требований к бетону по морозостойкости стен и днища сухого дока в рамках программы научно-технического сопровождения строительства объекта: «Создание судостроительного комплекса «Звезда»</v>
      </c>
      <c r="G9149" s="22" t="s">
        <v>409</v>
      </c>
      <c r="H9149" s="22" t="s">
        <v>409</v>
      </c>
      <c r="I9149" s="26">
        <v>43579.453182870398</v>
      </c>
      <c r="J9149" s="28" t="s">
        <v>52</v>
      </c>
      <c r="K9149" s="28" t="s">
        <v>52</v>
      </c>
      <c r="L9149" s="28" t="s">
        <v>52</v>
      </c>
      <c r="M9149" s="28" t="s">
        <v>52</v>
      </c>
      <c r="N9149" s="28" t="s">
        <v>52</v>
      </c>
    </row>
    <row r="9150" spans="1:14" x14ac:dyDescent="0.15">
      <c r="A9150" s="23" t="str">
        <f>HYPERLINK("https://www.spark-marketing.ru/Card/Person/127006", "ФГУП ""ВЕДОМСТВЕННАЯ ОХРАНА"" МИНЭНЕРГО РОССИИ")</f>
        <v>ФГУП "ВЕДОМСТВЕННАЯ ОХРАНА" МИНЭНЕРГО РОССИИ</v>
      </c>
      <c r="B9150" s="24" t="s">
        <v>11469</v>
      </c>
      <c r="C9150" s="25">
        <v>522023.04</v>
      </c>
      <c r="D9150" s="22" t="s">
        <v>11498</v>
      </c>
      <c r="E9150" s="22" t="s">
        <v>144</v>
      </c>
      <c r="F9150" s="23" t="str">
        <f>HYPERLINK("https://www.spark-marketing.ru/Card/Lot/70048807", "Охранные услуги")</f>
        <v>Охранные услуги</v>
      </c>
      <c r="G9150" s="22" t="s">
        <v>538</v>
      </c>
      <c r="H9150" s="22" t="s">
        <v>538</v>
      </c>
      <c r="I9150" s="26">
        <v>43579.441469907397</v>
      </c>
      <c r="J9150" s="28" t="s">
        <v>52</v>
      </c>
      <c r="K9150" s="28" t="s">
        <v>52</v>
      </c>
      <c r="L9150" s="28" t="s">
        <v>52</v>
      </c>
      <c r="M9150" s="28" t="s">
        <v>52</v>
      </c>
      <c r="N9150" s="28" t="s">
        <v>52</v>
      </c>
    </row>
    <row r="9151" spans="1:14" x14ac:dyDescent="0.15">
      <c r="A9151" s="23" t="str">
        <f>HYPERLINK("https://www.spark-marketing.ru/Card/Person/250938", "ОУМИ Г. БОРОДИНО")</f>
        <v>ОУМИ Г. БОРОДИНО</v>
      </c>
      <c r="B9151" s="24" t="s">
        <v>11499</v>
      </c>
      <c r="C9151" s="25">
        <v>358176</v>
      </c>
      <c r="D9151" s="22" t="s">
        <v>11500</v>
      </c>
      <c r="E9151" s="22" t="s">
        <v>52</v>
      </c>
      <c r="F9151" s="23" t="str">
        <f>HYPERLINK("https://www.spark-marketing.ru/Card/Lot/70042973", "Услуги по охране здания по адресу: г. Бородино, ул. Горького, д. 6, пом. 2")</f>
        <v>Услуги по охране здания по адресу: г. Бородино, ул. Горького, д. 6, пом. 2</v>
      </c>
      <c r="G9151" s="22" t="s">
        <v>640</v>
      </c>
      <c r="H9151" s="22" t="s">
        <v>11501</v>
      </c>
      <c r="I9151" s="26">
        <v>43579.434027777803</v>
      </c>
      <c r="J9151" s="28" t="s">
        <v>52</v>
      </c>
      <c r="K9151" s="28" t="s">
        <v>52</v>
      </c>
      <c r="L9151" s="28" t="s">
        <v>52</v>
      </c>
      <c r="M9151" s="28" t="s">
        <v>52</v>
      </c>
      <c r="N9151" s="28" t="s">
        <v>52</v>
      </c>
    </row>
    <row r="9152" spans="1:14" ht="12.75" hidden="1" outlineLevel="1" x14ac:dyDescent="0.2">
      <c r="A9152" s="23" t="str">
        <f>HYPERLINK("https://www.spark-marketing.ru/Card/Person/250938", "ОУМИ Г. БОРОДИНО")</f>
        <v>ОУМИ Г. БОРОДИНО</v>
      </c>
      <c r="B9152" s="24" t="s">
        <v>11499</v>
      </c>
      <c r="C9152" s="25">
        <v>358176</v>
      </c>
      <c r="D9152" s="22" t="s">
        <v>11500</v>
      </c>
      <c r="E9152" s="22" t="s">
        <v>52</v>
      </c>
      <c r="F9152" s="23" t="str">
        <f>HYPERLINK("https://www.spark-marketing.ru/Card/Lot/70042973", "Услуги по охране здания по адресу: г. Бородино, ул. Горького, д. 6, пом. 2")</f>
        <v>Услуги по охране здания по адресу: г. Бородино, ул. Горького, д. 6, пом. 2</v>
      </c>
      <c r="G9152" s="22" t="s">
        <v>640</v>
      </c>
      <c r="H9152" s="22" t="s">
        <v>11501</v>
      </c>
      <c r="I9152" s="26">
        <v>43579.434027777803</v>
      </c>
      <c r="J9152" s="23" t="str">
        <f>HYPERLINK("https://www.spark-marketing.ru/Card/Person/51458", "ООО ""КАЗАЧИЙ РАЗЪЕЗД""")</f>
        <v>ООО "КАЗАЧИЙ РАЗЪЕЗД"</v>
      </c>
      <c r="K9152" s="24" t="s">
        <v>11502</v>
      </c>
      <c r="L9152" s="22" t="s">
        <v>10</v>
      </c>
      <c r="M9152" s="25">
        <v>356385.12</v>
      </c>
      <c r="N9152" s="27">
        <v>5.0000000000000001E-3</v>
      </c>
    </row>
    <row r="9153" spans="1:14" hidden="1" outlineLevel="1" x14ac:dyDescent="0.2">
      <c r="A9153" s="23" t="str">
        <f>HYPERLINK("https://www.spark-marketing.ru/Card/Person/250938", "ОУМИ Г. БОРОДИНО")</f>
        <v>ОУМИ Г. БОРОДИНО</v>
      </c>
      <c r="B9153" s="24" t="s">
        <v>11499</v>
      </c>
      <c r="C9153" s="25">
        <v>358176</v>
      </c>
      <c r="D9153" s="22" t="s">
        <v>11500</v>
      </c>
      <c r="E9153" s="22" t="s">
        <v>52</v>
      </c>
      <c r="F9153" s="23" t="str">
        <f>HYPERLINK("https://www.spark-marketing.ru/Card/Lot/70042973", "Услуги по охране здания по адресу: г. Бородино, ул. Горького, д. 6, пом. 2")</f>
        <v>Услуги по охране здания по адресу: г. Бородино, ул. Горького, д. 6, пом. 2</v>
      </c>
      <c r="G9153" s="22" t="s">
        <v>640</v>
      </c>
      <c r="H9153" s="22" t="s">
        <v>11501</v>
      </c>
      <c r="I9153" s="26">
        <v>43579.434027777803</v>
      </c>
      <c r="J9153" s="23" t="str">
        <f>HYPERLINK("https://www.spark-marketing.ru/Card/Person/472540", "ООО ""МОЛОТ""")</f>
        <v>ООО "МОЛОТ"</v>
      </c>
      <c r="K9153" s="24" t="s">
        <v>4684</v>
      </c>
      <c r="L9153" s="28" t="s">
        <v>52</v>
      </c>
      <c r="M9153" s="25">
        <v>356385.12</v>
      </c>
      <c r="N9153" s="27">
        <v>5.0000000000000001E-3</v>
      </c>
    </row>
    <row r="9154" spans="1:14" x14ac:dyDescent="0.15">
      <c r="A9154" s="23" t="str">
        <f>HYPERLINK("https://www.spark-marketing.ru/Card/Person/1005847", "ФКУ ""ГБ МСЭ ПО МАГАДАНСКОЙ ОБЛАСТИ"" МИНТРУДА РОССИИ")</f>
        <v>ФКУ "ГБ МСЭ ПО МАГАДАНСКОЙ ОБЛАСТИ" МИНТРУДА РОССИИ</v>
      </c>
      <c r="B9154" s="24" t="s">
        <v>11503</v>
      </c>
      <c r="C9154" s="25">
        <v>25664.400000000001</v>
      </c>
      <c r="D9154" s="22" t="s">
        <v>11504</v>
      </c>
      <c r="E9154" s="22" t="s">
        <v>53</v>
      </c>
      <c r="F9154" s="23" t="str">
        <f>HYPERLINK("https://www.spark-marketing.ru/Card/Lot/70769609", "охрана объекта при помощи кнопки тревожной сигнализации")</f>
        <v>охрана объекта при помощи кнопки тревожной сигнализации</v>
      </c>
      <c r="G9154" s="22" t="s">
        <v>808</v>
      </c>
      <c r="H9154" s="22" t="s">
        <v>809</v>
      </c>
      <c r="I9154" s="26">
        <v>43579.378391203703</v>
      </c>
      <c r="J9154" s="28" t="s">
        <v>52</v>
      </c>
      <c r="K9154" s="28" t="s">
        <v>52</v>
      </c>
      <c r="L9154" s="28" t="s">
        <v>52</v>
      </c>
      <c r="M9154" s="28" t="s">
        <v>52</v>
      </c>
      <c r="N9154" s="28" t="s">
        <v>52</v>
      </c>
    </row>
    <row r="9155" spans="1:14" x14ac:dyDescent="0.2">
      <c r="A9155" s="23" t="str">
        <f>HYPERLINK("https://www.spark-marketing.ru/Card/Person/4343405", "ФГУП ""ГОСКОРПОРАЦИЯ ПО ОРВД""")</f>
        <v>ФГУП "ГОСКОРПОРАЦИЯ ПО ОРВД"</v>
      </c>
      <c r="B9155" s="24" t="s">
        <v>801</v>
      </c>
      <c r="C9155" s="25">
        <v>736570</v>
      </c>
      <c r="D9155" s="22" t="s">
        <v>11505</v>
      </c>
      <c r="E9155" s="22" t="s">
        <v>11506</v>
      </c>
      <c r="F9155" s="23" t="str">
        <f>HYPERLINK("https://www.spark-marketing.ru/Card/Lot/70046160", "Оказание услуг по обеспечению пропускного, внутриобъектового режима для нужд Мурманского центра ОВД Филиала «Аэронавигация Северо-Запада» ФГУП «Госкорпорация по ОрВД»")</f>
        <v>Оказание услуг по обеспечению пропускного, внутриобъектового режима для нужд Мурманского центра ОВД Филиала «Аэронавигация Северо-Запада» ФГУП «Госкорпорация по ОрВД»</v>
      </c>
      <c r="G9155" s="22" t="s">
        <v>190</v>
      </c>
      <c r="H9155" s="22" t="s">
        <v>190</v>
      </c>
      <c r="I9155" s="26">
        <v>43579.366006944401</v>
      </c>
      <c r="J9155" s="23" t="str">
        <f>HYPERLINK("https://www.spark-marketing.ru/Card/Person/594101", "ОАО ""АЭРОПОРТ""")</f>
        <v>ОАО "АЭРОПОРТ"</v>
      </c>
      <c r="K9155" s="24" t="s">
        <v>11507</v>
      </c>
      <c r="L9155" s="28" t="s">
        <v>52</v>
      </c>
      <c r="M9155" s="25">
        <v>736570</v>
      </c>
      <c r="N9155" s="27">
        <v>0</v>
      </c>
    </row>
    <row r="9156" spans="1:14" x14ac:dyDescent="0.15">
      <c r="A9156" s="23" t="str">
        <f>HYPERLINK("https://www.spark-marketing.ru/Card/Person/5898154", "ГИПРОВОСТОКНЕФТЬ")</f>
        <v>ГИПРОВОСТОКНЕФТЬ</v>
      </c>
      <c r="B9156" s="28" t="s">
        <v>52</v>
      </c>
      <c r="C9156" s="25">
        <v>3780000</v>
      </c>
      <c r="D9156" s="28" t="s">
        <v>52</v>
      </c>
      <c r="E9156" s="22" t="s">
        <v>53</v>
      </c>
      <c r="F9156" s="23" t="str">
        <f>HYPERLINK("https://www.spark-marketing.ru/Card/Lot/70308242", "АО Гипровостокнефть проводит открытый тендер на оказание охранных услуг на 3-х объектах")</f>
        <v>АО Гипровостокнефть проводит открытый тендер на оказание охранных услуг на 3-х объектах</v>
      </c>
      <c r="G9156" s="22" t="s">
        <v>52</v>
      </c>
      <c r="H9156" s="22" t="s">
        <v>52</v>
      </c>
      <c r="I9156" s="26">
        <v>43579</v>
      </c>
      <c r="J9156" s="28" t="s">
        <v>52</v>
      </c>
      <c r="K9156" s="28" t="s">
        <v>52</v>
      </c>
      <c r="L9156" s="28" t="s">
        <v>52</v>
      </c>
      <c r="M9156" s="28" t="s">
        <v>52</v>
      </c>
      <c r="N9156" s="28" t="s">
        <v>52</v>
      </c>
    </row>
    <row r="9157" spans="1:14" x14ac:dyDescent="0.15">
      <c r="A9157" s="23" t="str">
        <f>HYPERLINK("https://www.spark-marketing.ru/Card/Person/6450322", "ЗАКАЗЧИК РП БЕЛАРУСЬ")</f>
        <v>ЗАКАЗЧИК РП БЕЛАРУСЬ</v>
      </c>
      <c r="B9157" s="28" t="s">
        <v>52</v>
      </c>
      <c r="C9157" s="25">
        <v>10380914.5825</v>
      </c>
      <c r="D9157" s="22" t="s">
        <v>11508</v>
      </c>
      <c r="E9157" s="22" t="s">
        <v>53</v>
      </c>
      <c r="F9157" s="23" t="str">
        <f>HYPERLINK("https://www.spark-marketing.ru/Card/Lot/70109684", "работы по абонентскому техническому обслуживанию оборудования платежно-справочных терминалов самообслуживания с установленным модулем приема денежных средств (далее - модуль Cash-In) либо без него (далее - ПСТС) производства ООО «Туссон» (далее - ПСТ...")</f>
        <v>работы по абонентскому техническому обслуживанию оборудования платежно-справочных терминалов самообслуживания с установленным модулем приема денежных средств (далее - модуль Cash-In) либо без него (далее - ПСТС) производства ООО «Туссон» (далее - ПСТ...</v>
      </c>
      <c r="G9157" s="22" t="s">
        <v>52</v>
      </c>
      <c r="H9157" s="22" t="s">
        <v>52</v>
      </c>
      <c r="I9157" s="26">
        <v>43579</v>
      </c>
      <c r="J9157" s="28" t="s">
        <v>52</v>
      </c>
      <c r="K9157" s="28" t="s">
        <v>52</v>
      </c>
      <c r="L9157" s="28" t="s">
        <v>52</v>
      </c>
      <c r="M9157" s="28" t="s">
        <v>52</v>
      </c>
      <c r="N9157" s="28" t="s">
        <v>52</v>
      </c>
    </row>
    <row r="9158" spans="1:14" x14ac:dyDescent="0.15">
      <c r="A9158" s="23" t="str">
        <f>HYPERLINK("https://www.spark-marketing.ru/Card/Person/5898154", "ГИПРОВОСТОКНЕФТЬ")</f>
        <v>ГИПРОВОСТОКНЕФТЬ</v>
      </c>
      <c r="B9158" s="28" t="s">
        <v>52</v>
      </c>
      <c r="C9158" s="25">
        <v>3240000</v>
      </c>
      <c r="D9158" s="28" t="s">
        <v>52</v>
      </c>
      <c r="E9158" s="22" t="s">
        <v>53</v>
      </c>
      <c r="F9158" s="23" t="str">
        <f>HYPERLINK("https://www.spark-marketing.ru/Card/Lot/70069746", "АО Гипровостокнефть проводит открытый тендер на оказание охранных услуг на 3-х объектах")</f>
        <v>АО Гипровостокнефть проводит открытый тендер на оказание охранных услуг на 3-х объектах</v>
      </c>
      <c r="G9158" s="22" t="s">
        <v>52</v>
      </c>
      <c r="H9158" s="22" t="s">
        <v>52</v>
      </c>
      <c r="I9158" s="26">
        <v>43579</v>
      </c>
      <c r="J9158" s="28" t="s">
        <v>52</v>
      </c>
      <c r="K9158" s="28" t="s">
        <v>52</v>
      </c>
      <c r="L9158" s="28" t="s">
        <v>52</v>
      </c>
      <c r="M9158" s="28" t="s">
        <v>52</v>
      </c>
      <c r="N9158" s="28" t="s">
        <v>52</v>
      </c>
    </row>
    <row r="9159" spans="1:14" x14ac:dyDescent="0.15">
      <c r="A9159" s="23" t="str">
        <f>HYPERLINK("https://www.spark-marketing.ru/Card/Person/1048468", "МБУ ""МЕНДЮКИНСКИЙ СДК""")</f>
        <v>МБУ "МЕНДЮКИНСКИЙ СДК"</v>
      </c>
      <c r="B9159" s="24" t="s">
        <v>6552</v>
      </c>
      <c r="C9159" s="25">
        <v>140220</v>
      </c>
      <c r="D9159" s="22" t="s">
        <v>11509</v>
      </c>
      <c r="E9159" s="22" t="s">
        <v>84</v>
      </c>
      <c r="F9159" s="23" t="str">
        <f>HYPERLINK("https://www.spark-marketing.ru/Card/Lot/70030567", "Установка системы видеонаблюдения")</f>
        <v>Установка системы видеонаблюдения</v>
      </c>
      <c r="G9159" s="22" t="s">
        <v>50</v>
      </c>
      <c r="H9159" s="22" t="s">
        <v>1056</v>
      </c>
      <c r="I9159" s="26">
        <v>43578.763321759303</v>
      </c>
      <c r="J9159" s="28" t="s">
        <v>52</v>
      </c>
      <c r="K9159" s="28" t="s">
        <v>52</v>
      </c>
      <c r="L9159" s="28" t="s">
        <v>52</v>
      </c>
      <c r="M9159" s="28" t="s">
        <v>52</v>
      </c>
      <c r="N9159" s="28" t="s">
        <v>52</v>
      </c>
    </row>
    <row r="9160" spans="1:14" x14ac:dyDescent="0.15">
      <c r="A9160" s="23" t="str">
        <f>HYPERLINK("https://www.spark-marketing.ru/Card/Person/1042490", "МОУ ""РАМЕНСКАЯ СОШ""")</f>
        <v>МОУ "РАМЕНСКАЯ СОШ"</v>
      </c>
      <c r="B9160" s="24" t="s">
        <v>11510</v>
      </c>
      <c r="C9160" s="25">
        <v>40000</v>
      </c>
      <c r="D9160" s="22" t="s">
        <v>11511</v>
      </c>
      <c r="E9160" s="22" t="s">
        <v>103</v>
      </c>
      <c r="F9160" s="23" t="str">
        <f>HYPERLINK("https://www.spark-marketing.ru/Card/Lot/70027806", "Оказание услуг по обслуживанию видеонаблюдения автобуса №2")</f>
        <v>Оказание услуг по обслуживанию видеонаблюдения автобуса №2</v>
      </c>
      <c r="G9160" s="22" t="s">
        <v>50</v>
      </c>
      <c r="H9160" s="22" t="s">
        <v>3526</v>
      </c>
      <c r="I9160" s="26">
        <v>43578.7425</v>
      </c>
      <c r="J9160" s="28" t="s">
        <v>52</v>
      </c>
      <c r="K9160" s="28" t="s">
        <v>52</v>
      </c>
      <c r="L9160" s="28" t="s">
        <v>52</v>
      </c>
      <c r="M9160" s="28" t="s">
        <v>52</v>
      </c>
      <c r="N9160" s="28" t="s">
        <v>52</v>
      </c>
    </row>
    <row r="9161" spans="1:14" x14ac:dyDescent="0.15">
      <c r="A9161" s="23" t="str">
        <f>HYPERLINK("https://www.spark-marketing.ru/Card/Person/2126685", "МАДОУ ЦРР Д/С № 31")</f>
        <v>МАДОУ ЦРР Д/С № 31</v>
      </c>
      <c r="B9161" s="24" t="s">
        <v>11512</v>
      </c>
      <c r="C9161" s="25">
        <v>170950</v>
      </c>
      <c r="D9161" s="22" t="s">
        <v>11513</v>
      </c>
      <c r="E9161" s="22" t="s">
        <v>3608</v>
      </c>
      <c r="F9161" s="23" t="str">
        <f>HYPERLINK("https://www.spark-marketing.ru/Card/Lot/70036693", "приобретение и установка системы видеонаблюдения")</f>
        <v>приобретение и установка системы видеонаблюдения</v>
      </c>
      <c r="G9161" s="22" t="s">
        <v>247</v>
      </c>
      <c r="H9161" s="22" t="s">
        <v>247</v>
      </c>
      <c r="I9161" s="26">
        <v>43578.735393518502</v>
      </c>
      <c r="J9161" s="28" t="s">
        <v>52</v>
      </c>
      <c r="K9161" s="28" t="s">
        <v>52</v>
      </c>
      <c r="L9161" s="28" t="s">
        <v>52</v>
      </c>
      <c r="M9161" s="28" t="s">
        <v>52</v>
      </c>
      <c r="N9161" s="28" t="s">
        <v>52</v>
      </c>
    </row>
    <row r="9162" spans="1:14" x14ac:dyDescent="0.15">
      <c r="A9162" s="23" t="str">
        <f>HYPERLINK("https://www.spark-marketing.ru/Card/Person/421236", "ОАО ""АЭРОПОРТ СУРГУТ""")</f>
        <v>ОАО "АЭРОПОРТ СУРГУТ"</v>
      </c>
      <c r="B9162" s="24" t="s">
        <v>11514</v>
      </c>
      <c r="C9162" s="25">
        <v>2955252</v>
      </c>
      <c r="D9162" s="22" t="s">
        <v>11515</v>
      </c>
      <c r="E9162" s="22" t="s">
        <v>10608</v>
      </c>
      <c r="F9162" s="23" t="str">
        <f>HYPERLINK("https://www.spark-marketing.ru/Card/Lot/70037410", "Выполнение работ по техническому обслуживанию инженерно-технических средств охраны")</f>
        <v>Выполнение работ по техническому обслуживанию инженерно-технических средств охраны</v>
      </c>
      <c r="G9162" s="22" t="s">
        <v>311</v>
      </c>
      <c r="H9162" s="22" t="s">
        <v>311</v>
      </c>
      <c r="I9162" s="26">
        <v>43578.689143518503</v>
      </c>
      <c r="J9162" s="28" t="s">
        <v>52</v>
      </c>
      <c r="K9162" s="28" t="s">
        <v>52</v>
      </c>
      <c r="L9162" s="28" t="s">
        <v>52</v>
      </c>
      <c r="M9162" s="28" t="s">
        <v>52</v>
      </c>
      <c r="N9162" s="28" t="s">
        <v>52</v>
      </c>
    </row>
    <row r="9163" spans="1:14" x14ac:dyDescent="0.15">
      <c r="A9163" s="23" t="str">
        <f>HYPERLINK("https://www.spark-marketing.ru/Card/Person/1777558", "МАДОУ Д/С №4 ""ПОДСНЕЖНИК""")</f>
        <v>МАДОУ Д/С №4 "ПОДСНЕЖНИК"</v>
      </c>
      <c r="B9163" s="24" t="s">
        <v>11516</v>
      </c>
      <c r="C9163" s="25">
        <v>49800</v>
      </c>
      <c r="D9163" s="22" t="s">
        <v>11517</v>
      </c>
      <c r="E9163" s="22" t="s">
        <v>183</v>
      </c>
      <c r="F9163" s="23" t="str">
        <f>HYPERLINK("https://www.spark-marketing.ru/Card/Lot/70020652", "Оказание услуг по техническому обслуживанию системы доступа и системы видеонаблюдения")</f>
        <v>Оказание услуг по техническому обслуживанию системы доступа и системы видеонаблюдения</v>
      </c>
      <c r="G9163" s="22" t="s">
        <v>50</v>
      </c>
      <c r="H9163" s="22" t="s">
        <v>4782</v>
      </c>
      <c r="I9163" s="26">
        <v>43578.638287037</v>
      </c>
      <c r="J9163" s="28" t="s">
        <v>52</v>
      </c>
      <c r="K9163" s="28" t="s">
        <v>52</v>
      </c>
      <c r="L9163" s="28" t="s">
        <v>52</v>
      </c>
      <c r="M9163" s="28" t="s">
        <v>52</v>
      </c>
      <c r="N9163" s="28" t="s">
        <v>52</v>
      </c>
    </row>
    <row r="9164" spans="1:14" x14ac:dyDescent="0.15">
      <c r="A9164" s="23" t="str">
        <f>HYPERLINK("https://www.spark-marketing.ru/Card/Person/1028625", "ОГБУЗ МЦ МР РЕЗЕРВ КО")</f>
        <v>ОГБУЗ МЦ МР РЕЗЕРВ КО</v>
      </c>
      <c r="B9164" s="24" t="s">
        <v>11455</v>
      </c>
      <c r="C9164" s="25">
        <v>85454.91</v>
      </c>
      <c r="D9164" s="22" t="s">
        <v>11518</v>
      </c>
      <c r="E9164" s="22" t="s">
        <v>68</v>
      </c>
      <c r="F9164" s="23" t="str">
        <f>HYPERLINK("https://www.spark-marketing.ru/Card/Lot/70017467", "организация охраны объектов, подключенных на пульт централизованного наблюдения и экстренному вызову наряда полиции")</f>
        <v>организация охраны объектов, подключенных на пульт централизованного наблюдения и экстренному вызову наряда полиции</v>
      </c>
      <c r="G9164" s="22" t="s">
        <v>1104</v>
      </c>
      <c r="H9164" s="22" t="s">
        <v>1105</v>
      </c>
      <c r="I9164" s="26">
        <v>43578.634722222203</v>
      </c>
      <c r="J9164" s="28" t="s">
        <v>52</v>
      </c>
      <c r="K9164" s="28" t="s">
        <v>52</v>
      </c>
      <c r="L9164" s="28" t="s">
        <v>52</v>
      </c>
      <c r="M9164" s="28" t="s">
        <v>52</v>
      </c>
      <c r="N9164" s="28" t="s">
        <v>52</v>
      </c>
    </row>
    <row r="9165" spans="1:14" x14ac:dyDescent="0.15">
      <c r="A9165" s="23" t="str">
        <f>HYPERLINK("https://www.spark-marketing.ru/Card/Person/13659", "КУЗ ВО ""ВОКПТД ИМ. Н.С. ПОХВИСНЕВОЙ """)</f>
        <v>КУЗ ВО "ВОКПТД ИМ. Н.С. ПОХВИСНЕВОЙ "</v>
      </c>
      <c r="B9165" s="24" t="s">
        <v>11519</v>
      </c>
      <c r="C9165" s="25">
        <v>68640</v>
      </c>
      <c r="D9165" s="22" t="s">
        <v>11520</v>
      </c>
      <c r="E9165" s="22" t="s">
        <v>103</v>
      </c>
      <c r="F9165" s="23" t="str">
        <f>HYPERLINK("https://www.spark-marketing.ru/Card/Lot/70026316", "2019-02269/ Оказание услуг по техническому обслуживанию системы видеонаблюдения")</f>
        <v>2019-02269/ Оказание услуг по техническому обслуживанию системы видеонаблюдения</v>
      </c>
      <c r="G9165" s="22" t="s">
        <v>552</v>
      </c>
      <c r="H9165" s="22" t="s">
        <v>886</v>
      </c>
      <c r="I9165" s="26">
        <v>43578.656944444403</v>
      </c>
      <c r="J9165" s="28" t="s">
        <v>52</v>
      </c>
      <c r="K9165" s="28" t="s">
        <v>52</v>
      </c>
      <c r="L9165" s="28" t="s">
        <v>52</v>
      </c>
      <c r="M9165" s="28" t="s">
        <v>52</v>
      </c>
      <c r="N9165" s="28" t="s">
        <v>52</v>
      </c>
    </row>
    <row r="9166" spans="1:14" ht="12.75" hidden="1" outlineLevel="1" x14ac:dyDescent="0.2">
      <c r="A9166" s="23" t="str">
        <f>HYPERLINK("https://www.spark-marketing.ru/Card/Person/13659", "КУЗ ВО ""ВОКПТД ИМ. Н.С. ПОХВИСНЕВОЙ """)</f>
        <v>КУЗ ВО "ВОКПТД ИМ. Н.С. ПОХВИСНЕВОЙ "</v>
      </c>
      <c r="B9166" s="24" t="s">
        <v>11519</v>
      </c>
      <c r="C9166" s="25">
        <v>68640</v>
      </c>
      <c r="D9166" s="22" t="s">
        <v>11520</v>
      </c>
      <c r="E9166" s="22" t="s">
        <v>103</v>
      </c>
      <c r="F9166" s="23" t="str">
        <f>HYPERLINK("https://www.spark-marketing.ru/Card/Lot/70026316", "2019-02269/ Оказание услуг по техническому обслуживанию системы видеонаблюдения")</f>
        <v>2019-02269/ Оказание услуг по техническому обслуживанию системы видеонаблюдения</v>
      </c>
      <c r="G9166" s="22" t="s">
        <v>552</v>
      </c>
      <c r="H9166" s="22" t="s">
        <v>886</v>
      </c>
      <c r="I9166" s="26">
        <v>43578.656944444403</v>
      </c>
      <c r="J9166" s="23" t="str">
        <f>HYPERLINK("https://www.spark-marketing.ru/Card/Person/510393", "Болотнов Юрий Александрович")</f>
        <v>Болотнов Юрий Александрович</v>
      </c>
      <c r="K9166" s="24" t="s">
        <v>11521</v>
      </c>
      <c r="L9166" s="22" t="s">
        <v>10</v>
      </c>
      <c r="M9166" s="25">
        <v>19656.8</v>
      </c>
      <c r="N9166" s="27">
        <v>0.71362470862470861</v>
      </c>
    </row>
    <row r="9167" spans="1:14" hidden="1" outlineLevel="1" x14ac:dyDescent="0.2">
      <c r="A9167" s="23" t="str">
        <f>HYPERLINK("https://www.spark-marketing.ru/Card/Person/13659", "КУЗ ВО ""ВОКПТД ИМ. Н.С. ПОХВИСНЕВОЙ """)</f>
        <v>КУЗ ВО "ВОКПТД ИМ. Н.С. ПОХВИСНЕВОЙ "</v>
      </c>
      <c r="B9167" s="24" t="s">
        <v>11519</v>
      </c>
      <c r="C9167" s="25">
        <v>68640</v>
      </c>
      <c r="D9167" s="22" t="s">
        <v>11520</v>
      </c>
      <c r="E9167" s="22" t="s">
        <v>103</v>
      </c>
      <c r="F9167" s="23" t="str">
        <f>HYPERLINK("https://www.spark-marketing.ru/Card/Lot/70026316", "2019-02269/ Оказание услуг по техническому обслуживанию системы видеонаблюдения")</f>
        <v>2019-02269/ Оказание услуг по техническому обслуживанию системы видеонаблюдения</v>
      </c>
      <c r="G9167" s="22" t="s">
        <v>552</v>
      </c>
      <c r="H9167" s="22" t="s">
        <v>886</v>
      </c>
      <c r="I9167" s="26">
        <v>43578.656944444403</v>
      </c>
      <c r="J9167" s="23" t="str">
        <f>HYPERLINK("https://www.spark-marketing.ru/Card/Person/2021950", "ООО ""СПИ""")</f>
        <v>ООО "СПИ"</v>
      </c>
      <c r="K9167" s="24" t="s">
        <v>11413</v>
      </c>
      <c r="L9167" s="28" t="s">
        <v>52</v>
      </c>
      <c r="M9167" s="25">
        <v>20000</v>
      </c>
      <c r="N9167" s="27">
        <v>0.70862470862470861</v>
      </c>
    </row>
    <row r="9168" spans="1:14" hidden="1" outlineLevel="1" x14ac:dyDescent="0.2">
      <c r="A9168" s="23" t="str">
        <f>HYPERLINK("https://www.spark-marketing.ru/Card/Person/13659", "КУЗ ВО ""ВОКПТД ИМ. Н.С. ПОХВИСНЕВОЙ """)</f>
        <v>КУЗ ВО "ВОКПТД ИМ. Н.С. ПОХВИСНЕВОЙ "</v>
      </c>
      <c r="B9168" s="24" t="s">
        <v>11519</v>
      </c>
      <c r="C9168" s="25">
        <v>68640</v>
      </c>
      <c r="D9168" s="22" t="s">
        <v>11520</v>
      </c>
      <c r="E9168" s="22" t="s">
        <v>103</v>
      </c>
      <c r="F9168" s="23" t="str">
        <f>HYPERLINK("https://www.spark-marketing.ru/Card/Lot/70026316", "2019-02269/ Оказание услуг по техническому обслуживанию системы видеонаблюдения")</f>
        <v>2019-02269/ Оказание услуг по техническому обслуживанию системы видеонаблюдения</v>
      </c>
      <c r="G9168" s="22" t="s">
        <v>552</v>
      </c>
      <c r="H9168" s="22" t="s">
        <v>886</v>
      </c>
      <c r="I9168" s="26">
        <v>43578.656944444403</v>
      </c>
      <c r="J9168" s="23" t="str">
        <f>HYPERLINK("https://www.spark-marketing.ru/Card/Person/4636048", "ООО ""ЦИТАДЕЛЬ СИСТЕМЫ БЕЗОПАСНОСТИ""")</f>
        <v>ООО "ЦИТАДЕЛЬ СИСТЕМЫ БЕЗОПАСНОСТИ"</v>
      </c>
      <c r="K9168" s="24" t="s">
        <v>8782</v>
      </c>
      <c r="L9168" s="28" t="s">
        <v>52</v>
      </c>
      <c r="M9168" s="25">
        <v>24656.799999999999</v>
      </c>
      <c r="N9168" s="27">
        <v>0.64078088578088577</v>
      </c>
    </row>
    <row r="9169" spans="1:14" x14ac:dyDescent="0.15">
      <c r="A9169" s="23" t="str">
        <f t="shared" ref="A9169:A9175" si="404">HYPERLINK("https://www.spark-marketing.ru/Card/Person/90880", "ГБДОУ №12 КОМБИНИРОВАННОГО ВИДА ПУШКИНСКОГО РАЙОНА САНКТ-ПЕТЕРБУРГА")</f>
        <v>ГБДОУ №12 КОМБИНИРОВАННОГО ВИДА ПУШКИНСКОГО РАЙОНА САНКТ-ПЕТЕРБУРГА</v>
      </c>
      <c r="B9169" s="24" t="s">
        <v>11522</v>
      </c>
      <c r="C9169" s="25">
        <v>1433664</v>
      </c>
      <c r="D9169" s="22" t="s">
        <v>11523</v>
      </c>
      <c r="E9169" s="22" t="s">
        <v>59</v>
      </c>
      <c r="F9169" s="23" t="str">
        <f t="shared" ref="F9169:F9175" si="405">HYPERLINK("https://www.spark-marketing.ru/Card/Lot/70028495", "Монтаж системы видеонаблюдения в здании ГБДОУ № 12 комбинированного вида Пушкинского района Санкт-Петербурга по адресу: Санкт-Петербург, г. Пушкин, п. Александровская, Волхонское шоссе, д. 44, литер А.")</f>
        <v>Монтаж системы видеонаблюдения в здании ГБДОУ № 12 комбинированного вида Пушкинского района Санкт-Петербурга по адресу: Санкт-Петербург, г. Пушкин, п. Александровская, Волхонское шоссе, д. 44, литер А.</v>
      </c>
      <c r="G9169" s="22" t="s">
        <v>89</v>
      </c>
      <c r="H9169" s="22" t="s">
        <v>89</v>
      </c>
      <c r="I9169" s="26">
        <v>43578.665972222203</v>
      </c>
      <c r="J9169" s="28" t="s">
        <v>52</v>
      </c>
      <c r="K9169" s="28" t="s">
        <v>52</v>
      </c>
      <c r="L9169" s="28" t="s">
        <v>52</v>
      </c>
      <c r="M9169" s="28" t="s">
        <v>52</v>
      </c>
      <c r="N9169" s="28" t="s">
        <v>52</v>
      </c>
    </row>
    <row r="9170" spans="1:14" hidden="1" outlineLevel="1" x14ac:dyDescent="0.2">
      <c r="A9170" s="23" t="str">
        <f t="shared" si="404"/>
        <v>ГБДОУ №12 КОМБИНИРОВАННОГО ВИДА ПУШКИНСКОГО РАЙОНА САНКТ-ПЕТЕРБУРГА</v>
      </c>
      <c r="B9170" s="24" t="s">
        <v>11522</v>
      </c>
      <c r="C9170" s="25">
        <v>1433664</v>
      </c>
      <c r="D9170" s="22" t="s">
        <v>11523</v>
      </c>
      <c r="E9170" s="22" t="s">
        <v>59</v>
      </c>
      <c r="F9170" s="23" t="str">
        <f t="shared" si="405"/>
        <v>Монтаж системы видеонаблюдения в здании ГБДОУ № 12 комбинированного вида Пушкинского района Санкт-Петербурга по адресу: Санкт-Петербург, г. Пушкин, п. Александровская, Волхонское шоссе, д. 44, литер А.</v>
      </c>
      <c r="G9170" s="22" t="s">
        <v>89</v>
      </c>
      <c r="H9170" s="22" t="s">
        <v>89</v>
      </c>
      <c r="I9170" s="26">
        <v>43578.665972222203</v>
      </c>
      <c r="J9170" s="23" t="str">
        <f>HYPERLINK("https://www.spark-marketing.ru/Card/Person/132600", "ООО ""АСПЕКТ""")</f>
        <v>ООО "АСПЕКТ"</v>
      </c>
      <c r="K9170" s="24" t="s">
        <v>10038</v>
      </c>
      <c r="L9170" s="28" t="s">
        <v>52</v>
      </c>
      <c r="M9170" s="25">
        <v>788515.2</v>
      </c>
      <c r="N9170" s="27">
        <v>0.45</v>
      </c>
    </row>
    <row r="9171" spans="1:14" hidden="1" outlineLevel="1" x14ac:dyDescent="0.2">
      <c r="A9171" s="23" t="str">
        <f t="shared" si="404"/>
        <v>ГБДОУ №12 КОМБИНИРОВАННОГО ВИДА ПУШКИНСКОГО РАЙОНА САНКТ-ПЕТЕРБУРГА</v>
      </c>
      <c r="B9171" s="24" t="s">
        <v>11522</v>
      </c>
      <c r="C9171" s="25">
        <v>1433664</v>
      </c>
      <c r="D9171" s="22" t="s">
        <v>11523</v>
      </c>
      <c r="E9171" s="22" t="s">
        <v>59</v>
      </c>
      <c r="F9171" s="23" t="str">
        <f t="shared" si="405"/>
        <v>Монтаж системы видеонаблюдения в здании ГБДОУ № 12 комбинированного вида Пушкинского района Санкт-Петербурга по адресу: Санкт-Петербург, г. Пушкин, п. Александровская, Волхонское шоссе, д. 44, литер А.</v>
      </c>
      <c r="G9171" s="22" t="s">
        <v>89</v>
      </c>
      <c r="H9171" s="22" t="s">
        <v>89</v>
      </c>
      <c r="I9171" s="26">
        <v>43578.665972222203</v>
      </c>
      <c r="J9171" s="23" t="str">
        <f>HYPERLINK("https://www.spark-marketing.ru/Card/Person/6398454", "Сидоров Артем Юрьевич")</f>
        <v>Сидоров Артем Юрьевич</v>
      </c>
      <c r="K9171" s="24" t="s">
        <v>11391</v>
      </c>
      <c r="L9171" s="28" t="s">
        <v>52</v>
      </c>
      <c r="M9171" s="25">
        <v>1418954.74</v>
      </c>
      <c r="N9171" s="27">
        <v>1.0259907481808848E-2</v>
      </c>
    </row>
    <row r="9172" spans="1:14" hidden="1" outlineLevel="1" x14ac:dyDescent="0.2">
      <c r="A9172" s="23" t="str">
        <f t="shared" si="404"/>
        <v>ГБДОУ №12 КОМБИНИРОВАННОГО ВИДА ПУШКИНСКОГО РАЙОНА САНКТ-ПЕТЕРБУРГА</v>
      </c>
      <c r="B9172" s="24" t="s">
        <v>11522</v>
      </c>
      <c r="C9172" s="25">
        <v>1433664</v>
      </c>
      <c r="D9172" s="22" t="s">
        <v>11523</v>
      </c>
      <c r="E9172" s="22" t="s">
        <v>59</v>
      </c>
      <c r="F9172" s="23" t="str">
        <f t="shared" si="405"/>
        <v>Монтаж системы видеонаблюдения в здании ГБДОУ № 12 комбинированного вида Пушкинского района Санкт-Петербурга по адресу: Санкт-Петербург, г. Пушкин, п. Александровская, Волхонское шоссе, д. 44, литер А.</v>
      </c>
      <c r="G9172" s="22" t="s">
        <v>89</v>
      </c>
      <c r="H9172" s="22" t="s">
        <v>89</v>
      </c>
      <c r="I9172" s="26">
        <v>43578.665972222203</v>
      </c>
      <c r="J9172" s="23" t="str">
        <f>HYPERLINK("https://www.spark-marketing.ru/Card/Person/6293291", "Данвальд Наталья Викторовна")</f>
        <v>Данвальд Наталья Викторовна</v>
      </c>
      <c r="K9172" s="24" t="s">
        <v>10041</v>
      </c>
      <c r="L9172" s="28" t="s">
        <v>52</v>
      </c>
      <c r="M9172" s="25">
        <v>881703.36</v>
      </c>
      <c r="N9172" s="27">
        <v>0.38500000000000001</v>
      </c>
    </row>
    <row r="9173" spans="1:14" hidden="1" outlineLevel="1" x14ac:dyDescent="0.2">
      <c r="A9173" s="23" t="str">
        <f t="shared" si="404"/>
        <v>ГБДОУ №12 КОМБИНИРОВАННОГО ВИДА ПУШКИНСКОГО РАЙОНА САНКТ-ПЕТЕРБУРГА</v>
      </c>
      <c r="B9173" s="24" t="s">
        <v>11522</v>
      </c>
      <c r="C9173" s="25">
        <v>1433664</v>
      </c>
      <c r="D9173" s="22" t="s">
        <v>11523</v>
      </c>
      <c r="E9173" s="22" t="s">
        <v>59</v>
      </c>
      <c r="F9173" s="23" t="str">
        <f t="shared" si="405"/>
        <v>Монтаж системы видеонаблюдения в здании ГБДОУ № 12 комбинированного вида Пушкинского района Санкт-Петербурга по адресу: Санкт-Петербург, г. Пушкин, п. Александровская, Волхонское шоссе, д. 44, литер А.</v>
      </c>
      <c r="G9173" s="22" t="s">
        <v>89</v>
      </c>
      <c r="H9173" s="22" t="s">
        <v>89</v>
      </c>
      <c r="I9173" s="26">
        <v>43578.665972222203</v>
      </c>
      <c r="J9173" s="23" t="str">
        <f>HYPERLINK("https://www.spark-marketing.ru/Card/Person/4358827", "ООО ""ТЕХНОТЕК""")</f>
        <v>ООО "ТЕХНОТЕК"</v>
      </c>
      <c r="K9173" s="24" t="s">
        <v>11410</v>
      </c>
      <c r="L9173" s="28" t="s">
        <v>52</v>
      </c>
      <c r="M9173" s="25">
        <v>1426495.68</v>
      </c>
      <c r="N9173" s="27">
        <v>5.0000000000000001E-3</v>
      </c>
    </row>
    <row r="9174" spans="1:14" ht="12.75" hidden="1" outlineLevel="1" x14ac:dyDescent="0.2">
      <c r="A9174" s="23" t="str">
        <f t="shared" si="404"/>
        <v>ГБДОУ №12 КОМБИНИРОВАННОГО ВИДА ПУШКИНСКОГО РАЙОНА САНКТ-ПЕТЕРБУРГА</v>
      </c>
      <c r="B9174" s="24" t="s">
        <v>11522</v>
      </c>
      <c r="C9174" s="25">
        <v>1433664</v>
      </c>
      <c r="D9174" s="22" t="s">
        <v>11523</v>
      </c>
      <c r="E9174" s="22" t="s">
        <v>59</v>
      </c>
      <c r="F9174" s="23" t="str">
        <f t="shared" si="405"/>
        <v>Монтаж системы видеонаблюдения в здании ГБДОУ № 12 комбинированного вида Пушкинского района Санкт-Петербурга по адресу: Санкт-Петербург, г. Пушкин, п. Александровская, Волхонское шоссе, д. 44, литер А.</v>
      </c>
      <c r="G9174" s="22" t="s">
        <v>89</v>
      </c>
      <c r="H9174" s="22" t="s">
        <v>89</v>
      </c>
      <c r="I9174" s="26">
        <v>43578.665972222203</v>
      </c>
      <c r="J9174" s="23" t="str">
        <f>HYPERLINK("https://www.spark-marketing.ru/Card/Person/171473", "ООО ""БИСМАРК.ТВ""")</f>
        <v>ООО "БИСМАРК.ТВ"</v>
      </c>
      <c r="K9174" s="24" t="s">
        <v>10897</v>
      </c>
      <c r="L9174" s="22" t="s">
        <v>10</v>
      </c>
      <c r="M9174" s="25">
        <v>781346.88</v>
      </c>
      <c r="N9174" s="27">
        <v>0.45500000000000002</v>
      </c>
    </row>
    <row r="9175" spans="1:14" hidden="1" outlineLevel="1" x14ac:dyDescent="0.2">
      <c r="A9175" s="23" t="str">
        <f t="shared" si="404"/>
        <v>ГБДОУ №12 КОМБИНИРОВАННОГО ВИДА ПУШКИНСКОГО РАЙОНА САНКТ-ПЕТЕРБУРГА</v>
      </c>
      <c r="B9175" s="24" t="s">
        <v>11522</v>
      </c>
      <c r="C9175" s="25">
        <v>1433664</v>
      </c>
      <c r="D9175" s="22" t="s">
        <v>11523</v>
      </c>
      <c r="E9175" s="22" t="s">
        <v>59</v>
      </c>
      <c r="F9175" s="23" t="str">
        <f t="shared" si="405"/>
        <v>Монтаж системы видеонаблюдения в здании ГБДОУ № 12 комбинированного вида Пушкинского района Санкт-Петербурга по адресу: Санкт-Петербург, г. Пушкин, п. Александровская, Волхонское шоссе, д. 44, литер А.</v>
      </c>
      <c r="G9175" s="22" t="s">
        <v>89</v>
      </c>
      <c r="H9175" s="22" t="s">
        <v>89</v>
      </c>
      <c r="I9175" s="26">
        <v>43578.665972222203</v>
      </c>
      <c r="J9175" s="23" t="str">
        <f>HYPERLINK("https://www.spark-marketing.ru/Card/Person/877770", "ООО ""СИЯНИЕ""")</f>
        <v>ООО "СИЯНИЕ"</v>
      </c>
      <c r="K9175" s="24" t="s">
        <v>5976</v>
      </c>
      <c r="L9175" s="28" t="s">
        <v>52</v>
      </c>
      <c r="M9175" s="25">
        <v>1090000</v>
      </c>
      <c r="N9175" s="27">
        <v>0.23971028079103612</v>
      </c>
    </row>
    <row r="9176" spans="1:14" x14ac:dyDescent="0.15">
      <c r="A9176" s="23" t="str">
        <f>HYPERLINK("https://www.spark-marketing.ru/Card/Person/1028625", "ОГБУЗ МЦ МР РЕЗЕРВ КО")</f>
        <v>ОГБУЗ МЦ МР РЕЗЕРВ КО</v>
      </c>
      <c r="B9176" s="24" t="s">
        <v>11455</v>
      </c>
      <c r="C9176" s="25">
        <v>87381</v>
      </c>
      <c r="D9176" s="22" t="s">
        <v>11524</v>
      </c>
      <c r="E9176" s="22" t="s">
        <v>68</v>
      </c>
      <c r="F9176" s="23" t="str">
        <f>HYPERLINK("https://www.spark-marketing.ru/Card/Lot/70023257", "Организация охраны объектов, подключенных на пульт централизованного наблюдения и экстренному вызову наряда полиции")</f>
        <v>Организация охраны объектов, подключенных на пульт централизованного наблюдения и экстренному вызову наряда полиции</v>
      </c>
      <c r="G9176" s="22" t="s">
        <v>1104</v>
      </c>
      <c r="H9176" s="22" t="s">
        <v>1105</v>
      </c>
      <c r="I9176" s="26">
        <v>43578.663888888899</v>
      </c>
      <c r="J9176" s="28" t="s">
        <v>52</v>
      </c>
      <c r="K9176" s="28" t="s">
        <v>52</v>
      </c>
      <c r="L9176" s="28" t="s">
        <v>52</v>
      </c>
      <c r="M9176" s="28" t="s">
        <v>52</v>
      </c>
      <c r="N9176" s="28" t="s">
        <v>52</v>
      </c>
    </row>
    <row r="9177" spans="1:14" x14ac:dyDescent="0.15">
      <c r="A9177" s="23" t="str">
        <f>HYPERLINK("https://www.spark-marketing.ru/Card/Person/4343740", "МИНЗДРАВ РОССИИ")</f>
        <v>МИНЗДРАВ РОССИИ</v>
      </c>
      <c r="B9177" s="24" t="s">
        <v>1666</v>
      </c>
      <c r="C9177" s="25">
        <v>78990678.359999999</v>
      </c>
      <c r="D9177" s="22" t="s">
        <v>11525</v>
      </c>
      <c r="E9177" s="22" t="s">
        <v>53</v>
      </c>
      <c r="F9177" s="23" t="str">
        <f>HYPERLINK("https://www.spark-marketing.ru/Card/Lot/70028401", "Интерферон бета-1а, раствор для подкожного введения, 22 мкг (6 млн МЕ)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f>
        <v>Интерферон бета-1а, раствор для подкожного введения, 22 мкг (6 млн МЕ)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v>
      </c>
      <c r="G9177" s="22" t="s">
        <v>428</v>
      </c>
      <c r="H9177" s="22" t="s">
        <v>428</v>
      </c>
      <c r="I9177" s="26">
        <v>43578.6381944444</v>
      </c>
      <c r="J9177" s="23" t="str">
        <f>HYPERLINK("https://www.spark-marketing.ru/Card/Person/50996", "ООО ""БИОТЭК""")</f>
        <v>ООО "БИОТЭК"</v>
      </c>
      <c r="K9177" s="24" t="s">
        <v>3462</v>
      </c>
      <c r="L9177" s="22" t="s">
        <v>10</v>
      </c>
      <c r="M9177" s="28" t="s">
        <v>52</v>
      </c>
      <c r="N9177" s="28" t="s">
        <v>52</v>
      </c>
    </row>
    <row r="9178" spans="1:14" ht="12.75" x14ac:dyDescent="0.2">
      <c r="A9178" s="23" t="str">
        <f>HYPERLINK("https://www.spark-marketing.ru/Card/Person/1061598", "КГКУ КОМСОМОЛЬСКИЙ-НА-АМУРЕ ЦСПСД")</f>
        <v>КГКУ КОМСОМОЛЬСКИЙ-НА-АМУРЕ ЦСПСД</v>
      </c>
      <c r="B9178" s="24" t="s">
        <v>11526</v>
      </c>
      <c r="C9178" s="25">
        <v>174666.64</v>
      </c>
      <c r="D9178" s="22" t="s">
        <v>11527</v>
      </c>
      <c r="E9178" s="22" t="s">
        <v>52</v>
      </c>
      <c r="F9178" s="23" t="str">
        <f>HYPERLINK("https://www.spark-marketing.ru/Card/Lot/70004389", "Услуга охраны объектов")</f>
        <v>Услуга охраны объектов</v>
      </c>
      <c r="G9178" s="22" t="s">
        <v>138</v>
      </c>
      <c r="H9178" s="22" t="s">
        <v>139</v>
      </c>
      <c r="I9178" s="26">
        <v>43578.663888888899</v>
      </c>
      <c r="J9178" s="23" t="str">
        <f>HYPERLINK("https://www.spark-marketing.ru/Card/Person/4438281", "ООО ПКБ ""ГАРАНТ-ХАБАРОВСК""")</f>
        <v>ООО ПКБ "ГАРАНТ-ХАБАРОВСК"</v>
      </c>
      <c r="K9178" s="24" t="s">
        <v>11528</v>
      </c>
      <c r="L9178" s="22" t="s">
        <v>10</v>
      </c>
      <c r="M9178" s="25">
        <v>174666.64</v>
      </c>
      <c r="N9178" s="27">
        <v>0</v>
      </c>
    </row>
    <row r="9179" spans="1:14" x14ac:dyDescent="0.15">
      <c r="A9179" s="23" t="str">
        <f>HYPERLINK("https://www.spark-marketing.ru/Card/Person/85037", "УПРАВЛЕНИЕ МИНЮСТА РОССИИ ПО ТВЕРСКОЙ ОБЛАСТИ")</f>
        <v>УПРАВЛЕНИЕ МИНЮСТА РОССИИ ПО ТВЕРСКОЙ ОБЛАСТИ</v>
      </c>
      <c r="B9179" s="24" t="s">
        <v>11529</v>
      </c>
      <c r="C9179" s="25">
        <v>22428</v>
      </c>
      <c r="D9179" s="22" t="s">
        <v>11530</v>
      </c>
      <c r="E9179" s="22" t="s">
        <v>53</v>
      </c>
      <c r="F9179" s="23" t="str">
        <f>HYPERLINK("https://www.spark-marketing.ru/Card/Lot/70770338", "Оказание охранных услуг")</f>
        <v>Оказание охранных услуг</v>
      </c>
      <c r="G9179" s="22" t="s">
        <v>251</v>
      </c>
      <c r="H9179" s="22" t="s">
        <v>252</v>
      </c>
      <c r="I9179" s="26">
        <v>43578.587268518502</v>
      </c>
      <c r="J9179" s="28" t="s">
        <v>52</v>
      </c>
      <c r="K9179" s="28" t="s">
        <v>52</v>
      </c>
      <c r="L9179" s="28" t="s">
        <v>52</v>
      </c>
      <c r="M9179" s="28" t="s">
        <v>52</v>
      </c>
      <c r="N9179" s="28" t="s">
        <v>52</v>
      </c>
    </row>
    <row r="9180" spans="1:14" x14ac:dyDescent="0.15">
      <c r="A9180" s="23" t="str">
        <f>HYPERLINK("https://www.spark-marketing.ru/Card/Person/1864516", "ОАО ""АПФ ""ФАНАГОРИЯ""")</f>
        <v>ОАО "АПФ "ФАНАГОРИЯ"</v>
      </c>
      <c r="B9180" s="24" t="s">
        <v>11531</v>
      </c>
      <c r="C9180" s="25">
        <v>0</v>
      </c>
      <c r="D9180" s="22" t="s">
        <v>11532</v>
      </c>
      <c r="E9180" s="22" t="s">
        <v>487</v>
      </c>
      <c r="F9180" s="23" t="str">
        <f>HYPERLINK("https://www.spark-marketing.ru/Card/Lot/70025691", "Металлический блок-контейнер с внешним размером 5,0*2,44м размером по выпускам кровли 5,0*2,5м.")</f>
        <v>Металлический блок-контейнер с внешним размером 5,0*2,44м размером по выпускам кровли 5,0*2,5м.</v>
      </c>
      <c r="G9180" s="22" t="s">
        <v>132</v>
      </c>
      <c r="H9180" s="22" t="s">
        <v>11533</v>
      </c>
      <c r="I9180" s="26">
        <v>43578.621539351901</v>
      </c>
      <c r="J9180" s="28" t="s">
        <v>52</v>
      </c>
      <c r="K9180" s="28" t="s">
        <v>52</v>
      </c>
      <c r="L9180" s="28" t="s">
        <v>52</v>
      </c>
      <c r="M9180" s="28" t="s">
        <v>52</v>
      </c>
      <c r="N9180" s="28" t="s">
        <v>52</v>
      </c>
    </row>
    <row r="9181" spans="1:14" x14ac:dyDescent="0.15">
      <c r="A9181" s="23" t="str">
        <f>HYPERLINK("https://www.spark-marketing.ru/Card/Person/26650", "СПБ ГБУЗ ""ГОРОДСКАЯ ПОЛИКЛИНИКА № 118""")</f>
        <v>СПБ ГБУЗ "ГОРОДСКАЯ ПОЛИКЛИНИКА № 118"</v>
      </c>
      <c r="B9181" s="24" t="s">
        <v>11534</v>
      </c>
      <c r="C9181" s="25">
        <v>2603621.94</v>
      </c>
      <c r="D9181" s="22" t="s">
        <v>11535</v>
      </c>
      <c r="E9181" s="22" t="s">
        <v>59</v>
      </c>
      <c r="F9181" s="23" t="str">
        <f>HYPERLINK("https://www.spark-marketing.ru/Card/Lot/70020547", "Монтаж системы видеонаблюдения в СПб ГБУЗ ГП № 118 по адресу: ул. Академика Байкова, д.27")</f>
        <v>Монтаж системы видеонаблюдения в СПб ГБУЗ ГП № 118 по адресу: ул. Академика Байкова, д.27</v>
      </c>
      <c r="G9181" s="22" t="s">
        <v>89</v>
      </c>
      <c r="H9181" s="22" t="s">
        <v>89</v>
      </c>
      <c r="I9181" s="26">
        <v>43578.623611111099</v>
      </c>
      <c r="J9181" s="28" t="s">
        <v>52</v>
      </c>
      <c r="K9181" s="28" t="s">
        <v>52</v>
      </c>
      <c r="L9181" s="28" t="s">
        <v>52</v>
      </c>
      <c r="M9181" s="28" t="s">
        <v>52</v>
      </c>
      <c r="N9181" s="28" t="s">
        <v>52</v>
      </c>
    </row>
    <row r="9182" spans="1:14" ht="12.75" hidden="1" outlineLevel="1" x14ac:dyDescent="0.2">
      <c r="A9182" s="23" t="str">
        <f>HYPERLINK("https://www.spark-marketing.ru/Card/Person/26650", "СПБ ГБУЗ ""ГОРОДСКАЯ ПОЛИКЛИНИКА № 118""")</f>
        <v>СПБ ГБУЗ "ГОРОДСКАЯ ПОЛИКЛИНИКА № 118"</v>
      </c>
      <c r="B9182" s="24" t="s">
        <v>11534</v>
      </c>
      <c r="C9182" s="25">
        <v>2603621.94</v>
      </c>
      <c r="D9182" s="22" t="s">
        <v>11535</v>
      </c>
      <c r="E9182" s="22" t="s">
        <v>59</v>
      </c>
      <c r="F9182" s="23" t="str">
        <f>HYPERLINK("https://www.spark-marketing.ru/Card/Lot/70020547", "Монтаж системы видеонаблюдения в СПб ГБУЗ ГП № 118 по адресу: ул. Академика Байкова, д.27")</f>
        <v>Монтаж системы видеонаблюдения в СПб ГБУЗ ГП № 118 по адресу: ул. Академика Байкова, д.27</v>
      </c>
      <c r="G9182" s="22" t="s">
        <v>89</v>
      </c>
      <c r="H9182" s="22" t="s">
        <v>89</v>
      </c>
      <c r="I9182" s="26">
        <v>43578.623611111099</v>
      </c>
      <c r="J9182" s="23" t="str">
        <f>HYPERLINK("https://www.spark-marketing.ru/Card/Person/132600", "ООО ""АСПЕКТ""")</f>
        <v>ООО "АСПЕКТ"</v>
      </c>
      <c r="K9182" s="24" t="s">
        <v>10038</v>
      </c>
      <c r="L9182" s="22" t="s">
        <v>10</v>
      </c>
      <c r="M9182" s="25">
        <v>2004788.88</v>
      </c>
      <c r="N9182" s="27">
        <v>0.2300000053003087</v>
      </c>
    </row>
    <row r="9183" spans="1:14" hidden="1" outlineLevel="1" x14ac:dyDescent="0.2">
      <c r="A9183" s="23" t="str">
        <f>HYPERLINK("https://www.spark-marketing.ru/Card/Person/26650", "СПБ ГБУЗ ""ГОРОДСКАЯ ПОЛИКЛИНИКА № 118""")</f>
        <v>СПБ ГБУЗ "ГОРОДСКАЯ ПОЛИКЛИНИКА № 118"</v>
      </c>
      <c r="B9183" s="24" t="s">
        <v>11534</v>
      </c>
      <c r="C9183" s="25">
        <v>2603621.94</v>
      </c>
      <c r="D9183" s="22" t="s">
        <v>11535</v>
      </c>
      <c r="E9183" s="22" t="s">
        <v>59</v>
      </c>
      <c r="F9183" s="23" t="str">
        <f>HYPERLINK("https://www.spark-marketing.ru/Card/Lot/70020547", "Монтаж системы видеонаблюдения в СПб ГБУЗ ГП № 118 по адресу: ул. Академика Байкова, д.27")</f>
        <v>Монтаж системы видеонаблюдения в СПб ГБУЗ ГП № 118 по адресу: ул. Академика Байкова, д.27</v>
      </c>
      <c r="G9183" s="22" t="s">
        <v>89</v>
      </c>
      <c r="H9183" s="22" t="s">
        <v>89</v>
      </c>
      <c r="I9183" s="26">
        <v>43578.623611111099</v>
      </c>
      <c r="J9183" s="23" t="str">
        <f>HYPERLINK("https://www.spark-marketing.ru/Card/Person/4431787", "ООО ""ГЕФА""")</f>
        <v>ООО "ГЕФА"</v>
      </c>
      <c r="K9183" s="24" t="s">
        <v>11536</v>
      </c>
      <c r="L9183" s="28" t="s">
        <v>52</v>
      </c>
      <c r="M9183" s="25">
        <v>2590603.83</v>
      </c>
      <c r="N9183" s="27">
        <v>5.0000001152241021E-3</v>
      </c>
    </row>
    <row r="9184" spans="1:14" hidden="1" outlineLevel="1" x14ac:dyDescent="0.2">
      <c r="A9184" s="23" t="str">
        <f>HYPERLINK("https://www.spark-marketing.ru/Card/Person/26650", "СПБ ГБУЗ ""ГОРОДСКАЯ ПОЛИКЛИНИКА № 118""")</f>
        <v>СПБ ГБУЗ "ГОРОДСКАЯ ПОЛИКЛИНИКА № 118"</v>
      </c>
      <c r="B9184" s="24" t="s">
        <v>11534</v>
      </c>
      <c r="C9184" s="25">
        <v>2603621.94</v>
      </c>
      <c r="D9184" s="22" t="s">
        <v>11535</v>
      </c>
      <c r="E9184" s="22" t="s">
        <v>59</v>
      </c>
      <c r="F9184" s="23" t="str">
        <f>HYPERLINK("https://www.spark-marketing.ru/Card/Lot/70020547", "Монтаж системы видеонаблюдения в СПб ГБУЗ ГП № 118 по адресу: ул. Академика Байкова, д.27")</f>
        <v>Монтаж системы видеонаблюдения в СПб ГБУЗ ГП № 118 по адресу: ул. Академика Байкова, д.27</v>
      </c>
      <c r="G9184" s="22" t="s">
        <v>89</v>
      </c>
      <c r="H9184" s="22" t="s">
        <v>89</v>
      </c>
      <c r="I9184" s="26">
        <v>43578.623611111099</v>
      </c>
      <c r="J9184" s="23" t="str">
        <f>HYPERLINK("https://www.spark-marketing.ru/Card/Person/4345955", "ООО ""СБ-СЕРВИС""")</f>
        <v>ООО "СБ-СЕРВИС"</v>
      </c>
      <c r="K9184" s="24" t="s">
        <v>10035</v>
      </c>
      <c r="L9184" s="28" t="s">
        <v>52</v>
      </c>
      <c r="M9184" s="25">
        <v>2590000</v>
      </c>
      <c r="N9184" s="27">
        <v>5.2319193469386729E-3</v>
      </c>
    </row>
    <row r="9185" spans="1:14" hidden="1" outlineLevel="1" x14ac:dyDescent="0.2">
      <c r="A9185" s="23" t="str">
        <f>HYPERLINK("https://www.spark-marketing.ru/Card/Person/26650", "СПБ ГБУЗ ""ГОРОДСКАЯ ПОЛИКЛИНИКА № 118""")</f>
        <v>СПБ ГБУЗ "ГОРОДСКАЯ ПОЛИКЛИНИКА № 118"</v>
      </c>
      <c r="B9185" s="24" t="s">
        <v>11534</v>
      </c>
      <c r="C9185" s="25">
        <v>2603621.94</v>
      </c>
      <c r="D9185" s="22" t="s">
        <v>11535</v>
      </c>
      <c r="E9185" s="22" t="s">
        <v>59</v>
      </c>
      <c r="F9185" s="23" t="str">
        <f>HYPERLINK("https://www.spark-marketing.ru/Card/Lot/70020547", "Монтаж системы видеонаблюдения в СПб ГБУЗ ГП № 118 по адресу: ул. Академика Байкова, д.27")</f>
        <v>Монтаж системы видеонаблюдения в СПб ГБУЗ ГП № 118 по адресу: ул. Академика Байкова, д.27</v>
      </c>
      <c r="G9185" s="22" t="s">
        <v>89</v>
      </c>
      <c r="H9185" s="22" t="s">
        <v>89</v>
      </c>
      <c r="I9185" s="26">
        <v>43578.623611111099</v>
      </c>
      <c r="J9185" s="23" t="str">
        <f>HYPERLINK("https://www.spark-marketing.ru/Card/Person/877770", "ООО ""СИЯНИЕ""")</f>
        <v>ООО "СИЯНИЕ"</v>
      </c>
      <c r="K9185" s="24" t="s">
        <v>5976</v>
      </c>
      <c r="L9185" s="28" t="s">
        <v>52</v>
      </c>
      <c r="M9185" s="25">
        <v>2004788.88</v>
      </c>
      <c r="N9185" s="27">
        <v>0.2300000053003087</v>
      </c>
    </row>
    <row r="9186" spans="1:14" x14ac:dyDescent="0.15">
      <c r="A9186" s="23" t="str">
        <f>HYPERLINK("https://www.spark-marketing.ru/Card/Person/92001", "ГКУ ""ЦЕНТР МТО"" ЗАБАЙКАЛЬСКОГО КРАЯ")</f>
        <v>ГКУ "ЦЕНТР МТО" ЗАБАЙКАЛЬСКОГО КРАЯ</v>
      </c>
      <c r="B9186" s="24" t="s">
        <v>11537</v>
      </c>
      <c r="C9186" s="25">
        <v>166628.13</v>
      </c>
      <c r="D9186" s="22" t="s">
        <v>11538</v>
      </c>
      <c r="E9186" s="22" t="s">
        <v>68</v>
      </c>
      <c r="F9186" s="23" t="str">
        <f>HYPERLINK("https://www.spark-marketing.ru/Card/Lot/70001421", "Оказание услуг по централизованной охране объекта Заказчика")</f>
        <v>Оказание услуг по централизованной охране объекта Заказчика</v>
      </c>
      <c r="G9186" s="22" t="s">
        <v>473</v>
      </c>
      <c r="H9186" s="22" t="s">
        <v>476</v>
      </c>
      <c r="I9186" s="26">
        <v>43578.5444444444</v>
      </c>
      <c r="J9186" s="28" t="s">
        <v>52</v>
      </c>
      <c r="K9186" s="28" t="s">
        <v>52</v>
      </c>
      <c r="L9186" s="28" t="s">
        <v>52</v>
      </c>
      <c r="M9186" s="28" t="s">
        <v>52</v>
      </c>
      <c r="N9186" s="28" t="s">
        <v>52</v>
      </c>
    </row>
    <row r="9187" spans="1:14" x14ac:dyDescent="0.2">
      <c r="A9187" s="23" t="str">
        <f>HYPERLINK("https://www.spark-marketing.ru/Card/Person/38622", "АО ""СХК""")</f>
        <v>АО "СХК"</v>
      </c>
      <c r="B9187" s="24" t="s">
        <v>159</v>
      </c>
      <c r="C9187" s="25">
        <v>3119554.5</v>
      </c>
      <c r="D9187" s="22" t="s">
        <v>11539</v>
      </c>
      <c r="E9187" s="22" t="s">
        <v>789</v>
      </c>
      <c r="F9187" s="23" t="str">
        <f>HYPERLINK("https://www.spark-marketing.ru/Card/Lot/70009576", "907-O070-19/331 Охрана объекта")</f>
        <v>907-O070-19/331 Охрана объекта</v>
      </c>
      <c r="G9187" s="22" t="s">
        <v>150</v>
      </c>
      <c r="H9187" s="22" t="s">
        <v>150</v>
      </c>
      <c r="I9187" s="26">
        <v>43578.544027777803</v>
      </c>
      <c r="J9187" s="23" t="str">
        <f>HYPERLINK("https://www.spark-marketing.ru/Card/Person/110874", "ООО ""ЧОП ""СОКОЛ""")</f>
        <v>ООО "ЧОП "СОКОЛ"</v>
      </c>
      <c r="K9187" s="24" t="s">
        <v>11540</v>
      </c>
      <c r="L9187" s="28" t="s">
        <v>52</v>
      </c>
      <c r="M9187" s="25">
        <v>3119554.5</v>
      </c>
      <c r="N9187" s="27">
        <v>0</v>
      </c>
    </row>
    <row r="9188" spans="1:14" x14ac:dyDescent="0.15">
      <c r="A9188" s="23" t="str">
        <f>HYPERLINK("https://www.spark-marketing.ru/Card/Person/85037", "УПРАВЛЕНИЕ МИНЮСТА РОССИИ ПО ТВЕРСКОЙ ОБЛАСТИ")</f>
        <v>УПРАВЛЕНИЕ МИНЮСТА РОССИИ ПО ТВЕРСКОЙ ОБЛАСТИ</v>
      </c>
      <c r="B9188" s="24" t="s">
        <v>11529</v>
      </c>
      <c r="C9188" s="25">
        <v>50457.599999999999</v>
      </c>
      <c r="D9188" s="22" t="s">
        <v>11541</v>
      </c>
      <c r="E9188" s="22" t="s">
        <v>53</v>
      </c>
      <c r="F9188" s="23" t="str">
        <f>HYPERLINK("https://www.spark-marketing.ru/Card/Lot/70770891", "Услуги по охране объектов")</f>
        <v>Услуги по охране объектов</v>
      </c>
      <c r="G9188" s="22" t="s">
        <v>251</v>
      </c>
      <c r="H9188" s="22" t="s">
        <v>252</v>
      </c>
      <c r="I9188" s="26">
        <v>43578.550925925898</v>
      </c>
      <c r="J9188" s="28" t="s">
        <v>52</v>
      </c>
      <c r="K9188" s="28" t="s">
        <v>52</v>
      </c>
      <c r="L9188" s="28" t="s">
        <v>52</v>
      </c>
      <c r="M9188" s="28" t="s">
        <v>52</v>
      </c>
      <c r="N9188" s="28" t="s">
        <v>52</v>
      </c>
    </row>
    <row r="9189" spans="1:14" x14ac:dyDescent="0.15">
      <c r="A9189" s="23" t="str">
        <f>HYPERLINK("https://www.spark-marketing.ru/Card/Person/21504", "УПРАВЛЕНИЕ РОСРЕЕСТРА ПО ОРЕНБУРГСКОЙ ОБЛАСТИ")</f>
        <v>УПРАВЛЕНИЕ РОСРЕЕСТРА ПО ОРЕНБУРГСКОЙ ОБЛАСТИ</v>
      </c>
      <c r="B9189" s="24" t="s">
        <v>11542</v>
      </c>
      <c r="C9189" s="25">
        <v>1000000</v>
      </c>
      <c r="D9189" s="22" t="s">
        <v>11543</v>
      </c>
      <c r="E9189" s="22" t="s">
        <v>68</v>
      </c>
      <c r="F9189" s="23" t="str">
        <f>HYPERLINK("https://www.spark-marketing.ru/Card/Lot/70014960", "Оказание услуг пультовой охраны объектов Управления")</f>
        <v>Оказание услуг пультовой охраны объектов Управления</v>
      </c>
      <c r="G9189" s="22" t="s">
        <v>384</v>
      </c>
      <c r="H9189" s="22" t="s">
        <v>384</v>
      </c>
      <c r="I9189" s="26">
        <v>43578.581944444399</v>
      </c>
      <c r="J9189" s="28" t="s">
        <v>52</v>
      </c>
      <c r="K9189" s="28" t="s">
        <v>52</v>
      </c>
      <c r="L9189" s="28" t="s">
        <v>52</v>
      </c>
      <c r="M9189" s="28" t="s">
        <v>52</v>
      </c>
      <c r="N9189" s="28" t="s">
        <v>52</v>
      </c>
    </row>
    <row r="9190" spans="1:14" hidden="1" outlineLevel="1" x14ac:dyDescent="0.2">
      <c r="A9190" s="23" t="str">
        <f>HYPERLINK("https://www.spark-marketing.ru/Card/Person/21504", "УПРАВЛЕНИЕ РОСРЕЕСТРА ПО ОРЕНБУРГСКОЙ ОБЛАСТИ")</f>
        <v>УПРАВЛЕНИЕ РОСРЕЕСТРА ПО ОРЕНБУРГСКОЙ ОБЛАСТИ</v>
      </c>
      <c r="B9190" s="24" t="s">
        <v>11542</v>
      </c>
      <c r="C9190" s="25">
        <v>1000000</v>
      </c>
      <c r="D9190" s="22" t="s">
        <v>11543</v>
      </c>
      <c r="E9190" s="22" t="s">
        <v>68</v>
      </c>
      <c r="F9190" s="23" t="str">
        <f>HYPERLINK("https://www.spark-marketing.ru/Card/Lot/70014960", "Оказание услуг пультовой охраны объектов Управления")</f>
        <v>Оказание услуг пультовой охраны объектов Управления</v>
      </c>
      <c r="G9190" s="22" t="s">
        <v>384</v>
      </c>
      <c r="H9190" s="22" t="s">
        <v>384</v>
      </c>
      <c r="I9190" s="26">
        <v>43578.581944444399</v>
      </c>
      <c r="J9190" s="23" t="str">
        <f>HYPERLINK("https://www.spark-marketing.ru/Card/Person/751686", "ООО ОП ""ЦЕЗАРЬ-ЦЕНТР""")</f>
        <v>ООО ОП "ЦЕЗАРЬ-ЦЕНТР"</v>
      </c>
      <c r="K9190" s="24" t="s">
        <v>11544</v>
      </c>
      <c r="L9190" s="28" t="s">
        <v>52</v>
      </c>
      <c r="M9190" s="25">
        <v>435000</v>
      </c>
      <c r="N9190" s="27">
        <v>0.56499999999999995</v>
      </c>
    </row>
    <row r="9191" spans="1:14" ht="12.75" hidden="1" outlineLevel="1" x14ac:dyDescent="0.2">
      <c r="A9191" s="23" t="str">
        <f>HYPERLINK("https://www.spark-marketing.ru/Card/Person/21504", "УПРАВЛЕНИЕ РОСРЕЕСТРА ПО ОРЕНБУРГСКОЙ ОБЛАСТИ")</f>
        <v>УПРАВЛЕНИЕ РОСРЕЕСТРА ПО ОРЕНБУРГСКОЙ ОБЛАСТИ</v>
      </c>
      <c r="B9191" s="24" t="s">
        <v>11542</v>
      </c>
      <c r="C9191" s="25">
        <v>1000000</v>
      </c>
      <c r="D9191" s="22" t="s">
        <v>11543</v>
      </c>
      <c r="E9191" s="22" t="s">
        <v>68</v>
      </c>
      <c r="F9191" s="23" t="str">
        <f>HYPERLINK("https://www.spark-marketing.ru/Card/Lot/70014960", "Оказание услуг пультовой охраны объектов Управления")</f>
        <v>Оказание услуг пультовой охраны объектов Управления</v>
      </c>
      <c r="G9191" s="22" t="s">
        <v>384</v>
      </c>
      <c r="H9191" s="22" t="s">
        <v>384</v>
      </c>
      <c r="I9191" s="26">
        <v>43578.581944444399</v>
      </c>
      <c r="J9191" s="23" t="str">
        <f>HYPERLINK("https://www.spark-marketing.ru/Card/Person/748222", "ООО ОО ""МАКСИМ-П""")</f>
        <v>ООО ОО "МАКСИМ-П"</v>
      </c>
      <c r="K9191" s="24" t="s">
        <v>11545</v>
      </c>
      <c r="L9191" s="22" t="s">
        <v>10</v>
      </c>
      <c r="M9191" s="25">
        <v>430000</v>
      </c>
      <c r="N9191" s="27">
        <v>0.56999999999999995</v>
      </c>
    </row>
    <row r="9192" spans="1:14" x14ac:dyDescent="0.15">
      <c r="A9192" s="23" t="str">
        <f>HYPERLINK("https://www.spark-marketing.ru/Card/Person/64814", "АО ""ВОЕНТЕЛЕКОМ""")</f>
        <v>АО "ВОЕНТЕЛЕКОМ"</v>
      </c>
      <c r="B9192" s="24" t="s">
        <v>10731</v>
      </c>
      <c r="C9192" s="25">
        <v>1020000</v>
      </c>
      <c r="D9192" s="22" t="s">
        <v>11546</v>
      </c>
      <c r="E9192" s="22" t="s">
        <v>363</v>
      </c>
      <c r="F9192" s="23" t="str">
        <f>HYPERLINK("https://www.spark-marketing.ru/Card/Lot/70014207", "Услуги охраны")</f>
        <v>Услуги охраны</v>
      </c>
      <c r="G9192" s="22" t="s">
        <v>861</v>
      </c>
      <c r="H9192" s="22" t="s">
        <v>861</v>
      </c>
      <c r="I9192" s="26">
        <v>43578.535208333298</v>
      </c>
      <c r="J9192" s="28" t="s">
        <v>52</v>
      </c>
      <c r="K9192" s="28" t="s">
        <v>52</v>
      </c>
      <c r="L9192" s="28" t="s">
        <v>52</v>
      </c>
      <c r="M9192" s="28" t="s">
        <v>52</v>
      </c>
      <c r="N9192" s="28" t="s">
        <v>52</v>
      </c>
    </row>
    <row r="9193" spans="1:14" hidden="1" outlineLevel="1" x14ac:dyDescent="0.2">
      <c r="A9193" s="23" t="str">
        <f>HYPERLINK("https://www.spark-marketing.ru/Card/Person/64814", "АО ""ВОЕНТЕЛЕКОМ""")</f>
        <v>АО "ВОЕНТЕЛЕКОМ"</v>
      </c>
      <c r="B9193" s="24" t="s">
        <v>10731</v>
      </c>
      <c r="C9193" s="28" t="s">
        <v>52</v>
      </c>
      <c r="D9193" s="22" t="s">
        <v>11546</v>
      </c>
      <c r="E9193" s="22" t="s">
        <v>363</v>
      </c>
      <c r="F9193" s="23" t="str">
        <f>HYPERLINK("https://www.spark-marketing.ru/Card/Lot/70014207", "Услуги охраны")</f>
        <v>Услуги охраны</v>
      </c>
      <c r="G9193" s="22" t="s">
        <v>861</v>
      </c>
      <c r="H9193" s="22" t="s">
        <v>861</v>
      </c>
      <c r="I9193" s="26">
        <v>43578.535208333298</v>
      </c>
      <c r="J9193" s="23" t="str">
        <f>HYPERLINK("https://www.spark-marketing.ru/Card/Person/6526145", "ООО ""ЧОП ""ЛИГА""")</f>
        <v>ООО "ЧОП "ЛИГА"</v>
      </c>
      <c r="K9193" s="24" t="s">
        <v>11547</v>
      </c>
      <c r="L9193" s="22" t="s">
        <v>10</v>
      </c>
      <c r="M9193" s="25">
        <v>963759.84</v>
      </c>
      <c r="N9193" s="27">
        <v>5.5137411764705879E-2</v>
      </c>
    </row>
    <row r="9194" spans="1:14" hidden="1" outlineLevel="1" x14ac:dyDescent="0.2">
      <c r="A9194" s="23" t="str">
        <f>HYPERLINK("https://www.spark-marketing.ru/Card/Person/64814", "АО ""ВОЕНТЕЛЕКОМ""")</f>
        <v>АО "ВОЕНТЕЛЕКОМ"</v>
      </c>
      <c r="B9194" s="24" t="s">
        <v>10731</v>
      </c>
      <c r="C9194" s="28" t="s">
        <v>52</v>
      </c>
      <c r="D9194" s="22" t="s">
        <v>11546</v>
      </c>
      <c r="E9194" s="22" t="s">
        <v>363</v>
      </c>
      <c r="F9194" s="23" t="str">
        <f>HYPERLINK("https://www.spark-marketing.ru/Card/Lot/70014207", "Услуги охраны")</f>
        <v>Услуги охраны</v>
      </c>
      <c r="G9194" s="22" t="s">
        <v>861</v>
      </c>
      <c r="H9194" s="22" t="s">
        <v>861</v>
      </c>
      <c r="I9194" s="26">
        <v>43578.535208333298</v>
      </c>
      <c r="J9194" s="23" t="str">
        <f>HYPERLINK("https://www.spark-marketing.ru/Card/Person/930814", "ООО ""ЧОО ""ВИТЯЗЬ""")</f>
        <v>ООО "ЧОО "ВИТЯЗЬ"</v>
      </c>
      <c r="K9194" s="24" t="s">
        <v>10734</v>
      </c>
      <c r="L9194" s="28" t="s">
        <v>52</v>
      </c>
      <c r="M9194" s="25">
        <v>969000</v>
      </c>
      <c r="N9194" s="27">
        <v>0.05</v>
      </c>
    </row>
    <row r="9195" spans="1:14" hidden="1" outlineLevel="1" x14ac:dyDescent="0.2">
      <c r="A9195" s="23" t="str">
        <f>HYPERLINK("https://www.spark-marketing.ru/Card/Person/64814", "АО ""ВОЕНТЕЛЕКОМ""")</f>
        <v>АО "ВОЕНТЕЛЕКОМ"</v>
      </c>
      <c r="B9195" s="24" t="s">
        <v>10731</v>
      </c>
      <c r="C9195" s="28" t="s">
        <v>52</v>
      </c>
      <c r="D9195" s="22" t="s">
        <v>11546</v>
      </c>
      <c r="E9195" s="22" t="s">
        <v>363</v>
      </c>
      <c r="F9195" s="23" t="str">
        <f>HYPERLINK("https://www.spark-marketing.ru/Card/Lot/70014207", "Услуги охраны")</f>
        <v>Услуги охраны</v>
      </c>
      <c r="G9195" s="22" t="s">
        <v>861</v>
      </c>
      <c r="H9195" s="22" t="s">
        <v>861</v>
      </c>
      <c r="I9195" s="26">
        <v>43578.535208333298</v>
      </c>
      <c r="J9195" s="23" t="str">
        <f>HYPERLINK("https://www.spark-marketing.ru/Card/Person/939507", "ООО ""ОО ""ПРЕТОР""""")</f>
        <v>ООО "ОО "ПРЕТОР""</v>
      </c>
      <c r="K9195" s="24" t="s">
        <v>10733</v>
      </c>
      <c r="L9195" s="28" t="s">
        <v>52</v>
      </c>
      <c r="M9195" s="25">
        <v>1020000</v>
      </c>
      <c r="N9195" s="27">
        <v>0</v>
      </c>
    </row>
    <row r="9196" spans="1:14" x14ac:dyDescent="0.15">
      <c r="A9196" s="23" t="str">
        <f>HYPERLINK("https://www.spark-marketing.ru/Card/Person/75520", "БАШКОРТОСТАНСКАЯ ТАМОЖНЯ")</f>
        <v>БАШКОРТОСТАНСКАЯ ТАМОЖНЯ</v>
      </c>
      <c r="B9196" s="24" t="s">
        <v>11548</v>
      </c>
      <c r="C9196" s="25">
        <v>1084429.6000000001</v>
      </c>
      <c r="D9196" s="22" t="s">
        <v>11549</v>
      </c>
      <c r="E9196" s="22" t="s">
        <v>68</v>
      </c>
      <c r="F9196" s="23" t="str">
        <f>HYPERLINK("https://www.spark-marketing.ru/Card/Lot/70011230", "Оказание услуг по охране объекта Башкортостанской таможни (стоянка служебного автотранспорта г. Уфа, ул. Калинина,29)")</f>
        <v>Оказание услуг по охране объекта Башкортостанской таможни (стоянка служебного автотранспорта г. Уфа, ул. Калинина,29)</v>
      </c>
      <c r="G9196" s="22" t="s">
        <v>100</v>
      </c>
      <c r="H9196" s="22" t="s">
        <v>373</v>
      </c>
      <c r="I9196" s="26">
        <v>43578.527083333298</v>
      </c>
      <c r="J9196" s="28" t="s">
        <v>52</v>
      </c>
      <c r="K9196" s="28" t="s">
        <v>52</v>
      </c>
      <c r="L9196" s="28" t="s">
        <v>52</v>
      </c>
      <c r="M9196" s="28" t="s">
        <v>52</v>
      </c>
      <c r="N9196" s="28" t="s">
        <v>52</v>
      </c>
    </row>
    <row r="9197" spans="1:14" x14ac:dyDescent="0.15">
      <c r="A9197" s="23" t="str">
        <f>HYPERLINK("https://www.spark-marketing.ru/Card/Person/4955734", "ПОРТЭНЕРГО ООО")</f>
        <v>ПОРТЭНЕРГО ООО</v>
      </c>
      <c r="B9197" s="28" t="s">
        <v>52</v>
      </c>
      <c r="C9197" s="28" t="s">
        <v>52</v>
      </c>
      <c r="D9197" s="22" t="s">
        <v>11550</v>
      </c>
      <c r="E9197" s="22" t="s">
        <v>53</v>
      </c>
      <c r="F9197" s="23" t="str">
        <f>HYPERLINK("https://www.spark-marketing.ru/Card/Lot/70009906", "Лот #1. Открытый тендер в целях выбора исполнителя на оказание услуг по защите объекта транспортной инфраструктуры и транспортных средств от актов незаконного вмешательства для нужд ООО «Портэнерго»")</f>
        <v>Лот #1. Открытый тендер в целях выбора исполнителя на оказание услуг по защите объекта транспортной инфраструктуры и транспортных средств от актов незаконного вмешательства для нужд ООО «Портэнерго»</v>
      </c>
      <c r="G9197" s="22" t="s">
        <v>52</v>
      </c>
      <c r="H9197" s="22" t="s">
        <v>52</v>
      </c>
      <c r="I9197" s="26">
        <v>43578.508333333302</v>
      </c>
      <c r="J9197" s="28" t="s">
        <v>52</v>
      </c>
      <c r="K9197" s="28" t="s">
        <v>52</v>
      </c>
      <c r="L9197" s="28" t="s">
        <v>52</v>
      </c>
      <c r="M9197" s="28" t="s">
        <v>52</v>
      </c>
      <c r="N9197" s="28" t="s">
        <v>52</v>
      </c>
    </row>
    <row r="9198" spans="1:14" x14ac:dyDescent="0.15">
      <c r="A9198" s="23" t="str">
        <f>HYPERLINK("https://www.spark-marketing.ru/Card/Person/52778", "НОВОСИБИРСКСТАТ")</f>
        <v>НОВОСИБИРСКСТАТ</v>
      </c>
      <c r="B9198" s="24" t="s">
        <v>11551</v>
      </c>
      <c r="C9198" s="25">
        <v>15687.36</v>
      </c>
      <c r="D9198" s="22" t="s">
        <v>11552</v>
      </c>
      <c r="E9198" s="22" t="s">
        <v>53</v>
      </c>
      <c r="F9198" s="23" t="str">
        <f>HYPERLINK("https://www.spark-marketing.ru/Card/Lot/70770600", "техническое обслуживание комплекса технических средств охраны")</f>
        <v>техническое обслуживание комплекса технических средств охраны</v>
      </c>
      <c r="G9198" s="22" t="s">
        <v>209</v>
      </c>
      <c r="H9198" s="22" t="s">
        <v>210</v>
      </c>
      <c r="I9198" s="26">
        <v>43578.508703703701</v>
      </c>
      <c r="J9198" s="28" t="s">
        <v>52</v>
      </c>
      <c r="K9198" s="28" t="s">
        <v>52</v>
      </c>
      <c r="L9198" s="28" t="s">
        <v>52</v>
      </c>
      <c r="M9198" s="28" t="s">
        <v>52</v>
      </c>
      <c r="N9198" s="28" t="s">
        <v>52</v>
      </c>
    </row>
    <row r="9199" spans="1:14" x14ac:dyDescent="0.15">
      <c r="A9199" s="23" t="str">
        <f>HYPERLINK("https://www.spark-marketing.ru/Card/Person/87423", "МБОУ НАРО-ФОМИНСКАЯ СОШ №9")</f>
        <v>МБОУ НАРО-ФОМИНСКАЯ СОШ №9</v>
      </c>
      <c r="B9199" s="24" t="s">
        <v>11553</v>
      </c>
      <c r="C9199" s="25">
        <v>92500</v>
      </c>
      <c r="D9199" s="22" t="s">
        <v>11554</v>
      </c>
      <c r="E9199" s="22" t="s">
        <v>298</v>
      </c>
      <c r="F9199" s="23" t="str">
        <f>HYPERLINK("https://www.spark-marketing.ru/Card/Lot/70013641", "Оказание услуг по обслуживанию видеонаблюдения")</f>
        <v>Оказание услуг по обслуживанию видеонаблюдения</v>
      </c>
      <c r="G9199" s="22" t="s">
        <v>50</v>
      </c>
      <c r="H9199" s="22" t="s">
        <v>2430</v>
      </c>
      <c r="I9199" s="26">
        <v>43578.524004629602</v>
      </c>
      <c r="J9199" s="28" t="s">
        <v>52</v>
      </c>
      <c r="K9199" s="28" t="s">
        <v>52</v>
      </c>
      <c r="L9199" s="28" t="s">
        <v>52</v>
      </c>
      <c r="M9199" s="28" t="s">
        <v>52</v>
      </c>
      <c r="N9199" s="28" t="s">
        <v>52</v>
      </c>
    </row>
    <row r="9200" spans="1:14" x14ac:dyDescent="0.15">
      <c r="A9200" s="23" t="str">
        <f>HYPERLINK("https://www.spark-marketing.ru/Card/Person/4343740", "МИНЗДРАВ РОССИИ")</f>
        <v>МИНЗДРАВ РОССИИ</v>
      </c>
      <c r="B9200" s="24" t="s">
        <v>1666</v>
      </c>
      <c r="C9200" s="25">
        <v>953713605.5</v>
      </c>
      <c r="D9200" s="22" t="s">
        <v>11555</v>
      </c>
      <c r="E9200" s="22" t="s">
        <v>53</v>
      </c>
      <c r="F9200" s="23" t="str">
        <f>HYPERLINK("https://www.spark-marketing.ru/Card/Lot/70019277", "Галсульфаза, концентрат для приготовления раствора для инфузий, 1 мг/мл, 5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f>
        <v>Галсульфаза, концентрат для приготовления раствора для инфузий, 1 мг/мл, 5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v>
      </c>
      <c r="G9200" s="22" t="s">
        <v>281</v>
      </c>
      <c r="H9200" s="22" t="s">
        <v>2008</v>
      </c>
      <c r="I9200" s="26">
        <v>43578.5131944444</v>
      </c>
      <c r="J9200" s="23" t="str">
        <f>HYPERLINK("https://www.spark-marketing.ru/Card/Person/129611", "АО ""ФАРМИМЭКС""")</f>
        <v>АО "ФАРМИМЭКС"</v>
      </c>
      <c r="K9200" s="24" t="s">
        <v>9536</v>
      </c>
      <c r="L9200" s="22" t="s">
        <v>10</v>
      </c>
      <c r="M9200" s="28" t="s">
        <v>52</v>
      </c>
      <c r="N9200" s="28" t="s">
        <v>52</v>
      </c>
    </row>
    <row r="9201" spans="1:14" x14ac:dyDescent="0.15">
      <c r="A9201" s="23" t="str">
        <f>HYPERLINK("https://www.spark-marketing.ru/Card/Person/29859", "ГБУЗ МО КГБ № 2")</f>
        <v>ГБУЗ МО КГБ № 2</v>
      </c>
      <c r="B9201" s="24" t="s">
        <v>11556</v>
      </c>
      <c r="C9201" s="25">
        <v>25000</v>
      </c>
      <c r="D9201" s="22" t="s">
        <v>11557</v>
      </c>
      <c r="E9201" s="22" t="s">
        <v>298</v>
      </c>
      <c r="F9201" s="23" t="str">
        <f>HYPERLINK("https://www.spark-marketing.ru/Card/Lot/70013603", "Оказание услуг по монтажу комплекта «Тревожная кнопка», включая поставку и пусконаладочные работы")</f>
        <v>Оказание услуг по монтажу комплекта «Тревожная кнопка», включая поставку и пусконаладочные работы</v>
      </c>
      <c r="G9201" s="22" t="s">
        <v>50</v>
      </c>
      <c r="H9201" s="22" t="s">
        <v>51</v>
      </c>
      <c r="I9201" s="26">
        <v>43578.513564814799</v>
      </c>
      <c r="J9201" s="28" t="s">
        <v>52</v>
      </c>
      <c r="K9201" s="28" t="s">
        <v>52</v>
      </c>
      <c r="L9201" s="28" t="s">
        <v>52</v>
      </c>
      <c r="M9201" s="28" t="s">
        <v>52</v>
      </c>
      <c r="N9201" s="28" t="s">
        <v>52</v>
      </c>
    </row>
    <row r="9202" spans="1:14" x14ac:dyDescent="0.15">
      <c r="A9202" s="23" t="str">
        <f>HYPERLINK("https://www.spark-marketing.ru/Card/Person/1081517", "МОУ ""ЛИЦЕЙ № 15""")</f>
        <v>МОУ "ЛИЦЕЙ № 15"</v>
      </c>
      <c r="B9202" s="24" t="s">
        <v>11558</v>
      </c>
      <c r="C9202" s="25">
        <v>171332</v>
      </c>
      <c r="D9202" s="22" t="s">
        <v>11559</v>
      </c>
      <c r="E9202" s="22" t="s">
        <v>194</v>
      </c>
      <c r="F9202" s="23" t="str">
        <f>HYPERLINK("https://www.spark-marketing.ru/Card/Lot/70010328", "Поставка системы видеонаблюдения с оказанием сопутствующих услуг по установке и подключению")</f>
        <v>Поставка системы видеонаблюдения с оказанием сопутствующих услуг по установке и подключению</v>
      </c>
      <c r="G9202" s="22" t="s">
        <v>50</v>
      </c>
      <c r="H9202" s="22" t="s">
        <v>5291</v>
      </c>
      <c r="I9202" s="26">
        <v>43578.502800925897</v>
      </c>
      <c r="J9202" s="28" t="s">
        <v>52</v>
      </c>
      <c r="K9202" s="28" t="s">
        <v>52</v>
      </c>
      <c r="L9202" s="28" t="s">
        <v>52</v>
      </c>
      <c r="M9202" s="28" t="s">
        <v>52</v>
      </c>
      <c r="N9202" s="28" t="s">
        <v>52</v>
      </c>
    </row>
    <row r="9203" spans="1:14" x14ac:dyDescent="0.15">
      <c r="A9203" s="23" t="str">
        <f>HYPERLINK("https://www.spark-marketing.ru/Card/Person/1024915", "МОУ ""ВАСИЛЬЕВСКАЯ ООШ""")</f>
        <v>МОУ "ВАСИЛЬЕВСКАЯ ООШ"</v>
      </c>
      <c r="B9203" s="24" t="s">
        <v>11560</v>
      </c>
      <c r="C9203" s="25">
        <v>66000</v>
      </c>
      <c r="D9203" s="22" t="s">
        <v>11561</v>
      </c>
      <c r="E9203" s="22" t="s">
        <v>107</v>
      </c>
      <c r="F9203" s="23" t="str">
        <f>HYPERLINK("https://www.spark-marketing.ru/Card/Lot/70010179", "Оказание услуг по техническому обслуживанию домофонов и видеодомофонов")</f>
        <v>Оказание услуг по техническому обслуживанию домофонов и видеодомофонов</v>
      </c>
      <c r="G9203" s="22" t="s">
        <v>50</v>
      </c>
      <c r="H9203" s="22" t="s">
        <v>5160</v>
      </c>
      <c r="I9203" s="26">
        <v>43578.471886574102</v>
      </c>
      <c r="J9203" s="28" t="s">
        <v>52</v>
      </c>
      <c r="K9203" s="28" t="s">
        <v>52</v>
      </c>
      <c r="L9203" s="28" t="s">
        <v>52</v>
      </c>
      <c r="M9203" s="28" t="s">
        <v>52</v>
      </c>
      <c r="N9203" s="28" t="s">
        <v>52</v>
      </c>
    </row>
    <row r="9204" spans="1:14" x14ac:dyDescent="0.15">
      <c r="A9204" s="23" t="str">
        <f t="shared" ref="A9204:A9212" si="406">HYPERLINK("https://www.spark-marketing.ru/Card/Person/88484", "ГБДОУ ДЕТСКИЙ САД № 43 ПУШКИНСКОГО РАЙОНА СПБ")</f>
        <v>ГБДОУ ДЕТСКИЙ САД № 43 ПУШКИНСКОГО РАЙОНА СПБ</v>
      </c>
      <c r="B9204" s="24" t="s">
        <v>11562</v>
      </c>
      <c r="C9204" s="25">
        <v>426554</v>
      </c>
      <c r="D9204" s="22" t="s">
        <v>11563</v>
      </c>
      <c r="E9204" s="22" t="s">
        <v>59</v>
      </c>
      <c r="F9204" s="23" t="str">
        <f t="shared" ref="F9204:F9212" si="407">HYPERLINK("https://www.spark-marketing.ru/Card/Lot/70011810", "Монтаж системы видеонаблюдения в здании ГБДОУ детский сад № 43 Пушкинского района СПб по адресу: Санкт-Петербург, пос. Шушары, Славянка, Ростовская ул., д. 13-15, лит. А, пом.87Н")</f>
        <v>Монтаж системы видеонаблюдения в здании ГБДОУ детский сад № 43 Пушкинского района СПб по адресу: Санкт-Петербург, пос. Шушары, Славянка, Ростовская ул., д. 13-15, лит. А, пом.87Н</v>
      </c>
      <c r="G9204" s="22" t="s">
        <v>89</v>
      </c>
      <c r="H9204" s="22" t="s">
        <v>89</v>
      </c>
      <c r="I9204" s="26">
        <v>43578.469444444403</v>
      </c>
      <c r="J9204" s="28" t="s">
        <v>52</v>
      </c>
      <c r="K9204" s="28" t="s">
        <v>52</v>
      </c>
      <c r="L9204" s="28" t="s">
        <v>52</v>
      </c>
      <c r="M9204" s="28" t="s">
        <v>52</v>
      </c>
      <c r="N9204" s="28" t="s">
        <v>52</v>
      </c>
    </row>
    <row r="9205" spans="1:14" hidden="1" outlineLevel="1" x14ac:dyDescent="0.2">
      <c r="A9205" s="23" t="str">
        <f t="shared" si="406"/>
        <v>ГБДОУ ДЕТСКИЙ САД № 43 ПУШКИНСКОГО РАЙОНА СПБ</v>
      </c>
      <c r="B9205" s="24" t="s">
        <v>11562</v>
      </c>
      <c r="C9205" s="25">
        <v>426554</v>
      </c>
      <c r="D9205" s="22" t="s">
        <v>11563</v>
      </c>
      <c r="E9205" s="22" t="s">
        <v>59</v>
      </c>
      <c r="F9205" s="23" t="str">
        <f t="shared" si="407"/>
        <v>Монтаж системы видеонаблюдения в здании ГБДОУ детский сад № 43 Пушкинского района СПб по адресу: Санкт-Петербург, пос. Шушары, Славянка, Ростовская ул., д. 13-15, лит. А, пом.87Н</v>
      </c>
      <c r="G9205" s="22" t="s">
        <v>89</v>
      </c>
      <c r="H9205" s="22" t="s">
        <v>89</v>
      </c>
      <c r="I9205" s="26">
        <v>43578.469444444403</v>
      </c>
      <c r="J9205" s="23" t="str">
        <f>HYPERLINK("https://www.spark-marketing.ru/Card/Person/171473", "ООО ""БИСМАРК.ТВ""")</f>
        <v>ООО "БИСМАРК.ТВ"</v>
      </c>
      <c r="K9205" s="24" t="s">
        <v>10897</v>
      </c>
      <c r="L9205" s="28" t="s">
        <v>52</v>
      </c>
      <c r="M9205" s="25">
        <v>339110.43</v>
      </c>
      <c r="N9205" s="27">
        <v>0.20499999999999999</v>
      </c>
    </row>
    <row r="9206" spans="1:14" hidden="1" outlineLevel="1" x14ac:dyDescent="0.2">
      <c r="A9206" s="23" t="str">
        <f t="shared" si="406"/>
        <v>ГБДОУ ДЕТСКИЙ САД № 43 ПУШКИНСКОГО РАЙОНА СПБ</v>
      </c>
      <c r="B9206" s="24" t="s">
        <v>11562</v>
      </c>
      <c r="C9206" s="25">
        <v>426554</v>
      </c>
      <c r="D9206" s="22" t="s">
        <v>11563</v>
      </c>
      <c r="E9206" s="22" t="s">
        <v>59</v>
      </c>
      <c r="F9206" s="23" t="str">
        <f t="shared" si="407"/>
        <v>Монтаж системы видеонаблюдения в здании ГБДОУ детский сад № 43 Пушкинского района СПб по адресу: Санкт-Петербург, пос. Шушары, Славянка, Ростовская ул., д. 13-15, лит. А, пом.87Н</v>
      </c>
      <c r="G9206" s="22" t="s">
        <v>89</v>
      </c>
      <c r="H9206" s="22" t="s">
        <v>89</v>
      </c>
      <c r="I9206" s="26">
        <v>43578.469444444403</v>
      </c>
      <c r="J9206" s="23" t="str">
        <f>HYPERLINK("https://www.spark-marketing.ru/Card/Person/6293291", "Данвальд Наталья Викторовна")</f>
        <v>Данвальд Наталья Викторовна</v>
      </c>
      <c r="K9206" s="24" t="s">
        <v>10041</v>
      </c>
      <c r="L9206" s="28" t="s">
        <v>52</v>
      </c>
      <c r="M9206" s="25">
        <v>326313.81</v>
      </c>
      <c r="N9206" s="27">
        <v>0.23499999999999999</v>
      </c>
    </row>
    <row r="9207" spans="1:14" hidden="1" outlineLevel="1" x14ac:dyDescent="0.2">
      <c r="A9207" s="23" t="str">
        <f t="shared" si="406"/>
        <v>ГБДОУ ДЕТСКИЙ САД № 43 ПУШКИНСКОГО РАЙОНА СПБ</v>
      </c>
      <c r="B9207" s="24" t="s">
        <v>11562</v>
      </c>
      <c r="C9207" s="25">
        <v>426554</v>
      </c>
      <c r="D9207" s="22" t="s">
        <v>11563</v>
      </c>
      <c r="E9207" s="22" t="s">
        <v>59</v>
      </c>
      <c r="F9207" s="23" t="str">
        <f t="shared" si="407"/>
        <v>Монтаж системы видеонаблюдения в здании ГБДОУ детский сад № 43 Пушкинского района СПб по адресу: Санкт-Петербург, пос. Шушары, Славянка, Ростовская ул., д. 13-15, лит. А, пом.87Н</v>
      </c>
      <c r="G9207" s="22" t="s">
        <v>89</v>
      </c>
      <c r="H9207" s="22" t="s">
        <v>89</v>
      </c>
      <c r="I9207" s="26">
        <v>43578.469444444403</v>
      </c>
      <c r="J9207" s="23" t="str">
        <f>HYPERLINK("https://www.spark-marketing.ru/Card/Person/450990", "ООО ""СЕЙГАЛ""")</f>
        <v>ООО "СЕЙГАЛ"</v>
      </c>
      <c r="K9207" s="24" t="s">
        <v>11235</v>
      </c>
      <c r="L9207" s="28" t="s">
        <v>52</v>
      </c>
      <c r="M9207" s="25">
        <v>364703.67</v>
      </c>
      <c r="N9207" s="27">
        <v>0.14499999999999999</v>
      </c>
    </row>
    <row r="9208" spans="1:14" ht="12.75" hidden="1" outlineLevel="1" x14ac:dyDescent="0.2">
      <c r="A9208" s="23" t="str">
        <f t="shared" si="406"/>
        <v>ГБДОУ ДЕТСКИЙ САД № 43 ПУШКИНСКОГО РАЙОНА СПБ</v>
      </c>
      <c r="B9208" s="24" t="s">
        <v>11562</v>
      </c>
      <c r="C9208" s="25">
        <v>426554</v>
      </c>
      <c r="D9208" s="22" t="s">
        <v>11563</v>
      </c>
      <c r="E9208" s="22" t="s">
        <v>59</v>
      </c>
      <c r="F9208" s="23" t="str">
        <f t="shared" si="407"/>
        <v>Монтаж системы видеонаблюдения в здании ГБДОУ детский сад № 43 Пушкинского района СПб по адресу: Санкт-Петербург, пос. Шушары, Славянка, Ростовская ул., д. 13-15, лит. А, пом.87Н</v>
      </c>
      <c r="G9208" s="22" t="s">
        <v>89</v>
      </c>
      <c r="H9208" s="22" t="s">
        <v>89</v>
      </c>
      <c r="I9208" s="26">
        <v>43578.469444444403</v>
      </c>
      <c r="J9208" s="23" t="str">
        <f>HYPERLINK("https://www.spark-marketing.ru/Card/Person/132600", "ООО ""АСПЕКТ""")</f>
        <v>ООО "АСПЕКТ"</v>
      </c>
      <c r="K9208" s="24" t="s">
        <v>10038</v>
      </c>
      <c r="L9208" s="22" t="s">
        <v>10</v>
      </c>
      <c r="M9208" s="25">
        <v>324181.03999999998</v>
      </c>
      <c r="N9208" s="27">
        <v>0.24</v>
      </c>
    </row>
    <row r="9209" spans="1:14" hidden="1" outlineLevel="1" x14ac:dyDescent="0.2">
      <c r="A9209" s="23" t="str">
        <f t="shared" si="406"/>
        <v>ГБДОУ ДЕТСКИЙ САД № 43 ПУШКИНСКОГО РАЙОНА СПБ</v>
      </c>
      <c r="B9209" s="24" t="s">
        <v>11562</v>
      </c>
      <c r="C9209" s="25">
        <v>426554</v>
      </c>
      <c r="D9209" s="22" t="s">
        <v>11563</v>
      </c>
      <c r="E9209" s="22" t="s">
        <v>59</v>
      </c>
      <c r="F9209" s="23" t="str">
        <f t="shared" si="407"/>
        <v>Монтаж системы видеонаблюдения в здании ГБДОУ детский сад № 43 Пушкинского района СПб по адресу: Санкт-Петербург, пос. Шушары, Славянка, Ростовская ул., д. 13-15, лит. А, пом.87Н</v>
      </c>
      <c r="G9209" s="22" t="s">
        <v>89</v>
      </c>
      <c r="H9209" s="22" t="s">
        <v>89</v>
      </c>
      <c r="I9209" s="26">
        <v>43578.469444444403</v>
      </c>
      <c r="J9209" s="23" t="str">
        <f>HYPERLINK("https://www.spark-marketing.ru/Card/Person/5950116", "ООО ""АСБ""")</f>
        <v>ООО "АСБ"</v>
      </c>
      <c r="K9209" s="24" t="s">
        <v>11384</v>
      </c>
      <c r="L9209" s="28" t="s">
        <v>52</v>
      </c>
      <c r="M9209" s="25">
        <v>420155.69</v>
      </c>
      <c r="N9209" s="27">
        <v>1.4999999999999999E-2</v>
      </c>
    </row>
    <row r="9210" spans="1:14" hidden="1" outlineLevel="1" x14ac:dyDescent="0.2">
      <c r="A9210" s="23" t="str">
        <f t="shared" si="406"/>
        <v>ГБДОУ ДЕТСКИЙ САД № 43 ПУШКИНСКОГО РАЙОНА СПБ</v>
      </c>
      <c r="B9210" s="24" t="s">
        <v>11562</v>
      </c>
      <c r="C9210" s="25">
        <v>426554</v>
      </c>
      <c r="D9210" s="22" t="s">
        <v>11563</v>
      </c>
      <c r="E9210" s="22" t="s">
        <v>59</v>
      </c>
      <c r="F9210" s="23" t="str">
        <f t="shared" si="407"/>
        <v>Монтаж системы видеонаблюдения в здании ГБДОУ детский сад № 43 Пушкинского района СПб по адресу: Санкт-Петербург, пос. Шушары, Славянка, Ростовская ул., д. 13-15, лит. А, пом.87Н</v>
      </c>
      <c r="G9210" s="22" t="s">
        <v>89</v>
      </c>
      <c r="H9210" s="22" t="s">
        <v>89</v>
      </c>
      <c r="I9210" s="26">
        <v>43578.469444444403</v>
      </c>
      <c r="J9210" s="23" t="str">
        <f>HYPERLINK("https://www.spark-marketing.ru/Card/Person/6369243", "Караулова Ирина Геннадьевна")</f>
        <v>Караулова Ирина Геннадьевна</v>
      </c>
      <c r="K9210" s="24" t="s">
        <v>11279</v>
      </c>
      <c r="L9210" s="28" t="s">
        <v>52</v>
      </c>
      <c r="M9210" s="25">
        <v>407359.07</v>
      </c>
      <c r="N9210" s="27">
        <v>4.4999999999999998E-2</v>
      </c>
    </row>
    <row r="9211" spans="1:14" hidden="1" outlineLevel="1" x14ac:dyDescent="0.2">
      <c r="A9211" s="23" t="str">
        <f t="shared" si="406"/>
        <v>ГБДОУ ДЕТСКИЙ САД № 43 ПУШКИНСКОГО РАЙОНА СПБ</v>
      </c>
      <c r="B9211" s="24" t="s">
        <v>11562</v>
      </c>
      <c r="C9211" s="25">
        <v>426554</v>
      </c>
      <c r="D9211" s="22" t="s">
        <v>11563</v>
      </c>
      <c r="E9211" s="22" t="s">
        <v>59</v>
      </c>
      <c r="F9211" s="23" t="str">
        <f t="shared" si="407"/>
        <v>Монтаж системы видеонаблюдения в здании ГБДОУ детский сад № 43 Пушкинского района СПб по адресу: Санкт-Петербург, пос. Шушары, Славянка, Ростовская ул., д. 13-15, лит. А, пом.87Н</v>
      </c>
      <c r="G9211" s="22" t="s">
        <v>89</v>
      </c>
      <c r="H9211" s="22" t="s">
        <v>89</v>
      </c>
      <c r="I9211" s="26">
        <v>43578.469444444403</v>
      </c>
      <c r="J9211" s="23" t="str">
        <f>HYPERLINK("https://www.spark-marketing.ru/Card/Person/6223594", "ООО ""ПК ""СОКОЛ""")</f>
        <v>ООО "ПК "СОКОЛ"</v>
      </c>
      <c r="K9211" s="24" t="s">
        <v>11564</v>
      </c>
      <c r="L9211" s="28" t="s">
        <v>52</v>
      </c>
      <c r="M9211" s="25">
        <v>420155.69</v>
      </c>
      <c r="N9211" s="27">
        <v>1.4999999999999999E-2</v>
      </c>
    </row>
    <row r="9212" spans="1:14" hidden="1" outlineLevel="1" x14ac:dyDescent="0.2">
      <c r="A9212" s="23" t="str">
        <f t="shared" si="406"/>
        <v>ГБДОУ ДЕТСКИЙ САД № 43 ПУШКИНСКОГО РАЙОНА СПБ</v>
      </c>
      <c r="B9212" s="24" t="s">
        <v>11562</v>
      </c>
      <c r="C9212" s="25">
        <v>426554</v>
      </c>
      <c r="D9212" s="22" t="s">
        <v>11563</v>
      </c>
      <c r="E9212" s="22" t="s">
        <v>59</v>
      </c>
      <c r="F9212" s="23" t="str">
        <f t="shared" si="407"/>
        <v>Монтаж системы видеонаблюдения в здании ГБДОУ детский сад № 43 Пушкинского района СПб по адресу: Санкт-Петербург, пос. Шушары, Славянка, Ростовская ул., д. 13-15, лит. А, пом.87Н</v>
      </c>
      <c r="G9212" s="22" t="s">
        <v>89</v>
      </c>
      <c r="H9212" s="22" t="s">
        <v>89</v>
      </c>
      <c r="I9212" s="26">
        <v>43578.469444444403</v>
      </c>
      <c r="J9212" s="23" t="str">
        <f>HYPERLINK("https://www.spark-marketing.ru/Card/Person/870073", "ООО ""АЛЬБИОН - ОХРАННЫЕ СИСТЕМЫ""")</f>
        <v>ООО "АЛЬБИОН - ОХРАННЫЕ СИСТЕМЫ"</v>
      </c>
      <c r="K9212" s="24" t="s">
        <v>11383</v>
      </c>
      <c r="L9212" s="28" t="s">
        <v>52</v>
      </c>
      <c r="M9212" s="25">
        <v>379633.06</v>
      </c>
      <c r="N9212" s="27">
        <v>0.11</v>
      </c>
    </row>
    <row r="9213" spans="1:14" x14ac:dyDescent="0.15">
      <c r="A9213" s="23" t="str">
        <f>HYPERLINK("https://www.spark-marketing.ru/Card/Person/4343740", "МИНЗДРАВ РОССИИ")</f>
        <v>МИНЗДРАВ РОССИИ</v>
      </c>
      <c r="B9213" s="24" t="s">
        <v>1666</v>
      </c>
      <c r="C9213" s="25">
        <v>508313961.68000001</v>
      </c>
      <c r="D9213" s="22" t="s">
        <v>11565</v>
      </c>
      <c r="E9213" s="22" t="s">
        <v>53</v>
      </c>
      <c r="F9213" s="23" t="str">
        <f>HYPERLINK("https://www.spark-marketing.ru/Card/Lot/70009121", "Терифлуномид, таблетки, покрытые пленочной оболочкой, 14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муковисцидоз...")</f>
        <v>Терифлуномид, таблетки, покрытые пленочной оболочкой, 14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муковисцидоз...</v>
      </c>
      <c r="G9213" s="22" t="s">
        <v>428</v>
      </c>
      <c r="H9213" s="22" t="s">
        <v>429</v>
      </c>
      <c r="I9213" s="26">
        <v>43578.426388888904</v>
      </c>
      <c r="J9213" s="23" t="str">
        <f>HYPERLINK("https://www.spark-marketing.ru/Card/Person/63594", "ООО ""БИОКАД-ФАРМ""")</f>
        <v>ООО "БИОКАД-ФАРМ"</v>
      </c>
      <c r="K9213" s="24" t="s">
        <v>11566</v>
      </c>
      <c r="L9213" s="22" t="s">
        <v>10</v>
      </c>
      <c r="M9213" s="28" t="s">
        <v>52</v>
      </c>
      <c r="N9213" s="28" t="s">
        <v>52</v>
      </c>
    </row>
    <row r="9214" spans="1:14" x14ac:dyDescent="0.15">
      <c r="A9214" s="23" t="str">
        <f t="shared" ref="A9214:A9220" si="408">HYPERLINK("https://www.spark-marketing.ru/Card/Person/86170", "ГБДОУ ДЕТСКИЙ САД № 33 ПУШКИНСКОГО РАЙОНА САНКТ-ПЕТЕРБУРГА")</f>
        <v>ГБДОУ ДЕТСКИЙ САД № 33 ПУШКИНСКОГО РАЙОНА САНКТ-ПЕТЕРБУРГА</v>
      </c>
      <c r="B9214" s="24" t="s">
        <v>11567</v>
      </c>
      <c r="C9214" s="25">
        <v>744994</v>
      </c>
      <c r="D9214" s="22" t="s">
        <v>11568</v>
      </c>
      <c r="E9214" s="22" t="s">
        <v>59</v>
      </c>
      <c r="F9214" s="23" t="str">
        <f t="shared" ref="F9214:F9220" si="409">HYPERLINK("https://www.spark-marketing.ru/Card/Lot/70011113", "Монтаж системы видеонаблюдения в здании ГБДОУ детский сад № 33 Пушкинского района Санкт-Петербурга по адресу: Санкт-Петербург, г. Пушкин, Софийский бульвар, д. 34, лит. А")</f>
        <v>Монтаж системы видеонаблюдения в здании ГБДОУ детский сад № 33 Пушкинского района Санкт-Петербурга по адресу: Санкт-Петербург, г. Пушкин, Софийский бульвар, д. 34, лит. А</v>
      </c>
      <c r="G9214" s="22" t="s">
        <v>89</v>
      </c>
      <c r="H9214" s="22" t="s">
        <v>89</v>
      </c>
      <c r="I9214" s="26">
        <v>43578.447222222203</v>
      </c>
      <c r="J9214" s="28" t="s">
        <v>52</v>
      </c>
      <c r="K9214" s="28" t="s">
        <v>52</v>
      </c>
      <c r="L9214" s="28" t="s">
        <v>52</v>
      </c>
      <c r="M9214" s="28" t="s">
        <v>52</v>
      </c>
      <c r="N9214" s="28" t="s">
        <v>52</v>
      </c>
    </row>
    <row r="9215" spans="1:14" hidden="1" outlineLevel="1" x14ac:dyDescent="0.2">
      <c r="A9215" s="23" t="str">
        <f t="shared" si="408"/>
        <v>ГБДОУ ДЕТСКИЙ САД № 33 ПУШКИНСКОГО РАЙОНА САНКТ-ПЕТЕРБУРГА</v>
      </c>
      <c r="B9215" s="24" t="s">
        <v>11567</v>
      </c>
      <c r="C9215" s="25">
        <v>744994</v>
      </c>
      <c r="D9215" s="22" t="s">
        <v>11568</v>
      </c>
      <c r="E9215" s="22" t="s">
        <v>59</v>
      </c>
      <c r="F9215" s="23" t="str">
        <f t="shared" si="409"/>
        <v>Монтаж системы видеонаблюдения в здании ГБДОУ детский сад № 33 Пушкинского района Санкт-Петербурга по адресу: Санкт-Петербург, г. Пушкин, Софийский бульвар, д. 34, лит. А</v>
      </c>
      <c r="G9215" s="22" t="s">
        <v>89</v>
      </c>
      <c r="H9215" s="22" t="s">
        <v>89</v>
      </c>
      <c r="I9215" s="26">
        <v>43578.447222222203</v>
      </c>
      <c r="J9215" s="23" t="str">
        <f>HYPERLINK("https://www.spark-marketing.ru/Card/Person/6369243", "Караулова Ирина Геннадьевна")</f>
        <v>Караулова Ирина Геннадьевна</v>
      </c>
      <c r="K9215" s="24" t="s">
        <v>11279</v>
      </c>
      <c r="L9215" s="28" t="s">
        <v>52</v>
      </c>
      <c r="M9215" s="25">
        <v>730094.12</v>
      </c>
      <c r="N9215" s="27">
        <v>0.02</v>
      </c>
    </row>
    <row r="9216" spans="1:14" hidden="1" outlineLevel="1" x14ac:dyDescent="0.2">
      <c r="A9216" s="23" t="str">
        <f t="shared" si="408"/>
        <v>ГБДОУ ДЕТСКИЙ САД № 33 ПУШКИНСКОГО РАЙОНА САНКТ-ПЕТЕРБУРГА</v>
      </c>
      <c r="B9216" s="24" t="s">
        <v>11567</v>
      </c>
      <c r="C9216" s="25">
        <v>744994</v>
      </c>
      <c r="D9216" s="22" t="s">
        <v>11568</v>
      </c>
      <c r="E9216" s="22" t="s">
        <v>59</v>
      </c>
      <c r="F9216" s="23" t="str">
        <f t="shared" si="409"/>
        <v>Монтаж системы видеонаблюдения в здании ГБДОУ детский сад № 33 Пушкинского района Санкт-Петербурга по адресу: Санкт-Петербург, г. Пушкин, Софийский бульвар, д. 34, лит. А</v>
      </c>
      <c r="G9216" s="22" t="s">
        <v>89</v>
      </c>
      <c r="H9216" s="22" t="s">
        <v>89</v>
      </c>
      <c r="I9216" s="26">
        <v>43578.447222222203</v>
      </c>
      <c r="J9216" s="23" t="str">
        <f>HYPERLINK("https://www.spark-marketing.ru/Card/Person/5855275", "Медведев Михаил Юрьевич")</f>
        <v>Медведев Михаил Юрьевич</v>
      </c>
      <c r="K9216" s="24" t="s">
        <v>11569</v>
      </c>
      <c r="L9216" s="28" t="s">
        <v>52</v>
      </c>
      <c r="M9216" s="25">
        <v>722644.18</v>
      </c>
      <c r="N9216" s="27">
        <v>0.03</v>
      </c>
    </row>
    <row r="9217" spans="1:14" ht="12.75" hidden="1" outlineLevel="1" x14ac:dyDescent="0.2">
      <c r="A9217" s="23" t="str">
        <f t="shared" si="408"/>
        <v>ГБДОУ ДЕТСКИЙ САД № 33 ПУШКИНСКОГО РАЙОНА САНКТ-ПЕТЕРБУРГА</v>
      </c>
      <c r="B9217" s="24" t="s">
        <v>11567</v>
      </c>
      <c r="C9217" s="25">
        <v>744994</v>
      </c>
      <c r="D9217" s="22" t="s">
        <v>11568</v>
      </c>
      <c r="E9217" s="22" t="s">
        <v>59</v>
      </c>
      <c r="F9217" s="23" t="str">
        <f t="shared" si="409"/>
        <v>Монтаж системы видеонаблюдения в здании ГБДОУ детский сад № 33 Пушкинского района Санкт-Петербурга по адресу: Санкт-Петербург, г. Пушкин, Софийский бульвар, д. 34, лит. А</v>
      </c>
      <c r="G9217" s="22" t="s">
        <v>89</v>
      </c>
      <c r="H9217" s="22" t="s">
        <v>89</v>
      </c>
      <c r="I9217" s="26">
        <v>43578.447222222203</v>
      </c>
      <c r="J9217" s="23" t="str">
        <f>HYPERLINK("https://www.spark-marketing.ru/Card/Person/575853", "ООО ""ТС""")</f>
        <v>ООО "ТС"</v>
      </c>
      <c r="K9217" s="24" t="s">
        <v>11570</v>
      </c>
      <c r="L9217" s="22" t="s">
        <v>10</v>
      </c>
      <c r="M9217" s="25">
        <v>515300.36</v>
      </c>
      <c r="N9217" s="27">
        <v>0.30831609382088981</v>
      </c>
    </row>
    <row r="9218" spans="1:14" hidden="1" outlineLevel="1" x14ac:dyDescent="0.2">
      <c r="A9218" s="23" t="str">
        <f t="shared" si="408"/>
        <v>ГБДОУ ДЕТСКИЙ САД № 33 ПУШКИНСКОГО РАЙОНА САНКТ-ПЕТЕРБУРГА</v>
      </c>
      <c r="B9218" s="24" t="s">
        <v>11567</v>
      </c>
      <c r="C9218" s="25">
        <v>744994</v>
      </c>
      <c r="D9218" s="22" t="s">
        <v>11568</v>
      </c>
      <c r="E9218" s="22" t="s">
        <v>59</v>
      </c>
      <c r="F9218" s="23" t="str">
        <f t="shared" si="409"/>
        <v>Монтаж системы видеонаблюдения в здании ГБДОУ детский сад № 33 Пушкинского района Санкт-Петербурга по адресу: Санкт-Петербург, г. Пушкин, Софийский бульвар, д. 34, лит. А</v>
      </c>
      <c r="G9218" s="22" t="s">
        <v>89</v>
      </c>
      <c r="H9218" s="22" t="s">
        <v>89</v>
      </c>
      <c r="I9218" s="26">
        <v>43578.447222222203</v>
      </c>
      <c r="J9218" s="23" t="str">
        <f>HYPERLINK("https://www.spark-marketing.ru/Card/Person/132600", "ООО ""АСПЕКТ""")</f>
        <v>ООО "АСПЕКТ"</v>
      </c>
      <c r="K9218" s="24" t="s">
        <v>10038</v>
      </c>
      <c r="L9218" s="28" t="s">
        <v>52</v>
      </c>
      <c r="M9218" s="25">
        <v>519025.33</v>
      </c>
      <c r="N9218" s="27">
        <v>0.30331609382088981</v>
      </c>
    </row>
    <row r="9219" spans="1:14" hidden="1" outlineLevel="1" x14ac:dyDescent="0.2">
      <c r="A9219" s="23" t="str">
        <f t="shared" si="408"/>
        <v>ГБДОУ ДЕТСКИЙ САД № 33 ПУШКИНСКОГО РАЙОНА САНКТ-ПЕТЕРБУРГА</v>
      </c>
      <c r="B9219" s="24" t="s">
        <v>11567</v>
      </c>
      <c r="C9219" s="25">
        <v>744994</v>
      </c>
      <c r="D9219" s="22" t="s">
        <v>11568</v>
      </c>
      <c r="E9219" s="22" t="s">
        <v>59</v>
      </c>
      <c r="F9219" s="23" t="str">
        <f t="shared" si="409"/>
        <v>Монтаж системы видеонаблюдения в здании ГБДОУ детский сад № 33 Пушкинского района Санкт-Петербурга по адресу: Санкт-Петербург, г. Пушкин, Софийский бульвар, д. 34, лит. А</v>
      </c>
      <c r="G9219" s="22" t="s">
        <v>89</v>
      </c>
      <c r="H9219" s="22" t="s">
        <v>89</v>
      </c>
      <c r="I9219" s="26">
        <v>43578.447222222203</v>
      </c>
      <c r="J9219" s="23" t="str">
        <f>HYPERLINK("https://www.spark-marketing.ru/Card/Person/5950116", "ООО ""АСБ""")</f>
        <v>ООО "АСБ"</v>
      </c>
      <c r="K9219" s="24" t="s">
        <v>11384</v>
      </c>
      <c r="L9219" s="28" t="s">
        <v>52</v>
      </c>
      <c r="M9219" s="25">
        <v>737544.06</v>
      </c>
      <c r="N9219" s="27">
        <v>0.01</v>
      </c>
    </row>
    <row r="9220" spans="1:14" hidden="1" outlineLevel="1" x14ac:dyDescent="0.2">
      <c r="A9220" s="23" t="str">
        <f t="shared" si="408"/>
        <v>ГБДОУ ДЕТСКИЙ САД № 33 ПУШКИНСКОГО РАЙОНА САНКТ-ПЕТЕРБУРГА</v>
      </c>
      <c r="B9220" s="24" t="s">
        <v>11567</v>
      </c>
      <c r="C9220" s="25">
        <v>744994</v>
      </c>
      <c r="D9220" s="22" t="s">
        <v>11568</v>
      </c>
      <c r="E9220" s="22" t="s">
        <v>59</v>
      </c>
      <c r="F9220" s="23" t="str">
        <f t="shared" si="409"/>
        <v>Монтаж системы видеонаблюдения в здании ГБДОУ детский сад № 33 Пушкинского района Санкт-Петербурга по адресу: Санкт-Петербург, г. Пушкин, Софийский бульвар, д. 34, лит. А</v>
      </c>
      <c r="G9220" s="22" t="s">
        <v>89</v>
      </c>
      <c r="H9220" s="22" t="s">
        <v>89</v>
      </c>
      <c r="I9220" s="26">
        <v>43578.447222222203</v>
      </c>
      <c r="J9220" s="23" t="str">
        <f>HYPERLINK("https://www.spark-marketing.ru/Card/Person/1556733", "Михайлов Дмитрий Олегович")</f>
        <v>Михайлов Дмитрий Олегович</v>
      </c>
      <c r="K9220" s="24" t="s">
        <v>11278</v>
      </c>
      <c r="L9220" s="28" t="s">
        <v>52</v>
      </c>
      <c r="M9220" s="25">
        <v>560000</v>
      </c>
      <c r="N9220" s="27">
        <v>0.24831609382088984</v>
      </c>
    </row>
    <row r="9221" spans="1:14" x14ac:dyDescent="0.2">
      <c r="A9221" s="23" t="str">
        <f>HYPERLINK("https://www.spark-marketing.ru/Card/Person/95245", "ОАО ""РЖД""")</f>
        <v>ОАО "РЖД"</v>
      </c>
      <c r="B9221" s="24" t="s">
        <v>163</v>
      </c>
      <c r="C9221" s="25">
        <v>1436270.41</v>
      </c>
      <c r="D9221" s="22" t="s">
        <v>11571</v>
      </c>
      <c r="E9221" s="22" t="s">
        <v>11572</v>
      </c>
      <c r="F9221" s="23" t="str">
        <f>HYPERLINK("https://www.spark-marketing.ru/Card/Lot/70007316", "На право заключения договора на оказание услуг по агрономическому сопровождению на объектах административно-хозяйственного центра")</f>
        <v>На право заключения договора на оказание услуг по агрономическому сопровождению на объектах административно-хозяйственного центра</v>
      </c>
      <c r="G9221" s="22" t="s">
        <v>209</v>
      </c>
      <c r="H9221" s="22" t="s">
        <v>209</v>
      </c>
      <c r="I9221" s="26">
        <v>43578.445</v>
      </c>
      <c r="J9221" s="28" t="s">
        <v>52</v>
      </c>
      <c r="K9221" s="28" t="s">
        <v>52</v>
      </c>
      <c r="L9221" s="22" t="s">
        <v>10</v>
      </c>
      <c r="M9221" s="25">
        <v>1196892.01</v>
      </c>
      <c r="N9221" s="27">
        <v>0.16666666550625381</v>
      </c>
    </row>
    <row r="9222" spans="1:14" x14ac:dyDescent="0.15">
      <c r="A9222" s="23" t="str">
        <f>HYPERLINK("https://www.spark-marketing.ru/Card/Person/22022", "АДМИНИСТРАЦИЯ МР ""ОЛЕКМИНСКИЙ РАЙОН"" РС(Я)")</f>
        <v>АДМИНИСТРАЦИЯ МР "ОЛЕКМИНСКИЙ РАЙОН" РС(Я)</v>
      </c>
      <c r="B9222" s="24" t="s">
        <v>11573</v>
      </c>
      <c r="C9222" s="25">
        <v>200000</v>
      </c>
      <c r="D9222" s="22" t="s">
        <v>11574</v>
      </c>
      <c r="E9222" s="22" t="s">
        <v>972</v>
      </c>
      <c r="F9222" s="23" t="str">
        <f>HYPERLINK("https://www.spark-marketing.ru/Card/Lot/69996404", "Разработка ПСД ""Объект охраны местности ландшафтно-этнографического комплекса ""Аанньаах хочото"" в г.Олекминске""")</f>
        <v>Разработка ПСД "Объект охраны местности ландшафтно-этнографического комплекса "Аанньаах хочото" в г.Олекминске"</v>
      </c>
      <c r="G9222" s="22" t="s">
        <v>424</v>
      </c>
      <c r="H9222" s="22" t="s">
        <v>424</v>
      </c>
      <c r="I9222" s="26">
        <v>43578.421527777798</v>
      </c>
      <c r="J9222" s="23" t="str">
        <f>HYPERLINK("https://www.spark-marketing.ru/Card/Person/449497", "ООО ДИЗАЙН-СТУДИЯ ""УРАН""")</f>
        <v>ООО ДИЗАЙН-СТУДИЯ "УРАН"</v>
      </c>
      <c r="K9222" s="24" t="s">
        <v>11575</v>
      </c>
      <c r="L9222" s="28" t="s">
        <v>52</v>
      </c>
      <c r="M9222" s="28" t="s">
        <v>52</v>
      </c>
      <c r="N9222" s="28" t="s">
        <v>52</v>
      </c>
    </row>
    <row r="9223" spans="1:14" ht="12.75" hidden="1" outlineLevel="1" x14ac:dyDescent="0.2">
      <c r="A9223" s="23" t="str">
        <f>HYPERLINK("https://www.spark-marketing.ru/Card/Person/22022", "АДМИНИСТРАЦИЯ МР ""ОЛЕКМИНСКИЙ РАЙОН"" РС(Я)")</f>
        <v>АДМИНИСТРАЦИЯ МР "ОЛЕКМИНСКИЙ РАЙОН" РС(Я)</v>
      </c>
      <c r="B9223" s="24" t="s">
        <v>11573</v>
      </c>
      <c r="C9223" s="25">
        <v>200000</v>
      </c>
      <c r="D9223" s="22" t="s">
        <v>11574</v>
      </c>
      <c r="E9223" s="22" t="s">
        <v>972</v>
      </c>
      <c r="F9223" s="23" t="str">
        <f>HYPERLINK("https://www.spark-marketing.ru/Card/Lot/69996404", "Разработка ПСД ""Объект охраны местности ландшафтно-этнографического комплекса ""Аанньаах хочото"" в г.Олекминске""")</f>
        <v>Разработка ПСД "Объект охраны местности ландшафтно-этнографического комплекса "Аанньаах хочото" в г.Олекминске"</v>
      </c>
      <c r="G9223" s="22" t="s">
        <v>424</v>
      </c>
      <c r="H9223" s="22" t="s">
        <v>424</v>
      </c>
      <c r="I9223" s="26">
        <v>43578.421527777798</v>
      </c>
      <c r="J9223" s="23" t="str">
        <f>HYPERLINK("https://www.spark-marketing.ru/Card/Person/449497", "ООО ДИЗАЙН-СТУДИЯ ""УРАН""")</f>
        <v>ООО ДИЗАЙН-СТУДИЯ "УРАН"</v>
      </c>
      <c r="K9223" s="24" t="s">
        <v>11575</v>
      </c>
      <c r="L9223" s="22" t="s">
        <v>10</v>
      </c>
      <c r="M9223" s="25">
        <v>199000</v>
      </c>
      <c r="N9223" s="27">
        <v>5.0000000000000001E-3</v>
      </c>
    </row>
    <row r="9224" spans="1:14" x14ac:dyDescent="0.15">
      <c r="A9224" s="23" t="str">
        <f>HYPERLINK("https://www.spark-marketing.ru/Card/Person/4348477", "ООО ИК ""СИБИНТЕК""")</f>
        <v>ООО ИК "СИБИНТЕК"</v>
      </c>
      <c r="B9224" s="24" t="s">
        <v>4789</v>
      </c>
      <c r="C9224" s="28" t="s">
        <v>52</v>
      </c>
      <c r="D9224" s="22" t="s">
        <v>11576</v>
      </c>
      <c r="E9224" s="22" t="s">
        <v>53</v>
      </c>
      <c r="F9224" s="23" t="str">
        <f>HYPERLINK("https://www.spark-marketing.ru/Card/Lot/70007266", "Услуги специализированной и сторожевой охраны объектов")</f>
        <v>Услуги специализированной и сторожевой охраны объектов</v>
      </c>
      <c r="G9224" s="22" t="s">
        <v>55</v>
      </c>
      <c r="H9224" s="22" t="s">
        <v>55</v>
      </c>
      <c r="I9224" s="26">
        <v>43578.421527777798</v>
      </c>
      <c r="J9224" s="28" t="s">
        <v>52</v>
      </c>
      <c r="K9224" s="28" t="s">
        <v>52</v>
      </c>
      <c r="L9224" s="28" t="s">
        <v>52</v>
      </c>
      <c r="M9224" s="28" t="s">
        <v>52</v>
      </c>
      <c r="N9224" s="28" t="s">
        <v>52</v>
      </c>
    </row>
    <row r="9225" spans="1:14" x14ac:dyDescent="0.15">
      <c r="A9225" s="23" t="str">
        <f t="shared" ref="A9225:A9241" si="410">HYPERLINK("https://www.spark-marketing.ru/Card/Person/53888", "ГБДОУ №16 ПУШКИНСКОГО РАЙОНА САНКТ-ПЕТЕРБУРГА")</f>
        <v>ГБДОУ №16 ПУШКИНСКОГО РАЙОНА САНКТ-ПЕТЕРБУРГА</v>
      </c>
      <c r="B9225" s="24" t="s">
        <v>11577</v>
      </c>
      <c r="C9225" s="25">
        <v>631535</v>
      </c>
      <c r="D9225" s="22" t="s">
        <v>11578</v>
      </c>
      <c r="E9225" s="22" t="s">
        <v>59</v>
      </c>
      <c r="F9225" s="23" t="str">
        <f t="shared" ref="F9225:F9231" si="411">HYPERLINK("https://www.spark-marketing.ru/Card/Lot/70011596", "Монтаж системы видеонаблюдения в здании ГБДОУ № 16 Пушкинского района Санкт-Петербурга по адресу: Санкт-Петербург, г. Пушкин, Новая ул., д. 24а, лит. А")</f>
        <v>Монтаж системы видеонаблюдения в здании ГБДОУ № 16 Пушкинского района Санкт-Петербурга по адресу: Санкт-Петербург, г. Пушкин, Новая ул., д. 24а, лит. А</v>
      </c>
      <c r="G9225" s="22" t="s">
        <v>89</v>
      </c>
      <c r="H9225" s="22" t="s">
        <v>89</v>
      </c>
      <c r="I9225" s="26">
        <v>43578.445138888899</v>
      </c>
      <c r="J9225" s="28" t="s">
        <v>52</v>
      </c>
      <c r="K9225" s="28" t="s">
        <v>52</v>
      </c>
      <c r="L9225" s="28" t="s">
        <v>52</v>
      </c>
      <c r="M9225" s="28" t="s">
        <v>52</v>
      </c>
      <c r="N9225" s="28" t="s">
        <v>52</v>
      </c>
    </row>
    <row r="9226" spans="1:14" hidden="1" outlineLevel="1" x14ac:dyDescent="0.2">
      <c r="A9226" s="23" t="str">
        <f t="shared" si="410"/>
        <v>ГБДОУ №16 ПУШКИНСКОГО РАЙОНА САНКТ-ПЕТЕРБУРГА</v>
      </c>
      <c r="B9226" s="24" t="s">
        <v>11577</v>
      </c>
      <c r="C9226" s="25">
        <v>631535</v>
      </c>
      <c r="D9226" s="22" t="s">
        <v>11578</v>
      </c>
      <c r="E9226" s="22" t="s">
        <v>59</v>
      </c>
      <c r="F9226" s="23" t="str">
        <f t="shared" si="411"/>
        <v>Монтаж системы видеонаблюдения в здании ГБДОУ № 16 Пушкинского района Санкт-Петербурга по адресу: Санкт-Петербург, г. Пушкин, Новая ул., д. 24а, лит. А</v>
      </c>
      <c r="G9226" s="22" t="s">
        <v>89</v>
      </c>
      <c r="H9226" s="22" t="s">
        <v>89</v>
      </c>
      <c r="I9226" s="26">
        <v>43578.445138888899</v>
      </c>
      <c r="J9226" s="23" t="str">
        <f>HYPERLINK("https://www.spark-marketing.ru/Card/Person/132600", "ООО ""АСПЕКТ""")</f>
        <v>ООО "АСПЕКТ"</v>
      </c>
      <c r="K9226" s="24" t="s">
        <v>10038</v>
      </c>
      <c r="L9226" s="28" t="s">
        <v>52</v>
      </c>
      <c r="M9226" s="25">
        <v>457862.8</v>
      </c>
      <c r="N9226" s="27">
        <v>0.27500011875826358</v>
      </c>
    </row>
    <row r="9227" spans="1:14" ht="12.75" hidden="1" outlineLevel="1" x14ac:dyDescent="0.2">
      <c r="A9227" s="23" t="str">
        <f t="shared" si="410"/>
        <v>ГБДОУ №16 ПУШКИНСКОГО РАЙОНА САНКТ-ПЕТЕРБУРГА</v>
      </c>
      <c r="B9227" s="24" t="s">
        <v>11577</v>
      </c>
      <c r="C9227" s="25">
        <v>631535</v>
      </c>
      <c r="D9227" s="22" t="s">
        <v>11578</v>
      </c>
      <c r="E9227" s="22" t="s">
        <v>59</v>
      </c>
      <c r="F9227" s="23" t="str">
        <f t="shared" si="411"/>
        <v>Монтаж системы видеонаблюдения в здании ГБДОУ № 16 Пушкинского района Санкт-Петербурга по адресу: Санкт-Петербург, г. Пушкин, Новая ул., д. 24а, лит. А</v>
      </c>
      <c r="G9227" s="22" t="s">
        <v>89</v>
      </c>
      <c r="H9227" s="22" t="s">
        <v>89</v>
      </c>
      <c r="I9227" s="26">
        <v>43578.445138888899</v>
      </c>
      <c r="J9227" s="23" t="str">
        <f>HYPERLINK("https://www.spark-marketing.ru/Card/Person/6293291", "Данвальд Наталья Викторовна")</f>
        <v>Данвальд Наталья Викторовна</v>
      </c>
      <c r="K9227" s="24" t="s">
        <v>10041</v>
      </c>
      <c r="L9227" s="22" t="s">
        <v>10</v>
      </c>
      <c r="M9227" s="25">
        <v>382078.48</v>
      </c>
      <c r="N9227" s="27">
        <v>0.39500030877148534</v>
      </c>
    </row>
    <row r="9228" spans="1:14" hidden="1" outlineLevel="1" x14ac:dyDescent="0.2">
      <c r="A9228" s="23" t="str">
        <f t="shared" si="410"/>
        <v>ГБДОУ №16 ПУШКИНСКОГО РАЙОНА САНКТ-ПЕТЕРБУРГА</v>
      </c>
      <c r="B9228" s="24" t="s">
        <v>11577</v>
      </c>
      <c r="C9228" s="25">
        <v>631535</v>
      </c>
      <c r="D9228" s="22" t="s">
        <v>11578</v>
      </c>
      <c r="E9228" s="22" t="s">
        <v>59</v>
      </c>
      <c r="F9228" s="23" t="str">
        <f t="shared" si="411"/>
        <v>Монтаж системы видеонаблюдения в здании ГБДОУ № 16 Пушкинского района Санкт-Петербурга по адресу: Санкт-Петербург, г. Пушкин, Новая ул., д. 24а, лит. А</v>
      </c>
      <c r="G9228" s="22" t="s">
        <v>89</v>
      </c>
      <c r="H9228" s="22" t="s">
        <v>89</v>
      </c>
      <c r="I9228" s="26">
        <v>43578.445138888899</v>
      </c>
      <c r="J9228" s="23" t="str">
        <f>HYPERLINK("https://www.spark-marketing.ru/Card/Person/1550274", "ООО ""ПРОКСКОМ""")</f>
        <v>ООО "ПРОКСКОМ"</v>
      </c>
      <c r="K9228" s="24" t="s">
        <v>11579</v>
      </c>
      <c r="L9228" s="28" t="s">
        <v>52</v>
      </c>
      <c r="M9228" s="25">
        <v>464178.16</v>
      </c>
      <c r="N9228" s="27">
        <v>0.26500010292382847</v>
      </c>
    </row>
    <row r="9229" spans="1:14" hidden="1" outlineLevel="1" x14ac:dyDescent="0.2">
      <c r="A9229" s="23" t="str">
        <f t="shared" si="410"/>
        <v>ГБДОУ №16 ПУШКИНСКОГО РАЙОНА САНКТ-ПЕТЕРБУРГА</v>
      </c>
      <c r="B9229" s="24" t="s">
        <v>11577</v>
      </c>
      <c r="C9229" s="25">
        <v>631535</v>
      </c>
      <c r="D9229" s="22" t="s">
        <v>11578</v>
      </c>
      <c r="E9229" s="22" t="s">
        <v>59</v>
      </c>
      <c r="F9229" s="23" t="str">
        <f t="shared" si="411"/>
        <v>Монтаж системы видеонаблюдения в здании ГБДОУ № 16 Пушкинского района Санкт-Петербурга по адресу: Санкт-Петербург, г. Пушкин, Новая ул., д. 24а, лит. А</v>
      </c>
      <c r="G9229" s="22" t="s">
        <v>89</v>
      </c>
      <c r="H9229" s="22" t="s">
        <v>89</v>
      </c>
      <c r="I9229" s="26">
        <v>43578.445138888899</v>
      </c>
      <c r="J9229" s="23" t="str">
        <f>HYPERLINK("https://www.spark-marketing.ru/Card/Person/575853", "ООО ""ТС""")</f>
        <v>ООО "ТС"</v>
      </c>
      <c r="K9229" s="24" t="s">
        <v>11570</v>
      </c>
      <c r="L9229" s="28" t="s">
        <v>52</v>
      </c>
      <c r="M9229" s="25">
        <v>385236.16</v>
      </c>
      <c r="N9229" s="27">
        <v>0.39000030085426779</v>
      </c>
    </row>
    <row r="9230" spans="1:14" hidden="1" outlineLevel="1" x14ac:dyDescent="0.2">
      <c r="A9230" s="23" t="str">
        <f t="shared" si="410"/>
        <v>ГБДОУ №16 ПУШКИНСКОГО РАЙОНА САНКТ-ПЕТЕРБУРГА</v>
      </c>
      <c r="B9230" s="24" t="s">
        <v>11577</v>
      </c>
      <c r="C9230" s="25">
        <v>631535</v>
      </c>
      <c r="D9230" s="22" t="s">
        <v>11578</v>
      </c>
      <c r="E9230" s="22" t="s">
        <v>59</v>
      </c>
      <c r="F9230" s="23" t="str">
        <f t="shared" si="411"/>
        <v>Монтаж системы видеонаблюдения в здании ГБДОУ № 16 Пушкинского района Санкт-Петербурга по адресу: Санкт-Петербург, г. Пушкин, Новая ул., д. 24а, лит. А</v>
      </c>
      <c r="G9230" s="22" t="s">
        <v>89</v>
      </c>
      <c r="H9230" s="22" t="s">
        <v>89</v>
      </c>
      <c r="I9230" s="26">
        <v>43578.445138888899</v>
      </c>
      <c r="J9230" s="23" t="str">
        <f>HYPERLINK("https://www.spark-marketing.ru/Card/Person/877770", "ООО ""СИЯНИЕ""")</f>
        <v>ООО "СИЯНИЕ"</v>
      </c>
      <c r="K9230" s="24" t="s">
        <v>5976</v>
      </c>
      <c r="L9230" s="28" t="s">
        <v>52</v>
      </c>
      <c r="M9230" s="25">
        <v>440000</v>
      </c>
      <c r="N9230" s="27">
        <v>0.303284853571061</v>
      </c>
    </row>
    <row r="9231" spans="1:14" hidden="1" outlineLevel="1" x14ac:dyDescent="0.2">
      <c r="A9231" s="23" t="str">
        <f t="shared" si="410"/>
        <v>ГБДОУ №16 ПУШКИНСКОГО РАЙОНА САНКТ-ПЕТЕРБУРГА</v>
      </c>
      <c r="B9231" s="24" t="s">
        <v>11577</v>
      </c>
      <c r="C9231" s="25">
        <v>631535</v>
      </c>
      <c r="D9231" s="22" t="s">
        <v>11578</v>
      </c>
      <c r="E9231" s="22" t="s">
        <v>59</v>
      </c>
      <c r="F9231" s="23" t="str">
        <f t="shared" si="411"/>
        <v>Монтаж системы видеонаблюдения в здании ГБДОУ № 16 Пушкинского района Санкт-Петербурга по адресу: Санкт-Петербург, г. Пушкин, Новая ул., д. 24а, лит. А</v>
      </c>
      <c r="G9231" s="22" t="s">
        <v>89</v>
      </c>
      <c r="H9231" s="22" t="s">
        <v>89</v>
      </c>
      <c r="I9231" s="26">
        <v>43578.445138888899</v>
      </c>
      <c r="J9231" s="23" t="str">
        <f>HYPERLINK("https://www.spark-marketing.ru/Card/Person/6369243", "Караулова Ирина Геннадьевна")</f>
        <v>Караулова Ирина Геннадьевна</v>
      </c>
      <c r="K9231" s="24" t="s">
        <v>11279</v>
      </c>
      <c r="L9231" s="28" t="s">
        <v>52</v>
      </c>
      <c r="M9231" s="25">
        <v>552593.1</v>
      </c>
      <c r="N9231" s="27">
        <v>0.12500003958608785</v>
      </c>
    </row>
    <row r="9232" spans="1:14" x14ac:dyDescent="0.15">
      <c r="A9232" s="23" t="str">
        <f t="shared" si="410"/>
        <v>ГБДОУ №16 ПУШКИНСКОГО РАЙОНА САНКТ-ПЕТЕРБУРГА</v>
      </c>
      <c r="B9232" s="24" t="s">
        <v>11577</v>
      </c>
      <c r="C9232" s="25">
        <v>628936</v>
      </c>
      <c r="D9232" s="22" t="s">
        <v>11580</v>
      </c>
      <c r="E9232" s="22" t="s">
        <v>59</v>
      </c>
      <c r="F9232" s="23" t="str">
        <f t="shared" ref="F9232:F9241" si="412">HYPERLINK("https://www.spark-marketing.ru/Card/Lot/70011597", "Монтаж системы видеонаблюдения в здании ГБДОУ № 16 Пушкинского района Санкт-Петербурга по адресу: Санкт-Петербург, г. Пушкин, ул. Ахматовская , д. 13, лит. А")</f>
        <v>Монтаж системы видеонаблюдения в здании ГБДОУ № 16 Пушкинского района Санкт-Петербурга по адресу: Санкт-Петербург, г. Пушкин, ул. Ахматовская , д. 13, лит. А</v>
      </c>
      <c r="G9232" s="22" t="s">
        <v>89</v>
      </c>
      <c r="H9232" s="22" t="s">
        <v>89</v>
      </c>
      <c r="I9232" s="26">
        <v>43578.444444444402</v>
      </c>
      <c r="J9232" s="28" t="s">
        <v>52</v>
      </c>
      <c r="K9232" s="28" t="s">
        <v>52</v>
      </c>
      <c r="L9232" s="28" t="s">
        <v>52</v>
      </c>
      <c r="M9232" s="28" t="s">
        <v>52</v>
      </c>
      <c r="N9232" s="28" t="s">
        <v>52</v>
      </c>
    </row>
    <row r="9233" spans="1:14" hidden="1" outlineLevel="1" x14ac:dyDescent="0.2">
      <c r="A9233" s="23" t="str">
        <f t="shared" si="410"/>
        <v>ГБДОУ №16 ПУШКИНСКОГО РАЙОНА САНКТ-ПЕТЕРБУРГА</v>
      </c>
      <c r="B9233" s="24" t="s">
        <v>11577</v>
      </c>
      <c r="C9233" s="25">
        <v>628936</v>
      </c>
      <c r="D9233" s="22" t="s">
        <v>11580</v>
      </c>
      <c r="E9233" s="22" t="s">
        <v>59</v>
      </c>
      <c r="F9233" s="23" t="str">
        <f t="shared" si="412"/>
        <v>Монтаж системы видеонаблюдения в здании ГБДОУ № 16 Пушкинского района Санкт-Петербурга по адресу: Санкт-Петербург, г. Пушкин, ул. Ахматовская , д. 13, лит. А</v>
      </c>
      <c r="G9233" s="22" t="s">
        <v>89</v>
      </c>
      <c r="H9233" s="22" t="s">
        <v>89</v>
      </c>
      <c r="I9233" s="26">
        <v>43578.444444444402</v>
      </c>
      <c r="J9233" s="23" t="str">
        <f>HYPERLINK("https://www.spark-marketing.ru/Card/Person/877770", "ООО ""СИЯНИЕ""")</f>
        <v>ООО "СИЯНИЕ"</v>
      </c>
      <c r="K9233" s="24" t="s">
        <v>5976</v>
      </c>
      <c r="L9233" s="28" t="s">
        <v>52</v>
      </c>
      <c r="M9233" s="25">
        <v>440000</v>
      </c>
      <c r="N9233" s="27">
        <v>0.30040576465649921</v>
      </c>
    </row>
    <row r="9234" spans="1:14" hidden="1" outlineLevel="1" x14ac:dyDescent="0.2">
      <c r="A9234" s="23" t="str">
        <f t="shared" si="410"/>
        <v>ГБДОУ №16 ПУШКИНСКОГО РАЙОНА САНКТ-ПЕТЕРБУРГА</v>
      </c>
      <c r="B9234" s="24" t="s">
        <v>11577</v>
      </c>
      <c r="C9234" s="25">
        <v>628936</v>
      </c>
      <c r="D9234" s="22" t="s">
        <v>11580</v>
      </c>
      <c r="E9234" s="22" t="s">
        <v>59</v>
      </c>
      <c r="F9234" s="23" t="str">
        <f t="shared" si="412"/>
        <v>Монтаж системы видеонаблюдения в здании ГБДОУ № 16 Пушкинского района Санкт-Петербурга по адресу: Санкт-Петербург, г. Пушкин, ул. Ахматовская , д. 13, лит. А</v>
      </c>
      <c r="G9234" s="22" t="s">
        <v>89</v>
      </c>
      <c r="H9234" s="22" t="s">
        <v>89</v>
      </c>
      <c r="I9234" s="26">
        <v>43578.444444444402</v>
      </c>
      <c r="J9234" s="23" t="str">
        <f>HYPERLINK("https://www.spark-marketing.ru/Card/Person/171473", "ООО ""БИСМАРК.ТВ""")</f>
        <v>ООО "БИСМАРК.ТВ"</v>
      </c>
      <c r="K9234" s="24" t="s">
        <v>10897</v>
      </c>
      <c r="L9234" s="28" t="s">
        <v>52</v>
      </c>
      <c r="M9234" s="25">
        <v>342769.72</v>
      </c>
      <c r="N9234" s="27">
        <v>0.45500063599475943</v>
      </c>
    </row>
    <row r="9235" spans="1:14" hidden="1" outlineLevel="1" x14ac:dyDescent="0.2">
      <c r="A9235" s="23" t="str">
        <f t="shared" si="410"/>
        <v>ГБДОУ №16 ПУШКИНСКОГО РАЙОНА САНКТ-ПЕТЕРБУРГА</v>
      </c>
      <c r="B9235" s="24" t="s">
        <v>11577</v>
      </c>
      <c r="C9235" s="25">
        <v>628936</v>
      </c>
      <c r="D9235" s="22" t="s">
        <v>11580</v>
      </c>
      <c r="E9235" s="22" t="s">
        <v>59</v>
      </c>
      <c r="F9235" s="23" t="str">
        <f t="shared" si="412"/>
        <v>Монтаж системы видеонаблюдения в здании ГБДОУ № 16 Пушкинского района Санкт-Петербурга по адресу: Санкт-Петербург, г. Пушкин, ул. Ахматовская , д. 13, лит. А</v>
      </c>
      <c r="G9235" s="22" t="s">
        <v>89</v>
      </c>
      <c r="H9235" s="22" t="s">
        <v>89</v>
      </c>
      <c r="I9235" s="26">
        <v>43578.444444444402</v>
      </c>
      <c r="J9235" s="23" t="str">
        <f>HYPERLINK("https://www.spark-marketing.ru/Card/Person/6293291", "Данвальд Наталья Викторовна")</f>
        <v>Данвальд Наталья Викторовна</v>
      </c>
      <c r="K9235" s="24" t="s">
        <v>10041</v>
      </c>
      <c r="L9235" s="28" t="s">
        <v>52</v>
      </c>
      <c r="M9235" s="25">
        <v>336480.36</v>
      </c>
      <c r="N9235" s="27">
        <v>0.46500063599475938</v>
      </c>
    </row>
    <row r="9236" spans="1:14" hidden="1" outlineLevel="1" x14ac:dyDescent="0.2">
      <c r="A9236" s="23" t="str">
        <f t="shared" si="410"/>
        <v>ГБДОУ №16 ПУШКИНСКОГО РАЙОНА САНКТ-ПЕТЕРБУРГА</v>
      </c>
      <c r="B9236" s="24" t="s">
        <v>11577</v>
      </c>
      <c r="C9236" s="25">
        <v>628936</v>
      </c>
      <c r="D9236" s="22" t="s">
        <v>11580</v>
      </c>
      <c r="E9236" s="22" t="s">
        <v>59</v>
      </c>
      <c r="F9236" s="23" t="str">
        <f t="shared" si="412"/>
        <v>Монтаж системы видеонаблюдения в здании ГБДОУ № 16 Пушкинского района Санкт-Петербурга по адресу: Санкт-Петербург, г. Пушкин, ул. Ахматовская , д. 13, лит. А</v>
      </c>
      <c r="G9236" s="22" t="s">
        <v>89</v>
      </c>
      <c r="H9236" s="22" t="s">
        <v>89</v>
      </c>
      <c r="I9236" s="26">
        <v>43578.444444444402</v>
      </c>
      <c r="J9236" s="23" t="str">
        <f>HYPERLINK("https://www.spark-marketing.ru/Card/Person/575853", "ООО ""ТС""")</f>
        <v>ООО "ТС"</v>
      </c>
      <c r="K9236" s="24" t="s">
        <v>11570</v>
      </c>
      <c r="L9236" s="28" t="s">
        <v>52</v>
      </c>
      <c r="M9236" s="25">
        <v>515727.12</v>
      </c>
      <c r="N9236" s="27">
        <v>0.18000063599475941</v>
      </c>
    </row>
    <row r="9237" spans="1:14" hidden="1" outlineLevel="1" x14ac:dyDescent="0.2">
      <c r="A9237" s="23" t="str">
        <f t="shared" si="410"/>
        <v>ГБДОУ №16 ПУШКИНСКОГО РАЙОНА САНКТ-ПЕТЕРБУРГА</v>
      </c>
      <c r="B9237" s="24" t="s">
        <v>11577</v>
      </c>
      <c r="C9237" s="25">
        <v>628936</v>
      </c>
      <c r="D9237" s="22" t="s">
        <v>11580</v>
      </c>
      <c r="E9237" s="22" t="s">
        <v>59</v>
      </c>
      <c r="F9237" s="23" t="str">
        <f t="shared" si="412"/>
        <v>Монтаж системы видеонаблюдения в здании ГБДОУ № 16 Пушкинского района Санкт-Петербурга по адресу: Санкт-Петербург, г. Пушкин, ул. Ахматовская , д. 13, лит. А</v>
      </c>
      <c r="G9237" s="22" t="s">
        <v>89</v>
      </c>
      <c r="H9237" s="22" t="s">
        <v>89</v>
      </c>
      <c r="I9237" s="26">
        <v>43578.444444444402</v>
      </c>
      <c r="J9237" s="23" t="str">
        <f>HYPERLINK("https://www.spark-marketing.ru/Card/Person/132600", "ООО ""АСПЕКТ""")</f>
        <v>ООО "АСПЕКТ"</v>
      </c>
      <c r="K9237" s="24" t="s">
        <v>10038</v>
      </c>
      <c r="L9237" s="28" t="s">
        <v>52</v>
      </c>
      <c r="M9237" s="25">
        <v>424531.4</v>
      </c>
      <c r="N9237" s="27">
        <v>0.32500063599475942</v>
      </c>
    </row>
    <row r="9238" spans="1:14" ht="12.75" hidden="1" outlineLevel="1" x14ac:dyDescent="0.2">
      <c r="A9238" s="23" t="str">
        <f t="shared" si="410"/>
        <v>ГБДОУ №16 ПУШКИНСКОГО РАЙОНА САНКТ-ПЕТЕРБУРГА</v>
      </c>
      <c r="B9238" s="24" t="s">
        <v>11577</v>
      </c>
      <c r="C9238" s="25">
        <v>628936</v>
      </c>
      <c r="D9238" s="22" t="s">
        <v>11580</v>
      </c>
      <c r="E9238" s="22" t="s">
        <v>59</v>
      </c>
      <c r="F9238" s="23" t="str">
        <f t="shared" si="412"/>
        <v>Монтаж системы видеонаблюдения в здании ГБДОУ № 16 Пушкинского района Санкт-Петербурга по адресу: Санкт-Петербург, г. Пушкин, ул. Ахматовская , д. 13, лит. А</v>
      </c>
      <c r="G9238" s="22" t="s">
        <v>89</v>
      </c>
      <c r="H9238" s="22" t="s">
        <v>89</v>
      </c>
      <c r="I9238" s="26">
        <v>43578.444444444402</v>
      </c>
      <c r="J9238" s="23" t="str">
        <f>HYPERLINK("https://www.spark-marketing.ru/Card/Person/6515476", "ООО ""ВИРТУАЛИЗАЦИЯ ИТ""")</f>
        <v>ООО "ВИРТУАЛИЗАЦИЯ ИТ"</v>
      </c>
      <c r="K9238" s="24" t="s">
        <v>11581</v>
      </c>
      <c r="L9238" s="22" t="s">
        <v>10</v>
      </c>
      <c r="M9238" s="25">
        <v>333335.67999999999</v>
      </c>
      <c r="N9238" s="27">
        <v>0.47000063599475939</v>
      </c>
    </row>
    <row r="9239" spans="1:14" hidden="1" outlineLevel="1" x14ac:dyDescent="0.2">
      <c r="A9239" s="23" t="str">
        <f t="shared" si="410"/>
        <v>ГБДОУ №16 ПУШКИНСКОГО РАЙОНА САНКТ-ПЕТЕРБУРГА</v>
      </c>
      <c r="B9239" s="24" t="s">
        <v>11577</v>
      </c>
      <c r="C9239" s="25">
        <v>628936</v>
      </c>
      <c r="D9239" s="22" t="s">
        <v>11580</v>
      </c>
      <c r="E9239" s="22" t="s">
        <v>59</v>
      </c>
      <c r="F9239" s="23" t="str">
        <f t="shared" si="412"/>
        <v>Монтаж системы видеонаблюдения в здании ГБДОУ № 16 Пушкинского района Санкт-Петербурга по адресу: Санкт-Петербург, г. Пушкин, ул. Ахматовская , д. 13, лит. А</v>
      </c>
      <c r="G9239" s="22" t="s">
        <v>89</v>
      </c>
      <c r="H9239" s="22" t="s">
        <v>89</v>
      </c>
      <c r="I9239" s="26">
        <v>43578.444444444402</v>
      </c>
      <c r="J9239" s="23" t="str">
        <f>HYPERLINK("https://www.spark-marketing.ru/Card/Person/6369243", "Караулова Ирина Геннадьевна")</f>
        <v>Караулова Ирина Геннадьевна</v>
      </c>
      <c r="K9239" s="24" t="s">
        <v>11279</v>
      </c>
      <c r="L9239" s="28" t="s">
        <v>52</v>
      </c>
      <c r="M9239" s="25">
        <v>591199.84</v>
      </c>
      <c r="N9239" s="27">
        <v>0.06</v>
      </c>
    </row>
    <row r="9240" spans="1:14" hidden="1" outlineLevel="1" x14ac:dyDescent="0.2">
      <c r="A9240" s="23" t="str">
        <f t="shared" si="410"/>
        <v>ГБДОУ №16 ПУШКИНСКОГО РАЙОНА САНКТ-ПЕТЕРБУРГА</v>
      </c>
      <c r="B9240" s="24" t="s">
        <v>11577</v>
      </c>
      <c r="C9240" s="25">
        <v>628936</v>
      </c>
      <c r="D9240" s="22" t="s">
        <v>11580</v>
      </c>
      <c r="E9240" s="22" t="s">
        <v>59</v>
      </c>
      <c r="F9240" s="23" t="str">
        <f t="shared" si="412"/>
        <v>Монтаж системы видеонаблюдения в здании ГБДОУ № 16 Пушкинского района Санкт-Петербурга по адресу: Санкт-Петербург, г. Пушкин, ул. Ахматовская , д. 13, лит. А</v>
      </c>
      <c r="G9240" s="22" t="s">
        <v>89</v>
      </c>
      <c r="H9240" s="22" t="s">
        <v>89</v>
      </c>
      <c r="I9240" s="26">
        <v>43578.444444444402</v>
      </c>
      <c r="J9240" s="23" t="str">
        <f>HYPERLINK("https://www.spark-marketing.ru/Card/Person/6410700", "Бадаев Олег Валерьевич")</f>
        <v>Бадаев Олег Валерьевич</v>
      </c>
      <c r="K9240" s="24" t="s">
        <v>11582</v>
      </c>
      <c r="L9240" s="28" t="s">
        <v>52</v>
      </c>
      <c r="M9240" s="25">
        <v>613212.6</v>
      </c>
      <c r="N9240" s="27">
        <v>2.5000000000000001E-2</v>
      </c>
    </row>
    <row r="9241" spans="1:14" hidden="1" outlineLevel="1" x14ac:dyDescent="0.2">
      <c r="A9241" s="23" t="str">
        <f t="shared" si="410"/>
        <v>ГБДОУ №16 ПУШКИНСКОГО РАЙОНА САНКТ-ПЕТЕРБУРГА</v>
      </c>
      <c r="B9241" s="24" t="s">
        <v>11577</v>
      </c>
      <c r="C9241" s="25">
        <v>628936</v>
      </c>
      <c r="D9241" s="22" t="s">
        <v>11580</v>
      </c>
      <c r="E9241" s="22" t="s">
        <v>59</v>
      </c>
      <c r="F9241" s="23" t="str">
        <f t="shared" si="412"/>
        <v>Монтаж системы видеонаблюдения в здании ГБДОУ № 16 Пушкинского района Санкт-Петербурга по адресу: Санкт-Петербург, г. Пушкин, ул. Ахматовская , д. 13, лит. А</v>
      </c>
      <c r="G9241" s="22" t="s">
        <v>89</v>
      </c>
      <c r="H9241" s="22" t="s">
        <v>89</v>
      </c>
      <c r="I9241" s="26">
        <v>43578.444444444402</v>
      </c>
      <c r="J9241" s="23" t="str">
        <f>HYPERLINK("https://www.spark-marketing.ru/Card/Person/1556733", "Михайлов Дмитрий Олегович")</f>
        <v>Михайлов Дмитрий Олегович</v>
      </c>
      <c r="K9241" s="24" t="s">
        <v>11278</v>
      </c>
      <c r="L9241" s="28" t="s">
        <v>52</v>
      </c>
      <c r="M9241" s="25">
        <v>569187.07999999996</v>
      </c>
      <c r="N9241" s="27">
        <v>9.5000000000000001E-2</v>
      </c>
    </row>
    <row r="9242" spans="1:14" x14ac:dyDescent="0.15">
      <c r="A9242" s="23" t="str">
        <f>HYPERLINK("https://www.spark-marketing.ru/Card/Person/89469", "ГАУЗ ""ТЕТЮШСКАЯ ЦРБ""")</f>
        <v>ГАУЗ "ТЕТЮШСКАЯ ЦРБ"</v>
      </c>
      <c r="B9242" s="24" t="s">
        <v>11583</v>
      </c>
      <c r="C9242" s="25">
        <v>33280.199999999997</v>
      </c>
      <c r="D9242" s="22" t="s">
        <v>11584</v>
      </c>
      <c r="E9242" s="22" t="s">
        <v>107</v>
      </c>
      <c r="F9242" s="23" t="str">
        <f>HYPERLINK("https://www.spark-marketing.ru/Card/Lot/70008854", "Оказание услуг по техническому обслуживанию технических средств охраны")</f>
        <v>Оказание услуг по техническому обслуживанию технических средств охраны</v>
      </c>
      <c r="G9242" s="22" t="s">
        <v>204</v>
      </c>
      <c r="H9242" s="22" t="s">
        <v>11585</v>
      </c>
      <c r="I9242" s="26">
        <v>43578.433333333298</v>
      </c>
      <c r="J9242" s="28" t="s">
        <v>52</v>
      </c>
      <c r="K9242" s="28" t="s">
        <v>52</v>
      </c>
      <c r="L9242" s="28" t="s">
        <v>52</v>
      </c>
      <c r="M9242" s="28" t="s">
        <v>52</v>
      </c>
      <c r="N9242" s="28" t="s">
        <v>52</v>
      </c>
    </row>
    <row r="9243" spans="1:14" x14ac:dyDescent="0.15">
      <c r="A9243" s="23" t="str">
        <f>HYPERLINK("https://www.spark-marketing.ru/Card/Person/4343740", "МИНЗДРАВ РОССИИ")</f>
        <v>МИНЗДРАВ РОССИИ</v>
      </c>
      <c r="B9243" s="24" t="s">
        <v>1666</v>
      </c>
      <c r="C9243" s="25">
        <v>796860862.79999995</v>
      </c>
      <c r="D9243" s="22" t="s">
        <v>11586</v>
      </c>
      <c r="E9243" s="22" t="s">
        <v>53</v>
      </c>
      <c r="F9243" s="23" t="str">
        <f>HYPERLINK("https://www.spark-marketing.ru/Card/Lot/70013503", "Экулизумаб, концентрат для приготовления раствора для инфузий, 10 мг/мл, 30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f>
        <v>Экулизумаб, концентрат для приготовления раствора для инфузий, 10 мг/мл, 30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v>
      </c>
      <c r="G9243" s="22" t="s">
        <v>428</v>
      </c>
      <c r="H9243" s="22" t="s">
        <v>429</v>
      </c>
      <c r="I9243" s="26">
        <v>43578.441666666702</v>
      </c>
      <c r="J9243" s="23" t="str">
        <f>HYPERLINK("https://www.spark-marketing.ru/Card/Person/50996", "ООО ""БИОТЭК""")</f>
        <v>ООО "БИОТЭК"</v>
      </c>
      <c r="K9243" s="24" t="s">
        <v>3462</v>
      </c>
      <c r="L9243" s="22" t="s">
        <v>10</v>
      </c>
      <c r="M9243" s="28" t="s">
        <v>52</v>
      </c>
      <c r="N9243" s="28" t="s">
        <v>52</v>
      </c>
    </row>
    <row r="9244" spans="1:14" x14ac:dyDescent="0.15">
      <c r="A9244" s="23" t="str">
        <f>HYPERLINK("https://www.spark-marketing.ru/Card/Person/576953", "ГБУЗ ЧОПАБ")</f>
        <v>ГБУЗ ЧОПАБ</v>
      </c>
      <c r="B9244" s="24" t="s">
        <v>9758</v>
      </c>
      <c r="C9244" s="25">
        <v>22939.98</v>
      </c>
      <c r="D9244" s="22" t="s">
        <v>11587</v>
      </c>
      <c r="E9244" s="22" t="s">
        <v>103</v>
      </c>
      <c r="F9244" s="23" t="str">
        <f>HYPERLINK("https://www.spark-marketing.ru/Card/Lot/70004656", "Оказание услуг по обслуживанию систем и оборудования охранной сигнализации с подключением на пульт централизованного наблюдения")</f>
        <v>Оказание услуг по обслуживанию систем и оборудования охранной сигнализации с подключением на пульт централизованного наблюдения</v>
      </c>
      <c r="G9244" s="22" t="s">
        <v>60</v>
      </c>
      <c r="H9244" s="22" t="s">
        <v>1683</v>
      </c>
      <c r="I9244" s="26">
        <v>43578.4465277778</v>
      </c>
      <c r="J9244" s="28" t="s">
        <v>52</v>
      </c>
      <c r="K9244" s="28" t="s">
        <v>52</v>
      </c>
      <c r="L9244" s="28" t="s">
        <v>52</v>
      </c>
      <c r="M9244" s="28" t="s">
        <v>52</v>
      </c>
      <c r="N9244" s="28" t="s">
        <v>52</v>
      </c>
    </row>
    <row r="9245" spans="1:14" hidden="1" outlineLevel="1" x14ac:dyDescent="0.2">
      <c r="A9245" s="23" t="str">
        <f>HYPERLINK("https://www.spark-marketing.ru/Card/Person/576953", "ГБУЗ ЧОПАБ")</f>
        <v>ГБУЗ ЧОПАБ</v>
      </c>
      <c r="B9245" s="24" t="s">
        <v>9758</v>
      </c>
      <c r="C9245" s="25">
        <v>22939.98</v>
      </c>
      <c r="D9245" s="22" t="s">
        <v>11587</v>
      </c>
      <c r="E9245" s="22" t="s">
        <v>103</v>
      </c>
      <c r="F9245" s="23" t="str">
        <f>HYPERLINK("https://www.spark-marketing.ru/Card/Lot/70004656", "Оказание услуг по обслуживанию систем и оборудования охранной сигнализации с подключением на пульт централизованного наблюдения")</f>
        <v>Оказание услуг по обслуживанию систем и оборудования охранной сигнализации с подключением на пульт централизованного наблюдения</v>
      </c>
      <c r="G9245" s="22" t="s">
        <v>60</v>
      </c>
      <c r="H9245" s="22" t="s">
        <v>1683</v>
      </c>
      <c r="I9245" s="26">
        <v>43578.4465277778</v>
      </c>
      <c r="J9245" s="23" t="str">
        <f>HYPERLINK("https://www.spark-marketing.ru/Card/Person/10487", "ФГУП ""ОХРАНА"" РОСГВАРДИИ")</f>
        <v>ФГУП "ОХРАНА" РОСГВАРДИИ</v>
      </c>
      <c r="K9245" s="24" t="s">
        <v>779</v>
      </c>
      <c r="L9245" s="28" t="s">
        <v>52</v>
      </c>
      <c r="M9245" s="25">
        <v>18007.900000000001</v>
      </c>
      <c r="N9245" s="27">
        <v>0.21499931560533184</v>
      </c>
    </row>
    <row r="9246" spans="1:14" ht="12.75" hidden="1" outlineLevel="1" x14ac:dyDescent="0.2">
      <c r="A9246" s="23" t="str">
        <f>HYPERLINK("https://www.spark-marketing.ru/Card/Person/576953", "ГБУЗ ЧОПАБ")</f>
        <v>ГБУЗ ЧОПАБ</v>
      </c>
      <c r="B9246" s="24" t="s">
        <v>9758</v>
      </c>
      <c r="C9246" s="25">
        <v>22939.98</v>
      </c>
      <c r="D9246" s="22" t="s">
        <v>11587</v>
      </c>
      <c r="E9246" s="22" t="s">
        <v>103</v>
      </c>
      <c r="F9246" s="23" t="str">
        <f>HYPERLINK("https://www.spark-marketing.ru/Card/Lot/70004656", "Оказание услуг по обслуживанию систем и оборудования охранной сигнализации с подключением на пульт централизованного наблюдения")</f>
        <v>Оказание услуг по обслуживанию систем и оборудования охранной сигнализации с подключением на пульт централизованного наблюдения</v>
      </c>
      <c r="G9246" s="22" t="s">
        <v>60</v>
      </c>
      <c r="H9246" s="22" t="s">
        <v>1683</v>
      </c>
      <c r="I9246" s="26">
        <v>43578.4465277778</v>
      </c>
      <c r="J9246" s="23" t="str">
        <f>HYPERLINK("https://www.spark-marketing.ru/Card/Person/85112", "ООО ЧОП ""ЯГУАР""")</f>
        <v>ООО ЧОП "ЯГУАР"</v>
      </c>
      <c r="K9246" s="24" t="s">
        <v>8217</v>
      </c>
      <c r="L9246" s="22" t="s">
        <v>10</v>
      </c>
      <c r="M9246" s="25">
        <v>17893.2</v>
      </c>
      <c r="N9246" s="27">
        <v>0.21999931996453354</v>
      </c>
    </row>
    <row r="9247" spans="1:14" x14ac:dyDescent="0.15">
      <c r="A9247" s="23" t="str">
        <f>HYPERLINK("https://www.spark-marketing.ru/Card/Person/101097", "МОУ ""СОШ №12 С УИИЯ""")</f>
        <v>МОУ "СОШ №12 С УИИЯ"</v>
      </c>
      <c r="B9247" s="24" t="s">
        <v>11588</v>
      </c>
      <c r="C9247" s="25">
        <v>21000</v>
      </c>
      <c r="D9247" s="22" t="s">
        <v>11589</v>
      </c>
      <c r="E9247" s="22" t="s">
        <v>294</v>
      </c>
      <c r="F9247" s="23" t="str">
        <f>HYPERLINK("https://www.spark-marketing.ru/Card/Lot/70005525", "Оказание услуг по установке систем безопасности (видеонаблюдение)")</f>
        <v>Оказание услуг по установке систем безопасности (видеонаблюдение)</v>
      </c>
      <c r="G9247" s="22" t="s">
        <v>50</v>
      </c>
      <c r="H9247" s="22" t="s">
        <v>747</v>
      </c>
      <c r="I9247" s="26">
        <v>43578.388310185197</v>
      </c>
      <c r="J9247" s="28" t="s">
        <v>52</v>
      </c>
      <c r="K9247" s="28" t="s">
        <v>52</v>
      </c>
      <c r="L9247" s="28" t="s">
        <v>52</v>
      </c>
      <c r="M9247" s="28" t="s">
        <v>52</v>
      </c>
      <c r="N9247" s="28" t="s">
        <v>52</v>
      </c>
    </row>
    <row r="9248" spans="1:14" x14ac:dyDescent="0.15">
      <c r="A9248" s="23" t="str">
        <f>HYPERLINK("https://www.spark-marketing.ru/Card/Person/1760846", "МБДОУ ""ДС №20 ""РОДНИЧОК""")</f>
        <v>МБДОУ "ДС №20 "РОДНИЧОК"</v>
      </c>
      <c r="B9248" s="24" t="s">
        <v>11590</v>
      </c>
      <c r="C9248" s="25">
        <v>31500</v>
      </c>
      <c r="D9248" s="22" t="s">
        <v>11591</v>
      </c>
      <c r="E9248" s="22" t="s">
        <v>103</v>
      </c>
      <c r="F9248" s="23" t="str">
        <f>HYPERLINK("https://www.spark-marketing.ru/Card/Lot/70005573", "Оказание услуг по техническому обслуживанию системы видеонаблюдения ""Безопасный регион""")</f>
        <v>Оказание услуг по техническому обслуживанию системы видеонаблюдения "Безопасный регион"</v>
      </c>
      <c r="G9248" s="22" t="s">
        <v>50</v>
      </c>
      <c r="H9248" s="22" t="s">
        <v>1172</v>
      </c>
      <c r="I9248" s="26">
        <v>43578.409259259301</v>
      </c>
      <c r="J9248" s="28" t="s">
        <v>52</v>
      </c>
      <c r="K9248" s="28" t="s">
        <v>52</v>
      </c>
      <c r="L9248" s="28" t="s">
        <v>52</v>
      </c>
      <c r="M9248" s="28" t="s">
        <v>52</v>
      </c>
      <c r="N9248" s="28" t="s">
        <v>52</v>
      </c>
    </row>
    <row r="9249" spans="1:14" x14ac:dyDescent="0.15">
      <c r="A9249" s="23" t="str">
        <f>HYPERLINK("https://www.spark-marketing.ru/Card/Person/1072274", "МБУ ""ЦДДМ ""СОВРЕМЕННИК""")</f>
        <v>МБУ "ЦДДМ "СОВРЕМЕННИК"</v>
      </c>
      <c r="B9249" s="24" t="s">
        <v>7348</v>
      </c>
      <c r="C9249" s="25">
        <v>56000</v>
      </c>
      <c r="D9249" s="22" t="s">
        <v>11592</v>
      </c>
      <c r="E9249" s="22" t="s">
        <v>68</v>
      </c>
      <c r="F9249" s="23" t="str">
        <f>HYPERLINK("https://www.spark-marketing.ru/Card/Lot/70002419", "Оказание услуг по централизованной охране объекта группой задержания")</f>
        <v>Оказание услуг по централизованной охране объекта группой задержания</v>
      </c>
      <c r="G9249" s="22" t="s">
        <v>311</v>
      </c>
      <c r="H9249" s="22" t="s">
        <v>7350</v>
      </c>
      <c r="I9249" s="26">
        <v>43578.413194444402</v>
      </c>
      <c r="J9249" s="23" t="str">
        <f>HYPERLINK("https://www.spark-marketing.ru/Card/Person/114873", "ООО ЧОО ""ШЕРИФ""")</f>
        <v>ООО ЧОО "ШЕРИФ"</v>
      </c>
      <c r="K9249" s="24" t="s">
        <v>11593</v>
      </c>
      <c r="L9249" s="22" t="s">
        <v>10</v>
      </c>
      <c r="M9249" s="28" t="s">
        <v>52</v>
      </c>
      <c r="N9249" s="28" t="s">
        <v>52</v>
      </c>
    </row>
    <row r="9250" spans="1:14" x14ac:dyDescent="0.15">
      <c r="A9250" s="23" t="str">
        <f>HYPERLINK("https://www.spark-marketing.ru/Card/Person/1768803", "МАУ СШСТ ""НАДЕЖДА""")</f>
        <v>МАУ СШСТ "НАДЕЖДА"</v>
      </c>
      <c r="B9250" s="24" t="s">
        <v>11594</v>
      </c>
      <c r="C9250" s="25">
        <v>30000</v>
      </c>
      <c r="D9250" s="22" t="s">
        <v>11595</v>
      </c>
      <c r="E9250" s="22" t="s">
        <v>11596</v>
      </c>
      <c r="F9250" s="23" t="str">
        <f>HYPERLINK("https://www.spark-marketing.ru/Card/Lot/70005969", "Оказание услуг (выполнение работ) по техническому обслуживанию видеосистемы для нужд школы, собственные средства")</f>
        <v>Оказание услуг (выполнение работ) по техническому обслуживанию видеосистемы для нужд школы, собственные средства</v>
      </c>
      <c r="G9250" s="22" t="s">
        <v>50</v>
      </c>
      <c r="H9250" s="22" t="s">
        <v>50</v>
      </c>
      <c r="I9250" s="26">
        <v>43578.390925925902</v>
      </c>
      <c r="J9250" s="28" t="s">
        <v>52</v>
      </c>
      <c r="K9250" s="28" t="s">
        <v>52</v>
      </c>
      <c r="L9250" s="28" t="s">
        <v>52</v>
      </c>
      <c r="M9250" s="28" t="s">
        <v>52</v>
      </c>
      <c r="N9250" s="28" t="s">
        <v>52</v>
      </c>
    </row>
    <row r="9251" spans="1:14" x14ac:dyDescent="0.15">
      <c r="A9251" s="23" t="str">
        <f>HYPERLINK("https://www.spark-marketing.ru/Card/Person/1769396", "АУ ""ПОВАРОВСКИЙ КУЛЬТУРНЫЙ ЦЕНТР""")</f>
        <v>АУ "ПОВАРОВСКИЙ КУЛЬТУРНЫЙ ЦЕНТР"</v>
      </c>
      <c r="B9251" s="24" t="s">
        <v>11597</v>
      </c>
      <c r="C9251" s="25">
        <v>32282</v>
      </c>
      <c r="D9251" s="22" t="s">
        <v>11598</v>
      </c>
      <c r="E9251" s="22" t="s">
        <v>49</v>
      </c>
      <c r="F9251" s="23" t="str">
        <f>HYPERLINK("https://www.spark-marketing.ru/Card/Lot/70004946", "Выполнение работ по установке охранно тревожной сигнализации объекта: 141540, Московская область, Солнечногорский район, дп Поварово, мкр. Поваровка д.23 (Дом культуры «Геофизик»)»")</f>
        <v>Выполнение работ по установке охранно тревожной сигнализации объекта: 141540, Московская область, Солнечногорский район, дп Поварово, мкр. Поваровка д.23 (Дом культуры «Геофизик»)»</v>
      </c>
      <c r="G9251" s="22" t="s">
        <v>50</v>
      </c>
      <c r="H9251" s="22" t="s">
        <v>50</v>
      </c>
      <c r="I9251" s="26">
        <v>43578.385208333297</v>
      </c>
      <c r="J9251" s="28" t="s">
        <v>52</v>
      </c>
      <c r="K9251" s="28" t="s">
        <v>52</v>
      </c>
      <c r="L9251" s="28" t="s">
        <v>52</v>
      </c>
      <c r="M9251" s="28" t="s">
        <v>52</v>
      </c>
      <c r="N9251" s="28" t="s">
        <v>52</v>
      </c>
    </row>
    <row r="9252" spans="1:14" hidden="1" outlineLevel="1" x14ac:dyDescent="0.2">
      <c r="A9252" s="23" t="str">
        <f>HYPERLINK("https://www.spark-marketing.ru/Card/Person/1769396", "АУ ""ПОВАРОВСКИЙ КУЛЬТУРНЫЙ ЦЕНТР""")</f>
        <v>АУ "ПОВАРОВСКИЙ КУЛЬТУРНЫЙ ЦЕНТР"</v>
      </c>
      <c r="B9252" s="24" t="s">
        <v>11597</v>
      </c>
      <c r="C9252" s="28" t="s">
        <v>52</v>
      </c>
      <c r="D9252" s="22" t="s">
        <v>11598</v>
      </c>
      <c r="E9252" s="22" t="s">
        <v>49</v>
      </c>
      <c r="F9252" s="23" t="str">
        <f>HYPERLINK("https://www.spark-marketing.ru/Card/Lot/70004946", "Выполнение работ по установке охранно тревожной сигнализации объекта: 141540, Московская область, Солнечногорский район, дп Поварово, мкр. Поваровка д.23 (Дом культуры «Геофизик»)»")</f>
        <v>Выполнение работ по установке охранно тревожной сигнализации объекта: 141540, Московская область, Солнечногорский район, дп Поварово, мкр. Поваровка д.23 (Дом культуры «Геофизик»)»</v>
      </c>
      <c r="G9252" s="22" t="s">
        <v>50</v>
      </c>
      <c r="H9252" s="22" t="s">
        <v>50</v>
      </c>
      <c r="I9252" s="26">
        <v>43578.385208333297</v>
      </c>
      <c r="J9252" s="23" t="str">
        <f>HYPERLINK("https://www.spark-marketing.ru/Card/Person/6471438", "ФЛ ФГУП ОХРАНА ФЕДЕРАЛЬНОЙ СЛУЖБЫ ВОЙСК НАЦИОНАЛЬНОЙ ГВАРДИИ РФ ПО МО")</f>
        <v>ФЛ ФГУП ОХРАНА ФЕДЕРАЛЬНОЙ СЛУЖБЫ ВОЙСК НАЦИОНАЛЬНОЙ ГВАРДИИ РФ ПО МО</v>
      </c>
      <c r="K9252" s="24" t="s">
        <v>779</v>
      </c>
      <c r="L9252" s="28" t="s">
        <v>52</v>
      </c>
      <c r="M9252" s="25">
        <v>25000</v>
      </c>
      <c r="N9252" s="27">
        <v>0.22557462362926708</v>
      </c>
    </row>
    <row r="9253" spans="1:14" hidden="1" outlineLevel="1" x14ac:dyDescent="0.2">
      <c r="A9253" s="23" t="str">
        <f>HYPERLINK("https://www.spark-marketing.ru/Card/Person/1769396", "АУ ""ПОВАРОВСКИЙ КУЛЬТУРНЫЙ ЦЕНТР""")</f>
        <v>АУ "ПОВАРОВСКИЙ КУЛЬТУРНЫЙ ЦЕНТР"</v>
      </c>
      <c r="B9253" s="24" t="s">
        <v>11597</v>
      </c>
      <c r="C9253" s="28" t="s">
        <v>52</v>
      </c>
      <c r="D9253" s="22" t="s">
        <v>11598</v>
      </c>
      <c r="E9253" s="22" t="s">
        <v>49</v>
      </c>
      <c r="F9253" s="23" t="str">
        <f>HYPERLINK("https://www.spark-marketing.ru/Card/Lot/70004946", "Выполнение работ по установке охранно тревожной сигнализации объекта: 141540, Московская область, Солнечногорский район, дп Поварово, мкр. Поваровка д.23 (Дом культуры «Геофизик»)»")</f>
        <v>Выполнение работ по установке охранно тревожной сигнализации объекта: 141540, Московская область, Солнечногорский район, дп Поварово, мкр. Поваровка д.23 (Дом культуры «Геофизик»)»</v>
      </c>
      <c r="G9253" s="22" t="s">
        <v>50</v>
      </c>
      <c r="H9253" s="22" t="s">
        <v>50</v>
      </c>
      <c r="I9253" s="26">
        <v>43578.385208333297</v>
      </c>
      <c r="J9253" s="23" t="str">
        <f>HYPERLINK("https://www.spark-marketing.ru/Card/Person/6365169", "ООО ""ГПБ ЕДИНСТВО""")</f>
        <v>ООО "ГПБ ЕДИНСТВО"</v>
      </c>
      <c r="K9253" s="24" t="s">
        <v>6418</v>
      </c>
      <c r="L9253" s="28" t="s">
        <v>52</v>
      </c>
      <c r="M9253" s="25">
        <v>31625</v>
      </c>
      <c r="N9253" s="27">
        <v>2.035189889102286E-2</v>
      </c>
    </row>
    <row r="9254" spans="1:14" hidden="1" outlineLevel="1" x14ac:dyDescent="0.2">
      <c r="A9254" s="23" t="str">
        <f>HYPERLINK("https://www.spark-marketing.ru/Card/Person/1769396", "АУ ""ПОВАРОВСКИЙ КУЛЬТУРНЫЙ ЦЕНТР""")</f>
        <v>АУ "ПОВАРОВСКИЙ КУЛЬТУРНЫЙ ЦЕНТР"</v>
      </c>
      <c r="B9254" s="24" t="s">
        <v>11597</v>
      </c>
      <c r="C9254" s="28" t="s">
        <v>52</v>
      </c>
      <c r="D9254" s="22" t="s">
        <v>11598</v>
      </c>
      <c r="E9254" s="22" t="s">
        <v>49</v>
      </c>
      <c r="F9254" s="23" t="str">
        <f>HYPERLINK("https://www.spark-marketing.ru/Card/Lot/70004946", "Выполнение работ по установке охранно тревожной сигнализации объекта: 141540, Московская область, Солнечногорский район, дп Поварово, мкр. Поваровка д.23 (Дом культуры «Геофизик»)»")</f>
        <v>Выполнение работ по установке охранно тревожной сигнализации объекта: 141540, Московская область, Солнечногорский район, дп Поварово, мкр. Поваровка д.23 (Дом культуры «Геофизик»)»</v>
      </c>
      <c r="G9254" s="22" t="s">
        <v>50</v>
      </c>
      <c r="H9254" s="22" t="s">
        <v>50</v>
      </c>
      <c r="I9254" s="26">
        <v>43578.385208333297</v>
      </c>
      <c r="J9254" s="23" t="str">
        <f>HYPERLINK("https://www.spark-marketing.ru/Card/Person/148977", "ООО ""ЧОП ""КЕНТАВР""")</f>
        <v>ООО "ЧОП "КЕНТАВР"</v>
      </c>
      <c r="K9254" s="24" t="s">
        <v>11599</v>
      </c>
      <c r="L9254" s="22" t="s">
        <v>10</v>
      </c>
      <c r="M9254" s="25">
        <v>2000</v>
      </c>
      <c r="N9254" s="27">
        <v>0.93804596989034139</v>
      </c>
    </row>
    <row r="9255" spans="1:14" x14ac:dyDescent="0.15">
      <c r="A9255" s="23" t="str">
        <f t="shared" ref="A9255:A9264" si="413">HYPERLINK("https://www.spark-marketing.ru/Card/Person/246561", "МБУ ""ДОРСЕРВИС""")</f>
        <v>МБУ "ДОРСЕРВИС"</v>
      </c>
      <c r="B9255" s="24" t="s">
        <v>11600</v>
      </c>
      <c r="C9255" s="25">
        <v>135792.59</v>
      </c>
      <c r="D9255" s="22" t="s">
        <v>11601</v>
      </c>
      <c r="E9255" s="22" t="s">
        <v>103</v>
      </c>
      <c r="F9255" s="23" t="str">
        <f t="shared" ref="F9255:F9264" si="414">HYPERLINK("https://www.spark-marketing.ru/Card/Lot/70006727", "Оказание услуг по техническому обслуживанию систем видеонаблюдения")</f>
        <v>Оказание услуг по техническому обслуживанию систем видеонаблюдения</v>
      </c>
      <c r="G9255" s="22" t="s">
        <v>50</v>
      </c>
      <c r="H9255" s="22" t="s">
        <v>2391</v>
      </c>
      <c r="I9255" s="26">
        <v>43578.405555555597</v>
      </c>
      <c r="J9255" s="28" t="s">
        <v>52</v>
      </c>
      <c r="K9255" s="28" t="s">
        <v>52</v>
      </c>
      <c r="L9255" s="28" t="s">
        <v>52</v>
      </c>
      <c r="M9255" s="28" t="s">
        <v>52</v>
      </c>
      <c r="N9255" s="28" t="s">
        <v>52</v>
      </c>
    </row>
    <row r="9256" spans="1:14" hidden="1" outlineLevel="1" x14ac:dyDescent="0.2">
      <c r="A9256" s="23" t="str">
        <f t="shared" si="413"/>
        <v>МБУ "ДОРСЕРВИС"</v>
      </c>
      <c r="B9256" s="24" t="s">
        <v>11600</v>
      </c>
      <c r="C9256" s="25">
        <v>135792.59</v>
      </c>
      <c r="D9256" s="22" t="s">
        <v>11601</v>
      </c>
      <c r="E9256" s="22" t="s">
        <v>103</v>
      </c>
      <c r="F9256" s="23" t="str">
        <f t="shared" si="414"/>
        <v>Оказание услуг по техническому обслуживанию систем видеонаблюдения</v>
      </c>
      <c r="G9256" s="22" t="s">
        <v>50</v>
      </c>
      <c r="H9256" s="22" t="s">
        <v>2391</v>
      </c>
      <c r="I9256" s="26">
        <v>43578.405555555597</v>
      </c>
      <c r="J9256" s="23" t="str">
        <f>HYPERLINK("https://www.spark-marketing.ru/Card/Person/6445825", "Судариков Михаил Геннадьевич")</f>
        <v>Судариков Михаил Геннадьевич</v>
      </c>
      <c r="K9256" s="24" t="s">
        <v>1219</v>
      </c>
      <c r="L9256" s="28" t="s">
        <v>52</v>
      </c>
      <c r="M9256" s="25">
        <v>80000</v>
      </c>
      <c r="N9256" s="27">
        <v>0.41086623356988772</v>
      </c>
    </row>
    <row r="9257" spans="1:14" hidden="1" outlineLevel="1" x14ac:dyDescent="0.2">
      <c r="A9257" s="23" t="str">
        <f t="shared" si="413"/>
        <v>МБУ "ДОРСЕРВИС"</v>
      </c>
      <c r="B9257" s="24" t="s">
        <v>11600</v>
      </c>
      <c r="C9257" s="25">
        <v>135792.59</v>
      </c>
      <c r="D9257" s="22" t="s">
        <v>11601</v>
      </c>
      <c r="E9257" s="22" t="s">
        <v>103</v>
      </c>
      <c r="F9257" s="23" t="str">
        <f t="shared" si="414"/>
        <v>Оказание услуг по техническому обслуживанию систем видеонаблюдения</v>
      </c>
      <c r="G9257" s="22" t="s">
        <v>50</v>
      </c>
      <c r="H9257" s="22" t="s">
        <v>2391</v>
      </c>
      <c r="I9257" s="26">
        <v>43578.405555555597</v>
      </c>
      <c r="J9257" s="23" t="str">
        <f>HYPERLINK("https://www.spark-marketing.ru/Card/Person/90452", "ООО ""ЦЕНТР ПОЖАРНЫХ ТЕХНОЛОГИЙ""")</f>
        <v>ООО "ЦЕНТР ПОЖАРНЫХ ТЕХНОЛОГИЙ"</v>
      </c>
      <c r="K9257" s="24" t="s">
        <v>11602</v>
      </c>
      <c r="L9257" s="28" t="s">
        <v>52</v>
      </c>
      <c r="M9257" s="25">
        <v>49000</v>
      </c>
      <c r="N9257" s="27">
        <v>0.63915556806155627</v>
      </c>
    </row>
    <row r="9258" spans="1:14" hidden="1" outlineLevel="1" x14ac:dyDescent="0.2">
      <c r="A9258" s="23" t="str">
        <f t="shared" si="413"/>
        <v>МБУ "ДОРСЕРВИС"</v>
      </c>
      <c r="B9258" s="24" t="s">
        <v>11600</v>
      </c>
      <c r="C9258" s="25">
        <v>135792.59</v>
      </c>
      <c r="D9258" s="22" t="s">
        <v>11601</v>
      </c>
      <c r="E9258" s="22" t="s">
        <v>103</v>
      </c>
      <c r="F9258" s="23" t="str">
        <f t="shared" si="414"/>
        <v>Оказание услуг по техническому обслуживанию систем видеонаблюдения</v>
      </c>
      <c r="G9258" s="22" t="s">
        <v>50</v>
      </c>
      <c r="H9258" s="22" t="s">
        <v>2391</v>
      </c>
      <c r="I9258" s="26">
        <v>43578.405555555597</v>
      </c>
      <c r="J9258" s="23" t="str">
        <f>HYPERLINK("https://www.spark-marketing.ru/Card/Person/665030", "ООО ""ОТКРЫТЫЕ СИСТЕМЫ""")</f>
        <v>ООО "ОТКРЫТЫЕ СИСТЕМЫ"</v>
      </c>
      <c r="K9258" s="24" t="s">
        <v>7267</v>
      </c>
      <c r="L9258" s="28" t="s">
        <v>52</v>
      </c>
      <c r="M9258" s="25">
        <v>120000</v>
      </c>
      <c r="N9258" s="27">
        <v>0.11629935035483159</v>
      </c>
    </row>
    <row r="9259" spans="1:14" hidden="1" outlineLevel="1" x14ac:dyDescent="0.2">
      <c r="A9259" s="23" t="str">
        <f t="shared" si="413"/>
        <v>МБУ "ДОРСЕРВИС"</v>
      </c>
      <c r="B9259" s="24" t="s">
        <v>11600</v>
      </c>
      <c r="C9259" s="25">
        <v>135792.59</v>
      </c>
      <c r="D9259" s="22" t="s">
        <v>11601</v>
      </c>
      <c r="E9259" s="22" t="s">
        <v>103</v>
      </c>
      <c r="F9259" s="23" t="str">
        <f t="shared" si="414"/>
        <v>Оказание услуг по техническому обслуживанию систем видеонаблюдения</v>
      </c>
      <c r="G9259" s="22" t="s">
        <v>50</v>
      </c>
      <c r="H9259" s="22" t="s">
        <v>2391</v>
      </c>
      <c r="I9259" s="26">
        <v>43578.405555555597</v>
      </c>
      <c r="J9259" s="23" t="str">
        <f>HYPERLINK("https://www.spark-marketing.ru/Card/Person/6513863", "ООО ""ПРИОРИТЕТ БЕЗОПАСНОСТИ""")</f>
        <v>ООО "ПРИОРИТЕТ БЕЗОПАСНОСТИ"</v>
      </c>
      <c r="K9259" s="24" t="s">
        <v>3157</v>
      </c>
      <c r="L9259" s="28" t="s">
        <v>52</v>
      </c>
      <c r="M9259" s="25">
        <v>103950</v>
      </c>
      <c r="N9259" s="27">
        <v>0.23449431224487285</v>
      </c>
    </row>
    <row r="9260" spans="1:14" hidden="1" outlineLevel="1" x14ac:dyDescent="0.2">
      <c r="A9260" s="23" t="str">
        <f t="shared" si="413"/>
        <v>МБУ "ДОРСЕРВИС"</v>
      </c>
      <c r="B9260" s="24" t="s">
        <v>11600</v>
      </c>
      <c r="C9260" s="25">
        <v>135792.59</v>
      </c>
      <c r="D9260" s="22" t="s">
        <v>11601</v>
      </c>
      <c r="E9260" s="22" t="s">
        <v>103</v>
      </c>
      <c r="F9260" s="23" t="str">
        <f t="shared" si="414"/>
        <v>Оказание услуг по техническому обслуживанию систем видеонаблюдения</v>
      </c>
      <c r="G9260" s="22" t="s">
        <v>50</v>
      </c>
      <c r="H9260" s="22" t="s">
        <v>2391</v>
      </c>
      <c r="I9260" s="26">
        <v>43578.405555555597</v>
      </c>
      <c r="J9260" s="23" t="str">
        <f>HYPERLINK("https://www.spark-marketing.ru/Card/Person/65028", "ООО ""ИМПУЛЬС М""")</f>
        <v>ООО "ИМПУЛЬС М"</v>
      </c>
      <c r="K9260" s="24" t="s">
        <v>7268</v>
      </c>
      <c r="L9260" s="28" t="s">
        <v>52</v>
      </c>
      <c r="M9260" s="25">
        <v>130000</v>
      </c>
      <c r="N9260" s="27">
        <v>4.2657629551067548E-2</v>
      </c>
    </row>
    <row r="9261" spans="1:14" hidden="1" outlineLevel="1" x14ac:dyDescent="0.2">
      <c r="A9261" s="23" t="str">
        <f t="shared" si="413"/>
        <v>МБУ "ДОРСЕРВИС"</v>
      </c>
      <c r="B9261" s="24" t="s">
        <v>11600</v>
      </c>
      <c r="C9261" s="25">
        <v>135792.59</v>
      </c>
      <c r="D9261" s="22" t="s">
        <v>11601</v>
      </c>
      <c r="E9261" s="22" t="s">
        <v>103</v>
      </c>
      <c r="F9261" s="23" t="str">
        <f t="shared" si="414"/>
        <v>Оказание услуг по техническому обслуживанию систем видеонаблюдения</v>
      </c>
      <c r="G9261" s="22" t="s">
        <v>50</v>
      </c>
      <c r="H9261" s="22" t="s">
        <v>2391</v>
      </c>
      <c r="I9261" s="26">
        <v>43578.405555555597</v>
      </c>
      <c r="J9261" s="23" t="str">
        <f>HYPERLINK("https://www.spark-marketing.ru/Card/Person/5853475", "ООО ""С АЙ ТИ ГРУПП""")</f>
        <v>ООО "С АЙ ТИ ГРУПП"</v>
      </c>
      <c r="K9261" s="24" t="s">
        <v>11603</v>
      </c>
      <c r="L9261" s="28" t="s">
        <v>52</v>
      </c>
      <c r="M9261" s="25">
        <v>69990</v>
      </c>
      <c r="N9261" s="27">
        <v>0.4845815960944555</v>
      </c>
    </row>
    <row r="9262" spans="1:14" hidden="1" outlineLevel="1" x14ac:dyDescent="0.2">
      <c r="A9262" s="23" t="str">
        <f t="shared" si="413"/>
        <v>МБУ "ДОРСЕРВИС"</v>
      </c>
      <c r="B9262" s="24" t="s">
        <v>11600</v>
      </c>
      <c r="C9262" s="25">
        <v>135792.59</v>
      </c>
      <c r="D9262" s="22" t="s">
        <v>11601</v>
      </c>
      <c r="E9262" s="22" t="s">
        <v>103</v>
      </c>
      <c r="F9262" s="23" t="str">
        <f t="shared" si="414"/>
        <v>Оказание услуг по техническому обслуживанию систем видеонаблюдения</v>
      </c>
      <c r="G9262" s="22" t="s">
        <v>50</v>
      </c>
      <c r="H9262" s="22" t="s">
        <v>2391</v>
      </c>
      <c r="I9262" s="26">
        <v>43578.405555555597</v>
      </c>
      <c r="J9262" s="23" t="str">
        <f>HYPERLINK("https://www.spark-marketing.ru/Card/Person/699561", "ООО ""ТЕО-БЕЗОПАСНОСТЬ""")</f>
        <v>ООО "ТЕО-БЕЗОПАСНОСТЬ"</v>
      </c>
      <c r="K9262" s="24" t="s">
        <v>10575</v>
      </c>
      <c r="L9262" s="28" t="s">
        <v>52</v>
      </c>
      <c r="M9262" s="25">
        <v>96000</v>
      </c>
      <c r="N9262" s="27">
        <v>0.29303948028386528</v>
      </c>
    </row>
    <row r="9263" spans="1:14" hidden="1" outlineLevel="1" x14ac:dyDescent="0.2">
      <c r="A9263" s="23" t="str">
        <f t="shared" si="413"/>
        <v>МБУ "ДОРСЕРВИС"</v>
      </c>
      <c r="B9263" s="24" t="s">
        <v>11600</v>
      </c>
      <c r="C9263" s="25">
        <v>135792.59</v>
      </c>
      <c r="D9263" s="22" t="s">
        <v>11601</v>
      </c>
      <c r="E9263" s="22" t="s">
        <v>103</v>
      </c>
      <c r="F9263" s="23" t="str">
        <f t="shared" si="414"/>
        <v>Оказание услуг по техническому обслуживанию систем видеонаблюдения</v>
      </c>
      <c r="G9263" s="22" t="s">
        <v>50</v>
      </c>
      <c r="H9263" s="22" t="s">
        <v>2391</v>
      </c>
      <c r="I9263" s="26">
        <v>43578.405555555597</v>
      </c>
      <c r="J9263" s="23" t="str">
        <f>HYPERLINK("https://www.spark-marketing.ru/Card/Person/6407297", "Бодрова Вера Юрьевна")</f>
        <v>Бодрова Вера Юрьевна</v>
      </c>
      <c r="K9263" s="24" t="s">
        <v>2694</v>
      </c>
      <c r="L9263" s="28" t="s">
        <v>52</v>
      </c>
      <c r="M9263" s="25">
        <v>73000</v>
      </c>
      <c r="N9263" s="27">
        <v>0.46241543813252256</v>
      </c>
    </row>
    <row r="9264" spans="1:14" ht="12.75" hidden="1" outlineLevel="1" x14ac:dyDescent="0.2">
      <c r="A9264" s="23" t="str">
        <f t="shared" si="413"/>
        <v>МБУ "ДОРСЕРВИС"</v>
      </c>
      <c r="B9264" s="24" t="s">
        <v>11600</v>
      </c>
      <c r="C9264" s="25">
        <v>135792.59</v>
      </c>
      <c r="D9264" s="22" t="s">
        <v>11601</v>
      </c>
      <c r="E9264" s="22" t="s">
        <v>103</v>
      </c>
      <c r="F9264" s="23" t="str">
        <f t="shared" si="414"/>
        <v>Оказание услуг по техническому обслуживанию систем видеонаблюдения</v>
      </c>
      <c r="G9264" s="22" t="s">
        <v>50</v>
      </c>
      <c r="H9264" s="22" t="s">
        <v>2391</v>
      </c>
      <c r="I9264" s="26">
        <v>43578.405555555597</v>
      </c>
      <c r="J9264" s="23" t="str">
        <f>HYPERLINK("https://www.spark-marketing.ru/Card/Person/6462474", "ООО ""ФАВОР""")</f>
        <v>ООО "ФАВОР"</v>
      </c>
      <c r="K9264" s="24" t="s">
        <v>2058</v>
      </c>
      <c r="L9264" s="22" t="s">
        <v>10</v>
      </c>
      <c r="M9264" s="25">
        <v>20000</v>
      </c>
      <c r="N9264" s="27">
        <v>0.85271655839247196</v>
      </c>
    </row>
    <row r="9265" spans="1:14" ht="12.75" x14ac:dyDescent="0.2">
      <c r="A9265" s="23" t="str">
        <f>HYPERLINK("https://www.spark-marketing.ru/Card/Person/25407", "АДМИНИСТРАЦИЯ УНЕЧСКОГО РАЙОНА")</f>
        <v>АДМИНИСТРАЦИЯ УНЕЧСКОГО РАЙОНА</v>
      </c>
      <c r="B9265" s="24" t="s">
        <v>11604</v>
      </c>
      <c r="C9265" s="25">
        <v>250000</v>
      </c>
      <c r="D9265" s="22" t="s">
        <v>11605</v>
      </c>
      <c r="E9265" s="22" t="s">
        <v>52</v>
      </c>
      <c r="F9265" s="23" t="str">
        <f>HYPERLINK("https://www.spark-marketing.ru/Card/Lot/70007999", "Содержание спасательной станции на о. Новое в г. Унеча")</f>
        <v>Содержание спасательной станции на о. Новое в г. Унеча</v>
      </c>
      <c r="G9265" s="22" t="s">
        <v>215</v>
      </c>
      <c r="H9265" s="22" t="s">
        <v>216</v>
      </c>
      <c r="I9265" s="26">
        <v>43578.393750000003</v>
      </c>
      <c r="J9265" s="23" t="str">
        <f>HYPERLINK("https://www.spark-marketing.ru/Card/Person/127331", "МУП УК ""НЕДВИЖИМОСТЬ""")</f>
        <v>МУП УК "НЕДВИЖИМОСТЬ"</v>
      </c>
      <c r="K9265" s="24" t="s">
        <v>11606</v>
      </c>
      <c r="L9265" s="22" t="s">
        <v>10</v>
      </c>
      <c r="M9265" s="25">
        <v>250000</v>
      </c>
      <c r="N9265" s="27">
        <v>0</v>
      </c>
    </row>
    <row r="9266" spans="1:14" ht="12.75" x14ac:dyDescent="0.2">
      <c r="A9266" s="23" t="str">
        <f>HYPERLINK("https://www.spark-marketing.ru/Card/Person/59773", "ГУЗ ""ГБ № 7 Г.ТУЛЫ""")</f>
        <v>ГУЗ "ГБ № 7 Г.ТУЛЫ"</v>
      </c>
      <c r="B9266" s="24" t="s">
        <v>11607</v>
      </c>
      <c r="C9266" s="25">
        <v>99500</v>
      </c>
      <c r="D9266" s="22" t="s">
        <v>11608</v>
      </c>
      <c r="E9266" s="22" t="s">
        <v>52</v>
      </c>
      <c r="F9266" s="23" t="str">
        <f>HYPERLINK("https://www.spark-marketing.ru/Card/Lot/70004544", "Оказание охранных услуг")</f>
        <v>Оказание охранных услуг</v>
      </c>
      <c r="G9266" s="22" t="s">
        <v>818</v>
      </c>
      <c r="H9266" s="22" t="s">
        <v>819</v>
      </c>
      <c r="I9266" s="26">
        <v>43578.363888888904</v>
      </c>
      <c r="J9266" s="23" t="str">
        <f>HYPERLINK("https://www.spark-marketing.ru/Card/Person/5505915", "ООО ЧОО ""ЗАЩИТА ПЛЮС""")</f>
        <v>ООО ЧОО "ЗАЩИТА ПЛЮС"</v>
      </c>
      <c r="K9266" s="24" t="s">
        <v>11609</v>
      </c>
      <c r="L9266" s="22" t="s">
        <v>10</v>
      </c>
      <c r="M9266" s="25">
        <v>99400</v>
      </c>
      <c r="N9266" s="27">
        <v>1.0050251256281408E-3</v>
      </c>
    </row>
    <row r="9267" spans="1:14" ht="12.75" x14ac:dyDescent="0.2">
      <c r="A9267" s="23" t="str">
        <f>HYPERLINK("https://www.spark-marketing.ru/Card/Person/59773", "ГУЗ ""ГБ № 7 Г.ТУЛЫ""")</f>
        <v>ГУЗ "ГБ № 7 Г.ТУЛЫ"</v>
      </c>
      <c r="B9267" s="24" t="s">
        <v>11607</v>
      </c>
      <c r="C9267" s="25">
        <v>99500</v>
      </c>
      <c r="D9267" s="22" t="s">
        <v>11610</v>
      </c>
      <c r="E9267" s="22" t="s">
        <v>52</v>
      </c>
      <c r="F9267" s="23" t="str">
        <f>HYPERLINK("https://www.spark-marketing.ru/Card/Lot/70004521", "Оказание охранных услуг")</f>
        <v>Оказание охранных услуг</v>
      </c>
      <c r="G9267" s="22" t="s">
        <v>818</v>
      </c>
      <c r="H9267" s="22" t="s">
        <v>819</v>
      </c>
      <c r="I9267" s="26">
        <v>43578.363888888904</v>
      </c>
      <c r="J9267" s="23" t="str">
        <f>HYPERLINK("https://www.spark-marketing.ru/Card/Person/5505915", "ООО ЧОО ""ЗАЩИТА ПЛЮС""")</f>
        <v>ООО ЧОО "ЗАЩИТА ПЛЮС"</v>
      </c>
      <c r="K9267" s="24" t="s">
        <v>11609</v>
      </c>
      <c r="L9267" s="22" t="s">
        <v>10</v>
      </c>
      <c r="M9267" s="25">
        <v>99400</v>
      </c>
      <c r="N9267" s="27">
        <v>1.0050251256281408E-3</v>
      </c>
    </row>
    <row r="9268" spans="1:14" ht="12.75" x14ac:dyDescent="0.2">
      <c r="A9268" s="23" t="str">
        <f>HYPERLINK("https://www.spark-marketing.ru/Card/Person/59773", "ГУЗ ""ГБ № 7 Г.ТУЛЫ""")</f>
        <v>ГУЗ "ГБ № 7 Г.ТУЛЫ"</v>
      </c>
      <c r="B9268" s="24" t="s">
        <v>11607</v>
      </c>
      <c r="C9268" s="25">
        <v>99500</v>
      </c>
      <c r="D9268" s="22" t="s">
        <v>11611</v>
      </c>
      <c r="E9268" s="22" t="s">
        <v>52</v>
      </c>
      <c r="F9268" s="23" t="str">
        <f>HYPERLINK("https://www.spark-marketing.ru/Card/Lot/70004545", "Оказание охранных услуг")</f>
        <v>Оказание охранных услуг</v>
      </c>
      <c r="G9268" s="22" t="s">
        <v>818</v>
      </c>
      <c r="H9268" s="22" t="s">
        <v>819</v>
      </c>
      <c r="I9268" s="26">
        <v>43578.363888888904</v>
      </c>
      <c r="J9268" s="23" t="str">
        <f>HYPERLINK("https://www.spark-marketing.ru/Card/Person/5505915", "ООО ЧОО ""ЗАЩИТА ПЛЮС""")</f>
        <v>ООО ЧОО "ЗАЩИТА ПЛЮС"</v>
      </c>
      <c r="K9268" s="24" t="s">
        <v>11609</v>
      </c>
      <c r="L9268" s="22" t="s">
        <v>10</v>
      </c>
      <c r="M9268" s="25">
        <v>99400</v>
      </c>
      <c r="N9268" s="27">
        <v>1.0050251256281408E-3</v>
      </c>
    </row>
    <row r="9269" spans="1:14" x14ac:dyDescent="0.15">
      <c r="A9269" s="23" t="str">
        <f>HYPERLINK("https://www.spark-marketing.ru/Card/Person/20201", "АРБИТРАЖНЫЙ СУД НИЖЕГОРОДСКОЙ ОБЛАСТИ")</f>
        <v>АРБИТРАЖНЫЙ СУД НИЖЕГОРОДСКОЙ ОБЛАСТИ</v>
      </c>
      <c r="B9269" s="24" t="s">
        <v>11612</v>
      </c>
      <c r="C9269" s="25">
        <v>233097</v>
      </c>
      <c r="D9269" s="22" t="s">
        <v>11613</v>
      </c>
      <c r="E9269" s="22" t="s">
        <v>208</v>
      </c>
      <c r="F9269" s="23" t="str">
        <f>HYPERLINK("https://www.spark-marketing.ru/Card/Lot/70003257", "Поставка (включая установку) систем контроля и управлением доступа дверей в здании Арбитражного суда Нижегородской области.")</f>
        <v>Поставка (включая установку) систем контроля и управлением доступа дверей в здании Арбитражного суда Нижегородской области.</v>
      </c>
      <c r="G9269" s="22" t="s">
        <v>64</v>
      </c>
      <c r="H9269" s="22" t="s">
        <v>64</v>
      </c>
      <c r="I9269" s="26">
        <v>43578.352083333302</v>
      </c>
      <c r="J9269" s="28" t="s">
        <v>52</v>
      </c>
      <c r="K9269" s="28" t="s">
        <v>52</v>
      </c>
      <c r="L9269" s="28" t="s">
        <v>52</v>
      </c>
      <c r="M9269" s="28" t="s">
        <v>52</v>
      </c>
      <c r="N9269" s="28" t="s">
        <v>52</v>
      </c>
    </row>
    <row r="9270" spans="1:14" hidden="1" outlineLevel="1" x14ac:dyDescent="0.2">
      <c r="A9270" s="23" t="str">
        <f>HYPERLINK("https://www.spark-marketing.ru/Card/Person/20201", "АРБИТРАЖНЫЙ СУД НИЖЕГОРОДСКОЙ ОБЛАСТИ")</f>
        <v>АРБИТРАЖНЫЙ СУД НИЖЕГОРОДСКОЙ ОБЛАСТИ</v>
      </c>
      <c r="B9270" s="24" t="s">
        <v>11612</v>
      </c>
      <c r="C9270" s="25">
        <v>233097</v>
      </c>
      <c r="D9270" s="22" t="s">
        <v>11613</v>
      </c>
      <c r="E9270" s="22" t="s">
        <v>208</v>
      </c>
      <c r="F9270" s="23" t="str">
        <f>HYPERLINK("https://www.spark-marketing.ru/Card/Lot/70003257", "Поставка (включая установку) систем контроля и управлением доступа дверей в здании Арбитражного суда Нижегородской области.")</f>
        <v>Поставка (включая установку) систем контроля и управлением доступа дверей в здании Арбитражного суда Нижегородской области.</v>
      </c>
      <c r="G9270" s="22" t="s">
        <v>64</v>
      </c>
      <c r="H9270" s="22" t="s">
        <v>64</v>
      </c>
      <c r="I9270" s="26">
        <v>43578.352083333302</v>
      </c>
      <c r="J9270" s="23" t="str">
        <f>HYPERLINK("https://www.spark-marketing.ru/Card/Person/26670", "ООО ""ТМЦ ""СИГНАЛ""")</f>
        <v>ООО "ТМЦ "СИГНАЛ"</v>
      </c>
      <c r="K9270" s="24" t="s">
        <v>11614</v>
      </c>
      <c r="L9270" s="28" t="s">
        <v>52</v>
      </c>
      <c r="M9270" s="25">
        <v>214449.16</v>
      </c>
      <c r="N9270" s="27">
        <v>8.0000343204760252E-2</v>
      </c>
    </row>
    <row r="9271" spans="1:14" hidden="1" outlineLevel="1" x14ac:dyDescent="0.2">
      <c r="A9271" s="23" t="str">
        <f>HYPERLINK("https://www.spark-marketing.ru/Card/Person/20201", "АРБИТРАЖНЫЙ СУД НИЖЕГОРОДСКОЙ ОБЛАСТИ")</f>
        <v>АРБИТРАЖНЫЙ СУД НИЖЕГОРОДСКОЙ ОБЛАСТИ</v>
      </c>
      <c r="B9271" s="24" t="s">
        <v>11612</v>
      </c>
      <c r="C9271" s="25">
        <v>233097</v>
      </c>
      <c r="D9271" s="22" t="s">
        <v>11613</v>
      </c>
      <c r="E9271" s="22" t="s">
        <v>208</v>
      </c>
      <c r="F9271" s="23" t="str">
        <f>HYPERLINK("https://www.spark-marketing.ru/Card/Lot/70003257", "Поставка (включая установку) систем контроля и управлением доступа дверей в здании Арбитражного суда Нижегородской области.")</f>
        <v>Поставка (включая установку) систем контроля и управлением доступа дверей в здании Арбитражного суда Нижегородской области.</v>
      </c>
      <c r="G9271" s="22" t="s">
        <v>64</v>
      </c>
      <c r="H9271" s="22" t="s">
        <v>64</v>
      </c>
      <c r="I9271" s="26">
        <v>43578.352083333302</v>
      </c>
      <c r="J9271" s="23" t="str">
        <f>HYPERLINK("https://www.spark-marketing.ru/Card/Person/521032", "ООО ""КОМБИ""")</f>
        <v>ООО "КОМБИ"</v>
      </c>
      <c r="K9271" s="24" t="s">
        <v>1953</v>
      </c>
      <c r="L9271" s="28" t="s">
        <v>52</v>
      </c>
      <c r="M9271" s="25">
        <v>197000</v>
      </c>
      <c r="N9271" s="27">
        <v>0.15485827788431425</v>
      </c>
    </row>
    <row r="9272" spans="1:14" ht="12.75" hidden="1" outlineLevel="1" x14ac:dyDescent="0.2">
      <c r="A9272" s="23" t="str">
        <f>HYPERLINK("https://www.spark-marketing.ru/Card/Person/20201", "АРБИТРАЖНЫЙ СУД НИЖЕГОРОДСКОЙ ОБЛАСТИ")</f>
        <v>АРБИТРАЖНЫЙ СУД НИЖЕГОРОДСКОЙ ОБЛАСТИ</v>
      </c>
      <c r="B9272" s="24" t="s">
        <v>11612</v>
      </c>
      <c r="C9272" s="25">
        <v>233097</v>
      </c>
      <c r="D9272" s="22" t="s">
        <v>11613</v>
      </c>
      <c r="E9272" s="22" t="s">
        <v>208</v>
      </c>
      <c r="F9272" s="23" t="str">
        <f>HYPERLINK("https://www.spark-marketing.ru/Card/Lot/70003257", "Поставка (включая установку) систем контроля и управлением доступа дверей в здании Арбитражного суда Нижегородской области.")</f>
        <v>Поставка (включая установку) систем контроля и управлением доступа дверей в здании Арбитражного суда Нижегородской области.</v>
      </c>
      <c r="G9272" s="22" t="s">
        <v>64</v>
      </c>
      <c r="H9272" s="22" t="s">
        <v>64</v>
      </c>
      <c r="I9272" s="26">
        <v>43578.352083333302</v>
      </c>
      <c r="J9272" s="23" t="str">
        <f>HYPERLINK("https://www.spark-marketing.ru/Card/Person/526586", "ООО ""МОНТАЖНАЯ КОМПАНИЯ СИСТЕМ БЕЗОПАСНОСТИ""")</f>
        <v>ООО "МОНТАЖНАЯ КОМПАНИЯ СИСТЕМ БЕЗОПАСНОСТИ"</v>
      </c>
      <c r="K9272" s="24" t="s">
        <v>4708</v>
      </c>
      <c r="L9272" s="22" t="s">
        <v>10</v>
      </c>
      <c r="M9272" s="25">
        <v>160000</v>
      </c>
      <c r="N9272" s="27">
        <v>0.31359047949995067</v>
      </c>
    </row>
    <row r="9273" spans="1:14" hidden="1" outlineLevel="1" x14ac:dyDescent="0.2">
      <c r="A9273" s="23" t="str">
        <f>HYPERLINK("https://www.spark-marketing.ru/Card/Person/20201", "АРБИТРАЖНЫЙ СУД НИЖЕГОРОДСКОЙ ОБЛАСТИ")</f>
        <v>АРБИТРАЖНЫЙ СУД НИЖЕГОРОДСКОЙ ОБЛАСТИ</v>
      </c>
      <c r="B9273" s="24" t="s">
        <v>11612</v>
      </c>
      <c r="C9273" s="25">
        <v>233097</v>
      </c>
      <c r="D9273" s="22" t="s">
        <v>11613</v>
      </c>
      <c r="E9273" s="22" t="s">
        <v>208</v>
      </c>
      <c r="F9273" s="23" t="str">
        <f>HYPERLINK("https://www.spark-marketing.ru/Card/Lot/70003257", "Поставка (включая установку) систем контроля и управлением доступа дверей в здании Арбитражного суда Нижегородской области.")</f>
        <v>Поставка (включая установку) систем контроля и управлением доступа дверей в здании Арбитражного суда Нижегородской области.</v>
      </c>
      <c r="G9273" s="22" t="s">
        <v>64</v>
      </c>
      <c r="H9273" s="22" t="s">
        <v>64</v>
      </c>
      <c r="I9273" s="26">
        <v>43578.352083333302</v>
      </c>
      <c r="J9273" s="23" t="str">
        <f>HYPERLINK("https://www.spark-marketing.ru/Card/Person/5791412", "ООО ГК ""ЦЕЗАРЬ""")</f>
        <v>ООО ГК "ЦЕЗАРЬ"</v>
      </c>
      <c r="K9273" s="24" t="s">
        <v>11615</v>
      </c>
      <c r="L9273" s="28" t="s">
        <v>52</v>
      </c>
      <c r="M9273" s="25">
        <v>163834.51</v>
      </c>
      <c r="N9273" s="27">
        <v>0.29714020343462166</v>
      </c>
    </row>
    <row r="9274" spans="1:14" x14ac:dyDescent="0.15">
      <c r="A9274" s="23" t="str">
        <f>HYPERLINK("https://www.spark-marketing.ru/Card/Person/4348435", "ООО ""ТД ПОЛИМЕТАЛЛ""")</f>
        <v>ООО "ТД ПОЛИМЕТАЛЛ"</v>
      </c>
      <c r="B9274" s="24" t="s">
        <v>374</v>
      </c>
      <c r="C9274" s="25">
        <v>1900.02</v>
      </c>
      <c r="D9274" s="22" t="s">
        <v>11616</v>
      </c>
      <c r="E9274" s="22" t="s">
        <v>527</v>
      </c>
      <c r="F9274" s="23" t="str">
        <f>HYPERLINK("https://www.spark-marketing.ru/Card/Lot/70008232", "Знак запрещающий 3.4 Движение грузовых автомобилей запрещено")</f>
        <v>Знак запрещающий 3.4 Движение грузовых автомобилей запрещено</v>
      </c>
      <c r="G9274" s="22" t="s">
        <v>89</v>
      </c>
      <c r="H9274" s="22" t="s">
        <v>89</v>
      </c>
      <c r="I9274" s="26">
        <v>43578.371539351901</v>
      </c>
      <c r="J9274" s="28" t="s">
        <v>52</v>
      </c>
      <c r="K9274" s="28" t="s">
        <v>52</v>
      </c>
      <c r="L9274" s="28" t="s">
        <v>52</v>
      </c>
      <c r="M9274" s="28" t="s">
        <v>52</v>
      </c>
      <c r="N9274" s="28" t="s">
        <v>52</v>
      </c>
    </row>
    <row r="9275" spans="1:14" ht="12.75" x14ac:dyDescent="0.2">
      <c r="A9275" s="23" t="str">
        <f>HYPERLINK("https://www.spark-marketing.ru/Card/Person/59773", "ГУЗ ""ГБ № 7 Г.ТУЛЫ""")</f>
        <v>ГУЗ "ГБ № 7 Г.ТУЛЫ"</v>
      </c>
      <c r="B9275" s="24" t="s">
        <v>11607</v>
      </c>
      <c r="C9275" s="25">
        <v>99500</v>
      </c>
      <c r="D9275" s="22" t="s">
        <v>11617</v>
      </c>
      <c r="E9275" s="22" t="s">
        <v>52</v>
      </c>
      <c r="F9275" s="23" t="str">
        <f>HYPERLINK("https://www.spark-marketing.ru/Card/Lot/70004520", "Оказание охранных услуг")</f>
        <v>Оказание охранных услуг</v>
      </c>
      <c r="G9275" s="22" t="s">
        <v>818</v>
      </c>
      <c r="H9275" s="22" t="s">
        <v>819</v>
      </c>
      <c r="I9275" s="26">
        <v>43578.363888888904</v>
      </c>
      <c r="J9275" s="23" t="str">
        <f>HYPERLINK("https://www.spark-marketing.ru/Card/Person/5505915", "ООО ЧОО ""ЗАЩИТА ПЛЮС""")</f>
        <v>ООО ЧОО "ЗАЩИТА ПЛЮС"</v>
      </c>
      <c r="K9275" s="24" t="s">
        <v>11609</v>
      </c>
      <c r="L9275" s="22" t="s">
        <v>10</v>
      </c>
      <c r="M9275" s="25">
        <v>99400</v>
      </c>
      <c r="N9275" s="27">
        <v>1.0050251256281408E-3</v>
      </c>
    </row>
    <row r="9276" spans="1:14" x14ac:dyDescent="0.15">
      <c r="A9276" s="23" t="str">
        <f>HYPERLINK("https://www.spark-marketing.ru/Card/Person/52586", "ИФНС РОССИИ ПО СВЕРДЛОВСКОМУ ОКРУГУ Г. ИРКУТСКА")</f>
        <v>ИФНС РОССИИ ПО СВЕРДЛОВСКОМУ ОКРУГУ Г. ИРКУТСКА</v>
      </c>
      <c r="B9276" s="24" t="s">
        <v>11618</v>
      </c>
      <c r="C9276" s="25">
        <v>20606.400000000001</v>
      </c>
      <c r="D9276" s="22" t="s">
        <v>11619</v>
      </c>
      <c r="E9276" s="22" t="s">
        <v>53</v>
      </c>
      <c r="F9276" s="23" t="str">
        <f>HYPERLINK("https://www.spark-marketing.ru/Card/Lot/70769664", "Охрана объектов путем применения систем централизованного наблюдения")</f>
        <v>Охрана объектов путем применения систем централизованного наблюдения</v>
      </c>
      <c r="G9276" s="22" t="s">
        <v>281</v>
      </c>
      <c r="H9276" s="22" t="s">
        <v>2008</v>
      </c>
      <c r="I9276" s="26">
        <v>43578.302013888897</v>
      </c>
      <c r="J9276" s="28" t="s">
        <v>52</v>
      </c>
      <c r="K9276" s="28" t="s">
        <v>52</v>
      </c>
      <c r="L9276" s="28" t="s">
        <v>52</v>
      </c>
      <c r="M9276" s="28" t="s">
        <v>52</v>
      </c>
      <c r="N9276" s="28" t="s">
        <v>52</v>
      </c>
    </row>
    <row r="9277" spans="1:14" x14ac:dyDescent="0.15">
      <c r="A9277" s="23" t="str">
        <f>HYPERLINK("https://www.spark-marketing.ru/Card/Person/52586", "ИФНС РОССИИ ПО СВЕРДЛОВСКОМУ ОКРУГУ Г. ИРКУТСКА")</f>
        <v>ИФНС РОССИИ ПО СВЕРДЛОВСКОМУ ОКРУГУ Г. ИРКУТСКА</v>
      </c>
      <c r="B9277" s="24" t="s">
        <v>11618</v>
      </c>
      <c r="C9277" s="25">
        <v>11756.88</v>
      </c>
      <c r="D9277" s="22" t="s">
        <v>11620</v>
      </c>
      <c r="E9277" s="22" t="s">
        <v>53</v>
      </c>
      <c r="F9277" s="23" t="str">
        <f>HYPERLINK("https://www.spark-marketing.ru/Card/Lot/70769761", "Техническое обслуживание средств охраны")</f>
        <v>Техническое обслуживание средств охраны</v>
      </c>
      <c r="G9277" s="22" t="s">
        <v>281</v>
      </c>
      <c r="H9277" s="22" t="s">
        <v>2008</v>
      </c>
      <c r="I9277" s="26">
        <v>43578.312175925901</v>
      </c>
      <c r="J9277" s="28" t="s">
        <v>52</v>
      </c>
      <c r="K9277" s="28" t="s">
        <v>52</v>
      </c>
      <c r="L9277" s="28" t="s">
        <v>52</v>
      </c>
      <c r="M9277" s="28" t="s">
        <v>52</v>
      </c>
      <c r="N9277" s="28" t="s">
        <v>52</v>
      </c>
    </row>
    <row r="9278" spans="1:14" ht="12.75" x14ac:dyDescent="0.2">
      <c r="A9278" s="23" t="str">
        <f>HYPERLINK("https://www.spark-marketing.ru/Card/Person/4414435", "ООО ""ЭНЕРГОПРОМ ГРУПП""")</f>
        <v>ООО "ЭНЕРГОПРОМ ГРУПП"</v>
      </c>
      <c r="B9278" s="24" t="s">
        <v>11621</v>
      </c>
      <c r="C9278" s="25">
        <v>432099</v>
      </c>
      <c r="D9278" s="22" t="s">
        <v>11622</v>
      </c>
      <c r="E9278" s="22" t="s">
        <v>49</v>
      </c>
      <c r="F9278" s="23" t="str">
        <f>HYPERLINK("https://www.spark-marketing.ru/Card/Lot/70001952", "Выполнение работ по установке системы контроля (видеонаблюдения) для нужд Филиала «Волгоградский» ООО «Энергопром ГРУПП»")</f>
        <v>Выполнение работ по установке системы контроля (видеонаблюдения) для нужд Филиала «Волгоградский» ООО «Энергопром ГРУПП»</v>
      </c>
      <c r="G9278" s="22" t="s">
        <v>343</v>
      </c>
      <c r="H9278" s="22" t="s">
        <v>343</v>
      </c>
      <c r="I9278" s="26">
        <v>43578.321319444403</v>
      </c>
      <c r="J9278" s="23" t="str">
        <f>HYPERLINK("https://www.spark-marketing.ru/Card/Person/568594", "ООО ""СЭСК""")</f>
        <v>ООО "СЭСК"</v>
      </c>
      <c r="K9278" s="24" t="s">
        <v>11623</v>
      </c>
      <c r="L9278" s="22" t="s">
        <v>10</v>
      </c>
      <c r="M9278" s="25">
        <v>345872.64000000001</v>
      </c>
      <c r="N9278" s="27">
        <v>0.19955232481445223</v>
      </c>
    </row>
    <row r="9279" spans="1:14" x14ac:dyDescent="0.15">
      <c r="A9279" s="23" t="str">
        <f>HYPERLINK("https://www.spark-marketing.ru/Card/Person/21855", "ФКУ УПРДОР ""ЮЖНЫЙ БАЙКАЛ""")</f>
        <v>ФКУ УПРДОР "ЮЖНЫЙ БАЙКАЛ"</v>
      </c>
      <c r="B9279" s="24" t="s">
        <v>358</v>
      </c>
      <c r="C9279" s="25">
        <v>20000</v>
      </c>
      <c r="D9279" s="22" t="s">
        <v>11624</v>
      </c>
      <c r="E9279" s="22" t="s">
        <v>53</v>
      </c>
      <c r="F9279" s="23" t="str">
        <f>HYPERLINK("https://www.spark-marketing.ru/Card/Lot/70770492", "Организация и проведение семинара")</f>
        <v>Организация и проведение семинара</v>
      </c>
      <c r="G9279" s="22" t="s">
        <v>354</v>
      </c>
      <c r="H9279" s="22" t="s">
        <v>355</v>
      </c>
      <c r="I9279" s="26">
        <v>43578.243622685201</v>
      </c>
      <c r="J9279" s="28" t="s">
        <v>52</v>
      </c>
      <c r="K9279" s="28" t="s">
        <v>52</v>
      </c>
      <c r="L9279" s="28" t="s">
        <v>52</v>
      </c>
      <c r="M9279" s="28" t="s">
        <v>52</v>
      </c>
      <c r="N9279" s="28" t="s">
        <v>52</v>
      </c>
    </row>
    <row r="9280" spans="1:14" x14ac:dyDescent="0.15">
      <c r="A9280" s="23" t="str">
        <f>HYPERLINK("https://www.spark-marketing.ru/Card/Person/38622", "АО ""СХК""")</f>
        <v>АО "СХК"</v>
      </c>
      <c r="B9280" s="24" t="s">
        <v>159</v>
      </c>
      <c r="C9280" s="25">
        <v>3119554.5</v>
      </c>
      <c r="D9280" s="22" t="s">
        <v>11625</v>
      </c>
      <c r="E9280" s="22" t="s">
        <v>53</v>
      </c>
      <c r="F9280" s="23" t="str">
        <f>HYPERLINK("https://www.spark-marketing.ru/Card/Lot/70005058", "Право заключения договора на 907-O070-19/331 Охрана объекта")</f>
        <v>Право заключения договора на 907-O070-19/331 Охрана объекта</v>
      </c>
      <c r="G9280" s="22" t="s">
        <v>150</v>
      </c>
      <c r="H9280" s="22" t="s">
        <v>161</v>
      </c>
      <c r="I9280" s="26">
        <v>43578</v>
      </c>
      <c r="J9280" s="28" t="s">
        <v>52</v>
      </c>
      <c r="K9280" s="28" t="s">
        <v>52</v>
      </c>
      <c r="L9280" s="28" t="s">
        <v>52</v>
      </c>
      <c r="M9280" s="28" t="s">
        <v>52</v>
      </c>
      <c r="N9280" s="28" t="s">
        <v>52</v>
      </c>
    </row>
    <row r="9281" spans="1:14" x14ac:dyDescent="0.15">
      <c r="A9281" s="23" t="str">
        <f>HYPERLINK("https://www.spark-marketing.ru/Card/Person/6450322", "ЗАКАЗЧИК РП БЕЛАРУСЬ")</f>
        <v>ЗАКАЗЧИК РП БЕЛАРУСЬ</v>
      </c>
      <c r="B9281" s="28" t="s">
        <v>52</v>
      </c>
      <c r="C9281" s="25">
        <v>1832754</v>
      </c>
      <c r="D9281" s="22" t="s">
        <v>11626</v>
      </c>
      <c r="E9281" s="22" t="s">
        <v>53</v>
      </c>
      <c r="F9281" s="23" t="str">
        <f>HYPERLINK("https://www.spark-marketing.ru/Card/Lot/70020423", "Крано-манипуляторная установка с установкой ее на базовое шасси. 1.1.Технические характеристики КМУ: Максимальный грузовой момент - не менее 7,4 mt. Угол поворота - не менее 4000. Максимальная длина стрелы - не менее 7,5 м. Грузоподъемность на вылете...")</f>
        <v>Крано-манипуляторная установка с установкой ее на базовое шасси. 1.1.Технические характеристики КМУ: Максимальный грузовой момент - не менее 7,4 mt. Угол поворота - не менее 4000. Максимальная длина стрелы - не менее 7,5 м. Грузоподъемность на вылете...</v>
      </c>
      <c r="G9281" s="22" t="s">
        <v>52</v>
      </c>
      <c r="H9281" s="22" t="s">
        <v>52</v>
      </c>
      <c r="I9281" s="26">
        <v>43578</v>
      </c>
      <c r="J9281" s="28" t="s">
        <v>52</v>
      </c>
      <c r="K9281" s="28" t="s">
        <v>52</v>
      </c>
      <c r="L9281" s="28" t="s">
        <v>52</v>
      </c>
      <c r="M9281" s="28" t="s">
        <v>52</v>
      </c>
      <c r="N9281" s="28" t="s">
        <v>52</v>
      </c>
    </row>
    <row r="9282" spans="1:14" x14ac:dyDescent="0.15">
      <c r="A9282" s="23" t="str">
        <f>HYPERLINK("https://www.spark-marketing.ru/Card/Person/82497", "МБДОУ ""ДЕТСКИЙ САД №20""")</f>
        <v>МБДОУ "ДЕТСКИЙ САД №20"</v>
      </c>
      <c r="B9282" s="24" t="s">
        <v>11627</v>
      </c>
      <c r="C9282" s="25">
        <v>41389.519999999997</v>
      </c>
      <c r="D9282" s="22" t="s">
        <v>11628</v>
      </c>
      <c r="E9282" s="22" t="s">
        <v>59</v>
      </c>
      <c r="F9282" s="23" t="str">
        <f>HYPERLINK("https://www.spark-marketing.ru/Card/Lot/69992411", "Выполнение работ по монтажу и пусковой наладке технических средств охранной и тревожной сигнализации")</f>
        <v>Выполнение работ по монтажу и пусковой наладке технических средств охранной и тревожной сигнализации</v>
      </c>
      <c r="G9282" s="22" t="s">
        <v>50</v>
      </c>
      <c r="H9282" s="22" t="s">
        <v>432</v>
      </c>
      <c r="I9282" s="26">
        <v>43577.794456018499</v>
      </c>
      <c r="J9282" s="28" t="s">
        <v>52</v>
      </c>
      <c r="K9282" s="28" t="s">
        <v>52</v>
      </c>
      <c r="L9282" s="28" t="s">
        <v>52</v>
      </c>
      <c r="M9282" s="28" t="s">
        <v>52</v>
      </c>
      <c r="N9282" s="28" t="s">
        <v>52</v>
      </c>
    </row>
    <row r="9283" spans="1:14" x14ac:dyDescent="0.15">
      <c r="A9283" s="23" t="str">
        <f>HYPERLINK("https://www.spark-marketing.ru/Card/Person/7271", "ФГБОУ ВО БГМУ МИНЗДРАВА РОССИИ")</f>
        <v>ФГБОУ ВО БГМУ МИНЗДРАВА РОССИИ</v>
      </c>
      <c r="B9283" s="24" t="s">
        <v>11629</v>
      </c>
      <c r="C9283" s="25">
        <v>8523700</v>
      </c>
      <c r="D9283" s="22" t="s">
        <v>11630</v>
      </c>
      <c r="E9283" s="22" t="s">
        <v>52</v>
      </c>
      <c r="F9283" s="23" t="str">
        <f>HYPERLINK("https://www.spark-marketing.ru/Card/Lot/69987934", "Поставка, установка и ввод в эксплуатацию системы видеовоспроизведения, видеокоммутации и видеоконференцсвязи в лекционный зал ФГБОУ ВО БГМУ Минздрава России")</f>
        <v>Поставка, установка и ввод в эксплуатацию системы видеовоспроизведения, видеокоммутации и видеоконференцсвязи в лекционный зал ФГБОУ ВО БГМУ Минздрава России</v>
      </c>
      <c r="G9283" s="22" t="s">
        <v>100</v>
      </c>
      <c r="H9283" s="22" t="s">
        <v>373</v>
      </c>
      <c r="I9283" s="26">
        <v>43577.758333333302</v>
      </c>
      <c r="J9283" s="28" t="s">
        <v>52</v>
      </c>
      <c r="K9283" s="28" t="s">
        <v>52</v>
      </c>
      <c r="L9283" s="28" t="s">
        <v>52</v>
      </c>
      <c r="M9283" s="28" t="s">
        <v>52</v>
      </c>
      <c r="N9283" s="28" t="s">
        <v>52</v>
      </c>
    </row>
    <row r="9284" spans="1:14" hidden="1" outlineLevel="1" x14ac:dyDescent="0.2">
      <c r="A9284" s="23" t="str">
        <f>HYPERLINK("https://www.spark-marketing.ru/Card/Person/7271", "ФГБОУ ВО БГМУ МИНЗДРАВА РОССИИ")</f>
        <v>ФГБОУ ВО БГМУ МИНЗДРАВА РОССИИ</v>
      </c>
      <c r="B9284" s="24" t="s">
        <v>11629</v>
      </c>
      <c r="C9284" s="25">
        <v>8523700</v>
      </c>
      <c r="D9284" s="22" t="s">
        <v>11630</v>
      </c>
      <c r="E9284" s="22" t="s">
        <v>52</v>
      </c>
      <c r="F9284" s="23" t="str">
        <f>HYPERLINK("https://www.spark-marketing.ru/Card/Lot/69987934", "Поставка, установка и ввод в эксплуатацию системы видеовоспроизведения, видеокоммутации и видеоконференцсвязи в лекционный зал ФГБОУ ВО БГМУ Минздрава России")</f>
        <v>Поставка, установка и ввод в эксплуатацию системы видеовоспроизведения, видеокоммутации и видеоконференцсвязи в лекционный зал ФГБОУ ВО БГМУ Минздрава России</v>
      </c>
      <c r="G9284" s="22" t="s">
        <v>100</v>
      </c>
      <c r="H9284" s="22" t="s">
        <v>373</v>
      </c>
      <c r="I9284" s="26">
        <v>43577.758333333302</v>
      </c>
      <c r="J9284" s="23" t="str">
        <f>HYPERLINK("https://www.spark-marketing.ru/Card/Person/6225162", "ООО ""УЧЕБНЫЙ МИР""")</f>
        <v>ООО "УЧЕБНЫЙ МИР"</v>
      </c>
      <c r="K9284" s="24" t="s">
        <v>11631</v>
      </c>
      <c r="L9284" s="28" t="s">
        <v>52</v>
      </c>
      <c r="M9284" s="25">
        <v>8310607.5</v>
      </c>
      <c r="N9284" s="27">
        <v>2.5000000000000001E-2</v>
      </c>
    </row>
    <row r="9285" spans="1:14" hidden="1" outlineLevel="1" x14ac:dyDescent="0.2">
      <c r="A9285" s="23" t="str">
        <f>HYPERLINK("https://www.spark-marketing.ru/Card/Person/7271", "ФГБОУ ВО БГМУ МИНЗДРАВА РОССИИ")</f>
        <v>ФГБОУ ВО БГМУ МИНЗДРАВА РОССИИ</v>
      </c>
      <c r="B9285" s="24" t="s">
        <v>11629</v>
      </c>
      <c r="C9285" s="25">
        <v>8523700</v>
      </c>
      <c r="D9285" s="22" t="s">
        <v>11630</v>
      </c>
      <c r="E9285" s="22" t="s">
        <v>52</v>
      </c>
      <c r="F9285" s="23" t="str">
        <f>HYPERLINK("https://www.spark-marketing.ru/Card/Lot/69987934", "Поставка, установка и ввод в эксплуатацию системы видеовоспроизведения, видеокоммутации и видеоконференцсвязи в лекционный зал ФГБОУ ВО БГМУ Минздрава России")</f>
        <v>Поставка, установка и ввод в эксплуатацию системы видеовоспроизведения, видеокоммутации и видеоконференцсвязи в лекционный зал ФГБОУ ВО БГМУ Минздрава России</v>
      </c>
      <c r="G9285" s="22" t="s">
        <v>100</v>
      </c>
      <c r="H9285" s="22" t="s">
        <v>373</v>
      </c>
      <c r="I9285" s="26">
        <v>43577.758333333302</v>
      </c>
      <c r="J9285" s="23" t="str">
        <f>HYPERLINK("https://www.spark-marketing.ru/Card/Person/403965", "ООО ""СКАЙ АЙ ТИ""")</f>
        <v>ООО "СКАЙ АЙ ТИ"</v>
      </c>
      <c r="K9285" s="24" t="s">
        <v>11632</v>
      </c>
      <c r="L9285" s="28" t="s">
        <v>52</v>
      </c>
      <c r="M9285" s="25">
        <v>8353226</v>
      </c>
      <c r="N9285" s="27">
        <v>0.02</v>
      </c>
    </row>
    <row r="9286" spans="1:14" ht="12.75" hidden="1" outlineLevel="1" x14ac:dyDescent="0.2">
      <c r="A9286" s="23" t="str">
        <f>HYPERLINK("https://www.spark-marketing.ru/Card/Person/7271", "ФГБОУ ВО БГМУ МИНЗДРАВА РОССИИ")</f>
        <v>ФГБОУ ВО БГМУ МИНЗДРАВА РОССИИ</v>
      </c>
      <c r="B9286" s="24" t="s">
        <v>11629</v>
      </c>
      <c r="C9286" s="25">
        <v>8523700</v>
      </c>
      <c r="D9286" s="22" t="s">
        <v>11630</v>
      </c>
      <c r="E9286" s="22" t="s">
        <v>52</v>
      </c>
      <c r="F9286" s="23" t="str">
        <f>HYPERLINK("https://www.spark-marketing.ru/Card/Lot/69987934", "Поставка, установка и ввод в эксплуатацию системы видеовоспроизведения, видеокоммутации и видеоконференцсвязи в лекционный зал ФГБОУ ВО БГМУ Минздрава России")</f>
        <v>Поставка, установка и ввод в эксплуатацию системы видеовоспроизведения, видеокоммутации и видеоконференцсвязи в лекционный зал ФГБОУ ВО БГМУ Минздрава России</v>
      </c>
      <c r="G9286" s="22" t="s">
        <v>100</v>
      </c>
      <c r="H9286" s="22" t="s">
        <v>373</v>
      </c>
      <c r="I9286" s="26">
        <v>43577.758333333302</v>
      </c>
      <c r="J9286" s="23" t="str">
        <f>HYPERLINK("https://www.spark-marketing.ru/Card/Person/4332003", "ООО ""КОМПАНИЯ БАЗИС""")</f>
        <v>ООО "КОМПАНИЯ БАЗИС"</v>
      </c>
      <c r="K9286" s="24" t="s">
        <v>11633</v>
      </c>
      <c r="L9286" s="22" t="s">
        <v>10</v>
      </c>
      <c r="M9286" s="25">
        <v>8310607.5</v>
      </c>
      <c r="N9286" s="27">
        <v>2.5000000000000001E-2</v>
      </c>
    </row>
    <row r="9287" spans="1:14" x14ac:dyDescent="0.15">
      <c r="A9287" s="23" t="str">
        <f t="shared" ref="A9287:A9311" si="415">HYPERLINK("https://www.spark-marketing.ru/Card/Person/64353", "ГБУЗ ""ПТД № 6"" МЗ КК")</f>
        <v>ГБУЗ "ПТД № 6" МЗ КК</v>
      </c>
      <c r="B9287" s="24" t="s">
        <v>11634</v>
      </c>
      <c r="C9287" s="25">
        <v>451656</v>
      </c>
      <c r="D9287" s="22" t="s">
        <v>11635</v>
      </c>
      <c r="E9287" s="22" t="s">
        <v>68</v>
      </c>
      <c r="F9287" s="23" t="str">
        <f t="shared" ref="F9287:F9294" si="416">HYPERLINK("https://www.spark-marketing.ru/Card/Lot/69991569", "Оказание услуг по охране объектов и территорий (Усть-Лабинский филиал)")</f>
        <v>Оказание услуг по охране объектов и территорий (Усть-Лабинский филиал)</v>
      </c>
      <c r="G9287" s="22" t="s">
        <v>132</v>
      </c>
      <c r="H9287" s="22" t="s">
        <v>3810</v>
      </c>
      <c r="I9287" s="26">
        <v>43577.750694444403</v>
      </c>
      <c r="J9287" s="28" t="s">
        <v>52</v>
      </c>
      <c r="K9287" s="28" t="s">
        <v>52</v>
      </c>
      <c r="L9287" s="28" t="s">
        <v>52</v>
      </c>
      <c r="M9287" s="28" t="s">
        <v>52</v>
      </c>
      <c r="N9287" s="28" t="s">
        <v>52</v>
      </c>
    </row>
    <row r="9288" spans="1:14" hidden="1" outlineLevel="1" x14ac:dyDescent="0.2">
      <c r="A9288" s="23" t="str">
        <f t="shared" si="415"/>
        <v>ГБУЗ "ПТД № 6" МЗ КК</v>
      </c>
      <c r="B9288" s="24" t="s">
        <v>11634</v>
      </c>
      <c r="C9288" s="25">
        <v>451656</v>
      </c>
      <c r="D9288" s="22" t="s">
        <v>11635</v>
      </c>
      <c r="E9288" s="22" t="s">
        <v>68</v>
      </c>
      <c r="F9288" s="23" t="str">
        <f t="shared" si="416"/>
        <v>Оказание услуг по охране объектов и территорий (Усть-Лабинский филиал)</v>
      </c>
      <c r="G9288" s="22" t="s">
        <v>132</v>
      </c>
      <c r="H9288" s="22" t="s">
        <v>3810</v>
      </c>
      <c r="I9288" s="26">
        <v>43577.750694444403</v>
      </c>
      <c r="J9288" s="23" t="str">
        <f>HYPERLINK("https://www.spark-marketing.ru/Card/Person/123157", "ООО ОП ""ВЫМПЕЛ""")</f>
        <v>ООО ОП "ВЫМПЕЛ"</v>
      </c>
      <c r="K9288" s="24" t="s">
        <v>11636</v>
      </c>
      <c r="L9288" s="28" t="s">
        <v>52</v>
      </c>
      <c r="M9288" s="25">
        <v>313900.92</v>
      </c>
      <c r="N9288" s="27">
        <v>0.30499999999999999</v>
      </c>
    </row>
    <row r="9289" spans="1:14" hidden="1" outlineLevel="1" x14ac:dyDescent="0.2">
      <c r="A9289" s="23" t="str">
        <f t="shared" si="415"/>
        <v>ГБУЗ "ПТД № 6" МЗ КК</v>
      </c>
      <c r="B9289" s="24" t="s">
        <v>11634</v>
      </c>
      <c r="C9289" s="25">
        <v>451656</v>
      </c>
      <c r="D9289" s="22" t="s">
        <v>11635</v>
      </c>
      <c r="E9289" s="22" t="s">
        <v>68</v>
      </c>
      <c r="F9289" s="23" t="str">
        <f t="shared" si="416"/>
        <v>Оказание услуг по охране объектов и территорий (Усть-Лабинский филиал)</v>
      </c>
      <c r="G9289" s="22" t="s">
        <v>132</v>
      </c>
      <c r="H9289" s="22" t="s">
        <v>3810</v>
      </c>
      <c r="I9289" s="26">
        <v>43577.750694444403</v>
      </c>
      <c r="J9289" s="23" t="str">
        <f>HYPERLINK("https://www.spark-marketing.ru/Card/Person/1829429", "ООО ЧОО ""ВЕРТИКАЛЬ""")</f>
        <v>ООО ЧОО "ВЕРТИКАЛЬ"</v>
      </c>
      <c r="K9289" s="24" t="s">
        <v>11003</v>
      </c>
      <c r="L9289" s="28" t="s">
        <v>52</v>
      </c>
      <c r="M9289" s="25">
        <v>205503.48</v>
      </c>
      <c r="N9289" s="27">
        <v>0.54500000000000004</v>
      </c>
    </row>
    <row r="9290" spans="1:14" hidden="1" outlineLevel="1" x14ac:dyDescent="0.2">
      <c r="A9290" s="23" t="str">
        <f t="shared" si="415"/>
        <v>ГБУЗ "ПТД № 6" МЗ КК</v>
      </c>
      <c r="B9290" s="24" t="s">
        <v>11634</v>
      </c>
      <c r="C9290" s="25">
        <v>451656</v>
      </c>
      <c r="D9290" s="22" t="s">
        <v>11635</v>
      </c>
      <c r="E9290" s="22" t="s">
        <v>68</v>
      </c>
      <c r="F9290" s="23" t="str">
        <f t="shared" si="416"/>
        <v>Оказание услуг по охране объектов и территорий (Усть-Лабинский филиал)</v>
      </c>
      <c r="G9290" s="22" t="s">
        <v>132</v>
      </c>
      <c r="H9290" s="22" t="s">
        <v>3810</v>
      </c>
      <c r="I9290" s="26">
        <v>43577.750694444403</v>
      </c>
      <c r="J9290" s="23" t="str">
        <f>HYPERLINK("https://www.spark-marketing.ru/Card/Person/133649", "ООО ЧОО ""ОХРАННОЕ ОБЪЕДИНЕНИЕ МИР""")</f>
        <v>ООО ЧОО "ОХРАННОЕ ОБЪЕДИНЕНИЕ МИР"</v>
      </c>
      <c r="K9290" s="24" t="s">
        <v>2934</v>
      </c>
      <c r="L9290" s="28" t="s">
        <v>52</v>
      </c>
      <c r="M9290" s="25">
        <v>259995</v>
      </c>
      <c r="N9290" s="27">
        <v>0.42435171900738616</v>
      </c>
    </row>
    <row r="9291" spans="1:14" ht="12.75" hidden="1" outlineLevel="1" x14ac:dyDescent="0.2">
      <c r="A9291" s="23" t="str">
        <f t="shared" si="415"/>
        <v>ГБУЗ "ПТД № 6" МЗ КК</v>
      </c>
      <c r="B9291" s="24" t="s">
        <v>11634</v>
      </c>
      <c r="C9291" s="25">
        <v>451656</v>
      </c>
      <c r="D9291" s="22" t="s">
        <v>11635</v>
      </c>
      <c r="E9291" s="22" t="s">
        <v>68</v>
      </c>
      <c r="F9291" s="23" t="str">
        <f t="shared" si="416"/>
        <v>Оказание услуг по охране объектов и территорий (Усть-Лабинский филиал)</v>
      </c>
      <c r="G9291" s="22" t="s">
        <v>132</v>
      </c>
      <c r="H9291" s="22" t="s">
        <v>3810</v>
      </c>
      <c r="I9291" s="26">
        <v>43577.750694444403</v>
      </c>
      <c r="J9291" s="23" t="str">
        <f>HYPERLINK("https://www.spark-marketing.ru/Card/Person/876095", "ООО ЧОО ""ПАРИТЕТ""")</f>
        <v>ООО ЧОО "ПАРИТЕТ"</v>
      </c>
      <c r="K9291" s="24" t="s">
        <v>11637</v>
      </c>
      <c r="L9291" s="22" t="s">
        <v>10</v>
      </c>
      <c r="M9291" s="25">
        <v>194212.08</v>
      </c>
      <c r="N9291" s="27">
        <v>0.56999999999999995</v>
      </c>
    </row>
    <row r="9292" spans="1:14" hidden="1" outlineLevel="1" x14ac:dyDescent="0.2">
      <c r="A9292" s="23" t="str">
        <f t="shared" si="415"/>
        <v>ГБУЗ "ПТД № 6" МЗ КК</v>
      </c>
      <c r="B9292" s="24" t="s">
        <v>11634</v>
      </c>
      <c r="C9292" s="25">
        <v>451656</v>
      </c>
      <c r="D9292" s="22" t="s">
        <v>11635</v>
      </c>
      <c r="E9292" s="22" t="s">
        <v>68</v>
      </c>
      <c r="F9292" s="23" t="str">
        <f t="shared" si="416"/>
        <v>Оказание услуг по охране объектов и территорий (Усть-Лабинский филиал)</v>
      </c>
      <c r="G9292" s="22" t="s">
        <v>132</v>
      </c>
      <c r="H9292" s="22" t="s">
        <v>3810</v>
      </c>
      <c r="I9292" s="26">
        <v>43577.750694444403</v>
      </c>
      <c r="J9292" s="23" t="str">
        <f>HYPERLINK("https://www.spark-marketing.ru/Card/Person/461520", "ООО ""ЧОО""ЕВРОМОСТ-У""")</f>
        <v>ООО "ЧОО"ЕВРОМОСТ-У"</v>
      </c>
      <c r="K9292" s="24" t="s">
        <v>3813</v>
      </c>
      <c r="L9292" s="28" t="s">
        <v>52</v>
      </c>
      <c r="M9292" s="25">
        <v>264200</v>
      </c>
      <c r="N9292" s="27">
        <v>0.41504153603627542</v>
      </c>
    </row>
    <row r="9293" spans="1:14" hidden="1" outlineLevel="1" x14ac:dyDescent="0.2">
      <c r="A9293" s="23" t="str">
        <f t="shared" si="415"/>
        <v>ГБУЗ "ПТД № 6" МЗ КК</v>
      </c>
      <c r="B9293" s="24" t="s">
        <v>11634</v>
      </c>
      <c r="C9293" s="25">
        <v>451656</v>
      </c>
      <c r="D9293" s="22" t="s">
        <v>11635</v>
      </c>
      <c r="E9293" s="22" t="s">
        <v>68</v>
      </c>
      <c r="F9293" s="23" t="str">
        <f t="shared" si="416"/>
        <v>Оказание услуг по охране объектов и территорий (Усть-Лабинский филиал)</v>
      </c>
      <c r="G9293" s="22" t="s">
        <v>132</v>
      </c>
      <c r="H9293" s="22" t="s">
        <v>3810</v>
      </c>
      <c r="I9293" s="26">
        <v>43577.750694444403</v>
      </c>
      <c r="J9293" s="23" t="str">
        <f>HYPERLINK("https://www.spark-marketing.ru/Card/Person/448039", "ООО ""ЧОП ""ПАНТЕРА ЮГ""")</f>
        <v>ООО "ЧОП "ПАНТЕРА ЮГ"</v>
      </c>
      <c r="K9293" s="24" t="s">
        <v>3815</v>
      </c>
      <c r="L9293" s="28" t="s">
        <v>52</v>
      </c>
      <c r="M9293" s="25">
        <v>390000</v>
      </c>
      <c r="N9293" s="27">
        <v>0.13651097295286679</v>
      </c>
    </row>
    <row r="9294" spans="1:14" hidden="1" outlineLevel="1" x14ac:dyDescent="0.2">
      <c r="A9294" s="23" t="str">
        <f t="shared" si="415"/>
        <v>ГБУЗ "ПТД № 6" МЗ КК</v>
      </c>
      <c r="B9294" s="24" t="s">
        <v>11634</v>
      </c>
      <c r="C9294" s="25">
        <v>451656</v>
      </c>
      <c r="D9294" s="22" t="s">
        <v>11635</v>
      </c>
      <c r="E9294" s="22" t="s">
        <v>68</v>
      </c>
      <c r="F9294" s="23" t="str">
        <f t="shared" si="416"/>
        <v>Оказание услуг по охране объектов и территорий (Усть-Лабинский филиал)</v>
      </c>
      <c r="G9294" s="22" t="s">
        <v>132</v>
      </c>
      <c r="H9294" s="22" t="s">
        <v>3810</v>
      </c>
      <c r="I9294" s="26">
        <v>43577.750694444403</v>
      </c>
      <c r="J9294" s="23" t="str">
        <f>HYPERLINK("https://www.spark-marketing.ru/Card/Person/152942", "ООО ""ОП ""ЛИДЕР ЮГ""")</f>
        <v>ООО "ОП "ЛИДЕР ЮГ"</v>
      </c>
      <c r="K9294" s="24" t="s">
        <v>11638</v>
      </c>
      <c r="L9294" s="28" t="s">
        <v>52</v>
      </c>
      <c r="M9294" s="25">
        <v>196470.36</v>
      </c>
      <c r="N9294" s="27">
        <v>0.56499999999999995</v>
      </c>
    </row>
    <row r="9295" spans="1:14" x14ac:dyDescent="0.15">
      <c r="A9295" s="23" t="str">
        <f t="shared" si="415"/>
        <v>ГБУЗ "ПТД № 6" МЗ КК</v>
      </c>
      <c r="B9295" s="24" t="s">
        <v>11634</v>
      </c>
      <c r="C9295" s="25">
        <v>451656</v>
      </c>
      <c r="D9295" s="22" t="s">
        <v>11639</v>
      </c>
      <c r="E9295" s="22" t="s">
        <v>68</v>
      </c>
      <c r="F9295" s="23" t="str">
        <f t="shared" ref="F9295:F9303" si="417">HYPERLINK("https://www.spark-marketing.ru/Card/Lot/69991571", "Оказание услуг по охране объектов и территорий")</f>
        <v>Оказание услуг по охране объектов и территорий</v>
      </c>
      <c r="G9295" s="22" t="s">
        <v>132</v>
      </c>
      <c r="H9295" s="22" t="s">
        <v>133</v>
      </c>
      <c r="I9295" s="26">
        <v>43577.750694444403</v>
      </c>
      <c r="J9295" s="28" t="s">
        <v>52</v>
      </c>
      <c r="K9295" s="28" t="s">
        <v>52</v>
      </c>
      <c r="L9295" s="28" t="s">
        <v>52</v>
      </c>
      <c r="M9295" s="28" t="s">
        <v>52</v>
      </c>
      <c r="N9295" s="28" t="s">
        <v>52</v>
      </c>
    </row>
    <row r="9296" spans="1:14" hidden="1" outlineLevel="1" x14ac:dyDescent="0.2">
      <c r="A9296" s="23" t="str">
        <f t="shared" si="415"/>
        <v>ГБУЗ "ПТД № 6" МЗ КК</v>
      </c>
      <c r="B9296" s="24" t="s">
        <v>11634</v>
      </c>
      <c r="C9296" s="25">
        <v>451656</v>
      </c>
      <c r="D9296" s="22" t="s">
        <v>11639</v>
      </c>
      <c r="E9296" s="22" t="s">
        <v>68</v>
      </c>
      <c r="F9296" s="23" t="str">
        <f t="shared" si="417"/>
        <v>Оказание услуг по охране объектов и территорий</v>
      </c>
      <c r="G9296" s="22" t="s">
        <v>132</v>
      </c>
      <c r="H9296" s="22" t="s">
        <v>133</v>
      </c>
      <c r="I9296" s="26">
        <v>43577.750694444403</v>
      </c>
      <c r="J9296" s="23" t="str">
        <f>HYPERLINK("https://www.spark-marketing.ru/Card/Person/245476", "ООО ЧОО ""МЕРКУРИЙ""")</f>
        <v>ООО ЧОО "МЕРКУРИЙ"</v>
      </c>
      <c r="K9296" s="24" t="s">
        <v>9165</v>
      </c>
      <c r="L9296" s="28" t="s">
        <v>52</v>
      </c>
      <c r="M9296" s="25">
        <v>222861.5</v>
      </c>
      <c r="N9296" s="27">
        <v>0.506568051791629</v>
      </c>
    </row>
    <row r="9297" spans="1:14" hidden="1" outlineLevel="1" x14ac:dyDescent="0.2">
      <c r="A9297" s="23" t="str">
        <f t="shared" si="415"/>
        <v>ГБУЗ "ПТД № 6" МЗ КК</v>
      </c>
      <c r="B9297" s="24" t="s">
        <v>11634</v>
      </c>
      <c r="C9297" s="25">
        <v>451656</v>
      </c>
      <c r="D9297" s="22" t="s">
        <v>11639</v>
      </c>
      <c r="E9297" s="22" t="s">
        <v>68</v>
      </c>
      <c r="F9297" s="23" t="str">
        <f t="shared" si="417"/>
        <v>Оказание услуг по охране объектов и территорий</v>
      </c>
      <c r="G9297" s="22" t="s">
        <v>132</v>
      </c>
      <c r="H9297" s="22" t="s">
        <v>133</v>
      </c>
      <c r="I9297" s="26">
        <v>43577.750694444403</v>
      </c>
      <c r="J9297" s="23" t="str">
        <f>HYPERLINK("https://www.spark-marketing.ru/Card/Person/1829429", "ООО ЧОО ""ВЕРТИКАЛЬ""")</f>
        <v>ООО ЧОО "ВЕРТИКАЛЬ"</v>
      </c>
      <c r="K9297" s="24" t="s">
        <v>11003</v>
      </c>
      <c r="L9297" s="28" t="s">
        <v>52</v>
      </c>
      <c r="M9297" s="25">
        <v>204795.26</v>
      </c>
      <c r="N9297" s="27">
        <v>0.54656805179162904</v>
      </c>
    </row>
    <row r="9298" spans="1:14" hidden="1" outlineLevel="1" x14ac:dyDescent="0.2">
      <c r="A9298" s="23" t="str">
        <f t="shared" si="415"/>
        <v>ГБУЗ "ПТД № 6" МЗ КК</v>
      </c>
      <c r="B9298" s="24" t="s">
        <v>11634</v>
      </c>
      <c r="C9298" s="25">
        <v>451656</v>
      </c>
      <c r="D9298" s="22" t="s">
        <v>11639</v>
      </c>
      <c r="E9298" s="22" t="s">
        <v>68</v>
      </c>
      <c r="F9298" s="23" t="str">
        <f t="shared" si="417"/>
        <v>Оказание услуг по охране объектов и территорий</v>
      </c>
      <c r="G9298" s="22" t="s">
        <v>132</v>
      </c>
      <c r="H9298" s="22" t="s">
        <v>133</v>
      </c>
      <c r="I9298" s="26">
        <v>43577.750694444403</v>
      </c>
      <c r="J9298" s="23" t="str">
        <f>HYPERLINK("https://www.spark-marketing.ru/Card/Person/876095", "ООО ЧОО ""ПАРИТЕТ""")</f>
        <v>ООО ЧОО "ПАРИТЕТ"</v>
      </c>
      <c r="K9298" s="24" t="s">
        <v>11637</v>
      </c>
      <c r="L9298" s="28" t="s">
        <v>52</v>
      </c>
      <c r="M9298" s="25">
        <v>216086.66</v>
      </c>
      <c r="N9298" s="27">
        <v>0.52156805179162902</v>
      </c>
    </row>
    <row r="9299" spans="1:14" hidden="1" outlineLevel="1" x14ac:dyDescent="0.2">
      <c r="A9299" s="23" t="str">
        <f t="shared" si="415"/>
        <v>ГБУЗ "ПТД № 6" МЗ КК</v>
      </c>
      <c r="B9299" s="24" t="s">
        <v>11634</v>
      </c>
      <c r="C9299" s="25">
        <v>451656</v>
      </c>
      <c r="D9299" s="22" t="s">
        <v>11639</v>
      </c>
      <c r="E9299" s="22" t="s">
        <v>68</v>
      </c>
      <c r="F9299" s="23" t="str">
        <f t="shared" si="417"/>
        <v>Оказание услуг по охране объектов и территорий</v>
      </c>
      <c r="G9299" s="22" t="s">
        <v>132</v>
      </c>
      <c r="H9299" s="22" t="s">
        <v>133</v>
      </c>
      <c r="I9299" s="26">
        <v>43577.750694444403</v>
      </c>
      <c r="J9299" s="23" t="str">
        <f>HYPERLINK("https://www.spark-marketing.ru/Card/Person/234089", "ООО ЧОО ""АБ ""АЛЬФА-СОКОЛ""")</f>
        <v>ООО ЧОО "АБ "АЛЬФА-СОКОЛ"</v>
      </c>
      <c r="K9299" s="24" t="s">
        <v>11640</v>
      </c>
      <c r="L9299" s="28" t="s">
        <v>52</v>
      </c>
      <c r="M9299" s="25">
        <v>250000</v>
      </c>
      <c r="N9299" s="27">
        <v>0.44648139291850436</v>
      </c>
    </row>
    <row r="9300" spans="1:14" hidden="1" outlineLevel="1" x14ac:dyDescent="0.2">
      <c r="A9300" s="23" t="str">
        <f t="shared" si="415"/>
        <v>ГБУЗ "ПТД № 6" МЗ КК</v>
      </c>
      <c r="B9300" s="24" t="s">
        <v>11634</v>
      </c>
      <c r="C9300" s="25">
        <v>451656</v>
      </c>
      <c r="D9300" s="22" t="s">
        <v>11639</v>
      </c>
      <c r="E9300" s="22" t="s">
        <v>68</v>
      </c>
      <c r="F9300" s="23" t="str">
        <f t="shared" si="417"/>
        <v>Оказание услуг по охране объектов и территорий</v>
      </c>
      <c r="G9300" s="22" t="s">
        <v>132</v>
      </c>
      <c r="H9300" s="22" t="s">
        <v>133</v>
      </c>
      <c r="I9300" s="26">
        <v>43577.750694444403</v>
      </c>
      <c r="J9300" s="23" t="str">
        <f>HYPERLINK("https://www.spark-marketing.ru/Card/Person/6393586", "ООО ""ЧОП ""КАЗАЧИЙ СПАС""")</f>
        <v>ООО "ЧОП "КАЗАЧИЙ СПАС"</v>
      </c>
      <c r="K9300" s="24" t="s">
        <v>7789</v>
      </c>
      <c r="L9300" s="28" t="s">
        <v>52</v>
      </c>
      <c r="M9300" s="25">
        <v>238669.46</v>
      </c>
      <c r="N9300" s="27">
        <v>0.47156805179162903</v>
      </c>
    </row>
    <row r="9301" spans="1:14" hidden="1" outlineLevel="1" x14ac:dyDescent="0.2">
      <c r="A9301" s="23" t="str">
        <f t="shared" si="415"/>
        <v>ГБУЗ "ПТД № 6" МЗ КК</v>
      </c>
      <c r="B9301" s="24" t="s">
        <v>11634</v>
      </c>
      <c r="C9301" s="25">
        <v>451656</v>
      </c>
      <c r="D9301" s="22" t="s">
        <v>11639</v>
      </c>
      <c r="E9301" s="22" t="s">
        <v>68</v>
      </c>
      <c r="F9301" s="23" t="str">
        <f t="shared" si="417"/>
        <v>Оказание услуг по охране объектов и территорий</v>
      </c>
      <c r="G9301" s="22" t="s">
        <v>132</v>
      </c>
      <c r="H9301" s="22" t="s">
        <v>133</v>
      </c>
      <c r="I9301" s="26">
        <v>43577.750694444403</v>
      </c>
      <c r="J9301" s="23" t="str">
        <f>HYPERLINK("https://www.spark-marketing.ru/Card/Person/123157", "ООО ОП ""ВЫМПЕЛ""")</f>
        <v>ООО ОП "ВЫМПЕЛ"</v>
      </c>
      <c r="K9301" s="24" t="s">
        <v>11636</v>
      </c>
      <c r="L9301" s="28" t="s">
        <v>52</v>
      </c>
      <c r="M9301" s="25">
        <v>286801.56</v>
      </c>
      <c r="N9301" s="27">
        <v>0.36499999999999999</v>
      </c>
    </row>
    <row r="9302" spans="1:14" hidden="1" outlineLevel="1" x14ac:dyDescent="0.2">
      <c r="A9302" s="23" t="str">
        <f t="shared" si="415"/>
        <v>ГБУЗ "ПТД № 6" МЗ КК</v>
      </c>
      <c r="B9302" s="24" t="s">
        <v>11634</v>
      </c>
      <c r="C9302" s="25">
        <v>451656</v>
      </c>
      <c r="D9302" s="22" t="s">
        <v>11639</v>
      </c>
      <c r="E9302" s="22" t="s">
        <v>68</v>
      </c>
      <c r="F9302" s="23" t="str">
        <f t="shared" si="417"/>
        <v>Оказание услуг по охране объектов и территорий</v>
      </c>
      <c r="G9302" s="22" t="s">
        <v>132</v>
      </c>
      <c r="H9302" s="22" t="s">
        <v>133</v>
      </c>
      <c r="I9302" s="26">
        <v>43577.750694444403</v>
      </c>
      <c r="J9302" s="23" t="str">
        <f>HYPERLINK("https://www.spark-marketing.ru/Card/Person/448039", "ООО ""ЧОП ""ПАНТЕРА ЮГ""")</f>
        <v>ООО "ЧОП "ПАНТЕРА ЮГ"</v>
      </c>
      <c r="K9302" s="24" t="s">
        <v>3815</v>
      </c>
      <c r="L9302" s="28" t="s">
        <v>52</v>
      </c>
      <c r="M9302" s="25">
        <v>390000</v>
      </c>
      <c r="N9302" s="27">
        <v>0.13651097295286679</v>
      </c>
    </row>
    <row r="9303" spans="1:14" ht="12.75" hidden="1" outlineLevel="1" x14ac:dyDescent="0.2">
      <c r="A9303" s="23" t="str">
        <f t="shared" si="415"/>
        <v>ГБУЗ "ПТД № 6" МЗ КК</v>
      </c>
      <c r="B9303" s="24" t="s">
        <v>11634</v>
      </c>
      <c r="C9303" s="25">
        <v>451656</v>
      </c>
      <c r="D9303" s="22" t="s">
        <v>11639</v>
      </c>
      <c r="E9303" s="22" t="s">
        <v>68</v>
      </c>
      <c r="F9303" s="23" t="str">
        <f t="shared" si="417"/>
        <v>Оказание услуг по охране объектов и территорий</v>
      </c>
      <c r="G9303" s="22" t="s">
        <v>132</v>
      </c>
      <c r="H9303" s="22" t="s">
        <v>133</v>
      </c>
      <c r="I9303" s="26">
        <v>43577.750694444403</v>
      </c>
      <c r="J9303" s="23" t="str">
        <f>HYPERLINK("https://www.spark-marketing.ru/Card/Person/152942", "ООО ""ОП ""ЛИДЕР ЮГ""")</f>
        <v>ООО "ОП "ЛИДЕР ЮГ"</v>
      </c>
      <c r="K9303" s="24" t="s">
        <v>11638</v>
      </c>
      <c r="L9303" s="22" t="s">
        <v>10</v>
      </c>
      <c r="M9303" s="25">
        <v>202536.98</v>
      </c>
      <c r="N9303" s="27">
        <v>0.55156805179162904</v>
      </c>
    </row>
    <row r="9304" spans="1:14" x14ac:dyDescent="0.15">
      <c r="A9304" s="23" t="str">
        <f t="shared" si="415"/>
        <v>ГБУЗ "ПТД № 6" МЗ КК</v>
      </c>
      <c r="B9304" s="24" t="s">
        <v>11634</v>
      </c>
      <c r="C9304" s="25">
        <v>451656</v>
      </c>
      <c r="D9304" s="22" t="s">
        <v>11641</v>
      </c>
      <c r="E9304" s="22" t="s">
        <v>68</v>
      </c>
      <c r="F9304" s="23" t="str">
        <f t="shared" ref="F9304:F9311" si="418">HYPERLINK("https://www.spark-marketing.ru/Card/Lot/69991570", "Оказание услуг по охране объектов и территорий (Апшеронский филиал)")</f>
        <v>Оказание услуг по охране объектов и территорий (Апшеронский филиал)</v>
      </c>
      <c r="G9304" s="22" t="s">
        <v>132</v>
      </c>
      <c r="H9304" s="22" t="s">
        <v>10968</v>
      </c>
      <c r="I9304" s="26">
        <v>43577.750694444403</v>
      </c>
      <c r="J9304" s="28" t="s">
        <v>52</v>
      </c>
      <c r="K9304" s="28" t="s">
        <v>52</v>
      </c>
      <c r="L9304" s="28" t="s">
        <v>52</v>
      </c>
      <c r="M9304" s="28" t="s">
        <v>52</v>
      </c>
      <c r="N9304" s="28" t="s">
        <v>52</v>
      </c>
    </row>
    <row r="9305" spans="1:14" hidden="1" outlineLevel="1" x14ac:dyDescent="0.2">
      <c r="A9305" s="23" t="str">
        <f t="shared" si="415"/>
        <v>ГБУЗ "ПТД № 6" МЗ КК</v>
      </c>
      <c r="B9305" s="24" t="s">
        <v>11634</v>
      </c>
      <c r="C9305" s="25">
        <v>451656</v>
      </c>
      <c r="D9305" s="22" t="s">
        <v>11641</v>
      </c>
      <c r="E9305" s="22" t="s">
        <v>68</v>
      </c>
      <c r="F9305" s="23" t="str">
        <f t="shared" si="418"/>
        <v>Оказание услуг по охране объектов и территорий (Апшеронский филиал)</v>
      </c>
      <c r="G9305" s="22" t="s">
        <v>132</v>
      </c>
      <c r="H9305" s="22" t="s">
        <v>10968</v>
      </c>
      <c r="I9305" s="26">
        <v>43577.750694444403</v>
      </c>
      <c r="J9305" s="23" t="str">
        <f>HYPERLINK("https://www.spark-marketing.ru/Card/Person/1829429", "ООО ЧОО ""ВЕРТИКАЛЬ""")</f>
        <v>ООО ЧОО "ВЕРТИКАЛЬ"</v>
      </c>
      <c r="K9305" s="24" t="s">
        <v>11003</v>
      </c>
      <c r="L9305" s="28" t="s">
        <v>52</v>
      </c>
      <c r="M9305" s="25">
        <v>203000</v>
      </c>
      <c r="N9305" s="27">
        <v>0.55054289104982557</v>
      </c>
    </row>
    <row r="9306" spans="1:14" ht="12.75" hidden="1" outlineLevel="1" x14ac:dyDescent="0.2">
      <c r="A9306" s="23" t="str">
        <f t="shared" si="415"/>
        <v>ГБУЗ "ПТД № 6" МЗ КК</v>
      </c>
      <c r="B9306" s="24" t="s">
        <v>11634</v>
      </c>
      <c r="C9306" s="25">
        <v>451656</v>
      </c>
      <c r="D9306" s="22" t="s">
        <v>11641</v>
      </c>
      <c r="E9306" s="22" t="s">
        <v>68</v>
      </c>
      <c r="F9306" s="23" t="str">
        <f t="shared" si="418"/>
        <v>Оказание услуг по охране объектов и территорий (Апшеронский филиал)</v>
      </c>
      <c r="G9306" s="22" t="s">
        <v>132</v>
      </c>
      <c r="H9306" s="22" t="s">
        <v>10968</v>
      </c>
      <c r="I9306" s="26">
        <v>43577.750694444403</v>
      </c>
      <c r="J9306" s="23" t="str">
        <f>HYPERLINK("https://www.spark-marketing.ru/Card/Person/876095", "ООО ЧОО ""ПАРИТЕТ""")</f>
        <v>ООО ЧОО "ПАРИТЕТ"</v>
      </c>
      <c r="K9306" s="24" t="s">
        <v>11637</v>
      </c>
      <c r="L9306" s="22" t="s">
        <v>10</v>
      </c>
      <c r="M9306" s="25">
        <v>196470.36</v>
      </c>
      <c r="N9306" s="27">
        <v>0.56499999999999995</v>
      </c>
    </row>
    <row r="9307" spans="1:14" hidden="1" outlineLevel="1" x14ac:dyDescent="0.2">
      <c r="A9307" s="23" t="str">
        <f t="shared" si="415"/>
        <v>ГБУЗ "ПТД № 6" МЗ КК</v>
      </c>
      <c r="B9307" s="24" t="s">
        <v>11634</v>
      </c>
      <c r="C9307" s="25">
        <v>451656</v>
      </c>
      <c r="D9307" s="22" t="s">
        <v>11641</v>
      </c>
      <c r="E9307" s="22" t="s">
        <v>68</v>
      </c>
      <c r="F9307" s="23" t="str">
        <f t="shared" si="418"/>
        <v>Оказание услуг по охране объектов и территорий (Апшеронский филиал)</v>
      </c>
      <c r="G9307" s="22" t="s">
        <v>132</v>
      </c>
      <c r="H9307" s="22" t="s">
        <v>10968</v>
      </c>
      <c r="I9307" s="26">
        <v>43577.750694444403</v>
      </c>
      <c r="J9307" s="23" t="str">
        <f>HYPERLINK("https://www.spark-marketing.ru/Card/Person/6393586", "ООО ""ЧОП ""КАЗАЧИЙ СПАС""")</f>
        <v>ООО "ЧОП "КАЗАЧИЙ СПАС"</v>
      </c>
      <c r="K9307" s="24" t="s">
        <v>7789</v>
      </c>
      <c r="L9307" s="28" t="s">
        <v>52</v>
      </c>
      <c r="M9307" s="25">
        <v>246152.52</v>
      </c>
      <c r="N9307" s="27">
        <v>0.45500000000000002</v>
      </c>
    </row>
    <row r="9308" spans="1:14" hidden="1" outlineLevel="1" x14ac:dyDescent="0.2">
      <c r="A9308" s="23" t="str">
        <f t="shared" si="415"/>
        <v>ГБУЗ "ПТД № 6" МЗ КК</v>
      </c>
      <c r="B9308" s="24" t="s">
        <v>11634</v>
      </c>
      <c r="C9308" s="25">
        <v>451656</v>
      </c>
      <c r="D9308" s="22" t="s">
        <v>11641</v>
      </c>
      <c r="E9308" s="22" t="s">
        <v>68</v>
      </c>
      <c r="F9308" s="23" t="str">
        <f t="shared" si="418"/>
        <v>Оказание услуг по охране объектов и территорий (Апшеронский филиал)</v>
      </c>
      <c r="G9308" s="22" t="s">
        <v>132</v>
      </c>
      <c r="H9308" s="22" t="s">
        <v>10968</v>
      </c>
      <c r="I9308" s="26">
        <v>43577.750694444403</v>
      </c>
      <c r="J9308" s="23" t="str">
        <f>HYPERLINK("https://www.spark-marketing.ru/Card/Person/123157", "ООО ОП ""ВЫМПЕЛ""")</f>
        <v>ООО ОП "ВЫМПЕЛ"</v>
      </c>
      <c r="K9308" s="24" t="s">
        <v>11636</v>
      </c>
      <c r="L9308" s="28" t="s">
        <v>52</v>
      </c>
      <c r="M9308" s="25">
        <v>280026.71999999997</v>
      </c>
      <c r="N9308" s="27">
        <v>0.38</v>
      </c>
    </row>
    <row r="9309" spans="1:14" hidden="1" outlineLevel="1" x14ac:dyDescent="0.2">
      <c r="A9309" s="23" t="str">
        <f t="shared" si="415"/>
        <v>ГБУЗ "ПТД № 6" МЗ КК</v>
      </c>
      <c r="B9309" s="24" t="s">
        <v>11634</v>
      </c>
      <c r="C9309" s="25">
        <v>451656</v>
      </c>
      <c r="D9309" s="22" t="s">
        <v>11641</v>
      </c>
      <c r="E9309" s="22" t="s">
        <v>68</v>
      </c>
      <c r="F9309" s="23" t="str">
        <f t="shared" si="418"/>
        <v>Оказание услуг по охране объектов и территорий (Апшеронский филиал)</v>
      </c>
      <c r="G9309" s="22" t="s">
        <v>132</v>
      </c>
      <c r="H9309" s="22" t="s">
        <v>10968</v>
      </c>
      <c r="I9309" s="26">
        <v>43577.750694444403</v>
      </c>
      <c r="J9309" s="23" t="str">
        <f>HYPERLINK("https://www.spark-marketing.ru/Card/Person/448039", "ООО ""ЧОП ""ПАНТЕРА ЮГ""")</f>
        <v>ООО "ЧОП "ПАНТЕРА ЮГ"</v>
      </c>
      <c r="K9309" s="24" t="s">
        <v>3815</v>
      </c>
      <c r="L9309" s="28" t="s">
        <v>52</v>
      </c>
      <c r="M9309" s="25">
        <v>390000</v>
      </c>
      <c r="N9309" s="27">
        <v>0.13651097295286679</v>
      </c>
    </row>
    <row r="9310" spans="1:14" hidden="1" outlineLevel="1" x14ac:dyDescent="0.2">
      <c r="A9310" s="23" t="str">
        <f t="shared" si="415"/>
        <v>ГБУЗ "ПТД № 6" МЗ КК</v>
      </c>
      <c r="B9310" s="24" t="s">
        <v>11634</v>
      </c>
      <c r="C9310" s="25">
        <v>451656</v>
      </c>
      <c r="D9310" s="22" t="s">
        <v>11641</v>
      </c>
      <c r="E9310" s="22" t="s">
        <v>68</v>
      </c>
      <c r="F9310" s="23" t="str">
        <f t="shared" si="418"/>
        <v>Оказание услуг по охране объектов и территорий (Апшеронский филиал)</v>
      </c>
      <c r="G9310" s="22" t="s">
        <v>132</v>
      </c>
      <c r="H9310" s="22" t="s">
        <v>10968</v>
      </c>
      <c r="I9310" s="26">
        <v>43577.750694444403</v>
      </c>
      <c r="J9310" s="23" t="str">
        <f>HYPERLINK("https://www.spark-marketing.ru/Card/Person/660834", "ООО ЧОП "" БЕЗОПАСНОСТЬ КУБАНИ""")</f>
        <v>ООО ЧОП " БЕЗОПАСНОСТЬ КУБАНИ"</v>
      </c>
      <c r="K9310" s="24" t="s">
        <v>11642</v>
      </c>
      <c r="L9310" s="28" t="s">
        <v>52</v>
      </c>
      <c r="M9310" s="25">
        <v>360000</v>
      </c>
      <c r="N9310" s="27">
        <v>0.20293320580264626</v>
      </c>
    </row>
    <row r="9311" spans="1:14" hidden="1" outlineLevel="1" x14ac:dyDescent="0.2">
      <c r="A9311" s="23" t="str">
        <f t="shared" si="415"/>
        <v>ГБУЗ "ПТД № 6" МЗ КК</v>
      </c>
      <c r="B9311" s="24" t="s">
        <v>11634</v>
      </c>
      <c r="C9311" s="25">
        <v>451656</v>
      </c>
      <c r="D9311" s="22" t="s">
        <v>11641</v>
      </c>
      <c r="E9311" s="22" t="s">
        <v>68</v>
      </c>
      <c r="F9311" s="23" t="str">
        <f t="shared" si="418"/>
        <v>Оказание услуг по охране объектов и территорий (Апшеронский филиал)</v>
      </c>
      <c r="G9311" s="22" t="s">
        <v>132</v>
      </c>
      <c r="H9311" s="22" t="s">
        <v>10968</v>
      </c>
      <c r="I9311" s="26">
        <v>43577.750694444403</v>
      </c>
      <c r="J9311" s="23" t="str">
        <f>HYPERLINK("https://www.spark-marketing.ru/Card/Person/152942", "ООО ""ОП ""ЛИДЕР ЮГ""")</f>
        <v>ООО "ОП "ЛИДЕР ЮГ"</v>
      </c>
      <c r="K9311" s="24" t="s">
        <v>11638</v>
      </c>
      <c r="L9311" s="28" t="s">
        <v>52</v>
      </c>
      <c r="M9311" s="25">
        <v>196470.36</v>
      </c>
      <c r="N9311" s="27">
        <v>0.56499999999999995</v>
      </c>
    </row>
    <row r="9312" spans="1:14" x14ac:dyDescent="0.15">
      <c r="A9312" s="23" t="str">
        <f>HYPERLINK("https://www.spark-marketing.ru/Card/Person/80845", "МУ КИО МО ""ГОРОД ЛЕНСК""")</f>
        <v>МУ КИО МО "ГОРОД ЛЕНСК"</v>
      </c>
      <c r="B9312" s="24" t="s">
        <v>11643</v>
      </c>
      <c r="C9312" s="25">
        <v>1064540</v>
      </c>
      <c r="D9312" s="22" t="s">
        <v>11644</v>
      </c>
      <c r="E9312" s="22" t="s">
        <v>376</v>
      </c>
      <c r="F9312" s="23" t="str">
        <f>HYPERLINK("https://www.spark-marketing.ru/Card/Lot/69974761", "Приобретение и установка оборудования на светофорных объектах")</f>
        <v>Приобретение и установка оборудования на светофорных объектах</v>
      </c>
      <c r="G9312" s="22" t="s">
        <v>424</v>
      </c>
      <c r="H9312" s="22" t="s">
        <v>11645</v>
      </c>
      <c r="I9312" s="26">
        <v>43577.759722222203</v>
      </c>
      <c r="J9312" s="23" t="str">
        <f>HYPERLINK("https://www.spark-marketing.ru/Card/Person/6223677", "ООО ""ДСД АЛЬЯНС""")</f>
        <v>ООО "ДСД АЛЬЯНС"</v>
      </c>
      <c r="K9312" s="24" t="s">
        <v>11646</v>
      </c>
      <c r="L9312" s="28" t="s">
        <v>52</v>
      </c>
      <c r="M9312" s="28" t="s">
        <v>52</v>
      </c>
      <c r="N9312" s="28" t="s">
        <v>52</v>
      </c>
    </row>
    <row r="9313" spans="1:14" hidden="1" outlineLevel="1" x14ac:dyDescent="0.15">
      <c r="A9313" s="23" t="str">
        <f>HYPERLINK("https://www.spark-marketing.ru/Card/Person/80845", "МУ КИО МО ""ГОРОД ЛЕНСК""")</f>
        <v>МУ КИО МО "ГОРОД ЛЕНСК"</v>
      </c>
      <c r="B9313" s="24" t="s">
        <v>11643</v>
      </c>
      <c r="C9313" s="25">
        <v>1064540</v>
      </c>
      <c r="D9313" s="22" t="s">
        <v>11644</v>
      </c>
      <c r="E9313" s="22" t="s">
        <v>376</v>
      </c>
      <c r="F9313" s="23" t="str">
        <f>HYPERLINK("https://www.spark-marketing.ru/Card/Lot/69974761", "Приобретение и установка оборудования на светофорных объектах")</f>
        <v>Приобретение и установка оборудования на светофорных объектах</v>
      </c>
      <c r="G9313" s="22" t="s">
        <v>424</v>
      </c>
      <c r="H9313" s="22" t="s">
        <v>11645</v>
      </c>
      <c r="I9313" s="26">
        <v>43577.759722222203</v>
      </c>
      <c r="J9313" s="23" t="str">
        <f>HYPERLINK("https://www.spark-marketing.ru/Card/Person/6223677", "ООО ""ДСД АЛЬЯНС""")</f>
        <v>ООО "ДСД АЛЬЯНС"</v>
      </c>
      <c r="K9313" s="24" t="s">
        <v>11646</v>
      </c>
      <c r="L9313" s="22" t="s">
        <v>10</v>
      </c>
      <c r="M9313" s="28" t="s">
        <v>52</v>
      </c>
      <c r="N9313" s="28" t="s">
        <v>52</v>
      </c>
    </row>
    <row r="9314" spans="1:14" x14ac:dyDescent="0.15">
      <c r="A9314" s="23" t="str">
        <f>HYPERLINK("https://www.spark-marketing.ru/Card/Person/25541", "ПРОКУРАТУРА ВОРОНЕЖСКОЙ ОБЛАСТИ")</f>
        <v>ПРОКУРАТУРА ВОРОНЕЖСКОЙ ОБЛАСТИ</v>
      </c>
      <c r="B9314" s="24" t="s">
        <v>11647</v>
      </c>
      <c r="C9314" s="25">
        <v>24923.71</v>
      </c>
      <c r="D9314" s="22" t="s">
        <v>11648</v>
      </c>
      <c r="E9314" s="22" t="s">
        <v>7738</v>
      </c>
      <c r="F9314" s="23" t="str">
        <f>HYPERLINK("https://www.spark-marketing.ru/Card/Lot/69992235", "Военизированная охрана объекта прокуратуры Воронежской области (Орджоникидзе, 41)")</f>
        <v>Военизированная охрана объекта прокуратуры Воронежской области (Орджоникидзе, 41)</v>
      </c>
      <c r="G9314" s="22" t="s">
        <v>552</v>
      </c>
      <c r="H9314" s="22" t="s">
        <v>552</v>
      </c>
      <c r="I9314" s="26">
        <v>43577.730555555601</v>
      </c>
      <c r="J9314" s="28" t="s">
        <v>52</v>
      </c>
      <c r="K9314" s="28" t="s">
        <v>52</v>
      </c>
      <c r="L9314" s="28" t="s">
        <v>52</v>
      </c>
      <c r="M9314" s="28" t="s">
        <v>52</v>
      </c>
      <c r="N9314" s="28" t="s">
        <v>52</v>
      </c>
    </row>
    <row r="9315" spans="1:14" x14ac:dyDescent="0.15">
      <c r="A9315" s="23" t="str">
        <f>HYPERLINK("https://www.spark-marketing.ru/Card/Person/456138", "КГАУ ""ЦСП""")</f>
        <v>КГАУ "ЦСП"</v>
      </c>
      <c r="B9315" s="24" t="s">
        <v>2031</v>
      </c>
      <c r="C9315" s="25">
        <v>200000</v>
      </c>
      <c r="D9315" s="22" t="s">
        <v>11649</v>
      </c>
      <c r="E9315" s="22" t="s">
        <v>11650</v>
      </c>
      <c r="F9315" s="23" t="str">
        <f>HYPERLINK("https://www.spark-marketing.ru/Card/Lot/69975973", "Услуги по техническому обслуживанию видеопроекционным оборудованием")</f>
        <v>Услуги по техническому обслуживанию видеопроекционным оборудованием</v>
      </c>
      <c r="G9315" s="22" t="s">
        <v>640</v>
      </c>
      <c r="H9315" s="22" t="s">
        <v>640</v>
      </c>
      <c r="I9315" s="26">
        <v>43577.747546296298</v>
      </c>
      <c r="J9315" s="28" t="s">
        <v>52</v>
      </c>
      <c r="K9315" s="28" t="s">
        <v>52</v>
      </c>
      <c r="L9315" s="28" t="s">
        <v>52</v>
      </c>
      <c r="M9315" s="28" t="s">
        <v>52</v>
      </c>
      <c r="N9315" s="28" t="s">
        <v>52</v>
      </c>
    </row>
    <row r="9316" spans="1:14" x14ac:dyDescent="0.15">
      <c r="A9316" s="23" t="str">
        <f>HYPERLINK("https://www.spark-marketing.ru/Card/Person/456138", "КГАУ ""ЦСП""")</f>
        <v>КГАУ "ЦСП"</v>
      </c>
      <c r="B9316" s="24" t="s">
        <v>2031</v>
      </c>
      <c r="C9316" s="25">
        <v>460800</v>
      </c>
      <c r="D9316" s="22" t="s">
        <v>11651</v>
      </c>
      <c r="E9316" s="22" t="s">
        <v>363</v>
      </c>
      <c r="F9316" s="23" t="str">
        <f>HYPERLINK("https://www.spark-marketing.ru/Card/Lot/69975966", "услуги по обеспечению порядка во время проведения массового мероприятия")</f>
        <v>услуги по обеспечению порядка во время проведения массового мероприятия</v>
      </c>
      <c r="G9316" s="22" t="s">
        <v>640</v>
      </c>
      <c r="H9316" s="22" t="s">
        <v>640</v>
      </c>
      <c r="I9316" s="26">
        <v>43577.739548611098</v>
      </c>
      <c r="J9316" s="28" t="s">
        <v>52</v>
      </c>
      <c r="K9316" s="28" t="s">
        <v>52</v>
      </c>
      <c r="L9316" s="28" t="s">
        <v>52</v>
      </c>
      <c r="M9316" s="28" t="s">
        <v>52</v>
      </c>
      <c r="N9316" s="28" t="s">
        <v>52</v>
      </c>
    </row>
    <row r="9317" spans="1:14" x14ac:dyDescent="0.15">
      <c r="A9317" s="23" t="str">
        <f t="shared" ref="A9317:A9322" si="419">HYPERLINK("https://www.spark-marketing.ru/Card/Person/1482687", "ГАУ СО ""БАЛАКОВСКИЙ ДОМ-ИНТЕРНАТ ДЛЯ ПРЕСТАРЕЛЫХ И ИНВАЛИДОВ""")</f>
        <v>ГАУ СО "БАЛАКОВСКИЙ ДОМ-ИНТЕРНАТ ДЛЯ ПРЕСТАРЕЛЫХ И ИНВАЛИДОВ"</v>
      </c>
      <c r="B9317" s="24" t="s">
        <v>11652</v>
      </c>
      <c r="C9317" s="25">
        <v>55276.67</v>
      </c>
      <c r="D9317" s="22" t="s">
        <v>11653</v>
      </c>
      <c r="E9317" s="22" t="s">
        <v>137</v>
      </c>
      <c r="F9317" s="23" t="str">
        <f t="shared" ref="F9317:F9322" si="420">HYPERLINK("https://www.spark-marketing.ru/Card/Lot/69987270", "Оказание услуг по обслуживанию системы видеонаблюдения")</f>
        <v>Оказание услуг по обслуживанию системы видеонаблюдения</v>
      </c>
      <c r="G9317" s="22" t="s">
        <v>80</v>
      </c>
      <c r="H9317" s="22" t="s">
        <v>80</v>
      </c>
      <c r="I9317" s="26">
        <v>43577.734386574099</v>
      </c>
      <c r="J9317" s="28" t="s">
        <v>52</v>
      </c>
      <c r="K9317" s="28" t="s">
        <v>52</v>
      </c>
      <c r="L9317" s="28" t="s">
        <v>52</v>
      </c>
      <c r="M9317" s="28" t="s">
        <v>52</v>
      </c>
      <c r="N9317" s="28" t="s">
        <v>52</v>
      </c>
    </row>
    <row r="9318" spans="1:14" hidden="1" outlineLevel="1" x14ac:dyDescent="0.2">
      <c r="A9318" s="23" t="str">
        <f t="shared" si="419"/>
        <v>ГАУ СО "БАЛАКОВСКИЙ ДОМ-ИНТЕРНАТ ДЛЯ ПРЕСТАРЕЛЫХ И ИНВАЛИДОВ"</v>
      </c>
      <c r="B9318" s="24" t="s">
        <v>11652</v>
      </c>
      <c r="C9318" s="28" t="s">
        <v>52</v>
      </c>
      <c r="D9318" s="22" t="s">
        <v>11653</v>
      </c>
      <c r="E9318" s="22" t="s">
        <v>137</v>
      </c>
      <c r="F9318" s="23" t="str">
        <f t="shared" si="420"/>
        <v>Оказание услуг по обслуживанию системы видеонаблюдения</v>
      </c>
      <c r="G9318" s="22" t="s">
        <v>80</v>
      </c>
      <c r="H9318" s="22" t="s">
        <v>80</v>
      </c>
      <c r="I9318" s="26">
        <v>43577.734386574099</v>
      </c>
      <c r="J9318" s="23" t="str">
        <f>HYPERLINK("https://www.spark-marketing.ru/Card/Person/6572996", "ООО ""МПК ""ТЕХТОРГ""")</f>
        <v>ООО "МПК "ТЕХТОРГ"</v>
      </c>
      <c r="K9318" s="24" t="s">
        <v>11654</v>
      </c>
      <c r="L9318" s="28" t="s">
        <v>52</v>
      </c>
      <c r="M9318" s="25">
        <v>45000</v>
      </c>
      <c r="N9318" s="27">
        <v>0.18591333378077948</v>
      </c>
    </row>
    <row r="9319" spans="1:14" hidden="1" outlineLevel="1" x14ac:dyDescent="0.2">
      <c r="A9319" s="23" t="str">
        <f t="shared" si="419"/>
        <v>ГАУ СО "БАЛАКОВСКИЙ ДОМ-ИНТЕРНАТ ДЛЯ ПРЕСТАРЕЛЫХ И ИНВАЛИДОВ"</v>
      </c>
      <c r="B9319" s="24" t="s">
        <v>11652</v>
      </c>
      <c r="C9319" s="28" t="s">
        <v>52</v>
      </c>
      <c r="D9319" s="22" t="s">
        <v>11653</v>
      </c>
      <c r="E9319" s="22" t="s">
        <v>137</v>
      </c>
      <c r="F9319" s="23" t="str">
        <f t="shared" si="420"/>
        <v>Оказание услуг по обслуживанию системы видеонаблюдения</v>
      </c>
      <c r="G9319" s="22" t="s">
        <v>80</v>
      </c>
      <c r="H9319" s="22" t="s">
        <v>80</v>
      </c>
      <c r="I9319" s="26">
        <v>43577.734386574099</v>
      </c>
      <c r="J9319" s="23" t="str">
        <f>HYPERLINK("https://www.spark-marketing.ru/Card/Person/806080", "ООО ""НОБИ""")</f>
        <v>ООО "НОБИ"</v>
      </c>
      <c r="K9319" s="24" t="s">
        <v>11655</v>
      </c>
      <c r="L9319" s="28" t="s">
        <v>52</v>
      </c>
      <c r="M9319" s="25">
        <v>46200</v>
      </c>
      <c r="N9319" s="27">
        <v>0.16420435601493361</v>
      </c>
    </row>
    <row r="9320" spans="1:14" hidden="1" outlineLevel="1" x14ac:dyDescent="0.2">
      <c r="A9320" s="23" t="str">
        <f t="shared" si="419"/>
        <v>ГАУ СО "БАЛАКОВСКИЙ ДОМ-ИНТЕРНАТ ДЛЯ ПРЕСТАРЕЛЫХ И ИНВАЛИДОВ"</v>
      </c>
      <c r="B9320" s="24" t="s">
        <v>11652</v>
      </c>
      <c r="C9320" s="28" t="s">
        <v>52</v>
      </c>
      <c r="D9320" s="22" t="s">
        <v>11653</v>
      </c>
      <c r="E9320" s="22" t="s">
        <v>137</v>
      </c>
      <c r="F9320" s="23" t="str">
        <f t="shared" si="420"/>
        <v>Оказание услуг по обслуживанию системы видеонаблюдения</v>
      </c>
      <c r="G9320" s="22" t="s">
        <v>80</v>
      </c>
      <c r="H9320" s="22" t="s">
        <v>80</v>
      </c>
      <c r="I9320" s="26">
        <v>43577.734386574099</v>
      </c>
      <c r="J9320" s="23" t="str">
        <f>HYPERLINK("https://www.spark-marketing.ru/Card/Person/6397486", "Аникеева Мария Игоревна")</f>
        <v>Аникеева Мария Игоревна</v>
      </c>
      <c r="K9320" s="24" t="s">
        <v>11656</v>
      </c>
      <c r="L9320" s="22" t="s">
        <v>10</v>
      </c>
      <c r="M9320" s="25">
        <v>21000</v>
      </c>
      <c r="N9320" s="27">
        <v>0.62009288909769711</v>
      </c>
    </row>
    <row r="9321" spans="1:14" hidden="1" outlineLevel="1" x14ac:dyDescent="0.2">
      <c r="A9321" s="23" t="str">
        <f t="shared" si="419"/>
        <v>ГАУ СО "БАЛАКОВСКИЙ ДОМ-ИНТЕРНАТ ДЛЯ ПРЕСТАРЕЛЫХ И ИНВАЛИДОВ"</v>
      </c>
      <c r="B9321" s="24" t="s">
        <v>11652</v>
      </c>
      <c r="C9321" s="28" t="s">
        <v>52</v>
      </c>
      <c r="D9321" s="22" t="s">
        <v>11653</v>
      </c>
      <c r="E9321" s="22" t="s">
        <v>137</v>
      </c>
      <c r="F9321" s="23" t="str">
        <f t="shared" si="420"/>
        <v>Оказание услуг по обслуживанию системы видеонаблюдения</v>
      </c>
      <c r="G9321" s="22" t="s">
        <v>80</v>
      </c>
      <c r="H9321" s="22" t="s">
        <v>80</v>
      </c>
      <c r="I9321" s="26">
        <v>43577.734386574099</v>
      </c>
      <c r="J9321" s="23" t="str">
        <f>HYPERLINK("https://www.spark-marketing.ru/Card/Person/569745", "Гайдамака Татьяна Васильевна")</f>
        <v>Гайдамака Татьяна Васильевна</v>
      </c>
      <c r="K9321" s="24" t="s">
        <v>11657</v>
      </c>
      <c r="L9321" s="28" t="s">
        <v>52</v>
      </c>
      <c r="M9321" s="25">
        <v>44100</v>
      </c>
      <c r="N9321" s="27">
        <v>0.20219506710516388</v>
      </c>
    </row>
    <row r="9322" spans="1:14" hidden="1" outlineLevel="1" x14ac:dyDescent="0.2">
      <c r="A9322" s="23" t="str">
        <f t="shared" si="419"/>
        <v>ГАУ СО "БАЛАКОВСКИЙ ДОМ-ИНТЕРНАТ ДЛЯ ПРЕСТАРЕЛЫХ И ИНВАЛИДОВ"</v>
      </c>
      <c r="B9322" s="24" t="s">
        <v>11652</v>
      </c>
      <c r="C9322" s="28" t="s">
        <v>52</v>
      </c>
      <c r="D9322" s="22" t="s">
        <v>11653</v>
      </c>
      <c r="E9322" s="22" t="s">
        <v>137</v>
      </c>
      <c r="F9322" s="23" t="str">
        <f t="shared" si="420"/>
        <v>Оказание услуг по обслуживанию системы видеонаблюдения</v>
      </c>
      <c r="G9322" s="22" t="s">
        <v>80</v>
      </c>
      <c r="H9322" s="22" t="s">
        <v>80</v>
      </c>
      <c r="I9322" s="26">
        <v>43577.734386574099</v>
      </c>
      <c r="J9322" s="23" t="str">
        <f>HYPERLINK("https://www.spark-marketing.ru/Card/Person/806417", "ООО ""САМ-СПАС""")</f>
        <v>ООО "САМ-СПАС"</v>
      </c>
      <c r="K9322" s="24" t="s">
        <v>11658</v>
      </c>
      <c r="L9322" s="28" t="s">
        <v>52</v>
      </c>
      <c r="M9322" s="25">
        <v>30450</v>
      </c>
      <c r="N9322" s="27">
        <v>0.44913468919166077</v>
      </c>
    </row>
    <row r="9323" spans="1:14" x14ac:dyDescent="0.2">
      <c r="A9323" s="23" t="str">
        <f>HYPERLINK("https://www.spark-marketing.ru/Card/Person/1301304", "МАОУ СОШ №3 ЩЁЛКОВСКОГО МУНИЦИПАЛЬНОГО РАЙОНА МОСКОВСКОЙ ОБЛАСТИ")</f>
        <v>МАОУ СОШ №3 ЩЁЛКОВСКОГО МУНИЦИПАЛЬНОГО РАЙОНА МОСКОВСКОЙ ОБЛАСТИ</v>
      </c>
      <c r="B9323" s="24" t="s">
        <v>11659</v>
      </c>
      <c r="C9323" s="25">
        <v>224000</v>
      </c>
      <c r="D9323" s="22" t="s">
        <v>11660</v>
      </c>
      <c r="E9323" s="22" t="s">
        <v>533</v>
      </c>
      <c r="F9323" s="23" t="str">
        <f>HYPERLINK("https://www.spark-marketing.ru/Card/Lot/69985636", "Приобретение и установка средств видеотрансляции и видеопротоколирования в пункты проведения экзаменов ГИА")</f>
        <v>Приобретение и установка средств видеотрансляции и видеопротоколирования в пункты проведения экзаменов ГИА</v>
      </c>
      <c r="G9323" s="22" t="s">
        <v>50</v>
      </c>
      <c r="H9323" s="22" t="s">
        <v>458</v>
      </c>
      <c r="I9323" s="26">
        <v>43577.681527777801</v>
      </c>
      <c r="J9323" s="23" t="str">
        <f>HYPERLINK("https://www.spark-marketing.ru/Card/Person/76702", "АО ""КАЛУГА АСТРАЛ""")</f>
        <v>АО "КАЛУГА АСТРАЛ"</v>
      </c>
      <c r="K9323" s="24" t="s">
        <v>11661</v>
      </c>
      <c r="L9323" s="28" t="s">
        <v>52</v>
      </c>
      <c r="M9323" s="25">
        <v>224000</v>
      </c>
      <c r="N9323" s="27">
        <v>0</v>
      </c>
    </row>
    <row r="9324" spans="1:14" x14ac:dyDescent="0.15">
      <c r="A9324" s="23" t="str">
        <f>HYPERLINK("https://www.spark-marketing.ru/Card/Person/52796", "ПРОКУРАТУРА ЯМАЛО-НЕНЕЦКОГО АВТОНОМНОГО ОКРУГА")</f>
        <v>ПРОКУРАТУРА ЯМАЛО-НЕНЕЦКОГО АВТОНОМНОГО ОКРУГА</v>
      </c>
      <c r="B9324" s="24" t="s">
        <v>11662</v>
      </c>
      <c r="C9324" s="25">
        <v>3317358</v>
      </c>
      <c r="D9324" s="22" t="s">
        <v>11663</v>
      </c>
      <c r="E9324" s="22" t="s">
        <v>68</v>
      </c>
      <c r="F9324" s="23" t="str">
        <f>HYPERLINK("https://www.spark-marketing.ru/Card/Lot/69984950", "Охрана объектов военизированной охраной")</f>
        <v>Охрана объектов военизированной охраной</v>
      </c>
      <c r="G9324" s="22" t="s">
        <v>311</v>
      </c>
      <c r="H9324" s="22" t="s">
        <v>312</v>
      </c>
      <c r="I9324" s="26">
        <v>43577.680555555598</v>
      </c>
      <c r="J9324" s="28" t="s">
        <v>52</v>
      </c>
      <c r="K9324" s="28" t="s">
        <v>52</v>
      </c>
      <c r="L9324" s="28" t="s">
        <v>52</v>
      </c>
      <c r="M9324" s="28" t="s">
        <v>52</v>
      </c>
      <c r="N9324" s="28" t="s">
        <v>52</v>
      </c>
    </row>
    <row r="9325" spans="1:14" x14ac:dyDescent="0.15">
      <c r="A9325" s="23" t="str">
        <f>HYPERLINK("https://www.spark-marketing.ru/Card/Person/244760", "ГКУ СО ""ДИРЕКЦИЯ ТРАНСПОРТА И ДОРОЖНОГО ХОЗЯЙСТВА""")</f>
        <v>ГКУ СО "ДИРЕКЦИЯ ТРАНСПОРТА И ДОРОЖНОГО ХОЗЯЙСТВА"</v>
      </c>
      <c r="B9325" s="24" t="s">
        <v>77</v>
      </c>
      <c r="C9325" s="25">
        <v>14955171.960000001</v>
      </c>
      <c r="D9325" s="22" t="s">
        <v>11664</v>
      </c>
      <c r="E9325" s="22" t="s">
        <v>59</v>
      </c>
      <c r="F9325" s="23" t="str">
        <f>HYPERLINK("https://www.spark-marketing.ru/Card/Lot/69987874", "Установка элементов освещения на автомобильной дороге «Балашов-Ртищево» на участке км 6+780 - км 11+000 в Балашовском районе Саратовской области.")</f>
        <v>Установка элементов освещения на автомобильной дороге «Балашов-Ртищево» на участке км 6+780 - км 11+000 в Балашовском районе Саратовской области.</v>
      </c>
      <c r="G9325" s="22" t="s">
        <v>80</v>
      </c>
      <c r="H9325" s="22" t="s">
        <v>11665</v>
      </c>
      <c r="I9325" s="26">
        <v>43577.690277777801</v>
      </c>
      <c r="J9325" s="28" t="s">
        <v>52</v>
      </c>
      <c r="K9325" s="28" t="s">
        <v>52</v>
      </c>
      <c r="L9325" s="28" t="s">
        <v>52</v>
      </c>
      <c r="M9325" s="28" t="s">
        <v>52</v>
      </c>
      <c r="N9325" s="28" t="s">
        <v>52</v>
      </c>
    </row>
    <row r="9326" spans="1:14" hidden="1" outlineLevel="1" x14ac:dyDescent="0.2">
      <c r="A9326" s="23" t="str">
        <f>HYPERLINK("https://www.spark-marketing.ru/Card/Person/244760", "ГКУ СО ""ДИРЕКЦИЯ ТРАНСПОРТА И ДОРОЖНОГО ХОЗЯЙСТВА""")</f>
        <v>ГКУ СО "ДИРЕКЦИЯ ТРАНСПОРТА И ДОРОЖНОГО ХОЗЯЙСТВА"</v>
      </c>
      <c r="B9326" s="24" t="s">
        <v>77</v>
      </c>
      <c r="C9326" s="25">
        <v>14955171.960000001</v>
      </c>
      <c r="D9326" s="22" t="s">
        <v>11664</v>
      </c>
      <c r="E9326" s="22" t="s">
        <v>59</v>
      </c>
      <c r="F9326" s="23" t="str">
        <f>HYPERLINK("https://www.spark-marketing.ru/Card/Lot/69987874", "Установка элементов освещения на автомобильной дороге «Балашов-Ртищево» на участке км 6+780 - км 11+000 в Балашовском районе Саратовской области.")</f>
        <v>Установка элементов освещения на автомобильной дороге «Балашов-Ртищево» на участке км 6+780 - км 11+000 в Балашовском районе Саратовской области.</v>
      </c>
      <c r="G9326" s="22" t="s">
        <v>80</v>
      </c>
      <c r="H9326" s="22" t="s">
        <v>11665</v>
      </c>
      <c r="I9326" s="26">
        <v>43577.690277777801</v>
      </c>
      <c r="J9326" s="23" t="str">
        <f>HYPERLINK("https://www.spark-marketing.ru/Card/Person/79745", "ООО ""ЭНЕРГОГИД-ЦЕНТР""")</f>
        <v>ООО "ЭНЕРГОГИД-ЦЕНТР"</v>
      </c>
      <c r="K9326" s="24" t="s">
        <v>11666</v>
      </c>
      <c r="L9326" s="28" t="s">
        <v>52</v>
      </c>
      <c r="M9326" s="25">
        <v>12188465.140000001</v>
      </c>
      <c r="N9326" s="27">
        <v>0.18500000049481211</v>
      </c>
    </row>
    <row r="9327" spans="1:14" hidden="1" outlineLevel="1" x14ac:dyDescent="0.2">
      <c r="A9327" s="23" t="str">
        <f>HYPERLINK("https://www.spark-marketing.ru/Card/Person/244760", "ГКУ СО ""ДИРЕКЦИЯ ТРАНСПОРТА И ДОРОЖНОГО ХОЗЯЙСТВА""")</f>
        <v>ГКУ СО "ДИРЕКЦИЯ ТРАНСПОРТА И ДОРОЖНОГО ХОЗЯЙСТВА"</v>
      </c>
      <c r="B9327" s="24" t="s">
        <v>77</v>
      </c>
      <c r="C9327" s="25">
        <v>14955171.960000001</v>
      </c>
      <c r="D9327" s="22" t="s">
        <v>11664</v>
      </c>
      <c r="E9327" s="22" t="s">
        <v>59</v>
      </c>
      <c r="F9327" s="23" t="str">
        <f>HYPERLINK("https://www.spark-marketing.ru/Card/Lot/69987874", "Установка элементов освещения на автомобильной дороге «Балашов-Ртищево» на участке км 6+780 - км 11+000 в Балашовском районе Саратовской области.")</f>
        <v>Установка элементов освещения на автомобильной дороге «Балашов-Ртищево» на участке км 6+780 - км 11+000 в Балашовском районе Саратовской области.</v>
      </c>
      <c r="G9327" s="22" t="s">
        <v>80</v>
      </c>
      <c r="H9327" s="22" t="s">
        <v>11665</v>
      </c>
      <c r="I9327" s="26">
        <v>43577.690277777801</v>
      </c>
      <c r="J9327" s="23" t="str">
        <f>HYPERLINK("https://www.spark-marketing.ru/Card/Person/465426", "ООО ""САЙТМОНТАЖ""")</f>
        <v>ООО "САЙТМОНТАЖ"</v>
      </c>
      <c r="K9327" s="24" t="s">
        <v>8468</v>
      </c>
      <c r="L9327" s="28" t="s">
        <v>52</v>
      </c>
      <c r="M9327" s="25">
        <v>14500000</v>
      </c>
      <c r="N9327" s="27">
        <v>3.0435755684884817E-2</v>
      </c>
    </row>
    <row r="9328" spans="1:14" ht="12.75" hidden="1" outlineLevel="1" x14ac:dyDescent="0.2">
      <c r="A9328" s="23" t="str">
        <f>HYPERLINK("https://www.spark-marketing.ru/Card/Person/244760", "ГКУ СО ""ДИРЕКЦИЯ ТРАНСПОРТА И ДОРОЖНОГО ХОЗЯЙСТВА""")</f>
        <v>ГКУ СО "ДИРЕКЦИЯ ТРАНСПОРТА И ДОРОЖНОГО ХОЗЯЙСТВА"</v>
      </c>
      <c r="B9328" s="24" t="s">
        <v>77</v>
      </c>
      <c r="C9328" s="25">
        <v>14955171.960000001</v>
      </c>
      <c r="D9328" s="22" t="s">
        <v>11664</v>
      </c>
      <c r="E9328" s="22" t="s">
        <v>59</v>
      </c>
      <c r="F9328" s="23" t="str">
        <f>HYPERLINK("https://www.spark-marketing.ru/Card/Lot/69987874", "Установка элементов освещения на автомобильной дороге «Балашов-Ртищево» на участке км 6+780 - км 11+000 в Балашовском районе Саратовской области.")</f>
        <v>Установка элементов освещения на автомобильной дороге «Балашов-Ртищево» на участке км 6+780 - км 11+000 в Балашовском районе Саратовской области.</v>
      </c>
      <c r="G9328" s="22" t="s">
        <v>80</v>
      </c>
      <c r="H9328" s="22" t="s">
        <v>11665</v>
      </c>
      <c r="I9328" s="26">
        <v>43577.690277777801</v>
      </c>
      <c r="J9328" s="23" t="str">
        <f>HYPERLINK("https://www.spark-marketing.ru/Card/Person/554867", "ООО""САРЭНЕРГОМОНТАЖ""")</f>
        <v>ООО"САРЭНЕРГОМОНТАЖ"</v>
      </c>
      <c r="K9328" s="24" t="s">
        <v>11667</v>
      </c>
      <c r="L9328" s="22" t="s">
        <v>10</v>
      </c>
      <c r="M9328" s="25">
        <v>14450000</v>
      </c>
      <c r="N9328" s="27">
        <v>3.3779080665281763E-2</v>
      </c>
    </row>
    <row r="9329" spans="1:14" hidden="1" outlineLevel="1" x14ac:dyDescent="0.2">
      <c r="A9329" s="23" t="str">
        <f>HYPERLINK("https://www.spark-marketing.ru/Card/Person/244760", "ГКУ СО ""ДИРЕКЦИЯ ТРАНСПОРТА И ДОРОЖНОГО ХОЗЯЙСТВА""")</f>
        <v>ГКУ СО "ДИРЕКЦИЯ ТРАНСПОРТА И ДОРОЖНОГО ХОЗЯЙСТВА"</v>
      </c>
      <c r="B9329" s="24" t="s">
        <v>77</v>
      </c>
      <c r="C9329" s="25">
        <v>14955171.960000001</v>
      </c>
      <c r="D9329" s="22" t="s">
        <v>11664</v>
      </c>
      <c r="E9329" s="22" t="s">
        <v>59</v>
      </c>
      <c r="F9329" s="23" t="str">
        <f>HYPERLINK("https://www.spark-marketing.ru/Card/Lot/69987874", "Установка элементов освещения на автомобильной дороге «Балашов-Ртищево» на участке км 6+780 - км 11+000 в Балашовском районе Саратовской области.")</f>
        <v>Установка элементов освещения на автомобильной дороге «Балашов-Ртищево» на участке км 6+780 - км 11+000 в Балашовском районе Саратовской области.</v>
      </c>
      <c r="G9329" s="22" t="s">
        <v>80</v>
      </c>
      <c r="H9329" s="22" t="s">
        <v>11665</v>
      </c>
      <c r="I9329" s="26">
        <v>43577.690277777801</v>
      </c>
      <c r="J9329" s="23" t="str">
        <f>HYPERLINK("https://www.spark-marketing.ru/Card/Person/6507456", "ООО ""ЭЛЬДОР""")</f>
        <v>ООО "ЭЛЬДОР"</v>
      </c>
      <c r="K9329" s="24" t="s">
        <v>11668</v>
      </c>
      <c r="L9329" s="28" t="s">
        <v>52</v>
      </c>
      <c r="M9329" s="25">
        <v>12113689.279999999</v>
      </c>
      <c r="N9329" s="27">
        <v>0.19000000050818538</v>
      </c>
    </row>
    <row r="9330" spans="1:14" x14ac:dyDescent="0.15">
      <c r="A9330" s="23" t="str">
        <f>HYPERLINK("https://www.spark-marketing.ru/Card/Person/118980", "ФКУ ИК-42 ОУХД УФСИН РОССИИ ПО РЕСПУБЛИКЕ КОМИ")</f>
        <v>ФКУ ИК-42 ОУХД УФСИН РОССИИ ПО РЕСПУБЛИКЕ КОМИ</v>
      </c>
      <c r="B9330" s="24" t="s">
        <v>11669</v>
      </c>
      <c r="C9330" s="25">
        <v>54717.65</v>
      </c>
      <c r="D9330" s="22" t="s">
        <v>11670</v>
      </c>
      <c r="E9330" s="22" t="s">
        <v>208</v>
      </c>
      <c r="F9330" s="23" t="str">
        <f>HYPERLINK("https://www.spark-marketing.ru/Card/Lot/69990182", "Тревожная кнопка")</f>
        <v>Тревожная кнопка</v>
      </c>
      <c r="G9330" s="22" t="s">
        <v>538</v>
      </c>
      <c r="H9330" s="22" t="s">
        <v>6811</v>
      </c>
      <c r="I9330" s="26">
        <v>43577.6965277778</v>
      </c>
      <c r="J9330" s="28" t="s">
        <v>52</v>
      </c>
      <c r="K9330" s="28" t="s">
        <v>52</v>
      </c>
      <c r="L9330" s="28" t="s">
        <v>52</v>
      </c>
      <c r="M9330" s="28" t="s">
        <v>52</v>
      </c>
      <c r="N9330" s="28" t="s">
        <v>52</v>
      </c>
    </row>
    <row r="9331" spans="1:14" ht="12.75" hidden="1" outlineLevel="1" x14ac:dyDescent="0.2">
      <c r="A9331" s="23" t="str">
        <f>HYPERLINK("https://www.spark-marketing.ru/Card/Person/118980", "ФКУ ИК-42 ОУХД УФСИН РОССИИ ПО РЕСПУБЛИКЕ КОМИ")</f>
        <v>ФКУ ИК-42 ОУХД УФСИН РОССИИ ПО РЕСПУБЛИКЕ КОМИ</v>
      </c>
      <c r="B9331" s="24" t="s">
        <v>11669</v>
      </c>
      <c r="C9331" s="25">
        <v>54717.65</v>
      </c>
      <c r="D9331" s="22" t="s">
        <v>11670</v>
      </c>
      <c r="E9331" s="22" t="s">
        <v>208</v>
      </c>
      <c r="F9331" s="23" t="str">
        <f>HYPERLINK("https://www.spark-marketing.ru/Card/Lot/69990182", "Тревожная кнопка")</f>
        <v>Тревожная кнопка</v>
      </c>
      <c r="G9331" s="22" t="s">
        <v>538</v>
      </c>
      <c r="H9331" s="22" t="s">
        <v>6811</v>
      </c>
      <c r="I9331" s="26">
        <v>43577.6965277778</v>
      </c>
      <c r="J9331" s="23" t="str">
        <f>HYPERLINK("https://www.spark-marketing.ru/Card/Person/185354", "ООО ""НКК""")</f>
        <v>ООО "НКК"</v>
      </c>
      <c r="K9331" s="24" t="s">
        <v>11671</v>
      </c>
      <c r="L9331" s="22" t="s">
        <v>10</v>
      </c>
      <c r="M9331" s="25">
        <v>48526.41</v>
      </c>
      <c r="N9331" s="27">
        <v>0.113148865128528</v>
      </c>
    </row>
    <row r="9332" spans="1:14" hidden="1" outlineLevel="1" x14ac:dyDescent="0.2">
      <c r="A9332" s="23" t="str">
        <f>HYPERLINK("https://www.spark-marketing.ru/Card/Person/118980", "ФКУ ИК-42 ОУХД УФСИН РОССИИ ПО РЕСПУБЛИКЕ КОМИ")</f>
        <v>ФКУ ИК-42 ОУХД УФСИН РОССИИ ПО РЕСПУБЛИКЕ КОМИ</v>
      </c>
      <c r="B9332" s="24" t="s">
        <v>11669</v>
      </c>
      <c r="C9332" s="25">
        <v>54717.65</v>
      </c>
      <c r="D9332" s="22" t="s">
        <v>11670</v>
      </c>
      <c r="E9332" s="22" t="s">
        <v>208</v>
      </c>
      <c r="F9332" s="23" t="str">
        <f>HYPERLINK("https://www.spark-marketing.ru/Card/Lot/69990182", "Тревожная кнопка")</f>
        <v>Тревожная кнопка</v>
      </c>
      <c r="G9332" s="22" t="s">
        <v>538</v>
      </c>
      <c r="H9332" s="22" t="s">
        <v>6811</v>
      </c>
      <c r="I9332" s="26">
        <v>43577.6965277778</v>
      </c>
      <c r="J9332" s="23" t="str">
        <f>HYPERLINK("https://www.spark-marketing.ru/Card/Person/274097", "ООО ""ЛЕМА-ПРИМ""")</f>
        <v>ООО "ЛЕМА-ПРИМ"</v>
      </c>
      <c r="K9332" s="24" t="s">
        <v>11672</v>
      </c>
      <c r="L9332" s="28" t="s">
        <v>52</v>
      </c>
      <c r="M9332" s="25">
        <v>48800</v>
      </c>
      <c r="N9332" s="27">
        <v>0.10814883314616033</v>
      </c>
    </row>
    <row r="9333" spans="1:14" hidden="1" outlineLevel="1" x14ac:dyDescent="0.2">
      <c r="A9333" s="23" t="str">
        <f>HYPERLINK("https://www.spark-marketing.ru/Card/Person/118980", "ФКУ ИК-42 ОУХД УФСИН РОССИИ ПО РЕСПУБЛИКЕ КОМИ")</f>
        <v>ФКУ ИК-42 ОУХД УФСИН РОССИИ ПО РЕСПУБЛИКЕ КОМИ</v>
      </c>
      <c r="B9333" s="24" t="s">
        <v>11669</v>
      </c>
      <c r="C9333" s="25">
        <v>54717.65</v>
      </c>
      <c r="D9333" s="22" t="s">
        <v>11670</v>
      </c>
      <c r="E9333" s="22" t="s">
        <v>208</v>
      </c>
      <c r="F9333" s="23" t="str">
        <f>HYPERLINK("https://www.spark-marketing.ru/Card/Lot/69990182", "Тревожная кнопка")</f>
        <v>Тревожная кнопка</v>
      </c>
      <c r="G9333" s="22" t="s">
        <v>538</v>
      </c>
      <c r="H9333" s="22" t="s">
        <v>6811</v>
      </c>
      <c r="I9333" s="26">
        <v>43577.6965277778</v>
      </c>
      <c r="J9333" s="23" t="str">
        <f>HYPERLINK("https://www.spark-marketing.ru/Card/Person/343131", "ООО ""ЩИТ""")</f>
        <v>ООО "ЩИТ"</v>
      </c>
      <c r="K9333" s="24" t="s">
        <v>1798</v>
      </c>
      <c r="L9333" s="28" t="s">
        <v>52</v>
      </c>
      <c r="M9333" s="25">
        <v>53623.29</v>
      </c>
      <c r="N9333" s="27">
        <v>2.0000127929470656E-2</v>
      </c>
    </row>
    <row r="9334" spans="1:14" x14ac:dyDescent="0.15">
      <c r="A9334" s="23" t="str">
        <f>HYPERLINK("https://www.spark-marketing.ru/Card/Person/17915", "ГБУЗ ""РАЙОННАЯ БОЛЬНИЦА С. ДОЛГОДЕРЕВЕНСКОЕ""")</f>
        <v>ГБУЗ "РАЙОННАЯ БОЛЬНИЦА С. ДОЛГОДЕРЕВЕНСКОЕ"</v>
      </c>
      <c r="B9334" s="24" t="s">
        <v>11673</v>
      </c>
      <c r="C9334" s="25">
        <v>41483.33</v>
      </c>
      <c r="D9334" s="22" t="s">
        <v>11674</v>
      </c>
      <c r="E9334" s="22" t="s">
        <v>107</v>
      </c>
      <c r="F9334" s="23" t="str">
        <f>HYPERLINK("https://www.spark-marketing.ru/Card/Lot/69981581", "Техническое обслуживание эндоскопического оборудования")</f>
        <v>Техническое обслуживание эндоскопического оборудования</v>
      </c>
      <c r="G9334" s="22" t="s">
        <v>60</v>
      </c>
      <c r="H9334" s="22" t="s">
        <v>11675</v>
      </c>
      <c r="I9334" s="26">
        <v>43577.671527777798</v>
      </c>
      <c r="J9334" s="28" t="s">
        <v>52</v>
      </c>
      <c r="K9334" s="28" t="s">
        <v>52</v>
      </c>
      <c r="L9334" s="28" t="s">
        <v>52</v>
      </c>
      <c r="M9334" s="28" t="s">
        <v>52</v>
      </c>
      <c r="N9334" s="28" t="s">
        <v>52</v>
      </c>
    </row>
    <row r="9335" spans="1:14" ht="12.75" hidden="1" outlineLevel="1" x14ac:dyDescent="0.2">
      <c r="A9335" s="23" t="str">
        <f>HYPERLINK("https://www.spark-marketing.ru/Card/Person/17915", "ГБУЗ ""РАЙОННАЯ БОЛЬНИЦА С. ДОЛГОДЕРЕВЕНСКОЕ""")</f>
        <v>ГБУЗ "РАЙОННАЯ БОЛЬНИЦА С. ДОЛГОДЕРЕВЕНСКОЕ"</v>
      </c>
      <c r="B9335" s="24" t="s">
        <v>11673</v>
      </c>
      <c r="C9335" s="25">
        <v>41483.33</v>
      </c>
      <c r="D9335" s="22" t="s">
        <v>11674</v>
      </c>
      <c r="E9335" s="22" t="s">
        <v>107</v>
      </c>
      <c r="F9335" s="23" t="str">
        <f>HYPERLINK("https://www.spark-marketing.ru/Card/Lot/69981581", "Техническое обслуживание эндоскопического оборудования")</f>
        <v>Техническое обслуживание эндоскопического оборудования</v>
      </c>
      <c r="G9335" s="22" t="s">
        <v>60</v>
      </c>
      <c r="H9335" s="22" t="s">
        <v>11675</v>
      </c>
      <c r="I9335" s="26">
        <v>43577.671527777798</v>
      </c>
      <c r="J9335" s="23" t="str">
        <f>HYPERLINK("https://www.spark-marketing.ru/Card/Person/6218524", "ООО ""МСС-ИНЖИНИРИНГ""")</f>
        <v>ООО "МСС-ИНЖИНИРИНГ"</v>
      </c>
      <c r="K9335" s="24" t="s">
        <v>11676</v>
      </c>
      <c r="L9335" s="22" t="s">
        <v>10</v>
      </c>
      <c r="M9335" s="25">
        <v>29850</v>
      </c>
      <c r="N9335" s="27">
        <v>0.28043385138078358</v>
      </c>
    </row>
    <row r="9336" spans="1:14" hidden="1" outlineLevel="1" x14ac:dyDescent="0.2">
      <c r="A9336" s="23" t="str">
        <f>HYPERLINK("https://www.spark-marketing.ru/Card/Person/17915", "ГБУЗ ""РАЙОННАЯ БОЛЬНИЦА С. ДОЛГОДЕРЕВЕНСКОЕ""")</f>
        <v>ГБУЗ "РАЙОННАЯ БОЛЬНИЦА С. ДОЛГОДЕРЕВЕНСКОЕ"</v>
      </c>
      <c r="B9336" s="24" t="s">
        <v>11673</v>
      </c>
      <c r="C9336" s="25">
        <v>41483.33</v>
      </c>
      <c r="D9336" s="22" t="s">
        <v>11674</v>
      </c>
      <c r="E9336" s="22" t="s">
        <v>107</v>
      </c>
      <c r="F9336" s="23" t="str">
        <f>HYPERLINK("https://www.spark-marketing.ru/Card/Lot/69981581", "Техническое обслуживание эндоскопического оборудования")</f>
        <v>Техническое обслуживание эндоскопического оборудования</v>
      </c>
      <c r="G9336" s="22" t="s">
        <v>60</v>
      </c>
      <c r="H9336" s="22" t="s">
        <v>11675</v>
      </c>
      <c r="I9336" s="26">
        <v>43577.671527777798</v>
      </c>
      <c r="J9336" s="23" t="str">
        <f>HYPERLINK("https://www.spark-marketing.ru/Card/Person/54972", "ООО ""СК ""МЕДСЕРВИС-РЕГИОН""")</f>
        <v>ООО "СК "МЕДСЕРВИС-РЕГИОН"</v>
      </c>
      <c r="K9336" s="24" t="s">
        <v>11677</v>
      </c>
      <c r="L9336" s="28" t="s">
        <v>52</v>
      </c>
      <c r="M9336" s="25">
        <v>32000</v>
      </c>
      <c r="N9336" s="27">
        <v>0.22860580382529561</v>
      </c>
    </row>
    <row r="9337" spans="1:14" x14ac:dyDescent="0.15">
      <c r="A9337" s="23" t="str">
        <f>HYPERLINK("https://www.spark-marketing.ru/Card/Person/4426155", "АО ""Р.О.С.СПЕЦТЕХМОНТАЖ""")</f>
        <v>АО "Р.О.С.СПЕЦТЕХМОНТАЖ"</v>
      </c>
      <c r="B9337" s="24" t="s">
        <v>11678</v>
      </c>
      <c r="C9337" s="28" t="s">
        <v>52</v>
      </c>
      <c r="D9337" s="22" t="s">
        <v>11679</v>
      </c>
      <c r="E9337" s="22" t="s">
        <v>53</v>
      </c>
      <c r="F9337" s="23" t="str">
        <f>HYPERLINK("https://www.spark-marketing.ru/Card/Lot/69985312", "АО «Р.О.С.СПЕЦТЕХМОНТАЖ»: Уведомление о проведении закупочной процедуры на оказание услуг физической охраны объекта")</f>
        <v>АО «Р.О.С.СПЕЦТЕХМОНТАЖ»: Уведомление о проведении закупочной процедуры на оказание услуг физической охраны объекта</v>
      </c>
      <c r="G9337" s="22" t="s">
        <v>55</v>
      </c>
      <c r="H9337" s="22" t="s">
        <v>55</v>
      </c>
      <c r="I9337" s="26">
        <v>43577.685416666704</v>
      </c>
      <c r="J9337" s="28" t="s">
        <v>52</v>
      </c>
      <c r="K9337" s="28" t="s">
        <v>52</v>
      </c>
      <c r="L9337" s="28" t="s">
        <v>52</v>
      </c>
      <c r="M9337" s="28" t="s">
        <v>52</v>
      </c>
      <c r="N9337" s="28" t="s">
        <v>52</v>
      </c>
    </row>
    <row r="9338" spans="1:14" x14ac:dyDescent="0.15">
      <c r="A9338" s="23" t="str">
        <f>HYPERLINK("https://www.spark-marketing.ru/Card/Person/48494", "ГБУЗ ""БЕЛЯЕВСКАЯ РБ""")</f>
        <v>ГБУЗ "БЕЛЯЕВСКАЯ РБ"</v>
      </c>
      <c r="B9338" s="24" t="s">
        <v>11680</v>
      </c>
      <c r="C9338" s="25">
        <v>72000</v>
      </c>
      <c r="D9338" s="22" t="s">
        <v>11681</v>
      </c>
      <c r="E9338" s="22" t="s">
        <v>107</v>
      </c>
      <c r="F9338" s="23" t="str">
        <f>HYPERLINK("https://www.spark-marketing.ru/Card/Lot/69984190", "на оказание услуг по техническому обслуживанию комплекса технических средств охраны")</f>
        <v>на оказание услуг по техническому обслуживанию комплекса технических средств охраны</v>
      </c>
      <c r="G9338" s="22" t="s">
        <v>384</v>
      </c>
      <c r="H9338" s="22" t="s">
        <v>11682</v>
      </c>
      <c r="I9338" s="26">
        <v>43577.686111111099</v>
      </c>
      <c r="J9338" s="28" t="s">
        <v>52</v>
      </c>
      <c r="K9338" s="28" t="s">
        <v>52</v>
      </c>
      <c r="L9338" s="28" t="s">
        <v>52</v>
      </c>
      <c r="M9338" s="28" t="s">
        <v>52</v>
      </c>
      <c r="N9338" s="28" t="s">
        <v>52</v>
      </c>
    </row>
    <row r="9339" spans="1:14" hidden="1" outlineLevel="1" x14ac:dyDescent="0.2">
      <c r="A9339" s="23" t="str">
        <f>HYPERLINK("https://www.spark-marketing.ru/Card/Person/48494", "ГБУЗ ""БЕЛЯЕВСКАЯ РБ""")</f>
        <v>ГБУЗ "БЕЛЯЕВСКАЯ РБ"</v>
      </c>
      <c r="B9339" s="24" t="s">
        <v>11680</v>
      </c>
      <c r="C9339" s="25">
        <v>72000</v>
      </c>
      <c r="D9339" s="22" t="s">
        <v>11681</v>
      </c>
      <c r="E9339" s="22" t="s">
        <v>107</v>
      </c>
      <c r="F9339" s="23" t="str">
        <f>HYPERLINK("https://www.spark-marketing.ru/Card/Lot/69984190", "на оказание услуг по техническому обслуживанию комплекса технических средств охраны")</f>
        <v>на оказание услуг по техническому обслуживанию комплекса технических средств охраны</v>
      </c>
      <c r="G9339" s="22" t="s">
        <v>384</v>
      </c>
      <c r="H9339" s="22" t="s">
        <v>11682</v>
      </c>
      <c r="I9339" s="26">
        <v>43577.686111111099</v>
      </c>
      <c r="J9339" s="23" t="str">
        <f>HYPERLINK("https://www.spark-marketing.ru/Card/Person/5691233", "ФЛ ФГУП ОХРАНА РОСГВАРДИИ ПО ОРЕНБУРГСКОЙ ОБЛ")</f>
        <v>ФЛ ФГУП ОХРАНА РОСГВАРДИИ ПО ОРЕНБУРГСКОЙ ОБЛ</v>
      </c>
      <c r="K9339" s="24" t="s">
        <v>779</v>
      </c>
      <c r="L9339" s="28" t="s">
        <v>52</v>
      </c>
      <c r="M9339" s="25">
        <v>64080</v>
      </c>
      <c r="N9339" s="27">
        <v>0.11</v>
      </c>
    </row>
    <row r="9340" spans="1:14" ht="12.75" hidden="1" outlineLevel="1" x14ac:dyDescent="0.2">
      <c r="A9340" s="23" t="str">
        <f>HYPERLINK("https://www.spark-marketing.ru/Card/Person/48494", "ГБУЗ ""БЕЛЯЕВСКАЯ РБ""")</f>
        <v>ГБУЗ "БЕЛЯЕВСКАЯ РБ"</v>
      </c>
      <c r="B9340" s="24" t="s">
        <v>11680</v>
      </c>
      <c r="C9340" s="25">
        <v>72000</v>
      </c>
      <c r="D9340" s="22" t="s">
        <v>11681</v>
      </c>
      <c r="E9340" s="22" t="s">
        <v>107</v>
      </c>
      <c r="F9340" s="23" t="str">
        <f>HYPERLINK("https://www.spark-marketing.ru/Card/Lot/69984190", "на оказание услуг по техническому обслуживанию комплекса технических средств охраны")</f>
        <v>на оказание услуг по техническому обслуживанию комплекса технических средств охраны</v>
      </c>
      <c r="G9340" s="22" t="s">
        <v>384</v>
      </c>
      <c r="H9340" s="22" t="s">
        <v>11682</v>
      </c>
      <c r="I9340" s="26">
        <v>43577.686111111099</v>
      </c>
      <c r="J9340" s="23" t="str">
        <f>HYPERLINK("https://www.spark-marketing.ru/Card/Person/407619", "ООО ""МАКСИМ""")</f>
        <v>ООО "МАКСИМ"</v>
      </c>
      <c r="K9340" s="24" t="s">
        <v>4479</v>
      </c>
      <c r="L9340" s="22" t="s">
        <v>10</v>
      </c>
      <c r="M9340" s="25">
        <v>63720</v>
      </c>
      <c r="N9340" s="27">
        <v>0.115</v>
      </c>
    </row>
    <row r="9341" spans="1:14" x14ac:dyDescent="0.15">
      <c r="A9341" s="23" t="str">
        <f t="shared" ref="A9341:A9346" si="421">HYPERLINK("https://www.spark-marketing.ru/Card/Person/4343740", "МИНЗДРАВ РОССИИ")</f>
        <v>МИНЗДРАВ РОССИИ</v>
      </c>
      <c r="B9341" s="24" t="s">
        <v>1666</v>
      </c>
      <c r="C9341" s="25">
        <v>98399160</v>
      </c>
      <c r="D9341" s="22" t="s">
        <v>11683</v>
      </c>
      <c r="E9341" s="22" t="s">
        <v>53</v>
      </c>
      <c r="F9341" s="23" t="str">
        <f t="shared" ref="F9341:F9346" si="422">HYPERLINK("https://www.spark-marketing.ru/Card/Lot/69988788", "Иматиниб, капсулы и/или таблетки, покрытые оболочкой, и/или пленочной оболочкой, 100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f>
        <v>Иматиниб, капсулы и/или таблетки, покрытые оболочкой, и/или пленочной оболочкой, 100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v>
      </c>
      <c r="G9341" s="22" t="s">
        <v>428</v>
      </c>
      <c r="H9341" s="22" t="s">
        <v>429</v>
      </c>
      <c r="I9341" s="26">
        <v>43577.704166666699</v>
      </c>
      <c r="J9341" s="28" t="s">
        <v>52</v>
      </c>
      <c r="K9341" s="28" t="s">
        <v>52</v>
      </c>
      <c r="L9341" s="28" t="s">
        <v>52</v>
      </c>
      <c r="M9341" s="28" t="s">
        <v>52</v>
      </c>
      <c r="N9341" s="28" t="s">
        <v>52</v>
      </c>
    </row>
    <row r="9342" spans="1:14" hidden="1" outlineLevel="1" x14ac:dyDescent="0.2">
      <c r="A9342" s="23" t="str">
        <f t="shared" si="421"/>
        <v>МИНЗДРАВ РОССИИ</v>
      </c>
      <c r="B9342" s="24" t="s">
        <v>1666</v>
      </c>
      <c r="C9342" s="25">
        <v>98399160</v>
      </c>
      <c r="D9342" s="22" t="s">
        <v>11683</v>
      </c>
      <c r="E9342" s="22" t="s">
        <v>53</v>
      </c>
      <c r="F9342" s="23" t="str">
        <f t="shared" si="422"/>
        <v>Иматиниб, капсулы и/или таблетки, покрытые оболочкой, и/или пленочной оболочкой, 100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v>
      </c>
      <c r="G9342" s="22" t="s">
        <v>428</v>
      </c>
      <c r="H9342" s="22" t="s">
        <v>429</v>
      </c>
      <c r="I9342" s="26">
        <v>43577.704166666699</v>
      </c>
      <c r="J9342" s="23" t="str">
        <f>HYPERLINK("https://www.spark-marketing.ru/Card/Person/1645502", "ООО ""ТД ""ВИАЛ""")</f>
        <v>ООО "ТД "ВИАЛ"</v>
      </c>
      <c r="K9342" s="24" t="s">
        <v>11684</v>
      </c>
      <c r="L9342" s="28" t="s">
        <v>52</v>
      </c>
      <c r="M9342" s="25">
        <v>43787615.600000001</v>
      </c>
      <c r="N9342" s="27">
        <v>0.55500010772449682</v>
      </c>
    </row>
    <row r="9343" spans="1:14" hidden="1" outlineLevel="1" x14ac:dyDescent="0.2">
      <c r="A9343" s="23" t="str">
        <f t="shared" si="421"/>
        <v>МИНЗДРАВ РОССИИ</v>
      </c>
      <c r="B9343" s="24" t="s">
        <v>1666</v>
      </c>
      <c r="C9343" s="25">
        <v>98399160</v>
      </c>
      <c r="D9343" s="22" t="s">
        <v>11683</v>
      </c>
      <c r="E9343" s="22" t="s">
        <v>53</v>
      </c>
      <c r="F9343" s="23" t="str">
        <f t="shared" si="422"/>
        <v>Иматиниб, капсулы и/или таблетки, покрытые оболочкой, и/или пленочной оболочкой, 100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v>
      </c>
      <c r="G9343" s="22" t="s">
        <v>428</v>
      </c>
      <c r="H9343" s="22" t="s">
        <v>429</v>
      </c>
      <c r="I9343" s="26">
        <v>43577.704166666699</v>
      </c>
      <c r="J9343" s="23" t="str">
        <f>HYPERLINK("https://www.spark-marketing.ru/Card/Person/2504394", "ООО ""ФАРМАКТИВЫ КАПИТАЛ""")</f>
        <v>ООО "ФАРМАКТИВЫ КАПИТАЛ"</v>
      </c>
      <c r="K9343" s="24" t="s">
        <v>7935</v>
      </c>
      <c r="L9343" s="28" t="s">
        <v>52</v>
      </c>
      <c r="M9343" s="25">
        <v>43295619.799999997</v>
      </c>
      <c r="N9343" s="27">
        <v>0.56000010772449682</v>
      </c>
    </row>
    <row r="9344" spans="1:14" hidden="1" outlineLevel="1" x14ac:dyDescent="0.2">
      <c r="A9344" s="23" t="str">
        <f t="shared" si="421"/>
        <v>МИНЗДРАВ РОССИИ</v>
      </c>
      <c r="B9344" s="24" t="s">
        <v>1666</v>
      </c>
      <c r="C9344" s="25">
        <v>98399160</v>
      </c>
      <c r="D9344" s="22" t="s">
        <v>11683</v>
      </c>
      <c r="E9344" s="22" t="s">
        <v>53</v>
      </c>
      <c r="F9344" s="23" t="str">
        <f t="shared" si="422"/>
        <v>Иматиниб, капсулы и/или таблетки, покрытые оболочкой, и/или пленочной оболочкой, 100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v>
      </c>
      <c r="G9344" s="22" t="s">
        <v>428</v>
      </c>
      <c r="H9344" s="22" t="s">
        <v>429</v>
      </c>
      <c r="I9344" s="26">
        <v>43577.704166666699</v>
      </c>
      <c r="J9344" s="23" t="str">
        <f>HYPERLINK("https://www.spark-marketing.ru/Card/Person/216584", "ООО ""АЛВИЛС""")</f>
        <v>ООО "АЛВИЛС"</v>
      </c>
      <c r="K9344" s="24" t="s">
        <v>11685</v>
      </c>
      <c r="L9344" s="28" t="s">
        <v>52</v>
      </c>
      <c r="M9344" s="25">
        <v>60515472.799999997</v>
      </c>
      <c r="N9344" s="27">
        <v>0.38500010772449683</v>
      </c>
    </row>
    <row r="9345" spans="1:14" ht="12.75" hidden="1" outlineLevel="1" x14ac:dyDescent="0.2">
      <c r="A9345" s="23" t="str">
        <f t="shared" si="421"/>
        <v>МИНЗДРАВ РОССИИ</v>
      </c>
      <c r="B9345" s="24" t="s">
        <v>1666</v>
      </c>
      <c r="C9345" s="25">
        <v>98399160</v>
      </c>
      <c r="D9345" s="22" t="s">
        <v>11683</v>
      </c>
      <c r="E9345" s="22" t="s">
        <v>53</v>
      </c>
      <c r="F9345" s="23" t="str">
        <f t="shared" si="422"/>
        <v>Иматиниб, капсулы и/или таблетки, покрытые оболочкой, и/или пленочной оболочкой, 100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v>
      </c>
      <c r="G9345" s="22" t="s">
        <v>428</v>
      </c>
      <c r="H9345" s="22" t="s">
        <v>429</v>
      </c>
      <c r="I9345" s="26">
        <v>43577.704166666699</v>
      </c>
      <c r="J9345" s="23" t="str">
        <f>HYPERLINK("https://www.spark-marketing.ru/Card/Person/5942026", "ООО ""ФАРМАСИНТЕЗ-РИТЕЙЛ""")</f>
        <v>ООО "ФАРМАСИНТЕЗ-РИТЕЙЛ"</v>
      </c>
      <c r="K9345" s="24" t="s">
        <v>11686</v>
      </c>
      <c r="L9345" s="22" t="s">
        <v>10</v>
      </c>
      <c r="M9345" s="25">
        <v>42803624</v>
      </c>
      <c r="N9345" s="27">
        <v>0.56500010772449683</v>
      </c>
    </row>
    <row r="9346" spans="1:14" hidden="1" outlineLevel="1" x14ac:dyDescent="0.2">
      <c r="A9346" s="23" t="str">
        <f t="shared" si="421"/>
        <v>МИНЗДРАВ РОССИИ</v>
      </c>
      <c r="B9346" s="24" t="s">
        <v>1666</v>
      </c>
      <c r="C9346" s="25">
        <v>98399160</v>
      </c>
      <c r="D9346" s="22" t="s">
        <v>11683</v>
      </c>
      <c r="E9346" s="22" t="s">
        <v>53</v>
      </c>
      <c r="F9346" s="23" t="str">
        <f t="shared" si="422"/>
        <v>Иматиниб, капсулы и/или таблетки, покрытые оболочкой, и/или пленочной оболочкой, 100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v>
      </c>
      <c r="G9346" s="22" t="s">
        <v>428</v>
      </c>
      <c r="H9346" s="22" t="s">
        <v>429</v>
      </c>
      <c r="I9346" s="26">
        <v>43577.704166666699</v>
      </c>
      <c r="J9346" s="23" t="str">
        <f>HYPERLINK("https://www.spark-marketing.ru/Card/Person/50996", "ООО ""БИОТЭК""")</f>
        <v>ООО "БИОТЭК"</v>
      </c>
      <c r="K9346" s="24" t="s">
        <v>3462</v>
      </c>
      <c r="L9346" s="28" t="s">
        <v>52</v>
      </c>
      <c r="M9346" s="25">
        <v>83147282.209999993</v>
      </c>
      <c r="N9346" s="27">
        <v>0.15500008119988015</v>
      </c>
    </row>
    <row r="9347" spans="1:14" x14ac:dyDescent="0.2">
      <c r="A9347" s="23" t="str">
        <f>HYPERLINK("https://www.spark-marketing.ru/Card/Person/2074", "ФГБУ ФИПС, ФЕДЕРАЛЬНЫЙ ИНСТИТУТ ПРОМЫШЛЕННОЙ СОБСТВЕННОСТИ, ФИПС")</f>
        <v>ФГБУ ФИПС, ФЕДЕРАЛЬНЫЙ ИНСТИТУТ ПРОМЫШЛЕННОЙ СОБСТВЕННОСТИ, ФИПС</v>
      </c>
      <c r="B9347" s="24" t="s">
        <v>11687</v>
      </c>
      <c r="C9347" s="25">
        <v>29900000</v>
      </c>
      <c r="D9347" s="22" t="s">
        <v>11688</v>
      </c>
      <c r="E9347" s="22" t="s">
        <v>298</v>
      </c>
      <c r="F9347" s="23" t="str">
        <f>HYPERLINK("https://www.spark-marketing.ru/Card/Lot/69985103", "Сопровождение автоматизированных систем делопроизводства по заявлениям на государственную регистрацию национальных товарных знаков, промышленных образцов, программ для ЭВМ, баз данных и топологий интегральных микросхем, по заявкам и регистрациям, под...")</f>
        <v>Сопровождение автоматизированных систем делопроизводства по заявлениям на государственную регистрацию национальных товарных знаков, промышленных образцов, программ для ЭВМ, баз данных и топологий интегральных микросхем, по заявкам и регистрациям, под...</v>
      </c>
      <c r="G9347" s="22" t="s">
        <v>55</v>
      </c>
      <c r="H9347" s="22" t="s">
        <v>55</v>
      </c>
      <c r="I9347" s="26">
        <v>43577.638888888898</v>
      </c>
      <c r="J9347" s="23" t="str">
        <f>HYPERLINK("https://www.spark-marketing.ru/Card/Person/116559", "ООО ""ИНФОРМАЦИОННЫЕ ТЕХНОЛОГИИ БУДУЩЕГО""")</f>
        <v>ООО "ИНФОРМАЦИОННЫЕ ТЕХНОЛОГИИ БУДУЩЕГО"</v>
      </c>
      <c r="K9347" s="24" t="s">
        <v>11689</v>
      </c>
      <c r="L9347" s="28" t="s">
        <v>52</v>
      </c>
      <c r="M9347" s="25">
        <v>29551000</v>
      </c>
      <c r="N9347" s="27">
        <v>1.1672240802675586E-2</v>
      </c>
    </row>
    <row r="9348" spans="1:14" x14ac:dyDescent="0.15">
      <c r="A9348" s="23" t="str">
        <f>HYPERLINK("https://www.spark-marketing.ru/Card/Person/4372672", "МБУК ""КДЦ""")</f>
        <v>МБУК "КДЦ"</v>
      </c>
      <c r="B9348" s="24" t="s">
        <v>11690</v>
      </c>
      <c r="C9348" s="25">
        <v>15721.92</v>
      </c>
      <c r="D9348" s="22" t="s">
        <v>11691</v>
      </c>
      <c r="E9348" s="22" t="s">
        <v>208</v>
      </c>
      <c r="F9348" s="23" t="str">
        <f>HYPERLINK("https://www.spark-marketing.ru/Card/Lot/69983960", "Услуга по охране имущества «Заказчика» на условиях настоящего контракта при помощи средств охранной сигнализации, выдающих по каналам связи информацию на пульт централизованной охраны (далее - ПЦО), от несанкционированного проникновения лиц в охраняе...")</f>
        <v>Услуга по охране имущества «Заказчика» на условиях настоящего контракта при помощи средств охранной сигнализации, выдающих по каналам связи информацию на пульт централизованной охраны (далее - ПЦО), от несанкционированного проникновения лиц в охраняе...</v>
      </c>
      <c r="G9348" s="22" t="s">
        <v>1053</v>
      </c>
      <c r="H9348" s="22" t="s">
        <v>3239</v>
      </c>
      <c r="I9348" s="26">
        <v>43577.640277777798</v>
      </c>
      <c r="J9348" s="28" t="s">
        <v>52</v>
      </c>
      <c r="K9348" s="28" t="s">
        <v>52</v>
      </c>
      <c r="L9348" s="28" t="s">
        <v>52</v>
      </c>
      <c r="M9348" s="28" t="s">
        <v>52</v>
      </c>
      <c r="N9348" s="28" t="s">
        <v>52</v>
      </c>
    </row>
    <row r="9349" spans="1:14" x14ac:dyDescent="0.15">
      <c r="A9349" s="23" t="str">
        <f>HYPERLINK("https://www.spark-marketing.ru/Card/Person/4375525", "ИПРИМ РАН")</f>
        <v>ИПРИМ РАН</v>
      </c>
      <c r="B9349" s="24" t="s">
        <v>11692</v>
      </c>
      <c r="C9349" s="25">
        <v>33830.04</v>
      </c>
      <c r="D9349" s="22" t="s">
        <v>11693</v>
      </c>
      <c r="E9349" s="22" t="s">
        <v>107</v>
      </c>
      <c r="F9349" s="23" t="str">
        <f>HYPERLINK("https://www.spark-marketing.ru/Card/Lot/69986440", "Техническое обслуживание комплекса технических средст вневедомственной охраны")</f>
        <v>Техническое обслуживание комплекса технических средст вневедомственной охраны</v>
      </c>
      <c r="G9349" s="22" t="s">
        <v>55</v>
      </c>
      <c r="H9349" s="22" t="s">
        <v>55</v>
      </c>
      <c r="I9349" s="26">
        <v>43577.636111111096</v>
      </c>
      <c r="J9349" s="28" t="s">
        <v>52</v>
      </c>
      <c r="K9349" s="28" t="s">
        <v>52</v>
      </c>
      <c r="L9349" s="28" t="s">
        <v>52</v>
      </c>
      <c r="M9349" s="28" t="s">
        <v>52</v>
      </c>
      <c r="N9349" s="28" t="s">
        <v>52</v>
      </c>
    </row>
    <row r="9350" spans="1:14" x14ac:dyDescent="0.15">
      <c r="A9350" s="23" t="str">
        <f>HYPERLINK("https://www.spark-marketing.ru/Card/Person/103068", "БУЗОО ""СДТКБ""")</f>
        <v>БУЗОО "СДТКБ"</v>
      </c>
      <c r="B9350" s="24" t="s">
        <v>11694</v>
      </c>
      <c r="C9350" s="25">
        <v>25363.33</v>
      </c>
      <c r="D9350" s="22" t="s">
        <v>11695</v>
      </c>
      <c r="E9350" s="22" t="s">
        <v>68</v>
      </c>
      <c r="F9350" s="23" t="str">
        <f>HYPERLINK("https://www.spark-marketing.ru/Card/Lot/69975569", "Услуги по охране имущества")</f>
        <v>Услуги по охране имущества</v>
      </c>
      <c r="G9350" s="22" t="s">
        <v>521</v>
      </c>
      <c r="H9350" s="22" t="s">
        <v>522</v>
      </c>
      <c r="I9350" s="26">
        <v>43577.6381944444</v>
      </c>
      <c r="J9350" s="23" t="str">
        <f>HYPERLINK("https://www.spark-marketing.ru/Card/Person/4485266", "ООО ЧОО ""СВОИ""")</f>
        <v>ООО ЧОО "СВОИ"</v>
      </c>
      <c r="K9350" s="24" t="s">
        <v>6675</v>
      </c>
      <c r="L9350" s="28" t="s">
        <v>52</v>
      </c>
      <c r="M9350" s="28" t="s">
        <v>52</v>
      </c>
      <c r="N9350" s="28" t="s">
        <v>52</v>
      </c>
    </row>
    <row r="9351" spans="1:14" ht="12.75" hidden="1" outlineLevel="1" x14ac:dyDescent="0.2">
      <c r="A9351" s="23" t="str">
        <f>HYPERLINK("https://www.spark-marketing.ru/Card/Person/103068", "БУЗОО ""СДТКБ""")</f>
        <v>БУЗОО "СДТКБ"</v>
      </c>
      <c r="B9351" s="24" t="s">
        <v>11694</v>
      </c>
      <c r="C9351" s="25">
        <v>25363.33</v>
      </c>
      <c r="D9351" s="22" t="s">
        <v>11695</v>
      </c>
      <c r="E9351" s="22" t="s">
        <v>68</v>
      </c>
      <c r="F9351" s="23" t="str">
        <f>HYPERLINK("https://www.spark-marketing.ru/Card/Lot/69975569", "Услуги по охране имущества")</f>
        <v>Услуги по охране имущества</v>
      </c>
      <c r="G9351" s="22" t="s">
        <v>521</v>
      </c>
      <c r="H9351" s="22" t="s">
        <v>522</v>
      </c>
      <c r="I9351" s="26">
        <v>43577.6381944444</v>
      </c>
      <c r="J9351" s="23" t="str">
        <f>HYPERLINK("https://www.spark-marketing.ru/Card/Person/4485266", "ООО ЧОО ""СВОИ""")</f>
        <v>ООО ЧОО "СВОИ"</v>
      </c>
      <c r="K9351" s="24" t="s">
        <v>6675</v>
      </c>
      <c r="L9351" s="22" t="s">
        <v>10</v>
      </c>
      <c r="M9351" s="25">
        <v>25236.51</v>
      </c>
      <c r="N9351" s="27">
        <v>5.0001320804484266E-3</v>
      </c>
    </row>
    <row r="9352" spans="1:14" x14ac:dyDescent="0.15">
      <c r="A9352" s="23" t="str">
        <f>HYPERLINK("https://www.spark-marketing.ru/Card/Person/65554", "ГБПОУ МО ""УОР № 5""")</f>
        <v>ГБПОУ МО "УОР № 5"</v>
      </c>
      <c r="B9352" s="24" t="s">
        <v>3524</v>
      </c>
      <c r="C9352" s="25">
        <v>65336</v>
      </c>
      <c r="D9352" s="22" t="s">
        <v>11696</v>
      </c>
      <c r="E9352" s="22" t="s">
        <v>103</v>
      </c>
      <c r="F9352" s="23" t="str">
        <f>HYPERLINK("https://www.spark-marketing.ru/Card/Lot/69982408", "Оказание услуг по техническому обслуживанию системы внутреннего видеонаблюдения")</f>
        <v>Оказание услуг по техническому обслуживанию системы внутреннего видеонаблюдения</v>
      </c>
      <c r="G9352" s="22" t="s">
        <v>50</v>
      </c>
      <c r="H9352" s="22" t="s">
        <v>3526</v>
      </c>
      <c r="I9352" s="26">
        <v>43577.628472222197</v>
      </c>
      <c r="J9352" s="28" t="s">
        <v>52</v>
      </c>
      <c r="K9352" s="28" t="s">
        <v>52</v>
      </c>
      <c r="L9352" s="28" t="s">
        <v>52</v>
      </c>
      <c r="M9352" s="28" t="s">
        <v>52</v>
      </c>
      <c r="N9352" s="28" t="s">
        <v>52</v>
      </c>
    </row>
    <row r="9353" spans="1:14" x14ac:dyDescent="0.15">
      <c r="A9353" s="23" t="str">
        <f t="shared" ref="A9353:A9361" si="423">HYPERLINK("https://www.spark-marketing.ru/Card/Person/102763", "АДМИНИСТРАЦИЯ ГОРОДСКОГО ПОСЕЛЕНИЯ ГОРОД ТУЙМАЗЫ МУНИЦИПАЛЬНОГО РАЙОНА ТУЙМАЗИНСКИЙ РАЙОН РЕСПУБЛИКИ БАШКОРТОСТАН")</f>
        <v>АДМИНИСТРАЦИЯ ГОРОДСКОГО ПОСЕЛЕНИЯ ГОРОД ТУЙМАЗЫ МУНИЦИПАЛЬНОГО РАЙОНА ТУЙМАЗИНСКИЙ РАЙОН РЕСПУБЛИКИ БАШКОРТОСТАН</v>
      </c>
      <c r="B9353" s="24" t="s">
        <v>11697</v>
      </c>
      <c r="C9353" s="25">
        <v>2300000</v>
      </c>
      <c r="D9353" s="22" t="s">
        <v>11698</v>
      </c>
      <c r="E9353" s="22" t="s">
        <v>376</v>
      </c>
      <c r="F9353" s="23" t="str">
        <f t="shared" ref="F9353:F9361" si="424">HYPERLINK("https://www.spark-marketing.ru/Card/Lot/69977123", "Поставка и установка видеоэкрана на площади Октября в городском поселении город Туймазы муниципального района Туймазинский район Республики Башкортостан")</f>
        <v>Поставка и установка видеоэкрана на площади Октября в городском поселении город Туймазы муниципального района Туймазинский район Республики Башкортостан</v>
      </c>
      <c r="G9353" s="22" t="s">
        <v>100</v>
      </c>
      <c r="H9353" s="22" t="s">
        <v>8992</v>
      </c>
      <c r="I9353" s="26">
        <v>43577.636805555601</v>
      </c>
      <c r="J9353" s="28" t="s">
        <v>52</v>
      </c>
      <c r="K9353" s="28" t="s">
        <v>52</v>
      </c>
      <c r="L9353" s="28" t="s">
        <v>52</v>
      </c>
      <c r="M9353" s="28" t="s">
        <v>52</v>
      </c>
      <c r="N9353" s="28" t="s">
        <v>52</v>
      </c>
    </row>
    <row r="9354" spans="1:14" hidden="1" outlineLevel="1" x14ac:dyDescent="0.2">
      <c r="A9354" s="23" t="str">
        <f t="shared" si="423"/>
        <v>АДМИНИСТРАЦИЯ ГОРОДСКОГО ПОСЕЛЕНИЯ ГОРОД ТУЙМАЗЫ МУНИЦИПАЛЬНОГО РАЙОНА ТУЙМАЗИНСКИЙ РАЙОН РЕСПУБЛИКИ БАШКОРТОСТАН</v>
      </c>
      <c r="B9354" s="24" t="s">
        <v>11697</v>
      </c>
      <c r="C9354" s="25">
        <v>2300000</v>
      </c>
      <c r="D9354" s="22" t="s">
        <v>11698</v>
      </c>
      <c r="E9354" s="22" t="s">
        <v>376</v>
      </c>
      <c r="F9354" s="23" t="str">
        <f t="shared" si="424"/>
        <v>Поставка и установка видеоэкрана на площади Октября в городском поселении город Туймазы муниципального района Туймазинский район Республики Башкортостан</v>
      </c>
      <c r="G9354" s="22" t="s">
        <v>100</v>
      </c>
      <c r="H9354" s="22" t="s">
        <v>8992</v>
      </c>
      <c r="I9354" s="26">
        <v>43577.636805555601</v>
      </c>
      <c r="J9354" s="23" t="str">
        <f>HYPERLINK("https://www.spark-marketing.ru/Card/Person/4360664", "Лукашов Олег Викторович")</f>
        <v>Лукашов Олег Викторович</v>
      </c>
      <c r="K9354" s="24" t="s">
        <v>11699</v>
      </c>
      <c r="L9354" s="28" t="s">
        <v>52</v>
      </c>
      <c r="M9354" s="25">
        <v>2299999.9900000002</v>
      </c>
      <c r="N9354" s="27">
        <v>4.3478260869565217E-9</v>
      </c>
    </row>
    <row r="9355" spans="1:14" hidden="1" outlineLevel="1" x14ac:dyDescent="0.2">
      <c r="A9355" s="23" t="str">
        <f t="shared" si="423"/>
        <v>АДМИНИСТРАЦИЯ ГОРОДСКОГО ПОСЕЛЕНИЯ ГОРОД ТУЙМАЗЫ МУНИЦИПАЛЬНОГО РАЙОНА ТУЙМАЗИНСКИЙ РАЙОН РЕСПУБЛИКИ БАШКОРТОСТАН</v>
      </c>
      <c r="B9355" s="24" t="s">
        <v>11697</v>
      </c>
      <c r="C9355" s="25">
        <v>2300000</v>
      </c>
      <c r="D9355" s="22" t="s">
        <v>11698</v>
      </c>
      <c r="E9355" s="22" t="s">
        <v>376</v>
      </c>
      <c r="F9355" s="23" t="str">
        <f t="shared" si="424"/>
        <v>Поставка и установка видеоэкрана на площади Октября в городском поселении город Туймазы муниципального района Туймазинский район Республики Башкортостан</v>
      </c>
      <c r="G9355" s="22" t="s">
        <v>100</v>
      </c>
      <c r="H9355" s="22" t="s">
        <v>8992</v>
      </c>
      <c r="I9355" s="26">
        <v>43577.636805555601</v>
      </c>
      <c r="J9355" s="23" t="str">
        <f>HYPERLINK("https://www.spark-marketing.ru/Card/Person/6297456", "ООО ""ЭЛЕКС""")</f>
        <v>ООО "ЭЛЕКС"</v>
      </c>
      <c r="K9355" s="24" t="s">
        <v>11700</v>
      </c>
      <c r="L9355" s="28" t="s">
        <v>52</v>
      </c>
      <c r="M9355" s="25">
        <v>1873500</v>
      </c>
      <c r="N9355" s="27">
        <v>0.18543478260869564</v>
      </c>
    </row>
    <row r="9356" spans="1:14" ht="12.75" hidden="1" outlineLevel="1" x14ac:dyDescent="0.2">
      <c r="A9356" s="23" t="str">
        <f t="shared" si="423"/>
        <v>АДМИНИСТРАЦИЯ ГОРОДСКОГО ПОСЕЛЕНИЯ ГОРОД ТУЙМАЗЫ МУНИЦИПАЛЬНОГО РАЙОНА ТУЙМАЗИНСКИЙ РАЙОН РЕСПУБЛИКИ БАШКОРТОСТАН</v>
      </c>
      <c r="B9356" s="24" t="s">
        <v>11697</v>
      </c>
      <c r="C9356" s="25">
        <v>2300000</v>
      </c>
      <c r="D9356" s="22" t="s">
        <v>11698</v>
      </c>
      <c r="E9356" s="22" t="s">
        <v>376</v>
      </c>
      <c r="F9356" s="23" t="str">
        <f t="shared" si="424"/>
        <v>Поставка и установка видеоэкрана на площади Октября в городском поселении город Туймазы муниципального района Туймазинский район Республики Башкортостан</v>
      </c>
      <c r="G9356" s="22" t="s">
        <v>100</v>
      </c>
      <c r="H9356" s="22" t="s">
        <v>8992</v>
      </c>
      <c r="I9356" s="26">
        <v>43577.636805555601</v>
      </c>
      <c r="J9356" s="23" t="str">
        <f>HYPERLINK("https://www.spark-marketing.ru/Card/Person/4682213", "Камилова Кристина Сергеевна")</f>
        <v>Камилова Кристина Сергеевна</v>
      </c>
      <c r="K9356" s="24" t="s">
        <v>11701</v>
      </c>
      <c r="L9356" s="22" t="s">
        <v>10</v>
      </c>
      <c r="M9356" s="25">
        <v>2093000</v>
      </c>
      <c r="N9356" s="27">
        <v>0.09</v>
      </c>
    </row>
    <row r="9357" spans="1:14" hidden="1" outlineLevel="1" x14ac:dyDescent="0.2">
      <c r="A9357" s="23" t="str">
        <f t="shared" si="423"/>
        <v>АДМИНИСТРАЦИЯ ГОРОДСКОГО ПОСЕЛЕНИЯ ГОРОД ТУЙМАЗЫ МУНИЦИПАЛЬНОГО РАЙОНА ТУЙМАЗИНСКИЙ РАЙОН РЕСПУБЛИКИ БАШКОРТОСТАН</v>
      </c>
      <c r="B9357" s="24" t="s">
        <v>11697</v>
      </c>
      <c r="C9357" s="25">
        <v>2300000</v>
      </c>
      <c r="D9357" s="22" t="s">
        <v>11698</v>
      </c>
      <c r="E9357" s="22" t="s">
        <v>376</v>
      </c>
      <c r="F9357" s="23" t="str">
        <f t="shared" si="424"/>
        <v>Поставка и установка видеоэкрана на площади Октября в городском поселении город Туймазы муниципального района Туймазинский район Республики Башкортостан</v>
      </c>
      <c r="G9357" s="22" t="s">
        <v>100</v>
      </c>
      <c r="H9357" s="22" t="s">
        <v>8992</v>
      </c>
      <c r="I9357" s="26">
        <v>43577.636805555601</v>
      </c>
      <c r="J9357" s="23" t="str">
        <f>HYPERLINK("https://www.spark-marketing.ru/Card/Person/195460", "ООО ""АЛЬБЕЯ-ТЕХПРОЕКТ""")</f>
        <v>ООО "АЛЬБЕЯ-ТЕХПРОЕКТ"</v>
      </c>
      <c r="K9357" s="24" t="s">
        <v>11702</v>
      </c>
      <c r="L9357" s="28" t="s">
        <v>52</v>
      </c>
      <c r="M9357" s="25">
        <v>1700000</v>
      </c>
      <c r="N9357" s="27">
        <v>0.2608695652173913</v>
      </c>
    </row>
    <row r="9358" spans="1:14" hidden="1" outlineLevel="1" x14ac:dyDescent="0.2">
      <c r="A9358" s="23" t="str">
        <f t="shared" si="423"/>
        <v>АДМИНИСТРАЦИЯ ГОРОДСКОГО ПОСЕЛЕНИЯ ГОРОД ТУЙМАЗЫ МУНИЦИПАЛЬНОГО РАЙОНА ТУЙМАЗИНСКИЙ РАЙОН РЕСПУБЛИКИ БАШКОРТОСТАН</v>
      </c>
      <c r="B9358" s="24" t="s">
        <v>11697</v>
      </c>
      <c r="C9358" s="25">
        <v>2300000</v>
      </c>
      <c r="D9358" s="22" t="s">
        <v>11698</v>
      </c>
      <c r="E9358" s="22" t="s">
        <v>376</v>
      </c>
      <c r="F9358" s="23" t="str">
        <f t="shared" si="424"/>
        <v>Поставка и установка видеоэкрана на площади Октября в городском поселении город Туймазы муниципального района Туймазинский район Республики Башкортостан</v>
      </c>
      <c r="G9358" s="22" t="s">
        <v>100</v>
      </c>
      <c r="H9358" s="22" t="s">
        <v>8992</v>
      </c>
      <c r="I9358" s="26">
        <v>43577.636805555601</v>
      </c>
      <c r="J9358" s="23" t="str">
        <f>HYPERLINK("https://www.spark-marketing.ru/Card/Person/6270752", "ООО ""ЭВЕРЕСТ""")</f>
        <v>ООО "ЭВЕРЕСТ"</v>
      </c>
      <c r="K9358" s="24" t="s">
        <v>11703</v>
      </c>
      <c r="L9358" s="28" t="s">
        <v>52</v>
      </c>
      <c r="M9358" s="25">
        <v>1738500</v>
      </c>
      <c r="N9358" s="27">
        <v>0.24413043478260871</v>
      </c>
    </row>
    <row r="9359" spans="1:14" hidden="1" outlineLevel="1" x14ac:dyDescent="0.2">
      <c r="A9359" s="23" t="str">
        <f t="shared" si="423"/>
        <v>АДМИНИСТРАЦИЯ ГОРОДСКОГО ПОСЕЛЕНИЯ ГОРОД ТУЙМАЗЫ МУНИЦИПАЛЬНОГО РАЙОНА ТУЙМАЗИНСКИЙ РАЙОН РЕСПУБЛИКИ БАШКОРТОСТАН</v>
      </c>
      <c r="B9359" s="24" t="s">
        <v>11697</v>
      </c>
      <c r="C9359" s="25">
        <v>2300000</v>
      </c>
      <c r="D9359" s="22" t="s">
        <v>11698</v>
      </c>
      <c r="E9359" s="22" t="s">
        <v>376</v>
      </c>
      <c r="F9359" s="23" t="str">
        <f t="shared" si="424"/>
        <v>Поставка и установка видеоэкрана на площади Октября в городском поселении город Туймазы муниципального района Туймазинский район Республики Башкортостан</v>
      </c>
      <c r="G9359" s="22" t="s">
        <v>100</v>
      </c>
      <c r="H9359" s="22" t="s">
        <v>8992</v>
      </c>
      <c r="I9359" s="26">
        <v>43577.636805555601</v>
      </c>
      <c r="J9359" s="23" t="str">
        <f>HYPERLINK("https://www.spark-marketing.ru/Card/Person/4947072", "ООО ""ЭВРИКА""")</f>
        <v>ООО "ЭВРИКА"</v>
      </c>
      <c r="K9359" s="24" t="s">
        <v>11704</v>
      </c>
      <c r="L9359" s="28" t="s">
        <v>52</v>
      </c>
      <c r="M9359" s="25">
        <v>1700000</v>
      </c>
      <c r="N9359" s="27">
        <v>0.2608695652173913</v>
      </c>
    </row>
    <row r="9360" spans="1:14" hidden="1" outlineLevel="1" x14ac:dyDescent="0.2">
      <c r="A9360" s="23" t="str">
        <f t="shared" si="423"/>
        <v>АДМИНИСТРАЦИЯ ГОРОДСКОГО ПОСЕЛЕНИЯ ГОРОД ТУЙМАЗЫ МУНИЦИПАЛЬНОГО РАЙОНА ТУЙМАЗИНСКИЙ РАЙОН РЕСПУБЛИКИ БАШКОРТОСТАН</v>
      </c>
      <c r="B9360" s="24" t="s">
        <v>11697</v>
      </c>
      <c r="C9360" s="25">
        <v>2300000</v>
      </c>
      <c r="D9360" s="22" t="s">
        <v>11698</v>
      </c>
      <c r="E9360" s="22" t="s">
        <v>376</v>
      </c>
      <c r="F9360" s="23" t="str">
        <f t="shared" si="424"/>
        <v>Поставка и установка видеоэкрана на площади Октября в городском поселении город Туймазы муниципального района Туймазинский район Республики Башкортостан</v>
      </c>
      <c r="G9360" s="22" t="s">
        <v>100</v>
      </c>
      <c r="H9360" s="22" t="s">
        <v>8992</v>
      </c>
      <c r="I9360" s="26">
        <v>43577.636805555601</v>
      </c>
      <c r="J9360" s="23" t="str">
        <f>HYPERLINK("https://www.spark-marketing.ru/Card/Person/1305872", "ООО ""МИР""")</f>
        <v>ООО "МИР"</v>
      </c>
      <c r="K9360" s="24" t="s">
        <v>11705</v>
      </c>
      <c r="L9360" s="28" t="s">
        <v>52</v>
      </c>
      <c r="M9360" s="25">
        <v>2288500</v>
      </c>
      <c r="N9360" s="27">
        <v>5.0000000000000001E-3</v>
      </c>
    </row>
    <row r="9361" spans="1:14" hidden="1" outlineLevel="1" x14ac:dyDescent="0.2">
      <c r="A9361" s="23" t="str">
        <f t="shared" si="423"/>
        <v>АДМИНИСТРАЦИЯ ГОРОДСКОГО ПОСЕЛЕНИЯ ГОРОД ТУЙМАЗЫ МУНИЦИПАЛЬНОГО РАЙОНА ТУЙМАЗИНСКИЙ РАЙОН РЕСПУБЛИКИ БАШКОРТОСТАН</v>
      </c>
      <c r="B9361" s="24" t="s">
        <v>11697</v>
      </c>
      <c r="C9361" s="25">
        <v>2300000</v>
      </c>
      <c r="D9361" s="22" t="s">
        <v>11698</v>
      </c>
      <c r="E9361" s="22" t="s">
        <v>376</v>
      </c>
      <c r="F9361" s="23" t="str">
        <f t="shared" si="424"/>
        <v>Поставка и установка видеоэкрана на площади Октября в городском поселении город Туймазы муниципального района Туймазинский район Республики Башкортостан</v>
      </c>
      <c r="G9361" s="22" t="s">
        <v>100</v>
      </c>
      <c r="H9361" s="22" t="s">
        <v>8992</v>
      </c>
      <c r="I9361" s="26">
        <v>43577.636805555601</v>
      </c>
      <c r="J9361" s="23" t="str">
        <f>HYPERLINK("https://www.spark-marketing.ru/Card/Person/5861447", "ООО ""ЛТЛАЙТ""")</f>
        <v>ООО "ЛТЛАЙТ"</v>
      </c>
      <c r="K9361" s="24" t="s">
        <v>9891</v>
      </c>
      <c r="L9361" s="28" t="s">
        <v>52</v>
      </c>
      <c r="M9361" s="25">
        <v>2299999.9900000002</v>
      </c>
      <c r="N9361" s="27">
        <v>4.3478260869565217E-9</v>
      </c>
    </row>
    <row r="9362" spans="1:14" x14ac:dyDescent="0.15">
      <c r="A9362" s="23" t="str">
        <f>HYPERLINK("https://www.spark-marketing.ru/Card/Person/4372672", "МБУК ""КДЦ""")</f>
        <v>МБУК "КДЦ"</v>
      </c>
      <c r="B9362" s="24" t="s">
        <v>11690</v>
      </c>
      <c r="C9362" s="25">
        <v>23219.919999999998</v>
      </c>
      <c r="D9362" s="22" t="s">
        <v>11706</v>
      </c>
      <c r="E9362" s="22" t="s">
        <v>208</v>
      </c>
      <c r="F9362" s="23" t="str">
        <f>HYPERLINK("https://www.spark-marketing.ru/Card/Lot/69986613", "Услуга по охране путем экстренного выезда наряда группы задержания по сигналу «тревога», поступившему из объекта «Заказчика» (далее - «Объект»), указанного в Расчете стоимости услуг «Исполнителя» (Приложение № 1), который прилагается к контракту и яв...")</f>
        <v>Услуга по охране путем экстренного выезда наряда группы задержания по сигналу «тревога», поступившему из объекта «Заказчика» (далее - «Объект»), указанного в Расчете стоимости услуг «Исполнителя» (Приложение № 1), который прилагается к контракту и яв...</v>
      </c>
      <c r="G9362" s="22" t="s">
        <v>1053</v>
      </c>
      <c r="H9362" s="22" t="s">
        <v>3239</v>
      </c>
      <c r="I9362" s="26">
        <v>43577.640972222202</v>
      </c>
      <c r="J9362" s="28" t="s">
        <v>52</v>
      </c>
      <c r="K9362" s="28" t="s">
        <v>52</v>
      </c>
      <c r="L9362" s="28" t="s">
        <v>52</v>
      </c>
      <c r="M9362" s="28" t="s">
        <v>52</v>
      </c>
      <c r="N9362" s="28" t="s">
        <v>52</v>
      </c>
    </row>
    <row r="9363" spans="1:14" x14ac:dyDescent="0.15">
      <c r="A9363" s="23" t="str">
        <f>HYPERLINK("https://www.spark-marketing.ru/Card/Person/4857187", "ФНКЦ РР")</f>
        <v>ФНКЦ РР</v>
      </c>
      <c r="B9363" s="24" t="s">
        <v>11707</v>
      </c>
      <c r="C9363" s="25">
        <v>9237866.4000000004</v>
      </c>
      <c r="D9363" s="22" t="s">
        <v>11708</v>
      </c>
      <c r="E9363" s="22" t="s">
        <v>52</v>
      </c>
      <c r="F9363" s="23" t="str">
        <f>HYPERLINK("https://www.spark-marketing.ru/Card/Lot/69983210", "Оказание услуг по охране объектов ФНКЦ РР")</f>
        <v>Оказание услуг по охране объектов ФНКЦ РР</v>
      </c>
      <c r="G9363" s="22" t="s">
        <v>55</v>
      </c>
      <c r="H9363" s="22" t="s">
        <v>55</v>
      </c>
      <c r="I9363" s="26">
        <v>43577.617361111101</v>
      </c>
      <c r="J9363" s="28" t="s">
        <v>52</v>
      </c>
      <c r="K9363" s="28" t="s">
        <v>52</v>
      </c>
      <c r="L9363" s="28" t="s">
        <v>52</v>
      </c>
      <c r="M9363" s="28" t="s">
        <v>52</v>
      </c>
      <c r="N9363" s="28" t="s">
        <v>52</v>
      </c>
    </row>
    <row r="9364" spans="1:14" hidden="1" outlineLevel="1" x14ac:dyDescent="0.2">
      <c r="A9364" s="23" t="str">
        <f>HYPERLINK("https://www.spark-marketing.ru/Card/Person/4857187", "ФНКЦ РР")</f>
        <v>ФНКЦ РР</v>
      </c>
      <c r="B9364" s="24" t="s">
        <v>11707</v>
      </c>
      <c r="C9364" s="25">
        <v>9237866.4000000004</v>
      </c>
      <c r="D9364" s="22" t="s">
        <v>11708</v>
      </c>
      <c r="E9364" s="22" t="s">
        <v>52</v>
      </c>
      <c r="F9364" s="23" t="str">
        <f>HYPERLINK("https://www.spark-marketing.ru/Card/Lot/69983210", "Оказание услуг по охране объектов ФНКЦ РР")</f>
        <v>Оказание услуг по охране объектов ФНКЦ РР</v>
      </c>
      <c r="G9364" s="22" t="s">
        <v>55</v>
      </c>
      <c r="H9364" s="22" t="s">
        <v>55</v>
      </c>
      <c r="I9364" s="26">
        <v>43577.617361111101</v>
      </c>
      <c r="J9364" s="23" t="str">
        <f>HYPERLINK("https://www.spark-marketing.ru/Card/Person/6460833", "ООО ЧОО ""КАССИС""")</f>
        <v>ООО ЧОО "КАССИС"</v>
      </c>
      <c r="K9364" s="24" t="s">
        <v>11709</v>
      </c>
      <c r="L9364" s="28" t="s">
        <v>52</v>
      </c>
      <c r="M9364" s="25">
        <v>8199990</v>
      </c>
      <c r="N9364" s="27">
        <v>0.11235022840338978</v>
      </c>
    </row>
    <row r="9365" spans="1:14" hidden="1" outlineLevel="1" x14ac:dyDescent="0.2">
      <c r="A9365" s="23" t="str">
        <f>HYPERLINK("https://www.spark-marketing.ru/Card/Person/4857187", "ФНКЦ РР")</f>
        <v>ФНКЦ РР</v>
      </c>
      <c r="B9365" s="24" t="s">
        <v>11707</v>
      </c>
      <c r="C9365" s="25">
        <v>9237866.4000000004</v>
      </c>
      <c r="D9365" s="22" t="s">
        <v>11708</v>
      </c>
      <c r="E9365" s="22" t="s">
        <v>52</v>
      </c>
      <c r="F9365" s="23" t="str">
        <f>HYPERLINK("https://www.spark-marketing.ru/Card/Lot/69983210", "Оказание услуг по охране объектов ФНКЦ РР")</f>
        <v>Оказание услуг по охране объектов ФНКЦ РР</v>
      </c>
      <c r="G9365" s="22" t="s">
        <v>55</v>
      </c>
      <c r="H9365" s="22" t="s">
        <v>55</v>
      </c>
      <c r="I9365" s="26">
        <v>43577.617361111101</v>
      </c>
      <c r="J9365" s="23" t="str">
        <f>HYPERLINK("https://www.spark-marketing.ru/Card/Person/133473", "ООО ЧОП ""ВИКТОРИАЛ СЕКЬЮРИТИ""")</f>
        <v>ООО ЧОП "ВИКТОРИАЛ СЕКЬЮРИТИ"</v>
      </c>
      <c r="K9365" s="24" t="s">
        <v>11710</v>
      </c>
      <c r="L9365" s="28" t="s">
        <v>52</v>
      </c>
      <c r="M9365" s="25">
        <v>8150000</v>
      </c>
      <c r="N9365" s="27">
        <v>0.1177616511102607</v>
      </c>
    </row>
    <row r="9366" spans="1:14" hidden="1" outlineLevel="1" x14ac:dyDescent="0.2">
      <c r="A9366" s="23" t="str">
        <f>HYPERLINK("https://www.spark-marketing.ru/Card/Person/4857187", "ФНКЦ РР")</f>
        <v>ФНКЦ РР</v>
      </c>
      <c r="B9366" s="24" t="s">
        <v>11707</v>
      </c>
      <c r="C9366" s="25">
        <v>9237866.4000000004</v>
      </c>
      <c r="D9366" s="22" t="s">
        <v>11708</v>
      </c>
      <c r="E9366" s="22" t="s">
        <v>52</v>
      </c>
      <c r="F9366" s="23" t="str">
        <f>HYPERLINK("https://www.spark-marketing.ru/Card/Lot/69983210", "Оказание услуг по охране объектов ФНКЦ РР")</f>
        <v>Оказание услуг по охране объектов ФНКЦ РР</v>
      </c>
      <c r="G9366" s="22" t="s">
        <v>55</v>
      </c>
      <c r="H9366" s="22" t="s">
        <v>55</v>
      </c>
      <c r="I9366" s="26">
        <v>43577.617361111101</v>
      </c>
      <c r="J9366" s="23" t="str">
        <f>HYPERLINK("https://www.spark-marketing.ru/Card/Person/4667124", "ООО ""ЧОО ""ПАРКУР""")</f>
        <v>ООО "ЧОО "ПАРКУР"</v>
      </c>
      <c r="K9366" s="24" t="s">
        <v>11711</v>
      </c>
      <c r="L9366" s="28" t="s">
        <v>52</v>
      </c>
      <c r="M9366" s="25">
        <v>7050000</v>
      </c>
      <c r="N9366" s="27">
        <v>0.23683676568433595</v>
      </c>
    </row>
    <row r="9367" spans="1:14" ht="12.75" hidden="1" outlineLevel="1" x14ac:dyDescent="0.2">
      <c r="A9367" s="23" t="str">
        <f>HYPERLINK("https://www.spark-marketing.ru/Card/Person/4857187", "ФНКЦ РР")</f>
        <v>ФНКЦ РР</v>
      </c>
      <c r="B9367" s="24" t="s">
        <v>11707</v>
      </c>
      <c r="C9367" s="25">
        <v>9237866.4000000004</v>
      </c>
      <c r="D9367" s="22" t="s">
        <v>11708</v>
      </c>
      <c r="E9367" s="22" t="s">
        <v>52</v>
      </c>
      <c r="F9367" s="23" t="str">
        <f>HYPERLINK("https://www.spark-marketing.ru/Card/Lot/69983210", "Оказание услуг по охране объектов ФНКЦ РР")</f>
        <v>Оказание услуг по охране объектов ФНКЦ РР</v>
      </c>
      <c r="G9367" s="22" t="s">
        <v>55</v>
      </c>
      <c r="H9367" s="22" t="s">
        <v>55</v>
      </c>
      <c r="I9367" s="26">
        <v>43577.617361111101</v>
      </c>
      <c r="J9367" s="23" t="str">
        <f>HYPERLINK("https://www.spark-marketing.ru/Card/Person/59388", "ООО ЧОО ""АЙСБЕРГ-2011""")</f>
        <v>ООО ЧОО "АЙСБЕРГ-2011"</v>
      </c>
      <c r="K9367" s="24" t="s">
        <v>11712</v>
      </c>
      <c r="L9367" s="22" t="s">
        <v>10</v>
      </c>
      <c r="M9367" s="25">
        <v>7453810.6699999999</v>
      </c>
      <c r="N9367" s="27">
        <v>0.19312421859662313</v>
      </c>
    </row>
    <row r="9368" spans="1:14" x14ac:dyDescent="0.15">
      <c r="A9368" s="23" t="str">
        <f>HYPERLINK("https://www.spark-marketing.ru/Card/Person/4434631", "МДОУ ""ЦРР - Д/С № 147"" Г. МАГНИТОГОРСКА")</f>
        <v>МДОУ "ЦРР - Д/С № 147" Г. МАГНИТОГОРСКА</v>
      </c>
      <c r="B9368" s="24" t="s">
        <v>8338</v>
      </c>
      <c r="C9368" s="28" t="s">
        <v>52</v>
      </c>
      <c r="D9368" s="22" t="s">
        <v>11713</v>
      </c>
      <c r="E9368" s="22" t="s">
        <v>68</v>
      </c>
      <c r="F9368" s="23" t="str">
        <f>HYPERLINK("https://www.spark-marketing.ru/Card/Lot/69982400", "оказание услуг по охране объектов Заказчика с помощью технических средств охраны")</f>
        <v>оказание услуг по охране объектов Заказчика с помощью технических средств охраны</v>
      </c>
      <c r="G9368" s="22" t="s">
        <v>60</v>
      </c>
      <c r="H9368" s="22" t="s">
        <v>221</v>
      </c>
      <c r="I9368" s="26">
        <v>43577.618055555598</v>
      </c>
      <c r="J9368" s="28" t="s">
        <v>52</v>
      </c>
      <c r="K9368" s="28" t="s">
        <v>52</v>
      </c>
      <c r="L9368" s="28" t="s">
        <v>52</v>
      </c>
      <c r="M9368" s="28" t="s">
        <v>52</v>
      </c>
      <c r="N9368" s="28" t="s">
        <v>52</v>
      </c>
    </row>
    <row r="9369" spans="1:14" x14ac:dyDescent="0.15">
      <c r="A9369" s="23" t="str">
        <f>HYPERLINK("https://www.spark-marketing.ru/Card/Person/1763172", "МАОУ БАРЫБИНСКАЯ СОШ")</f>
        <v>МАОУ БАРЫБИНСКАЯ СОШ</v>
      </c>
      <c r="B9369" s="24" t="s">
        <v>11714</v>
      </c>
      <c r="C9369" s="25">
        <v>32000</v>
      </c>
      <c r="D9369" s="22" t="s">
        <v>11715</v>
      </c>
      <c r="E9369" s="22" t="s">
        <v>107</v>
      </c>
      <c r="F9369" s="23" t="str">
        <f>HYPERLINK("https://www.spark-marketing.ru/Card/Lot/69975684", "Оказание охранных услуг")</f>
        <v>Оказание охранных услуг</v>
      </c>
      <c r="G9369" s="22" t="s">
        <v>50</v>
      </c>
      <c r="H9369" s="22" t="s">
        <v>4782</v>
      </c>
      <c r="I9369" s="26">
        <v>43577.5554513889</v>
      </c>
      <c r="J9369" s="28" t="s">
        <v>52</v>
      </c>
      <c r="K9369" s="28" t="s">
        <v>52</v>
      </c>
      <c r="L9369" s="28" t="s">
        <v>52</v>
      </c>
      <c r="M9369" s="28" t="s">
        <v>52</v>
      </c>
      <c r="N9369" s="28" t="s">
        <v>52</v>
      </c>
    </row>
    <row r="9370" spans="1:14" x14ac:dyDescent="0.15">
      <c r="A9370" s="23" t="str">
        <f t="shared" ref="A9370:A9377" si="425">HYPERLINK("https://www.spark-marketing.ru/Card/Person/14725", "ГБДОУ ДЕТСКИЙ САД №21 ПУШКИНСКОГО РАЙОНА САНКТ-ПЕТЕРБУРГА")</f>
        <v>ГБДОУ ДЕТСКИЙ САД №21 ПУШКИНСКОГО РАЙОНА САНКТ-ПЕТЕРБУРГА</v>
      </c>
      <c r="B9370" s="24" t="s">
        <v>11716</v>
      </c>
      <c r="C9370" s="25">
        <v>982094</v>
      </c>
      <c r="D9370" s="22" t="s">
        <v>11717</v>
      </c>
      <c r="E9370" s="22" t="s">
        <v>59</v>
      </c>
      <c r="F9370" s="23" t="str">
        <f t="shared" ref="F9370:F9377" si="426">HYPERLINK("https://www.spark-marketing.ru/Card/Lot/69977044", "Монтаж системы видеонаблюдения в здании ГБДОУ детский сад №21 Пушкинского района Санкт-Петербурга по адресу: Санкт-Петербург, г.Павловск, улица Желябова, дом 6/1, литер А")</f>
        <v>Монтаж системы видеонаблюдения в здании ГБДОУ детский сад №21 Пушкинского района Санкт-Петербурга по адресу: Санкт-Петербург, г.Павловск, улица Желябова, дом 6/1, литер А</v>
      </c>
      <c r="G9370" s="22" t="s">
        <v>89</v>
      </c>
      <c r="H9370" s="22" t="s">
        <v>89</v>
      </c>
      <c r="I9370" s="26">
        <v>43577.539583333302</v>
      </c>
      <c r="J9370" s="28" t="s">
        <v>52</v>
      </c>
      <c r="K9370" s="28" t="s">
        <v>52</v>
      </c>
      <c r="L9370" s="28" t="s">
        <v>52</v>
      </c>
      <c r="M9370" s="28" t="s">
        <v>52</v>
      </c>
      <c r="N9370" s="28" t="s">
        <v>52</v>
      </c>
    </row>
    <row r="9371" spans="1:14" hidden="1" outlineLevel="1" x14ac:dyDescent="0.2">
      <c r="A9371" s="23" t="str">
        <f t="shared" si="425"/>
        <v>ГБДОУ ДЕТСКИЙ САД №21 ПУШКИНСКОГО РАЙОНА САНКТ-ПЕТЕРБУРГА</v>
      </c>
      <c r="B9371" s="24" t="s">
        <v>11716</v>
      </c>
      <c r="C9371" s="25">
        <v>982094</v>
      </c>
      <c r="D9371" s="22" t="s">
        <v>11717</v>
      </c>
      <c r="E9371" s="22" t="s">
        <v>59</v>
      </c>
      <c r="F9371" s="23" t="str">
        <f t="shared" si="426"/>
        <v>Монтаж системы видеонаблюдения в здании ГБДОУ детский сад №21 Пушкинского района Санкт-Петербурга по адресу: Санкт-Петербург, г.Павловск, улица Желябова, дом 6/1, литер А</v>
      </c>
      <c r="G9371" s="22" t="s">
        <v>89</v>
      </c>
      <c r="H9371" s="22" t="s">
        <v>89</v>
      </c>
      <c r="I9371" s="26">
        <v>43577.539583333302</v>
      </c>
      <c r="J9371" s="23" t="str">
        <f>HYPERLINK("https://www.spark-marketing.ru/Card/Person/132600", "ООО ""АСПЕКТ""")</f>
        <v>ООО "АСПЕКТ"</v>
      </c>
      <c r="K9371" s="24" t="s">
        <v>10038</v>
      </c>
      <c r="L9371" s="28" t="s">
        <v>52</v>
      </c>
      <c r="M9371" s="25">
        <v>611701.06999999995</v>
      </c>
      <c r="N9371" s="27">
        <v>0.37714610821367406</v>
      </c>
    </row>
    <row r="9372" spans="1:14" hidden="1" outlineLevel="1" x14ac:dyDescent="0.2">
      <c r="A9372" s="23" t="str">
        <f t="shared" si="425"/>
        <v>ГБДОУ ДЕТСКИЙ САД №21 ПУШКИНСКОГО РАЙОНА САНКТ-ПЕТЕРБУРГА</v>
      </c>
      <c r="B9372" s="24" t="s">
        <v>11716</v>
      </c>
      <c r="C9372" s="25">
        <v>982094</v>
      </c>
      <c r="D9372" s="22" t="s">
        <v>11717</v>
      </c>
      <c r="E9372" s="22" t="s">
        <v>59</v>
      </c>
      <c r="F9372" s="23" t="str">
        <f t="shared" si="426"/>
        <v>Монтаж системы видеонаблюдения в здании ГБДОУ детский сад №21 Пушкинского района Санкт-Петербурга по адресу: Санкт-Петербург, г.Павловск, улица Желябова, дом 6/1, литер А</v>
      </c>
      <c r="G9372" s="22" t="s">
        <v>89</v>
      </c>
      <c r="H9372" s="22" t="s">
        <v>89</v>
      </c>
      <c r="I9372" s="26">
        <v>43577.539583333302</v>
      </c>
      <c r="J9372" s="23" t="str">
        <f>HYPERLINK("https://www.spark-marketing.ru/Card/Person/877770", "ООО ""СИЯНИЕ""")</f>
        <v>ООО "СИЯНИЕ"</v>
      </c>
      <c r="K9372" s="24" t="s">
        <v>5976</v>
      </c>
      <c r="L9372" s="28" t="s">
        <v>52</v>
      </c>
      <c r="M9372" s="25">
        <v>740000</v>
      </c>
      <c r="N9372" s="27">
        <v>0.24650797174201247</v>
      </c>
    </row>
    <row r="9373" spans="1:14" ht="12.75" hidden="1" outlineLevel="1" x14ac:dyDescent="0.2">
      <c r="A9373" s="23" t="str">
        <f t="shared" si="425"/>
        <v>ГБДОУ ДЕТСКИЙ САД №21 ПУШКИНСКОГО РАЙОНА САНКТ-ПЕТЕРБУРГА</v>
      </c>
      <c r="B9373" s="24" t="s">
        <v>11716</v>
      </c>
      <c r="C9373" s="25">
        <v>982094</v>
      </c>
      <c r="D9373" s="22" t="s">
        <v>11717</v>
      </c>
      <c r="E9373" s="22" t="s">
        <v>59</v>
      </c>
      <c r="F9373" s="23" t="str">
        <f t="shared" si="426"/>
        <v>Монтаж системы видеонаблюдения в здании ГБДОУ детский сад №21 Пушкинского района Санкт-Петербурга по адресу: Санкт-Петербург, г.Павловск, улица Желябова, дом 6/1, литер А</v>
      </c>
      <c r="G9373" s="22" t="s">
        <v>89</v>
      </c>
      <c r="H9373" s="22" t="s">
        <v>89</v>
      </c>
      <c r="I9373" s="26">
        <v>43577.539583333302</v>
      </c>
      <c r="J9373" s="23" t="str">
        <f>HYPERLINK("https://www.spark-marketing.ru/Card/Person/6369243", "Караулова Ирина Геннадьевна")</f>
        <v>Караулова Ирина Геннадьевна</v>
      </c>
      <c r="K9373" s="24" t="s">
        <v>11279</v>
      </c>
      <c r="L9373" s="22" t="s">
        <v>10</v>
      </c>
      <c r="M9373" s="25">
        <v>606790.6</v>
      </c>
      <c r="N9373" s="27">
        <v>0.38214610821367406</v>
      </c>
    </row>
    <row r="9374" spans="1:14" hidden="1" outlineLevel="1" x14ac:dyDescent="0.2">
      <c r="A9374" s="23" t="str">
        <f t="shared" si="425"/>
        <v>ГБДОУ ДЕТСКИЙ САД №21 ПУШКИНСКОГО РАЙОНА САНКТ-ПЕТЕРБУРГА</v>
      </c>
      <c r="B9374" s="24" t="s">
        <v>11716</v>
      </c>
      <c r="C9374" s="25">
        <v>982094</v>
      </c>
      <c r="D9374" s="22" t="s">
        <v>11717</v>
      </c>
      <c r="E9374" s="22" t="s">
        <v>59</v>
      </c>
      <c r="F9374" s="23" t="str">
        <f t="shared" si="426"/>
        <v>Монтаж системы видеонаблюдения в здании ГБДОУ детский сад №21 Пушкинского района Санкт-Петербурга по адресу: Санкт-Петербург, г.Павловск, улица Желябова, дом 6/1, литер А</v>
      </c>
      <c r="G9374" s="22" t="s">
        <v>89</v>
      </c>
      <c r="H9374" s="22" t="s">
        <v>89</v>
      </c>
      <c r="I9374" s="26">
        <v>43577.539583333302</v>
      </c>
      <c r="J9374" s="23" t="str">
        <f>HYPERLINK("https://www.spark-marketing.ru/Card/Person/1556733", "Михайлов Дмитрий Олегович")</f>
        <v>Михайлов Дмитрий Олегович</v>
      </c>
      <c r="K9374" s="24" t="s">
        <v>11278</v>
      </c>
      <c r="L9374" s="28" t="s">
        <v>52</v>
      </c>
      <c r="M9374" s="25">
        <v>705000</v>
      </c>
      <c r="N9374" s="27">
        <v>0.28214610821367403</v>
      </c>
    </row>
    <row r="9375" spans="1:14" hidden="1" outlineLevel="1" x14ac:dyDescent="0.2">
      <c r="A9375" s="23" t="str">
        <f t="shared" si="425"/>
        <v>ГБДОУ ДЕТСКИЙ САД №21 ПУШКИНСКОГО РАЙОНА САНКТ-ПЕТЕРБУРГА</v>
      </c>
      <c r="B9375" s="24" t="s">
        <v>11716</v>
      </c>
      <c r="C9375" s="25">
        <v>982094</v>
      </c>
      <c r="D9375" s="22" t="s">
        <v>11717</v>
      </c>
      <c r="E9375" s="22" t="s">
        <v>59</v>
      </c>
      <c r="F9375" s="23" t="str">
        <f t="shared" si="426"/>
        <v>Монтаж системы видеонаблюдения в здании ГБДОУ детский сад №21 Пушкинского района Санкт-Петербурга по адресу: Санкт-Петербург, г.Павловск, улица Желябова, дом 6/1, литер А</v>
      </c>
      <c r="G9375" s="22" t="s">
        <v>89</v>
      </c>
      <c r="H9375" s="22" t="s">
        <v>89</v>
      </c>
      <c r="I9375" s="26">
        <v>43577.539583333302</v>
      </c>
      <c r="J9375" s="23" t="str">
        <f>HYPERLINK("https://www.spark-marketing.ru/Card/Person/171473", "ООО ""БИСМАРК.ТВ""")</f>
        <v>ООО "БИСМАРК.ТВ"</v>
      </c>
      <c r="K9375" s="24" t="s">
        <v>10897</v>
      </c>
      <c r="L9375" s="28" t="s">
        <v>52</v>
      </c>
      <c r="M9375" s="25">
        <v>790537.18</v>
      </c>
      <c r="N9375" s="27">
        <v>0.19504937409250031</v>
      </c>
    </row>
    <row r="9376" spans="1:14" hidden="1" outlineLevel="1" x14ac:dyDescent="0.2">
      <c r="A9376" s="23" t="str">
        <f t="shared" si="425"/>
        <v>ГБДОУ ДЕТСКИЙ САД №21 ПУШКИНСКОГО РАЙОНА САНКТ-ПЕТЕРБУРГА</v>
      </c>
      <c r="B9376" s="24" t="s">
        <v>11716</v>
      </c>
      <c r="C9376" s="25">
        <v>982094</v>
      </c>
      <c r="D9376" s="22" t="s">
        <v>11717</v>
      </c>
      <c r="E9376" s="22" t="s">
        <v>59</v>
      </c>
      <c r="F9376" s="23" t="str">
        <f t="shared" si="426"/>
        <v>Монтаж системы видеонаблюдения в здании ГБДОУ детский сад №21 Пушкинского района Санкт-Петербурга по адресу: Санкт-Петербург, г.Павловск, улица Желябова, дом 6/1, литер А</v>
      </c>
      <c r="G9376" s="22" t="s">
        <v>89</v>
      </c>
      <c r="H9376" s="22" t="s">
        <v>89</v>
      </c>
      <c r="I9376" s="26">
        <v>43577.539583333302</v>
      </c>
      <c r="J9376" s="23" t="str">
        <f>HYPERLINK("https://www.spark-marketing.ru/Card/Person/6426452", "ООО ""АЛЬППРОЕКТ""")</f>
        <v>ООО "АЛЬППРОЕКТ"</v>
      </c>
      <c r="K9376" s="24" t="s">
        <v>11718</v>
      </c>
      <c r="L9376" s="28" t="s">
        <v>52</v>
      </c>
      <c r="M9376" s="25">
        <v>977183.53</v>
      </c>
      <c r="N9376" s="27">
        <v>5.0000000000000001E-3</v>
      </c>
    </row>
    <row r="9377" spans="1:14" hidden="1" outlineLevel="1" x14ac:dyDescent="0.2">
      <c r="A9377" s="23" t="str">
        <f t="shared" si="425"/>
        <v>ГБДОУ ДЕТСКИЙ САД №21 ПУШКИНСКОГО РАЙОНА САНКТ-ПЕТЕРБУРГА</v>
      </c>
      <c r="B9377" s="24" t="s">
        <v>11716</v>
      </c>
      <c r="C9377" s="25">
        <v>982094</v>
      </c>
      <c r="D9377" s="22" t="s">
        <v>11717</v>
      </c>
      <c r="E9377" s="22" t="s">
        <v>59</v>
      </c>
      <c r="F9377" s="23" t="str">
        <f t="shared" si="426"/>
        <v>Монтаж системы видеонаблюдения в здании ГБДОУ детский сад №21 Пушкинского района Санкт-Петербурга по адресу: Санкт-Петербург, г.Павловск, улица Желябова, дом 6/1, литер А</v>
      </c>
      <c r="G9377" s="22" t="s">
        <v>89</v>
      </c>
      <c r="H9377" s="22" t="s">
        <v>89</v>
      </c>
      <c r="I9377" s="26">
        <v>43577.539583333302</v>
      </c>
      <c r="J9377" s="23" t="str">
        <f>HYPERLINK("https://www.spark-marketing.ru/Card/Person/913501", "ООО ""СОВРЕМЕННЫЕ СИСТЕМЫ БЕЗОПАСНОСТИ""")</f>
        <v>ООО "СОВРЕМЕННЫЕ СИСТЕМЫ БЕЗОПАСНОСТИ"</v>
      </c>
      <c r="K9377" s="24" t="s">
        <v>9115</v>
      </c>
      <c r="L9377" s="28" t="s">
        <v>52</v>
      </c>
      <c r="M9377" s="25">
        <v>972273.06</v>
      </c>
      <c r="N9377" s="27">
        <v>0.01</v>
      </c>
    </row>
    <row r="9378" spans="1:14" x14ac:dyDescent="0.15">
      <c r="A9378" s="23" t="str">
        <f>HYPERLINK("https://www.spark-marketing.ru/Card/Person/112563", "МКУ ""ЖКУ"" ТОПКИНСКОГО МУНИЦИПАЛЬНОГО РАЙОНА")</f>
        <v>МКУ "ЖКУ" ТОПКИНСКОГО МУНИЦИПАЛЬНОГО РАЙОНА</v>
      </c>
      <c r="B9378" s="24" t="s">
        <v>8176</v>
      </c>
      <c r="C9378" s="25">
        <v>2374999.11</v>
      </c>
      <c r="D9378" s="22" t="s">
        <v>11719</v>
      </c>
      <c r="E9378" s="22" t="s">
        <v>59</v>
      </c>
      <c r="F9378" s="23" t="str">
        <f>HYPERLINK("https://www.spark-marketing.ru/Card/Lot/69962791", "Работы по установке системы видеонаблюдения АПК ""Безопасный город"" в г. Топки")</f>
        <v>Работы по установке системы видеонаблюдения АПК "Безопасный город" в г. Топки</v>
      </c>
      <c r="G9378" s="22" t="s">
        <v>367</v>
      </c>
      <c r="H9378" s="22" t="s">
        <v>367</v>
      </c>
      <c r="I9378" s="26">
        <v>43577.502083333296</v>
      </c>
      <c r="J9378" s="28" t="s">
        <v>52</v>
      </c>
      <c r="K9378" s="28" t="s">
        <v>52</v>
      </c>
      <c r="L9378" s="28" t="s">
        <v>52</v>
      </c>
      <c r="M9378" s="28" t="s">
        <v>52</v>
      </c>
      <c r="N9378" s="28" t="s">
        <v>52</v>
      </c>
    </row>
    <row r="9379" spans="1:14" x14ac:dyDescent="0.15">
      <c r="A9379" s="23" t="str">
        <f>HYPERLINK("https://www.spark-marketing.ru/Card/Person/34158", "ГБУСО МО ""ЧЕРНОГОЛОВСКИЙ КЦСОН""")</f>
        <v>ГБУСО МО "ЧЕРНОГОЛОВСКИЙ КЦСОН"</v>
      </c>
      <c r="B9379" s="24" t="s">
        <v>2543</v>
      </c>
      <c r="C9379" s="25">
        <v>6000</v>
      </c>
      <c r="D9379" s="22" t="s">
        <v>11720</v>
      </c>
      <c r="E9379" s="22" t="s">
        <v>107</v>
      </c>
      <c r="F9379" s="23" t="str">
        <f>HYPERLINK("https://www.spark-marketing.ru/Card/Lot/69969950", "обслуживание системы безопасности")</f>
        <v>обслуживание системы безопасности</v>
      </c>
      <c r="G9379" s="22" t="s">
        <v>50</v>
      </c>
      <c r="H9379" s="22" t="s">
        <v>2545</v>
      </c>
      <c r="I9379" s="26">
        <v>43577.492569444403</v>
      </c>
      <c r="J9379" s="28" t="s">
        <v>52</v>
      </c>
      <c r="K9379" s="28" t="s">
        <v>52</v>
      </c>
      <c r="L9379" s="28" t="s">
        <v>52</v>
      </c>
      <c r="M9379" s="28" t="s">
        <v>52</v>
      </c>
      <c r="N9379" s="28" t="s">
        <v>52</v>
      </c>
    </row>
    <row r="9380" spans="1:14" x14ac:dyDescent="0.15">
      <c r="A9380" s="23" t="str">
        <f>HYPERLINK("https://www.spark-marketing.ru/Card/Person/34158", "ГБУСО МО ""ЧЕРНОГОЛОВСКИЙ КЦСОН""")</f>
        <v>ГБУСО МО "ЧЕРНОГОЛОВСКИЙ КЦСОН"</v>
      </c>
      <c r="B9380" s="24" t="s">
        <v>2543</v>
      </c>
      <c r="C9380" s="25">
        <v>6561.96</v>
      </c>
      <c r="D9380" s="22" t="s">
        <v>11721</v>
      </c>
      <c r="E9380" s="22" t="s">
        <v>107</v>
      </c>
      <c r="F9380" s="23" t="str">
        <f>HYPERLINK("https://www.spark-marketing.ru/Card/Lot/69969629", "обслуживание охранной системы")</f>
        <v>обслуживание охранной системы</v>
      </c>
      <c r="G9380" s="22" t="s">
        <v>50</v>
      </c>
      <c r="H9380" s="22" t="s">
        <v>2545</v>
      </c>
      <c r="I9380" s="26">
        <v>43577.493217592601</v>
      </c>
      <c r="J9380" s="28" t="s">
        <v>52</v>
      </c>
      <c r="K9380" s="28" t="s">
        <v>52</v>
      </c>
      <c r="L9380" s="28" t="s">
        <v>52</v>
      </c>
      <c r="M9380" s="28" t="s">
        <v>52</v>
      </c>
      <c r="N9380" s="28" t="s">
        <v>52</v>
      </c>
    </row>
    <row r="9381" spans="1:14" x14ac:dyDescent="0.15">
      <c r="A9381" s="23" t="str">
        <f>HYPERLINK("https://www.spark-marketing.ru/Card/Person/1005325", "МБОУ ""СОШ ИМ. В.Г. ШУХОВА"" Г. ГРАЙВОРОНА")</f>
        <v>МБОУ "СОШ ИМ. В.Г. ШУХОВА" Г. ГРАЙВОРОНА</v>
      </c>
      <c r="B9381" s="24" t="s">
        <v>11722</v>
      </c>
      <c r="C9381" s="25">
        <v>55902</v>
      </c>
      <c r="D9381" s="22" t="s">
        <v>11723</v>
      </c>
      <c r="E9381" s="22" t="s">
        <v>59</v>
      </c>
      <c r="F9381" s="23" t="str">
        <f>HYPERLINK("https://www.spark-marketing.ru/Card/Lot/69966963", "Система видеонаблюдения")</f>
        <v>Система видеонаблюдения</v>
      </c>
      <c r="G9381" s="22" t="s">
        <v>176</v>
      </c>
      <c r="H9381" s="22" t="s">
        <v>11724</v>
      </c>
      <c r="I9381" s="26">
        <v>43577.458333333299</v>
      </c>
      <c r="J9381" s="28" t="s">
        <v>52</v>
      </c>
      <c r="K9381" s="28" t="s">
        <v>52</v>
      </c>
      <c r="L9381" s="28" t="s">
        <v>52</v>
      </c>
      <c r="M9381" s="28" t="s">
        <v>52</v>
      </c>
      <c r="N9381" s="28" t="s">
        <v>52</v>
      </c>
    </row>
    <row r="9382" spans="1:14" x14ac:dyDescent="0.15">
      <c r="A9382" s="23" t="str">
        <f>HYPERLINK("https://www.spark-marketing.ru/Card/Person/38622", "АО ""СХК""")</f>
        <v>АО "СХК"</v>
      </c>
      <c r="B9382" s="24" t="s">
        <v>159</v>
      </c>
      <c r="C9382" s="28" t="s">
        <v>52</v>
      </c>
      <c r="D9382" s="22" t="s">
        <v>11725</v>
      </c>
      <c r="E9382" s="22" t="s">
        <v>53</v>
      </c>
      <c r="F9382" s="23" t="str">
        <f>HYPERLINK("https://www.spark-marketing.ru/Card/Lot/69972906", "оказание услуг по невооруженной физической охране объектов и имущества площадки ТФА АО «СХК» (1239188)")</f>
        <v>оказание услуг по невооруженной физической охране объектов и имущества площадки ТФА АО «СХК» (1239188)</v>
      </c>
      <c r="G9382" s="22" t="s">
        <v>150</v>
      </c>
      <c r="H9382" s="22" t="s">
        <v>161</v>
      </c>
      <c r="I9382" s="26">
        <v>43577.454872685201</v>
      </c>
      <c r="J9382" s="28" t="s">
        <v>52</v>
      </c>
      <c r="K9382" s="28" t="s">
        <v>52</v>
      </c>
      <c r="L9382" s="28" t="s">
        <v>52</v>
      </c>
      <c r="M9382" s="28" t="s">
        <v>52</v>
      </c>
      <c r="N9382" s="28" t="s">
        <v>52</v>
      </c>
    </row>
    <row r="9383" spans="1:14" x14ac:dyDescent="0.15">
      <c r="A9383" s="23" t="str">
        <f>HYPERLINK("https://www.spark-marketing.ru/Card/Person/1359589", "ОГАУЗ ""ТОКБ""")</f>
        <v>ОГАУЗ "ТОКБ"</v>
      </c>
      <c r="B9383" s="24" t="s">
        <v>1240</v>
      </c>
      <c r="C9383" s="25">
        <v>396500</v>
      </c>
      <c r="D9383" s="22" t="s">
        <v>11726</v>
      </c>
      <c r="E9383" s="22" t="s">
        <v>68</v>
      </c>
      <c r="F9383" s="23" t="str">
        <f>HYPERLINK("https://www.spark-marketing.ru/Card/Lot/69965006", "Оказание услуг по охране объектов ОГАУЗ «ТОКБ« и прилегающей к ним территории")</f>
        <v>Оказание услуг по охране объектов ОГАУЗ «ТОКБ« и прилегающей к ним территории</v>
      </c>
      <c r="G9383" s="22" t="s">
        <v>150</v>
      </c>
      <c r="H9383" s="22" t="s">
        <v>1656</v>
      </c>
      <c r="I9383" s="26">
        <v>43577.416666666701</v>
      </c>
      <c r="J9383" s="28" t="s">
        <v>52</v>
      </c>
      <c r="K9383" s="28" t="s">
        <v>52</v>
      </c>
      <c r="L9383" s="28" t="s">
        <v>52</v>
      </c>
      <c r="M9383" s="28" t="s">
        <v>52</v>
      </c>
      <c r="N9383" s="28" t="s">
        <v>52</v>
      </c>
    </row>
    <row r="9384" spans="1:14" x14ac:dyDescent="0.15">
      <c r="A9384" s="23" t="str">
        <f>HYPERLINK("https://www.spark-marketing.ru/Card/Person/16719", "АДМИНИСТРАЦИЯ ПЛЕССКОГО ГОРОДСКОГО ПОСЕЛЕНИЯ")</f>
        <v>АДМИНИСТРАЦИЯ ПЛЕССКОГО ГОРОДСКОГО ПОСЕЛЕНИЯ</v>
      </c>
      <c r="B9384" s="24" t="s">
        <v>9902</v>
      </c>
      <c r="C9384" s="25">
        <v>35233.31</v>
      </c>
      <c r="D9384" s="22" t="s">
        <v>11727</v>
      </c>
      <c r="E9384" s="22" t="s">
        <v>107</v>
      </c>
      <c r="F9384" s="23" t="str">
        <f>HYPERLINK("https://www.spark-marketing.ru/Card/Lot/69968239", "Оказание услуг по обслуживанию системы видеонаблюдения")</f>
        <v>Оказание услуг по обслуживанию системы видеонаблюдения</v>
      </c>
      <c r="G9384" s="22" t="s">
        <v>340</v>
      </c>
      <c r="H9384" s="22" t="s">
        <v>340</v>
      </c>
      <c r="I9384" s="26">
        <v>43577.4243055556</v>
      </c>
      <c r="J9384" s="28" t="s">
        <v>52</v>
      </c>
      <c r="K9384" s="28" t="s">
        <v>52</v>
      </c>
      <c r="L9384" s="28" t="s">
        <v>52</v>
      </c>
      <c r="M9384" s="28" t="s">
        <v>52</v>
      </c>
      <c r="N9384" s="28" t="s">
        <v>52</v>
      </c>
    </row>
    <row r="9385" spans="1:14" ht="12.75" hidden="1" outlineLevel="1" x14ac:dyDescent="0.2">
      <c r="A9385" s="23" t="str">
        <f>HYPERLINK("https://www.spark-marketing.ru/Card/Person/16719", "АДМИНИСТРАЦИЯ ПЛЕССКОГО ГОРОДСКОГО ПОСЕЛЕНИЯ")</f>
        <v>АДМИНИСТРАЦИЯ ПЛЕССКОГО ГОРОДСКОГО ПОСЕЛЕНИЯ</v>
      </c>
      <c r="B9385" s="24" t="s">
        <v>9902</v>
      </c>
      <c r="C9385" s="25">
        <v>35233.31</v>
      </c>
      <c r="D9385" s="22" t="s">
        <v>11727</v>
      </c>
      <c r="E9385" s="22" t="s">
        <v>107</v>
      </c>
      <c r="F9385" s="23" t="str">
        <f>HYPERLINK("https://www.spark-marketing.ru/Card/Lot/69968239", "Оказание услуг по обслуживанию системы видеонаблюдения")</f>
        <v>Оказание услуг по обслуживанию системы видеонаблюдения</v>
      </c>
      <c r="G9385" s="22" t="s">
        <v>340</v>
      </c>
      <c r="H9385" s="22" t="s">
        <v>340</v>
      </c>
      <c r="I9385" s="26">
        <v>43577.4243055556</v>
      </c>
      <c r="J9385" s="23" t="str">
        <f>HYPERLINK("https://www.spark-marketing.ru/Card/Person/1964944", "ООО ТМК ""СПЕЦСВЯЗЬСТРОЙ""")</f>
        <v>ООО ТМК "СПЕЦСВЯЗЬСТРОЙ"</v>
      </c>
      <c r="K9385" s="24" t="s">
        <v>11728</v>
      </c>
      <c r="L9385" s="22" t="s">
        <v>10</v>
      </c>
      <c r="M9385" s="25">
        <v>34880.97</v>
      </c>
      <c r="N9385" s="27">
        <v>1.0000195837405001E-2</v>
      </c>
    </row>
    <row r="9386" spans="1:14" hidden="1" outlineLevel="1" x14ac:dyDescent="0.2">
      <c r="A9386" s="23" t="str">
        <f>HYPERLINK("https://www.spark-marketing.ru/Card/Person/16719", "АДМИНИСТРАЦИЯ ПЛЕССКОГО ГОРОДСКОГО ПОСЕЛЕНИЯ")</f>
        <v>АДМИНИСТРАЦИЯ ПЛЕССКОГО ГОРОДСКОГО ПОСЕЛЕНИЯ</v>
      </c>
      <c r="B9386" s="24" t="s">
        <v>9902</v>
      </c>
      <c r="C9386" s="25">
        <v>35233.31</v>
      </c>
      <c r="D9386" s="22" t="s">
        <v>11727</v>
      </c>
      <c r="E9386" s="22" t="s">
        <v>107</v>
      </c>
      <c r="F9386" s="23" t="str">
        <f>HYPERLINK("https://www.spark-marketing.ru/Card/Lot/69968239", "Оказание услуг по обслуживанию системы видеонаблюдения")</f>
        <v>Оказание услуг по обслуживанию системы видеонаблюдения</v>
      </c>
      <c r="G9386" s="22" t="s">
        <v>340</v>
      </c>
      <c r="H9386" s="22" t="s">
        <v>340</v>
      </c>
      <c r="I9386" s="26">
        <v>43577.4243055556</v>
      </c>
      <c r="J9386" s="23" t="str">
        <f>HYPERLINK("https://www.spark-marketing.ru/Card/Person/5857682", "Жилов Сергей Валерьевич")</f>
        <v>Жилов Сергей Валерьевич</v>
      </c>
      <c r="K9386" s="24" t="s">
        <v>11729</v>
      </c>
      <c r="L9386" s="28" t="s">
        <v>52</v>
      </c>
      <c r="M9386" s="25">
        <v>35057.14</v>
      </c>
      <c r="N9386" s="27">
        <v>5.0000979187025006E-3</v>
      </c>
    </row>
    <row r="9387" spans="1:14" x14ac:dyDescent="0.15">
      <c r="A9387" s="23" t="str">
        <f>HYPERLINK("https://www.spark-marketing.ru/Card/Person/244760", "ГКУ СО ""ДИРЕКЦИЯ ТРАНСПОРТА И ДОРОЖНОГО ХОЗЯЙСТВА""")</f>
        <v>ГКУ СО "ДИРЕКЦИЯ ТРАНСПОРТА И ДОРОЖНОГО ХОЗЯЙСТВА"</v>
      </c>
      <c r="B9387" s="24" t="s">
        <v>77</v>
      </c>
      <c r="C9387" s="25">
        <v>7505174.1600000001</v>
      </c>
      <c r="D9387" s="22" t="s">
        <v>11730</v>
      </c>
      <c r="E9387" s="22" t="s">
        <v>59</v>
      </c>
      <c r="F9387" s="23" t="str">
        <f>HYPERLINK("https://www.spark-marketing.ru/Card/Lot/69967131", "Установка элементов освещения на автоподъезде к г.Энгельс от автомобильной дороги «А-298 автомобильная дорога Р-228 «Сызрань - Саратов - Волгоград» - Пристанное - Ершов - Озинки - граница с Республикой Казахстан» на участке км 12+460 - км 14+460 в Эн...")</f>
        <v>Установка элементов освещения на автоподъезде к г.Энгельс от автомобильной дороги «А-298 автомобильная дорога Р-228 «Сызрань - Саратов - Волгоград» - Пристанное - Ершов - Озинки - граница с Республикой Казахстан» на участке км 12+460 - км 14+460 в Эн...</v>
      </c>
      <c r="G9387" s="22" t="s">
        <v>80</v>
      </c>
      <c r="H9387" s="22" t="s">
        <v>6263</v>
      </c>
      <c r="I9387" s="26">
        <v>43577.440277777801</v>
      </c>
      <c r="J9387" s="28" t="s">
        <v>52</v>
      </c>
      <c r="K9387" s="28" t="s">
        <v>52</v>
      </c>
      <c r="L9387" s="28" t="s">
        <v>52</v>
      </c>
      <c r="M9387" s="28" t="s">
        <v>52</v>
      </c>
      <c r="N9387" s="28" t="s">
        <v>52</v>
      </c>
    </row>
    <row r="9388" spans="1:14" hidden="1" outlineLevel="1" x14ac:dyDescent="0.2">
      <c r="A9388" s="23" t="str">
        <f>HYPERLINK("https://www.spark-marketing.ru/Card/Person/244760", "ГКУ СО ""ДИРЕКЦИЯ ТРАНСПОРТА И ДОРОЖНОГО ХОЗЯЙСТВА""")</f>
        <v>ГКУ СО "ДИРЕКЦИЯ ТРАНСПОРТА И ДОРОЖНОГО ХОЗЯЙСТВА"</v>
      </c>
      <c r="B9388" s="24" t="s">
        <v>77</v>
      </c>
      <c r="C9388" s="25">
        <v>7505174.1600000001</v>
      </c>
      <c r="D9388" s="22" t="s">
        <v>11730</v>
      </c>
      <c r="E9388" s="22" t="s">
        <v>59</v>
      </c>
      <c r="F9388" s="23" t="str">
        <f>HYPERLINK("https://www.spark-marketing.ru/Card/Lot/69967131", "Установка элементов освещения на автоподъезде к г.Энгельс от автомобильной дороги «А-298 автомобильная дорога Р-228 «Сызрань - Саратов - Волгоград» - Пристанное - Ершов - Озинки - граница с Республикой Казахстан» на участке км 12+460 - км 14+460 в Эн...")</f>
        <v>Установка элементов освещения на автоподъезде к г.Энгельс от автомобильной дороги «А-298 автомобильная дорога Р-228 «Сызрань - Саратов - Волгоград» - Пристанное - Ершов - Озинки - граница с Республикой Казахстан» на участке км 12+460 - км 14+460 в Эн...</v>
      </c>
      <c r="G9388" s="22" t="s">
        <v>80</v>
      </c>
      <c r="H9388" s="22" t="s">
        <v>6263</v>
      </c>
      <c r="I9388" s="26">
        <v>43577.440277777801</v>
      </c>
      <c r="J9388" s="23" t="str">
        <f>HYPERLINK("https://www.spark-marketing.ru/Card/Person/6507456", "ООО ""ЭЛЬДОР""")</f>
        <v>ООО "ЭЛЬДОР"</v>
      </c>
      <c r="K9388" s="24" t="s">
        <v>11668</v>
      </c>
      <c r="L9388" s="28" t="s">
        <v>52</v>
      </c>
      <c r="M9388" s="25">
        <v>6454449.79</v>
      </c>
      <c r="N9388" s="27">
        <v>0.13999999834780649</v>
      </c>
    </row>
    <row r="9389" spans="1:14" ht="12.75" hidden="1" outlineLevel="1" x14ac:dyDescent="0.2">
      <c r="A9389" s="23" t="str">
        <f>HYPERLINK("https://www.spark-marketing.ru/Card/Person/244760", "ГКУ СО ""ДИРЕКЦИЯ ТРАНСПОРТА И ДОРОЖНОГО ХОЗЯЙСТВА""")</f>
        <v>ГКУ СО "ДИРЕКЦИЯ ТРАНСПОРТА И ДОРОЖНОГО ХОЗЯЙСТВА"</v>
      </c>
      <c r="B9389" s="24" t="s">
        <v>77</v>
      </c>
      <c r="C9389" s="25">
        <v>7505174.1600000001</v>
      </c>
      <c r="D9389" s="22" t="s">
        <v>11730</v>
      </c>
      <c r="E9389" s="22" t="s">
        <v>59</v>
      </c>
      <c r="F9389" s="23" t="str">
        <f>HYPERLINK("https://www.spark-marketing.ru/Card/Lot/69967131", "Установка элементов освещения на автоподъезде к г.Энгельс от автомобильной дороги «А-298 автомобильная дорога Р-228 «Сызрань - Саратов - Волгоград» - Пристанное - Ершов - Озинки - граница с Республикой Казахстан» на участке км 12+460 - км 14+460 в Эн...")</f>
        <v>Установка элементов освещения на автоподъезде к г.Энгельс от автомобильной дороги «А-298 автомобильная дорога Р-228 «Сызрань - Саратов - Волгоград» - Пристанное - Ершов - Озинки - граница с Республикой Казахстан» на участке км 12+460 - км 14+460 в Эн...</v>
      </c>
      <c r="G9389" s="22" t="s">
        <v>80</v>
      </c>
      <c r="H9389" s="22" t="s">
        <v>6263</v>
      </c>
      <c r="I9389" s="26">
        <v>43577.440277777801</v>
      </c>
      <c r="J9389" s="23" t="str">
        <f>HYPERLINK("https://www.spark-marketing.ru/Card/Person/554867", "ООО""САРЭНЕРГОМОНТАЖ""")</f>
        <v>ООО"САРЭНЕРГОМОНТАЖ"</v>
      </c>
      <c r="K9389" s="24" t="s">
        <v>11667</v>
      </c>
      <c r="L9389" s="22" t="s">
        <v>10</v>
      </c>
      <c r="M9389" s="25">
        <v>6790000</v>
      </c>
      <c r="N9389" s="27">
        <v>9.5290814677110702E-2</v>
      </c>
    </row>
    <row r="9390" spans="1:14" hidden="1" outlineLevel="1" x14ac:dyDescent="0.2">
      <c r="A9390" s="23" t="str">
        <f>HYPERLINK("https://www.spark-marketing.ru/Card/Person/244760", "ГКУ СО ""ДИРЕКЦИЯ ТРАНСПОРТА И ДОРОЖНОГО ХОЗЯЙСТВА""")</f>
        <v>ГКУ СО "ДИРЕКЦИЯ ТРАНСПОРТА И ДОРОЖНОГО ХОЗЯЙСТВА"</v>
      </c>
      <c r="B9390" s="24" t="s">
        <v>77</v>
      </c>
      <c r="C9390" s="25">
        <v>7505174.1600000001</v>
      </c>
      <c r="D9390" s="22" t="s">
        <v>11730</v>
      </c>
      <c r="E9390" s="22" t="s">
        <v>59</v>
      </c>
      <c r="F9390" s="23" t="str">
        <f>HYPERLINK("https://www.spark-marketing.ru/Card/Lot/69967131", "Установка элементов освещения на автоподъезде к г.Энгельс от автомобильной дороги «А-298 автомобильная дорога Р-228 «Сызрань - Саратов - Волгоград» - Пристанное - Ершов - Озинки - граница с Республикой Казахстан» на участке км 12+460 - км 14+460 в Эн...")</f>
        <v>Установка элементов освещения на автоподъезде к г.Энгельс от автомобильной дороги «А-298 автомобильная дорога Р-228 «Сызрань - Саратов - Волгоград» - Пристанное - Ершов - Озинки - граница с Республикой Казахстан» на участке км 12+460 - км 14+460 в Эн...</v>
      </c>
      <c r="G9390" s="22" t="s">
        <v>80</v>
      </c>
      <c r="H9390" s="22" t="s">
        <v>6263</v>
      </c>
      <c r="I9390" s="26">
        <v>43577.440277777801</v>
      </c>
      <c r="J9390" s="23" t="str">
        <f>HYPERLINK("https://www.spark-marketing.ru/Card/Person/79745", "ООО ""ЭНЕРГОГИД-ЦЕНТР""")</f>
        <v>ООО "ЭНЕРГОГИД-ЦЕНТР"</v>
      </c>
      <c r="K9390" s="24" t="s">
        <v>11666</v>
      </c>
      <c r="L9390" s="28" t="s">
        <v>52</v>
      </c>
      <c r="M9390" s="25">
        <v>7430122.4199999999</v>
      </c>
      <c r="N9390" s="27">
        <v>9.9999997868137416E-3</v>
      </c>
    </row>
    <row r="9391" spans="1:14" hidden="1" outlineLevel="1" x14ac:dyDescent="0.2">
      <c r="A9391" s="23" t="str">
        <f>HYPERLINK("https://www.spark-marketing.ru/Card/Person/244760", "ГКУ СО ""ДИРЕКЦИЯ ТРАНСПОРТА И ДОРОЖНОГО ХОЗЯЙСТВА""")</f>
        <v>ГКУ СО "ДИРЕКЦИЯ ТРАНСПОРТА И ДОРОЖНОГО ХОЗЯЙСТВА"</v>
      </c>
      <c r="B9391" s="24" t="s">
        <v>77</v>
      </c>
      <c r="C9391" s="25">
        <v>7505174.1600000001</v>
      </c>
      <c r="D9391" s="22" t="s">
        <v>11730</v>
      </c>
      <c r="E9391" s="22" t="s">
        <v>59</v>
      </c>
      <c r="F9391" s="23" t="str">
        <f>HYPERLINK("https://www.spark-marketing.ru/Card/Lot/69967131", "Установка элементов освещения на автоподъезде к г.Энгельс от автомобильной дороги «А-298 автомобильная дорога Р-228 «Сызрань - Саратов - Волгоград» - Пристанное - Ершов - Озинки - граница с Республикой Казахстан» на участке км 12+460 - км 14+460 в Эн...")</f>
        <v>Установка элементов освещения на автоподъезде к г.Энгельс от автомобильной дороги «А-298 автомобильная дорога Р-228 «Сызрань - Саратов - Волгоград» - Пристанное - Ершов - Озинки - граница с Республикой Казахстан» на участке км 12+460 - км 14+460 в Эн...</v>
      </c>
      <c r="G9391" s="22" t="s">
        <v>80</v>
      </c>
      <c r="H9391" s="22" t="s">
        <v>6263</v>
      </c>
      <c r="I9391" s="26">
        <v>43577.440277777801</v>
      </c>
      <c r="J9391" s="23" t="str">
        <f>HYPERLINK("https://www.spark-marketing.ru/Card/Person/465426", "ООО ""САЙТМОНТАЖ""")</f>
        <v>ООО "САЙТМОНТАЖ"</v>
      </c>
      <c r="K9391" s="24" t="s">
        <v>8468</v>
      </c>
      <c r="L9391" s="28" t="s">
        <v>52</v>
      </c>
      <c r="M9391" s="25">
        <v>6800000</v>
      </c>
      <c r="N9391" s="27">
        <v>9.3958400560287592E-2</v>
      </c>
    </row>
    <row r="9392" spans="1:14" x14ac:dyDescent="0.15">
      <c r="A9392" s="23" t="str">
        <f>HYPERLINK("https://www.spark-marketing.ru/Card/Person/1086719", "МКУ ""УПРАВЛЕНИЕ ПО ДЕЛАМ ГО И ЧС ХОЛМСКОГО ГОРОДСКОГО ОКРУГА""")</f>
        <v>МКУ "УПРАВЛЕНИЕ ПО ДЕЛАМ ГО И ЧС ХОЛМСКОГО ГОРОДСКОГО ОКРУГА"</v>
      </c>
      <c r="B9392" s="24" t="s">
        <v>11731</v>
      </c>
      <c r="C9392" s="25">
        <v>204000</v>
      </c>
      <c r="D9392" s="22" t="s">
        <v>11732</v>
      </c>
      <c r="E9392" s="22" t="s">
        <v>103</v>
      </c>
      <c r="F9392" s="23" t="str">
        <f>HYPERLINK("https://www.spark-marketing.ru/Card/Lot/69958404", "Оказание услуг по техническому обслуживанию системы видеонаблюдения в г. Холмске.")</f>
        <v>Оказание услуг по техническому обслуживанию системы видеонаблюдения в г. Холмске.</v>
      </c>
      <c r="G9392" s="22" t="s">
        <v>69</v>
      </c>
      <c r="H9392" s="22" t="s">
        <v>3017</v>
      </c>
      <c r="I9392" s="26">
        <v>43577.394444444399</v>
      </c>
      <c r="J9392" s="23" t="str">
        <f>HYPERLINK("https://www.spark-marketing.ru/Card/Person/4935894", "ООО ""СЕВЕРНЫЙ МОСТ""")</f>
        <v>ООО "СЕВЕРНЫЙ МОСТ"</v>
      </c>
      <c r="K9392" s="24" t="s">
        <v>11733</v>
      </c>
      <c r="L9392" s="22" t="s">
        <v>10</v>
      </c>
      <c r="M9392" s="28" t="s">
        <v>52</v>
      </c>
      <c r="N9392" s="28" t="s">
        <v>52</v>
      </c>
    </row>
    <row r="9393" spans="1:14" x14ac:dyDescent="0.15">
      <c r="A9393" s="23" t="str">
        <f>HYPERLINK("https://www.spark-marketing.ru/Card/Person/38622", "АО ""СХК""")</f>
        <v>АО "СХК"</v>
      </c>
      <c r="B9393" s="24" t="s">
        <v>159</v>
      </c>
      <c r="C9393" s="25">
        <v>0</v>
      </c>
      <c r="D9393" s="22" t="s">
        <v>11734</v>
      </c>
      <c r="E9393" s="22" t="s">
        <v>53</v>
      </c>
      <c r="F9393" s="23" t="str">
        <f>HYPERLINK("https://www.spark-marketing.ru/Card/Lot/69966454", "мониторинг цен в электронной форме на оказание услуг по невооруженной физической охране объектов и имущества площадки ТФА АО «СХК»")</f>
        <v>мониторинг цен в электронной форме на оказание услуг по невооруженной физической охране объектов и имущества площадки ТФА АО «СХК»</v>
      </c>
      <c r="G9393" s="22" t="s">
        <v>150</v>
      </c>
      <c r="H9393" s="22" t="s">
        <v>161</v>
      </c>
      <c r="I9393" s="26">
        <v>43577.4113194444</v>
      </c>
      <c r="J9393" s="28" t="s">
        <v>52</v>
      </c>
      <c r="K9393" s="28" t="s">
        <v>52</v>
      </c>
      <c r="L9393" s="28" t="s">
        <v>52</v>
      </c>
      <c r="M9393" s="28" t="s">
        <v>52</v>
      </c>
      <c r="N9393" s="28" t="s">
        <v>52</v>
      </c>
    </row>
    <row r="9394" spans="1:14" x14ac:dyDescent="0.15">
      <c r="A9394" s="23" t="str">
        <f>HYPERLINK("https://www.spark-marketing.ru/Card/Person/61815", "УФНС РОССИИ ПО ЯМАЛО-НЕНЕЦКОМУ АВТОНОМНОМУ ОКРУГУ")</f>
        <v>УФНС РОССИИ ПО ЯМАЛО-НЕНЕЦКОМУ АВТОНОМНОМУ ОКРУГУ</v>
      </c>
      <c r="B9394" s="24" t="s">
        <v>11735</v>
      </c>
      <c r="C9394" s="25">
        <v>7961133.04</v>
      </c>
      <c r="D9394" s="22" t="s">
        <v>11736</v>
      </c>
      <c r="E9394" s="22" t="s">
        <v>68</v>
      </c>
      <c r="F9394" s="23" t="str">
        <f>HYPERLINK("https://www.spark-marketing.ru/Card/Lot/69962263", "Услуги по физической охране административных зданий и прилегающих к ним территорий налоговых органов Ямало-Ненецкого автономного округа")</f>
        <v>Услуги по физической охране административных зданий и прилегающих к ним территорий налоговых органов Ямало-Ненецкого автономного округа</v>
      </c>
      <c r="G9394" s="22" t="s">
        <v>311</v>
      </c>
      <c r="H9394" s="22" t="s">
        <v>311</v>
      </c>
      <c r="I9394" s="26">
        <v>43577.412499999999</v>
      </c>
      <c r="J9394" s="28" t="s">
        <v>52</v>
      </c>
      <c r="K9394" s="28" t="s">
        <v>52</v>
      </c>
      <c r="L9394" s="28" t="s">
        <v>52</v>
      </c>
      <c r="M9394" s="28" t="s">
        <v>52</v>
      </c>
      <c r="N9394" s="28" t="s">
        <v>52</v>
      </c>
    </row>
    <row r="9395" spans="1:14" hidden="1" outlineLevel="1" x14ac:dyDescent="0.2">
      <c r="A9395" s="23" t="str">
        <f>HYPERLINK("https://www.spark-marketing.ru/Card/Person/61815", "УФНС РОССИИ ПО ЯМАЛО-НЕНЕЦКОМУ АВТОНОМНОМУ ОКРУГУ")</f>
        <v>УФНС РОССИИ ПО ЯМАЛО-НЕНЕЦКОМУ АВТОНОМНОМУ ОКРУГУ</v>
      </c>
      <c r="B9395" s="24" t="s">
        <v>11735</v>
      </c>
      <c r="C9395" s="25">
        <v>7961133.04</v>
      </c>
      <c r="D9395" s="22" t="s">
        <v>11736</v>
      </c>
      <c r="E9395" s="22" t="s">
        <v>68</v>
      </c>
      <c r="F9395" s="23" t="str">
        <f>HYPERLINK("https://www.spark-marketing.ru/Card/Lot/69962263", "Услуги по физической охране административных зданий и прилегающих к ним территорий налоговых органов Ямало-Ненецкого автономного округа")</f>
        <v>Услуги по физической охране административных зданий и прилегающих к ним территорий налоговых органов Ямало-Ненецкого автономного округа</v>
      </c>
      <c r="G9395" s="22" t="s">
        <v>311</v>
      </c>
      <c r="H9395" s="22" t="s">
        <v>311</v>
      </c>
      <c r="I9395" s="26">
        <v>43577.412499999999</v>
      </c>
      <c r="J9395" s="23" t="str">
        <f>HYPERLINK("https://www.spark-marketing.ru/Card/Person/4948482", "ООО ЧОП ""ГОРГОНА""")</f>
        <v>ООО ЧОП "ГОРГОНА"</v>
      </c>
      <c r="K9395" s="24" t="s">
        <v>11737</v>
      </c>
      <c r="L9395" s="28" t="s">
        <v>52</v>
      </c>
      <c r="M9395" s="25">
        <v>5610714.3399999999</v>
      </c>
      <c r="N9395" s="27">
        <v>0.29523670665852858</v>
      </c>
    </row>
    <row r="9396" spans="1:14" hidden="1" outlineLevel="1" x14ac:dyDescent="0.2">
      <c r="A9396" s="23" t="str">
        <f>HYPERLINK("https://www.spark-marketing.ru/Card/Person/61815", "УФНС РОССИИ ПО ЯМАЛО-НЕНЕЦКОМУ АВТОНОМНОМУ ОКРУГУ")</f>
        <v>УФНС РОССИИ ПО ЯМАЛО-НЕНЕЦКОМУ АВТОНОМНОМУ ОКРУГУ</v>
      </c>
      <c r="B9396" s="24" t="s">
        <v>11735</v>
      </c>
      <c r="C9396" s="25">
        <v>7961133.04</v>
      </c>
      <c r="D9396" s="22" t="s">
        <v>11736</v>
      </c>
      <c r="E9396" s="22" t="s">
        <v>68</v>
      </c>
      <c r="F9396" s="23" t="str">
        <f>HYPERLINK("https://www.spark-marketing.ru/Card/Lot/69962263", "Услуги по физической охране административных зданий и прилегающих к ним территорий налоговых органов Ямало-Ненецкого автономного округа")</f>
        <v>Услуги по физической охране административных зданий и прилегающих к ним территорий налоговых органов Ямало-Ненецкого автономного округа</v>
      </c>
      <c r="G9396" s="22" t="s">
        <v>311</v>
      </c>
      <c r="H9396" s="22" t="s">
        <v>311</v>
      </c>
      <c r="I9396" s="26">
        <v>43577.412499999999</v>
      </c>
      <c r="J9396" s="23" t="str">
        <f>HYPERLINK("https://www.spark-marketing.ru/Card/Person/973489", "ООО ЧОО ""РАТНИК""")</f>
        <v>ООО ЧОО "РАТНИК"</v>
      </c>
      <c r="K9396" s="24" t="s">
        <v>3685</v>
      </c>
      <c r="L9396" s="28" t="s">
        <v>52</v>
      </c>
      <c r="M9396" s="25">
        <v>4556688.47</v>
      </c>
      <c r="N9396" s="27">
        <v>0.4276331714210368</v>
      </c>
    </row>
    <row r="9397" spans="1:14" hidden="1" outlineLevel="1" x14ac:dyDescent="0.2">
      <c r="A9397" s="23" t="str">
        <f>HYPERLINK("https://www.spark-marketing.ru/Card/Person/61815", "УФНС РОССИИ ПО ЯМАЛО-НЕНЕЦКОМУ АВТОНОМНОМУ ОКРУГУ")</f>
        <v>УФНС РОССИИ ПО ЯМАЛО-НЕНЕЦКОМУ АВТОНОМНОМУ ОКРУГУ</v>
      </c>
      <c r="B9397" s="24" t="s">
        <v>11735</v>
      </c>
      <c r="C9397" s="25">
        <v>7961133.04</v>
      </c>
      <c r="D9397" s="22" t="s">
        <v>11736</v>
      </c>
      <c r="E9397" s="22" t="s">
        <v>68</v>
      </c>
      <c r="F9397" s="23" t="str">
        <f>HYPERLINK("https://www.spark-marketing.ru/Card/Lot/69962263", "Услуги по физической охране административных зданий и прилегающих к ним территорий налоговых органов Ямало-Ненецкого автономного округа")</f>
        <v>Услуги по физической охране административных зданий и прилегающих к ним территорий налоговых органов Ямало-Ненецкого автономного округа</v>
      </c>
      <c r="G9397" s="22" t="s">
        <v>311</v>
      </c>
      <c r="H9397" s="22" t="s">
        <v>311</v>
      </c>
      <c r="I9397" s="26">
        <v>43577.412499999999</v>
      </c>
      <c r="J9397" s="23" t="str">
        <f>HYPERLINK("https://www.spark-marketing.ru/Card/Person/4897750", "ООО ЧАСТНОЕ ОХРАННОЕ ПРЕДПРИЯТИЕ ""ПОЛЯРНАЯ ЗВЕЗДА""")</f>
        <v>ООО ЧАСТНОЕ ОХРАННОЕ ПРЕДПРИЯТИЕ "ПОЛЯРНАЯ ЗВЕЗДА"</v>
      </c>
      <c r="K9397" s="24" t="s">
        <v>6274</v>
      </c>
      <c r="L9397" s="28" t="s">
        <v>52</v>
      </c>
      <c r="M9397" s="25">
        <v>4357660.12</v>
      </c>
      <c r="N9397" s="27">
        <v>0.45263317443568307</v>
      </c>
    </row>
    <row r="9398" spans="1:14" ht="12.75" hidden="1" outlineLevel="1" x14ac:dyDescent="0.2">
      <c r="A9398" s="23" t="str">
        <f>HYPERLINK("https://www.spark-marketing.ru/Card/Person/61815", "УФНС РОССИИ ПО ЯМАЛО-НЕНЕЦКОМУ АВТОНОМНОМУ ОКРУГУ")</f>
        <v>УФНС РОССИИ ПО ЯМАЛО-НЕНЕЦКОМУ АВТОНОМНОМУ ОКРУГУ</v>
      </c>
      <c r="B9398" s="24" t="s">
        <v>11735</v>
      </c>
      <c r="C9398" s="25">
        <v>7961133.04</v>
      </c>
      <c r="D9398" s="22" t="s">
        <v>11736</v>
      </c>
      <c r="E9398" s="22" t="s">
        <v>68</v>
      </c>
      <c r="F9398" s="23" t="str">
        <f>HYPERLINK("https://www.spark-marketing.ru/Card/Lot/69962263", "Услуги по физической охране административных зданий и прилегающих к ним территорий налоговых органов Ямало-Ненецкого автономного округа")</f>
        <v>Услуги по физической охране административных зданий и прилегающих к ним территорий налоговых органов Ямало-Ненецкого автономного округа</v>
      </c>
      <c r="G9398" s="22" t="s">
        <v>311</v>
      </c>
      <c r="H9398" s="22" t="s">
        <v>311</v>
      </c>
      <c r="I9398" s="26">
        <v>43577.412499999999</v>
      </c>
      <c r="J9398" s="23" t="str">
        <f>HYPERLINK("https://www.spark-marketing.ru/Card/Person/13236", "ООО ЧОО ""ИЛИР""")</f>
        <v>ООО ЧОО "ИЛИР"</v>
      </c>
      <c r="K9398" s="24" t="s">
        <v>3686</v>
      </c>
      <c r="L9398" s="22" t="s">
        <v>10</v>
      </c>
      <c r="M9398" s="25">
        <v>4317854.45</v>
      </c>
      <c r="N9398" s="27">
        <v>0.45763317503861234</v>
      </c>
    </row>
    <row r="9399" spans="1:14" x14ac:dyDescent="0.15">
      <c r="A9399" s="23" t="str">
        <f>HYPERLINK("https://www.spark-marketing.ru/Card/Person/997228", "ГБПОУ СО ""РЕВДИНСКИЙ ПЕДАГОГИЧЕСКИЙ КОЛЛЕДЖ""")</f>
        <v>ГБПОУ СО "РЕВДИНСКИЙ ПЕДАГОГИЧЕСКИЙ КОЛЛЕДЖ"</v>
      </c>
      <c r="B9399" s="24" t="s">
        <v>11738</v>
      </c>
      <c r="C9399" s="25">
        <v>817401.6</v>
      </c>
      <c r="D9399" s="22" t="s">
        <v>11739</v>
      </c>
      <c r="E9399" s="22" t="s">
        <v>52</v>
      </c>
      <c r="F9399" s="23" t="str">
        <f>HYPERLINK("https://www.spark-marketing.ru/Card/Lot/69961473", "оказание услуг по охране и антитеррористической защите зданий и территорий")</f>
        <v>оказание услуг по охране и антитеррористической защите зданий и территорий</v>
      </c>
      <c r="G9399" s="22" t="s">
        <v>72</v>
      </c>
      <c r="H9399" s="22" t="s">
        <v>11740</v>
      </c>
      <c r="I9399" s="26">
        <v>43577.405555555597</v>
      </c>
      <c r="J9399" s="28" t="s">
        <v>52</v>
      </c>
      <c r="K9399" s="28" t="s">
        <v>52</v>
      </c>
      <c r="L9399" s="28" t="s">
        <v>52</v>
      </c>
      <c r="M9399" s="28" t="s">
        <v>52</v>
      </c>
      <c r="N9399" s="28" t="s">
        <v>52</v>
      </c>
    </row>
    <row r="9400" spans="1:14" hidden="1" outlineLevel="1" x14ac:dyDescent="0.2">
      <c r="A9400" s="23" t="str">
        <f>HYPERLINK("https://www.spark-marketing.ru/Card/Person/997228", "ГБПОУ СО ""РЕВДИНСКИЙ ПЕДАГОГИЧЕСКИЙ КОЛЛЕДЖ""")</f>
        <v>ГБПОУ СО "РЕВДИНСКИЙ ПЕДАГОГИЧЕСКИЙ КОЛЛЕДЖ"</v>
      </c>
      <c r="B9400" s="24" t="s">
        <v>11738</v>
      </c>
      <c r="C9400" s="25">
        <v>817401.6</v>
      </c>
      <c r="D9400" s="22" t="s">
        <v>11739</v>
      </c>
      <c r="E9400" s="22" t="s">
        <v>52</v>
      </c>
      <c r="F9400" s="23" t="str">
        <f>HYPERLINK("https://www.spark-marketing.ru/Card/Lot/69961473", "оказание услуг по охране и антитеррористической защите зданий и территорий")</f>
        <v>оказание услуг по охране и антитеррористической защите зданий и территорий</v>
      </c>
      <c r="G9400" s="22" t="s">
        <v>72</v>
      </c>
      <c r="H9400" s="22" t="s">
        <v>11740</v>
      </c>
      <c r="I9400" s="26">
        <v>43577.405555555597</v>
      </c>
      <c r="J9400" s="23" t="str">
        <f>HYPERLINK("https://www.spark-marketing.ru/Card/Person/234166", "ООО ""ЧОО ""СИНТЕК""")</f>
        <v>ООО "ЧОО "СИНТЕК"</v>
      </c>
      <c r="K9400" s="24" t="s">
        <v>11741</v>
      </c>
      <c r="L9400" s="28" t="s">
        <v>52</v>
      </c>
      <c r="M9400" s="25">
        <v>809227</v>
      </c>
      <c r="N9400" s="27">
        <v>1.0000714459085963E-2</v>
      </c>
    </row>
    <row r="9401" spans="1:14" ht="12.75" hidden="1" outlineLevel="1" x14ac:dyDescent="0.2">
      <c r="A9401" s="23" t="str">
        <f>HYPERLINK("https://www.spark-marketing.ru/Card/Person/997228", "ГБПОУ СО ""РЕВДИНСКИЙ ПЕДАГОГИЧЕСКИЙ КОЛЛЕДЖ""")</f>
        <v>ГБПОУ СО "РЕВДИНСКИЙ ПЕДАГОГИЧЕСКИЙ КОЛЛЕДЖ"</v>
      </c>
      <c r="B9401" s="24" t="s">
        <v>11738</v>
      </c>
      <c r="C9401" s="25">
        <v>817401.6</v>
      </c>
      <c r="D9401" s="22" t="s">
        <v>11739</v>
      </c>
      <c r="E9401" s="22" t="s">
        <v>52</v>
      </c>
      <c r="F9401" s="23" t="str">
        <f>HYPERLINK("https://www.spark-marketing.ru/Card/Lot/69961473", "оказание услуг по охране и антитеррористической защите зданий и территорий")</f>
        <v>оказание услуг по охране и антитеррористической защите зданий и территорий</v>
      </c>
      <c r="G9401" s="22" t="s">
        <v>72</v>
      </c>
      <c r="H9401" s="22" t="s">
        <v>11740</v>
      </c>
      <c r="I9401" s="26">
        <v>43577.405555555597</v>
      </c>
      <c r="J9401" s="23" t="str">
        <f>HYPERLINK("https://www.spark-marketing.ru/Card/Person/797603", "ООО ЧОО ""АСГАРД- УРАЛ""")</f>
        <v>ООО ЧОО "АСГАРД- УРАЛ"</v>
      </c>
      <c r="K9401" s="24" t="s">
        <v>11742</v>
      </c>
      <c r="L9401" s="22" t="s">
        <v>10</v>
      </c>
      <c r="M9401" s="25">
        <v>741296.18</v>
      </c>
      <c r="N9401" s="27">
        <v>9.3106521934872649E-2</v>
      </c>
    </row>
    <row r="9402" spans="1:14" hidden="1" outlineLevel="1" x14ac:dyDescent="0.2">
      <c r="A9402" s="23" t="str">
        <f>HYPERLINK("https://www.spark-marketing.ru/Card/Person/997228", "ГБПОУ СО ""РЕВДИНСКИЙ ПЕДАГОГИЧЕСКИЙ КОЛЛЕДЖ""")</f>
        <v>ГБПОУ СО "РЕВДИНСКИЙ ПЕДАГОГИЧЕСКИЙ КОЛЛЕДЖ"</v>
      </c>
      <c r="B9402" s="24" t="s">
        <v>11738</v>
      </c>
      <c r="C9402" s="25">
        <v>817401.6</v>
      </c>
      <c r="D9402" s="22" t="s">
        <v>11739</v>
      </c>
      <c r="E9402" s="22" t="s">
        <v>52</v>
      </c>
      <c r="F9402" s="23" t="str">
        <f>HYPERLINK("https://www.spark-marketing.ru/Card/Lot/69961473", "оказание услуг по охране и антитеррористической защите зданий и территорий")</f>
        <v>оказание услуг по охране и антитеррористической защите зданий и территорий</v>
      </c>
      <c r="G9402" s="22" t="s">
        <v>72</v>
      </c>
      <c r="H9402" s="22" t="s">
        <v>11740</v>
      </c>
      <c r="I9402" s="26">
        <v>43577.405555555597</v>
      </c>
      <c r="J9402" s="23" t="str">
        <f>HYPERLINK("https://www.spark-marketing.ru/Card/Person/31850", "ООО ЧОП ""ЕВРО-АЗИЯ""")</f>
        <v>ООО ЧОП "ЕВРО-АЗИЯ"</v>
      </c>
      <c r="K9402" s="24" t="s">
        <v>11743</v>
      </c>
      <c r="L9402" s="28" t="s">
        <v>52</v>
      </c>
      <c r="M9402" s="25">
        <v>781513.31</v>
      </c>
      <c r="N9402" s="27">
        <v>4.3905333681754477E-2</v>
      </c>
    </row>
    <row r="9403" spans="1:14" x14ac:dyDescent="0.15">
      <c r="A9403" s="23" t="str">
        <f>HYPERLINK("https://www.spark-marketing.ru/Card/Person/133004", "ГБУ ДО РО ""СТУПЕНИ УСПЕХА""")</f>
        <v>ГБУ ДО РО "СТУПЕНИ УСПЕХА"</v>
      </c>
      <c r="B9403" s="24" t="s">
        <v>11744</v>
      </c>
      <c r="C9403" s="25">
        <v>7200</v>
      </c>
      <c r="D9403" s="22" t="s">
        <v>11745</v>
      </c>
      <c r="E9403" s="22" t="s">
        <v>103</v>
      </c>
      <c r="F9403" s="23" t="str">
        <f>HYPERLINK("https://www.spark-marketing.ru/Card/Lot/69963106", "Обслуживание системы видеонаблюдения")</f>
        <v>Обслуживание системы видеонаблюдения</v>
      </c>
      <c r="G9403" s="22" t="s">
        <v>402</v>
      </c>
      <c r="H9403" s="22" t="s">
        <v>403</v>
      </c>
      <c r="I9403" s="26">
        <v>43577.3840277778</v>
      </c>
      <c r="J9403" s="28" t="s">
        <v>52</v>
      </c>
      <c r="K9403" s="28" t="s">
        <v>52</v>
      </c>
      <c r="L9403" s="28" t="s">
        <v>52</v>
      </c>
      <c r="M9403" s="28" t="s">
        <v>52</v>
      </c>
      <c r="N9403" s="28" t="s">
        <v>52</v>
      </c>
    </row>
    <row r="9404" spans="1:14" x14ac:dyDescent="0.15">
      <c r="A9404" s="23" t="str">
        <f>HYPERLINK("https://www.spark-marketing.ru/Card/Person/118619", "ОТДМВД РОССИИ ПО ШЕМЫШЕЙСКОМУ РАЙОНУ")</f>
        <v>ОТДМВД РОССИИ ПО ШЕМЫШЕЙСКОМУ РАЙОНУ</v>
      </c>
      <c r="B9404" s="24" t="s">
        <v>11746</v>
      </c>
      <c r="C9404" s="25">
        <v>20000</v>
      </c>
      <c r="D9404" s="22" t="s">
        <v>11747</v>
      </c>
      <c r="E9404" s="22" t="s">
        <v>84</v>
      </c>
      <c r="F9404" s="23" t="str">
        <f>HYPERLINK("https://www.spark-marketing.ru/Card/Lot/70768968", "Монтаж видеонаблюдения на спецавтотранспорт, 1 шт")</f>
        <v>Монтаж видеонаблюдения на спецавтотранспорт, 1 шт</v>
      </c>
      <c r="G9404" s="22" t="s">
        <v>514</v>
      </c>
      <c r="H9404" s="22" t="s">
        <v>11748</v>
      </c>
      <c r="I9404" s="26">
        <v>43577.411400463003</v>
      </c>
      <c r="J9404" s="28" t="s">
        <v>52</v>
      </c>
      <c r="K9404" s="28" t="s">
        <v>52</v>
      </c>
      <c r="L9404" s="28" t="s">
        <v>52</v>
      </c>
      <c r="M9404" s="28" t="s">
        <v>52</v>
      </c>
      <c r="N9404" s="28" t="s">
        <v>52</v>
      </c>
    </row>
    <row r="9405" spans="1:14" x14ac:dyDescent="0.15">
      <c r="A9405" s="23" t="str">
        <f>HYPERLINK("https://www.spark-marketing.ru/Card/Person/1054", "ГБУЗ СО ""РГБ""")</f>
        <v>ГБУЗ СО "РГБ"</v>
      </c>
      <c r="B9405" s="24" t="s">
        <v>11749</v>
      </c>
      <c r="C9405" s="25">
        <v>371514.4</v>
      </c>
      <c r="D9405" s="22" t="s">
        <v>11750</v>
      </c>
      <c r="E9405" s="22" t="s">
        <v>68</v>
      </c>
      <c r="F9405" s="23" t="str">
        <f>HYPERLINK("https://www.spark-marketing.ru/Card/Lot/69961004", "Централизованная охрана объектов. оборудованных ТСО, экстренное реагирование в случае срабатывания ОПС и ТС объектов")</f>
        <v>Централизованная охрана объектов. оборудованных ТСО, экстренное реагирование в случае срабатывания ОПС и ТС объектов</v>
      </c>
      <c r="G9405" s="22" t="s">
        <v>72</v>
      </c>
      <c r="H9405" s="22" t="s">
        <v>11740</v>
      </c>
      <c r="I9405" s="26">
        <v>43577.384722222203</v>
      </c>
      <c r="J9405" s="28" t="s">
        <v>52</v>
      </c>
      <c r="K9405" s="28" t="s">
        <v>52</v>
      </c>
      <c r="L9405" s="28" t="s">
        <v>52</v>
      </c>
      <c r="M9405" s="28" t="s">
        <v>52</v>
      </c>
      <c r="N9405" s="28" t="s">
        <v>52</v>
      </c>
    </row>
    <row r="9406" spans="1:14" hidden="1" outlineLevel="1" x14ac:dyDescent="0.2">
      <c r="A9406" s="23" t="str">
        <f>HYPERLINK("https://www.spark-marketing.ru/Card/Person/1054", "ГБУЗ СО ""РГБ""")</f>
        <v>ГБУЗ СО "РГБ"</v>
      </c>
      <c r="B9406" s="24" t="s">
        <v>11749</v>
      </c>
      <c r="C9406" s="25">
        <v>371514.4</v>
      </c>
      <c r="D9406" s="22" t="s">
        <v>11750</v>
      </c>
      <c r="E9406" s="22" t="s">
        <v>68</v>
      </c>
      <c r="F9406" s="23" t="str">
        <f>HYPERLINK("https://www.spark-marketing.ru/Card/Lot/69961004", "Централизованная охрана объектов. оборудованных ТСО, экстренное реагирование в случае срабатывания ОПС и ТС объектов")</f>
        <v>Централизованная охрана объектов. оборудованных ТСО, экстренное реагирование в случае срабатывания ОПС и ТС объектов</v>
      </c>
      <c r="G9406" s="22" t="s">
        <v>72</v>
      </c>
      <c r="H9406" s="22" t="s">
        <v>11740</v>
      </c>
      <c r="I9406" s="26">
        <v>43577.384722222203</v>
      </c>
      <c r="J9406" s="23" t="str">
        <f>HYPERLINK("https://www.spark-marketing.ru/Card/Person/535845", "ФГКУ ""УВО ВНГ РОССИИ ПО СВЕРДЛОВСКОЙ ОБЛАСТИ""")</f>
        <v>ФГКУ "УВО ВНГ РОССИИ ПО СВЕРДЛОВСКОЙ ОБЛАСТИ"</v>
      </c>
      <c r="K9406" s="24" t="s">
        <v>3139</v>
      </c>
      <c r="L9406" s="28" t="s">
        <v>52</v>
      </c>
      <c r="M9406" s="25">
        <v>273063.13</v>
      </c>
      <c r="N9406" s="27">
        <v>0.26499987618245752</v>
      </c>
    </row>
    <row r="9407" spans="1:14" ht="12.75" hidden="1" outlineLevel="1" x14ac:dyDescent="0.2">
      <c r="A9407" s="23" t="str">
        <f>HYPERLINK("https://www.spark-marketing.ru/Card/Person/1054", "ГБУЗ СО ""РГБ""")</f>
        <v>ГБУЗ СО "РГБ"</v>
      </c>
      <c r="B9407" s="24" t="s">
        <v>11749</v>
      </c>
      <c r="C9407" s="25">
        <v>371514.4</v>
      </c>
      <c r="D9407" s="22" t="s">
        <v>11750</v>
      </c>
      <c r="E9407" s="22" t="s">
        <v>68</v>
      </c>
      <c r="F9407" s="23" t="str">
        <f>HYPERLINK("https://www.spark-marketing.ru/Card/Lot/69961004", "Централизованная охрана объектов. оборудованных ТСО, экстренное реагирование в случае срабатывания ОПС и ТС объектов")</f>
        <v>Централизованная охрана объектов. оборудованных ТСО, экстренное реагирование в случае срабатывания ОПС и ТС объектов</v>
      </c>
      <c r="G9407" s="22" t="s">
        <v>72</v>
      </c>
      <c r="H9407" s="22" t="s">
        <v>11740</v>
      </c>
      <c r="I9407" s="26">
        <v>43577.384722222203</v>
      </c>
      <c r="J9407" s="23" t="str">
        <f>HYPERLINK("https://www.spark-marketing.ru/Card/Person/808361", "ООО ЧОО ""ЛАНЦЕЛОТ""")</f>
        <v>ООО ЧОО "ЛАНЦЕЛОТ"</v>
      </c>
      <c r="K9407" s="24" t="s">
        <v>2338</v>
      </c>
      <c r="L9407" s="22" t="s">
        <v>10</v>
      </c>
      <c r="M9407" s="25">
        <v>254487.41</v>
      </c>
      <c r="N9407" s="27">
        <v>0.31499987618245751</v>
      </c>
    </row>
    <row r="9408" spans="1:14" x14ac:dyDescent="0.15">
      <c r="A9408" s="23" t="str">
        <f>HYPERLINK("https://www.spark-marketing.ru/Card/Person/1359589", "ОГАУЗ ""ТОКБ""")</f>
        <v>ОГАУЗ "ТОКБ"</v>
      </c>
      <c r="B9408" s="24" t="s">
        <v>1240</v>
      </c>
      <c r="C9408" s="25">
        <v>108000</v>
      </c>
      <c r="D9408" s="22" t="s">
        <v>11751</v>
      </c>
      <c r="E9408" s="22" t="s">
        <v>107</v>
      </c>
      <c r="F9408" s="23" t="str">
        <f>HYPERLINK("https://www.spark-marketing.ru/Card/Lot/69964889", "Оказание услуг по техническому обслуживанию системы видеонаблюдения")</f>
        <v>Оказание услуг по техническому обслуживанию системы видеонаблюдения</v>
      </c>
      <c r="G9408" s="22" t="s">
        <v>150</v>
      </c>
      <c r="H9408" s="22" t="s">
        <v>1656</v>
      </c>
      <c r="I9408" s="26">
        <v>43577.410416666702</v>
      </c>
      <c r="J9408" s="28" t="s">
        <v>52</v>
      </c>
      <c r="K9408" s="28" t="s">
        <v>52</v>
      </c>
      <c r="L9408" s="28" t="s">
        <v>52</v>
      </c>
      <c r="M9408" s="28" t="s">
        <v>52</v>
      </c>
      <c r="N9408" s="28" t="s">
        <v>52</v>
      </c>
    </row>
    <row r="9409" spans="1:14" x14ac:dyDescent="0.15">
      <c r="A9409" s="23" t="str">
        <f>HYPERLINK("https://www.spark-marketing.ru/Card/Person/5846827", "ГБУЗ ПК ""ЧАЙКОВСКАЯ ЦГБ""")</f>
        <v>ГБУЗ ПК "ЧАЙКОВСКАЯ ЦГБ"</v>
      </c>
      <c r="B9409" s="24" t="s">
        <v>11752</v>
      </c>
      <c r="C9409" s="25">
        <v>124483.26</v>
      </c>
      <c r="D9409" s="22" t="s">
        <v>11753</v>
      </c>
      <c r="E9409" s="22" t="s">
        <v>103</v>
      </c>
      <c r="F9409" s="23" t="str">
        <f>HYPERLINK("https://www.spark-marketing.ru/Card/Lot/69961947", "Оказание услуг по техническому обслуживанию средств сигнализации комнат хранения наркотиков, оборудованных Исполнителем")</f>
        <v>Оказание услуг по техническому обслуживанию средств сигнализации комнат хранения наркотиков, оборудованных Исполнителем</v>
      </c>
      <c r="G9409" s="22" t="s">
        <v>391</v>
      </c>
      <c r="H9409" s="22" t="s">
        <v>391</v>
      </c>
      <c r="I9409" s="26">
        <v>43577.363888888904</v>
      </c>
      <c r="J9409" s="23" t="str">
        <f>HYPERLINK("https://www.spark-marketing.ru/Card/Person/10487", "ФГУП ""ОХРАНА"" РОСГВАРДИИ")</f>
        <v>ФГУП "ОХРАНА" РОСГВАРДИИ</v>
      </c>
      <c r="K9409" s="24" t="s">
        <v>779</v>
      </c>
      <c r="L9409" s="22" t="s">
        <v>10</v>
      </c>
      <c r="M9409" s="28" t="s">
        <v>52</v>
      </c>
      <c r="N9409" s="28" t="s">
        <v>52</v>
      </c>
    </row>
    <row r="9410" spans="1:14" x14ac:dyDescent="0.15">
      <c r="A9410" s="23" t="str">
        <f>HYPERLINK("https://www.spark-marketing.ru/Card/Person/6221996", "АО СИБИРСКАЯ НЕФТЕГАЗОВАЯ КОМПАНИЯ")</f>
        <v>АО СИБИРСКАЯ НЕФТЕГАЗОВАЯ КОМПАНИЯ</v>
      </c>
      <c r="B9410" s="28" t="s">
        <v>52</v>
      </c>
      <c r="C9410" s="28" t="s">
        <v>52</v>
      </c>
      <c r="D9410" s="22" t="s">
        <v>11754</v>
      </c>
      <c r="E9410" s="22" t="s">
        <v>8438</v>
      </c>
      <c r="F9410" s="23" t="str">
        <f>HYPERLINK("https://www.spark-marketing.ru/Card/Lot/69962533", "Модернизация инженерно-технических средств охраны объекта «УКПГ Пырейного месторождения» по адресу: Пуровский район")</f>
        <v>Модернизация инженерно-технических средств охраны объекта «УКПГ Пырейного месторождения» по адресу: Пуровский район</v>
      </c>
      <c r="G9410" s="22" t="s">
        <v>52</v>
      </c>
      <c r="H9410" s="22" t="s">
        <v>52</v>
      </c>
      <c r="I9410" s="26">
        <v>43577.340277777803</v>
      </c>
      <c r="J9410" s="28" t="s">
        <v>52</v>
      </c>
      <c r="K9410" s="28" t="s">
        <v>52</v>
      </c>
      <c r="L9410" s="28" t="s">
        <v>52</v>
      </c>
      <c r="M9410" s="28" t="s">
        <v>52</v>
      </c>
      <c r="N9410" s="28" t="s">
        <v>52</v>
      </c>
    </row>
    <row r="9411" spans="1:14" x14ac:dyDescent="0.15">
      <c r="A9411" s="23" t="str">
        <f>HYPERLINK("https://www.spark-marketing.ru/Card/Person/3230", "ГУЗ ""ЕЛЕЦКАЯ ГОРБОЛЬНИЦА № 1 ИМ. Н. А. СЕМАШКО""")</f>
        <v>ГУЗ "ЕЛЕЦКАЯ ГОРБОЛЬНИЦА № 1 ИМ. Н. А. СЕМАШКО"</v>
      </c>
      <c r="B9411" s="24" t="s">
        <v>11755</v>
      </c>
      <c r="C9411" s="25">
        <v>97537.67</v>
      </c>
      <c r="D9411" s="22" t="s">
        <v>11756</v>
      </c>
      <c r="E9411" s="22" t="s">
        <v>107</v>
      </c>
      <c r="F9411" s="23" t="str">
        <f>HYPERLINK("https://www.spark-marketing.ru/Card/Lot/69961835", "19-ЭА-104 Модернизация существующей системы видеонаблюдения с последующим тестированием и обслуживанием")</f>
        <v>19-ЭА-104 Модернизация существующей системы видеонаблюдения с последующим тестированием и обслуживанием</v>
      </c>
      <c r="G9411" s="22" t="s">
        <v>629</v>
      </c>
      <c r="H9411" s="22" t="s">
        <v>9737</v>
      </c>
      <c r="I9411" s="26">
        <v>43577.354166666701</v>
      </c>
      <c r="J9411" s="28" t="s">
        <v>52</v>
      </c>
      <c r="K9411" s="28" t="s">
        <v>52</v>
      </c>
      <c r="L9411" s="28" t="s">
        <v>52</v>
      </c>
      <c r="M9411" s="28" t="s">
        <v>52</v>
      </c>
      <c r="N9411" s="28" t="s">
        <v>52</v>
      </c>
    </row>
    <row r="9412" spans="1:14" hidden="1" outlineLevel="1" x14ac:dyDescent="0.2">
      <c r="A9412" s="23" t="str">
        <f>HYPERLINK("https://www.spark-marketing.ru/Card/Person/3230", "ГУЗ ""ЕЛЕЦКАЯ ГОРБОЛЬНИЦА № 1 ИМ. Н. А. СЕМАШКО""")</f>
        <v>ГУЗ "ЕЛЕЦКАЯ ГОРБОЛЬНИЦА № 1 ИМ. Н. А. СЕМАШКО"</v>
      </c>
      <c r="B9412" s="24" t="s">
        <v>11755</v>
      </c>
      <c r="C9412" s="25">
        <v>97537.67</v>
      </c>
      <c r="D9412" s="22" t="s">
        <v>11756</v>
      </c>
      <c r="E9412" s="22" t="s">
        <v>107</v>
      </c>
      <c r="F9412" s="23" t="str">
        <f>HYPERLINK("https://www.spark-marketing.ru/Card/Lot/69961835", "19-ЭА-104 Модернизация существующей системы видеонаблюдения с последующим тестированием и обслуживанием")</f>
        <v>19-ЭА-104 Модернизация существующей системы видеонаблюдения с последующим тестированием и обслуживанием</v>
      </c>
      <c r="G9412" s="22" t="s">
        <v>629</v>
      </c>
      <c r="H9412" s="22" t="s">
        <v>9737</v>
      </c>
      <c r="I9412" s="26">
        <v>43577.354166666701</v>
      </c>
      <c r="J9412" s="23" t="str">
        <f>HYPERLINK("https://www.spark-marketing.ru/Card/Person/415634", "ООО ""АЙТИ-НЭТ""")</f>
        <v>ООО "АЙТИ-НЭТ"</v>
      </c>
      <c r="K9412" s="24" t="s">
        <v>11757</v>
      </c>
      <c r="L9412" s="28" t="s">
        <v>52</v>
      </c>
      <c r="M9412" s="25">
        <v>95586.91</v>
      </c>
      <c r="N9412" s="27">
        <v>2.0000067666164262E-2</v>
      </c>
    </row>
    <row r="9413" spans="1:14" ht="12.75" hidden="1" outlineLevel="1" x14ac:dyDescent="0.2">
      <c r="A9413" s="23" t="str">
        <f>HYPERLINK("https://www.spark-marketing.ru/Card/Person/3230", "ГУЗ ""ЕЛЕЦКАЯ ГОРБОЛЬНИЦА № 1 ИМ. Н. А. СЕМАШКО""")</f>
        <v>ГУЗ "ЕЛЕЦКАЯ ГОРБОЛЬНИЦА № 1 ИМ. Н. А. СЕМАШКО"</v>
      </c>
      <c r="B9413" s="24" t="s">
        <v>11755</v>
      </c>
      <c r="C9413" s="25">
        <v>97537.67</v>
      </c>
      <c r="D9413" s="22" t="s">
        <v>11756</v>
      </c>
      <c r="E9413" s="22" t="s">
        <v>107</v>
      </c>
      <c r="F9413" s="23" t="str">
        <f>HYPERLINK("https://www.spark-marketing.ru/Card/Lot/69961835", "19-ЭА-104 Модернизация существующей системы видеонаблюдения с последующим тестированием и обслуживанием")</f>
        <v>19-ЭА-104 Модернизация существующей системы видеонаблюдения с последующим тестированием и обслуживанием</v>
      </c>
      <c r="G9413" s="22" t="s">
        <v>629</v>
      </c>
      <c r="H9413" s="22" t="s">
        <v>9737</v>
      </c>
      <c r="I9413" s="26">
        <v>43577.354166666701</v>
      </c>
      <c r="J9413" s="23" t="str">
        <f>HYPERLINK("https://www.spark-marketing.ru/Card/Person/18883", "ООО ""БЭКСТР""")</f>
        <v>ООО "БЭКСТР"</v>
      </c>
      <c r="K9413" s="24" t="s">
        <v>9050</v>
      </c>
      <c r="L9413" s="22" t="s">
        <v>10</v>
      </c>
      <c r="M9413" s="25">
        <v>95099.22</v>
      </c>
      <c r="N9413" s="27">
        <v>2.5000084582705327E-2</v>
      </c>
    </row>
    <row r="9414" spans="1:14" x14ac:dyDescent="0.15">
      <c r="A9414" s="23" t="str">
        <f>HYPERLINK("https://www.spark-marketing.ru/Card/Person/6450322", "ЗАКАЗЧИК РП БЕЛАРУСЬ")</f>
        <v>ЗАКАЗЧИК РП БЕЛАРУСЬ</v>
      </c>
      <c r="B9414" s="28" t="s">
        <v>52</v>
      </c>
      <c r="C9414" s="25">
        <v>511681.6</v>
      </c>
      <c r="D9414" s="22" t="s">
        <v>11758</v>
      </c>
      <c r="E9414" s="22" t="s">
        <v>53</v>
      </c>
      <c r="F9414" s="23" t="str">
        <f>HYPERLINK("https://www.spark-marketing.ru/Card/Lot/69972038", "Строительство объекта ""под ключ"": ""Установка системы видеонаблюдения на территории ООО ""Цилиндрс-Бел""")</f>
        <v>Строительство объекта "под ключ": "Установка системы видеонаблюдения на территории ООО "Цилиндрс-Бел"</v>
      </c>
      <c r="G9414" s="22" t="s">
        <v>52</v>
      </c>
      <c r="H9414" s="22" t="s">
        <v>52</v>
      </c>
      <c r="I9414" s="26">
        <v>43577</v>
      </c>
      <c r="J9414" s="28" t="s">
        <v>52</v>
      </c>
      <c r="K9414" s="28" t="s">
        <v>52</v>
      </c>
      <c r="L9414" s="28" t="s">
        <v>52</v>
      </c>
      <c r="M9414" s="28" t="s">
        <v>52</v>
      </c>
      <c r="N9414" s="28" t="s">
        <v>52</v>
      </c>
    </row>
    <row r="9415" spans="1:14" x14ac:dyDescent="0.15">
      <c r="A9415" s="23" t="str">
        <f>HYPERLINK("https://www.spark-marketing.ru/Card/Person/4348562", "АО ""АТОМТЕХЭНЕРГО""")</f>
        <v>АО "АТОМТЕХЭНЕРГО"</v>
      </c>
      <c r="B9415" s="24" t="s">
        <v>4449</v>
      </c>
      <c r="C9415" s="28" t="s">
        <v>52</v>
      </c>
      <c r="D9415" s="22" t="s">
        <v>11759</v>
      </c>
      <c r="E9415" s="22" t="s">
        <v>349</v>
      </c>
      <c r="F9415" s="23" t="str">
        <f>HYPERLINK("https://www.spark-marketing.ru/Card/Lot/69956780", "Оказание услуг по техническому обслуживанию системы контроля и управления доступом и системы видеонаблюдения в помещениях, арендуемых Московским филиалом «Центратомтехэнерго» АО «Атомтехэнерго» и в помещениях, арендуемых АО «Атомтехэнерго»")</f>
        <v>Оказание услуг по техническому обслуживанию системы контроля и управления доступом и системы видеонаблюдения в помещениях, арендуемых Московским филиалом «Центратомтехэнерго» АО «Атомтехэнерго» и в помещениях, арендуемых АО «Атомтехэнерго»</v>
      </c>
      <c r="G9415" s="22" t="s">
        <v>55</v>
      </c>
      <c r="H9415" s="22" t="s">
        <v>55</v>
      </c>
      <c r="I9415" s="26">
        <v>43575.427152777796</v>
      </c>
      <c r="J9415" s="28" t="s">
        <v>52</v>
      </c>
      <c r="K9415" s="28" t="s">
        <v>52</v>
      </c>
      <c r="L9415" s="28" t="s">
        <v>52</v>
      </c>
      <c r="M9415" s="28" t="s">
        <v>52</v>
      </c>
      <c r="N9415" s="28" t="s">
        <v>52</v>
      </c>
    </row>
    <row r="9416" spans="1:14" x14ac:dyDescent="0.15">
      <c r="A9416" s="23" t="str">
        <f>HYPERLINK("https://www.spark-marketing.ru/Card/Person/4348562", "АО ""АТОМТЕХЭНЕРГО""")</f>
        <v>АО "АТОМТЕХЭНЕРГО"</v>
      </c>
      <c r="B9416" s="24" t="s">
        <v>4449</v>
      </c>
      <c r="C9416" s="28" t="s">
        <v>52</v>
      </c>
      <c r="D9416" s="22" t="s">
        <v>11760</v>
      </c>
      <c r="E9416" s="22" t="s">
        <v>53</v>
      </c>
      <c r="F9416" s="23" t="str">
        <f>HYPERLINK("https://www.spark-marketing.ru/Card/Lot/69956966", "Оказание услуг по техническому обслуживанию системы контроля и управления доступом и системы видеонаблюдения в помещениях, арендуемых Московским филиалом «Центратомтехэнерго» АО «Атомтехэнерго» и в помещениях, арендуемых АО «Атомтехэнерго» (1238845)")</f>
        <v>Оказание услуг по техническому обслуживанию системы контроля и управления доступом и системы видеонаблюдения в помещениях, арендуемых Московским филиалом «Центратомтехэнерго» АО «Атомтехэнерго» и в помещениях, арендуемых АО «Атомтехэнерго» (1238845)</v>
      </c>
      <c r="G9416" s="22" t="s">
        <v>55</v>
      </c>
      <c r="H9416" s="22" t="s">
        <v>55</v>
      </c>
      <c r="I9416" s="26">
        <v>43575.454872685201</v>
      </c>
      <c r="J9416" s="28" t="s">
        <v>52</v>
      </c>
      <c r="K9416" s="28" t="s">
        <v>52</v>
      </c>
      <c r="L9416" s="28" t="s">
        <v>52</v>
      </c>
      <c r="M9416" s="28" t="s">
        <v>52</v>
      </c>
      <c r="N9416" s="28" t="s">
        <v>52</v>
      </c>
    </row>
    <row r="9417" spans="1:14" x14ac:dyDescent="0.15">
      <c r="A9417" s="23" t="str">
        <f>HYPERLINK("https://www.spark-marketing.ru/Card/Person/4348562", "АО ""АТОМТЕХЭНЕРГО""")</f>
        <v>АО "АТОМТЕХЭНЕРГО"</v>
      </c>
      <c r="B9417" s="24" t="s">
        <v>4449</v>
      </c>
      <c r="C9417" s="25">
        <v>0</v>
      </c>
      <c r="D9417" s="22" t="s">
        <v>11761</v>
      </c>
      <c r="E9417" s="22" t="s">
        <v>53</v>
      </c>
      <c r="F9417" s="23" t="str">
        <f>HYPERLINK("https://www.spark-marketing.ru/Card/Lot/69956846", "мониторинг цен в электронной форме на Оказание услуг по техническому обслуживанию системы контроля и управления доступом и системы видеонаблюдения в помещениях, арендуемых Московским филиалом «Центратомтехэнерго» АО «Атомтехэнерго» и в помещениях, ар...")</f>
        <v>мониторинг цен в электронной форме на Оказание услуг по техническому обслуживанию системы контроля и управления доступом и системы видеонаблюдения в помещениях, арендуемых Московским филиалом «Центратомтехэнерго» АО «Атомтехэнерго» и в помещениях, ар...</v>
      </c>
      <c r="G9417" s="22" t="s">
        <v>55</v>
      </c>
      <c r="H9417" s="22" t="s">
        <v>55</v>
      </c>
      <c r="I9417" s="26">
        <v>43575.427152777796</v>
      </c>
      <c r="J9417" s="28" t="s">
        <v>52</v>
      </c>
      <c r="K9417" s="28" t="s">
        <v>52</v>
      </c>
      <c r="L9417" s="28" t="s">
        <v>52</v>
      </c>
      <c r="M9417" s="28" t="s">
        <v>52</v>
      </c>
      <c r="N9417" s="28" t="s">
        <v>52</v>
      </c>
    </row>
    <row r="9418" spans="1:14" x14ac:dyDescent="0.15">
      <c r="A9418" s="23" t="str">
        <f>HYPERLINK("https://www.spark-marketing.ru/Card/Person/1021527", "МБУ ""БЕЗОПАСНЫЙ ГОРОД ЕССЕНТУКИ""")</f>
        <v>МБУ "БЕЗОПАСНЫЙ ГОРОД ЕССЕНТУКИ"</v>
      </c>
      <c r="B9418" s="24" t="s">
        <v>11762</v>
      </c>
      <c r="C9418" s="25">
        <v>135420</v>
      </c>
      <c r="D9418" s="22" t="s">
        <v>11763</v>
      </c>
      <c r="E9418" s="22" t="s">
        <v>11764</v>
      </c>
      <c r="F9418" s="23" t="str">
        <f>HYPERLINK("https://www.spark-marketing.ru/Card/Lot/69952690", "монтаж видеопанели")</f>
        <v>монтаж видеопанели</v>
      </c>
      <c r="G9418" s="22" t="s">
        <v>258</v>
      </c>
      <c r="H9418" s="22" t="s">
        <v>258</v>
      </c>
      <c r="I9418" s="26">
        <v>43574.8094444444</v>
      </c>
      <c r="J9418" s="28" t="s">
        <v>52</v>
      </c>
      <c r="K9418" s="28" t="s">
        <v>52</v>
      </c>
      <c r="L9418" s="28" t="s">
        <v>52</v>
      </c>
      <c r="M9418" s="28" t="s">
        <v>52</v>
      </c>
      <c r="N9418" s="28" t="s">
        <v>52</v>
      </c>
    </row>
    <row r="9419" spans="1:14" ht="12.75" x14ac:dyDescent="0.2">
      <c r="A9419" s="23" t="str">
        <f>HYPERLINK("https://www.spark-marketing.ru/Card/Person/4343405", "ФГУП ""ГОСКОРПОРАЦИЯ ПО ОРВД""")</f>
        <v>ФГУП "ГОСКОРПОРАЦИЯ ПО ОРВД"</v>
      </c>
      <c r="B9419" s="24" t="s">
        <v>801</v>
      </c>
      <c r="C9419" s="25">
        <v>2880589.8</v>
      </c>
      <c r="D9419" s="22" t="s">
        <v>11765</v>
      </c>
      <c r="E9419" s="22" t="s">
        <v>144</v>
      </c>
      <c r="F9419" s="23" t="str">
        <f>HYPERLINK("https://www.spark-marketing.ru/Card/Lot/69951447", "Оказание услуг по охране, обеспечению внутриобъектового режима объекта ОРЛ-Т, совмещенный с ВРЛ, АРП и АРТР (Североуральск) Екатеринбургского Центра ОВД филиала «Аэронавигация Урала» ФГУП «Госкорпорация но ОрВД»")</f>
        <v>Оказание услуг по охране, обеспечению внутриобъектового режима объекта ОРЛ-Т, совмещенный с ВРЛ, АРП и АРТР (Североуральск) Екатеринбургского Центра ОВД филиала «Аэронавигация Урала» ФГУП «Госкорпорация но ОрВД»</v>
      </c>
      <c r="G9419" s="22" t="s">
        <v>55</v>
      </c>
      <c r="H9419" s="22" t="s">
        <v>55</v>
      </c>
      <c r="I9419" s="26">
        <v>43574.725358796299</v>
      </c>
      <c r="J9419" s="23" t="str">
        <f>HYPERLINK("https://www.spark-marketing.ru/Card/Person/4889346", "ФЛ ФГУП ОХРАНА ФЕДЕРАЛЬНОЙ СЛУЖБЫ ВОЙСК НАЦИОНАЛЬНОЙ ГВАРДИИ РФ ПО СВЕРДЛОВСКОЙ ОБЛ")</f>
        <v>ФЛ ФГУП ОХРАНА ФЕДЕРАЛЬНОЙ СЛУЖБЫ ВОЙСК НАЦИОНАЛЬНОЙ ГВАРДИИ РФ ПО СВЕРДЛОВСКОЙ ОБЛ</v>
      </c>
      <c r="K9419" s="24" t="s">
        <v>779</v>
      </c>
      <c r="L9419" s="22" t="s">
        <v>10</v>
      </c>
      <c r="M9419" s="25">
        <v>2493250.5600000001</v>
      </c>
      <c r="N9419" s="27">
        <v>0.13446525430312917</v>
      </c>
    </row>
    <row r="9420" spans="1:14" x14ac:dyDescent="0.15">
      <c r="A9420" s="23" t="str">
        <f>HYPERLINK("https://www.spark-marketing.ru/Card/Person/90495", "АДМИНИСТРАЦИЯ НАРО-ФОМИНСКОГО ГОРОДСКОГО ОКРУГА")</f>
        <v>АДМИНИСТРАЦИЯ НАРО-ФОМИНСКОГО ГОРОДСКОГО ОКРУГА</v>
      </c>
      <c r="B9420" s="24" t="s">
        <v>11766</v>
      </c>
      <c r="C9420" s="25">
        <v>3596000</v>
      </c>
      <c r="D9420" s="22" t="s">
        <v>11767</v>
      </c>
      <c r="E9420" s="22" t="s">
        <v>103</v>
      </c>
      <c r="F9420" s="23" t="str">
        <f>HYPERLINK("https://www.spark-marketing.ru/Card/Lot/69951418", "Оказание услуг по организации системы видеонаблюдения «Безопасный город» и ее обслуживание (замена видеокамер, установка рабочего места и обслуживание) в рамках границ территориальных управлений Наро-Фоминск, Апрелевка, Селятино в 2019 году")</f>
        <v>Оказание услуг по организации системы видеонаблюдения «Безопасный город» и ее обслуживание (замена видеокамер, установка рабочего места и обслуживание) в рамках границ территориальных управлений Наро-Фоминск, Апрелевка, Селятино в 2019 году</v>
      </c>
      <c r="G9420" s="22" t="s">
        <v>50</v>
      </c>
      <c r="H9420" s="22" t="s">
        <v>2332</v>
      </c>
      <c r="I9420" s="26">
        <v>43574.747222222199</v>
      </c>
      <c r="J9420" s="28" t="s">
        <v>52</v>
      </c>
      <c r="K9420" s="28" t="s">
        <v>52</v>
      </c>
      <c r="L9420" s="28" t="s">
        <v>52</v>
      </c>
      <c r="M9420" s="28" t="s">
        <v>52</v>
      </c>
      <c r="N9420" s="28" t="s">
        <v>52</v>
      </c>
    </row>
    <row r="9421" spans="1:14" hidden="1" outlineLevel="1" x14ac:dyDescent="0.2">
      <c r="A9421" s="23" t="str">
        <f>HYPERLINK("https://www.spark-marketing.ru/Card/Person/90495", "АДМИНИСТРАЦИЯ НАРО-ФОМИНСКОГО ГОРОДСКОГО ОКРУГА")</f>
        <v>АДМИНИСТРАЦИЯ НАРО-ФОМИНСКОГО ГОРОДСКОГО ОКРУГА</v>
      </c>
      <c r="B9421" s="24" t="s">
        <v>11766</v>
      </c>
      <c r="C9421" s="25">
        <v>3596000</v>
      </c>
      <c r="D9421" s="22" t="s">
        <v>11767</v>
      </c>
      <c r="E9421" s="22" t="s">
        <v>103</v>
      </c>
      <c r="F9421" s="23" t="str">
        <f>HYPERLINK("https://www.spark-marketing.ru/Card/Lot/69951418", "Оказание услуг по организации системы видеонаблюдения «Безопасный город» и ее обслуживание (замена видеокамер, установка рабочего места и обслуживание) в рамках границ территориальных управлений Наро-Фоминск, Апрелевка, Селятино в 2019 году")</f>
        <v>Оказание услуг по организации системы видеонаблюдения «Безопасный город» и ее обслуживание (замена видеокамер, установка рабочего места и обслуживание) в рамках границ территориальных управлений Наро-Фоминск, Апрелевка, Селятино в 2019 году</v>
      </c>
      <c r="G9421" s="22" t="s">
        <v>50</v>
      </c>
      <c r="H9421" s="22" t="s">
        <v>2332</v>
      </c>
      <c r="I9421" s="26">
        <v>43574.747222222199</v>
      </c>
      <c r="J9421" s="23" t="str">
        <f>HYPERLINK("https://www.spark-marketing.ru/Card/Person/719385", "ООО ""ЮНИОНТЕЛ""")</f>
        <v>ООО "ЮНИОНТЕЛ"</v>
      </c>
      <c r="K9421" s="24" t="s">
        <v>11768</v>
      </c>
      <c r="L9421" s="28" t="s">
        <v>52</v>
      </c>
      <c r="M9421" s="25">
        <v>867280</v>
      </c>
      <c r="N9421" s="27">
        <v>0.75882091212458291</v>
      </c>
    </row>
    <row r="9422" spans="1:14" ht="12.75" hidden="1" outlineLevel="1" x14ac:dyDescent="0.2">
      <c r="A9422" s="23" t="str">
        <f>HYPERLINK("https://www.spark-marketing.ru/Card/Person/90495", "АДМИНИСТРАЦИЯ НАРО-ФОМИНСКОГО ГОРОДСКОГО ОКРУГА")</f>
        <v>АДМИНИСТРАЦИЯ НАРО-ФОМИНСКОГО ГОРОДСКОГО ОКРУГА</v>
      </c>
      <c r="B9422" s="24" t="s">
        <v>11766</v>
      </c>
      <c r="C9422" s="25">
        <v>3596000</v>
      </c>
      <c r="D9422" s="22" t="s">
        <v>11767</v>
      </c>
      <c r="E9422" s="22" t="s">
        <v>103</v>
      </c>
      <c r="F9422" s="23" t="str">
        <f>HYPERLINK("https://www.spark-marketing.ru/Card/Lot/69951418", "Оказание услуг по организации системы видеонаблюдения «Безопасный город» и ее обслуживание (замена видеокамер, установка рабочего места и обслуживание) в рамках границ территориальных управлений Наро-Фоминск, Апрелевка, Селятино в 2019 году")</f>
        <v>Оказание услуг по организации системы видеонаблюдения «Безопасный город» и ее обслуживание (замена видеокамер, установка рабочего места и обслуживание) в рамках границ территориальных управлений Наро-Фоминск, Апрелевка, Селятино в 2019 году</v>
      </c>
      <c r="G9422" s="22" t="s">
        <v>50</v>
      </c>
      <c r="H9422" s="22" t="s">
        <v>2332</v>
      </c>
      <c r="I9422" s="26">
        <v>43574.747222222199</v>
      </c>
      <c r="J9422" s="23" t="str">
        <f>HYPERLINK("https://www.spark-marketing.ru/Card/Person/699616", "ООО ""ЭКСПЕРТ-ТЕЛЕКОМ""")</f>
        <v>ООО "ЭКСПЕРТ-ТЕЛЕКОМ"</v>
      </c>
      <c r="K9422" s="24" t="s">
        <v>11769</v>
      </c>
      <c r="L9422" s="22" t="s">
        <v>10</v>
      </c>
      <c r="M9422" s="25">
        <v>849300</v>
      </c>
      <c r="N9422" s="27">
        <v>0.76382091212458292</v>
      </c>
    </row>
    <row r="9423" spans="1:14" hidden="1" outlineLevel="1" x14ac:dyDescent="0.2">
      <c r="A9423" s="23" t="str">
        <f>HYPERLINK("https://www.spark-marketing.ru/Card/Person/90495", "АДМИНИСТРАЦИЯ НАРО-ФОМИНСКОГО ГОРОДСКОГО ОКРУГА")</f>
        <v>АДМИНИСТРАЦИЯ НАРО-ФОМИНСКОГО ГОРОДСКОГО ОКРУГА</v>
      </c>
      <c r="B9423" s="24" t="s">
        <v>11766</v>
      </c>
      <c r="C9423" s="25">
        <v>3596000</v>
      </c>
      <c r="D9423" s="22" t="s">
        <v>11767</v>
      </c>
      <c r="E9423" s="22" t="s">
        <v>103</v>
      </c>
      <c r="F9423" s="23" t="str">
        <f>HYPERLINK("https://www.spark-marketing.ru/Card/Lot/69951418", "Оказание услуг по организации системы видеонаблюдения «Безопасный город» и ее обслуживание (замена видеокамер, установка рабочего места и обслуживание) в рамках границ территориальных управлений Наро-Фоминск, Апрелевка, Селятино в 2019 году")</f>
        <v>Оказание услуг по организации системы видеонаблюдения «Безопасный город» и ее обслуживание (замена видеокамер, установка рабочего места и обслуживание) в рамках границ территориальных управлений Наро-Фоминск, Апрелевка, Селятино в 2019 году</v>
      </c>
      <c r="G9423" s="22" t="s">
        <v>50</v>
      </c>
      <c r="H9423" s="22" t="s">
        <v>2332</v>
      </c>
      <c r="I9423" s="26">
        <v>43574.747222222199</v>
      </c>
      <c r="J9423" s="23" t="str">
        <f>HYPERLINK("https://www.spark-marketing.ru/Card/Person/5791294", "ООО ""К-ОПТИК""")</f>
        <v>ООО "К-ОПТИК"</v>
      </c>
      <c r="K9423" s="24" t="s">
        <v>5738</v>
      </c>
      <c r="L9423" s="28" t="s">
        <v>52</v>
      </c>
      <c r="M9423" s="25">
        <v>867260</v>
      </c>
      <c r="N9423" s="27">
        <v>0.75882647385984425</v>
      </c>
    </row>
    <row r="9424" spans="1:14" hidden="1" outlineLevel="1" x14ac:dyDescent="0.2">
      <c r="A9424" s="23" t="str">
        <f>HYPERLINK("https://www.spark-marketing.ru/Card/Person/90495", "АДМИНИСТРАЦИЯ НАРО-ФОМИНСКОГО ГОРОДСКОГО ОКРУГА")</f>
        <v>АДМИНИСТРАЦИЯ НАРО-ФОМИНСКОГО ГОРОДСКОГО ОКРУГА</v>
      </c>
      <c r="B9424" s="24" t="s">
        <v>11766</v>
      </c>
      <c r="C9424" s="25">
        <v>3596000</v>
      </c>
      <c r="D9424" s="22" t="s">
        <v>11767</v>
      </c>
      <c r="E9424" s="22" t="s">
        <v>103</v>
      </c>
      <c r="F9424" s="23" t="str">
        <f>HYPERLINK("https://www.spark-marketing.ru/Card/Lot/69951418", "Оказание услуг по организации системы видеонаблюдения «Безопасный город» и ее обслуживание (замена видеокамер, установка рабочего места и обслуживание) в рамках границ территориальных управлений Наро-Фоминск, Апрелевка, Селятино в 2019 году")</f>
        <v>Оказание услуг по организации системы видеонаблюдения «Безопасный город» и ее обслуживание (замена видеокамер, установка рабочего места и обслуживание) в рамках границ территориальных управлений Наро-Фоминск, Апрелевка, Селятино в 2019 году</v>
      </c>
      <c r="G9424" s="22" t="s">
        <v>50</v>
      </c>
      <c r="H9424" s="22" t="s">
        <v>2332</v>
      </c>
      <c r="I9424" s="26">
        <v>43574.747222222199</v>
      </c>
      <c r="J9424" s="23" t="str">
        <f>HYPERLINK("https://www.spark-marketing.ru/Card/Person/2567654", "ООО ""УЛЬТРА-ТЕЛЕКОМ""")</f>
        <v>ООО "УЛЬТРА-ТЕЛЕКОМ"</v>
      </c>
      <c r="K9424" s="24" t="s">
        <v>11770</v>
      </c>
      <c r="L9424" s="28" t="s">
        <v>52</v>
      </c>
      <c r="M9424" s="25">
        <v>867239</v>
      </c>
      <c r="N9424" s="27">
        <v>0.75883231368186876</v>
      </c>
    </row>
    <row r="9425" spans="1:14" x14ac:dyDescent="0.15">
      <c r="A9425" s="23" t="str">
        <f>HYPERLINK("https://www.spark-marketing.ru/Card/Person/4343465", "ГКУ ""АМУРУПРАДОР""")</f>
        <v>ГКУ "АМУРУПРАДОР"</v>
      </c>
      <c r="B9425" s="24" t="s">
        <v>11771</v>
      </c>
      <c r="C9425" s="25">
        <v>2230247.7999999998</v>
      </c>
      <c r="D9425" s="22" t="s">
        <v>11772</v>
      </c>
      <c r="E9425" s="22" t="s">
        <v>491</v>
      </c>
      <c r="F9425" s="23" t="str">
        <f>HYPERLINK("https://www.spark-marketing.ru/Card/Lot/69934588", "Выполнение работ, непосредственно связанных с обеспечением транспортной безопасности объектов транспортной инфраструктуры дорожного хозяйства ГКУ «Амурупрадор»")</f>
        <v>Выполнение работ, непосредственно связанных с обеспечением транспортной безопасности объектов транспортной инфраструктуры дорожного хозяйства ГКУ «Амурупрадор»</v>
      </c>
      <c r="G9425" s="22" t="s">
        <v>230</v>
      </c>
      <c r="H9425" s="22" t="s">
        <v>231</v>
      </c>
      <c r="I9425" s="26">
        <v>43574.709027777797</v>
      </c>
      <c r="J9425" s="28" t="s">
        <v>52</v>
      </c>
      <c r="K9425" s="28" t="s">
        <v>52</v>
      </c>
      <c r="L9425" s="28" t="s">
        <v>52</v>
      </c>
      <c r="M9425" s="28" t="s">
        <v>52</v>
      </c>
      <c r="N9425" s="28" t="s">
        <v>52</v>
      </c>
    </row>
    <row r="9426" spans="1:14" hidden="1" outlineLevel="1" x14ac:dyDescent="0.2">
      <c r="A9426" s="23" t="str">
        <f>HYPERLINK("https://www.spark-marketing.ru/Card/Person/4343465", "ГКУ ""АМУРУПРАДОР""")</f>
        <v>ГКУ "АМУРУПРАДОР"</v>
      </c>
      <c r="B9426" s="24" t="s">
        <v>11771</v>
      </c>
      <c r="C9426" s="25">
        <v>2230247.7999999998</v>
      </c>
      <c r="D9426" s="22" t="s">
        <v>11772</v>
      </c>
      <c r="E9426" s="22" t="s">
        <v>491</v>
      </c>
      <c r="F9426" s="23" t="str">
        <f>HYPERLINK("https://www.spark-marketing.ru/Card/Lot/69934588", "Выполнение работ, непосредственно связанных с обеспечением транспортной безопасности объектов транспортной инфраструктуры дорожного хозяйства ГКУ «Амурупрадор»")</f>
        <v>Выполнение работ, непосредственно связанных с обеспечением транспортной безопасности объектов транспортной инфраструктуры дорожного хозяйства ГКУ «Амурупрадор»</v>
      </c>
      <c r="G9426" s="22" t="s">
        <v>230</v>
      </c>
      <c r="H9426" s="22" t="s">
        <v>231</v>
      </c>
      <c r="I9426" s="26">
        <v>43574.709027777797</v>
      </c>
      <c r="J9426" s="23" t="str">
        <f>HYPERLINK("https://www.spark-marketing.ru/Card/Person/5900709", "ООО ""БЕЗОПАСНОСТЬ""")</f>
        <v>ООО "БЕЗОПАСНОСТЬ"</v>
      </c>
      <c r="K9426" s="24" t="s">
        <v>2243</v>
      </c>
      <c r="L9426" s="28" t="s">
        <v>52</v>
      </c>
      <c r="M9426" s="25">
        <v>1760000</v>
      </c>
      <c r="N9426" s="27">
        <v>0.21085002303331496</v>
      </c>
    </row>
    <row r="9427" spans="1:14" hidden="1" outlineLevel="1" x14ac:dyDescent="0.2">
      <c r="A9427" s="23" t="str">
        <f>HYPERLINK("https://www.spark-marketing.ru/Card/Person/4343465", "ГКУ ""АМУРУПРАДОР""")</f>
        <v>ГКУ "АМУРУПРАДОР"</v>
      </c>
      <c r="B9427" s="24" t="s">
        <v>11771</v>
      </c>
      <c r="C9427" s="25">
        <v>2230247.7999999998</v>
      </c>
      <c r="D9427" s="22" t="s">
        <v>11772</v>
      </c>
      <c r="E9427" s="22" t="s">
        <v>491</v>
      </c>
      <c r="F9427" s="23" t="str">
        <f>HYPERLINK("https://www.spark-marketing.ru/Card/Lot/69934588", "Выполнение работ, непосредственно связанных с обеспечением транспортной безопасности объектов транспортной инфраструктуры дорожного хозяйства ГКУ «Амурупрадор»")</f>
        <v>Выполнение работ, непосредственно связанных с обеспечением транспортной безопасности объектов транспортной инфраструктуры дорожного хозяйства ГКУ «Амурупрадор»</v>
      </c>
      <c r="G9427" s="22" t="s">
        <v>230</v>
      </c>
      <c r="H9427" s="22" t="s">
        <v>231</v>
      </c>
      <c r="I9427" s="26">
        <v>43574.709027777797</v>
      </c>
      <c r="J9427" s="23" t="str">
        <f>HYPERLINK("https://www.spark-marketing.ru/Card/Person/6110146", "ООО ""ИЦ ТЕХНОБЕЗОПАСНОСТЬ""")</f>
        <v>ООО "ИЦ ТЕХНОБЕЗОПАСНОСТЬ"</v>
      </c>
      <c r="K9427" s="24" t="s">
        <v>2240</v>
      </c>
      <c r="L9427" s="28" t="s">
        <v>52</v>
      </c>
      <c r="M9427" s="25">
        <v>859000</v>
      </c>
      <c r="N9427" s="27">
        <v>0.61484100556000998</v>
      </c>
    </row>
    <row r="9428" spans="1:14" ht="12.75" hidden="1" outlineLevel="1" x14ac:dyDescent="0.2">
      <c r="A9428" s="23" t="str">
        <f>HYPERLINK("https://www.spark-marketing.ru/Card/Person/4343465", "ГКУ ""АМУРУПРАДОР""")</f>
        <v>ГКУ "АМУРУПРАДОР"</v>
      </c>
      <c r="B9428" s="24" t="s">
        <v>11771</v>
      </c>
      <c r="C9428" s="25">
        <v>2230247.7999999998</v>
      </c>
      <c r="D9428" s="22" t="s">
        <v>11772</v>
      </c>
      <c r="E9428" s="22" t="s">
        <v>491</v>
      </c>
      <c r="F9428" s="23" t="str">
        <f>HYPERLINK("https://www.spark-marketing.ru/Card/Lot/69934588", "Выполнение работ, непосредственно связанных с обеспечением транспортной безопасности объектов транспортной инфраструктуры дорожного хозяйства ГКУ «Амурупрадор»")</f>
        <v>Выполнение работ, непосредственно связанных с обеспечением транспортной безопасности объектов транспортной инфраструктуры дорожного хозяйства ГКУ «Амурупрадор»</v>
      </c>
      <c r="G9428" s="22" t="s">
        <v>230</v>
      </c>
      <c r="H9428" s="22" t="s">
        <v>231</v>
      </c>
      <c r="I9428" s="26">
        <v>43574.709027777797</v>
      </c>
      <c r="J9428" s="23" t="str">
        <f>HYPERLINK("https://www.spark-marketing.ru/Card/Person/2038990", "ООО ""СТБ""")</f>
        <v>ООО "СТБ"</v>
      </c>
      <c r="K9428" s="24" t="s">
        <v>2244</v>
      </c>
      <c r="L9428" s="22" t="s">
        <v>10</v>
      </c>
      <c r="M9428" s="25">
        <v>2230247</v>
      </c>
      <c r="N9428" s="27">
        <v>3.5870453498485684E-7</v>
      </c>
    </row>
    <row r="9429" spans="1:14" hidden="1" outlineLevel="1" x14ac:dyDescent="0.2">
      <c r="A9429" s="23" t="str">
        <f>HYPERLINK("https://www.spark-marketing.ru/Card/Person/4343465", "ГКУ ""АМУРУПРАДОР""")</f>
        <v>ГКУ "АМУРУПРАДОР"</v>
      </c>
      <c r="B9429" s="24" t="s">
        <v>11771</v>
      </c>
      <c r="C9429" s="25">
        <v>2230247.7999999998</v>
      </c>
      <c r="D9429" s="22" t="s">
        <v>11772</v>
      </c>
      <c r="E9429" s="22" t="s">
        <v>491</v>
      </c>
      <c r="F9429" s="23" t="str">
        <f>HYPERLINK("https://www.spark-marketing.ru/Card/Lot/69934588", "Выполнение работ, непосредственно связанных с обеспечением транспортной безопасности объектов транспортной инфраструктуры дорожного хозяйства ГКУ «Амурупрадор»")</f>
        <v>Выполнение работ, непосредственно связанных с обеспечением транспортной безопасности объектов транспортной инфраструктуры дорожного хозяйства ГКУ «Амурупрадор»</v>
      </c>
      <c r="G9429" s="22" t="s">
        <v>230</v>
      </c>
      <c r="H9429" s="22" t="s">
        <v>231</v>
      </c>
      <c r="I9429" s="26">
        <v>43574.709027777797</v>
      </c>
      <c r="J9429" s="23" t="str">
        <f>HYPERLINK("https://www.spark-marketing.ru/Card/Person/244248", "ООО ""ДАЛЬЦЕНТРАВИА""")</f>
        <v>ООО "ДАЛЬЦЕНТРАВИА"</v>
      </c>
      <c r="K9429" s="24" t="s">
        <v>5795</v>
      </c>
      <c r="L9429" s="28" t="s">
        <v>52</v>
      </c>
      <c r="M9429" s="25">
        <v>600000</v>
      </c>
      <c r="N9429" s="27">
        <v>0.73097159876135742</v>
      </c>
    </row>
    <row r="9430" spans="1:14" x14ac:dyDescent="0.15">
      <c r="A9430" s="23" t="str">
        <f>HYPERLINK("https://www.spark-marketing.ru/Card/Person/48248", "ГУП ""МОСГОРТРАНС""")</f>
        <v>ГУП "МОСГОРТРАНС"</v>
      </c>
      <c r="B9430" s="24" t="s">
        <v>1862</v>
      </c>
      <c r="C9430" s="25">
        <v>1490042.54</v>
      </c>
      <c r="D9430" s="22" t="s">
        <v>11773</v>
      </c>
      <c r="E9430" s="22" t="s">
        <v>11774</v>
      </c>
      <c r="F9430" s="23" t="str">
        <f>HYPERLINK("https://www.spark-marketing.ru/Card/Lot/69950390", "Оказание услуг по предоставлению путевок в детские оздоровительные лагеря для детей работников предприятия для нужд филиала Служба транспортной безопасности ГУП «Мосгортранс»")</f>
        <v>Оказание услуг по предоставлению путевок в детские оздоровительные лагеря для детей работников предприятия для нужд филиала Служба транспортной безопасности ГУП «Мосгортранс»</v>
      </c>
      <c r="G9430" s="22" t="s">
        <v>55</v>
      </c>
      <c r="H9430" s="22" t="s">
        <v>55</v>
      </c>
      <c r="I9430" s="26">
        <v>43574.724305555603</v>
      </c>
      <c r="J9430" s="28" t="s">
        <v>52</v>
      </c>
      <c r="K9430" s="28" t="s">
        <v>52</v>
      </c>
      <c r="L9430" s="28" t="s">
        <v>52</v>
      </c>
      <c r="M9430" s="28" t="s">
        <v>52</v>
      </c>
      <c r="N9430" s="28" t="s">
        <v>52</v>
      </c>
    </row>
    <row r="9431" spans="1:14" ht="12.75" hidden="1" outlineLevel="1" x14ac:dyDescent="0.2">
      <c r="A9431" s="23" t="str">
        <f>HYPERLINK("https://www.spark-marketing.ru/Card/Person/48248", "ГУП ""МОСГОРТРАНС""")</f>
        <v>ГУП "МОСГОРТРАНС"</v>
      </c>
      <c r="B9431" s="24" t="s">
        <v>1862</v>
      </c>
      <c r="C9431" s="25">
        <v>1490042.54</v>
      </c>
      <c r="D9431" s="22" t="s">
        <v>11773</v>
      </c>
      <c r="E9431" s="22" t="s">
        <v>11774</v>
      </c>
      <c r="F9431" s="23" t="str">
        <f>HYPERLINK("https://www.spark-marketing.ru/Card/Lot/69950390", "Оказание услуг по предоставлению путевок в детские оздоровительные лагеря для детей работников предприятия для нужд филиала Служба транспортной безопасности ГУП «Мосгортранс»")</f>
        <v>Оказание услуг по предоставлению путевок в детские оздоровительные лагеря для детей работников предприятия для нужд филиала Служба транспортной безопасности ГУП «Мосгортранс»</v>
      </c>
      <c r="G9431" s="22" t="s">
        <v>55</v>
      </c>
      <c r="H9431" s="22" t="s">
        <v>55</v>
      </c>
      <c r="I9431" s="26">
        <v>43574.724305555603</v>
      </c>
      <c r="J9431" s="23" t="str">
        <f>HYPERLINK("https://www.spark-marketing.ru/Card/Person/4278283", "ООО ""САНАТОРНОЕ ОБЪЕДИНЕНИЕ""")</f>
        <v>ООО "САНАТОРНОЕ ОБЪЕДИНЕНИЕ"</v>
      </c>
      <c r="K9431" s="24" t="s">
        <v>11775</v>
      </c>
      <c r="L9431" s="22" t="s">
        <v>10</v>
      </c>
      <c r="M9431" s="25">
        <v>1400637</v>
      </c>
      <c r="N9431" s="27">
        <v>6.0002005043426475E-2</v>
      </c>
    </row>
    <row r="9432" spans="1:14" hidden="1" outlineLevel="1" x14ac:dyDescent="0.2">
      <c r="A9432" s="23" t="str">
        <f>HYPERLINK("https://www.spark-marketing.ru/Card/Person/48248", "ГУП ""МОСГОРТРАНС""")</f>
        <v>ГУП "МОСГОРТРАНС"</v>
      </c>
      <c r="B9432" s="24" t="s">
        <v>1862</v>
      </c>
      <c r="C9432" s="25">
        <v>1490042.54</v>
      </c>
      <c r="D9432" s="22" t="s">
        <v>11773</v>
      </c>
      <c r="E9432" s="22" t="s">
        <v>11774</v>
      </c>
      <c r="F9432" s="23" t="str">
        <f>HYPERLINK("https://www.spark-marketing.ru/Card/Lot/69950390", "Оказание услуг по предоставлению путевок в детские оздоровительные лагеря для детей работников предприятия для нужд филиала Служба транспортной безопасности ГУП «Мосгортранс»")</f>
        <v>Оказание услуг по предоставлению путевок в детские оздоровительные лагеря для детей работников предприятия для нужд филиала Служба транспортной безопасности ГУП «Мосгортранс»</v>
      </c>
      <c r="G9432" s="22" t="s">
        <v>55</v>
      </c>
      <c r="H9432" s="22" t="s">
        <v>55</v>
      </c>
      <c r="I9432" s="26">
        <v>43574.724305555603</v>
      </c>
      <c r="J9432" s="23" t="str">
        <f>HYPERLINK("https://www.spark-marketing.ru/Card/Person/5779532", "ООО ""НОВАЯ ВОЛНА""")</f>
        <v>ООО "НОВАЯ ВОЛНА"</v>
      </c>
      <c r="K9432" s="24" t="s">
        <v>11776</v>
      </c>
      <c r="L9432" s="28" t="s">
        <v>52</v>
      </c>
      <c r="M9432" s="25">
        <v>1408087.79</v>
      </c>
      <c r="N9432" s="27">
        <v>5.5001617604823548E-2</v>
      </c>
    </row>
    <row r="9433" spans="1:14" x14ac:dyDescent="0.15">
      <c r="A9433" s="23" t="str">
        <f>HYPERLINK("https://www.spark-marketing.ru/Card/Person/1753398", "ПАО ""ПОЧТА БАНК""")</f>
        <v>ПАО "ПОЧТА БАНК"</v>
      </c>
      <c r="B9433" s="24" t="s">
        <v>868</v>
      </c>
      <c r="C9433" s="25">
        <v>1259010.72</v>
      </c>
      <c r="D9433" s="22" t="s">
        <v>11777</v>
      </c>
      <c r="E9433" s="22" t="s">
        <v>52</v>
      </c>
      <c r="F9433" s="23" t="str">
        <f>HYPERLINK("https://www.spark-marketing.ru/Card/Lot/69952436", "Оказание услуг по физической охране на объекте ПАО «Почта Банк» в г. Тверь")</f>
        <v>Оказание услуг по физической охране на объекте ПАО «Почта Банк» в г. Тверь</v>
      </c>
      <c r="G9433" s="22" t="s">
        <v>55</v>
      </c>
      <c r="H9433" s="22" t="s">
        <v>55</v>
      </c>
      <c r="I9433" s="26">
        <v>43574.693414351903</v>
      </c>
      <c r="J9433" s="28" t="s">
        <v>52</v>
      </c>
      <c r="K9433" s="28" t="s">
        <v>52</v>
      </c>
      <c r="L9433" s="28" t="s">
        <v>52</v>
      </c>
      <c r="M9433" s="28" t="s">
        <v>52</v>
      </c>
      <c r="N9433" s="28" t="s">
        <v>52</v>
      </c>
    </row>
    <row r="9434" spans="1:14" x14ac:dyDescent="0.2">
      <c r="A9434" s="23" t="str">
        <f>HYPERLINK("https://www.spark-marketing.ru/Card/Person/127993", "АО ""СМНГ""")</f>
        <v>АО "СМНГ"</v>
      </c>
      <c r="B9434" s="24" t="s">
        <v>11778</v>
      </c>
      <c r="C9434" s="25">
        <v>1180828.18</v>
      </c>
      <c r="D9434" s="22" t="s">
        <v>11779</v>
      </c>
      <c r="E9434" s="22" t="s">
        <v>370</v>
      </c>
      <c r="F9434" s="23" t="str">
        <f>HYPERLINK("https://www.spark-marketing.ru/Card/Lot/69950188", "Оказание услуг сервисного специалиста Rolls-Royce для обслуживания системы аварийно-предупредительной сигнализации на НИС «Академик Примаков»")</f>
        <v>Оказание услуг сервисного специалиста Rolls-Royce для обслуживания системы аварийно-предупредительной сигнализации на НИС «Академик Примаков»</v>
      </c>
      <c r="G9434" s="22" t="s">
        <v>190</v>
      </c>
      <c r="H9434" s="22" t="s">
        <v>191</v>
      </c>
      <c r="I9434" s="26">
        <v>43574.691782407397</v>
      </c>
      <c r="J9434" s="23" t="str">
        <f>HYPERLINK("https://www.spark-marketing.ru/Card/Person/4622705", "ООО ""КОНГСБЕРГ МАРИТАЙМ РУС""")</f>
        <v>ООО "КОНГСБЕРГ МАРИТАЙМ РУС"</v>
      </c>
      <c r="K9434" s="24" t="s">
        <v>11780</v>
      </c>
      <c r="L9434" s="28" t="s">
        <v>52</v>
      </c>
      <c r="M9434" s="25">
        <v>1180828.18</v>
      </c>
      <c r="N9434" s="27">
        <v>0</v>
      </c>
    </row>
    <row r="9435" spans="1:14" x14ac:dyDescent="0.15">
      <c r="A9435" s="23" t="str">
        <f>HYPERLINK("https://www.spark-marketing.ru/Card/Person/640327", "УСД В ЧЕЧЕНСКОЙ РЕСПУБЛИКЕ")</f>
        <v>УСД В ЧЕЧЕНСКОЙ РЕСПУБЛИКЕ</v>
      </c>
      <c r="B9435" s="24" t="s">
        <v>10421</v>
      </c>
      <c r="C9435" s="25">
        <v>2000000</v>
      </c>
      <c r="D9435" s="22" t="s">
        <v>11781</v>
      </c>
      <c r="E9435" s="22" t="s">
        <v>103</v>
      </c>
      <c r="F9435" s="23" t="str">
        <f>HYPERLINK("https://www.spark-marketing.ru/Card/Lot/69950635", "Оказание услуг по техническому обслуживанию систем видеонаблюдения и других средств защиты в судах ЧР")</f>
        <v>Оказание услуг по техническому обслуживанию систем видеонаблюдения и других средств защиты в судах ЧР</v>
      </c>
      <c r="G9435" s="22" t="s">
        <v>724</v>
      </c>
      <c r="H9435" s="22" t="s">
        <v>5711</v>
      </c>
      <c r="I9435" s="26">
        <v>43574.682638888902</v>
      </c>
      <c r="J9435" s="23" t="str">
        <f>HYPERLINK("https://www.spark-marketing.ru/Card/Person/6479153", "ООО ""ИНЖСЕРВИС""")</f>
        <v>ООО "ИНЖСЕРВИС"</v>
      </c>
      <c r="K9435" s="24" t="s">
        <v>10423</v>
      </c>
      <c r="L9435" s="28" t="s">
        <v>52</v>
      </c>
      <c r="M9435" s="28" t="s">
        <v>52</v>
      </c>
      <c r="N9435" s="28" t="s">
        <v>52</v>
      </c>
    </row>
    <row r="9436" spans="1:14" ht="12.75" hidden="1" outlineLevel="1" x14ac:dyDescent="0.2">
      <c r="A9436" s="23" t="str">
        <f>HYPERLINK("https://www.spark-marketing.ru/Card/Person/640327", "УСД В ЧЕЧЕНСКОЙ РЕСПУБЛИКЕ")</f>
        <v>УСД В ЧЕЧЕНСКОЙ РЕСПУБЛИКЕ</v>
      </c>
      <c r="B9436" s="24" t="s">
        <v>10421</v>
      </c>
      <c r="C9436" s="25">
        <v>2000000</v>
      </c>
      <c r="D9436" s="22" t="s">
        <v>11781</v>
      </c>
      <c r="E9436" s="22" t="s">
        <v>103</v>
      </c>
      <c r="F9436" s="23" t="str">
        <f>HYPERLINK("https://www.spark-marketing.ru/Card/Lot/69950635", "Оказание услуг по техническому обслуживанию систем видеонаблюдения и других средств защиты в судах ЧР")</f>
        <v>Оказание услуг по техническому обслуживанию систем видеонаблюдения и других средств защиты в судах ЧР</v>
      </c>
      <c r="G9436" s="22" t="s">
        <v>724</v>
      </c>
      <c r="H9436" s="22" t="s">
        <v>5711</v>
      </c>
      <c r="I9436" s="26">
        <v>43574.682638888902</v>
      </c>
      <c r="J9436" s="23" t="str">
        <f>HYPERLINK("https://www.spark-marketing.ru/Card/Person/6479153", "ООО ""ИНЖСЕРВИС""")</f>
        <v>ООО "ИНЖСЕРВИС"</v>
      </c>
      <c r="K9436" s="24" t="s">
        <v>10423</v>
      </c>
      <c r="L9436" s="22" t="s">
        <v>10</v>
      </c>
      <c r="M9436" s="25">
        <v>1990000</v>
      </c>
      <c r="N9436" s="27">
        <v>5.0000000000000001E-3</v>
      </c>
    </row>
    <row r="9437" spans="1:14" x14ac:dyDescent="0.15">
      <c r="A9437" s="23" t="str">
        <f>HYPERLINK("https://www.spark-marketing.ru/Card/Person/1026237", "СТУПИНСКИЙ ИСТОРИКО-КРАЕВЕДЧЕСКИЙ МУЗЕЙ")</f>
        <v>СТУПИНСКИЙ ИСТОРИКО-КРАЕВЕДЧЕСКИЙ МУЗЕЙ</v>
      </c>
      <c r="B9437" s="24" t="s">
        <v>7852</v>
      </c>
      <c r="C9437" s="25">
        <v>11520</v>
      </c>
      <c r="D9437" s="22" t="s">
        <v>11782</v>
      </c>
      <c r="E9437" s="22" t="s">
        <v>103</v>
      </c>
      <c r="F9437" s="23" t="str">
        <f>HYPERLINK("https://www.spark-marketing.ru/Card/Lot/69948884", "Услуги по техническому обслуживанию комплекса средств охраны")</f>
        <v>Услуги по техническому обслуживанию комплекса средств охраны</v>
      </c>
      <c r="G9437" s="22" t="s">
        <v>50</v>
      </c>
      <c r="H9437" s="22" t="s">
        <v>5791</v>
      </c>
      <c r="I9437" s="26">
        <v>43574.680520833303</v>
      </c>
      <c r="J9437" s="28" t="s">
        <v>52</v>
      </c>
      <c r="K9437" s="28" t="s">
        <v>52</v>
      </c>
      <c r="L9437" s="28" t="s">
        <v>52</v>
      </c>
      <c r="M9437" s="28" t="s">
        <v>52</v>
      </c>
      <c r="N9437" s="28" t="s">
        <v>52</v>
      </c>
    </row>
    <row r="9438" spans="1:14" x14ac:dyDescent="0.15">
      <c r="A9438" s="23" t="str">
        <f>HYPERLINK("https://www.spark-marketing.ru/Card/Person/4343465", "ГКУ ""АМУРУПРАДОР""")</f>
        <v>ГКУ "АМУРУПРАДОР"</v>
      </c>
      <c r="B9438" s="24" t="s">
        <v>11771</v>
      </c>
      <c r="C9438" s="25">
        <v>2331622.7000000002</v>
      </c>
      <c r="D9438" s="22" t="s">
        <v>11783</v>
      </c>
      <c r="E9438" s="22" t="s">
        <v>491</v>
      </c>
      <c r="F9438" s="23" t="str">
        <f>HYPERLINK("https://www.spark-marketing.ru/Card/Lot/69934587", "Выполнение работ, непосредственно связанных с обеспечением транспортной безопасности объектов транспортной инфраструктуры дорожного хозяйства ГКУ «Амурупрадор»")</f>
        <v>Выполнение работ, непосредственно связанных с обеспечением транспортной безопасности объектов транспортной инфраструктуры дорожного хозяйства ГКУ «Амурупрадор»</v>
      </c>
      <c r="G9438" s="22" t="s">
        <v>230</v>
      </c>
      <c r="H9438" s="22" t="s">
        <v>231</v>
      </c>
      <c r="I9438" s="26">
        <v>43574.7</v>
      </c>
      <c r="J9438" s="28" t="s">
        <v>52</v>
      </c>
      <c r="K9438" s="28" t="s">
        <v>52</v>
      </c>
      <c r="L9438" s="28" t="s">
        <v>52</v>
      </c>
      <c r="M9438" s="28" t="s">
        <v>52</v>
      </c>
      <c r="N9438" s="28" t="s">
        <v>52</v>
      </c>
    </row>
    <row r="9439" spans="1:14" hidden="1" outlineLevel="1" x14ac:dyDescent="0.2">
      <c r="A9439" s="23" t="str">
        <f>HYPERLINK("https://www.spark-marketing.ru/Card/Person/4343465", "ГКУ ""АМУРУПРАДОР""")</f>
        <v>ГКУ "АМУРУПРАДОР"</v>
      </c>
      <c r="B9439" s="24" t="s">
        <v>11771</v>
      </c>
      <c r="C9439" s="25">
        <v>2331622.7000000002</v>
      </c>
      <c r="D9439" s="22" t="s">
        <v>11783</v>
      </c>
      <c r="E9439" s="22" t="s">
        <v>491</v>
      </c>
      <c r="F9439" s="23" t="str">
        <f>HYPERLINK("https://www.spark-marketing.ru/Card/Lot/69934587", "Выполнение работ, непосредственно связанных с обеспечением транспортной безопасности объектов транспортной инфраструктуры дорожного хозяйства ГКУ «Амурупрадор»")</f>
        <v>Выполнение работ, непосредственно связанных с обеспечением транспортной безопасности объектов транспортной инфраструктуры дорожного хозяйства ГКУ «Амурупрадор»</v>
      </c>
      <c r="G9439" s="22" t="s">
        <v>230</v>
      </c>
      <c r="H9439" s="22" t="s">
        <v>231</v>
      </c>
      <c r="I9439" s="26">
        <v>43574.7</v>
      </c>
      <c r="J9439" s="23" t="str">
        <f>HYPERLINK("https://www.spark-marketing.ru/Card/Person/5900709", "ООО ""БЕЗОПАСНОСТЬ""")</f>
        <v>ООО "БЕЗОПАСНОСТЬ"</v>
      </c>
      <c r="K9439" s="24" t="s">
        <v>2243</v>
      </c>
      <c r="L9439" s="28" t="s">
        <v>52</v>
      </c>
      <c r="M9439" s="25">
        <v>1840000</v>
      </c>
      <c r="N9439" s="27">
        <v>0.21085002303331496</v>
      </c>
    </row>
    <row r="9440" spans="1:14" hidden="1" outlineLevel="1" x14ac:dyDescent="0.2">
      <c r="A9440" s="23" t="str">
        <f>HYPERLINK("https://www.spark-marketing.ru/Card/Person/4343465", "ГКУ ""АМУРУПРАДОР""")</f>
        <v>ГКУ "АМУРУПРАДОР"</v>
      </c>
      <c r="B9440" s="24" t="s">
        <v>11771</v>
      </c>
      <c r="C9440" s="25">
        <v>2331622.7000000002</v>
      </c>
      <c r="D9440" s="22" t="s">
        <v>11783</v>
      </c>
      <c r="E9440" s="22" t="s">
        <v>491</v>
      </c>
      <c r="F9440" s="23" t="str">
        <f>HYPERLINK("https://www.spark-marketing.ru/Card/Lot/69934587", "Выполнение работ, непосредственно связанных с обеспечением транспортной безопасности объектов транспортной инфраструктуры дорожного хозяйства ГКУ «Амурупрадор»")</f>
        <v>Выполнение работ, непосредственно связанных с обеспечением транспортной безопасности объектов транспортной инфраструктуры дорожного хозяйства ГКУ «Амурупрадор»</v>
      </c>
      <c r="G9440" s="22" t="s">
        <v>230</v>
      </c>
      <c r="H9440" s="22" t="s">
        <v>231</v>
      </c>
      <c r="I9440" s="26">
        <v>43574.7</v>
      </c>
      <c r="J9440" s="23" t="str">
        <f>HYPERLINK("https://www.spark-marketing.ru/Card/Person/244248", "ООО ""ДАЛЬЦЕНТРАВИА""")</f>
        <v>ООО "ДАЛЬЦЕНТРАВИА"</v>
      </c>
      <c r="K9440" s="24" t="s">
        <v>5795</v>
      </c>
      <c r="L9440" s="28" t="s">
        <v>52</v>
      </c>
      <c r="M9440" s="25">
        <v>550000</v>
      </c>
      <c r="N9440" s="27">
        <v>0.76411277862408866</v>
      </c>
    </row>
    <row r="9441" spans="1:14" hidden="1" outlineLevel="1" x14ac:dyDescent="0.2">
      <c r="A9441" s="23" t="str">
        <f>HYPERLINK("https://www.spark-marketing.ru/Card/Person/4343465", "ГКУ ""АМУРУПРАДОР""")</f>
        <v>ГКУ "АМУРУПРАДОР"</v>
      </c>
      <c r="B9441" s="24" t="s">
        <v>11771</v>
      </c>
      <c r="C9441" s="25">
        <v>2331622.7000000002</v>
      </c>
      <c r="D9441" s="22" t="s">
        <v>11783</v>
      </c>
      <c r="E9441" s="22" t="s">
        <v>491</v>
      </c>
      <c r="F9441" s="23" t="str">
        <f>HYPERLINK("https://www.spark-marketing.ru/Card/Lot/69934587", "Выполнение работ, непосредственно связанных с обеспечением транспортной безопасности объектов транспортной инфраструктуры дорожного хозяйства ГКУ «Амурупрадор»")</f>
        <v>Выполнение работ, непосредственно связанных с обеспечением транспортной безопасности объектов транспортной инфраструктуры дорожного хозяйства ГКУ «Амурупрадор»</v>
      </c>
      <c r="G9441" s="22" t="s">
        <v>230</v>
      </c>
      <c r="H9441" s="22" t="s">
        <v>231</v>
      </c>
      <c r="I9441" s="26">
        <v>43574.7</v>
      </c>
      <c r="J9441" s="23" t="str">
        <f>HYPERLINK("https://www.spark-marketing.ru/Card/Person/6110146", "ООО ""ИЦ ТЕХНОБЕЗОПАСНОСТЬ""")</f>
        <v>ООО "ИЦ ТЕХНОБЕЗОПАСНОСТЬ"</v>
      </c>
      <c r="K9441" s="24" t="s">
        <v>2240</v>
      </c>
      <c r="L9441" s="28" t="s">
        <v>52</v>
      </c>
      <c r="M9441" s="25">
        <v>859000</v>
      </c>
      <c r="N9441" s="27">
        <v>0.63158704879653127</v>
      </c>
    </row>
    <row r="9442" spans="1:14" ht="12.75" hidden="1" outlineLevel="1" x14ac:dyDescent="0.2">
      <c r="A9442" s="23" t="str">
        <f>HYPERLINK("https://www.spark-marketing.ru/Card/Person/4343465", "ГКУ ""АМУРУПРАДОР""")</f>
        <v>ГКУ "АМУРУПРАДОР"</v>
      </c>
      <c r="B9442" s="24" t="s">
        <v>11771</v>
      </c>
      <c r="C9442" s="25">
        <v>2331622.7000000002</v>
      </c>
      <c r="D9442" s="22" t="s">
        <v>11783</v>
      </c>
      <c r="E9442" s="22" t="s">
        <v>491</v>
      </c>
      <c r="F9442" s="23" t="str">
        <f>HYPERLINK("https://www.spark-marketing.ru/Card/Lot/69934587", "Выполнение работ, непосредственно связанных с обеспечением транспортной безопасности объектов транспортной инфраструктуры дорожного хозяйства ГКУ «Амурупрадор»")</f>
        <v>Выполнение работ, непосредственно связанных с обеспечением транспортной безопасности объектов транспортной инфраструктуры дорожного хозяйства ГКУ «Амурупрадор»</v>
      </c>
      <c r="G9442" s="22" t="s">
        <v>230</v>
      </c>
      <c r="H9442" s="22" t="s">
        <v>231</v>
      </c>
      <c r="I9442" s="26">
        <v>43574.7</v>
      </c>
      <c r="J9442" s="23" t="str">
        <f>HYPERLINK("https://www.spark-marketing.ru/Card/Person/2038990", "ООО ""СТБ""")</f>
        <v>ООО "СТБ"</v>
      </c>
      <c r="K9442" s="24" t="s">
        <v>2244</v>
      </c>
      <c r="L9442" s="22" t="s">
        <v>10</v>
      </c>
      <c r="M9442" s="25">
        <v>1334000</v>
      </c>
      <c r="N9442" s="27">
        <v>0.42786626669915334</v>
      </c>
    </row>
    <row r="9443" spans="1:14" x14ac:dyDescent="0.15">
      <c r="A9443" s="23" t="str">
        <f>HYPERLINK("https://www.spark-marketing.ru/Card/Person/123351", "МБОУ ""СОШ № 4 Г. ШАТУРЫ""")</f>
        <v>МБОУ "СОШ № 4 Г. ШАТУРЫ"</v>
      </c>
      <c r="B9443" s="24" t="s">
        <v>11784</v>
      </c>
      <c r="C9443" s="25">
        <v>70000</v>
      </c>
      <c r="D9443" s="22" t="s">
        <v>11785</v>
      </c>
      <c r="E9443" s="22" t="s">
        <v>294</v>
      </c>
      <c r="F9443" s="23" t="str">
        <f>HYPERLINK("https://www.spark-marketing.ru/Card/Lot/69942980", "Оказание услуги по техническому обслуживанию видеокамер для проведения ЕГЭ")</f>
        <v>Оказание услуги по техническому обслуживанию видеокамер для проведения ЕГЭ</v>
      </c>
      <c r="G9443" s="22" t="s">
        <v>50</v>
      </c>
      <c r="H9443" s="22" t="s">
        <v>756</v>
      </c>
      <c r="I9443" s="26">
        <v>43574.628252314797</v>
      </c>
      <c r="J9443" s="28" t="s">
        <v>52</v>
      </c>
      <c r="K9443" s="28" t="s">
        <v>52</v>
      </c>
      <c r="L9443" s="28" t="s">
        <v>52</v>
      </c>
      <c r="M9443" s="28" t="s">
        <v>52</v>
      </c>
      <c r="N9443" s="28" t="s">
        <v>52</v>
      </c>
    </row>
    <row r="9444" spans="1:14" x14ac:dyDescent="0.2">
      <c r="A9444" s="23" t="str">
        <f>HYPERLINK("https://www.spark-marketing.ru/Card/Person/1759666", "МАОУ БОГАНДИНСКАЯ СОШ № 2")</f>
        <v>МАОУ БОГАНДИНСКАЯ СОШ № 2</v>
      </c>
      <c r="B9444" s="24" t="s">
        <v>7682</v>
      </c>
      <c r="C9444" s="25">
        <v>332640</v>
      </c>
      <c r="D9444" s="22" t="s">
        <v>11786</v>
      </c>
      <c r="E9444" s="22" t="s">
        <v>363</v>
      </c>
      <c r="F9444" s="23" t="str">
        <f>HYPERLINK("https://www.spark-marketing.ru/Card/Lot/69940888", "Оказание охранных услуг")</f>
        <v>Оказание охранных услуг</v>
      </c>
      <c r="G9444" s="22" t="s">
        <v>893</v>
      </c>
      <c r="H9444" s="22" t="s">
        <v>893</v>
      </c>
      <c r="I9444" s="26">
        <v>43574.644108796303</v>
      </c>
      <c r="J9444" s="23" t="str">
        <f>HYPERLINK("https://www.spark-marketing.ru/Card/Person/139570", "ООО НЧОП ""КЛЕВРЕТ""")</f>
        <v>ООО НЧОП "КЛЕВРЕТ"</v>
      </c>
      <c r="K9444" s="24" t="s">
        <v>11787</v>
      </c>
      <c r="L9444" s="28" t="s">
        <v>52</v>
      </c>
      <c r="M9444" s="25">
        <v>332640</v>
      </c>
      <c r="N9444" s="27">
        <v>0</v>
      </c>
    </row>
    <row r="9445" spans="1:14" x14ac:dyDescent="0.15">
      <c r="A9445" s="23" t="str">
        <f>HYPERLINK("https://www.spark-marketing.ru/Card/Person/4863124", "Межрегиональный филиал ФКУ ""ЦОКР"" в г. Санкт-Петербурге")</f>
        <v>Межрегиональный филиал ФКУ "ЦОКР" в г. Санкт-Петербурге</v>
      </c>
      <c r="B9445" s="24" t="s">
        <v>962</v>
      </c>
      <c r="C9445" s="25">
        <v>2755397.4</v>
      </c>
      <c r="D9445" s="22" t="s">
        <v>11788</v>
      </c>
      <c r="E9445" s="22" t="s">
        <v>68</v>
      </c>
      <c r="F9445" s="23" t="str">
        <f>HYPERLINK("https://www.spark-marketing.ru/Card/Lot/69947679", "Оказание услуг охраны объектов подразделениями филиала ФГУП «Охрана» Росгвардии по Архангельской области для обеспечения нужд территориальных отделов Управления Федерального казначейства по Архангельской области и Ненецкому Автономному округу")</f>
        <v>Оказание услуг охраны объектов подразделениями филиала ФГУП «Охрана» Росгвардии по Архангельской области для обеспечения нужд территориальных отделов Управления Федерального казначейства по Архангельской области и Ненецкому Автономному округу</v>
      </c>
      <c r="G9445" s="22" t="s">
        <v>674</v>
      </c>
      <c r="H9445" s="22" t="s">
        <v>674</v>
      </c>
      <c r="I9445" s="26">
        <v>43574.655555555597</v>
      </c>
      <c r="J9445" s="28" t="s">
        <v>52</v>
      </c>
      <c r="K9445" s="28" t="s">
        <v>52</v>
      </c>
      <c r="L9445" s="28" t="s">
        <v>52</v>
      </c>
      <c r="M9445" s="28" t="s">
        <v>52</v>
      </c>
      <c r="N9445" s="28" t="s">
        <v>52</v>
      </c>
    </row>
    <row r="9446" spans="1:14" x14ac:dyDescent="0.15">
      <c r="A9446" s="23" t="str">
        <f>HYPERLINK("https://www.spark-marketing.ru/Card/Person/408100", "МУП ""ОПТС""")</f>
        <v>МУП "ОПТС"</v>
      </c>
      <c r="B9446" s="24" t="s">
        <v>10098</v>
      </c>
      <c r="C9446" s="25">
        <v>2041106.1</v>
      </c>
      <c r="D9446" s="22" t="s">
        <v>11789</v>
      </c>
      <c r="E9446" s="22" t="s">
        <v>789</v>
      </c>
      <c r="F9446" s="23" t="str">
        <f>HYPERLINK("https://www.spark-marketing.ru/Card/Lot/69936825", "Оказание услуг по вооруженной охране объектов МУП «ОПТС»")</f>
        <v>Оказание услуг по вооруженной охране объектов МУП «ОПТС»</v>
      </c>
      <c r="G9446" s="22" t="s">
        <v>384</v>
      </c>
      <c r="H9446" s="22" t="s">
        <v>10100</v>
      </c>
      <c r="I9446" s="26">
        <v>43574.5937037037</v>
      </c>
      <c r="J9446" s="28" t="s">
        <v>52</v>
      </c>
      <c r="K9446" s="28" t="s">
        <v>52</v>
      </c>
      <c r="L9446" s="28" t="s">
        <v>52</v>
      </c>
      <c r="M9446" s="28" t="s">
        <v>52</v>
      </c>
      <c r="N9446" s="28" t="s">
        <v>52</v>
      </c>
    </row>
    <row r="9447" spans="1:14" x14ac:dyDescent="0.15">
      <c r="A9447" s="23" t="str">
        <f>HYPERLINK("https://www.spark-marketing.ru/Card/Person/1661477", "ПАО ""ДЕТСКИЙ МИР""")</f>
        <v>ПАО "ДЕТСКИЙ МИР"</v>
      </c>
      <c r="B9447" s="24" t="s">
        <v>667</v>
      </c>
      <c r="C9447" s="28" t="s">
        <v>52</v>
      </c>
      <c r="D9447" s="22" t="s">
        <v>11790</v>
      </c>
      <c r="E9447" s="22" t="s">
        <v>53</v>
      </c>
      <c r="F9447" s="23" t="str">
        <f>HYPERLINK("https://www.spark-marketing.ru/Card/Lot/70036765", "Оказание услуг по физической охране объектов ПАО «Детский мир» РО Поволжье в г. Уфа, г. Стерлитамак, г. Октябрьский, г. Ишимбай, г. Салават сроком на 1 (Один) год.")</f>
        <v>Оказание услуг по физической охране объектов ПАО «Детский мир» РО Поволжье в г. Уфа, г. Стерлитамак, г. Октябрьский, г. Ишимбай, г. Салават сроком на 1 (Один) год.</v>
      </c>
      <c r="G9447" s="22" t="s">
        <v>100</v>
      </c>
      <c r="H9447" s="22" t="s">
        <v>100</v>
      </c>
      <c r="I9447" s="26">
        <v>43574.5847222222</v>
      </c>
      <c r="J9447" s="28" t="s">
        <v>52</v>
      </c>
      <c r="K9447" s="28" t="s">
        <v>52</v>
      </c>
      <c r="L9447" s="28" t="s">
        <v>52</v>
      </c>
      <c r="M9447" s="28" t="s">
        <v>52</v>
      </c>
      <c r="N9447" s="28" t="s">
        <v>52</v>
      </c>
    </row>
    <row r="9448" spans="1:14" x14ac:dyDescent="0.15">
      <c r="A9448" s="23" t="str">
        <f>HYPERLINK("https://www.spark-marketing.ru/Card/Person/10487", "ФГУП ""ОХРАНА"" РОСГВАРДИИ")</f>
        <v>ФГУП "ОХРАНА" РОСГВАРДИИ</v>
      </c>
      <c r="B9448" s="24" t="s">
        <v>779</v>
      </c>
      <c r="C9448" s="25">
        <v>8370137.4500000002</v>
      </c>
      <c r="D9448" s="22" t="s">
        <v>11791</v>
      </c>
      <c r="E9448" s="22" t="s">
        <v>11792</v>
      </c>
      <c r="F9448" s="23" t="str">
        <f>HYPERLINK("https://www.spark-marketing.ru/Card/Lot/69947358", "Поставка авиабилетов для вахтовых работников для нужд Центра охраны объектов промышленности")</f>
        <v>Поставка авиабилетов для вахтовых работников для нужд Центра охраны объектов промышленности</v>
      </c>
      <c r="G9448" s="22" t="s">
        <v>808</v>
      </c>
      <c r="H9448" s="22" t="s">
        <v>808</v>
      </c>
      <c r="I9448" s="26">
        <v>43574.621412036999</v>
      </c>
      <c r="J9448" s="28" t="s">
        <v>52</v>
      </c>
      <c r="K9448" s="28" t="s">
        <v>52</v>
      </c>
      <c r="L9448" s="28" t="s">
        <v>52</v>
      </c>
      <c r="M9448" s="28" t="s">
        <v>52</v>
      </c>
      <c r="N9448" s="28" t="s">
        <v>52</v>
      </c>
    </row>
    <row r="9449" spans="1:14" hidden="1" outlineLevel="1" x14ac:dyDescent="0.2">
      <c r="A9449" s="23" t="str">
        <f>HYPERLINK("https://www.spark-marketing.ru/Card/Person/10487", "ФГУП ""ОХРАНА"" РОСГВАРДИИ")</f>
        <v>ФГУП "ОХРАНА" РОСГВАРДИИ</v>
      </c>
      <c r="B9449" s="24" t="s">
        <v>779</v>
      </c>
      <c r="C9449" s="28" t="s">
        <v>52</v>
      </c>
      <c r="D9449" s="22" t="s">
        <v>11791</v>
      </c>
      <c r="E9449" s="22" t="s">
        <v>11792</v>
      </c>
      <c r="F9449" s="23" t="str">
        <f>HYPERLINK("https://www.spark-marketing.ru/Card/Lot/69947358", "Поставка авиабилетов для вахтовых работников для нужд Центра охраны объектов промышленности")</f>
        <v>Поставка авиабилетов для вахтовых работников для нужд Центра охраны объектов промышленности</v>
      </c>
      <c r="G9449" s="22" t="s">
        <v>808</v>
      </c>
      <c r="H9449" s="22" t="s">
        <v>808</v>
      </c>
      <c r="I9449" s="26">
        <v>43574.621412036999</v>
      </c>
      <c r="J9449" s="23" t="str">
        <f>HYPERLINK("https://www.spark-marketing.ru/Card/Person/365344", "ООО ""АТА МАГАДАН""")</f>
        <v>ООО "АТА МАГАДАН"</v>
      </c>
      <c r="K9449" s="24" t="s">
        <v>11793</v>
      </c>
      <c r="L9449" s="22" t="s">
        <v>10</v>
      </c>
      <c r="M9449" s="25">
        <v>7784227.79</v>
      </c>
      <c r="N9449" s="27">
        <v>7.0000004599685514E-2</v>
      </c>
    </row>
    <row r="9450" spans="1:14" hidden="1" outlineLevel="1" x14ac:dyDescent="0.2">
      <c r="A9450" s="23" t="str">
        <f>HYPERLINK("https://www.spark-marketing.ru/Card/Person/10487", "ФГУП ""ОХРАНА"" РОСГВАРДИИ")</f>
        <v>ФГУП "ОХРАНА" РОСГВАРДИИ</v>
      </c>
      <c r="B9450" s="24" t="s">
        <v>779</v>
      </c>
      <c r="C9450" s="28" t="s">
        <v>52</v>
      </c>
      <c r="D9450" s="22" t="s">
        <v>11791</v>
      </c>
      <c r="E9450" s="22" t="s">
        <v>11792</v>
      </c>
      <c r="F9450" s="23" t="str">
        <f>HYPERLINK("https://www.spark-marketing.ru/Card/Lot/69947358", "Поставка авиабилетов для вахтовых работников для нужд Центра охраны объектов промышленности")</f>
        <v>Поставка авиабилетов для вахтовых работников для нужд Центра охраны объектов промышленности</v>
      </c>
      <c r="G9450" s="22" t="s">
        <v>808</v>
      </c>
      <c r="H9450" s="22" t="s">
        <v>808</v>
      </c>
      <c r="I9450" s="26">
        <v>43574.621412036999</v>
      </c>
      <c r="J9450" s="23" t="str">
        <f>HYPERLINK("https://www.spark-marketing.ru/Card/Person/139386", "ООО ""АВИАМИР""")</f>
        <v>ООО "АВИАМИР"</v>
      </c>
      <c r="K9450" s="24" t="s">
        <v>11794</v>
      </c>
      <c r="L9450" s="28" t="s">
        <v>52</v>
      </c>
      <c r="M9450" s="25">
        <v>7826078.4800000004</v>
      </c>
      <c r="N9450" s="27">
        <v>6.5000004271136558E-2</v>
      </c>
    </row>
    <row r="9451" spans="1:14" x14ac:dyDescent="0.15">
      <c r="A9451" s="23" t="str">
        <f>HYPERLINK("https://www.spark-marketing.ru/Card/Person/1482599", "ГАПОУ СО ""СКИПО ДЛЯ ИНВАЛИДОВ И ЛИЦ С ОВЗ""")</f>
        <v>ГАПОУ СО "СКИПО ДЛЯ ИНВАЛИДОВ И ЛИЦ С ОВЗ"</v>
      </c>
      <c r="B9451" s="24" t="s">
        <v>11795</v>
      </c>
      <c r="C9451" s="25">
        <v>60000.7</v>
      </c>
      <c r="D9451" s="22" t="s">
        <v>11796</v>
      </c>
      <c r="E9451" s="22" t="s">
        <v>691</v>
      </c>
      <c r="F9451" s="23" t="str">
        <f>HYPERLINK("https://www.spark-marketing.ru/Card/Lot/69954452", "Установка системы контроля и управления доступом (системы видеонаблюдения)")</f>
        <v>Установка системы контроля и управления доступом (системы видеонаблюдения)</v>
      </c>
      <c r="G9451" s="22" t="s">
        <v>80</v>
      </c>
      <c r="H9451" s="22" t="s">
        <v>80</v>
      </c>
      <c r="I9451" s="26">
        <v>43574.617164351897</v>
      </c>
      <c r="J9451" s="28" t="s">
        <v>52</v>
      </c>
      <c r="K9451" s="28" t="s">
        <v>52</v>
      </c>
      <c r="L9451" s="28" t="s">
        <v>52</v>
      </c>
      <c r="M9451" s="28" t="s">
        <v>52</v>
      </c>
      <c r="N9451" s="28" t="s">
        <v>52</v>
      </c>
    </row>
    <row r="9452" spans="1:14" hidden="1" outlineLevel="1" x14ac:dyDescent="0.2">
      <c r="A9452" s="23" t="str">
        <f>HYPERLINK("https://www.spark-marketing.ru/Card/Person/1482599", "ГАПОУ СО ""СКИПО ДЛЯ ИНВАЛИДОВ И ЛИЦ С ОВЗ""")</f>
        <v>ГАПОУ СО "СКИПО ДЛЯ ИНВАЛИДОВ И ЛИЦ С ОВЗ"</v>
      </c>
      <c r="B9452" s="24" t="s">
        <v>11795</v>
      </c>
      <c r="C9452" s="28" t="s">
        <v>52</v>
      </c>
      <c r="D9452" s="22" t="s">
        <v>11796</v>
      </c>
      <c r="E9452" s="22" t="s">
        <v>691</v>
      </c>
      <c r="F9452" s="23" t="str">
        <f>HYPERLINK("https://www.spark-marketing.ru/Card/Lot/69954452", "Установка системы контроля и управления доступом (системы видеонаблюдения)")</f>
        <v>Установка системы контроля и управления доступом (системы видеонаблюдения)</v>
      </c>
      <c r="G9452" s="22" t="s">
        <v>80</v>
      </c>
      <c r="H9452" s="22" t="s">
        <v>80</v>
      </c>
      <c r="I9452" s="26">
        <v>43574.617164351897</v>
      </c>
      <c r="J9452" s="23" t="str">
        <f>HYPERLINK("https://www.spark-marketing.ru/Card/Person/4928835", "Гурский Юрий Анатольевич")</f>
        <v>Гурский Юрий Анатольевич</v>
      </c>
      <c r="K9452" s="24" t="s">
        <v>4284</v>
      </c>
      <c r="L9452" s="28" t="s">
        <v>52</v>
      </c>
      <c r="M9452" s="25">
        <v>49500</v>
      </c>
      <c r="N9452" s="27">
        <v>0.17500962488770963</v>
      </c>
    </row>
    <row r="9453" spans="1:14" hidden="1" outlineLevel="1" x14ac:dyDescent="0.2">
      <c r="A9453" s="23" t="str">
        <f>HYPERLINK("https://www.spark-marketing.ru/Card/Person/1482599", "ГАПОУ СО ""СКИПО ДЛЯ ИНВАЛИДОВ И ЛИЦ С ОВЗ""")</f>
        <v>ГАПОУ СО "СКИПО ДЛЯ ИНВАЛИДОВ И ЛИЦ С ОВЗ"</v>
      </c>
      <c r="B9453" s="24" t="s">
        <v>11795</v>
      </c>
      <c r="C9453" s="28" t="s">
        <v>52</v>
      </c>
      <c r="D9453" s="22" t="s">
        <v>11796</v>
      </c>
      <c r="E9453" s="22" t="s">
        <v>691</v>
      </c>
      <c r="F9453" s="23" t="str">
        <f>HYPERLINK("https://www.spark-marketing.ru/Card/Lot/69954452", "Установка системы контроля и управления доступом (системы видеонаблюдения)")</f>
        <v>Установка системы контроля и управления доступом (системы видеонаблюдения)</v>
      </c>
      <c r="G9453" s="22" t="s">
        <v>80</v>
      </c>
      <c r="H9453" s="22" t="s">
        <v>80</v>
      </c>
      <c r="I9453" s="26">
        <v>43574.617164351897</v>
      </c>
      <c r="J9453" s="23" t="str">
        <f>HYPERLINK("https://www.spark-marketing.ru/Card/Person/801971", "Рогачев Алексей Павлович")</f>
        <v>Рогачев Алексей Павлович</v>
      </c>
      <c r="K9453" s="24" t="s">
        <v>11797</v>
      </c>
      <c r="L9453" s="22" t="s">
        <v>10</v>
      </c>
      <c r="M9453" s="25">
        <v>48420</v>
      </c>
      <c r="N9453" s="27">
        <v>0.1930094148901596</v>
      </c>
    </row>
    <row r="9454" spans="1:14" hidden="1" outlineLevel="1" x14ac:dyDescent="0.2">
      <c r="A9454" s="23" t="str">
        <f>HYPERLINK("https://www.spark-marketing.ru/Card/Person/1482599", "ГАПОУ СО ""СКИПО ДЛЯ ИНВАЛИДОВ И ЛИЦ С ОВЗ""")</f>
        <v>ГАПОУ СО "СКИПО ДЛЯ ИНВАЛИДОВ И ЛИЦ С ОВЗ"</v>
      </c>
      <c r="B9454" s="24" t="s">
        <v>11795</v>
      </c>
      <c r="C9454" s="28" t="s">
        <v>52</v>
      </c>
      <c r="D9454" s="22" t="s">
        <v>11796</v>
      </c>
      <c r="E9454" s="22" t="s">
        <v>691</v>
      </c>
      <c r="F9454" s="23" t="str">
        <f>HYPERLINK("https://www.spark-marketing.ru/Card/Lot/69954452", "Установка системы контроля и управления доступом (системы видеонаблюдения)")</f>
        <v>Установка системы контроля и управления доступом (системы видеонаблюдения)</v>
      </c>
      <c r="G9454" s="22" t="s">
        <v>80</v>
      </c>
      <c r="H9454" s="22" t="s">
        <v>80</v>
      </c>
      <c r="I9454" s="26">
        <v>43574.617164351897</v>
      </c>
      <c r="J9454" s="23" t="str">
        <f>HYPERLINK("https://www.spark-marketing.ru/Card/Person/551123", "ООО "" БРАНДМАСТЕР """)</f>
        <v>ООО " БРАНДМАСТЕР "</v>
      </c>
      <c r="K9454" s="24" t="s">
        <v>11798</v>
      </c>
      <c r="L9454" s="28" t="s">
        <v>52</v>
      </c>
      <c r="M9454" s="25">
        <v>60000.7</v>
      </c>
      <c r="N9454" s="27">
        <v>0</v>
      </c>
    </row>
    <row r="9455" spans="1:14" x14ac:dyDescent="0.15">
      <c r="A9455" s="23" t="str">
        <f>HYPERLINK("https://www.spark-marketing.ru/Card/Person/53725", "МКУ ""ПТО""")</f>
        <v>МКУ "ПТО"</v>
      </c>
      <c r="B9455" s="24" t="s">
        <v>11799</v>
      </c>
      <c r="C9455" s="25">
        <v>37500</v>
      </c>
      <c r="D9455" s="22" t="s">
        <v>11800</v>
      </c>
      <c r="E9455" s="22" t="s">
        <v>107</v>
      </c>
      <c r="F9455" s="23" t="str">
        <f>HYPERLINK("https://www.spark-marketing.ru/Card/Lot/69941873", "Оказание услуг по содержанию и техническому обслуживанию системы видеонаблюдения.")</f>
        <v>Оказание услуг по содержанию и техническому обслуживанию системы видеонаблюдения.</v>
      </c>
      <c r="G9455" s="22" t="s">
        <v>311</v>
      </c>
      <c r="H9455" s="22" t="s">
        <v>311</v>
      </c>
      <c r="I9455" s="26">
        <v>43574.605555555601</v>
      </c>
      <c r="J9455" s="23" t="str">
        <f>HYPERLINK("https://www.spark-marketing.ru/Card/Person/6496014", "Витязева Татьяна Анатольевна")</f>
        <v>Витязева Татьяна Анатольевна</v>
      </c>
      <c r="K9455" s="24" t="s">
        <v>11801</v>
      </c>
      <c r="L9455" s="22" t="s">
        <v>10</v>
      </c>
      <c r="M9455" s="28" t="s">
        <v>52</v>
      </c>
      <c r="N9455" s="28" t="s">
        <v>52</v>
      </c>
    </row>
    <row r="9456" spans="1:14" x14ac:dyDescent="0.15">
      <c r="A9456" s="23" t="str">
        <f>HYPERLINK("https://www.spark-marketing.ru/Card/Person/134033", "МАУК ДК ""КУЧИНО""")</f>
        <v>МАУК ДК "КУЧИНО"</v>
      </c>
      <c r="B9456" s="24" t="s">
        <v>11802</v>
      </c>
      <c r="C9456" s="25">
        <v>30981.599999999999</v>
      </c>
      <c r="D9456" s="22" t="s">
        <v>11803</v>
      </c>
      <c r="E9456" s="22" t="s">
        <v>144</v>
      </c>
      <c r="F9456" s="23" t="str">
        <f>HYPERLINK("https://www.spark-marketing.ru/Card/Lot/69939530", "Оказание охранных услуг")</f>
        <v>Оказание охранных услуг</v>
      </c>
      <c r="G9456" s="22" t="s">
        <v>50</v>
      </c>
      <c r="H9456" s="22" t="s">
        <v>432</v>
      </c>
      <c r="I9456" s="26">
        <v>43574.565104166701</v>
      </c>
      <c r="J9456" s="28" t="s">
        <v>52</v>
      </c>
      <c r="K9456" s="28" t="s">
        <v>52</v>
      </c>
      <c r="L9456" s="28" t="s">
        <v>52</v>
      </c>
      <c r="M9456" s="28" t="s">
        <v>52</v>
      </c>
      <c r="N9456" s="28" t="s">
        <v>52</v>
      </c>
    </row>
    <row r="9457" spans="1:14" ht="12.75" x14ac:dyDescent="0.2">
      <c r="A9457" s="23" t="str">
        <f>HYPERLINK("https://www.spark-marketing.ru/Card/Person/4387026", "АО ""АМНГР""")</f>
        <v>АО "АМНГР"</v>
      </c>
      <c r="B9457" s="24" t="s">
        <v>11804</v>
      </c>
      <c r="C9457" s="25">
        <v>3991475</v>
      </c>
      <c r="D9457" s="22" t="s">
        <v>11805</v>
      </c>
      <c r="E9457" s="22" t="s">
        <v>363</v>
      </c>
      <c r="F9457" s="23" t="str">
        <f>HYPERLINK("https://www.spark-marketing.ru/Card/Lot/69954583", "Услуги по обеспечению охранно-пропускного режима на объектах, принадлежащих АО ""АМНГР""")</f>
        <v>Услуги по обеспечению охранно-пропускного режима на объектах, принадлежащих АО "АМНГР"</v>
      </c>
      <c r="G9457" s="22" t="s">
        <v>190</v>
      </c>
      <c r="H9457" s="22" t="s">
        <v>191</v>
      </c>
      <c r="I9457" s="26">
        <v>43574.582256944399</v>
      </c>
      <c r="J9457" s="23" t="str">
        <f>HYPERLINK("https://www.spark-marketing.ru/Card/Person/236321", "ООО ЧОП ""РУБИКОН""")</f>
        <v>ООО ЧОП "РУБИКОН"</v>
      </c>
      <c r="K9457" s="24" t="s">
        <v>11806</v>
      </c>
      <c r="L9457" s="22" t="s">
        <v>10</v>
      </c>
      <c r="M9457" s="25">
        <v>3863160</v>
      </c>
      <c r="N9457" s="27">
        <v>3.2147263856093296E-2</v>
      </c>
    </row>
    <row r="9458" spans="1:14" x14ac:dyDescent="0.15">
      <c r="A9458" s="23" t="str">
        <f>HYPERLINK("https://www.spark-marketing.ru/Card/Person/4387026", "АО ""АМНГР""")</f>
        <v>АО "АМНГР"</v>
      </c>
      <c r="B9458" s="24" t="s">
        <v>11804</v>
      </c>
      <c r="C9458" s="25">
        <v>3991475</v>
      </c>
      <c r="D9458" s="22" t="s">
        <v>11807</v>
      </c>
      <c r="E9458" s="22" t="s">
        <v>363</v>
      </c>
      <c r="F9458" s="23" t="str">
        <f>HYPERLINK("https://www.spark-marketing.ru/Card/Lot/73985594", "Услуги по обеспечению охранно-пропускного режима на объектах, принадлежащих АО ""АМНГР""")</f>
        <v>Услуги по обеспечению охранно-пропускного режима на объектах, принадлежащих АО "АМНГР"</v>
      </c>
      <c r="G9458" s="22" t="s">
        <v>190</v>
      </c>
      <c r="H9458" s="22" t="s">
        <v>191</v>
      </c>
      <c r="I9458" s="26">
        <v>43574.581944444399</v>
      </c>
      <c r="J9458" s="28" t="s">
        <v>52</v>
      </c>
      <c r="K9458" s="28" t="s">
        <v>52</v>
      </c>
      <c r="L9458" s="28" t="s">
        <v>52</v>
      </c>
      <c r="M9458" s="28" t="s">
        <v>52</v>
      </c>
      <c r="N9458" s="28" t="s">
        <v>52</v>
      </c>
    </row>
    <row r="9459" spans="1:14" x14ac:dyDescent="0.15">
      <c r="A9459" s="23" t="str">
        <f>HYPERLINK("https://www.spark-marketing.ru/Card/Person/6474612", "МАУ ""ДКМ""")</f>
        <v>МАУ "ДКМ"</v>
      </c>
      <c r="B9459" s="24" t="s">
        <v>1843</v>
      </c>
      <c r="C9459" s="25">
        <v>403228.8</v>
      </c>
      <c r="D9459" s="22" t="s">
        <v>11808</v>
      </c>
      <c r="E9459" s="22" t="s">
        <v>789</v>
      </c>
      <c r="F9459" s="23" t="str">
        <f>HYPERLINK("https://www.spark-marketing.ru/Card/Lot/69933738", "услуги по охране объекта")</f>
        <v>услуги по охране объекта</v>
      </c>
      <c r="G9459" s="22" t="s">
        <v>72</v>
      </c>
      <c r="H9459" s="22" t="s">
        <v>72</v>
      </c>
      <c r="I9459" s="26">
        <v>43574.517638888901</v>
      </c>
      <c r="J9459" s="28" t="s">
        <v>52</v>
      </c>
      <c r="K9459" s="28" t="s">
        <v>52</v>
      </c>
      <c r="L9459" s="28" t="s">
        <v>52</v>
      </c>
      <c r="M9459" s="28" t="s">
        <v>52</v>
      </c>
      <c r="N9459" s="28" t="s">
        <v>52</v>
      </c>
    </row>
    <row r="9460" spans="1:14" x14ac:dyDescent="0.15">
      <c r="A9460" s="23" t="str">
        <f>HYPERLINK("https://www.spark-marketing.ru/Card/Person/84059", "МДОУ №5")</f>
        <v>МДОУ №5</v>
      </c>
      <c r="B9460" s="24" t="s">
        <v>11809</v>
      </c>
      <c r="C9460" s="25">
        <v>136781</v>
      </c>
      <c r="D9460" s="22" t="s">
        <v>11810</v>
      </c>
      <c r="E9460" s="22" t="s">
        <v>84</v>
      </c>
      <c r="F9460" s="23" t="str">
        <f>HYPERLINK("https://www.spark-marketing.ru/Card/Lot/69937685", "Установка дополнительных видеокамер в систему видеонаблюдения в помещениях МДОУ №5")</f>
        <v>Установка дополнительных видеокамер в систему видеонаблюдения в помещениях МДОУ №5</v>
      </c>
      <c r="G9460" s="22" t="s">
        <v>50</v>
      </c>
      <c r="H9460" s="22" t="s">
        <v>295</v>
      </c>
      <c r="I9460" s="26">
        <v>43574.523622685199</v>
      </c>
      <c r="J9460" s="28" t="s">
        <v>52</v>
      </c>
      <c r="K9460" s="28" t="s">
        <v>52</v>
      </c>
      <c r="L9460" s="28" t="s">
        <v>52</v>
      </c>
      <c r="M9460" s="28" t="s">
        <v>52</v>
      </c>
      <c r="N9460" s="28" t="s">
        <v>52</v>
      </c>
    </row>
    <row r="9461" spans="1:14" x14ac:dyDescent="0.15">
      <c r="A9461" s="23" t="str">
        <f>HYPERLINK("https://www.spark-marketing.ru/Card/Person/4343947", "УФССП РОССИИ ПО ВОЛОГОДСКОЙ ОБЛАСТИ")</f>
        <v>УФССП РОССИИ ПО ВОЛОГОДСКОЙ ОБЛАСТИ</v>
      </c>
      <c r="B9461" s="24" t="s">
        <v>10609</v>
      </c>
      <c r="C9461" s="25">
        <v>190060</v>
      </c>
      <c r="D9461" s="22" t="s">
        <v>11811</v>
      </c>
      <c r="E9461" s="22" t="s">
        <v>180</v>
      </c>
      <c r="F9461" s="23" t="str">
        <f>HYPERLINK("https://www.spark-marketing.ru/Card/Lot/69934500", "Приобретение и установка автоматического шлагбаума с видеофиксацией по адресу: г. Вологда, ул. Петрозаводская, д. 3")</f>
        <v>Приобретение и установка автоматического шлагбаума с видеофиксацией по адресу: г. Вологда, ул. Петрозаводская, д. 3</v>
      </c>
      <c r="G9461" s="22" t="s">
        <v>902</v>
      </c>
      <c r="H9461" s="22" t="s">
        <v>902</v>
      </c>
      <c r="I9461" s="26">
        <v>43574.470138888901</v>
      </c>
      <c r="J9461" s="28" t="s">
        <v>52</v>
      </c>
      <c r="K9461" s="28" t="s">
        <v>52</v>
      </c>
      <c r="L9461" s="28" t="s">
        <v>52</v>
      </c>
      <c r="M9461" s="28" t="s">
        <v>52</v>
      </c>
      <c r="N9461" s="28" t="s">
        <v>52</v>
      </c>
    </row>
    <row r="9462" spans="1:14" x14ac:dyDescent="0.15">
      <c r="A9462" s="23" t="str">
        <f>HYPERLINK("https://www.spark-marketing.ru/Card/Person/672656", "АО ""СЕВТЕЛЕКОМ""")</f>
        <v>АО "СЕВТЕЛЕКОМ"</v>
      </c>
      <c r="B9462" s="24" t="s">
        <v>11812</v>
      </c>
      <c r="C9462" s="25">
        <v>337500.48</v>
      </c>
      <c r="D9462" s="22" t="s">
        <v>11813</v>
      </c>
      <c r="E9462" s="22" t="s">
        <v>867</v>
      </c>
      <c r="F9462" s="23" t="str">
        <f>HYPERLINK("https://www.spark-marketing.ru/Card/Lot/69953815", "Выполнение аварийно-восстановительных работ, ремонтно-восстановительных работ и работ по техническому обслуживанию волоконно-оптических линий связи и систем видеонаблюдения г. Севастополя")</f>
        <v>Выполнение аварийно-восстановительных работ, ремонтно-восстановительных работ и работ по техническому обслуживанию волоконно-оптических линий связи и систем видеонаблюдения г. Севастополя</v>
      </c>
      <c r="G9462" s="22" t="s">
        <v>714</v>
      </c>
      <c r="H9462" s="22" t="s">
        <v>714</v>
      </c>
      <c r="I9462" s="26">
        <v>43574.461215277799</v>
      </c>
      <c r="J9462" s="28" t="s">
        <v>52</v>
      </c>
      <c r="K9462" s="28" t="s">
        <v>52</v>
      </c>
      <c r="L9462" s="28" t="s">
        <v>52</v>
      </c>
      <c r="M9462" s="28" t="s">
        <v>52</v>
      </c>
      <c r="N9462" s="28" t="s">
        <v>52</v>
      </c>
    </row>
    <row r="9463" spans="1:14" x14ac:dyDescent="0.15">
      <c r="A9463" s="23" t="str">
        <f>HYPERLINK("https://www.spark-marketing.ru/Card/Person/4344165", "ПРАВИТЕЛЬСТВО КРАЯ")</f>
        <v>ПРАВИТЕЛЬСТВО КРАЯ</v>
      </c>
      <c r="B9463" s="24" t="s">
        <v>271</v>
      </c>
      <c r="C9463" s="25">
        <v>15030</v>
      </c>
      <c r="D9463" s="22" t="s">
        <v>11814</v>
      </c>
      <c r="E9463" s="22" t="s">
        <v>53</v>
      </c>
      <c r="F9463" s="23" t="str">
        <f>HYPERLINK("https://www.spark-marketing.ru/Card/Lot/70772454", "Услуги пультовой охраны, мониторинг систем охранной и аварийной сигнализации, 1 шт")</f>
        <v>Услуги пультовой охраны, мониторинг систем охранной и аварийной сигнализации, 1 шт</v>
      </c>
      <c r="G9463" s="22" t="s">
        <v>138</v>
      </c>
      <c r="H9463" s="22" t="s">
        <v>255</v>
      </c>
      <c r="I9463" s="26">
        <v>43574.466203703698</v>
      </c>
      <c r="J9463" s="28" t="s">
        <v>52</v>
      </c>
      <c r="K9463" s="28" t="s">
        <v>52</v>
      </c>
      <c r="L9463" s="28" t="s">
        <v>52</v>
      </c>
      <c r="M9463" s="28" t="s">
        <v>52</v>
      </c>
      <c r="N9463" s="28" t="s">
        <v>52</v>
      </c>
    </row>
    <row r="9464" spans="1:14" x14ac:dyDescent="0.15">
      <c r="A9464" s="23" t="str">
        <f>HYPERLINK("https://www.spark-marketing.ru/Card/Person/111098", "АО ""ПКМТП""")</f>
        <v>АО "ПКМТП"</v>
      </c>
      <c r="B9464" s="24" t="s">
        <v>1921</v>
      </c>
      <c r="C9464" s="25">
        <v>360000</v>
      </c>
      <c r="D9464" s="22" t="s">
        <v>11815</v>
      </c>
      <c r="E9464" s="22" t="s">
        <v>2577</v>
      </c>
      <c r="F9464" s="23" t="str">
        <f>HYPERLINK("https://www.spark-marketing.ru/Card/Lot/69916257", "Разработка «Плана обеспечении транспортной безопасности морского терминала «Универсальный перегрузочный комплекс ОАО «Петропавловск-Камчатский морской торговый порт»")</f>
        <v>Разработка «Плана обеспечении транспортной безопасности морского терминала «Универсальный перегрузочный комплекс ОАО «Петропавловск-Камчатский морской торговый порт»</v>
      </c>
      <c r="G9464" s="22" t="s">
        <v>1141</v>
      </c>
      <c r="H9464" s="22" t="s">
        <v>1141</v>
      </c>
      <c r="I9464" s="26">
        <v>43574.471655092602</v>
      </c>
      <c r="J9464" s="28" t="s">
        <v>52</v>
      </c>
      <c r="K9464" s="28" t="s">
        <v>52</v>
      </c>
      <c r="L9464" s="28" t="s">
        <v>52</v>
      </c>
      <c r="M9464" s="28" t="s">
        <v>52</v>
      </c>
      <c r="N9464" s="28" t="s">
        <v>52</v>
      </c>
    </row>
    <row r="9465" spans="1:14" x14ac:dyDescent="0.15">
      <c r="A9465" s="23" t="str">
        <f>HYPERLINK("https://www.spark-marketing.ru/Card/Person/103747", "МОУ ЛИЦЕЙ Г. ИСТРЫ")</f>
        <v>МОУ ЛИЦЕЙ Г. ИСТРЫ</v>
      </c>
      <c r="B9465" s="24" t="s">
        <v>11816</v>
      </c>
      <c r="C9465" s="25">
        <v>315000</v>
      </c>
      <c r="D9465" s="22" t="s">
        <v>11817</v>
      </c>
      <c r="E9465" s="22" t="s">
        <v>103</v>
      </c>
      <c r="F9465" s="23" t="str">
        <f>HYPERLINK("https://www.spark-marketing.ru/Card/Lot/69931991", "Оказание услуг по установке камер системы видеонаблюдения в пунктах приема экзаменов (ППЭ)")</f>
        <v>Оказание услуг по установке камер системы видеонаблюдения в пунктах приема экзаменов (ППЭ)</v>
      </c>
      <c r="G9465" s="22" t="s">
        <v>50</v>
      </c>
      <c r="H9465" s="22" t="s">
        <v>295</v>
      </c>
      <c r="I9465" s="26">
        <v>43574.440208333297</v>
      </c>
      <c r="J9465" s="28" t="s">
        <v>52</v>
      </c>
      <c r="K9465" s="28" t="s">
        <v>52</v>
      </c>
      <c r="L9465" s="28" t="s">
        <v>52</v>
      </c>
      <c r="M9465" s="28" t="s">
        <v>52</v>
      </c>
      <c r="N9465" s="28" t="s">
        <v>52</v>
      </c>
    </row>
    <row r="9466" spans="1:14" x14ac:dyDescent="0.15">
      <c r="A9466" s="23" t="str">
        <f>HYPERLINK("https://www.spark-marketing.ru/Card/Person/22004", "ГКУЗ ""СТАВРОПОЛЬСКИЙ КРАЕВОЙ ГОСПИТАЛЬ ДЛЯ ВЕТЕРАНОВ ВОЙН""")</f>
        <v>ГКУЗ "СТАВРОПОЛЬСКИЙ КРАЕВОЙ ГОСПИТАЛЬ ДЛЯ ВЕТЕРАНОВ ВОЙН"</v>
      </c>
      <c r="B9466" s="24" t="s">
        <v>11818</v>
      </c>
      <c r="C9466" s="25">
        <v>534930.72</v>
      </c>
      <c r="D9466" s="22" t="s">
        <v>11819</v>
      </c>
      <c r="E9466" s="22" t="s">
        <v>68</v>
      </c>
      <c r="F9466" s="23" t="str">
        <f>HYPERLINK("https://www.spark-marketing.ru/Card/Lot/69934099", "Оказание охранных услуг путем выставления одного поста охраны одним сотрудником предприятия для обеспечения государственных нужд Ставропольского края")</f>
        <v>Оказание охранных услуг путем выставления одного поста охраны одним сотрудником предприятия для обеспечения государственных нужд Ставропольского края</v>
      </c>
      <c r="G9466" s="22" t="s">
        <v>258</v>
      </c>
      <c r="H9466" s="22" t="s">
        <v>1671</v>
      </c>
      <c r="I9466" s="26">
        <v>43574.442361111098</v>
      </c>
      <c r="J9466" s="28" t="s">
        <v>52</v>
      </c>
      <c r="K9466" s="28" t="s">
        <v>52</v>
      </c>
      <c r="L9466" s="28" t="s">
        <v>52</v>
      </c>
      <c r="M9466" s="28" t="s">
        <v>52</v>
      </c>
      <c r="N9466" s="28" t="s">
        <v>52</v>
      </c>
    </row>
    <row r="9467" spans="1:14" hidden="1" outlineLevel="1" x14ac:dyDescent="0.2">
      <c r="A9467" s="23" t="str">
        <f>HYPERLINK("https://www.spark-marketing.ru/Card/Person/22004", "ГКУЗ ""СТАВРОПОЛЬСКИЙ КРАЕВОЙ ГОСПИТАЛЬ ДЛЯ ВЕТЕРАНОВ ВОЙН""")</f>
        <v>ГКУЗ "СТАВРОПОЛЬСКИЙ КРАЕВОЙ ГОСПИТАЛЬ ДЛЯ ВЕТЕРАНОВ ВОЙН"</v>
      </c>
      <c r="B9467" s="24" t="s">
        <v>11818</v>
      </c>
      <c r="C9467" s="25">
        <v>534930.72</v>
      </c>
      <c r="D9467" s="22" t="s">
        <v>11819</v>
      </c>
      <c r="E9467" s="22" t="s">
        <v>68</v>
      </c>
      <c r="F9467" s="23" t="str">
        <f>HYPERLINK("https://www.spark-marketing.ru/Card/Lot/69934099", "Оказание охранных услуг путем выставления одного поста охраны одним сотрудником предприятия для обеспечения государственных нужд Ставропольского края")</f>
        <v>Оказание охранных услуг путем выставления одного поста охраны одним сотрудником предприятия для обеспечения государственных нужд Ставропольского края</v>
      </c>
      <c r="G9467" s="22" t="s">
        <v>258</v>
      </c>
      <c r="H9467" s="22" t="s">
        <v>1671</v>
      </c>
      <c r="I9467" s="26">
        <v>43574.442361111098</v>
      </c>
      <c r="J9467" s="23" t="str">
        <f>HYPERLINK("https://www.spark-marketing.ru/Card/Person/2234356", "ООО ЧОП ""СКАЛА""")</f>
        <v>ООО ЧОП "СКАЛА"</v>
      </c>
      <c r="K9467" s="24" t="s">
        <v>11820</v>
      </c>
      <c r="L9467" s="28" t="s">
        <v>52</v>
      </c>
      <c r="M9467" s="25">
        <v>326801.40000000002</v>
      </c>
      <c r="N9467" s="27">
        <v>0.38907715002795129</v>
      </c>
    </row>
    <row r="9468" spans="1:14" ht="12.75" hidden="1" outlineLevel="1" x14ac:dyDescent="0.2">
      <c r="A9468" s="23" t="str">
        <f>HYPERLINK("https://www.spark-marketing.ru/Card/Person/22004", "ГКУЗ ""СТАВРОПОЛЬСКИЙ КРАЕВОЙ ГОСПИТАЛЬ ДЛЯ ВЕТЕРАНОВ ВОЙН""")</f>
        <v>ГКУЗ "СТАВРОПОЛЬСКИЙ КРАЕВОЙ ГОСПИТАЛЬ ДЛЯ ВЕТЕРАНОВ ВОЙН"</v>
      </c>
      <c r="B9468" s="24" t="s">
        <v>11818</v>
      </c>
      <c r="C9468" s="25">
        <v>534930.72</v>
      </c>
      <c r="D9468" s="22" t="s">
        <v>11819</v>
      </c>
      <c r="E9468" s="22" t="s">
        <v>68</v>
      </c>
      <c r="F9468" s="23" t="str">
        <f>HYPERLINK("https://www.spark-marketing.ru/Card/Lot/69934099", "Оказание охранных услуг путем выставления одного поста охраны одним сотрудником предприятия для обеспечения государственных нужд Ставропольского края")</f>
        <v>Оказание охранных услуг путем выставления одного поста охраны одним сотрудником предприятия для обеспечения государственных нужд Ставропольского края</v>
      </c>
      <c r="G9468" s="22" t="s">
        <v>258</v>
      </c>
      <c r="H9468" s="22" t="s">
        <v>1671</v>
      </c>
      <c r="I9468" s="26">
        <v>43574.442361111098</v>
      </c>
      <c r="J9468" s="23" t="str">
        <f>HYPERLINK("https://www.spark-marketing.ru/Card/Person/113424", "ООО ""ОП ""ПРОМЕТЕЙ""")</f>
        <v>ООО "ОП "ПРОМЕТЕЙ"</v>
      </c>
      <c r="K9468" s="24" t="s">
        <v>11821</v>
      </c>
      <c r="L9468" s="22" t="s">
        <v>10</v>
      </c>
      <c r="M9468" s="25">
        <v>324126.75</v>
      </c>
      <c r="N9468" s="27">
        <v>0.39407714329810783</v>
      </c>
    </row>
    <row r="9469" spans="1:14" x14ac:dyDescent="0.15">
      <c r="A9469" s="23" t="str">
        <f>HYPERLINK("https://www.spark-marketing.ru/Card/Person/672656", "АО ""СЕВТЕЛЕКОМ""")</f>
        <v>АО "СЕВТЕЛЕКОМ"</v>
      </c>
      <c r="B9469" s="24" t="s">
        <v>11812</v>
      </c>
      <c r="C9469" s="25">
        <v>455392.8</v>
      </c>
      <c r="D9469" s="22" t="s">
        <v>11822</v>
      </c>
      <c r="E9469" s="22" t="s">
        <v>867</v>
      </c>
      <c r="F9469" s="23" t="str">
        <f>HYPERLINK("https://www.spark-marketing.ru/Card/Lot/69931119", "Выполнение работ по техническому обслуживанию систем видеонаблюдения в местах массового скопления людей г. Севастополя")</f>
        <v>Выполнение работ по техническому обслуживанию систем видеонаблюдения в местах массового скопления людей г. Севастополя</v>
      </c>
      <c r="G9469" s="22" t="s">
        <v>714</v>
      </c>
      <c r="H9469" s="22" t="s">
        <v>714</v>
      </c>
      <c r="I9469" s="26">
        <v>43574.421979166698</v>
      </c>
      <c r="J9469" s="28" t="s">
        <v>52</v>
      </c>
      <c r="K9469" s="28" t="s">
        <v>52</v>
      </c>
      <c r="L9469" s="28" t="s">
        <v>52</v>
      </c>
      <c r="M9469" s="28" t="s">
        <v>52</v>
      </c>
      <c r="N9469" s="28" t="s">
        <v>52</v>
      </c>
    </row>
    <row r="9470" spans="1:14" x14ac:dyDescent="0.15">
      <c r="A9470" s="23" t="str">
        <f>HYPERLINK("https://www.spark-marketing.ru/Card/Person/13639", "ФГБУЗ НКЦ ФМБА РОССИИ")</f>
        <v>ФГБУЗ НКЦ ФМБА РОССИИ</v>
      </c>
      <c r="B9470" s="24" t="s">
        <v>11823</v>
      </c>
      <c r="C9470" s="25">
        <v>912168</v>
      </c>
      <c r="D9470" s="22" t="s">
        <v>11824</v>
      </c>
      <c r="E9470" s="22" t="s">
        <v>144</v>
      </c>
      <c r="F9470" s="23" t="str">
        <f>HYPERLINK("https://www.spark-marketing.ru/Card/Lot/69930432", "Услуги по физической охране объектов недвижимости ФГБУЗ НКЦ ФМБА России")</f>
        <v>Услуги по физической охране объектов недвижимости ФГБУЗ НКЦ ФМБА России</v>
      </c>
      <c r="G9470" s="22" t="s">
        <v>132</v>
      </c>
      <c r="H9470" s="22" t="s">
        <v>132</v>
      </c>
      <c r="I9470" s="26">
        <v>43574.410254629598</v>
      </c>
      <c r="J9470" s="28" t="s">
        <v>52</v>
      </c>
      <c r="K9470" s="28" t="s">
        <v>52</v>
      </c>
      <c r="L9470" s="28" t="s">
        <v>52</v>
      </c>
      <c r="M9470" s="28" t="s">
        <v>52</v>
      </c>
      <c r="N9470" s="28" t="s">
        <v>52</v>
      </c>
    </row>
    <row r="9471" spans="1:14" x14ac:dyDescent="0.15">
      <c r="A9471" s="23" t="str">
        <f>HYPERLINK("https://www.spark-marketing.ru/Card/Person/428684", "МОГАУ ""ДЮОЦ""")</f>
        <v>МОГАУ "ДЮОЦ"</v>
      </c>
      <c r="B9471" s="24" t="s">
        <v>11825</v>
      </c>
      <c r="C9471" s="25">
        <v>178200</v>
      </c>
      <c r="D9471" s="22" t="s">
        <v>11826</v>
      </c>
      <c r="E9471" s="22" t="s">
        <v>49</v>
      </c>
      <c r="F9471" s="23" t="str">
        <f>HYPERLINK("https://www.spark-marketing.ru/Card/Lot/69916251", "Обслуживание системы охранного видеонаблюдения.")</f>
        <v>Обслуживание системы охранного видеонаблюдения.</v>
      </c>
      <c r="G9471" s="22" t="s">
        <v>808</v>
      </c>
      <c r="H9471" s="22" t="s">
        <v>808</v>
      </c>
      <c r="I9471" s="26">
        <v>43574.4067013889</v>
      </c>
      <c r="J9471" s="28" t="s">
        <v>52</v>
      </c>
      <c r="K9471" s="28" t="s">
        <v>52</v>
      </c>
      <c r="L9471" s="28" t="s">
        <v>52</v>
      </c>
      <c r="M9471" s="28" t="s">
        <v>52</v>
      </c>
      <c r="N9471" s="28" t="s">
        <v>52</v>
      </c>
    </row>
    <row r="9472" spans="1:14" x14ac:dyDescent="0.15">
      <c r="A9472" s="23" t="str">
        <f>HYPERLINK("https://www.spark-marketing.ru/Card/Person/4343365", "ФКУ ""УРАЛУПРАВТОДОР""")</f>
        <v>ФКУ "УРАЛУПРАВТОДОР"</v>
      </c>
      <c r="B9472" s="24" t="s">
        <v>2437</v>
      </c>
      <c r="C9472" s="25">
        <v>99552</v>
      </c>
      <c r="D9472" s="22" t="s">
        <v>11827</v>
      </c>
      <c r="E9472" s="22" t="s">
        <v>53</v>
      </c>
      <c r="F9472" s="23" t="str">
        <f>HYPERLINK("https://www.spark-marketing.ru/Card/Lot/70773231", "охрана объектов, 1 шт")</f>
        <v>охрана объектов, 1 шт</v>
      </c>
      <c r="G9472" s="22" t="s">
        <v>893</v>
      </c>
      <c r="H9472" s="22" t="s">
        <v>11828</v>
      </c>
      <c r="I9472" s="26">
        <v>43574.379513888904</v>
      </c>
      <c r="J9472" s="28" t="s">
        <v>52</v>
      </c>
      <c r="K9472" s="28" t="s">
        <v>52</v>
      </c>
      <c r="L9472" s="28" t="s">
        <v>52</v>
      </c>
      <c r="M9472" s="28" t="s">
        <v>52</v>
      </c>
      <c r="N9472" s="28" t="s">
        <v>52</v>
      </c>
    </row>
    <row r="9473" spans="1:14" x14ac:dyDescent="0.15">
      <c r="A9473" s="23" t="str">
        <f>HYPERLINK("https://www.spark-marketing.ru/Card/Person/56023", "ГКУСО МО ""ОЗЕРСКИЙ СРЦН""")</f>
        <v>ГКУСО МО "ОЗЕРСКИЙ СРЦН"</v>
      </c>
      <c r="B9473" s="24" t="s">
        <v>11829</v>
      </c>
      <c r="C9473" s="25">
        <v>67354.539999999994</v>
      </c>
      <c r="D9473" s="22" t="s">
        <v>11830</v>
      </c>
      <c r="E9473" s="22" t="s">
        <v>107</v>
      </c>
      <c r="F9473" s="23" t="str">
        <f>HYPERLINK("https://www.spark-marketing.ru/Card/Lot/69927990", "Поставка и установка видеодомофона на входной калитке в ограждении учреждения")</f>
        <v>Поставка и установка видеодомофона на входной калитке в ограждении учреждения</v>
      </c>
      <c r="G9473" s="22" t="s">
        <v>50</v>
      </c>
      <c r="H9473" s="22" t="s">
        <v>248</v>
      </c>
      <c r="I9473" s="26">
        <v>43574.367615740703</v>
      </c>
      <c r="J9473" s="28" t="s">
        <v>52</v>
      </c>
      <c r="K9473" s="28" t="s">
        <v>52</v>
      </c>
      <c r="L9473" s="28" t="s">
        <v>52</v>
      </c>
      <c r="M9473" s="28" t="s">
        <v>52</v>
      </c>
      <c r="N9473" s="28" t="s">
        <v>52</v>
      </c>
    </row>
    <row r="9474" spans="1:14" x14ac:dyDescent="0.15">
      <c r="A9474" s="23" t="str">
        <f>HYPERLINK("https://www.spark-marketing.ru/Card/Person/666553", "ФГП ВО ЖДТ РОССИИ")</f>
        <v>ФГП ВО ЖДТ РОССИИ</v>
      </c>
      <c r="B9474" s="24" t="s">
        <v>1269</v>
      </c>
      <c r="C9474" s="25">
        <v>99796.44</v>
      </c>
      <c r="D9474" s="22" t="s">
        <v>11831</v>
      </c>
      <c r="E9474" s="22" t="s">
        <v>789</v>
      </c>
      <c r="F9474" s="23" t="str">
        <f>HYPERLINK("https://www.spark-marketing.ru/Card/Lot/69927353", "Техническое обслуживание комплекса технических средств охраны для нужд Сибирского отряда ВО филиала ФГП ВО ЖДТ России на Свердловской железной дороге")</f>
        <v>Техническое обслуживание комплекса технических средств охраны для нужд Сибирского отряда ВО филиала ФГП ВО ЖДТ России на Свердловской железной дороге</v>
      </c>
      <c r="G9474" s="22" t="s">
        <v>893</v>
      </c>
      <c r="H9474" s="22" t="s">
        <v>893</v>
      </c>
      <c r="I9474" s="26">
        <v>43574.334340277797</v>
      </c>
      <c r="J9474" s="28" t="s">
        <v>52</v>
      </c>
      <c r="K9474" s="28" t="s">
        <v>52</v>
      </c>
      <c r="L9474" s="28" t="s">
        <v>52</v>
      </c>
      <c r="M9474" s="28" t="s">
        <v>52</v>
      </c>
      <c r="N9474" s="28" t="s">
        <v>52</v>
      </c>
    </row>
    <row r="9475" spans="1:14" hidden="1" outlineLevel="1" x14ac:dyDescent="0.2">
      <c r="A9475" s="23" t="str">
        <f>HYPERLINK("https://www.spark-marketing.ru/Card/Person/666553", "ФГП ВО ЖДТ РОССИИ")</f>
        <v>ФГП ВО ЖДТ РОССИИ</v>
      </c>
      <c r="B9475" s="24" t="s">
        <v>1269</v>
      </c>
      <c r="C9475" s="28" t="s">
        <v>52</v>
      </c>
      <c r="D9475" s="22" t="s">
        <v>11831</v>
      </c>
      <c r="E9475" s="22" t="s">
        <v>789</v>
      </c>
      <c r="F9475" s="23" t="str">
        <f>HYPERLINK("https://www.spark-marketing.ru/Card/Lot/69927353", "Техническое обслуживание комплекса технических средств охраны для нужд Сибирского отряда ВО филиала ФГП ВО ЖДТ России на Свердловской железной дороге")</f>
        <v>Техническое обслуживание комплекса технических средств охраны для нужд Сибирского отряда ВО филиала ФГП ВО ЖДТ России на Свердловской железной дороге</v>
      </c>
      <c r="G9475" s="22" t="s">
        <v>893</v>
      </c>
      <c r="H9475" s="22" t="s">
        <v>893</v>
      </c>
      <c r="I9475" s="26">
        <v>43574.334340277797</v>
      </c>
      <c r="J9475" s="23" t="str">
        <f>HYPERLINK("https://www.spark-marketing.ru/Card/Person/856691", "ООО Н(Ч)ОП ""ТЮМЕНСКИЙ ЛЕГИОН""")</f>
        <v>ООО Н(Ч)ОП "ТЮМЕНСКИЙ ЛЕГИОН"</v>
      </c>
      <c r="K9475" s="24" t="s">
        <v>7497</v>
      </c>
      <c r="L9475" s="22" t="s">
        <v>10</v>
      </c>
      <c r="M9475" s="25">
        <v>96802.559999999998</v>
      </c>
      <c r="N9475" s="27">
        <v>2.9999867730752722E-2</v>
      </c>
    </row>
    <row r="9476" spans="1:14" hidden="1" outlineLevel="1" x14ac:dyDescent="0.2">
      <c r="A9476" s="23" t="str">
        <f>HYPERLINK("https://www.spark-marketing.ru/Card/Person/666553", "ФГП ВО ЖДТ РОССИИ")</f>
        <v>ФГП ВО ЖДТ РОССИИ</v>
      </c>
      <c r="B9476" s="24" t="s">
        <v>1269</v>
      </c>
      <c r="C9476" s="28" t="s">
        <v>52</v>
      </c>
      <c r="D9476" s="22" t="s">
        <v>11831</v>
      </c>
      <c r="E9476" s="22" t="s">
        <v>789</v>
      </c>
      <c r="F9476" s="23" t="str">
        <f>HYPERLINK("https://www.spark-marketing.ru/Card/Lot/69927353", "Техническое обслуживание комплекса технических средств охраны для нужд Сибирского отряда ВО филиала ФГП ВО ЖДТ России на Свердловской железной дороге")</f>
        <v>Техническое обслуживание комплекса технических средств охраны для нужд Сибирского отряда ВО филиала ФГП ВО ЖДТ России на Свердловской железной дороге</v>
      </c>
      <c r="G9476" s="22" t="s">
        <v>893</v>
      </c>
      <c r="H9476" s="22" t="s">
        <v>893</v>
      </c>
      <c r="I9476" s="26">
        <v>43574.334340277797</v>
      </c>
      <c r="J9476" s="23" t="str">
        <f>HYPERLINK("https://www.spark-marketing.ru/Card/Person/10487", "ФГУП ""ОХРАНА"" РОСГВАРДИИ")</f>
        <v>ФГУП "ОХРАНА" РОСГВАРДИИ</v>
      </c>
      <c r="K9476" s="24" t="s">
        <v>779</v>
      </c>
      <c r="L9476" s="28" t="s">
        <v>52</v>
      </c>
      <c r="M9476" s="25">
        <v>97301.54</v>
      </c>
      <c r="N9476" s="27">
        <v>2.4999889775627268E-2</v>
      </c>
    </row>
    <row r="9477" spans="1:14" x14ac:dyDescent="0.15">
      <c r="A9477" s="23" t="str">
        <f>HYPERLINK("https://www.spark-marketing.ru/Card/Person/231047", "ООО ""ТЕПЛОВОДОКАНАЛ""")</f>
        <v>ООО "ТЕПЛОВОДОКАНАЛ"</v>
      </c>
      <c r="B9477" s="24" t="s">
        <v>11832</v>
      </c>
      <c r="C9477" s="28" t="s">
        <v>52</v>
      </c>
      <c r="D9477" s="22" t="s">
        <v>11833</v>
      </c>
      <c r="E9477" s="22" t="s">
        <v>53</v>
      </c>
      <c r="F9477" s="23" t="str">
        <f>HYPERLINK("https://www.spark-marketing.ru/Card/Lot/69932616", "оказание услуги охраны объектов предприятия (1237856)")</f>
        <v>оказание услуги охраны объектов предприятия (1237856)</v>
      </c>
      <c r="G9477" s="22" t="s">
        <v>96</v>
      </c>
      <c r="H9477" s="22" t="s">
        <v>4911</v>
      </c>
      <c r="I9477" s="26">
        <v>43574.371550925898</v>
      </c>
      <c r="J9477" s="28" t="s">
        <v>52</v>
      </c>
      <c r="K9477" s="28" t="s">
        <v>52</v>
      </c>
      <c r="L9477" s="28" t="s">
        <v>52</v>
      </c>
      <c r="M9477" s="28" t="s">
        <v>52</v>
      </c>
      <c r="N9477" s="28" t="s">
        <v>52</v>
      </c>
    </row>
    <row r="9478" spans="1:14" x14ac:dyDescent="0.15">
      <c r="A9478" s="23" t="str">
        <f>HYPERLINK("https://www.spark-marketing.ru/Card/Person/45690", "КГКУ ""ХАБАРОВСКУПРАВТОДОР""")</f>
        <v>КГКУ "ХАБАРОВСКУПРАВТОДОР"</v>
      </c>
      <c r="B9478" s="24" t="s">
        <v>253</v>
      </c>
      <c r="C9478" s="25">
        <v>49860</v>
      </c>
      <c r="D9478" s="22" t="s">
        <v>11834</v>
      </c>
      <c r="E9478" s="22" t="s">
        <v>107</v>
      </c>
      <c r="F9478" s="23" t="str">
        <f>HYPERLINK("https://www.spark-marketing.ru/Card/Lot/70155619", "Техническое обслуживание камер видеонаблюдения, 1 шт")</f>
        <v>Техническое обслуживание камер видеонаблюдения, 1 шт</v>
      </c>
      <c r="G9478" s="22" t="s">
        <v>138</v>
      </c>
      <c r="H9478" s="22" t="s">
        <v>255</v>
      </c>
      <c r="I9478" s="26">
        <v>43574.215069444399</v>
      </c>
      <c r="J9478" s="28" t="s">
        <v>52</v>
      </c>
      <c r="K9478" s="28" t="s">
        <v>52</v>
      </c>
      <c r="L9478" s="28" t="s">
        <v>52</v>
      </c>
      <c r="M9478" s="28" t="s">
        <v>52</v>
      </c>
      <c r="N9478" s="28" t="s">
        <v>52</v>
      </c>
    </row>
    <row r="9479" spans="1:14" x14ac:dyDescent="0.15">
      <c r="A9479" s="23" t="str">
        <f>HYPERLINK("https://www.spark-marketing.ru/Card/Person/666553", "ФГП ВО ЖДТ РОССИИ")</f>
        <v>ФГП ВО ЖДТ РОССИИ</v>
      </c>
      <c r="B9479" s="24" t="s">
        <v>1269</v>
      </c>
      <c r="C9479" s="25">
        <v>41261.879999999997</v>
      </c>
      <c r="D9479" s="22" t="s">
        <v>11835</v>
      </c>
      <c r="E9479" s="22" t="s">
        <v>11836</v>
      </c>
      <c r="F9479" s="23" t="str">
        <f>HYPERLINK("https://www.spark-marketing.ru/Card/Lot/69924675", "Оказание услуг по дератизации и дезинсекции в подразделениях Пензенского отряда филиала Федерального государственного предприятия «Ведомственная охрана железнодорожного транспорта Российской Федерации» на Куйбышевской железной дороге (Рузаевское напр...")</f>
        <v>Оказание услуг по дератизации и дезинсекции в подразделениях Пензенского отряда филиала Федерального государственного предприятия «Ведомственная охрана железнодорожного транспорта Российской Федерации» на Куйбышевской железной дороге (Рузаевское напр...</v>
      </c>
      <c r="G9479" s="22" t="s">
        <v>331</v>
      </c>
      <c r="H9479" s="22" t="s">
        <v>331</v>
      </c>
      <c r="I9479" s="26">
        <v>43574.235844907402</v>
      </c>
      <c r="J9479" s="28" t="s">
        <v>52</v>
      </c>
      <c r="K9479" s="28" t="s">
        <v>52</v>
      </c>
      <c r="L9479" s="28" t="s">
        <v>52</v>
      </c>
      <c r="M9479" s="28" t="s">
        <v>52</v>
      </c>
      <c r="N9479" s="28" t="s">
        <v>52</v>
      </c>
    </row>
    <row r="9480" spans="1:14" x14ac:dyDescent="0.15">
      <c r="A9480" s="23" t="str">
        <f>HYPERLINK("https://www.spark-marketing.ru/Card/Person/150332", "БОУ Г.ОМСКА ""СРЕДНЯЯ ОБЩЕОБРАЗОВАТЕЛЬНАЯ ШКОЛА № 23""")</f>
        <v>БОУ Г.ОМСКА "СРЕДНЯЯ ОБЩЕОБРАЗОВАТЕЛЬНАЯ ШКОЛА № 23"</v>
      </c>
      <c r="B9480" s="24" t="s">
        <v>11837</v>
      </c>
      <c r="C9480" s="25">
        <v>54800</v>
      </c>
      <c r="D9480" s="22" t="s">
        <v>11838</v>
      </c>
      <c r="E9480" s="22" t="s">
        <v>59</v>
      </c>
      <c r="F9480" s="23" t="str">
        <f>HYPERLINK("https://www.spark-marketing.ru/Card/Lot/69924886", "Услуги по установке и техническому обслуживанию, обработке и хранению данных систем видеонаблюдения")</f>
        <v>Услуги по установке и техническому обслуживанию, обработке и хранению данных систем видеонаблюдения</v>
      </c>
      <c r="G9480" s="22" t="s">
        <v>521</v>
      </c>
      <c r="H9480" s="22" t="s">
        <v>522</v>
      </c>
      <c r="I9480" s="26">
        <v>43574.243055555598</v>
      </c>
      <c r="J9480" s="28" t="s">
        <v>52</v>
      </c>
      <c r="K9480" s="28" t="s">
        <v>52</v>
      </c>
      <c r="L9480" s="28" t="s">
        <v>52</v>
      </c>
      <c r="M9480" s="28" t="s">
        <v>52</v>
      </c>
      <c r="N9480" s="28" t="s">
        <v>52</v>
      </c>
    </row>
    <row r="9481" spans="1:14" x14ac:dyDescent="0.15">
      <c r="A9481" s="23" t="str">
        <f>HYPERLINK("https://www.spark-marketing.ru/Card/Person/474065", "ПАО ""БОГУЧАНСКАЯ ГЭС""")</f>
        <v>ПАО "БОГУЧАНСКАЯ ГЭС"</v>
      </c>
      <c r="B9481" s="24" t="s">
        <v>9360</v>
      </c>
      <c r="C9481" s="28" t="s">
        <v>52</v>
      </c>
      <c r="D9481" s="28" t="s">
        <v>52</v>
      </c>
      <c r="E9481" s="22" t="s">
        <v>53</v>
      </c>
      <c r="F9481" s="23" t="str">
        <f>HYPERLINK("https://www.spark-marketing.ru/Card/Lot/73317328", "Открытый одноэтапный конкурс Лот № БЗ-002 на 2019 год, «Охрана объектов ПАО «Богучанская ГЭС» (автопатруль) 2019-2020 гг.».")</f>
        <v>Открытый одноэтапный конкурс Лот № БЗ-002 на 2019 год, «Охрана объектов ПАО «Богучанская ГЭС» (автопатруль) 2019-2020 гг.».</v>
      </c>
      <c r="G9481" s="22" t="s">
        <v>640</v>
      </c>
      <c r="H9481" s="22" t="s">
        <v>8233</v>
      </c>
      <c r="I9481" s="26">
        <v>43574</v>
      </c>
      <c r="J9481" s="28" t="s">
        <v>52</v>
      </c>
      <c r="K9481" s="28" t="s">
        <v>52</v>
      </c>
      <c r="L9481" s="28" t="s">
        <v>52</v>
      </c>
      <c r="M9481" s="28" t="s">
        <v>52</v>
      </c>
      <c r="N9481" s="28" t="s">
        <v>52</v>
      </c>
    </row>
    <row r="9482" spans="1:14" x14ac:dyDescent="0.15">
      <c r="A9482" s="23" t="str">
        <f>HYPERLINK("https://www.spark-marketing.ru/Card/Person/474065", "ПАО ""БОГУЧАНСКАЯ ГЭС""")</f>
        <v>ПАО "БОГУЧАНСКАЯ ГЭС"</v>
      </c>
      <c r="B9482" s="24" t="s">
        <v>9360</v>
      </c>
      <c r="C9482" s="28" t="s">
        <v>52</v>
      </c>
      <c r="D9482" s="28" t="s">
        <v>52</v>
      </c>
      <c r="E9482" s="22" t="s">
        <v>53</v>
      </c>
      <c r="F9482" s="23" t="str">
        <f>HYPERLINK("https://www.spark-marketing.ru/Card/Lot/69929431", "Открытый одноэтапный конкурс Лот № БЗ-002 на 2019 год, «Охрана объектов ПАО «Богучанская ГЭС» (автопатруль) 2019-2020 гг.».")</f>
        <v>Открытый одноэтапный конкурс Лот № БЗ-002 на 2019 год, «Охрана объектов ПАО «Богучанская ГЭС» (автопатруль) 2019-2020 гг.».</v>
      </c>
      <c r="G9482" s="22" t="s">
        <v>640</v>
      </c>
      <c r="H9482" s="22" t="s">
        <v>8233</v>
      </c>
      <c r="I9482" s="26">
        <v>43574</v>
      </c>
      <c r="J9482" s="28" t="s">
        <v>52</v>
      </c>
      <c r="K9482" s="28" t="s">
        <v>52</v>
      </c>
      <c r="L9482" s="28" t="s">
        <v>52</v>
      </c>
      <c r="M9482" s="28" t="s">
        <v>52</v>
      </c>
      <c r="N9482" s="28" t="s">
        <v>52</v>
      </c>
    </row>
    <row r="9483" spans="1:14" x14ac:dyDescent="0.15">
      <c r="A9483" s="23" t="str">
        <f>HYPERLINK("https://www.spark-marketing.ru/Card/Person/6450322", "ЗАКАЗЧИК РП БЕЛАРУСЬ")</f>
        <v>ЗАКАЗЧИК РП БЕЛАРУСЬ</v>
      </c>
      <c r="B9483" s="28" t="s">
        <v>52</v>
      </c>
      <c r="C9483" s="25">
        <v>380583.74479999999</v>
      </c>
      <c r="D9483" s="22" t="s">
        <v>11839</v>
      </c>
      <c r="E9483" s="22" t="s">
        <v>53</v>
      </c>
      <c r="F9483" s="23" t="str">
        <f>HYPERLINK("https://www.spark-marketing.ru/Card/Lot/69945926", "Закупка комплекта оборудования аудио - видео конференц системы с обеспечением ее установки и настройки (для проведения открытых мероприятий, конференций, семинаров)")</f>
        <v>Закупка комплекта оборудования аудио - видео конференц системы с обеспечением ее установки и настройки (для проведения открытых мероприятий, конференций, семинаров)</v>
      </c>
      <c r="G9483" s="22" t="s">
        <v>52</v>
      </c>
      <c r="H9483" s="22" t="s">
        <v>52</v>
      </c>
      <c r="I9483" s="26">
        <v>43574</v>
      </c>
      <c r="J9483" s="28" t="s">
        <v>52</v>
      </c>
      <c r="K9483" s="28" t="s">
        <v>52</v>
      </c>
      <c r="L9483" s="28" t="s">
        <v>52</v>
      </c>
      <c r="M9483" s="28" t="s">
        <v>52</v>
      </c>
      <c r="N9483" s="28" t="s">
        <v>52</v>
      </c>
    </row>
    <row r="9484" spans="1:14" x14ac:dyDescent="0.15">
      <c r="A9484" s="23" t="str">
        <f>HYPERLINK("https://www.spark-marketing.ru/Card/Person/22955", "ФГБОУ ВО ""УДГУ"" УДГУ ФГБОУ ВО ""УДМУРТСКИЙ ГОСУДАРСТВЕННЫЙ УНИВЕРСИТЕТ""")</f>
        <v>ФГБОУ ВО "УДГУ" УДГУ ФГБОУ ВО "УДМУРТСКИЙ ГОСУДАРСТВЕННЫЙ УНИВЕРСИТЕТ"</v>
      </c>
      <c r="B9484" s="24" t="s">
        <v>11840</v>
      </c>
      <c r="C9484" s="25">
        <v>676211.25</v>
      </c>
      <c r="D9484" s="22" t="s">
        <v>11841</v>
      </c>
      <c r="E9484" s="22" t="s">
        <v>2204</v>
      </c>
      <c r="F9484" s="23" t="str">
        <f>HYPERLINK("https://www.spark-marketing.ru/Card/Lot/69914181", "Поставка системы видеонаблюдения и цифровой видеорегистрации с установкой на объекте ФГБОУ ВО УдГУ «Учебный корпус №2»")</f>
        <v>Поставка системы видеонаблюдения и цифровой видеорегистрации с установкой на объекте ФГБОУ ВО УдГУ «Учебный корпус №2»</v>
      </c>
      <c r="G9484" s="22" t="s">
        <v>96</v>
      </c>
      <c r="H9484" s="22" t="s">
        <v>1342</v>
      </c>
      <c r="I9484" s="26">
        <v>43573.858483796299</v>
      </c>
      <c r="J9484" s="28" t="s">
        <v>52</v>
      </c>
      <c r="K9484" s="28" t="s">
        <v>52</v>
      </c>
      <c r="L9484" s="28" t="s">
        <v>52</v>
      </c>
      <c r="M9484" s="28" t="s">
        <v>52</v>
      </c>
      <c r="N9484" s="28" t="s">
        <v>52</v>
      </c>
    </row>
    <row r="9485" spans="1:14" hidden="1" outlineLevel="1" x14ac:dyDescent="0.15">
      <c r="A9485" s="23" t="str">
        <f>HYPERLINK("https://www.spark-marketing.ru/Card/Person/22955", "ФГБОУ ВО ""УДГУ"" УДГУ ФГБОУ ВО ""УДМУРТСКИЙ ГОСУДАРСТВЕННЫЙ УНИВЕРСИТЕТ""")</f>
        <v>ФГБОУ ВО "УДГУ" УДГУ ФГБОУ ВО "УДМУРТСКИЙ ГОСУДАРСТВЕННЫЙ УНИВЕРСИТЕТ"</v>
      </c>
      <c r="B9485" s="24" t="s">
        <v>11840</v>
      </c>
      <c r="C9485" s="28" t="s">
        <v>52</v>
      </c>
      <c r="D9485" s="22" t="s">
        <v>11841</v>
      </c>
      <c r="E9485" s="22" t="s">
        <v>2204</v>
      </c>
      <c r="F9485" s="23" t="str">
        <f>HYPERLINK("https://www.spark-marketing.ru/Card/Lot/69914181", "Поставка системы видеонаблюдения и цифровой видеорегистрации с установкой на объекте ФГБОУ ВО УдГУ «Учебный корпус №2»")</f>
        <v>Поставка системы видеонаблюдения и цифровой видеорегистрации с установкой на объекте ФГБОУ ВО УдГУ «Учебный корпус №2»</v>
      </c>
      <c r="G9485" s="22" t="s">
        <v>96</v>
      </c>
      <c r="H9485" s="22" t="s">
        <v>1342</v>
      </c>
      <c r="I9485" s="26">
        <v>43573.858483796299</v>
      </c>
      <c r="J9485" s="23" t="str">
        <f>HYPERLINK("https://www.spark-marketing.ru/Card/Person/1129792", "ООО ""ИТ ИЖЕВСК""")</f>
        <v>ООО "ИТ ИЖЕВСК"</v>
      </c>
      <c r="K9485" s="24" t="s">
        <v>8461</v>
      </c>
      <c r="L9485" s="28" t="s">
        <v>52</v>
      </c>
      <c r="M9485" s="28" t="s">
        <v>52</v>
      </c>
      <c r="N9485" s="28" t="s">
        <v>52</v>
      </c>
    </row>
    <row r="9486" spans="1:14" hidden="1" outlineLevel="1" x14ac:dyDescent="0.15">
      <c r="A9486" s="23" t="str">
        <f>HYPERLINK("https://www.spark-marketing.ru/Card/Person/22955", "ФГБОУ ВО ""УДГУ"" УДГУ ФГБОУ ВО ""УДМУРТСКИЙ ГОСУДАРСТВЕННЫЙ УНИВЕРСИТЕТ""")</f>
        <v>ФГБОУ ВО "УДГУ" УДГУ ФГБОУ ВО "УДМУРТСКИЙ ГОСУДАРСТВЕННЫЙ УНИВЕРСИТЕТ"</v>
      </c>
      <c r="B9486" s="24" t="s">
        <v>11840</v>
      </c>
      <c r="C9486" s="28" t="s">
        <v>52</v>
      </c>
      <c r="D9486" s="22" t="s">
        <v>11841</v>
      </c>
      <c r="E9486" s="22" t="s">
        <v>2204</v>
      </c>
      <c r="F9486" s="23" t="str">
        <f>HYPERLINK("https://www.spark-marketing.ru/Card/Lot/69914181", "Поставка системы видеонаблюдения и цифровой видеорегистрации с установкой на объекте ФГБОУ ВО УдГУ «Учебный корпус №2»")</f>
        <v>Поставка системы видеонаблюдения и цифровой видеорегистрации с установкой на объекте ФГБОУ ВО УдГУ «Учебный корпус №2»</v>
      </c>
      <c r="G9486" s="22" t="s">
        <v>96</v>
      </c>
      <c r="H9486" s="22" t="s">
        <v>1342</v>
      </c>
      <c r="I9486" s="26">
        <v>43573.858483796299</v>
      </c>
      <c r="J9486" s="23" t="str">
        <f>HYPERLINK("https://www.spark-marketing.ru/Card/Person/5853123", "Ершов Андрей Алексеевич")</f>
        <v>Ершов Андрей Алексеевич</v>
      </c>
      <c r="K9486" s="24" t="s">
        <v>1063</v>
      </c>
      <c r="L9486" s="28" t="s">
        <v>52</v>
      </c>
      <c r="M9486" s="28" t="s">
        <v>52</v>
      </c>
      <c r="N9486" s="28" t="s">
        <v>52</v>
      </c>
    </row>
    <row r="9487" spans="1:14" hidden="1" outlineLevel="1" x14ac:dyDescent="0.2">
      <c r="A9487" s="23" t="str">
        <f>HYPERLINK("https://www.spark-marketing.ru/Card/Person/22955", "ФГБОУ ВО ""УДГУ"" УДГУ ФГБОУ ВО ""УДМУРТСКИЙ ГОСУДАРСТВЕННЫЙ УНИВЕРСИТЕТ""")</f>
        <v>ФГБОУ ВО "УДГУ" УДГУ ФГБОУ ВО "УДМУРТСКИЙ ГОСУДАРСТВЕННЫЙ УНИВЕРСИТЕТ"</v>
      </c>
      <c r="B9487" s="24" t="s">
        <v>11840</v>
      </c>
      <c r="C9487" s="28" t="s">
        <v>52</v>
      </c>
      <c r="D9487" s="22" t="s">
        <v>11841</v>
      </c>
      <c r="E9487" s="22" t="s">
        <v>2204</v>
      </c>
      <c r="F9487" s="23" t="str">
        <f>HYPERLINK("https://www.spark-marketing.ru/Card/Lot/69914181", "Поставка системы видеонаблюдения и цифровой видеорегистрации с установкой на объекте ФГБОУ ВО УдГУ «Учебный корпус №2»")</f>
        <v>Поставка системы видеонаблюдения и цифровой видеорегистрации с установкой на объекте ФГБОУ ВО УдГУ «Учебный корпус №2»</v>
      </c>
      <c r="G9487" s="22" t="s">
        <v>96</v>
      </c>
      <c r="H9487" s="22" t="s">
        <v>1342</v>
      </c>
      <c r="I9487" s="26">
        <v>43573.858483796299</v>
      </c>
      <c r="J9487" s="23" t="str">
        <f>HYPERLINK("https://www.spark-marketing.ru/Card/Person/390380", "ООО ""КОНТРОЛЬ-Н""")</f>
        <v>ООО "КОНТРОЛЬ-Н"</v>
      </c>
      <c r="K9487" s="24" t="s">
        <v>4927</v>
      </c>
      <c r="L9487" s="22" t="s">
        <v>10</v>
      </c>
      <c r="M9487" s="25">
        <v>526618.93999999994</v>
      </c>
      <c r="N9487" s="27">
        <v>0.22122126776210838</v>
      </c>
    </row>
    <row r="9488" spans="1:14" hidden="1" outlineLevel="1" x14ac:dyDescent="0.2">
      <c r="A9488" s="23" t="str">
        <f>HYPERLINK("https://www.spark-marketing.ru/Card/Person/22955", "ФГБОУ ВО ""УДГУ"" УДГУ ФГБОУ ВО ""УДМУРТСКИЙ ГОСУДАРСТВЕННЫЙ УНИВЕРСИТЕТ""")</f>
        <v>ФГБОУ ВО "УДГУ" УДГУ ФГБОУ ВО "УДМУРТСКИЙ ГОСУДАРСТВЕННЫЙ УНИВЕРСИТЕТ"</v>
      </c>
      <c r="B9488" s="24" t="s">
        <v>11840</v>
      </c>
      <c r="C9488" s="28" t="s">
        <v>52</v>
      </c>
      <c r="D9488" s="22" t="s">
        <v>11841</v>
      </c>
      <c r="E9488" s="22" t="s">
        <v>2204</v>
      </c>
      <c r="F9488" s="23" t="str">
        <f>HYPERLINK("https://www.spark-marketing.ru/Card/Lot/69914181", "Поставка системы видеонаблюдения и цифровой видеорегистрации с установкой на объекте ФГБОУ ВО УдГУ «Учебный корпус №2»")</f>
        <v>Поставка системы видеонаблюдения и цифровой видеорегистрации с установкой на объекте ФГБОУ ВО УдГУ «Учебный корпус №2»</v>
      </c>
      <c r="G9488" s="22" t="s">
        <v>96</v>
      </c>
      <c r="H9488" s="22" t="s">
        <v>1342</v>
      </c>
      <c r="I9488" s="26">
        <v>43573.858483796299</v>
      </c>
      <c r="J9488" s="23" t="str">
        <f>HYPERLINK("https://www.spark-marketing.ru/Card/Person/59603", "ООО ""ИНТЕРКОМ СЕРВИС""")</f>
        <v>ООО "ИНТЕРКОМ СЕРВИС"</v>
      </c>
      <c r="K9488" s="24" t="s">
        <v>11842</v>
      </c>
      <c r="L9488" s="28" t="s">
        <v>52</v>
      </c>
      <c r="M9488" s="25">
        <v>601827.93000000005</v>
      </c>
      <c r="N9488" s="27">
        <v>0.11000012200329409</v>
      </c>
    </row>
    <row r="9489" spans="1:14" x14ac:dyDescent="0.15">
      <c r="A9489" s="23" t="str">
        <f>HYPERLINK("https://www.spark-marketing.ru/Card/Person/729041", "ООО ""СИТИЛИНК""")</f>
        <v>ООО "СИТИЛИНК"</v>
      </c>
      <c r="B9489" s="24" t="s">
        <v>525</v>
      </c>
      <c r="C9489" s="25">
        <v>0</v>
      </c>
      <c r="D9489" s="22" t="s">
        <v>11843</v>
      </c>
      <c r="E9489" s="22" t="s">
        <v>84</v>
      </c>
      <c r="F9489" s="23" t="str">
        <f>HYPERLINK("https://www.spark-marketing.ru/Card/Lot/69953122", "Стоимость годового обслуживания за 1 канал (при сроке хранения 30 дней)")</f>
        <v>Стоимость годового обслуживания за 1 канал (при сроке хранения 30 дней)</v>
      </c>
      <c r="G9489" s="22" t="s">
        <v>55</v>
      </c>
      <c r="H9489" s="22" t="s">
        <v>55</v>
      </c>
      <c r="I9489" s="26">
        <v>43574.771944444401</v>
      </c>
      <c r="J9489" s="28" t="s">
        <v>52</v>
      </c>
      <c r="K9489" s="28" t="s">
        <v>52</v>
      </c>
      <c r="L9489" s="28" t="s">
        <v>52</v>
      </c>
      <c r="M9489" s="28" t="s">
        <v>52</v>
      </c>
      <c r="N9489" s="28" t="s">
        <v>52</v>
      </c>
    </row>
    <row r="9490" spans="1:14" x14ac:dyDescent="0.15">
      <c r="A9490" s="23" t="str">
        <f>HYPERLINK("https://www.spark-marketing.ru/Card/Person/474065", "ПАО ""БОГУЧАНСКАЯ ГЭС""")</f>
        <v>ПАО "БОГУЧАНСКАЯ ГЭС"</v>
      </c>
      <c r="B9490" s="24" t="s">
        <v>9360</v>
      </c>
      <c r="C9490" s="28" t="s">
        <v>52</v>
      </c>
      <c r="D9490" s="28" t="s">
        <v>52</v>
      </c>
      <c r="E9490" s="22" t="s">
        <v>53</v>
      </c>
      <c r="F9490" s="23" t="str">
        <f>HYPERLINK("https://www.spark-marketing.ru/Card/Lot/73317329", "Открытый одноэтапный конкурс Лот № БЗ-001 на 2019 год, «Охрана объектов ПАО «Богучанская ГЭС» (КПП) 2019-2020 гг.».")</f>
        <v>Открытый одноэтапный конкурс Лот № БЗ-001 на 2019 год, «Охрана объектов ПАО «Богучанская ГЭС» (КПП) 2019-2020 гг.».</v>
      </c>
      <c r="G9490" s="22" t="s">
        <v>640</v>
      </c>
      <c r="H9490" s="22" t="s">
        <v>8233</v>
      </c>
      <c r="I9490" s="26">
        <v>43574</v>
      </c>
      <c r="J9490" s="28" t="s">
        <v>52</v>
      </c>
      <c r="K9490" s="28" t="s">
        <v>52</v>
      </c>
      <c r="L9490" s="28" t="s">
        <v>52</v>
      </c>
      <c r="M9490" s="28" t="s">
        <v>52</v>
      </c>
      <c r="N9490" s="28" t="s">
        <v>52</v>
      </c>
    </row>
    <row r="9491" spans="1:14" x14ac:dyDescent="0.15">
      <c r="A9491" s="23" t="str">
        <f>HYPERLINK("https://www.spark-marketing.ru/Card/Person/474065", "ПАО ""БОГУЧАНСКАЯ ГЭС""")</f>
        <v>ПАО "БОГУЧАНСКАЯ ГЭС"</v>
      </c>
      <c r="B9491" s="24" t="s">
        <v>9360</v>
      </c>
      <c r="C9491" s="28" t="s">
        <v>52</v>
      </c>
      <c r="D9491" s="28" t="s">
        <v>52</v>
      </c>
      <c r="E9491" s="22" t="s">
        <v>53</v>
      </c>
      <c r="F9491" s="23" t="str">
        <f>HYPERLINK("https://www.spark-marketing.ru/Card/Lot/69929432", "Открытый одноэтапный конкурс Лот № БЗ-001 на 2019 год, «Охрана объектов ПАО «Богучанская ГЭС» (КПП) 2019-2020 гг.».")</f>
        <v>Открытый одноэтапный конкурс Лот № БЗ-001 на 2019 год, «Охрана объектов ПАО «Богучанская ГЭС» (КПП) 2019-2020 гг.».</v>
      </c>
      <c r="G9491" s="22" t="s">
        <v>640</v>
      </c>
      <c r="H9491" s="22" t="s">
        <v>8233</v>
      </c>
      <c r="I9491" s="26">
        <v>43574</v>
      </c>
      <c r="J9491" s="28" t="s">
        <v>52</v>
      </c>
      <c r="K9491" s="28" t="s">
        <v>52</v>
      </c>
      <c r="L9491" s="28" t="s">
        <v>52</v>
      </c>
      <c r="M9491" s="28" t="s">
        <v>52</v>
      </c>
      <c r="N9491" s="28" t="s">
        <v>52</v>
      </c>
    </row>
    <row r="9492" spans="1:14" x14ac:dyDescent="0.15">
      <c r="A9492" s="23" t="str">
        <f>HYPERLINK("https://www.spark-marketing.ru/Card/Person/4371183", "АО ""6 АРСЕНАЛ""")</f>
        <v>АО "6 АРСЕНАЛ"</v>
      </c>
      <c r="B9492" s="24" t="s">
        <v>11844</v>
      </c>
      <c r="C9492" s="25">
        <v>637348</v>
      </c>
      <c r="D9492" s="22" t="s">
        <v>11845</v>
      </c>
      <c r="E9492" s="22" t="s">
        <v>8137</v>
      </c>
      <c r="F9492" s="23" t="str">
        <f>HYPERLINK("https://www.spark-marketing.ru/Card/Lot/69915700", "1164-2019-00020.Сопровождение с вооруженной охраной транспорта предприятия, перевозящие грузы 1-го класса опасности маршру п.Торопец-рп Бурмакино Ярославской области")</f>
        <v>1164-2019-00020.Сопровождение с вооруженной охраной транспорта предприятия, перевозящие грузы 1-го класса опасности маршру п.Торопец-рп Бурмакино Ярославской области</v>
      </c>
      <c r="G9492" s="22" t="s">
        <v>155</v>
      </c>
      <c r="H9492" s="22" t="s">
        <v>2688</v>
      </c>
      <c r="I9492" s="26">
        <v>43574.015393518501</v>
      </c>
      <c r="J9492" s="28" t="s">
        <v>52</v>
      </c>
      <c r="K9492" s="28" t="s">
        <v>52</v>
      </c>
      <c r="L9492" s="28" t="s">
        <v>52</v>
      </c>
      <c r="M9492" s="28" t="s">
        <v>52</v>
      </c>
      <c r="N9492" s="28" t="s">
        <v>52</v>
      </c>
    </row>
    <row r="9493" spans="1:14" hidden="1" outlineLevel="1" x14ac:dyDescent="0.2">
      <c r="A9493" s="23" t="str">
        <f>HYPERLINK("https://www.spark-marketing.ru/Card/Person/4371183", "АО ""6 АРСЕНАЛ""")</f>
        <v>АО "6 АРСЕНАЛ"</v>
      </c>
      <c r="B9493" s="24" t="s">
        <v>11844</v>
      </c>
      <c r="C9493" s="28" t="s">
        <v>52</v>
      </c>
      <c r="D9493" s="22" t="s">
        <v>11845</v>
      </c>
      <c r="E9493" s="22" t="s">
        <v>8137</v>
      </c>
      <c r="F9493" s="23" t="str">
        <f>HYPERLINK("https://www.spark-marketing.ru/Card/Lot/69915700", "1164-2019-00020.Сопровождение с вооруженной охраной транспорта предприятия, перевозящие грузы 1-го класса опасности маршру п.Торопец-рп Бурмакино Ярославской области")</f>
        <v>1164-2019-00020.Сопровождение с вооруженной охраной транспорта предприятия, перевозящие грузы 1-го класса опасности маршру п.Торопец-рп Бурмакино Ярославской области</v>
      </c>
      <c r="G9493" s="22" t="s">
        <v>155</v>
      </c>
      <c r="H9493" s="22" t="s">
        <v>2688</v>
      </c>
      <c r="I9493" s="26">
        <v>43574.015393518501</v>
      </c>
      <c r="J9493" s="23" t="str">
        <f>HYPERLINK("https://www.spark-marketing.ru/Card/Person/6511656", "ООО ЧОО ""АС-ГАРД""")</f>
        <v>ООО ЧОО "АС-ГАРД"</v>
      </c>
      <c r="K9493" s="24" t="s">
        <v>11846</v>
      </c>
      <c r="L9493" s="22" t="s">
        <v>10</v>
      </c>
      <c r="M9493" s="25">
        <v>456120</v>
      </c>
      <c r="N9493" s="27">
        <v>0.28434701293484876</v>
      </c>
    </row>
    <row r="9494" spans="1:14" hidden="1" outlineLevel="1" x14ac:dyDescent="0.2">
      <c r="A9494" s="23" t="str">
        <f>HYPERLINK("https://www.spark-marketing.ru/Card/Person/4371183", "АО ""6 АРСЕНАЛ""")</f>
        <v>АО "6 АРСЕНАЛ"</v>
      </c>
      <c r="B9494" s="24" t="s">
        <v>11844</v>
      </c>
      <c r="C9494" s="28" t="s">
        <v>52</v>
      </c>
      <c r="D9494" s="22" t="s">
        <v>11845</v>
      </c>
      <c r="E9494" s="22" t="s">
        <v>8137</v>
      </c>
      <c r="F9494" s="23" t="str">
        <f>HYPERLINK("https://www.spark-marketing.ru/Card/Lot/69915700", "1164-2019-00020.Сопровождение с вооруженной охраной транспорта предприятия, перевозящие грузы 1-го класса опасности маршру п.Торопец-рп Бурмакино Ярославской области")</f>
        <v>1164-2019-00020.Сопровождение с вооруженной охраной транспорта предприятия, перевозящие грузы 1-го класса опасности маршру п.Торопец-рп Бурмакино Ярославской области</v>
      </c>
      <c r="G9494" s="22" t="s">
        <v>155</v>
      </c>
      <c r="H9494" s="22" t="s">
        <v>2688</v>
      </c>
      <c r="I9494" s="26">
        <v>43574.015393518501</v>
      </c>
      <c r="J9494" s="23" t="str">
        <f>HYPERLINK("https://www.spark-marketing.ru/Card/Person/10487", "ФГУП ""ОХРАНА"" РОСГВАРДИИ")</f>
        <v>ФГУП "ОХРАНА" РОСГВАРДИИ</v>
      </c>
      <c r="K9494" s="24" t="s">
        <v>779</v>
      </c>
      <c r="L9494" s="28" t="s">
        <v>52</v>
      </c>
      <c r="M9494" s="25">
        <v>629362.80000000005</v>
      </c>
      <c r="N9494" s="27">
        <v>1.2528791178445685E-2</v>
      </c>
    </row>
    <row r="9495" spans="1:14" x14ac:dyDescent="0.15">
      <c r="A9495" s="23" t="str">
        <f>HYPERLINK("https://www.spark-marketing.ru/Card/Person/557341", "ОАО ""ДОНУГОЛЬ""")</f>
        <v>ОАО "ДОНУГОЛЬ"</v>
      </c>
      <c r="B9495" s="24" t="s">
        <v>11847</v>
      </c>
      <c r="C9495" s="28" t="s">
        <v>52</v>
      </c>
      <c r="D9495" s="22" t="s">
        <v>11848</v>
      </c>
      <c r="E9495" s="22" t="s">
        <v>53</v>
      </c>
      <c r="F9495" s="23" t="str">
        <f>HYPERLINK("https://www.spark-marketing.ru/Card/Lot/69952408", "Услуги ЧОП по охране объектов ОАО ""Донуголь"" (новый этап конкурса) (id373436)")</f>
        <v>Услуги ЧОП по охране объектов ОАО "Донуголь" (новый этап конкурса) (id373436)</v>
      </c>
      <c r="G9495" s="22" t="s">
        <v>402</v>
      </c>
      <c r="H9495" s="22" t="s">
        <v>4374</v>
      </c>
      <c r="I9495" s="26">
        <v>43574</v>
      </c>
      <c r="J9495" s="28" t="s">
        <v>52</v>
      </c>
      <c r="K9495" s="28" t="s">
        <v>52</v>
      </c>
      <c r="L9495" s="28" t="s">
        <v>52</v>
      </c>
      <c r="M9495" s="28" t="s">
        <v>52</v>
      </c>
      <c r="N9495" s="28" t="s">
        <v>52</v>
      </c>
    </row>
    <row r="9496" spans="1:14" x14ac:dyDescent="0.15">
      <c r="A9496" s="23" t="str">
        <f>HYPERLINK("https://www.spark-marketing.ru/Card/Person/474065", "ПАО ""БОГУЧАНСКАЯ ГЭС""")</f>
        <v>ПАО "БОГУЧАНСКАЯ ГЭС"</v>
      </c>
      <c r="B9496" s="24" t="s">
        <v>9360</v>
      </c>
      <c r="C9496" s="28" t="s">
        <v>52</v>
      </c>
      <c r="D9496" s="28" t="s">
        <v>52</v>
      </c>
      <c r="E9496" s="22" t="s">
        <v>53</v>
      </c>
      <c r="F9496" s="23" t="str">
        <f>HYPERLINK("https://www.spark-marketing.ru/Card/Lot/73317327", "Открытый одноэтапный конкурс Лот № БЗ-003 на 2019 год, «Охрана объектов ПАО ""Богучанская ГЭС""(склады, базы, АБК) 2019-2020 гг.».")</f>
        <v>Открытый одноэтапный конкурс Лот № БЗ-003 на 2019 год, «Охрана объектов ПАО "Богучанская ГЭС"(склады, базы, АБК) 2019-2020 гг.».</v>
      </c>
      <c r="G9496" s="22" t="s">
        <v>640</v>
      </c>
      <c r="H9496" s="22" t="s">
        <v>8233</v>
      </c>
      <c r="I9496" s="26">
        <v>43574</v>
      </c>
      <c r="J9496" s="28" t="s">
        <v>52</v>
      </c>
      <c r="K9496" s="28" t="s">
        <v>52</v>
      </c>
      <c r="L9496" s="28" t="s">
        <v>52</v>
      </c>
      <c r="M9496" s="28" t="s">
        <v>52</v>
      </c>
      <c r="N9496" s="28" t="s">
        <v>52</v>
      </c>
    </row>
    <row r="9497" spans="1:14" x14ac:dyDescent="0.15">
      <c r="A9497" s="23" t="str">
        <f>HYPERLINK("https://www.spark-marketing.ru/Card/Person/474065", "ПАО ""БОГУЧАНСКАЯ ГЭС""")</f>
        <v>ПАО "БОГУЧАНСКАЯ ГЭС"</v>
      </c>
      <c r="B9497" s="24" t="s">
        <v>9360</v>
      </c>
      <c r="C9497" s="28" t="s">
        <v>52</v>
      </c>
      <c r="D9497" s="28" t="s">
        <v>52</v>
      </c>
      <c r="E9497" s="22" t="s">
        <v>53</v>
      </c>
      <c r="F9497" s="23" t="str">
        <f>HYPERLINK("https://www.spark-marketing.ru/Card/Lot/69929426", "Открытый одноэтапный конкурс Лот № БЗ-003 на 2019 год, «Охрана объектов ПАО ""Богучанская ГЭС""(склады, базы, АБК) 2019-2020 гг.».")</f>
        <v>Открытый одноэтапный конкурс Лот № БЗ-003 на 2019 год, «Охрана объектов ПАО "Богучанская ГЭС"(склады, базы, АБК) 2019-2020 гг.».</v>
      </c>
      <c r="G9497" s="22" t="s">
        <v>640</v>
      </c>
      <c r="H9497" s="22" t="s">
        <v>8233</v>
      </c>
      <c r="I9497" s="26">
        <v>43574</v>
      </c>
      <c r="J9497" s="28" t="s">
        <v>52</v>
      </c>
      <c r="K9497" s="28" t="s">
        <v>52</v>
      </c>
      <c r="L9497" s="28" t="s">
        <v>52</v>
      </c>
      <c r="M9497" s="28" t="s">
        <v>52</v>
      </c>
      <c r="N9497" s="28" t="s">
        <v>52</v>
      </c>
    </row>
    <row r="9498" spans="1:14" x14ac:dyDescent="0.15">
      <c r="A9498" s="23" t="str">
        <f>HYPERLINK("https://www.spark-marketing.ru/Card/Person/101034", "МОУ ""ЛИЦЕЙ №7""")</f>
        <v>МОУ "ЛИЦЕЙ №7"</v>
      </c>
      <c r="B9498" s="24" t="s">
        <v>11849</v>
      </c>
      <c r="C9498" s="25">
        <v>45000</v>
      </c>
      <c r="D9498" s="22" t="s">
        <v>11850</v>
      </c>
      <c r="E9498" s="22" t="s">
        <v>59</v>
      </c>
      <c r="F9498" s="23" t="str">
        <f>HYPERLINK("https://www.spark-marketing.ru/Card/Lot/69915404", "Выполнение работ по установке системы видеонаблюдения")</f>
        <v>Выполнение работ по установке системы видеонаблюдения</v>
      </c>
      <c r="G9498" s="22" t="s">
        <v>50</v>
      </c>
      <c r="H9498" s="22" t="s">
        <v>747</v>
      </c>
      <c r="I9498" s="26">
        <v>43573.9194444444</v>
      </c>
      <c r="J9498" s="28" t="s">
        <v>52</v>
      </c>
      <c r="K9498" s="28" t="s">
        <v>52</v>
      </c>
      <c r="L9498" s="28" t="s">
        <v>52</v>
      </c>
      <c r="M9498" s="28" t="s">
        <v>52</v>
      </c>
      <c r="N9498" s="28" t="s">
        <v>52</v>
      </c>
    </row>
    <row r="9499" spans="1:14" x14ac:dyDescent="0.15">
      <c r="A9499" s="23" t="str">
        <f>HYPERLINK("https://www.spark-marketing.ru/Card/Person/46783", "УПРАВЛЕНИЕ РОСРЕЕСТРА ПО КАБАРДИНО-БАЛКАРСКОЙ РЕСПУБЛИКЕ")</f>
        <v>УПРАВЛЕНИЕ РОСРЕЕСТРА ПО КАБАРДИНО-БАЛКАРСКОЙ РЕСПУБЛИКЕ</v>
      </c>
      <c r="B9499" s="24" t="s">
        <v>11271</v>
      </c>
      <c r="C9499" s="25">
        <v>6751.08</v>
      </c>
      <c r="D9499" s="22" t="s">
        <v>11851</v>
      </c>
      <c r="E9499" s="22" t="s">
        <v>53</v>
      </c>
      <c r="F9499" s="23" t="str">
        <f>HYPERLINK("https://www.spark-marketing.ru/Card/Lot/70770973", "Услуги по охране посредством КТС")</f>
        <v>Услуги по охране посредством КТС</v>
      </c>
      <c r="G9499" s="22" t="s">
        <v>110</v>
      </c>
      <c r="H9499" s="22" t="s">
        <v>111</v>
      </c>
      <c r="I9499" s="26">
        <v>43573.806145833303</v>
      </c>
      <c r="J9499" s="28" t="s">
        <v>52</v>
      </c>
      <c r="K9499" s="28" t="s">
        <v>52</v>
      </c>
      <c r="L9499" s="28" t="s">
        <v>52</v>
      </c>
      <c r="M9499" s="28" t="s">
        <v>52</v>
      </c>
      <c r="N9499" s="28" t="s">
        <v>52</v>
      </c>
    </row>
    <row r="9500" spans="1:14" x14ac:dyDescent="0.15">
      <c r="A9500" s="23" t="str">
        <f>HYPERLINK("https://www.spark-marketing.ru/Card/Person/1054139", "ОТДЕЛ МВД РОССИИ ПО БАЛАХНИНСКОМУ РАЙОНУ")</f>
        <v>ОТДЕЛ МВД РОССИИ ПО БАЛАХНИНСКОМУ РАЙОНУ</v>
      </c>
      <c r="B9500" s="24" t="s">
        <v>11852</v>
      </c>
      <c r="C9500" s="25">
        <v>61183.17</v>
      </c>
      <c r="D9500" s="22" t="s">
        <v>11853</v>
      </c>
      <c r="E9500" s="22" t="s">
        <v>53</v>
      </c>
      <c r="F9500" s="23" t="str">
        <f>HYPERLINK("https://www.spark-marketing.ru/Card/Lot/70770975", "Техническое обслуживание комплекса технических средств охраны на объектах")</f>
        <v>Техническое обслуживание комплекса технических средств охраны на объектах</v>
      </c>
      <c r="G9500" s="22" t="s">
        <v>64</v>
      </c>
      <c r="H9500" s="22" t="s">
        <v>11854</v>
      </c>
      <c r="I9500" s="26">
        <v>43573.813888888901</v>
      </c>
      <c r="J9500" s="28" t="s">
        <v>52</v>
      </c>
      <c r="K9500" s="28" t="s">
        <v>52</v>
      </c>
      <c r="L9500" s="28" t="s">
        <v>52</v>
      </c>
      <c r="M9500" s="28" t="s">
        <v>52</v>
      </c>
      <c r="N9500" s="28" t="s">
        <v>52</v>
      </c>
    </row>
    <row r="9501" spans="1:14" x14ac:dyDescent="0.15">
      <c r="A9501" s="23" t="str">
        <f>HYPERLINK("https://www.spark-marketing.ru/Card/Person/103747", "МОУ ЛИЦЕЙ Г. ИСТРЫ")</f>
        <v>МОУ ЛИЦЕЙ Г. ИСТРЫ</v>
      </c>
      <c r="B9501" s="24" t="s">
        <v>11816</v>
      </c>
      <c r="C9501" s="25">
        <v>60000</v>
      </c>
      <c r="D9501" s="22" t="s">
        <v>11855</v>
      </c>
      <c r="E9501" s="22" t="s">
        <v>298</v>
      </c>
      <c r="F9501" s="23" t="str">
        <f>HYPERLINK("https://www.spark-marketing.ru/Card/Lot/69904047", "Услуги по техническому сопровождению системы видеонаблюдения в пунктах приема экзаменов (ППЭ)")</f>
        <v>Услуги по техническому сопровождению системы видеонаблюдения в пунктах приема экзаменов (ППЭ)</v>
      </c>
      <c r="G9501" s="22" t="s">
        <v>50</v>
      </c>
      <c r="H9501" s="22" t="s">
        <v>295</v>
      </c>
      <c r="I9501" s="26">
        <v>43573.711759259299</v>
      </c>
      <c r="J9501" s="28" t="s">
        <v>52</v>
      </c>
      <c r="K9501" s="28" t="s">
        <v>52</v>
      </c>
      <c r="L9501" s="28" t="s">
        <v>52</v>
      </c>
      <c r="M9501" s="28" t="s">
        <v>52</v>
      </c>
      <c r="N9501" s="28" t="s">
        <v>52</v>
      </c>
    </row>
    <row r="9502" spans="1:14" x14ac:dyDescent="0.15">
      <c r="A9502" s="23" t="str">
        <f>HYPERLINK("https://www.spark-marketing.ru/Card/Person/1025420", "МБУ ""ГОРОДСКОЙ ЦЕНТР КУЛЬТУРЫ И СПОРТА""")</f>
        <v>МБУ "ГОРОДСКОЙ ЦЕНТР КУЛЬТУРЫ И СПОРТА"</v>
      </c>
      <c r="B9502" s="24" t="s">
        <v>11856</v>
      </c>
      <c r="C9502" s="25">
        <v>30452.240000000002</v>
      </c>
      <c r="D9502" s="22" t="s">
        <v>11857</v>
      </c>
      <c r="E9502" s="22" t="s">
        <v>79</v>
      </c>
      <c r="F9502" s="23" t="str">
        <f>HYPERLINK("https://www.spark-marketing.ru/Card/Lot/69907945", "Оказание услуг по эксплуатационно-техническому обслуживанию средств охранной и тревожной сигнализации")</f>
        <v>Оказание услуг по эксплуатационно-техническому обслуживанию средств охранной и тревожной сигнализации</v>
      </c>
      <c r="G9502" s="22" t="s">
        <v>119</v>
      </c>
      <c r="H9502" s="22" t="s">
        <v>119</v>
      </c>
      <c r="I9502" s="26">
        <v>43573.740277777797</v>
      </c>
      <c r="J9502" s="28" t="s">
        <v>52</v>
      </c>
      <c r="K9502" s="28" t="s">
        <v>52</v>
      </c>
      <c r="L9502" s="28" t="s">
        <v>52</v>
      </c>
      <c r="M9502" s="28" t="s">
        <v>52</v>
      </c>
      <c r="N9502" s="28" t="s">
        <v>52</v>
      </c>
    </row>
    <row r="9503" spans="1:14" ht="12.75" hidden="1" outlineLevel="1" x14ac:dyDescent="0.2">
      <c r="A9503" s="23" t="str">
        <f>HYPERLINK("https://www.spark-marketing.ru/Card/Person/1025420", "МБУ ""ГОРОДСКОЙ ЦЕНТР КУЛЬТУРЫ И СПОРТА""")</f>
        <v>МБУ "ГОРОДСКОЙ ЦЕНТР КУЛЬТУРЫ И СПОРТА"</v>
      </c>
      <c r="B9503" s="24" t="s">
        <v>11856</v>
      </c>
      <c r="C9503" s="25">
        <v>30452.240000000002</v>
      </c>
      <c r="D9503" s="22" t="s">
        <v>11857</v>
      </c>
      <c r="E9503" s="22" t="s">
        <v>79</v>
      </c>
      <c r="F9503" s="23" t="str">
        <f>HYPERLINK("https://www.spark-marketing.ru/Card/Lot/69907945", "Оказание услуг по эксплуатационно-техническому обслуживанию средств охранной и тревожной сигнализации")</f>
        <v>Оказание услуг по эксплуатационно-техническому обслуживанию средств охранной и тревожной сигнализации</v>
      </c>
      <c r="G9503" s="22" t="s">
        <v>119</v>
      </c>
      <c r="H9503" s="22" t="s">
        <v>119</v>
      </c>
      <c r="I9503" s="26">
        <v>43573.740277777797</v>
      </c>
      <c r="J9503" s="23" t="str">
        <f>HYPERLINK("https://www.spark-marketing.ru/Card/Person/643092", "ООО ""СИБИРЬ-ПЛЮС""")</f>
        <v>ООО "СИБИРЬ-ПЛЮС"</v>
      </c>
      <c r="K9503" s="24" t="s">
        <v>1595</v>
      </c>
      <c r="L9503" s="22" t="s">
        <v>10</v>
      </c>
      <c r="M9503" s="25">
        <v>16800</v>
      </c>
      <c r="N9503" s="27">
        <v>0.44831644568675405</v>
      </c>
    </row>
    <row r="9504" spans="1:14" hidden="1" outlineLevel="1" x14ac:dyDescent="0.2">
      <c r="A9504" s="23" t="str">
        <f>HYPERLINK("https://www.spark-marketing.ru/Card/Person/1025420", "МБУ ""ГОРОДСКОЙ ЦЕНТР КУЛЬТУРЫ И СПОРТА""")</f>
        <v>МБУ "ГОРОДСКОЙ ЦЕНТР КУЛЬТУРЫ И СПОРТА"</v>
      </c>
      <c r="B9504" s="24" t="s">
        <v>11856</v>
      </c>
      <c r="C9504" s="25">
        <v>30452.240000000002</v>
      </c>
      <c r="D9504" s="22" t="s">
        <v>11857</v>
      </c>
      <c r="E9504" s="22" t="s">
        <v>79</v>
      </c>
      <c r="F9504" s="23" t="str">
        <f>HYPERLINK("https://www.spark-marketing.ru/Card/Lot/69907945", "Оказание услуг по эксплуатационно-техническому обслуживанию средств охранной и тревожной сигнализации")</f>
        <v>Оказание услуг по эксплуатационно-техническому обслуживанию средств охранной и тревожной сигнализации</v>
      </c>
      <c r="G9504" s="22" t="s">
        <v>119</v>
      </c>
      <c r="H9504" s="22" t="s">
        <v>119</v>
      </c>
      <c r="I9504" s="26">
        <v>43573.740277777797</v>
      </c>
      <c r="J9504" s="23" t="str">
        <f>HYPERLINK("https://www.spark-marketing.ru/Card/Person/655486", "ООО ""ЧОО ""АЛЬТЕРНАТИВА-ОХРАНА""")</f>
        <v>ООО "ЧОО "АЛЬТЕРНАТИВА-ОХРАНА"</v>
      </c>
      <c r="K9504" s="24" t="s">
        <v>8841</v>
      </c>
      <c r="L9504" s="28" t="s">
        <v>52</v>
      </c>
      <c r="M9504" s="25">
        <v>27100</v>
      </c>
      <c r="N9504" s="27">
        <v>0.11008188560184735</v>
      </c>
    </row>
    <row r="9505" spans="1:14" x14ac:dyDescent="0.15">
      <c r="A9505" s="23" t="str">
        <f>HYPERLINK("https://www.spark-marketing.ru/Card/Person/1050232", "МУ ""СК""СИНЬКОВО""")</f>
        <v>МУ "СК"СИНЬКОВО"</v>
      </c>
      <c r="B9505" s="24" t="s">
        <v>11858</v>
      </c>
      <c r="C9505" s="25">
        <v>10000</v>
      </c>
      <c r="D9505" s="22" t="s">
        <v>11859</v>
      </c>
      <c r="E9505" s="22" t="s">
        <v>103</v>
      </c>
      <c r="F9505" s="23" t="str">
        <f>HYPERLINK("https://www.spark-marketing.ru/Card/Lot/69904000", "Услуги по техническому обслуживанию системы видеонаблюдения")</f>
        <v>Услуги по техническому обслуживанию системы видеонаблюдения</v>
      </c>
      <c r="G9505" s="22" t="s">
        <v>50</v>
      </c>
      <c r="H9505" s="22" t="s">
        <v>504</v>
      </c>
      <c r="I9505" s="26">
        <v>43573.701631944401</v>
      </c>
      <c r="J9505" s="28" t="s">
        <v>52</v>
      </c>
      <c r="K9505" s="28" t="s">
        <v>52</v>
      </c>
      <c r="L9505" s="28" t="s">
        <v>52</v>
      </c>
      <c r="M9505" s="28" t="s">
        <v>52</v>
      </c>
      <c r="N9505" s="28" t="s">
        <v>52</v>
      </c>
    </row>
    <row r="9506" spans="1:14" x14ac:dyDescent="0.15">
      <c r="A9506" s="23" t="str">
        <f>HYPERLINK("https://www.spark-marketing.ru/Card/Person/672656", "АО ""СЕВТЕЛЕКОМ""")</f>
        <v>АО "СЕВТЕЛЕКОМ"</v>
      </c>
      <c r="B9506" s="24" t="s">
        <v>11812</v>
      </c>
      <c r="C9506" s="25">
        <v>600191.88</v>
      </c>
      <c r="D9506" s="22" t="s">
        <v>11860</v>
      </c>
      <c r="E9506" s="22" t="s">
        <v>867</v>
      </c>
      <c r="F9506" s="23" t="str">
        <f>HYPERLINK("https://www.spark-marketing.ru/Card/Lot/69907465", "Выполнение аварийно-восстановительных работ, ремонтно-восстановительных работ и работ по техническому обслуживанию волоконно-оптических линий связи и систем видеонаблюдения на пляжах города Севастополя")</f>
        <v>Выполнение аварийно-восстановительных работ, ремонтно-восстановительных работ и работ по техническому обслуживанию волоконно-оптических линий связи и систем видеонаблюдения на пляжах города Севастополя</v>
      </c>
      <c r="G9506" s="22" t="s">
        <v>714</v>
      </c>
      <c r="H9506" s="22" t="s">
        <v>714</v>
      </c>
      <c r="I9506" s="26">
        <v>43573.708275463003</v>
      </c>
      <c r="J9506" s="28" t="s">
        <v>52</v>
      </c>
      <c r="K9506" s="28" t="s">
        <v>52</v>
      </c>
      <c r="L9506" s="28" t="s">
        <v>52</v>
      </c>
      <c r="M9506" s="28" t="s">
        <v>52</v>
      </c>
      <c r="N9506" s="28" t="s">
        <v>52</v>
      </c>
    </row>
    <row r="9507" spans="1:14" ht="12.75" x14ac:dyDescent="0.2">
      <c r="A9507" s="23" t="str">
        <f>HYPERLINK("https://www.spark-marketing.ru/Card/Person/10991", "ПАО ""РОСТЕЛЕКОМ""")</f>
        <v>ПАО "РОСТЕЛЕКОМ"</v>
      </c>
      <c r="B9507" s="24" t="s">
        <v>607</v>
      </c>
      <c r="C9507" s="25">
        <v>958200</v>
      </c>
      <c r="D9507" s="22" t="s">
        <v>11861</v>
      </c>
      <c r="E9507" s="22" t="s">
        <v>7077</v>
      </c>
      <c r="F9507" s="23" t="str">
        <f>HYPERLINK("https://www.spark-marketing.ru/Card/Lot/69907423", "Сервисное обслуживание оборудования видеоконференцсвязи")</f>
        <v>Сервисное обслуживание оборудования видеоконференцсвязи</v>
      </c>
      <c r="G9507" s="22" t="s">
        <v>55</v>
      </c>
      <c r="H9507" s="22" t="s">
        <v>55</v>
      </c>
      <c r="I9507" s="26">
        <v>43573.702835648102</v>
      </c>
      <c r="J9507" s="23" t="str">
        <f>HYPERLINK("https://www.spark-marketing.ru/Card/Person/6443330", "ООО ""ПОЛИСЕРВИС""")</f>
        <v>ООО "ПОЛИСЕРВИС"</v>
      </c>
      <c r="K9507" s="24" t="s">
        <v>3871</v>
      </c>
      <c r="L9507" s="22" t="s">
        <v>10</v>
      </c>
      <c r="M9507" s="25">
        <v>958200</v>
      </c>
      <c r="N9507" s="27">
        <v>0</v>
      </c>
    </row>
    <row r="9508" spans="1:14" x14ac:dyDescent="0.15">
      <c r="A9508" s="23" t="str">
        <f t="shared" ref="A9508:A9514" si="427">HYPERLINK("https://www.spark-marketing.ru/Card/Person/14610", "АДМИНИСТРАЦИЯ ЭНГЕЛЬССКОГО МУНИЦИПАЛЬНОГО РАЙОНА")</f>
        <v>АДМИНИСТРАЦИЯ ЭНГЕЛЬССКОГО МУНИЦИПАЛЬНОГО РАЙОНА</v>
      </c>
      <c r="B9508" s="24" t="s">
        <v>11862</v>
      </c>
      <c r="C9508" s="25">
        <v>431482</v>
      </c>
      <c r="D9508" s="22" t="s">
        <v>11863</v>
      </c>
      <c r="E9508" s="22" t="s">
        <v>370</v>
      </c>
      <c r="F9508" s="23" t="str">
        <f t="shared" ref="F9508:F9514" si="428">HYPERLINK("https://www.spark-marketing.ru/Card/Lot/69900301", "Оказание услуг по техническому обслуживанию средств системы видеонаблюдения с включенным перечнем оборудования, согласно Приложению №1")</f>
        <v>Оказание услуг по техническому обслуживанию средств системы видеонаблюдения с включенным перечнем оборудования, согласно Приложению №1</v>
      </c>
      <c r="G9508" s="22" t="s">
        <v>80</v>
      </c>
      <c r="H9508" s="22" t="s">
        <v>3150</v>
      </c>
      <c r="I9508" s="26">
        <v>43573.6501041667</v>
      </c>
      <c r="J9508" s="28" t="s">
        <v>52</v>
      </c>
      <c r="K9508" s="28" t="s">
        <v>52</v>
      </c>
      <c r="L9508" s="28" t="s">
        <v>52</v>
      </c>
      <c r="M9508" s="28" t="s">
        <v>52</v>
      </c>
      <c r="N9508" s="28" t="s">
        <v>52</v>
      </c>
    </row>
    <row r="9509" spans="1:14" hidden="1" outlineLevel="1" x14ac:dyDescent="0.2">
      <c r="A9509" s="23" t="str">
        <f t="shared" si="427"/>
        <v>АДМИНИСТРАЦИЯ ЭНГЕЛЬССКОГО МУНИЦИПАЛЬНОГО РАЙОНА</v>
      </c>
      <c r="B9509" s="24" t="s">
        <v>11862</v>
      </c>
      <c r="C9509" s="28" t="s">
        <v>52</v>
      </c>
      <c r="D9509" s="22" t="s">
        <v>11863</v>
      </c>
      <c r="E9509" s="22" t="s">
        <v>370</v>
      </c>
      <c r="F9509" s="23" t="str">
        <f t="shared" si="428"/>
        <v>Оказание услуг по техническому обслуживанию средств системы видеонаблюдения с включенным перечнем оборудования, согласно Приложению №1</v>
      </c>
      <c r="G9509" s="22" t="s">
        <v>80</v>
      </c>
      <c r="H9509" s="22" t="s">
        <v>3150</v>
      </c>
      <c r="I9509" s="26">
        <v>43573.6501041667</v>
      </c>
      <c r="J9509" s="23" t="str">
        <f>HYPERLINK("https://www.spark-marketing.ru/Card/Person/-1", "неизвестно")</f>
        <v>неизвестно</v>
      </c>
      <c r="K9509" s="28" t="s">
        <v>52</v>
      </c>
      <c r="L9509" s="28" t="s">
        <v>52</v>
      </c>
      <c r="M9509" s="25">
        <v>0</v>
      </c>
      <c r="N9509" s="27">
        <v>1</v>
      </c>
    </row>
    <row r="9510" spans="1:14" hidden="1" outlineLevel="1" x14ac:dyDescent="0.2">
      <c r="A9510" s="23" t="str">
        <f t="shared" si="427"/>
        <v>АДМИНИСТРАЦИЯ ЭНГЕЛЬССКОГО МУНИЦИПАЛЬНОГО РАЙОНА</v>
      </c>
      <c r="B9510" s="24" t="s">
        <v>11862</v>
      </c>
      <c r="C9510" s="28" t="s">
        <v>52</v>
      </c>
      <c r="D9510" s="22" t="s">
        <v>11863</v>
      </c>
      <c r="E9510" s="22" t="s">
        <v>370</v>
      </c>
      <c r="F9510" s="23" t="str">
        <f t="shared" si="428"/>
        <v>Оказание услуг по техническому обслуживанию средств системы видеонаблюдения с включенным перечнем оборудования, согласно Приложению №1</v>
      </c>
      <c r="G9510" s="22" t="s">
        <v>80</v>
      </c>
      <c r="H9510" s="22" t="s">
        <v>3150</v>
      </c>
      <c r="I9510" s="26">
        <v>43573.6501041667</v>
      </c>
      <c r="J9510" s="23" t="str">
        <f>HYPERLINK("https://www.spark-marketing.ru/Card/Person/543511", "ООО ""ВТС""")</f>
        <v>ООО "ВТС"</v>
      </c>
      <c r="K9510" s="24" t="s">
        <v>11864</v>
      </c>
      <c r="L9510" s="28" t="s">
        <v>52</v>
      </c>
      <c r="M9510" s="25">
        <v>366759.7</v>
      </c>
      <c r="N9510" s="27">
        <v>0.15</v>
      </c>
    </row>
    <row r="9511" spans="1:14" hidden="1" outlineLevel="1" x14ac:dyDescent="0.2">
      <c r="A9511" s="23" t="str">
        <f t="shared" si="427"/>
        <v>АДМИНИСТРАЦИЯ ЭНГЕЛЬССКОГО МУНИЦИПАЛЬНОГО РАЙОНА</v>
      </c>
      <c r="B9511" s="24" t="s">
        <v>11862</v>
      </c>
      <c r="C9511" s="28" t="s">
        <v>52</v>
      </c>
      <c r="D9511" s="22" t="s">
        <v>11863</v>
      </c>
      <c r="E9511" s="22" t="s">
        <v>370</v>
      </c>
      <c r="F9511" s="23" t="str">
        <f t="shared" si="428"/>
        <v>Оказание услуг по техническому обслуживанию средств системы видеонаблюдения с включенным перечнем оборудования, согласно Приложению №1</v>
      </c>
      <c r="G9511" s="22" t="s">
        <v>80</v>
      </c>
      <c r="H9511" s="22" t="s">
        <v>3150</v>
      </c>
      <c r="I9511" s="26">
        <v>43573.6501041667</v>
      </c>
      <c r="J9511" s="23" t="str">
        <f>HYPERLINK("https://www.spark-marketing.ru/Card/Person/1473338", "ООО ""ПОЖСЕРВИС""")</f>
        <v>ООО "ПОЖСЕРВИС"</v>
      </c>
      <c r="K9511" s="24" t="s">
        <v>11865</v>
      </c>
      <c r="L9511" s="28" t="s">
        <v>52</v>
      </c>
      <c r="M9511" s="25">
        <v>88193.59</v>
      </c>
      <c r="N9511" s="27">
        <v>0.79560308425380433</v>
      </c>
    </row>
    <row r="9512" spans="1:14" hidden="1" outlineLevel="1" x14ac:dyDescent="0.2">
      <c r="A9512" s="23" t="str">
        <f t="shared" si="427"/>
        <v>АДМИНИСТРАЦИЯ ЭНГЕЛЬССКОГО МУНИЦИПАЛЬНОГО РАЙОНА</v>
      </c>
      <c r="B9512" s="24" t="s">
        <v>11862</v>
      </c>
      <c r="C9512" s="28" t="s">
        <v>52</v>
      </c>
      <c r="D9512" s="22" t="s">
        <v>11863</v>
      </c>
      <c r="E9512" s="22" t="s">
        <v>370</v>
      </c>
      <c r="F9512" s="23" t="str">
        <f t="shared" si="428"/>
        <v>Оказание услуг по техническому обслуживанию средств системы видеонаблюдения с включенным перечнем оборудования, согласно Приложению №1</v>
      </c>
      <c r="G9512" s="22" t="s">
        <v>80</v>
      </c>
      <c r="H9512" s="22" t="s">
        <v>3150</v>
      </c>
      <c r="I9512" s="26">
        <v>43573.6501041667</v>
      </c>
      <c r="J9512" s="23" t="str">
        <f>HYPERLINK("https://www.spark-marketing.ru/Card/Person/797083", "ООО ""ПОКРОВ""")</f>
        <v>ООО "ПОКРОВ"</v>
      </c>
      <c r="K9512" s="24" t="s">
        <v>11866</v>
      </c>
      <c r="L9512" s="22" t="s">
        <v>10</v>
      </c>
      <c r="M9512" s="25">
        <v>55832.18</v>
      </c>
      <c r="N9512" s="27">
        <v>0.87060368682818745</v>
      </c>
    </row>
    <row r="9513" spans="1:14" hidden="1" outlineLevel="1" x14ac:dyDescent="0.2">
      <c r="A9513" s="23" t="str">
        <f t="shared" si="427"/>
        <v>АДМИНИСТРАЦИЯ ЭНГЕЛЬССКОГО МУНИЦИПАЛЬНОГО РАЙОНА</v>
      </c>
      <c r="B9513" s="24" t="s">
        <v>11862</v>
      </c>
      <c r="C9513" s="28" t="s">
        <v>52</v>
      </c>
      <c r="D9513" s="22" t="s">
        <v>11863</v>
      </c>
      <c r="E9513" s="22" t="s">
        <v>370</v>
      </c>
      <c r="F9513" s="23" t="str">
        <f t="shared" si="428"/>
        <v>Оказание услуг по техническому обслуживанию средств системы видеонаблюдения с включенным перечнем оборудования, согласно Приложению №1</v>
      </c>
      <c r="G9513" s="22" t="s">
        <v>80</v>
      </c>
      <c r="H9513" s="22" t="s">
        <v>3150</v>
      </c>
      <c r="I9513" s="26">
        <v>43573.6501041667</v>
      </c>
      <c r="J9513" s="23" t="str">
        <f>HYPERLINK("https://www.spark-marketing.ru/Card/Person/4358562", "ООО ЧОП ""ПОЛЮС-К""")</f>
        <v>ООО ЧОП "ПОЛЮС-К"</v>
      </c>
      <c r="K9513" s="24" t="s">
        <v>11867</v>
      </c>
      <c r="L9513" s="28" t="s">
        <v>52</v>
      </c>
      <c r="M9513" s="25">
        <v>57989.59</v>
      </c>
      <c r="N9513" s="27">
        <v>0.86560368682818756</v>
      </c>
    </row>
    <row r="9514" spans="1:14" hidden="1" outlineLevel="1" x14ac:dyDescent="0.2">
      <c r="A9514" s="23" t="str">
        <f t="shared" si="427"/>
        <v>АДМИНИСТРАЦИЯ ЭНГЕЛЬССКОГО МУНИЦИПАЛЬНОГО РАЙОНА</v>
      </c>
      <c r="B9514" s="24" t="s">
        <v>11862</v>
      </c>
      <c r="C9514" s="28" t="s">
        <v>52</v>
      </c>
      <c r="D9514" s="22" t="s">
        <v>11863</v>
      </c>
      <c r="E9514" s="22" t="s">
        <v>370</v>
      </c>
      <c r="F9514" s="23" t="str">
        <f t="shared" si="428"/>
        <v>Оказание услуг по техническому обслуживанию средств системы видеонаблюдения с включенным перечнем оборудования, согласно Приложению №1</v>
      </c>
      <c r="G9514" s="22" t="s">
        <v>80</v>
      </c>
      <c r="H9514" s="22" t="s">
        <v>3150</v>
      </c>
      <c r="I9514" s="26">
        <v>43573.6501041667</v>
      </c>
      <c r="J9514" s="23" t="str">
        <f>HYPERLINK("https://www.spark-marketing.ru/Card/Person/796721", "Фролов Роман Павлович")</f>
        <v>Фролов Роман Павлович</v>
      </c>
      <c r="K9514" s="24" t="s">
        <v>11868</v>
      </c>
      <c r="L9514" s="28" t="s">
        <v>52</v>
      </c>
      <c r="M9514" s="25">
        <v>250000</v>
      </c>
      <c r="N9514" s="27">
        <v>0.42060155464190857</v>
      </c>
    </row>
    <row r="9515" spans="1:14" x14ac:dyDescent="0.15">
      <c r="A9515" s="23" t="str">
        <f>HYPERLINK("https://www.spark-marketing.ru/Card/Person/27953", "АДМИНИСТРАЦИЯ БМР САРАТОВ. ОБЛ.")</f>
        <v>АДМИНИСТРАЦИЯ БМР САРАТОВ. ОБЛ.</v>
      </c>
      <c r="B9515" s="24" t="s">
        <v>11869</v>
      </c>
      <c r="C9515" s="25">
        <v>287950</v>
      </c>
      <c r="D9515" s="22" t="s">
        <v>11870</v>
      </c>
      <c r="E9515" s="22" t="s">
        <v>52</v>
      </c>
      <c r="F9515" s="23" t="str">
        <f>HYPERLINK("https://www.spark-marketing.ru/Card/Lot/69898414", "Оказание услуг по содействию в обеспечении охраны общественного правопорядка")</f>
        <v>Оказание услуг по содействию в обеспечении охраны общественного правопорядка</v>
      </c>
      <c r="G9515" s="22" t="s">
        <v>80</v>
      </c>
      <c r="H9515" s="22" t="s">
        <v>80</v>
      </c>
      <c r="I9515" s="26">
        <v>43573.640972222202</v>
      </c>
      <c r="J9515" s="23" t="str">
        <f>HYPERLINK("https://www.spark-marketing.ru/Card/Person/1476695", "МОО БМР ""НАРОДНАЯ ДРУЖИНА""")</f>
        <v>МОО БМР "НАРОДНАЯ ДРУЖИНА"</v>
      </c>
      <c r="K9515" s="24" t="s">
        <v>11871</v>
      </c>
      <c r="L9515" s="22" t="s">
        <v>10</v>
      </c>
      <c r="M9515" s="28" t="s">
        <v>52</v>
      </c>
      <c r="N9515" s="28" t="s">
        <v>52</v>
      </c>
    </row>
    <row r="9516" spans="1:14" x14ac:dyDescent="0.15">
      <c r="A9516" s="23" t="str">
        <f>HYPERLINK("https://www.spark-marketing.ru/Card/Person/66358", "ФГКУ КОМБИНАТ ""СНЕЖНЫЙ"" РОСРЕЗЕРВА")</f>
        <v>ФГКУ КОМБИНАТ "СНЕЖНЫЙ" РОСРЕЗЕРВА</v>
      </c>
      <c r="B9516" s="24" t="s">
        <v>11872</v>
      </c>
      <c r="C9516" s="25">
        <v>120000</v>
      </c>
      <c r="D9516" s="22" t="s">
        <v>11873</v>
      </c>
      <c r="E9516" s="22" t="s">
        <v>103</v>
      </c>
      <c r="F9516" s="23" t="str">
        <f>HYPERLINK("https://www.spark-marketing.ru/Card/Lot/69885385", "Техническое обслуживание промтелевидения видеокамер")</f>
        <v>Техническое обслуживание промтелевидения видеокамер</v>
      </c>
      <c r="G9516" s="22" t="s">
        <v>138</v>
      </c>
      <c r="H9516" s="22" t="s">
        <v>6336</v>
      </c>
      <c r="I9516" s="26">
        <v>43573.661111111098</v>
      </c>
      <c r="J9516" s="28" t="s">
        <v>52</v>
      </c>
      <c r="K9516" s="28" t="s">
        <v>52</v>
      </c>
      <c r="L9516" s="28" t="s">
        <v>52</v>
      </c>
      <c r="M9516" s="28" t="s">
        <v>52</v>
      </c>
      <c r="N9516" s="28" t="s">
        <v>52</v>
      </c>
    </row>
    <row r="9517" spans="1:14" ht="12.75" hidden="1" outlineLevel="1" x14ac:dyDescent="0.2">
      <c r="A9517" s="23" t="str">
        <f>HYPERLINK("https://www.spark-marketing.ru/Card/Person/66358", "ФГКУ КОМБИНАТ ""СНЕЖНЫЙ"" РОСРЕЗЕРВА")</f>
        <v>ФГКУ КОМБИНАТ "СНЕЖНЫЙ" РОСРЕЗЕРВА</v>
      </c>
      <c r="B9517" s="24" t="s">
        <v>11872</v>
      </c>
      <c r="C9517" s="25">
        <v>120000</v>
      </c>
      <c r="D9517" s="22" t="s">
        <v>11873</v>
      </c>
      <c r="E9517" s="22" t="s">
        <v>103</v>
      </c>
      <c r="F9517" s="23" t="str">
        <f>HYPERLINK("https://www.spark-marketing.ru/Card/Lot/69885385", "Техническое обслуживание промтелевидения видеокамер")</f>
        <v>Техническое обслуживание промтелевидения видеокамер</v>
      </c>
      <c r="G9517" s="22" t="s">
        <v>138</v>
      </c>
      <c r="H9517" s="22" t="s">
        <v>6336</v>
      </c>
      <c r="I9517" s="26">
        <v>43573.661111111098</v>
      </c>
      <c r="J9517" s="23" t="str">
        <f>HYPERLINK("https://www.spark-marketing.ru/Card/Person/107582", "Башлаев Владимир Юрьевич")</f>
        <v>Башлаев Владимир Юрьевич</v>
      </c>
      <c r="K9517" s="24" t="s">
        <v>1652</v>
      </c>
      <c r="L9517" s="22" t="s">
        <v>10</v>
      </c>
      <c r="M9517" s="25">
        <v>60000</v>
      </c>
      <c r="N9517" s="27">
        <v>0.5</v>
      </c>
    </row>
    <row r="9518" spans="1:14" hidden="1" outlineLevel="1" x14ac:dyDescent="0.2">
      <c r="A9518" s="23" t="str">
        <f>HYPERLINK("https://www.spark-marketing.ru/Card/Person/66358", "ФГКУ КОМБИНАТ ""СНЕЖНЫЙ"" РОСРЕЗЕРВА")</f>
        <v>ФГКУ КОМБИНАТ "СНЕЖНЫЙ" РОСРЕЗЕРВА</v>
      </c>
      <c r="B9518" s="24" t="s">
        <v>11872</v>
      </c>
      <c r="C9518" s="25">
        <v>120000</v>
      </c>
      <c r="D9518" s="22" t="s">
        <v>11873</v>
      </c>
      <c r="E9518" s="22" t="s">
        <v>103</v>
      </c>
      <c r="F9518" s="23" t="str">
        <f>HYPERLINK("https://www.spark-marketing.ru/Card/Lot/69885385", "Техническое обслуживание промтелевидения видеокамер")</f>
        <v>Техническое обслуживание промтелевидения видеокамер</v>
      </c>
      <c r="G9518" s="22" t="s">
        <v>138</v>
      </c>
      <c r="H9518" s="22" t="s">
        <v>6336</v>
      </c>
      <c r="I9518" s="26">
        <v>43573.661111111098</v>
      </c>
      <c r="J9518" s="23" t="str">
        <f>HYPERLINK("https://www.spark-marketing.ru/Card/Person/84669", "ООО ""КОМЭН""")</f>
        <v>ООО "КОМЭН"</v>
      </c>
      <c r="K9518" s="24" t="s">
        <v>11874</v>
      </c>
      <c r="L9518" s="28" t="s">
        <v>52</v>
      </c>
      <c r="M9518" s="25">
        <v>120000</v>
      </c>
      <c r="N9518" s="27">
        <v>0</v>
      </c>
    </row>
    <row r="9519" spans="1:14" x14ac:dyDescent="0.15">
      <c r="A9519" s="23" t="str">
        <f>HYPERLINK("https://www.spark-marketing.ru/Card/Person/6220065", "МКУ ""МФЦ""")</f>
        <v>МКУ "МФЦ"</v>
      </c>
      <c r="B9519" s="24" t="s">
        <v>11875</v>
      </c>
      <c r="C9519" s="25">
        <v>81900</v>
      </c>
      <c r="D9519" s="22" t="s">
        <v>11876</v>
      </c>
      <c r="E9519" s="22" t="s">
        <v>103</v>
      </c>
      <c r="F9519" s="23" t="str">
        <f>HYPERLINK("https://www.spark-marketing.ru/Card/Lot/69898900", "Оказание услуг по техническому обслуживанию системы видеонаблюдения , аварийного освещения, систем контроля управления доступом в здание МКУ ""МФЦ""")</f>
        <v>Оказание услуг по техническому обслуживанию системы видеонаблюдения , аварийного освещения, систем контроля управления доступом в здание МКУ "МФЦ"</v>
      </c>
      <c r="G9519" s="22" t="s">
        <v>50</v>
      </c>
      <c r="H9519" s="22" t="s">
        <v>5791</v>
      </c>
      <c r="I9519" s="26">
        <v>43573.628182870401</v>
      </c>
      <c r="J9519" s="28" t="s">
        <v>52</v>
      </c>
      <c r="K9519" s="28" t="s">
        <v>52</v>
      </c>
      <c r="L9519" s="28" t="s">
        <v>52</v>
      </c>
      <c r="M9519" s="28" t="s">
        <v>52</v>
      </c>
      <c r="N9519" s="28" t="s">
        <v>52</v>
      </c>
    </row>
    <row r="9520" spans="1:14" x14ac:dyDescent="0.15">
      <c r="A9520" s="23" t="str">
        <f>HYPERLINK("https://www.spark-marketing.ru/Card/Person/54648", "АО ""В/О""ИЗОТОП""")</f>
        <v>АО "В/О"ИЗОТОП"</v>
      </c>
      <c r="B9520" s="24" t="s">
        <v>11877</v>
      </c>
      <c r="C9520" s="25">
        <v>398033.33</v>
      </c>
      <c r="D9520" s="22" t="s">
        <v>11878</v>
      </c>
      <c r="E9520" s="22" t="s">
        <v>11879</v>
      </c>
      <c r="F9520" s="23" t="str">
        <f>HYPERLINK("https://www.spark-marketing.ru/Card/Lot/69902443", "Право заключения договора на оказание услуг по техническому обслуживанию комплекса инженерно-технических средств охраны административного здания АО ""В/О ""Изотоп""")</f>
        <v>Право заключения договора на оказание услуг по техническому обслуживанию комплекса инженерно-технических средств охраны административного здания АО "В/О "Изотоп"</v>
      </c>
      <c r="G9520" s="22" t="s">
        <v>55</v>
      </c>
      <c r="H9520" s="22" t="s">
        <v>55</v>
      </c>
      <c r="I9520" s="26">
        <v>43573.657094907401</v>
      </c>
      <c r="J9520" s="28" t="s">
        <v>52</v>
      </c>
      <c r="K9520" s="28" t="s">
        <v>52</v>
      </c>
      <c r="L9520" s="28" t="s">
        <v>52</v>
      </c>
      <c r="M9520" s="28" t="s">
        <v>52</v>
      </c>
      <c r="N9520" s="28" t="s">
        <v>52</v>
      </c>
    </row>
    <row r="9521" spans="1:14" hidden="1" outlineLevel="1" x14ac:dyDescent="0.2">
      <c r="A9521" s="23" t="str">
        <f>HYPERLINK("https://www.spark-marketing.ru/Card/Person/54648", "АО ""В/О""ИЗОТОП""")</f>
        <v>АО "В/О"ИЗОТОП"</v>
      </c>
      <c r="B9521" s="24" t="s">
        <v>11877</v>
      </c>
      <c r="C9521" s="28" t="s">
        <v>52</v>
      </c>
      <c r="D9521" s="22" t="s">
        <v>11878</v>
      </c>
      <c r="E9521" s="22" t="s">
        <v>11879</v>
      </c>
      <c r="F9521" s="23" t="str">
        <f>HYPERLINK("https://www.spark-marketing.ru/Card/Lot/69902443", "Право заключения договора на оказание услуг по техническому обслуживанию комплекса инженерно-технических средств охраны административного здания АО ""В/О ""Изотоп""")</f>
        <v>Право заключения договора на оказание услуг по техническому обслуживанию комплекса инженерно-технических средств охраны административного здания АО "В/О "Изотоп"</v>
      </c>
      <c r="G9521" s="22" t="s">
        <v>55</v>
      </c>
      <c r="H9521" s="22" t="s">
        <v>55</v>
      </c>
      <c r="I9521" s="26">
        <v>43573.657094907401</v>
      </c>
      <c r="J9521" s="23" t="str">
        <f>HYPERLINK("https://www.spark-marketing.ru/Card/Person/553610", "ООО ""НПП ""ОХРАНА""")</f>
        <v>ООО "НПП "ОХРАНА"</v>
      </c>
      <c r="K9521" s="24" t="s">
        <v>11880</v>
      </c>
      <c r="L9521" s="22" t="s">
        <v>10</v>
      </c>
      <c r="M9521" s="25">
        <v>142100</v>
      </c>
      <c r="N9521" s="27">
        <v>0.64299472107021793</v>
      </c>
    </row>
    <row r="9522" spans="1:14" hidden="1" outlineLevel="1" x14ac:dyDescent="0.2">
      <c r="A9522" s="23" t="str">
        <f>HYPERLINK("https://www.spark-marketing.ru/Card/Person/54648", "АО ""В/О""ИЗОТОП""")</f>
        <v>АО "В/О"ИЗОТОП"</v>
      </c>
      <c r="B9522" s="24" t="s">
        <v>11877</v>
      </c>
      <c r="C9522" s="28" t="s">
        <v>52</v>
      </c>
      <c r="D9522" s="22" t="s">
        <v>11878</v>
      </c>
      <c r="E9522" s="22" t="s">
        <v>11879</v>
      </c>
      <c r="F9522" s="23" t="str">
        <f>HYPERLINK("https://www.spark-marketing.ru/Card/Lot/69902443", "Право заключения договора на оказание услуг по техническому обслуживанию комплекса инженерно-технических средств охраны административного здания АО ""В/О ""Изотоп""")</f>
        <v>Право заключения договора на оказание услуг по техническому обслуживанию комплекса инженерно-технических средств охраны административного здания АО "В/О "Изотоп"</v>
      </c>
      <c r="G9522" s="22" t="s">
        <v>55</v>
      </c>
      <c r="H9522" s="22" t="s">
        <v>55</v>
      </c>
      <c r="I9522" s="26">
        <v>43573.657094907401</v>
      </c>
      <c r="J9522" s="23" t="str">
        <f>HYPERLINK("https://www.spark-marketing.ru/Card/Person/1901644", "ООО ""ИНИЦИАТИВА-XXI""")</f>
        <v>ООО "ИНИЦИАТИВА-XXI"</v>
      </c>
      <c r="K9522" s="24" t="s">
        <v>11881</v>
      </c>
      <c r="L9522" s="28" t="s">
        <v>52</v>
      </c>
      <c r="M9522" s="25">
        <v>342000</v>
      </c>
      <c r="N9522" s="27">
        <v>0.1407754722450002</v>
      </c>
    </row>
    <row r="9523" spans="1:14" x14ac:dyDescent="0.15">
      <c r="A9523" s="23" t="str">
        <f>HYPERLINK("https://www.spark-marketing.ru/Card/Person/1004872", "ГБУ ""ДЕТСКАЯ ПОЛИКЛИНИКА №4 Г.ГРОЗНОГО""")</f>
        <v>ГБУ "ДЕТСКАЯ ПОЛИКЛИНИКА №4 Г.ГРОЗНОГО"</v>
      </c>
      <c r="B9523" s="24" t="s">
        <v>11882</v>
      </c>
      <c r="C9523" s="25">
        <v>360000</v>
      </c>
      <c r="D9523" s="22" t="s">
        <v>11883</v>
      </c>
      <c r="E9523" s="22" t="s">
        <v>107</v>
      </c>
      <c r="F9523" s="23" t="str">
        <f>HYPERLINK("https://www.spark-marketing.ru/Card/Lot/69900930", "Техническое обслуживание системы видеонаблюдения")</f>
        <v>Техническое обслуживание системы видеонаблюдения</v>
      </c>
      <c r="G9523" s="22" t="s">
        <v>724</v>
      </c>
      <c r="H9523" s="22" t="s">
        <v>724</v>
      </c>
      <c r="I9523" s="26">
        <v>43573.604861111096</v>
      </c>
      <c r="J9523" s="23" t="str">
        <f>HYPERLINK("https://www.spark-marketing.ru/Card/Person/62692", "ООО ""БАСТИОН""")</f>
        <v>ООО "БАСТИОН"</v>
      </c>
      <c r="K9523" s="24" t="s">
        <v>11884</v>
      </c>
      <c r="L9523" s="22" t="s">
        <v>10</v>
      </c>
      <c r="M9523" s="28" t="s">
        <v>52</v>
      </c>
      <c r="N9523" s="28" t="s">
        <v>52</v>
      </c>
    </row>
    <row r="9524" spans="1:14" x14ac:dyDescent="0.15">
      <c r="A9524" s="23" t="str">
        <f>HYPERLINK("https://www.spark-marketing.ru/Card/Person/129854", "ГБУ ""ЦТИ ПК""")</f>
        <v>ГБУ "ЦТИ ПК"</v>
      </c>
      <c r="B9524" s="24" t="s">
        <v>11885</v>
      </c>
      <c r="C9524" s="25">
        <v>360640</v>
      </c>
      <c r="D9524" s="22" t="s">
        <v>11886</v>
      </c>
      <c r="E9524" s="22" t="s">
        <v>11887</v>
      </c>
      <c r="F9524" s="23" t="str">
        <f>HYPERLINK("https://www.spark-marketing.ru/Card/Lot/69893468", "Российский рубль")</f>
        <v>Российский рубль</v>
      </c>
      <c r="G9524" s="22" t="s">
        <v>391</v>
      </c>
      <c r="H9524" s="22" t="s">
        <v>392</v>
      </c>
      <c r="I9524" s="26">
        <v>43573.599652777797</v>
      </c>
      <c r="J9524" s="28" t="s">
        <v>52</v>
      </c>
      <c r="K9524" s="28" t="s">
        <v>52</v>
      </c>
      <c r="L9524" s="28" t="s">
        <v>52</v>
      </c>
      <c r="M9524" s="28" t="s">
        <v>52</v>
      </c>
      <c r="N9524" s="28" t="s">
        <v>52</v>
      </c>
    </row>
    <row r="9525" spans="1:14" hidden="1" outlineLevel="1" x14ac:dyDescent="0.2">
      <c r="A9525" s="23" t="str">
        <f>HYPERLINK("https://www.spark-marketing.ru/Card/Person/129854", "ГБУ ""ЦТИ ПК""")</f>
        <v>ГБУ "ЦТИ ПК"</v>
      </c>
      <c r="B9525" s="24" t="s">
        <v>11885</v>
      </c>
      <c r="C9525" s="28" t="s">
        <v>52</v>
      </c>
      <c r="D9525" s="22" t="s">
        <v>11886</v>
      </c>
      <c r="E9525" s="22" t="s">
        <v>11887</v>
      </c>
      <c r="F9525" s="23" t="str">
        <f>HYPERLINK("https://www.spark-marketing.ru/Card/Lot/69893468", "Российский рубль")</f>
        <v>Российский рубль</v>
      </c>
      <c r="G9525" s="22" t="s">
        <v>391</v>
      </c>
      <c r="H9525" s="22" t="s">
        <v>392</v>
      </c>
      <c r="I9525" s="26">
        <v>43573.599652777797</v>
      </c>
      <c r="J9525" s="23" t="str">
        <f>HYPERLINK("https://www.spark-marketing.ru/Card/Person/51447", "ООО ""ОХРАННОЕ АГЕНТСТВО ""АЯКС""")</f>
        <v>ООО "ОХРАННОЕ АГЕНТСТВО "АЯКС"</v>
      </c>
      <c r="K9525" s="24" t="s">
        <v>11888</v>
      </c>
      <c r="L9525" s="28" t="s">
        <v>52</v>
      </c>
      <c r="M9525" s="25">
        <v>342608</v>
      </c>
      <c r="N9525" s="27">
        <v>0.05</v>
      </c>
    </row>
    <row r="9526" spans="1:14" hidden="1" outlineLevel="1" x14ac:dyDescent="0.2">
      <c r="A9526" s="23" t="str">
        <f>HYPERLINK("https://www.spark-marketing.ru/Card/Person/129854", "ГБУ ""ЦТИ ПК""")</f>
        <v>ГБУ "ЦТИ ПК"</v>
      </c>
      <c r="B9526" s="24" t="s">
        <v>11885</v>
      </c>
      <c r="C9526" s="28" t="s">
        <v>52</v>
      </c>
      <c r="D9526" s="22" t="s">
        <v>11886</v>
      </c>
      <c r="E9526" s="22" t="s">
        <v>11887</v>
      </c>
      <c r="F9526" s="23" t="str">
        <f>HYPERLINK("https://www.spark-marketing.ru/Card/Lot/69893468", "Российский рубль")</f>
        <v>Российский рубль</v>
      </c>
      <c r="G9526" s="22" t="s">
        <v>391</v>
      </c>
      <c r="H9526" s="22" t="s">
        <v>392</v>
      </c>
      <c r="I9526" s="26">
        <v>43573.599652777797</v>
      </c>
      <c r="J9526" s="23" t="str">
        <f>HYPERLINK("https://www.spark-marketing.ru/Card/Person/60932", "ООО ""ОА ""ПРОМЕТЕЙ""")</f>
        <v>ООО "ОА "ПРОМЕТЕЙ"</v>
      </c>
      <c r="K9526" s="24" t="s">
        <v>11889</v>
      </c>
      <c r="L9526" s="28" t="s">
        <v>52</v>
      </c>
      <c r="M9526" s="25">
        <v>241628.79999999999</v>
      </c>
      <c r="N9526" s="27">
        <v>0.33</v>
      </c>
    </row>
    <row r="9527" spans="1:14" hidden="1" outlineLevel="1" x14ac:dyDescent="0.2">
      <c r="A9527" s="23" t="str">
        <f>HYPERLINK("https://www.spark-marketing.ru/Card/Person/129854", "ГБУ ""ЦТИ ПК""")</f>
        <v>ГБУ "ЦТИ ПК"</v>
      </c>
      <c r="B9527" s="24" t="s">
        <v>11885</v>
      </c>
      <c r="C9527" s="28" t="s">
        <v>52</v>
      </c>
      <c r="D9527" s="22" t="s">
        <v>11886</v>
      </c>
      <c r="E9527" s="22" t="s">
        <v>11887</v>
      </c>
      <c r="F9527" s="23" t="str">
        <f>HYPERLINK("https://www.spark-marketing.ru/Card/Lot/69893468", "Российский рубль")</f>
        <v>Российский рубль</v>
      </c>
      <c r="G9527" s="22" t="s">
        <v>391</v>
      </c>
      <c r="H9527" s="22" t="s">
        <v>392</v>
      </c>
      <c r="I9527" s="26">
        <v>43573.599652777797</v>
      </c>
      <c r="J9527" s="23" t="str">
        <f>HYPERLINK("https://www.spark-marketing.ru/Card/Person/94227", "ООО ""КАПИТАЛ СК""")</f>
        <v>ООО "КАПИТАЛ СК"</v>
      </c>
      <c r="K9527" s="24" t="s">
        <v>11890</v>
      </c>
      <c r="L9527" s="22" t="s">
        <v>10</v>
      </c>
      <c r="M9527" s="25">
        <v>239825.6</v>
      </c>
      <c r="N9527" s="27">
        <v>0.33500000000000002</v>
      </c>
    </row>
    <row r="9528" spans="1:14" x14ac:dyDescent="0.15">
      <c r="A9528" s="23" t="str">
        <f>HYPERLINK("https://www.spark-marketing.ru/Card/Person/19953", "ГМЗ ""ПЕТЕРГОФ""")</f>
        <v>ГМЗ "ПЕТЕРГОФ"</v>
      </c>
      <c r="B9528" s="24" t="s">
        <v>11891</v>
      </c>
      <c r="C9528" s="25">
        <v>3689306.71</v>
      </c>
      <c r="D9528" s="22" t="s">
        <v>11892</v>
      </c>
      <c r="E9528" s="22" t="s">
        <v>68</v>
      </c>
      <c r="F9528" s="23" t="str">
        <f>HYPERLINK("https://www.spark-marketing.ru/Card/Lot/69897650", "Оказание услуг по обеспечению контрольно-пропускного, внутриобъектового и досмотрового режимов, охраны общественного порядка и безопасности, а также защиты объекта транспортной инфраструктуры от актов незаконного вмешательства на объекте - причал ГМЗ...")</f>
        <v>Оказание услуг по обеспечению контрольно-пропускного, внутриобъектового и досмотрового режимов, охраны общественного порядка и безопасности, а также защиты объекта транспортной инфраструктуры от актов незаконного вмешательства на объекте - причал ГМЗ...</v>
      </c>
      <c r="G9528" s="22" t="s">
        <v>89</v>
      </c>
      <c r="H9528" s="22" t="s">
        <v>89</v>
      </c>
      <c r="I9528" s="26">
        <v>43573.578472222202</v>
      </c>
      <c r="J9528" s="23" t="str">
        <f>HYPERLINK("https://www.spark-marketing.ru/Card/Person/1789856", "Северо-Западный ФЛ ФГУП ""УВО Минтранса России""")</f>
        <v>Северо-Западный ФЛ ФГУП "УВО Минтранса России"</v>
      </c>
      <c r="K9528" s="24" t="s">
        <v>1472</v>
      </c>
      <c r="L9528" s="22" t="s">
        <v>10</v>
      </c>
      <c r="M9528" s="28" t="s">
        <v>52</v>
      </c>
      <c r="N9528" s="28" t="s">
        <v>52</v>
      </c>
    </row>
    <row r="9529" spans="1:14" x14ac:dyDescent="0.15">
      <c r="A9529" s="23" t="str">
        <f>HYPERLINK("https://www.spark-marketing.ru/Card/Person/4346781", "ПАО ""МСЗ""")</f>
        <v>ПАО "МСЗ"</v>
      </c>
      <c r="B9529" s="24" t="s">
        <v>744</v>
      </c>
      <c r="C9529" s="28" t="s">
        <v>52</v>
      </c>
      <c r="D9529" s="22" t="s">
        <v>11893</v>
      </c>
      <c r="E9529" s="22" t="s">
        <v>53</v>
      </c>
      <c r="F9529" s="23" t="str">
        <f>HYPERLINK("https://www.spark-marketing.ru/Card/Lot/69900873", "Техническое обслуживание систем радиоканальной охранно-тревожной сигнализации и видеонаблюдения (1237201)")</f>
        <v>Техническое обслуживание систем радиоканальной охранно-тревожной сигнализации и видеонаблюдения (1237201)</v>
      </c>
      <c r="G9529" s="22" t="s">
        <v>50</v>
      </c>
      <c r="H9529" s="22" t="s">
        <v>747</v>
      </c>
      <c r="I9529" s="26">
        <v>43573.5382060185</v>
      </c>
      <c r="J9529" s="28" t="s">
        <v>52</v>
      </c>
      <c r="K9529" s="28" t="s">
        <v>52</v>
      </c>
      <c r="L9529" s="28" t="s">
        <v>52</v>
      </c>
      <c r="M9529" s="28" t="s">
        <v>52</v>
      </c>
      <c r="N9529" s="28" t="s">
        <v>52</v>
      </c>
    </row>
    <row r="9530" spans="1:14" x14ac:dyDescent="0.15">
      <c r="A9530" s="23" t="str">
        <f>HYPERLINK("https://www.spark-marketing.ru/Card/Person/4346781", "ПАО ""МСЗ""")</f>
        <v>ПАО "МСЗ"</v>
      </c>
      <c r="B9530" s="24" t="s">
        <v>744</v>
      </c>
      <c r="C9530" s="25">
        <v>0</v>
      </c>
      <c r="D9530" s="22" t="s">
        <v>11894</v>
      </c>
      <c r="E9530" s="22" t="s">
        <v>53</v>
      </c>
      <c r="F9530" s="23" t="str">
        <f>HYPERLINK("https://www.spark-marketing.ru/Card/Lot/69897840", "мониторинг цен в электронной форме на Техническое обслуживание систем радиоканальной охранно-тревожной сигнализации и видеонаблюдения")</f>
        <v>мониторинг цен в электронной форме на Техническое обслуживание систем радиоканальной охранно-тревожной сигнализации и видеонаблюдения</v>
      </c>
      <c r="G9530" s="22" t="s">
        <v>50</v>
      </c>
      <c r="H9530" s="22" t="s">
        <v>747</v>
      </c>
      <c r="I9530" s="26">
        <v>43573.532291666699</v>
      </c>
      <c r="J9530" s="28" t="s">
        <v>52</v>
      </c>
      <c r="K9530" s="28" t="s">
        <v>52</v>
      </c>
      <c r="L9530" s="28" t="s">
        <v>52</v>
      </c>
      <c r="M9530" s="28" t="s">
        <v>52</v>
      </c>
      <c r="N9530" s="28" t="s">
        <v>52</v>
      </c>
    </row>
    <row r="9531" spans="1:14" x14ac:dyDescent="0.15">
      <c r="A9531" s="23" t="str">
        <f>HYPERLINK("https://www.spark-marketing.ru/Card/Person/4346781", "ПАО ""МСЗ""")</f>
        <v>ПАО "МСЗ"</v>
      </c>
      <c r="B9531" s="24" t="s">
        <v>744</v>
      </c>
      <c r="C9531" s="28" t="s">
        <v>52</v>
      </c>
      <c r="D9531" s="22" t="s">
        <v>11895</v>
      </c>
      <c r="E9531" s="22" t="s">
        <v>107</v>
      </c>
      <c r="F9531" s="23" t="str">
        <f>HYPERLINK("https://www.spark-marketing.ru/Card/Lot/69902516", "Техническое обслуживание систем радиоканальной охранно-тревожной сигнализации и видеонаблюдения")</f>
        <v>Техническое обслуживание систем радиоканальной охранно-тревожной сигнализации и видеонаблюдения</v>
      </c>
      <c r="G9531" s="22" t="s">
        <v>50</v>
      </c>
      <c r="H9531" s="22" t="s">
        <v>747</v>
      </c>
      <c r="I9531" s="26">
        <v>43573.5320601852</v>
      </c>
      <c r="J9531" s="28" t="s">
        <v>52</v>
      </c>
      <c r="K9531" s="28" t="s">
        <v>52</v>
      </c>
      <c r="L9531" s="28" t="s">
        <v>52</v>
      </c>
      <c r="M9531" s="28" t="s">
        <v>52</v>
      </c>
      <c r="N9531" s="28" t="s">
        <v>52</v>
      </c>
    </row>
    <row r="9532" spans="1:14" x14ac:dyDescent="0.15">
      <c r="A9532" s="23" t="str">
        <f>HYPERLINK("https://www.spark-marketing.ru/Card/Person/1059420", "МБДОУ ЦРР ДЕТСКИЙ САД № 5 ""РЯБИНКА""")</f>
        <v>МБДОУ ЦРР ДЕТСКИЙ САД № 5 "РЯБИНКА"</v>
      </c>
      <c r="B9532" s="24" t="s">
        <v>11896</v>
      </c>
      <c r="C9532" s="25">
        <v>97920</v>
      </c>
      <c r="D9532" s="22" t="s">
        <v>11897</v>
      </c>
      <c r="E9532" s="22" t="s">
        <v>294</v>
      </c>
      <c r="F9532" s="23" t="str">
        <f>HYPERLINK("https://www.spark-marketing.ru/Card/Lot/69893096", "Услуги по техническому обслуживанию систем видеонаблюдения.")</f>
        <v>Услуги по техническому обслуживанию систем видеонаблюдения.</v>
      </c>
      <c r="G9532" s="22" t="s">
        <v>50</v>
      </c>
      <c r="H9532" s="22" t="s">
        <v>2307</v>
      </c>
      <c r="I9532" s="26">
        <v>43573.513912037</v>
      </c>
      <c r="J9532" s="28" t="s">
        <v>52</v>
      </c>
      <c r="K9532" s="28" t="s">
        <v>52</v>
      </c>
      <c r="L9532" s="28" t="s">
        <v>52</v>
      </c>
      <c r="M9532" s="28" t="s">
        <v>52</v>
      </c>
      <c r="N9532" s="28" t="s">
        <v>52</v>
      </c>
    </row>
    <row r="9533" spans="1:14" x14ac:dyDescent="0.15">
      <c r="A9533" s="23" t="str">
        <f>HYPERLINK("https://www.spark-marketing.ru/Card/Person/1045274", "СРЕДНЯЯ ШКОЛА № 5")</f>
        <v>СРЕДНЯЯ ШКОЛА № 5</v>
      </c>
      <c r="B9533" s="24" t="s">
        <v>11898</v>
      </c>
      <c r="C9533" s="25">
        <v>84000</v>
      </c>
      <c r="D9533" s="22" t="s">
        <v>11899</v>
      </c>
      <c r="E9533" s="22" t="s">
        <v>84</v>
      </c>
      <c r="F9533" s="23" t="str">
        <f>HYPERLINK("https://www.spark-marketing.ru/Card/Lot/69887776", "Оказание услуг по поставке и установке камер системы видеонаблюдения в пунктах приема экзаменов (ППЭ)")</f>
        <v>Оказание услуг по поставке и установке камер системы видеонаблюдения в пунктах приема экзаменов (ППЭ)</v>
      </c>
      <c r="G9533" s="22" t="s">
        <v>50</v>
      </c>
      <c r="H9533" s="22" t="s">
        <v>239</v>
      </c>
      <c r="I9533" s="26">
        <v>43573.471585648098</v>
      </c>
      <c r="J9533" s="28" t="s">
        <v>52</v>
      </c>
      <c r="K9533" s="28" t="s">
        <v>52</v>
      </c>
      <c r="L9533" s="28" t="s">
        <v>52</v>
      </c>
      <c r="M9533" s="28" t="s">
        <v>52</v>
      </c>
      <c r="N9533" s="28" t="s">
        <v>52</v>
      </c>
    </row>
    <row r="9534" spans="1:14" x14ac:dyDescent="0.15">
      <c r="A9534" s="23" t="str">
        <f>HYPERLINK("https://www.spark-marketing.ru/Card/Person/1049204", "ГБОУ НАО ""СШ № 2""")</f>
        <v>ГБОУ НАО "СШ № 2"</v>
      </c>
      <c r="B9534" s="24" t="s">
        <v>11900</v>
      </c>
      <c r="C9534" s="25">
        <v>192000</v>
      </c>
      <c r="D9534" s="22" t="s">
        <v>11901</v>
      </c>
      <c r="E9534" s="22" t="s">
        <v>5312</v>
      </c>
      <c r="F9534" s="23" t="str">
        <f>HYPERLINK("https://www.spark-marketing.ru/Card/Lot/69888770", "Установка системы видеонаблюдения.")</f>
        <v>Установка системы видеонаблюдения.</v>
      </c>
      <c r="G9534" s="22" t="s">
        <v>1014</v>
      </c>
      <c r="H9534" s="22" t="s">
        <v>1015</v>
      </c>
      <c r="I9534" s="26">
        <v>43573.467361111099</v>
      </c>
      <c r="J9534" s="28" t="s">
        <v>52</v>
      </c>
      <c r="K9534" s="28" t="s">
        <v>52</v>
      </c>
      <c r="L9534" s="28" t="s">
        <v>52</v>
      </c>
      <c r="M9534" s="28" t="s">
        <v>52</v>
      </c>
      <c r="N9534" s="28" t="s">
        <v>52</v>
      </c>
    </row>
    <row r="9535" spans="1:14" x14ac:dyDescent="0.15">
      <c r="A9535" s="23" t="str">
        <f>HYPERLINK("https://www.spark-marketing.ru/Card/Person/729718", "БОУ ДО Г. ОМСКА ""ДЕТСКИЙ ЭКОЦЕНТР""")</f>
        <v>БОУ ДО Г. ОМСКА "ДЕТСКИЙ ЭКОЦЕНТР"</v>
      </c>
      <c r="B9535" s="24" t="s">
        <v>11902</v>
      </c>
      <c r="C9535" s="25">
        <v>73800</v>
      </c>
      <c r="D9535" s="22" t="s">
        <v>11903</v>
      </c>
      <c r="E9535" s="22" t="s">
        <v>68</v>
      </c>
      <c r="F9535" s="23" t="str">
        <f>HYPERLINK("https://www.spark-marketing.ru/Card/Lot/69890053", "Оказание охранных услуг (физическая охрана)")</f>
        <v>Оказание охранных услуг (физическая охрана)</v>
      </c>
      <c r="G9535" s="22" t="s">
        <v>521</v>
      </c>
      <c r="H9535" s="22" t="s">
        <v>522</v>
      </c>
      <c r="I9535" s="26">
        <v>43573.495138888902</v>
      </c>
      <c r="J9535" s="28" t="s">
        <v>52</v>
      </c>
      <c r="K9535" s="28" t="s">
        <v>52</v>
      </c>
      <c r="L9535" s="28" t="s">
        <v>52</v>
      </c>
      <c r="M9535" s="28" t="s">
        <v>52</v>
      </c>
      <c r="N9535" s="28" t="s">
        <v>52</v>
      </c>
    </row>
    <row r="9536" spans="1:14" x14ac:dyDescent="0.15">
      <c r="A9536" s="23" t="str">
        <f>HYPERLINK("https://www.spark-marketing.ru/Card/Person/149253", "МБДОУ ""ДЕТСКИЙ САД ОБЩЕРАЗВИВАЮЩЕГО ВИДА № 32"" НМР РТ")</f>
        <v>МБДОУ "ДЕТСКИЙ САД ОБЩЕРАЗВИВАЮЩЕГО ВИДА № 32" НМР РТ</v>
      </c>
      <c r="B9536" s="24" t="s">
        <v>11904</v>
      </c>
      <c r="C9536" s="25">
        <v>23375</v>
      </c>
      <c r="D9536" s="22" t="s">
        <v>11905</v>
      </c>
      <c r="E9536" s="22" t="s">
        <v>103</v>
      </c>
      <c r="F9536" s="23" t="str">
        <f>HYPERLINK("https://www.spark-marketing.ru/Card/Lot/69893252", "Оказание услуг по техническому обслуживанию системы видеонаблюдения для МБДОУ ""Детский сад общеразвивающего вида №32"" НМР РТ (СМП и СОНО)")</f>
        <v>Оказание услуг по техническому обслуживанию системы видеонаблюдения для МБДОУ "Детский сад общеразвивающего вида №32" НМР РТ (СМП и СОНО)</v>
      </c>
      <c r="G9536" s="22" t="s">
        <v>204</v>
      </c>
      <c r="H9536" s="22" t="s">
        <v>824</v>
      </c>
      <c r="I9536" s="26">
        <v>43573.465277777803</v>
      </c>
      <c r="J9536" s="28" t="s">
        <v>52</v>
      </c>
      <c r="K9536" s="28" t="s">
        <v>52</v>
      </c>
      <c r="L9536" s="28" t="s">
        <v>52</v>
      </c>
      <c r="M9536" s="28" t="s">
        <v>52</v>
      </c>
      <c r="N9536" s="28" t="s">
        <v>52</v>
      </c>
    </row>
    <row r="9537" spans="1:14" hidden="1" outlineLevel="1" x14ac:dyDescent="0.2">
      <c r="A9537" s="23" t="str">
        <f>HYPERLINK("https://www.spark-marketing.ru/Card/Person/149253", "МБДОУ ""ДЕТСКИЙ САД ОБЩЕРАЗВИВАЮЩЕГО ВИДА № 32"" НМР РТ")</f>
        <v>МБДОУ "ДЕТСКИЙ САД ОБЩЕРАЗВИВАЮЩЕГО ВИДА № 32" НМР РТ</v>
      </c>
      <c r="B9537" s="24" t="s">
        <v>11904</v>
      </c>
      <c r="C9537" s="25">
        <v>23375</v>
      </c>
      <c r="D9537" s="22" t="s">
        <v>11905</v>
      </c>
      <c r="E9537" s="22" t="s">
        <v>103</v>
      </c>
      <c r="F9537" s="23" t="str">
        <f>HYPERLINK("https://www.spark-marketing.ru/Card/Lot/69893252", "Оказание услуг по техническому обслуживанию системы видеонаблюдения для МБДОУ ""Детский сад общеразвивающего вида №32"" НМР РТ (СМП и СОНО)")</f>
        <v>Оказание услуг по техническому обслуживанию системы видеонаблюдения для МБДОУ "Детский сад общеразвивающего вида №32" НМР РТ (СМП и СОНО)</v>
      </c>
      <c r="G9537" s="22" t="s">
        <v>204</v>
      </c>
      <c r="H9537" s="22" t="s">
        <v>824</v>
      </c>
      <c r="I9537" s="26">
        <v>43573.465277777803</v>
      </c>
      <c r="J9537" s="23" t="str">
        <f>HYPERLINK("https://www.spark-marketing.ru/Card/Person/6507535", "ООО ""ДАР ТЕХАЛЬЯНС""")</f>
        <v>ООО "ДАР ТЕХАЛЬЯНС"</v>
      </c>
      <c r="K9537" s="24" t="s">
        <v>11906</v>
      </c>
      <c r="L9537" s="28" t="s">
        <v>52</v>
      </c>
      <c r="M9537" s="25">
        <v>17180.36</v>
      </c>
      <c r="N9537" s="27">
        <v>0.26501133689839573</v>
      </c>
    </row>
    <row r="9538" spans="1:14" hidden="1" outlineLevel="1" x14ac:dyDescent="0.2">
      <c r="A9538" s="23" t="str">
        <f>HYPERLINK("https://www.spark-marketing.ru/Card/Person/149253", "МБДОУ ""ДЕТСКИЙ САД ОБЩЕРАЗВИВАЮЩЕГО ВИДА № 32"" НМР РТ")</f>
        <v>МБДОУ "ДЕТСКИЙ САД ОБЩЕРАЗВИВАЮЩЕГО ВИДА № 32" НМР РТ</v>
      </c>
      <c r="B9538" s="24" t="s">
        <v>11904</v>
      </c>
      <c r="C9538" s="25">
        <v>23375</v>
      </c>
      <c r="D9538" s="22" t="s">
        <v>11905</v>
      </c>
      <c r="E9538" s="22" t="s">
        <v>103</v>
      </c>
      <c r="F9538" s="23" t="str">
        <f>HYPERLINK("https://www.spark-marketing.ru/Card/Lot/69893252", "Оказание услуг по техническому обслуживанию системы видеонаблюдения для МБДОУ ""Детский сад общеразвивающего вида №32"" НМР РТ (СМП и СОНО)")</f>
        <v>Оказание услуг по техническому обслуживанию системы видеонаблюдения для МБДОУ "Детский сад общеразвивающего вида №32" НМР РТ (СМП и СОНО)</v>
      </c>
      <c r="G9538" s="22" t="s">
        <v>204</v>
      </c>
      <c r="H9538" s="22" t="s">
        <v>824</v>
      </c>
      <c r="I9538" s="26">
        <v>43573.465277777803</v>
      </c>
      <c r="J9538" s="23" t="str">
        <f>HYPERLINK("https://www.spark-marketing.ru/Card/Person/138713", "Хакимзянов Рустам Миннерафикович")</f>
        <v>Хакимзянов Рустам Миннерафикович</v>
      </c>
      <c r="K9538" s="24" t="s">
        <v>3470</v>
      </c>
      <c r="L9538" s="28" t="s">
        <v>52</v>
      </c>
      <c r="M9538" s="25">
        <v>2180</v>
      </c>
      <c r="N9538" s="27">
        <v>0.9067379679144385</v>
      </c>
    </row>
    <row r="9539" spans="1:14" ht="12.75" hidden="1" outlineLevel="1" x14ac:dyDescent="0.2">
      <c r="A9539" s="23" t="str">
        <f>HYPERLINK("https://www.spark-marketing.ru/Card/Person/149253", "МБДОУ ""ДЕТСКИЙ САД ОБЩЕРАЗВИВАЮЩЕГО ВИДА № 32"" НМР РТ")</f>
        <v>МБДОУ "ДЕТСКИЙ САД ОБЩЕРАЗВИВАЮЩЕГО ВИДА № 32" НМР РТ</v>
      </c>
      <c r="B9539" s="24" t="s">
        <v>11904</v>
      </c>
      <c r="C9539" s="25">
        <v>23375</v>
      </c>
      <c r="D9539" s="22" t="s">
        <v>11905</v>
      </c>
      <c r="E9539" s="22" t="s">
        <v>103</v>
      </c>
      <c r="F9539" s="23" t="str">
        <f>HYPERLINK("https://www.spark-marketing.ru/Card/Lot/69893252", "Оказание услуг по техническому обслуживанию системы видеонаблюдения для МБДОУ ""Детский сад общеразвивающего вида №32"" НМР РТ (СМП и СОНО)")</f>
        <v>Оказание услуг по техническому обслуживанию системы видеонаблюдения для МБДОУ "Детский сад общеразвивающего вида №32" НМР РТ (СМП и СОНО)</v>
      </c>
      <c r="G9539" s="22" t="s">
        <v>204</v>
      </c>
      <c r="H9539" s="22" t="s">
        <v>824</v>
      </c>
      <c r="I9539" s="26">
        <v>43573.465277777803</v>
      </c>
      <c r="J9539" s="23" t="str">
        <f>HYPERLINK("https://www.spark-marketing.ru/Card/Person/34725", "ООО ""КОМПЬЮСЕРВИС - НК""")</f>
        <v>ООО "КОМПЬЮСЕРВИС - НК"</v>
      </c>
      <c r="K9539" s="24" t="s">
        <v>3468</v>
      </c>
      <c r="L9539" s="22" t="s">
        <v>10</v>
      </c>
      <c r="M9539" s="25">
        <v>2000</v>
      </c>
      <c r="N9539" s="27">
        <v>0.91443850267379678</v>
      </c>
    </row>
    <row r="9540" spans="1:14" x14ac:dyDescent="0.15">
      <c r="A9540" s="23" t="str">
        <f>HYPERLINK("https://www.spark-marketing.ru/Card/Person/1758532", "АО ""ДАРЫ ПРИРОДЫ""")</f>
        <v>АО "ДАРЫ ПРИРОДЫ"</v>
      </c>
      <c r="B9540" s="24" t="s">
        <v>11907</v>
      </c>
      <c r="C9540" s="25">
        <v>900000</v>
      </c>
      <c r="D9540" s="22" t="s">
        <v>11908</v>
      </c>
      <c r="E9540" s="22" t="s">
        <v>363</v>
      </c>
      <c r="F9540" s="23" t="str">
        <f>HYPERLINK("https://www.spark-marketing.ru/Card/Lot/69916023", "Оказание охранных услуг")</f>
        <v>Оказание охранных услуг</v>
      </c>
      <c r="G9540" s="22" t="s">
        <v>204</v>
      </c>
      <c r="H9540" s="22" t="s">
        <v>204</v>
      </c>
      <c r="I9540" s="26">
        <v>43573.450243055602</v>
      </c>
      <c r="J9540" s="28" t="s">
        <v>52</v>
      </c>
      <c r="K9540" s="28" t="s">
        <v>52</v>
      </c>
      <c r="L9540" s="28" t="s">
        <v>52</v>
      </c>
      <c r="M9540" s="28" t="s">
        <v>52</v>
      </c>
      <c r="N9540" s="28" t="s">
        <v>52</v>
      </c>
    </row>
    <row r="9541" spans="1:14" x14ac:dyDescent="0.15">
      <c r="A9541" s="23" t="str">
        <f>HYPERLINK("https://www.spark-marketing.ru/Card/Person/44752", "ПАО БАНК ЗЕНИТ")</f>
        <v>ПАО БАНК ЗЕНИТ</v>
      </c>
      <c r="B9541" s="24" t="s">
        <v>11909</v>
      </c>
      <c r="C9541" s="28" t="s">
        <v>52</v>
      </c>
      <c r="D9541" s="22" t="s">
        <v>11910</v>
      </c>
      <c r="E9541" s="22" t="s">
        <v>53</v>
      </c>
      <c r="F9541" s="23" t="str">
        <f>HYPERLINK("https://www.spark-marketing.ru/Card/Lot/69896156", "физическая охрана объектов")</f>
        <v>физическая охрана объектов</v>
      </c>
      <c r="G9541" s="22" t="s">
        <v>55</v>
      </c>
      <c r="H9541" s="22" t="s">
        <v>55</v>
      </c>
      <c r="I9541" s="26">
        <v>43573.449305555601</v>
      </c>
      <c r="J9541" s="28" t="s">
        <v>52</v>
      </c>
      <c r="K9541" s="28" t="s">
        <v>52</v>
      </c>
      <c r="L9541" s="28" t="s">
        <v>52</v>
      </c>
      <c r="M9541" s="28" t="s">
        <v>52</v>
      </c>
      <c r="N9541" s="28" t="s">
        <v>52</v>
      </c>
    </row>
    <row r="9542" spans="1:14" x14ac:dyDescent="0.15">
      <c r="A9542" s="23" t="str">
        <f>HYPERLINK("https://www.spark-marketing.ru/Card/Person/44752", "ПАО БАНК ЗЕНИТ")</f>
        <v>ПАО БАНК ЗЕНИТ</v>
      </c>
      <c r="B9542" s="24" t="s">
        <v>11909</v>
      </c>
      <c r="C9542" s="28" t="s">
        <v>52</v>
      </c>
      <c r="D9542" s="22" t="s">
        <v>11910</v>
      </c>
      <c r="E9542" s="22" t="s">
        <v>53</v>
      </c>
      <c r="F9542" s="23" t="str">
        <f>HYPERLINK("https://www.spark-marketing.ru/Card/Lot/69896161", "Физическая охрана маршрутов инкассации")</f>
        <v>Физическая охрана маршрутов инкассации</v>
      </c>
      <c r="G9542" s="22" t="s">
        <v>55</v>
      </c>
      <c r="H9542" s="22" t="s">
        <v>55</v>
      </c>
      <c r="I9542" s="26">
        <v>43573.449305555601</v>
      </c>
      <c r="J9542" s="28" t="s">
        <v>52</v>
      </c>
      <c r="K9542" s="28" t="s">
        <v>52</v>
      </c>
      <c r="L9542" s="28" t="s">
        <v>52</v>
      </c>
      <c r="M9542" s="28" t="s">
        <v>52</v>
      </c>
      <c r="N9542" s="28" t="s">
        <v>52</v>
      </c>
    </row>
    <row r="9543" spans="1:14" x14ac:dyDescent="0.15">
      <c r="A9543" s="23" t="str">
        <f>HYPERLINK("https://www.spark-marketing.ru/Card/Person/108749", "БДОУ Г. ОМСКА ""ДЕТСКИЙ САД № 176""")</f>
        <v>БДОУ Г. ОМСКА "ДЕТСКИЙ САД № 176"</v>
      </c>
      <c r="B9543" s="24" t="s">
        <v>11911</v>
      </c>
      <c r="C9543" s="25">
        <v>93000</v>
      </c>
      <c r="D9543" s="22" t="s">
        <v>11912</v>
      </c>
      <c r="E9543" s="22" t="s">
        <v>84</v>
      </c>
      <c r="F9543" s="23" t="str">
        <f>HYPERLINK("https://www.spark-marketing.ru/Card/Lot/69886077", "Оказание услуг по установке видеонаблюдения")</f>
        <v>Оказание услуг по установке видеонаблюдения</v>
      </c>
      <c r="G9543" s="22" t="s">
        <v>521</v>
      </c>
      <c r="H9543" s="22" t="s">
        <v>522</v>
      </c>
      <c r="I9543" s="26">
        <v>43573.429861111101</v>
      </c>
      <c r="J9543" s="28" t="s">
        <v>52</v>
      </c>
      <c r="K9543" s="28" t="s">
        <v>52</v>
      </c>
      <c r="L9543" s="28" t="s">
        <v>52</v>
      </c>
      <c r="M9543" s="28" t="s">
        <v>52</v>
      </c>
      <c r="N9543" s="28" t="s">
        <v>52</v>
      </c>
    </row>
    <row r="9544" spans="1:14" x14ac:dyDescent="0.15">
      <c r="A9544" s="23" t="str">
        <f>HYPERLINK("https://www.spark-marketing.ru/Card/Person/16000", "АРБИТРАЖНЫЙ СУД БЕЛГОРОДСКОЙ ОБЛАСТИ")</f>
        <v>АРБИТРАЖНЫЙ СУД БЕЛГОРОДСКОЙ ОБЛАСТИ</v>
      </c>
      <c r="B9544" s="24" t="s">
        <v>11913</v>
      </c>
      <c r="C9544" s="25">
        <v>1691369</v>
      </c>
      <c r="D9544" s="22" t="s">
        <v>11914</v>
      </c>
      <c r="E9544" s="22" t="s">
        <v>68</v>
      </c>
      <c r="F9544" s="23" t="str">
        <f>HYPERLINK("https://www.spark-marketing.ru/Card/Lot/69891170", "Оказание услуг по охране объектов и имущества Арбитражного суда Белгородской области")</f>
        <v>Оказание услуг по охране объектов и имущества Арбитражного суда Белгородской области</v>
      </c>
      <c r="G9544" s="22" t="s">
        <v>176</v>
      </c>
      <c r="H9544" s="22" t="s">
        <v>318</v>
      </c>
      <c r="I9544" s="26">
        <v>43573.414583333302</v>
      </c>
      <c r="J9544" s="28" t="s">
        <v>52</v>
      </c>
      <c r="K9544" s="28" t="s">
        <v>52</v>
      </c>
      <c r="L9544" s="28" t="s">
        <v>52</v>
      </c>
      <c r="M9544" s="28" t="s">
        <v>52</v>
      </c>
      <c r="N9544" s="28" t="s">
        <v>52</v>
      </c>
    </row>
    <row r="9545" spans="1:14" hidden="1" outlineLevel="1" x14ac:dyDescent="0.2">
      <c r="A9545" s="23" t="str">
        <f>HYPERLINK("https://www.spark-marketing.ru/Card/Person/16000", "АРБИТРАЖНЫЙ СУД БЕЛГОРОДСКОЙ ОБЛАСТИ")</f>
        <v>АРБИТРАЖНЫЙ СУД БЕЛГОРОДСКОЙ ОБЛАСТИ</v>
      </c>
      <c r="B9545" s="24" t="s">
        <v>11913</v>
      </c>
      <c r="C9545" s="25">
        <v>1691369</v>
      </c>
      <c r="D9545" s="22" t="s">
        <v>11914</v>
      </c>
      <c r="E9545" s="22" t="s">
        <v>68</v>
      </c>
      <c r="F9545" s="23" t="str">
        <f>HYPERLINK("https://www.spark-marketing.ru/Card/Lot/69891170", "Оказание услуг по охране объектов и имущества Арбитражного суда Белгородской области")</f>
        <v>Оказание услуг по охране объектов и имущества Арбитражного суда Белгородской области</v>
      </c>
      <c r="G9545" s="22" t="s">
        <v>176</v>
      </c>
      <c r="H9545" s="22" t="s">
        <v>318</v>
      </c>
      <c r="I9545" s="26">
        <v>43573.414583333302</v>
      </c>
      <c r="J9545" s="23" t="str">
        <f>HYPERLINK("https://www.spark-marketing.ru/Card/Person/10487", "ФГУП ""ОХРАНА"" РОСГВАРДИИ")</f>
        <v>ФГУП "ОХРАНА" РОСГВАРДИИ</v>
      </c>
      <c r="K9545" s="24" t="s">
        <v>779</v>
      </c>
      <c r="L9545" s="28" t="s">
        <v>52</v>
      </c>
      <c r="M9545" s="25">
        <v>1530688.85</v>
      </c>
      <c r="N9545" s="27">
        <v>9.5000056167518734E-2</v>
      </c>
    </row>
    <row r="9546" spans="1:14" ht="12.75" hidden="1" outlineLevel="1" x14ac:dyDescent="0.2">
      <c r="A9546" s="23" t="str">
        <f>HYPERLINK("https://www.spark-marketing.ru/Card/Person/16000", "АРБИТРАЖНЫЙ СУД БЕЛГОРОДСКОЙ ОБЛАСТИ")</f>
        <v>АРБИТРАЖНЫЙ СУД БЕЛГОРОДСКОЙ ОБЛАСТИ</v>
      </c>
      <c r="B9546" s="24" t="s">
        <v>11913</v>
      </c>
      <c r="C9546" s="25">
        <v>1691369</v>
      </c>
      <c r="D9546" s="22" t="s">
        <v>11914</v>
      </c>
      <c r="E9546" s="22" t="s">
        <v>68</v>
      </c>
      <c r="F9546" s="23" t="str">
        <f>HYPERLINK("https://www.spark-marketing.ru/Card/Lot/69891170", "Оказание услуг по охране объектов и имущества Арбитражного суда Белгородской области")</f>
        <v>Оказание услуг по охране объектов и имущества Арбитражного суда Белгородской области</v>
      </c>
      <c r="G9546" s="22" t="s">
        <v>176</v>
      </c>
      <c r="H9546" s="22" t="s">
        <v>318</v>
      </c>
      <c r="I9546" s="26">
        <v>43573.414583333302</v>
      </c>
      <c r="J9546" s="23" t="str">
        <f>HYPERLINK("https://www.spark-marketing.ru/Card/Person/666553", "ФГП ВО ЖДТ РОССИИ")</f>
        <v>ФГП ВО ЖДТ РОССИИ</v>
      </c>
      <c r="K9546" s="24" t="s">
        <v>1269</v>
      </c>
      <c r="L9546" s="22" t="s">
        <v>10</v>
      </c>
      <c r="M9546" s="25">
        <v>1522232</v>
      </c>
      <c r="N9546" s="27">
        <v>0.10000005912370394</v>
      </c>
    </row>
    <row r="9547" spans="1:14" x14ac:dyDescent="0.15">
      <c r="A9547" s="23" t="str">
        <f>HYPERLINK("https://www.spark-marketing.ru/Card/Person/4368993", "МАОУ СОШ № 68 ГОРОДА ТЮМЕНИ")</f>
        <v>МАОУ СОШ № 68 ГОРОДА ТЮМЕНИ</v>
      </c>
      <c r="B9547" s="24" t="s">
        <v>11915</v>
      </c>
      <c r="C9547" s="25">
        <v>971520</v>
      </c>
      <c r="D9547" s="22" t="s">
        <v>11916</v>
      </c>
      <c r="E9547" s="22" t="s">
        <v>363</v>
      </c>
      <c r="F9547" s="23" t="str">
        <f>HYPERLINK("https://www.spark-marketing.ru/Card/Lot/69882847", "Оказание охранных услуг")</f>
        <v>Оказание охранных услуг</v>
      </c>
      <c r="G9547" s="22" t="s">
        <v>893</v>
      </c>
      <c r="H9547" s="22" t="s">
        <v>893</v>
      </c>
      <c r="I9547" s="26">
        <v>43573.3752662037</v>
      </c>
      <c r="J9547" s="28" t="s">
        <v>52</v>
      </c>
      <c r="K9547" s="28" t="s">
        <v>52</v>
      </c>
      <c r="L9547" s="28" t="s">
        <v>52</v>
      </c>
      <c r="M9547" s="28" t="s">
        <v>52</v>
      </c>
      <c r="N9547" s="28" t="s">
        <v>52</v>
      </c>
    </row>
    <row r="9548" spans="1:14" x14ac:dyDescent="0.15">
      <c r="A9548" s="23" t="str">
        <f>HYPERLINK("https://www.spark-marketing.ru/Card/Person/4352437", "МБОУДО ""ДОЛ ""БЕРЕЗКА"" Г. ЧЕБОКСАРЫ")</f>
        <v>МБОУДО "ДОЛ "БЕРЕЗКА" Г. ЧЕБОКСАРЫ</v>
      </c>
      <c r="B9548" s="24" t="s">
        <v>10767</v>
      </c>
      <c r="C9548" s="25">
        <v>41040</v>
      </c>
      <c r="D9548" s="22" t="s">
        <v>11917</v>
      </c>
      <c r="E9548" s="22" t="s">
        <v>5799</v>
      </c>
      <c r="F9548" s="23" t="str">
        <f>HYPERLINK("https://www.spark-marketing.ru/Card/Lot/69884279", "Оказание услуг по техническому обслуживанию системы видеонаблюдения")</f>
        <v>Оказание услуг по техническому обслуживанию системы видеонаблюдения</v>
      </c>
      <c r="G9548" s="22" t="s">
        <v>1137</v>
      </c>
      <c r="H9548" s="22" t="s">
        <v>10769</v>
      </c>
      <c r="I9548" s="26">
        <v>43573.379861111098</v>
      </c>
      <c r="J9548" s="28" t="s">
        <v>52</v>
      </c>
      <c r="K9548" s="28" t="s">
        <v>52</v>
      </c>
      <c r="L9548" s="28" t="s">
        <v>52</v>
      </c>
      <c r="M9548" s="28" t="s">
        <v>52</v>
      </c>
      <c r="N9548" s="28" t="s">
        <v>52</v>
      </c>
    </row>
    <row r="9549" spans="1:14" x14ac:dyDescent="0.15">
      <c r="A9549" s="23" t="str">
        <f>HYPERLINK("https://www.spark-marketing.ru/Card/Person/32156", "ФГБУ ""ЯКУТСКОЕ УГМС""")</f>
        <v>ФГБУ "ЯКУТСКОЕ УГМС"</v>
      </c>
      <c r="B9549" s="24" t="s">
        <v>11918</v>
      </c>
      <c r="C9549" s="25">
        <v>288220.52</v>
      </c>
      <c r="D9549" s="22" t="s">
        <v>11919</v>
      </c>
      <c r="E9549" s="22" t="s">
        <v>396</v>
      </c>
      <c r="F9549" s="23" t="str">
        <f>HYPERLINK("https://www.spark-marketing.ru/Card/Lot/69881666", "Оказание услуг на проведение монтажных работ по установке и наладке системы наружного видеонаблюдения на ОГМС Якутск ФГБУ «Якутское УГМС».")</f>
        <v>Оказание услуг на проведение монтажных работ по установке и наладке системы наружного видеонаблюдения на ОГМС Якутск ФГБУ «Якутское УГМС».</v>
      </c>
      <c r="G9549" s="22" t="s">
        <v>424</v>
      </c>
      <c r="H9549" s="22" t="s">
        <v>424</v>
      </c>
      <c r="I9549" s="26">
        <v>43573.408969907403</v>
      </c>
      <c r="J9549" s="28" t="s">
        <v>52</v>
      </c>
      <c r="K9549" s="28" t="s">
        <v>52</v>
      </c>
      <c r="L9549" s="28" t="s">
        <v>52</v>
      </c>
      <c r="M9549" s="28" t="s">
        <v>52</v>
      </c>
      <c r="N9549" s="28" t="s">
        <v>52</v>
      </c>
    </row>
    <row r="9550" spans="1:14" x14ac:dyDescent="0.15">
      <c r="A9550" s="23" t="str">
        <f>HYPERLINK("https://www.spark-marketing.ru/Card/Person/4378709", "КРЫМФИННАДЗОР")</f>
        <v>КРЫМФИННАДЗОР</v>
      </c>
      <c r="B9550" s="24" t="s">
        <v>11920</v>
      </c>
      <c r="C9550" s="25">
        <v>29880</v>
      </c>
      <c r="D9550" s="22" t="s">
        <v>11921</v>
      </c>
      <c r="E9550" s="22" t="s">
        <v>103</v>
      </c>
      <c r="F9550" s="23" t="str">
        <f>HYPERLINK("https://www.spark-marketing.ru/Card/Lot/69885887", "Оказание услуг по техническому обслуживанию системы видеонаблюдения")</f>
        <v>Оказание услуг по техническому обслуживанию системы видеонаблюдения</v>
      </c>
      <c r="G9550" s="22" t="s">
        <v>1053</v>
      </c>
      <c r="H9550" s="22" t="s">
        <v>3239</v>
      </c>
      <c r="I9550" s="26">
        <v>43573.413194444402</v>
      </c>
      <c r="J9550" s="28" t="s">
        <v>52</v>
      </c>
      <c r="K9550" s="28" t="s">
        <v>52</v>
      </c>
      <c r="L9550" s="28" t="s">
        <v>52</v>
      </c>
      <c r="M9550" s="28" t="s">
        <v>52</v>
      </c>
      <c r="N9550" s="28" t="s">
        <v>52</v>
      </c>
    </row>
    <row r="9551" spans="1:14" x14ac:dyDescent="0.15">
      <c r="A9551" s="23" t="str">
        <f>HYPERLINK("https://www.spark-marketing.ru/Card/Person/3291377", "ООО «ПОЛИОМ»")</f>
        <v>ООО «ПОЛИОМ»</v>
      </c>
      <c r="B9551" s="28" t="s">
        <v>52</v>
      </c>
      <c r="C9551" s="28" t="s">
        <v>52</v>
      </c>
      <c r="D9551" s="22" t="s">
        <v>11922</v>
      </c>
      <c r="E9551" s="22" t="s">
        <v>53</v>
      </c>
      <c r="F9551" s="23" t="str">
        <f>HYPERLINK("https://www.spark-marketing.ru/Card/Lot/69882506", "Лот #1. Разработка рабочей и сметной документации, прохождение ЭПБ и регистрация положительного заключения ЭПБ в Ростехнадзоре в соответствии с ТЗ «Установка системы видеонаблюдения в ТП-41, РТП-63, РТП-45, ТП-65, ТП-55 ООО «Полиом»")</f>
        <v>Лот #1. Разработка рабочей и сметной документации, прохождение ЭПБ и регистрация положительного заключения ЭПБ в Ростехнадзоре в соответствии с ТЗ «Установка системы видеонаблюдения в ТП-41, РТП-63, РТП-45, ТП-65, ТП-55 ООО «Полиом»</v>
      </c>
      <c r="G9551" s="22" t="s">
        <v>52</v>
      </c>
      <c r="H9551" s="22" t="s">
        <v>52</v>
      </c>
      <c r="I9551" s="26">
        <v>43573.315277777801</v>
      </c>
      <c r="J9551" s="28" t="s">
        <v>52</v>
      </c>
      <c r="K9551" s="28" t="s">
        <v>52</v>
      </c>
      <c r="L9551" s="28" t="s">
        <v>52</v>
      </c>
      <c r="M9551" s="28" t="s">
        <v>52</v>
      </c>
      <c r="N9551" s="28" t="s">
        <v>52</v>
      </c>
    </row>
    <row r="9552" spans="1:14" x14ac:dyDescent="0.15">
      <c r="A9552" s="23" t="str">
        <f>HYPERLINK("https://www.spark-marketing.ru/Card/Person/1031964", "МБУ ""СШ"" Г. О. ПУЩИНО МО")</f>
        <v>МБУ "СШ" Г. О. ПУЩИНО МО</v>
      </c>
      <c r="B9552" s="24" t="s">
        <v>11923</v>
      </c>
      <c r="C9552" s="25">
        <v>51300</v>
      </c>
      <c r="D9552" s="22" t="s">
        <v>11924</v>
      </c>
      <c r="E9552" s="22" t="s">
        <v>103</v>
      </c>
      <c r="F9552" s="23" t="str">
        <f>HYPERLINK("https://www.spark-marketing.ru/Card/Lot/69880369", "Услуги по проведению технического обслуживания системы охранного видеонаблюдения территории и помещений и системы контроля доступа (СКД)")</f>
        <v>Услуги по проведению технического обслуживания системы охранного видеонаблюдения территории и помещений и системы контроля доступа (СКД)</v>
      </c>
      <c r="G9552" s="22" t="s">
        <v>50</v>
      </c>
      <c r="H9552" s="22" t="s">
        <v>1968</v>
      </c>
      <c r="I9552" s="26">
        <v>43572.950902777797</v>
      </c>
      <c r="J9552" s="28" t="s">
        <v>52</v>
      </c>
      <c r="K9552" s="28" t="s">
        <v>52</v>
      </c>
      <c r="L9552" s="28" t="s">
        <v>52</v>
      </c>
      <c r="M9552" s="28" t="s">
        <v>52</v>
      </c>
      <c r="N9552" s="28" t="s">
        <v>52</v>
      </c>
    </row>
    <row r="9553" spans="1:14" x14ac:dyDescent="0.15">
      <c r="A9553" s="23" t="str">
        <f>HYPERLINK("https://www.spark-marketing.ru/Card/Person/262042", "ОГБУЗ ""ССМП Г. СТАРОГО ОСКОЛА""")</f>
        <v>ОГБУЗ "ССМП Г. СТАРОГО ОСКОЛА"</v>
      </c>
      <c r="B9553" s="24" t="s">
        <v>11925</v>
      </c>
      <c r="C9553" s="25">
        <v>19619.52</v>
      </c>
      <c r="D9553" s="22" t="s">
        <v>11926</v>
      </c>
      <c r="E9553" s="22" t="s">
        <v>52</v>
      </c>
      <c r="F9553" s="23" t="str">
        <f>HYPERLINK("https://www.spark-marketing.ru/Card/Lot/69878908", "Оказание услуг по охране помещений, путем приема тревожных сообщений с пульта централизованной охраны и выезда группы задержания в 2019 году")</f>
        <v>Оказание услуг по охране помещений, путем приема тревожных сообщений с пульта централизованной охраны и выезда группы задержания в 2019 году</v>
      </c>
      <c r="G9553" s="22" t="s">
        <v>176</v>
      </c>
      <c r="H9553" s="22" t="s">
        <v>5140</v>
      </c>
      <c r="I9553" s="26">
        <v>43572.7277777778</v>
      </c>
      <c r="J9553" s="23" t="str">
        <f>HYPERLINK("https://www.spark-marketing.ru/Card/Person/1258476", "ООО ""ЧОП ""ОМЕГА""")</f>
        <v>ООО "ЧОП "ОМЕГА"</v>
      </c>
      <c r="K9553" s="24" t="s">
        <v>11927</v>
      </c>
      <c r="L9553" s="22" t="s">
        <v>10</v>
      </c>
      <c r="M9553" s="28" t="s">
        <v>52</v>
      </c>
      <c r="N9553" s="28" t="s">
        <v>52</v>
      </c>
    </row>
    <row r="9554" spans="1:14" ht="12.75" x14ac:dyDescent="0.2">
      <c r="A9554" s="23" t="str">
        <f>HYPERLINK("https://www.spark-marketing.ru/Card/Person/4348623", "ПАО ""МРСК ЦЕНТРА И ПРИВОЛЖЬЯ""")</f>
        <v>ПАО "МРСК ЦЕНТРА И ПРИВОЛЖЬЯ"</v>
      </c>
      <c r="B9554" s="24" t="s">
        <v>11928</v>
      </c>
      <c r="C9554" s="25">
        <v>907480</v>
      </c>
      <c r="D9554" s="22" t="s">
        <v>11929</v>
      </c>
      <c r="E9554" s="22" t="s">
        <v>370</v>
      </c>
      <c r="F9554" s="23" t="str">
        <f>HYPERLINK("https://www.spark-marketing.ru/Card/Lot/69877364", "Техническое обслуживание комплексов технических средств охраны на объектах ПАО «МРСК Центра и Приволжья» филиала «Нижновэнерго»")</f>
        <v>Техническое обслуживание комплексов технических средств охраны на объектах ПАО «МРСК Центра и Приволжья» филиала «Нижновэнерго»</v>
      </c>
      <c r="G9554" s="22" t="s">
        <v>64</v>
      </c>
      <c r="H9554" s="22" t="s">
        <v>64</v>
      </c>
      <c r="I9554" s="26">
        <v>43572.722384259301</v>
      </c>
      <c r="J9554" s="23" t="str">
        <f>HYPERLINK("https://www.spark-marketing.ru/Card/Person/921233", "ООО ""СУ - 165""")</f>
        <v>ООО "СУ - 165"</v>
      </c>
      <c r="K9554" s="24" t="s">
        <v>11930</v>
      </c>
      <c r="L9554" s="22" t="s">
        <v>10</v>
      </c>
      <c r="M9554" s="25">
        <v>907468.88</v>
      </c>
      <c r="N9554" s="27">
        <v>1.2253713580464584E-5</v>
      </c>
    </row>
    <row r="9555" spans="1:14" x14ac:dyDescent="0.15">
      <c r="A9555" s="23" t="str">
        <f>HYPERLINK("https://www.spark-marketing.ru/Card/Person/1042679", "ОТДМВД РОССИИ ПО ЛОПАТИНСКОМУ РАЙОНУ")</f>
        <v>ОТДМВД РОССИИ ПО ЛОПАТИНСКОМУ РАЙОНУ</v>
      </c>
      <c r="B9555" s="24" t="s">
        <v>10754</v>
      </c>
      <c r="C9555" s="25">
        <v>20000</v>
      </c>
      <c r="D9555" s="22" t="s">
        <v>11931</v>
      </c>
      <c r="E9555" s="22" t="s">
        <v>84</v>
      </c>
      <c r="F9555" s="23" t="str">
        <f>HYPERLINK("https://www.spark-marketing.ru/Card/Lot/70155881", "Монтаж, установка, сборка видеонаблюдения, 1 шт")</f>
        <v>Монтаж, установка, сборка видеонаблюдения, 1 шт</v>
      </c>
      <c r="G9555" s="22" t="s">
        <v>514</v>
      </c>
      <c r="H9555" s="22" t="s">
        <v>10756</v>
      </c>
      <c r="I9555" s="26">
        <v>43572.711886574099</v>
      </c>
      <c r="J9555" s="28" t="s">
        <v>52</v>
      </c>
      <c r="K9555" s="28" t="s">
        <v>52</v>
      </c>
      <c r="L9555" s="28" t="s">
        <v>52</v>
      </c>
      <c r="M9555" s="28" t="s">
        <v>52</v>
      </c>
      <c r="N9555" s="28" t="s">
        <v>52</v>
      </c>
    </row>
    <row r="9556" spans="1:14" x14ac:dyDescent="0.15">
      <c r="A9556" s="23" t="str">
        <f>HYPERLINK("https://www.spark-marketing.ru/Card/Person/26610", "ФКУ ИК-25 ГУФСИН РОССИИ ПО ИРКУТСКОЙ ОБЛАСТИ")</f>
        <v>ФКУ ИК-25 ГУФСИН РОССИИ ПО ИРКУТСКОЙ ОБЛАСТИ</v>
      </c>
      <c r="B9556" s="24" t="s">
        <v>11932</v>
      </c>
      <c r="C9556" s="25">
        <v>10275</v>
      </c>
      <c r="D9556" s="22" t="s">
        <v>11933</v>
      </c>
      <c r="E9556" s="22" t="s">
        <v>208</v>
      </c>
      <c r="F9556" s="23" t="str">
        <f>HYPERLINK("https://www.spark-marketing.ru/Card/Lot/69865751", "Поставка материалов (прочая закупка товаров, работ и услуг)")</f>
        <v>Поставка материалов (прочая закупка товаров, работ и услуг)</v>
      </c>
      <c r="G9556" s="22" t="s">
        <v>281</v>
      </c>
      <c r="H9556" s="22" t="s">
        <v>11934</v>
      </c>
      <c r="I9556" s="26">
        <v>43572.702777777798</v>
      </c>
      <c r="J9556" s="23" t="str">
        <f>HYPERLINK("https://www.spark-marketing.ru/Card/Person/294049", "ООО ""ИНЖЕНЕРНЫЕ СИСТЕМЫ""")</f>
        <v>ООО "ИНЖЕНЕРНЫЕ СИСТЕМЫ"</v>
      </c>
      <c r="K9556" s="24" t="s">
        <v>11935</v>
      </c>
      <c r="L9556" s="22" t="s">
        <v>10</v>
      </c>
      <c r="M9556" s="28" t="s">
        <v>52</v>
      </c>
      <c r="N9556" s="28" t="s">
        <v>52</v>
      </c>
    </row>
    <row r="9557" spans="1:14" ht="12.75" x14ac:dyDescent="0.2">
      <c r="A9557" s="23" t="str">
        <f>HYPERLINK("https://www.spark-marketing.ru/Card/Person/64061", "ФБУЗ ""ЦЕНТР ГИГИЕНЫ И ЭПИДЕМИОЛОГИИ В ОМСКОЙ ОБЛАСТИ""")</f>
        <v>ФБУЗ "ЦЕНТР ГИГИЕНЫ И ЭПИДЕМИОЛОГИИ В ОМСКОЙ ОБЛАСТИ"</v>
      </c>
      <c r="B9557" s="24" t="s">
        <v>11936</v>
      </c>
      <c r="C9557" s="25">
        <v>12576</v>
      </c>
      <c r="D9557" s="22" t="s">
        <v>11937</v>
      </c>
      <c r="E9557" s="22" t="s">
        <v>144</v>
      </c>
      <c r="F9557" s="23" t="str">
        <f>HYPERLINK("https://www.spark-marketing.ru/Card/Lot/69862760", "Оказание услуг по охране объекта, оборудованного охранной сигнализацией (кнопкой тревожной сигнализации), выведенной на пульт централизованной охраны путем реагирования экипажами группы быстрого реагирования на сигнал «тревога», включая эксплуатацион...")</f>
        <v>Оказание услуг по охране объекта, оборудованного охранной сигнализацией (кнопкой тревожной сигнализации), выведенной на пульт централизованной охраны путем реагирования экипажами группы быстрого реагирования на сигнал «тревога», включая эксплуатацион...</v>
      </c>
      <c r="G9557" s="22" t="s">
        <v>521</v>
      </c>
      <c r="H9557" s="22" t="s">
        <v>521</v>
      </c>
      <c r="I9557" s="26">
        <v>43572.668530092596</v>
      </c>
      <c r="J9557" s="23" t="str">
        <f>HYPERLINK("https://www.spark-marketing.ru/Card/Person/361604", "ФГКУ ""УВО ВНГ РОССИИ ПО ОМСКОЙ ОБЛАСТИ""")</f>
        <v>ФГКУ "УВО ВНГ РОССИИ ПО ОМСКОЙ ОБЛАСТИ"</v>
      </c>
      <c r="K9557" s="24" t="s">
        <v>3105</v>
      </c>
      <c r="L9557" s="22" t="s">
        <v>10</v>
      </c>
      <c r="M9557" s="25">
        <v>12558.08</v>
      </c>
      <c r="N9557" s="27">
        <v>1.4249363867684479E-3</v>
      </c>
    </row>
    <row r="9558" spans="1:14" x14ac:dyDescent="0.15">
      <c r="A9558" s="23" t="str">
        <f>HYPERLINK("https://www.spark-marketing.ru/Card/Person/1343922", "ФЛ ""КАЭР"" АО ""Атомэнергоремонт""")</f>
        <v>ФЛ "КАЭР" АО "Атомэнергоремонт"</v>
      </c>
      <c r="B9558" s="24" t="s">
        <v>10791</v>
      </c>
      <c r="C9558" s="25">
        <v>2917560.96</v>
      </c>
      <c r="D9558" s="22" t="s">
        <v>11938</v>
      </c>
      <c r="E9558" s="22" t="s">
        <v>53</v>
      </c>
      <c r="F9558" s="23" t="str">
        <f>HYPERLINK("https://www.spark-marketing.ru/Card/Lot/69878965", "Право заключения договора на оказание услуг по физической охране объектов")</f>
        <v>Право заключения договора на оказание услуг по физической охране объектов</v>
      </c>
      <c r="G9558" s="22" t="s">
        <v>55</v>
      </c>
      <c r="H9558" s="22" t="s">
        <v>55</v>
      </c>
      <c r="I9558" s="26">
        <v>43572.677199074104</v>
      </c>
      <c r="J9558" s="28" t="s">
        <v>52</v>
      </c>
      <c r="K9558" s="28" t="s">
        <v>52</v>
      </c>
      <c r="L9558" s="28" t="s">
        <v>52</v>
      </c>
      <c r="M9558" s="28" t="s">
        <v>52</v>
      </c>
      <c r="N9558" s="28" t="s">
        <v>52</v>
      </c>
    </row>
    <row r="9559" spans="1:14" x14ac:dyDescent="0.15">
      <c r="A9559" s="23" t="str">
        <f>HYPERLINK("https://www.spark-marketing.ru/Card/Person/7271", "ФГБОУ ВО БГМУ МИНЗДРАВА РОССИИ")</f>
        <v>ФГБОУ ВО БГМУ МИНЗДРАВА РОССИИ</v>
      </c>
      <c r="B9559" s="24" t="s">
        <v>11629</v>
      </c>
      <c r="C9559" s="25">
        <v>2180400</v>
      </c>
      <c r="D9559" s="22" t="s">
        <v>11939</v>
      </c>
      <c r="E9559" s="22" t="s">
        <v>194</v>
      </c>
      <c r="F9559" s="23" t="str">
        <f>HYPERLINK("https://www.spark-marketing.ru/Card/Lot/69870522", "Поставка, установка и ввод в эксплуатацию системы озвучания для нужд ФГБОУ ВО БГМУ Минздрава России")</f>
        <v>Поставка, установка и ввод в эксплуатацию системы озвучания для нужд ФГБОУ ВО БГМУ Минздрава России</v>
      </c>
      <c r="G9559" s="22" t="s">
        <v>100</v>
      </c>
      <c r="H9559" s="22" t="s">
        <v>373</v>
      </c>
      <c r="I9559" s="26">
        <v>43572.684027777803</v>
      </c>
      <c r="J9559" s="23" t="str">
        <f>HYPERLINK("https://www.spark-marketing.ru/Card/Person/4685074", "Темнов Роман Андреевич")</f>
        <v>Темнов Роман Андреевич</v>
      </c>
      <c r="K9559" s="24" t="s">
        <v>11940</v>
      </c>
      <c r="L9559" s="22" t="s">
        <v>10</v>
      </c>
      <c r="M9559" s="28" t="s">
        <v>52</v>
      </c>
      <c r="N9559" s="28" t="s">
        <v>52</v>
      </c>
    </row>
    <row r="9560" spans="1:14" x14ac:dyDescent="0.15">
      <c r="A9560" s="23" t="str">
        <f>HYPERLINK("https://www.spark-marketing.ru/Card/Person/60419", "МБОУ СОШ №1")</f>
        <v>МБОУ СОШ №1</v>
      </c>
      <c r="B9560" s="24" t="s">
        <v>11941</v>
      </c>
      <c r="C9560" s="25">
        <v>173000</v>
      </c>
      <c r="D9560" s="22" t="s">
        <v>11942</v>
      </c>
      <c r="E9560" s="22" t="s">
        <v>11943</v>
      </c>
      <c r="F9560" s="23" t="str">
        <f>HYPERLINK("https://www.spark-marketing.ru/Card/Lot/69873908", "Поставка и установка стационарного арочного металлодетектора")</f>
        <v>Поставка и установка стационарного арочного металлодетектора</v>
      </c>
      <c r="G9560" s="22" t="s">
        <v>50</v>
      </c>
      <c r="H9560" s="22" t="s">
        <v>679</v>
      </c>
      <c r="I9560" s="26">
        <v>43572.670451388898</v>
      </c>
      <c r="J9560" s="28" t="s">
        <v>52</v>
      </c>
      <c r="K9560" s="28" t="s">
        <v>52</v>
      </c>
      <c r="L9560" s="28" t="s">
        <v>52</v>
      </c>
      <c r="M9560" s="28" t="s">
        <v>52</v>
      </c>
      <c r="N9560" s="28" t="s">
        <v>52</v>
      </c>
    </row>
    <row r="9561" spans="1:14" x14ac:dyDescent="0.15">
      <c r="A9561" s="23" t="str">
        <f>HYPERLINK("https://www.spark-marketing.ru/Card/Person/971733", "КГАУК ""ЦКС""")</f>
        <v>КГАУК "ЦКС"</v>
      </c>
      <c r="B9561" s="24" t="s">
        <v>8820</v>
      </c>
      <c r="C9561" s="25">
        <v>543000</v>
      </c>
      <c r="D9561" s="22" t="s">
        <v>11944</v>
      </c>
      <c r="E9561" s="22" t="s">
        <v>5214</v>
      </c>
      <c r="F9561" s="23" t="str">
        <f>HYPERLINK("https://www.spark-marketing.ru/Card/Lot/69864590", "Услуги по предоставлению, монтажу, обслуживанию и демонтажу видеопроекционного оборудования для проведения на площади Мира г. Красноярска Большого праздничного концерта, посвященного годовщине Победы советского народа в Великой Отечественной войне")</f>
        <v>Услуги по предоставлению, монтажу, обслуживанию и демонтажу видеопроекционного оборудования для проведения на площади Мира г. Красноярска Большого праздничного концерта, посвященного годовщине Победы советского народа в Великой Отечественной войне</v>
      </c>
      <c r="G9561" s="22" t="s">
        <v>640</v>
      </c>
      <c r="H9561" s="22" t="s">
        <v>640</v>
      </c>
      <c r="I9561" s="26">
        <v>43572.681793981501</v>
      </c>
      <c r="J9561" s="28" t="s">
        <v>52</v>
      </c>
      <c r="K9561" s="28" t="s">
        <v>52</v>
      </c>
      <c r="L9561" s="28" t="s">
        <v>52</v>
      </c>
      <c r="M9561" s="28" t="s">
        <v>52</v>
      </c>
      <c r="N9561" s="28" t="s">
        <v>52</v>
      </c>
    </row>
    <row r="9562" spans="1:14" x14ac:dyDescent="0.15">
      <c r="A9562" s="23" t="str">
        <f t="shared" ref="A9562:A9568" si="429">HYPERLINK("https://www.spark-marketing.ru/Card/Person/1024833", """КУМИ АМР""")</f>
        <v>"КУМИ АМР"</v>
      </c>
      <c r="B9562" s="24" t="s">
        <v>5326</v>
      </c>
      <c r="C9562" s="25">
        <v>2033333.34</v>
      </c>
      <c r="D9562" s="22" t="s">
        <v>11945</v>
      </c>
      <c r="E9562" s="22" t="s">
        <v>1297</v>
      </c>
      <c r="F9562" s="23" t="str">
        <f t="shared" ref="F9562:F9568" si="430">HYPERLINK("https://www.spark-marketing.ru/Card/Lot/69868548", "Покупка видеоэкрана для установки в г. Аша, площадь имени Ленина")</f>
        <v>Покупка видеоэкрана для установки в г. Аша, площадь имени Ленина</v>
      </c>
      <c r="G9562" s="22" t="s">
        <v>60</v>
      </c>
      <c r="H9562" s="22" t="s">
        <v>60</v>
      </c>
      <c r="I9562" s="26">
        <v>43572.638888888898</v>
      </c>
      <c r="J9562" s="28" t="s">
        <v>52</v>
      </c>
      <c r="K9562" s="28" t="s">
        <v>52</v>
      </c>
      <c r="L9562" s="28" t="s">
        <v>52</v>
      </c>
      <c r="M9562" s="28" t="s">
        <v>52</v>
      </c>
      <c r="N9562" s="28" t="s">
        <v>52</v>
      </c>
    </row>
    <row r="9563" spans="1:14" hidden="1" outlineLevel="1" x14ac:dyDescent="0.2">
      <c r="A9563" s="23" t="str">
        <f t="shared" si="429"/>
        <v>"КУМИ АМР"</v>
      </c>
      <c r="B9563" s="24" t="s">
        <v>5326</v>
      </c>
      <c r="C9563" s="25">
        <v>2033333.34</v>
      </c>
      <c r="D9563" s="22" t="s">
        <v>11945</v>
      </c>
      <c r="E9563" s="22" t="s">
        <v>1297</v>
      </c>
      <c r="F9563" s="23" t="str">
        <f t="shared" si="430"/>
        <v>Покупка видеоэкрана для установки в г. Аша, площадь имени Ленина</v>
      </c>
      <c r="G9563" s="22" t="s">
        <v>60</v>
      </c>
      <c r="H9563" s="22" t="s">
        <v>60</v>
      </c>
      <c r="I9563" s="26">
        <v>43572.638888888898</v>
      </c>
      <c r="J9563" s="23" t="str">
        <f>HYPERLINK("https://www.spark-marketing.ru/Card/Person/4947072", "ООО ""ЭВРИКА""")</f>
        <v>ООО "ЭВРИКА"</v>
      </c>
      <c r="K9563" s="24" t="s">
        <v>11704</v>
      </c>
      <c r="L9563" s="28" t="s">
        <v>52</v>
      </c>
      <c r="M9563" s="25">
        <v>1120000</v>
      </c>
      <c r="N9563" s="27">
        <v>0.44918032967481858</v>
      </c>
    </row>
    <row r="9564" spans="1:14" hidden="1" outlineLevel="1" x14ac:dyDescent="0.2">
      <c r="A9564" s="23" t="str">
        <f t="shared" si="429"/>
        <v>"КУМИ АМР"</v>
      </c>
      <c r="B9564" s="24" t="s">
        <v>5326</v>
      </c>
      <c r="C9564" s="25">
        <v>2033333.34</v>
      </c>
      <c r="D9564" s="22" t="s">
        <v>11945</v>
      </c>
      <c r="E9564" s="22" t="s">
        <v>1297</v>
      </c>
      <c r="F9564" s="23" t="str">
        <f t="shared" si="430"/>
        <v>Покупка видеоэкрана для установки в г. Аша, площадь имени Ленина</v>
      </c>
      <c r="G9564" s="22" t="s">
        <v>60</v>
      </c>
      <c r="H9564" s="22" t="s">
        <v>60</v>
      </c>
      <c r="I9564" s="26">
        <v>43572.638888888898</v>
      </c>
      <c r="J9564" s="23" t="str">
        <f>HYPERLINK("https://www.spark-marketing.ru/Card/Person/5861447", "ООО ""ЛТЛАЙТ""")</f>
        <v>ООО "ЛТЛАЙТ"</v>
      </c>
      <c r="K9564" s="24" t="s">
        <v>9891</v>
      </c>
      <c r="L9564" s="28" t="s">
        <v>52</v>
      </c>
      <c r="M9564" s="25">
        <v>1550000</v>
      </c>
      <c r="N9564" s="27">
        <v>0.237704920532115</v>
      </c>
    </row>
    <row r="9565" spans="1:14" ht="12.75" hidden="1" outlineLevel="1" x14ac:dyDescent="0.2">
      <c r="A9565" s="23" t="str">
        <f t="shared" si="429"/>
        <v>"КУМИ АМР"</v>
      </c>
      <c r="B9565" s="24" t="s">
        <v>5326</v>
      </c>
      <c r="C9565" s="25">
        <v>2033333.34</v>
      </c>
      <c r="D9565" s="22" t="s">
        <v>11945</v>
      </c>
      <c r="E9565" s="22" t="s">
        <v>1297</v>
      </c>
      <c r="F9565" s="23" t="str">
        <f t="shared" si="430"/>
        <v>Покупка видеоэкрана для установки в г. Аша, площадь имени Ленина</v>
      </c>
      <c r="G9565" s="22" t="s">
        <v>60</v>
      </c>
      <c r="H9565" s="22" t="s">
        <v>60</v>
      </c>
      <c r="I9565" s="26">
        <v>43572.638888888898</v>
      </c>
      <c r="J9565" s="23" t="str">
        <f>HYPERLINK("https://www.spark-marketing.ru/Card/Person/6270752", "ООО ""ЭВЕРЕСТ""")</f>
        <v>ООО "ЭВЕРЕСТ"</v>
      </c>
      <c r="K9565" s="24" t="s">
        <v>11703</v>
      </c>
      <c r="L9565" s="22" t="s">
        <v>10</v>
      </c>
      <c r="M9565" s="25">
        <v>1109833</v>
      </c>
      <c r="N9565" s="27">
        <v>0.45418049359285084</v>
      </c>
    </row>
    <row r="9566" spans="1:14" hidden="1" outlineLevel="1" x14ac:dyDescent="0.2">
      <c r="A9566" s="23" t="str">
        <f t="shared" si="429"/>
        <v>"КУМИ АМР"</v>
      </c>
      <c r="B9566" s="24" t="s">
        <v>5326</v>
      </c>
      <c r="C9566" s="25">
        <v>2033333.34</v>
      </c>
      <c r="D9566" s="22" t="s">
        <v>11945</v>
      </c>
      <c r="E9566" s="22" t="s">
        <v>1297</v>
      </c>
      <c r="F9566" s="23" t="str">
        <f t="shared" si="430"/>
        <v>Покупка видеоэкрана для установки в г. Аша, площадь имени Ленина</v>
      </c>
      <c r="G9566" s="22" t="s">
        <v>60</v>
      </c>
      <c r="H9566" s="22" t="s">
        <v>60</v>
      </c>
      <c r="I9566" s="26">
        <v>43572.638888888898</v>
      </c>
      <c r="J9566" s="23" t="str">
        <f>HYPERLINK("https://www.spark-marketing.ru/Card/Person/1913436", "ООО ""ЗСП""")</f>
        <v>ООО "ЗСП"</v>
      </c>
      <c r="K9566" s="24" t="s">
        <v>11946</v>
      </c>
      <c r="L9566" s="28" t="s">
        <v>52</v>
      </c>
      <c r="M9566" s="25">
        <v>2033333.34</v>
      </c>
      <c r="N9566" s="27">
        <v>0</v>
      </c>
    </row>
    <row r="9567" spans="1:14" hidden="1" outlineLevel="1" x14ac:dyDescent="0.2">
      <c r="A9567" s="23" t="str">
        <f t="shared" si="429"/>
        <v>"КУМИ АМР"</v>
      </c>
      <c r="B9567" s="24" t="s">
        <v>5326</v>
      </c>
      <c r="C9567" s="25">
        <v>2033333.34</v>
      </c>
      <c r="D9567" s="22" t="s">
        <v>11945</v>
      </c>
      <c r="E9567" s="22" t="s">
        <v>1297</v>
      </c>
      <c r="F9567" s="23" t="str">
        <f t="shared" si="430"/>
        <v>Покупка видеоэкрана для установки в г. Аша, площадь имени Ленина</v>
      </c>
      <c r="G9567" s="22" t="s">
        <v>60</v>
      </c>
      <c r="H9567" s="22" t="s">
        <v>60</v>
      </c>
      <c r="I9567" s="26">
        <v>43572.638888888898</v>
      </c>
      <c r="J9567" s="23" t="str">
        <f>HYPERLINK("https://www.spark-marketing.ru/Card/Person/5963926", "ООО ""ГЕФЕСТ КАПИТАЛ""")</f>
        <v>ООО "ГЕФЕСТ КАПИТАЛ"</v>
      </c>
      <c r="K9567" s="24" t="s">
        <v>11108</v>
      </c>
      <c r="L9567" s="28" t="s">
        <v>52</v>
      </c>
      <c r="M9567" s="25">
        <v>1738833.33</v>
      </c>
      <c r="N9567" s="27">
        <v>0.14483607001693091</v>
      </c>
    </row>
    <row r="9568" spans="1:14" hidden="1" outlineLevel="1" x14ac:dyDescent="0.2">
      <c r="A9568" s="23" t="str">
        <f t="shared" si="429"/>
        <v>"КУМИ АМР"</v>
      </c>
      <c r="B9568" s="24" t="s">
        <v>5326</v>
      </c>
      <c r="C9568" s="25">
        <v>2033333.34</v>
      </c>
      <c r="D9568" s="22" t="s">
        <v>11945</v>
      </c>
      <c r="E9568" s="22" t="s">
        <v>1297</v>
      </c>
      <c r="F9568" s="23" t="str">
        <f t="shared" si="430"/>
        <v>Покупка видеоэкрана для установки в г. Аша, площадь имени Ленина</v>
      </c>
      <c r="G9568" s="22" t="s">
        <v>60</v>
      </c>
      <c r="H9568" s="22" t="s">
        <v>60</v>
      </c>
      <c r="I9568" s="26">
        <v>43572.638888888898</v>
      </c>
      <c r="J9568" s="23" t="str">
        <f>HYPERLINK("https://www.spark-marketing.ru/Card/Person/6481970", "ООО ""БАЙКАЛ""")</f>
        <v>ООО "БАЙКАЛ"</v>
      </c>
      <c r="K9568" s="24" t="s">
        <v>11947</v>
      </c>
      <c r="L9568" s="28" t="s">
        <v>52</v>
      </c>
      <c r="M9568" s="25">
        <v>2032999</v>
      </c>
      <c r="N9568" s="27">
        <v>1.6442950765760818E-4</v>
      </c>
    </row>
    <row r="9569" spans="1:14" x14ac:dyDescent="0.15">
      <c r="A9569" s="23" t="str">
        <f t="shared" ref="A9569:A9576" si="431">HYPERLINK("https://www.spark-marketing.ru/Card/Person/7279", "СПБ ГБСУСО ""ПСИХОНЕВРОЛОГИЧЕСКИЙ ИНТЕРНАТ №2""")</f>
        <v>СПБ ГБСУСО "ПСИХОНЕВРОЛОГИЧЕСКИЙ ИНТЕРНАТ №2"</v>
      </c>
      <c r="B9569" s="24" t="s">
        <v>11948</v>
      </c>
      <c r="C9569" s="25">
        <v>150000</v>
      </c>
      <c r="D9569" s="22" t="s">
        <v>11949</v>
      </c>
      <c r="E9569" s="22" t="s">
        <v>218</v>
      </c>
      <c r="F9569" s="23" t="str">
        <f t="shared" ref="F9569:F9576" si="432">HYPERLINK("https://www.spark-marketing.ru/Card/Lot/69869919", "Оказание услуг по осуществлению строительного контроля за выполнением работ по устройству системы видеонаблюдения (в зданиях, на территории и периметр) Санкт-Петербургского государственного бюджетного стационарного учреждения социального обслуживания...")</f>
        <v>Оказание услуг по осуществлению строительного контроля за выполнением работ по устройству системы видеонаблюдения (в зданиях, на территории и периметр) Санкт-Петербургского государственного бюджетного стационарного учреждения социального обслуживания...</v>
      </c>
      <c r="G9569" s="22" t="s">
        <v>89</v>
      </c>
      <c r="H9569" s="22" t="s">
        <v>89</v>
      </c>
      <c r="I9569" s="26">
        <v>43572.598611111098</v>
      </c>
      <c r="J9569" s="28" t="s">
        <v>52</v>
      </c>
      <c r="K9569" s="28" t="s">
        <v>52</v>
      </c>
      <c r="L9569" s="28" t="s">
        <v>52</v>
      </c>
      <c r="M9569" s="28" t="s">
        <v>52</v>
      </c>
      <c r="N9569" s="28" t="s">
        <v>52</v>
      </c>
    </row>
    <row r="9570" spans="1:14" hidden="1" outlineLevel="1" x14ac:dyDescent="0.2">
      <c r="A9570" s="23" t="str">
        <f t="shared" si="431"/>
        <v>СПБ ГБСУСО "ПСИХОНЕВРОЛОГИЧЕСКИЙ ИНТЕРНАТ №2"</v>
      </c>
      <c r="B9570" s="24" t="s">
        <v>11948</v>
      </c>
      <c r="C9570" s="25">
        <v>150000</v>
      </c>
      <c r="D9570" s="22" t="s">
        <v>11949</v>
      </c>
      <c r="E9570" s="22" t="s">
        <v>218</v>
      </c>
      <c r="F9570" s="23" t="str">
        <f t="shared" si="432"/>
        <v>Оказание услуг по осуществлению строительного контроля за выполнением работ по устройству системы видеонаблюдения (в зданиях, на территории и периметр) Санкт-Петербургского государственного бюджетного стационарного учреждения социального обслуживания...</v>
      </c>
      <c r="G9570" s="22" t="s">
        <v>89</v>
      </c>
      <c r="H9570" s="22" t="s">
        <v>89</v>
      </c>
      <c r="I9570" s="26">
        <v>43572.598611111098</v>
      </c>
      <c r="J9570" s="23" t="str">
        <f>HYPERLINK("https://www.spark-marketing.ru/Card/Person/6493629", "ООО ""СК ""ШПРЕНГЕЛЬ""")</f>
        <v>ООО "СК "ШПРЕНГЕЛЬ"</v>
      </c>
      <c r="K9570" s="24" t="s">
        <v>11950</v>
      </c>
      <c r="L9570" s="28" t="s">
        <v>52</v>
      </c>
      <c r="M9570" s="25">
        <v>120000</v>
      </c>
      <c r="N9570" s="27">
        <v>0.2</v>
      </c>
    </row>
    <row r="9571" spans="1:14" hidden="1" outlineLevel="1" x14ac:dyDescent="0.2">
      <c r="A9571" s="23" t="str">
        <f t="shared" si="431"/>
        <v>СПБ ГБСУСО "ПСИХОНЕВРОЛОГИЧЕСКИЙ ИНТЕРНАТ №2"</v>
      </c>
      <c r="B9571" s="24" t="s">
        <v>11948</v>
      </c>
      <c r="C9571" s="25">
        <v>150000</v>
      </c>
      <c r="D9571" s="22" t="s">
        <v>11949</v>
      </c>
      <c r="E9571" s="22" t="s">
        <v>218</v>
      </c>
      <c r="F9571" s="23" t="str">
        <f t="shared" si="432"/>
        <v>Оказание услуг по осуществлению строительного контроля за выполнением работ по устройству системы видеонаблюдения (в зданиях, на территории и периметр) Санкт-Петербургского государственного бюджетного стационарного учреждения социального обслуживания...</v>
      </c>
      <c r="G9571" s="22" t="s">
        <v>89</v>
      </c>
      <c r="H9571" s="22" t="s">
        <v>89</v>
      </c>
      <c r="I9571" s="26">
        <v>43572.598611111098</v>
      </c>
      <c r="J9571" s="23" t="str">
        <f>HYPERLINK("https://www.spark-marketing.ru/Card/Person/91450", "ООО ""СИМУЛСТРОЙ""")</f>
        <v>ООО "СИМУЛСТРОЙ"</v>
      </c>
      <c r="K9571" s="24" t="s">
        <v>11951</v>
      </c>
      <c r="L9571" s="28" t="s">
        <v>52</v>
      </c>
      <c r="M9571" s="25">
        <v>31833</v>
      </c>
      <c r="N9571" s="27">
        <v>0.78778000000000004</v>
      </c>
    </row>
    <row r="9572" spans="1:14" hidden="1" outlineLevel="1" x14ac:dyDescent="0.2">
      <c r="A9572" s="23" t="str">
        <f t="shared" si="431"/>
        <v>СПБ ГБСУСО "ПСИХОНЕВРОЛОГИЧЕСКИЙ ИНТЕРНАТ №2"</v>
      </c>
      <c r="B9572" s="24" t="s">
        <v>11948</v>
      </c>
      <c r="C9572" s="25">
        <v>150000</v>
      </c>
      <c r="D9572" s="22" t="s">
        <v>11949</v>
      </c>
      <c r="E9572" s="22" t="s">
        <v>218</v>
      </c>
      <c r="F9572" s="23" t="str">
        <f t="shared" si="432"/>
        <v>Оказание услуг по осуществлению строительного контроля за выполнением работ по устройству системы видеонаблюдения (в зданиях, на территории и периметр) Санкт-Петербургского государственного бюджетного стационарного учреждения социального обслуживания...</v>
      </c>
      <c r="G9572" s="22" t="s">
        <v>89</v>
      </c>
      <c r="H9572" s="22" t="s">
        <v>89</v>
      </c>
      <c r="I9572" s="26">
        <v>43572.598611111098</v>
      </c>
      <c r="J9572" s="23" t="str">
        <f>HYPERLINK("https://www.spark-marketing.ru/Card/Person/456415", "ООО ""СТРОИТЕЛЬ-2014""")</f>
        <v>ООО "СТРОИТЕЛЬ-2014"</v>
      </c>
      <c r="K9572" s="24" t="s">
        <v>11952</v>
      </c>
      <c r="L9572" s="28" t="s">
        <v>52</v>
      </c>
      <c r="M9572" s="25">
        <v>102750</v>
      </c>
      <c r="N9572" s="27">
        <v>0.315</v>
      </c>
    </row>
    <row r="9573" spans="1:14" hidden="1" outlineLevel="1" x14ac:dyDescent="0.2">
      <c r="A9573" s="23" t="str">
        <f t="shared" si="431"/>
        <v>СПБ ГБСУСО "ПСИХОНЕВРОЛОГИЧЕСКИЙ ИНТЕРНАТ №2"</v>
      </c>
      <c r="B9573" s="24" t="s">
        <v>11948</v>
      </c>
      <c r="C9573" s="25">
        <v>150000</v>
      </c>
      <c r="D9573" s="22" t="s">
        <v>11949</v>
      </c>
      <c r="E9573" s="22" t="s">
        <v>218</v>
      </c>
      <c r="F9573" s="23" t="str">
        <f t="shared" si="432"/>
        <v>Оказание услуг по осуществлению строительного контроля за выполнением работ по устройству системы видеонаблюдения (в зданиях, на территории и периметр) Санкт-Петербургского государственного бюджетного стационарного учреждения социального обслуживания...</v>
      </c>
      <c r="G9573" s="22" t="s">
        <v>89</v>
      </c>
      <c r="H9573" s="22" t="s">
        <v>89</v>
      </c>
      <c r="I9573" s="26">
        <v>43572.598611111098</v>
      </c>
      <c r="J9573" s="23" t="str">
        <f>HYPERLINK("https://www.spark-marketing.ru/Card/Person/6257516", "ООО ""СТРОЙКОНТРОЛЬ""")</f>
        <v>ООО "СТРОЙКОНТРОЛЬ"</v>
      </c>
      <c r="K9573" s="24" t="s">
        <v>11953</v>
      </c>
      <c r="L9573" s="28" t="s">
        <v>52</v>
      </c>
      <c r="M9573" s="25">
        <v>15000</v>
      </c>
      <c r="N9573" s="27">
        <v>0.9</v>
      </c>
    </row>
    <row r="9574" spans="1:14" hidden="1" outlineLevel="1" x14ac:dyDescent="0.2">
      <c r="A9574" s="23" t="str">
        <f t="shared" si="431"/>
        <v>СПБ ГБСУСО "ПСИХОНЕВРОЛОГИЧЕСКИЙ ИНТЕРНАТ №2"</v>
      </c>
      <c r="B9574" s="24" t="s">
        <v>11948</v>
      </c>
      <c r="C9574" s="25">
        <v>150000</v>
      </c>
      <c r="D9574" s="22" t="s">
        <v>11949</v>
      </c>
      <c r="E9574" s="22" t="s">
        <v>218</v>
      </c>
      <c r="F9574" s="23" t="str">
        <f t="shared" si="432"/>
        <v>Оказание услуг по осуществлению строительного контроля за выполнением работ по устройству системы видеонаблюдения (в зданиях, на территории и периметр) Санкт-Петербургского государственного бюджетного стационарного учреждения социального обслуживания...</v>
      </c>
      <c r="G9574" s="22" t="s">
        <v>89</v>
      </c>
      <c r="H9574" s="22" t="s">
        <v>89</v>
      </c>
      <c r="I9574" s="26">
        <v>43572.598611111098</v>
      </c>
      <c r="J9574" s="23" t="str">
        <f>HYPERLINK("https://www.spark-marketing.ru/Card/Person/6452120", "ООО ""СЗСП""")</f>
        <v>ООО "СЗСП"</v>
      </c>
      <c r="K9574" s="24" t="s">
        <v>11954</v>
      </c>
      <c r="L9574" s="28" t="s">
        <v>52</v>
      </c>
      <c r="M9574" s="25">
        <v>56250</v>
      </c>
      <c r="N9574" s="27">
        <v>0.625</v>
      </c>
    </row>
    <row r="9575" spans="1:14" hidden="1" outlineLevel="1" x14ac:dyDescent="0.2">
      <c r="A9575" s="23" t="str">
        <f t="shared" si="431"/>
        <v>СПБ ГБСУСО "ПСИХОНЕВРОЛОГИЧЕСКИЙ ИНТЕРНАТ №2"</v>
      </c>
      <c r="B9575" s="24" t="s">
        <v>11948</v>
      </c>
      <c r="C9575" s="25">
        <v>150000</v>
      </c>
      <c r="D9575" s="22" t="s">
        <v>11949</v>
      </c>
      <c r="E9575" s="22" t="s">
        <v>218</v>
      </c>
      <c r="F9575" s="23" t="str">
        <f t="shared" si="432"/>
        <v>Оказание услуг по осуществлению строительного контроля за выполнением работ по устройству системы видеонаблюдения (в зданиях, на территории и периметр) Санкт-Петербургского государственного бюджетного стационарного учреждения социального обслуживания...</v>
      </c>
      <c r="G9575" s="22" t="s">
        <v>89</v>
      </c>
      <c r="H9575" s="22" t="s">
        <v>89</v>
      </c>
      <c r="I9575" s="26">
        <v>43572.598611111098</v>
      </c>
      <c r="J9575" s="23" t="str">
        <f>HYPERLINK("https://www.spark-marketing.ru/Card/Person/6486763", "ООО ""ПРОАССИСТЕНТЪ""")</f>
        <v>ООО "ПРОАССИСТЕНТЪ"</v>
      </c>
      <c r="K9575" s="24" t="s">
        <v>11955</v>
      </c>
      <c r="L9575" s="28" t="s">
        <v>52</v>
      </c>
      <c r="M9575" s="25">
        <v>70500</v>
      </c>
      <c r="N9575" s="27">
        <v>0.53</v>
      </c>
    </row>
    <row r="9576" spans="1:14" ht="12.75" hidden="1" outlineLevel="1" x14ac:dyDescent="0.2">
      <c r="A9576" s="23" t="str">
        <f t="shared" si="431"/>
        <v>СПБ ГБСУСО "ПСИХОНЕВРОЛОГИЧЕСКИЙ ИНТЕРНАТ №2"</v>
      </c>
      <c r="B9576" s="24" t="s">
        <v>11948</v>
      </c>
      <c r="C9576" s="25">
        <v>150000</v>
      </c>
      <c r="D9576" s="22" t="s">
        <v>11949</v>
      </c>
      <c r="E9576" s="22" t="s">
        <v>218</v>
      </c>
      <c r="F9576" s="23" t="str">
        <f t="shared" si="432"/>
        <v>Оказание услуг по осуществлению строительного контроля за выполнением работ по устройству системы видеонаблюдения (в зданиях, на территории и периметр) Санкт-Петербургского государственного бюджетного стационарного учреждения социального обслуживания...</v>
      </c>
      <c r="G9576" s="22" t="s">
        <v>89</v>
      </c>
      <c r="H9576" s="22" t="s">
        <v>89</v>
      </c>
      <c r="I9576" s="26">
        <v>43572.598611111098</v>
      </c>
      <c r="J9576" s="23" t="str">
        <f>HYPERLINK("https://www.spark-marketing.ru/Card/Person/17852", "ООО ""ПОЖАРТЕХМОНТАЖ""")</f>
        <v>ООО "ПОЖАРТЕХМОНТАЖ"</v>
      </c>
      <c r="K9576" s="24" t="s">
        <v>11956</v>
      </c>
      <c r="L9576" s="22" t="s">
        <v>10</v>
      </c>
      <c r="M9576" s="25">
        <v>14250</v>
      </c>
      <c r="N9576" s="27">
        <v>0.90500000000000003</v>
      </c>
    </row>
    <row r="9577" spans="1:14" x14ac:dyDescent="0.15">
      <c r="A9577" s="23" t="str">
        <f>HYPERLINK("https://www.spark-marketing.ru/Card/Person/1661477", "ПАО ""ДЕТСКИЙ МИР""")</f>
        <v>ПАО "ДЕТСКИЙ МИР"</v>
      </c>
      <c r="B9577" s="24" t="s">
        <v>667</v>
      </c>
      <c r="C9577" s="28" t="s">
        <v>52</v>
      </c>
      <c r="D9577" s="22" t="s">
        <v>11957</v>
      </c>
      <c r="E9577" s="22" t="s">
        <v>53</v>
      </c>
      <c r="F9577" s="23" t="str">
        <f>HYPERLINK("https://www.spark-marketing.ru/Card/Lot/69875430", "Оказание услуг по физической охране объектов ПАО «Детский мир» РО Поволжье сроком на 1 (Один) год.")</f>
        <v>Оказание услуг по физической охране объектов ПАО «Детский мир» РО Поволжье сроком на 1 (Один) год.</v>
      </c>
      <c r="G9577" s="22" t="s">
        <v>204</v>
      </c>
      <c r="H9577" s="22" t="s">
        <v>204</v>
      </c>
      <c r="I9577" s="26">
        <v>43572.5805555556</v>
      </c>
      <c r="J9577" s="28" t="s">
        <v>52</v>
      </c>
      <c r="K9577" s="28" t="s">
        <v>52</v>
      </c>
      <c r="L9577" s="28" t="s">
        <v>52</v>
      </c>
      <c r="M9577" s="28" t="s">
        <v>52</v>
      </c>
      <c r="N9577" s="28" t="s">
        <v>52</v>
      </c>
    </row>
    <row r="9578" spans="1:14" x14ac:dyDescent="0.15">
      <c r="A9578" s="23" t="str">
        <f>HYPERLINK("https://www.spark-marketing.ru/Card/Person/28257", "МОУ ""СРЕДНЯЯ ШКОЛА № 8 ИМЕНИ Н.Г. ВАРЛАМОВА""")</f>
        <v>МОУ "СРЕДНЯЯ ШКОЛА № 8 ИМЕНИ Н.Г. ВАРЛАМОВА"</v>
      </c>
      <c r="B9578" s="24" t="s">
        <v>7533</v>
      </c>
      <c r="C9578" s="25">
        <v>400000</v>
      </c>
      <c r="D9578" s="28" t="s">
        <v>52</v>
      </c>
      <c r="E9578" s="22" t="s">
        <v>59</v>
      </c>
      <c r="F9578" s="23" t="str">
        <f>HYPERLINK("https://www.spark-marketing.ru/Card/Lot/69794711", "№005111201912631 Услуги по установке видеонаблюдения")</f>
        <v>№005111201912631 Услуги по установке видеонаблюдения</v>
      </c>
      <c r="G9578" s="22" t="s">
        <v>435</v>
      </c>
      <c r="H9578" s="22" t="s">
        <v>436</v>
      </c>
      <c r="I9578" s="26">
        <v>43570.520231481503</v>
      </c>
      <c r="J9578" s="28" t="s">
        <v>52</v>
      </c>
      <c r="K9578" s="28" t="s">
        <v>52</v>
      </c>
      <c r="L9578" s="28" t="s">
        <v>52</v>
      </c>
      <c r="M9578" s="28" t="s">
        <v>52</v>
      </c>
      <c r="N9578" s="28" t="s">
        <v>52</v>
      </c>
    </row>
    <row r="9579" spans="1:14" x14ac:dyDescent="0.15">
      <c r="A9579" s="23" t="str">
        <f>HYPERLINK("https://www.spark-marketing.ru/Card/Person/1057364", "ГБУ ДО НАО ""ДВОРЕЦ СПОРТА ""НОРД""")</f>
        <v>ГБУ ДО НАО "ДВОРЕЦ СПОРТА "НОРД"</v>
      </c>
      <c r="B9579" s="24" t="s">
        <v>11958</v>
      </c>
      <c r="C9579" s="25">
        <v>95000</v>
      </c>
      <c r="D9579" s="22" t="s">
        <v>11959</v>
      </c>
      <c r="E9579" s="22" t="s">
        <v>11234</v>
      </c>
      <c r="F9579" s="23" t="str">
        <f>HYPERLINK("https://www.spark-marketing.ru/Card/Lot/69860158", "Работы по установке системы видеонаблюдения")</f>
        <v>Работы по установке системы видеонаблюдения</v>
      </c>
      <c r="G9579" s="22" t="s">
        <v>1014</v>
      </c>
      <c r="H9579" s="22" t="s">
        <v>1015</v>
      </c>
      <c r="I9579" s="26">
        <v>43572.511805555601</v>
      </c>
      <c r="J9579" s="28" t="s">
        <v>52</v>
      </c>
      <c r="K9579" s="28" t="s">
        <v>52</v>
      </c>
      <c r="L9579" s="28" t="s">
        <v>52</v>
      </c>
      <c r="M9579" s="28" t="s">
        <v>52</v>
      </c>
      <c r="N9579" s="28" t="s">
        <v>52</v>
      </c>
    </row>
    <row r="9580" spans="1:14" x14ac:dyDescent="0.15">
      <c r="A9580" s="23" t="str">
        <f>HYPERLINK("https://www.spark-marketing.ru/Card/Person/12376", "ФКУ ""ЦХИСО УМВД РОССИИ ПО МУРМАНСКОЙ ОБЛАСТИ""")</f>
        <v>ФКУ "ЦХИСО УМВД РОССИИ ПО МУРМАНСКОЙ ОБЛАСТИ"</v>
      </c>
      <c r="B9580" s="24" t="s">
        <v>8074</v>
      </c>
      <c r="C9580" s="25">
        <v>44880</v>
      </c>
      <c r="D9580" s="22" t="s">
        <v>11960</v>
      </c>
      <c r="E9580" s="22" t="s">
        <v>53</v>
      </c>
      <c r="F9580" s="23" t="str">
        <f>HYPERLINK("https://www.spark-marketing.ru/Card/Lot/70773955", "Оказание услуг по физичесой охране объекта УМВД России по Мурманской области, расположенного по адресу: г. Мурманск, ул. Траловая, д. 105А")</f>
        <v>Оказание услуг по физичесой охране объекта УМВД России по Мурманской области, расположенного по адресу: г. Мурманск, ул. Траловая, д. 105А</v>
      </c>
      <c r="G9580" s="22" t="s">
        <v>190</v>
      </c>
      <c r="H9580" s="22" t="s">
        <v>191</v>
      </c>
      <c r="I9580" s="26">
        <v>43572.540243055599</v>
      </c>
      <c r="J9580" s="28" t="s">
        <v>52</v>
      </c>
      <c r="K9580" s="28" t="s">
        <v>52</v>
      </c>
      <c r="L9580" s="28" t="s">
        <v>52</v>
      </c>
      <c r="M9580" s="28" t="s">
        <v>52</v>
      </c>
      <c r="N9580" s="28" t="s">
        <v>52</v>
      </c>
    </row>
    <row r="9581" spans="1:14" x14ac:dyDescent="0.15">
      <c r="A9581" s="23" t="str">
        <f t="shared" ref="A9581:A9587" si="433">HYPERLINK("https://www.spark-marketing.ru/Card/Person/7266", "АДМИНИСТРАЦИЯ УСТЬ-ЛАБИНСКОГО ГОРОДСКОГО ПОСЕЛЕНИЯ УСТЬ-ЛАБИНСКОГО РАЙОНА")</f>
        <v>АДМИНИСТРАЦИЯ УСТЬ-ЛАБИНСКОГО ГОРОДСКОГО ПОСЕЛЕНИЯ УСТЬ-ЛАБИНСКОГО РАЙОНА</v>
      </c>
      <c r="B9581" s="24" t="s">
        <v>11961</v>
      </c>
      <c r="C9581" s="25">
        <v>125000</v>
      </c>
      <c r="D9581" s="22" t="s">
        <v>11962</v>
      </c>
      <c r="E9581" s="22" t="s">
        <v>107</v>
      </c>
      <c r="F9581" s="23" t="str">
        <f t="shared" ref="F9581:F9587" si="434">HYPERLINK("https://www.spark-marketing.ru/Card/Lot/69865008", "Оказание услуг по проведению сервисного (технического) обслуживания систем видеонаблюдения Усть-Лабинского городского поселения Усть-Лабинского района.")</f>
        <v>Оказание услуг по проведению сервисного (технического) обслуживания систем видеонаблюдения Усть-Лабинского городского поселения Усть-Лабинского района.</v>
      </c>
      <c r="G9581" s="22" t="s">
        <v>132</v>
      </c>
      <c r="H9581" s="22" t="s">
        <v>132</v>
      </c>
      <c r="I9581" s="26">
        <v>43572.509722222203</v>
      </c>
      <c r="J9581" s="28" t="s">
        <v>52</v>
      </c>
      <c r="K9581" s="28" t="s">
        <v>52</v>
      </c>
      <c r="L9581" s="28" t="s">
        <v>52</v>
      </c>
      <c r="M9581" s="28" t="s">
        <v>52</v>
      </c>
      <c r="N9581" s="28" t="s">
        <v>52</v>
      </c>
    </row>
    <row r="9582" spans="1:14" hidden="1" outlineLevel="1" x14ac:dyDescent="0.2">
      <c r="A9582" s="23" t="str">
        <f t="shared" si="433"/>
        <v>АДМИНИСТРАЦИЯ УСТЬ-ЛАБИНСКОГО ГОРОДСКОГО ПОСЕЛЕНИЯ УСТЬ-ЛАБИНСКОГО РАЙОНА</v>
      </c>
      <c r="B9582" s="24" t="s">
        <v>11961</v>
      </c>
      <c r="C9582" s="25">
        <v>125000</v>
      </c>
      <c r="D9582" s="22" t="s">
        <v>11962</v>
      </c>
      <c r="E9582" s="22" t="s">
        <v>107</v>
      </c>
      <c r="F9582" s="23" t="str">
        <f t="shared" si="434"/>
        <v>Оказание услуг по проведению сервисного (технического) обслуживания систем видеонаблюдения Усть-Лабинского городского поселения Усть-Лабинского района.</v>
      </c>
      <c r="G9582" s="22" t="s">
        <v>132</v>
      </c>
      <c r="H9582" s="22" t="s">
        <v>132</v>
      </c>
      <c r="I9582" s="26">
        <v>43572.509722222203</v>
      </c>
      <c r="J9582" s="23" t="str">
        <f>HYPERLINK("https://www.spark-marketing.ru/Card/Person/6513812", "Елькин Алексей Викторович")</f>
        <v>Елькин Алексей Викторович</v>
      </c>
      <c r="K9582" s="24" t="s">
        <v>11963</v>
      </c>
      <c r="L9582" s="28" t="s">
        <v>52</v>
      </c>
      <c r="M9582" s="25">
        <v>25000</v>
      </c>
      <c r="N9582" s="27">
        <v>0.8</v>
      </c>
    </row>
    <row r="9583" spans="1:14" hidden="1" outlineLevel="1" x14ac:dyDescent="0.2">
      <c r="A9583" s="23" t="str">
        <f t="shared" si="433"/>
        <v>АДМИНИСТРАЦИЯ УСТЬ-ЛАБИНСКОГО ГОРОДСКОГО ПОСЕЛЕНИЯ УСТЬ-ЛАБИНСКОГО РАЙОНА</v>
      </c>
      <c r="B9583" s="24" t="s">
        <v>11961</v>
      </c>
      <c r="C9583" s="25">
        <v>125000</v>
      </c>
      <c r="D9583" s="22" t="s">
        <v>11962</v>
      </c>
      <c r="E9583" s="22" t="s">
        <v>107</v>
      </c>
      <c r="F9583" s="23" t="str">
        <f t="shared" si="434"/>
        <v>Оказание услуг по проведению сервисного (технического) обслуживания систем видеонаблюдения Усть-Лабинского городского поселения Усть-Лабинского района.</v>
      </c>
      <c r="G9583" s="22" t="s">
        <v>132</v>
      </c>
      <c r="H9583" s="22" t="s">
        <v>132</v>
      </c>
      <c r="I9583" s="26">
        <v>43572.509722222203</v>
      </c>
      <c r="J9583" s="23" t="str">
        <f>HYPERLINK("https://www.spark-marketing.ru/Card/Person/6516181", "Огурцов Артем Александрович")</f>
        <v>Огурцов Артем Александрович</v>
      </c>
      <c r="K9583" s="24" t="s">
        <v>11964</v>
      </c>
      <c r="L9583" s="28" t="s">
        <v>52</v>
      </c>
      <c r="M9583" s="25">
        <v>95000</v>
      </c>
      <c r="N9583" s="27">
        <v>0.24</v>
      </c>
    </row>
    <row r="9584" spans="1:14" hidden="1" outlineLevel="1" x14ac:dyDescent="0.2">
      <c r="A9584" s="23" t="str">
        <f t="shared" si="433"/>
        <v>АДМИНИСТРАЦИЯ УСТЬ-ЛАБИНСКОГО ГОРОДСКОГО ПОСЕЛЕНИЯ УСТЬ-ЛАБИНСКОГО РАЙОНА</v>
      </c>
      <c r="B9584" s="24" t="s">
        <v>11961</v>
      </c>
      <c r="C9584" s="25">
        <v>125000</v>
      </c>
      <c r="D9584" s="22" t="s">
        <v>11962</v>
      </c>
      <c r="E9584" s="22" t="s">
        <v>107</v>
      </c>
      <c r="F9584" s="23" t="str">
        <f t="shared" si="434"/>
        <v>Оказание услуг по проведению сервисного (технического) обслуживания систем видеонаблюдения Усть-Лабинского городского поселения Усть-Лабинского района.</v>
      </c>
      <c r="G9584" s="22" t="s">
        <v>132</v>
      </c>
      <c r="H9584" s="22" t="s">
        <v>132</v>
      </c>
      <c r="I9584" s="26">
        <v>43572.509722222203</v>
      </c>
      <c r="J9584" s="23" t="str">
        <f>HYPERLINK("https://www.spark-marketing.ru/Card/Person/6499046", "Олененко Дмитрий Александрович")</f>
        <v>Олененко Дмитрий Александрович</v>
      </c>
      <c r="K9584" s="24" t="s">
        <v>11965</v>
      </c>
      <c r="L9584" s="28" t="s">
        <v>52</v>
      </c>
      <c r="M9584" s="25">
        <v>17500</v>
      </c>
      <c r="N9584" s="27">
        <v>0.86</v>
      </c>
    </row>
    <row r="9585" spans="1:14" hidden="1" outlineLevel="1" x14ac:dyDescent="0.2">
      <c r="A9585" s="23" t="str">
        <f t="shared" si="433"/>
        <v>АДМИНИСТРАЦИЯ УСТЬ-ЛАБИНСКОГО ГОРОДСКОГО ПОСЕЛЕНИЯ УСТЬ-ЛАБИНСКОГО РАЙОНА</v>
      </c>
      <c r="B9585" s="24" t="s">
        <v>11961</v>
      </c>
      <c r="C9585" s="25">
        <v>125000</v>
      </c>
      <c r="D9585" s="22" t="s">
        <v>11962</v>
      </c>
      <c r="E9585" s="22" t="s">
        <v>107</v>
      </c>
      <c r="F9585" s="23" t="str">
        <f t="shared" si="434"/>
        <v>Оказание услуг по проведению сервисного (технического) обслуживания систем видеонаблюдения Усть-Лабинского городского поселения Усть-Лабинского района.</v>
      </c>
      <c r="G9585" s="22" t="s">
        <v>132</v>
      </c>
      <c r="H9585" s="22" t="s">
        <v>132</v>
      </c>
      <c r="I9585" s="26">
        <v>43572.509722222203</v>
      </c>
      <c r="J9585" s="23" t="str">
        <f>HYPERLINK("https://www.spark-marketing.ru/Card/Person/6444592", "ООО ""ДАТ СИСТЕМС""")</f>
        <v>ООО "ДАТ СИСТЕМС"</v>
      </c>
      <c r="K9585" s="24" t="s">
        <v>11966</v>
      </c>
      <c r="L9585" s="28" t="s">
        <v>52</v>
      </c>
      <c r="M9585" s="25">
        <v>90000</v>
      </c>
      <c r="N9585" s="27">
        <v>0.28000000000000003</v>
      </c>
    </row>
    <row r="9586" spans="1:14" hidden="1" outlineLevel="1" x14ac:dyDescent="0.2">
      <c r="A9586" s="23" t="str">
        <f t="shared" si="433"/>
        <v>АДМИНИСТРАЦИЯ УСТЬ-ЛАБИНСКОГО ГОРОДСКОГО ПОСЕЛЕНИЯ УСТЬ-ЛАБИНСКОГО РАЙОНА</v>
      </c>
      <c r="B9586" s="24" t="s">
        <v>11961</v>
      </c>
      <c r="C9586" s="25">
        <v>125000</v>
      </c>
      <c r="D9586" s="22" t="s">
        <v>11962</v>
      </c>
      <c r="E9586" s="22" t="s">
        <v>107</v>
      </c>
      <c r="F9586" s="23" t="str">
        <f t="shared" si="434"/>
        <v>Оказание услуг по проведению сервисного (технического) обслуживания систем видеонаблюдения Усть-Лабинского городского поселения Усть-Лабинского района.</v>
      </c>
      <c r="G9586" s="22" t="s">
        <v>132</v>
      </c>
      <c r="H9586" s="22" t="s">
        <v>132</v>
      </c>
      <c r="I9586" s="26">
        <v>43572.509722222203</v>
      </c>
      <c r="J9586" s="23" t="str">
        <f>HYPERLINK("https://www.spark-marketing.ru/Card/Person/5826836", "Радченко Максим Сергеевич")</f>
        <v>Радченко Максим Сергеевич</v>
      </c>
      <c r="K9586" s="24" t="s">
        <v>10687</v>
      </c>
      <c r="L9586" s="28" t="s">
        <v>52</v>
      </c>
      <c r="M9586" s="25">
        <v>21250</v>
      </c>
      <c r="N9586" s="27">
        <v>0.83</v>
      </c>
    </row>
    <row r="9587" spans="1:14" ht="12.75" hidden="1" outlineLevel="1" x14ac:dyDescent="0.2">
      <c r="A9587" s="23" t="str">
        <f t="shared" si="433"/>
        <v>АДМИНИСТРАЦИЯ УСТЬ-ЛАБИНСКОГО ГОРОДСКОГО ПОСЕЛЕНИЯ УСТЬ-ЛАБИНСКОГО РАЙОНА</v>
      </c>
      <c r="B9587" s="24" t="s">
        <v>11961</v>
      </c>
      <c r="C9587" s="25">
        <v>125000</v>
      </c>
      <c r="D9587" s="22" t="s">
        <v>11962</v>
      </c>
      <c r="E9587" s="22" t="s">
        <v>107</v>
      </c>
      <c r="F9587" s="23" t="str">
        <f t="shared" si="434"/>
        <v>Оказание услуг по проведению сервисного (технического) обслуживания систем видеонаблюдения Усть-Лабинского городского поселения Усть-Лабинского района.</v>
      </c>
      <c r="G9587" s="22" t="s">
        <v>132</v>
      </c>
      <c r="H9587" s="22" t="s">
        <v>132</v>
      </c>
      <c r="I9587" s="26">
        <v>43572.509722222203</v>
      </c>
      <c r="J9587" s="23" t="str">
        <f>HYPERLINK("https://www.spark-marketing.ru/Card/Person/456511", "Коваленко Евгений Александрович")</f>
        <v>Коваленко Евгений Александрович</v>
      </c>
      <c r="K9587" s="24" t="s">
        <v>11967</v>
      </c>
      <c r="L9587" s="22" t="s">
        <v>10</v>
      </c>
      <c r="M9587" s="25">
        <v>16875</v>
      </c>
      <c r="N9587" s="27">
        <v>0.86499999999999999</v>
      </c>
    </row>
    <row r="9588" spans="1:14" x14ac:dyDescent="0.15">
      <c r="A9588" s="23" t="str">
        <f>HYPERLINK("https://www.spark-marketing.ru/Card/Person/139807", "УПРАВЛЕНИЕ РОСКОМНАДЗОРА ПО РЕСПУБЛИКЕ ДАГЕСТАН")</f>
        <v>УПРАВЛЕНИЕ РОСКОМНАДЗОРА ПО РЕСПУБЛИКЕ ДАГЕСТАН</v>
      </c>
      <c r="B9588" s="24" t="s">
        <v>11968</v>
      </c>
      <c r="C9588" s="25">
        <v>966285.17</v>
      </c>
      <c r="D9588" s="22" t="s">
        <v>11969</v>
      </c>
      <c r="E9588" s="22" t="s">
        <v>68</v>
      </c>
      <c r="F9588" s="23" t="str">
        <f>HYPERLINK("https://www.spark-marketing.ru/Card/Lot/69864984", "Оказание охранных услуг")</f>
        <v>Оказание охранных услуг</v>
      </c>
      <c r="G9588" s="22" t="s">
        <v>595</v>
      </c>
      <c r="H9588" s="22" t="s">
        <v>3766</v>
      </c>
      <c r="I9588" s="26">
        <v>43572.506249999999</v>
      </c>
      <c r="J9588" s="28" t="s">
        <v>52</v>
      </c>
      <c r="K9588" s="28" t="s">
        <v>52</v>
      </c>
      <c r="L9588" s="28" t="s">
        <v>52</v>
      </c>
      <c r="M9588" s="28" t="s">
        <v>52</v>
      </c>
      <c r="N9588" s="28" t="s">
        <v>52</v>
      </c>
    </row>
    <row r="9589" spans="1:14" x14ac:dyDescent="0.15">
      <c r="A9589" s="23" t="str">
        <f>HYPERLINK("https://www.spark-marketing.ru/Card/Person/86868", "ГБДОУ ДЕТСКИЙ САД № 69 КРАСНОСЕЛЬСКОГО РАЙОНА СПБ")</f>
        <v>ГБДОУ ДЕТСКИЙ САД № 69 КРАСНОСЕЛЬСКОГО РАЙОНА СПБ</v>
      </c>
      <c r="B9589" s="24" t="s">
        <v>8594</v>
      </c>
      <c r="C9589" s="25">
        <v>346980</v>
      </c>
      <c r="D9589" s="22" t="s">
        <v>11970</v>
      </c>
      <c r="E9589" s="22" t="s">
        <v>59</v>
      </c>
      <c r="F9589" s="23" t="str">
        <f>HYPERLINK("https://www.spark-marketing.ru/Card/Lot/69864705", "Выполнение требований к антитеррористической защищенности объектов(территории): выполнение работ по установке системы видеонаблюдения в здании ГБДОУ детского сада №69 Красносельского района СПб")</f>
        <v>Выполнение требований к антитеррористической защищенности объектов(территории): выполнение работ по установке системы видеонаблюдения в здании ГБДОУ детского сада №69 Красносельского района СПб</v>
      </c>
      <c r="G9589" s="22" t="s">
        <v>89</v>
      </c>
      <c r="H9589" s="22" t="s">
        <v>89</v>
      </c>
      <c r="I9589" s="26">
        <v>43572.4868055556</v>
      </c>
      <c r="J9589" s="28" t="s">
        <v>52</v>
      </c>
      <c r="K9589" s="28" t="s">
        <v>52</v>
      </c>
      <c r="L9589" s="28" t="s">
        <v>52</v>
      </c>
      <c r="M9589" s="28" t="s">
        <v>52</v>
      </c>
      <c r="N9589" s="28" t="s">
        <v>52</v>
      </c>
    </row>
    <row r="9590" spans="1:14" x14ac:dyDescent="0.15">
      <c r="A9590" s="23" t="str">
        <f t="shared" ref="A9590:A9595" si="435">HYPERLINK("https://www.spark-marketing.ru/Card/Person/1056562", "ЦЕНТР ""СОЗВЕЗДИЕ""")</f>
        <v>ЦЕНТР "СОЗВЕЗДИЕ"</v>
      </c>
      <c r="B9590" s="24" t="s">
        <v>11971</v>
      </c>
      <c r="C9590" s="25">
        <v>145125</v>
      </c>
      <c r="D9590" s="22" t="s">
        <v>11972</v>
      </c>
      <c r="E9590" s="22" t="s">
        <v>84</v>
      </c>
      <c r="F9590" s="23" t="str">
        <f t="shared" ref="F9590:F9595" si="436">HYPERLINK("https://www.spark-marketing.ru/Card/Lot/69862380", "установка системы видеонаблюдения")</f>
        <v>установка системы видеонаблюдения</v>
      </c>
      <c r="G9590" s="22" t="s">
        <v>155</v>
      </c>
      <c r="H9590" s="22" t="s">
        <v>11973</v>
      </c>
      <c r="I9590" s="26">
        <v>43572.473611111098</v>
      </c>
      <c r="J9590" s="28" t="s">
        <v>52</v>
      </c>
      <c r="K9590" s="28" t="s">
        <v>52</v>
      </c>
      <c r="L9590" s="28" t="s">
        <v>52</v>
      </c>
      <c r="M9590" s="28" t="s">
        <v>52</v>
      </c>
      <c r="N9590" s="28" t="s">
        <v>52</v>
      </c>
    </row>
    <row r="9591" spans="1:14" hidden="1" outlineLevel="1" x14ac:dyDescent="0.2">
      <c r="A9591" s="23" t="str">
        <f t="shared" si="435"/>
        <v>ЦЕНТР "СОЗВЕЗДИЕ"</v>
      </c>
      <c r="B9591" s="24" t="s">
        <v>11971</v>
      </c>
      <c r="C9591" s="25">
        <v>145125</v>
      </c>
      <c r="D9591" s="22" t="s">
        <v>11972</v>
      </c>
      <c r="E9591" s="22" t="s">
        <v>84</v>
      </c>
      <c r="F9591" s="23" t="str">
        <f t="shared" si="436"/>
        <v>установка системы видеонаблюдения</v>
      </c>
      <c r="G9591" s="22" t="s">
        <v>155</v>
      </c>
      <c r="H9591" s="22" t="s">
        <v>11973</v>
      </c>
      <c r="I9591" s="26">
        <v>43572.473611111098</v>
      </c>
      <c r="J9591" s="23" t="str">
        <f>HYPERLINK("https://www.spark-marketing.ru/Card/Person/6435722", "ООО ""СОТАСОТ""")</f>
        <v>ООО "СОТАСОТ"</v>
      </c>
      <c r="K9591" s="24" t="s">
        <v>7345</v>
      </c>
      <c r="L9591" s="28" t="s">
        <v>52</v>
      </c>
      <c r="M9591" s="25">
        <v>99500</v>
      </c>
      <c r="N9591" s="27">
        <v>0.3143841515934539</v>
      </c>
    </row>
    <row r="9592" spans="1:14" hidden="1" outlineLevel="1" x14ac:dyDescent="0.2">
      <c r="A9592" s="23" t="str">
        <f t="shared" si="435"/>
        <v>ЦЕНТР "СОЗВЕЗДИЕ"</v>
      </c>
      <c r="B9592" s="24" t="s">
        <v>11971</v>
      </c>
      <c r="C9592" s="25">
        <v>145125</v>
      </c>
      <c r="D9592" s="22" t="s">
        <v>11972</v>
      </c>
      <c r="E9592" s="22" t="s">
        <v>84</v>
      </c>
      <c r="F9592" s="23" t="str">
        <f t="shared" si="436"/>
        <v>установка системы видеонаблюдения</v>
      </c>
      <c r="G9592" s="22" t="s">
        <v>155</v>
      </c>
      <c r="H9592" s="22" t="s">
        <v>11973</v>
      </c>
      <c r="I9592" s="26">
        <v>43572.473611111098</v>
      </c>
      <c r="J9592" s="23" t="str">
        <f>HYPERLINK("https://www.spark-marketing.ru/Card/Person/71922", "ООО ""АРСЕНАЛ""")</f>
        <v>ООО "АРСЕНАЛ"</v>
      </c>
      <c r="K9592" s="24" t="s">
        <v>11974</v>
      </c>
      <c r="L9592" s="28" t="s">
        <v>52</v>
      </c>
      <c r="M9592" s="25">
        <v>103000</v>
      </c>
      <c r="N9592" s="27">
        <v>0.29026701119724374</v>
      </c>
    </row>
    <row r="9593" spans="1:14" hidden="1" outlineLevel="1" x14ac:dyDescent="0.2">
      <c r="A9593" s="23" t="str">
        <f t="shared" si="435"/>
        <v>ЦЕНТР "СОЗВЕЗДИЕ"</v>
      </c>
      <c r="B9593" s="24" t="s">
        <v>11971</v>
      </c>
      <c r="C9593" s="25">
        <v>145125</v>
      </c>
      <c r="D9593" s="22" t="s">
        <v>11972</v>
      </c>
      <c r="E9593" s="22" t="s">
        <v>84</v>
      </c>
      <c r="F9593" s="23" t="str">
        <f t="shared" si="436"/>
        <v>установка системы видеонаблюдения</v>
      </c>
      <c r="G9593" s="22" t="s">
        <v>155</v>
      </c>
      <c r="H9593" s="22" t="s">
        <v>11973</v>
      </c>
      <c r="I9593" s="26">
        <v>43572.473611111098</v>
      </c>
      <c r="J9593" s="23" t="str">
        <f>HYPERLINK("https://www.spark-marketing.ru/Card/Person/355620", "ООО ""ВЕКТОР""")</f>
        <v>ООО "ВЕКТОР"</v>
      </c>
      <c r="K9593" s="24" t="s">
        <v>11975</v>
      </c>
      <c r="L9593" s="28" t="s">
        <v>52</v>
      </c>
      <c r="M9593" s="25">
        <v>85132.18</v>
      </c>
      <c r="N9593" s="27">
        <v>0.41338721791559002</v>
      </c>
    </row>
    <row r="9594" spans="1:14" hidden="1" outlineLevel="1" x14ac:dyDescent="0.2">
      <c r="A9594" s="23" t="str">
        <f t="shared" si="435"/>
        <v>ЦЕНТР "СОЗВЕЗДИЕ"</v>
      </c>
      <c r="B9594" s="24" t="s">
        <v>11971</v>
      </c>
      <c r="C9594" s="25">
        <v>145125</v>
      </c>
      <c r="D9594" s="22" t="s">
        <v>11972</v>
      </c>
      <c r="E9594" s="22" t="s">
        <v>84</v>
      </c>
      <c r="F9594" s="23" t="str">
        <f t="shared" si="436"/>
        <v>установка системы видеонаблюдения</v>
      </c>
      <c r="G9594" s="22" t="s">
        <v>155</v>
      </c>
      <c r="H9594" s="22" t="s">
        <v>11973</v>
      </c>
      <c r="I9594" s="26">
        <v>43572.473611111098</v>
      </c>
      <c r="J9594" s="23" t="str">
        <f>HYPERLINK("https://www.spark-marketing.ru/Card/Person/6573950", "ООО ""ТЕХСИТИСЕРВИС""")</f>
        <v>ООО "ТЕХСИТИСЕРВИС"</v>
      </c>
      <c r="K9594" s="24" t="s">
        <v>11976</v>
      </c>
      <c r="L9594" s="28" t="s">
        <v>52</v>
      </c>
      <c r="M9594" s="25">
        <v>96291</v>
      </c>
      <c r="N9594" s="27">
        <v>0.33649612403100776</v>
      </c>
    </row>
    <row r="9595" spans="1:14" ht="12.75" hidden="1" outlineLevel="1" x14ac:dyDescent="0.2">
      <c r="A9595" s="23" t="str">
        <f t="shared" si="435"/>
        <v>ЦЕНТР "СОЗВЕЗДИЕ"</v>
      </c>
      <c r="B9595" s="24" t="s">
        <v>11971</v>
      </c>
      <c r="C9595" s="25">
        <v>145125</v>
      </c>
      <c r="D9595" s="22" t="s">
        <v>11972</v>
      </c>
      <c r="E9595" s="22" t="s">
        <v>84</v>
      </c>
      <c r="F9595" s="23" t="str">
        <f t="shared" si="436"/>
        <v>установка системы видеонаблюдения</v>
      </c>
      <c r="G9595" s="22" t="s">
        <v>155</v>
      </c>
      <c r="H9595" s="22" t="s">
        <v>11973</v>
      </c>
      <c r="I9595" s="26">
        <v>43572.473611111098</v>
      </c>
      <c r="J9595" s="23" t="str">
        <f>HYPERLINK("https://www.spark-marketing.ru/Card/Person/873216", "ООО ""ФАЙБЕРСТРОЙ""")</f>
        <v>ООО "ФАЙБЕРСТРОЙ"</v>
      </c>
      <c r="K9595" s="24" t="s">
        <v>2344</v>
      </c>
      <c r="L9595" s="22" t="s">
        <v>10</v>
      </c>
      <c r="M9595" s="25">
        <v>84406.55</v>
      </c>
      <c r="N9595" s="27">
        <v>0.41838725236864771</v>
      </c>
    </row>
    <row r="9596" spans="1:14" x14ac:dyDescent="0.15">
      <c r="A9596" s="23" t="str">
        <f t="shared" ref="A9596:A9601" si="437">HYPERLINK("https://www.spark-marketing.ru/Card/Person/4347666", "АДМИНИСТРАЦИЯ Г.УГЛИЧ")</f>
        <v>АДМИНИСТРАЦИЯ Г.УГЛИЧ</v>
      </c>
      <c r="B9596" s="24" t="s">
        <v>11977</v>
      </c>
      <c r="C9596" s="25">
        <v>97476</v>
      </c>
      <c r="D9596" s="22" t="s">
        <v>11978</v>
      </c>
      <c r="E9596" s="22" t="s">
        <v>491</v>
      </c>
      <c r="F9596" s="23" t="str">
        <f t="shared" ref="F9596:F9601" si="438">HYPERLINK("https://www.spark-marketing.ru/Card/Lot/69865976", "Оказание услуг по разработке плана обеспечения транспортной безопасности объекта транспортной инфраструктуры")</f>
        <v>Оказание услуг по разработке плана обеспечения транспортной безопасности объекта транспортной инфраструктуры</v>
      </c>
      <c r="G9596" s="22" t="s">
        <v>155</v>
      </c>
      <c r="H9596" s="22" t="s">
        <v>11979</v>
      </c>
      <c r="I9596" s="26">
        <v>43572.497916666704</v>
      </c>
      <c r="J9596" s="28" t="s">
        <v>52</v>
      </c>
      <c r="K9596" s="28" t="s">
        <v>52</v>
      </c>
      <c r="L9596" s="28" t="s">
        <v>52</v>
      </c>
      <c r="M9596" s="28" t="s">
        <v>52</v>
      </c>
      <c r="N9596" s="28" t="s">
        <v>52</v>
      </c>
    </row>
    <row r="9597" spans="1:14" ht="12.75" hidden="1" outlineLevel="1" x14ac:dyDescent="0.2">
      <c r="A9597" s="23" t="str">
        <f t="shared" si="437"/>
        <v>АДМИНИСТРАЦИЯ Г.УГЛИЧ</v>
      </c>
      <c r="B9597" s="24" t="s">
        <v>11977</v>
      </c>
      <c r="C9597" s="25">
        <v>97476</v>
      </c>
      <c r="D9597" s="22" t="s">
        <v>11978</v>
      </c>
      <c r="E9597" s="22" t="s">
        <v>491</v>
      </c>
      <c r="F9597" s="23" t="str">
        <f t="shared" si="438"/>
        <v>Оказание услуг по разработке плана обеспечения транспортной безопасности объекта транспортной инфраструктуры</v>
      </c>
      <c r="G9597" s="22" t="s">
        <v>155</v>
      </c>
      <c r="H9597" s="22" t="s">
        <v>11979</v>
      </c>
      <c r="I9597" s="26">
        <v>43572.497916666704</v>
      </c>
      <c r="J9597" s="23" t="str">
        <f>HYPERLINK("https://www.spark-marketing.ru/Card/Person/6110146", "ООО ""ИЦ ТЕХНОБЕЗОПАСНОСТЬ""")</f>
        <v>ООО "ИЦ ТЕХНОБЕЗОПАСНОСТЬ"</v>
      </c>
      <c r="K9597" s="24" t="s">
        <v>2240</v>
      </c>
      <c r="L9597" s="22" t="s">
        <v>10</v>
      </c>
      <c r="M9597" s="25">
        <v>44500</v>
      </c>
      <c r="N9597" s="27">
        <v>0.54347736878821451</v>
      </c>
    </row>
    <row r="9598" spans="1:14" hidden="1" outlineLevel="1" x14ac:dyDescent="0.2">
      <c r="A9598" s="23" t="str">
        <f t="shared" si="437"/>
        <v>АДМИНИСТРАЦИЯ Г.УГЛИЧ</v>
      </c>
      <c r="B9598" s="24" t="s">
        <v>11977</v>
      </c>
      <c r="C9598" s="25">
        <v>97476</v>
      </c>
      <c r="D9598" s="22" t="s">
        <v>11978</v>
      </c>
      <c r="E9598" s="22" t="s">
        <v>491</v>
      </c>
      <c r="F9598" s="23" t="str">
        <f t="shared" si="438"/>
        <v>Оказание услуг по разработке плана обеспечения транспортной безопасности объекта транспортной инфраструктуры</v>
      </c>
      <c r="G9598" s="22" t="s">
        <v>155</v>
      </c>
      <c r="H9598" s="22" t="s">
        <v>11979</v>
      </c>
      <c r="I9598" s="26">
        <v>43572.497916666704</v>
      </c>
      <c r="J9598" s="23" t="str">
        <f>HYPERLINK("https://www.spark-marketing.ru/Card/Person/4899737", "ООО ""ЮНИК ГРУПП""")</f>
        <v>ООО "ЮНИК ГРУПП"</v>
      </c>
      <c r="K9598" s="24" t="s">
        <v>11980</v>
      </c>
      <c r="L9598" s="28" t="s">
        <v>52</v>
      </c>
      <c r="M9598" s="25">
        <v>51000</v>
      </c>
      <c r="N9598" s="27">
        <v>0.4767942878246953</v>
      </c>
    </row>
    <row r="9599" spans="1:14" hidden="1" outlineLevel="1" x14ac:dyDescent="0.2">
      <c r="A9599" s="23" t="str">
        <f t="shared" si="437"/>
        <v>АДМИНИСТРАЦИЯ Г.УГЛИЧ</v>
      </c>
      <c r="B9599" s="24" t="s">
        <v>11977</v>
      </c>
      <c r="C9599" s="25">
        <v>97476</v>
      </c>
      <c r="D9599" s="22" t="s">
        <v>11978</v>
      </c>
      <c r="E9599" s="22" t="s">
        <v>491</v>
      </c>
      <c r="F9599" s="23" t="str">
        <f t="shared" si="438"/>
        <v>Оказание услуг по разработке плана обеспечения транспортной безопасности объекта транспортной инфраструктуры</v>
      </c>
      <c r="G9599" s="22" t="s">
        <v>155</v>
      </c>
      <c r="H9599" s="22" t="s">
        <v>11979</v>
      </c>
      <c r="I9599" s="26">
        <v>43572.497916666704</v>
      </c>
      <c r="J9599" s="23" t="str">
        <f>HYPERLINK("https://www.spark-marketing.ru/Card/Person/20706", "ООО ""ЦВБ""")</f>
        <v>ООО "ЦВБ"</v>
      </c>
      <c r="K9599" s="24" t="s">
        <v>2872</v>
      </c>
      <c r="L9599" s="28" t="s">
        <v>52</v>
      </c>
      <c r="M9599" s="25">
        <v>60000</v>
      </c>
      <c r="N9599" s="27">
        <v>0.3844638680290533</v>
      </c>
    </row>
    <row r="9600" spans="1:14" hidden="1" outlineLevel="1" x14ac:dyDescent="0.2">
      <c r="A9600" s="23" t="str">
        <f t="shared" si="437"/>
        <v>АДМИНИСТРАЦИЯ Г.УГЛИЧ</v>
      </c>
      <c r="B9600" s="24" t="s">
        <v>11977</v>
      </c>
      <c r="C9600" s="25">
        <v>97476</v>
      </c>
      <c r="D9600" s="22" t="s">
        <v>11978</v>
      </c>
      <c r="E9600" s="22" t="s">
        <v>491</v>
      </c>
      <c r="F9600" s="23" t="str">
        <f t="shared" si="438"/>
        <v>Оказание услуг по разработке плана обеспечения транспортной безопасности объекта транспортной инфраструктуры</v>
      </c>
      <c r="G9600" s="22" t="s">
        <v>155</v>
      </c>
      <c r="H9600" s="22" t="s">
        <v>11979</v>
      </c>
      <c r="I9600" s="26">
        <v>43572.497916666704</v>
      </c>
      <c r="J9600" s="23" t="str">
        <f>HYPERLINK("https://www.spark-marketing.ru/Card/Person/1978058", "ООО ""ФОРМУЛА БЕЗОПАСНОСТИ ТРАНСПОРТА""")</f>
        <v>ООО "ФОРМУЛА БЕЗОПАСНОСТИ ТРАНСПОРТА"</v>
      </c>
      <c r="K9600" s="24" t="s">
        <v>3385</v>
      </c>
      <c r="L9600" s="28" t="s">
        <v>52</v>
      </c>
      <c r="M9600" s="25">
        <v>60000</v>
      </c>
      <c r="N9600" s="27">
        <v>0.3844638680290533</v>
      </c>
    </row>
    <row r="9601" spans="1:14" hidden="1" outlineLevel="1" x14ac:dyDescent="0.2">
      <c r="A9601" s="23" t="str">
        <f t="shared" si="437"/>
        <v>АДМИНИСТРАЦИЯ Г.УГЛИЧ</v>
      </c>
      <c r="B9601" s="24" t="s">
        <v>11977</v>
      </c>
      <c r="C9601" s="25">
        <v>97476</v>
      </c>
      <c r="D9601" s="22" t="s">
        <v>11978</v>
      </c>
      <c r="E9601" s="22" t="s">
        <v>491</v>
      </c>
      <c r="F9601" s="23" t="str">
        <f t="shared" si="438"/>
        <v>Оказание услуг по разработке плана обеспечения транспортной безопасности объекта транспортной инфраструктуры</v>
      </c>
      <c r="G9601" s="22" t="s">
        <v>155</v>
      </c>
      <c r="H9601" s="22" t="s">
        <v>11979</v>
      </c>
      <c r="I9601" s="26">
        <v>43572.497916666704</v>
      </c>
      <c r="J9601" s="23" t="str">
        <f>HYPERLINK("https://www.spark-marketing.ru/Card/Person/6004112", "ООО ""ПЕРВЫЙ ЦЕНТР АТТЕСТАЦИИ ПО ТРАНСПОРТНОЙ БЕЗОПАСНОСТИ""")</f>
        <v>ООО "ПЕРВЫЙ ЦЕНТР АТТЕСТАЦИИ ПО ТРАНСПОРТНОЙ БЕЗОПАСНОСТИ"</v>
      </c>
      <c r="K9601" s="24" t="s">
        <v>11981</v>
      </c>
      <c r="L9601" s="28" t="s">
        <v>52</v>
      </c>
      <c r="M9601" s="25">
        <v>78000</v>
      </c>
      <c r="N9601" s="27">
        <v>0.19980302843776929</v>
      </c>
    </row>
    <row r="9602" spans="1:14" x14ac:dyDescent="0.15">
      <c r="A9602" s="23" t="str">
        <f>HYPERLINK("https://www.spark-marketing.ru/Card/Person/65230", "ВОРОНЕЖСТАТ")</f>
        <v>ВОРОНЕЖСТАТ</v>
      </c>
      <c r="B9602" s="24" t="s">
        <v>11982</v>
      </c>
      <c r="C9602" s="25">
        <v>472075.36</v>
      </c>
      <c r="D9602" s="22" t="s">
        <v>11983</v>
      </c>
      <c r="E9602" s="22" t="s">
        <v>53</v>
      </c>
      <c r="F9602" s="23" t="str">
        <f>HYPERLINK("https://www.spark-marketing.ru/Card/Lot/70773388", "Оказание охранных услуг")</f>
        <v>Оказание охранных услуг</v>
      </c>
      <c r="G9602" s="22" t="s">
        <v>552</v>
      </c>
      <c r="H9602" s="22" t="s">
        <v>886</v>
      </c>
      <c r="I9602" s="26">
        <v>43572.472199074102</v>
      </c>
      <c r="J9602" s="28" t="s">
        <v>52</v>
      </c>
      <c r="K9602" s="28" t="s">
        <v>52</v>
      </c>
      <c r="L9602" s="28" t="s">
        <v>52</v>
      </c>
      <c r="M9602" s="28" t="s">
        <v>52</v>
      </c>
      <c r="N9602" s="28" t="s">
        <v>52</v>
      </c>
    </row>
    <row r="9603" spans="1:14" x14ac:dyDescent="0.15">
      <c r="A9603" s="23" t="str">
        <f>HYPERLINK("https://www.spark-marketing.ru/Card/Person/4415210", "АО ""КППК""")</f>
        <v>АО "КППК"</v>
      </c>
      <c r="B9603" s="24" t="s">
        <v>4076</v>
      </c>
      <c r="C9603" s="25">
        <v>17690344.48</v>
      </c>
      <c r="D9603" s="22" t="s">
        <v>11984</v>
      </c>
      <c r="E9603" s="22" t="s">
        <v>144</v>
      </c>
      <c r="F9603" s="23" t="str">
        <f>HYPERLINK("https://www.spark-marketing.ru/Card/Lot/69860722", "Оказание услуг по обеспечению транспортной безопасности подвижного состава в рейсе (с момента выхода до момента возвращения в депо) подразделениями транспортной безопасности")</f>
        <v>Оказание услуг по обеспечению транспортной безопасности подвижного состава в рейсе (с момента выхода до момента возвращения в депо) подразделениями транспортной безопасности</v>
      </c>
      <c r="G9603" s="22" t="s">
        <v>247</v>
      </c>
      <c r="H9603" s="22" t="s">
        <v>247</v>
      </c>
      <c r="I9603" s="26">
        <v>43572.439178240696</v>
      </c>
      <c r="J9603" s="23" t="str">
        <f>HYPERLINK("https://www.spark-marketing.ru/Card/Person/6577630", "ООО ""РИНТЕХ-ТБ""")</f>
        <v>ООО "РИНТЕХ-ТБ"</v>
      </c>
      <c r="K9603" s="24" t="s">
        <v>11985</v>
      </c>
      <c r="L9603" s="28" t="s">
        <v>52</v>
      </c>
      <c r="M9603" s="28" t="s">
        <v>52</v>
      </c>
      <c r="N9603" s="28" t="s">
        <v>52</v>
      </c>
    </row>
    <row r="9604" spans="1:14" hidden="1" outlineLevel="1" x14ac:dyDescent="0.2">
      <c r="A9604" s="23" t="str">
        <f>HYPERLINK("https://www.spark-marketing.ru/Card/Person/4415210", "АО ""КППК""")</f>
        <v>АО "КППК"</v>
      </c>
      <c r="B9604" s="24" t="s">
        <v>4076</v>
      </c>
      <c r="C9604" s="28" t="s">
        <v>52</v>
      </c>
      <c r="D9604" s="22" t="s">
        <v>11984</v>
      </c>
      <c r="E9604" s="22" t="s">
        <v>144</v>
      </c>
      <c r="F9604" s="23" t="str">
        <f>HYPERLINK("https://www.spark-marketing.ru/Card/Lot/69860722", "Оказание услуг по обеспечению транспортной безопасности подвижного состава в рейсе (с момента выхода до момента возвращения в депо) подразделениями транспортной безопасности")</f>
        <v>Оказание услуг по обеспечению транспортной безопасности подвижного состава в рейсе (с момента выхода до момента возвращения в депо) подразделениями транспортной безопасности</v>
      </c>
      <c r="G9604" s="22" t="s">
        <v>247</v>
      </c>
      <c r="H9604" s="22" t="s">
        <v>247</v>
      </c>
      <c r="I9604" s="26">
        <v>43572.439178240696</v>
      </c>
      <c r="J9604" s="23" t="str">
        <f>HYPERLINK("https://www.spark-marketing.ru/Card/Person/6577630", "ООО ""РИНТЕХ-ТБ""")</f>
        <v>ООО "РИНТЕХ-ТБ"</v>
      </c>
      <c r="K9604" s="24" t="s">
        <v>11985</v>
      </c>
      <c r="L9604" s="22" t="s">
        <v>10</v>
      </c>
      <c r="M9604" s="25">
        <v>13267758.359999999</v>
      </c>
      <c r="N9604" s="27">
        <v>0.25</v>
      </c>
    </row>
    <row r="9605" spans="1:14" x14ac:dyDescent="0.15">
      <c r="A9605" s="23" t="str">
        <f>HYPERLINK("https://www.spark-marketing.ru/Card/Person/1006612", "МБУ ДО ""АКБУЛАКСКАЯ ДЮСШ""")</f>
        <v>МБУ ДО "АКБУЛАКСКАЯ ДЮСШ"</v>
      </c>
      <c r="B9605" s="24" t="s">
        <v>11986</v>
      </c>
      <c r="C9605" s="25">
        <v>80820</v>
      </c>
      <c r="D9605" s="22" t="s">
        <v>11987</v>
      </c>
      <c r="E9605" s="22" t="s">
        <v>59</v>
      </c>
      <c r="F9605" s="23" t="str">
        <f>HYPERLINK("https://www.spark-marketing.ru/Card/Lot/69854518", "Установка системы видеонаблюдения   МБУДО «Акбулакская детско-юношеская спортивная школа»")</f>
        <v>Установка системы видеонаблюдения   МБУДО «Акбулакская детско-юношеская спортивная школа»</v>
      </c>
      <c r="G9605" s="22" t="s">
        <v>384</v>
      </c>
      <c r="H9605" s="22" t="s">
        <v>384</v>
      </c>
      <c r="I9605" s="26">
        <v>43572.448611111096</v>
      </c>
      <c r="J9605" s="23" t="str">
        <f>HYPERLINK("https://www.spark-marketing.ru/Card/Person/418017", "Кожемякин Григорий Валерьевич")</f>
        <v>Кожемякин Григорий Валерьевич</v>
      </c>
      <c r="K9605" s="24" t="s">
        <v>3982</v>
      </c>
      <c r="L9605" s="28" t="s">
        <v>52</v>
      </c>
      <c r="M9605" s="28" t="s">
        <v>52</v>
      </c>
      <c r="N9605" s="28" t="s">
        <v>52</v>
      </c>
    </row>
    <row r="9606" spans="1:14" ht="12.75" hidden="1" outlineLevel="1" x14ac:dyDescent="0.2">
      <c r="A9606" s="23" t="str">
        <f>HYPERLINK("https://www.spark-marketing.ru/Card/Person/1006612", "МБУ ДО ""АКБУЛАКСКАЯ ДЮСШ""")</f>
        <v>МБУ ДО "АКБУЛАКСКАЯ ДЮСШ"</v>
      </c>
      <c r="B9606" s="24" t="s">
        <v>11986</v>
      </c>
      <c r="C9606" s="25">
        <v>80820</v>
      </c>
      <c r="D9606" s="22" t="s">
        <v>11987</v>
      </c>
      <c r="E9606" s="22" t="s">
        <v>59</v>
      </c>
      <c r="F9606" s="23" t="str">
        <f>HYPERLINK("https://www.spark-marketing.ru/Card/Lot/69854518", "Установка системы видеонаблюдения   МБУДО «Акбулакская детско-юношеская спортивная школа»")</f>
        <v>Установка системы видеонаблюдения   МБУДО «Акбулакская детско-юношеская спортивная школа»</v>
      </c>
      <c r="G9606" s="22" t="s">
        <v>384</v>
      </c>
      <c r="H9606" s="22" t="s">
        <v>384</v>
      </c>
      <c r="I9606" s="26">
        <v>43572.448611111096</v>
      </c>
      <c r="J9606" s="23" t="str">
        <f>HYPERLINK("https://www.spark-marketing.ru/Card/Person/418017", "Кожемякин Григорий Валерьевич")</f>
        <v>Кожемякин Григорий Валерьевич</v>
      </c>
      <c r="K9606" s="24" t="s">
        <v>3982</v>
      </c>
      <c r="L9606" s="22" t="s">
        <v>10</v>
      </c>
      <c r="M9606" s="25">
        <v>80415.899999999994</v>
      </c>
      <c r="N9606" s="27">
        <v>5.0000000000000001E-3</v>
      </c>
    </row>
    <row r="9607" spans="1:14" x14ac:dyDescent="0.15">
      <c r="A9607" s="23" t="str">
        <f>HYPERLINK("https://www.spark-marketing.ru/Card/Person/85120", "ОГКОУ ШУЙСКИЙ ДЕТСКИЙ ДОМ - ШКОЛА")</f>
        <v>ОГКОУ ШУЙСКИЙ ДЕТСКИЙ ДОМ - ШКОЛА</v>
      </c>
      <c r="B9607" s="24" t="s">
        <v>11988</v>
      </c>
      <c r="C9607" s="25">
        <v>439603</v>
      </c>
      <c r="D9607" s="22" t="s">
        <v>11989</v>
      </c>
      <c r="E9607" s="22" t="s">
        <v>52</v>
      </c>
      <c r="F9607" s="23" t="str">
        <f>HYPERLINK("https://www.spark-marketing.ru/Card/Lot/69861029", "Оказание услуг охраны")</f>
        <v>Оказание услуг охраны</v>
      </c>
      <c r="G9607" s="22" t="s">
        <v>340</v>
      </c>
      <c r="H9607" s="22" t="s">
        <v>11990</v>
      </c>
      <c r="I9607" s="26">
        <v>43572.456250000003</v>
      </c>
      <c r="J9607" s="23" t="str">
        <f>HYPERLINK("https://www.spark-marketing.ru/Card/Person/300279", "ООО ЧОП ""ФИЛИН""")</f>
        <v>ООО ЧОП "ФИЛИН"</v>
      </c>
      <c r="K9607" s="24" t="s">
        <v>11991</v>
      </c>
      <c r="L9607" s="22" t="s">
        <v>10</v>
      </c>
      <c r="M9607" s="28" t="s">
        <v>52</v>
      </c>
      <c r="N9607" s="28" t="s">
        <v>52</v>
      </c>
    </row>
    <row r="9608" spans="1:14" x14ac:dyDescent="0.15">
      <c r="A9608" s="23" t="str">
        <f>HYPERLINK("https://www.spark-marketing.ru/Card/Person/234490", "АДМИНИСТРАЦИЯ МАЛГОБЕКСКОГО МУНИЦИПАЛЬНОГО РАЙОНА")</f>
        <v>АДМИНИСТРАЦИЯ МАЛГОБЕКСКОГО МУНИЦИПАЛЬНОГО РАЙОНА</v>
      </c>
      <c r="B9608" s="24" t="s">
        <v>11992</v>
      </c>
      <c r="C9608" s="25">
        <v>1650000</v>
      </c>
      <c r="D9608" s="22" t="s">
        <v>11993</v>
      </c>
      <c r="E9608" s="22" t="s">
        <v>68</v>
      </c>
      <c r="F9608" s="23" t="str">
        <f>HYPERLINK("https://www.spark-marketing.ru/Card/Lot/69864990", "Услуги, связанные с обеспечением общественного порядка и безопасности, прочие")</f>
        <v>Услуги, связанные с обеспечением общественного порядка и безопасности, прочие</v>
      </c>
      <c r="G9608" s="22" t="s">
        <v>648</v>
      </c>
      <c r="H9608" s="22" t="s">
        <v>648</v>
      </c>
      <c r="I9608" s="26">
        <v>43572.4465277778</v>
      </c>
      <c r="J9608" s="23" t="str">
        <f>HYPERLINK("https://www.spark-marketing.ru/Card/Person/154207", "ООО ЧОО ""РУБЕЖ""")</f>
        <v>ООО ЧОО "РУБЕЖ"</v>
      </c>
      <c r="K9608" s="24" t="s">
        <v>11994</v>
      </c>
      <c r="L9608" s="22" t="s">
        <v>10</v>
      </c>
      <c r="M9608" s="28" t="s">
        <v>52</v>
      </c>
      <c r="N9608" s="28" t="s">
        <v>52</v>
      </c>
    </row>
    <row r="9609" spans="1:14" x14ac:dyDescent="0.15">
      <c r="A9609" s="23" t="str">
        <f>HYPERLINK("https://www.spark-marketing.ru/Card/Person/27273", "МБОУ ""АКБУЛАКСКАЯ СОШ № 3""")</f>
        <v>МБОУ "АКБУЛАКСКАЯ СОШ № 3"</v>
      </c>
      <c r="B9609" s="24" t="s">
        <v>11995</v>
      </c>
      <c r="C9609" s="25">
        <v>47870</v>
      </c>
      <c r="D9609" s="22" t="s">
        <v>11996</v>
      </c>
      <c r="E9609" s="22" t="s">
        <v>59</v>
      </c>
      <c r="F9609" s="23" t="str">
        <f>HYPERLINK("https://www.spark-marketing.ru/Card/Lot/69854622", "Установка системы видеонаблюдения   МБОУ «Акбулакская СОШ № 3» (дошкольная группа).")</f>
        <v>Установка системы видеонаблюдения   МБОУ «Акбулакская СОШ № 3» (дошкольная группа).</v>
      </c>
      <c r="G9609" s="22" t="s">
        <v>384</v>
      </c>
      <c r="H9609" s="22" t="s">
        <v>384</v>
      </c>
      <c r="I9609" s="26">
        <v>43572.449305555601</v>
      </c>
      <c r="J9609" s="23" t="str">
        <f>HYPERLINK("https://www.spark-marketing.ru/Card/Person/418017", "Кожемякин Григорий Валерьевич")</f>
        <v>Кожемякин Григорий Валерьевич</v>
      </c>
      <c r="K9609" s="24" t="s">
        <v>3982</v>
      </c>
      <c r="L9609" s="28" t="s">
        <v>52</v>
      </c>
      <c r="M9609" s="28" t="s">
        <v>52</v>
      </c>
      <c r="N9609" s="28" t="s">
        <v>52</v>
      </c>
    </row>
    <row r="9610" spans="1:14" ht="12.75" hidden="1" outlineLevel="1" x14ac:dyDescent="0.2">
      <c r="A9610" s="23" t="str">
        <f>HYPERLINK("https://www.spark-marketing.ru/Card/Person/27273", "МБОУ ""АКБУЛАКСКАЯ СОШ № 3""")</f>
        <v>МБОУ "АКБУЛАКСКАЯ СОШ № 3"</v>
      </c>
      <c r="B9610" s="24" t="s">
        <v>11995</v>
      </c>
      <c r="C9610" s="25">
        <v>47870</v>
      </c>
      <c r="D9610" s="22" t="s">
        <v>11996</v>
      </c>
      <c r="E9610" s="22" t="s">
        <v>59</v>
      </c>
      <c r="F9610" s="23" t="str">
        <f>HYPERLINK("https://www.spark-marketing.ru/Card/Lot/69854622", "Установка системы видеонаблюдения   МБОУ «Акбулакская СОШ № 3» (дошкольная группа).")</f>
        <v>Установка системы видеонаблюдения   МБОУ «Акбулакская СОШ № 3» (дошкольная группа).</v>
      </c>
      <c r="G9610" s="22" t="s">
        <v>384</v>
      </c>
      <c r="H9610" s="22" t="s">
        <v>384</v>
      </c>
      <c r="I9610" s="26">
        <v>43572.449305555601</v>
      </c>
      <c r="J9610" s="23" t="str">
        <f>HYPERLINK("https://www.spark-marketing.ru/Card/Person/418017", "Кожемякин Григорий Валерьевич")</f>
        <v>Кожемякин Григорий Валерьевич</v>
      </c>
      <c r="K9610" s="24" t="s">
        <v>3982</v>
      </c>
      <c r="L9610" s="22" t="s">
        <v>10</v>
      </c>
      <c r="M9610" s="25">
        <v>47630.65</v>
      </c>
      <c r="N9610" s="27">
        <v>5.0000000000000001E-3</v>
      </c>
    </row>
    <row r="9611" spans="1:14" x14ac:dyDescent="0.15">
      <c r="A9611" s="23" t="str">
        <f>HYPERLINK("https://www.spark-marketing.ru/Card/Person/4352849", "МБОУ ""СОВЕТСКАЯ СОШ"" АКБУЛАКСКОГО РАЙОНА ОРЕНБУРГСКОЙ ОБЛАСТИ")</f>
        <v>МБОУ "СОВЕТСКАЯ СОШ" АКБУЛАКСКОГО РАЙОНА ОРЕНБУРГСКОЙ ОБЛАСТИ</v>
      </c>
      <c r="B9611" s="24" t="s">
        <v>11997</v>
      </c>
      <c r="C9611" s="25">
        <v>47870</v>
      </c>
      <c r="D9611" s="22" t="s">
        <v>11998</v>
      </c>
      <c r="E9611" s="22" t="s">
        <v>59</v>
      </c>
      <c r="F9611" s="23" t="str">
        <f>HYPERLINK("https://www.spark-marketing.ru/Card/Lot/69854621", "Установка системы видеонаблюдения   МБОУ «Советская СОШ» Акбулакского района Оренбургской области (дошкольная группа)")</f>
        <v>Установка системы видеонаблюдения   МБОУ «Советская СОШ» Акбулакского района Оренбургской области (дошкольная группа)</v>
      </c>
      <c r="G9611" s="22" t="s">
        <v>384</v>
      </c>
      <c r="H9611" s="22" t="s">
        <v>384</v>
      </c>
      <c r="I9611" s="26">
        <v>43572.45</v>
      </c>
      <c r="J9611" s="28" t="s">
        <v>52</v>
      </c>
      <c r="K9611" s="28" t="s">
        <v>52</v>
      </c>
      <c r="L9611" s="28" t="s">
        <v>52</v>
      </c>
      <c r="M9611" s="28" t="s">
        <v>52</v>
      </c>
      <c r="N9611" s="28" t="s">
        <v>52</v>
      </c>
    </row>
    <row r="9612" spans="1:14" ht="12.75" hidden="1" outlineLevel="1" x14ac:dyDescent="0.2">
      <c r="A9612" s="23" t="str">
        <f>HYPERLINK("https://www.spark-marketing.ru/Card/Person/4352849", "МБОУ ""СОВЕТСКАЯ СОШ"" АКБУЛАКСКОГО РАЙОНА ОРЕНБУРГСКОЙ ОБЛАСТИ")</f>
        <v>МБОУ "СОВЕТСКАЯ СОШ" АКБУЛАКСКОГО РАЙОНА ОРЕНБУРГСКОЙ ОБЛАСТИ</v>
      </c>
      <c r="B9612" s="24" t="s">
        <v>11997</v>
      </c>
      <c r="C9612" s="25">
        <v>47870</v>
      </c>
      <c r="D9612" s="22" t="s">
        <v>11998</v>
      </c>
      <c r="E9612" s="22" t="s">
        <v>59</v>
      </c>
      <c r="F9612" s="23" t="str">
        <f>HYPERLINK("https://www.spark-marketing.ru/Card/Lot/69854621", "Установка системы видеонаблюдения   МБОУ «Советская СОШ» Акбулакского района Оренбургской области (дошкольная группа)")</f>
        <v>Установка системы видеонаблюдения   МБОУ «Советская СОШ» Акбулакского района Оренбургской области (дошкольная группа)</v>
      </c>
      <c r="G9612" s="22" t="s">
        <v>384</v>
      </c>
      <c r="H9612" s="22" t="s">
        <v>384</v>
      </c>
      <c r="I9612" s="26">
        <v>43572.45</v>
      </c>
      <c r="J9612" s="23" t="str">
        <f>HYPERLINK("https://www.spark-marketing.ru/Card/Person/418017", "Кожемякин Григорий Валерьевич")</f>
        <v>Кожемякин Григорий Валерьевич</v>
      </c>
      <c r="K9612" s="24" t="s">
        <v>3982</v>
      </c>
      <c r="L9612" s="22" t="s">
        <v>10</v>
      </c>
      <c r="M9612" s="25">
        <v>40689.5</v>
      </c>
      <c r="N9612" s="27">
        <v>0.15</v>
      </c>
    </row>
    <row r="9613" spans="1:14" hidden="1" outlineLevel="1" x14ac:dyDescent="0.2">
      <c r="A9613" s="23" t="str">
        <f>HYPERLINK("https://www.spark-marketing.ru/Card/Person/4352849", "МБОУ ""СОВЕТСКАЯ СОШ"" АКБУЛАКСКОГО РАЙОНА ОРЕНБУРГСКОЙ ОБЛАСТИ")</f>
        <v>МБОУ "СОВЕТСКАЯ СОШ" АКБУЛАКСКОГО РАЙОНА ОРЕНБУРГСКОЙ ОБЛАСТИ</v>
      </c>
      <c r="B9613" s="24" t="s">
        <v>11997</v>
      </c>
      <c r="C9613" s="25">
        <v>47870</v>
      </c>
      <c r="D9613" s="22" t="s">
        <v>11998</v>
      </c>
      <c r="E9613" s="22" t="s">
        <v>59</v>
      </c>
      <c r="F9613" s="23" t="str">
        <f>HYPERLINK("https://www.spark-marketing.ru/Card/Lot/69854621", "Установка системы видеонаблюдения   МБОУ «Советская СОШ» Акбулакского района Оренбургской области (дошкольная группа)")</f>
        <v>Установка системы видеонаблюдения   МБОУ «Советская СОШ» Акбулакского района Оренбургской области (дошкольная группа)</v>
      </c>
      <c r="G9613" s="22" t="s">
        <v>384</v>
      </c>
      <c r="H9613" s="22" t="s">
        <v>384</v>
      </c>
      <c r="I9613" s="26">
        <v>43572.45</v>
      </c>
      <c r="J9613" s="23" t="str">
        <f>HYPERLINK("https://www.spark-marketing.ru/Card/Person/389428", "ООО ""ЭЛЕКТРОСЕРВИСПЛЮС""")</f>
        <v>ООО "ЭЛЕКТРОСЕРВИСПЛЮС"</v>
      </c>
      <c r="K9613" s="24" t="s">
        <v>11999</v>
      </c>
      <c r="L9613" s="28" t="s">
        <v>52</v>
      </c>
      <c r="M9613" s="25">
        <v>40928.85</v>
      </c>
      <c r="N9613" s="27">
        <v>0.14499999999999999</v>
      </c>
    </row>
    <row r="9614" spans="1:14" x14ac:dyDescent="0.15">
      <c r="A9614" s="23" t="str">
        <f>HYPERLINK("https://www.spark-marketing.ru/Card/Person/118619", "ОТДМВД РОССИИ ПО ШЕМЫШЕЙСКОМУ РАЙОНУ")</f>
        <v>ОТДМВД РОССИИ ПО ШЕМЫШЕЙСКОМУ РАЙОНУ</v>
      </c>
      <c r="B9614" s="24" t="s">
        <v>11746</v>
      </c>
      <c r="C9614" s="25">
        <v>20000</v>
      </c>
      <c r="D9614" s="22" t="s">
        <v>12000</v>
      </c>
      <c r="E9614" s="22" t="s">
        <v>84</v>
      </c>
      <c r="F9614" s="23" t="str">
        <f>HYPERLINK("https://www.spark-marketing.ru/Card/Lot/70157590", "Монтаж, установка, сборка видеонаблюдения, 1 шт")</f>
        <v>Монтаж, установка, сборка видеонаблюдения, 1 шт</v>
      </c>
      <c r="G9614" s="22" t="s">
        <v>514</v>
      </c>
      <c r="H9614" s="22" t="s">
        <v>11748</v>
      </c>
      <c r="I9614" s="26">
        <v>43572.450995370396</v>
      </c>
      <c r="J9614" s="28" t="s">
        <v>52</v>
      </c>
      <c r="K9614" s="28" t="s">
        <v>52</v>
      </c>
      <c r="L9614" s="28" t="s">
        <v>52</v>
      </c>
      <c r="M9614" s="28" t="s">
        <v>52</v>
      </c>
      <c r="N9614" s="28" t="s">
        <v>52</v>
      </c>
    </row>
    <row r="9615" spans="1:14" x14ac:dyDescent="0.15">
      <c r="A9615" s="23" t="str">
        <f>HYPERLINK("https://www.spark-marketing.ru/Card/Person/60856", "МОУ ЛИЦЕЙ")</f>
        <v>МОУ ЛИЦЕЙ</v>
      </c>
      <c r="B9615" s="24" t="s">
        <v>12001</v>
      </c>
      <c r="C9615" s="25">
        <v>44500</v>
      </c>
      <c r="D9615" s="22" t="s">
        <v>12002</v>
      </c>
      <c r="E9615" s="22" t="s">
        <v>298</v>
      </c>
      <c r="F9615" s="23" t="str">
        <f>HYPERLINK("https://www.spark-marketing.ru/Card/Lot/69854033", "Оказание услуг по техническому обслуживанию системы видеонаблюдения во время проведения ЕГЭ ля МОУ Лицей")</f>
        <v>Оказание услуг по техническому обслуживанию системы видеонаблюдения во время проведения ЕГЭ ля МОУ Лицей</v>
      </c>
      <c r="G9615" s="22" t="s">
        <v>50</v>
      </c>
      <c r="H9615" s="22" t="s">
        <v>12003</v>
      </c>
      <c r="I9615" s="26">
        <v>43572.409398148098</v>
      </c>
      <c r="J9615" s="28" t="s">
        <v>52</v>
      </c>
      <c r="K9615" s="28" t="s">
        <v>52</v>
      </c>
      <c r="L9615" s="28" t="s">
        <v>52</v>
      </c>
      <c r="M9615" s="28" t="s">
        <v>52</v>
      </c>
      <c r="N9615" s="28" t="s">
        <v>52</v>
      </c>
    </row>
    <row r="9616" spans="1:14" x14ac:dyDescent="0.15">
      <c r="A9616" s="23" t="str">
        <f>HYPERLINK("https://www.spark-marketing.ru/Card/Person/1007782", "МБДОУ ""ДЕТСКИЙ САД С.САГАРЧИН""")</f>
        <v>МБДОУ "ДЕТСКИЙ САД С.САГАРЧИН"</v>
      </c>
      <c r="B9616" s="24" t="s">
        <v>12004</v>
      </c>
      <c r="C9616" s="25">
        <v>51530</v>
      </c>
      <c r="D9616" s="22" t="s">
        <v>12005</v>
      </c>
      <c r="E9616" s="22" t="s">
        <v>59</v>
      </c>
      <c r="F9616" s="23" t="str">
        <f>HYPERLINK("https://www.spark-marketing.ru/Card/Lot/69851651", "Установка системы видеонаблюдения   МБДОУ «Детский сад с. Сагарчин»")</f>
        <v>Установка системы видеонаблюдения   МБДОУ «Детский сад с. Сагарчин»</v>
      </c>
      <c r="G9616" s="22" t="s">
        <v>384</v>
      </c>
      <c r="H9616" s="22" t="s">
        <v>384</v>
      </c>
      <c r="I9616" s="26">
        <v>43572.377777777801</v>
      </c>
      <c r="J9616" s="28" t="s">
        <v>52</v>
      </c>
      <c r="K9616" s="28" t="s">
        <v>52</v>
      </c>
      <c r="L9616" s="28" t="s">
        <v>52</v>
      </c>
      <c r="M9616" s="28" t="s">
        <v>52</v>
      </c>
      <c r="N9616" s="28" t="s">
        <v>52</v>
      </c>
    </row>
    <row r="9617" spans="1:14" ht="12.75" hidden="1" outlineLevel="1" x14ac:dyDescent="0.2">
      <c r="A9617" s="23" t="str">
        <f>HYPERLINK("https://www.spark-marketing.ru/Card/Person/1007782", "МБДОУ ""ДЕТСКИЙ САД С.САГАРЧИН""")</f>
        <v>МБДОУ "ДЕТСКИЙ САД С.САГАРЧИН"</v>
      </c>
      <c r="B9617" s="24" t="s">
        <v>12004</v>
      </c>
      <c r="C9617" s="25">
        <v>51530</v>
      </c>
      <c r="D9617" s="22" t="s">
        <v>12005</v>
      </c>
      <c r="E9617" s="22" t="s">
        <v>59</v>
      </c>
      <c r="F9617" s="23" t="str">
        <f>HYPERLINK("https://www.spark-marketing.ru/Card/Lot/69851651", "Установка системы видеонаблюдения   МБДОУ «Детский сад с. Сагарчин»")</f>
        <v>Установка системы видеонаблюдения   МБДОУ «Детский сад с. Сагарчин»</v>
      </c>
      <c r="G9617" s="22" t="s">
        <v>384</v>
      </c>
      <c r="H9617" s="22" t="s">
        <v>384</v>
      </c>
      <c r="I9617" s="26">
        <v>43572.377777777801</v>
      </c>
      <c r="J9617" s="23" t="str">
        <f>HYPERLINK("https://www.spark-marketing.ru/Card/Person/418017", "Кожемякин Григорий Валерьевич")</f>
        <v>Кожемякин Григорий Валерьевич</v>
      </c>
      <c r="K9617" s="24" t="s">
        <v>3982</v>
      </c>
      <c r="L9617" s="22" t="s">
        <v>10</v>
      </c>
      <c r="M9617" s="25">
        <v>43542.85</v>
      </c>
      <c r="N9617" s="27">
        <v>0.155</v>
      </c>
    </row>
    <row r="9618" spans="1:14" hidden="1" outlineLevel="1" x14ac:dyDescent="0.2">
      <c r="A9618" s="23" t="str">
        <f>HYPERLINK("https://www.spark-marketing.ru/Card/Person/1007782", "МБДОУ ""ДЕТСКИЙ САД С.САГАРЧИН""")</f>
        <v>МБДОУ "ДЕТСКИЙ САД С.САГАРЧИН"</v>
      </c>
      <c r="B9618" s="24" t="s">
        <v>12004</v>
      </c>
      <c r="C9618" s="25">
        <v>51530</v>
      </c>
      <c r="D9618" s="22" t="s">
        <v>12005</v>
      </c>
      <c r="E9618" s="22" t="s">
        <v>59</v>
      </c>
      <c r="F9618" s="23" t="str">
        <f>HYPERLINK("https://www.spark-marketing.ru/Card/Lot/69851651", "Установка системы видеонаблюдения   МБДОУ «Детский сад с. Сагарчин»")</f>
        <v>Установка системы видеонаблюдения   МБДОУ «Детский сад с. Сагарчин»</v>
      </c>
      <c r="G9618" s="22" t="s">
        <v>384</v>
      </c>
      <c r="H9618" s="22" t="s">
        <v>384</v>
      </c>
      <c r="I9618" s="26">
        <v>43572.377777777801</v>
      </c>
      <c r="J9618" s="23" t="str">
        <f>HYPERLINK("https://www.spark-marketing.ru/Card/Person/389428", "ООО ""ЭЛЕКТРОСЕРВИСПЛЮС""")</f>
        <v>ООО "ЭЛЕКТРОСЕРВИСПЛЮС"</v>
      </c>
      <c r="K9618" s="24" t="s">
        <v>11999</v>
      </c>
      <c r="L9618" s="28" t="s">
        <v>52</v>
      </c>
      <c r="M9618" s="25">
        <v>43800.5</v>
      </c>
      <c r="N9618" s="27">
        <v>0.15</v>
      </c>
    </row>
    <row r="9619" spans="1:14" x14ac:dyDescent="0.15">
      <c r="A9619" s="23" t="str">
        <f>HYPERLINK("https://www.spark-marketing.ru/Card/Person/4805", "МИНИСТЕРСТВО ТРАНСПОРТА")</f>
        <v>МИНИСТЕРСТВО ТРАНСПОРТА</v>
      </c>
      <c r="B9619" s="24" t="s">
        <v>12006</v>
      </c>
      <c r="C9619" s="25">
        <v>84988159.540000007</v>
      </c>
      <c r="D9619" s="22" t="s">
        <v>12007</v>
      </c>
      <c r="E9619" s="22" t="s">
        <v>723</v>
      </c>
      <c r="F9619" s="23" t="str">
        <f>HYPERLINK("https://www.spark-marketing.ru/Card/Lot/69855070", "Выполнение работ по обеспечению транспортной безопасности объектов транспортной инфраструктуры")</f>
        <v>Выполнение работ по обеспечению транспортной безопасности объектов транспортной инфраструктуры</v>
      </c>
      <c r="G9619" s="22" t="s">
        <v>760</v>
      </c>
      <c r="H9619" s="22" t="s">
        <v>1709</v>
      </c>
      <c r="I9619" s="26">
        <v>43572.393750000003</v>
      </c>
      <c r="J9619" s="28" t="s">
        <v>52</v>
      </c>
      <c r="K9619" s="28" t="s">
        <v>52</v>
      </c>
      <c r="L9619" s="28" t="s">
        <v>52</v>
      </c>
      <c r="M9619" s="28" t="s">
        <v>52</v>
      </c>
      <c r="N9619" s="28" t="s">
        <v>52</v>
      </c>
    </row>
    <row r="9620" spans="1:14" hidden="1" outlineLevel="1" x14ac:dyDescent="0.2">
      <c r="A9620" s="23" t="str">
        <f>HYPERLINK("https://www.spark-marketing.ru/Card/Person/4805", "МИНИСТЕРСТВО ТРАНСПОРТА")</f>
        <v>МИНИСТЕРСТВО ТРАНСПОРТА</v>
      </c>
      <c r="B9620" s="24" t="s">
        <v>12006</v>
      </c>
      <c r="C9620" s="25">
        <v>84988159.540000007</v>
      </c>
      <c r="D9620" s="22" t="s">
        <v>12007</v>
      </c>
      <c r="E9620" s="22" t="s">
        <v>723</v>
      </c>
      <c r="F9620" s="23" t="str">
        <f>HYPERLINK("https://www.spark-marketing.ru/Card/Lot/69855070", "Выполнение работ по обеспечению транспортной безопасности объектов транспортной инфраструктуры")</f>
        <v>Выполнение работ по обеспечению транспортной безопасности объектов транспортной инфраструктуры</v>
      </c>
      <c r="G9620" s="22" t="s">
        <v>760</v>
      </c>
      <c r="H9620" s="22" t="s">
        <v>1709</v>
      </c>
      <c r="I9620" s="26">
        <v>43572.393750000003</v>
      </c>
      <c r="J9620" s="23" t="str">
        <f>HYPERLINK("https://www.spark-marketing.ru/Card/Person/416757", "ООО ""ПРОМТЕЛЕКОМ""")</f>
        <v>ООО "ПРОМТЕЛЕКОМ"</v>
      </c>
      <c r="K9620" s="24" t="s">
        <v>12008</v>
      </c>
      <c r="L9620" s="28" t="s">
        <v>52</v>
      </c>
      <c r="M9620" s="25">
        <v>76064402.739999995</v>
      </c>
      <c r="N9620" s="27">
        <v>0.10500000056831446</v>
      </c>
    </row>
    <row r="9621" spans="1:14" hidden="1" outlineLevel="1" x14ac:dyDescent="0.2">
      <c r="A9621" s="23" t="str">
        <f>HYPERLINK("https://www.spark-marketing.ru/Card/Person/4805", "МИНИСТЕРСТВО ТРАНСПОРТА")</f>
        <v>МИНИСТЕРСТВО ТРАНСПОРТА</v>
      </c>
      <c r="B9621" s="24" t="s">
        <v>12006</v>
      </c>
      <c r="C9621" s="25">
        <v>84988159.540000007</v>
      </c>
      <c r="D9621" s="22" t="s">
        <v>12007</v>
      </c>
      <c r="E9621" s="22" t="s">
        <v>723</v>
      </c>
      <c r="F9621" s="23" t="str">
        <f>HYPERLINK("https://www.spark-marketing.ru/Card/Lot/69855070", "Выполнение работ по обеспечению транспортной безопасности объектов транспортной инфраструктуры")</f>
        <v>Выполнение работ по обеспечению транспортной безопасности объектов транспортной инфраструктуры</v>
      </c>
      <c r="G9621" s="22" t="s">
        <v>760</v>
      </c>
      <c r="H9621" s="22" t="s">
        <v>1709</v>
      </c>
      <c r="I9621" s="26">
        <v>43572.393750000003</v>
      </c>
      <c r="J9621" s="23" t="str">
        <f>HYPERLINK("https://www.spark-marketing.ru/Card/Person/6527682", "СРЕДНЕВОЛЖСКИЙ ФЛ ФГУП УПРАВЛЕНИЕ ВЕДОМСТВЕННОЙ ОХРАНЫ МИНИСТЕРСТВА ТРАНСПОРТА РФ")</f>
        <v>СРЕДНЕВОЛЖСКИЙ ФЛ ФГУП УПРАВЛЕНИЕ ВЕДОМСТВЕННОЙ ОХРАНЫ МИНИСТЕРСТВА ТРАНСПОРТА РФ</v>
      </c>
      <c r="K9621" s="24" t="s">
        <v>1472</v>
      </c>
      <c r="L9621" s="28" t="s">
        <v>52</v>
      </c>
      <c r="M9621" s="25">
        <v>84138277.939999998</v>
      </c>
      <c r="N9621" s="27">
        <v>1.0000000054125187E-2</v>
      </c>
    </row>
    <row r="9622" spans="1:14" ht="12.75" hidden="1" outlineLevel="1" x14ac:dyDescent="0.2">
      <c r="A9622" s="23" t="str">
        <f>HYPERLINK("https://www.spark-marketing.ru/Card/Person/4805", "МИНИСТЕРСТВО ТРАНСПОРТА")</f>
        <v>МИНИСТЕРСТВО ТРАНСПОРТА</v>
      </c>
      <c r="B9622" s="24" t="s">
        <v>12006</v>
      </c>
      <c r="C9622" s="25">
        <v>84988159.540000007</v>
      </c>
      <c r="D9622" s="22" t="s">
        <v>12007</v>
      </c>
      <c r="E9622" s="22" t="s">
        <v>723</v>
      </c>
      <c r="F9622" s="23" t="str">
        <f>HYPERLINK("https://www.spark-marketing.ru/Card/Lot/69855070", "Выполнение работ по обеспечению транспортной безопасности объектов транспортной инфраструктуры")</f>
        <v>Выполнение работ по обеспечению транспортной безопасности объектов транспортной инфраструктуры</v>
      </c>
      <c r="G9622" s="22" t="s">
        <v>760</v>
      </c>
      <c r="H9622" s="22" t="s">
        <v>1709</v>
      </c>
      <c r="I9622" s="26">
        <v>43572.393750000003</v>
      </c>
      <c r="J9622" s="23" t="str">
        <f>HYPERLINK("https://www.spark-marketing.ru/Card/Person/66696", "ООО ""ПАРАЛЛАКС""")</f>
        <v>ООО "ПАРАЛЛАКС"</v>
      </c>
      <c r="K9622" s="24" t="s">
        <v>2496</v>
      </c>
      <c r="L9622" s="22" t="s">
        <v>10</v>
      </c>
      <c r="M9622" s="25">
        <v>75387461.939999998</v>
      </c>
      <c r="N9622" s="27">
        <v>0.11296511951740049</v>
      </c>
    </row>
    <row r="9623" spans="1:14" x14ac:dyDescent="0.15">
      <c r="A9623" s="23" t="str">
        <f>HYPERLINK("https://www.spark-marketing.ru/Card/Person/123351", "МБОУ ""СОШ № 4 Г. ШАТУРЫ""")</f>
        <v>МБОУ "СОШ № 4 Г. ШАТУРЫ"</v>
      </c>
      <c r="B9623" s="24" t="s">
        <v>11784</v>
      </c>
      <c r="C9623" s="25">
        <v>40000</v>
      </c>
      <c r="D9623" s="22" t="s">
        <v>12009</v>
      </c>
      <c r="E9623" s="22" t="s">
        <v>294</v>
      </c>
      <c r="F9623" s="23" t="str">
        <f>HYPERLINK("https://www.spark-marketing.ru/Card/Lot/69852886", "Оказание услуги по техническому обслуживанию видеокамер для проведения ЕГЭ")</f>
        <v>Оказание услуги по техническому обслуживанию видеокамер для проведения ЕГЭ</v>
      </c>
      <c r="G9623" s="22" t="s">
        <v>50</v>
      </c>
      <c r="H9623" s="22" t="s">
        <v>756</v>
      </c>
      <c r="I9623" s="26">
        <v>43572.347094907404</v>
      </c>
      <c r="J9623" s="28" t="s">
        <v>52</v>
      </c>
      <c r="K9623" s="28" t="s">
        <v>52</v>
      </c>
      <c r="L9623" s="28" t="s">
        <v>52</v>
      </c>
      <c r="M9623" s="28" t="s">
        <v>52</v>
      </c>
      <c r="N9623" s="28" t="s">
        <v>52</v>
      </c>
    </row>
    <row r="9624" spans="1:14" x14ac:dyDescent="0.15">
      <c r="A9624" s="23" t="str">
        <f t="shared" ref="A9624:A9629" si="439">HYPERLINK("https://www.spark-marketing.ru/Card/Person/48109", "ГБУЗ НО ""ДЕТСКИЙ САНАТОРИЙ ""СВЕТЛАНА""")</f>
        <v>ГБУЗ НО "ДЕТСКИЙ САНАТОРИЙ "СВЕТЛАНА"</v>
      </c>
      <c r="B9624" s="24" t="s">
        <v>12010</v>
      </c>
      <c r="C9624" s="25">
        <v>133874</v>
      </c>
      <c r="D9624" s="22" t="s">
        <v>12011</v>
      </c>
      <c r="E9624" s="22" t="s">
        <v>59</v>
      </c>
      <c r="F9624" s="23" t="str">
        <f t="shared" ref="F9624:F9629" si="440">HYPERLINK("https://www.spark-marketing.ru/Card/Lot/69855772", "Установка системы видеонаблюдения")</f>
        <v>Установка системы видеонаблюдения</v>
      </c>
      <c r="G9624" s="22" t="s">
        <v>64</v>
      </c>
      <c r="H9624" s="22" t="s">
        <v>64</v>
      </c>
      <c r="I9624" s="26">
        <v>43572.370833333298</v>
      </c>
      <c r="J9624" s="28" t="s">
        <v>52</v>
      </c>
      <c r="K9624" s="28" t="s">
        <v>52</v>
      </c>
      <c r="L9624" s="28" t="s">
        <v>52</v>
      </c>
      <c r="M9624" s="28" t="s">
        <v>52</v>
      </c>
      <c r="N9624" s="28" t="s">
        <v>52</v>
      </c>
    </row>
    <row r="9625" spans="1:14" hidden="1" outlineLevel="1" x14ac:dyDescent="0.2">
      <c r="A9625" s="23" t="str">
        <f t="shared" si="439"/>
        <v>ГБУЗ НО "ДЕТСКИЙ САНАТОРИЙ "СВЕТЛАНА"</v>
      </c>
      <c r="B9625" s="24" t="s">
        <v>12010</v>
      </c>
      <c r="C9625" s="25">
        <v>133874</v>
      </c>
      <c r="D9625" s="22" t="s">
        <v>12011</v>
      </c>
      <c r="E9625" s="22" t="s">
        <v>59</v>
      </c>
      <c r="F9625" s="23" t="str">
        <f t="shared" si="440"/>
        <v>Установка системы видеонаблюдения</v>
      </c>
      <c r="G9625" s="22" t="s">
        <v>64</v>
      </c>
      <c r="H9625" s="22" t="s">
        <v>64</v>
      </c>
      <c r="I9625" s="26">
        <v>43572.370833333298</v>
      </c>
      <c r="J9625" s="23" t="str">
        <f>HYPERLINK("https://www.spark-marketing.ru/Card/Person/284801", "ООО ЧОО ""АЛЬБИОН""")</f>
        <v>ООО ЧОО "АЛЬБИОН"</v>
      </c>
      <c r="K9625" s="24" t="s">
        <v>12012</v>
      </c>
      <c r="L9625" s="28" t="s">
        <v>52</v>
      </c>
      <c r="M9625" s="25">
        <v>101661.26</v>
      </c>
      <c r="N9625" s="27">
        <v>0.24061983656273811</v>
      </c>
    </row>
    <row r="9626" spans="1:14" ht="12.75" hidden="1" outlineLevel="1" x14ac:dyDescent="0.2">
      <c r="A9626" s="23" t="str">
        <f t="shared" si="439"/>
        <v>ГБУЗ НО "ДЕТСКИЙ САНАТОРИЙ "СВЕТЛАНА"</v>
      </c>
      <c r="B9626" s="24" t="s">
        <v>12010</v>
      </c>
      <c r="C9626" s="25">
        <v>133874</v>
      </c>
      <c r="D9626" s="22" t="s">
        <v>12011</v>
      </c>
      <c r="E9626" s="22" t="s">
        <v>59</v>
      </c>
      <c r="F9626" s="23" t="str">
        <f t="shared" si="440"/>
        <v>Установка системы видеонаблюдения</v>
      </c>
      <c r="G9626" s="22" t="s">
        <v>64</v>
      </c>
      <c r="H9626" s="22" t="s">
        <v>64</v>
      </c>
      <c r="I9626" s="26">
        <v>43572.370833333298</v>
      </c>
      <c r="J9626" s="23" t="str">
        <f>HYPERLINK("https://www.spark-marketing.ru/Card/Person/1267256", "ООО ""СИГНАЛ""")</f>
        <v>ООО "СИГНАЛ"</v>
      </c>
      <c r="K9626" s="24" t="s">
        <v>8221</v>
      </c>
      <c r="L9626" s="22" t="s">
        <v>10</v>
      </c>
      <c r="M9626" s="25">
        <v>80330.63</v>
      </c>
      <c r="N9626" s="27">
        <v>0.39995346370467755</v>
      </c>
    </row>
    <row r="9627" spans="1:14" hidden="1" outlineLevel="1" x14ac:dyDescent="0.2">
      <c r="A9627" s="23" t="str">
        <f t="shared" si="439"/>
        <v>ГБУЗ НО "ДЕТСКИЙ САНАТОРИЙ "СВЕТЛАНА"</v>
      </c>
      <c r="B9627" s="24" t="s">
        <v>12010</v>
      </c>
      <c r="C9627" s="25">
        <v>133874</v>
      </c>
      <c r="D9627" s="22" t="s">
        <v>12011</v>
      </c>
      <c r="E9627" s="22" t="s">
        <v>59</v>
      </c>
      <c r="F9627" s="23" t="str">
        <f t="shared" si="440"/>
        <v>Установка системы видеонаблюдения</v>
      </c>
      <c r="G9627" s="22" t="s">
        <v>64</v>
      </c>
      <c r="H9627" s="22" t="s">
        <v>64</v>
      </c>
      <c r="I9627" s="26">
        <v>43572.370833333298</v>
      </c>
      <c r="J9627" s="23" t="str">
        <f>HYPERLINK("https://www.spark-marketing.ru/Card/Person/526982", "ООО ОП ""АКС ГАРД-НН""")</f>
        <v>ООО ОП "АКС ГАРД-НН"</v>
      </c>
      <c r="K9627" s="24" t="s">
        <v>12013</v>
      </c>
      <c r="L9627" s="28" t="s">
        <v>52</v>
      </c>
      <c r="M9627" s="25">
        <v>115991.89</v>
      </c>
      <c r="N9627" s="27">
        <v>0.13357418169323393</v>
      </c>
    </row>
    <row r="9628" spans="1:14" hidden="1" outlineLevel="1" x14ac:dyDescent="0.2">
      <c r="A9628" s="23" t="str">
        <f t="shared" si="439"/>
        <v>ГБУЗ НО "ДЕТСКИЙ САНАТОРИЙ "СВЕТЛАНА"</v>
      </c>
      <c r="B9628" s="24" t="s">
        <v>12010</v>
      </c>
      <c r="C9628" s="25">
        <v>133874</v>
      </c>
      <c r="D9628" s="22" t="s">
        <v>12011</v>
      </c>
      <c r="E9628" s="22" t="s">
        <v>59</v>
      </c>
      <c r="F9628" s="23" t="str">
        <f t="shared" si="440"/>
        <v>Установка системы видеонаблюдения</v>
      </c>
      <c r="G9628" s="22" t="s">
        <v>64</v>
      </c>
      <c r="H9628" s="22" t="s">
        <v>64</v>
      </c>
      <c r="I9628" s="26">
        <v>43572.370833333298</v>
      </c>
      <c r="J9628" s="23" t="str">
        <f>HYPERLINK("https://www.spark-marketing.ru/Card/Person/526586", "ООО ""МОНТАЖНАЯ КОМПАНИЯ СИСТЕМ БЕЗОПАСНОСТИ""")</f>
        <v>ООО "МОНТАЖНАЯ КОМПАНИЯ СИСТЕМ БЕЗОПАСНОСТИ"</v>
      </c>
      <c r="K9628" s="24" t="s">
        <v>4708</v>
      </c>
      <c r="L9628" s="28" t="s">
        <v>52</v>
      </c>
      <c r="M9628" s="25">
        <v>81000</v>
      </c>
      <c r="N9628" s="27">
        <v>0.39495346370467754</v>
      </c>
    </row>
    <row r="9629" spans="1:14" hidden="1" outlineLevel="1" x14ac:dyDescent="0.2">
      <c r="A9629" s="23" t="str">
        <f t="shared" si="439"/>
        <v>ГБУЗ НО "ДЕТСКИЙ САНАТОРИЙ "СВЕТЛАНА"</v>
      </c>
      <c r="B9629" s="24" t="s">
        <v>12010</v>
      </c>
      <c r="C9629" s="25">
        <v>133874</v>
      </c>
      <c r="D9629" s="22" t="s">
        <v>12011</v>
      </c>
      <c r="E9629" s="22" t="s">
        <v>59</v>
      </c>
      <c r="F9629" s="23" t="str">
        <f t="shared" si="440"/>
        <v>Установка системы видеонаблюдения</v>
      </c>
      <c r="G9629" s="22" t="s">
        <v>64</v>
      </c>
      <c r="H9629" s="22" t="s">
        <v>64</v>
      </c>
      <c r="I9629" s="26">
        <v>43572.370833333298</v>
      </c>
      <c r="J9629" s="23" t="str">
        <f>HYPERLINK("https://www.spark-marketing.ru/Card/Person/5767365", "ООО ""АЙТИСКУЛ""")</f>
        <v>ООО "АЙТИСКУЛ"</v>
      </c>
      <c r="K9629" s="24" t="s">
        <v>12014</v>
      </c>
      <c r="L9629" s="28" t="s">
        <v>52</v>
      </c>
      <c r="M9629" s="25">
        <v>88330.63</v>
      </c>
      <c r="N9629" s="27">
        <v>0.34019578110760867</v>
      </c>
    </row>
    <row r="9630" spans="1:14" x14ac:dyDescent="0.15">
      <c r="A9630" s="23" t="str">
        <f>HYPERLINK("https://www.spark-marketing.ru/Card/Person/1017901", "БОУ Г. ОМСКА ""СРЕДНЯЯ ОБЩЕОБРАЗОВАТЕЛЬНАЯ ШКОЛА № 40 С УГЛУБЛЕННЫМ ИЗУЧЕНИЕМ ОТДЕЛЬНЫХ ПРЕДМЕТОВ""")</f>
        <v>БОУ Г. ОМСКА "СРЕДНЯЯ ОБЩЕОБРАЗОВАТЕЛЬНАЯ ШКОЛА № 40 С УГЛУБЛЕННЫМ ИЗУЧЕНИЕМ ОТДЕЛЬНЫХ ПРЕДМЕТОВ"</v>
      </c>
      <c r="B9630" s="24" t="s">
        <v>6987</v>
      </c>
      <c r="C9630" s="25">
        <v>99999.6</v>
      </c>
      <c r="D9630" s="22" t="s">
        <v>12015</v>
      </c>
      <c r="E9630" s="22" t="s">
        <v>84</v>
      </c>
      <c r="F9630" s="23" t="str">
        <f>HYPERLINK("https://www.spark-marketing.ru/Card/Lot/69851187", "Установка системы видеонаблюдения")</f>
        <v>Установка системы видеонаблюдения</v>
      </c>
      <c r="G9630" s="22" t="s">
        <v>521</v>
      </c>
      <c r="H9630" s="22" t="s">
        <v>522</v>
      </c>
      <c r="I9630" s="26">
        <v>43572.3125</v>
      </c>
      <c r="J9630" s="28" t="s">
        <v>52</v>
      </c>
      <c r="K9630" s="28" t="s">
        <v>52</v>
      </c>
      <c r="L9630" s="28" t="s">
        <v>52</v>
      </c>
      <c r="M9630" s="28" t="s">
        <v>52</v>
      </c>
      <c r="N9630" s="28" t="s">
        <v>52</v>
      </c>
    </row>
    <row r="9631" spans="1:14" x14ac:dyDescent="0.15">
      <c r="A9631" s="23" t="str">
        <f>HYPERLINK("https://www.spark-marketing.ru/Card/Person/1035027", "МБУК ДДК ИМ. Д. Н. ПИЧУГИНА")</f>
        <v>МБУК ДДК ИМ. Д. Н. ПИЧУГИНА</v>
      </c>
      <c r="B9631" s="24" t="s">
        <v>12016</v>
      </c>
      <c r="C9631" s="25">
        <v>38933.33</v>
      </c>
      <c r="D9631" s="22" t="s">
        <v>12017</v>
      </c>
      <c r="E9631" s="22" t="s">
        <v>107</v>
      </c>
      <c r="F9631" s="23" t="str">
        <f>HYPERLINK("https://www.spark-marketing.ru/Card/Lot/69850562", "Техническое обслуживание системы видеонаблюдения")</f>
        <v>Техническое обслуживание системы видеонаблюдения</v>
      </c>
      <c r="G9631" s="22" t="s">
        <v>209</v>
      </c>
      <c r="H9631" s="22" t="s">
        <v>210</v>
      </c>
      <c r="I9631" s="26">
        <v>43572.288888888899</v>
      </c>
      <c r="J9631" s="28" t="s">
        <v>52</v>
      </c>
      <c r="K9631" s="28" t="s">
        <v>52</v>
      </c>
      <c r="L9631" s="28" t="s">
        <v>52</v>
      </c>
      <c r="M9631" s="28" t="s">
        <v>52</v>
      </c>
      <c r="N9631" s="28" t="s">
        <v>52</v>
      </c>
    </row>
    <row r="9632" spans="1:14" ht="12.75" x14ac:dyDescent="0.2">
      <c r="A9632" s="23" t="str">
        <f>HYPERLINK("https://www.spark-marketing.ru/Card/Person/71704", "ГАУЗ ""ГКБ ИМ. Н.И. ПИРОГОВА"" Г. ОРЕНБУРГА")</f>
        <v>ГАУЗ "ГКБ ИМ. Н.И. ПИРОГОВА" Г. ОРЕНБУРГА</v>
      </c>
      <c r="B9632" s="24" t="s">
        <v>12018</v>
      </c>
      <c r="C9632" s="25">
        <v>94446</v>
      </c>
      <c r="D9632" s="22" t="s">
        <v>12019</v>
      </c>
      <c r="E9632" s="22" t="s">
        <v>533</v>
      </c>
      <c r="F9632" s="23" t="str">
        <f>HYPERLINK("https://www.spark-marketing.ru/Card/Lot/69827172", "ВЫПОЛНЕНИЕ РАБОТ НА МОНТАЖНЫЕ РАБОТЫ ОХРАННО-ТРЕВОЖНОЙ СИГНАЛИЗАЦИИ ПО УЛ. ГАРАНЬКИНА ДЛЯ НУЖД ГАУЗ «ГКБ ИМ. Н.И. ПИРОГОВА» Г. ОРЕНБУРГА")</f>
        <v>ВЫПОЛНЕНИЕ РАБОТ НА МОНТАЖНЫЕ РАБОТЫ ОХРАННО-ТРЕВОЖНОЙ СИГНАЛИЗАЦИИ ПО УЛ. ГАРАНЬКИНА ДЛЯ НУЖД ГАУЗ «ГКБ ИМ. Н.И. ПИРОГОВА» Г. ОРЕНБУРГА</v>
      </c>
      <c r="G9632" s="22" t="s">
        <v>384</v>
      </c>
      <c r="H9632" s="22" t="s">
        <v>384</v>
      </c>
      <c r="I9632" s="26">
        <v>43571.519166666701</v>
      </c>
      <c r="J9632" s="23" t="str">
        <f>HYPERLINK("https://www.spark-marketing.ru/Card/Person/4851227", "ООО ""АЛЬФА ТУР""")</f>
        <v>ООО "АЛЬФА ТУР"</v>
      </c>
      <c r="K9632" s="24" t="s">
        <v>12020</v>
      </c>
      <c r="L9632" s="22" t="s">
        <v>10</v>
      </c>
      <c r="M9632" s="25">
        <v>86800</v>
      </c>
      <c r="N9632" s="27">
        <v>8.0956313660716178E-2</v>
      </c>
    </row>
    <row r="9633" spans="1:14" x14ac:dyDescent="0.15">
      <c r="A9633" s="23" t="str">
        <f>HYPERLINK("https://www.spark-marketing.ru/Card/Person/1756421", "АО ""НИИР""")</f>
        <v>АО "НИИР"</v>
      </c>
      <c r="B9633" s="24" t="s">
        <v>3617</v>
      </c>
      <c r="C9633" s="25">
        <v>3600000</v>
      </c>
      <c r="D9633" s="22" t="s">
        <v>12021</v>
      </c>
      <c r="E9633" s="22" t="s">
        <v>12022</v>
      </c>
      <c r="F9633" s="23" t="str">
        <f>HYPERLINK("https://www.spark-marketing.ru/Card/Lot/69849280", "Оказание комплекса мер, направленных на защиту материального имущества объекта, обеспечение внутриобъектового и пропускного режимов на объектах АО «НИИР»")</f>
        <v>Оказание комплекса мер, направленных на защиту материального имущества объекта, обеспечение внутриобъектового и пропускного режимов на объектах АО «НИИР»</v>
      </c>
      <c r="G9633" s="22" t="s">
        <v>55</v>
      </c>
      <c r="H9633" s="22" t="s">
        <v>55</v>
      </c>
      <c r="I9633" s="26">
        <v>43572.0133333333</v>
      </c>
      <c r="J9633" s="28" t="s">
        <v>52</v>
      </c>
      <c r="K9633" s="28" t="s">
        <v>52</v>
      </c>
      <c r="L9633" s="28" t="s">
        <v>52</v>
      </c>
      <c r="M9633" s="28" t="s">
        <v>52</v>
      </c>
      <c r="N9633" s="28" t="s">
        <v>52</v>
      </c>
    </row>
    <row r="9634" spans="1:14" hidden="1" outlineLevel="1" x14ac:dyDescent="0.2">
      <c r="A9634" s="23" t="str">
        <f>HYPERLINK("https://www.spark-marketing.ru/Card/Person/1756421", "АО ""НИИР""")</f>
        <v>АО "НИИР"</v>
      </c>
      <c r="B9634" s="24" t="s">
        <v>3617</v>
      </c>
      <c r="C9634" s="28" t="s">
        <v>52</v>
      </c>
      <c r="D9634" s="22" t="s">
        <v>12021</v>
      </c>
      <c r="E9634" s="22" t="s">
        <v>12022</v>
      </c>
      <c r="F9634" s="23" t="str">
        <f>HYPERLINK("https://www.spark-marketing.ru/Card/Lot/69849280", "Оказание комплекса мер, направленных на защиту материального имущества объекта, обеспечение внутриобъектового и пропускного режимов на объектах АО «НИИР»")</f>
        <v>Оказание комплекса мер, направленных на защиту материального имущества объекта, обеспечение внутриобъектового и пропускного режимов на объектах АО «НИИР»</v>
      </c>
      <c r="G9634" s="22" t="s">
        <v>55</v>
      </c>
      <c r="H9634" s="22" t="s">
        <v>55</v>
      </c>
      <c r="I9634" s="26">
        <v>43572.0133333333</v>
      </c>
      <c r="J9634" s="23" t="str">
        <f>HYPERLINK("https://www.spark-marketing.ru/Card/Person/64506", "ООО ЧОО ""ТАКТ-XXI ВЕК""")</f>
        <v>ООО ЧОО "ТАКТ-XXI ВЕК"</v>
      </c>
      <c r="K9634" s="24" t="s">
        <v>12023</v>
      </c>
      <c r="L9634" s="22" t="s">
        <v>10</v>
      </c>
      <c r="M9634" s="25">
        <v>3240000</v>
      </c>
      <c r="N9634" s="27">
        <v>0.1</v>
      </c>
    </row>
    <row r="9635" spans="1:14" hidden="1" outlineLevel="1" x14ac:dyDescent="0.2">
      <c r="A9635" s="23" t="str">
        <f>HYPERLINK("https://www.spark-marketing.ru/Card/Person/1756421", "АО ""НИИР""")</f>
        <v>АО "НИИР"</v>
      </c>
      <c r="B9635" s="24" t="s">
        <v>3617</v>
      </c>
      <c r="C9635" s="28" t="s">
        <v>52</v>
      </c>
      <c r="D9635" s="22" t="s">
        <v>12021</v>
      </c>
      <c r="E9635" s="22" t="s">
        <v>12022</v>
      </c>
      <c r="F9635" s="23" t="str">
        <f>HYPERLINK("https://www.spark-marketing.ru/Card/Lot/69849280", "Оказание комплекса мер, направленных на защиту материального имущества объекта, обеспечение внутриобъектового и пропускного режимов на объектах АО «НИИР»")</f>
        <v>Оказание комплекса мер, направленных на защиту материального имущества объекта, обеспечение внутриобъектового и пропускного режимов на объектах АО «НИИР»</v>
      </c>
      <c r="G9635" s="22" t="s">
        <v>55</v>
      </c>
      <c r="H9635" s="22" t="s">
        <v>55</v>
      </c>
      <c r="I9635" s="26">
        <v>43572.0133333333</v>
      </c>
      <c r="J9635" s="23" t="str">
        <f>HYPERLINK("https://www.spark-marketing.ru/Card/Person/131600", "ООО ЧОП""СТАРК-ГРУПП""")</f>
        <v>ООО ЧОП"СТАРК-ГРУПП"</v>
      </c>
      <c r="K9635" s="24" t="s">
        <v>12024</v>
      </c>
      <c r="L9635" s="28" t="s">
        <v>52</v>
      </c>
      <c r="M9635" s="25">
        <v>3564000</v>
      </c>
      <c r="N9635" s="27">
        <v>0.01</v>
      </c>
    </row>
    <row r="9636" spans="1:14" x14ac:dyDescent="0.15">
      <c r="A9636" s="23" t="str">
        <f>HYPERLINK("https://www.spark-marketing.ru/Card/Person/646859", "АО ""ФГК""")</f>
        <v>АО "ФГК"</v>
      </c>
      <c r="B9636" s="24" t="s">
        <v>12025</v>
      </c>
      <c r="C9636" s="25">
        <v>1022457.6</v>
      </c>
      <c r="D9636" s="22" t="s">
        <v>12026</v>
      </c>
      <c r="E9636" s="22" t="s">
        <v>789</v>
      </c>
      <c r="F9636" s="23" t="str">
        <f>HYPERLINK("https://www.spark-marketing.ru/Card/Lot/69848478", "Оказание услуг по охране имущества")</f>
        <v>Оказание услуг по охране имущества</v>
      </c>
      <c r="G9636" s="22" t="s">
        <v>72</v>
      </c>
      <c r="H9636" s="22" t="s">
        <v>72</v>
      </c>
      <c r="I9636" s="26">
        <v>43571.9558217593</v>
      </c>
      <c r="J9636" s="28" t="s">
        <v>52</v>
      </c>
      <c r="K9636" s="28" t="s">
        <v>52</v>
      </c>
      <c r="L9636" s="28" t="s">
        <v>52</v>
      </c>
      <c r="M9636" s="28" t="s">
        <v>52</v>
      </c>
      <c r="N9636" s="28" t="s">
        <v>52</v>
      </c>
    </row>
    <row r="9637" spans="1:14" hidden="1" outlineLevel="1" x14ac:dyDescent="0.2">
      <c r="A9637" s="23" t="str">
        <f>HYPERLINK("https://www.spark-marketing.ru/Card/Person/646859", "АО ""ФГК""")</f>
        <v>АО "ФГК"</v>
      </c>
      <c r="B9637" s="24" t="s">
        <v>12025</v>
      </c>
      <c r="C9637" s="28" t="s">
        <v>52</v>
      </c>
      <c r="D9637" s="22" t="s">
        <v>12026</v>
      </c>
      <c r="E9637" s="22" t="s">
        <v>789</v>
      </c>
      <c r="F9637" s="23" t="str">
        <f>HYPERLINK("https://www.spark-marketing.ru/Card/Lot/69848478", "Оказание услуг по охране имущества")</f>
        <v>Оказание услуг по охране имущества</v>
      </c>
      <c r="G9637" s="22" t="s">
        <v>72</v>
      </c>
      <c r="H9637" s="22" t="s">
        <v>72</v>
      </c>
      <c r="I9637" s="26">
        <v>43571.9558217593</v>
      </c>
      <c r="J9637" s="23" t="str">
        <f>HYPERLINK("https://www.spark-marketing.ru/Card/Person/797603", "ООО ЧОО ""АСГАРД- УРАЛ""")</f>
        <v>ООО ЧОО "АСГАРД- УРАЛ"</v>
      </c>
      <c r="K9637" s="24" t="s">
        <v>11742</v>
      </c>
      <c r="L9637" s="22" t="s">
        <v>10</v>
      </c>
      <c r="M9637" s="25">
        <v>779140.8</v>
      </c>
      <c r="N9637" s="27">
        <v>0.23797250859106528</v>
      </c>
    </row>
    <row r="9638" spans="1:14" hidden="1" outlineLevel="1" x14ac:dyDescent="0.2">
      <c r="A9638" s="23" t="str">
        <f>HYPERLINK("https://www.spark-marketing.ru/Card/Person/646859", "АО ""ФГК""")</f>
        <v>АО "ФГК"</v>
      </c>
      <c r="B9638" s="24" t="s">
        <v>12025</v>
      </c>
      <c r="C9638" s="28" t="s">
        <v>52</v>
      </c>
      <c r="D9638" s="22" t="s">
        <v>12026</v>
      </c>
      <c r="E9638" s="22" t="s">
        <v>789</v>
      </c>
      <c r="F9638" s="23" t="str">
        <f>HYPERLINK("https://www.spark-marketing.ru/Card/Lot/69848478", "Оказание услуг по охране имущества")</f>
        <v>Оказание услуг по охране имущества</v>
      </c>
      <c r="G9638" s="22" t="s">
        <v>72</v>
      </c>
      <c r="H9638" s="22" t="s">
        <v>72</v>
      </c>
      <c r="I9638" s="26">
        <v>43571.9558217593</v>
      </c>
      <c r="J9638" s="23" t="str">
        <f>HYPERLINK("https://www.spark-marketing.ru/Card/Person/54348", "ООО ЧОП ""ГРИДЪ""")</f>
        <v>ООО ЧОП "ГРИДЪ"</v>
      </c>
      <c r="K9638" s="24" t="s">
        <v>9756</v>
      </c>
      <c r="L9638" s="28" t="s">
        <v>52</v>
      </c>
      <c r="M9638" s="25">
        <v>720000</v>
      </c>
      <c r="N9638" s="27">
        <v>0.29581432031998195</v>
      </c>
    </row>
    <row r="9639" spans="1:14" hidden="1" outlineLevel="1" x14ac:dyDescent="0.2">
      <c r="A9639" s="23" t="str">
        <f>HYPERLINK("https://www.spark-marketing.ru/Card/Person/646859", "АО ""ФГК""")</f>
        <v>АО "ФГК"</v>
      </c>
      <c r="B9639" s="24" t="s">
        <v>12025</v>
      </c>
      <c r="C9639" s="28" t="s">
        <v>52</v>
      </c>
      <c r="D9639" s="22" t="s">
        <v>12026</v>
      </c>
      <c r="E9639" s="22" t="s">
        <v>789</v>
      </c>
      <c r="F9639" s="23" t="str">
        <f>HYPERLINK("https://www.spark-marketing.ru/Card/Lot/69848478", "Оказание услуг по охране имущества")</f>
        <v>Оказание услуг по охране имущества</v>
      </c>
      <c r="G9639" s="22" t="s">
        <v>72</v>
      </c>
      <c r="H9639" s="22" t="s">
        <v>72</v>
      </c>
      <c r="I9639" s="26">
        <v>43571.9558217593</v>
      </c>
      <c r="J9639" s="23" t="str">
        <f>HYPERLINK("https://www.spark-marketing.ru/Card/Person/234166", "ООО ""ЧОО ""СИНТЕК""")</f>
        <v>ООО "ЧОО "СИНТЕК"</v>
      </c>
      <c r="K9639" s="24" t="s">
        <v>11741</v>
      </c>
      <c r="L9639" s="28" t="s">
        <v>52</v>
      </c>
      <c r="M9639" s="25">
        <v>772992</v>
      </c>
      <c r="N9639" s="27">
        <v>0.24398625429553264</v>
      </c>
    </row>
    <row r="9640" spans="1:14" x14ac:dyDescent="0.15">
      <c r="A9640" s="23" t="str">
        <f>HYPERLINK("https://www.spark-marketing.ru/Card/Person/266729", "ОМВД РОССИИ ПО ЧЕРНЯНСКОМУ РАЙОНУ")</f>
        <v>ОМВД РОССИИ ПО ЧЕРНЯНСКОМУ РАЙОНУ</v>
      </c>
      <c r="B9640" s="24" t="s">
        <v>12027</v>
      </c>
      <c r="C9640" s="25">
        <v>4149.24</v>
      </c>
      <c r="D9640" s="22" t="s">
        <v>12028</v>
      </c>
      <c r="E9640" s="22" t="s">
        <v>53</v>
      </c>
      <c r="F9640" s="23" t="str">
        <f>HYPERLINK("https://www.spark-marketing.ru/Card/Lot/70775075", "обслуживание технических средств охраны")</f>
        <v>обслуживание технических средств охраны</v>
      </c>
      <c r="G9640" s="22" t="s">
        <v>176</v>
      </c>
      <c r="H9640" s="22" t="s">
        <v>12029</v>
      </c>
      <c r="I9640" s="26">
        <v>43571.797905092601</v>
      </c>
      <c r="J9640" s="28" t="s">
        <v>52</v>
      </c>
      <c r="K9640" s="28" t="s">
        <v>52</v>
      </c>
      <c r="L9640" s="28" t="s">
        <v>52</v>
      </c>
      <c r="M9640" s="28" t="s">
        <v>52</v>
      </c>
      <c r="N9640" s="28" t="s">
        <v>52</v>
      </c>
    </row>
    <row r="9641" spans="1:14" x14ac:dyDescent="0.15">
      <c r="A9641" s="23" t="str">
        <f>HYPERLINK("https://www.spark-marketing.ru/Card/Person/1017240", "МБОУ «ШКОЛА № 104»")</f>
        <v>МБОУ «ШКОЛА № 104»</v>
      </c>
      <c r="B9641" s="24" t="s">
        <v>12030</v>
      </c>
      <c r="C9641" s="25">
        <v>15000</v>
      </c>
      <c r="D9641" s="22" t="s">
        <v>12031</v>
      </c>
      <c r="E9641" s="22" t="s">
        <v>218</v>
      </c>
      <c r="F9641" s="23" t="str">
        <f>HYPERLINK("https://www.spark-marketing.ru/Card/Lot/69843991", "услуги по консультационному обслуживанию по составлению технического задания, а именно: подготовка технического задания на выполнение работ по монтажу системы видеонаблюдения и видеоконференцсвязи и в соответствии с данным техническим заданием разраб...")</f>
        <v>услуги по консультационному обслуживанию по составлению технического задания, а именно: подготовка технического задания на выполнение работ по монтажу системы видеонаблюдения и видеоконференцсвязи и в соответствии с данным техническим заданием разраб...</v>
      </c>
      <c r="G9641" s="22" t="s">
        <v>402</v>
      </c>
      <c r="H9641" s="22" t="s">
        <v>403</v>
      </c>
      <c r="I9641" s="26">
        <v>43571.765277777798</v>
      </c>
      <c r="J9641" s="28" t="s">
        <v>52</v>
      </c>
      <c r="K9641" s="28" t="s">
        <v>52</v>
      </c>
      <c r="L9641" s="28" t="s">
        <v>52</v>
      </c>
      <c r="M9641" s="28" t="s">
        <v>52</v>
      </c>
      <c r="N9641" s="28" t="s">
        <v>52</v>
      </c>
    </row>
    <row r="9642" spans="1:14" x14ac:dyDescent="0.15">
      <c r="A9642" s="23" t="str">
        <f>HYPERLINK("https://www.spark-marketing.ru/Card/Person/231047", "ООО ""ТЕПЛОВОДОКАНАЛ""")</f>
        <v>ООО "ТЕПЛОВОДОКАНАЛ"</v>
      </c>
      <c r="B9642" s="24" t="s">
        <v>11832</v>
      </c>
      <c r="C9642" s="28" t="s">
        <v>52</v>
      </c>
      <c r="D9642" s="22" t="s">
        <v>12032</v>
      </c>
      <c r="E9642" s="22" t="s">
        <v>53</v>
      </c>
      <c r="F9642" s="23" t="str">
        <f>HYPERLINK("https://www.spark-marketing.ru/Card/Lot/69848300", "Оказание услуг по военизированной охране объектов ООО ""Тепловодоканал"" (1235314)")</f>
        <v>Оказание услуг по военизированной охране объектов ООО "Тепловодоканал" (1235314)</v>
      </c>
      <c r="G9642" s="22" t="s">
        <v>96</v>
      </c>
      <c r="H9642" s="22" t="s">
        <v>4911</v>
      </c>
      <c r="I9642" s="26">
        <v>43571.788217592599</v>
      </c>
      <c r="J9642" s="28" t="s">
        <v>52</v>
      </c>
      <c r="K9642" s="28" t="s">
        <v>52</v>
      </c>
      <c r="L9642" s="28" t="s">
        <v>52</v>
      </c>
      <c r="M9642" s="28" t="s">
        <v>52</v>
      </c>
      <c r="N9642" s="28" t="s">
        <v>52</v>
      </c>
    </row>
    <row r="9643" spans="1:14" x14ac:dyDescent="0.15">
      <c r="A9643" s="23" t="str">
        <f t="shared" ref="A9643:A9652" si="441">HYPERLINK("https://www.spark-marketing.ru/Card/Person/1489", "ПРОКУРАТУРА БЕЛГОРОДСКОЙ ОБЛАСТИ")</f>
        <v>ПРОКУРАТУРА БЕЛГОРОДСКОЙ ОБЛАСТИ</v>
      </c>
      <c r="B9643" s="24" t="s">
        <v>12033</v>
      </c>
      <c r="C9643" s="25">
        <v>2132560.7999999998</v>
      </c>
      <c r="D9643" s="22" t="s">
        <v>12034</v>
      </c>
      <c r="E9643" s="22" t="s">
        <v>59</v>
      </c>
      <c r="F9643" s="23" t="str">
        <f t="shared" ref="F9643:F9652" si="442">HYPERLINK("https://www.spark-marketing.ru/Card/Lot/69846335", "Монтаж и установка системы охранной сигнализации в здании прокуратуры Белгородской области")</f>
        <v>Монтаж и установка системы охранной сигнализации в здании прокуратуры Белгородской области</v>
      </c>
      <c r="G9643" s="22" t="s">
        <v>176</v>
      </c>
      <c r="H9643" s="22" t="s">
        <v>176</v>
      </c>
      <c r="I9643" s="26">
        <v>43571.734722222202</v>
      </c>
      <c r="J9643" s="28" t="s">
        <v>52</v>
      </c>
      <c r="K9643" s="28" t="s">
        <v>52</v>
      </c>
      <c r="L9643" s="28" t="s">
        <v>52</v>
      </c>
      <c r="M9643" s="28" t="s">
        <v>52</v>
      </c>
      <c r="N9643" s="28" t="s">
        <v>52</v>
      </c>
    </row>
    <row r="9644" spans="1:14" hidden="1" outlineLevel="1" x14ac:dyDescent="0.2">
      <c r="A9644" s="23" t="str">
        <f t="shared" si="441"/>
        <v>ПРОКУРАТУРА БЕЛГОРОДСКОЙ ОБЛАСТИ</v>
      </c>
      <c r="B9644" s="24" t="s">
        <v>12033</v>
      </c>
      <c r="C9644" s="25">
        <v>2132560.7999999998</v>
      </c>
      <c r="D9644" s="22" t="s">
        <v>12034</v>
      </c>
      <c r="E9644" s="22" t="s">
        <v>59</v>
      </c>
      <c r="F9644" s="23" t="str">
        <f t="shared" si="442"/>
        <v>Монтаж и установка системы охранной сигнализации в здании прокуратуры Белгородской области</v>
      </c>
      <c r="G9644" s="22" t="s">
        <v>176</v>
      </c>
      <c r="H9644" s="22" t="s">
        <v>176</v>
      </c>
      <c r="I9644" s="26">
        <v>43571.734722222202</v>
      </c>
      <c r="J9644" s="23" t="str">
        <f>HYPERLINK("https://www.spark-marketing.ru/Card/Person/4277899", "ООО ""ЮНИКО""")</f>
        <v>ООО "ЮНИКО"</v>
      </c>
      <c r="K9644" s="24" t="s">
        <v>12035</v>
      </c>
      <c r="L9644" s="28" t="s">
        <v>52</v>
      </c>
      <c r="M9644" s="25">
        <v>1620746.32</v>
      </c>
      <c r="N9644" s="27">
        <v>0.23999994748098155</v>
      </c>
    </row>
    <row r="9645" spans="1:14" hidden="1" outlineLevel="1" x14ac:dyDescent="0.2">
      <c r="A9645" s="23" t="str">
        <f t="shared" si="441"/>
        <v>ПРОКУРАТУРА БЕЛГОРОДСКОЙ ОБЛАСТИ</v>
      </c>
      <c r="B9645" s="24" t="s">
        <v>12033</v>
      </c>
      <c r="C9645" s="25">
        <v>2132560.7999999998</v>
      </c>
      <c r="D9645" s="22" t="s">
        <v>12034</v>
      </c>
      <c r="E9645" s="22" t="s">
        <v>59</v>
      </c>
      <c r="F9645" s="23" t="str">
        <f t="shared" si="442"/>
        <v>Монтаж и установка системы охранной сигнализации в здании прокуратуры Белгородской области</v>
      </c>
      <c r="G9645" s="22" t="s">
        <v>176</v>
      </c>
      <c r="H9645" s="22" t="s">
        <v>176</v>
      </c>
      <c r="I9645" s="26">
        <v>43571.734722222202</v>
      </c>
      <c r="J9645" s="23" t="str">
        <f>HYPERLINK("https://www.spark-marketing.ru/Card/Person/261822", "ООО ""СПЕЦИАЛЬНЫЕ СИСТЕМЫ""")</f>
        <v>ООО "СПЕЦИАЛЬНЫЕ СИСТЕМЫ"</v>
      </c>
      <c r="K9645" s="24" t="s">
        <v>12036</v>
      </c>
      <c r="L9645" s="28" t="s">
        <v>52</v>
      </c>
      <c r="M9645" s="25">
        <v>2089909.6</v>
      </c>
      <c r="N9645" s="27">
        <v>1.9999992497283077E-2</v>
      </c>
    </row>
    <row r="9646" spans="1:14" hidden="1" outlineLevel="1" x14ac:dyDescent="0.2">
      <c r="A9646" s="23" t="str">
        <f t="shared" si="441"/>
        <v>ПРОКУРАТУРА БЕЛГОРОДСКОЙ ОБЛАСТИ</v>
      </c>
      <c r="B9646" s="24" t="s">
        <v>12033</v>
      </c>
      <c r="C9646" s="25">
        <v>2132560.7999999998</v>
      </c>
      <c r="D9646" s="22" t="s">
        <v>12034</v>
      </c>
      <c r="E9646" s="22" t="s">
        <v>59</v>
      </c>
      <c r="F9646" s="23" t="str">
        <f t="shared" si="442"/>
        <v>Монтаж и установка системы охранной сигнализации в здании прокуратуры Белгородской области</v>
      </c>
      <c r="G9646" s="22" t="s">
        <v>176</v>
      </c>
      <c r="H9646" s="22" t="s">
        <v>176</v>
      </c>
      <c r="I9646" s="26">
        <v>43571.734722222202</v>
      </c>
      <c r="J9646" s="23" t="str">
        <f>HYPERLINK("https://www.spark-marketing.ru/Card/Person/262753", "ООО ""МКС""")</f>
        <v>ООО "МКС"</v>
      </c>
      <c r="K9646" s="24" t="s">
        <v>12037</v>
      </c>
      <c r="L9646" s="28" t="s">
        <v>52</v>
      </c>
      <c r="M9646" s="25">
        <v>921557.6</v>
      </c>
      <c r="N9646" s="27">
        <v>0.56786338752920906</v>
      </c>
    </row>
    <row r="9647" spans="1:14" hidden="1" outlineLevel="1" x14ac:dyDescent="0.2">
      <c r="A9647" s="23" t="str">
        <f t="shared" si="441"/>
        <v>ПРОКУРАТУРА БЕЛГОРОДСКОЙ ОБЛАСТИ</v>
      </c>
      <c r="B9647" s="24" t="s">
        <v>12033</v>
      </c>
      <c r="C9647" s="25">
        <v>2132560.7999999998</v>
      </c>
      <c r="D9647" s="22" t="s">
        <v>12034</v>
      </c>
      <c r="E9647" s="22" t="s">
        <v>59</v>
      </c>
      <c r="F9647" s="23" t="str">
        <f t="shared" si="442"/>
        <v>Монтаж и установка системы охранной сигнализации в здании прокуратуры Белгородской области</v>
      </c>
      <c r="G9647" s="22" t="s">
        <v>176</v>
      </c>
      <c r="H9647" s="22" t="s">
        <v>176</v>
      </c>
      <c r="I9647" s="26">
        <v>43571.734722222202</v>
      </c>
      <c r="J9647" s="23" t="str">
        <f>HYPERLINK("https://www.spark-marketing.ru/Card/Person/5827383", "ООО ""АЛЕРТКОМ""")</f>
        <v>ООО "АЛЕРТКОМ"</v>
      </c>
      <c r="K9647" s="24" t="s">
        <v>12038</v>
      </c>
      <c r="L9647" s="28" t="s">
        <v>52</v>
      </c>
      <c r="M9647" s="25">
        <v>814929.6</v>
      </c>
      <c r="N9647" s="27">
        <v>0.61786336877241677</v>
      </c>
    </row>
    <row r="9648" spans="1:14" hidden="1" outlineLevel="1" x14ac:dyDescent="0.2">
      <c r="A9648" s="23" t="str">
        <f t="shared" si="441"/>
        <v>ПРОКУРАТУРА БЕЛГОРОДСКОЙ ОБЛАСТИ</v>
      </c>
      <c r="B9648" s="24" t="s">
        <v>12033</v>
      </c>
      <c r="C9648" s="25">
        <v>2132560.7999999998</v>
      </c>
      <c r="D9648" s="22" t="s">
        <v>12034</v>
      </c>
      <c r="E9648" s="22" t="s">
        <v>59</v>
      </c>
      <c r="F9648" s="23" t="str">
        <f t="shared" si="442"/>
        <v>Монтаж и установка системы охранной сигнализации в здании прокуратуры Белгородской области</v>
      </c>
      <c r="G9648" s="22" t="s">
        <v>176</v>
      </c>
      <c r="H9648" s="22" t="s">
        <v>176</v>
      </c>
      <c r="I9648" s="26">
        <v>43571.734722222202</v>
      </c>
      <c r="J9648" s="23" t="str">
        <f>HYPERLINK("https://www.spark-marketing.ru/Card/Person/82687", "ООО ""ЛЕМА""")</f>
        <v>ООО "ЛЕМА"</v>
      </c>
      <c r="K9648" s="24" t="s">
        <v>12039</v>
      </c>
      <c r="L9648" s="28" t="s">
        <v>52</v>
      </c>
      <c r="M9648" s="25">
        <v>1465360.4</v>
      </c>
      <c r="N9648" s="27">
        <v>0.31286348318884977</v>
      </c>
    </row>
    <row r="9649" spans="1:14" hidden="1" outlineLevel="1" x14ac:dyDescent="0.2">
      <c r="A9649" s="23" t="str">
        <f t="shared" si="441"/>
        <v>ПРОКУРАТУРА БЕЛГОРОДСКОЙ ОБЛАСТИ</v>
      </c>
      <c r="B9649" s="24" t="s">
        <v>12033</v>
      </c>
      <c r="C9649" s="25">
        <v>2132560.7999999998</v>
      </c>
      <c r="D9649" s="22" t="s">
        <v>12034</v>
      </c>
      <c r="E9649" s="22" t="s">
        <v>59</v>
      </c>
      <c r="F9649" s="23" t="str">
        <f t="shared" si="442"/>
        <v>Монтаж и установка системы охранной сигнализации в здании прокуратуры Белгородской области</v>
      </c>
      <c r="G9649" s="22" t="s">
        <v>176</v>
      </c>
      <c r="H9649" s="22" t="s">
        <v>176</v>
      </c>
      <c r="I9649" s="26">
        <v>43571.734722222202</v>
      </c>
      <c r="J9649" s="23" t="str">
        <f>HYPERLINK("https://www.spark-marketing.ru/Card/Person/4950813", "ООО ""ИНЖЕНЕРСЕРВИС""")</f>
        <v>ООО "ИНЖЕНЕРСЕРВИС"</v>
      </c>
      <c r="K9649" s="24" t="s">
        <v>12040</v>
      </c>
      <c r="L9649" s="28" t="s">
        <v>52</v>
      </c>
      <c r="M9649" s="25">
        <v>1579167.69</v>
      </c>
      <c r="N9649" s="27">
        <v>0.25949699066024284</v>
      </c>
    </row>
    <row r="9650" spans="1:14" hidden="1" outlineLevel="1" x14ac:dyDescent="0.2">
      <c r="A9650" s="23" t="str">
        <f t="shared" si="441"/>
        <v>ПРОКУРАТУРА БЕЛГОРОДСКОЙ ОБЛАСТИ</v>
      </c>
      <c r="B9650" s="24" t="s">
        <v>12033</v>
      </c>
      <c r="C9650" s="25">
        <v>2132560.7999999998</v>
      </c>
      <c r="D9650" s="22" t="s">
        <v>12034</v>
      </c>
      <c r="E9650" s="22" t="s">
        <v>59</v>
      </c>
      <c r="F9650" s="23" t="str">
        <f t="shared" si="442"/>
        <v>Монтаж и установка системы охранной сигнализации в здании прокуратуры Белгородской области</v>
      </c>
      <c r="G9650" s="22" t="s">
        <v>176</v>
      </c>
      <c r="H9650" s="22" t="s">
        <v>176</v>
      </c>
      <c r="I9650" s="26">
        <v>43571.734722222202</v>
      </c>
      <c r="J9650" s="23" t="str">
        <f>HYPERLINK("https://www.spark-marketing.ru/Card/Person/24475", "ООО ""ТЕХНИЧЕСКИЙ ЦЕНТР ""ИНФОТЕХ-СЕРВИС""")</f>
        <v>ООО "ТЕХНИЧЕСКИЙ ЦЕНТР "ИНФОТЕХ-СЕРВИС"</v>
      </c>
      <c r="K9650" s="24" t="s">
        <v>12041</v>
      </c>
      <c r="L9650" s="28" t="s">
        <v>52</v>
      </c>
      <c r="M9650" s="25">
        <v>1198790.3999999999</v>
      </c>
      <c r="N9650" s="27">
        <v>0.43786343629686902</v>
      </c>
    </row>
    <row r="9651" spans="1:14" hidden="1" outlineLevel="1" x14ac:dyDescent="0.2">
      <c r="A9651" s="23" t="str">
        <f t="shared" si="441"/>
        <v>ПРОКУРАТУРА БЕЛГОРОДСКОЙ ОБЛАСТИ</v>
      </c>
      <c r="B9651" s="24" t="s">
        <v>12033</v>
      </c>
      <c r="C9651" s="25">
        <v>2132560.7999999998</v>
      </c>
      <c r="D9651" s="22" t="s">
        <v>12034</v>
      </c>
      <c r="E9651" s="22" t="s">
        <v>59</v>
      </c>
      <c r="F9651" s="23" t="str">
        <f t="shared" si="442"/>
        <v>Монтаж и установка системы охранной сигнализации в здании прокуратуры Белгородской области</v>
      </c>
      <c r="G9651" s="22" t="s">
        <v>176</v>
      </c>
      <c r="H9651" s="22" t="s">
        <v>176</v>
      </c>
      <c r="I9651" s="26">
        <v>43571.734722222202</v>
      </c>
      <c r="J9651" s="23" t="str">
        <f>HYPERLINK("https://www.spark-marketing.ru/Card/Person/32349", "ООО ""ЭЛПО ПЛЮС""")</f>
        <v>ООО "ЭЛПО ПЛЮС"</v>
      </c>
      <c r="K9651" s="24" t="s">
        <v>12042</v>
      </c>
      <c r="L9651" s="28" t="s">
        <v>52</v>
      </c>
      <c r="M9651" s="25">
        <v>1557842.09</v>
      </c>
      <c r="N9651" s="27">
        <v>0.26949698690888441</v>
      </c>
    </row>
    <row r="9652" spans="1:14" ht="12.75" hidden="1" outlineLevel="1" x14ac:dyDescent="0.2">
      <c r="A9652" s="23" t="str">
        <f t="shared" si="441"/>
        <v>ПРОКУРАТУРА БЕЛГОРОДСКОЙ ОБЛАСТИ</v>
      </c>
      <c r="B9652" s="24" t="s">
        <v>12033</v>
      </c>
      <c r="C9652" s="25">
        <v>2132560.7999999998</v>
      </c>
      <c r="D9652" s="22" t="s">
        <v>12034</v>
      </c>
      <c r="E9652" s="22" t="s">
        <v>59</v>
      </c>
      <c r="F9652" s="23" t="str">
        <f t="shared" si="442"/>
        <v>Монтаж и установка системы охранной сигнализации в здании прокуратуры Белгородской области</v>
      </c>
      <c r="G9652" s="22" t="s">
        <v>176</v>
      </c>
      <c r="H9652" s="22" t="s">
        <v>176</v>
      </c>
      <c r="I9652" s="26">
        <v>43571.734722222202</v>
      </c>
      <c r="J9652" s="23" t="str">
        <f>HYPERLINK("https://www.spark-marketing.ru/Card/Person/493836", "ООО ""СИСТЕМА""")</f>
        <v>ООО "СИСТЕМА"</v>
      </c>
      <c r="K9652" s="24" t="s">
        <v>12043</v>
      </c>
      <c r="L9652" s="22" t="s">
        <v>10</v>
      </c>
      <c r="M9652" s="25">
        <v>804266.8</v>
      </c>
      <c r="N9652" s="27">
        <v>0.62286336689673749</v>
      </c>
    </row>
    <row r="9653" spans="1:14" x14ac:dyDescent="0.15">
      <c r="A9653" s="23" t="str">
        <f>HYPERLINK("https://www.spark-marketing.ru/Card/Person/6493311", "МИНПРИРОДЫ ИНГУШЕТИИ")</f>
        <v>МИНПРИРОДЫ ИНГУШЕТИИ</v>
      </c>
      <c r="B9653" s="24" t="s">
        <v>12044</v>
      </c>
      <c r="C9653" s="25">
        <v>355652</v>
      </c>
      <c r="D9653" s="22" t="s">
        <v>12045</v>
      </c>
      <c r="E9653" s="22" t="s">
        <v>218</v>
      </c>
      <c r="F9653" s="23" t="str">
        <f>HYPERLINK("https://www.spark-marketing.ru/Card/Lot/69846052", "Оказание услуг по осуществлению строительного контроля и техническому сопровождению работ по объекту государственного заказа «Руслорегулировочные работы на р. Кенч в с.п. Экажево, Республика Ингушетия")</f>
        <v>Оказание услуг по осуществлению строительного контроля и техническому сопровождению работ по объекту государственного заказа «Руслорегулировочные работы на р. Кенч в с.п. Экажево, Республика Ингушетия</v>
      </c>
      <c r="G9653" s="22" t="s">
        <v>648</v>
      </c>
      <c r="H9653" s="22" t="s">
        <v>648</v>
      </c>
      <c r="I9653" s="26">
        <v>43571.712500000001</v>
      </c>
      <c r="J9653" s="23" t="str">
        <f>HYPERLINK("https://www.spark-marketing.ru/Card/Person/365638", "ООО ""ТЕХКРОСС""")</f>
        <v>ООО "ТЕХКРОСС"</v>
      </c>
      <c r="K9653" s="24" t="s">
        <v>12046</v>
      </c>
      <c r="L9653" s="28" t="s">
        <v>52</v>
      </c>
      <c r="M9653" s="28" t="s">
        <v>52</v>
      </c>
      <c r="N9653" s="28" t="s">
        <v>52</v>
      </c>
    </row>
    <row r="9654" spans="1:14" ht="12.75" hidden="1" outlineLevel="1" x14ac:dyDescent="0.2">
      <c r="A9654" s="23" t="str">
        <f>HYPERLINK("https://www.spark-marketing.ru/Card/Person/6493311", "МИНПРИРОДЫ ИНГУШЕТИИ")</f>
        <v>МИНПРИРОДЫ ИНГУШЕТИИ</v>
      </c>
      <c r="B9654" s="24" t="s">
        <v>12044</v>
      </c>
      <c r="C9654" s="25">
        <v>355652</v>
      </c>
      <c r="D9654" s="22" t="s">
        <v>12045</v>
      </c>
      <c r="E9654" s="22" t="s">
        <v>218</v>
      </c>
      <c r="F9654" s="23" t="str">
        <f>HYPERLINK("https://www.spark-marketing.ru/Card/Lot/69846052", "Оказание услуг по осуществлению строительного контроля и техническому сопровождению работ по объекту государственного заказа «Руслорегулировочные работы на р. Кенч в с.п. Экажево, Республика Ингушетия")</f>
        <v>Оказание услуг по осуществлению строительного контроля и техническому сопровождению работ по объекту государственного заказа «Руслорегулировочные работы на р. Кенч в с.п. Экажево, Республика Ингушетия</v>
      </c>
      <c r="G9654" s="22" t="s">
        <v>648</v>
      </c>
      <c r="H9654" s="22" t="s">
        <v>648</v>
      </c>
      <c r="I9654" s="26">
        <v>43571.712500000001</v>
      </c>
      <c r="J9654" s="23" t="str">
        <f>HYPERLINK("https://www.spark-marketing.ru/Card/Person/365638", "ООО ""ТЕХКРОСС""")</f>
        <v>ООО "ТЕХКРОСС"</v>
      </c>
      <c r="K9654" s="24" t="s">
        <v>12046</v>
      </c>
      <c r="L9654" s="22" t="s">
        <v>10</v>
      </c>
      <c r="M9654" s="25">
        <v>353873.74</v>
      </c>
      <c r="N9654" s="27">
        <v>5.0000000000000001E-3</v>
      </c>
    </row>
    <row r="9655" spans="1:14" x14ac:dyDescent="0.15">
      <c r="A9655" s="23" t="str">
        <f>HYPERLINK("https://www.spark-marketing.ru/Card/Person/18870", "КУ ""ЧУВАШУПРДОР"" МИНТРАНСА ЧУВАШИИ")</f>
        <v>КУ "ЧУВАШУПРДОР" МИНТРАНСА ЧУВАШИИ</v>
      </c>
      <c r="B9655" s="24" t="s">
        <v>12047</v>
      </c>
      <c r="C9655" s="25">
        <v>101851766.77</v>
      </c>
      <c r="D9655" s="22" t="s">
        <v>12048</v>
      </c>
      <c r="E9655" s="22" t="s">
        <v>194</v>
      </c>
      <c r="F9655" s="23" t="str">
        <f>HYPERLINK("https://www.spark-marketing.ru/Card/Lot/69845154", "Поставка автоматизированных комплексов фото-видеофиксации нарушений правил дорожного движения с проведением монтажных работ, электромонтажных работ, установкой и пуско-наладкой")</f>
        <v>Поставка автоматизированных комплексов фото-видеофиксации нарушений правил дорожного движения с проведением монтажных работ, электромонтажных работ, установкой и пуско-наладкой</v>
      </c>
      <c r="G9655" s="22" t="s">
        <v>1137</v>
      </c>
      <c r="H9655" s="22" t="s">
        <v>1137</v>
      </c>
      <c r="I9655" s="26">
        <v>43571.686805555597</v>
      </c>
      <c r="J9655" s="28" t="s">
        <v>52</v>
      </c>
      <c r="K9655" s="28" t="s">
        <v>52</v>
      </c>
      <c r="L9655" s="28" t="s">
        <v>52</v>
      </c>
      <c r="M9655" s="28" t="s">
        <v>52</v>
      </c>
      <c r="N9655" s="28" t="s">
        <v>52</v>
      </c>
    </row>
    <row r="9656" spans="1:14" hidden="1" outlineLevel="1" x14ac:dyDescent="0.2">
      <c r="A9656" s="23" t="str">
        <f>HYPERLINK("https://www.spark-marketing.ru/Card/Person/18870", "КУ ""ЧУВАШУПРДОР"" МИНТРАНСА ЧУВАШИИ")</f>
        <v>КУ "ЧУВАШУПРДОР" МИНТРАНСА ЧУВАШИИ</v>
      </c>
      <c r="B9656" s="24" t="s">
        <v>12047</v>
      </c>
      <c r="C9656" s="25">
        <v>101851766.77</v>
      </c>
      <c r="D9656" s="22" t="s">
        <v>12048</v>
      </c>
      <c r="E9656" s="22" t="s">
        <v>194</v>
      </c>
      <c r="F9656" s="23" t="str">
        <f>HYPERLINK("https://www.spark-marketing.ru/Card/Lot/69845154", "Поставка автоматизированных комплексов фото-видеофиксации нарушений правил дорожного движения с проведением монтажных работ, электромонтажных работ, установкой и пуско-наладкой")</f>
        <v>Поставка автоматизированных комплексов фото-видеофиксации нарушений правил дорожного движения с проведением монтажных работ, электромонтажных работ, установкой и пуско-наладкой</v>
      </c>
      <c r="G9656" s="22" t="s">
        <v>1137</v>
      </c>
      <c r="H9656" s="22" t="s">
        <v>1137</v>
      </c>
      <c r="I9656" s="26">
        <v>43571.686805555597</v>
      </c>
      <c r="J9656" s="23" t="str">
        <f>HYPERLINK("https://www.spark-marketing.ru/Card/Person/48512", "ООО ""КОРДА ГРУПП""")</f>
        <v>ООО "КОРДА ГРУПП"</v>
      </c>
      <c r="K9656" s="24" t="s">
        <v>4092</v>
      </c>
      <c r="L9656" s="28" t="s">
        <v>52</v>
      </c>
      <c r="M9656" s="25">
        <v>100833249.09</v>
      </c>
      <c r="N9656" s="27">
        <v>1.0000000120763738E-2</v>
      </c>
    </row>
    <row r="9657" spans="1:14" ht="12.75" hidden="1" outlineLevel="1" x14ac:dyDescent="0.2">
      <c r="A9657" s="23" t="str">
        <f>HYPERLINK("https://www.spark-marketing.ru/Card/Person/18870", "КУ ""ЧУВАШУПРДОР"" МИНТРАНСА ЧУВАШИИ")</f>
        <v>КУ "ЧУВАШУПРДОР" МИНТРАНСА ЧУВАШИИ</v>
      </c>
      <c r="B9657" s="24" t="s">
        <v>12047</v>
      </c>
      <c r="C9657" s="25">
        <v>101851766.77</v>
      </c>
      <c r="D9657" s="22" t="s">
        <v>12048</v>
      </c>
      <c r="E9657" s="22" t="s">
        <v>194</v>
      </c>
      <c r="F9657" s="23" t="str">
        <f>HYPERLINK("https://www.spark-marketing.ru/Card/Lot/69845154", "Поставка автоматизированных комплексов фото-видеофиксации нарушений правил дорожного движения с проведением монтажных работ, электромонтажных работ, установкой и пуско-наладкой")</f>
        <v>Поставка автоматизированных комплексов фото-видеофиксации нарушений правил дорожного движения с проведением монтажных работ, электромонтажных работ, установкой и пуско-наладкой</v>
      </c>
      <c r="G9657" s="22" t="s">
        <v>1137</v>
      </c>
      <c r="H9657" s="22" t="s">
        <v>1137</v>
      </c>
      <c r="I9657" s="26">
        <v>43571.686805555597</v>
      </c>
      <c r="J9657" s="23" t="str">
        <f>HYPERLINK("https://www.spark-marketing.ru/Card/Person/2004699", "ООО ""АЭЛЬ-РТС"" ИНЖИНИРИНГ")</f>
        <v>ООО "АЭЛЬ-РТС" ИНЖИНИРИНГ</v>
      </c>
      <c r="K9657" s="24" t="s">
        <v>12049</v>
      </c>
      <c r="L9657" s="22" t="s">
        <v>10</v>
      </c>
      <c r="M9657" s="25">
        <v>100323990.25</v>
      </c>
      <c r="N9657" s="27">
        <v>1.5000000181145607E-2</v>
      </c>
    </row>
    <row r="9658" spans="1:14" x14ac:dyDescent="0.15">
      <c r="A9658" s="23" t="str">
        <f>HYPERLINK("https://www.spark-marketing.ru/Card/Person/4351607", "МБОУ ""КАРАКУДУКСКАЯ СОШ""")</f>
        <v>МБОУ "КАРАКУДУКСКАЯ СОШ"</v>
      </c>
      <c r="B9658" s="24" t="s">
        <v>12050</v>
      </c>
      <c r="C9658" s="25">
        <v>47870</v>
      </c>
      <c r="D9658" s="22" t="s">
        <v>12051</v>
      </c>
      <c r="E9658" s="22" t="s">
        <v>59</v>
      </c>
      <c r="F9658" s="23" t="str">
        <f>HYPERLINK("https://www.spark-marketing.ru/Card/Lot/69837028", "Установка системы видеонаблюдения   МБОУ «Каракудукская  СОШ» (дошкольная группа).")</f>
        <v>Установка системы видеонаблюдения   МБОУ «Каракудукская  СОШ» (дошкольная группа).</v>
      </c>
      <c r="G9658" s="22" t="s">
        <v>384</v>
      </c>
      <c r="H9658" s="22" t="s">
        <v>384</v>
      </c>
      <c r="I9658" s="26">
        <v>43571.675694444399</v>
      </c>
      <c r="J9658" s="23" t="str">
        <f>HYPERLINK("https://www.spark-marketing.ru/Card/Person/418017", "Кожемякин Григорий Валерьевич")</f>
        <v>Кожемякин Григорий Валерьевич</v>
      </c>
      <c r="K9658" s="24" t="s">
        <v>3982</v>
      </c>
      <c r="L9658" s="28" t="s">
        <v>52</v>
      </c>
      <c r="M9658" s="28" t="s">
        <v>52</v>
      </c>
      <c r="N9658" s="28" t="s">
        <v>52</v>
      </c>
    </row>
    <row r="9659" spans="1:14" ht="12.75" hidden="1" outlineLevel="1" x14ac:dyDescent="0.2">
      <c r="A9659" s="23" t="str">
        <f>HYPERLINK("https://www.spark-marketing.ru/Card/Person/4351607", "МБОУ ""КАРАКУДУКСКАЯ СОШ""")</f>
        <v>МБОУ "КАРАКУДУКСКАЯ СОШ"</v>
      </c>
      <c r="B9659" s="24" t="s">
        <v>12050</v>
      </c>
      <c r="C9659" s="25">
        <v>47870</v>
      </c>
      <c r="D9659" s="22" t="s">
        <v>12051</v>
      </c>
      <c r="E9659" s="22" t="s">
        <v>59</v>
      </c>
      <c r="F9659" s="23" t="str">
        <f>HYPERLINK("https://www.spark-marketing.ru/Card/Lot/69837028", "Установка системы видеонаблюдения   МБОУ «Каракудукская  СОШ» (дошкольная группа).")</f>
        <v>Установка системы видеонаблюдения   МБОУ «Каракудукская  СОШ» (дошкольная группа).</v>
      </c>
      <c r="G9659" s="22" t="s">
        <v>384</v>
      </c>
      <c r="H9659" s="22" t="s">
        <v>384</v>
      </c>
      <c r="I9659" s="26">
        <v>43571.675694444399</v>
      </c>
      <c r="J9659" s="23" t="str">
        <f>HYPERLINK("https://www.spark-marketing.ru/Card/Person/418017", "Кожемякин Григорий Валерьевич")</f>
        <v>Кожемякин Григорий Валерьевич</v>
      </c>
      <c r="K9659" s="24" t="s">
        <v>3982</v>
      </c>
      <c r="L9659" s="22" t="s">
        <v>10</v>
      </c>
      <c r="M9659" s="25">
        <v>47630.65</v>
      </c>
      <c r="N9659" s="27">
        <v>5.0000000000000001E-3</v>
      </c>
    </row>
    <row r="9660" spans="1:14" x14ac:dyDescent="0.15">
      <c r="A9660" s="23" t="str">
        <f>HYPERLINK("https://www.spark-marketing.ru/Card/Person/246327", "ПАО ""ВНИПИГАЗДОБЫЧА""")</f>
        <v>ПАО "ВНИПИГАЗДОБЫЧА"</v>
      </c>
      <c r="B9660" s="24" t="s">
        <v>12052</v>
      </c>
      <c r="C9660" s="25">
        <v>498996</v>
      </c>
      <c r="D9660" s="22" t="s">
        <v>12053</v>
      </c>
      <c r="E9660" s="22" t="s">
        <v>10181</v>
      </c>
      <c r="F9660" s="23" t="str">
        <f>HYPERLINK("https://www.spark-marketing.ru/Card/Lot/69838217", "Техническое обслуживание охранной сигнализации")</f>
        <v>Техническое обслуживание охранной сигнализации</v>
      </c>
      <c r="G9660" s="22" t="s">
        <v>80</v>
      </c>
      <c r="H9660" s="22" t="s">
        <v>81</v>
      </c>
      <c r="I9660" s="26">
        <v>43571.684155092596</v>
      </c>
      <c r="J9660" s="28" t="s">
        <v>52</v>
      </c>
      <c r="K9660" s="28" t="s">
        <v>52</v>
      </c>
      <c r="L9660" s="28" t="s">
        <v>52</v>
      </c>
      <c r="M9660" s="28" t="s">
        <v>52</v>
      </c>
      <c r="N9660" s="28" t="s">
        <v>52</v>
      </c>
    </row>
    <row r="9661" spans="1:14" x14ac:dyDescent="0.15">
      <c r="A9661" s="23" t="str">
        <f>HYPERLINK("https://www.spark-marketing.ru/Card/Person/12151", "МКУ ""ЗАКАЗЧИК"" ПГО")</f>
        <v>МКУ "ЗАКАЗЧИК" ПГО</v>
      </c>
      <c r="B9661" s="24" t="s">
        <v>12054</v>
      </c>
      <c r="C9661" s="25">
        <v>24175.67</v>
      </c>
      <c r="D9661" s="22" t="s">
        <v>12055</v>
      </c>
      <c r="E9661" s="22" t="s">
        <v>575</v>
      </c>
      <c r="F9661" s="23" t="str">
        <f>HYPERLINK("https://www.spark-marketing.ru/Card/Lot/69845946", "Приобретение радиомоста с установкой и настройкой на камеры видеонаблюдения на пляже.")</f>
        <v>Приобретение радиомоста с установкой и настройкой на камеры видеонаблюдения на пляже.</v>
      </c>
      <c r="G9661" s="22" t="s">
        <v>247</v>
      </c>
      <c r="H9661" s="22" t="s">
        <v>247</v>
      </c>
      <c r="I9661" s="26">
        <v>43571.7055555556</v>
      </c>
      <c r="J9661" s="28" t="s">
        <v>52</v>
      </c>
      <c r="K9661" s="28" t="s">
        <v>52</v>
      </c>
      <c r="L9661" s="28" t="s">
        <v>52</v>
      </c>
      <c r="M9661" s="28" t="s">
        <v>52</v>
      </c>
      <c r="N9661" s="28" t="s">
        <v>52</v>
      </c>
    </row>
    <row r="9662" spans="1:14" x14ac:dyDescent="0.15">
      <c r="A9662" s="23" t="str">
        <f t="shared" ref="A9662:A9671" si="443">HYPERLINK("https://www.spark-marketing.ru/Card/Person/60939", "МБУ ""ЦГКБ № 1 ОКТЯБРЬСКОГО РАЙОНА""")</f>
        <v>МБУ "ЦГКБ № 1 ОКТЯБРЬСКОГО РАЙОНА"</v>
      </c>
      <c r="B9662" s="24" t="s">
        <v>3225</v>
      </c>
      <c r="C9662" s="25">
        <v>98338</v>
      </c>
      <c r="D9662" s="22" t="s">
        <v>12056</v>
      </c>
      <c r="E9662" s="22" t="s">
        <v>79</v>
      </c>
      <c r="F9662" s="23" t="str">
        <f t="shared" ref="F9662:F9671" si="444">HYPERLINK("https://www.spark-marketing.ru/Card/Lot/69839054", "установка системы видеонаблюдения")</f>
        <v>установка системы видеонаблюдения</v>
      </c>
      <c r="G9662" s="22" t="s">
        <v>72</v>
      </c>
      <c r="H9662" s="22" t="s">
        <v>949</v>
      </c>
      <c r="I9662" s="26">
        <v>43571.702083333301</v>
      </c>
      <c r="J9662" s="28" t="s">
        <v>52</v>
      </c>
      <c r="K9662" s="28" t="s">
        <v>52</v>
      </c>
      <c r="L9662" s="28" t="s">
        <v>52</v>
      </c>
      <c r="M9662" s="28" t="s">
        <v>52</v>
      </c>
      <c r="N9662" s="28" t="s">
        <v>52</v>
      </c>
    </row>
    <row r="9663" spans="1:14" hidden="1" outlineLevel="1" x14ac:dyDescent="0.2">
      <c r="A9663" s="23" t="str">
        <f t="shared" si="443"/>
        <v>МБУ "ЦГКБ № 1 ОКТЯБРЬСКОГО РАЙОНА"</v>
      </c>
      <c r="B9663" s="24" t="s">
        <v>3225</v>
      </c>
      <c r="C9663" s="25">
        <v>98338</v>
      </c>
      <c r="D9663" s="22" t="s">
        <v>12056</v>
      </c>
      <c r="E9663" s="22" t="s">
        <v>79</v>
      </c>
      <c r="F9663" s="23" t="str">
        <f t="shared" si="444"/>
        <v>установка системы видеонаблюдения</v>
      </c>
      <c r="G9663" s="22" t="s">
        <v>72</v>
      </c>
      <c r="H9663" s="22" t="s">
        <v>949</v>
      </c>
      <c r="I9663" s="26">
        <v>43571.702083333301</v>
      </c>
      <c r="J9663" s="23" t="str">
        <f>HYPERLINK("https://www.spark-marketing.ru/Card/Person/543120", "Сигошин Алексей Владимирович")</f>
        <v>Сигошин Алексей Владимирович</v>
      </c>
      <c r="K9663" s="24" t="s">
        <v>12057</v>
      </c>
      <c r="L9663" s="28" t="s">
        <v>52</v>
      </c>
      <c r="M9663" s="25">
        <v>95879.55</v>
      </c>
      <c r="N9663" s="27">
        <v>2.5000000000000001E-2</v>
      </c>
    </row>
    <row r="9664" spans="1:14" hidden="1" outlineLevel="1" x14ac:dyDescent="0.2">
      <c r="A9664" s="23" t="str">
        <f t="shared" si="443"/>
        <v>МБУ "ЦГКБ № 1 ОКТЯБРЬСКОГО РАЙОНА"</v>
      </c>
      <c r="B9664" s="24" t="s">
        <v>3225</v>
      </c>
      <c r="C9664" s="25">
        <v>98338</v>
      </c>
      <c r="D9664" s="22" t="s">
        <v>12056</v>
      </c>
      <c r="E9664" s="22" t="s">
        <v>79</v>
      </c>
      <c r="F9664" s="23" t="str">
        <f t="shared" si="444"/>
        <v>установка системы видеонаблюдения</v>
      </c>
      <c r="G9664" s="22" t="s">
        <v>72</v>
      </c>
      <c r="H9664" s="22" t="s">
        <v>949</v>
      </c>
      <c r="I9664" s="26">
        <v>43571.702083333301</v>
      </c>
      <c r="J9664" s="23" t="str">
        <f>HYPERLINK("https://www.spark-marketing.ru/Card/Person/6482641", "Чернов Игорь Евгеньевич")</f>
        <v>Чернов Игорь Евгеньевич</v>
      </c>
      <c r="K9664" s="24" t="s">
        <v>12058</v>
      </c>
      <c r="L9664" s="28" t="s">
        <v>52</v>
      </c>
      <c r="M9664" s="25">
        <v>54000</v>
      </c>
      <c r="N9664" s="27">
        <v>0.45087351786694868</v>
      </c>
    </row>
    <row r="9665" spans="1:14" hidden="1" outlineLevel="1" x14ac:dyDescent="0.2">
      <c r="A9665" s="23" t="str">
        <f t="shared" si="443"/>
        <v>МБУ "ЦГКБ № 1 ОКТЯБРЬСКОГО РАЙОНА"</v>
      </c>
      <c r="B9665" s="24" t="s">
        <v>3225</v>
      </c>
      <c r="C9665" s="25">
        <v>98338</v>
      </c>
      <c r="D9665" s="22" t="s">
        <v>12056</v>
      </c>
      <c r="E9665" s="22" t="s">
        <v>79</v>
      </c>
      <c r="F9665" s="23" t="str">
        <f t="shared" si="444"/>
        <v>установка системы видеонаблюдения</v>
      </c>
      <c r="G9665" s="22" t="s">
        <v>72</v>
      </c>
      <c r="H9665" s="22" t="s">
        <v>949</v>
      </c>
      <c r="I9665" s="26">
        <v>43571.702083333301</v>
      </c>
      <c r="J9665" s="23" t="str">
        <f>HYPERLINK("https://www.spark-marketing.ru/Card/Person/753747", "ООО ""СКУД""")</f>
        <v>ООО "СКУД"</v>
      </c>
      <c r="K9665" s="24" t="s">
        <v>1612</v>
      </c>
      <c r="L9665" s="28" t="s">
        <v>52</v>
      </c>
      <c r="M9665" s="25">
        <v>85024.93</v>
      </c>
      <c r="N9665" s="27">
        <v>0.13538072769427892</v>
      </c>
    </row>
    <row r="9666" spans="1:14" hidden="1" outlineLevel="1" x14ac:dyDescent="0.2">
      <c r="A9666" s="23" t="str">
        <f t="shared" si="443"/>
        <v>МБУ "ЦГКБ № 1 ОКТЯБРЬСКОГО РАЙОНА"</v>
      </c>
      <c r="B9666" s="24" t="s">
        <v>3225</v>
      </c>
      <c r="C9666" s="25">
        <v>98338</v>
      </c>
      <c r="D9666" s="22" t="s">
        <v>12056</v>
      </c>
      <c r="E9666" s="22" t="s">
        <v>79</v>
      </c>
      <c r="F9666" s="23" t="str">
        <f t="shared" si="444"/>
        <v>установка системы видеонаблюдения</v>
      </c>
      <c r="G9666" s="22" t="s">
        <v>72</v>
      </c>
      <c r="H9666" s="22" t="s">
        <v>949</v>
      </c>
      <c r="I9666" s="26">
        <v>43571.702083333301</v>
      </c>
      <c r="J9666" s="23" t="str">
        <f>HYPERLINK("https://www.spark-marketing.ru/Card/Person/4408755", "ООО ""ВЕРТИКАЛЬ""")</f>
        <v>ООО "ВЕРТИКАЛЬ"</v>
      </c>
      <c r="K9666" s="24" t="s">
        <v>1210</v>
      </c>
      <c r="L9666" s="28" t="s">
        <v>52</v>
      </c>
      <c r="M9666" s="25">
        <v>65500</v>
      </c>
      <c r="N9666" s="27">
        <v>0.33392991519046555</v>
      </c>
    </row>
    <row r="9667" spans="1:14" ht="12.75" hidden="1" outlineLevel="1" x14ac:dyDescent="0.2">
      <c r="A9667" s="23" t="str">
        <f t="shared" si="443"/>
        <v>МБУ "ЦГКБ № 1 ОКТЯБРЬСКОГО РАЙОНА"</v>
      </c>
      <c r="B9667" s="24" t="s">
        <v>3225</v>
      </c>
      <c r="C9667" s="25">
        <v>98338</v>
      </c>
      <c r="D9667" s="22" t="s">
        <v>12056</v>
      </c>
      <c r="E9667" s="22" t="s">
        <v>79</v>
      </c>
      <c r="F9667" s="23" t="str">
        <f t="shared" si="444"/>
        <v>установка системы видеонаблюдения</v>
      </c>
      <c r="G9667" s="22" t="s">
        <v>72</v>
      </c>
      <c r="H9667" s="22" t="s">
        <v>949</v>
      </c>
      <c r="I9667" s="26">
        <v>43571.702083333301</v>
      </c>
      <c r="J9667" s="23" t="str">
        <f>HYPERLINK("https://www.spark-marketing.ru/Card/Person/2576548", "ООО ""ГАРДА""")</f>
        <v>ООО "ГАРДА"</v>
      </c>
      <c r="K9667" s="24" t="s">
        <v>12059</v>
      </c>
      <c r="L9667" s="22" t="s">
        <v>10</v>
      </c>
      <c r="M9667" s="25">
        <v>53500</v>
      </c>
      <c r="N9667" s="27">
        <v>0.45595802233114363</v>
      </c>
    </row>
    <row r="9668" spans="1:14" hidden="1" outlineLevel="1" x14ac:dyDescent="0.2">
      <c r="A9668" s="23" t="str">
        <f t="shared" si="443"/>
        <v>МБУ "ЦГКБ № 1 ОКТЯБРЬСКОГО РАЙОНА"</v>
      </c>
      <c r="B9668" s="24" t="s">
        <v>3225</v>
      </c>
      <c r="C9668" s="25">
        <v>98338</v>
      </c>
      <c r="D9668" s="22" t="s">
        <v>12056</v>
      </c>
      <c r="E9668" s="22" t="s">
        <v>79</v>
      </c>
      <c r="F9668" s="23" t="str">
        <f t="shared" si="444"/>
        <v>установка системы видеонаблюдения</v>
      </c>
      <c r="G9668" s="22" t="s">
        <v>72</v>
      </c>
      <c r="H9668" s="22" t="s">
        <v>949</v>
      </c>
      <c r="I9668" s="26">
        <v>43571.702083333301</v>
      </c>
      <c r="J9668" s="23" t="str">
        <f>HYPERLINK("https://www.spark-marketing.ru/Card/Person/5853123", "Ершов Андрей Алексеевич")</f>
        <v>Ершов Андрей Алексеевич</v>
      </c>
      <c r="K9668" s="24" t="s">
        <v>1063</v>
      </c>
      <c r="L9668" s="28" t="s">
        <v>52</v>
      </c>
      <c r="M9668" s="25">
        <v>84533.24</v>
      </c>
      <c r="N9668" s="27">
        <v>0.14038072769427892</v>
      </c>
    </row>
    <row r="9669" spans="1:14" hidden="1" outlineLevel="1" x14ac:dyDescent="0.2">
      <c r="A9669" s="23" t="str">
        <f t="shared" si="443"/>
        <v>МБУ "ЦГКБ № 1 ОКТЯБРЬСКОГО РАЙОНА"</v>
      </c>
      <c r="B9669" s="24" t="s">
        <v>3225</v>
      </c>
      <c r="C9669" s="25">
        <v>98338</v>
      </c>
      <c r="D9669" s="22" t="s">
        <v>12056</v>
      </c>
      <c r="E9669" s="22" t="s">
        <v>79</v>
      </c>
      <c r="F9669" s="23" t="str">
        <f t="shared" si="444"/>
        <v>установка системы видеонаблюдения</v>
      </c>
      <c r="G9669" s="22" t="s">
        <v>72</v>
      </c>
      <c r="H9669" s="22" t="s">
        <v>949</v>
      </c>
      <c r="I9669" s="26">
        <v>43571.702083333301</v>
      </c>
      <c r="J9669" s="23" t="str">
        <f>HYPERLINK("https://www.spark-marketing.ru/Card/Person/6571717", "ООО ""КОМПТРЕЙДСЕРВИС""")</f>
        <v>ООО "КОМПТРЕЙДСЕРВИС"</v>
      </c>
      <c r="K9669" s="24" t="s">
        <v>12060</v>
      </c>
      <c r="L9669" s="28" t="s">
        <v>52</v>
      </c>
      <c r="M9669" s="25">
        <v>69999</v>
      </c>
      <c r="N9669" s="27">
        <v>0.28817954402163964</v>
      </c>
    </row>
    <row r="9670" spans="1:14" hidden="1" outlineLevel="1" x14ac:dyDescent="0.2">
      <c r="A9670" s="23" t="str">
        <f t="shared" si="443"/>
        <v>МБУ "ЦГКБ № 1 ОКТЯБРЬСКОГО РАЙОНА"</v>
      </c>
      <c r="B9670" s="24" t="s">
        <v>3225</v>
      </c>
      <c r="C9670" s="25">
        <v>98338</v>
      </c>
      <c r="D9670" s="22" t="s">
        <v>12056</v>
      </c>
      <c r="E9670" s="22" t="s">
        <v>79</v>
      </c>
      <c r="F9670" s="23" t="str">
        <f t="shared" si="444"/>
        <v>установка системы видеонаблюдения</v>
      </c>
      <c r="G9670" s="22" t="s">
        <v>72</v>
      </c>
      <c r="H9670" s="22" t="s">
        <v>949</v>
      </c>
      <c r="I9670" s="26">
        <v>43571.702083333301</v>
      </c>
      <c r="J9670" s="23" t="str">
        <f>HYPERLINK("https://www.spark-marketing.ru/Card/Person/557067", "ООО ""АДИС-СИСТЕМ""")</f>
        <v>ООО "АДИС-СИСТЕМ"</v>
      </c>
      <c r="K9670" s="24" t="s">
        <v>12061</v>
      </c>
      <c r="L9670" s="28" t="s">
        <v>52</v>
      </c>
      <c r="M9670" s="25">
        <v>78508.31</v>
      </c>
      <c r="N9670" s="27">
        <v>0.20164829465720271</v>
      </c>
    </row>
    <row r="9671" spans="1:14" hidden="1" outlineLevel="1" x14ac:dyDescent="0.2">
      <c r="A9671" s="23" t="str">
        <f t="shared" si="443"/>
        <v>МБУ "ЦГКБ № 1 ОКТЯБРЬСКОГО РАЙОНА"</v>
      </c>
      <c r="B9671" s="24" t="s">
        <v>3225</v>
      </c>
      <c r="C9671" s="25">
        <v>98338</v>
      </c>
      <c r="D9671" s="22" t="s">
        <v>12056</v>
      </c>
      <c r="E9671" s="22" t="s">
        <v>79</v>
      </c>
      <c r="F9671" s="23" t="str">
        <f t="shared" si="444"/>
        <v>установка системы видеонаблюдения</v>
      </c>
      <c r="G9671" s="22" t="s">
        <v>72</v>
      </c>
      <c r="H9671" s="22" t="s">
        <v>949</v>
      </c>
      <c r="I9671" s="26">
        <v>43571.702083333301</v>
      </c>
      <c r="J9671" s="23" t="str">
        <f>HYPERLINK("https://www.spark-marketing.ru/Card/Person/857206", "Никулин Дмитрий Евгеньевич")</f>
        <v>Никулин Дмитрий Евгеньевич</v>
      </c>
      <c r="K9671" s="24" t="s">
        <v>7779</v>
      </c>
      <c r="L9671" s="28" t="s">
        <v>52</v>
      </c>
      <c r="M9671" s="25">
        <v>67508.31</v>
      </c>
      <c r="N9671" s="27">
        <v>0.31350739286949092</v>
      </c>
    </row>
    <row r="9672" spans="1:14" x14ac:dyDescent="0.15">
      <c r="A9672" s="23" t="str">
        <f>HYPERLINK("https://www.spark-marketing.ru/Card/Person/4352850", "МБОУ ""НОВОГРИГОРЬЕВСКАЯ ООШ""")</f>
        <v>МБОУ "НОВОГРИГОРЬЕВСКАЯ ООШ"</v>
      </c>
      <c r="B9672" s="24" t="s">
        <v>12062</v>
      </c>
      <c r="C9672" s="25">
        <v>41410</v>
      </c>
      <c r="D9672" s="22" t="s">
        <v>12063</v>
      </c>
      <c r="E9672" s="22" t="s">
        <v>59</v>
      </c>
      <c r="F9672" s="23" t="str">
        <f>HYPERLINK("https://www.spark-marketing.ru/Card/Lot/69837088", "Установка системы видеонаблюдения   МБОУ «Новогригорьевская ООШ» (дошкольная группа).")</f>
        <v>Установка системы видеонаблюдения   МБОУ «Новогригорьевская ООШ» (дошкольная группа).</v>
      </c>
      <c r="G9672" s="22" t="s">
        <v>384</v>
      </c>
      <c r="H9672" s="22" t="s">
        <v>384</v>
      </c>
      <c r="I9672" s="26">
        <v>43571.667361111096</v>
      </c>
      <c r="J9672" s="23" t="str">
        <f>HYPERLINK("https://www.spark-marketing.ru/Card/Person/418017", "Кожемякин Григорий Валерьевич")</f>
        <v>Кожемякин Григорий Валерьевич</v>
      </c>
      <c r="K9672" s="24" t="s">
        <v>3982</v>
      </c>
      <c r="L9672" s="28" t="s">
        <v>52</v>
      </c>
      <c r="M9672" s="28" t="s">
        <v>52</v>
      </c>
      <c r="N9672" s="28" t="s">
        <v>52</v>
      </c>
    </row>
    <row r="9673" spans="1:14" ht="12.75" hidden="1" outlineLevel="1" x14ac:dyDescent="0.2">
      <c r="A9673" s="23" t="str">
        <f>HYPERLINK("https://www.spark-marketing.ru/Card/Person/4352850", "МБОУ ""НОВОГРИГОРЬЕВСКАЯ ООШ""")</f>
        <v>МБОУ "НОВОГРИГОРЬЕВСКАЯ ООШ"</v>
      </c>
      <c r="B9673" s="24" t="s">
        <v>12062</v>
      </c>
      <c r="C9673" s="25">
        <v>41410</v>
      </c>
      <c r="D9673" s="22" t="s">
        <v>12063</v>
      </c>
      <c r="E9673" s="22" t="s">
        <v>59</v>
      </c>
      <c r="F9673" s="23" t="str">
        <f>HYPERLINK("https://www.spark-marketing.ru/Card/Lot/69837088", "Установка системы видеонаблюдения   МБОУ «Новогригорьевская ООШ» (дошкольная группа).")</f>
        <v>Установка системы видеонаблюдения   МБОУ «Новогригорьевская ООШ» (дошкольная группа).</v>
      </c>
      <c r="G9673" s="22" t="s">
        <v>384</v>
      </c>
      <c r="H9673" s="22" t="s">
        <v>384</v>
      </c>
      <c r="I9673" s="26">
        <v>43571.667361111096</v>
      </c>
      <c r="J9673" s="23" t="str">
        <f>HYPERLINK("https://www.spark-marketing.ru/Card/Person/418017", "Кожемякин Григорий Валерьевич")</f>
        <v>Кожемякин Григорий Валерьевич</v>
      </c>
      <c r="K9673" s="24" t="s">
        <v>3982</v>
      </c>
      <c r="L9673" s="22" t="s">
        <v>10</v>
      </c>
      <c r="M9673" s="25">
        <v>41202.949999999997</v>
      </c>
      <c r="N9673" s="27">
        <v>5.0000000000000001E-3</v>
      </c>
    </row>
    <row r="9674" spans="1:14" x14ac:dyDescent="0.15">
      <c r="A9674" s="23" t="str">
        <f>HYPERLINK("https://www.spark-marketing.ru/Card/Person/60220", "МБОУ ГИМНАЗИЯ №2")</f>
        <v>МБОУ ГИМНАЗИЯ №2</v>
      </c>
      <c r="B9674" s="24" t="s">
        <v>12064</v>
      </c>
      <c r="C9674" s="25">
        <v>173000</v>
      </c>
      <c r="D9674" s="22" t="s">
        <v>12065</v>
      </c>
      <c r="E9674" s="22" t="s">
        <v>8476</v>
      </c>
      <c r="F9674" s="23" t="str">
        <f>HYPERLINK("https://www.spark-marketing.ru/Card/Lot/69839995", "Поставка арочного стационарного металлодетектора с установкой")</f>
        <v>Поставка арочного стационарного металлодетектора с установкой</v>
      </c>
      <c r="G9674" s="22" t="s">
        <v>50</v>
      </c>
      <c r="H9674" s="22" t="s">
        <v>679</v>
      </c>
      <c r="I9674" s="26">
        <v>43571.701620370397</v>
      </c>
      <c r="J9674" s="28" t="s">
        <v>52</v>
      </c>
      <c r="K9674" s="28" t="s">
        <v>52</v>
      </c>
      <c r="L9674" s="28" t="s">
        <v>52</v>
      </c>
      <c r="M9674" s="28" t="s">
        <v>52</v>
      </c>
      <c r="N9674" s="28" t="s">
        <v>52</v>
      </c>
    </row>
    <row r="9675" spans="1:14" x14ac:dyDescent="0.15">
      <c r="A9675" s="23" t="str">
        <f>HYPERLINK("https://www.spark-marketing.ru/Card/Person/29398", "АДМИНИСТРАЦИЯ БОКОВСКОГО РАЙОНА")</f>
        <v>АДМИНИСТРАЦИЯ БОКОВСКОГО РАЙОНА</v>
      </c>
      <c r="B9675" s="24" t="s">
        <v>6387</v>
      </c>
      <c r="C9675" s="25">
        <v>5000</v>
      </c>
      <c r="D9675" s="22" t="s">
        <v>12066</v>
      </c>
      <c r="E9675" s="22" t="s">
        <v>12067</v>
      </c>
      <c r="F9675" s="23" t="str">
        <f>HYPERLINK("https://www.spark-marketing.ru/Card/Lot/69838294", "Закупка товаров (кондитерские изделия в рамках проведения 30-го легкоатлетического пробега, посвященного памяти Героя Советского Союза Я.П. Теличенко, предусмотренного муниципальной программой Боковского района «Обеспечение общественного порядка и пр...")</f>
        <v>Закупка товаров (кондитерские изделия в рамках проведения 30-го легкоатлетического пробега, посвященного памяти Героя Советского Союза Я.П. Теличенко, предусмотренного муниципальной программой Боковского района «Обеспечение общественного порядка и пр...</v>
      </c>
      <c r="G9675" s="22" t="s">
        <v>402</v>
      </c>
      <c r="H9675" s="22" t="s">
        <v>6389</v>
      </c>
      <c r="I9675" s="26">
        <v>43571.681944444397</v>
      </c>
      <c r="J9675" s="28" t="s">
        <v>52</v>
      </c>
      <c r="K9675" s="28" t="s">
        <v>52</v>
      </c>
      <c r="L9675" s="28" t="s">
        <v>52</v>
      </c>
      <c r="M9675" s="28" t="s">
        <v>52</v>
      </c>
      <c r="N9675" s="28" t="s">
        <v>52</v>
      </c>
    </row>
    <row r="9676" spans="1:14" x14ac:dyDescent="0.15">
      <c r="A9676" s="23" t="str">
        <f t="shared" ref="A9676:A9684" si="445">HYPERLINK("https://www.spark-marketing.ru/Card/Person/69730", "БУ ""СУРГУТСКИЙ РАЙОННЫЙ ЦЕНТР СОЦИАЛЬНОЙ ПОМОЩИ СЕМЬЕ И ДЕТЯМ""")</f>
        <v>БУ "СУРГУТСКИЙ РАЙОННЫЙ ЦЕНТР СОЦИАЛЬНОЙ ПОМОЩИ СЕМЬЕ И ДЕТЯМ"</v>
      </c>
      <c r="B9676" s="24" t="s">
        <v>12068</v>
      </c>
      <c r="C9676" s="25">
        <v>104666.64</v>
      </c>
      <c r="D9676" s="22" t="s">
        <v>12069</v>
      </c>
      <c r="E9676" s="22" t="s">
        <v>294</v>
      </c>
      <c r="F9676" s="23" t="str">
        <f t="shared" ref="F9676:F9684" si="446">HYPERLINK("https://www.spark-marketing.ru/Card/Lot/69838493", "Оказание услуг по техническому обслуживанию системы видеонаблюдения")</f>
        <v>Оказание услуг по техническому обслуживанию системы видеонаблюдения</v>
      </c>
      <c r="G9676" s="22" t="s">
        <v>119</v>
      </c>
      <c r="H9676" s="22" t="s">
        <v>416</v>
      </c>
      <c r="I9676" s="26">
        <v>43571.668055555601</v>
      </c>
      <c r="J9676" s="28" t="s">
        <v>52</v>
      </c>
      <c r="K9676" s="28" t="s">
        <v>52</v>
      </c>
      <c r="L9676" s="28" t="s">
        <v>52</v>
      </c>
      <c r="M9676" s="28" t="s">
        <v>52</v>
      </c>
      <c r="N9676" s="28" t="s">
        <v>52</v>
      </c>
    </row>
    <row r="9677" spans="1:14" hidden="1" outlineLevel="1" x14ac:dyDescent="0.2">
      <c r="A9677" s="23" t="str">
        <f t="shared" si="445"/>
        <v>БУ "СУРГУТСКИЙ РАЙОННЫЙ ЦЕНТР СОЦИАЛЬНОЙ ПОМОЩИ СЕМЬЕ И ДЕТЯМ"</v>
      </c>
      <c r="B9677" s="24" t="s">
        <v>12068</v>
      </c>
      <c r="C9677" s="25">
        <v>104666.64</v>
      </c>
      <c r="D9677" s="22" t="s">
        <v>12069</v>
      </c>
      <c r="E9677" s="22" t="s">
        <v>294</v>
      </c>
      <c r="F9677" s="23" t="str">
        <f t="shared" si="446"/>
        <v>Оказание услуг по техническому обслуживанию системы видеонаблюдения</v>
      </c>
      <c r="G9677" s="22" t="s">
        <v>119</v>
      </c>
      <c r="H9677" s="22" t="s">
        <v>416</v>
      </c>
      <c r="I9677" s="26">
        <v>43571.668055555601</v>
      </c>
      <c r="J9677" s="23" t="str">
        <f>HYPERLINK("https://www.spark-marketing.ru/Card/Person/932332", "ООО ""ВСС""")</f>
        <v>ООО "ВСС"</v>
      </c>
      <c r="K9677" s="24" t="s">
        <v>1331</v>
      </c>
      <c r="L9677" s="28" t="s">
        <v>52</v>
      </c>
      <c r="M9677" s="25">
        <v>89490.04</v>
      </c>
      <c r="N9677" s="27">
        <v>0.14499939999984712</v>
      </c>
    </row>
    <row r="9678" spans="1:14" hidden="1" outlineLevel="1" x14ac:dyDescent="0.2">
      <c r="A9678" s="23" t="str">
        <f t="shared" si="445"/>
        <v>БУ "СУРГУТСКИЙ РАЙОННЫЙ ЦЕНТР СОЦИАЛЬНОЙ ПОМОЩИ СЕМЬЕ И ДЕТЯМ"</v>
      </c>
      <c r="B9678" s="24" t="s">
        <v>12068</v>
      </c>
      <c r="C9678" s="25">
        <v>104666.64</v>
      </c>
      <c r="D9678" s="22" t="s">
        <v>12069</v>
      </c>
      <c r="E9678" s="22" t="s">
        <v>294</v>
      </c>
      <c r="F9678" s="23" t="str">
        <f t="shared" si="446"/>
        <v>Оказание услуг по техническому обслуживанию системы видеонаблюдения</v>
      </c>
      <c r="G9678" s="22" t="s">
        <v>119</v>
      </c>
      <c r="H9678" s="22" t="s">
        <v>416</v>
      </c>
      <c r="I9678" s="26">
        <v>43571.668055555601</v>
      </c>
      <c r="J9678" s="23" t="str">
        <f>HYPERLINK("https://www.spark-marketing.ru/Card/Person/940407", "ООО ""КАСКАД""")</f>
        <v>ООО "КАСКАД"</v>
      </c>
      <c r="K9678" s="24" t="s">
        <v>1355</v>
      </c>
      <c r="L9678" s="28" t="s">
        <v>52</v>
      </c>
      <c r="M9678" s="25">
        <v>104143.31</v>
      </c>
      <c r="N9678" s="27">
        <v>4.9999694267438026E-3</v>
      </c>
    </row>
    <row r="9679" spans="1:14" ht="12.75" hidden="1" outlineLevel="1" x14ac:dyDescent="0.2">
      <c r="A9679" s="23" t="str">
        <f t="shared" si="445"/>
        <v>БУ "СУРГУТСКИЙ РАЙОННЫЙ ЦЕНТР СОЦИАЛЬНОЙ ПОМОЩИ СЕМЬЕ И ДЕТЯМ"</v>
      </c>
      <c r="B9679" s="24" t="s">
        <v>12068</v>
      </c>
      <c r="C9679" s="25">
        <v>104666.64</v>
      </c>
      <c r="D9679" s="22" t="s">
        <v>12069</v>
      </c>
      <c r="E9679" s="22" t="s">
        <v>294</v>
      </c>
      <c r="F9679" s="23" t="str">
        <f t="shared" si="446"/>
        <v>Оказание услуг по техническому обслуживанию системы видеонаблюдения</v>
      </c>
      <c r="G9679" s="22" t="s">
        <v>119</v>
      </c>
      <c r="H9679" s="22" t="s">
        <v>416</v>
      </c>
      <c r="I9679" s="26">
        <v>43571.668055555601</v>
      </c>
      <c r="J9679" s="23" t="str">
        <f>HYPERLINK("https://www.spark-marketing.ru/Card/Person/4770667", "ООО ЧОП ""СПАРТА""")</f>
        <v>ООО ЧОП "СПАРТА"</v>
      </c>
      <c r="K9679" s="24" t="s">
        <v>12070</v>
      </c>
      <c r="L9679" s="22" t="s">
        <v>10</v>
      </c>
      <c r="M9679" s="25">
        <v>46378.68</v>
      </c>
      <c r="N9679" s="27">
        <v>0.55689147946279727</v>
      </c>
    </row>
    <row r="9680" spans="1:14" hidden="1" outlineLevel="1" x14ac:dyDescent="0.2">
      <c r="A9680" s="23" t="str">
        <f t="shared" si="445"/>
        <v>БУ "СУРГУТСКИЙ РАЙОННЫЙ ЦЕНТР СОЦИАЛЬНОЙ ПОМОЩИ СЕМЬЕ И ДЕТЯМ"</v>
      </c>
      <c r="B9680" s="24" t="s">
        <v>12068</v>
      </c>
      <c r="C9680" s="25">
        <v>104666.64</v>
      </c>
      <c r="D9680" s="22" t="s">
        <v>12069</v>
      </c>
      <c r="E9680" s="22" t="s">
        <v>294</v>
      </c>
      <c r="F9680" s="23" t="str">
        <f t="shared" si="446"/>
        <v>Оказание услуг по техническому обслуживанию системы видеонаблюдения</v>
      </c>
      <c r="G9680" s="22" t="s">
        <v>119</v>
      </c>
      <c r="H9680" s="22" t="s">
        <v>416</v>
      </c>
      <c r="I9680" s="26">
        <v>43571.668055555601</v>
      </c>
      <c r="J9680" s="23" t="str">
        <f>HYPERLINK("https://www.spark-marketing.ru/Card/Person/6438474", "ООО ""ИНКЛИМ""")</f>
        <v>ООО "ИНКЛИМ"</v>
      </c>
      <c r="K9680" s="24" t="s">
        <v>10127</v>
      </c>
      <c r="L9680" s="28" t="s">
        <v>52</v>
      </c>
      <c r="M9680" s="25">
        <v>88966.71</v>
      </c>
      <c r="N9680" s="27">
        <v>0.14999936942659095</v>
      </c>
    </row>
    <row r="9681" spans="1:14" hidden="1" outlineLevel="1" x14ac:dyDescent="0.2">
      <c r="A9681" s="23" t="str">
        <f t="shared" si="445"/>
        <v>БУ "СУРГУТСКИЙ РАЙОННЫЙ ЦЕНТР СОЦИАЛЬНОЙ ПОМОЩИ СЕМЬЕ И ДЕТЯМ"</v>
      </c>
      <c r="B9681" s="24" t="s">
        <v>12068</v>
      </c>
      <c r="C9681" s="25">
        <v>104666.64</v>
      </c>
      <c r="D9681" s="22" t="s">
        <v>12069</v>
      </c>
      <c r="E9681" s="22" t="s">
        <v>294</v>
      </c>
      <c r="F9681" s="23" t="str">
        <f t="shared" si="446"/>
        <v>Оказание услуг по техническому обслуживанию системы видеонаблюдения</v>
      </c>
      <c r="G9681" s="22" t="s">
        <v>119</v>
      </c>
      <c r="H9681" s="22" t="s">
        <v>416</v>
      </c>
      <c r="I9681" s="26">
        <v>43571.668055555601</v>
      </c>
      <c r="J9681" s="23" t="str">
        <f>HYPERLINK("https://www.spark-marketing.ru/Card/Person/6452955", "ООО ""ЛИДЕР""")</f>
        <v>ООО "ЛИДЕР"</v>
      </c>
      <c r="K9681" s="24" t="s">
        <v>1358</v>
      </c>
      <c r="L9681" s="28" t="s">
        <v>52</v>
      </c>
      <c r="M9681" s="25">
        <v>52293.25</v>
      </c>
      <c r="N9681" s="27">
        <v>0.50038283449244192</v>
      </c>
    </row>
    <row r="9682" spans="1:14" hidden="1" outlineLevel="1" x14ac:dyDescent="0.2">
      <c r="A9682" s="23" t="str">
        <f t="shared" si="445"/>
        <v>БУ "СУРГУТСКИЙ РАЙОННЫЙ ЦЕНТР СОЦИАЛЬНОЙ ПОМОЩИ СЕМЬЕ И ДЕТЯМ"</v>
      </c>
      <c r="B9682" s="24" t="s">
        <v>12068</v>
      </c>
      <c r="C9682" s="25">
        <v>104666.64</v>
      </c>
      <c r="D9682" s="22" t="s">
        <v>12069</v>
      </c>
      <c r="E9682" s="22" t="s">
        <v>294</v>
      </c>
      <c r="F9682" s="23" t="str">
        <f t="shared" si="446"/>
        <v>Оказание услуг по техническому обслуживанию системы видеонаблюдения</v>
      </c>
      <c r="G9682" s="22" t="s">
        <v>119</v>
      </c>
      <c r="H9682" s="22" t="s">
        <v>416</v>
      </c>
      <c r="I9682" s="26">
        <v>43571.668055555601</v>
      </c>
      <c r="J9682" s="23" t="str">
        <f>HYPERLINK("https://www.spark-marketing.ru/Card/Person/89839", "ООО ""ТИТАН""")</f>
        <v>ООО "ТИТАН"</v>
      </c>
      <c r="K9682" s="24" t="s">
        <v>1356</v>
      </c>
      <c r="L9682" s="28" t="s">
        <v>52</v>
      </c>
      <c r="M9682" s="25">
        <v>46378.68</v>
      </c>
      <c r="N9682" s="27">
        <v>0.55689147946279727</v>
      </c>
    </row>
    <row r="9683" spans="1:14" hidden="1" outlineLevel="1" x14ac:dyDescent="0.2">
      <c r="A9683" s="23" t="str">
        <f t="shared" si="445"/>
        <v>БУ "СУРГУТСКИЙ РАЙОННЫЙ ЦЕНТР СОЦИАЛЬНОЙ ПОМОЩИ СЕМЬЕ И ДЕТЯМ"</v>
      </c>
      <c r="B9683" s="24" t="s">
        <v>12068</v>
      </c>
      <c r="C9683" s="25">
        <v>104666.64</v>
      </c>
      <c r="D9683" s="22" t="s">
        <v>12069</v>
      </c>
      <c r="E9683" s="22" t="s">
        <v>294</v>
      </c>
      <c r="F9683" s="23" t="str">
        <f t="shared" si="446"/>
        <v>Оказание услуг по техническому обслуживанию системы видеонаблюдения</v>
      </c>
      <c r="G9683" s="22" t="s">
        <v>119</v>
      </c>
      <c r="H9683" s="22" t="s">
        <v>416</v>
      </c>
      <c r="I9683" s="26">
        <v>43571.668055555601</v>
      </c>
      <c r="J9683" s="23" t="str">
        <f>HYPERLINK("https://www.spark-marketing.ru/Card/Person/104500", "Остапенко Виктор Иванович")</f>
        <v>Остапенко Виктор Иванович</v>
      </c>
      <c r="K9683" s="24" t="s">
        <v>3292</v>
      </c>
      <c r="L9683" s="28" t="s">
        <v>52</v>
      </c>
      <c r="M9683" s="25">
        <v>104666.64</v>
      </c>
      <c r="N9683" s="27">
        <v>0</v>
      </c>
    </row>
    <row r="9684" spans="1:14" hidden="1" outlineLevel="1" x14ac:dyDescent="0.2">
      <c r="A9684" s="23" t="str">
        <f t="shared" si="445"/>
        <v>БУ "СУРГУТСКИЙ РАЙОННЫЙ ЦЕНТР СОЦИАЛЬНОЙ ПОМОЩИ СЕМЬЕ И ДЕТЯМ"</v>
      </c>
      <c r="B9684" s="24" t="s">
        <v>12068</v>
      </c>
      <c r="C9684" s="25">
        <v>104666.64</v>
      </c>
      <c r="D9684" s="22" t="s">
        <v>12069</v>
      </c>
      <c r="E9684" s="22" t="s">
        <v>294</v>
      </c>
      <c r="F9684" s="23" t="str">
        <f t="shared" si="446"/>
        <v>Оказание услуг по техническому обслуживанию системы видеонаблюдения</v>
      </c>
      <c r="G9684" s="22" t="s">
        <v>119</v>
      </c>
      <c r="H9684" s="22" t="s">
        <v>416</v>
      </c>
      <c r="I9684" s="26">
        <v>43571.668055555601</v>
      </c>
      <c r="J9684" s="23" t="str">
        <f>HYPERLINK("https://www.spark-marketing.ru/Card/Person/84508", "ООО ""ТЕХНОЛАЙН""")</f>
        <v>ООО "ТЕХНОЛАЙН"</v>
      </c>
      <c r="K9684" s="24" t="s">
        <v>1357</v>
      </c>
      <c r="L9684" s="28" t="s">
        <v>52</v>
      </c>
      <c r="M9684" s="25">
        <v>104143.31</v>
      </c>
      <c r="N9684" s="27">
        <v>4.9999694267438026E-3</v>
      </c>
    </row>
    <row r="9685" spans="1:14" x14ac:dyDescent="0.15">
      <c r="A9685" s="23" t="str">
        <f>HYPERLINK("https://www.spark-marketing.ru/Card/Person/59943", "ГКУСО МО ""ЧЕХОВСКИЙ СРЦН ""АИСТЕНОК""")</f>
        <v>ГКУСО МО "ЧЕХОВСКИЙ СРЦН "АИСТЕНОК"</v>
      </c>
      <c r="B9685" s="24" t="s">
        <v>12071</v>
      </c>
      <c r="C9685" s="25">
        <v>76300</v>
      </c>
      <c r="D9685" s="22" t="s">
        <v>12072</v>
      </c>
      <c r="E9685" s="22" t="s">
        <v>59</v>
      </c>
      <c r="F9685" s="23" t="str">
        <f>HYPERLINK("https://www.spark-marketing.ru/Card/Lot/69841377", "Установка охранной сигнализации на объекте ГКУСО МО «Чеховский социально-реабилитационный центр для несовершеннолетних «Аистенок»")</f>
        <v>Установка охранной сигнализации на объекте ГКУСО МО «Чеховский социально-реабилитационный центр для несовершеннолетних «Аистенок»</v>
      </c>
      <c r="G9685" s="22" t="s">
        <v>50</v>
      </c>
      <c r="H9685" s="22" t="s">
        <v>1162</v>
      </c>
      <c r="I9685" s="26">
        <v>43571.671527777798</v>
      </c>
      <c r="J9685" s="28" t="s">
        <v>52</v>
      </c>
      <c r="K9685" s="28" t="s">
        <v>52</v>
      </c>
      <c r="L9685" s="28" t="s">
        <v>52</v>
      </c>
      <c r="M9685" s="28" t="s">
        <v>52</v>
      </c>
      <c r="N9685" s="28" t="s">
        <v>52</v>
      </c>
    </row>
    <row r="9686" spans="1:14" hidden="1" outlineLevel="1" x14ac:dyDescent="0.2">
      <c r="A9686" s="23" t="str">
        <f>HYPERLINK("https://www.spark-marketing.ru/Card/Person/59943", "ГКУСО МО ""ЧЕХОВСКИЙ СРЦН ""АИСТЕНОК""")</f>
        <v>ГКУСО МО "ЧЕХОВСКИЙ СРЦН "АИСТЕНОК"</v>
      </c>
      <c r="B9686" s="24" t="s">
        <v>12071</v>
      </c>
      <c r="C9686" s="25">
        <v>76300</v>
      </c>
      <c r="D9686" s="22" t="s">
        <v>12072</v>
      </c>
      <c r="E9686" s="22" t="s">
        <v>59</v>
      </c>
      <c r="F9686" s="23" t="str">
        <f>HYPERLINK("https://www.spark-marketing.ru/Card/Lot/69841377", "Установка охранной сигнализации на объекте ГКУСО МО «Чеховский социально-реабилитационный центр для несовершеннолетних «Аистенок»")</f>
        <v>Установка охранной сигнализации на объекте ГКУСО МО «Чеховский социально-реабилитационный центр для несовершеннолетних «Аистенок»</v>
      </c>
      <c r="G9686" s="22" t="s">
        <v>50</v>
      </c>
      <c r="H9686" s="22" t="s">
        <v>1162</v>
      </c>
      <c r="I9686" s="26">
        <v>43571.671527777798</v>
      </c>
      <c r="J9686" s="23" t="str">
        <f>HYPERLINK("https://www.spark-marketing.ru/Card/Person/4768257", "ООО ""АЛАРМ""")</f>
        <v>ООО "АЛАРМ"</v>
      </c>
      <c r="K9686" s="24" t="s">
        <v>12073</v>
      </c>
      <c r="L9686" s="28" t="s">
        <v>52</v>
      </c>
      <c r="M9686" s="25">
        <v>75000</v>
      </c>
      <c r="N9686" s="27">
        <v>1.7038007863695939E-2</v>
      </c>
    </row>
    <row r="9687" spans="1:14" hidden="1" outlineLevel="1" x14ac:dyDescent="0.2">
      <c r="A9687" s="23" t="str">
        <f>HYPERLINK("https://www.spark-marketing.ru/Card/Person/59943", "ГКУСО МО ""ЧЕХОВСКИЙ СРЦН ""АИСТЕНОК""")</f>
        <v>ГКУСО МО "ЧЕХОВСКИЙ СРЦН "АИСТЕНОК"</v>
      </c>
      <c r="B9687" s="24" t="s">
        <v>12071</v>
      </c>
      <c r="C9687" s="25">
        <v>76300</v>
      </c>
      <c r="D9687" s="22" t="s">
        <v>12072</v>
      </c>
      <c r="E9687" s="22" t="s">
        <v>59</v>
      </c>
      <c r="F9687" s="23" t="str">
        <f>HYPERLINK("https://www.spark-marketing.ru/Card/Lot/69841377", "Установка охранной сигнализации на объекте ГКУСО МО «Чеховский социально-реабилитационный центр для несовершеннолетних «Аистенок»")</f>
        <v>Установка охранной сигнализации на объекте ГКУСО МО «Чеховский социально-реабилитационный центр для несовершеннолетних «Аистенок»</v>
      </c>
      <c r="G9687" s="22" t="s">
        <v>50</v>
      </c>
      <c r="H9687" s="22" t="s">
        <v>1162</v>
      </c>
      <c r="I9687" s="26">
        <v>43571.671527777798</v>
      </c>
      <c r="J9687" s="23" t="str">
        <f>HYPERLINK("https://www.spark-marketing.ru/Card/Person/708758", "Трофимов Александр Юрьевич")</f>
        <v>Трофимов Александр Юрьевич</v>
      </c>
      <c r="K9687" s="24" t="s">
        <v>12074</v>
      </c>
      <c r="L9687" s="28" t="s">
        <v>52</v>
      </c>
      <c r="M9687" s="25">
        <v>74011</v>
      </c>
      <c r="N9687" s="27">
        <v>0.03</v>
      </c>
    </row>
    <row r="9688" spans="1:14" ht="12.75" hidden="1" outlineLevel="1" x14ac:dyDescent="0.2">
      <c r="A9688" s="23" t="str">
        <f>HYPERLINK("https://www.spark-marketing.ru/Card/Person/59943", "ГКУСО МО ""ЧЕХОВСКИЙ СРЦН ""АИСТЕНОК""")</f>
        <v>ГКУСО МО "ЧЕХОВСКИЙ СРЦН "АИСТЕНОК"</v>
      </c>
      <c r="B9688" s="24" t="s">
        <v>12071</v>
      </c>
      <c r="C9688" s="25">
        <v>76300</v>
      </c>
      <c r="D9688" s="22" t="s">
        <v>12072</v>
      </c>
      <c r="E9688" s="22" t="s">
        <v>59</v>
      </c>
      <c r="F9688" s="23" t="str">
        <f>HYPERLINK("https://www.spark-marketing.ru/Card/Lot/69841377", "Установка охранной сигнализации на объекте ГКУСО МО «Чеховский социально-реабилитационный центр для несовершеннолетних «Аистенок»")</f>
        <v>Установка охранной сигнализации на объекте ГКУСО МО «Чеховский социально-реабилитационный центр для несовершеннолетних «Аистенок»</v>
      </c>
      <c r="G9688" s="22" t="s">
        <v>50</v>
      </c>
      <c r="H9688" s="22" t="s">
        <v>1162</v>
      </c>
      <c r="I9688" s="26">
        <v>43571.671527777798</v>
      </c>
      <c r="J9688" s="23" t="str">
        <f>HYPERLINK("https://www.spark-marketing.ru/Card/Person/80392", "ООО ""КОНСОЛЬ-АСТ""")</f>
        <v>ООО "КОНСОЛЬ-АСТ"</v>
      </c>
      <c r="K9688" s="24" t="s">
        <v>7145</v>
      </c>
      <c r="L9688" s="22" t="s">
        <v>10</v>
      </c>
      <c r="M9688" s="25">
        <v>73629.5</v>
      </c>
      <c r="N9688" s="27">
        <v>3.5000000000000003E-2</v>
      </c>
    </row>
    <row r="9689" spans="1:14" x14ac:dyDescent="0.15">
      <c r="A9689" s="23" t="str">
        <f>HYPERLINK("https://www.spark-marketing.ru/Card/Person/926266", "ГОСУДАРСТВЕННЫЙ МУЗЕЙ-ЗАПОВЕДНИК ""ХЕРСОНЕС ТАВРИЧЕСКИЙ""")</f>
        <v>ГОСУДАРСТВЕННЫЙ МУЗЕЙ-ЗАПОВЕДНИК "ХЕРСОНЕС ТАВРИЧЕСКИЙ"</v>
      </c>
      <c r="B9689" s="24" t="s">
        <v>12075</v>
      </c>
      <c r="C9689" s="25">
        <v>2234033.6</v>
      </c>
      <c r="D9689" s="22" t="s">
        <v>12076</v>
      </c>
      <c r="E9689" s="22" t="s">
        <v>68</v>
      </c>
      <c r="F9689" s="23" t="str">
        <f>HYPERLINK("https://www.spark-marketing.ru/Card/Lot/69842600", "Услуги охраны объектов военизированными подразделениями")</f>
        <v>Услуги охраны объектов военизированными подразделениями</v>
      </c>
      <c r="G9689" s="22" t="s">
        <v>714</v>
      </c>
      <c r="H9689" s="22" t="s">
        <v>714</v>
      </c>
      <c r="I9689" s="26">
        <v>43571.691666666702</v>
      </c>
      <c r="J9689" s="23" t="str">
        <f>HYPERLINK("https://www.spark-marketing.ru/Card/Person/6117665", "ФЛ ФГУП ОХРАНА ФЕДЕРАЛЬНОЙ СЛУЖБЫ ВОЙСК НАЦИОНАЛЬНОЙ ГВАРДИИ РФ ПО Г СЕВАСТОПОЛЮ")</f>
        <v>ФЛ ФГУП ОХРАНА ФЕДЕРАЛЬНОЙ СЛУЖБЫ ВОЙСК НАЦИОНАЛЬНОЙ ГВАРДИИ РФ ПО Г СЕВАСТОПОЛЮ</v>
      </c>
      <c r="K9689" s="24" t="s">
        <v>779</v>
      </c>
      <c r="L9689" s="22" t="s">
        <v>10</v>
      </c>
      <c r="M9689" s="28" t="s">
        <v>52</v>
      </c>
      <c r="N9689" s="28" t="s">
        <v>52</v>
      </c>
    </row>
    <row r="9690" spans="1:14" x14ac:dyDescent="0.15">
      <c r="A9690" s="23" t="str">
        <f>HYPERLINK("https://www.spark-marketing.ru/Card/Person/111368", "МБУ ""УПРАВЛЕНИЕ И ОБСЛУЖИВАНИЕ МУНИЦИПАЛЬНОГО ХОЗЯЙСТВА""")</f>
        <v>МБУ "УПРАВЛЕНИЕ И ОБСЛУЖИВАНИЕ МУНИЦИПАЛЬНОГО ХОЗЯЙСТВА"</v>
      </c>
      <c r="B9690" s="24" t="s">
        <v>12077</v>
      </c>
      <c r="C9690" s="25">
        <v>103894.09</v>
      </c>
      <c r="D9690" s="22" t="s">
        <v>12078</v>
      </c>
      <c r="E9690" s="22" t="s">
        <v>59</v>
      </c>
      <c r="F9690" s="23" t="str">
        <f>HYPERLINK("https://www.spark-marketing.ru/Card/Lot/69838497", "выполнение работ по установке, установке, монтажу и пусконаладке сисемы видеодомофонной связи и рамки металлодетектора в нежилом здании МБУ ""Управление и обслуживание муниципального хозяйства""")</f>
        <v>выполнение работ по установке, установке, монтажу и пусконаладке сисемы видеодомофонной связи и рамки металлодетектора в нежилом здании МБУ "Управление и обслуживание муниципального хозяйства"</v>
      </c>
      <c r="G9690" s="22" t="s">
        <v>760</v>
      </c>
      <c r="H9690" s="22" t="s">
        <v>760</v>
      </c>
      <c r="I9690" s="26">
        <v>43571.651388888902</v>
      </c>
      <c r="J9690" s="28" t="s">
        <v>52</v>
      </c>
      <c r="K9690" s="28" t="s">
        <v>52</v>
      </c>
      <c r="L9690" s="28" t="s">
        <v>52</v>
      </c>
      <c r="M9690" s="28" t="s">
        <v>52</v>
      </c>
      <c r="N9690" s="28" t="s">
        <v>52</v>
      </c>
    </row>
    <row r="9691" spans="1:14" ht="12.75" hidden="1" outlineLevel="1" x14ac:dyDescent="0.2">
      <c r="A9691" s="23" t="str">
        <f>HYPERLINK("https://www.spark-marketing.ru/Card/Person/111368", "МБУ ""УПРАВЛЕНИЕ И ОБСЛУЖИВАНИЕ МУНИЦИПАЛЬНОГО ХОЗЯЙСТВА""")</f>
        <v>МБУ "УПРАВЛЕНИЕ И ОБСЛУЖИВАНИЕ МУНИЦИПАЛЬНОГО ХОЗЯЙСТВА"</v>
      </c>
      <c r="B9691" s="24" t="s">
        <v>12077</v>
      </c>
      <c r="C9691" s="25">
        <v>103894.09</v>
      </c>
      <c r="D9691" s="22" t="s">
        <v>12078</v>
      </c>
      <c r="E9691" s="22" t="s">
        <v>59</v>
      </c>
      <c r="F9691" s="23" t="str">
        <f>HYPERLINK("https://www.spark-marketing.ru/Card/Lot/69838497", "выполнение работ по установке, установке, монтажу и пусконаладке сисемы видеодомофонной связи и рамки металлодетектора в нежилом здании МБУ ""Управление и обслуживание муниципального хозяйства""")</f>
        <v>выполнение работ по установке, установке, монтажу и пусконаладке сисемы видеодомофонной связи и рамки металлодетектора в нежилом здании МБУ "Управление и обслуживание муниципального хозяйства"</v>
      </c>
      <c r="G9691" s="22" t="s">
        <v>760</v>
      </c>
      <c r="H9691" s="22" t="s">
        <v>760</v>
      </c>
      <c r="I9691" s="26">
        <v>43571.651388888902</v>
      </c>
      <c r="J9691" s="23" t="str">
        <f>HYPERLINK("https://www.spark-marketing.ru/Card/Person/376325", "ООО ""ВАША БЕЗОПАСНОСТЬ""")</f>
        <v>ООО "ВАША БЕЗОПАСНОСТЬ"</v>
      </c>
      <c r="K9691" s="24" t="s">
        <v>4923</v>
      </c>
      <c r="L9691" s="22" t="s">
        <v>10</v>
      </c>
      <c r="M9691" s="25">
        <v>75378.570000000007</v>
      </c>
      <c r="N9691" s="27">
        <v>0.27446720020359194</v>
      </c>
    </row>
    <row r="9692" spans="1:14" hidden="1" outlineLevel="1" x14ac:dyDescent="0.2">
      <c r="A9692" s="23" t="str">
        <f>HYPERLINK("https://www.spark-marketing.ru/Card/Person/111368", "МБУ ""УПРАВЛЕНИЕ И ОБСЛУЖИВАНИЕ МУНИЦИПАЛЬНОГО ХОЗЯЙСТВА""")</f>
        <v>МБУ "УПРАВЛЕНИЕ И ОБСЛУЖИВАНИЕ МУНИЦИПАЛЬНОГО ХОЗЯЙСТВА"</v>
      </c>
      <c r="B9692" s="24" t="s">
        <v>12077</v>
      </c>
      <c r="C9692" s="25">
        <v>103894.09</v>
      </c>
      <c r="D9692" s="22" t="s">
        <v>12078</v>
      </c>
      <c r="E9692" s="22" t="s">
        <v>59</v>
      </c>
      <c r="F9692" s="23" t="str">
        <f>HYPERLINK("https://www.spark-marketing.ru/Card/Lot/69838497", "выполнение работ по установке, установке, монтажу и пусконаладке сисемы видеодомофонной связи и рамки металлодетектора в нежилом здании МБУ ""Управление и обслуживание муниципального хозяйства""")</f>
        <v>выполнение работ по установке, установке, монтажу и пусконаладке сисемы видеодомофонной связи и рамки металлодетектора в нежилом здании МБУ "Управление и обслуживание муниципального хозяйства"</v>
      </c>
      <c r="G9692" s="22" t="s">
        <v>760</v>
      </c>
      <c r="H9692" s="22" t="s">
        <v>760</v>
      </c>
      <c r="I9692" s="26">
        <v>43571.651388888902</v>
      </c>
      <c r="J9692" s="23" t="str">
        <f>HYPERLINK("https://www.spark-marketing.ru/Card/Person/669711", "ООО ""СВИК""")</f>
        <v>ООО "СВИК"</v>
      </c>
      <c r="K9692" s="24" t="s">
        <v>12079</v>
      </c>
      <c r="L9692" s="28" t="s">
        <v>52</v>
      </c>
      <c r="M9692" s="25">
        <v>74859.100000000006</v>
      </c>
      <c r="N9692" s="27">
        <v>0.27946719587225799</v>
      </c>
    </row>
    <row r="9693" spans="1:14" x14ac:dyDescent="0.15">
      <c r="A9693" s="23" t="str">
        <f>HYPERLINK("https://www.spark-marketing.ru/Card/Person/1496505", "ГАПОУ СО ""ПОЛИПРОФИЛЬНЫЙ ТЕХНИКУМ ИМ. О.В. ТЕРЁШКИНА"", ГАПОУ СО ""ПТ ИМ. О.В. ТЕРЁШКИНА""")</f>
        <v>ГАПОУ СО "ПОЛИПРОФИЛЬНЫЙ ТЕХНИКУМ ИМ. О.В. ТЕРЁШКИНА", ГАПОУ СО "ПТ ИМ. О.В. ТЕРЁШКИНА"</v>
      </c>
      <c r="B9693" s="24" t="s">
        <v>11440</v>
      </c>
      <c r="C9693" s="25">
        <v>350000</v>
      </c>
      <c r="D9693" s="22" t="s">
        <v>12080</v>
      </c>
      <c r="E9693" s="22" t="s">
        <v>49</v>
      </c>
      <c r="F9693" s="23" t="str">
        <f>HYPERLINK("https://www.spark-marketing.ru/Card/Lot/69835292", "Установка системы видеонаблюдения")</f>
        <v>Установка системы видеонаблюдения</v>
      </c>
      <c r="G9693" s="22" t="s">
        <v>72</v>
      </c>
      <c r="H9693" s="22" t="s">
        <v>72</v>
      </c>
      <c r="I9693" s="26">
        <v>43571.658692129597</v>
      </c>
      <c r="J9693" s="28" t="s">
        <v>52</v>
      </c>
      <c r="K9693" s="28" t="s">
        <v>52</v>
      </c>
      <c r="L9693" s="28" t="s">
        <v>52</v>
      </c>
      <c r="M9693" s="28" t="s">
        <v>52</v>
      </c>
      <c r="N9693" s="28" t="s">
        <v>52</v>
      </c>
    </row>
    <row r="9694" spans="1:14" x14ac:dyDescent="0.15">
      <c r="A9694" s="23" t="str">
        <f t="shared" ref="A9694:A9700" si="447">HYPERLINK("https://www.spark-marketing.ru/Card/Person/4349150", "МБОУ СОШ № 18, МБОУ ""СРЕДНЯЯ ОБЩЕОБРАЗОВАТЕЛЬНАЯ ШКОЛА № 18""")</f>
        <v>МБОУ СОШ № 18, МБОУ "СРЕДНЯЯ ОБЩЕОБРАЗОВАТЕЛЬНАЯ ШКОЛА № 18"</v>
      </c>
      <c r="B9694" s="24" t="s">
        <v>9961</v>
      </c>
      <c r="C9694" s="25">
        <v>600000</v>
      </c>
      <c r="D9694" s="22" t="s">
        <v>12081</v>
      </c>
      <c r="E9694" s="22" t="s">
        <v>59</v>
      </c>
      <c r="F9694" s="23" t="str">
        <f t="shared" ref="F9694:F9700" si="448">HYPERLINK("https://www.spark-marketing.ru/Card/Lot/69835929", "Установка комплекса охранной сигнализации")</f>
        <v>Установка комплекса охранной сигнализации</v>
      </c>
      <c r="G9694" s="22" t="s">
        <v>72</v>
      </c>
      <c r="H9694" s="22" t="s">
        <v>692</v>
      </c>
      <c r="I9694" s="26">
        <v>43571.637499999997</v>
      </c>
      <c r="J9694" s="28" t="s">
        <v>52</v>
      </c>
      <c r="K9694" s="28" t="s">
        <v>52</v>
      </c>
      <c r="L9694" s="28" t="s">
        <v>52</v>
      </c>
      <c r="M9694" s="28" t="s">
        <v>52</v>
      </c>
      <c r="N9694" s="28" t="s">
        <v>52</v>
      </c>
    </row>
    <row r="9695" spans="1:14" hidden="1" outlineLevel="1" x14ac:dyDescent="0.2">
      <c r="A9695" s="23" t="str">
        <f t="shared" si="447"/>
        <v>МБОУ СОШ № 18, МБОУ "СРЕДНЯЯ ОБЩЕОБРАЗОВАТЕЛЬНАЯ ШКОЛА № 18"</v>
      </c>
      <c r="B9695" s="24" t="s">
        <v>9961</v>
      </c>
      <c r="C9695" s="25">
        <v>600000</v>
      </c>
      <c r="D9695" s="22" t="s">
        <v>12081</v>
      </c>
      <c r="E9695" s="22" t="s">
        <v>59</v>
      </c>
      <c r="F9695" s="23" t="str">
        <f t="shared" si="448"/>
        <v>Установка комплекса охранной сигнализации</v>
      </c>
      <c r="G9695" s="22" t="s">
        <v>72</v>
      </c>
      <c r="H9695" s="22" t="s">
        <v>692</v>
      </c>
      <c r="I9695" s="26">
        <v>43571.637499999997</v>
      </c>
      <c r="J9695" s="23" t="str">
        <f>HYPERLINK("https://www.spark-marketing.ru/Card/Person/576883", "ООО ""ФЕНИКС""")</f>
        <v>ООО "ФЕНИКС"</v>
      </c>
      <c r="K9695" s="24" t="s">
        <v>10856</v>
      </c>
      <c r="L9695" s="28" t="s">
        <v>52</v>
      </c>
      <c r="M9695" s="25">
        <v>550000</v>
      </c>
      <c r="N9695" s="27">
        <v>8.3333333333333329E-2</v>
      </c>
    </row>
    <row r="9696" spans="1:14" hidden="1" outlineLevel="1" x14ac:dyDescent="0.2">
      <c r="A9696" s="23" t="str">
        <f t="shared" si="447"/>
        <v>МБОУ СОШ № 18, МБОУ "СРЕДНЯЯ ОБЩЕОБРАЗОВАТЕЛЬНАЯ ШКОЛА № 18"</v>
      </c>
      <c r="B9696" s="24" t="s">
        <v>9961</v>
      </c>
      <c r="C9696" s="25">
        <v>600000</v>
      </c>
      <c r="D9696" s="22" t="s">
        <v>12081</v>
      </c>
      <c r="E9696" s="22" t="s">
        <v>59</v>
      </c>
      <c r="F9696" s="23" t="str">
        <f t="shared" si="448"/>
        <v>Установка комплекса охранной сигнализации</v>
      </c>
      <c r="G9696" s="22" t="s">
        <v>72</v>
      </c>
      <c r="H9696" s="22" t="s">
        <v>692</v>
      </c>
      <c r="I9696" s="26">
        <v>43571.637499999997</v>
      </c>
      <c r="J9696" s="23" t="str">
        <f>HYPERLINK("https://www.spark-marketing.ru/Card/Person/4343374", "ООО ""АВАНГАРД""")</f>
        <v>ООО "АВАНГАРД"</v>
      </c>
      <c r="K9696" s="24" t="s">
        <v>10346</v>
      </c>
      <c r="L9696" s="28" t="s">
        <v>52</v>
      </c>
      <c r="M9696" s="25">
        <v>305608.09999999998</v>
      </c>
      <c r="N9696" s="27">
        <v>0.49065316666666664</v>
      </c>
    </row>
    <row r="9697" spans="1:14" hidden="1" outlineLevel="1" x14ac:dyDescent="0.2">
      <c r="A9697" s="23" t="str">
        <f t="shared" si="447"/>
        <v>МБОУ СОШ № 18, МБОУ "СРЕДНЯЯ ОБЩЕОБРАЗОВАТЕЛЬНАЯ ШКОЛА № 18"</v>
      </c>
      <c r="B9697" s="24" t="s">
        <v>9961</v>
      </c>
      <c r="C9697" s="25">
        <v>600000</v>
      </c>
      <c r="D9697" s="22" t="s">
        <v>12081</v>
      </c>
      <c r="E9697" s="22" t="s">
        <v>59</v>
      </c>
      <c r="F9697" s="23" t="str">
        <f t="shared" si="448"/>
        <v>Установка комплекса охранной сигнализации</v>
      </c>
      <c r="G9697" s="22" t="s">
        <v>72</v>
      </c>
      <c r="H9697" s="22" t="s">
        <v>692</v>
      </c>
      <c r="I9697" s="26">
        <v>43571.637499999997</v>
      </c>
      <c r="J9697" s="23" t="str">
        <f>HYPERLINK("https://www.spark-marketing.ru/Card/Person/850561", "ООО ""АСКОН""")</f>
        <v>ООО "АСКОН"</v>
      </c>
      <c r="K9697" s="24" t="s">
        <v>1266</v>
      </c>
      <c r="L9697" s="28" t="s">
        <v>52</v>
      </c>
      <c r="M9697" s="25">
        <v>359964</v>
      </c>
      <c r="N9697" s="27">
        <v>0.40006000000000003</v>
      </c>
    </row>
    <row r="9698" spans="1:14" hidden="1" outlineLevel="1" x14ac:dyDescent="0.2">
      <c r="A9698" s="23" t="str">
        <f t="shared" si="447"/>
        <v>МБОУ СОШ № 18, МБОУ "СРЕДНЯЯ ОБЩЕОБРАЗОВАТЕЛЬНАЯ ШКОЛА № 18"</v>
      </c>
      <c r="B9698" s="24" t="s">
        <v>9961</v>
      </c>
      <c r="C9698" s="25">
        <v>600000</v>
      </c>
      <c r="D9698" s="22" t="s">
        <v>12081</v>
      </c>
      <c r="E9698" s="22" t="s">
        <v>59</v>
      </c>
      <c r="F9698" s="23" t="str">
        <f t="shared" si="448"/>
        <v>Установка комплекса охранной сигнализации</v>
      </c>
      <c r="G9698" s="22" t="s">
        <v>72</v>
      </c>
      <c r="H9698" s="22" t="s">
        <v>692</v>
      </c>
      <c r="I9698" s="26">
        <v>43571.637499999997</v>
      </c>
      <c r="J9698" s="23" t="str">
        <f>HYPERLINK("https://www.spark-marketing.ru/Card/Person/6223684", "ООО ""КОРПОРАЦИЯ БЕЗОПАСНОСТИ""")</f>
        <v>ООО "КОРПОРАЦИЯ БЕЗОПАСНОСТИ"</v>
      </c>
      <c r="K9698" s="24" t="s">
        <v>4894</v>
      </c>
      <c r="L9698" s="28" t="s">
        <v>52</v>
      </c>
      <c r="M9698" s="25">
        <v>299608.09999999998</v>
      </c>
      <c r="N9698" s="27">
        <v>0.5006531666666667</v>
      </c>
    </row>
    <row r="9699" spans="1:14" hidden="1" outlineLevel="1" x14ac:dyDescent="0.2">
      <c r="A9699" s="23" t="str">
        <f t="shared" si="447"/>
        <v>МБОУ СОШ № 18, МБОУ "СРЕДНЯЯ ОБЩЕОБРАЗОВАТЕЛЬНАЯ ШКОЛА № 18"</v>
      </c>
      <c r="B9699" s="24" t="s">
        <v>9961</v>
      </c>
      <c r="C9699" s="25">
        <v>600000</v>
      </c>
      <c r="D9699" s="22" t="s">
        <v>12081</v>
      </c>
      <c r="E9699" s="22" t="s">
        <v>59</v>
      </c>
      <c r="F9699" s="23" t="str">
        <f t="shared" si="448"/>
        <v>Установка комплекса охранной сигнализации</v>
      </c>
      <c r="G9699" s="22" t="s">
        <v>72</v>
      </c>
      <c r="H9699" s="22" t="s">
        <v>692</v>
      </c>
      <c r="I9699" s="26">
        <v>43571.637499999997</v>
      </c>
      <c r="J9699" s="23" t="str">
        <f>HYPERLINK("https://www.spark-marketing.ru/Card/Person/50495", "ООО ""МСП БИЗНЕС МИР""")</f>
        <v>ООО "МСП БИЗНЕС МИР"</v>
      </c>
      <c r="K9699" s="24" t="s">
        <v>6602</v>
      </c>
      <c r="L9699" s="28" t="s">
        <v>52</v>
      </c>
      <c r="M9699" s="25">
        <v>492000</v>
      </c>
      <c r="N9699" s="27">
        <v>0.18</v>
      </c>
    </row>
    <row r="9700" spans="1:14" ht="12.75" hidden="1" outlineLevel="1" x14ac:dyDescent="0.2">
      <c r="A9700" s="23" t="str">
        <f t="shared" si="447"/>
        <v>МБОУ СОШ № 18, МБОУ "СРЕДНЯЯ ОБЩЕОБРАЗОВАТЕЛЬНАЯ ШКОЛА № 18"</v>
      </c>
      <c r="B9700" s="24" t="s">
        <v>9961</v>
      </c>
      <c r="C9700" s="25">
        <v>600000</v>
      </c>
      <c r="D9700" s="22" t="s">
        <v>12081</v>
      </c>
      <c r="E9700" s="22" t="s">
        <v>59</v>
      </c>
      <c r="F9700" s="23" t="str">
        <f t="shared" si="448"/>
        <v>Установка комплекса охранной сигнализации</v>
      </c>
      <c r="G9700" s="22" t="s">
        <v>72</v>
      </c>
      <c r="H9700" s="22" t="s">
        <v>692</v>
      </c>
      <c r="I9700" s="26">
        <v>43571.637499999997</v>
      </c>
      <c r="J9700" s="23" t="str">
        <f>HYPERLINK("https://www.spark-marketing.ru/Card/Person/753747", "ООО ""СКУД""")</f>
        <v>ООО "СКУД"</v>
      </c>
      <c r="K9700" s="24" t="s">
        <v>1612</v>
      </c>
      <c r="L9700" s="22" t="s">
        <v>10</v>
      </c>
      <c r="M9700" s="25">
        <v>296608.09999999998</v>
      </c>
      <c r="N9700" s="27">
        <v>0.50565316666666671</v>
      </c>
    </row>
    <row r="9701" spans="1:14" x14ac:dyDescent="0.15">
      <c r="A9701" s="23" t="str">
        <f>HYPERLINK("https://www.spark-marketing.ru/Card/Person/13501", "ГБДОУ ДЕТСКИЙ САД № 73 КРАСНОСЕЛЬСКОГО РАЙОНА СПБ")</f>
        <v>ГБДОУ ДЕТСКИЙ САД № 73 КРАСНОСЕЛЬСКОГО РАЙОНА СПБ</v>
      </c>
      <c r="B9701" s="24" t="s">
        <v>12082</v>
      </c>
      <c r="C9701" s="25">
        <v>1018624</v>
      </c>
      <c r="D9701" s="22" t="s">
        <v>12083</v>
      </c>
      <c r="E9701" s="22" t="s">
        <v>84</v>
      </c>
      <c r="F9701" s="23" t="str">
        <f>HYPERLINK("https://www.spark-marketing.ru/Card/Lot/69839620", "Выполнение требований к антитеррористической защищенности объекта. Выполнение работ по установке системы видео-наблюдения.")</f>
        <v>Выполнение требований к антитеррористической защищенности объекта. Выполнение работ по установке системы видео-наблюдения.</v>
      </c>
      <c r="G9701" s="22" t="s">
        <v>89</v>
      </c>
      <c r="H9701" s="22" t="s">
        <v>89</v>
      </c>
      <c r="I9701" s="26">
        <v>43571.635416666701</v>
      </c>
      <c r="J9701" s="23" t="str">
        <f>HYPERLINK("https://www.spark-marketing.ru/Card/Person/132600", "ООО ""АСПЕКТ""")</f>
        <v>ООО "АСПЕКТ"</v>
      </c>
      <c r="K9701" s="24" t="s">
        <v>10038</v>
      </c>
      <c r="L9701" s="28" t="s">
        <v>52</v>
      </c>
      <c r="M9701" s="28" t="s">
        <v>52</v>
      </c>
      <c r="N9701" s="28" t="s">
        <v>52</v>
      </c>
    </row>
    <row r="9702" spans="1:14" ht="12.75" hidden="1" outlineLevel="1" x14ac:dyDescent="0.2">
      <c r="A9702" s="23" t="str">
        <f>HYPERLINK("https://www.spark-marketing.ru/Card/Person/13501", "ГБДОУ ДЕТСКИЙ САД № 73 КРАСНОСЕЛЬСКОГО РАЙОНА СПБ")</f>
        <v>ГБДОУ ДЕТСКИЙ САД № 73 КРАСНОСЕЛЬСКОГО РАЙОНА СПБ</v>
      </c>
      <c r="B9702" s="24" t="s">
        <v>12082</v>
      </c>
      <c r="C9702" s="25">
        <v>1018624</v>
      </c>
      <c r="D9702" s="22" t="s">
        <v>12083</v>
      </c>
      <c r="E9702" s="22" t="s">
        <v>84</v>
      </c>
      <c r="F9702" s="23" t="str">
        <f>HYPERLINK("https://www.spark-marketing.ru/Card/Lot/69839620", "Выполнение требований к антитеррористической защищенности объекта. Выполнение работ по установке системы видео-наблюдения.")</f>
        <v>Выполнение требований к антитеррористической защищенности объекта. Выполнение работ по установке системы видео-наблюдения.</v>
      </c>
      <c r="G9702" s="22" t="s">
        <v>89</v>
      </c>
      <c r="H9702" s="22" t="s">
        <v>89</v>
      </c>
      <c r="I9702" s="26">
        <v>43571.635416666701</v>
      </c>
      <c r="J9702" s="23" t="str">
        <f>HYPERLINK("https://www.spark-marketing.ru/Card/Person/132600", "ООО ""АСПЕКТ""")</f>
        <v>ООО "АСПЕКТ"</v>
      </c>
      <c r="K9702" s="24" t="s">
        <v>10038</v>
      </c>
      <c r="L9702" s="22" t="s">
        <v>10</v>
      </c>
      <c r="M9702" s="25">
        <v>1013530.88</v>
      </c>
      <c r="N9702" s="27">
        <v>5.0000000000000001E-3</v>
      </c>
    </row>
    <row r="9703" spans="1:14" x14ac:dyDescent="0.15">
      <c r="A9703" s="23" t="str">
        <f>HYPERLINK("https://www.spark-marketing.ru/Card/Person/4348484", "ОАО ""МРСК УРАЛА""")</f>
        <v>ОАО "МРСК УРАЛА"</v>
      </c>
      <c r="B9703" s="24" t="s">
        <v>3612</v>
      </c>
      <c r="C9703" s="25">
        <v>3033417.7</v>
      </c>
      <c r="D9703" s="22" t="s">
        <v>12084</v>
      </c>
      <c r="E9703" s="22" t="s">
        <v>10761</v>
      </c>
      <c r="F9703" s="23" t="str">
        <f>HYPERLINK("https://www.spark-marketing.ru/Card/Lot/69831774", "СМР. Модернизация ТП, РП ПО ЧГЭС (установка тревожно-вызывной сигнализации, 86 шт.)")</f>
        <v>СМР. Модернизация ТП, РП ПО ЧГЭС (установка тревожно-вызывной сигнализации, 86 шт.)</v>
      </c>
      <c r="G9703" s="22" t="s">
        <v>60</v>
      </c>
      <c r="H9703" s="22" t="s">
        <v>1683</v>
      </c>
      <c r="I9703" s="26">
        <v>43571.648321759298</v>
      </c>
      <c r="J9703" s="28" t="s">
        <v>52</v>
      </c>
      <c r="K9703" s="28" t="s">
        <v>52</v>
      </c>
      <c r="L9703" s="28" t="s">
        <v>52</v>
      </c>
      <c r="M9703" s="28" t="s">
        <v>52</v>
      </c>
      <c r="N9703" s="28" t="s">
        <v>52</v>
      </c>
    </row>
    <row r="9704" spans="1:14" hidden="1" outlineLevel="1" x14ac:dyDescent="0.15">
      <c r="A9704" s="23" t="str">
        <f>HYPERLINK("https://www.spark-marketing.ru/Card/Person/4348484", "ОАО ""МРСК УРАЛА""")</f>
        <v>ОАО "МРСК УРАЛА"</v>
      </c>
      <c r="B9704" s="24" t="s">
        <v>3612</v>
      </c>
      <c r="C9704" s="28" t="s">
        <v>52</v>
      </c>
      <c r="D9704" s="22" t="s">
        <v>12084</v>
      </c>
      <c r="E9704" s="22" t="s">
        <v>10761</v>
      </c>
      <c r="F9704" s="23" t="str">
        <f>HYPERLINK("https://www.spark-marketing.ru/Card/Lot/69831774", "СМР. Модернизация ТП, РП ПО ЧГЭС (установка тревожно-вызывной сигнализации, 86 шт.)")</f>
        <v>СМР. Модернизация ТП, РП ПО ЧГЭС (установка тревожно-вызывной сигнализации, 86 шт.)</v>
      </c>
      <c r="G9704" s="22" t="s">
        <v>60</v>
      </c>
      <c r="H9704" s="22" t="s">
        <v>1683</v>
      </c>
      <c r="I9704" s="26">
        <v>43571.648321759298</v>
      </c>
      <c r="J9704" s="23" t="str">
        <f>HYPERLINK("https://www.spark-marketing.ru/Card/Person/1905065", "ЗАЯВКА")</f>
        <v>ЗАЯВКА</v>
      </c>
      <c r="K9704" s="24" t="s">
        <v>10745</v>
      </c>
      <c r="L9704" s="28" t="s">
        <v>52</v>
      </c>
      <c r="M9704" s="28" t="s">
        <v>52</v>
      </c>
      <c r="N9704" s="28" t="s">
        <v>52</v>
      </c>
    </row>
    <row r="9705" spans="1:14" hidden="1" outlineLevel="1" x14ac:dyDescent="0.15">
      <c r="A9705" s="23" t="str">
        <f>HYPERLINK("https://www.spark-marketing.ru/Card/Person/4348484", "ОАО ""МРСК УРАЛА""")</f>
        <v>ОАО "МРСК УРАЛА"</v>
      </c>
      <c r="B9705" s="24" t="s">
        <v>3612</v>
      </c>
      <c r="C9705" s="28" t="s">
        <v>52</v>
      </c>
      <c r="D9705" s="22" t="s">
        <v>12084</v>
      </c>
      <c r="E9705" s="22" t="s">
        <v>10761</v>
      </c>
      <c r="F9705" s="23" t="str">
        <f>HYPERLINK("https://www.spark-marketing.ru/Card/Lot/69831774", "СМР. Модернизация ТП, РП ПО ЧГЭС (установка тревожно-вызывной сигнализации, 86 шт.)")</f>
        <v>СМР. Модернизация ТП, РП ПО ЧГЭС (установка тревожно-вызывной сигнализации, 86 шт.)</v>
      </c>
      <c r="G9705" s="22" t="s">
        <v>60</v>
      </c>
      <c r="H9705" s="22" t="s">
        <v>1683</v>
      </c>
      <c r="I9705" s="26">
        <v>43571.648321759298</v>
      </c>
      <c r="J9705" s="23" t="str">
        <f>HYPERLINK("https://www.spark-marketing.ru/Card/Person/1905065", "ЗАЯВКА")</f>
        <v>ЗАЯВКА</v>
      </c>
      <c r="K9705" s="24" t="s">
        <v>10745</v>
      </c>
      <c r="L9705" s="28" t="s">
        <v>52</v>
      </c>
      <c r="M9705" s="28" t="s">
        <v>52</v>
      </c>
      <c r="N9705" s="28" t="s">
        <v>52</v>
      </c>
    </row>
    <row r="9706" spans="1:14" hidden="1" outlineLevel="1" x14ac:dyDescent="0.2">
      <c r="A9706" s="23" t="str">
        <f>HYPERLINK("https://www.spark-marketing.ru/Card/Person/4348484", "ОАО ""МРСК УРАЛА""")</f>
        <v>ОАО "МРСК УРАЛА"</v>
      </c>
      <c r="B9706" s="24" t="s">
        <v>3612</v>
      </c>
      <c r="C9706" s="28" t="s">
        <v>52</v>
      </c>
      <c r="D9706" s="22" t="s">
        <v>12084</v>
      </c>
      <c r="E9706" s="22" t="s">
        <v>10761</v>
      </c>
      <c r="F9706" s="23" t="str">
        <f>HYPERLINK("https://www.spark-marketing.ru/Card/Lot/69831774", "СМР. Модернизация ТП, РП ПО ЧГЭС (установка тревожно-вызывной сигнализации, 86 шт.)")</f>
        <v>СМР. Модернизация ТП, РП ПО ЧГЭС (установка тревожно-вызывной сигнализации, 86 шт.)</v>
      </c>
      <c r="G9706" s="22" t="s">
        <v>60</v>
      </c>
      <c r="H9706" s="22" t="s">
        <v>1683</v>
      </c>
      <c r="I9706" s="26">
        <v>43571.648321759298</v>
      </c>
      <c r="J9706" s="23" t="str">
        <f>HYPERLINK("https://www.spark-marketing.ru/Card/Person/102138", "ООО ""ИНТЕГРОС""")</f>
        <v>ООО "ИНТЕГРОС"</v>
      </c>
      <c r="K9706" s="24" t="s">
        <v>12085</v>
      </c>
      <c r="L9706" s="22" t="s">
        <v>10</v>
      </c>
      <c r="M9706" s="25">
        <v>2699741.75</v>
      </c>
      <c r="N9706" s="27">
        <v>0.11000000098898348</v>
      </c>
    </row>
    <row r="9707" spans="1:14" hidden="1" outlineLevel="1" x14ac:dyDescent="0.15">
      <c r="A9707" s="23" t="str">
        <f>HYPERLINK("https://www.spark-marketing.ru/Card/Person/4348484", "ОАО ""МРСК УРАЛА""")</f>
        <v>ОАО "МРСК УРАЛА"</v>
      </c>
      <c r="B9707" s="24" t="s">
        <v>3612</v>
      </c>
      <c r="C9707" s="28" t="s">
        <v>52</v>
      </c>
      <c r="D9707" s="22" t="s">
        <v>12084</v>
      </c>
      <c r="E9707" s="22" t="s">
        <v>10761</v>
      </c>
      <c r="F9707" s="23" t="str">
        <f>HYPERLINK("https://www.spark-marketing.ru/Card/Lot/69831774", "СМР. Модернизация ТП, РП ПО ЧГЭС (установка тревожно-вызывной сигнализации, 86 шт.)")</f>
        <v>СМР. Модернизация ТП, РП ПО ЧГЭС (установка тревожно-вызывной сигнализации, 86 шт.)</v>
      </c>
      <c r="G9707" s="22" t="s">
        <v>60</v>
      </c>
      <c r="H9707" s="22" t="s">
        <v>1683</v>
      </c>
      <c r="I9707" s="26">
        <v>43571.648321759298</v>
      </c>
      <c r="J9707" s="23" t="str">
        <f>HYPERLINK("https://www.spark-marketing.ru/Card/Person/1905065", "ЗАЯВКА")</f>
        <v>ЗАЯВКА</v>
      </c>
      <c r="K9707" s="24" t="s">
        <v>10745</v>
      </c>
      <c r="L9707" s="28" t="s">
        <v>52</v>
      </c>
      <c r="M9707" s="28" t="s">
        <v>52</v>
      </c>
      <c r="N9707" s="28" t="s">
        <v>52</v>
      </c>
    </row>
    <row r="9708" spans="1:14" x14ac:dyDescent="0.15">
      <c r="A9708" s="23" t="str">
        <f>HYPERLINK("https://www.spark-marketing.ru/Card/Person/6514818", "БАНК РОССИИ УРАЛЬСКОЕ ГУ")</f>
        <v>БАНК РОССИИ УРАЛЬСКОЕ ГУ</v>
      </c>
      <c r="B9708" s="28" t="s">
        <v>52</v>
      </c>
      <c r="C9708" s="28" t="s">
        <v>52</v>
      </c>
      <c r="D9708" s="22" t="s">
        <v>12086</v>
      </c>
      <c r="E9708" s="22" t="s">
        <v>53</v>
      </c>
      <c r="F9708" s="23" t="str">
        <f>HYPERLINK("https://www.spark-marketing.ru/Card/Lot/69872697", "Выполнение работ по переносу системы «система аудио и видео сопровождения коллективных мероприятий в служебном здании гу банка россии по курганской области по ул. ленина, 36. зал заседаний» на новое место установки по адресу: 640002, г. курган, ул. к...")</f>
        <v>Выполнение работ по переносу системы «система аудио и видео сопровождения коллективных мероприятий в служебном здании гу банка россии по курганской области по ул. ленина, 36. зал заседаний» на новое место установки по адресу: 640002, г. курган, ул. к...</v>
      </c>
      <c r="G9708" s="22" t="s">
        <v>52</v>
      </c>
      <c r="H9708" s="22" t="s">
        <v>52</v>
      </c>
      <c r="I9708" s="26">
        <v>43571.630555555603</v>
      </c>
      <c r="J9708" s="28" t="s">
        <v>52</v>
      </c>
      <c r="K9708" s="28" t="s">
        <v>52</v>
      </c>
      <c r="L9708" s="28" t="s">
        <v>52</v>
      </c>
      <c r="M9708" s="28" t="s">
        <v>52</v>
      </c>
      <c r="N9708" s="28" t="s">
        <v>52</v>
      </c>
    </row>
    <row r="9709" spans="1:14" x14ac:dyDescent="0.15">
      <c r="A9709" s="23" t="str">
        <f>HYPERLINK("https://www.spark-marketing.ru/Card/Person/4347103", "ФГБУ ""ЕВПАТОРИЙСКИЙ ВОЕННЫЙ ДЕТСКИЙ КЛИНИЧЕСКИЙ САНАТОРИЙ ИМЕНИ Е.П.ГЛИНКИ"" МИНОБОРОНЫ РОССИИ")</f>
        <v>ФГБУ "ЕВПАТОРИЙСКИЙ ВОЕННЫЙ ДЕТСКИЙ КЛИНИЧЕСКИЙ САНАТОРИЙ ИМЕНИ Е.П.ГЛИНКИ" МИНОБОРОНЫ РОССИИ</v>
      </c>
      <c r="B9709" s="24" t="s">
        <v>12087</v>
      </c>
      <c r="C9709" s="25">
        <v>750074</v>
      </c>
      <c r="D9709" s="22" t="s">
        <v>12088</v>
      </c>
      <c r="E9709" s="22" t="s">
        <v>84</v>
      </c>
      <c r="F9709" s="23" t="str">
        <f>HYPERLINK("https://www.spark-marketing.ru/Card/Lot/69843359", "Оказание услуг по установке (монтажу) системы видеонаблюдения.")</f>
        <v>Оказание услуг по установке (монтажу) системы видеонаблюдения.</v>
      </c>
      <c r="G9709" s="22" t="s">
        <v>1053</v>
      </c>
      <c r="H9709" s="22" t="s">
        <v>5997</v>
      </c>
      <c r="I9709" s="26">
        <v>43571.641666666699</v>
      </c>
      <c r="J9709" s="28" t="s">
        <v>52</v>
      </c>
      <c r="K9709" s="28" t="s">
        <v>52</v>
      </c>
      <c r="L9709" s="28" t="s">
        <v>52</v>
      </c>
      <c r="M9709" s="28" t="s">
        <v>52</v>
      </c>
      <c r="N9709" s="28" t="s">
        <v>52</v>
      </c>
    </row>
    <row r="9710" spans="1:14" x14ac:dyDescent="0.15">
      <c r="A9710" s="23" t="str">
        <f>HYPERLINK("https://www.spark-marketing.ru/Card/Person/581805", "ГАУК ЯО ""КОНЦЕРТНО-ЗРЕЛИЩНЫЙ ЦЕНТР""")</f>
        <v>ГАУК ЯО "КОНЦЕРТНО-ЗРЕЛИЩНЫЙ ЦЕНТР"</v>
      </c>
      <c r="B9710" s="24" t="s">
        <v>12089</v>
      </c>
      <c r="C9710" s="25">
        <v>660342.22</v>
      </c>
      <c r="D9710" s="22" t="s">
        <v>12090</v>
      </c>
      <c r="E9710" s="22" t="s">
        <v>12091</v>
      </c>
      <c r="F9710" s="23" t="str">
        <f>HYPERLINK("https://www.spark-marketing.ru/Card/Lot/69836279", "услуги по предоставлению, монтажу, обслуживанию и демонтажу звукового, видеопроекционного и сценического оборудования для проведения мероприятия, посвященного празднику Победы в Великой Отечественной войне «#МойМаршал» 9 мая 2019 года")</f>
        <v>услуги по предоставлению, монтажу, обслуживанию и демонтажу звукового, видеопроекционного и сценического оборудования для проведения мероприятия, посвященного празднику Победы в Великой Отечественной войне «#МойМаршал» 9 мая 2019 года</v>
      </c>
      <c r="G9710" s="22" t="s">
        <v>155</v>
      </c>
      <c r="H9710" s="22" t="s">
        <v>155</v>
      </c>
      <c r="I9710" s="26">
        <v>43571.622557870403</v>
      </c>
      <c r="J9710" s="28" t="s">
        <v>52</v>
      </c>
      <c r="K9710" s="28" t="s">
        <v>52</v>
      </c>
      <c r="L9710" s="28" t="s">
        <v>52</v>
      </c>
      <c r="M9710" s="28" t="s">
        <v>52</v>
      </c>
      <c r="N9710" s="28" t="s">
        <v>52</v>
      </c>
    </row>
    <row r="9711" spans="1:14" x14ac:dyDescent="0.15">
      <c r="A9711" s="23" t="str">
        <f>HYPERLINK("https://www.spark-marketing.ru/Card/Person/1027596", "МОУ СОШ №15")</f>
        <v>МОУ СОШ №15</v>
      </c>
      <c r="B9711" s="24" t="s">
        <v>12092</v>
      </c>
      <c r="C9711" s="25">
        <v>258500</v>
      </c>
      <c r="D9711" s="22" t="s">
        <v>12093</v>
      </c>
      <c r="E9711" s="22" t="s">
        <v>84</v>
      </c>
      <c r="F9711" s="23" t="str">
        <f>HYPERLINK("https://www.spark-marketing.ru/Card/Lot/69834689", "Оказание услуг по поставке и установке камер системы видеонаблюдения в пунктах приема экзаменов (ППЭ)")</f>
        <v>Оказание услуг по поставке и установке камер системы видеонаблюдения в пунктах приема экзаменов (ППЭ)</v>
      </c>
      <c r="G9711" s="22" t="s">
        <v>50</v>
      </c>
      <c r="H9711" s="22" t="s">
        <v>239</v>
      </c>
      <c r="I9711" s="26">
        <v>43571.597372685203</v>
      </c>
      <c r="J9711" s="28" t="s">
        <v>52</v>
      </c>
      <c r="K9711" s="28" t="s">
        <v>52</v>
      </c>
      <c r="L9711" s="28" t="s">
        <v>52</v>
      </c>
      <c r="M9711" s="28" t="s">
        <v>52</v>
      </c>
      <c r="N9711" s="28" t="s">
        <v>52</v>
      </c>
    </row>
    <row r="9712" spans="1:14" x14ac:dyDescent="0.15">
      <c r="A9712" s="23" t="str">
        <f>HYPERLINK("https://www.spark-marketing.ru/Card/Person/112718", "МБУ ""КЦСОН"" КАЛИНИНСКОГО РАЙОНА")</f>
        <v>МБУ "КЦСОН" КАЛИНИНСКОГО РАЙОНА</v>
      </c>
      <c r="B9712" s="24" t="s">
        <v>12094</v>
      </c>
      <c r="C9712" s="28" t="s">
        <v>52</v>
      </c>
      <c r="D9712" s="22" t="s">
        <v>12095</v>
      </c>
      <c r="E9712" s="22" t="s">
        <v>103</v>
      </c>
      <c r="F9712" s="23" t="str">
        <f>HYPERLINK("https://www.spark-marketing.ru/Card/Lot/69833016", "Оказание услуг по техническому обслуживанию системы видеонаблюдения")</f>
        <v>Оказание услуг по техническому обслуживанию системы видеонаблюдения</v>
      </c>
      <c r="G9712" s="22" t="s">
        <v>209</v>
      </c>
      <c r="H9712" s="22" t="s">
        <v>210</v>
      </c>
      <c r="I9712" s="26">
        <v>43571.583333333299</v>
      </c>
      <c r="J9712" s="28" t="s">
        <v>52</v>
      </c>
      <c r="K9712" s="28" t="s">
        <v>52</v>
      </c>
      <c r="L9712" s="28" t="s">
        <v>52</v>
      </c>
      <c r="M9712" s="28" t="s">
        <v>52</v>
      </c>
      <c r="N9712" s="28" t="s">
        <v>52</v>
      </c>
    </row>
    <row r="9713" spans="1:14" x14ac:dyDescent="0.15">
      <c r="A9713" s="23" t="str">
        <f>HYPERLINK("https://www.spark-marketing.ru/Card/Person/4415469", "ПАО ""ТАГМЕТ""")</f>
        <v>ПАО "ТАГМЕТ"</v>
      </c>
      <c r="B9713" s="24" t="s">
        <v>12096</v>
      </c>
      <c r="C9713" s="25">
        <v>84689.67</v>
      </c>
      <c r="D9713" s="22" t="s">
        <v>12097</v>
      </c>
      <c r="E9713" s="22" t="s">
        <v>53</v>
      </c>
      <c r="F9713" s="23" t="str">
        <f>HYPERLINK("https://www.spark-marketing.ru/Card/Lot/72406851", "ДКС")</f>
        <v>ДКС</v>
      </c>
      <c r="G9713" s="22" t="s">
        <v>402</v>
      </c>
      <c r="H9713" s="22" t="s">
        <v>5520</v>
      </c>
      <c r="I9713" s="26">
        <v>43571.598055555602</v>
      </c>
      <c r="J9713" s="28" t="s">
        <v>52</v>
      </c>
      <c r="K9713" s="28" t="s">
        <v>52</v>
      </c>
      <c r="L9713" s="28" t="s">
        <v>52</v>
      </c>
      <c r="M9713" s="28" t="s">
        <v>52</v>
      </c>
      <c r="N9713" s="28" t="s">
        <v>52</v>
      </c>
    </row>
    <row r="9714" spans="1:14" x14ac:dyDescent="0.15">
      <c r="A9714" s="23" t="str">
        <f>HYPERLINK("https://www.spark-marketing.ru/Card/Person/238944", "АДМИНИСТРАЦИЯ МУНИЦИПАЛЬНОГО ОБРАЗОВАНИЯ КУЩЕВСКИЙ РАЙОН")</f>
        <v>АДМИНИСТРАЦИЯ МУНИЦИПАЛЬНОГО ОБРАЗОВАНИЯ КУЩЕВСКИЙ РАЙОН</v>
      </c>
      <c r="B9714" s="24" t="s">
        <v>12098</v>
      </c>
      <c r="C9714" s="25">
        <v>160666</v>
      </c>
      <c r="D9714" s="22" t="s">
        <v>12099</v>
      </c>
      <c r="E9714" s="22" t="s">
        <v>84</v>
      </c>
      <c r="F9714" s="23" t="str">
        <f>HYPERLINK("https://www.spark-marketing.ru/Card/Lot/69840822", "Техническое обслуживание инфраструктуры видеонаблюдения, сбора и отображения видеоинформации")</f>
        <v>Техническое обслуживание инфраструктуры видеонаблюдения, сбора и отображения видеоинформации</v>
      </c>
      <c r="G9714" s="22" t="s">
        <v>132</v>
      </c>
      <c r="H9714" s="22" t="s">
        <v>132</v>
      </c>
      <c r="I9714" s="26">
        <v>43571.616666666698</v>
      </c>
      <c r="J9714" s="28" t="s">
        <v>52</v>
      </c>
      <c r="K9714" s="28" t="s">
        <v>52</v>
      </c>
      <c r="L9714" s="28" t="s">
        <v>52</v>
      </c>
      <c r="M9714" s="28" t="s">
        <v>52</v>
      </c>
      <c r="N9714" s="28" t="s">
        <v>52</v>
      </c>
    </row>
    <row r="9715" spans="1:14" hidden="1" outlineLevel="1" x14ac:dyDescent="0.2">
      <c r="A9715" s="23" t="str">
        <f>HYPERLINK("https://www.spark-marketing.ru/Card/Person/238944", "АДМИНИСТРАЦИЯ МУНИЦИПАЛЬНОГО ОБРАЗОВАНИЯ КУЩЕВСКИЙ РАЙОН")</f>
        <v>АДМИНИСТРАЦИЯ МУНИЦИПАЛЬНОГО ОБРАЗОВАНИЯ КУЩЕВСКИЙ РАЙОН</v>
      </c>
      <c r="B9715" s="24" t="s">
        <v>12098</v>
      </c>
      <c r="C9715" s="25">
        <v>160666</v>
      </c>
      <c r="D9715" s="22" t="s">
        <v>12099</v>
      </c>
      <c r="E9715" s="22" t="s">
        <v>84</v>
      </c>
      <c r="F9715" s="23" t="str">
        <f>HYPERLINK("https://www.spark-marketing.ru/Card/Lot/69840822", "Техническое обслуживание инфраструктуры видеонаблюдения, сбора и отображения видеоинформации")</f>
        <v>Техническое обслуживание инфраструктуры видеонаблюдения, сбора и отображения видеоинформации</v>
      </c>
      <c r="G9715" s="22" t="s">
        <v>132</v>
      </c>
      <c r="H9715" s="22" t="s">
        <v>132</v>
      </c>
      <c r="I9715" s="26">
        <v>43571.616666666698</v>
      </c>
      <c r="J9715" s="23" t="str">
        <f>HYPERLINK("https://www.spark-marketing.ru/Card/Person/6513318", "ООО ""СУПЕРЭЛЕКТРО""")</f>
        <v>ООО "СУПЕРЭЛЕКТРО"</v>
      </c>
      <c r="K9715" s="24" t="s">
        <v>12100</v>
      </c>
      <c r="L9715" s="28" t="s">
        <v>52</v>
      </c>
      <c r="M9715" s="25">
        <v>134156.10999999999</v>
      </c>
      <c r="N9715" s="27">
        <v>0.16500000000000001</v>
      </c>
    </row>
    <row r="9716" spans="1:14" ht="12.75" hidden="1" outlineLevel="1" x14ac:dyDescent="0.2">
      <c r="A9716" s="23" t="str">
        <f>HYPERLINK("https://www.spark-marketing.ru/Card/Person/238944", "АДМИНИСТРАЦИЯ МУНИЦИПАЛЬНОГО ОБРАЗОВАНИЯ КУЩЕВСКИЙ РАЙОН")</f>
        <v>АДМИНИСТРАЦИЯ МУНИЦИПАЛЬНОГО ОБРАЗОВАНИЯ КУЩЕВСКИЙ РАЙОН</v>
      </c>
      <c r="B9716" s="24" t="s">
        <v>12098</v>
      </c>
      <c r="C9716" s="25">
        <v>160666</v>
      </c>
      <c r="D9716" s="22" t="s">
        <v>12099</v>
      </c>
      <c r="E9716" s="22" t="s">
        <v>84</v>
      </c>
      <c r="F9716" s="23" t="str">
        <f>HYPERLINK("https://www.spark-marketing.ru/Card/Lot/69840822", "Техническое обслуживание инфраструктуры видеонаблюдения, сбора и отображения видеоинформации")</f>
        <v>Техническое обслуживание инфраструктуры видеонаблюдения, сбора и отображения видеоинформации</v>
      </c>
      <c r="G9716" s="22" t="s">
        <v>132</v>
      </c>
      <c r="H9716" s="22" t="s">
        <v>132</v>
      </c>
      <c r="I9716" s="26">
        <v>43571.616666666698</v>
      </c>
      <c r="J9716" s="23" t="str">
        <f>HYPERLINK("https://www.spark-marketing.ru/Card/Person/447222", "ООО ""БАРРУС""")</f>
        <v>ООО "БАРРУС"</v>
      </c>
      <c r="K9716" s="24" t="s">
        <v>12101</v>
      </c>
      <c r="L9716" s="22" t="s">
        <v>10</v>
      </c>
      <c r="M9716" s="25">
        <v>133352.78</v>
      </c>
      <c r="N9716" s="27">
        <v>0.17</v>
      </c>
    </row>
    <row r="9717" spans="1:14" x14ac:dyDescent="0.2">
      <c r="A9717" s="23" t="str">
        <f>HYPERLINK("https://www.spark-marketing.ru/Card/Person/5312", "ФГАОУ ВО РУТ (МИИТ), РУТ (МИИТ)")</f>
        <v>ФГАОУ ВО РУТ (МИИТ), РУТ (МИИТ)</v>
      </c>
      <c r="B9717" s="24" t="s">
        <v>12102</v>
      </c>
      <c r="C9717" s="25">
        <v>504412.68</v>
      </c>
      <c r="D9717" s="22" t="s">
        <v>12103</v>
      </c>
      <c r="E9717" s="22" t="s">
        <v>144</v>
      </c>
      <c r="F9717" s="23" t="str">
        <f>HYPERLINK("https://www.spark-marketing.ru/Card/Lot/69849831", "Оказание охранных услуг")</f>
        <v>Оказание охранных услуг</v>
      </c>
      <c r="G9717" s="22" t="s">
        <v>55</v>
      </c>
      <c r="H9717" s="22" t="s">
        <v>55</v>
      </c>
      <c r="I9717" s="26">
        <v>43571.584687499999</v>
      </c>
      <c r="J9717" s="23" t="str">
        <f>HYPERLINK("https://www.spark-marketing.ru/Card/Person/4343628", "ФГКУ ""УВО ВНГ РОССИИ ПО ГОРОДУ МОСКВЕ""")</f>
        <v>ФГКУ "УВО ВНГ РОССИИ ПО ГОРОДУ МОСКВЕ"</v>
      </c>
      <c r="K9717" s="24" t="s">
        <v>12104</v>
      </c>
      <c r="L9717" s="28" t="s">
        <v>52</v>
      </c>
      <c r="M9717" s="25">
        <v>504412.68</v>
      </c>
      <c r="N9717" s="27">
        <v>0</v>
      </c>
    </row>
    <row r="9718" spans="1:14" x14ac:dyDescent="0.15">
      <c r="A9718" s="23" t="str">
        <f>HYPERLINK("https://www.spark-marketing.ru/Card/Person/4886788", "УРАЛЬСКОЕ ГУ БАНКА РОССИИ")</f>
        <v>УРАЛЬСКОЕ ГУ БАНКА РОССИИ</v>
      </c>
      <c r="B9718" s="24" t="s">
        <v>624</v>
      </c>
      <c r="C9718" s="25">
        <v>0</v>
      </c>
      <c r="D9718" s="22" t="s">
        <v>12105</v>
      </c>
      <c r="E9718" s="22" t="s">
        <v>52</v>
      </c>
      <c r="F9718" s="23" t="str">
        <f>HYPERLINK("https://www.spark-marketing.ru/Card/Lot/69838466", "выполнение работ по переносу системы «Система аудио и видео сопровождения коллективных мероприятий в служебном здании ГУ Банка России по Курганской области по ул. Ленина, 36. Зал заседаний» на новое место установки по адресу: 640002, г. Курган, ул. К...")</f>
        <v>выполнение работ по переносу системы «Система аудио и видео сопровождения коллективных мероприятий в служебном здании ГУ Банка России по Курганской области по ул. Ленина, 36. Зал заседаний» на новое место установки по адресу: 640002, г. Курган, ул. К...</v>
      </c>
      <c r="G9718" s="22" t="s">
        <v>55</v>
      </c>
      <c r="H9718" s="22" t="s">
        <v>55</v>
      </c>
      <c r="I9718" s="26">
        <v>43571.56</v>
      </c>
      <c r="J9718" s="28" t="s">
        <v>52</v>
      </c>
      <c r="K9718" s="28" t="s">
        <v>52</v>
      </c>
      <c r="L9718" s="28" t="s">
        <v>52</v>
      </c>
      <c r="M9718" s="28" t="s">
        <v>52</v>
      </c>
      <c r="N9718" s="28" t="s">
        <v>52</v>
      </c>
    </row>
    <row r="9719" spans="1:14" x14ac:dyDescent="0.15">
      <c r="A9719" s="23" t="str">
        <f>HYPERLINK("https://www.spark-marketing.ru/Card/Person/32736", "МКУ ""ЭЛЕКТРОННЫЙ КРАСНОДАР""")</f>
        <v>МКУ "ЭЛЕКТРОННЫЙ КРАСНОДАР"</v>
      </c>
      <c r="B9719" s="24" t="s">
        <v>9069</v>
      </c>
      <c r="C9719" s="25">
        <v>352466.58</v>
      </c>
      <c r="D9719" s="22" t="s">
        <v>12106</v>
      </c>
      <c r="E9719" s="22" t="s">
        <v>2623</v>
      </c>
      <c r="F9719" s="23" t="str">
        <f>HYPERLINK("https://www.spark-marketing.ru/Card/Lot/69835069", "Оказание услуг по техническому обслуживанию видеоконференцсвязи")</f>
        <v>Оказание услуг по техническому обслуживанию видеоконференцсвязи</v>
      </c>
      <c r="G9719" s="22" t="s">
        <v>132</v>
      </c>
      <c r="H9719" s="22" t="s">
        <v>652</v>
      </c>
      <c r="I9719" s="26">
        <v>43571.581250000003</v>
      </c>
      <c r="J9719" s="28" t="s">
        <v>52</v>
      </c>
      <c r="K9719" s="28" t="s">
        <v>52</v>
      </c>
      <c r="L9719" s="28" t="s">
        <v>52</v>
      </c>
      <c r="M9719" s="28" t="s">
        <v>52</v>
      </c>
      <c r="N9719" s="28" t="s">
        <v>52</v>
      </c>
    </row>
    <row r="9720" spans="1:14" x14ac:dyDescent="0.15">
      <c r="A9720" s="23" t="str">
        <f>HYPERLINK("https://www.spark-marketing.ru/Card/Person/139807", "УПРАВЛЕНИЕ РОСКОМНАДЗОРА ПО РЕСПУБЛИКЕ ДАГЕСТАН")</f>
        <v>УПРАВЛЕНИЕ РОСКОМНАДЗОРА ПО РЕСПУБЛИКЕ ДАГЕСТАН</v>
      </c>
      <c r="B9720" s="24" t="s">
        <v>11968</v>
      </c>
      <c r="C9720" s="25">
        <v>99800</v>
      </c>
      <c r="D9720" s="22" t="s">
        <v>12107</v>
      </c>
      <c r="E9720" s="22" t="s">
        <v>53</v>
      </c>
      <c r="F9720" s="23" t="str">
        <f>HYPERLINK("https://www.spark-marketing.ru/Card/Lot/70775897", "Оказание ведомственной охраны объекта и осуществление пропускного и внутриобъектового режима")</f>
        <v>Оказание ведомственной охраны объекта и осуществление пропускного и внутриобъектового режима</v>
      </c>
      <c r="G9720" s="22" t="s">
        <v>595</v>
      </c>
      <c r="H9720" s="22" t="s">
        <v>3766</v>
      </c>
      <c r="I9720" s="26">
        <v>43571.515185185199</v>
      </c>
      <c r="J9720" s="28" t="s">
        <v>52</v>
      </c>
      <c r="K9720" s="28" t="s">
        <v>52</v>
      </c>
      <c r="L9720" s="28" t="s">
        <v>52</v>
      </c>
      <c r="M9720" s="28" t="s">
        <v>52</v>
      </c>
      <c r="N9720" s="28" t="s">
        <v>52</v>
      </c>
    </row>
    <row r="9721" spans="1:14" x14ac:dyDescent="0.15">
      <c r="A9721" s="23" t="str">
        <f>HYPERLINK("https://www.spark-marketing.ru/Card/Person/52487", "ГБУ РО ""ОКЦФП""")</f>
        <v>ГБУ РО "ОКЦФП"</v>
      </c>
      <c r="B9721" s="24" t="s">
        <v>9644</v>
      </c>
      <c r="C9721" s="25">
        <v>43000.02</v>
      </c>
      <c r="D9721" s="22" t="s">
        <v>12108</v>
      </c>
      <c r="E9721" s="22" t="s">
        <v>1013</v>
      </c>
      <c r="F9721" s="23" t="str">
        <f>HYPERLINK("https://www.spark-marketing.ru/Card/Lot/69832645", "Оказание услуг по оперативному реагированию при срабатывании тревожной и охранной сигнализации для нужд Шахтинского филиала ГБУ РО ""ОКЦФП""")</f>
        <v>Оказание услуг по оперативному реагированию при срабатывании тревожной и охранной сигнализации для нужд Шахтинского филиала ГБУ РО "ОКЦФП"</v>
      </c>
      <c r="G9721" s="22" t="s">
        <v>402</v>
      </c>
      <c r="H9721" s="22" t="s">
        <v>4374</v>
      </c>
      <c r="I9721" s="26">
        <v>43571.515972222202</v>
      </c>
      <c r="J9721" s="28" t="s">
        <v>52</v>
      </c>
      <c r="K9721" s="28" t="s">
        <v>52</v>
      </c>
      <c r="L9721" s="28" t="s">
        <v>52</v>
      </c>
      <c r="M9721" s="28" t="s">
        <v>52</v>
      </c>
      <c r="N9721" s="28" t="s">
        <v>52</v>
      </c>
    </row>
    <row r="9722" spans="1:14" x14ac:dyDescent="0.15">
      <c r="A9722" s="23" t="str">
        <f>HYPERLINK("https://www.spark-marketing.ru/Card/Person/1047003", "ОТДМВД РОССИИ ПО КАМЕШКИРСКОМУ РАЙОНУ")</f>
        <v>ОТДМВД РОССИИ ПО КАМЕШКИРСКОМУ РАЙОНУ</v>
      </c>
      <c r="B9722" s="24" t="s">
        <v>11138</v>
      </c>
      <c r="C9722" s="25">
        <v>20000</v>
      </c>
      <c r="D9722" s="22" t="s">
        <v>12109</v>
      </c>
      <c r="E9722" s="22" t="s">
        <v>84</v>
      </c>
      <c r="F9722" s="23" t="str">
        <f>HYPERLINK("https://www.spark-marketing.ru/Card/Lot/70159583", "Монтаж, установка, сборка видеонаблюдения, 1 шт")</f>
        <v>Монтаж, установка, сборка видеонаблюдения, 1 шт</v>
      </c>
      <c r="G9722" s="22" t="s">
        <v>514</v>
      </c>
      <c r="H9722" s="22" t="s">
        <v>11140</v>
      </c>
      <c r="I9722" s="26">
        <v>43571.507175925901</v>
      </c>
      <c r="J9722" s="28" t="s">
        <v>52</v>
      </c>
      <c r="K9722" s="28" t="s">
        <v>52</v>
      </c>
      <c r="L9722" s="28" t="s">
        <v>52</v>
      </c>
      <c r="M9722" s="28" t="s">
        <v>52</v>
      </c>
      <c r="N9722" s="28" t="s">
        <v>52</v>
      </c>
    </row>
    <row r="9723" spans="1:14" x14ac:dyDescent="0.15">
      <c r="A9723" s="23" t="str">
        <f>HYPERLINK("https://www.spark-marketing.ru/Card/Person/6855", "ОМСКАЯ ТАМОЖНЯ")</f>
        <v>ОМСКАЯ ТАМОЖНЯ</v>
      </c>
      <c r="B9723" s="24" t="s">
        <v>3749</v>
      </c>
      <c r="C9723" s="25">
        <v>73290.720000000001</v>
      </c>
      <c r="D9723" s="22" t="s">
        <v>12110</v>
      </c>
      <c r="E9723" s="22" t="s">
        <v>68</v>
      </c>
      <c r="F9723" s="23" t="str">
        <f>HYPERLINK("https://www.spark-marketing.ru/Card/Lot/69819412", "Возмездное оказание услуг по охране объекта Омской таможни")</f>
        <v>Возмездное оказание услуг по охране объекта Омской таможни</v>
      </c>
      <c r="G9723" s="22" t="s">
        <v>521</v>
      </c>
      <c r="H9723" s="22" t="s">
        <v>522</v>
      </c>
      <c r="I9723" s="26">
        <v>43571.475694444402</v>
      </c>
      <c r="J9723" s="23" t="str">
        <f>HYPERLINK("https://www.spark-marketing.ru/Card/Person/361604", "ФГКУ ""УВО ВНГ РОССИИ ПО ОМСКОЙ ОБЛАСТИ""")</f>
        <v>ФГКУ "УВО ВНГ РОССИИ ПО ОМСКОЙ ОБЛАСТИ"</v>
      </c>
      <c r="K9723" s="24" t="s">
        <v>3105</v>
      </c>
      <c r="L9723" s="28" t="s">
        <v>52</v>
      </c>
      <c r="M9723" s="28" t="s">
        <v>52</v>
      </c>
      <c r="N9723" s="28" t="s">
        <v>52</v>
      </c>
    </row>
    <row r="9724" spans="1:14" x14ac:dyDescent="0.15">
      <c r="A9724" s="23" t="str">
        <f>HYPERLINK("https://www.spark-marketing.ru/Card/Person/74098", "ГБПОУ МО ""УОР № 4""")</f>
        <v>ГБПОУ МО "УОР № 4"</v>
      </c>
      <c r="B9724" s="24" t="s">
        <v>12111</v>
      </c>
      <c r="C9724" s="25">
        <v>71796.69</v>
      </c>
      <c r="D9724" s="22" t="s">
        <v>12112</v>
      </c>
      <c r="E9724" s="22" t="s">
        <v>194</v>
      </c>
      <c r="F9724" s="23" t="str">
        <f>HYPERLINK("https://www.spark-marketing.ru/Card/Lot/69826296", "Поставка камеры видеонаблюдения с установкой")</f>
        <v>Поставка камеры видеонаблюдения с установкой</v>
      </c>
      <c r="G9724" s="22" t="s">
        <v>50</v>
      </c>
      <c r="H9724" s="22" t="s">
        <v>679</v>
      </c>
      <c r="I9724" s="26">
        <v>43571.482499999998</v>
      </c>
      <c r="J9724" s="28" t="s">
        <v>52</v>
      </c>
      <c r="K9724" s="28" t="s">
        <v>52</v>
      </c>
      <c r="L9724" s="28" t="s">
        <v>52</v>
      </c>
      <c r="M9724" s="28" t="s">
        <v>52</v>
      </c>
      <c r="N9724" s="28" t="s">
        <v>52</v>
      </c>
    </row>
    <row r="9725" spans="1:14" x14ac:dyDescent="0.15">
      <c r="A9725" s="23" t="str">
        <f>HYPERLINK("https://www.spark-marketing.ru/Card/Person/83333", "УПРАВЛЕНИЕ РОСРЕЕСТРА ПО ВЛАДИМИРСКОЙ ОБЛАСТИ")</f>
        <v>УПРАВЛЕНИЕ РОСРЕЕСТРА ПО ВЛАДИМИРСКОЙ ОБЛАСТИ</v>
      </c>
      <c r="B9725" s="24" t="s">
        <v>12113</v>
      </c>
      <c r="C9725" s="25">
        <v>76000</v>
      </c>
      <c r="D9725" s="22" t="s">
        <v>12114</v>
      </c>
      <c r="E9725" s="22" t="s">
        <v>53</v>
      </c>
      <c r="F9725" s="23" t="str">
        <f>HYPERLINK("https://www.spark-marketing.ru/Card/Lot/70776226", "услуги по обустройству кнопок тревожной сигнализации")</f>
        <v>услуги по обустройству кнопок тревожной сигнализации</v>
      </c>
      <c r="G9725" s="22" t="s">
        <v>145</v>
      </c>
      <c r="H9725" s="22" t="s">
        <v>146</v>
      </c>
      <c r="I9725" s="26">
        <v>43571.477210648103</v>
      </c>
      <c r="J9725" s="28" t="s">
        <v>52</v>
      </c>
      <c r="K9725" s="28" t="s">
        <v>52</v>
      </c>
      <c r="L9725" s="28" t="s">
        <v>52</v>
      </c>
      <c r="M9725" s="28" t="s">
        <v>52</v>
      </c>
      <c r="N9725" s="28" t="s">
        <v>52</v>
      </c>
    </row>
    <row r="9726" spans="1:14" x14ac:dyDescent="0.15">
      <c r="A9726" s="23" t="str">
        <f t="shared" ref="A9726:A9732" si="449">HYPERLINK("https://www.spark-marketing.ru/Card/Person/57008", "ГАУЗ ""РКОБ МЗ РТ""")</f>
        <v>ГАУЗ "РКОБ МЗ РТ"</v>
      </c>
      <c r="B9726" s="24" t="s">
        <v>12115</v>
      </c>
      <c r="C9726" s="25">
        <v>3697920</v>
      </c>
      <c r="D9726" s="22" t="s">
        <v>12116</v>
      </c>
      <c r="E9726" s="22" t="s">
        <v>68</v>
      </c>
      <c r="F9726" s="23" t="str">
        <f t="shared" ref="F9726:F9732" si="450">HYPERLINK("https://www.spark-marketing.ru/Card/Lot/69828578", "Оказание услуг по охране территории, объектов Государственного автономного учреждения здравоохранения «Республиканская клиническая офтальмологическая больница Министерства здравоохранения Республики Татарстан», по организации и обеспечению пропускног...")</f>
        <v>Оказание услуг по охране территории, объектов Государственного автономного учреждения здравоохранения «Республиканская клиническая офтальмологическая больница Министерства здравоохранения Республики Татарстан», по организации и обеспечению пропускног...</v>
      </c>
      <c r="G9726" s="22" t="s">
        <v>204</v>
      </c>
      <c r="H9726" s="22" t="s">
        <v>303</v>
      </c>
      <c r="I9726" s="26">
        <v>43571.454861111102</v>
      </c>
      <c r="J9726" s="28" t="s">
        <v>52</v>
      </c>
      <c r="K9726" s="28" t="s">
        <v>52</v>
      </c>
      <c r="L9726" s="28" t="s">
        <v>52</v>
      </c>
      <c r="M9726" s="28" t="s">
        <v>52</v>
      </c>
      <c r="N9726" s="28" t="s">
        <v>52</v>
      </c>
    </row>
    <row r="9727" spans="1:14" ht="12.75" hidden="1" outlineLevel="1" x14ac:dyDescent="0.2">
      <c r="A9727" s="23" t="str">
        <f t="shared" si="449"/>
        <v>ГАУЗ "РКОБ МЗ РТ"</v>
      </c>
      <c r="B9727" s="24" t="s">
        <v>12115</v>
      </c>
      <c r="C9727" s="25">
        <v>3697920</v>
      </c>
      <c r="D9727" s="22" t="s">
        <v>12116</v>
      </c>
      <c r="E9727" s="22" t="s">
        <v>68</v>
      </c>
      <c r="F9727" s="23" t="str">
        <f t="shared" si="450"/>
        <v>Оказание услуг по охране территории, объектов Государственного автономного учреждения здравоохранения «Республиканская клиническая офтальмологическая больница Министерства здравоохранения Республики Татарстан», по организации и обеспечению пропускног...</v>
      </c>
      <c r="G9727" s="22" t="s">
        <v>204</v>
      </c>
      <c r="H9727" s="22" t="s">
        <v>303</v>
      </c>
      <c r="I9727" s="26">
        <v>43571.454861111102</v>
      </c>
      <c r="J9727" s="23" t="str">
        <f>HYPERLINK("https://www.spark-marketing.ru/Card/Person/127407", "ООО ""ЧОП ""СПАРТАК""")</f>
        <v>ООО "ЧОП "СПАРТАК"</v>
      </c>
      <c r="K9727" s="24" t="s">
        <v>12117</v>
      </c>
      <c r="L9727" s="22" t="s">
        <v>10</v>
      </c>
      <c r="M9727" s="25">
        <v>1978387.2</v>
      </c>
      <c r="N9727" s="27">
        <v>0.46500000000000002</v>
      </c>
    </row>
    <row r="9728" spans="1:14" hidden="1" outlineLevel="1" x14ac:dyDescent="0.2">
      <c r="A9728" s="23" t="str">
        <f t="shared" si="449"/>
        <v>ГАУЗ "РКОБ МЗ РТ"</v>
      </c>
      <c r="B9728" s="24" t="s">
        <v>12115</v>
      </c>
      <c r="C9728" s="25">
        <v>3697920</v>
      </c>
      <c r="D9728" s="22" t="s">
        <v>12116</v>
      </c>
      <c r="E9728" s="22" t="s">
        <v>68</v>
      </c>
      <c r="F9728" s="23" t="str">
        <f t="shared" si="450"/>
        <v>Оказание услуг по охране территории, объектов Государственного автономного учреждения здравоохранения «Республиканская клиническая офтальмологическая больница Министерства здравоохранения Республики Татарстан», по организации и обеспечению пропускног...</v>
      </c>
      <c r="G9728" s="22" t="s">
        <v>204</v>
      </c>
      <c r="H9728" s="22" t="s">
        <v>303</v>
      </c>
      <c r="I9728" s="26">
        <v>43571.454861111102</v>
      </c>
      <c r="J9728" s="23" t="str">
        <f>HYPERLINK("https://www.spark-marketing.ru/Card/Person/1889725", "ООО ЧОО ""КИРМЕНЬ""")</f>
        <v>ООО ЧОО "КИРМЕНЬ"</v>
      </c>
      <c r="K9728" s="24" t="s">
        <v>12118</v>
      </c>
      <c r="L9728" s="28" t="s">
        <v>52</v>
      </c>
      <c r="M9728" s="25">
        <v>3235680</v>
      </c>
      <c r="N9728" s="27">
        <v>0.125</v>
      </c>
    </row>
    <row r="9729" spans="1:14" hidden="1" outlineLevel="1" x14ac:dyDescent="0.2">
      <c r="A9729" s="23" t="str">
        <f t="shared" si="449"/>
        <v>ГАУЗ "РКОБ МЗ РТ"</v>
      </c>
      <c r="B9729" s="24" t="s">
        <v>12115</v>
      </c>
      <c r="C9729" s="25">
        <v>3697920</v>
      </c>
      <c r="D9729" s="22" t="s">
        <v>12116</v>
      </c>
      <c r="E9729" s="22" t="s">
        <v>68</v>
      </c>
      <c r="F9729" s="23" t="str">
        <f t="shared" si="450"/>
        <v>Оказание услуг по охране территории, объектов Государственного автономного учреждения здравоохранения «Республиканская клиническая офтальмологическая больница Министерства здравоохранения Республики Татарстан», по организации и обеспечению пропускног...</v>
      </c>
      <c r="G9729" s="22" t="s">
        <v>204</v>
      </c>
      <c r="H9729" s="22" t="s">
        <v>303</v>
      </c>
      <c r="I9729" s="26">
        <v>43571.454861111102</v>
      </c>
      <c r="J9729" s="23" t="str">
        <f>HYPERLINK("https://www.spark-marketing.ru/Card/Person/377408", "ООО ""ЧОО ""ТАМЕРЛАН""")</f>
        <v>ООО "ЧОО "ТАМЕРЛАН"</v>
      </c>
      <c r="K9729" s="24" t="s">
        <v>12119</v>
      </c>
      <c r="L9729" s="28" t="s">
        <v>52</v>
      </c>
      <c r="M9729" s="25">
        <v>2477606.4</v>
      </c>
      <c r="N9729" s="27">
        <v>0.33</v>
      </c>
    </row>
    <row r="9730" spans="1:14" hidden="1" outlineLevel="1" x14ac:dyDescent="0.2">
      <c r="A9730" s="23" t="str">
        <f t="shared" si="449"/>
        <v>ГАУЗ "РКОБ МЗ РТ"</v>
      </c>
      <c r="B9730" s="24" t="s">
        <v>12115</v>
      </c>
      <c r="C9730" s="25">
        <v>3697920</v>
      </c>
      <c r="D9730" s="22" t="s">
        <v>12116</v>
      </c>
      <c r="E9730" s="22" t="s">
        <v>68</v>
      </c>
      <c r="F9730" s="23" t="str">
        <f t="shared" si="450"/>
        <v>Оказание услуг по охране территории, объектов Государственного автономного учреждения здравоохранения «Республиканская клиническая офтальмологическая больница Министерства здравоохранения Республики Татарстан», по организации и обеспечению пропускног...</v>
      </c>
      <c r="G9730" s="22" t="s">
        <v>204</v>
      </c>
      <c r="H9730" s="22" t="s">
        <v>303</v>
      </c>
      <c r="I9730" s="26">
        <v>43571.454861111102</v>
      </c>
      <c r="J9730" s="23" t="str">
        <f>HYPERLINK("https://www.spark-marketing.ru/Card/Person/6062716", "ООО ""ЧОО ""СВАРОГ""")</f>
        <v>ООО "ЧОО "СВАРОГ"</v>
      </c>
      <c r="K9730" s="24" t="s">
        <v>12120</v>
      </c>
      <c r="L9730" s="28" t="s">
        <v>52</v>
      </c>
      <c r="M9730" s="25">
        <v>2033856</v>
      </c>
      <c r="N9730" s="27">
        <v>0.45</v>
      </c>
    </row>
    <row r="9731" spans="1:14" hidden="1" outlineLevel="1" x14ac:dyDescent="0.2">
      <c r="A9731" s="23" t="str">
        <f t="shared" si="449"/>
        <v>ГАУЗ "РКОБ МЗ РТ"</v>
      </c>
      <c r="B9731" s="24" t="s">
        <v>12115</v>
      </c>
      <c r="C9731" s="25">
        <v>3697920</v>
      </c>
      <c r="D9731" s="22" t="s">
        <v>12116</v>
      </c>
      <c r="E9731" s="22" t="s">
        <v>68</v>
      </c>
      <c r="F9731" s="23" t="str">
        <f t="shared" si="450"/>
        <v>Оказание услуг по охране территории, объектов Государственного автономного учреждения здравоохранения «Республиканская клиническая офтальмологическая больница Министерства здравоохранения Республики Татарстан», по организации и обеспечению пропускног...</v>
      </c>
      <c r="G9731" s="22" t="s">
        <v>204</v>
      </c>
      <c r="H9731" s="22" t="s">
        <v>303</v>
      </c>
      <c r="I9731" s="26">
        <v>43571.454861111102</v>
      </c>
      <c r="J9731" s="23" t="str">
        <f>HYPERLINK("https://www.spark-marketing.ru/Card/Person/6346747", "ООО ""ОА ""СКИФ""")</f>
        <v>ООО "ОА "СКИФ"</v>
      </c>
      <c r="K9731" s="24" t="s">
        <v>12121</v>
      </c>
      <c r="L9731" s="28" t="s">
        <v>52</v>
      </c>
      <c r="M9731" s="25">
        <v>1275782.3999999999</v>
      </c>
      <c r="N9731" s="27">
        <v>0.65500000000000003</v>
      </c>
    </row>
    <row r="9732" spans="1:14" hidden="1" outlineLevel="1" x14ac:dyDescent="0.2">
      <c r="A9732" s="23" t="str">
        <f t="shared" si="449"/>
        <v>ГАУЗ "РКОБ МЗ РТ"</v>
      </c>
      <c r="B9732" s="24" t="s">
        <v>12115</v>
      </c>
      <c r="C9732" s="25">
        <v>3697920</v>
      </c>
      <c r="D9732" s="22" t="s">
        <v>12116</v>
      </c>
      <c r="E9732" s="22" t="s">
        <v>68</v>
      </c>
      <c r="F9732" s="23" t="str">
        <f t="shared" si="450"/>
        <v>Оказание услуг по охране территории, объектов Государственного автономного учреждения здравоохранения «Республиканская клиническая офтальмологическая больница Министерства здравоохранения Республики Татарстан», по организации и обеспечению пропускног...</v>
      </c>
      <c r="G9732" s="22" t="s">
        <v>204</v>
      </c>
      <c r="H9732" s="22" t="s">
        <v>303</v>
      </c>
      <c r="I9732" s="26">
        <v>43571.454861111102</v>
      </c>
      <c r="J9732" s="23" t="str">
        <f>HYPERLINK("https://www.spark-marketing.ru/Card/Person/6575153", "ООО ""АЛЬЯНС""")</f>
        <v>ООО "АЛЬЯНС"</v>
      </c>
      <c r="K9732" s="24" t="s">
        <v>12122</v>
      </c>
      <c r="L9732" s="28" t="s">
        <v>52</v>
      </c>
      <c r="M9732" s="25">
        <v>1257292.8</v>
      </c>
      <c r="N9732" s="27">
        <v>0.66</v>
      </c>
    </row>
    <row r="9733" spans="1:14" x14ac:dyDescent="0.15">
      <c r="A9733" s="23" t="str">
        <f>HYPERLINK("https://www.spark-marketing.ru/Card/Person/1037911", "МБОУ СТАРОГОРОДКОВСКАЯ СОШ")</f>
        <v>МБОУ СТАРОГОРОДКОВСКАЯ СОШ</v>
      </c>
      <c r="B9733" s="24" t="s">
        <v>12123</v>
      </c>
      <c r="C9733" s="25">
        <v>240000</v>
      </c>
      <c r="D9733" s="22" t="s">
        <v>12124</v>
      </c>
      <c r="E9733" s="22" t="s">
        <v>194</v>
      </c>
      <c r="F9733" s="23" t="str">
        <f>HYPERLINK("https://www.spark-marketing.ru/Card/Lot/69823176", "Закупка в 2019 году услуг по установке и модернизации камер системы видеонаблюдения в ППЭ для нужд МБОУ Старогородковской СОШ")</f>
        <v>Закупка в 2019 году услуг по установке и модернизации камер системы видеонаблюдения в ППЭ для нужд МБОУ Старогородковской СОШ</v>
      </c>
      <c r="G9733" s="22" t="s">
        <v>50</v>
      </c>
      <c r="H9733" s="22" t="s">
        <v>1045</v>
      </c>
      <c r="I9733" s="26">
        <v>43571.451319444401</v>
      </c>
      <c r="J9733" s="28" t="s">
        <v>52</v>
      </c>
      <c r="K9733" s="28" t="s">
        <v>52</v>
      </c>
      <c r="L9733" s="28" t="s">
        <v>52</v>
      </c>
      <c r="M9733" s="28" t="s">
        <v>52</v>
      </c>
      <c r="N9733" s="28" t="s">
        <v>52</v>
      </c>
    </row>
    <row r="9734" spans="1:14" x14ac:dyDescent="0.15">
      <c r="A9734" s="23" t="str">
        <f>HYPERLINK("https://www.spark-marketing.ru/Card/Person/649521", """ПЛЕССКИЙ МУЗЕЙ-ЗАПОВЕДНИК""")</f>
        <v>"ПЛЕССКИЙ МУЗЕЙ-ЗАПОВЕДНИК"</v>
      </c>
      <c r="B9734" s="24" t="s">
        <v>12125</v>
      </c>
      <c r="C9734" s="25">
        <v>548697.24</v>
      </c>
      <c r="D9734" s="22" t="s">
        <v>12126</v>
      </c>
      <c r="E9734" s="22" t="s">
        <v>68</v>
      </c>
      <c r="F9734" s="23" t="str">
        <f>HYPERLINK("https://www.spark-marketing.ru/Card/Lot/69828456", "Оказание услуг по централизованной охране объектов с применением технических средств охраны")</f>
        <v>Оказание услуг по централизованной охране объектов с применением технических средств охраны</v>
      </c>
      <c r="G9734" s="22" t="s">
        <v>340</v>
      </c>
      <c r="H9734" s="22" t="s">
        <v>12127</v>
      </c>
      <c r="I9734" s="26">
        <v>43571.451388888898</v>
      </c>
      <c r="J9734" s="23" t="str">
        <f>HYPERLINK("https://www.spark-marketing.ru/Card/Person/318378", "ООО ""ЧОП ""БАРЬЕР""")</f>
        <v>ООО "ЧОП "БАРЬЕР"</v>
      </c>
      <c r="K9734" s="24" t="s">
        <v>9904</v>
      </c>
      <c r="L9734" s="22" t="s">
        <v>10</v>
      </c>
      <c r="M9734" s="28" t="s">
        <v>52</v>
      </c>
      <c r="N9734" s="28" t="s">
        <v>52</v>
      </c>
    </row>
    <row r="9735" spans="1:14" x14ac:dyDescent="0.15">
      <c r="A9735" s="23" t="str">
        <f>HYPERLINK("https://www.spark-marketing.ru/Card/Person/4348471", "ПАО ""КОРПОРАЦИЯ ""ИРКУТ""")</f>
        <v>ПАО "КОРПОРАЦИЯ "ИРКУТ"</v>
      </c>
      <c r="B9735" s="24" t="s">
        <v>12128</v>
      </c>
      <c r="C9735" s="25">
        <v>34740436</v>
      </c>
      <c r="D9735" s="22" t="s">
        <v>12129</v>
      </c>
      <c r="E9735" s="22" t="s">
        <v>144</v>
      </c>
      <c r="F9735" s="23" t="str">
        <f>HYPERLINK("https://www.spark-marketing.ru/Card/Lot/69824845", "0000-2019-221 Оказание услуг по охране объекта ""Иркутский авиационный завод- филиал ПАО ""Корпорация ""Иркут""")</f>
        <v>0000-2019-221 Оказание услуг по охране объекта "Иркутский авиационный завод- филиал ПАО "Корпорация "Иркут"</v>
      </c>
      <c r="G9735" s="22" t="s">
        <v>281</v>
      </c>
      <c r="H9735" s="22" t="s">
        <v>281</v>
      </c>
      <c r="I9735" s="26">
        <v>43571.441574074102</v>
      </c>
      <c r="J9735" s="28" t="s">
        <v>52</v>
      </c>
      <c r="K9735" s="28" t="s">
        <v>52</v>
      </c>
      <c r="L9735" s="28" t="s">
        <v>52</v>
      </c>
      <c r="M9735" s="28" t="s">
        <v>52</v>
      </c>
      <c r="N9735" s="28" t="s">
        <v>52</v>
      </c>
    </row>
    <row r="9736" spans="1:14" x14ac:dyDescent="0.15">
      <c r="A9736" s="23" t="str">
        <f>HYPERLINK("https://www.spark-marketing.ru/Card/Person/1277", "СУ СК РОССИИ ПО РЕСПУБЛИКЕ БАШКОРТОСТАН")</f>
        <v>СУ СК РОССИИ ПО РЕСПУБЛИКЕ БАШКОРТОСТАН</v>
      </c>
      <c r="B9736" s="24" t="s">
        <v>6184</v>
      </c>
      <c r="C9736" s="25">
        <v>128381.75999999999</v>
      </c>
      <c r="D9736" s="22" t="s">
        <v>12130</v>
      </c>
      <c r="E9736" s="22" t="s">
        <v>68</v>
      </c>
      <c r="F9736" s="23" t="str">
        <f>HYPERLINK("https://www.spark-marketing.ru/Card/Lot/69819612", "Оказание охранных услуг")</f>
        <v>Оказание охранных услуг</v>
      </c>
      <c r="G9736" s="22" t="s">
        <v>100</v>
      </c>
      <c r="H9736" s="22" t="s">
        <v>100</v>
      </c>
      <c r="I9736" s="26">
        <v>43571.425000000003</v>
      </c>
      <c r="J9736" s="28" t="s">
        <v>52</v>
      </c>
      <c r="K9736" s="28" t="s">
        <v>52</v>
      </c>
      <c r="L9736" s="28" t="s">
        <v>52</v>
      </c>
      <c r="M9736" s="28" t="s">
        <v>52</v>
      </c>
      <c r="N9736" s="28" t="s">
        <v>52</v>
      </c>
    </row>
    <row r="9737" spans="1:14" x14ac:dyDescent="0.15">
      <c r="A9737" s="23" t="str">
        <f>HYPERLINK("https://www.spark-marketing.ru/Card/Person/1277", "СУ СК РОССИИ ПО РЕСПУБЛИКЕ БАШКОРТОСТАН")</f>
        <v>СУ СК РОССИИ ПО РЕСПУБЛИКЕ БАШКОРТОСТАН</v>
      </c>
      <c r="B9737" s="24" t="s">
        <v>6184</v>
      </c>
      <c r="C9737" s="25">
        <v>274052.64</v>
      </c>
      <c r="D9737" s="22" t="s">
        <v>12131</v>
      </c>
      <c r="E9737" s="22" t="s">
        <v>68</v>
      </c>
      <c r="F9737" s="23" t="str">
        <f>HYPERLINK("https://www.spark-marketing.ru/Card/Lot/69819503", "Оказание охранных услуг")</f>
        <v>Оказание охранных услуг</v>
      </c>
      <c r="G9737" s="22" t="s">
        <v>100</v>
      </c>
      <c r="H9737" s="22" t="s">
        <v>100</v>
      </c>
      <c r="I9737" s="26">
        <v>43571.432638888902</v>
      </c>
      <c r="J9737" s="28" t="s">
        <v>52</v>
      </c>
      <c r="K9737" s="28" t="s">
        <v>52</v>
      </c>
      <c r="L9737" s="28" t="s">
        <v>52</v>
      </c>
      <c r="M9737" s="28" t="s">
        <v>52</v>
      </c>
      <c r="N9737" s="28" t="s">
        <v>52</v>
      </c>
    </row>
    <row r="9738" spans="1:14" x14ac:dyDescent="0.15">
      <c r="A9738" s="23" t="str">
        <f>HYPERLINK("https://www.spark-marketing.ru/Card/Person/4886788", "УРАЛЬСКОЕ ГУ БАНКА РОССИИ")</f>
        <v>УРАЛЬСКОЕ ГУ БАНКА РОССИИ</v>
      </c>
      <c r="B9738" s="24" t="s">
        <v>624</v>
      </c>
      <c r="C9738" s="28" t="s">
        <v>52</v>
      </c>
      <c r="D9738" s="22" t="s">
        <v>12132</v>
      </c>
      <c r="E9738" s="22" t="s">
        <v>842</v>
      </c>
      <c r="F9738" s="23" t="str">
        <f>HYPERLINK("https://www.spark-marketing.ru/Card/Lot/70144508", "Выполнение работ по переносу системы «Система аудио и видео сопровождения коллективных мероприятий в служебном здании ГУ Банка России по Курганской области по ул. Ленина, 36. Зал заседаний» на новое место установки по адресу: 640002, г. Курган, ул. К...")</f>
        <v>Выполнение работ по переносу системы «Система аудио и видео сопровождения коллективных мероприятий в служебном здании ГУ Банка России по Курганской области по ул. Ленина, 36. Зал заседаний» на новое место установки по адресу: 640002, г. Курган, ул. К...</v>
      </c>
      <c r="G9738" s="22" t="s">
        <v>626</v>
      </c>
      <c r="H9738" s="22" t="s">
        <v>1508</v>
      </c>
      <c r="I9738" s="26">
        <v>43571.418240740699</v>
      </c>
      <c r="J9738" s="28" t="s">
        <v>52</v>
      </c>
      <c r="K9738" s="28" t="s">
        <v>52</v>
      </c>
      <c r="L9738" s="28" t="s">
        <v>52</v>
      </c>
      <c r="M9738" s="28" t="s">
        <v>52</v>
      </c>
      <c r="N9738" s="28" t="s">
        <v>52</v>
      </c>
    </row>
    <row r="9739" spans="1:14" x14ac:dyDescent="0.15">
      <c r="A9739" s="23" t="str">
        <f>HYPERLINK("https://www.spark-marketing.ru/Card/Person/18782", "МИНДОР КРАЯ")</f>
        <v>МИНДОР КРАЯ</v>
      </c>
      <c r="B9739" s="24" t="s">
        <v>12133</v>
      </c>
      <c r="C9739" s="25">
        <v>4193333.33</v>
      </c>
      <c r="D9739" s="22" t="s">
        <v>12134</v>
      </c>
      <c r="E9739" s="22" t="s">
        <v>491</v>
      </c>
      <c r="F9739" s="23" t="str">
        <f>HYPERLINK("https://www.spark-marketing.ru/Card/Lot/69827032", "Оказание услуг по разработке планов обеспечения транспортной безопасности объектов транспортной инфраструктуры 3 категории, расположенных на автомобильных дорогах общего пользования регионального или межмуниципального значения Ставропольского края")</f>
        <v>Оказание услуг по разработке планов обеспечения транспортной безопасности объектов транспортной инфраструктуры 3 категории, расположенных на автомобильных дорогах общего пользования регионального или межмуниципального значения Ставропольского края</v>
      </c>
      <c r="G9739" s="22" t="s">
        <v>258</v>
      </c>
      <c r="H9739" s="22" t="s">
        <v>546</v>
      </c>
      <c r="I9739" s="26">
        <v>43571.413888888899</v>
      </c>
      <c r="J9739" s="28" t="s">
        <v>52</v>
      </c>
      <c r="K9739" s="28" t="s">
        <v>52</v>
      </c>
      <c r="L9739" s="28" t="s">
        <v>52</v>
      </c>
      <c r="M9739" s="28" t="s">
        <v>52</v>
      </c>
      <c r="N9739" s="28" t="s">
        <v>52</v>
      </c>
    </row>
    <row r="9740" spans="1:14" hidden="1" outlineLevel="1" x14ac:dyDescent="0.2">
      <c r="A9740" s="23" t="str">
        <f>HYPERLINK("https://www.spark-marketing.ru/Card/Person/18782", "МИНДОР КРАЯ")</f>
        <v>МИНДОР КРАЯ</v>
      </c>
      <c r="B9740" s="24" t="s">
        <v>12133</v>
      </c>
      <c r="C9740" s="25">
        <v>4193333.33</v>
      </c>
      <c r="D9740" s="22" t="s">
        <v>12134</v>
      </c>
      <c r="E9740" s="22" t="s">
        <v>491</v>
      </c>
      <c r="F9740" s="23" t="str">
        <f>HYPERLINK("https://www.spark-marketing.ru/Card/Lot/69827032", "Оказание услуг по разработке планов обеспечения транспортной безопасности объектов транспортной инфраструктуры 3 категории, расположенных на автомобильных дорогах общего пользования регионального или межмуниципального значения Ставропольского края")</f>
        <v>Оказание услуг по разработке планов обеспечения транспортной безопасности объектов транспортной инфраструктуры 3 категории, расположенных на автомобильных дорогах общего пользования регионального или межмуниципального значения Ставропольского края</v>
      </c>
      <c r="G9740" s="22" t="s">
        <v>258</v>
      </c>
      <c r="H9740" s="22" t="s">
        <v>546</v>
      </c>
      <c r="I9740" s="26">
        <v>43571.413888888899</v>
      </c>
      <c r="J9740" s="23" t="str">
        <f>HYPERLINK("https://www.spark-marketing.ru/Card/Person/244248", "ООО ""ДАЛЬЦЕНТРАВИА""")</f>
        <v>ООО "ДАЛЬЦЕНТРАВИА"</v>
      </c>
      <c r="K9740" s="24" t="s">
        <v>5795</v>
      </c>
      <c r="L9740" s="28" t="s">
        <v>52</v>
      </c>
      <c r="M9740" s="25">
        <v>4151399.99</v>
      </c>
      <c r="N9740" s="27">
        <v>1.0000001597774246E-2</v>
      </c>
    </row>
    <row r="9741" spans="1:14" ht="12.75" hidden="1" outlineLevel="1" x14ac:dyDescent="0.2">
      <c r="A9741" s="23" t="str">
        <f>HYPERLINK("https://www.spark-marketing.ru/Card/Person/18782", "МИНДОР КРАЯ")</f>
        <v>МИНДОР КРАЯ</v>
      </c>
      <c r="B9741" s="24" t="s">
        <v>12133</v>
      </c>
      <c r="C9741" s="25">
        <v>4193333.33</v>
      </c>
      <c r="D9741" s="22" t="s">
        <v>12134</v>
      </c>
      <c r="E9741" s="22" t="s">
        <v>491</v>
      </c>
      <c r="F9741" s="23" t="str">
        <f>HYPERLINK("https://www.spark-marketing.ru/Card/Lot/69827032", "Оказание услуг по разработке планов обеспечения транспортной безопасности объектов транспортной инфраструктуры 3 категории, расположенных на автомобильных дорогах общего пользования регионального или межмуниципального значения Ставропольского края")</f>
        <v>Оказание услуг по разработке планов обеспечения транспортной безопасности объектов транспортной инфраструктуры 3 категории, расположенных на автомобильных дорогах общего пользования регионального или межмуниципального значения Ставропольского края</v>
      </c>
      <c r="G9741" s="22" t="s">
        <v>258</v>
      </c>
      <c r="H9741" s="22" t="s">
        <v>546</v>
      </c>
      <c r="I9741" s="26">
        <v>43571.413888888899</v>
      </c>
      <c r="J9741" s="23" t="str">
        <f>HYPERLINK("https://www.spark-marketing.ru/Card/Person/1846186", "ООО ""РЕМТОРГ""")</f>
        <v>ООО "РЕМТОРГ"</v>
      </c>
      <c r="K9741" s="24" t="s">
        <v>12135</v>
      </c>
      <c r="L9741" s="22" t="s">
        <v>10</v>
      </c>
      <c r="M9741" s="25">
        <v>314499.98</v>
      </c>
      <c r="N9741" s="27">
        <v>0.92500000470985688</v>
      </c>
    </row>
    <row r="9742" spans="1:14" hidden="1" outlineLevel="1" x14ac:dyDescent="0.2">
      <c r="A9742" s="23" t="str">
        <f>HYPERLINK("https://www.spark-marketing.ru/Card/Person/18782", "МИНДОР КРАЯ")</f>
        <v>МИНДОР КРАЯ</v>
      </c>
      <c r="B9742" s="24" t="s">
        <v>12133</v>
      </c>
      <c r="C9742" s="25">
        <v>4193333.33</v>
      </c>
      <c r="D9742" s="22" t="s">
        <v>12134</v>
      </c>
      <c r="E9742" s="22" t="s">
        <v>491</v>
      </c>
      <c r="F9742" s="23" t="str">
        <f>HYPERLINK("https://www.spark-marketing.ru/Card/Lot/69827032", "Оказание услуг по разработке планов обеспечения транспортной безопасности объектов транспортной инфраструктуры 3 категории, расположенных на автомобильных дорогах общего пользования регионального или межмуниципального значения Ставропольского края")</f>
        <v>Оказание услуг по разработке планов обеспечения транспортной безопасности объектов транспортной инфраструктуры 3 категории, расположенных на автомобильных дорогах общего пользования регионального или межмуниципального значения Ставропольского края</v>
      </c>
      <c r="G9742" s="22" t="s">
        <v>258</v>
      </c>
      <c r="H9742" s="22" t="s">
        <v>546</v>
      </c>
      <c r="I9742" s="26">
        <v>43571.413888888899</v>
      </c>
      <c r="J9742" s="23" t="str">
        <f>HYPERLINK("https://www.spark-marketing.ru/Card/Person/6500038", "ООО «СИСТЕМЫ ТРАНСПОРТНОЙ БЕЗОПАСНОСТИ»")</f>
        <v>ООО «СИСТЕМЫ ТРАНСПОРТНОЙ БЕЗОПАСНОСТИ»</v>
      </c>
      <c r="K9742" s="24" t="s">
        <v>12136</v>
      </c>
      <c r="L9742" s="28" t="s">
        <v>52</v>
      </c>
      <c r="M9742" s="25">
        <v>335466.65000000002</v>
      </c>
      <c r="N9742" s="27">
        <v>0.92000000391096981</v>
      </c>
    </row>
    <row r="9743" spans="1:14" x14ac:dyDescent="0.15">
      <c r="A9743" s="23" t="str">
        <f>HYPERLINK("https://www.spark-marketing.ru/Card/Person/34936", "МЕСТНАЯ АДМИНИСТРАЦИЯ МО Г. КРАСНОЕ СЕЛО")</f>
        <v>МЕСТНАЯ АДМИНИСТРАЦИЯ МО Г. КРАСНОЕ СЕЛО</v>
      </c>
      <c r="B9743" s="24" t="s">
        <v>10201</v>
      </c>
      <c r="C9743" s="25">
        <v>1328600</v>
      </c>
      <c r="D9743" s="22" t="s">
        <v>12137</v>
      </c>
      <c r="E9743" s="22" t="s">
        <v>1634</v>
      </c>
      <c r="F9743" s="23" t="str">
        <f>HYPERLINK("https://www.spark-marketing.ru/Card/Lot/68633260", "Оказание услуг по профилактике терроризма и экстремизма, незаконного потребления наркотических средств, дорожно-транспортного травматизма, охрана граждан от воздействия окружающего табачного дыма и последствий потребления табака и укрепление межнацио...")</f>
        <v>Оказание услуг по профилактике терроризма и экстремизма, незаконного потребления наркотических средств, дорожно-транспортного травматизма, охрана граждан от воздействия окружающего табачного дыма и последствий потребления табака и укрепление межнацио...</v>
      </c>
      <c r="G9743" s="22" t="s">
        <v>89</v>
      </c>
      <c r="H9743" s="22" t="s">
        <v>89</v>
      </c>
      <c r="I9743" s="26">
        <v>43536.563888888901</v>
      </c>
      <c r="J9743" s="28" t="s">
        <v>52</v>
      </c>
      <c r="K9743" s="28" t="s">
        <v>52</v>
      </c>
      <c r="L9743" s="28" t="s">
        <v>52</v>
      </c>
      <c r="M9743" s="28" t="s">
        <v>52</v>
      </c>
      <c r="N9743" s="28" t="s">
        <v>52</v>
      </c>
    </row>
    <row r="9744" spans="1:14" hidden="1" outlineLevel="1" x14ac:dyDescent="0.2">
      <c r="A9744" s="23" t="str">
        <f>HYPERLINK("https://www.spark-marketing.ru/Card/Person/34936", "МЕСТНАЯ АДМИНИСТРАЦИЯ МО Г. КРАСНОЕ СЕЛО")</f>
        <v>МЕСТНАЯ АДМИНИСТРАЦИЯ МО Г. КРАСНОЕ СЕЛО</v>
      </c>
      <c r="B9744" s="24" t="s">
        <v>10201</v>
      </c>
      <c r="C9744" s="25">
        <v>1328600</v>
      </c>
      <c r="D9744" s="22" t="s">
        <v>12137</v>
      </c>
      <c r="E9744" s="22" t="s">
        <v>1634</v>
      </c>
      <c r="F9744" s="23" t="str">
        <f>HYPERLINK("https://www.spark-marketing.ru/Card/Lot/68633260", "Оказание услуг по профилактике терроризма и экстремизма, незаконного потребления наркотических средств, дорожно-транспортного травматизма, охрана граждан от воздействия окружающего табачного дыма и последствий потребления табака и укрепление межнацио...")</f>
        <v>Оказание услуг по профилактике терроризма и экстремизма, незаконного потребления наркотических средств, дорожно-транспортного травматизма, охрана граждан от воздействия окружающего табачного дыма и последствий потребления табака и укрепление межнацио...</v>
      </c>
      <c r="G9744" s="22" t="s">
        <v>89</v>
      </c>
      <c r="H9744" s="22" t="s">
        <v>89</v>
      </c>
      <c r="I9744" s="26">
        <v>43536.563888888901</v>
      </c>
      <c r="J9744" s="23" t="str">
        <f>HYPERLINK("https://www.spark-marketing.ru/Card/Person/69172", "Хасеневич Юрий Владимирович")</f>
        <v>Хасеневич Юрий Владимирович</v>
      </c>
      <c r="K9744" s="24" t="s">
        <v>10203</v>
      </c>
      <c r="L9744" s="28" t="s">
        <v>52</v>
      </c>
      <c r="M9744" s="25">
        <v>1300000</v>
      </c>
      <c r="N9744" s="27">
        <v>2.1526418786692758E-2</v>
      </c>
    </row>
    <row r="9745" spans="1:14" hidden="1" outlineLevel="1" x14ac:dyDescent="0.2">
      <c r="A9745" s="23" t="str">
        <f>HYPERLINK("https://www.spark-marketing.ru/Card/Person/34936", "МЕСТНАЯ АДМИНИСТРАЦИЯ МО Г. КРАСНОЕ СЕЛО")</f>
        <v>МЕСТНАЯ АДМИНИСТРАЦИЯ МО Г. КРАСНОЕ СЕЛО</v>
      </c>
      <c r="B9745" s="24" t="s">
        <v>10201</v>
      </c>
      <c r="C9745" s="25">
        <v>1328600</v>
      </c>
      <c r="D9745" s="22" t="s">
        <v>12137</v>
      </c>
      <c r="E9745" s="22" t="s">
        <v>1634</v>
      </c>
      <c r="F9745" s="23" t="str">
        <f>HYPERLINK("https://www.spark-marketing.ru/Card/Lot/68633260", "Оказание услуг по профилактике терроризма и экстремизма, незаконного потребления наркотических средств, дорожно-транспортного травматизма, охрана граждан от воздействия окружающего табачного дыма и последствий потребления табака и укрепление межнацио...")</f>
        <v>Оказание услуг по профилактике терроризма и экстремизма, незаконного потребления наркотических средств, дорожно-транспортного травматизма, охрана граждан от воздействия окружающего табачного дыма и последствий потребления табака и укрепление межнацио...</v>
      </c>
      <c r="G9745" s="22" t="s">
        <v>89</v>
      </c>
      <c r="H9745" s="22" t="s">
        <v>89</v>
      </c>
      <c r="I9745" s="26">
        <v>43536.563888888901</v>
      </c>
      <c r="J9745" s="23" t="str">
        <f>HYPERLINK("https://www.spark-marketing.ru/Card/Person/69172", "Хасеневич Юрий Владимирович")</f>
        <v>Хасеневич Юрий Владимирович</v>
      </c>
      <c r="K9745" s="24" t="s">
        <v>10203</v>
      </c>
      <c r="L9745" s="28" t="s">
        <v>52</v>
      </c>
      <c r="M9745" s="25">
        <v>1300000</v>
      </c>
      <c r="N9745" s="27">
        <v>2.1526418786692758E-2</v>
      </c>
    </row>
    <row r="9746" spans="1:14" x14ac:dyDescent="0.2">
      <c r="A9746" s="23" t="str">
        <f>HYPERLINK("https://www.spark-marketing.ru/Card/Person/272405", "ООО ""НИЖЕГОРОДТЕПЛОГАЗ""")</f>
        <v>ООО "НИЖЕГОРОДТЕПЛОГАЗ"</v>
      </c>
      <c r="B9746" s="24" t="s">
        <v>12138</v>
      </c>
      <c r="C9746" s="25">
        <v>480000</v>
      </c>
      <c r="D9746" s="22" t="s">
        <v>12139</v>
      </c>
      <c r="E9746" s="22" t="s">
        <v>49</v>
      </c>
      <c r="F9746" s="23" t="str">
        <f>HYPERLINK("https://www.spark-marketing.ru/Card/Lot/69820001", "Выполнение работ по установке охранной сигнализации для обеспечения режима охраны арендованных ООО ""Нижегородтеплогаз"" объектов ( котельные №№ 52, 59), расположенных по адресу: котельная № 52 - Нижегородская обл., г.Дзержинск, пр.Циолковского, 51А,...")</f>
        <v>Выполнение работ по установке охранной сигнализации для обеспечения режима охраны арендованных ООО "Нижегородтеплогаз" объектов ( котельные №№ 52, 59), расположенных по адресу: котельная № 52 - Нижегородская обл., г.Дзержинск, пр.Циолковского, 51А,...</v>
      </c>
      <c r="G9746" s="22" t="s">
        <v>64</v>
      </c>
      <c r="H9746" s="22" t="s">
        <v>64</v>
      </c>
      <c r="I9746" s="26">
        <v>43571.386284722197</v>
      </c>
      <c r="J9746" s="28" t="s">
        <v>52</v>
      </c>
      <c r="K9746" s="28" t="s">
        <v>52</v>
      </c>
      <c r="L9746" s="28" t="s">
        <v>52</v>
      </c>
      <c r="M9746" s="25">
        <v>479035.82</v>
      </c>
      <c r="N9746" s="27">
        <v>2.0087083333333333E-3</v>
      </c>
    </row>
    <row r="9747" spans="1:14" x14ac:dyDescent="0.2">
      <c r="A9747" s="23" t="str">
        <f>HYPERLINK("https://www.spark-marketing.ru/Card/Person/539569", "АО ""ПКС""")</f>
        <v>АО "ПКС"</v>
      </c>
      <c r="B9747" s="24" t="s">
        <v>12140</v>
      </c>
      <c r="C9747" s="25">
        <v>118000</v>
      </c>
      <c r="D9747" s="22" t="s">
        <v>12141</v>
      </c>
      <c r="E9747" s="22" t="s">
        <v>12142</v>
      </c>
      <c r="F9747" s="23" t="str">
        <f>HYPERLINK("https://www.spark-marketing.ru/Card/Lot/69815532", "Оказание услуг по техническому обслуживанию системы видеонаблюдения")</f>
        <v>Оказание услуг по техническому обслуживанию системы видеонаблюдения</v>
      </c>
      <c r="G9747" s="22" t="s">
        <v>69</v>
      </c>
      <c r="H9747" s="22" t="s">
        <v>69</v>
      </c>
      <c r="I9747" s="26">
        <v>43571.3602777778</v>
      </c>
      <c r="J9747" s="23" t="str">
        <f>HYPERLINK("https://www.spark-marketing.ru/Card/Person/-1", "неизвестно")</f>
        <v>неизвестно</v>
      </c>
      <c r="K9747" s="28" t="s">
        <v>52</v>
      </c>
      <c r="L9747" s="28" t="s">
        <v>52</v>
      </c>
      <c r="M9747" s="25">
        <v>100000</v>
      </c>
      <c r="N9747" s="27">
        <v>0.15254237288135594</v>
      </c>
    </row>
    <row r="9748" spans="1:14" x14ac:dyDescent="0.15">
      <c r="A9748" s="23" t="str">
        <f>HYPERLINK("https://www.spark-marketing.ru/Card/Person/6450322", "ЗАКАЗЧИК РП БЕЛАРУСЬ")</f>
        <v>ЗАКАЗЧИК РП БЕЛАРУСЬ</v>
      </c>
      <c r="B9748" s="28" t="s">
        <v>52</v>
      </c>
      <c r="C9748" s="25">
        <v>0</v>
      </c>
      <c r="D9748" s="22" t="s">
        <v>12143</v>
      </c>
      <c r="E9748" s="22" t="s">
        <v>53</v>
      </c>
      <c r="F9748" s="23" t="str">
        <f>HYPERLINK("https://www.spark-marketing.ru/Card/Lot/69721213", "Поставка и установка цифровой системы видеонаблюдения на территории ОАО ""Белкард"", г. Гродно")</f>
        <v>Поставка и установка цифровой системы видеонаблюдения на территории ОАО "Белкард", г. Гродно</v>
      </c>
      <c r="G9748" s="22" t="s">
        <v>52</v>
      </c>
      <c r="H9748" s="22" t="s">
        <v>52</v>
      </c>
      <c r="I9748" s="26">
        <v>43566</v>
      </c>
      <c r="J9748" s="28" t="s">
        <v>52</v>
      </c>
      <c r="K9748" s="28" t="s">
        <v>52</v>
      </c>
      <c r="L9748" s="28" t="s">
        <v>52</v>
      </c>
      <c r="M9748" s="28" t="s">
        <v>52</v>
      </c>
      <c r="N9748" s="28" t="s">
        <v>52</v>
      </c>
    </row>
    <row r="9749" spans="1:14" x14ac:dyDescent="0.15">
      <c r="A9749" s="23" t="str">
        <f>HYPERLINK("https://www.spark-marketing.ru/Card/Person/113010", "АО ""НИКИМТ-АТОМСТРОЙ""")</f>
        <v>АО "НИКИМТ-АТОМСТРОЙ"</v>
      </c>
      <c r="B9749" s="24" t="s">
        <v>1701</v>
      </c>
      <c r="C9749" s="25">
        <v>598536</v>
      </c>
      <c r="D9749" s="22" t="s">
        <v>12144</v>
      </c>
      <c r="E9749" s="22" t="s">
        <v>53</v>
      </c>
      <c r="F9749" s="23" t="str">
        <f>HYPERLINK("https://www.spark-marketing.ru/Card/Lot/69817112", "Право заключения договора на Оказание услуг по охране имущества главного корпуса и пристройки филиала АО «НИКИМТ-Атомстрой» ТПИИ ВНИПИЭТ")</f>
        <v>Право заключения договора на Оказание услуг по охране имущества главного корпуса и пристройки филиала АО «НИКИМТ-Атомстрой» ТПИИ ВНИПИЭТ</v>
      </c>
      <c r="G9749" s="22" t="s">
        <v>55</v>
      </c>
      <c r="H9749" s="22" t="s">
        <v>55</v>
      </c>
      <c r="I9749" s="26">
        <v>43571</v>
      </c>
      <c r="J9749" s="28" t="s">
        <v>52</v>
      </c>
      <c r="K9749" s="28" t="s">
        <v>52</v>
      </c>
      <c r="L9749" s="28" t="s">
        <v>52</v>
      </c>
      <c r="M9749" s="28" t="s">
        <v>52</v>
      </c>
      <c r="N9749" s="28" t="s">
        <v>52</v>
      </c>
    </row>
    <row r="9750" spans="1:14" x14ac:dyDescent="0.15">
      <c r="A9750" s="23" t="str">
        <f>HYPERLINK("https://www.spark-marketing.ru/Card/Person/130109", "ПАО БАНК ""ФК ОТКРЫТИЕ""")</f>
        <v>ПАО БАНК "ФК ОТКРЫТИЕ"</v>
      </c>
      <c r="B9750" s="24" t="s">
        <v>693</v>
      </c>
      <c r="C9750" s="25">
        <v>0</v>
      </c>
      <c r="D9750" s="22" t="s">
        <v>12145</v>
      </c>
      <c r="E9750" s="22" t="s">
        <v>53</v>
      </c>
      <c r="F9750" s="23" t="str">
        <f>HYPERLINK("https://www.spark-marketing.ru/Card/Lot/69822630", "Оказание услуг по физической охране на объекте ПАО Банка ""ФК Открытие"" в г. Ульяновск")</f>
        <v>Оказание услуг по физической охране на объекте ПАО Банка "ФК Открытие" в г. Ульяновск</v>
      </c>
      <c r="G9750" s="22" t="s">
        <v>55</v>
      </c>
      <c r="H9750" s="22" t="s">
        <v>55</v>
      </c>
      <c r="I9750" s="26">
        <v>43571</v>
      </c>
      <c r="J9750" s="28" t="s">
        <v>52</v>
      </c>
      <c r="K9750" s="28" t="s">
        <v>52</v>
      </c>
      <c r="L9750" s="28" t="s">
        <v>52</v>
      </c>
      <c r="M9750" s="28" t="s">
        <v>52</v>
      </c>
      <c r="N9750" s="28" t="s">
        <v>52</v>
      </c>
    </row>
    <row r="9751" spans="1:14" x14ac:dyDescent="0.15">
      <c r="A9751" s="23" t="str">
        <f>HYPERLINK("https://www.spark-marketing.ru/Card/Person/5592", "НОВОСИБИРСКИЙ ГОСУДАРСТВЕННЫЙ УНИВЕРСИТЕТ, НГУ")</f>
        <v>НОВОСИБИРСКИЙ ГОСУДАРСТВЕННЫЙ УНИВЕРСИТЕТ, НГУ</v>
      </c>
      <c r="B9751" s="24" t="s">
        <v>5883</v>
      </c>
      <c r="C9751" s="25">
        <v>113400</v>
      </c>
      <c r="D9751" s="22" t="s">
        <v>12146</v>
      </c>
      <c r="E9751" s="22" t="s">
        <v>137</v>
      </c>
      <c r="F9751" s="23" t="str">
        <f>HYPERLINK("https://www.spark-marketing.ru/Card/Lot/69806063", "Оказание услуг по техническому обслуживанию (ТО) системы охранной сигнализации и охранной системы безопасности «Орион»")</f>
        <v>Оказание услуг по техническому обслуживанию (ТО) системы охранной сигнализации и охранной системы безопасности «Орион»</v>
      </c>
      <c r="G9751" s="22" t="s">
        <v>209</v>
      </c>
      <c r="H9751" s="22" t="s">
        <v>209</v>
      </c>
      <c r="I9751" s="26">
        <v>43570.812893518501</v>
      </c>
      <c r="J9751" s="28" t="s">
        <v>52</v>
      </c>
      <c r="K9751" s="28" t="s">
        <v>52</v>
      </c>
      <c r="L9751" s="28" t="s">
        <v>52</v>
      </c>
      <c r="M9751" s="28" t="s">
        <v>52</v>
      </c>
      <c r="N9751" s="28" t="s">
        <v>52</v>
      </c>
    </row>
    <row r="9752" spans="1:14" x14ac:dyDescent="0.15">
      <c r="A9752" s="23" t="str">
        <f>HYPERLINK("https://www.spark-marketing.ru/Card/Person/1022954", "МБУ ""МФЦ ГОРОДА КОРОЛЁВА""")</f>
        <v>МБУ "МФЦ ГОРОДА КОРОЛЁВА"</v>
      </c>
      <c r="B9752" s="24" t="s">
        <v>12147</v>
      </c>
      <c r="C9752" s="25">
        <v>65394.720000000001</v>
      </c>
      <c r="D9752" s="22" t="s">
        <v>12148</v>
      </c>
      <c r="E9752" s="22" t="s">
        <v>103</v>
      </c>
      <c r="F9752" s="23" t="str">
        <f>HYPERLINK("https://www.spark-marketing.ru/Card/Lot/69811198", "Оказание услуг по техническому обслуживанию систем охранной сигнализации и видеонаблюдения в помещениях МБУ «МФЦ города Королёва»")</f>
        <v>Оказание услуг по техническому обслуживанию систем охранной сигнализации и видеонаблюдения в помещениях МБУ «МФЦ города Королёва»</v>
      </c>
      <c r="G9752" s="22" t="s">
        <v>50</v>
      </c>
      <c r="H9752" s="22" t="s">
        <v>12149</v>
      </c>
      <c r="I9752" s="26">
        <v>43570.742708333302</v>
      </c>
      <c r="J9752" s="28" t="s">
        <v>52</v>
      </c>
      <c r="K9752" s="28" t="s">
        <v>52</v>
      </c>
      <c r="L9752" s="28" t="s">
        <v>52</v>
      </c>
      <c r="M9752" s="28" t="s">
        <v>52</v>
      </c>
      <c r="N9752" s="28" t="s">
        <v>52</v>
      </c>
    </row>
    <row r="9753" spans="1:14" x14ac:dyDescent="0.15">
      <c r="A9753" s="23" t="str">
        <f t="shared" ref="A9753:A9760" si="451">HYPERLINK("https://www.spark-marketing.ru/Card/Person/75522", "ГБУЗ РНД № 2 МЗ РБ")</f>
        <v>ГБУЗ РНД № 2 МЗ РБ</v>
      </c>
      <c r="B9753" s="24" t="s">
        <v>12150</v>
      </c>
      <c r="C9753" s="25">
        <v>448974.72</v>
      </c>
      <c r="D9753" s="22" t="s">
        <v>12151</v>
      </c>
      <c r="E9753" s="22" t="s">
        <v>52</v>
      </c>
      <c r="F9753" s="23" t="str">
        <f t="shared" ref="F9753:F9760" si="452">HYPERLINK("https://www.spark-marketing.ru/Card/Lot/69806587", "Услуги по физической охране имущества, безопасности клиентов, сотрудников и прилегающей территории главного корпуса ГБУЗ РНД №2 МЗ РБ, расположенного по адресу: 453102, РФ, РБ, г. Стерлитамак, ул. Бородина, д. 11")</f>
        <v>Услуги по физической охране имущества, безопасности клиентов, сотрудников и прилегающей территории главного корпуса ГБУЗ РНД №2 МЗ РБ, расположенного по адресу: 453102, РФ, РБ, г. Стерлитамак, ул. Бородина, д. 11</v>
      </c>
      <c r="G9753" s="22" t="s">
        <v>100</v>
      </c>
      <c r="H9753" s="22" t="s">
        <v>2799</v>
      </c>
      <c r="I9753" s="26">
        <v>43570.728472222203</v>
      </c>
      <c r="J9753" s="28" t="s">
        <v>52</v>
      </c>
      <c r="K9753" s="28" t="s">
        <v>52</v>
      </c>
      <c r="L9753" s="28" t="s">
        <v>52</v>
      </c>
      <c r="M9753" s="28" t="s">
        <v>52</v>
      </c>
      <c r="N9753" s="28" t="s">
        <v>52</v>
      </c>
    </row>
    <row r="9754" spans="1:14" ht="12.75" hidden="1" outlineLevel="1" x14ac:dyDescent="0.2">
      <c r="A9754" s="23" t="str">
        <f t="shared" si="451"/>
        <v>ГБУЗ РНД № 2 МЗ РБ</v>
      </c>
      <c r="B9754" s="24" t="s">
        <v>12150</v>
      </c>
      <c r="C9754" s="25">
        <v>448974.72</v>
      </c>
      <c r="D9754" s="22" t="s">
        <v>12151</v>
      </c>
      <c r="E9754" s="22" t="s">
        <v>52</v>
      </c>
      <c r="F9754" s="23" t="str">
        <f t="shared" si="452"/>
        <v>Услуги по физической охране имущества, безопасности клиентов, сотрудников и прилегающей территории главного корпуса ГБУЗ РНД №2 МЗ РБ, расположенного по адресу: 453102, РФ, РБ, г. Стерлитамак, ул. Бородина, д. 11</v>
      </c>
      <c r="G9754" s="22" t="s">
        <v>100</v>
      </c>
      <c r="H9754" s="22" t="s">
        <v>2799</v>
      </c>
      <c r="I9754" s="26">
        <v>43570.728472222203</v>
      </c>
      <c r="J9754" s="23" t="str">
        <f>HYPERLINK("https://www.spark-marketing.ru/Card/Person/274718", "ООО ""ОП РУСЛАН""")</f>
        <v>ООО "ОП РУСЛАН"</v>
      </c>
      <c r="K9754" s="24" t="s">
        <v>12152</v>
      </c>
      <c r="L9754" s="22" t="s">
        <v>10</v>
      </c>
      <c r="M9754" s="25">
        <v>253670.87</v>
      </c>
      <c r="N9754" s="27">
        <v>0.43499965877811564</v>
      </c>
    </row>
    <row r="9755" spans="1:14" hidden="1" outlineLevel="1" x14ac:dyDescent="0.2">
      <c r="A9755" s="23" t="str">
        <f t="shared" si="451"/>
        <v>ГБУЗ РНД № 2 МЗ РБ</v>
      </c>
      <c r="B9755" s="24" t="s">
        <v>12150</v>
      </c>
      <c r="C9755" s="25">
        <v>448974.72</v>
      </c>
      <c r="D9755" s="22" t="s">
        <v>12151</v>
      </c>
      <c r="E9755" s="22" t="s">
        <v>52</v>
      </c>
      <c r="F9755" s="23" t="str">
        <f t="shared" si="452"/>
        <v>Услуги по физической охране имущества, безопасности клиентов, сотрудников и прилегающей территории главного корпуса ГБУЗ РНД №2 МЗ РБ, расположенного по адресу: 453102, РФ, РБ, г. Стерлитамак, ул. Бородина, д. 11</v>
      </c>
      <c r="G9755" s="22" t="s">
        <v>100</v>
      </c>
      <c r="H9755" s="22" t="s">
        <v>2799</v>
      </c>
      <c r="I9755" s="26">
        <v>43570.728472222203</v>
      </c>
      <c r="J9755" s="23" t="str">
        <f>HYPERLINK("https://www.spark-marketing.ru/Card/Person/974717", "ООО ЧОО ""НЕЗАВИСИМОСТЬ""")</f>
        <v>ООО ЧОО "НЕЗАВИСИМОСТЬ"</v>
      </c>
      <c r="K9755" s="24" t="s">
        <v>12153</v>
      </c>
      <c r="L9755" s="28" t="s">
        <v>52</v>
      </c>
      <c r="M9755" s="25">
        <v>255915.74</v>
      </c>
      <c r="N9755" s="27">
        <v>0.42999966679638446</v>
      </c>
    </row>
    <row r="9756" spans="1:14" hidden="1" outlineLevel="1" x14ac:dyDescent="0.2">
      <c r="A9756" s="23" t="str">
        <f t="shared" si="451"/>
        <v>ГБУЗ РНД № 2 МЗ РБ</v>
      </c>
      <c r="B9756" s="24" t="s">
        <v>12150</v>
      </c>
      <c r="C9756" s="25">
        <v>448974.72</v>
      </c>
      <c r="D9756" s="22" t="s">
        <v>12151</v>
      </c>
      <c r="E9756" s="22" t="s">
        <v>52</v>
      </c>
      <c r="F9756" s="23" t="str">
        <f t="shared" si="452"/>
        <v>Услуги по физической охране имущества, безопасности клиентов, сотрудников и прилегающей территории главного корпуса ГБУЗ РНД №2 МЗ РБ, расположенного по адресу: 453102, РФ, РБ, г. Стерлитамак, ул. Бородина, д. 11</v>
      </c>
      <c r="G9756" s="22" t="s">
        <v>100</v>
      </c>
      <c r="H9756" s="22" t="s">
        <v>2799</v>
      </c>
      <c r="I9756" s="26">
        <v>43570.728472222203</v>
      </c>
      <c r="J9756" s="23" t="str">
        <f>HYPERLINK("https://www.spark-marketing.ru/Card/Person/2282654", "ООО ЧОП ""МЕДВЕДЬ+""")</f>
        <v>ООО ЧОП "МЕДВЕДЬ+"</v>
      </c>
      <c r="K9756" s="24" t="s">
        <v>12154</v>
      </c>
      <c r="L9756" s="28" t="s">
        <v>52</v>
      </c>
      <c r="M9756" s="25">
        <v>436389</v>
      </c>
      <c r="N9756" s="27">
        <v>2.8032135083240321E-2</v>
      </c>
    </row>
    <row r="9757" spans="1:14" hidden="1" outlineLevel="1" x14ac:dyDescent="0.2">
      <c r="A9757" s="23" t="str">
        <f t="shared" si="451"/>
        <v>ГБУЗ РНД № 2 МЗ РБ</v>
      </c>
      <c r="B9757" s="24" t="s">
        <v>12150</v>
      </c>
      <c r="C9757" s="25">
        <v>448974.72</v>
      </c>
      <c r="D9757" s="22" t="s">
        <v>12151</v>
      </c>
      <c r="E9757" s="22" t="s">
        <v>52</v>
      </c>
      <c r="F9757" s="23" t="str">
        <f t="shared" si="452"/>
        <v>Услуги по физической охране имущества, безопасности клиентов, сотрудников и прилегающей территории главного корпуса ГБУЗ РНД №2 МЗ РБ, расположенного по адресу: 453102, РФ, РБ, г. Стерлитамак, ул. Бородина, д. 11</v>
      </c>
      <c r="G9757" s="22" t="s">
        <v>100</v>
      </c>
      <c r="H9757" s="22" t="s">
        <v>2799</v>
      </c>
      <c r="I9757" s="26">
        <v>43570.728472222203</v>
      </c>
      <c r="J9757" s="23" t="str">
        <f>HYPERLINK("https://www.spark-marketing.ru/Card/Person/138362", "ООО ЧОО ""ВЫМПЕЛ""")</f>
        <v>ООО ЧОО "ВЫМПЕЛ"</v>
      </c>
      <c r="K9757" s="24" t="s">
        <v>10615</v>
      </c>
      <c r="L9757" s="28" t="s">
        <v>52</v>
      </c>
      <c r="M9757" s="25">
        <v>280609.31</v>
      </c>
      <c r="N9757" s="27">
        <v>0.37499975499734151</v>
      </c>
    </row>
    <row r="9758" spans="1:14" hidden="1" outlineLevel="1" x14ac:dyDescent="0.2">
      <c r="A9758" s="23" t="str">
        <f t="shared" si="451"/>
        <v>ГБУЗ РНД № 2 МЗ РБ</v>
      </c>
      <c r="B9758" s="24" t="s">
        <v>12150</v>
      </c>
      <c r="C9758" s="25">
        <v>448974.72</v>
      </c>
      <c r="D9758" s="22" t="s">
        <v>12151</v>
      </c>
      <c r="E9758" s="22" t="s">
        <v>52</v>
      </c>
      <c r="F9758" s="23" t="str">
        <f t="shared" si="452"/>
        <v>Услуги по физической охране имущества, безопасности клиентов, сотрудников и прилегающей территории главного корпуса ГБУЗ РНД №2 МЗ РБ, расположенного по адресу: 453102, РФ, РБ, г. Стерлитамак, ул. Бородина, д. 11</v>
      </c>
      <c r="G9758" s="22" t="s">
        <v>100</v>
      </c>
      <c r="H9758" s="22" t="s">
        <v>2799</v>
      </c>
      <c r="I9758" s="26">
        <v>43570.728472222203</v>
      </c>
      <c r="J9758" s="23" t="str">
        <f>HYPERLINK("https://www.spark-marketing.ru/Card/Person/1892674", "ООО ""ЧОО ""ТРИТОН""")</f>
        <v>ООО "ЧОО "ТРИТОН"</v>
      </c>
      <c r="K9758" s="24" t="s">
        <v>2800</v>
      </c>
      <c r="L9758" s="28" t="s">
        <v>52</v>
      </c>
      <c r="M9758" s="25">
        <v>291833.65999999997</v>
      </c>
      <c r="N9758" s="27">
        <v>0.34999979508868562</v>
      </c>
    </row>
    <row r="9759" spans="1:14" hidden="1" outlineLevel="1" x14ac:dyDescent="0.2">
      <c r="A9759" s="23" t="str">
        <f t="shared" si="451"/>
        <v>ГБУЗ РНД № 2 МЗ РБ</v>
      </c>
      <c r="B9759" s="24" t="s">
        <v>12150</v>
      </c>
      <c r="C9759" s="25">
        <v>448974.72</v>
      </c>
      <c r="D9759" s="22" t="s">
        <v>12151</v>
      </c>
      <c r="E9759" s="22" t="s">
        <v>52</v>
      </c>
      <c r="F9759" s="23" t="str">
        <f t="shared" si="452"/>
        <v>Услуги по физической охране имущества, безопасности клиентов, сотрудников и прилегающей территории главного корпуса ГБУЗ РНД №2 МЗ РБ, расположенного по адресу: 453102, РФ, РБ, г. Стерлитамак, ул. Бородина, д. 11</v>
      </c>
      <c r="G9759" s="22" t="s">
        <v>100</v>
      </c>
      <c r="H9759" s="22" t="s">
        <v>2799</v>
      </c>
      <c r="I9759" s="26">
        <v>43570.728472222203</v>
      </c>
      <c r="J9759" s="23" t="str">
        <f>HYPERLINK("https://www.spark-marketing.ru/Card/Person/2499874", "ООО ЧОП ""АРСЛАН""")</f>
        <v>ООО ЧОП "АРСЛАН"</v>
      </c>
      <c r="K9759" s="24" t="s">
        <v>2537</v>
      </c>
      <c r="L9759" s="28" t="s">
        <v>52</v>
      </c>
      <c r="M9759" s="25">
        <v>431015.76</v>
      </c>
      <c r="N9759" s="27">
        <v>3.9999935853849408E-2</v>
      </c>
    </row>
    <row r="9760" spans="1:14" hidden="1" outlineLevel="1" x14ac:dyDescent="0.2">
      <c r="A9760" s="23" t="str">
        <f t="shared" si="451"/>
        <v>ГБУЗ РНД № 2 МЗ РБ</v>
      </c>
      <c r="B9760" s="24" t="s">
        <v>12150</v>
      </c>
      <c r="C9760" s="25">
        <v>448974.72</v>
      </c>
      <c r="D9760" s="22" t="s">
        <v>12151</v>
      </c>
      <c r="E9760" s="22" t="s">
        <v>52</v>
      </c>
      <c r="F9760" s="23" t="str">
        <f t="shared" si="452"/>
        <v>Услуги по физической охране имущества, безопасности клиентов, сотрудников и прилегающей территории главного корпуса ГБУЗ РНД №2 МЗ РБ, расположенного по адресу: 453102, РФ, РБ, г. Стерлитамак, ул. Бородина, д. 11</v>
      </c>
      <c r="G9760" s="22" t="s">
        <v>100</v>
      </c>
      <c r="H9760" s="22" t="s">
        <v>2799</v>
      </c>
      <c r="I9760" s="26">
        <v>43570.728472222203</v>
      </c>
      <c r="J9760" s="23" t="str">
        <f>HYPERLINK("https://www.spark-marketing.ru/Card/Person/739640", "ООО ЧОО ""ДОЗОРНЫЙ""")</f>
        <v>ООО ЧОО "ДОЗОРНЫЙ"</v>
      </c>
      <c r="K9760" s="24" t="s">
        <v>12155</v>
      </c>
      <c r="L9760" s="28" t="s">
        <v>52</v>
      </c>
      <c r="M9760" s="25">
        <v>352445.19</v>
      </c>
      <c r="N9760" s="27">
        <v>0.21499992249006802</v>
      </c>
    </row>
    <row r="9761" spans="1:14" x14ac:dyDescent="0.15">
      <c r="A9761" s="23" t="str">
        <f>HYPERLINK("https://www.spark-marketing.ru/Card/Person/309910", "ГАУ КО ""РПЦ""")</f>
        <v>ГАУ КО "РПЦ"</v>
      </c>
      <c r="B9761" s="24" t="s">
        <v>12156</v>
      </c>
      <c r="C9761" s="25">
        <v>113007.62</v>
      </c>
      <c r="D9761" s="22" t="s">
        <v>12157</v>
      </c>
      <c r="E9761" s="22" t="s">
        <v>144</v>
      </c>
      <c r="F9761" s="23" t="str">
        <f>HYPERLINK("https://www.spark-marketing.ru/Card/Lot/69812664", "Охрана объектов подразделениями вневедомственной охраны с помощью пультов централизованного наблюдения")</f>
        <v>Охрана объектов подразделениями вневедомственной охраны с помощью пультов централизованного наблюдения</v>
      </c>
      <c r="G9761" s="22" t="s">
        <v>247</v>
      </c>
      <c r="H9761" s="22" t="s">
        <v>247</v>
      </c>
      <c r="I9761" s="26">
        <v>43570.742164351897</v>
      </c>
      <c r="J9761" s="28" t="s">
        <v>52</v>
      </c>
      <c r="K9761" s="28" t="s">
        <v>52</v>
      </c>
      <c r="L9761" s="28" t="s">
        <v>52</v>
      </c>
      <c r="M9761" s="28" t="s">
        <v>52</v>
      </c>
      <c r="N9761" s="28" t="s">
        <v>52</v>
      </c>
    </row>
    <row r="9762" spans="1:14" x14ac:dyDescent="0.15">
      <c r="A9762" s="23" t="str">
        <f>HYPERLINK("https://www.spark-marketing.ru/Card/Person/4345133", "АО ""ГНЦ НИИАР""")</f>
        <v>АО "ГНЦ НИИАР"</v>
      </c>
      <c r="B9762" s="24" t="s">
        <v>444</v>
      </c>
      <c r="C9762" s="25">
        <v>1645231.3</v>
      </c>
      <c r="D9762" s="22" t="s">
        <v>12158</v>
      </c>
      <c r="E9762" s="22" t="s">
        <v>53</v>
      </c>
      <c r="F9762" s="23" t="str">
        <f>HYPERLINK("https://www.spark-marketing.ru/Card/Lot/69813179", "Право заключения договора на оказание услуг по техническому обслуживанию системы управления доступом охранной сигнализации ""Цирконий-М"", систем телевизионного наблюдения ""Интеллект"", ""Гетебрюк""")</f>
        <v>Право заключения договора на оказание услуг по техническому обслуживанию системы управления доступом охранной сигнализации "Цирконий-М", систем телевизионного наблюдения "Интеллект", "Гетебрюк"</v>
      </c>
      <c r="G9762" s="22" t="s">
        <v>446</v>
      </c>
      <c r="H9762" s="22" t="s">
        <v>447</v>
      </c>
      <c r="I9762" s="26">
        <v>43570.7187962963</v>
      </c>
      <c r="J9762" s="28" t="s">
        <v>52</v>
      </c>
      <c r="K9762" s="28" t="s">
        <v>52</v>
      </c>
      <c r="L9762" s="28" t="s">
        <v>52</v>
      </c>
      <c r="M9762" s="28" t="s">
        <v>52</v>
      </c>
      <c r="N9762" s="28" t="s">
        <v>52</v>
      </c>
    </row>
    <row r="9763" spans="1:14" x14ac:dyDescent="0.15">
      <c r="A9763" s="23" t="str">
        <f t="shared" ref="A9763:A9777" si="453">HYPERLINK("https://www.spark-marketing.ru/Card/Person/9016", "ГБУЗ ""ГП № 5 ДЗМ""")</f>
        <v>ГБУЗ "ГП № 5 ДЗМ"</v>
      </c>
      <c r="B9763" s="24" t="s">
        <v>11225</v>
      </c>
      <c r="C9763" s="25">
        <v>2044686.63</v>
      </c>
      <c r="D9763" s="22" t="s">
        <v>12159</v>
      </c>
      <c r="E9763" s="22" t="s">
        <v>103</v>
      </c>
      <c r="F9763" s="23" t="str">
        <f t="shared" ref="F9763:F9777" si="454">HYPERLINK("https://www.spark-marketing.ru/Card/Lot/69812545", "Оказание услуг по техническому обслуживанию систем видеонаблюдения в ГБУЗ «ГП №5 ДЗМ»")</f>
        <v>Оказание услуг по техническому обслуживанию систем видеонаблюдения в ГБУЗ «ГП №5 ДЗМ»</v>
      </c>
      <c r="G9763" s="22" t="s">
        <v>55</v>
      </c>
      <c r="H9763" s="22" t="s">
        <v>55</v>
      </c>
      <c r="I9763" s="26">
        <v>43570.731249999997</v>
      </c>
      <c r="J9763" s="28" t="s">
        <v>52</v>
      </c>
      <c r="K9763" s="28" t="s">
        <v>52</v>
      </c>
      <c r="L9763" s="28" t="s">
        <v>52</v>
      </c>
      <c r="M9763" s="28" t="s">
        <v>52</v>
      </c>
      <c r="N9763" s="28" t="s">
        <v>52</v>
      </c>
    </row>
    <row r="9764" spans="1:14" hidden="1" outlineLevel="1" x14ac:dyDescent="0.2">
      <c r="A9764" s="23" t="str">
        <f t="shared" si="453"/>
        <v>ГБУЗ "ГП № 5 ДЗМ"</v>
      </c>
      <c r="B9764" s="24" t="s">
        <v>11225</v>
      </c>
      <c r="C9764" s="25">
        <v>2044686.63</v>
      </c>
      <c r="D9764" s="22" t="s">
        <v>12159</v>
      </c>
      <c r="E9764" s="22" t="s">
        <v>103</v>
      </c>
      <c r="F9764" s="23" t="str">
        <f t="shared" si="454"/>
        <v>Оказание услуг по техническому обслуживанию систем видеонаблюдения в ГБУЗ «ГП №5 ДЗМ»</v>
      </c>
      <c r="G9764" s="22" t="s">
        <v>55</v>
      </c>
      <c r="H9764" s="22" t="s">
        <v>55</v>
      </c>
      <c r="I9764" s="26">
        <v>43570.731249999997</v>
      </c>
      <c r="J9764" s="23" t="str">
        <f>HYPERLINK("https://www.spark-marketing.ru/Card/Person/269152", "ООО ТД ""ГРАН ПРИ +""")</f>
        <v>ООО ТД "ГРАН ПРИ +"</v>
      </c>
      <c r="K9764" s="24" t="s">
        <v>12160</v>
      </c>
      <c r="L9764" s="28" t="s">
        <v>52</v>
      </c>
      <c r="M9764" s="25">
        <v>1082891.0900000001</v>
      </c>
      <c r="N9764" s="27">
        <v>0.47038774836611513</v>
      </c>
    </row>
    <row r="9765" spans="1:14" hidden="1" outlineLevel="1" x14ac:dyDescent="0.2">
      <c r="A9765" s="23" t="str">
        <f t="shared" si="453"/>
        <v>ГБУЗ "ГП № 5 ДЗМ"</v>
      </c>
      <c r="B9765" s="24" t="s">
        <v>11225</v>
      </c>
      <c r="C9765" s="25">
        <v>2044686.63</v>
      </c>
      <c r="D9765" s="22" t="s">
        <v>12159</v>
      </c>
      <c r="E9765" s="22" t="s">
        <v>103</v>
      </c>
      <c r="F9765" s="23" t="str">
        <f t="shared" si="454"/>
        <v>Оказание услуг по техническому обслуживанию систем видеонаблюдения в ГБУЗ «ГП №5 ДЗМ»</v>
      </c>
      <c r="G9765" s="22" t="s">
        <v>55</v>
      </c>
      <c r="H9765" s="22" t="s">
        <v>55</v>
      </c>
      <c r="I9765" s="26">
        <v>43570.731249999997</v>
      </c>
      <c r="J9765" s="23" t="str">
        <f>HYPERLINK("https://www.spark-marketing.ru/Card/Person/5906298", "ООО ""ПРОФМЕХАНИКА""")</f>
        <v>ООО "ПРОФМЕХАНИКА"</v>
      </c>
      <c r="K9765" s="24" t="s">
        <v>10573</v>
      </c>
      <c r="L9765" s="28" t="s">
        <v>52</v>
      </c>
      <c r="M9765" s="25">
        <v>1544000</v>
      </c>
      <c r="N9765" s="27">
        <v>0.2448720613974964</v>
      </c>
    </row>
    <row r="9766" spans="1:14" hidden="1" outlineLevel="1" x14ac:dyDescent="0.2">
      <c r="A9766" s="23" t="str">
        <f t="shared" si="453"/>
        <v>ГБУЗ "ГП № 5 ДЗМ"</v>
      </c>
      <c r="B9766" s="24" t="s">
        <v>11225</v>
      </c>
      <c r="C9766" s="25">
        <v>2044686.63</v>
      </c>
      <c r="D9766" s="22" t="s">
        <v>12159</v>
      </c>
      <c r="E9766" s="22" t="s">
        <v>103</v>
      </c>
      <c r="F9766" s="23" t="str">
        <f t="shared" si="454"/>
        <v>Оказание услуг по техническому обслуживанию систем видеонаблюдения в ГБУЗ «ГП №5 ДЗМ»</v>
      </c>
      <c r="G9766" s="22" t="s">
        <v>55</v>
      </c>
      <c r="H9766" s="22" t="s">
        <v>55</v>
      </c>
      <c r="I9766" s="26">
        <v>43570.731249999997</v>
      </c>
      <c r="J9766" s="23" t="str">
        <f>HYPERLINK("https://www.spark-marketing.ru/Card/Person/6462474", "ООО ""ФАВОР""")</f>
        <v>ООО "ФАВОР"</v>
      </c>
      <c r="K9766" s="24" t="s">
        <v>2058</v>
      </c>
      <c r="L9766" s="28" t="s">
        <v>52</v>
      </c>
      <c r="M9766" s="25">
        <v>1338476.8999999999</v>
      </c>
      <c r="N9766" s="27">
        <v>0.34538775753622453</v>
      </c>
    </row>
    <row r="9767" spans="1:14" hidden="1" outlineLevel="1" x14ac:dyDescent="0.2">
      <c r="A9767" s="23" t="str">
        <f t="shared" si="453"/>
        <v>ГБУЗ "ГП № 5 ДЗМ"</v>
      </c>
      <c r="B9767" s="24" t="s">
        <v>11225</v>
      </c>
      <c r="C9767" s="25">
        <v>2044686.63</v>
      </c>
      <c r="D9767" s="22" t="s">
        <v>12159</v>
      </c>
      <c r="E9767" s="22" t="s">
        <v>103</v>
      </c>
      <c r="F9767" s="23" t="str">
        <f t="shared" si="454"/>
        <v>Оказание услуг по техническому обслуживанию систем видеонаблюдения в ГБУЗ «ГП №5 ДЗМ»</v>
      </c>
      <c r="G9767" s="22" t="s">
        <v>55</v>
      </c>
      <c r="H9767" s="22" t="s">
        <v>55</v>
      </c>
      <c r="I9767" s="26">
        <v>43570.731249999997</v>
      </c>
      <c r="J9767" s="23" t="str">
        <f>HYPERLINK("https://www.spark-marketing.ru/Card/Person/127226", "ООО ""ОБС""")</f>
        <v>ООО "ОБС"</v>
      </c>
      <c r="K9767" s="24" t="s">
        <v>11096</v>
      </c>
      <c r="L9767" s="28" t="s">
        <v>52</v>
      </c>
      <c r="M9767" s="25">
        <v>244793.17</v>
      </c>
      <c r="N9767" s="27">
        <v>0.88027839258674079</v>
      </c>
    </row>
    <row r="9768" spans="1:14" hidden="1" outlineLevel="1" x14ac:dyDescent="0.2">
      <c r="A9768" s="23" t="str">
        <f t="shared" si="453"/>
        <v>ГБУЗ "ГП № 5 ДЗМ"</v>
      </c>
      <c r="B9768" s="24" t="s">
        <v>11225</v>
      </c>
      <c r="C9768" s="25">
        <v>2044686.63</v>
      </c>
      <c r="D9768" s="22" t="s">
        <v>12159</v>
      </c>
      <c r="E9768" s="22" t="s">
        <v>103</v>
      </c>
      <c r="F9768" s="23" t="str">
        <f t="shared" si="454"/>
        <v>Оказание услуг по техническому обслуживанию систем видеонаблюдения в ГБУЗ «ГП №5 ДЗМ»</v>
      </c>
      <c r="G9768" s="22" t="s">
        <v>55</v>
      </c>
      <c r="H9768" s="22" t="s">
        <v>55</v>
      </c>
      <c r="I9768" s="26">
        <v>43570.731249999997</v>
      </c>
      <c r="J9768" s="23" t="str">
        <f>HYPERLINK("https://www.spark-marketing.ru/Card/Person/5867654", "ООО ""РСКБ""")</f>
        <v>ООО "РСКБ"</v>
      </c>
      <c r="K9768" s="24" t="s">
        <v>12161</v>
      </c>
      <c r="L9768" s="28" t="s">
        <v>52</v>
      </c>
      <c r="M9768" s="25">
        <v>132335.44</v>
      </c>
      <c r="N9768" s="27">
        <v>0.93527837564037875</v>
      </c>
    </row>
    <row r="9769" spans="1:14" ht="12.75" hidden="1" outlineLevel="1" x14ac:dyDescent="0.2">
      <c r="A9769" s="23" t="str">
        <f t="shared" si="453"/>
        <v>ГБУЗ "ГП № 5 ДЗМ"</v>
      </c>
      <c r="B9769" s="24" t="s">
        <v>11225</v>
      </c>
      <c r="C9769" s="25">
        <v>2044686.63</v>
      </c>
      <c r="D9769" s="22" t="s">
        <v>12159</v>
      </c>
      <c r="E9769" s="22" t="s">
        <v>103</v>
      </c>
      <c r="F9769" s="23" t="str">
        <f t="shared" si="454"/>
        <v>Оказание услуг по техническому обслуживанию систем видеонаблюдения в ГБУЗ «ГП №5 ДЗМ»</v>
      </c>
      <c r="G9769" s="22" t="s">
        <v>55</v>
      </c>
      <c r="H9769" s="22" t="s">
        <v>55</v>
      </c>
      <c r="I9769" s="26">
        <v>43570.731249999997</v>
      </c>
      <c r="J9769" s="23" t="str">
        <f>HYPERLINK("https://www.spark-marketing.ru/Card/Person/1436325", "ООО ""СЕРВИС ФАКТОР""")</f>
        <v>ООО "СЕРВИС ФАКТОР"</v>
      </c>
      <c r="K9769" s="24" t="s">
        <v>12162</v>
      </c>
      <c r="L9769" s="22" t="s">
        <v>10</v>
      </c>
      <c r="M9769" s="25">
        <v>122112.01</v>
      </c>
      <c r="N9769" s="27">
        <v>0.94027837409980031</v>
      </c>
    </row>
    <row r="9770" spans="1:14" hidden="1" outlineLevel="1" x14ac:dyDescent="0.2">
      <c r="A9770" s="23" t="str">
        <f t="shared" si="453"/>
        <v>ГБУЗ "ГП № 5 ДЗМ"</v>
      </c>
      <c r="B9770" s="24" t="s">
        <v>11225</v>
      </c>
      <c r="C9770" s="25">
        <v>2044686.63</v>
      </c>
      <c r="D9770" s="22" t="s">
        <v>12159</v>
      </c>
      <c r="E9770" s="22" t="s">
        <v>103</v>
      </c>
      <c r="F9770" s="23" t="str">
        <f t="shared" si="454"/>
        <v>Оказание услуг по техническому обслуживанию систем видеонаблюдения в ГБУЗ «ГП №5 ДЗМ»</v>
      </c>
      <c r="G9770" s="22" t="s">
        <v>55</v>
      </c>
      <c r="H9770" s="22" t="s">
        <v>55</v>
      </c>
      <c r="I9770" s="26">
        <v>43570.731249999997</v>
      </c>
      <c r="J9770" s="23" t="str">
        <f>HYPERLINK("https://www.spark-marketing.ru/Card/Person/4550308", "ООО ""ТЦ АТСКОМ""")</f>
        <v>ООО "ТЦ АТСКОМ"</v>
      </c>
      <c r="K9770" s="24" t="s">
        <v>12163</v>
      </c>
      <c r="L9770" s="28" t="s">
        <v>52</v>
      </c>
      <c r="M9770" s="25">
        <v>1072667.6599999999</v>
      </c>
      <c r="N9770" s="27">
        <v>0.47538774682553681</v>
      </c>
    </row>
    <row r="9771" spans="1:14" hidden="1" outlineLevel="1" x14ac:dyDescent="0.2">
      <c r="A9771" s="23" t="str">
        <f t="shared" si="453"/>
        <v>ГБУЗ "ГП № 5 ДЗМ"</v>
      </c>
      <c r="B9771" s="24" t="s">
        <v>11225</v>
      </c>
      <c r="C9771" s="25">
        <v>2044686.63</v>
      </c>
      <c r="D9771" s="22" t="s">
        <v>12159</v>
      </c>
      <c r="E9771" s="22" t="s">
        <v>103</v>
      </c>
      <c r="F9771" s="23" t="str">
        <f t="shared" si="454"/>
        <v>Оказание услуг по техническому обслуживанию систем видеонаблюдения в ГБУЗ «ГП №5 ДЗМ»</v>
      </c>
      <c r="G9771" s="22" t="s">
        <v>55</v>
      </c>
      <c r="H9771" s="22" t="s">
        <v>55</v>
      </c>
      <c r="I9771" s="26">
        <v>43570.731249999997</v>
      </c>
      <c r="J9771" s="23" t="str">
        <f>HYPERLINK("https://www.spark-marketing.ru/Card/Person/91163", "ООО "" ИМПУЛЬС """)</f>
        <v>ООО " ИМПУЛЬС "</v>
      </c>
      <c r="K9771" s="24" t="s">
        <v>5036</v>
      </c>
      <c r="L9771" s="28" t="s">
        <v>52</v>
      </c>
      <c r="M9771" s="25">
        <v>2003000</v>
      </c>
      <c r="N9771" s="27">
        <v>2.0387784312943837E-2</v>
      </c>
    </row>
    <row r="9772" spans="1:14" hidden="1" outlineLevel="1" x14ac:dyDescent="0.2">
      <c r="A9772" s="23" t="str">
        <f t="shared" si="453"/>
        <v>ГБУЗ "ГП № 5 ДЗМ"</v>
      </c>
      <c r="B9772" s="24" t="s">
        <v>11225</v>
      </c>
      <c r="C9772" s="25">
        <v>2044686.63</v>
      </c>
      <c r="D9772" s="22" t="s">
        <v>12159</v>
      </c>
      <c r="E9772" s="22" t="s">
        <v>103</v>
      </c>
      <c r="F9772" s="23" t="str">
        <f t="shared" si="454"/>
        <v>Оказание услуг по техническому обслуживанию систем видеонаблюдения в ГБУЗ «ГП №5 ДЗМ»</v>
      </c>
      <c r="G9772" s="22" t="s">
        <v>55</v>
      </c>
      <c r="H9772" s="22" t="s">
        <v>55</v>
      </c>
      <c r="I9772" s="26">
        <v>43570.731249999997</v>
      </c>
      <c r="J9772" s="23" t="str">
        <f>HYPERLINK("https://www.spark-marketing.ru/Card/Person/84385", "Ложков Александр Анатольевич")</f>
        <v>Ложков Александр Анатольевич</v>
      </c>
      <c r="K9772" s="24" t="s">
        <v>9440</v>
      </c>
      <c r="L9772" s="28" t="s">
        <v>52</v>
      </c>
      <c r="M9772" s="25">
        <v>602389.79</v>
      </c>
      <c r="N9772" s="27">
        <v>0.70538771997545657</v>
      </c>
    </row>
    <row r="9773" spans="1:14" hidden="1" outlineLevel="1" x14ac:dyDescent="0.2">
      <c r="A9773" s="23" t="str">
        <f t="shared" si="453"/>
        <v>ГБУЗ "ГП № 5 ДЗМ"</v>
      </c>
      <c r="B9773" s="24" t="s">
        <v>11225</v>
      </c>
      <c r="C9773" s="25">
        <v>2044686.63</v>
      </c>
      <c r="D9773" s="22" t="s">
        <v>12159</v>
      </c>
      <c r="E9773" s="22" t="s">
        <v>103</v>
      </c>
      <c r="F9773" s="23" t="str">
        <f t="shared" si="454"/>
        <v>Оказание услуг по техническому обслуживанию систем видеонаблюдения в ГБУЗ «ГП №5 ДЗМ»</v>
      </c>
      <c r="G9773" s="22" t="s">
        <v>55</v>
      </c>
      <c r="H9773" s="22" t="s">
        <v>55</v>
      </c>
      <c r="I9773" s="26">
        <v>43570.731249999997</v>
      </c>
      <c r="J9773" s="23" t="str">
        <f>HYPERLINK("https://www.spark-marketing.ru/Card/Person/6436394", "ООО ""421 УНР""")</f>
        <v>ООО "421 УНР"</v>
      </c>
      <c r="K9773" s="24" t="s">
        <v>12164</v>
      </c>
      <c r="L9773" s="28" t="s">
        <v>52</v>
      </c>
      <c r="M9773" s="25">
        <v>1420264.34</v>
      </c>
      <c r="N9773" s="27">
        <v>0.30538776986085148</v>
      </c>
    </row>
    <row r="9774" spans="1:14" hidden="1" outlineLevel="1" x14ac:dyDescent="0.2">
      <c r="A9774" s="23" t="str">
        <f t="shared" si="453"/>
        <v>ГБУЗ "ГП № 5 ДЗМ"</v>
      </c>
      <c r="B9774" s="24" t="s">
        <v>11225</v>
      </c>
      <c r="C9774" s="25">
        <v>2044686.63</v>
      </c>
      <c r="D9774" s="22" t="s">
        <v>12159</v>
      </c>
      <c r="E9774" s="22" t="s">
        <v>103</v>
      </c>
      <c r="F9774" s="23" t="str">
        <f t="shared" si="454"/>
        <v>Оказание услуг по техническому обслуживанию систем видеонаблюдения в ГБУЗ «ГП №5 ДЗМ»</v>
      </c>
      <c r="G9774" s="22" t="s">
        <v>55</v>
      </c>
      <c r="H9774" s="22" t="s">
        <v>55</v>
      </c>
      <c r="I9774" s="26">
        <v>43570.731249999997</v>
      </c>
      <c r="J9774" s="23" t="str">
        <f>HYPERLINK("https://www.spark-marketing.ru/Card/Person/6445825", "Судариков Михаил Геннадьевич")</f>
        <v>Судариков Михаил Геннадьевич</v>
      </c>
      <c r="K9774" s="24" t="s">
        <v>1219</v>
      </c>
      <c r="L9774" s="28" t="s">
        <v>52</v>
      </c>
      <c r="M9774" s="25">
        <v>183452.59</v>
      </c>
      <c r="N9774" s="27">
        <v>0.9102783833432706</v>
      </c>
    </row>
    <row r="9775" spans="1:14" hidden="1" outlineLevel="1" x14ac:dyDescent="0.2">
      <c r="A9775" s="23" t="str">
        <f t="shared" si="453"/>
        <v>ГБУЗ "ГП № 5 ДЗМ"</v>
      </c>
      <c r="B9775" s="24" t="s">
        <v>11225</v>
      </c>
      <c r="C9775" s="25">
        <v>2044686.63</v>
      </c>
      <c r="D9775" s="22" t="s">
        <v>12159</v>
      </c>
      <c r="E9775" s="22" t="s">
        <v>103</v>
      </c>
      <c r="F9775" s="23" t="str">
        <f t="shared" si="454"/>
        <v>Оказание услуг по техническому обслуживанию систем видеонаблюдения в ГБУЗ «ГП №5 ДЗМ»</v>
      </c>
      <c r="G9775" s="22" t="s">
        <v>55</v>
      </c>
      <c r="H9775" s="22" t="s">
        <v>55</v>
      </c>
      <c r="I9775" s="26">
        <v>43570.731249999997</v>
      </c>
      <c r="J9775" s="23" t="str">
        <f>HYPERLINK("https://www.spark-marketing.ru/Card/Person/6511501", "ООО ""ДИСКОНТ-ВИДЕО М""")</f>
        <v>ООО "ДИСКОНТ-ВИДЕО М"</v>
      </c>
      <c r="K9775" s="24" t="s">
        <v>10576</v>
      </c>
      <c r="L9775" s="28" t="s">
        <v>52</v>
      </c>
      <c r="M9775" s="25">
        <v>1185125.42</v>
      </c>
      <c r="N9775" s="27">
        <v>0.42038774909972393</v>
      </c>
    </row>
    <row r="9776" spans="1:14" hidden="1" outlineLevel="1" x14ac:dyDescent="0.2">
      <c r="A9776" s="23" t="str">
        <f t="shared" si="453"/>
        <v>ГБУЗ "ГП № 5 ДЗМ"</v>
      </c>
      <c r="B9776" s="24" t="s">
        <v>11225</v>
      </c>
      <c r="C9776" s="25">
        <v>2044686.63</v>
      </c>
      <c r="D9776" s="22" t="s">
        <v>12159</v>
      </c>
      <c r="E9776" s="22" t="s">
        <v>103</v>
      </c>
      <c r="F9776" s="23" t="str">
        <f t="shared" si="454"/>
        <v>Оказание услуг по техническому обслуживанию систем видеонаблюдения в ГБУЗ «ГП №5 ДЗМ»</v>
      </c>
      <c r="G9776" s="22" t="s">
        <v>55</v>
      </c>
      <c r="H9776" s="22" t="s">
        <v>55</v>
      </c>
      <c r="I9776" s="26">
        <v>43570.731249999997</v>
      </c>
      <c r="J9776" s="23" t="str">
        <f>HYPERLINK("https://www.spark-marketing.ru/Card/Person/5871409", "ООО «ПСП-ТЕЛЕКОМ»")</f>
        <v>ООО «ПСП-ТЕЛЕКОМ»</v>
      </c>
      <c r="K9776" s="24" t="s">
        <v>7147</v>
      </c>
      <c r="L9776" s="28" t="s">
        <v>52</v>
      </c>
      <c r="M9776" s="25">
        <v>347027.47</v>
      </c>
      <c r="N9776" s="27">
        <v>0.8302784079925245</v>
      </c>
    </row>
    <row r="9777" spans="1:14" hidden="1" outlineLevel="1" x14ac:dyDescent="0.2">
      <c r="A9777" s="23" t="str">
        <f t="shared" si="453"/>
        <v>ГБУЗ "ГП № 5 ДЗМ"</v>
      </c>
      <c r="B9777" s="24" t="s">
        <v>11225</v>
      </c>
      <c r="C9777" s="25">
        <v>2044686.63</v>
      </c>
      <c r="D9777" s="22" t="s">
        <v>12159</v>
      </c>
      <c r="E9777" s="22" t="s">
        <v>103</v>
      </c>
      <c r="F9777" s="23" t="str">
        <f t="shared" si="454"/>
        <v>Оказание услуг по техническому обслуживанию систем видеонаблюдения в ГБУЗ «ГП №5 ДЗМ»</v>
      </c>
      <c r="G9777" s="22" t="s">
        <v>55</v>
      </c>
      <c r="H9777" s="22" t="s">
        <v>55</v>
      </c>
      <c r="I9777" s="26">
        <v>43570.731249999997</v>
      </c>
      <c r="J9777" s="23" t="str">
        <f>HYPERLINK("https://www.spark-marketing.ru/Card/Person/5969968", "ООО ""АРТДИЗАЙНПРО""")</f>
        <v>ООО "АРТДИЗАЙНПРО"</v>
      </c>
      <c r="K9777" s="24" t="s">
        <v>8545</v>
      </c>
      <c r="L9777" s="28" t="s">
        <v>52</v>
      </c>
      <c r="M9777" s="25">
        <v>1236242.57</v>
      </c>
      <c r="N9777" s="27">
        <v>0.39538775680261579</v>
      </c>
    </row>
    <row r="9778" spans="1:14" x14ac:dyDescent="0.15">
      <c r="A9778" s="23" t="str">
        <f>HYPERLINK("https://www.spark-marketing.ru/Card/Person/4360647", "АО ""ГАЗПРОМ ГАЗОРАСПРЕДЕЛЕНИЕ ТВЕРЬ""")</f>
        <v>АО "ГАЗПРОМ ГАЗОРАСПРЕДЕЛЕНИЕ ТВЕРЬ"</v>
      </c>
      <c r="B9778" s="24" t="s">
        <v>12165</v>
      </c>
      <c r="C9778" s="25">
        <v>314880</v>
      </c>
      <c r="D9778" s="22" t="s">
        <v>12166</v>
      </c>
      <c r="E9778" s="22" t="s">
        <v>7092</v>
      </c>
      <c r="F9778" s="23" t="str">
        <f>HYPERLINK("https://www.spark-marketing.ru/Card/Lot/69811058", "Оказание услуг по техническому обслуживанию приборов безопасности транспортных средств АО ""Газпром газораспределение Тверь""")</f>
        <v>Оказание услуг по техническому обслуживанию приборов безопасности транспортных средств АО "Газпром газораспределение Тверь"</v>
      </c>
      <c r="G9778" s="22" t="s">
        <v>251</v>
      </c>
      <c r="H9778" s="22" t="s">
        <v>252</v>
      </c>
      <c r="I9778" s="26">
        <v>43570.674837963001</v>
      </c>
      <c r="J9778" s="28" t="s">
        <v>52</v>
      </c>
      <c r="K9778" s="28" t="s">
        <v>52</v>
      </c>
      <c r="L9778" s="28" t="s">
        <v>52</v>
      </c>
      <c r="M9778" s="28" t="s">
        <v>52</v>
      </c>
      <c r="N9778" s="28" t="s">
        <v>52</v>
      </c>
    </row>
    <row r="9779" spans="1:14" x14ac:dyDescent="0.2">
      <c r="A9779" s="23" t="str">
        <f>HYPERLINK("https://www.spark-marketing.ru/Card/Person/75458", "ФГУП ""НАЦРЫБРЕСУРС""")</f>
        <v>ФГУП "НАЦРЫБРЕСУРС"</v>
      </c>
      <c r="B9779" s="24" t="s">
        <v>12167</v>
      </c>
      <c r="C9779" s="25">
        <v>247520.64000000001</v>
      </c>
      <c r="D9779" s="22" t="s">
        <v>12168</v>
      </c>
      <c r="E9779" s="22" t="s">
        <v>144</v>
      </c>
      <c r="F9779" s="23" t="str">
        <f>HYPERLINK("https://www.spark-marketing.ru/Card/Lot/69809374", "об охране объектов подразделениями вневедомственной охраны с помощью пультов централизованного наблюдения")</f>
        <v>об охране объектов подразделениями вневедомственной охраны с помощью пультов централизованного наблюдения</v>
      </c>
      <c r="G9779" s="22" t="s">
        <v>247</v>
      </c>
      <c r="H9779" s="22" t="s">
        <v>247</v>
      </c>
      <c r="I9779" s="26">
        <v>43570.696875000001</v>
      </c>
      <c r="J9779" s="23" t="str">
        <f>HYPERLINK("https://www.spark-marketing.ru/Card/Person/4347210", "ФГКУ ""УВО ВНГ РОССИИ ПО КАЛИНИНГРАДСКОЙ ОБЛАСТИ""")</f>
        <v>ФГКУ "УВО ВНГ РОССИИ ПО КАЛИНИНГРАДСКОЙ ОБЛАСТИ"</v>
      </c>
      <c r="K9779" s="24" t="s">
        <v>12169</v>
      </c>
      <c r="L9779" s="28" t="s">
        <v>52</v>
      </c>
      <c r="M9779" s="25">
        <v>247520.64000000001</v>
      </c>
      <c r="N9779" s="27">
        <v>0</v>
      </c>
    </row>
    <row r="9780" spans="1:14" x14ac:dyDescent="0.15">
      <c r="A9780" s="23" t="str">
        <f t="shared" ref="A9780:A9786" si="455">HYPERLINK("https://www.spark-marketing.ru/Card/Person/35589", "ФКУ ЦИТОВ УФСИН РОССИИ ПО МУРМАНСКОЙ ОБЛАСТИ")</f>
        <v>ФКУ ЦИТОВ УФСИН РОССИИ ПО МУРМАНСКОЙ ОБЛАСТИ</v>
      </c>
      <c r="B9780" s="24" t="s">
        <v>12170</v>
      </c>
      <c r="C9780" s="25">
        <v>119786.67</v>
      </c>
      <c r="D9780" s="22" t="s">
        <v>12171</v>
      </c>
      <c r="E9780" s="22" t="s">
        <v>208</v>
      </c>
      <c r="F9780" s="23" t="str">
        <f t="shared" ref="F9780:F9786" si="456">HYPERLINK("https://www.spark-marketing.ru/Card/Lot/69809913", "Закупка кнопок беспроводной тревожной сигнализации")</f>
        <v>Закупка кнопок беспроводной тревожной сигнализации</v>
      </c>
      <c r="G9780" s="22" t="s">
        <v>190</v>
      </c>
      <c r="H9780" s="22" t="s">
        <v>191</v>
      </c>
      <c r="I9780" s="26">
        <v>43570.690972222197</v>
      </c>
      <c r="J9780" s="28" t="s">
        <v>52</v>
      </c>
      <c r="K9780" s="28" t="s">
        <v>52</v>
      </c>
      <c r="L9780" s="28" t="s">
        <v>52</v>
      </c>
      <c r="M9780" s="28" t="s">
        <v>52</v>
      </c>
      <c r="N9780" s="28" t="s">
        <v>52</v>
      </c>
    </row>
    <row r="9781" spans="1:14" hidden="1" outlineLevel="1" x14ac:dyDescent="0.2">
      <c r="A9781" s="23" t="str">
        <f t="shared" si="455"/>
        <v>ФКУ ЦИТОВ УФСИН РОССИИ ПО МУРМАНСКОЙ ОБЛАСТИ</v>
      </c>
      <c r="B9781" s="24" t="s">
        <v>12170</v>
      </c>
      <c r="C9781" s="25">
        <v>119786.67</v>
      </c>
      <c r="D9781" s="22" t="s">
        <v>12171</v>
      </c>
      <c r="E9781" s="22" t="s">
        <v>208</v>
      </c>
      <c r="F9781" s="23" t="str">
        <f t="shared" si="456"/>
        <v>Закупка кнопок беспроводной тревожной сигнализации</v>
      </c>
      <c r="G9781" s="22" t="s">
        <v>190</v>
      </c>
      <c r="H9781" s="22" t="s">
        <v>191</v>
      </c>
      <c r="I9781" s="26">
        <v>43570.690972222197</v>
      </c>
      <c r="J9781" s="23" t="str">
        <f>HYPERLINK("https://www.spark-marketing.ru/Card/Person/6180885", "ООО ""КОНТРОЛЬ ДОСТУПА""")</f>
        <v>ООО "КОНТРОЛЬ ДОСТУПА"</v>
      </c>
      <c r="K9781" s="24" t="s">
        <v>1799</v>
      </c>
      <c r="L9781" s="28" t="s">
        <v>52</v>
      </c>
      <c r="M9781" s="25">
        <v>98600.44</v>
      </c>
      <c r="N9781" s="27">
        <v>0.17686634080403102</v>
      </c>
    </row>
    <row r="9782" spans="1:14" hidden="1" outlineLevel="1" x14ac:dyDescent="0.2">
      <c r="A9782" s="23" t="str">
        <f t="shared" si="455"/>
        <v>ФКУ ЦИТОВ УФСИН РОССИИ ПО МУРМАНСКОЙ ОБЛАСТИ</v>
      </c>
      <c r="B9782" s="24" t="s">
        <v>12170</v>
      </c>
      <c r="C9782" s="25">
        <v>119786.67</v>
      </c>
      <c r="D9782" s="22" t="s">
        <v>12171</v>
      </c>
      <c r="E9782" s="22" t="s">
        <v>208</v>
      </c>
      <c r="F9782" s="23" t="str">
        <f t="shared" si="456"/>
        <v>Закупка кнопок беспроводной тревожной сигнализации</v>
      </c>
      <c r="G9782" s="22" t="s">
        <v>190</v>
      </c>
      <c r="H9782" s="22" t="s">
        <v>191</v>
      </c>
      <c r="I9782" s="26">
        <v>43570.690972222197</v>
      </c>
      <c r="J9782" s="23" t="str">
        <f>HYPERLINK("https://www.spark-marketing.ru/Card/Person/6342370", "Ванюков Сергей Александрович")</f>
        <v>Ванюков Сергей Александрович</v>
      </c>
      <c r="K9782" s="24" t="s">
        <v>3380</v>
      </c>
      <c r="L9782" s="28" t="s">
        <v>52</v>
      </c>
      <c r="M9782" s="25">
        <v>104590</v>
      </c>
      <c r="N9782" s="27">
        <v>0.12686444994255203</v>
      </c>
    </row>
    <row r="9783" spans="1:14" ht="12.75" hidden="1" outlineLevel="1" x14ac:dyDescent="0.2">
      <c r="A9783" s="23" t="str">
        <f t="shared" si="455"/>
        <v>ФКУ ЦИТОВ УФСИН РОССИИ ПО МУРМАНСКОЙ ОБЛАСТИ</v>
      </c>
      <c r="B9783" s="24" t="s">
        <v>12170</v>
      </c>
      <c r="C9783" s="25">
        <v>119786.67</v>
      </c>
      <c r="D9783" s="22" t="s">
        <v>12171</v>
      </c>
      <c r="E9783" s="22" t="s">
        <v>208</v>
      </c>
      <c r="F9783" s="23" t="str">
        <f t="shared" si="456"/>
        <v>Закупка кнопок беспроводной тревожной сигнализации</v>
      </c>
      <c r="G9783" s="22" t="s">
        <v>190</v>
      </c>
      <c r="H9783" s="22" t="s">
        <v>191</v>
      </c>
      <c r="I9783" s="26">
        <v>43570.690972222197</v>
      </c>
      <c r="J9783" s="23" t="str">
        <f>HYPERLINK("https://www.spark-marketing.ru/Card/Person/6457149", "ООО ""НИКА-СБ""")</f>
        <v>ООО "НИКА-СБ"</v>
      </c>
      <c r="K9783" s="24" t="s">
        <v>1800</v>
      </c>
      <c r="L9783" s="22" t="s">
        <v>10</v>
      </c>
      <c r="M9783" s="25">
        <v>98001.51</v>
      </c>
      <c r="N9783" s="27">
        <v>0.18186631283764712</v>
      </c>
    </row>
    <row r="9784" spans="1:14" hidden="1" outlineLevel="1" x14ac:dyDescent="0.2">
      <c r="A9784" s="23" t="str">
        <f t="shared" si="455"/>
        <v>ФКУ ЦИТОВ УФСИН РОССИИ ПО МУРМАНСКОЙ ОБЛАСТИ</v>
      </c>
      <c r="B9784" s="24" t="s">
        <v>12170</v>
      </c>
      <c r="C9784" s="25">
        <v>119786.67</v>
      </c>
      <c r="D9784" s="22" t="s">
        <v>12171</v>
      </c>
      <c r="E9784" s="22" t="s">
        <v>208</v>
      </c>
      <c r="F9784" s="23" t="str">
        <f t="shared" si="456"/>
        <v>Закупка кнопок беспроводной тревожной сигнализации</v>
      </c>
      <c r="G9784" s="22" t="s">
        <v>190</v>
      </c>
      <c r="H9784" s="22" t="s">
        <v>191</v>
      </c>
      <c r="I9784" s="26">
        <v>43570.690972222197</v>
      </c>
      <c r="J9784" s="23" t="str">
        <f>HYPERLINK("https://www.spark-marketing.ru/Card/Person/211760", "ООО ""ТД ТИНКО""")</f>
        <v>ООО "ТД ТИНКО"</v>
      </c>
      <c r="K9784" s="24" t="s">
        <v>12172</v>
      </c>
      <c r="L9784" s="28" t="s">
        <v>52</v>
      </c>
      <c r="M9784" s="25">
        <v>108802.58</v>
      </c>
      <c r="N9784" s="27">
        <v>9.1697097849034459E-2</v>
      </c>
    </row>
    <row r="9785" spans="1:14" hidden="1" outlineLevel="1" x14ac:dyDescent="0.2">
      <c r="A9785" s="23" t="str">
        <f t="shared" si="455"/>
        <v>ФКУ ЦИТОВ УФСИН РОССИИ ПО МУРМАНСКОЙ ОБЛАСТИ</v>
      </c>
      <c r="B9785" s="24" t="s">
        <v>12170</v>
      </c>
      <c r="C9785" s="25">
        <v>119786.67</v>
      </c>
      <c r="D9785" s="22" t="s">
        <v>12171</v>
      </c>
      <c r="E9785" s="22" t="s">
        <v>208</v>
      </c>
      <c r="F9785" s="23" t="str">
        <f t="shared" si="456"/>
        <v>Закупка кнопок беспроводной тревожной сигнализации</v>
      </c>
      <c r="G9785" s="22" t="s">
        <v>190</v>
      </c>
      <c r="H9785" s="22" t="s">
        <v>191</v>
      </c>
      <c r="I9785" s="26">
        <v>43570.690972222197</v>
      </c>
      <c r="J9785" s="23" t="str">
        <f>HYPERLINK("https://www.spark-marketing.ru/Card/Person/4246206", "ООО ""ДЕАН СБ""")</f>
        <v>ООО "ДЕАН СБ"</v>
      </c>
      <c r="K9785" s="24" t="s">
        <v>3381</v>
      </c>
      <c r="L9785" s="28" t="s">
        <v>52</v>
      </c>
      <c r="M9785" s="25">
        <v>108203.65</v>
      </c>
      <c r="N9785" s="27">
        <v>9.6697069882650546E-2</v>
      </c>
    </row>
    <row r="9786" spans="1:14" hidden="1" outlineLevel="1" x14ac:dyDescent="0.2">
      <c r="A9786" s="23" t="str">
        <f t="shared" si="455"/>
        <v>ФКУ ЦИТОВ УФСИН РОССИИ ПО МУРМАНСКОЙ ОБЛАСТИ</v>
      </c>
      <c r="B9786" s="24" t="s">
        <v>12170</v>
      </c>
      <c r="C9786" s="25">
        <v>119786.67</v>
      </c>
      <c r="D9786" s="22" t="s">
        <v>12171</v>
      </c>
      <c r="E9786" s="22" t="s">
        <v>208</v>
      </c>
      <c r="F9786" s="23" t="str">
        <f t="shared" si="456"/>
        <v>Закупка кнопок беспроводной тревожной сигнализации</v>
      </c>
      <c r="G9786" s="22" t="s">
        <v>190</v>
      </c>
      <c r="H9786" s="22" t="s">
        <v>191</v>
      </c>
      <c r="I9786" s="26">
        <v>43570.690972222197</v>
      </c>
      <c r="J9786" s="23" t="str">
        <f>HYPERLINK("https://www.spark-marketing.ru/Card/Person/6449792", "ООО ""ДЕАНТА ГРУПП""")</f>
        <v>ООО "ДЕАНТА ГРУПП"</v>
      </c>
      <c r="K9786" s="24" t="s">
        <v>12173</v>
      </c>
      <c r="L9786" s="28" t="s">
        <v>52</v>
      </c>
      <c r="M9786" s="25">
        <v>117390.95</v>
      </c>
      <c r="N9786" s="27">
        <v>1.9999888134464378E-2</v>
      </c>
    </row>
    <row r="9787" spans="1:14" x14ac:dyDescent="0.15">
      <c r="A9787" s="23" t="str">
        <f>HYPERLINK("https://www.spark-marketing.ru/Card/Person/13187", "АДМИНИСТРАЦИЯ УСТЬ-ДОНЕЦКОГО ГОРОДСКОГО ПОСЕЛЕНИЯ")</f>
        <v>АДМИНИСТРАЦИЯ УСТЬ-ДОНЕЦКОГО ГОРОДСКОГО ПОСЕЛЕНИЯ</v>
      </c>
      <c r="B9787" s="24" t="s">
        <v>12174</v>
      </c>
      <c r="C9787" s="25">
        <v>99000</v>
      </c>
      <c r="D9787" s="22" t="s">
        <v>12175</v>
      </c>
      <c r="E9787" s="22" t="s">
        <v>3699</v>
      </c>
      <c r="F9787" s="23" t="str">
        <f>HYPERLINK("https://www.spark-marketing.ru/Card/Lot/69804054", "Комплексное техническое обслуживание и сопровождение системы видеонаблюдения")</f>
        <v>Комплексное техническое обслуживание и сопровождение системы видеонаблюдения</v>
      </c>
      <c r="G9787" s="22" t="s">
        <v>402</v>
      </c>
      <c r="H9787" s="22" t="s">
        <v>7542</v>
      </c>
      <c r="I9787" s="26">
        <v>43570.675694444399</v>
      </c>
      <c r="J9787" s="28" t="s">
        <v>52</v>
      </c>
      <c r="K9787" s="28" t="s">
        <v>52</v>
      </c>
      <c r="L9787" s="28" t="s">
        <v>52</v>
      </c>
      <c r="M9787" s="28" t="s">
        <v>52</v>
      </c>
      <c r="N9787" s="28" t="s">
        <v>52</v>
      </c>
    </row>
    <row r="9788" spans="1:14" x14ac:dyDescent="0.15">
      <c r="A9788" s="23" t="str">
        <f>HYPERLINK("https://www.spark-marketing.ru/Card/Person/9362", "СПБ ГБУЗ ""ГОРОДСКАЯ МАРИИНСКАЯ БОЛЬНИЦА""")</f>
        <v>СПБ ГБУЗ "ГОРОДСКАЯ МАРИИНСКАЯ БОЛЬНИЦА"</v>
      </c>
      <c r="B9788" s="24" t="s">
        <v>12176</v>
      </c>
      <c r="C9788" s="25">
        <v>149416.4</v>
      </c>
      <c r="D9788" s="22" t="s">
        <v>12177</v>
      </c>
      <c r="E9788" s="22" t="s">
        <v>68</v>
      </c>
      <c r="F9788" s="23" t="str">
        <f>HYPERLINK("https://www.spark-marketing.ru/Card/Lot/69809763", "Оказание услуг по охране имущества СПб ГБУЗ ""Городская Мариинская больница"", хранящегося в помещениях, оборудованных техническими средствами охранной, тревожной сигнализации, элементами технической укрепленности от несанкционированного проникновени...")</f>
        <v>Оказание услуг по охране имущества СПб ГБУЗ "Городская Мариинская больница", хранящегося в помещениях, оборудованных техническими средствами охранной, тревожной сигнализации, элементами технической укрепленности от несанкционированного проникновени...</v>
      </c>
      <c r="G9788" s="22" t="s">
        <v>89</v>
      </c>
      <c r="H9788" s="22" t="s">
        <v>89</v>
      </c>
      <c r="I9788" s="26">
        <v>43570.654861111099</v>
      </c>
      <c r="J9788" s="28" t="s">
        <v>52</v>
      </c>
      <c r="K9788" s="28" t="s">
        <v>52</v>
      </c>
      <c r="L9788" s="28" t="s">
        <v>52</v>
      </c>
      <c r="M9788" s="28" t="s">
        <v>52</v>
      </c>
      <c r="N9788" s="28" t="s">
        <v>52</v>
      </c>
    </row>
    <row r="9789" spans="1:14" x14ac:dyDescent="0.15">
      <c r="A9789" s="23" t="str">
        <f>HYPERLINK("https://www.spark-marketing.ru/Card/Person/1759344", "МКП ""КАЛИНИНГРАД-ГОРТРАНС""")</f>
        <v>МКП "КАЛИНИНГРАД-ГОРТРАНС"</v>
      </c>
      <c r="B9789" s="24" t="s">
        <v>12178</v>
      </c>
      <c r="C9789" s="25">
        <v>10872576</v>
      </c>
      <c r="D9789" s="22" t="s">
        <v>12179</v>
      </c>
      <c r="E9789" s="22" t="s">
        <v>2577</v>
      </c>
      <c r="F9789" s="23" t="str">
        <f>HYPERLINK("https://www.spark-marketing.ru/Card/Lot/69807498", "Оказание услуг по обеспечению транспортной безопасности и защите транспортных средств МКП «Калининград-ГорТранс» от актов незаконного вмешательства")</f>
        <v>Оказание услуг по обеспечению транспортной безопасности и защите транспортных средств МКП «Калининград-ГорТранс» от актов незаконного вмешательства</v>
      </c>
      <c r="G9789" s="22" t="s">
        <v>247</v>
      </c>
      <c r="H9789" s="22" t="s">
        <v>576</v>
      </c>
      <c r="I9789" s="26">
        <v>43570.650347222203</v>
      </c>
      <c r="J9789" s="28" t="s">
        <v>52</v>
      </c>
      <c r="K9789" s="28" t="s">
        <v>52</v>
      </c>
      <c r="L9789" s="28" t="s">
        <v>52</v>
      </c>
      <c r="M9789" s="28" t="s">
        <v>52</v>
      </c>
      <c r="N9789" s="28" t="s">
        <v>52</v>
      </c>
    </row>
    <row r="9790" spans="1:14" hidden="1" outlineLevel="1" x14ac:dyDescent="0.2">
      <c r="A9790" s="23" t="str">
        <f>HYPERLINK("https://www.spark-marketing.ru/Card/Person/1759344", "МКП ""КАЛИНИНГРАД-ГОРТРАНС""")</f>
        <v>МКП "КАЛИНИНГРАД-ГОРТРАНС"</v>
      </c>
      <c r="B9790" s="24" t="s">
        <v>12178</v>
      </c>
      <c r="C9790" s="28" t="s">
        <v>52</v>
      </c>
      <c r="D9790" s="22" t="s">
        <v>12179</v>
      </c>
      <c r="E9790" s="22" t="s">
        <v>2577</v>
      </c>
      <c r="F9790" s="23" t="str">
        <f>HYPERLINK("https://www.spark-marketing.ru/Card/Lot/69807498", "Оказание услуг по обеспечению транспортной безопасности и защите транспортных средств МКП «Калининград-ГорТранс» от актов незаконного вмешательства")</f>
        <v>Оказание услуг по обеспечению транспортной безопасности и защите транспортных средств МКП «Калининград-ГорТранс» от актов незаконного вмешательства</v>
      </c>
      <c r="G9790" s="22" t="s">
        <v>247</v>
      </c>
      <c r="H9790" s="22" t="s">
        <v>576</v>
      </c>
      <c r="I9790" s="26">
        <v>43570.650347222203</v>
      </c>
      <c r="J9790" s="23" t="str">
        <f>HYPERLINK("https://www.spark-marketing.ru/Card/Person/2038990", "ООО ""СТБ""")</f>
        <v>ООО "СТБ"</v>
      </c>
      <c r="K9790" s="24" t="s">
        <v>2244</v>
      </c>
      <c r="L9790" s="22" t="s">
        <v>10</v>
      </c>
      <c r="M9790" s="25">
        <v>10372576</v>
      </c>
      <c r="N9790" s="27">
        <v>4.5987261896352806E-2</v>
      </c>
    </row>
    <row r="9791" spans="1:14" hidden="1" outlineLevel="1" x14ac:dyDescent="0.2">
      <c r="A9791" s="23" t="str">
        <f>HYPERLINK("https://www.spark-marketing.ru/Card/Person/1759344", "МКП ""КАЛИНИНГРАД-ГОРТРАНС""")</f>
        <v>МКП "КАЛИНИНГРАД-ГОРТРАНС"</v>
      </c>
      <c r="B9791" s="24" t="s">
        <v>12178</v>
      </c>
      <c r="C9791" s="28" t="s">
        <v>52</v>
      </c>
      <c r="D9791" s="22" t="s">
        <v>12179</v>
      </c>
      <c r="E9791" s="22" t="s">
        <v>2577</v>
      </c>
      <c r="F9791" s="23" t="str">
        <f>HYPERLINK("https://www.spark-marketing.ru/Card/Lot/69807498", "Оказание услуг по обеспечению транспортной безопасности и защите транспортных средств МКП «Калининград-ГорТранс» от актов незаконного вмешательства")</f>
        <v>Оказание услуг по обеспечению транспортной безопасности и защите транспортных средств МКП «Калининград-ГорТранс» от актов незаконного вмешательства</v>
      </c>
      <c r="G9791" s="22" t="s">
        <v>247</v>
      </c>
      <c r="H9791" s="22" t="s">
        <v>576</v>
      </c>
      <c r="I9791" s="26">
        <v>43570.650347222203</v>
      </c>
      <c r="J9791" s="23" t="str">
        <f>HYPERLINK("https://www.spark-marketing.ru/Card/Person/6223513", "ООО ""ПТБ ""РУБЕЖ""")</f>
        <v>ООО "ПТБ "РУБЕЖ"</v>
      </c>
      <c r="K9791" s="24" t="s">
        <v>2084</v>
      </c>
      <c r="L9791" s="28" t="s">
        <v>52</v>
      </c>
      <c r="M9791" s="25">
        <v>8643700</v>
      </c>
      <c r="N9791" s="27">
        <v>0.2049998086929905</v>
      </c>
    </row>
    <row r="9792" spans="1:14" x14ac:dyDescent="0.15">
      <c r="A9792" s="23" t="str">
        <f>HYPERLINK("https://www.spark-marketing.ru/Card/Person/120913", "УЖКХ ТИС")</f>
        <v>УЖКХ ТИС</v>
      </c>
      <c r="B9792" s="24" t="s">
        <v>12180</v>
      </c>
      <c r="C9792" s="25">
        <v>6244540</v>
      </c>
      <c r="D9792" s="22" t="s">
        <v>12181</v>
      </c>
      <c r="E9792" s="22" t="s">
        <v>59</v>
      </c>
      <c r="F9792" s="23" t="str">
        <f>HYPERLINK("https://www.spark-marketing.ru/Card/Lot/69795919", "Установка элементов праздничной иллюминации к 70-летию г.Северска")</f>
        <v>Установка элементов праздничной иллюминации к 70-летию г.Северска</v>
      </c>
      <c r="G9792" s="22" t="s">
        <v>150</v>
      </c>
      <c r="H9792" s="22" t="s">
        <v>150</v>
      </c>
      <c r="I9792" s="26">
        <v>43570.640277777798</v>
      </c>
      <c r="J9792" s="28" t="s">
        <v>52</v>
      </c>
      <c r="K9792" s="28" t="s">
        <v>52</v>
      </c>
      <c r="L9792" s="28" t="s">
        <v>52</v>
      </c>
      <c r="M9792" s="28" t="s">
        <v>52</v>
      </c>
      <c r="N9792" s="28" t="s">
        <v>52</v>
      </c>
    </row>
    <row r="9793" spans="1:14" hidden="1" outlineLevel="1" x14ac:dyDescent="0.2">
      <c r="A9793" s="23" t="str">
        <f>HYPERLINK("https://www.spark-marketing.ru/Card/Person/120913", "УЖКХ ТИС")</f>
        <v>УЖКХ ТИС</v>
      </c>
      <c r="B9793" s="24" t="s">
        <v>12180</v>
      </c>
      <c r="C9793" s="25">
        <v>6244540</v>
      </c>
      <c r="D9793" s="22" t="s">
        <v>12181</v>
      </c>
      <c r="E9793" s="22" t="s">
        <v>59</v>
      </c>
      <c r="F9793" s="23" t="str">
        <f>HYPERLINK("https://www.spark-marketing.ru/Card/Lot/69795919", "Установка элементов праздничной иллюминации к 70-летию г.Северска")</f>
        <v>Установка элементов праздничной иллюминации к 70-летию г.Северска</v>
      </c>
      <c r="G9793" s="22" t="s">
        <v>150</v>
      </c>
      <c r="H9793" s="22" t="s">
        <v>150</v>
      </c>
      <c r="I9793" s="26">
        <v>43570.640277777798</v>
      </c>
      <c r="J9793" s="23" t="str">
        <f>HYPERLINK("https://www.spark-marketing.ru/Card/Person/116426", "ООО ""ГОРСЕТИ""")</f>
        <v>ООО "ГОРСЕТИ"</v>
      </c>
      <c r="K9793" s="24" t="s">
        <v>12182</v>
      </c>
      <c r="L9793" s="28" t="s">
        <v>52</v>
      </c>
      <c r="M9793" s="25">
        <v>5557640.5999999996</v>
      </c>
      <c r="N9793" s="27">
        <v>0.11</v>
      </c>
    </row>
    <row r="9794" spans="1:14" ht="12.75" hidden="1" outlineLevel="1" x14ac:dyDescent="0.2">
      <c r="A9794" s="23" t="str">
        <f>HYPERLINK("https://www.spark-marketing.ru/Card/Person/120913", "УЖКХ ТИС")</f>
        <v>УЖКХ ТИС</v>
      </c>
      <c r="B9794" s="24" t="s">
        <v>12180</v>
      </c>
      <c r="C9794" s="25">
        <v>6244540</v>
      </c>
      <c r="D9794" s="22" t="s">
        <v>12181</v>
      </c>
      <c r="E9794" s="22" t="s">
        <v>59</v>
      </c>
      <c r="F9794" s="23" t="str">
        <f>HYPERLINK("https://www.spark-marketing.ru/Card/Lot/69795919", "Установка элементов праздничной иллюминации к 70-летию г.Северска")</f>
        <v>Установка элементов праздничной иллюминации к 70-летию г.Северска</v>
      </c>
      <c r="G9794" s="22" t="s">
        <v>150</v>
      </c>
      <c r="H9794" s="22" t="s">
        <v>150</v>
      </c>
      <c r="I9794" s="26">
        <v>43570.640277777798</v>
      </c>
      <c r="J9794" s="23" t="str">
        <f>HYPERLINK("https://www.spark-marketing.ru/Card/Person/32621", "ООО ""КОМПАНИЯ АМАЛКЕР""")</f>
        <v>ООО "КОМПАНИЯ АМАЛКЕР"</v>
      </c>
      <c r="K9794" s="24" t="s">
        <v>12183</v>
      </c>
      <c r="L9794" s="22" t="s">
        <v>10</v>
      </c>
      <c r="M9794" s="25">
        <v>5526417.9000000004</v>
      </c>
      <c r="N9794" s="27">
        <v>0.115</v>
      </c>
    </row>
    <row r="9795" spans="1:14" hidden="1" outlineLevel="1" x14ac:dyDescent="0.2">
      <c r="A9795" s="23" t="str">
        <f>HYPERLINK("https://www.spark-marketing.ru/Card/Person/120913", "УЖКХ ТИС")</f>
        <v>УЖКХ ТИС</v>
      </c>
      <c r="B9795" s="24" t="s">
        <v>12180</v>
      </c>
      <c r="C9795" s="25">
        <v>6244540</v>
      </c>
      <c r="D9795" s="22" t="s">
        <v>12181</v>
      </c>
      <c r="E9795" s="22" t="s">
        <v>59</v>
      </c>
      <c r="F9795" s="23" t="str">
        <f>HYPERLINK("https://www.spark-marketing.ru/Card/Lot/69795919", "Установка элементов праздничной иллюминации к 70-летию г.Северска")</f>
        <v>Установка элементов праздничной иллюминации к 70-летию г.Северска</v>
      </c>
      <c r="G9795" s="22" t="s">
        <v>150</v>
      </c>
      <c r="H9795" s="22" t="s">
        <v>150</v>
      </c>
      <c r="I9795" s="26">
        <v>43570.640277777798</v>
      </c>
      <c r="J9795" s="23" t="str">
        <f>HYPERLINK("https://www.spark-marketing.ru/Card/Person/181194", "ООО ""ПСК ""ФОРТИС-ГРУПП""")</f>
        <v>ООО "ПСК "ФОРТИС-ГРУПП"</v>
      </c>
      <c r="K9795" s="24" t="s">
        <v>12184</v>
      </c>
      <c r="L9795" s="28" t="s">
        <v>52</v>
      </c>
      <c r="M9795" s="25">
        <v>6025981.0999999996</v>
      </c>
      <c r="N9795" s="27">
        <v>3.5000000000000003E-2</v>
      </c>
    </row>
    <row r="9796" spans="1:14" x14ac:dyDescent="0.15">
      <c r="A9796" s="23" t="str">
        <f>HYPERLINK("https://www.spark-marketing.ru/Card/Person/148594", "МКУ АДМИНИСТРАЦИЯ РП. НОВОБУРЕЙСКИЙ")</f>
        <v>МКУ АДМИНИСТРАЦИЯ РП. НОВОБУРЕЙСКИЙ</v>
      </c>
      <c r="B9796" s="24" t="s">
        <v>9043</v>
      </c>
      <c r="C9796" s="25">
        <v>919967.09</v>
      </c>
      <c r="D9796" s="22" t="s">
        <v>12185</v>
      </c>
      <c r="E9796" s="22" t="s">
        <v>59</v>
      </c>
      <c r="F9796" s="23" t="str">
        <f>HYPERLINK("https://www.spark-marketing.ru/Card/Lot/69786588", "Модернизация пешеходного перехода возле МОБУ СОШ №1 с установкой светофорного объекта (ул. Советская 53)")</f>
        <v>Модернизация пешеходного перехода возле МОБУ СОШ №1 с установкой светофорного объекта (ул. Советская 53)</v>
      </c>
      <c r="G9796" s="22" t="s">
        <v>230</v>
      </c>
      <c r="H9796" s="22" t="s">
        <v>5593</v>
      </c>
      <c r="I9796" s="26">
        <v>43570.6381944444</v>
      </c>
      <c r="J9796" s="28" t="s">
        <v>52</v>
      </c>
      <c r="K9796" s="28" t="s">
        <v>52</v>
      </c>
      <c r="L9796" s="28" t="s">
        <v>52</v>
      </c>
      <c r="M9796" s="28" t="s">
        <v>52</v>
      </c>
      <c r="N9796" s="28" t="s">
        <v>52</v>
      </c>
    </row>
    <row r="9797" spans="1:14" x14ac:dyDescent="0.2">
      <c r="A9797" s="23" t="str">
        <f>HYPERLINK("https://www.spark-marketing.ru/Card/Person/4348034", "МКУ ""ДМХ УМР""")</f>
        <v>МКУ "ДМХ УМР"</v>
      </c>
      <c r="B9797" s="24" t="s">
        <v>12186</v>
      </c>
      <c r="C9797" s="25">
        <v>666000</v>
      </c>
      <c r="D9797" s="22" t="s">
        <v>12187</v>
      </c>
      <c r="E9797" s="22" t="s">
        <v>52</v>
      </c>
      <c r="F9797" s="23" t="str">
        <f>HYPERLINK("https://www.spark-marketing.ru/Card/Lot/69795692", "услуги по охране объекта незавершённого строительства: «Гостиница на биатлонном центре в с. Уват» и прилегающей территории, расположенного по адресу: Тюменская область, Уватский район, с. Уват, ул. Спортивная, д. 15а.")</f>
        <v>услуги по охране объекта незавершённого строительства: «Гостиница на биатлонном центре в с. Уват» и прилегающей территории, расположенного по адресу: Тюменская область, Уватский район, с. Уват, ул. Спортивная, д. 15а.</v>
      </c>
      <c r="G9797" s="22" t="s">
        <v>893</v>
      </c>
      <c r="H9797" s="22" t="s">
        <v>12188</v>
      </c>
      <c r="I9797" s="26">
        <v>43570.583333333299</v>
      </c>
      <c r="J9797" s="23" t="str">
        <f>HYPERLINK("https://www.spark-marketing.ru/Card/Person/4426051", "ООО ""ЧОП ""МЕДВЕДЬ""")</f>
        <v>ООО "ЧОП "МЕДВЕДЬ"</v>
      </c>
      <c r="K9797" s="24" t="s">
        <v>12189</v>
      </c>
      <c r="L9797" s="28" t="s">
        <v>52</v>
      </c>
      <c r="M9797" s="25">
        <v>666000</v>
      </c>
      <c r="N9797" s="27">
        <v>0</v>
      </c>
    </row>
    <row r="9798" spans="1:14" x14ac:dyDescent="0.15">
      <c r="A9798" s="23" t="str">
        <f>HYPERLINK("https://www.spark-marketing.ru/Card/Person/1486332", "СРЕДНЯЯ ШКОЛА № 24, МАОУ ""СОШ № 24""")</f>
        <v>СРЕДНЯЯ ШКОЛА № 24, МАОУ "СОШ № 24"</v>
      </c>
      <c r="B9798" s="24" t="s">
        <v>8452</v>
      </c>
      <c r="C9798" s="25">
        <v>250000</v>
      </c>
      <c r="D9798" s="22" t="s">
        <v>12190</v>
      </c>
      <c r="E9798" s="22" t="s">
        <v>1928</v>
      </c>
      <c r="F9798" s="23" t="str">
        <f>HYPERLINK("https://www.spark-marketing.ru/Card/Lot/69797522", "Установка комплекса охранной сигнализации")</f>
        <v>Установка комплекса охранной сигнализации</v>
      </c>
      <c r="G9798" s="22" t="s">
        <v>72</v>
      </c>
      <c r="H9798" s="22" t="s">
        <v>72</v>
      </c>
      <c r="I9798" s="26">
        <v>43570.602812500001</v>
      </c>
      <c r="J9798" s="28" t="s">
        <v>52</v>
      </c>
      <c r="K9798" s="28" t="s">
        <v>52</v>
      </c>
      <c r="L9798" s="28" t="s">
        <v>52</v>
      </c>
      <c r="M9798" s="28" t="s">
        <v>52</v>
      </c>
      <c r="N9798" s="28" t="s">
        <v>52</v>
      </c>
    </row>
    <row r="9799" spans="1:14" hidden="1" outlineLevel="1" x14ac:dyDescent="0.2">
      <c r="A9799" s="23" t="str">
        <f>HYPERLINK("https://www.spark-marketing.ru/Card/Person/1486332", "СРЕДНЯЯ ШКОЛА № 24, МАОУ ""СОШ № 24""")</f>
        <v>СРЕДНЯЯ ШКОЛА № 24, МАОУ "СОШ № 24"</v>
      </c>
      <c r="B9799" s="24" t="s">
        <v>8452</v>
      </c>
      <c r="C9799" s="28" t="s">
        <v>52</v>
      </c>
      <c r="D9799" s="22" t="s">
        <v>12190</v>
      </c>
      <c r="E9799" s="22" t="s">
        <v>1928</v>
      </c>
      <c r="F9799" s="23" t="str">
        <f>HYPERLINK("https://www.spark-marketing.ru/Card/Lot/69797522", "Установка комплекса охранной сигнализации")</f>
        <v>Установка комплекса охранной сигнализации</v>
      </c>
      <c r="G9799" s="22" t="s">
        <v>72</v>
      </c>
      <c r="H9799" s="22" t="s">
        <v>72</v>
      </c>
      <c r="I9799" s="26">
        <v>43570.602812500001</v>
      </c>
      <c r="J9799" s="23" t="str">
        <f>HYPERLINK("https://www.spark-marketing.ru/Card/Person/50495", "ООО ""МСП БИЗНЕС МИР""")</f>
        <v>ООО "МСП БИЗНЕС МИР"</v>
      </c>
      <c r="K9799" s="24" t="s">
        <v>6602</v>
      </c>
      <c r="L9799" s="22" t="s">
        <v>10</v>
      </c>
      <c r="M9799" s="25">
        <v>180000</v>
      </c>
      <c r="N9799" s="27">
        <v>0.28000000000000003</v>
      </c>
    </row>
    <row r="9800" spans="1:14" hidden="1" outlineLevel="1" x14ac:dyDescent="0.2">
      <c r="A9800" s="23" t="str">
        <f>HYPERLINK("https://www.spark-marketing.ru/Card/Person/1486332", "СРЕДНЯЯ ШКОЛА № 24, МАОУ ""СОШ № 24""")</f>
        <v>СРЕДНЯЯ ШКОЛА № 24, МАОУ "СОШ № 24"</v>
      </c>
      <c r="B9800" s="24" t="s">
        <v>8452</v>
      </c>
      <c r="C9800" s="28" t="s">
        <v>52</v>
      </c>
      <c r="D9800" s="22" t="s">
        <v>12190</v>
      </c>
      <c r="E9800" s="22" t="s">
        <v>1928</v>
      </c>
      <c r="F9800" s="23" t="str">
        <f>HYPERLINK("https://www.spark-marketing.ru/Card/Lot/69797522", "Установка комплекса охранной сигнализации")</f>
        <v>Установка комплекса охранной сигнализации</v>
      </c>
      <c r="G9800" s="22" t="s">
        <v>72</v>
      </c>
      <c r="H9800" s="22" t="s">
        <v>72</v>
      </c>
      <c r="I9800" s="26">
        <v>43570.602812500001</v>
      </c>
      <c r="J9800" s="23" t="str">
        <f>HYPERLINK("https://www.spark-marketing.ru/Card/Person/847210", "ООО ""ЯШМА""")</f>
        <v>ООО "ЯШМА"</v>
      </c>
      <c r="K9800" s="24" t="s">
        <v>12191</v>
      </c>
      <c r="L9800" s="28" t="s">
        <v>52</v>
      </c>
      <c r="M9800" s="25">
        <v>200000</v>
      </c>
      <c r="N9800" s="27">
        <v>0.2</v>
      </c>
    </row>
    <row r="9801" spans="1:14" hidden="1" outlineLevel="1" x14ac:dyDescent="0.2">
      <c r="A9801" s="23" t="str">
        <f>HYPERLINK("https://www.spark-marketing.ru/Card/Person/1486332", "СРЕДНЯЯ ШКОЛА № 24, МАОУ ""СОШ № 24""")</f>
        <v>СРЕДНЯЯ ШКОЛА № 24, МАОУ "СОШ № 24"</v>
      </c>
      <c r="B9801" s="24" t="s">
        <v>8452</v>
      </c>
      <c r="C9801" s="28" t="s">
        <v>52</v>
      </c>
      <c r="D9801" s="22" t="s">
        <v>12190</v>
      </c>
      <c r="E9801" s="22" t="s">
        <v>1928</v>
      </c>
      <c r="F9801" s="23" t="str">
        <f>HYPERLINK("https://www.spark-marketing.ru/Card/Lot/69797522", "Установка комплекса охранной сигнализации")</f>
        <v>Установка комплекса охранной сигнализации</v>
      </c>
      <c r="G9801" s="22" t="s">
        <v>72</v>
      </c>
      <c r="H9801" s="22" t="s">
        <v>72</v>
      </c>
      <c r="I9801" s="26">
        <v>43570.602812500001</v>
      </c>
      <c r="J9801" s="23" t="str">
        <f>HYPERLINK("https://www.spark-marketing.ru/Card/Person/74083", "ООО ""МСК ""ФОТОН""")</f>
        <v>ООО "МСК "ФОТОН"</v>
      </c>
      <c r="K9801" s="24" t="s">
        <v>8792</v>
      </c>
      <c r="L9801" s="28" t="s">
        <v>52</v>
      </c>
      <c r="M9801" s="25">
        <v>234000</v>
      </c>
      <c r="N9801" s="27">
        <v>6.4000000000000001E-2</v>
      </c>
    </row>
    <row r="9802" spans="1:14" hidden="1" outlineLevel="1" x14ac:dyDescent="0.2">
      <c r="A9802" s="23" t="str">
        <f>HYPERLINK("https://www.spark-marketing.ru/Card/Person/1486332", "СРЕДНЯЯ ШКОЛА № 24, МАОУ ""СОШ № 24""")</f>
        <v>СРЕДНЯЯ ШКОЛА № 24, МАОУ "СОШ № 24"</v>
      </c>
      <c r="B9802" s="24" t="s">
        <v>8452</v>
      </c>
      <c r="C9802" s="28" t="s">
        <v>52</v>
      </c>
      <c r="D9802" s="22" t="s">
        <v>12190</v>
      </c>
      <c r="E9802" s="22" t="s">
        <v>1928</v>
      </c>
      <c r="F9802" s="23" t="str">
        <f>HYPERLINK("https://www.spark-marketing.ru/Card/Lot/69797522", "Установка комплекса охранной сигнализации")</f>
        <v>Установка комплекса охранной сигнализации</v>
      </c>
      <c r="G9802" s="22" t="s">
        <v>72</v>
      </c>
      <c r="H9802" s="22" t="s">
        <v>72</v>
      </c>
      <c r="I9802" s="26">
        <v>43570.602812500001</v>
      </c>
      <c r="J9802" s="23" t="str">
        <f>HYPERLINK("https://www.spark-marketing.ru/Card/Person/4420442", "ООО ЧОП ""КОБАЛЬТ УРАЛ""")</f>
        <v>ООО ЧОП "КОБАЛЬТ УРАЛ"</v>
      </c>
      <c r="K9802" s="24" t="s">
        <v>12192</v>
      </c>
      <c r="L9802" s="28" t="s">
        <v>52</v>
      </c>
      <c r="M9802" s="25">
        <v>250000</v>
      </c>
      <c r="N9802" s="27">
        <v>0</v>
      </c>
    </row>
    <row r="9803" spans="1:14" x14ac:dyDescent="0.15">
      <c r="A9803" s="23" t="str">
        <f>HYPERLINK("https://www.spark-marketing.ru/Card/Person/996280", "МБОУ ЦППМС ""МЫТИЩИНСКИЙ""")</f>
        <v>МБОУ ЦППМС "МЫТИЩИНСКИЙ"</v>
      </c>
      <c r="B9803" s="24" t="s">
        <v>12193</v>
      </c>
      <c r="C9803" s="25">
        <v>27000</v>
      </c>
      <c r="D9803" s="22" t="s">
        <v>12194</v>
      </c>
      <c r="E9803" s="22" t="s">
        <v>294</v>
      </c>
      <c r="F9803" s="23" t="str">
        <f>HYPERLINK("https://www.spark-marketing.ru/Card/Lot/69801509", "Услуги по техническому обслуживанию видеосистемы")</f>
        <v>Услуги по техническому обслуживанию видеосистемы</v>
      </c>
      <c r="G9803" s="22" t="s">
        <v>50</v>
      </c>
      <c r="H9803" s="22" t="s">
        <v>2088</v>
      </c>
      <c r="I9803" s="26">
        <v>43570.596770833297</v>
      </c>
      <c r="J9803" s="28" t="s">
        <v>52</v>
      </c>
      <c r="K9803" s="28" t="s">
        <v>52</v>
      </c>
      <c r="L9803" s="28" t="s">
        <v>52</v>
      </c>
      <c r="M9803" s="28" t="s">
        <v>52</v>
      </c>
      <c r="N9803" s="28" t="s">
        <v>52</v>
      </c>
    </row>
    <row r="9804" spans="1:14" x14ac:dyDescent="0.15">
      <c r="A9804" s="23" t="str">
        <f>HYPERLINK("https://www.spark-marketing.ru/Card/Person/1761832", "ОАО ""РЫНОЧНЫЙ КОМПЛЕКС ""ЦАРИЦЫНСКИЙ""")</f>
        <v>ОАО "РЫНОЧНЫЙ КОМПЛЕКС "ЦАРИЦЫНСКИЙ"</v>
      </c>
      <c r="B9804" s="24" t="s">
        <v>613</v>
      </c>
      <c r="C9804" s="25">
        <v>299916</v>
      </c>
      <c r="D9804" s="22" t="s">
        <v>12195</v>
      </c>
      <c r="E9804" s="22" t="s">
        <v>615</v>
      </c>
      <c r="F9804" s="23" t="str">
        <f>HYPERLINK("https://www.spark-marketing.ru/Card/Lot/69801978", "оказание услуг по охране объекта")</f>
        <v>оказание услуг по охране объекта</v>
      </c>
      <c r="G9804" s="22" t="s">
        <v>55</v>
      </c>
      <c r="H9804" s="22" t="s">
        <v>55</v>
      </c>
      <c r="I9804" s="26">
        <v>43570.614247685196</v>
      </c>
      <c r="J9804" s="28" t="s">
        <v>52</v>
      </c>
      <c r="K9804" s="28" t="s">
        <v>52</v>
      </c>
      <c r="L9804" s="28" t="s">
        <v>52</v>
      </c>
      <c r="M9804" s="28" t="s">
        <v>52</v>
      </c>
      <c r="N9804" s="28" t="s">
        <v>52</v>
      </c>
    </row>
    <row r="9805" spans="1:14" x14ac:dyDescent="0.15">
      <c r="A9805" s="23" t="str">
        <f>HYPERLINK("https://www.spark-marketing.ru/Card/Person/145073", "УПРАВЛЕНИЕ ДЕЛАМИ")</f>
        <v>УПРАВЛЕНИЕ ДЕЛАМИ</v>
      </c>
      <c r="B9805" s="24" t="s">
        <v>6462</v>
      </c>
      <c r="C9805" s="25">
        <v>1630000</v>
      </c>
      <c r="D9805" s="22" t="s">
        <v>12196</v>
      </c>
      <c r="E9805" s="22" t="s">
        <v>3770</v>
      </c>
      <c r="F9805" s="23" t="str">
        <f>HYPERLINK("https://www.spark-marketing.ru/Card/Lot/69781373", "Установка системы видеонаблюдения на территории Елизовского городского поселения")</f>
        <v>Установка системы видеонаблюдения на территории Елизовского городского поселения</v>
      </c>
      <c r="G9805" s="22" t="s">
        <v>1141</v>
      </c>
      <c r="H9805" s="22" t="s">
        <v>1141</v>
      </c>
      <c r="I9805" s="26">
        <v>43570.576388888898</v>
      </c>
      <c r="J9805" s="23" t="str">
        <f>HYPERLINK("https://www.spark-marketing.ru/Card/Person/10991", "ПАО ""РОСТЕЛЕКОМ""")</f>
        <v>ПАО "РОСТЕЛЕКОМ"</v>
      </c>
      <c r="K9805" s="24" t="s">
        <v>607</v>
      </c>
      <c r="L9805" s="22" t="s">
        <v>10</v>
      </c>
      <c r="M9805" s="28" t="s">
        <v>52</v>
      </c>
      <c r="N9805" s="28" t="s">
        <v>52</v>
      </c>
    </row>
    <row r="9806" spans="1:14" x14ac:dyDescent="0.15">
      <c r="A9806" s="23" t="str">
        <f>HYPERLINK("https://www.spark-marketing.ru/Card/Person/1769668", "ГАПОУ АО ""СТСИ""")</f>
        <v>ГАПОУ АО "СТСИ"</v>
      </c>
      <c r="B9806" s="24" t="s">
        <v>12197</v>
      </c>
      <c r="C9806" s="25">
        <v>175693.78</v>
      </c>
      <c r="D9806" s="22" t="s">
        <v>12198</v>
      </c>
      <c r="E9806" s="22" t="s">
        <v>609</v>
      </c>
      <c r="F9806" s="23" t="str">
        <f>HYPERLINK("https://www.spark-marketing.ru/Card/Lot/69797890", "Услуга по установке видеонаблюдения")</f>
        <v>Услуга по установке видеонаблюдения</v>
      </c>
      <c r="G9806" s="22" t="s">
        <v>674</v>
      </c>
      <c r="H9806" s="22" t="s">
        <v>674</v>
      </c>
      <c r="I9806" s="26">
        <v>43570.510995370401</v>
      </c>
      <c r="J9806" s="28" t="s">
        <v>52</v>
      </c>
      <c r="K9806" s="28" t="s">
        <v>52</v>
      </c>
      <c r="L9806" s="28" t="s">
        <v>52</v>
      </c>
      <c r="M9806" s="28" t="s">
        <v>52</v>
      </c>
      <c r="N9806" s="28" t="s">
        <v>52</v>
      </c>
    </row>
    <row r="9807" spans="1:14" x14ac:dyDescent="0.15">
      <c r="A9807" s="23" t="s">
        <v>121</v>
      </c>
      <c r="B9807" s="28" t="s">
        <v>52</v>
      </c>
      <c r="C9807" s="25">
        <v>2549891.2000000002</v>
      </c>
      <c r="D9807" s="22" t="s">
        <v>12199</v>
      </c>
      <c r="E9807" s="22" t="s">
        <v>103</v>
      </c>
      <c r="F9807" s="23" t="str">
        <f t="shared" ref="F9807:F9851" si="457">HYPERLINK("https://www.spark-marketing.ru/Card/Lot/69800712", "Оказание услуг по обслуживанию системы видеонаблюдения")</f>
        <v>Оказание услуг по обслуживанию системы видеонаблюдения</v>
      </c>
      <c r="G9807" s="22" t="s">
        <v>52</v>
      </c>
      <c r="H9807" s="22" t="s">
        <v>52</v>
      </c>
      <c r="I9807" s="26">
        <v>43570.536111111098</v>
      </c>
      <c r="J9807" s="28" t="s">
        <v>52</v>
      </c>
      <c r="K9807" s="28" t="s">
        <v>52</v>
      </c>
      <c r="L9807" s="28" t="s">
        <v>52</v>
      </c>
      <c r="M9807" s="28" t="s">
        <v>52</v>
      </c>
      <c r="N9807" s="28" t="s">
        <v>52</v>
      </c>
    </row>
    <row r="9808" spans="1:14" hidden="1" outlineLevel="1" x14ac:dyDescent="0.15">
      <c r="A9808" s="23" t="str">
        <f>HYPERLINK("https://www.spark-marketing.ru/Card/Person/59627", "МБДОУ ДЕТСКИЙ САД №20 ""ЗОЛОТОЙ КЛЮЧИК""")</f>
        <v>МБДОУ ДЕТСКИЙ САД №20 "ЗОЛОТОЙ КЛЮЧИК"</v>
      </c>
      <c r="B9808" s="24" t="s">
        <v>12200</v>
      </c>
      <c r="C9808" s="25">
        <v>67102.399999999994</v>
      </c>
      <c r="D9808" s="22" t="s">
        <v>12199</v>
      </c>
      <c r="E9808" s="22" t="s">
        <v>103</v>
      </c>
      <c r="F9808" s="23" t="str">
        <f t="shared" si="457"/>
        <v>Оказание услуг по обслуживанию системы видеонаблюдения</v>
      </c>
      <c r="G9808" s="22" t="s">
        <v>50</v>
      </c>
      <c r="H9808" s="22" t="s">
        <v>76</v>
      </c>
      <c r="I9808" s="26">
        <v>43570.536111111098</v>
      </c>
      <c r="J9808" s="28" t="s">
        <v>52</v>
      </c>
      <c r="K9808" s="28" t="s">
        <v>52</v>
      </c>
      <c r="L9808" s="28" t="s">
        <v>52</v>
      </c>
      <c r="M9808" s="28" t="s">
        <v>52</v>
      </c>
      <c r="N9808" s="28" t="s">
        <v>52</v>
      </c>
    </row>
    <row r="9809" spans="1:14" hidden="1" outlineLevel="1" x14ac:dyDescent="0.15">
      <c r="A9809" s="23" t="str">
        <f>HYPERLINK("https://www.spark-marketing.ru/Card/Person/59651", "МБДОУ ДЕТСКИЙ САД №17 ""ТОПОЛЁК""")</f>
        <v>МБДОУ ДЕТСКИЙ САД №17 "ТОПОЛЁК"</v>
      </c>
      <c r="B9809" s="24" t="s">
        <v>12201</v>
      </c>
      <c r="C9809" s="25">
        <v>67102.399999999994</v>
      </c>
      <c r="D9809" s="22" t="s">
        <v>12199</v>
      </c>
      <c r="E9809" s="22" t="s">
        <v>103</v>
      </c>
      <c r="F9809" s="23" t="str">
        <f t="shared" si="457"/>
        <v>Оказание услуг по обслуживанию системы видеонаблюдения</v>
      </c>
      <c r="G9809" s="22" t="s">
        <v>50</v>
      </c>
      <c r="H9809" s="22" t="s">
        <v>76</v>
      </c>
      <c r="I9809" s="26">
        <v>43570.536111111098</v>
      </c>
      <c r="J9809" s="28" t="s">
        <v>52</v>
      </c>
      <c r="K9809" s="28" t="s">
        <v>52</v>
      </c>
      <c r="L9809" s="28" t="s">
        <v>52</v>
      </c>
      <c r="M9809" s="28" t="s">
        <v>52</v>
      </c>
      <c r="N9809" s="28" t="s">
        <v>52</v>
      </c>
    </row>
    <row r="9810" spans="1:14" hidden="1" outlineLevel="1" x14ac:dyDescent="0.15">
      <c r="A9810" s="23" t="str">
        <f>HYPERLINK("https://www.spark-marketing.ru/Card/Person/59782", "МБДОУ ДЕТСКИЙ САД №23 ""РОМАШКА""")</f>
        <v>МБДОУ ДЕТСКИЙ САД №23 "РОМАШКА"</v>
      </c>
      <c r="B9810" s="24" t="s">
        <v>12202</v>
      </c>
      <c r="C9810" s="25">
        <v>67102.399999999994</v>
      </c>
      <c r="D9810" s="22" t="s">
        <v>12199</v>
      </c>
      <c r="E9810" s="22" t="s">
        <v>103</v>
      </c>
      <c r="F9810" s="23" t="str">
        <f t="shared" si="457"/>
        <v>Оказание услуг по обслуживанию системы видеонаблюдения</v>
      </c>
      <c r="G9810" s="22" t="s">
        <v>50</v>
      </c>
      <c r="H9810" s="22" t="s">
        <v>76</v>
      </c>
      <c r="I9810" s="26">
        <v>43570.536111111098</v>
      </c>
      <c r="J9810" s="28" t="s">
        <v>52</v>
      </c>
      <c r="K9810" s="28" t="s">
        <v>52</v>
      </c>
      <c r="L9810" s="28" t="s">
        <v>52</v>
      </c>
      <c r="M9810" s="28" t="s">
        <v>52</v>
      </c>
      <c r="N9810" s="28" t="s">
        <v>52</v>
      </c>
    </row>
    <row r="9811" spans="1:14" hidden="1" outlineLevel="1" x14ac:dyDescent="0.15">
      <c r="A9811" s="23" t="str">
        <f>HYPERLINK("https://www.spark-marketing.ru/Card/Person/60160", "МБДОУ ДЕТСКИЙ САД №3 ""СНЕЖИНКА""")</f>
        <v>МБДОУ ДЕТСКИЙ САД №3 "СНЕЖИНКА"</v>
      </c>
      <c r="B9811" s="24" t="s">
        <v>12203</v>
      </c>
      <c r="C9811" s="25">
        <v>134204.79999999999</v>
      </c>
      <c r="D9811" s="22" t="s">
        <v>12199</v>
      </c>
      <c r="E9811" s="22" t="s">
        <v>103</v>
      </c>
      <c r="F9811" s="23" t="str">
        <f t="shared" si="457"/>
        <v>Оказание услуг по обслуживанию системы видеонаблюдения</v>
      </c>
      <c r="G9811" s="22" t="s">
        <v>50</v>
      </c>
      <c r="H9811" s="22" t="s">
        <v>76</v>
      </c>
      <c r="I9811" s="26">
        <v>43570.536111111098</v>
      </c>
      <c r="J9811" s="28" t="s">
        <v>52</v>
      </c>
      <c r="K9811" s="28" t="s">
        <v>52</v>
      </c>
      <c r="L9811" s="28" t="s">
        <v>52</v>
      </c>
      <c r="M9811" s="28" t="s">
        <v>52</v>
      </c>
      <c r="N9811" s="28" t="s">
        <v>52</v>
      </c>
    </row>
    <row r="9812" spans="1:14" hidden="1" outlineLevel="1" x14ac:dyDescent="0.15">
      <c r="A9812" s="23" t="str">
        <f>HYPERLINK("https://www.spark-marketing.ru/Card/Person/60164", "МБДОУ ДЕТСКИЙ САД №4 ""ЗОЛОТАЯ РЫБКА""")</f>
        <v>МБДОУ ДЕТСКИЙ САД №4 "ЗОЛОТАЯ РЫБКА"</v>
      </c>
      <c r="B9812" s="24" t="s">
        <v>12204</v>
      </c>
      <c r="C9812" s="25">
        <v>67102.399999999994</v>
      </c>
      <c r="D9812" s="22" t="s">
        <v>12199</v>
      </c>
      <c r="E9812" s="22" t="s">
        <v>103</v>
      </c>
      <c r="F9812" s="23" t="str">
        <f t="shared" si="457"/>
        <v>Оказание услуг по обслуживанию системы видеонаблюдения</v>
      </c>
      <c r="G9812" s="22" t="s">
        <v>50</v>
      </c>
      <c r="H9812" s="22" t="s">
        <v>76</v>
      </c>
      <c r="I9812" s="26">
        <v>43570.536111111098</v>
      </c>
      <c r="J9812" s="28" t="s">
        <v>52</v>
      </c>
      <c r="K9812" s="28" t="s">
        <v>52</v>
      </c>
      <c r="L9812" s="28" t="s">
        <v>52</v>
      </c>
      <c r="M9812" s="28" t="s">
        <v>52</v>
      </c>
      <c r="N9812" s="28" t="s">
        <v>52</v>
      </c>
    </row>
    <row r="9813" spans="1:14" hidden="1" outlineLevel="1" x14ac:dyDescent="0.15">
      <c r="A9813" s="23" t="str">
        <f>HYPERLINK("https://www.spark-marketing.ru/Card/Person/60183", "МБДОУ ДЕТСКИЙ САД №12 ""ВАСИЛЁК""")</f>
        <v>МБДОУ ДЕТСКИЙ САД №12 "ВАСИЛЁК"</v>
      </c>
      <c r="B9813" s="24" t="s">
        <v>12205</v>
      </c>
      <c r="C9813" s="25">
        <v>67102.399999999994</v>
      </c>
      <c r="D9813" s="22" t="s">
        <v>12199</v>
      </c>
      <c r="E9813" s="22" t="s">
        <v>103</v>
      </c>
      <c r="F9813" s="23" t="str">
        <f t="shared" si="457"/>
        <v>Оказание услуг по обслуживанию системы видеонаблюдения</v>
      </c>
      <c r="G9813" s="22" t="s">
        <v>50</v>
      </c>
      <c r="H9813" s="22" t="s">
        <v>76</v>
      </c>
      <c r="I9813" s="26">
        <v>43570.536111111098</v>
      </c>
      <c r="J9813" s="28" t="s">
        <v>52</v>
      </c>
      <c r="K9813" s="28" t="s">
        <v>52</v>
      </c>
      <c r="L9813" s="28" t="s">
        <v>52</v>
      </c>
      <c r="M9813" s="28" t="s">
        <v>52</v>
      </c>
      <c r="N9813" s="28" t="s">
        <v>52</v>
      </c>
    </row>
    <row r="9814" spans="1:14" hidden="1" outlineLevel="1" x14ac:dyDescent="0.15">
      <c r="A9814" s="23" t="str">
        <f>HYPERLINK("https://www.spark-marketing.ru/Card/Person/60408", "МБДОУ ДЕТСКИЙ САД №14 ""ПОДСНЕЖНИК""")</f>
        <v>МБДОУ ДЕТСКИЙ САД №14 "ПОДСНЕЖНИК"</v>
      </c>
      <c r="B9814" s="24" t="s">
        <v>12206</v>
      </c>
      <c r="C9814" s="25">
        <v>67102.399999999994</v>
      </c>
      <c r="D9814" s="22" t="s">
        <v>12199</v>
      </c>
      <c r="E9814" s="22" t="s">
        <v>103</v>
      </c>
      <c r="F9814" s="23" t="str">
        <f t="shared" si="457"/>
        <v>Оказание услуг по обслуживанию системы видеонаблюдения</v>
      </c>
      <c r="G9814" s="22" t="s">
        <v>50</v>
      </c>
      <c r="H9814" s="22" t="s">
        <v>76</v>
      </c>
      <c r="I9814" s="26">
        <v>43570.536111111098</v>
      </c>
      <c r="J9814" s="28" t="s">
        <v>52</v>
      </c>
      <c r="K9814" s="28" t="s">
        <v>52</v>
      </c>
      <c r="L9814" s="28" t="s">
        <v>52</v>
      </c>
      <c r="M9814" s="28" t="s">
        <v>52</v>
      </c>
      <c r="N9814" s="28" t="s">
        <v>52</v>
      </c>
    </row>
    <row r="9815" spans="1:14" hidden="1" outlineLevel="1" x14ac:dyDescent="0.15">
      <c r="A9815" s="23" t="str">
        <f>HYPERLINK("https://www.spark-marketing.ru/Card/Person/60412", "МБДОУ ДЕТСКИЙ САД № 16 ""КОЛОСОК""")</f>
        <v>МБДОУ ДЕТСКИЙ САД № 16 "КОЛОСОК"</v>
      </c>
      <c r="B9815" s="24" t="s">
        <v>12207</v>
      </c>
      <c r="C9815" s="25">
        <v>134204.79999999999</v>
      </c>
      <c r="D9815" s="22" t="s">
        <v>12199</v>
      </c>
      <c r="E9815" s="22" t="s">
        <v>103</v>
      </c>
      <c r="F9815" s="23" t="str">
        <f t="shared" si="457"/>
        <v>Оказание услуг по обслуживанию системы видеонаблюдения</v>
      </c>
      <c r="G9815" s="22" t="s">
        <v>50</v>
      </c>
      <c r="H9815" s="22" t="s">
        <v>76</v>
      </c>
      <c r="I9815" s="26">
        <v>43570.536111111098</v>
      </c>
      <c r="J9815" s="28" t="s">
        <v>52</v>
      </c>
      <c r="K9815" s="28" t="s">
        <v>52</v>
      </c>
      <c r="L9815" s="28" t="s">
        <v>52</v>
      </c>
      <c r="M9815" s="28" t="s">
        <v>52</v>
      </c>
      <c r="N9815" s="28" t="s">
        <v>52</v>
      </c>
    </row>
    <row r="9816" spans="1:14" hidden="1" outlineLevel="1" x14ac:dyDescent="0.15">
      <c r="A9816" s="23" t="str">
        <f>HYPERLINK("https://www.spark-marketing.ru/Card/Person/61270", "МБДОУ ДЕТСКИЙ САД №68 ""ВОРОБУШЕК""")</f>
        <v>МБДОУ ДЕТСКИЙ САД №68 "ВОРОБУШЕК"</v>
      </c>
      <c r="B9816" s="24" t="s">
        <v>12208</v>
      </c>
      <c r="C9816" s="25">
        <v>67102.399999999994</v>
      </c>
      <c r="D9816" s="22" t="s">
        <v>12199</v>
      </c>
      <c r="E9816" s="22" t="s">
        <v>103</v>
      </c>
      <c r="F9816" s="23" t="str">
        <f t="shared" si="457"/>
        <v>Оказание услуг по обслуживанию системы видеонаблюдения</v>
      </c>
      <c r="G9816" s="22" t="s">
        <v>50</v>
      </c>
      <c r="H9816" s="22" t="s">
        <v>76</v>
      </c>
      <c r="I9816" s="26">
        <v>43570.536111111098</v>
      </c>
      <c r="J9816" s="28" t="s">
        <v>52</v>
      </c>
      <c r="K9816" s="28" t="s">
        <v>52</v>
      </c>
      <c r="L9816" s="28" t="s">
        <v>52</v>
      </c>
      <c r="M9816" s="28" t="s">
        <v>52</v>
      </c>
      <c r="N9816" s="28" t="s">
        <v>52</v>
      </c>
    </row>
    <row r="9817" spans="1:14" hidden="1" outlineLevel="1" x14ac:dyDescent="0.15">
      <c r="A9817" s="23" t="str">
        <f>HYPERLINK("https://www.spark-marketing.ru/Card/Person/61438", "МБДОУ ДЕТСКИЙ САД №60 ""ОГОНЁК""")</f>
        <v>МБДОУ ДЕТСКИЙ САД №60 "ОГОНЁК"</v>
      </c>
      <c r="B9817" s="24" t="s">
        <v>12209</v>
      </c>
      <c r="C9817" s="25">
        <v>67102.399999999994</v>
      </c>
      <c r="D9817" s="22" t="s">
        <v>12199</v>
      </c>
      <c r="E9817" s="22" t="s">
        <v>103</v>
      </c>
      <c r="F9817" s="23" t="str">
        <f t="shared" si="457"/>
        <v>Оказание услуг по обслуживанию системы видеонаблюдения</v>
      </c>
      <c r="G9817" s="22" t="s">
        <v>50</v>
      </c>
      <c r="H9817" s="22" t="s">
        <v>76</v>
      </c>
      <c r="I9817" s="26">
        <v>43570.536111111098</v>
      </c>
      <c r="J9817" s="28" t="s">
        <v>52</v>
      </c>
      <c r="K9817" s="28" t="s">
        <v>52</v>
      </c>
      <c r="L9817" s="28" t="s">
        <v>52</v>
      </c>
      <c r="M9817" s="28" t="s">
        <v>52</v>
      </c>
      <c r="N9817" s="28" t="s">
        <v>52</v>
      </c>
    </row>
    <row r="9818" spans="1:14" hidden="1" outlineLevel="1" x14ac:dyDescent="0.15">
      <c r="A9818" s="23" t="str">
        <f>HYPERLINK("https://www.spark-marketing.ru/Card/Person/61563", "МБОУ ""ПУШКИНСКАЯ ШКОЛА-ИНТЕРНАТ ДЛЯ ОБУЧАЮЩИХСЯ С ОВЗ""")</f>
        <v>МБОУ "ПУШКИНСКАЯ ШКОЛА-ИНТЕРНАТ ДЛЯ ОБУЧАЮЩИХСЯ С ОВЗ"</v>
      </c>
      <c r="B9818" s="24" t="s">
        <v>12210</v>
      </c>
      <c r="C9818" s="25">
        <v>67102.399999999994</v>
      </c>
      <c r="D9818" s="22" t="s">
        <v>12199</v>
      </c>
      <c r="E9818" s="22" t="s">
        <v>103</v>
      </c>
      <c r="F9818" s="23" t="str">
        <f t="shared" si="457"/>
        <v>Оказание услуг по обслуживанию системы видеонаблюдения</v>
      </c>
      <c r="G9818" s="22" t="s">
        <v>50</v>
      </c>
      <c r="H9818" s="22" t="s">
        <v>76</v>
      </c>
      <c r="I9818" s="26">
        <v>43570.536111111098</v>
      </c>
      <c r="J9818" s="28" t="s">
        <v>52</v>
      </c>
      <c r="K9818" s="28" t="s">
        <v>52</v>
      </c>
      <c r="L9818" s="28" t="s">
        <v>52</v>
      </c>
      <c r="M9818" s="28" t="s">
        <v>52</v>
      </c>
      <c r="N9818" s="28" t="s">
        <v>52</v>
      </c>
    </row>
    <row r="9819" spans="1:14" hidden="1" outlineLevel="1" x14ac:dyDescent="0.15">
      <c r="A9819" s="23" t="str">
        <f>HYPERLINK("https://www.spark-marketing.ru/Card/Person/73952", "МБОУ ""ЗЕЛЕНОГРАДСКАЯ СОШ""")</f>
        <v>МБОУ "ЗЕЛЕНОГРАДСКАЯ СОШ"</v>
      </c>
      <c r="B9819" s="24" t="s">
        <v>12211</v>
      </c>
      <c r="C9819" s="25">
        <v>67102.399999999994</v>
      </c>
      <c r="D9819" s="22" t="s">
        <v>12199</v>
      </c>
      <c r="E9819" s="22" t="s">
        <v>103</v>
      </c>
      <c r="F9819" s="23" t="str">
        <f t="shared" si="457"/>
        <v>Оказание услуг по обслуживанию системы видеонаблюдения</v>
      </c>
      <c r="G9819" s="22" t="s">
        <v>50</v>
      </c>
      <c r="H9819" s="22" t="s">
        <v>76</v>
      </c>
      <c r="I9819" s="26">
        <v>43570.536111111098</v>
      </c>
      <c r="J9819" s="28" t="s">
        <v>52</v>
      </c>
      <c r="K9819" s="28" t="s">
        <v>52</v>
      </c>
      <c r="L9819" s="28" t="s">
        <v>52</v>
      </c>
      <c r="M9819" s="28" t="s">
        <v>52</v>
      </c>
      <c r="N9819" s="28" t="s">
        <v>52</v>
      </c>
    </row>
    <row r="9820" spans="1:14" hidden="1" outlineLevel="1" x14ac:dyDescent="0.15">
      <c r="A9820" s="23" t="str">
        <f>HYPERLINK("https://www.spark-marketing.ru/Card/Person/74024", "МБОУ ""ЛЕСНОПОЛЯНСКАЯ СОШ""")</f>
        <v>МБОУ "ЛЕСНОПОЛЯНСКАЯ СОШ"</v>
      </c>
      <c r="B9820" s="24" t="s">
        <v>12212</v>
      </c>
      <c r="C9820" s="25">
        <v>67102.399999999994</v>
      </c>
      <c r="D9820" s="22" t="s">
        <v>12199</v>
      </c>
      <c r="E9820" s="22" t="s">
        <v>103</v>
      </c>
      <c r="F9820" s="23" t="str">
        <f t="shared" si="457"/>
        <v>Оказание услуг по обслуживанию системы видеонаблюдения</v>
      </c>
      <c r="G9820" s="22" t="s">
        <v>50</v>
      </c>
      <c r="H9820" s="22" t="s">
        <v>76</v>
      </c>
      <c r="I9820" s="26">
        <v>43570.536111111098</v>
      </c>
      <c r="J9820" s="28" t="s">
        <v>52</v>
      </c>
      <c r="K9820" s="28" t="s">
        <v>52</v>
      </c>
      <c r="L9820" s="28" t="s">
        <v>52</v>
      </c>
      <c r="M9820" s="28" t="s">
        <v>52</v>
      </c>
      <c r="N9820" s="28" t="s">
        <v>52</v>
      </c>
    </row>
    <row r="9821" spans="1:14" hidden="1" outlineLevel="1" x14ac:dyDescent="0.15">
      <c r="A9821" s="23" t="str">
        <f>HYPERLINK("https://www.spark-marketing.ru/Card/Person/74155", "МБОУ ""ЗВЕРОСОВХОЗСКАЯ СОШ""")</f>
        <v>МБОУ "ЗВЕРОСОВХОЗСКАЯ СОШ"</v>
      </c>
      <c r="B9821" s="24" t="s">
        <v>12213</v>
      </c>
      <c r="C9821" s="25">
        <v>67102.399999999994</v>
      </c>
      <c r="D9821" s="22" t="s">
        <v>12199</v>
      </c>
      <c r="E9821" s="22" t="s">
        <v>103</v>
      </c>
      <c r="F9821" s="23" t="str">
        <f t="shared" si="457"/>
        <v>Оказание услуг по обслуживанию системы видеонаблюдения</v>
      </c>
      <c r="G9821" s="22" t="s">
        <v>50</v>
      </c>
      <c r="H9821" s="22" t="s">
        <v>76</v>
      </c>
      <c r="I9821" s="26">
        <v>43570.536111111098</v>
      </c>
      <c r="J9821" s="28" t="s">
        <v>52</v>
      </c>
      <c r="K9821" s="28" t="s">
        <v>52</v>
      </c>
      <c r="L9821" s="28" t="s">
        <v>52</v>
      </c>
      <c r="M9821" s="28" t="s">
        <v>52</v>
      </c>
      <c r="N9821" s="28" t="s">
        <v>52</v>
      </c>
    </row>
    <row r="9822" spans="1:14" hidden="1" outlineLevel="1" x14ac:dyDescent="0.15">
      <c r="A9822" s="23" t="str">
        <f>HYPERLINK("https://www.spark-marketing.ru/Card/Person/74188", "МБОУ ""ЧЕРКИЗОВСКАЯ СОШ""")</f>
        <v>МБОУ "ЧЕРКИЗОВСКАЯ СОШ"</v>
      </c>
      <c r="B9822" s="24" t="s">
        <v>12214</v>
      </c>
      <c r="C9822" s="25">
        <v>67102.399999999994</v>
      </c>
      <c r="D9822" s="22" t="s">
        <v>12199</v>
      </c>
      <c r="E9822" s="22" t="s">
        <v>103</v>
      </c>
      <c r="F9822" s="23" t="str">
        <f t="shared" si="457"/>
        <v>Оказание услуг по обслуживанию системы видеонаблюдения</v>
      </c>
      <c r="G9822" s="22" t="s">
        <v>50</v>
      </c>
      <c r="H9822" s="22" t="s">
        <v>76</v>
      </c>
      <c r="I9822" s="26">
        <v>43570.536111111098</v>
      </c>
      <c r="J9822" s="28" t="s">
        <v>52</v>
      </c>
      <c r="K9822" s="28" t="s">
        <v>52</v>
      </c>
      <c r="L9822" s="28" t="s">
        <v>52</v>
      </c>
      <c r="M9822" s="28" t="s">
        <v>52</v>
      </c>
      <c r="N9822" s="28" t="s">
        <v>52</v>
      </c>
    </row>
    <row r="9823" spans="1:14" hidden="1" outlineLevel="1" x14ac:dyDescent="0.15">
      <c r="A9823" s="23" t="str">
        <f>HYPERLINK("https://www.spark-marketing.ru/Card/Person/74366", "МБОУ ""ЧЕЛЮСКИНСКАЯ СОШ""")</f>
        <v>МБОУ "ЧЕЛЮСКИНСКАЯ СОШ"</v>
      </c>
      <c r="B9823" s="24" t="s">
        <v>12215</v>
      </c>
      <c r="C9823" s="25">
        <v>67102.399999999994</v>
      </c>
      <c r="D9823" s="22" t="s">
        <v>12199</v>
      </c>
      <c r="E9823" s="22" t="s">
        <v>103</v>
      </c>
      <c r="F9823" s="23" t="str">
        <f t="shared" si="457"/>
        <v>Оказание услуг по обслуживанию системы видеонаблюдения</v>
      </c>
      <c r="G9823" s="22" t="s">
        <v>50</v>
      </c>
      <c r="H9823" s="22" t="s">
        <v>76</v>
      </c>
      <c r="I9823" s="26">
        <v>43570.536111111098</v>
      </c>
      <c r="J9823" s="28" t="s">
        <v>52</v>
      </c>
      <c r="K9823" s="28" t="s">
        <v>52</v>
      </c>
      <c r="L9823" s="28" t="s">
        <v>52</v>
      </c>
      <c r="M9823" s="28" t="s">
        <v>52</v>
      </c>
      <c r="N9823" s="28" t="s">
        <v>52</v>
      </c>
    </row>
    <row r="9824" spans="1:14" hidden="1" outlineLevel="1" x14ac:dyDescent="0.15">
      <c r="A9824" s="23" t="str">
        <f>HYPERLINK("https://www.spark-marketing.ru/Card/Person/75185", "МБОУ СОШ № 8 Г. ПУШКИНО")</f>
        <v>МБОУ СОШ № 8 Г. ПУШКИНО</v>
      </c>
      <c r="B9824" s="24" t="s">
        <v>12216</v>
      </c>
      <c r="C9824" s="25">
        <v>134204.79999999999</v>
      </c>
      <c r="D9824" s="22" t="s">
        <v>12199</v>
      </c>
      <c r="E9824" s="22" t="s">
        <v>103</v>
      </c>
      <c r="F9824" s="23" t="str">
        <f t="shared" si="457"/>
        <v>Оказание услуг по обслуживанию системы видеонаблюдения</v>
      </c>
      <c r="G9824" s="22" t="s">
        <v>50</v>
      </c>
      <c r="H9824" s="22" t="s">
        <v>76</v>
      </c>
      <c r="I9824" s="26">
        <v>43570.536111111098</v>
      </c>
      <c r="J9824" s="28" t="s">
        <v>52</v>
      </c>
      <c r="K9824" s="28" t="s">
        <v>52</v>
      </c>
      <c r="L9824" s="28" t="s">
        <v>52</v>
      </c>
      <c r="M9824" s="28" t="s">
        <v>52</v>
      </c>
      <c r="N9824" s="28" t="s">
        <v>52</v>
      </c>
    </row>
    <row r="9825" spans="1:14" hidden="1" outlineLevel="1" x14ac:dyDescent="0.15">
      <c r="A9825" s="23" t="str">
        <f>HYPERLINK("https://www.spark-marketing.ru/Card/Person/77169", "МБОУ СОШ № 5 Г. ПУШКИНО")</f>
        <v>МБОУ СОШ № 5 Г. ПУШКИНО</v>
      </c>
      <c r="B9825" s="24" t="s">
        <v>12217</v>
      </c>
      <c r="C9825" s="25">
        <v>67102.399999999994</v>
      </c>
      <c r="D9825" s="22" t="s">
        <v>12199</v>
      </c>
      <c r="E9825" s="22" t="s">
        <v>103</v>
      </c>
      <c r="F9825" s="23" t="str">
        <f t="shared" si="457"/>
        <v>Оказание услуг по обслуживанию системы видеонаблюдения</v>
      </c>
      <c r="G9825" s="22" t="s">
        <v>50</v>
      </c>
      <c r="H9825" s="22" t="s">
        <v>76</v>
      </c>
      <c r="I9825" s="26">
        <v>43570.536111111098</v>
      </c>
      <c r="J9825" s="28" t="s">
        <v>52</v>
      </c>
      <c r="K9825" s="28" t="s">
        <v>52</v>
      </c>
      <c r="L9825" s="28" t="s">
        <v>52</v>
      </c>
      <c r="M9825" s="28" t="s">
        <v>52</v>
      </c>
      <c r="N9825" s="28" t="s">
        <v>52</v>
      </c>
    </row>
    <row r="9826" spans="1:14" hidden="1" outlineLevel="1" x14ac:dyDescent="0.15">
      <c r="A9826" s="23" t="str">
        <f>HYPERLINK("https://www.spark-marketing.ru/Card/Person/77201", "МБОУ СОШ № 1 Г. ПУШКИНО")</f>
        <v>МБОУ СОШ № 1 Г. ПУШКИНО</v>
      </c>
      <c r="B9826" s="24" t="s">
        <v>12218</v>
      </c>
      <c r="C9826" s="25">
        <v>134204.79999999999</v>
      </c>
      <c r="D9826" s="22" t="s">
        <v>12199</v>
      </c>
      <c r="E9826" s="22" t="s">
        <v>103</v>
      </c>
      <c r="F9826" s="23" t="str">
        <f t="shared" si="457"/>
        <v>Оказание услуг по обслуживанию системы видеонаблюдения</v>
      </c>
      <c r="G9826" s="22" t="s">
        <v>50</v>
      </c>
      <c r="H9826" s="22" t="s">
        <v>76</v>
      </c>
      <c r="I9826" s="26">
        <v>43570.536111111098</v>
      </c>
      <c r="J9826" s="28" t="s">
        <v>52</v>
      </c>
      <c r="K9826" s="28" t="s">
        <v>52</v>
      </c>
      <c r="L9826" s="28" t="s">
        <v>52</v>
      </c>
      <c r="M9826" s="28" t="s">
        <v>52</v>
      </c>
      <c r="N9826" s="28" t="s">
        <v>52</v>
      </c>
    </row>
    <row r="9827" spans="1:14" hidden="1" outlineLevel="1" x14ac:dyDescent="0.15">
      <c r="A9827" s="23" t="str">
        <f>HYPERLINK("https://www.spark-marketing.ru/Card/Person/77980", "МБОУ СОШ № 12 Г. ПУШКИНО")</f>
        <v>МБОУ СОШ № 12 Г. ПУШКИНО</v>
      </c>
      <c r="B9827" s="24" t="s">
        <v>12219</v>
      </c>
      <c r="C9827" s="25">
        <v>67102.399999999994</v>
      </c>
      <c r="D9827" s="22" t="s">
        <v>12199</v>
      </c>
      <c r="E9827" s="22" t="s">
        <v>103</v>
      </c>
      <c r="F9827" s="23" t="str">
        <f t="shared" si="457"/>
        <v>Оказание услуг по обслуживанию системы видеонаблюдения</v>
      </c>
      <c r="G9827" s="22" t="s">
        <v>50</v>
      </c>
      <c r="H9827" s="22" t="s">
        <v>76</v>
      </c>
      <c r="I9827" s="26">
        <v>43570.536111111098</v>
      </c>
      <c r="J9827" s="28" t="s">
        <v>52</v>
      </c>
      <c r="K9827" s="28" t="s">
        <v>52</v>
      </c>
      <c r="L9827" s="28" t="s">
        <v>52</v>
      </c>
      <c r="M9827" s="28" t="s">
        <v>52</v>
      </c>
      <c r="N9827" s="28" t="s">
        <v>52</v>
      </c>
    </row>
    <row r="9828" spans="1:14" hidden="1" outlineLevel="1" x14ac:dyDescent="0.15">
      <c r="A9828" s="23" t="str">
        <f>HYPERLINK("https://www.spark-marketing.ru/Card/Person/78022", "МБОУ СОШ № 14 Г. ПУШКИНО")</f>
        <v>МБОУ СОШ № 14 Г. ПУШКИНО</v>
      </c>
      <c r="B9828" s="24" t="s">
        <v>12220</v>
      </c>
      <c r="C9828" s="25">
        <v>67102.399999999994</v>
      </c>
      <c r="D9828" s="22" t="s">
        <v>12199</v>
      </c>
      <c r="E9828" s="22" t="s">
        <v>103</v>
      </c>
      <c r="F9828" s="23" t="str">
        <f t="shared" si="457"/>
        <v>Оказание услуг по обслуживанию системы видеонаблюдения</v>
      </c>
      <c r="G9828" s="22" t="s">
        <v>50</v>
      </c>
      <c r="H9828" s="22" t="s">
        <v>76</v>
      </c>
      <c r="I9828" s="26">
        <v>43570.536111111098</v>
      </c>
      <c r="J9828" s="28" t="s">
        <v>52</v>
      </c>
      <c r="K9828" s="28" t="s">
        <v>52</v>
      </c>
      <c r="L9828" s="28" t="s">
        <v>52</v>
      </c>
      <c r="M9828" s="28" t="s">
        <v>52</v>
      </c>
      <c r="N9828" s="28" t="s">
        <v>52</v>
      </c>
    </row>
    <row r="9829" spans="1:14" hidden="1" outlineLevel="1" x14ac:dyDescent="0.15">
      <c r="A9829" s="23" t="str">
        <f>HYPERLINK("https://www.spark-marketing.ru/Card/Person/78023", "МБОУ ""МАЙСКАЯ СОШ""")</f>
        <v>МБОУ "МАЙСКАЯ СОШ"</v>
      </c>
      <c r="B9829" s="24" t="s">
        <v>12221</v>
      </c>
      <c r="C9829" s="25">
        <v>67102.399999999994</v>
      </c>
      <c r="D9829" s="22" t="s">
        <v>12199</v>
      </c>
      <c r="E9829" s="22" t="s">
        <v>103</v>
      </c>
      <c r="F9829" s="23" t="str">
        <f t="shared" si="457"/>
        <v>Оказание услуг по обслуживанию системы видеонаблюдения</v>
      </c>
      <c r="G9829" s="22" t="s">
        <v>50</v>
      </c>
      <c r="H9829" s="22" t="s">
        <v>76</v>
      </c>
      <c r="I9829" s="26">
        <v>43570.536111111098</v>
      </c>
      <c r="J9829" s="28" t="s">
        <v>52</v>
      </c>
      <c r="K9829" s="28" t="s">
        <v>52</v>
      </c>
      <c r="L9829" s="28" t="s">
        <v>52</v>
      </c>
      <c r="M9829" s="28" t="s">
        <v>52</v>
      </c>
      <c r="N9829" s="28" t="s">
        <v>52</v>
      </c>
    </row>
    <row r="9830" spans="1:14" hidden="1" outlineLevel="1" x14ac:dyDescent="0.15">
      <c r="A9830" s="23" t="str">
        <f>HYPERLINK("https://www.spark-marketing.ru/Card/Person/78084", "МБОУ СОШ № 6 Г. ПУШКИНО")</f>
        <v>МБОУ СОШ № 6 Г. ПУШКИНО</v>
      </c>
      <c r="B9830" s="24" t="s">
        <v>12222</v>
      </c>
      <c r="C9830" s="25">
        <v>67102.399999999994</v>
      </c>
      <c r="D9830" s="22" t="s">
        <v>12199</v>
      </c>
      <c r="E9830" s="22" t="s">
        <v>103</v>
      </c>
      <c r="F9830" s="23" t="str">
        <f t="shared" si="457"/>
        <v>Оказание услуг по обслуживанию системы видеонаблюдения</v>
      </c>
      <c r="G9830" s="22" t="s">
        <v>50</v>
      </c>
      <c r="H9830" s="22" t="s">
        <v>76</v>
      </c>
      <c r="I9830" s="26">
        <v>43570.536111111098</v>
      </c>
      <c r="J9830" s="28" t="s">
        <v>52</v>
      </c>
      <c r="K9830" s="28" t="s">
        <v>52</v>
      </c>
      <c r="L9830" s="28" t="s">
        <v>52</v>
      </c>
      <c r="M9830" s="28" t="s">
        <v>52</v>
      </c>
      <c r="N9830" s="28" t="s">
        <v>52</v>
      </c>
    </row>
    <row r="9831" spans="1:14" hidden="1" outlineLevel="1" x14ac:dyDescent="0.15">
      <c r="A9831" s="23" t="str">
        <f>HYPERLINK("https://www.spark-marketing.ru/Card/Person/78163", "МБОУ ""ГИМНАЗИЯ № 4 Г. ПУШКИНО""")</f>
        <v>МБОУ "ГИМНАЗИЯ № 4 Г. ПУШКИНО"</v>
      </c>
      <c r="B9831" s="24" t="s">
        <v>12223</v>
      </c>
      <c r="C9831" s="25">
        <v>67102.399999999994</v>
      </c>
      <c r="D9831" s="22" t="s">
        <v>12199</v>
      </c>
      <c r="E9831" s="22" t="s">
        <v>103</v>
      </c>
      <c r="F9831" s="23" t="str">
        <f t="shared" si="457"/>
        <v>Оказание услуг по обслуживанию системы видеонаблюдения</v>
      </c>
      <c r="G9831" s="22" t="s">
        <v>50</v>
      </c>
      <c r="H9831" s="22" t="s">
        <v>76</v>
      </c>
      <c r="I9831" s="26">
        <v>43570.536111111098</v>
      </c>
      <c r="J9831" s="28" t="s">
        <v>52</v>
      </c>
      <c r="K9831" s="28" t="s">
        <v>52</v>
      </c>
      <c r="L9831" s="28" t="s">
        <v>52</v>
      </c>
      <c r="M9831" s="28" t="s">
        <v>52</v>
      </c>
      <c r="N9831" s="28" t="s">
        <v>52</v>
      </c>
    </row>
    <row r="9832" spans="1:14" hidden="1" outlineLevel="1" x14ac:dyDescent="0.15">
      <c r="A9832" s="23" t="str">
        <f>HYPERLINK("https://www.spark-marketing.ru/Card/Person/78291", "МБОУ СОШ № 2 Г. ПУШКИНО")</f>
        <v>МБОУ СОШ № 2 Г. ПУШКИНО</v>
      </c>
      <c r="B9832" s="24" t="s">
        <v>12224</v>
      </c>
      <c r="C9832" s="25">
        <v>67102.399999999994</v>
      </c>
      <c r="D9832" s="22" t="s">
        <v>12199</v>
      </c>
      <c r="E9832" s="22" t="s">
        <v>103</v>
      </c>
      <c r="F9832" s="23" t="str">
        <f t="shared" si="457"/>
        <v>Оказание услуг по обслуживанию системы видеонаблюдения</v>
      </c>
      <c r="G9832" s="22" t="s">
        <v>50</v>
      </c>
      <c r="H9832" s="22" t="s">
        <v>76</v>
      </c>
      <c r="I9832" s="26">
        <v>43570.536111111098</v>
      </c>
      <c r="J9832" s="28" t="s">
        <v>52</v>
      </c>
      <c r="K9832" s="28" t="s">
        <v>52</v>
      </c>
      <c r="L9832" s="28" t="s">
        <v>52</v>
      </c>
      <c r="M9832" s="28" t="s">
        <v>52</v>
      </c>
      <c r="N9832" s="28" t="s">
        <v>52</v>
      </c>
    </row>
    <row r="9833" spans="1:14" hidden="1" outlineLevel="1" x14ac:dyDescent="0.15">
      <c r="A9833" s="23" t="str">
        <f>HYPERLINK("https://www.spark-marketing.ru/Card/Person/78449", "МБОУ ""ПРАВДИНСКАЯ СОШ № 1""")</f>
        <v>МБОУ "ПРАВДИНСКАЯ СОШ № 1"</v>
      </c>
      <c r="B9833" s="24" t="s">
        <v>12225</v>
      </c>
      <c r="C9833" s="25">
        <v>67102.399999999994</v>
      </c>
      <c r="D9833" s="22" t="s">
        <v>12199</v>
      </c>
      <c r="E9833" s="22" t="s">
        <v>103</v>
      </c>
      <c r="F9833" s="23" t="str">
        <f t="shared" si="457"/>
        <v>Оказание услуг по обслуживанию системы видеонаблюдения</v>
      </c>
      <c r="G9833" s="22" t="s">
        <v>50</v>
      </c>
      <c r="H9833" s="22" t="s">
        <v>76</v>
      </c>
      <c r="I9833" s="26">
        <v>43570.536111111098</v>
      </c>
      <c r="J9833" s="28" t="s">
        <v>52</v>
      </c>
      <c r="K9833" s="28" t="s">
        <v>52</v>
      </c>
      <c r="L9833" s="28" t="s">
        <v>52</v>
      </c>
      <c r="M9833" s="28" t="s">
        <v>52</v>
      </c>
      <c r="N9833" s="28" t="s">
        <v>52</v>
      </c>
    </row>
    <row r="9834" spans="1:14" hidden="1" outlineLevel="1" x14ac:dyDescent="0.15">
      <c r="A9834" s="23" t="str">
        <f>HYPERLINK("https://www.spark-marketing.ru/Card/Person/134458", "МБОУ СОШ Г. П. ЛЕСНОЙ")</f>
        <v>МБОУ СОШ Г. П. ЛЕСНОЙ</v>
      </c>
      <c r="B9834" s="24" t="s">
        <v>12226</v>
      </c>
      <c r="C9834" s="25">
        <v>67102.399999999994</v>
      </c>
      <c r="D9834" s="22" t="s">
        <v>12199</v>
      </c>
      <c r="E9834" s="22" t="s">
        <v>103</v>
      </c>
      <c r="F9834" s="23" t="str">
        <f t="shared" si="457"/>
        <v>Оказание услуг по обслуживанию системы видеонаблюдения</v>
      </c>
      <c r="G9834" s="22" t="s">
        <v>50</v>
      </c>
      <c r="H9834" s="22" t="s">
        <v>76</v>
      </c>
      <c r="I9834" s="26">
        <v>43570.536111111098</v>
      </c>
      <c r="J9834" s="28" t="s">
        <v>52</v>
      </c>
      <c r="K9834" s="28" t="s">
        <v>52</v>
      </c>
      <c r="L9834" s="28" t="s">
        <v>52</v>
      </c>
      <c r="M9834" s="28" t="s">
        <v>52</v>
      </c>
      <c r="N9834" s="28" t="s">
        <v>52</v>
      </c>
    </row>
    <row r="9835" spans="1:14" hidden="1" outlineLevel="1" x14ac:dyDescent="0.15">
      <c r="A9835" s="23" t="str">
        <f>HYPERLINK("https://www.spark-marketing.ru/Card/Person/242490", "МБОУ СОШ № 3 Г. ПУШКИНО")</f>
        <v>МБОУ СОШ № 3 Г. ПУШКИНО</v>
      </c>
      <c r="B9835" s="24" t="s">
        <v>12227</v>
      </c>
      <c r="C9835" s="25">
        <v>67102.399999999994</v>
      </c>
      <c r="D9835" s="22" t="s">
        <v>12199</v>
      </c>
      <c r="E9835" s="22" t="s">
        <v>103</v>
      </c>
      <c r="F9835" s="23" t="str">
        <f t="shared" si="457"/>
        <v>Оказание услуг по обслуживанию системы видеонаблюдения</v>
      </c>
      <c r="G9835" s="22" t="s">
        <v>50</v>
      </c>
      <c r="H9835" s="22" t="s">
        <v>76</v>
      </c>
      <c r="I9835" s="26">
        <v>43570.536111111098</v>
      </c>
      <c r="J9835" s="28" t="s">
        <v>52</v>
      </c>
      <c r="K9835" s="28" t="s">
        <v>52</v>
      </c>
      <c r="L9835" s="28" t="s">
        <v>52</v>
      </c>
      <c r="M9835" s="28" t="s">
        <v>52</v>
      </c>
      <c r="N9835" s="28" t="s">
        <v>52</v>
      </c>
    </row>
    <row r="9836" spans="1:14" hidden="1" outlineLevel="1" x14ac:dyDescent="0.15">
      <c r="A9836" s="23" t="str">
        <f>HYPERLINK("https://www.spark-marketing.ru/Card/Person/1081787", "МАОУ ""ГИМНАЗИЯ № 10 Г. ПУШКИНО""")</f>
        <v>МАОУ "ГИМНАЗИЯ № 10 Г. ПУШКИНО"</v>
      </c>
      <c r="B9836" s="24" t="s">
        <v>12228</v>
      </c>
      <c r="C9836" s="25">
        <v>67102.399999999994</v>
      </c>
      <c r="D9836" s="22" t="s">
        <v>12199</v>
      </c>
      <c r="E9836" s="22" t="s">
        <v>103</v>
      </c>
      <c r="F9836" s="23" t="str">
        <f t="shared" si="457"/>
        <v>Оказание услуг по обслуживанию системы видеонаблюдения</v>
      </c>
      <c r="G9836" s="22" t="s">
        <v>50</v>
      </c>
      <c r="H9836" s="22" t="s">
        <v>76</v>
      </c>
      <c r="I9836" s="26">
        <v>43570.536111111098</v>
      </c>
      <c r="J9836" s="28" t="s">
        <v>52</v>
      </c>
      <c r="K9836" s="28" t="s">
        <v>52</v>
      </c>
      <c r="L9836" s="28" t="s">
        <v>52</v>
      </c>
      <c r="M9836" s="28" t="s">
        <v>52</v>
      </c>
      <c r="N9836" s="28" t="s">
        <v>52</v>
      </c>
    </row>
    <row r="9837" spans="1:14" hidden="1" outlineLevel="1" x14ac:dyDescent="0.15">
      <c r="A9837" s="23" t="str">
        <f>HYPERLINK("https://www.spark-marketing.ru/Card/Person/1296674", "МАДОУ ДЕТСКИЙ САД №2 ""ВИШЕНКА""")</f>
        <v>МАДОУ ДЕТСКИЙ САД №2 "ВИШЕНКА"</v>
      </c>
      <c r="B9837" s="24" t="s">
        <v>12229</v>
      </c>
      <c r="C9837" s="25">
        <v>67102.399999999994</v>
      </c>
      <c r="D9837" s="22" t="s">
        <v>12199</v>
      </c>
      <c r="E9837" s="22" t="s">
        <v>103</v>
      </c>
      <c r="F9837" s="23" t="str">
        <f t="shared" si="457"/>
        <v>Оказание услуг по обслуживанию системы видеонаблюдения</v>
      </c>
      <c r="G9837" s="22" t="s">
        <v>50</v>
      </c>
      <c r="H9837" s="22" t="s">
        <v>76</v>
      </c>
      <c r="I9837" s="26">
        <v>43570.536111111098</v>
      </c>
      <c r="J9837" s="28" t="s">
        <v>52</v>
      </c>
      <c r="K9837" s="28" t="s">
        <v>52</v>
      </c>
      <c r="L9837" s="28" t="s">
        <v>52</v>
      </c>
      <c r="M9837" s="28" t="s">
        <v>52</v>
      </c>
      <c r="N9837" s="28" t="s">
        <v>52</v>
      </c>
    </row>
    <row r="9838" spans="1:14" hidden="1" outlineLevel="1" x14ac:dyDescent="0.15">
      <c r="A9838" s="23" t="str">
        <f>HYPERLINK("https://www.spark-marketing.ru/Card/Person/1300460", "МАДОУ ДЕТСКИЙ САД № 9 ""БУРАТИНО""")</f>
        <v>МАДОУ ДЕТСКИЙ САД № 9 "БУРАТИНО"</v>
      </c>
      <c r="B9838" s="24" t="s">
        <v>12230</v>
      </c>
      <c r="C9838" s="25">
        <v>67102.399999999994</v>
      </c>
      <c r="D9838" s="22" t="s">
        <v>12199</v>
      </c>
      <c r="E9838" s="22" t="s">
        <v>103</v>
      </c>
      <c r="F9838" s="23" t="str">
        <f t="shared" si="457"/>
        <v>Оказание услуг по обслуживанию системы видеонаблюдения</v>
      </c>
      <c r="G9838" s="22" t="s">
        <v>50</v>
      </c>
      <c r="H9838" s="22" t="s">
        <v>76</v>
      </c>
      <c r="I9838" s="26">
        <v>43570.536111111098</v>
      </c>
      <c r="J9838" s="28" t="s">
        <v>52</v>
      </c>
      <c r="K9838" s="28" t="s">
        <v>52</v>
      </c>
      <c r="L9838" s="28" t="s">
        <v>52</v>
      </c>
      <c r="M9838" s="28" t="s">
        <v>52</v>
      </c>
      <c r="N9838" s="28" t="s">
        <v>52</v>
      </c>
    </row>
    <row r="9839" spans="1:14" hidden="1" outlineLevel="1" x14ac:dyDescent="0.15">
      <c r="A9839" s="23" t="str">
        <f>HYPERLINK("https://www.spark-marketing.ru/Card/Person/1300644", "МАДОУ ДЕТСКИЙ САД №18 ""РОСИНКА""")</f>
        <v>МАДОУ ДЕТСКИЙ САД №18 "РОСИНКА"</v>
      </c>
      <c r="B9839" s="24" t="s">
        <v>12231</v>
      </c>
      <c r="C9839" s="25">
        <v>67102.399999999994</v>
      </c>
      <c r="D9839" s="22" t="s">
        <v>12199</v>
      </c>
      <c r="E9839" s="22" t="s">
        <v>103</v>
      </c>
      <c r="F9839" s="23" t="str">
        <f t="shared" si="457"/>
        <v>Оказание услуг по обслуживанию системы видеонаблюдения</v>
      </c>
      <c r="G9839" s="22" t="s">
        <v>50</v>
      </c>
      <c r="H9839" s="22" t="s">
        <v>76</v>
      </c>
      <c r="I9839" s="26">
        <v>43570.536111111098</v>
      </c>
      <c r="J9839" s="28" t="s">
        <v>52</v>
      </c>
      <c r="K9839" s="28" t="s">
        <v>52</v>
      </c>
      <c r="L9839" s="28" t="s">
        <v>52</v>
      </c>
      <c r="M9839" s="28" t="s">
        <v>52</v>
      </c>
      <c r="N9839" s="28" t="s">
        <v>52</v>
      </c>
    </row>
    <row r="9840" spans="1:14" hidden="1" outlineLevel="1" x14ac:dyDescent="0.15">
      <c r="A9840" s="23" t="str">
        <f>HYPERLINK("https://www.spark-marketing.ru/Card/Person/4352501", "МБДОУ ДЕТСКИЙ САД №11 ""ТЕРЕМОК""")</f>
        <v>МБДОУ ДЕТСКИЙ САД №11 "ТЕРЕМОК"</v>
      </c>
      <c r="B9840" s="24" t="s">
        <v>12232</v>
      </c>
      <c r="C9840" s="25">
        <v>67102.399999999994</v>
      </c>
      <c r="D9840" s="22" t="s">
        <v>12199</v>
      </c>
      <c r="E9840" s="22" t="s">
        <v>103</v>
      </c>
      <c r="F9840" s="23" t="str">
        <f t="shared" si="457"/>
        <v>Оказание услуг по обслуживанию системы видеонаблюдения</v>
      </c>
      <c r="G9840" s="22" t="s">
        <v>50</v>
      </c>
      <c r="H9840" s="22" t="s">
        <v>76</v>
      </c>
      <c r="I9840" s="26">
        <v>43570.536111111098</v>
      </c>
      <c r="J9840" s="28" t="s">
        <v>52</v>
      </c>
      <c r="K9840" s="28" t="s">
        <v>52</v>
      </c>
      <c r="L9840" s="28" t="s">
        <v>52</v>
      </c>
      <c r="M9840" s="28" t="s">
        <v>52</v>
      </c>
      <c r="N9840" s="28" t="s">
        <v>52</v>
      </c>
    </row>
    <row r="9841" spans="1:14" hidden="1" outlineLevel="1" x14ac:dyDescent="0.15">
      <c r="A9841" s="23" t="str">
        <f>HYPERLINK("https://www.spark-marketing.ru/Card/Person/4771033", "МБДОУ ДЕТСКИЙ САД №15 ""АИСТЁНОК""")</f>
        <v>МБДОУ ДЕТСКИЙ САД №15 "АИСТЁНОК"</v>
      </c>
      <c r="B9841" s="24" t="s">
        <v>12233</v>
      </c>
      <c r="C9841" s="25">
        <v>67102.399999999994</v>
      </c>
      <c r="D9841" s="22" t="s">
        <v>12199</v>
      </c>
      <c r="E9841" s="22" t="s">
        <v>103</v>
      </c>
      <c r="F9841" s="23" t="str">
        <f t="shared" si="457"/>
        <v>Оказание услуг по обслуживанию системы видеонаблюдения</v>
      </c>
      <c r="G9841" s="22" t="s">
        <v>50</v>
      </c>
      <c r="H9841" s="22" t="s">
        <v>76</v>
      </c>
      <c r="I9841" s="26">
        <v>43570.536111111098</v>
      </c>
      <c r="J9841" s="28" t="s">
        <v>52</v>
      </c>
      <c r="K9841" s="28" t="s">
        <v>52</v>
      </c>
      <c r="L9841" s="28" t="s">
        <v>52</v>
      </c>
      <c r="M9841" s="28" t="s">
        <v>52</v>
      </c>
      <c r="N9841" s="28" t="s">
        <v>52</v>
      </c>
    </row>
    <row r="9842" spans="1:14" hidden="1" outlineLevel="1" x14ac:dyDescent="0.2">
      <c r="A9842" s="28" t="s">
        <v>52</v>
      </c>
      <c r="B9842" s="28" t="s">
        <v>52</v>
      </c>
      <c r="C9842" s="28" t="s">
        <v>52</v>
      </c>
      <c r="D9842" s="22" t="s">
        <v>12199</v>
      </c>
      <c r="E9842" s="22" t="s">
        <v>103</v>
      </c>
      <c r="F9842" s="23" t="str">
        <f t="shared" si="457"/>
        <v>Оказание услуг по обслуживанию системы видеонаблюдения</v>
      </c>
      <c r="G9842" s="22" t="s">
        <v>52</v>
      </c>
      <c r="H9842" s="22" t="s">
        <v>52</v>
      </c>
      <c r="I9842" s="26">
        <v>43570.536111111098</v>
      </c>
      <c r="J9842" s="23" t="str">
        <f>HYPERLINK("https://www.spark-marketing.ru/Card/Person/1396486", "ООО ""ВЫМПЕЛ-СБ""")</f>
        <v>ООО "ВЫМПЕЛ-СБ"</v>
      </c>
      <c r="K9842" s="24" t="s">
        <v>6778</v>
      </c>
      <c r="L9842" s="28" t="s">
        <v>52</v>
      </c>
      <c r="M9842" s="25">
        <v>442864.24</v>
      </c>
      <c r="N9842" s="27">
        <v>0.82632033868739185</v>
      </c>
    </row>
    <row r="9843" spans="1:14" hidden="1" outlineLevel="1" x14ac:dyDescent="0.2">
      <c r="A9843" s="28" t="s">
        <v>52</v>
      </c>
      <c r="B9843" s="28" t="s">
        <v>52</v>
      </c>
      <c r="C9843" s="28" t="s">
        <v>52</v>
      </c>
      <c r="D9843" s="22" t="s">
        <v>12199</v>
      </c>
      <c r="E9843" s="22" t="s">
        <v>103</v>
      </c>
      <c r="F9843" s="23" t="str">
        <f t="shared" si="457"/>
        <v>Оказание услуг по обслуживанию системы видеонаблюдения</v>
      </c>
      <c r="G9843" s="22" t="s">
        <v>52</v>
      </c>
      <c r="H9843" s="22" t="s">
        <v>52</v>
      </c>
      <c r="I9843" s="26">
        <v>43570.536111111098</v>
      </c>
      <c r="J9843" s="23" t="str">
        <f>HYPERLINK("https://www.spark-marketing.ru/Card/Person/5793012", "ООО ""ГУДТЕК""")</f>
        <v>ООО "ГУДТЕК"</v>
      </c>
      <c r="K9843" s="24" t="s">
        <v>12234</v>
      </c>
      <c r="L9843" s="28" t="s">
        <v>52</v>
      </c>
      <c r="M9843" s="25">
        <v>1499000</v>
      </c>
      <c r="N9843" s="27">
        <v>0.41213178036772707</v>
      </c>
    </row>
    <row r="9844" spans="1:14" hidden="1" outlineLevel="1" x14ac:dyDescent="0.2">
      <c r="A9844" s="28" t="s">
        <v>52</v>
      </c>
      <c r="B9844" s="28" t="s">
        <v>52</v>
      </c>
      <c r="C9844" s="28" t="s">
        <v>52</v>
      </c>
      <c r="D9844" s="22" t="s">
        <v>12199</v>
      </c>
      <c r="E9844" s="22" t="s">
        <v>103</v>
      </c>
      <c r="F9844" s="23" t="str">
        <f t="shared" si="457"/>
        <v>Оказание услуг по обслуживанию системы видеонаблюдения</v>
      </c>
      <c r="G9844" s="22" t="s">
        <v>52</v>
      </c>
      <c r="H9844" s="22" t="s">
        <v>52</v>
      </c>
      <c r="I9844" s="26">
        <v>43570.536111111098</v>
      </c>
      <c r="J9844" s="23" t="str">
        <f>HYPERLINK("https://www.spark-marketing.ru/Card/Person/6463004", "ООО ""ГК МЕГАБАЙТ""")</f>
        <v>ООО "ГК МЕГАБАЙТ"</v>
      </c>
      <c r="K9844" s="24" t="s">
        <v>12235</v>
      </c>
      <c r="L9844" s="28" t="s">
        <v>52</v>
      </c>
      <c r="M9844" s="25">
        <v>659605.06000000006</v>
      </c>
      <c r="N9844" s="27">
        <v>0.74132031201958737</v>
      </c>
    </row>
    <row r="9845" spans="1:14" hidden="1" outlineLevel="1" x14ac:dyDescent="0.2">
      <c r="A9845" s="28" t="s">
        <v>52</v>
      </c>
      <c r="B9845" s="28" t="s">
        <v>52</v>
      </c>
      <c r="C9845" s="28" t="s">
        <v>52</v>
      </c>
      <c r="D9845" s="22" t="s">
        <v>12199</v>
      </c>
      <c r="E9845" s="22" t="s">
        <v>103</v>
      </c>
      <c r="F9845" s="23" t="str">
        <f t="shared" si="457"/>
        <v>Оказание услуг по обслуживанию системы видеонаблюдения</v>
      </c>
      <c r="G9845" s="22" t="s">
        <v>52</v>
      </c>
      <c r="H9845" s="22" t="s">
        <v>52</v>
      </c>
      <c r="I9845" s="26">
        <v>43570.536111111098</v>
      </c>
      <c r="J9845" s="23" t="str">
        <f>HYPERLINK("https://www.spark-marketing.ru/Card/Person/504526", "ООО ""ФОРТ""")</f>
        <v>ООО "ФОРТ"</v>
      </c>
      <c r="K9845" s="24" t="s">
        <v>10291</v>
      </c>
      <c r="L9845" s="28" t="s">
        <v>52</v>
      </c>
      <c r="M9845" s="25">
        <v>1440688.72</v>
      </c>
      <c r="N9845" s="27">
        <v>0.43499992470266968</v>
      </c>
    </row>
    <row r="9846" spans="1:14" hidden="1" outlineLevel="1" x14ac:dyDescent="0.2">
      <c r="A9846" s="28" t="s">
        <v>52</v>
      </c>
      <c r="B9846" s="28" t="s">
        <v>52</v>
      </c>
      <c r="C9846" s="28" t="s">
        <v>52</v>
      </c>
      <c r="D9846" s="22" t="s">
        <v>12199</v>
      </c>
      <c r="E9846" s="22" t="s">
        <v>103</v>
      </c>
      <c r="F9846" s="23" t="str">
        <f t="shared" si="457"/>
        <v>Оказание услуг по обслуживанию системы видеонаблюдения</v>
      </c>
      <c r="G9846" s="22" t="s">
        <v>52</v>
      </c>
      <c r="H9846" s="22" t="s">
        <v>52</v>
      </c>
      <c r="I9846" s="26">
        <v>43570.536111111098</v>
      </c>
      <c r="J9846" s="23" t="str">
        <f>HYPERLINK("https://www.spark-marketing.ru/Card/Person/6445825", "Судариков Михаил Геннадьевич")</f>
        <v>Судариков Михаил Геннадьевич</v>
      </c>
      <c r="K9846" s="24" t="s">
        <v>1219</v>
      </c>
      <c r="L9846" s="28" t="s">
        <v>52</v>
      </c>
      <c r="M9846" s="25">
        <v>800000</v>
      </c>
      <c r="N9846" s="27">
        <v>0.68626112361186231</v>
      </c>
    </row>
    <row r="9847" spans="1:14" hidden="1" outlineLevel="1" x14ac:dyDescent="0.2">
      <c r="A9847" s="28" t="s">
        <v>52</v>
      </c>
      <c r="B9847" s="28" t="s">
        <v>52</v>
      </c>
      <c r="C9847" s="28" t="s">
        <v>52</v>
      </c>
      <c r="D9847" s="22" t="s">
        <v>12199</v>
      </c>
      <c r="E9847" s="22" t="s">
        <v>103</v>
      </c>
      <c r="F9847" s="23" t="str">
        <f t="shared" si="457"/>
        <v>Оказание услуг по обслуживанию системы видеонаблюдения</v>
      </c>
      <c r="G9847" s="22" t="s">
        <v>52</v>
      </c>
      <c r="H9847" s="22" t="s">
        <v>52</v>
      </c>
      <c r="I9847" s="26">
        <v>43570.536111111098</v>
      </c>
      <c r="J9847" s="23" t="str">
        <f>HYPERLINK("https://www.spark-marketing.ru/Card/Person/1347961", "ООО ""АЗИМУТ-РЕГИОН""")</f>
        <v>ООО "АЗИМУТ-РЕГИОН"</v>
      </c>
      <c r="K9847" s="24" t="s">
        <v>12236</v>
      </c>
      <c r="L9847" s="28" t="s">
        <v>52</v>
      </c>
      <c r="M9847" s="25">
        <v>1555433.82</v>
      </c>
      <c r="N9847" s="27">
        <v>0.38999992627136404</v>
      </c>
    </row>
    <row r="9848" spans="1:14" hidden="1" outlineLevel="1" x14ac:dyDescent="0.2">
      <c r="A9848" s="28" t="s">
        <v>52</v>
      </c>
      <c r="B9848" s="28" t="s">
        <v>52</v>
      </c>
      <c r="C9848" s="28" t="s">
        <v>52</v>
      </c>
      <c r="D9848" s="22" t="s">
        <v>12199</v>
      </c>
      <c r="E9848" s="22" t="s">
        <v>103</v>
      </c>
      <c r="F9848" s="23" t="str">
        <f t="shared" si="457"/>
        <v>Оказание услуг по обслуживанию системы видеонаблюдения</v>
      </c>
      <c r="G9848" s="22" t="s">
        <v>52</v>
      </c>
      <c r="H9848" s="22" t="s">
        <v>52</v>
      </c>
      <c r="I9848" s="26">
        <v>43570.536111111098</v>
      </c>
      <c r="J9848" s="23" t="str">
        <f>HYPERLINK("https://www.spark-marketing.ru/Card/Person/6462474", "ООО ""ФАВОР""")</f>
        <v>ООО "ФАВОР"</v>
      </c>
      <c r="K9848" s="24" t="s">
        <v>2058</v>
      </c>
      <c r="L9848" s="28" t="s">
        <v>52</v>
      </c>
      <c r="M9848" s="25">
        <v>1695677.64</v>
      </c>
      <c r="N9848" s="27">
        <v>0.33500000313738876</v>
      </c>
    </row>
    <row r="9849" spans="1:14" hidden="1" outlineLevel="1" x14ac:dyDescent="0.2">
      <c r="A9849" s="28" t="s">
        <v>52</v>
      </c>
      <c r="B9849" s="28" t="s">
        <v>52</v>
      </c>
      <c r="C9849" s="28" t="s">
        <v>52</v>
      </c>
      <c r="D9849" s="22" t="s">
        <v>12199</v>
      </c>
      <c r="E9849" s="22" t="s">
        <v>103</v>
      </c>
      <c r="F9849" s="23" t="str">
        <f t="shared" si="457"/>
        <v>Оказание услуг по обслуживанию системы видеонаблюдения</v>
      </c>
      <c r="G9849" s="22" t="s">
        <v>52</v>
      </c>
      <c r="H9849" s="22" t="s">
        <v>52</v>
      </c>
      <c r="I9849" s="26">
        <v>43570.536111111098</v>
      </c>
      <c r="J9849" s="23" t="str">
        <f>HYPERLINK("https://www.spark-marketing.ru/Card/Person/6316283", "Варзанова Екатерина Олеговна")</f>
        <v>Варзанова Екатерина Олеговна</v>
      </c>
      <c r="K9849" s="24" t="s">
        <v>2059</v>
      </c>
      <c r="L9849" s="22" t="s">
        <v>10</v>
      </c>
      <c r="M9849" s="25">
        <v>430114.78</v>
      </c>
      <c r="N9849" s="27">
        <v>0.83132034025608625</v>
      </c>
    </row>
    <row r="9850" spans="1:14" hidden="1" outlineLevel="1" x14ac:dyDescent="0.2">
      <c r="A9850" s="28" t="s">
        <v>52</v>
      </c>
      <c r="B9850" s="28" t="s">
        <v>52</v>
      </c>
      <c r="C9850" s="28" t="s">
        <v>52</v>
      </c>
      <c r="D9850" s="22" t="s">
        <v>12199</v>
      </c>
      <c r="E9850" s="22" t="s">
        <v>103</v>
      </c>
      <c r="F9850" s="23" t="str">
        <f t="shared" si="457"/>
        <v>Оказание услуг по обслуживанию системы видеонаблюдения</v>
      </c>
      <c r="G9850" s="22" t="s">
        <v>52</v>
      </c>
      <c r="H9850" s="22" t="s">
        <v>52</v>
      </c>
      <c r="I9850" s="26">
        <v>43570.536111111098</v>
      </c>
      <c r="J9850" s="23" t="str">
        <f>HYPERLINK("https://www.spark-marketing.ru/Card/Person/1124385", "ООО ""БИТТЕЛ СИСТЕМЫ""")</f>
        <v>ООО "БИТТЕЛ СИСТЕМЫ"</v>
      </c>
      <c r="K9850" s="24" t="s">
        <v>12237</v>
      </c>
      <c r="L9850" s="28" t="s">
        <v>52</v>
      </c>
      <c r="M9850" s="25">
        <v>1427939.26</v>
      </c>
      <c r="N9850" s="27">
        <v>0.43999992627136403</v>
      </c>
    </row>
    <row r="9851" spans="1:14" hidden="1" outlineLevel="1" x14ac:dyDescent="0.2">
      <c r="A9851" s="28" t="s">
        <v>52</v>
      </c>
      <c r="B9851" s="28" t="s">
        <v>52</v>
      </c>
      <c r="C9851" s="28" t="s">
        <v>52</v>
      </c>
      <c r="D9851" s="22" t="s">
        <v>12199</v>
      </c>
      <c r="E9851" s="22" t="s">
        <v>103</v>
      </c>
      <c r="F9851" s="23" t="str">
        <f t="shared" si="457"/>
        <v>Оказание услуг по обслуживанию системы видеонаблюдения</v>
      </c>
      <c r="G9851" s="22" t="s">
        <v>52</v>
      </c>
      <c r="H9851" s="22" t="s">
        <v>52</v>
      </c>
      <c r="I9851" s="26">
        <v>43570.536111111098</v>
      </c>
      <c r="J9851" s="23" t="str">
        <f>HYPERLINK("https://www.spark-marketing.ru/Card/Person/54416", "ООО ЧОО ""ПОСАД СБ""")</f>
        <v>ООО ЧОО "ПОСАД СБ"</v>
      </c>
      <c r="K9851" s="24" t="s">
        <v>12238</v>
      </c>
      <c r="L9851" s="28" t="s">
        <v>52</v>
      </c>
      <c r="M9851" s="25">
        <v>1007206.5</v>
      </c>
      <c r="N9851" s="27">
        <v>0.60500020549896405</v>
      </c>
    </row>
    <row r="9852" spans="1:14" x14ac:dyDescent="0.15">
      <c r="A9852" s="23" t="str">
        <f t="shared" ref="A9852:A9857" si="458">HYPERLINK("https://www.spark-marketing.ru/Card/Person/28832", "АДМИНИСТРАЦИЯ ЗЛАТОУСТОВСКОГО ГОРОДСКОГО ОКРУГА")</f>
        <v>АДМИНИСТРАЦИЯ ЗЛАТОУСТОВСКОГО ГОРОДСКОГО ОКРУГА</v>
      </c>
      <c r="B9852" s="24" t="s">
        <v>12239</v>
      </c>
      <c r="C9852" s="25">
        <v>109586.66</v>
      </c>
      <c r="D9852" s="22" t="s">
        <v>12240</v>
      </c>
      <c r="E9852" s="22" t="s">
        <v>12241</v>
      </c>
      <c r="F9852" s="23" t="str">
        <f t="shared" ref="F9852:F9857" si="459">HYPERLINK("https://www.spark-marketing.ru/Card/Lot/69793030", "Поставка и установка системы видеонаблюдения")</f>
        <v>Поставка и установка системы видеонаблюдения</v>
      </c>
      <c r="G9852" s="22" t="s">
        <v>60</v>
      </c>
      <c r="H9852" s="22" t="s">
        <v>12242</v>
      </c>
      <c r="I9852" s="26">
        <v>43570.535416666702</v>
      </c>
      <c r="J9852" s="28" t="s">
        <v>52</v>
      </c>
      <c r="K9852" s="28" t="s">
        <v>52</v>
      </c>
      <c r="L9852" s="28" t="s">
        <v>52</v>
      </c>
      <c r="M9852" s="28" t="s">
        <v>52</v>
      </c>
      <c r="N9852" s="28" t="s">
        <v>52</v>
      </c>
    </row>
    <row r="9853" spans="1:14" hidden="1" outlineLevel="1" x14ac:dyDescent="0.2">
      <c r="A9853" s="23" t="str">
        <f t="shared" si="458"/>
        <v>АДМИНИСТРАЦИЯ ЗЛАТОУСТОВСКОГО ГОРОДСКОГО ОКРУГА</v>
      </c>
      <c r="B9853" s="24" t="s">
        <v>12239</v>
      </c>
      <c r="C9853" s="25">
        <v>109586.66</v>
      </c>
      <c r="D9853" s="22" t="s">
        <v>12240</v>
      </c>
      <c r="E9853" s="22" t="s">
        <v>12241</v>
      </c>
      <c r="F9853" s="23" t="str">
        <f t="shared" si="459"/>
        <v>Поставка и установка системы видеонаблюдения</v>
      </c>
      <c r="G9853" s="22" t="s">
        <v>60</v>
      </c>
      <c r="H9853" s="22" t="s">
        <v>12242</v>
      </c>
      <c r="I9853" s="26">
        <v>43570.535416666702</v>
      </c>
      <c r="J9853" s="23" t="str">
        <f>HYPERLINK("https://www.spark-marketing.ru/Card/Person/5853123", "Ершов Андрей Алексеевич")</f>
        <v>Ершов Андрей Алексеевич</v>
      </c>
      <c r="K9853" s="24" t="s">
        <v>1063</v>
      </c>
      <c r="L9853" s="28" t="s">
        <v>52</v>
      </c>
      <c r="M9853" s="25">
        <v>67943.92</v>
      </c>
      <c r="N9853" s="27">
        <v>0.37999825891217054</v>
      </c>
    </row>
    <row r="9854" spans="1:14" hidden="1" outlineLevel="1" x14ac:dyDescent="0.2">
      <c r="A9854" s="23" t="str">
        <f t="shared" si="458"/>
        <v>АДМИНИСТРАЦИЯ ЗЛАТОУСТОВСКОГО ГОРОДСКОГО ОКРУГА</v>
      </c>
      <c r="B9854" s="24" t="s">
        <v>12239</v>
      </c>
      <c r="C9854" s="25">
        <v>109586.66</v>
      </c>
      <c r="D9854" s="22" t="s">
        <v>12240</v>
      </c>
      <c r="E9854" s="22" t="s">
        <v>12241</v>
      </c>
      <c r="F9854" s="23" t="str">
        <f t="shared" si="459"/>
        <v>Поставка и установка системы видеонаблюдения</v>
      </c>
      <c r="G9854" s="22" t="s">
        <v>60</v>
      </c>
      <c r="H9854" s="22" t="s">
        <v>12242</v>
      </c>
      <c r="I9854" s="26">
        <v>43570.535416666702</v>
      </c>
      <c r="J9854" s="23" t="str">
        <f>HYPERLINK("https://www.spark-marketing.ru/Card/Person/6435962", "Соина Татьяна Павловна")</f>
        <v>Соина Татьяна Павловна</v>
      </c>
      <c r="K9854" s="24" t="s">
        <v>12243</v>
      </c>
      <c r="L9854" s="28" t="s">
        <v>52</v>
      </c>
      <c r="M9854" s="25">
        <v>109038.73</v>
      </c>
      <c r="N9854" s="27">
        <v>4.9999698868457166E-3</v>
      </c>
    </row>
    <row r="9855" spans="1:14" hidden="1" outlineLevel="1" x14ac:dyDescent="0.2">
      <c r="A9855" s="23" t="str">
        <f t="shared" si="458"/>
        <v>АДМИНИСТРАЦИЯ ЗЛАТОУСТОВСКОГО ГОРОДСКОГО ОКРУГА</v>
      </c>
      <c r="B9855" s="24" t="s">
        <v>12239</v>
      </c>
      <c r="C9855" s="25">
        <v>109586.66</v>
      </c>
      <c r="D9855" s="22" t="s">
        <v>12240</v>
      </c>
      <c r="E9855" s="22" t="s">
        <v>12241</v>
      </c>
      <c r="F9855" s="23" t="str">
        <f t="shared" si="459"/>
        <v>Поставка и установка системы видеонаблюдения</v>
      </c>
      <c r="G9855" s="22" t="s">
        <v>60</v>
      </c>
      <c r="H9855" s="22" t="s">
        <v>12242</v>
      </c>
      <c r="I9855" s="26">
        <v>43570.535416666702</v>
      </c>
      <c r="J9855" s="23" t="str">
        <f>HYPERLINK("https://www.spark-marketing.ru/Card/Person/850561", "ООО ""АСКОН""")</f>
        <v>ООО "АСКОН"</v>
      </c>
      <c r="K9855" s="24" t="s">
        <v>1266</v>
      </c>
      <c r="L9855" s="28" t="s">
        <v>52</v>
      </c>
      <c r="M9855" s="25">
        <v>76710.8</v>
      </c>
      <c r="N9855" s="27">
        <v>0.29999874072263905</v>
      </c>
    </row>
    <row r="9856" spans="1:14" hidden="1" outlineLevel="1" x14ac:dyDescent="0.2">
      <c r="A9856" s="23" t="str">
        <f t="shared" si="458"/>
        <v>АДМИНИСТРАЦИЯ ЗЛАТОУСТОВСКОГО ГОРОДСКОГО ОКРУГА</v>
      </c>
      <c r="B9856" s="24" t="s">
        <v>12239</v>
      </c>
      <c r="C9856" s="25">
        <v>109586.66</v>
      </c>
      <c r="D9856" s="22" t="s">
        <v>12240</v>
      </c>
      <c r="E9856" s="22" t="s">
        <v>12241</v>
      </c>
      <c r="F9856" s="23" t="str">
        <f t="shared" si="459"/>
        <v>Поставка и установка системы видеонаблюдения</v>
      </c>
      <c r="G9856" s="22" t="s">
        <v>60</v>
      </c>
      <c r="H9856" s="22" t="s">
        <v>12242</v>
      </c>
      <c r="I9856" s="26">
        <v>43570.535416666702</v>
      </c>
      <c r="J9856" s="23" t="str">
        <f>HYPERLINK("https://www.spark-marketing.ru/Card/Person/598931", "ООО""СПЕЦМОНТАЖСЕРВИС""")</f>
        <v>ООО"СПЕЦМОНТАЖСЕРВИС"</v>
      </c>
      <c r="K9856" s="24" t="s">
        <v>12244</v>
      </c>
      <c r="L9856" s="28" t="s">
        <v>52</v>
      </c>
      <c r="M9856" s="25">
        <v>47670.51</v>
      </c>
      <c r="N9856" s="27">
        <v>0.56499714472546203</v>
      </c>
    </row>
    <row r="9857" spans="1:14" ht="12.75" hidden="1" outlineLevel="1" x14ac:dyDescent="0.2">
      <c r="A9857" s="23" t="str">
        <f t="shared" si="458"/>
        <v>АДМИНИСТРАЦИЯ ЗЛАТОУСТОВСКОГО ГОРОДСКОГО ОКРУГА</v>
      </c>
      <c r="B9857" s="24" t="s">
        <v>12239</v>
      </c>
      <c r="C9857" s="25">
        <v>109586.66</v>
      </c>
      <c r="D9857" s="22" t="s">
        <v>12240</v>
      </c>
      <c r="E9857" s="22" t="s">
        <v>12241</v>
      </c>
      <c r="F9857" s="23" t="str">
        <f t="shared" si="459"/>
        <v>Поставка и установка системы видеонаблюдения</v>
      </c>
      <c r="G9857" s="22" t="s">
        <v>60</v>
      </c>
      <c r="H9857" s="22" t="s">
        <v>12242</v>
      </c>
      <c r="I9857" s="26">
        <v>43570.535416666702</v>
      </c>
      <c r="J9857" s="23" t="str">
        <f>HYPERLINK("https://www.spark-marketing.ru/Card/Person/6049626", "ООО ""ХОЛДАН""")</f>
        <v>ООО "ХОЛДАН"</v>
      </c>
      <c r="K9857" s="24" t="s">
        <v>3416</v>
      </c>
      <c r="L9857" s="22" t="s">
        <v>10</v>
      </c>
      <c r="M9857" s="25">
        <v>47122.58</v>
      </c>
      <c r="N9857" s="27">
        <v>0.56999711461230773</v>
      </c>
    </row>
    <row r="9858" spans="1:14" x14ac:dyDescent="0.15">
      <c r="A9858" s="23" t="str">
        <f>HYPERLINK("https://www.spark-marketing.ru/Card/Person/4126", "КУ ""УКС ЮГРЫ""")</f>
        <v>КУ "УКС ЮГРЫ"</v>
      </c>
      <c r="B9858" s="24" t="s">
        <v>12245</v>
      </c>
      <c r="C9858" s="28" t="s">
        <v>52</v>
      </c>
      <c r="D9858" s="22" t="s">
        <v>12246</v>
      </c>
      <c r="E9858" s="22" t="s">
        <v>52</v>
      </c>
      <c r="F9858" s="23" t="str">
        <f>HYPERLINK("https://www.spark-marketing.ru/Card/Lot/69794978", "Оказание услуг по охране объекта: ""Инженерное обеспечение ""Ландшафтного зоопарка в д. Шапша"", ""Дома-Интерната для престарелых и инвалидов на 50 мест в д. Шапша""""")</f>
        <v>Оказание услуг по охране объекта: "Инженерное обеспечение "Ландшафтного зоопарка в д. Шапша", "Дома-Интерната для престарелых и инвалидов на 50 мест в д. Шапша""</v>
      </c>
      <c r="G9858" s="22" t="s">
        <v>119</v>
      </c>
      <c r="H9858" s="22" t="s">
        <v>2563</v>
      </c>
      <c r="I9858" s="26">
        <v>43570.539583333302</v>
      </c>
      <c r="J9858" s="28" t="s">
        <v>52</v>
      </c>
      <c r="K9858" s="28" t="s">
        <v>52</v>
      </c>
      <c r="L9858" s="28" t="s">
        <v>52</v>
      </c>
      <c r="M9858" s="28" t="s">
        <v>52</v>
      </c>
      <c r="N9858" s="28" t="s">
        <v>52</v>
      </c>
    </row>
    <row r="9859" spans="1:14" x14ac:dyDescent="0.15">
      <c r="A9859" s="23" t="str">
        <f>HYPERLINK("https://www.spark-marketing.ru/Card/Person/1059656", "ГКУСО РО ЕРОФЕЕВСКИЙ ЦЕНТР ПОМОЩИ ДЕТЯМ")</f>
        <v>ГКУСО РО ЕРОФЕЕВСКИЙ ЦЕНТР ПОМОЩИ ДЕТЯМ</v>
      </c>
      <c r="B9859" s="24" t="s">
        <v>12247</v>
      </c>
      <c r="C9859" s="25">
        <v>13500</v>
      </c>
      <c r="D9859" s="22" t="s">
        <v>12248</v>
      </c>
      <c r="E9859" s="22" t="s">
        <v>103</v>
      </c>
      <c r="F9859" s="23" t="str">
        <f>HYPERLINK("https://www.spark-marketing.ru/Card/Lot/69792153", "Техническое обслуживание системы видеонаблюдения.")</f>
        <v>Техническое обслуживание системы видеонаблюдения.</v>
      </c>
      <c r="G9859" s="22" t="s">
        <v>402</v>
      </c>
      <c r="H9859" s="22" t="s">
        <v>4516</v>
      </c>
      <c r="I9859" s="26">
        <v>43570.4819444444</v>
      </c>
      <c r="J9859" s="28" t="s">
        <v>52</v>
      </c>
      <c r="K9859" s="28" t="s">
        <v>52</v>
      </c>
      <c r="L9859" s="28" t="s">
        <v>52</v>
      </c>
      <c r="M9859" s="28" t="s">
        <v>52</v>
      </c>
      <c r="N9859" s="28" t="s">
        <v>52</v>
      </c>
    </row>
    <row r="9860" spans="1:14" x14ac:dyDescent="0.15">
      <c r="A9860" s="23" t="str">
        <f t="shared" ref="A9860:A9865" si="460">HYPERLINK("https://www.spark-marketing.ru/Card/Person/88378", "КГБУ СО ЦЕНТР СЕМЬИ ""ПРИМОРСКИЙ""")</f>
        <v>КГБУ СО ЦЕНТР СЕМЬИ "ПРИМОРСКИЙ"</v>
      </c>
      <c r="B9860" s="24" t="s">
        <v>4152</v>
      </c>
      <c r="C9860" s="25">
        <v>677067.36</v>
      </c>
      <c r="D9860" s="22" t="s">
        <v>12249</v>
      </c>
      <c r="E9860" s="22" t="s">
        <v>52</v>
      </c>
      <c r="F9860" s="23" t="str">
        <f t="shared" ref="F9860:F9865" si="461">HYPERLINK("https://www.spark-marketing.ru/Card/Lot/69783571", "ЭА 40526/19 «Оказание охранных услуг для нужд краевого государственного бюджетного учреждения социального обслуживания ""Центр социальной помощи семье и детям «Приморский» на 2019 год»")</f>
        <v>ЭА 40526/19 «Оказание охранных услуг для нужд краевого государственного бюджетного учреждения социального обслуживания "Центр социальной помощи семье и детям «Приморский» на 2019 год»</v>
      </c>
      <c r="G9860" s="22" t="s">
        <v>640</v>
      </c>
      <c r="H9860" s="22" t="s">
        <v>4154</v>
      </c>
      <c r="I9860" s="26">
        <v>43570.479861111096</v>
      </c>
      <c r="J9860" s="28" t="s">
        <v>52</v>
      </c>
      <c r="K9860" s="28" t="s">
        <v>52</v>
      </c>
      <c r="L9860" s="28" t="s">
        <v>52</v>
      </c>
      <c r="M9860" s="28" t="s">
        <v>52</v>
      </c>
      <c r="N9860" s="28" t="s">
        <v>52</v>
      </c>
    </row>
    <row r="9861" spans="1:14" hidden="1" outlineLevel="1" x14ac:dyDescent="0.2">
      <c r="A9861" s="23" t="str">
        <f t="shared" si="460"/>
        <v>КГБУ СО ЦЕНТР СЕМЬИ "ПРИМОРСКИЙ"</v>
      </c>
      <c r="B9861" s="24" t="s">
        <v>4152</v>
      </c>
      <c r="C9861" s="25">
        <v>677067.36</v>
      </c>
      <c r="D9861" s="22" t="s">
        <v>12249</v>
      </c>
      <c r="E9861" s="22" t="s">
        <v>52</v>
      </c>
      <c r="F9861" s="23" t="str">
        <f t="shared" si="461"/>
        <v>ЭА 40526/19 «Оказание охранных услуг для нужд краевого государственного бюджетного учреждения социального обслуживания "Центр социальной помощи семье и детям «Приморский» на 2019 год»</v>
      </c>
      <c r="G9861" s="22" t="s">
        <v>640</v>
      </c>
      <c r="H9861" s="22" t="s">
        <v>4154</v>
      </c>
      <c r="I9861" s="26">
        <v>43570.479861111096</v>
      </c>
      <c r="J9861" s="23" t="str">
        <f>HYPERLINK("https://www.spark-marketing.ru/Card/Person/469974", "ООО ЧОП ""САПСАН-ПЛЮС""")</f>
        <v>ООО ЧОП "САПСАН-ПЛЮС"</v>
      </c>
      <c r="K9861" s="24" t="s">
        <v>4155</v>
      </c>
      <c r="L9861" s="28" t="s">
        <v>52</v>
      </c>
      <c r="M9861" s="25">
        <v>199734.7</v>
      </c>
      <c r="N9861" s="27">
        <v>0.70500025285519596</v>
      </c>
    </row>
    <row r="9862" spans="1:14" hidden="1" outlineLevel="1" x14ac:dyDescent="0.2">
      <c r="A9862" s="23" t="str">
        <f t="shared" si="460"/>
        <v>КГБУ СО ЦЕНТР СЕМЬИ "ПРИМОРСКИЙ"</v>
      </c>
      <c r="B9862" s="24" t="s">
        <v>4152</v>
      </c>
      <c r="C9862" s="25">
        <v>677067.36</v>
      </c>
      <c r="D9862" s="22" t="s">
        <v>12249</v>
      </c>
      <c r="E9862" s="22" t="s">
        <v>52</v>
      </c>
      <c r="F9862" s="23" t="str">
        <f t="shared" si="461"/>
        <v>ЭА 40526/19 «Оказание охранных услуг для нужд краевого государственного бюджетного учреждения социального обслуживания "Центр социальной помощи семье и детям «Приморский» на 2019 год»</v>
      </c>
      <c r="G9862" s="22" t="s">
        <v>640</v>
      </c>
      <c r="H9862" s="22" t="s">
        <v>4154</v>
      </c>
      <c r="I9862" s="26">
        <v>43570.479861111096</v>
      </c>
      <c r="J9862" s="23" t="str">
        <f>HYPERLINK("https://www.spark-marketing.ru/Card/Person/5951099", "ООО ЧОП ""АСГАРД""")</f>
        <v>ООО ЧОП "АСГАРД"</v>
      </c>
      <c r="K9862" s="24" t="s">
        <v>12250</v>
      </c>
      <c r="L9862" s="28" t="s">
        <v>52</v>
      </c>
      <c r="M9862" s="25">
        <v>247129.46</v>
      </c>
      <c r="N9862" s="27">
        <v>0.63500018668748115</v>
      </c>
    </row>
    <row r="9863" spans="1:14" hidden="1" outlineLevel="1" x14ac:dyDescent="0.2">
      <c r="A9863" s="23" t="str">
        <f t="shared" si="460"/>
        <v>КГБУ СО ЦЕНТР СЕМЬИ "ПРИМОРСКИЙ"</v>
      </c>
      <c r="B9863" s="24" t="s">
        <v>4152</v>
      </c>
      <c r="C9863" s="25">
        <v>677067.36</v>
      </c>
      <c r="D9863" s="22" t="s">
        <v>12249</v>
      </c>
      <c r="E9863" s="22" t="s">
        <v>52</v>
      </c>
      <c r="F9863" s="23" t="str">
        <f t="shared" si="461"/>
        <v>ЭА 40526/19 «Оказание охранных услуг для нужд краевого государственного бюджетного учреждения социального обслуживания "Центр социальной помощи семье и детям «Приморский» на 2019 год»</v>
      </c>
      <c r="G9863" s="22" t="s">
        <v>640</v>
      </c>
      <c r="H9863" s="22" t="s">
        <v>4154</v>
      </c>
      <c r="I9863" s="26">
        <v>43570.479861111096</v>
      </c>
      <c r="J9863" s="23" t="str">
        <f>HYPERLINK("https://www.spark-marketing.ru/Card/Person/472540", "ООО ""МОЛОТ""")</f>
        <v>ООО "МОЛОТ"</v>
      </c>
      <c r="K9863" s="24" t="s">
        <v>4684</v>
      </c>
      <c r="L9863" s="28" t="s">
        <v>52</v>
      </c>
      <c r="M9863" s="25">
        <v>673682.02</v>
      </c>
      <c r="N9863" s="27">
        <v>5.0000047262653453E-3</v>
      </c>
    </row>
    <row r="9864" spans="1:14" ht="12.75" hidden="1" outlineLevel="1" x14ac:dyDescent="0.2">
      <c r="A9864" s="23" t="str">
        <f t="shared" si="460"/>
        <v>КГБУ СО ЦЕНТР СЕМЬИ "ПРИМОРСКИЙ"</v>
      </c>
      <c r="B9864" s="24" t="s">
        <v>4152</v>
      </c>
      <c r="C9864" s="25">
        <v>677067.36</v>
      </c>
      <c r="D9864" s="22" t="s">
        <v>12249</v>
      </c>
      <c r="E9864" s="22" t="s">
        <v>52</v>
      </c>
      <c r="F9864" s="23" t="str">
        <f t="shared" si="461"/>
        <v>ЭА 40526/19 «Оказание охранных услуг для нужд краевого государственного бюджетного учреждения социального обслуживания "Центр социальной помощи семье и детям «Приморский» на 2019 год»</v>
      </c>
      <c r="G9864" s="22" t="s">
        <v>640</v>
      </c>
      <c r="H9864" s="22" t="s">
        <v>4154</v>
      </c>
      <c r="I9864" s="26">
        <v>43570.479861111096</v>
      </c>
      <c r="J9864" s="23" t="str">
        <f>HYPERLINK("https://www.spark-marketing.ru/Card/Person/87686", "ООО ОА ""ПЕРЕСВЕТ""")</f>
        <v>ООО ОА "ПЕРЕСВЕТ"</v>
      </c>
      <c r="K9864" s="24" t="s">
        <v>2992</v>
      </c>
      <c r="L9864" s="22" t="s">
        <v>10</v>
      </c>
      <c r="M9864" s="25">
        <v>196349.36</v>
      </c>
      <c r="N9864" s="27">
        <v>0.71000025758146135</v>
      </c>
    </row>
    <row r="9865" spans="1:14" hidden="1" outlineLevel="1" x14ac:dyDescent="0.2">
      <c r="A9865" s="23" t="str">
        <f t="shared" si="460"/>
        <v>КГБУ СО ЦЕНТР СЕМЬИ "ПРИМОРСКИЙ"</v>
      </c>
      <c r="B9865" s="24" t="s">
        <v>4152</v>
      </c>
      <c r="C9865" s="25">
        <v>677067.36</v>
      </c>
      <c r="D9865" s="22" t="s">
        <v>12249</v>
      </c>
      <c r="E9865" s="22" t="s">
        <v>52</v>
      </c>
      <c r="F9865" s="23" t="str">
        <f t="shared" si="461"/>
        <v>ЭА 40526/19 «Оказание охранных услуг для нужд краевого государственного бюджетного учреждения социального обслуживания "Центр социальной помощи семье и детям «Приморский» на 2019 год»</v>
      </c>
      <c r="G9865" s="22" t="s">
        <v>640</v>
      </c>
      <c r="H9865" s="22" t="s">
        <v>4154</v>
      </c>
      <c r="I9865" s="26">
        <v>43570.479861111096</v>
      </c>
      <c r="J9865" s="23" t="str">
        <f>HYPERLINK("https://www.spark-marketing.ru/Card/Person/4352516", "ООО ЧОА ""УРАГАН-ОХРАНА""")</f>
        <v>ООО ЧОА "УРАГАН-ОХРАНА"</v>
      </c>
      <c r="K9865" s="24" t="s">
        <v>12251</v>
      </c>
      <c r="L9865" s="28" t="s">
        <v>52</v>
      </c>
      <c r="M9865" s="25">
        <v>677067.35</v>
      </c>
      <c r="N9865" s="27">
        <v>1.476957920405438E-8</v>
      </c>
    </row>
    <row r="9866" spans="1:14" x14ac:dyDescent="0.15">
      <c r="A9866" s="23" t="str">
        <f>HYPERLINK("https://www.spark-marketing.ru/Card/Person/125910", "БОУ Г. ОМСКА ""СРЕДНЯЯ ОБЩЕОБРАЗОВАТЕЛЬНАЯ ШКОЛА № 42""")</f>
        <v>БОУ Г. ОМСКА "СРЕДНЯЯ ОБЩЕОБРАЗОВАТЕЛЬНАЯ ШКОЛА № 42"</v>
      </c>
      <c r="B9866" s="24" t="s">
        <v>8256</v>
      </c>
      <c r="C9866" s="25">
        <v>24875</v>
      </c>
      <c r="D9866" s="22" t="s">
        <v>12252</v>
      </c>
      <c r="E9866" s="22" t="s">
        <v>68</v>
      </c>
      <c r="F9866" s="23" t="str">
        <f>HYPERLINK("https://www.spark-marketing.ru/Card/Lot/69792018", "Оказание охранных услуг")</f>
        <v>Оказание охранных услуг</v>
      </c>
      <c r="G9866" s="22" t="s">
        <v>521</v>
      </c>
      <c r="H9866" s="22" t="s">
        <v>522</v>
      </c>
      <c r="I9866" s="26">
        <v>43570.469444444403</v>
      </c>
      <c r="J9866" s="28" t="s">
        <v>52</v>
      </c>
      <c r="K9866" s="28" t="s">
        <v>52</v>
      </c>
      <c r="L9866" s="28" t="s">
        <v>52</v>
      </c>
      <c r="M9866" s="28" t="s">
        <v>52</v>
      </c>
      <c r="N9866" s="28" t="s">
        <v>52</v>
      </c>
    </row>
    <row r="9867" spans="1:14" x14ac:dyDescent="0.15">
      <c r="A9867" s="23" t="str">
        <f>HYPERLINK("https://www.spark-marketing.ru/Card/Person/419647", "ФКУ БМТИВС УФСИН РОССИИ ПО ХАНТЫ-МАНСИЙСКОМУ АВТОНОМНОМУ ОКРУГУ - ЮГРЕ")</f>
        <v>ФКУ БМТИВС УФСИН РОССИИ ПО ХАНТЫ-МАНСИЙСКОМУ АВТОНОМНОМУ ОКРУГУ - ЮГРЕ</v>
      </c>
      <c r="B9867" s="24" t="s">
        <v>12253</v>
      </c>
      <c r="C9867" s="25">
        <v>716700</v>
      </c>
      <c r="D9867" s="22" t="s">
        <v>12254</v>
      </c>
      <c r="E9867" s="22" t="s">
        <v>2458</v>
      </c>
      <c r="F9867" s="23" t="str">
        <f>HYPERLINK("https://www.spark-marketing.ru/Card/Lot/69786601", "Легковой автомобиль в рамках государственного оборонного заказа в целях обеспечения государственной программы вооружения")</f>
        <v>Легковой автомобиль в рамках государственного оборонного заказа в целях обеспечения государственной программы вооружения</v>
      </c>
      <c r="G9867" s="22" t="s">
        <v>119</v>
      </c>
      <c r="H9867" s="22" t="s">
        <v>119</v>
      </c>
      <c r="I9867" s="26">
        <v>43570.472222222197</v>
      </c>
      <c r="J9867" s="23" t="str">
        <f>HYPERLINK("https://www.spark-marketing.ru/Card/Person/4358944", "ООО ""АВТОЦЕНТРГАЗ""")</f>
        <v>ООО "АВТОЦЕНТРГАЗ"</v>
      </c>
      <c r="K9867" s="24" t="s">
        <v>12255</v>
      </c>
      <c r="L9867" s="22" t="s">
        <v>10</v>
      </c>
      <c r="M9867" s="28" t="s">
        <v>52</v>
      </c>
      <c r="N9867" s="28" t="s">
        <v>52</v>
      </c>
    </row>
    <row r="9868" spans="1:14" x14ac:dyDescent="0.15">
      <c r="A9868" s="23" t="str">
        <f>HYPERLINK("https://www.spark-marketing.ru/Card/Person/19243", "ОБУЗ ПРИВОЛЖСКАЯ ЦРБ")</f>
        <v>ОБУЗ ПРИВОЛЖСКАЯ ЦРБ</v>
      </c>
      <c r="B9868" s="24" t="s">
        <v>12256</v>
      </c>
      <c r="C9868" s="25">
        <v>151200</v>
      </c>
      <c r="D9868" s="22" t="s">
        <v>12257</v>
      </c>
      <c r="E9868" s="22" t="s">
        <v>52</v>
      </c>
      <c r="F9868" s="23" t="str">
        <f>HYPERLINK("https://www.spark-marketing.ru/Card/Lot/69795845", "Оказание услуг по охране объектов ОБУЗ Приволжская ЦРБ")</f>
        <v>Оказание услуг по охране объектов ОБУЗ Приволжская ЦРБ</v>
      </c>
      <c r="G9868" s="22" t="s">
        <v>340</v>
      </c>
      <c r="H9868" s="22" t="s">
        <v>12127</v>
      </c>
      <c r="I9868" s="26">
        <v>43570.496527777803</v>
      </c>
      <c r="J9868" s="28" t="s">
        <v>52</v>
      </c>
      <c r="K9868" s="28" t="s">
        <v>52</v>
      </c>
      <c r="L9868" s="28" t="s">
        <v>52</v>
      </c>
      <c r="M9868" s="28" t="s">
        <v>52</v>
      </c>
      <c r="N9868" s="28" t="s">
        <v>52</v>
      </c>
    </row>
    <row r="9869" spans="1:14" ht="12.75" hidden="1" outlineLevel="1" x14ac:dyDescent="0.2">
      <c r="A9869" s="23" t="str">
        <f>HYPERLINK("https://www.spark-marketing.ru/Card/Person/19243", "ОБУЗ ПРИВОЛЖСКАЯ ЦРБ")</f>
        <v>ОБУЗ ПРИВОЛЖСКАЯ ЦРБ</v>
      </c>
      <c r="B9869" s="24" t="s">
        <v>12256</v>
      </c>
      <c r="C9869" s="25">
        <v>151200</v>
      </c>
      <c r="D9869" s="22" t="s">
        <v>12257</v>
      </c>
      <c r="E9869" s="22" t="s">
        <v>52</v>
      </c>
      <c r="F9869" s="23" t="str">
        <f>HYPERLINK("https://www.spark-marketing.ru/Card/Lot/69795845", "Оказание услуг по охране объектов ОБУЗ Приволжская ЦРБ")</f>
        <v>Оказание услуг по охране объектов ОБУЗ Приволжская ЦРБ</v>
      </c>
      <c r="G9869" s="22" t="s">
        <v>340</v>
      </c>
      <c r="H9869" s="22" t="s">
        <v>12127</v>
      </c>
      <c r="I9869" s="26">
        <v>43570.496527777803</v>
      </c>
      <c r="J9869" s="23" t="str">
        <f>HYPERLINK("https://www.spark-marketing.ru/Card/Person/318378", "ООО ""ЧОП ""БАРЬЕР""")</f>
        <v>ООО "ЧОП "БАРЬЕР"</v>
      </c>
      <c r="K9869" s="24" t="s">
        <v>9904</v>
      </c>
      <c r="L9869" s="22" t="s">
        <v>10</v>
      </c>
      <c r="M9869" s="25">
        <v>151000</v>
      </c>
      <c r="N9869" s="27">
        <v>1.3227513227513227E-3</v>
      </c>
    </row>
    <row r="9870" spans="1:14" hidden="1" outlineLevel="1" x14ac:dyDescent="0.2">
      <c r="A9870" s="23" t="str">
        <f>HYPERLINK("https://www.spark-marketing.ru/Card/Person/19243", "ОБУЗ ПРИВОЛЖСКАЯ ЦРБ")</f>
        <v>ОБУЗ ПРИВОЛЖСКАЯ ЦРБ</v>
      </c>
      <c r="B9870" s="24" t="s">
        <v>12256</v>
      </c>
      <c r="C9870" s="25">
        <v>151200</v>
      </c>
      <c r="D9870" s="22" t="s">
        <v>12257</v>
      </c>
      <c r="E9870" s="22" t="s">
        <v>52</v>
      </c>
      <c r="F9870" s="23" t="str">
        <f>HYPERLINK("https://www.spark-marketing.ru/Card/Lot/69795845", "Оказание услуг по охране объектов ОБУЗ Приволжская ЦРБ")</f>
        <v>Оказание услуг по охране объектов ОБУЗ Приволжская ЦРБ</v>
      </c>
      <c r="G9870" s="22" t="s">
        <v>340</v>
      </c>
      <c r="H9870" s="22" t="s">
        <v>12127</v>
      </c>
      <c r="I9870" s="26">
        <v>43570.496527777803</v>
      </c>
      <c r="J9870" s="23" t="str">
        <f>HYPERLINK("https://www.spark-marketing.ru/Card/Person/580757", "ООО ОП ""ТАУЭР-Н""")</f>
        <v>ООО ОП "ТАУЭР-Н"</v>
      </c>
      <c r="K9870" s="24" t="s">
        <v>2064</v>
      </c>
      <c r="L9870" s="28" t="s">
        <v>52</v>
      </c>
      <c r="M9870" s="25">
        <v>151200</v>
      </c>
      <c r="N9870" s="27">
        <v>0</v>
      </c>
    </row>
    <row r="9871" spans="1:14" x14ac:dyDescent="0.15">
      <c r="A9871" s="23" t="str">
        <f>HYPERLINK("https://www.spark-marketing.ru/Card/Person/22755", "СПБ ГБУЗ ""КВД № 6""")</f>
        <v>СПБ ГБУЗ "КВД № 6"</v>
      </c>
      <c r="B9871" s="24" t="s">
        <v>12258</v>
      </c>
      <c r="C9871" s="25">
        <v>627583</v>
      </c>
      <c r="D9871" s="22" t="s">
        <v>12259</v>
      </c>
      <c r="E9871" s="22" t="s">
        <v>59</v>
      </c>
      <c r="F9871" s="23" t="str">
        <f>HYPERLINK("https://www.spark-marketing.ru/Card/Lot/69795731", "Выполнение работ по монтажу системы видеонаблюдения в здании СПб ГБУЗ "" КВД № 6"" по адресу: СПб, ул.Летчика Пилютова, д. 41")</f>
        <v>Выполнение работ по монтажу системы видеонаблюдения в здании СПб ГБУЗ " КВД № 6" по адресу: СПб, ул.Летчика Пилютова, д. 41</v>
      </c>
      <c r="G9871" s="22" t="s">
        <v>89</v>
      </c>
      <c r="H9871" s="22" t="s">
        <v>89</v>
      </c>
      <c r="I9871" s="26">
        <v>43570.484722222202</v>
      </c>
      <c r="J9871" s="23" t="str">
        <f>HYPERLINK("https://www.spark-marketing.ru/Card/Person/1548969", "ООО ""ОМЕГА""")</f>
        <v>ООО "ОМЕГА"</v>
      </c>
      <c r="K9871" s="24" t="s">
        <v>1352</v>
      </c>
      <c r="L9871" s="28" t="s">
        <v>52</v>
      </c>
      <c r="M9871" s="28" t="s">
        <v>52</v>
      </c>
      <c r="N9871" s="28" t="s">
        <v>52</v>
      </c>
    </row>
    <row r="9872" spans="1:14" ht="12.75" hidden="1" outlineLevel="1" x14ac:dyDescent="0.2">
      <c r="A9872" s="23" t="str">
        <f>HYPERLINK("https://www.spark-marketing.ru/Card/Person/22755", "СПБ ГБУЗ ""КВД № 6""")</f>
        <v>СПБ ГБУЗ "КВД № 6"</v>
      </c>
      <c r="B9872" s="24" t="s">
        <v>12258</v>
      </c>
      <c r="C9872" s="25">
        <v>627583</v>
      </c>
      <c r="D9872" s="22" t="s">
        <v>12259</v>
      </c>
      <c r="E9872" s="22" t="s">
        <v>59</v>
      </c>
      <c r="F9872" s="23" t="str">
        <f>HYPERLINK("https://www.spark-marketing.ru/Card/Lot/69795731", "Выполнение работ по монтажу системы видеонаблюдения в здании СПб ГБУЗ "" КВД № 6"" по адресу: СПб, ул.Летчика Пилютова, д. 41")</f>
        <v>Выполнение работ по монтажу системы видеонаблюдения в здании СПб ГБУЗ " КВД № 6" по адресу: СПб, ул.Летчика Пилютова, д. 41</v>
      </c>
      <c r="G9872" s="22" t="s">
        <v>89</v>
      </c>
      <c r="H9872" s="22" t="s">
        <v>89</v>
      </c>
      <c r="I9872" s="26">
        <v>43570.484722222202</v>
      </c>
      <c r="J9872" s="23" t="str">
        <f>HYPERLINK("https://www.spark-marketing.ru/Card/Person/1548969", "ООО ""ОМЕГА""")</f>
        <v>ООО "ОМЕГА"</v>
      </c>
      <c r="K9872" s="24" t="s">
        <v>1352</v>
      </c>
      <c r="L9872" s="22" t="s">
        <v>10</v>
      </c>
      <c r="M9872" s="25">
        <v>624445.07999999996</v>
      </c>
      <c r="N9872" s="27">
        <v>5.000007967073678E-3</v>
      </c>
    </row>
    <row r="9873" spans="1:14" x14ac:dyDescent="0.15">
      <c r="A9873" s="23" t="str">
        <f>HYPERLINK("https://www.spark-marketing.ru/Card/Person/419647", "ФКУ БМТИВС УФСИН РОССИИ ПО ХАНТЫ-МАНСИЙСКОМУ АВТОНОМНОМУ ОКРУГУ - ЮГРЕ")</f>
        <v>ФКУ БМТИВС УФСИН РОССИИ ПО ХАНТЫ-МАНСИЙСКОМУ АВТОНОМНОМУ ОКРУГУ - ЮГРЕ</v>
      </c>
      <c r="B9873" s="24" t="s">
        <v>12253</v>
      </c>
      <c r="C9873" s="25">
        <v>1341500</v>
      </c>
      <c r="D9873" s="22" t="s">
        <v>12260</v>
      </c>
      <c r="E9873" s="22" t="s">
        <v>2458</v>
      </c>
      <c r="F9873" s="23" t="str">
        <f>HYPERLINK("https://www.spark-marketing.ru/Card/Lot/69786618", "Оперативно-служебный автомобиль типа  АЗМ-03 в рамках государственного оборонного заказа в целях обеспечения государственной программы вооружения")</f>
        <v>Оперативно-служебный автомобиль типа  АЗМ-03 в рамках государственного оборонного заказа в целях обеспечения государственной программы вооружения</v>
      </c>
      <c r="G9873" s="22" t="s">
        <v>446</v>
      </c>
      <c r="H9873" s="22" t="s">
        <v>446</v>
      </c>
      <c r="I9873" s="26">
        <v>43570.467361111099</v>
      </c>
      <c r="J9873" s="28" t="s">
        <v>52</v>
      </c>
      <c r="K9873" s="28" t="s">
        <v>52</v>
      </c>
      <c r="L9873" s="28" t="s">
        <v>52</v>
      </c>
      <c r="M9873" s="28" t="s">
        <v>52</v>
      </c>
      <c r="N9873" s="28" t="s">
        <v>52</v>
      </c>
    </row>
    <row r="9874" spans="1:14" x14ac:dyDescent="0.15">
      <c r="A9874" s="23" t="str">
        <f>HYPERLINK("https://www.spark-marketing.ru/Card/Person/84502", "МБДОУ № 37")</f>
        <v>МБДОУ № 37</v>
      </c>
      <c r="B9874" s="24" t="s">
        <v>12261</v>
      </c>
      <c r="C9874" s="25">
        <v>42652.47</v>
      </c>
      <c r="D9874" s="22" t="s">
        <v>12262</v>
      </c>
      <c r="E9874" s="22" t="s">
        <v>107</v>
      </c>
      <c r="F9874" s="23" t="str">
        <f>HYPERLINK("https://www.spark-marketing.ru/Card/Lot/69791108", "Монтаж системы видеонаблюдения")</f>
        <v>Монтаж системы видеонаблюдения</v>
      </c>
      <c r="G9874" s="22" t="s">
        <v>50</v>
      </c>
      <c r="H9874" s="22" t="s">
        <v>265</v>
      </c>
      <c r="I9874" s="26">
        <v>43570.493958333303</v>
      </c>
      <c r="J9874" s="28" t="s">
        <v>52</v>
      </c>
      <c r="K9874" s="28" t="s">
        <v>52</v>
      </c>
      <c r="L9874" s="28" t="s">
        <v>52</v>
      </c>
      <c r="M9874" s="28" t="s">
        <v>52</v>
      </c>
      <c r="N9874" s="28" t="s">
        <v>52</v>
      </c>
    </row>
    <row r="9875" spans="1:14" x14ac:dyDescent="0.15">
      <c r="A9875" s="23" t="str">
        <f>HYPERLINK("https://www.spark-marketing.ru/Card/Person/419647", "ФКУ БМТИВС УФСИН РОССИИ ПО ХАНТЫ-МАНСИЙСКОМУ АВТОНОМНОМУ ОКРУГУ - ЮГРЕ")</f>
        <v>ФКУ БМТИВС УФСИН РОССИИ ПО ХАНТЫ-МАНСИЙСКОМУ АВТОНОМНОМУ ОКРУГУ - ЮГРЕ</v>
      </c>
      <c r="B9875" s="24" t="s">
        <v>12253</v>
      </c>
      <c r="C9875" s="25">
        <v>787100</v>
      </c>
      <c r="D9875" s="22" t="s">
        <v>12263</v>
      </c>
      <c r="E9875" s="22" t="s">
        <v>2458</v>
      </c>
      <c r="F9875" s="23" t="str">
        <f>HYPERLINK("https://www.spark-marketing.ru/Card/Lot/69786597", "Легковой автомобиль в рамках государственного оборонного заказа в целях обеспечения государственной программы вооружения")</f>
        <v>Легковой автомобиль в рамках государственного оборонного заказа в целях обеспечения государственной программы вооружения</v>
      </c>
      <c r="G9875" s="22" t="s">
        <v>119</v>
      </c>
      <c r="H9875" s="22" t="s">
        <v>119</v>
      </c>
      <c r="I9875" s="26">
        <v>43570.474999999999</v>
      </c>
      <c r="J9875" s="28" t="s">
        <v>52</v>
      </c>
      <c r="K9875" s="28" t="s">
        <v>52</v>
      </c>
      <c r="L9875" s="28" t="s">
        <v>52</v>
      </c>
      <c r="M9875" s="28" t="s">
        <v>52</v>
      </c>
      <c r="N9875" s="28" t="s">
        <v>52</v>
      </c>
    </row>
    <row r="9876" spans="1:14" ht="12.75" hidden="1" outlineLevel="1" x14ac:dyDescent="0.2">
      <c r="A9876" s="23" t="str">
        <f>HYPERLINK("https://www.spark-marketing.ru/Card/Person/419647", "ФКУ БМТИВС УФСИН РОССИИ ПО ХАНТЫ-МАНСИЙСКОМУ АВТОНОМНОМУ ОКРУГУ - ЮГРЕ")</f>
        <v>ФКУ БМТИВС УФСИН РОССИИ ПО ХАНТЫ-МАНСИЙСКОМУ АВТОНОМНОМУ ОКРУГУ - ЮГРЕ</v>
      </c>
      <c r="B9876" s="24" t="s">
        <v>12253</v>
      </c>
      <c r="C9876" s="25">
        <v>787100</v>
      </c>
      <c r="D9876" s="22" t="s">
        <v>12263</v>
      </c>
      <c r="E9876" s="22" t="s">
        <v>2458</v>
      </c>
      <c r="F9876" s="23" t="str">
        <f>HYPERLINK("https://www.spark-marketing.ru/Card/Lot/69786597", "Легковой автомобиль в рамках государственного оборонного заказа в целях обеспечения государственной программы вооружения")</f>
        <v>Легковой автомобиль в рамках государственного оборонного заказа в целях обеспечения государственной программы вооружения</v>
      </c>
      <c r="G9876" s="22" t="s">
        <v>119</v>
      </c>
      <c r="H9876" s="22" t="s">
        <v>119</v>
      </c>
      <c r="I9876" s="26">
        <v>43570.474999999999</v>
      </c>
      <c r="J9876" s="23" t="str">
        <f>HYPERLINK("https://www.spark-marketing.ru/Card/Person/4358944", "ООО ""АВТОЦЕНТРГАЗ""")</f>
        <v>ООО "АВТОЦЕНТРГАЗ"</v>
      </c>
      <c r="K9876" s="24" t="s">
        <v>12255</v>
      </c>
      <c r="L9876" s="22" t="s">
        <v>10</v>
      </c>
      <c r="M9876" s="25">
        <v>771358</v>
      </c>
      <c r="N9876" s="27">
        <v>0.02</v>
      </c>
    </row>
    <row r="9877" spans="1:14" hidden="1" outlineLevel="1" x14ac:dyDescent="0.2">
      <c r="A9877" s="23" t="str">
        <f>HYPERLINK("https://www.spark-marketing.ru/Card/Person/419647", "ФКУ БМТИВС УФСИН РОССИИ ПО ХАНТЫ-МАНСИЙСКОМУ АВТОНОМНОМУ ОКРУГУ - ЮГРЕ")</f>
        <v>ФКУ БМТИВС УФСИН РОССИИ ПО ХАНТЫ-МАНСИЙСКОМУ АВТОНОМНОМУ ОКРУГУ - ЮГРЕ</v>
      </c>
      <c r="B9877" s="24" t="s">
        <v>12253</v>
      </c>
      <c r="C9877" s="25">
        <v>787100</v>
      </c>
      <c r="D9877" s="22" t="s">
        <v>12263</v>
      </c>
      <c r="E9877" s="22" t="s">
        <v>2458</v>
      </c>
      <c r="F9877" s="23" t="str">
        <f>HYPERLINK("https://www.spark-marketing.ru/Card/Lot/69786597", "Легковой автомобиль в рамках государственного оборонного заказа в целях обеспечения государственной программы вооружения")</f>
        <v>Легковой автомобиль в рамках государственного оборонного заказа в целях обеспечения государственной программы вооружения</v>
      </c>
      <c r="G9877" s="22" t="s">
        <v>119</v>
      </c>
      <c r="H9877" s="22" t="s">
        <v>119</v>
      </c>
      <c r="I9877" s="26">
        <v>43570.474999999999</v>
      </c>
      <c r="J9877" s="23" t="str">
        <f>HYPERLINK("https://www.spark-marketing.ru/Card/Person/180952", "ООО ""САТУРН-2""")</f>
        <v>ООО "САТУРН-2"</v>
      </c>
      <c r="K9877" s="24" t="s">
        <v>12264</v>
      </c>
      <c r="L9877" s="28" t="s">
        <v>52</v>
      </c>
      <c r="M9877" s="25">
        <v>775293.5</v>
      </c>
      <c r="N9877" s="27">
        <v>1.4999999999999999E-2</v>
      </c>
    </row>
    <row r="9878" spans="1:14" x14ac:dyDescent="0.15">
      <c r="A9878" s="23" t="str">
        <f>HYPERLINK("https://www.spark-marketing.ru/Card/Person/4368993", "МАОУ СОШ № 68 ГОРОДА ТЮМЕНИ")</f>
        <v>МАОУ СОШ № 68 ГОРОДА ТЮМЕНИ</v>
      </c>
      <c r="B9878" s="24" t="s">
        <v>11915</v>
      </c>
      <c r="C9878" s="25">
        <v>971520</v>
      </c>
      <c r="D9878" s="22" t="s">
        <v>12265</v>
      </c>
      <c r="E9878" s="22" t="s">
        <v>363</v>
      </c>
      <c r="F9878" s="23" t="str">
        <f>HYPERLINK("https://www.spark-marketing.ru/Card/Lot/69786420", "Оказание охранных услуг")</f>
        <v>Оказание охранных услуг</v>
      </c>
      <c r="G9878" s="22" t="s">
        <v>893</v>
      </c>
      <c r="H9878" s="22" t="s">
        <v>893</v>
      </c>
      <c r="I9878" s="26">
        <v>43570.448564814797</v>
      </c>
      <c r="J9878" s="28" t="s">
        <v>52</v>
      </c>
      <c r="K9878" s="28" t="s">
        <v>52</v>
      </c>
      <c r="L9878" s="28" t="s">
        <v>52</v>
      </c>
      <c r="M9878" s="28" t="s">
        <v>52</v>
      </c>
      <c r="N9878" s="28" t="s">
        <v>52</v>
      </c>
    </row>
    <row r="9879" spans="1:14" x14ac:dyDescent="0.15">
      <c r="A9879" s="23" t="str">
        <f>HYPERLINK("https://www.spark-marketing.ru/Card/Person/4804", "ИФНС РОССИИ ПО КОМИНТЕРНОВСКОМУ РАЙОНУ Г.ВОРОНЕЖА")</f>
        <v>ИФНС РОССИИ ПО КОМИНТЕРНОВСКОМУ РАЙОНУ Г.ВОРОНЕЖА</v>
      </c>
      <c r="B9879" s="24" t="s">
        <v>12266</v>
      </c>
      <c r="C9879" s="25">
        <v>9600</v>
      </c>
      <c r="D9879" s="22" t="s">
        <v>12267</v>
      </c>
      <c r="E9879" s="22" t="s">
        <v>53</v>
      </c>
      <c r="F9879" s="23" t="str">
        <f>HYPERLINK("https://www.spark-marketing.ru/Card/Lot/70777435", "Услуги по обеспечению пропускного и внутриобъектового режимов и охране имущества")</f>
        <v>Услуги по обеспечению пропускного и внутриобъектового режимов и охране имущества</v>
      </c>
      <c r="G9879" s="22" t="s">
        <v>552</v>
      </c>
      <c r="H9879" s="22" t="s">
        <v>886</v>
      </c>
      <c r="I9879" s="26">
        <v>43570.449317129598</v>
      </c>
      <c r="J9879" s="28" t="s">
        <v>52</v>
      </c>
      <c r="K9879" s="28" t="s">
        <v>52</v>
      </c>
      <c r="L9879" s="28" t="s">
        <v>52</v>
      </c>
      <c r="M9879" s="28" t="s">
        <v>52</v>
      </c>
      <c r="N9879" s="28" t="s">
        <v>52</v>
      </c>
    </row>
    <row r="9880" spans="1:14" x14ac:dyDescent="0.15">
      <c r="A9880" s="23" t="str">
        <f t="shared" ref="A9880:A9886" si="462">HYPERLINK("https://www.spark-marketing.ru/Card/Person/1051135", "МБУ ГДК Г. ГУКОВО")</f>
        <v>МБУ ГДК Г. ГУКОВО</v>
      </c>
      <c r="B9880" s="24" t="s">
        <v>6059</v>
      </c>
      <c r="C9880" s="25">
        <v>533500</v>
      </c>
      <c r="D9880" s="22" t="s">
        <v>12268</v>
      </c>
      <c r="E9880" s="22" t="s">
        <v>84</v>
      </c>
      <c r="F9880" s="23" t="str">
        <f t="shared" ref="F9880:F9886" si="463">HYPERLINK("https://www.spark-marketing.ru/Card/Lot/69789826", "выполнение работ по установке системы видеонаблюдения для Муниципального бюджетного учреждения ""Городской дворец культуры"" г. Гуково (МБУ ""ГДК"" г. Гуково)")</f>
        <v>выполнение работ по установке системы видеонаблюдения для Муниципального бюджетного учреждения "Городской дворец культуры" г. Гуково (МБУ "ГДК" г. Гуково)</v>
      </c>
      <c r="G9880" s="22" t="s">
        <v>402</v>
      </c>
      <c r="H9880" s="22" t="s">
        <v>6061</v>
      </c>
      <c r="I9880" s="26">
        <v>43570.400000000001</v>
      </c>
      <c r="J9880" s="28" t="s">
        <v>52</v>
      </c>
      <c r="K9880" s="28" t="s">
        <v>52</v>
      </c>
      <c r="L9880" s="28" t="s">
        <v>52</v>
      </c>
      <c r="M9880" s="28" t="s">
        <v>52</v>
      </c>
      <c r="N9880" s="28" t="s">
        <v>52</v>
      </c>
    </row>
    <row r="9881" spans="1:14" hidden="1" outlineLevel="1" x14ac:dyDescent="0.2">
      <c r="A9881" s="23" t="str">
        <f t="shared" si="462"/>
        <v>МБУ ГДК Г. ГУКОВО</v>
      </c>
      <c r="B9881" s="24" t="s">
        <v>6059</v>
      </c>
      <c r="C9881" s="25">
        <v>533500</v>
      </c>
      <c r="D9881" s="22" t="s">
        <v>12268</v>
      </c>
      <c r="E9881" s="22" t="s">
        <v>84</v>
      </c>
      <c r="F9881" s="23" t="str">
        <f t="shared" si="463"/>
        <v>выполнение работ по установке системы видеонаблюдения для Муниципального бюджетного учреждения "Городской дворец культуры" г. Гуково (МБУ "ГДК" г. Гуково)</v>
      </c>
      <c r="G9881" s="22" t="s">
        <v>402</v>
      </c>
      <c r="H9881" s="22" t="s">
        <v>6061</v>
      </c>
      <c r="I9881" s="26">
        <v>43570.400000000001</v>
      </c>
      <c r="J9881" s="23" t="str">
        <f>HYPERLINK("https://www.spark-marketing.ru/Card/Person/6492186", "Ленинградский Евгений Владимирович")</f>
        <v>Ленинградский Евгений Владимирович</v>
      </c>
      <c r="K9881" s="24" t="s">
        <v>4320</v>
      </c>
      <c r="L9881" s="28" t="s">
        <v>52</v>
      </c>
      <c r="M9881" s="25">
        <v>178322.5</v>
      </c>
      <c r="N9881" s="27">
        <v>0.66574976569821931</v>
      </c>
    </row>
    <row r="9882" spans="1:14" hidden="1" outlineLevel="1" x14ac:dyDescent="0.2">
      <c r="A9882" s="23" t="str">
        <f t="shared" si="462"/>
        <v>МБУ ГДК Г. ГУКОВО</v>
      </c>
      <c r="B9882" s="24" t="s">
        <v>6059</v>
      </c>
      <c r="C9882" s="25">
        <v>533500</v>
      </c>
      <c r="D9882" s="22" t="s">
        <v>12268</v>
      </c>
      <c r="E9882" s="22" t="s">
        <v>84</v>
      </c>
      <c r="F9882" s="23" t="str">
        <f t="shared" si="463"/>
        <v>выполнение работ по установке системы видеонаблюдения для Муниципального бюджетного учреждения "Городской дворец культуры" г. Гуково (МБУ "ГДК" г. Гуково)</v>
      </c>
      <c r="G9882" s="22" t="s">
        <v>402</v>
      </c>
      <c r="H9882" s="22" t="s">
        <v>6061</v>
      </c>
      <c r="I9882" s="26">
        <v>43570.400000000001</v>
      </c>
      <c r="J9882" s="23" t="str">
        <f>HYPERLINK("https://www.spark-marketing.ru/Card/Person/1444717", "Соколов Михаил Львович")</f>
        <v>Соколов Михаил Львович</v>
      </c>
      <c r="K9882" s="24" t="s">
        <v>2839</v>
      </c>
      <c r="L9882" s="28" t="s">
        <v>52</v>
      </c>
      <c r="M9882" s="25">
        <v>279500</v>
      </c>
      <c r="N9882" s="27">
        <v>0.47610121836925962</v>
      </c>
    </row>
    <row r="9883" spans="1:14" hidden="1" outlineLevel="1" x14ac:dyDescent="0.2">
      <c r="A9883" s="23" t="str">
        <f t="shared" si="462"/>
        <v>МБУ ГДК Г. ГУКОВО</v>
      </c>
      <c r="B9883" s="24" t="s">
        <v>6059</v>
      </c>
      <c r="C9883" s="25">
        <v>533500</v>
      </c>
      <c r="D9883" s="22" t="s">
        <v>12268</v>
      </c>
      <c r="E9883" s="22" t="s">
        <v>84</v>
      </c>
      <c r="F9883" s="23" t="str">
        <f t="shared" si="463"/>
        <v>выполнение работ по установке системы видеонаблюдения для Муниципального бюджетного учреждения "Городской дворец культуры" г. Гуково (МБУ "ГДК" г. Гуково)</v>
      </c>
      <c r="G9883" s="22" t="s">
        <v>402</v>
      </c>
      <c r="H9883" s="22" t="s">
        <v>6061</v>
      </c>
      <c r="I9883" s="26">
        <v>43570.400000000001</v>
      </c>
      <c r="J9883" s="23" t="str">
        <f>HYPERLINK("https://www.spark-marketing.ru/Card/Person/454864", "ООО ""ТЕХНОДАЧА""")</f>
        <v>ООО "ТЕХНОДАЧА"</v>
      </c>
      <c r="K9883" s="24" t="s">
        <v>4319</v>
      </c>
      <c r="L9883" s="28" t="s">
        <v>52</v>
      </c>
      <c r="M9883" s="25">
        <v>330000</v>
      </c>
      <c r="N9883" s="27">
        <v>0.38144329896907214</v>
      </c>
    </row>
    <row r="9884" spans="1:14" ht="12.75" hidden="1" outlineLevel="1" x14ac:dyDescent="0.2">
      <c r="A9884" s="23" t="str">
        <f t="shared" si="462"/>
        <v>МБУ ГДК Г. ГУКОВО</v>
      </c>
      <c r="B9884" s="24" t="s">
        <v>6059</v>
      </c>
      <c r="C9884" s="25">
        <v>533500</v>
      </c>
      <c r="D9884" s="22" t="s">
        <v>12268</v>
      </c>
      <c r="E9884" s="22" t="s">
        <v>84</v>
      </c>
      <c r="F9884" s="23" t="str">
        <f t="shared" si="463"/>
        <v>выполнение работ по установке системы видеонаблюдения для Муниципального бюджетного учреждения "Городской дворец культуры" г. Гуково (МБУ "ГДК" г. Гуково)</v>
      </c>
      <c r="G9884" s="22" t="s">
        <v>402</v>
      </c>
      <c r="H9884" s="22" t="s">
        <v>6061</v>
      </c>
      <c r="I9884" s="26">
        <v>43570.400000000001</v>
      </c>
      <c r="J9884" s="23" t="str">
        <f>HYPERLINK("https://www.spark-marketing.ru/Card/Person/1215309", "ООО ""МУЛЬТИСИСТЕМЫ""")</f>
        <v>ООО "МУЛЬТИСИСТЕМЫ"</v>
      </c>
      <c r="K9884" s="24" t="s">
        <v>3297</v>
      </c>
      <c r="L9884" s="22" t="s">
        <v>10</v>
      </c>
      <c r="M9884" s="25">
        <v>175655</v>
      </c>
      <c r="N9884" s="27">
        <v>0.67074976569821931</v>
      </c>
    </row>
    <row r="9885" spans="1:14" hidden="1" outlineLevel="1" x14ac:dyDescent="0.2">
      <c r="A9885" s="23" t="str">
        <f t="shared" si="462"/>
        <v>МБУ ГДК Г. ГУКОВО</v>
      </c>
      <c r="B9885" s="24" t="s">
        <v>6059</v>
      </c>
      <c r="C9885" s="25">
        <v>533500</v>
      </c>
      <c r="D9885" s="22" t="s">
        <v>12268</v>
      </c>
      <c r="E9885" s="22" t="s">
        <v>84</v>
      </c>
      <c r="F9885" s="23" t="str">
        <f t="shared" si="463"/>
        <v>выполнение работ по установке системы видеонаблюдения для Муниципального бюджетного учреждения "Городской дворец культуры" г. Гуково (МБУ "ГДК" г. Гуково)</v>
      </c>
      <c r="G9885" s="22" t="s">
        <v>402</v>
      </c>
      <c r="H9885" s="22" t="s">
        <v>6061</v>
      </c>
      <c r="I9885" s="26">
        <v>43570.400000000001</v>
      </c>
      <c r="J9885" s="23" t="str">
        <f>HYPERLINK("https://www.spark-marketing.ru/Card/Person/381805", "Путинцев Артем Михайлович")</f>
        <v>Путинцев Артем Михайлович</v>
      </c>
      <c r="K9885" s="24" t="s">
        <v>1789</v>
      </c>
      <c r="L9885" s="28" t="s">
        <v>52</v>
      </c>
      <c r="M9885" s="25">
        <v>264900</v>
      </c>
      <c r="N9885" s="27">
        <v>0.50346766635426432</v>
      </c>
    </row>
    <row r="9886" spans="1:14" hidden="1" outlineLevel="1" x14ac:dyDescent="0.2">
      <c r="A9886" s="23" t="str">
        <f t="shared" si="462"/>
        <v>МБУ ГДК Г. ГУКОВО</v>
      </c>
      <c r="B9886" s="24" t="s">
        <v>6059</v>
      </c>
      <c r="C9886" s="25">
        <v>533500</v>
      </c>
      <c r="D9886" s="22" t="s">
        <v>12268</v>
      </c>
      <c r="E9886" s="22" t="s">
        <v>84</v>
      </c>
      <c r="F9886" s="23" t="str">
        <f t="shared" si="463"/>
        <v>выполнение работ по установке системы видеонаблюдения для Муниципального бюджетного учреждения "Городской дворец культуры" г. Гуково (МБУ "ГДК" г. Гуково)</v>
      </c>
      <c r="G9886" s="22" t="s">
        <v>402</v>
      </c>
      <c r="H9886" s="22" t="s">
        <v>6061</v>
      </c>
      <c r="I9886" s="26">
        <v>43570.400000000001</v>
      </c>
      <c r="J9886" s="23" t="str">
        <f>HYPERLINK("https://www.spark-marketing.ru/Card/Person/6170060", "Кудря Анастасия Евгеньевна")</f>
        <v>Кудря Анастасия Евгеньевна</v>
      </c>
      <c r="K9886" s="24" t="s">
        <v>12269</v>
      </c>
      <c r="L9886" s="28" t="s">
        <v>52</v>
      </c>
      <c r="M9886" s="25">
        <v>265000</v>
      </c>
      <c r="N9886" s="27">
        <v>0.50328022492970947</v>
      </c>
    </row>
    <row r="9887" spans="1:14" x14ac:dyDescent="0.2">
      <c r="A9887" s="23" t="str">
        <f>HYPERLINK("https://www.spark-marketing.ru/Card/Person/91093", "БСУ СО ОО ""БОГДАНОВСКИЙ ДОМ - ИНТЕРНАТ ДЛЯ ПРЕСТАРЕЛЫХ И ИНВАЛИДОВ""")</f>
        <v>БСУ СО ОО "БОГДАНОВСКИЙ ДОМ - ИНТЕРНАТ ДЛЯ ПРЕСТАРЕЛЫХ И ИНВАЛИДОВ"</v>
      </c>
      <c r="B9887" s="24" t="s">
        <v>8002</v>
      </c>
      <c r="C9887" s="25">
        <v>687600.03</v>
      </c>
      <c r="D9887" s="22" t="s">
        <v>12270</v>
      </c>
      <c r="E9887" s="22" t="s">
        <v>49</v>
      </c>
      <c r="F9887" s="23" t="str">
        <f>HYPERLINK("https://www.spark-marketing.ru/Card/Lot/69787869", "Выполнение работ по установке системы видеонаблюдения БСУ СО ОО «Богдановский дом-интернат для престарелых и инвалидов»")</f>
        <v>Выполнение работ по установке системы видеонаблюдения БСУ СО ОО «Богдановский дом-интернат для престарелых и инвалидов»</v>
      </c>
      <c r="G9887" s="22" t="s">
        <v>492</v>
      </c>
      <c r="H9887" s="22" t="s">
        <v>492</v>
      </c>
      <c r="I9887" s="26">
        <v>43570.414722222202</v>
      </c>
      <c r="J9887" s="23" t="str">
        <f>HYPERLINK("https://www.spark-marketing.ru/Card/Person/4929856", "Тузова Светлана Викторовна")</f>
        <v>Тузова Светлана Викторовна</v>
      </c>
      <c r="K9887" s="24" t="s">
        <v>8004</v>
      </c>
      <c r="L9887" s="28" t="s">
        <v>52</v>
      </c>
      <c r="M9887" s="25">
        <v>687600.03</v>
      </c>
      <c r="N9887" s="27">
        <v>0</v>
      </c>
    </row>
    <row r="9888" spans="1:14" x14ac:dyDescent="0.15">
      <c r="A9888" s="23" t="str">
        <f>HYPERLINK("https://www.spark-marketing.ru/Card/Person/80371", "ГБУЗ МО ""ЗЦРБ""")</f>
        <v>ГБУЗ МО "ЗЦРБ"</v>
      </c>
      <c r="B9888" s="24" t="s">
        <v>12271</v>
      </c>
      <c r="C9888" s="25">
        <v>86500</v>
      </c>
      <c r="D9888" s="22" t="s">
        <v>12272</v>
      </c>
      <c r="E9888" s="22" t="s">
        <v>103</v>
      </c>
      <c r="F9888" s="23" t="str">
        <f>HYPERLINK("https://www.spark-marketing.ru/Card/Lot/69785403", "Оказание услуг по техническому обслуживанию охранно-тревожной сигнализации (КТС и ОС) в 2019 г "" Тревога""")</f>
        <v>Оказание услуг по техническому обслуживанию охранно-тревожной сигнализации (КТС и ОС) в 2019 г " Тревога"</v>
      </c>
      <c r="G9888" s="22" t="s">
        <v>50</v>
      </c>
      <c r="H9888" s="22" t="s">
        <v>1056</v>
      </c>
      <c r="I9888" s="26">
        <v>43570.370138888902</v>
      </c>
      <c r="J9888" s="28" t="s">
        <v>52</v>
      </c>
      <c r="K9888" s="28" t="s">
        <v>52</v>
      </c>
      <c r="L9888" s="28" t="s">
        <v>52</v>
      </c>
      <c r="M9888" s="28" t="s">
        <v>52</v>
      </c>
      <c r="N9888" s="28" t="s">
        <v>52</v>
      </c>
    </row>
    <row r="9889" spans="1:14" ht="12.75" hidden="1" outlineLevel="1" x14ac:dyDescent="0.2">
      <c r="A9889" s="23" t="str">
        <f>HYPERLINK("https://www.spark-marketing.ru/Card/Person/80371", "ГБУЗ МО ""ЗЦРБ""")</f>
        <v>ГБУЗ МО "ЗЦРБ"</v>
      </c>
      <c r="B9889" s="24" t="s">
        <v>12271</v>
      </c>
      <c r="C9889" s="25">
        <v>86500</v>
      </c>
      <c r="D9889" s="22" t="s">
        <v>12272</v>
      </c>
      <c r="E9889" s="22" t="s">
        <v>103</v>
      </c>
      <c r="F9889" s="23" t="str">
        <f>HYPERLINK("https://www.spark-marketing.ru/Card/Lot/69785403", "Оказание услуг по техническому обслуживанию охранно-тревожной сигнализации (КТС и ОС) в 2019 г "" Тревога""")</f>
        <v>Оказание услуг по техническому обслуживанию охранно-тревожной сигнализации (КТС и ОС) в 2019 г " Тревога"</v>
      </c>
      <c r="G9889" s="22" t="s">
        <v>50</v>
      </c>
      <c r="H9889" s="22" t="s">
        <v>1056</v>
      </c>
      <c r="I9889" s="26">
        <v>43570.370138888902</v>
      </c>
      <c r="J9889" s="23" t="str">
        <f>HYPERLINK("https://www.spark-marketing.ru/Card/Person/116688", "ООО ""ЧОО ""РУБИН В""")</f>
        <v>ООО "ЧОО "РУБИН В"</v>
      </c>
      <c r="K9889" s="24" t="s">
        <v>12273</v>
      </c>
      <c r="L9889" s="22" t="s">
        <v>10</v>
      </c>
      <c r="M9889" s="25">
        <v>64010</v>
      </c>
      <c r="N9889" s="27">
        <v>0.26</v>
      </c>
    </row>
    <row r="9890" spans="1:14" hidden="1" outlineLevel="1" x14ac:dyDescent="0.2">
      <c r="A9890" s="23" t="str">
        <f>HYPERLINK("https://www.spark-marketing.ru/Card/Person/80371", "ГБУЗ МО ""ЗЦРБ""")</f>
        <v>ГБУЗ МО "ЗЦРБ"</v>
      </c>
      <c r="B9890" s="24" t="s">
        <v>12271</v>
      </c>
      <c r="C9890" s="25">
        <v>86500</v>
      </c>
      <c r="D9890" s="22" t="s">
        <v>12272</v>
      </c>
      <c r="E9890" s="22" t="s">
        <v>103</v>
      </c>
      <c r="F9890" s="23" t="str">
        <f>HYPERLINK("https://www.spark-marketing.ru/Card/Lot/69785403", "Оказание услуг по техническому обслуживанию охранно-тревожной сигнализации (КТС и ОС) в 2019 г "" Тревога""")</f>
        <v>Оказание услуг по техническому обслуживанию охранно-тревожной сигнализации (КТС и ОС) в 2019 г " Тревога"</v>
      </c>
      <c r="G9890" s="22" t="s">
        <v>50</v>
      </c>
      <c r="H9890" s="22" t="s">
        <v>1056</v>
      </c>
      <c r="I9890" s="26">
        <v>43570.370138888902</v>
      </c>
      <c r="J9890" s="23" t="str">
        <f>HYPERLINK("https://www.spark-marketing.ru/Card/Person/6471438", "ФЛ ФГУП ОХРАНА ФЕДЕРАЛЬНОЙ СЛУЖБЫ ВОЙСК НАЦИОНАЛЬНОЙ ГВАРДИИ РФ ПО МО")</f>
        <v>ФЛ ФГУП ОХРАНА ФЕДЕРАЛЬНОЙ СЛУЖБЫ ВОЙСК НАЦИОНАЛЬНОЙ ГВАРДИИ РФ ПО МО</v>
      </c>
      <c r="K9890" s="24" t="s">
        <v>779</v>
      </c>
      <c r="L9890" s="28" t="s">
        <v>52</v>
      </c>
      <c r="M9890" s="25">
        <v>64442.5</v>
      </c>
      <c r="N9890" s="27">
        <v>0.255</v>
      </c>
    </row>
    <row r="9891" spans="1:14" x14ac:dyDescent="0.15">
      <c r="A9891" s="23" t="str">
        <f>HYPERLINK("https://www.spark-marketing.ru/Card/Person/95245", "ОАО ""РЖД""")</f>
        <v>ОАО "РЖД"</v>
      </c>
      <c r="B9891" s="24" t="s">
        <v>163</v>
      </c>
      <c r="C9891" s="25">
        <v>6944594.5199999996</v>
      </c>
      <c r="D9891" s="22" t="s">
        <v>12274</v>
      </c>
      <c r="E9891" s="22" t="s">
        <v>993</v>
      </c>
      <c r="F9891" s="23" t="str">
        <f>HYPERLINK("https://www.spark-marketing.ru/Card/Lot/69783639", "На право заключения договора на оказание услуг по обеспечению пропускного режима на объектах железнодорожного транспорта")</f>
        <v>На право заключения договора на оказание услуг по обеспечению пропускного режима на объектах железнодорожного транспорта</v>
      </c>
      <c r="G9891" s="22" t="s">
        <v>428</v>
      </c>
      <c r="H9891" s="22" t="s">
        <v>428</v>
      </c>
      <c r="I9891" s="26">
        <v>43570.314652777801</v>
      </c>
      <c r="J9891" s="28" t="s">
        <v>52</v>
      </c>
      <c r="K9891" s="28" t="s">
        <v>52</v>
      </c>
      <c r="L9891" s="28" t="s">
        <v>52</v>
      </c>
      <c r="M9891" s="28" t="s">
        <v>52</v>
      </c>
      <c r="N9891" s="28" t="s">
        <v>52</v>
      </c>
    </row>
    <row r="9892" spans="1:14" x14ac:dyDescent="0.15">
      <c r="A9892" s="23" t="str">
        <f>HYPERLINK("https://www.spark-marketing.ru/Card/Person/4348624", "АО ""АЭХК""")</f>
        <v>АО "АЭХК"</v>
      </c>
      <c r="B9892" s="24" t="s">
        <v>8741</v>
      </c>
      <c r="C9892" s="25">
        <v>0</v>
      </c>
      <c r="D9892" s="22" t="s">
        <v>12275</v>
      </c>
      <c r="E9892" s="22" t="s">
        <v>53</v>
      </c>
      <c r="F9892" s="23" t="str">
        <f>HYPERLINK("https://www.spark-marketing.ru/Card/Lot/69781701", "мониторинг цен в электронной форме на Круглосуточная вооруженная физическая охрана объектов: проходной пункт насосной №1; здание насосной станции №1; здание камеры переключений насосной №1; водозаборный ковш насосной №1; здание ЗРУ 6 кв насосной-1; т...")</f>
        <v>мониторинг цен в электронной форме на Круглосуточная вооруженная физическая охрана объектов: проходной пункт насосной №1; здание насосной станции №1; здание камеры переключений насосной №1; водозаборный ковш насосной №1; здание ЗРУ 6 кв насосной-1; т...</v>
      </c>
      <c r="G9892" s="22" t="s">
        <v>281</v>
      </c>
      <c r="H9892" s="22" t="s">
        <v>2890</v>
      </c>
      <c r="I9892" s="26">
        <v>43570.188275462999</v>
      </c>
      <c r="J9892" s="28" t="s">
        <v>52</v>
      </c>
      <c r="K9892" s="28" t="s">
        <v>52</v>
      </c>
      <c r="L9892" s="28" t="s">
        <v>52</v>
      </c>
      <c r="M9892" s="28" t="s">
        <v>52</v>
      </c>
      <c r="N9892" s="28" t="s">
        <v>52</v>
      </c>
    </row>
    <row r="9893" spans="1:14" x14ac:dyDescent="0.15">
      <c r="A9893" s="23" t="str">
        <f>HYPERLINK("https://www.spark-marketing.ru/Card/Person/4348624", "АО ""АЭХК""")</f>
        <v>АО "АЭХК"</v>
      </c>
      <c r="B9893" s="24" t="s">
        <v>8741</v>
      </c>
      <c r="C9893" s="28" t="s">
        <v>52</v>
      </c>
      <c r="D9893" s="22" t="s">
        <v>12276</v>
      </c>
      <c r="E9893" s="22" t="s">
        <v>53</v>
      </c>
      <c r="F9893" s="23" t="str">
        <f>HYPERLINK("https://www.spark-marketing.ru/Card/Lot/69782354", "Круглосуточная вооруженная физическая охрана объектов: проходной пункт насосной №1; здание насосной станции №1; здание камеры переключений насосной №1; водозаборный ковш насосной №1; здание ЗРУ 6 кв насосной-1; территория насосной станции №1; террито...")</f>
        <v>Круглосуточная вооруженная физическая охрана объектов: проходной пункт насосной №1; здание насосной станции №1; здание камеры переключений насосной №1; водозаборный ковш насосной №1; здание ЗРУ 6 кв насосной-1; территория насосной станции №1; террито...</v>
      </c>
      <c r="G9893" s="22" t="s">
        <v>281</v>
      </c>
      <c r="H9893" s="22" t="s">
        <v>2890</v>
      </c>
      <c r="I9893" s="26">
        <v>43570.204872685201</v>
      </c>
      <c r="J9893" s="28" t="s">
        <v>52</v>
      </c>
      <c r="K9893" s="28" t="s">
        <v>52</v>
      </c>
      <c r="L9893" s="28" t="s">
        <v>52</v>
      </c>
      <c r="M9893" s="28" t="s">
        <v>52</v>
      </c>
      <c r="N9893" s="28" t="s">
        <v>52</v>
      </c>
    </row>
    <row r="9894" spans="1:14" x14ac:dyDescent="0.15">
      <c r="A9894" s="23" t="str">
        <f>HYPERLINK("https://www.spark-marketing.ru/Card/Person/6450322", "ЗАКАЗЧИК РП БЕЛАРУСЬ")</f>
        <v>ЗАКАЗЧИК РП БЕЛАРУСЬ</v>
      </c>
      <c r="B9894" s="28" t="s">
        <v>52</v>
      </c>
      <c r="C9894" s="28" t="s">
        <v>52</v>
      </c>
      <c r="D9894" s="22" t="s">
        <v>12277</v>
      </c>
      <c r="E9894" s="22" t="s">
        <v>53</v>
      </c>
      <c r="F9894" s="23" t="str">
        <f>HYPERLINK("https://www.spark-marketing.ru/Card/Lot/69787648", "Оборудование для системы технологического видеонаблюдения (1 комплект) согласно ЗТП «Система технологического видеонаблюдения» КГТНО-ТВН-ЗТП-001 для объектов Комплекса гидрокрекинга тяжелых нефтяных остатков ОАО «Мозырский НПЗ» (Комбинированная устан...")</f>
        <v>Оборудование для системы технологического видеонаблюдения (1 комплект) согласно ЗТП «Система технологического видеонаблюдения» КГТНО-ТВН-ЗТП-001 для объектов Комплекса гидрокрекинга тяжелых нефтяных остатков ОАО «Мозырский НПЗ» (Комбинированная устан...</v>
      </c>
      <c r="G9894" s="22" t="s">
        <v>52</v>
      </c>
      <c r="H9894" s="22" t="s">
        <v>52</v>
      </c>
      <c r="I9894" s="26">
        <v>43570</v>
      </c>
      <c r="J9894" s="28" t="s">
        <v>52</v>
      </c>
      <c r="K9894" s="28" t="s">
        <v>52</v>
      </c>
      <c r="L9894" s="28" t="s">
        <v>52</v>
      </c>
      <c r="M9894" s="28" t="s">
        <v>52</v>
      </c>
      <c r="N9894" s="28" t="s">
        <v>52</v>
      </c>
    </row>
    <row r="9895" spans="1:14" x14ac:dyDescent="0.15">
      <c r="A9895" s="23" t="str">
        <f>HYPERLINK("https://www.spark-marketing.ru/Card/Person/1753552", "АО ""НПК ""КБМ""")</f>
        <v>АО "НПК "КБМ"</v>
      </c>
      <c r="B9895" s="24" t="s">
        <v>8691</v>
      </c>
      <c r="C9895" s="25">
        <v>1960394.84</v>
      </c>
      <c r="D9895" s="22" t="s">
        <v>12278</v>
      </c>
      <c r="E9895" s="22" t="s">
        <v>5061</v>
      </c>
      <c r="F9895" s="23" t="str">
        <f>HYPERLINK("https://www.spark-marketing.ru/Card/Lot/69780146", "0204-2019-00339 Выполнение работ по установке шлагбаума, системы видеонаблюдения и противотаранного блокиратора на объекте №6")</f>
        <v>0204-2019-00339 Выполнение работ по установке шлагбаума, системы видеонаблюдения и противотаранного блокиратора на объекте №6</v>
      </c>
      <c r="G9895" s="22" t="s">
        <v>50</v>
      </c>
      <c r="H9895" s="22" t="s">
        <v>682</v>
      </c>
      <c r="I9895" s="26">
        <v>43570.003171296303</v>
      </c>
      <c r="J9895" s="28" t="s">
        <v>52</v>
      </c>
      <c r="K9895" s="28" t="s">
        <v>52</v>
      </c>
      <c r="L9895" s="28" t="s">
        <v>52</v>
      </c>
      <c r="M9895" s="28" t="s">
        <v>52</v>
      </c>
      <c r="N9895" s="28" t="s">
        <v>52</v>
      </c>
    </row>
    <row r="9896" spans="1:14" x14ac:dyDescent="0.15">
      <c r="A9896" s="23" t="str">
        <f>HYPERLINK("https://www.spark-marketing.ru/Card/Person/1762570", "МАДОУ Д/С № 186 ГОРОДА ТЮМЕНИ")</f>
        <v>МАДОУ Д/С № 186 ГОРОДА ТЮМЕНИ</v>
      </c>
      <c r="B9896" s="24" t="s">
        <v>12279</v>
      </c>
      <c r="C9896" s="25">
        <v>1727520</v>
      </c>
      <c r="D9896" s="22" t="s">
        <v>12280</v>
      </c>
      <c r="E9896" s="22" t="s">
        <v>363</v>
      </c>
      <c r="F9896" s="23" t="str">
        <f>HYPERLINK("https://www.spark-marketing.ru/Card/Lot/69779700", "Оказание охранных услуг")</f>
        <v>Оказание охранных услуг</v>
      </c>
      <c r="G9896" s="22" t="s">
        <v>893</v>
      </c>
      <c r="H9896" s="22" t="s">
        <v>893</v>
      </c>
      <c r="I9896" s="26">
        <v>43569.8496296296</v>
      </c>
      <c r="J9896" s="28" t="s">
        <v>52</v>
      </c>
      <c r="K9896" s="28" t="s">
        <v>52</v>
      </c>
      <c r="L9896" s="28" t="s">
        <v>52</v>
      </c>
      <c r="M9896" s="28" t="s">
        <v>52</v>
      </c>
      <c r="N9896" s="28" t="s">
        <v>52</v>
      </c>
    </row>
    <row r="9897" spans="1:14" hidden="1" outlineLevel="1" x14ac:dyDescent="0.15">
      <c r="A9897" s="23" t="str">
        <f>HYPERLINK("https://www.spark-marketing.ru/Card/Person/1762570", "МАДОУ Д/С № 186 ГОРОДА ТЮМЕНИ")</f>
        <v>МАДОУ Д/С № 186 ГОРОДА ТЮМЕНИ</v>
      </c>
      <c r="B9897" s="24" t="s">
        <v>12279</v>
      </c>
      <c r="C9897" s="28" t="s">
        <v>52</v>
      </c>
      <c r="D9897" s="22" t="s">
        <v>12280</v>
      </c>
      <c r="E9897" s="22" t="s">
        <v>363</v>
      </c>
      <c r="F9897" s="23" t="str">
        <f>HYPERLINK("https://www.spark-marketing.ru/Card/Lot/69779700", "Оказание охранных услуг")</f>
        <v>Оказание охранных услуг</v>
      </c>
      <c r="G9897" s="22" t="s">
        <v>893</v>
      </c>
      <c r="H9897" s="22" t="s">
        <v>893</v>
      </c>
      <c r="I9897" s="26">
        <v>43569.8496296296</v>
      </c>
      <c r="J9897" s="23" t="str">
        <f>HYPERLINK("https://www.spark-marketing.ru/Card/Person/862538", "ООО НЧОП ""ЧЕКИСТ""")</f>
        <v>ООО НЧОП "ЧЕКИСТ"</v>
      </c>
      <c r="K9897" s="24" t="s">
        <v>12281</v>
      </c>
      <c r="L9897" s="28" t="s">
        <v>52</v>
      </c>
      <c r="M9897" s="28" t="s">
        <v>52</v>
      </c>
      <c r="N9897" s="28" t="s">
        <v>52</v>
      </c>
    </row>
    <row r="9898" spans="1:14" hidden="1" outlineLevel="1" x14ac:dyDescent="0.2">
      <c r="A9898" s="23" t="str">
        <f>HYPERLINK("https://www.spark-marketing.ru/Card/Person/1762570", "МАДОУ Д/С № 186 ГОРОДА ТЮМЕНИ")</f>
        <v>МАДОУ Д/С № 186 ГОРОДА ТЮМЕНИ</v>
      </c>
      <c r="B9898" s="24" t="s">
        <v>12279</v>
      </c>
      <c r="C9898" s="28" t="s">
        <v>52</v>
      </c>
      <c r="D9898" s="22" t="s">
        <v>12280</v>
      </c>
      <c r="E9898" s="22" t="s">
        <v>363</v>
      </c>
      <c r="F9898" s="23" t="str">
        <f>HYPERLINK("https://www.spark-marketing.ru/Card/Lot/69779700", "Оказание охранных услуг")</f>
        <v>Оказание охранных услуг</v>
      </c>
      <c r="G9898" s="22" t="s">
        <v>893</v>
      </c>
      <c r="H9898" s="22" t="s">
        <v>893</v>
      </c>
      <c r="I9898" s="26">
        <v>43569.8496296296</v>
      </c>
      <c r="J9898" s="23" t="str">
        <f>HYPERLINK("https://www.spark-marketing.ru/Card/Person/2591158", "ООО ""ЧОП ""ШЕРИФ-2""")</f>
        <v>ООО "ЧОП "ШЕРИФ-2"</v>
      </c>
      <c r="K9898" s="24" t="s">
        <v>12282</v>
      </c>
      <c r="L9898" s="28" t="s">
        <v>52</v>
      </c>
      <c r="M9898" s="25">
        <v>1475712</v>
      </c>
      <c r="N9898" s="27">
        <v>0.14576271186440679</v>
      </c>
    </row>
    <row r="9899" spans="1:14" x14ac:dyDescent="0.15">
      <c r="A9899" s="23" t="str">
        <f>HYPERLINK("https://www.spark-marketing.ru/Card/Person/122588", "ГАУ ТО ""ЗАПАДНО-СИБИРСКИЙ ИННОВАЦИОННЫЙ ЦЕНТР""")</f>
        <v>ГАУ ТО "ЗАПАДНО-СИБИРСКИЙ ИННОВАЦИОННЫЙ ЦЕНТР"</v>
      </c>
      <c r="B9899" s="24" t="s">
        <v>12283</v>
      </c>
      <c r="C9899" s="25">
        <v>1077790</v>
      </c>
      <c r="D9899" s="22" t="s">
        <v>12284</v>
      </c>
      <c r="E9899" s="22" t="s">
        <v>533</v>
      </c>
      <c r="F9899" s="23" t="str">
        <f>HYPERLINK("https://www.spark-marketing.ru/Card/Lot/69778795", "Российский рубль")</f>
        <v>Российский рубль</v>
      </c>
      <c r="G9899" s="22" t="s">
        <v>893</v>
      </c>
      <c r="H9899" s="22" t="s">
        <v>894</v>
      </c>
      <c r="I9899" s="26">
        <v>43568.998159722199</v>
      </c>
      <c r="J9899" s="28" t="s">
        <v>52</v>
      </c>
      <c r="K9899" s="28" t="s">
        <v>52</v>
      </c>
      <c r="L9899" s="28" t="s">
        <v>52</v>
      </c>
      <c r="M9899" s="28" t="s">
        <v>52</v>
      </c>
      <c r="N9899" s="28" t="s">
        <v>52</v>
      </c>
    </row>
    <row r="9900" spans="1:14" hidden="1" outlineLevel="1" x14ac:dyDescent="0.2">
      <c r="A9900" s="23" t="str">
        <f>HYPERLINK("https://www.spark-marketing.ru/Card/Person/122588", "ГАУ ТО ""ЗАПАДНО-СИБИРСКИЙ ИННОВАЦИОННЫЙ ЦЕНТР""")</f>
        <v>ГАУ ТО "ЗАПАДНО-СИБИРСКИЙ ИННОВАЦИОННЫЙ ЦЕНТР"</v>
      </c>
      <c r="B9900" s="24" t="s">
        <v>12283</v>
      </c>
      <c r="C9900" s="28" t="s">
        <v>52</v>
      </c>
      <c r="D9900" s="22" t="s">
        <v>12284</v>
      </c>
      <c r="E9900" s="22" t="s">
        <v>533</v>
      </c>
      <c r="F9900" s="23" t="str">
        <f>HYPERLINK("https://www.spark-marketing.ru/Card/Lot/69778795", "Российский рубль")</f>
        <v>Российский рубль</v>
      </c>
      <c r="G9900" s="22" t="s">
        <v>893</v>
      </c>
      <c r="H9900" s="22" t="s">
        <v>894</v>
      </c>
      <c r="I9900" s="26">
        <v>43568.998159722199</v>
      </c>
      <c r="J9900" s="23" t="str">
        <f>HYPERLINK("https://www.spark-marketing.ru/Card/Person/4788320", "ООО ""СИБЭКСПЕРТЭНЕРГО""")</f>
        <v>ООО "СИБЭКСПЕРТЭНЕРГО"</v>
      </c>
      <c r="K9900" s="24" t="s">
        <v>12285</v>
      </c>
      <c r="L9900" s="22" t="s">
        <v>10</v>
      </c>
      <c r="M9900" s="25">
        <v>743675.1</v>
      </c>
      <c r="N9900" s="27">
        <v>0.31</v>
      </c>
    </row>
    <row r="9901" spans="1:14" hidden="1" outlineLevel="1" x14ac:dyDescent="0.2">
      <c r="A9901" s="23" t="str">
        <f>HYPERLINK("https://www.spark-marketing.ru/Card/Person/122588", "ГАУ ТО ""ЗАПАДНО-СИБИРСКИЙ ИННОВАЦИОННЫЙ ЦЕНТР""")</f>
        <v>ГАУ ТО "ЗАПАДНО-СИБИРСКИЙ ИННОВАЦИОННЫЙ ЦЕНТР"</v>
      </c>
      <c r="B9901" s="24" t="s">
        <v>12283</v>
      </c>
      <c r="C9901" s="28" t="s">
        <v>52</v>
      </c>
      <c r="D9901" s="22" t="s">
        <v>12284</v>
      </c>
      <c r="E9901" s="22" t="s">
        <v>533</v>
      </c>
      <c r="F9901" s="23" t="str">
        <f>HYPERLINK("https://www.spark-marketing.ru/Card/Lot/69778795", "Российский рубль")</f>
        <v>Российский рубль</v>
      </c>
      <c r="G9901" s="22" t="s">
        <v>893</v>
      </c>
      <c r="H9901" s="22" t="s">
        <v>894</v>
      </c>
      <c r="I9901" s="26">
        <v>43568.998159722199</v>
      </c>
      <c r="J9901" s="23" t="str">
        <f>HYPERLINK("https://www.spark-marketing.ru/Card/Person/6529747", "ООО ""ТЕХПРОМСЕЙЛ""")</f>
        <v>ООО "ТЕХПРОМСЕЙЛ"</v>
      </c>
      <c r="K9901" s="24" t="s">
        <v>12286</v>
      </c>
      <c r="L9901" s="28" t="s">
        <v>52</v>
      </c>
      <c r="M9901" s="25">
        <v>749064.05</v>
      </c>
      <c r="N9901" s="27">
        <v>0.30499999999999999</v>
      </c>
    </row>
    <row r="9902" spans="1:14" hidden="1" outlineLevel="1" x14ac:dyDescent="0.15">
      <c r="A9902" s="23" t="str">
        <f>HYPERLINK("https://www.spark-marketing.ru/Card/Person/122588", "ГАУ ТО ""ЗАПАДНО-СИБИРСКИЙ ИННОВАЦИОННЫЙ ЦЕНТР""")</f>
        <v>ГАУ ТО "ЗАПАДНО-СИБИРСКИЙ ИННОВАЦИОННЫЙ ЦЕНТР"</v>
      </c>
      <c r="B9902" s="24" t="s">
        <v>12283</v>
      </c>
      <c r="C9902" s="28" t="s">
        <v>52</v>
      </c>
      <c r="D9902" s="22" t="s">
        <v>12284</v>
      </c>
      <c r="E9902" s="22" t="s">
        <v>533</v>
      </c>
      <c r="F9902" s="23" t="str">
        <f>HYPERLINK("https://www.spark-marketing.ru/Card/Lot/69778795", "Российский рубль")</f>
        <v>Российский рубль</v>
      </c>
      <c r="G9902" s="22" t="s">
        <v>893</v>
      </c>
      <c r="H9902" s="22" t="s">
        <v>894</v>
      </c>
      <c r="I9902" s="26">
        <v>43568.998159722199</v>
      </c>
      <c r="J9902" s="23" t="str">
        <f>HYPERLINK("https://www.spark-marketing.ru/Card/Person/803106", "Лунегов Алексей Евгеньевич")</f>
        <v>Лунегов Алексей Евгеньевич</v>
      </c>
      <c r="K9902" s="24" t="s">
        <v>2506</v>
      </c>
      <c r="L9902" s="28" t="s">
        <v>52</v>
      </c>
      <c r="M9902" s="28" t="s">
        <v>52</v>
      </c>
      <c r="N9902" s="28" t="s">
        <v>52</v>
      </c>
    </row>
    <row r="9903" spans="1:14" x14ac:dyDescent="0.15">
      <c r="A9903" s="23" t="str">
        <f>HYPERLINK("https://www.spark-marketing.ru/Card/Person/4343405", "ФГУП ""ГОСКОРПОРАЦИЯ ПО ОРВД""")</f>
        <v>ФГУП "ГОСКОРПОРАЦИЯ ПО ОРВД"</v>
      </c>
      <c r="B9903" s="24" t="s">
        <v>801</v>
      </c>
      <c r="C9903" s="25">
        <v>1354416.74</v>
      </c>
      <c r="D9903" s="22" t="s">
        <v>12287</v>
      </c>
      <c r="E9903" s="22" t="s">
        <v>996</v>
      </c>
      <c r="F9903" s="23" t="str">
        <f>HYPERLINK("https://www.spark-marketing.ru/Card/Lot/69759915", "Установка ограждения типа ""Fensys"" вокруг здания КДП по границам зоны транспортной безопасности ОТИ для Челябинского Центра ОВД филиала «Аэронавигация Урала» ФГУП «Госкорпорация по ОрВД»")</f>
        <v>Установка ограждения типа "Fensys" вокруг здания КДП по границам зоны транспортной безопасности ОТИ для Челябинского Центра ОВД филиала «Аэронавигация Урала» ФГУП «Госкорпорация по ОрВД»</v>
      </c>
      <c r="G9903" s="22" t="s">
        <v>60</v>
      </c>
      <c r="H9903" s="22" t="s">
        <v>60</v>
      </c>
      <c r="I9903" s="26">
        <v>43567.4973032407</v>
      </c>
      <c r="J9903" s="23" t="str">
        <f>HYPERLINK("https://www.spark-marketing.ru/Card/Person/1483195", "ООО ""УРАЛРЕСУРС""")</f>
        <v>ООО "УРАЛРЕСУРС"</v>
      </c>
      <c r="K9903" s="24" t="s">
        <v>12288</v>
      </c>
      <c r="L9903" s="28" t="s">
        <v>52</v>
      </c>
      <c r="M9903" s="28" t="s">
        <v>52</v>
      </c>
      <c r="N9903" s="28" t="s">
        <v>52</v>
      </c>
    </row>
    <row r="9904" spans="1:14" hidden="1" outlineLevel="1" x14ac:dyDescent="0.2">
      <c r="A9904" s="23" t="str">
        <f>HYPERLINK("https://www.spark-marketing.ru/Card/Person/4343405", "ФГУП ""ГОСКОРПОРАЦИЯ ПО ОРВД""")</f>
        <v>ФГУП "ГОСКОРПОРАЦИЯ ПО ОРВД"</v>
      </c>
      <c r="B9904" s="24" t="s">
        <v>801</v>
      </c>
      <c r="C9904" s="28" t="s">
        <v>52</v>
      </c>
      <c r="D9904" s="22" t="s">
        <v>12287</v>
      </c>
      <c r="E9904" s="22" t="s">
        <v>996</v>
      </c>
      <c r="F9904" s="23" t="str">
        <f>HYPERLINK("https://www.spark-marketing.ru/Card/Lot/69759915", "Установка ограждения типа ""Fensys"" вокруг здания КДП по границам зоны транспортной безопасности ОТИ для Челябинского Центра ОВД филиала «Аэронавигация Урала» ФГУП «Госкорпорация по ОрВД»")</f>
        <v>Установка ограждения типа "Fensys" вокруг здания КДП по границам зоны транспортной безопасности ОТИ для Челябинского Центра ОВД филиала «Аэронавигация Урала» ФГУП «Госкорпорация по ОрВД»</v>
      </c>
      <c r="G9904" s="22" t="s">
        <v>60</v>
      </c>
      <c r="H9904" s="22" t="s">
        <v>60</v>
      </c>
      <c r="I9904" s="26">
        <v>43567.4973032407</v>
      </c>
      <c r="J9904" s="23" t="str">
        <f>HYPERLINK("https://www.spark-marketing.ru/Card/Person/1483195", "ООО ""УРАЛРЕСУРС""")</f>
        <v>ООО "УРАЛРЕСУРС"</v>
      </c>
      <c r="K9904" s="24" t="s">
        <v>12288</v>
      </c>
      <c r="L9904" s="22" t="s">
        <v>10</v>
      </c>
      <c r="M9904" s="25">
        <v>1166400</v>
      </c>
      <c r="N9904" s="27">
        <v>0.13881749571405919</v>
      </c>
    </row>
    <row r="9905" spans="1:14" x14ac:dyDescent="0.15">
      <c r="A9905" s="23" t="str">
        <f>HYPERLINK("https://www.spark-marketing.ru/Card/Person/6086", "ГКУ ""ДИРЕКЦИЯ ОДОТСЗН Г. МОСКВЫ""")</f>
        <v>ГКУ "ДИРЕКЦИЯ ОДОТСЗН Г. МОСКВЫ"</v>
      </c>
      <c r="B9905" s="24" t="s">
        <v>9200</v>
      </c>
      <c r="C9905" s="25">
        <v>1635200</v>
      </c>
      <c r="D9905" s="22" t="s">
        <v>12289</v>
      </c>
      <c r="E9905" s="22" t="s">
        <v>508</v>
      </c>
      <c r="F9905" s="23" t="str">
        <f>HYPERLINK("https://www.spark-marketing.ru/Card/Lot/69775851", "Поставка спутниковых навигационных систем для транспортных средств учреждений, подведомственных Департаменту труда и социальной защиты населения города Москвы")</f>
        <v>Поставка спутниковых навигационных систем для транспортных средств учреждений, подведомственных Департаменту труда и социальной защиты населения города Москвы</v>
      </c>
      <c r="G9905" s="22" t="s">
        <v>55</v>
      </c>
      <c r="H9905" s="22" t="s">
        <v>55</v>
      </c>
      <c r="I9905" s="26">
        <v>43567.764583333301</v>
      </c>
      <c r="J9905" s="23" t="str">
        <f>HYPERLINK("https://www.spark-marketing.ru/Card/Person/1691970", "ООО ""ЭРА-ГЛОНАСС""")</f>
        <v>ООО "ЭРА-ГЛОНАСС"</v>
      </c>
      <c r="K9905" s="24" t="s">
        <v>4431</v>
      </c>
      <c r="L9905" s="22" t="s">
        <v>10</v>
      </c>
      <c r="M9905" s="28" t="s">
        <v>52</v>
      </c>
      <c r="N9905" s="28" t="s">
        <v>52</v>
      </c>
    </row>
    <row r="9906" spans="1:14" ht="12.75" x14ac:dyDescent="0.2">
      <c r="A9906" s="23" t="str">
        <f>HYPERLINK("https://www.spark-marketing.ru/Card/Person/4376051", "МАУК ДК ""НОВОУРАЛЬСКИЙ""")</f>
        <v>МАУК ДК "НОВОУРАЛЬСКИЙ"</v>
      </c>
      <c r="B9906" s="24" t="s">
        <v>12290</v>
      </c>
      <c r="C9906" s="25">
        <v>238200</v>
      </c>
      <c r="D9906" s="22" t="s">
        <v>12291</v>
      </c>
      <c r="E9906" s="22" t="s">
        <v>144</v>
      </c>
      <c r="F9906" s="23" t="str">
        <f>HYPERLINK("https://www.spark-marketing.ru/Card/Lot/69774314", "Оказание услуг физической охраны массовых мероприятий на территории Новоуральского городского округа, в том числе правопорядка во время проведения мероприятия, охрана сценического пространства и имущества.")</f>
        <v>Оказание услуг физической охраны массовых мероприятий на территории Новоуральского городского округа, в том числе правопорядка во время проведения мероприятия, охрана сценического пространства и имущества.</v>
      </c>
      <c r="G9906" s="22" t="s">
        <v>72</v>
      </c>
      <c r="H9906" s="22" t="s">
        <v>72</v>
      </c>
      <c r="I9906" s="26">
        <v>43567.768425925897</v>
      </c>
      <c r="J9906" s="23" t="str">
        <f>HYPERLINK("https://www.spark-marketing.ru/Card/Person/4496022", "ООО ЧОП ""БРИГАДА""")</f>
        <v>ООО ЧОП "БРИГАДА"</v>
      </c>
      <c r="K9906" s="24" t="s">
        <v>12292</v>
      </c>
      <c r="L9906" s="22" t="s">
        <v>10</v>
      </c>
      <c r="M9906" s="25">
        <v>230202</v>
      </c>
      <c r="N9906" s="27">
        <v>3.357682619647355E-2</v>
      </c>
    </row>
    <row r="9907" spans="1:14" x14ac:dyDescent="0.15">
      <c r="A9907" s="23" t="str">
        <f>HYPERLINK("https://www.spark-marketing.ru/Card/Person/81928", "ГУЗ ""СГДП № 4""")</f>
        <v>ГУЗ "СГДП № 4"</v>
      </c>
      <c r="B9907" s="24" t="s">
        <v>12293</v>
      </c>
      <c r="C9907" s="25">
        <v>23333.33</v>
      </c>
      <c r="D9907" s="22" t="s">
        <v>12294</v>
      </c>
      <c r="E9907" s="22" t="s">
        <v>107</v>
      </c>
      <c r="F9907" s="23" t="str">
        <f>HYPERLINK("https://www.spark-marketing.ru/Card/Lot/69774016", "Оказание услуг по техническому обслуживанию системы наружного и внутреннего видеонаблюдения")</f>
        <v>Оказание услуг по техническому обслуживанию системы наружного и внутреннего видеонаблюдения</v>
      </c>
      <c r="G9907" s="22" t="s">
        <v>80</v>
      </c>
      <c r="H9907" s="22" t="s">
        <v>81</v>
      </c>
      <c r="I9907" s="26">
        <v>43567.727083333302</v>
      </c>
      <c r="J9907" s="28" t="s">
        <v>52</v>
      </c>
      <c r="K9907" s="28" t="s">
        <v>52</v>
      </c>
      <c r="L9907" s="28" t="s">
        <v>52</v>
      </c>
      <c r="M9907" s="28" t="s">
        <v>52</v>
      </c>
      <c r="N9907" s="28" t="s">
        <v>52</v>
      </c>
    </row>
    <row r="9908" spans="1:14" hidden="1" outlineLevel="1" x14ac:dyDescent="0.2">
      <c r="A9908" s="23" t="str">
        <f>HYPERLINK("https://www.spark-marketing.ru/Card/Person/81928", "ГУЗ ""СГДП № 4""")</f>
        <v>ГУЗ "СГДП № 4"</v>
      </c>
      <c r="B9908" s="24" t="s">
        <v>12293</v>
      </c>
      <c r="C9908" s="25">
        <v>23333.33</v>
      </c>
      <c r="D9908" s="22" t="s">
        <v>12294</v>
      </c>
      <c r="E9908" s="22" t="s">
        <v>107</v>
      </c>
      <c r="F9908" s="23" t="str">
        <f>HYPERLINK("https://www.spark-marketing.ru/Card/Lot/69774016", "Оказание услуг по техническому обслуживанию системы наружного и внутреннего видеонаблюдения")</f>
        <v>Оказание услуг по техническому обслуживанию системы наружного и внутреннего видеонаблюдения</v>
      </c>
      <c r="G9908" s="22" t="s">
        <v>80</v>
      </c>
      <c r="H9908" s="22" t="s">
        <v>81</v>
      </c>
      <c r="I9908" s="26">
        <v>43567.727083333302</v>
      </c>
      <c r="J9908" s="23" t="str">
        <f>HYPERLINK("https://www.spark-marketing.ru/Card/Person/5997131", "Юренко Александр Сергеевич")</f>
        <v>Юренко Александр Сергеевич</v>
      </c>
      <c r="K9908" s="24" t="s">
        <v>4283</v>
      </c>
      <c r="L9908" s="28" t="s">
        <v>52</v>
      </c>
      <c r="M9908" s="25">
        <v>13883.33</v>
      </c>
      <c r="N9908" s="27">
        <v>0.4050000578571511</v>
      </c>
    </row>
    <row r="9909" spans="1:14" hidden="1" outlineLevel="1" x14ac:dyDescent="0.2">
      <c r="A9909" s="23" t="str">
        <f>HYPERLINK("https://www.spark-marketing.ru/Card/Person/81928", "ГУЗ ""СГДП № 4""")</f>
        <v>ГУЗ "СГДП № 4"</v>
      </c>
      <c r="B9909" s="24" t="s">
        <v>12293</v>
      </c>
      <c r="C9909" s="25">
        <v>23333.33</v>
      </c>
      <c r="D9909" s="22" t="s">
        <v>12294</v>
      </c>
      <c r="E9909" s="22" t="s">
        <v>107</v>
      </c>
      <c r="F9909" s="23" t="str">
        <f>HYPERLINK("https://www.spark-marketing.ru/Card/Lot/69774016", "Оказание услуг по техническому обслуживанию системы наружного и внутреннего видеонаблюдения")</f>
        <v>Оказание услуг по техническому обслуживанию системы наружного и внутреннего видеонаблюдения</v>
      </c>
      <c r="G9909" s="22" t="s">
        <v>80</v>
      </c>
      <c r="H9909" s="22" t="s">
        <v>81</v>
      </c>
      <c r="I9909" s="26">
        <v>43567.727083333302</v>
      </c>
      <c r="J9909" s="23" t="str">
        <f>HYPERLINK("https://www.spark-marketing.ru/Card/Person/15801", "ООО ""САРАТОВОГНЕЗАЩИТА""")</f>
        <v>ООО "САРАТОВОГНЕЗАЩИТА"</v>
      </c>
      <c r="K9909" s="24" t="s">
        <v>12295</v>
      </c>
      <c r="L9909" s="28" t="s">
        <v>52</v>
      </c>
      <c r="M9909" s="25">
        <v>12383.33</v>
      </c>
      <c r="N9909" s="27">
        <v>0.4692857813265402</v>
      </c>
    </row>
    <row r="9910" spans="1:14" ht="12.75" hidden="1" outlineLevel="1" x14ac:dyDescent="0.2">
      <c r="A9910" s="23" t="str">
        <f>HYPERLINK("https://www.spark-marketing.ru/Card/Person/81928", "ГУЗ ""СГДП № 4""")</f>
        <v>ГУЗ "СГДП № 4"</v>
      </c>
      <c r="B9910" s="24" t="s">
        <v>12293</v>
      </c>
      <c r="C9910" s="25">
        <v>23333.33</v>
      </c>
      <c r="D9910" s="22" t="s">
        <v>12294</v>
      </c>
      <c r="E9910" s="22" t="s">
        <v>107</v>
      </c>
      <c r="F9910" s="23" t="str">
        <f>HYPERLINK("https://www.spark-marketing.ru/Card/Lot/69774016", "Оказание услуг по техническому обслуживанию системы наружного и внутреннего видеонаблюдения")</f>
        <v>Оказание услуг по техническому обслуживанию системы наружного и внутреннего видеонаблюдения</v>
      </c>
      <c r="G9910" s="22" t="s">
        <v>80</v>
      </c>
      <c r="H9910" s="22" t="s">
        <v>81</v>
      </c>
      <c r="I9910" s="26">
        <v>43567.727083333302</v>
      </c>
      <c r="J9910" s="23" t="str">
        <f>HYPERLINK("https://www.spark-marketing.ru/Card/Person/14845", "ООО ""ВИЗА-СПЕЦСЕРВИС""")</f>
        <v>ООО "ВИЗА-СПЕЦСЕРВИС"</v>
      </c>
      <c r="K9910" s="24" t="s">
        <v>12296</v>
      </c>
      <c r="L9910" s="22" t="s">
        <v>10</v>
      </c>
      <c r="M9910" s="25">
        <v>12000</v>
      </c>
      <c r="N9910" s="27">
        <v>0.48571421224488748</v>
      </c>
    </row>
    <row r="9911" spans="1:14" hidden="1" outlineLevel="1" x14ac:dyDescent="0.2">
      <c r="A9911" s="23" t="str">
        <f>HYPERLINK("https://www.spark-marketing.ru/Card/Person/81928", "ГУЗ ""СГДП № 4""")</f>
        <v>ГУЗ "СГДП № 4"</v>
      </c>
      <c r="B9911" s="24" t="s">
        <v>12293</v>
      </c>
      <c r="C9911" s="25">
        <v>23333.33</v>
      </c>
      <c r="D9911" s="22" t="s">
        <v>12294</v>
      </c>
      <c r="E9911" s="22" t="s">
        <v>107</v>
      </c>
      <c r="F9911" s="23" t="str">
        <f>HYPERLINK("https://www.spark-marketing.ru/Card/Lot/69774016", "Оказание услуг по техническому обслуживанию системы наружного и внутреннего видеонаблюдения")</f>
        <v>Оказание услуг по техническому обслуживанию системы наружного и внутреннего видеонаблюдения</v>
      </c>
      <c r="G9911" s="22" t="s">
        <v>80</v>
      </c>
      <c r="H9911" s="22" t="s">
        <v>81</v>
      </c>
      <c r="I9911" s="26">
        <v>43567.727083333302</v>
      </c>
      <c r="J9911" s="23" t="str">
        <f>HYPERLINK("https://www.spark-marketing.ru/Card/Person/4928835", "Гурский Юрий Анатольевич")</f>
        <v>Гурский Юрий Анатольевич</v>
      </c>
      <c r="K9911" s="24" t="s">
        <v>4284</v>
      </c>
      <c r="L9911" s="28" t="s">
        <v>52</v>
      </c>
      <c r="M9911" s="25">
        <v>15583.33</v>
      </c>
      <c r="N9911" s="27">
        <v>0.33214290459184354</v>
      </c>
    </row>
    <row r="9912" spans="1:14" x14ac:dyDescent="0.15">
      <c r="A9912" s="23" t="str">
        <f t="shared" ref="A9912:A9918" si="464">HYPERLINK("https://www.spark-marketing.ru/Card/Person/4394828", "МУП Г.ХАБАРОВСКА ""ГЦМС""")</f>
        <v>МУП Г.ХАБАРОВСКА "ГЦМС"</v>
      </c>
      <c r="B9912" s="24" t="s">
        <v>12297</v>
      </c>
      <c r="C9912" s="25">
        <v>83700</v>
      </c>
      <c r="D9912" s="22" t="s">
        <v>12298</v>
      </c>
      <c r="E9912" s="22" t="s">
        <v>137</v>
      </c>
      <c r="F9912" s="23" t="str">
        <f t="shared" ref="F9912:F9918" si="465">HYPERLINK("https://www.spark-marketing.ru/Card/Lot/69756034", "Оказание услуг по техническому обслуживанию систем видеонаблюдения")</f>
        <v>Оказание услуг по техническому обслуживанию систем видеонаблюдения</v>
      </c>
      <c r="G9912" s="22" t="s">
        <v>138</v>
      </c>
      <c r="H9912" s="22" t="s">
        <v>255</v>
      </c>
      <c r="I9912" s="26">
        <v>43567.706435185202</v>
      </c>
      <c r="J9912" s="28" t="s">
        <v>52</v>
      </c>
      <c r="K9912" s="28" t="s">
        <v>52</v>
      </c>
      <c r="L9912" s="28" t="s">
        <v>52</v>
      </c>
      <c r="M9912" s="28" t="s">
        <v>52</v>
      </c>
      <c r="N9912" s="28" t="s">
        <v>52</v>
      </c>
    </row>
    <row r="9913" spans="1:14" hidden="1" outlineLevel="1" x14ac:dyDescent="0.2">
      <c r="A9913" s="23" t="str">
        <f t="shared" si="464"/>
        <v>МУП Г.ХАБАРОВСКА "ГЦМС"</v>
      </c>
      <c r="B9913" s="24" t="s">
        <v>12297</v>
      </c>
      <c r="C9913" s="28" t="s">
        <v>52</v>
      </c>
      <c r="D9913" s="22" t="s">
        <v>12298</v>
      </c>
      <c r="E9913" s="22" t="s">
        <v>137</v>
      </c>
      <c r="F9913" s="23" t="str">
        <f t="shared" si="465"/>
        <v>Оказание услуг по техническому обслуживанию систем видеонаблюдения</v>
      </c>
      <c r="G9913" s="22" t="s">
        <v>138</v>
      </c>
      <c r="H9913" s="22" t="s">
        <v>255</v>
      </c>
      <c r="I9913" s="26">
        <v>43567.706435185202</v>
      </c>
      <c r="J9913" s="23" t="str">
        <f>HYPERLINK("https://www.spark-marketing.ru/Card/Person/190384", "ООО ""ТСК "" АЗИМУТ""")</f>
        <v>ООО "ТСК " АЗИМУТ"</v>
      </c>
      <c r="K9913" s="24" t="s">
        <v>2697</v>
      </c>
      <c r="L9913" s="22" t="s">
        <v>10</v>
      </c>
      <c r="M9913" s="25">
        <v>29444.44</v>
      </c>
      <c r="N9913" s="27">
        <v>0.6482145758661888</v>
      </c>
    </row>
    <row r="9914" spans="1:14" hidden="1" outlineLevel="1" x14ac:dyDescent="0.2">
      <c r="A9914" s="23" t="str">
        <f t="shared" si="464"/>
        <v>МУП Г.ХАБАРОВСКА "ГЦМС"</v>
      </c>
      <c r="B9914" s="24" t="s">
        <v>12297</v>
      </c>
      <c r="C9914" s="28" t="s">
        <v>52</v>
      </c>
      <c r="D9914" s="22" t="s">
        <v>12298</v>
      </c>
      <c r="E9914" s="22" t="s">
        <v>137</v>
      </c>
      <c r="F9914" s="23" t="str">
        <f t="shared" si="465"/>
        <v>Оказание услуг по техническому обслуживанию систем видеонаблюдения</v>
      </c>
      <c r="G9914" s="22" t="s">
        <v>138</v>
      </c>
      <c r="H9914" s="22" t="s">
        <v>255</v>
      </c>
      <c r="I9914" s="26">
        <v>43567.706435185202</v>
      </c>
      <c r="J9914" s="23" t="str">
        <f>HYPERLINK("https://www.spark-marketing.ru/Card/Person/6571368", "ООО ""ДВ СПРИНТ""")</f>
        <v>ООО "ДВ СПРИНТ"</v>
      </c>
      <c r="K9914" s="24" t="s">
        <v>12299</v>
      </c>
      <c r="L9914" s="28" t="s">
        <v>52</v>
      </c>
      <c r="M9914" s="25">
        <v>74500</v>
      </c>
      <c r="N9914" s="27">
        <v>0.10991636798088411</v>
      </c>
    </row>
    <row r="9915" spans="1:14" hidden="1" outlineLevel="1" x14ac:dyDescent="0.2">
      <c r="A9915" s="23" t="str">
        <f t="shared" si="464"/>
        <v>МУП Г.ХАБАРОВСКА "ГЦМС"</v>
      </c>
      <c r="B9915" s="24" t="s">
        <v>12297</v>
      </c>
      <c r="C9915" s="28" t="s">
        <v>52</v>
      </c>
      <c r="D9915" s="22" t="s">
        <v>12298</v>
      </c>
      <c r="E9915" s="22" t="s">
        <v>137</v>
      </c>
      <c r="F9915" s="23" t="str">
        <f t="shared" si="465"/>
        <v>Оказание услуг по техническому обслуживанию систем видеонаблюдения</v>
      </c>
      <c r="G9915" s="22" t="s">
        <v>138</v>
      </c>
      <c r="H9915" s="22" t="s">
        <v>255</v>
      </c>
      <c r="I9915" s="26">
        <v>43567.706435185202</v>
      </c>
      <c r="J9915" s="23" t="str">
        <f>HYPERLINK("https://www.spark-marketing.ru/Card/Person/65903", "ООО ""ДЕЛЬТА ТЕЛЕКОМ""")</f>
        <v>ООО "ДЕЛЬТА ТЕЛЕКОМ"</v>
      </c>
      <c r="K9915" s="24" t="s">
        <v>5688</v>
      </c>
      <c r="L9915" s="28" t="s">
        <v>52</v>
      </c>
      <c r="M9915" s="25">
        <v>63581.5</v>
      </c>
      <c r="N9915" s="27">
        <v>0.24036439665471923</v>
      </c>
    </row>
    <row r="9916" spans="1:14" hidden="1" outlineLevel="1" x14ac:dyDescent="0.2">
      <c r="A9916" s="23" t="str">
        <f t="shared" si="464"/>
        <v>МУП Г.ХАБАРОВСКА "ГЦМС"</v>
      </c>
      <c r="B9916" s="24" t="s">
        <v>12297</v>
      </c>
      <c r="C9916" s="28" t="s">
        <v>52</v>
      </c>
      <c r="D9916" s="22" t="s">
        <v>12298</v>
      </c>
      <c r="E9916" s="22" t="s">
        <v>137</v>
      </c>
      <c r="F9916" s="23" t="str">
        <f t="shared" si="465"/>
        <v>Оказание услуг по техническому обслуживанию систем видеонаблюдения</v>
      </c>
      <c r="G9916" s="22" t="s">
        <v>138</v>
      </c>
      <c r="H9916" s="22" t="s">
        <v>255</v>
      </c>
      <c r="I9916" s="26">
        <v>43567.706435185202</v>
      </c>
      <c r="J9916" s="23" t="str">
        <f>HYPERLINK("https://www.spark-marketing.ru/Card/Person/-1", "неизвестно")</f>
        <v>неизвестно</v>
      </c>
      <c r="K9916" s="28" t="s">
        <v>52</v>
      </c>
      <c r="L9916" s="28" t="s">
        <v>52</v>
      </c>
      <c r="M9916" s="25">
        <v>0</v>
      </c>
      <c r="N9916" s="27">
        <v>1</v>
      </c>
    </row>
    <row r="9917" spans="1:14" hidden="1" outlineLevel="1" x14ac:dyDescent="0.2">
      <c r="A9917" s="23" t="str">
        <f t="shared" si="464"/>
        <v>МУП Г.ХАБАРОВСКА "ГЦМС"</v>
      </c>
      <c r="B9917" s="24" t="s">
        <v>12297</v>
      </c>
      <c r="C9917" s="28" t="s">
        <v>52</v>
      </c>
      <c r="D9917" s="22" t="s">
        <v>12298</v>
      </c>
      <c r="E9917" s="22" t="s">
        <v>137</v>
      </c>
      <c r="F9917" s="23" t="str">
        <f t="shared" si="465"/>
        <v>Оказание услуг по техническому обслуживанию систем видеонаблюдения</v>
      </c>
      <c r="G9917" s="22" t="s">
        <v>138</v>
      </c>
      <c r="H9917" s="22" t="s">
        <v>255</v>
      </c>
      <c r="I9917" s="26">
        <v>43567.706435185202</v>
      </c>
      <c r="J9917" s="23" t="str">
        <f>HYPERLINK("https://www.spark-marketing.ru/Card/Person/-1", "неизвестно")</f>
        <v>неизвестно</v>
      </c>
      <c r="K9917" s="28" t="s">
        <v>52</v>
      </c>
      <c r="L9917" s="28" t="s">
        <v>52</v>
      </c>
      <c r="M9917" s="25">
        <v>0</v>
      </c>
      <c r="N9917" s="27">
        <v>1</v>
      </c>
    </row>
    <row r="9918" spans="1:14" hidden="1" outlineLevel="1" x14ac:dyDescent="0.2">
      <c r="A9918" s="23" t="str">
        <f t="shared" si="464"/>
        <v>МУП Г.ХАБАРОВСКА "ГЦМС"</v>
      </c>
      <c r="B9918" s="24" t="s">
        <v>12297</v>
      </c>
      <c r="C9918" s="28" t="s">
        <v>52</v>
      </c>
      <c r="D9918" s="22" t="s">
        <v>12298</v>
      </c>
      <c r="E9918" s="22" t="s">
        <v>137</v>
      </c>
      <c r="F9918" s="23" t="str">
        <f t="shared" si="465"/>
        <v>Оказание услуг по техническому обслуживанию систем видеонаблюдения</v>
      </c>
      <c r="G9918" s="22" t="s">
        <v>138</v>
      </c>
      <c r="H9918" s="22" t="s">
        <v>255</v>
      </c>
      <c r="I9918" s="26">
        <v>43567.706435185202</v>
      </c>
      <c r="J9918" s="23" t="str">
        <f>HYPERLINK("https://www.spark-marketing.ru/Card/Person/9590", "ООО ""ИНФОДЕВ""")</f>
        <v>ООО "ИНФОДЕВ"</v>
      </c>
      <c r="K9918" s="24" t="s">
        <v>12300</v>
      </c>
      <c r="L9918" s="28" t="s">
        <v>52</v>
      </c>
      <c r="M9918" s="25">
        <v>30000</v>
      </c>
      <c r="N9918" s="27">
        <v>0.64157706093189959</v>
      </c>
    </row>
    <row r="9919" spans="1:14" x14ac:dyDescent="0.15">
      <c r="A9919" s="23" t="str">
        <f>HYPERLINK("https://www.spark-marketing.ru/Card/Person/25106", "НАЦИОНАЛЬНЫЙ ИССЛЕДОВАТЕЛЬСКИЙ ТОМСКИЙ ГОСУДАРСТВЕННЫЙ УНИВЕРСИТЕТ, ТОМСКИЙ ГОСУДАРСТВЕННЫЙ УНИВЕРСИТЕТ, НИ ТГУ, ТГУ")</f>
        <v>НАЦИОНАЛЬНЫЙ ИССЛЕДОВАТЕЛЬСКИЙ ТОМСКИЙ ГОСУДАРСТВЕННЫЙ УНИВЕРСИТЕТ, ТОМСКИЙ ГОСУДАРСТВЕННЫЙ УНИВЕРСИТЕТ, НИ ТГУ, ТГУ</v>
      </c>
      <c r="B9919" s="24" t="s">
        <v>12301</v>
      </c>
      <c r="C9919" s="25">
        <v>13176000</v>
      </c>
      <c r="D9919" s="22" t="s">
        <v>12302</v>
      </c>
      <c r="E9919" s="22" t="s">
        <v>144</v>
      </c>
      <c r="F9919" s="23" t="str">
        <f>HYPERLINK("https://www.spark-marketing.ru/Card/Lot/69762700", "Оказание услуг по охране объектов ТГУ")</f>
        <v>Оказание услуг по охране объектов ТГУ</v>
      </c>
      <c r="G9919" s="22" t="s">
        <v>150</v>
      </c>
      <c r="H9919" s="22" t="s">
        <v>1656</v>
      </c>
      <c r="I9919" s="26">
        <v>43567.700543981497</v>
      </c>
      <c r="J9919" s="28" t="s">
        <v>52</v>
      </c>
      <c r="K9919" s="28" t="s">
        <v>52</v>
      </c>
      <c r="L9919" s="28" t="s">
        <v>52</v>
      </c>
      <c r="M9919" s="28" t="s">
        <v>52</v>
      </c>
      <c r="N9919" s="28" t="s">
        <v>52</v>
      </c>
    </row>
    <row r="9920" spans="1:14" hidden="1" outlineLevel="1" x14ac:dyDescent="0.2">
      <c r="A9920" s="23" t="str">
        <f>HYPERLINK("https://www.spark-marketing.ru/Card/Person/25106", "НАЦИОНАЛЬНЫЙ ИССЛЕДОВАТЕЛЬСКИЙ ТОМСКИЙ ГОСУДАРСТВЕННЫЙ УНИВЕРСИТЕТ, ТОМСКИЙ ГОСУДАРСТВЕННЫЙ УНИВЕРСИТЕТ, НИ ТГУ, ТГУ")</f>
        <v>НАЦИОНАЛЬНЫЙ ИССЛЕДОВАТЕЛЬСКИЙ ТОМСКИЙ ГОСУДАРСТВЕННЫЙ УНИВЕРСИТЕТ, ТОМСКИЙ ГОСУДАРСТВЕННЫЙ УНИВЕРСИТЕТ, НИ ТГУ, ТГУ</v>
      </c>
      <c r="B9920" s="24" t="s">
        <v>12301</v>
      </c>
      <c r="C9920" s="28" t="s">
        <v>52</v>
      </c>
      <c r="D9920" s="22" t="s">
        <v>12302</v>
      </c>
      <c r="E9920" s="22" t="s">
        <v>144</v>
      </c>
      <c r="F9920" s="23" t="str">
        <f>HYPERLINK("https://www.spark-marketing.ru/Card/Lot/69762700", "Оказание услуг по охране объектов ТГУ")</f>
        <v>Оказание услуг по охране объектов ТГУ</v>
      </c>
      <c r="G9920" s="22" t="s">
        <v>150</v>
      </c>
      <c r="H9920" s="22" t="s">
        <v>1656</v>
      </c>
      <c r="I9920" s="26">
        <v>43567.700543981497</v>
      </c>
      <c r="J9920" s="23" t="str">
        <f>HYPERLINK("https://www.spark-marketing.ru/Card/Person/87680", "ООО ""ЧОП ""БАРС""")</f>
        <v>ООО "ЧОП "БАРС"</v>
      </c>
      <c r="K9920" s="24" t="s">
        <v>12303</v>
      </c>
      <c r="L9920" s="28" t="s">
        <v>52</v>
      </c>
      <c r="M9920" s="25">
        <v>13176000</v>
      </c>
      <c r="N9920" s="27">
        <v>0</v>
      </c>
    </row>
    <row r="9921" spans="1:14" hidden="1" outlineLevel="1" x14ac:dyDescent="0.2">
      <c r="A9921" s="23" t="str">
        <f>HYPERLINK("https://www.spark-marketing.ru/Card/Person/25106", "НАЦИОНАЛЬНЫЙ ИССЛЕДОВАТЕЛЬСКИЙ ТОМСКИЙ ГОСУДАРСТВЕННЫЙ УНИВЕРСИТЕТ, ТОМСКИЙ ГОСУДАРСТВЕННЫЙ УНИВЕРСИТЕТ, НИ ТГУ, ТГУ")</f>
        <v>НАЦИОНАЛЬНЫЙ ИССЛЕДОВАТЕЛЬСКИЙ ТОМСКИЙ ГОСУДАРСТВЕННЫЙ УНИВЕРСИТЕТ, ТОМСКИЙ ГОСУДАРСТВЕННЫЙ УНИВЕРСИТЕТ, НИ ТГУ, ТГУ</v>
      </c>
      <c r="B9921" s="24" t="s">
        <v>12301</v>
      </c>
      <c r="C9921" s="28" t="s">
        <v>52</v>
      </c>
      <c r="D9921" s="22" t="s">
        <v>12302</v>
      </c>
      <c r="E9921" s="22" t="s">
        <v>144</v>
      </c>
      <c r="F9921" s="23" t="str">
        <f>HYPERLINK("https://www.spark-marketing.ru/Card/Lot/69762700", "Оказание услуг по охране объектов ТГУ")</f>
        <v>Оказание услуг по охране объектов ТГУ</v>
      </c>
      <c r="G9921" s="22" t="s">
        <v>150</v>
      </c>
      <c r="H9921" s="22" t="s">
        <v>1656</v>
      </c>
      <c r="I9921" s="26">
        <v>43567.700543981497</v>
      </c>
      <c r="J9921" s="23" t="str">
        <f>HYPERLINK("https://www.spark-marketing.ru/Card/Person/6363112", "ООО ""ЧОО ""АЛЬФА-БЕЗОПАСНОСТЬ""")</f>
        <v>ООО "ЧОО "АЛЬФА-БЕЗОПАСНОСТЬ"</v>
      </c>
      <c r="K9921" s="24" t="s">
        <v>12304</v>
      </c>
      <c r="L9921" s="22" t="s">
        <v>10</v>
      </c>
      <c r="M9921" s="25">
        <v>11037600</v>
      </c>
      <c r="N9921" s="27">
        <v>0.16229508196721312</v>
      </c>
    </row>
    <row r="9922" spans="1:14" hidden="1" outlineLevel="1" x14ac:dyDescent="0.2">
      <c r="A9922" s="23" t="str">
        <f>HYPERLINK("https://www.spark-marketing.ru/Card/Person/25106", "НАЦИОНАЛЬНЫЙ ИССЛЕДОВАТЕЛЬСКИЙ ТОМСКИЙ ГОСУДАРСТВЕННЫЙ УНИВЕРСИТЕТ, ТОМСКИЙ ГОСУДАРСТВЕННЫЙ УНИВЕРСИТЕТ, НИ ТГУ, ТГУ")</f>
        <v>НАЦИОНАЛЬНЫЙ ИССЛЕДОВАТЕЛЬСКИЙ ТОМСКИЙ ГОСУДАРСТВЕННЫЙ УНИВЕРСИТЕТ, ТОМСКИЙ ГОСУДАРСТВЕННЫЙ УНИВЕРСИТЕТ, НИ ТГУ, ТГУ</v>
      </c>
      <c r="B9922" s="24" t="s">
        <v>12301</v>
      </c>
      <c r="C9922" s="28" t="s">
        <v>52</v>
      </c>
      <c r="D9922" s="22" t="s">
        <v>12302</v>
      </c>
      <c r="E9922" s="22" t="s">
        <v>144</v>
      </c>
      <c r="F9922" s="23" t="str">
        <f>HYPERLINK("https://www.spark-marketing.ru/Card/Lot/69762700", "Оказание услуг по охране объектов ТГУ")</f>
        <v>Оказание услуг по охране объектов ТГУ</v>
      </c>
      <c r="G9922" s="22" t="s">
        <v>150</v>
      </c>
      <c r="H9922" s="22" t="s">
        <v>1656</v>
      </c>
      <c r="I9922" s="26">
        <v>43567.700543981497</v>
      </c>
      <c r="J9922" s="23" t="str">
        <f>HYPERLINK("https://www.spark-marketing.ru/Card/Person/855326", "ООО ""ЧОП ""СТАТУС""")</f>
        <v>ООО "ЧОП "СТАТУС"</v>
      </c>
      <c r="K9922" s="24" t="s">
        <v>12305</v>
      </c>
      <c r="L9922" s="28" t="s">
        <v>52</v>
      </c>
      <c r="M9922" s="25">
        <v>12121920</v>
      </c>
      <c r="N9922" s="27">
        <v>0.08</v>
      </c>
    </row>
    <row r="9923" spans="1:14" x14ac:dyDescent="0.15">
      <c r="A9923" s="23" t="str">
        <f>HYPERLINK("https://www.spark-marketing.ru/Card/Person/1752165", "АО ""ГРИНАТОМ""")</f>
        <v>АО "ГРИНАТОМ"</v>
      </c>
      <c r="B9923" s="24" t="s">
        <v>4471</v>
      </c>
      <c r="C9923" s="28" t="s">
        <v>52</v>
      </c>
      <c r="D9923" s="22" t="s">
        <v>12306</v>
      </c>
      <c r="E9923" s="22" t="s">
        <v>53</v>
      </c>
      <c r="F9923" s="23" t="str">
        <f>HYPERLINK("https://www.spark-marketing.ru/Card/Lot/69775652", "Запрос ТКП на выполнение работ по монтажу и модернизации технических средств охраны в составе: система видеонаблюдения, система контроля и управления доступом, система охранной сигнализации, с последующим техническим обслуживанием. (1232705)")</f>
        <v>Запрос ТКП на выполнение работ по монтажу и модернизации технических средств охраны в составе: система видеонаблюдения, система контроля и управления доступом, система охранной сигнализации, с последующим техническим обслуживанием. (1232705)</v>
      </c>
      <c r="G9923" s="22" t="s">
        <v>55</v>
      </c>
      <c r="H9923" s="22" t="s">
        <v>55</v>
      </c>
      <c r="I9923" s="26">
        <v>43567.704884259299</v>
      </c>
      <c r="J9923" s="28" t="s">
        <v>52</v>
      </c>
      <c r="K9923" s="28" t="s">
        <v>52</v>
      </c>
      <c r="L9923" s="28" t="s">
        <v>52</v>
      </c>
      <c r="M9923" s="28" t="s">
        <v>52</v>
      </c>
      <c r="N9923" s="28" t="s">
        <v>52</v>
      </c>
    </row>
    <row r="9924" spans="1:14" x14ac:dyDescent="0.15">
      <c r="A9924" s="23" t="str">
        <f>HYPERLINK("https://www.spark-marketing.ru/Card/Person/53616", "АО ""МОСИНЖПРОЕКТ""")</f>
        <v>АО "МОСИНЖПРОЕКТ"</v>
      </c>
      <c r="B9924" s="24" t="s">
        <v>3454</v>
      </c>
      <c r="C9924" s="25">
        <v>6587153.1399999997</v>
      </c>
      <c r="D9924" s="22" t="s">
        <v>12307</v>
      </c>
      <c r="E9924" s="22" t="s">
        <v>3456</v>
      </c>
      <c r="F9924" s="23" t="str">
        <f>HYPERLINK("https://www.spark-marketing.ru/Card/Lot/69768817", "Оказание услуг по согласованию ППР, техническому сопровождению работ по объекту «Северо-Восточный участок третьего пересадочного контура (ТПК) ст. «Нижняя Масловка» - ст. «Авиамоторная», Этап 2.2. «Подготовительные работы для организации щитовой прох...")</f>
        <v>Оказание услуг по согласованию ППР, техническому сопровождению работ по объекту «Северо-Восточный участок третьего пересадочного контура (ТПК) ст. «Нижняя Масловка» - ст. «Авиамоторная», Этап 2.2. «Подготовительные работы для организации щитовой прох...</v>
      </c>
      <c r="G9924" s="22" t="s">
        <v>55</v>
      </c>
      <c r="H9924" s="22" t="s">
        <v>55</v>
      </c>
      <c r="I9924" s="26">
        <v>43567.653113425898</v>
      </c>
      <c r="J9924" s="28" t="s">
        <v>52</v>
      </c>
      <c r="K9924" s="28" t="s">
        <v>52</v>
      </c>
      <c r="L9924" s="28" t="s">
        <v>52</v>
      </c>
      <c r="M9924" s="28" t="s">
        <v>52</v>
      </c>
      <c r="N9924" s="28" t="s">
        <v>52</v>
      </c>
    </row>
    <row r="9925" spans="1:14" x14ac:dyDescent="0.2">
      <c r="A9925" s="23" t="str">
        <f>HYPERLINK("https://www.spark-marketing.ru/Card/Person/1726860", "МАУ ""СОК ""ЛЕСНОЙ""")</f>
        <v>МАУ "СОК "ЛЕСНОЙ"</v>
      </c>
      <c r="B9925" s="24" t="s">
        <v>12308</v>
      </c>
      <c r="C9925" s="25">
        <v>144508</v>
      </c>
      <c r="D9925" s="22" t="s">
        <v>12309</v>
      </c>
      <c r="E9925" s="22" t="s">
        <v>49</v>
      </c>
      <c r="F9925" s="23" t="str">
        <f>HYPERLINK("https://www.spark-marketing.ru/Card/Lot/69761695", "Выполнение работ по установке (расширению) системы видеонаблюдения на объекте МАУ ""СОК ""Лесной""")</f>
        <v>Выполнение работ по установке (расширению) системы видеонаблюдения на объекте МАУ "СОК "Лесной"</v>
      </c>
      <c r="G9925" s="22" t="s">
        <v>640</v>
      </c>
      <c r="H9925" s="22" t="s">
        <v>640</v>
      </c>
      <c r="I9925" s="26">
        <v>43567.646944444401</v>
      </c>
      <c r="J9925" s="23" t="str">
        <f>HYPERLINK("https://www.spark-marketing.ru/Card/Person/2563845", "ООО ""ОХРАНА И БЕЗОПАСНОСТЬ""")</f>
        <v>ООО "ОХРАНА И БЕЗОПАСНОСТЬ"</v>
      </c>
      <c r="K9925" s="24" t="s">
        <v>12310</v>
      </c>
      <c r="L9925" s="28" t="s">
        <v>52</v>
      </c>
      <c r="M9925" s="25">
        <v>144508</v>
      </c>
      <c r="N9925" s="27">
        <v>0</v>
      </c>
    </row>
    <row r="9926" spans="1:14" x14ac:dyDescent="0.15">
      <c r="A9926" s="23" t="str">
        <f>HYPERLINK("https://www.spark-marketing.ru/Card/Person/4804", "ИФНС РОССИИ ПО КОМИНТЕРНОВСКОМУ РАЙОНУ Г.ВОРОНЕЖА")</f>
        <v>ИФНС РОССИИ ПО КОМИНТЕРНОВСКОМУ РАЙОНУ Г.ВОРОНЕЖА</v>
      </c>
      <c r="B9926" s="24" t="s">
        <v>12266</v>
      </c>
      <c r="C9926" s="25">
        <v>42240</v>
      </c>
      <c r="D9926" s="22" t="s">
        <v>12311</v>
      </c>
      <c r="E9926" s="22" t="s">
        <v>53</v>
      </c>
      <c r="F9926" s="23" t="str">
        <f>HYPERLINK("https://www.spark-marketing.ru/Card/Lot/70783042", "Услуги по обеспечению пропускного и внутриобъектового режимов и охране имущество")</f>
        <v>Услуги по обеспечению пропускного и внутриобъектового режимов и охране имущество</v>
      </c>
      <c r="G9926" s="22" t="s">
        <v>552</v>
      </c>
      <c r="H9926" s="22" t="s">
        <v>886</v>
      </c>
      <c r="I9926" s="26">
        <v>43567.617384259298</v>
      </c>
      <c r="J9926" s="28" t="s">
        <v>52</v>
      </c>
      <c r="K9926" s="28" t="s">
        <v>52</v>
      </c>
      <c r="L9926" s="28" t="s">
        <v>52</v>
      </c>
      <c r="M9926" s="28" t="s">
        <v>52</v>
      </c>
      <c r="N9926" s="28" t="s">
        <v>52</v>
      </c>
    </row>
    <row r="9927" spans="1:14" x14ac:dyDescent="0.2">
      <c r="A9927" s="23" t="str">
        <f>HYPERLINK("https://www.spark-marketing.ru/Card/Person/46655", "МАУЗ ОТКЗ ГКБ № 1")</f>
        <v>МАУЗ ОТКЗ ГКБ № 1</v>
      </c>
      <c r="B9927" s="24" t="s">
        <v>10440</v>
      </c>
      <c r="C9927" s="25">
        <v>126778.26</v>
      </c>
      <c r="D9927" s="22" t="s">
        <v>12312</v>
      </c>
      <c r="E9927" s="22" t="s">
        <v>370</v>
      </c>
      <c r="F9927" s="23" t="str">
        <f>HYPERLINK("https://www.spark-marketing.ru/Card/Lot/69761639", "Работы по техническому обслуживанию эндоскопического оборудования")</f>
        <v>Работы по техническому обслуживанию эндоскопического оборудования</v>
      </c>
      <c r="G9927" s="22" t="s">
        <v>60</v>
      </c>
      <c r="H9927" s="22" t="s">
        <v>60</v>
      </c>
      <c r="I9927" s="26">
        <v>43567.612164351798</v>
      </c>
      <c r="J9927" s="28" t="s">
        <v>52</v>
      </c>
      <c r="K9927" s="28" t="s">
        <v>52</v>
      </c>
      <c r="L9927" s="22" t="s">
        <v>10</v>
      </c>
      <c r="M9927" s="25">
        <v>126778.26</v>
      </c>
      <c r="N9927" s="27">
        <v>0</v>
      </c>
    </row>
    <row r="9928" spans="1:14" x14ac:dyDescent="0.15">
      <c r="A9928" s="23" t="str">
        <f>HYPERLINK("https://www.spark-marketing.ru/Card/Person/4343740", "МИНЗДРАВ РОССИИ")</f>
        <v>МИНЗДРАВ РОССИИ</v>
      </c>
      <c r="B9928" s="24" t="s">
        <v>1666</v>
      </c>
      <c r="C9928" s="25">
        <v>595457205</v>
      </c>
      <c r="D9928" s="22" t="s">
        <v>12313</v>
      </c>
      <c r="E9928" s="22" t="s">
        <v>53</v>
      </c>
      <c r="F9928" s="23" t="str">
        <f>HYPERLINK("https://www.spark-marketing.ru/Card/Lot/69766341", "Мороктоког альфа, лиофилизат для приготовления раствора для внутривенного введения, 1000 МЕ в рамках реализации постановления Правительства Российской Федерации от 26.11.2018 № 1416 ""О порядке организации обеспечения лекарственными препаратами лиц, ...")</f>
        <v>Мороктоког альфа, лиофилизат для приготовления раствора для внутривенного введения, 1000 МЕ в рамках реализации постановления Правительства Российской Федерации от 26.11.2018 № 1416 "О порядке организации обеспечения лекарственными препаратами лиц, ...</v>
      </c>
      <c r="G9928" s="22" t="s">
        <v>428</v>
      </c>
      <c r="H9928" s="22" t="s">
        <v>429</v>
      </c>
      <c r="I9928" s="26">
        <v>43567.588888888902</v>
      </c>
      <c r="J9928" s="23" t="str">
        <f>HYPERLINK("https://www.spark-marketing.ru/Card/Person/42069", "АО ""ФАРМСТАНДАРТ""")</f>
        <v>АО "ФАРМСТАНДАРТ"</v>
      </c>
      <c r="K9928" s="24" t="s">
        <v>1668</v>
      </c>
      <c r="L9928" s="22" t="s">
        <v>10</v>
      </c>
      <c r="M9928" s="28" t="s">
        <v>52</v>
      </c>
      <c r="N9928" s="28" t="s">
        <v>52</v>
      </c>
    </row>
    <row r="9929" spans="1:14" x14ac:dyDescent="0.15">
      <c r="A9929" s="23" t="str">
        <f>HYPERLINK("https://www.spark-marketing.ru/Card/Person/1765696", "ООО ""ПРЕПРЕГ-ДУБНА""")</f>
        <v>ООО "ПРЕПРЕГ-ДУБНА"</v>
      </c>
      <c r="B9929" s="24" t="s">
        <v>9775</v>
      </c>
      <c r="C9929" s="28" t="s">
        <v>52</v>
      </c>
      <c r="D9929" s="22" t="s">
        <v>12314</v>
      </c>
      <c r="E9929" s="22" t="s">
        <v>53</v>
      </c>
      <c r="F9929" s="23" t="str">
        <f>HYPERLINK("https://www.spark-marketing.ru/Card/Lot/69772319", "Оказание охранных услуг (1232327)")</f>
        <v>Оказание охранных услуг (1232327)</v>
      </c>
      <c r="G9929" s="22" t="s">
        <v>50</v>
      </c>
      <c r="H9929" s="22" t="s">
        <v>2012</v>
      </c>
      <c r="I9929" s="26">
        <v>43567.621539351901</v>
      </c>
      <c r="J9929" s="28" t="s">
        <v>52</v>
      </c>
      <c r="K9929" s="28" t="s">
        <v>52</v>
      </c>
      <c r="L9929" s="28" t="s">
        <v>52</v>
      </c>
      <c r="M9929" s="28" t="s">
        <v>52</v>
      </c>
      <c r="N9929" s="28" t="s">
        <v>52</v>
      </c>
    </row>
    <row r="9930" spans="1:14" x14ac:dyDescent="0.15">
      <c r="A9930" s="23" t="str">
        <f>HYPERLINK("https://www.spark-marketing.ru/Card/Person/4633", "ГБУ ""ЖИЛИЩНИК ЯРОСЛАВСКОГО РАЙОНА""")</f>
        <v>ГБУ "ЖИЛИЩНИК ЯРОСЛАВСКОГО РАЙОНА"</v>
      </c>
      <c r="B9930" s="24" t="s">
        <v>12315</v>
      </c>
      <c r="C9930" s="25">
        <v>1184559.3500000001</v>
      </c>
      <c r="D9930" s="22" t="s">
        <v>12316</v>
      </c>
      <c r="E9930" s="22" t="s">
        <v>84</v>
      </c>
      <c r="F9930" s="23" t="str">
        <f>HYPERLINK("https://www.spark-marketing.ru/Card/Lot/69768994", "Выполнение работ по установке системы распознавания лиц на территории производственной базы и бытового городка ГБУ ""Жилищник Ярославского района""")</f>
        <v>Выполнение работ по установке системы распознавания лиц на территории производственной базы и бытового городка ГБУ "Жилищник Ярославского района"</v>
      </c>
      <c r="G9930" s="22" t="s">
        <v>55</v>
      </c>
      <c r="H9930" s="22" t="s">
        <v>55</v>
      </c>
      <c r="I9930" s="26">
        <v>43567.604861111096</v>
      </c>
      <c r="J9930" s="23" t="str">
        <f>HYPERLINK("https://www.spark-marketing.ru/Card/Person/123100", "ООО ""ЮПИТЕР""")</f>
        <v>ООО "ЮПИТЕР"</v>
      </c>
      <c r="K9930" s="24" t="s">
        <v>10910</v>
      </c>
      <c r="L9930" s="28" t="s">
        <v>52</v>
      </c>
      <c r="M9930" s="28" t="s">
        <v>52</v>
      </c>
      <c r="N9930" s="28" t="s">
        <v>52</v>
      </c>
    </row>
    <row r="9931" spans="1:14" ht="12.75" hidden="1" outlineLevel="1" x14ac:dyDescent="0.2">
      <c r="A9931" s="23" t="str">
        <f>HYPERLINK("https://www.spark-marketing.ru/Card/Person/4633", "ГБУ ""ЖИЛИЩНИК ЯРОСЛАВСКОГО РАЙОНА""")</f>
        <v>ГБУ "ЖИЛИЩНИК ЯРОСЛАВСКОГО РАЙОНА"</v>
      </c>
      <c r="B9931" s="24" t="s">
        <v>12315</v>
      </c>
      <c r="C9931" s="25">
        <v>1184559.3500000001</v>
      </c>
      <c r="D9931" s="22" t="s">
        <v>12316</v>
      </c>
      <c r="E9931" s="22" t="s">
        <v>84</v>
      </c>
      <c r="F9931" s="23" t="str">
        <f>HYPERLINK("https://www.spark-marketing.ru/Card/Lot/69768994", "Выполнение работ по установке системы распознавания лиц на территории производственной базы и бытового городка ГБУ ""Жилищник Ярославского района""")</f>
        <v>Выполнение работ по установке системы распознавания лиц на территории производственной базы и бытового городка ГБУ "Жилищник Ярославского района"</v>
      </c>
      <c r="G9931" s="22" t="s">
        <v>55</v>
      </c>
      <c r="H9931" s="22" t="s">
        <v>55</v>
      </c>
      <c r="I9931" s="26">
        <v>43567.604861111096</v>
      </c>
      <c r="J9931" s="23" t="str">
        <f>HYPERLINK("https://www.spark-marketing.ru/Card/Person/123100", "ООО ""ЮПИТЕР""")</f>
        <v>ООО "ЮПИТЕР"</v>
      </c>
      <c r="K9931" s="24" t="s">
        <v>10910</v>
      </c>
      <c r="L9931" s="22" t="s">
        <v>10</v>
      </c>
      <c r="M9931" s="25">
        <v>1178636.55</v>
      </c>
      <c r="N9931" s="27">
        <v>5.0000027436362731E-3</v>
      </c>
    </row>
    <row r="9932" spans="1:14" x14ac:dyDescent="0.15">
      <c r="A9932" s="23" t="str">
        <f>HYPERLINK("https://www.spark-marketing.ru/Card/Person/18873", "УСД В КЕМЕРОВСКОЙ ОБЛАСТИ")</f>
        <v>УСД В КЕМЕРОВСКОЙ ОБЛАСТИ</v>
      </c>
      <c r="B9932" s="24" t="s">
        <v>7512</v>
      </c>
      <c r="C9932" s="25">
        <v>31633.919999999998</v>
      </c>
      <c r="D9932" s="22" t="s">
        <v>12317</v>
      </c>
      <c r="E9932" s="22" t="s">
        <v>68</v>
      </c>
      <c r="F9932" s="23" t="str">
        <f>HYPERLINK("https://www.spark-marketing.ru/Card/Lot/69760641", "Оказание охранных услуг с использованием технических средств охранной сигнализации в Чебулинском районном суде Кемеровской области")</f>
        <v>Оказание охранных услуг с использованием технических средств охранной сигнализации в Чебулинском районном суде Кемеровской области</v>
      </c>
      <c r="G9932" s="22" t="s">
        <v>367</v>
      </c>
      <c r="H9932" s="22" t="s">
        <v>367</v>
      </c>
      <c r="I9932" s="26">
        <v>43567.6</v>
      </c>
      <c r="J9932" s="28" t="s">
        <v>52</v>
      </c>
      <c r="K9932" s="28" t="s">
        <v>52</v>
      </c>
      <c r="L9932" s="28" t="s">
        <v>52</v>
      </c>
      <c r="M9932" s="28" t="s">
        <v>52</v>
      </c>
      <c r="N9932" s="28" t="s">
        <v>52</v>
      </c>
    </row>
    <row r="9933" spans="1:14" x14ac:dyDescent="0.15">
      <c r="A9933" s="23" t="str">
        <f>HYPERLINK("https://www.spark-marketing.ru/Card/Person/1025420", "МБУ ""ГОРОДСКОЙ ЦЕНТР КУЛЬТУРЫ И СПОРТА""")</f>
        <v>МБУ "ГОРОДСКОЙ ЦЕНТР КУЛЬТУРЫ И СПОРТА"</v>
      </c>
      <c r="B9933" s="24" t="s">
        <v>11856</v>
      </c>
      <c r="C9933" s="25">
        <v>1011288</v>
      </c>
      <c r="D9933" s="22" t="s">
        <v>12318</v>
      </c>
      <c r="E9933" s="22" t="s">
        <v>68</v>
      </c>
      <c r="F9933" s="23" t="str">
        <f>HYPERLINK("https://www.spark-marketing.ru/Card/Lot/69763587", "Оказание услуг по охране объектов")</f>
        <v>Оказание услуг по охране объектов</v>
      </c>
      <c r="G9933" s="22" t="s">
        <v>119</v>
      </c>
      <c r="H9933" s="22" t="s">
        <v>119</v>
      </c>
      <c r="I9933" s="26">
        <v>43567.590277777803</v>
      </c>
      <c r="J9933" s="28" t="s">
        <v>52</v>
      </c>
      <c r="K9933" s="28" t="s">
        <v>52</v>
      </c>
      <c r="L9933" s="28" t="s">
        <v>52</v>
      </c>
      <c r="M9933" s="28" t="s">
        <v>52</v>
      </c>
      <c r="N9933" s="28" t="s">
        <v>52</v>
      </c>
    </row>
    <row r="9934" spans="1:14" hidden="1" outlineLevel="1" x14ac:dyDescent="0.2">
      <c r="A9934" s="23" t="str">
        <f>HYPERLINK("https://www.spark-marketing.ru/Card/Person/1025420", "МБУ ""ГОРОДСКОЙ ЦЕНТР КУЛЬТУРЫ И СПОРТА""")</f>
        <v>МБУ "ГОРОДСКОЙ ЦЕНТР КУЛЬТУРЫ И СПОРТА"</v>
      </c>
      <c r="B9934" s="24" t="s">
        <v>11856</v>
      </c>
      <c r="C9934" s="25">
        <v>1011288</v>
      </c>
      <c r="D9934" s="22" t="s">
        <v>12318</v>
      </c>
      <c r="E9934" s="22" t="s">
        <v>68</v>
      </c>
      <c r="F9934" s="23" t="str">
        <f>HYPERLINK("https://www.spark-marketing.ru/Card/Lot/69763587", "Оказание услуг по охране объектов")</f>
        <v>Оказание услуг по охране объектов</v>
      </c>
      <c r="G9934" s="22" t="s">
        <v>119</v>
      </c>
      <c r="H9934" s="22" t="s">
        <v>119</v>
      </c>
      <c r="I9934" s="26">
        <v>43567.590277777803</v>
      </c>
      <c r="J9934" s="23" t="str">
        <f>HYPERLINK("https://www.spark-marketing.ru/Card/Person/87686", "ООО ОА ""ПЕРЕСВЕТ""")</f>
        <v>ООО ОА "ПЕРЕСВЕТ"</v>
      </c>
      <c r="K9934" s="24" t="s">
        <v>2992</v>
      </c>
      <c r="L9934" s="28" t="s">
        <v>52</v>
      </c>
      <c r="M9934" s="25">
        <v>996118.68</v>
      </c>
      <c r="N9934" s="27">
        <v>1.4999999999999999E-2</v>
      </c>
    </row>
    <row r="9935" spans="1:14" ht="12.75" hidden="1" outlineLevel="1" x14ac:dyDescent="0.2">
      <c r="A9935" s="23" t="str">
        <f>HYPERLINK("https://www.spark-marketing.ru/Card/Person/1025420", "МБУ ""ГОРОДСКОЙ ЦЕНТР КУЛЬТУРЫ И СПОРТА""")</f>
        <v>МБУ "ГОРОДСКОЙ ЦЕНТР КУЛЬТУРЫ И СПОРТА"</v>
      </c>
      <c r="B9935" s="24" t="s">
        <v>11856</v>
      </c>
      <c r="C9935" s="25">
        <v>1011288</v>
      </c>
      <c r="D9935" s="22" t="s">
        <v>12318</v>
      </c>
      <c r="E9935" s="22" t="s">
        <v>68</v>
      </c>
      <c r="F9935" s="23" t="str">
        <f>HYPERLINK("https://www.spark-marketing.ru/Card/Lot/69763587", "Оказание услуг по охране объектов")</f>
        <v>Оказание услуг по охране объектов</v>
      </c>
      <c r="G9935" s="22" t="s">
        <v>119</v>
      </c>
      <c r="H9935" s="22" t="s">
        <v>119</v>
      </c>
      <c r="I9935" s="26">
        <v>43567.590277777803</v>
      </c>
      <c r="J9935" s="23" t="str">
        <f>HYPERLINK("https://www.spark-marketing.ru/Card/Person/932669", "ООО ЧОО ""РАТНИК-ОХРАНА""")</f>
        <v>ООО ЧОО "РАТНИК-ОХРАНА"</v>
      </c>
      <c r="K9935" s="24" t="s">
        <v>12319</v>
      </c>
      <c r="L9935" s="22" t="s">
        <v>10</v>
      </c>
      <c r="M9935" s="25">
        <v>996118.68</v>
      </c>
      <c r="N9935" s="27">
        <v>1.4999999999999999E-2</v>
      </c>
    </row>
    <row r="9936" spans="1:14" x14ac:dyDescent="0.15">
      <c r="A9936" s="23" t="str">
        <f>HYPERLINK("https://www.spark-marketing.ru/Card/Person/1054605", "ГКУСО РО АЗОВСКИЙ ЦЕНТР ПОМОЩИ ДЕТЯМ")</f>
        <v>ГКУСО РО АЗОВСКИЙ ЦЕНТР ПОМОЩИ ДЕТЯМ</v>
      </c>
      <c r="B9936" s="24" t="s">
        <v>12320</v>
      </c>
      <c r="C9936" s="25">
        <v>10000</v>
      </c>
      <c r="D9936" s="22" t="s">
        <v>12321</v>
      </c>
      <c r="E9936" s="22" t="s">
        <v>9498</v>
      </c>
      <c r="F9936" s="23" t="str">
        <f>HYPERLINK("https://www.spark-marketing.ru/Card/Lot/69762271", "Услуга по регистрации изменения категории транспортно средства Газель 322121 из категории D в категорию В.")</f>
        <v>Услуга по регистрации изменения категории транспортно средства Газель 322121 из категории D в категорию В.</v>
      </c>
      <c r="G9936" s="22" t="s">
        <v>402</v>
      </c>
      <c r="H9936" s="22" t="s">
        <v>4950</v>
      </c>
      <c r="I9936" s="26">
        <v>43567.563888888901</v>
      </c>
      <c r="J9936" s="28" t="s">
        <v>52</v>
      </c>
      <c r="K9936" s="28" t="s">
        <v>52</v>
      </c>
      <c r="L9936" s="28" t="s">
        <v>52</v>
      </c>
      <c r="M9936" s="28" t="s">
        <v>52</v>
      </c>
      <c r="N9936" s="28" t="s">
        <v>52</v>
      </c>
    </row>
    <row r="9937" spans="1:14" x14ac:dyDescent="0.15">
      <c r="A9937" s="23" t="str">
        <f>HYPERLINK("https://www.spark-marketing.ru/Card/Person/1765696", "ООО ""ПРЕПРЕГ-ДУБНА""")</f>
        <v>ООО "ПРЕПРЕГ-ДУБНА"</v>
      </c>
      <c r="B9937" s="24" t="s">
        <v>9775</v>
      </c>
      <c r="C9937" s="25">
        <v>0</v>
      </c>
      <c r="D9937" s="22" t="s">
        <v>12322</v>
      </c>
      <c r="E9937" s="22" t="s">
        <v>53</v>
      </c>
      <c r="F9937" s="23" t="str">
        <f>HYPERLINK("https://www.spark-marketing.ru/Card/Lot/69765131", "мониторинг цен в электронной форме на Оказание охранных услуг")</f>
        <v>мониторинг цен в электронной форме на Оказание охранных услуг</v>
      </c>
      <c r="G9937" s="22" t="s">
        <v>50</v>
      </c>
      <c r="H9937" s="22" t="s">
        <v>2012</v>
      </c>
      <c r="I9937" s="26">
        <v>43567.555266203701</v>
      </c>
      <c r="J9937" s="28" t="s">
        <v>52</v>
      </c>
      <c r="K9937" s="28" t="s">
        <v>52</v>
      </c>
      <c r="L9937" s="28" t="s">
        <v>52</v>
      </c>
      <c r="M9937" s="28" t="s">
        <v>52</v>
      </c>
      <c r="N9937" s="28" t="s">
        <v>52</v>
      </c>
    </row>
    <row r="9938" spans="1:14" x14ac:dyDescent="0.15">
      <c r="A9938" s="23" t="str">
        <f>HYPERLINK("https://www.spark-marketing.ru/Card/Person/27650", "ФКУ СИЗО-1 ГУФСИН РОССИИ ПО КРАСНОЯРСКОМУ КРАЮ")</f>
        <v>ФКУ СИЗО-1 ГУФСИН РОССИИ ПО КРАСНОЯРСКОМУ КРАЮ</v>
      </c>
      <c r="B9938" s="24" t="s">
        <v>12323</v>
      </c>
      <c r="C9938" s="25">
        <v>151200</v>
      </c>
      <c r="D9938" s="22" t="s">
        <v>12324</v>
      </c>
      <c r="E9938" s="22" t="s">
        <v>194</v>
      </c>
      <c r="F9938" s="23" t="str">
        <f>HYPERLINK("https://www.spark-marketing.ru/Card/Lot/69757154", "Поставка видеорегистраторов")</f>
        <v>Поставка видеорегистраторов</v>
      </c>
      <c r="G9938" s="22" t="s">
        <v>640</v>
      </c>
      <c r="H9938" s="22" t="s">
        <v>1524</v>
      </c>
      <c r="I9938" s="26">
        <v>43567.576388888898</v>
      </c>
      <c r="J9938" s="28" t="s">
        <v>52</v>
      </c>
      <c r="K9938" s="28" t="s">
        <v>52</v>
      </c>
      <c r="L9938" s="28" t="s">
        <v>52</v>
      </c>
      <c r="M9938" s="28" t="s">
        <v>52</v>
      </c>
      <c r="N9938" s="28" t="s">
        <v>52</v>
      </c>
    </row>
    <row r="9939" spans="1:14" ht="12.75" hidden="1" outlineLevel="1" x14ac:dyDescent="0.2">
      <c r="A9939" s="23" t="str">
        <f>HYPERLINK("https://www.spark-marketing.ru/Card/Person/27650", "ФКУ СИЗО-1 ГУФСИН РОССИИ ПО КРАСНОЯРСКОМУ КРАЮ")</f>
        <v>ФКУ СИЗО-1 ГУФСИН РОССИИ ПО КРАСНОЯРСКОМУ КРАЮ</v>
      </c>
      <c r="B9939" s="24" t="s">
        <v>12323</v>
      </c>
      <c r="C9939" s="25">
        <v>151200</v>
      </c>
      <c r="D9939" s="22" t="s">
        <v>12324</v>
      </c>
      <c r="E9939" s="22" t="s">
        <v>194</v>
      </c>
      <c r="F9939" s="23" t="str">
        <f>HYPERLINK("https://www.spark-marketing.ru/Card/Lot/69757154", "Поставка видеорегистраторов")</f>
        <v>Поставка видеорегистраторов</v>
      </c>
      <c r="G9939" s="22" t="s">
        <v>640</v>
      </c>
      <c r="H9939" s="22" t="s">
        <v>1524</v>
      </c>
      <c r="I9939" s="26">
        <v>43567.576388888898</v>
      </c>
      <c r="J9939" s="23" t="str">
        <f>HYPERLINK("https://www.spark-marketing.ru/Card/Person/6528941", "Поздняков Дмитрий Вячеславович")</f>
        <v>Поздняков Дмитрий Вячеславович</v>
      </c>
      <c r="K9939" s="24" t="s">
        <v>12325</v>
      </c>
      <c r="L9939" s="22" t="s">
        <v>10</v>
      </c>
      <c r="M9939" s="25">
        <v>119744</v>
      </c>
      <c r="N9939" s="27">
        <v>0.20804232804232803</v>
      </c>
    </row>
    <row r="9940" spans="1:14" hidden="1" outlineLevel="1" x14ac:dyDescent="0.2">
      <c r="A9940" s="23" t="str">
        <f>HYPERLINK("https://www.spark-marketing.ru/Card/Person/27650", "ФКУ СИЗО-1 ГУФСИН РОССИИ ПО КРАСНОЯРСКОМУ КРАЮ")</f>
        <v>ФКУ СИЗО-1 ГУФСИН РОССИИ ПО КРАСНОЯРСКОМУ КРАЮ</v>
      </c>
      <c r="B9940" s="24" t="s">
        <v>12323</v>
      </c>
      <c r="C9940" s="25">
        <v>151200</v>
      </c>
      <c r="D9940" s="22" t="s">
        <v>12324</v>
      </c>
      <c r="E9940" s="22" t="s">
        <v>194</v>
      </c>
      <c r="F9940" s="23" t="str">
        <f>HYPERLINK("https://www.spark-marketing.ru/Card/Lot/69757154", "Поставка видеорегистраторов")</f>
        <v>Поставка видеорегистраторов</v>
      </c>
      <c r="G9940" s="22" t="s">
        <v>640</v>
      </c>
      <c r="H9940" s="22" t="s">
        <v>1524</v>
      </c>
      <c r="I9940" s="26">
        <v>43567.576388888898</v>
      </c>
      <c r="J9940" s="23" t="str">
        <f>HYPERLINK("https://www.spark-marketing.ru/Card/Person/6342370", "Ванюков Сергей Александрович")</f>
        <v>Ванюков Сергей Александрович</v>
      </c>
      <c r="K9940" s="24" t="s">
        <v>3380</v>
      </c>
      <c r="L9940" s="28" t="s">
        <v>52</v>
      </c>
      <c r="M9940" s="25">
        <v>129276</v>
      </c>
      <c r="N9940" s="27">
        <v>0.14499999999999999</v>
      </c>
    </row>
    <row r="9941" spans="1:14" hidden="1" outlineLevel="1" x14ac:dyDescent="0.2">
      <c r="A9941" s="23" t="str">
        <f>HYPERLINK("https://www.spark-marketing.ru/Card/Person/27650", "ФКУ СИЗО-1 ГУФСИН РОССИИ ПО КРАСНОЯРСКОМУ КРАЮ")</f>
        <v>ФКУ СИЗО-1 ГУФСИН РОССИИ ПО КРАСНОЯРСКОМУ КРАЮ</v>
      </c>
      <c r="B9941" s="24" t="s">
        <v>12323</v>
      </c>
      <c r="C9941" s="25">
        <v>151200</v>
      </c>
      <c r="D9941" s="22" t="s">
        <v>12324</v>
      </c>
      <c r="E9941" s="22" t="s">
        <v>194</v>
      </c>
      <c r="F9941" s="23" t="str">
        <f>HYPERLINK("https://www.spark-marketing.ru/Card/Lot/69757154", "Поставка видеорегистраторов")</f>
        <v>Поставка видеорегистраторов</v>
      </c>
      <c r="G9941" s="22" t="s">
        <v>640</v>
      </c>
      <c r="H9941" s="22" t="s">
        <v>1524</v>
      </c>
      <c r="I9941" s="26">
        <v>43567.576388888898</v>
      </c>
      <c r="J9941" s="23" t="str">
        <f>HYPERLINK("https://www.spark-marketing.ru/Card/Person/6444540", "ООО ""ВЕСТА""")</f>
        <v>ООО "ВЕСТА"</v>
      </c>
      <c r="K9941" s="24" t="s">
        <v>12326</v>
      </c>
      <c r="L9941" s="28" t="s">
        <v>52</v>
      </c>
      <c r="M9941" s="25">
        <v>120499.99</v>
      </c>
      <c r="N9941" s="27">
        <v>0.20304239417989417</v>
      </c>
    </row>
    <row r="9942" spans="1:14" ht="12.75" x14ac:dyDescent="0.2">
      <c r="A9942" s="23" t="str">
        <f>HYPERLINK("https://www.spark-marketing.ru/Card/Person/4343405", "ФГУП ""ГОСКОРПОРАЦИЯ ПО ОРВД""")</f>
        <v>ФГУП "ГОСКОРПОРАЦИЯ ПО ОРВД"</v>
      </c>
      <c r="B9942" s="24" t="s">
        <v>801</v>
      </c>
      <c r="C9942" s="25">
        <v>4999999</v>
      </c>
      <c r="D9942" s="22" t="s">
        <v>12327</v>
      </c>
      <c r="E9942" s="22" t="s">
        <v>1149</v>
      </c>
      <c r="F9942" s="23" t="str">
        <f>HYPERLINK("https://www.spark-marketing.ru/Card/Lot/69762420", "Замена технических средств обеспечения транспортной безопасности, утративших заявленные производителем свойства (характеристики) по причине физического износа, на объектах транспортной инфраструктуры - радиолокационных позиций: Кромы, Сафоново, Талов...")</f>
        <v>Замена технических средств обеспечения транспортной безопасности, утративших заявленные производителем свойства (характеристики) по причине физического износа, на объектах транспортной инфраструктуры - радиолокационных позиций: Кромы, Сафоново, Талов...</v>
      </c>
      <c r="G9942" s="22" t="s">
        <v>55</v>
      </c>
      <c r="H9942" s="22" t="s">
        <v>55</v>
      </c>
      <c r="I9942" s="26">
        <v>43567.551435185203</v>
      </c>
      <c r="J9942" s="23" t="str">
        <f>HYPERLINK("https://www.spark-marketing.ru/Card/Person/4682415", "Видус Дмитрий Сергеевич")</f>
        <v>Видус Дмитрий Сергеевич</v>
      </c>
      <c r="K9942" s="24" t="s">
        <v>12328</v>
      </c>
      <c r="L9942" s="22" t="s">
        <v>10</v>
      </c>
      <c r="M9942" s="25">
        <v>4968135.2</v>
      </c>
      <c r="N9942" s="27">
        <v>6.3727612745522553E-3</v>
      </c>
    </row>
    <row r="9943" spans="1:14" x14ac:dyDescent="0.15">
      <c r="A9943" s="23" t="str">
        <f>HYPERLINK("https://www.spark-marketing.ru/Card/Person/4343740", "МИНЗДРАВ РОССИИ")</f>
        <v>МИНЗДРАВ РОССИИ</v>
      </c>
      <c r="B9943" s="24" t="s">
        <v>1666</v>
      </c>
      <c r="C9943" s="25">
        <v>593819027</v>
      </c>
      <c r="D9943" s="22" t="s">
        <v>12329</v>
      </c>
      <c r="E9943" s="22" t="s">
        <v>53</v>
      </c>
      <c r="F9943" s="23" t="str">
        <f>HYPERLINK("https://www.spark-marketing.ru/Card/Lot/69766342", "Ритуксимаб, концентрат для приготовления раствора для инфузий, 10 мг/мл, 10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f>
        <v>Ритуксимаб, концентрат для приготовления раствора для инфузий, 10 мг/мл, 10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v>
      </c>
      <c r="G9943" s="22" t="s">
        <v>428</v>
      </c>
      <c r="H9943" s="22" t="s">
        <v>429</v>
      </c>
      <c r="I9943" s="26">
        <v>43567.532638888901</v>
      </c>
      <c r="J9943" s="28" t="s">
        <v>52</v>
      </c>
      <c r="K9943" s="28" t="s">
        <v>52</v>
      </c>
      <c r="L9943" s="28" t="s">
        <v>52</v>
      </c>
      <c r="M9943" s="28" t="s">
        <v>52</v>
      </c>
      <c r="N9943" s="28" t="s">
        <v>52</v>
      </c>
    </row>
    <row r="9944" spans="1:14" x14ac:dyDescent="0.15">
      <c r="A9944" s="23" t="str">
        <f>HYPERLINK("https://www.spark-marketing.ru/Card/Person/631077", "МБУ ""УЖК И ДК КГО""")</f>
        <v>МБУ "УЖК И ДК КГО"</v>
      </c>
      <c r="B9944" s="24" t="s">
        <v>2173</v>
      </c>
      <c r="C9944" s="25">
        <v>306384.75</v>
      </c>
      <c r="D9944" s="22" t="s">
        <v>12330</v>
      </c>
      <c r="E9944" s="22" t="s">
        <v>68</v>
      </c>
      <c r="F9944" s="23" t="str">
        <f>HYPERLINK("https://www.spark-marketing.ru/Card/Lot/69753744", "Оказание услуг физической охраны")</f>
        <v>Оказание услуг физической охраны</v>
      </c>
      <c r="G9944" s="22" t="s">
        <v>367</v>
      </c>
      <c r="H9944" s="22" t="s">
        <v>2175</v>
      </c>
      <c r="I9944" s="26">
        <v>43567.5402777778</v>
      </c>
      <c r="J9944" s="23" t="str">
        <f>HYPERLINK("https://www.spark-marketing.ru/Card/Person/301695", "ООО ЧОП ""СКИФ""")</f>
        <v>ООО ЧОП "СКИФ"</v>
      </c>
      <c r="K9944" s="24" t="s">
        <v>12331</v>
      </c>
      <c r="L9944" s="22" t="s">
        <v>10</v>
      </c>
      <c r="M9944" s="28" t="s">
        <v>52</v>
      </c>
      <c r="N9944" s="28" t="s">
        <v>52</v>
      </c>
    </row>
    <row r="9945" spans="1:14" x14ac:dyDescent="0.15">
      <c r="A9945" s="23" t="str">
        <f>HYPERLINK("https://www.spark-marketing.ru/Card/Person/129258", "МБУК ""ГОРОДСКОЙ ТЕАТР""")</f>
        <v>МБУК "ГОРОДСКОЙ ТЕАТР"</v>
      </c>
      <c r="B9945" s="24" t="s">
        <v>10331</v>
      </c>
      <c r="C9945" s="25">
        <v>650000</v>
      </c>
      <c r="D9945" s="22" t="s">
        <v>12332</v>
      </c>
      <c r="E9945" s="22" t="s">
        <v>1634</v>
      </c>
      <c r="F9945" s="23" t="str">
        <f>HYPERLINK("https://www.spark-marketing.ru/Card/Lot/69763744", "Услуга по предоставлению светодиодного оборудования, обслуживанию и видео сопровождению мероприятий на светодиодных экранах")</f>
        <v>Услуга по предоставлению светодиодного оборудования, обслуживанию и видео сопровождению мероприятий на светодиодных экранах</v>
      </c>
      <c r="G9945" s="22" t="s">
        <v>132</v>
      </c>
      <c r="H9945" s="22" t="s">
        <v>6733</v>
      </c>
      <c r="I9945" s="26">
        <v>43567.516666666699</v>
      </c>
      <c r="J9945" s="28" t="s">
        <v>52</v>
      </c>
      <c r="K9945" s="28" t="s">
        <v>52</v>
      </c>
      <c r="L9945" s="28" t="s">
        <v>52</v>
      </c>
      <c r="M9945" s="28" t="s">
        <v>52</v>
      </c>
      <c r="N9945" s="28" t="s">
        <v>52</v>
      </c>
    </row>
    <row r="9946" spans="1:14" ht="12.75" hidden="1" outlineLevel="1" x14ac:dyDescent="0.2">
      <c r="A9946" s="23" t="str">
        <f>HYPERLINK("https://www.spark-marketing.ru/Card/Person/129258", "МБУК ""ГОРОДСКОЙ ТЕАТР""")</f>
        <v>МБУК "ГОРОДСКОЙ ТЕАТР"</v>
      </c>
      <c r="B9946" s="24" t="s">
        <v>10331</v>
      </c>
      <c r="C9946" s="25">
        <v>650000</v>
      </c>
      <c r="D9946" s="22" t="s">
        <v>12332</v>
      </c>
      <c r="E9946" s="22" t="s">
        <v>1634</v>
      </c>
      <c r="F9946" s="23" t="str">
        <f>HYPERLINK("https://www.spark-marketing.ru/Card/Lot/69763744", "Услуга по предоставлению светодиодного оборудования, обслуживанию и видео сопровождению мероприятий на светодиодных экранах")</f>
        <v>Услуга по предоставлению светодиодного оборудования, обслуживанию и видео сопровождению мероприятий на светодиодных экранах</v>
      </c>
      <c r="G9946" s="22" t="s">
        <v>132</v>
      </c>
      <c r="H9946" s="22" t="s">
        <v>6733</v>
      </c>
      <c r="I9946" s="26">
        <v>43567.516666666699</v>
      </c>
      <c r="J9946" s="23" t="str">
        <f>HYPERLINK("https://www.spark-marketing.ru/Card/Person/1207971", "Караман Татьяна Ивановна")</f>
        <v>Караман Татьяна Ивановна</v>
      </c>
      <c r="K9946" s="24" t="s">
        <v>10333</v>
      </c>
      <c r="L9946" s="22" t="s">
        <v>10</v>
      </c>
      <c r="M9946" s="25">
        <v>593500</v>
      </c>
      <c r="N9946" s="27">
        <v>8.6923076923076922E-2</v>
      </c>
    </row>
    <row r="9947" spans="1:14" hidden="1" outlineLevel="1" x14ac:dyDescent="0.2">
      <c r="A9947" s="23" t="str">
        <f>HYPERLINK("https://www.spark-marketing.ru/Card/Person/129258", "МБУК ""ГОРОДСКОЙ ТЕАТР""")</f>
        <v>МБУК "ГОРОДСКОЙ ТЕАТР"</v>
      </c>
      <c r="B9947" s="24" t="s">
        <v>10331</v>
      </c>
      <c r="C9947" s="25">
        <v>650000</v>
      </c>
      <c r="D9947" s="22" t="s">
        <v>12332</v>
      </c>
      <c r="E9947" s="22" t="s">
        <v>1634</v>
      </c>
      <c r="F9947" s="23" t="str">
        <f>HYPERLINK("https://www.spark-marketing.ru/Card/Lot/69763744", "Услуга по предоставлению светодиодного оборудования, обслуживанию и видео сопровождению мероприятий на светодиодных экранах")</f>
        <v>Услуга по предоставлению светодиодного оборудования, обслуживанию и видео сопровождению мероприятий на светодиодных экранах</v>
      </c>
      <c r="G9947" s="22" t="s">
        <v>132</v>
      </c>
      <c r="H9947" s="22" t="s">
        <v>6733</v>
      </c>
      <c r="I9947" s="26">
        <v>43567.516666666699</v>
      </c>
      <c r="J9947" s="23" t="str">
        <f>HYPERLINK("https://www.spark-marketing.ru/Card/Person/4756645", "ООО ""СТАРСАУНДС""")</f>
        <v>ООО "СТАРСАУНДС"</v>
      </c>
      <c r="K9947" s="24" t="s">
        <v>5783</v>
      </c>
      <c r="L9947" s="28" t="s">
        <v>52</v>
      </c>
      <c r="M9947" s="25">
        <v>596750</v>
      </c>
      <c r="N9947" s="27">
        <v>8.1923076923076918E-2</v>
      </c>
    </row>
    <row r="9948" spans="1:14" x14ac:dyDescent="0.15">
      <c r="A9948" s="23" t="str">
        <f>HYPERLINK("https://www.spark-marketing.ru/Card/Person/1329141", "АОУ ДЕТСКИЙ САД № 23 ""АНТОШКА""")</f>
        <v>АОУ ДЕТСКИЙ САД № 23 "АНТОШКА"</v>
      </c>
      <c r="B9948" s="24" t="s">
        <v>12333</v>
      </c>
      <c r="C9948" s="25">
        <v>13310</v>
      </c>
      <c r="D9948" s="22" t="s">
        <v>12334</v>
      </c>
      <c r="E9948" s="22" t="s">
        <v>4889</v>
      </c>
      <c r="F9948" s="23" t="str">
        <f>HYPERLINK("https://www.spark-marketing.ru/Card/Lot/69758877", "Оказание услуг по техническому обслуживанию видеонаблюдения")</f>
        <v>Оказание услуг по техническому обслуживанию видеонаблюдения</v>
      </c>
      <c r="G9948" s="22" t="s">
        <v>50</v>
      </c>
      <c r="H9948" s="22" t="s">
        <v>3866</v>
      </c>
      <c r="I9948" s="26">
        <v>43567.472037036998</v>
      </c>
      <c r="J9948" s="28" t="s">
        <v>52</v>
      </c>
      <c r="K9948" s="28" t="s">
        <v>52</v>
      </c>
      <c r="L9948" s="28" t="s">
        <v>52</v>
      </c>
      <c r="M9948" s="28" t="s">
        <v>52</v>
      </c>
      <c r="N9948" s="28" t="s">
        <v>52</v>
      </c>
    </row>
    <row r="9949" spans="1:14" x14ac:dyDescent="0.15">
      <c r="A9949" s="23" t="str">
        <f>HYPERLINK("https://www.spark-marketing.ru/Card/Person/881504", "МОУ СОШ № 89")</f>
        <v>МОУ СОШ № 89</v>
      </c>
      <c r="B9949" s="24" t="s">
        <v>12335</v>
      </c>
      <c r="C9949" s="25">
        <v>624240</v>
      </c>
      <c r="D9949" s="22" t="s">
        <v>12336</v>
      </c>
      <c r="E9949" s="22" t="s">
        <v>68</v>
      </c>
      <c r="F9949" s="23" t="str">
        <f>HYPERLINK("https://www.spark-marketing.ru/Card/Lot/69760572", "Услуги, связанные с обеспечением общественного порядка и безопасности, прочие")</f>
        <v>Услуги, связанные с обеспечением общественного порядка и безопасности, прочие</v>
      </c>
      <c r="G9949" s="22" t="s">
        <v>132</v>
      </c>
      <c r="H9949" s="22" t="s">
        <v>1126</v>
      </c>
      <c r="I9949" s="26">
        <v>43567.481249999997</v>
      </c>
      <c r="J9949" s="28" t="s">
        <v>52</v>
      </c>
      <c r="K9949" s="28" t="s">
        <v>52</v>
      </c>
      <c r="L9949" s="28" t="s">
        <v>52</v>
      </c>
      <c r="M9949" s="28" t="s">
        <v>52</v>
      </c>
      <c r="N9949" s="28" t="s">
        <v>52</v>
      </c>
    </row>
    <row r="9950" spans="1:14" hidden="1" outlineLevel="1" x14ac:dyDescent="0.2">
      <c r="A9950" s="23" t="str">
        <f>HYPERLINK("https://www.spark-marketing.ru/Card/Person/881504", "МОУ СОШ № 89")</f>
        <v>МОУ СОШ № 89</v>
      </c>
      <c r="B9950" s="24" t="s">
        <v>12335</v>
      </c>
      <c r="C9950" s="25">
        <v>624240</v>
      </c>
      <c r="D9950" s="22" t="s">
        <v>12336</v>
      </c>
      <c r="E9950" s="22" t="s">
        <v>68</v>
      </c>
      <c r="F9950" s="23" t="str">
        <f>HYPERLINK("https://www.spark-marketing.ru/Card/Lot/69760572", "Услуги, связанные с обеспечением общественного порядка и безопасности, прочие")</f>
        <v>Услуги, связанные с обеспечением общественного порядка и безопасности, прочие</v>
      </c>
      <c r="G9950" s="22" t="s">
        <v>132</v>
      </c>
      <c r="H9950" s="22" t="s">
        <v>1126</v>
      </c>
      <c r="I9950" s="26">
        <v>43567.481249999997</v>
      </c>
      <c r="J9950" s="23" t="str">
        <f>HYPERLINK("https://www.spark-marketing.ru/Card/Person/5893585", "ООО ""ЧОО ""БЕРКУТ-С""")</f>
        <v>ООО "ЧОО "БЕРКУТ-С"</v>
      </c>
      <c r="K9950" s="24" t="s">
        <v>12337</v>
      </c>
      <c r="L9950" s="28" t="s">
        <v>52</v>
      </c>
      <c r="M9950" s="25">
        <v>589560</v>
      </c>
      <c r="N9950" s="27">
        <v>5.5555555555555552E-2</v>
      </c>
    </row>
    <row r="9951" spans="1:14" ht="12.75" hidden="1" outlineLevel="1" x14ac:dyDescent="0.2">
      <c r="A9951" s="23" t="str">
        <f>HYPERLINK("https://www.spark-marketing.ru/Card/Person/881504", "МОУ СОШ № 89")</f>
        <v>МОУ СОШ № 89</v>
      </c>
      <c r="B9951" s="24" t="s">
        <v>12335</v>
      </c>
      <c r="C9951" s="25">
        <v>624240</v>
      </c>
      <c r="D9951" s="22" t="s">
        <v>12336</v>
      </c>
      <c r="E9951" s="22" t="s">
        <v>68</v>
      </c>
      <c r="F9951" s="23" t="str">
        <f>HYPERLINK("https://www.spark-marketing.ru/Card/Lot/69760572", "Услуги, связанные с обеспечением общественного порядка и безопасности, прочие")</f>
        <v>Услуги, связанные с обеспечением общественного порядка и безопасности, прочие</v>
      </c>
      <c r="G9951" s="22" t="s">
        <v>132</v>
      </c>
      <c r="H9951" s="22" t="s">
        <v>1126</v>
      </c>
      <c r="I9951" s="26">
        <v>43567.481249999997</v>
      </c>
      <c r="J9951" s="23" t="str">
        <f>HYPERLINK("https://www.spark-marketing.ru/Card/Person/124509", "ООО ""ЧАСТНАЯ ОХРАННАЯ ОРГАНИЗАЦИЯ ""РУБИКОН""")</f>
        <v>ООО "ЧАСТНАЯ ОХРАННАЯ ОРГАНИЗАЦИЯ "РУБИКОН"</v>
      </c>
      <c r="K9951" s="24" t="s">
        <v>6844</v>
      </c>
      <c r="L9951" s="22" t="s">
        <v>10</v>
      </c>
      <c r="M9951" s="25">
        <v>586438.80000000005</v>
      </c>
      <c r="N9951" s="27">
        <v>6.0555555555555557E-2</v>
      </c>
    </row>
    <row r="9952" spans="1:14" x14ac:dyDescent="0.15">
      <c r="A9952" s="23" t="str">
        <f>HYPERLINK("https://www.spark-marketing.ru/Card/Person/84059", "МДОУ №5")</f>
        <v>МДОУ №5</v>
      </c>
      <c r="B9952" s="24" t="s">
        <v>11809</v>
      </c>
      <c r="C9952" s="25">
        <v>136781</v>
      </c>
      <c r="D9952" s="22" t="s">
        <v>12338</v>
      </c>
      <c r="E9952" s="22" t="s">
        <v>84</v>
      </c>
      <c r="F9952" s="23" t="str">
        <f>HYPERLINK("https://www.spark-marketing.ru/Card/Lot/69758879", "Установка дополнительных видеокамер в систему видеонаблюдения в помещениях МДОУ №5")</f>
        <v>Установка дополнительных видеокамер в систему видеонаблюдения в помещениях МДОУ №5</v>
      </c>
      <c r="G9952" s="22" t="s">
        <v>50</v>
      </c>
      <c r="H9952" s="22" t="s">
        <v>295</v>
      </c>
      <c r="I9952" s="26">
        <v>43567.481967592597</v>
      </c>
      <c r="J9952" s="28" t="s">
        <v>52</v>
      </c>
      <c r="K9952" s="28" t="s">
        <v>52</v>
      </c>
      <c r="L9952" s="28" t="s">
        <v>52</v>
      </c>
      <c r="M9952" s="28" t="s">
        <v>52</v>
      </c>
      <c r="N9952" s="28" t="s">
        <v>52</v>
      </c>
    </row>
    <row r="9953" spans="1:14" x14ac:dyDescent="0.15">
      <c r="A9953" s="23" t="str">
        <f>HYPERLINK("https://www.spark-marketing.ru/Card/Person/120370", "ФГКУ КОМБИНАТ ""САЯНЫ"" РОСРЕЗЕРВА")</f>
        <v>ФГКУ КОМБИНАТ "САЯНЫ" РОСРЕЗЕРВА</v>
      </c>
      <c r="B9953" s="24" t="s">
        <v>4698</v>
      </c>
      <c r="C9953" s="25">
        <v>5630.25</v>
      </c>
      <c r="D9953" s="22" t="s">
        <v>12339</v>
      </c>
      <c r="E9953" s="22" t="s">
        <v>12340</v>
      </c>
      <c r="F9953" s="23" t="str">
        <f>HYPERLINK("https://www.spark-marketing.ru/Card/Lot/69751847", "оказание услуги по охране грузов в вагонах железнодорожного транспорта путях необщего пользования")</f>
        <v>оказание услуги по охране грузов в вагонах железнодорожного транспорта путях необщего пользования</v>
      </c>
      <c r="G9953" s="22" t="s">
        <v>640</v>
      </c>
      <c r="H9953" s="22" t="s">
        <v>4700</v>
      </c>
      <c r="I9953" s="26">
        <v>43567.462500000001</v>
      </c>
      <c r="J9953" s="28" t="s">
        <v>52</v>
      </c>
      <c r="K9953" s="28" t="s">
        <v>52</v>
      </c>
      <c r="L9953" s="28" t="s">
        <v>52</v>
      </c>
      <c r="M9953" s="28" t="s">
        <v>52</v>
      </c>
      <c r="N9953" s="28" t="s">
        <v>52</v>
      </c>
    </row>
    <row r="9954" spans="1:14" x14ac:dyDescent="0.15">
      <c r="A9954" s="23" t="str">
        <f>HYPERLINK("https://www.spark-marketing.ru/Card/Person/72569", "ГБУЗ ""ККДПБ""")</f>
        <v>ГБУЗ "ККДПБ"</v>
      </c>
      <c r="B9954" s="24" t="s">
        <v>12341</v>
      </c>
      <c r="C9954" s="25">
        <v>298333.33</v>
      </c>
      <c r="D9954" s="22" t="s">
        <v>12342</v>
      </c>
      <c r="E9954" s="22" t="s">
        <v>84</v>
      </c>
      <c r="F9954" s="23" t="str">
        <f>HYPERLINK("https://www.spark-marketing.ru/Card/Lot/69749405", "Услуги по установке системы видеонаблюдения")</f>
        <v>Услуги по установке системы видеонаблюдения</v>
      </c>
      <c r="G9954" s="22" t="s">
        <v>409</v>
      </c>
      <c r="H9954" s="22" t="s">
        <v>878</v>
      </c>
      <c r="I9954" s="26">
        <v>43567.436111111099</v>
      </c>
      <c r="J9954" s="23" t="str">
        <f>HYPERLINK("https://www.spark-marketing.ru/Card/Person/6447988", "Степченко Роман Олегович")</f>
        <v>Степченко Роман Олегович</v>
      </c>
      <c r="K9954" s="24" t="s">
        <v>12343</v>
      </c>
      <c r="L9954" s="28" t="s">
        <v>52</v>
      </c>
      <c r="M9954" s="28" t="s">
        <v>52</v>
      </c>
      <c r="N9954" s="28" t="s">
        <v>52</v>
      </c>
    </row>
    <row r="9955" spans="1:14" ht="12.75" hidden="1" outlineLevel="1" x14ac:dyDescent="0.2">
      <c r="A9955" s="23" t="str">
        <f>HYPERLINK("https://www.spark-marketing.ru/Card/Person/72569", "ГБУЗ ""ККДПБ""")</f>
        <v>ГБУЗ "ККДПБ"</v>
      </c>
      <c r="B9955" s="24" t="s">
        <v>12341</v>
      </c>
      <c r="C9955" s="25">
        <v>298333.33</v>
      </c>
      <c r="D9955" s="22" t="s">
        <v>12342</v>
      </c>
      <c r="E9955" s="22" t="s">
        <v>84</v>
      </c>
      <c r="F9955" s="23" t="str">
        <f>HYPERLINK("https://www.spark-marketing.ru/Card/Lot/69749405", "Услуги по установке системы видеонаблюдения")</f>
        <v>Услуги по установке системы видеонаблюдения</v>
      </c>
      <c r="G9955" s="22" t="s">
        <v>409</v>
      </c>
      <c r="H9955" s="22" t="s">
        <v>878</v>
      </c>
      <c r="I9955" s="26">
        <v>43567.436111111099</v>
      </c>
      <c r="J9955" s="23" t="str">
        <f>HYPERLINK("https://www.spark-marketing.ru/Card/Person/6447988", "Степченко Роман Олегович")</f>
        <v>Степченко Роман Олегович</v>
      </c>
      <c r="K9955" s="24" t="s">
        <v>12343</v>
      </c>
      <c r="L9955" s="22" t="s">
        <v>10</v>
      </c>
      <c r="M9955" s="25">
        <v>296841.65999999997</v>
      </c>
      <c r="N9955" s="27">
        <v>5.0000112290504049E-3</v>
      </c>
    </row>
    <row r="9956" spans="1:14" x14ac:dyDescent="0.15">
      <c r="A9956" s="23" t="str">
        <f>HYPERLINK("https://www.spark-marketing.ru/Card/Person/4349872", "АО ""АВИАКОМПАНИЯ ""РОССИЯ""")</f>
        <v>АО "АВИАКОМПАНИЯ "РОССИЯ"</v>
      </c>
      <c r="B9956" s="24" t="s">
        <v>12344</v>
      </c>
      <c r="C9956" s="25">
        <v>6840000</v>
      </c>
      <c r="D9956" s="22" t="s">
        <v>12345</v>
      </c>
      <c r="E9956" s="22" t="s">
        <v>8137</v>
      </c>
      <c r="F9956" s="23" t="str">
        <f>HYPERLINK("https://www.spark-marketing.ru/Card/Lot/69755708", "Оказание охранных услуг по охране объектов и имущества АО ""Авиакомпания ""Россия"", обеспечение безопасности персонала и посетителей АК")</f>
        <v>Оказание охранных услуг по охране объектов и имущества АО "Авиакомпания "Россия", обеспечение безопасности персонала и посетителей АК</v>
      </c>
      <c r="G9956" s="22" t="s">
        <v>89</v>
      </c>
      <c r="H9956" s="22" t="s">
        <v>89</v>
      </c>
      <c r="I9956" s="26">
        <v>43567.427766203698</v>
      </c>
      <c r="J9956" s="28" t="s">
        <v>52</v>
      </c>
      <c r="K9956" s="28" t="s">
        <v>52</v>
      </c>
      <c r="L9956" s="28" t="s">
        <v>52</v>
      </c>
      <c r="M9956" s="28" t="s">
        <v>52</v>
      </c>
      <c r="N9956" s="28" t="s">
        <v>52</v>
      </c>
    </row>
    <row r="9957" spans="1:14" hidden="1" outlineLevel="1" x14ac:dyDescent="0.2">
      <c r="A9957" s="23" t="str">
        <f>HYPERLINK("https://www.spark-marketing.ru/Card/Person/4349872", "АО ""АВИАКОМПАНИЯ ""РОССИЯ""")</f>
        <v>АО "АВИАКОМПАНИЯ "РОССИЯ"</v>
      </c>
      <c r="B9957" s="24" t="s">
        <v>12344</v>
      </c>
      <c r="C9957" s="28" t="s">
        <v>52</v>
      </c>
      <c r="D9957" s="22" t="s">
        <v>12345</v>
      </c>
      <c r="E9957" s="22" t="s">
        <v>8137</v>
      </c>
      <c r="F9957" s="23" t="str">
        <f>HYPERLINK("https://www.spark-marketing.ru/Card/Lot/69755708", "Оказание охранных услуг по охране объектов и имущества АО ""Авиакомпания ""Россия"", обеспечение безопасности персонала и посетителей АК")</f>
        <v>Оказание охранных услуг по охране объектов и имущества АО "Авиакомпания "Россия", обеспечение безопасности персонала и посетителей АК</v>
      </c>
      <c r="G9957" s="22" t="s">
        <v>89</v>
      </c>
      <c r="H9957" s="22" t="s">
        <v>89</v>
      </c>
      <c r="I9957" s="26">
        <v>43567.427766203698</v>
      </c>
      <c r="J9957" s="23" t="str">
        <f>HYPERLINK("https://www.spark-marketing.ru/Card/Person/1555459", "ООО ""ОО ""КОМБАТ СЕКЬЮРИТИ""")</f>
        <v>ООО "ОО "КОМБАТ СЕКЬЮРИТИ"</v>
      </c>
      <c r="K9957" s="24" t="s">
        <v>12346</v>
      </c>
      <c r="L9957" s="22" t="s">
        <v>10</v>
      </c>
      <c r="M9957" s="25">
        <v>7862400</v>
      </c>
      <c r="N9957" s="27">
        <v>-0.14947368421052631</v>
      </c>
    </row>
    <row r="9958" spans="1:14" hidden="1" outlineLevel="1" x14ac:dyDescent="0.2">
      <c r="A9958" s="23" t="str">
        <f>HYPERLINK("https://www.spark-marketing.ru/Card/Person/4349872", "АО ""АВИАКОМПАНИЯ ""РОССИЯ""")</f>
        <v>АО "АВИАКОМПАНИЯ "РОССИЯ"</v>
      </c>
      <c r="B9958" s="24" t="s">
        <v>12344</v>
      </c>
      <c r="C9958" s="28" t="s">
        <v>52</v>
      </c>
      <c r="D9958" s="22" t="s">
        <v>12345</v>
      </c>
      <c r="E9958" s="22" t="s">
        <v>8137</v>
      </c>
      <c r="F9958" s="23" t="str">
        <f>HYPERLINK("https://www.spark-marketing.ru/Card/Lot/69755708", "Оказание охранных услуг по охране объектов и имущества АО ""Авиакомпания ""Россия"", обеспечение безопасности персонала и посетителей АК")</f>
        <v>Оказание охранных услуг по охране объектов и имущества АО "Авиакомпания "Россия", обеспечение безопасности персонала и посетителей АК</v>
      </c>
      <c r="G9958" s="22" t="s">
        <v>89</v>
      </c>
      <c r="H9958" s="22" t="s">
        <v>89</v>
      </c>
      <c r="I9958" s="26">
        <v>43567.427766203698</v>
      </c>
      <c r="J9958" s="23" t="str">
        <f>HYPERLINK("https://www.spark-marketing.ru/Card/Person/241436", "ООО ОО ""РАДИУС БЕЗОПАСНОСТЬ""")</f>
        <v>ООО ОО "РАДИУС БЕЗОПАСНОСТЬ"</v>
      </c>
      <c r="K9958" s="24" t="s">
        <v>12347</v>
      </c>
      <c r="L9958" s="28" t="s">
        <v>52</v>
      </c>
      <c r="M9958" s="25">
        <v>8208000</v>
      </c>
      <c r="N9958" s="27">
        <v>-0.2</v>
      </c>
    </row>
    <row r="9959" spans="1:14" x14ac:dyDescent="0.15">
      <c r="A9959" s="23" t="str">
        <f>HYPERLINK("https://www.spark-marketing.ru/Card/Person/27584", "ФКУ ИК-19 ГУФСИН РОССИИ ПО ИРКУТСКОЙ ОБЛАСТИ")</f>
        <v>ФКУ ИК-19 ГУФСИН РОССИИ ПО ИРКУТСКОЙ ОБЛАСТИ</v>
      </c>
      <c r="B9959" s="24" t="s">
        <v>12348</v>
      </c>
      <c r="C9959" s="25">
        <v>20000</v>
      </c>
      <c r="D9959" s="22" t="s">
        <v>12349</v>
      </c>
      <c r="E9959" s="22" t="s">
        <v>53</v>
      </c>
      <c r="F9959" s="23" t="str">
        <f>HYPERLINK("https://www.spark-marketing.ru/Card/Lot/70777162", "Оборудование")</f>
        <v>Оборудование</v>
      </c>
      <c r="G9959" s="22" t="s">
        <v>281</v>
      </c>
      <c r="H9959" s="22" t="s">
        <v>2905</v>
      </c>
      <c r="I9959" s="26">
        <v>43567.417060185202</v>
      </c>
      <c r="J9959" s="28" t="s">
        <v>52</v>
      </c>
      <c r="K9959" s="28" t="s">
        <v>52</v>
      </c>
      <c r="L9959" s="28" t="s">
        <v>52</v>
      </c>
      <c r="M9959" s="28" t="s">
        <v>52</v>
      </c>
      <c r="N9959" s="28" t="s">
        <v>52</v>
      </c>
    </row>
    <row r="9960" spans="1:14" x14ac:dyDescent="0.15">
      <c r="A9960" s="23" t="str">
        <f>HYPERLINK("https://www.spark-marketing.ru/Card/Person/76168", "ГБУЗ СО ""ГБ Г.ВЕРХНИЙ ТАГИЛ""")</f>
        <v>ГБУЗ СО "ГБ Г.ВЕРХНИЙ ТАГИЛ"</v>
      </c>
      <c r="B9960" s="24" t="s">
        <v>12350</v>
      </c>
      <c r="C9960" s="25">
        <v>169869.84</v>
      </c>
      <c r="D9960" s="22" t="s">
        <v>12351</v>
      </c>
      <c r="E9960" s="22" t="s">
        <v>68</v>
      </c>
      <c r="F9960" s="23" t="str">
        <f>HYPERLINK("https://www.spark-marketing.ru/Card/Lot/69753889", "Охранные услуги")</f>
        <v>Охранные услуги</v>
      </c>
      <c r="G9960" s="22" t="s">
        <v>72</v>
      </c>
      <c r="H9960" s="22" t="s">
        <v>7807</v>
      </c>
      <c r="I9960" s="26">
        <v>43567.440277777801</v>
      </c>
      <c r="J9960" s="23" t="str">
        <f>HYPERLINK("https://www.spark-marketing.ru/Card/Person/808361", "ООО ЧОО ""ЛАНЦЕЛОТ""")</f>
        <v>ООО ЧОО "ЛАНЦЕЛОТ"</v>
      </c>
      <c r="K9960" s="24" t="s">
        <v>2338</v>
      </c>
      <c r="L9960" s="22" t="s">
        <v>10</v>
      </c>
      <c r="M9960" s="28" t="s">
        <v>52</v>
      </c>
      <c r="N9960" s="28" t="s">
        <v>52</v>
      </c>
    </row>
    <row r="9961" spans="1:14" x14ac:dyDescent="0.15">
      <c r="A9961" s="23" t="str">
        <f>HYPERLINK("https://www.spark-marketing.ru/Card/Person/1078644", "УПРАВЛЕНИЕ МИНЮСТА РОССИИ ПО САМАРСКОЙ ОБЛАСТИ")</f>
        <v>УПРАВЛЕНИЕ МИНЮСТА РОССИИ ПО САМАРСКОЙ ОБЛАСТИ</v>
      </c>
      <c r="B9961" s="24" t="s">
        <v>12352</v>
      </c>
      <c r="C9961" s="25">
        <v>96693.96</v>
      </c>
      <c r="D9961" s="22" t="s">
        <v>12353</v>
      </c>
      <c r="E9961" s="22" t="s">
        <v>53</v>
      </c>
      <c r="F9961" s="23" t="str">
        <f>HYPERLINK("https://www.spark-marketing.ru/Card/Lot/70808629", "ВОЕНИЗИРОВАННАЯ ОХРАНА ОБЪЕКТА")</f>
        <v>ВОЕНИЗИРОВАННАЯ ОХРАНА ОБЪЕКТА</v>
      </c>
      <c r="G9961" s="22" t="s">
        <v>760</v>
      </c>
      <c r="H9961" s="22" t="s">
        <v>1709</v>
      </c>
      <c r="I9961" s="26">
        <v>43567.441342592603</v>
      </c>
      <c r="J9961" s="28" t="s">
        <v>52</v>
      </c>
      <c r="K9961" s="28" t="s">
        <v>52</v>
      </c>
      <c r="L9961" s="28" t="s">
        <v>52</v>
      </c>
      <c r="M9961" s="28" t="s">
        <v>52</v>
      </c>
      <c r="N9961" s="28" t="s">
        <v>52</v>
      </c>
    </row>
    <row r="9962" spans="1:14" x14ac:dyDescent="0.15">
      <c r="A9962" s="23" t="str">
        <f>HYPERLINK("https://www.spark-marketing.ru/Card/Person/153838", "МЕЖРАЙОННАЯ ИФНС РОССИИ № 8 ПО ЗАБАЙКАЛЬСКОМУ КРАЮ")</f>
        <v>МЕЖРАЙОННАЯ ИФНС РОССИИ № 8 ПО ЗАБАЙКАЛЬСКОМУ КРАЮ</v>
      </c>
      <c r="B9962" s="24" t="s">
        <v>1819</v>
      </c>
      <c r="C9962" s="25">
        <v>60984</v>
      </c>
      <c r="D9962" s="22" t="s">
        <v>12354</v>
      </c>
      <c r="E9962" s="22" t="s">
        <v>53</v>
      </c>
      <c r="F9962" s="23" t="str">
        <f>HYPERLINK("https://www.spark-marketing.ru/Card/Lot/70777279", "техническое обслуживание комплекса технических средств охраны")</f>
        <v>техническое обслуживание комплекса технических средств охраны</v>
      </c>
      <c r="G9962" s="22" t="s">
        <v>473</v>
      </c>
      <c r="H9962" s="22" t="s">
        <v>1822</v>
      </c>
      <c r="I9962" s="26">
        <v>43567.427013888897</v>
      </c>
      <c r="J9962" s="28" t="s">
        <v>52</v>
      </c>
      <c r="K9962" s="28" t="s">
        <v>52</v>
      </c>
      <c r="L9962" s="28" t="s">
        <v>52</v>
      </c>
      <c r="M9962" s="28" t="s">
        <v>52</v>
      </c>
      <c r="N9962" s="28" t="s">
        <v>52</v>
      </c>
    </row>
    <row r="9963" spans="1:14" x14ac:dyDescent="0.2">
      <c r="A9963" s="23" t="str">
        <f>HYPERLINK("https://www.spark-marketing.ru/Card/Person/4346931", "РОСЖЕЛДОР")</f>
        <v>РОСЖЕЛДОР</v>
      </c>
      <c r="B9963" s="24" t="s">
        <v>12355</v>
      </c>
      <c r="C9963" s="25">
        <v>2000000</v>
      </c>
      <c r="D9963" s="22" t="s">
        <v>12356</v>
      </c>
      <c r="E9963" s="22" t="s">
        <v>9498</v>
      </c>
      <c r="F9963" s="23" t="str">
        <f>HYPERLINK("https://www.spark-marketing.ru/Card/Lot/69758655", "выполнение научно-исследовательской работы по теме: ""Формирование типового проектного решения контрольно-пропускного пункта, состоящего из одного досмотрового участка, на границе зоны транспортной безопасности объекта транспортной инфраструктуры жел...")</f>
        <v>выполнение научно-исследовательской работы по теме: "Формирование типового проектного решения контрольно-пропускного пункта, состоящего из одного досмотрового участка, на границе зоны транспортной безопасности объекта транспортной инфраструктуры жел...</v>
      </c>
      <c r="G9963" s="22" t="s">
        <v>55</v>
      </c>
      <c r="H9963" s="22" t="s">
        <v>55</v>
      </c>
      <c r="I9963" s="26">
        <v>43567.444444444402</v>
      </c>
      <c r="J9963" s="23" t="str">
        <f>HYPERLINK("https://www.spark-marketing.ru/Card/Person/19500", "ФГБОУ ВО ""САМАРСКИЙ ГОСУДАРСТВЕННЫЙ УНИВЕРСИТЕТ ПУТЕЙ СООБЩЕНИЯ"", ФГБОУ ВО САМГУПС, САМГУПС")</f>
        <v>ФГБОУ ВО "САМАРСКИЙ ГОСУДАРСТВЕННЫЙ УНИВЕРСИТЕТ ПУТЕЙ СООБЩЕНИЯ", ФГБОУ ВО САМГУПС, САМГУПС</v>
      </c>
      <c r="K9963" s="24" t="s">
        <v>12357</v>
      </c>
      <c r="L9963" s="28" t="s">
        <v>52</v>
      </c>
      <c r="M9963" s="25">
        <v>2000000</v>
      </c>
      <c r="N9963" s="27">
        <v>0</v>
      </c>
    </row>
    <row r="9964" spans="1:14" x14ac:dyDescent="0.15">
      <c r="A9964" s="23" t="str">
        <f>HYPERLINK("https://www.spark-marketing.ru/Card/Person/153838", "МЕЖРАЙОННАЯ ИФНС РОССИИ № 8 ПО ЗАБАЙКАЛЬСКОМУ КРАЮ")</f>
        <v>МЕЖРАЙОННАЯ ИФНС РОССИИ № 8 ПО ЗАБАЙКАЛЬСКОМУ КРАЮ</v>
      </c>
      <c r="B9964" s="24" t="s">
        <v>1819</v>
      </c>
      <c r="C9964" s="25">
        <v>16522.560000000001</v>
      </c>
      <c r="D9964" s="22" t="s">
        <v>12358</v>
      </c>
      <c r="E9964" s="22" t="s">
        <v>53</v>
      </c>
      <c r="F9964" s="23" t="str">
        <f>HYPERLINK("https://www.spark-marketing.ru/Card/Lot/70777361", "техническое обслуживание комплекса технических средств охраны")</f>
        <v>техническое обслуживание комплекса технических средств охраны</v>
      </c>
      <c r="G9964" s="22" t="s">
        <v>473</v>
      </c>
      <c r="H9964" s="22" t="s">
        <v>1822</v>
      </c>
      <c r="I9964" s="26">
        <v>43567.429861111101</v>
      </c>
      <c r="J9964" s="28" t="s">
        <v>52</v>
      </c>
      <c r="K9964" s="28" t="s">
        <v>52</v>
      </c>
      <c r="L9964" s="28" t="s">
        <v>52</v>
      </c>
      <c r="M9964" s="28" t="s">
        <v>52</v>
      </c>
      <c r="N9964" s="28" t="s">
        <v>52</v>
      </c>
    </row>
    <row r="9965" spans="1:14" x14ac:dyDescent="0.15">
      <c r="A9965" s="23" t="str">
        <f>HYPERLINK("https://www.spark-marketing.ru/Card/Person/198290", "КГБУЗ ""АРСЕНЬЕВСКАЯ СП""")</f>
        <v>КГБУЗ "АРСЕНЬЕВСКАЯ СП"</v>
      </c>
      <c r="B9965" s="24" t="s">
        <v>12359</v>
      </c>
      <c r="C9965" s="25">
        <v>74613</v>
      </c>
      <c r="D9965" s="22" t="s">
        <v>12360</v>
      </c>
      <c r="E9965" s="22" t="s">
        <v>208</v>
      </c>
      <c r="F9965" s="23" t="str">
        <f>HYPERLINK("https://www.spark-marketing.ru/Card/Lot/69749416", "оказание услуг централизованной охраны объектов и экстренного вызова наряда полиции посредством тревожной сигнализации на период с 01.07.2019 по 31.12.2019")</f>
        <v>оказание услуг централизованной охраны объектов и экстренного вызова наряда полиции посредством тревожной сигнализации на период с 01.07.2019 по 31.12.2019</v>
      </c>
      <c r="G9965" s="22" t="s">
        <v>409</v>
      </c>
      <c r="H9965" s="22" t="s">
        <v>3740</v>
      </c>
      <c r="I9965" s="26">
        <v>43567.407638888901</v>
      </c>
      <c r="J9965" s="28" t="s">
        <v>52</v>
      </c>
      <c r="K9965" s="28" t="s">
        <v>52</v>
      </c>
      <c r="L9965" s="28" t="s">
        <v>52</v>
      </c>
      <c r="M9965" s="28" t="s">
        <v>52</v>
      </c>
      <c r="N9965" s="28" t="s">
        <v>52</v>
      </c>
    </row>
    <row r="9966" spans="1:14" hidden="1" outlineLevel="1" x14ac:dyDescent="0.2">
      <c r="A9966" s="23" t="str">
        <f>HYPERLINK("https://www.spark-marketing.ru/Card/Person/198290", "КГБУЗ ""АРСЕНЬЕВСКАЯ СП""")</f>
        <v>КГБУЗ "АРСЕНЬЕВСКАЯ СП"</v>
      </c>
      <c r="B9966" s="24" t="s">
        <v>12359</v>
      </c>
      <c r="C9966" s="25">
        <v>74613</v>
      </c>
      <c r="D9966" s="22" t="s">
        <v>12360</v>
      </c>
      <c r="E9966" s="22" t="s">
        <v>208</v>
      </c>
      <c r="F9966" s="23" t="str">
        <f>HYPERLINK("https://www.spark-marketing.ru/Card/Lot/69749416", "оказание услуг централизованной охраны объектов и экстренного вызова наряда полиции посредством тревожной сигнализации на период с 01.07.2019 по 31.12.2019")</f>
        <v>оказание услуг централизованной охраны объектов и экстренного вызова наряда полиции посредством тревожной сигнализации на период с 01.07.2019 по 31.12.2019</v>
      </c>
      <c r="G9966" s="22" t="s">
        <v>409</v>
      </c>
      <c r="H9966" s="22" t="s">
        <v>3740</v>
      </c>
      <c r="I9966" s="26">
        <v>43567.407638888901</v>
      </c>
      <c r="J9966" s="23" t="str">
        <f>HYPERLINK("https://www.spark-marketing.ru/Card/Person/667865", "ООО ""ОХРАННОЕ АГЕНТСТВО ""ПЕРЕСВЕТ""")</f>
        <v>ООО "ОХРАННОЕ АГЕНТСТВО "ПЕРЕСВЕТ"</v>
      </c>
      <c r="K9966" s="24" t="s">
        <v>3741</v>
      </c>
      <c r="L9966" s="28" t="s">
        <v>52</v>
      </c>
      <c r="M9966" s="25">
        <v>63793.97</v>
      </c>
      <c r="N9966" s="27">
        <v>0.1450019433610765</v>
      </c>
    </row>
    <row r="9967" spans="1:14" ht="12.75" hidden="1" outlineLevel="1" x14ac:dyDescent="0.2">
      <c r="A9967" s="23" t="str">
        <f>HYPERLINK("https://www.spark-marketing.ru/Card/Person/198290", "КГБУЗ ""АРСЕНЬЕВСКАЯ СП""")</f>
        <v>КГБУЗ "АРСЕНЬЕВСКАЯ СП"</v>
      </c>
      <c r="B9967" s="24" t="s">
        <v>12359</v>
      </c>
      <c r="C9967" s="25">
        <v>74613</v>
      </c>
      <c r="D9967" s="22" t="s">
        <v>12360</v>
      </c>
      <c r="E9967" s="22" t="s">
        <v>208</v>
      </c>
      <c r="F9967" s="23" t="str">
        <f>HYPERLINK("https://www.spark-marketing.ru/Card/Lot/69749416", "оказание услуг централизованной охраны объектов и экстренного вызова наряда полиции посредством тревожной сигнализации на период с 01.07.2019 по 31.12.2019")</f>
        <v>оказание услуг централизованной охраны объектов и экстренного вызова наряда полиции посредством тревожной сигнализации на период с 01.07.2019 по 31.12.2019</v>
      </c>
      <c r="G9967" s="22" t="s">
        <v>409</v>
      </c>
      <c r="H9967" s="22" t="s">
        <v>3740</v>
      </c>
      <c r="I9967" s="26">
        <v>43567.407638888901</v>
      </c>
      <c r="J9967" s="23" t="str">
        <f>HYPERLINK("https://www.spark-marketing.ru/Card/Person/470715", "ООО ""ЧАСТНАЯ ОХРАННАЯ ОРГАНИЗАЦИЯ ""СТРЕЛЕЦ""")</f>
        <v>ООО "ЧАСТНАЯ ОХРАННАЯ ОРГАНИЗАЦИЯ "СТРЕЛЕЦ"</v>
      </c>
      <c r="K9967" s="24" t="s">
        <v>3742</v>
      </c>
      <c r="L9967" s="22" t="s">
        <v>10</v>
      </c>
      <c r="M9967" s="25">
        <v>63793.97</v>
      </c>
      <c r="N9967" s="27">
        <v>0.1450019433610765</v>
      </c>
    </row>
    <row r="9968" spans="1:14" x14ac:dyDescent="0.15">
      <c r="A9968" s="23" t="str">
        <f>HYPERLINK("https://www.spark-marketing.ru/Card/Person/1024073", "МБОУ «ШКОЛА № 3»")</f>
        <v>МБОУ «ШКОЛА № 3»</v>
      </c>
      <c r="B9968" s="24" t="s">
        <v>12361</v>
      </c>
      <c r="C9968" s="25">
        <v>15000</v>
      </c>
      <c r="D9968" s="22" t="s">
        <v>12362</v>
      </c>
      <c r="E9968" s="22" t="s">
        <v>218</v>
      </c>
      <c r="F9968" s="23" t="str">
        <f>HYPERLINK("https://www.spark-marketing.ru/Card/Lot/69754590", "Услуги по консультационному обслуживанию, по составлению технического задания, подготовка технического задания на выполнение работ по монтажу системы видеонаблюдения и видеоконференцсвязи")</f>
        <v>Услуги по консультационному обслуживанию, по составлению технического задания, подготовка технического задания на выполнение работ по монтажу системы видеонаблюдения и видеоконференцсвязи</v>
      </c>
      <c r="G9968" s="22" t="s">
        <v>402</v>
      </c>
      <c r="H9968" s="22" t="s">
        <v>403</v>
      </c>
      <c r="I9968" s="26">
        <v>43567.410416666702</v>
      </c>
      <c r="J9968" s="28" t="s">
        <v>52</v>
      </c>
      <c r="K9968" s="28" t="s">
        <v>52</v>
      </c>
      <c r="L9968" s="28" t="s">
        <v>52</v>
      </c>
      <c r="M9968" s="28" t="s">
        <v>52</v>
      </c>
      <c r="N9968" s="28" t="s">
        <v>52</v>
      </c>
    </row>
    <row r="9969" spans="1:14" x14ac:dyDescent="0.15">
      <c r="A9969" s="23" t="str">
        <f>HYPERLINK("https://www.spark-marketing.ru/Card/Person/21358", "ФГБУЗ МСЧ № 72 ФМБА РОССИИ")</f>
        <v>ФГБУЗ МСЧ № 72 ФМБА РОССИИ</v>
      </c>
      <c r="B9969" s="24" t="s">
        <v>12363</v>
      </c>
      <c r="C9969" s="25">
        <v>100564.8</v>
      </c>
      <c r="D9969" s="22" t="s">
        <v>12364</v>
      </c>
      <c r="E9969" s="22" t="s">
        <v>68</v>
      </c>
      <c r="F9969" s="23" t="str">
        <f>HYPERLINK("https://www.spark-marketing.ru/Card/Lot/69751278", "Охрана имущества при помощи средств охранной сигнализации, выдающих по каналам связи информацию на системы централизованного наблюдения пункта централизованной охраны, от несанкционированного проникновения лиц в охраняемые помещения, оборудованные ср...")</f>
        <v>Охрана имущества при помощи средств охранной сигнализации, выдающих по каналам связи информацию на системы централизованного наблюдения пункта централизованной охраны, от несанкционированного проникновения лиц в охраняемые помещения, оборудованные ср...</v>
      </c>
      <c r="G9969" s="22" t="s">
        <v>60</v>
      </c>
      <c r="H9969" s="22" t="s">
        <v>3902</v>
      </c>
      <c r="I9969" s="26">
        <v>43567.347222222197</v>
      </c>
      <c r="J9969" s="28" t="s">
        <v>52</v>
      </c>
      <c r="K9969" s="28" t="s">
        <v>52</v>
      </c>
      <c r="L9969" s="28" t="s">
        <v>52</v>
      </c>
      <c r="M9969" s="28" t="s">
        <v>52</v>
      </c>
      <c r="N9969" s="28" t="s">
        <v>52</v>
      </c>
    </row>
    <row r="9970" spans="1:14" x14ac:dyDescent="0.15">
      <c r="A9970" s="23" t="str">
        <f>HYPERLINK("https://www.spark-marketing.ru/Card/Person/21358", "ФГБУЗ МСЧ № 72 ФМБА РОССИИ")</f>
        <v>ФГБУЗ МСЧ № 72 ФМБА РОССИИ</v>
      </c>
      <c r="B9970" s="24" t="s">
        <v>12363</v>
      </c>
      <c r="C9970" s="25">
        <v>100564.8</v>
      </c>
      <c r="D9970" s="22" t="s">
        <v>12365</v>
      </c>
      <c r="E9970" s="22" t="s">
        <v>68</v>
      </c>
      <c r="F9970" s="23" t="str">
        <f>HYPERLINK("https://www.spark-marketing.ru/Card/Lot/69751277", "Контроль за каналом передачи тревожного извещения из зданий, сооружений, помещений и эктренному выезду наряда полиции по сигналу ""Тревога"", поступившему на пульт централизованной охраны, для принятия мер к задержанию лиц, создающих угрозу хищения, ...")</f>
        <v>Контроль за каналом передачи тревожного извещения из зданий, сооружений, помещений и эктренному выезду наряда полиции по сигналу "Тревога", поступившему на пульт централизованной охраны, для принятия мер к задержанию лиц, создающих угрозу хищения, ...</v>
      </c>
      <c r="G9970" s="22" t="s">
        <v>60</v>
      </c>
      <c r="H9970" s="22" t="s">
        <v>3902</v>
      </c>
      <c r="I9970" s="26">
        <v>43567.347916666702</v>
      </c>
      <c r="J9970" s="28" t="s">
        <v>52</v>
      </c>
      <c r="K9970" s="28" t="s">
        <v>52</v>
      </c>
      <c r="L9970" s="28" t="s">
        <v>52</v>
      </c>
      <c r="M9970" s="28" t="s">
        <v>52</v>
      </c>
      <c r="N9970" s="28" t="s">
        <v>52</v>
      </c>
    </row>
    <row r="9971" spans="1:14" x14ac:dyDescent="0.15">
      <c r="A9971" s="23" t="str">
        <f>HYPERLINK("https://www.spark-marketing.ru/Card/Person/6450322", "ЗАКАЗЧИК РП БЕЛАРУСЬ")</f>
        <v>ЗАКАЗЧИК РП БЕЛАРУСЬ</v>
      </c>
      <c r="B9971" s="28" t="s">
        <v>52</v>
      </c>
      <c r="C9971" s="25">
        <v>4739543.4840000002</v>
      </c>
      <c r="D9971" s="22" t="s">
        <v>12366</v>
      </c>
      <c r="E9971" s="22" t="s">
        <v>53</v>
      </c>
      <c r="F9971" s="23" t="str">
        <f>HYPERLINK("https://www.spark-marketing.ru/Card/Lot/69762249", "№ Наименование материала (с указанием модели, артикула, точных технических характеристик) Ед. изм. Кол-во Примечание 1. Сервер стоечное исполнение 19"" в составе: процессор 2х Intel Xeon Gold 5120 (2200МГц), объем оперативной памяти 6Гб, режим RAID 1...")</f>
        <v>№ Наименование материала (с указанием модели, артикула, точных технических характеристик) Ед. изм. Кол-во Примечание 1. Сервер стоечное исполнение 19" в составе: процессор 2х Intel Xeon Gold 5120 (2200МГц), объем оперативной памяти 6Гб, режим RAID 1...</v>
      </c>
      <c r="G9971" s="22" t="s">
        <v>52</v>
      </c>
      <c r="H9971" s="22" t="s">
        <v>52</v>
      </c>
      <c r="I9971" s="26">
        <v>43567</v>
      </c>
      <c r="J9971" s="28" t="s">
        <v>52</v>
      </c>
      <c r="K9971" s="28" t="s">
        <v>52</v>
      </c>
      <c r="L9971" s="28" t="s">
        <v>52</v>
      </c>
      <c r="M9971" s="28" t="s">
        <v>52</v>
      </c>
      <c r="N9971" s="28" t="s">
        <v>52</v>
      </c>
    </row>
    <row r="9972" spans="1:14" x14ac:dyDescent="0.15">
      <c r="A9972" s="23" t="str">
        <f>HYPERLINK("https://www.spark-marketing.ru/Card/Person/6450322", "ЗАКАЗЧИК РП БЕЛАРУСЬ")</f>
        <v>ЗАКАЗЧИК РП БЕЛАРУСЬ</v>
      </c>
      <c r="B9972" s="28" t="s">
        <v>52</v>
      </c>
      <c r="C9972" s="25">
        <v>1066915.5</v>
      </c>
      <c r="D9972" s="22" t="s">
        <v>12367</v>
      </c>
      <c r="E9972" s="22" t="s">
        <v>53</v>
      </c>
      <c r="F9972" s="23" t="str">
        <f>HYPERLINK("https://www.spark-marketing.ru/Card/Lot/69758151", "Услуги по техническому обеспечению (предоставление, доставка, установка, обслуживание и обеспечение работы мобильного звукового, светового и видео оборудования с обслуживающим персоналом) в рамках организации и проведения XXIII Международного фестива...")</f>
        <v>Услуги по техническому обеспечению (предоставление, доставка, установка, обслуживание и обеспечение работы мобильного звукового, светового и видео оборудования с обслуживающим персоналом) в рамках организации и проведения XXIII Международного фестива...</v>
      </c>
      <c r="G9972" s="22" t="s">
        <v>52</v>
      </c>
      <c r="H9972" s="22" t="s">
        <v>52</v>
      </c>
      <c r="I9972" s="26">
        <v>43567</v>
      </c>
      <c r="J9972" s="28" t="s">
        <v>52</v>
      </c>
      <c r="K9972" s="28" t="s">
        <v>52</v>
      </c>
      <c r="L9972" s="28" t="s">
        <v>52</v>
      </c>
      <c r="M9972" s="28" t="s">
        <v>52</v>
      </c>
      <c r="N9972" s="28" t="s">
        <v>52</v>
      </c>
    </row>
    <row r="9973" spans="1:14" x14ac:dyDescent="0.15">
      <c r="A9973" s="23" t="str">
        <f>HYPERLINK("https://www.spark-marketing.ru/Card/Person/135089", "МБОУ ""ЛИЦЕЙ-ИНТЕРНАТ №24"" НМР РТ")</f>
        <v>МБОУ "ЛИЦЕЙ-ИНТЕРНАТ №24" НМР РТ</v>
      </c>
      <c r="B9973" s="24" t="s">
        <v>12368</v>
      </c>
      <c r="C9973" s="25">
        <v>22050</v>
      </c>
      <c r="D9973" s="22" t="s">
        <v>12369</v>
      </c>
      <c r="E9973" s="22" t="s">
        <v>53</v>
      </c>
      <c r="F9973" s="23" t="str">
        <f>HYPERLINK("https://www.spark-marketing.ru/Card/Lot/73715549", "Техническое обслуживание системы видеонаблюдения")</f>
        <v>Техническое обслуживание системы видеонаблюдения</v>
      </c>
      <c r="G9973" s="22" t="s">
        <v>204</v>
      </c>
      <c r="H9973" s="22" t="s">
        <v>824</v>
      </c>
      <c r="I9973" s="26">
        <v>43567.000694444403</v>
      </c>
      <c r="J9973" s="28" t="s">
        <v>52</v>
      </c>
      <c r="K9973" s="28" t="s">
        <v>52</v>
      </c>
      <c r="L9973" s="28" t="s">
        <v>52</v>
      </c>
      <c r="M9973" s="28" t="s">
        <v>52</v>
      </c>
      <c r="N9973" s="28" t="s">
        <v>52</v>
      </c>
    </row>
    <row r="9974" spans="1:14" x14ac:dyDescent="0.15">
      <c r="A9974" s="23" t="str">
        <f>HYPERLINK("https://www.spark-marketing.ru/Card/Person/5789142", "ЛУКОЙЛ ЛУБРИКАНТС ЦЕНТРАЛЬНАЯ АЗИЯ")</f>
        <v>ЛУКОЙЛ ЛУБРИКАНТС ЦЕНТРАЛЬНАЯ АЗИЯ</v>
      </c>
      <c r="B9974" s="28" t="s">
        <v>52</v>
      </c>
      <c r="C9974" s="28" t="s">
        <v>52</v>
      </c>
      <c r="D9974" s="28" t="s">
        <v>52</v>
      </c>
      <c r="E9974" s="22" t="s">
        <v>53</v>
      </c>
      <c r="F9974" s="23" t="str">
        <f>HYPERLINK("https://www.spark-marketing.ru/Card/Lot/69784178", "Услуги физической охраны объекта «Завод по производству смазочных материалов ЛУКОЙЛ мощностью 100 тыс. тонн в Алматинской области»")</f>
        <v>Услуги физической охраны объекта «Завод по производству смазочных материалов ЛУКОЙЛ мощностью 100 тыс. тонн в Алматинской области»</v>
      </c>
      <c r="G9974" s="22" t="s">
        <v>52</v>
      </c>
      <c r="H9974" s="22" t="s">
        <v>52</v>
      </c>
      <c r="I9974" s="26">
        <v>43567</v>
      </c>
      <c r="J9974" s="28" t="s">
        <v>52</v>
      </c>
      <c r="K9974" s="28" t="s">
        <v>52</v>
      </c>
      <c r="L9974" s="28" t="s">
        <v>52</v>
      </c>
      <c r="M9974" s="28" t="s">
        <v>52</v>
      </c>
      <c r="N9974" s="28" t="s">
        <v>52</v>
      </c>
    </row>
    <row r="9975" spans="1:14" x14ac:dyDescent="0.15">
      <c r="A9975" s="23" t="str">
        <f t="shared" ref="A9975:A9980" si="466">HYPERLINK("https://www.spark-marketing.ru/Card/Person/2585196", "АО ""НПФ ""РОСТЕХ""")</f>
        <v>АО "НПФ "РОСТЕХ"</v>
      </c>
      <c r="B9975" s="24" t="s">
        <v>12370</v>
      </c>
      <c r="C9975" s="25">
        <v>720000</v>
      </c>
      <c r="D9975" s="22" t="s">
        <v>12371</v>
      </c>
      <c r="E9975" s="22" t="s">
        <v>789</v>
      </c>
      <c r="F9975" s="23" t="str">
        <f t="shared" ref="F9975:F9980" si="467">HYPERLINK("https://www.spark-marketing.ru/Card/Lot/69748420", "1158-2019-00017. Оказание охранных услуг")</f>
        <v>1158-2019-00017. Оказание охранных услуг</v>
      </c>
      <c r="G9975" s="22" t="s">
        <v>760</v>
      </c>
      <c r="H9975" s="22" t="s">
        <v>1805</v>
      </c>
      <c r="I9975" s="26">
        <v>43567.003958333298</v>
      </c>
      <c r="J9975" s="28" t="s">
        <v>52</v>
      </c>
      <c r="K9975" s="28" t="s">
        <v>52</v>
      </c>
      <c r="L9975" s="28" t="s">
        <v>52</v>
      </c>
      <c r="M9975" s="28" t="s">
        <v>52</v>
      </c>
      <c r="N9975" s="28" t="s">
        <v>52</v>
      </c>
    </row>
    <row r="9976" spans="1:14" hidden="1" outlineLevel="1" x14ac:dyDescent="0.2">
      <c r="A9976" s="23" t="str">
        <f t="shared" si="466"/>
        <v>АО "НПФ "РОСТЕХ"</v>
      </c>
      <c r="B9976" s="24" t="s">
        <v>12370</v>
      </c>
      <c r="C9976" s="28" t="s">
        <v>52</v>
      </c>
      <c r="D9976" s="22" t="s">
        <v>12371</v>
      </c>
      <c r="E9976" s="22" t="s">
        <v>789</v>
      </c>
      <c r="F9976" s="23" t="str">
        <f t="shared" si="467"/>
        <v>1158-2019-00017. Оказание охранных услуг</v>
      </c>
      <c r="G9976" s="22" t="s">
        <v>760</v>
      </c>
      <c r="H9976" s="22" t="s">
        <v>1805</v>
      </c>
      <c r="I9976" s="26">
        <v>43567.003958333298</v>
      </c>
      <c r="J9976" s="23" t="str">
        <f>HYPERLINK("https://www.spark-marketing.ru/Card/Person/675580", "ООО ""ОХРАНА-С""")</f>
        <v>ООО "ОХРАНА-С"</v>
      </c>
      <c r="K9976" s="24" t="s">
        <v>12372</v>
      </c>
      <c r="L9976" s="22" t="s">
        <v>10</v>
      </c>
      <c r="M9976" s="25">
        <v>544000</v>
      </c>
      <c r="N9976" s="27">
        <v>0.24444444444444444</v>
      </c>
    </row>
    <row r="9977" spans="1:14" hidden="1" outlineLevel="1" x14ac:dyDescent="0.2">
      <c r="A9977" s="23" t="str">
        <f t="shared" si="466"/>
        <v>АО "НПФ "РОСТЕХ"</v>
      </c>
      <c r="B9977" s="24" t="s">
        <v>12370</v>
      </c>
      <c r="C9977" s="28" t="s">
        <v>52</v>
      </c>
      <c r="D9977" s="22" t="s">
        <v>12371</v>
      </c>
      <c r="E9977" s="22" t="s">
        <v>789</v>
      </c>
      <c r="F9977" s="23" t="str">
        <f t="shared" si="467"/>
        <v>1158-2019-00017. Оказание охранных услуг</v>
      </c>
      <c r="G9977" s="22" t="s">
        <v>760</v>
      </c>
      <c r="H9977" s="22" t="s">
        <v>1805</v>
      </c>
      <c r="I9977" s="26">
        <v>43567.003958333298</v>
      </c>
      <c r="J9977" s="23" t="str">
        <f>HYPERLINK("https://www.spark-marketing.ru/Card/Person/94142", "ООО ЧОО ""ГРАНД - СП""")</f>
        <v>ООО ЧОО "ГРАНД - СП"</v>
      </c>
      <c r="K9977" s="24" t="s">
        <v>12373</v>
      </c>
      <c r="L9977" s="28" t="s">
        <v>52</v>
      </c>
      <c r="M9977" s="25">
        <v>597312</v>
      </c>
      <c r="N9977" s="27">
        <v>0.1704</v>
      </c>
    </row>
    <row r="9978" spans="1:14" hidden="1" outlineLevel="1" x14ac:dyDescent="0.2">
      <c r="A9978" s="23" t="str">
        <f t="shared" si="466"/>
        <v>АО "НПФ "РОСТЕХ"</v>
      </c>
      <c r="B9978" s="24" t="s">
        <v>12370</v>
      </c>
      <c r="C9978" s="28" t="s">
        <v>52</v>
      </c>
      <c r="D9978" s="22" t="s">
        <v>12371</v>
      </c>
      <c r="E9978" s="22" t="s">
        <v>789</v>
      </c>
      <c r="F9978" s="23" t="str">
        <f t="shared" si="467"/>
        <v>1158-2019-00017. Оказание охранных услуг</v>
      </c>
      <c r="G9978" s="22" t="s">
        <v>760</v>
      </c>
      <c r="H9978" s="22" t="s">
        <v>1805</v>
      </c>
      <c r="I9978" s="26">
        <v>43567.003958333298</v>
      </c>
      <c r="J9978" s="23" t="str">
        <f>HYPERLINK("https://www.spark-marketing.ru/Card/Person/682245", "ООО ЧОО ""РЕСПЕКТ""")</f>
        <v>ООО ЧОО "РЕСПЕКТ"</v>
      </c>
      <c r="K9978" s="24" t="s">
        <v>12374</v>
      </c>
      <c r="L9978" s="28" t="s">
        <v>52</v>
      </c>
      <c r="M9978" s="25">
        <v>633000</v>
      </c>
      <c r="N9978" s="27">
        <v>0.12083333333333333</v>
      </c>
    </row>
    <row r="9979" spans="1:14" hidden="1" outlineLevel="1" x14ac:dyDescent="0.2">
      <c r="A9979" s="23" t="str">
        <f t="shared" si="466"/>
        <v>АО "НПФ "РОСТЕХ"</v>
      </c>
      <c r="B9979" s="24" t="s">
        <v>12370</v>
      </c>
      <c r="C9979" s="28" t="s">
        <v>52</v>
      </c>
      <c r="D9979" s="22" t="s">
        <v>12371</v>
      </c>
      <c r="E9979" s="22" t="s">
        <v>789</v>
      </c>
      <c r="F9979" s="23" t="str">
        <f t="shared" si="467"/>
        <v>1158-2019-00017. Оказание охранных услуг</v>
      </c>
      <c r="G9979" s="22" t="s">
        <v>760</v>
      </c>
      <c r="H9979" s="22" t="s">
        <v>1805</v>
      </c>
      <c r="I9979" s="26">
        <v>43567.003958333298</v>
      </c>
      <c r="J9979" s="23" t="str">
        <f>HYPERLINK("https://www.spark-marketing.ru/Card/Person/1321757", "ООО ЧОО ""ФОРПОСТ""")</f>
        <v>ООО ЧОО "ФОРПОСТ"</v>
      </c>
      <c r="K9979" s="24" t="s">
        <v>12375</v>
      </c>
      <c r="L9979" s="28" t="s">
        <v>52</v>
      </c>
      <c r="M9979" s="25">
        <v>714000</v>
      </c>
      <c r="N9979" s="27">
        <v>8.3333333333333332E-3</v>
      </c>
    </row>
    <row r="9980" spans="1:14" hidden="1" outlineLevel="1" x14ac:dyDescent="0.2">
      <c r="A9980" s="23" t="str">
        <f t="shared" si="466"/>
        <v>АО "НПФ "РОСТЕХ"</v>
      </c>
      <c r="B9980" s="24" t="s">
        <v>12370</v>
      </c>
      <c r="C9980" s="28" t="s">
        <v>52</v>
      </c>
      <c r="D9980" s="22" t="s">
        <v>12371</v>
      </c>
      <c r="E9980" s="22" t="s">
        <v>789</v>
      </c>
      <c r="F9980" s="23" t="str">
        <f t="shared" si="467"/>
        <v>1158-2019-00017. Оказание охранных услуг</v>
      </c>
      <c r="G9980" s="22" t="s">
        <v>760</v>
      </c>
      <c r="H9980" s="22" t="s">
        <v>1805</v>
      </c>
      <c r="I9980" s="26">
        <v>43567.003958333298</v>
      </c>
      <c r="J9980" s="23" t="str">
        <f>HYPERLINK("https://www.spark-marketing.ru/Card/Person/90831", "ООО ЧОО ""ГРОМ-ПРОФИ""")</f>
        <v>ООО ЧОО "ГРОМ-ПРОФИ"</v>
      </c>
      <c r="K9980" s="24" t="s">
        <v>12376</v>
      </c>
      <c r="L9980" s="28" t="s">
        <v>52</v>
      </c>
      <c r="M9980" s="25">
        <v>646111.5</v>
      </c>
      <c r="N9980" s="27">
        <v>0.10262291666666666</v>
      </c>
    </row>
    <row r="9981" spans="1:14" x14ac:dyDescent="0.15">
      <c r="A9981" s="23" t="str">
        <f>HYPERLINK("https://www.spark-marketing.ru/Card/Person/2082230", "АО ""ЗДК ""ЛЕНЗОЛОТО""")</f>
        <v>АО "ЗДК "ЛЕНЗОЛОТО"</v>
      </c>
      <c r="B9981" s="24" t="s">
        <v>9484</v>
      </c>
      <c r="C9981" s="28" t="s">
        <v>52</v>
      </c>
      <c r="D9981" s="22" t="s">
        <v>12377</v>
      </c>
      <c r="E9981" s="22" t="s">
        <v>53</v>
      </c>
      <c r="F9981" s="23" t="str">
        <f>HYPERLINK("https://www.spark-marketing.ru/Card/Lot/69747707", "Установка системы технологического видеонаблюдения по драгам 116 и 63 [этап 2]")</f>
        <v>Установка системы технологического видеонаблюдения по драгам 116 и 63 [этап 2]</v>
      </c>
      <c r="G9981" s="22" t="s">
        <v>281</v>
      </c>
      <c r="H9981" s="22" t="s">
        <v>915</v>
      </c>
      <c r="I9981" s="26">
        <v>43564</v>
      </c>
      <c r="J9981" s="28" t="s">
        <v>52</v>
      </c>
      <c r="K9981" s="28" t="s">
        <v>52</v>
      </c>
      <c r="L9981" s="28" t="s">
        <v>52</v>
      </c>
      <c r="M9981" s="28" t="s">
        <v>52</v>
      </c>
      <c r="N9981" s="28" t="s">
        <v>52</v>
      </c>
    </row>
    <row r="9982" spans="1:14" x14ac:dyDescent="0.15">
      <c r="A9982" s="23" t="str">
        <f>HYPERLINK("https://www.spark-marketing.ru/Card/Person/125925", "МУК ""МОЛЗИНСКИЙ СДК""")</f>
        <v>МУК "МОЛЗИНСКИЙ СДК"</v>
      </c>
      <c r="B9982" s="24" t="s">
        <v>12378</v>
      </c>
      <c r="C9982" s="25">
        <v>27000</v>
      </c>
      <c r="D9982" s="22" t="s">
        <v>12379</v>
      </c>
      <c r="E9982" s="22" t="s">
        <v>103</v>
      </c>
      <c r="F9982" s="23" t="str">
        <f>HYPERLINK("https://www.spark-marketing.ru/Card/Lot/69748336", "Оказание услуг по ежемесячному реагированию на сигналы кнопки тревожной сигнализации")</f>
        <v>Оказание услуг по ежемесячному реагированию на сигналы кнопки тревожной сигнализации</v>
      </c>
      <c r="G9982" s="22" t="s">
        <v>50</v>
      </c>
      <c r="H9982" s="22" t="s">
        <v>5744</v>
      </c>
      <c r="I9982" s="26">
        <v>43566.9301388889</v>
      </c>
      <c r="J9982" s="28" t="s">
        <v>52</v>
      </c>
      <c r="K9982" s="28" t="s">
        <v>52</v>
      </c>
      <c r="L9982" s="28" t="s">
        <v>52</v>
      </c>
      <c r="M9982" s="28" t="s">
        <v>52</v>
      </c>
      <c r="N9982" s="28" t="s">
        <v>52</v>
      </c>
    </row>
    <row r="9983" spans="1:14" x14ac:dyDescent="0.15">
      <c r="A9983" s="23" t="str">
        <f>HYPERLINK("https://www.spark-marketing.ru/Card/Person/125925", "МУК ""МОЛЗИНСКИЙ СДК""")</f>
        <v>МУК "МОЛЗИНСКИЙ СДК"</v>
      </c>
      <c r="B9983" s="24" t="s">
        <v>12378</v>
      </c>
      <c r="C9983" s="25">
        <v>19000</v>
      </c>
      <c r="D9983" s="22" t="s">
        <v>12380</v>
      </c>
      <c r="E9983" s="22" t="s">
        <v>103</v>
      </c>
      <c r="F9983" s="23" t="str">
        <f>HYPERLINK("https://www.spark-marketing.ru/Card/Lot/69748334", "Оказание услуг по техническому обслуживанию комплекса технических средств охраны")</f>
        <v>Оказание услуг по техническому обслуживанию комплекса технических средств охраны</v>
      </c>
      <c r="G9983" s="22" t="s">
        <v>50</v>
      </c>
      <c r="H9983" s="22" t="s">
        <v>5744</v>
      </c>
      <c r="I9983" s="26">
        <v>43566.930127314801</v>
      </c>
      <c r="J9983" s="28" t="s">
        <v>52</v>
      </c>
      <c r="K9983" s="28" t="s">
        <v>52</v>
      </c>
      <c r="L9983" s="28" t="s">
        <v>52</v>
      </c>
      <c r="M9983" s="28" t="s">
        <v>52</v>
      </c>
      <c r="N9983" s="28" t="s">
        <v>52</v>
      </c>
    </row>
    <row r="9984" spans="1:14" x14ac:dyDescent="0.2">
      <c r="A9984" s="23" t="str">
        <f>HYPERLINK("https://www.spark-marketing.ru/Card/Person/26176", "ФГБУ ""3 ЦВКГ ИМ. А.А. ВИШНЕВСКОГО"" МИНОБОРОНЫ РОССИИ")</f>
        <v>ФГБУ "3 ЦВКГ ИМ. А.А. ВИШНЕВСКОГО" МИНОБОРОНЫ РОССИИ</v>
      </c>
      <c r="B9984" s="24" t="s">
        <v>12381</v>
      </c>
      <c r="C9984" s="25">
        <v>699780</v>
      </c>
      <c r="D9984" s="22" t="s">
        <v>12382</v>
      </c>
      <c r="E9984" s="22" t="s">
        <v>2204</v>
      </c>
      <c r="F9984" s="23" t="str">
        <f>HYPERLINK("https://www.spark-marketing.ru/Card/Lot/69747630", "поставка и установка системы видеонаблюдения на парковку в ФГБУ «3 ЦВКГ им. А.А. Втшневского» Минобороны России")</f>
        <v>поставка и установка системы видеонаблюдения на парковку в ФГБУ «3 ЦВКГ им. А.А. Втшневского» Минобороны России</v>
      </c>
      <c r="G9984" s="22" t="s">
        <v>50</v>
      </c>
      <c r="H9984" s="22" t="s">
        <v>50</v>
      </c>
      <c r="I9984" s="26">
        <v>43566.821597222202</v>
      </c>
      <c r="J9984" s="23" t="str">
        <f>HYPERLINK("https://www.spark-marketing.ru/Card/Person/715741", "ООО ""ТЕХНОКРАТ""")</f>
        <v>ООО "ТЕХНОКРАТ"</v>
      </c>
      <c r="K9984" s="24" t="s">
        <v>6556</v>
      </c>
      <c r="L9984" s="28" t="s">
        <v>52</v>
      </c>
      <c r="M9984" s="25">
        <v>699780</v>
      </c>
      <c r="N9984" s="27">
        <v>0</v>
      </c>
    </row>
    <row r="9985" spans="1:14" x14ac:dyDescent="0.15">
      <c r="A9985" s="23" t="str">
        <f>HYPERLINK("https://www.spark-marketing.ru/Card/Person/4358629", "АО ""ПРЕПРЕГ-СКМ""")</f>
        <v>АО "ПРЕПРЕГ-СКМ"</v>
      </c>
      <c r="B9985" s="24" t="s">
        <v>8463</v>
      </c>
      <c r="C9985" s="28" t="s">
        <v>52</v>
      </c>
      <c r="D9985" s="22" t="s">
        <v>12383</v>
      </c>
      <c r="E9985" s="22" t="s">
        <v>53</v>
      </c>
      <c r="F9985" s="23" t="str">
        <f>HYPERLINK("https://www.spark-marketing.ru/Card/Lot/69747822", "Оказание охранных услуг (1231464)")</f>
        <v>Оказание охранных услуг (1231464)</v>
      </c>
      <c r="G9985" s="22" t="s">
        <v>55</v>
      </c>
      <c r="H9985" s="22" t="s">
        <v>55</v>
      </c>
      <c r="I9985" s="26">
        <v>43566.7882060185</v>
      </c>
      <c r="J9985" s="28" t="s">
        <v>52</v>
      </c>
      <c r="K9985" s="28" t="s">
        <v>52</v>
      </c>
      <c r="L9985" s="28" t="s">
        <v>52</v>
      </c>
      <c r="M9985" s="28" t="s">
        <v>52</v>
      </c>
      <c r="N9985" s="28" t="s">
        <v>52</v>
      </c>
    </row>
    <row r="9986" spans="1:14" x14ac:dyDescent="0.15">
      <c r="A9986" s="23" t="str">
        <f>HYPERLINK("https://www.spark-marketing.ru/Card/Person/53757", "УФСБ РОССИИ ПО ПЕРМСКОМУ КРАЮ")</f>
        <v>УФСБ РОССИИ ПО ПЕРМСКОМУ КРАЮ</v>
      </c>
      <c r="B9986" s="24" t="s">
        <v>12384</v>
      </c>
      <c r="C9986" s="25">
        <v>333000</v>
      </c>
      <c r="D9986" s="22" t="s">
        <v>12385</v>
      </c>
      <c r="E9986" s="22" t="s">
        <v>208</v>
      </c>
      <c r="F9986" s="23" t="str">
        <f>HYPERLINK("https://www.spark-marketing.ru/Card/Lot/69744133", "Техническое обслуживание охранной сигнализации")</f>
        <v>Техническое обслуживание охранной сигнализации</v>
      </c>
      <c r="G9986" s="22" t="s">
        <v>391</v>
      </c>
      <c r="H9986" s="22" t="s">
        <v>392</v>
      </c>
      <c r="I9986" s="26">
        <v>43566.78125</v>
      </c>
      <c r="J9986" s="28" t="s">
        <v>52</v>
      </c>
      <c r="K9986" s="28" t="s">
        <v>52</v>
      </c>
      <c r="L9986" s="28" t="s">
        <v>52</v>
      </c>
      <c r="M9986" s="28" t="s">
        <v>52</v>
      </c>
      <c r="N9986" s="28" t="s">
        <v>52</v>
      </c>
    </row>
    <row r="9987" spans="1:14" x14ac:dyDescent="0.15">
      <c r="A9987" s="23" t="str">
        <f>HYPERLINK("https://www.spark-marketing.ru/Card/Person/55178", "МДОУ Д/С № 129")</f>
        <v>МДОУ Д/С № 129</v>
      </c>
      <c r="B9987" s="24" t="s">
        <v>12386</v>
      </c>
      <c r="C9987" s="25">
        <v>124900</v>
      </c>
      <c r="D9987" s="22" t="s">
        <v>12387</v>
      </c>
      <c r="E9987" s="22" t="s">
        <v>298</v>
      </c>
      <c r="F9987" s="23" t="str">
        <f>HYPERLINK("https://www.spark-marketing.ru/Card/Lot/69744451", "Оказание услуг по модернизации и техническому обслуживанию систем видеонаблюдения и управления контроля доступом МДОУ д/с № 129")</f>
        <v>Оказание услуг по модернизации и техническому обслуживанию систем видеонаблюдения и управления контроля доступом МДОУ д/с № 129</v>
      </c>
      <c r="G9987" s="22" t="s">
        <v>50</v>
      </c>
      <c r="H9987" s="22" t="s">
        <v>5291</v>
      </c>
      <c r="I9987" s="26">
        <v>43566.731956018499</v>
      </c>
      <c r="J9987" s="28" t="s">
        <v>52</v>
      </c>
      <c r="K9987" s="28" t="s">
        <v>52</v>
      </c>
      <c r="L9987" s="28" t="s">
        <v>52</v>
      </c>
      <c r="M9987" s="28" t="s">
        <v>52</v>
      </c>
      <c r="N9987" s="28" t="s">
        <v>52</v>
      </c>
    </row>
    <row r="9988" spans="1:14" x14ac:dyDescent="0.15">
      <c r="A9988" s="23" t="str">
        <f>HYPERLINK("https://www.spark-marketing.ru/Card/Person/1661477", "ПАО ""ДЕТСКИЙ МИР""")</f>
        <v>ПАО "ДЕТСКИЙ МИР"</v>
      </c>
      <c r="B9988" s="24" t="s">
        <v>667</v>
      </c>
      <c r="C9988" s="28" t="s">
        <v>52</v>
      </c>
      <c r="D9988" s="22" t="s">
        <v>12388</v>
      </c>
      <c r="E9988" s="22" t="s">
        <v>53</v>
      </c>
      <c r="F9988" s="23" t="str">
        <f>HYPERLINK("https://www.spark-marketing.ru/Card/Lot/69875372", "Оказание услуг круглосуточной пультовой охраны с использованием технических средств охранно-тревожной сигнализации (ОТС) и ТО технических средств охраны в сети магазинов РО Москва ПАО «Детский мир».")</f>
        <v>Оказание услуг круглосуточной пультовой охраны с использованием технических средств охранно-тревожной сигнализации (ОТС) и ТО технических средств охраны в сети магазинов РО Москва ПАО «Детский мир».</v>
      </c>
      <c r="G9988" s="22" t="s">
        <v>55</v>
      </c>
      <c r="H9988" s="22" t="s">
        <v>55</v>
      </c>
      <c r="I9988" s="26">
        <v>43566.722222222197</v>
      </c>
      <c r="J9988" s="28" t="s">
        <v>52</v>
      </c>
      <c r="K9988" s="28" t="s">
        <v>52</v>
      </c>
      <c r="L9988" s="28" t="s">
        <v>52</v>
      </c>
      <c r="M9988" s="28" t="s">
        <v>52</v>
      </c>
      <c r="N9988" s="28" t="s">
        <v>52</v>
      </c>
    </row>
    <row r="9989" spans="1:14" x14ac:dyDescent="0.15">
      <c r="A9989" s="23" t="str">
        <f>HYPERLINK("https://www.spark-marketing.ru/Card/Person/135620", "ГАУЗ ""СП № 13 ДЗМ""")</f>
        <v>ГАУЗ "СП № 13 ДЗМ"</v>
      </c>
      <c r="B9989" s="24" t="s">
        <v>12389</v>
      </c>
      <c r="C9989" s="25">
        <v>142574.92000000001</v>
      </c>
      <c r="D9989" s="22" t="s">
        <v>12390</v>
      </c>
      <c r="E9989" s="22" t="s">
        <v>2204</v>
      </c>
      <c r="F9989" s="23" t="str">
        <f>HYPERLINK("https://www.spark-marketing.ru/Card/Lot/69745249", "Приобретение с установкой и пуско-наладкой системы видеонаблюдения в ГАУЗ ""СП № 13 ДЗМ"" по адресу: г.Москва, ул.Авиамоторная, д.30.")</f>
        <v>Приобретение с установкой и пуско-наладкой системы видеонаблюдения в ГАУЗ "СП № 13 ДЗМ" по адресу: г.Москва, ул.Авиамоторная, д.30.</v>
      </c>
      <c r="G9989" s="22" t="s">
        <v>55</v>
      </c>
      <c r="H9989" s="22" t="s">
        <v>55</v>
      </c>
      <c r="I9989" s="26">
        <v>43566.737789351799</v>
      </c>
      <c r="J9989" s="28" t="s">
        <v>52</v>
      </c>
      <c r="K9989" s="28" t="s">
        <v>52</v>
      </c>
      <c r="L9989" s="28" t="s">
        <v>52</v>
      </c>
      <c r="M9989" s="28" t="s">
        <v>52</v>
      </c>
      <c r="N9989" s="28" t="s">
        <v>52</v>
      </c>
    </row>
    <row r="9990" spans="1:14" hidden="1" outlineLevel="1" x14ac:dyDescent="0.2">
      <c r="A9990" s="23" t="str">
        <f>HYPERLINK("https://www.spark-marketing.ru/Card/Person/135620", "ГАУЗ ""СП № 13 ДЗМ""")</f>
        <v>ГАУЗ "СП № 13 ДЗМ"</v>
      </c>
      <c r="B9990" s="24" t="s">
        <v>12389</v>
      </c>
      <c r="C9990" s="28" t="s">
        <v>52</v>
      </c>
      <c r="D9990" s="22" t="s">
        <v>12390</v>
      </c>
      <c r="E9990" s="22" t="s">
        <v>2204</v>
      </c>
      <c r="F9990" s="23" t="str">
        <f>HYPERLINK("https://www.spark-marketing.ru/Card/Lot/69745249", "Приобретение с установкой и пуско-наладкой системы видеонаблюдения в ГАУЗ ""СП № 13 ДЗМ"" по адресу: г.Москва, ул.Авиамоторная, д.30.")</f>
        <v>Приобретение с установкой и пуско-наладкой системы видеонаблюдения в ГАУЗ "СП № 13 ДЗМ" по адресу: г.Москва, ул.Авиамоторная, д.30.</v>
      </c>
      <c r="G9990" s="22" t="s">
        <v>55</v>
      </c>
      <c r="H9990" s="22" t="s">
        <v>55</v>
      </c>
      <c r="I9990" s="26">
        <v>43566.737789351799</v>
      </c>
      <c r="J9990" s="23" t="str">
        <f>HYPERLINK("https://www.spark-marketing.ru/Card/Person/264812", "ООО ""ЦТБ-КОМИТЕК""")</f>
        <v>ООО "ЦТБ-КОМИТЕК"</v>
      </c>
      <c r="K9990" s="24" t="s">
        <v>10206</v>
      </c>
      <c r="L9990" s="28" t="s">
        <v>52</v>
      </c>
      <c r="M9990" s="25">
        <v>105287.13</v>
      </c>
      <c r="N9990" s="27">
        <v>0.26153120057861506</v>
      </c>
    </row>
    <row r="9991" spans="1:14" hidden="1" outlineLevel="1" x14ac:dyDescent="0.2">
      <c r="A9991" s="23" t="str">
        <f>HYPERLINK("https://www.spark-marketing.ru/Card/Person/135620", "ГАУЗ ""СП № 13 ДЗМ""")</f>
        <v>ГАУЗ "СП № 13 ДЗМ"</v>
      </c>
      <c r="B9991" s="24" t="s">
        <v>12389</v>
      </c>
      <c r="C9991" s="28" t="s">
        <v>52</v>
      </c>
      <c r="D9991" s="22" t="s">
        <v>12390</v>
      </c>
      <c r="E9991" s="22" t="s">
        <v>2204</v>
      </c>
      <c r="F9991" s="23" t="str">
        <f>HYPERLINK("https://www.spark-marketing.ru/Card/Lot/69745249", "Приобретение с установкой и пуско-наладкой системы видеонаблюдения в ГАУЗ ""СП № 13 ДЗМ"" по адресу: г.Москва, ул.Авиамоторная, д.30.")</f>
        <v>Приобретение с установкой и пуско-наладкой системы видеонаблюдения в ГАУЗ "СП № 13 ДЗМ" по адресу: г.Москва, ул.Авиамоторная, д.30.</v>
      </c>
      <c r="G9991" s="22" t="s">
        <v>55</v>
      </c>
      <c r="H9991" s="22" t="s">
        <v>55</v>
      </c>
      <c r="I9991" s="26">
        <v>43566.737789351799</v>
      </c>
      <c r="J9991" s="23" t="str">
        <f>HYPERLINK("https://www.spark-marketing.ru/Card/Person/65028", "ООО ""ИМПУЛЬС М""")</f>
        <v>ООО "ИМПУЛЬС М"</v>
      </c>
      <c r="K9991" s="24" t="s">
        <v>7268</v>
      </c>
      <c r="L9991" s="22" t="s">
        <v>10</v>
      </c>
      <c r="M9991" s="25">
        <v>100000</v>
      </c>
      <c r="N9991" s="27">
        <v>0.29861437060599438</v>
      </c>
    </row>
    <row r="9992" spans="1:14" hidden="1" outlineLevel="1" x14ac:dyDescent="0.2">
      <c r="A9992" s="23" t="str">
        <f>HYPERLINK("https://www.spark-marketing.ru/Card/Person/135620", "ГАУЗ ""СП № 13 ДЗМ""")</f>
        <v>ГАУЗ "СП № 13 ДЗМ"</v>
      </c>
      <c r="B9992" s="24" t="s">
        <v>12389</v>
      </c>
      <c r="C9992" s="28" t="s">
        <v>52</v>
      </c>
      <c r="D9992" s="22" t="s">
        <v>12390</v>
      </c>
      <c r="E9992" s="22" t="s">
        <v>2204</v>
      </c>
      <c r="F9992" s="23" t="str">
        <f>HYPERLINK("https://www.spark-marketing.ru/Card/Lot/69745249", "Приобретение с установкой и пуско-наладкой системы видеонаблюдения в ГАУЗ ""СП № 13 ДЗМ"" по адресу: г.Москва, ул.Авиамоторная, д.30.")</f>
        <v>Приобретение с установкой и пуско-наладкой системы видеонаблюдения в ГАУЗ "СП № 13 ДЗМ" по адресу: г.Москва, ул.Авиамоторная, д.30.</v>
      </c>
      <c r="G9992" s="22" t="s">
        <v>55</v>
      </c>
      <c r="H9992" s="22" t="s">
        <v>55</v>
      </c>
      <c r="I9992" s="26">
        <v>43566.737789351799</v>
      </c>
      <c r="J9992" s="23" t="str">
        <f>HYPERLINK("https://www.spark-marketing.ru/Card/Person/1358782", "ООО ""СТРОЙМАКСМОНТАЖ""")</f>
        <v>ООО "СТРОЙМАКСМОНТАЖ"</v>
      </c>
      <c r="K9992" s="24" t="s">
        <v>8540</v>
      </c>
      <c r="L9992" s="28" t="s">
        <v>52</v>
      </c>
      <c r="M9992" s="25">
        <v>142574.92000000001</v>
      </c>
      <c r="N9992" s="27">
        <v>0</v>
      </c>
    </row>
    <row r="9993" spans="1:14" x14ac:dyDescent="0.15">
      <c r="A9993" s="23" t="str">
        <f>HYPERLINK("https://www.spark-marketing.ru/Card/Person/4358629", "АО ""ПРЕПРЕГ-СКМ""")</f>
        <v>АО "ПРЕПРЕГ-СКМ"</v>
      </c>
      <c r="B9993" s="24" t="s">
        <v>8463</v>
      </c>
      <c r="C9993" s="25">
        <v>0</v>
      </c>
      <c r="D9993" s="22" t="s">
        <v>12391</v>
      </c>
      <c r="E9993" s="22" t="s">
        <v>53</v>
      </c>
      <c r="F9993" s="23" t="str">
        <f>HYPERLINK("https://www.spark-marketing.ru/Card/Lot/69746084", "мониторинг цен в электронной форме на Оказание охранных услуг")</f>
        <v>мониторинг цен в электронной форме на Оказание охранных услуг</v>
      </c>
      <c r="G9993" s="22" t="s">
        <v>55</v>
      </c>
      <c r="H9993" s="22" t="s">
        <v>55</v>
      </c>
      <c r="I9993" s="26">
        <v>43566.716342592597</v>
      </c>
      <c r="J9993" s="28" t="s">
        <v>52</v>
      </c>
      <c r="K9993" s="28" t="s">
        <v>52</v>
      </c>
      <c r="L9993" s="28" t="s">
        <v>52</v>
      </c>
      <c r="M9993" s="28" t="s">
        <v>52</v>
      </c>
      <c r="N9993" s="28" t="s">
        <v>52</v>
      </c>
    </row>
    <row r="9994" spans="1:14" x14ac:dyDescent="0.15">
      <c r="A9994" s="23" t="str">
        <f>HYPERLINK("https://www.spark-marketing.ru/Card/Person/132814", "АДМИНИСТРАЦИЯ ГЛУБОКИНСКОГО ГОРОДСКОГО ПОСЕЛЕНИЯ")</f>
        <v>АДМИНИСТРАЦИЯ ГЛУБОКИНСКОГО ГОРОДСКОГО ПОСЕЛЕНИЯ</v>
      </c>
      <c r="B9994" s="24" t="s">
        <v>12392</v>
      </c>
      <c r="C9994" s="25">
        <v>999887</v>
      </c>
      <c r="D9994" s="22" t="s">
        <v>12393</v>
      </c>
      <c r="E9994" s="22" t="s">
        <v>59</v>
      </c>
      <c r="F9994" s="23" t="str">
        <f>HYPERLINK("https://www.spark-marketing.ru/Card/Lot/69741145", "Техническое обслуживание сетей уличного освещения Глубокинского городского поселения")</f>
        <v>Техническое обслуживание сетей уличного освещения Глубокинского городского поселения</v>
      </c>
      <c r="G9994" s="22" t="s">
        <v>402</v>
      </c>
      <c r="H9994" s="22" t="s">
        <v>2328</v>
      </c>
      <c r="I9994" s="26">
        <v>43566.668055555601</v>
      </c>
      <c r="J9994" s="23" t="str">
        <f>HYPERLINK("https://www.spark-marketing.ru/Card/Person/780105", "Федотов Вячеслав Николаевич")</f>
        <v>Федотов Вячеслав Николаевич</v>
      </c>
      <c r="K9994" s="24" t="s">
        <v>12394</v>
      </c>
      <c r="L9994" s="22" t="s">
        <v>10</v>
      </c>
      <c r="M9994" s="28" t="s">
        <v>52</v>
      </c>
      <c r="N9994" s="28" t="s">
        <v>52</v>
      </c>
    </row>
    <row r="9995" spans="1:14" x14ac:dyDescent="0.15">
      <c r="A9995" s="23" t="str">
        <f>HYPERLINK("https://www.spark-marketing.ru/Card/Person/113837", "МАОУ -СОШ № 1 СТ.КАЛИНИНСКОЙ")</f>
        <v>МАОУ -СОШ № 1 СТ.КАЛИНИНСКОЙ</v>
      </c>
      <c r="B9995" s="24" t="s">
        <v>12395</v>
      </c>
      <c r="C9995" s="25">
        <v>114000</v>
      </c>
      <c r="D9995" s="22" t="s">
        <v>12396</v>
      </c>
      <c r="E9995" s="22" t="s">
        <v>691</v>
      </c>
      <c r="F9995" s="23" t="str">
        <f>HYPERLINK("https://www.spark-marketing.ru/Card/Lot/69743258", "оказание услуг на дополнительную установку камер видеонаблюдения в ППЭ, задействованных при проведении ГИА")</f>
        <v>оказание услуг на дополнительную установку камер видеонаблюдения в ППЭ, задействованных при проведении ГИА</v>
      </c>
      <c r="G9995" s="22" t="s">
        <v>132</v>
      </c>
      <c r="H9995" s="22" t="s">
        <v>132</v>
      </c>
      <c r="I9995" s="26">
        <v>43566.692060185203</v>
      </c>
      <c r="J9995" s="28" t="s">
        <v>52</v>
      </c>
      <c r="K9995" s="28" t="s">
        <v>52</v>
      </c>
      <c r="L9995" s="28" t="s">
        <v>52</v>
      </c>
      <c r="M9995" s="28" t="s">
        <v>52</v>
      </c>
      <c r="N9995" s="28" t="s">
        <v>52</v>
      </c>
    </row>
    <row r="9996" spans="1:14" x14ac:dyDescent="0.15">
      <c r="A9996" s="23" t="str">
        <f t="shared" ref="A9996:A10004" si="468">HYPERLINK("https://www.spark-marketing.ru/Card/Person/350473", "ГАУ АО ""УПРАВЛЕНИЕ ИКТ АО""")</f>
        <v>ГАУ АО "УПРАВЛЕНИЕ ИКТ АО"</v>
      </c>
      <c r="B9996" s="24" t="s">
        <v>12397</v>
      </c>
      <c r="C9996" s="25">
        <v>1660000</v>
      </c>
      <c r="D9996" s="22" t="s">
        <v>12398</v>
      </c>
      <c r="E9996" s="22" t="s">
        <v>12399</v>
      </c>
      <c r="F9996" s="23" t="str">
        <f>HYPERLINK("https://www.spark-marketing.ru/Card/Lot/69740336", "Работы по обеспечению работоспособности и техническому обслуживанию волоконно-оптической сети передачи данных, сети электропитания и оборудования видеонаблюдения АПК ""Безопасный город"" в г. Архангельске и Приморском районе")</f>
        <v>Работы по обеспечению работоспособности и техническому обслуживанию волоконно-оптической сети передачи данных, сети электропитания и оборудования видеонаблюдения АПК "Безопасный город" в г. Архангельске и Приморском районе</v>
      </c>
      <c r="G9996" s="22" t="s">
        <v>674</v>
      </c>
      <c r="H9996" s="22" t="s">
        <v>1905</v>
      </c>
      <c r="I9996" s="26">
        <v>43566.654143518499</v>
      </c>
      <c r="J9996" s="28" t="s">
        <v>52</v>
      </c>
      <c r="K9996" s="28" t="s">
        <v>52</v>
      </c>
      <c r="L9996" s="28" t="s">
        <v>52</v>
      </c>
      <c r="M9996" s="28" t="s">
        <v>52</v>
      </c>
      <c r="N9996" s="28" t="s">
        <v>52</v>
      </c>
    </row>
    <row r="9997" spans="1:14" hidden="1" outlineLevel="1" x14ac:dyDescent="0.2">
      <c r="A9997" s="23" t="str">
        <f t="shared" si="468"/>
        <v>ГАУ АО "УПРАВЛЕНИЕ ИКТ АО"</v>
      </c>
      <c r="B9997" s="24" t="s">
        <v>12397</v>
      </c>
      <c r="C9997" s="28" t="s">
        <v>52</v>
      </c>
      <c r="D9997" s="22" t="s">
        <v>12398</v>
      </c>
      <c r="E9997" s="22" t="s">
        <v>12399</v>
      </c>
      <c r="F9997" s="23" t="str">
        <f>HYPERLINK("https://www.spark-marketing.ru/Card/Lot/69740336", "Работы по обеспечению работоспособности и техническому обслуживанию волоконно-оптической сети передачи данных, сети электропитания и оборудования видеонаблюдения АПК ""Безопасный город"" в г. Архангельске и Приморском районе")</f>
        <v>Работы по обеспечению работоспособности и техническому обслуживанию волоконно-оптической сети передачи данных, сети электропитания и оборудования видеонаблюдения АПК "Безопасный город" в г. Архангельске и Приморском районе</v>
      </c>
      <c r="G9997" s="22" t="s">
        <v>674</v>
      </c>
      <c r="H9997" s="22" t="s">
        <v>1905</v>
      </c>
      <c r="I9997" s="26">
        <v>43566.654143518499</v>
      </c>
      <c r="J9997" s="23" t="str">
        <f>HYPERLINK("https://www.spark-marketing.ru/Card/Person/4865829", "ООО ""АРКТИКСПЕЦСЕРВИС""")</f>
        <v>ООО "АРКТИКСПЕЦСЕРВИС"</v>
      </c>
      <c r="K9997" s="24" t="s">
        <v>12400</v>
      </c>
      <c r="L9997" s="22" t="s">
        <v>10</v>
      </c>
      <c r="M9997" s="25">
        <v>712000</v>
      </c>
      <c r="N9997" s="27">
        <v>0.57108433734939756</v>
      </c>
    </row>
    <row r="9998" spans="1:14" hidden="1" outlineLevel="1" x14ac:dyDescent="0.2">
      <c r="A9998" s="23" t="str">
        <f t="shared" si="468"/>
        <v>ГАУ АО "УПРАВЛЕНИЕ ИКТ АО"</v>
      </c>
      <c r="B9998" s="24" t="s">
        <v>12397</v>
      </c>
      <c r="C9998" s="28" t="s">
        <v>52</v>
      </c>
      <c r="D9998" s="22" t="s">
        <v>12398</v>
      </c>
      <c r="E9998" s="22" t="s">
        <v>12399</v>
      </c>
      <c r="F9998" s="23" t="str">
        <f>HYPERLINK("https://www.spark-marketing.ru/Card/Lot/69740336", "Работы по обеспечению работоспособности и техническому обслуживанию волоконно-оптической сети передачи данных, сети электропитания и оборудования видеонаблюдения АПК ""Безопасный город"" в г. Архангельске и Приморском районе")</f>
        <v>Работы по обеспечению работоспособности и техническому обслуживанию волоконно-оптической сети передачи данных, сети электропитания и оборудования видеонаблюдения АПК "Безопасный город" в г. Архангельске и Приморском районе</v>
      </c>
      <c r="G9998" s="22" t="s">
        <v>674</v>
      </c>
      <c r="H9998" s="22" t="s">
        <v>1905</v>
      </c>
      <c r="I9998" s="26">
        <v>43566.654143518499</v>
      </c>
      <c r="J9998" s="23" t="str">
        <f>HYPERLINK("https://www.spark-marketing.ru/Card/Person/82344", "ООО ""КОНСТАНТА-ПЛЮС""")</f>
        <v>ООО "КОНСТАНТА-ПЛЮС"</v>
      </c>
      <c r="K9998" s="24" t="s">
        <v>10488</v>
      </c>
      <c r="L9998" s="28" t="s">
        <v>52</v>
      </c>
      <c r="M9998" s="25">
        <v>1300000</v>
      </c>
      <c r="N9998" s="27">
        <v>0.21686746987951808</v>
      </c>
    </row>
    <row r="9999" spans="1:14" hidden="1" outlineLevel="1" x14ac:dyDescent="0.2">
      <c r="A9999" s="23" t="str">
        <f t="shared" si="468"/>
        <v>ГАУ АО "УПРАВЛЕНИЕ ИКТ АО"</v>
      </c>
      <c r="B9999" s="24" t="s">
        <v>12397</v>
      </c>
      <c r="C9999" s="28" t="s">
        <v>52</v>
      </c>
      <c r="D9999" s="22" t="s">
        <v>12398</v>
      </c>
      <c r="E9999" s="22" t="s">
        <v>12399</v>
      </c>
      <c r="F9999" s="23" t="str">
        <f>HYPERLINK("https://www.spark-marketing.ru/Card/Lot/69740336", "Работы по обеспечению работоспособности и техническому обслуживанию волоконно-оптической сети передачи данных, сети электропитания и оборудования видеонаблюдения АПК ""Безопасный город"" в г. Архангельске и Приморском районе")</f>
        <v>Работы по обеспечению работоспособности и техническому обслуживанию волоконно-оптической сети передачи данных, сети электропитания и оборудования видеонаблюдения АПК "Безопасный город" в г. Архангельске и Приморском районе</v>
      </c>
      <c r="G9999" s="22" t="s">
        <v>674</v>
      </c>
      <c r="H9999" s="22" t="s">
        <v>1905</v>
      </c>
      <c r="I9999" s="26">
        <v>43566.654143518499</v>
      </c>
      <c r="J9999" s="23" t="str">
        <f>HYPERLINK("https://www.spark-marketing.ru/Card/Person/493871", "ООО ""ВЕЛЬТЕЛЕКОМ""")</f>
        <v>ООО "ВЕЛЬТЕЛЕКОМ"</v>
      </c>
      <c r="K9999" s="24" t="s">
        <v>12401</v>
      </c>
      <c r="L9999" s="28" t="s">
        <v>52</v>
      </c>
      <c r="M9999" s="25">
        <v>1550000</v>
      </c>
      <c r="N9999" s="27">
        <v>6.6265060240963861E-2</v>
      </c>
    </row>
    <row r="10000" spans="1:14" hidden="1" outlineLevel="1" x14ac:dyDescent="0.2">
      <c r="A10000" s="23" t="str">
        <f t="shared" si="468"/>
        <v>ГАУ АО "УПРАВЛЕНИЕ ИКТ АО"</v>
      </c>
      <c r="B10000" s="24" t="s">
        <v>12397</v>
      </c>
      <c r="C10000" s="28" t="s">
        <v>52</v>
      </c>
      <c r="D10000" s="22" t="s">
        <v>12398</v>
      </c>
      <c r="E10000" s="22" t="s">
        <v>12399</v>
      </c>
      <c r="F10000" s="23" t="str">
        <f>HYPERLINK("https://www.spark-marketing.ru/Card/Lot/69740336", "Работы по обеспечению работоспособности и техническому обслуживанию волоконно-оптической сети передачи данных, сети электропитания и оборудования видеонаблюдения АПК ""Безопасный город"" в г. Архангельске и Приморском районе")</f>
        <v>Работы по обеспечению работоспособности и техническому обслуживанию волоконно-оптической сети передачи данных, сети электропитания и оборудования видеонаблюдения АПК "Безопасный город" в г. Архангельске и Приморском районе</v>
      </c>
      <c r="G10000" s="22" t="s">
        <v>674</v>
      </c>
      <c r="H10000" s="22" t="s">
        <v>1905</v>
      </c>
      <c r="I10000" s="26">
        <v>43566.654143518499</v>
      </c>
      <c r="J10000" s="23" t="str">
        <f>HYPERLINK("https://www.spark-marketing.ru/Card/Person/10991", "ПАО ""РОСТЕЛЕКОМ""")</f>
        <v>ПАО "РОСТЕЛЕКОМ"</v>
      </c>
      <c r="K10000" s="24" t="s">
        <v>607</v>
      </c>
      <c r="L10000" s="28" t="s">
        <v>52</v>
      </c>
      <c r="M10000" s="25">
        <v>1656375.69</v>
      </c>
      <c r="N10000" s="27">
        <v>2.1833192771084338E-3</v>
      </c>
    </row>
    <row r="10001" spans="1:14" x14ac:dyDescent="0.15">
      <c r="A10001" s="23" t="str">
        <f t="shared" si="468"/>
        <v>ГАУ АО "УПРАВЛЕНИЕ ИКТ АО"</v>
      </c>
      <c r="B10001" s="24" t="s">
        <v>12397</v>
      </c>
      <c r="C10001" s="25">
        <v>685000</v>
      </c>
      <c r="D10001" s="22" t="s">
        <v>12402</v>
      </c>
      <c r="E10001" s="22" t="s">
        <v>12399</v>
      </c>
      <c r="F10001" s="23" t="str">
        <f>HYPERLINK("https://www.spark-marketing.ru/Card/Lot/69739988", "Работы по обеспечению работоспособности и техническому обслуживанию волоконно-оптической сети передачи данных, сети электропитания и оборудования видеонаблюдения АПК ""Безопасный город"" в г. Северодвинск")</f>
        <v>Работы по обеспечению работоспособности и техническому обслуживанию волоконно-оптической сети передачи данных, сети электропитания и оборудования видеонаблюдения АПК "Безопасный город" в г. Северодвинск</v>
      </c>
      <c r="G10001" s="22" t="s">
        <v>674</v>
      </c>
      <c r="H10001" s="22" t="s">
        <v>1905</v>
      </c>
      <c r="I10001" s="26">
        <v>43566.6404861111</v>
      </c>
      <c r="J10001" s="28" t="s">
        <v>52</v>
      </c>
      <c r="K10001" s="28" t="s">
        <v>52</v>
      </c>
      <c r="L10001" s="28" t="s">
        <v>52</v>
      </c>
      <c r="M10001" s="28" t="s">
        <v>52</v>
      </c>
      <c r="N10001" s="28" t="s">
        <v>52</v>
      </c>
    </row>
    <row r="10002" spans="1:14" hidden="1" outlineLevel="1" x14ac:dyDescent="0.2">
      <c r="A10002" s="23" t="str">
        <f t="shared" si="468"/>
        <v>ГАУ АО "УПРАВЛЕНИЕ ИКТ АО"</v>
      </c>
      <c r="B10002" s="24" t="s">
        <v>12397</v>
      </c>
      <c r="C10002" s="28" t="s">
        <v>52</v>
      </c>
      <c r="D10002" s="22" t="s">
        <v>12402</v>
      </c>
      <c r="E10002" s="22" t="s">
        <v>12399</v>
      </c>
      <c r="F10002" s="23" t="str">
        <f>HYPERLINK("https://www.spark-marketing.ru/Card/Lot/69739988", "Работы по обеспечению работоспособности и техническому обслуживанию волоконно-оптической сети передачи данных, сети электропитания и оборудования видеонаблюдения АПК ""Безопасный город"" в г. Северодвинск")</f>
        <v>Работы по обеспечению работоспособности и техническому обслуживанию волоконно-оптической сети передачи данных, сети электропитания и оборудования видеонаблюдения АПК "Безопасный город" в г. Северодвинск</v>
      </c>
      <c r="G10002" s="22" t="s">
        <v>674</v>
      </c>
      <c r="H10002" s="22" t="s">
        <v>1905</v>
      </c>
      <c r="I10002" s="26">
        <v>43566.6404861111</v>
      </c>
      <c r="J10002" s="23" t="str">
        <f>HYPERLINK("https://www.spark-marketing.ru/Card/Person/493871", "ООО ""ВЕЛЬТЕЛЕКОМ""")</f>
        <v>ООО "ВЕЛЬТЕЛЕКОМ"</v>
      </c>
      <c r="K10002" s="24" t="s">
        <v>12401</v>
      </c>
      <c r="L10002" s="22" t="s">
        <v>10</v>
      </c>
      <c r="M10002" s="25">
        <v>450000</v>
      </c>
      <c r="N10002" s="27">
        <v>0.34306569343065696</v>
      </c>
    </row>
    <row r="10003" spans="1:14" hidden="1" outlineLevel="1" x14ac:dyDescent="0.2">
      <c r="A10003" s="23" t="str">
        <f t="shared" si="468"/>
        <v>ГАУ АО "УПРАВЛЕНИЕ ИКТ АО"</v>
      </c>
      <c r="B10003" s="24" t="s">
        <v>12397</v>
      </c>
      <c r="C10003" s="28" t="s">
        <v>52</v>
      </c>
      <c r="D10003" s="22" t="s">
        <v>12402</v>
      </c>
      <c r="E10003" s="22" t="s">
        <v>12399</v>
      </c>
      <c r="F10003" s="23" t="str">
        <f>HYPERLINK("https://www.spark-marketing.ru/Card/Lot/69739988", "Работы по обеспечению работоспособности и техническому обслуживанию волоконно-оптической сети передачи данных, сети электропитания и оборудования видеонаблюдения АПК ""Безопасный город"" в г. Северодвинск")</f>
        <v>Работы по обеспечению работоспособности и техническому обслуживанию волоконно-оптической сети передачи данных, сети электропитания и оборудования видеонаблюдения АПК "Безопасный город" в г. Северодвинск</v>
      </c>
      <c r="G10003" s="22" t="s">
        <v>674</v>
      </c>
      <c r="H10003" s="22" t="s">
        <v>1905</v>
      </c>
      <c r="I10003" s="26">
        <v>43566.6404861111</v>
      </c>
      <c r="J10003" s="23" t="str">
        <f>HYPERLINK("https://www.spark-marketing.ru/Card/Person/267416", "ООО ""ИОНИТ-ТЕЛЕКОМ""")</f>
        <v>ООО "ИОНИТ-ТЕЛЕКОМ"</v>
      </c>
      <c r="K10003" s="24" t="s">
        <v>12403</v>
      </c>
      <c r="L10003" s="28" t="s">
        <v>52</v>
      </c>
      <c r="M10003" s="25">
        <v>465000</v>
      </c>
      <c r="N10003" s="27">
        <v>0.32116788321167883</v>
      </c>
    </row>
    <row r="10004" spans="1:14" hidden="1" outlineLevel="1" x14ac:dyDescent="0.2">
      <c r="A10004" s="23" t="str">
        <f t="shared" si="468"/>
        <v>ГАУ АО "УПРАВЛЕНИЕ ИКТ АО"</v>
      </c>
      <c r="B10004" s="24" t="s">
        <v>12397</v>
      </c>
      <c r="C10004" s="28" t="s">
        <v>52</v>
      </c>
      <c r="D10004" s="22" t="s">
        <v>12402</v>
      </c>
      <c r="E10004" s="22" t="s">
        <v>12399</v>
      </c>
      <c r="F10004" s="23" t="str">
        <f>HYPERLINK("https://www.spark-marketing.ru/Card/Lot/69739988", "Работы по обеспечению работоспособности и техническому обслуживанию волоконно-оптической сети передачи данных, сети электропитания и оборудования видеонаблюдения АПК ""Безопасный город"" в г. Северодвинск")</f>
        <v>Работы по обеспечению работоспособности и техническому обслуживанию волоконно-оптической сети передачи данных, сети электропитания и оборудования видеонаблюдения АПК "Безопасный город" в г. Северодвинск</v>
      </c>
      <c r="G10004" s="22" t="s">
        <v>674</v>
      </c>
      <c r="H10004" s="22" t="s">
        <v>1905</v>
      </c>
      <c r="I10004" s="26">
        <v>43566.6404861111</v>
      </c>
      <c r="J10004" s="23" t="str">
        <f>HYPERLINK("https://www.spark-marketing.ru/Card/Person/10991", "ПАО ""РОСТЕЛЕКОМ""")</f>
        <v>ПАО "РОСТЕЛЕКОМ"</v>
      </c>
      <c r="K10004" s="24" t="s">
        <v>607</v>
      </c>
      <c r="L10004" s="28" t="s">
        <v>52</v>
      </c>
      <c r="M10004" s="25">
        <v>685000</v>
      </c>
      <c r="N10004" s="27">
        <v>0</v>
      </c>
    </row>
    <row r="10005" spans="1:14" x14ac:dyDescent="0.15">
      <c r="A10005" s="23" t="str">
        <f>HYPERLINK("https://www.spark-marketing.ru/Card/Person/4434547", "ООО ""ТЕХНОАЛЬЯНСИНВЕСТ""")</f>
        <v>ООО "ТЕХНОАЛЬЯНСИНВЕСТ"</v>
      </c>
      <c r="B10005" s="24" t="s">
        <v>12404</v>
      </c>
      <c r="C10005" s="25">
        <v>1120000</v>
      </c>
      <c r="D10005" s="22" t="s">
        <v>12405</v>
      </c>
      <c r="E10005" s="22" t="s">
        <v>12406</v>
      </c>
      <c r="F10005" s="23" t="str">
        <f>HYPERLINK("https://www.spark-marketing.ru/Card/Lot/69749021", "Техническое обслуживание опасного производственного объекта, а именно Системы контроля загазованности, систем ХВО, КИПиА, технологической защиты и сигнализации паровых котлов ДЕ-16-14ГМ (2шт.) здания котельной (Камов); Техническое обслуживание опасно...")</f>
        <v>Техническое обслуживание опасного производственного объекта, а именно Системы контроля загазованности, систем ХВО, КИПиА, технологической защиты и сигнализации паровых котлов ДЕ-16-14ГМ (2шт.) здания котельной (Камов); Техническое обслуживание опасно...</v>
      </c>
      <c r="G10005" s="22" t="s">
        <v>50</v>
      </c>
      <c r="H10005" s="22" t="s">
        <v>50</v>
      </c>
      <c r="I10005" s="26">
        <v>43566.666377314803</v>
      </c>
      <c r="J10005" s="28" t="s">
        <v>52</v>
      </c>
      <c r="K10005" s="28" t="s">
        <v>52</v>
      </c>
      <c r="L10005" s="28" t="s">
        <v>52</v>
      </c>
      <c r="M10005" s="28" t="s">
        <v>52</v>
      </c>
      <c r="N10005" s="28" t="s">
        <v>52</v>
      </c>
    </row>
    <row r="10006" spans="1:14" x14ac:dyDescent="0.15">
      <c r="A10006" s="23" t="str">
        <f>HYPERLINK("https://www.spark-marketing.ru/Card/Person/4804", "ИФНС РОССИИ ПО КОМИНТЕРНОВСКОМУ РАЙОНУ Г.ВОРОНЕЖА")</f>
        <v>ИФНС РОССИИ ПО КОМИНТЕРНОВСКОМУ РАЙОНУ Г.ВОРОНЕЖА</v>
      </c>
      <c r="B10006" s="24" t="s">
        <v>12266</v>
      </c>
      <c r="C10006" s="25">
        <v>36480</v>
      </c>
      <c r="D10006" s="22" t="s">
        <v>12407</v>
      </c>
      <c r="E10006" s="22" t="s">
        <v>53</v>
      </c>
      <c r="F10006" s="23" t="str">
        <f>HYPERLINK("https://www.spark-marketing.ru/Card/Lot/70784098", "Услуги по обеспечению пропускного и внутриобъектового режимом и охране имущества")</f>
        <v>Услуги по обеспечению пропускного и внутриобъектового режимом и охране имущества</v>
      </c>
      <c r="G10006" s="22" t="s">
        <v>552</v>
      </c>
      <c r="H10006" s="22" t="s">
        <v>886</v>
      </c>
      <c r="I10006" s="26">
        <v>43566.610428240703</v>
      </c>
      <c r="J10006" s="28" t="s">
        <v>52</v>
      </c>
      <c r="K10006" s="28" t="s">
        <v>52</v>
      </c>
      <c r="L10006" s="28" t="s">
        <v>52</v>
      </c>
      <c r="M10006" s="28" t="s">
        <v>52</v>
      </c>
      <c r="N10006" s="28" t="s">
        <v>52</v>
      </c>
    </row>
    <row r="10007" spans="1:14" x14ac:dyDescent="0.15">
      <c r="A10007" s="23" t="str">
        <f>HYPERLINK("https://www.spark-marketing.ru/Card/Person/4366030", "ПАО ""ТГК-2""")</f>
        <v>ПАО "ТГК-2"</v>
      </c>
      <c r="B10007" s="24" t="s">
        <v>152</v>
      </c>
      <c r="C10007" s="25">
        <v>1700000</v>
      </c>
      <c r="D10007" s="22" t="s">
        <v>12408</v>
      </c>
      <c r="E10007" s="22" t="s">
        <v>49</v>
      </c>
      <c r="F10007" s="23" t="str">
        <f>HYPERLINK("https://www.spark-marketing.ru/Card/Lot/69736962", "Выполнение работ по установке системы видеорегистрации оперативной деятельности ТЭЦ г. Ярославля")</f>
        <v>Выполнение работ по установке системы видеорегистрации оперативной деятельности ТЭЦ г. Ярославля</v>
      </c>
      <c r="G10007" s="22" t="s">
        <v>155</v>
      </c>
      <c r="H10007" s="22" t="s">
        <v>155</v>
      </c>
      <c r="I10007" s="26">
        <v>43566.5953240741</v>
      </c>
      <c r="J10007" s="28" t="s">
        <v>52</v>
      </c>
      <c r="K10007" s="28" t="s">
        <v>52</v>
      </c>
      <c r="L10007" s="28" t="s">
        <v>52</v>
      </c>
      <c r="M10007" s="28" t="s">
        <v>52</v>
      </c>
      <c r="N10007" s="28" t="s">
        <v>52</v>
      </c>
    </row>
    <row r="10008" spans="1:14" hidden="1" outlineLevel="1" x14ac:dyDescent="0.2">
      <c r="A10008" s="23" t="str">
        <f>HYPERLINK("https://www.spark-marketing.ru/Card/Person/4366030", "ПАО ""ТГК-2""")</f>
        <v>ПАО "ТГК-2"</v>
      </c>
      <c r="B10008" s="24" t="s">
        <v>152</v>
      </c>
      <c r="C10008" s="28" t="s">
        <v>52</v>
      </c>
      <c r="D10008" s="22" t="s">
        <v>12408</v>
      </c>
      <c r="E10008" s="22" t="s">
        <v>49</v>
      </c>
      <c r="F10008" s="23" t="str">
        <f>HYPERLINK("https://www.spark-marketing.ru/Card/Lot/69736962", "Выполнение работ по установке системы видеорегистрации оперативной деятельности ТЭЦ г. Ярославля")</f>
        <v>Выполнение работ по установке системы видеорегистрации оперативной деятельности ТЭЦ г. Ярославля</v>
      </c>
      <c r="G10008" s="22" t="s">
        <v>155</v>
      </c>
      <c r="H10008" s="22" t="s">
        <v>155</v>
      </c>
      <c r="I10008" s="26">
        <v>43566.5953240741</v>
      </c>
      <c r="J10008" s="23" t="str">
        <f>HYPERLINK("https://www.spark-marketing.ru/Card/Person/1905065", "ЗАЯВКА")</f>
        <v>ЗАЯВКА</v>
      </c>
      <c r="K10008" s="24" t="s">
        <v>10745</v>
      </c>
      <c r="L10008" s="28" t="s">
        <v>52</v>
      </c>
      <c r="M10008" s="25">
        <v>1495505.2</v>
      </c>
      <c r="N10008" s="27">
        <v>0.12029105882352942</v>
      </c>
    </row>
    <row r="10009" spans="1:14" hidden="1" outlineLevel="1" x14ac:dyDescent="0.2">
      <c r="A10009" s="23" t="str">
        <f>HYPERLINK("https://www.spark-marketing.ru/Card/Person/4366030", "ПАО ""ТГК-2""")</f>
        <v>ПАО "ТГК-2"</v>
      </c>
      <c r="B10009" s="24" t="s">
        <v>152</v>
      </c>
      <c r="C10009" s="28" t="s">
        <v>52</v>
      </c>
      <c r="D10009" s="22" t="s">
        <v>12408</v>
      </c>
      <c r="E10009" s="22" t="s">
        <v>49</v>
      </c>
      <c r="F10009" s="23" t="str">
        <f>HYPERLINK("https://www.spark-marketing.ru/Card/Lot/69736962", "Выполнение работ по установке системы видеорегистрации оперативной деятельности ТЭЦ г. Ярославля")</f>
        <v>Выполнение работ по установке системы видеорегистрации оперативной деятельности ТЭЦ г. Ярославля</v>
      </c>
      <c r="G10009" s="22" t="s">
        <v>155</v>
      </c>
      <c r="H10009" s="22" t="s">
        <v>155</v>
      </c>
      <c r="I10009" s="26">
        <v>43566.5953240741</v>
      </c>
      <c r="J10009" s="23" t="str">
        <f>HYPERLINK("https://www.spark-marketing.ru/Card/Person/1905065", "ЗАЯВКА")</f>
        <v>ЗАЯВКА</v>
      </c>
      <c r="K10009" s="24" t="s">
        <v>10745</v>
      </c>
      <c r="L10009" s="28" t="s">
        <v>52</v>
      </c>
      <c r="M10009" s="25">
        <v>1935001.2</v>
      </c>
      <c r="N10009" s="27">
        <v>-0.138236</v>
      </c>
    </row>
    <row r="10010" spans="1:14" hidden="1" outlineLevel="1" x14ac:dyDescent="0.2">
      <c r="A10010" s="23" t="str">
        <f>HYPERLINK("https://www.spark-marketing.ru/Card/Person/4366030", "ПАО ""ТГК-2""")</f>
        <v>ПАО "ТГК-2"</v>
      </c>
      <c r="B10010" s="24" t="s">
        <v>152</v>
      </c>
      <c r="C10010" s="28" t="s">
        <v>52</v>
      </c>
      <c r="D10010" s="22" t="s">
        <v>12408</v>
      </c>
      <c r="E10010" s="22" t="s">
        <v>49</v>
      </c>
      <c r="F10010" s="23" t="str">
        <f>HYPERLINK("https://www.spark-marketing.ru/Card/Lot/69736962", "Выполнение работ по установке системы видеорегистрации оперативной деятельности ТЭЦ г. Ярославля")</f>
        <v>Выполнение работ по установке системы видеорегистрации оперативной деятельности ТЭЦ г. Ярославля</v>
      </c>
      <c r="G10010" s="22" t="s">
        <v>155</v>
      </c>
      <c r="H10010" s="22" t="s">
        <v>155</v>
      </c>
      <c r="I10010" s="26">
        <v>43566.5953240741</v>
      </c>
      <c r="J10010" s="23" t="str">
        <f>HYPERLINK("https://www.spark-marketing.ru/Card/Person/1905065", "ЗАЯВКА")</f>
        <v>ЗАЯВКА</v>
      </c>
      <c r="K10010" s="24" t="s">
        <v>10745</v>
      </c>
      <c r="L10010" s="22" t="s">
        <v>10</v>
      </c>
      <c r="M10010" s="25">
        <v>1400000</v>
      </c>
      <c r="N10010" s="27">
        <v>0.17647058823529413</v>
      </c>
    </row>
    <row r="10011" spans="1:14" hidden="1" outlineLevel="1" x14ac:dyDescent="0.2">
      <c r="A10011" s="23" t="str">
        <f>HYPERLINK("https://www.spark-marketing.ru/Card/Person/4366030", "ПАО ""ТГК-2""")</f>
        <v>ПАО "ТГК-2"</v>
      </c>
      <c r="B10011" s="24" t="s">
        <v>152</v>
      </c>
      <c r="C10011" s="28" t="s">
        <v>52</v>
      </c>
      <c r="D10011" s="22" t="s">
        <v>12408</v>
      </c>
      <c r="E10011" s="22" t="s">
        <v>49</v>
      </c>
      <c r="F10011" s="23" t="str">
        <f>HYPERLINK("https://www.spark-marketing.ru/Card/Lot/69736962", "Выполнение работ по установке системы видеорегистрации оперативной деятельности ТЭЦ г. Ярославля")</f>
        <v>Выполнение работ по установке системы видеорегистрации оперативной деятельности ТЭЦ г. Ярославля</v>
      </c>
      <c r="G10011" s="22" t="s">
        <v>155</v>
      </c>
      <c r="H10011" s="22" t="s">
        <v>155</v>
      </c>
      <c r="I10011" s="26">
        <v>43566.5953240741</v>
      </c>
      <c r="J10011" s="23" t="str">
        <f>HYPERLINK("https://www.spark-marketing.ru/Card/Person/1905065", "ЗАЯВКА")</f>
        <v>ЗАЯВКА</v>
      </c>
      <c r="K10011" s="24" t="s">
        <v>10745</v>
      </c>
      <c r="L10011" s="28" t="s">
        <v>52</v>
      </c>
      <c r="M10011" s="25">
        <v>1442815.11</v>
      </c>
      <c r="N10011" s="27">
        <v>0.1512852294117647</v>
      </c>
    </row>
    <row r="10012" spans="1:14" x14ac:dyDescent="0.15">
      <c r="A10012" s="23" t="str">
        <f>HYPERLINK("https://www.spark-marketing.ru/Card/Person/1082748", "МБОУ ВСОШ № 1")</f>
        <v>МБОУ ВСОШ № 1</v>
      </c>
      <c r="B10012" s="24" t="s">
        <v>12409</v>
      </c>
      <c r="C10012" s="25">
        <v>40645</v>
      </c>
      <c r="D10012" s="22" t="s">
        <v>12410</v>
      </c>
      <c r="E10012" s="22" t="s">
        <v>84</v>
      </c>
      <c r="F10012" s="23" t="str">
        <f>HYPERLINK("https://www.spark-marketing.ru/Card/Lot/69735539", "Услуги по монтажу профессионального электронного оборудования (установка видеокамер)")</f>
        <v>Услуги по монтажу профессионального электронного оборудования (установка видеокамер)</v>
      </c>
      <c r="G10012" s="22" t="s">
        <v>50</v>
      </c>
      <c r="H10012" s="22" t="s">
        <v>299</v>
      </c>
      <c r="I10012" s="26">
        <v>43566.586666666699</v>
      </c>
      <c r="J10012" s="28" t="s">
        <v>52</v>
      </c>
      <c r="K10012" s="28" t="s">
        <v>52</v>
      </c>
      <c r="L10012" s="28" t="s">
        <v>52</v>
      </c>
      <c r="M10012" s="28" t="s">
        <v>52</v>
      </c>
      <c r="N10012" s="28" t="s">
        <v>52</v>
      </c>
    </row>
    <row r="10013" spans="1:14" x14ac:dyDescent="0.15">
      <c r="A10013" s="23" t="str">
        <f>HYPERLINK("https://www.spark-marketing.ru/Card/Person/198674", "ООО ""РН-АЭРО""")</f>
        <v>ООО "РН-АЭРО"</v>
      </c>
      <c r="B10013" s="24" t="s">
        <v>12411</v>
      </c>
      <c r="C10013" s="25">
        <v>4734720</v>
      </c>
      <c r="D10013" s="22" t="s">
        <v>12412</v>
      </c>
      <c r="E10013" s="22" t="s">
        <v>53</v>
      </c>
      <c r="F10013" s="23" t="str">
        <f>HYPERLINK("https://www.spark-marketing.ru/Card/Lot/69747260", "Оказание охранных услуг в ОП ""Сеща"" ООО ""РН-Аэро"" на 2019-2022 гг.")</f>
        <v>Оказание охранных услуг в ОП "Сеща" ООО "РН-Аэро" на 2019-2022 гг.</v>
      </c>
      <c r="G10013" s="22" t="s">
        <v>55</v>
      </c>
      <c r="H10013" s="22" t="s">
        <v>55</v>
      </c>
      <c r="I10013" s="26">
        <v>43566.569444444402</v>
      </c>
      <c r="J10013" s="28" t="s">
        <v>52</v>
      </c>
      <c r="K10013" s="28" t="s">
        <v>52</v>
      </c>
      <c r="L10013" s="28" t="s">
        <v>52</v>
      </c>
      <c r="M10013" s="28" t="s">
        <v>52</v>
      </c>
      <c r="N10013" s="28" t="s">
        <v>52</v>
      </c>
    </row>
    <row r="10014" spans="1:14" x14ac:dyDescent="0.2">
      <c r="A10014" s="23" t="str">
        <f>HYPERLINK("https://www.spark-marketing.ru/Card/Person/37192", "ФГБУ СП ""КУРОРТ-ПАРК ""СОЮЗ"" МИД РОССИИ""")</f>
        <v>ФГБУ СП "КУРОРТ-ПАРК "СОЮЗ" МИД РОССИИ"</v>
      </c>
      <c r="B10014" s="24" t="s">
        <v>12413</v>
      </c>
      <c r="C10014" s="25">
        <v>6226902</v>
      </c>
      <c r="D10014" s="22" t="s">
        <v>12414</v>
      </c>
      <c r="E10014" s="22" t="s">
        <v>52</v>
      </c>
      <c r="F10014" s="23" t="str">
        <f>HYPERLINK("https://www.spark-marketing.ru/Card/Lot/69737933", "Оказание охранных услуг")</f>
        <v>Оказание охранных услуг</v>
      </c>
      <c r="G10014" s="22" t="s">
        <v>50</v>
      </c>
      <c r="H10014" s="22" t="s">
        <v>50</v>
      </c>
      <c r="I10014" s="26">
        <v>43566.533333333296</v>
      </c>
      <c r="J10014" s="23" t="str">
        <f>HYPERLINK("https://www.spark-marketing.ru/Card/Person/61259", "ООО ЧОО ""БАРС - М""")</f>
        <v>ООО ЧОО "БАРС - М"</v>
      </c>
      <c r="K10014" s="24" t="s">
        <v>12415</v>
      </c>
      <c r="L10014" s="28" t="s">
        <v>52</v>
      </c>
      <c r="M10014" s="25">
        <v>6200000</v>
      </c>
      <c r="N10014" s="27">
        <v>4.3202863960280728E-3</v>
      </c>
    </row>
    <row r="10015" spans="1:14" x14ac:dyDescent="0.15">
      <c r="A10015" s="23" t="str">
        <f>HYPERLINK("https://www.spark-marketing.ru/Card/Person/1766421", "МАОУ ДО ДШИ ИМ.Н.Н.КАЛИНИНА")</f>
        <v>МАОУ ДО ДШИ ИМ.Н.Н.КАЛИНИНА</v>
      </c>
      <c r="B10015" s="24" t="s">
        <v>12416</v>
      </c>
      <c r="C10015" s="25">
        <v>270050.67</v>
      </c>
      <c r="D10015" s="22" t="s">
        <v>12417</v>
      </c>
      <c r="E10015" s="22" t="s">
        <v>691</v>
      </c>
      <c r="F10015" s="23" t="str">
        <f>HYPERLINK("https://www.spark-marketing.ru/Card/Lot/69733126", "Оказание услуг по установке системы видеонаблюдения")</f>
        <v>Оказание услуг по установке системы видеонаблюдения</v>
      </c>
      <c r="G10015" s="22" t="s">
        <v>50</v>
      </c>
      <c r="H10015" s="22" t="s">
        <v>50</v>
      </c>
      <c r="I10015" s="26">
        <v>43566.508125</v>
      </c>
      <c r="J10015" s="28" t="s">
        <v>52</v>
      </c>
      <c r="K10015" s="28" t="s">
        <v>52</v>
      </c>
      <c r="L10015" s="28" t="s">
        <v>52</v>
      </c>
      <c r="M10015" s="28" t="s">
        <v>52</v>
      </c>
      <c r="N10015" s="28" t="s">
        <v>52</v>
      </c>
    </row>
    <row r="10016" spans="1:14" hidden="1" outlineLevel="1" x14ac:dyDescent="0.2">
      <c r="A10016" s="23" t="str">
        <f>HYPERLINK("https://www.spark-marketing.ru/Card/Person/1766421", "МАОУ ДО ДШИ ИМ.Н.Н.КАЛИНИНА")</f>
        <v>МАОУ ДО ДШИ ИМ.Н.Н.КАЛИНИНА</v>
      </c>
      <c r="B10016" s="24" t="s">
        <v>12416</v>
      </c>
      <c r="C10016" s="28" t="s">
        <v>52</v>
      </c>
      <c r="D10016" s="22" t="s">
        <v>12417</v>
      </c>
      <c r="E10016" s="22" t="s">
        <v>691</v>
      </c>
      <c r="F10016" s="23" t="str">
        <f>HYPERLINK("https://www.spark-marketing.ru/Card/Lot/69733126", "Оказание услуг по установке системы видеонаблюдения")</f>
        <v>Оказание услуг по установке системы видеонаблюдения</v>
      </c>
      <c r="G10016" s="22" t="s">
        <v>50</v>
      </c>
      <c r="H10016" s="22" t="s">
        <v>50</v>
      </c>
      <c r="I10016" s="26">
        <v>43566.508125</v>
      </c>
      <c r="J10016" s="23" t="str">
        <f>HYPERLINK("https://www.spark-marketing.ru/Card/Person/6528610", "Кочанов Сергей Владимирович")</f>
        <v>Кочанов Сергей Владимирович</v>
      </c>
      <c r="K10016" s="24" t="s">
        <v>12418</v>
      </c>
      <c r="L10016" s="22" t="s">
        <v>10</v>
      </c>
      <c r="M10016" s="25">
        <v>244900</v>
      </c>
      <c r="N10016" s="27">
        <v>9.3133151641504902E-2</v>
      </c>
    </row>
    <row r="10017" spans="1:14" hidden="1" outlineLevel="1" x14ac:dyDescent="0.2">
      <c r="A10017" s="23" t="str">
        <f>HYPERLINK("https://www.spark-marketing.ru/Card/Person/1766421", "МАОУ ДО ДШИ ИМ.Н.Н.КАЛИНИНА")</f>
        <v>МАОУ ДО ДШИ ИМ.Н.Н.КАЛИНИНА</v>
      </c>
      <c r="B10017" s="24" t="s">
        <v>12416</v>
      </c>
      <c r="C10017" s="28" t="s">
        <v>52</v>
      </c>
      <c r="D10017" s="22" t="s">
        <v>12417</v>
      </c>
      <c r="E10017" s="22" t="s">
        <v>691</v>
      </c>
      <c r="F10017" s="23" t="str">
        <f>HYPERLINK("https://www.spark-marketing.ru/Card/Lot/69733126", "Оказание услуг по установке системы видеонаблюдения")</f>
        <v>Оказание услуг по установке системы видеонаблюдения</v>
      </c>
      <c r="G10017" s="22" t="s">
        <v>50</v>
      </c>
      <c r="H10017" s="22" t="s">
        <v>50</v>
      </c>
      <c r="I10017" s="26">
        <v>43566.508125</v>
      </c>
      <c r="J10017" s="23" t="str">
        <f>HYPERLINK("https://www.spark-marketing.ru/Card/Person/6229845", "Сафулов Денис Алимджанович")</f>
        <v>Сафулов Денис Алимджанович</v>
      </c>
      <c r="K10017" s="24" t="s">
        <v>12419</v>
      </c>
      <c r="L10017" s="28" t="s">
        <v>52</v>
      </c>
      <c r="M10017" s="25">
        <v>247400</v>
      </c>
      <c r="N10017" s="27">
        <v>8.3875629710528032E-2</v>
      </c>
    </row>
    <row r="10018" spans="1:14" hidden="1" outlineLevel="1" x14ac:dyDescent="0.2">
      <c r="A10018" s="23" t="str">
        <f>HYPERLINK("https://www.spark-marketing.ru/Card/Person/1766421", "МАОУ ДО ДШИ ИМ.Н.Н.КАЛИНИНА")</f>
        <v>МАОУ ДО ДШИ ИМ.Н.Н.КАЛИНИНА</v>
      </c>
      <c r="B10018" s="24" t="s">
        <v>12416</v>
      </c>
      <c r="C10018" s="28" t="s">
        <v>52</v>
      </c>
      <c r="D10018" s="22" t="s">
        <v>12417</v>
      </c>
      <c r="E10018" s="22" t="s">
        <v>691</v>
      </c>
      <c r="F10018" s="23" t="str">
        <f>HYPERLINK("https://www.spark-marketing.ru/Card/Lot/69733126", "Оказание услуг по установке системы видеонаблюдения")</f>
        <v>Оказание услуг по установке системы видеонаблюдения</v>
      </c>
      <c r="G10018" s="22" t="s">
        <v>50</v>
      </c>
      <c r="H10018" s="22" t="s">
        <v>50</v>
      </c>
      <c r="I10018" s="26">
        <v>43566.508125</v>
      </c>
      <c r="J10018" s="23" t="str">
        <f>HYPERLINK("https://www.spark-marketing.ru/Card/Person/705225", "ООО ""СПЕЦМОНТАЖ""")</f>
        <v>ООО "СПЕЦМОНТАЖ"</v>
      </c>
      <c r="K10018" s="24" t="s">
        <v>2727</v>
      </c>
      <c r="L10018" s="28" t="s">
        <v>52</v>
      </c>
      <c r="M10018" s="25">
        <v>258900</v>
      </c>
      <c r="N10018" s="27">
        <v>4.1291028828034385E-2</v>
      </c>
    </row>
    <row r="10019" spans="1:14" x14ac:dyDescent="0.15">
      <c r="A10019" s="23" t="str">
        <f>HYPERLINK("https://www.spark-marketing.ru/Card/Person/29608", "ГБДОУ НАО ""ЦРР-ДС ""УМКА""")</f>
        <v>ГБДОУ НАО "ЦРР-ДС "УМКА"</v>
      </c>
      <c r="B10019" s="24" t="s">
        <v>12420</v>
      </c>
      <c r="C10019" s="25">
        <v>96000</v>
      </c>
      <c r="D10019" s="22" t="s">
        <v>12421</v>
      </c>
      <c r="E10019" s="22" t="s">
        <v>59</v>
      </c>
      <c r="F10019" s="23" t="str">
        <f>HYPERLINK("https://www.spark-marketing.ru/Card/Lot/69727152", "Установка системы охранной сигнализации")</f>
        <v>Установка системы охранной сигнализации</v>
      </c>
      <c r="G10019" s="22" t="s">
        <v>1014</v>
      </c>
      <c r="H10019" s="22" t="s">
        <v>12422</v>
      </c>
      <c r="I10019" s="26">
        <v>43566.4819444444</v>
      </c>
      <c r="J10019" s="28" t="s">
        <v>52</v>
      </c>
      <c r="K10019" s="28" t="s">
        <v>52</v>
      </c>
      <c r="L10019" s="28" t="s">
        <v>52</v>
      </c>
      <c r="M10019" s="28" t="s">
        <v>52</v>
      </c>
      <c r="N10019" s="28" t="s">
        <v>52</v>
      </c>
    </row>
    <row r="10020" spans="1:14" ht="12.75" x14ac:dyDescent="0.2">
      <c r="A10020" s="23" t="str">
        <f>HYPERLINK("https://www.spark-marketing.ru/Card/Person/21274", "ФГКУ КОМБИНАТ ""ВОЛЬНЫЙ"" РОСРЕЗЕРВА")</f>
        <v>ФГКУ КОМБИНАТ "ВОЛЬНЫЙ" РОСРЕЗЕРВА</v>
      </c>
      <c r="B10020" s="24" t="s">
        <v>12423</v>
      </c>
      <c r="C10020" s="25">
        <v>52636.57</v>
      </c>
      <c r="D10020" s="22" t="s">
        <v>12424</v>
      </c>
      <c r="E10020" s="22" t="s">
        <v>68</v>
      </c>
      <c r="F10020" s="23" t="str">
        <f>HYPERLINK("https://www.spark-marketing.ru/Card/Lot/69727367", "Оказание охранных услуг")</f>
        <v>Оказание охранных услуг</v>
      </c>
      <c r="G10020" s="22" t="s">
        <v>384</v>
      </c>
      <c r="H10020" s="22" t="s">
        <v>384</v>
      </c>
      <c r="I10020" s="26">
        <v>43566.483333333301</v>
      </c>
      <c r="J10020" s="23" t="str">
        <f>HYPERLINK("https://www.spark-marketing.ru/Card/Person/10487", "ФГУП ""ОХРАНА"" РОСГВАРДИИ")</f>
        <v>ФГУП "ОХРАНА" РОСГВАРДИИ</v>
      </c>
      <c r="K10020" s="24" t="s">
        <v>779</v>
      </c>
      <c r="L10020" s="22" t="s">
        <v>10</v>
      </c>
      <c r="M10020" s="25">
        <v>40000</v>
      </c>
      <c r="N10020" s="27">
        <v>0.24007206396617409</v>
      </c>
    </row>
    <row r="10021" spans="1:14" x14ac:dyDescent="0.2">
      <c r="A10021" s="23" t="str">
        <f>HYPERLINK("https://www.spark-marketing.ru/Card/Person/797367", "МУП ""БАЛАКОВОЭЛЕКТРОТРАНС""")</f>
        <v>МУП "БАЛАКОВОЭЛЕКТРОТРАНС"</v>
      </c>
      <c r="B10021" s="24" t="s">
        <v>12425</v>
      </c>
      <c r="C10021" s="25">
        <v>227200</v>
      </c>
      <c r="D10021" s="22" t="s">
        <v>12426</v>
      </c>
      <c r="E10021" s="22" t="s">
        <v>12427</v>
      </c>
      <c r="F10021" s="23" t="str">
        <f>HYPERLINK("https://www.spark-marketing.ru/Card/Lot/69732894", "Оказание услуг по поготовке документов для оформления вносимых изменений в конструкцию ТС (установленного газобаллонного оборудования) согласно техническому регламенту ТР ТС 018/2011 ""О безопасности колесных транспортных средств""")</f>
        <v>Оказание услуг по поготовке документов для оформления вносимых изменений в конструкцию ТС (установленного газобаллонного оборудования) согласно техническому регламенту ТР ТС 018/2011 "О безопасности колесных транспортных средств"</v>
      </c>
      <c r="G10021" s="22" t="s">
        <v>80</v>
      </c>
      <c r="H10021" s="22" t="s">
        <v>80</v>
      </c>
      <c r="I10021" s="26">
        <v>43566.440092592602</v>
      </c>
      <c r="J10021" s="23" t="str">
        <f>HYPERLINK("https://www.spark-marketing.ru/Card/Person/1474639", "Стародубова Татьяна Дмитриевна")</f>
        <v>Стародубова Татьяна Дмитриевна</v>
      </c>
      <c r="K10021" s="24" t="s">
        <v>12428</v>
      </c>
      <c r="L10021" s="28" t="s">
        <v>52</v>
      </c>
      <c r="M10021" s="25">
        <v>227200</v>
      </c>
      <c r="N10021" s="27">
        <v>0</v>
      </c>
    </row>
    <row r="10022" spans="1:14" x14ac:dyDescent="0.15">
      <c r="A10022" s="23" t="str">
        <f>HYPERLINK("https://www.spark-marketing.ru/Card/Person/40831", "Юго-Западный банк ПАО ""Сбербанк России""")</f>
        <v>Юго-Западный банк ПАО "Сбербанк России"</v>
      </c>
      <c r="B10022" s="24" t="s">
        <v>5406</v>
      </c>
      <c r="C10022" s="25">
        <v>205549456.31999999</v>
      </c>
      <c r="D10022" s="22" t="s">
        <v>12429</v>
      </c>
      <c r="E10022" s="22" t="s">
        <v>53</v>
      </c>
      <c r="F10022" s="23" t="str">
        <f>HYPERLINK("https://www.spark-marketing.ru/Card/Lot/70029104", "Оказание услуг охраны с помощью технических средств охраны (ТСО) и техническое обслуживания (ТО) технических средств охраны объектов Ростовского отделения №5221")</f>
        <v>Оказание услуг охраны с помощью технических средств охраны (ТСО) и техническое обслуживания (ТО) технических средств охраны объектов Ростовского отделения №5221</v>
      </c>
      <c r="G10022" s="22" t="s">
        <v>55</v>
      </c>
      <c r="H10022" s="22" t="s">
        <v>55</v>
      </c>
      <c r="I10022" s="26">
        <v>43566.447916666701</v>
      </c>
      <c r="J10022" s="28" t="s">
        <v>52</v>
      </c>
      <c r="K10022" s="28" t="s">
        <v>52</v>
      </c>
      <c r="L10022" s="28" t="s">
        <v>52</v>
      </c>
      <c r="M10022" s="28" t="s">
        <v>52</v>
      </c>
      <c r="N10022" s="28" t="s">
        <v>52</v>
      </c>
    </row>
    <row r="10023" spans="1:14" x14ac:dyDescent="0.15">
      <c r="A10023" s="23" t="str">
        <f>HYPERLINK("https://www.spark-marketing.ru/Card/Person/40831", "Юго-Западный банк ПАО ""Сбербанк России""")</f>
        <v>Юго-Западный банк ПАО "Сбербанк России"</v>
      </c>
      <c r="B10023" s="24" t="s">
        <v>5406</v>
      </c>
      <c r="C10023" s="25">
        <v>22421448</v>
      </c>
      <c r="D10023" s="22" t="s">
        <v>12429</v>
      </c>
      <c r="E10023" s="22" t="s">
        <v>53</v>
      </c>
      <c r="F10023" s="23" t="str">
        <f>HYPERLINK("https://www.spark-marketing.ru/Card/Lot/70029102", "Оказание услуг охраны с помощью технических средств охраны (ТСО) и техническое обслуживания (ТО) технических средств охраны объек-тов Чеченского отделения № 8643")</f>
        <v>Оказание услуг охраны с помощью технических средств охраны (ТСО) и техническое обслуживания (ТО) технических средств охраны объек-тов Чеченского отделения № 8643</v>
      </c>
      <c r="G10023" s="22" t="s">
        <v>55</v>
      </c>
      <c r="H10023" s="22" t="s">
        <v>55</v>
      </c>
      <c r="I10023" s="26">
        <v>43566.447916666701</v>
      </c>
      <c r="J10023" s="28" t="s">
        <v>52</v>
      </c>
      <c r="K10023" s="28" t="s">
        <v>52</v>
      </c>
      <c r="L10023" s="28" t="s">
        <v>52</v>
      </c>
      <c r="M10023" s="28" t="s">
        <v>52</v>
      </c>
      <c r="N10023" s="28" t="s">
        <v>52</v>
      </c>
    </row>
    <row r="10024" spans="1:14" x14ac:dyDescent="0.15">
      <c r="A10024" s="23" t="str">
        <f>HYPERLINK("https://www.spark-marketing.ru/Card/Person/88480", "УПРАВЛЕНИЕ РОСРЕЕСТРА ПО МАГАДАНСКОЙ ОБЛАСТИ И ЧУКОТСКОМУ АВТОНОМНОМУ ОКРУГУ")</f>
        <v>УПРАВЛЕНИЕ РОСРЕЕСТРА ПО МАГАДАНСКОЙ ОБЛАСТИ И ЧУКОТСКОМУ АВТОНОМНОМУ ОКРУГУ</v>
      </c>
      <c r="B10024" s="24" t="s">
        <v>12430</v>
      </c>
      <c r="C10024" s="25">
        <v>38761</v>
      </c>
      <c r="D10024" s="22" t="s">
        <v>12431</v>
      </c>
      <c r="E10024" s="22" t="s">
        <v>53</v>
      </c>
      <c r="F10024" s="23" t="str">
        <f>HYPERLINK("https://www.spark-marketing.ru/Card/Lot/70782897", "Оказание услуг по пультовой охране объекта")</f>
        <v>Оказание услуг по пультовой охране объекта</v>
      </c>
      <c r="G10024" s="22" t="s">
        <v>808</v>
      </c>
      <c r="H10024" s="22" t="s">
        <v>809</v>
      </c>
      <c r="I10024" s="26">
        <v>43566.377592592602</v>
      </c>
      <c r="J10024" s="28" t="s">
        <v>52</v>
      </c>
      <c r="K10024" s="28" t="s">
        <v>52</v>
      </c>
      <c r="L10024" s="28" t="s">
        <v>52</v>
      </c>
      <c r="M10024" s="28" t="s">
        <v>52</v>
      </c>
      <c r="N10024" s="28" t="s">
        <v>52</v>
      </c>
    </row>
    <row r="10025" spans="1:14" x14ac:dyDescent="0.15">
      <c r="A10025" s="23" t="str">
        <f>HYPERLINK("https://www.spark-marketing.ru/Card/Person/2421003", "МАОУ СОШ № 9")</f>
        <v>МАОУ СОШ № 9</v>
      </c>
      <c r="B10025" s="24" t="s">
        <v>12432</v>
      </c>
      <c r="C10025" s="25">
        <v>245879.2</v>
      </c>
      <c r="D10025" s="22" t="s">
        <v>12433</v>
      </c>
      <c r="E10025" s="22" t="s">
        <v>691</v>
      </c>
      <c r="F10025" s="23" t="str">
        <f>HYPERLINK("https://www.spark-marketing.ru/Card/Lot/69722898", "Установка системы видеонаблюдения")</f>
        <v>Установка системы видеонаблюдения</v>
      </c>
      <c r="G10025" s="22" t="s">
        <v>132</v>
      </c>
      <c r="H10025" s="22" t="s">
        <v>132</v>
      </c>
      <c r="I10025" s="26">
        <v>43566.365949074097</v>
      </c>
      <c r="J10025" s="28" t="s">
        <v>52</v>
      </c>
      <c r="K10025" s="28" t="s">
        <v>52</v>
      </c>
      <c r="L10025" s="28" t="s">
        <v>52</v>
      </c>
      <c r="M10025" s="28" t="s">
        <v>52</v>
      </c>
      <c r="N10025" s="28" t="s">
        <v>52</v>
      </c>
    </row>
    <row r="10026" spans="1:14" x14ac:dyDescent="0.15">
      <c r="A10026" s="23" t="str">
        <f>HYPERLINK("https://www.spark-marketing.ru/Card/Person/4348562", "АО ""АТОМТЕХЭНЕРГО""")</f>
        <v>АО "АТОМТЕХЭНЕРГО"</v>
      </c>
      <c r="B10026" s="24" t="s">
        <v>4449</v>
      </c>
      <c r="C10026" s="28" t="s">
        <v>52</v>
      </c>
      <c r="D10026" s="22" t="s">
        <v>12434</v>
      </c>
      <c r="E10026" s="22" t="s">
        <v>53</v>
      </c>
      <c r="F10026" s="23" t="str">
        <f>HYPERLINK("https://www.spark-marketing.ru/Card/Lot/69727006", "на оказание услуг по физической и пультовой охране Объектов и территории Балаковского филиала «Балаковоатомтехэнерго» АО «Атомтехэнерго» (1230577)")</f>
        <v>на оказание услуг по физической и пультовой охране Объектов и территории Балаковского филиала «Балаковоатомтехэнерго» АО «Атомтехэнерго» (1230577)</v>
      </c>
      <c r="G10026" s="22" t="s">
        <v>55</v>
      </c>
      <c r="H10026" s="22" t="s">
        <v>55</v>
      </c>
      <c r="I10026" s="26">
        <v>43566.371539351901</v>
      </c>
      <c r="J10026" s="28" t="s">
        <v>52</v>
      </c>
      <c r="K10026" s="28" t="s">
        <v>52</v>
      </c>
      <c r="L10026" s="28" t="s">
        <v>52</v>
      </c>
      <c r="M10026" s="28" t="s">
        <v>52</v>
      </c>
      <c r="N10026" s="28" t="s">
        <v>52</v>
      </c>
    </row>
    <row r="10027" spans="1:14" x14ac:dyDescent="0.15">
      <c r="A10027" s="23" t="str">
        <f>HYPERLINK("https://www.spark-marketing.ru/Card/Person/4348562", "АО ""АТОМТЕХЭНЕРГО""")</f>
        <v>АО "АТОМТЕХЭНЕРГО"</v>
      </c>
      <c r="B10027" s="24" t="s">
        <v>4449</v>
      </c>
      <c r="C10027" s="25">
        <v>0</v>
      </c>
      <c r="D10027" s="22" t="s">
        <v>12435</v>
      </c>
      <c r="E10027" s="22" t="s">
        <v>53</v>
      </c>
      <c r="F10027" s="23" t="str">
        <f>HYPERLINK("https://www.spark-marketing.ru/Card/Lot/69726358", "мониторинг цен в электронной форме на на оказание услуг по физической и пультовой охране Объектов и территории Балаковского филиала «Балаковоатомтехэнерго» АО «Атомтехэнерго»")</f>
        <v>мониторинг цен в электронной форме на на оказание услуг по физической и пультовой охране Объектов и территории Балаковского филиала «Балаковоатомтехэнерго» АО «Атомтехэнерго»</v>
      </c>
      <c r="G10027" s="22" t="s">
        <v>55</v>
      </c>
      <c r="H10027" s="22" t="s">
        <v>55</v>
      </c>
      <c r="I10027" s="26">
        <v>43566.360798611102</v>
      </c>
      <c r="J10027" s="28" t="s">
        <v>52</v>
      </c>
      <c r="K10027" s="28" t="s">
        <v>52</v>
      </c>
      <c r="L10027" s="28" t="s">
        <v>52</v>
      </c>
      <c r="M10027" s="28" t="s">
        <v>52</v>
      </c>
      <c r="N10027" s="28" t="s">
        <v>52</v>
      </c>
    </row>
    <row r="10028" spans="1:14" x14ac:dyDescent="0.15">
      <c r="A10028" s="23" t="str">
        <f>HYPERLINK("https://www.spark-marketing.ru/Card/Person/4380079", "БОУ Г. ОМСКА ""СОШ № 98""")</f>
        <v>БОУ Г. ОМСКА "СОШ № 98"</v>
      </c>
      <c r="B10028" s="24" t="s">
        <v>12436</v>
      </c>
      <c r="C10028" s="25">
        <v>12000</v>
      </c>
      <c r="D10028" s="22" t="s">
        <v>12437</v>
      </c>
      <c r="E10028" s="22" t="s">
        <v>68</v>
      </c>
      <c r="F10028" s="23" t="str">
        <f>HYPERLINK("https://www.spark-marketing.ru/Card/Lot/69720986", "Услуги по охране имущества")</f>
        <v>Услуги по охране имущества</v>
      </c>
      <c r="G10028" s="22" t="s">
        <v>521</v>
      </c>
      <c r="H10028" s="22" t="s">
        <v>522</v>
      </c>
      <c r="I10028" s="26">
        <v>43566.331250000003</v>
      </c>
      <c r="J10028" s="28" t="s">
        <v>52</v>
      </c>
      <c r="K10028" s="28" t="s">
        <v>52</v>
      </c>
      <c r="L10028" s="28" t="s">
        <v>52</v>
      </c>
      <c r="M10028" s="28" t="s">
        <v>52</v>
      </c>
      <c r="N10028" s="28" t="s">
        <v>52</v>
      </c>
    </row>
    <row r="10029" spans="1:14" x14ac:dyDescent="0.15">
      <c r="A10029" s="23" t="str">
        <f>HYPERLINK("https://www.spark-marketing.ru/Card/Person/4764960", "ОАО 179 СУДОРЕМОНТНЫЙ ЗАВОД")</f>
        <v>ОАО 179 СУДОРЕМОНТНЫЙ ЗАВОД</v>
      </c>
      <c r="B10029" s="28" t="s">
        <v>52</v>
      </c>
      <c r="C10029" s="25">
        <v>684105.33</v>
      </c>
      <c r="D10029" s="22" t="s">
        <v>12438</v>
      </c>
      <c r="E10029" s="22" t="s">
        <v>53</v>
      </c>
      <c r="F10029" s="23" t="str">
        <f>HYPERLINK("https://www.spark-marketing.ru/Card/Lot/69720249", "Номер закупки 48/179-2019. на выполнение работ по установки видеонаблюдения")</f>
        <v>Номер закупки 48/179-2019. на выполнение работ по установки видеонаблюдения</v>
      </c>
      <c r="G10029" s="22" t="s">
        <v>52</v>
      </c>
      <c r="H10029" s="22" t="s">
        <v>52</v>
      </c>
      <c r="I10029" s="26">
        <v>43566.1784722222</v>
      </c>
      <c r="J10029" s="28" t="s">
        <v>52</v>
      </c>
      <c r="K10029" s="28" t="s">
        <v>52</v>
      </c>
      <c r="L10029" s="28" t="s">
        <v>52</v>
      </c>
      <c r="M10029" s="28" t="s">
        <v>52</v>
      </c>
      <c r="N10029" s="28" t="s">
        <v>52</v>
      </c>
    </row>
    <row r="10030" spans="1:14" x14ac:dyDescent="0.15">
      <c r="A10030" s="23" t="str">
        <f>HYPERLINK("https://www.spark-marketing.ru/Card/Person/6450322", "ЗАКАЗЧИК РП БЕЛАРУСЬ")</f>
        <v>ЗАКАЗЧИК РП БЕЛАРУСЬ</v>
      </c>
      <c r="B10030" s="28" t="s">
        <v>52</v>
      </c>
      <c r="C10030" s="28" t="s">
        <v>52</v>
      </c>
      <c r="D10030" s="22" t="s">
        <v>12439</v>
      </c>
      <c r="E10030" s="22" t="s">
        <v>53</v>
      </c>
      <c r="F10030" s="23" t="str">
        <f>HYPERLINK("https://www.spark-marketing.ru/Card/Lot/69725821", "Охранная услуга по приему сигналов тревоги систем тревожной сигнализации на объектах университета")</f>
        <v>Охранная услуга по приему сигналов тревоги систем тревожной сигнализации на объектах университета</v>
      </c>
      <c r="G10030" s="22" t="s">
        <v>52</v>
      </c>
      <c r="H10030" s="22" t="s">
        <v>52</v>
      </c>
      <c r="I10030" s="26">
        <v>43566</v>
      </c>
      <c r="J10030" s="28" t="s">
        <v>52</v>
      </c>
      <c r="K10030" s="28" t="s">
        <v>52</v>
      </c>
      <c r="L10030" s="28" t="s">
        <v>52</v>
      </c>
      <c r="M10030" s="28" t="s">
        <v>52</v>
      </c>
      <c r="N10030" s="28" t="s">
        <v>52</v>
      </c>
    </row>
    <row r="10031" spans="1:14" x14ac:dyDescent="0.15">
      <c r="A10031" s="23" t="str">
        <f>HYPERLINK("https://www.spark-marketing.ru/Card/Person/997638", "МБУ ""ЦФКИС ГОРОДА ЛОБНЯ""")</f>
        <v>МБУ "ЦФКИС ГОРОДА ЛОБНЯ"</v>
      </c>
      <c r="B10031" s="24" t="s">
        <v>12440</v>
      </c>
      <c r="C10031" s="25">
        <v>32978.44</v>
      </c>
      <c r="D10031" s="22" t="s">
        <v>12441</v>
      </c>
      <c r="E10031" s="22" t="s">
        <v>59</v>
      </c>
      <c r="F10031" s="23" t="str">
        <f>HYPERLINK("https://www.spark-marketing.ru/Card/Lot/69719315", "Установка тревожной сигнализации на объекте ФОК с выдачей технического заключения")</f>
        <v>Установка тревожной сигнализации на объекте ФОК с выдачей технического заключения</v>
      </c>
      <c r="G10031" s="22" t="s">
        <v>50</v>
      </c>
      <c r="H10031" s="22" t="s">
        <v>2307</v>
      </c>
      <c r="I10031" s="26">
        <v>43565.961087962998</v>
      </c>
      <c r="J10031" s="28" t="s">
        <v>52</v>
      </c>
      <c r="K10031" s="28" t="s">
        <v>52</v>
      </c>
      <c r="L10031" s="28" t="s">
        <v>52</v>
      </c>
      <c r="M10031" s="28" t="s">
        <v>52</v>
      </c>
      <c r="N10031" s="28" t="s">
        <v>52</v>
      </c>
    </row>
    <row r="10032" spans="1:14" x14ac:dyDescent="0.2">
      <c r="A10032" s="23" t="str">
        <f>HYPERLINK("https://www.spark-marketing.ru/Card/Person/11813", "ГКУ ""ЛЕНАВТОДОР""")</f>
        <v>ГКУ "ЛЕНАВТОДОР"</v>
      </c>
      <c r="B10032" s="24" t="s">
        <v>3258</v>
      </c>
      <c r="C10032" s="25">
        <v>302863.5</v>
      </c>
      <c r="D10032" s="22" t="s">
        <v>12442</v>
      </c>
      <c r="E10032" s="22" t="s">
        <v>218</v>
      </c>
      <c r="F10032" s="23" t="str">
        <f>HYPERLINK("https://www.spark-marketing.ru/Card/Lot/69715429", "Осуществление инженерного сопровождения (строительного контроля) по объекту: ""Устройство элементов обустройства автомобильных дорог во Всеволожском районе Ленинградской области по адресу: а/д ""Санкт-Петербург - Морье"" - г. Всеволожск"".")</f>
        <v>Осуществление инженерного сопровождения (строительного контроля) по объекту: "Устройство элементов обустройства автомобильных дорог во Всеволожском районе Ленинградской области по адресу: а/д "Санкт-Петербург - Морье" - г. Всеволожск".</v>
      </c>
      <c r="G10032" s="22" t="s">
        <v>861</v>
      </c>
      <c r="H10032" s="22" t="s">
        <v>9388</v>
      </c>
      <c r="I10032" s="26">
        <v>43565.715972222199</v>
      </c>
      <c r="J10032" s="23" t="str">
        <f>HYPERLINK("https://www.spark-marketing.ru/Card/Person/107067", "ООО ""ДОРМОСТКОНСАЛТ""")</f>
        <v>ООО "ДОРМОСТКОНСАЛТ"</v>
      </c>
      <c r="K10032" s="24" t="s">
        <v>12443</v>
      </c>
      <c r="L10032" s="28" t="s">
        <v>52</v>
      </c>
      <c r="M10032" s="25">
        <v>302863.5</v>
      </c>
      <c r="N10032" s="27">
        <v>0</v>
      </c>
    </row>
    <row r="10033" spans="1:14" x14ac:dyDescent="0.2">
      <c r="A10033" s="23" t="str">
        <f>HYPERLINK("https://www.spark-marketing.ru/Card/Person/11813", "ГКУ ""ЛЕНАВТОДОР""")</f>
        <v>ГКУ "ЛЕНАВТОДОР"</v>
      </c>
      <c r="B10033" s="24" t="s">
        <v>3258</v>
      </c>
      <c r="C10033" s="25">
        <v>703563.52</v>
      </c>
      <c r="D10033" s="22" t="s">
        <v>12444</v>
      </c>
      <c r="E10033" s="22" t="s">
        <v>218</v>
      </c>
      <c r="F10033" s="23" t="str">
        <f>HYPERLINK("https://www.spark-marketing.ru/Card/Lot/69715393", "Осуществление инженерного сопровождения (строительного контроля) по объекту: ""Устройство элементов обустройства автомобильных дорог в Гатчинском районе Ленинградской области (а/д ""Красное Село - Гатчина - Павловск"" дер. Пудомяги, а/д ""Никольское ...")</f>
        <v>Осуществление инженерного сопровождения (строительного контроля) по объекту: "Устройство элементов обустройства автомобильных дорог в Гатчинском районе Ленинградской области (а/д "Красное Село - Гатчина - Павловск" дер. Пудомяги, а/д "Никольское ...</v>
      </c>
      <c r="G10033" s="22" t="s">
        <v>861</v>
      </c>
      <c r="H10033" s="22" t="s">
        <v>9388</v>
      </c>
      <c r="I10033" s="26">
        <v>43565.715972222199</v>
      </c>
      <c r="J10033" s="23" t="str">
        <f>HYPERLINK("https://www.spark-marketing.ru/Card/Person/107067", "ООО ""ДОРМОСТКОНСАЛТ""")</f>
        <v>ООО "ДОРМОСТКОНСАЛТ"</v>
      </c>
      <c r="K10033" s="24" t="s">
        <v>12443</v>
      </c>
      <c r="L10033" s="28" t="s">
        <v>52</v>
      </c>
      <c r="M10033" s="25">
        <v>703563.52</v>
      </c>
      <c r="N10033" s="27">
        <v>0</v>
      </c>
    </row>
    <row r="10034" spans="1:14" x14ac:dyDescent="0.15">
      <c r="A10034" s="23" t="str">
        <f>HYPERLINK("https://www.spark-marketing.ru/Card/Person/6441391", "МКУ МО Г.БАЛАШОВ ""ГОРОДСКОЕ ЖКХ""")</f>
        <v>МКУ МО Г.БАЛАШОВ "ГОРОДСКОЕ ЖКХ"</v>
      </c>
      <c r="B10034" s="24" t="s">
        <v>12445</v>
      </c>
      <c r="C10034" s="25">
        <v>1338405.6000000001</v>
      </c>
      <c r="D10034" s="22" t="s">
        <v>12446</v>
      </c>
      <c r="E10034" s="22" t="s">
        <v>68</v>
      </c>
      <c r="F10034" s="23" t="str">
        <f>HYPERLINK("https://www.spark-marketing.ru/Card/Lot/69703375", "Оказание услуг по государственной охране (физическая охрана) объекта насосно-фильтровальная станция")</f>
        <v>Оказание услуг по государственной охране (физическая охрана) объекта насосно-фильтровальная станция</v>
      </c>
      <c r="G10034" s="22" t="s">
        <v>80</v>
      </c>
      <c r="H10034" s="22" t="s">
        <v>80</v>
      </c>
      <c r="I10034" s="26">
        <v>43565.625</v>
      </c>
      <c r="J10034" s="23" t="str">
        <f>HYPERLINK("https://www.spark-marketing.ru/Card/Person/1474504", "Филиал ФГУП ""Охрана"" Росгвардии по Саратовской области")</f>
        <v>Филиал ФГУП "Охрана" Росгвардии по Саратовской области</v>
      </c>
      <c r="K10034" s="24" t="s">
        <v>779</v>
      </c>
      <c r="L10034" s="22" t="s">
        <v>10</v>
      </c>
      <c r="M10034" s="28" t="s">
        <v>52</v>
      </c>
      <c r="N10034" s="28" t="s">
        <v>52</v>
      </c>
    </row>
    <row r="10035" spans="1:14" x14ac:dyDescent="0.15">
      <c r="A10035" s="23" t="str">
        <f>HYPERLINK("https://www.spark-marketing.ru/Card/Person/666553", "ФГП ВО ЖДТ РОССИИ")</f>
        <v>ФГП ВО ЖДТ РОССИИ</v>
      </c>
      <c r="B10035" s="24" t="s">
        <v>1269</v>
      </c>
      <c r="C10035" s="25">
        <v>41261.879999999997</v>
      </c>
      <c r="D10035" s="22" t="s">
        <v>12447</v>
      </c>
      <c r="E10035" s="22" t="s">
        <v>11836</v>
      </c>
      <c r="F10035" s="23" t="str">
        <f>HYPERLINK("https://www.spark-marketing.ru/Card/Lot/69706360", "Оказание услуг по дератизации и дезинсекции в подразделениях Пензенского отряда филиала Федерального государственного предприятия «Ведомственная охрана железнодорожного транспорта Российской Федерации» на Куйбышевской железной дороге (Рузаевское напр...")</f>
        <v>Оказание услуг по дератизации и дезинсекции в подразделениях Пензенского отряда филиала Федерального государственного предприятия «Ведомственная охрана железнодорожного транспорта Российской Федерации» на Куйбышевской железной дороге (Рузаевское напр...</v>
      </c>
      <c r="G10035" s="22" t="s">
        <v>331</v>
      </c>
      <c r="H10035" s="22" t="s">
        <v>331</v>
      </c>
      <c r="I10035" s="26">
        <v>43565.629895833299</v>
      </c>
      <c r="J10035" s="28" t="s">
        <v>52</v>
      </c>
      <c r="K10035" s="28" t="s">
        <v>52</v>
      </c>
      <c r="L10035" s="28" t="s">
        <v>52</v>
      </c>
      <c r="M10035" s="28" t="s">
        <v>52</v>
      </c>
      <c r="N10035" s="28" t="s">
        <v>52</v>
      </c>
    </row>
    <row r="10036" spans="1:14" x14ac:dyDescent="0.15">
      <c r="A10036" s="23" t="str">
        <f>HYPERLINK("https://www.spark-marketing.ru/Card/Person/1759344", "МКП ""КАЛИНИНГРАД-ГОРТРАНС""")</f>
        <v>МКП "КАЛИНИНГРАД-ГОРТРАНС"</v>
      </c>
      <c r="B10036" s="24" t="s">
        <v>12178</v>
      </c>
      <c r="C10036" s="25">
        <v>998400</v>
      </c>
      <c r="D10036" s="22" t="s">
        <v>12448</v>
      </c>
      <c r="E10036" s="22" t="s">
        <v>2577</v>
      </c>
      <c r="F10036" s="23" t="str">
        <f>HYPERLINK("https://www.spark-marketing.ru/Card/Lot/69712981", "Оказание услуг по обеспечению транспортной безопасности и защите транспортных средств МКП «Калининград-ГорТранс» от актов незаконного вмешательства")</f>
        <v>Оказание услуг по обеспечению транспортной безопасности и защите транспортных средств МКП «Калининград-ГорТранс» от актов незаконного вмешательства</v>
      </c>
      <c r="G10036" s="22" t="s">
        <v>247</v>
      </c>
      <c r="H10036" s="22" t="s">
        <v>576</v>
      </c>
      <c r="I10036" s="26">
        <v>43565.636261574102</v>
      </c>
      <c r="J10036" s="28" t="s">
        <v>52</v>
      </c>
      <c r="K10036" s="28" t="s">
        <v>52</v>
      </c>
      <c r="L10036" s="28" t="s">
        <v>52</v>
      </c>
      <c r="M10036" s="28" t="s">
        <v>52</v>
      </c>
      <c r="N10036" s="28" t="s">
        <v>52</v>
      </c>
    </row>
    <row r="10037" spans="1:14" hidden="1" outlineLevel="1" x14ac:dyDescent="0.2">
      <c r="A10037" s="23" t="str">
        <f>HYPERLINK("https://www.spark-marketing.ru/Card/Person/1759344", "МКП ""КАЛИНИНГРАД-ГОРТРАНС""")</f>
        <v>МКП "КАЛИНИНГРАД-ГОРТРАНС"</v>
      </c>
      <c r="B10037" s="24" t="s">
        <v>12178</v>
      </c>
      <c r="C10037" s="28" t="s">
        <v>52</v>
      </c>
      <c r="D10037" s="22" t="s">
        <v>12448</v>
      </c>
      <c r="E10037" s="22" t="s">
        <v>2577</v>
      </c>
      <c r="F10037" s="23" t="str">
        <f>HYPERLINK("https://www.spark-marketing.ru/Card/Lot/69712981", "Оказание услуг по обеспечению транспортной безопасности и защите транспортных средств МКП «Калининград-ГорТранс» от актов незаконного вмешательства")</f>
        <v>Оказание услуг по обеспечению транспортной безопасности и защите транспортных средств МКП «Калининград-ГорТранс» от актов незаконного вмешательства</v>
      </c>
      <c r="G10037" s="22" t="s">
        <v>247</v>
      </c>
      <c r="H10037" s="22" t="s">
        <v>576</v>
      </c>
      <c r="I10037" s="26">
        <v>43565.636261574102</v>
      </c>
      <c r="J10037" s="23" t="str">
        <f>HYPERLINK("https://www.spark-marketing.ru/Card/Person/6459402", "ООО ""СИСТЕМЫ ТРАНСПОРТНОЙ БЕЗОПАСНОСТИ""")</f>
        <v>ООО "СИСТЕМЫ ТРАНСПОРТНОЙ БЕЗОПАСНОСТИ"</v>
      </c>
      <c r="K10037" s="24" t="s">
        <v>10217</v>
      </c>
      <c r="L10037" s="22" t="s">
        <v>10</v>
      </c>
      <c r="M10037" s="25">
        <v>980000</v>
      </c>
      <c r="N10037" s="27">
        <v>1.842948717948718E-2</v>
      </c>
    </row>
    <row r="10038" spans="1:14" hidden="1" outlineLevel="1" x14ac:dyDescent="0.2">
      <c r="A10038" s="23" t="str">
        <f>HYPERLINK("https://www.spark-marketing.ru/Card/Person/1759344", "МКП ""КАЛИНИНГРАД-ГОРТРАНС""")</f>
        <v>МКП "КАЛИНИНГРАД-ГОРТРАНС"</v>
      </c>
      <c r="B10038" s="24" t="s">
        <v>12178</v>
      </c>
      <c r="C10038" s="28" t="s">
        <v>52</v>
      </c>
      <c r="D10038" s="22" t="s">
        <v>12448</v>
      </c>
      <c r="E10038" s="22" t="s">
        <v>2577</v>
      </c>
      <c r="F10038" s="23" t="str">
        <f>HYPERLINK("https://www.spark-marketing.ru/Card/Lot/69712981", "Оказание услуг по обеспечению транспортной безопасности и защите транспортных средств МКП «Калининград-ГорТранс» от актов незаконного вмешательства")</f>
        <v>Оказание услуг по обеспечению транспортной безопасности и защите транспортных средств МКП «Калининград-ГорТранс» от актов незаконного вмешательства</v>
      </c>
      <c r="G10038" s="22" t="s">
        <v>247</v>
      </c>
      <c r="H10038" s="22" t="s">
        <v>576</v>
      </c>
      <c r="I10038" s="26">
        <v>43565.636261574102</v>
      </c>
      <c r="J10038" s="23" t="str">
        <f>HYPERLINK("https://www.spark-marketing.ru/Card/Person/2038990", "ООО ""СТБ""")</f>
        <v>ООО "СТБ"</v>
      </c>
      <c r="K10038" s="24" t="s">
        <v>2244</v>
      </c>
      <c r="L10038" s="28" t="s">
        <v>52</v>
      </c>
      <c r="M10038" s="25">
        <v>998400</v>
      </c>
      <c r="N10038" s="27">
        <v>0</v>
      </c>
    </row>
    <row r="10039" spans="1:14" x14ac:dyDescent="0.15">
      <c r="A10039" s="23" t="str">
        <f>HYPERLINK("https://www.spark-marketing.ru/Card/Person/745", "УПРАВЛЕНИЕ РОСРЕЕСТРА ПО АЛТАЙСКОМУ КРАЮ")</f>
        <v>УПРАВЛЕНИЕ РОСРЕЕСТРА ПО АЛТАЙСКОМУ КРАЮ</v>
      </c>
      <c r="B10039" s="24" t="s">
        <v>12449</v>
      </c>
      <c r="C10039" s="25">
        <v>2494969.34</v>
      </c>
      <c r="D10039" s="22" t="s">
        <v>12450</v>
      </c>
      <c r="E10039" s="22" t="s">
        <v>68</v>
      </c>
      <c r="F10039" s="23" t="str">
        <f>HYPERLINK("https://www.spark-marketing.ru/Card/Lot/69695144", "Оказание услуг по охране объектов по адресам: г. Барнаул, ул. Молодежная, 68 а, ул. Г. Титова, 9 г, ул. Советская, 16")</f>
        <v>Оказание услуг по охране объектов по адресам: г. Барнаул, ул. Молодежная, 68 а, ул. Г. Титова, 9 г, ул. Советская, 16</v>
      </c>
      <c r="G10039" s="22" t="s">
        <v>428</v>
      </c>
      <c r="H10039" s="22" t="s">
        <v>429</v>
      </c>
      <c r="I10039" s="26">
        <v>43565.599999999999</v>
      </c>
      <c r="J10039" s="28" t="s">
        <v>52</v>
      </c>
      <c r="K10039" s="28" t="s">
        <v>52</v>
      </c>
      <c r="L10039" s="28" t="s">
        <v>52</v>
      </c>
      <c r="M10039" s="28" t="s">
        <v>52</v>
      </c>
      <c r="N10039" s="28" t="s">
        <v>52</v>
      </c>
    </row>
    <row r="10040" spans="1:14" ht="12.75" hidden="1" outlineLevel="1" x14ac:dyDescent="0.2">
      <c r="A10040" s="23" t="str">
        <f>HYPERLINK("https://www.spark-marketing.ru/Card/Person/745", "УПРАВЛЕНИЕ РОСРЕЕСТРА ПО АЛТАЙСКОМУ КРАЮ")</f>
        <v>УПРАВЛЕНИЕ РОСРЕЕСТРА ПО АЛТАЙСКОМУ КРАЮ</v>
      </c>
      <c r="B10040" s="24" t="s">
        <v>12449</v>
      </c>
      <c r="C10040" s="25">
        <v>2494969.34</v>
      </c>
      <c r="D10040" s="22" t="s">
        <v>12450</v>
      </c>
      <c r="E10040" s="22" t="s">
        <v>68</v>
      </c>
      <c r="F10040" s="23" t="str">
        <f>HYPERLINK("https://www.spark-marketing.ru/Card/Lot/69695144", "Оказание услуг по охране объектов по адресам: г. Барнаул, ул. Молодежная, 68 а, ул. Г. Титова, 9 г, ул. Советская, 16")</f>
        <v>Оказание услуг по охране объектов по адресам: г. Барнаул, ул. Молодежная, 68 а, ул. Г. Титова, 9 г, ул. Советская, 16</v>
      </c>
      <c r="G10040" s="22" t="s">
        <v>428</v>
      </c>
      <c r="H10040" s="22" t="s">
        <v>429</v>
      </c>
      <c r="I10040" s="26">
        <v>43565.599999999999</v>
      </c>
      <c r="J10040" s="23" t="str">
        <f>HYPERLINK("https://www.spark-marketing.ru/Card/Person/10487", "ФГУП ""ОХРАНА"" РОСГВАРДИИ")</f>
        <v>ФГУП "ОХРАНА" РОСГВАРДИИ</v>
      </c>
      <c r="K10040" s="24" t="s">
        <v>779</v>
      </c>
      <c r="L10040" s="22" t="s">
        <v>10</v>
      </c>
      <c r="M10040" s="25">
        <v>2482494.4900000002</v>
      </c>
      <c r="N10040" s="27">
        <v>5.0000013226615446E-3</v>
      </c>
    </row>
    <row r="10041" spans="1:14" hidden="1" outlineLevel="1" x14ac:dyDescent="0.2">
      <c r="A10041" s="23" t="str">
        <f>HYPERLINK("https://www.spark-marketing.ru/Card/Person/745", "УПРАВЛЕНИЕ РОСРЕЕСТРА ПО АЛТАЙСКОМУ КРАЮ")</f>
        <v>УПРАВЛЕНИЕ РОСРЕЕСТРА ПО АЛТАЙСКОМУ КРАЮ</v>
      </c>
      <c r="B10041" s="24" t="s">
        <v>12449</v>
      </c>
      <c r="C10041" s="25">
        <v>2494969.34</v>
      </c>
      <c r="D10041" s="22" t="s">
        <v>12450</v>
      </c>
      <c r="E10041" s="22" t="s">
        <v>68</v>
      </c>
      <c r="F10041" s="23" t="str">
        <f>HYPERLINK("https://www.spark-marketing.ru/Card/Lot/69695144", "Оказание услуг по охране объектов по адресам: г. Барнаул, ул. Молодежная, 68 а, ул. Г. Титова, 9 г, ул. Советская, 16")</f>
        <v>Оказание услуг по охране объектов по адресам: г. Барнаул, ул. Молодежная, 68 а, ул. Г. Титова, 9 г, ул. Советская, 16</v>
      </c>
      <c r="G10041" s="22" t="s">
        <v>428</v>
      </c>
      <c r="H10041" s="22" t="s">
        <v>429</v>
      </c>
      <c r="I10041" s="26">
        <v>43565.599999999999</v>
      </c>
      <c r="J10041" s="23" t="str">
        <f>HYPERLINK("https://www.spark-marketing.ru/Card/Person/876466", "ООО ""ЧОП ГРАНИТ""")</f>
        <v>ООО "ЧОП ГРАНИТ"</v>
      </c>
      <c r="K10041" s="24" t="s">
        <v>12451</v>
      </c>
      <c r="L10041" s="28" t="s">
        <v>52</v>
      </c>
      <c r="M10041" s="25">
        <v>2470019.64</v>
      </c>
      <c r="N10041" s="27">
        <v>1.0000002645323089E-2</v>
      </c>
    </row>
    <row r="10042" spans="1:14" x14ac:dyDescent="0.15">
      <c r="A10042" s="23" t="str">
        <f>HYPERLINK("https://www.spark-marketing.ru/Card/Person/1540594", "АО ""ТЕПЛИЧНОЕ""")</f>
        <v>АО "ТЕПЛИЧНОЕ"</v>
      </c>
      <c r="B10042" s="24" t="s">
        <v>12452</v>
      </c>
      <c r="C10042" s="25">
        <v>2575440</v>
      </c>
      <c r="D10042" s="22" t="s">
        <v>12453</v>
      </c>
      <c r="E10042" s="22" t="s">
        <v>5691</v>
      </c>
      <c r="F10042" s="23" t="str">
        <f>HYPERLINK("https://www.spark-marketing.ru/Card/Lot/69701699", "Оказание охранных услуг")</f>
        <v>Оказание охранных услуг</v>
      </c>
      <c r="G10042" s="22" t="s">
        <v>446</v>
      </c>
      <c r="H10042" s="22" t="s">
        <v>446</v>
      </c>
      <c r="I10042" s="26">
        <v>43565.603275463</v>
      </c>
      <c r="J10042" s="28" t="s">
        <v>52</v>
      </c>
      <c r="K10042" s="28" t="s">
        <v>52</v>
      </c>
      <c r="L10042" s="28" t="s">
        <v>52</v>
      </c>
      <c r="M10042" s="28" t="s">
        <v>52</v>
      </c>
      <c r="N10042" s="28" t="s">
        <v>52</v>
      </c>
    </row>
    <row r="10043" spans="1:14" x14ac:dyDescent="0.15">
      <c r="A10043" s="23" t="str">
        <f>HYPERLINK("https://www.spark-marketing.ru/Card/Person/124926", "МБУК ГДК ""ВЕРЕЯ""")</f>
        <v>МБУК ГДК "ВЕРЕЯ"</v>
      </c>
      <c r="B10043" s="24" t="s">
        <v>12454</v>
      </c>
      <c r="C10043" s="25">
        <v>20000</v>
      </c>
      <c r="D10043" s="22" t="s">
        <v>12455</v>
      </c>
      <c r="E10043" s="22" t="s">
        <v>208</v>
      </c>
      <c r="F10043" s="23" t="str">
        <f>HYPERLINK("https://www.spark-marketing.ru/Card/Lot/69699759", "Установка тревожной кнопки")</f>
        <v>Установка тревожной кнопки</v>
      </c>
      <c r="G10043" s="22" t="s">
        <v>50</v>
      </c>
      <c r="H10043" s="22" t="s">
        <v>2430</v>
      </c>
      <c r="I10043" s="26">
        <v>43565.565335648098</v>
      </c>
      <c r="J10043" s="28" t="s">
        <v>52</v>
      </c>
      <c r="K10043" s="28" t="s">
        <v>52</v>
      </c>
      <c r="L10043" s="28" t="s">
        <v>52</v>
      </c>
      <c r="M10043" s="28" t="s">
        <v>52</v>
      </c>
      <c r="N10043" s="28" t="s">
        <v>52</v>
      </c>
    </row>
    <row r="10044" spans="1:14" x14ac:dyDescent="0.2">
      <c r="A10044" s="23" t="str">
        <f>HYPERLINK("https://www.spark-marketing.ru/Card/Person/1761371", "АО ""ТРАНСНЕФТЬ - СЕВЕР""")</f>
        <v>АО "ТРАНСНЕФТЬ - СЕВЕР"</v>
      </c>
      <c r="B10044" s="24" t="s">
        <v>12456</v>
      </c>
      <c r="C10044" s="25">
        <v>500018.46</v>
      </c>
      <c r="D10044" s="22" t="s">
        <v>12457</v>
      </c>
      <c r="E10044" s="22" t="s">
        <v>12458</v>
      </c>
      <c r="F10044" s="23" t="str">
        <f>HYPERLINK("https://www.spark-marketing.ru/Card/Lot/69699238", "Оказание услуг по проверке технического состояния транспортных средств Ухтинского РНУ на предмет их соответствия обязательным требованиям безопасности транспортных средств в г. Ухта")</f>
        <v>Оказание услуг по проверке технического состояния транспортных средств Ухтинского РНУ на предмет их соответствия обязательным требованиям безопасности транспортных средств в г. Ухта</v>
      </c>
      <c r="G10044" s="22" t="s">
        <v>538</v>
      </c>
      <c r="H10044" s="22" t="s">
        <v>4493</v>
      </c>
      <c r="I10044" s="26">
        <v>43565.536539351902</v>
      </c>
      <c r="J10044" s="23" t="str">
        <f>HYPERLINK("https://www.spark-marketing.ru/Card/Person/317146", "ООО ""АВТОКОНТРОЛЬ""")</f>
        <v>ООО "АВТОКОНТРОЛЬ"</v>
      </c>
      <c r="K10044" s="24" t="s">
        <v>12459</v>
      </c>
      <c r="L10044" s="28" t="s">
        <v>52</v>
      </c>
      <c r="M10044" s="25">
        <v>500018.46</v>
      </c>
      <c r="N10044" s="27">
        <v>0</v>
      </c>
    </row>
    <row r="10045" spans="1:14" x14ac:dyDescent="0.15">
      <c r="A10045" s="23" t="str">
        <f t="shared" ref="A10045:A10052" si="469">HYPERLINK("https://www.spark-marketing.ru/Card/Person/1024773", "ГКОУ СО ""ТУРИНСКАЯ ШКОЛА-ИНТЕРНАТ""")</f>
        <v>ГКОУ СО "ТУРИНСКАЯ ШКОЛА-ИНТЕРНАТ"</v>
      </c>
      <c r="B10045" s="24" t="s">
        <v>12460</v>
      </c>
      <c r="C10045" s="25">
        <v>215143</v>
      </c>
      <c r="D10045" s="22" t="s">
        <v>12461</v>
      </c>
      <c r="E10045" s="22" t="s">
        <v>84</v>
      </c>
      <c r="F10045" s="23" t="str">
        <f t="shared" ref="F10045:F10052" si="470">HYPERLINK("https://www.spark-marketing.ru/Card/Lot/69694575", "Выполнение работ по монтажу системы видеонаблюдения")</f>
        <v>Выполнение работ по монтажу системы видеонаблюдения</v>
      </c>
      <c r="G10045" s="22" t="s">
        <v>72</v>
      </c>
      <c r="H10045" s="22" t="s">
        <v>12462</v>
      </c>
      <c r="I10045" s="26">
        <v>43565.516666666699</v>
      </c>
      <c r="J10045" s="28" t="s">
        <v>52</v>
      </c>
      <c r="K10045" s="28" t="s">
        <v>52</v>
      </c>
      <c r="L10045" s="28" t="s">
        <v>52</v>
      </c>
      <c r="M10045" s="28" t="s">
        <v>52</v>
      </c>
      <c r="N10045" s="28" t="s">
        <v>52</v>
      </c>
    </row>
    <row r="10046" spans="1:14" ht="12.75" hidden="1" outlineLevel="1" x14ac:dyDescent="0.2">
      <c r="A10046" s="23" t="str">
        <f t="shared" si="469"/>
        <v>ГКОУ СО "ТУРИНСКАЯ ШКОЛА-ИНТЕРНАТ"</v>
      </c>
      <c r="B10046" s="24" t="s">
        <v>12460</v>
      </c>
      <c r="C10046" s="25">
        <v>215143</v>
      </c>
      <c r="D10046" s="22" t="s">
        <v>12461</v>
      </c>
      <c r="E10046" s="22" t="s">
        <v>84</v>
      </c>
      <c r="F10046" s="23" t="str">
        <f t="shared" si="470"/>
        <v>Выполнение работ по монтажу системы видеонаблюдения</v>
      </c>
      <c r="G10046" s="22" t="s">
        <v>72</v>
      </c>
      <c r="H10046" s="22" t="s">
        <v>12462</v>
      </c>
      <c r="I10046" s="26">
        <v>43565.516666666699</v>
      </c>
      <c r="J10046" s="23" t="str">
        <f>HYPERLINK("https://www.spark-marketing.ru/Card/Person/4408755", "ООО ""ВЕРТИКАЛЬ""")</f>
        <v>ООО "ВЕРТИКАЛЬ"</v>
      </c>
      <c r="K10046" s="24" t="s">
        <v>1210</v>
      </c>
      <c r="L10046" s="22" t="s">
        <v>10</v>
      </c>
      <c r="M10046" s="25">
        <v>98100</v>
      </c>
      <c r="N10046" s="27">
        <v>0.54402420715524091</v>
      </c>
    </row>
    <row r="10047" spans="1:14" hidden="1" outlineLevel="1" x14ac:dyDescent="0.2">
      <c r="A10047" s="23" t="str">
        <f t="shared" si="469"/>
        <v>ГКОУ СО "ТУРИНСКАЯ ШКОЛА-ИНТЕРНАТ"</v>
      </c>
      <c r="B10047" s="24" t="s">
        <v>12460</v>
      </c>
      <c r="C10047" s="25">
        <v>215143</v>
      </c>
      <c r="D10047" s="22" t="s">
        <v>12461</v>
      </c>
      <c r="E10047" s="22" t="s">
        <v>84</v>
      </c>
      <c r="F10047" s="23" t="str">
        <f t="shared" si="470"/>
        <v>Выполнение работ по монтажу системы видеонаблюдения</v>
      </c>
      <c r="G10047" s="22" t="s">
        <v>72</v>
      </c>
      <c r="H10047" s="22" t="s">
        <v>12462</v>
      </c>
      <c r="I10047" s="26">
        <v>43565.516666666699</v>
      </c>
      <c r="J10047" s="23" t="str">
        <f>HYPERLINK("https://www.spark-marketing.ru/Card/Person/539295", "ООО ""ЭДГАРД""")</f>
        <v>ООО "ЭДГАРД"</v>
      </c>
      <c r="K10047" s="24" t="s">
        <v>8790</v>
      </c>
      <c r="L10047" s="28" t="s">
        <v>52</v>
      </c>
      <c r="M10047" s="25">
        <v>190656.11</v>
      </c>
      <c r="N10047" s="27">
        <v>0.11381681021460145</v>
      </c>
    </row>
    <row r="10048" spans="1:14" hidden="1" outlineLevel="1" x14ac:dyDescent="0.2">
      <c r="A10048" s="23" t="str">
        <f t="shared" si="469"/>
        <v>ГКОУ СО "ТУРИНСКАЯ ШКОЛА-ИНТЕРНАТ"</v>
      </c>
      <c r="B10048" s="24" t="s">
        <v>12460</v>
      </c>
      <c r="C10048" s="25">
        <v>215143</v>
      </c>
      <c r="D10048" s="22" t="s">
        <v>12461</v>
      </c>
      <c r="E10048" s="22" t="s">
        <v>84</v>
      </c>
      <c r="F10048" s="23" t="str">
        <f t="shared" si="470"/>
        <v>Выполнение работ по монтажу системы видеонаблюдения</v>
      </c>
      <c r="G10048" s="22" t="s">
        <v>72</v>
      </c>
      <c r="H10048" s="22" t="s">
        <v>12462</v>
      </c>
      <c r="I10048" s="26">
        <v>43565.516666666699</v>
      </c>
      <c r="J10048" s="23" t="str">
        <f>HYPERLINK("https://www.spark-marketing.ru/Card/Person/2576548", "ООО ""ГАРДА""")</f>
        <v>ООО "ГАРДА"</v>
      </c>
      <c r="K10048" s="24" t="s">
        <v>12059</v>
      </c>
      <c r="L10048" s="28" t="s">
        <v>52</v>
      </c>
      <c r="M10048" s="25">
        <v>99224.28</v>
      </c>
      <c r="N10048" s="27">
        <v>0.53879847357339072</v>
      </c>
    </row>
    <row r="10049" spans="1:14" hidden="1" outlineLevel="1" x14ac:dyDescent="0.2">
      <c r="A10049" s="23" t="str">
        <f t="shared" si="469"/>
        <v>ГКОУ СО "ТУРИНСКАЯ ШКОЛА-ИНТЕРНАТ"</v>
      </c>
      <c r="B10049" s="24" t="s">
        <v>12460</v>
      </c>
      <c r="C10049" s="25">
        <v>215143</v>
      </c>
      <c r="D10049" s="22" t="s">
        <v>12461</v>
      </c>
      <c r="E10049" s="22" t="s">
        <v>84</v>
      </c>
      <c r="F10049" s="23" t="str">
        <f t="shared" si="470"/>
        <v>Выполнение работ по монтажу системы видеонаблюдения</v>
      </c>
      <c r="G10049" s="22" t="s">
        <v>72</v>
      </c>
      <c r="H10049" s="22" t="s">
        <v>12462</v>
      </c>
      <c r="I10049" s="26">
        <v>43565.516666666699</v>
      </c>
      <c r="J10049" s="23" t="str">
        <f>HYPERLINK("https://www.spark-marketing.ru/Card/Person/6236196", "ООО ""ВИДЕОСЕРВИС""")</f>
        <v>ООО "ВИДЕОСЕРВИС"</v>
      </c>
      <c r="K10049" s="24" t="s">
        <v>7810</v>
      </c>
      <c r="L10049" s="28" t="s">
        <v>52</v>
      </c>
      <c r="M10049" s="25">
        <v>116495.28</v>
      </c>
      <c r="N10049" s="27">
        <v>0.45852163444778588</v>
      </c>
    </row>
    <row r="10050" spans="1:14" hidden="1" outlineLevel="1" x14ac:dyDescent="0.2">
      <c r="A10050" s="23" t="str">
        <f t="shared" si="469"/>
        <v>ГКОУ СО "ТУРИНСКАЯ ШКОЛА-ИНТЕРНАТ"</v>
      </c>
      <c r="B10050" s="24" t="s">
        <v>12460</v>
      </c>
      <c r="C10050" s="25">
        <v>215143</v>
      </c>
      <c r="D10050" s="22" t="s">
        <v>12461</v>
      </c>
      <c r="E10050" s="22" t="s">
        <v>84</v>
      </c>
      <c r="F10050" s="23" t="str">
        <f t="shared" si="470"/>
        <v>Выполнение работ по монтажу системы видеонаблюдения</v>
      </c>
      <c r="G10050" s="22" t="s">
        <v>72</v>
      </c>
      <c r="H10050" s="22" t="s">
        <v>12462</v>
      </c>
      <c r="I10050" s="26">
        <v>43565.516666666699</v>
      </c>
      <c r="J10050" s="23" t="str">
        <f>HYPERLINK("https://www.spark-marketing.ru/Card/Person/850561", "ООО ""АСКОН""")</f>
        <v>ООО "АСКОН"</v>
      </c>
      <c r="K10050" s="24" t="s">
        <v>1266</v>
      </c>
      <c r="L10050" s="28" t="s">
        <v>52</v>
      </c>
      <c r="M10050" s="25">
        <v>205461.52</v>
      </c>
      <c r="N10050" s="27">
        <v>4.5000209163207724E-2</v>
      </c>
    </row>
    <row r="10051" spans="1:14" hidden="1" outlineLevel="1" x14ac:dyDescent="0.2">
      <c r="A10051" s="23" t="str">
        <f t="shared" si="469"/>
        <v>ГКОУ СО "ТУРИНСКАЯ ШКОЛА-ИНТЕРНАТ"</v>
      </c>
      <c r="B10051" s="24" t="s">
        <v>12460</v>
      </c>
      <c r="C10051" s="25">
        <v>215143</v>
      </c>
      <c r="D10051" s="22" t="s">
        <v>12461</v>
      </c>
      <c r="E10051" s="22" t="s">
        <v>84</v>
      </c>
      <c r="F10051" s="23" t="str">
        <f t="shared" si="470"/>
        <v>Выполнение работ по монтажу системы видеонаблюдения</v>
      </c>
      <c r="G10051" s="22" t="s">
        <v>72</v>
      </c>
      <c r="H10051" s="22" t="s">
        <v>12462</v>
      </c>
      <c r="I10051" s="26">
        <v>43565.516666666699</v>
      </c>
      <c r="J10051" s="23" t="str">
        <f>HYPERLINK("https://www.spark-marketing.ru/Card/Person/5853123", "Ершов Андрей Алексеевич")</f>
        <v>Ершов Андрей Алексеевич</v>
      </c>
      <c r="K10051" s="24" t="s">
        <v>1063</v>
      </c>
      <c r="L10051" s="28" t="s">
        <v>52</v>
      </c>
      <c r="M10051" s="25">
        <v>122949.6</v>
      </c>
      <c r="N10051" s="27">
        <v>0.4285214950056474</v>
      </c>
    </row>
    <row r="10052" spans="1:14" hidden="1" outlineLevel="1" x14ac:dyDescent="0.2">
      <c r="A10052" s="23" t="str">
        <f t="shared" si="469"/>
        <v>ГКОУ СО "ТУРИНСКАЯ ШКОЛА-ИНТЕРНАТ"</v>
      </c>
      <c r="B10052" s="24" t="s">
        <v>12460</v>
      </c>
      <c r="C10052" s="25">
        <v>215143</v>
      </c>
      <c r="D10052" s="22" t="s">
        <v>12461</v>
      </c>
      <c r="E10052" s="22" t="s">
        <v>84</v>
      </c>
      <c r="F10052" s="23" t="str">
        <f t="shared" si="470"/>
        <v>Выполнение работ по монтажу системы видеонаблюдения</v>
      </c>
      <c r="G10052" s="22" t="s">
        <v>72</v>
      </c>
      <c r="H10052" s="22" t="s">
        <v>12462</v>
      </c>
      <c r="I10052" s="26">
        <v>43565.516666666699</v>
      </c>
      <c r="J10052" s="23" t="str">
        <f>HYPERLINK("https://www.spark-marketing.ru/Card/Person/6447599", "ООО ""ДИСКОНТ""")</f>
        <v>ООО "ДИСКОНТ"</v>
      </c>
      <c r="K10052" s="24" t="s">
        <v>8568</v>
      </c>
      <c r="L10052" s="28" t="s">
        <v>52</v>
      </c>
      <c r="M10052" s="25">
        <v>118000</v>
      </c>
      <c r="N10052" s="27">
        <v>0.45152758862709919</v>
      </c>
    </row>
    <row r="10053" spans="1:14" x14ac:dyDescent="0.15">
      <c r="A10053" s="23" t="str">
        <f>HYPERLINK("https://www.spark-marketing.ru/Card/Person/123649", "МБОУ СОШ №2 ИМ. В.В. ДАГАЕВА")</f>
        <v>МБОУ СОШ №2 ИМ. В.В. ДАГАЕВА</v>
      </c>
      <c r="B10053" s="24" t="s">
        <v>235</v>
      </c>
      <c r="C10053" s="25">
        <v>84000</v>
      </c>
      <c r="D10053" s="22" t="s">
        <v>12463</v>
      </c>
      <c r="E10053" s="22" t="s">
        <v>234</v>
      </c>
      <c r="F10053" s="23" t="str">
        <f>HYPERLINK("https://www.spark-marketing.ru/Card/Lot/69697308", "Поставка и установка камер видеонаблюдения для ЕГЭ")</f>
        <v>Поставка и установка камер видеонаблюдения для ЕГЭ</v>
      </c>
      <c r="G10053" s="22" t="s">
        <v>50</v>
      </c>
      <c r="H10053" s="22" t="s">
        <v>50</v>
      </c>
      <c r="I10053" s="26">
        <v>43565.523958333302</v>
      </c>
      <c r="J10053" s="28" t="s">
        <v>52</v>
      </c>
      <c r="K10053" s="28" t="s">
        <v>52</v>
      </c>
      <c r="L10053" s="28" t="s">
        <v>52</v>
      </c>
      <c r="M10053" s="28" t="s">
        <v>52</v>
      </c>
      <c r="N10053" s="28" t="s">
        <v>52</v>
      </c>
    </row>
    <row r="10054" spans="1:14" x14ac:dyDescent="0.15">
      <c r="A10054" s="23" t="str">
        <f>HYPERLINK("https://www.spark-marketing.ru/Card/Person/1016910", "БОУ ДО ""ДХШ № 3 ИМ. Е.В. ГУРОВА"" Г. ОМСКА")</f>
        <v>БОУ ДО "ДХШ № 3 ИМ. Е.В. ГУРОВА" Г. ОМСКА</v>
      </c>
      <c r="B10054" s="24" t="s">
        <v>12464</v>
      </c>
      <c r="C10054" s="25">
        <v>23736</v>
      </c>
      <c r="D10054" s="22" t="s">
        <v>12465</v>
      </c>
      <c r="E10054" s="22" t="s">
        <v>68</v>
      </c>
      <c r="F10054" s="23" t="str">
        <f>HYPERLINK("https://www.spark-marketing.ru/Card/Lot/69695160", "Оказание услуг по охране имущества.")</f>
        <v>Оказание услуг по охране имущества.</v>
      </c>
      <c r="G10054" s="22" t="s">
        <v>521</v>
      </c>
      <c r="H10054" s="22" t="s">
        <v>522</v>
      </c>
      <c r="I10054" s="26">
        <v>43565.462500000001</v>
      </c>
      <c r="J10054" s="28" t="s">
        <v>52</v>
      </c>
      <c r="K10054" s="28" t="s">
        <v>52</v>
      </c>
      <c r="L10054" s="28" t="s">
        <v>52</v>
      </c>
      <c r="M10054" s="28" t="s">
        <v>52</v>
      </c>
      <c r="N10054" s="28" t="s">
        <v>52</v>
      </c>
    </row>
    <row r="10055" spans="1:14" ht="12.75" x14ac:dyDescent="0.2">
      <c r="A10055" s="23" t="str">
        <f>HYPERLINK("https://www.spark-marketing.ru/Card/Person/282232", "ПАО ""МАВ""")</f>
        <v>ПАО "МАВ"</v>
      </c>
      <c r="B10055" s="24" t="s">
        <v>12466</v>
      </c>
      <c r="C10055" s="25">
        <v>245544.23</v>
      </c>
      <c r="D10055" s="22" t="s">
        <v>12467</v>
      </c>
      <c r="E10055" s="22" t="s">
        <v>533</v>
      </c>
      <c r="F10055" s="23" t="str">
        <f>HYPERLINK("https://www.spark-marketing.ru/Card/Lot/69693266", "Оборудование для обслуживания технических средств сигнализации")</f>
        <v>Оборудование для обслуживания технических средств сигнализации</v>
      </c>
      <c r="G10055" s="22" t="s">
        <v>343</v>
      </c>
      <c r="H10055" s="22" t="s">
        <v>344</v>
      </c>
      <c r="I10055" s="26">
        <v>43565.470405092601</v>
      </c>
      <c r="J10055" s="23" t="str">
        <f>HYPERLINK("https://www.spark-marketing.ru/Card/Person/4353804", "ООО ""ВЭЛКОМ-СИБИРЬ СЕРВИС""")</f>
        <v>ООО "ВЭЛКОМ-СИБИРЬ СЕРВИС"</v>
      </c>
      <c r="K10055" s="24" t="s">
        <v>12468</v>
      </c>
      <c r="L10055" s="22" t="s">
        <v>10</v>
      </c>
      <c r="M10055" s="25">
        <v>237560</v>
      </c>
      <c r="N10055" s="27">
        <v>3.251646353082701E-2</v>
      </c>
    </row>
    <row r="10056" spans="1:14" x14ac:dyDescent="0.15">
      <c r="A10056" s="23" t="str">
        <f>HYPERLINK("https://www.spark-marketing.ru/Card/Person/13408", "ГБУЗ НАО ""НЕНЕЦКАЯ ОКРУЖНАЯ БОЛЬНИЦА"", ГБУЗ НАО ""НОБ""")</f>
        <v>ГБУЗ НАО "НЕНЕЦКАЯ ОКРУЖНАЯ БОЛЬНИЦА", ГБУЗ НАО "НОБ"</v>
      </c>
      <c r="B10056" s="24" t="s">
        <v>12469</v>
      </c>
      <c r="C10056" s="25">
        <v>75600</v>
      </c>
      <c r="D10056" s="22" t="s">
        <v>12470</v>
      </c>
      <c r="E10056" s="22" t="s">
        <v>298</v>
      </c>
      <c r="F10056" s="23" t="str">
        <f>HYPERLINK("https://www.spark-marketing.ru/Card/Lot/69698728", "Оказание услуг по сопровождению объектов мониторинга в системе мониторинга транспорта ""ПИЛОТ""")</f>
        <v>Оказание услуг по сопровождению объектов мониторинга в системе мониторинга транспорта "ПИЛОТ"</v>
      </c>
      <c r="G10056" s="22" t="s">
        <v>1014</v>
      </c>
      <c r="H10056" s="22" t="s">
        <v>1015</v>
      </c>
      <c r="I10056" s="26">
        <v>43565.494444444397</v>
      </c>
      <c r="J10056" s="23" t="str">
        <f>HYPERLINK("https://www.spark-marketing.ru/Card/Person/4858781", "Рябчий Дмитрий Сергеевич")</f>
        <v>Рябчий Дмитрий Сергеевич</v>
      </c>
      <c r="K10056" s="24" t="s">
        <v>12471</v>
      </c>
      <c r="L10056" s="22" t="s">
        <v>10</v>
      </c>
      <c r="M10056" s="28" t="s">
        <v>52</v>
      </c>
      <c r="N10056" s="28" t="s">
        <v>52</v>
      </c>
    </row>
    <row r="10057" spans="1:14" x14ac:dyDescent="0.15">
      <c r="A10057" s="23" t="str">
        <f>HYPERLINK("https://www.spark-marketing.ru/Card/Person/94188", "МБДОУ ДЕТСКИЙ САД №22 ""ЦВЕТИК-СЕМИЦВЕТИК"" ОБЩЕРАЗВИВАЮЩЕГО ВИДА ГОЩ")</f>
        <v>МБДОУ ДЕТСКИЙ САД №22 "ЦВЕТИК-СЕМИЦВЕТИК" ОБЩЕРАЗВИВАЮЩЕГО ВИДА ГОЩ</v>
      </c>
      <c r="B10057" s="24" t="s">
        <v>12472</v>
      </c>
      <c r="C10057" s="25">
        <v>19800</v>
      </c>
      <c r="D10057" s="22" t="s">
        <v>12473</v>
      </c>
      <c r="E10057" s="22" t="s">
        <v>294</v>
      </c>
      <c r="F10057" s="23" t="str">
        <f>HYPERLINK("https://www.spark-marketing.ru/Card/Lot/69693857", "Оказание услуг по техническому обслуживанию аудио-видео домофонного оборудования")</f>
        <v>Оказание услуг по техническому обслуживанию аудио-видео домофонного оборудования</v>
      </c>
      <c r="G10057" s="22" t="s">
        <v>50</v>
      </c>
      <c r="H10057" s="22" t="s">
        <v>458</v>
      </c>
      <c r="I10057" s="26">
        <v>43565.4718055556</v>
      </c>
      <c r="J10057" s="28" t="s">
        <v>52</v>
      </c>
      <c r="K10057" s="28" t="s">
        <v>52</v>
      </c>
      <c r="L10057" s="28" t="s">
        <v>52</v>
      </c>
      <c r="M10057" s="28" t="s">
        <v>52</v>
      </c>
      <c r="N10057" s="28" t="s">
        <v>52</v>
      </c>
    </row>
    <row r="10058" spans="1:14" x14ac:dyDescent="0.15">
      <c r="A10058" s="23" t="str">
        <f>HYPERLINK("https://www.spark-marketing.ru/Card/Person/18223", "УТ МВД РОССИИ ПО СФО")</f>
        <v>УТ МВД РОССИИ ПО СФО</v>
      </c>
      <c r="B10058" s="24" t="s">
        <v>12474</v>
      </c>
      <c r="C10058" s="25">
        <v>1200</v>
      </c>
      <c r="D10058" s="22" t="s">
        <v>12475</v>
      </c>
      <c r="E10058" s="22" t="s">
        <v>53</v>
      </c>
      <c r="F10058" s="23" t="str">
        <f>HYPERLINK("https://www.spark-marketing.ru/Card/Lot/70778470", "Услуги по экстренному вызову вневедомственной охраны на объект, в случае срабатывания средств тревожной сигнализации")</f>
        <v>Услуги по экстренному вызову вневедомственной охраны на объект, в случае срабатывания средств тревожной сигнализации</v>
      </c>
      <c r="G10058" s="22" t="s">
        <v>209</v>
      </c>
      <c r="H10058" s="22" t="s">
        <v>210</v>
      </c>
      <c r="I10058" s="26">
        <v>43565.481817129599</v>
      </c>
      <c r="J10058" s="28" t="s">
        <v>52</v>
      </c>
      <c r="K10058" s="28" t="s">
        <v>52</v>
      </c>
      <c r="L10058" s="28" t="s">
        <v>52</v>
      </c>
      <c r="M10058" s="28" t="s">
        <v>52</v>
      </c>
      <c r="N10058" s="28" t="s">
        <v>52</v>
      </c>
    </row>
    <row r="10059" spans="1:14" x14ac:dyDescent="0.15">
      <c r="A10059" s="23" t="str">
        <f>HYPERLINK("https://www.spark-marketing.ru/Card/Person/48769", "МБОУ ""БСОШ ИМ. СЕМЕНА ДАНИЛОВА""")</f>
        <v>МБОУ "БСОШ ИМ. СЕМЕНА ДАНИЛОВА"</v>
      </c>
      <c r="B10059" s="24" t="s">
        <v>12476</v>
      </c>
      <c r="C10059" s="25">
        <v>88020</v>
      </c>
      <c r="D10059" s="22" t="s">
        <v>12477</v>
      </c>
      <c r="E10059" s="22" t="s">
        <v>52</v>
      </c>
      <c r="F10059" s="23" t="str">
        <f>HYPERLINK("https://www.spark-marketing.ru/Card/Lot/69686022", "Оказание услуг по организации и обеспечению охраны объекта и (или) имущества, а также обеспечение внутриобъектового и пропускного режима на объекте для МБОУ «Бердигестяхская СОШ им. С.П. Данилова» МР «Горный улус» РС (Я)")</f>
        <v>Оказание услуг по организации и обеспечению охраны объекта и (или) имущества, а также обеспечение внутриобъектового и пропускного режима на объекте для МБОУ «Бердигестяхская СОШ им. С.П. Данилова» МР «Горный улус» РС (Я)</v>
      </c>
      <c r="G10059" s="22" t="s">
        <v>424</v>
      </c>
      <c r="H10059" s="22" t="s">
        <v>12478</v>
      </c>
      <c r="I10059" s="26">
        <v>43565.484722222202</v>
      </c>
      <c r="J10059" s="23" t="str">
        <f>HYPERLINK("https://www.spark-marketing.ru/Card/Person/2588873", "ООО ЧОП ""ЯГУАР НОРД""")</f>
        <v>ООО ЧОП "ЯГУАР НОРД"</v>
      </c>
      <c r="K10059" s="24" t="s">
        <v>7980</v>
      </c>
      <c r="L10059" s="22" t="s">
        <v>10</v>
      </c>
      <c r="M10059" s="28" t="s">
        <v>52</v>
      </c>
      <c r="N10059" s="28" t="s">
        <v>52</v>
      </c>
    </row>
    <row r="10060" spans="1:14" ht="12.75" x14ac:dyDescent="0.2">
      <c r="A10060" s="23" t="str">
        <f>HYPERLINK("https://www.spark-marketing.ru/Card/Person/95245", "ОАО ""РЖД""")</f>
        <v>ОАО "РЖД"</v>
      </c>
      <c r="B10060" s="24" t="s">
        <v>163</v>
      </c>
      <c r="C10060" s="25">
        <v>541069.06000000006</v>
      </c>
      <c r="D10060" s="22" t="s">
        <v>12479</v>
      </c>
      <c r="E10060" s="22" t="s">
        <v>370</v>
      </c>
      <c r="F10060" s="23" t="str">
        <f>HYPERLINK("https://www.spark-marketing.ru/Card/Lot/69695183", "На право заключения договора оказания услуг по техническому обслуживанию технических средств защищенности (видеодомофонов и домофонов) (Вологодская дистанция гражданских сооружений)")</f>
        <v>На право заключения договора оказания услуг по техническому обслуживанию технических средств защищенности (видеодомофонов и домофонов) (Вологодская дистанция гражданских сооружений)</v>
      </c>
      <c r="G10060" s="22" t="s">
        <v>1104</v>
      </c>
      <c r="H10060" s="22" t="s">
        <v>1104</v>
      </c>
      <c r="I10060" s="26">
        <v>43565.454733796301</v>
      </c>
      <c r="J10060" s="23" t="str">
        <f>HYPERLINK("https://www.spark-marketing.ru/Card/Person/6238166", "ООО ""ЖЕЛДОРТРАНССЕРВИС""")</f>
        <v>ООО "ЖЕЛДОРТРАНССЕРВИС"</v>
      </c>
      <c r="K10060" s="24" t="s">
        <v>12480</v>
      </c>
      <c r="L10060" s="22" t="s">
        <v>10</v>
      </c>
      <c r="M10060" s="25">
        <v>429000</v>
      </c>
      <c r="N10060" s="27">
        <v>0.20712524201624097</v>
      </c>
    </row>
    <row r="10061" spans="1:14" ht="12.75" x14ac:dyDescent="0.2">
      <c r="A10061" s="23" t="str">
        <f>HYPERLINK("https://www.spark-marketing.ru/Card/Person/104360", "АДМИНИСТРАЦИЯ ГОРОДА ЖЕЛЕЗНОГОРСКА")</f>
        <v>АДМИНИСТРАЦИЯ ГОРОДА ЖЕЛЕЗНОГОРСКА</v>
      </c>
      <c r="B10061" s="24" t="s">
        <v>12481</v>
      </c>
      <c r="C10061" s="25">
        <v>16800</v>
      </c>
      <c r="D10061" s="22" t="s">
        <v>12482</v>
      </c>
      <c r="E10061" s="22" t="s">
        <v>103</v>
      </c>
      <c r="F10061" s="23" t="str">
        <f>HYPERLINK("https://www.spark-marketing.ru/Card/Lot/69697822", "Техническое и сервисное обслуживание охранной системы видеонаблюдения")</f>
        <v>Техническое и сервисное обслуживание охранной системы видеонаблюдения</v>
      </c>
      <c r="G10061" s="22" t="s">
        <v>3128</v>
      </c>
      <c r="H10061" s="22" t="s">
        <v>4700</v>
      </c>
      <c r="I10061" s="26">
        <v>43565.445138888899</v>
      </c>
      <c r="J10061" s="23" t="str">
        <f>HYPERLINK("https://www.spark-marketing.ru/Card/Person/413300", "Кононов Юрий Иванович")</f>
        <v>Кононов Юрий Иванович</v>
      </c>
      <c r="K10061" s="24" t="s">
        <v>12483</v>
      </c>
      <c r="L10061" s="22" t="s">
        <v>10</v>
      </c>
      <c r="M10061" s="25">
        <v>16800</v>
      </c>
      <c r="N10061" s="27">
        <v>0</v>
      </c>
    </row>
    <row r="10062" spans="1:14" x14ac:dyDescent="0.15">
      <c r="A10062" s="23" t="str">
        <f>HYPERLINK("https://www.spark-marketing.ru/Card/Person/4348624", "АО ""АЭХК""")</f>
        <v>АО "АЭХК"</v>
      </c>
      <c r="B10062" s="24" t="s">
        <v>8741</v>
      </c>
      <c r="C10062" s="28" t="s">
        <v>52</v>
      </c>
      <c r="D10062" s="22" t="s">
        <v>12484</v>
      </c>
      <c r="E10062" s="22" t="s">
        <v>53</v>
      </c>
      <c r="F10062" s="23" t="str">
        <f>HYPERLINK("https://www.spark-marketing.ru/Card/Lot/69698107", "Круглосуточная вооружённая физическая охрана объекта: здание АТС квартал 206, здание бытовых помещений АТС-4 квартал 206 (1229391)")</f>
        <v>Круглосуточная вооружённая физическая охрана объекта: здание АТС квартал 206, здание бытовых помещений АТС-4 квартал 206 (1229391)</v>
      </c>
      <c r="G10062" s="22" t="s">
        <v>281</v>
      </c>
      <c r="H10062" s="22" t="s">
        <v>2890</v>
      </c>
      <c r="I10062" s="26">
        <v>43565.454872685201</v>
      </c>
      <c r="J10062" s="28" t="s">
        <v>52</v>
      </c>
      <c r="K10062" s="28" t="s">
        <v>52</v>
      </c>
      <c r="L10062" s="28" t="s">
        <v>52</v>
      </c>
      <c r="M10062" s="28" t="s">
        <v>52</v>
      </c>
      <c r="N10062" s="28" t="s">
        <v>52</v>
      </c>
    </row>
    <row r="10063" spans="1:14" x14ac:dyDescent="0.15">
      <c r="A10063" s="23" t="str">
        <f>HYPERLINK("https://www.spark-marketing.ru/Card/Person/13096", "АДМИНИСТРАЦИЯ ГОРОДСКОГО ОКРУГА ЛЮБЕРЦЫ")</f>
        <v>АДМИНИСТРАЦИЯ ГОРОДСКОГО ОКРУГА ЛЮБЕРЦЫ</v>
      </c>
      <c r="B10063" s="24" t="s">
        <v>12485</v>
      </c>
      <c r="C10063" s="25">
        <v>4665600</v>
      </c>
      <c r="D10063" s="22" t="s">
        <v>12486</v>
      </c>
      <c r="E10063" s="22" t="s">
        <v>107</v>
      </c>
      <c r="F10063" s="23" t="str">
        <f>HYPERLINK("https://www.spark-marketing.ru/Card/Lot/69694633", "Оказание услуг по техническому обслуживанию систем видеонаблюдения на территории городского округа Люберцы")</f>
        <v>Оказание услуг по техническому обслуживанию систем видеонаблюдения на территории городского округа Люберцы</v>
      </c>
      <c r="G10063" s="22" t="s">
        <v>50</v>
      </c>
      <c r="H10063" s="22" t="s">
        <v>5291</v>
      </c>
      <c r="I10063" s="26">
        <v>43565.434027777803</v>
      </c>
      <c r="J10063" s="28" t="s">
        <v>52</v>
      </c>
      <c r="K10063" s="28" t="s">
        <v>52</v>
      </c>
      <c r="L10063" s="28" t="s">
        <v>52</v>
      </c>
      <c r="M10063" s="28" t="s">
        <v>52</v>
      </c>
      <c r="N10063" s="28" t="s">
        <v>52</v>
      </c>
    </row>
    <row r="10064" spans="1:14" ht="12.75" hidden="1" outlineLevel="1" x14ac:dyDescent="0.2">
      <c r="A10064" s="23" t="str">
        <f>HYPERLINK("https://www.spark-marketing.ru/Card/Person/13096", "АДМИНИСТРАЦИЯ ГОРОДСКОГО ОКРУГА ЛЮБЕРЦЫ")</f>
        <v>АДМИНИСТРАЦИЯ ГОРОДСКОГО ОКРУГА ЛЮБЕРЦЫ</v>
      </c>
      <c r="B10064" s="24" t="s">
        <v>12485</v>
      </c>
      <c r="C10064" s="25">
        <v>4665600</v>
      </c>
      <c r="D10064" s="22" t="s">
        <v>12486</v>
      </c>
      <c r="E10064" s="22" t="s">
        <v>107</v>
      </c>
      <c r="F10064" s="23" t="str">
        <f>HYPERLINK("https://www.spark-marketing.ru/Card/Lot/69694633", "Оказание услуг по техническому обслуживанию систем видеонаблюдения на территории городского округа Люберцы")</f>
        <v>Оказание услуг по техническому обслуживанию систем видеонаблюдения на территории городского округа Люберцы</v>
      </c>
      <c r="G10064" s="22" t="s">
        <v>50</v>
      </c>
      <c r="H10064" s="22" t="s">
        <v>5291</v>
      </c>
      <c r="I10064" s="26">
        <v>43565.434027777803</v>
      </c>
      <c r="J10064" s="23" t="str">
        <f>HYPERLINK("https://www.spark-marketing.ru/Card/Person/133395", "ООО ""ССП""")</f>
        <v>ООО "ССП"</v>
      </c>
      <c r="K10064" s="24" t="s">
        <v>12487</v>
      </c>
      <c r="L10064" s="22" t="s">
        <v>10</v>
      </c>
      <c r="M10064" s="25">
        <v>3499200</v>
      </c>
      <c r="N10064" s="27">
        <v>0.25</v>
      </c>
    </row>
    <row r="10065" spans="1:14" hidden="1" outlineLevel="1" x14ac:dyDescent="0.2">
      <c r="A10065" s="23" t="str">
        <f>HYPERLINK("https://www.spark-marketing.ru/Card/Person/13096", "АДМИНИСТРАЦИЯ ГОРОДСКОГО ОКРУГА ЛЮБЕРЦЫ")</f>
        <v>АДМИНИСТРАЦИЯ ГОРОДСКОГО ОКРУГА ЛЮБЕРЦЫ</v>
      </c>
      <c r="B10065" s="24" t="s">
        <v>12485</v>
      </c>
      <c r="C10065" s="25">
        <v>4665600</v>
      </c>
      <c r="D10065" s="22" t="s">
        <v>12486</v>
      </c>
      <c r="E10065" s="22" t="s">
        <v>107</v>
      </c>
      <c r="F10065" s="23" t="str">
        <f>HYPERLINK("https://www.spark-marketing.ru/Card/Lot/69694633", "Оказание услуг по техническому обслуживанию систем видеонаблюдения на территории городского округа Люберцы")</f>
        <v>Оказание услуг по техническому обслуживанию систем видеонаблюдения на территории городского округа Люберцы</v>
      </c>
      <c r="G10065" s="22" t="s">
        <v>50</v>
      </c>
      <c r="H10065" s="22" t="s">
        <v>5291</v>
      </c>
      <c r="I10065" s="26">
        <v>43565.434027777803</v>
      </c>
      <c r="J10065" s="23" t="str">
        <f>HYPERLINK("https://www.spark-marketing.ru/Card/Person/5906298", "ООО ""ПРОФМЕХАНИКА""")</f>
        <v>ООО "ПРОФМЕХАНИКА"</v>
      </c>
      <c r="K10065" s="24" t="s">
        <v>10573</v>
      </c>
      <c r="L10065" s="28" t="s">
        <v>52</v>
      </c>
      <c r="M10065" s="25">
        <v>3522528</v>
      </c>
      <c r="N10065" s="27">
        <v>0.245</v>
      </c>
    </row>
    <row r="10066" spans="1:14" x14ac:dyDescent="0.15">
      <c r="A10066" s="23" t="str">
        <f>HYPERLINK("https://www.spark-marketing.ru/Card/Person/4348624", "АО ""АЭХК""")</f>
        <v>АО "АЭХК"</v>
      </c>
      <c r="B10066" s="24" t="s">
        <v>8741</v>
      </c>
      <c r="C10066" s="25">
        <v>0</v>
      </c>
      <c r="D10066" s="22" t="s">
        <v>12488</v>
      </c>
      <c r="E10066" s="22" t="s">
        <v>53</v>
      </c>
      <c r="F10066" s="23" t="str">
        <f>HYPERLINK("https://www.spark-marketing.ru/Card/Lot/69691356", "мониторинг цен в электронной форме на Круглосуточная вооружённая физическая охрана объекта: здание АТС квартал 206, здание бытовых помещений АТС-4 квартал 206")</f>
        <v>мониторинг цен в электронной форме на Круглосуточная вооружённая физическая охрана объекта: здание АТС квартал 206, здание бытовых помещений АТС-4 квартал 206</v>
      </c>
      <c r="G10066" s="22" t="s">
        <v>281</v>
      </c>
      <c r="H10066" s="22" t="s">
        <v>2890</v>
      </c>
      <c r="I10066" s="26">
        <v>43565.381747685198</v>
      </c>
      <c r="J10066" s="28" t="s">
        <v>52</v>
      </c>
      <c r="K10066" s="28" t="s">
        <v>52</v>
      </c>
      <c r="L10066" s="28" t="s">
        <v>52</v>
      </c>
      <c r="M10066" s="28" t="s">
        <v>52</v>
      </c>
      <c r="N10066" s="28" t="s">
        <v>52</v>
      </c>
    </row>
    <row r="10067" spans="1:14" x14ac:dyDescent="0.15">
      <c r="A10067" s="23" t="str">
        <f>HYPERLINK("https://www.spark-marketing.ru/Card/Person/4413396", "АО ""НК НПЗ""")</f>
        <v>АО "НК НПЗ"</v>
      </c>
      <c r="B10067" s="24" t="s">
        <v>12489</v>
      </c>
      <c r="C10067" s="25">
        <v>3866316</v>
      </c>
      <c r="D10067" s="22" t="s">
        <v>12490</v>
      </c>
      <c r="E10067" s="22" t="s">
        <v>53</v>
      </c>
      <c r="F10067" s="23" t="str">
        <f>HYPERLINK("https://www.spark-marketing.ru/Card/Lot/69691488", "Оснащение транспортной инфраструктуры АО НК НПЗ инженерно-техническимисредствами охраны (причальное сооружение, речной транспорт). Техническоеперевооружение.")</f>
        <v>Оснащение транспортной инфраструктуры АО НК НПЗ инженерно-техническимисредствами охраны (причальное сооружение, речной транспорт). Техническоеперевооружение.</v>
      </c>
      <c r="G10067" s="22" t="s">
        <v>760</v>
      </c>
      <c r="H10067" s="22" t="s">
        <v>12491</v>
      </c>
      <c r="I10067" s="26">
        <v>43564.683333333298</v>
      </c>
      <c r="J10067" s="28" t="s">
        <v>52</v>
      </c>
      <c r="K10067" s="28" t="s">
        <v>52</v>
      </c>
      <c r="L10067" s="28" t="s">
        <v>52</v>
      </c>
      <c r="M10067" s="28" t="s">
        <v>52</v>
      </c>
      <c r="N10067" s="28" t="s">
        <v>52</v>
      </c>
    </row>
    <row r="10068" spans="1:14" x14ac:dyDescent="0.15">
      <c r="A10068" s="23" t="str">
        <f>HYPERLINK("https://www.spark-marketing.ru/Card/Person/49965", "УСД В Г. САНКТ-ПЕТЕРБУРГЕ")</f>
        <v>УСД В Г. САНКТ-ПЕТЕРБУРГЕ</v>
      </c>
      <c r="B10068" s="24" t="s">
        <v>6035</v>
      </c>
      <c r="C10068" s="25">
        <v>19393748.399999999</v>
      </c>
      <c r="D10068" s="22" t="s">
        <v>12492</v>
      </c>
      <c r="E10068" s="22" t="s">
        <v>68</v>
      </c>
      <c r="F10068" s="23" t="str">
        <f>HYPERLINK("https://www.spark-marketing.ru/Card/Lot/69689271", "Оказание услуг по военизированной охране объектов ФРС и ГВС")</f>
        <v>Оказание услуг по военизированной охране объектов ФРС и ГВС</v>
      </c>
      <c r="G10068" s="22" t="s">
        <v>89</v>
      </c>
      <c r="H10068" s="22" t="s">
        <v>89</v>
      </c>
      <c r="I10068" s="26">
        <v>43565.338888888902</v>
      </c>
      <c r="J10068" s="28" t="s">
        <v>52</v>
      </c>
      <c r="K10068" s="28" t="s">
        <v>52</v>
      </c>
      <c r="L10068" s="28" t="s">
        <v>52</v>
      </c>
      <c r="M10068" s="28" t="s">
        <v>52</v>
      </c>
      <c r="N10068" s="28" t="s">
        <v>52</v>
      </c>
    </row>
    <row r="10069" spans="1:14" x14ac:dyDescent="0.15">
      <c r="A10069" s="23" t="str">
        <f>HYPERLINK("https://www.spark-marketing.ru/Card/Person/49965", "УСД В Г. САНКТ-ПЕТЕРБУРГЕ")</f>
        <v>УСД В Г. САНКТ-ПЕТЕРБУРГЕ</v>
      </c>
      <c r="B10069" s="24" t="s">
        <v>6035</v>
      </c>
      <c r="C10069" s="25">
        <v>333609.59999999998</v>
      </c>
      <c r="D10069" s="22" t="s">
        <v>12493</v>
      </c>
      <c r="E10069" s="22" t="s">
        <v>68</v>
      </c>
      <c r="F10069" s="23" t="str">
        <f>HYPERLINK("https://www.spark-marketing.ru/Card/Lot/69688421", "Оказание услуг по военизированной охране объектов Управления")</f>
        <v>Оказание услуг по военизированной охране объектов Управления</v>
      </c>
      <c r="G10069" s="22" t="s">
        <v>89</v>
      </c>
      <c r="H10069" s="22" t="s">
        <v>89</v>
      </c>
      <c r="I10069" s="26">
        <v>43565.338194444397</v>
      </c>
      <c r="J10069" s="28" t="s">
        <v>52</v>
      </c>
      <c r="K10069" s="28" t="s">
        <v>52</v>
      </c>
      <c r="L10069" s="28" t="s">
        <v>52</v>
      </c>
      <c r="M10069" s="28" t="s">
        <v>52</v>
      </c>
      <c r="N10069" s="28" t="s">
        <v>52</v>
      </c>
    </row>
    <row r="10070" spans="1:14" x14ac:dyDescent="0.15">
      <c r="A10070" s="23" t="str">
        <f>HYPERLINK("https://www.spark-marketing.ru/Card/Person/49965", "УСД В Г. САНКТ-ПЕТЕРБУРГЕ")</f>
        <v>УСД В Г. САНКТ-ПЕТЕРБУРГЕ</v>
      </c>
      <c r="B10070" s="24" t="s">
        <v>6035</v>
      </c>
      <c r="C10070" s="25">
        <v>1294811.3999999999</v>
      </c>
      <c r="D10070" s="22" t="s">
        <v>12494</v>
      </c>
      <c r="E10070" s="22" t="s">
        <v>68</v>
      </c>
      <c r="F10070" s="23" t="str">
        <f>HYPERLINK("https://www.spark-marketing.ru/Card/Lot/69689304", "Оказание услуг по охране имущества ФРС и ГВС")</f>
        <v>Оказание услуг по охране имущества ФРС и ГВС</v>
      </c>
      <c r="G10070" s="22" t="s">
        <v>89</v>
      </c>
      <c r="H10070" s="22" t="s">
        <v>89</v>
      </c>
      <c r="I10070" s="26">
        <v>43565.338888888902</v>
      </c>
      <c r="J10070" s="28" t="s">
        <v>52</v>
      </c>
      <c r="K10070" s="28" t="s">
        <v>52</v>
      </c>
      <c r="L10070" s="28" t="s">
        <v>52</v>
      </c>
      <c r="M10070" s="28" t="s">
        <v>52</v>
      </c>
      <c r="N10070" s="28" t="s">
        <v>52</v>
      </c>
    </row>
    <row r="10071" spans="1:14" x14ac:dyDescent="0.15">
      <c r="A10071" s="23" t="str">
        <f>HYPERLINK("https://www.spark-marketing.ru/Card/Person/6400491", "НОВОКУЙБ НПЗ АО НОВОКУЙБЫШЕВСКИЙ НПЗ")</f>
        <v>НОВОКУЙБ НПЗ АО НОВОКУЙБЫШЕВСКИЙ НПЗ</v>
      </c>
      <c r="B10071" s="28" t="s">
        <v>52</v>
      </c>
      <c r="C10071" s="25">
        <v>3866316</v>
      </c>
      <c r="D10071" s="22" t="s">
        <v>12495</v>
      </c>
      <c r="E10071" s="22" t="s">
        <v>621</v>
      </c>
      <c r="F10071" s="23" t="str">
        <f>HYPERLINK("https://www.spark-marketing.ru/Card/Lot/69686965", "Оснащение транспортной инфраструктуры АО НК НПЗ инженерно-техническимисредствами охраны (причальное сооружение, речной транспорт). Техническое перевооружение.")</f>
        <v>Оснащение транспортной инфраструктуры АО НК НПЗ инженерно-техническимисредствами охраны (причальное сооружение, речной транспорт). Техническое перевооружение.</v>
      </c>
      <c r="G10071" s="22" t="s">
        <v>52</v>
      </c>
      <c r="H10071" s="22" t="s">
        <v>52</v>
      </c>
      <c r="I10071" s="26">
        <v>43565.313194444403</v>
      </c>
      <c r="J10071" s="28" t="s">
        <v>52</v>
      </c>
      <c r="K10071" s="28" t="s">
        <v>52</v>
      </c>
      <c r="L10071" s="28" t="s">
        <v>52</v>
      </c>
      <c r="M10071" s="28" t="s">
        <v>52</v>
      </c>
      <c r="N10071" s="28" t="s">
        <v>52</v>
      </c>
    </row>
    <row r="10072" spans="1:14" x14ac:dyDescent="0.15">
      <c r="A10072" s="23" t="str">
        <f>HYPERLINK("https://www.spark-marketing.ru/Card/Person/1070004", "МКДОУ ""КЛЮЧИКОВСКИЙ ДЕТСКИЙ САД""")</f>
        <v>МКДОУ "КЛЮЧИКОВСКИЙ ДЕТСКИЙ САД"</v>
      </c>
      <c r="B10072" s="24" t="s">
        <v>11027</v>
      </c>
      <c r="C10072" s="25">
        <v>12500</v>
      </c>
      <c r="D10072" s="22" t="s">
        <v>12496</v>
      </c>
      <c r="E10072" s="22" t="s">
        <v>59</v>
      </c>
      <c r="F10072" s="23" t="str">
        <f>HYPERLINK("https://www.spark-marketing.ru/Card/Lot/69685329", "ЭЛ. магазин на оказание услуг по монтажу кнопки тревожной сигнализации")</f>
        <v>ЭЛ. магазин на оказание услуг по монтажу кнопки тревожной сигнализации</v>
      </c>
      <c r="G10072" s="22" t="s">
        <v>209</v>
      </c>
      <c r="H10072" s="22" t="s">
        <v>5208</v>
      </c>
      <c r="I10072" s="26">
        <v>43565.1694444444</v>
      </c>
      <c r="J10072" s="28" t="s">
        <v>52</v>
      </c>
      <c r="K10072" s="28" t="s">
        <v>52</v>
      </c>
      <c r="L10072" s="28" t="s">
        <v>52</v>
      </c>
      <c r="M10072" s="28" t="s">
        <v>52</v>
      </c>
      <c r="N10072" s="28" t="s">
        <v>52</v>
      </c>
    </row>
    <row r="10073" spans="1:14" x14ac:dyDescent="0.15">
      <c r="A10073" s="23" t="str">
        <f>HYPERLINK("https://www.spark-marketing.ru/Card/Person/1069026", "МКДОУ ""БОБРОВСКИЙ ДЕТСКИЙ САД""")</f>
        <v>МКДОУ "БОБРОВСКИЙ ДЕТСКИЙ САД"</v>
      </c>
      <c r="B10073" s="24" t="s">
        <v>11031</v>
      </c>
      <c r="C10073" s="25">
        <v>12500</v>
      </c>
      <c r="D10073" s="22" t="s">
        <v>12497</v>
      </c>
      <c r="E10073" s="22" t="s">
        <v>59</v>
      </c>
      <c r="F10073" s="23" t="str">
        <f>HYPERLINK("https://www.spark-marketing.ru/Card/Lot/69685333", "ЭЛ.магазин на оказание услуг по монтажу кнопки тревожной сигнализации")</f>
        <v>ЭЛ.магазин на оказание услуг по монтажу кнопки тревожной сигнализации</v>
      </c>
      <c r="G10073" s="22" t="s">
        <v>209</v>
      </c>
      <c r="H10073" s="22" t="s">
        <v>5208</v>
      </c>
      <c r="I10073" s="26">
        <v>43565.173611111102</v>
      </c>
      <c r="J10073" s="28" t="s">
        <v>52</v>
      </c>
      <c r="K10073" s="28" t="s">
        <v>52</v>
      </c>
      <c r="L10073" s="28" t="s">
        <v>52</v>
      </c>
      <c r="M10073" s="28" t="s">
        <v>52</v>
      </c>
      <c r="N10073" s="28" t="s">
        <v>52</v>
      </c>
    </row>
    <row r="10074" spans="1:14" x14ac:dyDescent="0.15">
      <c r="A10074" s="23" t="str">
        <f>HYPERLINK("https://www.spark-marketing.ru/Card/Person/6450322", "ЗАКАЗЧИК РП БЕЛАРУСЬ")</f>
        <v>ЗАКАЗЧИК РП БЕЛАРУСЬ</v>
      </c>
      <c r="B10074" s="28" t="s">
        <v>52</v>
      </c>
      <c r="C10074" s="25">
        <v>19784.244999999999</v>
      </c>
      <c r="D10074" s="22" t="s">
        <v>12498</v>
      </c>
      <c r="E10074" s="22" t="s">
        <v>53</v>
      </c>
      <c r="F10074" s="23" t="str">
        <f>HYPERLINK("https://www.spark-marketing.ru/Card/Lot/69704700", "Установка тревожной сигнализации (тревожной кнопки), в учреждениях подведомственных управлению по образованию администрации Московского района г.Бреста")</f>
        <v>Установка тревожной сигнализации (тревожной кнопки), в учреждениях подведомственных управлению по образованию администрации Московского района г.Бреста</v>
      </c>
      <c r="G10074" s="22" t="s">
        <v>52</v>
      </c>
      <c r="H10074" s="22" t="s">
        <v>52</v>
      </c>
      <c r="I10074" s="26">
        <v>43565</v>
      </c>
      <c r="J10074" s="28" t="s">
        <v>52</v>
      </c>
      <c r="K10074" s="28" t="s">
        <v>52</v>
      </c>
      <c r="L10074" s="28" t="s">
        <v>52</v>
      </c>
      <c r="M10074" s="28" t="s">
        <v>52</v>
      </c>
      <c r="N10074" s="28" t="s">
        <v>52</v>
      </c>
    </row>
    <row r="10075" spans="1:14" x14ac:dyDescent="0.15">
      <c r="A10075" s="23" t="str">
        <f>HYPERLINK("https://www.spark-marketing.ru/Card/Person/6450322", "ЗАКАЗЧИК РП БЕЛАРУСЬ")</f>
        <v>ЗАКАЗЧИК РП БЕЛАРУСЬ</v>
      </c>
      <c r="B10075" s="28" t="s">
        <v>52</v>
      </c>
      <c r="C10075" s="28" t="s">
        <v>52</v>
      </c>
      <c r="D10075" s="22" t="s">
        <v>12499</v>
      </c>
      <c r="E10075" s="22" t="s">
        <v>53</v>
      </c>
      <c r="F10075" s="23" t="str">
        <f>HYPERLINK("https://www.spark-marketing.ru/Card/Lot/69700885", "Модернизация (расширение возможностей) цифровой системы видеонаблюдения путем установки 6 IP- видеокамер с комплектом оборудования и выполнением полного комплекса СМР и ПНР на площадях автотранспортного цеха.")</f>
        <v>Модернизация (расширение возможностей) цифровой системы видеонаблюдения путем установки 6 IP- видеокамер с комплектом оборудования и выполнением полного комплекса СМР и ПНР на площадях автотранспортного цеха.</v>
      </c>
      <c r="G10075" s="22" t="s">
        <v>52</v>
      </c>
      <c r="H10075" s="22" t="s">
        <v>52</v>
      </c>
      <c r="I10075" s="26">
        <v>43565</v>
      </c>
      <c r="J10075" s="28" t="s">
        <v>52</v>
      </c>
      <c r="K10075" s="28" t="s">
        <v>52</v>
      </c>
      <c r="L10075" s="28" t="s">
        <v>52</v>
      </c>
      <c r="M10075" s="28" t="s">
        <v>52</v>
      </c>
      <c r="N10075" s="28" t="s">
        <v>52</v>
      </c>
    </row>
    <row r="10076" spans="1:14" x14ac:dyDescent="0.15">
      <c r="A10076" s="23" t="str">
        <f>HYPERLINK("https://www.spark-marketing.ru/Card/Person/6450322", "ЗАКАЗЧИК РП БЕЛАРУСЬ")</f>
        <v>ЗАКАЗЧИК РП БЕЛАРУСЬ</v>
      </c>
      <c r="B10076" s="28" t="s">
        <v>52</v>
      </c>
      <c r="C10076" s="25">
        <v>672664.33</v>
      </c>
      <c r="D10076" s="22" t="s">
        <v>12498</v>
      </c>
      <c r="E10076" s="22" t="s">
        <v>53</v>
      </c>
      <c r="F10076" s="23" t="str">
        <f>HYPERLINK("https://www.spark-marketing.ru/Card/Lot/69704698", "Установка тревожной сигнализации (тревожной кнопки) в учреждениях подведомственных управлению по образованию администрации Московского района г.Бреста")</f>
        <v>Установка тревожной сигнализации (тревожной кнопки) в учреждениях подведомственных управлению по образованию администрации Московского района г.Бреста</v>
      </c>
      <c r="G10076" s="22" t="s">
        <v>52</v>
      </c>
      <c r="H10076" s="22" t="s">
        <v>52</v>
      </c>
      <c r="I10076" s="26">
        <v>43565</v>
      </c>
      <c r="J10076" s="28" t="s">
        <v>52</v>
      </c>
      <c r="K10076" s="28" t="s">
        <v>52</v>
      </c>
      <c r="L10076" s="28" t="s">
        <v>52</v>
      </c>
      <c r="M10076" s="28" t="s">
        <v>52</v>
      </c>
      <c r="N10076" s="28" t="s">
        <v>52</v>
      </c>
    </row>
    <row r="10077" spans="1:14" x14ac:dyDescent="0.15">
      <c r="A10077" s="23" t="str">
        <f>HYPERLINK("https://www.spark-marketing.ru/Card/Person/6450322", "ЗАКАЗЧИК РП БЕЛАРУСЬ")</f>
        <v>ЗАКАЗЧИК РП БЕЛАРУСЬ</v>
      </c>
      <c r="B10077" s="28" t="s">
        <v>52</v>
      </c>
      <c r="C10077" s="25">
        <v>19784.244999999999</v>
      </c>
      <c r="D10077" s="22" t="s">
        <v>12498</v>
      </c>
      <c r="E10077" s="22" t="s">
        <v>53</v>
      </c>
      <c r="F10077" s="23" t="str">
        <f>HYPERLINK("https://www.spark-marketing.ru/Card/Lot/69704699", "Установка тревожной сигнализации (тревожной кнопки), с последующим контролем и обслуживанием в учреждениях подведомственных управлению по образованию администрации Московского района г.Бреста»")</f>
        <v>Установка тревожной сигнализации (тревожной кнопки), с последующим контролем и обслуживанием в учреждениях подведомственных управлению по образованию администрации Московского района г.Бреста»</v>
      </c>
      <c r="G10077" s="22" t="s">
        <v>52</v>
      </c>
      <c r="H10077" s="22" t="s">
        <v>52</v>
      </c>
      <c r="I10077" s="26">
        <v>43565</v>
      </c>
      <c r="J10077" s="28" t="s">
        <v>52</v>
      </c>
      <c r="K10077" s="28" t="s">
        <v>52</v>
      </c>
      <c r="L10077" s="28" t="s">
        <v>52</v>
      </c>
      <c r="M10077" s="28" t="s">
        <v>52</v>
      </c>
      <c r="N10077" s="28" t="s">
        <v>52</v>
      </c>
    </row>
    <row r="10078" spans="1:14" x14ac:dyDescent="0.15">
      <c r="A10078" s="23" t="str">
        <f>HYPERLINK("https://www.spark-marketing.ru/Card/Person/6450322", "ЗАКАЗЧИК РП БЕЛАРУСЬ")</f>
        <v>ЗАКАЗЧИК РП БЕЛАРУСЬ</v>
      </c>
      <c r="B10078" s="28" t="s">
        <v>52</v>
      </c>
      <c r="C10078" s="25">
        <v>760932.5</v>
      </c>
      <c r="D10078" s="22" t="s">
        <v>12500</v>
      </c>
      <c r="E10078" s="22" t="s">
        <v>53</v>
      </c>
      <c r="F10078" s="23" t="str">
        <f>HYPERLINK("https://www.spark-marketing.ru/Card/Lot/69716298", "Услуги по техническому обеспечению (предоставление, доставка, установка, обслуживание и обеспечение работы мобильного звукового, светового, видео и сценического оборудования с обслуживающим персоналом) в рамках организации и проведения XXIII Междунар...")</f>
        <v>Услуги по техническому обеспечению (предоставление, доставка, установка, обслуживание и обеспечение работы мобильного звукового, светового, видео и сценического оборудования с обслуживающим персоналом) в рамках организации и проведения XXIII Междунар...</v>
      </c>
      <c r="G10078" s="22" t="s">
        <v>52</v>
      </c>
      <c r="H10078" s="22" t="s">
        <v>52</v>
      </c>
      <c r="I10078" s="26">
        <v>43565</v>
      </c>
      <c r="J10078" s="28" t="s">
        <v>52</v>
      </c>
      <c r="K10078" s="28" t="s">
        <v>52</v>
      </c>
      <c r="L10078" s="28" t="s">
        <v>52</v>
      </c>
      <c r="M10078" s="28" t="s">
        <v>52</v>
      </c>
      <c r="N10078" s="28" t="s">
        <v>52</v>
      </c>
    </row>
    <row r="10079" spans="1:14" x14ac:dyDescent="0.15">
      <c r="A10079" s="23" t="str">
        <f>HYPERLINK("https://www.spark-marketing.ru/Card/Person/148712", "ФКУ ИК-2 УФСИН РОССИИ ПО АСТРАХАНСКОЙ ОБЛАСТИ")</f>
        <v>ФКУ ИК-2 УФСИН РОССИИ ПО АСТРАХАНСКОЙ ОБЛАСТИ</v>
      </c>
      <c r="B10079" s="24" t="s">
        <v>10950</v>
      </c>
      <c r="C10079" s="25">
        <v>43800</v>
      </c>
      <c r="D10079" s="22" t="s">
        <v>12501</v>
      </c>
      <c r="E10079" s="22" t="s">
        <v>53</v>
      </c>
      <c r="F10079" s="23" t="str">
        <f>HYPERLINK("https://www.spark-marketing.ru/Card/Lot/70779469", "охрана имущества")</f>
        <v>охрана имущества</v>
      </c>
      <c r="G10079" s="22" t="s">
        <v>565</v>
      </c>
      <c r="H10079" s="22" t="s">
        <v>566</v>
      </c>
      <c r="I10079" s="26">
        <v>43564.901898148099</v>
      </c>
      <c r="J10079" s="28" t="s">
        <v>52</v>
      </c>
      <c r="K10079" s="28" t="s">
        <v>52</v>
      </c>
      <c r="L10079" s="28" t="s">
        <v>52</v>
      </c>
      <c r="M10079" s="28" t="s">
        <v>52</v>
      </c>
      <c r="N10079" s="28" t="s">
        <v>52</v>
      </c>
    </row>
    <row r="10080" spans="1:14" x14ac:dyDescent="0.2">
      <c r="A10080" s="23" t="str">
        <f>HYPERLINK("https://www.spark-marketing.ru/Card/Person/1037529", "ГАУ ""АХМАТ АРЕНА""")</f>
        <v>ГАУ "АХМАТ АРЕНА"</v>
      </c>
      <c r="B10080" s="24" t="s">
        <v>8036</v>
      </c>
      <c r="C10080" s="25">
        <v>16641600</v>
      </c>
      <c r="D10080" s="22" t="s">
        <v>12502</v>
      </c>
      <c r="E10080" s="22" t="s">
        <v>144</v>
      </c>
      <c r="F10080" s="23" t="str">
        <f>HYPERLINK("https://www.spark-marketing.ru/Card/Lot/69681889", "Оказание услуги по охране объектов")</f>
        <v>Оказание услуги по охране объектов</v>
      </c>
      <c r="G10080" s="22" t="s">
        <v>724</v>
      </c>
      <c r="H10080" s="22" t="s">
        <v>724</v>
      </c>
      <c r="I10080" s="26">
        <v>43564.751863425903</v>
      </c>
      <c r="J10080" s="23" t="str">
        <f>HYPERLINK("https://www.spark-marketing.ru/Card/Person/1784074", "ФГКУ ""УВО ВНГ РОССИИ ПО ЧЕЧЕНСКОЙ РЕСПУБЛИКЕ""")</f>
        <v>ФГКУ "УВО ВНГ РОССИИ ПО ЧЕЧЕНСКОЙ РЕСПУБЛИКЕ"</v>
      </c>
      <c r="K10080" s="24" t="s">
        <v>1617</v>
      </c>
      <c r="L10080" s="28" t="s">
        <v>52</v>
      </c>
      <c r="M10080" s="25">
        <v>16641600</v>
      </c>
      <c r="N10080" s="27">
        <v>0</v>
      </c>
    </row>
    <row r="10081" spans="1:14" x14ac:dyDescent="0.15">
      <c r="A10081" s="23" t="str">
        <f>HYPERLINK("https://www.spark-marketing.ru/Card/Person/6275", "УПРАВЛЕНИЕ СУДЕБНОГО ДЕПАРТАМЕНТА В СВЕРДЛОВСКОЙ ОБЛАСТИ")</f>
        <v>УПРАВЛЕНИЕ СУДЕБНОГО ДЕПАРТАМЕНТА В СВЕРДЛОВСКОЙ ОБЛАСТИ</v>
      </c>
      <c r="B10081" s="24" t="s">
        <v>1175</v>
      </c>
      <c r="C10081" s="25">
        <v>768600</v>
      </c>
      <c r="D10081" s="22" t="s">
        <v>12503</v>
      </c>
      <c r="E10081" s="22" t="s">
        <v>68</v>
      </c>
      <c r="F10081" s="23" t="str">
        <f>HYPERLINK("https://www.spark-marketing.ru/Card/Lot/69678323", "Оказание услуг по охране объектов судов Свердловской области")</f>
        <v>Оказание услуг по охране объектов судов Свердловской области</v>
      </c>
      <c r="G10081" s="22" t="s">
        <v>72</v>
      </c>
      <c r="H10081" s="22" t="s">
        <v>72</v>
      </c>
      <c r="I10081" s="26">
        <v>43564.716666666704</v>
      </c>
      <c r="J10081" s="28" t="s">
        <v>52</v>
      </c>
      <c r="K10081" s="28" t="s">
        <v>52</v>
      </c>
      <c r="L10081" s="28" t="s">
        <v>52</v>
      </c>
      <c r="M10081" s="28" t="s">
        <v>52</v>
      </c>
      <c r="N10081" s="28" t="s">
        <v>52</v>
      </c>
    </row>
    <row r="10082" spans="1:14" hidden="1" outlineLevel="1" x14ac:dyDescent="0.2">
      <c r="A10082" s="23" t="str">
        <f>HYPERLINK("https://www.spark-marketing.ru/Card/Person/6275", "УПРАВЛЕНИЕ СУДЕБНОГО ДЕПАРТАМЕНТА В СВЕРДЛОВСКОЙ ОБЛАСТИ")</f>
        <v>УПРАВЛЕНИЕ СУДЕБНОГО ДЕПАРТАМЕНТА В СВЕРДЛОВСКОЙ ОБЛАСТИ</v>
      </c>
      <c r="B10082" s="24" t="s">
        <v>1175</v>
      </c>
      <c r="C10082" s="25">
        <v>768600</v>
      </c>
      <c r="D10082" s="22" t="s">
        <v>12503</v>
      </c>
      <c r="E10082" s="22" t="s">
        <v>68</v>
      </c>
      <c r="F10082" s="23" t="str">
        <f>HYPERLINK("https://www.spark-marketing.ru/Card/Lot/69678323", "Оказание услуг по охране объектов судов Свердловской области")</f>
        <v>Оказание услуг по охране объектов судов Свердловской области</v>
      </c>
      <c r="G10082" s="22" t="s">
        <v>72</v>
      </c>
      <c r="H10082" s="22" t="s">
        <v>72</v>
      </c>
      <c r="I10082" s="26">
        <v>43564.716666666704</v>
      </c>
      <c r="J10082" s="23" t="str">
        <f>HYPERLINK("https://www.spark-marketing.ru/Card/Person/58845", "ООО ЧОП ""АГЕНТСТВО БИЗНЕС-БЕЗОПАСНОСТЬ""")</f>
        <v>ООО ЧОП "АГЕНТСТВО БИЗНЕС-БЕЗОПАСНОСТЬ"</v>
      </c>
      <c r="K10082" s="24" t="s">
        <v>1177</v>
      </c>
      <c r="L10082" s="28" t="s">
        <v>52</v>
      </c>
      <c r="M10082" s="25">
        <v>680760</v>
      </c>
      <c r="N10082" s="27">
        <v>0.11428571428571428</v>
      </c>
    </row>
    <row r="10083" spans="1:14" ht="12.75" hidden="1" outlineLevel="1" x14ac:dyDescent="0.2">
      <c r="A10083" s="23" t="str">
        <f>HYPERLINK("https://www.spark-marketing.ru/Card/Person/6275", "УПРАВЛЕНИЕ СУДЕБНОГО ДЕПАРТАМЕНТА В СВЕРДЛОВСКОЙ ОБЛАСТИ")</f>
        <v>УПРАВЛЕНИЕ СУДЕБНОГО ДЕПАРТАМЕНТА В СВЕРДЛОВСКОЙ ОБЛАСТИ</v>
      </c>
      <c r="B10083" s="24" t="s">
        <v>1175</v>
      </c>
      <c r="C10083" s="25">
        <v>768600</v>
      </c>
      <c r="D10083" s="22" t="s">
        <v>12503</v>
      </c>
      <c r="E10083" s="22" t="s">
        <v>68</v>
      </c>
      <c r="F10083" s="23" t="str">
        <f>HYPERLINK("https://www.spark-marketing.ru/Card/Lot/69678323", "Оказание услуг по охране объектов судов Свердловской области")</f>
        <v>Оказание услуг по охране объектов судов Свердловской области</v>
      </c>
      <c r="G10083" s="22" t="s">
        <v>72</v>
      </c>
      <c r="H10083" s="22" t="s">
        <v>72</v>
      </c>
      <c r="I10083" s="26">
        <v>43564.716666666704</v>
      </c>
      <c r="J10083" s="23" t="str">
        <f>HYPERLINK("https://www.spark-marketing.ru/Card/Person/65306", "ООО ЧОО ""МИЛИЦИЯ""")</f>
        <v>ООО ЧОО "МИЛИЦИЯ"</v>
      </c>
      <c r="K10083" s="24" t="s">
        <v>1178</v>
      </c>
      <c r="L10083" s="22" t="s">
        <v>10</v>
      </c>
      <c r="M10083" s="25">
        <v>580842</v>
      </c>
      <c r="N10083" s="27">
        <v>0.24428571428571427</v>
      </c>
    </row>
    <row r="10084" spans="1:14" hidden="1" outlineLevel="1" x14ac:dyDescent="0.2">
      <c r="A10084" s="23" t="str">
        <f>HYPERLINK("https://www.spark-marketing.ru/Card/Person/6275", "УПРАВЛЕНИЕ СУДЕБНОГО ДЕПАРТАМЕНТА В СВЕРДЛОВСКОЙ ОБЛАСТИ")</f>
        <v>УПРАВЛЕНИЕ СУДЕБНОГО ДЕПАРТАМЕНТА В СВЕРДЛОВСКОЙ ОБЛАСТИ</v>
      </c>
      <c r="B10084" s="24" t="s">
        <v>1175</v>
      </c>
      <c r="C10084" s="25">
        <v>768600</v>
      </c>
      <c r="D10084" s="22" t="s">
        <v>12503</v>
      </c>
      <c r="E10084" s="22" t="s">
        <v>68</v>
      </c>
      <c r="F10084" s="23" t="str">
        <f>HYPERLINK("https://www.spark-marketing.ru/Card/Lot/69678323", "Оказание услуг по охране объектов судов Свердловской области")</f>
        <v>Оказание услуг по охране объектов судов Свердловской области</v>
      </c>
      <c r="G10084" s="22" t="s">
        <v>72</v>
      </c>
      <c r="H10084" s="22" t="s">
        <v>72</v>
      </c>
      <c r="I10084" s="26">
        <v>43564.716666666704</v>
      </c>
      <c r="J10084" s="23" t="str">
        <f>HYPERLINK("https://www.spark-marketing.ru/Card/Person/100254", "ООО ЧОО ""ВИКТОРИЯ""")</f>
        <v>ООО ЧОО "ВИКТОРИЯ"</v>
      </c>
      <c r="K10084" s="24" t="s">
        <v>1406</v>
      </c>
      <c r="L10084" s="28" t="s">
        <v>52</v>
      </c>
      <c r="M10084" s="25">
        <v>584685</v>
      </c>
      <c r="N10084" s="27">
        <v>0.2392857142857143</v>
      </c>
    </row>
    <row r="10085" spans="1:14" x14ac:dyDescent="0.15">
      <c r="A10085" s="23" t="str">
        <f>HYPERLINK("https://www.spark-marketing.ru/Card/Person/3166", "ГБУЗ ЯНАО ""НЦГБ""")</f>
        <v>ГБУЗ ЯНАО "НЦГБ"</v>
      </c>
      <c r="B10085" s="24" t="s">
        <v>12504</v>
      </c>
      <c r="C10085" s="25">
        <v>398424</v>
      </c>
      <c r="D10085" s="22" t="s">
        <v>12505</v>
      </c>
      <c r="E10085" s="22" t="s">
        <v>59</v>
      </c>
      <c r="F10085" s="23" t="str">
        <f>HYPERLINK("https://www.spark-marketing.ru/Card/Lot/69679063", "Оказание услуг по установке системы видеонаблюдения")</f>
        <v>Оказание услуг по установке системы видеонаблюдения</v>
      </c>
      <c r="G10085" s="22" t="s">
        <v>311</v>
      </c>
      <c r="H10085" s="22" t="s">
        <v>4513</v>
      </c>
      <c r="I10085" s="26">
        <v>43564.7319444444</v>
      </c>
      <c r="J10085" s="28" t="s">
        <v>52</v>
      </c>
      <c r="K10085" s="28" t="s">
        <v>52</v>
      </c>
      <c r="L10085" s="28" t="s">
        <v>52</v>
      </c>
      <c r="M10085" s="28" t="s">
        <v>52</v>
      </c>
      <c r="N10085" s="28" t="s">
        <v>52</v>
      </c>
    </row>
    <row r="10086" spans="1:14" hidden="1" outlineLevel="1" x14ac:dyDescent="0.2">
      <c r="A10086" s="23" t="str">
        <f>HYPERLINK("https://www.spark-marketing.ru/Card/Person/3166", "ГБУЗ ЯНАО ""НЦГБ""")</f>
        <v>ГБУЗ ЯНАО "НЦГБ"</v>
      </c>
      <c r="B10086" s="24" t="s">
        <v>12504</v>
      </c>
      <c r="C10086" s="25">
        <v>398424</v>
      </c>
      <c r="D10086" s="22" t="s">
        <v>12505</v>
      </c>
      <c r="E10086" s="22" t="s">
        <v>59</v>
      </c>
      <c r="F10086" s="23" t="str">
        <f>HYPERLINK("https://www.spark-marketing.ru/Card/Lot/69679063", "Оказание услуг по установке системы видеонаблюдения")</f>
        <v>Оказание услуг по установке системы видеонаблюдения</v>
      </c>
      <c r="G10086" s="22" t="s">
        <v>311</v>
      </c>
      <c r="H10086" s="22" t="s">
        <v>4513</v>
      </c>
      <c r="I10086" s="26">
        <v>43564.7319444444</v>
      </c>
      <c r="J10086" s="23" t="str">
        <f>HYPERLINK("https://www.spark-marketing.ru/Card/Person/38675", "ООО ""РАДИАЛСБ""")</f>
        <v>ООО "РАДИАЛСБ"</v>
      </c>
      <c r="K10086" s="24" t="s">
        <v>6132</v>
      </c>
      <c r="L10086" s="28" t="s">
        <v>52</v>
      </c>
      <c r="M10086" s="25">
        <v>396431.88</v>
      </c>
      <c r="N10086" s="27">
        <v>5.0000000000000001E-3</v>
      </c>
    </row>
    <row r="10087" spans="1:14" ht="12.75" hidden="1" outlineLevel="1" x14ac:dyDescent="0.2">
      <c r="A10087" s="23" t="str">
        <f>HYPERLINK("https://www.spark-marketing.ru/Card/Person/3166", "ГБУЗ ЯНАО ""НЦГБ""")</f>
        <v>ГБУЗ ЯНАО "НЦГБ"</v>
      </c>
      <c r="B10087" s="24" t="s">
        <v>12504</v>
      </c>
      <c r="C10087" s="25">
        <v>398424</v>
      </c>
      <c r="D10087" s="22" t="s">
        <v>12505</v>
      </c>
      <c r="E10087" s="22" t="s">
        <v>59</v>
      </c>
      <c r="F10087" s="23" t="str">
        <f>HYPERLINK("https://www.spark-marketing.ru/Card/Lot/69679063", "Оказание услуг по установке системы видеонаблюдения")</f>
        <v>Оказание услуг по установке системы видеонаблюдения</v>
      </c>
      <c r="G10087" s="22" t="s">
        <v>311</v>
      </c>
      <c r="H10087" s="22" t="s">
        <v>4513</v>
      </c>
      <c r="I10087" s="26">
        <v>43564.7319444444</v>
      </c>
      <c r="J10087" s="23" t="str">
        <f>HYPERLINK("https://www.spark-marketing.ru/Card/Person/6410577", "ООО ""АРМА""")</f>
        <v>ООО "АРМА"</v>
      </c>
      <c r="K10087" s="24" t="s">
        <v>12506</v>
      </c>
      <c r="L10087" s="22" t="s">
        <v>10</v>
      </c>
      <c r="M10087" s="25">
        <v>264149.71999999997</v>
      </c>
      <c r="N10087" s="27">
        <v>0.33701353332128586</v>
      </c>
    </row>
    <row r="10088" spans="1:14" hidden="1" outlineLevel="1" x14ac:dyDescent="0.2">
      <c r="A10088" s="23" t="str">
        <f>HYPERLINK("https://www.spark-marketing.ru/Card/Person/3166", "ГБУЗ ЯНАО ""НЦГБ""")</f>
        <v>ГБУЗ ЯНАО "НЦГБ"</v>
      </c>
      <c r="B10088" s="24" t="s">
        <v>12504</v>
      </c>
      <c r="C10088" s="25">
        <v>398424</v>
      </c>
      <c r="D10088" s="22" t="s">
        <v>12505</v>
      </c>
      <c r="E10088" s="22" t="s">
        <v>59</v>
      </c>
      <c r="F10088" s="23" t="str">
        <f>HYPERLINK("https://www.spark-marketing.ru/Card/Lot/69679063", "Оказание услуг по установке системы видеонаблюдения")</f>
        <v>Оказание услуг по установке системы видеонаблюдения</v>
      </c>
      <c r="G10088" s="22" t="s">
        <v>311</v>
      </c>
      <c r="H10088" s="22" t="s">
        <v>4513</v>
      </c>
      <c r="I10088" s="26">
        <v>43564.7319444444</v>
      </c>
      <c r="J10088" s="23" t="str">
        <f>HYPERLINK("https://www.spark-marketing.ru/Card/Person/90156", "ООО ""ПАРИТЕТ""")</f>
        <v>ООО "ПАРИТЕТ"</v>
      </c>
      <c r="K10088" s="24" t="s">
        <v>6134</v>
      </c>
      <c r="L10088" s="28" t="s">
        <v>52</v>
      </c>
      <c r="M10088" s="25">
        <v>302000</v>
      </c>
      <c r="N10088" s="27">
        <v>0.24201353332128586</v>
      </c>
    </row>
    <row r="10089" spans="1:14" hidden="1" outlineLevel="1" x14ac:dyDescent="0.2">
      <c r="A10089" s="23" t="str">
        <f>HYPERLINK("https://www.spark-marketing.ru/Card/Person/3166", "ГБУЗ ЯНАО ""НЦГБ""")</f>
        <v>ГБУЗ ЯНАО "НЦГБ"</v>
      </c>
      <c r="B10089" s="24" t="s">
        <v>12504</v>
      </c>
      <c r="C10089" s="25">
        <v>398424</v>
      </c>
      <c r="D10089" s="22" t="s">
        <v>12505</v>
      </c>
      <c r="E10089" s="22" t="s">
        <v>59</v>
      </c>
      <c r="F10089" s="23" t="str">
        <f>HYPERLINK("https://www.spark-marketing.ru/Card/Lot/69679063", "Оказание услуг по установке системы видеонаблюдения")</f>
        <v>Оказание услуг по установке системы видеонаблюдения</v>
      </c>
      <c r="G10089" s="22" t="s">
        <v>311</v>
      </c>
      <c r="H10089" s="22" t="s">
        <v>4513</v>
      </c>
      <c r="I10089" s="26">
        <v>43564.7319444444</v>
      </c>
      <c r="J10089" s="23" t="str">
        <f>HYPERLINK("https://www.spark-marketing.ru/Card/Person/803106", "Лунегов Алексей Евгеньевич")</f>
        <v>Лунегов Алексей Евгеньевич</v>
      </c>
      <c r="K10089" s="24" t="s">
        <v>2506</v>
      </c>
      <c r="L10089" s="28" t="s">
        <v>52</v>
      </c>
      <c r="M10089" s="25">
        <v>266141.84000000003</v>
      </c>
      <c r="N10089" s="27">
        <v>0.33201353332128586</v>
      </c>
    </row>
    <row r="10090" spans="1:14" x14ac:dyDescent="0.15">
      <c r="A10090" s="23" t="str">
        <f t="shared" ref="A10090:A10096" si="471">HYPERLINK("https://www.spark-marketing.ru/Card/Person/114321", "ГБУ КК ""ЦОП ПО ПРЫЖКАМ НА БАТУТЕ""")</f>
        <v>ГБУ КК "ЦОП ПО ПРЫЖКАМ НА БАТУТЕ"</v>
      </c>
      <c r="B10090" s="24" t="s">
        <v>12507</v>
      </c>
      <c r="C10090" s="25">
        <v>434310.24</v>
      </c>
      <c r="D10090" s="22" t="s">
        <v>12508</v>
      </c>
      <c r="E10090" s="22" t="s">
        <v>68</v>
      </c>
      <c r="F10090" s="23" t="str">
        <f t="shared" ref="F10090:F10096" si="472">HYPERLINK("https://www.spark-marketing.ru/Card/Lot/69679015", "Оказание услуги по охране объекта заказчика")</f>
        <v>Оказание услуги по охране объекта заказчика</v>
      </c>
      <c r="G10090" s="22" t="s">
        <v>132</v>
      </c>
      <c r="H10090" s="22" t="s">
        <v>132</v>
      </c>
      <c r="I10090" s="26">
        <v>43564.6743055556</v>
      </c>
      <c r="J10090" s="28" t="s">
        <v>52</v>
      </c>
      <c r="K10090" s="28" t="s">
        <v>52</v>
      </c>
      <c r="L10090" s="28" t="s">
        <v>52</v>
      </c>
      <c r="M10090" s="28" t="s">
        <v>52</v>
      </c>
      <c r="N10090" s="28" t="s">
        <v>52</v>
      </c>
    </row>
    <row r="10091" spans="1:14" ht="12.75" hidden="1" outlineLevel="1" x14ac:dyDescent="0.2">
      <c r="A10091" s="23" t="str">
        <f t="shared" si="471"/>
        <v>ГБУ КК "ЦОП ПО ПРЫЖКАМ НА БАТУТЕ"</v>
      </c>
      <c r="B10091" s="24" t="s">
        <v>12507</v>
      </c>
      <c r="C10091" s="25">
        <v>434310.24</v>
      </c>
      <c r="D10091" s="22" t="s">
        <v>12508</v>
      </c>
      <c r="E10091" s="22" t="s">
        <v>68</v>
      </c>
      <c r="F10091" s="23" t="str">
        <f t="shared" si="472"/>
        <v>Оказание услуги по охране объекта заказчика</v>
      </c>
      <c r="G10091" s="22" t="s">
        <v>132</v>
      </c>
      <c r="H10091" s="22" t="s">
        <v>132</v>
      </c>
      <c r="I10091" s="26">
        <v>43564.6743055556</v>
      </c>
      <c r="J10091" s="23" t="str">
        <f>HYPERLINK("https://www.spark-marketing.ru/Card/Person/152942", "ООО ""ОП ""ЛИДЕР ЮГ""")</f>
        <v>ООО "ОП "ЛИДЕР ЮГ"</v>
      </c>
      <c r="K10091" s="24" t="s">
        <v>11638</v>
      </c>
      <c r="L10091" s="22" t="s">
        <v>10</v>
      </c>
      <c r="M10091" s="25">
        <v>176705.29</v>
      </c>
      <c r="N10091" s="27">
        <v>0.5931357961995094</v>
      </c>
    </row>
    <row r="10092" spans="1:14" hidden="1" outlineLevel="1" x14ac:dyDescent="0.2">
      <c r="A10092" s="23" t="str">
        <f t="shared" si="471"/>
        <v>ГБУ КК "ЦОП ПО ПРЫЖКАМ НА БАТУТЕ"</v>
      </c>
      <c r="B10092" s="24" t="s">
        <v>12507</v>
      </c>
      <c r="C10092" s="25">
        <v>434310.24</v>
      </c>
      <c r="D10092" s="22" t="s">
        <v>12508</v>
      </c>
      <c r="E10092" s="22" t="s">
        <v>68</v>
      </c>
      <c r="F10092" s="23" t="str">
        <f t="shared" si="472"/>
        <v>Оказание услуги по охране объекта заказчика</v>
      </c>
      <c r="G10092" s="22" t="s">
        <v>132</v>
      </c>
      <c r="H10092" s="22" t="s">
        <v>132</v>
      </c>
      <c r="I10092" s="26">
        <v>43564.6743055556</v>
      </c>
      <c r="J10092" s="23" t="str">
        <f>HYPERLINK("https://www.spark-marketing.ru/Card/Person/1164213", "ООО ЧОО ""СОКОЛ-М""")</f>
        <v>ООО ЧОО "СОКОЛ-М"</v>
      </c>
      <c r="K10092" s="24" t="s">
        <v>12509</v>
      </c>
      <c r="L10092" s="28" t="s">
        <v>52</v>
      </c>
      <c r="M10092" s="25">
        <v>326426.62</v>
      </c>
      <c r="N10092" s="27">
        <v>0.24840220207564068</v>
      </c>
    </row>
    <row r="10093" spans="1:14" hidden="1" outlineLevel="1" x14ac:dyDescent="0.2">
      <c r="A10093" s="23" t="str">
        <f t="shared" si="471"/>
        <v>ГБУ КК "ЦОП ПО ПРЫЖКАМ НА БАТУТЕ"</v>
      </c>
      <c r="B10093" s="24" t="s">
        <v>12507</v>
      </c>
      <c r="C10093" s="25">
        <v>434310.24</v>
      </c>
      <c r="D10093" s="22" t="s">
        <v>12508</v>
      </c>
      <c r="E10093" s="22" t="s">
        <v>68</v>
      </c>
      <c r="F10093" s="23" t="str">
        <f t="shared" si="472"/>
        <v>Оказание услуги по охране объекта заказчика</v>
      </c>
      <c r="G10093" s="22" t="s">
        <v>132</v>
      </c>
      <c r="H10093" s="22" t="s">
        <v>132</v>
      </c>
      <c r="I10093" s="26">
        <v>43564.6743055556</v>
      </c>
      <c r="J10093" s="23" t="str">
        <f>HYPERLINK("https://www.spark-marketing.ru/Card/Person/456114", "ООО ЧОО ""СФЗ""")</f>
        <v>ООО ЧОО "СФЗ"</v>
      </c>
      <c r="K10093" s="24" t="s">
        <v>9005</v>
      </c>
      <c r="L10093" s="28" t="s">
        <v>52</v>
      </c>
      <c r="M10093" s="25">
        <v>178876.84</v>
      </c>
      <c r="N10093" s="27">
        <v>0.58813579896251122</v>
      </c>
    </row>
    <row r="10094" spans="1:14" hidden="1" outlineLevel="1" x14ac:dyDescent="0.2">
      <c r="A10094" s="23" t="str">
        <f t="shared" si="471"/>
        <v>ГБУ КК "ЦОП ПО ПРЫЖКАМ НА БАТУТЕ"</v>
      </c>
      <c r="B10094" s="24" t="s">
        <v>12507</v>
      </c>
      <c r="C10094" s="25">
        <v>434310.24</v>
      </c>
      <c r="D10094" s="22" t="s">
        <v>12508</v>
      </c>
      <c r="E10094" s="22" t="s">
        <v>68</v>
      </c>
      <c r="F10094" s="23" t="str">
        <f t="shared" si="472"/>
        <v>Оказание услуги по охране объекта заказчика</v>
      </c>
      <c r="G10094" s="22" t="s">
        <v>132</v>
      </c>
      <c r="H10094" s="22" t="s">
        <v>132</v>
      </c>
      <c r="I10094" s="26">
        <v>43564.6743055556</v>
      </c>
      <c r="J10094" s="23" t="str">
        <f>HYPERLINK("https://www.spark-marketing.ru/Card/Person/453481", "ООО ""ЧОО ""ИРБИС""")</f>
        <v>ООО "ЧОО "ИРБИС"</v>
      </c>
      <c r="K10094" s="24" t="s">
        <v>12510</v>
      </c>
      <c r="L10094" s="28" t="s">
        <v>52</v>
      </c>
      <c r="M10094" s="25">
        <v>296140.55</v>
      </c>
      <c r="N10094" s="27">
        <v>0.31813592513959604</v>
      </c>
    </row>
    <row r="10095" spans="1:14" hidden="1" outlineLevel="1" x14ac:dyDescent="0.2">
      <c r="A10095" s="23" t="str">
        <f t="shared" si="471"/>
        <v>ГБУ КК "ЦОП ПО ПРЫЖКАМ НА БАТУТЕ"</v>
      </c>
      <c r="B10095" s="24" t="s">
        <v>12507</v>
      </c>
      <c r="C10095" s="25">
        <v>434310.24</v>
      </c>
      <c r="D10095" s="22" t="s">
        <v>12508</v>
      </c>
      <c r="E10095" s="22" t="s">
        <v>68</v>
      </c>
      <c r="F10095" s="23" t="str">
        <f t="shared" si="472"/>
        <v>Оказание услуги по охране объекта заказчика</v>
      </c>
      <c r="G10095" s="22" t="s">
        <v>132</v>
      </c>
      <c r="H10095" s="22" t="s">
        <v>132</v>
      </c>
      <c r="I10095" s="26">
        <v>43564.6743055556</v>
      </c>
      <c r="J10095" s="23" t="str">
        <f>HYPERLINK("https://www.spark-marketing.ru/Card/Person/461520", "ООО ""ЧОО""ЕВРОМОСТ-У""")</f>
        <v>ООО "ЧОО"ЕВРОМОСТ-У"</v>
      </c>
      <c r="K10095" s="24" t="s">
        <v>3813</v>
      </c>
      <c r="L10095" s="28" t="s">
        <v>52</v>
      </c>
      <c r="M10095" s="25">
        <v>254881.09</v>
      </c>
      <c r="N10095" s="27">
        <v>0.41313589566757625</v>
      </c>
    </row>
    <row r="10096" spans="1:14" hidden="1" outlineLevel="1" x14ac:dyDescent="0.2">
      <c r="A10096" s="23" t="str">
        <f t="shared" si="471"/>
        <v>ГБУ КК "ЦОП ПО ПРЫЖКАМ НА БАТУТЕ"</v>
      </c>
      <c r="B10096" s="24" t="s">
        <v>12507</v>
      </c>
      <c r="C10096" s="25">
        <v>434310.24</v>
      </c>
      <c r="D10096" s="22" t="s">
        <v>12508</v>
      </c>
      <c r="E10096" s="22" t="s">
        <v>68</v>
      </c>
      <c r="F10096" s="23" t="str">
        <f t="shared" si="472"/>
        <v>Оказание услуги по охране объекта заказчика</v>
      </c>
      <c r="G10096" s="22" t="s">
        <v>132</v>
      </c>
      <c r="H10096" s="22" t="s">
        <v>132</v>
      </c>
      <c r="I10096" s="26">
        <v>43564.6743055556</v>
      </c>
      <c r="J10096" s="23" t="str">
        <f>HYPERLINK("https://www.spark-marketing.ru/Card/Person/4413368", "ООО ЧОП ""НЕРОН""")</f>
        <v>ООО ЧОП "НЕРОН"</v>
      </c>
      <c r="K10096" s="24" t="s">
        <v>8602</v>
      </c>
      <c r="L10096" s="28" t="s">
        <v>52</v>
      </c>
      <c r="M10096" s="25">
        <v>415524.4</v>
      </c>
      <c r="N10096" s="27">
        <v>4.325442568427583E-2</v>
      </c>
    </row>
    <row r="10097" spans="1:14" x14ac:dyDescent="0.15">
      <c r="A10097" s="23" t="str">
        <f>HYPERLINK("https://www.spark-marketing.ru/Card/Person/353972", "МКП ""ДОРОГИ НОВОКУЗНЕЦКА""")</f>
        <v>МКП "ДОРОГИ НОВОКУЗНЕЦКА"</v>
      </c>
      <c r="B10097" s="24" t="s">
        <v>12511</v>
      </c>
      <c r="C10097" s="25">
        <v>106840.6</v>
      </c>
      <c r="D10097" s="22" t="s">
        <v>12512</v>
      </c>
      <c r="E10097" s="22" t="s">
        <v>49</v>
      </c>
      <c r="F10097" s="23" t="str">
        <f>HYPERLINK("https://www.spark-marketing.ru/Card/Lot/69666415", "Монтажные работы по установке системы видеонаблюдения")</f>
        <v>Монтажные работы по установке системы видеонаблюдения</v>
      </c>
      <c r="G10097" s="22" t="s">
        <v>367</v>
      </c>
      <c r="H10097" s="22" t="s">
        <v>367</v>
      </c>
      <c r="I10097" s="26">
        <v>43564.684745370403</v>
      </c>
      <c r="J10097" s="28" t="s">
        <v>52</v>
      </c>
      <c r="K10097" s="28" t="s">
        <v>52</v>
      </c>
      <c r="L10097" s="28" t="s">
        <v>52</v>
      </c>
      <c r="M10097" s="28" t="s">
        <v>52</v>
      </c>
      <c r="N10097" s="28" t="s">
        <v>52</v>
      </c>
    </row>
    <row r="10098" spans="1:14" x14ac:dyDescent="0.15">
      <c r="A10098" s="23" t="str">
        <f>HYPERLINK("https://www.spark-marketing.ru/Card/Person/3280", "МКУ ""УЖКХ"" МО ""ГОРОД МИРНЫЙ""")</f>
        <v>МКУ "УЖКХ" МО "ГОРОД МИРНЫЙ"</v>
      </c>
      <c r="B10098" s="24" t="s">
        <v>12513</v>
      </c>
      <c r="C10098" s="25">
        <v>458829.36</v>
      </c>
      <c r="D10098" s="22" t="s">
        <v>12514</v>
      </c>
      <c r="E10098" s="22" t="s">
        <v>52</v>
      </c>
      <c r="F10098" s="23" t="str">
        <f>HYPERLINK("https://www.spark-marketing.ru/Card/Lot/69662945", "Услуги частной охраны (охрана Ботанического сада)")</f>
        <v>Услуги частной охраны (охрана Ботанического сада)</v>
      </c>
      <c r="G10098" s="22" t="s">
        <v>424</v>
      </c>
      <c r="H10098" s="22" t="s">
        <v>425</v>
      </c>
      <c r="I10098" s="26">
        <v>43564.704166666699</v>
      </c>
      <c r="J10098" s="28" t="s">
        <v>52</v>
      </c>
      <c r="K10098" s="28" t="s">
        <v>52</v>
      </c>
      <c r="L10098" s="28" t="s">
        <v>52</v>
      </c>
      <c r="M10098" s="28" t="s">
        <v>52</v>
      </c>
      <c r="N10098" s="28" t="s">
        <v>52</v>
      </c>
    </row>
    <row r="10099" spans="1:14" hidden="1" outlineLevel="1" x14ac:dyDescent="0.2">
      <c r="A10099" s="23" t="str">
        <f>HYPERLINK("https://www.spark-marketing.ru/Card/Person/3280", "МКУ ""УЖКХ"" МО ""ГОРОД МИРНЫЙ""")</f>
        <v>МКУ "УЖКХ" МО "ГОРОД МИРНЫЙ"</v>
      </c>
      <c r="B10099" s="24" t="s">
        <v>12513</v>
      </c>
      <c r="C10099" s="25">
        <v>458829.36</v>
      </c>
      <c r="D10099" s="22" t="s">
        <v>12514</v>
      </c>
      <c r="E10099" s="22" t="s">
        <v>52</v>
      </c>
      <c r="F10099" s="23" t="str">
        <f>HYPERLINK("https://www.spark-marketing.ru/Card/Lot/69662945", "Услуги частной охраны (охрана Ботанического сада)")</f>
        <v>Услуги частной охраны (охрана Ботанического сада)</v>
      </c>
      <c r="G10099" s="22" t="s">
        <v>424</v>
      </c>
      <c r="H10099" s="22" t="s">
        <v>425</v>
      </c>
      <c r="I10099" s="26">
        <v>43564.704166666699</v>
      </c>
      <c r="J10099" s="23" t="str">
        <f>HYPERLINK("https://www.spark-marketing.ru/Card/Person/6440687", "Варзакова Кристина Игоревна")</f>
        <v>Варзакова Кристина Игоревна</v>
      </c>
      <c r="K10099" s="24" t="s">
        <v>12515</v>
      </c>
      <c r="L10099" s="28" t="s">
        <v>52</v>
      </c>
      <c r="M10099" s="25">
        <v>280478.7</v>
      </c>
      <c r="N10099" s="27">
        <v>0.38870803734094089</v>
      </c>
    </row>
    <row r="10100" spans="1:14" hidden="1" outlineLevel="1" x14ac:dyDescent="0.2">
      <c r="A10100" s="23" t="str">
        <f>HYPERLINK("https://www.spark-marketing.ru/Card/Person/3280", "МКУ ""УЖКХ"" МО ""ГОРОД МИРНЫЙ""")</f>
        <v>МКУ "УЖКХ" МО "ГОРОД МИРНЫЙ"</v>
      </c>
      <c r="B10100" s="24" t="s">
        <v>12513</v>
      </c>
      <c r="C10100" s="25">
        <v>458829.36</v>
      </c>
      <c r="D10100" s="22" t="s">
        <v>12514</v>
      </c>
      <c r="E10100" s="22" t="s">
        <v>52</v>
      </c>
      <c r="F10100" s="23" t="str">
        <f>HYPERLINK("https://www.spark-marketing.ru/Card/Lot/69662945", "Услуги частной охраны (охрана Ботанического сада)")</f>
        <v>Услуги частной охраны (охрана Ботанического сада)</v>
      </c>
      <c r="G10100" s="22" t="s">
        <v>424</v>
      </c>
      <c r="H10100" s="22" t="s">
        <v>425</v>
      </c>
      <c r="I10100" s="26">
        <v>43564.704166666699</v>
      </c>
      <c r="J10100" s="23" t="str">
        <f>HYPERLINK("https://www.spark-marketing.ru/Card/Person/4594214", "Миронов Михаил Федорович")</f>
        <v>Миронов Михаил Федорович</v>
      </c>
      <c r="K10100" s="24" t="s">
        <v>12516</v>
      </c>
      <c r="L10100" s="28" t="s">
        <v>52</v>
      </c>
      <c r="M10100" s="25">
        <v>346550.74</v>
      </c>
      <c r="N10100" s="27">
        <v>0.2447067031630234</v>
      </c>
    </row>
    <row r="10101" spans="1:14" hidden="1" outlineLevel="1" x14ac:dyDescent="0.2">
      <c r="A10101" s="23" t="str">
        <f>HYPERLINK("https://www.spark-marketing.ru/Card/Person/3280", "МКУ ""УЖКХ"" МО ""ГОРОД МИРНЫЙ""")</f>
        <v>МКУ "УЖКХ" МО "ГОРОД МИРНЫЙ"</v>
      </c>
      <c r="B10101" s="24" t="s">
        <v>12513</v>
      </c>
      <c r="C10101" s="25">
        <v>458829.36</v>
      </c>
      <c r="D10101" s="22" t="s">
        <v>12514</v>
      </c>
      <c r="E10101" s="22" t="s">
        <v>52</v>
      </c>
      <c r="F10101" s="23" t="str">
        <f>HYPERLINK("https://www.spark-marketing.ru/Card/Lot/69662945", "Услуги частной охраны (охрана Ботанического сада)")</f>
        <v>Услуги частной охраны (охрана Ботанического сада)</v>
      </c>
      <c r="G10101" s="22" t="s">
        <v>424</v>
      </c>
      <c r="H10101" s="22" t="s">
        <v>425</v>
      </c>
      <c r="I10101" s="26">
        <v>43564.704166666699</v>
      </c>
      <c r="J10101" s="23" t="str">
        <f>HYPERLINK("https://www.spark-marketing.ru/Card/Person/1261890", "Сахатаев Нюргун Вячеславович")</f>
        <v>Сахатаев Нюргун Вячеславович</v>
      </c>
      <c r="K10101" s="24" t="s">
        <v>12517</v>
      </c>
      <c r="L10101" s="28" t="s">
        <v>52</v>
      </c>
      <c r="M10101" s="25">
        <v>213948.38</v>
      </c>
      <c r="N10101" s="27">
        <v>0.53370817421099648</v>
      </c>
    </row>
    <row r="10102" spans="1:14" ht="12.75" hidden="1" outlineLevel="1" x14ac:dyDescent="0.2">
      <c r="A10102" s="23" t="str">
        <f>HYPERLINK("https://www.spark-marketing.ru/Card/Person/3280", "МКУ ""УЖКХ"" МО ""ГОРОД МИРНЫЙ""")</f>
        <v>МКУ "УЖКХ" МО "ГОРОД МИРНЫЙ"</v>
      </c>
      <c r="B10102" s="24" t="s">
        <v>12513</v>
      </c>
      <c r="C10102" s="25">
        <v>458829.36</v>
      </c>
      <c r="D10102" s="22" t="s">
        <v>12514</v>
      </c>
      <c r="E10102" s="22" t="s">
        <v>52</v>
      </c>
      <c r="F10102" s="23" t="str">
        <f>HYPERLINK("https://www.spark-marketing.ru/Card/Lot/69662945", "Услуги частной охраны (охрана Ботанического сада)")</f>
        <v>Услуги частной охраны (охрана Ботанического сада)</v>
      </c>
      <c r="G10102" s="22" t="s">
        <v>424</v>
      </c>
      <c r="H10102" s="22" t="s">
        <v>425</v>
      </c>
      <c r="I10102" s="26">
        <v>43564.704166666699</v>
      </c>
      <c r="J10102" s="23" t="str">
        <f>HYPERLINK("https://www.spark-marketing.ru/Card/Person/459558", "Амброян Армен Липаритович")</f>
        <v>Амброян Армен Липаритович</v>
      </c>
      <c r="K10102" s="24" t="s">
        <v>12518</v>
      </c>
      <c r="L10102" s="22" t="s">
        <v>10</v>
      </c>
      <c r="M10102" s="25">
        <v>211654</v>
      </c>
      <c r="N10102" s="27">
        <v>0.53870868246094805</v>
      </c>
    </row>
    <row r="10103" spans="1:14" x14ac:dyDescent="0.15">
      <c r="A10103" s="23" t="str">
        <f>HYPERLINK("https://www.spark-marketing.ru/Card/Person/34969", "МЕЖРАЙОННАЯ ИФНС РОССИИ № 18 ПО МОСКОВСКОЙ ОБЛАСТИ")</f>
        <v>МЕЖРАЙОННАЯ ИФНС РОССИИ № 18 ПО МОСКОВСКОЙ ОБЛАСТИ</v>
      </c>
      <c r="B10103" s="24" t="s">
        <v>7013</v>
      </c>
      <c r="C10103" s="25">
        <v>66764.88</v>
      </c>
      <c r="D10103" s="22" t="s">
        <v>12519</v>
      </c>
      <c r="E10103" s="22" t="s">
        <v>53</v>
      </c>
      <c r="F10103" s="23" t="str">
        <f>HYPERLINK("https://www.spark-marketing.ru/Card/Lot/70778369", "Охранные услуги в зданиях, помещениях, их частях или комбинациях, оборудованных действующим комплексом технических средств охраны")</f>
        <v>Охранные услуги в зданиях, помещениях, их частях или комбинациях, оборудованных действующим комплексом технических средств охраны</v>
      </c>
      <c r="G10103" s="22" t="s">
        <v>50</v>
      </c>
      <c r="H10103" s="22" t="s">
        <v>7421</v>
      </c>
      <c r="I10103" s="26">
        <v>43564.676874999997</v>
      </c>
      <c r="J10103" s="28" t="s">
        <v>52</v>
      </c>
      <c r="K10103" s="28" t="s">
        <v>52</v>
      </c>
      <c r="L10103" s="28" t="s">
        <v>52</v>
      </c>
      <c r="M10103" s="28" t="s">
        <v>52</v>
      </c>
      <c r="N10103" s="28" t="s">
        <v>52</v>
      </c>
    </row>
    <row r="10104" spans="1:14" x14ac:dyDescent="0.2">
      <c r="A10104" s="23" t="str">
        <f>HYPERLINK("https://www.spark-marketing.ru/Card/Person/4346931", "РОСЖЕЛДОР")</f>
        <v>РОСЖЕЛДОР</v>
      </c>
      <c r="B10104" s="24" t="s">
        <v>12355</v>
      </c>
      <c r="C10104" s="25">
        <v>1000000</v>
      </c>
      <c r="D10104" s="22" t="s">
        <v>12520</v>
      </c>
      <c r="E10104" s="22" t="s">
        <v>9498</v>
      </c>
      <c r="F10104" s="23" t="str">
        <f>HYPERLINK("https://www.spark-marketing.ru/Card/Lot/69674869", "выполнение научно-исследовательской работы по теме: ""Разработка концепции развития документов технического нормирования в области транспортной безопасности на железнодорожном транспорте""")</f>
        <v>выполнение научно-исследовательской работы по теме: "Разработка концепции развития документов технического нормирования в области транспортной безопасности на железнодорожном транспорте"</v>
      </c>
      <c r="G10104" s="22" t="s">
        <v>55</v>
      </c>
      <c r="H10104" s="22" t="s">
        <v>55</v>
      </c>
      <c r="I10104" s="26">
        <v>43564.630555555603</v>
      </c>
      <c r="J10104" s="23" t="str">
        <f>HYPERLINK("https://www.spark-marketing.ru/Card/Person/63692", "ФГБОУ ВО ""ВЯТСКИЙ ГОСУДАРСТВЕННЫЙ УНИВЕРСИТЕТ"", ВЯТГУ, ВЯТСКИЙ ГОСУДАРСТВЕННЫЙ УНИВЕРСИТЕТ")</f>
        <v>ФГБОУ ВО "ВЯТСКИЙ ГОСУДАРСТВЕННЫЙ УНИВЕРСИТЕТ", ВЯТГУ, ВЯТСКИЙ ГОСУДАРСТВЕННЫЙ УНИВЕРСИТЕТ</v>
      </c>
      <c r="K10104" s="24" t="s">
        <v>12521</v>
      </c>
      <c r="L10104" s="28" t="s">
        <v>52</v>
      </c>
      <c r="M10104" s="25">
        <v>930000</v>
      </c>
      <c r="N10104" s="27">
        <v>7.0000000000000007E-2</v>
      </c>
    </row>
    <row r="10105" spans="1:14" x14ac:dyDescent="0.15">
      <c r="A10105" s="23" t="str">
        <f>HYPERLINK("https://www.spark-marketing.ru/Card/Person/5677", "ФГБУ ""ЦКБ С ПОЛИКЛИНИКОЙ""")</f>
        <v>ФГБУ "ЦКБ С ПОЛИКЛИНИКОЙ"</v>
      </c>
      <c r="B10105" s="24" t="s">
        <v>1150</v>
      </c>
      <c r="C10105" s="25">
        <v>141500</v>
      </c>
      <c r="D10105" s="22" t="s">
        <v>12522</v>
      </c>
      <c r="E10105" s="22" t="s">
        <v>103</v>
      </c>
      <c r="F10105" s="23" t="str">
        <f>HYPERLINK("https://www.spark-marketing.ru/Card/Lot/69676541", "Выполнение работ по эксплуатационно-техническому обслуживанию и содержанию объектов, включая помещения и оборудование, а именно: комплекс регламентно-профилактических работ и техническое обслуживание вызывной палатной сигнализации (ВПС) на объекте ФГ...")</f>
        <v>Выполнение работ по эксплуатационно-техническому обслуживанию и содержанию объектов, включая помещения и оборудование, а именно: комплекс регламентно-профилактических работ и техническое обслуживание вызывной палатной сигнализации (ВПС) на объекте ФГ...</v>
      </c>
      <c r="G10105" s="22" t="s">
        <v>55</v>
      </c>
      <c r="H10105" s="22" t="s">
        <v>55</v>
      </c>
      <c r="I10105" s="26">
        <v>43564.629861111098</v>
      </c>
      <c r="J10105" s="28" t="s">
        <v>52</v>
      </c>
      <c r="K10105" s="28" t="s">
        <v>52</v>
      </c>
      <c r="L10105" s="28" t="s">
        <v>52</v>
      </c>
      <c r="M10105" s="28" t="s">
        <v>52</v>
      </c>
      <c r="N10105" s="28" t="s">
        <v>52</v>
      </c>
    </row>
    <row r="10106" spans="1:14" x14ac:dyDescent="0.15">
      <c r="A10106" s="23" t="str">
        <f>HYPERLINK("https://www.spark-marketing.ru/Card/Person/4347044", "ФГКУ ""УВО ВНГ РОССИИ ПО Г. СПБ И ЛО""")</f>
        <v>ФГКУ "УВО ВНГ РОССИИ ПО Г. СПБ И ЛО"</v>
      </c>
      <c r="B10106" s="24" t="s">
        <v>8969</v>
      </c>
      <c r="C10106" s="25">
        <v>22071112</v>
      </c>
      <c r="D10106" s="22" t="s">
        <v>12523</v>
      </c>
      <c r="E10106" s="22" t="s">
        <v>1130</v>
      </c>
      <c r="F10106" s="23" t="str">
        <f>HYPERLINK("https://www.spark-marketing.ru/Card/Lot/69678376", "Комплексная услуга по передаче данных с целью выполнения задач по охране объектов различных форм собственности и мест хранения личного имущества граждан, решения оперативно-служебных задач по охране общественного порядка")</f>
        <v>Комплексная услуга по передаче данных с целью выполнения задач по охране объектов различных форм собственности и мест хранения личного имущества граждан, решения оперативно-служебных задач по охране общественного порядка</v>
      </c>
      <c r="G10106" s="22" t="s">
        <v>89</v>
      </c>
      <c r="H10106" s="22" t="s">
        <v>89</v>
      </c>
      <c r="I10106" s="26">
        <v>43564.652083333298</v>
      </c>
      <c r="J10106" s="28" t="s">
        <v>52</v>
      </c>
      <c r="K10106" s="28" t="s">
        <v>52</v>
      </c>
      <c r="L10106" s="28" t="s">
        <v>52</v>
      </c>
      <c r="M10106" s="28" t="s">
        <v>52</v>
      </c>
      <c r="N10106" s="28" t="s">
        <v>52</v>
      </c>
    </row>
    <row r="10107" spans="1:14" x14ac:dyDescent="0.15">
      <c r="A10107" s="23" t="str">
        <f>HYPERLINK("https://www.spark-marketing.ru/Card/Person/4910", "КУ Г.О. САРАНСК ""ДИРЕКЦИЯ КОММУНАЛЬНОГО ХОЗЯЙСТВА И БЛАГОУСТРОЙСТВА""")</f>
        <v>КУ Г.О. САРАНСК "ДИРЕКЦИЯ КОММУНАЛЬНОГО ХОЗЯЙСТВА И БЛАГОУСТРОЙСТВА"</v>
      </c>
      <c r="B10107" s="24" t="s">
        <v>12524</v>
      </c>
      <c r="C10107" s="25">
        <v>8088600</v>
      </c>
      <c r="D10107" s="22" t="s">
        <v>12525</v>
      </c>
      <c r="E10107" s="22" t="s">
        <v>68</v>
      </c>
      <c r="F10107" s="23" t="str">
        <f>HYPERLINK("https://www.spark-marketing.ru/Card/Lot/69674363", "Оказание услуг по обеспечению транспортной безопасности и антитеррористической защищенности объектов транспортной инфраструктуры")</f>
        <v>Оказание услуг по обеспечению транспортной безопасности и антитеррористической защищенности объектов транспортной инфраструктуры</v>
      </c>
      <c r="G10107" s="22" t="s">
        <v>331</v>
      </c>
      <c r="H10107" s="22" t="s">
        <v>332</v>
      </c>
      <c r="I10107" s="26">
        <v>43564.633333333302</v>
      </c>
      <c r="J10107" s="28" t="s">
        <v>52</v>
      </c>
      <c r="K10107" s="28" t="s">
        <v>52</v>
      </c>
      <c r="L10107" s="28" t="s">
        <v>52</v>
      </c>
      <c r="M10107" s="28" t="s">
        <v>52</v>
      </c>
      <c r="N10107" s="28" t="s">
        <v>52</v>
      </c>
    </row>
    <row r="10108" spans="1:14" hidden="1" outlineLevel="1" x14ac:dyDescent="0.2">
      <c r="A10108" s="23" t="str">
        <f>HYPERLINK("https://www.spark-marketing.ru/Card/Person/4910", "КУ Г.О. САРАНСК ""ДИРЕКЦИЯ КОММУНАЛЬНОГО ХОЗЯЙСТВА И БЛАГОУСТРОЙСТВА""")</f>
        <v>КУ Г.О. САРАНСК "ДИРЕКЦИЯ КОММУНАЛЬНОГО ХОЗЯЙСТВА И БЛАГОУСТРОЙСТВА"</v>
      </c>
      <c r="B10108" s="24" t="s">
        <v>12524</v>
      </c>
      <c r="C10108" s="25">
        <v>8088600</v>
      </c>
      <c r="D10108" s="22" t="s">
        <v>12525</v>
      </c>
      <c r="E10108" s="22" t="s">
        <v>68</v>
      </c>
      <c r="F10108" s="23" t="str">
        <f>HYPERLINK("https://www.spark-marketing.ru/Card/Lot/69674363", "Оказание услуг по обеспечению транспортной безопасности и антитеррористической защищенности объектов транспортной инфраструктуры")</f>
        <v>Оказание услуг по обеспечению транспортной безопасности и антитеррористической защищенности объектов транспортной инфраструктуры</v>
      </c>
      <c r="G10108" s="22" t="s">
        <v>331</v>
      </c>
      <c r="H10108" s="22" t="s">
        <v>332</v>
      </c>
      <c r="I10108" s="26">
        <v>43564.633333333302</v>
      </c>
      <c r="J10108" s="23" t="str">
        <f>HYPERLINK("https://www.spark-marketing.ru/Card/Person/6242877", "ООО ""ТБ - ГРУПП СВ""")</f>
        <v>ООО "ТБ - ГРУПП СВ"</v>
      </c>
      <c r="K10108" s="24" t="s">
        <v>12526</v>
      </c>
      <c r="L10108" s="28" t="s">
        <v>52</v>
      </c>
      <c r="M10108" s="25">
        <v>7926828</v>
      </c>
      <c r="N10108" s="27">
        <v>0.02</v>
      </c>
    </row>
    <row r="10109" spans="1:14" hidden="1" outlineLevel="1" x14ac:dyDescent="0.15">
      <c r="A10109" s="23" t="str">
        <f>HYPERLINK("https://www.spark-marketing.ru/Card/Person/4910", "КУ Г.О. САРАНСК ""ДИРЕКЦИЯ КОММУНАЛЬНОГО ХОЗЯЙСТВА И БЛАГОУСТРОЙСТВА""")</f>
        <v>КУ Г.О. САРАНСК "ДИРЕКЦИЯ КОММУНАЛЬНОГО ХОЗЯЙСТВА И БЛАГОУСТРОЙСТВА"</v>
      </c>
      <c r="B10109" s="24" t="s">
        <v>12524</v>
      </c>
      <c r="C10109" s="25">
        <v>8088600</v>
      </c>
      <c r="D10109" s="22" t="s">
        <v>12525</v>
      </c>
      <c r="E10109" s="22" t="s">
        <v>68</v>
      </c>
      <c r="F10109" s="23" t="str">
        <f>HYPERLINK("https://www.spark-marketing.ru/Card/Lot/69674363", "Оказание услуг по обеспечению транспортной безопасности и антитеррористической защищенности объектов транспортной инфраструктуры")</f>
        <v>Оказание услуг по обеспечению транспортной безопасности и антитеррористической защищенности объектов транспортной инфраструктуры</v>
      </c>
      <c r="G10109" s="22" t="s">
        <v>331</v>
      </c>
      <c r="H10109" s="22" t="s">
        <v>332</v>
      </c>
      <c r="I10109" s="26">
        <v>43564.633333333302</v>
      </c>
      <c r="J10109" s="23" t="str">
        <f>HYPERLINK("https://www.spark-marketing.ru/Card/Person/2038990", "ООО ""СТБ""")</f>
        <v>ООО "СТБ"</v>
      </c>
      <c r="K10109" s="24" t="s">
        <v>2244</v>
      </c>
      <c r="L10109" s="22" t="s">
        <v>10</v>
      </c>
      <c r="M10109" s="28" t="s">
        <v>52</v>
      </c>
      <c r="N10109" s="28" t="s">
        <v>52</v>
      </c>
    </row>
    <row r="10110" spans="1:14" x14ac:dyDescent="0.15">
      <c r="A10110" s="23" t="str">
        <f>HYPERLINK("https://www.spark-marketing.ru/Card/Person/10991", "ПАО ""РОСТЕЛЕКОМ""")</f>
        <v>ПАО "РОСТЕЛЕКОМ"</v>
      </c>
      <c r="B10110" s="24" t="s">
        <v>607</v>
      </c>
      <c r="C10110" s="25">
        <v>4000000</v>
      </c>
      <c r="D10110" s="22" t="s">
        <v>12527</v>
      </c>
      <c r="E10110" s="22" t="s">
        <v>2149</v>
      </c>
      <c r="F10110" s="23" t="str">
        <f>HYPERLINK("https://www.spark-marketing.ru/Card/Lot/69685505", "Услуги ПЦН")</f>
        <v>Услуги ПЦН</v>
      </c>
      <c r="G10110" s="22" t="s">
        <v>89</v>
      </c>
      <c r="H10110" s="22" t="s">
        <v>89</v>
      </c>
      <c r="I10110" s="26">
        <v>43564.651076388902</v>
      </c>
      <c r="J10110" s="28" t="s">
        <v>52</v>
      </c>
      <c r="K10110" s="28" t="s">
        <v>52</v>
      </c>
      <c r="L10110" s="28" t="s">
        <v>52</v>
      </c>
      <c r="M10110" s="28" t="s">
        <v>52</v>
      </c>
      <c r="N10110" s="28" t="s">
        <v>52</v>
      </c>
    </row>
    <row r="10111" spans="1:14" hidden="1" outlineLevel="1" x14ac:dyDescent="0.2">
      <c r="A10111" s="23" t="str">
        <f>HYPERLINK("https://www.spark-marketing.ru/Card/Person/10991", "ПАО ""РОСТЕЛЕКОМ""")</f>
        <v>ПАО "РОСТЕЛЕКОМ"</v>
      </c>
      <c r="B10111" s="24" t="s">
        <v>607</v>
      </c>
      <c r="C10111" s="28" t="s">
        <v>52</v>
      </c>
      <c r="D10111" s="22" t="s">
        <v>12527</v>
      </c>
      <c r="E10111" s="22" t="s">
        <v>2149</v>
      </c>
      <c r="F10111" s="23" t="str">
        <f>HYPERLINK("https://www.spark-marketing.ru/Card/Lot/69685505", "Услуги ПЦН")</f>
        <v>Услуги ПЦН</v>
      </c>
      <c r="G10111" s="22" t="s">
        <v>89</v>
      </c>
      <c r="H10111" s="22" t="s">
        <v>89</v>
      </c>
      <c r="I10111" s="26">
        <v>43564.651076388902</v>
      </c>
      <c r="J10111" s="23" t="str">
        <f>HYPERLINK("https://www.spark-marketing.ru/Card/Person/333342", "ООО ""ЧОО ""БАЯЗЕТ""")</f>
        <v>ООО "ЧОО "БАЯЗЕТ"</v>
      </c>
      <c r="K10111" s="24" t="s">
        <v>8655</v>
      </c>
      <c r="L10111" s="28" t="s">
        <v>52</v>
      </c>
      <c r="M10111" s="25">
        <v>5.16</v>
      </c>
      <c r="N10111" s="27">
        <v>0.99999870999999996</v>
      </c>
    </row>
    <row r="10112" spans="1:14" hidden="1" outlineLevel="1" x14ac:dyDescent="0.2">
      <c r="A10112" s="23" t="str">
        <f>HYPERLINK("https://www.spark-marketing.ru/Card/Person/10991", "ПАО ""РОСТЕЛЕКОМ""")</f>
        <v>ПАО "РОСТЕЛЕКОМ"</v>
      </c>
      <c r="B10112" s="24" t="s">
        <v>607</v>
      </c>
      <c r="C10112" s="28" t="s">
        <v>52</v>
      </c>
      <c r="D10112" s="22" t="s">
        <v>12527</v>
      </c>
      <c r="E10112" s="22" t="s">
        <v>2149</v>
      </c>
      <c r="F10112" s="23" t="str">
        <f>HYPERLINK("https://www.spark-marketing.ru/Card/Lot/69685505", "Услуги ПЦН")</f>
        <v>Услуги ПЦН</v>
      </c>
      <c r="G10112" s="22" t="s">
        <v>89</v>
      </c>
      <c r="H10112" s="22" t="s">
        <v>89</v>
      </c>
      <c r="I10112" s="26">
        <v>43564.651076388902</v>
      </c>
      <c r="J10112" s="23" t="str">
        <f>HYPERLINK("https://www.spark-marketing.ru/Card/Person/261680", "ООО ""ЧОО ""ВЫМПЕЛ""")</f>
        <v>ООО "ЧОО "ВЫМПЕЛ"</v>
      </c>
      <c r="K10112" s="24" t="s">
        <v>12528</v>
      </c>
      <c r="L10112" s="22" t="s">
        <v>10</v>
      </c>
      <c r="M10112" s="25">
        <v>5.13</v>
      </c>
      <c r="N10112" s="27">
        <v>0.99999871750000002</v>
      </c>
    </row>
    <row r="10113" spans="1:14" x14ac:dyDescent="0.15">
      <c r="A10113" s="23" t="str">
        <f>HYPERLINK("https://www.spark-marketing.ru/Card/Person/4346324", "ПАО ""ФСК ЕЭС""")</f>
        <v>ПАО "ФСК ЕЭС"</v>
      </c>
      <c r="B10113" s="24" t="s">
        <v>361</v>
      </c>
      <c r="C10113" s="25">
        <v>3599833.1</v>
      </c>
      <c r="D10113" s="22" t="s">
        <v>12529</v>
      </c>
      <c r="E10113" s="22" t="s">
        <v>363</v>
      </c>
      <c r="F10113" s="23" t="str">
        <f>HYPERLINK("https://www.spark-marketing.ru/Card/Lot/69671531", "Оказание услуг по физической охране объекта производственый участок Калужского РМЭС Приокского ПМЭС")</f>
        <v>Оказание услуг по физической охране объекта производственый участок Калужского РМЭС Приокского ПМЭС</v>
      </c>
      <c r="G10113" s="22" t="s">
        <v>658</v>
      </c>
      <c r="H10113" s="22" t="s">
        <v>658</v>
      </c>
      <c r="I10113" s="26">
        <v>43564.624085648102</v>
      </c>
      <c r="J10113" s="28" t="s">
        <v>52</v>
      </c>
      <c r="K10113" s="28" t="s">
        <v>52</v>
      </c>
      <c r="L10113" s="28" t="s">
        <v>52</v>
      </c>
      <c r="M10113" s="28" t="s">
        <v>52</v>
      </c>
      <c r="N10113" s="28" t="s">
        <v>52</v>
      </c>
    </row>
    <row r="10114" spans="1:14" hidden="1" outlineLevel="1" x14ac:dyDescent="0.2">
      <c r="A10114" s="23" t="str">
        <f>HYPERLINK("https://www.spark-marketing.ru/Card/Person/4346324", "ПАО ""ФСК ЕЭС""")</f>
        <v>ПАО "ФСК ЕЭС"</v>
      </c>
      <c r="B10114" s="24" t="s">
        <v>361</v>
      </c>
      <c r="C10114" s="28" t="s">
        <v>52</v>
      </c>
      <c r="D10114" s="22" t="s">
        <v>12529</v>
      </c>
      <c r="E10114" s="22" t="s">
        <v>363</v>
      </c>
      <c r="F10114" s="23" t="str">
        <f>HYPERLINK("https://www.spark-marketing.ru/Card/Lot/69671531", "Оказание услуг по физической охране объекта производственый участок Калужского РМЭС Приокского ПМЭС")</f>
        <v>Оказание услуг по физической охране объекта производственый участок Калужского РМЭС Приокского ПМЭС</v>
      </c>
      <c r="G10114" s="22" t="s">
        <v>658</v>
      </c>
      <c r="H10114" s="22" t="s">
        <v>658</v>
      </c>
      <c r="I10114" s="26">
        <v>43564.624085648102</v>
      </c>
      <c r="J10114" s="23" t="str">
        <f>HYPERLINK("https://www.spark-marketing.ru/Card/Person/61021", "ООО ЧОП ""НИКА""")</f>
        <v>ООО ЧОП "НИКА"</v>
      </c>
      <c r="K10114" s="24" t="s">
        <v>12530</v>
      </c>
      <c r="L10114" s="22" t="s">
        <v>10</v>
      </c>
      <c r="M10114" s="25">
        <v>2893440</v>
      </c>
      <c r="N10114" s="27">
        <v>0.19622940296870986</v>
      </c>
    </row>
    <row r="10115" spans="1:14" hidden="1" outlineLevel="1" x14ac:dyDescent="0.2">
      <c r="A10115" s="23" t="str">
        <f>HYPERLINK("https://www.spark-marketing.ru/Card/Person/4346324", "ПАО ""ФСК ЕЭС""")</f>
        <v>ПАО "ФСК ЕЭС"</v>
      </c>
      <c r="B10115" s="24" t="s">
        <v>361</v>
      </c>
      <c r="C10115" s="28" t="s">
        <v>52</v>
      </c>
      <c r="D10115" s="22" t="s">
        <v>12529</v>
      </c>
      <c r="E10115" s="22" t="s">
        <v>363</v>
      </c>
      <c r="F10115" s="23" t="str">
        <f>HYPERLINK("https://www.spark-marketing.ru/Card/Lot/69671531", "Оказание услуг по физической охране объекта производственый участок Калужского РМЭС Приокского ПМЭС")</f>
        <v>Оказание услуг по физической охране объекта производственый участок Калужского РМЭС Приокского ПМЭС</v>
      </c>
      <c r="G10115" s="22" t="s">
        <v>658</v>
      </c>
      <c r="H10115" s="22" t="s">
        <v>658</v>
      </c>
      <c r="I10115" s="26">
        <v>43564.624085648102</v>
      </c>
      <c r="J10115" s="23" t="str">
        <f>HYPERLINK("https://www.spark-marketing.ru/Card/Person/637923", "ООО ЧОО ""ДИНАМО-Н""")</f>
        <v>ООО ЧОО "ДИНАМО-Н"</v>
      </c>
      <c r="K10115" s="24" t="s">
        <v>12531</v>
      </c>
      <c r="L10115" s="28" t="s">
        <v>52</v>
      </c>
      <c r="M10115" s="25">
        <v>2874780</v>
      </c>
      <c r="N10115" s="27">
        <v>0.20141297661827712</v>
      </c>
    </row>
    <row r="10116" spans="1:14" x14ac:dyDescent="0.15">
      <c r="A10116" s="23" t="str">
        <f>HYPERLINK("https://www.spark-marketing.ru/Card/Person/9633", "МИНСТРОЙ ИНГУШЕТИИ")</f>
        <v>МИНСТРОЙ ИНГУШЕТИИ</v>
      </c>
      <c r="B10116" s="24" t="s">
        <v>646</v>
      </c>
      <c r="C10116" s="25">
        <v>7946760</v>
      </c>
      <c r="D10116" s="22" t="s">
        <v>12532</v>
      </c>
      <c r="E10116" s="22" t="s">
        <v>218</v>
      </c>
      <c r="F10116" s="23" t="str">
        <f>HYPERLINK("https://www.spark-marketing.ru/Card/Lot/69674640", "Оказание услуг по строительному контролю и техническому сопровождению работ по объекту «Строительство психоневрологического диспансера в с. п. Плиево»")</f>
        <v>Оказание услуг по строительному контролю и техническому сопровождению работ по объекту «Строительство психоневрологического диспансера в с. п. Плиево»</v>
      </c>
      <c r="G10116" s="22" t="s">
        <v>648</v>
      </c>
      <c r="H10116" s="22" t="s">
        <v>648</v>
      </c>
      <c r="I10116" s="26">
        <v>43564.587500000001</v>
      </c>
      <c r="J10116" s="28" t="s">
        <v>52</v>
      </c>
      <c r="K10116" s="28" t="s">
        <v>52</v>
      </c>
      <c r="L10116" s="28" t="s">
        <v>52</v>
      </c>
      <c r="M10116" s="28" t="s">
        <v>52</v>
      </c>
      <c r="N10116" s="28" t="s">
        <v>52</v>
      </c>
    </row>
    <row r="10117" spans="1:14" ht="12.75" hidden="1" outlineLevel="1" x14ac:dyDescent="0.2">
      <c r="A10117" s="23" t="str">
        <f>HYPERLINK("https://www.spark-marketing.ru/Card/Person/9633", "МИНСТРОЙ ИНГУШЕТИИ")</f>
        <v>МИНСТРОЙ ИНГУШЕТИИ</v>
      </c>
      <c r="B10117" s="24" t="s">
        <v>646</v>
      </c>
      <c r="C10117" s="25">
        <v>7946760</v>
      </c>
      <c r="D10117" s="22" t="s">
        <v>12532</v>
      </c>
      <c r="E10117" s="22" t="s">
        <v>218</v>
      </c>
      <c r="F10117" s="23" t="str">
        <f>HYPERLINK("https://www.spark-marketing.ru/Card/Lot/69674640", "Оказание услуг по строительному контролю и техническому сопровождению работ по объекту «Строительство психоневрологического диспансера в с. п. Плиево»")</f>
        <v>Оказание услуг по строительному контролю и техническому сопровождению работ по объекту «Строительство психоневрологического диспансера в с. п. Плиево»</v>
      </c>
      <c r="G10117" s="22" t="s">
        <v>648</v>
      </c>
      <c r="H10117" s="22" t="s">
        <v>648</v>
      </c>
      <c r="I10117" s="26">
        <v>43564.587500000001</v>
      </c>
      <c r="J10117" s="23" t="str">
        <f>HYPERLINK("https://www.spark-marketing.ru/Card/Person/259250", "ГУП""УКС РИ""")</f>
        <v>ГУП"УКС РИ"</v>
      </c>
      <c r="K10117" s="24" t="s">
        <v>7151</v>
      </c>
      <c r="L10117" s="22" t="s">
        <v>10</v>
      </c>
      <c r="M10117" s="25">
        <v>7200000</v>
      </c>
      <c r="N10117" s="27">
        <v>9.3970372831191584E-2</v>
      </c>
    </row>
    <row r="10118" spans="1:14" hidden="1" outlineLevel="1" x14ac:dyDescent="0.2">
      <c r="A10118" s="23" t="str">
        <f>HYPERLINK("https://www.spark-marketing.ru/Card/Person/9633", "МИНСТРОЙ ИНГУШЕТИИ")</f>
        <v>МИНСТРОЙ ИНГУШЕТИИ</v>
      </c>
      <c r="B10118" s="24" t="s">
        <v>646</v>
      </c>
      <c r="C10118" s="25">
        <v>7946760</v>
      </c>
      <c r="D10118" s="22" t="s">
        <v>12532</v>
      </c>
      <c r="E10118" s="22" t="s">
        <v>218</v>
      </c>
      <c r="F10118" s="23" t="str">
        <f>HYPERLINK("https://www.spark-marketing.ru/Card/Lot/69674640", "Оказание услуг по строительному контролю и техническому сопровождению работ по объекту «Строительство психоневрологического диспансера в с. п. Плиево»")</f>
        <v>Оказание услуг по строительному контролю и техническому сопровождению работ по объекту «Строительство психоневрологического диспансера в с. п. Плиево»</v>
      </c>
      <c r="G10118" s="22" t="s">
        <v>648</v>
      </c>
      <c r="H10118" s="22" t="s">
        <v>648</v>
      </c>
      <c r="I10118" s="26">
        <v>43564.587500000001</v>
      </c>
      <c r="J10118" s="23" t="str">
        <f>HYPERLINK("https://www.spark-marketing.ru/Card/Person/235288", "ФГБУ ""ЦНИИП МИНСТРОЯ РОССИИ""")</f>
        <v>ФГБУ "ЦНИИП МИНСТРОЯ РОССИИ"</v>
      </c>
      <c r="K10118" s="24" t="s">
        <v>12533</v>
      </c>
      <c r="L10118" s="28" t="s">
        <v>52</v>
      </c>
      <c r="M10118" s="25">
        <v>6350000</v>
      </c>
      <c r="N10118" s="27">
        <v>0.20093220381639812</v>
      </c>
    </row>
    <row r="10119" spans="1:14" x14ac:dyDescent="0.15">
      <c r="A10119" s="23" t="str">
        <f t="shared" ref="A10119:A10127" si="473">HYPERLINK("https://www.spark-marketing.ru/Card/Person/4347226", "ФГБОУ ВО ЧУВАШСКАЯ ГСХА")</f>
        <v>ФГБОУ ВО ЧУВАШСКАЯ ГСХА</v>
      </c>
      <c r="B10119" s="24" t="s">
        <v>12534</v>
      </c>
      <c r="C10119" s="25">
        <v>398655.43</v>
      </c>
      <c r="D10119" s="22" t="s">
        <v>12535</v>
      </c>
      <c r="E10119" s="22" t="s">
        <v>84</v>
      </c>
      <c r="F10119" s="23" t="str">
        <f t="shared" ref="F10119:F10127" si="474">HYPERLINK("https://www.spark-marketing.ru/Card/Lot/69673772", "Поставка и установка системы видеонаблюдения")</f>
        <v>Поставка и установка системы видеонаблюдения</v>
      </c>
      <c r="G10119" s="22" t="s">
        <v>1137</v>
      </c>
      <c r="H10119" s="22" t="s">
        <v>1138</v>
      </c>
      <c r="I10119" s="26">
        <v>43564.618055555598</v>
      </c>
      <c r="J10119" s="28" t="s">
        <v>52</v>
      </c>
      <c r="K10119" s="28" t="s">
        <v>52</v>
      </c>
      <c r="L10119" s="28" t="s">
        <v>52</v>
      </c>
      <c r="M10119" s="28" t="s">
        <v>52</v>
      </c>
      <c r="N10119" s="28" t="s">
        <v>52</v>
      </c>
    </row>
    <row r="10120" spans="1:14" hidden="1" outlineLevel="1" x14ac:dyDescent="0.2">
      <c r="A10120" s="23" t="str">
        <f t="shared" si="473"/>
        <v>ФГБОУ ВО ЧУВАШСКАЯ ГСХА</v>
      </c>
      <c r="B10120" s="24" t="s">
        <v>12534</v>
      </c>
      <c r="C10120" s="25">
        <v>398655.43</v>
      </c>
      <c r="D10120" s="22" t="s">
        <v>12535</v>
      </c>
      <c r="E10120" s="22" t="s">
        <v>84</v>
      </c>
      <c r="F10120" s="23" t="str">
        <f t="shared" si="474"/>
        <v>Поставка и установка системы видеонаблюдения</v>
      </c>
      <c r="G10120" s="22" t="s">
        <v>1137</v>
      </c>
      <c r="H10120" s="22" t="s">
        <v>1138</v>
      </c>
      <c r="I10120" s="26">
        <v>43564.618055555598</v>
      </c>
      <c r="J10120" s="23" t="str">
        <f>HYPERLINK("https://www.spark-marketing.ru/Card/Person/6442971", "ООО ""НСБ""")</f>
        <v>ООО "НСБ"</v>
      </c>
      <c r="K10120" s="24" t="s">
        <v>12536</v>
      </c>
      <c r="L10120" s="28" t="s">
        <v>52</v>
      </c>
      <c r="M10120" s="25">
        <v>333000</v>
      </c>
      <c r="N10120" s="27">
        <v>0.16469217539567943</v>
      </c>
    </row>
    <row r="10121" spans="1:14" ht="12.75" hidden="1" outlineLevel="1" x14ac:dyDescent="0.2">
      <c r="A10121" s="23" t="str">
        <f t="shared" si="473"/>
        <v>ФГБОУ ВО ЧУВАШСКАЯ ГСХА</v>
      </c>
      <c r="B10121" s="24" t="s">
        <v>12534</v>
      </c>
      <c r="C10121" s="25">
        <v>398655.43</v>
      </c>
      <c r="D10121" s="22" t="s">
        <v>12535</v>
      </c>
      <c r="E10121" s="22" t="s">
        <v>84</v>
      </c>
      <c r="F10121" s="23" t="str">
        <f t="shared" si="474"/>
        <v>Поставка и установка системы видеонаблюдения</v>
      </c>
      <c r="G10121" s="22" t="s">
        <v>1137</v>
      </c>
      <c r="H10121" s="22" t="s">
        <v>1138</v>
      </c>
      <c r="I10121" s="26">
        <v>43564.618055555598</v>
      </c>
      <c r="J10121" s="23" t="str">
        <f>HYPERLINK("https://www.spark-marketing.ru/Card/Person/6492186", "Ленинградский Евгений Владимирович")</f>
        <v>Ленинградский Евгений Владимирович</v>
      </c>
      <c r="K10121" s="24" t="s">
        <v>4320</v>
      </c>
      <c r="L10121" s="22" t="s">
        <v>10</v>
      </c>
      <c r="M10121" s="25">
        <v>277700</v>
      </c>
      <c r="N10121" s="27">
        <v>0.30340845978192243</v>
      </c>
    </row>
    <row r="10122" spans="1:14" hidden="1" outlineLevel="1" x14ac:dyDescent="0.2">
      <c r="A10122" s="23" t="str">
        <f t="shared" si="473"/>
        <v>ФГБОУ ВО ЧУВАШСКАЯ ГСХА</v>
      </c>
      <c r="B10122" s="24" t="s">
        <v>12534</v>
      </c>
      <c r="C10122" s="25">
        <v>398655.43</v>
      </c>
      <c r="D10122" s="22" t="s">
        <v>12535</v>
      </c>
      <c r="E10122" s="22" t="s">
        <v>84</v>
      </c>
      <c r="F10122" s="23" t="str">
        <f t="shared" si="474"/>
        <v>Поставка и установка системы видеонаблюдения</v>
      </c>
      <c r="G10122" s="22" t="s">
        <v>1137</v>
      </c>
      <c r="H10122" s="22" t="s">
        <v>1138</v>
      </c>
      <c r="I10122" s="26">
        <v>43564.618055555598</v>
      </c>
      <c r="J10122" s="23" t="str">
        <f>HYPERLINK("https://www.spark-marketing.ru/Card/Person/5853123", "Ершов Андрей Алексеевич")</f>
        <v>Ершов Андрей Алексеевич</v>
      </c>
      <c r="K10122" s="24" t="s">
        <v>1063</v>
      </c>
      <c r="L10122" s="28" t="s">
        <v>52</v>
      </c>
      <c r="M10122" s="25">
        <v>280000</v>
      </c>
      <c r="N10122" s="27">
        <v>0.29763906639876947</v>
      </c>
    </row>
    <row r="10123" spans="1:14" hidden="1" outlineLevel="1" x14ac:dyDescent="0.2">
      <c r="A10123" s="23" t="str">
        <f t="shared" si="473"/>
        <v>ФГБОУ ВО ЧУВАШСКАЯ ГСХА</v>
      </c>
      <c r="B10123" s="24" t="s">
        <v>12534</v>
      </c>
      <c r="C10123" s="25">
        <v>398655.43</v>
      </c>
      <c r="D10123" s="22" t="s">
        <v>12535</v>
      </c>
      <c r="E10123" s="22" t="s">
        <v>84</v>
      </c>
      <c r="F10123" s="23" t="str">
        <f t="shared" si="474"/>
        <v>Поставка и установка системы видеонаблюдения</v>
      </c>
      <c r="G10123" s="22" t="s">
        <v>1137</v>
      </c>
      <c r="H10123" s="22" t="s">
        <v>1138</v>
      </c>
      <c r="I10123" s="26">
        <v>43564.618055555598</v>
      </c>
      <c r="J10123" s="23" t="str">
        <f>HYPERLINK("https://www.spark-marketing.ru/Card/Person/227516", "ООО ""ИННОТЕК""")</f>
        <v>ООО "ИННОТЕК"</v>
      </c>
      <c r="K10123" s="24" t="s">
        <v>12537</v>
      </c>
      <c r="L10123" s="28" t="s">
        <v>52</v>
      </c>
      <c r="M10123" s="25">
        <v>281019</v>
      </c>
      <c r="N10123" s="27">
        <v>0.29508297428684216</v>
      </c>
    </row>
    <row r="10124" spans="1:14" hidden="1" outlineLevel="1" x14ac:dyDescent="0.2">
      <c r="A10124" s="23" t="str">
        <f t="shared" si="473"/>
        <v>ФГБОУ ВО ЧУВАШСКАЯ ГСХА</v>
      </c>
      <c r="B10124" s="24" t="s">
        <v>12534</v>
      </c>
      <c r="C10124" s="25">
        <v>398655.43</v>
      </c>
      <c r="D10124" s="22" t="s">
        <v>12535</v>
      </c>
      <c r="E10124" s="22" t="s">
        <v>84</v>
      </c>
      <c r="F10124" s="23" t="str">
        <f t="shared" si="474"/>
        <v>Поставка и установка системы видеонаблюдения</v>
      </c>
      <c r="G10124" s="22" t="s">
        <v>1137</v>
      </c>
      <c r="H10124" s="22" t="s">
        <v>1138</v>
      </c>
      <c r="I10124" s="26">
        <v>43564.618055555598</v>
      </c>
      <c r="J10124" s="23" t="str">
        <f>HYPERLINK("https://www.spark-marketing.ru/Card/Person/526586", "ООО ""МОНТАЖНАЯ КОМПАНИЯ СИСТЕМ БЕЗОПАСНОСТИ""")</f>
        <v>ООО "МОНТАЖНАЯ КОМПАНИЯ СИСТЕМ БЕЗОПАСНОСТИ"</v>
      </c>
      <c r="K10124" s="24" t="s">
        <v>4708</v>
      </c>
      <c r="L10124" s="28" t="s">
        <v>52</v>
      </c>
      <c r="M10124" s="25">
        <v>320000</v>
      </c>
      <c r="N10124" s="27">
        <v>0.19730179017002228</v>
      </c>
    </row>
    <row r="10125" spans="1:14" hidden="1" outlineLevel="1" x14ac:dyDescent="0.2">
      <c r="A10125" s="23" t="str">
        <f t="shared" si="473"/>
        <v>ФГБОУ ВО ЧУВАШСКАЯ ГСХА</v>
      </c>
      <c r="B10125" s="24" t="s">
        <v>12534</v>
      </c>
      <c r="C10125" s="25">
        <v>398655.43</v>
      </c>
      <c r="D10125" s="22" t="s">
        <v>12535</v>
      </c>
      <c r="E10125" s="22" t="s">
        <v>84</v>
      </c>
      <c r="F10125" s="23" t="str">
        <f t="shared" si="474"/>
        <v>Поставка и установка системы видеонаблюдения</v>
      </c>
      <c r="G10125" s="22" t="s">
        <v>1137</v>
      </c>
      <c r="H10125" s="22" t="s">
        <v>1138</v>
      </c>
      <c r="I10125" s="26">
        <v>43564.618055555598</v>
      </c>
      <c r="J10125" s="23" t="str">
        <f>HYPERLINK("https://www.spark-marketing.ru/Card/Person/373243", "Васильев Александр Геннадьевич")</f>
        <v>Васильев Александр Геннадьевич</v>
      </c>
      <c r="K10125" s="24" t="s">
        <v>2516</v>
      </c>
      <c r="L10125" s="28" t="s">
        <v>52</v>
      </c>
      <c r="M10125" s="25">
        <v>334000</v>
      </c>
      <c r="N10125" s="27">
        <v>0.16218374348996073</v>
      </c>
    </row>
    <row r="10126" spans="1:14" hidden="1" outlineLevel="1" x14ac:dyDescent="0.2">
      <c r="A10126" s="23" t="str">
        <f t="shared" si="473"/>
        <v>ФГБОУ ВО ЧУВАШСКАЯ ГСХА</v>
      </c>
      <c r="B10126" s="24" t="s">
        <v>12534</v>
      </c>
      <c r="C10126" s="25">
        <v>398655.43</v>
      </c>
      <c r="D10126" s="22" t="s">
        <v>12535</v>
      </c>
      <c r="E10126" s="22" t="s">
        <v>84</v>
      </c>
      <c r="F10126" s="23" t="str">
        <f t="shared" si="474"/>
        <v>Поставка и установка системы видеонаблюдения</v>
      </c>
      <c r="G10126" s="22" t="s">
        <v>1137</v>
      </c>
      <c r="H10126" s="22" t="s">
        <v>1138</v>
      </c>
      <c r="I10126" s="26">
        <v>43564.618055555598</v>
      </c>
      <c r="J10126" s="23" t="str">
        <f>HYPERLINK("https://www.spark-marketing.ru/Card/Person/6528839", "Марков Александр Геннадьевич")</f>
        <v>Марков Александр Геннадьевич</v>
      </c>
      <c r="K10126" s="24" t="s">
        <v>12538</v>
      </c>
      <c r="L10126" s="28" t="s">
        <v>52</v>
      </c>
      <c r="M10126" s="25">
        <v>339000</v>
      </c>
      <c r="N10126" s="27">
        <v>0.14964158396136734</v>
      </c>
    </row>
    <row r="10127" spans="1:14" hidden="1" outlineLevel="1" x14ac:dyDescent="0.2">
      <c r="A10127" s="23" t="str">
        <f t="shared" si="473"/>
        <v>ФГБОУ ВО ЧУВАШСКАЯ ГСХА</v>
      </c>
      <c r="B10127" s="24" t="s">
        <v>12534</v>
      </c>
      <c r="C10127" s="25">
        <v>398655.43</v>
      </c>
      <c r="D10127" s="22" t="s">
        <v>12535</v>
      </c>
      <c r="E10127" s="22" t="s">
        <v>84</v>
      </c>
      <c r="F10127" s="23" t="str">
        <f t="shared" si="474"/>
        <v>Поставка и установка системы видеонаблюдения</v>
      </c>
      <c r="G10127" s="22" t="s">
        <v>1137</v>
      </c>
      <c r="H10127" s="22" t="s">
        <v>1138</v>
      </c>
      <c r="I10127" s="26">
        <v>43564.618055555598</v>
      </c>
      <c r="J10127" s="23" t="str">
        <f>HYPERLINK("https://www.spark-marketing.ru/Card/Person/379062", "ООО ""ЩИТ""")</f>
        <v>ООО "ЩИТ"</v>
      </c>
      <c r="K10127" s="24" t="s">
        <v>12539</v>
      </c>
      <c r="L10127" s="28" t="s">
        <v>52</v>
      </c>
      <c r="M10127" s="25">
        <v>250000</v>
      </c>
      <c r="N10127" s="27">
        <v>0.37289202357032991</v>
      </c>
    </row>
    <row r="10128" spans="1:14" x14ac:dyDescent="0.15">
      <c r="A10128" s="23" t="str">
        <f>HYPERLINK("https://www.spark-marketing.ru/Card/Person/244399", "ГКОУ ЛО ""ВОЛХОВСКАЯ ШКОЛА""")</f>
        <v>ГКОУ ЛО "ВОЛХОВСКАЯ ШКОЛА"</v>
      </c>
      <c r="B10128" s="24" t="s">
        <v>12540</v>
      </c>
      <c r="C10128" s="25">
        <v>376000</v>
      </c>
      <c r="D10128" s="22" t="s">
        <v>12541</v>
      </c>
      <c r="E10128" s="22" t="s">
        <v>52</v>
      </c>
      <c r="F10128" s="23" t="str">
        <f>HYPERLINK("https://www.spark-marketing.ru/Card/Lot/69673785", "Охрана объекта и имущества ГКОУ ЛО ""Волховская школа""")</f>
        <v>Охрана объекта и имущества ГКОУ ЛО "Волховская школа"</v>
      </c>
      <c r="G10128" s="22" t="s">
        <v>861</v>
      </c>
      <c r="H10128" s="22" t="s">
        <v>12542</v>
      </c>
      <c r="I10128" s="26">
        <v>43564.587500000001</v>
      </c>
      <c r="J10128" s="23" t="str">
        <f>HYPERLINK("https://www.spark-marketing.ru/Card/Person/89713", "ООО "" ОП "" ШИП """)</f>
        <v>ООО " ОП " ШИП "</v>
      </c>
      <c r="K10128" s="24" t="s">
        <v>12543</v>
      </c>
      <c r="L10128" s="22" t="s">
        <v>10</v>
      </c>
      <c r="M10128" s="28" t="s">
        <v>52</v>
      </c>
      <c r="N10128" s="28" t="s">
        <v>52</v>
      </c>
    </row>
    <row r="10129" spans="1:14" x14ac:dyDescent="0.15">
      <c r="A10129" s="23" t="str">
        <f>HYPERLINK("https://www.spark-marketing.ru/Card/Person/124289", "МЕЖРАЙОННАЯ ИФНС РОССИИ № 5 ПО НИЖЕГОРОДСКОЙ ОБЛАСТИ")</f>
        <v>МЕЖРАЙОННАЯ ИФНС РОССИИ № 5 ПО НИЖЕГОРОДСКОЙ ОБЛАСТИ</v>
      </c>
      <c r="B10129" s="24" t="s">
        <v>12544</v>
      </c>
      <c r="C10129" s="25">
        <v>91951.1</v>
      </c>
      <c r="D10129" s="22" t="s">
        <v>12545</v>
      </c>
      <c r="E10129" s="22" t="s">
        <v>53</v>
      </c>
      <c r="F10129" s="23" t="str">
        <f>HYPERLINK("https://www.spark-marketing.ru/Card/Lot/70777958", "оказание охранных услуг")</f>
        <v>оказание охранных услуг</v>
      </c>
      <c r="G10129" s="22" t="s">
        <v>64</v>
      </c>
      <c r="H10129" s="22" t="s">
        <v>12546</v>
      </c>
      <c r="I10129" s="26">
        <v>43564.615057870396</v>
      </c>
      <c r="J10129" s="28" t="s">
        <v>52</v>
      </c>
      <c r="K10129" s="28" t="s">
        <v>52</v>
      </c>
      <c r="L10129" s="28" t="s">
        <v>52</v>
      </c>
      <c r="M10129" s="28" t="s">
        <v>52</v>
      </c>
      <c r="N10129" s="28" t="s">
        <v>52</v>
      </c>
    </row>
    <row r="10130" spans="1:14" x14ac:dyDescent="0.15">
      <c r="A10130" s="23" t="str">
        <f>HYPERLINK("https://www.spark-marketing.ru/Card/Person/1051962", "МБУ РЦО")</f>
        <v>МБУ РЦО</v>
      </c>
      <c r="B10130" s="24" t="s">
        <v>12547</v>
      </c>
      <c r="C10130" s="25">
        <v>40000</v>
      </c>
      <c r="D10130" s="22" t="s">
        <v>12548</v>
      </c>
      <c r="E10130" s="22" t="s">
        <v>208</v>
      </c>
      <c r="F10130" s="23" t="str">
        <f>HYPERLINK("https://www.spark-marketing.ru/Card/Lot/69667392", "установка системы видеонаблюдения")</f>
        <v>установка системы видеонаблюдения</v>
      </c>
      <c r="G10130" s="22" t="s">
        <v>402</v>
      </c>
      <c r="H10130" s="22" t="s">
        <v>4954</v>
      </c>
      <c r="I10130" s="26">
        <v>43564.594444444403</v>
      </c>
      <c r="J10130" s="28" t="s">
        <v>52</v>
      </c>
      <c r="K10130" s="28" t="s">
        <v>52</v>
      </c>
      <c r="L10130" s="28" t="s">
        <v>52</v>
      </c>
      <c r="M10130" s="28" t="s">
        <v>52</v>
      </c>
      <c r="N10130" s="28" t="s">
        <v>52</v>
      </c>
    </row>
    <row r="10131" spans="1:14" x14ac:dyDescent="0.15">
      <c r="A10131" s="23" t="str">
        <f>HYPERLINK("https://www.spark-marketing.ru/Card/Person/124289", "МЕЖРАЙОННАЯ ИФНС РОССИИ № 5 ПО НИЖЕГОРОДСКОЙ ОБЛАСТИ")</f>
        <v>МЕЖРАЙОННАЯ ИФНС РОССИИ № 5 ПО НИЖЕГОРОДСКОЙ ОБЛАСТИ</v>
      </c>
      <c r="B10131" s="24" t="s">
        <v>12544</v>
      </c>
      <c r="C10131" s="25">
        <v>67760.639999999999</v>
      </c>
      <c r="D10131" s="22" t="s">
        <v>12549</v>
      </c>
      <c r="E10131" s="22" t="s">
        <v>53</v>
      </c>
      <c r="F10131" s="23" t="str">
        <f>HYPERLINK("https://www.spark-marketing.ru/Card/Lot/70777965", "оказание охранных услуг")</f>
        <v>оказание охранных услуг</v>
      </c>
      <c r="G10131" s="22" t="s">
        <v>64</v>
      </c>
      <c r="H10131" s="22" t="s">
        <v>12546</v>
      </c>
      <c r="I10131" s="26">
        <v>43564.617789351898</v>
      </c>
      <c r="J10131" s="28" t="s">
        <v>52</v>
      </c>
      <c r="K10131" s="28" t="s">
        <v>52</v>
      </c>
      <c r="L10131" s="28" t="s">
        <v>52</v>
      </c>
      <c r="M10131" s="28" t="s">
        <v>52</v>
      </c>
      <c r="N10131" s="28" t="s">
        <v>52</v>
      </c>
    </row>
    <row r="10132" spans="1:14" x14ac:dyDescent="0.15">
      <c r="A10132" s="23" t="str">
        <f>HYPERLINK("https://www.spark-marketing.ru/Card/Person/140920", "МУ ""ЦКИД ""МОСКВОРЕЦКИЙ""")</f>
        <v>МУ "ЦКИД "МОСКВОРЕЦКИЙ"</v>
      </c>
      <c r="B10132" s="24" t="s">
        <v>12550</v>
      </c>
      <c r="C10132" s="25">
        <v>94100</v>
      </c>
      <c r="D10132" s="22" t="s">
        <v>12551</v>
      </c>
      <c r="E10132" s="22" t="s">
        <v>487</v>
      </c>
      <c r="F10132" s="23" t="str">
        <f>HYPERLINK("https://www.spark-marketing.ru/Card/Lot/69664829", "Приобретение пункта охраны")</f>
        <v>Приобретение пункта охраны</v>
      </c>
      <c r="G10132" s="22" t="s">
        <v>50</v>
      </c>
      <c r="H10132" s="22" t="s">
        <v>2463</v>
      </c>
      <c r="I10132" s="26">
        <v>43564.544571759303</v>
      </c>
      <c r="J10132" s="28" t="s">
        <v>52</v>
      </c>
      <c r="K10132" s="28" t="s">
        <v>52</v>
      </c>
      <c r="L10132" s="28" t="s">
        <v>52</v>
      </c>
      <c r="M10132" s="28" t="s">
        <v>52</v>
      </c>
      <c r="N10132" s="28" t="s">
        <v>52</v>
      </c>
    </row>
    <row r="10133" spans="1:14" x14ac:dyDescent="0.15">
      <c r="A10133" s="23" t="str">
        <f>HYPERLINK("https://www.spark-marketing.ru/Card/Person/47325", "ГБУЗ НО ""НОКОД""")</f>
        <v>ГБУЗ НО "НОКОД"</v>
      </c>
      <c r="B10133" s="24" t="s">
        <v>7864</v>
      </c>
      <c r="C10133" s="25">
        <v>711218.88</v>
      </c>
      <c r="D10133" s="22" t="s">
        <v>12552</v>
      </c>
      <c r="E10133" s="22" t="s">
        <v>68</v>
      </c>
      <c r="F10133" s="23" t="str">
        <f>HYPERLINK("https://www.spark-marketing.ru/Card/Lot/69673989", "Оказание услуг по охране имущества Заказчика при помощи средств охранной сигнализации, выдающих по каналам связи информацию на системы централизованного наблюдения пункта охраны, от несанкционированного проникновения лиц в охраняемые помещения (далее...")</f>
        <v>Оказание услуг по охране имущества Заказчика при помощи средств охранной сигнализации, выдающих по каналам связи информацию на системы централизованного наблюдения пункта охраны, от несанкционированного проникновения лиц в охраняемые помещения (далее...</v>
      </c>
      <c r="G10133" s="22" t="s">
        <v>64</v>
      </c>
      <c r="H10133" s="22" t="s">
        <v>65</v>
      </c>
      <c r="I10133" s="26">
        <v>43564.577083333301</v>
      </c>
      <c r="J10133" s="28" t="s">
        <v>52</v>
      </c>
      <c r="K10133" s="28" t="s">
        <v>52</v>
      </c>
      <c r="L10133" s="28" t="s">
        <v>52</v>
      </c>
      <c r="M10133" s="28" t="s">
        <v>52</v>
      </c>
      <c r="N10133" s="28" t="s">
        <v>52</v>
      </c>
    </row>
    <row r="10134" spans="1:14" x14ac:dyDescent="0.15">
      <c r="A10134" s="23" t="str">
        <f>HYPERLINK("https://www.spark-marketing.ru/Card/Person/29859", "ГБУЗ МО КГБ № 2")</f>
        <v>ГБУЗ МО КГБ № 2</v>
      </c>
      <c r="B10134" s="24" t="s">
        <v>11556</v>
      </c>
      <c r="C10134" s="25">
        <v>25000</v>
      </c>
      <c r="D10134" s="22" t="s">
        <v>12553</v>
      </c>
      <c r="E10134" s="22" t="s">
        <v>298</v>
      </c>
      <c r="F10134" s="23" t="str">
        <f>HYPERLINK("https://www.spark-marketing.ru/Card/Lot/69666980", "Оказание услуг по техническому обслуживанию средств системы охранной сигнализации и КТС")</f>
        <v>Оказание услуг по техническому обслуживанию средств системы охранной сигнализации и КТС</v>
      </c>
      <c r="G10134" s="22" t="s">
        <v>50</v>
      </c>
      <c r="H10134" s="22" t="s">
        <v>51</v>
      </c>
      <c r="I10134" s="26">
        <v>43564.5549537037</v>
      </c>
      <c r="J10134" s="28" t="s">
        <v>52</v>
      </c>
      <c r="K10134" s="28" t="s">
        <v>52</v>
      </c>
      <c r="L10134" s="28" t="s">
        <v>52</v>
      </c>
      <c r="M10134" s="28" t="s">
        <v>52</v>
      </c>
      <c r="N10134" s="28" t="s">
        <v>52</v>
      </c>
    </row>
    <row r="10135" spans="1:14" x14ac:dyDescent="0.15">
      <c r="A10135" s="23" t="str">
        <f>HYPERLINK("https://www.spark-marketing.ru/Card/Person/5782", "ГБУ РО ""ЛРЦ № 2""")</f>
        <v>ГБУ РО "ЛРЦ № 2"</v>
      </c>
      <c r="B10135" s="24" t="s">
        <v>12554</v>
      </c>
      <c r="C10135" s="25">
        <v>47206.67</v>
      </c>
      <c r="D10135" s="22" t="s">
        <v>12555</v>
      </c>
      <c r="E10135" s="22" t="s">
        <v>12556</v>
      </c>
      <c r="F10135" s="23" t="str">
        <f>HYPERLINK("https://www.spark-marketing.ru/Card/Lot/69664232", "Закупка аккумуляторных батарей")</f>
        <v>Закупка аккумуляторных батарей</v>
      </c>
      <c r="G10135" s="22" t="s">
        <v>402</v>
      </c>
      <c r="H10135" s="22" t="s">
        <v>402</v>
      </c>
      <c r="I10135" s="26">
        <v>43564.482638888898</v>
      </c>
      <c r="J10135" s="28" t="s">
        <v>52</v>
      </c>
      <c r="K10135" s="28" t="s">
        <v>52</v>
      </c>
      <c r="L10135" s="28" t="s">
        <v>52</v>
      </c>
      <c r="M10135" s="28" t="s">
        <v>52</v>
      </c>
      <c r="N10135" s="28" t="s">
        <v>52</v>
      </c>
    </row>
    <row r="10136" spans="1:14" x14ac:dyDescent="0.15">
      <c r="A10136" s="23" t="str">
        <f t="shared" ref="A10136:A10141" si="475">HYPERLINK("https://www.spark-marketing.ru/Card/Person/3345", "БУ ""НИЖНЕВАРТОВСКАЯ ОКРУЖНАЯ КЛИНИЧЕСКАЯ ДЕТСКАЯ БОЛЬНИЦА""")</f>
        <v>БУ "НИЖНЕВАРТОВСКАЯ ОКРУЖНАЯ КЛИНИЧЕСКАЯ ДЕТСКАЯ БОЛЬНИЦА"</v>
      </c>
      <c r="B10136" s="24" t="s">
        <v>12557</v>
      </c>
      <c r="C10136" s="25">
        <v>108985.92</v>
      </c>
      <c r="D10136" s="22" t="s">
        <v>12558</v>
      </c>
      <c r="E10136" s="22" t="s">
        <v>68</v>
      </c>
      <c r="F10136" s="23" t="str">
        <f t="shared" ref="F10136:F10141" si="476">HYPERLINK("https://www.spark-marketing.ru/Card/Lot/69658940", "Оказание услуг по охране объекта с применением технических средств и с использованием кнопки тревожной сигнализации")</f>
        <v>Оказание услуг по охране объекта с применением технических средств и с использованием кнопки тревожной сигнализации</v>
      </c>
      <c r="G10136" s="22" t="s">
        <v>119</v>
      </c>
      <c r="H10136" s="22" t="s">
        <v>952</v>
      </c>
      <c r="I10136" s="26">
        <v>43564.4597222222</v>
      </c>
      <c r="J10136" s="28" t="s">
        <v>52</v>
      </c>
      <c r="K10136" s="28" t="s">
        <v>52</v>
      </c>
      <c r="L10136" s="28" t="s">
        <v>52</v>
      </c>
      <c r="M10136" s="28" t="s">
        <v>52</v>
      </c>
      <c r="N10136" s="28" t="s">
        <v>52</v>
      </c>
    </row>
    <row r="10137" spans="1:14" hidden="1" outlineLevel="1" x14ac:dyDescent="0.2">
      <c r="A10137" s="23" t="str">
        <f t="shared" si="475"/>
        <v>БУ "НИЖНЕВАРТОВСКАЯ ОКРУЖНАЯ КЛИНИЧЕСКАЯ ДЕТСКАЯ БОЛЬНИЦА"</v>
      </c>
      <c r="B10137" s="24" t="s">
        <v>12557</v>
      </c>
      <c r="C10137" s="25">
        <v>108985.92</v>
      </c>
      <c r="D10137" s="22" t="s">
        <v>12558</v>
      </c>
      <c r="E10137" s="22" t="s">
        <v>68</v>
      </c>
      <c r="F10137" s="23" t="str">
        <f t="shared" si="476"/>
        <v>Оказание услуг по охране объекта с применением технических средств и с использованием кнопки тревожной сигнализации</v>
      </c>
      <c r="G10137" s="22" t="s">
        <v>119</v>
      </c>
      <c r="H10137" s="22" t="s">
        <v>952</v>
      </c>
      <c r="I10137" s="26">
        <v>43564.4597222222</v>
      </c>
      <c r="J10137" s="23" t="str">
        <f>HYPERLINK("https://www.spark-marketing.ru/Card/Person/63334", "ООО ""ЧОО ""ПЕРИМЕТР""")</f>
        <v>ООО "ЧОО "ПЕРИМЕТР"</v>
      </c>
      <c r="K10137" s="24" t="s">
        <v>7795</v>
      </c>
      <c r="L10137" s="28" t="s">
        <v>52</v>
      </c>
      <c r="M10137" s="25">
        <v>39234.879999999997</v>
      </c>
      <c r="N10137" s="27">
        <v>0.64000046978545488</v>
      </c>
    </row>
    <row r="10138" spans="1:14" hidden="1" outlineLevel="1" x14ac:dyDescent="0.2">
      <c r="A10138" s="23" t="str">
        <f t="shared" si="475"/>
        <v>БУ "НИЖНЕВАРТОВСКАЯ ОКРУЖНАЯ КЛИНИЧЕСКАЯ ДЕТСКАЯ БОЛЬНИЦА"</v>
      </c>
      <c r="B10138" s="24" t="s">
        <v>12557</v>
      </c>
      <c r="C10138" s="25">
        <v>108985.92</v>
      </c>
      <c r="D10138" s="22" t="s">
        <v>12558</v>
      </c>
      <c r="E10138" s="22" t="s">
        <v>68</v>
      </c>
      <c r="F10138" s="23" t="str">
        <f t="shared" si="476"/>
        <v>Оказание услуг по охране объекта с применением технических средств и с использованием кнопки тревожной сигнализации</v>
      </c>
      <c r="G10138" s="22" t="s">
        <v>119</v>
      </c>
      <c r="H10138" s="22" t="s">
        <v>952</v>
      </c>
      <c r="I10138" s="26">
        <v>43564.4597222222</v>
      </c>
      <c r="J10138" s="23" t="str">
        <f>HYPERLINK("https://www.spark-marketing.ru/Card/Person/132318", "ООО ""ЧОП ""АРГУС""")</f>
        <v>ООО "ЧОП "АРГУС"</v>
      </c>
      <c r="K10138" s="24" t="s">
        <v>12559</v>
      </c>
      <c r="L10138" s="28" t="s">
        <v>52</v>
      </c>
      <c r="M10138" s="25">
        <v>62121.94</v>
      </c>
      <c r="N10138" s="27">
        <v>0.4300003156371025</v>
      </c>
    </row>
    <row r="10139" spans="1:14" ht="12.75" hidden="1" outlineLevel="1" x14ac:dyDescent="0.2">
      <c r="A10139" s="23" t="str">
        <f t="shared" si="475"/>
        <v>БУ "НИЖНЕВАРТОВСКАЯ ОКРУЖНАЯ КЛИНИЧЕСКАЯ ДЕТСКАЯ БОЛЬНИЦА"</v>
      </c>
      <c r="B10139" s="24" t="s">
        <v>12557</v>
      </c>
      <c r="C10139" s="25">
        <v>108985.92</v>
      </c>
      <c r="D10139" s="22" t="s">
        <v>12558</v>
      </c>
      <c r="E10139" s="22" t="s">
        <v>68</v>
      </c>
      <c r="F10139" s="23" t="str">
        <f t="shared" si="476"/>
        <v>Оказание услуг по охране объекта с применением технических средств и с использованием кнопки тревожной сигнализации</v>
      </c>
      <c r="G10139" s="22" t="s">
        <v>119</v>
      </c>
      <c r="H10139" s="22" t="s">
        <v>952</v>
      </c>
      <c r="I10139" s="26">
        <v>43564.4597222222</v>
      </c>
      <c r="J10139" s="23" t="str">
        <f>HYPERLINK("https://www.spark-marketing.ru/Card/Person/938019", "ООО ЧОО ЮК ""ФСБ""")</f>
        <v>ООО ЧОО ЮК "ФСБ"</v>
      </c>
      <c r="K10139" s="24" t="s">
        <v>7794</v>
      </c>
      <c r="L10139" s="22" t="s">
        <v>10</v>
      </c>
      <c r="M10139" s="25">
        <v>24299.279999999999</v>
      </c>
      <c r="N10139" s="27">
        <v>0.77704202524509591</v>
      </c>
    </row>
    <row r="10140" spans="1:14" hidden="1" outlineLevel="1" x14ac:dyDescent="0.2">
      <c r="A10140" s="23" t="str">
        <f t="shared" si="475"/>
        <v>БУ "НИЖНЕВАРТОВСКАЯ ОКРУЖНАЯ КЛИНИЧЕСКАЯ ДЕТСКАЯ БОЛЬНИЦА"</v>
      </c>
      <c r="B10140" s="24" t="s">
        <v>12557</v>
      </c>
      <c r="C10140" s="25">
        <v>108985.92</v>
      </c>
      <c r="D10140" s="22" t="s">
        <v>12558</v>
      </c>
      <c r="E10140" s="22" t="s">
        <v>68</v>
      </c>
      <c r="F10140" s="23" t="str">
        <f t="shared" si="476"/>
        <v>Оказание услуг по охране объекта с применением технических средств и с использованием кнопки тревожной сигнализации</v>
      </c>
      <c r="G10140" s="22" t="s">
        <v>119</v>
      </c>
      <c r="H10140" s="22" t="s">
        <v>952</v>
      </c>
      <c r="I10140" s="26">
        <v>43564.4597222222</v>
      </c>
      <c r="J10140" s="23" t="str">
        <f>HYPERLINK("https://www.spark-marketing.ru/Card/Person/81140", "ФГКУ ""УВО ВНГ РОССИИ ПО ХАНТЫ-МАНСИЙСКОМУ АВТОНОМНОМУ ОКРУГУ - ЮГРЕ""")</f>
        <v>ФГКУ "УВО ВНГ РОССИИ ПО ХАНТЫ-МАНСИЙСКОМУ АВТОНОМНОМУ ОКРУГУ - ЮГРЕ"</v>
      </c>
      <c r="K10140" s="24" t="s">
        <v>1963</v>
      </c>
      <c r="L10140" s="28" t="s">
        <v>52</v>
      </c>
      <c r="M10140" s="25">
        <v>29203.65</v>
      </c>
      <c r="N10140" s="27">
        <v>0.73204199221330613</v>
      </c>
    </row>
    <row r="10141" spans="1:14" hidden="1" outlineLevel="1" x14ac:dyDescent="0.2">
      <c r="A10141" s="23" t="str">
        <f t="shared" si="475"/>
        <v>БУ "НИЖНЕВАРТОВСКАЯ ОКРУЖНАЯ КЛИНИЧЕСКАЯ ДЕТСКАЯ БОЛЬНИЦА"</v>
      </c>
      <c r="B10141" s="24" t="s">
        <v>12557</v>
      </c>
      <c r="C10141" s="25">
        <v>108985.92</v>
      </c>
      <c r="D10141" s="22" t="s">
        <v>12558</v>
      </c>
      <c r="E10141" s="22" t="s">
        <v>68</v>
      </c>
      <c r="F10141" s="23" t="str">
        <f t="shared" si="476"/>
        <v>Оказание услуг по охране объекта с применением технических средств и с использованием кнопки тревожной сигнализации</v>
      </c>
      <c r="G10141" s="22" t="s">
        <v>119</v>
      </c>
      <c r="H10141" s="22" t="s">
        <v>952</v>
      </c>
      <c r="I10141" s="26">
        <v>43564.4597222222</v>
      </c>
      <c r="J10141" s="23" t="str">
        <f>HYPERLINK("https://www.spark-marketing.ru/Card/Person/930858", "ООО ЧОО ""КАПКАН""")</f>
        <v>ООО ЧОО "КАПКАН"</v>
      </c>
      <c r="K10141" s="24" t="s">
        <v>12560</v>
      </c>
      <c r="L10141" s="28" t="s">
        <v>52</v>
      </c>
      <c r="M10141" s="25">
        <v>24844.21</v>
      </c>
      <c r="N10141" s="27">
        <v>0.77204202157489699</v>
      </c>
    </row>
    <row r="10142" spans="1:14" x14ac:dyDescent="0.15">
      <c r="A10142" s="23" t="str">
        <f>HYPERLINK("https://www.spark-marketing.ru/Card/Person/25829", "ВЕРХОВНЫЙ СУД ЧЕЧЕНСКОЙ РЕСПУБЛИКИ")</f>
        <v>ВЕРХОВНЫЙ СУД ЧЕЧЕНСКОЙ РЕСПУБЛИКИ</v>
      </c>
      <c r="B10142" s="24" t="s">
        <v>12561</v>
      </c>
      <c r="C10142" s="25">
        <v>480000</v>
      </c>
      <c r="D10142" s="22" t="s">
        <v>12562</v>
      </c>
      <c r="E10142" s="22" t="s">
        <v>103</v>
      </c>
      <c r="F10142" s="23" t="str">
        <f>HYPERLINK("https://www.spark-marketing.ru/Card/Lot/69666462", "Техническое обслуживание системы видеонаблюдения")</f>
        <v>Техническое обслуживание системы видеонаблюдения</v>
      </c>
      <c r="G10142" s="22" t="s">
        <v>724</v>
      </c>
      <c r="H10142" s="22" t="s">
        <v>5711</v>
      </c>
      <c r="I10142" s="26">
        <v>43564.496527777803</v>
      </c>
      <c r="J10142" s="28" t="s">
        <v>52</v>
      </c>
      <c r="K10142" s="28" t="s">
        <v>52</v>
      </c>
      <c r="L10142" s="28" t="s">
        <v>52</v>
      </c>
      <c r="M10142" s="28" t="s">
        <v>52</v>
      </c>
      <c r="N10142" s="28" t="s">
        <v>52</v>
      </c>
    </row>
    <row r="10143" spans="1:14" hidden="1" outlineLevel="1" x14ac:dyDescent="0.2">
      <c r="A10143" s="23" t="str">
        <f>HYPERLINK("https://www.spark-marketing.ru/Card/Person/25829", "ВЕРХОВНЫЙ СУД ЧЕЧЕНСКОЙ РЕСПУБЛИКИ")</f>
        <v>ВЕРХОВНЫЙ СУД ЧЕЧЕНСКОЙ РЕСПУБЛИКИ</v>
      </c>
      <c r="B10143" s="24" t="s">
        <v>12561</v>
      </c>
      <c r="C10143" s="25">
        <v>480000</v>
      </c>
      <c r="D10143" s="22" t="s">
        <v>12562</v>
      </c>
      <c r="E10143" s="22" t="s">
        <v>103</v>
      </c>
      <c r="F10143" s="23" t="str">
        <f>HYPERLINK("https://www.spark-marketing.ru/Card/Lot/69666462", "Техническое обслуживание системы видеонаблюдения")</f>
        <v>Техническое обслуживание системы видеонаблюдения</v>
      </c>
      <c r="G10143" s="22" t="s">
        <v>724</v>
      </c>
      <c r="H10143" s="22" t="s">
        <v>5711</v>
      </c>
      <c r="I10143" s="26">
        <v>43564.496527777803</v>
      </c>
      <c r="J10143" s="23" t="str">
        <f>HYPERLINK("https://www.spark-marketing.ru/Card/Person/643057", "ООО ""МЕГАТЕК""")</f>
        <v>ООО "МЕГАТЕК"</v>
      </c>
      <c r="K10143" s="24" t="s">
        <v>12563</v>
      </c>
      <c r="L10143" s="28" t="s">
        <v>52</v>
      </c>
      <c r="M10143" s="25">
        <v>37400</v>
      </c>
      <c r="N10143" s="27">
        <v>0.92208333333333337</v>
      </c>
    </row>
    <row r="10144" spans="1:14" ht="12.75" hidden="1" outlineLevel="1" x14ac:dyDescent="0.2">
      <c r="A10144" s="23" t="str">
        <f>HYPERLINK("https://www.spark-marketing.ru/Card/Person/25829", "ВЕРХОВНЫЙ СУД ЧЕЧЕНСКОЙ РЕСПУБЛИКИ")</f>
        <v>ВЕРХОВНЫЙ СУД ЧЕЧЕНСКОЙ РЕСПУБЛИКИ</v>
      </c>
      <c r="B10144" s="24" t="s">
        <v>12561</v>
      </c>
      <c r="C10144" s="25">
        <v>480000</v>
      </c>
      <c r="D10144" s="22" t="s">
        <v>12562</v>
      </c>
      <c r="E10144" s="22" t="s">
        <v>103</v>
      </c>
      <c r="F10144" s="23" t="str">
        <f>HYPERLINK("https://www.spark-marketing.ru/Card/Lot/69666462", "Техническое обслуживание системы видеонаблюдения")</f>
        <v>Техническое обслуживание системы видеонаблюдения</v>
      </c>
      <c r="G10144" s="22" t="s">
        <v>724</v>
      </c>
      <c r="H10144" s="22" t="s">
        <v>5711</v>
      </c>
      <c r="I10144" s="26">
        <v>43564.496527777803</v>
      </c>
      <c r="J10144" s="23" t="str">
        <f>HYPERLINK("https://www.spark-marketing.ru/Card/Person/6219965", "ООО ""ДОЗОР""")</f>
        <v>ООО "ДОЗОР"</v>
      </c>
      <c r="K10144" s="24" t="s">
        <v>7952</v>
      </c>
      <c r="L10144" s="22" t="s">
        <v>10</v>
      </c>
      <c r="M10144" s="25">
        <v>35000</v>
      </c>
      <c r="N10144" s="27">
        <v>0.92708333333333337</v>
      </c>
    </row>
    <row r="10145" spans="1:14" x14ac:dyDescent="0.15">
      <c r="A10145" s="23" t="str">
        <f t="shared" ref="A10145:A10153" si="477">HYPERLINK("https://www.spark-marketing.ru/Card/Person/2311", "БУ ""СУРГУТСКАЯ ОКРУЖНАЯ КЛИНИЧЕСКАЯ БОЛЬНИЦА""")</f>
        <v>БУ "СУРГУТСКАЯ ОКРУЖНАЯ КЛИНИЧЕСКАЯ БОЛЬНИЦА"</v>
      </c>
      <c r="B10145" s="24" t="s">
        <v>12564</v>
      </c>
      <c r="C10145" s="25">
        <v>499000</v>
      </c>
      <c r="D10145" s="22" t="s">
        <v>12565</v>
      </c>
      <c r="E10145" s="22" t="s">
        <v>84</v>
      </c>
      <c r="F10145" s="23" t="str">
        <f t="shared" ref="F10145:F10153" si="478">HYPERLINK("https://www.spark-marketing.ru/Card/Lot/69661360", "Оказание услуг по установке системы аудио-видео контроля в отделении анестезиологии-реанимации № 2 БУ ""Сургутская окружная клиническая больница""")</f>
        <v>Оказание услуг по установке системы аудио-видео контроля в отделении анестезиологии-реанимации № 2 БУ "Сургутская окружная клиническая больница"</v>
      </c>
      <c r="G10145" s="22" t="s">
        <v>119</v>
      </c>
      <c r="H10145" s="22" t="s">
        <v>463</v>
      </c>
      <c r="I10145" s="26">
        <v>43564.462500000001</v>
      </c>
      <c r="J10145" s="28" t="s">
        <v>52</v>
      </c>
      <c r="K10145" s="28" t="s">
        <v>52</v>
      </c>
      <c r="L10145" s="28" t="s">
        <v>52</v>
      </c>
      <c r="M10145" s="28" t="s">
        <v>52</v>
      </c>
      <c r="N10145" s="28" t="s">
        <v>52</v>
      </c>
    </row>
    <row r="10146" spans="1:14" hidden="1" outlineLevel="1" x14ac:dyDescent="0.2">
      <c r="A10146" s="23" t="str">
        <f t="shared" si="477"/>
        <v>БУ "СУРГУТСКАЯ ОКРУЖНАЯ КЛИНИЧЕСКАЯ БОЛЬНИЦА"</v>
      </c>
      <c r="B10146" s="24" t="s">
        <v>12564</v>
      </c>
      <c r="C10146" s="25">
        <v>499000</v>
      </c>
      <c r="D10146" s="22" t="s">
        <v>12565</v>
      </c>
      <c r="E10146" s="22" t="s">
        <v>84</v>
      </c>
      <c r="F10146" s="23" t="str">
        <f t="shared" si="478"/>
        <v>Оказание услуг по установке системы аудио-видео контроля в отделении анестезиологии-реанимации № 2 БУ "Сургутская окружная клиническая больница"</v>
      </c>
      <c r="G10146" s="22" t="s">
        <v>119</v>
      </c>
      <c r="H10146" s="22" t="s">
        <v>463</v>
      </c>
      <c r="I10146" s="26">
        <v>43564.462500000001</v>
      </c>
      <c r="J10146" s="23" t="str">
        <f>HYPERLINK("https://www.spark-marketing.ru/Card/Person/4676200", "ООО ""ПРОНЕТ""")</f>
        <v>ООО "ПРОНЕТ"</v>
      </c>
      <c r="K10146" s="24" t="s">
        <v>12566</v>
      </c>
      <c r="L10146" s="28" t="s">
        <v>52</v>
      </c>
      <c r="M10146" s="25">
        <v>440483.53</v>
      </c>
      <c r="N10146" s="27">
        <v>0.11726747494989979</v>
      </c>
    </row>
    <row r="10147" spans="1:14" hidden="1" outlineLevel="1" x14ac:dyDescent="0.2">
      <c r="A10147" s="23" t="str">
        <f t="shared" si="477"/>
        <v>БУ "СУРГУТСКАЯ ОКРУЖНАЯ КЛИНИЧЕСКАЯ БОЛЬНИЦА"</v>
      </c>
      <c r="B10147" s="24" t="s">
        <v>12564</v>
      </c>
      <c r="C10147" s="25">
        <v>499000</v>
      </c>
      <c r="D10147" s="22" t="s">
        <v>12565</v>
      </c>
      <c r="E10147" s="22" t="s">
        <v>84</v>
      </c>
      <c r="F10147" s="23" t="str">
        <f t="shared" si="478"/>
        <v>Оказание услуг по установке системы аудио-видео контроля в отделении анестезиологии-реанимации № 2 БУ "Сургутская окружная клиническая больница"</v>
      </c>
      <c r="G10147" s="22" t="s">
        <v>119</v>
      </c>
      <c r="H10147" s="22" t="s">
        <v>463</v>
      </c>
      <c r="I10147" s="26">
        <v>43564.462500000001</v>
      </c>
      <c r="J10147" s="23" t="str">
        <f>HYPERLINK("https://www.spark-marketing.ru/Card/Person/932332", "ООО ""ВСС""")</f>
        <v>ООО "ВСС"</v>
      </c>
      <c r="K10147" s="24" t="s">
        <v>1331</v>
      </c>
      <c r="L10147" s="28" t="s">
        <v>52</v>
      </c>
      <c r="M10147" s="25">
        <v>450000</v>
      </c>
      <c r="N10147" s="27">
        <v>9.8196392785571143E-2</v>
      </c>
    </row>
    <row r="10148" spans="1:14" ht="12.75" hidden="1" outlineLevel="1" x14ac:dyDescent="0.2">
      <c r="A10148" s="23" t="str">
        <f t="shared" si="477"/>
        <v>БУ "СУРГУТСКАЯ ОКРУЖНАЯ КЛИНИЧЕСКАЯ БОЛЬНИЦА"</v>
      </c>
      <c r="B10148" s="24" t="s">
        <v>12564</v>
      </c>
      <c r="C10148" s="25">
        <v>499000</v>
      </c>
      <c r="D10148" s="22" t="s">
        <v>12565</v>
      </c>
      <c r="E10148" s="22" t="s">
        <v>84</v>
      </c>
      <c r="F10148" s="23" t="str">
        <f t="shared" si="478"/>
        <v>Оказание услуг по установке системы аудио-видео контроля в отделении анестезиологии-реанимации № 2 БУ "Сургутская окружная клиническая больница"</v>
      </c>
      <c r="G10148" s="22" t="s">
        <v>119</v>
      </c>
      <c r="H10148" s="22" t="s">
        <v>463</v>
      </c>
      <c r="I10148" s="26">
        <v>43564.462500000001</v>
      </c>
      <c r="J10148" s="23" t="str">
        <f>HYPERLINK("https://www.spark-marketing.ru/Card/Person/803106", "Лунегов Алексей Евгеньевич")</f>
        <v>Лунегов Алексей Евгеньевич</v>
      </c>
      <c r="K10148" s="24" t="s">
        <v>2506</v>
      </c>
      <c r="L10148" s="22" t="s">
        <v>10</v>
      </c>
      <c r="M10148" s="25">
        <v>232818</v>
      </c>
      <c r="N10148" s="27">
        <v>0.53343086172344689</v>
      </c>
    </row>
    <row r="10149" spans="1:14" hidden="1" outlineLevel="1" x14ac:dyDescent="0.2">
      <c r="A10149" s="23" t="str">
        <f t="shared" si="477"/>
        <v>БУ "СУРГУТСКАЯ ОКРУЖНАЯ КЛИНИЧЕСКАЯ БОЛЬНИЦА"</v>
      </c>
      <c r="B10149" s="24" t="s">
        <v>12564</v>
      </c>
      <c r="C10149" s="25">
        <v>499000</v>
      </c>
      <c r="D10149" s="22" t="s">
        <v>12565</v>
      </c>
      <c r="E10149" s="22" t="s">
        <v>84</v>
      </c>
      <c r="F10149" s="23" t="str">
        <f t="shared" si="478"/>
        <v>Оказание услуг по установке системы аудио-видео контроля в отделении анестезиологии-реанимации № 2 БУ "Сургутская окружная клиническая больница"</v>
      </c>
      <c r="G10149" s="22" t="s">
        <v>119</v>
      </c>
      <c r="H10149" s="22" t="s">
        <v>463</v>
      </c>
      <c r="I10149" s="26">
        <v>43564.462500000001</v>
      </c>
      <c r="J10149" s="23" t="str">
        <f>HYPERLINK("https://www.spark-marketing.ru/Card/Person/650958", "ООО ""ПОЖАРНЫЙ МАКСИМУМ""")</f>
        <v>ООО "ПОЖАРНЫЙ МАКСИМУМ"</v>
      </c>
      <c r="K10149" s="24" t="s">
        <v>12567</v>
      </c>
      <c r="L10149" s="28" t="s">
        <v>52</v>
      </c>
      <c r="M10149" s="25">
        <v>398000</v>
      </c>
      <c r="N10149" s="27">
        <v>0.20240480961923848</v>
      </c>
    </row>
    <row r="10150" spans="1:14" hidden="1" outlineLevel="1" x14ac:dyDescent="0.2">
      <c r="A10150" s="23" t="str">
        <f t="shared" si="477"/>
        <v>БУ "СУРГУТСКАЯ ОКРУЖНАЯ КЛИНИЧЕСКАЯ БОЛЬНИЦА"</v>
      </c>
      <c r="B10150" s="24" t="s">
        <v>12564</v>
      </c>
      <c r="C10150" s="25">
        <v>499000</v>
      </c>
      <c r="D10150" s="22" t="s">
        <v>12565</v>
      </c>
      <c r="E10150" s="22" t="s">
        <v>84</v>
      </c>
      <c r="F10150" s="23" t="str">
        <f t="shared" si="478"/>
        <v>Оказание услуг по установке системы аудио-видео контроля в отделении анестезиологии-реанимации № 2 БУ "Сургутская окружная клиническая больница"</v>
      </c>
      <c r="G10150" s="22" t="s">
        <v>119</v>
      </c>
      <c r="H10150" s="22" t="s">
        <v>463</v>
      </c>
      <c r="I10150" s="26">
        <v>43564.462500000001</v>
      </c>
      <c r="J10150" s="23" t="str">
        <f>HYPERLINK("https://www.spark-marketing.ru/Card/Person/4952037", "ООО ""СМС""")</f>
        <v>ООО "СМС"</v>
      </c>
      <c r="K10150" s="24" t="s">
        <v>12568</v>
      </c>
      <c r="L10150" s="28" t="s">
        <v>52</v>
      </c>
      <c r="M10150" s="25">
        <v>438000</v>
      </c>
      <c r="N10150" s="27">
        <v>0.12224448897795591</v>
      </c>
    </row>
    <row r="10151" spans="1:14" hidden="1" outlineLevel="1" x14ac:dyDescent="0.2">
      <c r="A10151" s="23" t="str">
        <f t="shared" si="477"/>
        <v>БУ "СУРГУТСКАЯ ОКРУЖНАЯ КЛИНИЧЕСКАЯ БОЛЬНИЦА"</v>
      </c>
      <c r="B10151" s="24" t="s">
        <v>12564</v>
      </c>
      <c r="C10151" s="25">
        <v>499000</v>
      </c>
      <c r="D10151" s="22" t="s">
        <v>12565</v>
      </c>
      <c r="E10151" s="22" t="s">
        <v>84</v>
      </c>
      <c r="F10151" s="23" t="str">
        <f t="shared" si="478"/>
        <v>Оказание услуг по установке системы аудио-видео контроля в отделении анестезиологии-реанимации № 2 БУ "Сургутская окружная клиническая больница"</v>
      </c>
      <c r="G10151" s="22" t="s">
        <v>119</v>
      </c>
      <c r="H10151" s="22" t="s">
        <v>463</v>
      </c>
      <c r="I10151" s="26">
        <v>43564.462500000001</v>
      </c>
      <c r="J10151" s="23" t="str">
        <f>HYPERLINK("https://www.spark-marketing.ru/Card/Person/2594343", "ООО ""ГС""")</f>
        <v>ООО "ГС"</v>
      </c>
      <c r="K10151" s="24" t="s">
        <v>11274</v>
      </c>
      <c r="L10151" s="28" t="s">
        <v>52</v>
      </c>
      <c r="M10151" s="25">
        <v>398000</v>
      </c>
      <c r="N10151" s="27">
        <v>0.20240480961923848</v>
      </c>
    </row>
    <row r="10152" spans="1:14" hidden="1" outlineLevel="1" x14ac:dyDescent="0.2">
      <c r="A10152" s="23" t="str">
        <f t="shared" si="477"/>
        <v>БУ "СУРГУТСКАЯ ОКРУЖНАЯ КЛИНИЧЕСКАЯ БОЛЬНИЦА"</v>
      </c>
      <c r="B10152" s="24" t="s">
        <v>12564</v>
      </c>
      <c r="C10152" s="25">
        <v>499000</v>
      </c>
      <c r="D10152" s="22" t="s">
        <v>12565</v>
      </c>
      <c r="E10152" s="22" t="s">
        <v>84</v>
      </c>
      <c r="F10152" s="23" t="str">
        <f t="shared" si="478"/>
        <v>Оказание услуг по установке системы аудио-видео контроля в отделении анестезиологии-реанимации № 2 БУ "Сургутская окружная клиническая больница"</v>
      </c>
      <c r="G10152" s="22" t="s">
        <v>119</v>
      </c>
      <c r="H10152" s="22" t="s">
        <v>463</v>
      </c>
      <c r="I10152" s="26">
        <v>43564.462500000001</v>
      </c>
      <c r="J10152" s="23" t="str">
        <f>HYPERLINK("https://www.spark-marketing.ru/Card/Person/104500", "Остапенко Виктор Иванович")</f>
        <v>Остапенко Виктор Иванович</v>
      </c>
      <c r="K10152" s="24" t="s">
        <v>3292</v>
      </c>
      <c r="L10152" s="28" t="s">
        <v>52</v>
      </c>
      <c r="M10152" s="25">
        <v>490000</v>
      </c>
      <c r="N10152" s="27">
        <v>1.8036072144288578E-2</v>
      </c>
    </row>
    <row r="10153" spans="1:14" hidden="1" outlineLevel="1" x14ac:dyDescent="0.2">
      <c r="A10153" s="23" t="str">
        <f t="shared" si="477"/>
        <v>БУ "СУРГУТСКАЯ ОКРУЖНАЯ КЛИНИЧЕСКАЯ БОЛЬНИЦА"</v>
      </c>
      <c r="B10153" s="24" t="s">
        <v>12564</v>
      </c>
      <c r="C10153" s="25">
        <v>499000</v>
      </c>
      <c r="D10153" s="22" t="s">
        <v>12565</v>
      </c>
      <c r="E10153" s="22" t="s">
        <v>84</v>
      </c>
      <c r="F10153" s="23" t="str">
        <f t="shared" si="478"/>
        <v>Оказание услуг по установке системы аудио-видео контроля в отделении анестезиологии-реанимации № 2 БУ "Сургутская окружная клиническая больница"</v>
      </c>
      <c r="G10153" s="22" t="s">
        <v>119</v>
      </c>
      <c r="H10153" s="22" t="s">
        <v>463</v>
      </c>
      <c r="I10153" s="26">
        <v>43564.462500000001</v>
      </c>
      <c r="J10153" s="23" t="str">
        <f>HYPERLINK("https://www.spark-marketing.ru/Card/Person/5853123", "Ершов Андрей Алексеевич")</f>
        <v>Ершов Андрей Алексеевич</v>
      </c>
      <c r="K10153" s="24" t="s">
        <v>1063</v>
      </c>
      <c r="L10153" s="28" t="s">
        <v>52</v>
      </c>
      <c r="M10153" s="25">
        <v>327499</v>
      </c>
      <c r="N10153" s="27">
        <v>0.34368937875751504</v>
      </c>
    </row>
    <row r="10154" spans="1:14" x14ac:dyDescent="0.15">
      <c r="A10154" s="23" t="str">
        <f>HYPERLINK("https://www.spark-marketing.ru/Card/Person/2920", "УПРАВЛЕНИЕ МИРОВОЙ ЮСТИЦИИ БРЯНСКОЙ ОБЛАСТИ")</f>
        <v>УПРАВЛЕНИЕ МИРОВОЙ ЮСТИЦИИ БРЯНСКОЙ ОБЛАСТИ</v>
      </c>
      <c r="B10154" s="24" t="s">
        <v>12569</v>
      </c>
      <c r="C10154" s="25">
        <v>1297562.3999999999</v>
      </c>
      <c r="D10154" s="22" t="s">
        <v>12570</v>
      </c>
      <c r="E10154" s="22" t="s">
        <v>68</v>
      </c>
      <c r="F10154" s="23" t="str">
        <f>HYPERLINK("https://www.spark-marketing.ru/Card/Lot/69663670", "Охрана объекта путём централизованного наблюдения за техническими средствами охранной сигнализации (МСУ).")</f>
        <v>Охрана объекта путём централизованного наблюдения за техническими средствами охранной сигнализации (МСУ).</v>
      </c>
      <c r="G10154" s="22" t="s">
        <v>215</v>
      </c>
      <c r="H10154" s="22" t="s">
        <v>406</v>
      </c>
      <c r="I10154" s="26">
        <v>43564.464583333298</v>
      </c>
      <c r="J10154" s="28" t="s">
        <v>52</v>
      </c>
      <c r="K10154" s="28" t="s">
        <v>52</v>
      </c>
      <c r="L10154" s="28" t="s">
        <v>52</v>
      </c>
      <c r="M10154" s="28" t="s">
        <v>52</v>
      </c>
      <c r="N10154" s="28" t="s">
        <v>52</v>
      </c>
    </row>
    <row r="10155" spans="1:14" x14ac:dyDescent="0.15">
      <c r="A10155" s="23" t="str">
        <f>HYPERLINK("https://www.spark-marketing.ru/Card/Person/1023995", "МБУК ЦР ""ЦМБ""")</f>
        <v>МБУК ЦР "ЦМБ"</v>
      </c>
      <c r="B10155" s="24" t="s">
        <v>12571</v>
      </c>
      <c r="C10155" s="25">
        <v>15000</v>
      </c>
      <c r="D10155" s="22" t="s">
        <v>12572</v>
      </c>
      <c r="E10155" s="22" t="s">
        <v>5442</v>
      </c>
      <c r="F10155" s="23" t="str">
        <f>HYPERLINK("https://www.spark-marketing.ru/Card/Lot/69658920", "поставка книжной продукции (призов) для проведения мероприятий в рамках реализации подпрограммы «Комплексные меры противодействия злоупотреблению наркотика и их незаконному обороту» муниципальной программы Цимлянского района «Обеспечение общественног...")</f>
        <v>поставка книжной продукции (призов) для проведения мероприятий в рамках реализации подпрограммы «Комплексные меры противодействия злоупотреблению наркотика и их незаконному обороту» муниципальной программы Цимлянского района «Обеспечение общественног...</v>
      </c>
      <c r="G10155" s="22" t="s">
        <v>402</v>
      </c>
      <c r="H10155" s="22" t="s">
        <v>12573</v>
      </c>
      <c r="I10155" s="26">
        <v>43564.4506944444</v>
      </c>
      <c r="J10155" s="28" t="s">
        <v>52</v>
      </c>
      <c r="K10155" s="28" t="s">
        <v>52</v>
      </c>
      <c r="L10155" s="28" t="s">
        <v>52</v>
      </c>
      <c r="M10155" s="28" t="s">
        <v>52</v>
      </c>
      <c r="N10155" s="28" t="s">
        <v>52</v>
      </c>
    </row>
    <row r="10156" spans="1:14" x14ac:dyDescent="0.15">
      <c r="A10156" s="23" t="str">
        <f>HYPERLINK("https://www.spark-marketing.ru/Card/Person/153838", "МЕЖРАЙОННАЯ ИФНС РОССИИ № 8 ПО ЗАБАЙКАЛЬСКОМУ КРАЮ")</f>
        <v>МЕЖРАЙОННАЯ ИФНС РОССИИ № 8 ПО ЗАБАЙКАЛЬСКОМУ КРАЮ</v>
      </c>
      <c r="B10156" s="24" t="s">
        <v>1819</v>
      </c>
      <c r="C10156" s="25">
        <v>20700</v>
      </c>
      <c r="D10156" s="22" t="s">
        <v>12574</v>
      </c>
      <c r="E10156" s="22" t="s">
        <v>53</v>
      </c>
      <c r="F10156" s="23" t="str">
        <f>HYPERLINK("https://www.spark-marketing.ru/Card/Lot/70779834", "централизованная охрана")</f>
        <v>централизованная охрана</v>
      </c>
      <c r="G10156" s="22" t="s">
        <v>473</v>
      </c>
      <c r="H10156" s="22" t="s">
        <v>1822</v>
      </c>
      <c r="I10156" s="26">
        <v>43564.371817129599</v>
      </c>
      <c r="J10156" s="28" t="s">
        <v>52</v>
      </c>
      <c r="K10156" s="28" t="s">
        <v>52</v>
      </c>
      <c r="L10156" s="28" t="s">
        <v>52</v>
      </c>
      <c r="M10156" s="28" t="s">
        <v>52</v>
      </c>
      <c r="N10156" s="28" t="s">
        <v>52</v>
      </c>
    </row>
    <row r="10157" spans="1:14" x14ac:dyDescent="0.15">
      <c r="A10157" s="23" t="str">
        <f>HYPERLINK("https://www.spark-marketing.ru/Card/Person/4348624", "АО ""АЭХК""")</f>
        <v>АО "АЭХК"</v>
      </c>
      <c r="B10157" s="24" t="s">
        <v>8741</v>
      </c>
      <c r="C10157" s="25">
        <v>0</v>
      </c>
      <c r="D10157" s="22" t="s">
        <v>12575</v>
      </c>
      <c r="E10157" s="22" t="s">
        <v>53</v>
      </c>
      <c r="F10157" s="23" t="str">
        <f>HYPERLINK("https://www.spark-marketing.ru/Card/Lot/69659658", "мониторинг цен в электронной форме на Круглосуточная вооруженная физическая охрана объектов: проходной пункт насосной №1; здание насосной станции №1; здание камеры переключений насосной №1; водозаборный ковш насосной №1; здание ЗРУ 6 кв насосной-1; т...")</f>
        <v>мониторинг цен в электронной форме на Круглосуточная вооруженная физическая охрана объектов: проходной пункт насосной №1; здание насосной станции №1; здание камеры переключений насосной №1; водозаборный ковш насосной №1; здание ЗРУ 6 кв насосной-1; т...</v>
      </c>
      <c r="G10157" s="22" t="s">
        <v>281</v>
      </c>
      <c r="H10157" s="22" t="s">
        <v>2890</v>
      </c>
      <c r="I10157" s="26">
        <v>43564.343240740702</v>
      </c>
      <c r="J10157" s="28" t="s">
        <v>52</v>
      </c>
      <c r="K10157" s="28" t="s">
        <v>52</v>
      </c>
      <c r="L10157" s="28" t="s">
        <v>52</v>
      </c>
      <c r="M10157" s="28" t="s">
        <v>52</v>
      </c>
      <c r="N10157" s="28" t="s">
        <v>52</v>
      </c>
    </row>
    <row r="10158" spans="1:14" x14ac:dyDescent="0.15">
      <c r="A10158" s="23" t="str">
        <f>HYPERLINK("https://www.spark-marketing.ru/Card/Person/153838", "МЕЖРАЙОННАЯ ИФНС РОССИИ № 8 ПО ЗАБАЙКАЛЬСКОМУ КРАЮ")</f>
        <v>МЕЖРАЙОННАЯ ИФНС РОССИИ № 8 ПО ЗАБАЙКАЛЬСКОМУ КРАЮ</v>
      </c>
      <c r="B10158" s="24" t="s">
        <v>1819</v>
      </c>
      <c r="C10158" s="25">
        <v>13238.55</v>
      </c>
      <c r="D10158" s="22" t="s">
        <v>12576</v>
      </c>
      <c r="E10158" s="22" t="s">
        <v>53</v>
      </c>
      <c r="F10158" s="23" t="str">
        <f>HYPERLINK("https://www.spark-marketing.ru/Card/Lot/70779728", "централизованная охрана объекта")</f>
        <v>централизованная охрана объекта</v>
      </c>
      <c r="G10158" s="22" t="s">
        <v>473</v>
      </c>
      <c r="H10158" s="22" t="s">
        <v>1822</v>
      </c>
      <c r="I10158" s="26">
        <v>43564.3512962963</v>
      </c>
      <c r="J10158" s="28" t="s">
        <v>52</v>
      </c>
      <c r="K10158" s="28" t="s">
        <v>52</v>
      </c>
      <c r="L10158" s="28" t="s">
        <v>52</v>
      </c>
      <c r="M10158" s="28" t="s">
        <v>52</v>
      </c>
      <c r="N10158" s="28" t="s">
        <v>52</v>
      </c>
    </row>
    <row r="10159" spans="1:14" x14ac:dyDescent="0.15">
      <c r="A10159" s="23" t="str">
        <f>HYPERLINK("https://www.spark-marketing.ru/Card/Person/1032197", "МБУ ДО АР ДЮСШ № 1")</f>
        <v>МБУ ДО АР ДЮСШ № 1</v>
      </c>
      <c r="B10159" s="24" t="s">
        <v>12577</v>
      </c>
      <c r="C10159" s="25">
        <v>27598.73</v>
      </c>
      <c r="D10159" s="22" t="s">
        <v>12578</v>
      </c>
      <c r="E10159" s="22" t="s">
        <v>59</v>
      </c>
      <c r="F10159" s="23" t="str">
        <f>HYPERLINK("https://www.spark-marketing.ru/Card/Lot/69656743", "Установка тревожной сигнализации с выводом сигнала ""тревоги"" на центральный пульт охраны ОВО по Аксайскому району на объекте по адресу Ростовская обл. Аксайский район, ст Ольгинская, ул. Ленина,78 к.2")</f>
        <v>Установка тревожной сигнализации с выводом сигнала "тревоги" на центральный пульт охраны ОВО по Аксайскому району на объекте по адресу Ростовская обл. Аксайский район, ст Ольгинская, ул. Ленина,78 к.2</v>
      </c>
      <c r="G10159" s="22" t="s">
        <v>402</v>
      </c>
      <c r="H10159" s="22" t="s">
        <v>6422</v>
      </c>
      <c r="I10159" s="26">
        <v>43564.3659722222</v>
      </c>
      <c r="J10159" s="28" t="s">
        <v>52</v>
      </c>
      <c r="K10159" s="28" t="s">
        <v>52</v>
      </c>
      <c r="L10159" s="28" t="s">
        <v>52</v>
      </c>
      <c r="M10159" s="28" t="s">
        <v>52</v>
      </c>
      <c r="N10159" s="28" t="s">
        <v>52</v>
      </c>
    </row>
    <row r="10160" spans="1:14" x14ac:dyDescent="0.15">
      <c r="A10160" s="23" t="str">
        <f>HYPERLINK("https://www.spark-marketing.ru/Card/Person/4348624", "АО ""АЭХК""")</f>
        <v>АО "АЭХК"</v>
      </c>
      <c r="B10160" s="24" t="s">
        <v>8741</v>
      </c>
      <c r="C10160" s="28" t="s">
        <v>52</v>
      </c>
      <c r="D10160" s="22" t="s">
        <v>12579</v>
      </c>
      <c r="E10160" s="22" t="s">
        <v>53</v>
      </c>
      <c r="F10160" s="23" t="str">
        <f>HYPERLINK("https://www.spark-marketing.ru/Card/Lot/69660256", "Круглосуточная вооруженная физическая охрана объектов: проходной пункт насосной №1; здание насосной станции №1; здание камеры переключений насосной №1; водозаборный ковш насосной №1; здание ЗРУ 6 кв насосной-1; территория насосной станции №1; террито...")</f>
        <v>Круглосуточная вооруженная физическая охрана объектов: проходной пункт насосной №1; здание насосной станции №1; здание камеры переключений насосной №1; водозаборный ковш насосной №1; здание ЗРУ 6 кв насосной-1; территория насосной станции №1; террито...</v>
      </c>
      <c r="G10160" s="22" t="s">
        <v>281</v>
      </c>
      <c r="H10160" s="22" t="s">
        <v>2890</v>
      </c>
      <c r="I10160" s="26">
        <v>43564.371539351901</v>
      </c>
      <c r="J10160" s="28" t="s">
        <v>52</v>
      </c>
      <c r="K10160" s="28" t="s">
        <v>52</v>
      </c>
      <c r="L10160" s="28" t="s">
        <v>52</v>
      </c>
      <c r="M10160" s="28" t="s">
        <v>52</v>
      </c>
      <c r="N10160" s="28" t="s">
        <v>52</v>
      </c>
    </row>
    <row r="10161" spans="1:14" x14ac:dyDescent="0.15">
      <c r="A10161" s="23" t="str">
        <f>HYPERLINK("https://www.spark-marketing.ru/Card/Person/153838", "МЕЖРАЙОННАЯ ИФНС РОССИИ № 8 ПО ЗАБАЙКАЛЬСКОМУ КРАЮ")</f>
        <v>МЕЖРАЙОННАЯ ИФНС РОССИИ № 8 ПО ЗАБАЙКАЛЬСКОМУ КРАЮ</v>
      </c>
      <c r="B10161" s="24" t="s">
        <v>1819</v>
      </c>
      <c r="C10161" s="25">
        <v>10319.4</v>
      </c>
      <c r="D10161" s="22" t="s">
        <v>12580</v>
      </c>
      <c r="E10161" s="22" t="s">
        <v>53</v>
      </c>
      <c r="F10161" s="23" t="str">
        <f>HYPERLINK("https://www.spark-marketing.ru/Card/Lot/70780862", "централизованная охрана объектов")</f>
        <v>централизованная охрана объектов</v>
      </c>
      <c r="G10161" s="22" t="s">
        <v>473</v>
      </c>
      <c r="H10161" s="22" t="s">
        <v>1822</v>
      </c>
      <c r="I10161" s="26">
        <v>43564.315439814804</v>
      </c>
      <c r="J10161" s="28" t="s">
        <v>52</v>
      </c>
      <c r="K10161" s="28" t="s">
        <v>52</v>
      </c>
      <c r="L10161" s="28" t="s">
        <v>52</v>
      </c>
      <c r="M10161" s="28" t="s">
        <v>52</v>
      </c>
      <c r="N10161" s="28" t="s">
        <v>52</v>
      </c>
    </row>
    <row r="10162" spans="1:14" x14ac:dyDescent="0.15">
      <c r="A10162" s="23" t="str">
        <f>HYPERLINK("https://www.spark-marketing.ru/Card/Person/1006145", "ГКУ НСО ЦЗН НОВОСИБИРСКОГО РАЙОНА")</f>
        <v>ГКУ НСО ЦЗН НОВОСИБИРСКОГО РАЙОНА</v>
      </c>
      <c r="B10162" s="24" t="s">
        <v>1112</v>
      </c>
      <c r="C10162" s="25">
        <v>6594.3</v>
      </c>
      <c r="D10162" s="22" t="s">
        <v>12581</v>
      </c>
      <c r="E10162" s="22" t="s">
        <v>59</v>
      </c>
      <c r="F10162" s="23" t="str">
        <f>HYPERLINK("https://www.spark-marketing.ru/Card/Lot/69656211", "Оказание услуг по техническому обслуживанию комплекса технических средств охраны.")</f>
        <v>Оказание услуг по техническому обслуживанию комплекса технических средств охраны.</v>
      </c>
      <c r="G10162" s="22" t="s">
        <v>209</v>
      </c>
      <c r="H10162" s="22" t="s">
        <v>210</v>
      </c>
      <c r="I10162" s="26">
        <v>43564.327777777798</v>
      </c>
      <c r="J10162" s="28" t="s">
        <v>52</v>
      </c>
      <c r="K10162" s="28" t="s">
        <v>52</v>
      </c>
      <c r="L10162" s="28" t="s">
        <v>52</v>
      </c>
      <c r="M10162" s="28" t="s">
        <v>52</v>
      </c>
      <c r="N10162" s="28" t="s">
        <v>52</v>
      </c>
    </row>
    <row r="10163" spans="1:14" x14ac:dyDescent="0.15">
      <c r="A10163" s="23" t="str">
        <f>HYPERLINK("https://www.spark-marketing.ru/Card/Person/27675", "ФКУ ""ЦХИСО УМВД РОССИИ ПО МАГАДАНСКОЙ ОБЛАСТИ""")</f>
        <v>ФКУ "ЦХИСО УМВД РОССИИ ПО МАГАДАНСКОЙ ОБЛАСТИ"</v>
      </c>
      <c r="B10163" s="24" t="s">
        <v>12582</v>
      </c>
      <c r="C10163" s="25">
        <v>60000</v>
      </c>
      <c r="D10163" s="22" t="s">
        <v>12583</v>
      </c>
      <c r="E10163" s="22" t="s">
        <v>107</v>
      </c>
      <c r="F10163" s="23" t="str">
        <f>HYPERLINK("https://www.spark-marketing.ru/Card/Lot/70165391", "Техническое обслуживание средств ОС, ОПС, ТС, видеонаблюдения и СКУД, 1 шт")</f>
        <v>Техническое обслуживание средств ОС, ОПС, ТС, видеонаблюдения и СКУД, 1 шт</v>
      </c>
      <c r="G10163" s="22" t="s">
        <v>808</v>
      </c>
      <c r="H10163" s="22" t="s">
        <v>809</v>
      </c>
      <c r="I10163" s="26">
        <v>43564.2441203704</v>
      </c>
      <c r="J10163" s="28" t="s">
        <v>52</v>
      </c>
      <c r="K10163" s="28" t="s">
        <v>52</v>
      </c>
      <c r="L10163" s="28" t="s">
        <v>52</v>
      </c>
      <c r="M10163" s="28" t="s">
        <v>52</v>
      </c>
      <c r="N10163" s="28" t="s">
        <v>52</v>
      </c>
    </row>
    <row r="10164" spans="1:14" x14ac:dyDescent="0.15">
      <c r="A10164" s="23" t="str">
        <f>HYPERLINK("https://www.spark-marketing.ru/Card/Person/1070054", "МКДОУ"" ШАЙДУРОВСКИЙ ДЕТСКИЙ САД""")</f>
        <v>МКДОУ" ШАЙДУРОВСКИЙ ДЕТСКИЙ САД"</v>
      </c>
      <c r="B10164" s="24" t="s">
        <v>12584</v>
      </c>
      <c r="C10164" s="25">
        <v>12500</v>
      </c>
      <c r="D10164" s="22" t="s">
        <v>12585</v>
      </c>
      <c r="E10164" s="22" t="s">
        <v>59</v>
      </c>
      <c r="F10164" s="23" t="str">
        <f>HYPERLINK("https://www.spark-marketing.ru/Card/Lot/69653903", "ЭЛ.магазин на оказание услуг по монтажу кнопки тревожной сигнализации")</f>
        <v>ЭЛ.магазин на оказание услуг по монтажу кнопки тревожной сигнализации</v>
      </c>
      <c r="G10164" s="22" t="s">
        <v>209</v>
      </c>
      <c r="H10164" s="22" t="s">
        <v>5208</v>
      </c>
      <c r="I10164" s="26">
        <v>43564.1694444444</v>
      </c>
      <c r="J10164" s="28" t="s">
        <v>52</v>
      </c>
      <c r="K10164" s="28" t="s">
        <v>52</v>
      </c>
      <c r="L10164" s="28" t="s">
        <v>52</v>
      </c>
      <c r="M10164" s="28" t="s">
        <v>52</v>
      </c>
      <c r="N10164" s="28" t="s">
        <v>52</v>
      </c>
    </row>
    <row r="10165" spans="1:14" x14ac:dyDescent="0.15">
      <c r="A10165" s="23" t="str">
        <f>HYPERLINK("https://www.spark-marketing.ru/Card/Person/1061598", "КГКУ КОМСОМОЛЬСКИЙ-НА-АМУРЕ ЦСПСД")</f>
        <v>КГКУ КОМСОМОЛЬСКИЙ-НА-АМУРЕ ЦСПСД</v>
      </c>
      <c r="B10165" s="24" t="s">
        <v>11526</v>
      </c>
      <c r="C10165" s="25">
        <v>54000</v>
      </c>
      <c r="D10165" s="22" t="s">
        <v>12586</v>
      </c>
      <c r="E10165" s="22" t="s">
        <v>103</v>
      </c>
      <c r="F10165" s="23" t="str">
        <f>HYPERLINK("https://www.spark-marketing.ru/Card/Lot/70165316", "Оказание услуг по техническому обслуживанию системы видеонаблюденя, 9 усл. ед")</f>
        <v>Оказание услуг по техническому обслуживанию системы видеонаблюденя, 9 усл. ед</v>
      </c>
      <c r="G10165" s="22" t="s">
        <v>138</v>
      </c>
      <c r="H10165" s="22" t="s">
        <v>139</v>
      </c>
      <c r="I10165" s="26">
        <v>43564.087326388901</v>
      </c>
      <c r="J10165" s="28" t="s">
        <v>52</v>
      </c>
      <c r="K10165" s="28" t="s">
        <v>52</v>
      </c>
      <c r="L10165" s="28" t="s">
        <v>52</v>
      </c>
      <c r="M10165" s="28" t="s">
        <v>52</v>
      </c>
      <c r="N10165" s="28" t="s">
        <v>52</v>
      </c>
    </row>
    <row r="10166" spans="1:14" x14ac:dyDescent="0.15">
      <c r="A10166" s="23" t="str">
        <f>HYPERLINK("https://www.spark-marketing.ru/Card/Person/5898201", "ЗАО ГОРОДСКОЕ ОСВЕЩЕНИЕ")</f>
        <v>ЗАО ГОРОДСКОЕ ОСВЕЩЕНИЕ</v>
      </c>
      <c r="B10166" s="28" t="s">
        <v>52</v>
      </c>
      <c r="C10166" s="28" t="s">
        <v>52</v>
      </c>
      <c r="D10166" s="28" t="s">
        <v>52</v>
      </c>
      <c r="E10166" s="22" t="s">
        <v>53</v>
      </c>
      <c r="F10166" s="23" t="str">
        <f>HYPERLINK("https://www.spark-marketing.ru/Card/Lot/69709786", "Извещение № ОС042 от 09.04.2019года. о проведении открытого запроса предложений на право заключения договора на предоставление услуг по охране объектов «ПС-35/6кВ «Татра», г.Нижневартовск, Панель 14")</f>
        <v>Извещение № ОС042 от 09.04.2019года. о проведении открытого запроса предложений на право заключения договора на предоставление услуг по охране объектов «ПС-35/6кВ «Татра», г.Нижневартовск, Панель 14</v>
      </c>
      <c r="G10166" s="22" t="s">
        <v>52</v>
      </c>
      <c r="H10166" s="22" t="s">
        <v>52</v>
      </c>
      <c r="I10166" s="26">
        <v>43564</v>
      </c>
      <c r="J10166" s="28" t="s">
        <v>52</v>
      </c>
      <c r="K10166" s="28" t="s">
        <v>52</v>
      </c>
      <c r="L10166" s="28" t="s">
        <v>52</v>
      </c>
      <c r="M10166" s="28" t="s">
        <v>52</v>
      </c>
      <c r="N10166" s="28" t="s">
        <v>52</v>
      </c>
    </row>
    <row r="10167" spans="1:14" x14ac:dyDescent="0.15">
      <c r="A10167" s="23" t="str">
        <f>HYPERLINK("https://www.spark-marketing.ru/Card/Person/135089", "МБОУ ""ЛИЦЕЙ-ИНТЕРНАТ №24"" НМР РТ")</f>
        <v>МБОУ "ЛИЦЕЙ-ИНТЕРНАТ №24" НМР РТ</v>
      </c>
      <c r="B10167" s="24" t="s">
        <v>12368</v>
      </c>
      <c r="C10167" s="25">
        <v>33075</v>
      </c>
      <c r="D10167" s="22" t="s">
        <v>12587</v>
      </c>
      <c r="E10167" s="22" t="s">
        <v>53</v>
      </c>
      <c r="F10167" s="23" t="str">
        <f>HYPERLINK("https://www.spark-marketing.ru/Card/Lot/73722628", "Техническое обслуживание системы видеонаблюдения")</f>
        <v>Техническое обслуживание системы видеонаблюдения</v>
      </c>
      <c r="G10167" s="22" t="s">
        <v>204</v>
      </c>
      <c r="H10167" s="22" t="s">
        <v>824</v>
      </c>
      <c r="I10167" s="26">
        <v>43564</v>
      </c>
      <c r="J10167" s="28" t="s">
        <v>52</v>
      </c>
      <c r="K10167" s="28" t="s">
        <v>52</v>
      </c>
      <c r="L10167" s="28" t="s">
        <v>52</v>
      </c>
      <c r="M10167" s="28" t="s">
        <v>52</v>
      </c>
      <c r="N10167" s="28" t="s">
        <v>52</v>
      </c>
    </row>
    <row r="10168" spans="1:14" x14ac:dyDescent="0.15">
      <c r="A10168" s="23" t="str">
        <f>HYPERLINK("https://www.spark-marketing.ru/Card/Person/1761899", "АО ""ИЦ ""БУРЕВЕСТНИК""")</f>
        <v>АО "ИЦ "БУРЕВЕСТНИК"</v>
      </c>
      <c r="B10168" s="24" t="s">
        <v>12588</v>
      </c>
      <c r="C10168" s="25">
        <v>6021000</v>
      </c>
      <c r="D10168" s="22" t="s">
        <v>12589</v>
      </c>
      <c r="E10168" s="22" t="s">
        <v>53</v>
      </c>
      <c r="F10168" s="23" t="str">
        <f>HYPERLINK("https://www.spark-marketing.ru/Card/Lot/69684046", "Оказание услуг по физической охране объекта в соответствии с Техническим заданием")</f>
        <v>Оказание услуг по физической охране объекта в соответствии с Техническим заданием</v>
      </c>
      <c r="G10168" s="22" t="s">
        <v>89</v>
      </c>
      <c r="H10168" s="22" t="s">
        <v>89</v>
      </c>
      <c r="I10168" s="26">
        <v>43564</v>
      </c>
      <c r="J10168" s="28" t="s">
        <v>52</v>
      </c>
      <c r="K10168" s="28" t="s">
        <v>52</v>
      </c>
      <c r="L10168" s="28" t="s">
        <v>52</v>
      </c>
      <c r="M10168" s="28" t="s">
        <v>52</v>
      </c>
      <c r="N10168" s="28" t="s">
        <v>52</v>
      </c>
    </row>
    <row r="10169" spans="1:14" x14ac:dyDescent="0.15">
      <c r="A10169" s="23" t="str">
        <f>HYPERLINK("https://www.spark-marketing.ru/Card/Person/1074761", "ЛО МВД РОССИИ В АЭРОПОРТУ ВНУКОВО")</f>
        <v>ЛО МВД РОССИИ В АЭРОПОРТУ ВНУКОВО</v>
      </c>
      <c r="B10169" s="24" t="s">
        <v>12590</v>
      </c>
      <c r="C10169" s="25">
        <v>47600.88</v>
      </c>
      <c r="D10169" s="22" t="s">
        <v>12591</v>
      </c>
      <c r="E10169" s="22" t="s">
        <v>53</v>
      </c>
      <c r="F10169" s="23" t="str">
        <f>HYPERLINK("https://www.spark-marketing.ru/Card/Lot/70780475", "Техническое обслуживание комплекса технических средств охраны")</f>
        <v>Техническое обслуживание комплекса технических средств охраны</v>
      </c>
      <c r="G10169" s="22" t="s">
        <v>55</v>
      </c>
      <c r="H10169" s="22" t="s">
        <v>55</v>
      </c>
      <c r="I10169" s="26">
        <v>43563.817766203698</v>
      </c>
      <c r="J10169" s="28" t="s">
        <v>52</v>
      </c>
      <c r="K10169" s="28" t="s">
        <v>52</v>
      </c>
      <c r="L10169" s="28" t="s">
        <v>52</v>
      </c>
      <c r="M10169" s="28" t="s">
        <v>52</v>
      </c>
      <c r="N10169" s="28" t="s">
        <v>52</v>
      </c>
    </row>
    <row r="10170" spans="1:14" x14ac:dyDescent="0.15">
      <c r="A10170" s="23" t="str">
        <f>HYPERLINK("https://www.spark-marketing.ru/Card/Person/1747208", "СПБ ГУПДО ""ПРИГОРОДНОЕ""")</f>
        <v>СПБ ГУПДО "ПРИГОРОДНОЕ"</v>
      </c>
      <c r="B10170" s="24" t="s">
        <v>12592</v>
      </c>
      <c r="C10170" s="25">
        <v>402666.67</v>
      </c>
      <c r="D10170" s="22" t="s">
        <v>12593</v>
      </c>
      <c r="E10170" s="22" t="s">
        <v>68</v>
      </c>
      <c r="F10170" s="23" t="str">
        <f>HYPERLINK("https://www.spark-marketing.ru/Card/Lot/69649306", "Оказание услуг на право заключения контракта по охране имущества СПб ГУПДО «Пригородное» путем мониторингового контроля состояния системы охранной сигнализации и выезда мобильных групп вооруженных охранников при срабатывании средств охранно-тревожной...")</f>
        <v>Оказание услуг на право заключения контракта по охране имущества СПб ГУПДО «Пригородное» путем мониторингового контроля состояния системы охранной сигнализации и выезда мобильных групп вооруженных охранников при срабатывании средств охранно-тревожной...</v>
      </c>
      <c r="G10170" s="22" t="s">
        <v>89</v>
      </c>
      <c r="H10170" s="22" t="s">
        <v>89</v>
      </c>
      <c r="I10170" s="26">
        <v>43563.716666666704</v>
      </c>
      <c r="J10170" s="28" t="s">
        <v>52</v>
      </c>
      <c r="K10170" s="28" t="s">
        <v>52</v>
      </c>
      <c r="L10170" s="28" t="s">
        <v>52</v>
      </c>
      <c r="M10170" s="28" t="s">
        <v>52</v>
      </c>
      <c r="N10170" s="28" t="s">
        <v>52</v>
      </c>
    </row>
    <row r="10171" spans="1:14" ht="12.75" hidden="1" outlineLevel="1" x14ac:dyDescent="0.2">
      <c r="A10171" s="23" t="str">
        <f>HYPERLINK("https://www.spark-marketing.ru/Card/Person/1747208", "СПБ ГУПДО ""ПРИГОРОДНОЕ""")</f>
        <v>СПБ ГУПДО "ПРИГОРОДНОЕ"</v>
      </c>
      <c r="B10171" s="24" t="s">
        <v>12592</v>
      </c>
      <c r="C10171" s="25">
        <v>402666.67</v>
      </c>
      <c r="D10171" s="22" t="s">
        <v>12593</v>
      </c>
      <c r="E10171" s="22" t="s">
        <v>68</v>
      </c>
      <c r="F10171" s="23" t="str">
        <f>HYPERLINK("https://www.spark-marketing.ru/Card/Lot/69649306", "Оказание услуг на право заключения контракта по охране имущества СПб ГУПДО «Пригородное» путем мониторингового контроля состояния системы охранной сигнализации и выезда мобильных групп вооруженных охранников при срабатывании средств охранно-тревожной...")</f>
        <v>Оказание услуг на право заключения контракта по охране имущества СПб ГУПДО «Пригородное» путем мониторингового контроля состояния системы охранной сигнализации и выезда мобильных групп вооруженных охранников при срабатывании средств охранно-тревожной...</v>
      </c>
      <c r="G10171" s="22" t="s">
        <v>89</v>
      </c>
      <c r="H10171" s="22" t="s">
        <v>89</v>
      </c>
      <c r="I10171" s="26">
        <v>43563.716666666704</v>
      </c>
      <c r="J10171" s="23" t="str">
        <f>HYPERLINK("https://www.spark-marketing.ru/Card/Person/60716", "ООО ""ОП ""ЛИНОС""")</f>
        <v>ООО "ОП "ЛИНОС"</v>
      </c>
      <c r="K10171" s="24" t="s">
        <v>12594</v>
      </c>
      <c r="L10171" s="22" t="s">
        <v>10</v>
      </c>
      <c r="M10171" s="25">
        <v>398080</v>
      </c>
      <c r="N10171" s="27">
        <v>1.139073666067271E-2</v>
      </c>
    </row>
    <row r="10172" spans="1:14" hidden="1" outlineLevel="1" x14ac:dyDescent="0.2">
      <c r="A10172" s="23" t="str">
        <f>HYPERLINK("https://www.spark-marketing.ru/Card/Person/1747208", "СПБ ГУПДО ""ПРИГОРОДНОЕ""")</f>
        <v>СПБ ГУПДО "ПРИГОРОДНОЕ"</v>
      </c>
      <c r="B10172" s="24" t="s">
        <v>12592</v>
      </c>
      <c r="C10172" s="25">
        <v>402666.67</v>
      </c>
      <c r="D10172" s="22" t="s">
        <v>12593</v>
      </c>
      <c r="E10172" s="22" t="s">
        <v>68</v>
      </c>
      <c r="F10172" s="23" t="str">
        <f>HYPERLINK("https://www.spark-marketing.ru/Card/Lot/69649306", "Оказание услуг на право заключения контракта по охране имущества СПб ГУПДО «Пригородное» путем мониторингового контроля состояния системы охранной сигнализации и выезда мобильных групп вооруженных охранников при срабатывании средств охранно-тревожной...")</f>
        <v>Оказание услуг на право заключения контракта по охране имущества СПб ГУПДО «Пригородное» путем мониторингового контроля состояния системы охранной сигнализации и выезда мобильных групп вооруженных охранников при срабатывании средств охранно-тревожной...</v>
      </c>
      <c r="G10172" s="22" t="s">
        <v>89</v>
      </c>
      <c r="H10172" s="22" t="s">
        <v>89</v>
      </c>
      <c r="I10172" s="26">
        <v>43563.716666666704</v>
      </c>
      <c r="J10172" s="23" t="str">
        <f>HYPERLINK("https://www.spark-marketing.ru/Card/Person/670338", "ООО ""ОП ""ТОПАЗ""")</f>
        <v>ООО "ОП "ТОПАЗ"</v>
      </c>
      <c r="K10172" s="24" t="s">
        <v>12595</v>
      </c>
      <c r="L10172" s="28" t="s">
        <v>52</v>
      </c>
      <c r="M10172" s="25">
        <v>400653.34</v>
      </c>
      <c r="N10172" s="27">
        <v>4.9999916804636451E-3</v>
      </c>
    </row>
    <row r="10173" spans="1:14" x14ac:dyDescent="0.15">
      <c r="A10173" s="23" t="str">
        <f t="shared" ref="A10173:A10180" si="479">HYPERLINK("https://www.spark-marketing.ru/Card/Person/9016", "ГБУЗ ""ГП № 5 ДЗМ""")</f>
        <v>ГБУЗ "ГП № 5 ДЗМ"</v>
      </c>
      <c r="B10173" s="24" t="s">
        <v>11225</v>
      </c>
      <c r="C10173" s="25">
        <v>2223835</v>
      </c>
      <c r="D10173" s="22" t="s">
        <v>12596</v>
      </c>
      <c r="E10173" s="22" t="s">
        <v>107</v>
      </c>
      <c r="F10173" s="23" t="str">
        <f t="shared" ref="F10173:F10180" si="480">HYPERLINK("https://www.spark-marketing.ru/Card/Lot/69647931", "Оказание услуг по техническому обслуживанию средств сигнализации в помещениях ГБУЗ ГП №5 ДЗМ в 2019-2020 годах")</f>
        <v>Оказание услуг по техническому обслуживанию средств сигнализации в помещениях ГБУЗ ГП №5 ДЗМ в 2019-2020 годах</v>
      </c>
      <c r="G10173" s="22" t="s">
        <v>55</v>
      </c>
      <c r="H10173" s="22" t="s">
        <v>55</v>
      </c>
      <c r="I10173" s="26">
        <v>43563.714583333298</v>
      </c>
      <c r="J10173" s="28" t="s">
        <v>52</v>
      </c>
      <c r="K10173" s="28" t="s">
        <v>52</v>
      </c>
      <c r="L10173" s="28" t="s">
        <v>52</v>
      </c>
      <c r="M10173" s="28" t="s">
        <v>52</v>
      </c>
      <c r="N10173" s="28" t="s">
        <v>52</v>
      </c>
    </row>
    <row r="10174" spans="1:14" hidden="1" outlineLevel="1" x14ac:dyDescent="0.2">
      <c r="A10174" s="23" t="str">
        <f t="shared" si="479"/>
        <v>ГБУЗ "ГП № 5 ДЗМ"</v>
      </c>
      <c r="B10174" s="24" t="s">
        <v>11225</v>
      </c>
      <c r="C10174" s="25">
        <v>2223835</v>
      </c>
      <c r="D10174" s="22" t="s">
        <v>12596</v>
      </c>
      <c r="E10174" s="22" t="s">
        <v>107</v>
      </c>
      <c r="F10174" s="23" t="str">
        <f t="shared" si="480"/>
        <v>Оказание услуг по техническому обслуживанию средств сигнализации в помещениях ГБУЗ ГП №5 ДЗМ в 2019-2020 годах</v>
      </c>
      <c r="G10174" s="22" t="s">
        <v>55</v>
      </c>
      <c r="H10174" s="22" t="s">
        <v>55</v>
      </c>
      <c r="I10174" s="26">
        <v>43563.714583333298</v>
      </c>
      <c r="J10174" s="23" t="str">
        <f>HYPERLINK("https://www.spark-marketing.ru/Card/Person/6262263", "ООО ""АЛЫЙ ПАРУС ТЕХНО ПРО""")</f>
        <v>ООО "АЛЫЙ ПАРУС ТЕХНО ПРО"</v>
      </c>
      <c r="K10174" s="24" t="s">
        <v>1749</v>
      </c>
      <c r="L10174" s="28" t="s">
        <v>52</v>
      </c>
      <c r="M10174" s="25">
        <v>154289.24</v>
      </c>
      <c r="N10174" s="27">
        <v>0.93062019439391863</v>
      </c>
    </row>
    <row r="10175" spans="1:14" hidden="1" outlineLevel="1" x14ac:dyDescent="0.2">
      <c r="A10175" s="23" t="str">
        <f t="shared" si="479"/>
        <v>ГБУЗ "ГП № 5 ДЗМ"</v>
      </c>
      <c r="B10175" s="24" t="s">
        <v>11225</v>
      </c>
      <c r="C10175" s="25">
        <v>2223835</v>
      </c>
      <c r="D10175" s="22" t="s">
        <v>12596</v>
      </c>
      <c r="E10175" s="22" t="s">
        <v>107</v>
      </c>
      <c r="F10175" s="23" t="str">
        <f t="shared" si="480"/>
        <v>Оказание услуг по техническому обслуживанию средств сигнализации в помещениях ГБУЗ ГП №5 ДЗМ в 2019-2020 годах</v>
      </c>
      <c r="G10175" s="22" t="s">
        <v>55</v>
      </c>
      <c r="H10175" s="22" t="s">
        <v>55</v>
      </c>
      <c r="I10175" s="26">
        <v>43563.714583333298</v>
      </c>
      <c r="J10175" s="23" t="str">
        <f>HYPERLINK("https://www.spark-marketing.ru/Card/Person/373513", "ООО ""СПЕЦМОНТАЖ-ЮВ""")</f>
        <v>ООО "СПЕЦМОНТАЖ-ЮВ"</v>
      </c>
      <c r="K10175" s="24" t="s">
        <v>4143</v>
      </c>
      <c r="L10175" s="28" t="s">
        <v>52</v>
      </c>
      <c r="M10175" s="25">
        <v>265481.03999999998</v>
      </c>
      <c r="N10175" s="27">
        <v>0.88062017191023612</v>
      </c>
    </row>
    <row r="10176" spans="1:14" hidden="1" outlineLevel="1" x14ac:dyDescent="0.2">
      <c r="A10176" s="23" t="str">
        <f t="shared" si="479"/>
        <v>ГБУЗ "ГП № 5 ДЗМ"</v>
      </c>
      <c r="B10176" s="24" t="s">
        <v>11225</v>
      </c>
      <c r="C10176" s="25">
        <v>2223835</v>
      </c>
      <c r="D10176" s="22" t="s">
        <v>12596</v>
      </c>
      <c r="E10176" s="22" t="s">
        <v>107</v>
      </c>
      <c r="F10176" s="23" t="str">
        <f t="shared" si="480"/>
        <v>Оказание услуг по техническому обслуживанию средств сигнализации в помещениях ГБУЗ ГП №5 ДЗМ в 2019-2020 годах</v>
      </c>
      <c r="G10176" s="22" t="s">
        <v>55</v>
      </c>
      <c r="H10176" s="22" t="s">
        <v>55</v>
      </c>
      <c r="I10176" s="26">
        <v>43563.714583333298</v>
      </c>
      <c r="J10176" s="23" t="str">
        <f>HYPERLINK("https://www.spark-marketing.ru/Card/Person/6453862", "ООО ""ЦЕНТР УПРАВЛЕНИЯ СЕТЯМИ""")</f>
        <v>ООО "ЦЕНТР УПРАВЛЕНИЯ СЕТЯМИ"</v>
      </c>
      <c r="K10176" s="24" t="s">
        <v>12597</v>
      </c>
      <c r="L10176" s="28" t="s">
        <v>52</v>
      </c>
      <c r="M10176" s="25">
        <v>1899999.99</v>
      </c>
      <c r="N10176" s="27">
        <v>0.14562007073366504</v>
      </c>
    </row>
    <row r="10177" spans="1:14" ht="12.75" hidden="1" outlineLevel="1" x14ac:dyDescent="0.2">
      <c r="A10177" s="23" t="str">
        <f t="shared" si="479"/>
        <v>ГБУЗ "ГП № 5 ДЗМ"</v>
      </c>
      <c r="B10177" s="24" t="s">
        <v>11225</v>
      </c>
      <c r="C10177" s="25">
        <v>2223835</v>
      </c>
      <c r="D10177" s="22" t="s">
        <v>12596</v>
      </c>
      <c r="E10177" s="22" t="s">
        <v>107</v>
      </c>
      <c r="F10177" s="23" t="str">
        <f t="shared" si="480"/>
        <v>Оказание услуг по техническому обслуживанию средств сигнализации в помещениях ГБУЗ ГП №5 ДЗМ в 2019-2020 годах</v>
      </c>
      <c r="G10177" s="22" t="s">
        <v>55</v>
      </c>
      <c r="H10177" s="22" t="s">
        <v>55</v>
      </c>
      <c r="I10177" s="26">
        <v>43563.714583333298</v>
      </c>
      <c r="J10177" s="23" t="str">
        <f>HYPERLINK("https://www.spark-marketing.ru/Card/Person/941452", "ООО ЧОО ""ЗАЩИТА""")</f>
        <v>ООО ЧОО "ЗАЩИТА"</v>
      </c>
      <c r="K10177" s="24" t="s">
        <v>12598</v>
      </c>
      <c r="L10177" s="22" t="s">
        <v>10</v>
      </c>
      <c r="M10177" s="25">
        <v>143170.06</v>
      </c>
      <c r="N10177" s="27">
        <v>0.93562019664228691</v>
      </c>
    </row>
    <row r="10178" spans="1:14" hidden="1" outlineLevel="1" x14ac:dyDescent="0.2">
      <c r="A10178" s="23" t="str">
        <f t="shared" si="479"/>
        <v>ГБУЗ "ГП № 5 ДЗМ"</v>
      </c>
      <c r="B10178" s="24" t="s">
        <v>11225</v>
      </c>
      <c r="C10178" s="25">
        <v>2223835</v>
      </c>
      <c r="D10178" s="22" t="s">
        <v>12596</v>
      </c>
      <c r="E10178" s="22" t="s">
        <v>107</v>
      </c>
      <c r="F10178" s="23" t="str">
        <f t="shared" si="480"/>
        <v>Оказание услуг по техническому обслуживанию средств сигнализации в помещениях ГБУЗ ГП №5 ДЗМ в 2019-2020 годах</v>
      </c>
      <c r="G10178" s="22" t="s">
        <v>55</v>
      </c>
      <c r="H10178" s="22" t="s">
        <v>55</v>
      </c>
      <c r="I10178" s="26">
        <v>43563.714583333298</v>
      </c>
      <c r="J10178" s="23" t="str">
        <f>HYPERLINK("https://www.spark-marketing.ru/Card/Person/58054", "ООО ""СПЕКТР-АПС""")</f>
        <v>ООО "СПЕКТР-АПС"</v>
      </c>
      <c r="K10178" s="24" t="s">
        <v>4808</v>
      </c>
      <c r="L10178" s="28" t="s">
        <v>52</v>
      </c>
      <c r="M10178" s="25">
        <v>1201500</v>
      </c>
      <c r="N10178" s="27">
        <v>0.45971711030719453</v>
      </c>
    </row>
    <row r="10179" spans="1:14" hidden="1" outlineLevel="1" x14ac:dyDescent="0.2">
      <c r="A10179" s="23" t="str">
        <f t="shared" si="479"/>
        <v>ГБУЗ "ГП № 5 ДЗМ"</v>
      </c>
      <c r="B10179" s="24" t="s">
        <v>11225</v>
      </c>
      <c r="C10179" s="25">
        <v>2223835</v>
      </c>
      <c r="D10179" s="22" t="s">
        <v>12596</v>
      </c>
      <c r="E10179" s="22" t="s">
        <v>107</v>
      </c>
      <c r="F10179" s="23" t="str">
        <f t="shared" si="480"/>
        <v>Оказание услуг по техническому обслуживанию средств сигнализации в помещениях ГБУЗ ГП №5 ДЗМ в 2019-2020 годах</v>
      </c>
      <c r="G10179" s="22" t="s">
        <v>55</v>
      </c>
      <c r="H10179" s="22" t="s">
        <v>55</v>
      </c>
      <c r="I10179" s="26">
        <v>43563.714583333298</v>
      </c>
      <c r="J10179" s="23" t="str">
        <f>HYPERLINK("https://www.spark-marketing.ru/Card/Person/127097", "ООО ""ПОЖТЕХКОМПЛЕКТ""")</f>
        <v>ООО "ПОЖТЕХКОМПЛЕКТ"</v>
      </c>
      <c r="K10179" s="24" t="s">
        <v>9095</v>
      </c>
      <c r="L10179" s="28" t="s">
        <v>52</v>
      </c>
      <c r="M10179" s="25">
        <v>950000</v>
      </c>
      <c r="N10179" s="27">
        <v>0.57281003311846423</v>
      </c>
    </row>
    <row r="10180" spans="1:14" hidden="1" outlineLevel="1" x14ac:dyDescent="0.2">
      <c r="A10180" s="23" t="str">
        <f t="shared" si="479"/>
        <v>ГБУЗ "ГП № 5 ДЗМ"</v>
      </c>
      <c r="B10180" s="24" t="s">
        <v>11225</v>
      </c>
      <c r="C10180" s="25">
        <v>2223835</v>
      </c>
      <c r="D10180" s="22" t="s">
        <v>12596</v>
      </c>
      <c r="E10180" s="22" t="s">
        <v>107</v>
      </c>
      <c r="F10180" s="23" t="str">
        <f t="shared" si="480"/>
        <v>Оказание услуг по техническому обслуживанию средств сигнализации в помещениях ГБУЗ ГП №5 ДЗМ в 2019-2020 годах</v>
      </c>
      <c r="G10180" s="22" t="s">
        <v>55</v>
      </c>
      <c r="H10180" s="22" t="s">
        <v>55</v>
      </c>
      <c r="I10180" s="26">
        <v>43563.714583333298</v>
      </c>
      <c r="J10180" s="23" t="str">
        <f>HYPERLINK("https://www.spark-marketing.ru/Card/Person/5921742", "ООО ""КСБ""")</f>
        <v>ООО "КСБ"</v>
      </c>
      <c r="K10180" s="24" t="s">
        <v>1739</v>
      </c>
      <c r="L10180" s="28" t="s">
        <v>52</v>
      </c>
      <c r="M10180" s="25">
        <v>421149.56</v>
      </c>
      <c r="N10180" s="27">
        <v>0.81062014043308073</v>
      </c>
    </row>
    <row r="10181" spans="1:14" x14ac:dyDescent="0.15">
      <c r="A10181" s="23" t="str">
        <f>HYPERLINK("https://www.spark-marketing.ru/Card/Person/246916", "МБУ ""ЛЮБЕРЕЦКОЕ ДЭП""")</f>
        <v>МБУ "ЛЮБЕРЕЦКОЕ ДЭП"</v>
      </c>
      <c r="B10181" s="24" t="s">
        <v>12599</v>
      </c>
      <c r="C10181" s="25">
        <v>7331542.1900000004</v>
      </c>
      <c r="D10181" s="22" t="s">
        <v>12600</v>
      </c>
      <c r="E10181" s="22" t="s">
        <v>59</v>
      </c>
      <c r="F10181" s="23" t="str">
        <f>HYPERLINK("https://www.spark-marketing.ru/Card/Lot/69653572", "Оказание услуг по установке светофорных объектов типа Т.7, Т.1 на территории городского округа Люберцы в 2019 году.")</f>
        <v>Оказание услуг по установке светофорных объектов типа Т.7, Т.1 на территории городского округа Люберцы в 2019 году.</v>
      </c>
      <c r="G10181" s="22" t="s">
        <v>50</v>
      </c>
      <c r="H10181" s="22" t="s">
        <v>5291</v>
      </c>
      <c r="I10181" s="26">
        <v>43563.741759259297</v>
      </c>
      <c r="J10181" s="28" t="s">
        <v>52</v>
      </c>
      <c r="K10181" s="28" t="s">
        <v>52</v>
      </c>
      <c r="L10181" s="28" t="s">
        <v>52</v>
      </c>
      <c r="M10181" s="28" t="s">
        <v>52</v>
      </c>
      <c r="N10181" s="28" t="s">
        <v>52</v>
      </c>
    </row>
    <row r="10182" spans="1:14" hidden="1" outlineLevel="1" x14ac:dyDescent="0.2">
      <c r="A10182" s="23" t="str">
        <f>HYPERLINK("https://www.spark-marketing.ru/Card/Person/246916", "МБУ ""ЛЮБЕРЕЦКОЕ ДЭП""")</f>
        <v>МБУ "ЛЮБЕРЕЦКОЕ ДЭП"</v>
      </c>
      <c r="B10182" s="24" t="s">
        <v>12599</v>
      </c>
      <c r="C10182" s="25">
        <v>7331542.1900000004</v>
      </c>
      <c r="D10182" s="22" t="s">
        <v>12600</v>
      </c>
      <c r="E10182" s="22" t="s">
        <v>59</v>
      </c>
      <c r="F10182" s="23" t="str">
        <f>HYPERLINK("https://www.spark-marketing.ru/Card/Lot/69653572", "Оказание услуг по установке светофорных объектов типа Т.7, Т.1 на территории городского округа Люберцы в 2019 году.")</f>
        <v>Оказание услуг по установке светофорных объектов типа Т.7, Т.1 на территории городского округа Люберцы в 2019 году.</v>
      </c>
      <c r="G10182" s="22" t="s">
        <v>50</v>
      </c>
      <c r="H10182" s="22" t="s">
        <v>5291</v>
      </c>
      <c r="I10182" s="26">
        <v>43563.741759259297</v>
      </c>
      <c r="J10182" s="23" t="str">
        <f>HYPERLINK("https://www.spark-marketing.ru/Card/Person/5529", "ООО ""ЛАЙФ-А""")</f>
        <v>ООО "ЛАЙФ-А"</v>
      </c>
      <c r="K10182" s="24" t="s">
        <v>12601</v>
      </c>
      <c r="L10182" s="28" t="s">
        <v>52</v>
      </c>
      <c r="M10182" s="25">
        <v>6888000</v>
      </c>
      <c r="N10182" s="27">
        <v>6.0497802304810853E-2</v>
      </c>
    </row>
    <row r="10183" spans="1:14" hidden="1" outlineLevel="1" x14ac:dyDescent="0.2">
      <c r="A10183" s="23" t="str">
        <f>HYPERLINK("https://www.spark-marketing.ru/Card/Person/246916", "МБУ ""ЛЮБЕРЕЦКОЕ ДЭП""")</f>
        <v>МБУ "ЛЮБЕРЕЦКОЕ ДЭП"</v>
      </c>
      <c r="B10183" s="24" t="s">
        <v>12599</v>
      </c>
      <c r="C10183" s="25">
        <v>7331542.1900000004</v>
      </c>
      <c r="D10183" s="22" t="s">
        <v>12600</v>
      </c>
      <c r="E10183" s="22" t="s">
        <v>59</v>
      </c>
      <c r="F10183" s="23" t="str">
        <f>HYPERLINK("https://www.spark-marketing.ru/Card/Lot/69653572", "Оказание услуг по установке светофорных объектов типа Т.7, Т.1 на территории городского округа Люберцы в 2019 году.")</f>
        <v>Оказание услуг по установке светофорных объектов типа Т.7, Т.1 на территории городского округа Люберцы в 2019 году.</v>
      </c>
      <c r="G10183" s="22" t="s">
        <v>50</v>
      </c>
      <c r="H10183" s="22" t="s">
        <v>5291</v>
      </c>
      <c r="I10183" s="26">
        <v>43563.741759259297</v>
      </c>
      <c r="J10183" s="23" t="str">
        <f>HYPERLINK("https://www.spark-marketing.ru/Card/Person/6171263", "ООО ""МЕРКУРИЙ""")</f>
        <v>ООО "МЕРКУРИЙ"</v>
      </c>
      <c r="K10183" s="24" t="s">
        <v>6070</v>
      </c>
      <c r="L10183" s="28" t="s">
        <v>52</v>
      </c>
      <c r="M10183" s="25">
        <v>4032347.49</v>
      </c>
      <c r="N10183" s="27">
        <v>0.45000009745562142</v>
      </c>
    </row>
    <row r="10184" spans="1:14" hidden="1" outlineLevel="1" x14ac:dyDescent="0.2">
      <c r="A10184" s="23" t="str">
        <f>HYPERLINK("https://www.spark-marketing.ru/Card/Person/246916", "МБУ ""ЛЮБЕРЕЦКОЕ ДЭП""")</f>
        <v>МБУ "ЛЮБЕРЕЦКОЕ ДЭП"</v>
      </c>
      <c r="B10184" s="24" t="s">
        <v>12599</v>
      </c>
      <c r="C10184" s="25">
        <v>7331542.1900000004</v>
      </c>
      <c r="D10184" s="22" t="s">
        <v>12600</v>
      </c>
      <c r="E10184" s="22" t="s">
        <v>59</v>
      </c>
      <c r="F10184" s="23" t="str">
        <f>HYPERLINK("https://www.spark-marketing.ru/Card/Lot/69653572", "Оказание услуг по установке светофорных объектов типа Т.7, Т.1 на территории городского округа Люберцы в 2019 году.")</f>
        <v>Оказание услуг по установке светофорных объектов типа Т.7, Т.1 на территории городского округа Люберцы в 2019 году.</v>
      </c>
      <c r="G10184" s="22" t="s">
        <v>50</v>
      </c>
      <c r="H10184" s="22" t="s">
        <v>5291</v>
      </c>
      <c r="I10184" s="26">
        <v>43563.741759259297</v>
      </c>
      <c r="J10184" s="23" t="str">
        <f>HYPERLINK("https://www.spark-marketing.ru/Card/Person/6320964", "ООО ""КОМПАС""")</f>
        <v>ООО "КОМПАС"</v>
      </c>
      <c r="K10184" s="24" t="s">
        <v>12602</v>
      </c>
      <c r="L10184" s="28" t="s">
        <v>52</v>
      </c>
      <c r="M10184" s="25">
        <v>7001622.71</v>
      </c>
      <c r="N10184" s="27">
        <v>4.5000011109531647E-2</v>
      </c>
    </row>
    <row r="10185" spans="1:14" ht="12.75" hidden="1" outlineLevel="1" x14ac:dyDescent="0.2">
      <c r="A10185" s="23" t="str">
        <f>HYPERLINK("https://www.spark-marketing.ru/Card/Person/246916", "МБУ ""ЛЮБЕРЕЦКОЕ ДЭП""")</f>
        <v>МБУ "ЛЮБЕРЕЦКОЕ ДЭП"</v>
      </c>
      <c r="B10185" s="24" t="s">
        <v>12599</v>
      </c>
      <c r="C10185" s="25">
        <v>7331542.1900000004</v>
      </c>
      <c r="D10185" s="22" t="s">
        <v>12600</v>
      </c>
      <c r="E10185" s="22" t="s">
        <v>59</v>
      </c>
      <c r="F10185" s="23" t="str">
        <f>HYPERLINK("https://www.spark-marketing.ru/Card/Lot/69653572", "Оказание услуг по установке светофорных объектов типа Т.7, Т.1 на территории городского округа Люберцы в 2019 году.")</f>
        <v>Оказание услуг по установке светофорных объектов типа Т.7, Т.1 на территории городского округа Люберцы в 2019 году.</v>
      </c>
      <c r="G10185" s="22" t="s">
        <v>50</v>
      </c>
      <c r="H10185" s="22" t="s">
        <v>5291</v>
      </c>
      <c r="I10185" s="26">
        <v>43563.741759259297</v>
      </c>
      <c r="J10185" s="23" t="str">
        <f>HYPERLINK("https://www.spark-marketing.ru/Card/Person/727581", "ООО ""ХАЙЛИК-М""")</f>
        <v>ООО "ХАЙЛИК-М"</v>
      </c>
      <c r="K10185" s="24" t="s">
        <v>12603</v>
      </c>
      <c r="L10185" s="22" t="s">
        <v>10</v>
      </c>
      <c r="M10185" s="25">
        <v>4032347.49</v>
      </c>
      <c r="N10185" s="27">
        <v>0.45000009745562142</v>
      </c>
    </row>
    <row r="10186" spans="1:14" x14ac:dyDescent="0.2">
      <c r="A10186" s="23" t="str">
        <f>HYPERLINK("https://www.spark-marketing.ru/Card/Person/4366144", "ООО ""ГАЗПРОМ ЭНЕРГО""")</f>
        <v>ООО "ГАЗПРОМ ЭНЕРГО"</v>
      </c>
      <c r="B10186" s="24" t="s">
        <v>12604</v>
      </c>
      <c r="C10186" s="25">
        <v>3200400</v>
      </c>
      <c r="D10186" s="22" t="s">
        <v>12605</v>
      </c>
      <c r="E10186" s="22" t="s">
        <v>137</v>
      </c>
      <c r="F10186" s="23" t="str">
        <f>HYPERLINK("https://www.spark-marketing.ru/Card/Lot/69637255", "Оказание услуг по техническому обслуживанию и сопровождению системы диспетчерского управления объектами внешнего электроснабжения Астраханского газоконденсатного месторождения Южного филиала ООО «Газпром энерго»")</f>
        <v>Оказание услуг по техническому обслуживанию и сопровождению системы диспетчерского управления объектами внешнего электроснабжения Астраханского газоконденсатного месторождения Южного филиала ООО «Газпром энерго»</v>
      </c>
      <c r="G10186" s="22" t="s">
        <v>55</v>
      </c>
      <c r="H10186" s="22" t="s">
        <v>55</v>
      </c>
      <c r="I10186" s="26">
        <v>43563.738055555601</v>
      </c>
      <c r="J10186" s="23" t="str">
        <f>HYPERLINK("https://www.spark-marketing.ru/Card/Person/-1", "неизвестно")</f>
        <v>неизвестно</v>
      </c>
      <c r="K10186" s="28" t="s">
        <v>52</v>
      </c>
      <c r="L10186" s="22" t="s">
        <v>10</v>
      </c>
      <c r="M10186" s="25">
        <v>2664193.8199999998</v>
      </c>
      <c r="N10186" s="27">
        <v>0.16754348831396076</v>
      </c>
    </row>
    <row r="10187" spans="1:14" x14ac:dyDescent="0.15">
      <c r="A10187" s="23" t="str">
        <f>HYPERLINK("https://www.spark-marketing.ru/Card/Person/4351606", "МБОУ ""ШАПОВАЛОВСКАЯ СОШ""")</f>
        <v>МБОУ "ШАПОВАЛОВСКАЯ СОШ"</v>
      </c>
      <c r="B10187" s="24" t="s">
        <v>12606</v>
      </c>
      <c r="C10187" s="25">
        <v>51100</v>
      </c>
      <c r="D10187" s="22" t="s">
        <v>12607</v>
      </c>
      <c r="E10187" s="22" t="s">
        <v>59</v>
      </c>
      <c r="F10187" s="23" t="str">
        <f>HYPERLINK("https://www.spark-marketing.ru/Card/Lot/69636680", "Установка системы видеонаблюдения   МБОУ «Шаповаловская  СОШ» (дошкольная группа)")</f>
        <v>Установка системы видеонаблюдения   МБОУ «Шаповаловская  СОШ» (дошкольная группа)</v>
      </c>
      <c r="G10187" s="22" t="s">
        <v>384</v>
      </c>
      <c r="H10187" s="22" t="s">
        <v>384</v>
      </c>
      <c r="I10187" s="26">
        <v>43563.746527777803</v>
      </c>
      <c r="J10187" s="23" t="str">
        <f>HYPERLINK("https://www.spark-marketing.ru/Card/Person/418017", "Кожемякин Григорий Валерьевич")</f>
        <v>Кожемякин Григорий Валерьевич</v>
      </c>
      <c r="K10187" s="24" t="s">
        <v>3982</v>
      </c>
      <c r="L10187" s="22" t="s">
        <v>10</v>
      </c>
      <c r="M10187" s="28" t="s">
        <v>52</v>
      </c>
      <c r="N10187" s="28" t="s">
        <v>52</v>
      </c>
    </row>
    <row r="10188" spans="1:14" x14ac:dyDescent="0.15">
      <c r="A10188" s="23" t="str">
        <f>HYPERLINK("https://www.spark-marketing.ru/Card/Person/67313", "ГУП КК ""ДАГОМЫССКОЕ ДРСУ""")</f>
        <v>ГУП КК "ДАГОМЫССКОЕ ДРСУ"</v>
      </c>
      <c r="B10188" s="24" t="s">
        <v>12608</v>
      </c>
      <c r="C10188" s="25">
        <v>13069609</v>
      </c>
      <c r="D10188" s="22" t="s">
        <v>12609</v>
      </c>
      <c r="E10188" s="22" t="s">
        <v>2026</v>
      </c>
      <c r="F10188" s="23" t="str">
        <f>HYPERLINK("https://www.spark-marketing.ru/Card/Lot/69635146", "Выполнение работ: «Установка автоматических дорожных метеостанций, пунктов видеоконтроля и светофорных объектов в городе-курорте Сочи в 2019 году»")</f>
        <v>Выполнение работ: «Установка автоматических дорожных метеостанций, пунктов видеоконтроля и светофорных объектов в городе-курорте Сочи в 2019 году»</v>
      </c>
      <c r="G10188" s="22" t="s">
        <v>132</v>
      </c>
      <c r="H10188" s="22" t="s">
        <v>132</v>
      </c>
      <c r="I10188" s="26">
        <v>43563.6817592593</v>
      </c>
      <c r="J10188" s="28" t="s">
        <v>52</v>
      </c>
      <c r="K10188" s="28" t="s">
        <v>52</v>
      </c>
      <c r="L10188" s="28" t="s">
        <v>52</v>
      </c>
      <c r="M10188" s="28" t="s">
        <v>52</v>
      </c>
      <c r="N10188" s="28" t="s">
        <v>52</v>
      </c>
    </row>
    <row r="10189" spans="1:14" x14ac:dyDescent="0.15">
      <c r="A10189" s="23" t="str">
        <f>HYPERLINK("https://www.spark-marketing.ru/Card/Person/146606", "АДМИНИСТРАЦИЯ ГОРОДСКОГО ПОСЕЛЕНИЯ ""ПОСЕЛОК РАЗУМНОЕ""")</f>
        <v>АДМИНИСТРАЦИЯ ГОРОДСКОГО ПОСЕЛЕНИЯ "ПОСЕЛОК РАЗУМНОЕ"</v>
      </c>
      <c r="B10189" s="24" t="s">
        <v>12610</v>
      </c>
      <c r="C10189" s="25">
        <v>8400</v>
      </c>
      <c r="D10189" s="22" t="s">
        <v>12611</v>
      </c>
      <c r="E10189" s="22" t="s">
        <v>79</v>
      </c>
      <c r="F10189" s="23" t="str">
        <f>HYPERLINK("https://www.spark-marketing.ru/Card/Lot/69631704", "оказание услуг по обслуживанию системы противопожарной сигнализации Гранит-3")</f>
        <v>оказание услуг по обслуживанию системы противопожарной сигнализации Гранит-3</v>
      </c>
      <c r="G10189" s="22" t="s">
        <v>176</v>
      </c>
      <c r="H10189" s="22" t="s">
        <v>12612</v>
      </c>
      <c r="I10189" s="26">
        <v>43563.672222222202</v>
      </c>
      <c r="J10189" s="28" t="s">
        <v>52</v>
      </c>
      <c r="K10189" s="28" t="s">
        <v>52</v>
      </c>
      <c r="L10189" s="28" t="s">
        <v>52</v>
      </c>
      <c r="M10189" s="28" t="s">
        <v>52</v>
      </c>
      <c r="N10189" s="28" t="s">
        <v>52</v>
      </c>
    </row>
    <row r="10190" spans="1:14" x14ac:dyDescent="0.15">
      <c r="A10190" s="23" t="str">
        <f>HYPERLINK("https://www.spark-marketing.ru/Card/Person/10941", "УМВД РОССИИ ПО ОРЛОВСКОЙ ОБЛАСТИ")</f>
        <v>УМВД РОССИИ ПО ОРЛОВСКОЙ ОБЛАСТИ</v>
      </c>
      <c r="B10190" s="24" t="s">
        <v>12613</v>
      </c>
      <c r="C10190" s="25">
        <v>3900</v>
      </c>
      <c r="D10190" s="22" t="s">
        <v>12614</v>
      </c>
      <c r="E10190" s="22" t="s">
        <v>53</v>
      </c>
      <c r="F10190" s="23" t="str">
        <f>HYPERLINK("https://www.spark-marketing.ru/Card/Lot/70780137", "Оказание услуг по охране имущества от преступных и иных противоправных посягательств")</f>
        <v>Оказание услуг по охране имущества от преступных и иных противоправных посягательств</v>
      </c>
      <c r="G10190" s="22" t="s">
        <v>492</v>
      </c>
      <c r="H10190" s="22" t="s">
        <v>5024</v>
      </c>
      <c r="I10190" s="26">
        <v>43563.683206018497</v>
      </c>
      <c r="J10190" s="28" t="s">
        <v>52</v>
      </c>
      <c r="K10190" s="28" t="s">
        <v>52</v>
      </c>
      <c r="L10190" s="28" t="s">
        <v>52</v>
      </c>
      <c r="M10190" s="28" t="s">
        <v>52</v>
      </c>
      <c r="N10190" s="28" t="s">
        <v>52</v>
      </c>
    </row>
    <row r="10191" spans="1:14" x14ac:dyDescent="0.15">
      <c r="A10191" s="23" t="str">
        <f>HYPERLINK("https://www.spark-marketing.ru/Card/Person/90543", "АДМИНИСТРАЦИЯ ТОРОПЕЦКОГО РАЙОНА")</f>
        <v>АДМИНИСТРАЦИЯ ТОРОПЕЦКОГО РАЙОНА</v>
      </c>
      <c r="B10191" s="24" t="s">
        <v>4352</v>
      </c>
      <c r="C10191" s="25">
        <v>310900</v>
      </c>
      <c r="D10191" s="22" t="s">
        <v>12615</v>
      </c>
      <c r="E10191" s="22" t="s">
        <v>68</v>
      </c>
      <c r="F10191" s="23" t="str">
        <f>HYPERLINK("https://www.spark-marketing.ru/Card/Lot/69649281", "Оказание услуг по предупреждению и ликвидации болезней животных, их лечению, отлову и содержанию безнадзорных животных, защите населения от болезней, общих для человека и животных на территории Торопецкого района")</f>
        <v>Оказание услуг по предупреждению и ликвидации болезней животных, их лечению, отлову и содержанию безнадзорных животных, защите населения от болезней, общих для человека и животных на территории Торопецкого района</v>
      </c>
      <c r="G10191" s="22" t="s">
        <v>251</v>
      </c>
      <c r="H10191" s="22" t="s">
        <v>251</v>
      </c>
      <c r="I10191" s="26">
        <v>43563.704166666699</v>
      </c>
      <c r="J10191" s="28" t="s">
        <v>52</v>
      </c>
      <c r="K10191" s="28" t="s">
        <v>52</v>
      </c>
      <c r="L10191" s="28" t="s">
        <v>52</v>
      </c>
      <c r="M10191" s="28" t="s">
        <v>52</v>
      </c>
      <c r="N10191" s="28" t="s">
        <v>52</v>
      </c>
    </row>
    <row r="10192" spans="1:14" x14ac:dyDescent="0.15">
      <c r="A10192" s="23" t="str">
        <f t="shared" ref="A10192:A10199" si="481">HYPERLINK("https://www.spark-marketing.ru/Card/Person/134450", "АДМИНИСТРАЦИЯ КНЯГИНИНСКОГО МУНИЦИПАЛЬНОГО РАЙОНА")</f>
        <v>АДМИНИСТРАЦИЯ КНЯГИНИНСКОГО МУНИЦИПАЛЬНОГО РАЙОНА</v>
      </c>
      <c r="B10192" s="24" t="s">
        <v>12616</v>
      </c>
      <c r="C10192" s="25">
        <v>92900</v>
      </c>
      <c r="D10192" s="22" t="s">
        <v>12617</v>
      </c>
      <c r="E10192" s="22" t="s">
        <v>59</v>
      </c>
      <c r="F10192" s="23" t="str">
        <f t="shared" ref="F10192:F10199" si="482">HYPERLINK("https://www.spark-marketing.ru/Card/Lot/69649882", "Выполнение работ по монтажу системы видеонаблюдения внутри здания администрации Княгининского района, расположенного по адресу: Нижегородская область, Княгининский район г. Княгинино, ул. Свободы, д. 45 для нужд администрации Княгининского района Ниж...")</f>
        <v>Выполнение работ по монтажу системы видеонаблюдения внутри здания администрации Княгининского района, расположенного по адресу: Нижегородская область, Княгининский район г. Княгинино, ул. Свободы, д. 45 для нужд администрации Княгининского района Ниж...</v>
      </c>
      <c r="G10192" s="22" t="s">
        <v>64</v>
      </c>
      <c r="H10192" s="22" t="s">
        <v>12618</v>
      </c>
      <c r="I10192" s="26">
        <v>43563.699305555601</v>
      </c>
      <c r="J10192" s="28" t="s">
        <v>52</v>
      </c>
      <c r="K10192" s="28" t="s">
        <v>52</v>
      </c>
      <c r="L10192" s="28" t="s">
        <v>52</v>
      </c>
      <c r="M10192" s="28" t="s">
        <v>52</v>
      </c>
      <c r="N10192" s="28" t="s">
        <v>52</v>
      </c>
    </row>
    <row r="10193" spans="1:14" hidden="1" outlineLevel="1" x14ac:dyDescent="0.2">
      <c r="A10193" s="23" t="str">
        <f t="shared" si="481"/>
        <v>АДМИНИСТРАЦИЯ КНЯГИНИНСКОГО МУНИЦИПАЛЬНОГО РАЙОНА</v>
      </c>
      <c r="B10193" s="24" t="s">
        <v>12616</v>
      </c>
      <c r="C10193" s="25">
        <v>92900</v>
      </c>
      <c r="D10193" s="22" t="s">
        <v>12617</v>
      </c>
      <c r="E10193" s="22" t="s">
        <v>59</v>
      </c>
      <c r="F10193" s="23" t="str">
        <f t="shared" si="482"/>
        <v>Выполнение работ по монтажу системы видеонаблюдения внутри здания администрации Княгининского района, расположенного по адресу: Нижегородская область, Княгининский район г. Княгинино, ул. Свободы, д. 45 для нужд администрации Княгининского района Ниж...</v>
      </c>
      <c r="G10193" s="22" t="s">
        <v>64</v>
      </c>
      <c r="H10193" s="22" t="s">
        <v>12618</v>
      </c>
      <c r="I10193" s="26">
        <v>43563.699305555601</v>
      </c>
      <c r="J10193" s="23" t="str">
        <f>HYPERLINK("https://www.spark-marketing.ru/Card/Person/526586", "ООО ""МОНТАЖНАЯ КОМПАНИЯ СИСТЕМ БЕЗОПАСНОСТИ""")</f>
        <v>ООО "МОНТАЖНАЯ КОМПАНИЯ СИСТЕМ БЕЗОПАСНОСТИ"</v>
      </c>
      <c r="K10193" s="24" t="s">
        <v>4708</v>
      </c>
      <c r="L10193" s="28" t="s">
        <v>52</v>
      </c>
      <c r="M10193" s="25">
        <v>40000</v>
      </c>
      <c r="N10193" s="27">
        <v>0.5694294940796556</v>
      </c>
    </row>
    <row r="10194" spans="1:14" hidden="1" outlineLevel="1" x14ac:dyDescent="0.2">
      <c r="A10194" s="23" t="str">
        <f t="shared" si="481"/>
        <v>АДМИНИСТРАЦИЯ КНЯГИНИНСКОГО МУНИЦИПАЛЬНОГО РАЙОНА</v>
      </c>
      <c r="B10194" s="24" t="s">
        <v>12616</v>
      </c>
      <c r="C10194" s="25">
        <v>92900</v>
      </c>
      <c r="D10194" s="22" t="s">
        <v>12617</v>
      </c>
      <c r="E10194" s="22" t="s">
        <v>59</v>
      </c>
      <c r="F10194" s="23" t="str">
        <f t="shared" si="482"/>
        <v>Выполнение работ по монтажу системы видеонаблюдения внутри здания администрации Княгининского района, расположенного по адресу: Нижегородская область, Княгининский район г. Княгинино, ул. Свободы, д. 45 для нужд администрации Княгининского района Ниж...</v>
      </c>
      <c r="G10194" s="22" t="s">
        <v>64</v>
      </c>
      <c r="H10194" s="22" t="s">
        <v>12618</v>
      </c>
      <c r="I10194" s="26">
        <v>43563.699305555601</v>
      </c>
      <c r="J10194" s="23" t="str">
        <f>HYPERLINK("https://www.spark-marketing.ru/Card/Person/1267256", "ООО ""СИГНАЛ""")</f>
        <v>ООО "СИГНАЛ"</v>
      </c>
      <c r="K10194" s="24" t="s">
        <v>8221</v>
      </c>
      <c r="L10194" s="28" t="s">
        <v>52</v>
      </c>
      <c r="M10194" s="25">
        <v>57606.5</v>
      </c>
      <c r="N10194" s="27">
        <v>0.37990850376749191</v>
      </c>
    </row>
    <row r="10195" spans="1:14" hidden="1" outlineLevel="1" x14ac:dyDescent="0.2">
      <c r="A10195" s="23" t="str">
        <f t="shared" si="481"/>
        <v>АДМИНИСТРАЦИЯ КНЯГИНИНСКОГО МУНИЦИПАЛЬНОГО РАЙОНА</v>
      </c>
      <c r="B10195" s="24" t="s">
        <v>12616</v>
      </c>
      <c r="C10195" s="25">
        <v>92900</v>
      </c>
      <c r="D10195" s="22" t="s">
        <v>12617</v>
      </c>
      <c r="E10195" s="22" t="s">
        <v>59</v>
      </c>
      <c r="F10195" s="23" t="str">
        <f t="shared" si="482"/>
        <v>Выполнение работ по монтажу системы видеонаблюдения внутри здания администрации Княгининского района, расположенного по адресу: Нижегородская область, Княгининский район г. Княгинино, ул. Свободы, д. 45 для нужд администрации Княгининского района Ниж...</v>
      </c>
      <c r="G10195" s="22" t="s">
        <v>64</v>
      </c>
      <c r="H10195" s="22" t="s">
        <v>12618</v>
      </c>
      <c r="I10195" s="26">
        <v>43563.699305555601</v>
      </c>
      <c r="J10195" s="23" t="str">
        <f>HYPERLINK("https://www.spark-marketing.ru/Card/Person/336571", "ООО ""АКБ-РУБЕЖ""")</f>
        <v>ООО "АКБ-РУБЕЖ"</v>
      </c>
      <c r="K10195" s="24" t="s">
        <v>12619</v>
      </c>
      <c r="L10195" s="28" t="s">
        <v>52</v>
      </c>
      <c r="M10195" s="25">
        <v>90000</v>
      </c>
      <c r="N10195" s="27">
        <v>3.1216361679224973E-2</v>
      </c>
    </row>
    <row r="10196" spans="1:14" ht="12.75" hidden="1" outlineLevel="1" x14ac:dyDescent="0.2">
      <c r="A10196" s="23" t="str">
        <f t="shared" si="481"/>
        <v>АДМИНИСТРАЦИЯ КНЯГИНИНСКОГО МУНИЦИПАЛЬНОГО РАЙОНА</v>
      </c>
      <c r="B10196" s="24" t="s">
        <v>12616</v>
      </c>
      <c r="C10196" s="25">
        <v>92900</v>
      </c>
      <c r="D10196" s="22" t="s">
        <v>12617</v>
      </c>
      <c r="E10196" s="22" t="s">
        <v>59</v>
      </c>
      <c r="F10196" s="23" t="str">
        <f t="shared" si="482"/>
        <v>Выполнение работ по монтажу системы видеонаблюдения внутри здания администрации Княгининского района, расположенного по адресу: Нижегородская область, Княгининский район г. Княгинино, ул. Свободы, д. 45 для нужд администрации Княгининского района Ниж...</v>
      </c>
      <c r="G10196" s="22" t="s">
        <v>64</v>
      </c>
      <c r="H10196" s="22" t="s">
        <v>12618</v>
      </c>
      <c r="I10196" s="26">
        <v>43563.699305555601</v>
      </c>
      <c r="J10196" s="23" t="str">
        <f>HYPERLINK("https://www.spark-marketing.ru/Card/Person/338603", "ООО ""ВИДИС""")</f>
        <v>ООО "ВИДИС"</v>
      </c>
      <c r="K10196" s="24" t="s">
        <v>7838</v>
      </c>
      <c r="L10196" s="22" t="s">
        <v>10</v>
      </c>
      <c r="M10196" s="25">
        <v>39535.5</v>
      </c>
      <c r="N10196" s="27">
        <v>0.57442949407965549</v>
      </c>
    </row>
    <row r="10197" spans="1:14" hidden="1" outlineLevel="1" x14ac:dyDescent="0.2">
      <c r="A10197" s="23" t="str">
        <f t="shared" si="481"/>
        <v>АДМИНИСТРАЦИЯ КНЯГИНИНСКОГО МУНИЦИПАЛЬНОГО РАЙОНА</v>
      </c>
      <c r="B10197" s="24" t="s">
        <v>12616</v>
      </c>
      <c r="C10197" s="25">
        <v>92900</v>
      </c>
      <c r="D10197" s="22" t="s">
        <v>12617</v>
      </c>
      <c r="E10197" s="22" t="s">
        <v>59</v>
      </c>
      <c r="F10197" s="23" t="str">
        <f t="shared" si="482"/>
        <v>Выполнение работ по монтажу системы видеонаблюдения внутри здания администрации Княгининского района, расположенного по адресу: Нижегородская область, Княгининский район г. Княгинино, ул. Свободы, д. 45 для нужд администрации Княгининского района Ниж...</v>
      </c>
      <c r="G10197" s="22" t="s">
        <v>64</v>
      </c>
      <c r="H10197" s="22" t="s">
        <v>12618</v>
      </c>
      <c r="I10197" s="26">
        <v>43563.699305555601</v>
      </c>
      <c r="J10197" s="23" t="str">
        <f>HYPERLINK("https://www.spark-marketing.ru/Card/Person/523021", "ООО ""ИНФО-ТЕХ СЕРВИС""")</f>
        <v>ООО "ИНФО-ТЕХ СЕРВИС"</v>
      </c>
      <c r="K10197" s="24" t="s">
        <v>12620</v>
      </c>
      <c r="L10197" s="28" t="s">
        <v>52</v>
      </c>
      <c r="M10197" s="25">
        <v>68071</v>
      </c>
      <c r="N10197" s="27">
        <v>0.26726587728740581</v>
      </c>
    </row>
    <row r="10198" spans="1:14" hidden="1" outlineLevel="1" x14ac:dyDescent="0.2">
      <c r="A10198" s="23" t="str">
        <f t="shared" si="481"/>
        <v>АДМИНИСТРАЦИЯ КНЯГИНИНСКОГО МУНИЦИПАЛЬНОГО РАЙОНА</v>
      </c>
      <c r="B10198" s="24" t="s">
        <v>12616</v>
      </c>
      <c r="C10198" s="25">
        <v>92900</v>
      </c>
      <c r="D10198" s="22" t="s">
        <v>12617</v>
      </c>
      <c r="E10198" s="22" t="s">
        <v>59</v>
      </c>
      <c r="F10198" s="23" t="str">
        <f t="shared" si="482"/>
        <v>Выполнение работ по монтажу системы видеонаблюдения внутри здания администрации Княгининского района, расположенного по адресу: Нижегородская область, Княгининский район г. Княгинино, ул. Свободы, д. 45 для нужд администрации Княгининского района Ниж...</v>
      </c>
      <c r="G10198" s="22" t="s">
        <v>64</v>
      </c>
      <c r="H10198" s="22" t="s">
        <v>12618</v>
      </c>
      <c r="I10198" s="26">
        <v>43563.699305555601</v>
      </c>
      <c r="J10198" s="23" t="str">
        <f>HYPERLINK("https://www.spark-marketing.ru/Card/Person/33398", "ООО ""ИН-НОВ""")</f>
        <v>ООО "ИН-НОВ"</v>
      </c>
      <c r="K10198" s="24" t="s">
        <v>12621</v>
      </c>
      <c r="L10198" s="28" t="s">
        <v>52</v>
      </c>
      <c r="M10198" s="25">
        <v>78855</v>
      </c>
      <c r="N10198" s="27">
        <v>0.15118406889128094</v>
      </c>
    </row>
    <row r="10199" spans="1:14" hidden="1" outlineLevel="1" x14ac:dyDescent="0.2">
      <c r="A10199" s="23" t="str">
        <f t="shared" si="481"/>
        <v>АДМИНИСТРАЦИЯ КНЯГИНИНСКОГО МУНИЦИПАЛЬНОГО РАЙОНА</v>
      </c>
      <c r="B10199" s="24" t="s">
        <v>12616</v>
      </c>
      <c r="C10199" s="25">
        <v>92900</v>
      </c>
      <c r="D10199" s="22" t="s">
        <v>12617</v>
      </c>
      <c r="E10199" s="22" t="s">
        <v>59</v>
      </c>
      <c r="F10199" s="23" t="str">
        <f t="shared" si="482"/>
        <v>Выполнение работ по монтажу системы видеонаблюдения внутри здания администрации Княгининского района, расположенного по адресу: Нижегородская область, Княгининский район г. Княгинино, ул. Свободы, д. 45 для нужд администрации Княгининского района Ниж...</v>
      </c>
      <c r="G10199" s="22" t="s">
        <v>64</v>
      </c>
      <c r="H10199" s="22" t="s">
        <v>12618</v>
      </c>
      <c r="I10199" s="26">
        <v>43563.699305555601</v>
      </c>
      <c r="J10199" s="23" t="str">
        <f>HYPERLINK("https://www.spark-marketing.ru/Card/Person/178608", "Трубкина Елена Борисовна")</f>
        <v>Трубкина Елена Борисовна</v>
      </c>
      <c r="K10199" s="24" t="s">
        <v>12622</v>
      </c>
      <c r="L10199" s="28" t="s">
        <v>52</v>
      </c>
      <c r="M10199" s="25">
        <v>92000</v>
      </c>
      <c r="N10199" s="27">
        <v>9.6878363832077503E-3</v>
      </c>
    </row>
    <row r="10200" spans="1:14" x14ac:dyDescent="0.15">
      <c r="A10200" s="23" t="str">
        <f>HYPERLINK("https://www.spark-marketing.ru/Card/Person/4348528", "АО ИК ""АСЭ""")</f>
        <v>АО ИК "АСЭ"</v>
      </c>
      <c r="B10200" s="24" t="s">
        <v>62</v>
      </c>
      <c r="C10200" s="25">
        <v>0</v>
      </c>
      <c r="D10200" s="22" t="s">
        <v>12623</v>
      </c>
      <c r="E10200" s="22" t="s">
        <v>53</v>
      </c>
      <c r="F10200" s="23" t="str">
        <f>HYPERLINK("https://www.spark-marketing.ru/Card/Lot/69637405", "мониторинг цен в электронной форме на Оказание услуг по охране объекта Нововоронежского филиала - «Гостиница «Дон», расположенного по адресу: г. Нововоронеж, ул. Курчатова, д. 2б.")</f>
        <v>мониторинг цен в электронной форме на Оказание услуг по охране объекта Нововоронежского филиала - «Гостиница «Дон», расположенного по адресу: г. Нововоронеж, ул. Курчатова, д. 2б.</v>
      </c>
      <c r="G10200" s="22" t="s">
        <v>64</v>
      </c>
      <c r="H10200" s="22" t="s">
        <v>65</v>
      </c>
      <c r="I10200" s="26">
        <v>43563.695798611101</v>
      </c>
      <c r="J10200" s="28" t="s">
        <v>52</v>
      </c>
      <c r="K10200" s="28" t="s">
        <v>52</v>
      </c>
      <c r="L10200" s="28" t="s">
        <v>52</v>
      </c>
      <c r="M10200" s="28" t="s">
        <v>52</v>
      </c>
      <c r="N10200" s="28" t="s">
        <v>52</v>
      </c>
    </row>
    <row r="10201" spans="1:14" x14ac:dyDescent="0.15">
      <c r="A10201" s="23" t="str">
        <f>HYPERLINK("https://www.spark-marketing.ru/Card/Person/4348528", "АО ИК ""АСЭ""")</f>
        <v>АО ИК "АСЭ"</v>
      </c>
      <c r="B10201" s="24" t="s">
        <v>62</v>
      </c>
      <c r="C10201" s="28" t="s">
        <v>52</v>
      </c>
      <c r="D10201" s="22" t="s">
        <v>12624</v>
      </c>
      <c r="E10201" s="22" t="s">
        <v>53</v>
      </c>
      <c r="F10201" s="23" t="str">
        <f>HYPERLINK("https://www.spark-marketing.ru/Card/Lot/69640539", "Оказание услуг по охране объекта Нововоронежского филиала - «Гостиница «Дон», расположенного по адресу: г. Нововоронеж, ул. Курчатова, д. 2б. (1227711)")</f>
        <v>Оказание услуг по охране объекта Нововоронежского филиала - «Гостиница «Дон», расположенного по адресу: г. Нововоронеж, ул. Курчатова, д. 2б. (1227711)</v>
      </c>
      <c r="G10201" s="22" t="s">
        <v>64</v>
      </c>
      <c r="H10201" s="22" t="s">
        <v>65</v>
      </c>
      <c r="I10201" s="26">
        <v>43563.704872685201</v>
      </c>
      <c r="J10201" s="28" t="s">
        <v>52</v>
      </c>
      <c r="K10201" s="28" t="s">
        <v>52</v>
      </c>
      <c r="L10201" s="28" t="s">
        <v>52</v>
      </c>
      <c r="M10201" s="28" t="s">
        <v>52</v>
      </c>
      <c r="N10201" s="28" t="s">
        <v>52</v>
      </c>
    </row>
    <row r="10202" spans="1:14" x14ac:dyDescent="0.15">
      <c r="A10202" s="23" t="str">
        <f>HYPERLINK("https://www.spark-marketing.ru/Card/Person/54035", "ГАУЗ ""ЧИСТОПОЛЬСКАЯ ЦРБ""")</f>
        <v>ГАУЗ "ЧИСТОПОЛЬСКАЯ ЦРБ"</v>
      </c>
      <c r="B10202" s="24" t="s">
        <v>12625</v>
      </c>
      <c r="C10202" s="25">
        <v>111225.72</v>
      </c>
      <c r="D10202" s="22" t="s">
        <v>12626</v>
      </c>
      <c r="E10202" s="22" t="s">
        <v>107</v>
      </c>
      <c r="F10202" s="23" t="str">
        <f>HYPERLINK("https://www.spark-marketing.ru/Card/Lot/69649909", "оказание услуг по техническому обслуживанию охранно - тревожной сигнализации на 2019 год")</f>
        <v>оказание услуг по техническому обслуживанию охранно - тревожной сигнализации на 2019 год</v>
      </c>
      <c r="G10202" s="22" t="s">
        <v>204</v>
      </c>
      <c r="H10202" s="22" t="s">
        <v>204</v>
      </c>
      <c r="I10202" s="26">
        <v>43563.675694444399</v>
      </c>
      <c r="J10202" s="28" t="s">
        <v>52</v>
      </c>
      <c r="K10202" s="28" t="s">
        <v>52</v>
      </c>
      <c r="L10202" s="28" t="s">
        <v>52</v>
      </c>
      <c r="M10202" s="28" t="s">
        <v>52</v>
      </c>
      <c r="N10202" s="28" t="s">
        <v>52</v>
      </c>
    </row>
    <row r="10203" spans="1:14" hidden="1" outlineLevel="1" x14ac:dyDescent="0.2">
      <c r="A10203" s="23" t="str">
        <f>HYPERLINK("https://www.spark-marketing.ru/Card/Person/54035", "ГАУЗ ""ЧИСТОПОЛЬСКАЯ ЦРБ""")</f>
        <v>ГАУЗ "ЧИСТОПОЛЬСКАЯ ЦРБ"</v>
      </c>
      <c r="B10203" s="24" t="s">
        <v>12625</v>
      </c>
      <c r="C10203" s="25">
        <v>111225.72</v>
      </c>
      <c r="D10203" s="22" t="s">
        <v>12626</v>
      </c>
      <c r="E10203" s="22" t="s">
        <v>107</v>
      </c>
      <c r="F10203" s="23" t="str">
        <f>HYPERLINK("https://www.spark-marketing.ru/Card/Lot/69649909", "оказание услуг по техническому обслуживанию охранно - тревожной сигнализации на 2019 год")</f>
        <v>оказание услуг по техническому обслуживанию охранно - тревожной сигнализации на 2019 год</v>
      </c>
      <c r="G10203" s="22" t="s">
        <v>204</v>
      </c>
      <c r="H10203" s="22" t="s">
        <v>204</v>
      </c>
      <c r="I10203" s="26">
        <v>43563.675694444399</v>
      </c>
      <c r="J10203" s="23" t="str">
        <f>HYPERLINK("https://www.spark-marketing.ru/Card/Person/6117652", "ООО ""ЧОО ""АЛПАР""")</f>
        <v>ООО "ЧОО "АЛПАР"</v>
      </c>
      <c r="K10203" s="24" t="s">
        <v>12627</v>
      </c>
      <c r="L10203" s="28" t="s">
        <v>52</v>
      </c>
      <c r="M10203" s="25">
        <v>21688.91</v>
      </c>
      <c r="N10203" s="27">
        <v>0.80500094762254626</v>
      </c>
    </row>
    <row r="10204" spans="1:14" ht="12.75" hidden="1" outlineLevel="1" x14ac:dyDescent="0.2">
      <c r="A10204" s="23" t="str">
        <f>HYPERLINK("https://www.spark-marketing.ru/Card/Person/54035", "ГАУЗ ""ЧИСТОПОЛЬСКАЯ ЦРБ""")</f>
        <v>ГАУЗ "ЧИСТОПОЛЬСКАЯ ЦРБ"</v>
      </c>
      <c r="B10204" s="24" t="s">
        <v>12625</v>
      </c>
      <c r="C10204" s="25">
        <v>111225.72</v>
      </c>
      <c r="D10204" s="22" t="s">
        <v>12626</v>
      </c>
      <c r="E10204" s="22" t="s">
        <v>107</v>
      </c>
      <c r="F10204" s="23" t="str">
        <f>HYPERLINK("https://www.spark-marketing.ru/Card/Lot/69649909", "оказание услуг по техническому обслуживанию охранно - тревожной сигнализации на 2019 год")</f>
        <v>оказание услуг по техническому обслуживанию охранно - тревожной сигнализации на 2019 год</v>
      </c>
      <c r="G10204" s="22" t="s">
        <v>204</v>
      </c>
      <c r="H10204" s="22" t="s">
        <v>204</v>
      </c>
      <c r="I10204" s="26">
        <v>43563.675694444399</v>
      </c>
      <c r="J10204" s="23" t="str">
        <f>HYPERLINK("https://www.spark-marketing.ru/Card/Person/53611", "ООО ОП ""ВОСТОК""")</f>
        <v>ООО ОП "ВОСТОК"</v>
      </c>
      <c r="K10204" s="24" t="s">
        <v>12628</v>
      </c>
      <c r="L10204" s="22" t="s">
        <v>10</v>
      </c>
      <c r="M10204" s="25">
        <v>16127.62</v>
      </c>
      <c r="N10204" s="27">
        <v>0.85500098358545129</v>
      </c>
    </row>
    <row r="10205" spans="1:14" x14ac:dyDescent="0.15">
      <c r="A10205" s="23" t="str">
        <f>HYPERLINK("https://www.spark-marketing.ru/Card/Person/93956", "ГБУ РО ""КВД""")</f>
        <v>ГБУ РО "КВД"</v>
      </c>
      <c r="B10205" s="24" t="s">
        <v>11287</v>
      </c>
      <c r="C10205" s="25">
        <v>17600</v>
      </c>
      <c r="D10205" s="22" t="s">
        <v>12629</v>
      </c>
      <c r="E10205" s="22" t="s">
        <v>103</v>
      </c>
      <c r="F10205" s="23" t="str">
        <f>HYPERLINK("https://www.spark-marketing.ru/Card/Lot/69637926", "Закупка услуги по техническому обслуживанию системы видеонаблюдения для нужд Волгодонского филиала ГБУ РО ""КВД""")</f>
        <v>Закупка услуги по техническому обслуживанию системы видеонаблюдения для нужд Волгодонского филиала ГБУ РО "КВД"</v>
      </c>
      <c r="G10205" s="22" t="s">
        <v>402</v>
      </c>
      <c r="H10205" s="22" t="s">
        <v>12630</v>
      </c>
      <c r="I10205" s="26">
        <v>43563.662499999999</v>
      </c>
      <c r="J10205" s="28" t="s">
        <v>52</v>
      </c>
      <c r="K10205" s="28" t="s">
        <v>52</v>
      </c>
      <c r="L10205" s="28" t="s">
        <v>52</v>
      </c>
      <c r="M10205" s="28" t="s">
        <v>52</v>
      </c>
      <c r="N10205" s="28" t="s">
        <v>52</v>
      </c>
    </row>
    <row r="10206" spans="1:14" ht="12.75" hidden="1" outlineLevel="1" x14ac:dyDescent="0.2">
      <c r="A10206" s="23" t="str">
        <f>HYPERLINK("https://www.spark-marketing.ru/Card/Person/93956", "ГБУ РО ""КВД""")</f>
        <v>ГБУ РО "КВД"</v>
      </c>
      <c r="B10206" s="24" t="s">
        <v>11287</v>
      </c>
      <c r="C10206" s="25">
        <v>17600</v>
      </c>
      <c r="D10206" s="22" t="s">
        <v>12629</v>
      </c>
      <c r="E10206" s="22" t="s">
        <v>103</v>
      </c>
      <c r="F10206" s="23" t="str">
        <f>HYPERLINK("https://www.spark-marketing.ru/Card/Lot/69637926", "Закупка услуги по техническому обслуживанию системы видеонаблюдения для нужд Волгодонского филиала ГБУ РО ""КВД""")</f>
        <v>Закупка услуги по техническому обслуживанию системы видеонаблюдения для нужд Волгодонского филиала ГБУ РО "КВД"</v>
      </c>
      <c r="G10206" s="22" t="s">
        <v>402</v>
      </c>
      <c r="H10206" s="22" t="s">
        <v>12630</v>
      </c>
      <c r="I10206" s="26">
        <v>43563.662499999999</v>
      </c>
      <c r="J10206" s="23" t="str">
        <f>HYPERLINK("https://www.spark-marketing.ru/Card/Person/107457", "ООО ""ЮГЭЛЕКТРОАВТОМАТИКА""")</f>
        <v>ООО "ЮГЭЛЕКТРОАВТОМАТИКА"</v>
      </c>
      <c r="K10206" s="24" t="s">
        <v>9673</v>
      </c>
      <c r="L10206" s="22" t="s">
        <v>10</v>
      </c>
      <c r="M10206" s="25">
        <v>3900</v>
      </c>
      <c r="N10206" s="27">
        <v>0.77840909090909094</v>
      </c>
    </row>
    <row r="10207" spans="1:14" hidden="1" outlineLevel="1" x14ac:dyDescent="0.2">
      <c r="A10207" s="23" t="str">
        <f>HYPERLINK("https://www.spark-marketing.ru/Card/Person/93956", "ГБУ РО ""КВД""")</f>
        <v>ГБУ РО "КВД"</v>
      </c>
      <c r="B10207" s="24" t="s">
        <v>11287</v>
      </c>
      <c r="C10207" s="25">
        <v>17600</v>
      </c>
      <c r="D10207" s="22" t="s">
        <v>12629</v>
      </c>
      <c r="E10207" s="22" t="s">
        <v>103</v>
      </c>
      <c r="F10207" s="23" t="str">
        <f>HYPERLINK("https://www.spark-marketing.ru/Card/Lot/69637926", "Закупка услуги по техническому обслуживанию системы видеонаблюдения для нужд Волгодонского филиала ГБУ РО ""КВД""")</f>
        <v>Закупка услуги по техническому обслуживанию системы видеонаблюдения для нужд Волгодонского филиала ГБУ РО "КВД"</v>
      </c>
      <c r="G10207" s="22" t="s">
        <v>402</v>
      </c>
      <c r="H10207" s="22" t="s">
        <v>12630</v>
      </c>
      <c r="I10207" s="26">
        <v>43563.662499999999</v>
      </c>
      <c r="J10207" s="23" t="str">
        <f>HYPERLINK("https://www.spark-marketing.ru/Card/Person/454864", "ООО ""ТЕХНОДАЧА""")</f>
        <v>ООО "ТЕХНОДАЧА"</v>
      </c>
      <c r="K10207" s="24" t="s">
        <v>4319</v>
      </c>
      <c r="L10207" s="28" t="s">
        <v>52</v>
      </c>
      <c r="M10207" s="25">
        <v>8057</v>
      </c>
      <c r="N10207" s="27">
        <v>0.54221590909090911</v>
      </c>
    </row>
    <row r="10208" spans="1:14" hidden="1" outlineLevel="1" x14ac:dyDescent="0.2">
      <c r="A10208" s="23" t="str">
        <f>HYPERLINK("https://www.spark-marketing.ru/Card/Person/93956", "ГБУ РО ""КВД""")</f>
        <v>ГБУ РО "КВД"</v>
      </c>
      <c r="B10208" s="24" t="s">
        <v>11287</v>
      </c>
      <c r="C10208" s="25">
        <v>17600</v>
      </c>
      <c r="D10208" s="22" t="s">
        <v>12629</v>
      </c>
      <c r="E10208" s="22" t="s">
        <v>103</v>
      </c>
      <c r="F10208" s="23" t="str">
        <f>HYPERLINK("https://www.spark-marketing.ru/Card/Lot/69637926", "Закупка услуги по техническому обслуживанию системы видеонаблюдения для нужд Волгодонского филиала ГБУ РО ""КВД""")</f>
        <v>Закупка услуги по техническому обслуживанию системы видеонаблюдения для нужд Волгодонского филиала ГБУ РО "КВД"</v>
      </c>
      <c r="G10208" s="22" t="s">
        <v>402</v>
      </c>
      <c r="H10208" s="22" t="s">
        <v>12630</v>
      </c>
      <c r="I10208" s="26">
        <v>43563.662499999999</v>
      </c>
      <c r="J10208" s="23" t="str">
        <f>HYPERLINK("https://www.spark-marketing.ru/Card/Person/423209", "ООО ""ПРОФЕССИОНАЛ СБ""")</f>
        <v>ООО "ПРОФЕССИОНАЛ СБ"</v>
      </c>
      <c r="K10208" s="24" t="s">
        <v>1785</v>
      </c>
      <c r="L10208" s="28" t="s">
        <v>52</v>
      </c>
      <c r="M10208" s="25">
        <v>9917</v>
      </c>
      <c r="N10208" s="27">
        <v>0.4365340909090909</v>
      </c>
    </row>
    <row r="10209" spans="1:14" hidden="1" outlineLevel="1" x14ac:dyDescent="0.2">
      <c r="A10209" s="23" t="str">
        <f>HYPERLINK("https://www.spark-marketing.ru/Card/Person/93956", "ГБУ РО ""КВД""")</f>
        <v>ГБУ РО "КВД"</v>
      </c>
      <c r="B10209" s="24" t="s">
        <v>11287</v>
      </c>
      <c r="C10209" s="25">
        <v>17600</v>
      </c>
      <c r="D10209" s="22" t="s">
        <v>12629</v>
      </c>
      <c r="E10209" s="22" t="s">
        <v>103</v>
      </c>
      <c r="F10209" s="23" t="str">
        <f>HYPERLINK("https://www.spark-marketing.ru/Card/Lot/69637926", "Закупка услуги по техническому обслуживанию системы видеонаблюдения для нужд Волгодонского филиала ГБУ РО ""КВД""")</f>
        <v>Закупка услуги по техническому обслуживанию системы видеонаблюдения для нужд Волгодонского филиала ГБУ РО "КВД"</v>
      </c>
      <c r="G10209" s="22" t="s">
        <v>402</v>
      </c>
      <c r="H10209" s="22" t="s">
        <v>12630</v>
      </c>
      <c r="I10209" s="26">
        <v>43563.662499999999</v>
      </c>
      <c r="J10209" s="23" t="str">
        <f>HYPERLINK("https://www.spark-marketing.ru/Card/Person/1469369", "ООО ""АНЛАД""")</f>
        <v>ООО "АНЛАД"</v>
      </c>
      <c r="K10209" s="24" t="s">
        <v>12631</v>
      </c>
      <c r="L10209" s="28" t="s">
        <v>52</v>
      </c>
      <c r="M10209" s="25">
        <v>4000</v>
      </c>
      <c r="N10209" s="27">
        <v>0.77272727272727271</v>
      </c>
    </row>
    <row r="10210" spans="1:14" x14ac:dyDescent="0.15">
      <c r="A10210" s="23" t="str">
        <f>HYPERLINK("https://www.spark-marketing.ru/Card/Person/85918", "ГБДОУ ДЕТСКИЙ САД №22 КОМБИНИРОВАННОГО ВИДА КРАСНОСЕЛЬСКОГО РАЙОНА СПБ")</f>
        <v>ГБДОУ ДЕТСКИЙ САД №22 КОМБИНИРОВАННОГО ВИДА КРАСНОСЕЛЬСКОГО РАЙОНА СПБ</v>
      </c>
      <c r="B10210" s="24" t="s">
        <v>12632</v>
      </c>
      <c r="C10210" s="25">
        <v>773614</v>
      </c>
      <c r="D10210" s="22" t="s">
        <v>12633</v>
      </c>
      <c r="E10210" s="22" t="s">
        <v>59</v>
      </c>
      <c r="F10210" s="23" t="str">
        <f>HYPERLINK("https://www.spark-marketing.ru/Card/Lot/69638294", "Выполнение требований к антитеррористической защищенности объектов (территорий): монтаж автоматической установки охранно-тревожной сигнализации в здании ГБДОУ детский сад № 22 комбинированного вида Красносельского района СПб.")</f>
        <v>Выполнение требований к антитеррористической защищенности объектов (территорий): монтаж автоматической установки охранно-тревожной сигнализации в здании ГБДОУ детский сад № 22 комбинированного вида Красносельского района СПб.</v>
      </c>
      <c r="G10210" s="22" t="s">
        <v>89</v>
      </c>
      <c r="H10210" s="22" t="s">
        <v>89</v>
      </c>
      <c r="I10210" s="26">
        <v>43563.652083333298</v>
      </c>
      <c r="J10210" s="23" t="str">
        <f>HYPERLINK("https://www.spark-marketing.ru/Card/Person/132600", "ООО ""АСПЕКТ""")</f>
        <v>ООО "АСПЕКТ"</v>
      </c>
      <c r="K10210" s="24" t="s">
        <v>10038</v>
      </c>
      <c r="L10210" s="28" t="s">
        <v>52</v>
      </c>
      <c r="M10210" s="28" t="s">
        <v>52</v>
      </c>
      <c r="N10210" s="28" t="s">
        <v>52</v>
      </c>
    </row>
    <row r="10211" spans="1:14" ht="12.75" hidden="1" outlineLevel="1" x14ac:dyDescent="0.2">
      <c r="A10211" s="23" t="str">
        <f>HYPERLINK("https://www.spark-marketing.ru/Card/Person/85918", "ГБДОУ ДЕТСКИЙ САД №22 КОМБИНИРОВАННОГО ВИДА КРАСНОСЕЛЬСКОГО РАЙОНА СПБ")</f>
        <v>ГБДОУ ДЕТСКИЙ САД №22 КОМБИНИРОВАННОГО ВИДА КРАСНОСЕЛЬСКОГО РАЙОНА СПБ</v>
      </c>
      <c r="B10211" s="24" t="s">
        <v>12632</v>
      </c>
      <c r="C10211" s="25">
        <v>773614</v>
      </c>
      <c r="D10211" s="22" t="s">
        <v>12633</v>
      </c>
      <c r="E10211" s="22" t="s">
        <v>59</v>
      </c>
      <c r="F10211" s="23" t="str">
        <f>HYPERLINK("https://www.spark-marketing.ru/Card/Lot/69638294", "Выполнение требований к антитеррористической защищенности объектов (территорий): монтаж автоматической установки охранно-тревожной сигнализации в здании ГБДОУ детский сад № 22 комбинированного вида Красносельского района СПб.")</f>
        <v>Выполнение требований к антитеррористической защищенности объектов (территорий): монтаж автоматической установки охранно-тревожной сигнализации в здании ГБДОУ детский сад № 22 комбинированного вида Красносельского района СПб.</v>
      </c>
      <c r="G10211" s="22" t="s">
        <v>89</v>
      </c>
      <c r="H10211" s="22" t="s">
        <v>89</v>
      </c>
      <c r="I10211" s="26">
        <v>43563.652083333298</v>
      </c>
      <c r="J10211" s="23" t="str">
        <f>HYPERLINK("https://www.spark-marketing.ru/Card/Person/132600", "ООО ""АСПЕКТ""")</f>
        <v>ООО "АСПЕКТ"</v>
      </c>
      <c r="K10211" s="24" t="s">
        <v>10038</v>
      </c>
      <c r="L10211" s="22" t="s">
        <v>10</v>
      </c>
      <c r="M10211" s="25">
        <v>769745.93</v>
      </c>
      <c r="N10211" s="27">
        <v>5.0000000000000001E-3</v>
      </c>
    </row>
    <row r="10212" spans="1:14" x14ac:dyDescent="0.15">
      <c r="A10212" s="23" t="str">
        <f>HYPERLINK("https://www.spark-marketing.ru/Card/Person/93956", "ГБУ РО ""КВД""")</f>
        <v>ГБУ РО "КВД"</v>
      </c>
      <c r="B10212" s="24" t="s">
        <v>11287</v>
      </c>
      <c r="C10212" s="25">
        <v>10381.36</v>
      </c>
      <c r="D10212" s="22" t="s">
        <v>12634</v>
      </c>
      <c r="E10212" s="22" t="s">
        <v>103</v>
      </c>
      <c r="F10212" s="23" t="str">
        <f>HYPERLINK("https://www.spark-marketing.ru/Card/Lot/69638464", "Закупка услуги по техническому обслуживанию системы видеонаблюдения для нужд Шахтинского филиала ГБУ РО «КВД»")</f>
        <v>Закупка услуги по техническому обслуживанию системы видеонаблюдения для нужд Шахтинского филиала ГБУ РО «КВД»</v>
      </c>
      <c r="G10212" s="22" t="s">
        <v>402</v>
      </c>
      <c r="H10212" s="22" t="s">
        <v>402</v>
      </c>
      <c r="I10212" s="26">
        <v>43563.662499999999</v>
      </c>
      <c r="J10212" s="28" t="s">
        <v>52</v>
      </c>
      <c r="K10212" s="28" t="s">
        <v>52</v>
      </c>
      <c r="L10212" s="28" t="s">
        <v>52</v>
      </c>
      <c r="M10212" s="28" t="s">
        <v>52</v>
      </c>
      <c r="N10212" s="28" t="s">
        <v>52</v>
      </c>
    </row>
    <row r="10213" spans="1:14" hidden="1" outlineLevel="1" x14ac:dyDescent="0.2">
      <c r="A10213" s="23" t="str">
        <f>HYPERLINK("https://www.spark-marketing.ru/Card/Person/93956", "ГБУ РО ""КВД""")</f>
        <v>ГБУ РО "КВД"</v>
      </c>
      <c r="B10213" s="24" t="s">
        <v>11287</v>
      </c>
      <c r="C10213" s="25">
        <v>10381.36</v>
      </c>
      <c r="D10213" s="22" t="s">
        <v>12634</v>
      </c>
      <c r="E10213" s="22" t="s">
        <v>103</v>
      </c>
      <c r="F10213" s="23" t="str">
        <f>HYPERLINK("https://www.spark-marketing.ru/Card/Lot/69638464", "Закупка услуги по техническому обслуживанию системы видеонаблюдения для нужд Шахтинского филиала ГБУ РО «КВД»")</f>
        <v>Закупка услуги по техническому обслуживанию системы видеонаблюдения для нужд Шахтинского филиала ГБУ РО «КВД»</v>
      </c>
      <c r="G10213" s="22" t="s">
        <v>402</v>
      </c>
      <c r="H10213" s="22" t="s">
        <v>402</v>
      </c>
      <c r="I10213" s="26">
        <v>43563.662499999999</v>
      </c>
      <c r="J10213" s="23" t="str">
        <f>HYPERLINK("https://www.spark-marketing.ru/Card/Person/6242679", "ООО «И С Ю»")</f>
        <v>ООО «И С Ю»</v>
      </c>
      <c r="K10213" s="24" t="s">
        <v>12635</v>
      </c>
      <c r="L10213" s="28" t="s">
        <v>52</v>
      </c>
      <c r="M10213" s="25">
        <v>7528.02</v>
      </c>
      <c r="N10213" s="27">
        <v>0.27485223515994051</v>
      </c>
    </row>
    <row r="10214" spans="1:14" ht="12.75" hidden="1" outlineLevel="1" x14ac:dyDescent="0.2">
      <c r="A10214" s="23" t="str">
        <f>HYPERLINK("https://www.spark-marketing.ru/Card/Person/93956", "ГБУ РО ""КВД""")</f>
        <v>ГБУ РО "КВД"</v>
      </c>
      <c r="B10214" s="24" t="s">
        <v>11287</v>
      </c>
      <c r="C10214" s="25">
        <v>10381.36</v>
      </c>
      <c r="D10214" s="22" t="s">
        <v>12634</v>
      </c>
      <c r="E10214" s="22" t="s">
        <v>103</v>
      </c>
      <c r="F10214" s="23" t="str">
        <f>HYPERLINK("https://www.spark-marketing.ru/Card/Lot/69638464", "Закупка услуги по техническому обслуживанию системы видеонаблюдения для нужд Шахтинского филиала ГБУ РО «КВД»")</f>
        <v>Закупка услуги по техническому обслуживанию системы видеонаблюдения для нужд Шахтинского филиала ГБУ РО «КВД»</v>
      </c>
      <c r="G10214" s="22" t="s">
        <v>402</v>
      </c>
      <c r="H10214" s="22" t="s">
        <v>402</v>
      </c>
      <c r="I10214" s="26">
        <v>43563.662499999999</v>
      </c>
      <c r="J10214" s="23" t="str">
        <f>HYPERLINK("https://www.spark-marketing.ru/Card/Person/6071685", "Сафонова Елена Александровна")</f>
        <v>Сафонова Елена Александровна</v>
      </c>
      <c r="K10214" s="24" t="s">
        <v>12636</v>
      </c>
      <c r="L10214" s="22" t="s">
        <v>10</v>
      </c>
      <c r="M10214" s="25">
        <v>7528.02</v>
      </c>
      <c r="N10214" s="27">
        <v>0.27485223515994051</v>
      </c>
    </row>
    <row r="10215" spans="1:14" ht="12.75" x14ac:dyDescent="0.2">
      <c r="A10215" s="23" t="str">
        <f>HYPERLINK("https://www.spark-marketing.ru/Card/Person/261730", "ГАУЗ ""БГБ № 2 """)</f>
        <v>ГАУЗ "БГБ № 2 "</v>
      </c>
      <c r="B10215" s="24" t="s">
        <v>12637</v>
      </c>
      <c r="C10215" s="25">
        <v>1032000</v>
      </c>
      <c r="D10215" s="22" t="s">
        <v>12638</v>
      </c>
      <c r="E10215" s="22" t="s">
        <v>789</v>
      </c>
      <c r="F10215" s="23" t="str">
        <f>HYPERLINK("https://www.spark-marketing.ru/Card/Lot/69630130", "Услуги по охране объектов на 2 полугодие 2019 года")</f>
        <v>Услуги по охране объектов на 2 полугодие 2019 года</v>
      </c>
      <c r="G10215" s="22" t="s">
        <v>215</v>
      </c>
      <c r="H10215" s="22" t="s">
        <v>406</v>
      </c>
      <c r="I10215" s="26">
        <v>43563.625081018501</v>
      </c>
      <c r="J10215" s="23" t="str">
        <f>HYPERLINK("https://www.spark-marketing.ru/Card/Person/4370861", "ООО ""ЧОП ""ПРЕМЬЕР""")</f>
        <v>ООО "ЧОП "ПРЕМЬЕР"</v>
      </c>
      <c r="K10215" s="24" t="s">
        <v>12639</v>
      </c>
      <c r="L10215" s="22" t="s">
        <v>10</v>
      </c>
      <c r="M10215" s="25">
        <v>1032000</v>
      </c>
      <c r="N10215" s="27">
        <v>0</v>
      </c>
    </row>
    <row r="10216" spans="1:14" x14ac:dyDescent="0.2">
      <c r="A10216" s="23" t="str">
        <f>HYPERLINK("https://www.spark-marketing.ru/Card/Person/1781541", "ГАУ ВО ДСОЛ ""СТАРТ""")</f>
        <v>ГАУ ВО ДСОЛ "СТАРТ"</v>
      </c>
      <c r="B10216" s="24" t="s">
        <v>12640</v>
      </c>
      <c r="C10216" s="25">
        <v>441600</v>
      </c>
      <c r="D10216" s="22" t="s">
        <v>12641</v>
      </c>
      <c r="E10216" s="22" t="s">
        <v>144</v>
      </c>
      <c r="F10216" s="23" t="str">
        <f>HYPERLINK("https://www.spark-marketing.ru/Card/Lot/69628323", "Оказание охранных услуг")</f>
        <v>Оказание охранных услуг</v>
      </c>
      <c r="G10216" s="22" t="s">
        <v>132</v>
      </c>
      <c r="H10216" s="22" t="s">
        <v>132</v>
      </c>
      <c r="I10216" s="26">
        <v>43563.593275462998</v>
      </c>
      <c r="J10216" s="23" t="str">
        <f>HYPERLINK("https://www.spark-marketing.ru/Card/Person/6085498", "ООО ЧОО ""ЗАЩИТА ЮГ""")</f>
        <v>ООО ЧОО "ЗАЩИТА ЮГ"</v>
      </c>
      <c r="K10216" s="24" t="s">
        <v>12642</v>
      </c>
      <c r="L10216" s="28" t="s">
        <v>52</v>
      </c>
      <c r="M10216" s="25">
        <v>0</v>
      </c>
      <c r="N10216" s="27">
        <v>1</v>
      </c>
    </row>
    <row r="10217" spans="1:14" x14ac:dyDescent="0.15">
      <c r="A10217" s="23" t="str">
        <f>HYPERLINK("https://www.spark-marketing.ru/Card/Person/1065326", "МКОУ ""ХОЛОДНОВСКАЯ ООШ""")</f>
        <v>МКОУ "ХОЛОДНОВСКАЯ ООШ"</v>
      </c>
      <c r="B10217" s="24" t="s">
        <v>10321</v>
      </c>
      <c r="C10217" s="25">
        <v>12500</v>
      </c>
      <c r="D10217" s="22" t="s">
        <v>12643</v>
      </c>
      <c r="E10217" s="22" t="s">
        <v>59</v>
      </c>
      <c r="F10217" s="23" t="str">
        <f>HYPERLINK("https://www.spark-marketing.ru/Card/Lot/69627636", "Услуги по монтажу кнопки тревожной сигнализации")</f>
        <v>Услуги по монтажу кнопки тревожной сигнализации</v>
      </c>
      <c r="G10217" s="22" t="s">
        <v>209</v>
      </c>
      <c r="H10217" s="22" t="s">
        <v>5208</v>
      </c>
      <c r="I10217" s="26">
        <v>43563.595833333296</v>
      </c>
      <c r="J10217" s="28" t="s">
        <v>52</v>
      </c>
      <c r="K10217" s="28" t="s">
        <v>52</v>
      </c>
      <c r="L10217" s="28" t="s">
        <v>52</v>
      </c>
      <c r="M10217" s="28" t="s">
        <v>52</v>
      </c>
      <c r="N10217" s="28" t="s">
        <v>52</v>
      </c>
    </row>
    <row r="10218" spans="1:14" x14ac:dyDescent="0.15">
      <c r="A10218" s="23" t="str">
        <f>HYPERLINK("https://www.spark-marketing.ru/Card/Person/124063", "МКУ ""АДЦ""")</f>
        <v>МКУ "АДЦ"</v>
      </c>
      <c r="B10218" s="24" t="s">
        <v>12644</v>
      </c>
      <c r="C10218" s="25">
        <v>182400</v>
      </c>
      <c r="D10218" s="22" t="s">
        <v>12645</v>
      </c>
      <c r="E10218" s="22" t="s">
        <v>68</v>
      </c>
      <c r="F10218" s="23" t="str">
        <f>HYPERLINK("https://www.spark-marketing.ru/Card/Lot/69620551", "Оказание услуг защиты объекта транспортной инфраструктуры от актов незаконного вмешательства для нужд МКУ ""Автоматизированный диспетчерский центр""")</f>
        <v>Оказание услуг защиты объекта транспортной инфраструктуры от актов незаконного вмешательства для нужд МКУ "Автоматизированный диспетчерский центр"</v>
      </c>
      <c r="G10218" s="22" t="s">
        <v>409</v>
      </c>
      <c r="H10218" s="22" t="s">
        <v>878</v>
      </c>
      <c r="I10218" s="26">
        <v>43563.595833333296</v>
      </c>
      <c r="J10218" s="28" t="s">
        <v>52</v>
      </c>
      <c r="K10218" s="28" t="s">
        <v>52</v>
      </c>
      <c r="L10218" s="28" t="s">
        <v>52</v>
      </c>
      <c r="M10218" s="28" t="s">
        <v>52</v>
      </c>
      <c r="N10218" s="28" t="s">
        <v>52</v>
      </c>
    </row>
    <row r="10219" spans="1:14" ht="12.75" hidden="1" outlineLevel="1" x14ac:dyDescent="0.2">
      <c r="A10219" s="23" t="str">
        <f>HYPERLINK("https://www.spark-marketing.ru/Card/Person/124063", "МКУ ""АДЦ""")</f>
        <v>МКУ "АДЦ"</v>
      </c>
      <c r="B10219" s="24" t="s">
        <v>12644</v>
      </c>
      <c r="C10219" s="25">
        <v>182400</v>
      </c>
      <c r="D10219" s="22" t="s">
        <v>12645</v>
      </c>
      <c r="E10219" s="22" t="s">
        <v>68</v>
      </c>
      <c r="F10219" s="23" t="str">
        <f>HYPERLINK("https://www.spark-marketing.ru/Card/Lot/69620551", "Оказание услуг защиты объекта транспортной инфраструктуры от актов незаконного вмешательства для нужд МКУ ""Автоматизированный диспетчерский центр""")</f>
        <v>Оказание услуг защиты объекта транспортной инфраструктуры от актов незаконного вмешательства для нужд МКУ "Автоматизированный диспетчерский центр"</v>
      </c>
      <c r="G10219" s="22" t="s">
        <v>409</v>
      </c>
      <c r="H10219" s="22" t="s">
        <v>878</v>
      </c>
      <c r="I10219" s="26">
        <v>43563.595833333296</v>
      </c>
      <c r="J10219" s="23" t="str">
        <f>HYPERLINK("https://www.spark-marketing.ru/Card/Person/6285750", "ООО ""ДВ ТРАНСПОРТНАЯ БЕЗОПАСНОСТЬ""")</f>
        <v>ООО "ДВ ТРАНСПОРТНАЯ БЕЗОПАСНОСТЬ"</v>
      </c>
      <c r="K10219" s="24" t="s">
        <v>12646</v>
      </c>
      <c r="L10219" s="22" t="s">
        <v>10</v>
      </c>
      <c r="M10219" s="25">
        <v>182160</v>
      </c>
      <c r="N10219" s="27">
        <v>1.3157894736842105E-3</v>
      </c>
    </row>
    <row r="10220" spans="1:14" hidden="1" outlineLevel="1" x14ac:dyDescent="0.2">
      <c r="A10220" s="23" t="str">
        <f>HYPERLINK("https://www.spark-marketing.ru/Card/Person/124063", "МКУ ""АДЦ""")</f>
        <v>МКУ "АДЦ"</v>
      </c>
      <c r="B10220" s="24" t="s">
        <v>12644</v>
      </c>
      <c r="C10220" s="25">
        <v>182400</v>
      </c>
      <c r="D10220" s="22" t="s">
        <v>12645</v>
      </c>
      <c r="E10220" s="22" t="s">
        <v>68</v>
      </c>
      <c r="F10220" s="23" t="str">
        <f>HYPERLINK("https://www.spark-marketing.ru/Card/Lot/69620551", "Оказание услуг защиты объекта транспортной инфраструктуры от актов незаконного вмешательства для нужд МКУ ""Автоматизированный диспетчерский центр""")</f>
        <v>Оказание услуг защиты объекта транспортной инфраструктуры от актов незаконного вмешательства для нужд МКУ "Автоматизированный диспетчерский центр"</v>
      </c>
      <c r="G10220" s="22" t="s">
        <v>409</v>
      </c>
      <c r="H10220" s="22" t="s">
        <v>878</v>
      </c>
      <c r="I10220" s="26">
        <v>43563.595833333296</v>
      </c>
      <c r="J10220" s="23" t="str">
        <f>HYPERLINK("https://www.spark-marketing.ru/Card/Person/470688", "ООО ""ОА ""РЕАЛ СЕКЬЮРИТИ ДВ""")</f>
        <v>ООО "ОА "РЕАЛ СЕКЬЮРИТИ ДВ"</v>
      </c>
      <c r="K10220" s="24" t="s">
        <v>12647</v>
      </c>
      <c r="L10220" s="28" t="s">
        <v>52</v>
      </c>
      <c r="M10220" s="25">
        <v>182256</v>
      </c>
      <c r="N10220" s="27">
        <v>7.894736842105263E-4</v>
      </c>
    </row>
    <row r="10221" spans="1:14" x14ac:dyDescent="0.15">
      <c r="A10221" s="23" t="str">
        <f>HYPERLINK("https://www.spark-marketing.ru/Card/Person/1516695", "ПАО ""ММК""")</f>
        <v>ПАО "ММК"</v>
      </c>
      <c r="B10221" s="24" t="s">
        <v>12648</v>
      </c>
      <c r="C10221" s="28" t="s">
        <v>52</v>
      </c>
      <c r="D10221" s="22" t="s">
        <v>12649</v>
      </c>
      <c r="E10221" s="22" t="s">
        <v>53</v>
      </c>
      <c r="F10221" s="23" t="str">
        <f>HYPERLINK("https://www.spark-marketing.ru/Card/Lot/69628769", "шкафы управления, шкафы распределения 102 позиции")</f>
        <v>шкафы управления, шкафы распределения 102 позиции</v>
      </c>
      <c r="G10221" s="22" t="s">
        <v>60</v>
      </c>
      <c r="H10221" s="22" t="s">
        <v>221</v>
      </c>
      <c r="I10221" s="26">
        <v>43563.596516203703</v>
      </c>
      <c r="J10221" s="28" t="s">
        <v>52</v>
      </c>
      <c r="K10221" s="28" t="s">
        <v>52</v>
      </c>
      <c r="L10221" s="28" t="s">
        <v>52</v>
      </c>
      <c r="M10221" s="28" t="s">
        <v>52</v>
      </c>
      <c r="N10221" s="28" t="s">
        <v>52</v>
      </c>
    </row>
    <row r="10222" spans="1:14" x14ac:dyDescent="0.15">
      <c r="A10222" s="23" t="str">
        <f>HYPERLINK("https://www.spark-marketing.ru/Card/Person/6514779", "СИБМЕТАХИМ")</f>
        <v>СИБМЕТАХИМ</v>
      </c>
      <c r="B10222" s="28" t="s">
        <v>52</v>
      </c>
      <c r="C10222" s="25">
        <v>142166</v>
      </c>
      <c r="D10222" s="22" t="s">
        <v>12650</v>
      </c>
      <c r="E10222" s="22" t="s">
        <v>53</v>
      </c>
      <c r="F10222" s="23" t="str">
        <f>HYPERLINK("https://www.spark-marketing.ru/Card/Lot/69648614", "Право заключения договора на оказание услуг по установке системы видеонаблюдения на производстве метанола для нужд ооо""сибметахим""")</f>
        <v>Право заключения договора на оказание услуг по установке системы видеонаблюдения на производстве метанола для нужд ооо"сибметахим"</v>
      </c>
      <c r="G10222" s="22" t="s">
        <v>52</v>
      </c>
      <c r="H10222" s="22" t="s">
        <v>52</v>
      </c>
      <c r="I10222" s="26">
        <v>43563.506944444402</v>
      </c>
      <c r="J10222" s="28" t="s">
        <v>52</v>
      </c>
      <c r="K10222" s="28" t="s">
        <v>52</v>
      </c>
      <c r="L10222" s="28" t="s">
        <v>52</v>
      </c>
      <c r="M10222" s="28" t="s">
        <v>52</v>
      </c>
      <c r="N10222" s="28" t="s">
        <v>52</v>
      </c>
    </row>
    <row r="10223" spans="1:14" x14ac:dyDescent="0.15">
      <c r="A10223" s="23" t="str">
        <f>HYPERLINK("https://www.spark-marketing.ru/Card/Person/4412263", "АО ""САМАРАНЕФТЕГАЗ""")</f>
        <v>АО "САМАРАНЕФТЕГАЗ"</v>
      </c>
      <c r="B10223" s="24" t="s">
        <v>12651</v>
      </c>
      <c r="C10223" s="28" t="s">
        <v>52</v>
      </c>
      <c r="D10223" s="22" t="s">
        <v>12652</v>
      </c>
      <c r="E10223" s="22" t="s">
        <v>4223</v>
      </c>
      <c r="F10223" s="23" t="str">
        <f>HYPERLINK("https://www.spark-marketing.ru/Card/Lot/69627091", "УМР-20-3-НПУ Комплекс работ по созданию цифровой тематической карты поясов и зон охраны объектов местности")</f>
        <v>УМР-20-3-НПУ Комплекс работ по созданию цифровой тематической карты поясов и зон охраны объектов местности</v>
      </c>
      <c r="G10223" s="22" t="s">
        <v>760</v>
      </c>
      <c r="H10223" s="22" t="s">
        <v>1709</v>
      </c>
      <c r="I10223" s="26">
        <v>43563.525000000001</v>
      </c>
      <c r="J10223" s="28" t="s">
        <v>52</v>
      </c>
      <c r="K10223" s="28" t="s">
        <v>52</v>
      </c>
      <c r="L10223" s="28" t="s">
        <v>52</v>
      </c>
      <c r="M10223" s="28" t="s">
        <v>52</v>
      </c>
      <c r="N10223" s="28" t="s">
        <v>52</v>
      </c>
    </row>
    <row r="10224" spans="1:14" x14ac:dyDescent="0.15">
      <c r="A10224" s="23" t="str">
        <f>HYPERLINK("https://www.spark-marketing.ru/Card/Person/56120", "МДОУ Д/С №59")</f>
        <v>МДОУ Д/С №59</v>
      </c>
      <c r="B10224" s="24" t="s">
        <v>12653</v>
      </c>
      <c r="C10224" s="25">
        <v>37004.22</v>
      </c>
      <c r="D10224" s="22" t="s">
        <v>12654</v>
      </c>
      <c r="E10224" s="22" t="s">
        <v>107</v>
      </c>
      <c r="F10224" s="23" t="str">
        <f>HYPERLINK("https://www.spark-marketing.ru/Card/Lot/69625737", "Техническое обслуживание комплекса технических средств охраны (ТО КТС)")</f>
        <v>Техническое обслуживание комплекса технических средств охраны (ТО КТС)</v>
      </c>
      <c r="G10224" s="22" t="s">
        <v>50</v>
      </c>
      <c r="H10224" s="22" t="s">
        <v>5291</v>
      </c>
      <c r="I10224" s="26">
        <v>43563.513495370396</v>
      </c>
      <c r="J10224" s="28" t="s">
        <v>52</v>
      </c>
      <c r="K10224" s="28" t="s">
        <v>52</v>
      </c>
      <c r="L10224" s="28" t="s">
        <v>52</v>
      </c>
      <c r="M10224" s="28" t="s">
        <v>52</v>
      </c>
      <c r="N10224" s="28" t="s">
        <v>52</v>
      </c>
    </row>
    <row r="10225" spans="1:14" x14ac:dyDescent="0.15">
      <c r="A10225" s="23" t="str">
        <f>HYPERLINK("https://www.spark-marketing.ru/Card/Person/110614", "МБДОУ № 72 ""КОРАБЛИК""")</f>
        <v>МБДОУ № 72 "КОРАБЛИК"</v>
      </c>
      <c r="B10225" s="24" t="s">
        <v>12655</v>
      </c>
      <c r="C10225" s="25">
        <v>40000</v>
      </c>
      <c r="D10225" s="22" t="s">
        <v>12656</v>
      </c>
      <c r="E10225" s="22" t="s">
        <v>12657</v>
      </c>
      <c r="F10225" s="23" t="str">
        <f>HYPERLINK("https://www.spark-marketing.ru/Card/Lot/69625785", "Поставка и установка товара к системе видеонаблюдения")</f>
        <v>Поставка и установка товара к системе видеонаблюдения</v>
      </c>
      <c r="G10225" s="22" t="s">
        <v>50</v>
      </c>
      <c r="H10225" s="22" t="s">
        <v>323</v>
      </c>
      <c r="I10225" s="26">
        <v>43563.514120370397</v>
      </c>
      <c r="J10225" s="28" t="s">
        <v>52</v>
      </c>
      <c r="K10225" s="28" t="s">
        <v>52</v>
      </c>
      <c r="L10225" s="28" t="s">
        <v>52</v>
      </c>
      <c r="M10225" s="28" t="s">
        <v>52</v>
      </c>
      <c r="N10225" s="28" t="s">
        <v>52</v>
      </c>
    </row>
    <row r="10226" spans="1:14" x14ac:dyDescent="0.15">
      <c r="A10226" s="23" t="str">
        <f>HYPERLINK("https://www.spark-marketing.ru/Card/Person/1075284", "МКОУ ""БОЛТОВСКАЯ СОШ""")</f>
        <v>МКОУ "БОЛТОВСКАЯ СОШ"</v>
      </c>
      <c r="B10226" s="24" t="s">
        <v>10389</v>
      </c>
      <c r="C10226" s="25">
        <v>12500</v>
      </c>
      <c r="D10226" s="22" t="s">
        <v>12658</v>
      </c>
      <c r="E10226" s="22" t="s">
        <v>59</v>
      </c>
      <c r="F10226" s="23" t="str">
        <f>HYPERLINK("https://www.spark-marketing.ru/Card/Lot/69625863", "Услуги по монтажу кнопки тревожной сигнализации")</f>
        <v>Услуги по монтажу кнопки тревожной сигнализации</v>
      </c>
      <c r="G10226" s="22" t="s">
        <v>209</v>
      </c>
      <c r="H10226" s="22" t="s">
        <v>5208</v>
      </c>
      <c r="I10226" s="26">
        <v>43563.539583333302</v>
      </c>
      <c r="J10226" s="28" t="s">
        <v>52</v>
      </c>
      <c r="K10226" s="28" t="s">
        <v>52</v>
      </c>
      <c r="L10226" s="28" t="s">
        <v>52</v>
      </c>
      <c r="M10226" s="28" t="s">
        <v>52</v>
      </c>
      <c r="N10226" s="28" t="s">
        <v>52</v>
      </c>
    </row>
    <row r="10227" spans="1:14" x14ac:dyDescent="0.15">
      <c r="A10227" s="23" t="str">
        <f>HYPERLINK("https://www.spark-marketing.ru/Card/Person/1070877", "МКОУ ""ШАЙДУРОВСКАЯ СОШ ИМЕНИ ГЕРОЯ СОВЕТСКОГО СОЮЗА Г. И. ВЫГЛАЗОВА""")</f>
        <v>МКОУ "ШАЙДУРОВСКАЯ СОШ ИМЕНИ ГЕРОЯ СОВЕТСКОГО СОЮЗА Г. И. ВЫГЛАЗОВА"</v>
      </c>
      <c r="B10227" s="24" t="s">
        <v>11029</v>
      </c>
      <c r="C10227" s="25">
        <v>12500</v>
      </c>
      <c r="D10227" s="22" t="s">
        <v>12659</v>
      </c>
      <c r="E10227" s="22" t="s">
        <v>59</v>
      </c>
      <c r="F10227" s="23" t="str">
        <f>HYPERLINK("https://www.spark-marketing.ru/Card/Lot/69625415", "ЭЛ.магазин на оказание услуг по монтажу кнопки тревожной сигнализации")</f>
        <v>ЭЛ.магазин на оказание услуг по монтажу кнопки тревожной сигнализации</v>
      </c>
      <c r="G10227" s="22" t="s">
        <v>209</v>
      </c>
      <c r="H10227" s="22" t="s">
        <v>5208</v>
      </c>
      <c r="I10227" s="26">
        <v>43563.493750000001</v>
      </c>
      <c r="J10227" s="28" t="s">
        <v>52</v>
      </c>
      <c r="K10227" s="28" t="s">
        <v>52</v>
      </c>
      <c r="L10227" s="28" t="s">
        <v>52</v>
      </c>
      <c r="M10227" s="28" t="s">
        <v>52</v>
      </c>
      <c r="N10227" s="28" t="s">
        <v>52</v>
      </c>
    </row>
    <row r="10228" spans="1:14" x14ac:dyDescent="0.15">
      <c r="A10228" s="23" t="str">
        <f>HYPERLINK("https://www.spark-marketing.ru/Card/Person/92832", "АДМИНИСТРАЦИЯ СОВЕТСКО-ГАВАНСКОГО МУНИЦИПАЛЬНОГО РАЙОНА ХАБАРОВСКОГО КРАЯ")</f>
        <v>АДМИНИСТРАЦИЯ СОВЕТСКО-ГАВАНСКОГО МУНИЦИПАЛЬНОГО РАЙОНА ХАБАРОВСКОГО КРАЯ</v>
      </c>
      <c r="B10228" s="24" t="s">
        <v>12660</v>
      </c>
      <c r="C10228" s="25">
        <v>377780</v>
      </c>
      <c r="D10228" s="22" t="s">
        <v>12661</v>
      </c>
      <c r="E10228" s="22" t="s">
        <v>68</v>
      </c>
      <c r="F10228" s="23" t="str">
        <f>HYPERLINK("https://www.spark-marketing.ru/Card/Lot/69618984", "Услуги по централизованной охране объектов и экстренному выезду группы быстрого реагирования при срабатывании средств тревожной сигнализации для нужд Администрации Советско-Гаванского муниципального района")</f>
        <v>Услуги по централизованной охране объектов и экстренному выезду группы быстрого реагирования при срабатывании средств тревожной сигнализации для нужд Администрации Советско-Гаванского муниципального района</v>
      </c>
      <c r="G10228" s="22" t="s">
        <v>138</v>
      </c>
      <c r="H10228" s="22" t="s">
        <v>12662</v>
      </c>
      <c r="I10228" s="26">
        <v>43563.434722222199</v>
      </c>
      <c r="J10228" s="23" t="str">
        <f>HYPERLINK("https://www.spark-marketing.ru/Card/Person/115453", "ООО ЧОО ""РЕГИОН-СИГНАЛ""")</f>
        <v>ООО ЧОО "РЕГИОН-СИГНАЛ"</v>
      </c>
      <c r="K10228" s="24" t="s">
        <v>12663</v>
      </c>
      <c r="L10228" s="22" t="s">
        <v>10</v>
      </c>
      <c r="M10228" s="28" t="s">
        <v>52</v>
      </c>
      <c r="N10228" s="28" t="s">
        <v>52</v>
      </c>
    </row>
    <row r="10229" spans="1:14" x14ac:dyDescent="0.15">
      <c r="A10229" s="23" t="str">
        <f>HYPERLINK("https://www.spark-marketing.ru/Card/Person/59691", "СПБ ГБУЗ ""ГОРОДСКАЯ ПОЛИКЛИНИКА № 93""")</f>
        <v>СПБ ГБУЗ "ГОРОДСКАЯ ПОЛИКЛИНИКА № 93"</v>
      </c>
      <c r="B10229" s="24" t="s">
        <v>12664</v>
      </c>
      <c r="C10229" s="25">
        <v>600000</v>
      </c>
      <c r="D10229" s="22" t="s">
        <v>12665</v>
      </c>
      <c r="E10229" s="22" t="s">
        <v>52</v>
      </c>
      <c r="F10229" s="23" t="str">
        <f>HYPERLINK("https://www.spark-marketing.ru/Card/Lot/69624375", "Оказание услуг по обеспечению круглосуточной физической охраны здания и территории СПб ГБУЗ «Городская поликлиника №93» в 2019 году для субъектов малого предпринимательства, социально ориентированных некоммерческих организаций.")</f>
        <v>Оказание услуг по обеспечению круглосуточной физической охраны здания и территории СПб ГБУЗ «Городская поликлиника №93» в 2019 году для субъектов малого предпринимательства, социально ориентированных некоммерческих организаций.</v>
      </c>
      <c r="G10229" s="22" t="s">
        <v>89</v>
      </c>
      <c r="H10229" s="22" t="s">
        <v>89</v>
      </c>
      <c r="I10229" s="26">
        <v>43563.3840277778</v>
      </c>
      <c r="J10229" s="28" t="s">
        <v>52</v>
      </c>
      <c r="K10229" s="28" t="s">
        <v>52</v>
      </c>
      <c r="L10229" s="28" t="s">
        <v>52</v>
      </c>
      <c r="M10229" s="28" t="s">
        <v>52</v>
      </c>
      <c r="N10229" s="28" t="s">
        <v>52</v>
      </c>
    </row>
    <row r="10230" spans="1:14" hidden="1" outlineLevel="1" x14ac:dyDescent="0.2">
      <c r="A10230" s="23" t="str">
        <f>HYPERLINK("https://www.spark-marketing.ru/Card/Person/59691", "СПБ ГБУЗ ""ГОРОДСКАЯ ПОЛИКЛИНИКА № 93""")</f>
        <v>СПБ ГБУЗ "ГОРОДСКАЯ ПОЛИКЛИНИКА № 93"</v>
      </c>
      <c r="B10230" s="24" t="s">
        <v>12664</v>
      </c>
      <c r="C10230" s="25">
        <v>600000</v>
      </c>
      <c r="D10230" s="22" t="s">
        <v>12665</v>
      </c>
      <c r="E10230" s="22" t="s">
        <v>52</v>
      </c>
      <c r="F10230" s="23" t="str">
        <f>HYPERLINK("https://www.spark-marketing.ru/Card/Lot/69624375", "Оказание услуг по обеспечению круглосуточной физической охраны здания и территории СПб ГБУЗ «Городская поликлиника №93» в 2019 году для субъектов малого предпринимательства, социально ориентированных некоммерческих организаций.")</f>
        <v>Оказание услуг по обеспечению круглосуточной физической охраны здания и территории СПб ГБУЗ «Городская поликлиника №93» в 2019 году для субъектов малого предпринимательства, социально ориентированных некоммерческих организаций.</v>
      </c>
      <c r="G10230" s="22" t="s">
        <v>89</v>
      </c>
      <c r="H10230" s="22" t="s">
        <v>89</v>
      </c>
      <c r="I10230" s="26">
        <v>43563.3840277778</v>
      </c>
      <c r="J10230" s="23" t="str">
        <f>HYPERLINK("https://www.spark-marketing.ru/Card/Person/526990", "ООО ""ЧОО ""СКАЛА-НН""")</f>
        <v>ООО "ЧОО "СКАЛА-НН"</v>
      </c>
      <c r="K10230" s="24" t="s">
        <v>10632</v>
      </c>
      <c r="L10230" s="28" t="s">
        <v>52</v>
      </c>
      <c r="M10230" s="25">
        <v>597000</v>
      </c>
      <c r="N10230" s="27">
        <v>5.0000000000000001E-3</v>
      </c>
    </row>
    <row r="10231" spans="1:14" ht="12.75" hidden="1" outlineLevel="1" x14ac:dyDescent="0.2">
      <c r="A10231" s="23" t="str">
        <f>HYPERLINK("https://www.spark-marketing.ru/Card/Person/59691", "СПБ ГБУЗ ""ГОРОДСКАЯ ПОЛИКЛИНИКА № 93""")</f>
        <v>СПБ ГБУЗ "ГОРОДСКАЯ ПОЛИКЛИНИКА № 93"</v>
      </c>
      <c r="B10231" s="24" t="s">
        <v>12664</v>
      </c>
      <c r="C10231" s="25">
        <v>600000</v>
      </c>
      <c r="D10231" s="22" t="s">
        <v>12665</v>
      </c>
      <c r="E10231" s="22" t="s">
        <v>52</v>
      </c>
      <c r="F10231" s="23" t="str">
        <f>HYPERLINK("https://www.spark-marketing.ru/Card/Lot/69624375", "Оказание услуг по обеспечению круглосуточной физической охраны здания и территории СПб ГБУЗ «Городская поликлиника №93» в 2019 году для субъектов малого предпринимательства, социально ориентированных некоммерческих организаций.")</f>
        <v>Оказание услуг по обеспечению круглосуточной физической охраны здания и территории СПб ГБУЗ «Городская поликлиника №93» в 2019 году для субъектов малого предпринимательства, социально ориентированных некоммерческих организаций.</v>
      </c>
      <c r="G10231" s="22" t="s">
        <v>89</v>
      </c>
      <c r="H10231" s="22" t="s">
        <v>89</v>
      </c>
      <c r="I10231" s="26">
        <v>43563.3840277778</v>
      </c>
      <c r="J10231" s="23" t="str">
        <f>HYPERLINK("https://www.spark-marketing.ru/Card/Person/105787", "ООО ""ЧОО ""АРМАДА""")</f>
        <v>ООО "ЧОО "АРМАДА"</v>
      </c>
      <c r="K10231" s="24" t="s">
        <v>12666</v>
      </c>
      <c r="L10231" s="22" t="s">
        <v>10</v>
      </c>
      <c r="M10231" s="25">
        <v>597000</v>
      </c>
      <c r="N10231" s="27">
        <v>5.0000000000000001E-3</v>
      </c>
    </row>
    <row r="10232" spans="1:14" x14ac:dyDescent="0.15">
      <c r="A10232" s="23" t="str">
        <f>HYPERLINK("https://www.spark-marketing.ru/Card/Person/6077", "УПРАВЛЕНИЕ РОСРЕЕСТРА ПО УДМУРТСКОЙ РЕСПУБЛИКЕ")</f>
        <v>УПРАВЛЕНИЕ РОСРЕЕСТРА ПО УДМУРТСКОЙ РЕСПУБЛИКЕ</v>
      </c>
      <c r="B10232" s="24" t="s">
        <v>12667</v>
      </c>
      <c r="C10232" s="25">
        <v>44400</v>
      </c>
      <c r="D10232" s="22" t="s">
        <v>12668</v>
      </c>
      <c r="E10232" s="22" t="s">
        <v>53</v>
      </c>
      <c r="F10232" s="23" t="str">
        <f>HYPERLINK("https://www.spark-marketing.ru/Card/Lot/70783423", "Услуги по охране объекта и имущества на объктах")</f>
        <v>Услуги по охране объекта и имущества на объктах</v>
      </c>
      <c r="G10232" s="22" t="s">
        <v>96</v>
      </c>
      <c r="H10232" s="22" t="s">
        <v>1342</v>
      </c>
      <c r="I10232" s="26">
        <v>43563.400046296301</v>
      </c>
      <c r="J10232" s="28" t="s">
        <v>52</v>
      </c>
      <c r="K10232" s="28" t="s">
        <v>52</v>
      </c>
      <c r="L10232" s="28" t="s">
        <v>52</v>
      </c>
      <c r="M10232" s="28" t="s">
        <v>52</v>
      </c>
      <c r="N10232" s="28" t="s">
        <v>52</v>
      </c>
    </row>
    <row r="10233" spans="1:14" x14ac:dyDescent="0.15">
      <c r="A10233" s="23" t="str">
        <f>HYPERLINK("https://www.spark-marketing.ru/Card/Person/1050405", "МБУ ДО ДЮСШ")</f>
        <v>МБУ ДО ДЮСШ</v>
      </c>
      <c r="B10233" s="24" t="s">
        <v>9384</v>
      </c>
      <c r="C10233" s="25">
        <v>324680</v>
      </c>
      <c r="D10233" s="22" t="s">
        <v>12669</v>
      </c>
      <c r="E10233" s="22" t="s">
        <v>12670</v>
      </c>
      <c r="F10233" s="23" t="str">
        <f>HYPERLINK("https://www.spark-marketing.ru/Card/Lot/69621555", "Система видеонаблюдения")</f>
        <v>Система видеонаблюдения</v>
      </c>
      <c r="G10233" s="22" t="s">
        <v>50</v>
      </c>
      <c r="H10233" s="22" t="s">
        <v>9386</v>
      </c>
      <c r="I10233" s="26">
        <v>43563.399282407401</v>
      </c>
      <c r="J10233" s="28" t="s">
        <v>52</v>
      </c>
      <c r="K10233" s="28" t="s">
        <v>52</v>
      </c>
      <c r="L10233" s="28" t="s">
        <v>52</v>
      </c>
      <c r="M10233" s="28" t="s">
        <v>52</v>
      </c>
      <c r="N10233" s="28" t="s">
        <v>52</v>
      </c>
    </row>
    <row r="10234" spans="1:14" x14ac:dyDescent="0.15">
      <c r="A10234" s="23" t="str">
        <f>HYPERLINK("https://www.spark-marketing.ru/Card/Person/7848", "УПРАВЛЕНИЕ РЕСПУБЛИКИ КАРЕЛИЯ ПО ОБЕСПЕЧЕНИЮ ДЕЯТЕЛЬНОСТИ МИРОВЫХ СУДЕЙ")</f>
        <v>УПРАВЛЕНИЕ РЕСПУБЛИКИ КАРЕЛИЯ ПО ОБЕСПЕЧЕНИЮ ДЕЯТЕЛЬНОСТИ МИРОВЫХ СУДЕЙ</v>
      </c>
      <c r="B10234" s="24" t="s">
        <v>12671</v>
      </c>
      <c r="C10234" s="25">
        <v>390000</v>
      </c>
      <c r="D10234" s="22" t="s">
        <v>12672</v>
      </c>
      <c r="E10234" s="22" t="s">
        <v>59</v>
      </c>
      <c r="F10234" s="23" t="str">
        <f>HYPERLINK("https://www.spark-marketing.ru/Card/Lot/69623494", "Выполнение работ по монтажу системы видеонаблюдения и системы контроля и управления доступом в помещениях судебного участка Лоухского района")</f>
        <v>Выполнение работ по монтажу системы видеонаблюдения и системы контроля и управления доступом в помещениях судебного участка Лоухского района</v>
      </c>
      <c r="G10234" s="22" t="s">
        <v>435</v>
      </c>
      <c r="H10234" s="22" t="s">
        <v>12673</v>
      </c>
      <c r="I10234" s="26">
        <v>43563.376388888901</v>
      </c>
      <c r="J10234" s="28" t="s">
        <v>52</v>
      </c>
      <c r="K10234" s="28" t="s">
        <v>52</v>
      </c>
      <c r="L10234" s="28" t="s">
        <v>52</v>
      </c>
      <c r="M10234" s="28" t="s">
        <v>52</v>
      </c>
      <c r="N10234" s="28" t="s">
        <v>52</v>
      </c>
    </row>
    <row r="10235" spans="1:14" hidden="1" outlineLevel="1" x14ac:dyDescent="0.2">
      <c r="A10235" s="23" t="str">
        <f>HYPERLINK("https://www.spark-marketing.ru/Card/Person/7848", "УПРАВЛЕНИЕ РЕСПУБЛИКИ КАРЕЛИЯ ПО ОБЕСПЕЧЕНИЮ ДЕЯТЕЛЬНОСТИ МИРОВЫХ СУДЕЙ")</f>
        <v>УПРАВЛЕНИЕ РЕСПУБЛИКИ КАРЕЛИЯ ПО ОБЕСПЕЧЕНИЮ ДЕЯТЕЛЬНОСТИ МИРОВЫХ СУДЕЙ</v>
      </c>
      <c r="B10235" s="24" t="s">
        <v>12671</v>
      </c>
      <c r="C10235" s="25">
        <v>390000</v>
      </c>
      <c r="D10235" s="22" t="s">
        <v>12672</v>
      </c>
      <c r="E10235" s="22" t="s">
        <v>59</v>
      </c>
      <c r="F10235" s="23" t="str">
        <f>HYPERLINK("https://www.spark-marketing.ru/Card/Lot/69623494", "Выполнение работ по монтажу системы видеонаблюдения и системы контроля и управления доступом в помещениях судебного участка Лоухского района")</f>
        <v>Выполнение работ по монтажу системы видеонаблюдения и системы контроля и управления доступом в помещениях судебного участка Лоухского района</v>
      </c>
      <c r="G10235" s="22" t="s">
        <v>435</v>
      </c>
      <c r="H10235" s="22" t="s">
        <v>12673</v>
      </c>
      <c r="I10235" s="26">
        <v>43563.376388888901</v>
      </c>
      <c r="J10235" s="23" t="str">
        <f>HYPERLINK("https://www.spark-marketing.ru/Card/Person/199188", "Локкин Алексей Николаевич")</f>
        <v>Локкин Алексей Николаевич</v>
      </c>
      <c r="K10235" s="24" t="s">
        <v>9261</v>
      </c>
      <c r="L10235" s="28" t="s">
        <v>52</v>
      </c>
      <c r="M10235" s="25">
        <v>251550</v>
      </c>
      <c r="N10235" s="27">
        <v>0.35499999999999998</v>
      </c>
    </row>
    <row r="10236" spans="1:14" hidden="1" outlineLevel="1" x14ac:dyDescent="0.2">
      <c r="A10236" s="23" t="str">
        <f>HYPERLINK("https://www.spark-marketing.ru/Card/Person/7848", "УПРАВЛЕНИЕ РЕСПУБЛИКИ КАРЕЛИЯ ПО ОБЕСПЕЧЕНИЮ ДЕЯТЕЛЬНОСТИ МИРОВЫХ СУДЕЙ")</f>
        <v>УПРАВЛЕНИЕ РЕСПУБЛИКИ КАРЕЛИЯ ПО ОБЕСПЕЧЕНИЮ ДЕЯТЕЛЬНОСТИ МИРОВЫХ СУДЕЙ</v>
      </c>
      <c r="B10236" s="24" t="s">
        <v>12671</v>
      </c>
      <c r="C10236" s="25">
        <v>390000</v>
      </c>
      <c r="D10236" s="22" t="s">
        <v>12672</v>
      </c>
      <c r="E10236" s="22" t="s">
        <v>59</v>
      </c>
      <c r="F10236" s="23" t="str">
        <f>HYPERLINK("https://www.spark-marketing.ru/Card/Lot/69623494", "Выполнение работ по монтажу системы видеонаблюдения и системы контроля и управления доступом в помещениях судебного участка Лоухского района")</f>
        <v>Выполнение работ по монтажу системы видеонаблюдения и системы контроля и управления доступом в помещениях судебного участка Лоухского района</v>
      </c>
      <c r="G10236" s="22" t="s">
        <v>435</v>
      </c>
      <c r="H10236" s="22" t="s">
        <v>12673</v>
      </c>
      <c r="I10236" s="26">
        <v>43563.376388888901</v>
      </c>
      <c r="J10236" s="23" t="str">
        <f>HYPERLINK("https://www.spark-marketing.ru/Card/Person/282356", "ООО ""ЭИРКОМ""")</f>
        <v>ООО "ЭИРКОМ"</v>
      </c>
      <c r="K10236" s="24" t="s">
        <v>8288</v>
      </c>
      <c r="L10236" s="28" t="s">
        <v>52</v>
      </c>
      <c r="M10236" s="25">
        <v>316000</v>
      </c>
      <c r="N10236" s="27">
        <v>0.18974358974358974</v>
      </c>
    </row>
    <row r="10237" spans="1:14" hidden="1" outlineLevel="1" x14ac:dyDescent="0.2">
      <c r="A10237" s="23" t="str">
        <f>HYPERLINK("https://www.spark-marketing.ru/Card/Person/7848", "УПРАВЛЕНИЕ РЕСПУБЛИКИ КАРЕЛИЯ ПО ОБЕСПЕЧЕНИЮ ДЕЯТЕЛЬНОСТИ МИРОВЫХ СУДЕЙ")</f>
        <v>УПРАВЛЕНИЕ РЕСПУБЛИКИ КАРЕЛИЯ ПО ОБЕСПЕЧЕНИЮ ДЕЯТЕЛЬНОСТИ МИРОВЫХ СУДЕЙ</v>
      </c>
      <c r="B10237" s="24" t="s">
        <v>12671</v>
      </c>
      <c r="C10237" s="25">
        <v>390000</v>
      </c>
      <c r="D10237" s="22" t="s">
        <v>12672</v>
      </c>
      <c r="E10237" s="22" t="s">
        <v>59</v>
      </c>
      <c r="F10237" s="23" t="str">
        <f>HYPERLINK("https://www.spark-marketing.ru/Card/Lot/69623494", "Выполнение работ по монтажу системы видеонаблюдения и системы контроля и управления доступом в помещениях судебного участка Лоухского района")</f>
        <v>Выполнение работ по монтажу системы видеонаблюдения и системы контроля и управления доступом в помещениях судебного участка Лоухского района</v>
      </c>
      <c r="G10237" s="22" t="s">
        <v>435</v>
      </c>
      <c r="H10237" s="22" t="s">
        <v>12673</v>
      </c>
      <c r="I10237" s="26">
        <v>43563.376388888901</v>
      </c>
      <c r="J10237" s="23" t="str">
        <f>HYPERLINK("https://www.spark-marketing.ru/Card/Person/230311", "ООО ""НАНО ТЕХНОЛОГИИ""")</f>
        <v>ООО "НАНО ТЕХНОЛОГИИ"</v>
      </c>
      <c r="K10237" s="24" t="s">
        <v>7538</v>
      </c>
      <c r="L10237" s="28" t="s">
        <v>52</v>
      </c>
      <c r="M10237" s="25">
        <v>296400</v>
      </c>
      <c r="N10237" s="27">
        <v>0.24</v>
      </c>
    </row>
    <row r="10238" spans="1:14" ht="12.75" hidden="1" outlineLevel="1" x14ac:dyDescent="0.2">
      <c r="A10238" s="23" t="str">
        <f>HYPERLINK("https://www.spark-marketing.ru/Card/Person/7848", "УПРАВЛЕНИЕ РЕСПУБЛИКИ КАРЕЛИЯ ПО ОБЕСПЕЧЕНИЮ ДЕЯТЕЛЬНОСТИ МИРОВЫХ СУДЕЙ")</f>
        <v>УПРАВЛЕНИЕ РЕСПУБЛИКИ КАРЕЛИЯ ПО ОБЕСПЕЧЕНИЮ ДЕЯТЕЛЬНОСТИ МИРОВЫХ СУДЕЙ</v>
      </c>
      <c r="B10238" s="24" t="s">
        <v>12671</v>
      </c>
      <c r="C10238" s="25">
        <v>390000</v>
      </c>
      <c r="D10238" s="22" t="s">
        <v>12672</v>
      </c>
      <c r="E10238" s="22" t="s">
        <v>59</v>
      </c>
      <c r="F10238" s="23" t="str">
        <f>HYPERLINK("https://www.spark-marketing.ru/Card/Lot/69623494", "Выполнение работ по монтажу системы видеонаблюдения и системы контроля и управления доступом в помещениях судебного участка Лоухского района")</f>
        <v>Выполнение работ по монтажу системы видеонаблюдения и системы контроля и управления доступом в помещениях судебного участка Лоухского района</v>
      </c>
      <c r="G10238" s="22" t="s">
        <v>435</v>
      </c>
      <c r="H10238" s="22" t="s">
        <v>12673</v>
      </c>
      <c r="I10238" s="26">
        <v>43563.376388888901</v>
      </c>
      <c r="J10238" s="23" t="str">
        <f>HYPERLINK("https://www.spark-marketing.ru/Card/Person/4338753", "ООО ""ЭЛВИКОМ-СЕРВИС""")</f>
        <v>ООО "ЭЛВИКОМ-СЕРВИС"</v>
      </c>
      <c r="K10238" s="24" t="s">
        <v>9347</v>
      </c>
      <c r="L10238" s="22" t="s">
        <v>10</v>
      </c>
      <c r="M10238" s="25">
        <v>249600</v>
      </c>
      <c r="N10238" s="27">
        <v>0.36</v>
      </c>
    </row>
    <row r="10239" spans="1:14" x14ac:dyDescent="0.15">
      <c r="A10239" s="23" t="str">
        <f>HYPERLINK("https://www.spark-marketing.ru/Card/Person/15790", "ГОСТРУДИНСПЕКЦИЯ В НОВОСИБИРСКОЙ ОБЛАСТИ")</f>
        <v>ГОСТРУДИНСПЕКЦИЯ В НОВОСИБИРСКОЙ ОБЛАСТИ</v>
      </c>
      <c r="B10239" s="24" t="s">
        <v>4872</v>
      </c>
      <c r="C10239" s="25">
        <v>98970.21</v>
      </c>
      <c r="D10239" s="22" t="s">
        <v>12674</v>
      </c>
      <c r="E10239" s="22" t="s">
        <v>53</v>
      </c>
      <c r="F10239" s="23" t="str">
        <f>HYPERLINK("https://www.spark-marketing.ru/Card/Lot/70781471", "Техническое обслуживание комплекса технических средств охраны")</f>
        <v>Техническое обслуживание комплекса технических средств охраны</v>
      </c>
      <c r="G10239" s="22" t="s">
        <v>209</v>
      </c>
      <c r="H10239" s="22" t="s">
        <v>210</v>
      </c>
      <c r="I10239" s="26">
        <v>43563.341909722199</v>
      </c>
      <c r="J10239" s="28" t="s">
        <v>52</v>
      </c>
      <c r="K10239" s="28" t="s">
        <v>52</v>
      </c>
      <c r="L10239" s="28" t="s">
        <v>52</v>
      </c>
      <c r="M10239" s="28" t="s">
        <v>52</v>
      </c>
      <c r="N10239" s="28" t="s">
        <v>52</v>
      </c>
    </row>
    <row r="10240" spans="1:14" x14ac:dyDescent="0.15">
      <c r="A10240" s="23" t="str">
        <f>HYPERLINK("https://www.spark-marketing.ru/Card/Person/86749", "МБОУ ЛУНЁВСКАЯ СОШ")</f>
        <v>МБОУ ЛУНЁВСКАЯ СОШ</v>
      </c>
      <c r="B10240" s="24" t="s">
        <v>12675</v>
      </c>
      <c r="C10240" s="25">
        <v>60000</v>
      </c>
      <c r="D10240" s="22" t="s">
        <v>12676</v>
      </c>
      <c r="E10240" s="22" t="s">
        <v>84</v>
      </c>
      <c r="F10240" s="23" t="str">
        <f>HYPERLINK("https://www.spark-marketing.ru/Card/Lot/69621025", "Установка видеонаблюдения для ОГЭ")</f>
        <v>Установка видеонаблюдения для ОГЭ</v>
      </c>
      <c r="G10240" s="22" t="s">
        <v>50</v>
      </c>
      <c r="H10240" s="22" t="s">
        <v>265</v>
      </c>
      <c r="I10240" s="26">
        <v>43563.367708333302</v>
      </c>
      <c r="J10240" s="28" t="s">
        <v>52</v>
      </c>
      <c r="K10240" s="28" t="s">
        <v>52</v>
      </c>
      <c r="L10240" s="28" t="s">
        <v>52</v>
      </c>
      <c r="M10240" s="28" t="s">
        <v>52</v>
      </c>
      <c r="N10240" s="28" t="s">
        <v>52</v>
      </c>
    </row>
    <row r="10241" spans="1:14" x14ac:dyDescent="0.15">
      <c r="A10241" s="23" t="str">
        <f>HYPERLINK("https://www.spark-marketing.ru/Card/Person/6218354", "АДМИНИСТРАЦИЯ КОЛОМЕНСКОГО ГОРОДСКОГО ОКРУГА МОСКОВСКОЙ ОБЛАСТИ")</f>
        <v>АДМИНИСТРАЦИЯ КОЛОМЕНСКОГО ГОРОДСКОГО ОКРУГА МОСКОВСКОЙ ОБЛАСТИ</v>
      </c>
      <c r="B10241" s="24" t="s">
        <v>12677</v>
      </c>
      <c r="C10241" s="25">
        <v>87212.7</v>
      </c>
      <c r="D10241" s="22" t="s">
        <v>12678</v>
      </c>
      <c r="E10241" s="22" t="s">
        <v>107</v>
      </c>
      <c r="F10241" s="23" t="str">
        <f>HYPERLINK("https://www.spark-marketing.ru/Card/Lot/69621017", "Техническое обслуживание системы видеонаблюдения здания администрации")</f>
        <v>Техническое обслуживание системы видеонаблюдения здания администрации</v>
      </c>
      <c r="G10241" s="22" t="s">
        <v>50</v>
      </c>
      <c r="H10241" s="22" t="s">
        <v>682</v>
      </c>
      <c r="I10241" s="26">
        <v>43563.367442129602</v>
      </c>
      <c r="J10241" s="28" t="s">
        <v>52</v>
      </c>
      <c r="K10241" s="28" t="s">
        <v>52</v>
      </c>
      <c r="L10241" s="28" t="s">
        <v>52</v>
      </c>
      <c r="M10241" s="28" t="s">
        <v>52</v>
      </c>
      <c r="N10241" s="28" t="s">
        <v>52</v>
      </c>
    </row>
    <row r="10242" spans="1:14" x14ac:dyDescent="0.15">
      <c r="A10242" s="23" t="str">
        <f>HYPERLINK("https://www.spark-marketing.ru/Card/Person/1000990", "МБОУ ""ГИМНАЗИЯ""")</f>
        <v>МБОУ "ГИМНАЗИЯ"</v>
      </c>
      <c r="B10242" s="24" t="s">
        <v>12679</v>
      </c>
      <c r="C10242" s="25">
        <v>308000</v>
      </c>
      <c r="D10242" s="22" t="s">
        <v>12680</v>
      </c>
      <c r="E10242" s="22" t="s">
        <v>84</v>
      </c>
      <c r="F10242" s="23" t="str">
        <f>HYPERLINK("https://www.spark-marketing.ru/Card/Lot/69539222", "Оказание услуг на поставку и выполнение работ по установке системы видеотрансляции и видеопротоколирования в пунктах проведения экзаменов МБОУ «Гимназия»")</f>
        <v>Оказание услуг на поставку и выполнение работ по установке системы видеотрансляции и видеопротоколирования в пунктах проведения экзаменов МБОУ «Гимназия»</v>
      </c>
      <c r="G10242" s="22" t="s">
        <v>50</v>
      </c>
      <c r="H10242" s="22" t="s">
        <v>1386</v>
      </c>
      <c r="I10242" s="26">
        <v>43560.8257407407</v>
      </c>
      <c r="J10242" s="28" t="s">
        <v>52</v>
      </c>
      <c r="K10242" s="28" t="s">
        <v>52</v>
      </c>
      <c r="L10242" s="28" t="s">
        <v>52</v>
      </c>
      <c r="M10242" s="28" t="s">
        <v>52</v>
      </c>
      <c r="N10242" s="28" t="s">
        <v>52</v>
      </c>
    </row>
    <row r="10243" spans="1:14" x14ac:dyDescent="0.15">
      <c r="A10243" s="23" t="str">
        <f>HYPERLINK("https://www.spark-marketing.ru/Card/Person/36344", "ГЛАВНОЕ УПРАВЛЕНИЕ ЗАГС МОСКОВСКОЙ ОБЛАСТИ")</f>
        <v>ГЛАВНОЕ УПРАВЛЕНИЕ ЗАГС МОСКОВСКОЙ ОБЛАСТИ</v>
      </c>
      <c r="B10243" s="24" t="s">
        <v>12681</v>
      </c>
      <c r="C10243" s="25">
        <v>34795143.899999999</v>
      </c>
      <c r="D10243" s="22" t="s">
        <v>12682</v>
      </c>
      <c r="E10243" s="22" t="s">
        <v>68</v>
      </c>
      <c r="F10243" s="23" t="str">
        <f>HYPERLINK("https://www.spark-marketing.ru/Card/Lot/69538961", "Оказание услуг по охране объектов и имущества Главного управления записи актов гражданского состояния Московской области")</f>
        <v>Оказание услуг по охране объектов и имущества Главного управления записи актов гражданского состояния Московской области</v>
      </c>
      <c r="G10243" s="22" t="s">
        <v>50</v>
      </c>
      <c r="H10243" s="22" t="s">
        <v>5291</v>
      </c>
      <c r="I10243" s="26">
        <v>43560.7902777778</v>
      </c>
      <c r="J10243" s="28" t="s">
        <v>52</v>
      </c>
      <c r="K10243" s="28" t="s">
        <v>52</v>
      </c>
      <c r="L10243" s="28" t="s">
        <v>52</v>
      </c>
      <c r="M10243" s="28" t="s">
        <v>52</v>
      </c>
      <c r="N10243" s="28" t="s">
        <v>52</v>
      </c>
    </row>
    <row r="10244" spans="1:14" hidden="1" outlineLevel="1" x14ac:dyDescent="0.2">
      <c r="A10244" s="23" t="str">
        <f>HYPERLINK("https://www.spark-marketing.ru/Card/Person/36344", "ГЛАВНОЕ УПРАВЛЕНИЕ ЗАГС МОСКОВСКОЙ ОБЛАСТИ")</f>
        <v>ГЛАВНОЕ УПРАВЛЕНИЕ ЗАГС МОСКОВСКОЙ ОБЛАСТИ</v>
      </c>
      <c r="B10244" s="24" t="s">
        <v>12681</v>
      </c>
      <c r="C10244" s="25">
        <v>34795143.899999999</v>
      </c>
      <c r="D10244" s="22" t="s">
        <v>12682</v>
      </c>
      <c r="E10244" s="22" t="s">
        <v>68</v>
      </c>
      <c r="F10244" s="23" t="str">
        <f>HYPERLINK("https://www.spark-marketing.ru/Card/Lot/69538961", "Оказание услуг по охране объектов и имущества Главного управления записи актов гражданского состояния Московской области")</f>
        <v>Оказание услуг по охране объектов и имущества Главного управления записи актов гражданского состояния Московской области</v>
      </c>
      <c r="G10244" s="22" t="s">
        <v>50</v>
      </c>
      <c r="H10244" s="22" t="s">
        <v>5291</v>
      </c>
      <c r="I10244" s="26">
        <v>43560.7902777778</v>
      </c>
      <c r="J10244" s="23" t="str">
        <f>HYPERLINK("https://www.spark-marketing.ru/Card/Person/32586", "ООО ""ЧОО ""АСЧ-СБ""")</f>
        <v>ООО "ЧОО "АСЧ-СБ"</v>
      </c>
      <c r="K10244" s="24" t="s">
        <v>12683</v>
      </c>
      <c r="L10244" s="28" t="s">
        <v>52</v>
      </c>
      <c r="M10244" s="25">
        <v>33055387.039999999</v>
      </c>
      <c r="N10244" s="27">
        <v>4.9999990372219728E-2</v>
      </c>
    </row>
    <row r="10245" spans="1:14" ht="12.75" hidden="1" outlineLevel="1" x14ac:dyDescent="0.2">
      <c r="A10245" s="23" t="str">
        <f>HYPERLINK("https://www.spark-marketing.ru/Card/Person/36344", "ГЛАВНОЕ УПРАВЛЕНИЕ ЗАГС МОСКОВСКОЙ ОБЛАСТИ")</f>
        <v>ГЛАВНОЕ УПРАВЛЕНИЕ ЗАГС МОСКОВСКОЙ ОБЛАСТИ</v>
      </c>
      <c r="B10245" s="24" t="s">
        <v>12681</v>
      </c>
      <c r="C10245" s="25">
        <v>34795143.899999999</v>
      </c>
      <c r="D10245" s="22" t="s">
        <v>12682</v>
      </c>
      <c r="E10245" s="22" t="s">
        <v>68</v>
      </c>
      <c r="F10245" s="23" t="str">
        <f>HYPERLINK("https://www.spark-marketing.ru/Card/Lot/69538961", "Оказание услуг по охране объектов и имущества Главного управления записи актов гражданского состояния Московской области")</f>
        <v>Оказание услуг по охране объектов и имущества Главного управления записи актов гражданского состояния Московской области</v>
      </c>
      <c r="G10245" s="22" t="s">
        <v>50</v>
      </c>
      <c r="H10245" s="22" t="s">
        <v>5291</v>
      </c>
      <c r="I10245" s="26">
        <v>43560.7902777778</v>
      </c>
      <c r="J10245" s="23" t="str">
        <f>HYPERLINK("https://www.spark-marketing.ru/Card/Person/4878821", "ООО ""ЧОО ""СТАРТ-В""")</f>
        <v>ООО "ЧОО "СТАРТ-В"</v>
      </c>
      <c r="K10245" s="24" t="s">
        <v>12684</v>
      </c>
      <c r="L10245" s="22" t="s">
        <v>10</v>
      </c>
      <c r="M10245" s="25">
        <v>34272084.420000002</v>
      </c>
      <c r="N10245" s="27">
        <v>1.5032542515221499E-2</v>
      </c>
    </row>
    <row r="10246" spans="1:14" x14ac:dyDescent="0.15">
      <c r="A10246" s="23" t="str">
        <f>HYPERLINK("https://www.spark-marketing.ru/Card/Person/5969512", "УЧРЕЖДЕНИЯ")</f>
        <v>УЧРЕЖДЕНИЯ</v>
      </c>
      <c r="B10246" s="28" t="s">
        <v>52</v>
      </c>
      <c r="C10246" s="28" t="s">
        <v>52</v>
      </c>
      <c r="D10246" s="22" t="s">
        <v>12685</v>
      </c>
      <c r="E10246" s="22" t="s">
        <v>53</v>
      </c>
      <c r="F10246" s="23" t="str">
        <f>HYPERLINK("https://www.spark-marketing.ru/Card/Lot/69538703", "Оказание охранных услуг на объектах ЧУ ДО ПАО ""ММК"" ""ДООК""")</f>
        <v>Оказание охранных услуг на объектах ЧУ ДО ПАО "ММК" "ДООК"</v>
      </c>
      <c r="G10246" s="22" t="s">
        <v>52</v>
      </c>
      <c r="H10246" s="22" t="s">
        <v>52</v>
      </c>
      <c r="I10246" s="26">
        <v>43560.685023148202</v>
      </c>
      <c r="J10246" s="28" t="s">
        <v>52</v>
      </c>
      <c r="K10246" s="28" t="s">
        <v>52</v>
      </c>
      <c r="L10246" s="28" t="s">
        <v>52</v>
      </c>
      <c r="M10246" s="28" t="s">
        <v>52</v>
      </c>
      <c r="N10246" s="28" t="s">
        <v>52</v>
      </c>
    </row>
    <row r="10247" spans="1:14" x14ac:dyDescent="0.15">
      <c r="A10247" s="23" t="str">
        <f>HYPERLINK("https://www.spark-marketing.ru/Card/Person/103745", "МКУ ""ДИМИТРОВГРАДСКАЯ СТРАЖА""")</f>
        <v>МКУ "ДИМИТРОВГРАДСКАЯ СТРАЖА"</v>
      </c>
      <c r="B10247" s="24" t="s">
        <v>12686</v>
      </c>
      <c r="C10247" s="25">
        <v>73800</v>
      </c>
      <c r="D10247" s="22" t="s">
        <v>12687</v>
      </c>
      <c r="E10247" s="22" t="s">
        <v>103</v>
      </c>
      <c r="F10247" s="23" t="str">
        <f>HYPERLINK("https://www.spark-marketing.ru/Card/Lot/69533686", "Оказание услуг по техническому обслуживанию системы видеонаблюдения")</f>
        <v>Оказание услуг по техническому обслуживанию системы видеонаблюдения</v>
      </c>
      <c r="G10247" s="22" t="s">
        <v>446</v>
      </c>
      <c r="H10247" s="22" t="s">
        <v>446</v>
      </c>
      <c r="I10247" s="26">
        <v>43560.691666666702</v>
      </c>
      <c r="J10247" s="28" t="s">
        <v>52</v>
      </c>
      <c r="K10247" s="28" t="s">
        <v>52</v>
      </c>
      <c r="L10247" s="28" t="s">
        <v>52</v>
      </c>
      <c r="M10247" s="28" t="s">
        <v>52</v>
      </c>
      <c r="N10247" s="28" t="s">
        <v>52</v>
      </c>
    </row>
    <row r="10248" spans="1:14" ht="12.75" hidden="1" outlineLevel="1" x14ac:dyDescent="0.2">
      <c r="A10248" s="23" t="str">
        <f>HYPERLINK("https://www.spark-marketing.ru/Card/Person/103745", "МКУ ""ДИМИТРОВГРАДСКАЯ СТРАЖА""")</f>
        <v>МКУ "ДИМИТРОВГРАДСКАЯ СТРАЖА"</v>
      </c>
      <c r="B10248" s="24" t="s">
        <v>12686</v>
      </c>
      <c r="C10248" s="25">
        <v>73800</v>
      </c>
      <c r="D10248" s="22" t="s">
        <v>12687</v>
      </c>
      <c r="E10248" s="22" t="s">
        <v>103</v>
      </c>
      <c r="F10248" s="23" t="str">
        <f>HYPERLINK("https://www.spark-marketing.ru/Card/Lot/69533686", "Оказание услуг по техническому обслуживанию системы видеонаблюдения")</f>
        <v>Оказание услуг по техническому обслуживанию системы видеонаблюдения</v>
      </c>
      <c r="G10248" s="22" t="s">
        <v>446</v>
      </c>
      <c r="H10248" s="22" t="s">
        <v>446</v>
      </c>
      <c r="I10248" s="26">
        <v>43560.691666666702</v>
      </c>
      <c r="J10248" s="23" t="str">
        <f>HYPERLINK("https://www.spark-marketing.ru/Card/Person/103890", "ООО ""СОТА-Д""")</f>
        <v>ООО "СОТА-Д"</v>
      </c>
      <c r="K10248" s="24" t="s">
        <v>12688</v>
      </c>
      <c r="L10248" s="22" t="s">
        <v>10</v>
      </c>
      <c r="M10248" s="25">
        <v>66789</v>
      </c>
      <c r="N10248" s="27">
        <v>9.5000000000000001E-2</v>
      </c>
    </row>
    <row r="10249" spans="1:14" hidden="1" outlineLevel="1" x14ac:dyDescent="0.2">
      <c r="A10249" s="23" t="str">
        <f>HYPERLINK("https://www.spark-marketing.ru/Card/Person/103745", "МКУ ""ДИМИТРОВГРАДСКАЯ СТРАЖА""")</f>
        <v>МКУ "ДИМИТРОВГРАДСКАЯ СТРАЖА"</v>
      </c>
      <c r="B10249" s="24" t="s">
        <v>12686</v>
      </c>
      <c r="C10249" s="25">
        <v>73800</v>
      </c>
      <c r="D10249" s="22" t="s">
        <v>12687</v>
      </c>
      <c r="E10249" s="22" t="s">
        <v>103</v>
      </c>
      <c r="F10249" s="23" t="str">
        <f>HYPERLINK("https://www.spark-marketing.ru/Card/Lot/69533686", "Оказание услуг по техническому обслуживанию системы видеонаблюдения")</f>
        <v>Оказание услуг по техническому обслуживанию системы видеонаблюдения</v>
      </c>
      <c r="G10249" s="22" t="s">
        <v>446</v>
      </c>
      <c r="H10249" s="22" t="s">
        <v>446</v>
      </c>
      <c r="I10249" s="26">
        <v>43560.691666666702</v>
      </c>
      <c r="J10249" s="23" t="str">
        <f>HYPERLINK("https://www.spark-marketing.ru/Card/Person/47014", "ООО ""АМТ ГРУПП""")</f>
        <v>ООО "АМТ ГРУПП"</v>
      </c>
      <c r="K10249" s="24" t="s">
        <v>12689</v>
      </c>
      <c r="L10249" s="28" t="s">
        <v>52</v>
      </c>
      <c r="M10249" s="25">
        <v>67158</v>
      </c>
      <c r="N10249" s="27">
        <v>0.09</v>
      </c>
    </row>
    <row r="10250" spans="1:14" x14ac:dyDescent="0.15">
      <c r="A10250" s="23" t="str">
        <f>HYPERLINK("https://www.spark-marketing.ru/Card/Person/4354951", "АО ""ЭЛЕКТРОСЕТЬСЕРВИС ЕНЭС""")</f>
        <v>АО "ЭЛЕКТРОСЕТЬСЕРВИС ЕНЭС"</v>
      </c>
      <c r="B10250" s="24" t="s">
        <v>2302</v>
      </c>
      <c r="C10250" s="25">
        <v>2649542.4</v>
      </c>
      <c r="D10250" s="22" t="s">
        <v>12690</v>
      </c>
      <c r="E10250" s="22" t="s">
        <v>363</v>
      </c>
      <c r="F10250" s="23" t="str">
        <f>HYPERLINK("https://www.spark-marketing.ru/Card/Lot/69744207", "Оказание услуг по охране объекта филиала АО ""Электросетьсервис ЕНЭС"" СПБ ""Электросетьремонт"" (Грязинский ПУ)")</f>
        <v>Оказание услуг по охране объекта филиала АО "Электросетьсервис ЕНЭС" СПБ "Электросетьремонт" (Грязинский ПУ)</v>
      </c>
      <c r="G10250" s="22" t="s">
        <v>50</v>
      </c>
      <c r="H10250" s="22" t="s">
        <v>50</v>
      </c>
      <c r="I10250" s="26">
        <v>43560.690694444398</v>
      </c>
      <c r="J10250" s="28" t="s">
        <v>52</v>
      </c>
      <c r="K10250" s="28" t="s">
        <v>52</v>
      </c>
      <c r="L10250" s="28" t="s">
        <v>52</v>
      </c>
      <c r="M10250" s="28" t="s">
        <v>52</v>
      </c>
      <c r="N10250" s="28" t="s">
        <v>52</v>
      </c>
    </row>
    <row r="10251" spans="1:14" hidden="1" outlineLevel="1" x14ac:dyDescent="0.2">
      <c r="A10251" s="23" t="str">
        <f>HYPERLINK("https://www.spark-marketing.ru/Card/Person/4354951", "АО ""ЭЛЕКТРОСЕТЬСЕРВИС ЕНЭС""")</f>
        <v>АО "ЭЛЕКТРОСЕТЬСЕРВИС ЕНЭС"</v>
      </c>
      <c r="B10251" s="24" t="s">
        <v>2302</v>
      </c>
      <c r="C10251" s="28" t="s">
        <v>52</v>
      </c>
      <c r="D10251" s="22" t="s">
        <v>12690</v>
      </c>
      <c r="E10251" s="22" t="s">
        <v>363</v>
      </c>
      <c r="F10251" s="23" t="str">
        <f>HYPERLINK("https://www.spark-marketing.ru/Card/Lot/69744207", "Оказание услуг по охране объекта филиала АО ""Электросетьсервис ЕНЭС"" СПБ ""Электросетьремонт"" (Грязинский ПУ)")</f>
        <v>Оказание услуг по охране объекта филиала АО "Электросетьсервис ЕНЭС" СПБ "Электросетьремонт" (Грязинский ПУ)</v>
      </c>
      <c r="G10251" s="22" t="s">
        <v>50</v>
      </c>
      <c r="H10251" s="22" t="s">
        <v>50</v>
      </c>
      <c r="I10251" s="26">
        <v>43560.690694444398</v>
      </c>
      <c r="J10251" s="23" t="str">
        <f>HYPERLINK("https://www.spark-marketing.ru/Card/Person/4346060", "ООО ""ЧОО ""ФИШТ""")</f>
        <v>ООО "ЧОО "ФИШТ"</v>
      </c>
      <c r="K10251" s="24" t="s">
        <v>12691</v>
      </c>
      <c r="L10251" s="28" t="s">
        <v>52</v>
      </c>
      <c r="M10251" s="25">
        <v>2067260</v>
      </c>
      <c r="N10251" s="27">
        <v>0.21976715677393954</v>
      </c>
    </row>
    <row r="10252" spans="1:14" hidden="1" outlineLevel="1" x14ac:dyDescent="0.2">
      <c r="A10252" s="23" t="str">
        <f>HYPERLINK("https://www.spark-marketing.ru/Card/Person/4354951", "АО ""ЭЛЕКТРОСЕТЬСЕРВИС ЕНЭС""")</f>
        <v>АО "ЭЛЕКТРОСЕТЬСЕРВИС ЕНЭС"</v>
      </c>
      <c r="B10252" s="24" t="s">
        <v>2302</v>
      </c>
      <c r="C10252" s="28" t="s">
        <v>52</v>
      </c>
      <c r="D10252" s="22" t="s">
        <v>12690</v>
      </c>
      <c r="E10252" s="22" t="s">
        <v>363</v>
      </c>
      <c r="F10252" s="23" t="str">
        <f>HYPERLINK("https://www.spark-marketing.ru/Card/Lot/69744207", "Оказание услуг по охране объекта филиала АО ""Электросетьсервис ЕНЭС"" СПБ ""Электросетьремонт"" (Грязинский ПУ)")</f>
        <v>Оказание услуг по охране объекта филиала АО "Электросетьсервис ЕНЭС" СПБ "Электросетьремонт" (Грязинский ПУ)</v>
      </c>
      <c r="G10252" s="22" t="s">
        <v>50</v>
      </c>
      <c r="H10252" s="22" t="s">
        <v>50</v>
      </c>
      <c r="I10252" s="26">
        <v>43560.690694444398</v>
      </c>
      <c r="J10252" s="23" t="str">
        <f>HYPERLINK("https://www.spark-marketing.ru/Card/Person/708839", "ООО ЧОО ""ОДИССЕЙ""")</f>
        <v>ООО ЧОО "ОДИССЕЙ"</v>
      </c>
      <c r="K10252" s="24" t="s">
        <v>12692</v>
      </c>
      <c r="L10252" s="28" t="s">
        <v>52</v>
      </c>
      <c r="M10252" s="25">
        <v>1550520</v>
      </c>
      <c r="N10252" s="27">
        <v>0.41479706080566969</v>
      </c>
    </row>
    <row r="10253" spans="1:14" hidden="1" outlineLevel="1" x14ac:dyDescent="0.2">
      <c r="A10253" s="23" t="str">
        <f>HYPERLINK("https://www.spark-marketing.ru/Card/Person/4354951", "АО ""ЭЛЕКТРОСЕТЬСЕРВИС ЕНЭС""")</f>
        <v>АО "ЭЛЕКТРОСЕТЬСЕРВИС ЕНЭС"</v>
      </c>
      <c r="B10253" s="24" t="s">
        <v>2302</v>
      </c>
      <c r="C10253" s="28" t="s">
        <v>52</v>
      </c>
      <c r="D10253" s="22" t="s">
        <v>12690</v>
      </c>
      <c r="E10253" s="22" t="s">
        <v>363</v>
      </c>
      <c r="F10253" s="23" t="str">
        <f>HYPERLINK("https://www.spark-marketing.ru/Card/Lot/69744207", "Оказание услуг по охране объекта филиала АО ""Электросетьсервис ЕНЭС"" СПБ ""Электросетьремонт"" (Грязинский ПУ)")</f>
        <v>Оказание услуг по охране объекта филиала АО "Электросетьсервис ЕНЭС" СПБ "Электросетьремонт" (Грязинский ПУ)</v>
      </c>
      <c r="G10253" s="22" t="s">
        <v>50</v>
      </c>
      <c r="H10253" s="22" t="s">
        <v>50</v>
      </c>
      <c r="I10253" s="26">
        <v>43560.690694444398</v>
      </c>
      <c r="J10253" s="23" t="str">
        <f>HYPERLINK("https://www.spark-marketing.ru/Card/Person/2584872", "ООО ""ЧОО ""БУЛАТ 48""")</f>
        <v>ООО "ЧОО "БУЛАТ 48"</v>
      </c>
      <c r="K10253" s="24" t="s">
        <v>1604</v>
      </c>
      <c r="L10253" s="22" t="s">
        <v>10</v>
      </c>
      <c r="M10253" s="25">
        <v>1548000</v>
      </c>
      <c r="N10253" s="27">
        <v>0.41574816843844431</v>
      </c>
    </row>
    <row r="10254" spans="1:14" x14ac:dyDescent="0.15">
      <c r="A10254" s="23" t="str">
        <f>HYPERLINK("https://www.spark-marketing.ru/Card/Person/165068", "АДМИНИСТРАЦИЯ ЯНШИХОВО-НОРВАШСКОГО СЕЛЬСКОГО ПОСЕЛЕНИЯ ЯНТИКОВСКОГО РАЙОНА ЧУВАШСКОЙ РЕСПУБЛИКИ")</f>
        <v>АДМИНИСТРАЦИЯ ЯНШИХОВО-НОРВАШСКОГО СЕЛЬСКОГО ПОСЕЛЕНИЯ ЯНТИКОВСКОГО РАЙОНА ЧУВАШСКОЙ РЕСПУБЛИКИ</v>
      </c>
      <c r="B10254" s="24" t="s">
        <v>12693</v>
      </c>
      <c r="C10254" s="25">
        <v>292860</v>
      </c>
      <c r="D10254" s="22" t="s">
        <v>12694</v>
      </c>
      <c r="E10254" s="22" t="s">
        <v>59</v>
      </c>
      <c r="F10254" s="23" t="str">
        <f>HYPERLINK("https://www.spark-marketing.ru/Card/Lot/69537620", "Безопасное Яншихово-Норвашское сельское поселение  Янтиковского района (Установка камер уличного видеонаблюдения)")</f>
        <v>Безопасное Яншихово-Норвашское сельское поселение  Янтиковского района (Установка камер уличного видеонаблюдения)</v>
      </c>
      <c r="G10254" s="22" t="s">
        <v>1137</v>
      </c>
      <c r="H10254" s="22" t="s">
        <v>12695</v>
      </c>
      <c r="I10254" s="26">
        <v>43560.690972222197</v>
      </c>
      <c r="J10254" s="28" t="s">
        <v>52</v>
      </c>
      <c r="K10254" s="28" t="s">
        <v>52</v>
      </c>
      <c r="L10254" s="28" t="s">
        <v>52</v>
      </c>
      <c r="M10254" s="28" t="s">
        <v>52</v>
      </c>
      <c r="N10254" s="28" t="s">
        <v>52</v>
      </c>
    </row>
    <row r="10255" spans="1:14" ht="12.75" hidden="1" outlineLevel="1" x14ac:dyDescent="0.2">
      <c r="A10255" s="23" t="str">
        <f>HYPERLINK("https://www.spark-marketing.ru/Card/Person/165068", "АДМИНИСТРАЦИЯ ЯНШИХОВО-НОРВАШСКОГО СЕЛЬСКОГО ПОСЕЛЕНИЯ ЯНТИКОВСКОГО РАЙОНА ЧУВАШСКОЙ РЕСПУБЛИКИ")</f>
        <v>АДМИНИСТРАЦИЯ ЯНШИХОВО-НОРВАШСКОГО СЕЛЬСКОГО ПОСЕЛЕНИЯ ЯНТИКОВСКОГО РАЙОНА ЧУВАШСКОЙ РЕСПУБЛИКИ</v>
      </c>
      <c r="B10255" s="24" t="s">
        <v>12693</v>
      </c>
      <c r="C10255" s="25">
        <v>292860</v>
      </c>
      <c r="D10255" s="22" t="s">
        <v>12694</v>
      </c>
      <c r="E10255" s="22" t="s">
        <v>59</v>
      </c>
      <c r="F10255" s="23" t="str">
        <f>HYPERLINK("https://www.spark-marketing.ru/Card/Lot/69537620", "Безопасное Яншихово-Норвашское сельское поселение  Янтиковского района (Установка камер уличного видеонаблюдения)")</f>
        <v>Безопасное Яншихово-Норвашское сельское поселение  Янтиковского района (Установка камер уличного видеонаблюдения)</v>
      </c>
      <c r="G10255" s="22" t="s">
        <v>1137</v>
      </c>
      <c r="H10255" s="22" t="s">
        <v>12695</v>
      </c>
      <c r="I10255" s="26">
        <v>43560.690972222197</v>
      </c>
      <c r="J10255" s="23" t="str">
        <f>HYPERLINK("https://www.spark-marketing.ru/Card/Person/373243", "Васильев Александр Геннадьевич")</f>
        <v>Васильев Александр Геннадьевич</v>
      </c>
      <c r="K10255" s="24" t="s">
        <v>2516</v>
      </c>
      <c r="L10255" s="22" t="s">
        <v>10</v>
      </c>
      <c r="M10255" s="25">
        <v>260000</v>
      </c>
      <c r="N10255" s="27">
        <v>0.11220378337772315</v>
      </c>
    </row>
    <row r="10256" spans="1:14" hidden="1" outlineLevel="1" x14ac:dyDescent="0.2">
      <c r="A10256" s="23" t="str">
        <f>HYPERLINK("https://www.spark-marketing.ru/Card/Person/165068", "АДМИНИСТРАЦИЯ ЯНШИХОВО-НОРВАШСКОГО СЕЛЬСКОГО ПОСЕЛЕНИЯ ЯНТИКОВСКОГО РАЙОНА ЧУВАШСКОЙ РЕСПУБЛИКИ")</f>
        <v>АДМИНИСТРАЦИЯ ЯНШИХОВО-НОРВАШСКОГО СЕЛЬСКОГО ПОСЕЛЕНИЯ ЯНТИКОВСКОГО РАЙОНА ЧУВАШСКОЙ РЕСПУБЛИКИ</v>
      </c>
      <c r="B10256" s="24" t="s">
        <v>12693</v>
      </c>
      <c r="C10256" s="25">
        <v>292860</v>
      </c>
      <c r="D10256" s="22" t="s">
        <v>12694</v>
      </c>
      <c r="E10256" s="22" t="s">
        <v>59</v>
      </c>
      <c r="F10256" s="23" t="str">
        <f>HYPERLINK("https://www.spark-marketing.ru/Card/Lot/69537620", "Безопасное Яншихово-Норвашское сельское поселение  Янтиковского района (Установка камер уличного видеонаблюдения)")</f>
        <v>Безопасное Яншихово-Норвашское сельское поселение  Янтиковского района (Установка камер уличного видеонаблюдения)</v>
      </c>
      <c r="G10256" s="22" t="s">
        <v>1137</v>
      </c>
      <c r="H10256" s="22" t="s">
        <v>12695</v>
      </c>
      <c r="I10256" s="26">
        <v>43560.690972222197</v>
      </c>
      <c r="J10256" s="23" t="str">
        <f>HYPERLINK("https://www.spark-marketing.ru/Card/Person/140105", "ООО ""ГАРС""")</f>
        <v>ООО "ГАРС"</v>
      </c>
      <c r="K10256" s="24" t="s">
        <v>12696</v>
      </c>
      <c r="L10256" s="28" t="s">
        <v>52</v>
      </c>
      <c r="M10256" s="25">
        <v>273535.7</v>
      </c>
      <c r="N10256" s="27">
        <v>6.5984770880284094E-2</v>
      </c>
    </row>
    <row r="10257" spans="1:14" hidden="1" outlineLevel="1" x14ac:dyDescent="0.2">
      <c r="A10257" s="23" t="str">
        <f>HYPERLINK("https://www.spark-marketing.ru/Card/Person/165068", "АДМИНИСТРАЦИЯ ЯНШИХОВО-НОРВАШСКОГО СЕЛЬСКОГО ПОСЕЛЕНИЯ ЯНТИКОВСКОГО РАЙОНА ЧУВАШСКОЙ РЕСПУБЛИКИ")</f>
        <v>АДМИНИСТРАЦИЯ ЯНШИХОВО-НОРВАШСКОГО СЕЛЬСКОГО ПОСЕЛЕНИЯ ЯНТИКОВСКОГО РАЙОНА ЧУВАШСКОЙ РЕСПУБЛИКИ</v>
      </c>
      <c r="B10257" s="24" t="s">
        <v>12693</v>
      </c>
      <c r="C10257" s="25">
        <v>292860</v>
      </c>
      <c r="D10257" s="22" t="s">
        <v>12694</v>
      </c>
      <c r="E10257" s="22" t="s">
        <v>59</v>
      </c>
      <c r="F10257" s="23" t="str">
        <f>HYPERLINK("https://www.spark-marketing.ru/Card/Lot/69537620", "Безопасное Яншихово-Норвашское сельское поселение  Янтиковского района (Установка камер уличного видеонаблюдения)")</f>
        <v>Безопасное Яншихово-Норвашское сельское поселение  Янтиковского района (Установка камер уличного видеонаблюдения)</v>
      </c>
      <c r="G10257" s="22" t="s">
        <v>1137</v>
      </c>
      <c r="H10257" s="22" t="s">
        <v>12695</v>
      </c>
      <c r="I10257" s="26">
        <v>43560.690972222197</v>
      </c>
      <c r="J10257" s="23" t="str">
        <f>HYPERLINK("https://www.spark-marketing.ru/Card/Person/6528839", "Марков Александр Геннадьевич")</f>
        <v>Марков Александр Геннадьевич</v>
      </c>
      <c r="K10257" s="24" t="s">
        <v>12538</v>
      </c>
      <c r="L10257" s="28" t="s">
        <v>52</v>
      </c>
      <c r="M10257" s="25">
        <v>260000</v>
      </c>
      <c r="N10257" s="27">
        <v>0.11220378337772315</v>
      </c>
    </row>
    <row r="10258" spans="1:14" x14ac:dyDescent="0.15">
      <c r="A10258" s="23" t="str">
        <f>HYPERLINK("https://www.spark-marketing.ru/Card/Person/1049210", "МБУ ЦКД ""ГРЕБНЕВО""")</f>
        <v>МБУ ЦКД "ГРЕБНЕВО"</v>
      </c>
      <c r="B10258" s="24" t="s">
        <v>12697</v>
      </c>
      <c r="C10258" s="25">
        <v>30000</v>
      </c>
      <c r="D10258" s="22" t="s">
        <v>12698</v>
      </c>
      <c r="E10258" s="22" t="s">
        <v>294</v>
      </c>
      <c r="F10258" s="23" t="str">
        <f>HYPERLINK("https://www.spark-marketing.ru/Card/Lot/69532937", "Оказание услуги по техническому обслуживанию видеокамер")</f>
        <v>Оказание услуги по техническому обслуживанию видеокамер</v>
      </c>
      <c r="G10258" s="22" t="s">
        <v>50</v>
      </c>
      <c r="H10258" s="22" t="s">
        <v>50</v>
      </c>
      <c r="I10258" s="26">
        <v>43560.6696296296</v>
      </c>
      <c r="J10258" s="28" t="s">
        <v>52</v>
      </c>
      <c r="K10258" s="28" t="s">
        <v>52</v>
      </c>
      <c r="L10258" s="28" t="s">
        <v>52</v>
      </c>
      <c r="M10258" s="28" t="s">
        <v>52</v>
      </c>
      <c r="N10258" s="28" t="s">
        <v>52</v>
      </c>
    </row>
    <row r="10259" spans="1:14" x14ac:dyDescent="0.15">
      <c r="A10259" s="23" t="str">
        <f>HYPERLINK("https://www.spark-marketing.ru/Card/Person/153050", "АДМИНИСТРАЦИЯ АСИНОВСКОГО РАЙОНА")</f>
        <v>АДМИНИСТРАЦИЯ АСИНОВСКОГО РАЙОНА</v>
      </c>
      <c r="B10259" s="24" t="s">
        <v>12699</v>
      </c>
      <c r="C10259" s="25">
        <v>356477</v>
      </c>
      <c r="D10259" s="22" t="s">
        <v>12700</v>
      </c>
      <c r="E10259" s="22" t="s">
        <v>194</v>
      </c>
      <c r="F10259" s="23" t="str">
        <f>HYPERLINK("https://www.spark-marketing.ru/Card/Lot/69530266", "Поставка, монтаж и техническое обслуживание систем видеонаблюдения на  2019 год. Описание объекта закупки в соответствии с технической частью документации об электронном аукционе.")</f>
        <v>Поставка, монтаж и техническое обслуживание систем видеонаблюдения на  2019 год. Описание объекта закупки в соответствии с технической частью документации об электронном аукционе.</v>
      </c>
      <c r="G10259" s="22" t="s">
        <v>150</v>
      </c>
      <c r="H10259" s="22" t="s">
        <v>12701</v>
      </c>
      <c r="I10259" s="26">
        <v>43560.695138888899</v>
      </c>
      <c r="J10259" s="28" t="s">
        <v>52</v>
      </c>
      <c r="K10259" s="28" t="s">
        <v>52</v>
      </c>
      <c r="L10259" s="28" t="s">
        <v>52</v>
      </c>
      <c r="M10259" s="28" t="s">
        <v>52</v>
      </c>
      <c r="N10259" s="28" t="s">
        <v>52</v>
      </c>
    </row>
    <row r="10260" spans="1:14" ht="12.75" hidden="1" outlineLevel="1" x14ac:dyDescent="0.2">
      <c r="A10260" s="23" t="str">
        <f>HYPERLINK("https://www.spark-marketing.ru/Card/Person/153050", "АДМИНИСТРАЦИЯ АСИНОВСКОГО РАЙОНА")</f>
        <v>АДМИНИСТРАЦИЯ АСИНОВСКОГО РАЙОНА</v>
      </c>
      <c r="B10260" s="24" t="s">
        <v>12699</v>
      </c>
      <c r="C10260" s="25">
        <v>356477</v>
      </c>
      <c r="D10260" s="22" t="s">
        <v>12700</v>
      </c>
      <c r="E10260" s="22" t="s">
        <v>194</v>
      </c>
      <c r="F10260" s="23" t="str">
        <f>HYPERLINK("https://www.spark-marketing.ru/Card/Lot/69530266", "Поставка, монтаж и техническое обслуживание систем видеонаблюдения на  2019 год. Описание объекта закупки в соответствии с технической частью документации об электронном аукционе.")</f>
        <v>Поставка, монтаж и техническое обслуживание систем видеонаблюдения на  2019 год. Описание объекта закупки в соответствии с технической частью документации об электронном аукционе.</v>
      </c>
      <c r="G10260" s="22" t="s">
        <v>150</v>
      </c>
      <c r="H10260" s="22" t="s">
        <v>12701</v>
      </c>
      <c r="I10260" s="26">
        <v>43560.695138888899</v>
      </c>
      <c r="J10260" s="23" t="str">
        <f>HYPERLINK("https://www.spark-marketing.ru/Card/Person/988044", "ООО ""ЗОРКИЙ""")</f>
        <v>ООО "ЗОРКИЙ"</v>
      </c>
      <c r="K10260" s="24" t="s">
        <v>12702</v>
      </c>
      <c r="L10260" s="22" t="s">
        <v>10</v>
      </c>
      <c r="M10260" s="25">
        <v>250000</v>
      </c>
      <c r="N10260" s="27">
        <v>0.29869248226393286</v>
      </c>
    </row>
    <row r="10261" spans="1:14" hidden="1" outlineLevel="1" x14ac:dyDescent="0.2">
      <c r="A10261" s="23" t="str">
        <f>HYPERLINK("https://www.spark-marketing.ru/Card/Person/153050", "АДМИНИСТРАЦИЯ АСИНОВСКОГО РАЙОНА")</f>
        <v>АДМИНИСТРАЦИЯ АСИНОВСКОГО РАЙОНА</v>
      </c>
      <c r="B10261" s="24" t="s">
        <v>12699</v>
      </c>
      <c r="C10261" s="25">
        <v>356477</v>
      </c>
      <c r="D10261" s="22" t="s">
        <v>12700</v>
      </c>
      <c r="E10261" s="22" t="s">
        <v>194</v>
      </c>
      <c r="F10261" s="23" t="str">
        <f>HYPERLINK("https://www.spark-marketing.ru/Card/Lot/69530266", "Поставка, монтаж и техническое обслуживание систем видеонаблюдения на  2019 год. Описание объекта закупки в соответствии с технической частью документации об электронном аукционе.")</f>
        <v>Поставка, монтаж и техническое обслуживание систем видеонаблюдения на  2019 год. Описание объекта закупки в соответствии с технической частью документации об электронном аукционе.</v>
      </c>
      <c r="G10261" s="22" t="s">
        <v>150</v>
      </c>
      <c r="H10261" s="22" t="s">
        <v>12701</v>
      </c>
      <c r="I10261" s="26">
        <v>43560.695138888899</v>
      </c>
      <c r="J10261" s="23" t="str">
        <f>HYPERLINK("https://www.spark-marketing.ru/Card/Person/210759", "ООО ""ДЕМАР-ЦЕНТР""")</f>
        <v>ООО "ДЕМАР-ЦЕНТР"</v>
      </c>
      <c r="K10261" s="24" t="s">
        <v>2021</v>
      </c>
      <c r="L10261" s="28" t="s">
        <v>52</v>
      </c>
      <c r="M10261" s="25">
        <v>272176.09999999998</v>
      </c>
      <c r="N10261" s="27">
        <v>0.23648341968766567</v>
      </c>
    </row>
    <row r="10262" spans="1:14" hidden="1" outlineLevel="1" x14ac:dyDescent="0.2">
      <c r="A10262" s="23" t="str">
        <f>HYPERLINK("https://www.spark-marketing.ru/Card/Person/153050", "АДМИНИСТРАЦИЯ АСИНОВСКОГО РАЙОНА")</f>
        <v>АДМИНИСТРАЦИЯ АСИНОВСКОГО РАЙОНА</v>
      </c>
      <c r="B10262" s="24" t="s">
        <v>12699</v>
      </c>
      <c r="C10262" s="25">
        <v>356477</v>
      </c>
      <c r="D10262" s="22" t="s">
        <v>12700</v>
      </c>
      <c r="E10262" s="22" t="s">
        <v>194</v>
      </c>
      <c r="F10262" s="23" t="str">
        <f>HYPERLINK("https://www.spark-marketing.ru/Card/Lot/69530266", "Поставка, монтаж и техническое обслуживание систем видеонаблюдения на  2019 год. Описание объекта закупки в соответствии с технической частью документации об электронном аукционе.")</f>
        <v>Поставка, монтаж и техническое обслуживание систем видеонаблюдения на  2019 год. Описание объекта закупки в соответствии с технической частью документации об электронном аукционе.</v>
      </c>
      <c r="G10262" s="22" t="s">
        <v>150</v>
      </c>
      <c r="H10262" s="22" t="s">
        <v>12701</v>
      </c>
      <c r="I10262" s="26">
        <v>43560.695138888899</v>
      </c>
      <c r="J10262" s="23" t="str">
        <f>HYPERLINK("https://www.spark-marketing.ru/Card/Person/599049", "ООО ""ИТПАРК""")</f>
        <v>ООО "ИТПАРК"</v>
      </c>
      <c r="K10262" s="24" t="s">
        <v>12703</v>
      </c>
      <c r="L10262" s="28" t="s">
        <v>52</v>
      </c>
      <c r="M10262" s="25">
        <v>252017.61</v>
      </c>
      <c r="N10262" s="27">
        <v>0.29303262202049501</v>
      </c>
    </row>
    <row r="10263" spans="1:14" x14ac:dyDescent="0.15">
      <c r="A10263" s="23" t="str">
        <f>HYPERLINK("https://www.spark-marketing.ru/Card/Person/1325094", "ГАУ СО ""ШИХАНСКИЙ ПНИ""")</f>
        <v>ГАУ СО "ШИХАНСКИЙ ПНИ"</v>
      </c>
      <c r="B10263" s="24" t="s">
        <v>12704</v>
      </c>
      <c r="C10263" s="25">
        <v>46981.2</v>
      </c>
      <c r="D10263" s="22" t="s">
        <v>12705</v>
      </c>
      <c r="E10263" s="22" t="s">
        <v>144</v>
      </c>
      <c r="F10263" s="23" t="str">
        <f>HYPERLINK("https://www.spark-marketing.ru/Card/Lot/69632352", "закупка охранных услуг, по охране зданий ГАУ СО ""Шиханский ПНИ"", с помощью экстренного вызова по GSM -каналу (кнопки тревожной сигнализации) группы незамедлительного реагирования и услуг по техническому обслуживанию средств передачи экстренного выз...")</f>
        <v>закупка охранных услуг, по охране зданий ГАУ СО "Шиханский ПНИ", с помощью экстренного вызова по GSM -каналу (кнопки тревожной сигнализации) группы незамедлительного реагирования и услуг по техническому обслуживанию средств передачи экстренного выз...</v>
      </c>
      <c r="G10263" s="22" t="s">
        <v>80</v>
      </c>
      <c r="H10263" s="22" t="s">
        <v>80</v>
      </c>
      <c r="I10263" s="26">
        <v>43560.6313310185</v>
      </c>
      <c r="J10263" s="28" t="s">
        <v>52</v>
      </c>
      <c r="K10263" s="28" t="s">
        <v>52</v>
      </c>
      <c r="L10263" s="28" t="s">
        <v>52</v>
      </c>
      <c r="M10263" s="28" t="s">
        <v>52</v>
      </c>
      <c r="N10263" s="28" t="s">
        <v>52</v>
      </c>
    </row>
    <row r="10264" spans="1:14" x14ac:dyDescent="0.15">
      <c r="A10264" s="23" t="str">
        <f>HYPERLINK("https://www.spark-marketing.ru/Card/Person/51347", "КГБУ ""КОМСОМОЛЬСКИЙ-НА-АМУРЕ ДПИ""")</f>
        <v>КГБУ "КОМСОМОЛЬСКИЙ-НА-АМУРЕ ДПИ"</v>
      </c>
      <c r="B10264" s="24" t="s">
        <v>12706</v>
      </c>
      <c r="C10264" s="25">
        <v>99019.8</v>
      </c>
      <c r="D10264" s="22" t="s">
        <v>12707</v>
      </c>
      <c r="E10264" s="22" t="s">
        <v>68</v>
      </c>
      <c r="F10264" s="23" t="str">
        <f>HYPERLINK("https://www.spark-marketing.ru/Card/Lot/69517835", "Оказание услуг по централизованной охране объектов")</f>
        <v>Оказание услуг по централизованной охране объектов</v>
      </c>
      <c r="G10264" s="22" t="s">
        <v>138</v>
      </c>
      <c r="H10264" s="22" t="s">
        <v>139</v>
      </c>
      <c r="I10264" s="26">
        <v>43560.659722222197</v>
      </c>
      <c r="J10264" s="28" t="s">
        <v>52</v>
      </c>
      <c r="K10264" s="28" t="s">
        <v>52</v>
      </c>
      <c r="L10264" s="28" t="s">
        <v>52</v>
      </c>
      <c r="M10264" s="28" t="s">
        <v>52</v>
      </c>
      <c r="N10264" s="28" t="s">
        <v>52</v>
      </c>
    </row>
    <row r="10265" spans="1:14" x14ac:dyDescent="0.15">
      <c r="A10265" s="23" t="str">
        <f>HYPERLINK("https://www.spark-marketing.ru/Card/Person/63822", "МКУ ""УПРАВЛЕНИЕ ПО ДЕЛАМ ГО И ЧС Г. ЛИПЕЦКА""")</f>
        <v>МКУ "УПРАВЛЕНИЕ ПО ДЕЛАМ ГО И ЧС Г. ЛИПЕЦКА"</v>
      </c>
      <c r="B10265" s="24" t="s">
        <v>12708</v>
      </c>
      <c r="C10265" s="25">
        <v>670043.67000000004</v>
      </c>
      <c r="D10265" s="22" t="s">
        <v>12709</v>
      </c>
      <c r="E10265" s="22" t="s">
        <v>208</v>
      </c>
      <c r="F10265" s="23" t="str">
        <f>HYPERLINK("https://www.spark-marketing.ru/Card/Lot/69533976", "Приобретение и установка системы отображения информации (ЖК-панели для видеостены)")</f>
        <v>Приобретение и установка системы отображения информации (ЖК-панели для видеостены)</v>
      </c>
      <c r="G10265" s="22" t="s">
        <v>629</v>
      </c>
      <c r="H10265" s="22" t="s">
        <v>629</v>
      </c>
      <c r="I10265" s="26">
        <v>43560.642361111102</v>
      </c>
      <c r="J10265" s="28" t="s">
        <v>52</v>
      </c>
      <c r="K10265" s="28" t="s">
        <v>52</v>
      </c>
      <c r="L10265" s="28" t="s">
        <v>52</v>
      </c>
      <c r="M10265" s="28" t="s">
        <v>52</v>
      </c>
      <c r="N10265" s="28" t="s">
        <v>52</v>
      </c>
    </row>
    <row r="10266" spans="1:14" hidden="1" outlineLevel="1" x14ac:dyDescent="0.2">
      <c r="A10266" s="23" t="str">
        <f>HYPERLINK("https://www.spark-marketing.ru/Card/Person/63822", "МКУ ""УПРАВЛЕНИЕ ПО ДЕЛАМ ГО И ЧС Г. ЛИПЕЦКА""")</f>
        <v>МКУ "УПРАВЛЕНИЕ ПО ДЕЛАМ ГО И ЧС Г. ЛИПЕЦКА"</v>
      </c>
      <c r="B10266" s="24" t="s">
        <v>12708</v>
      </c>
      <c r="C10266" s="25">
        <v>670043.67000000004</v>
      </c>
      <c r="D10266" s="22" t="s">
        <v>12709</v>
      </c>
      <c r="E10266" s="22" t="s">
        <v>208</v>
      </c>
      <c r="F10266" s="23" t="str">
        <f>HYPERLINK("https://www.spark-marketing.ru/Card/Lot/69533976", "Приобретение и установка системы отображения информации (ЖК-панели для видеостены)")</f>
        <v>Приобретение и установка системы отображения информации (ЖК-панели для видеостены)</v>
      </c>
      <c r="G10266" s="22" t="s">
        <v>629</v>
      </c>
      <c r="H10266" s="22" t="s">
        <v>629</v>
      </c>
      <c r="I10266" s="26">
        <v>43560.642361111102</v>
      </c>
      <c r="J10266" s="23" t="str">
        <f>HYPERLINK("https://www.spark-marketing.ru/Card/Person/401454", "ООО ""ПЕРЕМЕНА-ЛИПЕЦК""")</f>
        <v>ООО "ПЕРЕМЕНА-ЛИПЕЦК"</v>
      </c>
      <c r="K10266" s="24" t="s">
        <v>12710</v>
      </c>
      <c r="L10266" s="28" t="s">
        <v>52</v>
      </c>
      <c r="M10266" s="25">
        <v>609739.71</v>
      </c>
      <c r="N10266" s="27">
        <v>9.0000044325469111E-2</v>
      </c>
    </row>
    <row r="10267" spans="1:14" hidden="1" outlineLevel="1" x14ac:dyDescent="0.2">
      <c r="A10267" s="23" t="str">
        <f>HYPERLINK("https://www.spark-marketing.ru/Card/Person/63822", "МКУ ""УПРАВЛЕНИЕ ПО ДЕЛАМ ГО И ЧС Г. ЛИПЕЦКА""")</f>
        <v>МКУ "УПРАВЛЕНИЕ ПО ДЕЛАМ ГО И ЧС Г. ЛИПЕЦКА"</v>
      </c>
      <c r="B10267" s="24" t="s">
        <v>12708</v>
      </c>
      <c r="C10267" s="25">
        <v>670043.67000000004</v>
      </c>
      <c r="D10267" s="22" t="s">
        <v>12709</v>
      </c>
      <c r="E10267" s="22" t="s">
        <v>208</v>
      </c>
      <c r="F10267" s="23" t="str">
        <f>HYPERLINK("https://www.spark-marketing.ru/Card/Lot/69533976", "Приобретение и установка системы отображения информации (ЖК-панели для видеостены)")</f>
        <v>Приобретение и установка системы отображения информации (ЖК-панели для видеостены)</v>
      </c>
      <c r="G10267" s="22" t="s">
        <v>629</v>
      </c>
      <c r="H10267" s="22" t="s">
        <v>629</v>
      </c>
      <c r="I10267" s="26">
        <v>43560.642361111102</v>
      </c>
      <c r="J10267" s="23" t="str">
        <f>HYPERLINK("https://www.spark-marketing.ru/Card/Person/6456360", "ООО ""ЛЕОСТАН""")</f>
        <v>ООО "ЛЕОСТАН"</v>
      </c>
      <c r="K10267" s="24" t="s">
        <v>12711</v>
      </c>
      <c r="L10267" s="28" t="s">
        <v>52</v>
      </c>
      <c r="M10267" s="25">
        <v>556136.18999999994</v>
      </c>
      <c r="N10267" s="27">
        <v>0.1700000837258861</v>
      </c>
    </row>
    <row r="10268" spans="1:14" ht="12.75" hidden="1" outlineLevel="1" x14ac:dyDescent="0.2">
      <c r="A10268" s="23" t="str">
        <f>HYPERLINK("https://www.spark-marketing.ru/Card/Person/63822", "МКУ ""УПРАВЛЕНИЕ ПО ДЕЛАМ ГО И ЧС Г. ЛИПЕЦКА""")</f>
        <v>МКУ "УПРАВЛЕНИЕ ПО ДЕЛАМ ГО И ЧС Г. ЛИПЕЦКА"</v>
      </c>
      <c r="B10268" s="24" t="s">
        <v>12708</v>
      </c>
      <c r="C10268" s="25">
        <v>670043.67000000004</v>
      </c>
      <c r="D10268" s="22" t="s">
        <v>12709</v>
      </c>
      <c r="E10268" s="22" t="s">
        <v>208</v>
      </c>
      <c r="F10268" s="23" t="str">
        <f>HYPERLINK("https://www.spark-marketing.ru/Card/Lot/69533976", "Приобретение и установка системы отображения информации (ЖК-панели для видеостены)")</f>
        <v>Приобретение и установка системы отображения информации (ЖК-панели для видеостены)</v>
      </c>
      <c r="G10268" s="22" t="s">
        <v>629</v>
      </c>
      <c r="H10268" s="22" t="s">
        <v>629</v>
      </c>
      <c r="I10268" s="26">
        <v>43560.642361111102</v>
      </c>
      <c r="J10268" s="23" t="str">
        <f>HYPERLINK("https://www.spark-marketing.ru/Card/Person/6503617", "ООО ""ЦЕНТР СЕТЕВОЙ БЕЗОПАСНОСТИ""")</f>
        <v>ООО "ЦЕНТР СЕТЕВОЙ БЕЗОПАСНОСТИ"</v>
      </c>
      <c r="K10268" s="24" t="s">
        <v>1996</v>
      </c>
      <c r="L10268" s="22" t="s">
        <v>10</v>
      </c>
      <c r="M10268" s="25">
        <v>552785.97</v>
      </c>
      <c r="N10268" s="27">
        <v>0.17500008618841217</v>
      </c>
    </row>
    <row r="10269" spans="1:14" x14ac:dyDescent="0.15">
      <c r="A10269" s="23" t="str">
        <f>HYPERLINK("https://www.spark-marketing.ru/Card/Person/21854", "ФГБУ ""ИВ НИИ М И Д ИМ. В.Н. ГОРОДКОВА"" МИНЗДРАВА РОССИИ")</f>
        <v>ФГБУ "ИВ НИИ М И Д ИМ. В.Н. ГОРОДКОВА" МИНЗДРАВА РОССИИ</v>
      </c>
      <c r="B10269" s="24" t="s">
        <v>12712</v>
      </c>
      <c r="C10269" s="25">
        <v>3720000</v>
      </c>
      <c r="D10269" s="22" t="s">
        <v>12713</v>
      </c>
      <c r="E10269" s="22" t="s">
        <v>5267</v>
      </c>
      <c r="F10269" s="23" t="str">
        <f>HYPERLINK("https://www.spark-marketing.ru/Card/Lot/69533944", "Определение поставщика (подрядчика, исполнителя) с целью заключения контракта на оказание услуг по охране имущества и ценностей")</f>
        <v>Определение поставщика (подрядчика, исполнителя) с целью заключения контракта на оказание услуг по охране имущества и ценностей</v>
      </c>
      <c r="G10269" s="22" t="s">
        <v>340</v>
      </c>
      <c r="H10269" s="22" t="s">
        <v>340</v>
      </c>
      <c r="I10269" s="26">
        <v>43560.649305555598</v>
      </c>
      <c r="J10269" s="23" t="str">
        <f>HYPERLINK("https://www.spark-marketing.ru/Card/Person/63149", "ООО ""ЧОО ""БУЛАТ""")</f>
        <v>ООО "ЧОО "БУЛАТ"</v>
      </c>
      <c r="K10269" s="24" t="s">
        <v>8098</v>
      </c>
      <c r="L10269" s="28" t="s">
        <v>52</v>
      </c>
      <c r="M10269" s="28" t="s">
        <v>52</v>
      </c>
      <c r="N10269" s="28" t="s">
        <v>52</v>
      </c>
    </row>
    <row r="10270" spans="1:14" ht="12.75" hidden="1" outlineLevel="1" x14ac:dyDescent="0.2">
      <c r="A10270" s="23" t="str">
        <f>HYPERLINK("https://www.spark-marketing.ru/Card/Person/21854", "ФГБУ ""ИВ НИИ М И Д ИМ. В.Н. ГОРОДКОВА"" МИНЗДРАВА РОССИИ")</f>
        <v>ФГБУ "ИВ НИИ М И Д ИМ. В.Н. ГОРОДКОВА" МИНЗДРАВА РОССИИ</v>
      </c>
      <c r="B10270" s="24" t="s">
        <v>12712</v>
      </c>
      <c r="C10270" s="25">
        <v>3720000</v>
      </c>
      <c r="D10270" s="22" t="s">
        <v>12713</v>
      </c>
      <c r="E10270" s="22" t="s">
        <v>5267</v>
      </c>
      <c r="F10270" s="23" t="str">
        <f>HYPERLINK("https://www.spark-marketing.ru/Card/Lot/69533944", "Определение поставщика (подрядчика, исполнителя) с целью заключения контракта на оказание услуг по охране имущества и ценностей")</f>
        <v>Определение поставщика (подрядчика, исполнителя) с целью заключения контракта на оказание услуг по охране имущества и ценностей</v>
      </c>
      <c r="G10270" s="22" t="s">
        <v>340</v>
      </c>
      <c r="H10270" s="22" t="s">
        <v>340</v>
      </c>
      <c r="I10270" s="26">
        <v>43560.649305555598</v>
      </c>
      <c r="J10270" s="23" t="str">
        <f>HYPERLINK("https://www.spark-marketing.ru/Card/Person/63149", "ООО ""ЧОО ""БУЛАТ""")</f>
        <v>ООО "ЧОО "БУЛАТ"</v>
      </c>
      <c r="K10270" s="24" t="s">
        <v>8098</v>
      </c>
      <c r="L10270" s="22" t="s">
        <v>10</v>
      </c>
      <c r="M10270" s="25">
        <v>3701400</v>
      </c>
      <c r="N10270" s="27">
        <v>5.0000000000000001E-3</v>
      </c>
    </row>
    <row r="10271" spans="1:14" ht="12.75" x14ac:dyDescent="0.2">
      <c r="A10271" s="23" t="str">
        <f>HYPERLINK("https://www.spark-marketing.ru/Card/Person/4365850", "АО ""ОМСКВОДОКАНАЛ""")</f>
        <v>АО "ОМСКВОДОКАНАЛ"</v>
      </c>
      <c r="B10271" s="24" t="s">
        <v>12714</v>
      </c>
      <c r="C10271" s="25">
        <v>1066666.67</v>
      </c>
      <c r="D10271" s="22" t="s">
        <v>12715</v>
      </c>
      <c r="E10271" s="22" t="s">
        <v>6160</v>
      </c>
      <c r="F10271" s="23" t="str">
        <f>HYPERLINK("https://www.spark-marketing.ru/Card/Lot/69637173", "Монтаж системы видеонаблюдения на объектах АО «ОмскВодоканал» (КНС-4, КНС-17, КНС-24, КНС-34) с выводом информации в ЦДС» (модернизация системы видеонаблюдения КНС-17 инв.№ 6069, установка системы видеонаблюдения на КНС-4, КНС-24, КНС-34) для нужд АО...")</f>
        <v>Монтаж системы видеонаблюдения на объектах АО «ОмскВодоканал» (КНС-4, КНС-17, КНС-24, КНС-34) с выводом информации в ЦДС» (модернизация системы видеонаблюдения КНС-17 инв.№ 6069, установка системы видеонаблюдения на КНС-4, КНС-24, КНС-34) для нужд АО...</v>
      </c>
      <c r="G10271" s="22" t="s">
        <v>521</v>
      </c>
      <c r="H10271" s="22" t="s">
        <v>522</v>
      </c>
      <c r="I10271" s="26">
        <v>43560.622627314799</v>
      </c>
      <c r="J10271" s="23" t="str">
        <f>HYPERLINK("https://www.spark-marketing.ru/Card/Person/407169", "ООО ""МТ ТЕХНО ОМСК""")</f>
        <v>ООО "МТ ТЕХНО ОМСК"</v>
      </c>
      <c r="K10271" s="24" t="s">
        <v>12716</v>
      </c>
      <c r="L10271" s="22" t="s">
        <v>10</v>
      </c>
      <c r="M10271" s="25">
        <v>1279883</v>
      </c>
      <c r="N10271" s="27">
        <v>-0.19989030875034278</v>
      </c>
    </row>
    <row r="10272" spans="1:14" x14ac:dyDescent="0.2">
      <c r="A10272" s="23" t="str">
        <f>HYPERLINK("https://www.spark-marketing.ru/Card/Person/1359589", "ОГАУЗ ""ТОКБ""")</f>
        <v>ОГАУЗ "ТОКБ"</v>
      </c>
      <c r="B10272" s="24" t="s">
        <v>1240</v>
      </c>
      <c r="C10272" s="25">
        <v>2902380</v>
      </c>
      <c r="D10272" s="22" t="s">
        <v>12717</v>
      </c>
      <c r="E10272" s="22" t="s">
        <v>1242</v>
      </c>
      <c r="F10272" s="23" t="str">
        <f>HYPERLINK("https://www.spark-marketing.ru/Card/Lot/69521237", "Оказание услуг по охране объектов ОГАУЗ «ТОКБ« и прилегающей к ним территории")</f>
        <v>Оказание услуг по охране объектов ОГАУЗ «ТОКБ« и прилегающей к ним территории</v>
      </c>
      <c r="G10272" s="22" t="s">
        <v>150</v>
      </c>
      <c r="H10272" s="22" t="s">
        <v>150</v>
      </c>
      <c r="I10272" s="26">
        <v>43560.591041666703</v>
      </c>
      <c r="J10272" s="23" t="str">
        <f>HYPERLINK("https://www.spark-marketing.ru/Card/Person/837998", "ООО ""ЧОО ""ПРАВОПОРЯДОК""")</f>
        <v>ООО "ЧОО "ПРАВОПОРЯДОК"</v>
      </c>
      <c r="K10272" s="24" t="s">
        <v>12718</v>
      </c>
      <c r="L10272" s="28" t="s">
        <v>52</v>
      </c>
      <c r="M10272" s="25">
        <v>2902380</v>
      </c>
      <c r="N10272" s="27">
        <v>0</v>
      </c>
    </row>
    <row r="10273" spans="1:14" x14ac:dyDescent="0.15">
      <c r="A10273" s="23" t="str">
        <f>HYPERLINK("https://www.spark-marketing.ru/Card/Person/101071", "МОУ ""ЛИЦЕЙ №14""")</f>
        <v>МОУ "ЛИЦЕЙ №14"</v>
      </c>
      <c r="B10273" s="24" t="s">
        <v>12719</v>
      </c>
      <c r="C10273" s="25">
        <v>14000</v>
      </c>
      <c r="D10273" s="22" t="s">
        <v>12720</v>
      </c>
      <c r="E10273" s="22" t="s">
        <v>84</v>
      </c>
      <c r="F10273" s="23" t="str">
        <f>HYPERLINK("https://www.spark-marketing.ru/Card/Lot/69526710", "Оказание услуг по установке видеокамеры в помещении пункта приема экзаменов")</f>
        <v>Оказание услуг по установке видеокамеры в помещении пункта приема экзаменов</v>
      </c>
      <c r="G10273" s="22" t="s">
        <v>50</v>
      </c>
      <c r="H10273" s="22" t="s">
        <v>747</v>
      </c>
      <c r="I10273" s="26">
        <v>43560.576076388897</v>
      </c>
      <c r="J10273" s="28" t="s">
        <v>52</v>
      </c>
      <c r="K10273" s="28" t="s">
        <v>52</v>
      </c>
      <c r="L10273" s="28" t="s">
        <v>52</v>
      </c>
      <c r="M10273" s="28" t="s">
        <v>52</v>
      </c>
      <c r="N10273" s="28" t="s">
        <v>52</v>
      </c>
    </row>
    <row r="10274" spans="1:14" x14ac:dyDescent="0.15">
      <c r="A10274" s="23" t="str">
        <f>HYPERLINK("https://www.spark-marketing.ru/Card/Person/75728", "МБОУ ОДИНЦОВСКАЯ СОШ № 3")</f>
        <v>МБОУ ОДИНЦОВСКАЯ СОШ № 3</v>
      </c>
      <c r="B10274" s="24" t="s">
        <v>8705</v>
      </c>
      <c r="C10274" s="25">
        <v>42030.66</v>
      </c>
      <c r="D10274" s="22" t="s">
        <v>12721</v>
      </c>
      <c r="E10274" s="22" t="s">
        <v>12722</v>
      </c>
      <c r="F10274" s="23" t="str">
        <f>HYPERLINK("https://www.spark-marketing.ru/Card/Lot/69526713", "Закупка в 2019 году услуг по монтажу и пуско - наладке технических средств охраны (сигнализации) с использованием материалов и оборудования для нужд МБОУ Одинцовская СОШ №3")</f>
        <v>Закупка в 2019 году услуг по монтажу и пуско - наладке технических средств охраны (сигнализации) с использованием материалов и оборудования для нужд МБОУ Одинцовская СОШ №3</v>
      </c>
      <c r="G10274" s="22" t="s">
        <v>50</v>
      </c>
      <c r="H10274" s="22" t="s">
        <v>1045</v>
      </c>
      <c r="I10274" s="26">
        <v>43560.576261574097</v>
      </c>
      <c r="J10274" s="28" t="s">
        <v>52</v>
      </c>
      <c r="K10274" s="28" t="s">
        <v>52</v>
      </c>
      <c r="L10274" s="28" t="s">
        <v>52</v>
      </c>
      <c r="M10274" s="28" t="s">
        <v>52</v>
      </c>
      <c r="N10274" s="28" t="s">
        <v>52</v>
      </c>
    </row>
    <row r="10275" spans="1:14" x14ac:dyDescent="0.15">
      <c r="A10275" s="23" t="str">
        <f>HYPERLINK("https://www.spark-marketing.ru/Card/Person/104724", "МОУ ""КСОШ №55""")</f>
        <v>МОУ "КСОШ №55"</v>
      </c>
      <c r="B10275" s="24" t="s">
        <v>12723</v>
      </c>
      <c r="C10275" s="25">
        <v>33542</v>
      </c>
      <c r="D10275" s="22" t="s">
        <v>12724</v>
      </c>
      <c r="E10275" s="22" t="s">
        <v>12725</v>
      </c>
      <c r="F10275" s="23" t="str">
        <f>HYPERLINK("https://www.spark-marketing.ru/Card/Lot/69525805", "Выполнение работ по установке и настройке домофона")</f>
        <v>Выполнение работ по установке и настройке домофона</v>
      </c>
      <c r="G10275" s="22" t="s">
        <v>50</v>
      </c>
      <c r="H10275" s="22" t="s">
        <v>827</v>
      </c>
      <c r="I10275" s="26">
        <v>43560.534513888902</v>
      </c>
      <c r="J10275" s="28" t="s">
        <v>52</v>
      </c>
      <c r="K10275" s="28" t="s">
        <v>52</v>
      </c>
      <c r="L10275" s="28" t="s">
        <v>52</v>
      </c>
      <c r="M10275" s="28" t="s">
        <v>52</v>
      </c>
      <c r="N10275" s="28" t="s">
        <v>52</v>
      </c>
    </row>
    <row r="10276" spans="1:14" x14ac:dyDescent="0.15">
      <c r="A10276" s="23" t="str">
        <f>HYPERLINK("https://www.spark-marketing.ru/Card/Person/1005329", "МБОУ ГИМНАЗИЯ № 1")</f>
        <v>МБОУ ГИМНАЗИЯ № 1</v>
      </c>
      <c r="B10276" s="24" t="s">
        <v>12726</v>
      </c>
      <c r="C10276" s="25">
        <v>15000</v>
      </c>
      <c r="D10276" s="22" t="s">
        <v>12727</v>
      </c>
      <c r="E10276" s="22" t="s">
        <v>234</v>
      </c>
      <c r="F10276" s="23" t="str">
        <f>HYPERLINK("https://www.spark-marketing.ru/Card/Lot/69525691", "Техническое обслуживание региональной системы видеотрансляции и видеопротоколирования в пунктах проведения экзаменов")</f>
        <v>Техническое обслуживание региональной системы видеотрансляции и видеопротоколирования в пунктах проведения экзаменов</v>
      </c>
      <c r="G10276" s="22" t="s">
        <v>50</v>
      </c>
      <c r="H10276" s="22" t="s">
        <v>9386</v>
      </c>
      <c r="I10276" s="26">
        <v>43560.513877314799</v>
      </c>
      <c r="J10276" s="28" t="s">
        <v>52</v>
      </c>
      <c r="K10276" s="28" t="s">
        <v>52</v>
      </c>
      <c r="L10276" s="28" t="s">
        <v>52</v>
      </c>
      <c r="M10276" s="28" t="s">
        <v>52</v>
      </c>
      <c r="N10276" s="28" t="s">
        <v>52</v>
      </c>
    </row>
    <row r="10277" spans="1:14" x14ac:dyDescent="0.15">
      <c r="A10277" s="23" t="str">
        <f>HYPERLINK("https://www.spark-marketing.ru/Card/Person/3203", "УПРАВЛЕНИЕ РОССЕЛЬХОЗНАДЗОРА ПО РОСТОВСКОЙ, ВОЛГОГРАДСКОЙ И АСТРАХАНСКОЙ ОБЛАСТЯМ И РЕСПУБЛИКЕ КАЛМЫКИЯ")</f>
        <v>УПРАВЛЕНИЕ РОССЕЛЬХОЗНАДЗОРА ПО РОСТОВСКОЙ, ВОЛГОГРАДСКОЙ И АСТРАХАНСКОЙ ОБЛАСТЯМ И РЕСПУБЛИКЕ КАЛМЫКИЯ</v>
      </c>
      <c r="B10277" s="24" t="s">
        <v>400</v>
      </c>
      <c r="C10277" s="25">
        <v>69722.399999999994</v>
      </c>
      <c r="D10277" s="22" t="s">
        <v>12728</v>
      </c>
      <c r="E10277" s="22" t="s">
        <v>53</v>
      </c>
      <c r="F10277" s="23" t="str">
        <f>HYPERLINK("https://www.spark-marketing.ru/Card/Lot/70781746", "Техническое обслуживание комплекса технических средств охраны и технологическое обеспечение работоспособности систем передачи извещений")</f>
        <v>Техническое обслуживание комплекса технических средств охраны и технологическое обеспечение работоспособности систем передачи извещений</v>
      </c>
      <c r="G10277" s="22" t="s">
        <v>402</v>
      </c>
      <c r="H10277" s="22" t="s">
        <v>403</v>
      </c>
      <c r="I10277" s="26">
        <v>43560.5009027778</v>
      </c>
      <c r="J10277" s="28" t="s">
        <v>52</v>
      </c>
      <c r="K10277" s="28" t="s">
        <v>52</v>
      </c>
      <c r="L10277" s="28" t="s">
        <v>52</v>
      </c>
      <c r="M10277" s="28" t="s">
        <v>52</v>
      </c>
      <c r="N10277" s="28" t="s">
        <v>52</v>
      </c>
    </row>
    <row r="10278" spans="1:14" x14ac:dyDescent="0.15">
      <c r="A10278" s="23" t="str">
        <f>HYPERLINK("https://www.spark-marketing.ru/Card/Person/128868", "ГАУСО ""КЦСОН В ГОРОДСКОМ ОКРУГЕ ""ГОРОД КАЗАНЬ""")</f>
        <v>ГАУСО "КЦСОН В ГОРОДСКОМ ОКРУГЕ "ГОРОД КАЗАНЬ"</v>
      </c>
      <c r="B10278" s="24" t="s">
        <v>12729</v>
      </c>
      <c r="C10278" s="25">
        <v>223594.72</v>
      </c>
      <c r="D10278" s="22" t="s">
        <v>12730</v>
      </c>
      <c r="E10278" s="22" t="s">
        <v>52</v>
      </c>
      <c r="F10278" s="23" t="str">
        <f>HYPERLINK("https://www.spark-marketing.ru/Card/Lot/69528581", "Оказание услуг по охране имущества")</f>
        <v>Оказание услуг по охране имущества</v>
      </c>
      <c r="G10278" s="22" t="s">
        <v>204</v>
      </c>
      <c r="H10278" s="22" t="s">
        <v>303</v>
      </c>
      <c r="I10278" s="26">
        <v>43560.479861111096</v>
      </c>
      <c r="J10278" s="23" t="str">
        <f>HYPERLINK("https://www.spark-marketing.ru/Card/Person/93249", "ООО ""ЗАЩИТА И НАДЕЖНОСТЬ""")</f>
        <v>ООО "ЗАЩИТА И НАДЕЖНОСТЬ"</v>
      </c>
      <c r="K10278" s="24" t="s">
        <v>6382</v>
      </c>
      <c r="L10278" s="28" t="s">
        <v>52</v>
      </c>
      <c r="M10278" s="28" t="s">
        <v>52</v>
      </c>
      <c r="N10278" s="28" t="s">
        <v>52</v>
      </c>
    </row>
    <row r="10279" spans="1:14" ht="12.75" hidden="1" outlineLevel="1" x14ac:dyDescent="0.2">
      <c r="A10279" s="23" t="str">
        <f>HYPERLINK("https://www.spark-marketing.ru/Card/Person/128868", "ГАУСО ""КЦСОН В ГОРОДСКОМ ОКРУГЕ ""ГОРОД КАЗАНЬ""")</f>
        <v>ГАУСО "КЦСОН В ГОРОДСКОМ ОКРУГЕ "ГОРОД КАЗАНЬ"</v>
      </c>
      <c r="B10279" s="24" t="s">
        <v>12729</v>
      </c>
      <c r="C10279" s="25">
        <v>223594.72</v>
      </c>
      <c r="D10279" s="22" t="s">
        <v>12730</v>
      </c>
      <c r="E10279" s="22" t="s">
        <v>52</v>
      </c>
      <c r="F10279" s="23" t="str">
        <f>HYPERLINK("https://www.spark-marketing.ru/Card/Lot/69528581", "Оказание услуг по охране имущества")</f>
        <v>Оказание услуг по охране имущества</v>
      </c>
      <c r="G10279" s="22" t="s">
        <v>204</v>
      </c>
      <c r="H10279" s="22" t="s">
        <v>303</v>
      </c>
      <c r="I10279" s="26">
        <v>43560.479861111096</v>
      </c>
      <c r="J10279" s="23" t="str">
        <f>HYPERLINK("https://www.spark-marketing.ru/Card/Person/93249", "ООО ""ЗАЩИТА И НАДЕЖНОСТЬ""")</f>
        <v>ООО "ЗАЩИТА И НАДЕЖНОСТЬ"</v>
      </c>
      <c r="K10279" s="24" t="s">
        <v>6382</v>
      </c>
      <c r="L10279" s="22" t="s">
        <v>10</v>
      </c>
      <c r="M10279" s="25">
        <v>222476.75</v>
      </c>
      <c r="N10279" s="27">
        <v>4.9999838994409171E-3</v>
      </c>
    </row>
    <row r="10280" spans="1:14" x14ac:dyDescent="0.15">
      <c r="A10280" s="23" t="str">
        <f>HYPERLINK("https://www.spark-marketing.ru/Card/Person/152801", "МБДОУ ""ДЕТСКИЙ САД №46""")</f>
        <v>МБДОУ "ДЕТСКИЙ САД №46"</v>
      </c>
      <c r="B10280" s="24" t="s">
        <v>12731</v>
      </c>
      <c r="C10280" s="25">
        <v>50000</v>
      </c>
      <c r="D10280" s="22" t="s">
        <v>12732</v>
      </c>
      <c r="E10280" s="22" t="s">
        <v>103</v>
      </c>
      <c r="F10280" s="23" t="str">
        <f>HYPERLINK("https://www.spark-marketing.ru/Card/Lot/69522436", "на оказание услуг по техническому обслуживанию системы видеонаблюдения")</f>
        <v>на оказание услуг по техническому обслуживанию системы видеонаблюдения</v>
      </c>
      <c r="G10280" s="22" t="s">
        <v>50</v>
      </c>
      <c r="H10280" s="22" t="s">
        <v>12149</v>
      </c>
      <c r="I10280" s="26">
        <v>43560.493217592601</v>
      </c>
      <c r="J10280" s="28" t="s">
        <v>52</v>
      </c>
      <c r="K10280" s="28" t="s">
        <v>52</v>
      </c>
      <c r="L10280" s="28" t="s">
        <v>52</v>
      </c>
      <c r="M10280" s="28" t="s">
        <v>52</v>
      </c>
      <c r="N10280" s="28" t="s">
        <v>52</v>
      </c>
    </row>
    <row r="10281" spans="1:14" x14ac:dyDescent="0.15">
      <c r="A10281" s="23" t="str">
        <f>HYPERLINK("https://www.spark-marketing.ru/Card/Person/63347", "ГБУЗ АО ""АРХАНГЕЛЬСКИЙ КЛИНИЧЕСКИЙ РОДИЛЬНЫЙ ДОМ ИМ. К.Н. САМОЙЛОВОЙ""")</f>
        <v>ГБУЗ АО "АРХАНГЕЛЬСКИЙ КЛИНИЧЕСКИЙ РОДИЛЬНЫЙ ДОМ ИМ. К.Н. САМОЙЛОВОЙ"</v>
      </c>
      <c r="B10281" s="24" t="s">
        <v>12733</v>
      </c>
      <c r="C10281" s="25">
        <v>435000</v>
      </c>
      <c r="D10281" s="22" t="s">
        <v>12734</v>
      </c>
      <c r="E10281" s="22" t="s">
        <v>103</v>
      </c>
      <c r="F10281" s="23" t="str">
        <f>HYPERLINK("https://www.spark-marketing.ru/Card/Lot/69523918", "Оказание услуг по техническому обслуживанию АТС, линий связи и системы видеонаблюдения")</f>
        <v>Оказание услуг по техническому обслуживанию АТС, линий связи и системы видеонаблюдения</v>
      </c>
      <c r="G10281" s="22" t="s">
        <v>674</v>
      </c>
      <c r="H10281" s="22" t="s">
        <v>674</v>
      </c>
      <c r="I10281" s="26">
        <v>43560.434027777803</v>
      </c>
      <c r="J10281" s="28" t="s">
        <v>52</v>
      </c>
      <c r="K10281" s="28" t="s">
        <v>52</v>
      </c>
      <c r="L10281" s="28" t="s">
        <v>52</v>
      </c>
      <c r="M10281" s="28" t="s">
        <v>52</v>
      </c>
      <c r="N10281" s="28" t="s">
        <v>52</v>
      </c>
    </row>
    <row r="10282" spans="1:14" hidden="1" outlineLevel="1" x14ac:dyDescent="0.2">
      <c r="A10282" s="23" t="str">
        <f>HYPERLINK("https://www.spark-marketing.ru/Card/Person/63347", "ГБУЗ АО ""АРХАНГЕЛЬСКИЙ КЛИНИЧЕСКИЙ РОДИЛЬНЫЙ ДОМ ИМ. К.Н. САМОЙЛОВОЙ""")</f>
        <v>ГБУЗ АО "АРХАНГЕЛЬСКИЙ КЛИНИЧЕСКИЙ РОДИЛЬНЫЙ ДОМ ИМ. К.Н. САМОЙЛОВОЙ"</v>
      </c>
      <c r="B10282" s="24" t="s">
        <v>12733</v>
      </c>
      <c r="C10282" s="25">
        <v>435000</v>
      </c>
      <c r="D10282" s="22" t="s">
        <v>12734</v>
      </c>
      <c r="E10282" s="22" t="s">
        <v>103</v>
      </c>
      <c r="F10282" s="23" t="str">
        <f>HYPERLINK("https://www.spark-marketing.ru/Card/Lot/69523918", "Оказание услуг по техническому обслуживанию АТС, линий связи и системы видеонаблюдения")</f>
        <v>Оказание услуг по техническому обслуживанию АТС, линий связи и системы видеонаблюдения</v>
      </c>
      <c r="G10282" s="22" t="s">
        <v>674</v>
      </c>
      <c r="H10282" s="22" t="s">
        <v>674</v>
      </c>
      <c r="I10282" s="26">
        <v>43560.434027777803</v>
      </c>
      <c r="J10282" s="23" t="str">
        <f>HYPERLINK("https://www.spark-marketing.ru/Card/Person/268276", "ООО СЦ ""СЕВЕРНАЯ КОРОНА""")</f>
        <v>ООО СЦ "СЕВЕРНАЯ КОРОНА"</v>
      </c>
      <c r="K10282" s="24" t="s">
        <v>12735</v>
      </c>
      <c r="L10282" s="28" t="s">
        <v>52</v>
      </c>
      <c r="M10282" s="25">
        <v>432825</v>
      </c>
      <c r="N10282" s="27">
        <v>5.0000000000000001E-3</v>
      </c>
    </row>
    <row r="10283" spans="1:14" ht="12.75" hidden="1" outlineLevel="1" x14ac:dyDescent="0.2">
      <c r="A10283" s="23" t="str">
        <f>HYPERLINK("https://www.spark-marketing.ru/Card/Person/63347", "ГБУЗ АО ""АРХАНГЕЛЬСКИЙ КЛИНИЧЕСКИЙ РОДИЛЬНЫЙ ДОМ ИМ. К.Н. САМОЙЛОВОЙ""")</f>
        <v>ГБУЗ АО "АРХАНГЕЛЬСКИЙ КЛИНИЧЕСКИЙ РОДИЛЬНЫЙ ДОМ ИМ. К.Н. САМОЙЛОВОЙ"</v>
      </c>
      <c r="B10283" s="24" t="s">
        <v>12733</v>
      </c>
      <c r="C10283" s="25">
        <v>435000</v>
      </c>
      <c r="D10283" s="22" t="s">
        <v>12734</v>
      </c>
      <c r="E10283" s="22" t="s">
        <v>103</v>
      </c>
      <c r="F10283" s="23" t="str">
        <f>HYPERLINK("https://www.spark-marketing.ru/Card/Lot/69523918", "Оказание услуг по техническому обслуживанию АТС, линий связи и системы видеонаблюдения")</f>
        <v>Оказание услуг по техническому обслуживанию АТС, линий связи и системы видеонаблюдения</v>
      </c>
      <c r="G10283" s="22" t="s">
        <v>674</v>
      </c>
      <c r="H10283" s="22" t="s">
        <v>674</v>
      </c>
      <c r="I10283" s="26">
        <v>43560.434027777803</v>
      </c>
      <c r="J10283" s="23" t="str">
        <f>HYPERLINK("https://www.spark-marketing.ru/Card/Person/283925", "Кострюков Сергей Юрьевич")</f>
        <v>Кострюков Сергей Юрьевич</v>
      </c>
      <c r="K10283" s="24" t="s">
        <v>12736</v>
      </c>
      <c r="L10283" s="22" t="s">
        <v>10</v>
      </c>
      <c r="M10283" s="25">
        <v>430650</v>
      </c>
      <c r="N10283" s="27">
        <v>0.01</v>
      </c>
    </row>
    <row r="10284" spans="1:14" x14ac:dyDescent="0.15">
      <c r="A10284" s="23" t="str">
        <f>HYPERLINK("https://www.spark-marketing.ru/Card/Person/641213", "МЕЖРАЙОННАЯ ИФНС РОССИИ № 5 ПО ЗАБАЙКАЛЬСКОМУ КРАЮ")</f>
        <v>МЕЖРАЙОННАЯ ИФНС РОССИИ № 5 ПО ЗАБАЙКАЛЬСКОМУ КРАЮ</v>
      </c>
      <c r="B10284" s="24" t="s">
        <v>12737</v>
      </c>
      <c r="C10284" s="25">
        <v>16376.04</v>
      </c>
      <c r="D10284" s="22" t="s">
        <v>12738</v>
      </c>
      <c r="E10284" s="22" t="s">
        <v>53</v>
      </c>
      <c r="F10284" s="23" t="str">
        <f>HYPERLINK("https://www.spark-marketing.ru/Card/Lot/70807693", "охрана объектов, 3 шт")</f>
        <v>охрана объектов, 3 шт</v>
      </c>
      <c r="G10284" s="22" t="s">
        <v>473</v>
      </c>
      <c r="H10284" s="22" t="s">
        <v>12739</v>
      </c>
      <c r="I10284" s="26">
        <v>43560.416689814803</v>
      </c>
      <c r="J10284" s="28" t="s">
        <v>52</v>
      </c>
      <c r="K10284" s="28" t="s">
        <v>52</v>
      </c>
      <c r="L10284" s="28" t="s">
        <v>52</v>
      </c>
      <c r="M10284" s="28" t="s">
        <v>52</v>
      </c>
      <c r="N10284" s="28" t="s">
        <v>52</v>
      </c>
    </row>
    <row r="10285" spans="1:14" x14ac:dyDescent="0.15">
      <c r="A10285" s="23" t="str">
        <f>HYPERLINK("https://www.spark-marketing.ru/Card/Person/641213", "МЕЖРАЙОННАЯ ИФНС РОССИИ № 5 ПО ЗАБАЙКАЛЬСКОМУ КРАЮ")</f>
        <v>МЕЖРАЙОННАЯ ИФНС РОССИИ № 5 ПО ЗАБАЙКАЛЬСКОМУ КРАЮ</v>
      </c>
      <c r="B10285" s="24" t="s">
        <v>12737</v>
      </c>
      <c r="C10285" s="25">
        <v>4087.14</v>
      </c>
      <c r="D10285" s="22" t="s">
        <v>12740</v>
      </c>
      <c r="E10285" s="22" t="s">
        <v>53</v>
      </c>
      <c r="F10285" s="23" t="str">
        <f>HYPERLINK("https://www.spark-marketing.ru/Card/Lot/70807503", "Пультовая охрана с использованием тревожной кнопки, 3 шт")</f>
        <v>Пультовая охрана с использованием тревожной кнопки, 3 шт</v>
      </c>
      <c r="G10285" s="22" t="s">
        <v>473</v>
      </c>
      <c r="H10285" s="22" t="s">
        <v>12739</v>
      </c>
      <c r="I10285" s="26">
        <v>43560.408657407403</v>
      </c>
      <c r="J10285" s="28" t="s">
        <v>52</v>
      </c>
      <c r="K10285" s="28" t="s">
        <v>52</v>
      </c>
      <c r="L10285" s="28" t="s">
        <v>52</v>
      </c>
      <c r="M10285" s="28" t="s">
        <v>52</v>
      </c>
      <c r="N10285" s="28" t="s">
        <v>52</v>
      </c>
    </row>
    <row r="10286" spans="1:14" x14ac:dyDescent="0.15">
      <c r="A10286" s="23" t="str">
        <f>HYPERLINK("https://www.spark-marketing.ru/Card/Person/641213", "МЕЖРАЙОННАЯ ИФНС РОССИИ № 5 ПО ЗАБАЙКАЛЬСКОМУ КРАЮ")</f>
        <v>МЕЖРАЙОННАЯ ИФНС РОССИИ № 5 ПО ЗАБАЙКАЛЬСКОМУ КРАЮ</v>
      </c>
      <c r="B10286" s="24" t="s">
        <v>12737</v>
      </c>
      <c r="C10286" s="25">
        <v>5133.8999999999996</v>
      </c>
      <c r="D10286" s="22" t="s">
        <v>12741</v>
      </c>
      <c r="E10286" s="22" t="s">
        <v>53</v>
      </c>
      <c r="F10286" s="23" t="str">
        <f>HYPERLINK("https://www.spark-marketing.ru/Card/Lot/70807590", "Пультовая охрана с использованием тревожной кнопки, 3 шт")</f>
        <v>Пультовая охрана с использованием тревожной кнопки, 3 шт</v>
      </c>
      <c r="G10286" s="22" t="s">
        <v>473</v>
      </c>
      <c r="H10286" s="22" t="s">
        <v>12739</v>
      </c>
      <c r="I10286" s="26">
        <v>43560.412384259304</v>
      </c>
      <c r="J10286" s="28" t="s">
        <v>52</v>
      </c>
      <c r="K10286" s="28" t="s">
        <v>52</v>
      </c>
      <c r="L10286" s="28" t="s">
        <v>52</v>
      </c>
      <c r="M10286" s="28" t="s">
        <v>52</v>
      </c>
      <c r="N10286" s="28" t="s">
        <v>52</v>
      </c>
    </row>
    <row r="10287" spans="1:14" x14ac:dyDescent="0.15">
      <c r="A10287" s="23" t="str">
        <f>HYPERLINK("https://www.spark-marketing.ru/Card/Person/4224", "ГКУ НСО ""НОВОСИБОБЛФАРМ""")</f>
        <v>ГКУ НСО "НОВОСИБОБЛФАРМ"</v>
      </c>
      <c r="B10287" s="24" t="s">
        <v>10815</v>
      </c>
      <c r="C10287" s="25">
        <v>455466.69</v>
      </c>
      <c r="D10287" s="22" t="s">
        <v>12742</v>
      </c>
      <c r="E10287" s="22" t="s">
        <v>68</v>
      </c>
      <c r="F10287" s="23" t="str">
        <f>HYPERLINK("https://www.spark-marketing.ru/Card/Lot/69513419", "Оказание услуг централизованной пультовой охраны объекта (аптек, аптечных пунктов льготного лекарственного обеспечения) с выездом группы немедленного реагирования при срабатывании тревожной и охранной сигнализации")</f>
        <v>Оказание услуг централизованной пультовой охраны объекта (аптек, аптечных пунктов льготного лекарственного обеспечения) с выездом группы немедленного реагирования при срабатывании тревожной и охранной сигнализации</v>
      </c>
      <c r="G10287" s="22" t="s">
        <v>209</v>
      </c>
      <c r="H10287" s="22" t="s">
        <v>210</v>
      </c>
      <c r="I10287" s="26">
        <v>43560.387499999997</v>
      </c>
      <c r="J10287" s="28" t="s">
        <v>52</v>
      </c>
      <c r="K10287" s="28" t="s">
        <v>52</v>
      </c>
      <c r="L10287" s="28" t="s">
        <v>52</v>
      </c>
      <c r="M10287" s="28" t="s">
        <v>52</v>
      </c>
      <c r="N10287" s="28" t="s">
        <v>52</v>
      </c>
    </row>
    <row r="10288" spans="1:14" ht="12.75" hidden="1" outlineLevel="1" x14ac:dyDescent="0.2">
      <c r="A10288" s="23" t="str">
        <f>HYPERLINK("https://www.spark-marketing.ru/Card/Person/4224", "ГКУ НСО ""НОВОСИБОБЛФАРМ""")</f>
        <v>ГКУ НСО "НОВОСИБОБЛФАРМ"</v>
      </c>
      <c r="B10288" s="24" t="s">
        <v>10815</v>
      </c>
      <c r="C10288" s="25">
        <v>455466.69</v>
      </c>
      <c r="D10288" s="22" t="s">
        <v>12742</v>
      </c>
      <c r="E10288" s="22" t="s">
        <v>68</v>
      </c>
      <c r="F10288" s="23" t="str">
        <f>HYPERLINK("https://www.spark-marketing.ru/Card/Lot/69513419", "Оказание услуг централизованной пультовой охраны объекта (аптек, аптечных пунктов льготного лекарственного обеспечения) с выездом группы немедленного реагирования при срабатывании тревожной и охранной сигнализации")</f>
        <v>Оказание услуг централизованной пультовой охраны объекта (аптек, аптечных пунктов льготного лекарственного обеспечения) с выездом группы немедленного реагирования при срабатывании тревожной и охранной сигнализации</v>
      </c>
      <c r="G10288" s="22" t="s">
        <v>209</v>
      </c>
      <c r="H10288" s="22" t="s">
        <v>210</v>
      </c>
      <c r="I10288" s="26">
        <v>43560.387499999997</v>
      </c>
      <c r="J10288" s="23" t="str">
        <f>HYPERLINK("https://www.spark-marketing.ru/Card/Person/719453", "ООО АБ ""ОСПАС""")</f>
        <v>ООО АБ "ОСПАС"</v>
      </c>
      <c r="K10288" s="24" t="s">
        <v>10818</v>
      </c>
      <c r="L10288" s="22" t="s">
        <v>10</v>
      </c>
      <c r="M10288" s="25">
        <v>384869.15</v>
      </c>
      <c r="N10288" s="27">
        <v>0.15500044580647598</v>
      </c>
    </row>
    <row r="10289" spans="1:14" hidden="1" outlineLevel="1" x14ac:dyDescent="0.2">
      <c r="A10289" s="23" t="str">
        <f>HYPERLINK("https://www.spark-marketing.ru/Card/Person/4224", "ГКУ НСО ""НОВОСИБОБЛФАРМ""")</f>
        <v>ГКУ НСО "НОВОСИБОБЛФАРМ"</v>
      </c>
      <c r="B10289" s="24" t="s">
        <v>10815</v>
      </c>
      <c r="C10289" s="25">
        <v>455466.69</v>
      </c>
      <c r="D10289" s="22" t="s">
        <v>12742</v>
      </c>
      <c r="E10289" s="22" t="s">
        <v>68</v>
      </c>
      <c r="F10289" s="23" t="str">
        <f>HYPERLINK("https://www.spark-marketing.ru/Card/Lot/69513419", "Оказание услуг централизованной пультовой охраны объекта (аптек, аптечных пунктов льготного лекарственного обеспечения) с выездом группы немедленного реагирования при срабатывании тревожной и охранной сигнализации")</f>
        <v>Оказание услуг централизованной пультовой охраны объекта (аптек, аптечных пунктов льготного лекарственного обеспечения) с выездом группы немедленного реагирования при срабатывании тревожной и охранной сигнализации</v>
      </c>
      <c r="G10289" s="22" t="s">
        <v>209</v>
      </c>
      <c r="H10289" s="22" t="s">
        <v>210</v>
      </c>
      <c r="I10289" s="26">
        <v>43560.387499999997</v>
      </c>
      <c r="J10289" s="23" t="str">
        <f>HYPERLINK("https://www.spark-marketing.ru/Card/Person/14953", "ФГКУ ""УВО ВНГ РОССИИ ПО НОВОСИБИРСКОЙ ОБЛАСТИ""")</f>
        <v>ФГКУ "УВО ВНГ РОССИИ ПО НОВОСИБИРСКОЙ ОБЛАСТИ"</v>
      </c>
      <c r="K10289" s="24" t="s">
        <v>10889</v>
      </c>
      <c r="L10289" s="28" t="s">
        <v>52</v>
      </c>
      <c r="M10289" s="25">
        <v>455466.68</v>
      </c>
      <c r="N10289" s="27">
        <v>2.1955502388110971E-8</v>
      </c>
    </row>
    <row r="10290" spans="1:14" hidden="1" outlineLevel="1" x14ac:dyDescent="0.2">
      <c r="A10290" s="23" t="str">
        <f>HYPERLINK("https://www.spark-marketing.ru/Card/Person/4224", "ГКУ НСО ""НОВОСИБОБЛФАРМ""")</f>
        <v>ГКУ НСО "НОВОСИБОБЛФАРМ"</v>
      </c>
      <c r="B10290" s="24" t="s">
        <v>10815</v>
      </c>
      <c r="C10290" s="25">
        <v>455466.69</v>
      </c>
      <c r="D10290" s="22" t="s">
        <v>12742</v>
      </c>
      <c r="E10290" s="22" t="s">
        <v>68</v>
      </c>
      <c r="F10290" s="23" t="str">
        <f>HYPERLINK("https://www.spark-marketing.ru/Card/Lot/69513419", "Оказание услуг централизованной пультовой охраны объекта (аптек, аптечных пунктов льготного лекарственного обеспечения) с выездом группы немедленного реагирования при срабатывании тревожной и охранной сигнализации")</f>
        <v>Оказание услуг централизованной пультовой охраны объекта (аптек, аптечных пунктов льготного лекарственного обеспечения) с выездом группы немедленного реагирования при срабатывании тревожной и охранной сигнализации</v>
      </c>
      <c r="G10290" s="22" t="s">
        <v>209</v>
      </c>
      <c r="H10290" s="22" t="s">
        <v>210</v>
      </c>
      <c r="I10290" s="26">
        <v>43560.387499999997</v>
      </c>
      <c r="J10290" s="23" t="str">
        <f>HYPERLINK("https://www.spark-marketing.ru/Card/Person/1391526", "ООО ОО ""ДРАККАР""")</f>
        <v>ООО ОО "ДРАККАР"</v>
      </c>
      <c r="K10290" s="24" t="s">
        <v>12743</v>
      </c>
      <c r="L10290" s="28" t="s">
        <v>52</v>
      </c>
      <c r="M10290" s="25">
        <v>427500</v>
      </c>
      <c r="N10290" s="27">
        <v>6.1402272908255923E-2</v>
      </c>
    </row>
    <row r="10291" spans="1:14" hidden="1" outlineLevel="1" x14ac:dyDescent="0.2">
      <c r="A10291" s="23" t="str">
        <f>HYPERLINK("https://www.spark-marketing.ru/Card/Person/4224", "ГКУ НСО ""НОВОСИБОБЛФАРМ""")</f>
        <v>ГКУ НСО "НОВОСИБОБЛФАРМ"</v>
      </c>
      <c r="B10291" s="24" t="s">
        <v>10815</v>
      </c>
      <c r="C10291" s="25">
        <v>455466.69</v>
      </c>
      <c r="D10291" s="22" t="s">
        <v>12742</v>
      </c>
      <c r="E10291" s="22" t="s">
        <v>68</v>
      </c>
      <c r="F10291" s="23" t="str">
        <f>HYPERLINK("https://www.spark-marketing.ru/Card/Lot/69513419", "Оказание услуг централизованной пультовой охраны объекта (аптек, аптечных пунктов льготного лекарственного обеспечения) с выездом группы немедленного реагирования при срабатывании тревожной и охранной сигнализации")</f>
        <v>Оказание услуг централизованной пультовой охраны объекта (аптек, аптечных пунктов льготного лекарственного обеспечения) с выездом группы немедленного реагирования при срабатывании тревожной и охранной сигнализации</v>
      </c>
      <c r="G10291" s="22" t="s">
        <v>209</v>
      </c>
      <c r="H10291" s="22" t="s">
        <v>210</v>
      </c>
      <c r="I10291" s="26">
        <v>43560.387499999997</v>
      </c>
      <c r="J10291" s="23" t="str">
        <f>HYPERLINK("https://www.spark-marketing.ru/Card/Person/10487", "ФГУП ""ОХРАНА"" РОСГВАРДИИ")</f>
        <v>ФГУП "ОХРАНА" РОСГВАРДИИ</v>
      </c>
      <c r="K10291" s="24" t="s">
        <v>779</v>
      </c>
      <c r="L10291" s="28" t="s">
        <v>52</v>
      </c>
      <c r="M10291" s="25">
        <v>387146.49</v>
      </c>
      <c r="N10291" s="27">
        <v>0.15000043142562192</v>
      </c>
    </row>
    <row r="10292" spans="1:14" ht="12.75" x14ac:dyDescent="0.2">
      <c r="A10292" s="23" t="str">
        <f>HYPERLINK("https://www.spark-marketing.ru/Card/Person/94331", "ГБОУ КО ""СШОР Л.ЛАТЫНИНОЙ""")</f>
        <v>ГБОУ КО "СШОР Л.ЛАТЫНИНОЙ"</v>
      </c>
      <c r="B10292" s="24" t="s">
        <v>12744</v>
      </c>
      <c r="C10292" s="25">
        <v>499200</v>
      </c>
      <c r="D10292" s="22" t="s">
        <v>12745</v>
      </c>
      <c r="E10292" s="22" t="s">
        <v>52</v>
      </c>
      <c r="F10292" s="23" t="str">
        <f>HYPERLINK("https://www.spark-marketing.ru/Card/Lot/69521904", "Оказание услуг по охране объектов")</f>
        <v>Оказание услуг по охране объектов</v>
      </c>
      <c r="G10292" s="22" t="s">
        <v>658</v>
      </c>
      <c r="H10292" s="22" t="s">
        <v>659</v>
      </c>
      <c r="I10292" s="26">
        <v>43560.398611111101</v>
      </c>
      <c r="J10292" s="23" t="str">
        <f>HYPERLINK("https://www.spark-marketing.ru/Card/Person/19107", "ООО ""ЧОП ""ВЛАТА - КАЛУГА""")</f>
        <v>ООО "ЧОП "ВЛАТА - КАЛУГА"</v>
      </c>
      <c r="K10292" s="24" t="s">
        <v>12746</v>
      </c>
      <c r="L10292" s="22" t="s">
        <v>10</v>
      </c>
      <c r="M10292" s="25">
        <v>422000</v>
      </c>
      <c r="N10292" s="27">
        <v>0.1546474358974359</v>
      </c>
    </row>
    <row r="10293" spans="1:14" x14ac:dyDescent="0.15">
      <c r="A10293" s="23" t="str">
        <f>HYPERLINK("https://www.spark-marketing.ru/Card/Person/4224", "ГКУ НСО ""НОВОСИБОБЛФАРМ""")</f>
        <v>ГКУ НСО "НОВОСИБОБЛФАРМ"</v>
      </c>
      <c r="B10293" s="24" t="s">
        <v>10815</v>
      </c>
      <c r="C10293" s="25">
        <v>379750</v>
      </c>
      <c r="D10293" s="22" t="s">
        <v>12747</v>
      </c>
      <c r="E10293" s="22" t="s">
        <v>68</v>
      </c>
      <c r="F10293" s="23" t="str">
        <f>HYPERLINK("https://www.spark-marketing.ru/Card/Lot/69513341", "Оказание услуг централизованной пультовой охраны объекта (аптек, аптечных пунктов льготного лекарственного обеспечения) с выездом группы немедленного реагирования при срабатывании тревожной и охранной сигнализации")</f>
        <v>Оказание услуг централизованной пультовой охраны объекта (аптек, аптечных пунктов льготного лекарственного обеспечения) с выездом группы немедленного реагирования при срабатывании тревожной и охранной сигнализации</v>
      </c>
      <c r="G10293" s="22" t="s">
        <v>209</v>
      </c>
      <c r="H10293" s="22" t="s">
        <v>210</v>
      </c>
      <c r="I10293" s="26">
        <v>43560.387499999997</v>
      </c>
      <c r="J10293" s="28" t="s">
        <v>52</v>
      </c>
      <c r="K10293" s="28" t="s">
        <v>52</v>
      </c>
      <c r="L10293" s="28" t="s">
        <v>52</v>
      </c>
      <c r="M10293" s="28" t="s">
        <v>52</v>
      </c>
      <c r="N10293" s="28" t="s">
        <v>52</v>
      </c>
    </row>
    <row r="10294" spans="1:14" hidden="1" outlineLevel="1" x14ac:dyDescent="0.2">
      <c r="A10294" s="23" t="str">
        <f>HYPERLINK("https://www.spark-marketing.ru/Card/Person/4224", "ГКУ НСО ""НОВОСИБОБЛФАРМ""")</f>
        <v>ГКУ НСО "НОВОСИБОБЛФАРМ"</v>
      </c>
      <c r="B10294" s="24" t="s">
        <v>10815</v>
      </c>
      <c r="C10294" s="25">
        <v>379750</v>
      </c>
      <c r="D10294" s="22" t="s">
        <v>12747</v>
      </c>
      <c r="E10294" s="22" t="s">
        <v>68</v>
      </c>
      <c r="F10294" s="23" t="str">
        <f>HYPERLINK("https://www.spark-marketing.ru/Card/Lot/69513341", "Оказание услуг централизованной пультовой охраны объекта (аптек, аптечных пунктов льготного лекарственного обеспечения) с выездом группы немедленного реагирования при срабатывании тревожной и охранной сигнализации")</f>
        <v>Оказание услуг централизованной пультовой охраны объекта (аптек, аптечных пунктов льготного лекарственного обеспечения) с выездом группы немедленного реагирования при срабатывании тревожной и охранной сигнализации</v>
      </c>
      <c r="G10294" s="22" t="s">
        <v>209</v>
      </c>
      <c r="H10294" s="22" t="s">
        <v>210</v>
      </c>
      <c r="I10294" s="26">
        <v>43560.387499999997</v>
      </c>
      <c r="J10294" s="23" t="str">
        <f>HYPERLINK("https://www.spark-marketing.ru/Card/Person/14953", "ФГКУ ""УВО ВНГ РОССИИ ПО НОВОСИБИРСКОЙ ОБЛАСТИ""")</f>
        <v>ФГКУ "УВО ВНГ РОССИИ ПО НОВОСИБИРСКОЙ ОБЛАСТИ"</v>
      </c>
      <c r="K10294" s="24" t="s">
        <v>10889</v>
      </c>
      <c r="L10294" s="28" t="s">
        <v>52</v>
      </c>
      <c r="M10294" s="25">
        <v>377851.25</v>
      </c>
      <c r="N10294" s="27">
        <v>5.0000000000000001E-3</v>
      </c>
    </row>
    <row r="10295" spans="1:14" ht="12.75" hidden="1" outlineLevel="1" x14ac:dyDescent="0.2">
      <c r="A10295" s="23" t="str">
        <f>HYPERLINK("https://www.spark-marketing.ru/Card/Person/4224", "ГКУ НСО ""НОВОСИБОБЛФАРМ""")</f>
        <v>ГКУ НСО "НОВОСИБОБЛФАРМ"</v>
      </c>
      <c r="B10295" s="24" t="s">
        <v>10815</v>
      </c>
      <c r="C10295" s="25">
        <v>379750</v>
      </c>
      <c r="D10295" s="22" t="s">
        <v>12747</v>
      </c>
      <c r="E10295" s="22" t="s">
        <v>68</v>
      </c>
      <c r="F10295" s="23" t="str">
        <f>HYPERLINK("https://www.spark-marketing.ru/Card/Lot/69513341", "Оказание услуг централизованной пультовой охраны объекта (аптек, аптечных пунктов льготного лекарственного обеспечения) с выездом группы немедленного реагирования при срабатывании тревожной и охранной сигнализации")</f>
        <v>Оказание услуг централизованной пультовой охраны объекта (аптек, аптечных пунктов льготного лекарственного обеспечения) с выездом группы немедленного реагирования при срабатывании тревожной и охранной сигнализации</v>
      </c>
      <c r="G10295" s="22" t="s">
        <v>209</v>
      </c>
      <c r="H10295" s="22" t="s">
        <v>210</v>
      </c>
      <c r="I10295" s="26">
        <v>43560.387499999997</v>
      </c>
      <c r="J10295" s="23" t="str">
        <f>HYPERLINK("https://www.spark-marketing.ru/Card/Person/10487", "ФГУП ""ОХРАНА"" РОСГВАРДИИ")</f>
        <v>ФГУП "ОХРАНА" РОСГВАРДИИ</v>
      </c>
      <c r="K10295" s="24" t="s">
        <v>779</v>
      </c>
      <c r="L10295" s="22" t="s">
        <v>10</v>
      </c>
      <c r="M10295" s="25">
        <v>375952.5</v>
      </c>
      <c r="N10295" s="27">
        <v>0.01</v>
      </c>
    </row>
    <row r="10296" spans="1:14" x14ac:dyDescent="0.15">
      <c r="A10296" s="23" t="str">
        <f>HYPERLINK("https://www.spark-marketing.ru/Card/Person/139447", "УПРАВЛЕНИЕ РОСКОМНАДЗОРА ПО АМУРСКОЙ ОБЛАСТИ")</f>
        <v>УПРАВЛЕНИЕ РОСКОМНАДЗОРА ПО АМУРСКОЙ ОБЛАСТИ</v>
      </c>
      <c r="B10296" s="24" t="s">
        <v>12748</v>
      </c>
      <c r="C10296" s="25">
        <v>24710.400000000001</v>
      </c>
      <c r="D10296" s="22" t="s">
        <v>12749</v>
      </c>
      <c r="E10296" s="22" t="s">
        <v>53</v>
      </c>
      <c r="F10296" s="23" t="str">
        <f>HYPERLINK("https://www.spark-marketing.ru/Card/Lot/70782392", "Техническое обслуживание охранной сигнализации")</f>
        <v>Техническое обслуживание охранной сигнализации</v>
      </c>
      <c r="G10296" s="22" t="s">
        <v>230</v>
      </c>
      <c r="H10296" s="22" t="s">
        <v>231</v>
      </c>
      <c r="I10296" s="26">
        <v>43560.340972222199</v>
      </c>
      <c r="J10296" s="28" t="s">
        <v>52</v>
      </c>
      <c r="K10296" s="28" t="s">
        <v>52</v>
      </c>
      <c r="L10296" s="28" t="s">
        <v>52</v>
      </c>
      <c r="M10296" s="28" t="s">
        <v>52</v>
      </c>
      <c r="N10296" s="28" t="s">
        <v>52</v>
      </c>
    </row>
    <row r="10297" spans="1:14" x14ac:dyDescent="0.15">
      <c r="A10297" s="23" t="str">
        <f>HYPERLINK("https://www.spark-marketing.ru/Card/Person/139447", "УПРАВЛЕНИЕ РОСКОМНАДЗОРА ПО АМУРСКОЙ ОБЛАСТИ")</f>
        <v>УПРАВЛЕНИЕ РОСКОМНАДЗОРА ПО АМУРСКОЙ ОБЛАСТИ</v>
      </c>
      <c r="B10297" s="24" t="s">
        <v>12748</v>
      </c>
      <c r="C10297" s="25">
        <v>55437.65</v>
      </c>
      <c r="D10297" s="22" t="s">
        <v>12750</v>
      </c>
      <c r="E10297" s="22" t="s">
        <v>53</v>
      </c>
      <c r="F10297" s="23" t="str">
        <f>HYPERLINK("https://www.spark-marketing.ru/Card/Lot/70782292", "Оказание услуг пультовой охраны")</f>
        <v>Оказание услуг пультовой охраны</v>
      </c>
      <c r="G10297" s="22" t="s">
        <v>230</v>
      </c>
      <c r="H10297" s="22" t="s">
        <v>231</v>
      </c>
      <c r="I10297" s="26">
        <v>43560.322025463</v>
      </c>
      <c r="J10297" s="28" t="s">
        <v>52</v>
      </c>
      <c r="K10297" s="28" t="s">
        <v>52</v>
      </c>
      <c r="L10297" s="28" t="s">
        <v>52</v>
      </c>
      <c r="M10297" s="28" t="s">
        <v>52</v>
      </c>
      <c r="N10297" s="28" t="s">
        <v>52</v>
      </c>
    </row>
    <row r="10298" spans="1:14" x14ac:dyDescent="0.15">
      <c r="A10298" s="23" t="str">
        <f>HYPERLINK("https://www.spark-marketing.ru/Card/Person/78407", "МЕЖРАЙОННАЯ ИФНС РОССИИ № 6 ПО ОМСКОЙ ОБЛАСТИ")</f>
        <v>МЕЖРАЙОННАЯ ИФНС РОССИИ № 6 ПО ОМСКОЙ ОБЛАСТИ</v>
      </c>
      <c r="B10298" s="24" t="s">
        <v>9823</v>
      </c>
      <c r="C10298" s="25">
        <v>50000</v>
      </c>
      <c r="D10298" s="22" t="s">
        <v>12751</v>
      </c>
      <c r="E10298" s="22" t="s">
        <v>107</v>
      </c>
      <c r="F10298" s="23" t="str">
        <f>HYPERLINK("https://www.spark-marketing.ru/Card/Lot/70166204", "Техническое обслуживание средств ОС, ОПС, ТС, видеонаблюдения и СКУД, 1 шт")</f>
        <v>Техническое обслуживание средств ОС, ОПС, ТС, видеонаблюдения и СКУД, 1 шт</v>
      </c>
      <c r="G10298" s="22" t="s">
        <v>521</v>
      </c>
      <c r="H10298" s="22" t="s">
        <v>5525</v>
      </c>
      <c r="I10298" s="26">
        <v>43560.274189814802</v>
      </c>
      <c r="J10298" s="28" t="s">
        <v>52</v>
      </c>
      <c r="K10298" s="28" t="s">
        <v>52</v>
      </c>
      <c r="L10298" s="28" t="s">
        <v>52</v>
      </c>
      <c r="M10298" s="28" t="s">
        <v>52</v>
      </c>
      <c r="N10298" s="28" t="s">
        <v>52</v>
      </c>
    </row>
    <row r="10299" spans="1:14" x14ac:dyDescent="0.15">
      <c r="A10299" s="23" t="str">
        <f>HYPERLINK("https://www.spark-marketing.ru/Card/Person/1068172", "МКОУ ""МЫШЛАНСКАЯ СОШ""")</f>
        <v>МКОУ "МЫШЛАНСКАЯ СОШ"</v>
      </c>
      <c r="B10299" s="24" t="s">
        <v>12752</v>
      </c>
      <c r="C10299" s="25">
        <v>12500</v>
      </c>
      <c r="D10299" s="22" t="s">
        <v>12753</v>
      </c>
      <c r="E10299" s="22" t="s">
        <v>59</v>
      </c>
      <c r="F10299" s="23" t="str">
        <f>HYPERLINK("https://www.spark-marketing.ru/Card/Lot/69513457", "ЭЛ.магазин на оказание услуг по монтажу кнопки тревожной сигнализации")</f>
        <v>ЭЛ.магазин на оказание услуг по монтажу кнопки тревожной сигнализации</v>
      </c>
      <c r="G10299" s="22" t="s">
        <v>209</v>
      </c>
      <c r="H10299" s="22" t="s">
        <v>5208</v>
      </c>
      <c r="I10299" s="26">
        <v>43560.263888888898</v>
      </c>
      <c r="J10299" s="28" t="s">
        <v>52</v>
      </c>
      <c r="K10299" s="28" t="s">
        <v>52</v>
      </c>
      <c r="L10299" s="28" t="s">
        <v>52</v>
      </c>
      <c r="M10299" s="28" t="s">
        <v>52</v>
      </c>
      <c r="N10299" s="28" t="s">
        <v>52</v>
      </c>
    </row>
    <row r="10300" spans="1:14" x14ac:dyDescent="0.15">
      <c r="A10300" s="23" t="str">
        <f>HYPERLINK("https://www.spark-marketing.ru/Card/Person/149378", "МКОУ ""БОБРОВСКАЯ СОШ""")</f>
        <v>МКОУ "БОБРОВСКАЯ СОШ"</v>
      </c>
      <c r="B10300" s="24" t="s">
        <v>5424</v>
      </c>
      <c r="C10300" s="25">
        <v>12500</v>
      </c>
      <c r="D10300" s="22" t="s">
        <v>12754</v>
      </c>
      <c r="E10300" s="22" t="s">
        <v>59</v>
      </c>
      <c r="F10300" s="23" t="str">
        <f>HYPERLINK("https://www.spark-marketing.ru/Card/Lot/69513458", "ЭЛ.магазин на оказание услуг по монтажу кнопки тревожной сигнализации")</f>
        <v>ЭЛ.магазин на оказание услуг по монтажу кнопки тревожной сигнализации</v>
      </c>
      <c r="G10300" s="22" t="s">
        <v>209</v>
      </c>
      <c r="H10300" s="22" t="s">
        <v>5208</v>
      </c>
      <c r="I10300" s="26">
        <v>43560.266666666699</v>
      </c>
      <c r="J10300" s="28" t="s">
        <v>52</v>
      </c>
      <c r="K10300" s="28" t="s">
        <v>52</v>
      </c>
      <c r="L10300" s="28" t="s">
        <v>52</v>
      </c>
      <c r="M10300" s="28" t="s">
        <v>52</v>
      </c>
      <c r="N10300" s="28" t="s">
        <v>52</v>
      </c>
    </row>
    <row r="10301" spans="1:14" x14ac:dyDescent="0.15">
      <c r="A10301" s="23" t="str">
        <f>HYPERLINK("https://www.spark-marketing.ru/Card/Person/1071652", "МКОУ ""БИТКОВСКАЯ СОШ """)</f>
        <v>МКОУ "БИТКОВСКАЯ СОШ "</v>
      </c>
      <c r="B10301" s="24" t="s">
        <v>10418</v>
      </c>
      <c r="C10301" s="25">
        <v>12500</v>
      </c>
      <c r="D10301" s="22" t="s">
        <v>12755</v>
      </c>
      <c r="E10301" s="22" t="s">
        <v>208</v>
      </c>
      <c r="F10301" s="23" t="str">
        <f>HYPERLINK("https://www.spark-marketing.ru/Card/Lot/69512969", "Услуги по монтажу кнопки тревожной сигнализации")</f>
        <v>Услуги по монтажу кнопки тревожной сигнализации</v>
      </c>
      <c r="G10301" s="22" t="s">
        <v>209</v>
      </c>
      <c r="H10301" s="22" t="s">
        <v>5208</v>
      </c>
      <c r="I10301" s="26">
        <v>43560.234027777798</v>
      </c>
      <c r="J10301" s="28" t="s">
        <v>52</v>
      </c>
      <c r="K10301" s="28" t="s">
        <v>52</v>
      </c>
      <c r="L10301" s="28" t="s">
        <v>52</v>
      </c>
      <c r="M10301" s="28" t="s">
        <v>52</v>
      </c>
      <c r="N10301" s="28" t="s">
        <v>52</v>
      </c>
    </row>
    <row r="10302" spans="1:14" x14ac:dyDescent="0.15">
      <c r="A10302" s="23" t="str">
        <f>HYPERLINK("https://www.spark-marketing.ru/Card/Person/135442", "МКУ ДО ""СУЗУНСКАЯ ДЮСШ""")</f>
        <v>МКУ ДО "СУЗУНСКАЯ ДЮСШ"</v>
      </c>
      <c r="B10302" s="24" t="s">
        <v>12756</v>
      </c>
      <c r="C10302" s="25">
        <v>12500</v>
      </c>
      <c r="D10302" s="22" t="s">
        <v>12757</v>
      </c>
      <c r="E10302" s="22" t="s">
        <v>208</v>
      </c>
      <c r="F10302" s="23" t="str">
        <f>HYPERLINK("https://www.spark-marketing.ru/Card/Lot/69512976", "Услуги по монтажу кнопки тревожной сигнализации")</f>
        <v>Услуги по монтажу кнопки тревожной сигнализации</v>
      </c>
      <c r="G10302" s="22" t="s">
        <v>209</v>
      </c>
      <c r="H10302" s="22" t="s">
        <v>5208</v>
      </c>
      <c r="I10302" s="26">
        <v>43560.2368055556</v>
      </c>
      <c r="J10302" s="28" t="s">
        <v>52</v>
      </c>
      <c r="K10302" s="28" t="s">
        <v>52</v>
      </c>
      <c r="L10302" s="28" t="s">
        <v>52</v>
      </c>
      <c r="M10302" s="28" t="s">
        <v>52</v>
      </c>
      <c r="N10302" s="28" t="s">
        <v>52</v>
      </c>
    </row>
    <row r="10303" spans="1:14" x14ac:dyDescent="0.15">
      <c r="A10303" s="23" t="str">
        <f>HYPERLINK("https://www.spark-marketing.ru/Card/Person/1070054", "МКДОУ"" ШАЙДУРОВСКИЙ ДЕТСКИЙ САД""")</f>
        <v>МКДОУ" ШАЙДУРОВСКИЙ ДЕТСКИЙ САД"</v>
      </c>
      <c r="B10303" s="24" t="s">
        <v>12584</v>
      </c>
      <c r="C10303" s="25">
        <v>12500</v>
      </c>
      <c r="D10303" s="22" t="s">
        <v>12758</v>
      </c>
      <c r="E10303" s="22" t="s">
        <v>59</v>
      </c>
      <c r="F10303" s="23" t="str">
        <f>HYPERLINK("https://www.spark-marketing.ru/Card/Lot/69512692", "ЭЛ.магазин на оказание услуг по монтажу кнопки тревожной сигнализации")</f>
        <v>ЭЛ.магазин на оказание услуг по монтажу кнопки тревожной сигнализации</v>
      </c>
      <c r="G10303" s="22" t="s">
        <v>209</v>
      </c>
      <c r="H10303" s="22" t="s">
        <v>5208</v>
      </c>
      <c r="I10303" s="26">
        <v>43560.206250000003</v>
      </c>
      <c r="J10303" s="28" t="s">
        <v>52</v>
      </c>
      <c r="K10303" s="28" t="s">
        <v>52</v>
      </c>
      <c r="L10303" s="28" t="s">
        <v>52</v>
      </c>
      <c r="M10303" s="28" t="s">
        <v>52</v>
      </c>
      <c r="N10303" s="28" t="s">
        <v>52</v>
      </c>
    </row>
    <row r="10304" spans="1:14" x14ac:dyDescent="0.15">
      <c r="A10304" s="23" t="str">
        <f>HYPERLINK("https://www.spark-marketing.ru/Card/Person/6450322", "ЗАКАЗЧИК РП БЕЛАРУСЬ")</f>
        <v>ЗАКАЗЧИК РП БЕЛАРУСЬ</v>
      </c>
      <c r="B10304" s="28" t="s">
        <v>52</v>
      </c>
      <c r="C10304" s="25">
        <v>182974.8</v>
      </c>
      <c r="D10304" s="22" t="s">
        <v>12759</v>
      </c>
      <c r="E10304" s="22" t="s">
        <v>53</v>
      </c>
      <c r="F10304" s="23" t="str">
        <f>HYPERLINK("https://www.spark-marketing.ru/Card/Lot/69523395", "Установка системы видеонаблюдения на ОАО «Лидский литейно-механический завод»")</f>
        <v>Установка системы видеонаблюдения на ОАО «Лидский литейно-механический завод»</v>
      </c>
      <c r="G10304" s="22" t="s">
        <v>52</v>
      </c>
      <c r="H10304" s="22" t="s">
        <v>52</v>
      </c>
      <c r="I10304" s="26">
        <v>43560</v>
      </c>
      <c r="J10304" s="28" t="s">
        <v>52</v>
      </c>
      <c r="K10304" s="28" t="s">
        <v>52</v>
      </c>
      <c r="L10304" s="28" t="s">
        <v>52</v>
      </c>
      <c r="M10304" s="28" t="s">
        <v>52</v>
      </c>
      <c r="N10304" s="28" t="s">
        <v>52</v>
      </c>
    </row>
    <row r="10305" spans="1:14" x14ac:dyDescent="0.15">
      <c r="A10305" s="23" t="str">
        <f t="shared" ref="A10305:A10336" si="483">HYPERLINK("https://www.spark-marketing.ru/Card/Person/1752716", "ООО ""СК ЭКОСТРОЙ""")</f>
        <v>ООО "СК ЭКОСТРОЙ"</v>
      </c>
      <c r="B10305" s="24" t="s">
        <v>3305</v>
      </c>
      <c r="C10305" s="25">
        <v>0</v>
      </c>
      <c r="D10305" s="22" t="s">
        <v>12760</v>
      </c>
      <c r="E10305" s="22" t="s">
        <v>53</v>
      </c>
      <c r="F10305" s="23" t="str">
        <f>HYPERLINK("https://www.spark-marketing.ru/Card/Lot/69513877", "Угловая секция 90 85х100")</f>
        <v>Угловая секция 90 85х100</v>
      </c>
      <c r="G10305" s="22" t="s">
        <v>204</v>
      </c>
      <c r="H10305" s="22" t="s">
        <v>303</v>
      </c>
      <c r="I10305" s="26">
        <v>43559.708391203698</v>
      </c>
      <c r="J10305" s="28" t="s">
        <v>52</v>
      </c>
      <c r="K10305" s="28" t="s">
        <v>52</v>
      </c>
      <c r="L10305" s="28" t="s">
        <v>52</v>
      </c>
      <c r="M10305" s="28" t="s">
        <v>52</v>
      </c>
      <c r="N10305" s="28" t="s">
        <v>52</v>
      </c>
    </row>
    <row r="10306" spans="1:14" x14ac:dyDescent="0.15">
      <c r="A10306" s="23" t="str">
        <f t="shared" si="483"/>
        <v>ООО "СК ЭКОСТРОЙ"</v>
      </c>
      <c r="B10306" s="24" t="s">
        <v>3305</v>
      </c>
      <c r="C10306" s="25">
        <v>0</v>
      </c>
      <c r="D10306" s="22" t="s">
        <v>12760</v>
      </c>
      <c r="E10306" s="22" t="s">
        <v>53</v>
      </c>
      <c r="F10306" s="23" t="str">
        <f>HYPERLINK("https://www.spark-marketing.ru/Card/Lot/69513880", "Крышка Т-образного соединения 100 мм")</f>
        <v>Крышка Т-образного соединения 100 мм</v>
      </c>
      <c r="G10306" s="22" t="s">
        <v>204</v>
      </c>
      <c r="H10306" s="22" t="s">
        <v>303</v>
      </c>
      <c r="I10306" s="26">
        <v>43559.708391203698</v>
      </c>
      <c r="J10306" s="28" t="s">
        <v>52</v>
      </c>
      <c r="K10306" s="28" t="s">
        <v>52</v>
      </c>
      <c r="L10306" s="28" t="s">
        <v>52</v>
      </c>
      <c r="M10306" s="28" t="s">
        <v>52</v>
      </c>
      <c r="N10306" s="28" t="s">
        <v>52</v>
      </c>
    </row>
    <row r="10307" spans="1:14" x14ac:dyDescent="0.15">
      <c r="A10307" s="23" t="str">
        <f t="shared" si="483"/>
        <v>ООО "СК ЭКОСТРОЙ"</v>
      </c>
      <c r="B10307" s="24" t="s">
        <v>3305</v>
      </c>
      <c r="C10307" s="25">
        <v>0</v>
      </c>
      <c r="D10307" s="22" t="s">
        <v>12760</v>
      </c>
      <c r="E10307" s="22" t="s">
        <v>53</v>
      </c>
      <c r="F10307" s="23" t="str">
        <f>HYPERLINK("https://www.spark-marketing.ru/Card/Lot/69513868", "Гайка скользящая М10")</f>
        <v>Гайка скользящая М10</v>
      </c>
      <c r="G10307" s="22" t="s">
        <v>204</v>
      </c>
      <c r="H10307" s="22" t="s">
        <v>303</v>
      </c>
      <c r="I10307" s="26">
        <v>43559.708391203698</v>
      </c>
      <c r="J10307" s="28" t="s">
        <v>52</v>
      </c>
      <c r="K10307" s="28" t="s">
        <v>52</v>
      </c>
      <c r="L10307" s="28" t="s">
        <v>52</v>
      </c>
      <c r="M10307" s="28" t="s">
        <v>52</v>
      </c>
      <c r="N10307" s="28" t="s">
        <v>52</v>
      </c>
    </row>
    <row r="10308" spans="1:14" x14ac:dyDescent="0.15">
      <c r="A10308" s="23" t="str">
        <f t="shared" si="483"/>
        <v>ООО "СК ЭКОСТРОЙ"</v>
      </c>
      <c r="B10308" s="24" t="s">
        <v>3305</v>
      </c>
      <c r="C10308" s="25">
        <v>0</v>
      </c>
      <c r="D10308" s="22" t="s">
        <v>12760</v>
      </c>
      <c r="E10308" s="22" t="s">
        <v>53</v>
      </c>
      <c r="F10308" s="23" t="str">
        <f>HYPERLINK("https://www.spark-marketing.ru/Card/Lot/69513986", "Соединитель полосы крестовой")</f>
        <v>Соединитель полосы крестовой</v>
      </c>
      <c r="G10308" s="22" t="s">
        <v>204</v>
      </c>
      <c r="H10308" s="22" t="s">
        <v>303</v>
      </c>
      <c r="I10308" s="26">
        <v>43559.708391203698</v>
      </c>
      <c r="J10308" s="28" t="s">
        <v>52</v>
      </c>
      <c r="K10308" s="28" t="s">
        <v>52</v>
      </c>
      <c r="L10308" s="28" t="s">
        <v>52</v>
      </c>
      <c r="M10308" s="28" t="s">
        <v>52</v>
      </c>
      <c r="N10308" s="28" t="s">
        <v>52</v>
      </c>
    </row>
    <row r="10309" spans="1:14" x14ac:dyDescent="0.15">
      <c r="A10309" s="23" t="str">
        <f t="shared" si="483"/>
        <v>ООО "СК ЭКОСТРОЙ"</v>
      </c>
      <c r="B10309" s="24" t="s">
        <v>3305</v>
      </c>
      <c r="C10309" s="25">
        <v>0</v>
      </c>
      <c r="D10309" s="22" t="s">
        <v>12761</v>
      </c>
      <c r="E10309" s="22" t="s">
        <v>53</v>
      </c>
      <c r="F10309" s="23" t="str">
        <f>HYPERLINK("https://www.spark-marketing.ru/Card/Lot/69514269", "Насадка для забивания стержней заземления")</f>
        <v>Насадка для забивания стержней заземления</v>
      </c>
      <c r="G10309" s="22" t="s">
        <v>204</v>
      </c>
      <c r="H10309" s="22" t="s">
        <v>303</v>
      </c>
      <c r="I10309" s="26">
        <v>43559.709641203699</v>
      </c>
      <c r="J10309" s="28" t="s">
        <v>52</v>
      </c>
      <c r="K10309" s="28" t="s">
        <v>52</v>
      </c>
      <c r="L10309" s="28" t="s">
        <v>52</v>
      </c>
      <c r="M10309" s="28" t="s">
        <v>52</v>
      </c>
      <c r="N10309" s="28" t="s">
        <v>52</v>
      </c>
    </row>
    <row r="10310" spans="1:14" x14ac:dyDescent="0.15">
      <c r="A10310" s="23" t="str">
        <f t="shared" si="483"/>
        <v>ООО "СК ЭКОСТРОЙ"</v>
      </c>
      <c r="B10310" s="24" t="s">
        <v>3305</v>
      </c>
      <c r="C10310" s="25">
        <v>0</v>
      </c>
      <c r="D10310" s="22" t="s">
        <v>12760</v>
      </c>
      <c r="E10310" s="22" t="s">
        <v>53</v>
      </c>
      <c r="F10310" s="23" t="str">
        <f>HYPERLINK("https://www.spark-marketing.ru/Card/Lot/69515676", "Кнопка управления ""I-O"" сдвоенная с подсветкой (20 шт)")</f>
        <v>Кнопка управления "I-O" сдвоенная с подсветкой (20 шт)</v>
      </c>
      <c r="G10310" s="22" t="s">
        <v>204</v>
      </c>
      <c r="H10310" s="22" t="s">
        <v>303</v>
      </c>
      <c r="I10310" s="26">
        <v>43559.708391203698</v>
      </c>
      <c r="J10310" s="28" t="s">
        <v>52</v>
      </c>
      <c r="K10310" s="28" t="s">
        <v>52</v>
      </c>
      <c r="L10310" s="28" t="s">
        <v>52</v>
      </c>
      <c r="M10310" s="28" t="s">
        <v>52</v>
      </c>
      <c r="N10310" s="28" t="s">
        <v>52</v>
      </c>
    </row>
    <row r="10311" spans="1:14" x14ac:dyDescent="0.15">
      <c r="A10311" s="23" t="str">
        <f t="shared" si="483"/>
        <v>ООО "СК ЭКОСТРОЙ"</v>
      </c>
      <c r="B10311" s="24" t="s">
        <v>3305</v>
      </c>
      <c r="C10311" s="25">
        <v>0</v>
      </c>
      <c r="D10311" s="22" t="s">
        <v>12760</v>
      </c>
      <c r="E10311" s="22" t="s">
        <v>53</v>
      </c>
      <c r="F10311" s="23" t="str">
        <f>HYPERLINK("https://www.spark-marketing.ru/Card/Lot/69513883", "Труба полиэтиленовая d=100 мм")</f>
        <v>Труба полиэтиленовая d=100 мм</v>
      </c>
      <c r="G10311" s="22" t="s">
        <v>204</v>
      </c>
      <c r="H10311" s="22" t="s">
        <v>303</v>
      </c>
      <c r="I10311" s="26">
        <v>43559.708391203698</v>
      </c>
      <c r="J10311" s="28" t="s">
        <v>52</v>
      </c>
      <c r="K10311" s="28" t="s">
        <v>52</v>
      </c>
      <c r="L10311" s="28" t="s">
        <v>52</v>
      </c>
      <c r="M10311" s="28" t="s">
        <v>52</v>
      </c>
      <c r="N10311" s="28" t="s">
        <v>52</v>
      </c>
    </row>
    <row r="10312" spans="1:14" x14ac:dyDescent="0.15">
      <c r="A10312" s="23" t="str">
        <f t="shared" si="483"/>
        <v>ООО "СК ЭКОСТРОЙ"</v>
      </c>
      <c r="B10312" s="24" t="s">
        <v>3305</v>
      </c>
      <c r="C10312" s="25">
        <v>0</v>
      </c>
      <c r="D10312" s="22" t="s">
        <v>12761</v>
      </c>
      <c r="E10312" s="22" t="s">
        <v>53</v>
      </c>
      <c r="F10312" s="23" t="str">
        <f>HYPERLINK("https://www.spark-marketing.ru/Card/Lot/69514259", "Шайба М8")</f>
        <v>Шайба М8</v>
      </c>
      <c r="G10312" s="22" t="s">
        <v>204</v>
      </c>
      <c r="H10312" s="22" t="s">
        <v>303</v>
      </c>
      <c r="I10312" s="26">
        <v>43559.709641203699</v>
      </c>
      <c r="J10312" s="28" t="s">
        <v>52</v>
      </c>
      <c r="K10312" s="28" t="s">
        <v>52</v>
      </c>
      <c r="L10312" s="28" t="s">
        <v>52</v>
      </c>
      <c r="M10312" s="28" t="s">
        <v>52</v>
      </c>
      <c r="N10312" s="28" t="s">
        <v>52</v>
      </c>
    </row>
    <row r="10313" spans="1:14" x14ac:dyDescent="0.15">
      <c r="A10313" s="23" t="str">
        <f t="shared" si="483"/>
        <v>ООО "СК ЭКОСТРОЙ"</v>
      </c>
      <c r="B10313" s="24" t="s">
        <v>3305</v>
      </c>
      <c r="C10313" s="25">
        <v>0</v>
      </c>
      <c r="D10313" s="22" t="s">
        <v>12760</v>
      </c>
      <c r="E10313" s="22" t="s">
        <v>53</v>
      </c>
      <c r="F10313" s="23" t="str">
        <f>HYPERLINK("https://www.spark-marketing.ru/Card/Lot/69513857", "Зажим наборный ЗНИ-10 мм2 (JXB70A) серый (20 шт)")</f>
        <v>Зажим наборный ЗНИ-10 мм2 (JXB70A) серый (20 шт)</v>
      </c>
      <c r="G10313" s="22" t="s">
        <v>204</v>
      </c>
      <c r="H10313" s="22" t="s">
        <v>303</v>
      </c>
      <c r="I10313" s="26">
        <v>43559.708391203698</v>
      </c>
      <c r="J10313" s="28" t="s">
        <v>52</v>
      </c>
      <c r="K10313" s="28" t="s">
        <v>52</v>
      </c>
      <c r="L10313" s="28" t="s">
        <v>52</v>
      </c>
      <c r="M10313" s="28" t="s">
        <v>52</v>
      </c>
      <c r="N10313" s="28" t="s">
        <v>52</v>
      </c>
    </row>
    <row r="10314" spans="1:14" x14ac:dyDescent="0.15">
      <c r="A10314" s="23" t="str">
        <f t="shared" si="483"/>
        <v>ООО "СК ЭКОСТРОЙ"</v>
      </c>
      <c r="B10314" s="24" t="s">
        <v>3305</v>
      </c>
      <c r="C10314" s="25">
        <v>0</v>
      </c>
      <c r="D10314" s="22" t="s">
        <v>12760</v>
      </c>
      <c r="E10314" s="22" t="s">
        <v>53</v>
      </c>
      <c r="F10314" s="23" t="str">
        <f>HYPERLINK("https://www.spark-marketing.ru/Card/Lot/69513862", "Кабель силовой с медными жилами с ПВХ-оболочкой и изоляцией, не распространяющий горение, сечением 3х1,5 мм2")</f>
        <v>Кабель силовой с медными жилами с ПВХ-оболочкой и изоляцией, не распространяющий горение, сечением 3х1,5 мм2</v>
      </c>
      <c r="G10314" s="22" t="s">
        <v>204</v>
      </c>
      <c r="H10314" s="22" t="s">
        <v>303</v>
      </c>
      <c r="I10314" s="26">
        <v>43559.708391203698</v>
      </c>
      <c r="J10314" s="28" t="s">
        <v>52</v>
      </c>
      <c r="K10314" s="28" t="s">
        <v>52</v>
      </c>
      <c r="L10314" s="28" t="s">
        <v>52</v>
      </c>
      <c r="M10314" s="28" t="s">
        <v>52</v>
      </c>
      <c r="N10314" s="28" t="s">
        <v>52</v>
      </c>
    </row>
    <row r="10315" spans="1:14" x14ac:dyDescent="0.15">
      <c r="A10315" s="23" t="str">
        <f t="shared" si="483"/>
        <v>ООО "СК ЭКОСТРОЙ"</v>
      </c>
      <c r="B10315" s="24" t="s">
        <v>3305</v>
      </c>
      <c r="C10315" s="25">
        <v>0</v>
      </c>
      <c r="D10315" s="22" t="s">
        <v>12760</v>
      </c>
      <c r="E10315" s="22" t="s">
        <v>53</v>
      </c>
      <c r="F10315" s="23" t="str">
        <f>HYPERLINK("https://www.spark-marketing.ru/Card/Lot/69513873", "Шарнирный соединитель кабельного листового лотка 85х270")</f>
        <v>Шарнирный соединитель кабельного листового лотка 85х270</v>
      </c>
      <c r="G10315" s="22" t="s">
        <v>204</v>
      </c>
      <c r="H10315" s="22" t="s">
        <v>303</v>
      </c>
      <c r="I10315" s="26">
        <v>43559.708391203698</v>
      </c>
      <c r="J10315" s="28" t="s">
        <v>52</v>
      </c>
      <c r="K10315" s="28" t="s">
        <v>52</v>
      </c>
      <c r="L10315" s="28" t="s">
        <v>52</v>
      </c>
      <c r="M10315" s="28" t="s">
        <v>52</v>
      </c>
      <c r="N10315" s="28" t="s">
        <v>52</v>
      </c>
    </row>
    <row r="10316" spans="1:14" x14ac:dyDescent="0.15">
      <c r="A10316" s="23" t="str">
        <f t="shared" si="483"/>
        <v>ООО "СК ЭКОСТРОЙ"</v>
      </c>
      <c r="B10316" s="24" t="s">
        <v>3305</v>
      </c>
      <c r="C10316" s="25">
        <v>0</v>
      </c>
      <c r="D10316" s="22" t="s">
        <v>12760</v>
      </c>
      <c r="E10316" s="22" t="s">
        <v>53</v>
      </c>
      <c r="F10316" s="23" t="str">
        <f>HYPERLINK("https://www.spark-marketing.ru/Card/Lot/69513991", "Болт с плоской головкой М 8-35")</f>
        <v>Болт с плоской головкой М 8-35</v>
      </c>
      <c r="G10316" s="22" t="s">
        <v>204</v>
      </c>
      <c r="H10316" s="22" t="s">
        <v>303</v>
      </c>
      <c r="I10316" s="26">
        <v>43559.708391203698</v>
      </c>
      <c r="J10316" s="28" t="s">
        <v>52</v>
      </c>
      <c r="K10316" s="28" t="s">
        <v>52</v>
      </c>
      <c r="L10316" s="28" t="s">
        <v>52</v>
      </c>
      <c r="M10316" s="28" t="s">
        <v>52</v>
      </c>
      <c r="N10316" s="28" t="s">
        <v>52</v>
      </c>
    </row>
    <row r="10317" spans="1:14" x14ac:dyDescent="0.15">
      <c r="A10317" s="23" t="str">
        <f t="shared" si="483"/>
        <v>ООО "СК ЭКОСТРОЙ"</v>
      </c>
      <c r="B10317" s="24" t="s">
        <v>3305</v>
      </c>
      <c r="C10317" s="25">
        <v>0</v>
      </c>
      <c r="D10317" s="22" t="s">
        <v>12760</v>
      </c>
      <c r="E10317" s="22" t="s">
        <v>53</v>
      </c>
      <c r="F10317" s="23" t="str">
        <f>HYPERLINK("https://www.spark-marketing.ru/Card/Lot/69513994", "Извещатель охранный (датчик открытия двери)")</f>
        <v>Извещатель охранный (датчик открытия двери)</v>
      </c>
      <c r="G10317" s="22" t="s">
        <v>204</v>
      </c>
      <c r="H10317" s="22" t="s">
        <v>303</v>
      </c>
      <c r="I10317" s="26">
        <v>43559.708391203698</v>
      </c>
      <c r="J10317" s="28" t="s">
        <v>52</v>
      </c>
      <c r="K10317" s="28" t="s">
        <v>52</v>
      </c>
      <c r="L10317" s="28" t="s">
        <v>52</v>
      </c>
      <c r="M10317" s="28" t="s">
        <v>52</v>
      </c>
      <c r="N10317" s="28" t="s">
        <v>52</v>
      </c>
    </row>
    <row r="10318" spans="1:14" x14ac:dyDescent="0.15">
      <c r="A10318" s="23" t="str">
        <f t="shared" si="483"/>
        <v>ООО "СК ЭКОСТРОЙ"</v>
      </c>
      <c r="B10318" s="24" t="s">
        <v>3305</v>
      </c>
      <c r="C10318" s="25">
        <v>0</v>
      </c>
      <c r="D10318" s="22" t="s">
        <v>12761</v>
      </c>
      <c r="E10318" s="22" t="s">
        <v>53</v>
      </c>
      <c r="F10318" s="23" t="str">
        <f>HYPERLINK("https://www.spark-marketing.ru/Card/Lot/69514010", "Зажим наборный ЗНИ-2,5 мм2(JXB24A) серый")</f>
        <v>Зажим наборный ЗНИ-2,5 мм2(JXB24A) серый</v>
      </c>
      <c r="G10318" s="22" t="s">
        <v>204</v>
      </c>
      <c r="H10318" s="22" t="s">
        <v>303</v>
      </c>
      <c r="I10318" s="26">
        <v>43559.709641203699</v>
      </c>
      <c r="J10318" s="28" t="s">
        <v>52</v>
      </c>
      <c r="K10318" s="28" t="s">
        <v>52</v>
      </c>
      <c r="L10318" s="28" t="s">
        <v>52</v>
      </c>
      <c r="M10318" s="28" t="s">
        <v>52</v>
      </c>
      <c r="N10318" s="28" t="s">
        <v>52</v>
      </c>
    </row>
    <row r="10319" spans="1:14" x14ac:dyDescent="0.15">
      <c r="A10319" s="23" t="str">
        <f t="shared" si="483"/>
        <v>ООО "СК ЭКОСТРОЙ"</v>
      </c>
      <c r="B10319" s="24" t="s">
        <v>3305</v>
      </c>
      <c r="C10319" s="25">
        <v>0</v>
      </c>
      <c r="D10319" s="22" t="s">
        <v>12761</v>
      </c>
      <c r="E10319" s="22" t="s">
        <v>53</v>
      </c>
      <c r="F10319" s="23" t="str">
        <f>HYPERLINK("https://www.spark-marketing.ru/Card/Lot/69514268", "Наконечник стержня заземления")</f>
        <v>Наконечник стержня заземления</v>
      </c>
      <c r="G10319" s="22" t="s">
        <v>204</v>
      </c>
      <c r="H10319" s="22" t="s">
        <v>303</v>
      </c>
      <c r="I10319" s="26">
        <v>43559.709641203699</v>
      </c>
      <c r="J10319" s="28" t="s">
        <v>52</v>
      </c>
      <c r="K10319" s="28" t="s">
        <v>52</v>
      </c>
      <c r="L10319" s="28" t="s">
        <v>52</v>
      </c>
      <c r="M10319" s="28" t="s">
        <v>52</v>
      </c>
      <c r="N10319" s="28" t="s">
        <v>52</v>
      </c>
    </row>
    <row r="10320" spans="1:14" x14ac:dyDescent="0.15">
      <c r="A10320" s="23" t="str">
        <f t="shared" si="483"/>
        <v>ООО "СК ЭКОСТРОЙ"</v>
      </c>
      <c r="B10320" s="24" t="s">
        <v>3305</v>
      </c>
      <c r="C10320" s="25">
        <v>0</v>
      </c>
      <c r="D10320" s="22" t="s">
        <v>12761</v>
      </c>
      <c r="E10320" s="22" t="s">
        <v>53</v>
      </c>
      <c r="F10320" s="23" t="str">
        <f>HYPERLINK("https://www.spark-marketing.ru/Card/Lot/69514272", "Устройство контроля доступа и наличия напряжения")</f>
        <v>Устройство контроля доступа и наличия напряжения</v>
      </c>
      <c r="G10320" s="22" t="s">
        <v>204</v>
      </c>
      <c r="H10320" s="22" t="s">
        <v>303</v>
      </c>
      <c r="I10320" s="26">
        <v>43559.709641203699</v>
      </c>
      <c r="J10320" s="28" t="s">
        <v>52</v>
      </c>
      <c r="K10320" s="28" t="s">
        <v>52</v>
      </c>
      <c r="L10320" s="28" t="s">
        <v>52</v>
      </c>
      <c r="M10320" s="28" t="s">
        <v>52</v>
      </c>
      <c r="N10320" s="28" t="s">
        <v>52</v>
      </c>
    </row>
    <row r="10321" spans="1:14" x14ac:dyDescent="0.15">
      <c r="A10321" s="23" t="str">
        <f t="shared" si="483"/>
        <v>ООО "СК ЭКОСТРОЙ"</v>
      </c>
      <c r="B10321" s="24" t="s">
        <v>3305</v>
      </c>
      <c r="C10321" s="25">
        <v>0</v>
      </c>
      <c r="D10321" s="22" t="s">
        <v>12761</v>
      </c>
      <c r="E10321" s="22" t="s">
        <v>53</v>
      </c>
      <c r="F10321" s="23" t="str">
        <f>HYPERLINK("https://www.spark-marketing.ru/Card/Lot/69514274", "Кабель контрольный для систем охранной сигнализации негорючий сечением 1х2х0,5 мм")</f>
        <v>Кабель контрольный для систем охранной сигнализации негорючий сечением 1х2х0,5 мм</v>
      </c>
      <c r="G10321" s="22" t="s">
        <v>204</v>
      </c>
      <c r="H10321" s="22" t="s">
        <v>303</v>
      </c>
      <c r="I10321" s="26">
        <v>43559.709641203699</v>
      </c>
      <c r="J10321" s="28" t="s">
        <v>52</v>
      </c>
      <c r="K10321" s="28" t="s">
        <v>52</v>
      </c>
      <c r="L10321" s="28" t="s">
        <v>52</v>
      </c>
      <c r="M10321" s="28" t="s">
        <v>52</v>
      </c>
      <c r="N10321" s="28" t="s">
        <v>52</v>
      </c>
    </row>
    <row r="10322" spans="1:14" x14ac:dyDescent="0.15">
      <c r="A10322" s="23" t="str">
        <f t="shared" si="483"/>
        <v>ООО "СК ЭКОСТРОЙ"</v>
      </c>
      <c r="B10322" s="24" t="s">
        <v>3305</v>
      </c>
      <c r="C10322" s="25">
        <v>0</v>
      </c>
      <c r="D10322" s="22" t="s">
        <v>12760</v>
      </c>
      <c r="E10322" s="22" t="s">
        <v>53</v>
      </c>
      <c r="F10322" s="23" t="str">
        <f>HYPERLINK("https://www.spark-marketing.ru/Card/Lot/69513859", "Кронштейн регулируемый разм. 200х355х75 мм")</f>
        <v>Кронштейн регулируемый разм. 200х355х75 мм</v>
      </c>
      <c r="G10322" s="22" t="s">
        <v>204</v>
      </c>
      <c r="H10322" s="22" t="s">
        <v>303</v>
      </c>
      <c r="I10322" s="26">
        <v>43559.708391203698</v>
      </c>
      <c r="J10322" s="28" t="s">
        <v>52</v>
      </c>
      <c r="K10322" s="28" t="s">
        <v>52</v>
      </c>
      <c r="L10322" s="28" t="s">
        <v>52</v>
      </c>
      <c r="M10322" s="28" t="s">
        <v>52</v>
      </c>
      <c r="N10322" s="28" t="s">
        <v>52</v>
      </c>
    </row>
    <row r="10323" spans="1:14" x14ac:dyDescent="0.15">
      <c r="A10323" s="23" t="str">
        <f t="shared" si="483"/>
        <v>ООО "СК ЭКОСТРОЙ"</v>
      </c>
      <c r="B10323" s="24" t="s">
        <v>3305</v>
      </c>
      <c r="C10323" s="25">
        <v>0</v>
      </c>
      <c r="D10323" s="22" t="s">
        <v>12760</v>
      </c>
      <c r="E10323" s="22" t="s">
        <v>53</v>
      </c>
      <c r="F10323" s="23" t="str">
        <f>HYPERLINK("https://www.spark-marketing.ru/Card/Lot/69513992", "Заземляющий проводник гибкий сечением 16 мм с обжимными клеммами")</f>
        <v>Заземляющий проводник гибкий сечением 16 мм с обжимными клеммами</v>
      </c>
      <c r="G10323" s="22" t="s">
        <v>204</v>
      </c>
      <c r="H10323" s="22" t="s">
        <v>303</v>
      </c>
      <c r="I10323" s="26">
        <v>43559.708391203698</v>
      </c>
      <c r="J10323" s="28" t="s">
        <v>52</v>
      </c>
      <c r="K10323" s="28" t="s">
        <v>52</v>
      </c>
      <c r="L10323" s="28" t="s">
        <v>52</v>
      </c>
      <c r="M10323" s="28" t="s">
        <v>52</v>
      </c>
      <c r="N10323" s="28" t="s">
        <v>52</v>
      </c>
    </row>
    <row r="10324" spans="1:14" x14ac:dyDescent="0.15">
      <c r="A10324" s="23" t="str">
        <f t="shared" si="483"/>
        <v>ООО "СК ЭКОСТРОЙ"</v>
      </c>
      <c r="B10324" s="24" t="s">
        <v>3305</v>
      </c>
      <c r="C10324" s="25">
        <v>0</v>
      </c>
      <c r="D10324" s="22" t="s">
        <v>12761</v>
      </c>
      <c r="E10324" s="22" t="s">
        <v>53</v>
      </c>
      <c r="F10324" s="23" t="str">
        <f>HYPERLINK("https://www.spark-marketing.ru/Card/Lot/69514012", "Зажим наборный ЗНИ-10 мм2(JXB70А) серый")</f>
        <v>Зажим наборный ЗНИ-10 мм2(JXB70А) серый</v>
      </c>
      <c r="G10324" s="22" t="s">
        <v>204</v>
      </c>
      <c r="H10324" s="22" t="s">
        <v>303</v>
      </c>
      <c r="I10324" s="26">
        <v>43559.709641203699</v>
      </c>
      <c r="J10324" s="28" t="s">
        <v>52</v>
      </c>
      <c r="K10324" s="28" t="s">
        <v>52</v>
      </c>
      <c r="L10324" s="28" t="s">
        <v>52</v>
      </c>
      <c r="M10324" s="28" t="s">
        <v>52</v>
      </c>
      <c r="N10324" s="28" t="s">
        <v>52</v>
      </c>
    </row>
    <row r="10325" spans="1:14" x14ac:dyDescent="0.15">
      <c r="A10325" s="23" t="str">
        <f t="shared" si="483"/>
        <v>ООО "СК ЭКОСТРОЙ"</v>
      </c>
      <c r="B10325" s="24" t="s">
        <v>3305</v>
      </c>
      <c r="C10325" s="25">
        <v>0</v>
      </c>
      <c r="D10325" s="22" t="s">
        <v>12761</v>
      </c>
      <c r="E10325" s="22" t="s">
        <v>53</v>
      </c>
      <c r="F10325" s="23" t="str">
        <f>HYPERLINK("https://www.spark-marketing.ru/Card/Lot/69514121", "Кабель силовой с медными жилами с ПВХ-оболочкой и изоляцией, не распространяющий горение, сечением 5х10,0 мм2")</f>
        <v>Кабель силовой с медными жилами с ПВХ-оболочкой и изоляцией, не распространяющий горение, сечением 5х10,0 мм2</v>
      </c>
      <c r="G10325" s="22" t="s">
        <v>204</v>
      </c>
      <c r="H10325" s="22" t="s">
        <v>303</v>
      </c>
      <c r="I10325" s="26">
        <v>43559.709641203699</v>
      </c>
      <c r="J10325" s="28" t="s">
        <v>52</v>
      </c>
      <c r="K10325" s="28" t="s">
        <v>52</v>
      </c>
      <c r="L10325" s="28" t="s">
        <v>52</v>
      </c>
      <c r="M10325" s="28" t="s">
        <v>52</v>
      </c>
      <c r="N10325" s="28" t="s">
        <v>52</v>
      </c>
    </row>
    <row r="10326" spans="1:14" x14ac:dyDescent="0.15">
      <c r="A10326" s="23" t="str">
        <f t="shared" si="483"/>
        <v>ООО "СК ЭКОСТРОЙ"</v>
      </c>
      <c r="B10326" s="24" t="s">
        <v>3305</v>
      </c>
      <c r="C10326" s="25">
        <v>0</v>
      </c>
      <c r="D10326" s="22" t="s">
        <v>12761</v>
      </c>
      <c r="E10326" s="22" t="s">
        <v>53</v>
      </c>
      <c r="F10326" s="23" t="str">
        <f>HYPERLINK("https://www.spark-marketing.ru/Card/Lot/69514136", "Шарнирный соединитель кабельного листового лотка 85х270")</f>
        <v>Шарнирный соединитель кабельного листового лотка 85х270</v>
      </c>
      <c r="G10326" s="22" t="s">
        <v>204</v>
      </c>
      <c r="H10326" s="22" t="s">
        <v>303</v>
      </c>
      <c r="I10326" s="26">
        <v>43559.709641203699</v>
      </c>
      <c r="J10326" s="28" t="s">
        <v>52</v>
      </c>
      <c r="K10326" s="28" t="s">
        <v>52</v>
      </c>
      <c r="L10326" s="28" t="s">
        <v>52</v>
      </c>
      <c r="M10326" s="28" t="s">
        <v>52</v>
      </c>
      <c r="N10326" s="28" t="s">
        <v>52</v>
      </c>
    </row>
    <row r="10327" spans="1:14" x14ac:dyDescent="0.15">
      <c r="A10327" s="23" t="str">
        <f t="shared" si="483"/>
        <v>ООО "СК ЭКОСТРОЙ"</v>
      </c>
      <c r="B10327" s="24" t="s">
        <v>3305</v>
      </c>
      <c r="C10327" s="25">
        <v>0</v>
      </c>
      <c r="D10327" s="22" t="s">
        <v>12761</v>
      </c>
      <c r="E10327" s="22" t="s">
        <v>53</v>
      </c>
      <c r="F10327" s="23" t="str">
        <f>HYPERLINK("https://www.spark-marketing.ru/Card/Lot/69514137", "U-образная профильная рейка 50х50х6000 мм")</f>
        <v>U-образная профильная рейка 50х50х6000 мм</v>
      </c>
      <c r="G10327" s="22" t="s">
        <v>204</v>
      </c>
      <c r="H10327" s="22" t="s">
        <v>303</v>
      </c>
      <c r="I10327" s="26">
        <v>43559.709641203699</v>
      </c>
      <c r="J10327" s="28" t="s">
        <v>52</v>
      </c>
      <c r="K10327" s="28" t="s">
        <v>52</v>
      </c>
      <c r="L10327" s="28" t="s">
        <v>52</v>
      </c>
      <c r="M10327" s="28" t="s">
        <v>52</v>
      </c>
      <c r="N10327" s="28" t="s">
        <v>52</v>
      </c>
    </row>
    <row r="10328" spans="1:14" x14ac:dyDescent="0.15">
      <c r="A10328" s="23" t="str">
        <f t="shared" si="483"/>
        <v>ООО "СК ЭКОСТРОЙ"</v>
      </c>
      <c r="B10328" s="24" t="s">
        <v>3305</v>
      </c>
      <c r="C10328" s="25">
        <v>0</v>
      </c>
      <c r="D10328" s="22" t="s">
        <v>12761</v>
      </c>
      <c r="E10328" s="22" t="s">
        <v>53</v>
      </c>
      <c r="F10328" s="23" t="str">
        <f>HYPERLINK("https://www.spark-marketing.ru/Card/Lot/69514265", "Соединитель полосы крестовой")</f>
        <v>Соединитель полосы крестовой</v>
      </c>
      <c r="G10328" s="22" t="s">
        <v>204</v>
      </c>
      <c r="H10328" s="22" t="s">
        <v>303</v>
      </c>
      <c r="I10328" s="26">
        <v>43559.709641203699</v>
      </c>
      <c r="J10328" s="28" t="s">
        <v>52</v>
      </c>
      <c r="K10328" s="28" t="s">
        <v>52</v>
      </c>
      <c r="L10328" s="28" t="s">
        <v>52</v>
      </c>
      <c r="M10328" s="28" t="s">
        <v>52</v>
      </c>
      <c r="N10328" s="28" t="s">
        <v>52</v>
      </c>
    </row>
    <row r="10329" spans="1:14" x14ac:dyDescent="0.15">
      <c r="A10329" s="23" t="str">
        <f t="shared" si="483"/>
        <v>ООО "СК ЭКОСТРОЙ"</v>
      </c>
      <c r="B10329" s="24" t="s">
        <v>3305</v>
      </c>
      <c r="C10329" s="25">
        <v>0</v>
      </c>
      <c r="D10329" s="22" t="s">
        <v>12760</v>
      </c>
      <c r="E10329" s="22" t="s">
        <v>53</v>
      </c>
      <c r="F10329" s="23" t="str">
        <f>HYPERLINK("https://www.spark-marketing.ru/Card/Lot/69515677", "Зажим наборный ЗНИ-2,5 мм2(JXB24A) серый (50 шт)")</f>
        <v>Зажим наборный ЗНИ-2,5 мм2(JXB24A) серый (50 шт)</v>
      </c>
      <c r="G10329" s="22" t="s">
        <v>204</v>
      </c>
      <c r="H10329" s="22" t="s">
        <v>303</v>
      </c>
      <c r="I10329" s="26">
        <v>43559.708391203698</v>
      </c>
      <c r="J10329" s="28" t="s">
        <v>52</v>
      </c>
      <c r="K10329" s="28" t="s">
        <v>52</v>
      </c>
      <c r="L10329" s="28" t="s">
        <v>52</v>
      </c>
      <c r="M10329" s="28" t="s">
        <v>52</v>
      </c>
      <c r="N10329" s="28" t="s">
        <v>52</v>
      </c>
    </row>
    <row r="10330" spans="1:14" x14ac:dyDescent="0.15">
      <c r="A10330" s="23" t="str">
        <f t="shared" si="483"/>
        <v>ООО "СК ЭКОСТРОЙ"</v>
      </c>
      <c r="B10330" s="24" t="s">
        <v>3305</v>
      </c>
      <c r="C10330" s="25">
        <v>0</v>
      </c>
      <c r="D10330" s="22" t="s">
        <v>12760</v>
      </c>
      <c r="E10330" s="22" t="s">
        <v>53</v>
      </c>
      <c r="F10330" s="23" t="str">
        <f>HYPERLINK("https://www.spark-marketing.ru/Card/Lot/69513864", "Кабель контрольный с медными жилами с оболочкой и изоляцией из ПВХ-пластиката пониженной горючести, сечением 10х1,0 мм2")</f>
        <v>Кабель контрольный с медными жилами с оболочкой и изоляцией из ПВХ-пластиката пониженной горючести, сечением 10х1,0 мм2</v>
      </c>
      <c r="G10330" s="22" t="s">
        <v>204</v>
      </c>
      <c r="H10330" s="22" t="s">
        <v>303</v>
      </c>
      <c r="I10330" s="26">
        <v>43559.708391203698</v>
      </c>
      <c r="J10330" s="28" t="s">
        <v>52</v>
      </c>
      <c r="K10330" s="28" t="s">
        <v>52</v>
      </c>
      <c r="L10330" s="28" t="s">
        <v>52</v>
      </c>
      <c r="M10330" s="28" t="s">
        <v>52</v>
      </c>
      <c r="N10330" s="28" t="s">
        <v>52</v>
      </c>
    </row>
    <row r="10331" spans="1:14" x14ac:dyDescent="0.15">
      <c r="A10331" s="23" t="str">
        <f t="shared" si="483"/>
        <v>ООО "СК ЭКОСТРОЙ"</v>
      </c>
      <c r="B10331" s="24" t="s">
        <v>3305</v>
      </c>
      <c r="C10331" s="25">
        <v>0</v>
      </c>
      <c r="D10331" s="22" t="s">
        <v>12760</v>
      </c>
      <c r="E10331" s="22" t="s">
        <v>53</v>
      </c>
      <c r="F10331" s="23" t="str">
        <f>HYPERLINK("https://www.spark-marketing.ru/Card/Lot/69513888", "Полоса из оцинк.стали 40х4")</f>
        <v>Полоса из оцинк.стали 40х4</v>
      </c>
      <c r="G10331" s="22" t="s">
        <v>204</v>
      </c>
      <c r="H10331" s="22" t="s">
        <v>303</v>
      </c>
      <c r="I10331" s="26">
        <v>43559.708391203698</v>
      </c>
      <c r="J10331" s="28" t="s">
        <v>52</v>
      </c>
      <c r="K10331" s="28" t="s">
        <v>52</v>
      </c>
      <c r="L10331" s="28" t="s">
        <v>52</v>
      </c>
      <c r="M10331" s="28" t="s">
        <v>52</v>
      </c>
      <c r="N10331" s="28" t="s">
        <v>52</v>
      </c>
    </row>
    <row r="10332" spans="1:14" x14ac:dyDescent="0.15">
      <c r="A10332" s="23" t="str">
        <f t="shared" si="483"/>
        <v>ООО "СК ЭКОСТРОЙ"</v>
      </c>
      <c r="B10332" s="24" t="s">
        <v>3305</v>
      </c>
      <c r="C10332" s="25">
        <v>0</v>
      </c>
      <c r="D10332" s="22" t="s">
        <v>12760</v>
      </c>
      <c r="E10332" s="22" t="s">
        <v>53</v>
      </c>
      <c r="F10332" s="23" t="str">
        <f>HYPERLINK("https://www.spark-marketing.ru/Card/Lot/69513990", "Насадка для забивания стержней заземления")</f>
        <v>Насадка для забивания стержней заземления</v>
      </c>
      <c r="G10332" s="22" t="s">
        <v>204</v>
      </c>
      <c r="H10332" s="22" t="s">
        <v>303</v>
      </c>
      <c r="I10332" s="26">
        <v>43559.708391203698</v>
      </c>
      <c r="J10332" s="28" t="s">
        <v>52</v>
      </c>
      <c r="K10332" s="28" t="s">
        <v>52</v>
      </c>
      <c r="L10332" s="28" t="s">
        <v>52</v>
      </c>
      <c r="M10332" s="28" t="s">
        <v>52</v>
      </c>
      <c r="N10332" s="28" t="s">
        <v>52</v>
      </c>
    </row>
    <row r="10333" spans="1:14" x14ac:dyDescent="0.15">
      <c r="A10333" s="23" t="str">
        <f t="shared" si="483"/>
        <v>ООО "СК ЭКОСТРОЙ"</v>
      </c>
      <c r="B10333" s="24" t="s">
        <v>3305</v>
      </c>
      <c r="C10333" s="25">
        <v>0</v>
      </c>
      <c r="D10333" s="22" t="s">
        <v>12761</v>
      </c>
      <c r="E10333" s="22" t="s">
        <v>53</v>
      </c>
      <c r="F10333" s="23" t="str">
        <f>HYPERLINK("https://www.spark-marketing.ru/Card/Lot/69514123", "Кабель силовой с медными жилами с ПВХ-оболочкой и изоляцией, не распространяющий горение, сечением 3х1,5 мм2")</f>
        <v>Кабель силовой с медными жилами с ПВХ-оболочкой и изоляцией, не распространяющий горение, сечением 3х1,5 мм2</v>
      </c>
      <c r="G10333" s="22" t="s">
        <v>204</v>
      </c>
      <c r="H10333" s="22" t="s">
        <v>303</v>
      </c>
      <c r="I10333" s="26">
        <v>43559.709641203699</v>
      </c>
      <c r="J10333" s="28" t="s">
        <v>52</v>
      </c>
      <c r="K10333" s="28" t="s">
        <v>52</v>
      </c>
      <c r="L10333" s="28" t="s">
        <v>52</v>
      </c>
      <c r="M10333" s="28" t="s">
        <v>52</v>
      </c>
      <c r="N10333" s="28" t="s">
        <v>52</v>
      </c>
    </row>
    <row r="10334" spans="1:14" x14ac:dyDescent="0.15">
      <c r="A10334" s="23" t="str">
        <f t="shared" si="483"/>
        <v>ООО "СК ЭКОСТРОЙ"</v>
      </c>
      <c r="B10334" s="24" t="s">
        <v>3305</v>
      </c>
      <c r="C10334" s="25">
        <v>0</v>
      </c>
      <c r="D10334" s="22" t="s">
        <v>12761</v>
      </c>
      <c r="E10334" s="22" t="s">
        <v>53</v>
      </c>
      <c r="F10334" s="23" t="str">
        <f>HYPERLINK("https://www.spark-marketing.ru/Card/Lot/69514150", "Крышка Т-образного соединения 100 мм")</f>
        <v>Крышка Т-образного соединения 100 мм</v>
      </c>
      <c r="G10334" s="22" t="s">
        <v>204</v>
      </c>
      <c r="H10334" s="22" t="s">
        <v>303</v>
      </c>
      <c r="I10334" s="26">
        <v>43559.709641203699</v>
      </c>
      <c r="J10334" s="28" t="s">
        <v>52</v>
      </c>
      <c r="K10334" s="28" t="s">
        <v>52</v>
      </c>
      <c r="L10334" s="28" t="s">
        <v>52</v>
      </c>
      <c r="M10334" s="28" t="s">
        <v>52</v>
      </c>
      <c r="N10334" s="28" t="s">
        <v>52</v>
      </c>
    </row>
    <row r="10335" spans="1:14" x14ac:dyDescent="0.15">
      <c r="A10335" s="23" t="str">
        <f t="shared" si="483"/>
        <v>ООО "СК ЭКОСТРОЙ"</v>
      </c>
      <c r="B10335" s="24" t="s">
        <v>3305</v>
      </c>
      <c r="C10335" s="25">
        <v>0</v>
      </c>
      <c r="D10335" s="22" t="s">
        <v>12760</v>
      </c>
      <c r="E10335" s="22" t="s">
        <v>53</v>
      </c>
      <c r="F10335" s="23" t="str">
        <f>HYPERLINK("https://www.spark-marketing.ru/Card/Lot/69513987", "Соединитель стержня заземления и проволоки")</f>
        <v>Соединитель стержня заземления и проволоки</v>
      </c>
      <c r="G10335" s="22" t="s">
        <v>204</v>
      </c>
      <c r="H10335" s="22" t="s">
        <v>303</v>
      </c>
      <c r="I10335" s="26">
        <v>43559.708391203698</v>
      </c>
      <c r="J10335" s="28" t="s">
        <v>52</v>
      </c>
      <c r="K10335" s="28" t="s">
        <v>52</v>
      </c>
      <c r="L10335" s="28" t="s">
        <v>52</v>
      </c>
      <c r="M10335" s="28" t="s">
        <v>52</v>
      </c>
      <c r="N10335" s="28" t="s">
        <v>52</v>
      </c>
    </row>
    <row r="10336" spans="1:14" x14ac:dyDescent="0.15">
      <c r="A10336" s="23" t="str">
        <f t="shared" si="483"/>
        <v>ООО "СК ЭКОСТРОЙ"</v>
      </c>
      <c r="B10336" s="24" t="s">
        <v>3305</v>
      </c>
      <c r="C10336" s="25">
        <v>0</v>
      </c>
      <c r="D10336" s="22" t="s">
        <v>12760</v>
      </c>
      <c r="E10336" s="22" t="s">
        <v>53</v>
      </c>
      <c r="F10336" s="23" t="str">
        <f>HYPERLINK("https://www.spark-marketing.ru/Card/Lot/69513876", "Комплект Болт+Шайба+Гайка М10х120")</f>
        <v>Комплект Болт+Шайба+Гайка М10х120</v>
      </c>
      <c r="G10336" s="22" t="s">
        <v>204</v>
      </c>
      <c r="H10336" s="22" t="s">
        <v>303</v>
      </c>
      <c r="I10336" s="26">
        <v>43559.708391203698</v>
      </c>
      <c r="J10336" s="28" t="s">
        <v>52</v>
      </c>
      <c r="K10336" s="28" t="s">
        <v>52</v>
      </c>
      <c r="L10336" s="28" t="s">
        <v>52</v>
      </c>
      <c r="M10336" s="28" t="s">
        <v>52</v>
      </c>
      <c r="N10336" s="28" t="s">
        <v>52</v>
      </c>
    </row>
    <row r="10337" spans="1:14" x14ac:dyDescent="0.15">
      <c r="A10337" s="23" t="str">
        <f t="shared" ref="A10337:A10370" si="484">HYPERLINK("https://www.spark-marketing.ru/Card/Person/1752716", "ООО ""СК ЭКОСТРОЙ""")</f>
        <v>ООО "СК ЭКОСТРОЙ"</v>
      </c>
      <c r="B10337" s="24" t="s">
        <v>3305</v>
      </c>
      <c r="C10337" s="25">
        <v>0</v>
      </c>
      <c r="D10337" s="22" t="s">
        <v>12761</v>
      </c>
      <c r="E10337" s="22" t="s">
        <v>53</v>
      </c>
      <c r="F10337" s="23" t="str">
        <f>HYPERLINK("https://www.spark-marketing.ru/Card/Lot/69514011", "Заглушка для ЗНИ-10мм2 (JXB70A) серый")</f>
        <v>Заглушка для ЗНИ-10мм2 (JXB70A) серый</v>
      </c>
      <c r="G10337" s="22" t="s">
        <v>204</v>
      </c>
      <c r="H10337" s="22" t="s">
        <v>303</v>
      </c>
      <c r="I10337" s="26">
        <v>43559.709641203699</v>
      </c>
      <c r="J10337" s="28" t="s">
        <v>52</v>
      </c>
      <c r="K10337" s="28" t="s">
        <v>52</v>
      </c>
      <c r="L10337" s="28" t="s">
        <v>52</v>
      </c>
      <c r="M10337" s="28" t="s">
        <v>52</v>
      </c>
      <c r="N10337" s="28" t="s">
        <v>52</v>
      </c>
    </row>
    <row r="10338" spans="1:14" x14ac:dyDescent="0.15">
      <c r="A10338" s="23" t="str">
        <f t="shared" si="484"/>
        <v>ООО "СК ЭКОСТРОЙ"</v>
      </c>
      <c r="B10338" s="24" t="s">
        <v>3305</v>
      </c>
      <c r="C10338" s="25">
        <v>0</v>
      </c>
      <c r="D10338" s="22" t="s">
        <v>12761</v>
      </c>
      <c r="E10338" s="22" t="s">
        <v>53</v>
      </c>
      <c r="F10338" s="23" t="str">
        <f>HYPERLINK("https://www.spark-marketing.ru/Card/Lot/69514139", "Крышка кабельного листового лотка 50х3000")</f>
        <v>Крышка кабельного листового лотка 50х3000</v>
      </c>
      <c r="G10338" s="22" t="s">
        <v>204</v>
      </c>
      <c r="H10338" s="22" t="s">
        <v>303</v>
      </c>
      <c r="I10338" s="26">
        <v>43559.709641203699</v>
      </c>
      <c r="J10338" s="28" t="s">
        <v>52</v>
      </c>
      <c r="K10338" s="28" t="s">
        <v>52</v>
      </c>
      <c r="L10338" s="28" t="s">
        <v>52</v>
      </c>
      <c r="M10338" s="28" t="s">
        <v>52</v>
      </c>
      <c r="N10338" s="28" t="s">
        <v>52</v>
      </c>
    </row>
    <row r="10339" spans="1:14" x14ac:dyDescent="0.15">
      <c r="A10339" s="23" t="str">
        <f t="shared" si="484"/>
        <v>ООО "СК ЭКОСТРОЙ"</v>
      </c>
      <c r="B10339" s="24" t="s">
        <v>3305</v>
      </c>
      <c r="C10339" s="25">
        <v>0</v>
      </c>
      <c r="D10339" s="22" t="s">
        <v>12760</v>
      </c>
      <c r="E10339" s="22" t="s">
        <v>53</v>
      </c>
      <c r="F10339" s="23" t="str">
        <f>HYPERLINK("https://www.spark-marketing.ru/Card/Lot/69513866", "Монтажная рейка 200х41х21")</f>
        <v>Монтажная рейка 200х41х21</v>
      </c>
      <c r="G10339" s="22" t="s">
        <v>204</v>
      </c>
      <c r="H10339" s="22" t="s">
        <v>303</v>
      </c>
      <c r="I10339" s="26">
        <v>43559.708391203698</v>
      </c>
      <c r="J10339" s="28" t="s">
        <v>52</v>
      </c>
      <c r="K10339" s="28" t="s">
        <v>52</v>
      </c>
      <c r="L10339" s="28" t="s">
        <v>52</v>
      </c>
      <c r="M10339" s="28" t="s">
        <v>52</v>
      </c>
      <c r="N10339" s="28" t="s">
        <v>52</v>
      </c>
    </row>
    <row r="10340" spans="1:14" x14ac:dyDescent="0.15">
      <c r="A10340" s="23" t="str">
        <f t="shared" si="484"/>
        <v>ООО "СК ЭКОСТРОЙ"</v>
      </c>
      <c r="B10340" s="24" t="s">
        <v>3305</v>
      </c>
      <c r="C10340" s="25">
        <v>0</v>
      </c>
      <c r="D10340" s="22" t="s">
        <v>12761</v>
      </c>
      <c r="E10340" s="22" t="s">
        <v>53</v>
      </c>
      <c r="F10340" s="23" t="str">
        <f>HYPERLINK("https://www.spark-marketing.ru/Card/Lot/69514271", "Заземляющий проводник гибкий медный с обжимными клеммами")</f>
        <v>Заземляющий проводник гибкий медный с обжимными клеммами</v>
      </c>
      <c r="G10340" s="22" t="s">
        <v>204</v>
      </c>
      <c r="H10340" s="22" t="s">
        <v>303</v>
      </c>
      <c r="I10340" s="26">
        <v>43559.709641203699</v>
      </c>
      <c r="J10340" s="28" t="s">
        <v>52</v>
      </c>
      <c r="K10340" s="28" t="s">
        <v>52</v>
      </c>
      <c r="L10340" s="28" t="s">
        <v>52</v>
      </c>
      <c r="M10340" s="28" t="s">
        <v>52</v>
      </c>
      <c r="N10340" s="28" t="s">
        <v>52</v>
      </c>
    </row>
    <row r="10341" spans="1:14" x14ac:dyDescent="0.15">
      <c r="A10341" s="23" t="str">
        <f t="shared" si="484"/>
        <v>ООО "СК ЭКОСТРОЙ"</v>
      </c>
      <c r="B10341" s="24" t="s">
        <v>3305</v>
      </c>
      <c r="C10341" s="25">
        <v>0</v>
      </c>
      <c r="D10341" s="22" t="s">
        <v>12760</v>
      </c>
      <c r="E10341" s="22" t="s">
        <v>53</v>
      </c>
      <c r="F10341" s="23" t="str">
        <f>HYPERLINK("https://www.spark-marketing.ru/Card/Lot/69513861", "Кабель силовой с медными жилами с изоляцией из ПВХ-пластиката с бронепокровом из стальной оцинкованной ленты, сеч. 5х4,0 мм2")</f>
        <v>Кабель силовой с медными жилами с изоляцией из ПВХ-пластиката с бронепокровом из стальной оцинкованной ленты, сеч. 5х4,0 мм2</v>
      </c>
      <c r="G10341" s="22" t="s">
        <v>204</v>
      </c>
      <c r="H10341" s="22" t="s">
        <v>303</v>
      </c>
      <c r="I10341" s="26">
        <v>43559.708391203698</v>
      </c>
      <c r="J10341" s="28" t="s">
        <v>52</v>
      </c>
      <c r="K10341" s="28" t="s">
        <v>52</v>
      </c>
      <c r="L10341" s="28" t="s">
        <v>52</v>
      </c>
      <c r="M10341" s="28" t="s">
        <v>52</v>
      </c>
      <c r="N10341" s="28" t="s">
        <v>52</v>
      </c>
    </row>
    <row r="10342" spans="1:14" x14ac:dyDescent="0.15">
      <c r="A10342" s="23" t="str">
        <f t="shared" si="484"/>
        <v>ООО "СК ЭКОСТРОЙ"</v>
      </c>
      <c r="B10342" s="24" t="s">
        <v>3305</v>
      </c>
      <c r="C10342" s="25">
        <v>0</v>
      </c>
      <c r="D10342" s="22" t="s">
        <v>12760</v>
      </c>
      <c r="E10342" s="22" t="s">
        <v>53</v>
      </c>
      <c r="F10342" s="23" t="str">
        <f>HYPERLINK("https://www.spark-marketing.ru/Card/Lot/69513993", "Устройство контроля доступа и наличия напряжения")</f>
        <v>Устройство контроля доступа и наличия напряжения</v>
      </c>
      <c r="G10342" s="22" t="s">
        <v>204</v>
      </c>
      <c r="H10342" s="22" t="s">
        <v>303</v>
      </c>
      <c r="I10342" s="26">
        <v>43559.708391203698</v>
      </c>
      <c r="J10342" s="28" t="s">
        <v>52</v>
      </c>
      <c r="K10342" s="28" t="s">
        <v>52</v>
      </c>
      <c r="L10342" s="28" t="s">
        <v>52</v>
      </c>
      <c r="M10342" s="28" t="s">
        <v>52</v>
      </c>
      <c r="N10342" s="28" t="s">
        <v>52</v>
      </c>
    </row>
    <row r="10343" spans="1:14" x14ac:dyDescent="0.15">
      <c r="A10343" s="23" t="str">
        <f t="shared" si="484"/>
        <v>ООО "СК ЭКОСТРОЙ"</v>
      </c>
      <c r="B10343" s="24" t="s">
        <v>3305</v>
      </c>
      <c r="C10343" s="25">
        <v>0</v>
      </c>
      <c r="D10343" s="22" t="s">
        <v>12760</v>
      </c>
      <c r="E10343" s="22" t="s">
        <v>53</v>
      </c>
      <c r="F10343" s="23" t="str">
        <f>HYPERLINK("https://www.spark-marketing.ru/Card/Lot/69513882", "Анкерный болт BZ-U, M8х75мм, сталь, G")</f>
        <v>Анкерный болт BZ-U, M8х75мм, сталь, G</v>
      </c>
      <c r="G10343" s="22" t="s">
        <v>204</v>
      </c>
      <c r="H10343" s="22" t="s">
        <v>303</v>
      </c>
      <c r="I10343" s="26">
        <v>43559.708391203698</v>
      </c>
      <c r="J10343" s="28" t="s">
        <v>52</v>
      </c>
      <c r="K10343" s="28" t="s">
        <v>52</v>
      </c>
      <c r="L10343" s="28" t="s">
        <v>52</v>
      </c>
      <c r="M10343" s="28" t="s">
        <v>52</v>
      </c>
      <c r="N10343" s="28" t="s">
        <v>52</v>
      </c>
    </row>
    <row r="10344" spans="1:14" x14ac:dyDescent="0.15">
      <c r="A10344" s="23" t="str">
        <f t="shared" si="484"/>
        <v>ООО "СК ЭКОСТРОЙ"</v>
      </c>
      <c r="B10344" s="24" t="s">
        <v>3305</v>
      </c>
      <c r="C10344" s="25">
        <v>0</v>
      </c>
      <c r="D10344" s="22" t="s">
        <v>12761</v>
      </c>
      <c r="E10344" s="22" t="s">
        <v>53</v>
      </c>
      <c r="F10344" s="23" t="str">
        <f>HYPERLINK("https://www.spark-marketing.ru/Card/Lot/69514134", "Крышка угловой секции 90 100 мм")</f>
        <v>Крышка угловой секции 90 100 мм</v>
      </c>
      <c r="G10344" s="22" t="s">
        <v>204</v>
      </c>
      <c r="H10344" s="22" t="s">
        <v>303</v>
      </c>
      <c r="I10344" s="26">
        <v>43559.709641203699</v>
      </c>
      <c r="J10344" s="28" t="s">
        <v>52</v>
      </c>
      <c r="K10344" s="28" t="s">
        <v>52</v>
      </c>
      <c r="L10344" s="28" t="s">
        <v>52</v>
      </c>
      <c r="M10344" s="28" t="s">
        <v>52</v>
      </c>
      <c r="N10344" s="28" t="s">
        <v>52</v>
      </c>
    </row>
    <row r="10345" spans="1:14" x14ac:dyDescent="0.15">
      <c r="A10345" s="23" t="str">
        <f t="shared" si="484"/>
        <v>ООО "СК ЭКОСТРОЙ"</v>
      </c>
      <c r="B10345" s="24" t="s">
        <v>3305</v>
      </c>
      <c r="C10345" s="25">
        <v>0</v>
      </c>
      <c r="D10345" s="22" t="s">
        <v>12761</v>
      </c>
      <c r="E10345" s="22" t="s">
        <v>53</v>
      </c>
      <c r="F10345" s="23" t="str">
        <f>HYPERLINK("https://www.spark-marketing.ru/Card/Lot/69514266", "Соединитель стержня заземления и проволоки")</f>
        <v>Соединитель стержня заземления и проволоки</v>
      </c>
      <c r="G10345" s="22" t="s">
        <v>204</v>
      </c>
      <c r="H10345" s="22" t="s">
        <v>303</v>
      </c>
      <c r="I10345" s="26">
        <v>43559.709641203699</v>
      </c>
      <c r="J10345" s="28" t="s">
        <v>52</v>
      </c>
      <c r="K10345" s="28" t="s">
        <v>52</v>
      </c>
      <c r="L10345" s="28" t="s">
        <v>52</v>
      </c>
      <c r="M10345" s="28" t="s">
        <v>52</v>
      </c>
      <c r="N10345" s="28" t="s">
        <v>52</v>
      </c>
    </row>
    <row r="10346" spans="1:14" x14ac:dyDescent="0.15">
      <c r="A10346" s="23" t="str">
        <f t="shared" si="484"/>
        <v>ООО "СК ЭКОСТРОЙ"</v>
      </c>
      <c r="B10346" s="24" t="s">
        <v>3305</v>
      </c>
      <c r="C10346" s="25">
        <v>0</v>
      </c>
      <c r="D10346" s="22" t="s">
        <v>12760</v>
      </c>
      <c r="E10346" s="22" t="s">
        <v>53</v>
      </c>
      <c r="F10346" s="23" t="str">
        <f>HYPERLINK("https://www.spark-marketing.ru/Card/Lot/69513870", "Крышка кабельного листового лотка 10х3000")</f>
        <v>Крышка кабельного листового лотка 10х3000</v>
      </c>
      <c r="G10346" s="22" t="s">
        <v>204</v>
      </c>
      <c r="H10346" s="22" t="s">
        <v>303</v>
      </c>
      <c r="I10346" s="26">
        <v>43559.708391203698</v>
      </c>
      <c r="J10346" s="28" t="s">
        <v>52</v>
      </c>
      <c r="K10346" s="28" t="s">
        <v>52</v>
      </c>
      <c r="L10346" s="28" t="s">
        <v>52</v>
      </c>
      <c r="M10346" s="28" t="s">
        <v>52</v>
      </c>
      <c r="N10346" s="28" t="s">
        <v>52</v>
      </c>
    </row>
    <row r="10347" spans="1:14" x14ac:dyDescent="0.15">
      <c r="A10347" s="23" t="str">
        <f t="shared" si="484"/>
        <v>ООО "СК ЭКОСТРОЙ"</v>
      </c>
      <c r="B10347" s="24" t="s">
        <v>3305</v>
      </c>
      <c r="C10347" s="25">
        <v>0</v>
      </c>
      <c r="D10347" s="22" t="s">
        <v>12760</v>
      </c>
      <c r="E10347" s="22" t="s">
        <v>53</v>
      </c>
      <c r="F10347" s="23" t="str">
        <f>HYPERLINK("https://www.spark-marketing.ru/Card/Lot/69513988", "Стержень заземления 1,5 м")</f>
        <v>Стержень заземления 1,5 м</v>
      </c>
      <c r="G10347" s="22" t="s">
        <v>204</v>
      </c>
      <c r="H10347" s="22" t="s">
        <v>303</v>
      </c>
      <c r="I10347" s="26">
        <v>43559.708391203698</v>
      </c>
      <c r="J10347" s="28" t="s">
        <v>52</v>
      </c>
      <c r="K10347" s="28" t="s">
        <v>52</v>
      </c>
      <c r="L10347" s="28" t="s">
        <v>52</v>
      </c>
      <c r="M10347" s="28" t="s">
        <v>52</v>
      </c>
      <c r="N10347" s="28" t="s">
        <v>52</v>
      </c>
    </row>
    <row r="10348" spans="1:14" x14ac:dyDescent="0.15">
      <c r="A10348" s="23" t="str">
        <f t="shared" si="484"/>
        <v>ООО "СК ЭКОСТРОЙ"</v>
      </c>
      <c r="B10348" s="24" t="s">
        <v>3305</v>
      </c>
      <c r="C10348" s="25">
        <v>0</v>
      </c>
      <c r="D10348" s="22" t="s">
        <v>12761</v>
      </c>
      <c r="E10348" s="22" t="s">
        <v>53</v>
      </c>
      <c r="F10348" s="23" t="str">
        <f>HYPERLINK("https://www.spark-marketing.ru/Card/Lot/69514128", "Анкерный болт BZ-U, M8х75мм, сталь, G")</f>
        <v>Анкерный болт BZ-U, M8х75мм, сталь, G</v>
      </c>
      <c r="G10348" s="22" t="s">
        <v>204</v>
      </c>
      <c r="H10348" s="22" t="s">
        <v>303</v>
      </c>
      <c r="I10348" s="26">
        <v>43559.709641203699</v>
      </c>
      <c r="J10348" s="28" t="s">
        <v>52</v>
      </c>
      <c r="K10348" s="28" t="s">
        <v>52</v>
      </c>
      <c r="L10348" s="28" t="s">
        <v>52</v>
      </c>
      <c r="M10348" s="28" t="s">
        <v>52</v>
      </c>
      <c r="N10348" s="28" t="s">
        <v>52</v>
      </c>
    </row>
    <row r="10349" spans="1:14" x14ac:dyDescent="0.15">
      <c r="A10349" s="23" t="str">
        <f t="shared" si="484"/>
        <v>ООО "СК ЭКОСТРОЙ"</v>
      </c>
      <c r="B10349" s="24" t="s">
        <v>3305</v>
      </c>
      <c r="C10349" s="25">
        <v>0</v>
      </c>
      <c r="D10349" s="22" t="s">
        <v>12761</v>
      </c>
      <c r="E10349" s="22" t="s">
        <v>53</v>
      </c>
      <c r="F10349" s="23" t="str">
        <f>HYPERLINK("https://www.spark-marketing.ru/Card/Lot/69514130", "Соединитель кабельного листового лотка угловой 85х200")</f>
        <v>Соединитель кабельного листового лотка угловой 85х200</v>
      </c>
      <c r="G10349" s="22" t="s">
        <v>204</v>
      </c>
      <c r="H10349" s="22" t="s">
        <v>303</v>
      </c>
      <c r="I10349" s="26">
        <v>43559.709641203699</v>
      </c>
      <c r="J10349" s="28" t="s">
        <v>52</v>
      </c>
      <c r="K10349" s="28" t="s">
        <v>52</v>
      </c>
      <c r="L10349" s="28" t="s">
        <v>52</v>
      </c>
      <c r="M10349" s="28" t="s">
        <v>52</v>
      </c>
      <c r="N10349" s="28" t="s">
        <v>52</v>
      </c>
    </row>
    <row r="10350" spans="1:14" x14ac:dyDescent="0.15">
      <c r="A10350" s="23" t="str">
        <f t="shared" si="484"/>
        <v>ООО "СК ЭКОСТРОЙ"</v>
      </c>
      <c r="B10350" s="24" t="s">
        <v>3305</v>
      </c>
      <c r="C10350" s="25">
        <v>0</v>
      </c>
      <c r="D10350" s="22" t="s">
        <v>12761</v>
      </c>
      <c r="E10350" s="22" t="s">
        <v>53</v>
      </c>
      <c r="F10350" s="23" t="str">
        <f>HYPERLINK("https://www.spark-marketing.ru/Card/Lot/69514140", "Соединитель кабельного листового лотка 60х100")</f>
        <v>Соединитель кабельного листового лотка 60х100</v>
      </c>
      <c r="G10350" s="22" t="s">
        <v>204</v>
      </c>
      <c r="H10350" s="22" t="s">
        <v>303</v>
      </c>
      <c r="I10350" s="26">
        <v>43559.709641203699</v>
      </c>
      <c r="J10350" s="28" t="s">
        <v>52</v>
      </c>
      <c r="K10350" s="28" t="s">
        <v>52</v>
      </c>
      <c r="L10350" s="28" t="s">
        <v>52</v>
      </c>
      <c r="M10350" s="28" t="s">
        <v>52</v>
      </c>
      <c r="N10350" s="28" t="s">
        <v>52</v>
      </c>
    </row>
    <row r="10351" spans="1:14" x14ac:dyDescent="0.15">
      <c r="A10351" s="23" t="str">
        <f t="shared" si="484"/>
        <v>ООО "СК ЭКОСТРОЙ"</v>
      </c>
      <c r="B10351" s="24" t="s">
        <v>3305</v>
      </c>
      <c r="C10351" s="25">
        <v>0</v>
      </c>
      <c r="D10351" s="22" t="s">
        <v>12761</v>
      </c>
      <c r="E10351" s="22" t="s">
        <v>53</v>
      </c>
      <c r="F10351" s="23" t="str">
        <f>HYPERLINK("https://www.spark-marketing.ru/Card/Lot/69514258", "Гайка шестигранная М8")</f>
        <v>Гайка шестигранная М8</v>
      </c>
      <c r="G10351" s="22" t="s">
        <v>204</v>
      </c>
      <c r="H10351" s="22" t="s">
        <v>303</v>
      </c>
      <c r="I10351" s="26">
        <v>43559.709641203699</v>
      </c>
      <c r="J10351" s="28" t="s">
        <v>52</v>
      </c>
      <c r="K10351" s="28" t="s">
        <v>52</v>
      </c>
      <c r="L10351" s="28" t="s">
        <v>52</v>
      </c>
      <c r="M10351" s="28" t="s">
        <v>52</v>
      </c>
      <c r="N10351" s="28" t="s">
        <v>52</v>
      </c>
    </row>
    <row r="10352" spans="1:14" x14ac:dyDescent="0.15">
      <c r="A10352" s="23" t="str">
        <f t="shared" si="484"/>
        <v>ООО "СК ЭКОСТРОЙ"</v>
      </c>
      <c r="B10352" s="24" t="s">
        <v>3305</v>
      </c>
      <c r="C10352" s="25">
        <v>0</v>
      </c>
      <c r="D10352" s="22" t="s">
        <v>12761</v>
      </c>
      <c r="E10352" s="22" t="s">
        <v>53</v>
      </c>
      <c r="F10352" s="23" t="str">
        <f>HYPERLINK("https://www.spark-marketing.ru/Card/Lot/69514273", "Извещатель охранный (датчик открытия двери)")</f>
        <v>Извещатель охранный (датчик открытия двери)</v>
      </c>
      <c r="G10352" s="22" t="s">
        <v>204</v>
      </c>
      <c r="H10352" s="22" t="s">
        <v>303</v>
      </c>
      <c r="I10352" s="26">
        <v>43559.709641203699</v>
      </c>
      <c r="J10352" s="28" t="s">
        <v>52</v>
      </c>
      <c r="K10352" s="28" t="s">
        <v>52</v>
      </c>
      <c r="L10352" s="28" t="s">
        <v>52</v>
      </c>
      <c r="M10352" s="28" t="s">
        <v>52</v>
      </c>
      <c r="N10352" s="28" t="s">
        <v>52</v>
      </c>
    </row>
    <row r="10353" spans="1:14" x14ac:dyDescent="0.15">
      <c r="A10353" s="23" t="str">
        <f t="shared" si="484"/>
        <v>ООО "СК ЭКОСТРОЙ"</v>
      </c>
      <c r="B10353" s="24" t="s">
        <v>3305</v>
      </c>
      <c r="C10353" s="25">
        <v>0</v>
      </c>
      <c r="D10353" s="22" t="s">
        <v>12760</v>
      </c>
      <c r="E10353" s="22" t="s">
        <v>53</v>
      </c>
      <c r="F10353" s="23" t="str">
        <f>HYPERLINK("https://www.spark-marketing.ru/Card/Lot/69513885", "Сталь полосовая 40х5 мм")</f>
        <v>Сталь полосовая 40х5 мм</v>
      </c>
      <c r="G10353" s="22" t="s">
        <v>204</v>
      </c>
      <c r="H10353" s="22" t="s">
        <v>303</v>
      </c>
      <c r="I10353" s="26">
        <v>43559.708391203698</v>
      </c>
      <c r="J10353" s="28" t="s">
        <v>52</v>
      </c>
      <c r="K10353" s="28" t="s">
        <v>52</v>
      </c>
      <c r="L10353" s="28" t="s">
        <v>52</v>
      </c>
      <c r="M10353" s="28" t="s">
        <v>52</v>
      </c>
      <c r="N10353" s="28" t="s">
        <v>52</v>
      </c>
    </row>
    <row r="10354" spans="1:14" x14ac:dyDescent="0.15">
      <c r="A10354" s="23" t="str">
        <f t="shared" si="484"/>
        <v>ООО "СК ЭКОСТРОЙ"</v>
      </c>
      <c r="B10354" s="24" t="s">
        <v>3305</v>
      </c>
      <c r="C10354" s="25">
        <v>0</v>
      </c>
      <c r="D10354" s="22" t="s">
        <v>12761</v>
      </c>
      <c r="E10354" s="22" t="s">
        <v>53</v>
      </c>
      <c r="F10354" s="23" t="str">
        <f>HYPERLINK("https://www.spark-marketing.ru/Card/Lot/69514131", "Крышка кабельного листового лотка 100х3000")</f>
        <v>Крышка кабельного листового лотка 100х3000</v>
      </c>
      <c r="G10354" s="22" t="s">
        <v>204</v>
      </c>
      <c r="H10354" s="22" t="s">
        <v>303</v>
      </c>
      <c r="I10354" s="26">
        <v>43559.709641203699</v>
      </c>
      <c r="J10354" s="28" t="s">
        <v>52</v>
      </c>
      <c r="K10354" s="28" t="s">
        <v>52</v>
      </c>
      <c r="L10354" s="28" t="s">
        <v>52</v>
      </c>
      <c r="M10354" s="28" t="s">
        <v>52</v>
      </c>
      <c r="N10354" s="28" t="s">
        <v>52</v>
      </c>
    </row>
    <row r="10355" spans="1:14" x14ac:dyDescent="0.15">
      <c r="A10355" s="23" t="str">
        <f t="shared" si="484"/>
        <v>ООО "СК ЭКОСТРОЙ"</v>
      </c>
      <c r="B10355" s="24" t="s">
        <v>3305</v>
      </c>
      <c r="C10355" s="25">
        <v>0</v>
      </c>
      <c r="D10355" s="22" t="s">
        <v>12761</v>
      </c>
      <c r="E10355" s="22" t="s">
        <v>53</v>
      </c>
      <c r="F10355" s="23" t="str">
        <f>HYPERLINK("https://www.spark-marketing.ru/Card/Lot/69514142", "Соединитель кабельного листового лотка угловой 60х200")</f>
        <v>Соединитель кабельного листового лотка угловой 60х200</v>
      </c>
      <c r="G10355" s="22" t="s">
        <v>204</v>
      </c>
      <c r="H10355" s="22" t="s">
        <v>303</v>
      </c>
      <c r="I10355" s="26">
        <v>43559.709641203699</v>
      </c>
      <c r="J10355" s="28" t="s">
        <v>52</v>
      </c>
      <c r="K10355" s="28" t="s">
        <v>52</v>
      </c>
      <c r="L10355" s="28" t="s">
        <v>52</v>
      </c>
      <c r="M10355" s="28" t="s">
        <v>52</v>
      </c>
      <c r="N10355" s="28" t="s">
        <v>52</v>
      </c>
    </row>
    <row r="10356" spans="1:14" x14ac:dyDescent="0.15">
      <c r="A10356" s="23" t="str">
        <f t="shared" si="484"/>
        <v>ООО "СК ЭКОСТРОЙ"</v>
      </c>
      <c r="B10356" s="24" t="s">
        <v>3305</v>
      </c>
      <c r="C10356" s="25">
        <v>0</v>
      </c>
      <c r="D10356" s="22" t="s">
        <v>12761</v>
      </c>
      <c r="E10356" s="22" t="s">
        <v>53</v>
      </c>
      <c r="F10356" s="23" t="str">
        <f>HYPERLINK("https://www.spark-marketing.ru/Card/Lot/69514146", "Крепежный уголок 60х60х40 мм")</f>
        <v>Крепежный уголок 60х60х40 мм</v>
      </c>
      <c r="G10356" s="22" t="s">
        <v>204</v>
      </c>
      <c r="H10356" s="22" t="s">
        <v>303</v>
      </c>
      <c r="I10356" s="26">
        <v>43559.709641203699</v>
      </c>
      <c r="J10356" s="28" t="s">
        <v>52</v>
      </c>
      <c r="K10356" s="28" t="s">
        <v>52</v>
      </c>
      <c r="L10356" s="28" t="s">
        <v>52</v>
      </c>
      <c r="M10356" s="28" t="s">
        <v>52</v>
      </c>
      <c r="N10356" s="28" t="s">
        <v>52</v>
      </c>
    </row>
    <row r="10357" spans="1:14" x14ac:dyDescent="0.15">
      <c r="A10357" s="23" t="str">
        <f t="shared" si="484"/>
        <v>ООО "СК ЭКОСТРОЙ"</v>
      </c>
      <c r="B10357" s="24" t="s">
        <v>3305</v>
      </c>
      <c r="C10357" s="25">
        <v>0</v>
      </c>
      <c r="D10357" s="22" t="s">
        <v>12761</v>
      </c>
      <c r="E10357" s="22" t="s">
        <v>53</v>
      </c>
      <c r="F10357" s="23" t="str">
        <f>HYPERLINK("https://www.spark-marketing.ru/Card/Lot/69514148", "Крышка внешнего вертикального угла 90градус.100мм.")</f>
        <v>Крышка внешнего вертикального угла 90градус.100мм.</v>
      </c>
      <c r="G10357" s="22" t="s">
        <v>204</v>
      </c>
      <c r="H10357" s="22" t="s">
        <v>303</v>
      </c>
      <c r="I10357" s="26">
        <v>43559.709641203699</v>
      </c>
      <c r="J10357" s="28" t="s">
        <v>52</v>
      </c>
      <c r="K10357" s="28" t="s">
        <v>52</v>
      </c>
      <c r="L10357" s="28" t="s">
        <v>52</v>
      </c>
      <c r="M10357" s="28" t="s">
        <v>52</v>
      </c>
      <c r="N10357" s="28" t="s">
        <v>52</v>
      </c>
    </row>
    <row r="10358" spans="1:14" x14ac:dyDescent="0.15">
      <c r="A10358" s="23" t="str">
        <f t="shared" si="484"/>
        <v>ООО "СК ЭКОСТРОЙ"</v>
      </c>
      <c r="B10358" s="24" t="s">
        <v>3305</v>
      </c>
      <c r="C10358" s="25">
        <v>0</v>
      </c>
      <c r="D10358" s="22" t="s">
        <v>12761</v>
      </c>
      <c r="E10358" s="22" t="s">
        <v>53</v>
      </c>
      <c r="F10358" s="23" t="str">
        <f>HYPERLINK("https://www.spark-marketing.ru/Card/Lot/69514149", "Т-образное/крестовое соединение 85х100")</f>
        <v>Т-образное/крестовое соединение 85х100</v>
      </c>
      <c r="G10358" s="22" t="s">
        <v>204</v>
      </c>
      <c r="H10358" s="22" t="s">
        <v>303</v>
      </c>
      <c r="I10358" s="26">
        <v>43559.709641203699</v>
      </c>
      <c r="J10358" s="28" t="s">
        <v>52</v>
      </c>
      <c r="K10358" s="28" t="s">
        <v>52</v>
      </c>
      <c r="L10358" s="28" t="s">
        <v>52</v>
      </c>
      <c r="M10358" s="28" t="s">
        <v>52</v>
      </c>
      <c r="N10358" s="28" t="s">
        <v>52</v>
      </c>
    </row>
    <row r="10359" spans="1:14" x14ac:dyDescent="0.15">
      <c r="A10359" s="23" t="str">
        <f t="shared" si="484"/>
        <v>ООО "СК ЭКОСТРОЙ"</v>
      </c>
      <c r="B10359" s="24" t="s">
        <v>3305</v>
      </c>
      <c r="C10359" s="25">
        <v>0</v>
      </c>
      <c r="D10359" s="22" t="s">
        <v>12761</v>
      </c>
      <c r="E10359" s="22" t="s">
        <v>53</v>
      </c>
      <c r="F10359" s="23" t="str">
        <f>HYPERLINK("https://www.spark-marketing.ru/Card/Lot/69514264", "Полоса из оцинк.стали 40х4мм")</f>
        <v>Полоса из оцинк.стали 40х4мм</v>
      </c>
      <c r="G10359" s="22" t="s">
        <v>204</v>
      </c>
      <c r="H10359" s="22" t="s">
        <v>303</v>
      </c>
      <c r="I10359" s="26">
        <v>43559.709641203699</v>
      </c>
      <c r="J10359" s="28" t="s">
        <v>52</v>
      </c>
      <c r="K10359" s="28" t="s">
        <v>52</v>
      </c>
      <c r="L10359" s="28" t="s">
        <v>52</v>
      </c>
      <c r="M10359" s="28" t="s">
        <v>52</v>
      </c>
      <c r="N10359" s="28" t="s">
        <v>52</v>
      </c>
    </row>
    <row r="10360" spans="1:14" x14ac:dyDescent="0.15">
      <c r="A10360" s="23" t="str">
        <f t="shared" si="484"/>
        <v>ООО "СК ЭКОСТРОЙ"</v>
      </c>
      <c r="B10360" s="24" t="s">
        <v>3305</v>
      </c>
      <c r="C10360" s="25">
        <v>0</v>
      </c>
      <c r="D10360" s="22" t="s">
        <v>12761</v>
      </c>
      <c r="E10360" s="22" t="s">
        <v>53</v>
      </c>
      <c r="F10360" s="23" t="str">
        <f>HYPERLINK("https://www.spark-marketing.ru/Card/Lot/69514129", "Кабельный листовой лоток перфорированный 85х100х3000")</f>
        <v>Кабельный листовой лоток перфорированный 85х100х3000</v>
      </c>
      <c r="G10360" s="22" t="s">
        <v>204</v>
      </c>
      <c r="H10360" s="22" t="s">
        <v>303</v>
      </c>
      <c r="I10360" s="26">
        <v>43559.709641203699</v>
      </c>
      <c r="J10360" s="28" t="s">
        <v>52</v>
      </c>
      <c r="K10360" s="28" t="s">
        <v>52</v>
      </c>
      <c r="L10360" s="28" t="s">
        <v>52</v>
      </c>
      <c r="M10360" s="28" t="s">
        <v>52</v>
      </c>
      <c r="N10360" s="28" t="s">
        <v>52</v>
      </c>
    </row>
    <row r="10361" spans="1:14" x14ac:dyDescent="0.15">
      <c r="A10361" s="23" t="str">
        <f t="shared" si="484"/>
        <v>ООО "СК ЭКОСТРОЙ"</v>
      </c>
      <c r="B10361" s="24" t="s">
        <v>3305</v>
      </c>
      <c r="C10361" s="25">
        <v>0</v>
      </c>
      <c r="D10361" s="22" t="s">
        <v>12761</v>
      </c>
      <c r="E10361" s="22" t="s">
        <v>53</v>
      </c>
      <c r="F10361" s="23" t="str">
        <f>HYPERLINK("https://www.spark-marketing.ru/Card/Lot/69514133", "Угловая секция 90град. 85х100")</f>
        <v>Угловая секция 90град. 85х100</v>
      </c>
      <c r="G10361" s="22" t="s">
        <v>204</v>
      </c>
      <c r="H10361" s="22" t="s">
        <v>303</v>
      </c>
      <c r="I10361" s="26">
        <v>43559.709641203699</v>
      </c>
      <c r="J10361" s="28" t="s">
        <v>52</v>
      </c>
      <c r="K10361" s="28" t="s">
        <v>52</v>
      </c>
      <c r="L10361" s="28" t="s">
        <v>52</v>
      </c>
      <c r="M10361" s="28" t="s">
        <v>52</v>
      </c>
      <c r="N10361" s="28" t="s">
        <v>52</v>
      </c>
    </row>
    <row r="10362" spans="1:14" x14ac:dyDescent="0.15">
      <c r="A10362" s="23" t="str">
        <f t="shared" si="484"/>
        <v>ООО "СК ЭКОСТРОЙ"</v>
      </c>
      <c r="B10362" s="24" t="s">
        <v>3305</v>
      </c>
      <c r="C10362" s="25">
        <v>0</v>
      </c>
      <c r="D10362" s="22" t="s">
        <v>12760</v>
      </c>
      <c r="E10362" s="22" t="s">
        <v>53</v>
      </c>
      <c r="F10362" s="23" t="str">
        <f>HYPERLINK("https://www.spark-marketing.ru/Card/Lot/69513865", "Коробка распределительная для открытого монтажа IP66 из УФ-стабилизированного термопласта. Разм.285х201х120 мм. В составе: - Автоматический выключатель однофазный I ном=6 А, хар-ка В (ВА 47-29 1 Р 6 А, ИЕК, 2 шт); - сжим ответвительный 4-10 мм/1,0-1,...")</f>
        <v>Коробка распределительная для открытого монтажа IP66 из УФ-стабилизированного термопласта. Разм.285х201х120 мм. В составе: - Автоматический выключатель однофазный I ном=6 А, хар-ка В (ВА 47-29 1 Р 6 А, ИЕК, 2 шт); - сжим ответвительный 4-10 мм/1,0-1,...</v>
      </c>
      <c r="G10362" s="22" t="s">
        <v>204</v>
      </c>
      <c r="H10362" s="22" t="s">
        <v>303</v>
      </c>
      <c r="I10362" s="26">
        <v>43559.708391203698</v>
      </c>
      <c r="J10362" s="28" t="s">
        <v>52</v>
      </c>
      <c r="K10362" s="28" t="s">
        <v>52</v>
      </c>
      <c r="L10362" s="28" t="s">
        <v>52</v>
      </c>
      <c r="M10362" s="28" t="s">
        <v>52</v>
      </c>
      <c r="N10362" s="28" t="s">
        <v>52</v>
      </c>
    </row>
    <row r="10363" spans="1:14" x14ac:dyDescent="0.15">
      <c r="A10363" s="23" t="str">
        <f t="shared" si="484"/>
        <v>ООО "СК ЭКОСТРОЙ"</v>
      </c>
      <c r="B10363" s="24" t="s">
        <v>3305</v>
      </c>
      <c r="C10363" s="25">
        <v>0</v>
      </c>
      <c r="D10363" s="22" t="s">
        <v>12761</v>
      </c>
      <c r="E10363" s="22" t="s">
        <v>53</v>
      </c>
      <c r="F10363" s="23" t="str">
        <f>HYPERLINK("https://www.spark-marketing.ru/Card/Lot/69514005", "Шкаф напольный цельносварной IP31напольный с нижними кабельными вводами и выводами, в соответствии с опросным листом проекта")</f>
        <v>Шкаф напольный цельносварной IP31напольный с нижними кабельными вводами и выводами, в соответствии с опросным листом проекта</v>
      </c>
      <c r="G10363" s="22" t="s">
        <v>204</v>
      </c>
      <c r="H10363" s="22" t="s">
        <v>303</v>
      </c>
      <c r="I10363" s="26">
        <v>43559.709641203699</v>
      </c>
      <c r="J10363" s="28" t="s">
        <v>52</v>
      </c>
      <c r="K10363" s="28" t="s">
        <v>52</v>
      </c>
      <c r="L10363" s="28" t="s">
        <v>52</v>
      </c>
      <c r="M10363" s="28" t="s">
        <v>52</v>
      </c>
      <c r="N10363" s="28" t="s">
        <v>52</v>
      </c>
    </row>
    <row r="10364" spans="1:14" x14ac:dyDescent="0.15">
      <c r="A10364" s="23" t="str">
        <f t="shared" si="484"/>
        <v>ООО "СК ЭКОСТРОЙ"</v>
      </c>
      <c r="B10364" s="24" t="s">
        <v>3305</v>
      </c>
      <c r="C10364" s="25">
        <v>0</v>
      </c>
      <c r="D10364" s="22" t="s">
        <v>12761</v>
      </c>
      <c r="E10364" s="22" t="s">
        <v>53</v>
      </c>
      <c r="F10364" s="23" t="str">
        <f>HYPERLINK("https://www.spark-marketing.ru/Card/Lot/69514126", "Кронштейн 110 мм")</f>
        <v>Кронштейн 110 мм</v>
      </c>
      <c r="G10364" s="22" t="s">
        <v>204</v>
      </c>
      <c r="H10364" s="22" t="s">
        <v>303</v>
      </c>
      <c r="I10364" s="26">
        <v>43559.709641203699</v>
      </c>
      <c r="J10364" s="28" t="s">
        <v>52</v>
      </c>
      <c r="K10364" s="28" t="s">
        <v>52</v>
      </c>
      <c r="L10364" s="28" t="s">
        <v>52</v>
      </c>
      <c r="M10364" s="28" t="s">
        <v>52</v>
      </c>
      <c r="N10364" s="28" t="s">
        <v>52</v>
      </c>
    </row>
    <row r="10365" spans="1:14" x14ac:dyDescent="0.15">
      <c r="A10365" s="23" t="str">
        <f t="shared" si="484"/>
        <v>ООО "СК ЭКОСТРОЙ"</v>
      </c>
      <c r="B10365" s="24" t="s">
        <v>3305</v>
      </c>
      <c r="C10365" s="25">
        <v>0</v>
      </c>
      <c r="D10365" s="22" t="s">
        <v>12761</v>
      </c>
      <c r="E10365" s="22" t="s">
        <v>53</v>
      </c>
      <c r="F10365" s="23" t="str">
        <f>HYPERLINK("https://www.spark-marketing.ru/Card/Lot/69514138", "Кабельный листовой лоток перфорированный 60х50х3000")</f>
        <v>Кабельный листовой лоток перфорированный 60х50х3000</v>
      </c>
      <c r="G10365" s="22" t="s">
        <v>204</v>
      </c>
      <c r="H10365" s="22" t="s">
        <v>303</v>
      </c>
      <c r="I10365" s="26">
        <v>43559.709641203699</v>
      </c>
      <c r="J10365" s="28" t="s">
        <v>52</v>
      </c>
      <c r="K10365" s="28" t="s">
        <v>52</v>
      </c>
      <c r="L10365" s="28" t="s">
        <v>52</v>
      </c>
      <c r="M10365" s="28" t="s">
        <v>52</v>
      </c>
      <c r="N10365" s="28" t="s">
        <v>52</v>
      </c>
    </row>
    <row r="10366" spans="1:14" x14ac:dyDescent="0.15">
      <c r="A10366" s="23" t="str">
        <f t="shared" si="484"/>
        <v>ООО "СК ЭКОСТРОЙ"</v>
      </c>
      <c r="B10366" s="24" t="s">
        <v>3305</v>
      </c>
      <c r="C10366" s="25">
        <v>0</v>
      </c>
      <c r="D10366" s="22" t="s">
        <v>12761</v>
      </c>
      <c r="E10366" s="22" t="s">
        <v>53</v>
      </c>
      <c r="F10366" s="23" t="str">
        <f>HYPERLINK("https://www.spark-marketing.ru/Card/Lot/69514267", "Стержень заземления 1,5 м")</f>
        <v>Стержень заземления 1,5 м</v>
      </c>
      <c r="G10366" s="22" t="s">
        <v>204</v>
      </c>
      <c r="H10366" s="22" t="s">
        <v>303</v>
      </c>
      <c r="I10366" s="26">
        <v>43559.709641203699</v>
      </c>
      <c r="J10366" s="28" t="s">
        <v>52</v>
      </c>
      <c r="K10366" s="28" t="s">
        <v>52</v>
      </c>
      <c r="L10366" s="28" t="s">
        <v>52</v>
      </c>
      <c r="M10366" s="28" t="s">
        <v>52</v>
      </c>
      <c r="N10366" s="28" t="s">
        <v>52</v>
      </c>
    </row>
    <row r="10367" spans="1:14" x14ac:dyDescent="0.15">
      <c r="A10367" s="23" t="str">
        <f t="shared" si="484"/>
        <v>ООО "СК ЭКОСТРОЙ"</v>
      </c>
      <c r="B10367" s="24" t="s">
        <v>3305</v>
      </c>
      <c r="C10367" s="25">
        <v>0</v>
      </c>
      <c r="D10367" s="22" t="s">
        <v>12760</v>
      </c>
      <c r="E10367" s="22" t="s">
        <v>53</v>
      </c>
      <c r="F10367" s="23" t="str">
        <f>HYPERLINK("https://www.spark-marketing.ru/Card/Lot/69515674", "ЩУО (ЩМП -7-2 36) в соответсвии с опросным листом проекта")</f>
        <v>ЩУО (ЩМП -7-2 36) в соответсвии с опросным листом проекта</v>
      </c>
      <c r="G10367" s="22" t="s">
        <v>204</v>
      </c>
      <c r="H10367" s="22" t="s">
        <v>303</v>
      </c>
      <c r="I10367" s="26">
        <v>43559.708391203698</v>
      </c>
      <c r="J10367" s="28" t="s">
        <v>52</v>
      </c>
      <c r="K10367" s="28" t="s">
        <v>52</v>
      </c>
      <c r="L10367" s="28" t="s">
        <v>52</v>
      </c>
      <c r="M10367" s="28" t="s">
        <v>52</v>
      </c>
      <c r="N10367" s="28" t="s">
        <v>52</v>
      </c>
    </row>
    <row r="10368" spans="1:14" x14ac:dyDescent="0.15">
      <c r="A10368" s="23" t="str">
        <f t="shared" si="484"/>
        <v>ООО "СК ЭКОСТРОЙ"</v>
      </c>
      <c r="B10368" s="24" t="s">
        <v>3305</v>
      </c>
      <c r="C10368" s="25">
        <v>0</v>
      </c>
      <c r="D10368" s="22" t="s">
        <v>12761</v>
      </c>
      <c r="E10368" s="22" t="s">
        <v>53</v>
      </c>
      <c r="F10368" s="23" t="str">
        <f>HYPERLINK("https://www.spark-marketing.ru/Card/Lot/69514135", "Кронштейн 510 мм")</f>
        <v>Кронштейн 510 мм</v>
      </c>
      <c r="G10368" s="22" t="s">
        <v>204</v>
      </c>
      <c r="H10368" s="22" t="s">
        <v>303</v>
      </c>
      <c r="I10368" s="26">
        <v>43559.709641203699</v>
      </c>
      <c r="J10368" s="28" t="s">
        <v>52</v>
      </c>
      <c r="K10368" s="28" t="s">
        <v>52</v>
      </c>
      <c r="L10368" s="28" t="s">
        <v>52</v>
      </c>
      <c r="M10368" s="28" t="s">
        <v>52</v>
      </c>
      <c r="N10368" s="28" t="s">
        <v>52</v>
      </c>
    </row>
    <row r="10369" spans="1:14" x14ac:dyDescent="0.15">
      <c r="A10369" s="23" t="str">
        <f t="shared" si="484"/>
        <v>ООО "СК ЭКОСТРОЙ"</v>
      </c>
      <c r="B10369" s="24" t="s">
        <v>3305</v>
      </c>
      <c r="C10369" s="25">
        <v>0</v>
      </c>
      <c r="D10369" s="22" t="s">
        <v>12761</v>
      </c>
      <c r="E10369" s="22" t="s">
        <v>53</v>
      </c>
      <c r="F10369" s="23" t="str">
        <f>HYPERLINK("https://www.spark-marketing.ru/Card/Lot/69514256", "Уголок стальной 125х125х8 мм")</f>
        <v>Уголок стальной 125х125х8 мм</v>
      </c>
      <c r="G10369" s="22" t="s">
        <v>204</v>
      </c>
      <c r="H10369" s="22" t="s">
        <v>303</v>
      </c>
      <c r="I10369" s="26">
        <v>43559.709641203699</v>
      </c>
      <c r="J10369" s="28" t="s">
        <v>52</v>
      </c>
      <c r="K10369" s="28" t="s">
        <v>52</v>
      </c>
      <c r="L10369" s="28" t="s">
        <v>52</v>
      </c>
      <c r="M10369" s="28" t="s">
        <v>52</v>
      </c>
      <c r="N10369" s="28" t="s">
        <v>52</v>
      </c>
    </row>
    <row r="10370" spans="1:14" x14ac:dyDescent="0.15">
      <c r="A10370" s="23" t="str">
        <f t="shared" si="484"/>
        <v>ООО "СК ЭКОСТРОЙ"</v>
      </c>
      <c r="B10370" s="24" t="s">
        <v>3305</v>
      </c>
      <c r="C10370" s="25">
        <v>0</v>
      </c>
      <c r="D10370" s="22" t="s">
        <v>12761</v>
      </c>
      <c r="E10370" s="22" t="s">
        <v>53</v>
      </c>
      <c r="F10370" s="23" t="str">
        <f>HYPERLINK("https://www.spark-marketing.ru/Card/Lot/69514257", "Стержень резьбовой М8х1000 мм")</f>
        <v>Стержень резьбовой М8х1000 мм</v>
      </c>
      <c r="G10370" s="22" t="s">
        <v>204</v>
      </c>
      <c r="H10370" s="22" t="s">
        <v>303</v>
      </c>
      <c r="I10370" s="26">
        <v>43559.709641203699</v>
      </c>
      <c r="J10370" s="28" t="s">
        <v>52</v>
      </c>
      <c r="K10370" s="28" t="s">
        <v>52</v>
      </c>
      <c r="L10370" s="28" t="s">
        <v>52</v>
      </c>
      <c r="M10370" s="28" t="s">
        <v>52</v>
      </c>
      <c r="N10370" s="28" t="s">
        <v>52</v>
      </c>
    </row>
    <row r="10371" spans="1:14" x14ac:dyDescent="0.15">
      <c r="A10371" s="23" t="str">
        <f>HYPERLINK("https://www.spark-marketing.ru/Card/Person/16795", "АДМИНИСТРАЦИЯ ГОРОДА КИМРЫ ТВЕРСКОЙ ОБЛАСТИ")</f>
        <v>АДМИНИСТРАЦИЯ ГОРОДА КИМРЫ ТВЕРСКОЙ ОБЛАСТИ</v>
      </c>
      <c r="B10371" s="24" t="s">
        <v>12762</v>
      </c>
      <c r="C10371" s="25">
        <v>149014</v>
      </c>
      <c r="D10371" s="22" t="s">
        <v>12763</v>
      </c>
      <c r="E10371" s="22" t="s">
        <v>2754</v>
      </c>
      <c r="F10371" s="23" t="str">
        <f>HYPERLINK("https://www.spark-marketing.ru/Card/Lot/69421184", "Выполнение работ по обслуживанию и содержанию судоходной сигнализации на мостовом переходе через реку Волга в городе Кимры Тверской области в 2019 году")</f>
        <v>Выполнение работ по обслуживанию и содержанию судоходной сигнализации на мостовом переходе через реку Волга в городе Кимры Тверской области в 2019 году</v>
      </c>
      <c r="G10371" s="22" t="s">
        <v>251</v>
      </c>
      <c r="H10371" s="22" t="s">
        <v>5132</v>
      </c>
      <c r="I10371" s="26">
        <v>43559.718055555597</v>
      </c>
      <c r="J10371" s="28" t="s">
        <v>52</v>
      </c>
      <c r="K10371" s="28" t="s">
        <v>52</v>
      </c>
      <c r="L10371" s="28" t="s">
        <v>52</v>
      </c>
      <c r="M10371" s="28" t="s">
        <v>52</v>
      </c>
      <c r="N10371" s="28" t="s">
        <v>52</v>
      </c>
    </row>
    <row r="10372" spans="1:14" x14ac:dyDescent="0.15">
      <c r="A10372" s="23" t="str">
        <f t="shared" ref="A10372:A10414" si="485">HYPERLINK("https://www.spark-marketing.ru/Card/Person/1752716", "ООО ""СК ЭКОСТРОЙ""")</f>
        <v>ООО "СК ЭКОСТРОЙ"</v>
      </c>
      <c r="B10372" s="24" t="s">
        <v>3305</v>
      </c>
      <c r="C10372" s="25">
        <v>0</v>
      </c>
      <c r="D10372" s="22" t="s">
        <v>12760</v>
      </c>
      <c r="E10372" s="22" t="s">
        <v>53</v>
      </c>
      <c r="F10372" s="23" t="str">
        <f>HYPERLINK("https://www.spark-marketing.ru/Card/Lot/69513872", "Соединитель кабельного листового лотка угловой 85х200")</f>
        <v>Соединитель кабельного листового лотка угловой 85х200</v>
      </c>
      <c r="G10372" s="22" t="s">
        <v>204</v>
      </c>
      <c r="H10372" s="22" t="s">
        <v>303</v>
      </c>
      <c r="I10372" s="26">
        <v>43559.708391203698</v>
      </c>
      <c r="J10372" s="28" t="s">
        <v>52</v>
      </c>
      <c r="K10372" s="28" t="s">
        <v>52</v>
      </c>
      <c r="L10372" s="28" t="s">
        <v>52</v>
      </c>
      <c r="M10372" s="28" t="s">
        <v>52</v>
      </c>
      <c r="N10372" s="28" t="s">
        <v>52</v>
      </c>
    </row>
    <row r="10373" spans="1:14" x14ac:dyDescent="0.15">
      <c r="A10373" s="23" t="str">
        <f t="shared" si="485"/>
        <v>ООО "СК ЭКОСТРОЙ"</v>
      </c>
      <c r="B10373" s="24" t="s">
        <v>3305</v>
      </c>
      <c r="C10373" s="25">
        <v>0</v>
      </c>
      <c r="D10373" s="22" t="s">
        <v>12761</v>
      </c>
      <c r="E10373" s="22" t="s">
        <v>53</v>
      </c>
      <c r="F10373" s="23" t="str">
        <f>HYPERLINK("https://www.spark-marketing.ru/Card/Lot/69514007", "Заглушка для ЗНИ-10мм2 (JXB70A) серый (20шт)")</f>
        <v>Заглушка для ЗНИ-10мм2 (JXB70A) серый (20шт)</v>
      </c>
      <c r="G10373" s="22" t="s">
        <v>204</v>
      </c>
      <c r="H10373" s="22" t="s">
        <v>303</v>
      </c>
      <c r="I10373" s="26">
        <v>43559.709641203699</v>
      </c>
      <c r="J10373" s="28" t="s">
        <v>52</v>
      </c>
      <c r="K10373" s="28" t="s">
        <v>52</v>
      </c>
      <c r="L10373" s="28" t="s">
        <v>52</v>
      </c>
      <c r="M10373" s="28" t="s">
        <v>52</v>
      </c>
      <c r="N10373" s="28" t="s">
        <v>52</v>
      </c>
    </row>
    <row r="10374" spans="1:14" x14ac:dyDescent="0.15">
      <c r="A10374" s="23" t="str">
        <f t="shared" si="485"/>
        <v>ООО "СК ЭКОСТРОЙ"</v>
      </c>
      <c r="B10374" s="24" t="s">
        <v>3305</v>
      </c>
      <c r="C10374" s="25">
        <v>0</v>
      </c>
      <c r="D10374" s="22" t="s">
        <v>12761</v>
      </c>
      <c r="E10374" s="22" t="s">
        <v>53</v>
      </c>
      <c r="F10374" s="23" t="str">
        <f>HYPERLINK("https://www.spark-marketing.ru/Card/Lot/69514261", "Траверса для профиля US 7")</f>
        <v>Траверса для профиля US 7</v>
      </c>
      <c r="G10374" s="22" t="s">
        <v>204</v>
      </c>
      <c r="H10374" s="22" t="s">
        <v>303</v>
      </c>
      <c r="I10374" s="26">
        <v>43559.709641203699</v>
      </c>
      <c r="J10374" s="28" t="s">
        <v>52</v>
      </c>
      <c r="K10374" s="28" t="s">
        <v>52</v>
      </c>
      <c r="L10374" s="28" t="s">
        <v>52</v>
      </c>
      <c r="M10374" s="28" t="s">
        <v>52</v>
      </c>
      <c r="N10374" s="28" t="s">
        <v>52</v>
      </c>
    </row>
    <row r="10375" spans="1:14" x14ac:dyDescent="0.15">
      <c r="A10375" s="23" t="str">
        <f t="shared" si="485"/>
        <v>ООО "СК ЭКОСТРОЙ"</v>
      </c>
      <c r="B10375" s="24" t="s">
        <v>3305</v>
      </c>
      <c r="C10375" s="25">
        <v>0</v>
      </c>
      <c r="D10375" s="22" t="s">
        <v>12761</v>
      </c>
      <c r="E10375" s="22" t="s">
        <v>53</v>
      </c>
      <c r="F10375" s="23" t="str">
        <f>HYPERLINK("https://www.spark-marketing.ru/Card/Lot/69514263", "Труба полиэтиленовая d=100 мм")</f>
        <v>Труба полиэтиленовая d=100 мм</v>
      </c>
      <c r="G10375" s="22" t="s">
        <v>204</v>
      </c>
      <c r="H10375" s="22" t="s">
        <v>303</v>
      </c>
      <c r="I10375" s="26">
        <v>43559.709641203699</v>
      </c>
      <c r="J10375" s="28" t="s">
        <v>52</v>
      </c>
      <c r="K10375" s="28" t="s">
        <v>52</v>
      </c>
      <c r="L10375" s="28" t="s">
        <v>52</v>
      </c>
      <c r="M10375" s="28" t="s">
        <v>52</v>
      </c>
      <c r="N10375" s="28" t="s">
        <v>52</v>
      </c>
    </row>
    <row r="10376" spans="1:14" x14ac:dyDescent="0.15">
      <c r="A10376" s="23" t="str">
        <f t="shared" si="485"/>
        <v>ООО "СК ЭКОСТРОЙ"</v>
      </c>
      <c r="B10376" s="24" t="s">
        <v>3305</v>
      </c>
      <c r="C10376" s="25">
        <v>0</v>
      </c>
      <c r="D10376" s="22" t="s">
        <v>12760</v>
      </c>
      <c r="E10376" s="22" t="s">
        <v>53</v>
      </c>
      <c r="F10376" s="23" t="str">
        <f>HYPERLINK("https://www.spark-marketing.ru/Card/Lot/69513989", "Наконечник стержня заземления")</f>
        <v>Наконечник стержня заземления</v>
      </c>
      <c r="G10376" s="22" t="s">
        <v>204</v>
      </c>
      <c r="H10376" s="22" t="s">
        <v>303</v>
      </c>
      <c r="I10376" s="26">
        <v>43559.708391203698</v>
      </c>
      <c r="J10376" s="28" t="s">
        <v>52</v>
      </c>
      <c r="K10376" s="28" t="s">
        <v>52</v>
      </c>
      <c r="L10376" s="28" t="s">
        <v>52</v>
      </c>
      <c r="M10376" s="28" t="s">
        <v>52</v>
      </c>
      <c r="N10376" s="28" t="s">
        <v>52</v>
      </c>
    </row>
    <row r="10377" spans="1:14" x14ac:dyDescent="0.15">
      <c r="A10377" s="23" t="str">
        <f t="shared" si="485"/>
        <v>ООО "СК ЭКОСТРОЙ"</v>
      </c>
      <c r="B10377" s="24" t="s">
        <v>3305</v>
      </c>
      <c r="C10377" s="25">
        <v>0</v>
      </c>
      <c r="D10377" s="22" t="s">
        <v>12761</v>
      </c>
      <c r="E10377" s="22" t="s">
        <v>53</v>
      </c>
      <c r="F10377" s="23" t="str">
        <f>HYPERLINK("https://www.spark-marketing.ru/Card/Lot/69514006", "Зажим наборный ЗНИ-2,5 мм2 (JXB24A) серый (50 шт)")</f>
        <v>Зажим наборный ЗНИ-2,5 мм2 (JXB24A) серый (50 шт)</v>
      </c>
      <c r="G10377" s="22" t="s">
        <v>204</v>
      </c>
      <c r="H10377" s="22" t="s">
        <v>303</v>
      </c>
      <c r="I10377" s="26">
        <v>43559.709641203699</v>
      </c>
      <c r="J10377" s="28" t="s">
        <v>52</v>
      </c>
      <c r="K10377" s="28" t="s">
        <v>52</v>
      </c>
      <c r="L10377" s="28" t="s">
        <v>52</v>
      </c>
      <c r="M10377" s="28" t="s">
        <v>52</v>
      </c>
      <c r="N10377" s="28" t="s">
        <v>52</v>
      </c>
    </row>
    <row r="10378" spans="1:14" x14ac:dyDescent="0.15">
      <c r="A10378" s="23" t="str">
        <f t="shared" si="485"/>
        <v>ООО "СК ЭКОСТРОЙ"</v>
      </c>
      <c r="B10378" s="24" t="s">
        <v>3305</v>
      </c>
      <c r="C10378" s="25">
        <v>0</v>
      </c>
      <c r="D10378" s="22" t="s">
        <v>12761</v>
      </c>
      <c r="E10378" s="22" t="s">
        <v>53</v>
      </c>
      <c r="F10378" s="23" t="str">
        <f>HYPERLINK("https://www.spark-marketing.ru/Card/Lot/69514122", "Кабель силовой с медными жилами с изоляцией из ПВХ-пластиката с бронепокровом из стальной оцинкованной ленты, сеч. 5х4,0 мм2")</f>
        <v>Кабель силовой с медными жилами с изоляцией из ПВХ-пластиката с бронепокровом из стальной оцинкованной ленты, сеч. 5х4,0 мм2</v>
      </c>
      <c r="G10378" s="22" t="s">
        <v>204</v>
      </c>
      <c r="H10378" s="22" t="s">
        <v>303</v>
      </c>
      <c r="I10378" s="26">
        <v>43559.709641203699</v>
      </c>
      <c r="J10378" s="28" t="s">
        <v>52</v>
      </c>
      <c r="K10378" s="28" t="s">
        <v>52</v>
      </c>
      <c r="L10378" s="28" t="s">
        <v>52</v>
      </c>
      <c r="M10378" s="28" t="s">
        <v>52</v>
      </c>
      <c r="N10378" s="28" t="s">
        <v>52</v>
      </c>
    </row>
    <row r="10379" spans="1:14" x14ac:dyDescent="0.15">
      <c r="A10379" s="23" t="str">
        <f t="shared" si="485"/>
        <v>ООО "СК ЭКОСТРОЙ"</v>
      </c>
      <c r="B10379" s="24" t="s">
        <v>3305</v>
      </c>
      <c r="C10379" s="25">
        <v>0</v>
      </c>
      <c r="D10379" s="22" t="s">
        <v>12761</v>
      </c>
      <c r="E10379" s="22" t="s">
        <v>53</v>
      </c>
      <c r="F10379" s="23" t="str">
        <f>HYPERLINK("https://www.spark-marketing.ru/Card/Lot/69514144", "Болт с плоской головкой М10х25")</f>
        <v>Болт с плоской головкой М10х25</v>
      </c>
      <c r="G10379" s="22" t="s">
        <v>204</v>
      </c>
      <c r="H10379" s="22" t="s">
        <v>303</v>
      </c>
      <c r="I10379" s="26">
        <v>43559.709641203699</v>
      </c>
      <c r="J10379" s="28" t="s">
        <v>52</v>
      </c>
      <c r="K10379" s="28" t="s">
        <v>52</v>
      </c>
      <c r="L10379" s="28" t="s">
        <v>52</v>
      </c>
      <c r="M10379" s="28" t="s">
        <v>52</v>
      </c>
      <c r="N10379" s="28" t="s">
        <v>52</v>
      </c>
    </row>
    <row r="10380" spans="1:14" x14ac:dyDescent="0.15">
      <c r="A10380" s="23" t="str">
        <f t="shared" si="485"/>
        <v>ООО "СК ЭКОСТРОЙ"</v>
      </c>
      <c r="B10380" s="24" t="s">
        <v>3305</v>
      </c>
      <c r="C10380" s="25">
        <v>0</v>
      </c>
      <c r="D10380" s="22" t="s">
        <v>12760</v>
      </c>
      <c r="E10380" s="22" t="s">
        <v>53</v>
      </c>
      <c r="F10380" s="23" t="str">
        <f>HYPERLINK("https://www.spark-marketing.ru/Card/Lot/69513875", "Кронштейн 110 мм")</f>
        <v>Кронштейн 110 мм</v>
      </c>
      <c r="G10380" s="22" t="s">
        <v>204</v>
      </c>
      <c r="H10380" s="22" t="s">
        <v>303</v>
      </c>
      <c r="I10380" s="26">
        <v>43559.708391203698</v>
      </c>
      <c r="J10380" s="28" t="s">
        <v>52</v>
      </c>
      <c r="K10380" s="28" t="s">
        <v>52</v>
      </c>
      <c r="L10380" s="28" t="s">
        <v>52</v>
      </c>
      <c r="M10380" s="28" t="s">
        <v>52</v>
      </c>
      <c r="N10380" s="28" t="s">
        <v>52</v>
      </c>
    </row>
    <row r="10381" spans="1:14" x14ac:dyDescent="0.15">
      <c r="A10381" s="23" t="str">
        <f t="shared" si="485"/>
        <v>ООО "СК ЭКОСТРОЙ"</v>
      </c>
      <c r="B10381" s="24" t="s">
        <v>3305</v>
      </c>
      <c r="C10381" s="25">
        <v>0</v>
      </c>
      <c r="D10381" s="22" t="s">
        <v>12761</v>
      </c>
      <c r="E10381" s="22" t="s">
        <v>53</v>
      </c>
      <c r="F10381" s="23" t="str">
        <f>HYPERLINK("https://www.spark-marketing.ru/Card/Lot/69514009", "Кнопка управления 22М двойная +LED 220 В зеленый I-Красный 0 1НО+1 НЗ")</f>
        <v>Кнопка управления 22М двойная +LED 220 В зеленый I-Красный 0 1НО+1 НЗ</v>
      </c>
      <c r="G10381" s="22" t="s">
        <v>204</v>
      </c>
      <c r="H10381" s="22" t="s">
        <v>303</v>
      </c>
      <c r="I10381" s="26">
        <v>43559.709641203699</v>
      </c>
      <c r="J10381" s="28" t="s">
        <v>52</v>
      </c>
      <c r="K10381" s="28" t="s">
        <v>52</v>
      </c>
      <c r="L10381" s="28" t="s">
        <v>52</v>
      </c>
      <c r="M10381" s="28" t="s">
        <v>52</v>
      </c>
      <c r="N10381" s="28" t="s">
        <v>52</v>
      </c>
    </row>
    <row r="10382" spans="1:14" x14ac:dyDescent="0.15">
      <c r="A10382" s="23" t="str">
        <f t="shared" si="485"/>
        <v>ООО "СК ЭКОСТРОЙ"</v>
      </c>
      <c r="B10382" s="24" t="s">
        <v>3305</v>
      </c>
      <c r="C10382" s="25">
        <v>0</v>
      </c>
      <c r="D10382" s="22" t="s">
        <v>12761</v>
      </c>
      <c r="E10382" s="22" t="s">
        <v>53</v>
      </c>
      <c r="F10382" s="23" t="str">
        <f>HYPERLINK("https://www.spark-marketing.ru/Card/Lot/69514270", "Болт с плоской головкой М 8-35")</f>
        <v>Болт с плоской головкой М 8-35</v>
      </c>
      <c r="G10382" s="22" t="s">
        <v>204</v>
      </c>
      <c r="H10382" s="22" t="s">
        <v>303</v>
      </c>
      <c r="I10382" s="26">
        <v>43559.709641203699</v>
      </c>
      <c r="J10382" s="28" t="s">
        <v>52</v>
      </c>
      <c r="K10382" s="28" t="s">
        <v>52</v>
      </c>
      <c r="L10382" s="28" t="s">
        <v>52</v>
      </c>
      <c r="M10382" s="28" t="s">
        <v>52</v>
      </c>
      <c r="N10382" s="28" t="s">
        <v>52</v>
      </c>
    </row>
    <row r="10383" spans="1:14" x14ac:dyDescent="0.15">
      <c r="A10383" s="23" t="str">
        <f t="shared" si="485"/>
        <v>ООО "СК ЭКОСТРОЙ"</v>
      </c>
      <c r="B10383" s="24" t="s">
        <v>3305</v>
      </c>
      <c r="C10383" s="25">
        <v>0</v>
      </c>
      <c r="D10383" s="22" t="s">
        <v>12760</v>
      </c>
      <c r="E10383" s="22" t="s">
        <v>53</v>
      </c>
      <c r="F10383" s="23" t="str">
        <f>HYPERLINK("https://www.spark-marketing.ru/Card/Lot/69513869", "Кабельный листовой лоток перфорированный 85х100х3000")</f>
        <v>Кабельный листовой лоток перфорированный 85х100х3000</v>
      </c>
      <c r="G10383" s="22" t="s">
        <v>204</v>
      </c>
      <c r="H10383" s="22" t="s">
        <v>303</v>
      </c>
      <c r="I10383" s="26">
        <v>43559.708391203698</v>
      </c>
      <c r="J10383" s="28" t="s">
        <v>52</v>
      </c>
      <c r="K10383" s="28" t="s">
        <v>52</v>
      </c>
      <c r="L10383" s="28" t="s">
        <v>52</v>
      </c>
      <c r="M10383" s="28" t="s">
        <v>52</v>
      </c>
      <c r="N10383" s="28" t="s">
        <v>52</v>
      </c>
    </row>
    <row r="10384" spans="1:14" x14ac:dyDescent="0.15">
      <c r="A10384" s="23" t="str">
        <f t="shared" si="485"/>
        <v>ООО "СК ЭКОСТРОЙ"</v>
      </c>
      <c r="B10384" s="24" t="s">
        <v>3305</v>
      </c>
      <c r="C10384" s="25">
        <v>0</v>
      </c>
      <c r="D10384" s="22" t="s">
        <v>12760</v>
      </c>
      <c r="E10384" s="22" t="s">
        <v>53</v>
      </c>
      <c r="F10384" s="23" t="str">
        <f>HYPERLINK("https://www.spark-marketing.ru/Card/Lot/69513867", "Болт с прямоугольной головкой М10х30 мм")</f>
        <v>Болт с прямоугольной головкой М10х30 мм</v>
      </c>
      <c r="G10384" s="22" t="s">
        <v>204</v>
      </c>
      <c r="H10384" s="22" t="s">
        <v>303</v>
      </c>
      <c r="I10384" s="26">
        <v>43559.708391203698</v>
      </c>
      <c r="J10384" s="28" t="s">
        <v>52</v>
      </c>
      <c r="K10384" s="28" t="s">
        <v>52</v>
      </c>
      <c r="L10384" s="28" t="s">
        <v>52</v>
      </c>
      <c r="M10384" s="28" t="s">
        <v>52</v>
      </c>
      <c r="N10384" s="28" t="s">
        <v>52</v>
      </c>
    </row>
    <row r="10385" spans="1:14" x14ac:dyDescent="0.15">
      <c r="A10385" s="23" t="str">
        <f t="shared" si="485"/>
        <v>ООО "СК ЭКОСТРОЙ"</v>
      </c>
      <c r="B10385" s="24" t="s">
        <v>3305</v>
      </c>
      <c r="C10385" s="25">
        <v>0</v>
      </c>
      <c r="D10385" s="22" t="s">
        <v>12760</v>
      </c>
      <c r="E10385" s="22" t="s">
        <v>53</v>
      </c>
      <c r="F10385" s="23" t="str">
        <f>HYPERLINK("https://www.spark-marketing.ru/Card/Lot/69513884", "Труба гофрированная с протяжкой d=20 мм")</f>
        <v>Труба гофрированная с протяжкой d=20 мм</v>
      </c>
      <c r="G10385" s="22" t="s">
        <v>204</v>
      </c>
      <c r="H10385" s="22" t="s">
        <v>303</v>
      </c>
      <c r="I10385" s="26">
        <v>43559.708391203698</v>
      </c>
      <c r="J10385" s="28" t="s">
        <v>52</v>
      </c>
      <c r="K10385" s="28" t="s">
        <v>52</v>
      </c>
      <c r="L10385" s="28" t="s">
        <v>52</v>
      </c>
      <c r="M10385" s="28" t="s">
        <v>52</v>
      </c>
      <c r="N10385" s="28" t="s">
        <v>52</v>
      </c>
    </row>
    <row r="10386" spans="1:14" x14ac:dyDescent="0.15">
      <c r="A10386" s="23" t="str">
        <f t="shared" si="485"/>
        <v>ООО "СК ЭКОСТРОЙ"</v>
      </c>
      <c r="B10386" s="24" t="s">
        <v>3305</v>
      </c>
      <c r="C10386" s="25">
        <v>0</v>
      </c>
      <c r="D10386" s="22" t="s">
        <v>12760</v>
      </c>
      <c r="E10386" s="22" t="s">
        <v>53</v>
      </c>
      <c r="F10386" s="23" t="str">
        <f>HYPERLINK("https://www.spark-marketing.ru/Card/Lot/69513995", "Кабель контрольный для систем охранной сигнализации негорючий сечением 1х2х0,5 мм")</f>
        <v>Кабель контрольный для систем охранной сигнализации негорючий сечением 1х2х0,5 мм</v>
      </c>
      <c r="G10386" s="22" t="s">
        <v>204</v>
      </c>
      <c r="H10386" s="22" t="s">
        <v>303</v>
      </c>
      <c r="I10386" s="26">
        <v>43559.708391203698</v>
      </c>
      <c r="J10386" s="28" t="s">
        <v>52</v>
      </c>
      <c r="K10386" s="28" t="s">
        <v>52</v>
      </c>
      <c r="L10386" s="28" t="s">
        <v>52</v>
      </c>
      <c r="M10386" s="28" t="s">
        <v>52</v>
      </c>
      <c r="N10386" s="28" t="s">
        <v>52</v>
      </c>
    </row>
    <row r="10387" spans="1:14" x14ac:dyDescent="0.15">
      <c r="A10387" s="23" t="str">
        <f t="shared" si="485"/>
        <v>ООО "СК ЭКОСТРОЙ"</v>
      </c>
      <c r="B10387" s="24" t="s">
        <v>3305</v>
      </c>
      <c r="C10387" s="25">
        <v>0</v>
      </c>
      <c r="D10387" s="22" t="s">
        <v>12760</v>
      </c>
      <c r="E10387" s="22" t="s">
        <v>53</v>
      </c>
      <c r="F10387" s="23" t="str">
        <f>HYPERLINK("https://www.spark-marketing.ru/Card/Lot/69513879", "Т-образное/крестовое соединение 85х100")</f>
        <v>Т-образное/крестовое соединение 85х100</v>
      </c>
      <c r="G10387" s="22" t="s">
        <v>204</v>
      </c>
      <c r="H10387" s="22" t="s">
        <v>303</v>
      </c>
      <c r="I10387" s="26">
        <v>43559.708391203698</v>
      </c>
      <c r="J10387" s="28" t="s">
        <v>52</v>
      </c>
      <c r="K10387" s="28" t="s">
        <v>52</v>
      </c>
      <c r="L10387" s="28" t="s">
        <v>52</v>
      </c>
      <c r="M10387" s="28" t="s">
        <v>52</v>
      </c>
      <c r="N10387" s="28" t="s">
        <v>52</v>
      </c>
    </row>
    <row r="10388" spans="1:14" x14ac:dyDescent="0.15">
      <c r="A10388" s="23" t="str">
        <f t="shared" si="485"/>
        <v>ООО "СК ЭКОСТРОЙ"</v>
      </c>
      <c r="B10388" s="24" t="s">
        <v>3305</v>
      </c>
      <c r="C10388" s="25">
        <v>0</v>
      </c>
      <c r="D10388" s="22" t="s">
        <v>12761</v>
      </c>
      <c r="E10388" s="22" t="s">
        <v>53</v>
      </c>
      <c r="F10388" s="23" t="str">
        <f>HYPERLINK("https://www.spark-marketing.ru/Card/Lot/69514145", "U-образная профильная рейка 50х50х500 мм")</f>
        <v>U-образная профильная рейка 50х50х500 мм</v>
      </c>
      <c r="G10388" s="22" t="s">
        <v>204</v>
      </c>
      <c r="H10388" s="22" t="s">
        <v>303</v>
      </c>
      <c r="I10388" s="26">
        <v>43559.709641203699</v>
      </c>
      <c r="J10388" s="28" t="s">
        <v>52</v>
      </c>
      <c r="K10388" s="28" t="s">
        <v>52</v>
      </c>
      <c r="L10388" s="28" t="s">
        <v>52</v>
      </c>
      <c r="M10388" s="28" t="s">
        <v>52</v>
      </c>
      <c r="N10388" s="28" t="s">
        <v>52</v>
      </c>
    </row>
    <row r="10389" spans="1:14" x14ac:dyDescent="0.15">
      <c r="A10389" s="23" t="str">
        <f t="shared" si="485"/>
        <v>ООО "СК ЭКОСТРОЙ"</v>
      </c>
      <c r="B10389" s="24" t="s">
        <v>3305</v>
      </c>
      <c r="C10389" s="25">
        <v>0</v>
      </c>
      <c r="D10389" s="22" t="s">
        <v>12761</v>
      </c>
      <c r="E10389" s="22" t="s">
        <v>53</v>
      </c>
      <c r="F10389" s="23" t="str">
        <f>HYPERLINK("https://www.spark-marketing.ru/Card/Lot/69514262", "Анкерный болт BZ-U, M 10х90 мм, сталь, G")</f>
        <v>Анкерный болт BZ-U, M 10х90 мм, сталь, G</v>
      </c>
      <c r="G10389" s="22" t="s">
        <v>204</v>
      </c>
      <c r="H10389" s="22" t="s">
        <v>303</v>
      </c>
      <c r="I10389" s="26">
        <v>43559.709641203699</v>
      </c>
      <c r="J10389" s="28" t="s">
        <v>52</v>
      </c>
      <c r="K10389" s="28" t="s">
        <v>52</v>
      </c>
      <c r="L10389" s="28" t="s">
        <v>52</v>
      </c>
      <c r="M10389" s="28" t="s">
        <v>52</v>
      </c>
      <c r="N10389" s="28" t="s">
        <v>52</v>
      </c>
    </row>
    <row r="10390" spans="1:14" x14ac:dyDescent="0.15">
      <c r="A10390" s="23" t="str">
        <f t="shared" si="485"/>
        <v>ООО "СК ЭКОСТРОЙ"</v>
      </c>
      <c r="B10390" s="24" t="s">
        <v>3305</v>
      </c>
      <c r="C10390" s="25">
        <v>0</v>
      </c>
      <c r="D10390" s="22" t="s">
        <v>12760</v>
      </c>
      <c r="E10390" s="22" t="s">
        <v>53</v>
      </c>
      <c r="F10390" s="23" t="str">
        <f>HYPERLINK("https://www.spark-marketing.ru/Card/Lot/69513871", "Разделительная полочка 85х3000")</f>
        <v>Разделительная полочка 85х3000</v>
      </c>
      <c r="G10390" s="22" t="s">
        <v>204</v>
      </c>
      <c r="H10390" s="22" t="s">
        <v>303</v>
      </c>
      <c r="I10390" s="26">
        <v>43559.708391203698</v>
      </c>
      <c r="J10390" s="28" t="s">
        <v>52</v>
      </c>
      <c r="K10390" s="28" t="s">
        <v>52</v>
      </c>
      <c r="L10390" s="28" t="s">
        <v>52</v>
      </c>
      <c r="M10390" s="28" t="s">
        <v>52</v>
      </c>
      <c r="N10390" s="28" t="s">
        <v>52</v>
      </c>
    </row>
    <row r="10391" spans="1:14" x14ac:dyDescent="0.15">
      <c r="A10391" s="23" t="str">
        <f t="shared" si="485"/>
        <v>ООО "СК ЭКОСТРОЙ"</v>
      </c>
      <c r="B10391" s="24" t="s">
        <v>3305</v>
      </c>
      <c r="C10391" s="25">
        <v>0</v>
      </c>
      <c r="D10391" s="22" t="s">
        <v>12760</v>
      </c>
      <c r="E10391" s="22" t="s">
        <v>53</v>
      </c>
      <c r="F10391" s="23" t="str">
        <f>HYPERLINK("https://www.spark-marketing.ru/Card/Lot/69513863", "Кабель контрольный с медными жилами с оболочкой и изоляцией из ПВХ-пластиката пониженной горючести, сечением 7х1,0 мм2")</f>
        <v>Кабель контрольный с медными жилами с оболочкой и изоляцией из ПВХ-пластиката пониженной горючести, сечением 7х1,0 мм2</v>
      </c>
      <c r="G10391" s="22" t="s">
        <v>204</v>
      </c>
      <c r="H10391" s="22" t="s">
        <v>303</v>
      </c>
      <c r="I10391" s="26">
        <v>43559.708391203698</v>
      </c>
      <c r="J10391" s="28" t="s">
        <v>52</v>
      </c>
      <c r="K10391" s="28" t="s">
        <v>52</v>
      </c>
      <c r="L10391" s="28" t="s">
        <v>52</v>
      </c>
      <c r="M10391" s="28" t="s">
        <v>52</v>
      </c>
      <c r="N10391" s="28" t="s">
        <v>52</v>
      </c>
    </row>
    <row r="10392" spans="1:14" x14ac:dyDescent="0.15">
      <c r="A10392" s="23" t="str">
        <f t="shared" si="485"/>
        <v>ООО "СК ЭКОСТРОЙ"</v>
      </c>
      <c r="B10392" s="24" t="s">
        <v>3305</v>
      </c>
      <c r="C10392" s="25">
        <v>0</v>
      </c>
      <c r="D10392" s="22" t="s">
        <v>12760</v>
      </c>
      <c r="E10392" s="22" t="s">
        <v>53</v>
      </c>
      <c r="F10392" s="23" t="str">
        <f>HYPERLINK("https://www.spark-marketing.ru/Card/Lot/69513881", "Кронштейн 510 мм")</f>
        <v>Кронштейн 510 мм</v>
      </c>
      <c r="G10392" s="22" t="s">
        <v>204</v>
      </c>
      <c r="H10392" s="22" t="s">
        <v>303</v>
      </c>
      <c r="I10392" s="26">
        <v>43559.708391203698</v>
      </c>
      <c r="J10392" s="28" t="s">
        <v>52</v>
      </c>
      <c r="K10392" s="28" t="s">
        <v>52</v>
      </c>
      <c r="L10392" s="28" t="s">
        <v>52</v>
      </c>
      <c r="M10392" s="28" t="s">
        <v>52</v>
      </c>
      <c r="N10392" s="28" t="s">
        <v>52</v>
      </c>
    </row>
    <row r="10393" spans="1:14" x14ac:dyDescent="0.15">
      <c r="A10393" s="23" t="str">
        <f t="shared" si="485"/>
        <v>ООО "СК ЭКОСТРОЙ"</v>
      </c>
      <c r="B10393" s="24" t="s">
        <v>3305</v>
      </c>
      <c r="C10393" s="25">
        <v>0</v>
      </c>
      <c r="D10393" s="22" t="s">
        <v>12760</v>
      </c>
      <c r="E10393" s="22" t="s">
        <v>53</v>
      </c>
      <c r="F10393" s="23" t="str">
        <f>HYPERLINK("https://www.spark-marketing.ru/Card/Lot/69513887", "Гайка М8")</f>
        <v>Гайка М8</v>
      </c>
      <c r="G10393" s="22" t="s">
        <v>204</v>
      </c>
      <c r="H10393" s="22" t="s">
        <v>303</v>
      </c>
      <c r="I10393" s="26">
        <v>43559.708391203698</v>
      </c>
      <c r="J10393" s="28" t="s">
        <v>52</v>
      </c>
      <c r="K10393" s="28" t="s">
        <v>52</v>
      </c>
      <c r="L10393" s="28" t="s">
        <v>52</v>
      </c>
      <c r="M10393" s="28" t="s">
        <v>52</v>
      </c>
      <c r="N10393" s="28" t="s">
        <v>52</v>
      </c>
    </row>
    <row r="10394" spans="1:14" x14ac:dyDescent="0.15">
      <c r="A10394" s="23" t="str">
        <f t="shared" si="485"/>
        <v>ООО "СК ЭКОСТРОЙ"</v>
      </c>
      <c r="B10394" s="24" t="s">
        <v>3305</v>
      </c>
      <c r="C10394" s="25">
        <v>0</v>
      </c>
      <c r="D10394" s="22" t="s">
        <v>12761</v>
      </c>
      <c r="E10394" s="22" t="s">
        <v>53</v>
      </c>
      <c r="F10394" s="23" t="str">
        <f>HYPERLINK("https://www.spark-marketing.ru/Card/Lot/69514124", "Кабель контрольный с медными жилами с оболочкой и изоляцией из ПВХ-пластиката пониженной горючести, сечением 10х1,0 мм2")</f>
        <v>Кабель контрольный с медными жилами с оболочкой и изоляцией из ПВХ-пластиката пониженной горючести, сечением 10х1,0 мм2</v>
      </c>
      <c r="G10394" s="22" t="s">
        <v>204</v>
      </c>
      <c r="H10394" s="22" t="s">
        <v>303</v>
      </c>
      <c r="I10394" s="26">
        <v>43559.709641203699</v>
      </c>
      <c r="J10394" s="28" t="s">
        <v>52</v>
      </c>
      <c r="K10394" s="28" t="s">
        <v>52</v>
      </c>
      <c r="L10394" s="28" t="s">
        <v>52</v>
      </c>
      <c r="M10394" s="28" t="s">
        <v>52</v>
      </c>
      <c r="N10394" s="28" t="s">
        <v>52</v>
      </c>
    </row>
    <row r="10395" spans="1:14" x14ac:dyDescent="0.15">
      <c r="A10395" s="23" t="str">
        <f t="shared" si="485"/>
        <v>ООО "СК ЭКОСТРОЙ"</v>
      </c>
      <c r="B10395" s="24" t="s">
        <v>3305</v>
      </c>
      <c r="C10395" s="25">
        <v>0</v>
      </c>
      <c r="D10395" s="22" t="s">
        <v>12761</v>
      </c>
      <c r="E10395" s="22" t="s">
        <v>53</v>
      </c>
      <c r="F10395" s="23" t="str">
        <f>HYPERLINK("https://www.spark-marketing.ru/Card/Lot/69514125", "Коробка распределительная для открытого монтажа IP66 из УФ-стабилизированного термопласта. Разм.285х201х120 мм. В составе: - Автоматический выключатель однофазный I ном=10 А, хар-ка В (ВА 47-29 1 Р 10 А, ИЕК, 2 шт); - сжим ответвительный 4-10 мм/1,0-...")</f>
        <v>Коробка распределительная для открытого монтажа IP66 из УФ-стабилизированного термопласта. Разм.285х201х120 мм. В составе: - Автоматический выключатель однофазный I ном=10 А, хар-ка В (ВА 47-29 1 Р 10 А, ИЕК, 2 шт); - сжим ответвительный 4-10 мм/1,0-...</v>
      </c>
      <c r="G10395" s="22" t="s">
        <v>204</v>
      </c>
      <c r="H10395" s="22" t="s">
        <v>303</v>
      </c>
      <c r="I10395" s="26">
        <v>43559.709641203699</v>
      </c>
      <c r="J10395" s="28" t="s">
        <v>52</v>
      </c>
      <c r="K10395" s="28" t="s">
        <v>52</v>
      </c>
      <c r="L10395" s="28" t="s">
        <v>52</v>
      </c>
      <c r="M10395" s="28" t="s">
        <v>52</v>
      </c>
      <c r="N10395" s="28" t="s">
        <v>52</v>
      </c>
    </row>
    <row r="10396" spans="1:14" x14ac:dyDescent="0.15">
      <c r="A10396" s="23" t="str">
        <f t="shared" si="485"/>
        <v>ООО "СК ЭКОСТРОЙ"</v>
      </c>
      <c r="B10396" s="24" t="s">
        <v>3305</v>
      </c>
      <c r="C10396" s="25">
        <v>0</v>
      </c>
      <c r="D10396" s="22" t="s">
        <v>12761</v>
      </c>
      <c r="E10396" s="22" t="s">
        <v>53</v>
      </c>
      <c r="F10396" s="23" t="str">
        <f>HYPERLINK("https://www.spark-marketing.ru/Card/Lot/69514127", "Болт с плоской головкой М6х12 мм")</f>
        <v>Болт с плоской головкой М6х12 мм</v>
      </c>
      <c r="G10396" s="22" t="s">
        <v>204</v>
      </c>
      <c r="H10396" s="22" t="s">
        <v>303</v>
      </c>
      <c r="I10396" s="26">
        <v>43559.709641203699</v>
      </c>
      <c r="J10396" s="28" t="s">
        <v>52</v>
      </c>
      <c r="K10396" s="28" t="s">
        <v>52</v>
      </c>
      <c r="L10396" s="28" t="s">
        <v>52</v>
      </c>
      <c r="M10396" s="28" t="s">
        <v>52</v>
      </c>
      <c r="N10396" s="28" t="s">
        <v>52</v>
      </c>
    </row>
    <row r="10397" spans="1:14" x14ac:dyDescent="0.15">
      <c r="A10397" s="23" t="str">
        <f t="shared" si="485"/>
        <v>ООО "СК ЭКОСТРОЙ"</v>
      </c>
      <c r="B10397" s="24" t="s">
        <v>3305</v>
      </c>
      <c r="C10397" s="25">
        <v>0</v>
      </c>
      <c r="D10397" s="22" t="s">
        <v>12761</v>
      </c>
      <c r="E10397" s="22" t="s">
        <v>53</v>
      </c>
      <c r="F10397" s="23" t="str">
        <f>HYPERLINK("https://www.spark-marketing.ru/Card/Lot/69514141", "Шарнирный соединитель кабельного листового лотка 60х260")</f>
        <v>Шарнирный соединитель кабельного листового лотка 60х260</v>
      </c>
      <c r="G10397" s="22" t="s">
        <v>204</v>
      </c>
      <c r="H10397" s="22" t="s">
        <v>303</v>
      </c>
      <c r="I10397" s="26">
        <v>43559.709641203699</v>
      </c>
      <c r="J10397" s="28" t="s">
        <v>52</v>
      </c>
      <c r="K10397" s="28" t="s">
        <v>52</v>
      </c>
      <c r="L10397" s="28" t="s">
        <v>52</v>
      </c>
      <c r="M10397" s="28" t="s">
        <v>52</v>
      </c>
      <c r="N10397" s="28" t="s">
        <v>52</v>
      </c>
    </row>
    <row r="10398" spans="1:14" x14ac:dyDescent="0.15">
      <c r="A10398" s="23" t="str">
        <f t="shared" si="485"/>
        <v>ООО "СК ЭКОСТРОЙ"</v>
      </c>
      <c r="B10398" s="24" t="s">
        <v>3305</v>
      </c>
      <c r="C10398" s="25">
        <v>0</v>
      </c>
      <c r="D10398" s="22" t="s">
        <v>12761</v>
      </c>
      <c r="E10398" s="22" t="s">
        <v>53</v>
      </c>
      <c r="F10398" s="23" t="str">
        <f>HYPERLINK("https://www.spark-marketing.ru/Card/Lot/69514147", "Вертикальный угол 90градус.внешний 85х100")</f>
        <v>Вертикальный угол 90градус.внешний 85х100</v>
      </c>
      <c r="G10398" s="22" t="s">
        <v>204</v>
      </c>
      <c r="H10398" s="22" t="s">
        <v>303</v>
      </c>
      <c r="I10398" s="26">
        <v>43559.709641203699</v>
      </c>
      <c r="J10398" s="28" t="s">
        <v>52</v>
      </c>
      <c r="K10398" s="28" t="s">
        <v>52</v>
      </c>
      <c r="L10398" s="28" t="s">
        <v>52</v>
      </c>
      <c r="M10398" s="28" t="s">
        <v>52</v>
      </c>
      <c r="N10398" s="28" t="s">
        <v>52</v>
      </c>
    </row>
    <row r="10399" spans="1:14" x14ac:dyDescent="0.15">
      <c r="A10399" s="23" t="str">
        <f t="shared" si="485"/>
        <v>ООО "СК ЭКОСТРОЙ"</v>
      </c>
      <c r="B10399" s="24" t="s">
        <v>3305</v>
      </c>
      <c r="C10399" s="25">
        <v>0</v>
      </c>
      <c r="D10399" s="22" t="s">
        <v>12760</v>
      </c>
      <c r="E10399" s="22" t="s">
        <v>53</v>
      </c>
      <c r="F10399" s="23" t="str">
        <f>HYPERLINK("https://www.spark-marketing.ru/Card/Lot/69513878", "Крышка угловой секции 90 100 мм")</f>
        <v>Крышка угловой секции 90 100 мм</v>
      </c>
      <c r="G10399" s="22" t="s">
        <v>204</v>
      </c>
      <c r="H10399" s="22" t="s">
        <v>303</v>
      </c>
      <c r="I10399" s="26">
        <v>43559.708391203698</v>
      </c>
      <c r="J10399" s="28" t="s">
        <v>52</v>
      </c>
      <c r="K10399" s="28" t="s">
        <v>52</v>
      </c>
      <c r="L10399" s="28" t="s">
        <v>52</v>
      </c>
      <c r="M10399" s="28" t="s">
        <v>52</v>
      </c>
      <c r="N10399" s="28" t="s">
        <v>52</v>
      </c>
    </row>
    <row r="10400" spans="1:14" x14ac:dyDescent="0.15">
      <c r="A10400" s="23" t="str">
        <f t="shared" si="485"/>
        <v>ООО "СК ЭКОСТРОЙ"</v>
      </c>
      <c r="B10400" s="24" t="s">
        <v>3305</v>
      </c>
      <c r="C10400" s="25">
        <v>0</v>
      </c>
      <c r="D10400" s="22" t="s">
        <v>12761</v>
      </c>
      <c r="E10400" s="22" t="s">
        <v>53</v>
      </c>
      <c r="F10400" s="23" t="str">
        <f>HYPERLINK("https://www.spark-marketing.ru/Card/Lot/69514143", "Кронштейн 410 мм")</f>
        <v>Кронштейн 410 мм</v>
      </c>
      <c r="G10400" s="22" t="s">
        <v>204</v>
      </c>
      <c r="H10400" s="22" t="s">
        <v>303</v>
      </c>
      <c r="I10400" s="26">
        <v>43559.709641203699</v>
      </c>
      <c r="J10400" s="28" t="s">
        <v>52</v>
      </c>
      <c r="K10400" s="28" t="s">
        <v>52</v>
      </c>
      <c r="L10400" s="28" t="s">
        <v>52</v>
      </c>
      <c r="M10400" s="28" t="s">
        <v>52</v>
      </c>
      <c r="N10400" s="28" t="s">
        <v>52</v>
      </c>
    </row>
    <row r="10401" spans="1:14" x14ac:dyDescent="0.15">
      <c r="A10401" s="23" t="str">
        <f t="shared" si="485"/>
        <v>ООО "СК ЭКОСТРОЙ"</v>
      </c>
      <c r="B10401" s="24" t="s">
        <v>3305</v>
      </c>
      <c r="C10401" s="25">
        <v>0</v>
      </c>
      <c r="D10401" s="22" t="s">
        <v>12760</v>
      </c>
      <c r="E10401" s="22" t="s">
        <v>53</v>
      </c>
      <c r="F10401" s="23" t="str">
        <f>HYPERLINK("https://www.spark-marketing.ru/Card/Lot/69513874", "Болт с плоской головкой М6х12")</f>
        <v>Болт с плоской головкой М6х12</v>
      </c>
      <c r="G10401" s="22" t="s">
        <v>204</v>
      </c>
      <c r="H10401" s="22" t="s">
        <v>303</v>
      </c>
      <c r="I10401" s="26">
        <v>43559.708391203698</v>
      </c>
      <c r="J10401" s="28" t="s">
        <v>52</v>
      </c>
      <c r="K10401" s="28" t="s">
        <v>52</v>
      </c>
      <c r="L10401" s="28" t="s">
        <v>52</v>
      </c>
      <c r="M10401" s="28" t="s">
        <v>52</v>
      </c>
      <c r="N10401" s="28" t="s">
        <v>52</v>
      </c>
    </row>
    <row r="10402" spans="1:14" x14ac:dyDescent="0.15">
      <c r="A10402" s="23" t="str">
        <f t="shared" si="485"/>
        <v>ООО "СК ЭКОСТРОЙ"</v>
      </c>
      <c r="B10402" s="24" t="s">
        <v>3305</v>
      </c>
      <c r="C10402" s="25">
        <v>0</v>
      </c>
      <c r="D10402" s="22" t="s">
        <v>12760</v>
      </c>
      <c r="E10402" s="22" t="s">
        <v>53</v>
      </c>
      <c r="F10402" s="23" t="str">
        <f>HYPERLINK("https://www.spark-marketing.ru/Card/Lot/69513860", "Кабель силовой с медными жилами с ПВХ-оболочкой и изоляцией, не распространяющий горение, сечением 5х6,0 мм2")</f>
        <v>Кабель силовой с медными жилами с ПВХ-оболочкой и изоляцией, не распространяющий горение, сечением 5х6,0 мм2</v>
      </c>
      <c r="G10402" s="22" t="s">
        <v>204</v>
      </c>
      <c r="H10402" s="22" t="s">
        <v>303</v>
      </c>
      <c r="I10402" s="26">
        <v>43559.708391203698</v>
      </c>
      <c r="J10402" s="28" t="s">
        <v>52</v>
      </c>
      <c r="K10402" s="28" t="s">
        <v>52</v>
      </c>
      <c r="L10402" s="28" t="s">
        <v>52</v>
      </c>
      <c r="M10402" s="28" t="s">
        <v>52</v>
      </c>
      <c r="N10402" s="28" t="s">
        <v>52</v>
      </c>
    </row>
    <row r="10403" spans="1:14" x14ac:dyDescent="0.15">
      <c r="A10403" s="23" t="str">
        <f t="shared" si="485"/>
        <v>ООО "СК ЭКОСТРОЙ"</v>
      </c>
      <c r="B10403" s="24" t="s">
        <v>3305</v>
      </c>
      <c r="C10403" s="25">
        <v>0</v>
      </c>
      <c r="D10403" s="22" t="s">
        <v>12761</v>
      </c>
      <c r="E10403" s="22" t="s">
        <v>53</v>
      </c>
      <c r="F10403" s="23" t="str">
        <f>HYPERLINK("https://www.spark-marketing.ru/Card/Lot/69514120", "Кронштейн накладной 1-рожк. Регулируемый разм.200х355х75 мм")</f>
        <v>Кронштейн накладной 1-рожк. Регулируемый разм.200х355х75 мм</v>
      </c>
      <c r="G10403" s="22" t="s">
        <v>204</v>
      </c>
      <c r="H10403" s="22" t="s">
        <v>303</v>
      </c>
      <c r="I10403" s="26">
        <v>43559.709641203699</v>
      </c>
      <c r="J10403" s="28" t="s">
        <v>52</v>
      </c>
      <c r="K10403" s="28" t="s">
        <v>52</v>
      </c>
      <c r="L10403" s="28" t="s">
        <v>52</v>
      </c>
      <c r="M10403" s="28" t="s">
        <v>52</v>
      </c>
      <c r="N10403" s="28" t="s">
        <v>52</v>
      </c>
    </row>
    <row r="10404" spans="1:14" x14ac:dyDescent="0.15">
      <c r="A10404" s="23" t="str">
        <f t="shared" si="485"/>
        <v>ООО "СК ЭКОСТРОЙ"</v>
      </c>
      <c r="B10404" s="24" t="s">
        <v>3305</v>
      </c>
      <c r="C10404" s="25">
        <v>0</v>
      </c>
      <c r="D10404" s="22" t="s">
        <v>12761</v>
      </c>
      <c r="E10404" s="22" t="s">
        <v>53</v>
      </c>
      <c r="F10404" s="23" t="str">
        <f>HYPERLINK("https://www.spark-marketing.ru/Card/Lot/69514132", "Разделительная полочка 85х3000")</f>
        <v>Разделительная полочка 85х3000</v>
      </c>
      <c r="G10404" s="22" t="s">
        <v>204</v>
      </c>
      <c r="H10404" s="22" t="s">
        <v>303</v>
      </c>
      <c r="I10404" s="26">
        <v>43559.709641203699</v>
      </c>
      <c r="J10404" s="28" t="s">
        <v>52</v>
      </c>
      <c r="K10404" s="28" t="s">
        <v>52</v>
      </c>
      <c r="L10404" s="28" t="s">
        <v>52</v>
      </c>
      <c r="M10404" s="28" t="s">
        <v>52</v>
      </c>
      <c r="N10404" s="28" t="s">
        <v>52</v>
      </c>
    </row>
    <row r="10405" spans="1:14" x14ac:dyDescent="0.15">
      <c r="A10405" s="23" t="str">
        <f t="shared" si="485"/>
        <v>ООО "СК ЭКОСТРОЙ"</v>
      </c>
      <c r="B10405" s="24" t="s">
        <v>3305</v>
      </c>
      <c r="C10405" s="25">
        <v>0</v>
      </c>
      <c r="D10405" s="22" t="s">
        <v>12760</v>
      </c>
      <c r="E10405" s="22" t="s">
        <v>53</v>
      </c>
      <c r="F10405" s="23" t="str">
        <f>HYPERLINK("https://www.spark-marketing.ru/Card/Lot/69513886", "Болт М8")</f>
        <v>Болт М8</v>
      </c>
      <c r="G10405" s="22" t="s">
        <v>204</v>
      </c>
      <c r="H10405" s="22" t="s">
        <v>303</v>
      </c>
      <c r="I10405" s="26">
        <v>43559.708391203698</v>
      </c>
      <c r="J10405" s="28" t="s">
        <v>52</v>
      </c>
      <c r="K10405" s="28" t="s">
        <v>52</v>
      </c>
      <c r="L10405" s="28" t="s">
        <v>52</v>
      </c>
      <c r="M10405" s="28" t="s">
        <v>52</v>
      </c>
      <c r="N10405" s="28" t="s">
        <v>52</v>
      </c>
    </row>
    <row r="10406" spans="1:14" x14ac:dyDescent="0.15">
      <c r="A10406" s="23" t="str">
        <f t="shared" si="485"/>
        <v>ООО "СК ЭКОСТРОЙ"</v>
      </c>
      <c r="B10406" s="24" t="s">
        <v>3305</v>
      </c>
      <c r="C10406" s="25">
        <v>0</v>
      </c>
      <c r="D10406" s="22" t="s">
        <v>12761</v>
      </c>
      <c r="E10406" s="22" t="s">
        <v>53</v>
      </c>
      <c r="F10406" s="23" t="str">
        <f>HYPERLINK("https://www.spark-marketing.ru/Card/Lot/69514008", "Корпус металлический навесной серии ""Гарант"" IP65 с монтажной панелью, разм. 650х500х220 мм. В составе: - Кабел-канал перфорированный 25х60 мм, шаг перф-ции-10 мм (серия RL6, ИЕК, 3 м); - ограничитель на дин-рейку (металл) (ИЕК, 8 шт); - дин.рейка ...")</f>
        <v>Корпус металлический навесной серии "Гарант" IP65 с монтажной панелью, разм. 650х500х220 мм. В составе: - Кабел-канал перфорированный 25х60 мм, шаг перф-ции-10 мм (серия RL6, ИЕК, 3 м); - ограничитель на дин-рейку (металл) (ИЕК, 8 шт); - дин.рейка ...</v>
      </c>
      <c r="G10406" s="22" t="s">
        <v>204</v>
      </c>
      <c r="H10406" s="22" t="s">
        <v>303</v>
      </c>
      <c r="I10406" s="26">
        <v>43559.709641203699</v>
      </c>
      <c r="J10406" s="28" t="s">
        <v>52</v>
      </c>
      <c r="K10406" s="28" t="s">
        <v>52</v>
      </c>
      <c r="L10406" s="28" t="s">
        <v>52</v>
      </c>
      <c r="M10406" s="28" t="s">
        <v>52</v>
      </c>
      <c r="N10406" s="28" t="s">
        <v>52</v>
      </c>
    </row>
    <row r="10407" spans="1:14" x14ac:dyDescent="0.15">
      <c r="A10407" s="23" t="str">
        <f t="shared" si="485"/>
        <v>ООО "СК ЭКОСТРОЙ"</v>
      </c>
      <c r="B10407" s="24" t="s">
        <v>3305</v>
      </c>
      <c r="C10407" s="25">
        <v>0</v>
      </c>
      <c r="D10407" s="22" t="s">
        <v>12761</v>
      </c>
      <c r="E10407" s="22" t="s">
        <v>53</v>
      </c>
      <c r="F10407" s="23" t="str">
        <f>HYPERLINK("https://www.spark-marketing.ru/Card/Lot/69514260", "U-образная профильная рейка 70х50х6000")</f>
        <v>U-образная профильная рейка 70х50х6000</v>
      </c>
      <c r="G10407" s="22" t="s">
        <v>204</v>
      </c>
      <c r="H10407" s="22" t="s">
        <v>303</v>
      </c>
      <c r="I10407" s="26">
        <v>43559.709641203699</v>
      </c>
      <c r="J10407" s="28" t="s">
        <v>52</v>
      </c>
      <c r="K10407" s="28" t="s">
        <v>52</v>
      </c>
      <c r="L10407" s="28" t="s">
        <v>52</v>
      </c>
      <c r="M10407" s="28" t="s">
        <v>52</v>
      </c>
      <c r="N10407" s="28" t="s">
        <v>52</v>
      </c>
    </row>
    <row r="10408" spans="1:14" x14ac:dyDescent="0.15">
      <c r="A10408" s="23" t="str">
        <f t="shared" si="485"/>
        <v>ООО "СК ЭКОСТРОЙ"</v>
      </c>
      <c r="B10408" s="24" t="s">
        <v>3305</v>
      </c>
      <c r="C10408" s="25">
        <v>0</v>
      </c>
      <c r="D10408" s="22" t="s">
        <v>12764</v>
      </c>
      <c r="E10408" s="22" t="s">
        <v>53</v>
      </c>
      <c r="F10408" s="23" t="str">
        <f>HYPERLINK("https://www.spark-marketing.ru/Card/Lot/69515420", "Зажим наборный ЗНИ-10 мм2 (JXB70A) серый (20 шт)")</f>
        <v>Зажим наборный ЗНИ-10 мм2 (JXB70A) серый (20 шт)</v>
      </c>
      <c r="G10408" s="22" t="s">
        <v>204</v>
      </c>
      <c r="H10408" s="22" t="s">
        <v>303</v>
      </c>
      <c r="I10408" s="26">
        <v>43559.707187499997</v>
      </c>
      <c r="J10408" s="28" t="s">
        <v>52</v>
      </c>
      <c r="K10408" s="28" t="s">
        <v>52</v>
      </c>
      <c r="L10408" s="28" t="s">
        <v>52</v>
      </c>
      <c r="M10408" s="28" t="s">
        <v>52</v>
      </c>
      <c r="N10408" s="28" t="s">
        <v>52</v>
      </c>
    </row>
    <row r="10409" spans="1:14" x14ac:dyDescent="0.15">
      <c r="A10409" s="23" t="str">
        <f t="shared" si="485"/>
        <v>ООО "СК ЭКОСТРОЙ"</v>
      </c>
      <c r="B10409" s="24" t="s">
        <v>3305</v>
      </c>
      <c r="C10409" s="25">
        <v>0</v>
      </c>
      <c r="D10409" s="22" t="s">
        <v>12764</v>
      </c>
      <c r="E10409" s="22" t="s">
        <v>53</v>
      </c>
      <c r="F10409" s="23" t="str">
        <f>HYPERLINK("https://www.spark-marketing.ru/Card/Lot/69515423", "Кабель силовой с медными жилами с ПВХ-оболочкой и изоляцией, не распространяющий горение, сечением 5х10,0 мм2")</f>
        <v>Кабель силовой с медными жилами с ПВХ-оболочкой и изоляцией, не распространяющий горение, сечением 5х10,0 мм2</v>
      </c>
      <c r="G10409" s="22" t="s">
        <v>204</v>
      </c>
      <c r="H10409" s="22" t="s">
        <v>303</v>
      </c>
      <c r="I10409" s="26">
        <v>43559.707187499997</v>
      </c>
      <c r="J10409" s="28" t="s">
        <v>52</v>
      </c>
      <c r="K10409" s="28" t="s">
        <v>52</v>
      </c>
      <c r="L10409" s="28" t="s">
        <v>52</v>
      </c>
      <c r="M10409" s="28" t="s">
        <v>52</v>
      </c>
      <c r="N10409" s="28" t="s">
        <v>52</v>
      </c>
    </row>
    <row r="10410" spans="1:14" x14ac:dyDescent="0.15">
      <c r="A10410" s="23" t="str">
        <f t="shared" si="485"/>
        <v>ООО "СК ЭКОСТРОЙ"</v>
      </c>
      <c r="B10410" s="24" t="s">
        <v>3305</v>
      </c>
      <c r="C10410" s="25">
        <v>0</v>
      </c>
      <c r="D10410" s="22" t="s">
        <v>12764</v>
      </c>
      <c r="E10410" s="22" t="s">
        <v>53</v>
      </c>
      <c r="F10410" s="23" t="str">
        <f>HYPERLINK("https://www.spark-marketing.ru/Card/Lot/69515521", "Коробка распределительная для открытого монтажа IP66 из УФ-стабилизированного термопласта. Разм.285х201х120 мм. В составе: - Автоматический выключатель однофазный I ном=10 А, хар-ка В (ВА 47-29 1 Р 10 А, ИЕК, 2 шт); - сжим ответвительный 4-10 мм/1,0-...")</f>
        <v>Коробка распределительная для открытого монтажа IP66 из УФ-стабилизированного термопласта. Разм.285х201х120 мм. В составе: - Автоматический выключатель однофазный I ном=10 А, хар-ка В (ВА 47-29 1 Р 10 А, ИЕК, 2 шт); - сжим ответвительный 4-10 мм/1,0-...</v>
      </c>
      <c r="G10410" s="22" t="s">
        <v>204</v>
      </c>
      <c r="H10410" s="22" t="s">
        <v>303</v>
      </c>
      <c r="I10410" s="26">
        <v>43559.707187499997</v>
      </c>
      <c r="J10410" s="28" t="s">
        <v>52</v>
      </c>
      <c r="K10410" s="28" t="s">
        <v>52</v>
      </c>
      <c r="L10410" s="28" t="s">
        <v>52</v>
      </c>
      <c r="M10410" s="28" t="s">
        <v>52</v>
      </c>
      <c r="N10410" s="28" t="s">
        <v>52</v>
      </c>
    </row>
    <row r="10411" spans="1:14" x14ac:dyDescent="0.15">
      <c r="A10411" s="23" t="str">
        <f t="shared" si="485"/>
        <v>ООО "СК ЭКОСТРОЙ"</v>
      </c>
      <c r="B10411" s="24" t="s">
        <v>3305</v>
      </c>
      <c r="C10411" s="25">
        <v>0</v>
      </c>
      <c r="D10411" s="22" t="s">
        <v>12764</v>
      </c>
      <c r="E10411" s="22" t="s">
        <v>53</v>
      </c>
      <c r="F10411" s="23" t="str">
        <f>HYPERLINK("https://www.spark-marketing.ru/Card/Lot/69515539", "Крышка внешнего вертикального угла 90 100 мм")</f>
        <v>Крышка внешнего вертикального угла 90 100 мм</v>
      </c>
      <c r="G10411" s="22" t="s">
        <v>204</v>
      </c>
      <c r="H10411" s="22" t="s">
        <v>303</v>
      </c>
      <c r="I10411" s="26">
        <v>43559.707187499997</v>
      </c>
      <c r="J10411" s="28" t="s">
        <v>52</v>
      </c>
      <c r="K10411" s="28" t="s">
        <v>52</v>
      </c>
      <c r="L10411" s="28" t="s">
        <v>52</v>
      </c>
      <c r="M10411" s="28" t="s">
        <v>52</v>
      </c>
      <c r="N10411" s="28" t="s">
        <v>52</v>
      </c>
    </row>
    <row r="10412" spans="1:14" x14ac:dyDescent="0.15">
      <c r="A10412" s="23" t="str">
        <f t="shared" si="485"/>
        <v>ООО "СК ЭКОСТРОЙ"</v>
      </c>
      <c r="B10412" s="24" t="s">
        <v>3305</v>
      </c>
      <c r="C10412" s="25">
        <v>0</v>
      </c>
      <c r="D10412" s="22" t="s">
        <v>12764</v>
      </c>
      <c r="E10412" s="22" t="s">
        <v>53</v>
      </c>
      <c r="F10412" s="23" t="str">
        <f>HYPERLINK("https://www.spark-marketing.ru/Card/Lot/69515652", "Наконечник стержня заземления")</f>
        <v>Наконечник стержня заземления</v>
      </c>
      <c r="G10412" s="22" t="s">
        <v>204</v>
      </c>
      <c r="H10412" s="22" t="s">
        <v>303</v>
      </c>
      <c r="I10412" s="26">
        <v>43559.707187499997</v>
      </c>
      <c r="J10412" s="28" t="s">
        <v>52</v>
      </c>
      <c r="K10412" s="28" t="s">
        <v>52</v>
      </c>
      <c r="L10412" s="28" t="s">
        <v>52</v>
      </c>
      <c r="M10412" s="28" t="s">
        <v>52</v>
      </c>
      <c r="N10412" s="28" t="s">
        <v>52</v>
      </c>
    </row>
    <row r="10413" spans="1:14" x14ac:dyDescent="0.15">
      <c r="A10413" s="23" t="str">
        <f t="shared" si="485"/>
        <v>ООО "СК ЭКОСТРОЙ"</v>
      </c>
      <c r="B10413" s="24" t="s">
        <v>3305</v>
      </c>
      <c r="C10413" s="25">
        <v>0</v>
      </c>
      <c r="D10413" s="22" t="s">
        <v>12764</v>
      </c>
      <c r="E10413" s="22" t="s">
        <v>53</v>
      </c>
      <c r="F10413" s="23" t="str">
        <f>HYPERLINK("https://www.spark-marketing.ru/Card/Lot/69515541", "Крышка Т-образного соединения 100 мм")</f>
        <v>Крышка Т-образного соединения 100 мм</v>
      </c>
      <c r="G10413" s="22" t="s">
        <v>204</v>
      </c>
      <c r="H10413" s="22" t="s">
        <v>303</v>
      </c>
      <c r="I10413" s="26">
        <v>43559.707187499997</v>
      </c>
      <c r="J10413" s="28" t="s">
        <v>52</v>
      </c>
      <c r="K10413" s="28" t="s">
        <v>52</v>
      </c>
      <c r="L10413" s="28" t="s">
        <v>52</v>
      </c>
      <c r="M10413" s="28" t="s">
        <v>52</v>
      </c>
      <c r="N10413" s="28" t="s">
        <v>52</v>
      </c>
    </row>
    <row r="10414" spans="1:14" x14ac:dyDescent="0.15">
      <c r="A10414" s="23" t="str">
        <f t="shared" si="485"/>
        <v>ООО "СК ЭКОСТРОЙ"</v>
      </c>
      <c r="B10414" s="24" t="s">
        <v>3305</v>
      </c>
      <c r="C10414" s="25">
        <v>0</v>
      </c>
      <c r="D10414" s="22" t="s">
        <v>12764</v>
      </c>
      <c r="E10414" s="22" t="s">
        <v>53</v>
      </c>
      <c r="F10414" s="23" t="str">
        <f>HYPERLINK("https://www.spark-marketing.ru/Card/Lot/69515540", "Т-образное/крестовое соединение 85х100")</f>
        <v>Т-образное/крестовое соединение 85х100</v>
      </c>
      <c r="G10414" s="22" t="s">
        <v>204</v>
      </c>
      <c r="H10414" s="22" t="s">
        <v>303</v>
      </c>
      <c r="I10414" s="26">
        <v>43559.707187499997</v>
      </c>
      <c r="J10414" s="28" t="s">
        <v>52</v>
      </c>
      <c r="K10414" s="28" t="s">
        <v>52</v>
      </c>
      <c r="L10414" s="28" t="s">
        <v>52</v>
      </c>
      <c r="M10414" s="28" t="s">
        <v>52</v>
      </c>
      <c r="N10414" s="28" t="s">
        <v>52</v>
      </c>
    </row>
    <row r="10415" spans="1:14" x14ac:dyDescent="0.15">
      <c r="A10415" s="23" t="str">
        <f>HYPERLINK("https://www.spark-marketing.ru/Card/Person/51612", "МБДОУ ""ДЕТСКИЙ САД № 146"" Г. ЧЕБОКСАРЫ")</f>
        <v>МБДОУ "ДЕТСКИЙ САД № 146" Г. ЧЕБОКСАРЫ</v>
      </c>
      <c r="B10415" s="24" t="s">
        <v>12765</v>
      </c>
      <c r="C10415" s="25">
        <v>96260</v>
      </c>
      <c r="D10415" s="22" t="s">
        <v>12766</v>
      </c>
      <c r="E10415" s="22" t="s">
        <v>194</v>
      </c>
      <c r="F10415" s="23" t="str">
        <f>HYPERLINK("https://www.spark-marketing.ru/Card/Lot/69384789", "Поставка и установка системы видеонаблюдения")</f>
        <v>Поставка и установка системы видеонаблюдения</v>
      </c>
      <c r="G10415" s="22" t="s">
        <v>1137</v>
      </c>
      <c r="H10415" s="22" t="s">
        <v>1138</v>
      </c>
      <c r="I10415" s="26">
        <v>43559.673611111102</v>
      </c>
      <c r="J10415" s="28" t="s">
        <v>52</v>
      </c>
      <c r="K10415" s="28" t="s">
        <v>52</v>
      </c>
      <c r="L10415" s="28" t="s">
        <v>52</v>
      </c>
      <c r="M10415" s="28" t="s">
        <v>52</v>
      </c>
      <c r="N10415" s="28" t="s">
        <v>52</v>
      </c>
    </row>
    <row r="10416" spans="1:14" x14ac:dyDescent="0.15">
      <c r="A10416" s="23" t="str">
        <f t="shared" ref="A10416:A10424" si="486">HYPERLINK("https://www.spark-marketing.ru/Card/Person/1752716", "ООО ""СК ЭКОСТРОЙ""")</f>
        <v>ООО "СК ЭКОСТРОЙ"</v>
      </c>
      <c r="B10416" s="24" t="s">
        <v>3305</v>
      </c>
      <c r="C10416" s="25">
        <v>0</v>
      </c>
      <c r="D10416" s="22" t="s">
        <v>12764</v>
      </c>
      <c r="E10416" s="22" t="s">
        <v>53</v>
      </c>
      <c r="F10416" s="23" t="str">
        <f>HYPERLINK("https://www.spark-marketing.ru/Card/Lot/69515424", "Кабель силовой с медными жилами с изоляцией из ПВХ-пластиката с бронепокровом из стальной оцинкованной ленты, сеч. 5х4,0 мм2")</f>
        <v>Кабель силовой с медными жилами с изоляцией из ПВХ-пластиката с бронепокровом из стальной оцинкованной ленты, сеч. 5х4,0 мм2</v>
      </c>
      <c r="G10416" s="22" t="s">
        <v>204</v>
      </c>
      <c r="H10416" s="22" t="s">
        <v>303</v>
      </c>
      <c r="I10416" s="26">
        <v>43559.707187499997</v>
      </c>
      <c r="J10416" s="28" t="s">
        <v>52</v>
      </c>
      <c r="K10416" s="28" t="s">
        <v>52</v>
      </c>
      <c r="L10416" s="28" t="s">
        <v>52</v>
      </c>
      <c r="M10416" s="28" t="s">
        <v>52</v>
      </c>
      <c r="N10416" s="28" t="s">
        <v>52</v>
      </c>
    </row>
    <row r="10417" spans="1:14" x14ac:dyDescent="0.15">
      <c r="A10417" s="23" t="str">
        <f t="shared" si="486"/>
        <v>ООО "СК ЭКОСТРОЙ"</v>
      </c>
      <c r="B10417" s="24" t="s">
        <v>3305</v>
      </c>
      <c r="C10417" s="25">
        <v>0</v>
      </c>
      <c r="D10417" s="22" t="s">
        <v>12764</v>
      </c>
      <c r="E10417" s="22" t="s">
        <v>53</v>
      </c>
      <c r="F10417" s="23" t="str">
        <f>HYPERLINK("https://www.spark-marketing.ru/Card/Lot/69515526", "Кабельный листовой лоток перфорированный 85х100х3000")</f>
        <v>Кабельный листовой лоток перфорированный 85х100х3000</v>
      </c>
      <c r="G10417" s="22" t="s">
        <v>204</v>
      </c>
      <c r="H10417" s="22" t="s">
        <v>303</v>
      </c>
      <c r="I10417" s="26">
        <v>43559.707187499997</v>
      </c>
      <c r="J10417" s="28" t="s">
        <v>52</v>
      </c>
      <c r="K10417" s="28" t="s">
        <v>52</v>
      </c>
      <c r="L10417" s="28" t="s">
        <v>52</v>
      </c>
      <c r="M10417" s="28" t="s">
        <v>52</v>
      </c>
      <c r="N10417" s="28" t="s">
        <v>52</v>
      </c>
    </row>
    <row r="10418" spans="1:14" x14ac:dyDescent="0.15">
      <c r="A10418" s="23" t="str">
        <f t="shared" si="486"/>
        <v>ООО "СК ЭКОСТРОЙ"</v>
      </c>
      <c r="B10418" s="24" t="s">
        <v>3305</v>
      </c>
      <c r="C10418" s="25">
        <v>0</v>
      </c>
      <c r="D10418" s="22" t="s">
        <v>12764</v>
      </c>
      <c r="E10418" s="22" t="s">
        <v>53</v>
      </c>
      <c r="F10418" s="23" t="str">
        <f>HYPERLINK("https://www.spark-marketing.ru/Card/Lot/69515529", "Соединитель кабельного листового лотка угловой 85х200")</f>
        <v>Соединитель кабельного листового лотка угловой 85х200</v>
      </c>
      <c r="G10418" s="22" t="s">
        <v>204</v>
      </c>
      <c r="H10418" s="22" t="s">
        <v>303</v>
      </c>
      <c r="I10418" s="26">
        <v>43559.707187499997</v>
      </c>
      <c r="J10418" s="28" t="s">
        <v>52</v>
      </c>
      <c r="K10418" s="28" t="s">
        <v>52</v>
      </c>
      <c r="L10418" s="28" t="s">
        <v>52</v>
      </c>
      <c r="M10418" s="28" t="s">
        <v>52</v>
      </c>
      <c r="N10418" s="28" t="s">
        <v>52</v>
      </c>
    </row>
    <row r="10419" spans="1:14" x14ac:dyDescent="0.15">
      <c r="A10419" s="23" t="str">
        <f t="shared" si="486"/>
        <v>ООО "СК ЭКОСТРОЙ"</v>
      </c>
      <c r="B10419" s="24" t="s">
        <v>3305</v>
      </c>
      <c r="C10419" s="25">
        <v>0</v>
      </c>
      <c r="D10419" s="22" t="s">
        <v>12764</v>
      </c>
      <c r="E10419" s="22" t="s">
        <v>53</v>
      </c>
      <c r="F10419" s="23" t="str">
        <f>HYPERLINK("https://www.spark-marketing.ru/Card/Lot/69515530", "Шарнирный соединитель кабельного листового лотка 85х270")</f>
        <v>Шарнирный соединитель кабельного листового лотка 85х270</v>
      </c>
      <c r="G10419" s="22" t="s">
        <v>204</v>
      </c>
      <c r="H10419" s="22" t="s">
        <v>303</v>
      </c>
      <c r="I10419" s="26">
        <v>43559.707187499997</v>
      </c>
      <c r="J10419" s="28" t="s">
        <v>52</v>
      </c>
      <c r="K10419" s="28" t="s">
        <v>52</v>
      </c>
      <c r="L10419" s="28" t="s">
        <v>52</v>
      </c>
      <c r="M10419" s="28" t="s">
        <v>52</v>
      </c>
      <c r="N10419" s="28" t="s">
        <v>52</v>
      </c>
    </row>
    <row r="10420" spans="1:14" x14ac:dyDescent="0.15">
      <c r="A10420" s="23" t="str">
        <f t="shared" si="486"/>
        <v>ООО "СК ЭКОСТРОЙ"</v>
      </c>
      <c r="B10420" s="24" t="s">
        <v>3305</v>
      </c>
      <c r="C10420" s="25">
        <v>0</v>
      </c>
      <c r="D10420" s="22" t="s">
        <v>12764</v>
      </c>
      <c r="E10420" s="22" t="s">
        <v>53</v>
      </c>
      <c r="F10420" s="23" t="str">
        <f>HYPERLINK("https://www.spark-marketing.ru/Card/Lot/69515537", "Крышка внутреннего вертикального угла 90 100мм")</f>
        <v>Крышка внутреннего вертикального угла 90 100мм</v>
      </c>
      <c r="G10420" s="22" t="s">
        <v>204</v>
      </c>
      <c r="H10420" s="22" t="s">
        <v>303</v>
      </c>
      <c r="I10420" s="26">
        <v>43559.707187499997</v>
      </c>
      <c r="J10420" s="28" t="s">
        <v>52</v>
      </c>
      <c r="K10420" s="28" t="s">
        <v>52</v>
      </c>
      <c r="L10420" s="28" t="s">
        <v>52</v>
      </c>
      <c r="M10420" s="28" t="s">
        <v>52</v>
      </c>
      <c r="N10420" s="28" t="s">
        <v>52</v>
      </c>
    </row>
    <row r="10421" spans="1:14" x14ac:dyDescent="0.15">
      <c r="A10421" s="23" t="str">
        <f t="shared" si="486"/>
        <v>ООО "СК ЭКОСТРОЙ"</v>
      </c>
      <c r="B10421" s="24" t="s">
        <v>3305</v>
      </c>
      <c r="C10421" s="25">
        <v>0</v>
      </c>
      <c r="D10421" s="22" t="s">
        <v>12764</v>
      </c>
      <c r="E10421" s="22" t="s">
        <v>53</v>
      </c>
      <c r="F10421" s="23" t="str">
        <f>HYPERLINK("https://www.spark-marketing.ru/Card/Lot/69515651", "Стержень заземления 1,5 м")</f>
        <v>Стержень заземления 1,5 м</v>
      </c>
      <c r="G10421" s="22" t="s">
        <v>204</v>
      </c>
      <c r="H10421" s="22" t="s">
        <v>303</v>
      </c>
      <c r="I10421" s="26">
        <v>43559.707187499997</v>
      </c>
      <c r="J10421" s="28" t="s">
        <v>52</v>
      </c>
      <c r="K10421" s="28" t="s">
        <v>52</v>
      </c>
      <c r="L10421" s="28" t="s">
        <v>52</v>
      </c>
      <c r="M10421" s="28" t="s">
        <v>52</v>
      </c>
      <c r="N10421" s="28" t="s">
        <v>52</v>
      </c>
    </row>
    <row r="10422" spans="1:14" x14ac:dyDescent="0.15">
      <c r="A10422" s="23" t="str">
        <f t="shared" si="486"/>
        <v>ООО "СК ЭКОСТРОЙ"</v>
      </c>
      <c r="B10422" s="24" t="s">
        <v>3305</v>
      </c>
      <c r="C10422" s="25">
        <v>0</v>
      </c>
      <c r="D10422" s="22" t="s">
        <v>12764</v>
      </c>
      <c r="E10422" s="22" t="s">
        <v>53</v>
      </c>
      <c r="F10422" s="23" t="str">
        <f>HYPERLINK("https://www.spark-marketing.ru/Card/Lot/69515520", "Кабель контрольный с медными жилами с оболочкой и изоляцией из ПВХ-пластиката пониженной горючести, сечением 10х1,0 мм2")</f>
        <v>Кабель контрольный с медными жилами с оболочкой и изоляцией из ПВХ-пластиката пониженной горючести, сечением 10х1,0 мм2</v>
      </c>
      <c r="G10422" s="22" t="s">
        <v>204</v>
      </c>
      <c r="H10422" s="22" t="s">
        <v>303</v>
      </c>
      <c r="I10422" s="26">
        <v>43559.707187499997</v>
      </c>
      <c r="J10422" s="28" t="s">
        <v>52</v>
      </c>
      <c r="K10422" s="28" t="s">
        <v>52</v>
      </c>
      <c r="L10422" s="28" t="s">
        <v>52</v>
      </c>
      <c r="M10422" s="28" t="s">
        <v>52</v>
      </c>
      <c r="N10422" s="28" t="s">
        <v>52</v>
      </c>
    </row>
    <row r="10423" spans="1:14" x14ac:dyDescent="0.15">
      <c r="A10423" s="23" t="str">
        <f t="shared" si="486"/>
        <v>ООО "СК ЭКОСТРОЙ"</v>
      </c>
      <c r="B10423" s="24" t="s">
        <v>3305</v>
      </c>
      <c r="C10423" s="25">
        <v>0</v>
      </c>
      <c r="D10423" s="22" t="s">
        <v>12764</v>
      </c>
      <c r="E10423" s="22" t="s">
        <v>53</v>
      </c>
      <c r="F10423" s="23" t="str">
        <f>HYPERLINK("https://www.spark-marketing.ru/Card/Lot/69515548", "Труба гофрированная с протяжкой d=20 мм")</f>
        <v>Труба гофрированная с протяжкой d=20 мм</v>
      </c>
      <c r="G10423" s="22" t="s">
        <v>204</v>
      </c>
      <c r="H10423" s="22" t="s">
        <v>303</v>
      </c>
      <c r="I10423" s="26">
        <v>43559.707187499997</v>
      </c>
      <c r="J10423" s="28" t="s">
        <v>52</v>
      </c>
      <c r="K10423" s="28" t="s">
        <v>52</v>
      </c>
      <c r="L10423" s="28" t="s">
        <v>52</v>
      </c>
      <c r="M10423" s="28" t="s">
        <v>52</v>
      </c>
      <c r="N10423" s="28" t="s">
        <v>52</v>
      </c>
    </row>
    <row r="10424" spans="1:14" x14ac:dyDescent="0.15">
      <c r="A10424" s="23" t="str">
        <f t="shared" si="486"/>
        <v>ООО "СК ЭКОСТРОЙ"</v>
      </c>
      <c r="B10424" s="24" t="s">
        <v>3305</v>
      </c>
      <c r="C10424" s="25">
        <v>0</v>
      </c>
      <c r="D10424" s="22" t="s">
        <v>12764</v>
      </c>
      <c r="E10424" s="22" t="s">
        <v>53</v>
      </c>
      <c r="F10424" s="23" t="str">
        <f>HYPERLINK("https://www.spark-marketing.ru/Card/Lot/69515654", "Болт с плоской головкой М 8-35")</f>
        <v>Болт с плоской головкой М 8-35</v>
      </c>
      <c r="G10424" s="22" t="s">
        <v>204</v>
      </c>
      <c r="H10424" s="22" t="s">
        <v>303</v>
      </c>
      <c r="I10424" s="26">
        <v>43559.707187499997</v>
      </c>
      <c r="J10424" s="28" t="s">
        <v>52</v>
      </c>
      <c r="K10424" s="28" t="s">
        <v>52</v>
      </c>
      <c r="L10424" s="28" t="s">
        <v>52</v>
      </c>
      <c r="M10424" s="28" t="s">
        <v>52</v>
      </c>
      <c r="N10424" s="28" t="s">
        <v>52</v>
      </c>
    </row>
    <row r="10425" spans="1:14" ht="12.75" x14ac:dyDescent="0.2">
      <c r="A10425" s="23" t="str">
        <f>HYPERLINK("https://www.spark-marketing.ru/Card/Person/363735", "МУРМАНСКСТАТ")</f>
        <v>МУРМАНСКСТАТ</v>
      </c>
      <c r="B10425" s="24" t="s">
        <v>12767</v>
      </c>
      <c r="C10425" s="25">
        <v>69854.399999999994</v>
      </c>
      <c r="D10425" s="22" t="s">
        <v>12768</v>
      </c>
      <c r="E10425" s="22" t="s">
        <v>68</v>
      </c>
      <c r="F10425" s="23" t="str">
        <f>HYPERLINK("https://www.spark-marketing.ru/Card/Lot/69411150", "Оказание услуг по охране объектов при помощи тревожной сигнализации")</f>
        <v>Оказание услуг по охране объектов при помощи тревожной сигнализации</v>
      </c>
      <c r="G10425" s="22" t="s">
        <v>190</v>
      </c>
      <c r="H10425" s="22" t="s">
        <v>191</v>
      </c>
      <c r="I10425" s="26">
        <v>43559.697222222203</v>
      </c>
      <c r="J10425" s="23" t="str">
        <f>HYPERLINK("https://www.spark-marketing.ru/Card/Person/6518858", "ОВО ПО Г МУРМАНСКУ ФЛ ФГКУ УВО ВОЙСК НАЦИОНАЛЬНОЙ ГВАРДИИ РФ ПО МУРМАНСКОЙ ОБЛ")</f>
        <v>ОВО ПО Г МУРМАНСКУ ФЛ ФГКУ УВО ВОЙСК НАЦИОНАЛЬНОЙ ГВАРДИИ РФ ПО МУРМАНСКОЙ ОБЛ</v>
      </c>
      <c r="K10425" s="24" t="s">
        <v>12769</v>
      </c>
      <c r="L10425" s="22" t="s">
        <v>10</v>
      </c>
      <c r="M10425" s="25">
        <v>65503.199999999997</v>
      </c>
      <c r="N10425" s="27">
        <v>6.2289562289562291E-2</v>
      </c>
    </row>
    <row r="10426" spans="1:14" x14ac:dyDescent="0.15">
      <c r="A10426" s="23" t="str">
        <f t="shared" ref="A10426:A10461" si="487">HYPERLINK("https://www.spark-marketing.ru/Card/Person/1752716", "ООО ""СК ЭКОСТРОЙ""")</f>
        <v>ООО "СК ЭКОСТРОЙ"</v>
      </c>
      <c r="B10426" s="24" t="s">
        <v>3305</v>
      </c>
      <c r="C10426" s="25">
        <v>0</v>
      </c>
      <c r="D10426" s="22" t="s">
        <v>12764</v>
      </c>
      <c r="E10426" s="22" t="s">
        <v>53</v>
      </c>
      <c r="F10426" s="23" t="str">
        <f>HYPERLINK("https://www.spark-marketing.ru/Card/Lot/69515422", "Кронштейн регулируемый разм. 200х355х75 мм")</f>
        <v>Кронштейн регулируемый разм. 200х355х75 мм</v>
      </c>
      <c r="G10426" s="22" t="s">
        <v>204</v>
      </c>
      <c r="H10426" s="22" t="s">
        <v>303</v>
      </c>
      <c r="I10426" s="26">
        <v>43559.707187499997</v>
      </c>
      <c r="J10426" s="28" t="s">
        <v>52</v>
      </c>
      <c r="K10426" s="28" t="s">
        <v>52</v>
      </c>
      <c r="L10426" s="28" t="s">
        <v>52</v>
      </c>
      <c r="M10426" s="28" t="s">
        <v>52</v>
      </c>
      <c r="N10426" s="28" t="s">
        <v>52</v>
      </c>
    </row>
    <row r="10427" spans="1:14" x14ac:dyDescent="0.15">
      <c r="A10427" s="23" t="str">
        <f t="shared" si="487"/>
        <v>ООО "СК ЭКОСТРОЙ"</v>
      </c>
      <c r="B10427" s="24" t="s">
        <v>3305</v>
      </c>
      <c r="C10427" s="25">
        <v>0</v>
      </c>
      <c r="D10427" s="22" t="s">
        <v>12764</v>
      </c>
      <c r="E10427" s="22" t="s">
        <v>53</v>
      </c>
      <c r="F10427" s="23" t="str">
        <f>HYPERLINK("https://www.spark-marketing.ru/Card/Lot/69515519", "Кабель контрольный с медными жилами с оболочкой и изоляцией из ПВХ-пластиката пониженной горючести, сечением 7х1,0 мм2")</f>
        <v>Кабель контрольный с медными жилами с оболочкой и изоляцией из ПВХ-пластиката пониженной горючести, сечением 7х1,0 мм2</v>
      </c>
      <c r="G10427" s="22" t="s">
        <v>204</v>
      </c>
      <c r="H10427" s="22" t="s">
        <v>303</v>
      </c>
      <c r="I10427" s="26">
        <v>43559.707187499997</v>
      </c>
      <c r="J10427" s="28" t="s">
        <v>52</v>
      </c>
      <c r="K10427" s="28" t="s">
        <v>52</v>
      </c>
      <c r="L10427" s="28" t="s">
        <v>52</v>
      </c>
      <c r="M10427" s="28" t="s">
        <v>52</v>
      </c>
      <c r="N10427" s="28" t="s">
        <v>52</v>
      </c>
    </row>
    <row r="10428" spans="1:14" x14ac:dyDescent="0.15">
      <c r="A10428" s="23" t="str">
        <f t="shared" si="487"/>
        <v>ООО "СК ЭКОСТРОЙ"</v>
      </c>
      <c r="B10428" s="24" t="s">
        <v>3305</v>
      </c>
      <c r="C10428" s="25">
        <v>0</v>
      </c>
      <c r="D10428" s="22" t="s">
        <v>12764</v>
      </c>
      <c r="E10428" s="22" t="s">
        <v>53</v>
      </c>
      <c r="F10428" s="23" t="str">
        <f>HYPERLINK("https://www.spark-marketing.ru/Card/Lot/69515525", "Стержень резьбовой М8х1000 мм")</f>
        <v>Стержень резьбовой М8х1000 мм</v>
      </c>
      <c r="G10428" s="22" t="s">
        <v>204</v>
      </c>
      <c r="H10428" s="22" t="s">
        <v>303</v>
      </c>
      <c r="I10428" s="26">
        <v>43559.707187499997</v>
      </c>
      <c r="J10428" s="28" t="s">
        <v>52</v>
      </c>
      <c r="K10428" s="28" t="s">
        <v>52</v>
      </c>
      <c r="L10428" s="28" t="s">
        <v>52</v>
      </c>
      <c r="M10428" s="28" t="s">
        <v>52</v>
      </c>
      <c r="N10428" s="28" t="s">
        <v>52</v>
      </c>
    </row>
    <row r="10429" spans="1:14" x14ac:dyDescent="0.15">
      <c r="A10429" s="23" t="str">
        <f t="shared" si="487"/>
        <v>ООО "СК ЭКОСТРОЙ"</v>
      </c>
      <c r="B10429" s="24" t="s">
        <v>3305</v>
      </c>
      <c r="C10429" s="25">
        <v>0</v>
      </c>
      <c r="D10429" s="22" t="s">
        <v>12764</v>
      </c>
      <c r="E10429" s="22" t="s">
        <v>53</v>
      </c>
      <c r="F10429" s="23" t="str">
        <f>HYPERLINK("https://www.spark-marketing.ru/Card/Lot/69515648", "Полоса из оцинк.стали 40х4")</f>
        <v>Полоса из оцинк.стали 40х4</v>
      </c>
      <c r="G10429" s="22" t="s">
        <v>204</v>
      </c>
      <c r="H10429" s="22" t="s">
        <v>303</v>
      </c>
      <c r="I10429" s="26">
        <v>43559.707187499997</v>
      </c>
      <c r="J10429" s="28" t="s">
        <v>52</v>
      </c>
      <c r="K10429" s="28" t="s">
        <v>52</v>
      </c>
      <c r="L10429" s="28" t="s">
        <v>52</v>
      </c>
      <c r="M10429" s="28" t="s">
        <v>52</v>
      </c>
      <c r="N10429" s="28" t="s">
        <v>52</v>
      </c>
    </row>
    <row r="10430" spans="1:14" x14ac:dyDescent="0.15">
      <c r="A10430" s="23" t="str">
        <f t="shared" si="487"/>
        <v>ООО "СК ЭКОСТРОЙ"</v>
      </c>
      <c r="B10430" s="24" t="s">
        <v>3305</v>
      </c>
      <c r="C10430" s="25">
        <v>0</v>
      </c>
      <c r="D10430" s="22" t="s">
        <v>12764</v>
      </c>
      <c r="E10430" s="22" t="s">
        <v>53</v>
      </c>
      <c r="F10430" s="23" t="str">
        <f>HYPERLINK("https://www.spark-marketing.ru/Card/Lot/69515649", "Соединитель полосы крестовой")</f>
        <v>Соединитель полосы крестовой</v>
      </c>
      <c r="G10430" s="22" t="s">
        <v>204</v>
      </c>
      <c r="H10430" s="22" t="s">
        <v>303</v>
      </c>
      <c r="I10430" s="26">
        <v>43559.707187499997</v>
      </c>
      <c r="J10430" s="28" t="s">
        <v>52</v>
      </c>
      <c r="K10430" s="28" t="s">
        <v>52</v>
      </c>
      <c r="L10430" s="28" t="s">
        <v>52</v>
      </c>
      <c r="M10430" s="28" t="s">
        <v>52</v>
      </c>
      <c r="N10430" s="28" t="s">
        <v>52</v>
      </c>
    </row>
    <row r="10431" spans="1:14" x14ac:dyDescent="0.15">
      <c r="A10431" s="23" t="str">
        <f t="shared" si="487"/>
        <v>ООО "СК ЭКОСТРОЙ"</v>
      </c>
      <c r="B10431" s="24" t="s">
        <v>3305</v>
      </c>
      <c r="C10431" s="25">
        <v>0</v>
      </c>
      <c r="D10431" s="22" t="s">
        <v>12764</v>
      </c>
      <c r="E10431" s="22" t="s">
        <v>53</v>
      </c>
      <c r="F10431" s="23" t="str">
        <f>HYPERLINK("https://www.spark-marketing.ru/Card/Lot/69515533", "Комплект Болт+Шайба+Гайка М10х120")</f>
        <v>Комплект Болт+Шайба+Гайка М10х120</v>
      </c>
      <c r="G10431" s="22" t="s">
        <v>204</v>
      </c>
      <c r="H10431" s="22" t="s">
        <v>303</v>
      </c>
      <c r="I10431" s="26">
        <v>43559.707187499997</v>
      </c>
      <c r="J10431" s="28" t="s">
        <v>52</v>
      </c>
      <c r="K10431" s="28" t="s">
        <v>52</v>
      </c>
      <c r="L10431" s="28" t="s">
        <v>52</v>
      </c>
      <c r="M10431" s="28" t="s">
        <v>52</v>
      </c>
      <c r="N10431" s="28" t="s">
        <v>52</v>
      </c>
    </row>
    <row r="10432" spans="1:14" x14ac:dyDescent="0.15">
      <c r="A10432" s="23" t="str">
        <f t="shared" si="487"/>
        <v>ООО "СК ЭКОСТРОЙ"</v>
      </c>
      <c r="B10432" s="24" t="s">
        <v>3305</v>
      </c>
      <c r="C10432" s="25">
        <v>0</v>
      </c>
      <c r="D10432" s="22" t="s">
        <v>12764</v>
      </c>
      <c r="E10432" s="22" t="s">
        <v>53</v>
      </c>
      <c r="F10432" s="23" t="str">
        <f>HYPERLINK("https://www.spark-marketing.ru/Card/Lot/69515546", "Шайба М8")</f>
        <v>Шайба М8</v>
      </c>
      <c r="G10432" s="22" t="s">
        <v>204</v>
      </c>
      <c r="H10432" s="22" t="s">
        <v>303</v>
      </c>
      <c r="I10432" s="26">
        <v>43559.707187499997</v>
      </c>
      <c r="J10432" s="28" t="s">
        <v>52</v>
      </c>
      <c r="K10432" s="28" t="s">
        <v>52</v>
      </c>
      <c r="L10432" s="28" t="s">
        <v>52</v>
      </c>
      <c r="M10432" s="28" t="s">
        <v>52</v>
      </c>
      <c r="N10432" s="28" t="s">
        <v>52</v>
      </c>
    </row>
    <row r="10433" spans="1:14" x14ac:dyDescent="0.15">
      <c r="A10433" s="23" t="str">
        <f t="shared" si="487"/>
        <v>ООО "СК ЭКОСТРОЙ"</v>
      </c>
      <c r="B10433" s="24" t="s">
        <v>3305</v>
      </c>
      <c r="C10433" s="25">
        <v>0</v>
      </c>
      <c r="D10433" s="22" t="s">
        <v>12764</v>
      </c>
      <c r="E10433" s="22" t="s">
        <v>53</v>
      </c>
      <c r="F10433" s="23" t="str">
        <f>HYPERLINK("https://www.spark-marketing.ru/Card/Lot/69515657", "Извещатель охранный (датчик открытия двери)")</f>
        <v>Извещатель охранный (датчик открытия двери)</v>
      </c>
      <c r="G10433" s="22" t="s">
        <v>204</v>
      </c>
      <c r="H10433" s="22" t="s">
        <v>303</v>
      </c>
      <c r="I10433" s="26">
        <v>43559.707187499997</v>
      </c>
      <c r="J10433" s="28" t="s">
        <v>52</v>
      </c>
      <c r="K10433" s="28" t="s">
        <v>52</v>
      </c>
      <c r="L10433" s="28" t="s">
        <v>52</v>
      </c>
      <c r="M10433" s="28" t="s">
        <v>52</v>
      </c>
      <c r="N10433" s="28" t="s">
        <v>52</v>
      </c>
    </row>
    <row r="10434" spans="1:14" x14ac:dyDescent="0.15">
      <c r="A10434" s="23" t="str">
        <f t="shared" si="487"/>
        <v>ООО "СК ЭКОСТРОЙ"</v>
      </c>
      <c r="B10434" s="24" t="s">
        <v>3305</v>
      </c>
      <c r="C10434" s="25">
        <v>0</v>
      </c>
      <c r="D10434" s="22" t="s">
        <v>12764</v>
      </c>
      <c r="E10434" s="22" t="s">
        <v>53</v>
      </c>
      <c r="F10434" s="23" t="str">
        <f>HYPERLINK("https://www.spark-marketing.ru/Card/Lot/69515416", "Щит ШЗ IP65 напольный с верхними кабельными вводами, размер 1600х500х300мм. в соответствии с опросным листом проекта")</f>
        <v>Щит ШЗ IP65 напольный с верхними кабельными вводами, размер 1600х500х300мм. в соответствии с опросным листом проекта</v>
      </c>
      <c r="G10434" s="22" t="s">
        <v>204</v>
      </c>
      <c r="H10434" s="22" t="s">
        <v>303</v>
      </c>
      <c r="I10434" s="26">
        <v>43559.707187499997</v>
      </c>
      <c r="J10434" s="28" t="s">
        <v>52</v>
      </c>
      <c r="K10434" s="28" t="s">
        <v>52</v>
      </c>
      <c r="L10434" s="28" t="s">
        <v>52</v>
      </c>
      <c r="M10434" s="28" t="s">
        <v>52</v>
      </c>
      <c r="N10434" s="28" t="s">
        <v>52</v>
      </c>
    </row>
    <row r="10435" spans="1:14" x14ac:dyDescent="0.15">
      <c r="A10435" s="23" t="str">
        <f t="shared" si="487"/>
        <v>ООО "СК ЭКОСТРОЙ"</v>
      </c>
      <c r="B10435" s="24" t="s">
        <v>3305</v>
      </c>
      <c r="C10435" s="25">
        <v>0</v>
      </c>
      <c r="D10435" s="22" t="s">
        <v>12764</v>
      </c>
      <c r="E10435" s="22" t="s">
        <v>53</v>
      </c>
      <c r="F10435" s="23" t="str">
        <f>HYPERLINK("https://www.spark-marketing.ru/Card/Lot/69515518", "Кабель силовой с медными жилами с ПВХ-оболочкой и изоляцией, не распространяющий горение, сечением 3х1,5 мм2")</f>
        <v>Кабель силовой с медными жилами с ПВХ-оболочкой и изоляцией, не распространяющий горение, сечением 3х1,5 мм2</v>
      </c>
      <c r="G10435" s="22" t="s">
        <v>204</v>
      </c>
      <c r="H10435" s="22" t="s">
        <v>303</v>
      </c>
      <c r="I10435" s="26">
        <v>43559.707187499997</v>
      </c>
      <c r="J10435" s="28" t="s">
        <v>52</v>
      </c>
      <c r="K10435" s="28" t="s">
        <v>52</v>
      </c>
      <c r="L10435" s="28" t="s">
        <v>52</v>
      </c>
      <c r="M10435" s="28" t="s">
        <v>52</v>
      </c>
      <c r="N10435" s="28" t="s">
        <v>52</v>
      </c>
    </row>
    <row r="10436" spans="1:14" x14ac:dyDescent="0.15">
      <c r="A10436" s="23" t="str">
        <f t="shared" si="487"/>
        <v>ООО "СК ЭКОСТРОЙ"</v>
      </c>
      <c r="B10436" s="24" t="s">
        <v>3305</v>
      </c>
      <c r="C10436" s="25">
        <v>0</v>
      </c>
      <c r="D10436" s="22" t="s">
        <v>12764</v>
      </c>
      <c r="E10436" s="22" t="s">
        <v>53</v>
      </c>
      <c r="F10436" s="23" t="str">
        <f>HYPERLINK("https://www.spark-marketing.ru/Card/Lot/69515527", "Крышка кабельного листового лотка 10х3000")</f>
        <v>Крышка кабельного листового лотка 10х3000</v>
      </c>
      <c r="G10436" s="22" t="s">
        <v>204</v>
      </c>
      <c r="H10436" s="22" t="s">
        <v>303</v>
      </c>
      <c r="I10436" s="26">
        <v>43559.707187499997</v>
      </c>
      <c r="J10436" s="28" t="s">
        <v>52</v>
      </c>
      <c r="K10436" s="28" t="s">
        <v>52</v>
      </c>
      <c r="L10436" s="28" t="s">
        <v>52</v>
      </c>
      <c r="M10436" s="28" t="s">
        <v>52</v>
      </c>
      <c r="N10436" s="28" t="s">
        <v>52</v>
      </c>
    </row>
    <row r="10437" spans="1:14" x14ac:dyDescent="0.15">
      <c r="A10437" s="23" t="str">
        <f t="shared" si="487"/>
        <v>ООО "СК ЭКОСТРОЙ"</v>
      </c>
      <c r="B10437" s="24" t="s">
        <v>3305</v>
      </c>
      <c r="C10437" s="25">
        <v>0</v>
      </c>
      <c r="D10437" s="22" t="s">
        <v>12764</v>
      </c>
      <c r="E10437" s="22" t="s">
        <v>53</v>
      </c>
      <c r="F10437" s="23" t="str">
        <f>HYPERLINK("https://www.spark-marketing.ru/Card/Lot/69515535", "Крышка угловой секции 90 100 мм")</f>
        <v>Крышка угловой секции 90 100 мм</v>
      </c>
      <c r="G10437" s="22" t="s">
        <v>204</v>
      </c>
      <c r="H10437" s="22" t="s">
        <v>303</v>
      </c>
      <c r="I10437" s="26">
        <v>43559.707187499997</v>
      </c>
      <c r="J10437" s="28" t="s">
        <v>52</v>
      </c>
      <c r="K10437" s="28" t="s">
        <v>52</v>
      </c>
      <c r="L10437" s="28" t="s">
        <v>52</v>
      </c>
      <c r="M10437" s="28" t="s">
        <v>52</v>
      </c>
      <c r="N10437" s="28" t="s">
        <v>52</v>
      </c>
    </row>
    <row r="10438" spans="1:14" x14ac:dyDescent="0.15">
      <c r="A10438" s="23" t="str">
        <f t="shared" si="487"/>
        <v>ООО "СК ЭКОСТРОЙ"</v>
      </c>
      <c r="B10438" s="24" t="s">
        <v>3305</v>
      </c>
      <c r="C10438" s="25">
        <v>0</v>
      </c>
      <c r="D10438" s="22" t="s">
        <v>12764</v>
      </c>
      <c r="E10438" s="22" t="s">
        <v>53</v>
      </c>
      <c r="F10438" s="23" t="str">
        <f>HYPERLINK("https://www.spark-marketing.ru/Card/Lot/69515542", "Кронштейн 510 мм")</f>
        <v>Кронштейн 510 мм</v>
      </c>
      <c r="G10438" s="22" t="s">
        <v>204</v>
      </c>
      <c r="H10438" s="22" t="s">
        <v>303</v>
      </c>
      <c r="I10438" s="26">
        <v>43559.707187499997</v>
      </c>
      <c r="J10438" s="28" t="s">
        <v>52</v>
      </c>
      <c r="K10438" s="28" t="s">
        <v>52</v>
      </c>
      <c r="L10438" s="28" t="s">
        <v>52</v>
      </c>
      <c r="M10438" s="28" t="s">
        <v>52</v>
      </c>
      <c r="N10438" s="28" t="s">
        <v>52</v>
      </c>
    </row>
    <row r="10439" spans="1:14" x14ac:dyDescent="0.15">
      <c r="A10439" s="23" t="str">
        <f t="shared" si="487"/>
        <v>ООО "СК ЭКОСТРОЙ"</v>
      </c>
      <c r="B10439" s="24" t="s">
        <v>3305</v>
      </c>
      <c r="C10439" s="25">
        <v>0</v>
      </c>
      <c r="D10439" s="22" t="s">
        <v>12764</v>
      </c>
      <c r="E10439" s="22" t="s">
        <v>53</v>
      </c>
      <c r="F10439" s="23" t="str">
        <f>HYPERLINK("https://www.spark-marketing.ru/Card/Lot/69515418", "Кнопка управления ""I-O"" сдвоенная с подсветкой (20 шт)")</f>
        <v>Кнопка управления "I-O" сдвоенная с подсветкой (20 шт)</v>
      </c>
      <c r="G10439" s="22" t="s">
        <v>204</v>
      </c>
      <c r="H10439" s="22" t="s">
        <v>303</v>
      </c>
      <c r="I10439" s="26">
        <v>43559.707187499997</v>
      </c>
      <c r="J10439" s="28" t="s">
        <v>52</v>
      </c>
      <c r="K10439" s="28" t="s">
        <v>52</v>
      </c>
      <c r="L10439" s="28" t="s">
        <v>52</v>
      </c>
      <c r="M10439" s="28" t="s">
        <v>52</v>
      </c>
      <c r="N10439" s="28" t="s">
        <v>52</v>
      </c>
    </row>
    <row r="10440" spans="1:14" x14ac:dyDescent="0.15">
      <c r="A10440" s="23" t="str">
        <f t="shared" si="487"/>
        <v>ООО "СК ЭКОСТРОЙ"</v>
      </c>
      <c r="B10440" s="24" t="s">
        <v>3305</v>
      </c>
      <c r="C10440" s="25">
        <v>0</v>
      </c>
      <c r="D10440" s="22" t="s">
        <v>12764</v>
      </c>
      <c r="E10440" s="22" t="s">
        <v>53</v>
      </c>
      <c r="F10440" s="23" t="str">
        <f>HYPERLINK("https://www.spark-marketing.ru/Card/Lot/69515524", "Гайка скользящая М10")</f>
        <v>Гайка скользящая М10</v>
      </c>
      <c r="G10440" s="22" t="s">
        <v>204</v>
      </c>
      <c r="H10440" s="22" t="s">
        <v>303</v>
      </c>
      <c r="I10440" s="26">
        <v>43559.707187499997</v>
      </c>
      <c r="J10440" s="28" t="s">
        <v>52</v>
      </c>
      <c r="K10440" s="28" t="s">
        <v>52</v>
      </c>
      <c r="L10440" s="28" t="s">
        <v>52</v>
      </c>
      <c r="M10440" s="28" t="s">
        <v>52</v>
      </c>
      <c r="N10440" s="28" t="s">
        <v>52</v>
      </c>
    </row>
    <row r="10441" spans="1:14" x14ac:dyDescent="0.15">
      <c r="A10441" s="23" t="str">
        <f t="shared" si="487"/>
        <v>ООО "СК ЭКОСТРОЙ"</v>
      </c>
      <c r="B10441" s="24" t="s">
        <v>3305</v>
      </c>
      <c r="C10441" s="25">
        <v>0</v>
      </c>
      <c r="D10441" s="22" t="s">
        <v>12764</v>
      </c>
      <c r="E10441" s="22" t="s">
        <v>53</v>
      </c>
      <c r="F10441" s="23" t="str">
        <f>HYPERLINK("https://www.spark-marketing.ru/Card/Lot/69515532", "Кронштейн 110 мм")</f>
        <v>Кронштейн 110 мм</v>
      </c>
      <c r="G10441" s="22" t="s">
        <v>204</v>
      </c>
      <c r="H10441" s="22" t="s">
        <v>303</v>
      </c>
      <c r="I10441" s="26">
        <v>43559.707187499997</v>
      </c>
      <c r="J10441" s="28" t="s">
        <v>52</v>
      </c>
      <c r="K10441" s="28" t="s">
        <v>52</v>
      </c>
      <c r="L10441" s="28" t="s">
        <v>52</v>
      </c>
      <c r="M10441" s="28" t="s">
        <v>52</v>
      </c>
      <c r="N10441" s="28" t="s">
        <v>52</v>
      </c>
    </row>
    <row r="10442" spans="1:14" x14ac:dyDescent="0.15">
      <c r="A10442" s="23" t="str">
        <f t="shared" si="487"/>
        <v>ООО "СК ЭКОСТРОЙ"</v>
      </c>
      <c r="B10442" s="24" t="s">
        <v>3305</v>
      </c>
      <c r="C10442" s="25">
        <v>0</v>
      </c>
      <c r="D10442" s="22" t="s">
        <v>12764</v>
      </c>
      <c r="E10442" s="22" t="s">
        <v>53</v>
      </c>
      <c r="F10442" s="23" t="str">
        <f>HYPERLINK("https://www.spark-marketing.ru/Card/Lot/69515534", "Угловая секция 90 85х100")</f>
        <v>Угловая секция 90 85х100</v>
      </c>
      <c r="G10442" s="22" t="s">
        <v>204</v>
      </c>
      <c r="H10442" s="22" t="s">
        <v>303</v>
      </c>
      <c r="I10442" s="26">
        <v>43559.707187499997</v>
      </c>
      <c r="J10442" s="28" t="s">
        <v>52</v>
      </c>
      <c r="K10442" s="28" t="s">
        <v>52</v>
      </c>
      <c r="L10442" s="28" t="s">
        <v>52</v>
      </c>
      <c r="M10442" s="28" t="s">
        <v>52</v>
      </c>
      <c r="N10442" s="28" t="s">
        <v>52</v>
      </c>
    </row>
    <row r="10443" spans="1:14" x14ac:dyDescent="0.15">
      <c r="A10443" s="23" t="str">
        <f t="shared" si="487"/>
        <v>ООО "СК ЭКОСТРОЙ"</v>
      </c>
      <c r="B10443" s="24" t="s">
        <v>3305</v>
      </c>
      <c r="C10443" s="25">
        <v>0</v>
      </c>
      <c r="D10443" s="22" t="s">
        <v>12764</v>
      </c>
      <c r="E10443" s="22" t="s">
        <v>53</v>
      </c>
      <c r="F10443" s="23" t="str">
        <f>HYPERLINK("https://www.spark-marketing.ru/Card/Lot/69515538", "Вертикальный угол 90 внешний 85х100")</f>
        <v>Вертикальный угол 90 внешний 85х100</v>
      </c>
      <c r="G10443" s="22" t="s">
        <v>204</v>
      </c>
      <c r="H10443" s="22" t="s">
        <v>303</v>
      </c>
      <c r="I10443" s="26">
        <v>43559.707187499997</v>
      </c>
      <c r="J10443" s="28" t="s">
        <v>52</v>
      </c>
      <c r="K10443" s="28" t="s">
        <v>52</v>
      </c>
      <c r="L10443" s="28" t="s">
        <v>52</v>
      </c>
      <c r="M10443" s="28" t="s">
        <v>52</v>
      </c>
      <c r="N10443" s="28" t="s">
        <v>52</v>
      </c>
    </row>
    <row r="10444" spans="1:14" x14ac:dyDescent="0.15">
      <c r="A10444" s="23" t="str">
        <f t="shared" si="487"/>
        <v>ООО "СК ЭКОСТРОЙ"</v>
      </c>
      <c r="B10444" s="24" t="s">
        <v>3305</v>
      </c>
      <c r="C10444" s="25">
        <v>0</v>
      </c>
      <c r="D10444" s="22" t="s">
        <v>12764</v>
      </c>
      <c r="E10444" s="22" t="s">
        <v>53</v>
      </c>
      <c r="F10444" s="23" t="str">
        <f>HYPERLINK("https://www.spark-marketing.ru/Card/Lot/69515536", "Вертикальный угол 90 внутренний 85х100")</f>
        <v>Вертикальный угол 90 внутренний 85х100</v>
      </c>
      <c r="G10444" s="22" t="s">
        <v>204</v>
      </c>
      <c r="H10444" s="22" t="s">
        <v>303</v>
      </c>
      <c r="I10444" s="26">
        <v>43559.707187499997</v>
      </c>
      <c r="J10444" s="28" t="s">
        <v>52</v>
      </c>
      <c r="K10444" s="28" t="s">
        <v>52</v>
      </c>
      <c r="L10444" s="28" t="s">
        <v>52</v>
      </c>
      <c r="M10444" s="28" t="s">
        <v>52</v>
      </c>
      <c r="N10444" s="28" t="s">
        <v>52</v>
      </c>
    </row>
    <row r="10445" spans="1:14" x14ac:dyDescent="0.15">
      <c r="A10445" s="23" t="str">
        <f t="shared" si="487"/>
        <v>ООО "СК ЭКОСТРОЙ"</v>
      </c>
      <c r="B10445" s="24" t="s">
        <v>3305</v>
      </c>
      <c r="C10445" s="25">
        <v>0</v>
      </c>
      <c r="D10445" s="22" t="s">
        <v>12764</v>
      </c>
      <c r="E10445" s="22" t="s">
        <v>53</v>
      </c>
      <c r="F10445" s="23" t="str">
        <f>HYPERLINK("https://www.spark-marketing.ru/Card/Lot/69515544", "Забивной анкер E, M8х40, сталь, G")</f>
        <v>Забивной анкер E, M8х40, сталь, G</v>
      </c>
      <c r="G10445" s="22" t="s">
        <v>204</v>
      </c>
      <c r="H10445" s="22" t="s">
        <v>303</v>
      </c>
      <c r="I10445" s="26">
        <v>43559.707187499997</v>
      </c>
      <c r="J10445" s="28" t="s">
        <v>52</v>
      </c>
      <c r="K10445" s="28" t="s">
        <v>52</v>
      </c>
      <c r="L10445" s="28" t="s">
        <v>52</v>
      </c>
      <c r="M10445" s="28" t="s">
        <v>52</v>
      </c>
      <c r="N10445" s="28" t="s">
        <v>52</v>
      </c>
    </row>
    <row r="10446" spans="1:14" x14ac:dyDescent="0.15">
      <c r="A10446" s="23" t="str">
        <f t="shared" si="487"/>
        <v>ООО "СК ЭКОСТРОЙ"</v>
      </c>
      <c r="B10446" s="24" t="s">
        <v>3305</v>
      </c>
      <c r="C10446" s="25">
        <v>0</v>
      </c>
      <c r="D10446" s="22" t="s">
        <v>12764</v>
      </c>
      <c r="E10446" s="22" t="s">
        <v>53</v>
      </c>
      <c r="F10446" s="23" t="str">
        <f>HYPERLINK("https://www.spark-marketing.ru/Card/Lot/69515650", "Соединитель стержня заземления и проволоки")</f>
        <v>Соединитель стержня заземления и проволоки</v>
      </c>
      <c r="G10446" s="22" t="s">
        <v>204</v>
      </c>
      <c r="H10446" s="22" t="s">
        <v>303</v>
      </c>
      <c r="I10446" s="26">
        <v>43559.707187499997</v>
      </c>
      <c r="J10446" s="28" t="s">
        <v>52</v>
      </c>
      <c r="K10446" s="28" t="s">
        <v>52</v>
      </c>
      <c r="L10446" s="28" t="s">
        <v>52</v>
      </c>
      <c r="M10446" s="28" t="s">
        <v>52</v>
      </c>
      <c r="N10446" s="28" t="s">
        <v>52</v>
      </c>
    </row>
    <row r="10447" spans="1:14" x14ac:dyDescent="0.15">
      <c r="A10447" s="23" t="str">
        <f t="shared" si="487"/>
        <v>ООО "СК ЭКОСТРОЙ"</v>
      </c>
      <c r="B10447" s="24" t="s">
        <v>3305</v>
      </c>
      <c r="C10447" s="25">
        <v>0</v>
      </c>
      <c r="D10447" s="22" t="s">
        <v>12764</v>
      </c>
      <c r="E10447" s="22" t="s">
        <v>53</v>
      </c>
      <c r="F10447" s="23" t="str">
        <f>HYPERLINK("https://www.spark-marketing.ru/Card/Lot/69515653", "Насадка для забивания стержней заземления")</f>
        <v>Насадка для забивания стержней заземления</v>
      </c>
      <c r="G10447" s="22" t="s">
        <v>204</v>
      </c>
      <c r="H10447" s="22" t="s">
        <v>303</v>
      </c>
      <c r="I10447" s="26">
        <v>43559.707187499997</v>
      </c>
      <c r="J10447" s="28" t="s">
        <v>52</v>
      </c>
      <c r="K10447" s="28" t="s">
        <v>52</v>
      </c>
      <c r="L10447" s="28" t="s">
        <v>52</v>
      </c>
      <c r="M10447" s="28" t="s">
        <v>52</v>
      </c>
      <c r="N10447" s="28" t="s">
        <v>52</v>
      </c>
    </row>
    <row r="10448" spans="1:14" x14ac:dyDescent="0.15">
      <c r="A10448" s="23" t="str">
        <f t="shared" si="487"/>
        <v>ООО "СК ЭКОСТРОЙ"</v>
      </c>
      <c r="B10448" s="24" t="s">
        <v>3305</v>
      </c>
      <c r="C10448" s="25">
        <v>0</v>
      </c>
      <c r="D10448" s="22" t="s">
        <v>12764</v>
      </c>
      <c r="E10448" s="22" t="s">
        <v>53</v>
      </c>
      <c r="F10448" s="23" t="str">
        <f>HYPERLINK("https://www.spark-marketing.ru/Card/Lot/69515656", "Устройство контроля доступа и наличия напряжения")</f>
        <v>Устройство контроля доступа и наличия напряжения</v>
      </c>
      <c r="G10448" s="22" t="s">
        <v>204</v>
      </c>
      <c r="H10448" s="22" t="s">
        <v>303</v>
      </c>
      <c r="I10448" s="26">
        <v>43559.707187499997</v>
      </c>
      <c r="J10448" s="28" t="s">
        <v>52</v>
      </c>
      <c r="K10448" s="28" t="s">
        <v>52</v>
      </c>
      <c r="L10448" s="28" t="s">
        <v>52</v>
      </c>
      <c r="M10448" s="28" t="s">
        <v>52</v>
      </c>
      <c r="N10448" s="28" t="s">
        <v>52</v>
      </c>
    </row>
    <row r="10449" spans="1:14" x14ac:dyDescent="0.15">
      <c r="A10449" s="23" t="str">
        <f t="shared" si="487"/>
        <v>ООО "СК ЭКОСТРОЙ"</v>
      </c>
      <c r="B10449" s="24" t="s">
        <v>3305</v>
      </c>
      <c r="C10449" s="25">
        <v>0</v>
      </c>
      <c r="D10449" s="22" t="s">
        <v>12764</v>
      </c>
      <c r="E10449" s="22" t="s">
        <v>53</v>
      </c>
      <c r="F10449" s="23" t="str">
        <f>HYPERLINK("https://www.spark-marketing.ru/Card/Lot/69515543", "Анкерный болт BZ-U, M8х75мм, сталь, G")</f>
        <v>Анкерный болт BZ-U, M8х75мм, сталь, G</v>
      </c>
      <c r="G10449" s="22" t="s">
        <v>204</v>
      </c>
      <c r="H10449" s="22" t="s">
        <v>303</v>
      </c>
      <c r="I10449" s="26">
        <v>43559.707187499997</v>
      </c>
      <c r="J10449" s="28" t="s">
        <v>52</v>
      </c>
      <c r="K10449" s="28" t="s">
        <v>52</v>
      </c>
      <c r="L10449" s="28" t="s">
        <v>52</v>
      </c>
      <c r="M10449" s="28" t="s">
        <v>52</v>
      </c>
      <c r="N10449" s="28" t="s">
        <v>52</v>
      </c>
    </row>
    <row r="10450" spans="1:14" x14ac:dyDescent="0.15">
      <c r="A10450" s="23" t="str">
        <f t="shared" si="487"/>
        <v>ООО "СК ЭКОСТРОЙ"</v>
      </c>
      <c r="B10450" s="24" t="s">
        <v>3305</v>
      </c>
      <c r="C10450" s="25">
        <v>0</v>
      </c>
      <c r="D10450" s="22" t="s">
        <v>12764</v>
      </c>
      <c r="E10450" s="22" t="s">
        <v>53</v>
      </c>
      <c r="F10450" s="23" t="str">
        <f>HYPERLINK("https://www.spark-marketing.ru/Card/Lot/69515550", "Болт М8")</f>
        <v>Болт М8</v>
      </c>
      <c r="G10450" s="22" t="s">
        <v>204</v>
      </c>
      <c r="H10450" s="22" t="s">
        <v>303</v>
      </c>
      <c r="I10450" s="26">
        <v>43559.707187499997</v>
      </c>
      <c r="J10450" s="28" t="s">
        <v>52</v>
      </c>
      <c r="K10450" s="28" t="s">
        <v>52</v>
      </c>
      <c r="L10450" s="28" t="s">
        <v>52</v>
      </c>
      <c r="M10450" s="28" t="s">
        <v>52</v>
      </c>
      <c r="N10450" s="28" t="s">
        <v>52</v>
      </c>
    </row>
    <row r="10451" spans="1:14" x14ac:dyDescent="0.15">
      <c r="A10451" s="23" t="str">
        <f t="shared" si="487"/>
        <v>ООО "СК ЭКОСТРОЙ"</v>
      </c>
      <c r="B10451" s="24" t="s">
        <v>3305</v>
      </c>
      <c r="C10451" s="25">
        <v>0</v>
      </c>
      <c r="D10451" s="22" t="s">
        <v>12764</v>
      </c>
      <c r="E10451" s="22" t="s">
        <v>53</v>
      </c>
      <c r="F10451" s="23" t="str">
        <f>HYPERLINK("https://www.spark-marketing.ru/Card/Lot/69515655", "Заземляющий проводник гибкий сечением 16 мм с обжимными клеммами")</f>
        <v>Заземляющий проводник гибкий сечением 16 мм с обжимными клеммами</v>
      </c>
      <c r="G10451" s="22" t="s">
        <v>204</v>
      </c>
      <c r="H10451" s="22" t="s">
        <v>303</v>
      </c>
      <c r="I10451" s="26">
        <v>43559.707187499997</v>
      </c>
      <c r="J10451" s="28" t="s">
        <v>52</v>
      </c>
      <c r="K10451" s="28" t="s">
        <v>52</v>
      </c>
      <c r="L10451" s="28" t="s">
        <v>52</v>
      </c>
      <c r="M10451" s="28" t="s">
        <v>52</v>
      </c>
      <c r="N10451" s="28" t="s">
        <v>52</v>
      </c>
    </row>
    <row r="10452" spans="1:14" x14ac:dyDescent="0.15">
      <c r="A10452" s="23" t="str">
        <f t="shared" si="487"/>
        <v>ООО "СК ЭКОСТРОЙ"</v>
      </c>
      <c r="B10452" s="24" t="s">
        <v>3305</v>
      </c>
      <c r="C10452" s="25">
        <v>0</v>
      </c>
      <c r="D10452" s="22" t="s">
        <v>12764</v>
      </c>
      <c r="E10452" s="22" t="s">
        <v>53</v>
      </c>
      <c r="F10452" s="23" t="str">
        <f>HYPERLINK("https://www.spark-marketing.ru/Card/Lot/69515531", "Болт с плоской головкой М6х12")</f>
        <v>Болт с плоской головкой М6х12</v>
      </c>
      <c r="G10452" s="22" t="s">
        <v>204</v>
      </c>
      <c r="H10452" s="22" t="s">
        <v>303</v>
      </c>
      <c r="I10452" s="26">
        <v>43559.707187499997</v>
      </c>
      <c r="J10452" s="28" t="s">
        <v>52</v>
      </c>
      <c r="K10452" s="28" t="s">
        <v>52</v>
      </c>
      <c r="L10452" s="28" t="s">
        <v>52</v>
      </c>
      <c r="M10452" s="28" t="s">
        <v>52</v>
      </c>
      <c r="N10452" s="28" t="s">
        <v>52</v>
      </c>
    </row>
    <row r="10453" spans="1:14" x14ac:dyDescent="0.15">
      <c r="A10453" s="23" t="str">
        <f t="shared" si="487"/>
        <v>ООО "СК ЭКОСТРОЙ"</v>
      </c>
      <c r="B10453" s="24" t="s">
        <v>3305</v>
      </c>
      <c r="C10453" s="25">
        <v>0</v>
      </c>
      <c r="D10453" s="22" t="s">
        <v>12764</v>
      </c>
      <c r="E10453" s="22" t="s">
        <v>53</v>
      </c>
      <c r="F10453" s="23" t="str">
        <f>HYPERLINK("https://www.spark-marketing.ru/Card/Lot/69515547", "Труба полиэтиленовая d=100 мм")</f>
        <v>Труба полиэтиленовая d=100 мм</v>
      </c>
      <c r="G10453" s="22" t="s">
        <v>204</v>
      </c>
      <c r="H10453" s="22" t="s">
        <v>303</v>
      </c>
      <c r="I10453" s="26">
        <v>43559.707187499997</v>
      </c>
      <c r="J10453" s="28" t="s">
        <v>52</v>
      </c>
      <c r="K10453" s="28" t="s">
        <v>52</v>
      </c>
      <c r="L10453" s="28" t="s">
        <v>52</v>
      </c>
      <c r="M10453" s="28" t="s">
        <v>52</v>
      </c>
      <c r="N10453" s="28" t="s">
        <v>52</v>
      </c>
    </row>
    <row r="10454" spans="1:14" x14ac:dyDescent="0.15">
      <c r="A10454" s="23" t="str">
        <f t="shared" si="487"/>
        <v>ООО "СК ЭКОСТРОЙ"</v>
      </c>
      <c r="B10454" s="24" t="s">
        <v>3305</v>
      </c>
      <c r="C10454" s="25">
        <v>0</v>
      </c>
      <c r="D10454" s="22" t="s">
        <v>12764</v>
      </c>
      <c r="E10454" s="22" t="s">
        <v>53</v>
      </c>
      <c r="F10454" s="23" t="str">
        <f>HYPERLINK("https://www.spark-marketing.ru/Card/Lot/69515549", "Сталь полосовая 40х5 мм")</f>
        <v>Сталь полосовая 40х5 мм</v>
      </c>
      <c r="G10454" s="22" t="s">
        <v>204</v>
      </c>
      <c r="H10454" s="22" t="s">
        <v>303</v>
      </c>
      <c r="I10454" s="26">
        <v>43559.707187499997</v>
      </c>
      <c r="J10454" s="28" t="s">
        <v>52</v>
      </c>
      <c r="K10454" s="28" t="s">
        <v>52</v>
      </c>
      <c r="L10454" s="28" t="s">
        <v>52</v>
      </c>
      <c r="M10454" s="28" t="s">
        <v>52</v>
      </c>
      <c r="N10454" s="28" t="s">
        <v>52</v>
      </c>
    </row>
    <row r="10455" spans="1:14" x14ac:dyDescent="0.15">
      <c r="A10455" s="23" t="str">
        <f t="shared" si="487"/>
        <v>ООО "СК ЭКОСТРОЙ"</v>
      </c>
      <c r="B10455" s="24" t="s">
        <v>3305</v>
      </c>
      <c r="C10455" s="25">
        <v>0</v>
      </c>
      <c r="D10455" s="22" t="s">
        <v>12764</v>
      </c>
      <c r="E10455" s="22" t="s">
        <v>53</v>
      </c>
      <c r="F10455" s="23" t="str">
        <f>HYPERLINK("https://www.spark-marketing.ru/Card/Lot/69515522", "Монтажная рейка 200х41х21")</f>
        <v>Монтажная рейка 200х41х21</v>
      </c>
      <c r="G10455" s="22" t="s">
        <v>204</v>
      </c>
      <c r="H10455" s="22" t="s">
        <v>303</v>
      </c>
      <c r="I10455" s="26">
        <v>43559.707187499997</v>
      </c>
      <c r="J10455" s="28" t="s">
        <v>52</v>
      </c>
      <c r="K10455" s="28" t="s">
        <v>52</v>
      </c>
      <c r="L10455" s="28" t="s">
        <v>52</v>
      </c>
      <c r="M10455" s="28" t="s">
        <v>52</v>
      </c>
      <c r="N10455" s="28" t="s">
        <v>52</v>
      </c>
    </row>
    <row r="10456" spans="1:14" x14ac:dyDescent="0.15">
      <c r="A10456" s="23" t="str">
        <f t="shared" si="487"/>
        <v>ООО "СК ЭКОСТРОЙ"</v>
      </c>
      <c r="B10456" s="24" t="s">
        <v>3305</v>
      </c>
      <c r="C10456" s="25">
        <v>0</v>
      </c>
      <c r="D10456" s="22" t="s">
        <v>12764</v>
      </c>
      <c r="E10456" s="22" t="s">
        <v>53</v>
      </c>
      <c r="F10456" s="23" t="str">
        <f>HYPERLINK("https://www.spark-marketing.ru/Card/Lot/69515658", "Кабель контрольный для систем охранной сигнализации негорючий сечением 1х2х0,5 мм")</f>
        <v>Кабель контрольный для систем охранной сигнализации негорючий сечением 1х2х0,5 мм</v>
      </c>
      <c r="G10456" s="22" t="s">
        <v>204</v>
      </c>
      <c r="H10456" s="22" t="s">
        <v>303</v>
      </c>
      <c r="I10456" s="26">
        <v>43559.707187499997</v>
      </c>
      <c r="J10456" s="28" t="s">
        <v>52</v>
      </c>
      <c r="K10456" s="28" t="s">
        <v>52</v>
      </c>
      <c r="L10456" s="28" t="s">
        <v>52</v>
      </c>
      <c r="M10456" s="28" t="s">
        <v>52</v>
      </c>
      <c r="N10456" s="28" t="s">
        <v>52</v>
      </c>
    </row>
    <row r="10457" spans="1:14" x14ac:dyDescent="0.15">
      <c r="A10457" s="23" t="str">
        <f t="shared" si="487"/>
        <v>ООО "СК ЭКОСТРОЙ"</v>
      </c>
      <c r="B10457" s="24" t="s">
        <v>3305</v>
      </c>
      <c r="C10457" s="25">
        <v>0</v>
      </c>
      <c r="D10457" s="22" t="s">
        <v>12764</v>
      </c>
      <c r="E10457" s="22" t="s">
        <v>53</v>
      </c>
      <c r="F10457" s="23" t="str">
        <f>HYPERLINK("https://www.spark-marketing.ru/Card/Lot/69515647", "Гайка М8")</f>
        <v>Гайка М8</v>
      </c>
      <c r="G10457" s="22" t="s">
        <v>204</v>
      </c>
      <c r="H10457" s="22" t="s">
        <v>303</v>
      </c>
      <c r="I10457" s="26">
        <v>43559.707187499997</v>
      </c>
      <c r="J10457" s="28" t="s">
        <v>52</v>
      </c>
      <c r="K10457" s="28" t="s">
        <v>52</v>
      </c>
      <c r="L10457" s="28" t="s">
        <v>52</v>
      </c>
      <c r="M10457" s="28" t="s">
        <v>52</v>
      </c>
      <c r="N10457" s="28" t="s">
        <v>52</v>
      </c>
    </row>
    <row r="10458" spans="1:14" x14ac:dyDescent="0.15">
      <c r="A10458" s="23" t="str">
        <f t="shared" si="487"/>
        <v>ООО "СК ЭКОСТРОЙ"</v>
      </c>
      <c r="B10458" s="24" t="s">
        <v>3305</v>
      </c>
      <c r="C10458" s="25">
        <v>0</v>
      </c>
      <c r="D10458" s="22" t="s">
        <v>12764</v>
      </c>
      <c r="E10458" s="22" t="s">
        <v>53</v>
      </c>
      <c r="F10458" s="23" t="str">
        <f>HYPERLINK("https://www.spark-marketing.ru/Card/Lot/69515523", "Болт с прямоугольной головкой М10х30 мм")</f>
        <v>Болт с прямоугольной головкой М10х30 мм</v>
      </c>
      <c r="G10458" s="22" t="s">
        <v>204</v>
      </c>
      <c r="H10458" s="22" t="s">
        <v>303</v>
      </c>
      <c r="I10458" s="26">
        <v>43559.707187499997</v>
      </c>
      <c r="J10458" s="28" t="s">
        <v>52</v>
      </c>
      <c r="K10458" s="28" t="s">
        <v>52</v>
      </c>
      <c r="L10458" s="28" t="s">
        <v>52</v>
      </c>
      <c r="M10458" s="28" t="s">
        <v>52</v>
      </c>
      <c r="N10458" s="28" t="s">
        <v>52</v>
      </c>
    </row>
    <row r="10459" spans="1:14" x14ac:dyDescent="0.15">
      <c r="A10459" s="23" t="str">
        <f t="shared" si="487"/>
        <v>ООО "СК ЭКОСТРОЙ"</v>
      </c>
      <c r="B10459" s="24" t="s">
        <v>3305</v>
      </c>
      <c r="C10459" s="25">
        <v>0</v>
      </c>
      <c r="D10459" s="22" t="s">
        <v>12764</v>
      </c>
      <c r="E10459" s="22" t="s">
        <v>53</v>
      </c>
      <c r="F10459" s="23" t="str">
        <f>HYPERLINK("https://www.spark-marketing.ru/Card/Lot/69515528", "Разделительная полочка 85х3000")</f>
        <v>Разделительная полочка 85х3000</v>
      </c>
      <c r="G10459" s="22" t="s">
        <v>204</v>
      </c>
      <c r="H10459" s="22" t="s">
        <v>303</v>
      </c>
      <c r="I10459" s="26">
        <v>43559.707187499997</v>
      </c>
      <c r="J10459" s="28" t="s">
        <v>52</v>
      </c>
      <c r="K10459" s="28" t="s">
        <v>52</v>
      </c>
      <c r="L10459" s="28" t="s">
        <v>52</v>
      </c>
      <c r="M10459" s="28" t="s">
        <v>52</v>
      </c>
      <c r="N10459" s="28" t="s">
        <v>52</v>
      </c>
    </row>
    <row r="10460" spans="1:14" x14ac:dyDescent="0.15">
      <c r="A10460" s="23" t="str">
        <f t="shared" si="487"/>
        <v>ООО "СК ЭКОСТРОЙ"</v>
      </c>
      <c r="B10460" s="24" t="s">
        <v>3305</v>
      </c>
      <c r="C10460" s="25">
        <v>0</v>
      </c>
      <c r="D10460" s="22" t="s">
        <v>12764</v>
      </c>
      <c r="E10460" s="22" t="s">
        <v>53</v>
      </c>
      <c r="F10460" s="23" t="str">
        <f>HYPERLINK("https://www.spark-marketing.ru/Card/Lot/69515419", "Зажим наборный ЗНИ-2,5 мм2(JXB24A) серый (50 шт)")</f>
        <v>Зажим наборный ЗНИ-2,5 мм2(JXB24A) серый (50 шт)</v>
      </c>
      <c r="G10460" s="22" t="s">
        <v>204</v>
      </c>
      <c r="H10460" s="22" t="s">
        <v>303</v>
      </c>
      <c r="I10460" s="26">
        <v>43559.707187499997</v>
      </c>
      <c r="J10460" s="28" t="s">
        <v>52</v>
      </c>
      <c r="K10460" s="28" t="s">
        <v>52</v>
      </c>
      <c r="L10460" s="28" t="s">
        <v>52</v>
      </c>
      <c r="M10460" s="28" t="s">
        <v>52</v>
      </c>
      <c r="N10460" s="28" t="s">
        <v>52</v>
      </c>
    </row>
    <row r="10461" spans="1:14" x14ac:dyDescent="0.15">
      <c r="A10461" s="23" t="str">
        <f t="shared" si="487"/>
        <v>ООО "СК ЭКОСТРОЙ"</v>
      </c>
      <c r="B10461" s="24" t="s">
        <v>3305</v>
      </c>
      <c r="C10461" s="25">
        <v>0</v>
      </c>
      <c r="D10461" s="22" t="s">
        <v>12764</v>
      </c>
      <c r="E10461" s="22" t="s">
        <v>53</v>
      </c>
      <c r="F10461" s="23" t="str">
        <f>HYPERLINK("https://www.spark-marketing.ru/Card/Lot/69515545", "Шестигранная гайка М8")</f>
        <v>Шестигранная гайка М8</v>
      </c>
      <c r="G10461" s="22" t="s">
        <v>204</v>
      </c>
      <c r="H10461" s="22" t="s">
        <v>303</v>
      </c>
      <c r="I10461" s="26">
        <v>43559.707187499997</v>
      </c>
      <c r="J10461" s="28" t="s">
        <v>52</v>
      </c>
      <c r="K10461" s="28" t="s">
        <v>52</v>
      </c>
      <c r="L10461" s="28" t="s">
        <v>52</v>
      </c>
      <c r="M10461" s="28" t="s">
        <v>52</v>
      </c>
      <c r="N10461" s="28" t="s">
        <v>52</v>
      </c>
    </row>
    <row r="10462" spans="1:14" x14ac:dyDescent="0.15">
      <c r="A10462" s="23" t="str">
        <f>HYPERLINK("https://www.spark-marketing.ru/Card/Person/9916", "ФКУ ""РОСТРАНСМОДЕРНИЗАЦИЯ""")</f>
        <v>ФКУ "РОСТРАНСМОДЕРНИЗАЦИЯ"</v>
      </c>
      <c r="B10462" s="24" t="s">
        <v>12770</v>
      </c>
      <c r="C10462" s="25">
        <v>85029.28</v>
      </c>
      <c r="D10462" s="22" t="s">
        <v>12771</v>
      </c>
      <c r="E10462" s="22" t="s">
        <v>53</v>
      </c>
      <c r="F10462" s="23" t="str">
        <f>HYPERLINK("https://www.spark-marketing.ru/Card/Lot/70781360", "Оказание услуг по охране объекта незавершенного строительства ""Комплексное развитие Новороссийского транспортного узла (Краснодарский край_. Строительство железнодорожных парков и развитие железнодорожной станции Новороссийск Северо-Кавказской желез...")</f>
        <v>Оказание услуг по охране объекта незавершенного строительства "Комплексное развитие Новороссийского транспортного узла (Краснодарский край_. Строительство железнодорожных парков и развитие железнодорожной станции Новороссийск Северо-Кавказской желез...</v>
      </c>
      <c r="G10462" s="22" t="s">
        <v>55</v>
      </c>
      <c r="H10462" s="22" t="s">
        <v>55</v>
      </c>
      <c r="I10462" s="26">
        <v>43559.652083333298</v>
      </c>
      <c r="J10462" s="28" t="s">
        <v>52</v>
      </c>
      <c r="K10462" s="28" t="s">
        <v>52</v>
      </c>
      <c r="L10462" s="28" t="s">
        <v>52</v>
      </c>
      <c r="M10462" s="28" t="s">
        <v>52</v>
      </c>
      <c r="N10462" s="28" t="s">
        <v>52</v>
      </c>
    </row>
    <row r="10463" spans="1:14" x14ac:dyDescent="0.15">
      <c r="A10463" s="23" t="str">
        <f>HYPERLINK("https://www.spark-marketing.ru/Card/Person/139853", "ГОСТРУДИНСПЕКЦИЯ В АМУРСКОЙ ОБЛАСТИ")</f>
        <v>ГОСТРУДИНСПЕКЦИЯ В АМУРСКОЙ ОБЛАСТИ</v>
      </c>
      <c r="B10463" s="24" t="s">
        <v>10152</v>
      </c>
      <c r="C10463" s="25">
        <v>77273.279999999999</v>
      </c>
      <c r="D10463" s="22" t="s">
        <v>12772</v>
      </c>
      <c r="E10463" s="22" t="s">
        <v>68</v>
      </c>
      <c r="F10463" s="23" t="str">
        <f>HYPERLINK("https://www.spark-marketing.ru/Card/Lot/69291724", "Оказание услуг государственной пультовой централизованной охраны с использованием групп быстрого реагирования для охраны объектов административного помещения, прилегающей территории и имущества при помощи средств сигнализации")</f>
        <v>Оказание услуг государственной пультовой централизованной охраны с использованием групп быстрого реагирования для охраны объектов административного помещения, прилегающей территории и имущества при помощи средств сигнализации</v>
      </c>
      <c r="G10463" s="22" t="s">
        <v>230</v>
      </c>
      <c r="H10463" s="22" t="s">
        <v>231</v>
      </c>
      <c r="I10463" s="26">
        <v>43559.663194444402</v>
      </c>
      <c r="J10463" s="23" t="str">
        <f>HYPERLINK("https://www.spark-marketing.ru/Card/Person/325761", "ООО ""ЧОП ""АМУРСКИЙ ЛЕГИОН-БЛАГОВЕЩЕНСК""")</f>
        <v>ООО "ЧОП "АМУРСКИЙ ЛЕГИОН-БЛАГОВЕЩЕНСК"</v>
      </c>
      <c r="K10463" s="24" t="s">
        <v>12773</v>
      </c>
      <c r="L10463" s="28" t="s">
        <v>52</v>
      </c>
      <c r="M10463" s="28" t="s">
        <v>52</v>
      </c>
      <c r="N10463" s="28" t="s">
        <v>52</v>
      </c>
    </row>
    <row r="10464" spans="1:14" hidden="1" outlineLevel="1" x14ac:dyDescent="0.2">
      <c r="A10464" s="23" t="str">
        <f>HYPERLINK("https://www.spark-marketing.ru/Card/Person/139853", "ГОСТРУДИНСПЕКЦИЯ В АМУРСКОЙ ОБЛАСТИ")</f>
        <v>ГОСТРУДИНСПЕКЦИЯ В АМУРСКОЙ ОБЛАСТИ</v>
      </c>
      <c r="B10464" s="24" t="s">
        <v>10152</v>
      </c>
      <c r="C10464" s="25">
        <v>77273.279999999999</v>
      </c>
      <c r="D10464" s="22" t="s">
        <v>12772</v>
      </c>
      <c r="E10464" s="22" t="s">
        <v>68</v>
      </c>
      <c r="F10464" s="23" t="str">
        <f>HYPERLINK("https://www.spark-marketing.ru/Card/Lot/69291724", "Оказание услуг государственной пультовой централизованной охраны с использованием групп быстрого реагирования для охраны объектов административного помещения, прилегающей территории и имущества при помощи средств сигнализации")</f>
        <v>Оказание услуг государственной пультовой централизованной охраны с использованием групп быстрого реагирования для охраны объектов административного помещения, прилегающей территории и имущества при помощи средств сигнализации</v>
      </c>
      <c r="G10464" s="22" t="s">
        <v>230</v>
      </c>
      <c r="H10464" s="22" t="s">
        <v>231</v>
      </c>
      <c r="I10464" s="26">
        <v>43559.663194444402</v>
      </c>
      <c r="J10464" s="23" t="str">
        <f>HYPERLINK("https://www.spark-marketing.ru/Card/Person/325761", "ООО ""ЧОП ""АМУРСКИЙ ЛЕГИОН-БЛАГОВЕЩЕНСК""")</f>
        <v>ООО "ЧОП "АМУРСКИЙ ЛЕГИОН-БЛАГОВЕЩЕНСК"</v>
      </c>
      <c r="K10464" s="24" t="s">
        <v>12773</v>
      </c>
      <c r="L10464" s="28" t="s">
        <v>52</v>
      </c>
      <c r="M10464" s="25">
        <v>76773.279999999999</v>
      </c>
      <c r="N10464" s="27">
        <v>6.4705419518881558E-3</v>
      </c>
    </row>
    <row r="10465" spans="1:14" x14ac:dyDescent="0.2">
      <c r="A10465" s="23" t="str">
        <f>HYPERLINK("https://www.spark-marketing.ru/Card/Person/19005", "СПБ ГБУК ""МИХАЙЛОВСКИЙ ТЕАТР""")</f>
        <v>СПБ ГБУК "МИХАЙЛОВСКИЙ ТЕАТР"</v>
      </c>
      <c r="B10465" s="24" t="s">
        <v>2035</v>
      </c>
      <c r="C10465" s="25">
        <v>499999.99</v>
      </c>
      <c r="D10465" s="22" t="s">
        <v>12774</v>
      </c>
      <c r="E10465" s="22" t="s">
        <v>370</v>
      </c>
      <c r="F10465" s="23" t="str">
        <f>HYPERLINK("https://www.spark-marketing.ru/Card/Lot/69376842", "Оказание услуг по техническому обслуживанию системы охранной сигнализации (ОС), системы видеонаблюдения (СВН), системы контроля и управления доступом /на базе интегрированной системы Parsec Net / и откатных ворот (СКУД) СПб ГБУК «Михайловский театр»")</f>
        <v>Оказание услуг по техническому обслуживанию системы охранной сигнализации (ОС), системы видеонаблюдения (СВН), системы контроля и управления доступом /на базе интегрированной системы Parsec Net / и откатных ворот (СКУД) СПб ГБУК «Михайловский театр»</v>
      </c>
      <c r="G10465" s="22" t="s">
        <v>89</v>
      </c>
      <c r="H10465" s="22" t="s">
        <v>89</v>
      </c>
      <c r="I10465" s="26">
        <v>43559.6329050926</v>
      </c>
      <c r="J10465" s="23" t="str">
        <f>HYPERLINK("https://www.spark-marketing.ru/Card/Person/1575836", "ООО ""СПЕЦАВТОМАТИКА""")</f>
        <v>ООО "СПЕЦАВТОМАТИКА"</v>
      </c>
      <c r="K10465" s="24" t="s">
        <v>9395</v>
      </c>
      <c r="L10465" s="28" t="s">
        <v>52</v>
      </c>
      <c r="M10465" s="25">
        <v>499999.99</v>
      </c>
      <c r="N10465" s="27">
        <v>0</v>
      </c>
    </row>
    <row r="10466" spans="1:14" x14ac:dyDescent="0.15">
      <c r="A10466" s="23" t="str">
        <f>HYPERLINK("https://www.spark-marketing.ru/Card/Person/70448", "АДМИНИСТРАЦИЯ РЫБНОВСКОГО ГОРОДСКОГО ПОСЕЛЕНИЯ")</f>
        <v>АДМИНИСТРАЦИЯ РЫБНОВСКОГО ГОРОДСКОГО ПОСЕЛЕНИЯ</v>
      </c>
      <c r="B10466" s="24" t="s">
        <v>10156</v>
      </c>
      <c r="C10466" s="25">
        <v>548608.80000000005</v>
      </c>
      <c r="D10466" s="22" t="s">
        <v>12775</v>
      </c>
      <c r="E10466" s="22" t="s">
        <v>194</v>
      </c>
      <c r="F10466" s="23" t="str">
        <f>HYPERLINK("https://www.spark-marketing.ru/Card/Lot/69392390", "Приобретение и установка видеокамер в г. Рыбное Рязанской области")</f>
        <v>Приобретение и установка видеокамер в г. Рыбное Рязанской области</v>
      </c>
      <c r="G10466" s="22" t="s">
        <v>186</v>
      </c>
      <c r="H10466" s="22" t="s">
        <v>186</v>
      </c>
      <c r="I10466" s="26">
        <v>43559.6472222222</v>
      </c>
      <c r="J10466" s="28" t="s">
        <v>52</v>
      </c>
      <c r="K10466" s="28" t="s">
        <v>52</v>
      </c>
      <c r="L10466" s="28" t="s">
        <v>52</v>
      </c>
      <c r="M10466" s="28" t="s">
        <v>52</v>
      </c>
      <c r="N10466" s="28" t="s">
        <v>52</v>
      </c>
    </row>
    <row r="10467" spans="1:14" hidden="1" outlineLevel="1" x14ac:dyDescent="0.2">
      <c r="A10467" s="23" t="str">
        <f>HYPERLINK("https://www.spark-marketing.ru/Card/Person/70448", "АДМИНИСТРАЦИЯ РЫБНОВСКОГО ГОРОДСКОГО ПОСЕЛЕНИЯ")</f>
        <v>АДМИНИСТРАЦИЯ РЫБНОВСКОГО ГОРОДСКОГО ПОСЕЛЕНИЯ</v>
      </c>
      <c r="B10467" s="24" t="s">
        <v>10156</v>
      </c>
      <c r="C10467" s="25">
        <v>548608.80000000005</v>
      </c>
      <c r="D10467" s="22" t="s">
        <v>12775</v>
      </c>
      <c r="E10467" s="22" t="s">
        <v>194</v>
      </c>
      <c r="F10467" s="23" t="str">
        <f>HYPERLINK("https://www.spark-marketing.ru/Card/Lot/69392390", "Приобретение и установка видеокамер в г. Рыбное Рязанской области")</f>
        <v>Приобретение и установка видеокамер в г. Рыбное Рязанской области</v>
      </c>
      <c r="G10467" s="22" t="s">
        <v>186</v>
      </c>
      <c r="H10467" s="22" t="s">
        <v>186</v>
      </c>
      <c r="I10467" s="26">
        <v>43559.6472222222</v>
      </c>
      <c r="J10467" s="23" t="str">
        <f>HYPERLINK("https://www.spark-marketing.ru/Card/Person/128500", "ООО ""ОНТЕЛЕКОМ""")</f>
        <v>ООО "ОНТЕЛЕКОМ"</v>
      </c>
      <c r="K10467" s="24" t="s">
        <v>10158</v>
      </c>
      <c r="L10467" s="28" t="s">
        <v>52</v>
      </c>
      <c r="M10467" s="25">
        <v>545865.76</v>
      </c>
      <c r="N10467" s="27">
        <v>4.9999927088300441E-3</v>
      </c>
    </row>
    <row r="10468" spans="1:14" ht="12.75" hidden="1" outlineLevel="1" x14ac:dyDescent="0.2">
      <c r="A10468" s="23" t="str">
        <f>HYPERLINK("https://www.spark-marketing.ru/Card/Person/70448", "АДМИНИСТРАЦИЯ РЫБНОВСКОГО ГОРОДСКОГО ПОСЕЛЕНИЯ")</f>
        <v>АДМИНИСТРАЦИЯ РЫБНОВСКОГО ГОРОДСКОГО ПОСЕЛЕНИЯ</v>
      </c>
      <c r="B10468" s="24" t="s">
        <v>10156</v>
      </c>
      <c r="C10468" s="25">
        <v>548608.80000000005</v>
      </c>
      <c r="D10468" s="22" t="s">
        <v>12775</v>
      </c>
      <c r="E10468" s="22" t="s">
        <v>194</v>
      </c>
      <c r="F10468" s="23" t="str">
        <f>HYPERLINK("https://www.spark-marketing.ru/Card/Lot/69392390", "Приобретение и установка видеокамер в г. Рыбное Рязанской области")</f>
        <v>Приобретение и установка видеокамер в г. Рыбное Рязанской области</v>
      </c>
      <c r="G10468" s="22" t="s">
        <v>186</v>
      </c>
      <c r="H10468" s="22" t="s">
        <v>186</v>
      </c>
      <c r="I10468" s="26">
        <v>43559.6472222222</v>
      </c>
      <c r="J10468" s="23" t="str">
        <f>HYPERLINK("https://www.spark-marketing.ru/Card/Person/5950001", "ООО ""ИЛСТРОЙ""")</f>
        <v>ООО "ИЛСТРОЙ"</v>
      </c>
      <c r="K10468" s="24" t="s">
        <v>12776</v>
      </c>
      <c r="L10468" s="22" t="s">
        <v>10</v>
      </c>
      <c r="M10468" s="25">
        <v>543122.72</v>
      </c>
      <c r="N10468" s="27">
        <v>9.9999854176600882E-3</v>
      </c>
    </row>
    <row r="10469" spans="1:14" x14ac:dyDescent="0.15">
      <c r="A10469" s="23" t="str">
        <f>HYPERLINK("https://www.spark-marketing.ru/Card/Person/51347", "КГБУ ""КОМСОМОЛЬСКИЙ-НА-АМУРЕ ДПИ""")</f>
        <v>КГБУ "КОМСОМОЛЬСКИЙ-НА-АМУРЕ ДПИ"</v>
      </c>
      <c r="B10469" s="24" t="s">
        <v>12706</v>
      </c>
      <c r="C10469" s="25">
        <v>11799.7</v>
      </c>
      <c r="D10469" s="22" t="s">
        <v>12777</v>
      </c>
      <c r="E10469" s="22" t="s">
        <v>68</v>
      </c>
      <c r="F10469" s="23" t="str">
        <f>HYPERLINK("https://www.spark-marketing.ru/Card/Lot/69274745", "Оказание услуг по централизованной охране объектов")</f>
        <v>Оказание услуг по централизованной охране объектов</v>
      </c>
      <c r="G10469" s="22" t="s">
        <v>138</v>
      </c>
      <c r="H10469" s="22" t="s">
        <v>139</v>
      </c>
      <c r="I10469" s="26">
        <v>43559.641666666699</v>
      </c>
      <c r="J10469" s="28" t="s">
        <v>52</v>
      </c>
      <c r="K10469" s="28" t="s">
        <v>52</v>
      </c>
      <c r="L10469" s="28" t="s">
        <v>52</v>
      </c>
      <c r="M10469" s="28" t="s">
        <v>52</v>
      </c>
      <c r="N10469" s="28" t="s">
        <v>52</v>
      </c>
    </row>
    <row r="10470" spans="1:14" x14ac:dyDescent="0.15">
      <c r="A10470" s="23" t="str">
        <f>HYPERLINK("https://www.spark-marketing.ru/Card/Person/9916", "ФКУ ""РОСТРАНСМОДЕРНИЗАЦИЯ""")</f>
        <v>ФКУ "РОСТРАНСМОДЕРНИЗАЦИЯ"</v>
      </c>
      <c r="B10470" s="24" t="s">
        <v>12770</v>
      </c>
      <c r="C10470" s="25">
        <v>85029.28</v>
      </c>
      <c r="D10470" s="22" t="s">
        <v>12778</v>
      </c>
      <c r="E10470" s="22" t="s">
        <v>53</v>
      </c>
      <c r="F10470" s="23" t="str">
        <f>HYPERLINK("https://www.spark-marketing.ru/Card/Lot/70783947", "Оказание услуг по охране объекта незавершенного строительства ""Комплексное развитие Новороссийского транспортного узла (Краснодарский край_. Строительство железнодорожных парков и развитие железнодорожной станции Новороссийск Северо-Кавказской желез...")</f>
        <v>Оказание услуг по охране объекта незавершенного строительства "Комплексное развитие Новороссийского транспортного узла (Краснодарский край_. Строительство железнодорожных парков и развитие железнодорожной станции Новороссийск Северо-Кавказской желез...</v>
      </c>
      <c r="G10470" s="22" t="s">
        <v>55</v>
      </c>
      <c r="H10470" s="22" t="s">
        <v>55</v>
      </c>
      <c r="I10470" s="26">
        <v>43559.645300925898</v>
      </c>
      <c r="J10470" s="28" t="s">
        <v>52</v>
      </c>
      <c r="K10470" s="28" t="s">
        <v>52</v>
      </c>
      <c r="L10470" s="28" t="s">
        <v>52</v>
      </c>
      <c r="M10470" s="28" t="s">
        <v>52</v>
      </c>
      <c r="N10470" s="28" t="s">
        <v>52</v>
      </c>
    </row>
    <row r="10471" spans="1:14" x14ac:dyDescent="0.15">
      <c r="A10471" s="23" t="str">
        <f>HYPERLINK("https://www.spark-marketing.ru/Card/Person/9916", "ФКУ ""РОСТРАНСМОДЕРНИЗАЦИЯ""")</f>
        <v>ФКУ "РОСТРАНСМОДЕРНИЗАЦИЯ"</v>
      </c>
      <c r="B10471" s="24" t="s">
        <v>12770</v>
      </c>
      <c r="C10471" s="25">
        <v>85029.28</v>
      </c>
      <c r="D10471" s="22" t="s">
        <v>12779</v>
      </c>
      <c r="E10471" s="22" t="s">
        <v>53</v>
      </c>
      <c r="F10471" s="23" t="str">
        <f>HYPERLINK("https://www.spark-marketing.ru/Card/Lot/70783860", "Оказание услуг по охране объекта незавершенного строительства ""Комплексное развитие Новороссийского транспортного узла (Краснодарский край_. Строительство железнодорожных парков и развитие железнодорожной станции Новороссийск Северо-Кавказской желез...")</f>
        <v>Оказание услуг по охране объекта незавершенного строительства "Комплексное развитие Новороссийского транспортного узла (Краснодарский край_. Строительство железнодорожных парков и развитие железнодорожной станции Новороссийск Северо-Кавказской желез...</v>
      </c>
      <c r="G10471" s="22" t="s">
        <v>55</v>
      </c>
      <c r="H10471" s="22" t="s">
        <v>55</v>
      </c>
      <c r="I10471" s="26">
        <v>43559.641631944403</v>
      </c>
      <c r="J10471" s="28" t="s">
        <v>52</v>
      </c>
      <c r="K10471" s="28" t="s">
        <v>52</v>
      </c>
      <c r="L10471" s="28" t="s">
        <v>52</v>
      </c>
      <c r="M10471" s="28" t="s">
        <v>52</v>
      </c>
      <c r="N10471" s="28" t="s">
        <v>52</v>
      </c>
    </row>
    <row r="10472" spans="1:14" x14ac:dyDescent="0.15">
      <c r="A10472" s="23" t="str">
        <f>HYPERLINK("https://www.spark-marketing.ru/Card/Person/9916", "ФКУ ""РОСТРАНСМОДЕРНИЗАЦИЯ""")</f>
        <v>ФКУ "РОСТРАНСМОДЕРНИЗАЦИЯ"</v>
      </c>
      <c r="B10472" s="24" t="s">
        <v>12770</v>
      </c>
      <c r="C10472" s="25">
        <v>85029.28</v>
      </c>
      <c r="D10472" s="22" t="s">
        <v>12780</v>
      </c>
      <c r="E10472" s="22" t="s">
        <v>53</v>
      </c>
      <c r="F10472" s="23" t="str">
        <f>HYPERLINK("https://www.spark-marketing.ru/Card/Lot/70783944", "Оказание услуг по охране объекта незавершенного строительства ""Комплексное развитие Новороссийского транспортного узла (Краснодарский край_. Строительство железнодорожных парков и развитие железнодорожной станции Новороссийск Северо-Кавказской желез...")</f>
        <v>Оказание услуг по охране объекта незавершенного строительства "Комплексное развитие Новороссийского транспортного узла (Краснодарский край_. Строительство железнодорожных парков и развитие железнодорожной станции Новороссийск Северо-Кавказской желез...</v>
      </c>
      <c r="G10472" s="22" t="s">
        <v>55</v>
      </c>
      <c r="H10472" s="22" t="s">
        <v>55</v>
      </c>
      <c r="I10472" s="26">
        <v>43559.644247685203</v>
      </c>
      <c r="J10472" s="28" t="s">
        <v>52</v>
      </c>
      <c r="K10472" s="28" t="s">
        <v>52</v>
      </c>
      <c r="L10472" s="28" t="s">
        <v>52</v>
      </c>
      <c r="M10472" s="28" t="s">
        <v>52</v>
      </c>
      <c r="N10472" s="28" t="s">
        <v>52</v>
      </c>
    </row>
    <row r="10473" spans="1:14" x14ac:dyDescent="0.15">
      <c r="A10473" s="23" t="str">
        <f>HYPERLINK("https://www.spark-marketing.ru/Card/Person/9916", "ФКУ ""РОСТРАНСМОДЕРНИЗАЦИЯ""")</f>
        <v>ФКУ "РОСТРАНСМОДЕРНИЗАЦИЯ"</v>
      </c>
      <c r="B10473" s="24" t="s">
        <v>12770</v>
      </c>
      <c r="C10473" s="25">
        <v>85029.28</v>
      </c>
      <c r="D10473" s="22" t="s">
        <v>12781</v>
      </c>
      <c r="E10473" s="22" t="s">
        <v>53</v>
      </c>
      <c r="F10473" s="23" t="str">
        <f>HYPERLINK("https://www.spark-marketing.ru/Card/Lot/70783855", "Оказание услуг по охране объекта незавершенного строительства ""Комплексное развитие Новороссийского транспортного узла (Краснодарский край_. Строительство железнодорожных парков и развитие железнодорожной станции Новороссийск Северо-Кавказской желез...")</f>
        <v>Оказание услуг по охране объекта незавершенного строительства "Комплексное развитие Новороссийского транспортного узла (Краснодарский край_. Строительство железнодорожных парков и развитие железнодорожной станции Новороссийск Северо-Кавказской желез...</v>
      </c>
      <c r="G10473" s="22" t="s">
        <v>55</v>
      </c>
      <c r="H10473" s="22" t="s">
        <v>55</v>
      </c>
      <c r="I10473" s="26">
        <v>43559.640567129602</v>
      </c>
      <c r="J10473" s="28" t="s">
        <v>52</v>
      </c>
      <c r="K10473" s="28" t="s">
        <v>52</v>
      </c>
      <c r="L10473" s="28" t="s">
        <v>52</v>
      </c>
      <c r="M10473" s="28" t="s">
        <v>52</v>
      </c>
      <c r="N10473" s="28" t="s">
        <v>52</v>
      </c>
    </row>
    <row r="10474" spans="1:14" x14ac:dyDescent="0.15">
      <c r="A10474" s="23" t="str">
        <f>HYPERLINK("https://www.spark-marketing.ru/Card/Person/9916", "ФКУ ""РОСТРАНСМОДЕРНИЗАЦИЯ""")</f>
        <v>ФКУ "РОСТРАНСМОДЕРНИЗАЦИЯ"</v>
      </c>
      <c r="B10474" s="24" t="s">
        <v>12770</v>
      </c>
      <c r="C10474" s="25">
        <v>85029.28</v>
      </c>
      <c r="D10474" s="22" t="s">
        <v>12782</v>
      </c>
      <c r="E10474" s="22" t="s">
        <v>53</v>
      </c>
      <c r="F10474" s="23" t="str">
        <f>HYPERLINK("https://www.spark-marketing.ru/Card/Lot/70783941", "Оказание услуг по охране объекта незавершенного строительства ""Комплексное развитие Новороссийского транспортного узла (Краснодарский край_. Строительство железнодорожных парков и развитие железнодорожной станции Новороссийск Северо-Кавказской желез...")</f>
        <v>Оказание услуг по охране объекта незавершенного строительства "Комплексное развитие Новороссийского транспортного узла (Краснодарский край_. Строительство железнодорожных парков и развитие железнодорожной станции Новороссийск Северо-Кавказской желез...</v>
      </c>
      <c r="G10474" s="22" t="s">
        <v>55</v>
      </c>
      <c r="H10474" s="22" t="s">
        <v>55</v>
      </c>
      <c r="I10474" s="26">
        <v>43559.642615740697</v>
      </c>
      <c r="J10474" s="28" t="s">
        <v>52</v>
      </c>
      <c r="K10474" s="28" t="s">
        <v>52</v>
      </c>
      <c r="L10474" s="28" t="s">
        <v>52</v>
      </c>
      <c r="M10474" s="28" t="s">
        <v>52</v>
      </c>
      <c r="N10474" s="28" t="s">
        <v>52</v>
      </c>
    </row>
    <row r="10475" spans="1:14" x14ac:dyDescent="0.15">
      <c r="A10475" s="23" t="str">
        <f>HYPERLINK("https://www.spark-marketing.ru/Card/Person/281725", "ООО ""ГАЗПРОМ МЕЖРЕГИОНГАЗ ВЛАДИМИР""")</f>
        <v>ООО "ГАЗПРОМ МЕЖРЕГИОНГАЗ ВЛАДИМИР"</v>
      </c>
      <c r="B10475" s="24" t="s">
        <v>12783</v>
      </c>
      <c r="C10475" s="25">
        <v>1475684.82</v>
      </c>
      <c r="D10475" s="22" t="s">
        <v>12784</v>
      </c>
      <c r="E10475" s="22" t="s">
        <v>10672</v>
      </c>
      <c r="F10475" s="23" t="str">
        <f>HYPERLINK("https://www.spark-marketing.ru/Card/Lot/69376852", "Услуги по сопровождению неисключительных прав использования ПО СЗИ ЕИТП")</f>
        <v>Услуги по сопровождению неисключительных прав использования ПО СЗИ ЕИТП</v>
      </c>
      <c r="G10475" s="22" t="s">
        <v>145</v>
      </c>
      <c r="H10475" s="22" t="s">
        <v>145</v>
      </c>
      <c r="I10475" s="26">
        <v>43559.633831018502</v>
      </c>
      <c r="J10475" s="28" t="s">
        <v>52</v>
      </c>
      <c r="K10475" s="28" t="s">
        <v>52</v>
      </c>
      <c r="L10475" s="28" t="s">
        <v>52</v>
      </c>
      <c r="M10475" s="28" t="s">
        <v>52</v>
      </c>
      <c r="N10475" s="28" t="s">
        <v>52</v>
      </c>
    </row>
    <row r="10476" spans="1:14" x14ac:dyDescent="0.15">
      <c r="A10476" s="23" t="str">
        <f>HYPERLINK("https://www.spark-marketing.ru/Card/Person/9916", "ФКУ ""РОСТРАНСМОДЕРНИЗАЦИЯ""")</f>
        <v>ФКУ "РОСТРАНСМОДЕРНИЗАЦИЯ"</v>
      </c>
      <c r="B10476" s="24" t="s">
        <v>12770</v>
      </c>
      <c r="C10476" s="25">
        <v>85029.28</v>
      </c>
      <c r="D10476" s="22" t="s">
        <v>12785</v>
      </c>
      <c r="E10476" s="22" t="s">
        <v>53</v>
      </c>
      <c r="F10476" s="23" t="str">
        <f>HYPERLINK("https://www.spark-marketing.ru/Card/Lot/70783850", "Оказание услуг по охране объекта незавершенного строительства ""Комплексное развитие Новороссийского транспортного узла (Краснодарский край_. Строительство железнодорожных парков и развитие железнодорожной станции Новороссийск Северо-Кавказской желез...")</f>
        <v>Оказание услуг по охране объекта незавершенного строительства "Комплексное развитие Новороссийского транспортного узла (Краснодарский край_. Строительство железнодорожных парков и развитие железнодорожной станции Новороссийск Северо-Кавказской желез...</v>
      </c>
      <c r="G10476" s="22" t="s">
        <v>55</v>
      </c>
      <c r="H10476" s="22" t="s">
        <v>55</v>
      </c>
      <c r="I10476" s="26">
        <v>43559.638564814799</v>
      </c>
      <c r="J10476" s="28" t="s">
        <v>52</v>
      </c>
      <c r="K10476" s="28" t="s">
        <v>52</v>
      </c>
      <c r="L10476" s="28" t="s">
        <v>52</v>
      </c>
      <c r="M10476" s="28" t="s">
        <v>52</v>
      </c>
      <c r="N10476" s="28" t="s">
        <v>52</v>
      </c>
    </row>
    <row r="10477" spans="1:14" x14ac:dyDescent="0.15">
      <c r="A10477" s="23" t="str">
        <f>HYPERLINK("https://www.spark-marketing.ru/Card/Person/9916", "ФКУ ""РОСТРАНСМОДЕРНИЗАЦИЯ""")</f>
        <v>ФКУ "РОСТРАНСМОДЕРНИЗАЦИЯ"</v>
      </c>
      <c r="B10477" s="24" t="s">
        <v>12770</v>
      </c>
      <c r="C10477" s="25">
        <v>85029.28</v>
      </c>
      <c r="D10477" s="22" t="s">
        <v>12786</v>
      </c>
      <c r="E10477" s="22" t="s">
        <v>53</v>
      </c>
      <c r="F10477" s="23" t="str">
        <f>HYPERLINK("https://www.spark-marketing.ru/Card/Lot/70782468", "Оказание услуг по охране объекта незавершенного строительства ""Комплексное развитие Новороссийского транспортного узла (Краснодарский край_. Строительство железнодорожных парков и развитие железнодорожной станции Новороссийск Северо-Кавказской желез...")</f>
        <v>Оказание услуг по охране объекта незавершенного строительства "Комплексное развитие Новороссийского транспортного узла (Краснодарский край_. Строительство железнодорожных парков и развитие железнодорожной станции Новороссийск Северо-Кавказской желез...</v>
      </c>
      <c r="G10477" s="22" t="s">
        <v>55</v>
      </c>
      <c r="H10477" s="22" t="s">
        <v>55</v>
      </c>
      <c r="I10477" s="26">
        <v>43559.650648148097</v>
      </c>
      <c r="J10477" s="28" t="s">
        <v>52</v>
      </c>
      <c r="K10477" s="28" t="s">
        <v>52</v>
      </c>
      <c r="L10477" s="28" t="s">
        <v>52</v>
      </c>
      <c r="M10477" s="28" t="s">
        <v>52</v>
      </c>
      <c r="N10477" s="28" t="s">
        <v>52</v>
      </c>
    </row>
    <row r="10478" spans="1:14" x14ac:dyDescent="0.15">
      <c r="A10478" s="23" t="str">
        <f>HYPERLINK("https://www.spark-marketing.ru/Card/Person/1245", "ГАСУ АО ВОЛГО-КАСПИЙСКИЙ ДИПИ")</f>
        <v>ГАСУ АО ВОЛГО-КАСПИЙСКИЙ ДИПИ</v>
      </c>
      <c r="B10478" s="24" t="s">
        <v>12787</v>
      </c>
      <c r="C10478" s="25">
        <v>475913</v>
      </c>
      <c r="D10478" s="22" t="s">
        <v>12788</v>
      </c>
      <c r="E10478" s="22" t="s">
        <v>12789</v>
      </c>
      <c r="F10478" s="23" t="str">
        <f>HYPERLINK("https://www.spark-marketing.ru/Card/Lot/69392967", "Поставка и установка системы видеонаблюдения")</f>
        <v>Поставка и установка системы видеонаблюдения</v>
      </c>
      <c r="G10478" s="22" t="s">
        <v>565</v>
      </c>
      <c r="H10478" s="22" t="s">
        <v>565</v>
      </c>
      <c r="I10478" s="26">
        <v>43559.659606481502</v>
      </c>
      <c r="J10478" s="28" t="s">
        <v>52</v>
      </c>
      <c r="K10478" s="28" t="s">
        <v>52</v>
      </c>
      <c r="L10478" s="28" t="s">
        <v>52</v>
      </c>
      <c r="M10478" s="28" t="s">
        <v>52</v>
      </c>
      <c r="N10478" s="28" t="s">
        <v>52</v>
      </c>
    </row>
    <row r="10479" spans="1:14" x14ac:dyDescent="0.15">
      <c r="A10479" s="23" t="str">
        <f>HYPERLINK("https://www.spark-marketing.ru/Card/Person/9916", "ФКУ ""РОСТРАНСМОДЕРНИЗАЦИЯ""")</f>
        <v>ФКУ "РОСТРАНСМОДЕРНИЗАЦИЯ"</v>
      </c>
      <c r="B10479" s="24" t="s">
        <v>12770</v>
      </c>
      <c r="C10479" s="25">
        <v>85029.28</v>
      </c>
      <c r="D10479" s="22" t="s">
        <v>12790</v>
      </c>
      <c r="E10479" s="22" t="s">
        <v>53</v>
      </c>
      <c r="F10479" s="23" t="str">
        <f>HYPERLINK("https://www.spark-marketing.ru/Card/Lot/70783948", "Оказание услуг по охране объекта незавершенного строительства ""Комплексное развитие Новороссийского транспортного узла (Краснодарский край_. Строительство железнодорожных парков и развитие железнодорожной станции Новороссийск Северо-Кавказской желез...")</f>
        <v>Оказание услуг по охране объекта незавершенного строительства "Комплексное развитие Новороссийского транспортного узла (Краснодарский край_. Строительство железнодорожных парков и развитие железнодорожной станции Новороссийск Северо-Кавказской желез...</v>
      </c>
      <c r="G10479" s="22" t="s">
        <v>55</v>
      </c>
      <c r="H10479" s="22" t="s">
        <v>55</v>
      </c>
      <c r="I10479" s="26">
        <v>43559.646597222199</v>
      </c>
      <c r="J10479" s="28" t="s">
        <v>52</v>
      </c>
      <c r="K10479" s="28" t="s">
        <v>52</v>
      </c>
      <c r="L10479" s="28" t="s">
        <v>52</v>
      </c>
      <c r="M10479" s="28" t="s">
        <v>52</v>
      </c>
      <c r="N10479" s="28" t="s">
        <v>52</v>
      </c>
    </row>
    <row r="10480" spans="1:14" x14ac:dyDescent="0.15">
      <c r="A10480" s="23" t="str">
        <f>HYPERLINK("https://www.spark-marketing.ru/Card/Person/718720", "ГАПОУ МО ""КТК""")</f>
        <v>ГАПОУ МО "КТК"</v>
      </c>
      <c r="B10480" s="24" t="s">
        <v>12791</v>
      </c>
      <c r="C10480" s="25">
        <v>292000</v>
      </c>
      <c r="D10480" s="22" t="s">
        <v>12792</v>
      </c>
      <c r="E10480" s="22" t="s">
        <v>691</v>
      </c>
      <c r="F10480" s="23" t="str">
        <f>HYPERLINK("https://www.spark-marketing.ru/Card/Lot/69360643", "Установка уличных камер видеонаблюдения общежития по адресу: Мурманская область, г. Кола, пр. Миронова, д. 4. Частичная замена аналоговых видеокамер на IРвидеокамеры с прокладкой магистральной оптоволоконной линии по адресу: Мурманская область, г. Ко...")</f>
        <v>Установка уличных камер видеонаблюдения общежития по адресу: Мурманская область, г. Кола, пр. Миронова, д. 4. Частичная замена аналоговых видеокамер на IРвидеокамеры с прокладкой магистральной оптоволоконной линии по адресу: Мурманская область, г. Ко...</v>
      </c>
      <c r="G10480" s="22" t="s">
        <v>190</v>
      </c>
      <c r="H10480" s="22" t="s">
        <v>190</v>
      </c>
      <c r="I10480" s="26">
        <v>43559.616319444402</v>
      </c>
      <c r="J10480" s="28" t="s">
        <v>52</v>
      </c>
      <c r="K10480" s="28" t="s">
        <v>52</v>
      </c>
      <c r="L10480" s="28" t="s">
        <v>52</v>
      </c>
      <c r="M10480" s="28" t="s">
        <v>52</v>
      </c>
      <c r="N10480" s="28" t="s">
        <v>52</v>
      </c>
    </row>
    <row r="10481" spans="1:14" x14ac:dyDescent="0.15">
      <c r="A10481" s="23" t="str">
        <f>HYPERLINK("https://www.spark-marketing.ru/Card/Person/411135", "МКУ ДО ЦЕНТР ""ПАТРИОТ""")</f>
        <v>МКУ ДО ЦЕНТР "ПАТРИОТ"</v>
      </c>
      <c r="B10481" s="24" t="s">
        <v>12793</v>
      </c>
      <c r="C10481" s="25">
        <v>12500</v>
      </c>
      <c r="D10481" s="22" t="s">
        <v>12794</v>
      </c>
      <c r="E10481" s="22" t="s">
        <v>208</v>
      </c>
      <c r="F10481" s="23" t="str">
        <f>HYPERLINK("https://www.spark-marketing.ru/Card/Lot/69357671", "Оказание услуг по монтажу кнопки тревожной сигнализации")</f>
        <v>Оказание услуг по монтажу кнопки тревожной сигнализации</v>
      </c>
      <c r="G10481" s="22" t="s">
        <v>209</v>
      </c>
      <c r="H10481" s="22" t="s">
        <v>5208</v>
      </c>
      <c r="I10481" s="26">
        <v>43559.611111111102</v>
      </c>
      <c r="J10481" s="28" t="s">
        <v>52</v>
      </c>
      <c r="K10481" s="28" t="s">
        <v>52</v>
      </c>
      <c r="L10481" s="28" t="s">
        <v>52</v>
      </c>
      <c r="M10481" s="28" t="s">
        <v>52</v>
      </c>
      <c r="N10481" s="28" t="s">
        <v>52</v>
      </c>
    </row>
    <row r="10482" spans="1:14" x14ac:dyDescent="0.15">
      <c r="A10482" s="23" t="str">
        <f>HYPERLINK("https://www.spark-marketing.ru/Card/Person/243796", "МКОУ ""МЕРЕТСКАЯ СОШ""")</f>
        <v>МКОУ "МЕРЕТСКАЯ СОШ"</v>
      </c>
      <c r="B10482" s="24" t="s">
        <v>10415</v>
      </c>
      <c r="C10482" s="25">
        <v>12500</v>
      </c>
      <c r="D10482" s="22" t="s">
        <v>12795</v>
      </c>
      <c r="E10482" s="22" t="s">
        <v>208</v>
      </c>
      <c r="F10482" s="23" t="str">
        <f>HYPERLINK("https://www.spark-marketing.ru/Card/Lot/69357442", "Услуги по монтажу кнопки тревожной сигнализации")</f>
        <v>Услуги по монтажу кнопки тревожной сигнализации</v>
      </c>
      <c r="G10482" s="22" t="s">
        <v>209</v>
      </c>
      <c r="H10482" s="22" t="s">
        <v>5208</v>
      </c>
      <c r="I10482" s="26">
        <v>43559.6069444444</v>
      </c>
      <c r="J10482" s="28" t="s">
        <v>52</v>
      </c>
      <c r="K10482" s="28" t="s">
        <v>52</v>
      </c>
      <c r="L10482" s="28" t="s">
        <v>52</v>
      </c>
      <c r="M10482" s="28" t="s">
        <v>52</v>
      </c>
      <c r="N10482" s="28" t="s">
        <v>52</v>
      </c>
    </row>
    <row r="10483" spans="1:14" x14ac:dyDescent="0.15">
      <c r="A10483" s="23" t="str">
        <f>HYPERLINK("https://www.spark-marketing.ru/Card/Person/1070971", "МКДОУ ""ЗАКОВРЯЖИНСКИЙ ДЕТСКИЙ САД""")</f>
        <v>МКДОУ "ЗАКОВРЯЖИНСКИЙ ДЕТСКИЙ САД"</v>
      </c>
      <c r="B10483" s="24" t="s">
        <v>10412</v>
      </c>
      <c r="C10483" s="25">
        <v>12500</v>
      </c>
      <c r="D10483" s="22" t="s">
        <v>12796</v>
      </c>
      <c r="E10483" s="22" t="s">
        <v>208</v>
      </c>
      <c r="F10483" s="23" t="str">
        <f>HYPERLINK("https://www.spark-marketing.ru/Card/Lot/69357523", "Услуги по монтажу кнопки тревожной сигнализации")</f>
        <v>Услуги по монтажу кнопки тревожной сигнализации</v>
      </c>
      <c r="G10483" s="22" t="s">
        <v>209</v>
      </c>
      <c r="H10483" s="22" t="s">
        <v>5208</v>
      </c>
      <c r="I10483" s="26">
        <v>43559.608333333301</v>
      </c>
      <c r="J10483" s="28" t="s">
        <v>52</v>
      </c>
      <c r="K10483" s="28" t="s">
        <v>52</v>
      </c>
      <c r="L10483" s="28" t="s">
        <v>52</v>
      </c>
      <c r="M10483" s="28" t="s">
        <v>52</v>
      </c>
      <c r="N10483" s="28" t="s">
        <v>52</v>
      </c>
    </row>
    <row r="10484" spans="1:14" x14ac:dyDescent="0.15">
      <c r="A10484" s="23" t="str">
        <f>HYPERLINK("https://www.spark-marketing.ru/Card/Person/397045", "ООО ""КОЛЬСКАЯ АЭС-АВТО""")</f>
        <v>ООО "КОЛЬСКАЯ АЭС-АВТО"</v>
      </c>
      <c r="B10484" s="24" t="s">
        <v>12797</v>
      </c>
      <c r="C10484" s="28" t="s">
        <v>52</v>
      </c>
      <c r="D10484" s="22" t="s">
        <v>12798</v>
      </c>
      <c r="E10484" s="22" t="s">
        <v>53</v>
      </c>
      <c r="F10484" s="23" t="str">
        <f>HYPERLINK("https://www.spark-marketing.ru/Card/Lot/69401563", "Оказание услуг по оснащению транспортных средств ООО «Кольская АЭС-Авто» техническими средствами обеспечения транспортной безопасности (1224973)")</f>
        <v>Оказание услуг по оснащению транспортных средств ООО «Кольская АЭС-Авто» техническими средствами обеспечения транспортной безопасности (1224973)</v>
      </c>
      <c r="G10484" s="22" t="s">
        <v>190</v>
      </c>
      <c r="H10484" s="22" t="s">
        <v>12799</v>
      </c>
      <c r="I10484" s="26">
        <v>43559.621550925898</v>
      </c>
      <c r="J10484" s="28" t="s">
        <v>52</v>
      </c>
      <c r="K10484" s="28" t="s">
        <v>52</v>
      </c>
      <c r="L10484" s="28" t="s">
        <v>52</v>
      </c>
      <c r="M10484" s="28" t="s">
        <v>52</v>
      </c>
      <c r="N10484" s="28" t="s">
        <v>52</v>
      </c>
    </row>
    <row r="10485" spans="1:14" x14ac:dyDescent="0.15">
      <c r="A10485" s="23" t="str">
        <f>HYPERLINK("https://www.spark-marketing.ru/Card/Person/25541", "ПРОКУРАТУРА ВОРОНЕЖСКОЙ ОБЛАСТИ")</f>
        <v>ПРОКУРАТУРА ВОРОНЕЖСКОЙ ОБЛАСТИ</v>
      </c>
      <c r="B10485" s="24" t="s">
        <v>11647</v>
      </c>
      <c r="C10485" s="25">
        <v>24959.040000000001</v>
      </c>
      <c r="D10485" s="22" t="s">
        <v>12800</v>
      </c>
      <c r="E10485" s="22" t="s">
        <v>7738</v>
      </c>
      <c r="F10485" s="23" t="str">
        <f>HYPERLINK("https://www.spark-marketing.ru/Card/Lot/69395845", "Охрана объектов военизированными (сторожевыми) подразделениями (Орджоникидзе, 41)")</f>
        <v>Охрана объектов военизированными (сторожевыми) подразделениями (Орджоникидзе, 41)</v>
      </c>
      <c r="G10485" s="22" t="s">
        <v>552</v>
      </c>
      <c r="H10485" s="22" t="s">
        <v>552</v>
      </c>
      <c r="I10485" s="26">
        <v>43559.622222222199</v>
      </c>
      <c r="J10485" s="28" t="s">
        <v>52</v>
      </c>
      <c r="K10485" s="28" t="s">
        <v>52</v>
      </c>
      <c r="L10485" s="28" t="s">
        <v>52</v>
      </c>
      <c r="M10485" s="28" t="s">
        <v>52</v>
      </c>
      <c r="N10485" s="28" t="s">
        <v>52</v>
      </c>
    </row>
    <row r="10486" spans="1:14" x14ac:dyDescent="0.15">
      <c r="A10486" s="23" t="str">
        <f>HYPERLINK("https://www.spark-marketing.ru/Card/Person/1068900", "МКОУ ""ЗАКОВРЯЖИНСКАЯ СОШ""")</f>
        <v>МКОУ "ЗАКОВРЯЖИНСКАЯ СОШ"</v>
      </c>
      <c r="B10486" s="24" t="s">
        <v>10431</v>
      </c>
      <c r="C10486" s="25">
        <v>12500</v>
      </c>
      <c r="D10486" s="22" t="s">
        <v>12801</v>
      </c>
      <c r="E10486" s="22" t="s">
        <v>208</v>
      </c>
      <c r="F10486" s="23" t="str">
        <f>HYPERLINK("https://www.spark-marketing.ru/Card/Lot/69357834", "Услуги по монтажу кнопки тревожной сигнализации")</f>
        <v>Услуги по монтажу кнопки тревожной сигнализации</v>
      </c>
      <c r="G10486" s="22" t="s">
        <v>209</v>
      </c>
      <c r="H10486" s="22" t="s">
        <v>5208</v>
      </c>
      <c r="I10486" s="26">
        <v>43559.615277777797</v>
      </c>
      <c r="J10486" s="28" t="s">
        <v>52</v>
      </c>
      <c r="K10486" s="28" t="s">
        <v>52</v>
      </c>
      <c r="L10486" s="28" t="s">
        <v>52</v>
      </c>
      <c r="M10486" s="28" t="s">
        <v>52</v>
      </c>
      <c r="N10486" s="28" t="s">
        <v>52</v>
      </c>
    </row>
    <row r="10487" spans="1:14" x14ac:dyDescent="0.15">
      <c r="A10487" s="23" t="str">
        <f>HYPERLINK("https://www.spark-marketing.ru/Card/Person/1068171", "МКОУ ""КАРГАПОЛОВСКАЯ СОШ""")</f>
        <v>МКОУ "КАРГАПОЛОВСКАЯ СОШ"</v>
      </c>
      <c r="B10487" s="24" t="s">
        <v>10446</v>
      </c>
      <c r="C10487" s="25">
        <v>12500</v>
      </c>
      <c r="D10487" s="22" t="s">
        <v>12802</v>
      </c>
      <c r="E10487" s="22" t="s">
        <v>208</v>
      </c>
      <c r="F10487" s="23" t="str">
        <f>HYPERLINK("https://www.spark-marketing.ru/Card/Lot/69357750", "Услуги по монтажу кнопки тревожной сигнализации")</f>
        <v>Услуги по монтажу кнопки тревожной сигнализации</v>
      </c>
      <c r="G10487" s="22" t="s">
        <v>209</v>
      </c>
      <c r="H10487" s="22" t="s">
        <v>5208</v>
      </c>
      <c r="I10487" s="26">
        <v>43559.612500000003</v>
      </c>
      <c r="J10487" s="28" t="s">
        <v>52</v>
      </c>
      <c r="K10487" s="28" t="s">
        <v>52</v>
      </c>
      <c r="L10487" s="28" t="s">
        <v>52</v>
      </c>
      <c r="M10487" s="28" t="s">
        <v>52</v>
      </c>
      <c r="N10487" s="28" t="s">
        <v>52</v>
      </c>
    </row>
    <row r="10488" spans="1:14" x14ac:dyDescent="0.15">
      <c r="A10488" s="23" t="str">
        <f>HYPERLINK("https://www.spark-marketing.ru/Card/Person/1057212", "УПРАВЛЕНИЕ МИНЮСТА РОССИИ ПО АСТРАХАНСКОЙ ОБЛАСТИ")</f>
        <v>УПРАВЛЕНИЕ МИНЮСТА РОССИИ ПО АСТРАХАНСКОЙ ОБЛАСТИ</v>
      </c>
      <c r="B10488" s="24" t="s">
        <v>11136</v>
      </c>
      <c r="C10488" s="25">
        <v>91351.49</v>
      </c>
      <c r="D10488" s="22" t="s">
        <v>12803</v>
      </c>
      <c r="E10488" s="22" t="s">
        <v>53</v>
      </c>
      <c r="F10488" s="23" t="str">
        <f>HYPERLINK("https://www.spark-marketing.ru/Card/Lot/70783470", "услуги по охране объекта военизированными подразделениями")</f>
        <v>услуги по охране объекта военизированными подразделениями</v>
      </c>
      <c r="G10488" s="22" t="s">
        <v>565</v>
      </c>
      <c r="H10488" s="22" t="s">
        <v>566</v>
      </c>
      <c r="I10488" s="26">
        <v>43559.605092592603</v>
      </c>
      <c r="J10488" s="28" t="s">
        <v>52</v>
      </c>
      <c r="K10488" s="28" t="s">
        <v>52</v>
      </c>
      <c r="L10488" s="28" t="s">
        <v>52</v>
      </c>
      <c r="M10488" s="28" t="s">
        <v>52</v>
      </c>
      <c r="N10488" s="28" t="s">
        <v>52</v>
      </c>
    </row>
    <row r="10489" spans="1:14" x14ac:dyDescent="0.15">
      <c r="A10489" s="23" t="str">
        <f>HYPERLINK("https://www.spark-marketing.ru/Card/Person/38622", "АО ""СХК""")</f>
        <v>АО "СХК"</v>
      </c>
      <c r="B10489" s="24" t="s">
        <v>159</v>
      </c>
      <c r="C10489" s="25">
        <v>2740195.15</v>
      </c>
      <c r="D10489" s="22" t="s">
        <v>12804</v>
      </c>
      <c r="E10489" s="22" t="s">
        <v>8819</v>
      </c>
      <c r="F10489" s="23" t="str">
        <f>HYPERLINK("https://www.spark-marketing.ru/Card/Lot/69330274", "Право заключения договора на Оказание услуг по невооруженной физической охране объектов и имущества площадки ТФА АО «СХК»..")</f>
        <v>Право заключения договора на Оказание услуг по невооруженной физической охране объектов и имущества площадки ТФА АО «СХК»..</v>
      </c>
      <c r="G10489" s="22" t="s">
        <v>150</v>
      </c>
      <c r="H10489" s="22" t="s">
        <v>161</v>
      </c>
      <c r="I10489" s="26">
        <v>43559.617835648103</v>
      </c>
      <c r="J10489" s="28" t="s">
        <v>52</v>
      </c>
      <c r="K10489" s="28" t="s">
        <v>52</v>
      </c>
      <c r="L10489" s="28" t="s">
        <v>52</v>
      </c>
      <c r="M10489" s="28" t="s">
        <v>52</v>
      </c>
      <c r="N10489" s="28" t="s">
        <v>52</v>
      </c>
    </row>
    <row r="10490" spans="1:14" x14ac:dyDescent="0.15">
      <c r="A10490" s="23" t="str">
        <f>HYPERLINK("https://www.spark-marketing.ru/Card/Person/397045", "ООО ""КОЛЬСКАЯ АЭС-АВТО""")</f>
        <v>ООО "КОЛЬСКАЯ АЭС-АВТО"</v>
      </c>
      <c r="B10490" s="24" t="s">
        <v>12797</v>
      </c>
      <c r="C10490" s="28" t="s">
        <v>52</v>
      </c>
      <c r="D10490" s="22" t="s">
        <v>12805</v>
      </c>
      <c r="E10490" s="22" t="s">
        <v>84</v>
      </c>
      <c r="F10490" s="23" t="str">
        <f>HYPERLINK("https://www.spark-marketing.ru/Card/Lot/69384685", "Оказание услуг по оснащению транспортных средств ООО «Кольская АЭС-Авто» техническими средствами обеспечения транспортной безопасности")</f>
        <v>Оказание услуг по оснащению транспортных средств ООО «Кольская АЭС-Авто» техническими средствами обеспечения транспортной безопасности</v>
      </c>
      <c r="G10490" s="22" t="s">
        <v>190</v>
      </c>
      <c r="H10490" s="22" t="s">
        <v>12799</v>
      </c>
      <c r="I10490" s="26">
        <v>43559.588645833297</v>
      </c>
      <c r="J10490" s="28" t="s">
        <v>52</v>
      </c>
      <c r="K10490" s="28" t="s">
        <v>52</v>
      </c>
      <c r="L10490" s="28" t="s">
        <v>52</v>
      </c>
      <c r="M10490" s="28" t="s">
        <v>52</v>
      </c>
      <c r="N10490" s="28" t="s">
        <v>52</v>
      </c>
    </row>
    <row r="10491" spans="1:14" x14ac:dyDescent="0.15">
      <c r="A10491" s="23" t="str">
        <f>HYPERLINK("https://www.spark-marketing.ru/Card/Person/397045", "ООО ""КОЛЬСКАЯ АЭС-АВТО""")</f>
        <v>ООО "КОЛЬСКАЯ АЭС-АВТО"</v>
      </c>
      <c r="B10491" s="24" t="s">
        <v>12797</v>
      </c>
      <c r="C10491" s="25">
        <v>0</v>
      </c>
      <c r="D10491" s="22" t="s">
        <v>12806</v>
      </c>
      <c r="E10491" s="22" t="s">
        <v>53</v>
      </c>
      <c r="F10491" s="23" t="str">
        <f>HYPERLINK("https://www.spark-marketing.ru/Card/Lot/69399779", "мониторинг цен в электронной форме на Оказание услуг по оснащению транспортных средств ООО «Кольская АЭС-Авто» техническими средствами обеспечения транспортной безопасности")</f>
        <v>мониторинг цен в электронной форме на Оказание услуг по оснащению транспортных средств ООО «Кольская АЭС-Авто» техническими средствами обеспечения транспортной безопасности</v>
      </c>
      <c r="G10491" s="22" t="s">
        <v>190</v>
      </c>
      <c r="H10491" s="22" t="s">
        <v>12799</v>
      </c>
      <c r="I10491" s="26">
        <v>43559.588668981502</v>
      </c>
      <c r="J10491" s="28" t="s">
        <v>52</v>
      </c>
      <c r="K10491" s="28" t="s">
        <v>52</v>
      </c>
      <c r="L10491" s="28" t="s">
        <v>52</v>
      </c>
      <c r="M10491" s="28" t="s">
        <v>52</v>
      </c>
      <c r="N10491" s="28" t="s">
        <v>52</v>
      </c>
    </row>
    <row r="10492" spans="1:14" x14ac:dyDescent="0.15">
      <c r="A10492" s="23" t="str">
        <f>HYPERLINK("https://www.spark-marketing.ru/Card/Person/1057212", "УПРАВЛЕНИЕ МИНЮСТА РОССИИ ПО АСТРАХАНСКОЙ ОБЛАСТИ")</f>
        <v>УПРАВЛЕНИЕ МИНЮСТА РОССИИ ПО АСТРАХАНСКОЙ ОБЛАСТИ</v>
      </c>
      <c r="B10492" s="24" t="s">
        <v>11136</v>
      </c>
      <c r="C10492" s="25">
        <v>11100</v>
      </c>
      <c r="D10492" s="22" t="s">
        <v>12807</v>
      </c>
      <c r="E10492" s="22" t="s">
        <v>53</v>
      </c>
      <c r="F10492" s="23" t="str">
        <f>HYPERLINK("https://www.spark-marketing.ru/Card/Lot/70783364", "услуга по охране имущества путем оперативного реагирования на сообщения тревожной сигнализации")</f>
        <v>услуга по охране имущества путем оперативного реагирования на сообщения тревожной сигнализации</v>
      </c>
      <c r="G10492" s="22" t="s">
        <v>565</v>
      </c>
      <c r="H10492" s="22" t="s">
        <v>566</v>
      </c>
      <c r="I10492" s="26">
        <v>43559.592824074098</v>
      </c>
      <c r="J10492" s="28" t="s">
        <v>52</v>
      </c>
      <c r="K10492" s="28" t="s">
        <v>52</v>
      </c>
      <c r="L10492" s="28" t="s">
        <v>52</v>
      </c>
      <c r="M10492" s="28" t="s">
        <v>52</v>
      </c>
      <c r="N10492" s="28" t="s">
        <v>52</v>
      </c>
    </row>
    <row r="10493" spans="1:14" x14ac:dyDescent="0.15">
      <c r="A10493" s="23" t="str">
        <f>HYPERLINK("https://www.spark-marketing.ru/Card/Person/80644", "ГБУЗ МО ""ЗАГОРЯНСКАЯ ПОЛИКЛИНИКА""")</f>
        <v>ГБУЗ МО "ЗАГОРЯНСКАЯ ПОЛИКЛИНИКА"</v>
      </c>
      <c r="B10493" s="24" t="s">
        <v>12808</v>
      </c>
      <c r="C10493" s="25">
        <v>27331.82</v>
      </c>
      <c r="D10493" s="22" t="s">
        <v>12809</v>
      </c>
      <c r="E10493" s="22" t="s">
        <v>508</v>
      </c>
      <c r="F10493" s="23" t="str">
        <f>HYPERLINK("https://www.spark-marketing.ru/Card/Lot/69343418", "Тревожная кнопка М.О., Щёлковский р-н, п. Краснознаменский")</f>
        <v>Тревожная кнопка М.О., Щёлковский р-н, п. Краснознаменский</v>
      </c>
      <c r="G10493" s="22" t="s">
        <v>50</v>
      </c>
      <c r="H10493" s="22" t="s">
        <v>458</v>
      </c>
      <c r="I10493" s="26">
        <v>43559.555208333302</v>
      </c>
      <c r="J10493" s="28" t="s">
        <v>52</v>
      </c>
      <c r="K10493" s="28" t="s">
        <v>52</v>
      </c>
      <c r="L10493" s="28" t="s">
        <v>52</v>
      </c>
      <c r="M10493" s="28" t="s">
        <v>52</v>
      </c>
      <c r="N10493" s="28" t="s">
        <v>52</v>
      </c>
    </row>
    <row r="10494" spans="1:14" x14ac:dyDescent="0.15">
      <c r="A10494" s="23" t="str">
        <f>HYPERLINK("https://www.spark-marketing.ru/Card/Person/80644", "ГБУЗ МО ""ЗАГОРЯНСКАЯ ПОЛИКЛИНИКА""")</f>
        <v>ГБУЗ МО "ЗАГОРЯНСКАЯ ПОЛИКЛИНИКА"</v>
      </c>
      <c r="B10494" s="24" t="s">
        <v>12808</v>
      </c>
      <c r="C10494" s="25">
        <v>27331.82</v>
      </c>
      <c r="D10494" s="22" t="s">
        <v>12810</v>
      </c>
      <c r="E10494" s="22" t="s">
        <v>508</v>
      </c>
      <c r="F10494" s="23" t="str">
        <f>HYPERLINK("https://www.spark-marketing.ru/Card/Lot/69343419", "Тревожная кнопка 141180, Московская область, Щёлковский район, дп. Загорянский, ул. Горького, д. 6")</f>
        <v>Тревожная кнопка 141180, Московская область, Щёлковский район, дп. Загорянский, ул. Горького, д. 6</v>
      </c>
      <c r="G10494" s="22" t="s">
        <v>50</v>
      </c>
      <c r="H10494" s="22" t="s">
        <v>458</v>
      </c>
      <c r="I10494" s="26">
        <v>43559.555254629602</v>
      </c>
      <c r="J10494" s="28" t="s">
        <v>52</v>
      </c>
      <c r="K10494" s="28" t="s">
        <v>52</v>
      </c>
      <c r="L10494" s="28" t="s">
        <v>52</v>
      </c>
      <c r="M10494" s="28" t="s">
        <v>52</v>
      </c>
      <c r="N10494" s="28" t="s">
        <v>52</v>
      </c>
    </row>
    <row r="10495" spans="1:14" x14ac:dyDescent="0.15">
      <c r="A10495" s="23" t="str">
        <f>HYPERLINK("https://www.spark-marketing.ru/Card/Person/1057212", "УПРАВЛЕНИЕ МИНЮСТА РОССИИ ПО АСТРАХАНСКОЙ ОБЛАСТИ")</f>
        <v>УПРАВЛЕНИЕ МИНЮСТА РОССИИ ПО АСТРАХАНСКОЙ ОБЛАСТИ</v>
      </c>
      <c r="B10495" s="24" t="s">
        <v>11136</v>
      </c>
      <c r="C10495" s="25">
        <v>41976.12</v>
      </c>
      <c r="D10495" s="22" t="s">
        <v>12811</v>
      </c>
      <c r="E10495" s="22" t="s">
        <v>53</v>
      </c>
      <c r="F10495" s="23" t="str">
        <f>HYPERLINK("https://www.spark-marketing.ru/Card/Lot/70783065", "техническое обслуживание комплекса технических средств охраны и технологическое обеспечение работоспособности систем передачи извещений")</f>
        <v>техническое обслуживание комплекса технических средств охраны и технологическое обеспечение работоспособности систем передачи извещений</v>
      </c>
      <c r="G10495" s="22" t="s">
        <v>565</v>
      </c>
      <c r="H10495" s="22" t="s">
        <v>566</v>
      </c>
      <c r="I10495" s="26">
        <v>43559.560370370396</v>
      </c>
      <c r="J10495" s="28" t="s">
        <v>52</v>
      </c>
      <c r="K10495" s="28" t="s">
        <v>52</v>
      </c>
      <c r="L10495" s="28" t="s">
        <v>52</v>
      </c>
      <c r="M10495" s="28" t="s">
        <v>52</v>
      </c>
      <c r="N10495" s="28" t="s">
        <v>52</v>
      </c>
    </row>
    <row r="10496" spans="1:14" x14ac:dyDescent="0.15">
      <c r="A10496" s="23" t="str">
        <f>HYPERLINK("https://www.spark-marketing.ru/Card/Person/80644", "ГБУЗ МО ""ЗАГОРЯНСКАЯ ПОЛИКЛИНИКА""")</f>
        <v>ГБУЗ МО "ЗАГОРЯНСКАЯ ПОЛИКЛИНИКА"</v>
      </c>
      <c r="B10496" s="24" t="s">
        <v>12808</v>
      </c>
      <c r="C10496" s="25">
        <v>27331.82</v>
      </c>
      <c r="D10496" s="22" t="s">
        <v>12812</v>
      </c>
      <c r="E10496" s="22" t="s">
        <v>508</v>
      </c>
      <c r="F10496" s="23" t="str">
        <f>HYPERLINK("https://www.spark-marketing.ru/Card/Lot/69343368", "Тревожная кнопка М.О., Щёлковский р-н, дп Загорянский, ул. Валентиновская, д. 32.")</f>
        <v>Тревожная кнопка М.О., Щёлковский р-н, дп Загорянский, ул. Валентиновская, д. 32.</v>
      </c>
      <c r="G10496" s="22" t="s">
        <v>50</v>
      </c>
      <c r="H10496" s="22" t="s">
        <v>458</v>
      </c>
      <c r="I10496" s="26">
        <v>43559.545578703699</v>
      </c>
      <c r="J10496" s="28" t="s">
        <v>52</v>
      </c>
      <c r="K10496" s="28" t="s">
        <v>52</v>
      </c>
      <c r="L10496" s="28" t="s">
        <v>52</v>
      </c>
      <c r="M10496" s="28" t="s">
        <v>52</v>
      </c>
      <c r="N10496" s="28" t="s">
        <v>52</v>
      </c>
    </row>
    <row r="10497" spans="1:14" x14ac:dyDescent="0.2">
      <c r="A10497" s="23" t="str">
        <f>HYPERLINK("https://www.spark-marketing.ru/Card/Person/159454", "ООО ""КРАСНОДАР ВОДОКАНАЛ""")</f>
        <v>ООО "КРАСНОДАР ВОДОКАНАЛ"</v>
      </c>
      <c r="B10497" s="24" t="s">
        <v>12813</v>
      </c>
      <c r="C10497" s="25">
        <v>275376</v>
      </c>
      <c r="D10497" s="22" t="s">
        <v>12814</v>
      </c>
      <c r="E10497" s="22" t="s">
        <v>1002</v>
      </c>
      <c r="F10497" s="23" t="str">
        <f>HYPERLINK("https://www.spark-marketing.ru/Card/Lot/69334892", "Оказание услуг по установке системы охранного видеонаблюдения и аудиоконтроля в здании фронт-офиса ООО «Краснодар Водоканал»")</f>
        <v>Оказание услуг по установке системы охранного видеонаблюдения и аудиоконтроля в здании фронт-офиса ООО «Краснодар Водоканал»</v>
      </c>
      <c r="G10497" s="22" t="s">
        <v>132</v>
      </c>
      <c r="H10497" s="22" t="s">
        <v>132</v>
      </c>
      <c r="I10497" s="26">
        <v>43559.523622685199</v>
      </c>
      <c r="J10497" s="28" t="s">
        <v>52</v>
      </c>
      <c r="K10497" s="28" t="s">
        <v>52</v>
      </c>
      <c r="L10497" s="28" t="s">
        <v>52</v>
      </c>
      <c r="M10497" s="25">
        <v>275376</v>
      </c>
      <c r="N10497" s="27">
        <v>0</v>
      </c>
    </row>
    <row r="10498" spans="1:14" x14ac:dyDescent="0.15">
      <c r="A10498" s="23" t="str">
        <f>HYPERLINK("https://www.spark-marketing.ru/Card/Person/4360548", "МАУ ЦДО ""ПЕРЕМЕНА""")</f>
        <v>МАУ ЦДО "ПЕРЕМЕНА"</v>
      </c>
      <c r="B10498" s="24" t="s">
        <v>12815</v>
      </c>
      <c r="C10498" s="25">
        <v>19600</v>
      </c>
      <c r="D10498" s="22" t="s">
        <v>12816</v>
      </c>
      <c r="E10498" s="22" t="s">
        <v>4747</v>
      </c>
      <c r="F10498" s="23" t="str">
        <f>HYPERLINK("https://www.spark-marketing.ru/Card/Lot/69334839", "Оказание услуг по техническому обслуживанию технических средств охраны в 7 ДОЛ")</f>
        <v>Оказание услуг по техническому обслуживанию технических средств охраны в 7 ДОЛ</v>
      </c>
      <c r="G10498" s="22" t="s">
        <v>552</v>
      </c>
      <c r="H10498" s="22" t="s">
        <v>552</v>
      </c>
      <c r="I10498" s="26">
        <v>43559.520659722199</v>
      </c>
      <c r="J10498" s="28" t="s">
        <v>52</v>
      </c>
      <c r="K10498" s="28" t="s">
        <v>52</v>
      </c>
      <c r="L10498" s="28" t="s">
        <v>52</v>
      </c>
      <c r="M10498" s="28" t="s">
        <v>52</v>
      </c>
      <c r="N10498" s="28" t="s">
        <v>52</v>
      </c>
    </row>
    <row r="10499" spans="1:14" x14ac:dyDescent="0.15">
      <c r="A10499" s="23" t="str">
        <f>HYPERLINK("https://www.spark-marketing.ru/Card/Person/62402", "МАУ ""ЦГКБ № 23""")</f>
        <v>МАУ "ЦГКБ № 23"</v>
      </c>
      <c r="B10499" s="24" t="s">
        <v>2202</v>
      </c>
      <c r="C10499" s="25">
        <v>56166.66</v>
      </c>
      <c r="D10499" s="22" t="s">
        <v>12817</v>
      </c>
      <c r="E10499" s="22" t="s">
        <v>2204</v>
      </c>
      <c r="F10499" s="23" t="str">
        <f>HYPERLINK("https://www.spark-marketing.ru/Card/Lot/69308442", "Модернизация системы видеонаблюдения: приобретение и установка в хирургическом корпусе, приёмном отделении МАУ «ЦГКБ № 23»")</f>
        <v>Модернизация системы видеонаблюдения: приобретение и установка в хирургическом корпусе, приёмном отделении МАУ «ЦГКБ № 23»</v>
      </c>
      <c r="G10499" s="22" t="s">
        <v>72</v>
      </c>
      <c r="H10499" s="22" t="s">
        <v>949</v>
      </c>
      <c r="I10499" s="26">
        <v>43559.529456018499</v>
      </c>
      <c r="J10499" s="28" t="s">
        <v>52</v>
      </c>
      <c r="K10499" s="28" t="s">
        <v>52</v>
      </c>
      <c r="L10499" s="28" t="s">
        <v>52</v>
      </c>
      <c r="M10499" s="28" t="s">
        <v>52</v>
      </c>
      <c r="N10499" s="28" t="s">
        <v>52</v>
      </c>
    </row>
    <row r="10500" spans="1:14" hidden="1" outlineLevel="1" x14ac:dyDescent="0.2">
      <c r="A10500" s="23" t="str">
        <f>HYPERLINK("https://www.spark-marketing.ru/Card/Person/62402", "МАУ ""ЦГКБ № 23""")</f>
        <v>МАУ "ЦГКБ № 23"</v>
      </c>
      <c r="B10500" s="24" t="s">
        <v>2202</v>
      </c>
      <c r="C10500" s="28" t="s">
        <v>52</v>
      </c>
      <c r="D10500" s="22" t="s">
        <v>12817</v>
      </c>
      <c r="E10500" s="22" t="s">
        <v>2204</v>
      </c>
      <c r="F10500" s="23" t="str">
        <f>HYPERLINK("https://www.spark-marketing.ru/Card/Lot/69308442", "Модернизация системы видеонаблюдения: приобретение и установка в хирургическом корпусе, приёмном отделении МАУ «ЦГКБ № 23»")</f>
        <v>Модернизация системы видеонаблюдения: приобретение и установка в хирургическом корпусе, приёмном отделении МАУ «ЦГКБ № 23»</v>
      </c>
      <c r="G10500" s="22" t="s">
        <v>72</v>
      </c>
      <c r="H10500" s="22" t="s">
        <v>949</v>
      </c>
      <c r="I10500" s="26">
        <v>43559.529456018499</v>
      </c>
      <c r="J10500" s="23" t="str">
        <f>HYPERLINK("https://www.spark-marketing.ru/Card/Person/6482641", "Чернов Игорь Евгеньевич")</f>
        <v>Чернов Игорь Евгеньевич</v>
      </c>
      <c r="K10500" s="24" t="s">
        <v>12058</v>
      </c>
      <c r="L10500" s="22" t="s">
        <v>10</v>
      </c>
      <c r="M10500" s="25">
        <v>55000</v>
      </c>
      <c r="N10500" s="27">
        <v>2.0771397124201438E-2</v>
      </c>
    </row>
    <row r="10501" spans="1:14" hidden="1" outlineLevel="1" x14ac:dyDescent="0.15">
      <c r="A10501" s="23" t="str">
        <f>HYPERLINK("https://www.spark-marketing.ru/Card/Person/62402", "МАУ ""ЦГКБ № 23""")</f>
        <v>МАУ "ЦГКБ № 23"</v>
      </c>
      <c r="B10501" s="24" t="s">
        <v>2202</v>
      </c>
      <c r="C10501" s="28" t="s">
        <v>52</v>
      </c>
      <c r="D10501" s="22" t="s">
        <v>12817</v>
      </c>
      <c r="E10501" s="22" t="s">
        <v>2204</v>
      </c>
      <c r="F10501" s="23" t="str">
        <f>HYPERLINK("https://www.spark-marketing.ru/Card/Lot/69308442", "Модернизация системы видеонаблюдения: приобретение и установка в хирургическом корпусе, приёмном отделении МАУ «ЦГКБ № 23»")</f>
        <v>Модернизация системы видеонаблюдения: приобретение и установка в хирургическом корпусе, приёмном отделении МАУ «ЦГКБ № 23»</v>
      </c>
      <c r="G10501" s="22" t="s">
        <v>72</v>
      </c>
      <c r="H10501" s="22" t="s">
        <v>949</v>
      </c>
      <c r="I10501" s="26">
        <v>43559.529456018499</v>
      </c>
      <c r="J10501" s="23" t="str">
        <f>HYPERLINK("https://www.spark-marketing.ru/Card/Person/5853123", "Ершов Андрей Алексеевич")</f>
        <v>Ершов Андрей Алексеевич</v>
      </c>
      <c r="K10501" s="24" t="s">
        <v>1063</v>
      </c>
      <c r="L10501" s="28" t="s">
        <v>52</v>
      </c>
      <c r="M10501" s="28" t="s">
        <v>52</v>
      </c>
      <c r="N10501" s="28" t="s">
        <v>52</v>
      </c>
    </row>
    <row r="10502" spans="1:14" hidden="1" outlineLevel="1" x14ac:dyDescent="0.15">
      <c r="A10502" s="23" t="str">
        <f>HYPERLINK("https://www.spark-marketing.ru/Card/Person/62402", "МАУ ""ЦГКБ № 23""")</f>
        <v>МАУ "ЦГКБ № 23"</v>
      </c>
      <c r="B10502" s="24" t="s">
        <v>2202</v>
      </c>
      <c r="C10502" s="28" t="s">
        <v>52</v>
      </c>
      <c r="D10502" s="22" t="s">
        <v>12817</v>
      </c>
      <c r="E10502" s="22" t="s">
        <v>2204</v>
      </c>
      <c r="F10502" s="23" t="str">
        <f>HYPERLINK("https://www.spark-marketing.ru/Card/Lot/69308442", "Модернизация системы видеонаблюдения: приобретение и установка в хирургическом корпусе, приёмном отделении МАУ «ЦГКБ № 23»")</f>
        <v>Модернизация системы видеонаблюдения: приобретение и установка в хирургическом корпусе, приёмном отделении МАУ «ЦГКБ № 23»</v>
      </c>
      <c r="G10502" s="22" t="s">
        <v>72</v>
      </c>
      <c r="H10502" s="22" t="s">
        <v>949</v>
      </c>
      <c r="I10502" s="26">
        <v>43559.529456018499</v>
      </c>
      <c r="J10502" s="23" t="str">
        <f>HYPERLINK("https://www.spark-marketing.ru/Card/Person/2557321", "ООО ""ЛИНК""")</f>
        <v>ООО "ЛИНК"</v>
      </c>
      <c r="K10502" s="24" t="s">
        <v>12818</v>
      </c>
      <c r="L10502" s="28" t="s">
        <v>52</v>
      </c>
      <c r="M10502" s="28" t="s">
        <v>52</v>
      </c>
      <c r="N10502" s="28" t="s">
        <v>52</v>
      </c>
    </row>
    <row r="10503" spans="1:14" x14ac:dyDescent="0.15">
      <c r="A10503" s="23" t="str">
        <f>HYPERLINK("https://www.spark-marketing.ru/Card/Person/135978", "МКУ ГОЩ ""ФСК ""СЕЛЕНА""")</f>
        <v>МКУ ГОЩ "ФСК "СЕЛЕНА"</v>
      </c>
      <c r="B10503" s="24" t="s">
        <v>12819</v>
      </c>
      <c r="C10503" s="25">
        <v>78000</v>
      </c>
      <c r="D10503" s="22" t="s">
        <v>12820</v>
      </c>
      <c r="E10503" s="22" t="s">
        <v>103</v>
      </c>
      <c r="F10503" s="23" t="str">
        <f>HYPERLINK("https://www.spark-marketing.ru/Card/Lot/69327643", "Оказание услуг по техническому обслуживанию системы видеонаблюдения")</f>
        <v>Оказание услуг по техническому обслуживанию системы видеонаблюдения</v>
      </c>
      <c r="G10503" s="22" t="s">
        <v>50</v>
      </c>
      <c r="H10503" s="22" t="s">
        <v>458</v>
      </c>
      <c r="I10503" s="26">
        <v>43559.523946759298</v>
      </c>
      <c r="J10503" s="28" t="s">
        <v>52</v>
      </c>
      <c r="K10503" s="28" t="s">
        <v>52</v>
      </c>
      <c r="L10503" s="28" t="s">
        <v>52</v>
      </c>
      <c r="M10503" s="28" t="s">
        <v>52</v>
      </c>
      <c r="N10503" s="28" t="s">
        <v>52</v>
      </c>
    </row>
    <row r="10504" spans="1:14" x14ac:dyDescent="0.15">
      <c r="A10504" s="23" t="str">
        <f>HYPERLINK("https://www.spark-marketing.ru/Card/Person/360356", "МЕЖРАЙОННАЯ ИФНС РОССИИ № 3 ПО ЛИПЕЦКОЙ ОБЛАСТИ")</f>
        <v>МЕЖРАЙОННАЯ ИФНС РОССИИ № 3 ПО ЛИПЕЦКОЙ ОБЛАСТИ</v>
      </c>
      <c r="B10504" s="24" t="s">
        <v>12821</v>
      </c>
      <c r="C10504" s="25">
        <v>82559.399999999994</v>
      </c>
      <c r="D10504" s="22" t="s">
        <v>12822</v>
      </c>
      <c r="E10504" s="22" t="s">
        <v>53</v>
      </c>
      <c r="F10504" s="23" t="str">
        <f>HYPERLINK("https://www.spark-marketing.ru/Card/Lot/70782828", "Техническое обслуживание комплекса технических средств охранно-тревожной сигнализации, установленнной на объекте")</f>
        <v>Техническое обслуживание комплекса технических средств охранно-тревожной сигнализации, установленнной на объекте</v>
      </c>
      <c r="G10504" s="22" t="s">
        <v>629</v>
      </c>
      <c r="H10504" s="22" t="s">
        <v>12823</v>
      </c>
      <c r="I10504" s="26">
        <v>43559.473854166703</v>
      </c>
      <c r="J10504" s="28" t="s">
        <v>52</v>
      </c>
      <c r="K10504" s="28" t="s">
        <v>52</v>
      </c>
      <c r="L10504" s="28" t="s">
        <v>52</v>
      </c>
      <c r="M10504" s="28" t="s">
        <v>52</v>
      </c>
      <c r="N10504" s="28" t="s">
        <v>52</v>
      </c>
    </row>
    <row r="10505" spans="1:14" x14ac:dyDescent="0.15">
      <c r="A10505" s="23" t="str">
        <f>HYPERLINK("https://www.spark-marketing.ru/Card/Person/360356", "МЕЖРАЙОННАЯ ИФНС РОССИИ № 3 ПО ЛИПЕЦКОЙ ОБЛАСТИ")</f>
        <v>МЕЖРАЙОННАЯ ИФНС РОССИИ № 3 ПО ЛИПЕЦКОЙ ОБЛАСТИ</v>
      </c>
      <c r="B10505" s="24" t="s">
        <v>12821</v>
      </c>
      <c r="C10505" s="25">
        <v>7297.68</v>
      </c>
      <c r="D10505" s="22" t="s">
        <v>12824</v>
      </c>
      <c r="E10505" s="22" t="s">
        <v>53</v>
      </c>
      <c r="F10505" s="23" t="str">
        <f>HYPERLINK("https://www.spark-marketing.ru/Card/Lot/70782913", "Услуги по техническому обслуживанию комплекса технических средств охранно-тревожной сигнализации")</f>
        <v>Услуги по техническому обслуживанию комплекса технических средств охранно-тревожной сигнализации</v>
      </c>
      <c r="G10505" s="22" t="s">
        <v>629</v>
      </c>
      <c r="H10505" s="22" t="s">
        <v>12823</v>
      </c>
      <c r="I10505" s="26">
        <v>43559.478692129604</v>
      </c>
      <c r="J10505" s="28" t="s">
        <v>52</v>
      </c>
      <c r="K10505" s="28" t="s">
        <v>52</v>
      </c>
      <c r="L10505" s="28" t="s">
        <v>52</v>
      </c>
      <c r="M10505" s="28" t="s">
        <v>52</v>
      </c>
      <c r="N10505" s="28" t="s">
        <v>52</v>
      </c>
    </row>
    <row r="10506" spans="1:14" x14ac:dyDescent="0.15">
      <c r="A10506" s="23" t="str">
        <f>HYPERLINK("https://www.spark-marketing.ru/Card/Person/33584", "ФГКУЗ ""САНАТОРИЙ ""РОССИЯ"" ВОЙСК НАЦИОНАЛЬНОЙ ГВАРДИИ""")</f>
        <v>ФГКУЗ "САНАТОРИЙ "РОССИЯ" ВОЙСК НАЦИОНАЛЬНОЙ ГВАРДИИ"</v>
      </c>
      <c r="B10506" s="24" t="s">
        <v>10639</v>
      </c>
      <c r="C10506" s="25">
        <v>25801</v>
      </c>
      <c r="D10506" s="22" t="s">
        <v>12825</v>
      </c>
      <c r="E10506" s="22" t="s">
        <v>53</v>
      </c>
      <c r="F10506" s="23" t="str">
        <f>HYPERLINK("https://www.spark-marketing.ru/Card/Lot/70782762", "Поставка и установка охранной сигнализации")</f>
        <v>Поставка и установка охранной сигнализации</v>
      </c>
      <c r="G10506" s="22" t="s">
        <v>258</v>
      </c>
      <c r="H10506" s="22" t="s">
        <v>259</v>
      </c>
      <c r="I10506" s="26">
        <v>43559.496168981503</v>
      </c>
      <c r="J10506" s="28" t="s">
        <v>52</v>
      </c>
      <c r="K10506" s="28" t="s">
        <v>52</v>
      </c>
      <c r="L10506" s="28" t="s">
        <v>52</v>
      </c>
      <c r="M10506" s="28" t="s">
        <v>52</v>
      </c>
      <c r="N10506" s="28" t="s">
        <v>52</v>
      </c>
    </row>
    <row r="10507" spans="1:14" x14ac:dyDescent="0.15">
      <c r="A10507" s="23" t="str">
        <f>HYPERLINK("https://www.spark-marketing.ru/Card/Person/876539", "ГАОУ КК ""НОВОЛЕУШКОВСКАЯ ШКОЛА-ИНТЕРНАТ С ПРОФЕССИОНАЛЬНЫМ ОБУЧЕНИЕМ""")</f>
        <v>ГАОУ КК "НОВОЛЕУШКОВСКАЯ ШКОЛА-ИНТЕРНАТ С ПРОФЕССИОНАЛЬНЫМ ОБУЧЕНИЕМ"</v>
      </c>
      <c r="B10507" s="24" t="s">
        <v>12826</v>
      </c>
      <c r="C10507" s="25">
        <v>525000</v>
      </c>
      <c r="D10507" s="22" t="s">
        <v>12827</v>
      </c>
      <c r="E10507" s="22" t="s">
        <v>8775</v>
      </c>
      <c r="F10507" s="23" t="str">
        <f>HYPERLINK("https://www.spark-marketing.ru/Card/Lot/69322599", "Оказание услуг по охране объекта")</f>
        <v>Оказание услуг по охране объекта</v>
      </c>
      <c r="G10507" s="22" t="s">
        <v>132</v>
      </c>
      <c r="H10507" s="22" t="s">
        <v>132</v>
      </c>
      <c r="I10507" s="26">
        <v>43559.483900462998</v>
      </c>
      <c r="J10507" s="28" t="s">
        <v>52</v>
      </c>
      <c r="K10507" s="28" t="s">
        <v>52</v>
      </c>
      <c r="L10507" s="28" t="s">
        <v>52</v>
      </c>
      <c r="M10507" s="28" t="s">
        <v>52</v>
      </c>
      <c r="N10507" s="28" t="s">
        <v>52</v>
      </c>
    </row>
    <row r="10508" spans="1:14" x14ac:dyDescent="0.15">
      <c r="A10508" s="23" t="str">
        <f>HYPERLINK("https://www.spark-marketing.ru/Card/Person/11011", "ТУ-4 СЕВЕРО-ЗАПАДНОГО ФИЛИАЛА ОАО ""РОСТЕЛЕКОМ""")</f>
        <v>ТУ-4 СЕВЕРО-ЗАПАДНОГО ФИЛИАЛА ОАО "РОСТЕЛЕКОМ"</v>
      </c>
      <c r="B10508" s="24" t="s">
        <v>607</v>
      </c>
      <c r="C10508" s="28" t="s">
        <v>52</v>
      </c>
      <c r="D10508" s="22" t="s">
        <v>12828</v>
      </c>
      <c r="E10508" s="22" t="s">
        <v>12829</v>
      </c>
      <c r="F10508" s="23" t="str">
        <f>HYPERLINK("https://www.spark-marketing.ru/Card/Lot/69333705", "оказание охранных услуг")</f>
        <v>оказание охранных услуг</v>
      </c>
      <c r="G10508" s="22" t="s">
        <v>89</v>
      </c>
      <c r="H10508" s="22" t="s">
        <v>89</v>
      </c>
      <c r="I10508" s="26">
        <v>43559.455289351798</v>
      </c>
      <c r="J10508" s="28" t="s">
        <v>52</v>
      </c>
      <c r="K10508" s="28" t="s">
        <v>52</v>
      </c>
      <c r="L10508" s="28" t="s">
        <v>52</v>
      </c>
      <c r="M10508" s="28" t="s">
        <v>52</v>
      </c>
      <c r="N10508" s="28" t="s">
        <v>52</v>
      </c>
    </row>
    <row r="10509" spans="1:14" x14ac:dyDescent="0.15">
      <c r="A10509" s="23" t="str">
        <f>HYPERLINK("https://www.spark-marketing.ru/Card/Person/72624", "СПБ ГБУ КЦ ""ТРОИЦКИЙ""")</f>
        <v>СПБ ГБУ КЦ "ТРОИЦКИЙ"</v>
      </c>
      <c r="B10509" s="24" t="s">
        <v>12830</v>
      </c>
      <c r="C10509" s="25">
        <v>1250460</v>
      </c>
      <c r="D10509" s="22" t="s">
        <v>12831</v>
      </c>
      <c r="E10509" s="22" t="s">
        <v>68</v>
      </c>
      <c r="F10509" s="23" t="str">
        <f>HYPERLINK("https://www.spark-marketing.ru/Card/Lot/69313203", "Оказание услуг по обеспечению общественного порядка и охраны в местах проведения вечеров отдыха для нужд СПб ГБУ КЦ ""Троицкий"" в 2019 году")</f>
        <v>Оказание услуг по обеспечению общественного порядка и охраны в местах проведения вечеров отдыха для нужд СПб ГБУ КЦ "Троицкий" в 2019 году</v>
      </c>
      <c r="G10509" s="22" t="s">
        <v>89</v>
      </c>
      <c r="H10509" s="22" t="s">
        <v>89</v>
      </c>
      <c r="I10509" s="26">
        <v>43559.438194444403</v>
      </c>
      <c r="J10509" s="28" t="s">
        <v>52</v>
      </c>
      <c r="K10509" s="28" t="s">
        <v>52</v>
      </c>
      <c r="L10509" s="28" t="s">
        <v>52</v>
      </c>
      <c r="M10509" s="28" t="s">
        <v>52</v>
      </c>
      <c r="N10509" s="28" t="s">
        <v>52</v>
      </c>
    </row>
    <row r="10510" spans="1:14" hidden="1" outlineLevel="1" x14ac:dyDescent="0.2">
      <c r="A10510" s="23" t="str">
        <f>HYPERLINK("https://www.spark-marketing.ru/Card/Person/72624", "СПБ ГБУ КЦ ""ТРОИЦКИЙ""")</f>
        <v>СПБ ГБУ КЦ "ТРОИЦКИЙ"</v>
      </c>
      <c r="B10510" s="24" t="s">
        <v>12830</v>
      </c>
      <c r="C10510" s="25">
        <v>1250460</v>
      </c>
      <c r="D10510" s="22" t="s">
        <v>12831</v>
      </c>
      <c r="E10510" s="22" t="s">
        <v>68</v>
      </c>
      <c r="F10510" s="23" t="str">
        <f>HYPERLINK("https://www.spark-marketing.ru/Card/Lot/69313203", "Оказание услуг по обеспечению общественного порядка и охраны в местах проведения вечеров отдыха для нужд СПб ГБУ КЦ ""Троицкий"" в 2019 году")</f>
        <v>Оказание услуг по обеспечению общественного порядка и охраны в местах проведения вечеров отдыха для нужд СПб ГБУ КЦ "Троицкий" в 2019 году</v>
      </c>
      <c r="G10510" s="22" t="s">
        <v>89</v>
      </c>
      <c r="H10510" s="22" t="s">
        <v>89</v>
      </c>
      <c r="I10510" s="26">
        <v>43559.438194444403</v>
      </c>
      <c r="J10510" s="23" t="str">
        <f>HYPERLINK("https://www.spark-marketing.ru/Card/Person/2582543", "ООО ""ОП ""ЭГО-СИСТЕМА""")</f>
        <v>ООО "ОП "ЭГО-СИСТЕМА"</v>
      </c>
      <c r="K10510" s="24" t="s">
        <v>11088</v>
      </c>
      <c r="L10510" s="28" t="s">
        <v>52</v>
      </c>
      <c r="M10510" s="25">
        <v>1200441.6000000001</v>
      </c>
      <c r="N10510" s="27">
        <v>0.04</v>
      </c>
    </row>
    <row r="10511" spans="1:14" ht="12.75" hidden="1" outlineLevel="1" x14ac:dyDescent="0.2">
      <c r="A10511" s="23" t="str">
        <f>HYPERLINK("https://www.spark-marketing.ru/Card/Person/72624", "СПБ ГБУ КЦ ""ТРОИЦКИЙ""")</f>
        <v>СПБ ГБУ КЦ "ТРОИЦКИЙ"</v>
      </c>
      <c r="B10511" s="24" t="s">
        <v>12830</v>
      </c>
      <c r="C10511" s="25">
        <v>1250460</v>
      </c>
      <c r="D10511" s="22" t="s">
        <v>12831</v>
      </c>
      <c r="E10511" s="22" t="s">
        <v>68</v>
      </c>
      <c r="F10511" s="23" t="str">
        <f>HYPERLINK("https://www.spark-marketing.ru/Card/Lot/69313203", "Оказание услуг по обеспечению общественного порядка и охраны в местах проведения вечеров отдыха для нужд СПб ГБУ КЦ ""Троицкий"" в 2019 году")</f>
        <v>Оказание услуг по обеспечению общественного порядка и охраны в местах проведения вечеров отдыха для нужд СПб ГБУ КЦ "Троицкий" в 2019 году</v>
      </c>
      <c r="G10511" s="22" t="s">
        <v>89</v>
      </c>
      <c r="H10511" s="22" t="s">
        <v>89</v>
      </c>
      <c r="I10511" s="26">
        <v>43559.438194444403</v>
      </c>
      <c r="J10511" s="23" t="str">
        <f>HYPERLINK("https://www.spark-marketing.ru/Card/Person/360190", "ООО ""ЧОО ""ЦКБ ""ПРЕВЕНЦИЯ""")</f>
        <v>ООО "ЧОО "ЦКБ "ПРЕВЕНЦИЯ"</v>
      </c>
      <c r="K10511" s="24" t="s">
        <v>12832</v>
      </c>
      <c r="L10511" s="22" t="s">
        <v>10</v>
      </c>
      <c r="M10511" s="25">
        <v>1193856.3899999999</v>
      </c>
      <c r="N10511" s="27">
        <v>4.5266230027349932E-2</v>
      </c>
    </row>
    <row r="10512" spans="1:14" x14ac:dyDescent="0.15">
      <c r="A10512" s="23" t="str">
        <f>HYPERLINK("https://www.spark-marketing.ru/Card/Person/4541319", "ФЛ НОЛИНСКОЕ МЕЖРАЙОННОЕ ОТДЕЛЕНИЕ ВНЕВЕДОМСТВЕННОЙ ОХРАНЫ ВОЙСК НАЦИОНАЛЬНОЙ ГВАРДИИ")</f>
        <v>ФЛ НОЛИНСКОЕ МЕЖРАЙОННОЕ ОТДЕЛЕНИЕ ВНЕВЕДОМСТВЕННОЙ ОХРАНЫ ВОЙСК НАЦИОНАЛЬНОЙ ГВАРДИИ</v>
      </c>
      <c r="B10512" s="24" t="s">
        <v>12833</v>
      </c>
      <c r="C10512" s="25">
        <v>4383.6000000000004</v>
      </c>
      <c r="D10512" s="22" t="s">
        <v>12834</v>
      </c>
      <c r="E10512" s="22" t="s">
        <v>107</v>
      </c>
      <c r="F10512" s="23" t="str">
        <f>HYPERLINK("https://www.spark-marketing.ru/Card/Lot/70807011", "услуги по техническому обслуживанию газопровода и котельной мощност,расположенного поселок Нема")</f>
        <v>услуги по техническому обслуживанию газопровода и котельной мощност,расположенного поселок Нема</v>
      </c>
      <c r="G10512" s="22" t="s">
        <v>556</v>
      </c>
      <c r="H10512" s="22" t="s">
        <v>557</v>
      </c>
      <c r="I10512" s="26">
        <v>43559.417488425897</v>
      </c>
      <c r="J10512" s="28" t="s">
        <v>52</v>
      </c>
      <c r="K10512" s="28" t="s">
        <v>52</v>
      </c>
      <c r="L10512" s="28" t="s">
        <v>52</v>
      </c>
      <c r="M10512" s="28" t="s">
        <v>52</v>
      </c>
      <c r="N10512" s="28" t="s">
        <v>52</v>
      </c>
    </row>
    <row r="10513" spans="1:14" x14ac:dyDescent="0.15">
      <c r="A10513" s="23" t="str">
        <f>HYPERLINK("https://www.spark-marketing.ru/Card/Person/6446139", "ГБУК СО ""МИП""РОССИЯ-МОЯ ИСТОРИЯ.СВЕРДЛОВСКАЯ ОБЛАСТЬ""")</f>
        <v>ГБУК СО "МИП"РОССИЯ-МОЯ ИСТОРИЯ.СВЕРДЛОВСКАЯ ОБЛАСТЬ"</v>
      </c>
      <c r="B10513" s="24" t="s">
        <v>12835</v>
      </c>
      <c r="C10513" s="25">
        <v>255000</v>
      </c>
      <c r="D10513" s="22" t="s">
        <v>12836</v>
      </c>
      <c r="E10513" s="22" t="s">
        <v>103</v>
      </c>
      <c r="F10513" s="23" t="str">
        <f>HYPERLINK("https://www.spark-marketing.ru/Card/Lot/69269328", "Техническое обслуживание противопожарной системы и инженерно-технических средств охраны")</f>
        <v>Техническое обслуживание противопожарной системы и инженерно-технических средств охраны</v>
      </c>
      <c r="G10513" s="22" t="s">
        <v>72</v>
      </c>
      <c r="H10513" s="22" t="s">
        <v>949</v>
      </c>
      <c r="I10513" s="26">
        <v>43559.45</v>
      </c>
      <c r="J10513" s="28" t="s">
        <v>52</v>
      </c>
      <c r="K10513" s="28" t="s">
        <v>52</v>
      </c>
      <c r="L10513" s="28" t="s">
        <v>52</v>
      </c>
      <c r="M10513" s="28" t="s">
        <v>52</v>
      </c>
      <c r="N10513" s="28" t="s">
        <v>52</v>
      </c>
    </row>
    <row r="10514" spans="1:14" ht="12.75" hidden="1" outlineLevel="1" x14ac:dyDescent="0.2">
      <c r="A10514" s="23" t="str">
        <f>HYPERLINK("https://www.spark-marketing.ru/Card/Person/6446139", "ГБУК СО ""МИП""РОССИЯ-МОЯ ИСТОРИЯ.СВЕРДЛОВСКАЯ ОБЛАСТЬ""")</f>
        <v>ГБУК СО "МИП"РОССИЯ-МОЯ ИСТОРИЯ.СВЕРДЛОВСКАЯ ОБЛАСТЬ"</v>
      </c>
      <c r="B10514" s="24" t="s">
        <v>12835</v>
      </c>
      <c r="C10514" s="25">
        <v>255000</v>
      </c>
      <c r="D10514" s="22" t="s">
        <v>12836</v>
      </c>
      <c r="E10514" s="22" t="s">
        <v>103</v>
      </c>
      <c r="F10514" s="23" t="str">
        <f>HYPERLINK("https://www.spark-marketing.ru/Card/Lot/69269328", "Техническое обслуживание противопожарной системы и инженерно-технических средств охраны")</f>
        <v>Техническое обслуживание противопожарной системы и инженерно-технических средств охраны</v>
      </c>
      <c r="G10514" s="22" t="s">
        <v>72</v>
      </c>
      <c r="H10514" s="22" t="s">
        <v>949</v>
      </c>
      <c r="I10514" s="26">
        <v>43559.45</v>
      </c>
      <c r="J10514" s="23" t="str">
        <f>HYPERLINK("https://www.spark-marketing.ru/Card/Person/542271", "ООО ""РАДИАН - ДУБЛЬ""")</f>
        <v>ООО "РАДИАН - ДУБЛЬ"</v>
      </c>
      <c r="K10514" s="24" t="s">
        <v>12837</v>
      </c>
      <c r="L10514" s="22" t="s">
        <v>10</v>
      </c>
      <c r="M10514" s="25">
        <v>82875</v>
      </c>
      <c r="N10514" s="27">
        <v>0.67500000000000004</v>
      </c>
    </row>
    <row r="10515" spans="1:14" hidden="1" outlineLevel="1" x14ac:dyDescent="0.2">
      <c r="A10515" s="23" t="str">
        <f>HYPERLINK("https://www.spark-marketing.ru/Card/Person/6446139", "ГБУК СО ""МИП""РОССИЯ-МОЯ ИСТОРИЯ.СВЕРДЛОВСКАЯ ОБЛАСТЬ""")</f>
        <v>ГБУК СО "МИП"РОССИЯ-МОЯ ИСТОРИЯ.СВЕРДЛОВСКАЯ ОБЛАСТЬ"</v>
      </c>
      <c r="B10515" s="24" t="s">
        <v>12835</v>
      </c>
      <c r="C10515" s="25">
        <v>255000</v>
      </c>
      <c r="D10515" s="22" t="s">
        <v>12836</v>
      </c>
      <c r="E10515" s="22" t="s">
        <v>103</v>
      </c>
      <c r="F10515" s="23" t="str">
        <f>HYPERLINK("https://www.spark-marketing.ru/Card/Lot/69269328", "Техническое обслуживание противопожарной системы и инженерно-технических средств охраны")</f>
        <v>Техническое обслуживание противопожарной системы и инженерно-технических средств охраны</v>
      </c>
      <c r="G10515" s="22" t="s">
        <v>72</v>
      </c>
      <c r="H10515" s="22" t="s">
        <v>949</v>
      </c>
      <c r="I10515" s="26">
        <v>43559.45</v>
      </c>
      <c r="J10515" s="23" t="str">
        <f>HYPERLINK("https://www.spark-marketing.ru/Card/Person/50495", "ООО ""МСП БИЗНЕС МИР""")</f>
        <v>ООО "МСП БИЗНЕС МИР"</v>
      </c>
      <c r="K10515" s="24" t="s">
        <v>6602</v>
      </c>
      <c r="L10515" s="28" t="s">
        <v>52</v>
      </c>
      <c r="M10515" s="25">
        <v>254999.99</v>
      </c>
      <c r="N10515" s="27">
        <v>3.9215686274509804E-8</v>
      </c>
    </row>
    <row r="10516" spans="1:14" hidden="1" outlineLevel="1" x14ac:dyDescent="0.2">
      <c r="A10516" s="23" t="str">
        <f>HYPERLINK("https://www.spark-marketing.ru/Card/Person/6446139", "ГБУК СО ""МИП""РОССИЯ-МОЯ ИСТОРИЯ.СВЕРДЛОВСКАЯ ОБЛАСТЬ""")</f>
        <v>ГБУК СО "МИП"РОССИЯ-МОЯ ИСТОРИЯ.СВЕРДЛОВСКАЯ ОБЛАСТЬ"</v>
      </c>
      <c r="B10516" s="24" t="s">
        <v>12835</v>
      </c>
      <c r="C10516" s="25">
        <v>255000</v>
      </c>
      <c r="D10516" s="22" t="s">
        <v>12836</v>
      </c>
      <c r="E10516" s="22" t="s">
        <v>103</v>
      </c>
      <c r="F10516" s="23" t="str">
        <f>HYPERLINK("https://www.spark-marketing.ru/Card/Lot/69269328", "Техническое обслуживание противопожарной системы и инженерно-технических средств охраны")</f>
        <v>Техническое обслуживание противопожарной системы и инженерно-технических средств охраны</v>
      </c>
      <c r="G10516" s="22" t="s">
        <v>72</v>
      </c>
      <c r="H10516" s="22" t="s">
        <v>949</v>
      </c>
      <c r="I10516" s="26">
        <v>43559.45</v>
      </c>
      <c r="J10516" s="23" t="str">
        <f>HYPERLINK("https://www.spark-marketing.ru/Card/Person/2555117", "ООО ""ЗВЕЗДА-СБ""")</f>
        <v>ООО "ЗВЕЗДА-СБ"</v>
      </c>
      <c r="K10516" s="24" t="s">
        <v>12838</v>
      </c>
      <c r="L10516" s="28" t="s">
        <v>52</v>
      </c>
      <c r="M10516" s="25">
        <v>95625</v>
      </c>
      <c r="N10516" s="27">
        <v>0.625</v>
      </c>
    </row>
    <row r="10517" spans="1:14" x14ac:dyDescent="0.15">
      <c r="A10517" s="23" t="str">
        <f>HYPERLINK("https://www.spark-marketing.ru/Card/Person/4541319", "ФЛ НОЛИНСКОЕ МЕЖРАЙОННОЕ ОТДЕЛЕНИЕ ВНЕВЕДОМСТВЕННОЙ ОХРАНЫ ВОЙСК НАЦИОНАЛЬНОЙ ГВАРДИИ")</f>
        <v>ФЛ НОЛИНСКОЕ МЕЖРАЙОННОЕ ОТДЕЛЕНИЕ ВНЕВЕДОМСТВЕННОЙ ОХРАНЫ ВОЙСК НАЦИОНАЛЬНОЙ ГВАРДИИ</v>
      </c>
      <c r="B10517" s="24" t="s">
        <v>12833</v>
      </c>
      <c r="C10517" s="25">
        <v>5196.9399999999996</v>
      </c>
      <c r="D10517" s="22" t="s">
        <v>12839</v>
      </c>
      <c r="E10517" s="22" t="s">
        <v>107</v>
      </c>
      <c r="F10517" s="23" t="str">
        <f>HYPERLINK("https://www.spark-marketing.ru/Card/Lot/70786418", "услуги по техническому обслуживаниюгазлпровода среднего давления и ШРП")</f>
        <v>услуги по техническому обслуживаниюгазлпровода среднего давления и ШРП</v>
      </c>
      <c r="G10517" s="22" t="s">
        <v>556</v>
      </c>
      <c r="H10517" s="22" t="s">
        <v>557</v>
      </c>
      <c r="I10517" s="26">
        <v>43559.431423611102</v>
      </c>
      <c r="J10517" s="28" t="s">
        <v>52</v>
      </c>
      <c r="K10517" s="28" t="s">
        <v>52</v>
      </c>
      <c r="L10517" s="28" t="s">
        <v>52</v>
      </c>
      <c r="M10517" s="28" t="s">
        <v>52</v>
      </c>
      <c r="N10517" s="28" t="s">
        <v>52</v>
      </c>
    </row>
    <row r="10518" spans="1:14" x14ac:dyDescent="0.15">
      <c r="A10518" s="23" t="str">
        <f>HYPERLINK("https://www.spark-marketing.ru/Card/Person/28878", "ФГКУ КОМБИНАТ ""БОЛЬШЕВИЧКА"" РОСРЕЗЕРВА")</f>
        <v>ФГКУ КОМБИНАТ "БОЛЬШЕВИЧКА" РОСРЕЗЕРВА</v>
      </c>
      <c r="B10518" s="24" t="s">
        <v>6702</v>
      </c>
      <c r="C10518" s="25">
        <v>12470.64</v>
      </c>
      <c r="D10518" s="22" t="s">
        <v>12840</v>
      </c>
      <c r="E10518" s="22" t="s">
        <v>53</v>
      </c>
      <c r="F10518" s="23" t="str">
        <f>HYPERLINK("https://www.spark-marketing.ru/Card/Lot/70806812", "Оказание услуг по пресечению преступдлений и правонарушений")</f>
        <v>Оказание услуг по пресечению преступдлений и правонарушений</v>
      </c>
      <c r="G10518" s="22" t="s">
        <v>626</v>
      </c>
      <c r="H10518" s="22" t="s">
        <v>1508</v>
      </c>
      <c r="I10518" s="26">
        <v>43559.396724537</v>
      </c>
      <c r="J10518" s="28" t="s">
        <v>52</v>
      </c>
      <c r="K10518" s="28" t="s">
        <v>52</v>
      </c>
      <c r="L10518" s="28" t="s">
        <v>52</v>
      </c>
      <c r="M10518" s="28" t="s">
        <v>52</v>
      </c>
      <c r="N10518" s="28" t="s">
        <v>52</v>
      </c>
    </row>
    <row r="10519" spans="1:14" x14ac:dyDescent="0.15">
      <c r="A10519" s="23" t="str">
        <f>HYPERLINK("https://www.spark-marketing.ru/Card/Person/4541319", "ФЛ НОЛИНСКОЕ МЕЖРАЙОННОЕ ОТДЕЛЕНИЕ ВНЕВЕДОМСТВЕННОЙ ОХРАНЫ ВОЙСК НАЦИОНАЛЬНОЙ ГВАРДИИ")</f>
        <v>ФЛ НОЛИНСКОЕ МЕЖРАЙОННОЕ ОТДЕЛЕНИЕ ВНЕВЕДОМСТВЕННОЙ ОХРАНЫ ВОЙСК НАЦИОНАЛЬНОЙ ГВАРДИИ</v>
      </c>
      <c r="B10519" s="24" t="s">
        <v>12833</v>
      </c>
      <c r="C10519" s="25">
        <v>2459.2399999999998</v>
      </c>
      <c r="D10519" s="22" t="s">
        <v>12841</v>
      </c>
      <c r="E10519" s="22" t="s">
        <v>107</v>
      </c>
      <c r="F10519" s="23" t="str">
        <f>HYPERLINK("https://www.spark-marketing.ru/Card/Lot/70806907", "услуги по техническому обслуживанию газопрвода и котельной малой мощности для газоснабжения по зданию расположенного город Нолинск")</f>
        <v>услуги по техническому обслуживанию газопрвода и котельной малой мощности для газоснабжения по зданию расположенного город Нолинск</v>
      </c>
      <c r="G10519" s="22" t="s">
        <v>556</v>
      </c>
      <c r="H10519" s="22" t="s">
        <v>557</v>
      </c>
      <c r="I10519" s="26">
        <v>43559.405150462997</v>
      </c>
      <c r="J10519" s="28" t="s">
        <v>52</v>
      </c>
      <c r="K10519" s="28" t="s">
        <v>52</v>
      </c>
      <c r="L10519" s="28" t="s">
        <v>52</v>
      </c>
      <c r="M10519" s="28" t="s">
        <v>52</v>
      </c>
      <c r="N10519" s="28" t="s">
        <v>52</v>
      </c>
    </row>
    <row r="10520" spans="1:14" x14ac:dyDescent="0.15">
      <c r="A10520" s="23" t="str">
        <f>HYPERLINK("https://www.spark-marketing.ru/Card/Person/4346781", "ПАО ""МСЗ""")</f>
        <v>ПАО "МСЗ"</v>
      </c>
      <c r="B10520" s="24" t="s">
        <v>744</v>
      </c>
      <c r="C10520" s="25">
        <v>2218804.27</v>
      </c>
      <c r="D10520" s="22" t="s">
        <v>12842</v>
      </c>
      <c r="E10520" s="22" t="s">
        <v>53</v>
      </c>
      <c r="F10520" s="23" t="str">
        <f>HYPERLINK("https://www.spark-marketing.ru/Card/Lot/69317852", "ОХРАНА ИМУЩЕСТВА ПАО ""МСЗ"" НА ТЕРРИТОРИИ ПСХ ""ФРЯЗЕВО"".")</f>
        <v>ОХРАНА ИМУЩЕСТВА ПАО "МСЗ" НА ТЕРРИТОРИИ ПСХ "ФРЯЗЕВО".</v>
      </c>
      <c r="G10520" s="22" t="s">
        <v>50</v>
      </c>
      <c r="H10520" s="22" t="s">
        <v>747</v>
      </c>
      <c r="I10520" s="26">
        <v>43559.386689814797</v>
      </c>
      <c r="J10520" s="28" t="s">
        <v>52</v>
      </c>
      <c r="K10520" s="28" t="s">
        <v>52</v>
      </c>
      <c r="L10520" s="28" t="s">
        <v>52</v>
      </c>
      <c r="M10520" s="28" t="s">
        <v>52</v>
      </c>
      <c r="N10520" s="28" t="s">
        <v>52</v>
      </c>
    </row>
    <row r="10521" spans="1:14" x14ac:dyDescent="0.15">
      <c r="A10521" s="23" t="str">
        <f>HYPERLINK("https://www.spark-marketing.ru/Card/Person/5895827", """ЛО МВД России на станции Москва-Ленинградская""")</f>
        <v>"ЛО МВД России на станции Москва-Ленинградская"</v>
      </c>
      <c r="B10521" s="24" t="s">
        <v>5500</v>
      </c>
      <c r="C10521" s="25">
        <v>15000</v>
      </c>
      <c r="D10521" s="22" t="s">
        <v>12843</v>
      </c>
      <c r="E10521" s="22" t="s">
        <v>84</v>
      </c>
      <c r="F10521" s="23" t="str">
        <f>HYPERLINK("https://www.spark-marketing.ru/Card/Lot/70168773", "Монтаж, установка, сборка систем охранного видеонаблюдения, 1 шт")</f>
        <v>Монтаж, установка, сборка систем охранного видеонаблюдения, 1 шт</v>
      </c>
      <c r="G10521" s="22" t="s">
        <v>55</v>
      </c>
      <c r="H10521" s="22" t="s">
        <v>55</v>
      </c>
      <c r="I10521" s="26">
        <v>43559.412048611099</v>
      </c>
      <c r="J10521" s="28" t="s">
        <v>52</v>
      </c>
      <c r="K10521" s="28" t="s">
        <v>52</v>
      </c>
      <c r="L10521" s="28" t="s">
        <v>52</v>
      </c>
      <c r="M10521" s="28" t="s">
        <v>52</v>
      </c>
      <c r="N10521" s="28" t="s">
        <v>52</v>
      </c>
    </row>
    <row r="10522" spans="1:14" x14ac:dyDescent="0.15">
      <c r="A10522" s="23" t="str">
        <f>HYPERLINK("https://www.spark-marketing.ru/Card/Person/407917", "АДМИНИСТРАЦИЯ НОВОРЕШЕТОВСКОГО СЕЛЬСОВЕТА КОЧКОВСКОГО РАЙОНА НОВОСИБИРСКОЙ ОБЛАСТИ")</f>
        <v>АДМИНИСТРАЦИЯ НОВОРЕШЕТОВСКОГО СЕЛЬСОВЕТА КОЧКОВСКОГО РАЙОНА НОВОСИБИРСКОЙ ОБЛАСТИ</v>
      </c>
      <c r="B10522" s="24" t="s">
        <v>12844</v>
      </c>
      <c r="C10522" s="25">
        <v>78088</v>
      </c>
      <c r="D10522" s="22" t="s">
        <v>12845</v>
      </c>
      <c r="E10522" s="22" t="s">
        <v>59</v>
      </c>
      <c r="F10522" s="23" t="str">
        <f>HYPERLINK("https://www.spark-marketing.ru/Card/Lot/69268838", "принимает на себя обязанность осуществлять своим персоналом, монтажные работы по установке инфракрасных обогревателей в помещении администрации Новорешетовского сельсовета")</f>
        <v>принимает на себя обязанность осуществлять своим персоналом, монтажные работы по установке инфракрасных обогревателей в помещении администрации Новорешетовского сельсовета</v>
      </c>
      <c r="G10522" s="22" t="s">
        <v>209</v>
      </c>
      <c r="H10522" s="22" t="s">
        <v>5633</v>
      </c>
      <c r="I10522" s="26">
        <v>43559.370833333298</v>
      </c>
      <c r="J10522" s="28" t="s">
        <v>52</v>
      </c>
      <c r="K10522" s="28" t="s">
        <v>52</v>
      </c>
      <c r="L10522" s="28" t="s">
        <v>52</v>
      </c>
      <c r="M10522" s="28" t="s">
        <v>52</v>
      </c>
      <c r="N10522" s="28" t="s">
        <v>52</v>
      </c>
    </row>
    <row r="10523" spans="1:14" ht="12.75" x14ac:dyDescent="0.2">
      <c r="A10523" s="23" t="str">
        <f>HYPERLINK("https://www.spark-marketing.ru/Card/Person/1759774", "МАУ ДО ""ДООСЦ""")</f>
        <v>МАУ ДО "ДООСЦ"</v>
      </c>
      <c r="B10523" s="24" t="s">
        <v>12846</v>
      </c>
      <c r="C10523" s="25">
        <v>267000</v>
      </c>
      <c r="D10523" s="22" t="s">
        <v>12847</v>
      </c>
      <c r="E10523" s="22" t="s">
        <v>144</v>
      </c>
      <c r="F10523" s="23" t="str">
        <f>HYPERLINK("https://www.spark-marketing.ru/Card/Lot/69279507", "Услуги по обеспечению пропускного и внутриобъектового режимов и охране имущества нежилых зданий и прилегающих территорий ДОЛ ""Солнышко"" и ДОЛ ""Олимпиец"".")</f>
        <v>Услуги по обеспечению пропускного и внутриобъектового режимов и охране имущества нежилых зданий и прилегающих территорий ДОЛ "Солнышко" и ДОЛ "Олимпиец".</v>
      </c>
      <c r="G10523" s="22" t="s">
        <v>80</v>
      </c>
      <c r="H10523" s="22" t="s">
        <v>80</v>
      </c>
      <c r="I10523" s="26">
        <v>43559.373495370397</v>
      </c>
      <c r="J10523" s="23" t="str">
        <f>HYPERLINK("https://www.spark-marketing.ru/Card/Person/1476890", "ООО ЧОО ""СОБОС-С""")</f>
        <v>ООО ЧОО "СОБОС-С"</v>
      </c>
      <c r="K10523" s="24" t="s">
        <v>12848</v>
      </c>
      <c r="L10523" s="22" t="s">
        <v>10</v>
      </c>
      <c r="M10523" s="25">
        <v>267000</v>
      </c>
      <c r="N10523" s="27">
        <v>0</v>
      </c>
    </row>
    <row r="10524" spans="1:14" x14ac:dyDescent="0.15">
      <c r="A10524" s="23" t="str">
        <f>HYPERLINK("https://www.spark-marketing.ru/Card/Person/23018", "УПРАВЛЕНИЕ РОСПОТРЕБНАДЗОРА ПО НОВОСИБИРСКОЙ ОБЛАСТИ")</f>
        <v>УПРАВЛЕНИЕ РОСПОТРЕБНАДЗОРА ПО НОВОСИБИРСКОЙ ОБЛАСТИ</v>
      </c>
      <c r="B10524" s="24" t="s">
        <v>6319</v>
      </c>
      <c r="C10524" s="25">
        <v>53904.36</v>
      </c>
      <c r="D10524" s="22" t="s">
        <v>12849</v>
      </c>
      <c r="E10524" s="22" t="s">
        <v>53</v>
      </c>
      <c r="F10524" s="23" t="str">
        <f>HYPERLINK("https://www.spark-marketing.ru/Card/Lot/70784741", "оказание услуг по техническому обслуживанию комплекса технических средств охраны на объектах Заказчика")</f>
        <v>оказание услуг по техническому обслуживанию комплекса технических средств охраны на объектах Заказчика</v>
      </c>
      <c r="G10524" s="22" t="s">
        <v>209</v>
      </c>
      <c r="H10524" s="22" t="s">
        <v>210</v>
      </c>
      <c r="I10524" s="26">
        <v>43559.251736111102</v>
      </c>
      <c r="J10524" s="28" t="s">
        <v>52</v>
      </c>
      <c r="K10524" s="28" t="s">
        <v>52</v>
      </c>
      <c r="L10524" s="28" t="s">
        <v>52</v>
      </c>
      <c r="M10524" s="28" t="s">
        <v>52</v>
      </c>
      <c r="N10524" s="28" t="s">
        <v>52</v>
      </c>
    </row>
    <row r="10525" spans="1:14" x14ac:dyDescent="0.15">
      <c r="A10525" s="23" t="str">
        <f>HYPERLINK("https://www.spark-marketing.ru/Card/Person/5231", "БУ ""СУРГУТСКАЯ КЛИНИЧЕСКАЯ ТРАВМАТОЛОГИЧЕСКАЯ БОЛЬНИЦА""")</f>
        <v>БУ "СУРГУТСКАЯ КЛИНИЧЕСКАЯ ТРАВМАТОЛОГИЧЕСКАЯ БОЛЬНИЦА"</v>
      </c>
      <c r="B10525" s="24" t="s">
        <v>12850</v>
      </c>
      <c r="C10525" s="28" t="s">
        <v>52</v>
      </c>
      <c r="D10525" s="22" t="s">
        <v>12851</v>
      </c>
      <c r="E10525" s="22" t="s">
        <v>52</v>
      </c>
      <c r="F10525" s="23" t="str">
        <f>HYPERLINK("https://www.spark-marketing.ru/Card/Lot/69266860", "Оказание услуг по охране объектов")</f>
        <v>Оказание услуг по охране объектов</v>
      </c>
      <c r="G10525" s="22" t="s">
        <v>119</v>
      </c>
      <c r="H10525" s="22" t="s">
        <v>463</v>
      </c>
      <c r="I10525" s="26">
        <v>43559.277777777803</v>
      </c>
      <c r="J10525" s="28" t="s">
        <v>52</v>
      </c>
      <c r="K10525" s="28" t="s">
        <v>52</v>
      </c>
      <c r="L10525" s="28" t="s">
        <v>52</v>
      </c>
      <c r="M10525" s="28" t="s">
        <v>52</v>
      </c>
      <c r="N10525" s="28" t="s">
        <v>52</v>
      </c>
    </row>
    <row r="10526" spans="1:14" x14ac:dyDescent="0.15">
      <c r="A10526" s="23" t="str">
        <f>HYPERLINK("https://www.spark-marketing.ru/Card/Person/1043996", "МКОУ ЯРКУЛЬ-МАТЮШКИНСКАЯ СОШ")</f>
        <v>МКОУ ЯРКУЛЬ-МАТЮШКИНСКАЯ СОШ</v>
      </c>
      <c r="B10526" s="24" t="s">
        <v>12852</v>
      </c>
      <c r="C10526" s="25">
        <v>6000</v>
      </c>
      <c r="D10526" s="22" t="s">
        <v>12853</v>
      </c>
      <c r="E10526" s="22" t="s">
        <v>103</v>
      </c>
      <c r="F10526" s="23" t="str">
        <f>HYPERLINK("https://www.spark-marketing.ru/Card/Lot/69266465", "Оказание услуг по техническому обслуживанию системы видеонаблюдения и проведению регламентных работ")</f>
        <v>Оказание услуг по техническому обслуживанию системы видеонаблюдения и проведению регламентных работ</v>
      </c>
      <c r="G10526" s="22" t="s">
        <v>209</v>
      </c>
      <c r="H10526" s="22" t="s">
        <v>8651</v>
      </c>
      <c r="I10526" s="26">
        <v>43559.241666666698</v>
      </c>
      <c r="J10526" s="28" t="s">
        <v>52</v>
      </c>
      <c r="K10526" s="28" t="s">
        <v>52</v>
      </c>
      <c r="L10526" s="28" t="s">
        <v>52</v>
      </c>
      <c r="M10526" s="28" t="s">
        <v>52</v>
      </c>
      <c r="N10526" s="28" t="s">
        <v>52</v>
      </c>
    </row>
    <row r="10527" spans="1:14" x14ac:dyDescent="0.15">
      <c r="A10527" s="23" t="str">
        <f>HYPERLINK("https://www.spark-marketing.ru/Card/Person/1046927", "МКОУ НОВО-НИКОЛЬСКАЯ СОШ")</f>
        <v>МКОУ НОВО-НИКОЛЬСКАЯ СОШ</v>
      </c>
      <c r="B10527" s="24" t="s">
        <v>12854</v>
      </c>
      <c r="C10527" s="25">
        <v>6000</v>
      </c>
      <c r="D10527" s="22" t="s">
        <v>12855</v>
      </c>
      <c r="E10527" s="22" t="s">
        <v>103</v>
      </c>
      <c r="F10527" s="23" t="str">
        <f>HYPERLINK("https://www.spark-marketing.ru/Card/Lot/69266405", "Оказание услуг по техническому обслуживанию системы видеонаблюдения и проведению регламентных работ")</f>
        <v>Оказание услуг по техническому обслуживанию системы видеонаблюдения и проведению регламентных работ</v>
      </c>
      <c r="G10527" s="22" t="s">
        <v>209</v>
      </c>
      <c r="H10527" s="22" t="s">
        <v>8651</v>
      </c>
      <c r="I10527" s="26">
        <v>43559.222916666702</v>
      </c>
      <c r="J10527" s="28" t="s">
        <v>52</v>
      </c>
      <c r="K10527" s="28" t="s">
        <v>52</v>
      </c>
      <c r="L10527" s="28" t="s">
        <v>52</v>
      </c>
      <c r="M10527" s="28" t="s">
        <v>52</v>
      </c>
      <c r="N10527" s="28" t="s">
        <v>52</v>
      </c>
    </row>
    <row r="10528" spans="1:14" x14ac:dyDescent="0.15">
      <c r="A10528" s="23" t="str">
        <f>HYPERLINK("https://www.spark-marketing.ru/Card/Person/1056637", "МКОУ ПОБЕДИНСКАЯ СОШ")</f>
        <v>МКОУ ПОБЕДИНСКАЯ СОШ</v>
      </c>
      <c r="B10528" s="24" t="s">
        <v>12856</v>
      </c>
      <c r="C10528" s="25">
        <v>6000</v>
      </c>
      <c r="D10528" s="22" t="s">
        <v>12857</v>
      </c>
      <c r="E10528" s="22" t="s">
        <v>103</v>
      </c>
      <c r="F10528" s="23" t="str">
        <f>HYPERLINK("https://www.spark-marketing.ru/Card/Lot/69266414", "Оказание услуг по техническому обслуживанию системы видеонаблюдения и проведению регламентных работ")</f>
        <v>Оказание услуг по техническому обслуживанию системы видеонаблюдения и проведению регламентных работ</v>
      </c>
      <c r="G10528" s="22" t="s">
        <v>209</v>
      </c>
      <c r="H10528" s="22" t="s">
        <v>8651</v>
      </c>
      <c r="I10528" s="26">
        <v>43559.229166666701</v>
      </c>
      <c r="J10528" s="28" t="s">
        <v>52</v>
      </c>
      <c r="K10528" s="28" t="s">
        <v>52</v>
      </c>
      <c r="L10528" s="28" t="s">
        <v>52</v>
      </c>
      <c r="M10528" s="28" t="s">
        <v>52</v>
      </c>
      <c r="N10528" s="28" t="s">
        <v>52</v>
      </c>
    </row>
    <row r="10529" spans="1:14" x14ac:dyDescent="0.15">
      <c r="A10529" s="23" t="str">
        <f>HYPERLINK("https://www.spark-marketing.ru/Card/Person/239627", "МКОУ НОВОСИЛИШИНСКАЯ СОШ")</f>
        <v>МКОУ НОВОСИЛИШИНСКАЯ СОШ</v>
      </c>
      <c r="B10529" s="24" t="s">
        <v>12858</v>
      </c>
      <c r="C10529" s="25">
        <v>9900</v>
      </c>
      <c r="D10529" s="22" t="s">
        <v>12859</v>
      </c>
      <c r="E10529" s="22" t="s">
        <v>103</v>
      </c>
      <c r="F10529" s="23" t="str">
        <f>HYPERLINK("https://www.spark-marketing.ru/Card/Lot/69266408", "Оказание услуг по техническому обслуживанию системы видеонаблюдения и проведению регламентных работ")</f>
        <v>Оказание услуг по техническому обслуживанию системы видеонаблюдения и проведению регламентных работ</v>
      </c>
      <c r="G10529" s="22" t="s">
        <v>209</v>
      </c>
      <c r="H10529" s="22" t="s">
        <v>8651</v>
      </c>
      <c r="I10529" s="26">
        <v>43559.224999999999</v>
      </c>
      <c r="J10529" s="28" t="s">
        <v>52</v>
      </c>
      <c r="K10529" s="28" t="s">
        <v>52</v>
      </c>
      <c r="L10529" s="28" t="s">
        <v>52</v>
      </c>
      <c r="M10529" s="28" t="s">
        <v>52</v>
      </c>
      <c r="N10529" s="28" t="s">
        <v>52</v>
      </c>
    </row>
    <row r="10530" spans="1:14" x14ac:dyDescent="0.15">
      <c r="A10530" s="23" t="str">
        <f>HYPERLINK("https://www.spark-marketing.ru/Card/Person/11493", "Макрорегиональный филиал ""Центр"" ОАО междугородной и международной электрической связи ""Ростелеком""")</f>
        <v>Макрорегиональный филиал "Центр" ОАО междугородной и международной электрической связи "Ростелеком"</v>
      </c>
      <c r="B10530" s="24" t="s">
        <v>607</v>
      </c>
      <c r="C10530" s="25">
        <v>1</v>
      </c>
      <c r="D10530" s="22" t="s">
        <v>12860</v>
      </c>
      <c r="E10530" s="22" t="s">
        <v>53</v>
      </c>
      <c r="F10530" s="23" t="str">
        <f>HYPERLINK("https://www.spark-marketing.ru/Card/Lot/69335114", "оказание охранных услуг")</f>
        <v>оказание охранных услуг</v>
      </c>
      <c r="G10530" s="22" t="s">
        <v>89</v>
      </c>
      <c r="H10530" s="22" t="s">
        <v>89</v>
      </c>
      <c r="I10530" s="26">
        <v>43559</v>
      </c>
      <c r="J10530" s="28" t="s">
        <v>52</v>
      </c>
      <c r="K10530" s="28" t="s">
        <v>52</v>
      </c>
      <c r="L10530" s="28" t="s">
        <v>52</v>
      </c>
      <c r="M10530" s="28" t="s">
        <v>52</v>
      </c>
      <c r="N10530" s="28" t="s">
        <v>52</v>
      </c>
    </row>
    <row r="10531" spans="1:14" x14ac:dyDescent="0.15">
      <c r="A10531" s="23" t="str">
        <f>HYPERLINK("https://www.spark-marketing.ru/Card/Person/4078", "ФКУ ""ВОЛГО-ВЯТСКУПРАВТОДОР""")</f>
        <v>ФКУ "ВОЛГО-ВЯТСКУПРАВТОДОР"</v>
      </c>
      <c r="B10531" s="24" t="s">
        <v>7056</v>
      </c>
      <c r="C10531" s="25">
        <v>99990</v>
      </c>
      <c r="D10531" s="22" t="s">
        <v>12861</v>
      </c>
      <c r="E10531" s="22" t="s">
        <v>53</v>
      </c>
      <c r="F10531" s="23" t="str">
        <f>HYPERLINK("https://www.spark-marketing.ru/Card/Lot/70784456", "Услуги по охране имущества")</f>
        <v>Услуги по охране имущества</v>
      </c>
      <c r="G10531" s="22" t="s">
        <v>204</v>
      </c>
      <c r="H10531" s="22" t="s">
        <v>303</v>
      </c>
      <c r="I10531" s="26">
        <v>43558.884687500002</v>
      </c>
      <c r="J10531" s="28" t="s">
        <v>52</v>
      </c>
      <c r="K10531" s="28" t="s">
        <v>52</v>
      </c>
      <c r="L10531" s="28" t="s">
        <v>52</v>
      </c>
      <c r="M10531" s="28" t="s">
        <v>52</v>
      </c>
      <c r="N10531" s="28" t="s">
        <v>52</v>
      </c>
    </row>
    <row r="10532" spans="1:14" x14ac:dyDescent="0.15">
      <c r="A10532" s="28" t="s">
        <v>52</v>
      </c>
      <c r="B10532" s="28" t="s">
        <v>52</v>
      </c>
      <c r="C10532" s="28" t="s">
        <v>52</v>
      </c>
      <c r="D10532" s="22" t="s">
        <v>12862</v>
      </c>
      <c r="E10532" s="22" t="s">
        <v>12863</v>
      </c>
      <c r="F10532" s="23" t="str">
        <f>HYPERLINK("https://www.spark-marketing.ru/Card/Lot/69263807", "ПОТ РМ -07-98 межотраслевые правила по охране труда при погруз.-разгруз. работах и размещении грузов")</f>
        <v>ПОТ РМ -07-98 межотраслевые правила по охране труда при погруз.-разгруз. работах и размещении грузов</v>
      </c>
      <c r="G10532" s="22" t="s">
        <v>538</v>
      </c>
      <c r="H10532" s="22" t="s">
        <v>1642</v>
      </c>
      <c r="I10532" s="26">
        <v>43558.871550925898</v>
      </c>
      <c r="J10532" s="23" t="str">
        <f>HYPERLINK("https://www.spark-marketing.ru/Card/Person/1753327", "ООО ""СК ""РУСВЬЕТПЕТРО""")</f>
        <v>ООО "СК "РУСВЬЕТПЕТРО"</v>
      </c>
      <c r="K10532" s="24" t="s">
        <v>3114</v>
      </c>
      <c r="L10532" s="28" t="s">
        <v>52</v>
      </c>
      <c r="M10532" s="25">
        <v>0</v>
      </c>
      <c r="N10532" s="28" t="s">
        <v>52</v>
      </c>
    </row>
    <row r="10533" spans="1:14" ht="12.75" x14ac:dyDescent="0.2">
      <c r="A10533" s="23" t="str">
        <f>HYPERLINK("https://www.spark-marketing.ru/Card/Person/6446087", "МАУК ""КЦ: БИБЛИОТЕКА-МУЗЕЙ""")</f>
        <v>МАУК "КЦ: БИБЛИОТЕКА-МУЗЕЙ"</v>
      </c>
      <c r="B10533" s="24" t="s">
        <v>12864</v>
      </c>
      <c r="C10533" s="25">
        <v>859203</v>
      </c>
      <c r="D10533" s="22" t="s">
        <v>12865</v>
      </c>
      <c r="E10533" s="22" t="s">
        <v>12866</v>
      </c>
      <c r="F10533" s="23" t="str">
        <f>HYPERLINK("https://www.spark-marketing.ru/Card/Lot/69260116", "установка системы видеонаблюдения (дополнительной системы наружного охранного телевидения)")</f>
        <v>установка системы видеонаблюдения (дополнительной системы наружного охранного телевидения)</v>
      </c>
      <c r="G10533" s="22" t="s">
        <v>119</v>
      </c>
      <c r="H10533" s="22" t="s">
        <v>119</v>
      </c>
      <c r="I10533" s="26">
        <v>43558.805821759299</v>
      </c>
      <c r="J10533" s="23" t="str">
        <f>HYPERLINK("https://www.spark-marketing.ru/Card/Person/6513515", "ООО ""АВАНГАРД""")</f>
        <v>ООО "АВАНГАРД"</v>
      </c>
      <c r="K10533" s="24" t="s">
        <v>12867</v>
      </c>
      <c r="L10533" s="22" t="s">
        <v>10</v>
      </c>
      <c r="M10533" s="25">
        <v>859203</v>
      </c>
      <c r="N10533" s="27">
        <v>0</v>
      </c>
    </row>
    <row r="10534" spans="1:14" x14ac:dyDescent="0.15">
      <c r="A10534" s="23" t="str">
        <f>HYPERLINK("https://www.spark-marketing.ru/Card/Person/32634", "ГБУЗ СО ""ГБ Г.ПЕРВОУРАЛЬСК""")</f>
        <v>ГБУЗ СО "ГБ Г.ПЕРВОУРАЛЬСК"</v>
      </c>
      <c r="B10534" s="24" t="s">
        <v>2916</v>
      </c>
      <c r="C10534" s="25">
        <v>514080</v>
      </c>
      <c r="D10534" s="22" t="s">
        <v>12868</v>
      </c>
      <c r="E10534" s="22" t="s">
        <v>68</v>
      </c>
      <c r="F10534" s="23" t="str">
        <f>HYPERLINK("https://www.spark-marketing.ru/Card/Lot/69255171", "Услуги по обеспечению общественного порядка и безопасности")</f>
        <v>Услуги по обеспечению общественного порядка и безопасности</v>
      </c>
      <c r="G10534" s="22" t="s">
        <v>72</v>
      </c>
      <c r="H10534" s="22" t="s">
        <v>2918</v>
      </c>
      <c r="I10534" s="26">
        <v>43558.713194444397</v>
      </c>
      <c r="J10534" s="28" t="s">
        <v>52</v>
      </c>
      <c r="K10534" s="28" t="s">
        <v>52</v>
      </c>
      <c r="L10534" s="28" t="s">
        <v>52</v>
      </c>
      <c r="M10534" s="28" t="s">
        <v>52</v>
      </c>
      <c r="N10534" s="28" t="s">
        <v>52</v>
      </c>
    </row>
    <row r="10535" spans="1:14" hidden="1" outlineLevel="1" x14ac:dyDescent="0.2">
      <c r="A10535" s="23" t="str">
        <f>HYPERLINK("https://www.spark-marketing.ru/Card/Person/32634", "ГБУЗ СО ""ГБ Г.ПЕРВОУРАЛЬСК""")</f>
        <v>ГБУЗ СО "ГБ Г.ПЕРВОУРАЛЬСК"</v>
      </c>
      <c r="B10535" s="24" t="s">
        <v>2916</v>
      </c>
      <c r="C10535" s="25">
        <v>514080</v>
      </c>
      <c r="D10535" s="22" t="s">
        <v>12868</v>
      </c>
      <c r="E10535" s="22" t="s">
        <v>68</v>
      </c>
      <c r="F10535" s="23" t="str">
        <f>HYPERLINK("https://www.spark-marketing.ru/Card/Lot/69255171", "Услуги по обеспечению общественного порядка и безопасности")</f>
        <v>Услуги по обеспечению общественного порядка и безопасности</v>
      </c>
      <c r="G10535" s="22" t="s">
        <v>72</v>
      </c>
      <c r="H10535" s="22" t="s">
        <v>2918</v>
      </c>
      <c r="I10535" s="26">
        <v>43558.713194444397</v>
      </c>
      <c r="J10535" s="23" t="str">
        <f>HYPERLINK("https://www.spark-marketing.ru/Card/Person/591069", "ООО ЧОП ""ЗАПАД""")</f>
        <v>ООО ЧОП "ЗАПАД"</v>
      </c>
      <c r="K10535" s="24" t="s">
        <v>2920</v>
      </c>
      <c r="L10535" s="28" t="s">
        <v>52</v>
      </c>
      <c r="M10535" s="25">
        <v>374544</v>
      </c>
      <c r="N10535" s="27">
        <v>0.27142857142857141</v>
      </c>
    </row>
    <row r="10536" spans="1:14" ht="12.75" hidden="1" outlineLevel="1" x14ac:dyDescent="0.2">
      <c r="A10536" s="23" t="str">
        <f>HYPERLINK("https://www.spark-marketing.ru/Card/Person/32634", "ГБУЗ СО ""ГБ Г.ПЕРВОУРАЛЬСК""")</f>
        <v>ГБУЗ СО "ГБ Г.ПЕРВОУРАЛЬСК"</v>
      </c>
      <c r="B10536" s="24" t="s">
        <v>2916</v>
      </c>
      <c r="C10536" s="25">
        <v>514080</v>
      </c>
      <c r="D10536" s="22" t="s">
        <v>12868</v>
      </c>
      <c r="E10536" s="22" t="s">
        <v>68</v>
      </c>
      <c r="F10536" s="23" t="str">
        <f>HYPERLINK("https://www.spark-marketing.ru/Card/Lot/69255171", "Услуги по обеспечению общественного порядка и безопасности")</f>
        <v>Услуги по обеспечению общественного порядка и безопасности</v>
      </c>
      <c r="G10536" s="22" t="s">
        <v>72</v>
      </c>
      <c r="H10536" s="22" t="s">
        <v>2918</v>
      </c>
      <c r="I10536" s="26">
        <v>43558.713194444397</v>
      </c>
      <c r="J10536" s="23" t="str">
        <f>HYPERLINK("https://www.spark-marketing.ru/Card/Person/31850", "ООО ЧОП ""ЕВРО-АЗИЯ""")</f>
        <v>ООО ЧОП "ЕВРО-АЗИЯ"</v>
      </c>
      <c r="K10536" s="24" t="s">
        <v>11743</v>
      </c>
      <c r="L10536" s="22" t="s">
        <v>10</v>
      </c>
      <c r="M10536" s="25">
        <v>367867.04</v>
      </c>
      <c r="N10536" s="27">
        <v>0.28441674447556803</v>
      </c>
    </row>
    <row r="10537" spans="1:14" hidden="1" outlineLevel="1" x14ac:dyDescent="0.2">
      <c r="A10537" s="23" t="str">
        <f>HYPERLINK("https://www.spark-marketing.ru/Card/Person/32634", "ГБУЗ СО ""ГБ Г.ПЕРВОУРАЛЬСК""")</f>
        <v>ГБУЗ СО "ГБ Г.ПЕРВОУРАЛЬСК"</v>
      </c>
      <c r="B10537" s="24" t="s">
        <v>2916</v>
      </c>
      <c r="C10537" s="25">
        <v>514080</v>
      </c>
      <c r="D10537" s="22" t="s">
        <v>12868</v>
      </c>
      <c r="E10537" s="22" t="s">
        <v>68</v>
      </c>
      <c r="F10537" s="23" t="str">
        <f>HYPERLINK("https://www.spark-marketing.ru/Card/Lot/69255171", "Услуги по обеспечению общественного порядка и безопасности")</f>
        <v>Услуги по обеспечению общественного порядка и безопасности</v>
      </c>
      <c r="G10537" s="22" t="s">
        <v>72</v>
      </c>
      <c r="H10537" s="22" t="s">
        <v>2918</v>
      </c>
      <c r="I10537" s="26">
        <v>43558.713194444397</v>
      </c>
      <c r="J10537" s="23" t="str">
        <f>HYPERLINK("https://www.spark-marketing.ru/Card/Person/5898537", "ООО ЧОП ""ГЕПАРД""")</f>
        <v>ООО ЧОП "ГЕПАРД"</v>
      </c>
      <c r="K10537" s="24" t="s">
        <v>9658</v>
      </c>
      <c r="L10537" s="28" t="s">
        <v>52</v>
      </c>
      <c r="M10537" s="25">
        <v>440640</v>
      </c>
      <c r="N10537" s="27">
        <v>0.14285714285714285</v>
      </c>
    </row>
    <row r="10538" spans="1:14" x14ac:dyDescent="0.15">
      <c r="A10538" s="23" t="str">
        <f>HYPERLINK("https://www.spark-marketing.ru/Card/Person/53916", "МБУЗ ДГБ Г. ШАХТЫ")</f>
        <v>МБУЗ ДГБ Г. ШАХТЫ</v>
      </c>
      <c r="B10538" s="24" t="s">
        <v>12869</v>
      </c>
      <c r="C10538" s="25">
        <v>81600</v>
      </c>
      <c r="D10538" s="22" t="s">
        <v>12870</v>
      </c>
      <c r="E10538" s="22" t="s">
        <v>68</v>
      </c>
      <c r="F10538" s="23" t="str">
        <f>HYPERLINK("https://www.spark-marketing.ru/Card/Lot/69260791", "Охрана объектов и охрана общественного порядка  при помощи средств охранной сигнализации (ОС), тревожной сигнализации (КТС) с выездом группы быстрого реагирования по сигналу «Тревога».")</f>
        <v>Охрана объектов и охрана общественного порядка  при помощи средств охранной сигнализации (ОС), тревожной сигнализации (КТС) с выездом группы быстрого реагирования по сигналу «Тревога».</v>
      </c>
      <c r="G10538" s="22" t="s">
        <v>402</v>
      </c>
      <c r="H10538" s="22" t="s">
        <v>4374</v>
      </c>
      <c r="I10538" s="26">
        <v>43558.7409722222</v>
      </c>
      <c r="J10538" s="28" t="s">
        <v>52</v>
      </c>
      <c r="K10538" s="28" t="s">
        <v>52</v>
      </c>
      <c r="L10538" s="28" t="s">
        <v>52</v>
      </c>
      <c r="M10538" s="28" t="s">
        <v>52</v>
      </c>
      <c r="N10538" s="28" t="s">
        <v>52</v>
      </c>
    </row>
    <row r="10539" spans="1:14" hidden="1" outlineLevel="1" x14ac:dyDescent="0.2">
      <c r="A10539" s="23" t="str">
        <f>HYPERLINK("https://www.spark-marketing.ru/Card/Person/53916", "МБУЗ ДГБ Г. ШАХТЫ")</f>
        <v>МБУЗ ДГБ Г. ШАХТЫ</v>
      </c>
      <c r="B10539" s="24" t="s">
        <v>12869</v>
      </c>
      <c r="C10539" s="25">
        <v>81600</v>
      </c>
      <c r="D10539" s="22" t="s">
        <v>12870</v>
      </c>
      <c r="E10539" s="22" t="s">
        <v>68</v>
      </c>
      <c r="F10539" s="23" t="str">
        <f>HYPERLINK("https://www.spark-marketing.ru/Card/Lot/69260791", "Охрана объектов и охрана общественного порядка  при помощи средств охранной сигнализации (ОС), тревожной сигнализации (КТС) с выездом группы быстрого реагирования по сигналу «Тревога».")</f>
        <v>Охрана объектов и охрана общественного порядка  при помощи средств охранной сигнализации (ОС), тревожной сигнализации (КТС) с выездом группы быстрого реагирования по сигналу «Тревога».</v>
      </c>
      <c r="G10539" s="22" t="s">
        <v>402</v>
      </c>
      <c r="H10539" s="22" t="s">
        <v>4374</v>
      </c>
      <c r="I10539" s="26">
        <v>43558.7409722222</v>
      </c>
      <c r="J10539" s="23" t="str">
        <f>HYPERLINK("https://www.spark-marketing.ru/Card/Person/783432", "ООО ""ЧОО ""СПЕЦОХРАНА ЮГ 7""")</f>
        <v>ООО "ЧОО "СПЕЦОХРАНА ЮГ 7"</v>
      </c>
      <c r="K10539" s="24" t="s">
        <v>12871</v>
      </c>
      <c r="L10539" s="28" t="s">
        <v>52</v>
      </c>
      <c r="M10539" s="25">
        <v>60000</v>
      </c>
      <c r="N10539" s="27">
        <v>0.26470588235294118</v>
      </c>
    </row>
    <row r="10540" spans="1:14" ht="12.75" hidden="1" outlineLevel="1" x14ac:dyDescent="0.2">
      <c r="A10540" s="23" t="str">
        <f>HYPERLINK("https://www.spark-marketing.ru/Card/Person/53916", "МБУЗ ДГБ Г. ШАХТЫ")</f>
        <v>МБУЗ ДГБ Г. ШАХТЫ</v>
      </c>
      <c r="B10540" s="24" t="s">
        <v>12869</v>
      </c>
      <c r="C10540" s="25">
        <v>81600</v>
      </c>
      <c r="D10540" s="22" t="s">
        <v>12870</v>
      </c>
      <c r="E10540" s="22" t="s">
        <v>68</v>
      </c>
      <c r="F10540" s="23" t="str">
        <f>HYPERLINK("https://www.spark-marketing.ru/Card/Lot/69260791", "Охрана объектов и охрана общественного порядка  при помощи средств охранной сигнализации (ОС), тревожной сигнализации (КТС) с выездом группы быстрого реагирования по сигналу «Тревога».")</f>
        <v>Охрана объектов и охрана общественного порядка  при помощи средств охранной сигнализации (ОС), тревожной сигнализации (КТС) с выездом группы быстрого реагирования по сигналу «Тревога».</v>
      </c>
      <c r="G10540" s="22" t="s">
        <v>402</v>
      </c>
      <c r="H10540" s="22" t="s">
        <v>4374</v>
      </c>
      <c r="I10540" s="26">
        <v>43558.7409722222</v>
      </c>
      <c r="J10540" s="23" t="str">
        <f>HYPERLINK("https://www.spark-marketing.ru/Card/Person/406526", "ООО ОА ""ШАХТИНСКАЯ СЛУЖБА ОХРАНЫ""")</f>
        <v>ООО ОА "ШАХТИНСКАЯ СЛУЖБА ОХРАНЫ"</v>
      </c>
      <c r="K10540" s="24" t="s">
        <v>9646</v>
      </c>
      <c r="L10540" s="22" t="s">
        <v>10</v>
      </c>
      <c r="M10540" s="25">
        <v>39200</v>
      </c>
      <c r="N10540" s="27">
        <v>0.51960784313725494</v>
      </c>
    </row>
    <row r="10541" spans="1:14" hidden="1" outlineLevel="1" x14ac:dyDescent="0.15">
      <c r="A10541" s="23" t="str">
        <f>HYPERLINK("https://www.spark-marketing.ru/Card/Person/53916", "МБУЗ ДГБ Г. ШАХТЫ")</f>
        <v>МБУЗ ДГБ Г. ШАХТЫ</v>
      </c>
      <c r="B10541" s="24" t="s">
        <v>12869</v>
      </c>
      <c r="C10541" s="25">
        <v>81600</v>
      </c>
      <c r="D10541" s="22" t="s">
        <v>12870</v>
      </c>
      <c r="E10541" s="22" t="s">
        <v>68</v>
      </c>
      <c r="F10541" s="23" t="str">
        <f>HYPERLINK("https://www.spark-marketing.ru/Card/Lot/69260791", "Охрана объектов и охрана общественного порядка  при помощи средств охранной сигнализации (ОС), тревожной сигнализации (КТС) с выездом группы быстрого реагирования по сигналу «Тревога».")</f>
        <v>Охрана объектов и охрана общественного порядка  при помощи средств охранной сигнализации (ОС), тревожной сигнализации (КТС) с выездом группы быстрого реагирования по сигналу «Тревога».</v>
      </c>
      <c r="G10541" s="22" t="s">
        <v>402</v>
      </c>
      <c r="H10541" s="22" t="s">
        <v>4374</v>
      </c>
      <c r="I10541" s="26">
        <v>43558.7409722222</v>
      </c>
      <c r="J10541" s="23" t="str">
        <f>HYPERLINK("https://www.spark-marketing.ru/Card/Person/783432", "ООО ""ЧОО ""СПЕЦОХРАНА ЮГ 7""")</f>
        <v>ООО "ЧОО "СПЕЦОХРАНА ЮГ 7"</v>
      </c>
      <c r="K10541" s="24" t="s">
        <v>12871</v>
      </c>
      <c r="L10541" s="28" t="s">
        <v>52</v>
      </c>
      <c r="M10541" s="28" t="s">
        <v>52</v>
      </c>
      <c r="N10541" s="28" t="s">
        <v>52</v>
      </c>
    </row>
    <row r="10542" spans="1:14" x14ac:dyDescent="0.15">
      <c r="A10542" s="23" t="str">
        <f>HYPERLINK("https://www.spark-marketing.ru/Card/Person/148854", "МБУ ""СК ""МЕТАЛЛУРГ""")</f>
        <v>МБУ "СК "МЕТАЛЛУРГ"</v>
      </c>
      <c r="B10542" s="24" t="s">
        <v>12872</v>
      </c>
      <c r="C10542" s="25">
        <v>318360</v>
      </c>
      <c r="D10542" s="22" t="s">
        <v>12873</v>
      </c>
      <c r="E10542" s="22" t="s">
        <v>12874</v>
      </c>
      <c r="F10542" s="23" t="str">
        <f>HYPERLINK("https://www.spark-marketing.ru/Card/Lot/69257259", "Оказание услуг по предоставлению и техническому обслуживанию видеоизображения для системы технологического обеспечения региональной общественной безопасности и оперативного управления «Безопасный регион» и по техническому обслуживанию системы контрол...")</f>
        <v>Оказание услуг по предоставлению и техническому обслуживанию видеоизображения для системы технологического обеспечения региональной общественной безопасности и оперативного управления «Безопасный регион» и по техническому обслуживанию системы контрол...</v>
      </c>
      <c r="G10542" s="22" t="s">
        <v>50</v>
      </c>
      <c r="H10542" s="22" t="s">
        <v>265</v>
      </c>
      <c r="I10542" s="26">
        <v>43558.670925925901</v>
      </c>
      <c r="J10542" s="28" t="s">
        <v>52</v>
      </c>
      <c r="K10542" s="28" t="s">
        <v>52</v>
      </c>
      <c r="L10542" s="28" t="s">
        <v>52</v>
      </c>
      <c r="M10542" s="28" t="s">
        <v>52</v>
      </c>
      <c r="N10542" s="28" t="s">
        <v>52</v>
      </c>
    </row>
    <row r="10543" spans="1:14" x14ac:dyDescent="0.15">
      <c r="A10543" s="23" t="str">
        <f>HYPERLINK("https://www.spark-marketing.ru/Card/Person/4864894", "ГАПОУ ПО ПКАС")</f>
        <v>ГАПОУ ПО ПКАС</v>
      </c>
      <c r="B10543" s="24" t="s">
        <v>12875</v>
      </c>
      <c r="C10543" s="25">
        <v>504243</v>
      </c>
      <c r="D10543" s="22" t="s">
        <v>12876</v>
      </c>
      <c r="E10543" s="22" t="s">
        <v>12877</v>
      </c>
      <c r="F10543" s="23" t="str">
        <f>HYPERLINK("https://www.spark-marketing.ru/Card/Lot/69255764", "Поставка системы видеонаблюдения с установкой в зданиях ГАПОУ ПО ПКАС")</f>
        <v>Поставка системы видеонаблюдения с установкой в зданиях ГАПОУ ПО ПКАС</v>
      </c>
      <c r="G10543" s="22" t="s">
        <v>514</v>
      </c>
      <c r="H10543" s="22" t="s">
        <v>514</v>
      </c>
      <c r="I10543" s="26">
        <v>43558.685439814799</v>
      </c>
      <c r="J10543" s="28" t="s">
        <v>52</v>
      </c>
      <c r="K10543" s="28" t="s">
        <v>52</v>
      </c>
      <c r="L10543" s="28" t="s">
        <v>52</v>
      </c>
      <c r="M10543" s="28" t="s">
        <v>52</v>
      </c>
      <c r="N10543" s="28" t="s">
        <v>52</v>
      </c>
    </row>
    <row r="10544" spans="1:14" x14ac:dyDescent="0.15">
      <c r="A10544" s="23" t="str">
        <f>HYPERLINK("https://www.spark-marketing.ru/Card/Person/2040026", "ФКУ ""СЗОУМТС МВД РОССИИ""")</f>
        <v>ФКУ "СЗОУМТС МВД РОССИИ"</v>
      </c>
      <c r="B10544" s="24" t="s">
        <v>2159</v>
      </c>
      <c r="C10544" s="25">
        <v>3452626</v>
      </c>
      <c r="D10544" s="22" t="s">
        <v>12878</v>
      </c>
      <c r="E10544" s="22" t="s">
        <v>208</v>
      </c>
      <c r="F10544" s="23" t="str">
        <f>HYPERLINK("https://www.spark-marketing.ru/Card/Lot/69256933", "Система охранной сигнализации с последующей установкой и пусконаладочными работами")</f>
        <v>Система охранной сигнализации с последующей установкой и пусконаладочными работами</v>
      </c>
      <c r="G10544" s="22" t="s">
        <v>89</v>
      </c>
      <c r="H10544" s="22" t="s">
        <v>89</v>
      </c>
      <c r="I10544" s="26">
        <v>43558.686805555597</v>
      </c>
      <c r="J10544" s="23" t="str">
        <f>HYPERLINK("https://www.spark-marketing.ru/Card/Person/1366639", "ООО ""МОНТАЖНЫЙ ЦЕНТР""")</f>
        <v>ООО "МОНТАЖНЫЙ ЦЕНТР"</v>
      </c>
      <c r="K10544" s="24" t="s">
        <v>2161</v>
      </c>
      <c r="L10544" s="22" t="s">
        <v>10</v>
      </c>
      <c r="M10544" s="28" t="s">
        <v>52</v>
      </c>
      <c r="N10544" s="28" t="s">
        <v>52</v>
      </c>
    </row>
    <row r="10545" spans="1:14" x14ac:dyDescent="0.15">
      <c r="A10545" s="23" t="str">
        <f>HYPERLINK("https://www.spark-marketing.ru/Card/Person/86134", "СУ СК РОССИИ ПО РЕСПУБЛИКЕ ТАТАРСТАН")</f>
        <v>СУ СК РОССИИ ПО РЕСПУБЛИКЕ ТАТАРСТАН</v>
      </c>
      <c r="B10545" s="24" t="s">
        <v>12879</v>
      </c>
      <c r="C10545" s="25">
        <v>920294.40000000002</v>
      </c>
      <c r="D10545" s="22" t="s">
        <v>12880</v>
      </c>
      <c r="E10545" s="22" t="s">
        <v>68</v>
      </c>
      <c r="F10545" s="23" t="str">
        <f>HYPERLINK("https://www.spark-marketing.ru/Card/Lot/69256930", "Услуги пультовой охраны административных зданий и помещений следственного управления Следственного комитета Российской Федерации по Республике Татарстан")</f>
        <v>Услуги пультовой охраны административных зданий и помещений следственного управления Следственного комитета Российской Федерации по Республике Татарстан</v>
      </c>
      <c r="G10545" s="22" t="s">
        <v>204</v>
      </c>
      <c r="H10545" s="22" t="s">
        <v>204</v>
      </c>
      <c r="I10545" s="26">
        <v>43558.693055555603</v>
      </c>
      <c r="J10545" s="23" t="str">
        <f>HYPERLINK("https://www.spark-marketing.ru/Card/Person/92135", "ФГКУ ""УВО ВНГ РОССИИ ПО РЕСПУБЛИКЕ ТАТАРСТАН""")</f>
        <v>ФГКУ "УВО ВНГ РОССИИ ПО РЕСПУБЛИКЕ ТАТАРСТАН"</v>
      </c>
      <c r="K10545" s="24" t="s">
        <v>12881</v>
      </c>
      <c r="L10545" s="28" t="s">
        <v>52</v>
      </c>
      <c r="M10545" s="28" t="s">
        <v>52</v>
      </c>
      <c r="N10545" s="28" t="s">
        <v>52</v>
      </c>
    </row>
    <row r="10546" spans="1:14" ht="12.75" hidden="1" outlineLevel="1" x14ac:dyDescent="0.2">
      <c r="A10546" s="23" t="str">
        <f>HYPERLINK("https://www.spark-marketing.ru/Card/Person/86134", "СУ СК РОССИИ ПО РЕСПУБЛИКЕ ТАТАРСТАН")</f>
        <v>СУ СК РОССИИ ПО РЕСПУБЛИКЕ ТАТАРСТАН</v>
      </c>
      <c r="B10546" s="24" t="s">
        <v>12879</v>
      </c>
      <c r="C10546" s="25">
        <v>920294.40000000002</v>
      </c>
      <c r="D10546" s="22" t="s">
        <v>12880</v>
      </c>
      <c r="E10546" s="22" t="s">
        <v>68</v>
      </c>
      <c r="F10546" s="23" t="str">
        <f>HYPERLINK("https://www.spark-marketing.ru/Card/Lot/69256930", "Услуги пультовой охраны административных зданий и помещений следственного управления Следственного комитета Российской Федерации по Республике Татарстан")</f>
        <v>Услуги пультовой охраны административных зданий и помещений следственного управления Следственного комитета Российской Федерации по Республике Татарстан</v>
      </c>
      <c r="G10546" s="22" t="s">
        <v>204</v>
      </c>
      <c r="H10546" s="22" t="s">
        <v>204</v>
      </c>
      <c r="I10546" s="26">
        <v>43558.693055555603</v>
      </c>
      <c r="J10546" s="23" t="str">
        <f>HYPERLINK("https://www.spark-marketing.ru/Card/Person/92135", "ФГКУ ""УВО ВНГ РОССИИ ПО РЕСПУБЛИКЕ ТАТАРСТАН""")</f>
        <v>ФГКУ "УВО ВНГ РОССИИ ПО РЕСПУБЛИКЕ ТАТАРСТАН"</v>
      </c>
      <c r="K10546" s="24" t="s">
        <v>12881</v>
      </c>
      <c r="L10546" s="22" t="s">
        <v>10</v>
      </c>
      <c r="M10546" s="25">
        <v>915692.93</v>
      </c>
      <c r="N10546" s="27">
        <v>4.9999978267823864E-3</v>
      </c>
    </row>
    <row r="10547" spans="1:14" x14ac:dyDescent="0.15">
      <c r="A10547" s="23" t="str">
        <f>HYPERLINK("https://www.spark-marketing.ru/Card/Person/20231", "ПРЕДСТАВИТЕЛЬСТВО МИД РОССИИ В Г. СОЧИ")</f>
        <v>ПРЕДСТАВИТЕЛЬСТВО МИД РОССИИ В Г. СОЧИ</v>
      </c>
      <c r="B10547" s="24" t="s">
        <v>12882</v>
      </c>
      <c r="C10547" s="25">
        <v>39600</v>
      </c>
      <c r="D10547" s="22" t="s">
        <v>12883</v>
      </c>
      <c r="E10547" s="22" t="s">
        <v>53</v>
      </c>
      <c r="F10547" s="23" t="str">
        <f>HYPERLINK("https://www.spark-marketing.ru/Card/Lot/70784126", "Техническое обслуживание комплекса связи, системы видеонаблюдения")</f>
        <v>Техническое обслуживание комплекса связи, системы видеонаблюдения</v>
      </c>
      <c r="G10547" s="22" t="s">
        <v>132</v>
      </c>
      <c r="H10547" s="22" t="s">
        <v>1126</v>
      </c>
      <c r="I10547" s="26">
        <v>43558.658159722203</v>
      </c>
      <c r="J10547" s="28" t="s">
        <v>52</v>
      </c>
      <c r="K10547" s="28" t="s">
        <v>52</v>
      </c>
      <c r="L10547" s="28" t="s">
        <v>52</v>
      </c>
      <c r="M10547" s="28" t="s">
        <v>52</v>
      </c>
      <c r="N10547" s="28" t="s">
        <v>52</v>
      </c>
    </row>
    <row r="10548" spans="1:14" x14ac:dyDescent="0.15">
      <c r="A10548" s="23" t="str">
        <f>HYPERLINK("https://www.spark-marketing.ru/Card/Person/1060740", "МБУ СШ ""СПАРТАК""")</f>
        <v>МБУ СШ "СПАРТАК"</v>
      </c>
      <c r="B10548" s="24" t="s">
        <v>12884</v>
      </c>
      <c r="C10548" s="25">
        <v>10000</v>
      </c>
      <c r="D10548" s="22" t="s">
        <v>12885</v>
      </c>
      <c r="E10548" s="22" t="s">
        <v>194</v>
      </c>
      <c r="F10548" s="23" t="str">
        <f>HYPERLINK("https://www.spark-marketing.ru/Card/Lot/69259446", "Поставка видеооборудования")</f>
        <v>Поставка видеооборудования</v>
      </c>
      <c r="G10548" s="22" t="s">
        <v>176</v>
      </c>
      <c r="H10548" s="22" t="s">
        <v>5140</v>
      </c>
      <c r="I10548" s="26">
        <v>43558.627083333296</v>
      </c>
      <c r="J10548" s="28" t="s">
        <v>52</v>
      </c>
      <c r="K10548" s="28" t="s">
        <v>52</v>
      </c>
      <c r="L10548" s="28" t="s">
        <v>52</v>
      </c>
      <c r="M10548" s="28" t="s">
        <v>52</v>
      </c>
      <c r="N10548" s="28" t="s">
        <v>52</v>
      </c>
    </row>
    <row r="10549" spans="1:14" x14ac:dyDescent="0.15">
      <c r="A10549" s="23" t="str">
        <f>HYPERLINK("https://www.spark-marketing.ru/Card/Person/4997", "ФГУП ""ВНИИА""")</f>
        <v>ФГУП "ВНИИА"</v>
      </c>
      <c r="B10549" s="24" t="s">
        <v>794</v>
      </c>
      <c r="C10549" s="28" t="s">
        <v>52</v>
      </c>
      <c r="D10549" s="22" t="s">
        <v>12886</v>
      </c>
      <c r="E10549" s="22" t="s">
        <v>508</v>
      </c>
      <c r="F10549" s="23" t="str">
        <f>HYPERLINK("https://www.spark-marketing.ru/Card/Lot/69254785", "Поставка комплектующих частей для интегральной оптической системы")</f>
        <v>Поставка комплектующих частей для интегральной оптической системы</v>
      </c>
      <c r="G10549" s="22" t="s">
        <v>55</v>
      </c>
      <c r="H10549" s="22" t="s">
        <v>55</v>
      </c>
      <c r="I10549" s="26">
        <v>43558.609201388899</v>
      </c>
      <c r="J10549" s="28" t="s">
        <v>52</v>
      </c>
      <c r="K10549" s="28" t="s">
        <v>52</v>
      </c>
      <c r="L10549" s="28" t="s">
        <v>52</v>
      </c>
      <c r="M10549" s="28" t="s">
        <v>52</v>
      </c>
      <c r="N10549" s="28" t="s">
        <v>52</v>
      </c>
    </row>
    <row r="10550" spans="1:14" x14ac:dyDescent="0.15">
      <c r="A10550" s="23" t="str">
        <f>HYPERLINK("https://www.spark-marketing.ru/Card/Person/2296343", "ДЕТСКИЙ САД № 2 ""КОЛОКОЛЬЧИК""")</f>
        <v>ДЕТСКИЙ САД № 2 "КОЛОКОЛЬЧИК"</v>
      </c>
      <c r="B10550" s="24" t="s">
        <v>12887</v>
      </c>
      <c r="C10550" s="25">
        <v>75000</v>
      </c>
      <c r="D10550" s="22" t="s">
        <v>12888</v>
      </c>
      <c r="E10550" s="22" t="s">
        <v>49</v>
      </c>
      <c r="F10550" s="23" t="str">
        <f>HYPERLINK("https://www.spark-marketing.ru/Card/Lot/69249057", "Установка домофонов и видеокамер Детский сад № 2 «Колокольчик»")</f>
        <v>Установка домофонов и видеокамер Детский сад № 2 «Колокольчик»</v>
      </c>
      <c r="G10550" s="22" t="s">
        <v>72</v>
      </c>
      <c r="H10550" s="22" t="s">
        <v>72</v>
      </c>
      <c r="I10550" s="26">
        <v>43558.596064814803</v>
      </c>
      <c r="J10550" s="28" t="s">
        <v>52</v>
      </c>
      <c r="K10550" s="28" t="s">
        <v>52</v>
      </c>
      <c r="L10550" s="28" t="s">
        <v>52</v>
      </c>
      <c r="M10550" s="28" t="s">
        <v>52</v>
      </c>
      <c r="N10550" s="28" t="s">
        <v>52</v>
      </c>
    </row>
    <row r="10551" spans="1:14" x14ac:dyDescent="0.15">
      <c r="A10551" s="23" t="str">
        <f>HYPERLINK("https://www.spark-marketing.ru/Card/Person/4390145", "ГАПОУ РК ""КМК""")</f>
        <v>ГАПОУ РК "КМК"</v>
      </c>
      <c r="B10551" s="24" t="s">
        <v>12889</v>
      </c>
      <c r="C10551" s="25">
        <v>255988</v>
      </c>
      <c r="D10551" s="22" t="s">
        <v>12890</v>
      </c>
      <c r="E10551" s="22" t="s">
        <v>49</v>
      </c>
      <c r="F10551" s="23" t="str">
        <f>HYPERLINK("https://www.spark-marketing.ru/Card/Lot/69249654", "Услуги по установке и наладке системы видеонаблюдения")</f>
        <v>Услуги по установке и наладке системы видеонаблюдения</v>
      </c>
      <c r="G10551" s="22" t="s">
        <v>1053</v>
      </c>
      <c r="H10551" s="22" t="s">
        <v>1053</v>
      </c>
      <c r="I10551" s="26">
        <v>43558.5695949074</v>
      </c>
      <c r="J10551" s="28" t="s">
        <v>52</v>
      </c>
      <c r="K10551" s="28" t="s">
        <v>52</v>
      </c>
      <c r="L10551" s="28" t="s">
        <v>52</v>
      </c>
      <c r="M10551" s="28" t="s">
        <v>52</v>
      </c>
      <c r="N10551" s="28" t="s">
        <v>52</v>
      </c>
    </row>
    <row r="10552" spans="1:14" x14ac:dyDescent="0.15">
      <c r="A10552" s="23" t="str">
        <f>HYPERLINK("https://www.spark-marketing.ru/Card/Person/21761", "Северо-Западный филиал ПАО ""Мегафон""")</f>
        <v>Северо-Западный филиал ПАО "Мегафон"</v>
      </c>
      <c r="B10552" s="24" t="s">
        <v>2783</v>
      </c>
      <c r="C10552" s="25">
        <v>0</v>
      </c>
      <c r="D10552" s="22" t="s">
        <v>12891</v>
      </c>
      <c r="E10552" s="22" t="s">
        <v>208</v>
      </c>
      <c r="F10552" s="23" t="str">
        <f>HYPERLINK("https://www.spark-marketing.ru/Card/Lot/69252190", "Услуги модернизации систем технических средств охраны объектов Новгородского и Псковского Региональных отделений, а также подготовка проекта и строительство систем безопасности (СОТ, СКУД, ОС) на объекте Пензенского Регионального отделения ПАО «МегаФ...")</f>
        <v>Услуги модернизации систем технических средств охраны объектов Новгородского и Псковского Региональных отделений, а также подготовка проекта и строительство систем безопасности (СОТ, СКУД, ОС) на объекте Пензенского Регионального отделения ПАО «МегаФ...</v>
      </c>
      <c r="G10552" s="22" t="s">
        <v>89</v>
      </c>
      <c r="H10552" s="22" t="s">
        <v>89</v>
      </c>
      <c r="I10552" s="26">
        <v>43558.5382060185</v>
      </c>
      <c r="J10552" s="28" t="s">
        <v>52</v>
      </c>
      <c r="K10552" s="28" t="s">
        <v>52</v>
      </c>
      <c r="L10552" s="28" t="s">
        <v>52</v>
      </c>
      <c r="M10552" s="28" t="s">
        <v>52</v>
      </c>
      <c r="N10552" s="28" t="s">
        <v>52</v>
      </c>
    </row>
    <row r="10553" spans="1:14" x14ac:dyDescent="0.15">
      <c r="A10553" s="23" t="str">
        <f>HYPERLINK("https://www.spark-marketing.ru/Card/Person/18861", "ФГКУ КОМБИНАТ ""НОВЫЙ ПУТЬ"" РОСРЕЗЕРВА")</f>
        <v>ФГКУ КОМБИНАТ "НОВЫЙ ПУТЬ" РОСРЕЗЕРВА</v>
      </c>
      <c r="B10553" s="24" t="s">
        <v>12892</v>
      </c>
      <c r="C10553" s="25">
        <v>216630.03</v>
      </c>
      <c r="D10553" s="22" t="s">
        <v>12893</v>
      </c>
      <c r="E10553" s="22" t="s">
        <v>107</v>
      </c>
      <c r="F10553" s="23" t="str">
        <f>HYPERLINK("https://www.spark-marketing.ru/Card/Lot/69249298", "Техническое обслуживание  системы видеонаблюдения")</f>
        <v>Техническое обслуживание  системы видеонаблюдения</v>
      </c>
      <c r="G10553" s="22" t="s">
        <v>176</v>
      </c>
      <c r="H10553" s="22" t="s">
        <v>5140</v>
      </c>
      <c r="I10553" s="26">
        <v>43558.512499999997</v>
      </c>
      <c r="J10553" s="28" t="s">
        <v>52</v>
      </c>
      <c r="K10553" s="28" t="s">
        <v>52</v>
      </c>
      <c r="L10553" s="28" t="s">
        <v>52</v>
      </c>
      <c r="M10553" s="28" t="s">
        <v>52</v>
      </c>
      <c r="N10553" s="28" t="s">
        <v>52</v>
      </c>
    </row>
    <row r="10554" spans="1:14" ht="12.75" hidden="1" outlineLevel="1" x14ac:dyDescent="0.2">
      <c r="A10554" s="23" t="str">
        <f>HYPERLINK("https://www.spark-marketing.ru/Card/Person/18861", "ФГКУ КОМБИНАТ ""НОВЫЙ ПУТЬ"" РОСРЕЗЕРВА")</f>
        <v>ФГКУ КОМБИНАТ "НОВЫЙ ПУТЬ" РОСРЕЗЕРВА</v>
      </c>
      <c r="B10554" s="24" t="s">
        <v>12892</v>
      </c>
      <c r="C10554" s="25">
        <v>216630.03</v>
      </c>
      <c r="D10554" s="22" t="s">
        <v>12893</v>
      </c>
      <c r="E10554" s="22" t="s">
        <v>107</v>
      </c>
      <c r="F10554" s="23" t="str">
        <f>HYPERLINK("https://www.spark-marketing.ru/Card/Lot/69249298", "Техническое обслуживание  системы видеонаблюдения")</f>
        <v>Техническое обслуживание  системы видеонаблюдения</v>
      </c>
      <c r="G10554" s="22" t="s">
        <v>176</v>
      </c>
      <c r="H10554" s="22" t="s">
        <v>5140</v>
      </c>
      <c r="I10554" s="26">
        <v>43558.512499999997</v>
      </c>
      <c r="J10554" s="23" t="str">
        <f>HYPERLINK("https://www.spark-marketing.ru/Card/Person/67829", "ООО ""МНОГОЦЕЛЕВАЯ ПОДВИЖНАЯ СВЯЗЬ""")</f>
        <v>ООО "МНОГОЦЕЛЕВАЯ ПОДВИЖНАЯ СВЯЗЬ"</v>
      </c>
      <c r="K10554" s="24" t="s">
        <v>12894</v>
      </c>
      <c r="L10554" s="22" t="s">
        <v>10</v>
      </c>
      <c r="M10554" s="25">
        <v>213380.58</v>
      </c>
      <c r="N10554" s="27">
        <v>1.4999997922725671E-2</v>
      </c>
    </row>
    <row r="10555" spans="1:14" hidden="1" outlineLevel="1" x14ac:dyDescent="0.2">
      <c r="A10555" s="23" t="str">
        <f>HYPERLINK("https://www.spark-marketing.ru/Card/Person/18861", "ФГКУ КОМБИНАТ ""НОВЫЙ ПУТЬ"" РОСРЕЗЕРВА")</f>
        <v>ФГКУ КОМБИНАТ "НОВЫЙ ПУТЬ" РОСРЕЗЕРВА</v>
      </c>
      <c r="B10555" s="24" t="s">
        <v>12892</v>
      </c>
      <c r="C10555" s="25">
        <v>216630.03</v>
      </c>
      <c r="D10555" s="22" t="s">
        <v>12893</v>
      </c>
      <c r="E10555" s="22" t="s">
        <v>107</v>
      </c>
      <c r="F10555" s="23" t="str">
        <f>HYPERLINK("https://www.spark-marketing.ru/Card/Lot/69249298", "Техническое обслуживание  системы видеонаблюдения")</f>
        <v>Техническое обслуживание  системы видеонаблюдения</v>
      </c>
      <c r="G10555" s="22" t="s">
        <v>176</v>
      </c>
      <c r="H10555" s="22" t="s">
        <v>5140</v>
      </c>
      <c r="I10555" s="26">
        <v>43558.512499999997</v>
      </c>
      <c r="J10555" s="23" t="str">
        <f>HYPERLINK("https://www.spark-marketing.ru/Card/Person/104253", "ООО ""АЛАН СЕКЬЮРИТИ""")</f>
        <v>ООО "АЛАН СЕКЬЮРИТИ"</v>
      </c>
      <c r="K10555" s="24" t="s">
        <v>12895</v>
      </c>
      <c r="L10555" s="28" t="s">
        <v>52</v>
      </c>
      <c r="M10555" s="25">
        <v>214463.73</v>
      </c>
      <c r="N10555" s="27">
        <v>9.9999986151504475E-3</v>
      </c>
    </row>
    <row r="10556" spans="1:14" x14ac:dyDescent="0.15">
      <c r="A10556" s="23" t="str">
        <f>HYPERLINK("https://www.spark-marketing.ru/Card/Person/121920", "МБОУДО ""ЦРТДИЮ ""РОСТОК"" Г. ЧЕБОКСАРЫ")</f>
        <v>МБОУДО "ЦРТДИЮ "РОСТОК" Г. ЧЕБОКСАРЫ</v>
      </c>
      <c r="B10556" s="24" t="s">
        <v>12896</v>
      </c>
      <c r="C10556" s="25">
        <v>5449.23</v>
      </c>
      <c r="D10556" s="22" t="s">
        <v>12897</v>
      </c>
      <c r="E10556" s="22" t="s">
        <v>294</v>
      </c>
      <c r="F10556" s="23" t="str">
        <f>HYPERLINK("https://www.spark-marketing.ru/Card/Lot/69257842", "Техническое обслуживание средств тревожной сигнализации")</f>
        <v>Техническое обслуживание средств тревожной сигнализации</v>
      </c>
      <c r="G10556" s="22" t="s">
        <v>1137</v>
      </c>
      <c r="H10556" s="22" t="s">
        <v>1138</v>
      </c>
      <c r="I10556" s="26">
        <v>43558.511111111096</v>
      </c>
      <c r="J10556" s="28" t="s">
        <v>52</v>
      </c>
      <c r="K10556" s="28" t="s">
        <v>52</v>
      </c>
      <c r="L10556" s="28" t="s">
        <v>52</v>
      </c>
      <c r="M10556" s="28" t="s">
        <v>52</v>
      </c>
      <c r="N10556" s="28" t="s">
        <v>52</v>
      </c>
    </row>
    <row r="10557" spans="1:14" x14ac:dyDescent="0.15">
      <c r="A10557" s="23" t="str">
        <f>HYPERLINK("https://www.spark-marketing.ru/Card/Person/1359589", "ОГАУЗ ""ТОКБ""")</f>
        <v>ОГАУЗ "ТОКБ"</v>
      </c>
      <c r="B10557" s="24" t="s">
        <v>1240</v>
      </c>
      <c r="C10557" s="25">
        <v>396500</v>
      </c>
      <c r="D10557" s="22" t="s">
        <v>12898</v>
      </c>
      <c r="E10557" s="22" t="s">
        <v>68</v>
      </c>
      <c r="F10557" s="23" t="str">
        <f>HYPERLINK("https://www.spark-marketing.ru/Card/Lot/69258693", "Оказание услуг по охране объектов ОГАУЗ «ТОКБ« и прилегающей к ним территории")</f>
        <v>Оказание услуг по охране объектов ОГАУЗ «ТОКБ« и прилегающей к ним территории</v>
      </c>
      <c r="G10557" s="22" t="s">
        <v>150</v>
      </c>
      <c r="H10557" s="22" t="s">
        <v>1656</v>
      </c>
      <c r="I10557" s="26">
        <v>43558.527083333298</v>
      </c>
      <c r="J10557" s="28" t="s">
        <v>52</v>
      </c>
      <c r="K10557" s="28" t="s">
        <v>52</v>
      </c>
      <c r="L10557" s="28" t="s">
        <v>52</v>
      </c>
      <c r="M10557" s="28" t="s">
        <v>52</v>
      </c>
      <c r="N10557" s="28" t="s">
        <v>52</v>
      </c>
    </row>
    <row r="10558" spans="1:14" x14ac:dyDescent="0.15">
      <c r="A10558" s="23" t="str">
        <f>HYPERLINK("https://www.spark-marketing.ru/Card/Person/4541319", "ФЛ НОЛИНСКОЕ МЕЖРАЙОННОЕ ОТДЕЛЕНИЕ ВНЕВЕДОМСТВЕННОЙ ОХРАНЫ ВОЙСК НАЦИОНАЛЬНОЙ ГВАРДИИ")</f>
        <v>ФЛ НОЛИНСКОЕ МЕЖРАЙОННОЕ ОТДЕЛЕНИЕ ВНЕВЕДОМСТВЕННОЙ ОХРАНЫ ВОЙСК НАЦИОНАЛЬНОЙ ГВАРДИИ</v>
      </c>
      <c r="B10558" s="24" t="s">
        <v>12833</v>
      </c>
      <c r="C10558" s="25">
        <v>4383.6000000000004</v>
      </c>
      <c r="D10558" s="22" t="s">
        <v>12899</v>
      </c>
      <c r="E10558" s="22" t="s">
        <v>107</v>
      </c>
      <c r="F10558" s="23" t="str">
        <f>HYPERLINK("https://www.spark-marketing.ru/Card/Lot/70169469", "Техническое обслуживание средств ОС, ОПС, ТС, видеонаблюдения и СКУД, 1 шт")</f>
        <v>Техническое обслуживание средств ОС, ОПС, ТС, видеонаблюдения и СКУД, 1 шт</v>
      </c>
      <c r="G10558" s="22" t="s">
        <v>556</v>
      </c>
      <c r="H10558" s="22" t="s">
        <v>557</v>
      </c>
      <c r="I10558" s="26">
        <v>43558.4770601852</v>
      </c>
      <c r="J10558" s="28" t="s">
        <v>52</v>
      </c>
      <c r="K10558" s="28" t="s">
        <v>52</v>
      </c>
      <c r="L10558" s="28" t="s">
        <v>52</v>
      </c>
      <c r="M10558" s="28" t="s">
        <v>52</v>
      </c>
      <c r="N10558" s="28" t="s">
        <v>52</v>
      </c>
    </row>
    <row r="10559" spans="1:14" x14ac:dyDescent="0.15">
      <c r="A10559" s="23" t="str">
        <f>HYPERLINK("https://www.spark-marketing.ru/Card/Person/129331", "МБУ ""АПК БЕЗОПАСНЫЙ ГОРОД-ЕДДС""")</f>
        <v>МБУ "АПК БЕЗОПАСНЫЙ ГОРОД-ЕДДС"</v>
      </c>
      <c r="B10559" s="24" t="s">
        <v>12900</v>
      </c>
      <c r="C10559" s="25">
        <v>213657.8</v>
      </c>
      <c r="D10559" s="22" t="s">
        <v>12901</v>
      </c>
      <c r="E10559" s="22" t="s">
        <v>2204</v>
      </c>
      <c r="F10559" s="23" t="str">
        <f>HYPERLINK("https://www.spark-marketing.ru/Card/Lot/69245572", "«приобретение оборудования видеонаблюдения для установки на спортивном комплексе «Победа»»")</f>
        <v>«приобретение оборудования видеонаблюдения для установки на спортивном комплексе «Победа»»</v>
      </c>
      <c r="G10559" s="22" t="s">
        <v>132</v>
      </c>
      <c r="H10559" s="22" t="s">
        <v>452</v>
      </c>
      <c r="I10559" s="26">
        <v>43558.465682870403</v>
      </c>
      <c r="J10559" s="28" t="s">
        <v>52</v>
      </c>
      <c r="K10559" s="28" t="s">
        <v>52</v>
      </c>
      <c r="L10559" s="28" t="s">
        <v>52</v>
      </c>
      <c r="M10559" s="28" t="s">
        <v>52</v>
      </c>
      <c r="N10559" s="28" t="s">
        <v>52</v>
      </c>
    </row>
    <row r="10560" spans="1:14" hidden="1" outlineLevel="1" x14ac:dyDescent="0.2">
      <c r="A10560" s="23" t="str">
        <f>HYPERLINK("https://www.spark-marketing.ru/Card/Person/129331", "МБУ ""АПК БЕЗОПАСНЫЙ ГОРОД-ЕДДС""")</f>
        <v>МБУ "АПК БЕЗОПАСНЫЙ ГОРОД-ЕДДС"</v>
      </c>
      <c r="B10560" s="24" t="s">
        <v>12900</v>
      </c>
      <c r="C10560" s="28" t="s">
        <v>52</v>
      </c>
      <c r="D10560" s="22" t="s">
        <v>12901</v>
      </c>
      <c r="E10560" s="22" t="s">
        <v>2204</v>
      </c>
      <c r="F10560" s="23" t="str">
        <f>HYPERLINK("https://www.spark-marketing.ru/Card/Lot/69245572", "«приобретение оборудования видеонаблюдения для установки на спортивном комплексе «Победа»»")</f>
        <v>«приобретение оборудования видеонаблюдения для установки на спортивном комплексе «Победа»»</v>
      </c>
      <c r="G10560" s="22" t="s">
        <v>132</v>
      </c>
      <c r="H10560" s="22" t="s">
        <v>452</v>
      </c>
      <c r="I10560" s="26">
        <v>43558.465682870403</v>
      </c>
      <c r="J10560" s="23" t="str">
        <f>HYPERLINK("https://www.spark-marketing.ru/Card/Person/1843128", "ООО ""ЮБС-М""")</f>
        <v>ООО "ЮБС-М"</v>
      </c>
      <c r="K10560" s="24" t="s">
        <v>12902</v>
      </c>
      <c r="L10560" s="22" t="s">
        <v>10</v>
      </c>
      <c r="M10560" s="25">
        <v>211128.61</v>
      </c>
      <c r="N10560" s="27">
        <v>1.1837573914923771E-2</v>
      </c>
    </row>
    <row r="10561" spans="1:14" hidden="1" outlineLevel="1" x14ac:dyDescent="0.2">
      <c r="A10561" s="23" t="str">
        <f>HYPERLINK("https://www.spark-marketing.ru/Card/Person/129331", "МБУ ""АПК БЕЗОПАСНЫЙ ГОРОД-ЕДДС""")</f>
        <v>МБУ "АПК БЕЗОПАСНЫЙ ГОРОД-ЕДДС"</v>
      </c>
      <c r="B10561" s="24" t="s">
        <v>12900</v>
      </c>
      <c r="C10561" s="28" t="s">
        <v>52</v>
      </c>
      <c r="D10561" s="22" t="s">
        <v>12901</v>
      </c>
      <c r="E10561" s="22" t="s">
        <v>2204</v>
      </c>
      <c r="F10561" s="23" t="str">
        <f>HYPERLINK("https://www.spark-marketing.ru/Card/Lot/69245572", "«приобретение оборудования видеонаблюдения для установки на спортивном комплексе «Победа»»")</f>
        <v>«приобретение оборудования видеонаблюдения для установки на спортивном комплексе «Победа»»</v>
      </c>
      <c r="G10561" s="22" t="s">
        <v>132</v>
      </c>
      <c r="H10561" s="22" t="s">
        <v>452</v>
      </c>
      <c r="I10561" s="26">
        <v>43558.465682870403</v>
      </c>
      <c r="J10561" s="23" t="str">
        <f>HYPERLINK("https://www.spark-marketing.ru/Card/Person/4622689", "ООО ""ДССЛ-ПЕРВЫЙ""")</f>
        <v>ООО "ДССЛ-ПЕРВЫЙ"</v>
      </c>
      <c r="K10561" s="24" t="s">
        <v>12903</v>
      </c>
      <c r="L10561" s="28" t="s">
        <v>52</v>
      </c>
      <c r="M10561" s="25">
        <v>161190</v>
      </c>
      <c r="N10561" s="27">
        <v>0.24556931691705147</v>
      </c>
    </row>
    <row r="10562" spans="1:14" x14ac:dyDescent="0.15">
      <c r="A10562" s="23" t="str">
        <f>HYPERLINK("https://www.spark-marketing.ru/Card/Person/4541319", "ФЛ НОЛИНСКОЕ МЕЖРАЙОННОЕ ОТДЕЛЕНИЕ ВНЕВЕДОМСТВЕННОЙ ОХРАНЫ ВОЙСК НАЦИОНАЛЬНОЙ ГВАРДИИ")</f>
        <v>ФЛ НОЛИНСКОЕ МЕЖРАЙОННОЕ ОТДЕЛЕНИЕ ВНЕВЕДОМСТВЕННОЙ ОХРАНЫ ВОЙСК НАЦИОНАЛЬНОЙ ГВАРДИИ</v>
      </c>
      <c r="B10562" s="24" t="s">
        <v>12833</v>
      </c>
      <c r="C10562" s="25">
        <v>2459.2399999999998</v>
      </c>
      <c r="D10562" s="22" t="s">
        <v>12904</v>
      </c>
      <c r="E10562" s="22" t="s">
        <v>107</v>
      </c>
      <c r="F10562" s="23" t="str">
        <f>HYPERLINK("https://www.spark-marketing.ru/Card/Lot/70169460", "Техническое обслуживание средств ОС, ОПС, ТС, видеонаблюдения и СКУД, 1 шт")</f>
        <v>Техническое обслуживание средств ОС, ОПС, ТС, видеонаблюдения и СКУД, 1 шт</v>
      </c>
      <c r="G10562" s="22" t="s">
        <v>556</v>
      </c>
      <c r="H10562" s="22" t="s">
        <v>557</v>
      </c>
      <c r="I10562" s="26">
        <v>43558.474016203698</v>
      </c>
      <c r="J10562" s="28" t="s">
        <v>52</v>
      </c>
      <c r="K10562" s="28" t="s">
        <v>52</v>
      </c>
      <c r="L10562" s="28" t="s">
        <v>52</v>
      </c>
      <c r="M10562" s="28" t="s">
        <v>52</v>
      </c>
      <c r="N10562" s="28" t="s">
        <v>52</v>
      </c>
    </row>
    <row r="10563" spans="1:14" x14ac:dyDescent="0.15">
      <c r="A10563" s="23" t="str">
        <f>HYPERLINK("https://www.spark-marketing.ru/Card/Person/4541319", "ФЛ НОЛИНСКОЕ МЕЖРАЙОННОЕ ОТДЕЛЕНИЕ ВНЕВЕДОМСТВЕННОЙ ОХРАНЫ ВОЙСК НАЦИОНАЛЬНОЙ ГВАРДИИ")</f>
        <v>ФЛ НОЛИНСКОЕ МЕЖРАЙОННОЕ ОТДЕЛЕНИЕ ВНЕВЕДОМСТВЕННОЙ ОХРАНЫ ВОЙСК НАЦИОНАЛЬНОЙ ГВАРДИИ</v>
      </c>
      <c r="B10563" s="24" t="s">
        <v>12833</v>
      </c>
      <c r="C10563" s="25">
        <v>5196.9399999999996</v>
      </c>
      <c r="D10563" s="22" t="s">
        <v>12905</v>
      </c>
      <c r="E10563" s="22" t="s">
        <v>107</v>
      </c>
      <c r="F10563" s="23" t="str">
        <f>HYPERLINK("https://www.spark-marketing.ru/Card/Lot/70169542", "Техническое обслуживание средств ОС, ОПС, ТС, видеонаблюдения и СКУД, 1 шт")</f>
        <v>Техническое обслуживание средств ОС, ОПС, ТС, видеонаблюдения и СКУД, 1 шт</v>
      </c>
      <c r="G10563" s="22" t="s">
        <v>556</v>
      </c>
      <c r="H10563" s="22" t="s">
        <v>557</v>
      </c>
      <c r="I10563" s="26">
        <v>43558.479178240697</v>
      </c>
      <c r="J10563" s="28" t="s">
        <v>52</v>
      </c>
      <c r="K10563" s="28" t="s">
        <v>52</v>
      </c>
      <c r="L10563" s="28" t="s">
        <v>52</v>
      </c>
      <c r="M10563" s="28" t="s">
        <v>52</v>
      </c>
      <c r="N10563" s="28" t="s">
        <v>52</v>
      </c>
    </row>
    <row r="10564" spans="1:14" x14ac:dyDescent="0.15">
      <c r="A10564" s="23" t="str">
        <f>HYPERLINK("https://www.spark-marketing.ru/Card/Person/69955", "МКУ ""КИО"" МО ""МИРНИНСКИЙ РАЙОН"" РС(Я)")</f>
        <v>МКУ "КИО" МО "МИРНИНСКИЙ РАЙОН" РС(Я)</v>
      </c>
      <c r="B10564" s="24" t="s">
        <v>9315</v>
      </c>
      <c r="C10564" s="25">
        <v>475394.9</v>
      </c>
      <c r="D10564" s="22" t="s">
        <v>12906</v>
      </c>
      <c r="E10564" s="22" t="s">
        <v>183</v>
      </c>
      <c r="F10564" s="23" t="str">
        <f>HYPERLINK("https://www.spark-marketing.ru/Card/Lot/69237958", "оказание услуг по организации сторожевой охраны объекта, расположенного по адресу: Республика Саха (Якутия) г. Мирный ул. Кирова д.1")</f>
        <v>оказание услуг по организации сторожевой охраны объекта, расположенного по адресу: Республика Саха (Якутия) г. Мирный ул. Кирова д.1</v>
      </c>
      <c r="G10564" s="22" t="s">
        <v>424</v>
      </c>
      <c r="H10564" s="22" t="s">
        <v>425</v>
      </c>
      <c r="I10564" s="26">
        <v>43558.475694444402</v>
      </c>
      <c r="J10564" s="23" t="str">
        <f>HYPERLINK("https://www.spark-marketing.ru/Card/Person/6180944", "МООСП ""СОДЕЙСТВИЕ"" РС (Я)")</f>
        <v>МООСП "СОДЕЙСТВИЕ" РС (Я)</v>
      </c>
      <c r="K10564" s="24" t="s">
        <v>12907</v>
      </c>
      <c r="L10564" s="28" t="s">
        <v>52</v>
      </c>
      <c r="M10564" s="28" t="s">
        <v>52</v>
      </c>
      <c r="N10564" s="28" t="s">
        <v>52</v>
      </c>
    </row>
    <row r="10565" spans="1:14" ht="12.75" hidden="1" outlineLevel="1" x14ac:dyDescent="0.2">
      <c r="A10565" s="23" t="str">
        <f>HYPERLINK("https://www.spark-marketing.ru/Card/Person/69955", "МКУ ""КИО"" МО ""МИРНИНСКИЙ РАЙОН"" РС(Я)")</f>
        <v>МКУ "КИО" МО "МИРНИНСКИЙ РАЙОН" РС(Я)</v>
      </c>
      <c r="B10565" s="24" t="s">
        <v>9315</v>
      </c>
      <c r="C10565" s="25">
        <v>475394.9</v>
      </c>
      <c r="D10565" s="22" t="s">
        <v>12906</v>
      </c>
      <c r="E10565" s="22" t="s">
        <v>183</v>
      </c>
      <c r="F10565" s="23" t="str">
        <f>HYPERLINK("https://www.spark-marketing.ru/Card/Lot/69237958", "оказание услуг по организации сторожевой охраны объекта, расположенного по адресу: Республика Саха (Якутия) г. Мирный ул. Кирова д.1")</f>
        <v>оказание услуг по организации сторожевой охраны объекта, расположенного по адресу: Республика Саха (Якутия) г. Мирный ул. Кирова д.1</v>
      </c>
      <c r="G10565" s="22" t="s">
        <v>424</v>
      </c>
      <c r="H10565" s="22" t="s">
        <v>425</v>
      </c>
      <c r="I10565" s="26">
        <v>43558.475694444402</v>
      </c>
      <c r="J10565" s="23" t="str">
        <f>HYPERLINK("https://www.spark-marketing.ru/Card/Person/6180944", "МООСП ""СОДЕЙСТВИЕ"" РС (Я)")</f>
        <v>МООСП "СОДЕЙСТВИЕ" РС (Я)</v>
      </c>
      <c r="K10565" s="24" t="s">
        <v>12907</v>
      </c>
      <c r="L10565" s="22" t="s">
        <v>10</v>
      </c>
      <c r="M10565" s="25">
        <v>473017.92</v>
      </c>
      <c r="N10565" s="27">
        <v>5.0000115693289941E-3</v>
      </c>
    </row>
    <row r="10566" spans="1:14" x14ac:dyDescent="0.15">
      <c r="A10566" s="23" t="str">
        <f>HYPERLINK("https://www.spark-marketing.ru/Card/Person/361177", "АО ""КРАСНОГОРСКАЯ ТЕПЛОСЕТЬ""")</f>
        <v>АО "КРАСНОГОРСКАЯ ТЕПЛОСЕТЬ"</v>
      </c>
      <c r="B10566" s="24" t="s">
        <v>9553</v>
      </c>
      <c r="C10566" s="25">
        <v>1458360</v>
      </c>
      <c r="D10566" s="22" t="s">
        <v>12908</v>
      </c>
      <c r="E10566" s="22" t="s">
        <v>533</v>
      </c>
      <c r="F10566" s="23" t="str">
        <f>HYPERLINK("https://www.spark-marketing.ru/Card/Lot/69246901", "Оказание охранных услуг и услуг комплексного обслуживания с использованием кнопок тревожной сигнализации на объектах ПАО ""Красногорская теплосеть""")</f>
        <v>Оказание охранных услуг и услуг комплексного обслуживания с использованием кнопок тревожной сигнализации на объектах ПАО "Красногорская теплосеть"</v>
      </c>
      <c r="G10566" s="22" t="s">
        <v>50</v>
      </c>
      <c r="H10566" s="22" t="s">
        <v>50</v>
      </c>
      <c r="I10566" s="26">
        <v>43558.496666666702</v>
      </c>
      <c r="J10566" s="28" t="s">
        <v>52</v>
      </c>
      <c r="K10566" s="28" t="s">
        <v>52</v>
      </c>
      <c r="L10566" s="28" t="s">
        <v>52</v>
      </c>
      <c r="M10566" s="28" t="s">
        <v>52</v>
      </c>
      <c r="N10566" s="28" t="s">
        <v>52</v>
      </c>
    </row>
    <row r="10567" spans="1:14" hidden="1" outlineLevel="1" x14ac:dyDescent="0.2">
      <c r="A10567" s="23" t="str">
        <f>HYPERLINK("https://www.spark-marketing.ru/Card/Person/361177", "АО ""КРАСНОГОРСКАЯ ТЕПЛОСЕТЬ""")</f>
        <v>АО "КРАСНОГОРСКАЯ ТЕПЛОСЕТЬ"</v>
      </c>
      <c r="B10567" s="24" t="s">
        <v>9553</v>
      </c>
      <c r="C10567" s="28" t="s">
        <v>52</v>
      </c>
      <c r="D10567" s="22" t="s">
        <v>12908</v>
      </c>
      <c r="E10567" s="22" t="s">
        <v>533</v>
      </c>
      <c r="F10567" s="23" t="str">
        <f>HYPERLINK("https://www.spark-marketing.ru/Card/Lot/69246901", "Оказание охранных услуг и услуг комплексного обслуживания с использованием кнопок тревожной сигнализации на объектах ПАО ""Красногорская теплосеть""")</f>
        <v>Оказание охранных услуг и услуг комплексного обслуживания с использованием кнопок тревожной сигнализации на объектах ПАО "Красногорская теплосеть"</v>
      </c>
      <c r="G10567" s="22" t="s">
        <v>50</v>
      </c>
      <c r="H10567" s="22" t="s">
        <v>50</v>
      </c>
      <c r="I10567" s="26">
        <v>43558.496666666702</v>
      </c>
      <c r="J10567" s="23" t="str">
        <f>HYPERLINK("https://www.spark-marketing.ru/Card/Person/10487", "ФГУП ""ОХРАНА"" РОСГВАРДИИ")</f>
        <v>ФГУП "ОХРАНА" РОСГВАРДИИ</v>
      </c>
      <c r="K10567" s="24" t="s">
        <v>779</v>
      </c>
      <c r="L10567" s="28" t="s">
        <v>52</v>
      </c>
      <c r="M10567" s="25">
        <v>1260000</v>
      </c>
      <c r="N10567" s="27">
        <v>0.13601579856825474</v>
      </c>
    </row>
    <row r="10568" spans="1:14" hidden="1" outlineLevel="1" x14ac:dyDescent="0.2">
      <c r="A10568" s="23" t="str">
        <f>HYPERLINK("https://www.spark-marketing.ru/Card/Person/361177", "АО ""КРАСНОГОРСКАЯ ТЕПЛОСЕТЬ""")</f>
        <v>АО "КРАСНОГОРСКАЯ ТЕПЛОСЕТЬ"</v>
      </c>
      <c r="B10568" s="24" t="s">
        <v>9553</v>
      </c>
      <c r="C10568" s="28" t="s">
        <v>52</v>
      </c>
      <c r="D10568" s="22" t="s">
        <v>12908</v>
      </c>
      <c r="E10568" s="22" t="s">
        <v>533</v>
      </c>
      <c r="F10568" s="23" t="str">
        <f>HYPERLINK("https://www.spark-marketing.ru/Card/Lot/69246901", "Оказание охранных услуг и услуг комплексного обслуживания с использованием кнопок тревожной сигнализации на объектах ПАО ""Красногорская теплосеть""")</f>
        <v>Оказание охранных услуг и услуг комплексного обслуживания с использованием кнопок тревожной сигнализации на объектах ПАО "Красногорская теплосеть"</v>
      </c>
      <c r="G10568" s="22" t="s">
        <v>50</v>
      </c>
      <c r="H10568" s="22" t="s">
        <v>50</v>
      </c>
      <c r="I10568" s="26">
        <v>43558.496666666702</v>
      </c>
      <c r="J10568" s="23" t="str">
        <f>HYPERLINK("https://www.spark-marketing.ru/Card/Person/612235", "ООО ЧОО ""АКБ""")</f>
        <v>ООО ЧОО "АКБ"</v>
      </c>
      <c r="K10568" s="24" t="s">
        <v>10867</v>
      </c>
      <c r="L10568" s="28" t="s">
        <v>52</v>
      </c>
      <c r="M10568" s="25">
        <v>1260000</v>
      </c>
      <c r="N10568" s="27">
        <v>0.13601579856825474</v>
      </c>
    </row>
    <row r="10569" spans="1:14" hidden="1" outlineLevel="1" x14ac:dyDescent="0.2">
      <c r="A10569" s="23" t="str">
        <f>HYPERLINK("https://www.spark-marketing.ru/Card/Person/361177", "АО ""КРАСНОГОРСКАЯ ТЕПЛОСЕТЬ""")</f>
        <v>АО "КРАСНОГОРСКАЯ ТЕПЛОСЕТЬ"</v>
      </c>
      <c r="B10569" s="24" t="s">
        <v>9553</v>
      </c>
      <c r="C10569" s="28" t="s">
        <v>52</v>
      </c>
      <c r="D10569" s="22" t="s">
        <v>12908</v>
      </c>
      <c r="E10569" s="22" t="s">
        <v>533</v>
      </c>
      <c r="F10569" s="23" t="str">
        <f>HYPERLINK("https://www.spark-marketing.ru/Card/Lot/69246901", "Оказание охранных услуг и услуг комплексного обслуживания с использованием кнопок тревожной сигнализации на объектах ПАО ""Красногорская теплосеть""")</f>
        <v>Оказание охранных услуг и услуг комплексного обслуживания с использованием кнопок тревожной сигнализации на объектах ПАО "Красногорская теплосеть"</v>
      </c>
      <c r="G10569" s="22" t="s">
        <v>50</v>
      </c>
      <c r="H10569" s="22" t="s">
        <v>50</v>
      </c>
      <c r="I10569" s="26">
        <v>43558.496666666702</v>
      </c>
      <c r="J10569" s="23" t="str">
        <f>HYPERLINK("https://www.spark-marketing.ru/Card/Person/148687", "ООО ЧОП ""УЛАН""")</f>
        <v>ООО ЧОП "УЛАН"</v>
      </c>
      <c r="K10569" s="24" t="s">
        <v>12909</v>
      </c>
      <c r="L10569" s="22" t="s">
        <v>10</v>
      </c>
      <c r="M10569" s="25">
        <v>960000</v>
      </c>
      <c r="N10569" s="27">
        <v>0.34172632271867026</v>
      </c>
    </row>
    <row r="10570" spans="1:14" x14ac:dyDescent="0.15">
      <c r="A10570" s="23" t="str">
        <f>HYPERLINK("https://www.spark-marketing.ru/Card/Person/90867", "МЕЖРАЙОННАЯ ИФНС РОССИИ № 12 ПО ПРИМОРСКОМУ КРАЮ")</f>
        <v>МЕЖРАЙОННАЯ ИФНС РОССИИ № 12 ПО ПРИМОРСКОМУ КРАЮ</v>
      </c>
      <c r="B10570" s="24" t="s">
        <v>12910</v>
      </c>
      <c r="C10570" s="25">
        <v>55729.17</v>
      </c>
      <c r="D10570" s="22" t="s">
        <v>12911</v>
      </c>
      <c r="E10570" s="22" t="s">
        <v>68</v>
      </c>
      <c r="F10570" s="23" t="str">
        <f>HYPERLINK("https://www.spark-marketing.ru/Card/Lot/69237627", "Оказании услуг по централизованной охране объектов")</f>
        <v>Оказании услуг по централизованной охране объектов</v>
      </c>
      <c r="G10570" s="22" t="s">
        <v>409</v>
      </c>
      <c r="H10570" s="22" t="s">
        <v>878</v>
      </c>
      <c r="I10570" s="26">
        <v>43558.486111111102</v>
      </c>
      <c r="J10570" s="28" t="s">
        <v>52</v>
      </c>
      <c r="K10570" s="28" t="s">
        <v>52</v>
      </c>
      <c r="L10570" s="28" t="s">
        <v>52</v>
      </c>
      <c r="M10570" s="28" t="s">
        <v>52</v>
      </c>
      <c r="N10570" s="28" t="s">
        <v>52</v>
      </c>
    </row>
    <row r="10571" spans="1:14" x14ac:dyDescent="0.15">
      <c r="A10571" s="23" t="str">
        <f>HYPERLINK("https://www.spark-marketing.ru/Card/Person/735601", "ФКУ КП-38 ОУХД УФСИН РОССИИ ПО РЕСПУБЛИКЕ КОМИ")</f>
        <v>ФКУ КП-38 ОУХД УФСИН РОССИИ ПО РЕСПУБЛИКЕ КОМИ</v>
      </c>
      <c r="B10571" s="24" t="s">
        <v>12912</v>
      </c>
      <c r="C10571" s="25">
        <v>49180.800000000003</v>
      </c>
      <c r="D10571" s="22" t="s">
        <v>12913</v>
      </c>
      <c r="E10571" s="22" t="s">
        <v>53</v>
      </c>
      <c r="F10571" s="23" t="str">
        <f>HYPERLINK("https://www.spark-marketing.ru/Card/Lot/70783339", "Оказание услуг по предупреждению и пресечению правонарушений и преступлений с помощью кнопок тревожной сигнализации")</f>
        <v>Оказание услуг по предупреждению и пресечению правонарушений и преступлений с помощью кнопок тревожной сигнализации</v>
      </c>
      <c r="G10571" s="22" t="s">
        <v>538</v>
      </c>
      <c r="H10571" s="22" t="s">
        <v>6811</v>
      </c>
      <c r="I10571" s="26">
        <v>43558.477673611102</v>
      </c>
      <c r="J10571" s="28" t="s">
        <v>52</v>
      </c>
      <c r="K10571" s="28" t="s">
        <v>52</v>
      </c>
      <c r="L10571" s="28" t="s">
        <v>52</v>
      </c>
      <c r="M10571" s="28" t="s">
        <v>52</v>
      </c>
      <c r="N10571" s="28" t="s">
        <v>52</v>
      </c>
    </row>
    <row r="10572" spans="1:14" x14ac:dyDescent="0.15">
      <c r="A10572" s="23" t="str">
        <f>HYPERLINK("https://www.spark-marketing.ru/Card/Person/17655", "ФКУ УПРДОР ""ПРИБАЙКАЛЬЕ""")</f>
        <v>ФКУ УПРДОР "ПРИБАЙКАЛЬЕ"</v>
      </c>
      <c r="B10572" s="24" t="s">
        <v>4586</v>
      </c>
      <c r="C10572" s="25">
        <v>47520</v>
      </c>
      <c r="D10572" s="22" t="s">
        <v>12914</v>
      </c>
      <c r="E10572" s="22" t="s">
        <v>107</v>
      </c>
      <c r="F10572" s="23" t="str">
        <f>HYPERLINK("https://www.spark-marketing.ru/Card/Lot/70783437", "Техническое обслуживание средств ОС, ОПС, ТС, видеонаблюдения и СКУД, 3 шт")</f>
        <v>Техническое обслуживание средств ОС, ОПС, ТС, видеонаблюдения и СКУД, 3 шт</v>
      </c>
      <c r="G10572" s="22" t="s">
        <v>281</v>
      </c>
      <c r="H10572" s="22" t="s">
        <v>2008</v>
      </c>
      <c r="I10572" s="26">
        <v>43558.486481481501</v>
      </c>
      <c r="J10572" s="28" t="s">
        <v>52</v>
      </c>
      <c r="K10572" s="28" t="s">
        <v>52</v>
      </c>
      <c r="L10572" s="28" t="s">
        <v>52</v>
      </c>
      <c r="M10572" s="28" t="s">
        <v>52</v>
      </c>
      <c r="N10572" s="28" t="s">
        <v>52</v>
      </c>
    </row>
    <row r="10573" spans="1:14" x14ac:dyDescent="0.15">
      <c r="A10573" s="23" t="str">
        <f>HYPERLINK("https://www.spark-marketing.ru/Card/Person/87177", "МЕЖРАЙОННАЯ ИФНС РОССИИ № 8 ПО КИРОВСКОЙ ОБЛАСТИ")</f>
        <v>МЕЖРАЙОННАЯ ИФНС РОССИИ № 8 ПО КИРОВСКОЙ ОБЛАСТИ</v>
      </c>
      <c r="B10573" s="24" t="s">
        <v>12915</v>
      </c>
      <c r="C10573" s="25">
        <v>129937.68</v>
      </c>
      <c r="D10573" s="22" t="s">
        <v>12916</v>
      </c>
      <c r="E10573" s="22" t="s">
        <v>68</v>
      </c>
      <c r="F10573" s="23" t="str">
        <f>HYPERLINK("https://www.spark-marketing.ru/Card/Lot/69244483", "Услуги по охране объектов Межрайонной инспекции Федеральной налоговой службы №8 по Кировской области, расположенных по адресу: Кировская обл., г. Котельнич, ул. Карла Маркса д.8, д.10 и Кировская область, пгт. Оричи, ул. Карла Маркса, д.12, каб. 124 ...")</f>
        <v>Услуги по охране объектов Межрайонной инспекции Федеральной налоговой службы №8 по Кировской области, расположенных по адресу: Кировская обл., г. Котельнич, ул. Карла Маркса д.8, д.10 и Кировская область, пгт. Оричи, ул. Карла Маркса, д.12, каб. 124 ...</v>
      </c>
      <c r="G10573" s="22" t="s">
        <v>556</v>
      </c>
      <c r="H10573" s="22" t="s">
        <v>12917</v>
      </c>
      <c r="I10573" s="26">
        <v>43558.427777777797</v>
      </c>
      <c r="J10573" s="28" t="s">
        <v>52</v>
      </c>
      <c r="K10573" s="28" t="s">
        <v>52</v>
      </c>
      <c r="L10573" s="28" t="s">
        <v>52</v>
      </c>
      <c r="M10573" s="28" t="s">
        <v>52</v>
      </c>
      <c r="N10573" s="28" t="s">
        <v>52</v>
      </c>
    </row>
    <row r="10574" spans="1:14" hidden="1" outlineLevel="1" x14ac:dyDescent="0.2">
      <c r="A10574" s="23" t="str">
        <f>HYPERLINK("https://www.spark-marketing.ru/Card/Person/87177", "МЕЖРАЙОННАЯ ИФНС РОССИИ № 8 ПО КИРОВСКОЙ ОБЛАСТИ")</f>
        <v>МЕЖРАЙОННАЯ ИФНС РОССИИ № 8 ПО КИРОВСКОЙ ОБЛАСТИ</v>
      </c>
      <c r="B10574" s="24" t="s">
        <v>12915</v>
      </c>
      <c r="C10574" s="25">
        <v>129937.68</v>
      </c>
      <c r="D10574" s="22" t="s">
        <v>12916</v>
      </c>
      <c r="E10574" s="22" t="s">
        <v>68</v>
      </c>
      <c r="F10574" s="23" t="str">
        <f>HYPERLINK("https://www.spark-marketing.ru/Card/Lot/69244483", "Услуги по охране объектов Межрайонной инспекции Федеральной налоговой службы №8 по Кировской области, расположенных по адресу: Кировская обл., г. Котельнич, ул. Карла Маркса д.8, д.10 и Кировская область, пгт. Оричи, ул. Карла Маркса, д.12, каб. 124 ...")</f>
        <v>Услуги по охране объектов Межрайонной инспекции Федеральной налоговой службы №8 по Кировской области, расположенных по адресу: Кировская обл., г. Котельнич, ул. Карла Маркса д.8, д.10 и Кировская область, пгт. Оричи, ул. Карла Маркса, д.12, каб. 124 ...</v>
      </c>
      <c r="G10574" s="22" t="s">
        <v>556</v>
      </c>
      <c r="H10574" s="22" t="s">
        <v>12917</v>
      </c>
      <c r="I10574" s="26">
        <v>43558.427777777797</v>
      </c>
      <c r="J10574" s="23" t="str">
        <f>HYPERLINK("https://www.spark-marketing.ru/Card/Person/4384568", "ФГКУ ""УВО ВНГ РОССИИ ПО КИРОВСКОЙ ОБЛАСТИ""")</f>
        <v>ФГКУ "УВО ВНГ РОССИИ ПО КИРОВСКОЙ ОБЛАСТИ"</v>
      </c>
      <c r="K10574" s="24" t="s">
        <v>12833</v>
      </c>
      <c r="L10574" s="28" t="s">
        <v>52</v>
      </c>
      <c r="M10574" s="25">
        <v>70700</v>
      </c>
      <c r="N10574" s="27">
        <v>0.45589300963354124</v>
      </c>
    </row>
    <row r="10575" spans="1:14" ht="12.75" hidden="1" outlineLevel="1" x14ac:dyDescent="0.2">
      <c r="A10575" s="23" t="str">
        <f>HYPERLINK("https://www.spark-marketing.ru/Card/Person/87177", "МЕЖРАЙОННАЯ ИФНС РОССИИ № 8 ПО КИРОВСКОЙ ОБЛАСТИ")</f>
        <v>МЕЖРАЙОННАЯ ИФНС РОССИИ № 8 ПО КИРОВСКОЙ ОБЛАСТИ</v>
      </c>
      <c r="B10575" s="24" t="s">
        <v>12915</v>
      </c>
      <c r="C10575" s="25">
        <v>129937.68</v>
      </c>
      <c r="D10575" s="22" t="s">
        <v>12916</v>
      </c>
      <c r="E10575" s="22" t="s">
        <v>68</v>
      </c>
      <c r="F10575" s="23" t="str">
        <f>HYPERLINK("https://www.spark-marketing.ru/Card/Lot/69244483", "Услуги по охране объектов Межрайонной инспекции Федеральной налоговой службы №8 по Кировской области, расположенных по адресу: Кировская обл., г. Котельнич, ул. Карла Маркса д.8, д.10 и Кировская область, пгт. Оричи, ул. Карла Маркса, д.12, каб. 124 ...")</f>
        <v>Услуги по охране объектов Межрайонной инспекции Федеральной налоговой службы №8 по Кировской области, расположенных по адресу: Кировская обл., г. Котельнич, ул. Карла Маркса д.8, д.10 и Кировская область, пгт. Оричи, ул. Карла Маркса, д.12, каб. 124 ...</v>
      </c>
      <c r="G10575" s="22" t="s">
        <v>556</v>
      </c>
      <c r="H10575" s="22" t="s">
        <v>12917</v>
      </c>
      <c r="I10575" s="26">
        <v>43558.427777777797</v>
      </c>
      <c r="J10575" s="23" t="str">
        <f>HYPERLINK("https://www.spark-marketing.ru/Card/Person/350375", "ООО ЧОО ""ВЯТКА-БЕЗОПАСНОСТЬ""")</f>
        <v>ООО ЧОО "ВЯТКА-БЕЗОПАСНОСТЬ"</v>
      </c>
      <c r="K10575" s="24" t="s">
        <v>8614</v>
      </c>
      <c r="L10575" s="22" t="s">
        <v>10</v>
      </c>
      <c r="M10575" s="25">
        <v>70000</v>
      </c>
      <c r="N10575" s="27">
        <v>0.46128020755796162</v>
      </c>
    </row>
    <row r="10576" spans="1:14" hidden="1" outlineLevel="1" x14ac:dyDescent="0.2">
      <c r="A10576" s="23" t="str">
        <f>HYPERLINK("https://www.spark-marketing.ru/Card/Person/87177", "МЕЖРАЙОННАЯ ИФНС РОССИИ № 8 ПО КИРОВСКОЙ ОБЛАСТИ")</f>
        <v>МЕЖРАЙОННАЯ ИФНС РОССИИ № 8 ПО КИРОВСКОЙ ОБЛАСТИ</v>
      </c>
      <c r="B10576" s="24" t="s">
        <v>12915</v>
      </c>
      <c r="C10576" s="25">
        <v>129937.68</v>
      </c>
      <c r="D10576" s="22" t="s">
        <v>12916</v>
      </c>
      <c r="E10576" s="22" t="s">
        <v>68</v>
      </c>
      <c r="F10576" s="23" t="str">
        <f>HYPERLINK("https://www.spark-marketing.ru/Card/Lot/69244483", "Услуги по охране объектов Межрайонной инспекции Федеральной налоговой службы №8 по Кировской области, расположенных по адресу: Кировская обл., г. Котельнич, ул. Карла Маркса д.8, д.10 и Кировская область, пгт. Оричи, ул. Карла Маркса, д.12, каб. 124 ...")</f>
        <v>Услуги по охране объектов Межрайонной инспекции Федеральной налоговой службы №8 по Кировской области, расположенных по адресу: Кировская обл., г. Котельнич, ул. Карла Маркса д.8, д.10 и Кировская область, пгт. Оричи, ул. Карла Маркса, д.12, каб. 124 ...</v>
      </c>
      <c r="G10576" s="22" t="s">
        <v>556</v>
      </c>
      <c r="H10576" s="22" t="s">
        <v>12917</v>
      </c>
      <c r="I10576" s="26">
        <v>43558.427777777797</v>
      </c>
      <c r="J10576" s="23" t="str">
        <f>HYPERLINK("https://www.spark-marketing.ru/Card/Person/103245", "ООО ""ОА АЯКС""")</f>
        <v>ООО "ОА АЯКС"</v>
      </c>
      <c r="K10576" s="24" t="s">
        <v>12918</v>
      </c>
      <c r="L10576" s="28" t="s">
        <v>52</v>
      </c>
      <c r="M10576" s="25">
        <v>72070.16</v>
      </c>
      <c r="N10576" s="27">
        <v>0.44534826233622149</v>
      </c>
    </row>
    <row r="10577" spans="1:14" x14ac:dyDescent="0.15">
      <c r="A10577" s="23" t="str">
        <f>HYPERLINK("https://www.spark-marketing.ru/Card/Person/6070267", "МБУ ""КРАСНОГОРСКОЕ ТЕЛЕВИДЕНИЕ""")</f>
        <v>МБУ "КРАСНОГОРСКОЕ ТЕЛЕВИДЕНИЕ"</v>
      </c>
      <c r="B10577" s="24" t="s">
        <v>12919</v>
      </c>
      <c r="C10577" s="25">
        <v>49500</v>
      </c>
      <c r="D10577" s="22" t="s">
        <v>12920</v>
      </c>
      <c r="E10577" s="22" t="s">
        <v>107</v>
      </c>
      <c r="F10577" s="23" t="str">
        <f>HYPERLINK("https://www.spark-marketing.ru/Card/Lot/69241983", "Оказание услуг по установке и наладке комплекта видеодомофона и электромагнитного замка")</f>
        <v>Оказание услуг по установке и наладке комплекта видеодомофона и электромагнитного замка</v>
      </c>
      <c r="G10577" s="22" t="s">
        <v>50</v>
      </c>
      <c r="H10577" s="22" t="s">
        <v>267</v>
      </c>
      <c r="I10577" s="26">
        <v>43558.440266203703</v>
      </c>
      <c r="J10577" s="28" t="s">
        <v>52</v>
      </c>
      <c r="K10577" s="28" t="s">
        <v>52</v>
      </c>
      <c r="L10577" s="28" t="s">
        <v>52</v>
      </c>
      <c r="M10577" s="28" t="s">
        <v>52</v>
      </c>
      <c r="N10577" s="28" t="s">
        <v>52</v>
      </c>
    </row>
    <row r="10578" spans="1:14" x14ac:dyDescent="0.15">
      <c r="A10578" s="23" t="str">
        <f>HYPERLINK("https://www.spark-marketing.ru/Card/Person/283996", "МБУ ""ПАССАЖИРСКОЕ""")</f>
        <v>МБУ "ПАССАЖИРСКОЕ"</v>
      </c>
      <c r="B10578" s="24" t="s">
        <v>12921</v>
      </c>
      <c r="C10578" s="25">
        <v>473333.3</v>
      </c>
      <c r="D10578" s="22" t="s">
        <v>12922</v>
      </c>
      <c r="E10578" s="22" t="s">
        <v>144</v>
      </c>
      <c r="F10578" s="23" t="str">
        <f>HYPERLINK("https://www.spark-marketing.ru/Card/Lot/69243316", "Оказание услуг по разработке планов обеспечения транспортной безопасности для категорированного пассажирского автомобильного транспорта")</f>
        <v>Оказание услуг по разработке планов обеспечения транспортной безопасности для категорированного пассажирского автомобильного транспорта</v>
      </c>
      <c r="G10578" s="22" t="s">
        <v>176</v>
      </c>
      <c r="H10578" s="22" t="s">
        <v>176</v>
      </c>
      <c r="I10578" s="26">
        <v>43558.442349536999</v>
      </c>
      <c r="J10578" s="28" t="s">
        <v>52</v>
      </c>
      <c r="K10578" s="28" t="s">
        <v>52</v>
      </c>
      <c r="L10578" s="28" t="s">
        <v>52</v>
      </c>
      <c r="M10578" s="28" t="s">
        <v>52</v>
      </c>
      <c r="N10578" s="28" t="s">
        <v>52</v>
      </c>
    </row>
    <row r="10579" spans="1:14" hidden="1" outlineLevel="1" x14ac:dyDescent="0.2">
      <c r="A10579" s="23" t="str">
        <f>HYPERLINK("https://www.spark-marketing.ru/Card/Person/283996", "МБУ ""ПАССАЖИРСКОЕ""")</f>
        <v>МБУ "ПАССАЖИРСКОЕ"</v>
      </c>
      <c r="B10579" s="24" t="s">
        <v>12921</v>
      </c>
      <c r="C10579" s="28" t="s">
        <v>52</v>
      </c>
      <c r="D10579" s="22" t="s">
        <v>12922</v>
      </c>
      <c r="E10579" s="22" t="s">
        <v>144</v>
      </c>
      <c r="F10579" s="23" t="str">
        <f>HYPERLINK("https://www.spark-marketing.ru/Card/Lot/69243316", "Оказание услуг по разработке планов обеспечения транспортной безопасности для категорированного пассажирского автомобильного транспорта")</f>
        <v>Оказание услуг по разработке планов обеспечения транспортной безопасности для категорированного пассажирского автомобильного транспорта</v>
      </c>
      <c r="G10579" s="22" t="s">
        <v>176</v>
      </c>
      <c r="H10579" s="22" t="s">
        <v>176</v>
      </c>
      <c r="I10579" s="26">
        <v>43558.442349536999</v>
      </c>
      <c r="J10579" s="23" t="str">
        <f>HYPERLINK("https://www.spark-marketing.ru/Card/Person/81571", "ООО ""СО ""АНТИТЕРРОР""")</f>
        <v>ООО "СО "АНТИТЕРРОР"</v>
      </c>
      <c r="K10579" s="24" t="s">
        <v>3384</v>
      </c>
      <c r="L10579" s="22" t="s">
        <v>10</v>
      </c>
      <c r="M10579" s="25">
        <v>468599.96</v>
      </c>
      <c r="N10579" s="27">
        <v>1.0000014788733436E-2</v>
      </c>
    </row>
    <row r="10580" spans="1:14" hidden="1" outlineLevel="1" x14ac:dyDescent="0.2">
      <c r="A10580" s="23" t="str">
        <f>HYPERLINK("https://www.spark-marketing.ru/Card/Person/283996", "МБУ ""ПАССАЖИРСКОЕ""")</f>
        <v>МБУ "ПАССАЖИРСКОЕ"</v>
      </c>
      <c r="B10580" s="24" t="s">
        <v>12921</v>
      </c>
      <c r="C10580" s="28" t="s">
        <v>52</v>
      </c>
      <c r="D10580" s="22" t="s">
        <v>12922</v>
      </c>
      <c r="E10580" s="22" t="s">
        <v>144</v>
      </c>
      <c r="F10580" s="23" t="str">
        <f>HYPERLINK("https://www.spark-marketing.ru/Card/Lot/69243316", "Оказание услуг по разработке планов обеспечения транспортной безопасности для категорированного пассажирского автомобильного транспорта")</f>
        <v>Оказание услуг по разработке планов обеспечения транспортной безопасности для категорированного пассажирского автомобильного транспорта</v>
      </c>
      <c r="G10580" s="22" t="s">
        <v>176</v>
      </c>
      <c r="H10580" s="22" t="s">
        <v>176</v>
      </c>
      <c r="I10580" s="26">
        <v>43558.442349536999</v>
      </c>
      <c r="J10580" s="23" t="str">
        <f>HYPERLINK("https://www.spark-marketing.ru/Card/Person/5795108", "ООО ""ПРОФИТБ""")</f>
        <v>ООО "ПРОФИТБ"</v>
      </c>
      <c r="K10580" s="24" t="s">
        <v>2242</v>
      </c>
      <c r="L10580" s="28" t="s">
        <v>52</v>
      </c>
      <c r="M10580" s="25">
        <v>470966.63</v>
      </c>
      <c r="N10580" s="27">
        <v>5.000007394366718E-3</v>
      </c>
    </row>
    <row r="10581" spans="1:14" hidden="1" outlineLevel="1" x14ac:dyDescent="0.15">
      <c r="A10581" s="23" t="str">
        <f>HYPERLINK("https://www.spark-marketing.ru/Card/Person/283996", "МБУ ""ПАССАЖИРСКОЕ""")</f>
        <v>МБУ "ПАССАЖИРСКОЕ"</v>
      </c>
      <c r="B10581" s="24" t="s">
        <v>12921</v>
      </c>
      <c r="C10581" s="28" t="s">
        <v>52</v>
      </c>
      <c r="D10581" s="22" t="s">
        <v>12922</v>
      </c>
      <c r="E10581" s="22" t="s">
        <v>144</v>
      </c>
      <c r="F10581" s="23" t="str">
        <f>HYPERLINK("https://www.spark-marketing.ru/Card/Lot/69243316", "Оказание услуг по разработке планов обеспечения транспортной безопасности для категорированного пассажирского автомобильного транспорта")</f>
        <v>Оказание услуг по разработке планов обеспечения транспортной безопасности для категорированного пассажирского автомобильного транспорта</v>
      </c>
      <c r="G10581" s="22" t="s">
        <v>176</v>
      </c>
      <c r="H10581" s="22" t="s">
        <v>176</v>
      </c>
      <c r="I10581" s="26">
        <v>43558.442349536999</v>
      </c>
      <c r="J10581" s="23" t="str">
        <f>HYPERLINK("https://www.spark-marketing.ru/Card/Person/6500038", "ООО «СИСТЕМЫ ТРАНСПОРТНОЙ БЕЗОПАСНОСТИ»")</f>
        <v>ООО «СИСТЕМЫ ТРАНСПОРТНОЙ БЕЗОПАСНОСТИ»</v>
      </c>
      <c r="K10581" s="24" t="s">
        <v>12136</v>
      </c>
      <c r="L10581" s="28" t="s">
        <v>52</v>
      </c>
      <c r="M10581" s="28" t="s">
        <v>52</v>
      </c>
      <c r="N10581" s="28" t="s">
        <v>52</v>
      </c>
    </row>
    <row r="10582" spans="1:14" x14ac:dyDescent="0.15">
      <c r="A10582" s="23" t="str">
        <f>HYPERLINK("https://www.spark-marketing.ru/Card/Person/74197", "ГУЗ ""СТАРОМАЙНСКАЯ РБ""")</f>
        <v>ГУЗ "СТАРОМАЙНСКАЯ РБ"</v>
      </c>
      <c r="B10582" s="24" t="s">
        <v>12923</v>
      </c>
      <c r="C10582" s="25">
        <v>25732.5</v>
      </c>
      <c r="D10582" s="22" t="s">
        <v>12924</v>
      </c>
      <c r="E10582" s="22" t="s">
        <v>68</v>
      </c>
      <c r="F10582" s="23" t="str">
        <f>HYPERLINK("https://www.spark-marketing.ru/Card/Lot/69239747", "Охрана объектов путем реагирования на срабатывание тревож-ной сигнализации")</f>
        <v>Охрана объектов путем реагирования на срабатывание тревож-ной сигнализации</v>
      </c>
      <c r="G10582" s="22" t="s">
        <v>446</v>
      </c>
      <c r="H10582" s="22" t="s">
        <v>12925</v>
      </c>
      <c r="I10582" s="26">
        <v>43558.379861111098</v>
      </c>
      <c r="J10582" s="28" t="s">
        <v>52</v>
      </c>
      <c r="K10582" s="28" t="s">
        <v>52</v>
      </c>
      <c r="L10582" s="28" t="s">
        <v>52</v>
      </c>
      <c r="M10582" s="28" t="s">
        <v>52</v>
      </c>
      <c r="N10582" s="28" t="s">
        <v>52</v>
      </c>
    </row>
    <row r="10583" spans="1:14" hidden="1" outlineLevel="1" x14ac:dyDescent="0.2">
      <c r="A10583" s="23" t="str">
        <f>HYPERLINK("https://www.spark-marketing.ru/Card/Person/74197", "ГУЗ ""СТАРОМАЙНСКАЯ РБ""")</f>
        <v>ГУЗ "СТАРОМАЙНСКАЯ РБ"</v>
      </c>
      <c r="B10583" s="24" t="s">
        <v>12923</v>
      </c>
      <c r="C10583" s="25">
        <v>25732.5</v>
      </c>
      <c r="D10583" s="22" t="s">
        <v>12924</v>
      </c>
      <c r="E10583" s="22" t="s">
        <v>68</v>
      </c>
      <c r="F10583" s="23" t="str">
        <f>HYPERLINK("https://www.spark-marketing.ru/Card/Lot/69239747", "Охрана объектов путем реагирования на срабатывание тревож-ной сигнализации")</f>
        <v>Охрана объектов путем реагирования на срабатывание тревож-ной сигнализации</v>
      </c>
      <c r="G10583" s="22" t="s">
        <v>446</v>
      </c>
      <c r="H10583" s="22" t="s">
        <v>12925</v>
      </c>
      <c r="I10583" s="26">
        <v>43558.379861111098</v>
      </c>
      <c r="J10583" s="23" t="str">
        <f>HYPERLINK("https://www.spark-marketing.ru/Card/Person/856773", "ООО ""РАТИБОР-АДС""")</f>
        <v>ООО "РАТИБОР-АДС"</v>
      </c>
      <c r="K10583" s="24" t="s">
        <v>12926</v>
      </c>
      <c r="L10583" s="28" t="s">
        <v>52</v>
      </c>
      <c r="M10583" s="25">
        <v>2974</v>
      </c>
      <c r="N10583" s="27">
        <v>0.88442630914213538</v>
      </c>
    </row>
    <row r="10584" spans="1:14" ht="12.75" hidden="1" outlineLevel="1" x14ac:dyDescent="0.2">
      <c r="A10584" s="23" t="str">
        <f>HYPERLINK("https://www.spark-marketing.ru/Card/Person/74197", "ГУЗ ""СТАРОМАЙНСКАЯ РБ""")</f>
        <v>ГУЗ "СТАРОМАЙНСКАЯ РБ"</v>
      </c>
      <c r="B10584" s="24" t="s">
        <v>12923</v>
      </c>
      <c r="C10584" s="25">
        <v>25732.5</v>
      </c>
      <c r="D10584" s="22" t="s">
        <v>12924</v>
      </c>
      <c r="E10584" s="22" t="s">
        <v>68</v>
      </c>
      <c r="F10584" s="23" t="str">
        <f>HYPERLINK("https://www.spark-marketing.ru/Card/Lot/69239747", "Охрана объектов путем реагирования на срабатывание тревож-ной сигнализации")</f>
        <v>Охрана объектов путем реагирования на срабатывание тревож-ной сигнализации</v>
      </c>
      <c r="G10584" s="22" t="s">
        <v>446</v>
      </c>
      <c r="H10584" s="22" t="s">
        <v>12925</v>
      </c>
      <c r="I10584" s="26">
        <v>43558.379861111098</v>
      </c>
      <c r="J10584" s="23" t="str">
        <f>HYPERLINK("https://www.spark-marketing.ru/Card/Person/5946939", "ООО АО ""АРМАДА""")</f>
        <v>ООО АО "АРМАДА"</v>
      </c>
      <c r="K10584" s="24" t="s">
        <v>12927</v>
      </c>
      <c r="L10584" s="22" t="s">
        <v>10</v>
      </c>
      <c r="M10584" s="25">
        <v>2845.34</v>
      </c>
      <c r="N10584" s="27">
        <v>0.88942621198873018</v>
      </c>
    </row>
    <row r="10585" spans="1:14" hidden="1" outlineLevel="1" x14ac:dyDescent="0.2">
      <c r="A10585" s="23" t="str">
        <f>HYPERLINK("https://www.spark-marketing.ru/Card/Person/74197", "ГУЗ ""СТАРОМАЙНСКАЯ РБ""")</f>
        <v>ГУЗ "СТАРОМАЙНСКАЯ РБ"</v>
      </c>
      <c r="B10585" s="24" t="s">
        <v>12923</v>
      </c>
      <c r="C10585" s="25">
        <v>25732.5</v>
      </c>
      <c r="D10585" s="22" t="s">
        <v>12924</v>
      </c>
      <c r="E10585" s="22" t="s">
        <v>68</v>
      </c>
      <c r="F10585" s="23" t="str">
        <f>HYPERLINK("https://www.spark-marketing.ru/Card/Lot/69239747", "Охрана объектов путем реагирования на срабатывание тревож-ной сигнализации")</f>
        <v>Охрана объектов путем реагирования на срабатывание тревож-ной сигнализации</v>
      </c>
      <c r="G10585" s="22" t="s">
        <v>446</v>
      </c>
      <c r="H10585" s="22" t="s">
        <v>12925</v>
      </c>
      <c r="I10585" s="26">
        <v>43558.379861111098</v>
      </c>
      <c r="J10585" s="23" t="str">
        <f>HYPERLINK("https://www.spark-marketing.ru/Card/Person/4348020", "ФГКУ ""УВО ВНГ РОССИИ ПО УЛЬЯНОВСКОЙ ОБЛАСТИ""")</f>
        <v>ФГКУ "УВО ВНГ РОССИИ ПО УЛЬЯНОВСКОЙ ОБЛАСТИ"</v>
      </c>
      <c r="K10585" s="24" t="s">
        <v>12928</v>
      </c>
      <c r="L10585" s="28" t="s">
        <v>52</v>
      </c>
      <c r="M10585" s="25">
        <v>11858.39</v>
      </c>
      <c r="N10585" s="27">
        <v>0.53916681239677455</v>
      </c>
    </row>
    <row r="10586" spans="1:14" x14ac:dyDescent="0.15">
      <c r="A10586" s="23" t="str">
        <f>HYPERLINK("https://www.spark-marketing.ru/Card/Person/641213", "МЕЖРАЙОННАЯ ИФНС РОССИИ № 5 ПО ЗАБАЙКАЛЬСКОМУ КРАЮ")</f>
        <v>МЕЖРАЙОННАЯ ИФНС РОССИИ № 5 ПО ЗАБАЙКАЛЬСКОМУ КРАЮ</v>
      </c>
      <c r="B10586" s="24" t="s">
        <v>12737</v>
      </c>
      <c r="C10586" s="25">
        <v>22381.62</v>
      </c>
      <c r="D10586" s="22" t="s">
        <v>12929</v>
      </c>
      <c r="E10586" s="22" t="s">
        <v>53</v>
      </c>
      <c r="F10586" s="23" t="str">
        <f>HYPERLINK("https://www.spark-marketing.ru/Card/Lot/70785334", "техническое обслуживание комплекса технических средств охраны (Советская, 7)")</f>
        <v>техническое обслуживание комплекса технических средств охраны (Советская, 7)</v>
      </c>
      <c r="G10586" s="22" t="s">
        <v>473</v>
      </c>
      <c r="H10586" s="22" t="s">
        <v>12739</v>
      </c>
      <c r="I10586" s="26">
        <v>43558.388877314799</v>
      </c>
      <c r="J10586" s="28" t="s">
        <v>52</v>
      </c>
      <c r="K10586" s="28" t="s">
        <v>52</v>
      </c>
      <c r="L10586" s="28" t="s">
        <v>52</v>
      </c>
      <c r="M10586" s="28" t="s">
        <v>52</v>
      </c>
      <c r="N10586" s="28" t="s">
        <v>52</v>
      </c>
    </row>
    <row r="10587" spans="1:14" x14ac:dyDescent="0.15">
      <c r="A10587" s="23" t="str">
        <f>HYPERLINK("https://www.spark-marketing.ru/Card/Person/641213", "МЕЖРАЙОННАЯ ИФНС РОССИИ № 5 ПО ЗАБАЙКАЛЬСКОМУ КРАЮ")</f>
        <v>МЕЖРАЙОННАЯ ИФНС РОССИИ № 5 ПО ЗАБАЙКАЛЬСКОМУ КРАЮ</v>
      </c>
      <c r="B10587" s="24" t="s">
        <v>12737</v>
      </c>
      <c r="C10587" s="25">
        <v>26518.5</v>
      </c>
      <c r="D10587" s="22" t="s">
        <v>12930</v>
      </c>
      <c r="E10587" s="22" t="s">
        <v>53</v>
      </c>
      <c r="F10587" s="23" t="str">
        <f>HYPERLINK("https://www.spark-marketing.ru/Card/Lot/70785419", "техническое обслуживание комплекса технических средств охраны (ТОРМ Борзя)")</f>
        <v>техническое обслуживание комплекса технических средств охраны (ТОРМ Борзя)</v>
      </c>
      <c r="G10587" s="22" t="s">
        <v>473</v>
      </c>
      <c r="H10587" s="22" t="s">
        <v>12739</v>
      </c>
      <c r="I10587" s="26">
        <v>43558.394236111097</v>
      </c>
      <c r="J10587" s="28" t="s">
        <v>52</v>
      </c>
      <c r="K10587" s="28" t="s">
        <v>52</v>
      </c>
      <c r="L10587" s="28" t="s">
        <v>52</v>
      </c>
      <c r="M10587" s="28" t="s">
        <v>52</v>
      </c>
      <c r="N10587" s="28" t="s">
        <v>52</v>
      </c>
    </row>
    <row r="10588" spans="1:14" x14ac:dyDescent="0.15">
      <c r="A10588" s="23" t="str">
        <f t="shared" ref="A10588:A10593" si="488">HYPERLINK("https://www.spark-marketing.ru/Card/Person/18460", "ГБУЗ ЦПСИР ДЗМ")</f>
        <v>ГБУЗ ЦПСИР ДЗМ</v>
      </c>
      <c r="B10588" s="24" t="s">
        <v>12931</v>
      </c>
      <c r="C10588" s="25">
        <v>311600</v>
      </c>
      <c r="D10588" s="22" t="s">
        <v>12932</v>
      </c>
      <c r="E10588" s="22" t="s">
        <v>1013</v>
      </c>
      <c r="F10588" s="23" t="str">
        <f t="shared" ref="F10588:F10593" si="489">HYPERLINK("https://www.spark-marketing.ru/Card/Lot/69241436", "Аукцион в электронной форме на оказание услуг по круглосуточной пультовой охране для нужд Государственного бюджетного учреждения здравоохранения города Москвы «Центр планирования семьи и репродукции Департамента здравоохранения города Москвы».")</f>
        <v>Аукцион в электронной форме на оказание услуг по круглосуточной пультовой охране для нужд Государственного бюджетного учреждения здравоохранения города Москвы «Центр планирования семьи и репродукции Департамента здравоохранения города Москвы».</v>
      </c>
      <c r="G10588" s="22" t="s">
        <v>55</v>
      </c>
      <c r="H10588" s="22" t="s">
        <v>55</v>
      </c>
      <c r="I10588" s="26">
        <v>43558.379861111098</v>
      </c>
      <c r="J10588" s="28" t="s">
        <v>52</v>
      </c>
      <c r="K10588" s="28" t="s">
        <v>52</v>
      </c>
      <c r="L10588" s="28" t="s">
        <v>52</v>
      </c>
      <c r="M10588" s="28" t="s">
        <v>52</v>
      </c>
      <c r="N10588" s="28" t="s">
        <v>52</v>
      </c>
    </row>
    <row r="10589" spans="1:14" hidden="1" outlineLevel="1" x14ac:dyDescent="0.2">
      <c r="A10589" s="23" t="str">
        <f t="shared" si="488"/>
        <v>ГБУЗ ЦПСИР ДЗМ</v>
      </c>
      <c r="B10589" s="24" t="s">
        <v>12931</v>
      </c>
      <c r="C10589" s="25">
        <v>311600</v>
      </c>
      <c r="D10589" s="22" t="s">
        <v>12932</v>
      </c>
      <c r="E10589" s="22" t="s">
        <v>1013</v>
      </c>
      <c r="F10589" s="23" t="str">
        <f t="shared" si="489"/>
        <v>Аукцион в электронной форме на оказание услуг по круглосуточной пультовой охране для нужд Государственного бюджетного учреждения здравоохранения города Москвы «Центр планирования семьи и репродукции Департамента здравоохранения города Москвы».</v>
      </c>
      <c r="G10589" s="22" t="s">
        <v>55</v>
      </c>
      <c r="H10589" s="22" t="s">
        <v>55</v>
      </c>
      <c r="I10589" s="26">
        <v>43558.379861111098</v>
      </c>
      <c r="J10589" s="23" t="str">
        <f>HYPERLINK("https://www.spark-marketing.ru/Card/Person/1976859", "ООО ЧОО ""ДЕЛЬТА""")</f>
        <v>ООО ЧОО "ДЕЛЬТА"</v>
      </c>
      <c r="K10589" s="24" t="s">
        <v>8928</v>
      </c>
      <c r="L10589" s="28" t="s">
        <v>52</v>
      </c>
      <c r="M10589" s="25">
        <v>187326</v>
      </c>
      <c r="N10589" s="27">
        <v>0.39882541720154041</v>
      </c>
    </row>
    <row r="10590" spans="1:14" hidden="1" outlineLevel="1" x14ac:dyDescent="0.2">
      <c r="A10590" s="23" t="str">
        <f t="shared" si="488"/>
        <v>ГБУЗ ЦПСИР ДЗМ</v>
      </c>
      <c r="B10590" s="24" t="s">
        <v>12931</v>
      </c>
      <c r="C10590" s="25">
        <v>311600</v>
      </c>
      <c r="D10590" s="22" t="s">
        <v>12932</v>
      </c>
      <c r="E10590" s="22" t="s">
        <v>1013</v>
      </c>
      <c r="F10590" s="23" t="str">
        <f t="shared" si="489"/>
        <v>Аукцион в электронной форме на оказание услуг по круглосуточной пультовой охране для нужд Государственного бюджетного учреждения здравоохранения города Москвы «Центр планирования семьи и репродукции Департамента здравоохранения города Москвы».</v>
      </c>
      <c r="G10590" s="22" t="s">
        <v>55</v>
      </c>
      <c r="H10590" s="22" t="s">
        <v>55</v>
      </c>
      <c r="I10590" s="26">
        <v>43558.379861111098</v>
      </c>
      <c r="J10590" s="23" t="str">
        <f>HYPERLINK("https://www.spark-marketing.ru/Card/Person/711404", "ООО ОП ""АЛЛИГАТОР-ПУЛЬТОВАЯ ОХРАНА""")</f>
        <v>ООО ОП "АЛЛИГАТОР-ПУЛЬТОВАЯ ОХРАНА"</v>
      </c>
      <c r="K10590" s="24" t="s">
        <v>12933</v>
      </c>
      <c r="L10590" s="28" t="s">
        <v>52</v>
      </c>
      <c r="M10590" s="25">
        <v>108442</v>
      </c>
      <c r="N10590" s="27">
        <v>0.65198331193838255</v>
      </c>
    </row>
    <row r="10591" spans="1:14" hidden="1" outlineLevel="1" x14ac:dyDescent="0.2">
      <c r="A10591" s="23" t="str">
        <f t="shared" si="488"/>
        <v>ГБУЗ ЦПСИР ДЗМ</v>
      </c>
      <c r="B10591" s="24" t="s">
        <v>12931</v>
      </c>
      <c r="C10591" s="25">
        <v>311600</v>
      </c>
      <c r="D10591" s="22" t="s">
        <v>12932</v>
      </c>
      <c r="E10591" s="22" t="s">
        <v>1013</v>
      </c>
      <c r="F10591" s="23" t="str">
        <f t="shared" si="489"/>
        <v>Аукцион в электронной форме на оказание услуг по круглосуточной пультовой охране для нужд Государственного бюджетного учреждения здравоохранения города Москвы «Центр планирования семьи и репродукции Департамента здравоохранения города Москвы».</v>
      </c>
      <c r="G10591" s="22" t="s">
        <v>55</v>
      </c>
      <c r="H10591" s="22" t="s">
        <v>55</v>
      </c>
      <c r="I10591" s="26">
        <v>43558.379861111098</v>
      </c>
      <c r="J10591" s="23" t="str">
        <f>HYPERLINK("https://www.spark-marketing.ru/Card/Person/1387390", "ООО ЧОП ""ЭРА""")</f>
        <v>ООО ЧОП "ЭРА"</v>
      </c>
      <c r="K10591" s="24" t="s">
        <v>12934</v>
      </c>
      <c r="L10591" s="28" t="s">
        <v>52</v>
      </c>
      <c r="M10591" s="25">
        <v>63977.99</v>
      </c>
      <c r="N10591" s="27">
        <v>0.79467910783055196</v>
      </c>
    </row>
    <row r="10592" spans="1:14" ht="12.75" hidden="1" outlineLevel="1" x14ac:dyDescent="0.2">
      <c r="A10592" s="23" t="str">
        <f t="shared" si="488"/>
        <v>ГБУЗ ЦПСИР ДЗМ</v>
      </c>
      <c r="B10592" s="24" t="s">
        <v>12931</v>
      </c>
      <c r="C10592" s="25">
        <v>311600</v>
      </c>
      <c r="D10592" s="22" t="s">
        <v>12932</v>
      </c>
      <c r="E10592" s="22" t="s">
        <v>1013</v>
      </c>
      <c r="F10592" s="23" t="str">
        <f t="shared" si="489"/>
        <v>Аукцион в электронной форме на оказание услуг по круглосуточной пультовой охране для нужд Государственного бюджетного учреждения здравоохранения города Москвы «Центр планирования семьи и репродукции Департамента здравоохранения города Москвы».</v>
      </c>
      <c r="G10592" s="22" t="s">
        <v>55</v>
      </c>
      <c r="H10592" s="22" t="s">
        <v>55</v>
      </c>
      <c r="I10592" s="26">
        <v>43558.379861111098</v>
      </c>
      <c r="J10592" s="23" t="str">
        <f>HYPERLINK("https://www.spark-marketing.ru/Card/Person/60875", "ООО ЧОП ""ГОЛДЕКС""")</f>
        <v>ООО ЧОП "ГОЛДЕКС"</v>
      </c>
      <c r="K10592" s="24" t="s">
        <v>1378</v>
      </c>
      <c r="L10592" s="22" t="s">
        <v>10</v>
      </c>
      <c r="M10592" s="25">
        <v>62420</v>
      </c>
      <c r="N10592" s="27">
        <v>0.7996790757381258</v>
      </c>
    </row>
    <row r="10593" spans="1:14" hidden="1" outlineLevel="1" x14ac:dyDescent="0.2">
      <c r="A10593" s="23" t="str">
        <f t="shared" si="488"/>
        <v>ГБУЗ ЦПСИР ДЗМ</v>
      </c>
      <c r="B10593" s="24" t="s">
        <v>12931</v>
      </c>
      <c r="C10593" s="25">
        <v>311600</v>
      </c>
      <c r="D10593" s="22" t="s">
        <v>12932</v>
      </c>
      <c r="E10593" s="22" t="s">
        <v>1013</v>
      </c>
      <c r="F10593" s="23" t="str">
        <f t="shared" si="489"/>
        <v>Аукцион в электронной форме на оказание услуг по круглосуточной пультовой охране для нужд Государственного бюджетного учреждения здравоохранения города Москвы «Центр планирования семьи и репродукции Департамента здравоохранения города Москвы».</v>
      </c>
      <c r="G10593" s="22" t="s">
        <v>55</v>
      </c>
      <c r="H10593" s="22" t="s">
        <v>55</v>
      </c>
      <c r="I10593" s="26">
        <v>43558.379861111098</v>
      </c>
      <c r="J10593" s="23" t="str">
        <f>HYPERLINK("https://www.spark-marketing.ru/Card/Person/5950631", "ООО ЧОО ""ЦФО""")</f>
        <v>ООО ЧОО "ЦФО"</v>
      </c>
      <c r="K10593" s="24" t="s">
        <v>12935</v>
      </c>
      <c r="L10593" s="28" t="s">
        <v>52</v>
      </c>
      <c r="M10593" s="25">
        <v>291346</v>
      </c>
      <c r="N10593" s="27">
        <v>6.5000000000000002E-2</v>
      </c>
    </row>
    <row r="10594" spans="1:14" x14ac:dyDescent="0.15">
      <c r="A10594" s="23" t="str">
        <f>HYPERLINK("https://www.spark-marketing.ru/Card/Person/74197", "ГУЗ ""СТАРОМАЙНСКАЯ РБ""")</f>
        <v>ГУЗ "СТАРОМАЙНСКАЯ РБ"</v>
      </c>
      <c r="B10594" s="24" t="s">
        <v>12923</v>
      </c>
      <c r="C10594" s="25">
        <v>111690</v>
      </c>
      <c r="D10594" s="22" t="s">
        <v>12936</v>
      </c>
      <c r="E10594" s="22" t="s">
        <v>68</v>
      </c>
      <c r="F10594" s="23" t="str">
        <f>HYPERLINK("https://www.spark-marketing.ru/Card/Lot/69238796", "Охрана объектов с помощью системы централизованного наблюдения")</f>
        <v>Охрана объектов с помощью системы централизованного наблюдения</v>
      </c>
      <c r="G10594" s="22" t="s">
        <v>446</v>
      </c>
      <c r="H10594" s="22" t="s">
        <v>12925</v>
      </c>
      <c r="I10594" s="26">
        <v>43558.357638888898</v>
      </c>
      <c r="J10594" s="28" t="s">
        <v>52</v>
      </c>
      <c r="K10594" s="28" t="s">
        <v>52</v>
      </c>
      <c r="L10594" s="28" t="s">
        <v>52</v>
      </c>
      <c r="M10594" s="28" t="s">
        <v>52</v>
      </c>
      <c r="N10594" s="28" t="s">
        <v>52</v>
      </c>
    </row>
    <row r="10595" spans="1:14" hidden="1" outlineLevel="1" x14ac:dyDescent="0.2">
      <c r="A10595" s="23" t="str">
        <f>HYPERLINK("https://www.spark-marketing.ru/Card/Person/74197", "ГУЗ ""СТАРОМАЙНСКАЯ РБ""")</f>
        <v>ГУЗ "СТАРОМАЙНСКАЯ РБ"</v>
      </c>
      <c r="B10595" s="24" t="s">
        <v>12923</v>
      </c>
      <c r="C10595" s="25">
        <v>111690</v>
      </c>
      <c r="D10595" s="22" t="s">
        <v>12936</v>
      </c>
      <c r="E10595" s="22" t="s">
        <v>68</v>
      </c>
      <c r="F10595" s="23" t="str">
        <f>HYPERLINK("https://www.spark-marketing.ru/Card/Lot/69238796", "Охрана объектов с помощью системы централизованного наблюдения")</f>
        <v>Охрана объектов с помощью системы централизованного наблюдения</v>
      </c>
      <c r="G10595" s="22" t="s">
        <v>446</v>
      </c>
      <c r="H10595" s="22" t="s">
        <v>12925</v>
      </c>
      <c r="I10595" s="26">
        <v>43558.357638888898</v>
      </c>
      <c r="J10595" s="23" t="str">
        <f>HYPERLINK("https://www.spark-marketing.ru/Card/Person/856773", "ООО ""РАТИБОР-АДС""")</f>
        <v>ООО "РАТИБОР-АДС"</v>
      </c>
      <c r="K10595" s="24" t="s">
        <v>12926</v>
      </c>
      <c r="L10595" s="28" t="s">
        <v>52</v>
      </c>
      <c r="M10595" s="25">
        <v>24406.55</v>
      </c>
      <c r="N10595" s="27">
        <v>0.78147954158832478</v>
      </c>
    </row>
    <row r="10596" spans="1:14" ht="12.75" hidden="1" outlineLevel="1" x14ac:dyDescent="0.2">
      <c r="A10596" s="23" t="str">
        <f>HYPERLINK("https://www.spark-marketing.ru/Card/Person/74197", "ГУЗ ""СТАРОМАЙНСКАЯ РБ""")</f>
        <v>ГУЗ "СТАРОМАЙНСКАЯ РБ"</v>
      </c>
      <c r="B10596" s="24" t="s">
        <v>12923</v>
      </c>
      <c r="C10596" s="25">
        <v>111690</v>
      </c>
      <c r="D10596" s="22" t="s">
        <v>12936</v>
      </c>
      <c r="E10596" s="22" t="s">
        <v>68</v>
      </c>
      <c r="F10596" s="23" t="str">
        <f>HYPERLINK("https://www.spark-marketing.ru/Card/Lot/69238796", "Охрана объектов с помощью системы централизованного наблюдения")</f>
        <v>Охрана объектов с помощью системы централизованного наблюдения</v>
      </c>
      <c r="G10596" s="22" t="s">
        <v>446</v>
      </c>
      <c r="H10596" s="22" t="s">
        <v>12925</v>
      </c>
      <c r="I10596" s="26">
        <v>43558.357638888898</v>
      </c>
      <c r="J10596" s="23" t="str">
        <f>HYPERLINK("https://www.spark-marketing.ru/Card/Person/5946939", "ООО АО ""АРМАДА""")</f>
        <v>ООО АО "АРМАДА"</v>
      </c>
      <c r="K10596" s="24" t="s">
        <v>12927</v>
      </c>
      <c r="L10596" s="22" t="s">
        <v>10</v>
      </c>
      <c r="M10596" s="25">
        <v>23848.1</v>
      </c>
      <c r="N10596" s="27">
        <v>0.78647954158832478</v>
      </c>
    </row>
    <row r="10597" spans="1:14" hidden="1" outlineLevel="1" x14ac:dyDescent="0.2">
      <c r="A10597" s="23" t="str">
        <f>HYPERLINK("https://www.spark-marketing.ru/Card/Person/74197", "ГУЗ ""СТАРОМАЙНСКАЯ РБ""")</f>
        <v>ГУЗ "СТАРОМАЙНСКАЯ РБ"</v>
      </c>
      <c r="B10597" s="24" t="s">
        <v>12923</v>
      </c>
      <c r="C10597" s="25">
        <v>111690</v>
      </c>
      <c r="D10597" s="22" t="s">
        <v>12936</v>
      </c>
      <c r="E10597" s="22" t="s">
        <v>68</v>
      </c>
      <c r="F10597" s="23" t="str">
        <f>HYPERLINK("https://www.spark-marketing.ru/Card/Lot/69238796", "Охрана объектов с помощью системы централизованного наблюдения")</f>
        <v>Охрана объектов с помощью системы централизованного наблюдения</v>
      </c>
      <c r="G10597" s="22" t="s">
        <v>446</v>
      </c>
      <c r="H10597" s="22" t="s">
        <v>12925</v>
      </c>
      <c r="I10597" s="26">
        <v>43558.357638888898</v>
      </c>
      <c r="J10597" s="23" t="str">
        <f>HYPERLINK("https://www.spark-marketing.ru/Card/Person/4348020", "ФГКУ ""УВО ВНГ РОССИИ ПО УЛЬЯНОВСКОЙ ОБЛАСТИ""")</f>
        <v>ФГКУ "УВО ВНГ РОССИИ ПО УЛЬЯНОВСКОЙ ОБЛАСТИ"</v>
      </c>
      <c r="K10597" s="24" t="s">
        <v>12928</v>
      </c>
      <c r="L10597" s="28" t="s">
        <v>52</v>
      </c>
      <c r="M10597" s="25">
        <v>43952.3</v>
      </c>
      <c r="N10597" s="27">
        <v>0.60647954158832484</v>
      </c>
    </row>
    <row r="10598" spans="1:14" x14ac:dyDescent="0.15">
      <c r="A10598" s="23" t="str">
        <f>HYPERLINK("https://www.spark-marketing.ru/Card/Person/641213", "МЕЖРАЙОННАЯ ИФНС РОССИИ № 5 ПО ЗАБАЙКАЛЬСКОМУ КРАЮ")</f>
        <v>МЕЖРАЙОННАЯ ИФНС РОССИИ № 5 ПО ЗАБАЙКАЛЬСКОМУ КРАЮ</v>
      </c>
      <c r="B10598" s="24" t="s">
        <v>12737</v>
      </c>
      <c r="C10598" s="25">
        <v>28512.69</v>
      </c>
      <c r="D10598" s="22" t="s">
        <v>12937</v>
      </c>
      <c r="E10598" s="22" t="s">
        <v>53</v>
      </c>
      <c r="F10598" s="23" t="str">
        <f>HYPERLINK("https://www.spark-marketing.ru/Card/Lot/70785041", "Техническое обслуживание средств ОС, ОПС, ТС, видеонаблюдения и СКУД, 3 шт")</f>
        <v>Техническое обслуживание средств ОС, ОПС, ТС, видеонаблюдения и СКУД, 3 шт</v>
      </c>
      <c r="G10598" s="22" t="s">
        <v>473</v>
      </c>
      <c r="H10598" s="22" t="s">
        <v>12739</v>
      </c>
      <c r="I10598" s="26">
        <v>43558.349155092597</v>
      </c>
      <c r="J10598" s="28" t="s">
        <v>52</v>
      </c>
      <c r="K10598" s="28" t="s">
        <v>52</v>
      </c>
      <c r="L10598" s="28" t="s">
        <v>52</v>
      </c>
      <c r="M10598" s="28" t="s">
        <v>52</v>
      </c>
      <c r="N10598" s="28" t="s">
        <v>52</v>
      </c>
    </row>
    <row r="10599" spans="1:14" x14ac:dyDescent="0.15">
      <c r="A10599" s="23" t="str">
        <f>HYPERLINK("https://www.spark-marketing.ru/Card/Person/4347164", "МИНЮСТ РЕСПУБЛИКИ КРЫМ")</f>
        <v>МИНЮСТ РЕСПУБЛИКИ КРЫМ</v>
      </c>
      <c r="B10599" s="24" t="s">
        <v>12938</v>
      </c>
      <c r="C10599" s="25">
        <v>9100000</v>
      </c>
      <c r="D10599" s="22" t="s">
        <v>12939</v>
      </c>
      <c r="E10599" s="22" t="s">
        <v>1293</v>
      </c>
      <c r="F10599" s="23" t="str">
        <f>HYPERLINK("https://www.spark-marketing.ru/Card/Lot/69240165", "Поставка комплектов видеоконференцсвязи, (включая установку и настройку программно-технических средств) для нужд судебных участков мировых судей Республики Крым в целях интеграции с существующей подсистемой ВКС ГАС ""Правосудие""")</f>
        <v>Поставка комплектов видеоконференцсвязи, (включая установку и настройку программно-технических средств) для нужд судебных участков мировых судей Республики Крым в целях интеграции с существующей подсистемой ВКС ГАС "Правосудие"</v>
      </c>
      <c r="G10599" s="22" t="s">
        <v>1053</v>
      </c>
      <c r="H10599" s="22" t="s">
        <v>1053</v>
      </c>
      <c r="I10599" s="26">
        <v>43558.35</v>
      </c>
      <c r="J10599" s="28" t="s">
        <v>52</v>
      </c>
      <c r="K10599" s="28" t="s">
        <v>52</v>
      </c>
      <c r="L10599" s="28" t="s">
        <v>52</v>
      </c>
      <c r="M10599" s="28" t="s">
        <v>52</v>
      </c>
      <c r="N10599" s="28" t="s">
        <v>52</v>
      </c>
    </row>
    <row r="10600" spans="1:14" ht="12.75" hidden="1" outlineLevel="1" x14ac:dyDescent="0.2">
      <c r="A10600" s="23" t="str">
        <f>HYPERLINK("https://www.spark-marketing.ru/Card/Person/4347164", "МИНЮСТ РЕСПУБЛИКИ КРЫМ")</f>
        <v>МИНЮСТ РЕСПУБЛИКИ КРЫМ</v>
      </c>
      <c r="B10600" s="24" t="s">
        <v>12938</v>
      </c>
      <c r="C10600" s="25">
        <v>9100000</v>
      </c>
      <c r="D10600" s="22" t="s">
        <v>12939</v>
      </c>
      <c r="E10600" s="22" t="s">
        <v>1293</v>
      </c>
      <c r="F10600" s="23" t="str">
        <f>HYPERLINK("https://www.spark-marketing.ru/Card/Lot/69240165", "Поставка комплектов видеоконференцсвязи, (включая установку и настройку программно-технических средств) для нужд судебных участков мировых судей Республики Крым в целях интеграции с существующей подсистемой ВКС ГАС ""Правосудие""")</f>
        <v>Поставка комплектов видеоконференцсвязи, (включая установку и настройку программно-технических средств) для нужд судебных участков мировых судей Республики Крым в целях интеграции с существующей подсистемой ВКС ГАС "Правосудие"</v>
      </c>
      <c r="G10600" s="22" t="s">
        <v>1053</v>
      </c>
      <c r="H10600" s="22" t="s">
        <v>1053</v>
      </c>
      <c r="I10600" s="26">
        <v>43558.35</v>
      </c>
      <c r="J10600" s="23" t="str">
        <f>HYPERLINK("https://www.spark-marketing.ru/Card/Person/60217", "ООО ""ОРБИТА-СЕРВИС""")</f>
        <v>ООО "ОРБИТА-СЕРВИС"</v>
      </c>
      <c r="K10600" s="24" t="s">
        <v>6773</v>
      </c>
      <c r="L10600" s="22" t="s">
        <v>10</v>
      </c>
      <c r="M10600" s="25">
        <v>9009000</v>
      </c>
      <c r="N10600" s="27">
        <v>0.01</v>
      </c>
    </row>
    <row r="10601" spans="1:14" hidden="1" outlineLevel="1" x14ac:dyDescent="0.2">
      <c r="A10601" s="23" t="str">
        <f>HYPERLINK("https://www.spark-marketing.ru/Card/Person/4347164", "МИНЮСТ РЕСПУБЛИКИ КРЫМ")</f>
        <v>МИНЮСТ РЕСПУБЛИКИ КРЫМ</v>
      </c>
      <c r="B10601" s="24" t="s">
        <v>12938</v>
      </c>
      <c r="C10601" s="25">
        <v>9100000</v>
      </c>
      <c r="D10601" s="22" t="s">
        <v>12939</v>
      </c>
      <c r="E10601" s="22" t="s">
        <v>1293</v>
      </c>
      <c r="F10601" s="23" t="str">
        <f>HYPERLINK("https://www.spark-marketing.ru/Card/Lot/69240165", "Поставка комплектов видеоконференцсвязи, (включая установку и настройку программно-технических средств) для нужд судебных участков мировых судей Республики Крым в целях интеграции с существующей подсистемой ВКС ГАС ""Правосудие""")</f>
        <v>Поставка комплектов видеоконференцсвязи, (включая установку и настройку программно-технических средств) для нужд судебных участков мировых судей Республики Крым в целях интеграции с существующей подсистемой ВКС ГАС "Правосудие"</v>
      </c>
      <c r="G10601" s="22" t="s">
        <v>1053</v>
      </c>
      <c r="H10601" s="22" t="s">
        <v>1053</v>
      </c>
      <c r="I10601" s="26">
        <v>43558.35</v>
      </c>
      <c r="J10601" s="23" t="str">
        <f>HYPERLINK("https://www.spark-marketing.ru/Card/Person/930927", "Миргородский Евгений Владимирович")</f>
        <v>Миргородский Евгений Владимирович</v>
      </c>
      <c r="K10601" s="24" t="s">
        <v>12940</v>
      </c>
      <c r="L10601" s="28" t="s">
        <v>52</v>
      </c>
      <c r="M10601" s="25">
        <v>9054500</v>
      </c>
      <c r="N10601" s="27">
        <v>5.0000000000000001E-3</v>
      </c>
    </row>
    <row r="10602" spans="1:14" x14ac:dyDescent="0.15">
      <c r="A10602" s="23" t="str">
        <f>HYPERLINK("https://www.spark-marketing.ru/Card/Person/24093", "БУ Г. ОМСКА ""УДХБ""")</f>
        <v>БУ Г. ОМСКА "УДХБ"</v>
      </c>
      <c r="B10602" s="24" t="s">
        <v>12941</v>
      </c>
      <c r="C10602" s="25">
        <v>47472</v>
      </c>
      <c r="D10602" s="22" t="s">
        <v>12942</v>
      </c>
      <c r="E10602" s="22" t="s">
        <v>68</v>
      </c>
      <c r="F10602" s="23" t="str">
        <f>HYPERLINK("https://www.spark-marketing.ru/Card/Lot/69242408", "Оказание услуг по охране имущества (""Мобильный телохраниетль"")")</f>
        <v>Оказание услуг по охране имущества ("Мобильный телохраниетль")</v>
      </c>
      <c r="G10602" s="22" t="s">
        <v>521</v>
      </c>
      <c r="H10602" s="22" t="s">
        <v>522</v>
      </c>
      <c r="I10602" s="26">
        <v>43558.353472222203</v>
      </c>
      <c r="J10602" s="28" t="s">
        <v>52</v>
      </c>
      <c r="K10602" s="28" t="s">
        <v>52</v>
      </c>
      <c r="L10602" s="28" t="s">
        <v>52</v>
      </c>
      <c r="M10602" s="28" t="s">
        <v>52</v>
      </c>
      <c r="N10602" s="28" t="s">
        <v>52</v>
      </c>
    </row>
    <row r="10603" spans="1:14" x14ac:dyDescent="0.15">
      <c r="A10603" s="23" t="str">
        <f>HYPERLINK("https://www.spark-marketing.ru/Card/Person/48285", "ФКУЗ ""МСЧ МВД РОССИИ ПО КИРОВСКОЙ ОБЛАСТИ""")</f>
        <v>ФКУЗ "МСЧ МВД РОССИИ ПО КИРОВСКОЙ ОБЛАСТИ"</v>
      </c>
      <c r="B10603" s="24" t="s">
        <v>12943</v>
      </c>
      <c r="C10603" s="25">
        <v>3000</v>
      </c>
      <c r="D10603" s="22" t="s">
        <v>12944</v>
      </c>
      <c r="E10603" s="22" t="s">
        <v>53</v>
      </c>
      <c r="F10603" s="23" t="str">
        <f>HYPERLINK("https://www.spark-marketing.ru/Card/Lot/70785225", "Вооруженная физическая охрана, 1 шт")</f>
        <v>Вооруженная физическая охрана, 1 шт</v>
      </c>
      <c r="G10603" s="22" t="s">
        <v>556</v>
      </c>
      <c r="H10603" s="22" t="s">
        <v>557</v>
      </c>
      <c r="I10603" s="26">
        <v>43558.3728819444</v>
      </c>
      <c r="J10603" s="28" t="s">
        <v>52</v>
      </c>
      <c r="K10603" s="28" t="s">
        <v>52</v>
      </c>
      <c r="L10603" s="28" t="s">
        <v>52</v>
      </c>
      <c r="M10603" s="28" t="s">
        <v>52</v>
      </c>
      <c r="N10603" s="28" t="s">
        <v>52</v>
      </c>
    </row>
    <row r="10604" spans="1:14" x14ac:dyDescent="0.15">
      <c r="A10604" s="23" t="str">
        <f>HYPERLINK("https://www.spark-marketing.ru/Card/Person/131217", "МБУ ДЮСШ Г. ДОЛГОПРУДНОГО")</f>
        <v>МБУ ДЮСШ Г. ДОЛГОПРУДНОГО</v>
      </c>
      <c r="B10604" s="24" t="s">
        <v>12945</v>
      </c>
      <c r="C10604" s="25">
        <v>71100</v>
      </c>
      <c r="D10604" s="22" t="s">
        <v>12946</v>
      </c>
      <c r="E10604" s="22" t="s">
        <v>103</v>
      </c>
      <c r="F10604" s="23" t="str">
        <f>HYPERLINK("https://www.spark-marketing.ru/Card/Lot/69238461", "Оказание услуг по техническому обслуживанию системы видеонаблюдения")</f>
        <v>Оказание услуг по техническому обслуживанию системы видеонаблюдения</v>
      </c>
      <c r="G10604" s="22" t="s">
        <v>50</v>
      </c>
      <c r="H10604" s="22" t="s">
        <v>3866</v>
      </c>
      <c r="I10604" s="26">
        <v>43558.315266203703</v>
      </c>
      <c r="J10604" s="28" t="s">
        <v>52</v>
      </c>
      <c r="K10604" s="28" t="s">
        <v>52</v>
      </c>
      <c r="L10604" s="28" t="s">
        <v>52</v>
      </c>
      <c r="M10604" s="28" t="s">
        <v>52</v>
      </c>
      <c r="N10604" s="28" t="s">
        <v>52</v>
      </c>
    </row>
    <row r="10605" spans="1:14" x14ac:dyDescent="0.15">
      <c r="A10605" s="23" t="str">
        <f>HYPERLINK("https://www.spark-marketing.ru/Card/Person/37943", "ФГКУ КОМБИНАТ ""АРГУНЬ"" РОСРЕЗЕРВА")</f>
        <v>ФГКУ КОМБИНАТ "АРГУНЬ" РОСРЕЗЕРВА</v>
      </c>
      <c r="B10605" s="24" t="s">
        <v>12947</v>
      </c>
      <c r="C10605" s="25">
        <v>99000</v>
      </c>
      <c r="D10605" s="22" t="s">
        <v>12948</v>
      </c>
      <c r="E10605" s="22" t="s">
        <v>53</v>
      </c>
      <c r="F10605" s="23" t="str">
        <f>HYPERLINK("https://www.spark-marketing.ru/Card/Lot/70786095", "охрана груза в ж/д вагонах")</f>
        <v>охрана груза в ж/д вагонах</v>
      </c>
      <c r="G10605" s="22" t="s">
        <v>473</v>
      </c>
      <c r="H10605" s="22" t="s">
        <v>12949</v>
      </c>
      <c r="I10605" s="26">
        <v>43558.269791666702</v>
      </c>
      <c r="J10605" s="28" t="s">
        <v>52</v>
      </c>
      <c r="K10605" s="28" t="s">
        <v>52</v>
      </c>
      <c r="L10605" s="28" t="s">
        <v>52</v>
      </c>
      <c r="M10605" s="28" t="s">
        <v>52</v>
      </c>
      <c r="N10605" s="28" t="s">
        <v>52</v>
      </c>
    </row>
    <row r="10606" spans="1:14" x14ac:dyDescent="0.15">
      <c r="A10606" s="23" t="str">
        <f>HYPERLINK("https://www.spark-marketing.ru/Card/Person/15034", "ФНЦ БИОРАЗНООБРАЗИЯ ДВО РАН")</f>
        <v>ФНЦ БИОРАЗНООБРАЗИЯ ДВО РАН</v>
      </c>
      <c r="B10606" s="24" t="s">
        <v>12950</v>
      </c>
      <c r="C10606" s="25">
        <v>16650</v>
      </c>
      <c r="D10606" s="22" t="s">
        <v>12951</v>
      </c>
      <c r="E10606" s="22" t="s">
        <v>53</v>
      </c>
      <c r="F10606" s="23" t="str">
        <f>HYPERLINK("https://www.spark-marketing.ru/Card/Lot/70785927", "Эксплутационно-техническое обслуживание установок системы видеонаблюдения")</f>
        <v>Эксплутационно-техническое обслуживание установок системы видеонаблюдения</v>
      </c>
      <c r="G10606" s="22" t="s">
        <v>409</v>
      </c>
      <c r="H10606" s="22" t="s">
        <v>878</v>
      </c>
      <c r="I10606" s="26">
        <v>43558.1471296296</v>
      </c>
      <c r="J10606" s="28" t="s">
        <v>52</v>
      </c>
      <c r="K10606" s="28" t="s">
        <v>52</v>
      </c>
      <c r="L10606" s="28" t="s">
        <v>52</v>
      </c>
      <c r="M10606" s="28" t="s">
        <v>52</v>
      </c>
      <c r="N10606" s="28" t="s">
        <v>52</v>
      </c>
    </row>
    <row r="10607" spans="1:14" x14ac:dyDescent="0.15">
      <c r="A10607" s="23" t="str">
        <f>HYPERLINK("https://www.spark-marketing.ru/Card/Person/6450322", "ЗАКАЗЧИК РП БЕЛАРУСЬ")</f>
        <v>ЗАКАЗЧИК РП БЕЛАРУСЬ</v>
      </c>
      <c r="B10607" s="28" t="s">
        <v>52</v>
      </c>
      <c r="C10607" s="25">
        <v>8619245.4000000004</v>
      </c>
      <c r="D10607" s="22" t="s">
        <v>12952</v>
      </c>
      <c r="E10607" s="22" t="s">
        <v>53</v>
      </c>
      <c r="F10607" s="23" t="str">
        <f>HYPERLINK("https://www.spark-marketing.ru/Card/Lot/69257264", "Услуги по охране объектов гражданским персоналом сторожевой охраны Исполнителя на территории локомотивного депо Орша имени К.С.Заслонова")</f>
        <v>Услуги по охране объектов гражданским персоналом сторожевой охраны Исполнителя на территории локомотивного депо Орша имени К.С.Заслонова</v>
      </c>
      <c r="G10607" s="22" t="s">
        <v>52</v>
      </c>
      <c r="H10607" s="22" t="s">
        <v>52</v>
      </c>
      <c r="I10607" s="26">
        <v>43558</v>
      </c>
      <c r="J10607" s="28" t="s">
        <v>52</v>
      </c>
      <c r="K10607" s="28" t="s">
        <v>52</v>
      </c>
      <c r="L10607" s="28" t="s">
        <v>52</v>
      </c>
      <c r="M10607" s="28" t="s">
        <v>52</v>
      </c>
      <c r="N10607" s="28" t="s">
        <v>52</v>
      </c>
    </row>
    <row r="10608" spans="1:14" x14ac:dyDescent="0.15">
      <c r="A10608" s="23" t="str">
        <f t="shared" ref="A10608:A10616" si="490">HYPERLINK("https://www.spark-marketing.ru/Card/Person/32123", "ГБУ ""АВТОМОБИЛЬНЫЕ ДОРОГИ ЦАО""")</f>
        <v>ГБУ "АВТОМОБИЛЬНЫЕ ДОРОГИ ЦАО"</v>
      </c>
      <c r="B10608" s="24" t="s">
        <v>12953</v>
      </c>
      <c r="C10608" s="25">
        <v>646000</v>
      </c>
      <c r="D10608" s="22" t="s">
        <v>12954</v>
      </c>
      <c r="E10608" s="22" t="s">
        <v>349</v>
      </c>
      <c r="F10608" s="23" t="str">
        <f t="shared" ref="F10608:F10616" si="491">HYPERLINK("https://www.spark-marketing.ru/Card/Lot/69234184", "Оказание услуг по монтажу системы видеонаблюдения по адресу: г.Москва, Автомобильный проезд, д. 17")</f>
        <v>Оказание услуг по монтажу системы видеонаблюдения по адресу: г.Москва, Автомобильный проезд, д. 17</v>
      </c>
      <c r="G10608" s="22" t="s">
        <v>55</v>
      </c>
      <c r="H10608" s="22" t="s">
        <v>55</v>
      </c>
      <c r="I10608" s="26">
        <v>43557.819444444402</v>
      </c>
      <c r="J10608" s="28" t="s">
        <v>52</v>
      </c>
      <c r="K10608" s="28" t="s">
        <v>52</v>
      </c>
      <c r="L10608" s="28" t="s">
        <v>52</v>
      </c>
      <c r="M10608" s="28" t="s">
        <v>52</v>
      </c>
      <c r="N10608" s="28" t="s">
        <v>52</v>
      </c>
    </row>
    <row r="10609" spans="1:14" hidden="1" outlineLevel="1" x14ac:dyDescent="0.2">
      <c r="A10609" s="23" t="str">
        <f t="shared" si="490"/>
        <v>ГБУ "АВТОМОБИЛЬНЫЕ ДОРОГИ ЦАО"</v>
      </c>
      <c r="B10609" s="24" t="s">
        <v>12953</v>
      </c>
      <c r="C10609" s="25">
        <v>646000</v>
      </c>
      <c r="D10609" s="22" t="s">
        <v>12954</v>
      </c>
      <c r="E10609" s="22" t="s">
        <v>349</v>
      </c>
      <c r="F10609" s="23" t="str">
        <f t="shared" si="491"/>
        <v>Оказание услуг по монтажу системы видеонаблюдения по адресу: г.Москва, Автомобильный проезд, д. 17</v>
      </c>
      <c r="G10609" s="22" t="s">
        <v>55</v>
      </c>
      <c r="H10609" s="22" t="s">
        <v>55</v>
      </c>
      <c r="I10609" s="26">
        <v>43557.819444444402</v>
      </c>
      <c r="J10609" s="23" t="str">
        <f>HYPERLINK("https://www.spark-marketing.ru/Card/Person/117645", "ООО ""КОРПОРАЦИЯ СТЕЛЛА""")</f>
        <v>ООО "КОРПОРАЦИЯ СТЕЛЛА"</v>
      </c>
      <c r="K10609" s="24" t="s">
        <v>12955</v>
      </c>
      <c r="L10609" s="28" t="s">
        <v>52</v>
      </c>
      <c r="M10609" s="25">
        <v>261630</v>
      </c>
      <c r="N10609" s="27">
        <v>0.59499999999999997</v>
      </c>
    </row>
    <row r="10610" spans="1:14" hidden="1" outlineLevel="1" x14ac:dyDescent="0.2">
      <c r="A10610" s="23" t="str">
        <f t="shared" si="490"/>
        <v>ГБУ "АВТОМОБИЛЬНЫЕ ДОРОГИ ЦАО"</v>
      </c>
      <c r="B10610" s="24" t="s">
        <v>12953</v>
      </c>
      <c r="C10610" s="25">
        <v>646000</v>
      </c>
      <c r="D10610" s="22" t="s">
        <v>12954</v>
      </c>
      <c r="E10610" s="22" t="s">
        <v>349</v>
      </c>
      <c r="F10610" s="23" t="str">
        <f t="shared" si="491"/>
        <v>Оказание услуг по монтажу системы видеонаблюдения по адресу: г.Москва, Автомобильный проезд, д. 17</v>
      </c>
      <c r="G10610" s="22" t="s">
        <v>55</v>
      </c>
      <c r="H10610" s="22" t="s">
        <v>55</v>
      </c>
      <c r="I10610" s="26">
        <v>43557.819444444402</v>
      </c>
      <c r="J10610" s="23" t="str">
        <f>HYPERLINK("https://www.spark-marketing.ru/Card/Person/6399646", "Заика Олег Иванович")</f>
        <v>Заика Олег Иванович</v>
      </c>
      <c r="K10610" s="24" t="s">
        <v>3506</v>
      </c>
      <c r="L10610" s="28" t="s">
        <v>52</v>
      </c>
      <c r="M10610" s="25">
        <v>335920</v>
      </c>
      <c r="N10610" s="27">
        <v>0.48</v>
      </c>
    </row>
    <row r="10611" spans="1:14" ht="12.75" hidden="1" outlineLevel="1" x14ac:dyDescent="0.2">
      <c r="A10611" s="23" t="str">
        <f t="shared" si="490"/>
        <v>ГБУ "АВТОМОБИЛЬНЫЕ ДОРОГИ ЦАО"</v>
      </c>
      <c r="B10611" s="24" t="s">
        <v>12953</v>
      </c>
      <c r="C10611" s="25">
        <v>646000</v>
      </c>
      <c r="D10611" s="22" t="s">
        <v>12954</v>
      </c>
      <c r="E10611" s="22" t="s">
        <v>349</v>
      </c>
      <c r="F10611" s="23" t="str">
        <f t="shared" si="491"/>
        <v>Оказание услуг по монтажу системы видеонаблюдения по адресу: г.Москва, Автомобильный проезд, д. 17</v>
      </c>
      <c r="G10611" s="22" t="s">
        <v>55</v>
      </c>
      <c r="H10611" s="22" t="s">
        <v>55</v>
      </c>
      <c r="I10611" s="26">
        <v>43557.819444444402</v>
      </c>
      <c r="J10611" s="23" t="str">
        <f>HYPERLINK("https://www.spark-marketing.ru/Card/Person/6514628", "Алиева Диана Руслановна")</f>
        <v>Алиева Диана Руслановна</v>
      </c>
      <c r="K10611" s="24" t="s">
        <v>10048</v>
      </c>
      <c r="L10611" s="22" t="s">
        <v>10</v>
      </c>
      <c r="M10611" s="25">
        <v>258400</v>
      </c>
      <c r="N10611" s="27">
        <v>0.6</v>
      </c>
    </row>
    <row r="10612" spans="1:14" hidden="1" outlineLevel="1" x14ac:dyDescent="0.2">
      <c r="A10612" s="23" t="str">
        <f t="shared" si="490"/>
        <v>ГБУ "АВТОМОБИЛЬНЫЕ ДОРОГИ ЦАО"</v>
      </c>
      <c r="B10612" s="24" t="s">
        <v>12953</v>
      </c>
      <c r="C10612" s="25">
        <v>646000</v>
      </c>
      <c r="D10612" s="22" t="s">
        <v>12954</v>
      </c>
      <c r="E10612" s="22" t="s">
        <v>349</v>
      </c>
      <c r="F10612" s="23" t="str">
        <f t="shared" si="491"/>
        <v>Оказание услуг по монтажу системы видеонаблюдения по адресу: г.Москва, Автомобильный проезд, д. 17</v>
      </c>
      <c r="G10612" s="22" t="s">
        <v>55</v>
      </c>
      <c r="H10612" s="22" t="s">
        <v>55</v>
      </c>
      <c r="I10612" s="26">
        <v>43557.819444444402</v>
      </c>
      <c r="J10612" s="23" t="str">
        <f>HYPERLINK("https://www.spark-marketing.ru/Card/Person/4954405", "ООО ""АНГАРЕЙОН-СБ""")</f>
        <v>ООО "АНГАРЕЙОН-СБ"</v>
      </c>
      <c r="K10612" s="24" t="s">
        <v>3508</v>
      </c>
      <c r="L10612" s="28" t="s">
        <v>52</v>
      </c>
      <c r="M10612" s="25">
        <v>384370</v>
      </c>
      <c r="N10612" s="27">
        <v>0.40500000000000003</v>
      </c>
    </row>
    <row r="10613" spans="1:14" hidden="1" outlineLevel="1" x14ac:dyDescent="0.2">
      <c r="A10613" s="23" t="str">
        <f t="shared" si="490"/>
        <v>ГБУ "АВТОМОБИЛЬНЫЕ ДОРОГИ ЦАО"</v>
      </c>
      <c r="B10613" s="24" t="s">
        <v>12953</v>
      </c>
      <c r="C10613" s="25">
        <v>646000</v>
      </c>
      <c r="D10613" s="22" t="s">
        <v>12954</v>
      </c>
      <c r="E10613" s="22" t="s">
        <v>349</v>
      </c>
      <c r="F10613" s="23" t="str">
        <f t="shared" si="491"/>
        <v>Оказание услуг по монтажу системы видеонаблюдения по адресу: г.Москва, Автомобильный проезд, д. 17</v>
      </c>
      <c r="G10613" s="22" t="s">
        <v>55</v>
      </c>
      <c r="H10613" s="22" t="s">
        <v>55</v>
      </c>
      <c r="I10613" s="26">
        <v>43557.819444444402</v>
      </c>
      <c r="J10613" s="23" t="str">
        <f>HYPERLINK("https://www.spark-marketing.ru/Card/Person/91163", "ООО "" ИМПУЛЬС """)</f>
        <v>ООО " ИМПУЛЬС "</v>
      </c>
      <c r="K10613" s="24" t="s">
        <v>5036</v>
      </c>
      <c r="L10613" s="28" t="s">
        <v>52</v>
      </c>
      <c r="M10613" s="25">
        <v>565250</v>
      </c>
      <c r="N10613" s="27">
        <v>0.125</v>
      </c>
    </row>
    <row r="10614" spans="1:14" hidden="1" outlineLevel="1" x14ac:dyDescent="0.2">
      <c r="A10614" s="23" t="str">
        <f t="shared" si="490"/>
        <v>ГБУ "АВТОМОБИЛЬНЫЕ ДОРОГИ ЦАО"</v>
      </c>
      <c r="B10614" s="24" t="s">
        <v>12953</v>
      </c>
      <c r="C10614" s="25">
        <v>646000</v>
      </c>
      <c r="D10614" s="22" t="s">
        <v>12954</v>
      </c>
      <c r="E10614" s="22" t="s">
        <v>349</v>
      </c>
      <c r="F10614" s="23" t="str">
        <f t="shared" si="491"/>
        <v>Оказание услуг по монтажу системы видеонаблюдения по адресу: г.Москва, Автомобильный проезд, д. 17</v>
      </c>
      <c r="G10614" s="22" t="s">
        <v>55</v>
      </c>
      <c r="H10614" s="22" t="s">
        <v>55</v>
      </c>
      <c r="I10614" s="26">
        <v>43557.819444444402</v>
      </c>
      <c r="J10614" s="23" t="str">
        <f>HYPERLINK("https://www.spark-marketing.ru/Card/Person/6445825", "Судариков Михаил Геннадьевич")</f>
        <v>Судариков Михаил Геннадьевич</v>
      </c>
      <c r="K10614" s="24" t="s">
        <v>1219</v>
      </c>
      <c r="L10614" s="28" t="s">
        <v>52</v>
      </c>
      <c r="M10614" s="25">
        <v>326230</v>
      </c>
      <c r="N10614" s="27">
        <v>0.495</v>
      </c>
    </row>
    <row r="10615" spans="1:14" hidden="1" outlineLevel="1" x14ac:dyDescent="0.2">
      <c r="A10615" s="23" t="str">
        <f t="shared" si="490"/>
        <v>ГБУ "АВТОМОБИЛЬНЫЕ ДОРОГИ ЦАО"</v>
      </c>
      <c r="B10615" s="24" t="s">
        <v>12953</v>
      </c>
      <c r="C10615" s="25">
        <v>646000</v>
      </c>
      <c r="D10615" s="22" t="s">
        <v>12954</v>
      </c>
      <c r="E10615" s="22" t="s">
        <v>349</v>
      </c>
      <c r="F10615" s="23" t="str">
        <f t="shared" si="491"/>
        <v>Оказание услуг по монтажу системы видеонаблюдения по адресу: г.Москва, Автомобильный проезд, д. 17</v>
      </c>
      <c r="G10615" s="22" t="s">
        <v>55</v>
      </c>
      <c r="H10615" s="22" t="s">
        <v>55</v>
      </c>
      <c r="I10615" s="26">
        <v>43557.819444444402</v>
      </c>
      <c r="J10615" s="23" t="str">
        <f>HYPERLINK("https://www.spark-marketing.ru/Card/Person/6231494", "ООО ""ИСБ ПЛЮС""")</f>
        <v>ООО "ИСБ ПЛЮС"</v>
      </c>
      <c r="K10615" s="24" t="s">
        <v>1584</v>
      </c>
      <c r="L10615" s="28" t="s">
        <v>52</v>
      </c>
      <c r="M10615" s="25">
        <v>342380</v>
      </c>
      <c r="N10615" s="27">
        <v>0.47</v>
      </c>
    </row>
    <row r="10616" spans="1:14" hidden="1" outlineLevel="1" x14ac:dyDescent="0.2">
      <c r="A10616" s="23" t="str">
        <f t="shared" si="490"/>
        <v>ГБУ "АВТОМОБИЛЬНЫЕ ДОРОГИ ЦАО"</v>
      </c>
      <c r="B10616" s="24" t="s">
        <v>12953</v>
      </c>
      <c r="C10616" s="25">
        <v>646000</v>
      </c>
      <c r="D10616" s="22" t="s">
        <v>12954</v>
      </c>
      <c r="E10616" s="22" t="s">
        <v>349</v>
      </c>
      <c r="F10616" s="23" t="str">
        <f t="shared" si="491"/>
        <v>Оказание услуг по монтажу системы видеонаблюдения по адресу: г.Москва, Автомобильный проезд, д. 17</v>
      </c>
      <c r="G10616" s="22" t="s">
        <v>55</v>
      </c>
      <c r="H10616" s="22" t="s">
        <v>55</v>
      </c>
      <c r="I10616" s="26">
        <v>43557.819444444402</v>
      </c>
      <c r="J10616" s="23" t="str">
        <f>HYPERLINK("https://www.spark-marketing.ru/Card/Person/6518817", "Соловьев Максим Алексеевич")</f>
        <v>Соловьев Максим Алексеевич</v>
      </c>
      <c r="K10616" s="24" t="s">
        <v>12956</v>
      </c>
      <c r="L10616" s="28" t="s">
        <v>52</v>
      </c>
      <c r="M10616" s="25">
        <v>565250</v>
      </c>
      <c r="N10616" s="27">
        <v>0.125</v>
      </c>
    </row>
    <row r="10617" spans="1:14" x14ac:dyDescent="0.15">
      <c r="A10617" s="23" t="str">
        <f>HYPERLINK("https://www.spark-marketing.ru/Card/Person/567510", "АО ""ПП СПБ МФ""")</f>
        <v>АО "ПП СПБ МФ"</v>
      </c>
      <c r="B10617" s="24" t="s">
        <v>10833</v>
      </c>
      <c r="C10617" s="25">
        <v>28250496</v>
      </c>
      <c r="D10617" s="22" t="s">
        <v>12957</v>
      </c>
      <c r="E10617" s="22" t="s">
        <v>144</v>
      </c>
      <c r="F10617" s="23" t="str">
        <f>HYPERLINK("https://www.spark-marketing.ru/Card/Lot/69233893", "Российский рубль")</f>
        <v>Российский рубль</v>
      </c>
      <c r="G10617" s="22" t="s">
        <v>89</v>
      </c>
      <c r="H10617" s="22" t="s">
        <v>89</v>
      </c>
      <c r="I10617" s="26">
        <v>43557.742488425902</v>
      </c>
      <c r="J10617" s="28" t="s">
        <v>52</v>
      </c>
      <c r="K10617" s="28" t="s">
        <v>52</v>
      </c>
      <c r="L10617" s="28" t="s">
        <v>52</v>
      </c>
      <c r="M10617" s="28" t="s">
        <v>52</v>
      </c>
      <c r="N10617" s="28" t="s">
        <v>52</v>
      </c>
    </row>
    <row r="10618" spans="1:14" hidden="1" outlineLevel="1" x14ac:dyDescent="0.2">
      <c r="A10618" s="23" t="str">
        <f>HYPERLINK("https://www.spark-marketing.ru/Card/Person/567510", "АО ""ПП СПБ МФ""")</f>
        <v>АО "ПП СПБ МФ"</v>
      </c>
      <c r="B10618" s="24" t="s">
        <v>10833</v>
      </c>
      <c r="C10618" s="28" t="s">
        <v>52</v>
      </c>
      <c r="D10618" s="22" t="s">
        <v>12957</v>
      </c>
      <c r="E10618" s="22" t="s">
        <v>144</v>
      </c>
      <c r="F10618" s="23" t="str">
        <f>HYPERLINK("https://www.spark-marketing.ru/Card/Lot/69233893", "Российский рубль")</f>
        <v>Российский рубль</v>
      </c>
      <c r="G10618" s="22" t="s">
        <v>89</v>
      </c>
      <c r="H10618" s="22" t="s">
        <v>89</v>
      </c>
      <c r="I10618" s="26">
        <v>43557.742488425902</v>
      </c>
      <c r="J10618" s="23" t="str">
        <f>HYPERLINK("https://www.spark-marketing.ru/Card/Person/1789856", "Северо-Западный ФЛ ФГУП ""УВО Минтранса России""")</f>
        <v>Северо-Западный ФЛ ФГУП "УВО Минтранса России"</v>
      </c>
      <c r="K10618" s="24" t="s">
        <v>1472</v>
      </c>
      <c r="L10618" s="28" t="s">
        <v>52</v>
      </c>
      <c r="M10618" s="25">
        <v>27972000</v>
      </c>
      <c r="N10618" s="27">
        <v>9.858092403050198E-3</v>
      </c>
    </row>
    <row r="10619" spans="1:14" hidden="1" outlineLevel="1" x14ac:dyDescent="0.2">
      <c r="A10619" s="23" t="str">
        <f>HYPERLINK("https://www.spark-marketing.ru/Card/Person/567510", "АО ""ПП СПБ МФ""")</f>
        <v>АО "ПП СПБ МФ"</v>
      </c>
      <c r="B10619" s="24" t="s">
        <v>10833</v>
      </c>
      <c r="C10619" s="28" t="s">
        <v>52</v>
      </c>
      <c r="D10619" s="22" t="s">
        <v>12957</v>
      </c>
      <c r="E10619" s="22" t="s">
        <v>144</v>
      </c>
      <c r="F10619" s="23" t="str">
        <f>HYPERLINK("https://www.spark-marketing.ru/Card/Lot/69233893", "Российский рубль")</f>
        <v>Российский рубль</v>
      </c>
      <c r="G10619" s="22" t="s">
        <v>89</v>
      </c>
      <c r="H10619" s="22" t="s">
        <v>89</v>
      </c>
      <c r="I10619" s="26">
        <v>43557.742488425902</v>
      </c>
      <c r="J10619" s="23" t="str">
        <f>HYPERLINK("https://www.spark-marketing.ru/Card/Person/6504373", "ООО ""БАЛТИК ЭСКОРТ ТБ""")</f>
        <v>ООО "БАЛТИК ЭСКОРТ ТБ"</v>
      </c>
      <c r="K10619" s="24" t="s">
        <v>12958</v>
      </c>
      <c r="L10619" s="22" t="s">
        <v>10</v>
      </c>
      <c r="M10619" s="25">
        <v>27580320</v>
      </c>
      <c r="N10619" s="27">
        <v>2.3722627737226276E-2</v>
      </c>
    </row>
    <row r="10620" spans="1:14" hidden="1" outlineLevel="1" x14ac:dyDescent="0.2">
      <c r="A10620" s="23" t="str">
        <f>HYPERLINK("https://www.spark-marketing.ru/Card/Person/567510", "АО ""ПП СПБ МФ""")</f>
        <v>АО "ПП СПБ МФ"</v>
      </c>
      <c r="B10620" s="24" t="s">
        <v>10833</v>
      </c>
      <c r="C10620" s="28" t="s">
        <v>52</v>
      </c>
      <c r="D10620" s="22" t="s">
        <v>12957</v>
      </c>
      <c r="E10620" s="22" t="s">
        <v>144</v>
      </c>
      <c r="F10620" s="23" t="str">
        <f>HYPERLINK("https://www.spark-marketing.ru/Card/Lot/69233893", "Российский рубль")</f>
        <v>Российский рубль</v>
      </c>
      <c r="G10620" s="22" t="s">
        <v>89</v>
      </c>
      <c r="H10620" s="22" t="s">
        <v>89</v>
      </c>
      <c r="I10620" s="26">
        <v>43557.742488425902</v>
      </c>
      <c r="J10620" s="23" t="str">
        <f>HYPERLINK("https://www.spark-marketing.ru/Card/Person/6527830", "ООО ""ЭКСПЕРТ ПЛЮС""")</f>
        <v>ООО "ЭКСПЕРТ ПЛЮС"</v>
      </c>
      <c r="K10620" s="24" t="s">
        <v>12959</v>
      </c>
      <c r="L10620" s="28" t="s">
        <v>52</v>
      </c>
      <c r="M10620" s="25">
        <v>23500000</v>
      </c>
      <c r="N10620" s="27">
        <v>0.16815619803631057</v>
      </c>
    </row>
    <row r="10621" spans="1:14" x14ac:dyDescent="0.15">
      <c r="A10621" s="23" t="str">
        <f>HYPERLINK("https://www.spark-marketing.ru/Card/Person/4352233", "ГБУЗС ""ГОРОДСКАЯ БОЛЬНИЦА №1""")</f>
        <v>ГБУЗС "ГОРОДСКАЯ БОЛЬНИЦА №1"</v>
      </c>
      <c r="B10621" s="24" t="s">
        <v>4679</v>
      </c>
      <c r="C10621" s="25">
        <v>85466.67</v>
      </c>
      <c r="D10621" s="22" t="s">
        <v>12960</v>
      </c>
      <c r="E10621" s="22" t="s">
        <v>68</v>
      </c>
      <c r="F10621" s="23" t="str">
        <f>HYPERLINK("https://www.spark-marketing.ru/Card/Lot/69231804", "на оказание услуг по техническому обслуживанию средств охраны: тревожные кнопки и охранная сигнализация")</f>
        <v>на оказание услуг по техническому обслуживанию средств охраны: тревожные кнопки и охранная сигнализация</v>
      </c>
      <c r="G10621" s="22" t="s">
        <v>714</v>
      </c>
      <c r="H10621" s="22" t="s">
        <v>714</v>
      </c>
      <c r="I10621" s="26">
        <v>43557.709027777797</v>
      </c>
      <c r="J10621" s="28" t="s">
        <v>52</v>
      </c>
      <c r="K10621" s="28" t="s">
        <v>52</v>
      </c>
      <c r="L10621" s="28" t="s">
        <v>52</v>
      </c>
      <c r="M10621" s="28" t="s">
        <v>52</v>
      </c>
      <c r="N10621" s="28" t="s">
        <v>52</v>
      </c>
    </row>
    <row r="10622" spans="1:14" hidden="1" outlineLevel="1" x14ac:dyDescent="0.2">
      <c r="A10622" s="23" t="str">
        <f>HYPERLINK("https://www.spark-marketing.ru/Card/Person/4352233", "ГБУЗС ""ГОРОДСКАЯ БОЛЬНИЦА №1""")</f>
        <v>ГБУЗС "ГОРОДСКАЯ БОЛЬНИЦА №1"</v>
      </c>
      <c r="B10622" s="24" t="s">
        <v>4679</v>
      </c>
      <c r="C10622" s="25">
        <v>85466.67</v>
      </c>
      <c r="D10622" s="22" t="s">
        <v>12960</v>
      </c>
      <c r="E10622" s="22" t="s">
        <v>68</v>
      </c>
      <c r="F10622" s="23" t="str">
        <f>HYPERLINK("https://www.spark-marketing.ru/Card/Lot/69231804", "на оказание услуг по техническому обслуживанию средств охраны: тревожные кнопки и охранная сигнализация")</f>
        <v>на оказание услуг по техническому обслуживанию средств охраны: тревожные кнопки и охранная сигнализация</v>
      </c>
      <c r="G10622" s="22" t="s">
        <v>714</v>
      </c>
      <c r="H10622" s="22" t="s">
        <v>714</v>
      </c>
      <c r="I10622" s="26">
        <v>43557.709027777797</v>
      </c>
      <c r="J10622" s="23" t="str">
        <f>HYPERLINK("https://www.spark-marketing.ru/Card/Person/6516144", "ООО ""ИНСТАЛЛЕКС""")</f>
        <v>ООО "ИНСТАЛЛЕКС"</v>
      </c>
      <c r="K10622" s="24" t="s">
        <v>12961</v>
      </c>
      <c r="L10622" s="28" t="s">
        <v>52</v>
      </c>
      <c r="M10622" s="25">
        <v>16240.92</v>
      </c>
      <c r="N10622" s="27">
        <v>0.8099736423567222</v>
      </c>
    </row>
    <row r="10623" spans="1:14" ht="12.75" hidden="1" outlineLevel="1" x14ac:dyDescent="0.2">
      <c r="A10623" s="23" t="str">
        <f>HYPERLINK("https://www.spark-marketing.ru/Card/Person/4352233", "ГБУЗС ""ГОРОДСКАЯ БОЛЬНИЦА №1""")</f>
        <v>ГБУЗС "ГОРОДСКАЯ БОЛЬНИЦА №1"</v>
      </c>
      <c r="B10623" s="24" t="s">
        <v>4679</v>
      </c>
      <c r="C10623" s="25">
        <v>85466.67</v>
      </c>
      <c r="D10623" s="22" t="s">
        <v>12960</v>
      </c>
      <c r="E10623" s="22" t="s">
        <v>68</v>
      </c>
      <c r="F10623" s="23" t="str">
        <f>HYPERLINK("https://www.spark-marketing.ru/Card/Lot/69231804", "на оказание услуг по техническому обслуживанию средств охраны: тревожные кнопки и охранная сигнализация")</f>
        <v>на оказание услуг по техническому обслуживанию средств охраны: тревожные кнопки и охранная сигнализация</v>
      </c>
      <c r="G10623" s="22" t="s">
        <v>714</v>
      </c>
      <c r="H10623" s="22" t="s">
        <v>714</v>
      </c>
      <c r="I10623" s="26">
        <v>43557.709027777797</v>
      </c>
      <c r="J10623" s="23" t="str">
        <f>HYPERLINK("https://www.spark-marketing.ru/Card/Person/5583057", "ООО ""ОХРАНА-КОМПЛЕКС""")</f>
        <v>ООО "ОХРАНА-КОМПЛЕКС"</v>
      </c>
      <c r="K10623" s="24" t="s">
        <v>12962</v>
      </c>
      <c r="L10623" s="22" t="s">
        <v>10</v>
      </c>
      <c r="M10623" s="25">
        <v>15813.6</v>
      </c>
      <c r="N10623" s="27">
        <v>0.81497348615548026</v>
      </c>
    </row>
    <row r="10624" spans="1:14" hidden="1" outlineLevel="1" x14ac:dyDescent="0.2">
      <c r="A10624" s="23" t="str">
        <f>HYPERLINK("https://www.spark-marketing.ru/Card/Person/4352233", "ГБУЗС ""ГОРОДСКАЯ БОЛЬНИЦА №1""")</f>
        <v>ГБУЗС "ГОРОДСКАЯ БОЛЬНИЦА №1"</v>
      </c>
      <c r="B10624" s="24" t="s">
        <v>4679</v>
      </c>
      <c r="C10624" s="25">
        <v>85466.67</v>
      </c>
      <c r="D10624" s="22" t="s">
        <v>12960</v>
      </c>
      <c r="E10624" s="22" t="s">
        <v>68</v>
      </c>
      <c r="F10624" s="23" t="str">
        <f>HYPERLINK("https://www.spark-marketing.ru/Card/Lot/69231804", "на оказание услуг по техническому обслуживанию средств охраны: тревожные кнопки и охранная сигнализация")</f>
        <v>на оказание услуг по техническому обслуживанию средств охраны: тревожные кнопки и охранная сигнализация</v>
      </c>
      <c r="G10624" s="22" t="s">
        <v>714</v>
      </c>
      <c r="H10624" s="22" t="s">
        <v>714</v>
      </c>
      <c r="I10624" s="26">
        <v>43557.709027777797</v>
      </c>
      <c r="J10624" s="23" t="str">
        <f>HYPERLINK("https://www.spark-marketing.ru/Card/Person/4855004", "Бакши Игорь Анатольевич")</f>
        <v>Бакши Игорь Анатольевич</v>
      </c>
      <c r="K10624" s="24" t="s">
        <v>10078</v>
      </c>
      <c r="L10624" s="28" t="s">
        <v>52</v>
      </c>
      <c r="M10624" s="25">
        <v>50000</v>
      </c>
      <c r="N10624" s="27">
        <v>0.41497662188078699</v>
      </c>
    </row>
    <row r="10625" spans="1:14" x14ac:dyDescent="0.15">
      <c r="A10625" s="23" t="str">
        <f>HYPERLINK("https://www.spark-marketing.ru/Card/Person/46850", "ОГАУЗ ""ОДБ""")</f>
        <v>ОГАУЗ "ОДБ"</v>
      </c>
      <c r="B10625" s="24" t="s">
        <v>12963</v>
      </c>
      <c r="C10625" s="25">
        <v>935022</v>
      </c>
      <c r="D10625" s="22" t="s">
        <v>12964</v>
      </c>
      <c r="E10625" s="22" t="s">
        <v>144</v>
      </c>
      <c r="F10625" s="23" t="str">
        <f>HYPERLINK("https://www.spark-marketing.ru/Card/Lot/69220367", "Оказание услуг по охране объектов недвижимости и имущества стационара и прилегающей территории ОГАУЗ «ОДБ» в 2019 году")</f>
        <v>Оказание услуг по охране объектов недвижимости и имущества стационара и прилегающей территории ОГАУЗ «ОДБ» в 2019 году</v>
      </c>
      <c r="G10625" s="22" t="s">
        <v>150</v>
      </c>
      <c r="H10625" s="22" t="s">
        <v>150</v>
      </c>
      <c r="I10625" s="26">
        <v>43557.710254629601</v>
      </c>
      <c r="J10625" s="28" t="s">
        <v>52</v>
      </c>
      <c r="K10625" s="28" t="s">
        <v>52</v>
      </c>
      <c r="L10625" s="28" t="s">
        <v>52</v>
      </c>
      <c r="M10625" s="28" t="s">
        <v>52</v>
      </c>
      <c r="N10625" s="28" t="s">
        <v>52</v>
      </c>
    </row>
    <row r="10626" spans="1:14" hidden="1" outlineLevel="1" x14ac:dyDescent="0.2">
      <c r="A10626" s="23" t="str">
        <f>HYPERLINK("https://www.spark-marketing.ru/Card/Person/46850", "ОГАУЗ ""ОДБ""")</f>
        <v>ОГАУЗ "ОДБ"</v>
      </c>
      <c r="B10626" s="24" t="s">
        <v>12963</v>
      </c>
      <c r="C10626" s="28" t="s">
        <v>52</v>
      </c>
      <c r="D10626" s="22" t="s">
        <v>12964</v>
      </c>
      <c r="E10626" s="22" t="s">
        <v>144</v>
      </c>
      <c r="F10626" s="23" t="str">
        <f>HYPERLINK("https://www.spark-marketing.ru/Card/Lot/69220367", "Оказание услуг по охране объектов недвижимости и имущества стационара и прилегающей территории ОГАУЗ «ОДБ» в 2019 году")</f>
        <v>Оказание услуг по охране объектов недвижимости и имущества стационара и прилегающей территории ОГАУЗ «ОДБ» в 2019 году</v>
      </c>
      <c r="G10626" s="22" t="s">
        <v>150</v>
      </c>
      <c r="H10626" s="22" t="s">
        <v>150</v>
      </c>
      <c r="I10626" s="26">
        <v>43557.710254629601</v>
      </c>
      <c r="J10626" s="23" t="str">
        <f>HYPERLINK("https://www.spark-marketing.ru/Card/Person/87408", "ООО ""ЧАСТНОЕ ОХРАННОЕ АГЕНТСТВО ""ВЕГА-Т""")</f>
        <v>ООО "ЧАСТНОЕ ОХРАННОЕ АГЕНТСТВО "ВЕГА-Т"</v>
      </c>
      <c r="K10626" s="24" t="s">
        <v>12965</v>
      </c>
      <c r="L10626" s="22" t="s">
        <v>10</v>
      </c>
      <c r="M10626" s="25">
        <v>567600</v>
      </c>
      <c r="N10626" s="27">
        <v>0.39295545987153241</v>
      </c>
    </row>
    <row r="10627" spans="1:14" hidden="1" outlineLevel="1" x14ac:dyDescent="0.2">
      <c r="A10627" s="23" t="str">
        <f>HYPERLINK("https://www.spark-marketing.ru/Card/Person/46850", "ОГАУЗ ""ОДБ""")</f>
        <v>ОГАУЗ "ОДБ"</v>
      </c>
      <c r="B10627" s="24" t="s">
        <v>12963</v>
      </c>
      <c r="C10627" s="28" t="s">
        <v>52</v>
      </c>
      <c r="D10627" s="22" t="s">
        <v>12964</v>
      </c>
      <c r="E10627" s="22" t="s">
        <v>144</v>
      </c>
      <c r="F10627" s="23" t="str">
        <f>HYPERLINK("https://www.spark-marketing.ru/Card/Lot/69220367", "Оказание услуг по охране объектов недвижимости и имущества стационара и прилегающей территории ОГАУЗ «ОДБ» в 2019 году")</f>
        <v>Оказание услуг по охране объектов недвижимости и имущества стационара и прилегающей территории ОГАУЗ «ОДБ» в 2019 году</v>
      </c>
      <c r="G10627" s="22" t="s">
        <v>150</v>
      </c>
      <c r="H10627" s="22" t="s">
        <v>150</v>
      </c>
      <c r="I10627" s="26">
        <v>43557.710254629601</v>
      </c>
      <c r="J10627" s="23" t="str">
        <f>HYPERLINK("https://www.spark-marketing.ru/Card/Person/75252", "ООО ЧОП ""АЙСБЕРГ""")</f>
        <v>ООО ЧОП "АЙСБЕРГ"</v>
      </c>
      <c r="K10627" s="24" t="s">
        <v>12966</v>
      </c>
      <c r="L10627" s="28" t="s">
        <v>52</v>
      </c>
      <c r="M10627" s="25">
        <v>891000</v>
      </c>
      <c r="N10627" s="27">
        <v>4.7081245147173011E-2</v>
      </c>
    </row>
    <row r="10628" spans="1:14" hidden="1" outlineLevel="1" x14ac:dyDescent="0.2">
      <c r="A10628" s="23" t="str">
        <f>HYPERLINK("https://www.spark-marketing.ru/Card/Person/46850", "ОГАУЗ ""ОДБ""")</f>
        <v>ОГАУЗ "ОДБ"</v>
      </c>
      <c r="B10628" s="24" t="s">
        <v>12963</v>
      </c>
      <c r="C10628" s="28" t="s">
        <v>52</v>
      </c>
      <c r="D10628" s="22" t="s">
        <v>12964</v>
      </c>
      <c r="E10628" s="22" t="s">
        <v>144</v>
      </c>
      <c r="F10628" s="23" t="str">
        <f>HYPERLINK("https://www.spark-marketing.ru/Card/Lot/69220367", "Оказание услуг по охране объектов недвижимости и имущества стационара и прилегающей территории ОГАУЗ «ОДБ» в 2019 году")</f>
        <v>Оказание услуг по охране объектов недвижимости и имущества стационара и прилегающей территории ОГАУЗ «ОДБ» в 2019 году</v>
      </c>
      <c r="G10628" s="22" t="s">
        <v>150</v>
      </c>
      <c r="H10628" s="22" t="s">
        <v>150</v>
      </c>
      <c r="I10628" s="26">
        <v>43557.710254629601</v>
      </c>
      <c r="J10628" s="23" t="str">
        <f>HYPERLINK("https://www.spark-marketing.ru/Card/Person/4698951", "ООО ЧОП ""ЦСБ""")</f>
        <v>ООО ЧОП "ЦСБ"</v>
      </c>
      <c r="K10628" s="24" t="s">
        <v>12967</v>
      </c>
      <c r="L10628" s="28" t="s">
        <v>52</v>
      </c>
      <c r="M10628" s="25">
        <v>917400</v>
      </c>
      <c r="N10628" s="27">
        <v>1.8846615373755912E-2</v>
      </c>
    </row>
    <row r="10629" spans="1:14" x14ac:dyDescent="0.15">
      <c r="A10629" s="23" t="str">
        <f t="shared" ref="A10629:A10634" si="492">HYPERLINK("https://www.spark-marketing.ru/Card/Person/14761", "МКУ "" ПЕРМСКОЕ ГОРОДСКОЕ УПРАВЛЕНИЕ ГРАЖДАНСКОЙ ЗАЩИТЫ"", МКУ ПГУГЗ")</f>
        <v>МКУ " ПЕРМСКОЕ ГОРОДСКОЕ УПРАВЛЕНИЕ ГРАЖДАНСКОЙ ЗАЩИТЫ", МКУ ПГУГЗ</v>
      </c>
      <c r="B10629" s="24" t="s">
        <v>12968</v>
      </c>
      <c r="C10629" s="25">
        <v>24273.32</v>
      </c>
      <c r="D10629" s="22" t="s">
        <v>12969</v>
      </c>
      <c r="E10629" s="22" t="s">
        <v>103</v>
      </c>
      <c r="F10629" s="23" t="str">
        <f t="shared" ref="F10629:F10634" si="493">HYPERLINK("https://www.spark-marketing.ru/Card/Lot/69230321", "Техническое обслуживание системы видеонаблюдения")</f>
        <v>Техническое обслуживание системы видеонаблюдения</v>
      </c>
      <c r="G10629" s="22" t="s">
        <v>391</v>
      </c>
      <c r="H10629" s="22" t="s">
        <v>391</v>
      </c>
      <c r="I10629" s="26">
        <v>43557.748611111099</v>
      </c>
      <c r="J10629" s="28" t="s">
        <v>52</v>
      </c>
      <c r="K10629" s="28" t="s">
        <v>52</v>
      </c>
      <c r="L10629" s="28" t="s">
        <v>52</v>
      </c>
      <c r="M10629" s="28" t="s">
        <v>52</v>
      </c>
      <c r="N10629" s="28" t="s">
        <v>52</v>
      </c>
    </row>
    <row r="10630" spans="1:14" hidden="1" outlineLevel="1" x14ac:dyDescent="0.2">
      <c r="A10630" s="23" t="str">
        <f t="shared" si="492"/>
        <v>МКУ " ПЕРМСКОЕ ГОРОДСКОЕ УПРАВЛЕНИЕ ГРАЖДАНСКОЙ ЗАЩИТЫ", МКУ ПГУГЗ</v>
      </c>
      <c r="B10630" s="24" t="s">
        <v>12968</v>
      </c>
      <c r="C10630" s="25">
        <v>24273.32</v>
      </c>
      <c r="D10630" s="22" t="s">
        <v>12969</v>
      </c>
      <c r="E10630" s="22" t="s">
        <v>103</v>
      </c>
      <c r="F10630" s="23" t="str">
        <f t="shared" si="493"/>
        <v>Техническое обслуживание системы видеонаблюдения</v>
      </c>
      <c r="G10630" s="22" t="s">
        <v>391</v>
      </c>
      <c r="H10630" s="22" t="s">
        <v>391</v>
      </c>
      <c r="I10630" s="26">
        <v>43557.748611111099</v>
      </c>
      <c r="J10630" s="23" t="str">
        <f>HYPERLINK("https://www.spark-marketing.ru/Card/Person/1416071", "Баженов Александр Николаевич")</f>
        <v>Баженов Александр Николаевич</v>
      </c>
      <c r="K10630" s="24" t="s">
        <v>12970</v>
      </c>
      <c r="L10630" s="28" t="s">
        <v>52</v>
      </c>
      <c r="M10630" s="25">
        <v>7998.25</v>
      </c>
      <c r="N10630" s="27">
        <v>0.6704921288064426</v>
      </c>
    </row>
    <row r="10631" spans="1:14" ht="12.75" hidden="1" outlineLevel="1" x14ac:dyDescent="0.2">
      <c r="A10631" s="23" t="str">
        <f t="shared" si="492"/>
        <v>МКУ " ПЕРМСКОЕ ГОРОДСКОЕ УПРАВЛЕНИЕ ГРАЖДАНСКОЙ ЗАЩИТЫ", МКУ ПГУГЗ</v>
      </c>
      <c r="B10631" s="24" t="s">
        <v>12968</v>
      </c>
      <c r="C10631" s="25">
        <v>24273.32</v>
      </c>
      <c r="D10631" s="22" t="s">
        <v>12969</v>
      </c>
      <c r="E10631" s="22" t="s">
        <v>103</v>
      </c>
      <c r="F10631" s="23" t="str">
        <f t="shared" si="493"/>
        <v>Техническое обслуживание системы видеонаблюдения</v>
      </c>
      <c r="G10631" s="22" t="s">
        <v>391</v>
      </c>
      <c r="H10631" s="22" t="s">
        <v>391</v>
      </c>
      <c r="I10631" s="26">
        <v>43557.748611111099</v>
      </c>
      <c r="J10631" s="23" t="str">
        <f>HYPERLINK("https://www.spark-marketing.ru/Card/Person/6443823", "ООО ""СВН""")</f>
        <v>ООО "СВН"</v>
      </c>
      <c r="K10631" s="24" t="s">
        <v>3594</v>
      </c>
      <c r="L10631" s="22" t="s">
        <v>10</v>
      </c>
      <c r="M10631" s="25">
        <v>7998.25</v>
      </c>
      <c r="N10631" s="27">
        <v>0.6704921288064426</v>
      </c>
    </row>
    <row r="10632" spans="1:14" hidden="1" outlineLevel="1" x14ac:dyDescent="0.2">
      <c r="A10632" s="23" t="str">
        <f t="shared" si="492"/>
        <v>МКУ " ПЕРМСКОЕ ГОРОДСКОЕ УПРАВЛЕНИЕ ГРАЖДАНСКОЙ ЗАЩИТЫ", МКУ ПГУГЗ</v>
      </c>
      <c r="B10632" s="24" t="s">
        <v>12968</v>
      </c>
      <c r="C10632" s="25">
        <v>24273.32</v>
      </c>
      <c r="D10632" s="22" t="s">
        <v>12969</v>
      </c>
      <c r="E10632" s="22" t="s">
        <v>103</v>
      </c>
      <c r="F10632" s="23" t="str">
        <f t="shared" si="493"/>
        <v>Техническое обслуживание системы видеонаблюдения</v>
      </c>
      <c r="G10632" s="22" t="s">
        <v>391</v>
      </c>
      <c r="H10632" s="22" t="s">
        <v>391</v>
      </c>
      <c r="I10632" s="26">
        <v>43557.748611111099</v>
      </c>
      <c r="J10632" s="23" t="str">
        <f>HYPERLINK("https://www.spark-marketing.ru/Card/Person/6457300", "ООО НПФ ""СБ""")</f>
        <v>ООО НПФ "СБ"</v>
      </c>
      <c r="K10632" s="24" t="s">
        <v>10799</v>
      </c>
      <c r="L10632" s="28" t="s">
        <v>52</v>
      </c>
      <c r="M10632" s="25">
        <v>19046.52</v>
      </c>
      <c r="N10632" s="27">
        <v>0.21533107131616111</v>
      </c>
    </row>
    <row r="10633" spans="1:14" hidden="1" outlineLevel="1" x14ac:dyDescent="0.2">
      <c r="A10633" s="23" t="str">
        <f t="shared" si="492"/>
        <v>МКУ " ПЕРМСКОЕ ГОРОДСКОЕ УПРАВЛЕНИЕ ГРАЖДАНСКОЙ ЗАЩИТЫ", МКУ ПГУГЗ</v>
      </c>
      <c r="B10633" s="24" t="s">
        <v>12968</v>
      </c>
      <c r="C10633" s="25">
        <v>24273.32</v>
      </c>
      <c r="D10633" s="22" t="s">
        <v>12969</v>
      </c>
      <c r="E10633" s="22" t="s">
        <v>103</v>
      </c>
      <c r="F10633" s="23" t="str">
        <f t="shared" si="493"/>
        <v>Техническое обслуживание системы видеонаблюдения</v>
      </c>
      <c r="G10633" s="22" t="s">
        <v>391</v>
      </c>
      <c r="H10633" s="22" t="s">
        <v>391</v>
      </c>
      <c r="I10633" s="26">
        <v>43557.748611111099</v>
      </c>
      <c r="J10633" s="23" t="str">
        <f>HYPERLINK("https://www.spark-marketing.ru/Card/Person/753747", "ООО ""СКУД""")</f>
        <v>ООО "СКУД"</v>
      </c>
      <c r="K10633" s="24" t="s">
        <v>1612</v>
      </c>
      <c r="L10633" s="28" t="s">
        <v>52</v>
      </c>
      <c r="M10633" s="25">
        <v>22210.06</v>
      </c>
      <c r="N10633" s="27">
        <v>8.5001145290384675E-2</v>
      </c>
    </row>
    <row r="10634" spans="1:14" hidden="1" outlineLevel="1" x14ac:dyDescent="0.2">
      <c r="A10634" s="23" t="str">
        <f t="shared" si="492"/>
        <v>МКУ " ПЕРМСКОЕ ГОРОДСКОЕ УПРАВЛЕНИЕ ГРАЖДАНСКОЙ ЗАЩИТЫ", МКУ ПГУГЗ</v>
      </c>
      <c r="B10634" s="24" t="s">
        <v>12968</v>
      </c>
      <c r="C10634" s="25">
        <v>24273.32</v>
      </c>
      <c r="D10634" s="22" t="s">
        <v>12969</v>
      </c>
      <c r="E10634" s="22" t="s">
        <v>103</v>
      </c>
      <c r="F10634" s="23" t="str">
        <f t="shared" si="493"/>
        <v>Техническое обслуживание системы видеонаблюдения</v>
      </c>
      <c r="G10634" s="22" t="s">
        <v>391</v>
      </c>
      <c r="H10634" s="22" t="s">
        <v>391</v>
      </c>
      <c r="I10634" s="26">
        <v>43557.748611111099</v>
      </c>
      <c r="J10634" s="23" t="str">
        <f>HYPERLINK("https://www.spark-marketing.ru/Card/Person/750281", "ООО ""АСК""")</f>
        <v>ООО "АСК"</v>
      </c>
      <c r="K10634" s="24" t="s">
        <v>5000</v>
      </c>
      <c r="L10634" s="28" t="s">
        <v>52</v>
      </c>
      <c r="M10634" s="25">
        <v>7998.25</v>
      </c>
      <c r="N10634" s="27">
        <v>0.6704921288064426</v>
      </c>
    </row>
    <row r="10635" spans="1:14" x14ac:dyDescent="0.15">
      <c r="A10635" s="23" t="str">
        <f>HYPERLINK("https://www.spark-marketing.ru/Card/Person/997892", "МО МВД РОССИИ ""СЕРГАЧСКИЙ""")</f>
        <v>МО МВД РОССИИ "СЕРГАЧСКИЙ"</v>
      </c>
      <c r="B10635" s="24" t="s">
        <v>12971</v>
      </c>
      <c r="C10635" s="25">
        <v>37017.089999999997</v>
      </c>
      <c r="D10635" s="22" t="s">
        <v>12972</v>
      </c>
      <c r="E10635" s="22" t="s">
        <v>53</v>
      </c>
      <c r="F10635" s="23" t="str">
        <f>HYPERLINK("https://www.spark-marketing.ru/Card/Lot/70785295", "техническое обслуживание комплекса технических средств охраны")</f>
        <v>техническое обслуживание комплекса технических средств охраны</v>
      </c>
      <c r="G10635" s="22" t="s">
        <v>64</v>
      </c>
      <c r="H10635" s="22" t="s">
        <v>12973</v>
      </c>
      <c r="I10635" s="26">
        <v>43557.7034837963</v>
      </c>
      <c r="J10635" s="28" t="s">
        <v>52</v>
      </c>
      <c r="K10635" s="28" t="s">
        <v>52</v>
      </c>
      <c r="L10635" s="28" t="s">
        <v>52</v>
      </c>
      <c r="M10635" s="28" t="s">
        <v>52</v>
      </c>
      <c r="N10635" s="28" t="s">
        <v>52</v>
      </c>
    </row>
    <row r="10636" spans="1:14" x14ac:dyDescent="0.15">
      <c r="A10636" s="23" t="str">
        <f t="shared" ref="A10636:A10643" si="494">HYPERLINK("https://www.spark-marketing.ru/Card/Person/7267", "ВЕРХОВНЫЙ СУД УДМУРТСКОЙ РЕСПУБЛИКИ")</f>
        <v>ВЕРХОВНЫЙ СУД УДМУРТСКОЙ РЕСПУБЛИКИ</v>
      </c>
      <c r="B10636" s="24" t="s">
        <v>3896</v>
      </c>
      <c r="C10636" s="25">
        <v>180493.33</v>
      </c>
      <c r="D10636" s="22" t="s">
        <v>12974</v>
      </c>
      <c r="E10636" s="22" t="s">
        <v>194</v>
      </c>
      <c r="F10636" s="23" t="str">
        <f t="shared" ref="F10636:F10643" si="495">HYPERLINK("https://www.spark-marketing.ru/Card/Lot/69228269", "Поставка, установка и наладка системы видеонаблюдения в рамках федеральной целевой программы «Развитие судебной системы на 2013-2020 годы»")</f>
        <v>Поставка, установка и наладка системы видеонаблюдения в рамках федеральной целевой программы «Развитие судебной системы на 2013-2020 годы»</v>
      </c>
      <c r="G10636" s="22" t="s">
        <v>96</v>
      </c>
      <c r="H10636" s="22" t="s">
        <v>96</v>
      </c>
      <c r="I10636" s="26">
        <v>43557.680555555598</v>
      </c>
      <c r="J10636" s="28" t="s">
        <v>52</v>
      </c>
      <c r="K10636" s="28" t="s">
        <v>52</v>
      </c>
      <c r="L10636" s="28" t="s">
        <v>52</v>
      </c>
      <c r="M10636" s="28" t="s">
        <v>52</v>
      </c>
      <c r="N10636" s="28" t="s">
        <v>52</v>
      </c>
    </row>
    <row r="10637" spans="1:14" hidden="1" outlineLevel="1" x14ac:dyDescent="0.2">
      <c r="A10637" s="23" t="str">
        <f t="shared" si="494"/>
        <v>ВЕРХОВНЫЙ СУД УДМУРТСКОЙ РЕСПУБЛИКИ</v>
      </c>
      <c r="B10637" s="24" t="s">
        <v>3896</v>
      </c>
      <c r="C10637" s="25">
        <v>180493.33</v>
      </c>
      <c r="D10637" s="22" t="s">
        <v>12974</v>
      </c>
      <c r="E10637" s="22" t="s">
        <v>194</v>
      </c>
      <c r="F10637" s="23" t="str">
        <f t="shared" si="495"/>
        <v>Поставка, установка и наладка системы видеонаблюдения в рамках федеральной целевой программы «Развитие судебной системы на 2013-2020 годы»</v>
      </c>
      <c r="G10637" s="22" t="s">
        <v>96</v>
      </c>
      <c r="H10637" s="22" t="s">
        <v>96</v>
      </c>
      <c r="I10637" s="26">
        <v>43557.680555555598</v>
      </c>
      <c r="J10637" s="23" t="str">
        <f>HYPERLINK("https://www.spark-marketing.ru/Card/Person/6504678", "Широбоков Павел Дмитриевич")</f>
        <v>Широбоков Павел Дмитриевич</v>
      </c>
      <c r="K10637" s="24" t="s">
        <v>12975</v>
      </c>
      <c r="L10637" s="28" t="s">
        <v>52</v>
      </c>
      <c r="M10637" s="25">
        <v>141751.29999999999</v>
      </c>
      <c r="N10637" s="27">
        <v>0.21464521708364515</v>
      </c>
    </row>
    <row r="10638" spans="1:14" hidden="1" outlineLevel="1" x14ac:dyDescent="0.2">
      <c r="A10638" s="23" t="str">
        <f t="shared" si="494"/>
        <v>ВЕРХОВНЫЙ СУД УДМУРТСКОЙ РЕСПУБЛИКИ</v>
      </c>
      <c r="B10638" s="24" t="s">
        <v>3896</v>
      </c>
      <c r="C10638" s="25">
        <v>180493.33</v>
      </c>
      <c r="D10638" s="22" t="s">
        <v>12974</v>
      </c>
      <c r="E10638" s="22" t="s">
        <v>194</v>
      </c>
      <c r="F10638" s="23" t="str">
        <f t="shared" si="495"/>
        <v>Поставка, установка и наладка системы видеонаблюдения в рамках федеральной целевой программы «Развитие судебной системы на 2013-2020 годы»</v>
      </c>
      <c r="G10638" s="22" t="s">
        <v>96</v>
      </c>
      <c r="H10638" s="22" t="s">
        <v>96</v>
      </c>
      <c r="I10638" s="26">
        <v>43557.680555555598</v>
      </c>
      <c r="J10638" s="23" t="str">
        <f>HYPERLINK("https://www.spark-marketing.ru/Card/Person/59603", "ООО ""ИНТЕРКОМ СЕРВИС""")</f>
        <v>ООО "ИНТЕРКОМ СЕРВИС"</v>
      </c>
      <c r="K10638" s="24" t="s">
        <v>11842</v>
      </c>
      <c r="L10638" s="28" t="s">
        <v>52</v>
      </c>
      <c r="M10638" s="25">
        <v>139946.35999999999</v>
      </c>
      <c r="N10638" s="27">
        <v>0.22464525420413042</v>
      </c>
    </row>
    <row r="10639" spans="1:14" hidden="1" outlineLevel="1" x14ac:dyDescent="0.2">
      <c r="A10639" s="23" t="str">
        <f t="shared" si="494"/>
        <v>ВЕРХОВНЫЙ СУД УДМУРТСКОЙ РЕСПУБЛИКИ</v>
      </c>
      <c r="B10639" s="24" t="s">
        <v>3896</v>
      </c>
      <c r="C10639" s="25">
        <v>180493.33</v>
      </c>
      <c r="D10639" s="22" t="s">
        <v>12974</v>
      </c>
      <c r="E10639" s="22" t="s">
        <v>194</v>
      </c>
      <c r="F10639" s="23" t="str">
        <f t="shared" si="495"/>
        <v>Поставка, установка и наладка системы видеонаблюдения в рамках федеральной целевой программы «Развитие судебной системы на 2013-2020 годы»</v>
      </c>
      <c r="G10639" s="22" t="s">
        <v>96</v>
      </c>
      <c r="H10639" s="22" t="s">
        <v>96</v>
      </c>
      <c r="I10639" s="26">
        <v>43557.680555555598</v>
      </c>
      <c r="J10639" s="23" t="str">
        <f>HYPERLINK("https://www.spark-marketing.ru/Card/Person/4738452", "ООО ""МЭСБ ""ЦЕНТР""")</f>
        <v>ООО "МЭСБ "ЦЕНТР"</v>
      </c>
      <c r="K10639" s="24" t="s">
        <v>12976</v>
      </c>
      <c r="L10639" s="28" t="s">
        <v>52</v>
      </c>
      <c r="M10639" s="25">
        <v>147507.87</v>
      </c>
      <c r="N10639" s="27">
        <v>0.18275168395419378</v>
      </c>
    </row>
    <row r="10640" spans="1:14" hidden="1" outlineLevel="1" x14ac:dyDescent="0.2">
      <c r="A10640" s="23" t="str">
        <f t="shared" si="494"/>
        <v>ВЕРХОВНЫЙ СУД УДМУРТСКОЙ РЕСПУБЛИКИ</v>
      </c>
      <c r="B10640" s="24" t="s">
        <v>3896</v>
      </c>
      <c r="C10640" s="25">
        <v>180493.33</v>
      </c>
      <c r="D10640" s="22" t="s">
        <v>12974</v>
      </c>
      <c r="E10640" s="22" t="s">
        <v>194</v>
      </c>
      <c r="F10640" s="23" t="str">
        <f t="shared" si="495"/>
        <v>Поставка, установка и наладка системы видеонаблюдения в рамках федеральной целевой программы «Развитие судебной системы на 2013-2020 годы»</v>
      </c>
      <c r="G10640" s="22" t="s">
        <v>96</v>
      </c>
      <c r="H10640" s="22" t="s">
        <v>96</v>
      </c>
      <c r="I10640" s="26">
        <v>43557.680555555598</v>
      </c>
      <c r="J10640" s="23" t="str">
        <f>HYPERLINK("https://www.spark-marketing.ru/Card/Person/6238401", "ООО ""ТЕХНО-ПРОЕКТ""")</f>
        <v>ООО "ТЕХНО-ПРОЕКТ"</v>
      </c>
      <c r="K10640" s="24" t="s">
        <v>12977</v>
      </c>
      <c r="L10640" s="28" t="s">
        <v>52</v>
      </c>
      <c r="M10640" s="25">
        <v>90141.96</v>
      </c>
      <c r="N10640" s="27">
        <v>0.50058010453904311</v>
      </c>
    </row>
    <row r="10641" spans="1:14" hidden="1" outlineLevel="1" x14ac:dyDescent="0.2">
      <c r="A10641" s="23" t="str">
        <f t="shared" si="494"/>
        <v>ВЕРХОВНЫЙ СУД УДМУРТСКОЙ РЕСПУБЛИКИ</v>
      </c>
      <c r="B10641" s="24" t="s">
        <v>3896</v>
      </c>
      <c r="C10641" s="25">
        <v>180493.33</v>
      </c>
      <c r="D10641" s="22" t="s">
        <v>12974</v>
      </c>
      <c r="E10641" s="22" t="s">
        <v>194</v>
      </c>
      <c r="F10641" s="23" t="str">
        <f t="shared" si="495"/>
        <v>Поставка, установка и наладка системы видеонаблюдения в рамках федеральной целевой программы «Развитие судебной системы на 2013-2020 годы»</v>
      </c>
      <c r="G10641" s="22" t="s">
        <v>96</v>
      </c>
      <c r="H10641" s="22" t="s">
        <v>96</v>
      </c>
      <c r="I10641" s="26">
        <v>43557.680555555598</v>
      </c>
      <c r="J10641" s="23" t="str">
        <f>HYPERLINK("https://www.spark-marketing.ru/Card/Person/5855197", "Пастухова Анастасия Сергеевна")</f>
        <v>Пастухова Анастасия Сергеевна</v>
      </c>
      <c r="K10641" s="24" t="s">
        <v>12978</v>
      </c>
      <c r="L10641" s="28" t="s">
        <v>52</v>
      </c>
      <c r="M10641" s="25">
        <v>149312.81</v>
      </c>
      <c r="N10641" s="27">
        <v>0.17275164683370847</v>
      </c>
    </row>
    <row r="10642" spans="1:14" ht="12.75" hidden="1" outlineLevel="1" x14ac:dyDescent="0.2">
      <c r="A10642" s="23" t="str">
        <f t="shared" si="494"/>
        <v>ВЕРХОВНЫЙ СУД УДМУРТСКОЙ РЕСПУБЛИКИ</v>
      </c>
      <c r="B10642" s="24" t="s">
        <v>3896</v>
      </c>
      <c r="C10642" s="25">
        <v>180493.33</v>
      </c>
      <c r="D10642" s="22" t="s">
        <v>12974</v>
      </c>
      <c r="E10642" s="22" t="s">
        <v>194</v>
      </c>
      <c r="F10642" s="23" t="str">
        <f t="shared" si="495"/>
        <v>Поставка, установка и наладка системы видеонаблюдения в рамках федеральной целевой программы «Развитие судебной системы на 2013-2020 годы»</v>
      </c>
      <c r="G10642" s="22" t="s">
        <v>96</v>
      </c>
      <c r="H10642" s="22" t="s">
        <v>96</v>
      </c>
      <c r="I10642" s="26">
        <v>43557.680555555598</v>
      </c>
      <c r="J10642" s="23" t="str">
        <f>HYPERLINK("https://www.spark-marketing.ru/Card/Person/87163", "ООО ""АЛЬТАИР""")</f>
        <v>ООО "АЛЬТАИР"</v>
      </c>
      <c r="K10642" s="24" t="s">
        <v>3898</v>
      </c>
      <c r="L10642" s="22" t="s">
        <v>10</v>
      </c>
      <c r="M10642" s="25">
        <v>89239.49</v>
      </c>
      <c r="N10642" s="27">
        <v>0.50558012309928568</v>
      </c>
    </row>
    <row r="10643" spans="1:14" hidden="1" outlineLevel="1" x14ac:dyDescent="0.2">
      <c r="A10643" s="23" t="str">
        <f t="shared" si="494"/>
        <v>ВЕРХОВНЫЙ СУД УДМУРТСКОЙ РЕСПУБЛИКИ</v>
      </c>
      <c r="B10643" s="24" t="s">
        <v>3896</v>
      </c>
      <c r="C10643" s="25">
        <v>180493.33</v>
      </c>
      <c r="D10643" s="22" t="s">
        <v>12974</v>
      </c>
      <c r="E10643" s="22" t="s">
        <v>194</v>
      </c>
      <c r="F10643" s="23" t="str">
        <f t="shared" si="495"/>
        <v>Поставка, установка и наладка системы видеонаблюдения в рамках федеральной целевой программы «Развитие судебной системы на 2013-2020 годы»</v>
      </c>
      <c r="G10643" s="22" t="s">
        <v>96</v>
      </c>
      <c r="H10643" s="22" t="s">
        <v>96</v>
      </c>
      <c r="I10643" s="26">
        <v>43557.680555555598</v>
      </c>
      <c r="J10643" s="23" t="str">
        <f>HYPERLINK("https://www.spark-marketing.ru/Card/Person/753747", "ООО ""СКУД""")</f>
        <v>ООО "СКУД"</v>
      </c>
      <c r="K10643" s="24" t="s">
        <v>1612</v>
      </c>
      <c r="L10643" s="28" t="s">
        <v>52</v>
      </c>
      <c r="M10643" s="25">
        <v>94195.06</v>
      </c>
      <c r="N10643" s="27">
        <v>0.47812442709101771</v>
      </c>
    </row>
    <row r="10644" spans="1:14" x14ac:dyDescent="0.15">
      <c r="A10644" s="23" t="str">
        <f>HYPERLINK("https://www.spark-marketing.ru/Card/Person/4352233", "ГБУЗС ""ГОРОДСКАЯ БОЛЬНИЦА №1""")</f>
        <v>ГБУЗС "ГОРОДСКАЯ БОЛЬНИЦА №1"</v>
      </c>
      <c r="B10644" s="24" t="s">
        <v>4679</v>
      </c>
      <c r="C10644" s="25">
        <v>110000</v>
      </c>
      <c r="D10644" s="22" t="s">
        <v>12979</v>
      </c>
      <c r="E10644" s="22" t="s">
        <v>68</v>
      </c>
      <c r="F10644" s="23" t="str">
        <f>HYPERLINK("https://www.spark-marketing.ru/Card/Lot/69231773", "на оказание услуг по техническому обслуживанию средств охраны комнат хранения наркотических лекарственных препаратов")</f>
        <v>на оказание услуг по техническому обслуживанию средств охраны комнат хранения наркотических лекарственных препаратов</v>
      </c>
      <c r="G10644" s="22" t="s">
        <v>714</v>
      </c>
      <c r="H10644" s="22" t="s">
        <v>714</v>
      </c>
      <c r="I10644" s="26">
        <v>43557.706250000003</v>
      </c>
      <c r="J10644" s="28" t="s">
        <v>52</v>
      </c>
      <c r="K10644" s="28" t="s">
        <v>52</v>
      </c>
      <c r="L10644" s="28" t="s">
        <v>52</v>
      </c>
      <c r="M10644" s="28" t="s">
        <v>52</v>
      </c>
      <c r="N10644" s="28" t="s">
        <v>52</v>
      </c>
    </row>
    <row r="10645" spans="1:14" hidden="1" outlineLevel="1" x14ac:dyDescent="0.2">
      <c r="A10645" s="23" t="str">
        <f>HYPERLINK("https://www.spark-marketing.ru/Card/Person/4352233", "ГБУЗС ""ГОРОДСКАЯ БОЛЬНИЦА №1""")</f>
        <v>ГБУЗС "ГОРОДСКАЯ БОЛЬНИЦА №1"</v>
      </c>
      <c r="B10645" s="24" t="s">
        <v>4679</v>
      </c>
      <c r="C10645" s="25">
        <v>110000</v>
      </c>
      <c r="D10645" s="22" t="s">
        <v>12979</v>
      </c>
      <c r="E10645" s="22" t="s">
        <v>68</v>
      </c>
      <c r="F10645" s="23" t="str">
        <f>HYPERLINK("https://www.spark-marketing.ru/Card/Lot/69231773", "на оказание услуг по техническому обслуживанию средств охраны комнат хранения наркотических лекарственных препаратов")</f>
        <v>на оказание услуг по техническому обслуживанию средств охраны комнат хранения наркотических лекарственных препаратов</v>
      </c>
      <c r="G10645" s="22" t="s">
        <v>714</v>
      </c>
      <c r="H10645" s="22" t="s">
        <v>714</v>
      </c>
      <c r="I10645" s="26">
        <v>43557.706250000003</v>
      </c>
      <c r="J10645" s="23" t="str">
        <f>HYPERLINK("https://www.spark-marketing.ru/Card/Person/6516144", "ООО ""ИНСТАЛЛЕКС""")</f>
        <v>ООО "ИНСТАЛЛЕКС"</v>
      </c>
      <c r="K10645" s="24" t="s">
        <v>12961</v>
      </c>
      <c r="L10645" s="28" t="s">
        <v>52</v>
      </c>
      <c r="M10645" s="25">
        <v>15949.99</v>
      </c>
      <c r="N10645" s="27">
        <v>0.8550000909090909</v>
      </c>
    </row>
    <row r="10646" spans="1:14" ht="12.75" hidden="1" outlineLevel="1" x14ac:dyDescent="0.2">
      <c r="A10646" s="23" t="str">
        <f>HYPERLINK("https://www.spark-marketing.ru/Card/Person/4352233", "ГБУЗС ""ГОРОДСКАЯ БОЛЬНИЦА №1""")</f>
        <v>ГБУЗС "ГОРОДСКАЯ БОЛЬНИЦА №1"</v>
      </c>
      <c r="B10646" s="24" t="s">
        <v>4679</v>
      </c>
      <c r="C10646" s="25">
        <v>110000</v>
      </c>
      <c r="D10646" s="22" t="s">
        <v>12979</v>
      </c>
      <c r="E10646" s="22" t="s">
        <v>68</v>
      </c>
      <c r="F10646" s="23" t="str">
        <f>HYPERLINK("https://www.spark-marketing.ru/Card/Lot/69231773", "на оказание услуг по техническому обслуживанию средств охраны комнат хранения наркотических лекарственных препаратов")</f>
        <v>на оказание услуг по техническому обслуживанию средств охраны комнат хранения наркотических лекарственных препаратов</v>
      </c>
      <c r="G10646" s="22" t="s">
        <v>714</v>
      </c>
      <c r="H10646" s="22" t="s">
        <v>714</v>
      </c>
      <c r="I10646" s="26">
        <v>43557.706250000003</v>
      </c>
      <c r="J10646" s="23" t="str">
        <f>HYPERLINK("https://www.spark-marketing.ru/Card/Person/5583057", "ООО ""ОХРАНА-КОМПЛЕКС""")</f>
        <v>ООО "ОХРАНА-КОМПЛЕКС"</v>
      </c>
      <c r="K10646" s="24" t="s">
        <v>12962</v>
      </c>
      <c r="L10646" s="22" t="s">
        <v>10</v>
      </c>
      <c r="M10646" s="25">
        <v>15400</v>
      </c>
      <c r="N10646" s="27">
        <v>0.86</v>
      </c>
    </row>
    <row r="10647" spans="1:14" x14ac:dyDescent="0.15">
      <c r="A10647" s="23" t="str">
        <f>HYPERLINK("https://www.spark-marketing.ru/Card/Person/106225", "МУП Г. ХАБАРОВСКА ""НПЦОДД""")</f>
        <v>МУП Г. ХАБАРОВСКА "НПЦОДД"</v>
      </c>
      <c r="B10647" s="24" t="s">
        <v>12980</v>
      </c>
      <c r="C10647" s="25">
        <v>67976.039999999994</v>
      </c>
      <c r="D10647" s="22" t="s">
        <v>12981</v>
      </c>
      <c r="E10647" s="22" t="s">
        <v>370</v>
      </c>
      <c r="F10647" s="23" t="str">
        <f>HYPERLINK("https://www.spark-marketing.ru/Card/Lot/69211668", "Оказание услуг технического обслуживания комплекса технических средств охраны (тревожная сигнализация)")</f>
        <v>Оказание услуг технического обслуживания комплекса технических средств охраны (тревожная сигнализация)</v>
      </c>
      <c r="G10647" s="22" t="s">
        <v>138</v>
      </c>
      <c r="H10647" s="22" t="s">
        <v>138</v>
      </c>
      <c r="I10647" s="26">
        <v>43557.691423611097</v>
      </c>
      <c r="J10647" s="28" t="s">
        <v>52</v>
      </c>
      <c r="K10647" s="28" t="s">
        <v>52</v>
      </c>
      <c r="L10647" s="28" t="s">
        <v>52</v>
      </c>
      <c r="M10647" s="28" t="s">
        <v>52</v>
      </c>
      <c r="N10647" s="28" t="s">
        <v>52</v>
      </c>
    </row>
    <row r="10648" spans="1:14" hidden="1" outlineLevel="1" x14ac:dyDescent="0.2">
      <c r="A10648" s="23" t="str">
        <f>HYPERLINK("https://www.spark-marketing.ru/Card/Person/106225", "МУП Г. ХАБАРОВСКА ""НПЦОДД""")</f>
        <v>МУП Г. ХАБАРОВСКА "НПЦОДД"</v>
      </c>
      <c r="B10648" s="24" t="s">
        <v>12980</v>
      </c>
      <c r="C10648" s="28" t="s">
        <v>52</v>
      </c>
      <c r="D10648" s="22" t="s">
        <v>12981</v>
      </c>
      <c r="E10648" s="22" t="s">
        <v>370</v>
      </c>
      <c r="F10648" s="23" t="str">
        <f>HYPERLINK("https://www.spark-marketing.ru/Card/Lot/69211668", "Оказание услуг технического обслуживания комплекса технических средств охраны (тревожная сигнализация)")</f>
        <v>Оказание услуг технического обслуживания комплекса технических средств охраны (тревожная сигнализация)</v>
      </c>
      <c r="G10648" s="22" t="s">
        <v>138</v>
      </c>
      <c r="H10648" s="22" t="s">
        <v>138</v>
      </c>
      <c r="I10648" s="26">
        <v>43557.691423611097</v>
      </c>
      <c r="J10648" s="23" t="str">
        <f>HYPERLINK("https://www.spark-marketing.ru/Card/Person/488768", "ООО ОП ""ГРАНИТ-ХАБАРОВСК""")</f>
        <v>ООО ОП "ГРАНИТ-ХАБАРОВСК"</v>
      </c>
      <c r="K10648" s="24" t="s">
        <v>5613</v>
      </c>
      <c r="L10648" s="28" t="s">
        <v>52</v>
      </c>
      <c r="M10648" s="25">
        <v>24000</v>
      </c>
      <c r="N10648" s="27">
        <v>0.64693441983381206</v>
      </c>
    </row>
    <row r="10649" spans="1:14" hidden="1" outlineLevel="1" x14ac:dyDescent="0.2">
      <c r="A10649" s="23" t="str">
        <f>HYPERLINK("https://www.spark-marketing.ru/Card/Person/106225", "МУП Г. ХАБАРОВСКА ""НПЦОДД""")</f>
        <v>МУП Г. ХАБАРОВСКА "НПЦОДД"</v>
      </c>
      <c r="B10649" s="24" t="s">
        <v>12980</v>
      </c>
      <c r="C10649" s="28" t="s">
        <v>52</v>
      </c>
      <c r="D10649" s="22" t="s">
        <v>12981</v>
      </c>
      <c r="E10649" s="22" t="s">
        <v>370</v>
      </c>
      <c r="F10649" s="23" t="str">
        <f>HYPERLINK("https://www.spark-marketing.ru/Card/Lot/69211668", "Оказание услуг технического обслуживания комплекса технических средств охраны (тревожная сигнализация)")</f>
        <v>Оказание услуг технического обслуживания комплекса технических средств охраны (тревожная сигнализация)</v>
      </c>
      <c r="G10649" s="22" t="s">
        <v>138</v>
      </c>
      <c r="H10649" s="22" t="s">
        <v>138</v>
      </c>
      <c r="I10649" s="26">
        <v>43557.691423611097</v>
      </c>
      <c r="J10649" s="23" t="str">
        <f>HYPERLINK("https://www.spark-marketing.ru/Card/Person/170170", "ООО ""ЧОО АЛЬФА""")</f>
        <v>ООО "ЧОО АЛЬФА"</v>
      </c>
      <c r="K10649" s="24" t="s">
        <v>5611</v>
      </c>
      <c r="L10649" s="22" t="s">
        <v>10</v>
      </c>
      <c r="M10649" s="25">
        <v>12000</v>
      </c>
      <c r="N10649" s="27">
        <v>0.82346720991690603</v>
      </c>
    </row>
    <row r="10650" spans="1:14" hidden="1" outlineLevel="1" x14ac:dyDescent="0.15">
      <c r="A10650" s="23" t="str">
        <f>HYPERLINK("https://www.spark-marketing.ru/Card/Person/106225", "МУП Г. ХАБАРОВСКА ""НПЦОДД""")</f>
        <v>МУП Г. ХАБАРОВСКА "НПЦОДД"</v>
      </c>
      <c r="B10650" s="24" t="s">
        <v>12980</v>
      </c>
      <c r="C10650" s="28" t="s">
        <v>52</v>
      </c>
      <c r="D10650" s="22" t="s">
        <v>12981</v>
      </c>
      <c r="E10650" s="22" t="s">
        <v>370</v>
      </c>
      <c r="F10650" s="23" t="str">
        <f>HYPERLINK("https://www.spark-marketing.ru/Card/Lot/69211668", "Оказание услуг технического обслуживания комплекса технических средств охраны (тревожная сигнализация)")</f>
        <v>Оказание услуг технического обслуживания комплекса технических средств охраны (тревожная сигнализация)</v>
      </c>
      <c r="G10650" s="22" t="s">
        <v>138</v>
      </c>
      <c r="H10650" s="22" t="s">
        <v>138</v>
      </c>
      <c r="I10650" s="26">
        <v>43557.691423611097</v>
      </c>
      <c r="J10650" s="23" t="str">
        <f>HYPERLINK("https://www.spark-marketing.ru/Card/Person/1905065", "ЗАЯВКА")</f>
        <v>ЗАЯВКА</v>
      </c>
      <c r="K10650" s="24" t="s">
        <v>10745</v>
      </c>
      <c r="L10650" s="28" t="s">
        <v>52</v>
      </c>
      <c r="M10650" s="28" t="s">
        <v>52</v>
      </c>
      <c r="N10650" s="28" t="s">
        <v>52</v>
      </c>
    </row>
    <row r="10651" spans="1:14" hidden="1" outlineLevel="1" x14ac:dyDescent="0.15">
      <c r="A10651" s="23" t="str">
        <f>HYPERLINK("https://www.spark-marketing.ru/Card/Person/106225", "МУП Г. ХАБАРОВСКА ""НПЦОДД""")</f>
        <v>МУП Г. ХАБАРОВСКА "НПЦОДД"</v>
      </c>
      <c r="B10651" s="24" t="s">
        <v>12980</v>
      </c>
      <c r="C10651" s="28" t="s">
        <v>52</v>
      </c>
      <c r="D10651" s="22" t="s">
        <v>12981</v>
      </c>
      <c r="E10651" s="22" t="s">
        <v>370</v>
      </c>
      <c r="F10651" s="23" t="str">
        <f>HYPERLINK("https://www.spark-marketing.ru/Card/Lot/69211668", "Оказание услуг технического обслуживания комплекса технических средств охраны (тревожная сигнализация)")</f>
        <v>Оказание услуг технического обслуживания комплекса технических средств охраны (тревожная сигнализация)</v>
      </c>
      <c r="G10651" s="22" t="s">
        <v>138</v>
      </c>
      <c r="H10651" s="22" t="s">
        <v>138</v>
      </c>
      <c r="I10651" s="26">
        <v>43557.691423611097</v>
      </c>
      <c r="J10651" s="23" t="str">
        <f>HYPERLINK("https://www.spark-marketing.ru/Card/Person/6523174", "ЗАЯВКА 9397")</f>
        <v>ЗАЯВКА 9397</v>
      </c>
      <c r="K10651" s="28" t="s">
        <v>52</v>
      </c>
      <c r="L10651" s="28" t="s">
        <v>52</v>
      </c>
      <c r="M10651" s="28" t="s">
        <v>52</v>
      </c>
      <c r="N10651" s="28" t="s">
        <v>52</v>
      </c>
    </row>
    <row r="10652" spans="1:14" x14ac:dyDescent="0.15">
      <c r="A10652" s="23" t="str">
        <f>HYPERLINK("https://www.spark-marketing.ru/Card/Person/23027", "БУЗОО ""КОРМИЛОВСКАЯ ЦРБ""")</f>
        <v>БУЗОО "КОРМИЛОВСКАЯ ЦРБ"</v>
      </c>
      <c r="B10652" s="24" t="s">
        <v>12982</v>
      </c>
      <c r="C10652" s="25">
        <v>50917.5</v>
      </c>
      <c r="D10652" s="22" t="s">
        <v>12983</v>
      </c>
      <c r="E10652" s="22" t="s">
        <v>68</v>
      </c>
      <c r="F10652" s="23" t="str">
        <f>HYPERLINK("https://www.spark-marketing.ru/Card/Lot/69226504", "Услуги по охране имущества путем наблюдения за средствами охранной сигнализации, установленных с выводом на пульт централизованной охраны")</f>
        <v>Услуги по охране имущества путем наблюдения за средствами охранной сигнализации, установленных с выводом на пульт централизованной охраны</v>
      </c>
      <c r="G10652" s="22" t="s">
        <v>521</v>
      </c>
      <c r="H10652" s="22" t="s">
        <v>12984</v>
      </c>
      <c r="I10652" s="26">
        <v>43557.706944444399</v>
      </c>
      <c r="J10652" s="23" t="str">
        <f>HYPERLINK("https://www.spark-marketing.ru/Card/Person/361604", "ФГКУ ""УВО ВНГ РОССИИ ПО ОМСКОЙ ОБЛАСТИ""")</f>
        <v>ФГКУ "УВО ВНГ РОССИИ ПО ОМСКОЙ ОБЛАСТИ"</v>
      </c>
      <c r="K10652" s="24" t="s">
        <v>3105</v>
      </c>
      <c r="L10652" s="22" t="s">
        <v>10</v>
      </c>
      <c r="M10652" s="28" t="s">
        <v>52</v>
      </c>
      <c r="N10652" s="28" t="s">
        <v>52</v>
      </c>
    </row>
    <row r="10653" spans="1:14" x14ac:dyDescent="0.15">
      <c r="A10653" s="23" t="str">
        <f>HYPERLINK("https://www.spark-marketing.ru/Card/Person/23027", "БУЗОО ""КОРМИЛОВСКАЯ ЦРБ""")</f>
        <v>БУЗОО "КОРМИЛОВСКАЯ ЦРБ"</v>
      </c>
      <c r="B10653" s="24" t="s">
        <v>12982</v>
      </c>
      <c r="C10653" s="25">
        <v>55995.3</v>
      </c>
      <c r="D10653" s="22" t="s">
        <v>12985</v>
      </c>
      <c r="E10653" s="22" t="s">
        <v>68</v>
      </c>
      <c r="F10653" s="23" t="str">
        <f>HYPERLINK("https://www.spark-marketing.ru/Card/Lot/69226163", "Услуги по охране имущества путем осуществления контроля за состоянием средств тревожной сигнализации")</f>
        <v>Услуги по охране имущества путем осуществления контроля за состоянием средств тревожной сигнализации</v>
      </c>
      <c r="G10653" s="22" t="s">
        <v>521</v>
      </c>
      <c r="H10653" s="22" t="s">
        <v>12984</v>
      </c>
      <c r="I10653" s="26">
        <v>43557.706944444399</v>
      </c>
      <c r="J10653" s="23" t="str">
        <f>HYPERLINK("https://www.spark-marketing.ru/Card/Person/361604", "ФГКУ ""УВО ВНГ РОССИИ ПО ОМСКОЙ ОБЛАСТИ""")</f>
        <v>ФГКУ "УВО ВНГ РОССИИ ПО ОМСКОЙ ОБЛАСТИ"</v>
      </c>
      <c r="K10653" s="24" t="s">
        <v>3105</v>
      </c>
      <c r="L10653" s="22" t="s">
        <v>10</v>
      </c>
      <c r="M10653" s="28" t="s">
        <v>52</v>
      </c>
      <c r="N10653" s="28" t="s">
        <v>52</v>
      </c>
    </row>
    <row r="10654" spans="1:14" x14ac:dyDescent="0.15">
      <c r="A10654" s="23" t="str">
        <f>HYPERLINK("https://www.spark-marketing.ru/Card/Person/139626", "ИФНС РОССИИ ПО ПРИОЗЕРСКОМУ РАЙОНУ ЛЕНИНГРАДСКОЙ ОБЛАСТИ")</f>
        <v>ИФНС РОССИИ ПО ПРИОЗЕРСКОМУ РАЙОНУ ЛЕНИНГРАДСКОЙ ОБЛАСТИ</v>
      </c>
      <c r="B10654" s="24" t="s">
        <v>12986</v>
      </c>
      <c r="C10654" s="25">
        <v>91370.96</v>
      </c>
      <c r="D10654" s="22" t="s">
        <v>12987</v>
      </c>
      <c r="E10654" s="22" t="s">
        <v>53</v>
      </c>
      <c r="F10654" s="23" t="str">
        <f>HYPERLINK("https://www.spark-marketing.ru/Card/Lot/70784630", "оказание услуг по техническому обслуживанию видеонаблюдения и средств контроля доступа")</f>
        <v>оказание услуг по техническому обслуживанию видеонаблюдения и средств контроля доступа</v>
      </c>
      <c r="G10654" s="22" t="s">
        <v>861</v>
      </c>
      <c r="H10654" s="22" t="s">
        <v>12988</v>
      </c>
      <c r="I10654" s="26">
        <v>43557.637696759302</v>
      </c>
      <c r="J10654" s="28" t="s">
        <v>52</v>
      </c>
      <c r="K10654" s="28" t="s">
        <v>52</v>
      </c>
      <c r="L10654" s="28" t="s">
        <v>52</v>
      </c>
      <c r="M10654" s="28" t="s">
        <v>52</v>
      </c>
      <c r="N10654" s="28" t="s">
        <v>52</v>
      </c>
    </row>
    <row r="10655" spans="1:14" x14ac:dyDescent="0.15">
      <c r="A10655" s="23" t="str">
        <f>HYPERLINK("https://www.spark-marketing.ru/Card/Person/4382607", "ВОЛГО ВЯТСКИЙ БАНК ПАО СБЕРБАНК")</f>
        <v>ВОЛГО ВЯТСКИЙ БАНК ПАО СБЕРБАНК</v>
      </c>
      <c r="B10655" s="28" t="s">
        <v>52</v>
      </c>
      <c r="C10655" s="25">
        <v>1881817.68</v>
      </c>
      <c r="D10655" s="22" t="s">
        <v>12989</v>
      </c>
      <c r="E10655" s="22" t="s">
        <v>53</v>
      </c>
      <c r="F10655" s="23" t="str">
        <f>HYPERLINK("https://www.spark-marketing.ru/Card/Lot/69662972", "Услуги по охране объектов Банка с помощью технических средств охраны расположенных на территории Республики Мордовия - 46 объектов")</f>
        <v>Услуги по охране объектов Банка с помощью технических средств охраны расположенных на территории Республики Мордовия - 46 объектов</v>
      </c>
      <c r="G10655" s="22" t="s">
        <v>52</v>
      </c>
      <c r="H10655" s="22" t="s">
        <v>52</v>
      </c>
      <c r="I10655" s="26">
        <v>43557.631944444402</v>
      </c>
      <c r="J10655" s="28" t="s">
        <v>52</v>
      </c>
      <c r="K10655" s="28" t="s">
        <v>52</v>
      </c>
      <c r="L10655" s="28" t="s">
        <v>52</v>
      </c>
      <c r="M10655" s="28" t="s">
        <v>52</v>
      </c>
      <c r="N10655" s="28" t="s">
        <v>52</v>
      </c>
    </row>
    <row r="10656" spans="1:14" x14ac:dyDescent="0.15">
      <c r="A10656" s="23" t="str">
        <f>HYPERLINK("https://www.spark-marketing.ru/Card/Person/35198", "ФКУ ""ДЕЗ СКИТР""")</f>
        <v>ФКУ "ДЕЗ СКИТР"</v>
      </c>
      <c r="B10656" s="24" t="s">
        <v>2310</v>
      </c>
      <c r="C10656" s="25">
        <v>99999</v>
      </c>
      <c r="D10656" s="22" t="s">
        <v>12990</v>
      </c>
      <c r="E10656" s="22" t="s">
        <v>53</v>
      </c>
      <c r="F10656" s="23" t="str">
        <f>HYPERLINK("https://www.spark-marketing.ru/Card/Lot/70805180", "оказание охранных услуг на возмездной основе")</f>
        <v>оказание охранных услуг на возмездной основе</v>
      </c>
      <c r="G10656" s="22" t="s">
        <v>55</v>
      </c>
      <c r="H10656" s="22" t="s">
        <v>55</v>
      </c>
      <c r="I10656" s="26">
        <v>43557.635254629597</v>
      </c>
      <c r="J10656" s="28" t="s">
        <v>52</v>
      </c>
      <c r="K10656" s="28" t="s">
        <v>52</v>
      </c>
      <c r="L10656" s="28" t="s">
        <v>52</v>
      </c>
      <c r="M10656" s="28" t="s">
        <v>52</v>
      </c>
      <c r="N10656" s="28" t="s">
        <v>52</v>
      </c>
    </row>
    <row r="10657" spans="1:14" x14ac:dyDescent="0.15">
      <c r="A10657" s="23" t="str">
        <f>HYPERLINK("https://www.spark-marketing.ru/Card/Person/61409", "МБДОУ ""ДЕТСКИЙ САД № 4 ОБЩЕРАЗВИВАЮЩЕГО ВИДА""")</f>
        <v>МБДОУ "ДЕТСКИЙ САД № 4 ОБЩЕРАЗВИВАЮЩЕГО ВИДА"</v>
      </c>
      <c r="B10657" s="24" t="s">
        <v>12991</v>
      </c>
      <c r="C10657" s="25">
        <v>6168.06</v>
      </c>
      <c r="D10657" s="22" t="s">
        <v>12992</v>
      </c>
      <c r="E10657" s="22" t="s">
        <v>103</v>
      </c>
      <c r="F10657" s="23" t="str">
        <f>HYPERLINK("https://www.spark-marketing.ru/Card/Lot/69225704", "Оказание услуг по техническому обслуживанию КТС (кнопок тревожной сигнализации)")</f>
        <v>Оказание услуг по техническому обслуживанию КТС (кнопок тревожной сигнализации)</v>
      </c>
      <c r="G10657" s="22" t="s">
        <v>50</v>
      </c>
      <c r="H10657" s="22" t="s">
        <v>1207</v>
      </c>
      <c r="I10657" s="26">
        <v>43557.659340277802</v>
      </c>
      <c r="J10657" s="28" t="s">
        <v>52</v>
      </c>
      <c r="K10657" s="28" t="s">
        <v>52</v>
      </c>
      <c r="L10657" s="28" t="s">
        <v>52</v>
      </c>
      <c r="M10657" s="28" t="s">
        <v>52</v>
      </c>
      <c r="N10657" s="28" t="s">
        <v>52</v>
      </c>
    </row>
    <row r="10658" spans="1:14" x14ac:dyDescent="0.15">
      <c r="A10658" s="23" t="str">
        <f>HYPERLINK("https://www.spark-marketing.ru/Card/Person/9916", "ФКУ ""РОСТРАНСМОДЕРНИЗАЦИЯ""")</f>
        <v>ФКУ "РОСТРАНСМОДЕРНИЗАЦИЯ"</v>
      </c>
      <c r="B10658" s="24" t="s">
        <v>12770</v>
      </c>
      <c r="C10658" s="25">
        <v>85029.28</v>
      </c>
      <c r="D10658" s="22" t="s">
        <v>12993</v>
      </c>
      <c r="E10658" s="22" t="s">
        <v>53</v>
      </c>
      <c r="F10658" s="23" t="str">
        <f>HYPERLINK("https://www.spark-marketing.ru/Card/Lot/70784917", "Оказание услуг по охране объекта незавершенного строительства ""Комплексное развитие Новороссийского транспортного узла (Краснодарский край_. Строительство железнодорожных парков и развитие железнодорожной станции Новороссийск Северо-Кавказской желез...")</f>
        <v>Оказание услуг по охране объекта незавершенного строительства "Комплексное развитие Новороссийского транспортного узла (Краснодарский край_. Строительство железнодорожных парков и развитие железнодорожной станции Новороссийск Северо-Кавказской желез...</v>
      </c>
      <c r="G10658" s="22" t="s">
        <v>55</v>
      </c>
      <c r="H10658" s="22" t="s">
        <v>55</v>
      </c>
      <c r="I10658" s="26">
        <v>43557.6640162037</v>
      </c>
      <c r="J10658" s="28" t="s">
        <v>52</v>
      </c>
      <c r="K10658" s="28" t="s">
        <v>52</v>
      </c>
      <c r="L10658" s="28" t="s">
        <v>52</v>
      </c>
      <c r="M10658" s="28" t="s">
        <v>52</v>
      </c>
      <c r="N10658" s="28" t="s">
        <v>52</v>
      </c>
    </row>
    <row r="10659" spans="1:14" x14ac:dyDescent="0.15">
      <c r="A10659" s="23" t="str">
        <f>HYPERLINK("https://www.spark-marketing.ru/Card/Person/24410", "АДМИНИСТРАЦИЯ ЭВЕНКИЙСКОГО МУНИЦИПАЛЬНОГО РАЙОНА")</f>
        <v>АДМИНИСТРАЦИЯ ЭВЕНКИЙСКОГО МУНИЦИПАЛЬНОГО РАЙОНА</v>
      </c>
      <c r="B10659" s="24" t="s">
        <v>12994</v>
      </c>
      <c r="C10659" s="25">
        <v>171000</v>
      </c>
      <c r="D10659" s="22" t="s">
        <v>12995</v>
      </c>
      <c r="E10659" s="22" t="s">
        <v>208</v>
      </c>
      <c r="F10659" s="23" t="str">
        <f>HYPERLINK("https://www.spark-marketing.ru/Card/Lot/69220342", "Оказание услуг по охране объекта с помощью кнопки тревожной сигнализации для нужд  Администрации ЭМР п. Тура")</f>
        <v>Оказание услуг по охране объекта с помощью кнопки тревожной сигнализации для нужд  Администрации ЭМР п. Тура</v>
      </c>
      <c r="G10659" s="22" t="s">
        <v>640</v>
      </c>
      <c r="H10659" s="22" t="s">
        <v>12996</v>
      </c>
      <c r="I10659" s="26">
        <v>43557.662499999999</v>
      </c>
      <c r="J10659" s="28" t="s">
        <v>52</v>
      </c>
      <c r="K10659" s="28" t="s">
        <v>52</v>
      </c>
      <c r="L10659" s="28" t="s">
        <v>52</v>
      </c>
      <c r="M10659" s="28" t="s">
        <v>52</v>
      </c>
      <c r="N10659" s="28" t="s">
        <v>52</v>
      </c>
    </row>
    <row r="10660" spans="1:14" ht="12.75" hidden="1" outlineLevel="1" x14ac:dyDescent="0.2">
      <c r="A10660" s="23" t="str">
        <f>HYPERLINK("https://www.spark-marketing.ru/Card/Person/24410", "АДМИНИСТРАЦИЯ ЭВЕНКИЙСКОГО МУНИЦИПАЛЬНОГО РАЙОНА")</f>
        <v>АДМИНИСТРАЦИЯ ЭВЕНКИЙСКОГО МУНИЦИПАЛЬНОГО РАЙОНА</v>
      </c>
      <c r="B10660" s="24" t="s">
        <v>12994</v>
      </c>
      <c r="C10660" s="25">
        <v>171000</v>
      </c>
      <c r="D10660" s="22" t="s">
        <v>12995</v>
      </c>
      <c r="E10660" s="22" t="s">
        <v>208</v>
      </c>
      <c r="F10660" s="23" t="str">
        <f>HYPERLINK("https://www.spark-marketing.ru/Card/Lot/69220342", "Оказание услуг по охране объекта с помощью кнопки тревожной сигнализации для нужд  Администрации ЭМР п. Тура")</f>
        <v>Оказание услуг по охране объекта с помощью кнопки тревожной сигнализации для нужд  Администрации ЭМР п. Тура</v>
      </c>
      <c r="G10660" s="22" t="s">
        <v>640</v>
      </c>
      <c r="H10660" s="22" t="s">
        <v>12996</v>
      </c>
      <c r="I10660" s="26">
        <v>43557.662499999999</v>
      </c>
      <c r="J10660" s="23" t="str">
        <f>HYPERLINK("https://www.spark-marketing.ru/Card/Person/459755", "ООО ОХРАННАЯ ОРГАНИЗАЦИЯ ""МАКСИМУМ""")</f>
        <v>ООО ОХРАННАЯ ОРГАНИЗАЦИЯ "МАКСИМУМ"</v>
      </c>
      <c r="K10660" s="24" t="s">
        <v>12997</v>
      </c>
      <c r="L10660" s="22" t="s">
        <v>10</v>
      </c>
      <c r="M10660" s="25">
        <v>66690</v>
      </c>
      <c r="N10660" s="27">
        <v>0.61</v>
      </c>
    </row>
    <row r="10661" spans="1:14" hidden="1" outlineLevel="1" x14ac:dyDescent="0.2">
      <c r="A10661" s="23" t="str">
        <f>HYPERLINK("https://www.spark-marketing.ru/Card/Person/24410", "АДМИНИСТРАЦИЯ ЭВЕНКИЙСКОГО МУНИЦИПАЛЬНОГО РАЙОНА")</f>
        <v>АДМИНИСТРАЦИЯ ЭВЕНКИЙСКОГО МУНИЦИПАЛЬНОГО РАЙОНА</v>
      </c>
      <c r="B10661" s="24" t="s">
        <v>12994</v>
      </c>
      <c r="C10661" s="25">
        <v>171000</v>
      </c>
      <c r="D10661" s="22" t="s">
        <v>12995</v>
      </c>
      <c r="E10661" s="22" t="s">
        <v>208</v>
      </c>
      <c r="F10661" s="23" t="str">
        <f>HYPERLINK("https://www.spark-marketing.ru/Card/Lot/69220342", "Оказание услуг по охране объекта с помощью кнопки тревожной сигнализации для нужд  Администрации ЭМР п. Тура")</f>
        <v>Оказание услуг по охране объекта с помощью кнопки тревожной сигнализации для нужд  Администрации ЭМР п. Тура</v>
      </c>
      <c r="G10661" s="22" t="s">
        <v>640</v>
      </c>
      <c r="H10661" s="22" t="s">
        <v>12996</v>
      </c>
      <c r="I10661" s="26">
        <v>43557.662499999999</v>
      </c>
      <c r="J10661" s="23" t="str">
        <f>HYPERLINK("https://www.spark-marketing.ru/Card/Person/472540", "ООО ""МОЛОТ""")</f>
        <v>ООО "МОЛОТ"</v>
      </c>
      <c r="K10661" s="24" t="s">
        <v>4684</v>
      </c>
      <c r="L10661" s="28" t="s">
        <v>52</v>
      </c>
      <c r="M10661" s="25">
        <v>75240</v>
      </c>
      <c r="N10661" s="27">
        <v>0.56000000000000005</v>
      </c>
    </row>
    <row r="10662" spans="1:14" x14ac:dyDescent="0.15">
      <c r="A10662" s="23" t="str">
        <f>HYPERLINK("https://www.spark-marketing.ru/Card/Person/4382607", "ВОЛГО ВЯТСКИЙ БАНК ПАО СБЕРБАНК")</f>
        <v>ВОЛГО ВЯТСКИЙ БАНК ПАО СБЕРБАНК</v>
      </c>
      <c r="B10662" s="28" t="s">
        <v>52</v>
      </c>
      <c r="C10662" s="25">
        <v>654545.28</v>
      </c>
      <c r="D10662" s="22" t="s">
        <v>12989</v>
      </c>
      <c r="E10662" s="22" t="s">
        <v>53</v>
      </c>
      <c r="F10662" s="23" t="str">
        <f>HYPERLINK("https://www.spark-marketing.ru/Card/Lot/69662973", "Услуги по охране объектов Банка с помощью технических средств охраны расположенных на территории Нижегородской области - 16 объектов")</f>
        <v>Услуги по охране объектов Банка с помощью технических средств охраны расположенных на территории Нижегородской области - 16 объектов</v>
      </c>
      <c r="G10662" s="22" t="s">
        <v>52</v>
      </c>
      <c r="H10662" s="22" t="s">
        <v>52</v>
      </c>
      <c r="I10662" s="26">
        <v>43557.631944444402</v>
      </c>
      <c r="J10662" s="28" t="s">
        <v>52</v>
      </c>
      <c r="K10662" s="28" t="s">
        <v>52</v>
      </c>
      <c r="L10662" s="28" t="s">
        <v>52</v>
      </c>
      <c r="M10662" s="28" t="s">
        <v>52</v>
      </c>
      <c r="N10662" s="28" t="s">
        <v>52</v>
      </c>
    </row>
    <row r="10663" spans="1:14" x14ac:dyDescent="0.15">
      <c r="A10663" s="23" t="str">
        <f>HYPERLINK("https://www.spark-marketing.ru/Card/Person/35198", "ФКУ ""ДЕЗ СКИТР""")</f>
        <v>ФКУ "ДЕЗ СКИТР"</v>
      </c>
      <c r="B10663" s="24" t="s">
        <v>2310</v>
      </c>
      <c r="C10663" s="25">
        <v>99999</v>
      </c>
      <c r="D10663" s="22" t="s">
        <v>12998</v>
      </c>
      <c r="E10663" s="22" t="s">
        <v>53</v>
      </c>
      <c r="F10663" s="23" t="str">
        <f>HYPERLINK("https://www.spark-marketing.ru/Card/Lot/70805186", "оказание охранных услуг на возмездной основе")</f>
        <v>оказание охранных услуг на возмездной основе</v>
      </c>
      <c r="G10663" s="22" t="s">
        <v>55</v>
      </c>
      <c r="H10663" s="22" t="s">
        <v>55</v>
      </c>
      <c r="I10663" s="26">
        <v>43557.637002314797</v>
      </c>
      <c r="J10663" s="28" t="s">
        <v>52</v>
      </c>
      <c r="K10663" s="28" t="s">
        <v>52</v>
      </c>
      <c r="L10663" s="28" t="s">
        <v>52</v>
      </c>
      <c r="M10663" s="28" t="s">
        <v>52</v>
      </c>
      <c r="N10663" s="28" t="s">
        <v>52</v>
      </c>
    </row>
    <row r="10664" spans="1:14" x14ac:dyDescent="0.2">
      <c r="A10664" s="23" t="str">
        <f>HYPERLINK("https://www.spark-marketing.ru/Card/Person/25654", "ГБУ СО ""СОЦИ""")</f>
        <v>ГБУ СО "СОЦИ"</v>
      </c>
      <c r="B10664" s="24" t="s">
        <v>3521</v>
      </c>
      <c r="C10664" s="25">
        <v>18008034.640000001</v>
      </c>
      <c r="D10664" s="22" t="s">
        <v>12999</v>
      </c>
      <c r="E10664" s="22" t="s">
        <v>298</v>
      </c>
      <c r="F10664" s="23" t="str">
        <f>HYPERLINK("https://www.spark-marketing.ru/Card/Lot/69208455", "Оказание услуг по техническому обслуживанию комплексов автоматической фото, видеофиксации нарушений правил дорожного движения")</f>
        <v>Оказание услуг по техническому обслуживанию комплексов автоматической фото, видеофиксации нарушений правил дорожного движения</v>
      </c>
      <c r="G10664" s="22" t="s">
        <v>69</v>
      </c>
      <c r="H10664" s="22" t="s">
        <v>973</v>
      </c>
      <c r="I10664" s="26">
        <v>43557.606249999997</v>
      </c>
      <c r="J10664" s="23" t="str">
        <f>HYPERLINK("https://www.spark-marketing.ru/Card/Person/43334", "ООО ""КРИЛЬОН-СЕРВИС""")</f>
        <v>ООО "КРИЛЬОН-СЕРВИС"</v>
      </c>
      <c r="K10664" s="24" t="s">
        <v>3523</v>
      </c>
      <c r="L10664" s="28" t="s">
        <v>52</v>
      </c>
      <c r="M10664" s="25">
        <v>17492344</v>
      </c>
      <c r="N10664" s="27">
        <v>2.8636697469169241E-2</v>
      </c>
    </row>
    <row r="10665" spans="1:14" x14ac:dyDescent="0.15">
      <c r="A10665" s="23" t="str">
        <f>HYPERLINK("https://www.spark-marketing.ru/Card/Person/4348589", "ПАО ""ТАТНЕФТЬ"" ИМ. В.Д. ШАШИНА")</f>
        <v>ПАО "ТАТНЕФТЬ" ИМ. В.Д. ШАШИНА</v>
      </c>
      <c r="B10665" s="24" t="s">
        <v>13000</v>
      </c>
      <c r="C10665" s="25">
        <v>0</v>
      </c>
      <c r="D10665" s="22" t="s">
        <v>13001</v>
      </c>
      <c r="E10665" s="22" t="s">
        <v>208</v>
      </c>
      <c r="F10665" s="23" t="str">
        <f>HYPERLINK("https://www.spark-marketing.ru/Card/Lot/69229545", "Лот №2 Охрана объектов с использованием кнопки тревожной сигнализации (КТС) и ее техническое обслуживание Козловка")</f>
        <v>Лот №2 Охрана объектов с использованием кнопки тревожной сигнализации (КТС) и ее техническое обслуживание Козловка</v>
      </c>
      <c r="G10665" s="22" t="s">
        <v>1137</v>
      </c>
      <c r="H10665" s="22" t="s">
        <v>1137</v>
      </c>
      <c r="I10665" s="26">
        <v>43557.621550925898</v>
      </c>
      <c r="J10665" s="28" t="s">
        <v>52</v>
      </c>
      <c r="K10665" s="28" t="s">
        <v>52</v>
      </c>
      <c r="L10665" s="28" t="s">
        <v>52</v>
      </c>
      <c r="M10665" s="28" t="s">
        <v>52</v>
      </c>
      <c r="N10665" s="28" t="s">
        <v>52</v>
      </c>
    </row>
    <row r="10666" spans="1:14" x14ac:dyDescent="0.15">
      <c r="A10666" s="23" t="str">
        <f>HYPERLINK("https://www.spark-marketing.ru/Card/Person/5811", "ФГБУ ""НМИЦ ИМ. АК. Е.Н. МЕШАЛКИНА"" МИНЗДРАВА РОССИИ")</f>
        <v>ФГБУ "НМИЦ ИМ. АК. Е.Н. МЕШАЛКИНА" МИНЗДРАВА РОССИИ</v>
      </c>
      <c r="B10666" s="24" t="s">
        <v>13002</v>
      </c>
      <c r="C10666" s="25">
        <v>666532.88</v>
      </c>
      <c r="D10666" s="22" t="s">
        <v>13003</v>
      </c>
      <c r="E10666" s="22" t="s">
        <v>68</v>
      </c>
      <c r="F10666" s="23" t="str">
        <f>HYPERLINK("https://www.spark-marketing.ru/Card/Lot/69215849", "Оказание услуг по охране объектов (об экстренном вызове на объект, в случае срабатывания средств тревожной сигнализации)")</f>
        <v>Оказание услуг по охране объектов (об экстренном вызове на объект, в случае срабатывания средств тревожной сигнализации)</v>
      </c>
      <c r="G10666" s="22" t="s">
        <v>209</v>
      </c>
      <c r="H10666" s="22" t="s">
        <v>210</v>
      </c>
      <c r="I10666" s="26">
        <v>43557.595138888901</v>
      </c>
      <c r="J10666" s="28" t="s">
        <v>52</v>
      </c>
      <c r="K10666" s="28" t="s">
        <v>52</v>
      </c>
      <c r="L10666" s="28" t="s">
        <v>52</v>
      </c>
      <c r="M10666" s="28" t="s">
        <v>52</v>
      </c>
      <c r="N10666" s="28" t="s">
        <v>52</v>
      </c>
    </row>
    <row r="10667" spans="1:14" hidden="1" outlineLevel="1" x14ac:dyDescent="0.2">
      <c r="A10667" s="23" t="str">
        <f>HYPERLINK("https://www.spark-marketing.ru/Card/Person/5811", "ФГБУ ""НМИЦ ИМ. АК. Е.Н. МЕШАЛКИНА"" МИНЗДРАВА РОССИИ")</f>
        <v>ФГБУ "НМИЦ ИМ. АК. Е.Н. МЕШАЛКИНА" МИНЗДРАВА РОССИИ</v>
      </c>
      <c r="B10667" s="24" t="s">
        <v>13002</v>
      </c>
      <c r="C10667" s="25">
        <v>666532.88</v>
      </c>
      <c r="D10667" s="22" t="s">
        <v>13003</v>
      </c>
      <c r="E10667" s="22" t="s">
        <v>68</v>
      </c>
      <c r="F10667" s="23" t="str">
        <f>HYPERLINK("https://www.spark-marketing.ru/Card/Lot/69215849", "Оказание услуг по охране объектов (об экстренном вызове на объект, в случае срабатывания средств тревожной сигнализации)")</f>
        <v>Оказание услуг по охране объектов (об экстренном вызове на объект, в случае срабатывания средств тревожной сигнализации)</v>
      </c>
      <c r="G10667" s="22" t="s">
        <v>209</v>
      </c>
      <c r="H10667" s="22" t="s">
        <v>210</v>
      </c>
      <c r="I10667" s="26">
        <v>43557.595138888901</v>
      </c>
      <c r="J10667" s="23" t="str">
        <f>HYPERLINK("https://www.spark-marketing.ru/Card/Person/727249", "ООО ЧОП ""НЕОКОМ-СБ""")</f>
        <v>ООО ЧОП "НЕОКОМ-СБ"</v>
      </c>
      <c r="K10667" s="24" t="s">
        <v>6223</v>
      </c>
      <c r="L10667" s="28" t="s">
        <v>52</v>
      </c>
      <c r="M10667" s="25">
        <v>520000</v>
      </c>
      <c r="N10667" s="27">
        <v>0.21984343818117419</v>
      </c>
    </row>
    <row r="10668" spans="1:14" ht="12.75" hidden="1" outlineLevel="1" x14ac:dyDescent="0.2">
      <c r="A10668" s="23" t="str">
        <f>HYPERLINK("https://www.spark-marketing.ru/Card/Person/5811", "ФГБУ ""НМИЦ ИМ. АК. Е.Н. МЕШАЛКИНА"" МИНЗДРАВА РОССИИ")</f>
        <v>ФГБУ "НМИЦ ИМ. АК. Е.Н. МЕШАЛКИНА" МИНЗДРАВА РОССИИ</v>
      </c>
      <c r="B10668" s="24" t="s">
        <v>13002</v>
      </c>
      <c r="C10668" s="25">
        <v>666532.88</v>
      </c>
      <c r="D10668" s="22" t="s">
        <v>13003</v>
      </c>
      <c r="E10668" s="22" t="s">
        <v>68</v>
      </c>
      <c r="F10668" s="23" t="str">
        <f>HYPERLINK("https://www.spark-marketing.ru/Card/Lot/69215849", "Оказание услуг по охране объектов (об экстренном вызове на объект, в случае срабатывания средств тревожной сигнализации)")</f>
        <v>Оказание услуг по охране объектов (об экстренном вызове на объект, в случае срабатывания средств тревожной сигнализации)</v>
      </c>
      <c r="G10668" s="22" t="s">
        <v>209</v>
      </c>
      <c r="H10668" s="22" t="s">
        <v>210</v>
      </c>
      <c r="I10668" s="26">
        <v>43557.595138888901</v>
      </c>
      <c r="J10668" s="23" t="str">
        <f>HYPERLINK("https://www.spark-marketing.ru/Card/Person/10487", "ФГУП ""ОХРАНА"" РОСГВАРДИИ")</f>
        <v>ФГУП "ОХРАНА" РОСГВАРДИИ</v>
      </c>
      <c r="K10668" s="24" t="s">
        <v>779</v>
      </c>
      <c r="L10668" s="22" t="s">
        <v>10</v>
      </c>
      <c r="M10668" s="25">
        <v>516667.33</v>
      </c>
      <c r="N10668" s="27">
        <v>0.22484344658286023</v>
      </c>
    </row>
    <row r="10669" spans="1:14" x14ac:dyDescent="0.15">
      <c r="A10669" s="23" t="str">
        <f>HYPERLINK("https://www.spark-marketing.ru/Card/Person/6493311", "МИНПРИРОДЫ ИНГУШЕТИИ")</f>
        <v>МИНПРИРОДЫ ИНГУШЕТИИ</v>
      </c>
      <c r="B10669" s="24" t="s">
        <v>12044</v>
      </c>
      <c r="C10669" s="25">
        <v>1302670</v>
      </c>
      <c r="D10669" s="22" t="s">
        <v>13004</v>
      </c>
      <c r="E10669" s="22" t="s">
        <v>218</v>
      </c>
      <c r="F10669" s="23" t="str">
        <f>HYPERLINK("https://www.spark-marketing.ru/Card/Lot/69223344", "Оказание услуг по осуществлению строительного контроля и техническому сопровождению работ по объекту государственного заказа «Берегоукрепительные работы на р. Синий Камень в с.п. Средние Ачалуки Малгобекского района Республики Ингушетия»")</f>
        <v>Оказание услуг по осуществлению строительного контроля и техническому сопровождению работ по объекту государственного заказа «Берегоукрепительные работы на р. Синий Камень в с.п. Средние Ачалуки Малгобекского района Республики Ингушетия»</v>
      </c>
      <c r="G10669" s="22" t="s">
        <v>648</v>
      </c>
      <c r="H10669" s="22" t="s">
        <v>648</v>
      </c>
      <c r="I10669" s="26">
        <v>43557.602083333302</v>
      </c>
      <c r="J10669" s="28" t="s">
        <v>52</v>
      </c>
      <c r="K10669" s="28" t="s">
        <v>52</v>
      </c>
      <c r="L10669" s="28" t="s">
        <v>52</v>
      </c>
      <c r="M10669" s="28" t="s">
        <v>52</v>
      </c>
      <c r="N10669" s="28" t="s">
        <v>52</v>
      </c>
    </row>
    <row r="10670" spans="1:14" ht="12.75" hidden="1" outlineLevel="1" x14ac:dyDescent="0.2">
      <c r="A10670" s="23" t="str">
        <f>HYPERLINK("https://www.spark-marketing.ru/Card/Person/6493311", "МИНПРИРОДЫ ИНГУШЕТИИ")</f>
        <v>МИНПРИРОДЫ ИНГУШЕТИИ</v>
      </c>
      <c r="B10670" s="24" t="s">
        <v>12044</v>
      </c>
      <c r="C10670" s="25">
        <v>1302670</v>
      </c>
      <c r="D10670" s="22" t="s">
        <v>13004</v>
      </c>
      <c r="E10670" s="22" t="s">
        <v>218</v>
      </c>
      <c r="F10670" s="23" t="str">
        <f>HYPERLINK("https://www.spark-marketing.ru/Card/Lot/69223344", "Оказание услуг по осуществлению строительного контроля и техническому сопровождению работ по объекту государственного заказа «Берегоукрепительные работы на р. Синий Камень в с.п. Средние Ачалуки Малгобекского района Республики Ингушетия»")</f>
        <v>Оказание услуг по осуществлению строительного контроля и техническому сопровождению работ по объекту государственного заказа «Берегоукрепительные работы на р. Синий Камень в с.п. Средние Ачалуки Малгобекского района Республики Ингушетия»</v>
      </c>
      <c r="G10670" s="22" t="s">
        <v>648</v>
      </c>
      <c r="H10670" s="22" t="s">
        <v>648</v>
      </c>
      <c r="I10670" s="26">
        <v>43557.602083333302</v>
      </c>
      <c r="J10670" s="23" t="str">
        <f>HYPERLINK("https://www.spark-marketing.ru/Card/Person/365638", "ООО ""ТЕХКРОСС""")</f>
        <v>ООО "ТЕХКРОСС"</v>
      </c>
      <c r="K10670" s="24" t="s">
        <v>12046</v>
      </c>
      <c r="L10670" s="22" t="s">
        <v>10</v>
      </c>
      <c r="M10670" s="25">
        <v>90459.95</v>
      </c>
      <c r="N10670" s="27">
        <v>0.93055804616671911</v>
      </c>
    </row>
    <row r="10671" spans="1:14" hidden="1" outlineLevel="1" x14ac:dyDescent="0.2">
      <c r="A10671" s="23" t="str">
        <f>HYPERLINK("https://www.spark-marketing.ru/Card/Person/6493311", "МИНПРИРОДЫ ИНГУШЕТИИ")</f>
        <v>МИНПРИРОДЫ ИНГУШЕТИИ</v>
      </c>
      <c r="B10671" s="24" t="s">
        <v>12044</v>
      </c>
      <c r="C10671" s="25">
        <v>1302670</v>
      </c>
      <c r="D10671" s="22" t="s">
        <v>13004</v>
      </c>
      <c r="E10671" s="22" t="s">
        <v>218</v>
      </c>
      <c r="F10671" s="23" t="str">
        <f>HYPERLINK("https://www.spark-marketing.ru/Card/Lot/69223344", "Оказание услуг по осуществлению строительного контроля и техническому сопровождению работ по объекту государственного заказа «Берегоукрепительные работы на р. Синий Камень в с.п. Средние Ачалуки Малгобекского района Республики Ингушетия»")</f>
        <v>Оказание услуг по осуществлению строительного контроля и техническому сопровождению работ по объекту государственного заказа «Берегоукрепительные работы на р. Синий Камень в с.п. Средние Ачалуки Малгобекского района Республики Ингушетия»</v>
      </c>
      <c r="G10671" s="22" t="s">
        <v>648</v>
      </c>
      <c r="H10671" s="22" t="s">
        <v>648</v>
      </c>
      <c r="I10671" s="26">
        <v>43557.602083333302</v>
      </c>
      <c r="J10671" s="23" t="str">
        <f>HYPERLINK("https://www.spark-marketing.ru/Card/Person/220241", "ООО ""ЮТН""")</f>
        <v>ООО "ЮТН"</v>
      </c>
      <c r="K10671" s="24" t="s">
        <v>13005</v>
      </c>
      <c r="L10671" s="28" t="s">
        <v>52</v>
      </c>
      <c r="M10671" s="25">
        <v>96973.3</v>
      </c>
      <c r="N10671" s="27">
        <v>0.92555804616671911</v>
      </c>
    </row>
    <row r="10672" spans="1:14" hidden="1" outlineLevel="1" x14ac:dyDescent="0.2">
      <c r="A10672" s="23" t="str">
        <f>HYPERLINK("https://www.spark-marketing.ru/Card/Person/6493311", "МИНПРИРОДЫ ИНГУШЕТИИ")</f>
        <v>МИНПРИРОДЫ ИНГУШЕТИИ</v>
      </c>
      <c r="B10672" s="24" t="s">
        <v>12044</v>
      </c>
      <c r="C10672" s="25">
        <v>1302670</v>
      </c>
      <c r="D10672" s="22" t="s">
        <v>13004</v>
      </c>
      <c r="E10672" s="22" t="s">
        <v>218</v>
      </c>
      <c r="F10672" s="23" t="str">
        <f>HYPERLINK("https://www.spark-marketing.ru/Card/Lot/69223344", "Оказание услуг по осуществлению строительного контроля и техническому сопровождению работ по объекту государственного заказа «Берегоукрепительные работы на р. Синий Камень в с.п. Средние Ачалуки Малгобекского района Республики Ингушетия»")</f>
        <v>Оказание услуг по осуществлению строительного контроля и техническому сопровождению работ по объекту государственного заказа «Берегоукрепительные работы на р. Синий Камень в с.п. Средние Ачалуки Малгобекского района Республики Ингушетия»</v>
      </c>
      <c r="G10672" s="22" t="s">
        <v>648</v>
      </c>
      <c r="H10672" s="22" t="s">
        <v>648</v>
      </c>
      <c r="I10672" s="26">
        <v>43557.602083333302</v>
      </c>
      <c r="J10672" s="23" t="str">
        <f>HYPERLINK("https://www.spark-marketing.ru/Card/Person/165388", "ООО ""КИТ-СТРОЙ""")</f>
        <v>ООО "КИТ-СТРОЙ"</v>
      </c>
      <c r="K10672" s="24" t="s">
        <v>13006</v>
      </c>
      <c r="L10672" s="28" t="s">
        <v>52</v>
      </c>
      <c r="M10672" s="25">
        <v>1276616.6000000001</v>
      </c>
      <c r="N10672" s="27">
        <v>0.02</v>
      </c>
    </row>
    <row r="10673" spans="1:14" x14ac:dyDescent="0.15">
      <c r="A10673" s="23" t="str">
        <f>HYPERLINK("https://www.spark-marketing.ru/Card/Person/4348589", "ПАО ""ТАТНЕФТЬ"" ИМ. В.Д. ШАШИНА")</f>
        <v>ПАО "ТАТНЕФТЬ" ИМ. В.Д. ШАШИНА</v>
      </c>
      <c r="B10673" s="24" t="s">
        <v>13000</v>
      </c>
      <c r="C10673" s="25">
        <v>0</v>
      </c>
      <c r="D10673" s="22" t="s">
        <v>13001</v>
      </c>
      <c r="E10673" s="22" t="s">
        <v>208</v>
      </c>
      <c r="F10673" s="23" t="str">
        <f>HYPERLINK("https://www.spark-marketing.ru/Card/Lot/69229549", "Лот №6 Охрана объектов с использованием кнопки тревожной сигнализации (КТС) и ее техническое обслуживание Шумерля")</f>
        <v>Лот №6 Охрана объектов с использованием кнопки тревожной сигнализации (КТС) и ее техническое обслуживание Шумерля</v>
      </c>
      <c r="G10673" s="22" t="s">
        <v>1137</v>
      </c>
      <c r="H10673" s="22" t="s">
        <v>1137</v>
      </c>
      <c r="I10673" s="26">
        <v>43557.621550925898</v>
      </c>
      <c r="J10673" s="28" t="s">
        <v>52</v>
      </c>
      <c r="K10673" s="28" t="s">
        <v>52</v>
      </c>
      <c r="L10673" s="28" t="s">
        <v>52</v>
      </c>
      <c r="M10673" s="28" t="s">
        <v>52</v>
      </c>
      <c r="N10673" s="28" t="s">
        <v>52</v>
      </c>
    </row>
    <row r="10674" spans="1:14" x14ac:dyDescent="0.15">
      <c r="A10674" s="23" t="str">
        <f>HYPERLINK("https://www.spark-marketing.ru/Card/Person/4348589", "ПАО ""ТАТНЕФТЬ"" ИМ. В.Д. ШАШИНА")</f>
        <v>ПАО "ТАТНЕФТЬ" ИМ. В.Д. ШАШИНА</v>
      </c>
      <c r="B10674" s="24" t="s">
        <v>13000</v>
      </c>
      <c r="C10674" s="25">
        <v>0</v>
      </c>
      <c r="D10674" s="22" t="s">
        <v>13001</v>
      </c>
      <c r="E10674" s="22" t="s">
        <v>208</v>
      </c>
      <c r="F10674" s="23" t="str">
        <f>HYPERLINK("https://www.spark-marketing.ru/Card/Lot/69229546", "Лот №3 Охрана объектов с использованием кнопки тревожной сигнализации (КТС) и ее техническое обслуживание Ядрим")</f>
        <v>Лот №3 Охрана объектов с использованием кнопки тревожной сигнализации (КТС) и ее техническое обслуживание Ядрим</v>
      </c>
      <c r="G10674" s="22" t="s">
        <v>1137</v>
      </c>
      <c r="H10674" s="22" t="s">
        <v>1137</v>
      </c>
      <c r="I10674" s="26">
        <v>43557.621550925898</v>
      </c>
      <c r="J10674" s="28" t="s">
        <v>52</v>
      </c>
      <c r="K10674" s="28" t="s">
        <v>52</v>
      </c>
      <c r="L10674" s="28" t="s">
        <v>52</v>
      </c>
      <c r="M10674" s="28" t="s">
        <v>52</v>
      </c>
      <c r="N10674" s="28" t="s">
        <v>52</v>
      </c>
    </row>
    <row r="10675" spans="1:14" x14ac:dyDescent="0.15">
      <c r="A10675" s="23" t="str">
        <f>HYPERLINK("https://www.spark-marketing.ru/Card/Person/4348589", "ПАО ""ТАТНЕФТЬ"" ИМ. В.Д. ШАШИНА")</f>
        <v>ПАО "ТАТНЕФТЬ" ИМ. В.Д. ШАШИНА</v>
      </c>
      <c r="B10675" s="24" t="s">
        <v>13000</v>
      </c>
      <c r="C10675" s="25">
        <v>0</v>
      </c>
      <c r="D10675" s="22" t="s">
        <v>13001</v>
      </c>
      <c r="E10675" s="22" t="s">
        <v>208</v>
      </c>
      <c r="F10675" s="23" t="str">
        <f>HYPERLINK("https://www.spark-marketing.ru/Card/Lot/69229550", "Лот №7 Охрана объектов с использованием кнопки тревожной сигнализации (КТС) и ее техническое обслуживание Цывильск")</f>
        <v>Лот №7 Охрана объектов с использованием кнопки тревожной сигнализации (КТС) и ее техническое обслуживание Цывильск</v>
      </c>
      <c r="G10675" s="22" t="s">
        <v>1137</v>
      </c>
      <c r="H10675" s="22" t="s">
        <v>1137</v>
      </c>
      <c r="I10675" s="26">
        <v>43557.621550925898</v>
      </c>
      <c r="J10675" s="28" t="s">
        <v>52</v>
      </c>
      <c r="K10675" s="28" t="s">
        <v>52</v>
      </c>
      <c r="L10675" s="28" t="s">
        <v>52</v>
      </c>
      <c r="M10675" s="28" t="s">
        <v>52</v>
      </c>
      <c r="N10675" s="28" t="s">
        <v>52</v>
      </c>
    </row>
    <row r="10676" spans="1:14" ht="12.75" x14ac:dyDescent="0.2">
      <c r="A10676" s="23" t="str">
        <f>HYPERLINK("https://www.spark-marketing.ru/Card/Person/124724", "ГАУЗ АО ""БЛАГОВЕЩЕНСКАЯ ГКБ""")</f>
        <v>ГАУЗ АО "БЛАГОВЕЩЕНСКАЯ ГКБ"</v>
      </c>
      <c r="B10676" s="24" t="s">
        <v>7019</v>
      </c>
      <c r="C10676" s="25">
        <v>851018.4</v>
      </c>
      <c r="D10676" s="22" t="s">
        <v>13007</v>
      </c>
      <c r="E10676" s="22" t="s">
        <v>144</v>
      </c>
      <c r="F10676" s="23" t="str">
        <f>HYPERLINK("https://www.spark-marketing.ru/Card/Lot/69209535", "Оказание услуг по физической охране имущества и поддержанию общественного правопорядка на объектах охраны ГАУЗ АО «Благовещенская городская клиническая больница»")</f>
        <v>Оказание услуг по физической охране имущества и поддержанию общественного правопорядка на объектах охраны ГАУЗ АО «Благовещенская городская клиническая больница»</v>
      </c>
      <c r="G10676" s="22" t="s">
        <v>230</v>
      </c>
      <c r="H10676" s="22" t="s">
        <v>230</v>
      </c>
      <c r="I10676" s="26">
        <v>43557.586643518502</v>
      </c>
      <c r="J10676" s="23" t="str">
        <f>HYPERLINK("https://www.spark-marketing.ru/Card/Person/6075892", "ООО ЧОО ""БЕЗОПАСНИК""")</f>
        <v>ООО ЧОО "БЕЗОПАСНИК"</v>
      </c>
      <c r="K10676" s="24" t="s">
        <v>13008</v>
      </c>
      <c r="L10676" s="22" t="s">
        <v>10</v>
      </c>
      <c r="M10676" s="25">
        <v>848880</v>
      </c>
      <c r="N10676" s="27">
        <v>2.5127541308155028E-3</v>
      </c>
    </row>
    <row r="10677" spans="1:14" x14ac:dyDescent="0.15">
      <c r="A10677" s="23" t="str">
        <f>HYPERLINK("https://www.spark-marketing.ru/Card/Person/4348589", "ПАО ""ТАТНЕФТЬ"" ИМ. В.Д. ШАШИНА")</f>
        <v>ПАО "ТАТНЕФТЬ" ИМ. В.Д. ШАШИНА</v>
      </c>
      <c r="B10677" s="24" t="s">
        <v>13000</v>
      </c>
      <c r="C10677" s="25">
        <v>0</v>
      </c>
      <c r="D10677" s="22" t="s">
        <v>13001</v>
      </c>
      <c r="E10677" s="22" t="s">
        <v>208</v>
      </c>
      <c r="F10677" s="23" t="str">
        <f>HYPERLINK("https://www.spark-marketing.ru/Card/Lot/69229548", "Лот №5 Охрана объектов с использованием кнопки тревожной сигнализации (КТС) и ее техническое обслуживание Канаш")</f>
        <v>Лот №5 Охрана объектов с использованием кнопки тревожной сигнализации (КТС) и ее техническое обслуживание Канаш</v>
      </c>
      <c r="G10677" s="22" t="s">
        <v>1137</v>
      </c>
      <c r="H10677" s="22" t="s">
        <v>1137</v>
      </c>
      <c r="I10677" s="26">
        <v>43557.621550925898</v>
      </c>
      <c r="J10677" s="28" t="s">
        <v>52</v>
      </c>
      <c r="K10677" s="28" t="s">
        <v>52</v>
      </c>
      <c r="L10677" s="28" t="s">
        <v>52</v>
      </c>
      <c r="M10677" s="28" t="s">
        <v>52</v>
      </c>
      <c r="N10677" s="28" t="s">
        <v>52</v>
      </c>
    </row>
    <row r="10678" spans="1:14" x14ac:dyDescent="0.15">
      <c r="A10678" s="23" t="str">
        <f>HYPERLINK("https://www.spark-marketing.ru/Card/Person/108996", "УПРАВЛЕНИЕ РОСРЕЕСТРА ПО ТОМСКОЙ ОБЛАСТИ")</f>
        <v>УПРАВЛЕНИЕ РОСРЕЕСТРА ПО ТОМСКОЙ ОБЛАСТИ</v>
      </c>
      <c r="B10678" s="24" t="s">
        <v>9812</v>
      </c>
      <c r="C10678" s="25">
        <v>14401.44</v>
      </c>
      <c r="D10678" s="22" t="s">
        <v>13009</v>
      </c>
      <c r="E10678" s="22" t="s">
        <v>53</v>
      </c>
      <c r="F10678" s="23" t="str">
        <f>HYPERLINK("https://www.spark-marketing.ru/Card/Lot/70804985", "Оказание услуг по пультовой охране объектов")</f>
        <v>Оказание услуг по пультовой охране объектов</v>
      </c>
      <c r="G10678" s="22" t="s">
        <v>150</v>
      </c>
      <c r="H10678" s="22" t="s">
        <v>1656</v>
      </c>
      <c r="I10678" s="26">
        <v>43557.591921296298</v>
      </c>
      <c r="J10678" s="28" t="s">
        <v>52</v>
      </c>
      <c r="K10678" s="28" t="s">
        <v>52</v>
      </c>
      <c r="L10678" s="28" t="s">
        <v>52</v>
      </c>
      <c r="M10678" s="28" t="s">
        <v>52</v>
      </c>
      <c r="N10678" s="28" t="s">
        <v>52</v>
      </c>
    </row>
    <row r="10679" spans="1:14" x14ac:dyDescent="0.15">
      <c r="A10679" s="23" t="str">
        <f>HYPERLINK("https://www.spark-marketing.ru/Card/Person/4348589", "ПАО ""ТАТНЕФТЬ"" ИМ. В.Д. ШАШИНА")</f>
        <v>ПАО "ТАТНЕФТЬ" ИМ. В.Д. ШАШИНА</v>
      </c>
      <c r="B10679" s="24" t="s">
        <v>13000</v>
      </c>
      <c r="C10679" s="25">
        <v>0</v>
      </c>
      <c r="D10679" s="22" t="s">
        <v>13001</v>
      </c>
      <c r="E10679" s="22" t="s">
        <v>208</v>
      </c>
      <c r="F10679" s="23" t="str">
        <f>HYPERLINK("https://www.spark-marketing.ru/Card/Lot/69229468", "Лот №1 Охрана объектов с использованием кнопки тревожной сигнализации (КТС) и ее техническое обслуживание Чебоксары")</f>
        <v>Лот №1 Охрана объектов с использованием кнопки тревожной сигнализации (КТС) и ее техническое обслуживание Чебоксары</v>
      </c>
      <c r="G10679" s="22" t="s">
        <v>1137</v>
      </c>
      <c r="H10679" s="22" t="s">
        <v>1137</v>
      </c>
      <c r="I10679" s="26">
        <v>43557.621550925898</v>
      </c>
      <c r="J10679" s="28" t="s">
        <v>52</v>
      </c>
      <c r="K10679" s="28" t="s">
        <v>52</v>
      </c>
      <c r="L10679" s="28" t="s">
        <v>52</v>
      </c>
      <c r="M10679" s="28" t="s">
        <v>52</v>
      </c>
      <c r="N10679" s="28" t="s">
        <v>52</v>
      </c>
    </row>
    <row r="10680" spans="1:14" x14ac:dyDescent="0.15">
      <c r="A10680" s="23" t="str">
        <f>HYPERLINK("https://www.spark-marketing.ru/Card/Person/26647", "УСД ВО ВЛАДИМИРСКОЙ ОБЛАСТИ")</f>
        <v>УСД ВО ВЛАДИМИРСКОЙ ОБЛАСТИ</v>
      </c>
      <c r="B10680" s="24" t="s">
        <v>8226</v>
      </c>
      <c r="C10680" s="25">
        <v>1384263.72</v>
      </c>
      <c r="D10680" s="22" t="s">
        <v>13010</v>
      </c>
      <c r="E10680" s="22" t="s">
        <v>68</v>
      </c>
      <c r="F10680" s="23" t="str">
        <f>HYPERLINK("https://www.spark-marketing.ru/Card/Lot/69223333", "Закупка услуг для обеспечения государственных нужд ""услуги охраны зданий и помещений судов общей юрисдикции Владимирской области с помощью охранной сигнализации (ПЦН) и кнопки тревожной сигнализации (КТС)"".")</f>
        <v>Закупка услуг для обеспечения государственных нужд "услуги охраны зданий и помещений судов общей юрисдикции Владимирской области с помощью охранной сигнализации (ПЦН) и кнопки тревожной сигнализации (КТС)".</v>
      </c>
      <c r="G10680" s="22" t="s">
        <v>145</v>
      </c>
      <c r="H10680" s="22" t="s">
        <v>145</v>
      </c>
      <c r="I10680" s="26">
        <v>43557.600694444402</v>
      </c>
      <c r="J10680" s="23" t="str">
        <f>HYPERLINK("https://www.spark-marketing.ru/Card/Person/25843", "ФГКУ ""УВО ВНГ РОССИИ ПО ВЛАДИМИРСКОЙ ОБЛАСТИ""")</f>
        <v>ФГКУ "УВО ВНГ РОССИИ ПО ВЛАДИМИРСКОЙ ОБЛАСТИ"</v>
      </c>
      <c r="K10680" s="24" t="s">
        <v>3022</v>
      </c>
      <c r="L10680" s="22" t="s">
        <v>10</v>
      </c>
      <c r="M10680" s="28" t="s">
        <v>52</v>
      </c>
      <c r="N10680" s="28" t="s">
        <v>52</v>
      </c>
    </row>
    <row r="10681" spans="1:14" x14ac:dyDescent="0.15">
      <c r="A10681" s="23" t="str">
        <f>HYPERLINK("https://www.spark-marketing.ru/Card/Person/4348589", "ПАО ""ТАТНЕФТЬ"" ИМ. В.Д. ШАШИНА")</f>
        <v>ПАО "ТАТНЕФТЬ" ИМ. В.Д. ШАШИНА</v>
      </c>
      <c r="B10681" s="24" t="s">
        <v>13000</v>
      </c>
      <c r="C10681" s="25">
        <v>0</v>
      </c>
      <c r="D10681" s="22" t="s">
        <v>13001</v>
      </c>
      <c r="E10681" s="22" t="s">
        <v>208</v>
      </c>
      <c r="F10681" s="23" t="str">
        <f>HYPERLINK("https://www.spark-marketing.ru/Card/Lot/69229547", "Лот №4 Охрана объектов с использованием кнопки тревожной сигнализации (КТС) и ее техническое обслуживание Алатырь")</f>
        <v>Лот №4 Охрана объектов с использованием кнопки тревожной сигнализации (КТС) и ее техническое обслуживание Алатырь</v>
      </c>
      <c r="G10681" s="22" t="s">
        <v>1137</v>
      </c>
      <c r="H10681" s="22" t="s">
        <v>1137</v>
      </c>
      <c r="I10681" s="26">
        <v>43557.621550925898</v>
      </c>
      <c r="J10681" s="28" t="s">
        <v>52</v>
      </c>
      <c r="K10681" s="28" t="s">
        <v>52</v>
      </c>
      <c r="L10681" s="28" t="s">
        <v>52</v>
      </c>
      <c r="M10681" s="28" t="s">
        <v>52</v>
      </c>
      <c r="N10681" s="28" t="s">
        <v>52</v>
      </c>
    </row>
    <row r="10682" spans="1:14" x14ac:dyDescent="0.15">
      <c r="A10682" s="23" t="str">
        <f>HYPERLINK("https://www.spark-marketing.ru/Card/Person/61655", "УФНС РОССИИ ПО ПЕНЗЕНСКОЙ ОБЛАСТИ")</f>
        <v>УФНС РОССИИ ПО ПЕНЗЕНСКОЙ ОБЛАСТИ</v>
      </c>
      <c r="B10682" s="24" t="s">
        <v>13011</v>
      </c>
      <c r="C10682" s="25">
        <v>45092.800000000003</v>
      </c>
      <c r="D10682" s="22" t="s">
        <v>13012</v>
      </c>
      <c r="E10682" s="22" t="s">
        <v>53</v>
      </c>
      <c r="F10682" s="23" t="str">
        <f>HYPERLINK("https://www.spark-marketing.ru/Card/Lot/70806840", "Контроль за каналом передачи тревожного извещения из зданий, сооружений, помещений (в дальнейшем именуемых ""Объект"") ""Государственного заказчика"" и экстренному выезду сотрудников вневедомственной охраны полиции войск национальной гвардии Российск...")</f>
        <v>Контроль за каналом передачи тревожного извещения из зданий, сооружений, помещений (в дальнейшем именуемых "Объект") "Государственного заказчика" и экстренному выезду сотрудников вневедомственной охраны полиции войск национальной гвардии Российск...</v>
      </c>
      <c r="G10682" s="22" t="s">
        <v>514</v>
      </c>
      <c r="H10682" s="22" t="s">
        <v>2167</v>
      </c>
      <c r="I10682" s="26">
        <v>43557.548877314803</v>
      </c>
      <c r="J10682" s="28" t="s">
        <v>52</v>
      </c>
      <c r="K10682" s="28" t="s">
        <v>52</v>
      </c>
      <c r="L10682" s="28" t="s">
        <v>52</v>
      </c>
      <c r="M10682" s="28" t="s">
        <v>52</v>
      </c>
      <c r="N10682" s="28" t="s">
        <v>52</v>
      </c>
    </row>
    <row r="10683" spans="1:14" x14ac:dyDescent="0.15">
      <c r="A10683" s="23" t="str">
        <f>HYPERLINK("https://www.spark-marketing.ru/Card/Person/1008022", "ФКУ ""ГБ МСЭ ПО РОСТОВСКОЙ ОБЛАСТИ"" МИНТРУДА РОССИИ")</f>
        <v>ФКУ "ГБ МСЭ ПО РОСТОВСКОЙ ОБЛАСТИ" МИНТРУДА РОССИИ</v>
      </c>
      <c r="B10683" s="24" t="s">
        <v>13013</v>
      </c>
      <c r="C10683" s="25">
        <v>10850000</v>
      </c>
      <c r="D10683" s="22" t="s">
        <v>13014</v>
      </c>
      <c r="E10683" s="22" t="s">
        <v>84</v>
      </c>
      <c r="F10683" s="23" t="str">
        <f>HYPERLINK("https://www.spark-marketing.ru/Card/Lot/69224601", "Услуги по установке систем аудио-видео записи для использования при предоставлении государственной услуги по проведению медико-социальной экспертизы.")</f>
        <v>Услуги по установке систем аудио-видео записи для использования при предоставлении государственной услуги по проведению медико-социальной экспертизы.</v>
      </c>
      <c r="G10683" s="22" t="s">
        <v>402</v>
      </c>
      <c r="H10683" s="22" t="s">
        <v>402</v>
      </c>
      <c r="I10683" s="26">
        <v>43557.543055555601</v>
      </c>
      <c r="J10683" s="28" t="s">
        <v>52</v>
      </c>
      <c r="K10683" s="28" t="s">
        <v>52</v>
      </c>
      <c r="L10683" s="28" t="s">
        <v>52</v>
      </c>
      <c r="M10683" s="28" t="s">
        <v>52</v>
      </c>
      <c r="N10683" s="28" t="s">
        <v>52</v>
      </c>
    </row>
    <row r="10684" spans="1:14" hidden="1" outlineLevel="1" x14ac:dyDescent="0.2">
      <c r="A10684" s="23" t="str">
        <f>HYPERLINK("https://www.spark-marketing.ru/Card/Person/1008022", "ФКУ ""ГБ МСЭ ПО РОСТОВСКОЙ ОБЛАСТИ"" МИНТРУДА РОССИИ")</f>
        <v>ФКУ "ГБ МСЭ ПО РОСТОВСКОЙ ОБЛАСТИ" МИНТРУДА РОССИИ</v>
      </c>
      <c r="B10684" s="24" t="s">
        <v>13013</v>
      </c>
      <c r="C10684" s="25">
        <v>10850000</v>
      </c>
      <c r="D10684" s="22" t="s">
        <v>13014</v>
      </c>
      <c r="E10684" s="22" t="s">
        <v>84</v>
      </c>
      <c r="F10684" s="23" t="str">
        <f>HYPERLINK("https://www.spark-marketing.ru/Card/Lot/69224601", "Услуги по установке систем аудио-видео записи для использования при предоставлении государственной услуги по проведению медико-социальной экспертизы.")</f>
        <v>Услуги по установке систем аудио-видео записи для использования при предоставлении государственной услуги по проведению медико-социальной экспертизы.</v>
      </c>
      <c r="G10684" s="22" t="s">
        <v>402</v>
      </c>
      <c r="H10684" s="22" t="s">
        <v>402</v>
      </c>
      <c r="I10684" s="26">
        <v>43557.543055555601</v>
      </c>
      <c r="J10684" s="23" t="str">
        <f>HYPERLINK("https://www.spark-marketing.ru/Card/Person/47132", "ООО""СТРАТУС""")</f>
        <v>ООО"СТРАТУС"</v>
      </c>
      <c r="K10684" s="24" t="s">
        <v>8023</v>
      </c>
      <c r="L10684" s="28" t="s">
        <v>52</v>
      </c>
      <c r="M10684" s="25">
        <v>6440020.71</v>
      </c>
      <c r="N10684" s="27">
        <v>0.40644970414746545</v>
      </c>
    </row>
    <row r="10685" spans="1:14" ht="12.75" hidden="1" outlineLevel="1" x14ac:dyDescent="0.2">
      <c r="A10685" s="23" t="str">
        <f>HYPERLINK("https://www.spark-marketing.ru/Card/Person/1008022", "ФКУ ""ГБ МСЭ ПО РОСТОВСКОЙ ОБЛАСТИ"" МИНТРУДА РОССИИ")</f>
        <v>ФКУ "ГБ МСЭ ПО РОСТОВСКОЙ ОБЛАСТИ" МИНТРУДА РОССИИ</v>
      </c>
      <c r="B10685" s="24" t="s">
        <v>13013</v>
      </c>
      <c r="C10685" s="25">
        <v>10850000</v>
      </c>
      <c r="D10685" s="22" t="s">
        <v>13014</v>
      </c>
      <c r="E10685" s="22" t="s">
        <v>84</v>
      </c>
      <c r="F10685" s="23" t="str">
        <f>HYPERLINK("https://www.spark-marketing.ru/Card/Lot/69224601", "Услуги по установке систем аудио-видео записи для использования при предоставлении государственной услуги по проведению медико-социальной экспертизы.")</f>
        <v>Услуги по установке систем аудио-видео записи для использования при предоставлении государственной услуги по проведению медико-социальной экспертизы.</v>
      </c>
      <c r="G10685" s="22" t="s">
        <v>402</v>
      </c>
      <c r="H10685" s="22" t="s">
        <v>402</v>
      </c>
      <c r="I10685" s="26">
        <v>43557.543055555601</v>
      </c>
      <c r="J10685" s="23" t="str">
        <f>HYPERLINK("https://www.spark-marketing.ru/Card/Person/146310", "ООО ""РЕСПЕКТ""")</f>
        <v>ООО "РЕСПЕКТ"</v>
      </c>
      <c r="K10685" s="24" t="s">
        <v>13015</v>
      </c>
      <c r="L10685" s="22" t="s">
        <v>10</v>
      </c>
      <c r="M10685" s="25">
        <v>6385770.71</v>
      </c>
      <c r="N10685" s="27">
        <v>0.41144970414746546</v>
      </c>
    </row>
    <row r="10686" spans="1:14" x14ac:dyDescent="0.15">
      <c r="A10686" s="23" t="str">
        <f>HYPERLINK("https://www.spark-marketing.ru/Card/Person/151671", "ФГКУ КОМБИНАТ ""ИСКАТЕЛЬ"" РОСРЕЗЕРВА")</f>
        <v>ФГКУ КОМБИНАТ "ИСКАТЕЛЬ" РОСРЕЗЕРВА</v>
      </c>
      <c r="B10686" s="24" t="s">
        <v>3423</v>
      </c>
      <c r="C10686" s="25">
        <v>16199.5</v>
      </c>
      <c r="D10686" s="22" t="s">
        <v>13016</v>
      </c>
      <c r="E10686" s="22" t="s">
        <v>53</v>
      </c>
      <c r="F10686" s="23" t="str">
        <f>HYPERLINK("https://www.spark-marketing.ru/Card/Lot/70804798", "обслуживание технических средств охраны")</f>
        <v>обслуживание технических средств охраны</v>
      </c>
      <c r="G10686" s="22" t="s">
        <v>340</v>
      </c>
      <c r="H10686" s="22" t="s">
        <v>2755</v>
      </c>
      <c r="I10686" s="26">
        <v>43557.574537036999</v>
      </c>
      <c r="J10686" s="28" t="s">
        <v>52</v>
      </c>
      <c r="K10686" s="28" t="s">
        <v>52</v>
      </c>
      <c r="L10686" s="28" t="s">
        <v>52</v>
      </c>
      <c r="M10686" s="28" t="s">
        <v>52</v>
      </c>
      <c r="N10686" s="28" t="s">
        <v>52</v>
      </c>
    </row>
    <row r="10687" spans="1:14" x14ac:dyDescent="0.15">
      <c r="A10687" s="23" t="str">
        <f>HYPERLINK("https://www.spark-marketing.ru/Card/Person/35198", "ФКУ ""ДЕЗ СКИТР""")</f>
        <v>ФКУ "ДЕЗ СКИТР"</v>
      </c>
      <c r="B10687" s="24" t="s">
        <v>2310</v>
      </c>
      <c r="C10687" s="25">
        <v>71149.64</v>
      </c>
      <c r="D10687" s="22" t="s">
        <v>13017</v>
      </c>
      <c r="E10687" s="22" t="s">
        <v>53</v>
      </c>
      <c r="F10687" s="23" t="str">
        <f>HYPERLINK("https://www.spark-marketing.ru/Card/Lot/70804882", "на оказание услуг по техническому обслуживанию видеонаблюдения нежилого здания по адресу: г. Москва, ул. Архитектора Власова, д.21, стр.3.")</f>
        <v>на оказание услуг по техническому обслуживанию видеонаблюдения нежилого здания по адресу: г. Москва, ул. Архитектора Власова, д.21, стр.3.</v>
      </c>
      <c r="G10687" s="22" t="s">
        <v>55</v>
      </c>
      <c r="H10687" s="22" t="s">
        <v>55</v>
      </c>
      <c r="I10687" s="26">
        <v>43557.577083333301</v>
      </c>
      <c r="J10687" s="28" t="s">
        <v>52</v>
      </c>
      <c r="K10687" s="28" t="s">
        <v>52</v>
      </c>
      <c r="L10687" s="28" t="s">
        <v>52</v>
      </c>
      <c r="M10687" s="28" t="s">
        <v>52</v>
      </c>
      <c r="N10687" s="28" t="s">
        <v>52</v>
      </c>
    </row>
    <row r="10688" spans="1:14" x14ac:dyDescent="0.15">
      <c r="A10688" s="23" t="str">
        <f>HYPERLINK("https://www.spark-marketing.ru/Card/Person/4697758", "ФЛ АО КОНЦЕРН РОСЭНЕРГОАТОМ БЕЛОЯРСКАЯ АТОМНАЯ СТАНЦИЯ")</f>
        <v>ФЛ АО КОНЦЕРН РОСЭНЕРГОАТОМ БЕЛОЯРСКАЯ АТОМНАЯ СТАНЦИЯ</v>
      </c>
      <c r="B10688" s="28" t="s">
        <v>52</v>
      </c>
      <c r="C10688" s="25">
        <v>12771755.279999999</v>
      </c>
      <c r="D10688" s="22" t="s">
        <v>13018</v>
      </c>
      <c r="E10688" s="22" t="s">
        <v>53</v>
      </c>
      <c r="F10688" s="23" t="str">
        <f>HYPERLINK("https://www.spark-marketing.ru/Card/Lot/69222187", "Право заключения договора на Услуги по охране объектов Белоярской АЭС согласно перечню охраняемых объектов в соответствии с техническим заданием")</f>
        <v>Право заключения договора на Услуги по охране объектов Белоярской АЭС согласно перечню охраняемых объектов в соответствии с техническим заданием</v>
      </c>
      <c r="G10688" s="22" t="s">
        <v>52</v>
      </c>
      <c r="H10688" s="22" t="s">
        <v>52</v>
      </c>
      <c r="I10688" s="26">
        <v>43557.555277777799</v>
      </c>
      <c r="J10688" s="28" t="s">
        <v>52</v>
      </c>
      <c r="K10688" s="28" t="s">
        <v>52</v>
      </c>
      <c r="L10688" s="28" t="s">
        <v>52</v>
      </c>
      <c r="M10688" s="28" t="s">
        <v>52</v>
      </c>
      <c r="N10688" s="28" t="s">
        <v>52</v>
      </c>
    </row>
    <row r="10689" spans="1:14" x14ac:dyDescent="0.15">
      <c r="A10689" s="23" t="str">
        <f t="shared" ref="A10689:A10694" si="496">HYPERLINK("https://www.spark-marketing.ru/Card/Person/6247", "ГБУ ""ЖИЛИЩНИК РАЙОНА ВЕШНЯКИ""")</f>
        <v>ГБУ "ЖИЛИЩНИК РАЙОНА ВЕШНЯКИ"</v>
      </c>
      <c r="B10689" s="24" t="s">
        <v>13019</v>
      </c>
      <c r="C10689" s="25">
        <v>1327486.92</v>
      </c>
      <c r="D10689" s="22" t="s">
        <v>13020</v>
      </c>
      <c r="E10689" s="22" t="s">
        <v>107</v>
      </c>
      <c r="F10689" s="23" t="str">
        <f t="shared" ref="F10689:F10694" si="497">HYPERLINK("https://www.spark-marketing.ru/Card/Lot/69223335", "Оказание услуг по техническому обслуживанию подъемных платформ для инвалидов (без шахт), систем визуализации (видеонаблюдения) и диспетчерского контроля за работой платформ подъемных для инвалидов, установленных в жилых домах")</f>
        <v>Оказание услуг по техническому обслуживанию подъемных платформ для инвалидов (без шахт), систем визуализации (видеонаблюдения) и диспетчерского контроля за работой платформ подъемных для инвалидов, установленных в жилых домах</v>
      </c>
      <c r="G10689" s="22" t="s">
        <v>55</v>
      </c>
      <c r="H10689" s="22" t="s">
        <v>55</v>
      </c>
      <c r="I10689" s="26">
        <v>43557.573611111096</v>
      </c>
      <c r="J10689" s="28" t="s">
        <v>52</v>
      </c>
      <c r="K10689" s="28" t="s">
        <v>52</v>
      </c>
      <c r="L10689" s="28" t="s">
        <v>52</v>
      </c>
      <c r="M10689" s="28" t="s">
        <v>52</v>
      </c>
      <c r="N10689" s="28" t="s">
        <v>52</v>
      </c>
    </row>
    <row r="10690" spans="1:14" hidden="1" outlineLevel="1" x14ac:dyDescent="0.2">
      <c r="A10690" s="23" t="str">
        <f t="shared" si="496"/>
        <v>ГБУ "ЖИЛИЩНИК РАЙОНА ВЕШНЯКИ"</v>
      </c>
      <c r="B10690" s="24" t="s">
        <v>13019</v>
      </c>
      <c r="C10690" s="25">
        <v>1327486.92</v>
      </c>
      <c r="D10690" s="22" t="s">
        <v>13020</v>
      </c>
      <c r="E10690" s="22" t="s">
        <v>107</v>
      </c>
      <c r="F10690" s="23" t="str">
        <f t="shared" si="497"/>
        <v>Оказание услуг по техническому обслуживанию подъемных платформ для инвалидов (без шахт), систем визуализации (видеонаблюдения) и диспетчерского контроля за работой платформ подъемных для инвалидов, установленных в жилых домах</v>
      </c>
      <c r="G10690" s="22" t="s">
        <v>55</v>
      </c>
      <c r="H10690" s="22" t="s">
        <v>55</v>
      </c>
      <c r="I10690" s="26">
        <v>43557.573611111096</v>
      </c>
      <c r="J10690" s="23" t="str">
        <f>HYPERLINK("https://www.spark-marketing.ru/Card/Person/6498391", "ООО ""ОРИОН""")</f>
        <v>ООО "ОРИОН"</v>
      </c>
      <c r="K10690" s="24" t="s">
        <v>13021</v>
      </c>
      <c r="L10690" s="28" t="s">
        <v>52</v>
      </c>
      <c r="M10690" s="25">
        <v>424795.14</v>
      </c>
      <c r="N10690" s="27">
        <v>0.68000050802760448</v>
      </c>
    </row>
    <row r="10691" spans="1:14" hidden="1" outlineLevel="1" x14ac:dyDescent="0.2">
      <c r="A10691" s="23" t="str">
        <f t="shared" si="496"/>
        <v>ГБУ "ЖИЛИЩНИК РАЙОНА ВЕШНЯКИ"</v>
      </c>
      <c r="B10691" s="24" t="s">
        <v>13019</v>
      </c>
      <c r="C10691" s="25">
        <v>1327486.92</v>
      </c>
      <c r="D10691" s="22" t="s">
        <v>13020</v>
      </c>
      <c r="E10691" s="22" t="s">
        <v>107</v>
      </c>
      <c r="F10691" s="23" t="str">
        <f t="shared" si="497"/>
        <v>Оказание услуг по техническому обслуживанию подъемных платформ для инвалидов (без шахт), систем визуализации (видеонаблюдения) и диспетчерского контроля за работой платформ подъемных для инвалидов, установленных в жилых домах</v>
      </c>
      <c r="G10691" s="22" t="s">
        <v>55</v>
      </c>
      <c r="H10691" s="22" t="s">
        <v>55</v>
      </c>
      <c r="I10691" s="26">
        <v>43557.573611111096</v>
      </c>
      <c r="J10691" s="23" t="str">
        <f>HYPERLINK("https://www.spark-marketing.ru/Card/Person/699561", "ООО ""ТЕО-БЕЗОПАСНОСТЬ""")</f>
        <v>ООО "ТЕО-БЕЗОПАСНОСТЬ"</v>
      </c>
      <c r="K10691" s="24" t="s">
        <v>10575</v>
      </c>
      <c r="L10691" s="28" t="s">
        <v>52</v>
      </c>
      <c r="M10691" s="25">
        <v>683655.3</v>
      </c>
      <c r="N10691" s="27">
        <v>0.48500034938197356</v>
      </c>
    </row>
    <row r="10692" spans="1:14" hidden="1" outlineLevel="1" x14ac:dyDescent="0.2">
      <c r="A10692" s="23" t="str">
        <f t="shared" si="496"/>
        <v>ГБУ "ЖИЛИЩНИК РАЙОНА ВЕШНЯКИ"</v>
      </c>
      <c r="B10692" s="24" t="s">
        <v>13019</v>
      </c>
      <c r="C10692" s="25">
        <v>1327486.92</v>
      </c>
      <c r="D10692" s="22" t="s">
        <v>13020</v>
      </c>
      <c r="E10692" s="22" t="s">
        <v>107</v>
      </c>
      <c r="F10692" s="23" t="str">
        <f t="shared" si="497"/>
        <v>Оказание услуг по техническому обслуживанию подъемных платформ для инвалидов (без шахт), систем визуализации (видеонаблюдения) и диспетчерского контроля за работой платформ подъемных для инвалидов, установленных в жилых домах</v>
      </c>
      <c r="G10692" s="22" t="s">
        <v>55</v>
      </c>
      <c r="H10692" s="22" t="s">
        <v>55</v>
      </c>
      <c r="I10692" s="26">
        <v>43557.573611111096</v>
      </c>
      <c r="J10692" s="23" t="str">
        <f>HYPERLINK("https://www.spark-marketing.ru/Card/Person/6277878", "ООО ""КУРС СБ""")</f>
        <v>ООО "КУРС СБ"</v>
      </c>
      <c r="K10692" s="24" t="s">
        <v>13022</v>
      </c>
      <c r="L10692" s="28" t="s">
        <v>52</v>
      </c>
      <c r="M10692" s="25">
        <v>517719.3</v>
      </c>
      <c r="N10692" s="27">
        <v>0.6100004510778908</v>
      </c>
    </row>
    <row r="10693" spans="1:14" ht="12.75" hidden="1" outlineLevel="1" x14ac:dyDescent="0.2">
      <c r="A10693" s="23" t="str">
        <f t="shared" si="496"/>
        <v>ГБУ "ЖИЛИЩНИК РАЙОНА ВЕШНЯКИ"</v>
      </c>
      <c r="B10693" s="24" t="s">
        <v>13019</v>
      </c>
      <c r="C10693" s="25">
        <v>1327486.92</v>
      </c>
      <c r="D10693" s="22" t="s">
        <v>13020</v>
      </c>
      <c r="E10693" s="22" t="s">
        <v>107</v>
      </c>
      <c r="F10693" s="23" t="str">
        <f t="shared" si="497"/>
        <v>Оказание услуг по техническому обслуживанию подъемных платформ для инвалидов (без шахт), систем визуализации (видеонаблюдения) и диспетчерского контроля за работой платформ подъемных для инвалидов, установленных в жилых домах</v>
      </c>
      <c r="G10693" s="22" t="s">
        <v>55</v>
      </c>
      <c r="H10693" s="22" t="s">
        <v>55</v>
      </c>
      <c r="I10693" s="26">
        <v>43557.573611111096</v>
      </c>
      <c r="J10693" s="23" t="str">
        <f>HYPERLINK("https://www.spark-marketing.ru/Card/Person/505015", "ООО УК ""ДОМСЕРВИС""")</f>
        <v>ООО УК "ДОМСЕРВИС"</v>
      </c>
      <c r="K10693" s="24" t="s">
        <v>3878</v>
      </c>
      <c r="L10693" s="22" t="s">
        <v>10</v>
      </c>
      <c r="M10693" s="25">
        <v>424795.14</v>
      </c>
      <c r="N10693" s="27">
        <v>0.68000050802760448</v>
      </c>
    </row>
    <row r="10694" spans="1:14" hidden="1" outlineLevel="1" x14ac:dyDescent="0.2">
      <c r="A10694" s="23" t="str">
        <f t="shared" si="496"/>
        <v>ГБУ "ЖИЛИЩНИК РАЙОНА ВЕШНЯКИ"</v>
      </c>
      <c r="B10694" s="24" t="s">
        <v>13019</v>
      </c>
      <c r="C10694" s="25">
        <v>1327486.92</v>
      </c>
      <c r="D10694" s="22" t="s">
        <v>13020</v>
      </c>
      <c r="E10694" s="22" t="s">
        <v>107</v>
      </c>
      <c r="F10694" s="23" t="str">
        <f t="shared" si="497"/>
        <v>Оказание услуг по техническому обслуживанию подъемных платформ для инвалидов (без шахт), систем визуализации (видеонаблюдения) и диспетчерского контроля за работой платформ подъемных для инвалидов, установленных в жилых домах</v>
      </c>
      <c r="G10694" s="22" t="s">
        <v>55</v>
      </c>
      <c r="H10694" s="22" t="s">
        <v>55</v>
      </c>
      <c r="I10694" s="26">
        <v>43557.573611111096</v>
      </c>
      <c r="J10694" s="23" t="str">
        <f>HYPERLINK("https://www.spark-marketing.ru/Card/Person/5855671", "Павлов Павел Вячеславович")</f>
        <v>Павлов Павел Вячеславович</v>
      </c>
      <c r="K10694" s="24" t="s">
        <v>13023</v>
      </c>
      <c r="L10694" s="28" t="s">
        <v>52</v>
      </c>
      <c r="M10694" s="25">
        <v>982340.04</v>
      </c>
      <c r="N10694" s="27">
        <v>0.26000021152750791</v>
      </c>
    </row>
    <row r="10695" spans="1:14" x14ac:dyDescent="0.15">
      <c r="A10695" s="23" t="str">
        <f>HYPERLINK("https://www.spark-marketing.ru/Card/Person/957963", "СРЕДНЯЯ ОБЩЕОБРАЗОВАТЕЛЬНАЯ ШКОЛА № 82")</f>
        <v>СРЕДНЯЯ ОБЩЕОБРАЗОВАТЕЛЬНАЯ ШКОЛА № 82</v>
      </c>
      <c r="B10695" s="24" t="s">
        <v>13024</v>
      </c>
      <c r="C10695" s="25">
        <v>597240</v>
      </c>
      <c r="D10695" s="22" t="s">
        <v>13025</v>
      </c>
      <c r="E10695" s="22" t="s">
        <v>68</v>
      </c>
      <c r="F10695" s="23" t="str">
        <f>HYPERLINK("https://www.spark-marketing.ru/Card/Lot/69224332", "Услуги, связанные с обеспечением общественного порядка и безопасности, прочие")</f>
        <v>Услуги, связанные с обеспечением общественного порядка и безопасности, прочие</v>
      </c>
      <c r="G10695" s="22" t="s">
        <v>132</v>
      </c>
      <c r="H10695" s="22" t="s">
        <v>132</v>
      </c>
      <c r="I10695" s="26">
        <v>43557.528472222199</v>
      </c>
      <c r="J10695" s="28" t="s">
        <v>52</v>
      </c>
      <c r="K10695" s="28" t="s">
        <v>52</v>
      </c>
      <c r="L10695" s="28" t="s">
        <v>52</v>
      </c>
      <c r="M10695" s="28" t="s">
        <v>52</v>
      </c>
      <c r="N10695" s="28" t="s">
        <v>52</v>
      </c>
    </row>
    <row r="10696" spans="1:14" hidden="1" outlineLevel="1" x14ac:dyDescent="0.2">
      <c r="A10696" s="23" t="str">
        <f>HYPERLINK("https://www.spark-marketing.ru/Card/Person/957963", "СРЕДНЯЯ ОБЩЕОБРАЗОВАТЕЛЬНАЯ ШКОЛА № 82")</f>
        <v>СРЕДНЯЯ ОБЩЕОБРАЗОВАТЕЛЬНАЯ ШКОЛА № 82</v>
      </c>
      <c r="B10696" s="24" t="s">
        <v>13024</v>
      </c>
      <c r="C10696" s="25">
        <v>597240</v>
      </c>
      <c r="D10696" s="22" t="s">
        <v>13025</v>
      </c>
      <c r="E10696" s="22" t="s">
        <v>68</v>
      </c>
      <c r="F10696" s="23" t="str">
        <f>HYPERLINK("https://www.spark-marketing.ru/Card/Lot/69224332", "Услуги, связанные с обеспечением общественного порядка и безопасности, прочие")</f>
        <v>Услуги, связанные с обеспечением общественного порядка и безопасности, прочие</v>
      </c>
      <c r="G10696" s="22" t="s">
        <v>132</v>
      </c>
      <c r="H10696" s="22" t="s">
        <v>132</v>
      </c>
      <c r="I10696" s="26">
        <v>43557.528472222199</v>
      </c>
      <c r="J10696" s="23" t="str">
        <f>HYPERLINK("https://www.spark-marketing.ru/Card/Person/446854", "ООО ""ОХРАНА ""ОЛИМП""")</f>
        <v>ООО "ОХРАНА "ОЛИМП"</v>
      </c>
      <c r="K10696" s="24" t="s">
        <v>13026</v>
      </c>
      <c r="L10696" s="28" t="s">
        <v>52</v>
      </c>
      <c r="M10696" s="25">
        <v>492723</v>
      </c>
      <c r="N10696" s="27">
        <v>0.17499999999999999</v>
      </c>
    </row>
    <row r="10697" spans="1:14" ht="12.75" hidden="1" outlineLevel="1" x14ac:dyDescent="0.2">
      <c r="A10697" s="23" t="str">
        <f>HYPERLINK("https://www.spark-marketing.ru/Card/Person/957963", "СРЕДНЯЯ ОБЩЕОБРАЗОВАТЕЛЬНАЯ ШКОЛА № 82")</f>
        <v>СРЕДНЯЯ ОБЩЕОБРАЗОВАТЕЛЬНАЯ ШКОЛА № 82</v>
      </c>
      <c r="B10697" s="24" t="s">
        <v>13024</v>
      </c>
      <c r="C10697" s="25">
        <v>597240</v>
      </c>
      <c r="D10697" s="22" t="s">
        <v>13025</v>
      </c>
      <c r="E10697" s="22" t="s">
        <v>68</v>
      </c>
      <c r="F10697" s="23" t="str">
        <f>HYPERLINK("https://www.spark-marketing.ru/Card/Lot/69224332", "Услуги, связанные с обеспечением общественного порядка и безопасности, прочие")</f>
        <v>Услуги, связанные с обеспечением общественного порядка и безопасности, прочие</v>
      </c>
      <c r="G10697" s="22" t="s">
        <v>132</v>
      </c>
      <c r="H10697" s="22" t="s">
        <v>132</v>
      </c>
      <c r="I10697" s="26">
        <v>43557.528472222199</v>
      </c>
      <c r="J10697" s="23" t="str">
        <f>HYPERLINK("https://www.spark-marketing.ru/Card/Person/124509", "ООО ""ЧАСТНАЯ ОХРАННАЯ ОРГАНИЗАЦИЯ ""РУБИКОН""")</f>
        <v>ООО "ЧАСТНАЯ ОХРАННАЯ ОРГАНИЗАЦИЯ "РУБИКОН"</v>
      </c>
      <c r="K10697" s="24" t="s">
        <v>6844</v>
      </c>
      <c r="L10697" s="22" t="s">
        <v>10</v>
      </c>
      <c r="M10697" s="25">
        <v>489736.8</v>
      </c>
      <c r="N10697" s="27">
        <v>0.18</v>
      </c>
    </row>
    <row r="10698" spans="1:14" x14ac:dyDescent="0.15">
      <c r="A10698" s="23" t="str">
        <f>HYPERLINK("https://www.spark-marketing.ru/Card/Person/2445509", "ООО ""СИБУР-КСТОВО""")</f>
        <v>ООО "СИБУР-КСТОВО"</v>
      </c>
      <c r="B10698" s="24" t="s">
        <v>13027</v>
      </c>
      <c r="C10698" s="28" t="s">
        <v>52</v>
      </c>
      <c r="D10698" s="22" t="s">
        <v>13028</v>
      </c>
      <c r="E10698" s="22" t="s">
        <v>53</v>
      </c>
      <c r="F10698" s="23" t="str">
        <f>HYPERLINK("https://www.spark-marketing.ru/Card/Lot/69216640", "Лот #1. Оказание услуг (выполнение работ) по техническому обслуживанию систем видеонаблюдения (СВН), периметральной охранной сигнализации (ПОС) и систем контроля и управления доступом (СКУД) на объектах ООО «СИБУР-Кстово».")</f>
        <v>Лот #1. Оказание услуг (выполнение работ) по техническому обслуживанию систем видеонаблюдения (СВН), периметральной охранной сигнализации (ПОС) и систем контроля и управления доступом (СКУД) на объектах ООО «СИБУР-Кстово».</v>
      </c>
      <c r="G10698" s="22" t="s">
        <v>64</v>
      </c>
      <c r="H10698" s="22" t="s">
        <v>13029</v>
      </c>
      <c r="I10698" s="26">
        <v>43557.529861111099</v>
      </c>
      <c r="J10698" s="28" t="s">
        <v>52</v>
      </c>
      <c r="K10698" s="28" t="s">
        <v>52</v>
      </c>
      <c r="L10698" s="28" t="s">
        <v>52</v>
      </c>
      <c r="M10698" s="28" t="s">
        <v>52</v>
      </c>
      <c r="N10698" s="28" t="s">
        <v>52</v>
      </c>
    </row>
    <row r="10699" spans="1:14" x14ac:dyDescent="0.15">
      <c r="A10699" s="23" t="str">
        <f>HYPERLINK("https://www.spark-marketing.ru/Card/Person/136319", "МУ МВД РОССИИ ""БИЙСКОЕ""")</f>
        <v>МУ МВД РОССИИ "БИЙСКОЕ"</v>
      </c>
      <c r="B10699" s="24" t="s">
        <v>13030</v>
      </c>
      <c r="C10699" s="25">
        <v>21998.639999999999</v>
      </c>
      <c r="D10699" s="22" t="s">
        <v>13031</v>
      </c>
      <c r="E10699" s="22" t="s">
        <v>53</v>
      </c>
      <c r="F10699" s="23" t="str">
        <f>HYPERLINK("https://www.spark-marketing.ru/Card/Lot/70784901", "Услуги по выполнению эксплуатационно-технического обслуживания технических средств охраны")</f>
        <v>Услуги по выполнению эксплуатационно-технического обслуживания технических средств охраны</v>
      </c>
      <c r="G10699" s="22" t="s">
        <v>428</v>
      </c>
      <c r="H10699" s="22" t="s">
        <v>5346</v>
      </c>
      <c r="I10699" s="26">
        <v>43557.460115740701</v>
      </c>
      <c r="J10699" s="28" t="s">
        <v>52</v>
      </c>
      <c r="K10699" s="28" t="s">
        <v>52</v>
      </c>
      <c r="L10699" s="28" t="s">
        <v>52</v>
      </c>
      <c r="M10699" s="28" t="s">
        <v>52</v>
      </c>
      <c r="N10699" s="28" t="s">
        <v>52</v>
      </c>
    </row>
    <row r="10700" spans="1:14" x14ac:dyDescent="0.15">
      <c r="A10700" s="23" t="str">
        <f>HYPERLINK("https://www.spark-marketing.ru/Card/Person/33584", "ФГКУЗ ""САНАТОРИЙ ""РОССИЯ"" ВОЙСК НАЦИОНАЛЬНОЙ ГВАРДИИ""")</f>
        <v>ФГКУЗ "САНАТОРИЙ "РОССИЯ" ВОЙСК НАЦИОНАЛЬНОЙ ГВАРДИИ"</v>
      </c>
      <c r="B10700" s="24" t="s">
        <v>10639</v>
      </c>
      <c r="C10700" s="25">
        <v>4015.26</v>
      </c>
      <c r="D10700" s="22" t="s">
        <v>13032</v>
      </c>
      <c r="E10700" s="22" t="s">
        <v>53</v>
      </c>
      <c r="F10700" s="23" t="str">
        <f>HYPERLINK("https://www.spark-marketing.ru/Card/Lot/70785285", "Оказание услуг по техническому обслуживанию комплекса технических средств охраны")</f>
        <v>Оказание услуг по техническому обслуживанию комплекса технических средств охраны</v>
      </c>
      <c r="G10700" s="22" t="s">
        <v>258</v>
      </c>
      <c r="H10700" s="22" t="s">
        <v>259</v>
      </c>
      <c r="I10700" s="26">
        <v>43557.493981481501</v>
      </c>
      <c r="J10700" s="28" t="s">
        <v>52</v>
      </c>
      <c r="K10700" s="28" t="s">
        <v>52</v>
      </c>
      <c r="L10700" s="28" t="s">
        <v>52</v>
      </c>
      <c r="M10700" s="28" t="s">
        <v>52</v>
      </c>
      <c r="N10700" s="28" t="s">
        <v>52</v>
      </c>
    </row>
    <row r="10701" spans="1:14" x14ac:dyDescent="0.15">
      <c r="A10701" s="23" t="str">
        <f>HYPERLINK("https://www.spark-marketing.ru/Card/Person/6493311", "МИНПРИРОДЫ ИНГУШЕТИИ")</f>
        <v>МИНПРИРОДЫ ИНГУШЕТИИ</v>
      </c>
      <c r="B10701" s="24" t="s">
        <v>12044</v>
      </c>
      <c r="C10701" s="25">
        <v>362566</v>
      </c>
      <c r="D10701" s="22" t="s">
        <v>13033</v>
      </c>
      <c r="E10701" s="22" t="s">
        <v>218</v>
      </c>
      <c r="F10701" s="23" t="str">
        <f>HYPERLINK("https://www.spark-marketing.ru/Card/Lot/69219686", "Оказание услуг по осуществлению строительного контроля и техническому сопровождению работ по объекту государственного заказа «Руслорегулировочные работы на р. Кенч в с.п. Экажево, Республика Ингушетия")</f>
        <v>Оказание услуг по осуществлению строительного контроля и техническому сопровождению работ по объекту государственного заказа «Руслорегулировочные работы на р. Кенч в с.п. Экажево, Республика Ингушетия</v>
      </c>
      <c r="G10701" s="22" t="s">
        <v>648</v>
      </c>
      <c r="H10701" s="22" t="s">
        <v>648</v>
      </c>
      <c r="I10701" s="26">
        <v>43557.493055555598</v>
      </c>
      <c r="J10701" s="28" t="s">
        <v>52</v>
      </c>
      <c r="K10701" s="28" t="s">
        <v>52</v>
      </c>
      <c r="L10701" s="28" t="s">
        <v>52</v>
      </c>
      <c r="M10701" s="28" t="s">
        <v>52</v>
      </c>
      <c r="N10701" s="28" t="s">
        <v>52</v>
      </c>
    </row>
    <row r="10702" spans="1:14" x14ac:dyDescent="0.15">
      <c r="A10702" s="23" t="str">
        <f>HYPERLINK("https://www.spark-marketing.ru/Card/Person/641213", "МЕЖРАЙОННАЯ ИФНС РОССИИ № 5 ПО ЗАБАЙКАЛЬСКОМУ КРАЮ")</f>
        <v>МЕЖРАЙОННАЯ ИФНС РОССИИ № 5 ПО ЗАБАЙКАЛЬСКОМУ КРАЮ</v>
      </c>
      <c r="B10702" s="24" t="s">
        <v>12737</v>
      </c>
      <c r="C10702" s="25">
        <v>28512.69</v>
      </c>
      <c r="D10702" s="22" t="s">
        <v>13034</v>
      </c>
      <c r="E10702" s="22" t="s">
        <v>107</v>
      </c>
      <c r="F10702" s="23" t="str">
        <f>HYPERLINK("https://www.spark-marketing.ru/Card/Lot/70169422", "Техническое обслуживание средств ОС, ОПС, ТС, видеонаблюдения и СКУД, 3 шт")</f>
        <v>Техническое обслуживание средств ОС, ОПС, ТС, видеонаблюдения и СКУД, 3 шт</v>
      </c>
      <c r="G10702" s="22" t="s">
        <v>473</v>
      </c>
      <c r="H10702" s="22" t="s">
        <v>12739</v>
      </c>
      <c r="I10702" s="26">
        <v>43557.484293981499</v>
      </c>
      <c r="J10702" s="28" t="s">
        <v>52</v>
      </c>
      <c r="K10702" s="28" t="s">
        <v>52</v>
      </c>
      <c r="L10702" s="28" t="s">
        <v>52</v>
      </c>
      <c r="M10702" s="28" t="s">
        <v>52</v>
      </c>
      <c r="N10702" s="28" t="s">
        <v>52</v>
      </c>
    </row>
    <row r="10703" spans="1:14" x14ac:dyDescent="0.15">
      <c r="A10703" s="23" t="str">
        <f>HYPERLINK("https://www.spark-marketing.ru/Card/Person/33584", "ФГКУЗ ""САНАТОРИЙ ""РОССИЯ"" ВОЙСК НАЦИОНАЛЬНОЙ ГВАРДИИ""")</f>
        <v>ФГКУЗ "САНАТОРИЙ "РОССИЯ" ВОЙСК НАЦИОНАЛЬНОЙ ГВАРДИИ"</v>
      </c>
      <c r="B10703" s="24" t="s">
        <v>10639</v>
      </c>
      <c r="C10703" s="25">
        <v>45698.22</v>
      </c>
      <c r="D10703" s="22" t="s">
        <v>13035</v>
      </c>
      <c r="E10703" s="22" t="s">
        <v>53</v>
      </c>
      <c r="F10703" s="23" t="str">
        <f>HYPERLINK("https://www.spark-marketing.ru/Card/Lot/70785366", "Оказание услуг по техническому обслуживанию комплекса технических средств охраны")</f>
        <v>Оказание услуг по техническому обслуживанию комплекса технических средств охраны</v>
      </c>
      <c r="G10703" s="22" t="s">
        <v>258</v>
      </c>
      <c r="H10703" s="22" t="s">
        <v>259</v>
      </c>
      <c r="I10703" s="26">
        <v>43557.495949074102</v>
      </c>
      <c r="J10703" s="28" t="s">
        <v>52</v>
      </c>
      <c r="K10703" s="28" t="s">
        <v>52</v>
      </c>
      <c r="L10703" s="28" t="s">
        <v>52</v>
      </c>
      <c r="M10703" s="28" t="s">
        <v>52</v>
      </c>
      <c r="N10703" s="28" t="s">
        <v>52</v>
      </c>
    </row>
    <row r="10704" spans="1:14" x14ac:dyDescent="0.2">
      <c r="A10704" s="23" t="str">
        <f>HYPERLINK("https://www.spark-marketing.ru/Card/Person/359464", "МУП ""СУН""")</f>
        <v>МУП "СУН"</v>
      </c>
      <c r="B10704" s="24" t="s">
        <v>13036</v>
      </c>
      <c r="C10704" s="25">
        <v>107000</v>
      </c>
      <c r="D10704" s="22" t="s">
        <v>13037</v>
      </c>
      <c r="E10704" s="22" t="s">
        <v>370</v>
      </c>
      <c r="F10704" s="23" t="str">
        <f>HYPERLINK("https://www.spark-marketing.ru/Card/Lot/69216773", "Услуги по техническому обслуживанию (содержанию) систем охранной сигнализации")</f>
        <v>Услуги по техническому обслуживанию (содержанию) систем охранной сигнализации</v>
      </c>
      <c r="G10704" s="22" t="s">
        <v>50</v>
      </c>
      <c r="H10704" s="22" t="s">
        <v>9386</v>
      </c>
      <c r="I10704" s="26">
        <v>43557.483807870398</v>
      </c>
      <c r="J10704" s="23" t="str">
        <f>HYPERLINK("https://www.spark-marketing.ru/Card/Person/408230", "ООО ЧОП ""ВАША БЕЗОПАСНОСТЬ""")</f>
        <v>ООО ЧОП "ВАША БЕЗОПАСНОСТЬ"</v>
      </c>
      <c r="K10704" s="24" t="s">
        <v>13038</v>
      </c>
      <c r="L10704" s="28" t="s">
        <v>52</v>
      </c>
      <c r="M10704" s="25">
        <v>107000</v>
      </c>
      <c r="N10704" s="27">
        <v>0</v>
      </c>
    </row>
    <row r="10705" spans="1:14" x14ac:dyDescent="0.2">
      <c r="A10705" s="23" t="str">
        <f>HYPERLINK("https://www.spark-marketing.ru/Card/Person/51171", "ГАУЗ ""СП № 11 ДЗМ""")</f>
        <v>ГАУЗ "СП № 11 ДЗМ"</v>
      </c>
      <c r="B10705" s="24" t="s">
        <v>13039</v>
      </c>
      <c r="C10705" s="25">
        <v>97005.6</v>
      </c>
      <c r="D10705" s="22" t="s">
        <v>13040</v>
      </c>
      <c r="E10705" s="22" t="s">
        <v>13041</v>
      </c>
      <c r="F10705" s="23" t="str">
        <f>HYPERLINK("https://www.spark-marketing.ru/Card/Lot/69212712", "Оказание охранных услуг и услуг комплексного обслуживания")</f>
        <v>Оказание охранных услуг и услуг комплексного обслуживания</v>
      </c>
      <c r="G10705" s="22" t="s">
        <v>55</v>
      </c>
      <c r="H10705" s="22" t="s">
        <v>55</v>
      </c>
      <c r="I10705" s="26">
        <v>43557.426296296297</v>
      </c>
      <c r="J10705" s="28" t="s">
        <v>52</v>
      </c>
      <c r="K10705" s="28" t="s">
        <v>52</v>
      </c>
      <c r="L10705" s="28" t="s">
        <v>52</v>
      </c>
      <c r="M10705" s="25">
        <v>97005.6</v>
      </c>
      <c r="N10705" s="27">
        <v>0</v>
      </c>
    </row>
    <row r="10706" spans="1:14" x14ac:dyDescent="0.15">
      <c r="A10706" s="23" t="str">
        <f t="shared" ref="A10706:A10711" si="498">HYPERLINK("https://www.spark-marketing.ru/Card/Person/4348483", "ПАО ""МРСК ЦЕНТРА""")</f>
        <v>ПАО "МРСК ЦЕНТРА"</v>
      </c>
      <c r="B10706" s="24" t="s">
        <v>928</v>
      </c>
      <c r="C10706" s="25">
        <v>4292799.5999999996</v>
      </c>
      <c r="D10706" s="22" t="s">
        <v>13042</v>
      </c>
      <c r="E10706" s="22" t="s">
        <v>854</v>
      </c>
      <c r="F10706" s="23" t="str">
        <f t="shared" ref="F10706:F10711" si="499">HYPERLINK("https://www.spark-marketing.ru/Card/Lot/69214008", "Право на заключение Договора на выполнение ПИР по модернизации внешних ограждений подстанций филиала ПАО «МРСК Центра» - «Липецкэнерго» с установкой инженерно-технических средств охраны (ИТСО) для нужд ПАО «МРСК Центра» (филиала «Липецкэнерго»)")</f>
        <v>Право на заключение Договора на выполнение ПИР по модернизации внешних ограждений подстанций филиала ПАО «МРСК Центра» - «Липецкэнерго» с установкой инженерно-технических средств охраны (ИТСО) для нужд ПАО «МРСК Центра» (филиала «Липецкэнерго»)</v>
      </c>
      <c r="G10706" s="22" t="s">
        <v>629</v>
      </c>
      <c r="H10706" s="22" t="s">
        <v>1603</v>
      </c>
      <c r="I10706" s="26">
        <v>43557.441087963001</v>
      </c>
      <c r="J10706" s="28" t="s">
        <v>52</v>
      </c>
      <c r="K10706" s="28" t="s">
        <v>52</v>
      </c>
      <c r="L10706" s="28" t="s">
        <v>52</v>
      </c>
      <c r="M10706" s="28" t="s">
        <v>52</v>
      </c>
      <c r="N10706" s="28" t="s">
        <v>52</v>
      </c>
    </row>
    <row r="10707" spans="1:14" hidden="1" outlineLevel="1" x14ac:dyDescent="0.2">
      <c r="A10707" s="23" t="str">
        <f t="shared" si="498"/>
        <v>ПАО "МРСК ЦЕНТРА"</v>
      </c>
      <c r="B10707" s="24" t="s">
        <v>928</v>
      </c>
      <c r="C10707" s="28" t="s">
        <v>52</v>
      </c>
      <c r="D10707" s="22" t="s">
        <v>13042</v>
      </c>
      <c r="E10707" s="22" t="s">
        <v>854</v>
      </c>
      <c r="F10707" s="23" t="str">
        <f t="shared" si="499"/>
        <v>Право на заключение Договора на выполнение ПИР по модернизации внешних ограждений подстанций филиала ПАО «МРСК Центра» - «Липецкэнерго» с установкой инженерно-технических средств охраны (ИТСО) для нужд ПАО «МРСК Центра» (филиала «Липецкэнерго»)</v>
      </c>
      <c r="G10707" s="22" t="s">
        <v>629</v>
      </c>
      <c r="H10707" s="22" t="s">
        <v>1603</v>
      </c>
      <c r="I10707" s="26">
        <v>43557.441087963001</v>
      </c>
      <c r="J10707" s="23" t="str">
        <f>HYPERLINK("https://www.spark-marketing.ru/Card/Person/137437", "ООО ""МКТЭЛ""")</f>
        <v>ООО "МКТЭЛ"</v>
      </c>
      <c r="K10707" s="24" t="s">
        <v>13043</v>
      </c>
      <c r="L10707" s="22" t="s">
        <v>10</v>
      </c>
      <c r="M10707" s="25">
        <v>4228320</v>
      </c>
      <c r="N10707" s="27">
        <v>1.5020407661238135E-2</v>
      </c>
    </row>
    <row r="10708" spans="1:14" hidden="1" outlineLevel="1" x14ac:dyDescent="0.2">
      <c r="A10708" s="23" t="str">
        <f t="shared" si="498"/>
        <v>ПАО "МРСК ЦЕНТРА"</v>
      </c>
      <c r="B10708" s="24" t="s">
        <v>928</v>
      </c>
      <c r="C10708" s="28" t="s">
        <v>52</v>
      </c>
      <c r="D10708" s="22" t="s">
        <v>13042</v>
      </c>
      <c r="E10708" s="22" t="s">
        <v>854</v>
      </c>
      <c r="F10708" s="23" t="str">
        <f t="shared" si="499"/>
        <v>Право на заключение Договора на выполнение ПИР по модернизации внешних ограждений подстанций филиала ПАО «МРСК Центра» - «Липецкэнерго» с установкой инженерно-технических средств охраны (ИТСО) для нужд ПАО «МРСК Центра» (филиала «Липецкэнерго»)</v>
      </c>
      <c r="G10708" s="22" t="s">
        <v>629</v>
      </c>
      <c r="H10708" s="22" t="s">
        <v>1603</v>
      </c>
      <c r="I10708" s="26">
        <v>43557.441087963001</v>
      </c>
      <c r="J10708" s="23" t="str">
        <f>HYPERLINK("https://www.spark-marketing.ru/Card/Person/1889924", "ООО "" ЭНЕРГОКОМПЛЕКС""")</f>
        <v>ООО " ЭНЕРГОКОМПЛЕКС"</v>
      </c>
      <c r="K10708" s="24" t="s">
        <v>13044</v>
      </c>
      <c r="L10708" s="28" t="s">
        <v>52</v>
      </c>
      <c r="M10708" s="25">
        <v>4288068.62</v>
      </c>
      <c r="N10708" s="27">
        <v>1.1020733416020631E-3</v>
      </c>
    </row>
    <row r="10709" spans="1:14" hidden="1" outlineLevel="1" x14ac:dyDescent="0.2">
      <c r="A10709" s="23" t="str">
        <f t="shared" si="498"/>
        <v>ПАО "МРСК ЦЕНТРА"</v>
      </c>
      <c r="B10709" s="24" t="s">
        <v>928</v>
      </c>
      <c r="C10709" s="28" t="s">
        <v>52</v>
      </c>
      <c r="D10709" s="22" t="s">
        <v>13042</v>
      </c>
      <c r="E10709" s="22" t="s">
        <v>854</v>
      </c>
      <c r="F10709" s="23" t="str">
        <f t="shared" si="499"/>
        <v>Право на заключение Договора на выполнение ПИР по модернизации внешних ограждений подстанций филиала ПАО «МРСК Центра» - «Липецкэнерго» с установкой инженерно-технических средств охраны (ИТСО) для нужд ПАО «МРСК Центра» (филиала «Липецкэнерго»)</v>
      </c>
      <c r="G10709" s="22" t="s">
        <v>629</v>
      </c>
      <c r="H10709" s="22" t="s">
        <v>1603</v>
      </c>
      <c r="I10709" s="26">
        <v>43557.441087963001</v>
      </c>
      <c r="J10709" s="23" t="str">
        <f>HYPERLINK("https://www.spark-marketing.ru/Card/Person/5854657", "ООО ""ЦЕНТРЭНЕРГОСТРОЙ""")</f>
        <v>ООО "ЦЕНТРЭНЕРГОСТРОЙ"</v>
      </c>
      <c r="K10709" s="24" t="s">
        <v>13045</v>
      </c>
      <c r="L10709" s="28" t="s">
        <v>52</v>
      </c>
      <c r="M10709" s="25">
        <v>4289860.75</v>
      </c>
      <c r="N10709" s="27">
        <v>6.8459985879611054E-4</v>
      </c>
    </row>
    <row r="10710" spans="1:14" hidden="1" outlineLevel="1" x14ac:dyDescent="0.2">
      <c r="A10710" s="23" t="str">
        <f t="shared" si="498"/>
        <v>ПАО "МРСК ЦЕНТРА"</v>
      </c>
      <c r="B10710" s="24" t="s">
        <v>928</v>
      </c>
      <c r="C10710" s="28" t="s">
        <v>52</v>
      </c>
      <c r="D10710" s="22" t="s">
        <v>13042</v>
      </c>
      <c r="E10710" s="22" t="s">
        <v>854</v>
      </c>
      <c r="F10710" s="23" t="str">
        <f t="shared" si="499"/>
        <v>Право на заключение Договора на выполнение ПИР по модернизации внешних ограждений подстанций филиала ПАО «МРСК Центра» - «Липецкэнерго» с установкой инженерно-технических средств охраны (ИТСО) для нужд ПАО «МРСК Центра» (филиала «Липецкэнерго»)</v>
      </c>
      <c r="G10710" s="22" t="s">
        <v>629</v>
      </c>
      <c r="H10710" s="22" t="s">
        <v>1603</v>
      </c>
      <c r="I10710" s="26">
        <v>43557.441087963001</v>
      </c>
      <c r="J10710" s="23" t="str">
        <f>HYPERLINK("https://www.spark-marketing.ru/Card/Person/6431340", "ООО ""СТРОЙПРОЕКТ""")</f>
        <v>ООО "СТРОЙПРОЕКТ"</v>
      </c>
      <c r="K10710" s="24" t="s">
        <v>13046</v>
      </c>
      <c r="L10710" s="28" t="s">
        <v>52</v>
      </c>
      <c r="M10710" s="25">
        <v>4292799.5999999996</v>
      </c>
      <c r="N10710" s="27">
        <v>0</v>
      </c>
    </row>
    <row r="10711" spans="1:14" hidden="1" outlineLevel="1" x14ac:dyDescent="0.2">
      <c r="A10711" s="23" t="str">
        <f t="shared" si="498"/>
        <v>ПАО "МРСК ЦЕНТРА"</v>
      </c>
      <c r="B10711" s="24" t="s">
        <v>928</v>
      </c>
      <c r="C10711" s="28" t="s">
        <v>52</v>
      </c>
      <c r="D10711" s="22" t="s">
        <v>13042</v>
      </c>
      <c r="E10711" s="22" t="s">
        <v>854</v>
      </c>
      <c r="F10711" s="23" t="str">
        <f t="shared" si="499"/>
        <v>Право на заключение Договора на выполнение ПИР по модернизации внешних ограждений подстанций филиала ПАО «МРСК Центра» - «Липецкэнерго» с установкой инженерно-технических средств охраны (ИТСО) для нужд ПАО «МРСК Центра» (филиала «Липецкэнерго»)</v>
      </c>
      <c r="G10711" s="22" t="s">
        <v>629</v>
      </c>
      <c r="H10711" s="22" t="s">
        <v>1603</v>
      </c>
      <c r="I10711" s="26">
        <v>43557.441087963001</v>
      </c>
      <c r="J10711" s="23" t="str">
        <f>HYPERLINK("https://www.spark-marketing.ru/Card/Person/916398", "ООО ""МЕРИДИАН ЭНЕРГО""")</f>
        <v>ООО "МЕРИДИАН ЭНЕРГО"</v>
      </c>
      <c r="K10711" s="24" t="s">
        <v>13047</v>
      </c>
      <c r="L10711" s="28" t="s">
        <v>52</v>
      </c>
      <c r="M10711" s="25">
        <v>4292799.5999999996</v>
      </c>
      <c r="N10711" s="27">
        <v>0</v>
      </c>
    </row>
    <row r="10712" spans="1:14" x14ac:dyDescent="0.15">
      <c r="A10712" s="23" t="str">
        <f>HYPERLINK("https://www.spark-marketing.ru/Card/Person/4431", "ФКУЗ ""ГКГ МВД РОССИИ""")</f>
        <v>ФКУЗ "ГКГ МВД РОССИИ"</v>
      </c>
      <c r="B10712" s="24" t="s">
        <v>1182</v>
      </c>
      <c r="C10712" s="25">
        <v>99400.47</v>
      </c>
      <c r="D10712" s="22" t="s">
        <v>13048</v>
      </c>
      <c r="E10712" s="22" t="s">
        <v>53</v>
      </c>
      <c r="F10712" s="23" t="str">
        <f>HYPERLINK("https://www.spark-marketing.ru/Card/Lot/70784887", "Техническое обслуживание комплекса технических средств охраны и технологического обеспечения работоспособности оконечного устройства систем передачи извещений")</f>
        <v>Техническое обслуживание комплекса технических средств охраны и технологического обеспечения работоспособности оконечного устройства систем передачи извещений</v>
      </c>
      <c r="G10712" s="22" t="s">
        <v>55</v>
      </c>
      <c r="H10712" s="22" t="s">
        <v>55</v>
      </c>
      <c r="I10712" s="26">
        <v>43557.455856481502</v>
      </c>
      <c r="J10712" s="28" t="s">
        <v>52</v>
      </c>
      <c r="K10712" s="28" t="s">
        <v>52</v>
      </c>
      <c r="L10712" s="28" t="s">
        <v>52</v>
      </c>
      <c r="M10712" s="28" t="s">
        <v>52</v>
      </c>
      <c r="N10712" s="28" t="s">
        <v>52</v>
      </c>
    </row>
    <row r="10713" spans="1:14" x14ac:dyDescent="0.15">
      <c r="A10713" s="23" t="str">
        <f>HYPERLINK("https://www.spark-marketing.ru/Card/Person/3479", "ФГБУ ""ФЦССХ"" МИНЗДРАВА РОССИИ (Г. КРАСНОЯРСК)")</f>
        <v>ФГБУ "ФЦССХ" МИНЗДРАВА РОССИИ (Г. КРАСНОЯРСК)</v>
      </c>
      <c r="B10713" s="24" t="s">
        <v>13049</v>
      </c>
      <c r="C10713" s="25">
        <v>600000</v>
      </c>
      <c r="D10713" s="22" t="s">
        <v>13050</v>
      </c>
      <c r="E10713" s="22" t="s">
        <v>208</v>
      </c>
      <c r="F10713" s="23" t="str">
        <f>HYPERLINK("https://www.spark-marketing.ru/Card/Lot/69208324", "На право заключения контракта на поставку комплектующих для системы  палатной сигнализации Ackermann clino, имеющейся у Заказчика")</f>
        <v>На право заключения контракта на поставку комплектующих для системы  палатной сигнализации Ackermann clino, имеющейся у Заказчика</v>
      </c>
      <c r="G10713" s="22" t="s">
        <v>640</v>
      </c>
      <c r="H10713" s="22" t="s">
        <v>640</v>
      </c>
      <c r="I10713" s="26">
        <v>43557.432638888902</v>
      </c>
      <c r="J10713" s="23" t="str">
        <f>HYPERLINK("https://www.spark-marketing.ru/Card/Person/6517497", "ООО ""ГРОУ""")</f>
        <v>ООО "ГРОУ"</v>
      </c>
      <c r="K10713" s="24" t="s">
        <v>4312</v>
      </c>
      <c r="L10713" s="28" t="s">
        <v>52</v>
      </c>
      <c r="M10713" s="28" t="s">
        <v>52</v>
      </c>
      <c r="N10713" s="28" t="s">
        <v>52</v>
      </c>
    </row>
    <row r="10714" spans="1:14" hidden="1" outlineLevel="1" x14ac:dyDescent="0.15">
      <c r="A10714" s="23" t="str">
        <f>HYPERLINK("https://www.spark-marketing.ru/Card/Person/3479", "ФГБУ ""ФЦССХ"" МИНЗДРАВА РОССИИ (Г. КРАСНОЯРСК)")</f>
        <v>ФГБУ "ФЦССХ" МИНЗДРАВА РОССИИ (Г. КРАСНОЯРСК)</v>
      </c>
      <c r="B10714" s="24" t="s">
        <v>13049</v>
      </c>
      <c r="C10714" s="25">
        <v>600000</v>
      </c>
      <c r="D10714" s="22" t="s">
        <v>13050</v>
      </c>
      <c r="E10714" s="22" t="s">
        <v>208</v>
      </c>
      <c r="F10714" s="23" t="str">
        <f>HYPERLINK("https://www.spark-marketing.ru/Card/Lot/69208324", "На право заключения контракта на поставку комплектующих для системы  палатной сигнализации Ackermann clino, имеющейся у Заказчика")</f>
        <v>На право заключения контракта на поставку комплектующих для системы  палатной сигнализации Ackermann clino, имеющейся у Заказчика</v>
      </c>
      <c r="G10714" s="22" t="s">
        <v>640</v>
      </c>
      <c r="H10714" s="22" t="s">
        <v>640</v>
      </c>
      <c r="I10714" s="26">
        <v>43557.432638888902</v>
      </c>
      <c r="J10714" s="23" t="str">
        <f>HYPERLINK("https://www.spark-marketing.ru/Card/Person/6517497", "ООО ""ГРОУ""")</f>
        <v>ООО "ГРОУ"</v>
      </c>
      <c r="K10714" s="24" t="s">
        <v>4312</v>
      </c>
      <c r="L10714" s="22" t="s">
        <v>10</v>
      </c>
      <c r="M10714" s="28" t="s">
        <v>52</v>
      </c>
      <c r="N10714" s="28" t="s">
        <v>52</v>
      </c>
    </row>
    <row r="10715" spans="1:14" x14ac:dyDescent="0.15">
      <c r="A10715" s="23" t="str">
        <f>HYPERLINK("https://www.spark-marketing.ru/Card/Person/65058", "ФКП ""АЭРОПОРТЫ ЧУКОТКИ""")</f>
        <v>ФКП "АЭРОПОРТЫ ЧУКОТКИ"</v>
      </c>
      <c r="B10715" s="24" t="s">
        <v>13051</v>
      </c>
      <c r="C10715" s="25">
        <v>2936666.67</v>
      </c>
      <c r="D10715" s="22" t="s">
        <v>13052</v>
      </c>
      <c r="E10715" s="22" t="s">
        <v>218</v>
      </c>
      <c r="F10715" s="23" t="str">
        <f>HYPERLINK("https://www.spark-marketing.ru/Card/Lot/69203215", "Разработка проекта санитарно-защитной зоны и сопровождению ее согласования для объектов - филиалы аэропорты: Лаврентия, Марково, Омолон, Провидения")</f>
        <v>Разработка проекта санитарно-защитной зоны и сопровождению ее согласования для объектов - филиалы аэропорты: Лаврентия, Марково, Омолон, Провидения</v>
      </c>
      <c r="G10715" s="22" t="s">
        <v>1544</v>
      </c>
      <c r="H10715" s="22" t="s">
        <v>1544</v>
      </c>
      <c r="I10715" s="26">
        <v>43557.423611111102</v>
      </c>
      <c r="J10715" s="23" t="str">
        <f>HYPERLINK("https://www.spark-marketing.ru/Card/Person/4889404", "ООО ""БИОСФЕРА""")</f>
        <v>ООО "БИОСФЕРА"</v>
      </c>
      <c r="K10715" s="24" t="s">
        <v>13053</v>
      </c>
      <c r="L10715" s="28" t="s">
        <v>52</v>
      </c>
      <c r="M10715" s="28" t="s">
        <v>52</v>
      </c>
      <c r="N10715" s="28" t="s">
        <v>52</v>
      </c>
    </row>
    <row r="10716" spans="1:14" ht="12.75" hidden="1" outlineLevel="1" x14ac:dyDescent="0.2">
      <c r="A10716" s="23" t="str">
        <f>HYPERLINK("https://www.spark-marketing.ru/Card/Person/65058", "ФКП ""АЭРОПОРТЫ ЧУКОТКИ""")</f>
        <v>ФКП "АЭРОПОРТЫ ЧУКОТКИ"</v>
      </c>
      <c r="B10716" s="24" t="s">
        <v>13051</v>
      </c>
      <c r="C10716" s="25">
        <v>2936666.67</v>
      </c>
      <c r="D10716" s="22" t="s">
        <v>13052</v>
      </c>
      <c r="E10716" s="22" t="s">
        <v>218</v>
      </c>
      <c r="F10716" s="23" t="str">
        <f>HYPERLINK("https://www.spark-marketing.ru/Card/Lot/69203215", "Разработка проекта санитарно-защитной зоны и сопровождению ее согласования для объектов - филиалы аэропорты: Лаврентия, Марково, Омолон, Провидения")</f>
        <v>Разработка проекта санитарно-защитной зоны и сопровождению ее согласования для объектов - филиалы аэропорты: Лаврентия, Марково, Омолон, Провидения</v>
      </c>
      <c r="G10716" s="22" t="s">
        <v>1544</v>
      </c>
      <c r="H10716" s="22" t="s">
        <v>1544</v>
      </c>
      <c r="I10716" s="26">
        <v>43557.423611111102</v>
      </c>
      <c r="J10716" s="23" t="str">
        <f>HYPERLINK("https://www.spark-marketing.ru/Card/Person/4889404", "ООО ""БИОСФЕРА""")</f>
        <v>ООО "БИОСФЕРА"</v>
      </c>
      <c r="K10716" s="24" t="s">
        <v>13053</v>
      </c>
      <c r="L10716" s="22" t="s">
        <v>10</v>
      </c>
      <c r="M10716" s="25">
        <v>2921983.34</v>
      </c>
      <c r="N10716" s="27">
        <v>4.9999988592508522E-3</v>
      </c>
    </row>
    <row r="10717" spans="1:14" x14ac:dyDescent="0.15">
      <c r="A10717" s="23" t="str">
        <f>HYPERLINK("https://www.spark-marketing.ru/Card/Person/15420", "УПРАВЛЕНИЕ РОСПОТРЕБНАДЗОРА ПО САМАРСКОЙ ОБЛАСТИ")</f>
        <v>УПРАВЛЕНИЕ РОСПОТРЕБНАДЗОРА ПО САМАРСКОЙ ОБЛАСТИ</v>
      </c>
      <c r="B10717" s="24" t="s">
        <v>5620</v>
      </c>
      <c r="C10717" s="25">
        <v>4002.32</v>
      </c>
      <c r="D10717" s="22" t="s">
        <v>13054</v>
      </c>
      <c r="E10717" s="22" t="s">
        <v>53</v>
      </c>
      <c r="F10717" s="23" t="str">
        <f>HYPERLINK("https://www.spark-marketing.ru/Card/Lot/70784413", "Пультовая охрана помещения")</f>
        <v>Пультовая охрана помещения</v>
      </c>
      <c r="G10717" s="22" t="s">
        <v>760</v>
      </c>
      <c r="H10717" s="22" t="s">
        <v>1709</v>
      </c>
      <c r="I10717" s="26">
        <v>43557.418483796297</v>
      </c>
      <c r="J10717" s="28" t="s">
        <v>52</v>
      </c>
      <c r="K10717" s="28" t="s">
        <v>52</v>
      </c>
      <c r="L10717" s="28" t="s">
        <v>52</v>
      </c>
      <c r="M10717" s="28" t="s">
        <v>52</v>
      </c>
      <c r="N10717" s="28" t="s">
        <v>52</v>
      </c>
    </row>
    <row r="10718" spans="1:14" x14ac:dyDescent="0.15">
      <c r="A10718" s="23" t="str">
        <f>HYPERLINK("https://www.spark-marketing.ru/Card/Person/15420", "УПРАВЛЕНИЕ РОСПОТРЕБНАДЗОРА ПО САМАРСКОЙ ОБЛАСТИ")</f>
        <v>УПРАВЛЕНИЕ РОСПОТРЕБНАДЗОРА ПО САМАРСКОЙ ОБЛАСТИ</v>
      </c>
      <c r="B10718" s="24" t="s">
        <v>5620</v>
      </c>
      <c r="C10718" s="25">
        <v>2001.16</v>
      </c>
      <c r="D10718" s="22" t="s">
        <v>13055</v>
      </c>
      <c r="E10718" s="22" t="s">
        <v>53</v>
      </c>
      <c r="F10718" s="23" t="str">
        <f>HYPERLINK("https://www.spark-marketing.ru/Card/Lot/70784209", "Пультовая охрана помещения")</f>
        <v>Пультовая охрана помещения</v>
      </c>
      <c r="G10718" s="22" t="s">
        <v>760</v>
      </c>
      <c r="H10718" s="22" t="s">
        <v>1709</v>
      </c>
      <c r="I10718" s="26">
        <v>43557.396631944401</v>
      </c>
      <c r="J10718" s="28" t="s">
        <v>52</v>
      </c>
      <c r="K10718" s="28" t="s">
        <v>52</v>
      </c>
      <c r="L10718" s="28" t="s">
        <v>52</v>
      </c>
      <c r="M10718" s="28" t="s">
        <v>52</v>
      </c>
      <c r="N10718" s="28" t="s">
        <v>52</v>
      </c>
    </row>
    <row r="10719" spans="1:14" x14ac:dyDescent="0.15">
      <c r="A10719" s="23" t="str">
        <f>HYPERLINK("https://www.spark-marketing.ru/Card/Person/37528", "УСД В РЕСПУБЛИКЕ КАЛМЫКИЯ")</f>
        <v>УСД В РЕСПУБЛИКЕ КАЛМЫКИЯ</v>
      </c>
      <c r="B10719" s="24" t="s">
        <v>3006</v>
      </c>
      <c r="C10719" s="25">
        <v>945319.7</v>
      </c>
      <c r="D10719" s="22" t="s">
        <v>13056</v>
      </c>
      <c r="E10719" s="22" t="s">
        <v>68</v>
      </c>
      <c r="F10719" s="23" t="str">
        <f>HYPERLINK("https://www.spark-marketing.ru/Card/Lot/69213845", "Оказание услуг по обеспечению государственной охраны административного здания постоянного судебного присутствия в поселке Ики - Бурул Приютненского районного суда Республики Калмыкия с прилегающей территорией к нему")</f>
        <v>Оказание услуг по обеспечению государственной охраны административного здания постоянного судебного присутствия в поселке Ики - Бурул Приютненского районного суда Республики Калмыкия с прилегающей территорией к нему</v>
      </c>
      <c r="G10719" s="22" t="s">
        <v>1325</v>
      </c>
      <c r="H10719" s="22" t="s">
        <v>1325</v>
      </c>
      <c r="I10719" s="26">
        <v>43557.383333333302</v>
      </c>
      <c r="J10719" s="23" t="str">
        <f>HYPERLINK("https://www.spark-marketing.ru/Card/Person/1124438", "ФЛ ФГУП ""Охрана"" Росгвардии по Республике Калмыкия")</f>
        <v>ФЛ ФГУП "Охрана" Росгвардии по Республике Калмыкия</v>
      </c>
      <c r="K10719" s="24" t="s">
        <v>779</v>
      </c>
      <c r="L10719" s="22" t="s">
        <v>10</v>
      </c>
      <c r="M10719" s="28" t="s">
        <v>52</v>
      </c>
      <c r="N10719" s="28" t="s">
        <v>52</v>
      </c>
    </row>
    <row r="10720" spans="1:14" x14ac:dyDescent="0.15">
      <c r="A10720" s="23" t="str">
        <f>HYPERLINK("https://www.spark-marketing.ru/Card/Person/1012869", "МБУ ДО ""ДМШ № 1""")</f>
        <v>МБУ ДО "ДМШ № 1"</v>
      </c>
      <c r="B10720" s="24" t="s">
        <v>13057</v>
      </c>
      <c r="C10720" s="25">
        <v>72000</v>
      </c>
      <c r="D10720" s="22" t="s">
        <v>13058</v>
      </c>
      <c r="E10720" s="22" t="s">
        <v>103</v>
      </c>
      <c r="F10720" s="23" t="str">
        <f>HYPERLINK("https://www.spark-marketing.ru/Card/Lot/69211449", "Техническое обслуживание системы видеонаблюдения")</f>
        <v>Техническое обслуживание системы видеонаблюдения</v>
      </c>
      <c r="G10720" s="22" t="s">
        <v>50</v>
      </c>
      <c r="H10720" s="22" t="s">
        <v>946</v>
      </c>
      <c r="I10720" s="26">
        <v>43557.399097222202</v>
      </c>
      <c r="J10720" s="28" t="s">
        <v>52</v>
      </c>
      <c r="K10720" s="28" t="s">
        <v>52</v>
      </c>
      <c r="L10720" s="28" t="s">
        <v>52</v>
      </c>
      <c r="M10720" s="28" t="s">
        <v>52</v>
      </c>
      <c r="N10720" s="28" t="s">
        <v>52</v>
      </c>
    </row>
    <row r="10721" spans="1:14" x14ac:dyDescent="0.15">
      <c r="A10721" s="23" t="str">
        <f>HYPERLINK("https://www.spark-marketing.ru/Card/Person/62487", "ГБУЗ НСО ""ГКБ № 12""")</f>
        <v>ГБУЗ НСО "ГКБ № 12"</v>
      </c>
      <c r="B10721" s="24" t="s">
        <v>13059</v>
      </c>
      <c r="C10721" s="25">
        <v>992659.94</v>
      </c>
      <c r="D10721" s="22" t="s">
        <v>13060</v>
      </c>
      <c r="E10721" s="22" t="s">
        <v>52</v>
      </c>
      <c r="F10721" s="23" t="str">
        <f>HYPERLINK("https://www.spark-marketing.ru/Card/Lot/69207933", "Оказание услуг охраны")</f>
        <v>Оказание услуг охраны</v>
      </c>
      <c r="G10721" s="22" t="s">
        <v>209</v>
      </c>
      <c r="H10721" s="22" t="s">
        <v>210</v>
      </c>
      <c r="I10721" s="26">
        <v>43557.403472222199</v>
      </c>
      <c r="J10721" s="28" t="s">
        <v>52</v>
      </c>
      <c r="K10721" s="28" t="s">
        <v>52</v>
      </c>
      <c r="L10721" s="28" t="s">
        <v>52</v>
      </c>
      <c r="M10721" s="28" t="s">
        <v>52</v>
      </c>
      <c r="N10721" s="28" t="s">
        <v>52</v>
      </c>
    </row>
    <row r="10722" spans="1:14" ht="12.75" hidden="1" outlineLevel="1" x14ac:dyDescent="0.2">
      <c r="A10722" s="23" t="str">
        <f>HYPERLINK("https://www.spark-marketing.ru/Card/Person/62487", "ГБУЗ НСО ""ГКБ № 12""")</f>
        <v>ГБУЗ НСО "ГКБ № 12"</v>
      </c>
      <c r="B10722" s="24" t="s">
        <v>13059</v>
      </c>
      <c r="C10722" s="25">
        <v>992659.94</v>
      </c>
      <c r="D10722" s="22" t="s">
        <v>13060</v>
      </c>
      <c r="E10722" s="22" t="s">
        <v>52</v>
      </c>
      <c r="F10722" s="23" t="str">
        <f>HYPERLINK("https://www.spark-marketing.ru/Card/Lot/69207933", "Оказание услуг охраны")</f>
        <v>Оказание услуг охраны</v>
      </c>
      <c r="G10722" s="22" t="s">
        <v>209</v>
      </c>
      <c r="H10722" s="22" t="s">
        <v>210</v>
      </c>
      <c r="I10722" s="26">
        <v>43557.403472222199</v>
      </c>
      <c r="J10722" s="23" t="str">
        <f>HYPERLINK("https://www.spark-marketing.ru/Card/Person/2561612", "ООО ЧОП ""БАЙКАЛ""")</f>
        <v>ООО ЧОП "БАЙКАЛ"</v>
      </c>
      <c r="K10722" s="24" t="s">
        <v>13061</v>
      </c>
      <c r="L10722" s="22" t="s">
        <v>10</v>
      </c>
      <c r="M10722" s="25">
        <v>918210.44</v>
      </c>
      <c r="N10722" s="27">
        <v>7.5000004533274503E-2</v>
      </c>
    </row>
    <row r="10723" spans="1:14" hidden="1" outlineLevel="1" x14ac:dyDescent="0.2">
      <c r="A10723" s="23" t="str">
        <f>HYPERLINK("https://www.spark-marketing.ru/Card/Person/62487", "ГБУЗ НСО ""ГКБ № 12""")</f>
        <v>ГБУЗ НСО "ГКБ № 12"</v>
      </c>
      <c r="B10723" s="24" t="s">
        <v>13059</v>
      </c>
      <c r="C10723" s="25">
        <v>992659.94</v>
      </c>
      <c r="D10723" s="22" t="s">
        <v>13060</v>
      </c>
      <c r="E10723" s="22" t="s">
        <v>52</v>
      </c>
      <c r="F10723" s="23" t="str">
        <f>HYPERLINK("https://www.spark-marketing.ru/Card/Lot/69207933", "Оказание услуг охраны")</f>
        <v>Оказание услуг охраны</v>
      </c>
      <c r="G10723" s="22" t="s">
        <v>209</v>
      </c>
      <c r="H10723" s="22" t="s">
        <v>210</v>
      </c>
      <c r="I10723" s="26">
        <v>43557.403472222199</v>
      </c>
      <c r="J10723" s="23" t="str">
        <f>HYPERLINK("https://www.spark-marketing.ru/Card/Person/1398735", "ООО ОА ""МАГНУМ""")</f>
        <v>ООО ОА "МАГНУМ"</v>
      </c>
      <c r="K10723" s="24" t="s">
        <v>13062</v>
      </c>
      <c r="L10723" s="28" t="s">
        <v>52</v>
      </c>
      <c r="M10723" s="25">
        <v>923173.74</v>
      </c>
      <c r="N10723" s="27">
        <v>7.0000004231056207E-2</v>
      </c>
    </row>
    <row r="10724" spans="1:14" hidden="1" outlineLevel="1" x14ac:dyDescent="0.2">
      <c r="A10724" s="23" t="str">
        <f>HYPERLINK("https://www.spark-marketing.ru/Card/Person/62487", "ГБУЗ НСО ""ГКБ № 12""")</f>
        <v>ГБУЗ НСО "ГКБ № 12"</v>
      </c>
      <c r="B10724" s="24" t="s">
        <v>13059</v>
      </c>
      <c r="C10724" s="25">
        <v>992659.94</v>
      </c>
      <c r="D10724" s="22" t="s">
        <v>13060</v>
      </c>
      <c r="E10724" s="22" t="s">
        <v>52</v>
      </c>
      <c r="F10724" s="23" t="str">
        <f>HYPERLINK("https://www.spark-marketing.ru/Card/Lot/69207933", "Оказание услуг охраны")</f>
        <v>Оказание услуг охраны</v>
      </c>
      <c r="G10724" s="22" t="s">
        <v>209</v>
      </c>
      <c r="H10724" s="22" t="s">
        <v>210</v>
      </c>
      <c r="I10724" s="26">
        <v>43557.403472222199</v>
      </c>
      <c r="J10724" s="23" t="str">
        <f>HYPERLINK("https://www.spark-marketing.ru/Card/Person/87686", "ООО ОА ""ПЕРЕСВЕТ""")</f>
        <v>ООО ОА "ПЕРЕСВЕТ"</v>
      </c>
      <c r="K10724" s="24" t="s">
        <v>2992</v>
      </c>
      <c r="L10724" s="28" t="s">
        <v>52</v>
      </c>
      <c r="M10724" s="25">
        <v>918210.44</v>
      </c>
      <c r="N10724" s="27">
        <v>7.5000004533274503E-2</v>
      </c>
    </row>
    <row r="10725" spans="1:14" x14ac:dyDescent="0.15">
      <c r="A10725" s="23" t="str">
        <f>HYPERLINK("https://www.spark-marketing.ru/Card/Person/19308", "ФКУ УПРДОР ""ЗАБАЙКАЛЬЕ""")</f>
        <v>ФКУ УПРДОР "ЗАБАЙКАЛЬЕ"</v>
      </c>
      <c r="B10725" s="24" t="s">
        <v>13063</v>
      </c>
      <c r="C10725" s="25">
        <v>77000</v>
      </c>
      <c r="D10725" s="22" t="s">
        <v>13064</v>
      </c>
      <c r="E10725" s="22" t="s">
        <v>53</v>
      </c>
      <c r="F10725" s="23" t="str">
        <f>HYPERLINK("https://www.spark-marketing.ru/Card/Lot/70784147", "Услуги по охране на объекте (ОПС+ТС)")</f>
        <v>Услуги по охране на объекте (ОПС+ТС)</v>
      </c>
      <c r="G10725" s="22" t="s">
        <v>473</v>
      </c>
      <c r="H10725" s="22" t="s">
        <v>476</v>
      </c>
      <c r="I10725" s="26">
        <v>43557.2089583333</v>
      </c>
      <c r="J10725" s="28" t="s">
        <v>52</v>
      </c>
      <c r="K10725" s="28" t="s">
        <v>52</v>
      </c>
      <c r="L10725" s="28" t="s">
        <v>52</v>
      </c>
      <c r="M10725" s="28" t="s">
        <v>52</v>
      </c>
      <c r="N10725" s="28" t="s">
        <v>52</v>
      </c>
    </row>
    <row r="10726" spans="1:14" x14ac:dyDescent="0.15">
      <c r="A10726" s="23" t="str">
        <f>HYPERLINK("https://www.spark-marketing.ru/Card/Person/19308", "ФКУ УПРДОР ""ЗАБАЙКАЛЬЕ""")</f>
        <v>ФКУ УПРДОР "ЗАБАЙКАЛЬЕ"</v>
      </c>
      <c r="B10726" s="24" t="s">
        <v>13063</v>
      </c>
      <c r="C10726" s="25">
        <v>77000</v>
      </c>
      <c r="D10726" s="22" t="s">
        <v>13065</v>
      </c>
      <c r="E10726" s="22" t="s">
        <v>53</v>
      </c>
      <c r="F10726" s="23" t="str">
        <f>HYPERLINK("https://www.spark-marketing.ru/Card/Lot/70784145", "Услуги по охране имущества на объекте (ОПС)")</f>
        <v>Услуги по охране имущества на объекте (ОПС)</v>
      </c>
      <c r="G10726" s="22" t="s">
        <v>473</v>
      </c>
      <c r="H10726" s="22" t="s">
        <v>476</v>
      </c>
      <c r="I10726" s="26">
        <v>43557.205358796302</v>
      </c>
      <c r="J10726" s="28" t="s">
        <v>52</v>
      </c>
      <c r="K10726" s="28" t="s">
        <v>52</v>
      </c>
      <c r="L10726" s="28" t="s">
        <v>52</v>
      </c>
      <c r="M10726" s="28" t="s">
        <v>52</v>
      </c>
      <c r="N10726" s="28" t="s">
        <v>52</v>
      </c>
    </row>
    <row r="10727" spans="1:14" x14ac:dyDescent="0.15">
      <c r="A10727" s="23" t="str">
        <f>HYPERLINK("https://www.spark-marketing.ru/Card/Person/5202", "АО ""ГКНПЦ ИМ. М.В. ХРУНИЧЕВА""")</f>
        <v>АО "ГКНПЦ ИМ. М.В. ХРУНИЧЕВА"</v>
      </c>
      <c r="B10727" s="24" t="s">
        <v>13066</v>
      </c>
      <c r="C10727" s="25">
        <v>90538.64</v>
      </c>
      <c r="D10727" s="22" t="s">
        <v>13067</v>
      </c>
      <c r="E10727" s="22" t="s">
        <v>53</v>
      </c>
      <c r="F10727" s="23" t="str">
        <f>HYPERLINK("https://www.spark-marketing.ru/Card/Lot/69235416", "Оказание услуг по техническому обслуживанию систем охранной сигнализации, системы контроля доступа, системы охранного видеонаблюдения")</f>
        <v>Оказание услуг по техническому обслуживанию систем охранной сигнализации, системы контроля доступа, системы охранного видеонаблюдения</v>
      </c>
      <c r="G10727" s="22" t="s">
        <v>55</v>
      </c>
      <c r="H10727" s="22" t="s">
        <v>55</v>
      </c>
      <c r="I10727" s="26">
        <v>43557</v>
      </c>
      <c r="J10727" s="28" t="s">
        <v>52</v>
      </c>
      <c r="K10727" s="28" t="s">
        <v>52</v>
      </c>
      <c r="L10727" s="28" t="s">
        <v>52</v>
      </c>
      <c r="M10727" s="28" t="s">
        <v>52</v>
      </c>
      <c r="N10727" s="28" t="s">
        <v>52</v>
      </c>
    </row>
    <row r="10728" spans="1:14" x14ac:dyDescent="0.15">
      <c r="A10728" s="23" t="str">
        <f>HYPERLINK("https://www.spark-marketing.ru/Card/Person/6500375", "ООО ""УК ТРАСТ-ПА""")</f>
        <v>ООО "УК ТРАСТ-ПА"</v>
      </c>
      <c r="B10728" s="24" t="s">
        <v>6818</v>
      </c>
      <c r="C10728" s="28" t="s">
        <v>52</v>
      </c>
      <c r="D10728" s="22" t="s">
        <v>13068</v>
      </c>
      <c r="E10728" s="22" t="s">
        <v>53</v>
      </c>
      <c r="F10728" s="23" t="str">
        <f>HYPERLINK("https://www.spark-marketing.ru/Card/Lot/69208959", "Приобретение легкогово транспортного средства для нужд ООО ""Уральская мясная компания"" (id369637)")</f>
        <v>Приобретение легкогово транспортного средства для нужд ООО "Уральская мясная компания" (id369637)</v>
      </c>
      <c r="G10728" s="22" t="s">
        <v>55</v>
      </c>
      <c r="H10728" s="22" t="s">
        <v>55</v>
      </c>
      <c r="I10728" s="26">
        <v>43557</v>
      </c>
      <c r="J10728" s="28" t="s">
        <v>52</v>
      </c>
      <c r="K10728" s="28" t="s">
        <v>52</v>
      </c>
      <c r="L10728" s="28" t="s">
        <v>52</v>
      </c>
      <c r="M10728" s="28" t="s">
        <v>52</v>
      </c>
      <c r="N10728" s="28" t="s">
        <v>52</v>
      </c>
    </row>
    <row r="10729" spans="1:14" x14ac:dyDescent="0.15">
      <c r="A10729" s="23" t="str">
        <f>HYPERLINK("https://www.spark-marketing.ru/Card/Person/130109", "ПАО БАНК ""ФК ОТКРЫТИЕ""")</f>
        <v>ПАО БАНК "ФК ОТКРЫТИЕ"</v>
      </c>
      <c r="B10729" s="24" t="s">
        <v>693</v>
      </c>
      <c r="C10729" s="25">
        <v>25409784</v>
      </c>
      <c r="D10729" s="22" t="s">
        <v>13069</v>
      </c>
      <c r="E10729" s="22" t="s">
        <v>53</v>
      </c>
      <c r="F10729" s="23" t="str">
        <f>HYPERLINK("https://www.spark-marketing.ru/Card/Lot/69213067", "Оказание услуг по физической охране на объектах ПАО Банка «ФК Открытие» в городе Санкт-Петербург.")</f>
        <v>Оказание услуг по физической охране на объектах ПАО Банка «ФК Открытие» в городе Санкт-Петербург.</v>
      </c>
      <c r="G10729" s="22" t="s">
        <v>55</v>
      </c>
      <c r="H10729" s="22" t="s">
        <v>55</v>
      </c>
      <c r="I10729" s="26">
        <v>43557</v>
      </c>
      <c r="J10729" s="28" t="s">
        <v>52</v>
      </c>
      <c r="K10729" s="28" t="s">
        <v>52</v>
      </c>
      <c r="L10729" s="28" t="s">
        <v>52</v>
      </c>
      <c r="M10729" s="28" t="s">
        <v>52</v>
      </c>
      <c r="N10729" s="28" t="s">
        <v>52</v>
      </c>
    </row>
    <row r="10730" spans="1:14" x14ac:dyDescent="0.15">
      <c r="A10730" s="23" t="str">
        <f>HYPERLINK("https://www.spark-marketing.ru/Card/Person/6450322", "ЗАКАЗЧИК РП БЕЛАРУСЬ")</f>
        <v>ЗАКАЗЧИК РП БЕЛАРУСЬ</v>
      </c>
      <c r="B10730" s="28" t="s">
        <v>52</v>
      </c>
      <c r="C10730" s="25">
        <v>336683.6</v>
      </c>
      <c r="D10730" s="22" t="s">
        <v>13070</v>
      </c>
      <c r="E10730" s="22" t="s">
        <v>53</v>
      </c>
      <c r="F10730" s="23" t="str">
        <f>HYPERLINK("https://www.spark-marketing.ru/Card/Lot/69218493", "Обслуживание установок системы видеонаблюдения")</f>
        <v>Обслуживание установок системы видеонаблюдения</v>
      </c>
      <c r="G10730" s="22" t="s">
        <v>52</v>
      </c>
      <c r="H10730" s="22" t="s">
        <v>52</v>
      </c>
      <c r="I10730" s="26">
        <v>43557</v>
      </c>
      <c r="J10730" s="28" t="s">
        <v>52</v>
      </c>
      <c r="K10730" s="28" t="s">
        <v>52</v>
      </c>
      <c r="L10730" s="28" t="s">
        <v>52</v>
      </c>
      <c r="M10730" s="28" t="s">
        <v>52</v>
      </c>
      <c r="N10730" s="28" t="s">
        <v>52</v>
      </c>
    </row>
    <row r="10731" spans="1:14" x14ac:dyDescent="0.15">
      <c r="A10731" s="23" t="str">
        <f>HYPERLINK("https://www.spark-marketing.ru/Card/Person/1058159", "МБДОУ ""ДЕТСКИЙ САД №43""")</f>
        <v>МБДОУ "ДЕТСКИЙ САД №43"</v>
      </c>
      <c r="B10731" s="24" t="s">
        <v>13071</v>
      </c>
      <c r="C10731" s="25">
        <v>170400</v>
      </c>
      <c r="D10731" s="22" t="s">
        <v>13072</v>
      </c>
      <c r="E10731" s="22" t="s">
        <v>103</v>
      </c>
      <c r="F10731" s="23" t="str">
        <f>HYPERLINK("https://www.spark-marketing.ru/Card/Lot/69201870", "Техническое обслуживание системы видеонаблюдения (мкр. Янтарный, мкр. Лукино, ул.Дмитриево))")</f>
        <v>Техническое обслуживание системы видеонаблюдения (мкр. Янтарный, мкр. Лукино, ул.Дмитриево))</v>
      </c>
      <c r="G10731" s="22" t="s">
        <v>50</v>
      </c>
      <c r="H10731" s="22" t="s">
        <v>432</v>
      </c>
      <c r="I10731" s="26">
        <v>43556.909050925897</v>
      </c>
      <c r="J10731" s="28" t="s">
        <v>52</v>
      </c>
      <c r="K10731" s="28" t="s">
        <v>52</v>
      </c>
      <c r="L10731" s="28" t="s">
        <v>52</v>
      </c>
      <c r="M10731" s="28" t="s">
        <v>52</v>
      </c>
      <c r="N10731" s="28" t="s">
        <v>52</v>
      </c>
    </row>
    <row r="10732" spans="1:14" x14ac:dyDescent="0.15">
      <c r="A10732" s="23" t="str">
        <f>HYPERLINK("https://www.spark-marketing.ru/Card/Person/4389914", "АО ""НАЗАРОВСКАЯ ГРЭС""")</f>
        <v>АО "НАЗАРОВСКАЯ ГРЭС"</v>
      </c>
      <c r="B10732" s="24" t="s">
        <v>13073</v>
      </c>
      <c r="C10732" s="25">
        <v>492000</v>
      </c>
      <c r="D10732" s="22" t="s">
        <v>13074</v>
      </c>
      <c r="E10732" s="22" t="s">
        <v>53</v>
      </c>
      <c r="F10732" s="23" t="str">
        <f>HYPERLINK("https://www.spark-marketing.ru/Card/Lot/69235361", "Техническое обслуживание системы видеонаблюдения")</f>
        <v>Техническое обслуживание системы видеонаблюдения</v>
      </c>
      <c r="G10732" s="22" t="s">
        <v>640</v>
      </c>
      <c r="H10732" s="22" t="s">
        <v>1524</v>
      </c>
      <c r="I10732" s="26">
        <v>43556.833333333299</v>
      </c>
      <c r="J10732" s="28" t="s">
        <v>52</v>
      </c>
      <c r="K10732" s="28" t="s">
        <v>52</v>
      </c>
      <c r="L10732" s="28" t="s">
        <v>52</v>
      </c>
      <c r="M10732" s="28" t="s">
        <v>52</v>
      </c>
      <c r="N10732" s="28" t="s">
        <v>52</v>
      </c>
    </row>
    <row r="10733" spans="1:14" x14ac:dyDescent="0.15">
      <c r="A10733" s="23" t="str">
        <f>HYPERLINK("https://www.spark-marketing.ru/Card/Person/4410", "ПУ ФСБ РОССИИ ПО САХАЛИНСКОЙ ОБЛАСТИ")</f>
        <v>ПУ ФСБ РОССИИ ПО САХАЛИНСКОЙ ОБЛАСТИ</v>
      </c>
      <c r="B10733" s="24" t="s">
        <v>13075</v>
      </c>
      <c r="C10733" s="25">
        <v>9597251</v>
      </c>
      <c r="D10733" s="22" t="s">
        <v>13076</v>
      </c>
      <c r="E10733" s="22" t="s">
        <v>13077</v>
      </c>
      <c r="F10733" s="23" t="str">
        <f>HYPERLINK("https://www.spark-marketing.ru/Card/Lot/69184372", "Приобретение и установка комплекса инженерных средств охраны и защиты")</f>
        <v>Приобретение и установка комплекса инженерных средств охраны и защиты</v>
      </c>
      <c r="G10733" s="22" t="s">
        <v>69</v>
      </c>
      <c r="H10733" s="22" t="s">
        <v>973</v>
      </c>
      <c r="I10733" s="26">
        <v>43556.772916666698</v>
      </c>
      <c r="J10733" s="28" t="s">
        <v>52</v>
      </c>
      <c r="K10733" s="28" t="s">
        <v>52</v>
      </c>
      <c r="L10733" s="28" t="s">
        <v>52</v>
      </c>
      <c r="M10733" s="28" t="s">
        <v>52</v>
      </c>
      <c r="N10733" s="28" t="s">
        <v>52</v>
      </c>
    </row>
    <row r="10734" spans="1:14" x14ac:dyDescent="0.15">
      <c r="A10734" s="23" t="str">
        <f>HYPERLINK("https://www.spark-marketing.ru/Card/Person/9712", "СПБ ГБУЗ ""МЕДСАНТРАНС""")</f>
        <v>СПБ ГБУЗ "МЕДСАНТРАНС"</v>
      </c>
      <c r="B10734" s="24" t="s">
        <v>13078</v>
      </c>
      <c r="C10734" s="25">
        <v>697680</v>
      </c>
      <c r="D10734" s="22" t="s">
        <v>13079</v>
      </c>
      <c r="E10734" s="22" t="s">
        <v>68</v>
      </c>
      <c r="F10734" s="23" t="str">
        <f>HYPERLINK("https://www.spark-marketing.ru/Card/Lot/69200344", "Оказание услуг, включающих проведение комплекса мероприятий по контролю за подвижными объектами Заказчика и пересечению противоправных посягательств в отношении этих объектов, а также находящегося в них имущества Заказчика, в случае поступления сигна...")</f>
        <v>Оказание услуг, включающих проведение комплекса мероприятий по контролю за подвижными объектами Заказчика и пересечению противоправных посягательств в отношении этих объектов, а также находящегося в них имущества Заказчика, в случае поступления сигна...</v>
      </c>
      <c r="G10734" s="22" t="s">
        <v>89</v>
      </c>
      <c r="H10734" s="22" t="s">
        <v>89</v>
      </c>
      <c r="I10734" s="26">
        <v>43556.768750000003</v>
      </c>
      <c r="J10734" s="23" t="str">
        <f>HYPERLINK("https://www.spark-marketing.ru/Card/Person/4347044", "ФГКУ ""УВО ВНГ РОССИИ ПО Г. СПБ И ЛО""")</f>
        <v>ФГКУ "УВО ВНГ РОССИИ ПО Г. СПБ И ЛО"</v>
      </c>
      <c r="K10734" s="24" t="s">
        <v>8969</v>
      </c>
      <c r="L10734" s="22" t="s">
        <v>10</v>
      </c>
      <c r="M10734" s="28" t="s">
        <v>52</v>
      </c>
      <c r="N10734" s="28" t="s">
        <v>52</v>
      </c>
    </row>
    <row r="10735" spans="1:14" x14ac:dyDescent="0.15">
      <c r="A10735" s="23" t="str">
        <f>HYPERLINK("https://www.spark-marketing.ru/Card/Person/207429", "СТАВРОПОЛЬСКИЙ ЛО МВД РОССИИ НА ТРАНСПОРТЕ")</f>
        <v>СТАВРОПОЛЬСКИЙ ЛО МВД РОССИИ НА ТРАНСПОРТЕ</v>
      </c>
      <c r="B10735" s="24" t="s">
        <v>13080</v>
      </c>
      <c r="C10735" s="25">
        <v>30432.12</v>
      </c>
      <c r="D10735" s="22" t="s">
        <v>13081</v>
      </c>
      <c r="E10735" s="22" t="s">
        <v>53</v>
      </c>
      <c r="F10735" s="23" t="str">
        <f>HYPERLINK("https://www.spark-marketing.ru/Card/Lot/70786287", "Оказание услуг по техническому обслуживанию комплекса технических средств охраны на объектах")</f>
        <v>Оказание услуг по техническому обслуживанию комплекса технических средств охраны на объектах</v>
      </c>
      <c r="G10735" s="22" t="s">
        <v>258</v>
      </c>
      <c r="H10735" s="22" t="s">
        <v>546</v>
      </c>
      <c r="I10735" s="26">
        <v>43556.747071759302</v>
      </c>
      <c r="J10735" s="28" t="s">
        <v>52</v>
      </c>
      <c r="K10735" s="28" t="s">
        <v>52</v>
      </c>
      <c r="L10735" s="28" t="s">
        <v>52</v>
      </c>
      <c r="M10735" s="28" t="s">
        <v>52</v>
      </c>
      <c r="N10735" s="28" t="s">
        <v>52</v>
      </c>
    </row>
    <row r="10736" spans="1:14" x14ac:dyDescent="0.15">
      <c r="A10736" s="23" t="str">
        <f>HYPERLINK("https://www.spark-marketing.ru/Card/Person/6563", "ФГБУ ""ЦЕНТР ГЕОДЕЗИИ, КАРТОГРАФИИ И ИПД""")</f>
        <v>ФГБУ "ЦЕНТР ГЕОДЕЗИИ, КАРТОГРАФИИ И ИПД"</v>
      </c>
      <c r="B10736" s="24" t="s">
        <v>6871</v>
      </c>
      <c r="C10736" s="25">
        <v>1963984.37</v>
      </c>
      <c r="D10736" s="22" t="s">
        <v>13082</v>
      </c>
      <c r="E10736" s="22" t="s">
        <v>68</v>
      </c>
      <c r="F10736" s="23" t="str">
        <f>HYPERLINK("https://www.spark-marketing.ru/Card/Lot/69197089", "на оказание услуг по охране имущества и осуществлению внутриобъектового режима и пропускного режима в здании ФГБУ «Центр геодезии, картографии и ИПД» по адресу: г. Чита, ул. Амурская, д. 7")</f>
        <v>на оказание услуг по охране имущества и осуществлению внутриобъектового режима и пропускного режима в здании ФГБУ «Центр геодезии, картографии и ИПД» по адресу: г. Чита, ул. Амурская, д. 7</v>
      </c>
      <c r="G10736" s="22" t="s">
        <v>473</v>
      </c>
      <c r="H10736" s="22" t="s">
        <v>476</v>
      </c>
      <c r="I10736" s="26">
        <v>43556.694444444402</v>
      </c>
      <c r="J10736" s="28" t="s">
        <v>52</v>
      </c>
      <c r="K10736" s="28" t="s">
        <v>52</v>
      </c>
      <c r="L10736" s="28" t="s">
        <v>52</v>
      </c>
      <c r="M10736" s="28" t="s">
        <v>52</v>
      </c>
      <c r="N10736" s="28" t="s">
        <v>52</v>
      </c>
    </row>
    <row r="10737" spans="1:14" x14ac:dyDescent="0.15">
      <c r="A10737" s="23" t="str">
        <f>HYPERLINK("https://www.spark-marketing.ru/Card/Person/555246", "АО ""УЭХК""")</f>
        <v>АО "УЭХК"</v>
      </c>
      <c r="B10737" s="24" t="s">
        <v>2525</v>
      </c>
      <c r="C10737" s="28" t="s">
        <v>52</v>
      </c>
      <c r="D10737" s="22" t="s">
        <v>13083</v>
      </c>
      <c r="E10737" s="22" t="s">
        <v>2568</v>
      </c>
      <c r="F10737" s="23" t="str">
        <f>HYPERLINK("https://www.spark-marketing.ru/Card/Lot/70423875", "Право заключения договора на оказание услуг по формированию и обеспечению наборами продовольственных товаров для дополнительного питания личного состава караулов войсковой части 3280 ВНГ РФ при сопровождении специальных грузов АО «УЭХК»")</f>
        <v>Право заключения договора на оказание услуг по формированию и обеспечению наборами продовольственных товаров для дополнительного питания личного состава караулов войсковой части 3280 ВНГ РФ при сопровождении специальных грузов АО «УЭХК»</v>
      </c>
      <c r="G10737" s="22" t="s">
        <v>72</v>
      </c>
      <c r="H10737" s="22" t="s">
        <v>2527</v>
      </c>
      <c r="I10737" s="26">
        <v>43567.356759259303</v>
      </c>
      <c r="J10737" s="28" t="s">
        <v>52</v>
      </c>
      <c r="K10737" s="28" t="s">
        <v>52</v>
      </c>
      <c r="L10737" s="28" t="s">
        <v>52</v>
      </c>
      <c r="M10737" s="28" t="s">
        <v>52</v>
      </c>
      <c r="N10737" s="28" t="s">
        <v>52</v>
      </c>
    </row>
    <row r="10738" spans="1:14" x14ac:dyDescent="0.15">
      <c r="A10738" s="23" t="str">
        <f>HYPERLINK("https://www.spark-marketing.ru/Card/Person/6563", "ФГБУ ""ЦЕНТР ГЕОДЕЗИИ, КАРТОГРАФИИ И ИПД""")</f>
        <v>ФГБУ "ЦЕНТР ГЕОДЕЗИИ, КАРТОГРАФИИ И ИПД"</v>
      </c>
      <c r="B10738" s="24" t="s">
        <v>6871</v>
      </c>
      <c r="C10738" s="25">
        <v>1385166.24</v>
      </c>
      <c r="D10738" s="22" t="s">
        <v>13084</v>
      </c>
      <c r="E10738" s="22" t="s">
        <v>68</v>
      </c>
      <c r="F10738" s="23" t="str">
        <f>HYPERLINK("https://www.spark-marketing.ru/Card/Lot/69195504", "На оказание услуг по охране имущества и осуществлению внутриобъектового и пропускного режимов в здании ФГБУ ""Центр геодезии, картографии и ИПД"" по адресу: г. Ростов-на-Дону, ул. Портовая, д.543, стр. лит.Б, 3 этаж")</f>
        <v>На оказание услуг по охране имущества и осуществлению внутриобъектового и пропускного режимов в здании ФГБУ "Центр геодезии, картографии и ИПД" по адресу: г. Ростов-на-Дону, ул. Портовая, д.543, стр. лит.Б, 3 этаж</v>
      </c>
      <c r="G10738" s="22" t="s">
        <v>402</v>
      </c>
      <c r="H10738" s="22" t="s">
        <v>402</v>
      </c>
      <c r="I10738" s="26">
        <v>43556.675000000003</v>
      </c>
      <c r="J10738" s="28" t="s">
        <v>52</v>
      </c>
      <c r="K10738" s="28" t="s">
        <v>52</v>
      </c>
      <c r="L10738" s="28" t="s">
        <v>52</v>
      </c>
      <c r="M10738" s="28" t="s">
        <v>52</v>
      </c>
      <c r="N10738" s="28" t="s">
        <v>52</v>
      </c>
    </row>
    <row r="10739" spans="1:14" x14ac:dyDescent="0.15">
      <c r="A10739" s="23" t="str">
        <f>HYPERLINK("https://www.spark-marketing.ru/Card/Person/555246", "АО ""УЭХК""")</f>
        <v>АО "УЭХК"</v>
      </c>
      <c r="B10739" s="24" t="s">
        <v>2525</v>
      </c>
      <c r="C10739" s="28" t="s">
        <v>52</v>
      </c>
      <c r="D10739" s="22" t="s">
        <v>13085</v>
      </c>
      <c r="E10739" s="22" t="s">
        <v>53</v>
      </c>
      <c r="F10739" s="23" t="str">
        <f>HYPERLINK("https://www.spark-marketing.ru/Card/Lot/69199740", "Право заключения договора на оказание услуг по формированию и обеспечению наборами продовольственных товаров для дополнительного питания личного состава караулов войсковой части 3280 ВНГ РФ при сопровождении специальных грузов АО «УЭХК» (1221821)")</f>
        <v>Право заключения договора на оказание услуг по формированию и обеспечению наборами продовольственных товаров для дополнительного питания личного состава караулов войсковой части 3280 ВНГ РФ при сопровождении специальных грузов АО «УЭХК» (1221821)</v>
      </c>
      <c r="G10739" s="22" t="s">
        <v>72</v>
      </c>
      <c r="H10739" s="22" t="s">
        <v>2527</v>
      </c>
      <c r="I10739" s="26">
        <v>43556.704884259299</v>
      </c>
      <c r="J10739" s="28" t="s">
        <v>52</v>
      </c>
      <c r="K10739" s="28" t="s">
        <v>52</v>
      </c>
      <c r="L10739" s="28" t="s">
        <v>52</v>
      </c>
      <c r="M10739" s="28" t="s">
        <v>52</v>
      </c>
      <c r="N10739" s="28" t="s">
        <v>52</v>
      </c>
    </row>
    <row r="10740" spans="1:14" x14ac:dyDescent="0.15">
      <c r="A10740" s="23" t="str">
        <f>HYPERLINK("https://www.spark-marketing.ru/Card/Person/4343718", "ФГУП ""НИТИ ИМ. А. П. АЛЕКСАНДРОВА""")</f>
        <v>ФГУП "НИТИ ИМ. А. П. АЛЕКСАНДРОВА"</v>
      </c>
      <c r="B10740" s="24" t="s">
        <v>1917</v>
      </c>
      <c r="C10740" s="28" t="s">
        <v>52</v>
      </c>
      <c r="D10740" s="22" t="s">
        <v>13086</v>
      </c>
      <c r="E10740" s="22" t="s">
        <v>53</v>
      </c>
      <c r="F10740" s="23" t="str">
        <f>HYPERLINK("https://www.spark-marketing.ru/Card/Lot/69199719", "Оказание услуг по оснащению транспортных средств ФГУП ""НИТИ им. А. П. Александрова"" техническими средствами обеспечения транспортной защиты (1221796)")</f>
        <v>Оказание услуг по оснащению транспортных средств ФГУП "НИТИ им. А. П. Александрова" техническими средствами обеспечения транспортной защиты (1221796)</v>
      </c>
      <c r="G10740" s="22" t="s">
        <v>861</v>
      </c>
      <c r="H10740" s="22" t="s">
        <v>1920</v>
      </c>
      <c r="I10740" s="26">
        <v>43556.704884259299</v>
      </c>
      <c r="J10740" s="28" t="s">
        <v>52</v>
      </c>
      <c r="K10740" s="28" t="s">
        <v>52</v>
      </c>
      <c r="L10740" s="28" t="s">
        <v>52</v>
      </c>
      <c r="M10740" s="28" t="s">
        <v>52</v>
      </c>
      <c r="N10740" s="28" t="s">
        <v>52</v>
      </c>
    </row>
    <row r="10741" spans="1:14" x14ac:dyDescent="0.15">
      <c r="A10741" s="23" t="str">
        <f>HYPERLINK("https://www.spark-marketing.ru/Card/Person/4343718", "ФГУП ""НИТИ ИМ. А. П. АЛЕКСАНДРОВА""")</f>
        <v>ФГУП "НИТИ ИМ. А. П. АЛЕКСАНДРОВА"</v>
      </c>
      <c r="B10741" s="24" t="s">
        <v>1917</v>
      </c>
      <c r="C10741" s="25">
        <v>0</v>
      </c>
      <c r="D10741" s="22" t="s">
        <v>13087</v>
      </c>
      <c r="E10741" s="22" t="s">
        <v>53</v>
      </c>
      <c r="F10741" s="23" t="str">
        <f>HYPERLINK("https://www.spark-marketing.ru/Card/Lot/69198643", "мониторинг цен в электронной форме на Оказание услуг по оснащению транспортных средств ФГУП ""НИТИ им. А. П. Александрова"" техническими средствами обеспечения транспортной защиты")</f>
        <v>мониторинг цен в электронной форме на Оказание услуг по оснащению транспортных средств ФГУП "НИТИ им. А. П. Александрова" техническими средствами обеспечения транспортной защиты</v>
      </c>
      <c r="G10741" s="22" t="s">
        <v>861</v>
      </c>
      <c r="H10741" s="22" t="s">
        <v>1920</v>
      </c>
      <c r="I10741" s="26">
        <v>43556.677488425899</v>
      </c>
      <c r="J10741" s="28" t="s">
        <v>52</v>
      </c>
      <c r="K10741" s="28" t="s">
        <v>52</v>
      </c>
      <c r="L10741" s="28" t="s">
        <v>52</v>
      </c>
      <c r="M10741" s="28" t="s">
        <v>52</v>
      </c>
      <c r="N10741" s="28" t="s">
        <v>52</v>
      </c>
    </row>
    <row r="10742" spans="1:14" x14ac:dyDescent="0.15">
      <c r="A10742" s="23" t="str">
        <f>HYPERLINK("https://www.spark-marketing.ru/Card/Person/6563", "ФГБУ ""ЦЕНТР ГЕОДЕЗИИ, КАРТОГРАФИИ И ИПД""")</f>
        <v>ФГБУ "ЦЕНТР ГЕОДЕЗИИ, КАРТОГРАФИИ И ИПД"</v>
      </c>
      <c r="B10742" s="24" t="s">
        <v>6871</v>
      </c>
      <c r="C10742" s="25">
        <v>86522.64</v>
      </c>
      <c r="D10742" s="22" t="s">
        <v>13088</v>
      </c>
      <c r="E10742" s="22" t="s">
        <v>68</v>
      </c>
      <c r="F10742" s="23" t="str">
        <f>HYPERLINK("https://www.spark-marketing.ru/Card/Lot/69196889", "оказание услуг по охране имущества  посредством пульта централизованного наблюдения в  ФГБУ «Центр геодезии, картографии и ИПД» по адресу: г.Тюмень, ул.Таежная , д.12, стр.1")</f>
        <v>оказание услуг по охране имущества  посредством пульта централизованного наблюдения в  ФГБУ «Центр геодезии, картографии и ИПД» по адресу: г.Тюмень, ул.Таежная , д.12, стр.1</v>
      </c>
      <c r="G10742" s="22" t="s">
        <v>893</v>
      </c>
      <c r="H10742" s="22" t="s">
        <v>893</v>
      </c>
      <c r="I10742" s="26">
        <v>43556.694444444402</v>
      </c>
      <c r="J10742" s="28" t="s">
        <v>52</v>
      </c>
      <c r="K10742" s="28" t="s">
        <v>52</v>
      </c>
      <c r="L10742" s="28" t="s">
        <v>52</v>
      </c>
      <c r="M10742" s="28" t="s">
        <v>52</v>
      </c>
      <c r="N10742" s="28" t="s">
        <v>52</v>
      </c>
    </row>
    <row r="10743" spans="1:14" x14ac:dyDescent="0.15">
      <c r="A10743" s="23" t="str">
        <f>HYPERLINK("https://www.spark-marketing.ru/Card/Person/6563", "ФГБУ ""ЦЕНТР ГЕОДЕЗИИ, КАРТОГРАФИИ И ИПД""")</f>
        <v>ФГБУ "ЦЕНТР ГЕОДЕЗИИ, КАРТОГРАФИИ И ИПД"</v>
      </c>
      <c r="B10743" s="24" t="s">
        <v>6871</v>
      </c>
      <c r="C10743" s="25">
        <v>2176396.13</v>
      </c>
      <c r="D10743" s="22" t="s">
        <v>13089</v>
      </c>
      <c r="E10743" s="22" t="s">
        <v>68</v>
      </c>
      <c r="F10743" s="23" t="str">
        <f>HYPERLINK("https://www.spark-marketing.ru/Card/Lot/69196076", "На оказание услуг по охране имущества и осуществлению внутриобъектового режима в  ФГБУ ""Центр геодезии, картографии и ИПД"" по адресу: г. Магадан, ул. Берзина, д.11")</f>
        <v>На оказание услуг по охране имущества и осуществлению внутриобъектового режима в  ФГБУ "Центр геодезии, картографии и ИПД" по адресу: г. Магадан, ул. Берзина, д.11</v>
      </c>
      <c r="G10743" s="22" t="s">
        <v>808</v>
      </c>
      <c r="H10743" s="22" t="s">
        <v>808</v>
      </c>
      <c r="I10743" s="26">
        <v>43556.693055555603</v>
      </c>
      <c r="J10743" s="28" t="s">
        <v>52</v>
      </c>
      <c r="K10743" s="28" t="s">
        <v>52</v>
      </c>
      <c r="L10743" s="28" t="s">
        <v>52</v>
      </c>
      <c r="M10743" s="28" t="s">
        <v>52</v>
      </c>
      <c r="N10743" s="28" t="s">
        <v>52</v>
      </c>
    </row>
    <row r="10744" spans="1:14" x14ac:dyDescent="0.15">
      <c r="A10744" s="23" t="str">
        <f>HYPERLINK("https://www.spark-marketing.ru/Card/Person/49840", "ГБУЗ ""АЛАГИРСКАЯ ЦРБ"" МЗ РСО-А")</f>
        <v>ГБУЗ "АЛАГИРСКАЯ ЦРБ" МЗ РСО-А</v>
      </c>
      <c r="B10744" s="24" t="s">
        <v>13090</v>
      </c>
      <c r="C10744" s="25">
        <v>112810.86</v>
      </c>
      <c r="D10744" s="22" t="s">
        <v>13091</v>
      </c>
      <c r="E10744" s="22" t="s">
        <v>68</v>
      </c>
      <c r="F10744" s="23" t="str">
        <f>HYPERLINK("https://www.spark-marketing.ru/Card/Lot/69197194", "Оказание услуг по охране объектов Учреждения.")</f>
        <v>Оказание услуг по охране объектов Учреждения.</v>
      </c>
      <c r="G10744" s="22" t="s">
        <v>833</v>
      </c>
      <c r="H10744" s="22" t="s">
        <v>13092</v>
      </c>
      <c r="I10744" s="26">
        <v>43556.704166666699</v>
      </c>
      <c r="J10744" s="28" t="s">
        <v>52</v>
      </c>
      <c r="K10744" s="28" t="s">
        <v>52</v>
      </c>
      <c r="L10744" s="28" t="s">
        <v>52</v>
      </c>
      <c r="M10744" s="28" t="s">
        <v>52</v>
      </c>
      <c r="N10744" s="28" t="s">
        <v>52</v>
      </c>
    </row>
    <row r="10745" spans="1:14" x14ac:dyDescent="0.15">
      <c r="A10745" s="23" t="str">
        <f>HYPERLINK("https://www.spark-marketing.ru/Card/Person/6563", "ФГБУ ""ЦЕНТР ГЕОДЕЗИИ, КАРТОГРАФИИ И ИПД""")</f>
        <v>ФГБУ "ЦЕНТР ГЕОДЕЗИИ, КАРТОГРАФИИ И ИПД"</v>
      </c>
      <c r="B10745" s="24" t="s">
        <v>6871</v>
      </c>
      <c r="C10745" s="25">
        <v>1686229.93</v>
      </c>
      <c r="D10745" s="22" t="s">
        <v>13093</v>
      </c>
      <c r="E10745" s="22" t="s">
        <v>68</v>
      </c>
      <c r="F10745" s="23" t="str">
        <f>HYPERLINK("https://www.spark-marketing.ru/Card/Lot/69196954", "На оказание услуг по охране имущества и осуществлению внутриобъектового и пропускного режимов в региональном отделе по Крымскому федеральному округу ФГБУ ""Центр геодезии, картографии и ИПД"" по адресу: г. Севастополь, ул. Очаковцев, д.50")</f>
        <v>На оказание услуг по охране имущества и осуществлению внутриобъектового и пропускного режимов в региональном отделе по Крымскому федеральному округу ФГБУ "Центр геодезии, картографии и ИПД" по адресу: г. Севастополь, ул. Очаковцев, д.50</v>
      </c>
      <c r="G10745" s="22" t="s">
        <v>714</v>
      </c>
      <c r="H10745" s="22" t="s">
        <v>714</v>
      </c>
      <c r="I10745" s="26">
        <v>43556.704166666699</v>
      </c>
      <c r="J10745" s="28" t="s">
        <v>52</v>
      </c>
      <c r="K10745" s="28" t="s">
        <v>52</v>
      </c>
      <c r="L10745" s="28" t="s">
        <v>52</v>
      </c>
      <c r="M10745" s="28" t="s">
        <v>52</v>
      </c>
      <c r="N10745" s="28" t="s">
        <v>52</v>
      </c>
    </row>
    <row r="10746" spans="1:14" x14ac:dyDescent="0.15">
      <c r="A10746" s="23" t="str">
        <f>HYPERLINK("https://www.spark-marketing.ru/Card/Person/6563", "ФГБУ ""ЦЕНТР ГЕОДЕЗИИ, КАРТОГРАФИИ И ИПД""")</f>
        <v>ФГБУ "ЦЕНТР ГЕОДЕЗИИ, КАРТОГРАФИИ И ИПД"</v>
      </c>
      <c r="B10746" s="24" t="s">
        <v>6871</v>
      </c>
      <c r="C10746" s="25">
        <v>1426688.64</v>
      </c>
      <c r="D10746" s="22" t="s">
        <v>13094</v>
      </c>
      <c r="E10746" s="22" t="s">
        <v>68</v>
      </c>
      <c r="F10746" s="23" t="str">
        <f>HYPERLINK("https://www.spark-marketing.ru/Card/Lot/69196901", "На оказание услуг по охране имущества и осуществлению внутриобъектового и пропускного режимов в отделе архивного фонда  по адресу г. Инза, ул. Вокзальная, д.140")</f>
        <v>На оказание услуг по охране имущества и осуществлению внутриобъектового и пропускного режимов в отделе архивного фонда  по адресу г. Инза, ул. Вокзальная, д.140</v>
      </c>
      <c r="G10746" s="22" t="s">
        <v>446</v>
      </c>
      <c r="H10746" s="22" t="s">
        <v>446</v>
      </c>
      <c r="I10746" s="26">
        <v>43556.702777777798</v>
      </c>
      <c r="J10746" s="28" t="s">
        <v>52</v>
      </c>
      <c r="K10746" s="28" t="s">
        <v>52</v>
      </c>
      <c r="L10746" s="28" t="s">
        <v>52</v>
      </c>
      <c r="M10746" s="28" t="s">
        <v>52</v>
      </c>
      <c r="N10746" s="28" t="s">
        <v>52</v>
      </c>
    </row>
    <row r="10747" spans="1:14" x14ac:dyDescent="0.15">
      <c r="A10747" s="23" t="str">
        <f>HYPERLINK("https://www.spark-marketing.ru/Card/Person/141310", "ОМВД РОССИИ ПО Г. МАГАДАНУ")</f>
        <v>ОМВД РОССИИ ПО Г. МАГАДАНУ</v>
      </c>
      <c r="B10747" s="24" t="s">
        <v>13095</v>
      </c>
      <c r="C10747" s="25">
        <v>157680</v>
      </c>
      <c r="D10747" s="22" t="s">
        <v>13096</v>
      </c>
      <c r="E10747" s="22" t="s">
        <v>68</v>
      </c>
      <c r="F10747" s="23" t="str">
        <f>HYPERLINK("https://www.spark-marketing.ru/Card/Lot/69176343", "Оказание услуг по пультовой охране и охране с помощью кнопки тревожной сигнализации объектов ОМВД России по г. Магадану")</f>
        <v>Оказание услуг по пультовой охране и охране с помощью кнопки тревожной сигнализации объектов ОМВД России по г. Магадану</v>
      </c>
      <c r="G10747" s="22" t="s">
        <v>808</v>
      </c>
      <c r="H10747" s="22" t="s">
        <v>809</v>
      </c>
      <c r="I10747" s="26">
        <v>43556.706944444399</v>
      </c>
      <c r="J10747" s="28" t="s">
        <v>52</v>
      </c>
      <c r="K10747" s="28" t="s">
        <v>52</v>
      </c>
      <c r="L10747" s="28" t="s">
        <v>52</v>
      </c>
      <c r="M10747" s="28" t="s">
        <v>52</v>
      </c>
      <c r="N10747" s="28" t="s">
        <v>52</v>
      </c>
    </row>
    <row r="10748" spans="1:14" x14ac:dyDescent="0.15">
      <c r="A10748" s="23" t="str">
        <f>HYPERLINK("https://www.spark-marketing.ru/Card/Person/555246", "АО ""УЭХК""")</f>
        <v>АО "УЭХК"</v>
      </c>
      <c r="B10748" s="24" t="s">
        <v>2525</v>
      </c>
      <c r="C10748" s="25">
        <v>0</v>
      </c>
      <c r="D10748" s="22" t="s">
        <v>13097</v>
      </c>
      <c r="E10748" s="22" t="s">
        <v>53</v>
      </c>
      <c r="F10748" s="23" t="str">
        <f>HYPERLINK("https://www.spark-marketing.ru/Card/Lot/69198545", "мониторинг цен в электронной форме на Право заключения договора на оказание услуг по формированию и обеспечению наборами продовольственных товаров для дополнительного питания личного состава караулов войсковой части 3280 ВНГ РФ при сопровождении спец...")</f>
        <v>мониторинг цен в электронной форме на Право заключения договора на оказание услуг по формированию и обеспечению наборами продовольственных товаров для дополнительного питания личного состава караулов войсковой части 3280 ВНГ РФ при сопровождении спец...</v>
      </c>
      <c r="G10748" s="22" t="s">
        <v>72</v>
      </c>
      <c r="H10748" s="22" t="s">
        <v>2527</v>
      </c>
      <c r="I10748" s="26">
        <v>43556.687534722201</v>
      </c>
      <c r="J10748" s="28" t="s">
        <v>52</v>
      </c>
      <c r="K10748" s="28" t="s">
        <v>52</v>
      </c>
      <c r="L10748" s="28" t="s">
        <v>52</v>
      </c>
      <c r="M10748" s="28" t="s">
        <v>52</v>
      </c>
      <c r="N10748" s="28" t="s">
        <v>52</v>
      </c>
    </row>
    <row r="10749" spans="1:14" x14ac:dyDescent="0.15">
      <c r="A10749" s="23" t="str">
        <f>HYPERLINK("https://www.spark-marketing.ru/Card/Person/6563", "ФГБУ ""ЦЕНТР ГЕОДЕЗИИ, КАРТОГРАФИИ И ИПД""")</f>
        <v>ФГБУ "ЦЕНТР ГЕОДЕЗИИ, КАРТОГРАФИИ И ИПД"</v>
      </c>
      <c r="B10749" s="24" t="s">
        <v>6871</v>
      </c>
      <c r="C10749" s="25">
        <v>1443823.2</v>
      </c>
      <c r="D10749" s="22" t="s">
        <v>13098</v>
      </c>
      <c r="E10749" s="22" t="s">
        <v>68</v>
      </c>
      <c r="F10749" s="23" t="str">
        <f>HYPERLINK("https://www.spark-marketing.ru/Card/Lot/69197206", "На оказание услуг по охране имущества и осуществлению внутриобъектового и пропускного режимом в помещениях ФГБУ ""Центр геодезии, картографии и ИПД"" по адресу: г. Астрахань, ул. Победы/Карла Маркса пл., д. 53/9 к 1")</f>
        <v>На оказание услуг по охране имущества и осуществлению внутриобъектового и пропускного режимом в помещениях ФГБУ "Центр геодезии, картографии и ИПД" по адресу: г. Астрахань, ул. Победы/Карла Маркса пл., д. 53/9 к 1</v>
      </c>
      <c r="G10749" s="22" t="s">
        <v>565</v>
      </c>
      <c r="H10749" s="22" t="s">
        <v>565</v>
      </c>
      <c r="I10749" s="26">
        <v>43556.694444444402</v>
      </c>
      <c r="J10749" s="28" t="s">
        <v>52</v>
      </c>
      <c r="K10749" s="28" t="s">
        <v>52</v>
      </c>
      <c r="L10749" s="28" t="s">
        <v>52</v>
      </c>
      <c r="M10749" s="28" t="s">
        <v>52</v>
      </c>
      <c r="N10749" s="28" t="s">
        <v>52</v>
      </c>
    </row>
    <row r="10750" spans="1:14" x14ac:dyDescent="0.15">
      <c r="A10750" s="23" t="str">
        <f>HYPERLINK("https://www.spark-marketing.ru/Card/Person/6563", "ФГБУ ""ЦЕНТР ГЕОДЕЗИИ, КАРТОГРАФИИ И ИПД""")</f>
        <v>ФГБУ "ЦЕНТР ГЕОДЕЗИИ, КАРТОГРАФИИ И ИПД"</v>
      </c>
      <c r="B10750" s="24" t="s">
        <v>6871</v>
      </c>
      <c r="C10750" s="25">
        <v>1843717.2</v>
      </c>
      <c r="D10750" s="22" t="s">
        <v>13099</v>
      </c>
      <c r="E10750" s="22" t="s">
        <v>68</v>
      </c>
      <c r="F10750" s="23" t="str">
        <f>HYPERLINK("https://www.spark-marketing.ru/Card/Lot/69196951", "На оказание услуг по охране имущества и осуществлению внутриобъектового режима в помещениях ФГБУ ""Центр геодезии, картографии и ИПД"" по адресу: г. Тюмень, ул. Таежная,д.12, стр.1-стр.2")</f>
        <v>На оказание услуг по охране имущества и осуществлению внутриобъектового режима в помещениях ФГБУ "Центр геодезии, картографии и ИПД" по адресу: г. Тюмень, ул. Таежная,д.12, стр.1-стр.2</v>
      </c>
      <c r="G10750" s="22" t="s">
        <v>893</v>
      </c>
      <c r="H10750" s="22" t="s">
        <v>893</v>
      </c>
      <c r="I10750" s="26">
        <v>43556.701388888898</v>
      </c>
      <c r="J10750" s="28" t="s">
        <v>52</v>
      </c>
      <c r="K10750" s="28" t="s">
        <v>52</v>
      </c>
      <c r="L10750" s="28" t="s">
        <v>52</v>
      </c>
      <c r="M10750" s="28" t="s">
        <v>52</v>
      </c>
      <c r="N10750" s="28" t="s">
        <v>52</v>
      </c>
    </row>
    <row r="10751" spans="1:14" x14ac:dyDescent="0.2">
      <c r="A10751" s="23" t="str">
        <f>HYPERLINK("https://www.spark-marketing.ru/Card/Person/538739", "МАУЗ ""ЦГБ № 3"" Г. ЕКАТЕРИНБУРГА")</f>
        <v>МАУЗ "ЦГБ № 3" Г. ЕКАТЕРИНБУРГА</v>
      </c>
      <c r="B10751" s="24" t="s">
        <v>1249</v>
      </c>
      <c r="C10751" s="25">
        <v>458797.25</v>
      </c>
      <c r="D10751" s="22" t="s">
        <v>13100</v>
      </c>
      <c r="E10751" s="22" t="s">
        <v>144</v>
      </c>
      <c r="F10751" s="23" t="str">
        <f>HYPERLINK("https://www.spark-marketing.ru/Card/Lot/69187779", "Оказание услуг физической охраны объектов военизированными подразделениями")</f>
        <v>Оказание услуг физической охраны объектов военизированными подразделениями</v>
      </c>
      <c r="G10751" s="22" t="s">
        <v>72</v>
      </c>
      <c r="H10751" s="22" t="s">
        <v>72</v>
      </c>
      <c r="I10751" s="26">
        <v>43556.674143518503</v>
      </c>
      <c r="J10751" s="23" t="str">
        <f>HYPERLINK("https://www.spark-marketing.ru/Card/Person/10487", "ФГУП ""ОХРАНА"" РОСГВАРДИИ")</f>
        <v>ФГУП "ОХРАНА" РОСГВАРДИИ</v>
      </c>
      <c r="K10751" s="24" t="s">
        <v>779</v>
      </c>
      <c r="L10751" s="28" t="s">
        <v>52</v>
      </c>
      <c r="M10751" s="25">
        <v>458797.25</v>
      </c>
      <c r="N10751" s="27">
        <v>0</v>
      </c>
    </row>
    <row r="10752" spans="1:14" x14ac:dyDescent="0.15">
      <c r="A10752" s="23" t="str">
        <f>HYPERLINK("https://www.spark-marketing.ru/Card/Person/6563", "ФГБУ ""ЦЕНТР ГЕОДЕЗИИ, КАРТОГРАФИИ И ИПД""")</f>
        <v>ФГБУ "ЦЕНТР ГЕОДЕЗИИ, КАРТОГРАФИИ И ИПД"</v>
      </c>
      <c r="B10752" s="24" t="s">
        <v>6871</v>
      </c>
      <c r="C10752" s="25">
        <v>1840213.2</v>
      </c>
      <c r="D10752" s="22" t="s">
        <v>13101</v>
      </c>
      <c r="E10752" s="22" t="s">
        <v>68</v>
      </c>
      <c r="F10752" s="23" t="str">
        <f>HYPERLINK("https://www.spark-marketing.ru/Card/Lot/69197092", "На оказание услуг по охране имущества и осуществлению внутриобъектового режима в помещениях ФГБУ ""Центр геодезии, картографии и ИПД"" по адресу: г. Екатеринбург, ул. Искровцев, д.40, лит К")</f>
        <v>На оказание услуг по охране имущества и осуществлению внутриобъектового режима в помещениях ФГБУ "Центр геодезии, картографии и ИПД" по адресу: г. Екатеринбург, ул. Искровцев, д.40, лит К</v>
      </c>
      <c r="G10752" s="22" t="s">
        <v>72</v>
      </c>
      <c r="H10752" s="22" t="s">
        <v>72</v>
      </c>
      <c r="I10752" s="26">
        <v>43556.693055555603</v>
      </c>
      <c r="J10752" s="28" t="s">
        <v>52</v>
      </c>
      <c r="K10752" s="28" t="s">
        <v>52</v>
      </c>
      <c r="L10752" s="28" t="s">
        <v>52</v>
      </c>
      <c r="M10752" s="28" t="s">
        <v>52</v>
      </c>
      <c r="N10752" s="28" t="s">
        <v>52</v>
      </c>
    </row>
    <row r="10753" spans="1:14" x14ac:dyDescent="0.15">
      <c r="A10753" s="23" t="str">
        <f>HYPERLINK("https://www.spark-marketing.ru/Card/Person/5816936", "ГБУ СО ""БЕЗОПАСНЫЙ РЕГИОН""")</f>
        <v>ГБУ СО "БЕЗОПАСНЫЙ РЕГИОН"</v>
      </c>
      <c r="B10753" s="24" t="s">
        <v>13102</v>
      </c>
      <c r="C10753" s="25">
        <v>1790400</v>
      </c>
      <c r="D10753" s="22" t="s">
        <v>13103</v>
      </c>
      <c r="E10753" s="22" t="s">
        <v>103</v>
      </c>
      <c r="F10753" s="23" t="str">
        <f>HYPERLINK("https://www.spark-marketing.ru/Card/Lot/69193219", "Оказание услуг по эксплуатационно-техническому обслуживанию передвижных специальных технических средств, работающих в автоматическом режиме и имеющих функции фото- и видеозаписи, для контроля и фиксации нарушений правил остановки или стоянки транспор...")</f>
        <v>Оказание услуг по эксплуатационно-техническому обслуживанию передвижных специальных технических средств, работающих в автоматическом режиме и имеющих функции фото- и видеозаписи, для контроля и фиксации нарушений правил остановки или стоянки транспор...</v>
      </c>
      <c r="G10753" s="22" t="s">
        <v>760</v>
      </c>
      <c r="H10753" s="22" t="s">
        <v>1709</v>
      </c>
      <c r="I10753" s="26">
        <v>43556.638888888898</v>
      </c>
      <c r="J10753" s="23" t="str">
        <f>HYPERLINK("https://www.spark-marketing.ru/Card/Person/4354789", "ООО ""НЕТЛАЙН""")</f>
        <v>ООО "НЕТЛАЙН"</v>
      </c>
      <c r="K10753" s="24" t="s">
        <v>13104</v>
      </c>
      <c r="L10753" s="22" t="s">
        <v>10</v>
      </c>
      <c r="M10753" s="28" t="s">
        <v>52</v>
      </c>
      <c r="N10753" s="28" t="s">
        <v>52</v>
      </c>
    </row>
    <row r="10754" spans="1:14" x14ac:dyDescent="0.15">
      <c r="A10754" s="23" t="str">
        <f>HYPERLINK("https://www.spark-marketing.ru/Card/Person/113506", "МБУ ""ФСК ""КУПАВНА""")</f>
        <v>МБУ "ФСК "КУПАВНА"</v>
      </c>
      <c r="B10754" s="24" t="s">
        <v>13105</v>
      </c>
      <c r="C10754" s="25">
        <v>107520</v>
      </c>
      <c r="D10754" s="22" t="s">
        <v>13106</v>
      </c>
      <c r="E10754" s="22" t="s">
        <v>294</v>
      </c>
      <c r="F10754" s="23" t="str">
        <f>HYPERLINK("https://www.spark-marketing.ru/Card/Lot/69192009", "Техническое обслуживание системы видеонаблюдения")</f>
        <v>Техническое обслуживание системы видеонаблюдения</v>
      </c>
      <c r="G10754" s="22" t="s">
        <v>50</v>
      </c>
      <c r="H10754" s="22" t="s">
        <v>1276</v>
      </c>
      <c r="I10754" s="26">
        <v>43556.628611111097</v>
      </c>
      <c r="J10754" s="28" t="s">
        <v>52</v>
      </c>
      <c r="K10754" s="28" t="s">
        <v>52</v>
      </c>
      <c r="L10754" s="28" t="s">
        <v>52</v>
      </c>
      <c r="M10754" s="28" t="s">
        <v>52</v>
      </c>
      <c r="N10754" s="28" t="s">
        <v>52</v>
      </c>
    </row>
    <row r="10755" spans="1:14" x14ac:dyDescent="0.15">
      <c r="A10755" s="23" t="str">
        <f t="shared" ref="A10755:A10760" si="500">HYPERLINK("https://www.spark-marketing.ru/Card/Person/10550", "БУЗ УР ""УВИНСКАЯ РБ МЗ УР""")</f>
        <v>БУЗ УР "УВИНСКАЯ РБ МЗ УР"</v>
      </c>
      <c r="B10755" s="24" t="s">
        <v>13107</v>
      </c>
      <c r="C10755" s="25">
        <v>194767</v>
      </c>
      <c r="D10755" s="22" t="s">
        <v>13108</v>
      </c>
      <c r="E10755" s="22" t="s">
        <v>59</v>
      </c>
      <c r="F10755" s="23" t="str">
        <f t="shared" ref="F10755:F10760" si="501">HYPERLINK("https://www.spark-marketing.ru/Card/Lot/69193241", "№ зз-08717-19 поставка и установка системы видео наблюдения")</f>
        <v>№ зз-08717-19 поставка и установка системы видео наблюдения</v>
      </c>
      <c r="G10755" s="22" t="s">
        <v>96</v>
      </c>
      <c r="H10755" s="22" t="s">
        <v>13109</v>
      </c>
      <c r="I10755" s="26">
        <v>43556.645833333299</v>
      </c>
      <c r="J10755" s="28" t="s">
        <v>52</v>
      </c>
      <c r="K10755" s="28" t="s">
        <v>52</v>
      </c>
      <c r="L10755" s="28" t="s">
        <v>52</v>
      </c>
      <c r="M10755" s="28" t="s">
        <v>52</v>
      </c>
      <c r="N10755" s="28" t="s">
        <v>52</v>
      </c>
    </row>
    <row r="10756" spans="1:14" hidden="1" outlineLevel="1" x14ac:dyDescent="0.2">
      <c r="A10756" s="23" t="str">
        <f t="shared" si="500"/>
        <v>БУЗ УР "УВИНСКАЯ РБ МЗ УР"</v>
      </c>
      <c r="B10756" s="24" t="s">
        <v>13107</v>
      </c>
      <c r="C10756" s="25">
        <v>194767</v>
      </c>
      <c r="D10756" s="22" t="s">
        <v>13108</v>
      </c>
      <c r="E10756" s="22" t="s">
        <v>59</v>
      </c>
      <c r="F10756" s="23" t="str">
        <f t="shared" si="501"/>
        <v>№ зз-08717-19 поставка и установка системы видео наблюдения</v>
      </c>
      <c r="G10756" s="22" t="s">
        <v>96</v>
      </c>
      <c r="H10756" s="22" t="s">
        <v>13109</v>
      </c>
      <c r="I10756" s="26">
        <v>43556.645833333299</v>
      </c>
      <c r="J10756" s="23" t="str">
        <f>HYPERLINK("https://www.spark-marketing.ru/Card/Person/5853123", "Ершов Андрей Алексеевич")</f>
        <v>Ершов Андрей Алексеевич</v>
      </c>
      <c r="K10756" s="24" t="s">
        <v>1063</v>
      </c>
      <c r="L10756" s="28" t="s">
        <v>52</v>
      </c>
      <c r="M10756" s="25">
        <v>162630.38</v>
      </c>
      <c r="N10756" s="27">
        <v>0.16500033373210041</v>
      </c>
    </row>
    <row r="10757" spans="1:14" ht="12.75" hidden="1" outlineLevel="1" x14ac:dyDescent="0.2">
      <c r="A10757" s="23" t="str">
        <f t="shared" si="500"/>
        <v>БУЗ УР "УВИНСКАЯ РБ МЗ УР"</v>
      </c>
      <c r="B10757" s="24" t="s">
        <v>13107</v>
      </c>
      <c r="C10757" s="25">
        <v>194767</v>
      </c>
      <c r="D10757" s="22" t="s">
        <v>13108</v>
      </c>
      <c r="E10757" s="22" t="s">
        <v>59</v>
      </c>
      <c r="F10757" s="23" t="str">
        <f t="shared" si="501"/>
        <v>№ зз-08717-19 поставка и установка системы видео наблюдения</v>
      </c>
      <c r="G10757" s="22" t="s">
        <v>96</v>
      </c>
      <c r="H10757" s="22" t="s">
        <v>13109</v>
      </c>
      <c r="I10757" s="26">
        <v>43556.645833333299</v>
      </c>
      <c r="J10757" s="23" t="str">
        <f>HYPERLINK("https://www.spark-marketing.ru/Card/Person/6231576", "Роменская Елена Валерьевна")</f>
        <v>Роменская Елена Валерьевна</v>
      </c>
      <c r="K10757" s="24" t="s">
        <v>13110</v>
      </c>
      <c r="L10757" s="22" t="s">
        <v>10</v>
      </c>
      <c r="M10757" s="25">
        <v>127026.16</v>
      </c>
      <c r="N10757" s="27">
        <v>0.34780450486992148</v>
      </c>
    </row>
    <row r="10758" spans="1:14" hidden="1" outlineLevel="1" x14ac:dyDescent="0.2">
      <c r="A10758" s="23" t="str">
        <f t="shared" si="500"/>
        <v>БУЗ УР "УВИНСКАЯ РБ МЗ УР"</v>
      </c>
      <c r="B10758" s="24" t="s">
        <v>13107</v>
      </c>
      <c r="C10758" s="25">
        <v>194767</v>
      </c>
      <c r="D10758" s="22" t="s">
        <v>13108</v>
      </c>
      <c r="E10758" s="22" t="s">
        <v>59</v>
      </c>
      <c r="F10758" s="23" t="str">
        <f t="shared" si="501"/>
        <v>№ зз-08717-19 поставка и установка системы видео наблюдения</v>
      </c>
      <c r="G10758" s="22" t="s">
        <v>96</v>
      </c>
      <c r="H10758" s="22" t="s">
        <v>13109</v>
      </c>
      <c r="I10758" s="26">
        <v>43556.645833333299</v>
      </c>
      <c r="J10758" s="23" t="str">
        <f>HYPERLINK("https://www.spark-marketing.ru/Card/Person/218878", "ООО ПТЦ ""ГАММА""")</f>
        <v>ООО ПТЦ "ГАММА"</v>
      </c>
      <c r="K10758" s="24" t="s">
        <v>13111</v>
      </c>
      <c r="L10758" s="28" t="s">
        <v>52</v>
      </c>
      <c r="M10758" s="25">
        <v>185028.6</v>
      </c>
      <c r="N10758" s="27">
        <v>5.0000256717000313E-2</v>
      </c>
    </row>
    <row r="10759" spans="1:14" hidden="1" outlineLevel="1" x14ac:dyDescent="0.2">
      <c r="A10759" s="23" t="str">
        <f t="shared" si="500"/>
        <v>БУЗ УР "УВИНСКАЯ РБ МЗ УР"</v>
      </c>
      <c r="B10759" s="24" t="s">
        <v>13107</v>
      </c>
      <c r="C10759" s="25">
        <v>194767</v>
      </c>
      <c r="D10759" s="22" t="s">
        <v>13108</v>
      </c>
      <c r="E10759" s="22" t="s">
        <v>59</v>
      </c>
      <c r="F10759" s="23" t="str">
        <f t="shared" si="501"/>
        <v>№ зз-08717-19 поставка и установка системы видео наблюдения</v>
      </c>
      <c r="G10759" s="22" t="s">
        <v>96</v>
      </c>
      <c r="H10759" s="22" t="s">
        <v>13109</v>
      </c>
      <c r="I10759" s="26">
        <v>43556.645833333299</v>
      </c>
      <c r="J10759" s="23" t="str">
        <f>HYPERLINK("https://www.spark-marketing.ru/Card/Person/400784", "ООО ""ХАУБЕРК""")</f>
        <v>ООО "ХАУБЕРК"</v>
      </c>
      <c r="K10759" s="24" t="s">
        <v>13112</v>
      </c>
      <c r="L10759" s="28" t="s">
        <v>52</v>
      </c>
      <c r="M10759" s="25">
        <v>128000</v>
      </c>
      <c r="N10759" s="27">
        <v>0.34280447919822149</v>
      </c>
    </row>
    <row r="10760" spans="1:14" hidden="1" outlineLevel="1" x14ac:dyDescent="0.2">
      <c r="A10760" s="23" t="str">
        <f t="shared" si="500"/>
        <v>БУЗ УР "УВИНСКАЯ РБ МЗ УР"</v>
      </c>
      <c r="B10760" s="24" t="s">
        <v>13107</v>
      </c>
      <c r="C10760" s="25">
        <v>194767</v>
      </c>
      <c r="D10760" s="22" t="s">
        <v>13108</v>
      </c>
      <c r="E10760" s="22" t="s">
        <v>59</v>
      </c>
      <c r="F10760" s="23" t="str">
        <f t="shared" si="501"/>
        <v>№ зз-08717-19 поставка и установка системы видео наблюдения</v>
      </c>
      <c r="G10760" s="22" t="s">
        <v>96</v>
      </c>
      <c r="H10760" s="22" t="s">
        <v>13109</v>
      </c>
      <c r="I10760" s="26">
        <v>43556.645833333299</v>
      </c>
      <c r="J10760" s="23" t="str">
        <f>HYPERLINK("https://www.spark-marketing.ru/Card/Person/194863", "ООО ""ГИС СЕРВИС""")</f>
        <v>ООО "ГИС СЕРВИС"</v>
      </c>
      <c r="K10760" s="24" t="s">
        <v>13113</v>
      </c>
      <c r="L10760" s="28" t="s">
        <v>52</v>
      </c>
      <c r="M10760" s="25">
        <v>172368.73</v>
      </c>
      <c r="N10760" s="27">
        <v>0.1150003337321004</v>
      </c>
    </row>
    <row r="10761" spans="1:14" x14ac:dyDescent="0.15">
      <c r="A10761" s="23" t="str">
        <f>HYPERLINK("https://www.spark-marketing.ru/Card/Person/18978", "ТУ РОСИМУЩЕСТВА В НИЖЕГОРОДСКОЙ ОБЛАСТИ")</f>
        <v>ТУ РОСИМУЩЕСТВА В НИЖЕГОРОДСКОЙ ОБЛАСТИ</v>
      </c>
      <c r="B10761" s="24" t="s">
        <v>13114</v>
      </c>
      <c r="C10761" s="25">
        <v>79976.320000000007</v>
      </c>
      <c r="D10761" s="22" t="s">
        <v>13115</v>
      </c>
      <c r="E10761" s="22" t="s">
        <v>53</v>
      </c>
      <c r="F10761" s="23" t="str">
        <f>HYPERLINK("https://www.spark-marketing.ru/Card/Lot/70785720", "Оказание услуг по обеспечению пропускного режима в служебные помещения 7, 8 этажей Территориального управления Федерального агентства по управлению государственным имуществом в Нижегородской области по адресу: Нижний Новгород, ул. Площадь Максима Гор...")</f>
        <v>Оказание услуг по обеспечению пропускного режима в служебные помещения 7, 8 этажей Территориального управления Федерального агентства по управлению государственным имуществом в Нижегородской области по адресу: Нижний Новгород, ул. Площадь Максима Гор...</v>
      </c>
      <c r="G10761" s="22" t="s">
        <v>64</v>
      </c>
      <c r="H10761" s="22" t="s">
        <v>65</v>
      </c>
      <c r="I10761" s="26">
        <v>43556.662430555603</v>
      </c>
      <c r="J10761" s="28" t="s">
        <v>52</v>
      </c>
      <c r="K10761" s="28" t="s">
        <v>52</v>
      </c>
      <c r="L10761" s="28" t="s">
        <v>52</v>
      </c>
      <c r="M10761" s="28" t="s">
        <v>52</v>
      </c>
      <c r="N10761" s="28" t="s">
        <v>52</v>
      </c>
    </row>
    <row r="10762" spans="1:14" x14ac:dyDescent="0.15">
      <c r="A10762" s="23" t="str">
        <f>HYPERLINK("https://www.spark-marketing.ru/Card/Person/68247", "ФКУ СИЗО-2 УФСИН РОССИИ ПО ОРЕНБУРГСКОЙ ОБЛАСТИ")</f>
        <v>ФКУ СИЗО-2 УФСИН РОССИИ ПО ОРЕНБУРГСКОЙ ОБЛАСТИ</v>
      </c>
      <c r="B10762" s="24" t="s">
        <v>13116</v>
      </c>
      <c r="C10762" s="25">
        <v>24300</v>
      </c>
      <c r="D10762" s="22" t="s">
        <v>13117</v>
      </c>
      <c r="E10762" s="22" t="s">
        <v>208</v>
      </c>
      <c r="F10762" s="23" t="str">
        <f>HYPERLINK("https://www.spark-marketing.ru/Card/Lot/69192564", "Радиоканальные носимые тревожные кнопки")</f>
        <v>Радиоканальные носимые тревожные кнопки</v>
      </c>
      <c r="G10762" s="22" t="s">
        <v>384</v>
      </c>
      <c r="H10762" s="22" t="s">
        <v>10100</v>
      </c>
      <c r="I10762" s="26">
        <v>43556.627777777801</v>
      </c>
      <c r="J10762" s="23" t="str">
        <f>HYPERLINK("https://www.spark-marketing.ru/Card/Person/322499", "ООО ""ЦСБ""")</f>
        <v>ООО "ЦСБ"</v>
      </c>
      <c r="K10762" s="24" t="s">
        <v>13118</v>
      </c>
      <c r="L10762" s="22" t="s">
        <v>10</v>
      </c>
      <c r="M10762" s="28" t="s">
        <v>52</v>
      </c>
      <c r="N10762" s="28" t="s">
        <v>52</v>
      </c>
    </row>
    <row r="10763" spans="1:14" x14ac:dyDescent="0.15">
      <c r="A10763" s="23" t="str">
        <f>HYPERLINK("https://www.spark-marketing.ru/Card/Person/1018006", "БУ ГОРОДА ОМСКА ""СК ""КРАСНАЯ ЗВЕЗДА""")</f>
        <v>БУ ГОРОДА ОМСКА "СК "КРАСНАЯ ЗВЕЗДА"</v>
      </c>
      <c r="B10763" s="24" t="s">
        <v>13119</v>
      </c>
      <c r="C10763" s="25">
        <v>370000</v>
      </c>
      <c r="D10763" s="22" t="s">
        <v>13120</v>
      </c>
      <c r="E10763" s="22" t="s">
        <v>691</v>
      </c>
      <c r="F10763" s="23" t="str">
        <f>HYPERLINK("https://www.spark-marketing.ru/Card/Lot/69181912", "Оказание услуг по установке системы видеонаблюдения в манеже БУ города Омска ""СК ""Красная звезда""")</f>
        <v>Оказание услуг по установке системы видеонаблюдения в манеже БУ города Омска "СК "Красная звезда"</v>
      </c>
      <c r="G10763" s="22" t="s">
        <v>521</v>
      </c>
      <c r="H10763" s="22" t="s">
        <v>521</v>
      </c>
      <c r="I10763" s="26">
        <v>43556.627719907403</v>
      </c>
      <c r="J10763" s="28" t="s">
        <v>52</v>
      </c>
      <c r="K10763" s="28" t="s">
        <v>52</v>
      </c>
      <c r="L10763" s="28" t="s">
        <v>52</v>
      </c>
      <c r="M10763" s="28" t="s">
        <v>52</v>
      </c>
      <c r="N10763" s="28" t="s">
        <v>52</v>
      </c>
    </row>
    <row r="10764" spans="1:14" x14ac:dyDescent="0.2">
      <c r="A10764" s="23" t="str">
        <f>HYPERLINK("https://www.spark-marketing.ru/Card/Person/59315", "ФБУЗ ""ЦЕНТР ГИГИЕНЫ И ЭПИДЕМИОЛОГИИ В ЯМАЛО-НЕНЕЦКОМ АВТОНОМНОМ ОКРУГЕ""")</f>
        <v>ФБУЗ "ЦЕНТР ГИГИЕНЫ И ЭПИДЕМИОЛОГИИ В ЯМАЛО-НЕНЕЦКОМ АВТОНОМНОМ ОКРУГЕ"</v>
      </c>
      <c r="B10764" s="24" t="s">
        <v>385</v>
      </c>
      <c r="C10764" s="25">
        <v>81770</v>
      </c>
      <c r="D10764" s="22" t="s">
        <v>13121</v>
      </c>
      <c r="E10764" s="22" t="s">
        <v>144</v>
      </c>
      <c r="F10764" s="23" t="str">
        <f>HYPERLINK("https://www.spark-marketing.ru/Card/Lot/69184507", "оказание услуг по централизованной охране объекта для нужд филиала Федерального бюджетного учреждения здравоохранения ""Центр гигиены и эпидемиологии в Ямало-Ненецком автономном округе в городах Ноябрьск, Муравленко""")</f>
        <v>оказание услуг по централизованной охране объекта для нужд филиала Федерального бюджетного учреждения здравоохранения "Центр гигиены и эпидемиологии в Ямало-Ненецком автономном округе в городах Ноябрьск, Муравленко"</v>
      </c>
      <c r="G10764" s="22" t="s">
        <v>311</v>
      </c>
      <c r="H10764" s="22" t="s">
        <v>311</v>
      </c>
      <c r="I10764" s="26">
        <v>43556.597557870402</v>
      </c>
      <c r="J10764" s="23" t="str">
        <f>HYPERLINK("https://www.spark-marketing.ru/Card/Person/43532", "ООО ЧОО ""ЦЕНТУРИОН М""")</f>
        <v>ООО ЧОО "ЦЕНТУРИОН М"</v>
      </c>
      <c r="K10764" s="24" t="s">
        <v>13122</v>
      </c>
      <c r="L10764" s="28" t="s">
        <v>52</v>
      </c>
      <c r="M10764" s="25">
        <v>81770</v>
      </c>
      <c r="N10764" s="27">
        <v>0</v>
      </c>
    </row>
    <row r="10765" spans="1:14" x14ac:dyDescent="0.15">
      <c r="A10765" s="23" t="str">
        <f>HYPERLINK("https://www.spark-marketing.ru/Card/Person/139198", "ОГКУЗ МЕДИЦИНСКИЙ ЦЕНТР ""РЕЗЕРВ""")</f>
        <v>ОГКУЗ МЕДИЦИНСКИЙ ЦЕНТР "РЕЗЕРВ"</v>
      </c>
      <c r="B10765" s="24" t="s">
        <v>6824</v>
      </c>
      <c r="C10765" s="25">
        <v>3692314.08</v>
      </c>
      <c r="D10765" s="22" t="s">
        <v>13123</v>
      </c>
      <c r="E10765" s="22" t="s">
        <v>68</v>
      </c>
      <c r="F10765" s="23" t="str">
        <f>HYPERLINK("https://www.spark-marketing.ru/Card/Lot/69177197", "Услуги охранников")</f>
        <v>Услуги охранников</v>
      </c>
      <c r="G10765" s="22" t="s">
        <v>281</v>
      </c>
      <c r="H10765" s="22" t="s">
        <v>281</v>
      </c>
      <c r="I10765" s="26">
        <v>43556.590277777803</v>
      </c>
      <c r="J10765" s="28" t="s">
        <v>52</v>
      </c>
      <c r="K10765" s="28" t="s">
        <v>52</v>
      </c>
      <c r="L10765" s="28" t="s">
        <v>52</v>
      </c>
      <c r="M10765" s="28" t="s">
        <v>52</v>
      </c>
      <c r="N10765" s="28" t="s">
        <v>52</v>
      </c>
    </row>
    <row r="10766" spans="1:14" x14ac:dyDescent="0.15">
      <c r="A10766" s="23" t="str">
        <f>HYPERLINK("https://www.spark-marketing.ru/Card/Person/4348528", "АО ИК ""АСЭ""")</f>
        <v>АО ИК "АСЭ"</v>
      </c>
      <c r="B10766" s="24" t="s">
        <v>62</v>
      </c>
      <c r="C10766" s="28" t="s">
        <v>52</v>
      </c>
      <c r="D10766" s="22" t="s">
        <v>13124</v>
      </c>
      <c r="E10766" s="22" t="s">
        <v>53</v>
      </c>
      <c r="F10766" s="23" t="str">
        <f>HYPERLINK("https://www.spark-marketing.ru/Card/Lot/69196465", "оказание услуг по охране объектов АО ИК «АСЭ» (1221589)")</f>
        <v>оказание услуг по охране объектов АО ИК «АСЭ» (1221589)</v>
      </c>
      <c r="G10766" s="22" t="s">
        <v>64</v>
      </c>
      <c r="H10766" s="22" t="s">
        <v>65</v>
      </c>
      <c r="I10766" s="26">
        <v>43556.621550925898</v>
      </c>
      <c r="J10766" s="28" t="s">
        <v>52</v>
      </c>
      <c r="K10766" s="28" t="s">
        <v>52</v>
      </c>
      <c r="L10766" s="28" t="s">
        <v>52</v>
      </c>
      <c r="M10766" s="28" t="s">
        <v>52</v>
      </c>
      <c r="N10766" s="28" t="s">
        <v>52</v>
      </c>
    </row>
    <row r="10767" spans="1:14" x14ac:dyDescent="0.15">
      <c r="A10767" s="23" t="str">
        <f>HYPERLINK("https://www.spark-marketing.ru/Card/Person/4348528", "АО ИК ""АСЭ""")</f>
        <v>АО ИК "АСЭ"</v>
      </c>
      <c r="B10767" s="24" t="s">
        <v>62</v>
      </c>
      <c r="C10767" s="25">
        <v>0</v>
      </c>
      <c r="D10767" s="22" t="s">
        <v>13125</v>
      </c>
      <c r="E10767" s="22" t="s">
        <v>53</v>
      </c>
      <c r="F10767" s="23" t="str">
        <f>HYPERLINK("https://www.spark-marketing.ru/Card/Lot/69194844", "мониторинг цен в электронной форме на оказание услуг по охране объектов АО ИК «АСЭ»")</f>
        <v>мониторинг цен в электронной форме на оказание услуг по охране объектов АО ИК «АСЭ»</v>
      </c>
      <c r="G10767" s="22" t="s">
        <v>64</v>
      </c>
      <c r="H10767" s="22" t="s">
        <v>65</v>
      </c>
      <c r="I10767" s="26">
        <v>43556.599837962996</v>
      </c>
      <c r="J10767" s="28" t="s">
        <v>52</v>
      </c>
      <c r="K10767" s="28" t="s">
        <v>52</v>
      </c>
      <c r="L10767" s="28" t="s">
        <v>52</v>
      </c>
      <c r="M10767" s="28" t="s">
        <v>52</v>
      </c>
      <c r="N10767" s="28" t="s">
        <v>52</v>
      </c>
    </row>
    <row r="10768" spans="1:14" x14ac:dyDescent="0.15">
      <c r="A10768" s="23" t="str">
        <f>HYPERLINK("https://www.spark-marketing.ru/Card/Person/4348528", "АО ИК ""АСЭ""")</f>
        <v>АО ИК "АСЭ"</v>
      </c>
      <c r="B10768" s="24" t="s">
        <v>62</v>
      </c>
      <c r="C10768" s="28" t="s">
        <v>52</v>
      </c>
      <c r="D10768" s="22" t="s">
        <v>13126</v>
      </c>
      <c r="E10768" s="22" t="s">
        <v>53</v>
      </c>
      <c r="F10768" s="23" t="str">
        <f>HYPERLINK("https://www.spark-marketing.ru/Card/Lot/69196335", "оказание услуг по охране объектов АО ИК «АСЭ» (1221516)")</f>
        <v>оказание услуг по охране объектов АО ИК «АСЭ» (1221516)</v>
      </c>
      <c r="G10768" s="22" t="s">
        <v>64</v>
      </c>
      <c r="H10768" s="22" t="s">
        <v>65</v>
      </c>
      <c r="I10768" s="26">
        <v>43556.621550925898</v>
      </c>
      <c r="J10768" s="28" t="s">
        <v>52</v>
      </c>
      <c r="K10768" s="28" t="s">
        <v>52</v>
      </c>
      <c r="L10768" s="28" t="s">
        <v>52</v>
      </c>
      <c r="M10768" s="28" t="s">
        <v>52</v>
      </c>
      <c r="N10768" s="28" t="s">
        <v>52</v>
      </c>
    </row>
    <row r="10769" spans="1:14" x14ac:dyDescent="0.15">
      <c r="A10769" s="23" t="str">
        <f>HYPERLINK("https://www.spark-marketing.ru/Card/Person/4348484", "ОАО ""МРСК УРАЛА""")</f>
        <v>ОАО "МРСК УРАЛА"</v>
      </c>
      <c r="B10769" s="24" t="s">
        <v>3612</v>
      </c>
      <c r="C10769" s="25">
        <v>3033417.7</v>
      </c>
      <c r="D10769" s="22" t="s">
        <v>13127</v>
      </c>
      <c r="E10769" s="22" t="s">
        <v>10761</v>
      </c>
      <c r="F10769" s="23" t="str">
        <f>HYPERLINK("https://www.spark-marketing.ru/Card/Lot/69181765", "СМР. Модернизация ТП, РП ПО ЧГЭС (установка тревожно-вызывной сигнализации, 86 шт.)")</f>
        <v>СМР. Модернизация ТП, РП ПО ЧГЭС (установка тревожно-вызывной сигнализации, 86 шт.)</v>
      </c>
      <c r="G10769" s="22" t="s">
        <v>72</v>
      </c>
      <c r="H10769" s="22" t="s">
        <v>949</v>
      </c>
      <c r="I10769" s="26">
        <v>43556.574826388904</v>
      </c>
      <c r="J10769" s="28" t="s">
        <v>52</v>
      </c>
      <c r="K10769" s="28" t="s">
        <v>52</v>
      </c>
      <c r="L10769" s="28" t="s">
        <v>52</v>
      </c>
      <c r="M10769" s="28" t="s">
        <v>52</v>
      </c>
      <c r="N10769" s="28" t="s">
        <v>52</v>
      </c>
    </row>
    <row r="10770" spans="1:14" x14ac:dyDescent="0.15">
      <c r="A10770" s="23" t="str">
        <f>HYPERLINK("https://www.spark-marketing.ru/Card/Person/4348528", "АО ИК ""АСЭ""")</f>
        <v>АО ИК "АСЭ"</v>
      </c>
      <c r="B10770" s="24" t="s">
        <v>62</v>
      </c>
      <c r="C10770" s="25">
        <v>0</v>
      </c>
      <c r="D10770" s="22" t="s">
        <v>13128</v>
      </c>
      <c r="E10770" s="22" t="s">
        <v>53</v>
      </c>
      <c r="F10770" s="23" t="str">
        <f>HYPERLINK("https://www.spark-marketing.ru/Card/Lot/69194834", "мониторинг цен в электронной форме на оказание услуг по охране объектов АО ИК «АСЭ»")</f>
        <v>мониторинг цен в электронной форме на оказание услуг по охране объектов АО ИК «АСЭ»</v>
      </c>
      <c r="G10770" s="22" t="s">
        <v>64</v>
      </c>
      <c r="H10770" s="22" t="s">
        <v>65</v>
      </c>
      <c r="I10770" s="26">
        <v>43556.582685185203</v>
      </c>
      <c r="J10770" s="28" t="s">
        <v>52</v>
      </c>
      <c r="K10770" s="28" t="s">
        <v>52</v>
      </c>
      <c r="L10770" s="28" t="s">
        <v>52</v>
      </c>
      <c r="M10770" s="28" t="s">
        <v>52</v>
      </c>
      <c r="N10770" s="28" t="s">
        <v>52</v>
      </c>
    </row>
    <row r="10771" spans="1:14" x14ac:dyDescent="0.15">
      <c r="A10771" s="23" t="str">
        <f>HYPERLINK("https://www.spark-marketing.ru/Card/Person/4365627", "ООО ""РН-БУРЕНИЕ""")</f>
        <v>ООО "РН-БУРЕНИЕ"</v>
      </c>
      <c r="B10771" s="24" t="s">
        <v>4221</v>
      </c>
      <c r="C10771" s="28" t="s">
        <v>52</v>
      </c>
      <c r="D10771" s="22" t="s">
        <v>13129</v>
      </c>
      <c r="E10771" s="22" t="s">
        <v>49</v>
      </c>
      <c r="F10771" s="23" t="str">
        <f>HYPERLINK("https://www.spark-marketing.ru/Card/Lot/69180796", "Оказание услуг по сервисному обслуживанию систем видеонаблюдения буровых установок Губкинского филиала ООО «РН-Бурение»")</f>
        <v>Оказание услуг по сервисному обслуживанию систем видеонаблюдения буровых установок Губкинского филиала ООО «РН-Бурение»</v>
      </c>
      <c r="G10771" s="22" t="s">
        <v>55</v>
      </c>
      <c r="H10771" s="22" t="s">
        <v>55</v>
      </c>
      <c r="I10771" s="26">
        <v>43556.507638888899</v>
      </c>
      <c r="J10771" s="28" t="s">
        <v>52</v>
      </c>
      <c r="K10771" s="28" t="s">
        <v>52</v>
      </c>
      <c r="L10771" s="28" t="s">
        <v>52</v>
      </c>
      <c r="M10771" s="28" t="s">
        <v>52</v>
      </c>
      <c r="N10771" s="28" t="s">
        <v>52</v>
      </c>
    </row>
    <row r="10772" spans="1:14" x14ac:dyDescent="0.15">
      <c r="A10772" s="23" t="str">
        <f>HYPERLINK("https://www.spark-marketing.ru/Card/Person/21692", "ПАО ""МЕГАФОН""")</f>
        <v>ПАО "МЕГАФОН"</v>
      </c>
      <c r="B10772" s="24" t="s">
        <v>2783</v>
      </c>
      <c r="C10772" s="25">
        <v>0</v>
      </c>
      <c r="D10772" s="22" t="s">
        <v>13130</v>
      </c>
      <c r="E10772" s="22" t="s">
        <v>208</v>
      </c>
      <c r="F10772" s="23" t="str">
        <f>HYPERLINK("https://www.spark-marketing.ru/Card/Lot/69189665", "Обслуживание комплексов фотофиксации нарушений правил дорожного движения, предоставление комплексной услуги по предоставлению фото-видеоинформации с комплексов фотофиксации нарушений правил дорожного движения в целях обеспечения безопасности дорожног...")</f>
        <v>Обслуживание комплексов фотофиксации нарушений правил дорожного движения, предоставление комплексной услуги по предоставлению фото-видеоинформации с комплексов фотофиксации нарушений правил дорожного движения в целях обеспечения безопасности дорожног...</v>
      </c>
      <c r="G10772" s="22" t="s">
        <v>55</v>
      </c>
      <c r="H10772" s="22" t="s">
        <v>55</v>
      </c>
      <c r="I10772" s="26">
        <v>43556.5382060185</v>
      </c>
      <c r="J10772" s="28" t="s">
        <v>52</v>
      </c>
      <c r="K10772" s="28" t="s">
        <v>52</v>
      </c>
      <c r="L10772" s="28" t="s">
        <v>52</v>
      </c>
      <c r="M10772" s="28" t="s">
        <v>52</v>
      </c>
      <c r="N10772" s="28" t="s">
        <v>52</v>
      </c>
    </row>
    <row r="10773" spans="1:14" x14ac:dyDescent="0.15">
      <c r="A10773" s="23" t="str">
        <f>HYPERLINK("https://www.spark-marketing.ru/Card/Person/139198", "ОГКУЗ МЕДИЦИНСКИЙ ЦЕНТР ""РЕЗЕРВ""")</f>
        <v>ОГКУЗ МЕДИЦИНСКИЙ ЦЕНТР "РЕЗЕРВ"</v>
      </c>
      <c r="B10773" s="24" t="s">
        <v>6824</v>
      </c>
      <c r="C10773" s="25">
        <v>10993.8</v>
      </c>
      <c r="D10773" s="22" t="s">
        <v>13131</v>
      </c>
      <c r="E10773" s="22" t="s">
        <v>68</v>
      </c>
      <c r="F10773" s="23" t="str">
        <f>HYPERLINK("https://www.spark-marketing.ru/Card/Lot/69174020", "Услуги по охране объектов с помощью кнопки тревожной кнопки")</f>
        <v>Услуги по охране объектов с помощью кнопки тревожной кнопки</v>
      </c>
      <c r="G10773" s="22" t="s">
        <v>281</v>
      </c>
      <c r="H10773" s="22" t="s">
        <v>2890</v>
      </c>
      <c r="I10773" s="26">
        <v>43556.513888888898</v>
      </c>
      <c r="J10773" s="28" t="s">
        <v>52</v>
      </c>
      <c r="K10773" s="28" t="s">
        <v>52</v>
      </c>
      <c r="L10773" s="28" t="s">
        <v>52</v>
      </c>
      <c r="M10773" s="28" t="s">
        <v>52</v>
      </c>
      <c r="N10773" s="28" t="s">
        <v>52</v>
      </c>
    </row>
    <row r="10774" spans="1:14" x14ac:dyDescent="0.2">
      <c r="A10774" s="23" t="str">
        <f>HYPERLINK("https://www.spark-marketing.ru/Card/Person/4345482", "ПРАВИТЕЛЬСТВО РОСТОВСКОЙ ОБЛАСТИ")</f>
        <v>ПРАВИТЕЛЬСТВО РОСТОВСКОЙ ОБЛАСТИ</v>
      </c>
      <c r="B10774" s="24" t="s">
        <v>13132</v>
      </c>
      <c r="C10774" s="25">
        <v>165000</v>
      </c>
      <c r="D10774" s="22" t="s">
        <v>13133</v>
      </c>
      <c r="E10774" s="22" t="s">
        <v>13134</v>
      </c>
      <c r="F10774" s="23" t="str">
        <f>HYPERLINK("https://www.spark-marketing.ru/Card/Lot/69190193", "Оказание услуг по производству аудиовизуальной продукции о деятельности органов государственной власти Ростовской области в рамках подпрограммы «Комплексные меры противодействия злоупотреблению наркотиками и их незаконному обороту» государственной пр...")</f>
        <v>Оказание услуг по производству аудиовизуальной продукции о деятельности органов государственной власти Ростовской области в рамках подпрограммы «Комплексные меры противодействия злоупотреблению наркотиками и их незаконному обороту» государственной пр...</v>
      </c>
      <c r="G10774" s="22" t="s">
        <v>402</v>
      </c>
      <c r="H10774" s="22" t="s">
        <v>402</v>
      </c>
      <c r="I10774" s="26">
        <v>43556.535416666702</v>
      </c>
      <c r="J10774" s="23" t="str">
        <f>HYPERLINK("https://www.spark-marketing.ru/Card/Person/574562", "ООО ""ГРАНД""")</f>
        <v>ООО "ГРАНД"</v>
      </c>
      <c r="K10774" s="24" t="s">
        <v>13135</v>
      </c>
      <c r="L10774" s="28" t="s">
        <v>52</v>
      </c>
      <c r="M10774" s="25">
        <v>165000</v>
      </c>
      <c r="N10774" s="27">
        <v>0</v>
      </c>
    </row>
    <row r="10775" spans="1:14" x14ac:dyDescent="0.15">
      <c r="A10775" s="23" t="str">
        <f>HYPERLINK("https://www.spark-marketing.ru/Card/Person/136347", "МЕЖРАЙОННАЯ ИФНС РОССИИ № 1 ПО СМОЛЕНСКОЙ ОБЛАСТИ")</f>
        <v>МЕЖРАЙОННАЯ ИФНС РОССИИ № 1 ПО СМОЛЕНСКОЙ ОБЛАСТИ</v>
      </c>
      <c r="B10775" s="24" t="s">
        <v>8125</v>
      </c>
      <c r="C10775" s="25">
        <v>17752.86</v>
      </c>
      <c r="D10775" s="22" t="s">
        <v>13136</v>
      </c>
      <c r="E10775" s="22" t="s">
        <v>53</v>
      </c>
      <c r="F10775" s="23" t="str">
        <f>HYPERLINK("https://www.spark-marketing.ru/Card/Lot/70808521", "Охрана имущества при помощи пульта централизованного наблюдения")</f>
        <v>Охрана имущества при помощи пульта централизованного наблюдения</v>
      </c>
      <c r="G10775" s="22" t="s">
        <v>956</v>
      </c>
      <c r="H10775" s="22" t="s">
        <v>7959</v>
      </c>
      <c r="I10775" s="26">
        <v>43556.540972222203</v>
      </c>
      <c r="J10775" s="28" t="s">
        <v>52</v>
      </c>
      <c r="K10775" s="28" t="s">
        <v>52</v>
      </c>
      <c r="L10775" s="28" t="s">
        <v>52</v>
      </c>
      <c r="M10775" s="28" t="s">
        <v>52</v>
      </c>
      <c r="N10775" s="28" t="s">
        <v>52</v>
      </c>
    </row>
    <row r="10776" spans="1:14" x14ac:dyDescent="0.15">
      <c r="A10776" s="23" t="str">
        <f>HYPERLINK("https://www.spark-marketing.ru/Card/Person/139198", "ОГКУЗ МЕДИЦИНСКИЙ ЦЕНТР ""РЕЗЕРВ""")</f>
        <v>ОГКУЗ МЕДИЦИНСКИЙ ЦЕНТР "РЕЗЕРВ"</v>
      </c>
      <c r="B10776" s="24" t="s">
        <v>6824</v>
      </c>
      <c r="C10776" s="25">
        <v>25239.599999999999</v>
      </c>
      <c r="D10776" s="22" t="s">
        <v>13137</v>
      </c>
      <c r="E10776" s="22" t="s">
        <v>68</v>
      </c>
      <c r="F10776" s="23" t="str">
        <f>HYPERLINK("https://www.spark-marketing.ru/Card/Lot/69174049", "Услуги по охране объектов с помощью тревожной кнопки")</f>
        <v>Услуги по охране объектов с помощью тревожной кнопки</v>
      </c>
      <c r="G10776" s="22" t="s">
        <v>281</v>
      </c>
      <c r="H10776" s="22" t="s">
        <v>6846</v>
      </c>
      <c r="I10776" s="26">
        <v>43556.513888888898</v>
      </c>
      <c r="J10776" s="28" t="s">
        <v>52</v>
      </c>
      <c r="K10776" s="28" t="s">
        <v>52</v>
      </c>
      <c r="L10776" s="28" t="s">
        <v>52</v>
      </c>
      <c r="M10776" s="28" t="s">
        <v>52</v>
      </c>
      <c r="N10776" s="28" t="s">
        <v>52</v>
      </c>
    </row>
    <row r="10777" spans="1:14" x14ac:dyDescent="0.15">
      <c r="A10777" s="23" t="str">
        <f>HYPERLINK("https://www.spark-marketing.ru/Card/Person/258719", "ГБПОУ НЕФТЕКАМСКИЙ МАШИНОСТРОИТЕЛЬНЫЙ КОЛЛЕДЖ; ГБПОУ НМК")</f>
        <v>ГБПОУ НЕФТЕКАМСКИЙ МАШИНОСТРОИТЕЛЬНЫЙ КОЛЛЕДЖ; ГБПОУ НМК</v>
      </c>
      <c r="B10777" s="24" t="s">
        <v>13138</v>
      </c>
      <c r="C10777" s="25">
        <v>45066.64</v>
      </c>
      <c r="D10777" s="22" t="s">
        <v>13139</v>
      </c>
      <c r="E10777" s="22" t="s">
        <v>68</v>
      </c>
      <c r="F10777" s="23" t="str">
        <f>HYPERLINK("https://www.spark-marketing.ru/Card/Lot/69183216", "Услуги по круглосуточной охране объекта посредством кнопки тревожной сигнализации (тревожная кнопка) с выездом группы быстрого реагирования (ГБР) Исполнителя")</f>
        <v>Услуги по круглосуточной охране объекта посредством кнопки тревожной сигнализации (тревожная кнопка) с выездом группы быстрого реагирования (ГБР) Исполнителя</v>
      </c>
      <c r="G10777" s="22" t="s">
        <v>100</v>
      </c>
      <c r="H10777" s="22" t="s">
        <v>13140</v>
      </c>
      <c r="I10777" s="26">
        <v>43556.499305555597</v>
      </c>
      <c r="J10777" s="28" t="s">
        <v>52</v>
      </c>
      <c r="K10777" s="28" t="s">
        <v>52</v>
      </c>
      <c r="L10777" s="28" t="s">
        <v>52</v>
      </c>
      <c r="M10777" s="28" t="s">
        <v>52</v>
      </c>
      <c r="N10777" s="28" t="s">
        <v>52</v>
      </c>
    </row>
    <row r="10778" spans="1:14" hidden="1" outlineLevel="1" x14ac:dyDescent="0.2">
      <c r="A10778" s="23" t="str">
        <f>HYPERLINK("https://www.spark-marketing.ru/Card/Person/258719", "ГБПОУ НЕФТЕКАМСКИЙ МАШИНОСТРОИТЕЛЬНЫЙ КОЛЛЕДЖ; ГБПОУ НМК")</f>
        <v>ГБПОУ НЕФТЕКАМСКИЙ МАШИНОСТРОИТЕЛЬНЫЙ КОЛЛЕДЖ; ГБПОУ НМК</v>
      </c>
      <c r="B10778" s="24" t="s">
        <v>13138</v>
      </c>
      <c r="C10778" s="25">
        <v>45066.64</v>
      </c>
      <c r="D10778" s="22" t="s">
        <v>13139</v>
      </c>
      <c r="E10778" s="22" t="s">
        <v>68</v>
      </c>
      <c r="F10778" s="23" t="str">
        <f>HYPERLINK("https://www.spark-marketing.ru/Card/Lot/69183216", "Услуги по круглосуточной охране объекта посредством кнопки тревожной сигнализации (тревожная кнопка) с выездом группы быстрого реагирования (ГБР) Исполнителя")</f>
        <v>Услуги по круглосуточной охране объекта посредством кнопки тревожной сигнализации (тревожная кнопка) с выездом группы быстрого реагирования (ГБР) Исполнителя</v>
      </c>
      <c r="G10778" s="22" t="s">
        <v>100</v>
      </c>
      <c r="H10778" s="22" t="s">
        <v>13140</v>
      </c>
      <c r="I10778" s="26">
        <v>43556.499305555597</v>
      </c>
      <c r="J10778" s="23" t="str">
        <f>HYPERLINK("https://www.spark-marketing.ru/Card/Person/974717", "ООО ЧОО ""НЕЗАВИСИМОСТЬ""")</f>
        <v>ООО ЧОО "НЕЗАВИСИМОСТЬ"</v>
      </c>
      <c r="K10778" s="24" t="s">
        <v>12153</v>
      </c>
      <c r="L10778" s="28" t="s">
        <v>52</v>
      </c>
      <c r="M10778" s="25">
        <v>28000</v>
      </c>
      <c r="N10778" s="27">
        <v>0.37869785721766697</v>
      </c>
    </row>
    <row r="10779" spans="1:14" hidden="1" outlineLevel="1" x14ac:dyDescent="0.2">
      <c r="A10779" s="23" t="str">
        <f>HYPERLINK("https://www.spark-marketing.ru/Card/Person/258719", "ГБПОУ НЕФТЕКАМСКИЙ МАШИНОСТРОИТЕЛЬНЫЙ КОЛЛЕДЖ; ГБПОУ НМК")</f>
        <v>ГБПОУ НЕФТЕКАМСКИЙ МАШИНОСТРОИТЕЛЬНЫЙ КОЛЛЕДЖ; ГБПОУ НМК</v>
      </c>
      <c r="B10779" s="24" t="s">
        <v>13138</v>
      </c>
      <c r="C10779" s="25">
        <v>45066.64</v>
      </c>
      <c r="D10779" s="22" t="s">
        <v>13139</v>
      </c>
      <c r="E10779" s="22" t="s">
        <v>68</v>
      </c>
      <c r="F10779" s="23" t="str">
        <f>HYPERLINK("https://www.spark-marketing.ru/Card/Lot/69183216", "Услуги по круглосуточной охране объекта посредством кнопки тревожной сигнализации (тревожная кнопка) с выездом группы быстрого реагирования (ГБР) Исполнителя")</f>
        <v>Услуги по круглосуточной охране объекта посредством кнопки тревожной сигнализации (тревожная кнопка) с выездом группы быстрого реагирования (ГБР) Исполнителя</v>
      </c>
      <c r="G10779" s="22" t="s">
        <v>100</v>
      </c>
      <c r="H10779" s="22" t="s">
        <v>13140</v>
      </c>
      <c r="I10779" s="26">
        <v>43556.499305555597</v>
      </c>
      <c r="J10779" s="23" t="str">
        <f>HYPERLINK("https://www.spark-marketing.ru/Card/Person/291120", "ООО ЧОО ""КАЗАЧЬЯ ОХРАНА ЯГУАР""")</f>
        <v>ООО ЧОО "КАЗАЧЬЯ ОХРАНА ЯГУАР"</v>
      </c>
      <c r="K10779" s="24" t="s">
        <v>9636</v>
      </c>
      <c r="L10779" s="28" t="s">
        <v>52</v>
      </c>
      <c r="M10779" s="25">
        <v>35000</v>
      </c>
      <c r="N10779" s="27">
        <v>0.22337232152208375</v>
      </c>
    </row>
    <row r="10780" spans="1:14" ht="12.75" hidden="1" outlineLevel="1" x14ac:dyDescent="0.2">
      <c r="A10780" s="23" t="str">
        <f>HYPERLINK("https://www.spark-marketing.ru/Card/Person/258719", "ГБПОУ НЕФТЕКАМСКИЙ МАШИНОСТРОИТЕЛЬНЫЙ КОЛЛЕДЖ; ГБПОУ НМК")</f>
        <v>ГБПОУ НЕФТЕКАМСКИЙ МАШИНОСТРОИТЕЛЬНЫЙ КОЛЛЕДЖ; ГБПОУ НМК</v>
      </c>
      <c r="B10780" s="24" t="s">
        <v>13138</v>
      </c>
      <c r="C10780" s="25">
        <v>45066.64</v>
      </c>
      <c r="D10780" s="22" t="s">
        <v>13139</v>
      </c>
      <c r="E10780" s="22" t="s">
        <v>68</v>
      </c>
      <c r="F10780" s="23" t="str">
        <f>HYPERLINK("https://www.spark-marketing.ru/Card/Lot/69183216", "Услуги по круглосуточной охране объекта посредством кнопки тревожной сигнализации (тревожная кнопка) с выездом группы быстрого реагирования (ГБР) Исполнителя")</f>
        <v>Услуги по круглосуточной охране объекта посредством кнопки тревожной сигнализации (тревожная кнопка) с выездом группы быстрого реагирования (ГБР) Исполнителя</v>
      </c>
      <c r="G10780" s="22" t="s">
        <v>100</v>
      </c>
      <c r="H10780" s="22" t="s">
        <v>13140</v>
      </c>
      <c r="I10780" s="26">
        <v>43556.499305555597</v>
      </c>
      <c r="J10780" s="23" t="str">
        <f>HYPERLINK("https://www.spark-marketing.ru/Card/Person/742070", "ООО ЧОП ""ШЕРИФ-АВТО""")</f>
        <v>ООО ЧОП "ШЕРИФ-АВТО"</v>
      </c>
      <c r="K10780" s="24" t="s">
        <v>13141</v>
      </c>
      <c r="L10780" s="22" t="s">
        <v>10</v>
      </c>
      <c r="M10780" s="25">
        <v>24000</v>
      </c>
      <c r="N10780" s="27">
        <v>0.46745530618657172</v>
      </c>
    </row>
    <row r="10781" spans="1:14" x14ac:dyDescent="0.15">
      <c r="A10781" s="23" t="str">
        <f>HYPERLINK("https://www.spark-marketing.ru/Card/Person/4224", "ГКУ НСО ""НОВОСИБОБЛФАРМ""")</f>
        <v>ГКУ НСО "НОВОСИБОБЛФАРМ"</v>
      </c>
      <c r="B10781" s="24" t="s">
        <v>10815</v>
      </c>
      <c r="C10781" s="25">
        <v>162666.64000000001</v>
      </c>
      <c r="D10781" s="22" t="s">
        <v>13142</v>
      </c>
      <c r="E10781" s="22" t="s">
        <v>68</v>
      </c>
      <c r="F10781" s="23" t="str">
        <f>HYPERLINK("https://www.spark-marketing.ru/Card/Lot/69172607", "Оказание охранных услуг с использованием средств сигнализации Заказчика")</f>
        <v>Оказание охранных услуг с использованием средств сигнализации Заказчика</v>
      </c>
      <c r="G10781" s="22" t="s">
        <v>209</v>
      </c>
      <c r="H10781" s="22" t="s">
        <v>210</v>
      </c>
      <c r="I10781" s="26">
        <v>43556.443749999999</v>
      </c>
      <c r="J10781" s="28" t="s">
        <v>52</v>
      </c>
      <c r="K10781" s="28" t="s">
        <v>52</v>
      </c>
      <c r="L10781" s="28" t="s">
        <v>52</v>
      </c>
      <c r="M10781" s="28" t="s">
        <v>52</v>
      </c>
      <c r="N10781" s="28" t="s">
        <v>52</v>
      </c>
    </row>
    <row r="10782" spans="1:14" x14ac:dyDescent="0.15">
      <c r="A10782" s="23" t="str">
        <f>HYPERLINK("https://www.spark-marketing.ru/Card/Person/4354076", "МАРИСТАТ")</f>
        <v>МАРИСТАТ</v>
      </c>
      <c r="B10782" s="24" t="s">
        <v>13143</v>
      </c>
      <c r="C10782" s="25">
        <v>63270</v>
      </c>
      <c r="D10782" s="22" t="s">
        <v>13144</v>
      </c>
      <c r="E10782" s="22" t="s">
        <v>107</v>
      </c>
      <c r="F10782" s="23" t="str">
        <f>HYPERLINK("https://www.spark-marketing.ru/Card/Lot/70787927", "Техническое обслуживание средств ОС, ОПС, ТС, видеонаблюдения и СКУД, 1 шт")</f>
        <v>Техническое обслуживание средств ОС, ОПС, ТС, видеонаблюдения и СКУД, 1 шт</v>
      </c>
      <c r="G10782" s="22" t="s">
        <v>2514</v>
      </c>
      <c r="H10782" s="22" t="s">
        <v>4189</v>
      </c>
      <c r="I10782" s="26">
        <v>43556.439224537004</v>
      </c>
      <c r="J10782" s="28" t="s">
        <v>52</v>
      </c>
      <c r="K10782" s="28" t="s">
        <v>52</v>
      </c>
      <c r="L10782" s="28" t="s">
        <v>52</v>
      </c>
      <c r="M10782" s="28" t="s">
        <v>52</v>
      </c>
      <c r="N10782" s="28" t="s">
        <v>52</v>
      </c>
    </row>
    <row r="10783" spans="1:14" x14ac:dyDescent="0.15">
      <c r="A10783" s="23" t="str">
        <f t="shared" ref="A10783:A10789" si="502">HYPERLINK("https://www.spark-marketing.ru/Card/Person/122058", "СП ГБ ПОУ ""КОЛЛЕДЖ ЭЛЕКТРОНИКИ И ПРИБОРОСТРОЕНИЯ""")</f>
        <v>СП ГБ ПОУ "КОЛЛЕДЖ ЭЛЕКТРОНИКИ И ПРИБОРОСТРОЕНИЯ"</v>
      </c>
      <c r="B10783" s="24" t="s">
        <v>13145</v>
      </c>
      <c r="C10783" s="25">
        <v>3230651.27</v>
      </c>
      <c r="D10783" s="22" t="s">
        <v>13146</v>
      </c>
      <c r="E10783" s="22" t="s">
        <v>59</v>
      </c>
      <c r="F10783" s="23" t="str">
        <f t="shared" ref="F10783:F10789" si="503">HYPERLINK("https://www.spark-marketing.ru/Card/Lot/69185515", "Выполнение работ по монтажу (расширению) единых функционирующих систем оборудования видеонаблюдения на территории заказчика")</f>
        <v>Выполнение работ по монтажу (расширению) единых функционирующих систем оборудования видеонаблюдения на территории заказчика</v>
      </c>
      <c r="G10783" s="22" t="s">
        <v>89</v>
      </c>
      <c r="H10783" s="22" t="s">
        <v>89</v>
      </c>
      <c r="I10783" s="26">
        <v>43556.453472222202</v>
      </c>
      <c r="J10783" s="28" t="s">
        <v>52</v>
      </c>
      <c r="K10783" s="28" t="s">
        <v>52</v>
      </c>
      <c r="L10783" s="28" t="s">
        <v>52</v>
      </c>
      <c r="M10783" s="28" t="s">
        <v>52</v>
      </c>
      <c r="N10783" s="28" t="s">
        <v>52</v>
      </c>
    </row>
    <row r="10784" spans="1:14" ht="12.75" hidden="1" outlineLevel="1" x14ac:dyDescent="0.2">
      <c r="A10784" s="23" t="str">
        <f t="shared" si="502"/>
        <v>СП ГБ ПОУ "КОЛЛЕДЖ ЭЛЕКТРОНИКИ И ПРИБОРОСТРОЕНИЯ"</v>
      </c>
      <c r="B10784" s="24" t="s">
        <v>13145</v>
      </c>
      <c r="C10784" s="25">
        <v>3230651.27</v>
      </c>
      <c r="D10784" s="22" t="s">
        <v>13146</v>
      </c>
      <c r="E10784" s="22" t="s">
        <v>59</v>
      </c>
      <c r="F10784" s="23" t="str">
        <f t="shared" si="503"/>
        <v>Выполнение работ по монтажу (расширению) единых функционирующих систем оборудования видеонаблюдения на территории заказчика</v>
      </c>
      <c r="G10784" s="22" t="s">
        <v>89</v>
      </c>
      <c r="H10784" s="22" t="s">
        <v>89</v>
      </c>
      <c r="I10784" s="26">
        <v>43556.453472222202</v>
      </c>
      <c r="J10784" s="23" t="str">
        <f>HYPERLINK("https://www.spark-marketing.ru/Card/Person/1320492", "ООО ""ГАРАНТ БЕЗОПАСНОСТИ ЛТД""")</f>
        <v>ООО "ГАРАНТ БЕЗОПАСНОСТИ ЛТД"</v>
      </c>
      <c r="K10784" s="24" t="s">
        <v>13147</v>
      </c>
      <c r="L10784" s="22" t="s">
        <v>10</v>
      </c>
      <c r="M10784" s="25">
        <v>1644627.28</v>
      </c>
      <c r="N10784" s="27">
        <v>0.49093011205756043</v>
      </c>
    </row>
    <row r="10785" spans="1:14" hidden="1" outlineLevel="1" x14ac:dyDescent="0.2">
      <c r="A10785" s="23" t="str">
        <f t="shared" si="502"/>
        <v>СП ГБ ПОУ "КОЛЛЕДЖ ЭЛЕКТРОНИКИ И ПРИБОРОСТРОЕНИЯ"</v>
      </c>
      <c r="B10785" s="24" t="s">
        <v>13145</v>
      </c>
      <c r="C10785" s="25">
        <v>3230651.27</v>
      </c>
      <c r="D10785" s="22" t="s">
        <v>13146</v>
      </c>
      <c r="E10785" s="22" t="s">
        <v>59</v>
      </c>
      <c r="F10785" s="23" t="str">
        <f t="shared" si="503"/>
        <v>Выполнение работ по монтажу (расширению) единых функционирующих систем оборудования видеонаблюдения на территории заказчика</v>
      </c>
      <c r="G10785" s="22" t="s">
        <v>89</v>
      </c>
      <c r="H10785" s="22" t="s">
        <v>89</v>
      </c>
      <c r="I10785" s="26">
        <v>43556.453472222202</v>
      </c>
      <c r="J10785" s="23" t="str">
        <f>HYPERLINK("https://www.spark-marketing.ru/Card/Person/4857651", "ООО ""МИКРОДОМ""")</f>
        <v>ООО "МИКРОДОМ"</v>
      </c>
      <c r="K10785" s="24" t="s">
        <v>11156</v>
      </c>
      <c r="L10785" s="28" t="s">
        <v>52</v>
      </c>
      <c r="M10785" s="25">
        <v>1983845.74</v>
      </c>
      <c r="N10785" s="27">
        <v>0.38593008833169418</v>
      </c>
    </row>
    <row r="10786" spans="1:14" hidden="1" outlineLevel="1" x14ac:dyDescent="0.2">
      <c r="A10786" s="23" t="str">
        <f t="shared" si="502"/>
        <v>СП ГБ ПОУ "КОЛЛЕДЖ ЭЛЕКТРОНИКИ И ПРИБОРОСТРОЕНИЯ"</v>
      </c>
      <c r="B10786" s="24" t="s">
        <v>13145</v>
      </c>
      <c r="C10786" s="25">
        <v>3230651.27</v>
      </c>
      <c r="D10786" s="22" t="s">
        <v>13146</v>
      </c>
      <c r="E10786" s="22" t="s">
        <v>59</v>
      </c>
      <c r="F10786" s="23" t="str">
        <f t="shared" si="503"/>
        <v>Выполнение работ по монтажу (расширению) единых функционирующих систем оборудования видеонаблюдения на территории заказчика</v>
      </c>
      <c r="G10786" s="22" t="s">
        <v>89</v>
      </c>
      <c r="H10786" s="22" t="s">
        <v>89</v>
      </c>
      <c r="I10786" s="26">
        <v>43556.453472222202</v>
      </c>
      <c r="J10786" s="23" t="str">
        <f>HYPERLINK("https://www.spark-marketing.ru/Card/Person/6271558", "Балабанов Антон Николаевич")</f>
        <v>Балабанов Антон Николаевич</v>
      </c>
      <c r="K10786" s="24" t="s">
        <v>13148</v>
      </c>
      <c r="L10786" s="28" t="s">
        <v>52</v>
      </c>
      <c r="M10786" s="25">
        <v>2923739.33</v>
      </c>
      <c r="N10786" s="27">
        <v>9.5000021466259965E-2</v>
      </c>
    </row>
    <row r="10787" spans="1:14" hidden="1" outlineLevel="1" x14ac:dyDescent="0.2">
      <c r="A10787" s="23" t="str">
        <f t="shared" si="502"/>
        <v>СП ГБ ПОУ "КОЛЛЕДЖ ЭЛЕКТРОНИКИ И ПРИБОРОСТРОЕНИЯ"</v>
      </c>
      <c r="B10787" s="24" t="s">
        <v>13145</v>
      </c>
      <c r="C10787" s="25">
        <v>3230651.27</v>
      </c>
      <c r="D10787" s="22" t="s">
        <v>13146</v>
      </c>
      <c r="E10787" s="22" t="s">
        <v>59</v>
      </c>
      <c r="F10787" s="23" t="str">
        <f t="shared" si="503"/>
        <v>Выполнение работ по монтажу (расширению) единых функционирующих систем оборудования видеонаблюдения на территории заказчика</v>
      </c>
      <c r="G10787" s="22" t="s">
        <v>89</v>
      </c>
      <c r="H10787" s="22" t="s">
        <v>89</v>
      </c>
      <c r="I10787" s="26">
        <v>43556.453472222202</v>
      </c>
      <c r="J10787" s="23" t="str">
        <f>HYPERLINK("https://www.spark-marketing.ru/Card/Person/4962434", "ООО ""СБ РНД""")</f>
        <v>ООО "СБ РНД"</v>
      </c>
      <c r="K10787" s="24" t="s">
        <v>4613</v>
      </c>
      <c r="L10787" s="28" t="s">
        <v>52</v>
      </c>
      <c r="M10787" s="25">
        <v>1919232.7</v>
      </c>
      <c r="N10787" s="27">
        <v>0.40593009285090681</v>
      </c>
    </row>
    <row r="10788" spans="1:14" hidden="1" outlineLevel="1" x14ac:dyDescent="0.2">
      <c r="A10788" s="23" t="str">
        <f t="shared" si="502"/>
        <v>СП ГБ ПОУ "КОЛЛЕДЖ ЭЛЕКТРОНИКИ И ПРИБОРОСТРОЕНИЯ"</v>
      </c>
      <c r="B10788" s="24" t="s">
        <v>13145</v>
      </c>
      <c r="C10788" s="25">
        <v>3230651.27</v>
      </c>
      <c r="D10788" s="22" t="s">
        <v>13146</v>
      </c>
      <c r="E10788" s="22" t="s">
        <v>59</v>
      </c>
      <c r="F10788" s="23" t="str">
        <f t="shared" si="503"/>
        <v>Выполнение работ по монтажу (расширению) единых функционирующих систем оборудования видеонаблюдения на территории заказчика</v>
      </c>
      <c r="G10788" s="22" t="s">
        <v>89</v>
      </c>
      <c r="H10788" s="22" t="s">
        <v>89</v>
      </c>
      <c r="I10788" s="26">
        <v>43556.453472222202</v>
      </c>
      <c r="J10788" s="23" t="str">
        <f>HYPERLINK("https://www.spark-marketing.ru/Card/Person/132600", "ООО ""АСПЕКТ""")</f>
        <v>ООО "АСПЕКТ"</v>
      </c>
      <c r="K10788" s="24" t="s">
        <v>10038</v>
      </c>
      <c r="L10788" s="28" t="s">
        <v>52</v>
      </c>
      <c r="M10788" s="25">
        <v>1660780.54</v>
      </c>
      <c r="N10788" s="27">
        <v>0.48593011092775729</v>
      </c>
    </row>
    <row r="10789" spans="1:14" hidden="1" outlineLevel="1" x14ac:dyDescent="0.2">
      <c r="A10789" s="23" t="str">
        <f t="shared" si="502"/>
        <v>СП ГБ ПОУ "КОЛЛЕДЖ ЭЛЕКТРОНИКИ И ПРИБОРОСТРОЕНИЯ"</v>
      </c>
      <c r="B10789" s="24" t="s">
        <v>13145</v>
      </c>
      <c r="C10789" s="25">
        <v>3230651.27</v>
      </c>
      <c r="D10789" s="22" t="s">
        <v>13146</v>
      </c>
      <c r="E10789" s="22" t="s">
        <v>59</v>
      </c>
      <c r="F10789" s="23" t="str">
        <f t="shared" si="503"/>
        <v>Выполнение работ по монтажу (расширению) единых функционирующих систем оборудования видеонаблюдения на территории заказчика</v>
      </c>
      <c r="G10789" s="22" t="s">
        <v>89</v>
      </c>
      <c r="H10789" s="22" t="s">
        <v>89</v>
      </c>
      <c r="I10789" s="26">
        <v>43556.453472222202</v>
      </c>
      <c r="J10789" s="23" t="str">
        <f>HYPERLINK("https://www.spark-marketing.ru/Card/Person/6486783", "Афсари Тимур Викторович")</f>
        <v>Афсари Тимур Викторович</v>
      </c>
      <c r="K10789" s="24" t="s">
        <v>10039</v>
      </c>
      <c r="L10789" s="28" t="s">
        <v>52</v>
      </c>
      <c r="M10789" s="25">
        <v>1919232.5</v>
      </c>
      <c r="N10789" s="27">
        <v>0.40593015475792904</v>
      </c>
    </row>
    <row r="10790" spans="1:14" x14ac:dyDescent="0.15">
      <c r="A10790" s="23" t="str">
        <f>HYPERLINK("https://www.spark-marketing.ru/Card/Person/6490095", "ВОСЬМОЙ КАССАЦИОННЫЙ СУД ОБЩЕЙ ЮРИСДИКЦИИ")</f>
        <v>ВОСЬМОЙ КАССАЦИОННЫЙ СУД ОБЩЕЙ ЮРИСДИКЦИИ</v>
      </c>
      <c r="B10790" s="24" t="s">
        <v>13149</v>
      </c>
      <c r="C10790" s="25">
        <v>395309.6</v>
      </c>
      <c r="D10790" s="22" t="s">
        <v>13150</v>
      </c>
      <c r="E10790" s="22" t="s">
        <v>68</v>
      </c>
      <c r="F10790" s="23" t="str">
        <f>HYPERLINK("https://www.spark-marketing.ru/Card/Lot/69172574", "Оказание охранных услуг с использованием технических средств охранной сигнализации и военизированной охраны")</f>
        <v>Оказание охранных услуг с использованием технических средств охранной сигнализации и военизированной охраны</v>
      </c>
      <c r="G10790" s="22" t="s">
        <v>367</v>
      </c>
      <c r="H10790" s="22" t="s">
        <v>881</v>
      </c>
      <c r="I10790" s="26">
        <v>43556.439583333296</v>
      </c>
      <c r="J10790" s="28" t="s">
        <v>52</v>
      </c>
      <c r="K10790" s="28" t="s">
        <v>52</v>
      </c>
      <c r="L10790" s="28" t="s">
        <v>52</v>
      </c>
      <c r="M10790" s="28" t="s">
        <v>52</v>
      </c>
      <c r="N10790" s="28" t="s">
        <v>52</v>
      </c>
    </row>
    <row r="10791" spans="1:14" x14ac:dyDescent="0.15">
      <c r="A10791" s="23" t="str">
        <f>HYPERLINK("https://www.spark-marketing.ru/Card/Person/736029", "МАУ ЦБС Г. УЛАН-УДЭ")</f>
        <v>МАУ ЦБС Г. УЛАН-УДЭ</v>
      </c>
      <c r="B10791" s="24" t="s">
        <v>6245</v>
      </c>
      <c r="C10791" s="25">
        <v>244755.42</v>
      </c>
      <c r="D10791" s="22" t="s">
        <v>13151</v>
      </c>
      <c r="E10791" s="22" t="s">
        <v>144</v>
      </c>
      <c r="F10791" s="23" t="str">
        <f>HYPERLINK("https://www.spark-marketing.ru/Card/Lot/69171684", "Оказание услуг по охране объектов с помощью пультов централизованного наблюдения")</f>
        <v>Оказание услуг по охране объектов с помощью пультов централизованного наблюдения</v>
      </c>
      <c r="G10791" s="22" t="s">
        <v>354</v>
      </c>
      <c r="H10791" s="22" t="s">
        <v>354</v>
      </c>
      <c r="I10791" s="26">
        <v>43556.432939814797</v>
      </c>
      <c r="J10791" s="28" t="s">
        <v>52</v>
      </c>
      <c r="K10791" s="28" t="s">
        <v>52</v>
      </c>
      <c r="L10791" s="28" t="s">
        <v>52</v>
      </c>
      <c r="M10791" s="28" t="s">
        <v>52</v>
      </c>
      <c r="N10791" s="28" t="s">
        <v>52</v>
      </c>
    </row>
    <row r="10792" spans="1:14" x14ac:dyDescent="0.15">
      <c r="A10792" s="23" t="str">
        <f>HYPERLINK("https://www.spark-marketing.ru/Card/Person/1046413", "ГАУ НСО ""МФЦ""")</f>
        <v>ГАУ НСО "МФЦ"</v>
      </c>
      <c r="B10792" s="24" t="s">
        <v>13152</v>
      </c>
      <c r="C10792" s="25">
        <v>141386.4</v>
      </c>
      <c r="D10792" s="22" t="s">
        <v>13153</v>
      </c>
      <c r="E10792" s="22" t="s">
        <v>68</v>
      </c>
      <c r="F10792" s="23" t="str">
        <f>HYPERLINK("https://www.spark-marketing.ru/Card/Lot/69180615", "Оказание услуг по централизованной пультовой охране помещений филиала ГАУ НСО «МФЦ» г. Новосибирска «Кировский», филиала ГАУ НСО «МФЦ» р.п. Кольцово")</f>
        <v>Оказание услуг по централизованной пультовой охране помещений филиала ГАУ НСО «МФЦ» г. Новосибирска «Кировский», филиала ГАУ НСО «МФЦ» р.п. Кольцово</v>
      </c>
      <c r="G10792" s="22" t="s">
        <v>209</v>
      </c>
      <c r="H10792" s="22" t="s">
        <v>210</v>
      </c>
      <c r="I10792" s="26">
        <v>43556.440972222197</v>
      </c>
      <c r="J10792" s="28" t="s">
        <v>52</v>
      </c>
      <c r="K10792" s="28" t="s">
        <v>52</v>
      </c>
      <c r="L10792" s="28" t="s">
        <v>52</v>
      </c>
      <c r="M10792" s="28" t="s">
        <v>52</v>
      </c>
      <c r="N10792" s="28" t="s">
        <v>52</v>
      </c>
    </row>
    <row r="10793" spans="1:14" x14ac:dyDescent="0.15">
      <c r="A10793" s="23" t="str">
        <f>HYPERLINK("https://www.spark-marketing.ru/Card/Person/21214", "ГБОУ ШКОЛА № 683 ПРИМОРСКОГО РАЙОНА САНКТ-ПЕТЕРБУРГА")</f>
        <v>ГБОУ ШКОЛА № 683 ПРИМОРСКОГО РАЙОНА САНКТ-ПЕТЕРБУРГА</v>
      </c>
      <c r="B10793" s="24" t="s">
        <v>13154</v>
      </c>
      <c r="C10793" s="25">
        <v>71280</v>
      </c>
      <c r="D10793" s="22" t="s">
        <v>13155</v>
      </c>
      <c r="E10793" s="22" t="s">
        <v>52</v>
      </c>
      <c r="F10793" s="23" t="str">
        <f>HYPERLINK("https://www.spark-marketing.ru/Card/Lot/69185744", "Оказание услуг по физической охране в мае 2019 г.")</f>
        <v>Оказание услуг по физической охране в мае 2019 г.</v>
      </c>
      <c r="G10793" s="22" t="s">
        <v>89</v>
      </c>
      <c r="H10793" s="22" t="s">
        <v>89</v>
      </c>
      <c r="I10793" s="26">
        <v>43556.456944444399</v>
      </c>
      <c r="J10793" s="28" t="s">
        <v>52</v>
      </c>
      <c r="K10793" s="28" t="s">
        <v>52</v>
      </c>
      <c r="L10793" s="28" t="s">
        <v>52</v>
      </c>
      <c r="M10793" s="28" t="s">
        <v>52</v>
      </c>
      <c r="N10793" s="28" t="s">
        <v>52</v>
      </c>
    </row>
    <row r="10794" spans="1:14" hidden="1" outlineLevel="1" x14ac:dyDescent="0.2">
      <c r="A10794" s="23" t="str">
        <f>HYPERLINK("https://www.spark-marketing.ru/Card/Person/21214", "ГБОУ ШКОЛА № 683 ПРИМОРСКОГО РАЙОНА САНКТ-ПЕТЕРБУРГА")</f>
        <v>ГБОУ ШКОЛА № 683 ПРИМОРСКОГО РАЙОНА САНКТ-ПЕТЕРБУРГА</v>
      </c>
      <c r="B10794" s="24" t="s">
        <v>13154</v>
      </c>
      <c r="C10794" s="25">
        <v>71280</v>
      </c>
      <c r="D10794" s="22" t="s">
        <v>13155</v>
      </c>
      <c r="E10794" s="22" t="s">
        <v>52</v>
      </c>
      <c r="F10794" s="23" t="str">
        <f>HYPERLINK("https://www.spark-marketing.ru/Card/Lot/69185744", "Оказание услуг по физической охране в мае 2019 г.")</f>
        <v>Оказание услуг по физической охране в мае 2019 г.</v>
      </c>
      <c r="G10794" s="22" t="s">
        <v>89</v>
      </c>
      <c r="H10794" s="22" t="s">
        <v>89</v>
      </c>
      <c r="I10794" s="26">
        <v>43556.456944444399</v>
      </c>
      <c r="J10794" s="23" t="str">
        <f>HYPERLINK("https://www.spark-marketing.ru/Card/Person/1957699", "ООО ""ОП ""ТРАНС-СЕКЬЮРИТИ""""")</f>
        <v>ООО "ОП "ТРАНС-СЕКЬЮРИТИ""</v>
      </c>
      <c r="K10794" s="24" t="s">
        <v>4138</v>
      </c>
      <c r="L10794" s="28" t="s">
        <v>52</v>
      </c>
      <c r="M10794" s="25">
        <v>54162</v>
      </c>
      <c r="N10794" s="27">
        <v>0.24015151515151514</v>
      </c>
    </row>
    <row r="10795" spans="1:14" hidden="1" outlineLevel="1" x14ac:dyDescent="0.2">
      <c r="A10795" s="23" t="str">
        <f>HYPERLINK("https://www.spark-marketing.ru/Card/Person/21214", "ГБОУ ШКОЛА № 683 ПРИМОРСКОГО РАЙОНА САНКТ-ПЕТЕРБУРГА")</f>
        <v>ГБОУ ШКОЛА № 683 ПРИМОРСКОГО РАЙОНА САНКТ-ПЕТЕРБУРГА</v>
      </c>
      <c r="B10795" s="24" t="s">
        <v>13154</v>
      </c>
      <c r="C10795" s="25">
        <v>71280</v>
      </c>
      <c r="D10795" s="22" t="s">
        <v>13155</v>
      </c>
      <c r="E10795" s="22" t="s">
        <v>52</v>
      </c>
      <c r="F10795" s="23" t="str">
        <f>HYPERLINK("https://www.spark-marketing.ru/Card/Lot/69185744", "Оказание услуг по физической охране в мае 2019 г.")</f>
        <v>Оказание услуг по физической охране в мае 2019 г.</v>
      </c>
      <c r="G10795" s="22" t="s">
        <v>89</v>
      </c>
      <c r="H10795" s="22" t="s">
        <v>89</v>
      </c>
      <c r="I10795" s="26">
        <v>43556.456944444399</v>
      </c>
      <c r="J10795" s="23" t="str">
        <f>HYPERLINK("https://www.spark-marketing.ru/Card/Person/32217", "ООО ""ОО ""ЗВЕЗДОЧЁТ""")</f>
        <v>ООО "ОО "ЗВЕЗДОЧЁТ"</v>
      </c>
      <c r="K10795" s="24" t="s">
        <v>13156</v>
      </c>
      <c r="L10795" s="28" t="s">
        <v>52</v>
      </c>
      <c r="M10795" s="25">
        <v>70210.8</v>
      </c>
      <c r="N10795" s="27">
        <v>1.4999999999999999E-2</v>
      </c>
    </row>
    <row r="10796" spans="1:14" ht="12.75" hidden="1" outlineLevel="1" x14ac:dyDescent="0.2">
      <c r="A10796" s="23" t="str">
        <f>HYPERLINK("https://www.spark-marketing.ru/Card/Person/21214", "ГБОУ ШКОЛА № 683 ПРИМОРСКОГО РАЙОНА САНКТ-ПЕТЕРБУРГА")</f>
        <v>ГБОУ ШКОЛА № 683 ПРИМОРСКОГО РАЙОНА САНКТ-ПЕТЕРБУРГА</v>
      </c>
      <c r="B10796" s="24" t="s">
        <v>13154</v>
      </c>
      <c r="C10796" s="25">
        <v>71280</v>
      </c>
      <c r="D10796" s="22" t="s">
        <v>13155</v>
      </c>
      <c r="E10796" s="22" t="s">
        <v>52</v>
      </c>
      <c r="F10796" s="23" t="str">
        <f>HYPERLINK("https://www.spark-marketing.ru/Card/Lot/69185744", "Оказание услуг по физической охране в мае 2019 г.")</f>
        <v>Оказание услуг по физической охране в мае 2019 г.</v>
      </c>
      <c r="G10796" s="22" t="s">
        <v>89</v>
      </c>
      <c r="H10796" s="22" t="s">
        <v>89</v>
      </c>
      <c r="I10796" s="26">
        <v>43556.456944444399</v>
      </c>
      <c r="J10796" s="23" t="str">
        <f>HYPERLINK("https://www.spark-marketing.ru/Card/Person/2562571", "ООО ОП""БОРС-БАЛТИКА""")</f>
        <v>ООО ОП"БОРС-БАЛТИКА"</v>
      </c>
      <c r="K10796" s="24" t="s">
        <v>4583</v>
      </c>
      <c r="L10796" s="22" t="s">
        <v>10</v>
      </c>
      <c r="M10796" s="25">
        <v>53805.599999999999</v>
      </c>
      <c r="N10796" s="27">
        <v>0.24515151515151515</v>
      </c>
    </row>
    <row r="10797" spans="1:14" x14ac:dyDescent="0.15">
      <c r="A10797" s="23" t="str">
        <f>HYPERLINK("https://www.spark-marketing.ru/Card/Person/40815", "ДАЛЬНЕВОСТОЧНЫЙ БАНК ПАО ""СБЕРБАНК""")</f>
        <v>ДАЛЬНЕВОСТОЧНЫЙ БАНК ПАО "СБЕРБАНК"</v>
      </c>
      <c r="B10797" s="24" t="s">
        <v>5406</v>
      </c>
      <c r="C10797" s="25">
        <v>4920071.76</v>
      </c>
      <c r="D10797" s="22" t="s">
        <v>13157</v>
      </c>
      <c r="E10797" s="22" t="s">
        <v>53</v>
      </c>
      <c r="F10797" s="23" t="str">
        <f>HYPERLINK("https://www.spark-marketing.ru/Card/Lot/70035148", "Выбор организации на оказание охранных услуг с использованием технических средств охраны объектов Дальневосточного банка ПАО Сбербанк, расположенных на территории пос. Эгвекинот, пос. Беринговский, пос. Провидение Чукотского Автономного округа")</f>
        <v>Выбор организации на оказание охранных услуг с использованием технических средств охраны объектов Дальневосточного банка ПАО Сбербанк, расположенных на территории пос. Эгвекинот, пос. Беринговский, пос. Провидение Чукотского Автономного округа</v>
      </c>
      <c r="G10797" s="22" t="s">
        <v>55</v>
      </c>
      <c r="H10797" s="22" t="s">
        <v>55</v>
      </c>
      <c r="I10797" s="26">
        <v>43556.456250000003</v>
      </c>
      <c r="J10797" s="28" t="s">
        <v>52</v>
      </c>
      <c r="K10797" s="28" t="s">
        <v>52</v>
      </c>
      <c r="L10797" s="28" t="s">
        <v>52</v>
      </c>
      <c r="M10797" s="28" t="s">
        <v>52</v>
      </c>
      <c r="N10797" s="28" t="s">
        <v>52</v>
      </c>
    </row>
    <row r="10798" spans="1:14" x14ac:dyDescent="0.15">
      <c r="A10798" s="23" t="str">
        <f>HYPERLINK("https://www.spark-marketing.ru/Card/Person/443628", "ОТДЕЛ МВД РОССИИ ПО ЗИМОВНИКОВСКОМУ РАЙОНУ")</f>
        <v>ОТДЕЛ МВД РОССИИ ПО ЗИМОВНИКОВСКОМУ РАЙОНУ</v>
      </c>
      <c r="B10798" s="24" t="s">
        <v>13158</v>
      </c>
      <c r="C10798" s="25">
        <v>40000</v>
      </c>
      <c r="D10798" s="22" t="s">
        <v>13159</v>
      </c>
      <c r="E10798" s="22" t="s">
        <v>84</v>
      </c>
      <c r="F10798" s="23" t="str">
        <f>HYPERLINK("https://www.spark-marketing.ru/Card/Lot/70787528", "монтаж и обслуживание видеонаблюдения, 1 шт")</f>
        <v>монтаж и обслуживание видеонаблюдения, 1 шт</v>
      </c>
      <c r="G10798" s="22" t="s">
        <v>402</v>
      </c>
      <c r="H10798" s="22" t="s">
        <v>13160</v>
      </c>
      <c r="I10798" s="26">
        <v>43556.393761574102</v>
      </c>
      <c r="J10798" s="28" t="s">
        <v>52</v>
      </c>
      <c r="K10798" s="28" t="s">
        <v>52</v>
      </c>
      <c r="L10798" s="28" t="s">
        <v>52</v>
      </c>
      <c r="M10798" s="28" t="s">
        <v>52</v>
      </c>
      <c r="N10798" s="28" t="s">
        <v>52</v>
      </c>
    </row>
    <row r="10799" spans="1:14" x14ac:dyDescent="0.15">
      <c r="A10799" s="23" t="str">
        <f>HYPERLINK("https://www.spark-marketing.ru/Card/Person/20166", "ГБУЗ ""БРЯНСКАЯ МБ""")</f>
        <v>ГБУЗ "БРЯНСКАЯ МБ"</v>
      </c>
      <c r="B10799" s="24" t="s">
        <v>8944</v>
      </c>
      <c r="C10799" s="25">
        <v>307225.8</v>
      </c>
      <c r="D10799" s="22" t="s">
        <v>13161</v>
      </c>
      <c r="E10799" s="22" t="s">
        <v>52</v>
      </c>
      <c r="F10799" s="23" t="str">
        <f>HYPERLINK("https://www.spark-marketing.ru/Card/Lot/69176286", "Оказание услуг по охрана объекта путем централизованного наблюдения за техническими средствами охранной сигнализации для нужд ГБУЗ ""Брянская МБ""")</f>
        <v>Оказание услуг по охрана объекта путем централизованного наблюдения за техническими средствами охранной сигнализации для нужд ГБУЗ "Брянская МБ"</v>
      </c>
      <c r="G10799" s="22" t="s">
        <v>215</v>
      </c>
      <c r="H10799" s="22" t="s">
        <v>8946</v>
      </c>
      <c r="I10799" s="26">
        <v>43556.380555555603</v>
      </c>
      <c r="J10799" s="28" t="s">
        <v>52</v>
      </c>
      <c r="K10799" s="28" t="s">
        <v>52</v>
      </c>
      <c r="L10799" s="28" t="s">
        <v>52</v>
      </c>
      <c r="M10799" s="28" t="s">
        <v>52</v>
      </c>
      <c r="N10799" s="28" t="s">
        <v>52</v>
      </c>
    </row>
    <row r="10800" spans="1:14" x14ac:dyDescent="0.15">
      <c r="A10800" s="23" t="str">
        <f>HYPERLINK("https://www.spark-marketing.ru/Card/Person/813740", "ГБУЗ РЭД МЗ РСО-АЛАНИЯ")</f>
        <v>ГБУЗ РЭД МЗ РСО-АЛАНИЯ</v>
      </c>
      <c r="B10800" s="24" t="s">
        <v>13162</v>
      </c>
      <c r="C10800" s="25">
        <v>77199.960000000006</v>
      </c>
      <c r="D10800" s="22" t="s">
        <v>13163</v>
      </c>
      <c r="E10800" s="22" t="s">
        <v>1013</v>
      </c>
      <c r="F10800" s="23" t="str">
        <f>HYPERLINK("https://www.spark-marketing.ru/Card/Lot/69179075", "Услуги пультовой охраны с использованием технических средств охранной и тревожной сигнализации")</f>
        <v>Услуги пультовой охраны с использованием технических средств охранной и тревожной сигнализации</v>
      </c>
      <c r="G10800" s="22" t="s">
        <v>833</v>
      </c>
      <c r="H10800" s="22" t="s">
        <v>833</v>
      </c>
      <c r="I10800" s="26">
        <v>43556.390972222202</v>
      </c>
      <c r="J10800" s="28" t="s">
        <v>52</v>
      </c>
      <c r="K10800" s="28" t="s">
        <v>52</v>
      </c>
      <c r="L10800" s="28" t="s">
        <v>52</v>
      </c>
      <c r="M10800" s="28" t="s">
        <v>52</v>
      </c>
      <c r="N10800" s="28" t="s">
        <v>52</v>
      </c>
    </row>
    <row r="10801" spans="1:14" hidden="1" outlineLevel="1" x14ac:dyDescent="0.2">
      <c r="A10801" s="23" t="str">
        <f>HYPERLINK("https://www.spark-marketing.ru/Card/Person/813740", "ГБУЗ РЭД МЗ РСО-АЛАНИЯ")</f>
        <v>ГБУЗ РЭД МЗ РСО-АЛАНИЯ</v>
      </c>
      <c r="B10801" s="24" t="s">
        <v>13162</v>
      </c>
      <c r="C10801" s="25">
        <v>77199.960000000006</v>
      </c>
      <c r="D10801" s="22" t="s">
        <v>13163</v>
      </c>
      <c r="E10801" s="22" t="s">
        <v>1013</v>
      </c>
      <c r="F10801" s="23" t="str">
        <f>HYPERLINK("https://www.spark-marketing.ru/Card/Lot/69179075", "Услуги пультовой охраны с использованием технических средств охранной и тревожной сигнализации")</f>
        <v>Услуги пультовой охраны с использованием технических средств охранной и тревожной сигнализации</v>
      </c>
      <c r="G10801" s="22" t="s">
        <v>833</v>
      </c>
      <c r="H10801" s="22" t="s">
        <v>833</v>
      </c>
      <c r="I10801" s="26">
        <v>43556.390972222202</v>
      </c>
      <c r="J10801" s="23" t="str">
        <f>HYPERLINK("https://www.spark-marketing.ru/Card/Person/4962915", "ООО ЧОО ""ЦЕРБЕР""")</f>
        <v>ООО ЧОО "ЦЕРБЕР"</v>
      </c>
      <c r="K10801" s="24" t="s">
        <v>13164</v>
      </c>
      <c r="L10801" s="28" t="s">
        <v>52</v>
      </c>
      <c r="M10801" s="25">
        <v>72181.960000000006</v>
      </c>
      <c r="N10801" s="27">
        <v>6.5000033678773925E-2</v>
      </c>
    </row>
    <row r="10802" spans="1:14" hidden="1" outlineLevel="1" x14ac:dyDescent="0.2">
      <c r="A10802" s="23" t="str">
        <f>HYPERLINK("https://www.spark-marketing.ru/Card/Person/813740", "ГБУЗ РЭД МЗ РСО-АЛАНИЯ")</f>
        <v>ГБУЗ РЭД МЗ РСО-АЛАНИЯ</v>
      </c>
      <c r="B10802" s="24" t="s">
        <v>13162</v>
      </c>
      <c r="C10802" s="25">
        <v>77199.960000000006</v>
      </c>
      <c r="D10802" s="22" t="s">
        <v>13163</v>
      </c>
      <c r="E10802" s="22" t="s">
        <v>1013</v>
      </c>
      <c r="F10802" s="23" t="str">
        <f>HYPERLINK("https://www.spark-marketing.ru/Card/Lot/69179075", "Услуги пультовой охраны с использованием технических средств охранной и тревожной сигнализации")</f>
        <v>Услуги пультовой охраны с использованием технических средств охранной и тревожной сигнализации</v>
      </c>
      <c r="G10802" s="22" t="s">
        <v>833</v>
      </c>
      <c r="H10802" s="22" t="s">
        <v>833</v>
      </c>
      <c r="I10802" s="26">
        <v>43556.390972222202</v>
      </c>
      <c r="J10802" s="23" t="str">
        <f>HYPERLINK("https://www.spark-marketing.ru/Card/Person/10487", "ФГУП ""ОХРАНА"" РОСГВАРДИИ")</f>
        <v>ФГУП "ОХРАНА" РОСГВАРДИИ</v>
      </c>
      <c r="K10802" s="24" t="s">
        <v>779</v>
      </c>
      <c r="L10802" s="28" t="s">
        <v>52</v>
      </c>
      <c r="M10802" s="25">
        <v>21140</v>
      </c>
      <c r="N10802" s="27">
        <v>0.72616566122573123</v>
      </c>
    </row>
    <row r="10803" spans="1:14" hidden="1" outlineLevel="1" x14ac:dyDescent="0.2">
      <c r="A10803" s="23" t="str">
        <f>HYPERLINK("https://www.spark-marketing.ru/Card/Person/813740", "ГБУЗ РЭД МЗ РСО-АЛАНИЯ")</f>
        <v>ГБУЗ РЭД МЗ РСО-АЛАНИЯ</v>
      </c>
      <c r="B10803" s="24" t="s">
        <v>13162</v>
      </c>
      <c r="C10803" s="25">
        <v>77199.960000000006</v>
      </c>
      <c r="D10803" s="22" t="s">
        <v>13163</v>
      </c>
      <c r="E10803" s="22" t="s">
        <v>1013</v>
      </c>
      <c r="F10803" s="23" t="str">
        <f>HYPERLINK("https://www.spark-marketing.ru/Card/Lot/69179075", "Услуги пультовой охраны с использованием технических средств охранной и тревожной сигнализации")</f>
        <v>Услуги пультовой охраны с использованием технических средств охранной и тревожной сигнализации</v>
      </c>
      <c r="G10803" s="22" t="s">
        <v>833</v>
      </c>
      <c r="H10803" s="22" t="s">
        <v>833</v>
      </c>
      <c r="I10803" s="26">
        <v>43556.390972222202</v>
      </c>
      <c r="J10803" s="23" t="str">
        <f>HYPERLINK("https://www.spark-marketing.ru/Card/Person/5768892", "ООО ЧОО ""АМУЛЕТ""")</f>
        <v>ООО ЧОО "АМУЛЕТ"</v>
      </c>
      <c r="K10803" s="24" t="s">
        <v>13165</v>
      </c>
      <c r="L10803" s="28" t="s">
        <v>52</v>
      </c>
      <c r="M10803" s="25">
        <v>39371.96</v>
      </c>
      <c r="N10803" s="27">
        <v>0.49000025388614193</v>
      </c>
    </row>
    <row r="10804" spans="1:14" ht="12.75" hidden="1" outlineLevel="1" x14ac:dyDescent="0.2">
      <c r="A10804" s="23" t="str">
        <f>HYPERLINK("https://www.spark-marketing.ru/Card/Person/813740", "ГБУЗ РЭД МЗ РСО-АЛАНИЯ")</f>
        <v>ГБУЗ РЭД МЗ РСО-АЛАНИЯ</v>
      </c>
      <c r="B10804" s="24" t="s">
        <v>13162</v>
      </c>
      <c r="C10804" s="25">
        <v>77199.960000000006</v>
      </c>
      <c r="D10804" s="22" t="s">
        <v>13163</v>
      </c>
      <c r="E10804" s="22" t="s">
        <v>1013</v>
      </c>
      <c r="F10804" s="23" t="str">
        <f>HYPERLINK("https://www.spark-marketing.ru/Card/Lot/69179075", "Услуги пультовой охраны с использованием технических средств охранной и тревожной сигнализации")</f>
        <v>Услуги пультовой охраны с использованием технических средств охранной и тревожной сигнализации</v>
      </c>
      <c r="G10804" s="22" t="s">
        <v>833</v>
      </c>
      <c r="H10804" s="22" t="s">
        <v>833</v>
      </c>
      <c r="I10804" s="26">
        <v>43556.390972222202</v>
      </c>
      <c r="J10804" s="23" t="str">
        <f>HYPERLINK("https://www.spark-marketing.ru/Card/Person/837960", "ООО ЧОО ""АРС""")</f>
        <v>ООО ЧОО "АРС"</v>
      </c>
      <c r="K10804" s="24" t="s">
        <v>13166</v>
      </c>
      <c r="L10804" s="22" t="s">
        <v>10</v>
      </c>
      <c r="M10804" s="25">
        <v>17280</v>
      </c>
      <c r="N10804" s="27">
        <v>0.77616568713248035</v>
      </c>
    </row>
    <row r="10805" spans="1:14" x14ac:dyDescent="0.15">
      <c r="A10805" s="23" t="str">
        <f>HYPERLINK("https://www.spark-marketing.ru/Card/Person/85898", "ФГУ ""УЭНКВ""")</f>
        <v>ФГУ "УЭНКВ"</v>
      </c>
      <c r="B10805" s="24" t="s">
        <v>13167</v>
      </c>
      <c r="C10805" s="25">
        <v>210372</v>
      </c>
      <c r="D10805" s="22" t="s">
        <v>13168</v>
      </c>
      <c r="E10805" s="22" t="s">
        <v>349</v>
      </c>
      <c r="F10805" s="23" t="str">
        <f>HYPERLINK("https://www.spark-marketing.ru/Card/Lot/69178916", "Выполнение работ по техническому обслуживанию видеонаблюдения")</f>
        <v>Выполнение работ по техническому обслуживанию видеонаблюдения</v>
      </c>
      <c r="G10805" s="22" t="s">
        <v>204</v>
      </c>
      <c r="H10805" s="22" t="s">
        <v>4395</v>
      </c>
      <c r="I10805" s="26">
        <v>43556.382638888899</v>
      </c>
      <c r="J10805" s="28" t="s">
        <v>52</v>
      </c>
      <c r="K10805" s="28" t="s">
        <v>52</v>
      </c>
      <c r="L10805" s="28" t="s">
        <v>52</v>
      </c>
      <c r="M10805" s="28" t="s">
        <v>52</v>
      </c>
      <c r="N10805" s="28" t="s">
        <v>52</v>
      </c>
    </row>
    <row r="10806" spans="1:14" hidden="1" outlineLevel="1" x14ac:dyDescent="0.2">
      <c r="A10806" s="23" t="str">
        <f>HYPERLINK("https://www.spark-marketing.ru/Card/Person/85898", "ФГУ ""УЭНКВ""")</f>
        <v>ФГУ "УЭНКВ"</v>
      </c>
      <c r="B10806" s="24" t="s">
        <v>13167</v>
      </c>
      <c r="C10806" s="25">
        <v>210372</v>
      </c>
      <c r="D10806" s="22" t="s">
        <v>13168</v>
      </c>
      <c r="E10806" s="22" t="s">
        <v>349</v>
      </c>
      <c r="F10806" s="23" t="str">
        <f>HYPERLINK("https://www.spark-marketing.ru/Card/Lot/69178916", "Выполнение работ по техническому обслуживанию видеонаблюдения")</f>
        <v>Выполнение работ по техническому обслуживанию видеонаблюдения</v>
      </c>
      <c r="G10806" s="22" t="s">
        <v>204</v>
      </c>
      <c r="H10806" s="22" t="s">
        <v>4395</v>
      </c>
      <c r="I10806" s="26">
        <v>43556.382638888899</v>
      </c>
      <c r="J10806" s="23" t="str">
        <f>HYPERLINK("https://www.spark-marketing.ru/Card/Person/385886", "Фахразиев Ралиф Гумарович")</f>
        <v>Фахразиев Ралиф Гумарович</v>
      </c>
      <c r="K10806" s="24" t="s">
        <v>13169</v>
      </c>
      <c r="L10806" s="28" t="s">
        <v>52</v>
      </c>
      <c r="M10806" s="25">
        <v>149000</v>
      </c>
      <c r="N10806" s="27">
        <v>0.29173083870477062</v>
      </c>
    </row>
    <row r="10807" spans="1:14" ht="12.75" hidden="1" outlineLevel="1" x14ac:dyDescent="0.2">
      <c r="A10807" s="23" t="str">
        <f>HYPERLINK("https://www.spark-marketing.ru/Card/Person/85898", "ФГУ ""УЭНКВ""")</f>
        <v>ФГУ "УЭНКВ"</v>
      </c>
      <c r="B10807" s="24" t="s">
        <v>13167</v>
      </c>
      <c r="C10807" s="25">
        <v>210372</v>
      </c>
      <c r="D10807" s="22" t="s">
        <v>13168</v>
      </c>
      <c r="E10807" s="22" t="s">
        <v>349</v>
      </c>
      <c r="F10807" s="23" t="str">
        <f>HYPERLINK("https://www.spark-marketing.ru/Card/Lot/69178916", "Выполнение работ по техническому обслуживанию видеонаблюдения")</f>
        <v>Выполнение работ по техническому обслуживанию видеонаблюдения</v>
      </c>
      <c r="G10807" s="22" t="s">
        <v>204</v>
      </c>
      <c r="H10807" s="22" t="s">
        <v>4395</v>
      </c>
      <c r="I10807" s="26">
        <v>43556.382638888899</v>
      </c>
      <c r="J10807" s="23" t="str">
        <f>HYPERLINK("https://www.spark-marketing.ru/Card/Person/6238477", "ООО ""СХТС""")</f>
        <v>ООО "СХТС"</v>
      </c>
      <c r="K10807" s="24" t="s">
        <v>13170</v>
      </c>
      <c r="L10807" s="22" t="s">
        <v>10</v>
      </c>
      <c r="M10807" s="25">
        <v>158000</v>
      </c>
      <c r="N10807" s="27">
        <v>0.24894947996881714</v>
      </c>
    </row>
    <row r="10808" spans="1:14" x14ac:dyDescent="0.15">
      <c r="A10808" s="23" t="str">
        <f>HYPERLINK("https://www.spark-marketing.ru/Card/Person/35233", "ГБУЗ СО ""МАЛЫШЕВСКАЯ ГБ""")</f>
        <v>ГБУЗ СО "МАЛЫШЕВСКАЯ ГБ"</v>
      </c>
      <c r="B10808" s="24" t="s">
        <v>10523</v>
      </c>
      <c r="C10808" s="25">
        <v>96897.279999999999</v>
      </c>
      <c r="D10808" s="22" t="s">
        <v>13171</v>
      </c>
      <c r="E10808" s="22" t="s">
        <v>52</v>
      </c>
      <c r="F10808" s="23" t="str">
        <f>HYPERLINK("https://www.spark-marketing.ru/Card/Lot/69174626", "оказание охранных услуг по охране объектов")</f>
        <v>оказание охранных услуг по охране объектов</v>
      </c>
      <c r="G10808" s="22" t="s">
        <v>72</v>
      </c>
      <c r="H10808" s="22" t="s">
        <v>692</v>
      </c>
      <c r="I10808" s="26">
        <v>43556.411805555603</v>
      </c>
      <c r="J10808" s="28" t="s">
        <v>52</v>
      </c>
      <c r="K10808" s="28" t="s">
        <v>52</v>
      </c>
      <c r="L10808" s="28" t="s">
        <v>52</v>
      </c>
      <c r="M10808" s="28" t="s">
        <v>52</v>
      </c>
      <c r="N10808" s="28" t="s">
        <v>52</v>
      </c>
    </row>
    <row r="10809" spans="1:14" x14ac:dyDescent="0.15">
      <c r="A10809" s="23" t="str">
        <f>HYPERLINK("https://www.spark-marketing.ru/Card/Person/17469", "МЕЖРАЙОННАЯ ИФНС РОССИИ № 5 ПО КРАСНОДАРСКОМУ КРАЮ")</f>
        <v>МЕЖРАЙОННАЯ ИФНС РОССИИ № 5 ПО КРАСНОДАРСКОМУ КРАЮ</v>
      </c>
      <c r="B10809" s="24" t="s">
        <v>13172</v>
      </c>
      <c r="C10809" s="25">
        <v>98399.97</v>
      </c>
      <c r="D10809" s="22" t="s">
        <v>13173</v>
      </c>
      <c r="E10809" s="22" t="s">
        <v>107</v>
      </c>
      <c r="F10809" s="23" t="str">
        <f>HYPERLINK("https://www.spark-marketing.ru/Card/Lot/69178975", "Услуги по техническому обслуживанию средств охраны")</f>
        <v>Услуги по техническому обслуживанию средств охраны</v>
      </c>
      <c r="G10809" s="22" t="s">
        <v>132</v>
      </c>
      <c r="H10809" s="22" t="s">
        <v>13174</v>
      </c>
      <c r="I10809" s="26">
        <v>43556.4</v>
      </c>
      <c r="J10809" s="28" t="s">
        <v>52</v>
      </c>
      <c r="K10809" s="28" t="s">
        <v>52</v>
      </c>
      <c r="L10809" s="28" t="s">
        <v>52</v>
      </c>
      <c r="M10809" s="28" t="s">
        <v>52</v>
      </c>
      <c r="N10809" s="28" t="s">
        <v>52</v>
      </c>
    </row>
    <row r="10810" spans="1:14" ht="12.75" hidden="1" outlineLevel="1" x14ac:dyDescent="0.2">
      <c r="A10810" s="23" t="str">
        <f>HYPERLINK("https://www.spark-marketing.ru/Card/Person/17469", "МЕЖРАЙОННАЯ ИФНС РОССИИ № 5 ПО КРАСНОДАРСКОМУ КРАЮ")</f>
        <v>МЕЖРАЙОННАЯ ИФНС РОССИИ № 5 ПО КРАСНОДАРСКОМУ КРАЮ</v>
      </c>
      <c r="B10810" s="24" t="s">
        <v>13172</v>
      </c>
      <c r="C10810" s="25">
        <v>98399.97</v>
      </c>
      <c r="D10810" s="22" t="s">
        <v>13173</v>
      </c>
      <c r="E10810" s="22" t="s">
        <v>107</v>
      </c>
      <c r="F10810" s="23" t="str">
        <f>HYPERLINK("https://www.spark-marketing.ru/Card/Lot/69178975", "Услуги по техническому обслуживанию средств охраны")</f>
        <v>Услуги по техническому обслуживанию средств охраны</v>
      </c>
      <c r="G10810" s="22" t="s">
        <v>132</v>
      </c>
      <c r="H10810" s="22" t="s">
        <v>13174</v>
      </c>
      <c r="I10810" s="26">
        <v>43556.4</v>
      </c>
      <c r="J10810" s="23" t="str">
        <f>HYPERLINK("https://www.spark-marketing.ru/Card/Person/447409", "ООО ""ПАНТЕРА - СБ""")</f>
        <v>ООО "ПАНТЕРА - СБ"</v>
      </c>
      <c r="K10810" s="24" t="s">
        <v>13175</v>
      </c>
      <c r="L10810" s="22" t="s">
        <v>10</v>
      </c>
      <c r="M10810" s="25">
        <v>67500</v>
      </c>
      <c r="N10810" s="27">
        <v>0.31402418110493324</v>
      </c>
    </row>
    <row r="10811" spans="1:14" hidden="1" outlineLevel="1" x14ac:dyDescent="0.2">
      <c r="A10811" s="23" t="str">
        <f>HYPERLINK("https://www.spark-marketing.ru/Card/Person/17469", "МЕЖРАЙОННАЯ ИФНС РОССИИ № 5 ПО КРАСНОДАРСКОМУ КРАЮ")</f>
        <v>МЕЖРАЙОННАЯ ИФНС РОССИИ № 5 ПО КРАСНОДАРСКОМУ КРАЮ</v>
      </c>
      <c r="B10811" s="24" t="s">
        <v>13172</v>
      </c>
      <c r="C10811" s="25">
        <v>98399.97</v>
      </c>
      <c r="D10811" s="22" t="s">
        <v>13173</v>
      </c>
      <c r="E10811" s="22" t="s">
        <v>107</v>
      </c>
      <c r="F10811" s="23" t="str">
        <f>HYPERLINK("https://www.spark-marketing.ru/Card/Lot/69178975", "Услуги по техническому обслуживанию средств охраны")</f>
        <v>Услуги по техническому обслуживанию средств охраны</v>
      </c>
      <c r="G10811" s="22" t="s">
        <v>132</v>
      </c>
      <c r="H10811" s="22" t="s">
        <v>13174</v>
      </c>
      <c r="I10811" s="26">
        <v>43556.4</v>
      </c>
      <c r="J10811" s="23" t="str">
        <f>HYPERLINK("https://www.spark-marketing.ru/Card/Person/461520", "ООО ""ЧОО""ЕВРОМОСТ-У""")</f>
        <v>ООО "ЧОО"ЕВРОМОСТ-У"</v>
      </c>
      <c r="K10811" s="24" t="s">
        <v>3813</v>
      </c>
      <c r="L10811" s="28" t="s">
        <v>52</v>
      </c>
      <c r="M10811" s="25">
        <v>81000</v>
      </c>
      <c r="N10811" s="27">
        <v>0.17682901732591991</v>
      </c>
    </row>
    <row r="10812" spans="1:14" hidden="1" outlineLevel="1" x14ac:dyDescent="0.2">
      <c r="A10812" s="23" t="str">
        <f>HYPERLINK("https://www.spark-marketing.ru/Card/Person/17469", "МЕЖРАЙОННАЯ ИФНС РОССИИ № 5 ПО КРАСНОДАРСКОМУ КРАЮ")</f>
        <v>МЕЖРАЙОННАЯ ИФНС РОССИИ № 5 ПО КРАСНОДАРСКОМУ КРАЮ</v>
      </c>
      <c r="B10812" s="24" t="s">
        <v>13172</v>
      </c>
      <c r="C10812" s="25">
        <v>98399.97</v>
      </c>
      <c r="D10812" s="22" t="s">
        <v>13173</v>
      </c>
      <c r="E10812" s="22" t="s">
        <v>107</v>
      </c>
      <c r="F10812" s="23" t="str">
        <f>HYPERLINK("https://www.spark-marketing.ru/Card/Lot/69178975", "Услуги по техническому обслуживанию средств охраны")</f>
        <v>Услуги по техническому обслуживанию средств охраны</v>
      </c>
      <c r="G10812" s="22" t="s">
        <v>132</v>
      </c>
      <c r="H10812" s="22" t="s">
        <v>13174</v>
      </c>
      <c r="I10812" s="26">
        <v>43556.4</v>
      </c>
      <c r="J10812" s="23" t="str">
        <f>HYPERLINK("https://www.spark-marketing.ru/Card/Person/879323", "ООО ""БАСТИОН""")</f>
        <v>ООО "БАСТИОН"</v>
      </c>
      <c r="K10812" s="24" t="s">
        <v>13176</v>
      </c>
      <c r="L10812" s="28" t="s">
        <v>52</v>
      </c>
      <c r="M10812" s="25">
        <v>97650</v>
      </c>
      <c r="N10812" s="27">
        <v>7.6216486651367885E-3</v>
      </c>
    </row>
    <row r="10813" spans="1:14" x14ac:dyDescent="0.15">
      <c r="A10813" s="23" t="str">
        <f>HYPERLINK("https://www.spark-marketing.ru/Card/Person/480669", "ООО ДПИ ""ВОСТОКПРОЕКТВЕРФЬ""")</f>
        <v>ООО ДПИ "ВОСТОКПРОЕКТВЕРФЬ"</v>
      </c>
      <c r="B10813" s="24" t="s">
        <v>13177</v>
      </c>
      <c r="C10813" s="28" t="s">
        <v>52</v>
      </c>
      <c r="D10813" s="22" t="s">
        <v>13178</v>
      </c>
      <c r="E10813" s="22" t="s">
        <v>52</v>
      </c>
      <c r="F10813" s="23" t="str">
        <f>HYPERLINK("https://www.spark-marketing.ru/Card/Lot/69180268", "Разработка проектной документациипо обустройству и оснащению пункта пропуска через государственную границу Российской Федерации на территории судостроительного комплекса «Звезда» в бухте Большой Камень комплексом технических средств безопасности, свя...")</f>
        <v>Разработка проектной документациипо обустройству и оснащению пункта пропуска через государственную границу Российской Федерации на территории судостроительного комплекса «Звезда» в бухте Большой Камень комплексом технических средств безопасности, свя...</v>
      </c>
      <c r="G10813" s="22" t="s">
        <v>409</v>
      </c>
      <c r="H10813" s="22" t="s">
        <v>878</v>
      </c>
      <c r="I10813" s="26">
        <v>43556.389780092599</v>
      </c>
      <c r="J10813" s="28" t="s">
        <v>52</v>
      </c>
      <c r="K10813" s="28" t="s">
        <v>52</v>
      </c>
      <c r="L10813" s="28" t="s">
        <v>52</v>
      </c>
      <c r="M10813" s="28" t="s">
        <v>52</v>
      </c>
      <c r="N10813" s="28" t="s">
        <v>52</v>
      </c>
    </row>
    <row r="10814" spans="1:14" x14ac:dyDescent="0.15">
      <c r="A10814" s="23" t="str">
        <f>HYPERLINK("https://www.spark-marketing.ru/Card/Person/4348563", "АО ""ОТЭК""")</f>
        <v>АО "ОТЭК"</v>
      </c>
      <c r="B10814" s="24" t="s">
        <v>11312</v>
      </c>
      <c r="C10814" s="28" t="s">
        <v>52</v>
      </c>
      <c r="D10814" s="22" t="s">
        <v>13179</v>
      </c>
      <c r="E10814" s="22" t="s">
        <v>53</v>
      </c>
      <c r="F10814" s="23" t="str">
        <f>HYPERLINK("https://www.spark-marketing.ru/Card/Lot/69178107", "Оказание услуг по пультовой охране здания №71 НСОВ-1 для филиала АО ""ОТЭК"" в г. Северске. (1220803)")</f>
        <v>Оказание услуг по пультовой охране здания №71 НСОВ-1 для филиала АО "ОТЭК" в г. Северске. (1220803)</v>
      </c>
      <c r="G10814" s="22" t="s">
        <v>55</v>
      </c>
      <c r="H10814" s="22" t="s">
        <v>55</v>
      </c>
      <c r="I10814" s="26">
        <v>43556.371550925898</v>
      </c>
      <c r="J10814" s="28" t="s">
        <v>52</v>
      </c>
      <c r="K10814" s="28" t="s">
        <v>52</v>
      </c>
      <c r="L10814" s="28" t="s">
        <v>52</v>
      </c>
      <c r="M10814" s="28" t="s">
        <v>52</v>
      </c>
      <c r="N10814" s="28" t="s">
        <v>52</v>
      </c>
    </row>
    <row r="10815" spans="1:14" x14ac:dyDescent="0.15">
      <c r="A10815" s="23" t="str">
        <f t="shared" ref="A10815:A10822" si="504">HYPERLINK("https://www.spark-marketing.ru/Card/Person/4371748", "МБОУ ""ТАЛЬСКАЯ СОШ""")</f>
        <v>МБОУ "ТАЛЬСКАЯ СОШ"</v>
      </c>
      <c r="B10815" s="24" t="s">
        <v>13180</v>
      </c>
      <c r="C10815" s="25">
        <v>319168</v>
      </c>
      <c r="D10815" s="22" t="s">
        <v>13181</v>
      </c>
      <c r="E10815" s="22" t="s">
        <v>59</v>
      </c>
      <c r="F10815" s="23" t="str">
        <f t="shared" ref="F10815:F10822" si="505">HYPERLINK("https://www.spark-marketing.ru/Card/Lot/69171635", "Работы электромонтажные, связанные с установкой приборов")</f>
        <v>Работы электромонтажные, связанные с установкой приборов</v>
      </c>
      <c r="G10815" s="22" t="s">
        <v>367</v>
      </c>
      <c r="H10815" s="22" t="s">
        <v>13182</v>
      </c>
      <c r="I10815" s="26">
        <v>43556.335416666698</v>
      </c>
      <c r="J10815" s="28" t="s">
        <v>52</v>
      </c>
      <c r="K10815" s="28" t="s">
        <v>52</v>
      </c>
      <c r="L10815" s="28" t="s">
        <v>52</v>
      </c>
      <c r="M10815" s="28" t="s">
        <v>52</v>
      </c>
      <c r="N10815" s="28" t="s">
        <v>52</v>
      </c>
    </row>
    <row r="10816" spans="1:14" hidden="1" outlineLevel="1" x14ac:dyDescent="0.2">
      <c r="A10816" s="23" t="str">
        <f t="shared" si="504"/>
        <v>МБОУ "ТАЛЬСКАЯ СОШ"</v>
      </c>
      <c r="B10816" s="24" t="s">
        <v>13180</v>
      </c>
      <c r="C10816" s="25">
        <v>319168</v>
      </c>
      <c r="D10816" s="22" t="s">
        <v>13181</v>
      </c>
      <c r="E10816" s="22" t="s">
        <v>59</v>
      </c>
      <c r="F10816" s="23" t="str">
        <f t="shared" si="505"/>
        <v>Работы электромонтажные, связанные с установкой приборов</v>
      </c>
      <c r="G10816" s="22" t="s">
        <v>367</v>
      </c>
      <c r="H10816" s="22" t="s">
        <v>13182</v>
      </c>
      <c r="I10816" s="26">
        <v>43556.335416666698</v>
      </c>
      <c r="J10816" s="23" t="str">
        <f>HYPERLINK("https://www.spark-marketing.ru/Card/Person/6313379", "Петров Максим Васильевич")</f>
        <v>Петров Максим Васильевич</v>
      </c>
      <c r="K10816" s="24" t="s">
        <v>11480</v>
      </c>
      <c r="L10816" s="28" t="s">
        <v>52</v>
      </c>
      <c r="M10816" s="25">
        <v>280867.84000000003</v>
      </c>
      <c r="N10816" s="27">
        <v>0.12</v>
      </c>
    </row>
    <row r="10817" spans="1:14" ht="12.75" hidden="1" outlineLevel="1" x14ac:dyDescent="0.2">
      <c r="A10817" s="23" t="str">
        <f t="shared" si="504"/>
        <v>МБОУ "ТАЛЬСКАЯ СОШ"</v>
      </c>
      <c r="B10817" s="24" t="s">
        <v>13180</v>
      </c>
      <c r="C10817" s="25">
        <v>319168</v>
      </c>
      <c r="D10817" s="22" t="s">
        <v>13181</v>
      </c>
      <c r="E10817" s="22" t="s">
        <v>59</v>
      </c>
      <c r="F10817" s="23" t="str">
        <f t="shared" si="505"/>
        <v>Работы электромонтажные, связанные с установкой приборов</v>
      </c>
      <c r="G10817" s="22" t="s">
        <v>367</v>
      </c>
      <c r="H10817" s="22" t="s">
        <v>13182</v>
      </c>
      <c r="I10817" s="26">
        <v>43556.335416666698</v>
      </c>
      <c r="J10817" s="23" t="str">
        <f>HYPERLINK("https://www.spark-marketing.ru/Card/Person/6434124", "Антонов Михаил Алексеевич")</f>
        <v>Антонов Михаил Алексеевич</v>
      </c>
      <c r="K10817" s="24" t="s">
        <v>13183</v>
      </c>
      <c r="L10817" s="22" t="s">
        <v>10</v>
      </c>
      <c r="M10817" s="25">
        <v>209054.24</v>
      </c>
      <c r="N10817" s="27">
        <v>0.34500250651694403</v>
      </c>
    </row>
    <row r="10818" spans="1:14" hidden="1" outlineLevel="1" x14ac:dyDescent="0.2">
      <c r="A10818" s="23" t="str">
        <f t="shared" si="504"/>
        <v>МБОУ "ТАЛЬСКАЯ СОШ"</v>
      </c>
      <c r="B10818" s="24" t="s">
        <v>13180</v>
      </c>
      <c r="C10818" s="25">
        <v>319168</v>
      </c>
      <c r="D10818" s="22" t="s">
        <v>13181</v>
      </c>
      <c r="E10818" s="22" t="s">
        <v>59</v>
      </c>
      <c r="F10818" s="23" t="str">
        <f t="shared" si="505"/>
        <v>Работы электромонтажные, связанные с установкой приборов</v>
      </c>
      <c r="G10818" s="22" t="s">
        <v>367</v>
      </c>
      <c r="H10818" s="22" t="s">
        <v>13182</v>
      </c>
      <c r="I10818" s="26">
        <v>43556.335416666698</v>
      </c>
      <c r="J10818" s="23" t="str">
        <f>HYPERLINK("https://www.spark-marketing.ru/Card/Person/4621627", "ООО ПКФ ""ИМПУЛЬС""")</f>
        <v>ООО ПКФ "ИМПУЛЬС"</v>
      </c>
      <c r="K10818" s="24" t="s">
        <v>13184</v>
      </c>
      <c r="L10818" s="28" t="s">
        <v>52</v>
      </c>
      <c r="M10818" s="25">
        <v>210650.08</v>
      </c>
      <c r="N10818" s="27">
        <v>0.34000250651694408</v>
      </c>
    </row>
    <row r="10819" spans="1:14" hidden="1" outlineLevel="1" x14ac:dyDescent="0.2">
      <c r="A10819" s="23" t="str">
        <f t="shared" si="504"/>
        <v>МБОУ "ТАЛЬСКАЯ СОШ"</v>
      </c>
      <c r="B10819" s="24" t="s">
        <v>13180</v>
      </c>
      <c r="C10819" s="25">
        <v>319168</v>
      </c>
      <c r="D10819" s="22" t="s">
        <v>13181</v>
      </c>
      <c r="E10819" s="22" t="s">
        <v>59</v>
      </c>
      <c r="F10819" s="23" t="str">
        <f t="shared" si="505"/>
        <v>Работы электромонтажные, связанные с установкой приборов</v>
      </c>
      <c r="G10819" s="22" t="s">
        <v>367</v>
      </c>
      <c r="H10819" s="22" t="s">
        <v>13182</v>
      </c>
      <c r="I10819" s="26">
        <v>43556.335416666698</v>
      </c>
      <c r="J10819" s="23" t="str">
        <f>HYPERLINK("https://www.spark-marketing.ru/Card/Person/2592239", "ООО ""ПЭРИАН""")</f>
        <v>ООО "ПЭРИАН"</v>
      </c>
      <c r="K10819" s="24" t="s">
        <v>13185</v>
      </c>
      <c r="L10819" s="28" t="s">
        <v>52</v>
      </c>
      <c r="M10819" s="25">
        <v>247355.2</v>
      </c>
      <c r="N10819" s="27">
        <v>0.22500000000000001</v>
      </c>
    </row>
    <row r="10820" spans="1:14" hidden="1" outlineLevel="1" x14ac:dyDescent="0.2">
      <c r="A10820" s="23" t="str">
        <f t="shared" si="504"/>
        <v>МБОУ "ТАЛЬСКАЯ СОШ"</v>
      </c>
      <c r="B10820" s="24" t="s">
        <v>13180</v>
      </c>
      <c r="C10820" s="25">
        <v>319168</v>
      </c>
      <c r="D10820" s="22" t="s">
        <v>13181</v>
      </c>
      <c r="E10820" s="22" t="s">
        <v>59</v>
      </c>
      <c r="F10820" s="23" t="str">
        <f t="shared" si="505"/>
        <v>Работы электромонтажные, связанные с установкой приборов</v>
      </c>
      <c r="G10820" s="22" t="s">
        <v>367</v>
      </c>
      <c r="H10820" s="22" t="s">
        <v>13182</v>
      </c>
      <c r="I10820" s="26">
        <v>43556.335416666698</v>
      </c>
      <c r="J10820" s="23" t="str">
        <f>HYPERLINK("https://www.spark-marketing.ru/Card/Person/4955049", "Темников Максим Анатольевич")</f>
        <v>Темников Максим Анатольевич</v>
      </c>
      <c r="K10820" s="24" t="s">
        <v>5430</v>
      </c>
      <c r="L10820" s="28" t="s">
        <v>52</v>
      </c>
      <c r="M10820" s="25">
        <v>237780.16</v>
      </c>
      <c r="N10820" s="27">
        <v>0.255</v>
      </c>
    </row>
    <row r="10821" spans="1:14" hidden="1" outlineLevel="1" x14ac:dyDescent="0.2">
      <c r="A10821" s="23" t="str">
        <f t="shared" si="504"/>
        <v>МБОУ "ТАЛЬСКАЯ СОШ"</v>
      </c>
      <c r="B10821" s="24" t="s">
        <v>13180</v>
      </c>
      <c r="C10821" s="25">
        <v>319168</v>
      </c>
      <c r="D10821" s="22" t="s">
        <v>13181</v>
      </c>
      <c r="E10821" s="22" t="s">
        <v>59</v>
      </c>
      <c r="F10821" s="23" t="str">
        <f t="shared" si="505"/>
        <v>Работы электромонтажные, связанные с установкой приборов</v>
      </c>
      <c r="G10821" s="22" t="s">
        <v>367</v>
      </c>
      <c r="H10821" s="22" t="s">
        <v>13182</v>
      </c>
      <c r="I10821" s="26">
        <v>43556.335416666698</v>
      </c>
      <c r="J10821" s="23" t="str">
        <f>HYPERLINK("https://www.spark-marketing.ru/Card/Person/447752", "ООО ""АЛТАЙ СБ""")</f>
        <v>ООО "АЛТАЙ СБ"</v>
      </c>
      <c r="K10821" s="24" t="s">
        <v>2654</v>
      </c>
      <c r="L10821" s="28" t="s">
        <v>52</v>
      </c>
      <c r="M10821" s="25">
        <v>231396</v>
      </c>
      <c r="N10821" s="27">
        <v>0.27500250651694408</v>
      </c>
    </row>
    <row r="10822" spans="1:14" hidden="1" outlineLevel="1" x14ac:dyDescent="0.2">
      <c r="A10822" s="23" t="str">
        <f t="shared" si="504"/>
        <v>МБОУ "ТАЛЬСКАЯ СОШ"</v>
      </c>
      <c r="B10822" s="24" t="s">
        <v>13180</v>
      </c>
      <c r="C10822" s="25">
        <v>319168</v>
      </c>
      <c r="D10822" s="22" t="s">
        <v>13181</v>
      </c>
      <c r="E10822" s="22" t="s">
        <v>59</v>
      </c>
      <c r="F10822" s="23" t="str">
        <f t="shared" si="505"/>
        <v>Работы электромонтажные, связанные с установкой приборов</v>
      </c>
      <c r="G10822" s="22" t="s">
        <v>367</v>
      </c>
      <c r="H10822" s="22" t="s">
        <v>13182</v>
      </c>
      <c r="I10822" s="26">
        <v>43556.335416666698</v>
      </c>
      <c r="J10822" s="23" t="str">
        <f>HYPERLINK("https://www.spark-marketing.ru/Card/Person/619503", "ООО ""АГАТ""")</f>
        <v>ООО "АГАТ"</v>
      </c>
      <c r="K10822" s="24" t="s">
        <v>2179</v>
      </c>
      <c r="L10822" s="28" t="s">
        <v>52</v>
      </c>
      <c r="M10822" s="25">
        <v>270000</v>
      </c>
      <c r="N10822" s="27">
        <v>0.15405053138159214</v>
      </c>
    </row>
    <row r="10823" spans="1:14" x14ac:dyDescent="0.15">
      <c r="A10823" s="23" t="str">
        <f>HYPERLINK("https://www.spark-marketing.ru/Card/Person/4348563", "АО ""ОТЭК""")</f>
        <v>АО "ОТЭК"</v>
      </c>
      <c r="B10823" s="24" t="s">
        <v>11312</v>
      </c>
      <c r="C10823" s="25">
        <v>0</v>
      </c>
      <c r="D10823" s="22" t="s">
        <v>13186</v>
      </c>
      <c r="E10823" s="22" t="s">
        <v>53</v>
      </c>
      <c r="F10823" s="23" t="str">
        <f>HYPERLINK("https://www.spark-marketing.ru/Card/Lot/69174060", "мониторинг цен в электронной форме на Оказание услуг по пультовой охране здания №71 НСОВ-1 для филиала АО ""ОТЭК"" в г. Северске.")</f>
        <v>мониторинг цен в электронной форме на Оказание услуг по пультовой охране здания №71 НСОВ-1 для филиала АО "ОТЭК" в г. Северске.</v>
      </c>
      <c r="G10823" s="22" t="s">
        <v>55</v>
      </c>
      <c r="H10823" s="22" t="s">
        <v>55</v>
      </c>
      <c r="I10823" s="26">
        <v>43556.288449074098</v>
      </c>
      <c r="J10823" s="28" t="s">
        <v>52</v>
      </c>
      <c r="K10823" s="28" t="s">
        <v>52</v>
      </c>
      <c r="L10823" s="28" t="s">
        <v>52</v>
      </c>
      <c r="M10823" s="28" t="s">
        <v>52</v>
      </c>
      <c r="N10823" s="28" t="s">
        <v>52</v>
      </c>
    </row>
    <row r="10824" spans="1:14" x14ac:dyDescent="0.15">
      <c r="A10824" s="23" t="str">
        <f>HYPERLINK("https://www.spark-marketing.ru/Card/Person/561604", "МАУ ""ДЗОЛ ""ЗАРЯ""")</f>
        <v>МАУ "ДЗОЛ "ЗАРЯ"</v>
      </c>
      <c r="B10824" s="24" t="s">
        <v>13187</v>
      </c>
      <c r="C10824" s="25">
        <v>19238</v>
      </c>
      <c r="D10824" s="22" t="s">
        <v>13188</v>
      </c>
      <c r="E10824" s="22" t="s">
        <v>996</v>
      </c>
      <c r="F10824" s="23" t="str">
        <f>HYPERLINK("https://www.spark-marketing.ru/Card/Lot/69135449", "Установка комплекса тревожной сигнализации в МАУ ""ДЗОЛ ""Заря""")</f>
        <v>Установка комплекса тревожной сигнализации в МАУ "ДЗОЛ "Заря"</v>
      </c>
      <c r="G10824" s="22" t="s">
        <v>72</v>
      </c>
      <c r="H10824" s="22" t="s">
        <v>72</v>
      </c>
      <c r="I10824" s="26">
        <v>43553.558032407404</v>
      </c>
      <c r="J10824" s="28" t="s">
        <v>52</v>
      </c>
      <c r="K10824" s="28" t="s">
        <v>52</v>
      </c>
      <c r="L10824" s="28" t="s">
        <v>52</v>
      </c>
      <c r="M10824" s="28" t="s">
        <v>52</v>
      </c>
      <c r="N10824" s="28" t="s">
        <v>52</v>
      </c>
    </row>
    <row r="10825" spans="1:14" x14ac:dyDescent="0.15">
      <c r="A10825" s="23" t="str">
        <f>HYPERLINK("https://www.spark-marketing.ru/Card/Person/35504", "ГБУЗ ККРД")</f>
        <v>ГБУЗ ККРД</v>
      </c>
      <c r="B10825" s="24" t="s">
        <v>13189</v>
      </c>
      <c r="C10825" s="25">
        <v>246043.33</v>
      </c>
      <c r="D10825" s="22" t="s">
        <v>13190</v>
      </c>
      <c r="E10825" s="22" t="s">
        <v>59</v>
      </c>
      <c r="F10825" s="23" t="str">
        <f>HYPERLINK("https://www.spark-marketing.ru/Card/Lot/69154323", "Установка системы видеодомофона")</f>
        <v>Установка системы видеодомофона</v>
      </c>
      <c r="G10825" s="22" t="s">
        <v>1141</v>
      </c>
      <c r="H10825" s="22" t="s">
        <v>1142</v>
      </c>
      <c r="I10825" s="26">
        <v>43553.992361111101</v>
      </c>
      <c r="J10825" s="28" t="s">
        <v>52</v>
      </c>
      <c r="K10825" s="28" t="s">
        <v>52</v>
      </c>
      <c r="L10825" s="28" t="s">
        <v>52</v>
      </c>
      <c r="M10825" s="28" t="s">
        <v>52</v>
      </c>
      <c r="N10825" s="28" t="s">
        <v>52</v>
      </c>
    </row>
    <row r="10826" spans="1:14" ht="12.75" hidden="1" outlineLevel="1" x14ac:dyDescent="0.2">
      <c r="A10826" s="23" t="str">
        <f>HYPERLINK("https://www.spark-marketing.ru/Card/Person/35504", "ГБУЗ ККРД")</f>
        <v>ГБУЗ ККРД</v>
      </c>
      <c r="B10826" s="24" t="s">
        <v>13189</v>
      </c>
      <c r="C10826" s="25">
        <v>246043.33</v>
      </c>
      <c r="D10826" s="22" t="s">
        <v>13190</v>
      </c>
      <c r="E10826" s="22" t="s">
        <v>59</v>
      </c>
      <c r="F10826" s="23" t="str">
        <f>HYPERLINK("https://www.spark-marketing.ru/Card/Lot/69154323", "Установка системы видеодомофона")</f>
        <v>Установка системы видеодомофона</v>
      </c>
      <c r="G10826" s="22" t="s">
        <v>1141</v>
      </c>
      <c r="H10826" s="22" t="s">
        <v>1142</v>
      </c>
      <c r="I10826" s="26">
        <v>43553.992361111101</v>
      </c>
      <c r="J10826" s="23" t="str">
        <f>HYPERLINK("https://www.spark-marketing.ru/Card/Person/350089", "ООО ""ИНТЕГРАЛ -СБ""")</f>
        <v>ООО "ИНТЕГРАЛ -СБ"</v>
      </c>
      <c r="K10826" s="24" t="s">
        <v>7584</v>
      </c>
      <c r="L10826" s="22" t="s">
        <v>10</v>
      </c>
      <c r="M10826" s="25">
        <v>183326.88</v>
      </c>
      <c r="N10826" s="27">
        <v>0.25490002106539528</v>
      </c>
    </row>
    <row r="10827" spans="1:14" hidden="1" outlineLevel="1" x14ac:dyDescent="0.2">
      <c r="A10827" s="23" t="str">
        <f>HYPERLINK("https://www.spark-marketing.ru/Card/Person/35504", "ГБУЗ ККРД")</f>
        <v>ГБУЗ ККРД</v>
      </c>
      <c r="B10827" s="24" t="s">
        <v>13189</v>
      </c>
      <c r="C10827" s="25">
        <v>246043.33</v>
      </c>
      <c r="D10827" s="22" t="s">
        <v>13190</v>
      </c>
      <c r="E10827" s="22" t="s">
        <v>59</v>
      </c>
      <c r="F10827" s="23" t="str">
        <f>HYPERLINK("https://www.spark-marketing.ru/Card/Lot/69154323", "Установка системы видеодомофона")</f>
        <v>Установка системы видеодомофона</v>
      </c>
      <c r="G10827" s="22" t="s">
        <v>1141</v>
      </c>
      <c r="H10827" s="22" t="s">
        <v>1142</v>
      </c>
      <c r="I10827" s="26">
        <v>43553.992361111101</v>
      </c>
      <c r="J10827" s="23" t="str">
        <f>HYPERLINK("https://www.spark-marketing.ru/Card/Person/4878495", "Денисов Максим Васильевич")</f>
        <v>Денисов Максим Васильевич</v>
      </c>
      <c r="K10827" s="24" t="s">
        <v>7273</v>
      </c>
      <c r="L10827" s="28" t="s">
        <v>52</v>
      </c>
      <c r="M10827" s="25">
        <v>184557.1</v>
      </c>
      <c r="N10827" s="27">
        <v>0.24990000744990729</v>
      </c>
    </row>
    <row r="10828" spans="1:14" x14ac:dyDescent="0.15">
      <c r="A10828" s="23" t="str">
        <f>HYPERLINK("https://www.spark-marketing.ru/Card/Person/4450008", "ООО ""КАРИ""")</f>
        <v>ООО "КАРИ"</v>
      </c>
      <c r="B10828" s="24" t="s">
        <v>2903</v>
      </c>
      <c r="C10828" s="25">
        <v>0</v>
      </c>
      <c r="D10828" s="22" t="s">
        <v>13191</v>
      </c>
      <c r="E10828" s="22" t="s">
        <v>208</v>
      </c>
      <c r="F10828" s="23" t="str">
        <f>HYPERLINK("https://www.spark-marketing.ru/Card/Lot/69163426", "Услуги по охране объекта стационарным постом (12 часовую охрану, 2 чел) 720ч/мес.")</f>
        <v>Услуги по охране объекта стационарным постом (12 часовую охрану, 2 чел) 720ч/мес.</v>
      </c>
      <c r="G10828" s="22" t="s">
        <v>281</v>
      </c>
      <c r="H10828" s="22" t="s">
        <v>2905</v>
      </c>
      <c r="I10828" s="26">
        <v>43553.788217592599</v>
      </c>
      <c r="J10828" s="28" t="s">
        <v>52</v>
      </c>
      <c r="K10828" s="28" t="s">
        <v>52</v>
      </c>
      <c r="L10828" s="28" t="s">
        <v>52</v>
      </c>
      <c r="M10828" s="28" t="s">
        <v>52</v>
      </c>
      <c r="N10828" s="28" t="s">
        <v>52</v>
      </c>
    </row>
    <row r="10829" spans="1:14" x14ac:dyDescent="0.15">
      <c r="A10829" s="23" t="str">
        <f t="shared" ref="A10829:A10834" si="506">HYPERLINK("https://www.spark-marketing.ru/Card/Person/7616", "ГКУ ""УПРАВЛЕНИЕ СТРОИТЕЛЬСТВА И ДОРОЖНОГО ХОЗЯЙСТВА ПЕНЗЕНСКОЙ ОБЛАСТИ""")</f>
        <v>ГКУ "УПРАВЛЕНИЕ СТРОИТЕЛЬСТВА И ДОРОЖНОГО ХОЗЯЙСТВА ПЕНЗЕНСКОЙ ОБЛАСТИ"</v>
      </c>
      <c r="B10829" s="24" t="s">
        <v>13192</v>
      </c>
      <c r="C10829" s="25">
        <v>2752000</v>
      </c>
      <c r="D10829" s="22" t="s">
        <v>13193</v>
      </c>
      <c r="E10829" s="22" t="s">
        <v>79</v>
      </c>
      <c r="F10829" s="23" t="str">
        <f t="shared" ref="F10829:F10834" si="507">HYPERLINK("https://www.spark-marketing.ru/Card/Lot/69163021", "Установка автоматизированной информационной системы фото-видеофиксации нарушений правил дорожного движения на автомобильной дороге «г.Тамбов-г.Пенза»- р.п.Колышлей-г.Сердобск- р.п.Беково» км 88+600 Сердобского района Пензенской области")</f>
        <v>Установка автоматизированной информационной системы фото-видеофиксации нарушений правил дорожного движения на автомобильной дороге «г.Тамбов-г.Пенза»- р.п.Колышлей-г.Сердобск- р.п.Беково» км 88+600 Сердобского района Пензенской области</v>
      </c>
      <c r="G10829" s="22" t="s">
        <v>514</v>
      </c>
      <c r="H10829" s="22" t="s">
        <v>2167</v>
      </c>
      <c r="I10829" s="26">
        <v>43553.770138888904</v>
      </c>
      <c r="J10829" s="28" t="s">
        <v>52</v>
      </c>
      <c r="K10829" s="28" t="s">
        <v>52</v>
      </c>
      <c r="L10829" s="28" t="s">
        <v>52</v>
      </c>
      <c r="M10829" s="28" t="s">
        <v>52</v>
      </c>
      <c r="N10829" s="28" t="s">
        <v>52</v>
      </c>
    </row>
    <row r="10830" spans="1:14" hidden="1" outlineLevel="1" x14ac:dyDescent="0.2">
      <c r="A10830" s="23" t="str">
        <f t="shared" si="506"/>
        <v>ГКУ "УПРАВЛЕНИЕ СТРОИТЕЛЬСТВА И ДОРОЖНОГО ХОЗЯЙСТВА ПЕНЗЕНСКОЙ ОБЛАСТИ"</v>
      </c>
      <c r="B10830" s="24" t="s">
        <v>13192</v>
      </c>
      <c r="C10830" s="25">
        <v>2752000</v>
      </c>
      <c r="D10830" s="22" t="s">
        <v>13193</v>
      </c>
      <c r="E10830" s="22" t="s">
        <v>79</v>
      </c>
      <c r="F10830" s="23" t="str">
        <f t="shared" si="507"/>
        <v>Установка автоматизированной информационной системы фото-видеофиксации нарушений правил дорожного движения на автомобильной дороге «г.Тамбов-г.Пенза»- р.п.Колышлей-г.Сердобск- р.п.Беково» км 88+600 Сердобского района Пензенской области</v>
      </c>
      <c r="G10830" s="22" t="s">
        <v>514</v>
      </c>
      <c r="H10830" s="22" t="s">
        <v>2167</v>
      </c>
      <c r="I10830" s="26">
        <v>43553.770138888904</v>
      </c>
      <c r="J10830" s="23" t="str">
        <f>HYPERLINK("https://www.spark-marketing.ru/Card/Person/10991", "ПАО ""РОСТЕЛЕКОМ""")</f>
        <v>ПАО "РОСТЕЛЕКОМ"</v>
      </c>
      <c r="K10830" s="24" t="s">
        <v>607</v>
      </c>
      <c r="L10830" s="28" t="s">
        <v>52</v>
      </c>
      <c r="M10830" s="25">
        <v>2724480</v>
      </c>
      <c r="N10830" s="27">
        <v>0.01</v>
      </c>
    </row>
    <row r="10831" spans="1:14" ht="12.75" hidden="1" outlineLevel="1" x14ac:dyDescent="0.2">
      <c r="A10831" s="23" t="str">
        <f t="shared" si="506"/>
        <v>ГКУ "УПРАВЛЕНИЕ СТРОИТЕЛЬСТВА И ДОРОЖНОГО ХОЗЯЙСТВА ПЕНЗЕНСКОЙ ОБЛАСТИ"</v>
      </c>
      <c r="B10831" s="24" t="s">
        <v>13192</v>
      </c>
      <c r="C10831" s="25">
        <v>2752000</v>
      </c>
      <c r="D10831" s="22" t="s">
        <v>13193</v>
      </c>
      <c r="E10831" s="22" t="s">
        <v>79</v>
      </c>
      <c r="F10831" s="23" t="str">
        <f t="shared" si="507"/>
        <v>Установка автоматизированной информационной системы фото-видеофиксации нарушений правил дорожного движения на автомобильной дороге «г.Тамбов-г.Пенза»- р.п.Колышлей-г.Сердобск- р.п.Беково» км 88+600 Сердобского района Пензенской области</v>
      </c>
      <c r="G10831" s="22" t="s">
        <v>514</v>
      </c>
      <c r="H10831" s="22" t="s">
        <v>2167</v>
      </c>
      <c r="I10831" s="26">
        <v>43553.770138888904</v>
      </c>
      <c r="J10831" s="23" t="str">
        <f>HYPERLINK("https://www.spark-marketing.ru/Card/Person/236655", "ООО ""ТМЦ -НН""")</f>
        <v>ООО "ТМЦ -НН"</v>
      </c>
      <c r="K10831" s="24" t="s">
        <v>4899</v>
      </c>
      <c r="L10831" s="22" t="s">
        <v>10</v>
      </c>
      <c r="M10831" s="25">
        <v>2710720</v>
      </c>
      <c r="N10831" s="27">
        <v>1.4999999999999999E-2</v>
      </c>
    </row>
    <row r="10832" spans="1:14" hidden="1" outlineLevel="1" x14ac:dyDescent="0.2">
      <c r="A10832" s="23" t="str">
        <f t="shared" si="506"/>
        <v>ГКУ "УПРАВЛЕНИЕ СТРОИТЕЛЬСТВА И ДОРОЖНОГО ХОЗЯЙСТВА ПЕНЗЕНСКОЙ ОБЛАСТИ"</v>
      </c>
      <c r="B10832" s="24" t="s">
        <v>13192</v>
      </c>
      <c r="C10832" s="25">
        <v>2752000</v>
      </c>
      <c r="D10832" s="22" t="s">
        <v>13193</v>
      </c>
      <c r="E10832" s="22" t="s">
        <v>79</v>
      </c>
      <c r="F10832" s="23" t="str">
        <f t="shared" si="507"/>
        <v>Установка автоматизированной информационной системы фото-видеофиксации нарушений правил дорожного движения на автомобильной дороге «г.Тамбов-г.Пенза»- р.п.Колышлей-г.Сердобск- р.п.Беково» км 88+600 Сердобского района Пензенской области</v>
      </c>
      <c r="G10832" s="22" t="s">
        <v>514</v>
      </c>
      <c r="H10832" s="22" t="s">
        <v>2167</v>
      </c>
      <c r="I10832" s="26">
        <v>43553.770138888904</v>
      </c>
      <c r="J10832" s="23" t="str">
        <f>HYPERLINK("https://www.spark-marketing.ru/Card/Person/10991", "ПАО ""РОСТЕЛЕКОМ""")</f>
        <v>ПАО "РОСТЕЛЕКОМ"</v>
      </c>
      <c r="K10832" s="24" t="s">
        <v>607</v>
      </c>
      <c r="L10832" s="28" t="s">
        <v>52</v>
      </c>
      <c r="M10832" s="25">
        <v>2669440</v>
      </c>
      <c r="N10832" s="27">
        <v>0.03</v>
      </c>
    </row>
    <row r="10833" spans="1:14" ht="12.75" hidden="1" outlineLevel="1" x14ac:dyDescent="0.2">
      <c r="A10833" s="23" t="str">
        <f t="shared" si="506"/>
        <v>ГКУ "УПРАВЛЕНИЕ СТРОИТЕЛЬСТВА И ДОРОЖНОГО ХОЗЯЙСТВА ПЕНЗЕНСКОЙ ОБЛАСТИ"</v>
      </c>
      <c r="B10833" s="24" t="s">
        <v>13192</v>
      </c>
      <c r="C10833" s="25">
        <v>2752000</v>
      </c>
      <c r="D10833" s="22" t="s">
        <v>13193</v>
      </c>
      <c r="E10833" s="22" t="s">
        <v>79</v>
      </c>
      <c r="F10833" s="23" t="str">
        <f t="shared" si="507"/>
        <v>Установка автоматизированной информационной системы фото-видеофиксации нарушений правил дорожного движения на автомобильной дороге «г.Тамбов-г.Пенза»- р.п.Колышлей-г.Сердобск- р.п.Беково» км 88+600 Сердобского района Пензенской области</v>
      </c>
      <c r="G10833" s="22" t="s">
        <v>514</v>
      </c>
      <c r="H10833" s="22" t="s">
        <v>2167</v>
      </c>
      <c r="I10833" s="26">
        <v>43553.770138888904</v>
      </c>
      <c r="J10833" s="23" t="str">
        <f>HYPERLINK("https://www.spark-marketing.ru/Card/Person/236655", "ООО ""ТМЦ -НН""")</f>
        <v>ООО "ТМЦ -НН"</v>
      </c>
      <c r="K10833" s="24" t="s">
        <v>4899</v>
      </c>
      <c r="L10833" s="22" t="s">
        <v>10</v>
      </c>
      <c r="M10833" s="25">
        <v>2655680</v>
      </c>
      <c r="N10833" s="27">
        <v>3.5000000000000003E-2</v>
      </c>
    </row>
    <row r="10834" spans="1:14" hidden="1" outlineLevel="1" x14ac:dyDescent="0.2">
      <c r="A10834" s="23" t="str">
        <f t="shared" si="506"/>
        <v>ГКУ "УПРАВЛЕНИЕ СТРОИТЕЛЬСТВА И ДОРОЖНОГО ХОЗЯЙСТВА ПЕНЗЕНСКОЙ ОБЛАСТИ"</v>
      </c>
      <c r="B10834" s="24" t="s">
        <v>13192</v>
      </c>
      <c r="C10834" s="25">
        <v>2752000</v>
      </c>
      <c r="D10834" s="22" t="s">
        <v>13193</v>
      </c>
      <c r="E10834" s="22" t="s">
        <v>79</v>
      </c>
      <c r="F10834" s="23" t="str">
        <f t="shared" si="507"/>
        <v>Установка автоматизированной информационной системы фото-видеофиксации нарушений правил дорожного движения на автомобильной дороге «г.Тамбов-г.Пенза»- р.п.Колышлей-г.Сердобск- р.п.Беково» км 88+600 Сердобского района Пензенской области</v>
      </c>
      <c r="G10834" s="22" t="s">
        <v>514</v>
      </c>
      <c r="H10834" s="22" t="s">
        <v>2167</v>
      </c>
      <c r="I10834" s="26">
        <v>43553.770138888904</v>
      </c>
      <c r="J10834" s="23" t="str">
        <f>HYPERLINK("https://www.spark-marketing.ru/Card/Person/21753", "Поволжский филиал ПАО ""МЕГАФОН""")</f>
        <v>Поволжский филиал ПАО "МЕГАФОН"</v>
      </c>
      <c r="K10834" s="24" t="s">
        <v>2783</v>
      </c>
      <c r="L10834" s="28" t="s">
        <v>52</v>
      </c>
      <c r="M10834" s="25">
        <v>2738240</v>
      </c>
      <c r="N10834" s="27">
        <v>5.0000000000000001E-3</v>
      </c>
    </row>
    <row r="10835" spans="1:14" x14ac:dyDescent="0.15">
      <c r="A10835" s="23" t="str">
        <f>HYPERLINK("https://www.spark-marketing.ru/Card/Person/95245", "ОАО ""РЖД""")</f>
        <v>ОАО "РЖД"</v>
      </c>
      <c r="B10835" s="24" t="s">
        <v>163</v>
      </c>
      <c r="C10835" s="25">
        <v>6720000</v>
      </c>
      <c r="D10835" s="22" t="s">
        <v>13194</v>
      </c>
      <c r="E10835" s="22" t="s">
        <v>562</v>
      </c>
      <c r="F10835" s="23" t="str">
        <f>HYPERLINK("https://www.spark-marketing.ru/Card/Lot/69155843", "На право заключения договора оказания услуг по техническому обслуживанию оборудования видеоконференцсвязи")</f>
        <v>На право заключения договора оказания услуг по техническому обслуживанию оборудования видеоконференцсвязи</v>
      </c>
      <c r="G10835" s="22" t="s">
        <v>55</v>
      </c>
      <c r="H10835" s="22" t="s">
        <v>55</v>
      </c>
      <c r="I10835" s="26">
        <v>43553.756215277797</v>
      </c>
      <c r="J10835" s="23" t="str">
        <f>HYPERLINK("https://www.spark-marketing.ru/Card/Person/932670", "ООО ""КОРИНФОТЕХ""")</f>
        <v>ООО "КОРИНФОТЕХ"</v>
      </c>
      <c r="K10835" s="24" t="s">
        <v>13195</v>
      </c>
      <c r="L10835" s="28" t="s">
        <v>52</v>
      </c>
      <c r="M10835" s="28" t="s">
        <v>52</v>
      </c>
      <c r="N10835" s="28" t="s">
        <v>52</v>
      </c>
    </row>
    <row r="10836" spans="1:14" hidden="1" outlineLevel="1" x14ac:dyDescent="0.2">
      <c r="A10836" s="23" t="str">
        <f>HYPERLINK("https://www.spark-marketing.ru/Card/Person/95245", "ОАО ""РЖД""")</f>
        <v>ОАО "РЖД"</v>
      </c>
      <c r="B10836" s="24" t="s">
        <v>163</v>
      </c>
      <c r="C10836" s="28" t="s">
        <v>52</v>
      </c>
      <c r="D10836" s="22" t="s">
        <v>13194</v>
      </c>
      <c r="E10836" s="22" t="s">
        <v>562</v>
      </c>
      <c r="F10836" s="23" t="str">
        <f>HYPERLINK("https://www.spark-marketing.ru/Card/Lot/69155843", "На право заключения договора оказания услуг по техническому обслуживанию оборудования видеоконференцсвязи")</f>
        <v>На право заключения договора оказания услуг по техническому обслуживанию оборудования видеоконференцсвязи</v>
      </c>
      <c r="G10836" s="22" t="s">
        <v>55</v>
      </c>
      <c r="H10836" s="22" t="s">
        <v>55</v>
      </c>
      <c r="I10836" s="26">
        <v>43553.756215277797</v>
      </c>
      <c r="J10836" s="23" t="str">
        <f>HYPERLINK("https://www.spark-marketing.ru/Card/Person/932670", "ООО ""КОРИНФОТЕХ""")</f>
        <v>ООО "КОРИНФОТЕХ"</v>
      </c>
      <c r="K10836" s="24" t="s">
        <v>13195</v>
      </c>
      <c r="L10836" s="28" t="s">
        <v>52</v>
      </c>
      <c r="M10836" s="25">
        <v>4754000</v>
      </c>
      <c r="N10836" s="27">
        <v>0.29255952380952382</v>
      </c>
    </row>
    <row r="10837" spans="1:14" x14ac:dyDescent="0.15">
      <c r="A10837" s="23" t="str">
        <f>HYPERLINK("https://www.spark-marketing.ru/Card/Person/26390", "МЭРИЯ ГОРОДА КЫЗЫЛА")</f>
        <v>МЭРИЯ ГОРОДА КЫЗЫЛА</v>
      </c>
      <c r="B10837" s="24" t="s">
        <v>13196</v>
      </c>
      <c r="C10837" s="25">
        <v>478020</v>
      </c>
      <c r="D10837" s="22" t="s">
        <v>13197</v>
      </c>
      <c r="E10837" s="22" t="s">
        <v>84</v>
      </c>
      <c r="F10837" s="23" t="str">
        <f>HYPERLINK("https://www.spark-marketing.ru/Card/Lot/69152208", "Оказание услуг по установке систем видеонаблюдения")</f>
        <v>Оказание услуг по установке систем видеонаблюдения</v>
      </c>
      <c r="G10837" s="22" t="s">
        <v>2193</v>
      </c>
      <c r="H10837" s="22" t="s">
        <v>2194</v>
      </c>
      <c r="I10837" s="26">
        <v>43553.730555555601</v>
      </c>
      <c r="J10837" s="23" t="str">
        <f>HYPERLINK("https://www.spark-marketing.ru/Card/Person/464042", "Саликов Роман Павлович")</f>
        <v>Саликов Роман Павлович</v>
      </c>
      <c r="K10837" s="24" t="s">
        <v>13198</v>
      </c>
      <c r="L10837" s="22" t="s">
        <v>10</v>
      </c>
      <c r="M10837" s="28" t="s">
        <v>52</v>
      </c>
      <c r="N10837" s="28" t="s">
        <v>52</v>
      </c>
    </row>
    <row r="10838" spans="1:14" x14ac:dyDescent="0.15">
      <c r="A10838" s="23" t="str">
        <f>HYPERLINK("https://www.spark-marketing.ru/Card/Person/16031", "ФГБУ ""НМИЦ АГП ИМ. В.И.КУЛАКОВА"" МИНЗДРАВА РОССИИ")</f>
        <v>ФГБУ "НМИЦ АГП ИМ. В.И.КУЛАКОВА" МИНЗДРАВА РОССИИ</v>
      </c>
      <c r="B10838" s="24" t="s">
        <v>10539</v>
      </c>
      <c r="C10838" s="25">
        <v>937751.44</v>
      </c>
      <c r="D10838" s="22" t="s">
        <v>13199</v>
      </c>
      <c r="E10838" s="22" t="s">
        <v>10541</v>
      </c>
      <c r="F10838" s="23" t="str">
        <f>HYPERLINK("https://www.spark-marketing.ru/Card/Lot/69151206", "Техническое обслуживанию систем контроля и управления доступом и систем видеонаблюдения")</f>
        <v>Техническое обслуживанию систем контроля и управления доступом и систем видеонаблюдения</v>
      </c>
      <c r="G10838" s="22" t="s">
        <v>55</v>
      </c>
      <c r="H10838" s="22" t="s">
        <v>55</v>
      </c>
      <c r="I10838" s="26">
        <v>43553.711805555598</v>
      </c>
      <c r="J10838" s="28" t="s">
        <v>52</v>
      </c>
      <c r="K10838" s="28" t="s">
        <v>52</v>
      </c>
      <c r="L10838" s="28" t="s">
        <v>52</v>
      </c>
      <c r="M10838" s="28" t="s">
        <v>52</v>
      </c>
      <c r="N10838" s="28" t="s">
        <v>52</v>
      </c>
    </row>
    <row r="10839" spans="1:14" hidden="1" outlineLevel="1" x14ac:dyDescent="0.15">
      <c r="A10839" s="23" t="str">
        <f>HYPERLINK("https://www.spark-marketing.ru/Card/Person/16031", "ФГБУ ""НМИЦ АГП ИМ. В.И.КУЛАКОВА"" МИНЗДРАВА РОССИИ")</f>
        <v>ФГБУ "НМИЦ АГП ИМ. В.И.КУЛАКОВА" МИНЗДРАВА РОССИИ</v>
      </c>
      <c r="B10839" s="24" t="s">
        <v>10539</v>
      </c>
      <c r="C10839" s="28" t="s">
        <v>52</v>
      </c>
      <c r="D10839" s="22" t="s">
        <v>13199</v>
      </c>
      <c r="E10839" s="22" t="s">
        <v>10541</v>
      </c>
      <c r="F10839" s="23" t="str">
        <f>HYPERLINK("https://www.spark-marketing.ru/Card/Lot/69151206", "Техническое обслуживанию систем контроля и управления доступом и систем видеонаблюдения")</f>
        <v>Техническое обслуживанию систем контроля и управления доступом и систем видеонаблюдения</v>
      </c>
      <c r="G10839" s="22" t="s">
        <v>55</v>
      </c>
      <c r="H10839" s="22" t="s">
        <v>55</v>
      </c>
      <c r="I10839" s="26">
        <v>43553.711805555598</v>
      </c>
      <c r="J10839" s="23" t="str">
        <f>HYPERLINK("https://www.spark-marketing.ru/Card/Person/14846", "ООО ""ФЭЗЕРА""")</f>
        <v>ООО "ФЭЗЕРА"</v>
      </c>
      <c r="K10839" s="24" t="s">
        <v>1216</v>
      </c>
      <c r="L10839" s="28" t="s">
        <v>52</v>
      </c>
      <c r="M10839" s="28" t="s">
        <v>52</v>
      </c>
      <c r="N10839" s="28" t="s">
        <v>52</v>
      </c>
    </row>
    <row r="10840" spans="1:14" hidden="1" outlineLevel="1" x14ac:dyDescent="0.15">
      <c r="A10840" s="23" t="str">
        <f>HYPERLINK("https://www.spark-marketing.ru/Card/Person/16031", "ФГБУ ""НМИЦ АГП ИМ. В.И.КУЛАКОВА"" МИНЗДРАВА РОССИИ")</f>
        <v>ФГБУ "НМИЦ АГП ИМ. В.И.КУЛАКОВА" МИНЗДРАВА РОССИИ</v>
      </c>
      <c r="B10840" s="24" t="s">
        <v>10539</v>
      </c>
      <c r="C10840" s="28" t="s">
        <v>52</v>
      </c>
      <c r="D10840" s="22" t="s">
        <v>13199</v>
      </c>
      <c r="E10840" s="22" t="s">
        <v>10541</v>
      </c>
      <c r="F10840" s="23" t="str">
        <f>HYPERLINK("https://www.spark-marketing.ru/Card/Lot/69151206", "Техническое обслуживанию систем контроля и управления доступом и систем видеонаблюдения")</f>
        <v>Техническое обслуживанию систем контроля и управления доступом и систем видеонаблюдения</v>
      </c>
      <c r="G10840" s="22" t="s">
        <v>55</v>
      </c>
      <c r="H10840" s="22" t="s">
        <v>55</v>
      </c>
      <c r="I10840" s="26">
        <v>43553.711805555598</v>
      </c>
      <c r="J10840" s="23" t="str">
        <f>HYPERLINK("https://www.spark-marketing.ru/Card/Person/56171", "ООО ""РЭЛКОН СТРОЙ""")</f>
        <v>ООО "РЭЛКОН СТРОЙ"</v>
      </c>
      <c r="K10840" s="24" t="s">
        <v>13200</v>
      </c>
      <c r="L10840" s="28" t="s">
        <v>52</v>
      </c>
      <c r="M10840" s="28" t="s">
        <v>52</v>
      </c>
      <c r="N10840" s="28" t="s">
        <v>52</v>
      </c>
    </row>
    <row r="10841" spans="1:14" x14ac:dyDescent="0.15">
      <c r="A10841" s="23" t="str">
        <f>HYPERLINK("https://www.spark-marketing.ru/Card/Person/18564", "АДМИНИСТРАЦИЯ САЛЬСКОГО ГОРОДСКОГО ПОСЕЛЕНИЯ")</f>
        <v>АДМИНИСТРАЦИЯ САЛЬСКОГО ГОРОДСКОГО ПОСЕЛЕНИЯ</v>
      </c>
      <c r="B10841" s="24" t="s">
        <v>13201</v>
      </c>
      <c r="C10841" s="25">
        <v>610999.98</v>
      </c>
      <c r="D10841" s="22" t="s">
        <v>13202</v>
      </c>
      <c r="E10841" s="22" t="s">
        <v>1013</v>
      </c>
      <c r="F10841" s="23" t="str">
        <f>HYPERLINK("https://www.spark-marketing.ru/Card/Lot/69160692", "Осуществление мероприятий по обеспечению безопасности людей на водных объектах,  охране их жизни и здоровья")</f>
        <v>Осуществление мероприятий по обеспечению безопасности людей на водных объектах,  охране их жизни и здоровья</v>
      </c>
      <c r="G10841" s="22" t="s">
        <v>402</v>
      </c>
      <c r="H10841" s="22" t="s">
        <v>402</v>
      </c>
      <c r="I10841" s="26">
        <v>43553.6875</v>
      </c>
      <c r="J10841" s="28" t="s">
        <v>52</v>
      </c>
      <c r="K10841" s="28" t="s">
        <v>52</v>
      </c>
      <c r="L10841" s="28" t="s">
        <v>52</v>
      </c>
      <c r="M10841" s="28" t="s">
        <v>52</v>
      </c>
      <c r="N10841" s="28" t="s">
        <v>52</v>
      </c>
    </row>
    <row r="10842" spans="1:14" ht="12.75" hidden="1" outlineLevel="1" x14ac:dyDescent="0.2">
      <c r="A10842" s="23" t="str">
        <f>HYPERLINK("https://www.spark-marketing.ru/Card/Person/18564", "АДМИНИСТРАЦИЯ САЛЬСКОГО ГОРОДСКОГО ПОСЕЛЕНИЯ")</f>
        <v>АДМИНИСТРАЦИЯ САЛЬСКОГО ГОРОДСКОГО ПОСЕЛЕНИЯ</v>
      </c>
      <c r="B10842" s="24" t="s">
        <v>13201</v>
      </c>
      <c r="C10842" s="25">
        <v>610999.98</v>
      </c>
      <c r="D10842" s="22" t="s">
        <v>13202</v>
      </c>
      <c r="E10842" s="22" t="s">
        <v>1013</v>
      </c>
      <c r="F10842" s="23" t="str">
        <f>HYPERLINK("https://www.spark-marketing.ru/Card/Lot/69160692", "Осуществление мероприятий по обеспечению безопасности людей на водных объектах,  охране их жизни и здоровья")</f>
        <v>Осуществление мероприятий по обеспечению безопасности людей на водных объектах,  охране их жизни и здоровья</v>
      </c>
      <c r="G10842" s="22" t="s">
        <v>402</v>
      </c>
      <c r="H10842" s="22" t="s">
        <v>402</v>
      </c>
      <c r="I10842" s="26">
        <v>43553.6875</v>
      </c>
      <c r="J10842" s="23" t="str">
        <f>HYPERLINK("https://www.spark-marketing.ru/Card/Person/6075864", "Садовская Галина Евгеньевна")</f>
        <v>Садовская Галина Евгеньевна</v>
      </c>
      <c r="K10842" s="24" t="s">
        <v>13203</v>
      </c>
      <c r="L10842" s="22" t="s">
        <v>10</v>
      </c>
      <c r="M10842" s="25">
        <v>321113</v>
      </c>
      <c r="N10842" s="27">
        <v>0.47444679130758727</v>
      </c>
    </row>
    <row r="10843" spans="1:14" hidden="1" outlineLevel="1" x14ac:dyDescent="0.2">
      <c r="A10843" s="23" t="str">
        <f>HYPERLINK("https://www.spark-marketing.ru/Card/Person/18564", "АДМИНИСТРАЦИЯ САЛЬСКОГО ГОРОДСКОГО ПОСЕЛЕНИЯ")</f>
        <v>АДМИНИСТРАЦИЯ САЛЬСКОГО ГОРОДСКОГО ПОСЕЛЕНИЯ</v>
      </c>
      <c r="B10843" s="24" t="s">
        <v>13201</v>
      </c>
      <c r="C10843" s="25">
        <v>610999.98</v>
      </c>
      <c r="D10843" s="22" t="s">
        <v>13202</v>
      </c>
      <c r="E10843" s="22" t="s">
        <v>1013</v>
      </c>
      <c r="F10843" s="23" t="str">
        <f>HYPERLINK("https://www.spark-marketing.ru/Card/Lot/69160692", "Осуществление мероприятий по обеспечению безопасности людей на водных объектах,  охране их жизни и здоровья")</f>
        <v>Осуществление мероприятий по обеспечению безопасности людей на водных объектах,  охране их жизни и здоровья</v>
      </c>
      <c r="G10843" s="22" t="s">
        <v>402</v>
      </c>
      <c r="H10843" s="22" t="s">
        <v>402</v>
      </c>
      <c r="I10843" s="26">
        <v>43553.6875</v>
      </c>
      <c r="J10843" s="23" t="str">
        <f>HYPERLINK("https://www.spark-marketing.ru/Card/Person/6234534", "МУП ""КОМФОРТНАЯ СРЕДА"" САЛЬСКОГО ГОРОДСКОГО ПОСЕЛЕНИЯ")</f>
        <v>МУП "КОМФОРТНАЯ СРЕДА" САЛЬСКОГО ГОРОДСКОГО ПОСЕЛЕНИЯ</v>
      </c>
      <c r="K10843" s="24" t="s">
        <v>13204</v>
      </c>
      <c r="L10843" s="28" t="s">
        <v>52</v>
      </c>
      <c r="M10843" s="25">
        <v>324167.99</v>
      </c>
      <c r="N10843" s="27">
        <v>0.4694468075105338</v>
      </c>
    </row>
    <row r="10844" spans="1:14" x14ac:dyDescent="0.15">
      <c r="A10844" s="23" t="str">
        <f t="shared" ref="A10844:A10855" si="508">HYPERLINK("https://www.spark-marketing.ru/Card/Person/7616", "ГКУ ""УПРАВЛЕНИЕ СТРОИТЕЛЬСТВА И ДОРОЖНОГО ХОЗЯЙСТВА ПЕНЗЕНСКОЙ ОБЛАСТИ""")</f>
        <v>ГКУ "УПРАВЛЕНИЕ СТРОИТЕЛЬСТВА И ДОРОЖНОГО ХОЗЯЙСТВА ПЕНЗЕНСКОЙ ОБЛАСТИ"</v>
      </c>
      <c r="B10844" s="24" t="s">
        <v>13192</v>
      </c>
      <c r="C10844" s="25">
        <v>2752000</v>
      </c>
      <c r="D10844" s="22" t="s">
        <v>13205</v>
      </c>
      <c r="E10844" s="22" t="s">
        <v>79</v>
      </c>
      <c r="F10844" s="23" t="str">
        <f t="shared" ref="F10844:F10849" si="509">HYPERLINK("https://www.spark-marketing.ru/Card/Lot/69161475", "Установка автоматизированной информационной системы фото-видеофиксации нарушений правил дорожного движения на автомобильной дороге «г.Городище-г.Никольск-д.Ночка-гр. области» км 1+800 Городищенского района Пензенской области")</f>
        <v>Установка автоматизированной информационной системы фото-видеофиксации нарушений правил дорожного движения на автомобильной дороге «г.Городище-г.Никольск-д.Ночка-гр. области» км 1+800 Городищенского района Пензенской области</v>
      </c>
      <c r="G10844" s="22" t="s">
        <v>514</v>
      </c>
      <c r="H10844" s="22" t="s">
        <v>2167</v>
      </c>
      <c r="I10844" s="26">
        <v>43553.698611111096</v>
      </c>
      <c r="J10844" s="28" t="s">
        <v>52</v>
      </c>
      <c r="K10844" s="28" t="s">
        <v>52</v>
      </c>
      <c r="L10844" s="28" t="s">
        <v>52</v>
      </c>
      <c r="M10844" s="28" t="s">
        <v>52</v>
      </c>
      <c r="N10844" s="28" t="s">
        <v>52</v>
      </c>
    </row>
    <row r="10845" spans="1:14" hidden="1" outlineLevel="1" x14ac:dyDescent="0.2">
      <c r="A10845" s="23" t="str">
        <f t="shared" si="508"/>
        <v>ГКУ "УПРАВЛЕНИЕ СТРОИТЕЛЬСТВА И ДОРОЖНОГО ХОЗЯЙСТВА ПЕНЗЕНСКОЙ ОБЛАСТИ"</v>
      </c>
      <c r="B10845" s="24" t="s">
        <v>13192</v>
      </c>
      <c r="C10845" s="25">
        <v>2752000</v>
      </c>
      <c r="D10845" s="22" t="s">
        <v>13205</v>
      </c>
      <c r="E10845" s="22" t="s">
        <v>79</v>
      </c>
      <c r="F10845" s="23" t="str">
        <f t="shared" si="509"/>
        <v>Установка автоматизированной информационной системы фото-видеофиксации нарушений правил дорожного движения на автомобильной дороге «г.Городище-г.Никольск-д.Ночка-гр. области» км 1+800 Городищенского района Пензенской области</v>
      </c>
      <c r="G10845" s="22" t="s">
        <v>514</v>
      </c>
      <c r="H10845" s="22" t="s">
        <v>2167</v>
      </c>
      <c r="I10845" s="26">
        <v>43553.698611111096</v>
      </c>
      <c r="J10845" s="23" t="str">
        <f>HYPERLINK("https://www.spark-marketing.ru/Card/Person/10991", "ПАО ""РОСТЕЛЕКОМ""")</f>
        <v>ПАО "РОСТЕЛЕКОМ"</v>
      </c>
      <c r="K10845" s="24" t="s">
        <v>607</v>
      </c>
      <c r="L10845" s="28" t="s">
        <v>52</v>
      </c>
      <c r="M10845" s="25">
        <v>2724480</v>
      </c>
      <c r="N10845" s="27">
        <v>0.01</v>
      </c>
    </row>
    <row r="10846" spans="1:14" ht="12.75" hidden="1" outlineLevel="1" x14ac:dyDescent="0.2">
      <c r="A10846" s="23" t="str">
        <f t="shared" si="508"/>
        <v>ГКУ "УПРАВЛЕНИЕ СТРОИТЕЛЬСТВА И ДОРОЖНОГО ХОЗЯЙСТВА ПЕНЗЕНСКОЙ ОБЛАСТИ"</v>
      </c>
      <c r="B10846" s="24" t="s">
        <v>13192</v>
      </c>
      <c r="C10846" s="25">
        <v>2752000</v>
      </c>
      <c r="D10846" s="22" t="s">
        <v>13205</v>
      </c>
      <c r="E10846" s="22" t="s">
        <v>79</v>
      </c>
      <c r="F10846" s="23" t="str">
        <f t="shared" si="509"/>
        <v>Установка автоматизированной информационной системы фото-видеофиксации нарушений правил дорожного движения на автомобильной дороге «г.Городище-г.Никольск-д.Ночка-гр. области» км 1+800 Городищенского района Пензенской области</v>
      </c>
      <c r="G10846" s="22" t="s">
        <v>514</v>
      </c>
      <c r="H10846" s="22" t="s">
        <v>2167</v>
      </c>
      <c r="I10846" s="26">
        <v>43553.698611111096</v>
      </c>
      <c r="J10846" s="23" t="str">
        <f>HYPERLINK("https://www.spark-marketing.ru/Card/Person/236655", "ООО ""ТМЦ -НН""")</f>
        <v>ООО "ТМЦ -НН"</v>
      </c>
      <c r="K10846" s="24" t="s">
        <v>4899</v>
      </c>
      <c r="L10846" s="22" t="s">
        <v>10</v>
      </c>
      <c r="M10846" s="25">
        <v>2710720</v>
      </c>
      <c r="N10846" s="27">
        <v>1.4999999999999999E-2</v>
      </c>
    </row>
    <row r="10847" spans="1:14" hidden="1" outlineLevel="1" x14ac:dyDescent="0.2">
      <c r="A10847" s="23" t="str">
        <f t="shared" si="508"/>
        <v>ГКУ "УПРАВЛЕНИЕ СТРОИТЕЛЬСТВА И ДОРОЖНОГО ХОЗЯЙСТВА ПЕНЗЕНСКОЙ ОБЛАСТИ"</v>
      </c>
      <c r="B10847" s="24" t="s">
        <v>13192</v>
      </c>
      <c r="C10847" s="25">
        <v>2752000</v>
      </c>
      <c r="D10847" s="22" t="s">
        <v>13205</v>
      </c>
      <c r="E10847" s="22" t="s">
        <v>79</v>
      </c>
      <c r="F10847" s="23" t="str">
        <f t="shared" si="509"/>
        <v>Установка автоматизированной информационной системы фото-видеофиксации нарушений правил дорожного движения на автомобильной дороге «г.Городище-г.Никольск-д.Ночка-гр. области» км 1+800 Городищенского района Пензенской области</v>
      </c>
      <c r="G10847" s="22" t="s">
        <v>514</v>
      </c>
      <c r="H10847" s="22" t="s">
        <v>2167</v>
      </c>
      <c r="I10847" s="26">
        <v>43553.698611111096</v>
      </c>
      <c r="J10847" s="23" t="str">
        <f>HYPERLINK("https://www.spark-marketing.ru/Card/Person/21753", "Поволжский филиал ПАО ""МЕГАФОН""")</f>
        <v>Поволжский филиал ПАО "МЕГАФОН"</v>
      </c>
      <c r="K10847" s="24" t="s">
        <v>2783</v>
      </c>
      <c r="L10847" s="28" t="s">
        <v>52</v>
      </c>
      <c r="M10847" s="25">
        <v>2738240</v>
      </c>
      <c r="N10847" s="27">
        <v>5.0000000000000001E-3</v>
      </c>
    </row>
    <row r="10848" spans="1:14" hidden="1" outlineLevel="1" x14ac:dyDescent="0.2">
      <c r="A10848" s="23" t="str">
        <f t="shared" si="508"/>
        <v>ГКУ "УПРАВЛЕНИЕ СТРОИТЕЛЬСТВА И ДОРОЖНОГО ХОЗЯЙСТВА ПЕНЗЕНСКОЙ ОБЛАСТИ"</v>
      </c>
      <c r="B10848" s="24" t="s">
        <v>13192</v>
      </c>
      <c r="C10848" s="25">
        <v>2752000</v>
      </c>
      <c r="D10848" s="22" t="s">
        <v>13205</v>
      </c>
      <c r="E10848" s="22" t="s">
        <v>79</v>
      </c>
      <c r="F10848" s="23" t="str">
        <f t="shared" si="509"/>
        <v>Установка автоматизированной информационной системы фото-видеофиксации нарушений правил дорожного движения на автомобильной дороге «г.Городище-г.Никольск-д.Ночка-гр. области» км 1+800 Городищенского района Пензенской области</v>
      </c>
      <c r="G10848" s="22" t="s">
        <v>514</v>
      </c>
      <c r="H10848" s="22" t="s">
        <v>2167</v>
      </c>
      <c r="I10848" s="26">
        <v>43553.698611111096</v>
      </c>
      <c r="J10848" s="23" t="str">
        <f>HYPERLINK("https://www.spark-marketing.ru/Card/Person/10991", "ПАО ""РОСТЕЛЕКОМ""")</f>
        <v>ПАО "РОСТЕЛЕКОМ"</v>
      </c>
      <c r="K10848" s="24" t="s">
        <v>607</v>
      </c>
      <c r="L10848" s="28" t="s">
        <v>52</v>
      </c>
      <c r="M10848" s="25">
        <v>2696960</v>
      </c>
      <c r="N10848" s="27">
        <v>0.02</v>
      </c>
    </row>
    <row r="10849" spans="1:14" ht="12.75" hidden="1" outlineLevel="1" x14ac:dyDescent="0.2">
      <c r="A10849" s="23" t="str">
        <f t="shared" si="508"/>
        <v>ГКУ "УПРАВЛЕНИЕ СТРОИТЕЛЬСТВА И ДОРОЖНОГО ХОЗЯЙСТВА ПЕНЗЕНСКОЙ ОБЛАСТИ"</v>
      </c>
      <c r="B10849" s="24" t="s">
        <v>13192</v>
      </c>
      <c r="C10849" s="25">
        <v>2752000</v>
      </c>
      <c r="D10849" s="22" t="s">
        <v>13205</v>
      </c>
      <c r="E10849" s="22" t="s">
        <v>79</v>
      </c>
      <c r="F10849" s="23" t="str">
        <f t="shared" si="509"/>
        <v>Установка автоматизированной информационной системы фото-видеофиксации нарушений правил дорожного движения на автомобильной дороге «г.Городище-г.Никольск-д.Ночка-гр. области» км 1+800 Городищенского района Пензенской области</v>
      </c>
      <c r="G10849" s="22" t="s">
        <v>514</v>
      </c>
      <c r="H10849" s="22" t="s">
        <v>2167</v>
      </c>
      <c r="I10849" s="26">
        <v>43553.698611111096</v>
      </c>
      <c r="J10849" s="23" t="str">
        <f>HYPERLINK("https://www.spark-marketing.ru/Card/Person/236655", "ООО ""ТМЦ -НН""")</f>
        <v>ООО "ТМЦ -НН"</v>
      </c>
      <c r="K10849" s="24" t="s">
        <v>4899</v>
      </c>
      <c r="L10849" s="22" t="s">
        <v>10</v>
      </c>
      <c r="M10849" s="25">
        <v>2683200</v>
      </c>
      <c r="N10849" s="27">
        <v>2.5000000000000001E-2</v>
      </c>
    </row>
    <row r="10850" spans="1:14" x14ac:dyDescent="0.15">
      <c r="A10850" s="23" t="str">
        <f t="shared" si="508"/>
        <v>ГКУ "УПРАВЛЕНИЕ СТРОИТЕЛЬСТВА И ДОРОЖНОГО ХОЗЯЙСТВА ПЕНЗЕНСКОЙ ОБЛАСТИ"</v>
      </c>
      <c r="B10850" s="24" t="s">
        <v>13192</v>
      </c>
      <c r="C10850" s="25">
        <v>2752000</v>
      </c>
      <c r="D10850" s="22" t="s">
        <v>13206</v>
      </c>
      <c r="E10850" s="22" t="s">
        <v>79</v>
      </c>
      <c r="F10850" s="23" t="str">
        <f t="shared" ref="F10850:F10855" si="510">HYPERLINK("https://www.spark-marketing.ru/Card/Lot/69161474", "Установка автоматизированной информационной системы фото-видеофиксации нарушений правил дорожного движения на автомобильной дороге «с.Кувак-Никольское-с.Вадинск-р.п.Земетчино» км 31+000 Вадинского района Пензенской области")</f>
        <v>Установка автоматизированной информационной системы фото-видеофиксации нарушений правил дорожного движения на автомобильной дороге «с.Кувак-Никольское-с.Вадинск-р.п.Земетчино» км 31+000 Вадинского района Пензенской области</v>
      </c>
      <c r="G10850" s="22" t="s">
        <v>514</v>
      </c>
      <c r="H10850" s="22" t="s">
        <v>2167</v>
      </c>
      <c r="I10850" s="26">
        <v>43553.697916666701</v>
      </c>
      <c r="J10850" s="28" t="s">
        <v>52</v>
      </c>
      <c r="K10850" s="28" t="s">
        <v>52</v>
      </c>
      <c r="L10850" s="28" t="s">
        <v>52</v>
      </c>
      <c r="M10850" s="28" t="s">
        <v>52</v>
      </c>
      <c r="N10850" s="28" t="s">
        <v>52</v>
      </c>
    </row>
    <row r="10851" spans="1:14" hidden="1" outlineLevel="1" x14ac:dyDescent="0.2">
      <c r="A10851" s="23" t="str">
        <f t="shared" si="508"/>
        <v>ГКУ "УПРАВЛЕНИЕ СТРОИТЕЛЬСТВА И ДОРОЖНОГО ХОЗЯЙСТВА ПЕНЗЕНСКОЙ ОБЛАСТИ"</v>
      </c>
      <c r="B10851" s="24" t="s">
        <v>13192</v>
      </c>
      <c r="C10851" s="25">
        <v>2752000</v>
      </c>
      <c r="D10851" s="22" t="s">
        <v>13206</v>
      </c>
      <c r="E10851" s="22" t="s">
        <v>79</v>
      </c>
      <c r="F10851" s="23" t="str">
        <f t="shared" si="510"/>
        <v>Установка автоматизированной информационной системы фото-видеофиксации нарушений правил дорожного движения на автомобильной дороге «с.Кувак-Никольское-с.Вадинск-р.п.Земетчино» км 31+000 Вадинского района Пензенской области</v>
      </c>
      <c r="G10851" s="22" t="s">
        <v>514</v>
      </c>
      <c r="H10851" s="22" t="s">
        <v>2167</v>
      </c>
      <c r="I10851" s="26">
        <v>43553.697916666701</v>
      </c>
      <c r="J10851" s="23" t="str">
        <f>HYPERLINK("https://www.spark-marketing.ru/Card/Person/10991", "ПАО ""РОСТЕЛЕКОМ""")</f>
        <v>ПАО "РОСТЕЛЕКОМ"</v>
      </c>
      <c r="K10851" s="24" t="s">
        <v>607</v>
      </c>
      <c r="L10851" s="28" t="s">
        <v>52</v>
      </c>
      <c r="M10851" s="25">
        <v>2724480</v>
      </c>
      <c r="N10851" s="27">
        <v>0.01</v>
      </c>
    </row>
    <row r="10852" spans="1:14" ht="12.75" hidden="1" outlineLevel="1" x14ac:dyDescent="0.2">
      <c r="A10852" s="23" t="str">
        <f t="shared" si="508"/>
        <v>ГКУ "УПРАВЛЕНИЕ СТРОИТЕЛЬСТВА И ДОРОЖНОГО ХОЗЯЙСТВА ПЕНЗЕНСКОЙ ОБЛАСТИ"</v>
      </c>
      <c r="B10852" s="24" t="s">
        <v>13192</v>
      </c>
      <c r="C10852" s="25">
        <v>2752000</v>
      </c>
      <c r="D10852" s="22" t="s">
        <v>13206</v>
      </c>
      <c r="E10852" s="22" t="s">
        <v>79</v>
      </c>
      <c r="F10852" s="23" t="str">
        <f t="shared" si="510"/>
        <v>Установка автоматизированной информационной системы фото-видеофиксации нарушений правил дорожного движения на автомобильной дороге «с.Кувак-Никольское-с.Вадинск-р.п.Земетчино» км 31+000 Вадинского района Пензенской области</v>
      </c>
      <c r="G10852" s="22" t="s">
        <v>514</v>
      </c>
      <c r="H10852" s="22" t="s">
        <v>2167</v>
      </c>
      <c r="I10852" s="26">
        <v>43553.697916666701</v>
      </c>
      <c r="J10852" s="23" t="str">
        <f>HYPERLINK("https://www.spark-marketing.ru/Card/Person/236655", "ООО ""ТМЦ -НН""")</f>
        <v>ООО "ТМЦ -НН"</v>
      </c>
      <c r="K10852" s="24" t="s">
        <v>4899</v>
      </c>
      <c r="L10852" s="22" t="s">
        <v>10</v>
      </c>
      <c r="M10852" s="25">
        <v>2710720</v>
      </c>
      <c r="N10852" s="27">
        <v>1.4999999999999999E-2</v>
      </c>
    </row>
    <row r="10853" spans="1:14" hidden="1" outlineLevel="1" x14ac:dyDescent="0.2">
      <c r="A10853" s="23" t="str">
        <f t="shared" si="508"/>
        <v>ГКУ "УПРАВЛЕНИЕ СТРОИТЕЛЬСТВА И ДОРОЖНОГО ХОЗЯЙСТВА ПЕНЗЕНСКОЙ ОБЛАСТИ"</v>
      </c>
      <c r="B10853" s="24" t="s">
        <v>13192</v>
      </c>
      <c r="C10853" s="25">
        <v>2752000</v>
      </c>
      <c r="D10853" s="22" t="s">
        <v>13206</v>
      </c>
      <c r="E10853" s="22" t="s">
        <v>79</v>
      </c>
      <c r="F10853" s="23" t="str">
        <f t="shared" si="510"/>
        <v>Установка автоматизированной информационной системы фото-видеофиксации нарушений правил дорожного движения на автомобильной дороге «с.Кувак-Никольское-с.Вадинск-р.п.Земетчино» км 31+000 Вадинского района Пензенской области</v>
      </c>
      <c r="G10853" s="22" t="s">
        <v>514</v>
      </c>
      <c r="H10853" s="22" t="s">
        <v>2167</v>
      </c>
      <c r="I10853" s="26">
        <v>43553.697916666701</v>
      </c>
      <c r="J10853" s="23" t="str">
        <f>HYPERLINK("https://www.spark-marketing.ru/Card/Person/21753", "Поволжский филиал ПАО ""МЕГАФОН""")</f>
        <v>Поволжский филиал ПАО "МЕГАФОН"</v>
      </c>
      <c r="K10853" s="24" t="s">
        <v>2783</v>
      </c>
      <c r="L10853" s="28" t="s">
        <v>52</v>
      </c>
      <c r="M10853" s="25">
        <v>2724480</v>
      </c>
      <c r="N10853" s="27">
        <v>0.01</v>
      </c>
    </row>
    <row r="10854" spans="1:14" hidden="1" outlineLevel="1" x14ac:dyDescent="0.2">
      <c r="A10854" s="23" t="str">
        <f t="shared" si="508"/>
        <v>ГКУ "УПРАВЛЕНИЕ СТРОИТЕЛЬСТВА И ДОРОЖНОГО ХОЗЯЙСТВА ПЕНЗЕНСКОЙ ОБЛАСТИ"</v>
      </c>
      <c r="B10854" s="24" t="s">
        <v>13192</v>
      </c>
      <c r="C10854" s="25">
        <v>2752000</v>
      </c>
      <c r="D10854" s="22" t="s">
        <v>13206</v>
      </c>
      <c r="E10854" s="22" t="s">
        <v>79</v>
      </c>
      <c r="F10854" s="23" t="str">
        <f t="shared" si="510"/>
        <v>Установка автоматизированной информационной системы фото-видеофиксации нарушений правил дорожного движения на автомобильной дороге «с.Кувак-Никольское-с.Вадинск-р.п.Земетчино» км 31+000 Вадинского района Пензенской области</v>
      </c>
      <c r="G10854" s="22" t="s">
        <v>514</v>
      </c>
      <c r="H10854" s="22" t="s">
        <v>2167</v>
      </c>
      <c r="I10854" s="26">
        <v>43553.697916666701</v>
      </c>
      <c r="J10854" s="23" t="str">
        <f>HYPERLINK("https://www.spark-marketing.ru/Card/Person/10991", "ПАО ""РОСТЕЛЕКОМ""")</f>
        <v>ПАО "РОСТЕЛЕКОМ"</v>
      </c>
      <c r="K10854" s="24" t="s">
        <v>607</v>
      </c>
      <c r="L10854" s="28" t="s">
        <v>52</v>
      </c>
      <c r="M10854" s="25">
        <v>2710720</v>
      </c>
      <c r="N10854" s="27">
        <v>1.4999999999999999E-2</v>
      </c>
    </row>
    <row r="10855" spans="1:14" ht="12.75" hidden="1" outlineLevel="1" x14ac:dyDescent="0.2">
      <c r="A10855" s="23" t="str">
        <f t="shared" si="508"/>
        <v>ГКУ "УПРАВЛЕНИЕ СТРОИТЕЛЬСТВА И ДОРОЖНОГО ХОЗЯЙСТВА ПЕНЗЕНСКОЙ ОБЛАСТИ"</v>
      </c>
      <c r="B10855" s="24" t="s">
        <v>13192</v>
      </c>
      <c r="C10855" s="25">
        <v>2752000</v>
      </c>
      <c r="D10855" s="22" t="s">
        <v>13206</v>
      </c>
      <c r="E10855" s="22" t="s">
        <v>79</v>
      </c>
      <c r="F10855" s="23" t="str">
        <f t="shared" si="510"/>
        <v>Установка автоматизированной информационной системы фото-видеофиксации нарушений правил дорожного движения на автомобильной дороге «с.Кувак-Никольское-с.Вадинск-р.п.Земетчино» км 31+000 Вадинского района Пензенской области</v>
      </c>
      <c r="G10855" s="22" t="s">
        <v>514</v>
      </c>
      <c r="H10855" s="22" t="s">
        <v>2167</v>
      </c>
      <c r="I10855" s="26">
        <v>43553.697916666701</v>
      </c>
      <c r="J10855" s="23" t="str">
        <f>HYPERLINK("https://www.spark-marketing.ru/Card/Person/236655", "ООО ""ТМЦ -НН""")</f>
        <v>ООО "ТМЦ -НН"</v>
      </c>
      <c r="K10855" s="24" t="s">
        <v>4899</v>
      </c>
      <c r="L10855" s="22" t="s">
        <v>10</v>
      </c>
      <c r="M10855" s="25">
        <v>2710720</v>
      </c>
      <c r="N10855" s="27">
        <v>1.4999999999999999E-2</v>
      </c>
    </row>
    <row r="10856" spans="1:14" x14ac:dyDescent="0.15">
      <c r="A10856" s="23" t="str">
        <f>HYPERLINK("https://www.spark-marketing.ru/Card/Person/4349328", "УГАН НОТБ СЗФО РОСТРАНСНАДЗОРА")</f>
        <v>УГАН НОТБ СЗФО РОСТРАНСНАДЗОРА</v>
      </c>
      <c r="B10856" s="24" t="s">
        <v>13207</v>
      </c>
      <c r="C10856" s="25">
        <v>29179.8</v>
      </c>
      <c r="D10856" s="22" t="s">
        <v>13208</v>
      </c>
      <c r="E10856" s="22" t="s">
        <v>53</v>
      </c>
      <c r="F10856" s="23" t="str">
        <f>HYPERLINK("https://www.spark-marketing.ru/Card/Lot/70788040", "услуги охраны помещений и обеспечения пропускного режима")</f>
        <v>услуги охраны помещений и обеспечения пропускного режима</v>
      </c>
      <c r="G10856" s="22" t="s">
        <v>89</v>
      </c>
      <c r="H10856" s="22" t="s">
        <v>89</v>
      </c>
      <c r="I10856" s="26">
        <v>43553.698969907397</v>
      </c>
      <c r="J10856" s="28" t="s">
        <v>52</v>
      </c>
      <c r="K10856" s="28" t="s">
        <v>52</v>
      </c>
      <c r="L10856" s="28" t="s">
        <v>52</v>
      </c>
      <c r="M10856" s="28" t="s">
        <v>52</v>
      </c>
      <c r="N10856" s="28" t="s">
        <v>52</v>
      </c>
    </row>
    <row r="10857" spans="1:14" x14ac:dyDescent="0.15">
      <c r="A10857" s="23" t="str">
        <f>HYPERLINK("https://www.spark-marketing.ru/Card/Person/54418", "АО ""ФПК""")</f>
        <v>АО "ФПК"</v>
      </c>
      <c r="B10857" s="24" t="s">
        <v>7297</v>
      </c>
      <c r="C10857" s="25">
        <v>31046.400000000001</v>
      </c>
      <c r="D10857" s="22" t="s">
        <v>13209</v>
      </c>
      <c r="E10857" s="22" t="s">
        <v>533</v>
      </c>
      <c r="F10857" s="23" t="str">
        <f>HYPERLINK("https://www.spark-marketing.ru/Card/Lot/69147503", "Оказание услуг по техническому обслуживанию охранной и тревожной сигнализаций в интересах Северо-Кавказского железнодорожного агентства - СП Северо-Кавказского филиала АО ""ФПК""")</f>
        <v>Оказание услуг по техническому обслуживанию охранной и тревожной сигнализаций в интересах Северо-Кавказского железнодорожного агентства - СП Северо-Кавказского филиала АО "ФПК"</v>
      </c>
      <c r="G10857" s="22" t="s">
        <v>132</v>
      </c>
      <c r="H10857" s="22" t="s">
        <v>132</v>
      </c>
      <c r="I10857" s="26">
        <v>43553.669907407399</v>
      </c>
      <c r="J10857" s="28" t="s">
        <v>52</v>
      </c>
      <c r="K10857" s="28" t="s">
        <v>52</v>
      </c>
      <c r="L10857" s="28" t="s">
        <v>52</v>
      </c>
      <c r="M10857" s="28" t="s">
        <v>52</v>
      </c>
      <c r="N10857" s="28" t="s">
        <v>52</v>
      </c>
    </row>
    <row r="10858" spans="1:14" x14ac:dyDescent="0.15">
      <c r="A10858" s="23" t="str">
        <f t="shared" ref="A10858:A10864" si="511">HYPERLINK("https://www.spark-marketing.ru/Card/Person/81503", "ФБУ ЦЕНТР РЕАБИЛИТАЦИИ ФСС РФ ""ТОПАЗ""")</f>
        <v>ФБУ ЦЕНТР РЕАБИЛИТАЦИИ ФСС РФ "ТОПАЗ"</v>
      </c>
      <c r="B10858" s="24" t="s">
        <v>13210</v>
      </c>
      <c r="C10858" s="25">
        <v>248354.8</v>
      </c>
      <c r="D10858" s="22" t="s">
        <v>13211</v>
      </c>
      <c r="E10858" s="22" t="s">
        <v>1261</v>
      </c>
      <c r="F10858" s="23" t="str">
        <f t="shared" ref="F10858:F10864" si="512">HYPERLINK("https://www.spark-marketing.ru/Card/Lot/69148011", "Услуги по техническому обслуживанию системы видеонаблюдения")</f>
        <v>Услуги по техническому обслуживанию системы видеонаблюдения</v>
      </c>
      <c r="G10858" s="22" t="s">
        <v>367</v>
      </c>
      <c r="H10858" s="22" t="s">
        <v>367</v>
      </c>
      <c r="I10858" s="26">
        <v>43553.684027777803</v>
      </c>
      <c r="J10858" s="28" t="s">
        <v>52</v>
      </c>
      <c r="K10858" s="28" t="s">
        <v>52</v>
      </c>
      <c r="L10858" s="28" t="s">
        <v>52</v>
      </c>
      <c r="M10858" s="28" t="s">
        <v>52</v>
      </c>
      <c r="N10858" s="28" t="s">
        <v>52</v>
      </c>
    </row>
    <row r="10859" spans="1:14" hidden="1" outlineLevel="1" x14ac:dyDescent="0.2">
      <c r="A10859" s="23" t="str">
        <f t="shared" si="511"/>
        <v>ФБУ ЦЕНТР РЕАБИЛИТАЦИИ ФСС РФ "ТОПАЗ"</v>
      </c>
      <c r="B10859" s="24" t="s">
        <v>13210</v>
      </c>
      <c r="C10859" s="25">
        <v>248354.8</v>
      </c>
      <c r="D10859" s="22" t="s">
        <v>13211</v>
      </c>
      <c r="E10859" s="22" t="s">
        <v>1261</v>
      </c>
      <c r="F10859" s="23" t="str">
        <f t="shared" si="512"/>
        <v>Услуги по техническому обслуживанию системы видеонаблюдения</v>
      </c>
      <c r="G10859" s="22" t="s">
        <v>367</v>
      </c>
      <c r="H10859" s="22" t="s">
        <v>367</v>
      </c>
      <c r="I10859" s="26">
        <v>43553.684027777803</v>
      </c>
      <c r="J10859" s="23" t="str">
        <f>HYPERLINK("https://www.spark-marketing.ru/Card/Person/619615", "Богданова Оксана Андреевна")</f>
        <v>Богданова Оксана Андреевна</v>
      </c>
      <c r="K10859" s="24" t="s">
        <v>13212</v>
      </c>
      <c r="L10859" s="28" t="s">
        <v>52</v>
      </c>
      <c r="M10859" s="25">
        <v>114492.78</v>
      </c>
      <c r="N10859" s="27">
        <v>0.53899509894715136</v>
      </c>
    </row>
    <row r="10860" spans="1:14" ht="12.75" hidden="1" outlineLevel="1" x14ac:dyDescent="0.2">
      <c r="A10860" s="23" t="str">
        <f t="shared" si="511"/>
        <v>ФБУ ЦЕНТР РЕАБИЛИТАЦИИ ФСС РФ "ТОПАЗ"</v>
      </c>
      <c r="B10860" s="24" t="s">
        <v>13210</v>
      </c>
      <c r="C10860" s="25">
        <v>248354.8</v>
      </c>
      <c r="D10860" s="22" t="s">
        <v>13211</v>
      </c>
      <c r="E10860" s="22" t="s">
        <v>1261</v>
      </c>
      <c r="F10860" s="23" t="str">
        <f t="shared" si="512"/>
        <v>Услуги по техническому обслуживанию системы видеонаблюдения</v>
      </c>
      <c r="G10860" s="22" t="s">
        <v>367</v>
      </c>
      <c r="H10860" s="22" t="s">
        <v>367</v>
      </c>
      <c r="I10860" s="26">
        <v>43553.684027777803</v>
      </c>
      <c r="J10860" s="23" t="str">
        <f>HYPERLINK("https://www.spark-marketing.ru/Card/Person/59808", "ООО ""ФОРТУНА ПЛЮС""")</f>
        <v>ООО "ФОРТУНА ПЛЮС"</v>
      </c>
      <c r="K10860" s="24" t="s">
        <v>4403</v>
      </c>
      <c r="L10860" s="22" t="s">
        <v>10</v>
      </c>
      <c r="M10860" s="25">
        <v>72272.259999999995</v>
      </c>
      <c r="N10860" s="27">
        <v>0.70899592035265679</v>
      </c>
    </row>
    <row r="10861" spans="1:14" hidden="1" outlineLevel="1" x14ac:dyDescent="0.2">
      <c r="A10861" s="23" t="str">
        <f t="shared" si="511"/>
        <v>ФБУ ЦЕНТР РЕАБИЛИТАЦИИ ФСС РФ "ТОПАЗ"</v>
      </c>
      <c r="B10861" s="24" t="s">
        <v>13210</v>
      </c>
      <c r="C10861" s="25">
        <v>248354.8</v>
      </c>
      <c r="D10861" s="22" t="s">
        <v>13211</v>
      </c>
      <c r="E10861" s="22" t="s">
        <v>1261</v>
      </c>
      <c r="F10861" s="23" t="str">
        <f t="shared" si="512"/>
        <v>Услуги по техническому обслуживанию системы видеонаблюдения</v>
      </c>
      <c r="G10861" s="22" t="s">
        <v>367</v>
      </c>
      <c r="H10861" s="22" t="s">
        <v>367</v>
      </c>
      <c r="I10861" s="26">
        <v>43553.684027777803</v>
      </c>
      <c r="J10861" s="23" t="str">
        <f>HYPERLINK("https://www.spark-marketing.ru/Card/Person/6405585", "Фрезе Юрий Владимирович")</f>
        <v>Фрезе Юрий Владимирович</v>
      </c>
      <c r="K10861" s="24" t="s">
        <v>11248</v>
      </c>
      <c r="L10861" s="28" t="s">
        <v>52</v>
      </c>
      <c r="M10861" s="25">
        <v>160000</v>
      </c>
      <c r="N10861" s="27">
        <v>0.35576038796109438</v>
      </c>
    </row>
    <row r="10862" spans="1:14" hidden="1" outlineLevel="1" x14ac:dyDescent="0.2">
      <c r="A10862" s="23" t="str">
        <f t="shared" si="511"/>
        <v>ФБУ ЦЕНТР РЕАБИЛИТАЦИИ ФСС РФ "ТОПАЗ"</v>
      </c>
      <c r="B10862" s="24" t="s">
        <v>13210</v>
      </c>
      <c r="C10862" s="25">
        <v>248354.8</v>
      </c>
      <c r="D10862" s="22" t="s">
        <v>13211</v>
      </c>
      <c r="E10862" s="22" t="s">
        <v>1261</v>
      </c>
      <c r="F10862" s="23" t="str">
        <f t="shared" si="512"/>
        <v>Услуги по техническому обслуживанию системы видеонаблюдения</v>
      </c>
      <c r="G10862" s="22" t="s">
        <v>367</v>
      </c>
      <c r="H10862" s="22" t="s">
        <v>367</v>
      </c>
      <c r="I10862" s="26">
        <v>43553.684027777803</v>
      </c>
      <c r="J10862" s="23" t="str">
        <f>HYPERLINK("https://www.spark-marketing.ru/Card/Person/1250597", "ООО ""ФОРТИС""")</f>
        <v>ООО "ФОРТИС"</v>
      </c>
      <c r="K10862" s="24" t="s">
        <v>13213</v>
      </c>
      <c r="L10862" s="28" t="s">
        <v>52</v>
      </c>
      <c r="M10862" s="25">
        <v>73514.039999999994</v>
      </c>
      <c r="N10862" s="27">
        <v>0.70399589619367131</v>
      </c>
    </row>
    <row r="10863" spans="1:14" hidden="1" outlineLevel="1" x14ac:dyDescent="0.2">
      <c r="A10863" s="23" t="str">
        <f t="shared" si="511"/>
        <v>ФБУ ЦЕНТР РЕАБИЛИТАЦИИ ФСС РФ "ТОПАЗ"</v>
      </c>
      <c r="B10863" s="24" t="s">
        <v>13210</v>
      </c>
      <c r="C10863" s="25">
        <v>248354.8</v>
      </c>
      <c r="D10863" s="22" t="s">
        <v>13211</v>
      </c>
      <c r="E10863" s="22" t="s">
        <v>1261</v>
      </c>
      <c r="F10863" s="23" t="str">
        <f t="shared" si="512"/>
        <v>Услуги по техническому обслуживанию системы видеонаблюдения</v>
      </c>
      <c r="G10863" s="22" t="s">
        <v>367</v>
      </c>
      <c r="H10863" s="22" t="s">
        <v>367</v>
      </c>
      <c r="I10863" s="26">
        <v>43553.684027777803</v>
      </c>
      <c r="J10863" s="23" t="str">
        <f>HYPERLINK("https://www.spark-marketing.ru/Card/Person/612309", "ООО ""АЙТИ-СЕРВИС""")</f>
        <v>ООО "АЙТИ-СЕРВИС"</v>
      </c>
      <c r="K10863" s="24" t="s">
        <v>6224</v>
      </c>
      <c r="L10863" s="28" t="s">
        <v>52</v>
      </c>
      <c r="M10863" s="25">
        <v>221516.22</v>
      </c>
      <c r="N10863" s="27">
        <v>0.10806547729296957</v>
      </c>
    </row>
    <row r="10864" spans="1:14" hidden="1" outlineLevel="1" x14ac:dyDescent="0.2">
      <c r="A10864" s="23" t="str">
        <f t="shared" si="511"/>
        <v>ФБУ ЦЕНТР РЕАБИЛИТАЦИИ ФСС РФ "ТОПАЗ"</v>
      </c>
      <c r="B10864" s="24" t="s">
        <v>13210</v>
      </c>
      <c r="C10864" s="25">
        <v>248354.8</v>
      </c>
      <c r="D10864" s="22" t="s">
        <v>13211</v>
      </c>
      <c r="E10864" s="22" t="s">
        <v>1261</v>
      </c>
      <c r="F10864" s="23" t="str">
        <f t="shared" si="512"/>
        <v>Услуги по техническому обслуживанию системы видеонаблюдения</v>
      </c>
      <c r="G10864" s="22" t="s">
        <v>367</v>
      </c>
      <c r="H10864" s="22" t="s">
        <v>367</v>
      </c>
      <c r="I10864" s="26">
        <v>43553.684027777803</v>
      </c>
      <c r="J10864" s="23" t="str">
        <f>HYPERLINK("https://www.spark-marketing.ru/Card/Person/6235206", "ООО ""ГАЗ-ОН""")</f>
        <v>ООО "ГАЗ-ОН"</v>
      </c>
      <c r="K10864" s="24" t="s">
        <v>13214</v>
      </c>
      <c r="L10864" s="28" t="s">
        <v>52</v>
      </c>
      <c r="M10864" s="25">
        <v>180000</v>
      </c>
      <c r="N10864" s="27">
        <v>0.27523043645623119</v>
      </c>
    </row>
    <row r="10865" spans="1:14" x14ac:dyDescent="0.15">
      <c r="A10865" s="23" t="str">
        <f>HYPERLINK("https://www.spark-marketing.ru/Card/Person/54418", "АО ""ФПК""")</f>
        <v>АО "ФПК"</v>
      </c>
      <c r="B10865" s="24" t="s">
        <v>7297</v>
      </c>
      <c r="C10865" s="25">
        <v>31046.400000000001</v>
      </c>
      <c r="D10865" s="22" t="s">
        <v>13215</v>
      </c>
      <c r="E10865" s="22" t="s">
        <v>533</v>
      </c>
      <c r="F10865" s="23" t="str">
        <f>HYPERLINK("https://www.spark-marketing.ru/Card/Lot/69143748", "Оказание услуг по техническому обслуживанию охранной и тревожной сигнализаций в интересах Северо-Кавказского железнодорожного агентства - СП Северо-Кавказского филиала АО ""ФПК""")</f>
        <v>Оказание услуг по техническому обслуживанию охранной и тревожной сигнализаций в интересах Северо-Кавказского железнодорожного агентства - СП Северо-Кавказского филиала АО "ФПК"</v>
      </c>
      <c r="G10865" s="22" t="s">
        <v>55</v>
      </c>
      <c r="H10865" s="22" t="s">
        <v>55</v>
      </c>
      <c r="I10865" s="26">
        <v>43553.668749999997</v>
      </c>
      <c r="J10865" s="28" t="s">
        <v>52</v>
      </c>
      <c r="K10865" s="28" t="s">
        <v>52</v>
      </c>
      <c r="L10865" s="28" t="s">
        <v>52</v>
      </c>
      <c r="M10865" s="28" t="s">
        <v>52</v>
      </c>
      <c r="N10865" s="28" t="s">
        <v>52</v>
      </c>
    </row>
    <row r="10866" spans="1:14" x14ac:dyDescent="0.2">
      <c r="A10866" s="23" t="str">
        <f>HYPERLINK("https://www.spark-marketing.ru/Card/Person/26252", "ВГТРК")</f>
        <v>ВГТРК</v>
      </c>
      <c r="B10866" s="24" t="s">
        <v>13216</v>
      </c>
      <c r="C10866" s="25">
        <v>11997100</v>
      </c>
      <c r="D10866" s="22" t="s">
        <v>13217</v>
      </c>
      <c r="E10866" s="22" t="s">
        <v>6280</v>
      </c>
      <c r="F10866" s="23" t="str">
        <f>HYPERLINK("https://www.spark-marketing.ru/Card/Lot/69146745", "Услуги по техническому обслуживанию видеомагнитофонов Кадр 3ПМ")</f>
        <v>Услуги по техническому обслуживанию видеомагнитофонов Кадр 3ПМ</v>
      </c>
      <c r="G10866" s="22" t="s">
        <v>55</v>
      </c>
      <c r="H10866" s="22" t="s">
        <v>55</v>
      </c>
      <c r="I10866" s="26">
        <v>43553.675543981502</v>
      </c>
      <c r="J10866" s="23" t="str">
        <f>HYPERLINK("https://www.spark-marketing.ru/Card/Person/-1", "неизвестно")</f>
        <v>неизвестно</v>
      </c>
      <c r="K10866" s="28" t="s">
        <v>52</v>
      </c>
      <c r="L10866" s="22" t="s">
        <v>10</v>
      </c>
      <c r="M10866" s="25">
        <v>9870000</v>
      </c>
      <c r="N10866" s="27">
        <v>0.17730118111877036</v>
      </c>
    </row>
    <row r="10867" spans="1:14" x14ac:dyDescent="0.15">
      <c r="A10867" s="23" t="str">
        <f>HYPERLINK("https://www.spark-marketing.ru/Card/Person/7356", "КОГКУ ""ДОРОЖНЫЙ КОМИТЕТ КИРОВСКОЙ ОБЛАСТИ""")</f>
        <v>КОГКУ "ДОРОЖНЫЙ КОМИТЕТ КИРОВСКОЙ ОБЛАСТИ"</v>
      </c>
      <c r="B10867" s="24" t="s">
        <v>13218</v>
      </c>
      <c r="C10867" s="25">
        <v>14676368.07</v>
      </c>
      <c r="D10867" s="22" t="s">
        <v>13219</v>
      </c>
      <c r="E10867" s="22" t="s">
        <v>5333</v>
      </c>
      <c r="F10867" s="23" t="str">
        <f>HYPERLINK("https://www.spark-marketing.ru/Card/Lot/69156662", "Содержание объектов обеспечения транспортной безопасности на мостовых сооружениях на автомобильных дорогах общего пользования Кировской области регионального или межмуниципального значения")</f>
        <v>Содержание объектов обеспечения транспортной безопасности на мостовых сооружениях на автомобильных дорогах общего пользования Кировской области регионального или межмуниципального значения</v>
      </c>
      <c r="G10867" s="22" t="s">
        <v>556</v>
      </c>
      <c r="H10867" s="22" t="s">
        <v>557</v>
      </c>
      <c r="I10867" s="26">
        <v>43553.701388888898</v>
      </c>
      <c r="J10867" s="28" t="s">
        <v>52</v>
      </c>
      <c r="K10867" s="28" t="s">
        <v>52</v>
      </c>
      <c r="L10867" s="28" t="s">
        <v>52</v>
      </c>
      <c r="M10867" s="28" t="s">
        <v>52</v>
      </c>
      <c r="N10867" s="28" t="s">
        <v>52</v>
      </c>
    </row>
    <row r="10868" spans="1:14" hidden="1" outlineLevel="1" x14ac:dyDescent="0.2">
      <c r="A10868" s="23" t="str">
        <f>HYPERLINK("https://www.spark-marketing.ru/Card/Person/7356", "КОГКУ ""ДОРОЖНЫЙ КОМИТЕТ КИРОВСКОЙ ОБЛАСТИ""")</f>
        <v>КОГКУ "ДОРОЖНЫЙ КОМИТЕТ КИРОВСКОЙ ОБЛАСТИ"</v>
      </c>
      <c r="B10868" s="24" t="s">
        <v>13218</v>
      </c>
      <c r="C10868" s="25">
        <v>14676368.07</v>
      </c>
      <c r="D10868" s="22" t="s">
        <v>13219</v>
      </c>
      <c r="E10868" s="22" t="s">
        <v>5333</v>
      </c>
      <c r="F10868" s="23" t="str">
        <f>HYPERLINK("https://www.spark-marketing.ru/Card/Lot/69156662", "Содержание объектов обеспечения транспортной безопасности на мостовых сооружениях на автомобильных дорогах общего пользования Кировской области регионального или межмуниципального значения")</f>
        <v>Содержание объектов обеспечения транспортной безопасности на мостовых сооружениях на автомобильных дорогах общего пользования Кировской области регионального или межмуниципального значения</v>
      </c>
      <c r="G10868" s="22" t="s">
        <v>556</v>
      </c>
      <c r="H10868" s="22" t="s">
        <v>557</v>
      </c>
      <c r="I10868" s="26">
        <v>43553.701388888898</v>
      </c>
      <c r="J10868" s="23" t="str">
        <f>HYPERLINK("https://www.spark-marketing.ru/Card/Person/80119", "ООО ""ПРОТЕКТ 35""")</f>
        <v>ООО "ПРОТЕКТ 35"</v>
      </c>
      <c r="K10868" s="24" t="s">
        <v>13220</v>
      </c>
      <c r="L10868" s="28" t="s">
        <v>52</v>
      </c>
      <c r="M10868" s="25">
        <v>7607395.75</v>
      </c>
      <c r="N10868" s="27">
        <v>0.48165678908324083</v>
      </c>
    </row>
    <row r="10869" spans="1:14" hidden="1" outlineLevel="1" x14ac:dyDescent="0.2">
      <c r="A10869" s="23" t="str">
        <f>HYPERLINK("https://www.spark-marketing.ru/Card/Person/7356", "КОГКУ ""ДОРОЖНЫЙ КОМИТЕТ КИРОВСКОЙ ОБЛАСТИ""")</f>
        <v>КОГКУ "ДОРОЖНЫЙ КОМИТЕТ КИРОВСКОЙ ОБЛАСТИ"</v>
      </c>
      <c r="B10869" s="24" t="s">
        <v>13218</v>
      </c>
      <c r="C10869" s="25">
        <v>14676368.07</v>
      </c>
      <c r="D10869" s="22" t="s">
        <v>13219</v>
      </c>
      <c r="E10869" s="22" t="s">
        <v>5333</v>
      </c>
      <c r="F10869" s="23" t="str">
        <f>HYPERLINK("https://www.spark-marketing.ru/Card/Lot/69156662", "Содержание объектов обеспечения транспортной безопасности на мостовых сооружениях на автомобильных дорогах общего пользования Кировской области регионального или межмуниципального значения")</f>
        <v>Содержание объектов обеспечения транспортной безопасности на мостовых сооружениях на автомобильных дорогах общего пользования Кировской области регионального или межмуниципального значения</v>
      </c>
      <c r="G10869" s="22" t="s">
        <v>556</v>
      </c>
      <c r="H10869" s="22" t="s">
        <v>557</v>
      </c>
      <c r="I10869" s="26">
        <v>43553.701388888898</v>
      </c>
      <c r="J10869" s="23" t="str">
        <f>HYPERLINK("https://www.spark-marketing.ru/Card/Person/280180", "ООО ""ТСО""")</f>
        <v>ООО "ТСО"</v>
      </c>
      <c r="K10869" s="24" t="s">
        <v>13221</v>
      </c>
      <c r="L10869" s="28" t="s">
        <v>52</v>
      </c>
      <c r="M10869" s="25">
        <v>7680777.5899999999</v>
      </c>
      <c r="N10869" s="27">
        <v>0.4766567891070887</v>
      </c>
    </row>
    <row r="10870" spans="1:14" ht="12.75" hidden="1" outlineLevel="1" x14ac:dyDescent="0.2">
      <c r="A10870" s="23" t="str">
        <f>HYPERLINK("https://www.spark-marketing.ru/Card/Person/7356", "КОГКУ ""ДОРОЖНЫЙ КОМИТЕТ КИРОВСКОЙ ОБЛАСТИ""")</f>
        <v>КОГКУ "ДОРОЖНЫЙ КОМИТЕТ КИРОВСКОЙ ОБЛАСТИ"</v>
      </c>
      <c r="B10870" s="24" t="s">
        <v>13218</v>
      </c>
      <c r="C10870" s="25">
        <v>14676368.07</v>
      </c>
      <c r="D10870" s="22" t="s">
        <v>13219</v>
      </c>
      <c r="E10870" s="22" t="s">
        <v>5333</v>
      </c>
      <c r="F10870" s="23" t="str">
        <f>HYPERLINK("https://www.spark-marketing.ru/Card/Lot/69156662", "Содержание объектов обеспечения транспортной безопасности на мостовых сооружениях на автомобильных дорогах общего пользования Кировской области регионального или межмуниципального значения")</f>
        <v>Содержание объектов обеспечения транспортной безопасности на мостовых сооружениях на автомобильных дорогах общего пользования Кировской области регионального или межмуниципального значения</v>
      </c>
      <c r="G10870" s="22" t="s">
        <v>556</v>
      </c>
      <c r="H10870" s="22" t="s">
        <v>557</v>
      </c>
      <c r="I10870" s="26">
        <v>43553.701388888898</v>
      </c>
      <c r="J10870" s="23" t="str">
        <f>HYPERLINK("https://www.spark-marketing.ru/Card/Person/6527682", "СРЕДНЕВОЛЖСКИЙ ФЛ ФГУП УПРАВЛЕНИЕ ВЕДОМСТВЕННОЙ ОХРАНЫ МИНИСТЕРСТВА ТРАНСПОРТА РФ")</f>
        <v>СРЕДНЕВОЛЖСКИЙ ФЛ ФГУП УПРАВЛЕНИЕ ВЕДОМСТВЕННОЙ ОХРАНЫ МИНИСТЕРСТВА ТРАНСПОРТА РФ</v>
      </c>
      <c r="K10870" s="24" t="s">
        <v>1472</v>
      </c>
      <c r="L10870" s="22" t="s">
        <v>10</v>
      </c>
      <c r="M10870" s="25">
        <v>7607395.75</v>
      </c>
      <c r="N10870" s="27">
        <v>0.48165678908324083</v>
      </c>
    </row>
    <row r="10871" spans="1:14" x14ac:dyDescent="0.15">
      <c r="A10871" s="23" t="str">
        <f>HYPERLINK("https://www.spark-marketing.ru/Card/Person/153882", "СПБ ГБУ ""МОСТОТРЕСТ""")</f>
        <v>СПБ ГБУ "МОСТОТРЕСТ"</v>
      </c>
      <c r="B10871" s="24" t="s">
        <v>9130</v>
      </c>
      <c r="C10871" s="25">
        <v>31524652.359999999</v>
      </c>
      <c r="D10871" s="22" t="s">
        <v>13222</v>
      </c>
      <c r="E10871" s="22" t="s">
        <v>59</v>
      </c>
      <c r="F10871" s="23" t="str">
        <f>HYPERLINK("https://www.spark-marketing.ru/Card/Lot/69156283", "Работы по оснащению техническими средствами обеспечения транспортной безопасности объекта транспортной инфраструктуры ""Транспортный тоннель на Канонерский остров""")</f>
        <v>Работы по оснащению техническими средствами обеспечения транспортной безопасности объекта транспортной инфраструктуры "Транспортный тоннель на Канонерский остров"</v>
      </c>
      <c r="G10871" s="22" t="s">
        <v>89</v>
      </c>
      <c r="H10871" s="22" t="s">
        <v>89</v>
      </c>
      <c r="I10871" s="26">
        <v>43553.672916666699</v>
      </c>
      <c r="J10871" s="28" t="s">
        <v>52</v>
      </c>
      <c r="K10871" s="28" t="s">
        <v>52</v>
      </c>
      <c r="L10871" s="28" t="s">
        <v>52</v>
      </c>
      <c r="M10871" s="28" t="s">
        <v>52</v>
      </c>
      <c r="N10871" s="28" t="s">
        <v>52</v>
      </c>
    </row>
    <row r="10872" spans="1:14" ht="12.75" hidden="1" outlineLevel="1" x14ac:dyDescent="0.2">
      <c r="A10872" s="23" t="str">
        <f>HYPERLINK("https://www.spark-marketing.ru/Card/Person/153882", "СПБ ГБУ ""МОСТОТРЕСТ""")</f>
        <v>СПБ ГБУ "МОСТОТРЕСТ"</v>
      </c>
      <c r="B10872" s="24" t="s">
        <v>9130</v>
      </c>
      <c r="C10872" s="25">
        <v>31524652.359999999</v>
      </c>
      <c r="D10872" s="22" t="s">
        <v>13222</v>
      </c>
      <c r="E10872" s="22" t="s">
        <v>59</v>
      </c>
      <c r="F10872" s="23" t="str">
        <f>HYPERLINK("https://www.spark-marketing.ru/Card/Lot/69156283", "Работы по оснащению техническими средствами обеспечения транспортной безопасности объекта транспортной инфраструктуры ""Транспортный тоннель на Канонерский остров""")</f>
        <v>Работы по оснащению техническими средствами обеспечения транспортной безопасности объекта транспортной инфраструктуры "Транспортный тоннель на Канонерский остров"</v>
      </c>
      <c r="G10872" s="22" t="s">
        <v>89</v>
      </c>
      <c r="H10872" s="22" t="s">
        <v>89</v>
      </c>
      <c r="I10872" s="26">
        <v>43553.672916666699</v>
      </c>
      <c r="J10872" s="23" t="str">
        <f>HYPERLINK("https://www.spark-marketing.ru/Card/Person/117783", "АО ""АСПЕКТ СЕВЕРО-ЗАПАД""")</f>
        <v>АО "АСПЕКТ СЕВЕРО-ЗАПАД"</v>
      </c>
      <c r="K10872" s="24" t="s">
        <v>9132</v>
      </c>
      <c r="L10872" s="22" t="s">
        <v>10</v>
      </c>
      <c r="M10872" s="25">
        <v>31209405.84</v>
      </c>
      <c r="N10872" s="27">
        <v>9.9999998858036569E-3</v>
      </c>
    </row>
    <row r="10873" spans="1:14" hidden="1" outlineLevel="1" x14ac:dyDescent="0.2">
      <c r="A10873" s="23" t="str">
        <f>HYPERLINK("https://www.spark-marketing.ru/Card/Person/153882", "СПБ ГБУ ""МОСТОТРЕСТ""")</f>
        <v>СПБ ГБУ "МОСТОТРЕСТ"</v>
      </c>
      <c r="B10873" s="24" t="s">
        <v>9130</v>
      </c>
      <c r="C10873" s="25">
        <v>31524652.359999999</v>
      </c>
      <c r="D10873" s="22" t="s">
        <v>13222</v>
      </c>
      <c r="E10873" s="22" t="s">
        <v>59</v>
      </c>
      <c r="F10873" s="23" t="str">
        <f>HYPERLINK("https://www.spark-marketing.ru/Card/Lot/69156283", "Работы по оснащению техническими средствами обеспечения транспортной безопасности объекта транспортной инфраструктуры ""Транспортный тоннель на Канонерский остров""")</f>
        <v>Работы по оснащению техническими средствами обеспечения транспортной безопасности объекта транспортной инфраструктуры "Транспортный тоннель на Канонерский остров"</v>
      </c>
      <c r="G10873" s="22" t="s">
        <v>89</v>
      </c>
      <c r="H10873" s="22" t="s">
        <v>89</v>
      </c>
      <c r="I10873" s="26">
        <v>43553.672916666699</v>
      </c>
      <c r="J10873" s="23" t="str">
        <f>HYPERLINK("https://www.spark-marketing.ru/Card/Person/4358942", "ООО""ЛЕНСПЕЦАВТОМАТИКА""")</f>
        <v>ООО"ЛЕНСПЕЦАВТОМАТИКА"</v>
      </c>
      <c r="K10873" s="24" t="s">
        <v>13223</v>
      </c>
      <c r="L10873" s="28" t="s">
        <v>52</v>
      </c>
      <c r="M10873" s="25">
        <v>31367029.100000001</v>
      </c>
      <c r="N10873" s="27">
        <v>4.9999999429018284E-3</v>
      </c>
    </row>
    <row r="10874" spans="1:14" x14ac:dyDescent="0.15">
      <c r="A10874" s="23" t="str">
        <f>HYPERLINK("https://www.spark-marketing.ru/Card/Person/14984", "ГБУ ""КАРГАПОЛЬСКАЯ ЦРБ ИМ. Н.А. РОКИНОЙ""")</f>
        <v>ГБУ "КАРГАПОЛЬСКАЯ ЦРБ ИМ. Н.А. РОКИНОЙ"</v>
      </c>
      <c r="B10874" s="24" t="s">
        <v>13224</v>
      </c>
      <c r="C10874" s="25">
        <v>270000</v>
      </c>
      <c r="D10874" s="22" t="s">
        <v>13225</v>
      </c>
      <c r="E10874" s="22" t="s">
        <v>68</v>
      </c>
      <c r="F10874" s="23" t="str">
        <f>HYPERLINK("https://www.spark-marketing.ru/Card/Lot/69154642", "Оказание услуг по охране объектов ГБУ ""Каргапольская ЦРБ имени Н.А. Рокиной""")</f>
        <v>Оказание услуг по охране объектов ГБУ "Каргапольская ЦРБ имени Н.А. Рокиной"</v>
      </c>
      <c r="G10874" s="22" t="s">
        <v>626</v>
      </c>
      <c r="H10874" s="22" t="s">
        <v>13226</v>
      </c>
      <c r="I10874" s="26">
        <v>43553.628472222197</v>
      </c>
      <c r="J10874" s="28" t="s">
        <v>52</v>
      </c>
      <c r="K10874" s="28" t="s">
        <v>52</v>
      </c>
      <c r="L10874" s="28" t="s">
        <v>52</v>
      </c>
      <c r="M10874" s="28" t="s">
        <v>52</v>
      </c>
      <c r="N10874" s="28" t="s">
        <v>52</v>
      </c>
    </row>
    <row r="10875" spans="1:14" hidden="1" outlineLevel="1" x14ac:dyDescent="0.2">
      <c r="A10875" s="23" t="str">
        <f>HYPERLINK("https://www.spark-marketing.ru/Card/Person/14984", "ГБУ ""КАРГАПОЛЬСКАЯ ЦРБ ИМ. Н.А. РОКИНОЙ""")</f>
        <v>ГБУ "КАРГАПОЛЬСКАЯ ЦРБ ИМ. Н.А. РОКИНОЙ"</v>
      </c>
      <c r="B10875" s="24" t="s">
        <v>13224</v>
      </c>
      <c r="C10875" s="25">
        <v>270000</v>
      </c>
      <c r="D10875" s="22" t="s">
        <v>13225</v>
      </c>
      <c r="E10875" s="22" t="s">
        <v>68</v>
      </c>
      <c r="F10875" s="23" t="str">
        <f>HYPERLINK("https://www.spark-marketing.ru/Card/Lot/69154642", "Оказание услуг по охране объектов ГБУ ""Каргапольская ЦРБ имени Н.А. Рокиной""")</f>
        <v>Оказание услуг по охране объектов ГБУ "Каргапольская ЦРБ имени Н.А. Рокиной"</v>
      </c>
      <c r="G10875" s="22" t="s">
        <v>626</v>
      </c>
      <c r="H10875" s="22" t="s">
        <v>13226</v>
      </c>
      <c r="I10875" s="26">
        <v>43553.628472222197</v>
      </c>
      <c r="J10875" s="23" t="str">
        <f>HYPERLINK("https://www.spark-marketing.ru/Card/Person/63127", "ООО ""ЧОО ""ВИТЯЗЬ СТАВР""")</f>
        <v>ООО "ЧОО "ВИТЯЗЬ СТАВР"</v>
      </c>
      <c r="K10875" s="24" t="s">
        <v>13227</v>
      </c>
      <c r="L10875" s="28" t="s">
        <v>52</v>
      </c>
      <c r="M10875" s="25">
        <v>263250</v>
      </c>
      <c r="N10875" s="27">
        <v>2.5000000000000001E-2</v>
      </c>
    </row>
    <row r="10876" spans="1:14" ht="12.75" hidden="1" outlineLevel="1" x14ac:dyDescent="0.2">
      <c r="A10876" s="23" t="str">
        <f>HYPERLINK("https://www.spark-marketing.ru/Card/Person/14984", "ГБУ ""КАРГАПОЛЬСКАЯ ЦРБ ИМ. Н.А. РОКИНОЙ""")</f>
        <v>ГБУ "КАРГАПОЛЬСКАЯ ЦРБ ИМ. Н.А. РОКИНОЙ"</v>
      </c>
      <c r="B10876" s="24" t="s">
        <v>13224</v>
      </c>
      <c r="C10876" s="25">
        <v>270000</v>
      </c>
      <c r="D10876" s="22" t="s">
        <v>13225</v>
      </c>
      <c r="E10876" s="22" t="s">
        <v>68</v>
      </c>
      <c r="F10876" s="23" t="str">
        <f>HYPERLINK("https://www.spark-marketing.ru/Card/Lot/69154642", "Оказание услуг по охране объектов ГБУ ""Каргапольская ЦРБ имени Н.А. Рокиной""")</f>
        <v>Оказание услуг по охране объектов ГБУ "Каргапольская ЦРБ имени Н.А. Рокиной"</v>
      </c>
      <c r="G10876" s="22" t="s">
        <v>626</v>
      </c>
      <c r="H10876" s="22" t="s">
        <v>13226</v>
      </c>
      <c r="I10876" s="26">
        <v>43553.628472222197</v>
      </c>
      <c r="J10876" s="23" t="str">
        <f>HYPERLINK("https://www.spark-marketing.ru/Card/Person/385783", "ФГКУ ""УВО ВНГ РОССИИ ПО КУРГАНСКОЙ ОБЛАСТИ""")</f>
        <v>ФГКУ "УВО ВНГ РОССИИ ПО КУРГАНСКОЙ ОБЛАСТИ"</v>
      </c>
      <c r="K10876" s="24" t="s">
        <v>8831</v>
      </c>
      <c r="L10876" s="22" t="s">
        <v>10</v>
      </c>
      <c r="M10876" s="25">
        <v>267300</v>
      </c>
      <c r="N10876" s="27">
        <v>0.01</v>
      </c>
    </row>
    <row r="10877" spans="1:14" hidden="1" outlineLevel="1" x14ac:dyDescent="0.2">
      <c r="A10877" s="23" t="str">
        <f>HYPERLINK("https://www.spark-marketing.ru/Card/Person/14984", "ГБУ ""КАРГАПОЛЬСКАЯ ЦРБ ИМ. Н.А. РОКИНОЙ""")</f>
        <v>ГБУ "КАРГАПОЛЬСКАЯ ЦРБ ИМ. Н.А. РОКИНОЙ"</v>
      </c>
      <c r="B10877" s="24" t="s">
        <v>13224</v>
      </c>
      <c r="C10877" s="25">
        <v>270000</v>
      </c>
      <c r="D10877" s="22" t="s">
        <v>13225</v>
      </c>
      <c r="E10877" s="22" t="s">
        <v>68</v>
      </c>
      <c r="F10877" s="23" t="str">
        <f>HYPERLINK("https://www.spark-marketing.ru/Card/Lot/69154642", "Оказание услуг по охране объектов ГБУ ""Каргапольская ЦРБ имени Н.А. Рокиной""")</f>
        <v>Оказание услуг по охране объектов ГБУ "Каргапольская ЦРБ имени Н.А. Рокиной"</v>
      </c>
      <c r="G10877" s="22" t="s">
        <v>626</v>
      </c>
      <c r="H10877" s="22" t="s">
        <v>13226</v>
      </c>
      <c r="I10877" s="26">
        <v>43553.628472222197</v>
      </c>
      <c r="J10877" s="23" t="str">
        <f>HYPERLINK("https://www.spark-marketing.ru/Card/Person/58449", "ООО ""ЧОП ""ДОЗОР""")</f>
        <v>ООО "ЧОП "ДОЗОР"</v>
      </c>
      <c r="K10877" s="24" t="s">
        <v>13228</v>
      </c>
      <c r="L10877" s="28" t="s">
        <v>52</v>
      </c>
      <c r="M10877" s="25">
        <v>261900</v>
      </c>
      <c r="N10877" s="27">
        <v>0.03</v>
      </c>
    </row>
    <row r="10878" spans="1:14" x14ac:dyDescent="0.15">
      <c r="A10878" s="23" t="str">
        <f>HYPERLINK("https://www.spark-marketing.ru/Card/Person/443628", "ОТДЕЛ МВД РОССИИ ПО ЗИМОВНИКОВСКОМУ РАЙОНУ")</f>
        <v>ОТДЕЛ МВД РОССИИ ПО ЗИМОВНИКОВСКОМУ РАЙОНУ</v>
      </c>
      <c r="B10878" s="24" t="s">
        <v>13158</v>
      </c>
      <c r="C10878" s="25">
        <v>85000</v>
      </c>
      <c r="D10878" s="22" t="s">
        <v>13229</v>
      </c>
      <c r="E10878" s="22" t="s">
        <v>84</v>
      </c>
      <c r="F10878" s="23" t="str">
        <f>HYPERLINK("https://www.spark-marketing.ru/Card/Lot/70171940", "монтаж и обслуживание видеонаблюдения, 1 шт")</f>
        <v>монтаж и обслуживание видеонаблюдения, 1 шт</v>
      </c>
      <c r="G10878" s="22" t="s">
        <v>402</v>
      </c>
      <c r="H10878" s="22" t="s">
        <v>13160</v>
      </c>
      <c r="I10878" s="26">
        <v>43553.654861111099</v>
      </c>
      <c r="J10878" s="28" t="s">
        <v>52</v>
      </c>
      <c r="K10878" s="28" t="s">
        <v>52</v>
      </c>
      <c r="L10878" s="28" t="s">
        <v>52</v>
      </c>
      <c r="M10878" s="28" t="s">
        <v>52</v>
      </c>
      <c r="N10878" s="28" t="s">
        <v>52</v>
      </c>
    </row>
    <row r="10879" spans="1:14" x14ac:dyDescent="0.15">
      <c r="A10879" s="23" t="str">
        <f>HYPERLINK("https://www.spark-marketing.ru/Card/Person/52184", "ХАБАРОВСКАЯ ТАМОЖНЯ")</f>
        <v>ХАБАРОВСКАЯ ТАМОЖНЯ</v>
      </c>
      <c r="B10879" s="24" t="s">
        <v>5475</v>
      </c>
      <c r="C10879" s="25">
        <v>78908.58</v>
      </c>
      <c r="D10879" s="22" t="s">
        <v>13230</v>
      </c>
      <c r="E10879" s="22" t="s">
        <v>68</v>
      </c>
      <c r="F10879" s="23" t="str">
        <f>HYPERLINK("https://www.spark-marketing.ru/Card/Lot/69128316", "Оказание услуг по централизованной охране объекта")</f>
        <v>Оказание услуг по централизованной охране объекта</v>
      </c>
      <c r="G10879" s="22" t="s">
        <v>138</v>
      </c>
      <c r="H10879" s="22" t="s">
        <v>139</v>
      </c>
      <c r="I10879" s="26">
        <v>43553.625</v>
      </c>
      <c r="J10879" s="23" t="str">
        <f>HYPERLINK("https://www.spark-marketing.ru/Card/Person/4347150", "ФГКУ ""УВО ВНГ РОССИИ ПО ХАБАРОВСКОМУ КРАЮ""")</f>
        <v>ФГКУ "УВО ВНГ РОССИИ ПО ХАБАРОВСКОМУ КРАЮ"</v>
      </c>
      <c r="K10879" s="24" t="s">
        <v>5479</v>
      </c>
      <c r="L10879" s="22" t="s">
        <v>10</v>
      </c>
      <c r="M10879" s="28" t="s">
        <v>52</v>
      </c>
      <c r="N10879" s="28" t="s">
        <v>52</v>
      </c>
    </row>
    <row r="10880" spans="1:14" x14ac:dyDescent="0.15">
      <c r="A10880" s="23" t="str">
        <f>HYPERLINK("https://www.spark-marketing.ru/Card/Person/76820", "ФКПОУ ""НТТИ"" МИНТРУДА РОССИИ")</f>
        <v>ФКПОУ "НТТИ" МИНТРУДА РОССИИ</v>
      </c>
      <c r="B10880" s="24" t="s">
        <v>5963</v>
      </c>
      <c r="C10880" s="25">
        <v>209766</v>
      </c>
      <c r="D10880" s="22" t="s">
        <v>13231</v>
      </c>
      <c r="E10880" s="22" t="s">
        <v>53</v>
      </c>
      <c r="F10880" s="23" t="str">
        <f>HYPERLINK("https://www.spark-marketing.ru/Card/Lot/70787754", "Охранные услуги")</f>
        <v>Охранные услуги</v>
      </c>
      <c r="G10880" s="22" t="s">
        <v>402</v>
      </c>
      <c r="H10880" s="22" t="s">
        <v>2663</v>
      </c>
      <c r="I10880" s="26">
        <v>43553.6491087963</v>
      </c>
      <c r="J10880" s="28" t="s">
        <v>52</v>
      </c>
      <c r="K10880" s="28" t="s">
        <v>52</v>
      </c>
      <c r="L10880" s="28" t="s">
        <v>52</v>
      </c>
      <c r="M10880" s="28" t="s">
        <v>52</v>
      </c>
      <c r="N10880" s="28" t="s">
        <v>52</v>
      </c>
    </row>
    <row r="10881" spans="1:14" x14ac:dyDescent="0.15">
      <c r="A10881" s="23" t="str">
        <f>HYPERLINK("https://www.spark-marketing.ru/Card/Person/56360", "УПРАВЛЕНИЕ МВД РОССИИ ПО ГОРОДУ ВОЛЖСКОМУ")</f>
        <v>УПРАВЛЕНИЕ МВД РОССИИ ПО ГОРОДУ ВОЛЖСКОМУ</v>
      </c>
      <c r="B10881" s="24" t="s">
        <v>13232</v>
      </c>
      <c r="C10881" s="25">
        <v>50000</v>
      </c>
      <c r="D10881" s="22" t="s">
        <v>13233</v>
      </c>
      <c r="E10881" s="22" t="s">
        <v>107</v>
      </c>
      <c r="F10881" s="23" t="str">
        <f>HYPERLINK("https://www.spark-marketing.ru/Card/Lot/70170760", "Техническое обслуживание средств ОС, ОПС, ТС, видеонаблюдения и СКУД, 1 шт")</f>
        <v>Техническое обслуживание средств ОС, ОПС, ТС, видеонаблюдения и СКУД, 1 шт</v>
      </c>
      <c r="G10881" s="22" t="s">
        <v>343</v>
      </c>
      <c r="H10881" s="22" t="s">
        <v>2599</v>
      </c>
      <c r="I10881" s="26">
        <v>43553.655405092599</v>
      </c>
      <c r="J10881" s="28" t="s">
        <v>52</v>
      </c>
      <c r="K10881" s="28" t="s">
        <v>52</v>
      </c>
      <c r="L10881" s="28" t="s">
        <v>52</v>
      </c>
      <c r="M10881" s="28" t="s">
        <v>52</v>
      </c>
      <c r="N10881" s="28" t="s">
        <v>52</v>
      </c>
    </row>
    <row r="10882" spans="1:14" x14ac:dyDescent="0.15">
      <c r="A10882" s="23" t="str">
        <f>HYPERLINK("https://www.spark-marketing.ru/Card/Person/4348589", "ПАО ""ТАТНЕФТЬ"" ИМ. В.Д. ШАШИНА")</f>
        <v>ПАО "ТАТНЕФТЬ" ИМ. В.Д. ШАШИНА</v>
      </c>
      <c r="B10882" s="24" t="s">
        <v>13000</v>
      </c>
      <c r="C10882" s="25">
        <v>0</v>
      </c>
      <c r="D10882" s="22" t="s">
        <v>13234</v>
      </c>
      <c r="E10882" s="22" t="s">
        <v>208</v>
      </c>
      <c r="F10882" s="23" t="str">
        <f>HYPERLINK("https://www.spark-marketing.ru/Card/Lot/69157853", "Техническое обслуживание IP-видеокамер")</f>
        <v>Техническое обслуживание IP-видеокамер</v>
      </c>
      <c r="G10882" s="22" t="s">
        <v>204</v>
      </c>
      <c r="H10882" s="22" t="s">
        <v>13235</v>
      </c>
      <c r="I10882" s="26">
        <v>43553.659652777802</v>
      </c>
      <c r="J10882" s="28" t="s">
        <v>52</v>
      </c>
      <c r="K10882" s="28" t="s">
        <v>52</v>
      </c>
      <c r="L10882" s="28" t="s">
        <v>52</v>
      </c>
      <c r="M10882" s="28" t="s">
        <v>52</v>
      </c>
      <c r="N10882" s="28" t="s">
        <v>52</v>
      </c>
    </row>
    <row r="10883" spans="1:14" x14ac:dyDescent="0.15">
      <c r="A10883" s="23" t="str">
        <f>HYPERLINK("https://www.spark-marketing.ru/Card/Person/4352454", "Фл ФГБУ ""Россельхозцентр"" по Краснодарскому краю")</f>
        <v>Фл ФГБУ "Россельхозцентр" по Краснодарскому краю</v>
      </c>
      <c r="B10883" s="24" t="s">
        <v>5071</v>
      </c>
      <c r="C10883" s="25">
        <v>464000</v>
      </c>
      <c r="D10883" s="22" t="s">
        <v>13236</v>
      </c>
      <c r="E10883" s="22" t="s">
        <v>68</v>
      </c>
      <c r="F10883" s="23" t="str">
        <f>HYPERLINK("https://www.spark-marketing.ru/Card/Lot/69161041", "Охрана административных зданий и прилегающей территории")</f>
        <v>Охрана административных зданий и прилегающей территории</v>
      </c>
      <c r="G10883" s="22" t="s">
        <v>132</v>
      </c>
      <c r="H10883" s="22" t="s">
        <v>652</v>
      </c>
      <c r="I10883" s="26">
        <v>43553.6430555556</v>
      </c>
      <c r="J10883" s="28" t="s">
        <v>52</v>
      </c>
      <c r="K10883" s="28" t="s">
        <v>52</v>
      </c>
      <c r="L10883" s="28" t="s">
        <v>52</v>
      </c>
      <c r="M10883" s="28" t="s">
        <v>52</v>
      </c>
      <c r="N10883" s="28" t="s">
        <v>52</v>
      </c>
    </row>
    <row r="10884" spans="1:14" hidden="1" outlineLevel="1" x14ac:dyDescent="0.2">
      <c r="A10884" s="23" t="str">
        <f>HYPERLINK("https://www.spark-marketing.ru/Card/Person/4352454", "Фл ФГБУ ""Россельхозцентр"" по Краснодарскому краю")</f>
        <v>Фл ФГБУ "Россельхозцентр" по Краснодарскому краю</v>
      </c>
      <c r="B10884" s="24" t="s">
        <v>5071</v>
      </c>
      <c r="C10884" s="25">
        <v>464000</v>
      </c>
      <c r="D10884" s="22" t="s">
        <v>13236</v>
      </c>
      <c r="E10884" s="22" t="s">
        <v>68</v>
      </c>
      <c r="F10884" s="23" t="str">
        <f>HYPERLINK("https://www.spark-marketing.ru/Card/Lot/69161041", "Охрана административных зданий и прилегающей территории")</f>
        <v>Охрана административных зданий и прилегающей территории</v>
      </c>
      <c r="G10884" s="22" t="s">
        <v>132</v>
      </c>
      <c r="H10884" s="22" t="s">
        <v>652</v>
      </c>
      <c r="I10884" s="26">
        <v>43553.6430555556</v>
      </c>
      <c r="J10884" s="23" t="str">
        <f>HYPERLINK("https://www.spark-marketing.ru/Card/Person/461410", "ООО ""ОСА ""СКОРПИОН""")</f>
        <v>ООО "ОСА "СКОРПИОН"</v>
      </c>
      <c r="K10884" s="24" t="s">
        <v>6843</v>
      </c>
      <c r="L10884" s="28" t="s">
        <v>52</v>
      </c>
      <c r="M10884" s="25">
        <v>419360</v>
      </c>
      <c r="N10884" s="27">
        <v>9.6206896551724139E-2</v>
      </c>
    </row>
    <row r="10885" spans="1:14" ht="12.75" hidden="1" outlineLevel="1" x14ac:dyDescent="0.2">
      <c r="A10885" s="23" t="str">
        <f>HYPERLINK("https://www.spark-marketing.ru/Card/Person/4352454", "Фл ФГБУ ""Россельхозцентр"" по Краснодарскому краю")</f>
        <v>Фл ФГБУ "Россельхозцентр" по Краснодарскому краю</v>
      </c>
      <c r="B10885" s="24" t="s">
        <v>5071</v>
      </c>
      <c r="C10885" s="25">
        <v>464000</v>
      </c>
      <c r="D10885" s="22" t="s">
        <v>13236</v>
      </c>
      <c r="E10885" s="22" t="s">
        <v>68</v>
      </c>
      <c r="F10885" s="23" t="str">
        <f>HYPERLINK("https://www.spark-marketing.ru/Card/Lot/69161041", "Охрана административных зданий и прилегающей территории")</f>
        <v>Охрана административных зданий и прилегающей территории</v>
      </c>
      <c r="G10885" s="22" t="s">
        <v>132</v>
      </c>
      <c r="H10885" s="22" t="s">
        <v>652</v>
      </c>
      <c r="I10885" s="26">
        <v>43553.6430555556</v>
      </c>
      <c r="J10885" s="23" t="str">
        <f>HYPERLINK("https://www.spark-marketing.ru/Card/Person/906651", "ООО ЧОО ""БАРС""")</f>
        <v>ООО ЧОО "БАРС"</v>
      </c>
      <c r="K10885" s="24" t="s">
        <v>13237</v>
      </c>
      <c r="L10885" s="22" t="s">
        <v>10</v>
      </c>
      <c r="M10885" s="25">
        <v>417040</v>
      </c>
      <c r="N10885" s="27">
        <v>0.10120689655172414</v>
      </c>
    </row>
    <row r="10886" spans="1:14" x14ac:dyDescent="0.15">
      <c r="A10886" s="23" t="str">
        <f>HYPERLINK("https://www.spark-marketing.ru/Card/Person/4348589", "ПАО ""ТАТНЕФТЬ"" ИМ. В.Д. ШАШИНА")</f>
        <v>ПАО "ТАТНЕФТЬ" ИМ. В.Д. ШАШИНА</v>
      </c>
      <c r="B10886" s="24" t="s">
        <v>13000</v>
      </c>
      <c r="C10886" s="25">
        <v>0</v>
      </c>
      <c r="D10886" s="22" t="s">
        <v>13234</v>
      </c>
      <c r="E10886" s="22" t="s">
        <v>208</v>
      </c>
      <c r="F10886" s="23" t="str">
        <f>HYPERLINK("https://www.spark-marketing.ru/Card/Lot/69157854", "Техническое обслуживание аналоговых видеокамер")</f>
        <v>Техническое обслуживание аналоговых видеокамер</v>
      </c>
      <c r="G10886" s="22" t="s">
        <v>204</v>
      </c>
      <c r="H10886" s="22" t="s">
        <v>13235</v>
      </c>
      <c r="I10886" s="26">
        <v>43553.659652777802</v>
      </c>
      <c r="J10886" s="28" t="s">
        <v>52</v>
      </c>
      <c r="K10886" s="28" t="s">
        <v>52</v>
      </c>
      <c r="L10886" s="28" t="s">
        <v>52</v>
      </c>
      <c r="M10886" s="28" t="s">
        <v>52</v>
      </c>
      <c r="N10886" s="28" t="s">
        <v>52</v>
      </c>
    </row>
    <row r="10887" spans="1:14" x14ac:dyDescent="0.15">
      <c r="A10887" s="23" t="str">
        <f>HYPERLINK("https://www.spark-marketing.ru/Card/Person/426673", "ГБУК РО ""ТАГАНРОГСКИЙ ХУДОЖЕСТВЕННЫЙ МУЗЕЙ""")</f>
        <v>ГБУК РО "ТАГАНРОГСКИЙ ХУДОЖЕСТВЕННЫЙ МУЗЕЙ"</v>
      </c>
      <c r="B10887" s="24" t="s">
        <v>13238</v>
      </c>
      <c r="C10887" s="25">
        <v>13770</v>
      </c>
      <c r="D10887" s="22" t="s">
        <v>13239</v>
      </c>
      <c r="E10887" s="22" t="s">
        <v>59</v>
      </c>
      <c r="F10887" s="23" t="str">
        <f>HYPERLINK("https://www.spark-marketing.ru/Card/Lot/69143460", "Техническое обслуживание исправных и работоспособных систем охранной сигнализации и системы тревожной сигнализации")</f>
        <v>Техническое обслуживание исправных и работоспособных систем охранной сигнализации и системы тревожной сигнализации</v>
      </c>
      <c r="G10887" s="22" t="s">
        <v>402</v>
      </c>
      <c r="H10887" s="22" t="s">
        <v>5520</v>
      </c>
      <c r="I10887" s="26">
        <v>43553.646527777797</v>
      </c>
      <c r="J10887" s="28" t="s">
        <v>52</v>
      </c>
      <c r="K10887" s="28" t="s">
        <v>52</v>
      </c>
      <c r="L10887" s="28" t="s">
        <v>52</v>
      </c>
      <c r="M10887" s="28" t="s">
        <v>52</v>
      </c>
      <c r="N10887" s="28" t="s">
        <v>52</v>
      </c>
    </row>
    <row r="10888" spans="1:14" x14ac:dyDescent="0.15">
      <c r="A10888" s="23" t="str">
        <f>HYPERLINK("https://www.spark-marketing.ru/Card/Person/426673", "ГБУК РО ""ТАГАНРОГСКИЙ ХУДОЖЕСТВЕННЫЙ МУЗЕЙ""")</f>
        <v>ГБУК РО "ТАГАНРОГСКИЙ ХУДОЖЕСТВЕННЫЙ МУЗЕЙ"</v>
      </c>
      <c r="B10888" s="24" t="s">
        <v>13238</v>
      </c>
      <c r="C10888" s="25">
        <v>30240</v>
      </c>
      <c r="D10888" s="22" t="s">
        <v>13240</v>
      </c>
      <c r="E10888" s="22" t="s">
        <v>103</v>
      </c>
      <c r="F10888" s="23" t="str">
        <f>HYPERLINK("https://www.spark-marketing.ru/Card/Lot/69143509", "Техническое обслуживание исправной и работоспособной системы видеонаблюдения")</f>
        <v>Техническое обслуживание исправной и работоспособной системы видеонаблюдения</v>
      </c>
      <c r="G10888" s="22" t="s">
        <v>402</v>
      </c>
      <c r="H10888" s="22" t="s">
        <v>5520</v>
      </c>
      <c r="I10888" s="26">
        <v>43553.647916666698</v>
      </c>
      <c r="J10888" s="28" t="s">
        <v>52</v>
      </c>
      <c r="K10888" s="28" t="s">
        <v>52</v>
      </c>
      <c r="L10888" s="28" t="s">
        <v>52</v>
      </c>
      <c r="M10888" s="28" t="s">
        <v>52</v>
      </c>
      <c r="N10888" s="28" t="s">
        <v>52</v>
      </c>
    </row>
    <row r="10889" spans="1:14" x14ac:dyDescent="0.15">
      <c r="A10889" s="23" t="str">
        <f>HYPERLINK("https://www.spark-marketing.ru/Card/Person/4348589", "ПАО ""ТАТНЕФТЬ"" ИМ. В.Д. ШАШИНА")</f>
        <v>ПАО "ТАТНЕФТЬ" ИМ. В.Д. ШАШИНА</v>
      </c>
      <c r="B10889" s="24" t="s">
        <v>13000</v>
      </c>
      <c r="C10889" s="25">
        <v>0</v>
      </c>
      <c r="D10889" s="22" t="s">
        <v>13234</v>
      </c>
      <c r="E10889" s="22" t="s">
        <v>208</v>
      </c>
      <c r="F10889" s="23" t="str">
        <f>HYPERLINK("https://www.spark-marketing.ru/Card/Lot/69157851", "Техническое обслуживание видеосерверов")</f>
        <v>Техническое обслуживание видеосерверов</v>
      </c>
      <c r="G10889" s="22" t="s">
        <v>204</v>
      </c>
      <c r="H10889" s="22" t="s">
        <v>13235</v>
      </c>
      <c r="I10889" s="26">
        <v>43553.659652777802</v>
      </c>
      <c r="J10889" s="28" t="s">
        <v>52</v>
      </c>
      <c r="K10889" s="28" t="s">
        <v>52</v>
      </c>
      <c r="L10889" s="28" t="s">
        <v>52</v>
      </c>
      <c r="M10889" s="28" t="s">
        <v>52</v>
      </c>
      <c r="N10889" s="28" t="s">
        <v>52</v>
      </c>
    </row>
    <row r="10890" spans="1:14" x14ac:dyDescent="0.15">
      <c r="A10890" s="23" t="str">
        <f>HYPERLINK("https://www.spark-marketing.ru/Card/Person/4348589", "ПАО ""ТАТНЕФТЬ"" ИМ. В.Д. ШАШИНА")</f>
        <v>ПАО "ТАТНЕФТЬ" ИМ. В.Д. ШАШИНА</v>
      </c>
      <c r="B10890" s="24" t="s">
        <v>13000</v>
      </c>
      <c r="C10890" s="25">
        <v>0</v>
      </c>
      <c r="D10890" s="22" t="s">
        <v>13234</v>
      </c>
      <c r="E10890" s="22" t="s">
        <v>208</v>
      </c>
      <c r="F10890" s="23" t="str">
        <f>HYPERLINK("https://www.spark-marketing.ru/Card/Lot/69157852", "Техническое обслуживание АРМ системы видеонаблюдения")</f>
        <v>Техническое обслуживание АРМ системы видеонаблюдения</v>
      </c>
      <c r="G10890" s="22" t="s">
        <v>204</v>
      </c>
      <c r="H10890" s="22" t="s">
        <v>13235</v>
      </c>
      <c r="I10890" s="26">
        <v>43553.659652777802</v>
      </c>
      <c r="J10890" s="28" t="s">
        <v>52</v>
      </c>
      <c r="K10890" s="28" t="s">
        <v>52</v>
      </c>
      <c r="L10890" s="28" t="s">
        <v>52</v>
      </c>
      <c r="M10890" s="28" t="s">
        <v>52</v>
      </c>
      <c r="N10890" s="28" t="s">
        <v>52</v>
      </c>
    </row>
    <row r="10891" spans="1:14" x14ac:dyDescent="0.15">
      <c r="A10891" s="23" t="str">
        <f t="shared" ref="A10891:A10896" si="513">HYPERLINK("https://www.spark-marketing.ru/Card/Person/7616", "ГКУ ""УПРАВЛЕНИЕ СТРОИТЕЛЬСТВА И ДОРОЖНОГО ХОЗЯЙСТВА ПЕНЗЕНСКОЙ ОБЛАСТИ""")</f>
        <v>ГКУ "УПРАВЛЕНИЕ СТРОИТЕЛЬСТВА И ДОРОЖНОГО ХОЗЯЙСТВА ПЕНЗЕНСКОЙ ОБЛАСТИ"</v>
      </c>
      <c r="B10891" s="24" t="s">
        <v>13192</v>
      </c>
      <c r="C10891" s="25">
        <v>2752000</v>
      </c>
      <c r="D10891" s="22" t="s">
        <v>13241</v>
      </c>
      <c r="E10891" s="22" t="s">
        <v>79</v>
      </c>
      <c r="F10891" s="23" t="str">
        <f t="shared" ref="F10891:F10896" si="514">HYPERLINK("https://www.spark-marketing.ru/Card/Lot/69152568", "Установка автоматизированной информационной системы фото-видеофиксации нарушений правил дорожного движения на автомобильной дороге «г. Тамбов- г.Пенза»-р.п. Колышлей - г. Сердобск - р.п. Беково» км 2+900 Пензенского района Пензенской области")</f>
        <v>Установка автоматизированной информационной системы фото-видеофиксации нарушений правил дорожного движения на автомобильной дороге «г. Тамбов- г.Пенза»-р.п. Колышлей - г. Сердобск - р.п. Беково» км 2+900 Пензенского района Пензенской области</v>
      </c>
      <c r="G10891" s="22" t="s">
        <v>514</v>
      </c>
      <c r="H10891" s="22" t="s">
        <v>2167</v>
      </c>
      <c r="I10891" s="26">
        <v>43553.598611111098</v>
      </c>
      <c r="J10891" s="28" t="s">
        <v>52</v>
      </c>
      <c r="K10891" s="28" t="s">
        <v>52</v>
      </c>
      <c r="L10891" s="28" t="s">
        <v>52</v>
      </c>
      <c r="M10891" s="28" t="s">
        <v>52</v>
      </c>
      <c r="N10891" s="28" t="s">
        <v>52</v>
      </c>
    </row>
    <row r="10892" spans="1:14" hidden="1" outlineLevel="1" x14ac:dyDescent="0.2">
      <c r="A10892" s="23" t="str">
        <f t="shared" si="513"/>
        <v>ГКУ "УПРАВЛЕНИЕ СТРОИТЕЛЬСТВА И ДОРОЖНОГО ХОЗЯЙСТВА ПЕНЗЕНСКОЙ ОБЛАСТИ"</v>
      </c>
      <c r="B10892" s="24" t="s">
        <v>13192</v>
      </c>
      <c r="C10892" s="25">
        <v>2752000</v>
      </c>
      <c r="D10892" s="22" t="s">
        <v>13241</v>
      </c>
      <c r="E10892" s="22" t="s">
        <v>79</v>
      </c>
      <c r="F10892" s="23" t="str">
        <f t="shared" si="514"/>
        <v>Установка автоматизированной информационной системы фото-видеофиксации нарушений правил дорожного движения на автомобильной дороге «г. Тамбов- г.Пенза»-р.п. Колышлей - г. Сердобск - р.п. Беково» км 2+900 Пензенского района Пензенской области</v>
      </c>
      <c r="G10892" s="22" t="s">
        <v>514</v>
      </c>
      <c r="H10892" s="22" t="s">
        <v>2167</v>
      </c>
      <c r="I10892" s="26">
        <v>43553.598611111098</v>
      </c>
      <c r="J10892" s="23" t="str">
        <f>HYPERLINK("https://www.spark-marketing.ru/Card/Person/10991", "ПАО ""РОСТЕЛЕКОМ""")</f>
        <v>ПАО "РОСТЕЛЕКОМ"</v>
      </c>
      <c r="K10892" s="24" t="s">
        <v>607</v>
      </c>
      <c r="L10892" s="28" t="s">
        <v>52</v>
      </c>
      <c r="M10892" s="25">
        <v>2724480</v>
      </c>
      <c r="N10892" s="27">
        <v>0.01</v>
      </c>
    </row>
    <row r="10893" spans="1:14" ht="12.75" hidden="1" outlineLevel="1" x14ac:dyDescent="0.2">
      <c r="A10893" s="23" t="str">
        <f t="shared" si="513"/>
        <v>ГКУ "УПРАВЛЕНИЕ СТРОИТЕЛЬСТВА И ДОРОЖНОГО ХОЗЯЙСТВА ПЕНЗЕНСКОЙ ОБЛАСТИ"</v>
      </c>
      <c r="B10893" s="24" t="s">
        <v>13192</v>
      </c>
      <c r="C10893" s="25">
        <v>2752000</v>
      </c>
      <c r="D10893" s="22" t="s">
        <v>13241</v>
      </c>
      <c r="E10893" s="22" t="s">
        <v>79</v>
      </c>
      <c r="F10893" s="23" t="str">
        <f t="shared" si="514"/>
        <v>Установка автоматизированной информационной системы фото-видеофиксации нарушений правил дорожного движения на автомобильной дороге «г. Тамбов- г.Пенза»-р.п. Колышлей - г. Сердобск - р.п. Беково» км 2+900 Пензенского района Пензенской области</v>
      </c>
      <c r="G10893" s="22" t="s">
        <v>514</v>
      </c>
      <c r="H10893" s="22" t="s">
        <v>2167</v>
      </c>
      <c r="I10893" s="26">
        <v>43553.598611111098</v>
      </c>
      <c r="J10893" s="23" t="str">
        <f>HYPERLINK("https://www.spark-marketing.ru/Card/Person/236655", "ООО ""ТМЦ -НН""")</f>
        <v>ООО "ТМЦ -НН"</v>
      </c>
      <c r="K10893" s="24" t="s">
        <v>4899</v>
      </c>
      <c r="L10893" s="22" t="s">
        <v>10</v>
      </c>
      <c r="M10893" s="25">
        <v>2710720</v>
      </c>
      <c r="N10893" s="27">
        <v>1.4999999999999999E-2</v>
      </c>
    </row>
    <row r="10894" spans="1:14" hidden="1" outlineLevel="1" x14ac:dyDescent="0.2">
      <c r="A10894" s="23" t="str">
        <f t="shared" si="513"/>
        <v>ГКУ "УПРАВЛЕНИЕ СТРОИТЕЛЬСТВА И ДОРОЖНОГО ХОЗЯЙСТВА ПЕНЗЕНСКОЙ ОБЛАСТИ"</v>
      </c>
      <c r="B10894" s="24" t="s">
        <v>13192</v>
      </c>
      <c r="C10894" s="25">
        <v>2752000</v>
      </c>
      <c r="D10894" s="22" t="s">
        <v>13241</v>
      </c>
      <c r="E10894" s="22" t="s">
        <v>79</v>
      </c>
      <c r="F10894" s="23" t="str">
        <f t="shared" si="514"/>
        <v>Установка автоматизированной информационной системы фото-видеофиксации нарушений правил дорожного движения на автомобильной дороге «г. Тамбов- г.Пенза»-р.п. Колышлей - г. Сердобск - р.п. Беково» км 2+900 Пензенского района Пензенской области</v>
      </c>
      <c r="G10894" s="22" t="s">
        <v>514</v>
      </c>
      <c r="H10894" s="22" t="s">
        <v>2167</v>
      </c>
      <c r="I10894" s="26">
        <v>43553.598611111098</v>
      </c>
      <c r="J10894" s="23" t="str">
        <f>HYPERLINK("https://www.spark-marketing.ru/Card/Person/21753", "Поволжский филиал ПАО ""МЕГАФОН""")</f>
        <v>Поволжский филиал ПАО "МЕГАФОН"</v>
      </c>
      <c r="K10894" s="24" t="s">
        <v>2783</v>
      </c>
      <c r="L10894" s="28" t="s">
        <v>52</v>
      </c>
      <c r="M10894" s="25">
        <v>2738240</v>
      </c>
      <c r="N10894" s="27">
        <v>5.0000000000000001E-3</v>
      </c>
    </row>
    <row r="10895" spans="1:14" hidden="1" outlineLevel="1" x14ac:dyDescent="0.2">
      <c r="A10895" s="23" t="str">
        <f t="shared" si="513"/>
        <v>ГКУ "УПРАВЛЕНИЕ СТРОИТЕЛЬСТВА И ДОРОЖНОГО ХОЗЯЙСТВА ПЕНЗЕНСКОЙ ОБЛАСТИ"</v>
      </c>
      <c r="B10895" s="24" t="s">
        <v>13192</v>
      </c>
      <c r="C10895" s="25">
        <v>2752000</v>
      </c>
      <c r="D10895" s="22" t="s">
        <v>13241</v>
      </c>
      <c r="E10895" s="22" t="s">
        <v>79</v>
      </c>
      <c r="F10895" s="23" t="str">
        <f t="shared" si="514"/>
        <v>Установка автоматизированной информационной системы фото-видеофиксации нарушений правил дорожного движения на автомобильной дороге «г. Тамбов- г.Пенза»-р.п. Колышлей - г. Сердобск - р.п. Беково» км 2+900 Пензенского района Пензенской области</v>
      </c>
      <c r="G10895" s="22" t="s">
        <v>514</v>
      </c>
      <c r="H10895" s="22" t="s">
        <v>2167</v>
      </c>
      <c r="I10895" s="26">
        <v>43553.598611111098</v>
      </c>
      <c r="J10895" s="23" t="str">
        <f>HYPERLINK("https://www.spark-marketing.ru/Card/Person/10991", "ПАО ""РОСТЕЛЕКОМ""")</f>
        <v>ПАО "РОСТЕЛЕКОМ"</v>
      </c>
      <c r="K10895" s="24" t="s">
        <v>607</v>
      </c>
      <c r="L10895" s="28" t="s">
        <v>52</v>
      </c>
      <c r="M10895" s="25">
        <v>2724480</v>
      </c>
      <c r="N10895" s="27">
        <v>0.01</v>
      </c>
    </row>
    <row r="10896" spans="1:14" ht="12.75" hidden="1" outlineLevel="1" x14ac:dyDescent="0.2">
      <c r="A10896" s="23" t="str">
        <f t="shared" si="513"/>
        <v>ГКУ "УПРАВЛЕНИЕ СТРОИТЕЛЬСТВА И ДОРОЖНОГО ХОЗЯЙСТВА ПЕНЗЕНСКОЙ ОБЛАСТИ"</v>
      </c>
      <c r="B10896" s="24" t="s">
        <v>13192</v>
      </c>
      <c r="C10896" s="25">
        <v>2752000</v>
      </c>
      <c r="D10896" s="22" t="s">
        <v>13241</v>
      </c>
      <c r="E10896" s="22" t="s">
        <v>79</v>
      </c>
      <c r="F10896" s="23" t="str">
        <f t="shared" si="514"/>
        <v>Установка автоматизированной информационной системы фото-видеофиксации нарушений правил дорожного движения на автомобильной дороге «г. Тамбов- г.Пенза»-р.п. Колышлей - г. Сердобск - р.п. Беково» км 2+900 Пензенского района Пензенской области</v>
      </c>
      <c r="G10896" s="22" t="s">
        <v>514</v>
      </c>
      <c r="H10896" s="22" t="s">
        <v>2167</v>
      </c>
      <c r="I10896" s="26">
        <v>43553.598611111098</v>
      </c>
      <c r="J10896" s="23" t="str">
        <f>HYPERLINK("https://www.spark-marketing.ru/Card/Person/236655", "ООО ""ТМЦ -НН""")</f>
        <v>ООО "ТМЦ -НН"</v>
      </c>
      <c r="K10896" s="24" t="s">
        <v>4899</v>
      </c>
      <c r="L10896" s="22" t="s">
        <v>10</v>
      </c>
      <c r="M10896" s="25">
        <v>2710720</v>
      </c>
      <c r="N10896" s="27">
        <v>1.4999999999999999E-2</v>
      </c>
    </row>
    <row r="10897" spans="1:14" x14ac:dyDescent="0.15">
      <c r="A10897" s="23" t="str">
        <f>HYPERLINK("https://www.spark-marketing.ru/Card/Person/1003222", "МБУ ""АЛЕКСЕЕВСКАЯ СПОРТИВНАЯ ШКОЛА""")</f>
        <v>МБУ "АЛЕКСЕЕВСКАЯ СПОРТИВНАЯ ШКОЛА"</v>
      </c>
      <c r="B10897" s="24" t="s">
        <v>13242</v>
      </c>
      <c r="C10897" s="25">
        <v>50000</v>
      </c>
      <c r="D10897" s="22" t="s">
        <v>13243</v>
      </c>
      <c r="E10897" s="22" t="s">
        <v>103</v>
      </c>
      <c r="F10897" s="23" t="str">
        <f>HYPERLINK("https://www.spark-marketing.ru/Card/Lot/69141243", "Техническое обслуживание системы видеонаблюдения")</f>
        <v>Техническое обслуживание системы видеонаблюдения</v>
      </c>
      <c r="G10897" s="22" t="s">
        <v>176</v>
      </c>
      <c r="H10897" s="22" t="s">
        <v>9446</v>
      </c>
      <c r="I10897" s="26">
        <v>43553.6159722222</v>
      </c>
      <c r="J10897" s="28" t="s">
        <v>52</v>
      </c>
      <c r="K10897" s="28" t="s">
        <v>52</v>
      </c>
      <c r="L10897" s="28" t="s">
        <v>52</v>
      </c>
      <c r="M10897" s="28" t="s">
        <v>52</v>
      </c>
      <c r="N10897" s="28" t="s">
        <v>52</v>
      </c>
    </row>
    <row r="10898" spans="1:14" x14ac:dyDescent="0.15">
      <c r="A10898" s="23" t="str">
        <f t="shared" ref="A10898:A10903" si="515">HYPERLINK("https://www.spark-marketing.ru/Card/Person/7616", "ГКУ ""УПРАВЛЕНИЕ СТРОИТЕЛЬСТВА И ДОРОЖНОГО ХОЗЯЙСТВА ПЕНЗЕНСКОЙ ОБЛАСТИ""")</f>
        <v>ГКУ "УПРАВЛЕНИЕ СТРОИТЕЛЬСТВА И ДОРОЖНОГО ХОЗЯЙСТВА ПЕНЗЕНСКОЙ ОБЛАСТИ"</v>
      </c>
      <c r="B10898" s="24" t="s">
        <v>13192</v>
      </c>
      <c r="C10898" s="25">
        <v>2752000</v>
      </c>
      <c r="D10898" s="22" t="s">
        <v>13244</v>
      </c>
      <c r="E10898" s="22" t="s">
        <v>79</v>
      </c>
      <c r="F10898" s="23" t="str">
        <f t="shared" ref="F10898:F10903" si="516">HYPERLINK("https://www.spark-marketing.ru/Card/Lot/69152542", "Установка автоматизированной информационной системы фото-видеофиксации нарушений правил дорожного движения на автомобильной дороге «г.Нижний Ломов -с.Наровчат - граница области км 36+600 Наровчатского района Пензенской области")</f>
        <v>Установка автоматизированной информационной системы фото-видеофиксации нарушений правил дорожного движения на автомобильной дороге «г.Нижний Ломов -с.Наровчат - граница области км 36+600 Наровчатского района Пензенской области</v>
      </c>
      <c r="G10898" s="22" t="s">
        <v>514</v>
      </c>
      <c r="H10898" s="22" t="s">
        <v>2167</v>
      </c>
      <c r="I10898" s="26">
        <v>43553.601388888899</v>
      </c>
      <c r="J10898" s="28" t="s">
        <v>52</v>
      </c>
      <c r="K10898" s="28" t="s">
        <v>52</v>
      </c>
      <c r="L10898" s="28" t="s">
        <v>52</v>
      </c>
      <c r="M10898" s="28" t="s">
        <v>52</v>
      </c>
      <c r="N10898" s="28" t="s">
        <v>52</v>
      </c>
    </row>
    <row r="10899" spans="1:14" hidden="1" outlineLevel="1" x14ac:dyDescent="0.2">
      <c r="A10899" s="23" t="str">
        <f t="shared" si="515"/>
        <v>ГКУ "УПРАВЛЕНИЕ СТРОИТЕЛЬСТВА И ДОРОЖНОГО ХОЗЯЙСТВА ПЕНЗЕНСКОЙ ОБЛАСТИ"</v>
      </c>
      <c r="B10899" s="24" t="s">
        <v>13192</v>
      </c>
      <c r="C10899" s="25">
        <v>2752000</v>
      </c>
      <c r="D10899" s="22" t="s">
        <v>13244</v>
      </c>
      <c r="E10899" s="22" t="s">
        <v>79</v>
      </c>
      <c r="F10899" s="23" t="str">
        <f t="shared" si="516"/>
        <v>Установка автоматизированной информационной системы фото-видеофиксации нарушений правил дорожного движения на автомобильной дороге «г.Нижний Ломов -с.Наровчат - граница области км 36+600 Наровчатского района Пензенской области</v>
      </c>
      <c r="G10899" s="22" t="s">
        <v>514</v>
      </c>
      <c r="H10899" s="22" t="s">
        <v>2167</v>
      </c>
      <c r="I10899" s="26">
        <v>43553.601388888899</v>
      </c>
      <c r="J10899" s="23" t="str">
        <f>HYPERLINK("https://www.spark-marketing.ru/Card/Person/10991", "ПАО ""РОСТЕЛЕКОМ""")</f>
        <v>ПАО "РОСТЕЛЕКОМ"</v>
      </c>
      <c r="K10899" s="24" t="s">
        <v>607</v>
      </c>
      <c r="L10899" s="28" t="s">
        <v>52</v>
      </c>
      <c r="M10899" s="25">
        <v>2724480</v>
      </c>
      <c r="N10899" s="27">
        <v>0.01</v>
      </c>
    </row>
    <row r="10900" spans="1:14" ht="12.75" hidden="1" outlineLevel="1" x14ac:dyDescent="0.2">
      <c r="A10900" s="23" t="str">
        <f t="shared" si="515"/>
        <v>ГКУ "УПРАВЛЕНИЕ СТРОИТЕЛЬСТВА И ДОРОЖНОГО ХОЗЯЙСТВА ПЕНЗЕНСКОЙ ОБЛАСТИ"</v>
      </c>
      <c r="B10900" s="24" t="s">
        <v>13192</v>
      </c>
      <c r="C10900" s="25">
        <v>2752000</v>
      </c>
      <c r="D10900" s="22" t="s">
        <v>13244</v>
      </c>
      <c r="E10900" s="22" t="s">
        <v>79</v>
      </c>
      <c r="F10900" s="23" t="str">
        <f t="shared" si="516"/>
        <v>Установка автоматизированной информационной системы фото-видеофиксации нарушений правил дорожного движения на автомобильной дороге «г.Нижний Ломов -с.Наровчат - граница области км 36+600 Наровчатского района Пензенской области</v>
      </c>
      <c r="G10900" s="22" t="s">
        <v>514</v>
      </c>
      <c r="H10900" s="22" t="s">
        <v>2167</v>
      </c>
      <c r="I10900" s="26">
        <v>43553.601388888899</v>
      </c>
      <c r="J10900" s="23" t="str">
        <f>HYPERLINK("https://www.spark-marketing.ru/Card/Person/236655", "ООО ""ТМЦ -НН""")</f>
        <v>ООО "ТМЦ -НН"</v>
      </c>
      <c r="K10900" s="24" t="s">
        <v>4899</v>
      </c>
      <c r="L10900" s="22" t="s">
        <v>10</v>
      </c>
      <c r="M10900" s="25">
        <v>2710720</v>
      </c>
      <c r="N10900" s="27">
        <v>1.4999999999999999E-2</v>
      </c>
    </row>
    <row r="10901" spans="1:14" hidden="1" outlineLevel="1" x14ac:dyDescent="0.2">
      <c r="A10901" s="23" t="str">
        <f t="shared" si="515"/>
        <v>ГКУ "УПРАВЛЕНИЕ СТРОИТЕЛЬСТВА И ДОРОЖНОГО ХОЗЯЙСТВА ПЕНЗЕНСКОЙ ОБЛАСТИ"</v>
      </c>
      <c r="B10901" s="24" t="s">
        <v>13192</v>
      </c>
      <c r="C10901" s="25">
        <v>2752000</v>
      </c>
      <c r="D10901" s="22" t="s">
        <v>13244</v>
      </c>
      <c r="E10901" s="22" t="s">
        <v>79</v>
      </c>
      <c r="F10901" s="23" t="str">
        <f t="shared" si="516"/>
        <v>Установка автоматизированной информационной системы фото-видеофиксации нарушений правил дорожного движения на автомобильной дороге «г.Нижний Ломов -с.Наровчат - граница области км 36+600 Наровчатского района Пензенской области</v>
      </c>
      <c r="G10901" s="22" t="s">
        <v>514</v>
      </c>
      <c r="H10901" s="22" t="s">
        <v>2167</v>
      </c>
      <c r="I10901" s="26">
        <v>43553.601388888899</v>
      </c>
      <c r="J10901" s="23" t="str">
        <f>HYPERLINK("https://www.spark-marketing.ru/Card/Person/21753", "Поволжский филиал ПАО ""МЕГАФОН""")</f>
        <v>Поволжский филиал ПАО "МЕГАФОН"</v>
      </c>
      <c r="K10901" s="24" t="s">
        <v>2783</v>
      </c>
      <c r="L10901" s="28" t="s">
        <v>52</v>
      </c>
      <c r="M10901" s="25">
        <v>2738240</v>
      </c>
      <c r="N10901" s="27">
        <v>5.0000000000000001E-3</v>
      </c>
    </row>
    <row r="10902" spans="1:14" hidden="1" outlineLevel="1" x14ac:dyDescent="0.2">
      <c r="A10902" s="23" t="str">
        <f t="shared" si="515"/>
        <v>ГКУ "УПРАВЛЕНИЕ СТРОИТЕЛЬСТВА И ДОРОЖНОГО ХОЗЯЙСТВА ПЕНЗЕНСКОЙ ОБЛАСТИ"</v>
      </c>
      <c r="B10902" s="24" t="s">
        <v>13192</v>
      </c>
      <c r="C10902" s="25">
        <v>2752000</v>
      </c>
      <c r="D10902" s="22" t="s">
        <v>13244</v>
      </c>
      <c r="E10902" s="22" t="s">
        <v>79</v>
      </c>
      <c r="F10902" s="23" t="str">
        <f t="shared" si="516"/>
        <v>Установка автоматизированной информационной системы фото-видеофиксации нарушений правил дорожного движения на автомобильной дороге «г.Нижний Ломов -с.Наровчат - граница области км 36+600 Наровчатского района Пензенской области</v>
      </c>
      <c r="G10902" s="22" t="s">
        <v>514</v>
      </c>
      <c r="H10902" s="22" t="s">
        <v>2167</v>
      </c>
      <c r="I10902" s="26">
        <v>43553.601388888899</v>
      </c>
      <c r="J10902" s="23" t="str">
        <f>HYPERLINK("https://www.spark-marketing.ru/Card/Person/10991", "ПАО ""РОСТЕЛЕКОМ""")</f>
        <v>ПАО "РОСТЕЛЕКОМ"</v>
      </c>
      <c r="K10902" s="24" t="s">
        <v>607</v>
      </c>
      <c r="L10902" s="28" t="s">
        <v>52</v>
      </c>
      <c r="M10902" s="25">
        <v>2710720</v>
      </c>
      <c r="N10902" s="27">
        <v>1.4999999999999999E-2</v>
      </c>
    </row>
    <row r="10903" spans="1:14" ht="12.75" hidden="1" outlineLevel="1" x14ac:dyDescent="0.2">
      <c r="A10903" s="23" t="str">
        <f t="shared" si="515"/>
        <v>ГКУ "УПРАВЛЕНИЕ СТРОИТЕЛЬСТВА И ДОРОЖНОГО ХОЗЯЙСТВА ПЕНЗЕНСКОЙ ОБЛАСТИ"</v>
      </c>
      <c r="B10903" s="24" t="s">
        <v>13192</v>
      </c>
      <c r="C10903" s="25">
        <v>2752000</v>
      </c>
      <c r="D10903" s="22" t="s">
        <v>13244</v>
      </c>
      <c r="E10903" s="22" t="s">
        <v>79</v>
      </c>
      <c r="F10903" s="23" t="str">
        <f t="shared" si="516"/>
        <v>Установка автоматизированной информационной системы фото-видеофиксации нарушений правил дорожного движения на автомобильной дороге «г.Нижний Ломов -с.Наровчат - граница области км 36+600 Наровчатского района Пензенской области</v>
      </c>
      <c r="G10903" s="22" t="s">
        <v>514</v>
      </c>
      <c r="H10903" s="22" t="s">
        <v>2167</v>
      </c>
      <c r="I10903" s="26">
        <v>43553.601388888899</v>
      </c>
      <c r="J10903" s="23" t="str">
        <f>HYPERLINK("https://www.spark-marketing.ru/Card/Person/236655", "ООО ""ТМЦ -НН""")</f>
        <v>ООО "ТМЦ -НН"</v>
      </c>
      <c r="K10903" s="24" t="s">
        <v>4899</v>
      </c>
      <c r="L10903" s="22" t="s">
        <v>10</v>
      </c>
      <c r="M10903" s="25">
        <v>2696960</v>
      </c>
      <c r="N10903" s="27">
        <v>0.02</v>
      </c>
    </row>
    <row r="10904" spans="1:14" x14ac:dyDescent="0.15">
      <c r="A10904" s="23" t="str">
        <f t="shared" ref="A10904:A10910" si="517">HYPERLINK("https://www.spark-marketing.ru/Card/Person/103118", "ПАО ""РОССЕТИ""")</f>
        <v>ПАО "РОССЕТИ"</v>
      </c>
      <c r="B10904" s="24" t="s">
        <v>13245</v>
      </c>
      <c r="C10904" s="25">
        <v>2194148.88</v>
      </c>
      <c r="D10904" s="22" t="s">
        <v>13246</v>
      </c>
      <c r="E10904" s="22" t="s">
        <v>2577</v>
      </c>
      <c r="F10904" s="23" t="str">
        <f t="shared" ref="F10904:F10910" si="518">HYPERLINK("https://www.spark-marketing.ru/Card/Lot/69166200", "Сопровождение процесса категорирования объектов критической информационной инфраструктуры ПАО ""Россети""")</f>
        <v>Сопровождение процесса категорирования объектов критической информационной инфраструктуры ПАО "Россети"</v>
      </c>
      <c r="G10904" s="22" t="s">
        <v>55</v>
      </c>
      <c r="H10904" s="22" t="s">
        <v>55</v>
      </c>
      <c r="I10904" s="26">
        <v>43553.6165162037</v>
      </c>
      <c r="J10904" s="28" t="s">
        <v>52</v>
      </c>
      <c r="K10904" s="28" t="s">
        <v>52</v>
      </c>
      <c r="L10904" s="28" t="s">
        <v>52</v>
      </c>
      <c r="M10904" s="28" t="s">
        <v>52</v>
      </c>
      <c r="N10904" s="28" t="s">
        <v>52</v>
      </c>
    </row>
    <row r="10905" spans="1:14" hidden="1" outlineLevel="1" x14ac:dyDescent="0.2">
      <c r="A10905" s="23" t="str">
        <f t="shared" si="517"/>
        <v>ПАО "РОССЕТИ"</v>
      </c>
      <c r="B10905" s="24" t="s">
        <v>13245</v>
      </c>
      <c r="C10905" s="28" t="s">
        <v>52</v>
      </c>
      <c r="D10905" s="22" t="s">
        <v>13246</v>
      </c>
      <c r="E10905" s="22" t="s">
        <v>2577</v>
      </c>
      <c r="F10905" s="23" t="str">
        <f t="shared" si="518"/>
        <v>Сопровождение процесса категорирования объектов критической информационной инфраструктуры ПАО "Россети"</v>
      </c>
      <c r="G10905" s="22" t="s">
        <v>55</v>
      </c>
      <c r="H10905" s="22" t="s">
        <v>55</v>
      </c>
      <c r="I10905" s="26">
        <v>43553.6165162037</v>
      </c>
      <c r="J10905" s="23" t="str">
        <f>HYPERLINK("https://www.spark-marketing.ru/Card/Person/60991", "ООО ""НТК ""ЭСПАДОН""")</f>
        <v>ООО "НТК "ЭСПАДОН"</v>
      </c>
      <c r="K10905" s="24" t="s">
        <v>13247</v>
      </c>
      <c r="L10905" s="28" t="s">
        <v>52</v>
      </c>
      <c r="M10905" s="25">
        <v>1968000</v>
      </c>
      <c r="N10905" s="27">
        <v>0.10306906794765905</v>
      </c>
    </row>
    <row r="10906" spans="1:14" hidden="1" outlineLevel="1" x14ac:dyDescent="0.2">
      <c r="A10906" s="23" t="str">
        <f t="shared" si="517"/>
        <v>ПАО "РОССЕТИ"</v>
      </c>
      <c r="B10906" s="24" t="s">
        <v>13245</v>
      </c>
      <c r="C10906" s="28" t="s">
        <v>52</v>
      </c>
      <c r="D10906" s="22" t="s">
        <v>13246</v>
      </c>
      <c r="E10906" s="22" t="s">
        <v>2577</v>
      </c>
      <c r="F10906" s="23" t="str">
        <f t="shared" si="518"/>
        <v>Сопровождение процесса категорирования объектов критической информационной инфраструктуры ПАО "Россети"</v>
      </c>
      <c r="G10906" s="22" t="s">
        <v>55</v>
      </c>
      <c r="H10906" s="22" t="s">
        <v>55</v>
      </c>
      <c r="I10906" s="26">
        <v>43553.6165162037</v>
      </c>
      <c r="J10906" s="23" t="str">
        <f>HYPERLINK("https://www.spark-marketing.ru/Card/Person/598141", "ООО ""ИНФОРИОН""")</f>
        <v>ООО "ИНФОРИОН"</v>
      </c>
      <c r="K10906" s="24" t="s">
        <v>13248</v>
      </c>
      <c r="L10906" s="28" t="s">
        <v>52</v>
      </c>
      <c r="M10906" s="25">
        <v>1891681.72</v>
      </c>
      <c r="N10906" s="27">
        <v>0.13785170311688238</v>
      </c>
    </row>
    <row r="10907" spans="1:14" hidden="1" outlineLevel="1" x14ac:dyDescent="0.2">
      <c r="A10907" s="23" t="str">
        <f t="shared" si="517"/>
        <v>ПАО "РОССЕТИ"</v>
      </c>
      <c r="B10907" s="24" t="s">
        <v>13245</v>
      </c>
      <c r="C10907" s="28" t="s">
        <v>52</v>
      </c>
      <c r="D10907" s="22" t="s">
        <v>13246</v>
      </c>
      <c r="E10907" s="22" t="s">
        <v>2577</v>
      </c>
      <c r="F10907" s="23" t="str">
        <f t="shared" si="518"/>
        <v>Сопровождение процесса категорирования объектов критической информационной инфраструктуры ПАО "Россети"</v>
      </c>
      <c r="G10907" s="22" t="s">
        <v>55</v>
      </c>
      <c r="H10907" s="22" t="s">
        <v>55</v>
      </c>
      <c r="I10907" s="26">
        <v>43553.6165162037</v>
      </c>
      <c r="J10907" s="23" t="str">
        <f>HYPERLINK("https://www.spark-marketing.ru/Card/Person/60435", "ООО ""АТ ГРУП""")</f>
        <v>ООО "АТ ГРУП"</v>
      </c>
      <c r="K10907" s="24" t="s">
        <v>13249</v>
      </c>
      <c r="L10907" s="28" t="s">
        <v>52</v>
      </c>
      <c r="M10907" s="25">
        <v>1025371.8</v>
      </c>
      <c r="N10907" s="27">
        <v>0.53267902221840113</v>
      </c>
    </row>
    <row r="10908" spans="1:14" hidden="1" outlineLevel="1" x14ac:dyDescent="0.2">
      <c r="A10908" s="23" t="str">
        <f t="shared" si="517"/>
        <v>ПАО "РОССЕТИ"</v>
      </c>
      <c r="B10908" s="24" t="s">
        <v>13245</v>
      </c>
      <c r="C10908" s="28" t="s">
        <v>52</v>
      </c>
      <c r="D10908" s="22" t="s">
        <v>13246</v>
      </c>
      <c r="E10908" s="22" t="s">
        <v>2577</v>
      </c>
      <c r="F10908" s="23" t="str">
        <f t="shared" si="518"/>
        <v>Сопровождение процесса категорирования объектов критической информационной инфраструктуры ПАО "Россети"</v>
      </c>
      <c r="G10908" s="22" t="s">
        <v>55</v>
      </c>
      <c r="H10908" s="22" t="s">
        <v>55</v>
      </c>
      <c r="I10908" s="26">
        <v>43553.6165162037</v>
      </c>
      <c r="J10908" s="23" t="str">
        <f>HYPERLINK("https://www.spark-marketing.ru/Card/Person/5893666", "ООО ""ИЦБ""")</f>
        <v>ООО "ИЦБ"</v>
      </c>
      <c r="K10908" s="24" t="s">
        <v>13250</v>
      </c>
      <c r="L10908" s="28" t="s">
        <v>52</v>
      </c>
      <c r="M10908" s="25">
        <v>2084400</v>
      </c>
      <c r="N10908" s="27">
        <v>5.001888477139254E-2</v>
      </c>
    </row>
    <row r="10909" spans="1:14" hidden="1" outlineLevel="1" x14ac:dyDescent="0.2">
      <c r="A10909" s="23" t="str">
        <f t="shared" si="517"/>
        <v>ПАО "РОССЕТИ"</v>
      </c>
      <c r="B10909" s="24" t="s">
        <v>13245</v>
      </c>
      <c r="C10909" s="28" t="s">
        <v>52</v>
      </c>
      <c r="D10909" s="22" t="s">
        <v>13246</v>
      </c>
      <c r="E10909" s="22" t="s">
        <v>2577</v>
      </c>
      <c r="F10909" s="23" t="str">
        <f t="shared" si="518"/>
        <v>Сопровождение процесса категорирования объектов критической информационной инфраструктуры ПАО "Россети"</v>
      </c>
      <c r="G10909" s="22" t="s">
        <v>55</v>
      </c>
      <c r="H10909" s="22" t="s">
        <v>55</v>
      </c>
      <c r="I10909" s="26">
        <v>43553.6165162037</v>
      </c>
      <c r="J10909" s="23" t="str">
        <f>HYPERLINK("https://www.spark-marketing.ru/Card/Person/58151", "АО ""АСТ""")</f>
        <v>АО "АСТ"</v>
      </c>
      <c r="K10909" s="24" t="s">
        <v>13251</v>
      </c>
      <c r="L10909" s="28" t="s">
        <v>52</v>
      </c>
      <c r="M10909" s="25">
        <v>1303742</v>
      </c>
      <c r="N10909" s="27">
        <v>0.40580969145539475</v>
      </c>
    </row>
    <row r="10910" spans="1:14" hidden="1" outlineLevel="1" x14ac:dyDescent="0.2">
      <c r="A10910" s="23" t="str">
        <f t="shared" si="517"/>
        <v>ПАО "РОССЕТИ"</v>
      </c>
      <c r="B10910" s="24" t="s">
        <v>13245</v>
      </c>
      <c r="C10910" s="28" t="s">
        <v>52</v>
      </c>
      <c r="D10910" s="22" t="s">
        <v>13246</v>
      </c>
      <c r="E10910" s="22" t="s">
        <v>2577</v>
      </c>
      <c r="F10910" s="23" t="str">
        <f t="shared" si="518"/>
        <v>Сопровождение процесса категорирования объектов критической информационной инфраструктуры ПАО "Россети"</v>
      </c>
      <c r="G10910" s="22" t="s">
        <v>55</v>
      </c>
      <c r="H10910" s="22" t="s">
        <v>55</v>
      </c>
      <c r="I10910" s="26">
        <v>43553.6165162037</v>
      </c>
      <c r="J10910" s="23" t="str">
        <f>HYPERLINK("https://www.spark-marketing.ru/Card/Person/4355792", "АО ""УПРАВЛЕНИЕ ВОЛС-ВЛ""")</f>
        <v>АО "УПРАВЛЕНИЕ ВОЛС-ВЛ"</v>
      </c>
      <c r="K10910" s="24" t="s">
        <v>13252</v>
      </c>
      <c r="L10910" s="22" t="s">
        <v>10</v>
      </c>
      <c r="M10910" s="25">
        <v>1009326</v>
      </c>
      <c r="N10910" s="27">
        <v>0.5399920173147047</v>
      </c>
    </row>
    <row r="10911" spans="1:14" x14ac:dyDescent="0.15">
      <c r="A10911" s="23" t="str">
        <f>HYPERLINK("https://www.spark-marketing.ru/Card/Person/1761832", "ОАО ""РЫНОЧНЫЙ КОМПЛЕКС ""ЦАРИЦЫНСКИЙ""")</f>
        <v>ОАО "РЫНОЧНЫЙ КОМПЛЕКС "ЦАРИЦЫНСКИЙ"</v>
      </c>
      <c r="B10911" s="24" t="s">
        <v>613</v>
      </c>
      <c r="C10911" s="25">
        <v>299916</v>
      </c>
      <c r="D10911" s="22" t="s">
        <v>13253</v>
      </c>
      <c r="E10911" s="22" t="s">
        <v>615</v>
      </c>
      <c r="F10911" s="23" t="str">
        <f>HYPERLINK("https://www.spark-marketing.ru/Card/Lot/69165915", "оказание услуг по охране объекта")</f>
        <v>оказание услуг по охране объекта</v>
      </c>
      <c r="G10911" s="22" t="s">
        <v>55</v>
      </c>
      <c r="H10911" s="22" t="s">
        <v>55</v>
      </c>
      <c r="I10911" s="26">
        <v>43553.588391203702</v>
      </c>
      <c r="J10911" s="28" t="s">
        <v>52</v>
      </c>
      <c r="K10911" s="28" t="s">
        <v>52</v>
      </c>
      <c r="L10911" s="28" t="s">
        <v>52</v>
      </c>
      <c r="M10911" s="28" t="s">
        <v>52</v>
      </c>
      <c r="N10911" s="28" t="s">
        <v>52</v>
      </c>
    </row>
    <row r="10912" spans="1:14" x14ac:dyDescent="0.15">
      <c r="A10912" s="23" t="str">
        <f t="shared" ref="A10912:A10917" si="519">HYPERLINK("https://www.spark-marketing.ru/Card/Person/7616", "ГКУ ""УПРАВЛЕНИЕ СТРОИТЕЛЬСТВА И ДОРОЖНОГО ХОЗЯЙСТВА ПЕНЗЕНСКОЙ ОБЛАСТИ""")</f>
        <v>ГКУ "УПРАВЛЕНИЕ СТРОИТЕЛЬСТВА И ДОРОЖНОГО ХОЗЯЙСТВА ПЕНЗЕНСКОЙ ОБЛАСТИ"</v>
      </c>
      <c r="B10912" s="24" t="s">
        <v>13192</v>
      </c>
      <c r="C10912" s="25">
        <v>2752000</v>
      </c>
      <c r="D10912" s="22" t="s">
        <v>13254</v>
      </c>
      <c r="E10912" s="22" t="s">
        <v>79</v>
      </c>
      <c r="F10912" s="23" t="str">
        <f t="shared" ref="F10912:F10917" si="520">HYPERLINK("https://www.spark-marketing.ru/Card/Lot/69152567", "Установка автоматизированной информационной системы фото-видеофиксации нарушений правил дорожного движения на автомобильной дороге «с.Нижняя Елюзань- с. Русский Камешкир- с.Лопатино- граница области» км 7+280 Городищенского района Пензенской области")</f>
        <v>Установка автоматизированной информационной системы фото-видеофиксации нарушений правил дорожного движения на автомобильной дороге «с.Нижняя Елюзань- с. Русский Камешкир- с.Лопатино- граница области» км 7+280 Городищенского района Пензенской области</v>
      </c>
      <c r="G10912" s="22" t="s">
        <v>514</v>
      </c>
      <c r="H10912" s="22" t="s">
        <v>2167</v>
      </c>
      <c r="I10912" s="26">
        <v>43553.597916666702</v>
      </c>
      <c r="J10912" s="28" t="s">
        <v>52</v>
      </c>
      <c r="K10912" s="28" t="s">
        <v>52</v>
      </c>
      <c r="L10912" s="28" t="s">
        <v>52</v>
      </c>
      <c r="M10912" s="28" t="s">
        <v>52</v>
      </c>
      <c r="N10912" s="28" t="s">
        <v>52</v>
      </c>
    </row>
    <row r="10913" spans="1:14" hidden="1" outlineLevel="1" x14ac:dyDescent="0.2">
      <c r="A10913" s="23" t="str">
        <f t="shared" si="519"/>
        <v>ГКУ "УПРАВЛЕНИЕ СТРОИТЕЛЬСТВА И ДОРОЖНОГО ХОЗЯЙСТВА ПЕНЗЕНСКОЙ ОБЛАСТИ"</v>
      </c>
      <c r="B10913" s="24" t="s">
        <v>13192</v>
      </c>
      <c r="C10913" s="25">
        <v>2752000</v>
      </c>
      <c r="D10913" s="22" t="s">
        <v>13254</v>
      </c>
      <c r="E10913" s="22" t="s">
        <v>79</v>
      </c>
      <c r="F10913" s="23" t="str">
        <f t="shared" si="520"/>
        <v>Установка автоматизированной информационной системы фото-видеофиксации нарушений правил дорожного движения на автомобильной дороге «с.Нижняя Елюзань- с. Русский Камешкир- с.Лопатино- граница области» км 7+280 Городищенского района Пензенской области</v>
      </c>
      <c r="G10913" s="22" t="s">
        <v>514</v>
      </c>
      <c r="H10913" s="22" t="s">
        <v>2167</v>
      </c>
      <c r="I10913" s="26">
        <v>43553.597916666702</v>
      </c>
      <c r="J10913" s="23" t="str">
        <f>HYPERLINK("https://www.spark-marketing.ru/Card/Person/10991", "ПАО ""РОСТЕЛЕКОМ""")</f>
        <v>ПАО "РОСТЕЛЕКОМ"</v>
      </c>
      <c r="K10913" s="24" t="s">
        <v>607</v>
      </c>
      <c r="L10913" s="28" t="s">
        <v>52</v>
      </c>
      <c r="M10913" s="25">
        <v>2724480</v>
      </c>
      <c r="N10913" s="27">
        <v>0.01</v>
      </c>
    </row>
    <row r="10914" spans="1:14" ht="12.75" hidden="1" outlineLevel="1" x14ac:dyDescent="0.2">
      <c r="A10914" s="23" t="str">
        <f t="shared" si="519"/>
        <v>ГКУ "УПРАВЛЕНИЕ СТРОИТЕЛЬСТВА И ДОРОЖНОГО ХОЗЯЙСТВА ПЕНЗЕНСКОЙ ОБЛАСТИ"</v>
      </c>
      <c r="B10914" s="24" t="s">
        <v>13192</v>
      </c>
      <c r="C10914" s="25">
        <v>2752000</v>
      </c>
      <c r="D10914" s="22" t="s">
        <v>13254</v>
      </c>
      <c r="E10914" s="22" t="s">
        <v>79</v>
      </c>
      <c r="F10914" s="23" t="str">
        <f t="shared" si="520"/>
        <v>Установка автоматизированной информационной системы фото-видеофиксации нарушений правил дорожного движения на автомобильной дороге «с.Нижняя Елюзань- с. Русский Камешкир- с.Лопатино- граница области» км 7+280 Городищенского района Пензенской области</v>
      </c>
      <c r="G10914" s="22" t="s">
        <v>514</v>
      </c>
      <c r="H10914" s="22" t="s">
        <v>2167</v>
      </c>
      <c r="I10914" s="26">
        <v>43553.597916666702</v>
      </c>
      <c r="J10914" s="23" t="str">
        <f>HYPERLINK("https://www.spark-marketing.ru/Card/Person/236655", "ООО ""ТМЦ -НН""")</f>
        <v>ООО "ТМЦ -НН"</v>
      </c>
      <c r="K10914" s="24" t="s">
        <v>4899</v>
      </c>
      <c r="L10914" s="22" t="s">
        <v>10</v>
      </c>
      <c r="M10914" s="25">
        <v>2710720</v>
      </c>
      <c r="N10914" s="27">
        <v>1.4999999999999999E-2</v>
      </c>
    </row>
    <row r="10915" spans="1:14" ht="12.75" hidden="1" outlineLevel="1" x14ac:dyDescent="0.2">
      <c r="A10915" s="23" t="str">
        <f t="shared" si="519"/>
        <v>ГКУ "УПРАВЛЕНИЕ СТРОИТЕЛЬСТВА И ДОРОЖНОГО ХОЗЯЙСТВА ПЕНЗЕНСКОЙ ОБЛАСТИ"</v>
      </c>
      <c r="B10915" s="24" t="s">
        <v>13192</v>
      </c>
      <c r="C10915" s="25">
        <v>2752000</v>
      </c>
      <c r="D10915" s="22" t="s">
        <v>13254</v>
      </c>
      <c r="E10915" s="22" t="s">
        <v>79</v>
      </c>
      <c r="F10915" s="23" t="str">
        <f t="shared" si="520"/>
        <v>Установка автоматизированной информационной системы фото-видеофиксации нарушений правил дорожного движения на автомобильной дороге «с.Нижняя Елюзань- с. Русский Камешкир- с.Лопатино- граница области» км 7+280 Городищенского района Пензенской области</v>
      </c>
      <c r="G10915" s="22" t="s">
        <v>514</v>
      </c>
      <c r="H10915" s="22" t="s">
        <v>2167</v>
      </c>
      <c r="I10915" s="26">
        <v>43553.597916666702</v>
      </c>
      <c r="J10915" s="23" t="str">
        <f>HYPERLINK("https://www.spark-marketing.ru/Card/Person/236655", "ООО ""ТМЦ -НН""")</f>
        <v>ООО "ТМЦ -НН"</v>
      </c>
      <c r="K10915" s="24" t="s">
        <v>4899</v>
      </c>
      <c r="L10915" s="22" t="s">
        <v>10</v>
      </c>
      <c r="M10915" s="25">
        <v>2696960</v>
      </c>
      <c r="N10915" s="27">
        <v>0.02</v>
      </c>
    </row>
    <row r="10916" spans="1:14" hidden="1" outlineLevel="1" x14ac:dyDescent="0.2">
      <c r="A10916" s="23" t="str">
        <f t="shared" si="519"/>
        <v>ГКУ "УПРАВЛЕНИЕ СТРОИТЕЛЬСТВА И ДОРОЖНОГО ХОЗЯЙСТВА ПЕНЗЕНСКОЙ ОБЛАСТИ"</v>
      </c>
      <c r="B10916" s="24" t="s">
        <v>13192</v>
      </c>
      <c r="C10916" s="25">
        <v>2752000</v>
      </c>
      <c r="D10916" s="22" t="s">
        <v>13254</v>
      </c>
      <c r="E10916" s="22" t="s">
        <v>79</v>
      </c>
      <c r="F10916" s="23" t="str">
        <f t="shared" si="520"/>
        <v>Установка автоматизированной информационной системы фото-видеофиксации нарушений правил дорожного движения на автомобильной дороге «с.Нижняя Елюзань- с. Русский Камешкир- с.Лопатино- граница области» км 7+280 Городищенского района Пензенской области</v>
      </c>
      <c r="G10916" s="22" t="s">
        <v>514</v>
      </c>
      <c r="H10916" s="22" t="s">
        <v>2167</v>
      </c>
      <c r="I10916" s="26">
        <v>43553.597916666702</v>
      </c>
      <c r="J10916" s="23" t="str">
        <f>HYPERLINK("https://www.spark-marketing.ru/Card/Person/10991", "ПАО ""РОСТЕЛЕКОМ""")</f>
        <v>ПАО "РОСТЕЛЕКОМ"</v>
      </c>
      <c r="K10916" s="24" t="s">
        <v>607</v>
      </c>
      <c r="L10916" s="28" t="s">
        <v>52</v>
      </c>
      <c r="M10916" s="25">
        <v>2710720</v>
      </c>
      <c r="N10916" s="27">
        <v>1.4999999999999999E-2</v>
      </c>
    </row>
    <row r="10917" spans="1:14" hidden="1" outlineLevel="1" x14ac:dyDescent="0.2">
      <c r="A10917" s="23" t="str">
        <f t="shared" si="519"/>
        <v>ГКУ "УПРАВЛЕНИЕ СТРОИТЕЛЬСТВА И ДОРОЖНОГО ХОЗЯЙСТВА ПЕНЗЕНСКОЙ ОБЛАСТИ"</v>
      </c>
      <c r="B10917" s="24" t="s">
        <v>13192</v>
      </c>
      <c r="C10917" s="25">
        <v>2752000</v>
      </c>
      <c r="D10917" s="22" t="s">
        <v>13254</v>
      </c>
      <c r="E10917" s="22" t="s">
        <v>79</v>
      </c>
      <c r="F10917" s="23" t="str">
        <f t="shared" si="520"/>
        <v>Установка автоматизированной информационной системы фото-видеофиксации нарушений правил дорожного движения на автомобильной дороге «с.Нижняя Елюзань- с. Русский Камешкир- с.Лопатино- граница области» км 7+280 Городищенского района Пензенской области</v>
      </c>
      <c r="G10917" s="22" t="s">
        <v>514</v>
      </c>
      <c r="H10917" s="22" t="s">
        <v>2167</v>
      </c>
      <c r="I10917" s="26">
        <v>43553.597916666702</v>
      </c>
      <c r="J10917" s="23" t="str">
        <f>HYPERLINK("https://www.spark-marketing.ru/Card/Person/21753", "Поволжский филиал ПАО ""МЕГАФОН""")</f>
        <v>Поволжский филиал ПАО "МЕГАФОН"</v>
      </c>
      <c r="K10917" s="24" t="s">
        <v>2783</v>
      </c>
      <c r="L10917" s="28" t="s">
        <v>52</v>
      </c>
      <c r="M10917" s="25">
        <v>2738240</v>
      </c>
      <c r="N10917" s="27">
        <v>5.0000000000000001E-3</v>
      </c>
    </row>
    <row r="10918" spans="1:14" x14ac:dyDescent="0.15">
      <c r="A10918" s="23" t="str">
        <f t="shared" ref="A10918:A10923" si="521">HYPERLINK("https://www.spark-marketing.ru/Card/Person/1053429", "НРМ ДОБУ ""ЦРР - Д/С ""ТЕРЕМОК""")</f>
        <v>НРМ ДОБУ "ЦРР - Д/С "ТЕРЕМОК"</v>
      </c>
      <c r="B10918" s="24" t="s">
        <v>13255</v>
      </c>
      <c r="C10918" s="25">
        <v>507619.2</v>
      </c>
      <c r="D10918" s="22" t="s">
        <v>13256</v>
      </c>
      <c r="E10918" s="22" t="s">
        <v>52</v>
      </c>
      <c r="F10918" s="23" t="str">
        <f t="shared" ref="F10918:F10923" si="522">HYPERLINK("https://www.spark-marketing.ru/Card/Lot/69142221", "оказание услуг частных охранных служб")</f>
        <v>оказание услуг частных охранных служб</v>
      </c>
      <c r="G10918" s="22" t="s">
        <v>119</v>
      </c>
      <c r="H10918" s="22" t="s">
        <v>119</v>
      </c>
      <c r="I10918" s="26">
        <v>43553.5493055556</v>
      </c>
      <c r="J10918" s="28" t="s">
        <v>52</v>
      </c>
      <c r="K10918" s="28" t="s">
        <v>52</v>
      </c>
      <c r="L10918" s="28" t="s">
        <v>52</v>
      </c>
      <c r="M10918" s="28" t="s">
        <v>52</v>
      </c>
      <c r="N10918" s="28" t="s">
        <v>52</v>
      </c>
    </row>
    <row r="10919" spans="1:14" ht="12.75" hidden="1" outlineLevel="1" x14ac:dyDescent="0.2">
      <c r="A10919" s="23" t="str">
        <f t="shared" si="521"/>
        <v>НРМ ДОБУ "ЦРР - Д/С "ТЕРЕМОК"</v>
      </c>
      <c r="B10919" s="24" t="s">
        <v>13255</v>
      </c>
      <c r="C10919" s="25">
        <v>507619.2</v>
      </c>
      <c r="D10919" s="22" t="s">
        <v>13256</v>
      </c>
      <c r="E10919" s="22" t="s">
        <v>52</v>
      </c>
      <c r="F10919" s="23" t="str">
        <f t="shared" si="522"/>
        <v>оказание услуг частных охранных служб</v>
      </c>
      <c r="G10919" s="22" t="s">
        <v>119</v>
      </c>
      <c r="H10919" s="22" t="s">
        <v>119</v>
      </c>
      <c r="I10919" s="26">
        <v>43553.5493055556</v>
      </c>
      <c r="J10919" s="23" t="str">
        <f>HYPERLINK("https://www.spark-marketing.ru/Card/Person/88382", "ООО ЧОО ""СБ""")</f>
        <v>ООО ЧОО "СБ"</v>
      </c>
      <c r="K10919" s="24" t="s">
        <v>9341</v>
      </c>
      <c r="L10919" s="22" t="s">
        <v>10</v>
      </c>
      <c r="M10919" s="25">
        <v>242637.78</v>
      </c>
      <c r="N10919" s="27">
        <v>0.52200826919076349</v>
      </c>
    </row>
    <row r="10920" spans="1:14" hidden="1" outlineLevel="1" x14ac:dyDescent="0.2">
      <c r="A10920" s="23" t="str">
        <f t="shared" si="521"/>
        <v>НРМ ДОБУ "ЦРР - Д/С "ТЕРЕМОК"</v>
      </c>
      <c r="B10920" s="24" t="s">
        <v>13255</v>
      </c>
      <c r="C10920" s="25">
        <v>507619.2</v>
      </c>
      <c r="D10920" s="22" t="s">
        <v>13256</v>
      </c>
      <c r="E10920" s="22" t="s">
        <v>52</v>
      </c>
      <c r="F10920" s="23" t="str">
        <f t="shared" si="522"/>
        <v>оказание услуг частных охранных служб</v>
      </c>
      <c r="G10920" s="22" t="s">
        <v>119</v>
      </c>
      <c r="H10920" s="22" t="s">
        <v>119</v>
      </c>
      <c r="I10920" s="26">
        <v>43553.5493055556</v>
      </c>
      <c r="J10920" s="23" t="str">
        <f>HYPERLINK("https://www.spark-marketing.ru/Card/Person/6441119", "ООО ""БРАТЕЕВО""")</f>
        <v>ООО "БРАТЕЕВО"</v>
      </c>
      <c r="K10920" s="24" t="s">
        <v>6680</v>
      </c>
      <c r="L10920" s="28" t="s">
        <v>52</v>
      </c>
      <c r="M10920" s="25">
        <v>255328.28</v>
      </c>
      <c r="N10920" s="27">
        <v>0.49700822979115056</v>
      </c>
    </row>
    <row r="10921" spans="1:14" hidden="1" outlineLevel="1" x14ac:dyDescent="0.2">
      <c r="A10921" s="23" t="str">
        <f t="shared" si="521"/>
        <v>НРМ ДОБУ "ЦРР - Д/С "ТЕРЕМОК"</v>
      </c>
      <c r="B10921" s="24" t="s">
        <v>13255</v>
      </c>
      <c r="C10921" s="25">
        <v>507619.2</v>
      </c>
      <c r="D10921" s="22" t="s">
        <v>13256</v>
      </c>
      <c r="E10921" s="22" t="s">
        <v>52</v>
      </c>
      <c r="F10921" s="23" t="str">
        <f t="shared" si="522"/>
        <v>оказание услуг частных охранных служб</v>
      </c>
      <c r="G10921" s="22" t="s">
        <v>119</v>
      </c>
      <c r="H10921" s="22" t="s">
        <v>119</v>
      </c>
      <c r="I10921" s="26">
        <v>43553.5493055556</v>
      </c>
      <c r="J10921" s="23" t="str">
        <f>HYPERLINK("https://www.spark-marketing.ru/Card/Person/2512349", "ООО ЧОП ""ТАЙПАН""")</f>
        <v>ООО ЧОП "ТАЙПАН"</v>
      </c>
      <c r="K10921" s="24" t="s">
        <v>13257</v>
      </c>
      <c r="L10921" s="28" t="s">
        <v>52</v>
      </c>
      <c r="M10921" s="25">
        <v>245175.88</v>
      </c>
      <c r="N10921" s="27">
        <v>0.51700826131084088</v>
      </c>
    </row>
    <row r="10922" spans="1:14" hidden="1" outlineLevel="1" x14ac:dyDescent="0.2">
      <c r="A10922" s="23" t="str">
        <f t="shared" si="521"/>
        <v>НРМ ДОБУ "ЦРР - Д/С "ТЕРЕМОК"</v>
      </c>
      <c r="B10922" s="24" t="s">
        <v>13255</v>
      </c>
      <c r="C10922" s="25">
        <v>507619.2</v>
      </c>
      <c r="D10922" s="22" t="s">
        <v>13256</v>
      </c>
      <c r="E10922" s="22" t="s">
        <v>52</v>
      </c>
      <c r="F10922" s="23" t="str">
        <f t="shared" si="522"/>
        <v>оказание услуг частных охранных служб</v>
      </c>
      <c r="G10922" s="22" t="s">
        <v>119</v>
      </c>
      <c r="H10922" s="22" t="s">
        <v>119</v>
      </c>
      <c r="I10922" s="26">
        <v>43553.5493055556</v>
      </c>
      <c r="J10922" s="23" t="str">
        <f>HYPERLINK("https://www.spark-marketing.ru/Card/Person/4515429", "ООО ЧОП ""АНТЕЙ - СБ""")</f>
        <v>ООО ЧОП "АНТЕЙ - СБ"</v>
      </c>
      <c r="K10922" s="24" t="s">
        <v>13258</v>
      </c>
      <c r="L10922" s="28" t="s">
        <v>52</v>
      </c>
      <c r="M10922" s="25">
        <v>400000</v>
      </c>
      <c r="N10922" s="27">
        <v>0.21200774123595009</v>
      </c>
    </row>
    <row r="10923" spans="1:14" hidden="1" outlineLevel="1" x14ac:dyDescent="0.2">
      <c r="A10923" s="23" t="str">
        <f t="shared" si="521"/>
        <v>НРМ ДОБУ "ЦРР - Д/С "ТЕРЕМОК"</v>
      </c>
      <c r="B10923" s="24" t="s">
        <v>13255</v>
      </c>
      <c r="C10923" s="25">
        <v>507619.2</v>
      </c>
      <c r="D10923" s="22" t="s">
        <v>13256</v>
      </c>
      <c r="E10923" s="22" t="s">
        <v>52</v>
      </c>
      <c r="F10923" s="23" t="str">
        <f t="shared" si="522"/>
        <v>оказание услуг частных охранных служб</v>
      </c>
      <c r="G10923" s="22" t="s">
        <v>119</v>
      </c>
      <c r="H10923" s="22" t="s">
        <v>119</v>
      </c>
      <c r="I10923" s="26">
        <v>43553.5493055556</v>
      </c>
      <c r="J10923" s="23" t="str">
        <f>HYPERLINK("https://www.spark-marketing.ru/Card/Person/4851642", "ООО ЧОО ""ОЛИМП-БЕЗОПАСНОСТЬ""")</f>
        <v>ООО ЧОО "ОЛИМП-БЕЗОПАСНОСТЬ"</v>
      </c>
      <c r="K10923" s="24" t="s">
        <v>5255</v>
      </c>
      <c r="L10923" s="28" t="s">
        <v>52</v>
      </c>
      <c r="M10923" s="25">
        <v>507619</v>
      </c>
      <c r="N10923" s="27">
        <v>3.9399612938202493E-7</v>
      </c>
    </row>
    <row r="10924" spans="1:14" x14ac:dyDescent="0.15">
      <c r="A10924" s="23" t="str">
        <f>HYPERLINK("https://www.spark-marketing.ru/Card/Person/4365641", "ООО ""РН-ВАНКОР""")</f>
        <v>ООО "РН-ВАНКОР"</v>
      </c>
      <c r="B10924" s="24" t="s">
        <v>13259</v>
      </c>
      <c r="C10924" s="28" t="s">
        <v>52</v>
      </c>
      <c r="D10924" s="22" t="s">
        <v>13260</v>
      </c>
      <c r="E10924" s="22" t="s">
        <v>533</v>
      </c>
      <c r="F10924" s="23" t="str">
        <f>HYPERLINK("https://www.spark-marketing.ru/Card/Lot/69138794", "Организация рубежа охраны периметра объектов Ванкорского месторождения. Приборы и датчики средств обнаружения (Годограф-Универсал, вибрационный чувствительный элемент, комплекты сейсмического чувствительного элемента)")</f>
        <v>Организация рубежа охраны периметра объектов Ванкорского месторождения. Приборы и датчики средств обнаружения (Годограф-Универсал, вибрационный чувствительный элемент, комплекты сейсмического чувствительного элемента)</v>
      </c>
      <c r="G10924" s="22" t="s">
        <v>640</v>
      </c>
      <c r="H10924" s="22" t="s">
        <v>1524</v>
      </c>
      <c r="I10924" s="26">
        <v>43553.550694444399</v>
      </c>
      <c r="J10924" s="28" t="s">
        <v>52</v>
      </c>
      <c r="K10924" s="28" t="s">
        <v>52</v>
      </c>
      <c r="L10924" s="28" t="s">
        <v>52</v>
      </c>
      <c r="M10924" s="28" t="s">
        <v>52</v>
      </c>
      <c r="N10924" s="28" t="s">
        <v>52</v>
      </c>
    </row>
    <row r="10925" spans="1:14" x14ac:dyDescent="0.2">
      <c r="A10925" s="23" t="str">
        <f>HYPERLINK("https://www.spark-marketing.ru/Card/Person/4348793", "ФГБУ ""КАЛИНИНГРАДСКАЯ МВЛ""")</f>
        <v>ФГБУ "КАЛИНИНГРАДСКАЯ МВЛ"</v>
      </c>
      <c r="B10925" s="24" t="s">
        <v>13261</v>
      </c>
      <c r="C10925" s="25">
        <v>397410</v>
      </c>
      <c r="D10925" s="22" t="s">
        <v>13262</v>
      </c>
      <c r="E10925" s="22" t="s">
        <v>533</v>
      </c>
      <c r="F10925" s="23" t="str">
        <f>HYPERLINK("https://www.spark-marketing.ru/Card/Lot/69140059", "Установка системы видеонаблюдения для нужд ФГБУ «Калининградская МВЛ» по адресу г.Калининград, пр.Победы, дом 55.")</f>
        <v>Установка системы видеонаблюдения для нужд ФГБУ «Калининградская МВЛ» по адресу г.Калининград, пр.Победы, дом 55.</v>
      </c>
      <c r="G10925" s="22" t="s">
        <v>247</v>
      </c>
      <c r="H10925" s="22" t="s">
        <v>247</v>
      </c>
      <c r="I10925" s="26">
        <v>43553.544398148202</v>
      </c>
      <c r="J10925" s="23" t="str">
        <f>HYPERLINK("https://www.spark-marketing.ru/Card/Person/985567", "ООО ""ПЕРИМЕТР""")</f>
        <v>ООО "ПЕРИМЕТР"</v>
      </c>
      <c r="K10925" s="24" t="s">
        <v>13263</v>
      </c>
      <c r="L10925" s="28" t="s">
        <v>52</v>
      </c>
      <c r="M10925" s="25">
        <v>397410</v>
      </c>
      <c r="N10925" s="27">
        <v>0</v>
      </c>
    </row>
    <row r="10926" spans="1:14" x14ac:dyDescent="0.15">
      <c r="A10926" s="23" t="str">
        <f>HYPERLINK("https://www.spark-marketing.ru/Card/Person/359465", "МЕЖРАЙОННАЯ ИФНС РОССИИ № 3 ПО КУРСКОЙ ОБЛАСТИ")</f>
        <v>МЕЖРАЙОННАЯ ИФНС РОССИИ № 3 ПО КУРСКОЙ ОБЛАСТИ</v>
      </c>
      <c r="B10926" s="24" t="s">
        <v>13264</v>
      </c>
      <c r="C10926" s="25">
        <v>44697</v>
      </c>
      <c r="D10926" s="22" t="s">
        <v>13265</v>
      </c>
      <c r="E10926" s="22" t="s">
        <v>53</v>
      </c>
      <c r="F10926" s="23" t="str">
        <f>HYPERLINK("https://www.spark-marketing.ru/Card/Lot/70788393", "Услуги физической охраны (не вооруженная), 282 часа")</f>
        <v>Услуги физической охраны (не вооруженная), 282 часа</v>
      </c>
      <c r="G10926" s="22" t="s">
        <v>3128</v>
      </c>
      <c r="H10926" s="22" t="s">
        <v>4700</v>
      </c>
      <c r="I10926" s="26">
        <v>43553.510046296302</v>
      </c>
      <c r="J10926" s="28" t="s">
        <v>52</v>
      </c>
      <c r="K10926" s="28" t="s">
        <v>52</v>
      </c>
      <c r="L10926" s="28" t="s">
        <v>52</v>
      </c>
      <c r="M10926" s="28" t="s">
        <v>52</v>
      </c>
      <c r="N10926" s="28" t="s">
        <v>52</v>
      </c>
    </row>
    <row r="10927" spans="1:14" x14ac:dyDescent="0.15">
      <c r="A10927" s="23" t="str">
        <f t="shared" ref="A10927:A10932" si="523">HYPERLINK("https://www.spark-marketing.ru/Card/Person/7616", "ГКУ ""УПРАВЛЕНИЕ СТРОИТЕЛЬСТВА И ДОРОЖНОГО ХОЗЯЙСТВА ПЕНЗЕНСКОЙ ОБЛАСТИ""")</f>
        <v>ГКУ "УПРАВЛЕНИЕ СТРОИТЕЛЬСТВА И ДОРОЖНОГО ХОЗЯЙСТВА ПЕНЗЕНСКОЙ ОБЛАСТИ"</v>
      </c>
      <c r="B10927" s="24" t="s">
        <v>13192</v>
      </c>
      <c r="C10927" s="25">
        <v>2752000</v>
      </c>
      <c r="D10927" s="22" t="s">
        <v>13266</v>
      </c>
      <c r="E10927" s="22" t="s">
        <v>79</v>
      </c>
      <c r="F10927" s="23" t="str">
        <f t="shared" ref="F10927:F10932" si="524">HYPERLINK("https://www.spark-marketing.ru/Card/Lot/69152541", "Установка автоматизированной информационной системы фото-видеофиксации нарушений правил дорожного движения на автомобильной дороге «г. Пенза - р.п. Лунино -граница области» км 40+000 Лунинского района Пензенской области")</f>
        <v>Установка автоматизированной информационной системы фото-видеофиксации нарушений правил дорожного движения на автомобильной дороге «г. Пенза - р.п. Лунино -граница области» км 40+000 Лунинского района Пензенской области</v>
      </c>
      <c r="G10927" s="22" t="s">
        <v>514</v>
      </c>
      <c r="H10927" s="22" t="s">
        <v>2167</v>
      </c>
      <c r="I10927" s="26">
        <v>43553.531944444403</v>
      </c>
      <c r="J10927" s="28" t="s">
        <v>52</v>
      </c>
      <c r="K10927" s="28" t="s">
        <v>52</v>
      </c>
      <c r="L10927" s="28" t="s">
        <v>52</v>
      </c>
      <c r="M10927" s="28" t="s">
        <v>52</v>
      </c>
      <c r="N10927" s="28" t="s">
        <v>52</v>
      </c>
    </row>
    <row r="10928" spans="1:14" hidden="1" outlineLevel="1" x14ac:dyDescent="0.2">
      <c r="A10928" s="23" t="str">
        <f t="shared" si="523"/>
        <v>ГКУ "УПРАВЛЕНИЕ СТРОИТЕЛЬСТВА И ДОРОЖНОГО ХОЗЯЙСТВА ПЕНЗЕНСКОЙ ОБЛАСТИ"</v>
      </c>
      <c r="B10928" s="24" t="s">
        <v>13192</v>
      </c>
      <c r="C10928" s="25">
        <v>2752000</v>
      </c>
      <c r="D10928" s="22" t="s">
        <v>13266</v>
      </c>
      <c r="E10928" s="22" t="s">
        <v>79</v>
      </c>
      <c r="F10928" s="23" t="str">
        <f t="shared" si="524"/>
        <v>Установка автоматизированной информационной системы фото-видеофиксации нарушений правил дорожного движения на автомобильной дороге «г. Пенза - р.п. Лунино -граница области» км 40+000 Лунинского района Пензенской области</v>
      </c>
      <c r="G10928" s="22" t="s">
        <v>514</v>
      </c>
      <c r="H10928" s="22" t="s">
        <v>2167</v>
      </c>
      <c r="I10928" s="26">
        <v>43553.531944444403</v>
      </c>
      <c r="J10928" s="23" t="str">
        <f>HYPERLINK("https://www.spark-marketing.ru/Card/Person/10991", "ПАО ""РОСТЕЛЕКОМ""")</f>
        <v>ПАО "РОСТЕЛЕКОМ"</v>
      </c>
      <c r="K10928" s="24" t="s">
        <v>607</v>
      </c>
      <c r="L10928" s="28" t="s">
        <v>52</v>
      </c>
      <c r="M10928" s="25">
        <v>2724480</v>
      </c>
      <c r="N10928" s="27">
        <v>0.01</v>
      </c>
    </row>
    <row r="10929" spans="1:14" ht="12.75" hidden="1" outlineLevel="1" x14ac:dyDescent="0.2">
      <c r="A10929" s="23" t="str">
        <f t="shared" si="523"/>
        <v>ГКУ "УПРАВЛЕНИЕ СТРОИТЕЛЬСТВА И ДОРОЖНОГО ХОЗЯЙСТВА ПЕНЗЕНСКОЙ ОБЛАСТИ"</v>
      </c>
      <c r="B10929" s="24" t="s">
        <v>13192</v>
      </c>
      <c r="C10929" s="25">
        <v>2752000</v>
      </c>
      <c r="D10929" s="22" t="s">
        <v>13266</v>
      </c>
      <c r="E10929" s="22" t="s">
        <v>79</v>
      </c>
      <c r="F10929" s="23" t="str">
        <f t="shared" si="524"/>
        <v>Установка автоматизированной информационной системы фото-видеофиксации нарушений правил дорожного движения на автомобильной дороге «г. Пенза - р.п. Лунино -граница области» км 40+000 Лунинского района Пензенской области</v>
      </c>
      <c r="G10929" s="22" t="s">
        <v>514</v>
      </c>
      <c r="H10929" s="22" t="s">
        <v>2167</v>
      </c>
      <c r="I10929" s="26">
        <v>43553.531944444403</v>
      </c>
      <c r="J10929" s="23" t="str">
        <f>HYPERLINK("https://www.spark-marketing.ru/Card/Person/236655", "ООО ""ТМЦ -НН""")</f>
        <v>ООО "ТМЦ -НН"</v>
      </c>
      <c r="K10929" s="24" t="s">
        <v>4899</v>
      </c>
      <c r="L10929" s="22" t="s">
        <v>10</v>
      </c>
      <c r="M10929" s="25">
        <v>2710720</v>
      </c>
      <c r="N10929" s="27">
        <v>1.4999999999999999E-2</v>
      </c>
    </row>
    <row r="10930" spans="1:14" hidden="1" outlineLevel="1" x14ac:dyDescent="0.2">
      <c r="A10930" s="23" t="str">
        <f t="shared" si="523"/>
        <v>ГКУ "УПРАВЛЕНИЕ СТРОИТЕЛЬСТВА И ДОРОЖНОГО ХОЗЯЙСТВА ПЕНЗЕНСКОЙ ОБЛАСТИ"</v>
      </c>
      <c r="B10930" s="24" t="s">
        <v>13192</v>
      </c>
      <c r="C10930" s="25">
        <v>2752000</v>
      </c>
      <c r="D10930" s="22" t="s">
        <v>13266</v>
      </c>
      <c r="E10930" s="22" t="s">
        <v>79</v>
      </c>
      <c r="F10930" s="23" t="str">
        <f t="shared" si="524"/>
        <v>Установка автоматизированной информационной системы фото-видеофиксации нарушений правил дорожного движения на автомобильной дороге «г. Пенза - р.п. Лунино -граница области» км 40+000 Лунинского района Пензенской области</v>
      </c>
      <c r="G10930" s="22" t="s">
        <v>514</v>
      </c>
      <c r="H10930" s="22" t="s">
        <v>2167</v>
      </c>
      <c r="I10930" s="26">
        <v>43553.531944444403</v>
      </c>
      <c r="J10930" s="23" t="str">
        <f>HYPERLINK("https://www.spark-marketing.ru/Card/Person/10991", "ПАО ""РОСТЕЛЕКОМ""")</f>
        <v>ПАО "РОСТЕЛЕКОМ"</v>
      </c>
      <c r="K10930" s="24" t="s">
        <v>607</v>
      </c>
      <c r="L10930" s="28" t="s">
        <v>52</v>
      </c>
      <c r="M10930" s="25">
        <v>2724480</v>
      </c>
      <c r="N10930" s="27">
        <v>0.01</v>
      </c>
    </row>
    <row r="10931" spans="1:14" ht="12.75" hidden="1" outlineLevel="1" x14ac:dyDescent="0.2">
      <c r="A10931" s="23" t="str">
        <f t="shared" si="523"/>
        <v>ГКУ "УПРАВЛЕНИЕ СТРОИТЕЛЬСТВА И ДОРОЖНОГО ХОЗЯЙСТВА ПЕНЗЕНСКОЙ ОБЛАСТИ"</v>
      </c>
      <c r="B10931" s="24" t="s">
        <v>13192</v>
      </c>
      <c r="C10931" s="25">
        <v>2752000</v>
      </c>
      <c r="D10931" s="22" t="s">
        <v>13266</v>
      </c>
      <c r="E10931" s="22" t="s">
        <v>79</v>
      </c>
      <c r="F10931" s="23" t="str">
        <f t="shared" si="524"/>
        <v>Установка автоматизированной информационной системы фото-видеофиксации нарушений правил дорожного движения на автомобильной дороге «г. Пенза - р.п. Лунино -граница области» км 40+000 Лунинского района Пензенской области</v>
      </c>
      <c r="G10931" s="22" t="s">
        <v>514</v>
      </c>
      <c r="H10931" s="22" t="s">
        <v>2167</v>
      </c>
      <c r="I10931" s="26">
        <v>43553.531944444403</v>
      </c>
      <c r="J10931" s="23" t="str">
        <f>HYPERLINK("https://www.spark-marketing.ru/Card/Person/236655", "ООО ""ТМЦ -НН""")</f>
        <v>ООО "ТМЦ -НН"</v>
      </c>
      <c r="K10931" s="24" t="s">
        <v>4899</v>
      </c>
      <c r="L10931" s="22" t="s">
        <v>10</v>
      </c>
      <c r="M10931" s="25">
        <v>2710720</v>
      </c>
      <c r="N10931" s="27">
        <v>1.4999999999999999E-2</v>
      </c>
    </row>
    <row r="10932" spans="1:14" hidden="1" outlineLevel="1" x14ac:dyDescent="0.2">
      <c r="A10932" s="23" t="str">
        <f t="shared" si="523"/>
        <v>ГКУ "УПРАВЛЕНИЕ СТРОИТЕЛЬСТВА И ДОРОЖНОГО ХОЗЯЙСТВА ПЕНЗЕНСКОЙ ОБЛАСТИ"</v>
      </c>
      <c r="B10932" s="24" t="s">
        <v>13192</v>
      </c>
      <c r="C10932" s="25">
        <v>2752000</v>
      </c>
      <c r="D10932" s="22" t="s">
        <v>13266</v>
      </c>
      <c r="E10932" s="22" t="s">
        <v>79</v>
      </c>
      <c r="F10932" s="23" t="str">
        <f t="shared" si="524"/>
        <v>Установка автоматизированной информационной системы фото-видеофиксации нарушений правил дорожного движения на автомобильной дороге «г. Пенза - р.п. Лунино -граница области» км 40+000 Лунинского района Пензенской области</v>
      </c>
      <c r="G10932" s="22" t="s">
        <v>514</v>
      </c>
      <c r="H10932" s="22" t="s">
        <v>2167</v>
      </c>
      <c r="I10932" s="26">
        <v>43553.531944444403</v>
      </c>
      <c r="J10932" s="23" t="str">
        <f>HYPERLINK("https://www.spark-marketing.ru/Card/Person/21753", "Поволжский филиал ПАО ""МЕГАФОН""")</f>
        <v>Поволжский филиал ПАО "МЕГАФОН"</v>
      </c>
      <c r="K10932" s="24" t="s">
        <v>2783</v>
      </c>
      <c r="L10932" s="28" t="s">
        <v>52</v>
      </c>
      <c r="M10932" s="25">
        <v>2738240</v>
      </c>
      <c r="N10932" s="27">
        <v>5.0000000000000001E-3</v>
      </c>
    </row>
    <row r="10933" spans="1:14" x14ac:dyDescent="0.15">
      <c r="A10933" s="23" t="str">
        <f>HYPERLINK("https://www.spark-marketing.ru/Card/Person/61165", "КГБУЗ ""БЛАГОВЕЩЕНСКАЯ ЦЕНТРАЛЬНАЯ РАЙОННАЯ БОЛЬНИЦА""")</f>
        <v>КГБУЗ "БЛАГОВЕЩЕНСКАЯ ЦЕНТРАЛЬНАЯ РАЙОННАЯ БОЛЬНИЦА"</v>
      </c>
      <c r="B10933" s="24" t="s">
        <v>13267</v>
      </c>
      <c r="C10933" s="25">
        <v>76654</v>
      </c>
      <c r="D10933" s="22" t="s">
        <v>13268</v>
      </c>
      <c r="E10933" s="22" t="s">
        <v>84</v>
      </c>
      <c r="F10933" s="23" t="str">
        <f>HYPERLINK("https://www.spark-marketing.ru/Card/Lot/69135178", "Особые закупки")</f>
        <v>Особые закупки</v>
      </c>
      <c r="G10933" s="22" t="s">
        <v>428</v>
      </c>
      <c r="H10933" s="22" t="s">
        <v>13269</v>
      </c>
      <c r="I10933" s="26">
        <v>43553.5222222222</v>
      </c>
      <c r="J10933" s="28" t="s">
        <v>52</v>
      </c>
      <c r="K10933" s="28" t="s">
        <v>52</v>
      </c>
      <c r="L10933" s="28" t="s">
        <v>52</v>
      </c>
      <c r="M10933" s="28" t="s">
        <v>52</v>
      </c>
      <c r="N10933" s="28" t="s">
        <v>52</v>
      </c>
    </row>
    <row r="10934" spans="1:14" x14ac:dyDescent="0.15">
      <c r="A10934" s="23" t="str">
        <f>HYPERLINK("https://www.spark-marketing.ru/Card/Person/61165", "КГБУЗ ""БЛАГОВЕЩЕНСКАЯ ЦЕНТРАЛЬНАЯ РАЙОННАЯ БОЛЬНИЦА""")</f>
        <v>КГБУЗ "БЛАГОВЕЩЕНСКАЯ ЦЕНТРАЛЬНАЯ РАЙОННАЯ БОЛЬНИЦА"</v>
      </c>
      <c r="B10934" s="24" t="s">
        <v>13267</v>
      </c>
      <c r="C10934" s="25">
        <v>65346</v>
      </c>
      <c r="D10934" s="22" t="s">
        <v>13270</v>
      </c>
      <c r="E10934" s="22" t="s">
        <v>84</v>
      </c>
      <c r="F10934" s="23" t="str">
        <f>HYPERLINK("https://www.spark-marketing.ru/Card/Lot/69134968", "Особые закупки")</f>
        <v>Особые закупки</v>
      </c>
      <c r="G10934" s="22" t="s">
        <v>428</v>
      </c>
      <c r="H10934" s="22" t="s">
        <v>13269</v>
      </c>
      <c r="I10934" s="26">
        <v>43553.511111111096</v>
      </c>
      <c r="J10934" s="28" t="s">
        <v>52</v>
      </c>
      <c r="K10934" s="28" t="s">
        <v>52</v>
      </c>
      <c r="L10934" s="28" t="s">
        <v>52</v>
      </c>
      <c r="M10934" s="28" t="s">
        <v>52</v>
      </c>
      <c r="N10934" s="28" t="s">
        <v>52</v>
      </c>
    </row>
    <row r="10935" spans="1:14" x14ac:dyDescent="0.15">
      <c r="A10935" s="23" t="str">
        <f>HYPERLINK("https://www.spark-marketing.ru/Card/Person/359465", "МЕЖРАЙОННАЯ ИФНС РОССИИ № 3 ПО КУРСКОЙ ОБЛАСТИ")</f>
        <v>МЕЖРАЙОННАЯ ИФНС РОССИИ № 3 ПО КУРСКОЙ ОБЛАСТИ</v>
      </c>
      <c r="B10935" s="24" t="s">
        <v>13264</v>
      </c>
      <c r="C10935" s="25">
        <v>9432</v>
      </c>
      <c r="D10935" s="22" t="s">
        <v>13271</v>
      </c>
      <c r="E10935" s="22" t="s">
        <v>53</v>
      </c>
      <c r="F10935" s="23" t="str">
        <f>HYPERLINK("https://www.spark-marketing.ru/Card/Lot/70788408", "Услуги пультовой охраны с использованием тревожной кнопки, 720 часов")</f>
        <v>Услуги пультовой охраны с использованием тревожной кнопки, 720 часов</v>
      </c>
      <c r="G10935" s="22" t="s">
        <v>3128</v>
      </c>
      <c r="H10935" s="22" t="s">
        <v>4700</v>
      </c>
      <c r="I10935" s="26">
        <v>43553.513726851903</v>
      </c>
      <c r="J10935" s="28" t="s">
        <v>52</v>
      </c>
      <c r="K10935" s="28" t="s">
        <v>52</v>
      </c>
      <c r="L10935" s="28" t="s">
        <v>52</v>
      </c>
      <c r="M10935" s="28" t="s">
        <v>52</v>
      </c>
      <c r="N10935" s="28" t="s">
        <v>52</v>
      </c>
    </row>
    <row r="10936" spans="1:14" x14ac:dyDescent="0.15">
      <c r="A10936" s="23" t="str">
        <f>HYPERLINK("https://www.spark-marketing.ru/Card/Person/1058661", "МКУ ""ЕДДС""")</f>
        <v>МКУ "ЕДДС"</v>
      </c>
      <c r="B10936" s="24" t="s">
        <v>2250</v>
      </c>
      <c r="C10936" s="25">
        <v>21600</v>
      </c>
      <c r="D10936" s="22" t="s">
        <v>13272</v>
      </c>
      <c r="E10936" s="22" t="s">
        <v>103</v>
      </c>
      <c r="F10936" s="23" t="str">
        <f>HYPERLINK("https://www.spark-marketing.ru/Card/Lot/69136309", "Оказание услуг по техническому обслуживанию ip камеры видеонаблюдения")</f>
        <v>Оказание услуг по техническому обслуживанию ip камеры видеонаблюдения</v>
      </c>
      <c r="G10936" s="22" t="s">
        <v>50</v>
      </c>
      <c r="H10936" s="22" t="s">
        <v>2252</v>
      </c>
      <c r="I10936" s="26">
        <v>43553.534629629597</v>
      </c>
      <c r="J10936" s="28" t="s">
        <v>52</v>
      </c>
      <c r="K10936" s="28" t="s">
        <v>52</v>
      </c>
      <c r="L10936" s="28" t="s">
        <v>52</v>
      </c>
      <c r="M10936" s="28" t="s">
        <v>52</v>
      </c>
      <c r="N10936" s="28" t="s">
        <v>52</v>
      </c>
    </row>
    <row r="10937" spans="1:14" x14ac:dyDescent="0.15">
      <c r="A10937" s="23" t="str">
        <f>HYPERLINK("https://www.spark-marketing.ru/Card/Person/13408", "ГБУЗ НАО ""НЕНЕЦКАЯ ОКРУЖНАЯ БОЛЬНИЦА"", ГБУЗ НАО ""НОБ""")</f>
        <v>ГБУЗ НАО "НЕНЕЦКАЯ ОКРУЖНАЯ БОЛЬНИЦА", ГБУЗ НАО "НОБ"</v>
      </c>
      <c r="B10937" s="24" t="s">
        <v>12469</v>
      </c>
      <c r="C10937" s="25">
        <v>75600</v>
      </c>
      <c r="D10937" s="22" t="s">
        <v>13273</v>
      </c>
      <c r="E10937" s="22" t="s">
        <v>298</v>
      </c>
      <c r="F10937" s="23" t="str">
        <f>HYPERLINK("https://www.spark-marketing.ru/Card/Lot/69143591", "Оказание услуг по сопровождению объектов мониторинга в системе мониторинга транспорта ""ПИЛОТ""")</f>
        <v>Оказание услуг по сопровождению объектов мониторинга в системе мониторинга транспорта "ПИЛОТ"</v>
      </c>
      <c r="G10937" s="22" t="s">
        <v>1014</v>
      </c>
      <c r="H10937" s="22" t="s">
        <v>1015</v>
      </c>
      <c r="I10937" s="26">
        <v>43553.508333333302</v>
      </c>
      <c r="J10937" s="28" t="s">
        <v>52</v>
      </c>
      <c r="K10937" s="28" t="s">
        <v>52</v>
      </c>
      <c r="L10937" s="28" t="s">
        <v>52</v>
      </c>
      <c r="M10937" s="28" t="s">
        <v>52</v>
      </c>
      <c r="N10937" s="28" t="s">
        <v>52</v>
      </c>
    </row>
    <row r="10938" spans="1:14" ht="12.75" x14ac:dyDescent="0.2">
      <c r="A10938" s="23" t="str">
        <f>HYPERLINK("https://www.spark-marketing.ru/Card/Person/10487", "ФГУП ""ОХРАНА"" РОСГВАРДИИ")</f>
        <v>ФГУП "ОХРАНА" РОСГВАРДИИ</v>
      </c>
      <c r="B10938" s="24" t="s">
        <v>779</v>
      </c>
      <c r="C10938" s="25">
        <v>926997.33</v>
      </c>
      <c r="D10938" s="22" t="s">
        <v>13274</v>
      </c>
      <c r="E10938" s="22" t="s">
        <v>4085</v>
      </c>
      <c r="F10938" s="23" t="str">
        <f>HYPERLINK("https://www.spark-marketing.ru/Card/Lot/69135568", "Оказание услуг по продлению доступа к информационно-консультационным системам Центра охраны объектов промышленности")</f>
        <v>Оказание услуг по продлению доступа к информационно-консультационным системам Центра охраны объектов промышленности</v>
      </c>
      <c r="G10938" s="22" t="s">
        <v>55</v>
      </c>
      <c r="H10938" s="22" t="s">
        <v>55</v>
      </c>
      <c r="I10938" s="26">
        <v>43553.501597222203</v>
      </c>
      <c r="J10938" s="23" t="str">
        <f>HYPERLINK("https://www.spark-marketing.ru/Card/Person/1115937", "ООО ""СИСТЕМА ГЛАВБУХ ОНЛАЙН""")</f>
        <v>ООО "СИСТЕМА ГЛАВБУХ ОНЛАЙН"</v>
      </c>
      <c r="K10938" s="24" t="s">
        <v>13275</v>
      </c>
      <c r="L10938" s="22" t="s">
        <v>10</v>
      </c>
      <c r="M10938" s="25">
        <v>900000</v>
      </c>
      <c r="N10938" s="27">
        <v>2.9123417216314961E-2</v>
      </c>
    </row>
    <row r="10939" spans="1:14" x14ac:dyDescent="0.15">
      <c r="A10939" s="23" t="str">
        <f>HYPERLINK("https://www.spark-marketing.ru/Card/Person/86685", "МБОУ ГИМНАЗИЯ № 6")</f>
        <v>МБОУ ГИМНАЗИЯ № 6</v>
      </c>
      <c r="B10939" s="24" t="s">
        <v>13276</v>
      </c>
      <c r="C10939" s="25">
        <v>1008000</v>
      </c>
      <c r="D10939" s="22" t="s">
        <v>13277</v>
      </c>
      <c r="E10939" s="22" t="s">
        <v>194</v>
      </c>
      <c r="F10939" s="23" t="str">
        <f>HYPERLINK("https://www.spark-marketing.ru/Card/Lot/69149779", "Поставка и установка системы видеотрансляции и видеопротоколирования.")</f>
        <v>Поставка и установка системы видеотрансляции и видеопротоколирования.</v>
      </c>
      <c r="G10939" s="22" t="s">
        <v>50</v>
      </c>
      <c r="H10939" s="22" t="s">
        <v>265</v>
      </c>
      <c r="I10939" s="26">
        <v>43553.526388888902</v>
      </c>
      <c r="J10939" s="28" t="s">
        <v>52</v>
      </c>
      <c r="K10939" s="28" t="s">
        <v>52</v>
      </c>
      <c r="L10939" s="28" t="s">
        <v>52</v>
      </c>
      <c r="M10939" s="28" t="s">
        <v>52</v>
      </c>
      <c r="N10939" s="28" t="s">
        <v>52</v>
      </c>
    </row>
    <row r="10940" spans="1:14" ht="12.75" hidden="1" outlineLevel="1" x14ac:dyDescent="0.2">
      <c r="A10940" s="23" t="str">
        <f>HYPERLINK("https://www.spark-marketing.ru/Card/Person/86685", "МБОУ ГИМНАЗИЯ № 6")</f>
        <v>МБОУ ГИМНАЗИЯ № 6</v>
      </c>
      <c r="B10940" s="24" t="s">
        <v>13276</v>
      </c>
      <c r="C10940" s="25">
        <v>1008000</v>
      </c>
      <c r="D10940" s="22" t="s">
        <v>13277</v>
      </c>
      <c r="E10940" s="22" t="s">
        <v>194</v>
      </c>
      <c r="F10940" s="23" t="str">
        <f>HYPERLINK("https://www.spark-marketing.ru/Card/Lot/69149779", "Поставка и установка системы видеотрансляции и видеопротоколирования.")</f>
        <v>Поставка и установка системы видеотрансляции и видеопротоколирования.</v>
      </c>
      <c r="G10940" s="22" t="s">
        <v>50</v>
      </c>
      <c r="H10940" s="22" t="s">
        <v>265</v>
      </c>
      <c r="I10940" s="26">
        <v>43553.526388888902</v>
      </c>
      <c r="J10940" s="23" t="str">
        <f>HYPERLINK("https://www.spark-marketing.ru/Card/Person/76451", "ООО ""БИС""")</f>
        <v>ООО "БИС"</v>
      </c>
      <c r="K10940" s="24" t="s">
        <v>6528</v>
      </c>
      <c r="L10940" s="22" t="s">
        <v>10</v>
      </c>
      <c r="M10940" s="25">
        <v>947520</v>
      </c>
      <c r="N10940" s="27">
        <v>0.06</v>
      </c>
    </row>
    <row r="10941" spans="1:14" hidden="1" outlineLevel="1" x14ac:dyDescent="0.2">
      <c r="A10941" s="23" t="str">
        <f>HYPERLINK("https://www.spark-marketing.ru/Card/Person/86685", "МБОУ ГИМНАЗИЯ № 6")</f>
        <v>МБОУ ГИМНАЗИЯ № 6</v>
      </c>
      <c r="B10941" s="24" t="s">
        <v>13276</v>
      </c>
      <c r="C10941" s="25">
        <v>1008000</v>
      </c>
      <c r="D10941" s="22" t="s">
        <v>13277</v>
      </c>
      <c r="E10941" s="22" t="s">
        <v>194</v>
      </c>
      <c r="F10941" s="23" t="str">
        <f>HYPERLINK("https://www.spark-marketing.ru/Card/Lot/69149779", "Поставка и установка системы видеотрансляции и видеопротоколирования.")</f>
        <v>Поставка и установка системы видеотрансляции и видеопротоколирования.</v>
      </c>
      <c r="G10941" s="22" t="s">
        <v>50</v>
      </c>
      <c r="H10941" s="22" t="s">
        <v>265</v>
      </c>
      <c r="I10941" s="26">
        <v>43553.526388888902</v>
      </c>
      <c r="J10941" s="23" t="str">
        <f>HYPERLINK("https://www.spark-marketing.ru/Card/Person/4856010", "ООО ""СФЕРА БЕЗОПАСНОСТИ""")</f>
        <v>ООО "СФЕРА БЕЗОПАСНОСТИ"</v>
      </c>
      <c r="K10941" s="24" t="s">
        <v>13278</v>
      </c>
      <c r="L10941" s="28" t="s">
        <v>52</v>
      </c>
      <c r="M10941" s="25">
        <v>952560</v>
      </c>
      <c r="N10941" s="27">
        <v>5.5E-2</v>
      </c>
    </row>
    <row r="10942" spans="1:14" x14ac:dyDescent="0.15">
      <c r="A10942" s="23" t="str">
        <f>HYPERLINK("https://www.spark-marketing.ru/Card/Person/3509669", "БАНК РОССИИ")</f>
        <v>БАНК РОССИИ</v>
      </c>
      <c r="B10942" s="24" t="s">
        <v>624</v>
      </c>
      <c r="C10942" s="28" t="s">
        <v>52</v>
      </c>
      <c r="D10942" s="22" t="s">
        <v>13279</v>
      </c>
      <c r="E10942" s="22" t="s">
        <v>53</v>
      </c>
      <c r="F10942" s="23" t="str">
        <f>HYPERLINK("https://www.spark-marketing.ru/Card/Lot/69647226", "Закупка настенно-напольного кронштейна для установки видеостены в конференц-зале (змо)")</f>
        <v>Закупка настенно-напольного кронштейна для установки видеостены в конференц-зале (змо)</v>
      </c>
      <c r="G10942" s="22" t="s">
        <v>55</v>
      </c>
      <c r="H10942" s="22" t="s">
        <v>55</v>
      </c>
      <c r="I10942" s="26">
        <v>43553.489583333299</v>
      </c>
      <c r="J10942" s="28" t="s">
        <v>52</v>
      </c>
      <c r="K10942" s="28" t="s">
        <v>52</v>
      </c>
      <c r="L10942" s="28" t="s">
        <v>52</v>
      </c>
      <c r="M10942" s="28" t="s">
        <v>52</v>
      </c>
      <c r="N10942" s="28" t="s">
        <v>52</v>
      </c>
    </row>
    <row r="10943" spans="1:14" x14ac:dyDescent="0.15">
      <c r="A10943" s="23" t="str">
        <f>HYPERLINK("https://www.spark-marketing.ru/Card/Person/145840", "ГБОУ ГИМНАЗИЯ № 41 ИМЕНИ ЭРИХА КЕСТНЕРА ПРИМОРСКОГО РАЙОНА САНКТ-ПЕТЕРБУРГА")</f>
        <v>ГБОУ ГИМНАЗИЯ № 41 ИМЕНИ ЭРИХА КЕСТНЕРА ПРИМОРСКОГО РАЙОНА САНКТ-ПЕТЕРБУРГА</v>
      </c>
      <c r="B10943" s="24" t="s">
        <v>8242</v>
      </c>
      <c r="C10943" s="25">
        <v>55800</v>
      </c>
      <c r="D10943" s="22" t="s">
        <v>13280</v>
      </c>
      <c r="E10943" s="22" t="s">
        <v>52</v>
      </c>
      <c r="F10943" s="23" t="str">
        <f>HYPERLINK("https://www.spark-marketing.ru/Card/Lot/69145743", "Оказание услуг по физической охране объекта для ГБОУ гимназия № 41 имени Эриха Кестнера Приморского района Санкт-Петербурга мае 2019 года")</f>
        <v>Оказание услуг по физической охране объекта для ГБОУ гимназия № 41 имени Эриха Кестнера Приморского района Санкт-Петербурга мае 2019 года</v>
      </c>
      <c r="G10943" s="22" t="s">
        <v>89</v>
      </c>
      <c r="H10943" s="22" t="s">
        <v>89</v>
      </c>
      <c r="I10943" s="26">
        <v>43553.484722222202</v>
      </c>
      <c r="J10943" s="28" t="s">
        <v>52</v>
      </c>
      <c r="K10943" s="28" t="s">
        <v>52</v>
      </c>
      <c r="L10943" s="28" t="s">
        <v>52</v>
      </c>
      <c r="M10943" s="28" t="s">
        <v>52</v>
      </c>
      <c r="N10943" s="28" t="s">
        <v>52</v>
      </c>
    </row>
    <row r="10944" spans="1:14" hidden="1" outlineLevel="1" x14ac:dyDescent="0.2">
      <c r="A10944" s="23" t="str">
        <f>HYPERLINK("https://www.spark-marketing.ru/Card/Person/145840", "ГБОУ ГИМНАЗИЯ № 41 ИМЕНИ ЭРИХА КЕСТНЕРА ПРИМОРСКОГО РАЙОНА САНКТ-ПЕТЕРБУРГА")</f>
        <v>ГБОУ ГИМНАЗИЯ № 41 ИМЕНИ ЭРИХА КЕСТНЕРА ПРИМОРСКОГО РАЙОНА САНКТ-ПЕТЕРБУРГА</v>
      </c>
      <c r="B10944" s="24" t="s">
        <v>8242</v>
      </c>
      <c r="C10944" s="25">
        <v>55800</v>
      </c>
      <c r="D10944" s="22" t="s">
        <v>13280</v>
      </c>
      <c r="E10944" s="22" t="s">
        <v>52</v>
      </c>
      <c r="F10944" s="23" t="str">
        <f>HYPERLINK("https://www.spark-marketing.ru/Card/Lot/69145743", "Оказание услуг по физической охране объекта для ГБОУ гимназия № 41 имени Эриха Кестнера Приморского района Санкт-Петербурга мае 2019 года")</f>
        <v>Оказание услуг по физической охране объекта для ГБОУ гимназия № 41 имени Эриха Кестнера Приморского района Санкт-Петербурга мае 2019 года</v>
      </c>
      <c r="G10944" s="22" t="s">
        <v>89</v>
      </c>
      <c r="H10944" s="22" t="s">
        <v>89</v>
      </c>
      <c r="I10944" s="26">
        <v>43553.484722222202</v>
      </c>
      <c r="J10944" s="23" t="str">
        <f>HYPERLINK("https://www.spark-marketing.ru/Card/Person/32217", "ООО ""ОО ""ЗВЕЗДОЧЁТ""")</f>
        <v>ООО "ОО "ЗВЕЗДОЧЁТ"</v>
      </c>
      <c r="K10944" s="24" t="s">
        <v>13156</v>
      </c>
      <c r="L10944" s="28" t="s">
        <v>52</v>
      </c>
      <c r="M10944" s="25">
        <v>52452</v>
      </c>
      <c r="N10944" s="27">
        <v>0.06</v>
      </c>
    </row>
    <row r="10945" spans="1:14" ht="12.75" hidden="1" outlineLevel="1" x14ac:dyDescent="0.2">
      <c r="A10945" s="23" t="str">
        <f>HYPERLINK("https://www.spark-marketing.ru/Card/Person/145840", "ГБОУ ГИМНАЗИЯ № 41 ИМЕНИ ЭРИХА КЕСТНЕРА ПРИМОРСКОГО РАЙОНА САНКТ-ПЕТЕРБУРГА")</f>
        <v>ГБОУ ГИМНАЗИЯ № 41 ИМЕНИ ЭРИХА КЕСТНЕРА ПРИМОРСКОГО РАЙОНА САНКТ-ПЕТЕРБУРГА</v>
      </c>
      <c r="B10945" s="24" t="s">
        <v>8242</v>
      </c>
      <c r="C10945" s="25">
        <v>55800</v>
      </c>
      <c r="D10945" s="22" t="s">
        <v>13280</v>
      </c>
      <c r="E10945" s="22" t="s">
        <v>52</v>
      </c>
      <c r="F10945" s="23" t="str">
        <f>HYPERLINK("https://www.spark-marketing.ru/Card/Lot/69145743", "Оказание услуг по физической охране объекта для ГБОУ гимназия № 41 имени Эриха Кестнера Приморского района Санкт-Петербурга мае 2019 года")</f>
        <v>Оказание услуг по физической охране объекта для ГБОУ гимназия № 41 имени Эриха Кестнера Приморского района Санкт-Петербурга мае 2019 года</v>
      </c>
      <c r="G10945" s="22" t="s">
        <v>89</v>
      </c>
      <c r="H10945" s="22" t="s">
        <v>89</v>
      </c>
      <c r="I10945" s="26">
        <v>43553.484722222202</v>
      </c>
      <c r="J10945" s="23" t="str">
        <f>HYPERLINK("https://www.spark-marketing.ru/Card/Person/2562571", "ООО ОП""БОРС-БАЛТИКА""")</f>
        <v>ООО ОП"БОРС-БАЛТИКА"</v>
      </c>
      <c r="K10945" s="24" t="s">
        <v>4583</v>
      </c>
      <c r="L10945" s="22" t="s">
        <v>10</v>
      </c>
      <c r="M10945" s="25">
        <v>52173</v>
      </c>
      <c r="N10945" s="27">
        <v>6.5000000000000002E-2</v>
      </c>
    </row>
    <row r="10946" spans="1:14" x14ac:dyDescent="0.15">
      <c r="A10946" s="23" t="str">
        <f>HYPERLINK("https://www.spark-marketing.ru/Card/Person/1014221", "ФГБУ ""АМП ЗАПАДНОЙ АРКТИКИ""")</f>
        <v>ФГБУ "АМП ЗАПАДНОЙ АРКТИКИ"</v>
      </c>
      <c r="B10946" s="24" t="s">
        <v>13281</v>
      </c>
      <c r="C10946" s="25">
        <v>208053</v>
      </c>
      <c r="D10946" s="22" t="s">
        <v>13282</v>
      </c>
      <c r="E10946" s="22" t="s">
        <v>49</v>
      </c>
      <c r="F10946" s="23" t="str">
        <f>HYPERLINK("https://www.spark-marketing.ru/Card/Lot/69135344", "Выполнение работ по установке системы видеонаблюдения в административное здание")</f>
        <v>Выполнение работ по установке системы видеонаблюдения в административное здание</v>
      </c>
      <c r="G10946" s="22" t="s">
        <v>674</v>
      </c>
      <c r="H10946" s="22" t="s">
        <v>1905</v>
      </c>
      <c r="I10946" s="26">
        <v>43553.480011574102</v>
      </c>
      <c r="J10946" s="23" t="str">
        <f>HYPERLINK("https://www.spark-marketing.ru/Card/Person/1905065", "ЗАЯВКА")</f>
        <v>ЗАЯВКА</v>
      </c>
      <c r="K10946" s="24" t="s">
        <v>10745</v>
      </c>
      <c r="L10946" s="28" t="s">
        <v>52</v>
      </c>
      <c r="M10946" s="28" t="s">
        <v>52</v>
      </c>
      <c r="N10946" s="28" t="s">
        <v>52</v>
      </c>
    </row>
    <row r="10947" spans="1:14" x14ac:dyDescent="0.15">
      <c r="A10947" s="23" t="s">
        <v>121</v>
      </c>
      <c r="B10947" s="28" t="s">
        <v>52</v>
      </c>
      <c r="C10947" s="25">
        <v>94166</v>
      </c>
      <c r="D10947" s="22" t="s">
        <v>13283</v>
      </c>
      <c r="E10947" s="22" t="s">
        <v>107</v>
      </c>
      <c r="F10947" s="23" t="str">
        <f t="shared" ref="F10947:F10961" si="525">HYPERLINK("https://www.spark-marketing.ru/Card/Lot/69145456", "оказание услуг по техническому обслуживанию средств системы видеонаблюдения с включенным перечнем оборудования")</f>
        <v>оказание услуг по техническому обслуживанию средств системы видеонаблюдения с включенным перечнем оборудования</v>
      </c>
      <c r="G10947" s="22" t="s">
        <v>52</v>
      </c>
      <c r="H10947" s="22" t="s">
        <v>52</v>
      </c>
      <c r="I10947" s="26">
        <v>43553.474999999999</v>
      </c>
      <c r="J10947" s="28" t="s">
        <v>52</v>
      </c>
      <c r="K10947" s="28" t="s">
        <v>52</v>
      </c>
      <c r="L10947" s="28" t="s">
        <v>52</v>
      </c>
      <c r="M10947" s="28" t="s">
        <v>52</v>
      </c>
      <c r="N10947" s="28" t="s">
        <v>52</v>
      </c>
    </row>
    <row r="10948" spans="1:14" hidden="1" outlineLevel="1" x14ac:dyDescent="0.15">
      <c r="A10948" s="23" t="str">
        <f>HYPERLINK("https://www.spark-marketing.ru/Card/Person/235830", "МБОУ ""ООШ П. АНИСОВСКИЙ")</f>
        <v>МБОУ "ООШ П. АНИСОВСКИЙ</v>
      </c>
      <c r="B10948" s="24" t="s">
        <v>13284</v>
      </c>
      <c r="C10948" s="25">
        <v>7292</v>
      </c>
      <c r="D10948" s="22" t="s">
        <v>13283</v>
      </c>
      <c r="E10948" s="22" t="s">
        <v>107</v>
      </c>
      <c r="F10948" s="23" t="str">
        <f t="shared" si="525"/>
        <v>оказание услуг по техническому обслуживанию средств системы видеонаблюдения с включенным перечнем оборудования</v>
      </c>
      <c r="G10948" s="22" t="s">
        <v>80</v>
      </c>
      <c r="H10948" s="22" t="s">
        <v>80</v>
      </c>
      <c r="I10948" s="26">
        <v>43553.474999999999</v>
      </c>
      <c r="J10948" s="28" t="s">
        <v>52</v>
      </c>
      <c r="K10948" s="28" t="s">
        <v>52</v>
      </c>
      <c r="L10948" s="28" t="s">
        <v>52</v>
      </c>
      <c r="M10948" s="28" t="s">
        <v>52</v>
      </c>
      <c r="N10948" s="28" t="s">
        <v>52</v>
      </c>
    </row>
    <row r="10949" spans="1:14" hidden="1" outlineLevel="1" x14ac:dyDescent="0.15">
      <c r="A10949" s="23" t="str">
        <f>HYPERLINK("https://www.spark-marketing.ru/Card/Person/235839", "МБОУ ""НАЧАЛЬНАЯ ШКОЛА""")</f>
        <v>МБОУ "НАЧАЛЬНАЯ ШКОЛА"</v>
      </c>
      <c r="B10949" s="24" t="s">
        <v>13285</v>
      </c>
      <c r="C10949" s="25">
        <v>12070</v>
      </c>
      <c r="D10949" s="22" t="s">
        <v>13283</v>
      </c>
      <c r="E10949" s="22" t="s">
        <v>107</v>
      </c>
      <c r="F10949" s="23" t="str">
        <f t="shared" si="525"/>
        <v>оказание услуг по техническому обслуживанию средств системы видеонаблюдения с включенным перечнем оборудования</v>
      </c>
      <c r="G10949" s="22" t="s">
        <v>80</v>
      </c>
      <c r="H10949" s="22" t="s">
        <v>80</v>
      </c>
      <c r="I10949" s="26">
        <v>43553.474999999999</v>
      </c>
      <c r="J10949" s="28" t="s">
        <v>52</v>
      </c>
      <c r="K10949" s="28" t="s">
        <v>52</v>
      </c>
      <c r="L10949" s="28" t="s">
        <v>52</v>
      </c>
      <c r="M10949" s="28" t="s">
        <v>52</v>
      </c>
      <c r="N10949" s="28" t="s">
        <v>52</v>
      </c>
    </row>
    <row r="10950" spans="1:14" hidden="1" outlineLevel="1" x14ac:dyDescent="0.15">
      <c r="A10950" s="23" t="str">
        <f>HYPERLINK("https://www.spark-marketing.ru/Card/Person/235908", "МБДОУ ""ДЕТСКИЙ САД С. ЗЕЛЕНЫЙ ДОЛ""")</f>
        <v>МБДОУ "ДЕТСКИЙ САД С. ЗЕЛЕНЫЙ ДОЛ"</v>
      </c>
      <c r="B10950" s="24" t="s">
        <v>13286</v>
      </c>
      <c r="C10950" s="25">
        <v>15640</v>
      </c>
      <c r="D10950" s="22" t="s">
        <v>13283</v>
      </c>
      <c r="E10950" s="22" t="s">
        <v>107</v>
      </c>
      <c r="F10950" s="23" t="str">
        <f t="shared" si="525"/>
        <v>оказание услуг по техническому обслуживанию средств системы видеонаблюдения с включенным перечнем оборудования</v>
      </c>
      <c r="G10950" s="22" t="s">
        <v>80</v>
      </c>
      <c r="H10950" s="22" t="s">
        <v>80</v>
      </c>
      <c r="I10950" s="26">
        <v>43553.474999999999</v>
      </c>
      <c r="J10950" s="28" t="s">
        <v>52</v>
      </c>
      <c r="K10950" s="28" t="s">
        <v>52</v>
      </c>
      <c r="L10950" s="28" t="s">
        <v>52</v>
      </c>
      <c r="M10950" s="28" t="s">
        <v>52</v>
      </c>
      <c r="N10950" s="28" t="s">
        <v>52</v>
      </c>
    </row>
    <row r="10951" spans="1:14" hidden="1" outlineLevel="1" x14ac:dyDescent="0.15">
      <c r="A10951" s="23" t="str">
        <f>HYPERLINK("https://www.spark-marketing.ru/Card/Person/235937", "МБДОУ ""ДЕТСКИЙ САД № 109""")</f>
        <v>МБДОУ "ДЕТСКИЙ САД № 109"</v>
      </c>
      <c r="B10951" s="24" t="s">
        <v>13287</v>
      </c>
      <c r="C10951" s="25">
        <v>9394</v>
      </c>
      <c r="D10951" s="22" t="s">
        <v>13283</v>
      </c>
      <c r="E10951" s="22" t="s">
        <v>107</v>
      </c>
      <c r="F10951" s="23" t="str">
        <f t="shared" si="525"/>
        <v>оказание услуг по техническому обслуживанию средств системы видеонаблюдения с включенным перечнем оборудования</v>
      </c>
      <c r="G10951" s="22" t="s">
        <v>80</v>
      </c>
      <c r="H10951" s="22" t="s">
        <v>80</v>
      </c>
      <c r="I10951" s="26">
        <v>43553.474999999999</v>
      </c>
      <c r="J10951" s="28" t="s">
        <v>52</v>
      </c>
      <c r="K10951" s="28" t="s">
        <v>52</v>
      </c>
      <c r="L10951" s="28" t="s">
        <v>52</v>
      </c>
      <c r="M10951" s="28" t="s">
        <v>52</v>
      </c>
      <c r="N10951" s="28" t="s">
        <v>52</v>
      </c>
    </row>
    <row r="10952" spans="1:14" hidden="1" outlineLevel="1" x14ac:dyDescent="0.15">
      <c r="A10952" s="23" t="str">
        <f>HYPERLINK("https://www.spark-marketing.ru/Card/Person/236025", "МБДОУ ""ДЕТСКИЙ САД № 72""")</f>
        <v>МБДОУ "ДЕТСКИЙ САД № 72"</v>
      </c>
      <c r="B10952" s="24" t="s">
        <v>13288</v>
      </c>
      <c r="C10952" s="25">
        <v>6256</v>
      </c>
      <c r="D10952" s="22" t="s">
        <v>13283</v>
      </c>
      <c r="E10952" s="22" t="s">
        <v>107</v>
      </c>
      <c r="F10952" s="23" t="str">
        <f t="shared" si="525"/>
        <v>оказание услуг по техническому обслуживанию средств системы видеонаблюдения с включенным перечнем оборудования</v>
      </c>
      <c r="G10952" s="22" t="s">
        <v>80</v>
      </c>
      <c r="H10952" s="22" t="s">
        <v>80</v>
      </c>
      <c r="I10952" s="26">
        <v>43553.474999999999</v>
      </c>
      <c r="J10952" s="28" t="s">
        <v>52</v>
      </c>
      <c r="K10952" s="28" t="s">
        <v>52</v>
      </c>
      <c r="L10952" s="28" t="s">
        <v>52</v>
      </c>
      <c r="M10952" s="28" t="s">
        <v>52</v>
      </c>
      <c r="N10952" s="28" t="s">
        <v>52</v>
      </c>
    </row>
    <row r="10953" spans="1:14" hidden="1" outlineLevel="1" x14ac:dyDescent="0.15">
      <c r="A10953" s="23" t="str">
        <f>HYPERLINK("https://www.spark-marketing.ru/Card/Person/1014862", "МБДОУ ""ДЕТСКИЙ САД № 42""")</f>
        <v>МБДОУ "ДЕТСКИЙ САД № 42"</v>
      </c>
      <c r="B10953" s="24" t="s">
        <v>13289</v>
      </c>
      <c r="C10953" s="25">
        <v>10040</v>
      </c>
      <c r="D10953" s="22" t="s">
        <v>13283</v>
      </c>
      <c r="E10953" s="22" t="s">
        <v>107</v>
      </c>
      <c r="F10953" s="23" t="str">
        <f t="shared" si="525"/>
        <v>оказание услуг по техническому обслуживанию средств системы видеонаблюдения с включенным перечнем оборудования</v>
      </c>
      <c r="G10953" s="22" t="s">
        <v>80</v>
      </c>
      <c r="H10953" s="22" t="s">
        <v>80</v>
      </c>
      <c r="I10953" s="26">
        <v>43553.474999999999</v>
      </c>
      <c r="J10953" s="28" t="s">
        <v>52</v>
      </c>
      <c r="K10953" s="28" t="s">
        <v>52</v>
      </c>
      <c r="L10953" s="28" t="s">
        <v>52</v>
      </c>
      <c r="M10953" s="28" t="s">
        <v>52</v>
      </c>
      <c r="N10953" s="28" t="s">
        <v>52</v>
      </c>
    </row>
    <row r="10954" spans="1:14" hidden="1" outlineLevel="1" x14ac:dyDescent="0.15">
      <c r="A10954" s="23" t="str">
        <f>HYPERLINK("https://www.spark-marketing.ru/Card/Person/1015235", "МБДОУ ""ДЕТСКИЙ САД №31""")</f>
        <v>МБДОУ "ДЕТСКИЙ САД №31"</v>
      </c>
      <c r="B10954" s="24" t="s">
        <v>13290</v>
      </c>
      <c r="C10954" s="25">
        <v>9394</v>
      </c>
      <c r="D10954" s="22" t="s">
        <v>13283</v>
      </c>
      <c r="E10954" s="22" t="s">
        <v>107</v>
      </c>
      <c r="F10954" s="23" t="str">
        <f t="shared" si="525"/>
        <v>оказание услуг по техническому обслуживанию средств системы видеонаблюдения с включенным перечнем оборудования</v>
      </c>
      <c r="G10954" s="22" t="s">
        <v>80</v>
      </c>
      <c r="H10954" s="22" t="s">
        <v>80</v>
      </c>
      <c r="I10954" s="26">
        <v>43553.474999999999</v>
      </c>
      <c r="J10954" s="28" t="s">
        <v>52</v>
      </c>
      <c r="K10954" s="28" t="s">
        <v>52</v>
      </c>
      <c r="L10954" s="28" t="s">
        <v>52</v>
      </c>
      <c r="M10954" s="28" t="s">
        <v>52</v>
      </c>
      <c r="N10954" s="28" t="s">
        <v>52</v>
      </c>
    </row>
    <row r="10955" spans="1:14" hidden="1" outlineLevel="1" x14ac:dyDescent="0.15">
      <c r="A10955" s="23" t="str">
        <f>HYPERLINK("https://www.spark-marketing.ru/Card/Person/1072636", "МБДОУ ""ДЕТСКИЙ САД № 15""")</f>
        <v>МБДОУ "ДЕТСКИЙ САД № 15"</v>
      </c>
      <c r="B10955" s="24" t="s">
        <v>13291</v>
      </c>
      <c r="C10955" s="25">
        <v>24080</v>
      </c>
      <c r="D10955" s="22" t="s">
        <v>13283</v>
      </c>
      <c r="E10955" s="22" t="s">
        <v>107</v>
      </c>
      <c r="F10955" s="23" t="str">
        <f t="shared" si="525"/>
        <v>оказание услуг по техническому обслуживанию средств системы видеонаблюдения с включенным перечнем оборудования</v>
      </c>
      <c r="G10955" s="22" t="s">
        <v>80</v>
      </c>
      <c r="H10955" s="22" t="s">
        <v>80</v>
      </c>
      <c r="I10955" s="26">
        <v>43553.474999999999</v>
      </c>
      <c r="J10955" s="28" t="s">
        <v>52</v>
      </c>
      <c r="K10955" s="28" t="s">
        <v>52</v>
      </c>
      <c r="L10955" s="28" t="s">
        <v>52</v>
      </c>
      <c r="M10955" s="28" t="s">
        <v>52</v>
      </c>
      <c r="N10955" s="28" t="s">
        <v>52</v>
      </c>
    </row>
    <row r="10956" spans="1:14" hidden="1" outlineLevel="1" x14ac:dyDescent="0.2">
      <c r="A10956" s="28" t="s">
        <v>52</v>
      </c>
      <c r="B10956" s="28" t="s">
        <v>52</v>
      </c>
      <c r="C10956" s="28" t="s">
        <v>52</v>
      </c>
      <c r="D10956" s="22" t="s">
        <v>13283</v>
      </c>
      <c r="E10956" s="22" t="s">
        <v>107</v>
      </c>
      <c r="F10956" s="23" t="str">
        <f t="shared" si="525"/>
        <v>оказание услуг по техническому обслуживанию средств системы видеонаблюдения с включенным перечнем оборудования</v>
      </c>
      <c r="G10956" s="22" t="s">
        <v>52</v>
      </c>
      <c r="H10956" s="22" t="s">
        <v>52</v>
      </c>
      <c r="I10956" s="26">
        <v>43553.474999999999</v>
      </c>
      <c r="J10956" s="23" t="str">
        <f>HYPERLINK("https://www.spark-marketing.ru/Card/Person/5789541", "ООО ""СБ-ПЛЮС""")</f>
        <v>ООО "СБ-ПЛЮС"</v>
      </c>
      <c r="K10956" s="24" t="s">
        <v>4674</v>
      </c>
      <c r="L10956" s="28" t="s">
        <v>52</v>
      </c>
      <c r="M10956" s="25">
        <v>25416</v>
      </c>
      <c r="N10956" s="27">
        <v>0.73009366437992484</v>
      </c>
    </row>
    <row r="10957" spans="1:14" hidden="1" outlineLevel="1" x14ac:dyDescent="0.2">
      <c r="A10957" s="28" t="s">
        <v>52</v>
      </c>
      <c r="B10957" s="28" t="s">
        <v>52</v>
      </c>
      <c r="C10957" s="28" t="s">
        <v>52</v>
      </c>
      <c r="D10957" s="22" t="s">
        <v>13283</v>
      </c>
      <c r="E10957" s="22" t="s">
        <v>107</v>
      </c>
      <c r="F10957" s="23" t="str">
        <f t="shared" si="525"/>
        <v>оказание услуг по техническому обслуживанию средств системы видеонаблюдения с включенным перечнем оборудования</v>
      </c>
      <c r="G10957" s="22" t="s">
        <v>52</v>
      </c>
      <c r="H10957" s="22" t="s">
        <v>52</v>
      </c>
      <c r="I10957" s="26">
        <v>43553.474999999999</v>
      </c>
      <c r="J10957" s="23" t="str">
        <f>HYPERLINK("https://www.spark-marketing.ru/Card/Person/5997131", "Юренко Александр Сергеевич")</f>
        <v>Юренко Александр Сергеевич</v>
      </c>
      <c r="K10957" s="24" t="s">
        <v>4283</v>
      </c>
      <c r="L10957" s="28" t="s">
        <v>52</v>
      </c>
      <c r="M10957" s="25">
        <v>53674.62</v>
      </c>
      <c r="N10957" s="27">
        <v>0.43</v>
      </c>
    </row>
    <row r="10958" spans="1:14" hidden="1" outlineLevel="1" x14ac:dyDescent="0.2">
      <c r="A10958" s="28" t="s">
        <v>52</v>
      </c>
      <c r="B10958" s="28" t="s">
        <v>52</v>
      </c>
      <c r="C10958" s="28" t="s">
        <v>52</v>
      </c>
      <c r="D10958" s="22" t="s">
        <v>13283</v>
      </c>
      <c r="E10958" s="22" t="s">
        <v>107</v>
      </c>
      <c r="F10958" s="23" t="str">
        <f t="shared" si="525"/>
        <v>оказание услуг по техническому обслуживанию средств системы видеонаблюдения с включенным перечнем оборудования</v>
      </c>
      <c r="G10958" s="22" t="s">
        <v>52</v>
      </c>
      <c r="H10958" s="22" t="s">
        <v>52</v>
      </c>
      <c r="I10958" s="26">
        <v>43553.474999999999</v>
      </c>
      <c r="J10958" s="23" t="str">
        <f>HYPERLINK("https://www.spark-marketing.ru/Card/Person/1473338", "ООО ""ПОЖСЕРВИС""")</f>
        <v>ООО "ПОЖСЕРВИС"</v>
      </c>
      <c r="K10958" s="24" t="s">
        <v>11865</v>
      </c>
      <c r="L10958" s="28" t="s">
        <v>52</v>
      </c>
      <c r="M10958" s="25">
        <v>30132.2</v>
      </c>
      <c r="N10958" s="27">
        <v>0.68000976998067242</v>
      </c>
    </row>
    <row r="10959" spans="1:14" hidden="1" outlineLevel="1" x14ac:dyDescent="0.2">
      <c r="A10959" s="28" t="s">
        <v>52</v>
      </c>
      <c r="B10959" s="28" t="s">
        <v>52</v>
      </c>
      <c r="C10959" s="28" t="s">
        <v>52</v>
      </c>
      <c r="D10959" s="22" t="s">
        <v>13283</v>
      </c>
      <c r="E10959" s="22" t="s">
        <v>107</v>
      </c>
      <c r="F10959" s="23" t="str">
        <f t="shared" si="525"/>
        <v>оказание услуг по техническому обслуживанию средств системы видеонаблюдения с включенным перечнем оборудования</v>
      </c>
      <c r="G10959" s="22" t="s">
        <v>52</v>
      </c>
      <c r="H10959" s="22" t="s">
        <v>52</v>
      </c>
      <c r="I10959" s="26">
        <v>43553.474999999999</v>
      </c>
      <c r="J10959" s="23" t="str">
        <f>HYPERLINK("https://www.spark-marketing.ru/Card/Person/6498866", "Ковтун Михаил Геннадьевич")</f>
        <v>Ковтун Михаил Геннадьевич</v>
      </c>
      <c r="K10959" s="24" t="s">
        <v>13292</v>
      </c>
      <c r="L10959" s="28" t="s">
        <v>52</v>
      </c>
      <c r="M10959" s="25">
        <v>42374.7</v>
      </c>
      <c r="N10959" s="27">
        <v>0.55000000000000004</v>
      </c>
    </row>
    <row r="10960" spans="1:14" hidden="1" outlineLevel="1" x14ac:dyDescent="0.2">
      <c r="A10960" s="28" t="s">
        <v>52</v>
      </c>
      <c r="B10960" s="28" t="s">
        <v>52</v>
      </c>
      <c r="C10960" s="28" t="s">
        <v>52</v>
      </c>
      <c r="D10960" s="22" t="s">
        <v>13283</v>
      </c>
      <c r="E10960" s="22" t="s">
        <v>107</v>
      </c>
      <c r="F10960" s="23" t="str">
        <f t="shared" si="525"/>
        <v>оказание услуг по техническому обслуживанию средств системы видеонаблюдения с включенным перечнем оборудования</v>
      </c>
      <c r="G10960" s="22" t="s">
        <v>52</v>
      </c>
      <c r="H10960" s="22" t="s">
        <v>52</v>
      </c>
      <c r="I10960" s="26">
        <v>43553.474999999999</v>
      </c>
      <c r="J10960" s="23" t="str">
        <f>HYPERLINK("https://www.spark-marketing.ru/Card/Person/4358562", "ООО ЧОП ""ПОЛЮС-К""")</f>
        <v>ООО ЧОП "ПОЛЮС-К"</v>
      </c>
      <c r="K10960" s="24" t="s">
        <v>11867</v>
      </c>
      <c r="L10960" s="28" t="s">
        <v>52</v>
      </c>
      <c r="M10960" s="25">
        <v>37666.400000000001</v>
      </c>
      <c r="N10960" s="27">
        <v>0.6</v>
      </c>
    </row>
    <row r="10961" spans="1:14" hidden="1" outlineLevel="1" x14ac:dyDescent="0.2">
      <c r="A10961" s="28" t="s">
        <v>52</v>
      </c>
      <c r="B10961" s="28" t="s">
        <v>52</v>
      </c>
      <c r="C10961" s="28" t="s">
        <v>52</v>
      </c>
      <c r="D10961" s="22" t="s">
        <v>13283</v>
      </c>
      <c r="E10961" s="22" t="s">
        <v>107</v>
      </c>
      <c r="F10961" s="23" t="str">
        <f t="shared" si="525"/>
        <v>оказание услуг по техническому обслуживанию средств системы видеонаблюдения с включенным перечнем оборудования</v>
      </c>
      <c r="G10961" s="22" t="s">
        <v>52</v>
      </c>
      <c r="H10961" s="22" t="s">
        <v>52</v>
      </c>
      <c r="I10961" s="26">
        <v>43553.474999999999</v>
      </c>
      <c r="J10961" s="23" t="str">
        <f>HYPERLINK("https://www.spark-marketing.ru/Card/Person/574743", "ООО ""ТД ""ПРИОРИТЕТ""")</f>
        <v>ООО "ТД "ПРИОРИТЕТ"</v>
      </c>
      <c r="K10961" s="24" t="s">
        <v>13293</v>
      </c>
      <c r="L10961" s="22" t="s">
        <v>10</v>
      </c>
      <c r="M10961" s="25">
        <v>24945.17</v>
      </c>
      <c r="N10961" s="27">
        <v>0.73509366437992485</v>
      </c>
    </row>
    <row r="10962" spans="1:14" x14ac:dyDescent="0.15">
      <c r="A10962" s="23" t="str">
        <f>HYPERLINK("https://www.spark-marketing.ru/Card/Person/29357", "ПУ ФСБ РОССИИ ПО КАЛИНИНГРАДСКОЙ ОБЛАСТИ")</f>
        <v>ПУ ФСБ РОССИИ ПО КАЛИНИНГРАДСКОЙ ОБЛАСТИ</v>
      </c>
      <c r="B10962" s="24" t="s">
        <v>4297</v>
      </c>
      <c r="C10962" s="25">
        <v>963950</v>
      </c>
      <c r="D10962" s="22" t="s">
        <v>13294</v>
      </c>
      <c r="E10962" s="22" t="s">
        <v>208</v>
      </c>
      <c r="F10962" s="23" t="str">
        <f>HYPERLINK("https://www.spark-marketing.ru/Card/Lot/69149585", "Поставка в рамках государственного оборонного заказа материальных запасов для поддержания технической готовности комплексов инженерно-технических средств охраны и защиты объектов")</f>
        <v>Поставка в рамках государственного оборонного заказа материальных запасов для поддержания технической готовности комплексов инженерно-технических средств охраны и защиты объектов</v>
      </c>
      <c r="G10962" s="22" t="s">
        <v>247</v>
      </c>
      <c r="H10962" s="22" t="s">
        <v>576</v>
      </c>
      <c r="I10962" s="26">
        <v>43553.472222222197</v>
      </c>
      <c r="J10962" s="28" t="s">
        <v>52</v>
      </c>
      <c r="K10962" s="28" t="s">
        <v>52</v>
      </c>
      <c r="L10962" s="28" t="s">
        <v>52</v>
      </c>
      <c r="M10962" s="28" t="s">
        <v>52</v>
      </c>
      <c r="N10962" s="28" t="s">
        <v>52</v>
      </c>
    </row>
    <row r="10963" spans="1:14" x14ac:dyDescent="0.15">
      <c r="A10963" s="23" t="str">
        <f>HYPERLINK("https://www.spark-marketing.ru/Card/Person/363531", "ФГКУ КОМБИНАТ ""ТЕХНИКА"" РОСРЕЗЕРВА")</f>
        <v>ФГКУ КОМБИНАТ "ТЕХНИКА" РОСРЕЗЕРВА</v>
      </c>
      <c r="B10963" s="24" t="s">
        <v>13295</v>
      </c>
      <c r="C10963" s="25">
        <v>232414</v>
      </c>
      <c r="D10963" s="22" t="s">
        <v>13296</v>
      </c>
      <c r="E10963" s="22" t="s">
        <v>68</v>
      </c>
      <c r="F10963" s="23" t="str">
        <f>HYPERLINK("https://www.spark-marketing.ru/Card/Lot/69126570", "Обслуживание профессиональными аварийно-спасательными формированиями")</f>
        <v>Обслуживание профессиональными аварийно-спасательными формированиями</v>
      </c>
      <c r="G10963" s="22" t="s">
        <v>209</v>
      </c>
      <c r="H10963" s="22" t="s">
        <v>13297</v>
      </c>
      <c r="I10963" s="26">
        <v>43553.472916666702</v>
      </c>
      <c r="J10963" s="28" t="s">
        <v>52</v>
      </c>
      <c r="K10963" s="28" t="s">
        <v>52</v>
      </c>
      <c r="L10963" s="28" t="s">
        <v>52</v>
      </c>
      <c r="M10963" s="28" t="s">
        <v>52</v>
      </c>
      <c r="N10963" s="28" t="s">
        <v>52</v>
      </c>
    </row>
    <row r="10964" spans="1:14" ht="12.75" hidden="1" outlineLevel="1" x14ac:dyDescent="0.2">
      <c r="A10964" s="23" t="str">
        <f>HYPERLINK("https://www.spark-marketing.ru/Card/Person/363531", "ФГКУ КОМБИНАТ ""ТЕХНИКА"" РОСРЕЗЕРВА")</f>
        <v>ФГКУ КОМБИНАТ "ТЕХНИКА" РОСРЕЗЕРВА</v>
      </c>
      <c r="B10964" s="24" t="s">
        <v>13295</v>
      </c>
      <c r="C10964" s="25">
        <v>232414</v>
      </c>
      <c r="D10964" s="22" t="s">
        <v>13296</v>
      </c>
      <c r="E10964" s="22" t="s">
        <v>68</v>
      </c>
      <c r="F10964" s="23" t="str">
        <f>HYPERLINK("https://www.spark-marketing.ru/Card/Lot/69126570", "Обслуживание профессиональными аварийно-спасательными формированиями")</f>
        <v>Обслуживание профессиональными аварийно-спасательными формированиями</v>
      </c>
      <c r="G10964" s="22" t="s">
        <v>209</v>
      </c>
      <c r="H10964" s="22" t="s">
        <v>13297</v>
      </c>
      <c r="I10964" s="26">
        <v>43553.472916666702</v>
      </c>
      <c r="J10964" s="23" t="str">
        <f>HYPERLINK("https://www.spark-marketing.ru/Card/Person/4359060", "ООО ""НТЦ ЭКОЛОГИЧЕСКАЯ БЕЗОПАСНОСТЬ СИБИРИ""")</f>
        <v>ООО "НТЦ ЭКОЛОГИЧЕСКАЯ БЕЗОПАСНОСТЬ СИБИРИ"</v>
      </c>
      <c r="K10964" s="24" t="s">
        <v>13298</v>
      </c>
      <c r="L10964" s="22" t="s">
        <v>10</v>
      </c>
      <c r="M10964" s="25">
        <v>230000</v>
      </c>
      <c r="N10964" s="27">
        <v>1.0386637638008038E-2</v>
      </c>
    </row>
    <row r="10965" spans="1:14" hidden="1" outlineLevel="1" x14ac:dyDescent="0.2">
      <c r="A10965" s="23" t="str">
        <f>HYPERLINK("https://www.spark-marketing.ru/Card/Person/363531", "ФГКУ КОМБИНАТ ""ТЕХНИКА"" РОСРЕЗЕРВА")</f>
        <v>ФГКУ КОМБИНАТ "ТЕХНИКА" РОСРЕЗЕРВА</v>
      </c>
      <c r="B10965" s="24" t="s">
        <v>13295</v>
      </c>
      <c r="C10965" s="25">
        <v>232414</v>
      </c>
      <c r="D10965" s="22" t="s">
        <v>13296</v>
      </c>
      <c r="E10965" s="22" t="s">
        <v>68</v>
      </c>
      <c r="F10965" s="23" t="str">
        <f>HYPERLINK("https://www.spark-marketing.ru/Card/Lot/69126570", "Обслуживание профессиональными аварийно-спасательными формированиями")</f>
        <v>Обслуживание профессиональными аварийно-спасательными формированиями</v>
      </c>
      <c r="G10965" s="22" t="s">
        <v>209</v>
      </c>
      <c r="H10965" s="22" t="s">
        <v>13297</v>
      </c>
      <c r="I10965" s="26">
        <v>43553.472916666702</v>
      </c>
      <c r="J10965" s="23" t="str">
        <f>HYPERLINK("https://www.spark-marketing.ru/Card/Person/143032", "АО ""ЦАСЭО""")</f>
        <v>АО "ЦАСЭО"</v>
      </c>
      <c r="K10965" s="24" t="s">
        <v>13299</v>
      </c>
      <c r="L10965" s="28" t="s">
        <v>52</v>
      </c>
      <c r="M10965" s="25">
        <v>232414</v>
      </c>
      <c r="N10965" s="27">
        <v>0</v>
      </c>
    </row>
    <row r="10966" spans="1:14" x14ac:dyDescent="0.15">
      <c r="A10966" s="23" t="str">
        <f>HYPERLINK("https://www.spark-marketing.ru/Card/Person/142671", "БУ ""БЕРЕЗОВСКИЙ РАЙОННЫЙ КОМПЛЕКСНЫЙ ЦЕНТР СОЦИАЛЬНОГО ОБСЛУЖИВАНИЯ НАСЕЛЕНИЯ""")</f>
        <v>БУ "БЕРЕЗОВСКИЙ РАЙОННЫЙ КОМПЛЕКСНЫЙ ЦЕНТР СОЦИАЛЬНОГО ОБСЛУЖИВАНИЯ НАСЕЛЕНИЯ"</v>
      </c>
      <c r="B10966" s="24" t="s">
        <v>13300</v>
      </c>
      <c r="C10966" s="28" t="s">
        <v>52</v>
      </c>
      <c r="D10966" s="22" t="s">
        <v>13301</v>
      </c>
      <c r="E10966" s="22" t="s">
        <v>52</v>
      </c>
      <c r="F10966" s="23" t="str">
        <f>HYPERLINK("https://www.spark-marketing.ru/Card/Lot/69129148", "Оказание услуг по физической охране объекта и прилегающей территории в пгт. Игрим.")</f>
        <v>Оказание услуг по физической охране объекта и прилегающей территории в пгт. Игрим.</v>
      </c>
      <c r="G10966" s="22" t="s">
        <v>119</v>
      </c>
      <c r="H10966" s="22" t="s">
        <v>8198</v>
      </c>
      <c r="I10966" s="26">
        <v>43553.433333333298</v>
      </c>
      <c r="J10966" s="28" t="s">
        <v>52</v>
      </c>
      <c r="K10966" s="28" t="s">
        <v>52</v>
      </c>
      <c r="L10966" s="28" t="s">
        <v>52</v>
      </c>
      <c r="M10966" s="28" t="s">
        <v>52</v>
      </c>
      <c r="N10966" s="28" t="s">
        <v>52</v>
      </c>
    </row>
    <row r="10967" spans="1:14" x14ac:dyDescent="0.15">
      <c r="A10967" s="23" t="str">
        <f t="shared" ref="A10967:A10973" si="526">HYPERLINK("https://www.spark-marketing.ru/Card/Person/8758", "СПБ ГБСУСО ""ДИПИ №1""")</f>
        <v>СПБ ГБСУСО "ДИПИ №1"</v>
      </c>
      <c r="B10967" s="24" t="s">
        <v>13302</v>
      </c>
      <c r="C10967" s="25">
        <v>162342.53</v>
      </c>
      <c r="D10967" s="22" t="s">
        <v>13303</v>
      </c>
      <c r="E10967" s="22" t="s">
        <v>218</v>
      </c>
      <c r="F10967" s="23" t="str">
        <f t="shared" ref="F10967:F10973" si="527">HYPERLINK("https://www.spark-marketing.ru/Card/Lot/69146874", "Оказание услуг по осуществлению строительного контроля за выполнением работ по установке систем постановочного освещения, видеопроекции, электроакустики, механооборудования в актовом зале здания литера А СПб ГБСУСО «ДИПИ №1» по адресу: СПб, ул. Покло...")</f>
        <v>Оказание услуг по осуществлению строительного контроля за выполнением работ по установке систем постановочного освещения, видеопроекции, электроакустики, механооборудования в актовом зале здания литера А СПб ГБСУСО «ДИПИ №1» по адресу: СПб, ул. Покло...</v>
      </c>
      <c r="G10967" s="22" t="s">
        <v>89</v>
      </c>
      <c r="H10967" s="22" t="s">
        <v>89</v>
      </c>
      <c r="I10967" s="26">
        <v>43553.441666666702</v>
      </c>
      <c r="J10967" s="28" t="s">
        <v>52</v>
      </c>
      <c r="K10967" s="28" t="s">
        <v>52</v>
      </c>
      <c r="L10967" s="28" t="s">
        <v>52</v>
      </c>
      <c r="M10967" s="28" t="s">
        <v>52</v>
      </c>
      <c r="N10967" s="28" t="s">
        <v>52</v>
      </c>
    </row>
    <row r="10968" spans="1:14" hidden="1" outlineLevel="1" x14ac:dyDescent="0.2">
      <c r="A10968" s="23" t="str">
        <f t="shared" si="526"/>
        <v>СПБ ГБСУСО "ДИПИ №1"</v>
      </c>
      <c r="B10968" s="24" t="s">
        <v>13302</v>
      </c>
      <c r="C10968" s="25">
        <v>162342.53</v>
      </c>
      <c r="D10968" s="22" t="s">
        <v>13303</v>
      </c>
      <c r="E10968" s="22" t="s">
        <v>218</v>
      </c>
      <c r="F10968" s="23" t="str">
        <f t="shared" si="527"/>
        <v>Оказание услуг по осуществлению строительного контроля за выполнением работ по установке систем постановочного освещения, видеопроекции, электроакустики, механооборудования в актовом зале здания литера А СПб ГБСУСО «ДИПИ №1» по адресу: СПб, ул. Покло...</v>
      </c>
      <c r="G10968" s="22" t="s">
        <v>89</v>
      </c>
      <c r="H10968" s="22" t="s">
        <v>89</v>
      </c>
      <c r="I10968" s="26">
        <v>43553.441666666702</v>
      </c>
      <c r="J10968" s="23" t="str">
        <f>HYPERLINK("https://www.spark-marketing.ru/Card/Person/572406", "СПБ ГБУ ""СЛУЖБА ЗАКАЗЧИКА АДМИНИСТРАЦИИ НЕВСКОГО РАЙОНА""")</f>
        <v>СПБ ГБУ "СЛУЖБА ЗАКАЗЧИКА АДМИНИСТРАЦИИ НЕВСКОГО РАЙОНА"</v>
      </c>
      <c r="K10968" s="24" t="s">
        <v>13304</v>
      </c>
      <c r="L10968" s="28" t="s">
        <v>52</v>
      </c>
      <c r="M10968" s="25">
        <v>47079.32</v>
      </c>
      <c r="N10968" s="27">
        <v>0.7100000843894696</v>
      </c>
    </row>
    <row r="10969" spans="1:14" hidden="1" outlineLevel="1" x14ac:dyDescent="0.2">
      <c r="A10969" s="23" t="str">
        <f t="shared" si="526"/>
        <v>СПБ ГБСУСО "ДИПИ №1"</v>
      </c>
      <c r="B10969" s="24" t="s">
        <v>13302</v>
      </c>
      <c r="C10969" s="25">
        <v>162342.53</v>
      </c>
      <c r="D10969" s="22" t="s">
        <v>13303</v>
      </c>
      <c r="E10969" s="22" t="s">
        <v>218</v>
      </c>
      <c r="F10969" s="23" t="str">
        <f t="shared" si="527"/>
        <v>Оказание услуг по осуществлению строительного контроля за выполнением работ по установке систем постановочного освещения, видеопроекции, электроакустики, механооборудования в актовом зале здания литера А СПб ГБСУСО «ДИПИ №1» по адресу: СПб, ул. Покло...</v>
      </c>
      <c r="G10969" s="22" t="s">
        <v>89</v>
      </c>
      <c r="H10969" s="22" t="s">
        <v>89</v>
      </c>
      <c r="I10969" s="26">
        <v>43553.441666666702</v>
      </c>
      <c r="J10969" s="23" t="str">
        <f>HYPERLINK("https://www.spark-marketing.ru/Card/Person/6493629", "ООО ""СК ""ШПРЕНГЕЛЬ""")</f>
        <v>ООО "СК "ШПРЕНГЕЛЬ"</v>
      </c>
      <c r="K10969" s="24" t="s">
        <v>11950</v>
      </c>
      <c r="L10969" s="28" t="s">
        <v>52</v>
      </c>
      <c r="M10969" s="25">
        <v>99000</v>
      </c>
      <c r="N10969" s="27">
        <v>0.39017828538214849</v>
      </c>
    </row>
    <row r="10970" spans="1:14" ht="12.75" hidden="1" outlineLevel="1" x14ac:dyDescent="0.2">
      <c r="A10970" s="23" t="str">
        <f t="shared" si="526"/>
        <v>СПБ ГБСУСО "ДИПИ №1"</v>
      </c>
      <c r="B10970" s="24" t="s">
        <v>13302</v>
      </c>
      <c r="C10970" s="25">
        <v>162342.53</v>
      </c>
      <c r="D10970" s="22" t="s">
        <v>13303</v>
      </c>
      <c r="E10970" s="22" t="s">
        <v>218</v>
      </c>
      <c r="F10970" s="23" t="str">
        <f t="shared" si="527"/>
        <v>Оказание услуг по осуществлению строительного контроля за выполнением работ по установке систем постановочного освещения, видеопроекции, электроакустики, механооборудования в актовом зале здания литера А СПб ГБСУСО «ДИПИ №1» по адресу: СПб, ул. Покло...</v>
      </c>
      <c r="G10970" s="22" t="s">
        <v>89</v>
      </c>
      <c r="H10970" s="22" t="s">
        <v>89</v>
      </c>
      <c r="I10970" s="26">
        <v>43553.441666666702</v>
      </c>
      <c r="J10970" s="23" t="str">
        <f>HYPERLINK("https://www.spark-marketing.ru/Card/Person/55719", "ООО ""МАКССТРОЙ""")</f>
        <v>ООО "МАКССТРОЙ"</v>
      </c>
      <c r="K10970" s="24" t="s">
        <v>13305</v>
      </c>
      <c r="L10970" s="22" t="s">
        <v>10</v>
      </c>
      <c r="M10970" s="25">
        <v>18000</v>
      </c>
      <c r="N10970" s="27">
        <v>0.88912332461493604</v>
      </c>
    </row>
    <row r="10971" spans="1:14" hidden="1" outlineLevel="1" x14ac:dyDescent="0.2">
      <c r="A10971" s="23" t="str">
        <f t="shared" si="526"/>
        <v>СПБ ГБСУСО "ДИПИ №1"</v>
      </c>
      <c r="B10971" s="24" t="s">
        <v>13302</v>
      </c>
      <c r="C10971" s="25">
        <v>162342.53</v>
      </c>
      <c r="D10971" s="22" t="s">
        <v>13303</v>
      </c>
      <c r="E10971" s="22" t="s">
        <v>218</v>
      </c>
      <c r="F10971" s="23" t="str">
        <f t="shared" si="527"/>
        <v>Оказание услуг по осуществлению строительного контроля за выполнением работ по установке систем постановочного освещения, видеопроекции, электроакустики, механооборудования в актовом зале здания литера А СПб ГБСУСО «ДИПИ №1» по адресу: СПб, ул. Покло...</v>
      </c>
      <c r="G10971" s="22" t="s">
        <v>89</v>
      </c>
      <c r="H10971" s="22" t="s">
        <v>89</v>
      </c>
      <c r="I10971" s="26">
        <v>43553.441666666702</v>
      </c>
      <c r="J10971" s="23" t="str">
        <f>HYPERLINK("https://www.spark-marketing.ru/Card/Person/6257516", "ООО ""СТРОЙКОНТРОЛЬ""")</f>
        <v>ООО "СТРОЙКОНТРОЛЬ"</v>
      </c>
      <c r="K10971" s="24" t="s">
        <v>11953</v>
      </c>
      <c r="L10971" s="28" t="s">
        <v>52</v>
      </c>
      <c r="M10971" s="25">
        <v>20292</v>
      </c>
      <c r="N10971" s="27">
        <v>0.87500502794923796</v>
      </c>
    </row>
    <row r="10972" spans="1:14" hidden="1" outlineLevel="1" x14ac:dyDescent="0.2">
      <c r="A10972" s="23" t="str">
        <f t="shared" si="526"/>
        <v>СПБ ГБСУСО "ДИПИ №1"</v>
      </c>
      <c r="B10972" s="24" t="s">
        <v>13302</v>
      </c>
      <c r="C10972" s="25">
        <v>162342.53</v>
      </c>
      <c r="D10972" s="22" t="s">
        <v>13303</v>
      </c>
      <c r="E10972" s="22" t="s">
        <v>218</v>
      </c>
      <c r="F10972" s="23" t="str">
        <f t="shared" si="527"/>
        <v>Оказание услуг по осуществлению строительного контроля за выполнением работ по установке систем постановочного освещения, видеопроекции, электроакустики, механооборудования в актовом зале здания литера А СПб ГБСУСО «ДИПИ №1» по адресу: СПб, ул. Покло...</v>
      </c>
      <c r="G10972" s="22" t="s">
        <v>89</v>
      </c>
      <c r="H10972" s="22" t="s">
        <v>89</v>
      </c>
      <c r="I10972" s="26">
        <v>43553.441666666702</v>
      </c>
      <c r="J10972" s="23" t="str">
        <f>HYPERLINK("https://www.spark-marketing.ru/Card/Person/5909515", "ООО ""МСК ""РУСТ""")</f>
        <v>ООО "МСК "РУСТ"</v>
      </c>
      <c r="K10972" s="24" t="s">
        <v>13306</v>
      </c>
      <c r="L10972" s="28" t="s">
        <v>52</v>
      </c>
      <c r="M10972" s="25">
        <v>154225.4</v>
      </c>
      <c r="N10972" s="27">
        <v>5.0000021559353548E-2</v>
      </c>
    </row>
    <row r="10973" spans="1:14" hidden="1" outlineLevel="1" x14ac:dyDescent="0.2">
      <c r="A10973" s="23" t="str">
        <f t="shared" si="526"/>
        <v>СПБ ГБСУСО "ДИПИ №1"</v>
      </c>
      <c r="B10973" s="24" t="s">
        <v>13302</v>
      </c>
      <c r="C10973" s="25">
        <v>162342.53</v>
      </c>
      <c r="D10973" s="22" t="s">
        <v>13303</v>
      </c>
      <c r="E10973" s="22" t="s">
        <v>218</v>
      </c>
      <c r="F10973" s="23" t="str">
        <f t="shared" si="527"/>
        <v>Оказание услуг по осуществлению строительного контроля за выполнением работ по установке систем постановочного освещения, видеопроекции, электроакустики, механооборудования в актовом зале здания литера А СПб ГБСУСО «ДИПИ №1» по адресу: СПб, ул. Покло...</v>
      </c>
      <c r="G10973" s="22" t="s">
        <v>89</v>
      </c>
      <c r="H10973" s="22" t="s">
        <v>89</v>
      </c>
      <c r="I10973" s="26">
        <v>43553.441666666702</v>
      </c>
      <c r="J10973" s="23" t="str">
        <f>HYPERLINK("https://www.spark-marketing.ru/Card/Person/456415", "ООО ""СТРОИТЕЛЬ-2014""")</f>
        <v>ООО "СТРОИТЕЛЬ-2014"</v>
      </c>
      <c r="K10973" s="24" t="s">
        <v>11952</v>
      </c>
      <c r="L10973" s="28" t="s">
        <v>52</v>
      </c>
      <c r="M10973" s="25">
        <v>82794.679999999993</v>
      </c>
      <c r="N10973" s="27">
        <v>0.49000006344609759</v>
      </c>
    </row>
    <row r="10974" spans="1:14" x14ac:dyDescent="0.15">
      <c r="A10974" s="23" t="str">
        <f>HYPERLINK("https://www.spark-marketing.ru/Card/Person/4345826", "ПАО СБЕРБАНК")</f>
        <v>ПАО СБЕРБАНК</v>
      </c>
      <c r="B10974" s="24" t="s">
        <v>5406</v>
      </c>
      <c r="C10974" s="25">
        <v>4920071.76</v>
      </c>
      <c r="D10974" s="22" t="s">
        <v>13307</v>
      </c>
      <c r="E10974" s="22" t="s">
        <v>144</v>
      </c>
      <c r="F10974" s="23" t="str">
        <f>HYPERLINK("https://www.spark-marketing.ru/Card/Lot/69132299", "Оказание охранных услуг с использованием технических средств охраны объектов Дальневосточного банка ПАО Сбербанк, расположенных на территории пос. Эгвекинот, пос. Беринговский, пос. Провидение Чукотского Автономного округа")</f>
        <v>Оказание охранных услуг с использованием технических средств охраны объектов Дальневосточного банка ПАО Сбербанк, расположенных на территории пос. Эгвекинот, пос. Беринговский, пос. Провидение Чукотского Автономного округа</v>
      </c>
      <c r="G10974" s="22" t="s">
        <v>1544</v>
      </c>
      <c r="H10974" s="22" t="s">
        <v>1544</v>
      </c>
      <c r="I10974" s="26">
        <v>43553.425509259301</v>
      </c>
      <c r="J10974" s="28" t="s">
        <v>52</v>
      </c>
      <c r="K10974" s="28" t="s">
        <v>52</v>
      </c>
      <c r="L10974" s="28" t="s">
        <v>52</v>
      </c>
      <c r="M10974" s="28" t="s">
        <v>52</v>
      </c>
      <c r="N10974" s="28" t="s">
        <v>52</v>
      </c>
    </row>
    <row r="10975" spans="1:14" x14ac:dyDescent="0.2">
      <c r="A10975" s="23" t="str">
        <f>HYPERLINK("https://www.spark-marketing.ru/Card/Person/4365810", "АО ""ТВ ЦЕНТР""")</f>
        <v>АО "ТВ ЦЕНТР"</v>
      </c>
      <c r="B10975" s="24" t="s">
        <v>13308</v>
      </c>
      <c r="C10975" s="25">
        <v>180000</v>
      </c>
      <c r="D10975" s="22" t="s">
        <v>13309</v>
      </c>
      <c r="E10975" s="22" t="s">
        <v>691</v>
      </c>
      <c r="F10975" s="23" t="str">
        <f>HYPERLINK("https://www.spark-marketing.ru/Card/Lot/69132983", "Выполнение работ по замене блоков СКЗИ (средств криптографической защиты информации), вмонтированных внутри цифровых тахографов марки АТОЛ Drive 5, установленных на транспортных средствах Заказчика")</f>
        <v>Выполнение работ по замене блоков СКЗИ (средств криптографической защиты информации), вмонтированных внутри цифровых тахографов марки АТОЛ Drive 5, установленных на транспортных средствах Заказчика</v>
      </c>
      <c r="G10975" s="22" t="s">
        <v>55</v>
      </c>
      <c r="H10975" s="22" t="s">
        <v>55</v>
      </c>
      <c r="I10975" s="26">
        <v>43553.449097222197</v>
      </c>
      <c r="J10975" s="23" t="str">
        <f>HYPERLINK("https://www.spark-marketing.ru/Card/Person/1155964", "ООО ""КГК""")</f>
        <v>ООО "КГК"</v>
      </c>
      <c r="K10975" s="24" t="s">
        <v>13310</v>
      </c>
      <c r="L10975" s="28" t="s">
        <v>52</v>
      </c>
      <c r="M10975" s="25">
        <v>180000</v>
      </c>
      <c r="N10975" s="27">
        <v>0</v>
      </c>
    </row>
    <row r="10976" spans="1:14" x14ac:dyDescent="0.15">
      <c r="A10976" s="23" t="str">
        <f>HYPERLINK("https://www.spark-marketing.ru/Card/Person/90853", "ГБУСО МО ""КЦСОР ""ПОДОЛЬСКИЙ""")</f>
        <v>ГБУСО МО "КЦСОР "ПОДОЛЬСКИЙ"</v>
      </c>
      <c r="B10976" s="24" t="s">
        <v>13311</v>
      </c>
      <c r="C10976" s="25">
        <v>5004</v>
      </c>
      <c r="D10976" s="22" t="s">
        <v>13312</v>
      </c>
      <c r="E10976" s="22" t="s">
        <v>103</v>
      </c>
      <c r="F10976" s="23" t="str">
        <f>HYPERLINK("https://www.spark-marketing.ru/Card/Lot/69131115", "Оказание услуги по техническому обслуживанию видеодомофона")</f>
        <v>Оказание услуги по техническому обслуживанию видеодомофона</v>
      </c>
      <c r="G10976" s="22" t="s">
        <v>55</v>
      </c>
      <c r="H10976" s="22" t="s">
        <v>55</v>
      </c>
      <c r="I10976" s="26">
        <v>43553.4308564815</v>
      </c>
      <c r="J10976" s="28" t="s">
        <v>52</v>
      </c>
      <c r="K10976" s="28" t="s">
        <v>52</v>
      </c>
      <c r="L10976" s="28" t="s">
        <v>52</v>
      </c>
      <c r="M10976" s="28" t="s">
        <v>52</v>
      </c>
      <c r="N10976" s="28" t="s">
        <v>52</v>
      </c>
    </row>
    <row r="10977" spans="1:14" x14ac:dyDescent="0.15">
      <c r="A10977" s="23" t="str">
        <f>HYPERLINK("https://www.spark-marketing.ru/Card/Person/131217", "МБУ ДЮСШ Г. ДОЛГОПРУДНОГО")</f>
        <v>МБУ ДЮСШ Г. ДОЛГОПРУДНОГО</v>
      </c>
      <c r="B10977" s="24" t="s">
        <v>12945</v>
      </c>
      <c r="C10977" s="25">
        <v>54000</v>
      </c>
      <c r="D10977" s="22" t="s">
        <v>13313</v>
      </c>
      <c r="E10977" s="22" t="s">
        <v>103</v>
      </c>
      <c r="F10977" s="23" t="str">
        <f>HYPERLINK("https://www.spark-marketing.ru/Card/Lot/69131173", "Оказание услуг по техническому обслуживанию системы видеонаблюдения")</f>
        <v>Оказание услуг по техническому обслуживанию системы видеонаблюдения</v>
      </c>
      <c r="G10977" s="22" t="s">
        <v>50</v>
      </c>
      <c r="H10977" s="22" t="s">
        <v>3866</v>
      </c>
      <c r="I10977" s="26">
        <v>43553.440578703703</v>
      </c>
      <c r="J10977" s="28" t="s">
        <v>52</v>
      </c>
      <c r="K10977" s="28" t="s">
        <v>52</v>
      </c>
      <c r="L10977" s="28" t="s">
        <v>52</v>
      </c>
      <c r="M10977" s="28" t="s">
        <v>52</v>
      </c>
      <c r="N10977" s="28" t="s">
        <v>52</v>
      </c>
    </row>
    <row r="10978" spans="1:14" x14ac:dyDescent="0.15">
      <c r="A10978" s="23" t="str">
        <f>HYPERLINK("https://www.spark-marketing.ru/Card/Person/4365627", "ООО ""РН-БУРЕНИЕ""")</f>
        <v>ООО "РН-БУРЕНИЕ"</v>
      </c>
      <c r="B10978" s="24" t="s">
        <v>4221</v>
      </c>
      <c r="C10978" s="25">
        <v>38997600</v>
      </c>
      <c r="D10978" s="22" t="s">
        <v>13314</v>
      </c>
      <c r="E10978" s="22" t="s">
        <v>4223</v>
      </c>
      <c r="F10978" s="23" t="str">
        <f>HYPERLINK("https://www.spark-marketing.ru/Card/Lot/69131651", "Услуги по интеграции и техническому сопровождению производственных объектов с корпоративной информационно-справочной сетью для Уфимского филиала ООО ""РН-Бурение""")</f>
        <v>Услуги по интеграции и техническому сопровождению производственных объектов с корпоративной информационно-справочной сетью для Уфимского филиала ООО "РН-Бурение"</v>
      </c>
      <c r="G10978" s="22" t="s">
        <v>55</v>
      </c>
      <c r="H10978" s="22" t="s">
        <v>55</v>
      </c>
      <c r="I10978" s="26">
        <v>43553.422916666699</v>
      </c>
      <c r="J10978" s="28" t="s">
        <v>52</v>
      </c>
      <c r="K10978" s="28" t="s">
        <v>52</v>
      </c>
      <c r="L10978" s="28" t="s">
        <v>52</v>
      </c>
      <c r="M10978" s="28" t="s">
        <v>52</v>
      </c>
      <c r="N10978" s="28" t="s">
        <v>52</v>
      </c>
    </row>
    <row r="10979" spans="1:14" x14ac:dyDescent="0.15">
      <c r="A10979" s="23" t="str">
        <f>HYPERLINK("https://www.spark-marketing.ru/Card/Person/33740", "ГКУ АЗ (КС) ДЗМ")</f>
        <v>ГКУ АЗ (КС) ДЗМ</v>
      </c>
      <c r="B10979" s="24" t="s">
        <v>3067</v>
      </c>
      <c r="C10979" s="25">
        <v>78038554.340000004</v>
      </c>
      <c r="D10979" s="22" t="s">
        <v>13315</v>
      </c>
      <c r="E10979" s="22" t="s">
        <v>3069</v>
      </c>
      <c r="F10979" s="23" t="str">
        <f>HYPERLINK("https://www.spark-marketing.ru/Card/Lot/69149656", "Аукцион в электронной форме на поставку, установку и ввод в эксплуатацию оборудования для эндохирургических операций в рамках реализации Государственной программы города Москвы «Развитие здравоохранения города Москвы (Столичное здравоохранение)» (ПСЗ...")</f>
        <v>Аукцион в электронной форме на поставку, установку и ввод в эксплуатацию оборудования для эндохирургических операций в рамках реализации Государственной программы города Москвы «Развитие здравоохранения города Москвы (Столичное здравоохранение)» (ПСЗ...</v>
      </c>
      <c r="G10979" s="22" t="s">
        <v>55</v>
      </c>
      <c r="H10979" s="22" t="s">
        <v>55</v>
      </c>
      <c r="I10979" s="26">
        <v>43553.434722222199</v>
      </c>
      <c r="J10979" s="28" t="s">
        <v>52</v>
      </c>
      <c r="K10979" s="28" t="s">
        <v>52</v>
      </c>
      <c r="L10979" s="28" t="s">
        <v>52</v>
      </c>
      <c r="M10979" s="28" t="s">
        <v>52</v>
      </c>
      <c r="N10979" s="28" t="s">
        <v>52</v>
      </c>
    </row>
    <row r="10980" spans="1:14" ht="12.75" hidden="1" outlineLevel="1" x14ac:dyDescent="0.2">
      <c r="A10980" s="23" t="str">
        <f>HYPERLINK("https://www.spark-marketing.ru/Card/Person/33740", "ГКУ АЗ (КС) ДЗМ")</f>
        <v>ГКУ АЗ (КС) ДЗМ</v>
      </c>
      <c r="B10980" s="24" t="s">
        <v>3067</v>
      </c>
      <c r="C10980" s="25">
        <v>78038554.340000004</v>
      </c>
      <c r="D10980" s="22" t="s">
        <v>13315</v>
      </c>
      <c r="E10980" s="22" t="s">
        <v>3069</v>
      </c>
      <c r="F10980" s="23" t="str">
        <f>HYPERLINK("https://www.spark-marketing.ru/Card/Lot/69149656", "Аукцион в электронной форме на поставку, установку и ввод в эксплуатацию оборудования для эндохирургических операций в рамках реализации Государственной программы города Москвы «Развитие здравоохранения города Москвы (Столичное здравоохранение)» (ПСЗ...")</f>
        <v>Аукцион в электронной форме на поставку, установку и ввод в эксплуатацию оборудования для эндохирургических операций в рамках реализации Государственной программы города Москвы «Развитие здравоохранения города Москвы (Столичное здравоохранение)» (ПСЗ...</v>
      </c>
      <c r="G10980" s="22" t="s">
        <v>55</v>
      </c>
      <c r="H10980" s="22" t="s">
        <v>55</v>
      </c>
      <c r="I10980" s="26">
        <v>43553.434722222199</v>
      </c>
      <c r="J10980" s="23" t="str">
        <f>HYPERLINK("https://www.spark-marketing.ru/Card/Person/4346261", "АО ""ВИКИНГ""")</f>
        <v>АО "ВИКИНГ"</v>
      </c>
      <c r="K10980" s="24" t="s">
        <v>4918</v>
      </c>
      <c r="L10980" s="22" t="s">
        <v>10</v>
      </c>
      <c r="M10980" s="25">
        <v>76477780</v>
      </c>
      <c r="N10980" s="27">
        <v>2.0000041687086946E-2</v>
      </c>
    </row>
    <row r="10981" spans="1:14" hidden="1" outlineLevel="1" x14ac:dyDescent="0.2">
      <c r="A10981" s="23" t="str">
        <f>HYPERLINK("https://www.spark-marketing.ru/Card/Person/33740", "ГКУ АЗ (КС) ДЗМ")</f>
        <v>ГКУ АЗ (КС) ДЗМ</v>
      </c>
      <c r="B10981" s="24" t="s">
        <v>3067</v>
      </c>
      <c r="C10981" s="25">
        <v>78038554.340000004</v>
      </c>
      <c r="D10981" s="22" t="s">
        <v>13315</v>
      </c>
      <c r="E10981" s="22" t="s">
        <v>3069</v>
      </c>
      <c r="F10981" s="23" t="str">
        <f>HYPERLINK("https://www.spark-marketing.ru/Card/Lot/69149656", "Аукцион в электронной форме на поставку, установку и ввод в эксплуатацию оборудования для эндохирургических операций в рамках реализации Государственной программы города Москвы «Развитие здравоохранения города Москвы (Столичное здравоохранение)» (ПСЗ...")</f>
        <v>Аукцион в электронной форме на поставку, установку и ввод в эксплуатацию оборудования для эндохирургических операций в рамках реализации Государственной программы города Москвы «Развитие здравоохранения города Москвы (Столичное здравоохранение)» (ПСЗ...</v>
      </c>
      <c r="G10981" s="22" t="s">
        <v>55</v>
      </c>
      <c r="H10981" s="22" t="s">
        <v>55</v>
      </c>
      <c r="I10981" s="26">
        <v>43553.434722222199</v>
      </c>
      <c r="J10981" s="23" t="str">
        <f>HYPERLINK("https://www.spark-marketing.ru/Card/Person/49542", "ООО ""БРИЗ-ИНСТРУМЕНТ""")</f>
        <v>ООО "БРИЗ-ИНСТРУМЕНТ"</v>
      </c>
      <c r="K10981" s="24" t="s">
        <v>13316</v>
      </c>
      <c r="L10981" s="28" t="s">
        <v>52</v>
      </c>
      <c r="M10981" s="25">
        <v>77258168.799999997</v>
      </c>
      <c r="N10981" s="27">
        <v>9.9999999564317921E-3</v>
      </c>
    </row>
    <row r="10982" spans="1:14" x14ac:dyDescent="0.15">
      <c r="A10982" s="23" t="str">
        <f>HYPERLINK("https://www.spark-marketing.ru/Card/Person/13877", "СУ СК РОССИИ ПО КУРГАНСКОЙ ОБЛАСТИ")</f>
        <v>СУ СК РОССИИ ПО КУРГАНСКОЙ ОБЛАСТИ</v>
      </c>
      <c r="B10982" s="24" t="s">
        <v>9651</v>
      </c>
      <c r="C10982" s="25">
        <v>7650</v>
      </c>
      <c r="D10982" s="22" t="s">
        <v>13317</v>
      </c>
      <c r="E10982" s="22" t="s">
        <v>107</v>
      </c>
      <c r="F10982" s="23" t="str">
        <f>HYPERLINK("https://www.spark-marketing.ru/Card/Lot/70788364", "Техническое обслуживание видеонаблюдения, 30 шт")</f>
        <v>Техническое обслуживание видеонаблюдения, 30 шт</v>
      </c>
      <c r="G10982" s="22" t="s">
        <v>626</v>
      </c>
      <c r="H10982" s="22" t="s">
        <v>1508</v>
      </c>
      <c r="I10982" s="26">
        <v>43553.430416666699</v>
      </c>
      <c r="J10982" s="28" t="s">
        <v>52</v>
      </c>
      <c r="K10982" s="28" t="s">
        <v>52</v>
      </c>
      <c r="L10982" s="28" t="s">
        <v>52</v>
      </c>
      <c r="M10982" s="28" t="s">
        <v>52</v>
      </c>
      <c r="N10982" s="28" t="s">
        <v>52</v>
      </c>
    </row>
    <row r="10983" spans="1:14" x14ac:dyDescent="0.15">
      <c r="A10983" s="23" t="str">
        <f>HYPERLINK("https://www.spark-marketing.ru/Card/Person/953196", "МАДОУ МО Г. КРАСНОДАР ""ДЕТСКИЙ САД № 221""")</f>
        <v>МАДОУ МО Г. КРАСНОДАР "ДЕТСКИЙ САД № 221"</v>
      </c>
      <c r="B10983" s="24" t="s">
        <v>13318</v>
      </c>
      <c r="C10983" s="25">
        <v>200000</v>
      </c>
      <c r="D10983" s="22" t="s">
        <v>13319</v>
      </c>
      <c r="E10983" s="22" t="s">
        <v>562</v>
      </c>
      <c r="F10983" s="23" t="str">
        <f>HYPERLINK("https://www.spark-marketing.ru/Card/Lot/69132333", "Установка видеонаблюдения")</f>
        <v>Установка видеонаблюдения</v>
      </c>
      <c r="G10983" s="22" t="s">
        <v>132</v>
      </c>
      <c r="H10983" s="22" t="s">
        <v>132</v>
      </c>
      <c r="I10983" s="26">
        <v>43553.426446759302</v>
      </c>
      <c r="J10983" s="28" t="s">
        <v>52</v>
      </c>
      <c r="K10983" s="28" t="s">
        <v>52</v>
      </c>
      <c r="L10983" s="28" t="s">
        <v>52</v>
      </c>
      <c r="M10983" s="28" t="s">
        <v>52</v>
      </c>
      <c r="N10983" s="28" t="s">
        <v>52</v>
      </c>
    </row>
    <row r="10984" spans="1:14" x14ac:dyDescent="0.15">
      <c r="A10984" s="23" t="str">
        <f>HYPERLINK("https://www.spark-marketing.ru/Card/Person/10487", "ФГУП ""ОХРАНА"" РОСГВАРДИИ")</f>
        <v>ФГУП "ОХРАНА" РОСГВАРДИИ</v>
      </c>
      <c r="B10984" s="24" t="s">
        <v>779</v>
      </c>
      <c r="C10984" s="25">
        <v>465442.65</v>
      </c>
      <c r="D10984" s="22" t="s">
        <v>13320</v>
      </c>
      <c r="E10984" s="22" t="s">
        <v>5531</v>
      </c>
      <c r="F10984" s="23" t="str">
        <f>HYPERLINK("https://www.spark-marketing.ru/Card/Lot/69133590", "Поставка полиграфической продукции для нужд Управления по Северо-Западному Федеральному округу Центра охраны объектов промышленности")</f>
        <v>Поставка полиграфической продукции для нужд Управления по Северо-Западному Федеральному округу Центра охраны объектов промышленности</v>
      </c>
      <c r="G10984" s="22" t="s">
        <v>89</v>
      </c>
      <c r="H10984" s="22" t="s">
        <v>89</v>
      </c>
      <c r="I10984" s="26">
        <v>43553.4459837963</v>
      </c>
      <c r="J10984" s="28" t="s">
        <v>52</v>
      </c>
      <c r="K10984" s="28" t="s">
        <v>52</v>
      </c>
      <c r="L10984" s="28" t="s">
        <v>52</v>
      </c>
      <c r="M10984" s="28" t="s">
        <v>52</v>
      </c>
      <c r="N10984" s="28" t="s">
        <v>52</v>
      </c>
    </row>
    <row r="10985" spans="1:14" hidden="1" outlineLevel="1" x14ac:dyDescent="0.2">
      <c r="A10985" s="23" t="str">
        <f>HYPERLINK("https://www.spark-marketing.ru/Card/Person/10487", "ФГУП ""ОХРАНА"" РОСГВАРДИИ")</f>
        <v>ФГУП "ОХРАНА" РОСГВАРДИИ</v>
      </c>
      <c r="B10985" s="24" t="s">
        <v>779</v>
      </c>
      <c r="C10985" s="28" t="s">
        <v>52</v>
      </c>
      <c r="D10985" s="22" t="s">
        <v>13320</v>
      </c>
      <c r="E10985" s="22" t="s">
        <v>5531</v>
      </c>
      <c r="F10985" s="23" t="str">
        <f>HYPERLINK("https://www.spark-marketing.ru/Card/Lot/69133590", "Поставка полиграфической продукции для нужд Управления по Северо-Западному Федеральному округу Центра охраны объектов промышленности")</f>
        <v>Поставка полиграфической продукции для нужд Управления по Северо-Западному Федеральному округу Центра охраны объектов промышленности</v>
      </c>
      <c r="G10985" s="22" t="s">
        <v>89</v>
      </c>
      <c r="H10985" s="22" t="s">
        <v>89</v>
      </c>
      <c r="I10985" s="26">
        <v>43553.4459837963</v>
      </c>
      <c r="J10985" s="23" t="str">
        <f>HYPERLINK("https://www.spark-marketing.ru/Card/Person/44810", "Шевченко Валерий Иванович")</f>
        <v>Шевченко Валерий Иванович</v>
      </c>
      <c r="K10985" s="24" t="s">
        <v>13321</v>
      </c>
      <c r="L10985" s="22" t="s">
        <v>10</v>
      </c>
      <c r="M10985" s="25">
        <v>219025</v>
      </c>
      <c r="N10985" s="27">
        <v>0.52942645028340229</v>
      </c>
    </row>
    <row r="10986" spans="1:14" hidden="1" outlineLevel="1" x14ac:dyDescent="0.2">
      <c r="A10986" s="23" t="str">
        <f>HYPERLINK("https://www.spark-marketing.ru/Card/Person/10487", "ФГУП ""ОХРАНА"" РОСГВАРДИИ")</f>
        <v>ФГУП "ОХРАНА" РОСГВАРДИИ</v>
      </c>
      <c r="B10986" s="24" t="s">
        <v>779</v>
      </c>
      <c r="C10986" s="28" t="s">
        <v>52</v>
      </c>
      <c r="D10986" s="22" t="s">
        <v>13320</v>
      </c>
      <c r="E10986" s="22" t="s">
        <v>5531</v>
      </c>
      <c r="F10986" s="23" t="str">
        <f>HYPERLINK("https://www.spark-marketing.ru/Card/Lot/69133590", "Поставка полиграфической продукции для нужд Управления по Северо-Западному Федеральному округу Центра охраны объектов промышленности")</f>
        <v>Поставка полиграфической продукции для нужд Управления по Северо-Западному Федеральному округу Центра охраны объектов промышленности</v>
      </c>
      <c r="G10986" s="22" t="s">
        <v>89</v>
      </c>
      <c r="H10986" s="22" t="s">
        <v>89</v>
      </c>
      <c r="I10986" s="26">
        <v>43553.4459837963</v>
      </c>
      <c r="J10986" s="23" t="str">
        <f>HYPERLINK("https://www.spark-marketing.ru/Card/Person/186632", "ООО ""ИЗДАТ-ЧЕРНОЗЕМЬЕ""")</f>
        <v>ООО "ИЗДАТ-ЧЕРНОЗЕМЬЕ"</v>
      </c>
      <c r="K10986" s="24" t="s">
        <v>13322</v>
      </c>
      <c r="L10986" s="28" t="s">
        <v>52</v>
      </c>
      <c r="M10986" s="25">
        <v>242130</v>
      </c>
      <c r="N10986" s="27">
        <v>0.47978553319082384</v>
      </c>
    </row>
    <row r="10987" spans="1:14" hidden="1" outlineLevel="1" x14ac:dyDescent="0.2">
      <c r="A10987" s="23" t="str">
        <f>HYPERLINK("https://www.spark-marketing.ru/Card/Person/10487", "ФГУП ""ОХРАНА"" РОСГВАРДИИ")</f>
        <v>ФГУП "ОХРАНА" РОСГВАРДИИ</v>
      </c>
      <c r="B10987" s="24" t="s">
        <v>779</v>
      </c>
      <c r="C10987" s="28" t="s">
        <v>52</v>
      </c>
      <c r="D10987" s="22" t="s">
        <v>13320</v>
      </c>
      <c r="E10987" s="22" t="s">
        <v>5531</v>
      </c>
      <c r="F10987" s="23" t="str">
        <f>HYPERLINK("https://www.spark-marketing.ru/Card/Lot/69133590", "Поставка полиграфической продукции для нужд Управления по Северо-Западному Федеральному округу Центра охраны объектов промышленности")</f>
        <v>Поставка полиграфической продукции для нужд Управления по Северо-Западному Федеральному округу Центра охраны объектов промышленности</v>
      </c>
      <c r="G10987" s="22" t="s">
        <v>89</v>
      </c>
      <c r="H10987" s="22" t="s">
        <v>89</v>
      </c>
      <c r="I10987" s="26">
        <v>43553.4459837963</v>
      </c>
      <c r="J10987" s="23" t="str">
        <f>HYPERLINK("https://www.spark-marketing.ru/Card/Person/70363", "ООО ""ВИННЕР - ПРИНТ""")</f>
        <v>ООО "ВИННЕР - ПРИНТ"</v>
      </c>
      <c r="K10987" s="24" t="s">
        <v>13323</v>
      </c>
      <c r="L10987" s="28" t="s">
        <v>52</v>
      </c>
      <c r="M10987" s="25">
        <v>255004.25</v>
      </c>
      <c r="N10987" s="27">
        <v>0.45212530480393232</v>
      </c>
    </row>
    <row r="10988" spans="1:14" hidden="1" outlineLevel="1" x14ac:dyDescent="0.2">
      <c r="A10988" s="23" t="str">
        <f>HYPERLINK("https://www.spark-marketing.ru/Card/Person/10487", "ФГУП ""ОХРАНА"" РОСГВАРДИИ")</f>
        <v>ФГУП "ОХРАНА" РОСГВАРДИИ</v>
      </c>
      <c r="B10988" s="24" t="s">
        <v>779</v>
      </c>
      <c r="C10988" s="28" t="s">
        <v>52</v>
      </c>
      <c r="D10988" s="22" t="s">
        <v>13320</v>
      </c>
      <c r="E10988" s="22" t="s">
        <v>5531</v>
      </c>
      <c r="F10988" s="23" t="str">
        <f>HYPERLINK("https://www.spark-marketing.ru/Card/Lot/69133590", "Поставка полиграфической продукции для нужд Управления по Северо-Западному Федеральному округу Центра охраны объектов промышленности")</f>
        <v>Поставка полиграфической продукции для нужд Управления по Северо-Западному Федеральному округу Центра охраны объектов промышленности</v>
      </c>
      <c r="G10988" s="22" t="s">
        <v>89</v>
      </c>
      <c r="H10988" s="22" t="s">
        <v>89</v>
      </c>
      <c r="I10988" s="26">
        <v>43553.4459837963</v>
      </c>
      <c r="J10988" s="23" t="str">
        <f>HYPERLINK("https://www.spark-marketing.ru/Card/Person/485517", "ООО ""ЛЕГИОН""")</f>
        <v>ООО "ЛЕГИОН"</v>
      </c>
      <c r="K10988" s="24" t="s">
        <v>13324</v>
      </c>
      <c r="L10988" s="28" t="s">
        <v>52</v>
      </c>
      <c r="M10988" s="25">
        <v>335000</v>
      </c>
      <c r="N10988" s="27">
        <v>0.28025504323679834</v>
      </c>
    </row>
    <row r="10989" spans="1:14" x14ac:dyDescent="0.15">
      <c r="A10989" s="23" t="str">
        <f>HYPERLINK("https://www.spark-marketing.ru/Card/Person/1056814", "ГБДОУ НАО ""ДЕТСКИЙ САД ""РОМАШКА""")</f>
        <v>ГБДОУ НАО "ДЕТСКИЙ САД "РОМАШКА"</v>
      </c>
      <c r="B10989" s="24" t="s">
        <v>13325</v>
      </c>
      <c r="C10989" s="25">
        <v>98000</v>
      </c>
      <c r="D10989" s="22" t="s">
        <v>13326</v>
      </c>
      <c r="E10989" s="22" t="s">
        <v>59</v>
      </c>
      <c r="F10989" s="23" t="str">
        <f>HYPERLINK("https://www.spark-marketing.ru/Card/Lot/69128808", "ВЫПОЛНЕНИЕ РАБОТ ПО УСТАНОВКЕ СИСТЕМЫ ОХРАННОЙ СИГНАЛИЗАЦИИ")</f>
        <v>ВЫПОЛНЕНИЕ РАБОТ ПО УСТАНОВКЕ СИСТЕМЫ ОХРАННОЙ СИГНАЛИЗАЦИИ</v>
      </c>
      <c r="G10989" s="22" t="s">
        <v>1014</v>
      </c>
      <c r="H10989" s="22" t="s">
        <v>1015</v>
      </c>
      <c r="I10989" s="26">
        <v>43553.422222222202</v>
      </c>
      <c r="J10989" s="28" t="s">
        <v>52</v>
      </c>
      <c r="K10989" s="28" t="s">
        <v>52</v>
      </c>
      <c r="L10989" s="28" t="s">
        <v>52</v>
      </c>
      <c r="M10989" s="28" t="s">
        <v>52</v>
      </c>
      <c r="N10989" s="28" t="s">
        <v>52</v>
      </c>
    </row>
    <row r="10990" spans="1:14" x14ac:dyDescent="0.15">
      <c r="A10990" s="23" t="str">
        <f>HYPERLINK("https://www.spark-marketing.ru/Card/Person/6493885", "ФЛ ФГБУ РОСЛЕСИНФОРГ ЗАПСИБЛЕСПРОЕКТ")</f>
        <v>ФЛ ФГБУ РОСЛЕСИНФОРГ ЗАПСИБЛЕСПРОЕКТ</v>
      </c>
      <c r="B10990" s="24" t="s">
        <v>13327</v>
      </c>
      <c r="C10990" s="25">
        <v>12606.65</v>
      </c>
      <c r="D10990" s="22" t="s">
        <v>13328</v>
      </c>
      <c r="E10990" s="22" t="s">
        <v>585</v>
      </c>
      <c r="F10990" s="23" t="str">
        <f>HYPERLINK("https://www.spark-marketing.ru/Card/Lot/69129599", "Оказание услуг по проверке технического состояния транспортных средств филиала ФГБУ ""Рослесинфорг"" ""Запсиблеспроект"" (в том числе его частей, предметов его дополнительного оборудования) на предмет его соответствия обязательным требованиям безопас...")</f>
        <v>Оказание услуг по проверке технического состояния транспортных средств филиала ФГБУ "Рослесинфорг" "Запсиблеспроект" (в том числе его частей, предметов его дополнительного оборудования) на предмет его соответствия обязательным требованиям безопас...</v>
      </c>
      <c r="G10990" s="22" t="s">
        <v>52</v>
      </c>
      <c r="H10990" s="22" t="s">
        <v>52</v>
      </c>
      <c r="I10990" s="26">
        <v>43553.413888888899</v>
      </c>
      <c r="J10990" s="28" t="s">
        <v>52</v>
      </c>
      <c r="K10990" s="28" t="s">
        <v>52</v>
      </c>
      <c r="L10990" s="28" t="s">
        <v>52</v>
      </c>
      <c r="M10990" s="28" t="s">
        <v>52</v>
      </c>
      <c r="N10990" s="28" t="s">
        <v>52</v>
      </c>
    </row>
    <row r="10991" spans="1:14" x14ac:dyDescent="0.15">
      <c r="A10991" s="23" t="str">
        <f>HYPERLINK("https://www.spark-marketing.ru/Card/Person/147476", "ТФОМС ЯРОСЛАВСКОЙ ОБЛАСТИ")</f>
        <v>ТФОМС ЯРОСЛАВСКОЙ ОБЛАСТИ</v>
      </c>
      <c r="B10991" s="24" t="s">
        <v>13329</v>
      </c>
      <c r="C10991" s="25">
        <v>42200</v>
      </c>
      <c r="D10991" s="22" t="s">
        <v>13330</v>
      </c>
      <c r="E10991" s="22" t="s">
        <v>4402</v>
      </c>
      <c r="F10991" s="23" t="str">
        <f>HYPERLINK("https://www.spark-marketing.ru/Card/Lot/69138672", "Оказание услуг по техническому обслуживанию систем видеонаблюдения и контроля управления доступом")</f>
        <v>Оказание услуг по техническому обслуживанию систем видеонаблюдения и контроля управления доступом</v>
      </c>
      <c r="G10991" s="22" t="s">
        <v>155</v>
      </c>
      <c r="H10991" s="22" t="s">
        <v>156</v>
      </c>
      <c r="I10991" s="26">
        <v>43553.40625</v>
      </c>
      <c r="J10991" s="28" t="s">
        <v>52</v>
      </c>
      <c r="K10991" s="28" t="s">
        <v>52</v>
      </c>
      <c r="L10991" s="28" t="s">
        <v>52</v>
      </c>
      <c r="M10991" s="28" t="s">
        <v>52</v>
      </c>
      <c r="N10991" s="28" t="s">
        <v>52</v>
      </c>
    </row>
    <row r="10992" spans="1:14" ht="12.75" hidden="1" outlineLevel="1" x14ac:dyDescent="0.2">
      <c r="A10992" s="23" t="str">
        <f>HYPERLINK("https://www.spark-marketing.ru/Card/Person/147476", "ТФОМС ЯРОСЛАВСКОЙ ОБЛАСТИ")</f>
        <v>ТФОМС ЯРОСЛАВСКОЙ ОБЛАСТИ</v>
      </c>
      <c r="B10992" s="24" t="s">
        <v>13329</v>
      </c>
      <c r="C10992" s="25">
        <v>42200</v>
      </c>
      <c r="D10992" s="22" t="s">
        <v>13330</v>
      </c>
      <c r="E10992" s="22" t="s">
        <v>4402</v>
      </c>
      <c r="F10992" s="23" t="str">
        <f>HYPERLINK("https://www.spark-marketing.ru/Card/Lot/69138672", "Оказание услуг по техническому обслуживанию систем видеонаблюдения и контроля управления доступом")</f>
        <v>Оказание услуг по техническому обслуживанию систем видеонаблюдения и контроля управления доступом</v>
      </c>
      <c r="G10992" s="22" t="s">
        <v>155</v>
      </c>
      <c r="H10992" s="22" t="s">
        <v>156</v>
      </c>
      <c r="I10992" s="26">
        <v>43553.40625</v>
      </c>
      <c r="J10992" s="23" t="str">
        <f>HYPERLINK("https://www.spark-marketing.ru/Card/Person/5882082", "ООО ""ЮНИКЛИМАТ""")</f>
        <v>ООО "ЮНИКЛИМАТ"</v>
      </c>
      <c r="K10992" s="24" t="s">
        <v>13331</v>
      </c>
      <c r="L10992" s="22" t="s">
        <v>10</v>
      </c>
      <c r="M10992" s="25">
        <v>37769</v>
      </c>
      <c r="N10992" s="27">
        <v>0.105</v>
      </c>
    </row>
    <row r="10993" spans="1:14" hidden="1" outlineLevel="1" x14ac:dyDescent="0.2">
      <c r="A10993" s="23" t="str">
        <f>HYPERLINK("https://www.spark-marketing.ru/Card/Person/147476", "ТФОМС ЯРОСЛАВСКОЙ ОБЛАСТИ")</f>
        <v>ТФОМС ЯРОСЛАВСКОЙ ОБЛАСТИ</v>
      </c>
      <c r="B10993" s="24" t="s">
        <v>13329</v>
      </c>
      <c r="C10993" s="25">
        <v>42200</v>
      </c>
      <c r="D10993" s="22" t="s">
        <v>13330</v>
      </c>
      <c r="E10993" s="22" t="s">
        <v>4402</v>
      </c>
      <c r="F10993" s="23" t="str">
        <f>HYPERLINK("https://www.spark-marketing.ru/Card/Lot/69138672", "Оказание услуг по техническому обслуживанию систем видеонаблюдения и контроля управления доступом")</f>
        <v>Оказание услуг по техническому обслуживанию систем видеонаблюдения и контроля управления доступом</v>
      </c>
      <c r="G10993" s="22" t="s">
        <v>155</v>
      </c>
      <c r="H10993" s="22" t="s">
        <v>156</v>
      </c>
      <c r="I10993" s="26">
        <v>43553.40625</v>
      </c>
      <c r="J10993" s="23" t="str">
        <f>HYPERLINK("https://www.spark-marketing.ru/Card/Person/2584595", "ООО ""НТЦ ""КОМПЛЕКСНАЯ БЕЗОПАСНОСТЬ""")</f>
        <v>ООО "НТЦ "КОМПЛЕКСНАЯ БЕЗОПАСНОСТЬ"</v>
      </c>
      <c r="K10993" s="24" t="s">
        <v>7343</v>
      </c>
      <c r="L10993" s="28" t="s">
        <v>52</v>
      </c>
      <c r="M10993" s="25">
        <v>37980</v>
      </c>
      <c r="N10993" s="27">
        <v>0.1</v>
      </c>
    </row>
    <row r="10994" spans="1:14" x14ac:dyDescent="0.15">
      <c r="A10994" s="23" t="str">
        <f>HYPERLINK("https://www.spark-marketing.ru/Card/Person/61796", "ГБДОУ ДЕТСКИЙ САД № 8 КИРОВСКОГО РАЙОНА САНКТ-ПЕТЕРБУРГА")</f>
        <v>ГБДОУ ДЕТСКИЙ САД № 8 КИРОВСКОГО РАЙОНА САНКТ-ПЕТЕРБУРГА</v>
      </c>
      <c r="B10994" s="24" t="s">
        <v>13332</v>
      </c>
      <c r="C10994" s="25">
        <v>523584</v>
      </c>
      <c r="D10994" s="22" t="s">
        <v>13333</v>
      </c>
      <c r="E10994" s="22" t="s">
        <v>59</v>
      </c>
      <c r="F10994" s="23" t="str">
        <f>HYPERLINK("https://www.spark-marketing.ru/Card/Lot/69136910", "Выполнение работ по установке системы видеонаблюдения в здании ГБДОУ детский сад № 8 Кировского района Санкт-Петербурга")</f>
        <v>Выполнение работ по установке системы видеонаблюдения в здании ГБДОУ детский сад № 8 Кировского района Санкт-Петербурга</v>
      </c>
      <c r="G10994" s="22" t="s">
        <v>89</v>
      </c>
      <c r="H10994" s="22" t="s">
        <v>89</v>
      </c>
      <c r="I10994" s="26">
        <v>43553.395138888904</v>
      </c>
      <c r="J10994" s="23" t="str">
        <f>HYPERLINK("https://www.spark-marketing.ru/Card/Person/132600", "ООО ""АСПЕКТ""")</f>
        <v>ООО "АСПЕКТ"</v>
      </c>
      <c r="K10994" s="24" t="s">
        <v>10038</v>
      </c>
      <c r="L10994" s="28" t="s">
        <v>52</v>
      </c>
      <c r="M10994" s="28" t="s">
        <v>52</v>
      </c>
      <c r="N10994" s="28" t="s">
        <v>52</v>
      </c>
    </row>
    <row r="10995" spans="1:14" ht="12.75" hidden="1" outlineLevel="1" x14ac:dyDescent="0.2">
      <c r="A10995" s="23" t="str">
        <f>HYPERLINK("https://www.spark-marketing.ru/Card/Person/61796", "ГБДОУ ДЕТСКИЙ САД № 8 КИРОВСКОГО РАЙОНА САНКТ-ПЕТЕРБУРГА")</f>
        <v>ГБДОУ ДЕТСКИЙ САД № 8 КИРОВСКОГО РАЙОНА САНКТ-ПЕТЕРБУРГА</v>
      </c>
      <c r="B10995" s="24" t="s">
        <v>13332</v>
      </c>
      <c r="C10995" s="25">
        <v>523584</v>
      </c>
      <c r="D10995" s="22" t="s">
        <v>13333</v>
      </c>
      <c r="E10995" s="22" t="s">
        <v>59</v>
      </c>
      <c r="F10995" s="23" t="str">
        <f>HYPERLINK("https://www.spark-marketing.ru/Card/Lot/69136910", "Выполнение работ по установке системы видеонаблюдения в здании ГБДОУ детский сад № 8 Кировского района Санкт-Петербурга")</f>
        <v>Выполнение работ по установке системы видеонаблюдения в здании ГБДОУ детский сад № 8 Кировского района Санкт-Петербурга</v>
      </c>
      <c r="G10995" s="22" t="s">
        <v>89</v>
      </c>
      <c r="H10995" s="22" t="s">
        <v>89</v>
      </c>
      <c r="I10995" s="26">
        <v>43553.395138888904</v>
      </c>
      <c r="J10995" s="23" t="str">
        <f>HYPERLINK("https://www.spark-marketing.ru/Card/Person/132600", "ООО ""АСПЕКТ""")</f>
        <v>ООО "АСПЕКТ"</v>
      </c>
      <c r="K10995" s="24" t="s">
        <v>10038</v>
      </c>
      <c r="L10995" s="22" t="s">
        <v>10</v>
      </c>
      <c r="M10995" s="25">
        <v>520966.08</v>
      </c>
      <c r="N10995" s="27">
        <v>5.0000000000000001E-3</v>
      </c>
    </row>
    <row r="10996" spans="1:14" x14ac:dyDescent="0.15">
      <c r="A10996" s="23" t="str">
        <f>HYPERLINK("https://www.spark-marketing.ru/Card/Person/4361105", "АО ""БЭТ""")</f>
        <v>АО "БЭТ"</v>
      </c>
      <c r="B10996" s="24" t="s">
        <v>4253</v>
      </c>
      <c r="C10996" s="25">
        <v>183600</v>
      </c>
      <c r="D10996" s="22" t="s">
        <v>13334</v>
      </c>
      <c r="E10996" s="22" t="s">
        <v>52</v>
      </c>
      <c r="F10996" s="23" t="str">
        <f>HYPERLINK("https://www.spark-marketing.ru/Card/Lot/70143652", "Запрос предложений № 90/ЗПЭ-БЭТ/19 на право заключения договоров на выполнение работ для нужд заводов - филиалов АО «БЭТ»")</f>
        <v>Запрос предложений № 90/ЗПЭ-БЭТ/19 на право заключения договоров на выполнение работ для нужд заводов - филиалов АО «БЭТ»</v>
      </c>
      <c r="G10996" s="22" t="s">
        <v>55</v>
      </c>
      <c r="H10996" s="22" t="s">
        <v>55</v>
      </c>
      <c r="I10996" s="26">
        <v>43553.400428240697</v>
      </c>
      <c r="J10996" s="28" t="s">
        <v>52</v>
      </c>
      <c r="K10996" s="28" t="s">
        <v>52</v>
      </c>
      <c r="L10996" s="28" t="s">
        <v>52</v>
      </c>
      <c r="M10996" s="28" t="s">
        <v>52</v>
      </c>
      <c r="N10996" s="28" t="s">
        <v>52</v>
      </c>
    </row>
    <row r="10997" spans="1:14" x14ac:dyDescent="0.15">
      <c r="A10997" s="23" t="str">
        <f>HYPERLINK("https://www.spark-marketing.ru/Card/Person/1028704", "МБУ ДО ""ИШИ""")</f>
        <v>МБУ ДО "ИШИ"</v>
      </c>
      <c r="B10997" s="24" t="s">
        <v>13335</v>
      </c>
      <c r="C10997" s="25">
        <v>98263.8</v>
      </c>
      <c r="D10997" s="22" t="s">
        <v>13336</v>
      </c>
      <c r="E10997" s="22" t="s">
        <v>68</v>
      </c>
      <c r="F10997" s="23" t="str">
        <f>HYPERLINK("https://www.spark-marketing.ru/Card/Lot/69128255", "Услуги, связанные с обеспечением общественного порядка и безопасности, прочие")</f>
        <v>Услуги, связанные с обеспечением общественного порядка и безопасности, прочие</v>
      </c>
      <c r="G10997" s="22" t="s">
        <v>119</v>
      </c>
      <c r="H10997" s="22" t="s">
        <v>8198</v>
      </c>
      <c r="I10997" s="26">
        <v>43553.384722222203</v>
      </c>
      <c r="J10997" s="23" t="str">
        <f>HYPERLINK("https://www.spark-marketing.ru/Card/Person/43532", "ООО ЧОО ""ЦЕНТУРИОН М""")</f>
        <v>ООО ЧОО "ЦЕНТУРИОН М"</v>
      </c>
      <c r="K10997" s="24" t="s">
        <v>13122</v>
      </c>
      <c r="L10997" s="28" t="s">
        <v>52</v>
      </c>
      <c r="M10997" s="28" t="s">
        <v>52</v>
      </c>
      <c r="N10997" s="28" t="s">
        <v>52</v>
      </c>
    </row>
    <row r="10998" spans="1:14" x14ac:dyDescent="0.15">
      <c r="A10998" s="23" t="str">
        <f t="shared" ref="A10998:A11003" si="528">HYPERLINK("https://www.spark-marketing.ru/Card/Person/11571", "ФКУЗ ""САНАТОРИЙ ""ЭЛЬБРУС"" МВД РОССИИ""")</f>
        <v>ФКУЗ "САНАТОРИЙ "ЭЛЬБРУС" МВД РОССИИ"</v>
      </c>
      <c r="B10998" s="24" t="s">
        <v>13337</v>
      </c>
      <c r="C10998" s="25">
        <v>436473</v>
      </c>
      <c r="D10998" s="22" t="s">
        <v>13338</v>
      </c>
      <c r="E10998" s="22" t="s">
        <v>107</v>
      </c>
      <c r="F10998" s="23" t="str">
        <f t="shared" ref="F10998:F11003" si="529">HYPERLINK("https://www.spark-marketing.ru/Card/Lot/69137954", "Техническое обслуживание систем видеонаблюдения")</f>
        <v>Техническое обслуживание систем видеонаблюдения</v>
      </c>
      <c r="G10998" s="22" t="s">
        <v>258</v>
      </c>
      <c r="H10998" s="22" t="s">
        <v>259</v>
      </c>
      <c r="I10998" s="26">
        <v>43553.386805555601</v>
      </c>
      <c r="J10998" s="28" t="s">
        <v>52</v>
      </c>
      <c r="K10998" s="28" t="s">
        <v>52</v>
      </c>
      <c r="L10998" s="28" t="s">
        <v>52</v>
      </c>
      <c r="M10998" s="28" t="s">
        <v>52</v>
      </c>
      <c r="N10998" s="28" t="s">
        <v>52</v>
      </c>
    </row>
    <row r="10999" spans="1:14" hidden="1" outlineLevel="1" x14ac:dyDescent="0.2">
      <c r="A10999" s="23" t="str">
        <f t="shared" si="528"/>
        <v>ФКУЗ "САНАТОРИЙ "ЭЛЬБРУС" МВД РОССИИ"</v>
      </c>
      <c r="B10999" s="24" t="s">
        <v>13337</v>
      </c>
      <c r="C10999" s="25">
        <v>436473</v>
      </c>
      <c r="D10999" s="22" t="s">
        <v>13338</v>
      </c>
      <c r="E10999" s="22" t="s">
        <v>107</v>
      </c>
      <c r="F10999" s="23" t="str">
        <f t="shared" si="529"/>
        <v>Техническое обслуживание систем видеонаблюдения</v>
      </c>
      <c r="G10999" s="22" t="s">
        <v>258</v>
      </c>
      <c r="H10999" s="22" t="s">
        <v>259</v>
      </c>
      <c r="I10999" s="26">
        <v>43553.386805555601</v>
      </c>
      <c r="J10999" s="23" t="str">
        <f>HYPERLINK("https://www.spark-marketing.ru/Card/Person/1210957", "ООО ""СЕРЕБРЯНАЯ СТЕНА""")</f>
        <v>ООО "СЕРЕБРЯНАЯ СТЕНА"</v>
      </c>
      <c r="K10999" s="24" t="s">
        <v>13339</v>
      </c>
      <c r="L10999" s="28" t="s">
        <v>52</v>
      </c>
      <c r="M10999" s="25">
        <v>338266.55</v>
      </c>
      <c r="N10999" s="27">
        <v>0.22500005727731154</v>
      </c>
    </row>
    <row r="11000" spans="1:14" ht="12.75" hidden="1" outlineLevel="1" x14ac:dyDescent="0.2">
      <c r="A11000" s="23" t="str">
        <f t="shared" si="528"/>
        <v>ФКУЗ "САНАТОРИЙ "ЭЛЬБРУС" МВД РОССИИ"</v>
      </c>
      <c r="B11000" s="24" t="s">
        <v>13337</v>
      </c>
      <c r="C11000" s="25">
        <v>436473</v>
      </c>
      <c r="D11000" s="22" t="s">
        <v>13338</v>
      </c>
      <c r="E11000" s="22" t="s">
        <v>107</v>
      </c>
      <c r="F11000" s="23" t="str">
        <f t="shared" si="529"/>
        <v>Техническое обслуживание систем видеонаблюдения</v>
      </c>
      <c r="G11000" s="22" t="s">
        <v>258</v>
      </c>
      <c r="H11000" s="22" t="s">
        <v>259</v>
      </c>
      <c r="I11000" s="26">
        <v>43553.386805555601</v>
      </c>
      <c r="J11000" s="23" t="str">
        <f>HYPERLINK("https://www.spark-marketing.ru/Card/Person/4890981", "ООО ""МАШУК-ТЕЛЕКОМ""")</f>
        <v>ООО "МАШУК-ТЕЛЕКОМ"</v>
      </c>
      <c r="K11000" s="24" t="s">
        <v>6024</v>
      </c>
      <c r="L11000" s="22" t="s">
        <v>10</v>
      </c>
      <c r="M11000" s="25">
        <v>147817.63</v>
      </c>
      <c r="N11000" s="27">
        <v>0.66133614221269132</v>
      </c>
    </row>
    <row r="11001" spans="1:14" hidden="1" outlineLevel="1" x14ac:dyDescent="0.2">
      <c r="A11001" s="23" t="str">
        <f t="shared" si="528"/>
        <v>ФКУЗ "САНАТОРИЙ "ЭЛЬБРУС" МВД РОССИИ"</v>
      </c>
      <c r="B11001" s="24" t="s">
        <v>13337</v>
      </c>
      <c r="C11001" s="25">
        <v>436473</v>
      </c>
      <c r="D11001" s="22" t="s">
        <v>13338</v>
      </c>
      <c r="E11001" s="22" t="s">
        <v>107</v>
      </c>
      <c r="F11001" s="23" t="str">
        <f t="shared" si="529"/>
        <v>Техническое обслуживание систем видеонаблюдения</v>
      </c>
      <c r="G11001" s="22" t="s">
        <v>258</v>
      </c>
      <c r="H11001" s="22" t="s">
        <v>259</v>
      </c>
      <c r="I11001" s="26">
        <v>43553.386805555601</v>
      </c>
      <c r="J11001" s="23" t="str">
        <f>HYPERLINK("https://www.spark-marketing.ru/Card/Person/106268", "ООО ЧОП ""АЛЬФА-ГАРАНТ""")</f>
        <v>ООО ЧОП "АЛЬФА-ГАРАНТ"</v>
      </c>
      <c r="K11001" s="24" t="s">
        <v>1676</v>
      </c>
      <c r="L11001" s="28" t="s">
        <v>52</v>
      </c>
      <c r="M11001" s="25">
        <v>364454.94</v>
      </c>
      <c r="N11001" s="27">
        <v>0.16500003436638691</v>
      </c>
    </row>
    <row r="11002" spans="1:14" hidden="1" outlineLevel="1" x14ac:dyDescent="0.2">
      <c r="A11002" s="23" t="str">
        <f t="shared" si="528"/>
        <v>ФКУЗ "САНАТОРИЙ "ЭЛЬБРУС" МВД РОССИИ"</v>
      </c>
      <c r="B11002" s="24" t="s">
        <v>13337</v>
      </c>
      <c r="C11002" s="25">
        <v>436473</v>
      </c>
      <c r="D11002" s="22" t="s">
        <v>13338</v>
      </c>
      <c r="E11002" s="22" t="s">
        <v>107</v>
      </c>
      <c r="F11002" s="23" t="str">
        <f t="shared" si="529"/>
        <v>Техническое обслуживание систем видеонаблюдения</v>
      </c>
      <c r="G11002" s="22" t="s">
        <v>258</v>
      </c>
      <c r="H11002" s="22" t="s">
        <v>259</v>
      </c>
      <c r="I11002" s="26">
        <v>43553.386805555601</v>
      </c>
      <c r="J11002" s="23" t="str">
        <f>HYPERLINK("https://www.spark-marketing.ru/Card/Person/6264257", "ООО ""СИНИЦА""")</f>
        <v>ООО "СИНИЦА"</v>
      </c>
      <c r="K11002" s="24" t="s">
        <v>13340</v>
      </c>
      <c r="L11002" s="28" t="s">
        <v>52</v>
      </c>
      <c r="M11002" s="25">
        <v>180000</v>
      </c>
      <c r="N11002" s="27">
        <v>0.58760335690867471</v>
      </c>
    </row>
    <row r="11003" spans="1:14" hidden="1" outlineLevel="1" x14ac:dyDescent="0.2">
      <c r="A11003" s="23" t="str">
        <f t="shared" si="528"/>
        <v>ФКУЗ "САНАТОРИЙ "ЭЛЬБРУС" МВД РОССИИ"</v>
      </c>
      <c r="B11003" s="24" t="s">
        <v>13337</v>
      </c>
      <c r="C11003" s="25">
        <v>436473</v>
      </c>
      <c r="D11003" s="22" t="s">
        <v>13338</v>
      </c>
      <c r="E11003" s="22" t="s">
        <v>107</v>
      </c>
      <c r="F11003" s="23" t="str">
        <f t="shared" si="529"/>
        <v>Техническое обслуживание систем видеонаблюдения</v>
      </c>
      <c r="G11003" s="22" t="s">
        <v>258</v>
      </c>
      <c r="H11003" s="22" t="s">
        <v>259</v>
      </c>
      <c r="I11003" s="26">
        <v>43553.386805555601</v>
      </c>
      <c r="J11003" s="23" t="str">
        <f>HYPERLINK("https://www.spark-marketing.ru/Card/Person/165131", "Кочубей Олег Михайлович")</f>
        <v>Кочубей Олег Михайлович</v>
      </c>
      <c r="K11003" s="24" t="s">
        <v>1673</v>
      </c>
      <c r="L11003" s="28" t="s">
        <v>52</v>
      </c>
      <c r="M11003" s="25">
        <v>150000</v>
      </c>
      <c r="N11003" s="27">
        <v>0.65633613075722896</v>
      </c>
    </row>
    <row r="11004" spans="1:14" x14ac:dyDescent="0.15">
      <c r="A11004" s="23" t="str">
        <f>HYPERLINK("https://www.spark-marketing.ru/Card/Person/8758", "СПБ ГБСУСО ""ДИПИ №1""")</f>
        <v>СПБ ГБСУСО "ДИПИ №1"</v>
      </c>
      <c r="B11004" s="24" t="s">
        <v>13302</v>
      </c>
      <c r="C11004" s="25">
        <v>17088687.18</v>
      </c>
      <c r="D11004" s="22" t="s">
        <v>13341</v>
      </c>
      <c r="E11004" s="22" t="s">
        <v>842</v>
      </c>
      <c r="F11004" s="23" t="str">
        <f>HYPERLINK("https://www.spark-marketing.ru/Card/Lot/69138514", "Выполнение работ по установке систем постановочного освещения, видеопроекции, электроакустики, механооборудования в актовом зале здания литера А СПб ГБСУСО «ДИПИ №1» по адресу: СПб, ул. Поклонногорская, д.52")</f>
        <v>Выполнение работ по установке систем постановочного освещения, видеопроекции, электроакустики, механооборудования в актовом зале здания литера А СПб ГБСУСО «ДИПИ №1» по адресу: СПб, ул. Поклонногорская, д.52</v>
      </c>
      <c r="G11004" s="22" t="s">
        <v>89</v>
      </c>
      <c r="H11004" s="22" t="s">
        <v>89</v>
      </c>
      <c r="I11004" s="26">
        <v>43553.395833333299</v>
      </c>
      <c r="J11004" s="23" t="str">
        <f>HYPERLINK("https://www.spark-marketing.ru/Card/Person/4348727", "ООО ""ДОКА-САНКТ-ПЕТЕРБУРГ""")</f>
        <v>ООО "ДОКА-САНКТ-ПЕТЕРБУРГ"</v>
      </c>
      <c r="K11004" s="24" t="s">
        <v>13342</v>
      </c>
      <c r="L11004" s="28" t="s">
        <v>52</v>
      </c>
      <c r="M11004" s="28" t="s">
        <v>52</v>
      </c>
      <c r="N11004" s="28" t="s">
        <v>52</v>
      </c>
    </row>
    <row r="11005" spans="1:14" hidden="1" outlineLevel="1" x14ac:dyDescent="0.15">
      <c r="A11005" s="23" t="str">
        <f>HYPERLINK("https://www.spark-marketing.ru/Card/Person/8758", "СПБ ГБСУСО ""ДИПИ №1""")</f>
        <v>СПБ ГБСУСО "ДИПИ №1"</v>
      </c>
      <c r="B11005" s="24" t="s">
        <v>13302</v>
      </c>
      <c r="C11005" s="25">
        <v>17088687.18</v>
      </c>
      <c r="D11005" s="22" t="s">
        <v>13341</v>
      </c>
      <c r="E11005" s="22" t="s">
        <v>842</v>
      </c>
      <c r="F11005" s="23" t="str">
        <f>HYPERLINK("https://www.spark-marketing.ru/Card/Lot/69138514", "Выполнение работ по установке систем постановочного освещения, видеопроекции, электроакустики, механооборудования в актовом зале здания литера А СПб ГБСУСО «ДИПИ №1» по адресу: СПб, ул. Поклонногорская, д.52")</f>
        <v>Выполнение работ по установке систем постановочного освещения, видеопроекции, электроакустики, механооборудования в актовом зале здания литера А СПб ГБСУСО «ДИПИ №1» по адресу: СПб, ул. Поклонногорская, д.52</v>
      </c>
      <c r="G11005" s="22" t="s">
        <v>89</v>
      </c>
      <c r="H11005" s="22" t="s">
        <v>89</v>
      </c>
      <c r="I11005" s="26">
        <v>43553.395833333299</v>
      </c>
      <c r="J11005" s="23" t="str">
        <f>HYPERLINK("https://www.spark-marketing.ru/Card/Person/4348727", "ООО ""ДОКА-САНКТ-ПЕТЕРБУРГ""")</f>
        <v>ООО "ДОКА-САНКТ-ПЕТЕРБУРГ"</v>
      </c>
      <c r="K11005" s="24" t="s">
        <v>13342</v>
      </c>
      <c r="L11005" s="22" t="s">
        <v>10</v>
      </c>
      <c r="M11005" s="28" t="s">
        <v>52</v>
      </c>
      <c r="N11005" s="28" t="s">
        <v>52</v>
      </c>
    </row>
    <row r="11006" spans="1:14" x14ac:dyDescent="0.15">
      <c r="A11006" s="23" t="str">
        <f>HYPERLINK("https://www.spark-marketing.ru/Card/Person/926266", "ГОСУДАРСТВЕННЫЙ МУЗЕЙ-ЗАПОВЕДНИК ""ХЕРСОНЕС ТАВРИЧЕСКИЙ""")</f>
        <v>ГОСУДАРСТВЕННЫЙ МУЗЕЙ-ЗАПОВЕДНИК "ХЕРСОНЕС ТАВРИЧЕСКИЙ"</v>
      </c>
      <c r="B11006" s="24" t="s">
        <v>12075</v>
      </c>
      <c r="C11006" s="25">
        <v>2234033.6</v>
      </c>
      <c r="D11006" s="22" t="s">
        <v>13343</v>
      </c>
      <c r="E11006" s="22" t="s">
        <v>68</v>
      </c>
      <c r="F11006" s="23" t="str">
        <f>HYPERLINK("https://www.spark-marketing.ru/Card/Lot/69135873", "Услуги охраны объектов военизированными подразделениями")</f>
        <v>Услуги охраны объектов военизированными подразделениями</v>
      </c>
      <c r="G11006" s="22" t="s">
        <v>714</v>
      </c>
      <c r="H11006" s="22" t="s">
        <v>714</v>
      </c>
      <c r="I11006" s="26">
        <v>43553.403472222199</v>
      </c>
      <c r="J11006" s="28" t="s">
        <v>52</v>
      </c>
      <c r="K11006" s="28" t="s">
        <v>52</v>
      </c>
      <c r="L11006" s="28" t="s">
        <v>52</v>
      </c>
      <c r="M11006" s="28" t="s">
        <v>52</v>
      </c>
      <c r="N11006" s="28" t="s">
        <v>52</v>
      </c>
    </row>
    <row r="11007" spans="1:14" x14ac:dyDescent="0.15">
      <c r="A11007" s="23" t="str">
        <f>HYPERLINK("https://www.spark-marketing.ru/Card/Person/154570", "МБУ ""БЛАГОУСТРОЙСТВО ПАВЛОВСКИЙ ПОСАД""")</f>
        <v>МБУ "БЛАГОУСТРОЙСТВО ПАВЛОВСКИЙ ПОСАД"</v>
      </c>
      <c r="B11007" s="24" t="s">
        <v>13344</v>
      </c>
      <c r="C11007" s="25">
        <v>85320</v>
      </c>
      <c r="D11007" s="22" t="s">
        <v>13345</v>
      </c>
      <c r="E11007" s="22" t="s">
        <v>294</v>
      </c>
      <c r="F11007" s="23" t="str">
        <f>HYPERLINK("https://www.spark-marketing.ru/Card/Lot/69128989", "Оказание услуг по монтажу и абонентскому обслуживанию системы видеонаблюдения")</f>
        <v>Оказание услуг по монтажу и абонентскому обслуживанию системы видеонаблюдения</v>
      </c>
      <c r="G11007" s="22" t="s">
        <v>50</v>
      </c>
      <c r="H11007" s="22" t="s">
        <v>7257</v>
      </c>
      <c r="I11007" s="26">
        <v>43553.398946759298</v>
      </c>
      <c r="J11007" s="28" t="s">
        <v>52</v>
      </c>
      <c r="K11007" s="28" t="s">
        <v>52</v>
      </c>
      <c r="L11007" s="28" t="s">
        <v>52</v>
      </c>
      <c r="M11007" s="28" t="s">
        <v>52</v>
      </c>
      <c r="N11007" s="28" t="s">
        <v>52</v>
      </c>
    </row>
    <row r="11008" spans="1:14" x14ac:dyDescent="0.15">
      <c r="A11008" s="23" t="str">
        <f t="shared" ref="A11008:A11013" si="530">HYPERLINK("https://www.spark-marketing.ru/Card/Person/7616", "ГКУ ""УПРАВЛЕНИЕ СТРОИТЕЛЬСТВА И ДОРОЖНОГО ХОЗЯЙСТВА ПЕНЗЕНСКОЙ ОБЛАСТИ""")</f>
        <v>ГКУ "УПРАВЛЕНИЕ СТРОИТЕЛЬСТВА И ДОРОЖНОГО ХОЗЯЙСТВА ПЕНЗЕНСКОЙ ОБЛАСТИ"</v>
      </c>
      <c r="B11008" s="24" t="s">
        <v>13192</v>
      </c>
      <c r="C11008" s="25">
        <v>2752000</v>
      </c>
      <c r="D11008" s="22" t="s">
        <v>13346</v>
      </c>
      <c r="E11008" s="22" t="s">
        <v>79</v>
      </c>
      <c r="F11008" s="23" t="str">
        <f t="shared" ref="F11008:F11013" si="531">HYPERLINK("https://www.spark-marketing.ru/Card/Lot/69128137", "Установка автоматизированной информационной системы фото-видеофиксации нарушений правил дорожного движения на автомобильной дороге «г.Пенза - р.п. Шемышейка - с. Лопатино» км 14+500 Пензенского района Пензенской области")</f>
        <v>Установка автоматизированной информационной системы фото-видеофиксации нарушений правил дорожного движения на автомобильной дороге «г.Пенза - р.п. Шемышейка - с. Лопатино» км 14+500 Пензенского района Пензенской области</v>
      </c>
      <c r="G11008" s="22" t="s">
        <v>514</v>
      </c>
      <c r="H11008" s="22" t="s">
        <v>2167</v>
      </c>
      <c r="I11008" s="26">
        <v>43553.346527777801</v>
      </c>
      <c r="J11008" s="28" t="s">
        <v>52</v>
      </c>
      <c r="K11008" s="28" t="s">
        <v>52</v>
      </c>
      <c r="L11008" s="28" t="s">
        <v>52</v>
      </c>
      <c r="M11008" s="28" t="s">
        <v>52</v>
      </c>
      <c r="N11008" s="28" t="s">
        <v>52</v>
      </c>
    </row>
    <row r="11009" spans="1:14" hidden="1" outlineLevel="1" x14ac:dyDescent="0.2">
      <c r="A11009" s="23" t="str">
        <f t="shared" si="530"/>
        <v>ГКУ "УПРАВЛЕНИЕ СТРОИТЕЛЬСТВА И ДОРОЖНОГО ХОЗЯЙСТВА ПЕНЗЕНСКОЙ ОБЛАСТИ"</v>
      </c>
      <c r="B11009" s="24" t="s">
        <v>13192</v>
      </c>
      <c r="C11009" s="25">
        <v>2752000</v>
      </c>
      <c r="D11009" s="22" t="s">
        <v>13346</v>
      </c>
      <c r="E11009" s="22" t="s">
        <v>79</v>
      </c>
      <c r="F11009" s="23" t="str">
        <f t="shared" si="531"/>
        <v>Установка автоматизированной информационной системы фото-видеофиксации нарушений правил дорожного движения на автомобильной дороге «г.Пенза - р.п. Шемышейка - с. Лопатино» км 14+500 Пензенского района Пензенской области</v>
      </c>
      <c r="G11009" s="22" t="s">
        <v>514</v>
      </c>
      <c r="H11009" s="22" t="s">
        <v>2167</v>
      </c>
      <c r="I11009" s="26">
        <v>43553.346527777801</v>
      </c>
      <c r="J11009" s="23" t="str">
        <f>HYPERLINK("https://www.spark-marketing.ru/Card/Person/10991", "ПАО ""РОСТЕЛЕКОМ""")</f>
        <v>ПАО "РОСТЕЛЕКОМ"</v>
      </c>
      <c r="K11009" s="24" t="s">
        <v>607</v>
      </c>
      <c r="L11009" s="28" t="s">
        <v>52</v>
      </c>
      <c r="M11009" s="25">
        <v>2724480</v>
      </c>
      <c r="N11009" s="27">
        <v>0.01</v>
      </c>
    </row>
    <row r="11010" spans="1:14" ht="12.75" hidden="1" outlineLevel="1" x14ac:dyDescent="0.2">
      <c r="A11010" s="23" t="str">
        <f t="shared" si="530"/>
        <v>ГКУ "УПРАВЛЕНИЕ СТРОИТЕЛЬСТВА И ДОРОЖНОГО ХОЗЯЙСТВА ПЕНЗЕНСКОЙ ОБЛАСТИ"</v>
      </c>
      <c r="B11010" s="24" t="s">
        <v>13192</v>
      </c>
      <c r="C11010" s="25">
        <v>2752000</v>
      </c>
      <c r="D11010" s="22" t="s">
        <v>13346</v>
      </c>
      <c r="E11010" s="22" t="s">
        <v>79</v>
      </c>
      <c r="F11010" s="23" t="str">
        <f t="shared" si="531"/>
        <v>Установка автоматизированной информационной системы фото-видеофиксации нарушений правил дорожного движения на автомобильной дороге «г.Пенза - р.п. Шемышейка - с. Лопатино» км 14+500 Пензенского района Пензенской области</v>
      </c>
      <c r="G11010" s="22" t="s">
        <v>514</v>
      </c>
      <c r="H11010" s="22" t="s">
        <v>2167</v>
      </c>
      <c r="I11010" s="26">
        <v>43553.346527777801</v>
      </c>
      <c r="J11010" s="23" t="str">
        <f>HYPERLINK("https://www.spark-marketing.ru/Card/Person/236655", "ООО ""ТМЦ -НН""")</f>
        <v>ООО "ТМЦ -НН"</v>
      </c>
      <c r="K11010" s="24" t="s">
        <v>4899</v>
      </c>
      <c r="L11010" s="22" t="s">
        <v>10</v>
      </c>
      <c r="M11010" s="25">
        <v>2710720</v>
      </c>
      <c r="N11010" s="27">
        <v>1.4999999999999999E-2</v>
      </c>
    </row>
    <row r="11011" spans="1:14" hidden="1" outlineLevel="1" x14ac:dyDescent="0.2">
      <c r="A11011" s="23" t="str">
        <f t="shared" si="530"/>
        <v>ГКУ "УПРАВЛЕНИЕ СТРОИТЕЛЬСТВА И ДОРОЖНОГО ХОЗЯЙСТВА ПЕНЗЕНСКОЙ ОБЛАСТИ"</v>
      </c>
      <c r="B11011" s="24" t="s">
        <v>13192</v>
      </c>
      <c r="C11011" s="25">
        <v>2752000</v>
      </c>
      <c r="D11011" s="22" t="s">
        <v>13346</v>
      </c>
      <c r="E11011" s="22" t="s">
        <v>79</v>
      </c>
      <c r="F11011" s="23" t="str">
        <f t="shared" si="531"/>
        <v>Установка автоматизированной информационной системы фото-видеофиксации нарушений правил дорожного движения на автомобильной дороге «г.Пенза - р.п. Шемышейка - с. Лопатино» км 14+500 Пензенского района Пензенской области</v>
      </c>
      <c r="G11011" s="22" t="s">
        <v>514</v>
      </c>
      <c r="H11011" s="22" t="s">
        <v>2167</v>
      </c>
      <c r="I11011" s="26">
        <v>43553.346527777801</v>
      </c>
      <c r="J11011" s="23" t="str">
        <f>HYPERLINK("https://www.spark-marketing.ru/Card/Person/10991", "ПАО ""РОСТЕЛЕКОМ""")</f>
        <v>ПАО "РОСТЕЛЕКОМ"</v>
      </c>
      <c r="K11011" s="24" t="s">
        <v>607</v>
      </c>
      <c r="L11011" s="28" t="s">
        <v>52</v>
      </c>
      <c r="M11011" s="25">
        <v>2724480</v>
      </c>
      <c r="N11011" s="27">
        <v>0.01</v>
      </c>
    </row>
    <row r="11012" spans="1:14" ht="12.75" hidden="1" outlineLevel="1" x14ac:dyDescent="0.2">
      <c r="A11012" s="23" t="str">
        <f t="shared" si="530"/>
        <v>ГКУ "УПРАВЛЕНИЕ СТРОИТЕЛЬСТВА И ДОРОЖНОГО ХОЗЯЙСТВА ПЕНЗЕНСКОЙ ОБЛАСТИ"</v>
      </c>
      <c r="B11012" s="24" t="s">
        <v>13192</v>
      </c>
      <c r="C11012" s="25">
        <v>2752000</v>
      </c>
      <c r="D11012" s="22" t="s">
        <v>13346</v>
      </c>
      <c r="E11012" s="22" t="s">
        <v>79</v>
      </c>
      <c r="F11012" s="23" t="str">
        <f t="shared" si="531"/>
        <v>Установка автоматизированной информационной системы фото-видеофиксации нарушений правил дорожного движения на автомобильной дороге «г.Пенза - р.п. Шемышейка - с. Лопатино» км 14+500 Пензенского района Пензенской области</v>
      </c>
      <c r="G11012" s="22" t="s">
        <v>514</v>
      </c>
      <c r="H11012" s="22" t="s">
        <v>2167</v>
      </c>
      <c r="I11012" s="26">
        <v>43553.346527777801</v>
      </c>
      <c r="J11012" s="23" t="str">
        <f>HYPERLINK("https://www.spark-marketing.ru/Card/Person/236655", "ООО ""ТМЦ -НН""")</f>
        <v>ООО "ТМЦ -НН"</v>
      </c>
      <c r="K11012" s="24" t="s">
        <v>4899</v>
      </c>
      <c r="L11012" s="22" t="s">
        <v>10</v>
      </c>
      <c r="M11012" s="25">
        <v>2710720</v>
      </c>
      <c r="N11012" s="27">
        <v>1.4999999999999999E-2</v>
      </c>
    </row>
    <row r="11013" spans="1:14" hidden="1" outlineLevel="1" x14ac:dyDescent="0.2">
      <c r="A11013" s="23" t="str">
        <f t="shared" si="530"/>
        <v>ГКУ "УПРАВЛЕНИЕ СТРОИТЕЛЬСТВА И ДОРОЖНОГО ХОЗЯЙСТВА ПЕНЗЕНСКОЙ ОБЛАСТИ"</v>
      </c>
      <c r="B11013" s="24" t="s">
        <v>13192</v>
      </c>
      <c r="C11013" s="25">
        <v>2752000</v>
      </c>
      <c r="D11013" s="22" t="s">
        <v>13346</v>
      </c>
      <c r="E11013" s="22" t="s">
        <v>79</v>
      </c>
      <c r="F11013" s="23" t="str">
        <f t="shared" si="531"/>
        <v>Установка автоматизированной информационной системы фото-видеофиксации нарушений правил дорожного движения на автомобильной дороге «г.Пенза - р.п. Шемышейка - с. Лопатино» км 14+500 Пензенского района Пензенской области</v>
      </c>
      <c r="G11013" s="22" t="s">
        <v>514</v>
      </c>
      <c r="H11013" s="22" t="s">
        <v>2167</v>
      </c>
      <c r="I11013" s="26">
        <v>43553.346527777801</v>
      </c>
      <c r="J11013" s="23" t="str">
        <f>HYPERLINK("https://www.spark-marketing.ru/Card/Person/21753", "Поволжский филиал ПАО ""МЕГАФОН""")</f>
        <v>Поволжский филиал ПАО "МЕГАФОН"</v>
      </c>
      <c r="K11013" s="24" t="s">
        <v>2783</v>
      </c>
      <c r="L11013" s="28" t="s">
        <v>52</v>
      </c>
      <c r="M11013" s="25">
        <v>2738240</v>
      </c>
      <c r="N11013" s="27">
        <v>5.0000000000000001E-3</v>
      </c>
    </row>
    <row r="11014" spans="1:14" x14ac:dyDescent="0.15">
      <c r="A11014" s="23" t="str">
        <f>HYPERLINK("https://www.spark-marketing.ru/Card/Person/55587", "ГБДОУ ДЕТСКИЙ САД № 12 КОМБИНИРОВАННОГО ВИДА КИРОВСКОГО РАЙОНА САНКТ-ПЕТЕРБУРГА")</f>
        <v>ГБДОУ ДЕТСКИЙ САД № 12 КОМБИНИРОВАННОГО ВИДА КИРОВСКОГО РАЙОНА САНКТ-ПЕТЕРБУРГА</v>
      </c>
      <c r="B11014" s="24" t="s">
        <v>13347</v>
      </c>
      <c r="C11014" s="25">
        <v>607836</v>
      </c>
      <c r="D11014" s="22" t="s">
        <v>13348</v>
      </c>
      <c r="E11014" s="22" t="s">
        <v>84</v>
      </c>
      <c r="F11014" s="23" t="str">
        <f>HYPERLINK("https://www.spark-marketing.ru/Card/Lot/69131628", "Выполнение работ по установке видеонаблюдения")</f>
        <v>Выполнение работ по установке видеонаблюдения</v>
      </c>
      <c r="G11014" s="22" t="s">
        <v>89</v>
      </c>
      <c r="H11014" s="22" t="s">
        <v>89</v>
      </c>
      <c r="I11014" s="26">
        <v>43553.353472222203</v>
      </c>
      <c r="J11014" s="23" t="str">
        <f>HYPERLINK("https://www.spark-marketing.ru/Card/Person/132600", "ООО ""АСПЕКТ""")</f>
        <v>ООО "АСПЕКТ"</v>
      </c>
      <c r="K11014" s="24" t="s">
        <v>10038</v>
      </c>
      <c r="L11014" s="28" t="s">
        <v>52</v>
      </c>
      <c r="M11014" s="28" t="s">
        <v>52</v>
      </c>
      <c r="N11014" s="28" t="s">
        <v>52</v>
      </c>
    </row>
    <row r="11015" spans="1:14" ht="12.75" hidden="1" outlineLevel="1" x14ac:dyDescent="0.2">
      <c r="A11015" s="23" t="str">
        <f>HYPERLINK("https://www.spark-marketing.ru/Card/Person/55587", "ГБДОУ ДЕТСКИЙ САД № 12 КОМБИНИРОВАННОГО ВИДА КИРОВСКОГО РАЙОНА САНКТ-ПЕТЕРБУРГА")</f>
        <v>ГБДОУ ДЕТСКИЙ САД № 12 КОМБИНИРОВАННОГО ВИДА КИРОВСКОГО РАЙОНА САНКТ-ПЕТЕРБУРГА</v>
      </c>
      <c r="B11015" s="24" t="s">
        <v>13347</v>
      </c>
      <c r="C11015" s="25">
        <v>607836</v>
      </c>
      <c r="D11015" s="22" t="s">
        <v>13348</v>
      </c>
      <c r="E11015" s="22" t="s">
        <v>84</v>
      </c>
      <c r="F11015" s="23" t="str">
        <f>HYPERLINK("https://www.spark-marketing.ru/Card/Lot/69131628", "Выполнение работ по установке видеонаблюдения")</f>
        <v>Выполнение работ по установке видеонаблюдения</v>
      </c>
      <c r="G11015" s="22" t="s">
        <v>89</v>
      </c>
      <c r="H11015" s="22" t="s">
        <v>89</v>
      </c>
      <c r="I11015" s="26">
        <v>43553.353472222203</v>
      </c>
      <c r="J11015" s="23" t="str">
        <f>HYPERLINK("https://www.spark-marketing.ru/Card/Person/132600", "ООО ""АСПЕКТ""")</f>
        <v>ООО "АСПЕКТ"</v>
      </c>
      <c r="K11015" s="24" t="s">
        <v>10038</v>
      </c>
      <c r="L11015" s="22" t="s">
        <v>10</v>
      </c>
      <c r="M11015" s="25">
        <v>604796.81999999995</v>
      </c>
      <c r="N11015" s="27">
        <v>5.0000000000000001E-3</v>
      </c>
    </row>
    <row r="11016" spans="1:14" x14ac:dyDescent="0.15">
      <c r="A11016" s="23" t="str">
        <f t="shared" ref="A11016:A11022" si="532">HYPERLINK("https://www.spark-marketing.ru/Card/Person/113010", "АО ""НИКИМТ-АТОМСТРОЙ""")</f>
        <v>АО "НИКИМТ-АТОМСТРОЙ"</v>
      </c>
      <c r="B11016" s="24" t="s">
        <v>1701</v>
      </c>
      <c r="C11016" s="25">
        <v>2942276.54</v>
      </c>
      <c r="D11016" s="22" t="s">
        <v>13349</v>
      </c>
      <c r="E11016" s="22" t="s">
        <v>13350</v>
      </c>
      <c r="F11016" s="23" t="str">
        <f t="shared" ref="F11016:F11022" si="533">HYPERLINK("https://www.spark-marketing.ru/Card/Lot/69126325", "Право заключения договора на Поставка лакокрасочных материалов для специальной и антикоррозионной защиты объекта ""Хранилище транспортно-технологического оборудования и твердых радиоактивных отходов"" (20 UKT) бл.2 Белорусская АЭС")</f>
        <v>Право заключения договора на Поставка лакокрасочных материалов для специальной и антикоррозионной защиты объекта "Хранилище транспортно-технологического оборудования и твердых радиоактивных отходов" (20 UKT) бл.2 Белорусская АЭС</v>
      </c>
      <c r="G11016" s="22" t="s">
        <v>55</v>
      </c>
      <c r="H11016" s="22" t="s">
        <v>55</v>
      </c>
      <c r="I11016" s="26">
        <v>43553.351817129602</v>
      </c>
      <c r="J11016" s="28" t="s">
        <v>52</v>
      </c>
      <c r="K11016" s="28" t="s">
        <v>52</v>
      </c>
      <c r="L11016" s="28" t="s">
        <v>52</v>
      </c>
      <c r="M11016" s="28" t="s">
        <v>52</v>
      </c>
      <c r="N11016" s="28" t="s">
        <v>52</v>
      </c>
    </row>
    <row r="11017" spans="1:14" hidden="1" outlineLevel="1" x14ac:dyDescent="0.15">
      <c r="A11017" s="23" t="str">
        <f t="shared" si="532"/>
        <v>АО "НИКИМТ-АТОМСТРОЙ"</v>
      </c>
      <c r="B11017" s="24" t="s">
        <v>1701</v>
      </c>
      <c r="C11017" s="28" t="s">
        <v>52</v>
      </c>
      <c r="D11017" s="22" t="s">
        <v>13349</v>
      </c>
      <c r="E11017" s="22" t="s">
        <v>13350</v>
      </c>
      <c r="F11017" s="23" t="str">
        <f t="shared" si="533"/>
        <v>Право заключения договора на Поставка лакокрасочных материалов для специальной и антикоррозионной защиты объекта "Хранилище транспортно-технологического оборудования и твердых радиоактивных отходов" (20 UKT) бл.2 Белорусская АЭС</v>
      </c>
      <c r="G11017" s="22" t="s">
        <v>55</v>
      </c>
      <c r="H11017" s="22" t="s">
        <v>55</v>
      </c>
      <c r="I11017" s="26">
        <v>43553.351817129602</v>
      </c>
      <c r="J11017" s="23" t="str">
        <f>HYPERLINK("https://www.spark-marketing.ru/Card/Person/2603154", "ООО КВОРУМ")</f>
        <v>ООО КВОРУМ</v>
      </c>
      <c r="K11017" s="28" t="s">
        <v>52</v>
      </c>
      <c r="L11017" s="28" t="s">
        <v>52</v>
      </c>
      <c r="M11017" s="28" t="s">
        <v>52</v>
      </c>
      <c r="N11017" s="28" t="s">
        <v>52</v>
      </c>
    </row>
    <row r="11018" spans="1:14" hidden="1" outlineLevel="1" x14ac:dyDescent="0.2">
      <c r="A11018" s="23" t="str">
        <f t="shared" si="532"/>
        <v>АО "НИКИМТ-АТОМСТРОЙ"</v>
      </c>
      <c r="B11018" s="24" t="s">
        <v>1701</v>
      </c>
      <c r="C11018" s="28" t="s">
        <v>52</v>
      </c>
      <c r="D11018" s="22" t="s">
        <v>13349</v>
      </c>
      <c r="E11018" s="22" t="s">
        <v>13350</v>
      </c>
      <c r="F11018" s="23" t="str">
        <f t="shared" si="533"/>
        <v>Право заключения договора на Поставка лакокрасочных материалов для специальной и антикоррозионной защиты объекта "Хранилище транспортно-технологического оборудования и твердых радиоактивных отходов" (20 UKT) бл.2 Белорусская АЭС</v>
      </c>
      <c r="G11018" s="22" t="s">
        <v>55</v>
      </c>
      <c r="H11018" s="22" t="s">
        <v>55</v>
      </c>
      <c r="I11018" s="26">
        <v>43553.351817129602</v>
      </c>
      <c r="J11018" s="23" t="str">
        <f>HYPERLINK("https://www.spark-marketing.ru/Card/Person/2603154", "ООО КВОРУМ")</f>
        <v>ООО КВОРУМ</v>
      </c>
      <c r="K11018" s="28" t="s">
        <v>52</v>
      </c>
      <c r="L11018" s="28" t="s">
        <v>52</v>
      </c>
      <c r="M11018" s="25">
        <v>90902.1</v>
      </c>
      <c r="N11018" s="27">
        <v>0.96910484151839782</v>
      </c>
    </row>
    <row r="11019" spans="1:14" hidden="1" outlineLevel="1" x14ac:dyDescent="0.2">
      <c r="A11019" s="23" t="str">
        <f t="shared" si="532"/>
        <v>АО "НИКИМТ-АТОМСТРОЙ"</v>
      </c>
      <c r="B11019" s="24" t="s">
        <v>1701</v>
      </c>
      <c r="C11019" s="28" t="s">
        <v>52</v>
      </c>
      <c r="D11019" s="22" t="s">
        <v>13349</v>
      </c>
      <c r="E11019" s="22" t="s">
        <v>13350</v>
      </c>
      <c r="F11019" s="23" t="str">
        <f t="shared" si="533"/>
        <v>Право заключения договора на Поставка лакокрасочных материалов для специальной и антикоррозионной защиты объекта "Хранилище транспортно-технологического оборудования и твердых радиоактивных отходов" (20 UKT) бл.2 Белорусская АЭС</v>
      </c>
      <c r="G11019" s="22" t="s">
        <v>55</v>
      </c>
      <c r="H11019" s="22" t="s">
        <v>55</v>
      </c>
      <c r="I11019" s="26">
        <v>43553.351817129602</v>
      </c>
      <c r="J11019" s="23" t="str">
        <f>HYPERLINK("https://www.spark-marketing.ru/Card/Person/4858802", "ООО ""СПЕЦЭМАЛЬ""")</f>
        <v>ООО "СПЕЦЭМАЛЬ"</v>
      </c>
      <c r="K11019" s="24" t="s">
        <v>13351</v>
      </c>
      <c r="L11019" s="28" t="s">
        <v>52</v>
      </c>
      <c r="M11019" s="25">
        <v>2307490.54</v>
      </c>
      <c r="N11019" s="27">
        <v>0.21574654570028962</v>
      </c>
    </row>
    <row r="11020" spans="1:14" hidden="1" outlineLevel="1" x14ac:dyDescent="0.2">
      <c r="A11020" s="23" t="str">
        <f t="shared" si="532"/>
        <v>АО "НИКИМТ-АТОМСТРОЙ"</v>
      </c>
      <c r="B11020" s="24" t="s">
        <v>1701</v>
      </c>
      <c r="C11020" s="28" t="s">
        <v>52</v>
      </c>
      <c r="D11020" s="22" t="s">
        <v>13349</v>
      </c>
      <c r="E11020" s="22" t="s">
        <v>13350</v>
      </c>
      <c r="F11020" s="23" t="str">
        <f t="shared" si="533"/>
        <v>Право заключения договора на Поставка лакокрасочных материалов для специальной и антикоррозионной защиты объекта "Хранилище транспортно-технологического оборудования и твердых радиоактивных отходов" (20 UKT) бл.2 Белорусская АЭС</v>
      </c>
      <c r="G11020" s="22" t="s">
        <v>55</v>
      </c>
      <c r="H11020" s="22" t="s">
        <v>55</v>
      </c>
      <c r="I11020" s="26">
        <v>43553.351817129602</v>
      </c>
      <c r="J11020" s="23" t="str">
        <f>HYPERLINK("https://www.spark-marketing.ru/Card/Person/1799724", "ООО ЗАСЛАВСКИЙ ЛАКОКРАСОЧНЫЙ ЗАВОД")</f>
        <v>ООО ЗАСЛАВСКИЙ ЛАКОКРАСОЧНЫЙ ЗАВОД</v>
      </c>
      <c r="K11020" s="28" t="s">
        <v>52</v>
      </c>
      <c r="L11020" s="22" t="s">
        <v>10</v>
      </c>
      <c r="M11020" s="25">
        <v>89608.56</v>
      </c>
      <c r="N11020" s="27">
        <v>0.96954448068297483</v>
      </c>
    </row>
    <row r="11021" spans="1:14" hidden="1" outlineLevel="1" x14ac:dyDescent="0.2">
      <c r="A11021" s="23" t="str">
        <f t="shared" si="532"/>
        <v>АО "НИКИМТ-АТОМСТРОЙ"</v>
      </c>
      <c r="B11021" s="24" t="s">
        <v>1701</v>
      </c>
      <c r="C11021" s="28" t="s">
        <v>52</v>
      </c>
      <c r="D11021" s="22" t="s">
        <v>13349</v>
      </c>
      <c r="E11021" s="22" t="s">
        <v>13350</v>
      </c>
      <c r="F11021" s="23" t="str">
        <f t="shared" si="533"/>
        <v>Право заключения договора на Поставка лакокрасочных материалов для специальной и антикоррозионной защиты объекта "Хранилище транспортно-технологического оборудования и твердых радиоактивных отходов" (20 UKT) бл.2 Белорусская АЭС</v>
      </c>
      <c r="G11021" s="22" t="s">
        <v>55</v>
      </c>
      <c r="H11021" s="22" t="s">
        <v>55</v>
      </c>
      <c r="I11021" s="26">
        <v>43553.351817129602</v>
      </c>
      <c r="J11021" s="23" t="str">
        <f>HYPERLINK("https://www.spark-marketing.ru/Card/Person/4858802", "ООО ""СПЕЦЭМАЛЬ""")</f>
        <v>ООО "СПЕЦЭМАЛЬ"</v>
      </c>
      <c r="K11021" s="24" t="s">
        <v>13351</v>
      </c>
      <c r="L11021" s="28" t="s">
        <v>52</v>
      </c>
      <c r="M11021" s="25">
        <v>2307490.54</v>
      </c>
      <c r="N11021" s="27">
        <v>0.21574654570028962</v>
      </c>
    </row>
    <row r="11022" spans="1:14" hidden="1" outlineLevel="1" x14ac:dyDescent="0.15">
      <c r="A11022" s="23" t="str">
        <f t="shared" si="532"/>
        <v>АО "НИКИМТ-АТОМСТРОЙ"</v>
      </c>
      <c r="B11022" s="24" t="s">
        <v>1701</v>
      </c>
      <c r="C11022" s="28" t="s">
        <v>52</v>
      </c>
      <c r="D11022" s="22" t="s">
        <v>13349</v>
      </c>
      <c r="E11022" s="22" t="s">
        <v>13350</v>
      </c>
      <c r="F11022" s="23" t="str">
        <f t="shared" si="533"/>
        <v>Право заключения договора на Поставка лакокрасочных материалов для специальной и антикоррозионной защиты объекта "Хранилище транспортно-технологического оборудования и твердых радиоактивных отходов" (20 UKT) бл.2 Белорусская АЭС</v>
      </c>
      <c r="G11022" s="22" t="s">
        <v>55</v>
      </c>
      <c r="H11022" s="22" t="s">
        <v>55</v>
      </c>
      <c r="I11022" s="26">
        <v>43553.351817129602</v>
      </c>
      <c r="J11022" s="23" t="str">
        <f>HYPERLINK("https://www.spark-marketing.ru/Card/Person/1799724", "ООО ЗАСЛАВСКИЙ ЛАКОКРАСОЧНЫЙ ЗАВОД")</f>
        <v>ООО ЗАСЛАВСКИЙ ЛАКОКРАСОЧНЫЙ ЗАВОД</v>
      </c>
      <c r="K11022" s="28" t="s">
        <v>52</v>
      </c>
      <c r="L11022" s="28" t="s">
        <v>52</v>
      </c>
      <c r="M11022" s="28" t="s">
        <v>52</v>
      </c>
      <c r="N11022" s="28" t="s">
        <v>52</v>
      </c>
    </row>
    <row r="11023" spans="1:14" x14ac:dyDescent="0.15">
      <c r="A11023" s="23" t="str">
        <f t="shared" ref="A11023:A11034" si="534">HYPERLINK("https://www.spark-marketing.ru/Card/Person/7616", "ГКУ ""УПРАВЛЕНИЕ СТРОИТЕЛЬСТВА И ДОРОЖНОГО ХОЗЯЙСТВА ПЕНЗЕНСКОЙ ОБЛАСТИ""")</f>
        <v>ГКУ "УПРАВЛЕНИЕ СТРОИТЕЛЬСТВА И ДОРОЖНОГО ХОЗЯЙСТВА ПЕНЗЕНСКОЙ ОБЛАСТИ"</v>
      </c>
      <c r="B11023" s="24" t="s">
        <v>13192</v>
      </c>
      <c r="C11023" s="25">
        <v>2752000</v>
      </c>
      <c r="D11023" s="22" t="s">
        <v>13352</v>
      </c>
      <c r="E11023" s="22" t="s">
        <v>79</v>
      </c>
      <c r="F11023" s="23" t="str">
        <f t="shared" ref="F11023:F11028" si="535">HYPERLINK("https://www.spark-marketing.ru/Card/Lot/69128165", "Установка автоматизированной информационной системы фото-видеофиксации нарушений правил дорожного движения на автомобильной дороге «г.Пенза-р.п.Шемышейка-с.Лопатино» км 40+900 Шемышейского района Пензенской области")</f>
        <v>Установка автоматизированной информационной системы фото-видеофиксации нарушений правил дорожного движения на автомобильной дороге «г.Пенза-р.п.Шемышейка-с.Лопатино» км 40+900 Шемышейского района Пензенской области</v>
      </c>
      <c r="G11023" s="22" t="s">
        <v>514</v>
      </c>
      <c r="H11023" s="22" t="s">
        <v>2167</v>
      </c>
      <c r="I11023" s="26">
        <v>43553.344444444403</v>
      </c>
      <c r="J11023" s="28" t="s">
        <v>52</v>
      </c>
      <c r="K11023" s="28" t="s">
        <v>52</v>
      </c>
      <c r="L11023" s="28" t="s">
        <v>52</v>
      </c>
      <c r="M11023" s="28" t="s">
        <v>52</v>
      </c>
      <c r="N11023" s="28" t="s">
        <v>52</v>
      </c>
    </row>
    <row r="11024" spans="1:14" hidden="1" outlineLevel="1" x14ac:dyDescent="0.2">
      <c r="A11024" s="23" t="str">
        <f t="shared" si="534"/>
        <v>ГКУ "УПРАВЛЕНИЕ СТРОИТЕЛЬСТВА И ДОРОЖНОГО ХОЗЯЙСТВА ПЕНЗЕНСКОЙ ОБЛАСТИ"</v>
      </c>
      <c r="B11024" s="24" t="s">
        <v>13192</v>
      </c>
      <c r="C11024" s="25">
        <v>2752000</v>
      </c>
      <c r="D11024" s="22" t="s">
        <v>13352</v>
      </c>
      <c r="E11024" s="22" t="s">
        <v>79</v>
      </c>
      <c r="F11024" s="23" t="str">
        <f t="shared" si="535"/>
        <v>Установка автоматизированной информационной системы фото-видеофиксации нарушений правил дорожного движения на автомобильной дороге «г.Пенза-р.п.Шемышейка-с.Лопатино» км 40+900 Шемышейского района Пензенской области</v>
      </c>
      <c r="G11024" s="22" t="s">
        <v>514</v>
      </c>
      <c r="H11024" s="22" t="s">
        <v>2167</v>
      </c>
      <c r="I11024" s="26">
        <v>43553.344444444403</v>
      </c>
      <c r="J11024" s="23" t="str">
        <f>HYPERLINK("https://www.spark-marketing.ru/Card/Person/10991", "ПАО ""РОСТЕЛЕКОМ""")</f>
        <v>ПАО "РОСТЕЛЕКОМ"</v>
      </c>
      <c r="K11024" s="24" t="s">
        <v>607</v>
      </c>
      <c r="L11024" s="28" t="s">
        <v>52</v>
      </c>
      <c r="M11024" s="25">
        <v>2724480</v>
      </c>
      <c r="N11024" s="27">
        <v>0.01</v>
      </c>
    </row>
    <row r="11025" spans="1:14" ht="12.75" hidden="1" outlineLevel="1" x14ac:dyDescent="0.2">
      <c r="A11025" s="23" t="str">
        <f t="shared" si="534"/>
        <v>ГКУ "УПРАВЛЕНИЕ СТРОИТЕЛЬСТВА И ДОРОЖНОГО ХОЗЯЙСТВА ПЕНЗЕНСКОЙ ОБЛАСТИ"</v>
      </c>
      <c r="B11025" s="24" t="s">
        <v>13192</v>
      </c>
      <c r="C11025" s="25">
        <v>2752000</v>
      </c>
      <c r="D11025" s="22" t="s">
        <v>13352</v>
      </c>
      <c r="E11025" s="22" t="s">
        <v>79</v>
      </c>
      <c r="F11025" s="23" t="str">
        <f t="shared" si="535"/>
        <v>Установка автоматизированной информационной системы фото-видеофиксации нарушений правил дорожного движения на автомобильной дороге «г.Пенза-р.п.Шемышейка-с.Лопатино» км 40+900 Шемышейского района Пензенской области</v>
      </c>
      <c r="G11025" s="22" t="s">
        <v>514</v>
      </c>
      <c r="H11025" s="22" t="s">
        <v>2167</v>
      </c>
      <c r="I11025" s="26">
        <v>43553.344444444403</v>
      </c>
      <c r="J11025" s="23" t="str">
        <f>HYPERLINK("https://www.spark-marketing.ru/Card/Person/236655", "ООО ""ТМЦ -НН""")</f>
        <v>ООО "ТМЦ -НН"</v>
      </c>
      <c r="K11025" s="24" t="s">
        <v>4899</v>
      </c>
      <c r="L11025" s="22" t="s">
        <v>10</v>
      </c>
      <c r="M11025" s="25">
        <v>2710720</v>
      </c>
      <c r="N11025" s="27">
        <v>1.4999999999999999E-2</v>
      </c>
    </row>
    <row r="11026" spans="1:14" ht="12.75" hidden="1" outlineLevel="1" x14ac:dyDescent="0.2">
      <c r="A11026" s="23" t="str">
        <f t="shared" si="534"/>
        <v>ГКУ "УПРАВЛЕНИЕ СТРОИТЕЛЬСТВА И ДОРОЖНОГО ХОЗЯЙСТВА ПЕНЗЕНСКОЙ ОБЛАСТИ"</v>
      </c>
      <c r="B11026" s="24" t="s">
        <v>13192</v>
      </c>
      <c r="C11026" s="25">
        <v>2752000</v>
      </c>
      <c r="D11026" s="22" t="s">
        <v>13352</v>
      </c>
      <c r="E11026" s="22" t="s">
        <v>79</v>
      </c>
      <c r="F11026" s="23" t="str">
        <f t="shared" si="535"/>
        <v>Установка автоматизированной информационной системы фото-видеофиксации нарушений правил дорожного движения на автомобильной дороге «г.Пенза-р.п.Шемышейка-с.Лопатино» км 40+900 Шемышейского района Пензенской области</v>
      </c>
      <c r="G11026" s="22" t="s">
        <v>514</v>
      </c>
      <c r="H11026" s="22" t="s">
        <v>2167</v>
      </c>
      <c r="I11026" s="26">
        <v>43553.344444444403</v>
      </c>
      <c r="J11026" s="23" t="str">
        <f>HYPERLINK("https://www.spark-marketing.ru/Card/Person/236655", "ООО ""ТМЦ -НН""")</f>
        <v>ООО "ТМЦ -НН"</v>
      </c>
      <c r="K11026" s="24" t="s">
        <v>4899</v>
      </c>
      <c r="L11026" s="22" t="s">
        <v>10</v>
      </c>
      <c r="M11026" s="25">
        <v>2710720</v>
      </c>
      <c r="N11026" s="27">
        <v>1.4999999999999999E-2</v>
      </c>
    </row>
    <row r="11027" spans="1:14" hidden="1" outlineLevel="1" x14ac:dyDescent="0.2">
      <c r="A11027" s="23" t="str">
        <f t="shared" si="534"/>
        <v>ГКУ "УПРАВЛЕНИЕ СТРОИТЕЛЬСТВА И ДОРОЖНОГО ХОЗЯЙСТВА ПЕНЗЕНСКОЙ ОБЛАСТИ"</v>
      </c>
      <c r="B11027" s="24" t="s">
        <v>13192</v>
      </c>
      <c r="C11027" s="25">
        <v>2752000</v>
      </c>
      <c r="D11027" s="22" t="s">
        <v>13352</v>
      </c>
      <c r="E11027" s="22" t="s">
        <v>79</v>
      </c>
      <c r="F11027" s="23" t="str">
        <f t="shared" si="535"/>
        <v>Установка автоматизированной информационной системы фото-видеофиксации нарушений правил дорожного движения на автомобильной дороге «г.Пенза-р.п.Шемышейка-с.Лопатино» км 40+900 Шемышейского района Пензенской области</v>
      </c>
      <c r="G11027" s="22" t="s">
        <v>514</v>
      </c>
      <c r="H11027" s="22" t="s">
        <v>2167</v>
      </c>
      <c r="I11027" s="26">
        <v>43553.344444444403</v>
      </c>
      <c r="J11027" s="23" t="str">
        <f>HYPERLINK("https://www.spark-marketing.ru/Card/Person/10991", "ПАО ""РОСТЕЛЕКОМ""")</f>
        <v>ПАО "РОСТЕЛЕКОМ"</v>
      </c>
      <c r="K11027" s="24" t="s">
        <v>607</v>
      </c>
      <c r="L11027" s="28" t="s">
        <v>52</v>
      </c>
      <c r="M11027" s="25">
        <v>2724480</v>
      </c>
      <c r="N11027" s="27">
        <v>0.01</v>
      </c>
    </row>
    <row r="11028" spans="1:14" hidden="1" outlineLevel="1" x14ac:dyDescent="0.2">
      <c r="A11028" s="23" t="str">
        <f t="shared" si="534"/>
        <v>ГКУ "УПРАВЛЕНИЕ СТРОИТЕЛЬСТВА И ДОРОЖНОГО ХОЗЯЙСТВА ПЕНЗЕНСКОЙ ОБЛАСТИ"</v>
      </c>
      <c r="B11028" s="24" t="s">
        <v>13192</v>
      </c>
      <c r="C11028" s="25">
        <v>2752000</v>
      </c>
      <c r="D11028" s="22" t="s">
        <v>13352</v>
      </c>
      <c r="E11028" s="22" t="s">
        <v>79</v>
      </c>
      <c r="F11028" s="23" t="str">
        <f t="shared" si="535"/>
        <v>Установка автоматизированной информационной системы фото-видеофиксации нарушений правил дорожного движения на автомобильной дороге «г.Пенза-р.п.Шемышейка-с.Лопатино» км 40+900 Шемышейского района Пензенской области</v>
      </c>
      <c r="G11028" s="22" t="s">
        <v>514</v>
      </c>
      <c r="H11028" s="22" t="s">
        <v>2167</v>
      </c>
      <c r="I11028" s="26">
        <v>43553.344444444403</v>
      </c>
      <c r="J11028" s="23" t="str">
        <f>HYPERLINK("https://www.spark-marketing.ru/Card/Person/21753", "Поволжский филиал ПАО ""МЕГАФОН""")</f>
        <v>Поволжский филиал ПАО "МЕГАФОН"</v>
      </c>
      <c r="K11028" s="24" t="s">
        <v>2783</v>
      </c>
      <c r="L11028" s="28" t="s">
        <v>52</v>
      </c>
      <c r="M11028" s="25">
        <v>2738240</v>
      </c>
      <c r="N11028" s="27">
        <v>5.0000000000000001E-3</v>
      </c>
    </row>
    <row r="11029" spans="1:14" x14ac:dyDescent="0.15">
      <c r="A11029" s="23" t="str">
        <f t="shared" si="534"/>
        <v>ГКУ "УПРАВЛЕНИЕ СТРОИТЕЛЬСТВА И ДОРОЖНОГО ХОЗЯЙСТВА ПЕНЗЕНСКОЙ ОБЛАСТИ"</v>
      </c>
      <c r="B11029" s="24" t="s">
        <v>13192</v>
      </c>
      <c r="C11029" s="25">
        <v>2752000</v>
      </c>
      <c r="D11029" s="22" t="s">
        <v>13353</v>
      </c>
      <c r="E11029" s="22" t="s">
        <v>79</v>
      </c>
      <c r="F11029" s="23" t="str">
        <f t="shared" ref="F11029:F11034" si="536">HYPERLINK("https://www.spark-marketing.ru/Card/Lot/69128138", "Установка автоматизированной информационной системы фото-видеофиксации нарушений правил дорожного движения на автомобильной дороге «г.Пенза-с.Кондоль» км 15+400 Пензенского района Пензенской области")</f>
        <v>Установка автоматизированной информационной системы фото-видеофиксации нарушений правил дорожного движения на автомобильной дороге «г.Пенза-с.Кондоль» км 15+400 Пензенского района Пензенской области</v>
      </c>
      <c r="G11029" s="22" t="s">
        <v>514</v>
      </c>
      <c r="H11029" s="22" t="s">
        <v>2167</v>
      </c>
      <c r="I11029" s="26">
        <v>43553.344444444403</v>
      </c>
      <c r="J11029" s="28" t="s">
        <v>52</v>
      </c>
      <c r="K11029" s="28" t="s">
        <v>52</v>
      </c>
      <c r="L11029" s="28" t="s">
        <v>52</v>
      </c>
      <c r="M11029" s="28" t="s">
        <v>52</v>
      </c>
      <c r="N11029" s="28" t="s">
        <v>52</v>
      </c>
    </row>
    <row r="11030" spans="1:14" hidden="1" outlineLevel="1" x14ac:dyDescent="0.2">
      <c r="A11030" s="23" t="str">
        <f t="shared" si="534"/>
        <v>ГКУ "УПРАВЛЕНИЕ СТРОИТЕЛЬСТВА И ДОРОЖНОГО ХОЗЯЙСТВА ПЕНЗЕНСКОЙ ОБЛАСТИ"</v>
      </c>
      <c r="B11030" s="24" t="s">
        <v>13192</v>
      </c>
      <c r="C11030" s="25">
        <v>2752000</v>
      </c>
      <c r="D11030" s="22" t="s">
        <v>13353</v>
      </c>
      <c r="E11030" s="22" t="s">
        <v>79</v>
      </c>
      <c r="F11030" s="23" t="str">
        <f t="shared" si="536"/>
        <v>Установка автоматизированной информационной системы фото-видеофиксации нарушений правил дорожного движения на автомобильной дороге «г.Пенза-с.Кондоль» км 15+400 Пензенского района Пензенской области</v>
      </c>
      <c r="G11030" s="22" t="s">
        <v>514</v>
      </c>
      <c r="H11030" s="22" t="s">
        <v>2167</v>
      </c>
      <c r="I11030" s="26">
        <v>43553.344444444403</v>
      </c>
      <c r="J11030" s="23" t="str">
        <f>HYPERLINK("https://www.spark-marketing.ru/Card/Person/10991", "ПАО ""РОСТЕЛЕКОМ""")</f>
        <v>ПАО "РОСТЕЛЕКОМ"</v>
      </c>
      <c r="K11030" s="24" t="s">
        <v>607</v>
      </c>
      <c r="L11030" s="28" t="s">
        <v>52</v>
      </c>
      <c r="M11030" s="25">
        <v>2724480</v>
      </c>
      <c r="N11030" s="27">
        <v>0.01</v>
      </c>
    </row>
    <row r="11031" spans="1:14" ht="12.75" hidden="1" outlineLevel="1" x14ac:dyDescent="0.2">
      <c r="A11031" s="23" t="str">
        <f t="shared" si="534"/>
        <v>ГКУ "УПРАВЛЕНИЕ СТРОИТЕЛЬСТВА И ДОРОЖНОГО ХОЗЯЙСТВА ПЕНЗЕНСКОЙ ОБЛАСТИ"</v>
      </c>
      <c r="B11031" s="24" t="s">
        <v>13192</v>
      </c>
      <c r="C11031" s="25">
        <v>2752000</v>
      </c>
      <c r="D11031" s="22" t="s">
        <v>13353</v>
      </c>
      <c r="E11031" s="22" t="s">
        <v>79</v>
      </c>
      <c r="F11031" s="23" t="str">
        <f t="shared" si="536"/>
        <v>Установка автоматизированной информационной системы фото-видеофиксации нарушений правил дорожного движения на автомобильной дороге «г.Пенза-с.Кондоль» км 15+400 Пензенского района Пензенской области</v>
      </c>
      <c r="G11031" s="22" t="s">
        <v>514</v>
      </c>
      <c r="H11031" s="22" t="s">
        <v>2167</v>
      </c>
      <c r="I11031" s="26">
        <v>43553.344444444403</v>
      </c>
      <c r="J11031" s="23" t="str">
        <f>HYPERLINK("https://www.spark-marketing.ru/Card/Person/236655", "ООО ""ТМЦ -НН""")</f>
        <v>ООО "ТМЦ -НН"</v>
      </c>
      <c r="K11031" s="24" t="s">
        <v>4899</v>
      </c>
      <c r="L11031" s="22" t="s">
        <v>10</v>
      </c>
      <c r="M11031" s="25">
        <v>2710720</v>
      </c>
      <c r="N11031" s="27">
        <v>1.4999999999999999E-2</v>
      </c>
    </row>
    <row r="11032" spans="1:14" hidden="1" outlineLevel="1" x14ac:dyDescent="0.2">
      <c r="A11032" s="23" t="str">
        <f t="shared" si="534"/>
        <v>ГКУ "УПРАВЛЕНИЕ СТРОИТЕЛЬСТВА И ДОРОЖНОГО ХОЗЯЙСТВА ПЕНЗЕНСКОЙ ОБЛАСТИ"</v>
      </c>
      <c r="B11032" s="24" t="s">
        <v>13192</v>
      </c>
      <c r="C11032" s="25">
        <v>2752000</v>
      </c>
      <c r="D11032" s="22" t="s">
        <v>13353</v>
      </c>
      <c r="E11032" s="22" t="s">
        <v>79</v>
      </c>
      <c r="F11032" s="23" t="str">
        <f t="shared" si="536"/>
        <v>Установка автоматизированной информационной системы фото-видеофиксации нарушений правил дорожного движения на автомобильной дороге «г.Пенза-с.Кондоль» км 15+400 Пензенского района Пензенской области</v>
      </c>
      <c r="G11032" s="22" t="s">
        <v>514</v>
      </c>
      <c r="H11032" s="22" t="s">
        <v>2167</v>
      </c>
      <c r="I11032" s="26">
        <v>43553.344444444403</v>
      </c>
      <c r="J11032" s="23" t="str">
        <f>HYPERLINK("https://www.spark-marketing.ru/Card/Person/10991", "ПАО ""РОСТЕЛЕКОМ""")</f>
        <v>ПАО "РОСТЕЛЕКОМ"</v>
      </c>
      <c r="K11032" s="24" t="s">
        <v>607</v>
      </c>
      <c r="L11032" s="28" t="s">
        <v>52</v>
      </c>
      <c r="M11032" s="25">
        <v>2724480</v>
      </c>
      <c r="N11032" s="27">
        <v>0.01</v>
      </c>
    </row>
    <row r="11033" spans="1:14" ht="12.75" hidden="1" outlineLevel="1" x14ac:dyDescent="0.2">
      <c r="A11033" s="23" t="str">
        <f t="shared" si="534"/>
        <v>ГКУ "УПРАВЛЕНИЕ СТРОИТЕЛЬСТВА И ДОРОЖНОГО ХОЗЯЙСТВА ПЕНЗЕНСКОЙ ОБЛАСТИ"</v>
      </c>
      <c r="B11033" s="24" t="s">
        <v>13192</v>
      </c>
      <c r="C11033" s="25">
        <v>2752000</v>
      </c>
      <c r="D11033" s="22" t="s">
        <v>13353</v>
      </c>
      <c r="E11033" s="22" t="s">
        <v>79</v>
      </c>
      <c r="F11033" s="23" t="str">
        <f t="shared" si="536"/>
        <v>Установка автоматизированной информационной системы фото-видеофиксации нарушений правил дорожного движения на автомобильной дороге «г.Пенза-с.Кондоль» км 15+400 Пензенского района Пензенской области</v>
      </c>
      <c r="G11033" s="22" t="s">
        <v>514</v>
      </c>
      <c r="H11033" s="22" t="s">
        <v>2167</v>
      </c>
      <c r="I11033" s="26">
        <v>43553.344444444403</v>
      </c>
      <c r="J11033" s="23" t="str">
        <f>HYPERLINK("https://www.spark-marketing.ru/Card/Person/236655", "ООО ""ТМЦ -НН""")</f>
        <v>ООО "ТМЦ -НН"</v>
      </c>
      <c r="K11033" s="24" t="s">
        <v>4899</v>
      </c>
      <c r="L11033" s="22" t="s">
        <v>10</v>
      </c>
      <c r="M11033" s="25">
        <v>2710720</v>
      </c>
      <c r="N11033" s="27">
        <v>1.4999999999999999E-2</v>
      </c>
    </row>
    <row r="11034" spans="1:14" hidden="1" outlineLevel="1" x14ac:dyDescent="0.2">
      <c r="A11034" s="23" t="str">
        <f t="shared" si="534"/>
        <v>ГКУ "УПРАВЛЕНИЕ СТРОИТЕЛЬСТВА И ДОРОЖНОГО ХОЗЯЙСТВА ПЕНЗЕНСКОЙ ОБЛАСТИ"</v>
      </c>
      <c r="B11034" s="24" t="s">
        <v>13192</v>
      </c>
      <c r="C11034" s="25">
        <v>2752000</v>
      </c>
      <c r="D11034" s="22" t="s">
        <v>13353</v>
      </c>
      <c r="E11034" s="22" t="s">
        <v>79</v>
      </c>
      <c r="F11034" s="23" t="str">
        <f t="shared" si="536"/>
        <v>Установка автоматизированной информационной системы фото-видеофиксации нарушений правил дорожного движения на автомобильной дороге «г.Пенза-с.Кондоль» км 15+400 Пензенского района Пензенской области</v>
      </c>
      <c r="G11034" s="22" t="s">
        <v>514</v>
      </c>
      <c r="H11034" s="22" t="s">
        <v>2167</v>
      </c>
      <c r="I11034" s="26">
        <v>43553.344444444403</v>
      </c>
      <c r="J11034" s="23" t="str">
        <f>HYPERLINK("https://www.spark-marketing.ru/Card/Person/21753", "Поволжский филиал ПАО ""МЕГАФОН""")</f>
        <v>Поволжский филиал ПАО "МЕГАФОН"</v>
      </c>
      <c r="K11034" s="24" t="s">
        <v>2783</v>
      </c>
      <c r="L11034" s="28" t="s">
        <v>52</v>
      </c>
      <c r="M11034" s="25">
        <v>2738240</v>
      </c>
      <c r="N11034" s="27">
        <v>5.0000000000000001E-3</v>
      </c>
    </row>
    <row r="11035" spans="1:14" x14ac:dyDescent="0.15">
      <c r="A11035" s="23" t="str">
        <f>HYPERLINK("https://www.spark-marketing.ru/Card/Person/1020514", "МКДОУ ДЕТСКИЙ САД ""ТОПОЛЁК""")</f>
        <v>МКДОУ ДЕТСКИЙ САД "ТОПОЛЁК"</v>
      </c>
      <c r="B11035" s="24" t="s">
        <v>13354</v>
      </c>
      <c r="C11035" s="25">
        <v>21024</v>
      </c>
      <c r="D11035" s="22" t="s">
        <v>13355</v>
      </c>
      <c r="E11035" s="22" t="s">
        <v>68</v>
      </c>
      <c r="F11035" s="23" t="str">
        <f>HYPERLINK("https://www.spark-marketing.ru/Card/Lot/69123070", "Оказание услуг по экстренному вызову группы быстрого реагирования на объекте в случае срабатывания тревожной сигнализации")</f>
        <v>Оказание услуг по экстренному вызову группы быстрого реагирования на объекте в случае срабатывания тревожной сигнализации</v>
      </c>
      <c r="G11035" s="22" t="s">
        <v>209</v>
      </c>
      <c r="H11035" s="22" t="s">
        <v>7605</v>
      </c>
      <c r="I11035" s="26">
        <v>43553.264583333301</v>
      </c>
      <c r="J11035" s="28" t="s">
        <v>52</v>
      </c>
      <c r="K11035" s="28" t="s">
        <v>52</v>
      </c>
      <c r="L11035" s="28" t="s">
        <v>52</v>
      </c>
      <c r="M11035" s="28" t="s">
        <v>52</v>
      </c>
      <c r="N11035" s="28" t="s">
        <v>52</v>
      </c>
    </row>
    <row r="11036" spans="1:14" x14ac:dyDescent="0.15">
      <c r="A11036" s="23" t="str">
        <f>HYPERLINK("https://www.spark-marketing.ru/Card/Person/1083620", "МКУДО ""УБИНСКАЯ ДЕТСКАЯ ШКОЛА ИСКУССТВ""")</f>
        <v>МКУДО "УБИНСКАЯ ДЕТСКАЯ ШКОЛА ИСКУССТВ"</v>
      </c>
      <c r="B11036" s="24" t="s">
        <v>13356</v>
      </c>
      <c r="C11036" s="25">
        <v>21024</v>
      </c>
      <c r="D11036" s="22" t="s">
        <v>13357</v>
      </c>
      <c r="E11036" s="22" t="s">
        <v>68</v>
      </c>
      <c r="F11036" s="23" t="str">
        <f>HYPERLINK("https://www.spark-marketing.ru/Card/Lot/69122947", "Оказание услуг по экстренному вызову группы быстрого реагирования на объекте в случае срабатывания тревожной сигнализации")</f>
        <v>Оказание услуг по экстренному вызову группы быстрого реагирования на объекте в случае срабатывания тревожной сигнализации</v>
      </c>
      <c r="G11036" s="22" t="s">
        <v>209</v>
      </c>
      <c r="H11036" s="22" t="s">
        <v>7605</v>
      </c>
      <c r="I11036" s="26">
        <v>43553.249305555597</v>
      </c>
      <c r="J11036" s="28" t="s">
        <v>52</v>
      </c>
      <c r="K11036" s="28" t="s">
        <v>52</v>
      </c>
      <c r="L11036" s="28" t="s">
        <v>52</v>
      </c>
      <c r="M11036" s="28" t="s">
        <v>52</v>
      </c>
      <c r="N11036" s="28" t="s">
        <v>52</v>
      </c>
    </row>
    <row r="11037" spans="1:14" x14ac:dyDescent="0.15">
      <c r="A11037" s="23" t="str">
        <f>HYPERLINK("https://www.spark-marketing.ru/Card/Person/1019597", "МКОУ ""УБИНСКАЯ СРЕДНЯЯ ШКОЛА № 2""")</f>
        <v>МКОУ "УБИНСКАЯ СРЕДНЯЯ ШКОЛА № 2"</v>
      </c>
      <c r="B11037" s="24" t="s">
        <v>13358</v>
      </c>
      <c r="C11037" s="25">
        <v>21024</v>
      </c>
      <c r="D11037" s="22" t="s">
        <v>13359</v>
      </c>
      <c r="E11037" s="22" t="s">
        <v>68</v>
      </c>
      <c r="F11037" s="23" t="str">
        <f>HYPERLINK("https://www.spark-marketing.ru/Card/Lot/69123021", "Оказание услуг по экстренному вызову группы быстрого реагирования на объект в случае срабатывания тревожной сигнализации")</f>
        <v>Оказание услуг по экстренному вызову группы быстрого реагирования на объект в случае срабатывания тревожной сигнализации</v>
      </c>
      <c r="G11037" s="22" t="s">
        <v>209</v>
      </c>
      <c r="H11037" s="22" t="s">
        <v>7605</v>
      </c>
      <c r="I11037" s="26">
        <v>43553.218055555597</v>
      </c>
      <c r="J11037" s="28" t="s">
        <v>52</v>
      </c>
      <c r="K11037" s="28" t="s">
        <v>52</v>
      </c>
      <c r="L11037" s="28" t="s">
        <v>52</v>
      </c>
      <c r="M11037" s="28" t="s">
        <v>52</v>
      </c>
      <c r="N11037" s="28" t="s">
        <v>52</v>
      </c>
    </row>
    <row r="11038" spans="1:14" x14ac:dyDescent="0.15">
      <c r="A11038" s="23" t="str">
        <f>HYPERLINK("https://www.spark-marketing.ru/Card/Person/4871866", "МКОУ ""УБИНСКАЯ СРЕДНЯЯ ШКОЛА № 1""")</f>
        <v>МКОУ "УБИНСКАЯ СРЕДНЯЯ ШКОЛА № 1"</v>
      </c>
      <c r="B11038" s="24" t="s">
        <v>13360</v>
      </c>
      <c r="C11038" s="25">
        <v>42048</v>
      </c>
      <c r="D11038" s="22" t="s">
        <v>13361</v>
      </c>
      <c r="E11038" s="22" t="s">
        <v>68</v>
      </c>
      <c r="F11038" s="23" t="str">
        <f>HYPERLINK("https://www.spark-marketing.ru/Card/Lot/69123049", "Оказание услуг по экстренному вызову групп быстрого реагирования на объект в случае срабатывания тревожной сигнализации")</f>
        <v>Оказание услуг по экстренному вызову групп быстрого реагирования на объект в случае срабатывания тревожной сигнализации</v>
      </c>
      <c r="G11038" s="22" t="s">
        <v>209</v>
      </c>
      <c r="H11038" s="22" t="s">
        <v>7605</v>
      </c>
      <c r="I11038" s="26">
        <v>43553.233333333301</v>
      </c>
      <c r="J11038" s="28" t="s">
        <v>52</v>
      </c>
      <c r="K11038" s="28" t="s">
        <v>52</v>
      </c>
      <c r="L11038" s="28" t="s">
        <v>52</v>
      </c>
      <c r="M11038" s="28" t="s">
        <v>52</v>
      </c>
      <c r="N11038" s="28" t="s">
        <v>52</v>
      </c>
    </row>
    <row r="11039" spans="1:14" x14ac:dyDescent="0.15">
      <c r="A11039" s="23" t="str">
        <f>HYPERLINK("https://www.spark-marketing.ru/Card/Person/557341", "ОАО ""ДОНУГОЛЬ""")</f>
        <v>ОАО "ДОНУГОЛЬ"</v>
      </c>
      <c r="B11039" s="24" t="s">
        <v>11847</v>
      </c>
      <c r="C11039" s="28" t="s">
        <v>52</v>
      </c>
      <c r="D11039" s="22" t="s">
        <v>13362</v>
      </c>
      <c r="E11039" s="22" t="s">
        <v>53</v>
      </c>
      <c r="F11039" s="23" t="str">
        <f>HYPERLINK("https://www.spark-marketing.ru/Card/Lot/69131701", "Услуги ЧОП по охране объектов ОАО ""Донуголь"" (id369047)")</f>
        <v>Услуги ЧОП по охране объектов ОАО "Донуголь" (id369047)</v>
      </c>
      <c r="G11039" s="22" t="s">
        <v>402</v>
      </c>
      <c r="H11039" s="22" t="s">
        <v>4374</v>
      </c>
      <c r="I11039" s="26">
        <v>43553</v>
      </c>
      <c r="J11039" s="28" t="s">
        <v>52</v>
      </c>
      <c r="K11039" s="28" t="s">
        <v>52</v>
      </c>
      <c r="L11039" s="28" t="s">
        <v>52</v>
      </c>
      <c r="M11039" s="28" t="s">
        <v>52</v>
      </c>
      <c r="N11039" s="28" t="s">
        <v>52</v>
      </c>
    </row>
    <row r="11040" spans="1:14" x14ac:dyDescent="0.15">
      <c r="A11040" s="23" t="str">
        <f>HYPERLINK("https://www.spark-marketing.ru/Card/Person/6450322", "ЗАКАЗЧИК РП БЕЛАРУСЬ")</f>
        <v>ЗАКАЗЧИК РП БЕЛАРУСЬ</v>
      </c>
      <c r="B11040" s="28" t="s">
        <v>52</v>
      </c>
      <c r="C11040" s="28" t="s">
        <v>52</v>
      </c>
      <c r="D11040" s="22" t="s">
        <v>13363</v>
      </c>
      <c r="E11040" s="22" t="s">
        <v>53</v>
      </c>
      <c r="F11040" s="23" t="str">
        <f>HYPERLINK("https://www.spark-marketing.ru/Card/Lot/69126138", "Право заключения договора на поставку лакокрасочных материалов для специальной и антикоррозионной защиты объекта «Хранилище транспортно-технологического оборудования и твердых радиоактивных отходов» (20UKT) бл.2 Белорусская АЭС")</f>
        <v>Право заключения договора на поставку лакокрасочных материалов для специальной и антикоррозионной защиты объекта «Хранилище транспортно-технологического оборудования и твердых радиоактивных отходов» (20UKT) бл.2 Белорусская АЭС</v>
      </c>
      <c r="G11040" s="22" t="s">
        <v>52</v>
      </c>
      <c r="H11040" s="22" t="s">
        <v>52</v>
      </c>
      <c r="I11040" s="26">
        <v>43553</v>
      </c>
      <c r="J11040" s="28" t="s">
        <v>52</v>
      </c>
      <c r="K11040" s="28" t="s">
        <v>52</v>
      </c>
      <c r="L11040" s="28" t="s">
        <v>52</v>
      </c>
      <c r="M11040" s="28" t="s">
        <v>52</v>
      </c>
      <c r="N11040" s="28" t="s">
        <v>52</v>
      </c>
    </row>
    <row r="11041" spans="1:14" x14ac:dyDescent="0.15">
      <c r="A11041" s="23" t="str">
        <f>HYPERLINK("https://www.spark-marketing.ru/Card/Person/564692", "ГБПОУ ""СОМК""")</f>
        <v>ГБПОУ "СОМК"</v>
      </c>
      <c r="B11041" s="24" t="s">
        <v>1402</v>
      </c>
      <c r="C11041" s="25">
        <v>7071120</v>
      </c>
      <c r="D11041" s="22" t="s">
        <v>13364</v>
      </c>
      <c r="E11041" s="22" t="s">
        <v>52</v>
      </c>
      <c r="F11041" s="23" t="str">
        <f>HYPERLINK("https://www.spark-marketing.ru/Card/Lot/69116183", "Услуги охраны объектов ГБПОУ ""СОМК"" (г. Екатеринбург)")</f>
        <v>Услуги охраны объектов ГБПОУ "СОМК" (г. Екатеринбург)</v>
      </c>
      <c r="G11041" s="22" t="s">
        <v>72</v>
      </c>
      <c r="H11041" s="22" t="s">
        <v>949</v>
      </c>
      <c r="I11041" s="26">
        <v>43552.751388888901</v>
      </c>
      <c r="J11041" s="28" t="s">
        <v>52</v>
      </c>
      <c r="K11041" s="28" t="s">
        <v>52</v>
      </c>
      <c r="L11041" s="28" t="s">
        <v>52</v>
      </c>
      <c r="M11041" s="28" t="s">
        <v>52</v>
      </c>
      <c r="N11041" s="28" t="s">
        <v>52</v>
      </c>
    </row>
    <row r="11042" spans="1:14" hidden="1" outlineLevel="1" x14ac:dyDescent="0.2">
      <c r="A11042" s="23" t="str">
        <f>HYPERLINK("https://www.spark-marketing.ru/Card/Person/564692", "ГБПОУ ""СОМК""")</f>
        <v>ГБПОУ "СОМК"</v>
      </c>
      <c r="B11042" s="24" t="s">
        <v>1402</v>
      </c>
      <c r="C11042" s="25">
        <v>7071120</v>
      </c>
      <c r="D11042" s="22" t="s">
        <v>13364</v>
      </c>
      <c r="E11042" s="22" t="s">
        <v>52</v>
      </c>
      <c r="F11042" s="23" t="str">
        <f>HYPERLINK("https://www.spark-marketing.ru/Card/Lot/69116183", "Услуги охраны объектов ГБПОУ ""СОМК"" (г. Екатеринбург)")</f>
        <v>Услуги охраны объектов ГБПОУ "СОМК" (г. Екатеринбург)</v>
      </c>
      <c r="G11042" s="22" t="s">
        <v>72</v>
      </c>
      <c r="H11042" s="22" t="s">
        <v>949</v>
      </c>
      <c r="I11042" s="26">
        <v>43552.751388888901</v>
      </c>
      <c r="J11042" s="23" t="str">
        <f>HYPERLINK("https://www.spark-marketing.ru/Card/Person/797793", "ООО ЧОП ""МЕДВЕДЬ-Е""")</f>
        <v>ООО ЧОП "МЕДВЕДЬ-Е"</v>
      </c>
      <c r="K11042" s="24" t="s">
        <v>13365</v>
      </c>
      <c r="L11042" s="28" t="s">
        <v>52</v>
      </c>
      <c r="M11042" s="25">
        <v>7035764.4000000004</v>
      </c>
      <c r="N11042" s="27">
        <v>5.0000000000000001E-3</v>
      </c>
    </row>
    <row r="11043" spans="1:14" hidden="1" outlineLevel="1" x14ac:dyDescent="0.2">
      <c r="A11043" s="23" t="str">
        <f>HYPERLINK("https://www.spark-marketing.ru/Card/Person/564692", "ГБПОУ ""СОМК""")</f>
        <v>ГБПОУ "СОМК"</v>
      </c>
      <c r="B11043" s="24" t="s">
        <v>1402</v>
      </c>
      <c r="C11043" s="25">
        <v>7071120</v>
      </c>
      <c r="D11043" s="22" t="s">
        <v>13364</v>
      </c>
      <c r="E11043" s="22" t="s">
        <v>52</v>
      </c>
      <c r="F11043" s="23" t="str">
        <f>HYPERLINK("https://www.spark-marketing.ru/Card/Lot/69116183", "Услуги охраны объектов ГБПОУ ""СОМК"" (г. Екатеринбург)")</f>
        <v>Услуги охраны объектов ГБПОУ "СОМК" (г. Екатеринбург)</v>
      </c>
      <c r="G11043" s="22" t="s">
        <v>72</v>
      </c>
      <c r="H11043" s="22" t="s">
        <v>949</v>
      </c>
      <c r="I11043" s="26">
        <v>43552.751388888901</v>
      </c>
      <c r="J11043" s="23" t="str">
        <f>HYPERLINK("https://www.spark-marketing.ru/Card/Person/4496304", "ООО ""ЧОП ""АЛЬФА-ЩИТ-БМП""")</f>
        <v>ООО "ЧОП "АЛЬФА-ЩИТ-БМП"</v>
      </c>
      <c r="K11043" s="24" t="s">
        <v>4058</v>
      </c>
      <c r="L11043" s="28" t="s">
        <v>52</v>
      </c>
      <c r="M11043" s="25">
        <v>7035764.4000000004</v>
      </c>
      <c r="N11043" s="27">
        <v>5.0000000000000001E-3</v>
      </c>
    </row>
    <row r="11044" spans="1:14" x14ac:dyDescent="0.15">
      <c r="A11044" s="23" t="s">
        <v>121</v>
      </c>
      <c r="B11044" s="28" t="s">
        <v>52</v>
      </c>
      <c r="C11044" s="25">
        <v>57474.92</v>
      </c>
      <c r="D11044" s="22" t="s">
        <v>13366</v>
      </c>
      <c r="E11044" s="22" t="s">
        <v>103</v>
      </c>
      <c r="F11044" s="23" t="str">
        <f t="shared" ref="F11044:F11054" si="537">HYPERLINK("https://www.spark-marketing.ru/Card/Lot/69120338", "Оказание услуг по техническому обслуживанию системы видеонаблюдения")</f>
        <v>Оказание услуг по техническому обслуживанию системы видеонаблюдения</v>
      </c>
      <c r="G11044" s="22" t="s">
        <v>52</v>
      </c>
      <c r="H11044" s="22" t="s">
        <v>52</v>
      </c>
      <c r="I11044" s="26">
        <v>43552.770138888904</v>
      </c>
      <c r="J11044" s="28" t="s">
        <v>52</v>
      </c>
      <c r="K11044" s="28" t="s">
        <v>52</v>
      </c>
      <c r="L11044" s="28" t="s">
        <v>52</v>
      </c>
      <c r="M11044" s="28" t="s">
        <v>52</v>
      </c>
      <c r="N11044" s="28" t="s">
        <v>52</v>
      </c>
    </row>
    <row r="11045" spans="1:14" hidden="1" outlineLevel="1" x14ac:dyDescent="0.15">
      <c r="A11045" s="23" t="str">
        <f>HYPERLINK("https://www.spark-marketing.ru/Card/Person/1019293", "МУДО ""КЛИМОВСКАЯ ДМШ""")</f>
        <v>МУДО "КЛИМОВСКАЯ ДМШ"</v>
      </c>
      <c r="B11045" s="24" t="s">
        <v>13367</v>
      </c>
      <c r="C11045" s="25">
        <v>42091.040000000001</v>
      </c>
      <c r="D11045" s="22" t="s">
        <v>13366</v>
      </c>
      <c r="E11045" s="22" t="s">
        <v>103</v>
      </c>
      <c r="F11045" s="23" t="str">
        <f t="shared" si="537"/>
        <v>Оказание услуг по техническому обслуживанию системы видеонаблюдения</v>
      </c>
      <c r="G11045" s="22" t="s">
        <v>50</v>
      </c>
      <c r="H11045" s="22" t="s">
        <v>569</v>
      </c>
      <c r="I11045" s="26">
        <v>43552.770138888904</v>
      </c>
      <c r="J11045" s="28" t="s">
        <v>52</v>
      </c>
      <c r="K11045" s="28" t="s">
        <v>52</v>
      </c>
      <c r="L11045" s="28" t="s">
        <v>52</v>
      </c>
      <c r="M11045" s="28" t="s">
        <v>52</v>
      </c>
      <c r="N11045" s="28" t="s">
        <v>52</v>
      </c>
    </row>
    <row r="11046" spans="1:14" hidden="1" outlineLevel="1" x14ac:dyDescent="0.15">
      <c r="A11046" s="23" t="str">
        <f>HYPERLINK("https://www.spark-marketing.ru/Card/Person/1022486", "МУДО ""ЛЬВОВСКАЯ ДЕТСКАЯ ШКОЛА ИСКУССТВ""")</f>
        <v>МУДО "ЛЬВОВСКАЯ ДЕТСКАЯ ШКОЛА ИСКУССТВ"</v>
      </c>
      <c r="B11046" s="24" t="s">
        <v>13368</v>
      </c>
      <c r="C11046" s="25">
        <v>15383.88</v>
      </c>
      <c r="D11046" s="22" t="s">
        <v>13366</v>
      </c>
      <c r="E11046" s="22" t="s">
        <v>103</v>
      </c>
      <c r="F11046" s="23" t="str">
        <f t="shared" si="537"/>
        <v>Оказание услуг по техническому обслуживанию системы видеонаблюдения</v>
      </c>
      <c r="G11046" s="22" t="s">
        <v>50</v>
      </c>
      <c r="H11046" s="22" t="s">
        <v>569</v>
      </c>
      <c r="I11046" s="26">
        <v>43552.770138888904</v>
      </c>
      <c r="J11046" s="28" t="s">
        <v>52</v>
      </c>
      <c r="K11046" s="28" t="s">
        <v>52</v>
      </c>
      <c r="L11046" s="28" t="s">
        <v>52</v>
      </c>
      <c r="M11046" s="28" t="s">
        <v>52</v>
      </c>
      <c r="N11046" s="28" t="s">
        <v>52</v>
      </c>
    </row>
    <row r="11047" spans="1:14" hidden="1" outlineLevel="1" x14ac:dyDescent="0.2">
      <c r="A11047" s="28" t="s">
        <v>52</v>
      </c>
      <c r="B11047" s="28" t="s">
        <v>52</v>
      </c>
      <c r="C11047" s="28" t="s">
        <v>52</v>
      </c>
      <c r="D11047" s="22" t="s">
        <v>13366</v>
      </c>
      <c r="E11047" s="22" t="s">
        <v>103</v>
      </c>
      <c r="F11047" s="23" t="str">
        <f t="shared" si="537"/>
        <v>Оказание услуг по техническому обслуживанию системы видеонаблюдения</v>
      </c>
      <c r="G11047" s="22" t="s">
        <v>52</v>
      </c>
      <c r="H11047" s="22" t="s">
        <v>52</v>
      </c>
      <c r="I11047" s="26">
        <v>43552.770138888904</v>
      </c>
      <c r="J11047" s="23" t="str">
        <f>HYPERLINK("https://www.spark-marketing.ru/Card/Person/90452", "ООО ""ЦЕНТР ПОЖАРНЫХ ТЕХНОЛОГИЙ""")</f>
        <v>ООО "ЦЕНТР ПОЖАРНЫХ ТЕХНОЛОГИЙ"</v>
      </c>
      <c r="K11047" s="24" t="s">
        <v>11602</v>
      </c>
      <c r="L11047" s="28" t="s">
        <v>52</v>
      </c>
      <c r="M11047" s="25">
        <v>22000</v>
      </c>
      <c r="N11047" s="27">
        <v>0.61722434759369826</v>
      </c>
    </row>
    <row r="11048" spans="1:14" hidden="1" outlineLevel="1" x14ac:dyDescent="0.2">
      <c r="A11048" s="28" t="s">
        <v>52</v>
      </c>
      <c r="B11048" s="28" t="s">
        <v>52</v>
      </c>
      <c r="C11048" s="28" t="s">
        <v>52</v>
      </c>
      <c r="D11048" s="22" t="s">
        <v>13366</v>
      </c>
      <c r="E11048" s="22" t="s">
        <v>103</v>
      </c>
      <c r="F11048" s="23" t="str">
        <f t="shared" si="537"/>
        <v>Оказание услуг по техническому обслуживанию системы видеонаблюдения</v>
      </c>
      <c r="G11048" s="22" t="s">
        <v>52</v>
      </c>
      <c r="H11048" s="22" t="s">
        <v>52</v>
      </c>
      <c r="I11048" s="26">
        <v>43552.770138888904</v>
      </c>
      <c r="J11048" s="23" t="str">
        <f>HYPERLINK("https://www.spark-marketing.ru/Card/Person/6399646", "Заика Олег Иванович")</f>
        <v>Заика Олег Иванович</v>
      </c>
      <c r="K11048" s="24" t="s">
        <v>3506</v>
      </c>
      <c r="L11048" s="28" t="s">
        <v>52</v>
      </c>
      <c r="M11048" s="25">
        <v>10000</v>
      </c>
      <c r="N11048" s="27">
        <v>0.82601106708804461</v>
      </c>
    </row>
    <row r="11049" spans="1:14" hidden="1" outlineLevel="1" x14ac:dyDescent="0.2">
      <c r="A11049" s="28" t="s">
        <v>52</v>
      </c>
      <c r="B11049" s="28" t="s">
        <v>52</v>
      </c>
      <c r="C11049" s="28" t="s">
        <v>52</v>
      </c>
      <c r="D11049" s="22" t="s">
        <v>13366</v>
      </c>
      <c r="E11049" s="22" t="s">
        <v>103</v>
      </c>
      <c r="F11049" s="23" t="str">
        <f t="shared" si="537"/>
        <v>Оказание услуг по техническому обслуживанию системы видеонаблюдения</v>
      </c>
      <c r="G11049" s="22" t="s">
        <v>52</v>
      </c>
      <c r="H11049" s="22" t="s">
        <v>52</v>
      </c>
      <c r="I11049" s="26">
        <v>43552.770138888904</v>
      </c>
      <c r="J11049" s="23" t="str">
        <f>HYPERLINK("https://www.spark-marketing.ru/Card/Person/665030", "ООО ""ОТКРЫТЫЕ СИСТЕМЫ""")</f>
        <v>ООО "ОТКРЫТЫЕ СИСТЕМЫ"</v>
      </c>
      <c r="K11049" s="24" t="s">
        <v>7267</v>
      </c>
      <c r="L11049" s="28" t="s">
        <v>52</v>
      </c>
      <c r="M11049" s="25">
        <v>44457.8</v>
      </c>
      <c r="N11049" s="27">
        <v>0.22648348183868722</v>
      </c>
    </row>
    <row r="11050" spans="1:14" hidden="1" outlineLevel="1" x14ac:dyDescent="0.2">
      <c r="A11050" s="28" t="s">
        <v>52</v>
      </c>
      <c r="B11050" s="28" t="s">
        <v>52</v>
      </c>
      <c r="C11050" s="28" t="s">
        <v>52</v>
      </c>
      <c r="D11050" s="22" t="s">
        <v>13366</v>
      </c>
      <c r="E11050" s="22" t="s">
        <v>103</v>
      </c>
      <c r="F11050" s="23" t="str">
        <f t="shared" si="537"/>
        <v>Оказание услуг по техническому обслуживанию системы видеонаблюдения</v>
      </c>
      <c r="G11050" s="22" t="s">
        <v>52</v>
      </c>
      <c r="H11050" s="22" t="s">
        <v>52</v>
      </c>
      <c r="I11050" s="26">
        <v>43552.770138888904</v>
      </c>
      <c r="J11050" s="23" t="str">
        <f>HYPERLINK("https://www.spark-marketing.ru/Card/Person/6503414", "ООО ""МОСПОЖСЕРВИС""")</f>
        <v>ООО "МОСПОЖСЕРВИС"</v>
      </c>
      <c r="K11050" s="24" t="s">
        <v>3876</v>
      </c>
      <c r="L11050" s="28" t="s">
        <v>52</v>
      </c>
      <c r="M11050" s="25">
        <v>28000</v>
      </c>
      <c r="N11050" s="27">
        <v>0.51283098784652503</v>
      </c>
    </row>
    <row r="11051" spans="1:14" hidden="1" outlineLevel="1" x14ac:dyDescent="0.2">
      <c r="A11051" s="28" t="s">
        <v>52</v>
      </c>
      <c r="B11051" s="28" t="s">
        <v>52</v>
      </c>
      <c r="C11051" s="28" t="s">
        <v>52</v>
      </c>
      <c r="D11051" s="22" t="s">
        <v>13366</v>
      </c>
      <c r="E11051" s="22" t="s">
        <v>103</v>
      </c>
      <c r="F11051" s="23" t="str">
        <f t="shared" si="537"/>
        <v>Оказание услуг по техническому обслуживанию системы видеонаблюдения</v>
      </c>
      <c r="G11051" s="22" t="s">
        <v>52</v>
      </c>
      <c r="H11051" s="22" t="s">
        <v>52</v>
      </c>
      <c r="I11051" s="26">
        <v>43552.770138888904</v>
      </c>
      <c r="J11051" s="23" t="str">
        <f>HYPERLINK("https://www.spark-marketing.ru/Card/Person/6513863", "ООО ""ПРИОРИТЕТ БЕЗОПАСНОСТИ""")</f>
        <v>ООО "ПРИОРИТЕТ БЕЗОПАСНОСТИ"</v>
      </c>
      <c r="K11051" s="24" t="s">
        <v>3157</v>
      </c>
      <c r="L11051" s="28" t="s">
        <v>52</v>
      </c>
      <c r="M11051" s="25">
        <v>15000</v>
      </c>
      <c r="N11051" s="27">
        <v>0.73901660063206698</v>
      </c>
    </row>
    <row r="11052" spans="1:14" hidden="1" outlineLevel="1" x14ac:dyDescent="0.2">
      <c r="A11052" s="28" t="s">
        <v>52</v>
      </c>
      <c r="B11052" s="28" t="s">
        <v>52</v>
      </c>
      <c r="C11052" s="28" t="s">
        <v>52</v>
      </c>
      <c r="D11052" s="22" t="s">
        <v>13366</v>
      </c>
      <c r="E11052" s="22" t="s">
        <v>103</v>
      </c>
      <c r="F11052" s="23" t="str">
        <f t="shared" si="537"/>
        <v>Оказание услуг по техническому обслуживанию системы видеонаблюдения</v>
      </c>
      <c r="G11052" s="22" t="s">
        <v>52</v>
      </c>
      <c r="H11052" s="22" t="s">
        <v>52</v>
      </c>
      <c r="I11052" s="26">
        <v>43552.770138888904</v>
      </c>
      <c r="J11052" s="23" t="str">
        <f>HYPERLINK("https://www.spark-marketing.ru/Card/Person/1330205", "Артемов Николай Иванович")</f>
        <v>Артемов Николай Иванович</v>
      </c>
      <c r="K11052" s="24" t="s">
        <v>13369</v>
      </c>
      <c r="L11052" s="28" t="s">
        <v>52</v>
      </c>
      <c r="M11052" s="25">
        <v>25000</v>
      </c>
      <c r="N11052" s="27">
        <v>0.5650276677201117</v>
      </c>
    </row>
    <row r="11053" spans="1:14" hidden="1" outlineLevel="1" x14ac:dyDescent="0.2">
      <c r="A11053" s="28" t="s">
        <v>52</v>
      </c>
      <c r="B11053" s="28" t="s">
        <v>52</v>
      </c>
      <c r="C11053" s="28" t="s">
        <v>52</v>
      </c>
      <c r="D11053" s="22" t="s">
        <v>13366</v>
      </c>
      <c r="E11053" s="22" t="s">
        <v>103</v>
      </c>
      <c r="F11053" s="23" t="str">
        <f t="shared" si="537"/>
        <v>Оказание услуг по техническому обслуживанию системы видеонаблюдения</v>
      </c>
      <c r="G11053" s="22" t="s">
        <v>52</v>
      </c>
      <c r="H11053" s="22" t="s">
        <v>52</v>
      </c>
      <c r="I11053" s="26">
        <v>43552.770138888904</v>
      </c>
      <c r="J11053" s="23" t="str">
        <f>HYPERLINK("https://www.spark-marketing.ru/Card/Person/699561", "ООО ""ТЕО-БЕЗОПАСНОСТЬ""")</f>
        <v>ООО "ТЕО-БЕЗОПАСНОСТЬ"</v>
      </c>
      <c r="K11053" s="24" t="s">
        <v>10575</v>
      </c>
      <c r="L11053" s="28" t="s">
        <v>52</v>
      </c>
      <c r="M11053" s="25">
        <v>50000</v>
      </c>
      <c r="N11053" s="27">
        <v>0.13005533544022332</v>
      </c>
    </row>
    <row r="11054" spans="1:14" hidden="1" outlineLevel="1" x14ac:dyDescent="0.2">
      <c r="A11054" s="28" t="s">
        <v>52</v>
      </c>
      <c r="B11054" s="28" t="s">
        <v>52</v>
      </c>
      <c r="C11054" s="28" t="s">
        <v>52</v>
      </c>
      <c r="D11054" s="22" t="s">
        <v>13366</v>
      </c>
      <c r="E11054" s="22" t="s">
        <v>103</v>
      </c>
      <c r="F11054" s="23" t="str">
        <f t="shared" si="537"/>
        <v>Оказание услуг по техническому обслуживанию системы видеонаблюдения</v>
      </c>
      <c r="G11054" s="22" t="s">
        <v>52</v>
      </c>
      <c r="H11054" s="22" t="s">
        <v>52</v>
      </c>
      <c r="I11054" s="26">
        <v>43552.770138888904</v>
      </c>
      <c r="J11054" s="23" t="str">
        <f>HYPERLINK("https://www.spark-marketing.ru/Card/Person/6445825", "Судариков Михаил Геннадьевич")</f>
        <v>Судариков Михаил Геннадьевич</v>
      </c>
      <c r="K11054" s="24" t="s">
        <v>1219</v>
      </c>
      <c r="L11054" s="22" t="s">
        <v>10</v>
      </c>
      <c r="M11054" s="25">
        <v>9827.16</v>
      </c>
      <c r="N11054" s="27">
        <v>0.82901829180449493</v>
      </c>
    </row>
    <row r="11055" spans="1:14" x14ac:dyDescent="0.15">
      <c r="A11055" s="23" t="str">
        <f t="shared" ref="A11055:A11078" si="538">HYPERLINK("https://www.spark-marketing.ru/Card/Person/7616", "ГКУ ""УПРАВЛЕНИЕ СТРОИТЕЛЬСТВА И ДОРОЖНОГО ХОЗЯЙСТВА ПЕНЗЕНСКОЙ ОБЛАСТИ""")</f>
        <v>ГКУ "УПРАВЛЕНИЕ СТРОИТЕЛЬСТВА И ДОРОЖНОГО ХОЗЯЙСТВА ПЕНЗЕНСКОЙ ОБЛАСТИ"</v>
      </c>
      <c r="B11055" s="24" t="s">
        <v>13192</v>
      </c>
      <c r="C11055" s="25">
        <v>2752000</v>
      </c>
      <c r="D11055" s="22" t="s">
        <v>13370</v>
      </c>
      <c r="E11055" s="22" t="s">
        <v>79</v>
      </c>
      <c r="F11055" s="23" t="str">
        <f t="shared" ref="F11055:F11060" si="539">HYPERLINK("https://www.spark-marketing.ru/Card/Lot/69119223", "Установка автоматизированной информационной системы фото-видеофиксации нарушений правил дорожного движения на автомобильной дороге «г.Тамбов-г.Пенза»-р.п.Колышлей-г.Седобск-р.п.Беково» км 57+400 Колышлейского района Пензенской области")</f>
        <v>Установка автоматизированной информационной системы фото-видеофиксации нарушений правил дорожного движения на автомобильной дороге «г.Тамбов-г.Пенза»-р.п.Колышлей-г.Седобск-р.п.Беково» км 57+400 Колышлейского района Пензенской области</v>
      </c>
      <c r="G11055" s="22" t="s">
        <v>514</v>
      </c>
      <c r="H11055" s="22" t="s">
        <v>2167</v>
      </c>
      <c r="I11055" s="26">
        <v>43552.756249999999</v>
      </c>
      <c r="J11055" s="28" t="s">
        <v>52</v>
      </c>
      <c r="K11055" s="28" t="s">
        <v>52</v>
      </c>
      <c r="L11055" s="28" t="s">
        <v>52</v>
      </c>
      <c r="M11055" s="28" t="s">
        <v>52</v>
      </c>
      <c r="N11055" s="28" t="s">
        <v>52</v>
      </c>
    </row>
    <row r="11056" spans="1:14" hidden="1" outlineLevel="1" x14ac:dyDescent="0.2">
      <c r="A11056" s="23" t="str">
        <f t="shared" si="538"/>
        <v>ГКУ "УПРАВЛЕНИЕ СТРОИТЕЛЬСТВА И ДОРОЖНОГО ХОЗЯЙСТВА ПЕНЗЕНСКОЙ ОБЛАСТИ"</v>
      </c>
      <c r="B11056" s="24" t="s">
        <v>13192</v>
      </c>
      <c r="C11056" s="25">
        <v>2752000</v>
      </c>
      <c r="D11056" s="22" t="s">
        <v>13370</v>
      </c>
      <c r="E11056" s="22" t="s">
        <v>79</v>
      </c>
      <c r="F11056" s="23" t="str">
        <f t="shared" si="539"/>
        <v>Установка автоматизированной информационной системы фото-видеофиксации нарушений правил дорожного движения на автомобильной дороге «г.Тамбов-г.Пенза»-р.п.Колышлей-г.Седобск-р.п.Беково» км 57+400 Колышлейского района Пензенской области</v>
      </c>
      <c r="G11056" s="22" t="s">
        <v>514</v>
      </c>
      <c r="H11056" s="22" t="s">
        <v>2167</v>
      </c>
      <c r="I11056" s="26">
        <v>43552.756249999999</v>
      </c>
      <c r="J11056" s="23" t="str">
        <f>HYPERLINK("https://www.spark-marketing.ru/Card/Person/10991", "ПАО ""РОСТЕЛЕКОМ""")</f>
        <v>ПАО "РОСТЕЛЕКОМ"</v>
      </c>
      <c r="K11056" s="24" t="s">
        <v>607</v>
      </c>
      <c r="L11056" s="28" t="s">
        <v>52</v>
      </c>
      <c r="M11056" s="25">
        <v>2724480</v>
      </c>
      <c r="N11056" s="27">
        <v>0.01</v>
      </c>
    </row>
    <row r="11057" spans="1:14" ht="12.75" hidden="1" outlineLevel="1" x14ac:dyDescent="0.2">
      <c r="A11057" s="23" t="str">
        <f t="shared" si="538"/>
        <v>ГКУ "УПРАВЛЕНИЕ СТРОИТЕЛЬСТВА И ДОРОЖНОГО ХОЗЯЙСТВА ПЕНЗЕНСКОЙ ОБЛАСТИ"</v>
      </c>
      <c r="B11057" s="24" t="s">
        <v>13192</v>
      </c>
      <c r="C11057" s="25">
        <v>2752000</v>
      </c>
      <c r="D11057" s="22" t="s">
        <v>13370</v>
      </c>
      <c r="E11057" s="22" t="s">
        <v>79</v>
      </c>
      <c r="F11057" s="23" t="str">
        <f t="shared" si="539"/>
        <v>Установка автоматизированной информационной системы фото-видеофиксации нарушений правил дорожного движения на автомобильной дороге «г.Тамбов-г.Пенза»-р.п.Колышлей-г.Седобск-р.п.Беково» км 57+400 Колышлейского района Пензенской области</v>
      </c>
      <c r="G11057" s="22" t="s">
        <v>514</v>
      </c>
      <c r="H11057" s="22" t="s">
        <v>2167</v>
      </c>
      <c r="I11057" s="26">
        <v>43552.756249999999</v>
      </c>
      <c r="J11057" s="23" t="str">
        <f>HYPERLINK("https://www.spark-marketing.ru/Card/Person/236655", "ООО ""ТМЦ -НН""")</f>
        <v>ООО "ТМЦ -НН"</v>
      </c>
      <c r="K11057" s="24" t="s">
        <v>4899</v>
      </c>
      <c r="L11057" s="22" t="s">
        <v>10</v>
      </c>
      <c r="M11057" s="25">
        <v>2710720</v>
      </c>
      <c r="N11057" s="27">
        <v>1.4999999999999999E-2</v>
      </c>
    </row>
    <row r="11058" spans="1:14" hidden="1" outlineLevel="1" x14ac:dyDescent="0.2">
      <c r="A11058" s="23" t="str">
        <f t="shared" si="538"/>
        <v>ГКУ "УПРАВЛЕНИЕ СТРОИТЕЛЬСТВА И ДОРОЖНОГО ХОЗЯЙСТВА ПЕНЗЕНСКОЙ ОБЛАСТИ"</v>
      </c>
      <c r="B11058" s="24" t="s">
        <v>13192</v>
      </c>
      <c r="C11058" s="25">
        <v>2752000</v>
      </c>
      <c r="D11058" s="22" t="s">
        <v>13370</v>
      </c>
      <c r="E11058" s="22" t="s">
        <v>79</v>
      </c>
      <c r="F11058" s="23" t="str">
        <f t="shared" si="539"/>
        <v>Установка автоматизированной информационной системы фото-видеофиксации нарушений правил дорожного движения на автомобильной дороге «г.Тамбов-г.Пенза»-р.п.Колышлей-г.Седобск-р.п.Беково» км 57+400 Колышлейского района Пензенской области</v>
      </c>
      <c r="G11058" s="22" t="s">
        <v>514</v>
      </c>
      <c r="H11058" s="22" t="s">
        <v>2167</v>
      </c>
      <c r="I11058" s="26">
        <v>43552.756249999999</v>
      </c>
      <c r="J11058" s="23" t="str">
        <f>HYPERLINK("https://www.spark-marketing.ru/Card/Person/10991", "ПАО ""РОСТЕЛЕКОМ""")</f>
        <v>ПАО "РОСТЕЛЕКОМ"</v>
      </c>
      <c r="K11058" s="24" t="s">
        <v>607</v>
      </c>
      <c r="L11058" s="28" t="s">
        <v>52</v>
      </c>
      <c r="M11058" s="25">
        <v>2724480</v>
      </c>
      <c r="N11058" s="27">
        <v>0.01</v>
      </c>
    </row>
    <row r="11059" spans="1:14" ht="12.75" hidden="1" outlineLevel="1" x14ac:dyDescent="0.2">
      <c r="A11059" s="23" t="str">
        <f t="shared" si="538"/>
        <v>ГКУ "УПРАВЛЕНИЕ СТРОИТЕЛЬСТВА И ДОРОЖНОГО ХОЗЯЙСТВА ПЕНЗЕНСКОЙ ОБЛАСТИ"</v>
      </c>
      <c r="B11059" s="24" t="s">
        <v>13192</v>
      </c>
      <c r="C11059" s="25">
        <v>2752000</v>
      </c>
      <c r="D11059" s="22" t="s">
        <v>13370</v>
      </c>
      <c r="E11059" s="22" t="s">
        <v>79</v>
      </c>
      <c r="F11059" s="23" t="str">
        <f t="shared" si="539"/>
        <v>Установка автоматизированной информационной системы фото-видеофиксации нарушений правил дорожного движения на автомобильной дороге «г.Тамбов-г.Пенза»-р.п.Колышлей-г.Седобск-р.п.Беково» км 57+400 Колышлейского района Пензенской области</v>
      </c>
      <c r="G11059" s="22" t="s">
        <v>514</v>
      </c>
      <c r="H11059" s="22" t="s">
        <v>2167</v>
      </c>
      <c r="I11059" s="26">
        <v>43552.756249999999</v>
      </c>
      <c r="J11059" s="23" t="str">
        <f>HYPERLINK("https://www.spark-marketing.ru/Card/Person/236655", "ООО ""ТМЦ -НН""")</f>
        <v>ООО "ТМЦ -НН"</v>
      </c>
      <c r="K11059" s="24" t="s">
        <v>4899</v>
      </c>
      <c r="L11059" s="22" t="s">
        <v>10</v>
      </c>
      <c r="M11059" s="25">
        <v>2710720</v>
      </c>
      <c r="N11059" s="27">
        <v>1.4999999999999999E-2</v>
      </c>
    </row>
    <row r="11060" spans="1:14" hidden="1" outlineLevel="1" x14ac:dyDescent="0.2">
      <c r="A11060" s="23" t="str">
        <f t="shared" si="538"/>
        <v>ГКУ "УПРАВЛЕНИЕ СТРОИТЕЛЬСТВА И ДОРОЖНОГО ХОЗЯЙСТВА ПЕНЗЕНСКОЙ ОБЛАСТИ"</v>
      </c>
      <c r="B11060" s="24" t="s">
        <v>13192</v>
      </c>
      <c r="C11060" s="25">
        <v>2752000</v>
      </c>
      <c r="D11060" s="22" t="s">
        <v>13370</v>
      </c>
      <c r="E11060" s="22" t="s">
        <v>79</v>
      </c>
      <c r="F11060" s="23" t="str">
        <f t="shared" si="539"/>
        <v>Установка автоматизированной информационной системы фото-видеофиксации нарушений правил дорожного движения на автомобильной дороге «г.Тамбов-г.Пенза»-р.п.Колышлей-г.Седобск-р.п.Беково» км 57+400 Колышлейского района Пензенской области</v>
      </c>
      <c r="G11060" s="22" t="s">
        <v>514</v>
      </c>
      <c r="H11060" s="22" t="s">
        <v>2167</v>
      </c>
      <c r="I11060" s="26">
        <v>43552.756249999999</v>
      </c>
      <c r="J11060" s="23" t="str">
        <f>HYPERLINK("https://www.spark-marketing.ru/Card/Person/21753", "Поволжский филиал ПАО ""МЕГАФОН""")</f>
        <v>Поволжский филиал ПАО "МЕГАФОН"</v>
      </c>
      <c r="K11060" s="24" t="s">
        <v>2783</v>
      </c>
      <c r="L11060" s="28" t="s">
        <v>52</v>
      </c>
      <c r="M11060" s="25">
        <v>2738240</v>
      </c>
      <c r="N11060" s="27">
        <v>5.0000000000000001E-3</v>
      </c>
    </row>
    <row r="11061" spans="1:14" x14ac:dyDescent="0.15">
      <c r="A11061" s="23" t="str">
        <f t="shared" si="538"/>
        <v>ГКУ "УПРАВЛЕНИЕ СТРОИТЕЛЬСТВА И ДОРОЖНОГО ХОЗЯЙСТВА ПЕНЗЕНСКОЙ ОБЛАСТИ"</v>
      </c>
      <c r="B11061" s="24" t="s">
        <v>13192</v>
      </c>
      <c r="C11061" s="25">
        <v>2752000</v>
      </c>
      <c r="D11061" s="22" t="s">
        <v>13371</v>
      </c>
      <c r="E11061" s="22" t="s">
        <v>79</v>
      </c>
      <c r="F11061" s="23" t="str">
        <f t="shared" ref="F11061:F11066" si="540">HYPERLINK("https://www.spark-marketing.ru/Card/Lot/69119224", "Установка автоматизированной информационной системы фото-видеофиксации нарушений правил дорожного движения на автомобильной дороге «р.п.Колышлей-с.Малая Сердоба-с.Саполга-«г.Нижний Новгород-г.Саратов» км 54+300 Малосердобинского района Пензенской обл...")</f>
        <v>Установка автоматизированной информационной системы фото-видеофиксации нарушений правил дорожного движения на автомобильной дороге «р.п.Колышлей-с.Малая Сердоба-с.Саполга-«г.Нижний Новгород-г.Саратов» км 54+300 Малосердобинского района Пензенской обл...</v>
      </c>
      <c r="G11061" s="22" t="s">
        <v>514</v>
      </c>
      <c r="H11061" s="22" t="s">
        <v>2167</v>
      </c>
      <c r="I11061" s="26">
        <v>43552.755555555603</v>
      </c>
      <c r="J11061" s="28" t="s">
        <v>52</v>
      </c>
      <c r="K11061" s="28" t="s">
        <v>52</v>
      </c>
      <c r="L11061" s="28" t="s">
        <v>52</v>
      </c>
      <c r="M11061" s="28" t="s">
        <v>52</v>
      </c>
      <c r="N11061" s="28" t="s">
        <v>52</v>
      </c>
    </row>
    <row r="11062" spans="1:14" hidden="1" outlineLevel="1" x14ac:dyDescent="0.2">
      <c r="A11062" s="23" t="str">
        <f t="shared" si="538"/>
        <v>ГКУ "УПРАВЛЕНИЕ СТРОИТЕЛЬСТВА И ДОРОЖНОГО ХОЗЯЙСТВА ПЕНЗЕНСКОЙ ОБЛАСТИ"</v>
      </c>
      <c r="B11062" s="24" t="s">
        <v>13192</v>
      </c>
      <c r="C11062" s="25">
        <v>2752000</v>
      </c>
      <c r="D11062" s="22" t="s">
        <v>13371</v>
      </c>
      <c r="E11062" s="22" t="s">
        <v>79</v>
      </c>
      <c r="F11062" s="23" t="str">
        <f t="shared" si="540"/>
        <v>Установка автоматизированной информационной системы фото-видеофиксации нарушений правил дорожного движения на автомобильной дороге «р.п.Колышлей-с.Малая Сердоба-с.Саполга-«г.Нижний Новгород-г.Саратов» км 54+300 Малосердобинского района Пензенской обл...</v>
      </c>
      <c r="G11062" s="22" t="s">
        <v>514</v>
      </c>
      <c r="H11062" s="22" t="s">
        <v>2167</v>
      </c>
      <c r="I11062" s="26">
        <v>43552.755555555603</v>
      </c>
      <c r="J11062" s="23" t="str">
        <f>HYPERLINK("https://www.spark-marketing.ru/Card/Person/10991", "ПАО ""РОСТЕЛЕКОМ""")</f>
        <v>ПАО "РОСТЕЛЕКОМ"</v>
      </c>
      <c r="K11062" s="24" t="s">
        <v>607</v>
      </c>
      <c r="L11062" s="28" t="s">
        <v>52</v>
      </c>
      <c r="M11062" s="25">
        <v>2724480</v>
      </c>
      <c r="N11062" s="27">
        <v>0.01</v>
      </c>
    </row>
    <row r="11063" spans="1:14" ht="12.75" hidden="1" outlineLevel="1" x14ac:dyDescent="0.2">
      <c r="A11063" s="23" t="str">
        <f t="shared" si="538"/>
        <v>ГКУ "УПРАВЛЕНИЕ СТРОИТЕЛЬСТВА И ДОРОЖНОГО ХОЗЯЙСТВА ПЕНЗЕНСКОЙ ОБЛАСТИ"</v>
      </c>
      <c r="B11063" s="24" t="s">
        <v>13192</v>
      </c>
      <c r="C11063" s="25">
        <v>2752000</v>
      </c>
      <c r="D11063" s="22" t="s">
        <v>13371</v>
      </c>
      <c r="E11063" s="22" t="s">
        <v>79</v>
      </c>
      <c r="F11063" s="23" t="str">
        <f t="shared" si="540"/>
        <v>Установка автоматизированной информационной системы фото-видеофиксации нарушений правил дорожного движения на автомобильной дороге «р.п.Колышлей-с.Малая Сердоба-с.Саполга-«г.Нижний Новгород-г.Саратов» км 54+300 Малосердобинского района Пензенской обл...</v>
      </c>
      <c r="G11063" s="22" t="s">
        <v>514</v>
      </c>
      <c r="H11063" s="22" t="s">
        <v>2167</v>
      </c>
      <c r="I11063" s="26">
        <v>43552.755555555603</v>
      </c>
      <c r="J11063" s="23" t="str">
        <f>HYPERLINK("https://www.spark-marketing.ru/Card/Person/236655", "ООО ""ТМЦ -НН""")</f>
        <v>ООО "ТМЦ -НН"</v>
      </c>
      <c r="K11063" s="24" t="s">
        <v>4899</v>
      </c>
      <c r="L11063" s="22" t="s">
        <v>10</v>
      </c>
      <c r="M11063" s="25">
        <v>2710720</v>
      </c>
      <c r="N11063" s="27">
        <v>1.4999999999999999E-2</v>
      </c>
    </row>
    <row r="11064" spans="1:14" hidden="1" outlineLevel="1" x14ac:dyDescent="0.2">
      <c r="A11064" s="23" t="str">
        <f t="shared" si="538"/>
        <v>ГКУ "УПРАВЛЕНИЕ СТРОИТЕЛЬСТВА И ДОРОЖНОГО ХОЗЯЙСТВА ПЕНЗЕНСКОЙ ОБЛАСТИ"</v>
      </c>
      <c r="B11064" s="24" t="s">
        <v>13192</v>
      </c>
      <c r="C11064" s="25">
        <v>2752000</v>
      </c>
      <c r="D11064" s="22" t="s">
        <v>13371</v>
      </c>
      <c r="E11064" s="22" t="s">
        <v>79</v>
      </c>
      <c r="F11064" s="23" t="str">
        <f t="shared" si="540"/>
        <v>Установка автоматизированной информационной системы фото-видеофиксации нарушений правил дорожного движения на автомобильной дороге «р.п.Колышлей-с.Малая Сердоба-с.Саполга-«г.Нижний Новгород-г.Саратов» км 54+300 Малосердобинского района Пензенской обл...</v>
      </c>
      <c r="G11064" s="22" t="s">
        <v>514</v>
      </c>
      <c r="H11064" s="22" t="s">
        <v>2167</v>
      </c>
      <c r="I11064" s="26">
        <v>43552.755555555603</v>
      </c>
      <c r="J11064" s="23" t="str">
        <f>HYPERLINK("https://www.spark-marketing.ru/Card/Person/10991", "ПАО ""РОСТЕЛЕКОМ""")</f>
        <v>ПАО "РОСТЕЛЕКОМ"</v>
      </c>
      <c r="K11064" s="24" t="s">
        <v>607</v>
      </c>
      <c r="L11064" s="28" t="s">
        <v>52</v>
      </c>
      <c r="M11064" s="25">
        <v>2724480</v>
      </c>
      <c r="N11064" s="27">
        <v>0.01</v>
      </c>
    </row>
    <row r="11065" spans="1:14" ht="12.75" hidden="1" outlineLevel="1" x14ac:dyDescent="0.2">
      <c r="A11065" s="23" t="str">
        <f t="shared" si="538"/>
        <v>ГКУ "УПРАВЛЕНИЕ СТРОИТЕЛЬСТВА И ДОРОЖНОГО ХОЗЯЙСТВА ПЕНЗЕНСКОЙ ОБЛАСТИ"</v>
      </c>
      <c r="B11065" s="24" t="s">
        <v>13192</v>
      </c>
      <c r="C11065" s="25">
        <v>2752000</v>
      </c>
      <c r="D11065" s="22" t="s">
        <v>13371</v>
      </c>
      <c r="E11065" s="22" t="s">
        <v>79</v>
      </c>
      <c r="F11065" s="23" t="str">
        <f t="shared" si="540"/>
        <v>Установка автоматизированной информационной системы фото-видеофиксации нарушений правил дорожного движения на автомобильной дороге «р.п.Колышлей-с.Малая Сердоба-с.Саполга-«г.Нижний Новгород-г.Саратов» км 54+300 Малосердобинского района Пензенской обл...</v>
      </c>
      <c r="G11065" s="22" t="s">
        <v>514</v>
      </c>
      <c r="H11065" s="22" t="s">
        <v>2167</v>
      </c>
      <c r="I11065" s="26">
        <v>43552.755555555603</v>
      </c>
      <c r="J11065" s="23" t="str">
        <f>HYPERLINK("https://www.spark-marketing.ru/Card/Person/236655", "ООО ""ТМЦ -НН""")</f>
        <v>ООО "ТМЦ -НН"</v>
      </c>
      <c r="K11065" s="24" t="s">
        <v>4899</v>
      </c>
      <c r="L11065" s="22" t="s">
        <v>10</v>
      </c>
      <c r="M11065" s="25">
        <v>2710720</v>
      </c>
      <c r="N11065" s="27">
        <v>1.4999999999999999E-2</v>
      </c>
    </row>
    <row r="11066" spans="1:14" hidden="1" outlineLevel="1" x14ac:dyDescent="0.2">
      <c r="A11066" s="23" t="str">
        <f t="shared" si="538"/>
        <v>ГКУ "УПРАВЛЕНИЕ СТРОИТЕЛЬСТВА И ДОРОЖНОГО ХОЗЯЙСТВА ПЕНЗЕНСКОЙ ОБЛАСТИ"</v>
      </c>
      <c r="B11066" s="24" t="s">
        <v>13192</v>
      </c>
      <c r="C11066" s="25">
        <v>2752000</v>
      </c>
      <c r="D11066" s="22" t="s">
        <v>13371</v>
      </c>
      <c r="E11066" s="22" t="s">
        <v>79</v>
      </c>
      <c r="F11066" s="23" t="str">
        <f t="shared" si="540"/>
        <v>Установка автоматизированной информационной системы фото-видеофиксации нарушений правил дорожного движения на автомобильной дороге «р.п.Колышлей-с.Малая Сердоба-с.Саполга-«г.Нижний Новгород-г.Саратов» км 54+300 Малосердобинского района Пензенской обл...</v>
      </c>
      <c r="G11066" s="22" t="s">
        <v>514</v>
      </c>
      <c r="H11066" s="22" t="s">
        <v>2167</v>
      </c>
      <c r="I11066" s="26">
        <v>43552.755555555603</v>
      </c>
      <c r="J11066" s="23" t="str">
        <f>HYPERLINK("https://www.spark-marketing.ru/Card/Person/21753", "Поволжский филиал ПАО ""МЕГАФОН""")</f>
        <v>Поволжский филиал ПАО "МЕГАФОН"</v>
      </c>
      <c r="K11066" s="24" t="s">
        <v>2783</v>
      </c>
      <c r="L11066" s="28" t="s">
        <v>52</v>
      </c>
      <c r="M11066" s="25">
        <v>2738240</v>
      </c>
      <c r="N11066" s="27">
        <v>5.0000000000000001E-3</v>
      </c>
    </row>
    <row r="11067" spans="1:14" x14ac:dyDescent="0.15">
      <c r="A11067" s="23" t="str">
        <f t="shared" si="538"/>
        <v>ГКУ "УПРАВЛЕНИЕ СТРОИТЕЛЬСТВА И ДОРОЖНОГО ХОЗЯЙСТВА ПЕНЗЕНСКОЙ ОБЛАСТИ"</v>
      </c>
      <c r="B11067" s="24" t="s">
        <v>13192</v>
      </c>
      <c r="C11067" s="25">
        <v>2752000</v>
      </c>
      <c r="D11067" s="22" t="s">
        <v>13372</v>
      </c>
      <c r="E11067" s="22" t="s">
        <v>79</v>
      </c>
      <c r="F11067" s="23" t="str">
        <f t="shared" ref="F11067:F11072" si="541">HYPERLINK("https://www.spark-marketing.ru/Card/Lot/69119119", "Установка автоматизированной информационной системы фото-видеофиксации нарушений правил дорожного движения на автомобильной дороге «М5 «Урал»- г. Городище - с. Архангельское» км 4+500 Городищенского района Пензенской области")</f>
        <v>Установка автоматизированной информационной системы фото-видеофиксации нарушений правил дорожного движения на автомобильной дороге «М5 «Урал»- г. Городище - с. Архангельское» км 4+500 Городищенского района Пензенской области</v>
      </c>
      <c r="G11067" s="22" t="s">
        <v>514</v>
      </c>
      <c r="H11067" s="22" t="s">
        <v>2167</v>
      </c>
      <c r="I11067" s="26">
        <v>43552.755555555603</v>
      </c>
      <c r="J11067" s="28" t="s">
        <v>52</v>
      </c>
      <c r="K11067" s="28" t="s">
        <v>52</v>
      </c>
      <c r="L11067" s="28" t="s">
        <v>52</v>
      </c>
      <c r="M11067" s="28" t="s">
        <v>52</v>
      </c>
      <c r="N11067" s="28" t="s">
        <v>52</v>
      </c>
    </row>
    <row r="11068" spans="1:14" hidden="1" outlineLevel="1" x14ac:dyDescent="0.2">
      <c r="A11068" s="23" t="str">
        <f t="shared" si="538"/>
        <v>ГКУ "УПРАВЛЕНИЕ СТРОИТЕЛЬСТВА И ДОРОЖНОГО ХОЗЯЙСТВА ПЕНЗЕНСКОЙ ОБЛАСТИ"</v>
      </c>
      <c r="B11068" s="24" t="s">
        <v>13192</v>
      </c>
      <c r="C11068" s="25">
        <v>2752000</v>
      </c>
      <c r="D11068" s="22" t="s">
        <v>13372</v>
      </c>
      <c r="E11068" s="22" t="s">
        <v>79</v>
      </c>
      <c r="F11068" s="23" t="str">
        <f t="shared" si="541"/>
        <v>Установка автоматизированной информационной системы фото-видеофиксации нарушений правил дорожного движения на автомобильной дороге «М5 «Урал»- г. Городище - с. Архангельское» км 4+500 Городищенского района Пензенской области</v>
      </c>
      <c r="G11068" s="22" t="s">
        <v>514</v>
      </c>
      <c r="H11068" s="22" t="s">
        <v>2167</v>
      </c>
      <c r="I11068" s="26">
        <v>43552.755555555603</v>
      </c>
      <c r="J11068" s="23" t="str">
        <f>HYPERLINK("https://www.spark-marketing.ru/Card/Person/10991", "ПАО ""РОСТЕЛЕКОМ""")</f>
        <v>ПАО "РОСТЕЛЕКОМ"</v>
      </c>
      <c r="K11068" s="24" t="s">
        <v>607</v>
      </c>
      <c r="L11068" s="28" t="s">
        <v>52</v>
      </c>
      <c r="M11068" s="25">
        <v>2724480</v>
      </c>
      <c r="N11068" s="27">
        <v>0.01</v>
      </c>
    </row>
    <row r="11069" spans="1:14" ht="12.75" hidden="1" outlineLevel="1" x14ac:dyDescent="0.2">
      <c r="A11069" s="23" t="str">
        <f t="shared" si="538"/>
        <v>ГКУ "УПРАВЛЕНИЕ СТРОИТЕЛЬСТВА И ДОРОЖНОГО ХОЗЯЙСТВА ПЕНЗЕНСКОЙ ОБЛАСТИ"</v>
      </c>
      <c r="B11069" s="24" t="s">
        <v>13192</v>
      </c>
      <c r="C11069" s="25">
        <v>2752000</v>
      </c>
      <c r="D11069" s="22" t="s">
        <v>13372</v>
      </c>
      <c r="E11069" s="22" t="s">
        <v>79</v>
      </c>
      <c r="F11069" s="23" t="str">
        <f t="shared" si="541"/>
        <v>Установка автоматизированной информационной системы фото-видеофиксации нарушений правил дорожного движения на автомобильной дороге «М5 «Урал»- г. Городище - с. Архангельское» км 4+500 Городищенского района Пензенской области</v>
      </c>
      <c r="G11069" s="22" t="s">
        <v>514</v>
      </c>
      <c r="H11069" s="22" t="s">
        <v>2167</v>
      </c>
      <c r="I11069" s="26">
        <v>43552.755555555603</v>
      </c>
      <c r="J11069" s="23" t="str">
        <f>HYPERLINK("https://www.spark-marketing.ru/Card/Person/236655", "ООО ""ТМЦ -НН""")</f>
        <v>ООО "ТМЦ -НН"</v>
      </c>
      <c r="K11069" s="24" t="s">
        <v>4899</v>
      </c>
      <c r="L11069" s="22" t="s">
        <v>10</v>
      </c>
      <c r="M11069" s="25">
        <v>2710720</v>
      </c>
      <c r="N11069" s="27">
        <v>1.4999999999999999E-2</v>
      </c>
    </row>
    <row r="11070" spans="1:14" hidden="1" outlineLevel="1" x14ac:dyDescent="0.2">
      <c r="A11070" s="23" t="str">
        <f t="shared" si="538"/>
        <v>ГКУ "УПРАВЛЕНИЕ СТРОИТЕЛЬСТВА И ДОРОЖНОГО ХОЗЯЙСТВА ПЕНЗЕНСКОЙ ОБЛАСТИ"</v>
      </c>
      <c r="B11070" s="24" t="s">
        <v>13192</v>
      </c>
      <c r="C11070" s="25">
        <v>2752000</v>
      </c>
      <c r="D11070" s="22" t="s">
        <v>13372</v>
      </c>
      <c r="E11070" s="22" t="s">
        <v>79</v>
      </c>
      <c r="F11070" s="23" t="str">
        <f t="shared" si="541"/>
        <v>Установка автоматизированной информационной системы фото-видеофиксации нарушений правил дорожного движения на автомобильной дороге «М5 «Урал»- г. Городище - с. Архангельское» км 4+500 Городищенского района Пензенской области</v>
      </c>
      <c r="G11070" s="22" t="s">
        <v>514</v>
      </c>
      <c r="H11070" s="22" t="s">
        <v>2167</v>
      </c>
      <c r="I11070" s="26">
        <v>43552.755555555603</v>
      </c>
      <c r="J11070" s="23" t="str">
        <f>HYPERLINK("https://www.spark-marketing.ru/Card/Person/21753", "Поволжский филиал ПАО ""МЕГАФОН""")</f>
        <v>Поволжский филиал ПАО "МЕГАФОН"</v>
      </c>
      <c r="K11070" s="24" t="s">
        <v>2783</v>
      </c>
      <c r="L11070" s="28" t="s">
        <v>52</v>
      </c>
      <c r="M11070" s="25">
        <v>2738240</v>
      </c>
      <c r="N11070" s="27">
        <v>5.0000000000000001E-3</v>
      </c>
    </row>
    <row r="11071" spans="1:14" hidden="1" outlineLevel="1" x14ac:dyDescent="0.2">
      <c r="A11071" s="23" t="str">
        <f t="shared" si="538"/>
        <v>ГКУ "УПРАВЛЕНИЕ СТРОИТЕЛЬСТВА И ДОРОЖНОГО ХОЗЯЙСТВА ПЕНЗЕНСКОЙ ОБЛАСТИ"</v>
      </c>
      <c r="B11071" s="24" t="s">
        <v>13192</v>
      </c>
      <c r="C11071" s="25">
        <v>2752000</v>
      </c>
      <c r="D11071" s="22" t="s">
        <v>13372</v>
      </c>
      <c r="E11071" s="22" t="s">
        <v>79</v>
      </c>
      <c r="F11071" s="23" t="str">
        <f t="shared" si="541"/>
        <v>Установка автоматизированной информационной системы фото-видеофиксации нарушений правил дорожного движения на автомобильной дороге «М5 «Урал»- г. Городище - с. Архангельское» км 4+500 Городищенского района Пензенской области</v>
      </c>
      <c r="G11071" s="22" t="s">
        <v>514</v>
      </c>
      <c r="H11071" s="22" t="s">
        <v>2167</v>
      </c>
      <c r="I11071" s="26">
        <v>43552.755555555603</v>
      </c>
      <c r="J11071" s="23" t="str">
        <f>HYPERLINK("https://www.spark-marketing.ru/Card/Person/10991", "ПАО ""РОСТЕЛЕКОМ""")</f>
        <v>ПАО "РОСТЕЛЕКОМ"</v>
      </c>
      <c r="K11071" s="24" t="s">
        <v>607</v>
      </c>
      <c r="L11071" s="28" t="s">
        <v>52</v>
      </c>
      <c r="M11071" s="25">
        <v>2710720</v>
      </c>
      <c r="N11071" s="27">
        <v>1.4999999999999999E-2</v>
      </c>
    </row>
    <row r="11072" spans="1:14" ht="12.75" hidden="1" outlineLevel="1" x14ac:dyDescent="0.2">
      <c r="A11072" s="23" t="str">
        <f t="shared" si="538"/>
        <v>ГКУ "УПРАВЛЕНИЕ СТРОИТЕЛЬСТВА И ДОРОЖНОГО ХОЗЯЙСТВА ПЕНЗЕНСКОЙ ОБЛАСТИ"</v>
      </c>
      <c r="B11072" s="24" t="s">
        <v>13192</v>
      </c>
      <c r="C11072" s="25">
        <v>2752000</v>
      </c>
      <c r="D11072" s="22" t="s">
        <v>13372</v>
      </c>
      <c r="E11072" s="22" t="s">
        <v>79</v>
      </c>
      <c r="F11072" s="23" t="str">
        <f t="shared" si="541"/>
        <v>Установка автоматизированной информационной системы фото-видеофиксации нарушений правил дорожного движения на автомобильной дороге «М5 «Урал»- г. Городище - с. Архангельское» км 4+500 Городищенского района Пензенской области</v>
      </c>
      <c r="G11072" s="22" t="s">
        <v>514</v>
      </c>
      <c r="H11072" s="22" t="s">
        <v>2167</v>
      </c>
      <c r="I11072" s="26">
        <v>43552.755555555603</v>
      </c>
      <c r="J11072" s="23" t="str">
        <f>HYPERLINK("https://www.spark-marketing.ru/Card/Person/236655", "ООО ""ТМЦ -НН""")</f>
        <v>ООО "ТМЦ -НН"</v>
      </c>
      <c r="K11072" s="24" t="s">
        <v>4899</v>
      </c>
      <c r="L11072" s="22" t="s">
        <v>10</v>
      </c>
      <c r="M11072" s="25">
        <v>2696960</v>
      </c>
      <c r="N11072" s="27">
        <v>0.02</v>
      </c>
    </row>
    <row r="11073" spans="1:14" x14ac:dyDescent="0.15">
      <c r="A11073" s="23" t="str">
        <f t="shared" si="538"/>
        <v>ГКУ "УПРАВЛЕНИЕ СТРОИТЕЛЬСТВА И ДОРОЖНОГО ХОЗЯЙСТВА ПЕНЗЕНСКОЙ ОБЛАСТИ"</v>
      </c>
      <c r="B11073" s="24" t="s">
        <v>13192</v>
      </c>
      <c r="C11073" s="25">
        <v>2752000</v>
      </c>
      <c r="D11073" s="22" t="s">
        <v>13373</v>
      </c>
      <c r="E11073" s="22" t="s">
        <v>79</v>
      </c>
      <c r="F11073" s="23" t="str">
        <f t="shared" ref="F11073:F11078" si="542">HYPERLINK("https://www.spark-marketing.ru/Card/Lot/69119120", "Установка автоматизированной информационной системы фото-видеофиксации нарушений правил дорожного движения на автомобильной дороге «г.Городище- г.Никольск-д.Ночка-гр.области» км 60+200 Никольского района Пензенской области")</f>
        <v>Установка автоматизированной информационной системы фото-видеофиксации нарушений правил дорожного движения на автомобильной дороге «г.Городище- г.Никольск-д.Ночка-гр.области» км 60+200 Никольского района Пензенской области</v>
      </c>
      <c r="G11073" s="22" t="s">
        <v>514</v>
      </c>
      <c r="H11073" s="22" t="s">
        <v>2167</v>
      </c>
      <c r="I11073" s="26">
        <v>43552.754861111098</v>
      </c>
      <c r="J11073" s="28" t="s">
        <v>52</v>
      </c>
      <c r="K11073" s="28" t="s">
        <v>52</v>
      </c>
      <c r="L11073" s="28" t="s">
        <v>52</v>
      </c>
      <c r="M11073" s="28" t="s">
        <v>52</v>
      </c>
      <c r="N11073" s="28" t="s">
        <v>52</v>
      </c>
    </row>
    <row r="11074" spans="1:14" hidden="1" outlineLevel="1" x14ac:dyDescent="0.2">
      <c r="A11074" s="23" t="str">
        <f t="shared" si="538"/>
        <v>ГКУ "УПРАВЛЕНИЕ СТРОИТЕЛЬСТВА И ДОРОЖНОГО ХОЗЯЙСТВА ПЕНЗЕНСКОЙ ОБЛАСТИ"</v>
      </c>
      <c r="B11074" s="24" t="s">
        <v>13192</v>
      </c>
      <c r="C11074" s="25">
        <v>2752000</v>
      </c>
      <c r="D11074" s="22" t="s">
        <v>13373</v>
      </c>
      <c r="E11074" s="22" t="s">
        <v>79</v>
      </c>
      <c r="F11074" s="23" t="str">
        <f t="shared" si="542"/>
        <v>Установка автоматизированной информационной системы фото-видеофиксации нарушений правил дорожного движения на автомобильной дороге «г.Городище- г.Никольск-д.Ночка-гр.области» км 60+200 Никольского района Пензенской области</v>
      </c>
      <c r="G11074" s="22" t="s">
        <v>514</v>
      </c>
      <c r="H11074" s="22" t="s">
        <v>2167</v>
      </c>
      <c r="I11074" s="26">
        <v>43552.754861111098</v>
      </c>
      <c r="J11074" s="23" t="str">
        <f>HYPERLINK("https://www.spark-marketing.ru/Card/Person/10991", "ПАО ""РОСТЕЛЕКОМ""")</f>
        <v>ПАО "РОСТЕЛЕКОМ"</v>
      </c>
      <c r="K11074" s="24" t="s">
        <v>607</v>
      </c>
      <c r="L11074" s="28" t="s">
        <v>52</v>
      </c>
      <c r="M11074" s="25">
        <v>2724480</v>
      </c>
      <c r="N11074" s="27">
        <v>0.01</v>
      </c>
    </row>
    <row r="11075" spans="1:14" ht="12.75" hidden="1" outlineLevel="1" x14ac:dyDescent="0.2">
      <c r="A11075" s="23" t="str">
        <f t="shared" si="538"/>
        <v>ГКУ "УПРАВЛЕНИЕ СТРОИТЕЛЬСТВА И ДОРОЖНОГО ХОЗЯЙСТВА ПЕНЗЕНСКОЙ ОБЛАСТИ"</v>
      </c>
      <c r="B11075" s="24" t="s">
        <v>13192</v>
      </c>
      <c r="C11075" s="25">
        <v>2752000</v>
      </c>
      <c r="D11075" s="22" t="s">
        <v>13373</v>
      </c>
      <c r="E11075" s="22" t="s">
        <v>79</v>
      </c>
      <c r="F11075" s="23" t="str">
        <f t="shared" si="542"/>
        <v>Установка автоматизированной информационной системы фото-видеофиксации нарушений правил дорожного движения на автомобильной дороге «г.Городище- г.Никольск-д.Ночка-гр.области» км 60+200 Никольского района Пензенской области</v>
      </c>
      <c r="G11075" s="22" t="s">
        <v>514</v>
      </c>
      <c r="H11075" s="22" t="s">
        <v>2167</v>
      </c>
      <c r="I11075" s="26">
        <v>43552.754861111098</v>
      </c>
      <c r="J11075" s="23" t="str">
        <f>HYPERLINK("https://www.spark-marketing.ru/Card/Person/236655", "ООО ""ТМЦ -НН""")</f>
        <v>ООО "ТМЦ -НН"</v>
      </c>
      <c r="K11075" s="24" t="s">
        <v>4899</v>
      </c>
      <c r="L11075" s="22" t="s">
        <v>10</v>
      </c>
      <c r="M11075" s="25">
        <v>2710720</v>
      </c>
      <c r="N11075" s="27">
        <v>1.4999999999999999E-2</v>
      </c>
    </row>
    <row r="11076" spans="1:14" hidden="1" outlineLevel="1" x14ac:dyDescent="0.2">
      <c r="A11076" s="23" t="str">
        <f t="shared" si="538"/>
        <v>ГКУ "УПРАВЛЕНИЕ СТРОИТЕЛЬСТВА И ДОРОЖНОГО ХОЗЯЙСТВА ПЕНЗЕНСКОЙ ОБЛАСТИ"</v>
      </c>
      <c r="B11076" s="24" t="s">
        <v>13192</v>
      </c>
      <c r="C11076" s="25">
        <v>2752000</v>
      </c>
      <c r="D11076" s="22" t="s">
        <v>13373</v>
      </c>
      <c r="E11076" s="22" t="s">
        <v>79</v>
      </c>
      <c r="F11076" s="23" t="str">
        <f t="shared" si="542"/>
        <v>Установка автоматизированной информационной системы фото-видеофиксации нарушений правил дорожного движения на автомобильной дороге «г.Городище- г.Никольск-д.Ночка-гр.области» км 60+200 Никольского района Пензенской области</v>
      </c>
      <c r="G11076" s="22" t="s">
        <v>514</v>
      </c>
      <c r="H11076" s="22" t="s">
        <v>2167</v>
      </c>
      <c r="I11076" s="26">
        <v>43552.754861111098</v>
      </c>
      <c r="J11076" s="23" t="str">
        <f>HYPERLINK("https://www.spark-marketing.ru/Card/Person/10991", "ПАО ""РОСТЕЛЕКОМ""")</f>
        <v>ПАО "РОСТЕЛЕКОМ"</v>
      </c>
      <c r="K11076" s="24" t="s">
        <v>607</v>
      </c>
      <c r="L11076" s="28" t="s">
        <v>52</v>
      </c>
      <c r="M11076" s="25">
        <v>2724480</v>
      </c>
      <c r="N11076" s="27">
        <v>0.01</v>
      </c>
    </row>
    <row r="11077" spans="1:14" ht="12.75" hidden="1" outlineLevel="1" x14ac:dyDescent="0.2">
      <c r="A11077" s="23" t="str">
        <f t="shared" si="538"/>
        <v>ГКУ "УПРАВЛЕНИЕ СТРОИТЕЛЬСТВА И ДОРОЖНОГО ХОЗЯЙСТВА ПЕНЗЕНСКОЙ ОБЛАСТИ"</v>
      </c>
      <c r="B11077" s="24" t="s">
        <v>13192</v>
      </c>
      <c r="C11077" s="25">
        <v>2752000</v>
      </c>
      <c r="D11077" s="22" t="s">
        <v>13373</v>
      </c>
      <c r="E11077" s="22" t="s">
        <v>79</v>
      </c>
      <c r="F11077" s="23" t="str">
        <f t="shared" si="542"/>
        <v>Установка автоматизированной информационной системы фото-видеофиксации нарушений правил дорожного движения на автомобильной дороге «г.Городище- г.Никольск-д.Ночка-гр.области» км 60+200 Никольского района Пензенской области</v>
      </c>
      <c r="G11077" s="22" t="s">
        <v>514</v>
      </c>
      <c r="H11077" s="22" t="s">
        <v>2167</v>
      </c>
      <c r="I11077" s="26">
        <v>43552.754861111098</v>
      </c>
      <c r="J11077" s="23" t="str">
        <f>HYPERLINK("https://www.spark-marketing.ru/Card/Person/236655", "ООО ""ТМЦ -НН""")</f>
        <v>ООО "ТМЦ -НН"</v>
      </c>
      <c r="K11077" s="24" t="s">
        <v>4899</v>
      </c>
      <c r="L11077" s="22" t="s">
        <v>10</v>
      </c>
      <c r="M11077" s="25">
        <v>2710720</v>
      </c>
      <c r="N11077" s="27">
        <v>1.4999999999999999E-2</v>
      </c>
    </row>
    <row r="11078" spans="1:14" hidden="1" outlineLevel="1" x14ac:dyDescent="0.2">
      <c r="A11078" s="23" t="str">
        <f t="shared" si="538"/>
        <v>ГКУ "УПРАВЛЕНИЕ СТРОИТЕЛЬСТВА И ДОРОЖНОГО ХОЗЯЙСТВА ПЕНЗЕНСКОЙ ОБЛАСТИ"</v>
      </c>
      <c r="B11078" s="24" t="s">
        <v>13192</v>
      </c>
      <c r="C11078" s="25">
        <v>2752000</v>
      </c>
      <c r="D11078" s="22" t="s">
        <v>13373</v>
      </c>
      <c r="E11078" s="22" t="s">
        <v>79</v>
      </c>
      <c r="F11078" s="23" t="str">
        <f t="shared" si="542"/>
        <v>Установка автоматизированной информационной системы фото-видеофиксации нарушений правил дорожного движения на автомобильной дороге «г.Городище- г.Никольск-д.Ночка-гр.области» км 60+200 Никольского района Пензенской области</v>
      </c>
      <c r="G11078" s="22" t="s">
        <v>514</v>
      </c>
      <c r="H11078" s="22" t="s">
        <v>2167</v>
      </c>
      <c r="I11078" s="26">
        <v>43552.754861111098</v>
      </c>
      <c r="J11078" s="23" t="str">
        <f>HYPERLINK("https://www.spark-marketing.ru/Card/Person/21753", "Поволжский филиал ПАО ""МЕГАФОН""")</f>
        <v>Поволжский филиал ПАО "МЕГАФОН"</v>
      </c>
      <c r="K11078" s="24" t="s">
        <v>2783</v>
      </c>
      <c r="L11078" s="28" t="s">
        <v>52</v>
      </c>
      <c r="M11078" s="25">
        <v>2738240</v>
      </c>
      <c r="N11078" s="27">
        <v>5.0000000000000001E-3</v>
      </c>
    </row>
    <row r="11079" spans="1:14" x14ac:dyDescent="0.15">
      <c r="A11079" s="23" t="str">
        <f t="shared" ref="A11079:A11084" si="543">HYPERLINK("https://www.spark-marketing.ru/Card/Person/48248", "ГУП ""МОСГОРТРАНС""")</f>
        <v>ГУП "МОСГОРТРАНС"</v>
      </c>
      <c r="B11079" s="24" t="s">
        <v>1862</v>
      </c>
      <c r="C11079" s="25">
        <v>456480</v>
      </c>
      <c r="D11079" s="22" t="s">
        <v>13374</v>
      </c>
      <c r="E11079" s="22" t="s">
        <v>103</v>
      </c>
      <c r="F11079" s="23" t="str">
        <f t="shared" ref="F11079:F11084" si="544">HYPERLINK("https://www.spark-marketing.ru/Card/Lot/69120497", "Оказание услуг по техническому обслуживанию и круглосуточному автоматическому контролю за тревожной сигнализацией для нужд филиала Южный ГУП ""Мосгортранс""")</f>
        <v>Оказание услуг по техническому обслуживанию и круглосуточному автоматическому контролю за тревожной сигнализацией для нужд филиала Южный ГУП "Мосгортранс"</v>
      </c>
      <c r="G11079" s="22" t="s">
        <v>55</v>
      </c>
      <c r="H11079" s="22" t="s">
        <v>55</v>
      </c>
      <c r="I11079" s="26">
        <v>43552.781944444403</v>
      </c>
      <c r="J11079" s="28" t="s">
        <v>52</v>
      </c>
      <c r="K11079" s="28" t="s">
        <v>52</v>
      </c>
      <c r="L11079" s="28" t="s">
        <v>52</v>
      </c>
      <c r="M11079" s="28" t="s">
        <v>52</v>
      </c>
      <c r="N11079" s="28" t="s">
        <v>52</v>
      </c>
    </row>
    <row r="11080" spans="1:14" hidden="1" outlineLevel="1" x14ac:dyDescent="0.2">
      <c r="A11080" s="23" t="str">
        <f t="shared" si="543"/>
        <v>ГУП "МОСГОРТРАНС"</v>
      </c>
      <c r="B11080" s="24" t="s">
        <v>1862</v>
      </c>
      <c r="C11080" s="25">
        <v>456480</v>
      </c>
      <c r="D11080" s="22" t="s">
        <v>13374</v>
      </c>
      <c r="E11080" s="22" t="s">
        <v>103</v>
      </c>
      <c r="F11080" s="23" t="str">
        <f t="shared" si="544"/>
        <v>Оказание услуг по техническому обслуживанию и круглосуточному автоматическому контролю за тревожной сигнализацией для нужд филиала Южный ГУП "Мосгортранс"</v>
      </c>
      <c r="G11080" s="22" t="s">
        <v>55</v>
      </c>
      <c r="H11080" s="22" t="s">
        <v>55</v>
      </c>
      <c r="I11080" s="26">
        <v>43552.781944444403</v>
      </c>
      <c r="J11080" s="23" t="str">
        <f>HYPERLINK("https://www.spark-marketing.ru/Card/Person/138497", "ООО ""ПТС""")</f>
        <v>ООО "ПТС"</v>
      </c>
      <c r="K11080" s="24" t="s">
        <v>9590</v>
      </c>
      <c r="L11080" s="28" t="s">
        <v>52</v>
      </c>
      <c r="M11080" s="25">
        <v>344635.2</v>
      </c>
      <c r="N11080" s="27">
        <v>0.24501577287066245</v>
      </c>
    </row>
    <row r="11081" spans="1:14" ht="12.75" hidden="1" outlineLevel="1" x14ac:dyDescent="0.2">
      <c r="A11081" s="23" t="str">
        <f t="shared" si="543"/>
        <v>ГУП "МОСГОРТРАНС"</v>
      </c>
      <c r="B11081" s="24" t="s">
        <v>1862</v>
      </c>
      <c r="C11081" s="25">
        <v>456480</v>
      </c>
      <c r="D11081" s="22" t="s">
        <v>13374</v>
      </c>
      <c r="E11081" s="22" t="s">
        <v>103</v>
      </c>
      <c r="F11081" s="23" t="str">
        <f t="shared" si="544"/>
        <v>Оказание услуг по техническому обслуживанию и круглосуточному автоматическому контролю за тревожной сигнализацией для нужд филиала Южный ГУП "Мосгортранс"</v>
      </c>
      <c r="G11081" s="22" t="s">
        <v>55</v>
      </c>
      <c r="H11081" s="22" t="s">
        <v>55</v>
      </c>
      <c r="I11081" s="26">
        <v>43552.781944444403</v>
      </c>
      <c r="J11081" s="23" t="str">
        <f>HYPERLINK("https://www.spark-marketing.ru/Card/Person/659803", "ООО ""ЭСТОК-СЕРВИС""")</f>
        <v>ООО "ЭСТОК-СЕРВИС"</v>
      </c>
      <c r="K11081" s="24" t="s">
        <v>13375</v>
      </c>
      <c r="L11081" s="22" t="s">
        <v>10</v>
      </c>
      <c r="M11081" s="25">
        <v>98870.399999999994</v>
      </c>
      <c r="N11081" s="27">
        <v>0.78340694006309153</v>
      </c>
    </row>
    <row r="11082" spans="1:14" hidden="1" outlineLevel="1" x14ac:dyDescent="0.2">
      <c r="A11082" s="23" t="str">
        <f t="shared" si="543"/>
        <v>ГУП "МОСГОРТРАНС"</v>
      </c>
      <c r="B11082" s="24" t="s">
        <v>1862</v>
      </c>
      <c r="C11082" s="25">
        <v>456480</v>
      </c>
      <c r="D11082" s="22" t="s">
        <v>13374</v>
      </c>
      <c r="E11082" s="22" t="s">
        <v>103</v>
      </c>
      <c r="F11082" s="23" t="str">
        <f t="shared" si="544"/>
        <v>Оказание услуг по техническому обслуживанию и круглосуточному автоматическому контролю за тревожной сигнализацией для нужд филиала Южный ГУП "Мосгортранс"</v>
      </c>
      <c r="G11082" s="22" t="s">
        <v>55</v>
      </c>
      <c r="H11082" s="22" t="s">
        <v>55</v>
      </c>
      <c r="I11082" s="26">
        <v>43552.781944444403</v>
      </c>
      <c r="J11082" s="23" t="str">
        <f>HYPERLINK("https://www.spark-marketing.ru/Card/Person/373513", "ООО ""СПЕЦМОНТАЖ-ЮВ""")</f>
        <v>ООО "СПЕЦМОНТАЖ-ЮВ"</v>
      </c>
      <c r="K11082" s="24" t="s">
        <v>4143</v>
      </c>
      <c r="L11082" s="28" t="s">
        <v>52</v>
      </c>
      <c r="M11082" s="25">
        <v>246491.2</v>
      </c>
      <c r="N11082" s="27">
        <v>0.46001752541184721</v>
      </c>
    </row>
    <row r="11083" spans="1:14" hidden="1" outlineLevel="1" x14ac:dyDescent="0.2">
      <c r="A11083" s="23" t="str">
        <f t="shared" si="543"/>
        <v>ГУП "МОСГОРТРАНС"</v>
      </c>
      <c r="B11083" s="24" t="s">
        <v>1862</v>
      </c>
      <c r="C11083" s="25">
        <v>456480</v>
      </c>
      <c r="D11083" s="22" t="s">
        <v>13374</v>
      </c>
      <c r="E11083" s="22" t="s">
        <v>103</v>
      </c>
      <c r="F11083" s="23" t="str">
        <f t="shared" si="544"/>
        <v>Оказание услуг по техническому обслуживанию и круглосуточному автоматическому контролю за тревожной сигнализацией для нужд филиала Южный ГУП "Мосгортранс"</v>
      </c>
      <c r="G11083" s="22" t="s">
        <v>55</v>
      </c>
      <c r="H11083" s="22" t="s">
        <v>55</v>
      </c>
      <c r="I11083" s="26">
        <v>43552.781944444403</v>
      </c>
      <c r="J11083" s="23" t="str">
        <f>HYPERLINK("https://www.spark-marketing.ru/Card/Person/6462474", "ООО ""ФАВОР""")</f>
        <v>ООО "ФАВОР"</v>
      </c>
      <c r="K11083" s="24" t="s">
        <v>2058</v>
      </c>
      <c r="L11083" s="28" t="s">
        <v>52</v>
      </c>
      <c r="M11083" s="25">
        <v>101152.8</v>
      </c>
      <c r="N11083" s="27">
        <v>0.77840694006309152</v>
      </c>
    </row>
    <row r="11084" spans="1:14" hidden="1" outlineLevel="1" x14ac:dyDescent="0.2">
      <c r="A11084" s="23" t="str">
        <f t="shared" si="543"/>
        <v>ГУП "МОСГОРТРАНС"</v>
      </c>
      <c r="B11084" s="24" t="s">
        <v>1862</v>
      </c>
      <c r="C11084" s="25">
        <v>456480</v>
      </c>
      <c r="D11084" s="22" t="s">
        <v>13374</v>
      </c>
      <c r="E11084" s="22" t="s">
        <v>103</v>
      </c>
      <c r="F11084" s="23" t="str">
        <f t="shared" si="544"/>
        <v>Оказание услуг по техническому обслуживанию и круглосуточному автоматическому контролю за тревожной сигнализацией для нужд филиала Южный ГУП "Мосгортранс"</v>
      </c>
      <c r="G11084" s="22" t="s">
        <v>55</v>
      </c>
      <c r="H11084" s="22" t="s">
        <v>55</v>
      </c>
      <c r="I11084" s="26">
        <v>43552.781944444403</v>
      </c>
      <c r="J11084" s="23" t="str">
        <f>HYPERLINK("https://www.spark-marketing.ru/Card/Person/63144", "ООО""ЧОП""РАДУГА""")</f>
        <v>ООО"ЧОП"РАДУГА"</v>
      </c>
      <c r="K11084" s="24" t="s">
        <v>13376</v>
      </c>
      <c r="L11084" s="28" t="s">
        <v>52</v>
      </c>
      <c r="M11084" s="25">
        <v>146520</v>
      </c>
      <c r="N11084" s="27">
        <v>0.67902208201892744</v>
      </c>
    </row>
    <row r="11085" spans="1:14" x14ac:dyDescent="0.15">
      <c r="A11085" s="23" t="str">
        <f t="shared" ref="A11085:A11096" si="545">HYPERLINK("https://www.spark-marketing.ru/Card/Person/7616", "ГКУ ""УПРАВЛЕНИЕ СТРОИТЕЛЬСТВА И ДОРОЖНОГО ХОЗЯЙСТВА ПЕНЗЕНСКОЙ ОБЛАСТИ""")</f>
        <v>ГКУ "УПРАВЛЕНИЕ СТРОИТЕЛЬСТВА И ДОРОЖНОГО ХОЗЯЙСТВА ПЕНЗЕНСКОЙ ОБЛАСТИ"</v>
      </c>
      <c r="B11085" s="24" t="s">
        <v>13192</v>
      </c>
      <c r="C11085" s="25">
        <v>2752000</v>
      </c>
      <c r="D11085" s="22" t="s">
        <v>13377</v>
      </c>
      <c r="E11085" s="22" t="s">
        <v>79</v>
      </c>
      <c r="F11085" s="23" t="str">
        <f t="shared" ref="F11085:F11090" si="546">HYPERLINK("https://www.spark-marketing.ru/Card/Lot/69119138", "Установка автоматизированной информационной системы фото-видеофиксации нарушений правил дорожного движения на автомобильной дороге «с.Поим- р.п.Башмаково-р.п.Земетчино» км 8+870 Белинского района Пензенской области")</f>
        <v>Установка автоматизированной информационной системы фото-видеофиксации нарушений правил дорожного движения на автомобильной дороге «с.Поим- р.п.Башмаково-р.п.Земетчино» км 8+870 Белинского района Пензенской области</v>
      </c>
      <c r="G11085" s="22" t="s">
        <v>514</v>
      </c>
      <c r="H11085" s="22" t="s">
        <v>2167</v>
      </c>
      <c r="I11085" s="26">
        <v>43552.757638888899</v>
      </c>
      <c r="J11085" s="28" t="s">
        <v>52</v>
      </c>
      <c r="K11085" s="28" t="s">
        <v>52</v>
      </c>
      <c r="L11085" s="28" t="s">
        <v>52</v>
      </c>
      <c r="M11085" s="28" t="s">
        <v>52</v>
      </c>
      <c r="N11085" s="28" t="s">
        <v>52</v>
      </c>
    </row>
    <row r="11086" spans="1:14" hidden="1" outlineLevel="1" x14ac:dyDescent="0.2">
      <c r="A11086" s="23" t="str">
        <f t="shared" si="545"/>
        <v>ГКУ "УПРАВЛЕНИЕ СТРОИТЕЛЬСТВА И ДОРОЖНОГО ХОЗЯЙСТВА ПЕНЗЕНСКОЙ ОБЛАСТИ"</v>
      </c>
      <c r="B11086" s="24" t="s">
        <v>13192</v>
      </c>
      <c r="C11086" s="25">
        <v>2752000</v>
      </c>
      <c r="D11086" s="22" t="s">
        <v>13377</v>
      </c>
      <c r="E11086" s="22" t="s">
        <v>79</v>
      </c>
      <c r="F11086" s="23" t="str">
        <f t="shared" si="546"/>
        <v>Установка автоматизированной информационной системы фото-видеофиксации нарушений правил дорожного движения на автомобильной дороге «с.Поим- р.п.Башмаково-р.п.Земетчино» км 8+870 Белинского района Пензенской области</v>
      </c>
      <c r="G11086" s="22" t="s">
        <v>514</v>
      </c>
      <c r="H11086" s="22" t="s">
        <v>2167</v>
      </c>
      <c r="I11086" s="26">
        <v>43552.757638888899</v>
      </c>
      <c r="J11086" s="23" t="str">
        <f>HYPERLINK("https://www.spark-marketing.ru/Card/Person/21753", "Поволжский филиал ПАО ""МЕГАФОН""")</f>
        <v>Поволжский филиал ПАО "МЕГАФОН"</v>
      </c>
      <c r="K11086" s="24" t="s">
        <v>2783</v>
      </c>
      <c r="L11086" s="28" t="s">
        <v>52</v>
      </c>
      <c r="M11086" s="25">
        <v>2738240</v>
      </c>
      <c r="N11086" s="27">
        <v>5.0000000000000001E-3</v>
      </c>
    </row>
    <row r="11087" spans="1:14" hidden="1" outlineLevel="1" x14ac:dyDescent="0.2">
      <c r="A11087" s="23" t="str">
        <f t="shared" si="545"/>
        <v>ГКУ "УПРАВЛЕНИЕ СТРОИТЕЛЬСТВА И ДОРОЖНОГО ХОЗЯЙСТВА ПЕНЗЕНСКОЙ ОБЛАСТИ"</v>
      </c>
      <c r="B11087" s="24" t="s">
        <v>13192</v>
      </c>
      <c r="C11087" s="25">
        <v>2752000</v>
      </c>
      <c r="D11087" s="22" t="s">
        <v>13377</v>
      </c>
      <c r="E11087" s="22" t="s">
        <v>79</v>
      </c>
      <c r="F11087" s="23" t="str">
        <f t="shared" si="546"/>
        <v>Установка автоматизированной информационной системы фото-видеофиксации нарушений правил дорожного движения на автомобильной дороге «с.Поим- р.п.Башмаково-р.п.Земетчино» км 8+870 Белинского района Пензенской области</v>
      </c>
      <c r="G11087" s="22" t="s">
        <v>514</v>
      </c>
      <c r="H11087" s="22" t="s">
        <v>2167</v>
      </c>
      <c r="I11087" s="26">
        <v>43552.757638888899</v>
      </c>
      <c r="J11087" s="23" t="str">
        <f>HYPERLINK("https://www.spark-marketing.ru/Card/Person/10991", "ПАО ""РОСТЕЛЕКОМ""")</f>
        <v>ПАО "РОСТЕЛЕКОМ"</v>
      </c>
      <c r="K11087" s="24" t="s">
        <v>607</v>
      </c>
      <c r="L11087" s="28" t="s">
        <v>52</v>
      </c>
      <c r="M11087" s="25">
        <v>2724480</v>
      </c>
      <c r="N11087" s="27">
        <v>0.01</v>
      </c>
    </row>
    <row r="11088" spans="1:14" ht="12.75" hidden="1" outlineLevel="1" x14ac:dyDescent="0.2">
      <c r="A11088" s="23" t="str">
        <f t="shared" si="545"/>
        <v>ГКУ "УПРАВЛЕНИЕ СТРОИТЕЛЬСТВА И ДОРОЖНОГО ХОЗЯЙСТВА ПЕНЗЕНСКОЙ ОБЛАСТИ"</v>
      </c>
      <c r="B11088" s="24" t="s">
        <v>13192</v>
      </c>
      <c r="C11088" s="25">
        <v>2752000</v>
      </c>
      <c r="D11088" s="22" t="s">
        <v>13377</v>
      </c>
      <c r="E11088" s="22" t="s">
        <v>79</v>
      </c>
      <c r="F11088" s="23" t="str">
        <f t="shared" si="546"/>
        <v>Установка автоматизированной информационной системы фото-видеофиксации нарушений правил дорожного движения на автомобильной дороге «с.Поим- р.п.Башмаково-р.п.Земетчино» км 8+870 Белинского района Пензенской области</v>
      </c>
      <c r="G11088" s="22" t="s">
        <v>514</v>
      </c>
      <c r="H11088" s="22" t="s">
        <v>2167</v>
      </c>
      <c r="I11088" s="26">
        <v>43552.757638888899</v>
      </c>
      <c r="J11088" s="23" t="str">
        <f>HYPERLINK("https://www.spark-marketing.ru/Card/Person/236655", "ООО ""ТМЦ -НН""")</f>
        <v>ООО "ТМЦ -НН"</v>
      </c>
      <c r="K11088" s="24" t="s">
        <v>4899</v>
      </c>
      <c r="L11088" s="22" t="s">
        <v>10</v>
      </c>
      <c r="M11088" s="25">
        <v>2710720</v>
      </c>
      <c r="N11088" s="27">
        <v>1.4999999999999999E-2</v>
      </c>
    </row>
    <row r="11089" spans="1:14" ht="12.75" hidden="1" outlineLevel="1" x14ac:dyDescent="0.2">
      <c r="A11089" s="23" t="str">
        <f t="shared" si="545"/>
        <v>ГКУ "УПРАВЛЕНИЕ СТРОИТЕЛЬСТВА И ДОРОЖНОГО ХОЗЯЙСТВА ПЕНЗЕНСКОЙ ОБЛАСТИ"</v>
      </c>
      <c r="B11089" s="24" t="s">
        <v>13192</v>
      </c>
      <c r="C11089" s="25">
        <v>2752000</v>
      </c>
      <c r="D11089" s="22" t="s">
        <v>13377</v>
      </c>
      <c r="E11089" s="22" t="s">
        <v>79</v>
      </c>
      <c r="F11089" s="23" t="str">
        <f t="shared" si="546"/>
        <v>Установка автоматизированной информационной системы фото-видеофиксации нарушений правил дорожного движения на автомобильной дороге «с.Поим- р.п.Башмаково-р.п.Земетчино» км 8+870 Белинского района Пензенской области</v>
      </c>
      <c r="G11089" s="22" t="s">
        <v>514</v>
      </c>
      <c r="H11089" s="22" t="s">
        <v>2167</v>
      </c>
      <c r="I11089" s="26">
        <v>43552.757638888899</v>
      </c>
      <c r="J11089" s="23" t="str">
        <f>HYPERLINK("https://www.spark-marketing.ru/Card/Person/236655", "ООО ""ТМЦ -НН""")</f>
        <v>ООО "ТМЦ -НН"</v>
      </c>
      <c r="K11089" s="24" t="s">
        <v>4899</v>
      </c>
      <c r="L11089" s="22" t="s">
        <v>10</v>
      </c>
      <c r="M11089" s="25">
        <v>2710720</v>
      </c>
      <c r="N11089" s="27">
        <v>1.4999999999999999E-2</v>
      </c>
    </row>
    <row r="11090" spans="1:14" hidden="1" outlineLevel="1" x14ac:dyDescent="0.2">
      <c r="A11090" s="23" t="str">
        <f t="shared" si="545"/>
        <v>ГКУ "УПРАВЛЕНИЕ СТРОИТЕЛЬСТВА И ДОРОЖНОГО ХОЗЯЙСТВА ПЕНЗЕНСКОЙ ОБЛАСТИ"</v>
      </c>
      <c r="B11090" s="24" t="s">
        <v>13192</v>
      </c>
      <c r="C11090" s="25">
        <v>2752000</v>
      </c>
      <c r="D11090" s="22" t="s">
        <v>13377</v>
      </c>
      <c r="E11090" s="22" t="s">
        <v>79</v>
      </c>
      <c r="F11090" s="23" t="str">
        <f t="shared" si="546"/>
        <v>Установка автоматизированной информационной системы фото-видеофиксации нарушений правил дорожного движения на автомобильной дороге «с.Поим- р.п.Башмаково-р.п.Земетчино» км 8+870 Белинского района Пензенской области</v>
      </c>
      <c r="G11090" s="22" t="s">
        <v>514</v>
      </c>
      <c r="H11090" s="22" t="s">
        <v>2167</v>
      </c>
      <c r="I11090" s="26">
        <v>43552.757638888899</v>
      </c>
      <c r="J11090" s="23" t="str">
        <f>HYPERLINK("https://www.spark-marketing.ru/Card/Person/10991", "ПАО ""РОСТЕЛЕКОМ""")</f>
        <v>ПАО "РОСТЕЛЕКОМ"</v>
      </c>
      <c r="K11090" s="24" t="s">
        <v>607</v>
      </c>
      <c r="L11090" s="28" t="s">
        <v>52</v>
      </c>
      <c r="M11090" s="25">
        <v>2724480</v>
      </c>
      <c r="N11090" s="27">
        <v>0.01</v>
      </c>
    </row>
    <row r="11091" spans="1:14" x14ac:dyDescent="0.15">
      <c r="A11091" s="23" t="str">
        <f t="shared" si="545"/>
        <v>ГКУ "УПРАВЛЕНИЕ СТРОИТЕЛЬСТВА И ДОРОЖНОГО ХОЗЯЙСТВА ПЕНЗЕНСКОЙ ОБЛАСТИ"</v>
      </c>
      <c r="B11091" s="24" t="s">
        <v>13192</v>
      </c>
      <c r="C11091" s="25">
        <v>2752000</v>
      </c>
      <c r="D11091" s="22" t="s">
        <v>13378</v>
      </c>
      <c r="E11091" s="22" t="s">
        <v>79</v>
      </c>
      <c r="F11091" s="23" t="str">
        <f t="shared" ref="F11091:F11096" si="547">HYPERLINK("https://www.spark-marketing.ru/Card/Lot/69119225", "Установка автоматизированной информационной системы фото-видеофиксации нарушений правил дорожного движения на автомобильной дороге «с.Нижняя Елюзань- с. Русский Камешкир- с. Лопатино-граница области» км 62+160 Лопатинского района Пензенской области")</f>
        <v>Установка автоматизированной информационной системы фото-видеофиксации нарушений правил дорожного движения на автомобильной дороге «с.Нижняя Елюзань- с. Русский Камешкир- с. Лопатино-граница области» км 62+160 Лопатинского района Пензенской области</v>
      </c>
      <c r="G11091" s="22" t="s">
        <v>514</v>
      </c>
      <c r="H11091" s="22" t="s">
        <v>2167</v>
      </c>
      <c r="I11091" s="26">
        <v>43552.755555555603</v>
      </c>
      <c r="J11091" s="28" t="s">
        <v>52</v>
      </c>
      <c r="K11091" s="28" t="s">
        <v>52</v>
      </c>
      <c r="L11091" s="28" t="s">
        <v>52</v>
      </c>
      <c r="M11091" s="28" t="s">
        <v>52</v>
      </c>
      <c r="N11091" s="28" t="s">
        <v>52</v>
      </c>
    </row>
    <row r="11092" spans="1:14" hidden="1" outlineLevel="1" x14ac:dyDescent="0.2">
      <c r="A11092" s="23" t="str">
        <f t="shared" si="545"/>
        <v>ГКУ "УПРАВЛЕНИЕ СТРОИТЕЛЬСТВА И ДОРОЖНОГО ХОЗЯЙСТВА ПЕНЗЕНСКОЙ ОБЛАСТИ"</v>
      </c>
      <c r="B11092" s="24" t="s">
        <v>13192</v>
      </c>
      <c r="C11092" s="25">
        <v>2752000</v>
      </c>
      <c r="D11092" s="22" t="s">
        <v>13378</v>
      </c>
      <c r="E11092" s="22" t="s">
        <v>79</v>
      </c>
      <c r="F11092" s="23" t="str">
        <f t="shared" si="547"/>
        <v>Установка автоматизированной информационной системы фото-видеофиксации нарушений правил дорожного движения на автомобильной дороге «с.Нижняя Елюзань- с. Русский Камешкир- с. Лопатино-граница области» км 62+160 Лопатинского района Пензенской области</v>
      </c>
      <c r="G11092" s="22" t="s">
        <v>514</v>
      </c>
      <c r="H11092" s="22" t="s">
        <v>2167</v>
      </c>
      <c r="I11092" s="26">
        <v>43552.755555555603</v>
      </c>
      <c r="J11092" s="23" t="str">
        <f>HYPERLINK("https://www.spark-marketing.ru/Card/Person/10991", "ПАО ""РОСТЕЛЕКОМ""")</f>
        <v>ПАО "РОСТЕЛЕКОМ"</v>
      </c>
      <c r="K11092" s="24" t="s">
        <v>607</v>
      </c>
      <c r="L11092" s="28" t="s">
        <v>52</v>
      </c>
      <c r="M11092" s="25">
        <v>2724480</v>
      </c>
      <c r="N11092" s="27">
        <v>0.01</v>
      </c>
    </row>
    <row r="11093" spans="1:14" ht="12.75" hidden="1" outlineLevel="1" x14ac:dyDescent="0.2">
      <c r="A11093" s="23" t="str">
        <f t="shared" si="545"/>
        <v>ГКУ "УПРАВЛЕНИЕ СТРОИТЕЛЬСТВА И ДОРОЖНОГО ХОЗЯЙСТВА ПЕНЗЕНСКОЙ ОБЛАСТИ"</v>
      </c>
      <c r="B11093" s="24" t="s">
        <v>13192</v>
      </c>
      <c r="C11093" s="25">
        <v>2752000</v>
      </c>
      <c r="D11093" s="22" t="s">
        <v>13378</v>
      </c>
      <c r="E11093" s="22" t="s">
        <v>79</v>
      </c>
      <c r="F11093" s="23" t="str">
        <f t="shared" si="547"/>
        <v>Установка автоматизированной информационной системы фото-видеофиксации нарушений правил дорожного движения на автомобильной дороге «с.Нижняя Елюзань- с. Русский Камешкир- с. Лопатино-граница области» км 62+160 Лопатинского района Пензенской области</v>
      </c>
      <c r="G11093" s="22" t="s">
        <v>514</v>
      </c>
      <c r="H11093" s="22" t="s">
        <v>2167</v>
      </c>
      <c r="I11093" s="26">
        <v>43552.755555555603</v>
      </c>
      <c r="J11093" s="23" t="str">
        <f>HYPERLINK("https://www.spark-marketing.ru/Card/Person/236655", "ООО ""ТМЦ -НН""")</f>
        <v>ООО "ТМЦ -НН"</v>
      </c>
      <c r="K11093" s="24" t="s">
        <v>4899</v>
      </c>
      <c r="L11093" s="22" t="s">
        <v>10</v>
      </c>
      <c r="M11093" s="25">
        <v>2710720</v>
      </c>
      <c r="N11093" s="27">
        <v>1.4999999999999999E-2</v>
      </c>
    </row>
    <row r="11094" spans="1:14" hidden="1" outlineLevel="1" x14ac:dyDescent="0.2">
      <c r="A11094" s="23" t="str">
        <f t="shared" si="545"/>
        <v>ГКУ "УПРАВЛЕНИЕ СТРОИТЕЛЬСТВА И ДОРОЖНОГО ХОЗЯЙСТВА ПЕНЗЕНСКОЙ ОБЛАСТИ"</v>
      </c>
      <c r="B11094" s="24" t="s">
        <v>13192</v>
      </c>
      <c r="C11094" s="25">
        <v>2752000</v>
      </c>
      <c r="D11094" s="22" t="s">
        <v>13378</v>
      </c>
      <c r="E11094" s="22" t="s">
        <v>79</v>
      </c>
      <c r="F11094" s="23" t="str">
        <f t="shared" si="547"/>
        <v>Установка автоматизированной информационной системы фото-видеофиксации нарушений правил дорожного движения на автомобильной дороге «с.Нижняя Елюзань- с. Русский Камешкир- с. Лопатино-граница области» км 62+160 Лопатинского района Пензенской области</v>
      </c>
      <c r="G11094" s="22" t="s">
        <v>514</v>
      </c>
      <c r="H11094" s="22" t="s">
        <v>2167</v>
      </c>
      <c r="I11094" s="26">
        <v>43552.755555555603</v>
      </c>
      <c r="J11094" s="23" t="str">
        <f>HYPERLINK("https://www.spark-marketing.ru/Card/Person/10991", "ПАО ""РОСТЕЛЕКОМ""")</f>
        <v>ПАО "РОСТЕЛЕКОМ"</v>
      </c>
      <c r="K11094" s="24" t="s">
        <v>607</v>
      </c>
      <c r="L11094" s="28" t="s">
        <v>52</v>
      </c>
      <c r="M11094" s="25">
        <v>2724480</v>
      </c>
      <c r="N11094" s="27">
        <v>0.01</v>
      </c>
    </row>
    <row r="11095" spans="1:14" ht="12.75" hidden="1" outlineLevel="1" x14ac:dyDescent="0.2">
      <c r="A11095" s="23" t="str">
        <f t="shared" si="545"/>
        <v>ГКУ "УПРАВЛЕНИЕ СТРОИТЕЛЬСТВА И ДОРОЖНОГО ХОЗЯЙСТВА ПЕНЗЕНСКОЙ ОБЛАСТИ"</v>
      </c>
      <c r="B11095" s="24" t="s">
        <v>13192</v>
      </c>
      <c r="C11095" s="25">
        <v>2752000</v>
      </c>
      <c r="D11095" s="22" t="s">
        <v>13378</v>
      </c>
      <c r="E11095" s="22" t="s">
        <v>79</v>
      </c>
      <c r="F11095" s="23" t="str">
        <f t="shared" si="547"/>
        <v>Установка автоматизированной информационной системы фото-видеофиксации нарушений правил дорожного движения на автомобильной дороге «с.Нижняя Елюзань- с. Русский Камешкир- с. Лопатино-граница области» км 62+160 Лопатинского района Пензенской области</v>
      </c>
      <c r="G11095" s="22" t="s">
        <v>514</v>
      </c>
      <c r="H11095" s="22" t="s">
        <v>2167</v>
      </c>
      <c r="I11095" s="26">
        <v>43552.755555555603</v>
      </c>
      <c r="J11095" s="23" t="str">
        <f>HYPERLINK("https://www.spark-marketing.ru/Card/Person/236655", "ООО ""ТМЦ -НН""")</f>
        <v>ООО "ТМЦ -НН"</v>
      </c>
      <c r="K11095" s="24" t="s">
        <v>4899</v>
      </c>
      <c r="L11095" s="22" t="s">
        <v>10</v>
      </c>
      <c r="M11095" s="25">
        <v>2710720</v>
      </c>
      <c r="N11095" s="27">
        <v>1.4999999999999999E-2</v>
      </c>
    </row>
    <row r="11096" spans="1:14" hidden="1" outlineLevel="1" x14ac:dyDescent="0.2">
      <c r="A11096" s="23" t="str">
        <f t="shared" si="545"/>
        <v>ГКУ "УПРАВЛЕНИЕ СТРОИТЕЛЬСТВА И ДОРОЖНОГО ХОЗЯЙСТВА ПЕНЗЕНСКОЙ ОБЛАСТИ"</v>
      </c>
      <c r="B11096" s="24" t="s">
        <v>13192</v>
      </c>
      <c r="C11096" s="25">
        <v>2752000</v>
      </c>
      <c r="D11096" s="22" t="s">
        <v>13378</v>
      </c>
      <c r="E11096" s="22" t="s">
        <v>79</v>
      </c>
      <c r="F11096" s="23" t="str">
        <f t="shared" si="547"/>
        <v>Установка автоматизированной информационной системы фото-видеофиксации нарушений правил дорожного движения на автомобильной дороге «с.Нижняя Елюзань- с. Русский Камешкир- с. Лопатино-граница области» км 62+160 Лопатинского района Пензенской области</v>
      </c>
      <c r="G11096" s="22" t="s">
        <v>514</v>
      </c>
      <c r="H11096" s="22" t="s">
        <v>2167</v>
      </c>
      <c r="I11096" s="26">
        <v>43552.755555555603</v>
      </c>
      <c r="J11096" s="23" t="str">
        <f>HYPERLINK("https://www.spark-marketing.ru/Card/Person/21753", "Поволжский филиал ПАО ""МЕГАФОН""")</f>
        <v>Поволжский филиал ПАО "МЕГАФОН"</v>
      </c>
      <c r="K11096" s="24" t="s">
        <v>2783</v>
      </c>
      <c r="L11096" s="28" t="s">
        <v>52</v>
      </c>
      <c r="M11096" s="25">
        <v>2738240</v>
      </c>
      <c r="N11096" s="27">
        <v>5.0000000000000001E-3</v>
      </c>
    </row>
    <row r="11097" spans="1:14" x14ac:dyDescent="0.15">
      <c r="A11097" s="23" t="str">
        <f>HYPERLINK("https://www.spark-marketing.ru/Card/Person/65333", "ФКУЗ ""ПРИЧЕРНОМОРСКАЯ ПЧС"" РОСПОТРЕБНАДЗОРА")</f>
        <v>ФКУЗ "ПРИЧЕРНОМОРСКАЯ ПЧС" РОСПОТРЕБНАДЗОРА</v>
      </c>
      <c r="B11097" s="24" t="s">
        <v>8109</v>
      </c>
      <c r="C11097" s="25">
        <v>15254.52</v>
      </c>
      <c r="D11097" s="22" t="s">
        <v>13379</v>
      </c>
      <c r="E11097" s="22" t="s">
        <v>53</v>
      </c>
      <c r="F11097" s="23" t="str">
        <f>HYPERLINK("https://www.spark-marketing.ru/Card/Lot/70788847", "Оказание услуг по осуществлению технического обслуживания комплекса видеонаблюдения")</f>
        <v>Оказание услуг по осуществлению технического обслуживания комплекса видеонаблюдения</v>
      </c>
      <c r="G11097" s="22" t="s">
        <v>132</v>
      </c>
      <c r="H11097" s="22" t="s">
        <v>452</v>
      </c>
      <c r="I11097" s="26">
        <v>43552.7273726852</v>
      </c>
      <c r="J11097" s="28" t="s">
        <v>52</v>
      </c>
      <c r="K11097" s="28" t="s">
        <v>52</v>
      </c>
      <c r="L11097" s="28" t="s">
        <v>52</v>
      </c>
      <c r="M11097" s="28" t="s">
        <v>52</v>
      </c>
      <c r="N11097" s="28" t="s">
        <v>52</v>
      </c>
    </row>
    <row r="11098" spans="1:14" x14ac:dyDescent="0.15">
      <c r="A11098" s="23" t="str">
        <f>HYPERLINK("https://www.spark-marketing.ru/Card/Person/87626", "ОГБУ ""РЕАБИЛИТАЦИОННЫЙ ЦЕНТР ДЛЯ ДЕТЕЙ И ПОДРОСТКОВ С ОГРАНИЧЕННЫМИ ВОЗМОЖНОСТЯМИ""")</f>
        <v>ОГБУ "РЕАБИЛИТАЦИОННЫЙ ЦЕНТР ДЛЯ ДЕТЕЙ И ПОДРОСТКОВ С ОГРАНИЧЕННЫМИ ВОЗМОЖНОСТЯМИ"</v>
      </c>
      <c r="B11098" s="24" t="s">
        <v>13380</v>
      </c>
      <c r="C11098" s="25">
        <v>26630.400000000001</v>
      </c>
      <c r="D11098" s="22" t="s">
        <v>13381</v>
      </c>
      <c r="E11098" s="22" t="s">
        <v>52</v>
      </c>
      <c r="F11098" s="23" t="str">
        <f>HYPERLINK("https://www.spark-marketing.ru/Card/Lot/69119312", "Оказание услуг по охране помещений путем приема тревожных сообщений с пульта централизованной охраны и выезда группы задержания на 2019 год.")</f>
        <v>Оказание услуг по охране помещений путем приема тревожных сообщений с пульта централизованной охраны и выезда группы задержания на 2019 год.</v>
      </c>
      <c r="G11098" s="22" t="s">
        <v>176</v>
      </c>
      <c r="H11098" s="22" t="s">
        <v>12612</v>
      </c>
      <c r="I11098" s="26">
        <v>43552.743750000001</v>
      </c>
      <c r="J11098" s="23" t="str">
        <f>HYPERLINK("https://www.spark-marketing.ru/Card/Person/490511", "ООО ""ЧОП ""АЗИМУТ""")</f>
        <v>ООО "ЧОП "АЗИМУТ"</v>
      </c>
      <c r="K11098" s="24" t="s">
        <v>13382</v>
      </c>
      <c r="L11098" s="22" t="s">
        <v>10</v>
      </c>
      <c r="M11098" s="28" t="s">
        <v>52</v>
      </c>
      <c r="N11098" s="28" t="s">
        <v>52</v>
      </c>
    </row>
    <row r="11099" spans="1:14" x14ac:dyDescent="0.15">
      <c r="A11099" s="23" t="str">
        <f>HYPERLINK("https://www.spark-marketing.ru/Card/Person/31730", "ФГУП ""СВЭКО""")</f>
        <v>ФГУП "СВЭКО"</v>
      </c>
      <c r="B11099" s="24" t="s">
        <v>10771</v>
      </c>
      <c r="C11099" s="25">
        <v>3001150</v>
      </c>
      <c r="D11099" s="22" t="s">
        <v>13383</v>
      </c>
      <c r="E11099" s="22" t="s">
        <v>5234</v>
      </c>
      <c r="F11099" s="23" t="str">
        <f>HYPERLINK("https://www.spark-marketing.ru/Card/Lot/69116377", "Оказание охранных услуг в рамках Международного арктического форума «Арктика - территория диалога» в 2019 году")</f>
        <v>Оказание охранных услуг в рамках Международного арктического форума «Арктика - территория диалога» в 2019 году</v>
      </c>
      <c r="G11099" s="22" t="s">
        <v>89</v>
      </c>
      <c r="H11099" s="22" t="s">
        <v>89</v>
      </c>
      <c r="I11099" s="26">
        <v>43552.713356481501</v>
      </c>
      <c r="J11099" s="28" t="s">
        <v>52</v>
      </c>
      <c r="K11099" s="28" t="s">
        <v>52</v>
      </c>
      <c r="L11099" s="28" t="s">
        <v>52</v>
      </c>
      <c r="M11099" s="28" t="s">
        <v>52</v>
      </c>
      <c r="N11099" s="28" t="s">
        <v>52</v>
      </c>
    </row>
    <row r="11100" spans="1:14" x14ac:dyDescent="0.15">
      <c r="A11100" s="23" t="str">
        <f>HYPERLINK("https://www.spark-marketing.ru/Card/Person/68838", "ФГБУК ""ГКД""")</f>
        <v>ФГБУК "ГКД"</v>
      </c>
      <c r="B11100" s="24" t="s">
        <v>3038</v>
      </c>
      <c r="C11100" s="25">
        <v>1681706.5</v>
      </c>
      <c r="D11100" s="22" t="s">
        <v>13384</v>
      </c>
      <c r="E11100" s="22" t="s">
        <v>3040</v>
      </c>
      <c r="F11100" s="23" t="str">
        <f>HYPERLINK("https://www.spark-marketing.ru/Card/Lot/69117490", "Оказание услуг по предоставлению видеооборудования, с установкой, обслуживанием и демонтажем, при подготовке и проведении концерта для участников протокольного мероприятия, проводимого в рамках официального визита Президента Арабской Республики Египе...")</f>
        <v>Оказание услуг по предоставлению видеооборудования, с установкой, обслуживанием и демонтажем, при подготовке и проведении концерта для участников протокольного мероприятия, проводимого в рамках официального визита Президента Арабской Республики Египе...</v>
      </c>
      <c r="G11100" s="22" t="s">
        <v>132</v>
      </c>
      <c r="H11100" s="22" t="s">
        <v>132</v>
      </c>
      <c r="I11100" s="26">
        <v>43552.720300925903</v>
      </c>
      <c r="J11100" s="28" t="s">
        <v>52</v>
      </c>
      <c r="K11100" s="28" t="s">
        <v>52</v>
      </c>
      <c r="L11100" s="28" t="s">
        <v>52</v>
      </c>
      <c r="M11100" s="28" t="s">
        <v>52</v>
      </c>
      <c r="N11100" s="28" t="s">
        <v>52</v>
      </c>
    </row>
    <row r="11101" spans="1:14" x14ac:dyDescent="0.15">
      <c r="A11101" s="23" t="str">
        <f>HYPERLINK("https://www.spark-marketing.ru/Card/Person/65333", "ФКУЗ ""ПРИЧЕРНОМОРСКАЯ ПЧС"" РОСПОТРЕБНАДЗОРА")</f>
        <v>ФКУЗ "ПРИЧЕРНОМОРСКАЯ ПЧС" РОСПОТРЕБНАДЗОРА</v>
      </c>
      <c r="B11101" s="24" t="s">
        <v>8109</v>
      </c>
      <c r="C11101" s="25">
        <v>20163.72</v>
      </c>
      <c r="D11101" s="22" t="s">
        <v>13385</v>
      </c>
      <c r="E11101" s="22" t="s">
        <v>53</v>
      </c>
      <c r="F11101" s="23" t="str">
        <f>HYPERLINK("https://www.spark-marketing.ru/Card/Lot/70788934", "Оказание услуг по осуществлению технического обслуживания комплекса тревожной кнопки и охранной сигнализации")</f>
        <v>Оказание услуг по осуществлению технического обслуживания комплекса тревожной кнопки и охранной сигнализации</v>
      </c>
      <c r="G11101" s="22" t="s">
        <v>132</v>
      </c>
      <c r="H11101" s="22" t="s">
        <v>452</v>
      </c>
      <c r="I11101" s="26">
        <v>43552.734293981499</v>
      </c>
      <c r="J11101" s="28" t="s">
        <v>52</v>
      </c>
      <c r="K11101" s="28" t="s">
        <v>52</v>
      </c>
      <c r="L11101" s="28" t="s">
        <v>52</v>
      </c>
      <c r="M11101" s="28" t="s">
        <v>52</v>
      </c>
      <c r="N11101" s="28" t="s">
        <v>52</v>
      </c>
    </row>
    <row r="11102" spans="1:14" x14ac:dyDescent="0.15">
      <c r="A11102" s="23" t="str">
        <f>HYPERLINK("https://www.spark-marketing.ru/Card/Person/89552", "ГБУЗ НСО ""ОЦГБ""")</f>
        <v>ГБУЗ НСО "ОЦГБ"</v>
      </c>
      <c r="B11102" s="24" t="s">
        <v>13386</v>
      </c>
      <c r="C11102" s="25">
        <v>168307.20000000001</v>
      </c>
      <c r="D11102" s="22" t="s">
        <v>13387</v>
      </c>
      <c r="E11102" s="22" t="s">
        <v>68</v>
      </c>
      <c r="F11102" s="23" t="str">
        <f>HYPERLINK("https://www.spark-marketing.ru/Card/Lot/69112502", "Оказание услуг по пультовой охране объуктов ГБУЗ НСО ""ОЦГБ""")</f>
        <v>Оказание услуг по пультовой охране объуктов ГБУЗ НСО "ОЦГБ"</v>
      </c>
      <c r="G11102" s="22" t="s">
        <v>209</v>
      </c>
      <c r="H11102" s="22" t="s">
        <v>13388</v>
      </c>
      <c r="I11102" s="26">
        <v>43552.745833333298</v>
      </c>
      <c r="J11102" s="28" t="s">
        <v>52</v>
      </c>
      <c r="K11102" s="28" t="s">
        <v>52</v>
      </c>
      <c r="L11102" s="28" t="s">
        <v>52</v>
      </c>
      <c r="M11102" s="28" t="s">
        <v>52</v>
      </c>
      <c r="N11102" s="28" t="s">
        <v>52</v>
      </c>
    </row>
    <row r="11103" spans="1:14" x14ac:dyDescent="0.15">
      <c r="A11103" s="23" t="str">
        <f>HYPERLINK("https://www.spark-marketing.ru/Card/Person/638076", "ООО ""РТ-ЭКСПО""")</f>
        <v>ООО "РТ-ЭКСПО"</v>
      </c>
      <c r="B11103" s="24" t="s">
        <v>13389</v>
      </c>
      <c r="C11103" s="25">
        <v>2977025</v>
      </c>
      <c r="D11103" s="22" t="s">
        <v>13390</v>
      </c>
      <c r="E11103" s="22" t="s">
        <v>5234</v>
      </c>
      <c r="F11103" s="23" t="str">
        <f>HYPERLINK("https://www.spark-marketing.ru/Card/Lot/69118257", "Оказание комплекса охранных услуг в рамках проведения «Международного экономического форума янтарной отрасли «Amberforum -2019», проводимого в общий период с 20 по 23 июня 2019 г.")</f>
        <v>Оказание комплекса охранных услуг в рамках проведения «Международного экономического форума янтарной отрасли «Amberforum -2019», проводимого в общий период с 20 по 23 июня 2019 г.</v>
      </c>
      <c r="G11103" s="22" t="s">
        <v>247</v>
      </c>
      <c r="H11103" s="22" t="s">
        <v>13391</v>
      </c>
      <c r="I11103" s="26">
        <v>43552.729490740698</v>
      </c>
      <c r="J11103" s="28" t="s">
        <v>52</v>
      </c>
      <c r="K11103" s="28" t="s">
        <v>52</v>
      </c>
      <c r="L11103" s="28" t="s">
        <v>52</v>
      </c>
      <c r="M11103" s="28" t="s">
        <v>52</v>
      </c>
      <c r="N11103" s="28" t="s">
        <v>52</v>
      </c>
    </row>
    <row r="11104" spans="1:14" hidden="1" outlineLevel="1" x14ac:dyDescent="0.2">
      <c r="A11104" s="23" t="str">
        <f>HYPERLINK("https://www.spark-marketing.ru/Card/Person/638076", "ООО ""РТ-ЭКСПО""")</f>
        <v>ООО "РТ-ЭКСПО"</v>
      </c>
      <c r="B11104" s="24" t="s">
        <v>13389</v>
      </c>
      <c r="C11104" s="28" t="s">
        <v>52</v>
      </c>
      <c r="D11104" s="22" t="s">
        <v>13390</v>
      </c>
      <c r="E11104" s="22" t="s">
        <v>5234</v>
      </c>
      <c r="F11104" s="23" t="str">
        <f>HYPERLINK("https://www.spark-marketing.ru/Card/Lot/69118257", "Оказание комплекса охранных услуг в рамках проведения «Международного экономического форума янтарной отрасли «Amberforum -2019», проводимого в общий период с 20 по 23 июня 2019 г.")</f>
        <v>Оказание комплекса охранных услуг в рамках проведения «Международного экономического форума янтарной отрасли «Amberforum -2019», проводимого в общий период с 20 по 23 июня 2019 г.</v>
      </c>
      <c r="G11104" s="22" t="s">
        <v>247</v>
      </c>
      <c r="H11104" s="22" t="s">
        <v>13391</v>
      </c>
      <c r="I11104" s="26">
        <v>43552.729490740698</v>
      </c>
      <c r="J11104" s="23" t="str">
        <f>HYPERLINK("https://www.spark-marketing.ru/Card/Person/78192", "ООО ""ЧОП ""ПАТРИОТ""")</f>
        <v>ООО "ЧОП "ПАТРИОТ"</v>
      </c>
      <c r="K11104" s="24" t="s">
        <v>13392</v>
      </c>
      <c r="L11104" s="22" t="s">
        <v>10</v>
      </c>
      <c r="M11104" s="25">
        <v>2757696</v>
      </c>
      <c r="N11104" s="27">
        <v>7.3673885842409789E-2</v>
      </c>
    </row>
    <row r="11105" spans="1:14" hidden="1" outlineLevel="1" x14ac:dyDescent="0.2">
      <c r="A11105" s="23" t="str">
        <f>HYPERLINK("https://www.spark-marketing.ru/Card/Person/638076", "ООО ""РТ-ЭКСПО""")</f>
        <v>ООО "РТ-ЭКСПО"</v>
      </c>
      <c r="B11105" s="24" t="s">
        <v>13389</v>
      </c>
      <c r="C11105" s="28" t="s">
        <v>52</v>
      </c>
      <c r="D11105" s="22" t="s">
        <v>13390</v>
      </c>
      <c r="E11105" s="22" t="s">
        <v>5234</v>
      </c>
      <c r="F11105" s="23" t="str">
        <f>HYPERLINK("https://www.spark-marketing.ru/Card/Lot/69118257", "Оказание комплекса охранных услуг в рамках проведения «Международного экономического форума янтарной отрасли «Amberforum -2019», проводимого в общий период с 20 по 23 июня 2019 г.")</f>
        <v>Оказание комплекса охранных услуг в рамках проведения «Международного экономического форума янтарной отрасли «Amberforum -2019», проводимого в общий период с 20 по 23 июня 2019 г.</v>
      </c>
      <c r="G11105" s="22" t="s">
        <v>247</v>
      </c>
      <c r="H11105" s="22" t="s">
        <v>13391</v>
      </c>
      <c r="I11105" s="26">
        <v>43552.729490740698</v>
      </c>
      <c r="J11105" s="23" t="str">
        <f>HYPERLINK("https://www.spark-marketing.ru/Card/Person/6441089", "ООО ""ЧОП ""БАЛТИЙСКИЕ-МЕДВЕДИ""")</f>
        <v>ООО "ЧОП "БАЛТИЙСКИЕ-МЕДВЕДИ"</v>
      </c>
      <c r="K11105" s="24" t="s">
        <v>13393</v>
      </c>
      <c r="L11105" s="28" t="s">
        <v>52</v>
      </c>
      <c r="M11105" s="25">
        <v>2977025</v>
      </c>
      <c r="N11105" s="27">
        <v>0</v>
      </c>
    </row>
    <row r="11106" spans="1:14" x14ac:dyDescent="0.15">
      <c r="A11106" s="23" t="str">
        <f t="shared" ref="A11106:A11111" si="548">HYPERLINK("https://www.spark-marketing.ru/Card/Person/7616", "ГКУ ""УПРАВЛЕНИЕ СТРОИТЕЛЬСТВА И ДОРОЖНОГО ХОЗЯЙСТВА ПЕНЗЕНСКОЙ ОБЛАСТИ""")</f>
        <v>ГКУ "УПРАВЛЕНИЕ СТРОИТЕЛЬСТВА И ДОРОЖНОГО ХОЗЯЙСТВА ПЕНЗЕНСКОЙ ОБЛАСТИ"</v>
      </c>
      <c r="B11106" s="24" t="s">
        <v>13192</v>
      </c>
      <c r="C11106" s="25">
        <v>2752000</v>
      </c>
      <c r="D11106" s="22" t="s">
        <v>13394</v>
      </c>
      <c r="E11106" s="22" t="s">
        <v>79</v>
      </c>
      <c r="F11106" s="23" t="str">
        <f t="shared" ref="F11106:F11111" si="549">HYPERLINK("https://www.spark-marketing.ru/Card/Lot/69116824", "Установка автоматизированной информационной системы фото-видеофиксации нарушений правил дорожного движения на автомобильной дороге «г.Пенза-р.п.Лунино-граница области» км 16+800 Бессоновского района Пензенской области")</f>
        <v>Установка автоматизированной информационной системы фото-видеофиксации нарушений правил дорожного движения на автомобильной дороге «г.Пенза-р.п.Лунино-граница области» км 16+800 Бессоновского района Пензенской области</v>
      </c>
      <c r="G11106" s="22" t="s">
        <v>514</v>
      </c>
      <c r="H11106" s="22" t="s">
        <v>2167</v>
      </c>
      <c r="I11106" s="26">
        <v>43552.708333333299</v>
      </c>
      <c r="J11106" s="28" t="s">
        <v>52</v>
      </c>
      <c r="K11106" s="28" t="s">
        <v>52</v>
      </c>
      <c r="L11106" s="28" t="s">
        <v>52</v>
      </c>
      <c r="M11106" s="28" t="s">
        <v>52</v>
      </c>
      <c r="N11106" s="28" t="s">
        <v>52</v>
      </c>
    </row>
    <row r="11107" spans="1:14" hidden="1" outlineLevel="1" x14ac:dyDescent="0.2">
      <c r="A11107" s="23" t="str">
        <f t="shared" si="548"/>
        <v>ГКУ "УПРАВЛЕНИЕ СТРОИТЕЛЬСТВА И ДОРОЖНОГО ХОЗЯЙСТВА ПЕНЗЕНСКОЙ ОБЛАСТИ"</v>
      </c>
      <c r="B11107" s="24" t="s">
        <v>13192</v>
      </c>
      <c r="C11107" s="25">
        <v>2752000</v>
      </c>
      <c r="D11107" s="22" t="s">
        <v>13394</v>
      </c>
      <c r="E11107" s="22" t="s">
        <v>79</v>
      </c>
      <c r="F11107" s="23" t="str">
        <f t="shared" si="549"/>
        <v>Установка автоматизированной информационной системы фото-видеофиксации нарушений правил дорожного движения на автомобильной дороге «г.Пенза-р.п.Лунино-граница области» км 16+800 Бессоновского района Пензенской области</v>
      </c>
      <c r="G11107" s="22" t="s">
        <v>514</v>
      </c>
      <c r="H11107" s="22" t="s">
        <v>2167</v>
      </c>
      <c r="I11107" s="26">
        <v>43552.708333333299</v>
      </c>
      <c r="J11107" s="23" t="str">
        <f>HYPERLINK("https://www.spark-marketing.ru/Card/Person/10991", "ПАО ""РОСТЕЛЕКОМ""")</f>
        <v>ПАО "РОСТЕЛЕКОМ"</v>
      </c>
      <c r="K11107" s="24" t="s">
        <v>607</v>
      </c>
      <c r="L11107" s="28" t="s">
        <v>52</v>
      </c>
      <c r="M11107" s="25">
        <v>2724480</v>
      </c>
      <c r="N11107" s="27">
        <v>0.01</v>
      </c>
    </row>
    <row r="11108" spans="1:14" ht="12.75" hidden="1" outlineLevel="1" x14ac:dyDescent="0.2">
      <c r="A11108" s="23" t="str">
        <f t="shared" si="548"/>
        <v>ГКУ "УПРАВЛЕНИЕ СТРОИТЕЛЬСТВА И ДОРОЖНОГО ХОЗЯЙСТВА ПЕНЗЕНСКОЙ ОБЛАСТИ"</v>
      </c>
      <c r="B11108" s="24" t="s">
        <v>13192</v>
      </c>
      <c r="C11108" s="25">
        <v>2752000</v>
      </c>
      <c r="D11108" s="22" t="s">
        <v>13394</v>
      </c>
      <c r="E11108" s="22" t="s">
        <v>79</v>
      </c>
      <c r="F11108" s="23" t="str">
        <f t="shared" si="549"/>
        <v>Установка автоматизированной информационной системы фото-видеофиксации нарушений правил дорожного движения на автомобильной дороге «г.Пенза-р.п.Лунино-граница области» км 16+800 Бессоновского района Пензенской области</v>
      </c>
      <c r="G11108" s="22" t="s">
        <v>514</v>
      </c>
      <c r="H11108" s="22" t="s">
        <v>2167</v>
      </c>
      <c r="I11108" s="26">
        <v>43552.708333333299</v>
      </c>
      <c r="J11108" s="23" t="str">
        <f>HYPERLINK("https://www.spark-marketing.ru/Card/Person/236655", "ООО ""ТМЦ -НН""")</f>
        <v>ООО "ТМЦ -НН"</v>
      </c>
      <c r="K11108" s="24" t="s">
        <v>4899</v>
      </c>
      <c r="L11108" s="22" t="s">
        <v>10</v>
      </c>
      <c r="M11108" s="25">
        <v>2710720</v>
      </c>
      <c r="N11108" s="27">
        <v>1.4999999999999999E-2</v>
      </c>
    </row>
    <row r="11109" spans="1:14" ht="12.75" hidden="1" outlineLevel="1" x14ac:dyDescent="0.2">
      <c r="A11109" s="23" t="str">
        <f t="shared" si="548"/>
        <v>ГКУ "УПРАВЛЕНИЕ СТРОИТЕЛЬСТВА И ДОРОЖНОГО ХОЗЯЙСТВА ПЕНЗЕНСКОЙ ОБЛАСТИ"</v>
      </c>
      <c r="B11109" s="24" t="s">
        <v>13192</v>
      </c>
      <c r="C11109" s="25">
        <v>2752000</v>
      </c>
      <c r="D11109" s="22" t="s">
        <v>13394</v>
      </c>
      <c r="E11109" s="22" t="s">
        <v>79</v>
      </c>
      <c r="F11109" s="23" t="str">
        <f t="shared" si="549"/>
        <v>Установка автоматизированной информационной системы фото-видеофиксации нарушений правил дорожного движения на автомобильной дороге «г.Пенза-р.п.Лунино-граница области» км 16+800 Бессоновского района Пензенской области</v>
      </c>
      <c r="G11109" s="22" t="s">
        <v>514</v>
      </c>
      <c r="H11109" s="22" t="s">
        <v>2167</v>
      </c>
      <c r="I11109" s="26">
        <v>43552.708333333299</v>
      </c>
      <c r="J11109" s="23" t="str">
        <f>HYPERLINK("https://www.spark-marketing.ru/Card/Person/236655", "ООО ""ТМЦ -НН""")</f>
        <v>ООО "ТМЦ -НН"</v>
      </c>
      <c r="K11109" s="24" t="s">
        <v>4899</v>
      </c>
      <c r="L11109" s="22" t="s">
        <v>10</v>
      </c>
      <c r="M11109" s="25">
        <v>2710720</v>
      </c>
      <c r="N11109" s="27">
        <v>1.4999999999999999E-2</v>
      </c>
    </row>
    <row r="11110" spans="1:14" hidden="1" outlineLevel="1" x14ac:dyDescent="0.2">
      <c r="A11110" s="23" t="str">
        <f t="shared" si="548"/>
        <v>ГКУ "УПРАВЛЕНИЕ СТРОИТЕЛЬСТВА И ДОРОЖНОГО ХОЗЯЙСТВА ПЕНЗЕНСКОЙ ОБЛАСТИ"</v>
      </c>
      <c r="B11110" s="24" t="s">
        <v>13192</v>
      </c>
      <c r="C11110" s="25">
        <v>2752000</v>
      </c>
      <c r="D11110" s="22" t="s">
        <v>13394</v>
      </c>
      <c r="E11110" s="22" t="s">
        <v>79</v>
      </c>
      <c r="F11110" s="23" t="str">
        <f t="shared" si="549"/>
        <v>Установка автоматизированной информационной системы фото-видеофиксации нарушений правил дорожного движения на автомобильной дороге «г.Пенза-р.п.Лунино-граница области» км 16+800 Бессоновского района Пензенской области</v>
      </c>
      <c r="G11110" s="22" t="s">
        <v>514</v>
      </c>
      <c r="H11110" s="22" t="s">
        <v>2167</v>
      </c>
      <c r="I11110" s="26">
        <v>43552.708333333299</v>
      </c>
      <c r="J11110" s="23" t="str">
        <f>HYPERLINK("https://www.spark-marketing.ru/Card/Person/21753", "Поволжский филиал ПАО ""МЕГАФОН""")</f>
        <v>Поволжский филиал ПАО "МЕГАФОН"</v>
      </c>
      <c r="K11110" s="24" t="s">
        <v>2783</v>
      </c>
      <c r="L11110" s="28" t="s">
        <v>52</v>
      </c>
      <c r="M11110" s="25">
        <v>2738240</v>
      </c>
      <c r="N11110" s="27">
        <v>5.0000000000000001E-3</v>
      </c>
    </row>
    <row r="11111" spans="1:14" hidden="1" outlineLevel="1" x14ac:dyDescent="0.2">
      <c r="A11111" s="23" t="str">
        <f t="shared" si="548"/>
        <v>ГКУ "УПРАВЛЕНИЕ СТРОИТЕЛЬСТВА И ДОРОЖНОГО ХОЗЯЙСТВА ПЕНЗЕНСКОЙ ОБЛАСТИ"</v>
      </c>
      <c r="B11111" s="24" t="s">
        <v>13192</v>
      </c>
      <c r="C11111" s="25">
        <v>2752000</v>
      </c>
      <c r="D11111" s="22" t="s">
        <v>13394</v>
      </c>
      <c r="E11111" s="22" t="s">
        <v>79</v>
      </c>
      <c r="F11111" s="23" t="str">
        <f t="shared" si="549"/>
        <v>Установка автоматизированной информационной системы фото-видеофиксации нарушений правил дорожного движения на автомобильной дороге «г.Пенза-р.п.Лунино-граница области» км 16+800 Бессоновского района Пензенской области</v>
      </c>
      <c r="G11111" s="22" t="s">
        <v>514</v>
      </c>
      <c r="H11111" s="22" t="s">
        <v>2167</v>
      </c>
      <c r="I11111" s="26">
        <v>43552.708333333299</v>
      </c>
      <c r="J11111" s="23" t="str">
        <f>HYPERLINK("https://www.spark-marketing.ru/Card/Person/10991", "ПАО ""РОСТЕЛЕКОМ""")</f>
        <v>ПАО "РОСТЕЛЕКОМ"</v>
      </c>
      <c r="K11111" s="24" t="s">
        <v>607</v>
      </c>
      <c r="L11111" s="28" t="s">
        <v>52</v>
      </c>
      <c r="M11111" s="25">
        <v>2724480</v>
      </c>
      <c r="N11111" s="27">
        <v>0.01</v>
      </c>
    </row>
    <row r="11112" spans="1:14" x14ac:dyDescent="0.15">
      <c r="A11112" s="23" t="str">
        <f>HYPERLINK("https://www.spark-marketing.ru/Card/Person/87626", "ОГБУ ""РЕАБИЛИТАЦИОННЫЙ ЦЕНТР ДЛЯ ДЕТЕЙ И ПОДРОСТКОВ С ОГРАНИЧЕННЫМИ ВОЗМОЖНОСТЯМИ""")</f>
        <v>ОГБУ "РЕАБИЛИТАЦИОННЫЙ ЦЕНТР ДЛЯ ДЕТЕЙ И ПОДРОСТКОВ С ОГРАНИЧЕННЫМИ ВОЗМОЖНОСТЯМИ"</v>
      </c>
      <c r="B11112" s="24" t="s">
        <v>13380</v>
      </c>
      <c r="C11112" s="25">
        <v>251762.4</v>
      </c>
      <c r="D11112" s="22" t="s">
        <v>13395</v>
      </c>
      <c r="E11112" s="22" t="s">
        <v>52</v>
      </c>
      <c r="F11112" s="23" t="str">
        <f>HYPERLINK("https://www.spark-marketing.ru/Card/Lot/69118691", "Оказание услуг по охране помещений и территории на 2019 год")</f>
        <v>Оказание услуг по охране помещений и территории на 2019 год</v>
      </c>
      <c r="G11112" s="22" t="s">
        <v>176</v>
      </c>
      <c r="H11112" s="22" t="s">
        <v>12612</v>
      </c>
      <c r="I11112" s="26">
        <v>43552.743750000001</v>
      </c>
      <c r="J11112" s="28" t="s">
        <v>52</v>
      </c>
      <c r="K11112" s="28" t="s">
        <v>52</v>
      </c>
      <c r="L11112" s="28" t="s">
        <v>52</v>
      </c>
      <c r="M11112" s="28" t="s">
        <v>52</v>
      </c>
      <c r="N11112" s="28" t="s">
        <v>52</v>
      </c>
    </row>
    <row r="11113" spans="1:14" hidden="1" outlineLevel="1" x14ac:dyDescent="0.2">
      <c r="A11113" s="23" t="str">
        <f>HYPERLINK("https://www.spark-marketing.ru/Card/Person/87626", "ОГБУ ""РЕАБИЛИТАЦИОННЫЙ ЦЕНТР ДЛЯ ДЕТЕЙ И ПОДРОСТКОВ С ОГРАНИЧЕННЫМИ ВОЗМОЖНОСТЯМИ""")</f>
        <v>ОГБУ "РЕАБИЛИТАЦИОННЫЙ ЦЕНТР ДЛЯ ДЕТЕЙ И ПОДРОСТКОВ С ОГРАНИЧЕННЫМИ ВОЗМОЖНОСТЯМИ"</v>
      </c>
      <c r="B11113" s="24" t="s">
        <v>13380</v>
      </c>
      <c r="C11113" s="25">
        <v>251762.4</v>
      </c>
      <c r="D11113" s="22" t="s">
        <v>13395</v>
      </c>
      <c r="E11113" s="22" t="s">
        <v>52</v>
      </c>
      <c r="F11113" s="23" t="str">
        <f>HYPERLINK("https://www.spark-marketing.ru/Card/Lot/69118691", "Оказание услуг по охране помещений и территории на 2019 год")</f>
        <v>Оказание услуг по охране помещений и территории на 2019 год</v>
      </c>
      <c r="G11113" s="22" t="s">
        <v>176</v>
      </c>
      <c r="H11113" s="22" t="s">
        <v>12612</v>
      </c>
      <c r="I11113" s="26">
        <v>43552.743750000001</v>
      </c>
      <c r="J11113" s="23" t="str">
        <f>HYPERLINK("https://www.spark-marketing.ru/Card/Person/486525", "ООО ЧОП ""ЛИГА 2""")</f>
        <v>ООО ЧОП "ЛИГА 2"</v>
      </c>
      <c r="K11113" s="24" t="s">
        <v>13396</v>
      </c>
      <c r="L11113" s="28" t="s">
        <v>52</v>
      </c>
      <c r="M11113" s="25">
        <v>222809.54</v>
      </c>
      <c r="N11113" s="27">
        <v>0.11500073084781524</v>
      </c>
    </row>
    <row r="11114" spans="1:14" hidden="1" outlineLevel="1" x14ac:dyDescent="0.2">
      <c r="A11114" s="23" t="str">
        <f>HYPERLINK("https://www.spark-marketing.ru/Card/Person/87626", "ОГБУ ""РЕАБИЛИТАЦИОННЫЙ ЦЕНТР ДЛЯ ДЕТЕЙ И ПОДРОСТКОВ С ОГРАНИЧЕННЫМИ ВОЗМОЖНОСТЯМИ""")</f>
        <v>ОГБУ "РЕАБИЛИТАЦИОННЫЙ ЦЕНТР ДЛЯ ДЕТЕЙ И ПОДРОСТКОВ С ОГРАНИЧЕННЫМИ ВОЗМОЖНОСТЯМИ"</v>
      </c>
      <c r="B11114" s="24" t="s">
        <v>13380</v>
      </c>
      <c r="C11114" s="25">
        <v>251762.4</v>
      </c>
      <c r="D11114" s="22" t="s">
        <v>13395</v>
      </c>
      <c r="E11114" s="22" t="s">
        <v>52</v>
      </c>
      <c r="F11114" s="23" t="str">
        <f>HYPERLINK("https://www.spark-marketing.ru/Card/Lot/69118691", "Оказание услуг по охране помещений и территории на 2019 год")</f>
        <v>Оказание услуг по охране помещений и территории на 2019 год</v>
      </c>
      <c r="G11114" s="22" t="s">
        <v>176</v>
      </c>
      <c r="H11114" s="22" t="s">
        <v>12612</v>
      </c>
      <c r="I11114" s="26">
        <v>43552.743750000001</v>
      </c>
      <c r="J11114" s="23" t="str">
        <f>HYPERLINK("https://www.spark-marketing.ru/Card/Person/261546", "ООО ""ЧОО"" ЗАЩИТА")</f>
        <v>ООО "ЧОО" ЗАЩИТА</v>
      </c>
      <c r="K11114" s="24" t="s">
        <v>13397</v>
      </c>
      <c r="L11114" s="28" t="s">
        <v>52</v>
      </c>
      <c r="M11114" s="25">
        <v>224068.36</v>
      </c>
      <c r="N11114" s="27">
        <v>0.11000069907182328</v>
      </c>
    </row>
    <row r="11115" spans="1:14" ht="12.75" hidden="1" outlineLevel="1" x14ac:dyDescent="0.2">
      <c r="A11115" s="23" t="str">
        <f>HYPERLINK("https://www.spark-marketing.ru/Card/Person/87626", "ОГБУ ""РЕАБИЛИТАЦИОННЫЙ ЦЕНТР ДЛЯ ДЕТЕЙ И ПОДРОСТКОВ С ОГРАНИЧЕННЫМИ ВОЗМОЖНОСТЯМИ""")</f>
        <v>ОГБУ "РЕАБИЛИТАЦИОННЫЙ ЦЕНТР ДЛЯ ДЕТЕЙ И ПОДРОСТКОВ С ОГРАНИЧЕННЫМИ ВОЗМОЖНОСТЯМИ"</v>
      </c>
      <c r="B11115" s="24" t="s">
        <v>13380</v>
      </c>
      <c r="C11115" s="25">
        <v>251762.4</v>
      </c>
      <c r="D11115" s="22" t="s">
        <v>13395</v>
      </c>
      <c r="E11115" s="22" t="s">
        <v>52</v>
      </c>
      <c r="F11115" s="23" t="str">
        <f>HYPERLINK("https://www.spark-marketing.ru/Card/Lot/69118691", "Оказание услуг по охране помещений и территории на 2019 год")</f>
        <v>Оказание услуг по охране помещений и территории на 2019 год</v>
      </c>
      <c r="G11115" s="22" t="s">
        <v>176</v>
      </c>
      <c r="H11115" s="22" t="s">
        <v>12612</v>
      </c>
      <c r="I11115" s="26">
        <v>43552.743750000001</v>
      </c>
      <c r="J11115" s="23" t="str">
        <f>HYPERLINK("https://www.spark-marketing.ru/Card/Person/261052", "ООО ""ЧОП ГАРДЕЗ""")</f>
        <v>ООО "ЧОП ГАРДЕЗ"</v>
      </c>
      <c r="K11115" s="24" t="s">
        <v>13398</v>
      </c>
      <c r="L11115" s="22" t="s">
        <v>10</v>
      </c>
      <c r="M11115" s="25">
        <v>222809.54</v>
      </c>
      <c r="N11115" s="27">
        <v>0.11500073084781524</v>
      </c>
    </row>
    <row r="11116" spans="1:14" x14ac:dyDescent="0.15">
      <c r="A11116" s="23" t="str">
        <f>HYPERLINK("https://www.spark-marketing.ru/Card/Person/11813", "ГКУ ""ЛЕНАВТОДОР""")</f>
        <v>ГКУ "ЛЕНАВТОДОР"</v>
      </c>
      <c r="B11116" s="24" t="s">
        <v>3258</v>
      </c>
      <c r="C11116" s="25">
        <v>183589.69</v>
      </c>
      <c r="D11116" s="22" t="s">
        <v>13399</v>
      </c>
      <c r="E11116" s="22" t="s">
        <v>218</v>
      </c>
      <c r="F11116" s="23" t="str">
        <f>HYPERLINK("https://www.spark-marketing.ru/Card/Lot/69118929", "Осуществление инженерного сопровождения (строительного контроля) по объекту: ""Техническое перевооружение перекрестков и пешеходных переходов с устройством светофорных объектов на участках автомобильных дорог регионального значения в Ленинградской об...")</f>
        <v>Осуществление инженерного сопровождения (строительного контроля) по объекту: "Техническое перевооружение перекрестков и пешеходных переходов с устройством светофорных объектов на участках автомобильных дорог регионального значения в Ленинградской об...</v>
      </c>
      <c r="G11116" s="22" t="s">
        <v>861</v>
      </c>
      <c r="H11116" s="22" t="s">
        <v>9388</v>
      </c>
      <c r="I11116" s="26">
        <v>43552.7368055556</v>
      </c>
      <c r="J11116" s="23" t="str">
        <f>HYPERLINK("https://www.spark-marketing.ru/Card/Person/6309033", "ООО ""СТРОЙКОНТРОЛЬПРОЕКТ""")</f>
        <v>ООО "СТРОЙКОНТРОЛЬПРОЕКТ"</v>
      </c>
      <c r="K11116" s="24" t="s">
        <v>9389</v>
      </c>
      <c r="L11116" s="28" t="s">
        <v>52</v>
      </c>
      <c r="M11116" s="28" t="s">
        <v>52</v>
      </c>
      <c r="N11116" s="28" t="s">
        <v>52</v>
      </c>
    </row>
    <row r="11117" spans="1:14" x14ac:dyDescent="0.15">
      <c r="A11117" s="23" t="str">
        <f>HYPERLINK("https://www.spark-marketing.ru/Card/Person/916380", "КП ""УГС""")</f>
        <v>КП "УГС"</v>
      </c>
      <c r="B11117" s="24" t="s">
        <v>13400</v>
      </c>
      <c r="C11117" s="25">
        <v>18400742.399999999</v>
      </c>
      <c r="D11117" s="22" t="s">
        <v>13401</v>
      </c>
      <c r="E11117" s="22" t="s">
        <v>13402</v>
      </c>
      <c r="F11117" s="23" t="str">
        <f>HYPERLINK("https://www.spark-marketing.ru/Card/Lot/69111054", "Оказание услуг по сопровождению оперативных совещаний, мониторингу объектов и оформлению презентационных материалов.")</f>
        <v>Оказание услуг по сопровождению оперативных совещаний, мониторингу объектов и оформлению презентационных материалов.</v>
      </c>
      <c r="G11117" s="22" t="s">
        <v>55</v>
      </c>
      <c r="H11117" s="22" t="s">
        <v>55</v>
      </c>
      <c r="I11117" s="26">
        <v>43552.667511574102</v>
      </c>
      <c r="J11117" s="28" t="s">
        <v>52</v>
      </c>
      <c r="K11117" s="28" t="s">
        <v>52</v>
      </c>
      <c r="L11117" s="28" t="s">
        <v>52</v>
      </c>
      <c r="M11117" s="28" t="s">
        <v>52</v>
      </c>
      <c r="N11117" s="28" t="s">
        <v>52</v>
      </c>
    </row>
    <row r="11118" spans="1:14" hidden="1" outlineLevel="1" x14ac:dyDescent="0.2">
      <c r="A11118" s="23" t="str">
        <f>HYPERLINK("https://www.spark-marketing.ru/Card/Person/916380", "КП ""УГС""")</f>
        <v>КП "УГС"</v>
      </c>
      <c r="B11118" s="24" t="s">
        <v>13400</v>
      </c>
      <c r="C11118" s="28" t="s">
        <v>52</v>
      </c>
      <c r="D11118" s="22" t="s">
        <v>13401</v>
      </c>
      <c r="E11118" s="22" t="s">
        <v>13402</v>
      </c>
      <c r="F11118" s="23" t="str">
        <f>HYPERLINK("https://www.spark-marketing.ru/Card/Lot/69111054", "Оказание услуг по сопровождению оперативных совещаний, мониторингу объектов и оформлению презентационных материалов.")</f>
        <v>Оказание услуг по сопровождению оперативных совещаний, мониторингу объектов и оформлению презентационных материалов.</v>
      </c>
      <c r="G11118" s="22" t="s">
        <v>55</v>
      </c>
      <c r="H11118" s="22" t="s">
        <v>55</v>
      </c>
      <c r="I11118" s="26">
        <v>43552.667511574102</v>
      </c>
      <c r="J11118" s="23" t="str">
        <f>HYPERLINK("https://www.spark-marketing.ru/Card/Person/132675", "АО ""ИНТУС""")</f>
        <v>АО "ИНТУС"</v>
      </c>
      <c r="K11118" s="24" t="s">
        <v>13403</v>
      </c>
      <c r="L11118" s="22" t="s">
        <v>10</v>
      </c>
      <c r="M11118" s="25">
        <v>16000000</v>
      </c>
      <c r="N11118" s="27">
        <v>0.1304698662593092</v>
      </c>
    </row>
    <row r="11119" spans="1:14" hidden="1" outlineLevel="1" x14ac:dyDescent="0.2">
      <c r="A11119" s="23" t="str">
        <f>HYPERLINK("https://www.spark-marketing.ru/Card/Person/916380", "КП ""УГС""")</f>
        <v>КП "УГС"</v>
      </c>
      <c r="B11119" s="24" t="s">
        <v>13400</v>
      </c>
      <c r="C11119" s="28" t="s">
        <v>52</v>
      </c>
      <c r="D11119" s="22" t="s">
        <v>13401</v>
      </c>
      <c r="E11119" s="22" t="s">
        <v>13402</v>
      </c>
      <c r="F11119" s="23" t="str">
        <f>HYPERLINK("https://www.spark-marketing.ru/Card/Lot/69111054", "Оказание услуг по сопровождению оперативных совещаний, мониторингу объектов и оформлению презентационных материалов.")</f>
        <v>Оказание услуг по сопровождению оперативных совещаний, мониторингу объектов и оформлению презентационных материалов.</v>
      </c>
      <c r="G11119" s="22" t="s">
        <v>55</v>
      </c>
      <c r="H11119" s="22" t="s">
        <v>55</v>
      </c>
      <c r="I11119" s="26">
        <v>43552.667511574102</v>
      </c>
      <c r="J11119" s="23" t="str">
        <f>HYPERLINK("https://www.spark-marketing.ru/Card/Person/36519", "ООО ""ЦЕНТР НАУЧНЫХ ИССЛЕДОВАНИЙ И ПЕРСПЕКТИВНЫХ РАЗРАБОТОК""")</f>
        <v>ООО "ЦЕНТР НАУЧНЫХ ИССЛЕДОВАНИЙ И ПЕРСПЕКТИВНЫХ РАЗРАБОТОК"</v>
      </c>
      <c r="K11119" s="24" t="s">
        <v>13404</v>
      </c>
      <c r="L11119" s="28" t="s">
        <v>52</v>
      </c>
      <c r="M11119" s="25">
        <v>16180000</v>
      </c>
      <c r="N11119" s="27">
        <v>0.12068765225472641</v>
      </c>
    </row>
    <row r="11120" spans="1:14" ht="12.75" x14ac:dyDescent="0.2">
      <c r="A11120" s="23" t="str">
        <f>HYPERLINK("https://www.spark-marketing.ru/Card/Person/3608", "ФГБУ ""ЮГ СПОРТ""")</f>
        <v>ФГБУ "ЮГ СПОРТ"</v>
      </c>
      <c r="B11120" s="24" t="s">
        <v>13405</v>
      </c>
      <c r="C11120" s="25">
        <v>785421</v>
      </c>
      <c r="D11120" s="22" t="s">
        <v>13406</v>
      </c>
      <c r="E11120" s="22" t="s">
        <v>370</v>
      </c>
      <c r="F11120" s="23" t="str">
        <f>HYPERLINK("https://www.spark-marketing.ru/Card/Lot/69111926", "Оказание услуг по техническому обслуживанию автоматики и сигнализации газовых котельных")</f>
        <v>Оказание услуг по техническому обслуживанию автоматики и сигнализации газовых котельных</v>
      </c>
      <c r="G11120" s="22" t="s">
        <v>132</v>
      </c>
      <c r="H11120" s="22" t="s">
        <v>1126</v>
      </c>
      <c r="I11120" s="26">
        <v>43552.685104166703</v>
      </c>
      <c r="J11120" s="23" t="str">
        <f>HYPERLINK("https://www.spark-marketing.ru/Card/Person/6360390", "Фомин Юрий Николаевич")</f>
        <v>Фомин Юрий Николаевич</v>
      </c>
      <c r="K11120" s="24" t="s">
        <v>13407</v>
      </c>
      <c r="L11120" s="22" t="s">
        <v>10</v>
      </c>
      <c r="M11120" s="25">
        <v>576000</v>
      </c>
      <c r="N11120" s="27">
        <v>0.26663534588456383</v>
      </c>
    </row>
    <row r="11121" spans="1:14" x14ac:dyDescent="0.15">
      <c r="A11121" s="23" t="str">
        <f t="shared" ref="A11121:A11127" si="550">HYPERLINK("https://www.spark-marketing.ru/Card/Person/235457", "МБУ ГДК ""РОДИНА""")</f>
        <v>МБУ ГДК "РОДИНА"</v>
      </c>
      <c r="B11121" s="24" t="s">
        <v>13408</v>
      </c>
      <c r="C11121" s="25">
        <v>1695680</v>
      </c>
      <c r="D11121" s="22" t="s">
        <v>13409</v>
      </c>
      <c r="E11121" s="22" t="s">
        <v>68</v>
      </c>
      <c r="F11121" s="23" t="str">
        <f t="shared" ref="F11121:F11127" si="551">HYPERLINK("https://www.spark-marketing.ru/Card/Lot/69088770", "Оказание охранных услуг")</f>
        <v>Оказание охранных услуг</v>
      </c>
      <c r="G11121" s="22" t="s">
        <v>69</v>
      </c>
      <c r="H11121" s="22" t="s">
        <v>973</v>
      </c>
      <c r="I11121" s="26">
        <v>43552.685416666704</v>
      </c>
      <c r="J11121" s="28" t="s">
        <v>52</v>
      </c>
      <c r="K11121" s="28" t="s">
        <v>52</v>
      </c>
      <c r="L11121" s="28" t="s">
        <v>52</v>
      </c>
      <c r="M11121" s="28" t="s">
        <v>52</v>
      </c>
      <c r="N11121" s="28" t="s">
        <v>52</v>
      </c>
    </row>
    <row r="11122" spans="1:14" hidden="1" outlineLevel="1" x14ac:dyDescent="0.2">
      <c r="A11122" s="23" t="str">
        <f t="shared" si="550"/>
        <v>МБУ ГДК "РОДИНА"</v>
      </c>
      <c r="B11122" s="24" t="s">
        <v>13408</v>
      </c>
      <c r="C11122" s="25">
        <v>1695680</v>
      </c>
      <c r="D11122" s="22" t="s">
        <v>13409</v>
      </c>
      <c r="E11122" s="22" t="s">
        <v>68</v>
      </c>
      <c r="F11122" s="23" t="str">
        <f t="shared" si="551"/>
        <v>Оказание охранных услуг</v>
      </c>
      <c r="G11122" s="22" t="s">
        <v>69</v>
      </c>
      <c r="H11122" s="22" t="s">
        <v>973</v>
      </c>
      <c r="I11122" s="26">
        <v>43552.685416666704</v>
      </c>
      <c r="J11122" s="23" t="str">
        <f>HYPERLINK("https://www.spark-marketing.ru/Card/Person/1799821", "ООО ""ЧОО ""КЕДР-К""")</f>
        <v>ООО "ЧОО "КЕДР-К"</v>
      </c>
      <c r="K11122" s="24" t="s">
        <v>5612</v>
      </c>
      <c r="L11122" s="28" t="s">
        <v>52</v>
      </c>
      <c r="M11122" s="25">
        <v>1509155.2</v>
      </c>
      <c r="N11122" s="27">
        <v>0.11</v>
      </c>
    </row>
    <row r="11123" spans="1:14" hidden="1" outlineLevel="1" x14ac:dyDescent="0.2">
      <c r="A11123" s="23" t="str">
        <f t="shared" si="550"/>
        <v>МБУ ГДК "РОДИНА"</v>
      </c>
      <c r="B11123" s="24" t="s">
        <v>13408</v>
      </c>
      <c r="C11123" s="25">
        <v>1695680</v>
      </c>
      <c r="D11123" s="22" t="s">
        <v>13409</v>
      </c>
      <c r="E11123" s="22" t="s">
        <v>68</v>
      </c>
      <c r="F11123" s="23" t="str">
        <f t="shared" si="551"/>
        <v>Оказание охранных услуг</v>
      </c>
      <c r="G11123" s="22" t="s">
        <v>69</v>
      </c>
      <c r="H11123" s="22" t="s">
        <v>973</v>
      </c>
      <c r="I11123" s="26">
        <v>43552.685416666704</v>
      </c>
      <c r="J11123" s="23" t="str">
        <f>HYPERLINK("https://www.spark-marketing.ru/Card/Person/811518", "ООО ЧОП ""ЦЕРБЕР""")</f>
        <v>ООО ЧОП "ЦЕРБЕР"</v>
      </c>
      <c r="K11123" s="24" t="s">
        <v>13410</v>
      </c>
      <c r="L11123" s="28" t="s">
        <v>52</v>
      </c>
      <c r="M11123" s="25">
        <v>1110670.3999999999</v>
      </c>
      <c r="N11123" s="27">
        <v>0.34499999999999997</v>
      </c>
    </row>
    <row r="11124" spans="1:14" hidden="1" outlineLevel="1" x14ac:dyDescent="0.2">
      <c r="A11124" s="23" t="str">
        <f t="shared" si="550"/>
        <v>МБУ ГДК "РОДИНА"</v>
      </c>
      <c r="B11124" s="24" t="s">
        <v>13408</v>
      </c>
      <c r="C11124" s="25">
        <v>1695680</v>
      </c>
      <c r="D11124" s="22" t="s">
        <v>13409</v>
      </c>
      <c r="E11124" s="22" t="s">
        <v>68</v>
      </c>
      <c r="F11124" s="23" t="str">
        <f t="shared" si="551"/>
        <v>Оказание охранных услуг</v>
      </c>
      <c r="G11124" s="22" t="s">
        <v>69</v>
      </c>
      <c r="H11124" s="22" t="s">
        <v>973</v>
      </c>
      <c r="I11124" s="26">
        <v>43552.685416666704</v>
      </c>
      <c r="J11124" s="23" t="str">
        <f>HYPERLINK("https://www.spark-marketing.ru/Card/Person/85612", "ООО ЧОП ""ИНФОСЕРВИС""")</f>
        <v>ООО ЧОП "ИНФОСЕРВИС"</v>
      </c>
      <c r="K11124" s="24" t="s">
        <v>7698</v>
      </c>
      <c r="L11124" s="28" t="s">
        <v>52</v>
      </c>
      <c r="M11124" s="25">
        <v>1644809.6</v>
      </c>
      <c r="N11124" s="27">
        <v>0.03</v>
      </c>
    </row>
    <row r="11125" spans="1:14" hidden="1" outlineLevel="1" x14ac:dyDescent="0.2">
      <c r="A11125" s="23" t="str">
        <f t="shared" si="550"/>
        <v>МБУ ГДК "РОДИНА"</v>
      </c>
      <c r="B11125" s="24" t="s">
        <v>13408</v>
      </c>
      <c r="C11125" s="25">
        <v>1695680</v>
      </c>
      <c r="D11125" s="22" t="s">
        <v>13409</v>
      </c>
      <c r="E11125" s="22" t="s">
        <v>68</v>
      </c>
      <c r="F11125" s="23" t="str">
        <f t="shared" si="551"/>
        <v>Оказание охранных услуг</v>
      </c>
      <c r="G11125" s="22" t="s">
        <v>69</v>
      </c>
      <c r="H11125" s="22" t="s">
        <v>973</v>
      </c>
      <c r="I11125" s="26">
        <v>43552.685416666704</v>
      </c>
      <c r="J11125" s="23" t="str">
        <f>HYPERLINK("https://www.spark-marketing.ru/Card/Person/56174", "ООО ЧОП ""ФИНЭКО-РОСА-1""")</f>
        <v>ООО ЧОП "ФИНЭКО-РОСА-1"</v>
      </c>
      <c r="K11125" s="24" t="s">
        <v>13411</v>
      </c>
      <c r="L11125" s="28" t="s">
        <v>52</v>
      </c>
      <c r="M11125" s="25">
        <v>1017521.6</v>
      </c>
      <c r="N11125" s="27">
        <v>0.39993300622759009</v>
      </c>
    </row>
    <row r="11126" spans="1:14" hidden="1" outlineLevel="1" x14ac:dyDescent="0.2">
      <c r="A11126" s="23" t="str">
        <f t="shared" si="550"/>
        <v>МБУ ГДК "РОДИНА"</v>
      </c>
      <c r="B11126" s="24" t="s">
        <v>13408</v>
      </c>
      <c r="C11126" s="25">
        <v>1695680</v>
      </c>
      <c r="D11126" s="22" t="s">
        <v>13409</v>
      </c>
      <c r="E11126" s="22" t="s">
        <v>68</v>
      </c>
      <c r="F11126" s="23" t="str">
        <f t="shared" si="551"/>
        <v>Оказание охранных услуг</v>
      </c>
      <c r="G11126" s="22" t="s">
        <v>69</v>
      </c>
      <c r="H11126" s="22" t="s">
        <v>973</v>
      </c>
      <c r="I11126" s="26">
        <v>43552.685416666704</v>
      </c>
      <c r="J11126" s="23" t="str">
        <f>HYPERLINK("https://www.spark-marketing.ru/Card/Person/2451357", "ООО ЧОП ""ВИХРЬ""")</f>
        <v>ООО ЧОП "ВИХРЬ"</v>
      </c>
      <c r="K11126" s="24" t="s">
        <v>13412</v>
      </c>
      <c r="L11126" s="28" t="s">
        <v>52</v>
      </c>
      <c r="M11126" s="25">
        <v>1220889.6000000001</v>
      </c>
      <c r="N11126" s="27">
        <v>0.28000000000000003</v>
      </c>
    </row>
    <row r="11127" spans="1:14" ht="12.75" hidden="1" outlineLevel="1" x14ac:dyDescent="0.2">
      <c r="A11127" s="23" t="str">
        <f t="shared" si="550"/>
        <v>МБУ ГДК "РОДИНА"</v>
      </c>
      <c r="B11127" s="24" t="s">
        <v>13408</v>
      </c>
      <c r="C11127" s="25">
        <v>1695680</v>
      </c>
      <c r="D11127" s="22" t="s">
        <v>13409</v>
      </c>
      <c r="E11127" s="22" t="s">
        <v>68</v>
      </c>
      <c r="F11127" s="23" t="str">
        <f t="shared" si="551"/>
        <v>Оказание охранных услуг</v>
      </c>
      <c r="G11127" s="22" t="s">
        <v>69</v>
      </c>
      <c r="H11127" s="22" t="s">
        <v>973</v>
      </c>
      <c r="I11127" s="26">
        <v>43552.685416666704</v>
      </c>
      <c r="J11127" s="23" t="str">
        <f>HYPERLINK("https://www.spark-marketing.ru/Card/Person/548746", "ООО ОА ""АЛЕКС-А""")</f>
        <v>ООО ОА "АЛЕКС-А"</v>
      </c>
      <c r="K11127" s="24" t="s">
        <v>13413</v>
      </c>
      <c r="L11127" s="22" t="s">
        <v>10</v>
      </c>
      <c r="M11127" s="25">
        <v>1001000</v>
      </c>
      <c r="N11127" s="27">
        <v>0.40967635402906211</v>
      </c>
    </row>
    <row r="11128" spans="1:14" x14ac:dyDescent="0.15">
      <c r="A11128" s="23" t="str">
        <f>HYPERLINK("https://www.spark-marketing.ru/Card/Person/121727", "МЕЖРАЙОННАЯ ИФНС РОССИИ № 1 ПО РОСТОВСКОЙ ОБЛАСТИ")</f>
        <v>МЕЖРАЙОННАЯ ИФНС РОССИИ № 1 ПО РОСТОВСКОЙ ОБЛАСТИ</v>
      </c>
      <c r="B11128" s="24" t="s">
        <v>13414</v>
      </c>
      <c r="C11128" s="25">
        <v>42083.28</v>
      </c>
      <c r="D11128" s="22" t="s">
        <v>13415</v>
      </c>
      <c r="E11128" s="22" t="s">
        <v>53</v>
      </c>
      <c r="F11128" s="23" t="str">
        <f>HYPERLINK("https://www.spark-marketing.ru/Card/Lot/70788286", "Услуги пультовой охраны, мониторинг систем охранной и аварийной сигнализации, 1 шт")</f>
        <v>Услуги пультовой охраны, мониторинг систем охранной и аварийной сигнализации, 1 шт</v>
      </c>
      <c r="G11128" s="22" t="s">
        <v>402</v>
      </c>
      <c r="H11128" s="22" t="s">
        <v>6099</v>
      </c>
      <c r="I11128" s="26">
        <v>43552.678912037001</v>
      </c>
      <c r="J11128" s="28" t="s">
        <v>52</v>
      </c>
      <c r="K11128" s="28" t="s">
        <v>52</v>
      </c>
      <c r="L11128" s="28" t="s">
        <v>52</v>
      </c>
      <c r="M11128" s="28" t="s">
        <v>52</v>
      </c>
      <c r="N11128" s="28" t="s">
        <v>52</v>
      </c>
    </row>
    <row r="11129" spans="1:14" x14ac:dyDescent="0.15">
      <c r="A11129" s="23" t="str">
        <f>HYPERLINK("https://www.spark-marketing.ru/Card/Person/131485", "МБУ ""ЦЕНТР СОЦИАЛЬНЫХ ВЫПЛАТ""")</f>
        <v>МБУ "ЦЕНТР СОЦИАЛЬНЫХ ВЫПЛАТ"</v>
      </c>
      <c r="B11129" s="24" t="s">
        <v>13416</v>
      </c>
      <c r="C11129" s="25">
        <v>32000</v>
      </c>
      <c r="D11129" s="22" t="s">
        <v>13417</v>
      </c>
      <c r="E11129" s="22" t="s">
        <v>59</v>
      </c>
      <c r="F11129" s="23" t="str">
        <f>HYPERLINK("https://www.spark-marketing.ru/Card/Lot/69109320", "Установка, монтаж и наладка системы видеонаблюдения")</f>
        <v>Установка, монтаж и наладка системы видеонаблюдения</v>
      </c>
      <c r="G11129" s="22" t="s">
        <v>176</v>
      </c>
      <c r="H11129" s="22" t="s">
        <v>318</v>
      </c>
      <c r="I11129" s="26">
        <v>43552.679166666698</v>
      </c>
      <c r="J11129" s="28" t="s">
        <v>52</v>
      </c>
      <c r="K11129" s="28" t="s">
        <v>52</v>
      </c>
      <c r="L11129" s="28" t="s">
        <v>52</v>
      </c>
      <c r="M11129" s="28" t="s">
        <v>52</v>
      </c>
      <c r="N11129" s="28" t="s">
        <v>52</v>
      </c>
    </row>
    <row r="11130" spans="1:14" x14ac:dyDescent="0.15">
      <c r="A11130" s="23" t="str">
        <f t="shared" ref="A11130:A11138" si="552">HYPERLINK("https://www.spark-marketing.ru/Card/Person/4434", "ФГБУ ""НМИЦ РК"" МИНЗДРАВА РОССИИ")</f>
        <v>ФГБУ "НМИЦ РК" МИНЗДРАВА РОССИИ</v>
      </c>
      <c r="B11130" s="24" t="s">
        <v>13418</v>
      </c>
      <c r="C11130" s="25">
        <v>109350</v>
      </c>
      <c r="D11130" s="22" t="s">
        <v>13419</v>
      </c>
      <c r="E11130" s="22" t="s">
        <v>107</v>
      </c>
      <c r="F11130" s="23" t="str">
        <f t="shared" ref="F11130:F11138" si="553">HYPERLINK("https://www.spark-marketing.ru/Card/Lot/69115506", "Оказание услуг по техническому обслуживанию  систем наружного и внутреннего  видеонаблюдения  в течение 2019 года для   ЛРКЦ ""Курортная больница "" - филиал ФГБУ ""НМИЦ РК "" Минздрава России")</f>
        <v>Оказание услуг по техническому обслуживанию  систем наружного и внутреннего  видеонаблюдения  в течение 2019 года для   ЛРКЦ "Курортная больница " - филиал ФГБУ "НМИЦ РК " Минздрава России</v>
      </c>
      <c r="G11130" s="22" t="s">
        <v>258</v>
      </c>
      <c r="H11130" s="22" t="s">
        <v>259</v>
      </c>
      <c r="I11130" s="26">
        <v>43552.636111111096</v>
      </c>
      <c r="J11130" s="28" t="s">
        <v>52</v>
      </c>
      <c r="K11130" s="28" t="s">
        <v>52</v>
      </c>
      <c r="L11130" s="28" t="s">
        <v>52</v>
      </c>
      <c r="M11130" s="28" t="s">
        <v>52</v>
      </c>
      <c r="N11130" s="28" t="s">
        <v>52</v>
      </c>
    </row>
    <row r="11131" spans="1:14" hidden="1" outlineLevel="1" x14ac:dyDescent="0.2">
      <c r="A11131" s="23" t="str">
        <f t="shared" si="552"/>
        <v>ФГБУ "НМИЦ РК" МИНЗДРАВА РОССИИ</v>
      </c>
      <c r="B11131" s="24" t="s">
        <v>13418</v>
      </c>
      <c r="C11131" s="25">
        <v>109350</v>
      </c>
      <c r="D11131" s="22" t="s">
        <v>13419</v>
      </c>
      <c r="E11131" s="22" t="s">
        <v>107</v>
      </c>
      <c r="F11131" s="23" t="str">
        <f t="shared" si="553"/>
        <v>Оказание услуг по техническому обслуживанию  систем наружного и внутреннего  видеонаблюдения  в течение 2019 года для   ЛРКЦ "Курортная больница " - филиал ФГБУ "НМИЦ РК " Минздрава России</v>
      </c>
      <c r="G11131" s="22" t="s">
        <v>258</v>
      </c>
      <c r="H11131" s="22" t="s">
        <v>259</v>
      </c>
      <c r="I11131" s="26">
        <v>43552.636111111096</v>
      </c>
      <c r="J11131" s="23" t="str">
        <f>HYPERLINK("https://www.spark-marketing.ru/Card/Person/470113", "ООО ""АЛАРМ СЕРВИС""")</f>
        <v>ООО "АЛАРМ СЕРВИС"</v>
      </c>
      <c r="K11131" s="24" t="s">
        <v>6025</v>
      </c>
      <c r="L11131" s="28" t="s">
        <v>52</v>
      </c>
      <c r="M11131" s="25">
        <v>68762</v>
      </c>
      <c r="N11131" s="27">
        <v>0.37117512574302697</v>
      </c>
    </row>
    <row r="11132" spans="1:14" ht="12.75" hidden="1" outlineLevel="1" x14ac:dyDescent="0.2">
      <c r="A11132" s="23" t="str">
        <f t="shared" si="552"/>
        <v>ФГБУ "НМИЦ РК" МИНЗДРАВА РОССИИ</v>
      </c>
      <c r="B11132" s="24" t="s">
        <v>13418</v>
      </c>
      <c r="C11132" s="25">
        <v>109350</v>
      </c>
      <c r="D11132" s="22" t="s">
        <v>13419</v>
      </c>
      <c r="E11132" s="22" t="s">
        <v>107</v>
      </c>
      <c r="F11132" s="23" t="str">
        <f t="shared" si="553"/>
        <v>Оказание услуг по техническому обслуживанию  систем наружного и внутреннего  видеонаблюдения  в течение 2019 года для   ЛРКЦ "Курортная больница " - филиал ФГБУ "НМИЦ РК " Минздрава России</v>
      </c>
      <c r="G11132" s="22" t="s">
        <v>258</v>
      </c>
      <c r="H11132" s="22" t="s">
        <v>259</v>
      </c>
      <c r="I11132" s="26">
        <v>43552.636111111096</v>
      </c>
      <c r="J11132" s="23" t="str">
        <f>HYPERLINK("https://www.spark-marketing.ru/Card/Person/71153", "ООО ""ГРАНИТ""")</f>
        <v>ООО "ГРАНИТ"</v>
      </c>
      <c r="K11132" s="24" t="s">
        <v>13420</v>
      </c>
      <c r="L11132" s="22" t="s">
        <v>10</v>
      </c>
      <c r="M11132" s="25">
        <v>27813</v>
      </c>
      <c r="N11132" s="27">
        <v>0.74565157750342936</v>
      </c>
    </row>
    <row r="11133" spans="1:14" hidden="1" outlineLevel="1" x14ac:dyDescent="0.2">
      <c r="A11133" s="23" t="str">
        <f t="shared" si="552"/>
        <v>ФГБУ "НМИЦ РК" МИНЗДРАВА РОССИИ</v>
      </c>
      <c r="B11133" s="24" t="s">
        <v>13418</v>
      </c>
      <c r="C11133" s="25">
        <v>109350</v>
      </c>
      <c r="D11133" s="22" t="s">
        <v>13419</v>
      </c>
      <c r="E11133" s="22" t="s">
        <v>107</v>
      </c>
      <c r="F11133" s="23" t="str">
        <f t="shared" si="553"/>
        <v>Оказание услуг по техническому обслуживанию  систем наружного и внутреннего  видеонаблюдения  в течение 2019 года для   ЛРКЦ "Курортная больница " - филиал ФГБУ "НМИЦ РК " Минздрава России</v>
      </c>
      <c r="G11133" s="22" t="s">
        <v>258</v>
      </c>
      <c r="H11133" s="22" t="s">
        <v>259</v>
      </c>
      <c r="I11133" s="26">
        <v>43552.636111111096</v>
      </c>
      <c r="J11133" s="23" t="str">
        <f>HYPERLINK("https://www.spark-marketing.ru/Card/Person/4890981", "ООО ""МАШУК-ТЕЛЕКОМ""")</f>
        <v>ООО "МАШУК-ТЕЛЕКОМ"</v>
      </c>
      <c r="K11133" s="24" t="s">
        <v>6024</v>
      </c>
      <c r="L11133" s="28" t="s">
        <v>52</v>
      </c>
      <c r="M11133" s="25">
        <v>28359.75</v>
      </c>
      <c r="N11133" s="27">
        <v>0.74065157750342936</v>
      </c>
    </row>
    <row r="11134" spans="1:14" hidden="1" outlineLevel="1" x14ac:dyDescent="0.2">
      <c r="A11134" s="23" t="str">
        <f t="shared" si="552"/>
        <v>ФГБУ "НМИЦ РК" МИНЗДРАВА РОССИИ</v>
      </c>
      <c r="B11134" s="24" t="s">
        <v>13418</v>
      </c>
      <c r="C11134" s="25">
        <v>109350</v>
      </c>
      <c r="D11134" s="22" t="s">
        <v>13419</v>
      </c>
      <c r="E11134" s="22" t="s">
        <v>107</v>
      </c>
      <c r="F11134" s="23" t="str">
        <f t="shared" si="553"/>
        <v>Оказание услуг по техническому обслуживанию  систем наружного и внутреннего  видеонаблюдения  в течение 2019 года для   ЛРКЦ "Курортная больница " - филиал ФГБУ "НМИЦ РК " Минздрава России</v>
      </c>
      <c r="G11134" s="22" t="s">
        <v>258</v>
      </c>
      <c r="H11134" s="22" t="s">
        <v>259</v>
      </c>
      <c r="I11134" s="26">
        <v>43552.636111111096</v>
      </c>
      <c r="J11134" s="23" t="str">
        <f>HYPERLINK("https://www.spark-marketing.ru/Card/Person/880442", "ООО ""СЕРВИС-БЕЗОПАСНОСТИ""")</f>
        <v>ООО "СЕРВИС-БЕЗОПАСНОСТИ"</v>
      </c>
      <c r="K11134" s="24" t="s">
        <v>13421</v>
      </c>
      <c r="L11134" s="28" t="s">
        <v>52</v>
      </c>
      <c r="M11134" s="25">
        <v>39347.5</v>
      </c>
      <c r="N11134" s="27">
        <v>0.64016918152720625</v>
      </c>
    </row>
    <row r="11135" spans="1:14" hidden="1" outlineLevel="1" x14ac:dyDescent="0.2">
      <c r="A11135" s="23" t="str">
        <f t="shared" si="552"/>
        <v>ФГБУ "НМИЦ РК" МИНЗДРАВА РОССИИ</v>
      </c>
      <c r="B11135" s="24" t="s">
        <v>13418</v>
      </c>
      <c r="C11135" s="25">
        <v>109350</v>
      </c>
      <c r="D11135" s="22" t="s">
        <v>13419</v>
      </c>
      <c r="E11135" s="22" t="s">
        <v>107</v>
      </c>
      <c r="F11135" s="23" t="str">
        <f t="shared" si="553"/>
        <v>Оказание услуг по техническому обслуживанию  систем наружного и внутреннего  видеонаблюдения  в течение 2019 года для   ЛРКЦ "Курортная больница " - филиал ФГБУ "НМИЦ РК " Минздрава России</v>
      </c>
      <c r="G11135" s="22" t="s">
        <v>258</v>
      </c>
      <c r="H11135" s="22" t="s">
        <v>259</v>
      </c>
      <c r="I11135" s="26">
        <v>43552.636111111096</v>
      </c>
      <c r="J11135" s="23" t="str">
        <f>HYPERLINK("https://www.spark-marketing.ru/Card/Person/472188", "Золотов Александр Александрович")</f>
        <v>Золотов Александр Александрович</v>
      </c>
      <c r="K11135" s="24" t="s">
        <v>13422</v>
      </c>
      <c r="L11135" s="28" t="s">
        <v>52</v>
      </c>
      <c r="M11135" s="25">
        <v>45361.75</v>
      </c>
      <c r="N11135" s="27">
        <v>0.58516918152720621</v>
      </c>
    </row>
    <row r="11136" spans="1:14" hidden="1" outlineLevel="1" x14ac:dyDescent="0.2">
      <c r="A11136" s="23" t="str">
        <f t="shared" si="552"/>
        <v>ФГБУ "НМИЦ РК" МИНЗДРАВА РОССИИ</v>
      </c>
      <c r="B11136" s="24" t="s">
        <v>13418</v>
      </c>
      <c r="C11136" s="25">
        <v>109350</v>
      </c>
      <c r="D11136" s="22" t="s">
        <v>13419</v>
      </c>
      <c r="E11136" s="22" t="s">
        <v>107</v>
      </c>
      <c r="F11136" s="23" t="str">
        <f t="shared" si="553"/>
        <v>Оказание услуг по техническому обслуживанию  систем наружного и внутреннего  видеонаблюдения  в течение 2019 года для   ЛРКЦ "Курортная больница " - филиал ФГБУ "НМИЦ РК " Минздрава России</v>
      </c>
      <c r="G11136" s="22" t="s">
        <v>258</v>
      </c>
      <c r="H11136" s="22" t="s">
        <v>259</v>
      </c>
      <c r="I11136" s="26">
        <v>43552.636111111096</v>
      </c>
      <c r="J11136" s="23" t="str">
        <f>HYPERLINK("https://www.spark-marketing.ru/Card/Person/106268", "ООО ЧОП ""АЛЬФА-ГАРАНТ""")</f>
        <v>ООО ЧОП "АЛЬФА-ГАРАНТ"</v>
      </c>
      <c r="K11136" s="24" t="s">
        <v>1676</v>
      </c>
      <c r="L11136" s="28" t="s">
        <v>52</v>
      </c>
      <c r="M11136" s="25">
        <v>95391.99</v>
      </c>
      <c r="N11136" s="27">
        <v>0.12764526748971194</v>
      </c>
    </row>
    <row r="11137" spans="1:14" hidden="1" outlineLevel="1" x14ac:dyDescent="0.2">
      <c r="A11137" s="23" t="str">
        <f t="shared" si="552"/>
        <v>ФГБУ "НМИЦ РК" МИНЗДРАВА РОССИИ</v>
      </c>
      <c r="B11137" s="24" t="s">
        <v>13418</v>
      </c>
      <c r="C11137" s="25">
        <v>109350</v>
      </c>
      <c r="D11137" s="22" t="s">
        <v>13419</v>
      </c>
      <c r="E11137" s="22" t="s">
        <v>107</v>
      </c>
      <c r="F11137" s="23" t="str">
        <f t="shared" si="553"/>
        <v>Оказание услуг по техническому обслуживанию  систем наружного и внутреннего  видеонаблюдения  в течение 2019 года для   ЛРКЦ "Курортная больница " - филиал ФГБУ "НМИЦ РК " Минздрава России</v>
      </c>
      <c r="G11137" s="22" t="s">
        <v>258</v>
      </c>
      <c r="H11137" s="22" t="s">
        <v>259</v>
      </c>
      <c r="I11137" s="26">
        <v>43552.636111111096</v>
      </c>
      <c r="J11137" s="23" t="str">
        <f>HYPERLINK("https://www.spark-marketing.ru/Card/Person/165131", "Кочубей Олег Михайлович")</f>
        <v>Кочубей Олег Михайлович</v>
      </c>
      <c r="K11137" s="24" t="s">
        <v>1673</v>
      </c>
      <c r="L11137" s="28" t="s">
        <v>52</v>
      </c>
      <c r="M11137" s="25">
        <v>30000</v>
      </c>
      <c r="N11137" s="27">
        <v>0.72565157750342935</v>
      </c>
    </row>
    <row r="11138" spans="1:14" hidden="1" outlineLevel="1" x14ac:dyDescent="0.2">
      <c r="A11138" s="23" t="str">
        <f t="shared" si="552"/>
        <v>ФГБУ "НМИЦ РК" МИНЗДРАВА РОССИИ</v>
      </c>
      <c r="B11138" s="24" t="s">
        <v>13418</v>
      </c>
      <c r="C11138" s="25">
        <v>109350</v>
      </c>
      <c r="D11138" s="22" t="s">
        <v>13419</v>
      </c>
      <c r="E11138" s="22" t="s">
        <v>107</v>
      </c>
      <c r="F11138" s="23" t="str">
        <f t="shared" si="553"/>
        <v>Оказание услуг по техническому обслуживанию  систем наружного и внутреннего  видеонаблюдения  в течение 2019 года для   ЛРКЦ "Курортная больница " - филиал ФГБУ "НМИЦ РК " Минздрава России</v>
      </c>
      <c r="G11138" s="22" t="s">
        <v>258</v>
      </c>
      <c r="H11138" s="22" t="s">
        <v>259</v>
      </c>
      <c r="I11138" s="26">
        <v>43552.636111111096</v>
      </c>
      <c r="J11138" s="23" t="str">
        <f>HYPERLINK("https://www.spark-marketing.ru/Card/Person/780600", "ООО ""КОНТИНЕНТ""")</f>
        <v>ООО "КОНТИНЕНТ"</v>
      </c>
      <c r="K11138" s="24" t="s">
        <v>1600</v>
      </c>
      <c r="L11138" s="28" t="s">
        <v>52</v>
      </c>
      <c r="M11138" s="25">
        <v>45908.5</v>
      </c>
      <c r="N11138" s="27">
        <v>0.5801691815272062</v>
      </c>
    </row>
    <row r="11139" spans="1:14" x14ac:dyDescent="0.2">
      <c r="A11139" s="23" t="str">
        <f>HYPERLINK("https://www.spark-marketing.ru/Card/Person/10767", "ТУСУР, ФГБОУ ВО ""ТУСУР"", ФГБОУ ВО ""ТОМСКИЙ ГОСУДАРСТВЕННЫЙ УНИВЕРСИТЕТ СИСТЕМ УПРАВЛЕНИЯ И РАДИОЭЛЕКТРОНИКИ"", ТОМСКИЙ ГОСУДАРСТВЕННЫЙ УНИВЕРСИТЕТ СИСТЕМ УПРАВЛЕНИЯ И РАДИОЭЛЕКТРОНИКИ")</f>
        <v>ТУСУР, ФГБОУ ВО "ТУСУР", ФГБОУ ВО "ТОМСКИЙ ГОСУДАРСТВЕННЫЙ УНИВЕРСИТЕТ СИСТЕМ УПРАВЛЕНИЯ И РАДИОЭЛЕКТРОНИКИ", ТОМСКИЙ ГОСУДАРСТВЕННЫЙ УНИВЕРСИТЕТ СИСТЕМ УПРАВЛЕНИЯ И РАДИОЭЛЕКТРОНИКИ</v>
      </c>
      <c r="B11139" s="24" t="s">
        <v>13423</v>
      </c>
      <c r="C11139" s="25">
        <v>178260</v>
      </c>
      <c r="D11139" s="22" t="s">
        <v>13424</v>
      </c>
      <c r="E11139" s="22" t="s">
        <v>13425</v>
      </c>
      <c r="F11139" s="23" t="str">
        <f>HYPERLINK("https://www.spark-marketing.ru/Card/Lot/69096903", "Поставка комплектующих для обеспечения пропускного режима в общежития ТУСУР")</f>
        <v>Поставка комплектующих для обеспечения пропускного режима в общежития ТУСУР</v>
      </c>
      <c r="G11139" s="22" t="s">
        <v>150</v>
      </c>
      <c r="H11139" s="22" t="s">
        <v>150</v>
      </c>
      <c r="I11139" s="26">
        <v>43552.6386458333</v>
      </c>
      <c r="J11139" s="23" t="str">
        <f>HYPERLINK("https://www.spark-marketing.ru/Card/Person/4856580", "ООО ""КОМПСТАР-СЕРВИС""")</f>
        <v>ООО "КОМПСТАР-СЕРВИС"</v>
      </c>
      <c r="K11139" s="24" t="s">
        <v>13426</v>
      </c>
      <c r="L11139" s="28" t="s">
        <v>52</v>
      </c>
      <c r="M11139" s="25">
        <v>129960</v>
      </c>
      <c r="N11139" s="27">
        <v>0.27095254123190843</v>
      </c>
    </row>
    <row r="11140" spans="1:14" x14ac:dyDescent="0.15">
      <c r="A11140" s="23" t="str">
        <f>HYPERLINK("https://www.spark-marketing.ru/Card/Person/5198", "АДМИНИСТРАЦИЯ КРОПОТКИНСКОГО ГОРОДСКОГО ПОСЕЛЕНИЯ КАВКАЗСКОГО РАЙОНА")</f>
        <v>АДМИНИСТРАЦИЯ КРОПОТКИНСКОГО ГОРОДСКОГО ПОСЕЛЕНИЯ КАВКАЗСКОГО РАЙОНА</v>
      </c>
      <c r="B11140" s="24" t="s">
        <v>13427</v>
      </c>
      <c r="C11140" s="25">
        <v>500000</v>
      </c>
      <c r="D11140" s="22" t="s">
        <v>13428</v>
      </c>
      <c r="E11140" s="22" t="s">
        <v>59</v>
      </c>
      <c r="F11140" s="23" t="str">
        <f>HYPERLINK("https://www.spark-marketing.ru/Card/Lot/69116261", "Приобретение и установка светофорного объекта на пересечении ул. Пушкина и ул. Чапаева в г.Кропоткине")</f>
        <v>Приобретение и установка светофорного объекта на пересечении ул. Пушкина и ул. Чапаева в г.Кропоткине</v>
      </c>
      <c r="G11140" s="22" t="s">
        <v>132</v>
      </c>
      <c r="H11140" s="22" t="s">
        <v>132</v>
      </c>
      <c r="I11140" s="26">
        <v>43552.659027777801</v>
      </c>
      <c r="J11140" s="28" t="s">
        <v>52</v>
      </c>
      <c r="K11140" s="28" t="s">
        <v>52</v>
      </c>
      <c r="L11140" s="28" t="s">
        <v>52</v>
      </c>
      <c r="M11140" s="28" t="s">
        <v>52</v>
      </c>
      <c r="N11140" s="28" t="s">
        <v>52</v>
      </c>
    </row>
    <row r="11141" spans="1:14" ht="12.75" hidden="1" outlineLevel="1" x14ac:dyDescent="0.2">
      <c r="A11141" s="23" t="str">
        <f>HYPERLINK("https://www.spark-marketing.ru/Card/Person/5198", "АДМИНИСТРАЦИЯ КРОПОТКИНСКОГО ГОРОДСКОГО ПОСЕЛЕНИЯ КАВКАЗСКОГО РАЙОНА")</f>
        <v>АДМИНИСТРАЦИЯ КРОПОТКИНСКОГО ГОРОДСКОГО ПОСЕЛЕНИЯ КАВКАЗСКОГО РАЙОНА</v>
      </c>
      <c r="B11141" s="24" t="s">
        <v>13427</v>
      </c>
      <c r="C11141" s="25">
        <v>500000</v>
      </c>
      <c r="D11141" s="22" t="s">
        <v>13428</v>
      </c>
      <c r="E11141" s="22" t="s">
        <v>59</v>
      </c>
      <c r="F11141" s="23" t="str">
        <f>HYPERLINK("https://www.spark-marketing.ru/Card/Lot/69116261", "Приобретение и установка светофорного объекта на пересечении ул. Пушкина и ул. Чапаева в г.Кропоткине")</f>
        <v>Приобретение и установка светофорного объекта на пересечении ул. Пушкина и ул. Чапаева в г.Кропоткине</v>
      </c>
      <c r="G11141" s="22" t="s">
        <v>132</v>
      </c>
      <c r="H11141" s="22" t="s">
        <v>132</v>
      </c>
      <c r="I11141" s="26">
        <v>43552.659027777801</v>
      </c>
      <c r="J11141" s="23" t="str">
        <f>HYPERLINK("https://www.spark-marketing.ru/Card/Person/188658", "СПК ""ГУЛЬКЕВИЧИАГРОПРОМЭНЕРГО""")</f>
        <v>СПК "ГУЛЬКЕВИЧИАГРОПРОМЭНЕРГО"</v>
      </c>
      <c r="K11141" s="24" t="s">
        <v>13429</v>
      </c>
      <c r="L11141" s="22" t="s">
        <v>10</v>
      </c>
      <c r="M11141" s="25">
        <v>365000</v>
      </c>
      <c r="N11141" s="27">
        <v>0.27</v>
      </c>
    </row>
    <row r="11142" spans="1:14" hidden="1" outlineLevel="1" x14ac:dyDescent="0.2">
      <c r="A11142" s="23" t="str">
        <f>HYPERLINK("https://www.spark-marketing.ru/Card/Person/5198", "АДМИНИСТРАЦИЯ КРОПОТКИНСКОГО ГОРОДСКОГО ПОСЕЛЕНИЯ КАВКАЗСКОГО РАЙОНА")</f>
        <v>АДМИНИСТРАЦИЯ КРОПОТКИНСКОГО ГОРОДСКОГО ПОСЕЛЕНИЯ КАВКАЗСКОГО РАЙОНА</v>
      </c>
      <c r="B11142" s="24" t="s">
        <v>13427</v>
      </c>
      <c r="C11142" s="25">
        <v>500000</v>
      </c>
      <c r="D11142" s="22" t="s">
        <v>13428</v>
      </c>
      <c r="E11142" s="22" t="s">
        <v>59</v>
      </c>
      <c r="F11142" s="23" t="str">
        <f>HYPERLINK("https://www.spark-marketing.ru/Card/Lot/69116261", "Приобретение и установка светофорного объекта на пересечении ул. Пушкина и ул. Чапаева в г.Кропоткине")</f>
        <v>Приобретение и установка светофорного объекта на пересечении ул. Пушкина и ул. Чапаева в г.Кропоткине</v>
      </c>
      <c r="G11142" s="22" t="s">
        <v>132</v>
      </c>
      <c r="H11142" s="22" t="s">
        <v>132</v>
      </c>
      <c r="I11142" s="26">
        <v>43552.659027777801</v>
      </c>
      <c r="J11142" s="23" t="str">
        <f>HYPERLINK("https://www.spark-marketing.ru/Card/Person/792071", "Саратова Елена Александровна")</f>
        <v>Саратова Елена Александровна</v>
      </c>
      <c r="K11142" s="24" t="s">
        <v>5198</v>
      </c>
      <c r="L11142" s="28" t="s">
        <v>52</v>
      </c>
      <c r="M11142" s="25">
        <v>367500</v>
      </c>
      <c r="N11142" s="27">
        <v>0.26500000000000001</v>
      </c>
    </row>
    <row r="11143" spans="1:14" hidden="1" outlineLevel="1" x14ac:dyDescent="0.2">
      <c r="A11143" s="23" t="str">
        <f>HYPERLINK("https://www.spark-marketing.ru/Card/Person/5198", "АДМИНИСТРАЦИЯ КРОПОТКИНСКОГО ГОРОДСКОГО ПОСЕЛЕНИЯ КАВКАЗСКОГО РАЙОНА")</f>
        <v>АДМИНИСТРАЦИЯ КРОПОТКИНСКОГО ГОРОДСКОГО ПОСЕЛЕНИЯ КАВКАЗСКОГО РАЙОНА</v>
      </c>
      <c r="B11143" s="24" t="s">
        <v>13427</v>
      </c>
      <c r="C11143" s="25">
        <v>500000</v>
      </c>
      <c r="D11143" s="22" t="s">
        <v>13428</v>
      </c>
      <c r="E11143" s="22" t="s">
        <v>59</v>
      </c>
      <c r="F11143" s="23" t="str">
        <f>HYPERLINK("https://www.spark-marketing.ru/Card/Lot/69116261", "Приобретение и установка светофорного объекта на пересечении ул. Пушкина и ул. Чапаева в г.Кропоткине")</f>
        <v>Приобретение и установка светофорного объекта на пересечении ул. Пушкина и ул. Чапаева в г.Кропоткине</v>
      </c>
      <c r="G11143" s="22" t="s">
        <v>132</v>
      </c>
      <c r="H11143" s="22" t="s">
        <v>132</v>
      </c>
      <c r="I11143" s="26">
        <v>43552.659027777801</v>
      </c>
      <c r="J11143" s="23" t="str">
        <f>HYPERLINK("https://www.spark-marketing.ru/Card/Person/6505743", "Шелест Ольга Николаевна")</f>
        <v>Шелест Ольга Николаевна</v>
      </c>
      <c r="K11143" s="24" t="s">
        <v>13430</v>
      </c>
      <c r="L11143" s="28" t="s">
        <v>52</v>
      </c>
      <c r="M11143" s="25">
        <v>487500</v>
      </c>
      <c r="N11143" s="27">
        <v>2.5000000000000001E-2</v>
      </c>
    </row>
    <row r="11144" spans="1:14" hidden="1" outlineLevel="1" x14ac:dyDescent="0.2">
      <c r="A11144" s="23" t="str">
        <f>HYPERLINK("https://www.spark-marketing.ru/Card/Person/5198", "АДМИНИСТРАЦИЯ КРОПОТКИНСКОГО ГОРОДСКОГО ПОСЕЛЕНИЯ КАВКАЗСКОГО РАЙОНА")</f>
        <v>АДМИНИСТРАЦИЯ КРОПОТКИНСКОГО ГОРОДСКОГО ПОСЕЛЕНИЯ КАВКАЗСКОГО РАЙОНА</v>
      </c>
      <c r="B11144" s="24" t="s">
        <v>13427</v>
      </c>
      <c r="C11144" s="25">
        <v>500000</v>
      </c>
      <c r="D11144" s="22" t="s">
        <v>13428</v>
      </c>
      <c r="E11144" s="22" t="s">
        <v>59</v>
      </c>
      <c r="F11144" s="23" t="str">
        <f>HYPERLINK("https://www.spark-marketing.ru/Card/Lot/69116261", "Приобретение и установка светофорного объекта на пересечении ул. Пушкина и ул. Чапаева в г.Кропоткине")</f>
        <v>Приобретение и установка светофорного объекта на пересечении ул. Пушкина и ул. Чапаева в г.Кропоткине</v>
      </c>
      <c r="G11144" s="22" t="s">
        <v>132</v>
      </c>
      <c r="H11144" s="22" t="s">
        <v>132</v>
      </c>
      <c r="I11144" s="26">
        <v>43552.659027777801</v>
      </c>
      <c r="J11144" s="23" t="str">
        <f>HYPERLINK("https://www.spark-marketing.ru/Card/Person/197742", "ООО ""КУБАНЬДОРСИГНАЛ""")</f>
        <v>ООО "КУБАНЬДОРСИГНАЛ"</v>
      </c>
      <c r="K11144" s="24" t="s">
        <v>13431</v>
      </c>
      <c r="L11144" s="28" t="s">
        <v>52</v>
      </c>
      <c r="M11144" s="25">
        <v>377500</v>
      </c>
      <c r="N11144" s="27">
        <v>0.245</v>
      </c>
    </row>
    <row r="11145" spans="1:14" x14ac:dyDescent="0.15">
      <c r="A11145" s="23" t="str">
        <f>HYPERLINK("https://www.spark-marketing.ru/Card/Person/4353030", "ГБПОУ РО ""ККПТ""")</f>
        <v>ГБПОУ РО "ККПТ"</v>
      </c>
      <c r="B11145" s="24" t="s">
        <v>13432</v>
      </c>
      <c r="C11145" s="25">
        <v>26295</v>
      </c>
      <c r="D11145" s="22" t="s">
        <v>13433</v>
      </c>
      <c r="E11145" s="22" t="s">
        <v>208</v>
      </c>
      <c r="F11145" s="23" t="str">
        <f>HYPERLINK("https://www.spark-marketing.ru/Card/Lot/69107774", "Монтаж и подключение оборудования сигнализации (тревожная кнопка) с выводом сигнала на пульт ПЦО ОВО в г.Красный Сулин")</f>
        <v>Монтаж и подключение оборудования сигнализации (тревожная кнопка) с выводом сигнала на пульт ПЦО ОВО в г.Красный Сулин</v>
      </c>
      <c r="G11145" s="22" t="s">
        <v>402</v>
      </c>
      <c r="H11145" s="22" t="s">
        <v>10454</v>
      </c>
      <c r="I11145" s="26">
        <v>43552.650694444397</v>
      </c>
      <c r="J11145" s="28" t="s">
        <v>52</v>
      </c>
      <c r="K11145" s="28" t="s">
        <v>52</v>
      </c>
      <c r="L11145" s="28" t="s">
        <v>52</v>
      </c>
      <c r="M11145" s="28" t="s">
        <v>52</v>
      </c>
      <c r="N11145" s="28" t="s">
        <v>52</v>
      </c>
    </row>
    <row r="11146" spans="1:14" x14ac:dyDescent="0.15">
      <c r="A11146" s="23" t="str">
        <f>HYPERLINK("https://www.spark-marketing.ru/Card/Person/6218354", "АДМИНИСТРАЦИЯ КОЛОМЕНСКОГО ГОРОДСКОГО ОКРУГА МОСКОВСКОЙ ОБЛАСТИ")</f>
        <v>АДМИНИСТРАЦИЯ КОЛОМЕНСКОГО ГОРОДСКОГО ОКРУГА МОСКОВСКОЙ ОБЛАСТИ</v>
      </c>
      <c r="B11146" s="24" t="s">
        <v>12677</v>
      </c>
      <c r="C11146" s="25">
        <v>96903</v>
      </c>
      <c r="D11146" s="22" t="s">
        <v>13434</v>
      </c>
      <c r="E11146" s="22" t="s">
        <v>107</v>
      </c>
      <c r="F11146" s="23" t="str">
        <f>HYPERLINK("https://www.spark-marketing.ru/Card/Lot/69103880", "Техническое обслуживание системы видеонаблюдения здания администрации")</f>
        <v>Техническое обслуживание системы видеонаблюдения здания администрации</v>
      </c>
      <c r="G11146" s="22" t="s">
        <v>50</v>
      </c>
      <c r="H11146" s="22" t="s">
        <v>682</v>
      </c>
      <c r="I11146" s="26">
        <v>43552.628599536998</v>
      </c>
      <c r="J11146" s="28" t="s">
        <v>52</v>
      </c>
      <c r="K11146" s="28" t="s">
        <v>52</v>
      </c>
      <c r="L11146" s="28" t="s">
        <v>52</v>
      </c>
      <c r="M11146" s="28" t="s">
        <v>52</v>
      </c>
      <c r="N11146" s="28" t="s">
        <v>52</v>
      </c>
    </row>
    <row r="11147" spans="1:14" x14ac:dyDescent="0.15">
      <c r="A11147" s="23" t="str">
        <f>HYPERLINK("https://www.spark-marketing.ru/Card/Person/9367", "АДМИНИСТРАЦИЯ МО ""РОЩИНСКОЕ ГОРОДСКОЕ ПОСЕЛЕНИЕ""")</f>
        <v>АДМИНИСТРАЦИЯ МО "РОЩИНСКОЕ ГОРОДСКОЕ ПОСЕЛЕНИЕ"</v>
      </c>
      <c r="B11147" s="24" t="s">
        <v>2790</v>
      </c>
      <c r="C11147" s="25">
        <v>2561500</v>
      </c>
      <c r="D11147" s="22" t="s">
        <v>13435</v>
      </c>
      <c r="E11147" s="22" t="s">
        <v>2623</v>
      </c>
      <c r="F11147" s="23" t="str">
        <f>HYPERLINK("https://www.spark-marketing.ru/Card/Lot/69115578", "Установка обзорных камер видеонаблюдения наблюдения в местах массового пребывания граждан на территории МО «Рощинское городское поселение» пос. Рощино")</f>
        <v>Установка обзорных камер видеонаблюдения наблюдения в местах массового пребывания граждан на территории МО «Рощинское городское поселение» пос. Рощино</v>
      </c>
      <c r="G11147" s="22" t="s">
        <v>861</v>
      </c>
      <c r="H11147" s="22" t="s">
        <v>2792</v>
      </c>
      <c r="I11147" s="26">
        <v>43552.645833333299</v>
      </c>
      <c r="J11147" s="23" t="str">
        <f>HYPERLINK("https://www.spark-marketing.ru/Card/Person/392748", "ООО ""ИКС-ТРИМ""")</f>
        <v>ООО "ИКС-ТРИМ"</v>
      </c>
      <c r="K11147" s="24" t="s">
        <v>13436</v>
      </c>
      <c r="L11147" s="28" t="s">
        <v>52</v>
      </c>
      <c r="M11147" s="28" t="s">
        <v>52</v>
      </c>
      <c r="N11147" s="28" t="s">
        <v>52</v>
      </c>
    </row>
    <row r="11148" spans="1:14" hidden="1" outlineLevel="1" x14ac:dyDescent="0.15">
      <c r="A11148" s="23" t="str">
        <f>HYPERLINK("https://www.spark-marketing.ru/Card/Person/9367", "АДМИНИСТРАЦИЯ МО ""РОЩИНСКОЕ ГОРОДСКОЕ ПОСЕЛЕНИЕ""")</f>
        <v>АДМИНИСТРАЦИЯ МО "РОЩИНСКОЕ ГОРОДСКОЕ ПОСЕЛЕНИЕ"</v>
      </c>
      <c r="B11148" s="24" t="s">
        <v>2790</v>
      </c>
      <c r="C11148" s="25">
        <v>2561500</v>
      </c>
      <c r="D11148" s="22" t="s">
        <v>13435</v>
      </c>
      <c r="E11148" s="22" t="s">
        <v>2623</v>
      </c>
      <c r="F11148" s="23" t="str">
        <f>HYPERLINK("https://www.spark-marketing.ru/Card/Lot/69115578", "Установка обзорных камер видеонаблюдения наблюдения в местах массового пребывания граждан на территории МО «Рощинское городское поселение» пос. Рощино")</f>
        <v>Установка обзорных камер видеонаблюдения наблюдения в местах массового пребывания граждан на территории МО «Рощинское городское поселение» пос. Рощино</v>
      </c>
      <c r="G11148" s="22" t="s">
        <v>861</v>
      </c>
      <c r="H11148" s="22" t="s">
        <v>2792</v>
      </c>
      <c r="I11148" s="26">
        <v>43552.645833333299</v>
      </c>
      <c r="J11148" s="23" t="str">
        <f>HYPERLINK("https://www.spark-marketing.ru/Card/Person/392748", "ООО ""ИКС-ТРИМ""")</f>
        <v>ООО "ИКС-ТРИМ"</v>
      </c>
      <c r="K11148" s="24" t="s">
        <v>13436</v>
      </c>
      <c r="L11148" s="22" t="s">
        <v>10</v>
      </c>
      <c r="M11148" s="28" t="s">
        <v>52</v>
      </c>
      <c r="N11148" s="28" t="s">
        <v>52</v>
      </c>
    </row>
    <row r="11149" spans="1:14" x14ac:dyDescent="0.15">
      <c r="A11149" s="23" t="str">
        <f t="shared" ref="A11149:A11156" si="554">HYPERLINK("https://www.spark-marketing.ru/Card/Person/1046834", "МБДОУ ""ДЕТСКИЙ САД № 52"" АГО, ДЕТСКИЙ САД № 52")</f>
        <v>МБДОУ "ДЕТСКИЙ САД № 52" АГО, ДЕТСКИЙ САД № 52</v>
      </c>
      <c r="B11149" s="24" t="s">
        <v>13437</v>
      </c>
      <c r="C11149" s="25">
        <v>200000</v>
      </c>
      <c r="D11149" s="22" t="s">
        <v>13438</v>
      </c>
      <c r="E11149" s="22" t="s">
        <v>59</v>
      </c>
      <c r="F11149" s="23" t="str">
        <f t="shared" ref="F11149:F11156" si="555">HYPERLINK("https://www.spark-marketing.ru/Card/Lot/69109719", "Услуги по установке комплекса охранной сигнализации.")</f>
        <v>Услуги по установке комплекса охранной сигнализации.</v>
      </c>
      <c r="G11149" s="22" t="s">
        <v>72</v>
      </c>
      <c r="H11149" s="22" t="s">
        <v>692</v>
      </c>
      <c r="I11149" s="26">
        <v>43552.663194444402</v>
      </c>
      <c r="J11149" s="28" t="s">
        <v>52</v>
      </c>
      <c r="K11149" s="28" t="s">
        <v>52</v>
      </c>
      <c r="L11149" s="28" t="s">
        <v>52</v>
      </c>
      <c r="M11149" s="28" t="s">
        <v>52</v>
      </c>
      <c r="N11149" s="28" t="s">
        <v>52</v>
      </c>
    </row>
    <row r="11150" spans="1:14" hidden="1" outlineLevel="1" x14ac:dyDescent="0.2">
      <c r="A11150" s="23" t="str">
        <f t="shared" si="554"/>
        <v>МБДОУ "ДЕТСКИЙ САД № 52" АГО, ДЕТСКИЙ САД № 52</v>
      </c>
      <c r="B11150" s="24" t="s">
        <v>13437</v>
      </c>
      <c r="C11150" s="25">
        <v>200000</v>
      </c>
      <c r="D11150" s="22" t="s">
        <v>13438</v>
      </c>
      <c r="E11150" s="22" t="s">
        <v>59</v>
      </c>
      <c r="F11150" s="23" t="str">
        <f t="shared" si="555"/>
        <v>Услуги по установке комплекса охранной сигнализации.</v>
      </c>
      <c r="G11150" s="22" t="s">
        <v>72</v>
      </c>
      <c r="H11150" s="22" t="s">
        <v>692</v>
      </c>
      <c r="I11150" s="26">
        <v>43552.663194444402</v>
      </c>
      <c r="J11150" s="23" t="str">
        <f>HYPERLINK("https://www.spark-marketing.ru/Card/Person/753747", "ООО ""СКУД""")</f>
        <v>ООО "СКУД"</v>
      </c>
      <c r="K11150" s="24" t="s">
        <v>1612</v>
      </c>
      <c r="L11150" s="28" t="s">
        <v>52</v>
      </c>
      <c r="M11150" s="25">
        <v>91000</v>
      </c>
      <c r="N11150" s="27">
        <v>0.54500000000000004</v>
      </c>
    </row>
    <row r="11151" spans="1:14" hidden="1" outlineLevel="1" x14ac:dyDescent="0.2">
      <c r="A11151" s="23" t="str">
        <f t="shared" si="554"/>
        <v>МБДОУ "ДЕТСКИЙ САД № 52" АГО, ДЕТСКИЙ САД № 52</v>
      </c>
      <c r="B11151" s="24" t="s">
        <v>13437</v>
      </c>
      <c r="C11151" s="25">
        <v>200000</v>
      </c>
      <c r="D11151" s="22" t="s">
        <v>13438</v>
      </c>
      <c r="E11151" s="22" t="s">
        <v>59</v>
      </c>
      <c r="F11151" s="23" t="str">
        <f t="shared" si="555"/>
        <v>Услуги по установке комплекса охранной сигнализации.</v>
      </c>
      <c r="G11151" s="22" t="s">
        <v>72</v>
      </c>
      <c r="H11151" s="22" t="s">
        <v>692</v>
      </c>
      <c r="I11151" s="26">
        <v>43552.663194444402</v>
      </c>
      <c r="J11151" s="23" t="str">
        <f>HYPERLINK("https://www.spark-marketing.ru/Card/Person/2572423", "ООО ЧОО ""ПАТРИОТ-2011""")</f>
        <v>ООО ЧОО "ПАТРИОТ-2011"</v>
      </c>
      <c r="K11151" s="24" t="s">
        <v>13439</v>
      </c>
      <c r="L11151" s="28" t="s">
        <v>52</v>
      </c>
      <c r="M11151" s="25">
        <v>129000</v>
      </c>
      <c r="N11151" s="27">
        <v>0.35499999999999998</v>
      </c>
    </row>
    <row r="11152" spans="1:14" ht="12.75" hidden="1" outlineLevel="1" x14ac:dyDescent="0.2">
      <c r="A11152" s="23" t="str">
        <f t="shared" si="554"/>
        <v>МБДОУ "ДЕТСКИЙ САД № 52" АГО, ДЕТСКИЙ САД № 52</v>
      </c>
      <c r="B11152" s="24" t="s">
        <v>13437</v>
      </c>
      <c r="C11152" s="25">
        <v>200000</v>
      </c>
      <c r="D11152" s="22" t="s">
        <v>13438</v>
      </c>
      <c r="E11152" s="22" t="s">
        <v>59</v>
      </c>
      <c r="F11152" s="23" t="str">
        <f t="shared" si="555"/>
        <v>Услуги по установке комплекса охранной сигнализации.</v>
      </c>
      <c r="G11152" s="22" t="s">
        <v>72</v>
      </c>
      <c r="H11152" s="22" t="s">
        <v>692</v>
      </c>
      <c r="I11152" s="26">
        <v>43552.663194444402</v>
      </c>
      <c r="J11152" s="23" t="str">
        <f>HYPERLINK("https://www.spark-marketing.ru/Card/Person/797349", "ООО ""ПОЖЗАЩИТА-НТ""")</f>
        <v>ООО "ПОЖЗАЩИТА-НТ"</v>
      </c>
      <c r="K11152" s="24" t="s">
        <v>3826</v>
      </c>
      <c r="L11152" s="22" t="s">
        <v>10</v>
      </c>
      <c r="M11152" s="25">
        <v>82000</v>
      </c>
      <c r="N11152" s="27">
        <v>0.59</v>
      </c>
    </row>
    <row r="11153" spans="1:14" hidden="1" outlineLevel="1" x14ac:dyDescent="0.2">
      <c r="A11153" s="23" t="str">
        <f t="shared" si="554"/>
        <v>МБДОУ "ДЕТСКИЙ САД № 52" АГО, ДЕТСКИЙ САД № 52</v>
      </c>
      <c r="B11153" s="24" t="s">
        <v>13437</v>
      </c>
      <c r="C11153" s="25">
        <v>200000</v>
      </c>
      <c r="D11153" s="22" t="s">
        <v>13438</v>
      </c>
      <c r="E11153" s="22" t="s">
        <v>59</v>
      </c>
      <c r="F11153" s="23" t="str">
        <f t="shared" si="555"/>
        <v>Услуги по установке комплекса охранной сигнализации.</v>
      </c>
      <c r="G11153" s="22" t="s">
        <v>72</v>
      </c>
      <c r="H11153" s="22" t="s">
        <v>692</v>
      </c>
      <c r="I11153" s="26">
        <v>43552.663194444402</v>
      </c>
      <c r="J11153" s="23" t="str">
        <f>HYPERLINK("https://www.spark-marketing.ru/Card/Person/74083", "ООО ""МСК ""ФОТОН""")</f>
        <v>ООО "МСК "ФОТОН"</v>
      </c>
      <c r="K11153" s="24" t="s">
        <v>8792</v>
      </c>
      <c r="L11153" s="28" t="s">
        <v>52</v>
      </c>
      <c r="M11153" s="25">
        <v>83000</v>
      </c>
      <c r="N11153" s="27">
        <v>0.58499999999999996</v>
      </c>
    </row>
    <row r="11154" spans="1:14" hidden="1" outlineLevel="1" x14ac:dyDescent="0.2">
      <c r="A11154" s="23" t="str">
        <f t="shared" si="554"/>
        <v>МБДОУ "ДЕТСКИЙ САД № 52" АГО, ДЕТСКИЙ САД № 52</v>
      </c>
      <c r="B11154" s="24" t="s">
        <v>13437</v>
      </c>
      <c r="C11154" s="25">
        <v>200000</v>
      </c>
      <c r="D11154" s="22" t="s">
        <v>13438</v>
      </c>
      <c r="E11154" s="22" t="s">
        <v>59</v>
      </c>
      <c r="F11154" s="23" t="str">
        <f t="shared" si="555"/>
        <v>Услуги по установке комплекса охранной сигнализации.</v>
      </c>
      <c r="G11154" s="22" t="s">
        <v>72</v>
      </c>
      <c r="H11154" s="22" t="s">
        <v>692</v>
      </c>
      <c r="I11154" s="26">
        <v>43552.663194444402</v>
      </c>
      <c r="J11154" s="23" t="str">
        <f>HYPERLINK("https://www.spark-marketing.ru/Card/Person/50495", "ООО ""МСП БИЗНЕС МИР""")</f>
        <v>ООО "МСП БИЗНЕС МИР"</v>
      </c>
      <c r="K11154" s="24" t="s">
        <v>6602</v>
      </c>
      <c r="L11154" s="28" t="s">
        <v>52</v>
      </c>
      <c r="M11154" s="25">
        <v>137000</v>
      </c>
      <c r="N11154" s="27">
        <v>0.315</v>
      </c>
    </row>
    <row r="11155" spans="1:14" hidden="1" outlineLevel="1" x14ac:dyDescent="0.2">
      <c r="A11155" s="23" t="str">
        <f t="shared" si="554"/>
        <v>МБДОУ "ДЕТСКИЙ САД № 52" АГО, ДЕТСКИЙ САД № 52</v>
      </c>
      <c r="B11155" s="24" t="s">
        <v>13437</v>
      </c>
      <c r="C11155" s="25">
        <v>200000</v>
      </c>
      <c r="D11155" s="22" t="s">
        <v>13438</v>
      </c>
      <c r="E11155" s="22" t="s">
        <v>59</v>
      </c>
      <c r="F11155" s="23" t="str">
        <f t="shared" si="555"/>
        <v>Услуги по установке комплекса охранной сигнализации.</v>
      </c>
      <c r="G11155" s="22" t="s">
        <v>72</v>
      </c>
      <c r="H11155" s="22" t="s">
        <v>692</v>
      </c>
      <c r="I11155" s="26">
        <v>43552.663194444402</v>
      </c>
      <c r="J11155" s="23" t="str">
        <f>HYPERLINK("https://www.spark-marketing.ru/Card/Person/850561", "ООО ""АСКОН""")</f>
        <v>ООО "АСКОН"</v>
      </c>
      <c r="K11155" s="24" t="s">
        <v>1266</v>
      </c>
      <c r="L11155" s="28" t="s">
        <v>52</v>
      </c>
      <c r="M11155" s="25">
        <v>115000</v>
      </c>
      <c r="N11155" s="27">
        <v>0.42499999999999999</v>
      </c>
    </row>
    <row r="11156" spans="1:14" hidden="1" outlineLevel="1" x14ac:dyDescent="0.2">
      <c r="A11156" s="23" t="str">
        <f t="shared" si="554"/>
        <v>МБДОУ "ДЕТСКИЙ САД № 52" АГО, ДЕТСКИЙ САД № 52</v>
      </c>
      <c r="B11156" s="24" t="s">
        <v>13437</v>
      </c>
      <c r="C11156" s="25">
        <v>200000</v>
      </c>
      <c r="D11156" s="22" t="s">
        <v>13438</v>
      </c>
      <c r="E11156" s="22" t="s">
        <v>59</v>
      </c>
      <c r="F11156" s="23" t="str">
        <f t="shared" si="555"/>
        <v>Услуги по установке комплекса охранной сигнализации.</v>
      </c>
      <c r="G11156" s="22" t="s">
        <v>72</v>
      </c>
      <c r="H11156" s="22" t="s">
        <v>692</v>
      </c>
      <c r="I11156" s="26">
        <v>43552.663194444402</v>
      </c>
      <c r="J11156" s="23" t="str">
        <f>HYPERLINK("https://www.spark-marketing.ru/Card/Person/809109", "ООО ""ТЕХСЕРВИС""")</f>
        <v>ООО "ТЕХСЕРВИС"</v>
      </c>
      <c r="K11156" s="24" t="s">
        <v>10436</v>
      </c>
      <c r="L11156" s="28" t="s">
        <v>52</v>
      </c>
      <c r="M11156" s="25">
        <v>125000</v>
      </c>
      <c r="N11156" s="27">
        <v>0.375</v>
      </c>
    </row>
    <row r="11157" spans="1:14" x14ac:dyDescent="0.15">
      <c r="A11157" s="23" t="str">
        <f>HYPERLINK("https://www.spark-marketing.ru/Card/Person/6855", "ОМСКАЯ ТАМОЖНЯ")</f>
        <v>ОМСКАЯ ТАМОЖНЯ</v>
      </c>
      <c r="B11157" s="24" t="s">
        <v>3749</v>
      </c>
      <c r="C11157" s="25">
        <v>19764</v>
      </c>
      <c r="D11157" s="22" t="s">
        <v>13440</v>
      </c>
      <c r="E11157" s="22" t="s">
        <v>53</v>
      </c>
      <c r="F11157" s="23" t="str">
        <f>HYPERLINK("https://www.spark-marketing.ru/Card/Lot/70788988", "Оказание услуги по охране объекта Омской таможни посредством централизованного наблюдения за состоянием тревожной сигнализации")</f>
        <v>Оказание услуги по охране объекта Омской таможни посредством централизованного наблюдения за состоянием тревожной сигнализации</v>
      </c>
      <c r="G11157" s="22" t="s">
        <v>521</v>
      </c>
      <c r="H11157" s="22" t="s">
        <v>522</v>
      </c>
      <c r="I11157" s="26">
        <v>43552.605914351901</v>
      </c>
      <c r="J11157" s="28" t="s">
        <v>52</v>
      </c>
      <c r="K11157" s="28" t="s">
        <v>52</v>
      </c>
      <c r="L11157" s="28" t="s">
        <v>52</v>
      </c>
      <c r="M11157" s="28" t="s">
        <v>52</v>
      </c>
      <c r="N11157" s="28" t="s">
        <v>52</v>
      </c>
    </row>
    <row r="11158" spans="1:14" x14ac:dyDescent="0.15">
      <c r="A11158" s="23" t="str">
        <f t="shared" ref="A11158:A11165" si="556">HYPERLINK("https://www.spark-marketing.ru/Card/Person/61221", "ГБДОУ ДЕТСКИЙ САД № 409 КИРОВСКОГО РАЙОНА САНКТ-ПЕТЕРБУРГА")</f>
        <v>ГБДОУ ДЕТСКИЙ САД № 409 КИРОВСКОГО РАЙОНА САНКТ-ПЕТЕРБУРГА</v>
      </c>
      <c r="B11158" s="24" t="s">
        <v>13441</v>
      </c>
      <c r="C11158" s="25">
        <v>931480</v>
      </c>
      <c r="D11158" s="22" t="s">
        <v>13442</v>
      </c>
      <c r="E11158" s="22" t="s">
        <v>59</v>
      </c>
      <c r="F11158" s="23" t="str">
        <f t="shared" ref="F11158:F11165" si="557">HYPERLINK("https://www.spark-marketing.ru/Card/Lot/69110550", "Осуществление закупки работ по монтажу системы охранного видеонаблюдения в здании ГБДОУ детский сад № 409 присмотра и оздоровления Кировского района Санкт-Петербурга в 2019 году.")</f>
        <v>Осуществление закупки работ по монтажу системы охранного видеонаблюдения в здании ГБДОУ детский сад № 409 присмотра и оздоровления Кировского района Санкт-Петербурга в 2019 году.</v>
      </c>
      <c r="G11158" s="22" t="s">
        <v>89</v>
      </c>
      <c r="H11158" s="22" t="s">
        <v>89</v>
      </c>
      <c r="I11158" s="26">
        <v>43552.590277777803</v>
      </c>
      <c r="J11158" s="28" t="s">
        <v>52</v>
      </c>
      <c r="K11158" s="28" t="s">
        <v>52</v>
      </c>
      <c r="L11158" s="28" t="s">
        <v>52</v>
      </c>
      <c r="M11158" s="28" t="s">
        <v>52</v>
      </c>
      <c r="N11158" s="28" t="s">
        <v>52</v>
      </c>
    </row>
    <row r="11159" spans="1:14" hidden="1" outlineLevel="1" x14ac:dyDescent="0.2">
      <c r="A11159" s="23" t="str">
        <f t="shared" si="556"/>
        <v>ГБДОУ ДЕТСКИЙ САД № 409 КИРОВСКОГО РАЙОНА САНКТ-ПЕТЕРБУРГА</v>
      </c>
      <c r="B11159" s="24" t="s">
        <v>13441</v>
      </c>
      <c r="C11159" s="25">
        <v>931480</v>
      </c>
      <c r="D11159" s="22" t="s">
        <v>13442</v>
      </c>
      <c r="E11159" s="22" t="s">
        <v>59</v>
      </c>
      <c r="F11159" s="23" t="str">
        <f t="shared" si="557"/>
        <v>Осуществление закупки работ по монтажу системы охранного видеонаблюдения в здании ГБДОУ детский сад № 409 присмотра и оздоровления Кировского района Санкт-Петербурга в 2019 году.</v>
      </c>
      <c r="G11159" s="22" t="s">
        <v>89</v>
      </c>
      <c r="H11159" s="22" t="s">
        <v>89</v>
      </c>
      <c r="I11159" s="26">
        <v>43552.590277777803</v>
      </c>
      <c r="J11159" s="23" t="str">
        <f>HYPERLINK("https://www.spark-marketing.ru/Card/Person/6509804", "ООО ""СИТИ ГРУПП""")</f>
        <v>ООО "СИТИ ГРУПП"</v>
      </c>
      <c r="K11159" s="24" t="s">
        <v>11260</v>
      </c>
      <c r="L11159" s="28" t="s">
        <v>52</v>
      </c>
      <c r="M11159" s="25">
        <v>605462</v>
      </c>
      <c r="N11159" s="27">
        <v>0.35</v>
      </c>
    </row>
    <row r="11160" spans="1:14" hidden="1" outlineLevel="1" x14ac:dyDescent="0.2">
      <c r="A11160" s="23" t="str">
        <f t="shared" si="556"/>
        <v>ГБДОУ ДЕТСКИЙ САД № 409 КИРОВСКОГО РАЙОНА САНКТ-ПЕТЕРБУРГА</v>
      </c>
      <c r="B11160" s="24" t="s">
        <v>13441</v>
      </c>
      <c r="C11160" s="25">
        <v>931480</v>
      </c>
      <c r="D11160" s="22" t="s">
        <v>13442</v>
      </c>
      <c r="E11160" s="22" t="s">
        <v>59</v>
      </c>
      <c r="F11160" s="23" t="str">
        <f t="shared" si="557"/>
        <v>Осуществление закупки работ по монтажу системы охранного видеонаблюдения в здании ГБДОУ детский сад № 409 присмотра и оздоровления Кировского района Санкт-Петербурга в 2019 году.</v>
      </c>
      <c r="G11160" s="22" t="s">
        <v>89</v>
      </c>
      <c r="H11160" s="22" t="s">
        <v>89</v>
      </c>
      <c r="I11160" s="26">
        <v>43552.590277777803</v>
      </c>
      <c r="J11160" s="23" t="str">
        <f>HYPERLINK("https://www.spark-marketing.ru/Card/Person/5897511", "Романов Максим Александрович")</f>
        <v>Романов Максим Александрович</v>
      </c>
      <c r="K11160" s="24" t="s">
        <v>4769</v>
      </c>
      <c r="L11160" s="28" t="s">
        <v>52</v>
      </c>
      <c r="M11160" s="25">
        <v>448819.03</v>
      </c>
      <c r="N11160" s="27">
        <v>0.5181656825696741</v>
      </c>
    </row>
    <row r="11161" spans="1:14" ht="12.75" hidden="1" outlineLevel="1" x14ac:dyDescent="0.2">
      <c r="A11161" s="23" t="str">
        <f t="shared" si="556"/>
        <v>ГБДОУ ДЕТСКИЙ САД № 409 КИРОВСКОГО РАЙОНА САНКТ-ПЕТЕРБУРГА</v>
      </c>
      <c r="B11161" s="24" t="s">
        <v>13441</v>
      </c>
      <c r="C11161" s="25">
        <v>931480</v>
      </c>
      <c r="D11161" s="22" t="s">
        <v>13442</v>
      </c>
      <c r="E11161" s="22" t="s">
        <v>59</v>
      </c>
      <c r="F11161" s="23" t="str">
        <f t="shared" si="557"/>
        <v>Осуществление закупки работ по монтажу системы охранного видеонаблюдения в здании ГБДОУ детский сад № 409 присмотра и оздоровления Кировского района Санкт-Петербурга в 2019 году.</v>
      </c>
      <c r="G11161" s="22" t="s">
        <v>89</v>
      </c>
      <c r="H11161" s="22" t="s">
        <v>89</v>
      </c>
      <c r="I11161" s="26">
        <v>43552.590277777803</v>
      </c>
      <c r="J11161" s="23" t="str">
        <f>HYPERLINK("https://www.spark-marketing.ru/Card/Person/2125716", "Сафронов Сергей Александрович")</f>
        <v>Сафронов Сергей Александрович</v>
      </c>
      <c r="K11161" s="24" t="s">
        <v>4303</v>
      </c>
      <c r="L11161" s="22" t="s">
        <v>10</v>
      </c>
      <c r="M11161" s="25">
        <v>444161.63</v>
      </c>
      <c r="N11161" s="27">
        <v>0.52316568256967411</v>
      </c>
    </row>
    <row r="11162" spans="1:14" hidden="1" outlineLevel="1" x14ac:dyDescent="0.2">
      <c r="A11162" s="23" t="str">
        <f t="shared" si="556"/>
        <v>ГБДОУ ДЕТСКИЙ САД № 409 КИРОВСКОГО РАЙОНА САНКТ-ПЕТЕРБУРГА</v>
      </c>
      <c r="B11162" s="24" t="s">
        <v>13441</v>
      </c>
      <c r="C11162" s="25">
        <v>931480</v>
      </c>
      <c r="D11162" s="22" t="s">
        <v>13442</v>
      </c>
      <c r="E11162" s="22" t="s">
        <v>59</v>
      </c>
      <c r="F11162" s="23" t="str">
        <f t="shared" si="557"/>
        <v>Осуществление закупки работ по монтажу системы охранного видеонаблюдения в здании ГБДОУ детский сад № 409 присмотра и оздоровления Кировского района Санкт-Петербурга в 2019 году.</v>
      </c>
      <c r="G11162" s="22" t="s">
        <v>89</v>
      </c>
      <c r="H11162" s="22" t="s">
        <v>89</v>
      </c>
      <c r="I11162" s="26">
        <v>43552.590277777803</v>
      </c>
      <c r="J11162" s="23" t="str">
        <f>HYPERLINK("https://www.spark-marketing.ru/Card/Person/6348809", "ООО ""ИСБ""")</f>
        <v>ООО "ИСБ"</v>
      </c>
      <c r="K11162" s="24" t="s">
        <v>7239</v>
      </c>
      <c r="L11162" s="28" t="s">
        <v>52</v>
      </c>
      <c r="M11162" s="25">
        <v>760000</v>
      </c>
      <c r="N11162" s="27">
        <v>0.18409412977197578</v>
      </c>
    </row>
    <row r="11163" spans="1:14" hidden="1" outlineLevel="1" x14ac:dyDescent="0.2">
      <c r="A11163" s="23" t="str">
        <f t="shared" si="556"/>
        <v>ГБДОУ ДЕТСКИЙ САД № 409 КИРОВСКОГО РАЙОНА САНКТ-ПЕТЕРБУРГА</v>
      </c>
      <c r="B11163" s="24" t="s">
        <v>13441</v>
      </c>
      <c r="C11163" s="25">
        <v>931480</v>
      </c>
      <c r="D11163" s="22" t="s">
        <v>13442</v>
      </c>
      <c r="E11163" s="22" t="s">
        <v>59</v>
      </c>
      <c r="F11163" s="23" t="str">
        <f t="shared" si="557"/>
        <v>Осуществление закупки работ по монтажу системы охранного видеонаблюдения в здании ГБДОУ детский сад № 409 присмотра и оздоровления Кировского района Санкт-Петербурга в 2019 году.</v>
      </c>
      <c r="G11163" s="22" t="s">
        <v>89</v>
      </c>
      <c r="H11163" s="22" t="s">
        <v>89</v>
      </c>
      <c r="I11163" s="26">
        <v>43552.590277777803</v>
      </c>
      <c r="J11163" s="23" t="str">
        <f>HYPERLINK("https://www.spark-marketing.ru/Card/Person/6369243", "Караулова Ирина Геннадьевна")</f>
        <v>Караулова Ирина Геннадьевна</v>
      </c>
      <c r="K11163" s="24" t="s">
        <v>11279</v>
      </c>
      <c r="L11163" s="28" t="s">
        <v>52</v>
      </c>
      <c r="M11163" s="25">
        <v>526286.19999999995</v>
      </c>
      <c r="N11163" s="27">
        <v>0.435</v>
      </c>
    </row>
    <row r="11164" spans="1:14" hidden="1" outlineLevel="1" x14ac:dyDescent="0.2">
      <c r="A11164" s="23" t="str">
        <f t="shared" si="556"/>
        <v>ГБДОУ ДЕТСКИЙ САД № 409 КИРОВСКОГО РАЙОНА САНКТ-ПЕТЕРБУРГА</v>
      </c>
      <c r="B11164" s="24" t="s">
        <v>13441</v>
      </c>
      <c r="C11164" s="25">
        <v>931480</v>
      </c>
      <c r="D11164" s="22" t="s">
        <v>13442</v>
      </c>
      <c r="E11164" s="22" t="s">
        <v>59</v>
      </c>
      <c r="F11164" s="23" t="str">
        <f t="shared" si="557"/>
        <v>Осуществление закупки работ по монтажу системы охранного видеонаблюдения в здании ГБДОУ детский сад № 409 присмотра и оздоровления Кировского района Санкт-Петербурга в 2019 году.</v>
      </c>
      <c r="G11164" s="22" t="s">
        <v>89</v>
      </c>
      <c r="H11164" s="22" t="s">
        <v>89</v>
      </c>
      <c r="I11164" s="26">
        <v>43552.590277777803</v>
      </c>
      <c r="J11164" s="23" t="str">
        <f>HYPERLINK("https://www.spark-marketing.ru/Card/Person/6293291", "Данвальд Наталья Викторовна")</f>
        <v>Данвальд Наталья Викторовна</v>
      </c>
      <c r="K11164" s="24" t="s">
        <v>10041</v>
      </c>
      <c r="L11164" s="28" t="s">
        <v>52</v>
      </c>
      <c r="M11164" s="25">
        <v>554230.6</v>
      </c>
      <c r="N11164" s="27">
        <v>0.40500000000000003</v>
      </c>
    </row>
    <row r="11165" spans="1:14" hidden="1" outlineLevel="1" x14ac:dyDescent="0.2">
      <c r="A11165" s="23" t="str">
        <f t="shared" si="556"/>
        <v>ГБДОУ ДЕТСКИЙ САД № 409 КИРОВСКОГО РАЙОНА САНКТ-ПЕТЕРБУРГА</v>
      </c>
      <c r="B11165" s="24" t="s">
        <v>13441</v>
      </c>
      <c r="C11165" s="25">
        <v>931480</v>
      </c>
      <c r="D11165" s="22" t="s">
        <v>13442</v>
      </c>
      <c r="E11165" s="22" t="s">
        <v>59</v>
      </c>
      <c r="F11165" s="23" t="str">
        <f t="shared" si="557"/>
        <v>Осуществление закупки работ по монтажу системы охранного видеонаблюдения в здании ГБДОУ детский сад № 409 присмотра и оздоровления Кировского района Санкт-Петербурга в 2019 году.</v>
      </c>
      <c r="G11165" s="22" t="s">
        <v>89</v>
      </c>
      <c r="H11165" s="22" t="s">
        <v>89</v>
      </c>
      <c r="I11165" s="26">
        <v>43552.590277777803</v>
      </c>
      <c r="J11165" s="23" t="str">
        <f>HYPERLINK("https://www.spark-marketing.ru/Card/Person/450990", "ООО ""СЕЙГАЛ""")</f>
        <v>ООО "СЕЙГАЛ"</v>
      </c>
      <c r="K11165" s="24" t="s">
        <v>11235</v>
      </c>
      <c r="L11165" s="28" t="s">
        <v>52</v>
      </c>
      <c r="M11165" s="25">
        <v>666008.19999999995</v>
      </c>
      <c r="N11165" s="27">
        <v>0.28499999999999998</v>
      </c>
    </row>
    <row r="11166" spans="1:14" x14ac:dyDescent="0.15">
      <c r="A11166" s="23" t="str">
        <f t="shared" ref="A11166:A11171" si="558">HYPERLINK("https://www.spark-marketing.ru/Card/Person/109302", "АДМИНИСТРАЦИЯ МЕДВЕДОВСКОГО СЕЛЬСКОГО ПОСЕЛЕНИЯ ТИМАШЕВСКОГО РАЙОНА")</f>
        <v>АДМИНИСТРАЦИЯ МЕДВЕДОВСКОГО СЕЛЬСКОГО ПОСЕЛЕНИЯ ТИМАШЕВСКОГО РАЙОНА</v>
      </c>
      <c r="B11166" s="24" t="s">
        <v>13443</v>
      </c>
      <c r="C11166" s="25">
        <v>424000</v>
      </c>
      <c r="D11166" s="22" t="s">
        <v>13444</v>
      </c>
      <c r="E11166" s="22" t="s">
        <v>59</v>
      </c>
      <c r="F11166" s="23" t="str">
        <f t="shared" ref="F11166:F11171" si="559">HYPERLINK("https://www.spark-marketing.ru/Card/Lot/69110134", "Выполнение работ по техническому обслуживанию и монтажу систем освещения на территории Медведовского сельского поселения Тимашевского района")</f>
        <v>Выполнение работ по техническому обслуживанию и монтажу систем освещения на территории Медведовского сельского поселения Тимашевского района</v>
      </c>
      <c r="G11166" s="22" t="s">
        <v>132</v>
      </c>
      <c r="H11166" s="22" t="s">
        <v>132</v>
      </c>
      <c r="I11166" s="26">
        <v>43552.587500000001</v>
      </c>
      <c r="J11166" s="28" t="s">
        <v>52</v>
      </c>
      <c r="K11166" s="28" t="s">
        <v>52</v>
      </c>
      <c r="L11166" s="28" t="s">
        <v>52</v>
      </c>
      <c r="M11166" s="28" t="s">
        <v>52</v>
      </c>
      <c r="N11166" s="28" t="s">
        <v>52</v>
      </c>
    </row>
    <row r="11167" spans="1:14" hidden="1" outlineLevel="1" x14ac:dyDescent="0.2">
      <c r="A11167" s="23" t="str">
        <f t="shared" si="558"/>
        <v>АДМИНИСТРАЦИЯ МЕДВЕДОВСКОГО СЕЛЬСКОГО ПОСЕЛЕНИЯ ТИМАШЕВСКОГО РАЙОНА</v>
      </c>
      <c r="B11167" s="24" t="s">
        <v>13443</v>
      </c>
      <c r="C11167" s="25">
        <v>424000</v>
      </c>
      <c r="D11167" s="22" t="s">
        <v>13444</v>
      </c>
      <c r="E11167" s="22" t="s">
        <v>59</v>
      </c>
      <c r="F11167" s="23" t="str">
        <f t="shared" si="559"/>
        <v>Выполнение работ по техническому обслуживанию и монтажу систем освещения на территории Медведовского сельского поселения Тимашевского района</v>
      </c>
      <c r="G11167" s="22" t="s">
        <v>132</v>
      </c>
      <c r="H11167" s="22" t="s">
        <v>132</v>
      </c>
      <c r="I11167" s="26">
        <v>43552.587500000001</v>
      </c>
      <c r="J11167" s="23" t="str">
        <f>HYPERLINK("https://www.spark-marketing.ru/Card/Person/246358", "Ромчук Дмитрий Владимирович")</f>
        <v>Ромчук Дмитрий Владимирович</v>
      </c>
      <c r="K11167" s="24" t="s">
        <v>13445</v>
      </c>
      <c r="L11167" s="28" t="s">
        <v>52</v>
      </c>
      <c r="M11167" s="25">
        <v>337080</v>
      </c>
      <c r="N11167" s="27">
        <v>0.20499999999999999</v>
      </c>
    </row>
    <row r="11168" spans="1:14" ht="12.75" hidden="1" outlineLevel="1" x14ac:dyDescent="0.2">
      <c r="A11168" s="23" t="str">
        <f t="shared" si="558"/>
        <v>АДМИНИСТРАЦИЯ МЕДВЕДОВСКОГО СЕЛЬСКОГО ПОСЕЛЕНИЯ ТИМАШЕВСКОГО РАЙОНА</v>
      </c>
      <c r="B11168" s="24" t="s">
        <v>13443</v>
      </c>
      <c r="C11168" s="25">
        <v>424000</v>
      </c>
      <c r="D11168" s="22" t="s">
        <v>13444</v>
      </c>
      <c r="E11168" s="22" t="s">
        <v>59</v>
      </c>
      <c r="F11168" s="23" t="str">
        <f t="shared" si="559"/>
        <v>Выполнение работ по техническому обслуживанию и монтажу систем освещения на территории Медведовского сельского поселения Тимашевского района</v>
      </c>
      <c r="G11168" s="22" t="s">
        <v>132</v>
      </c>
      <c r="H11168" s="22" t="s">
        <v>132</v>
      </c>
      <c r="I11168" s="26">
        <v>43552.587500000001</v>
      </c>
      <c r="J11168" s="23" t="str">
        <f>HYPERLINK("https://www.spark-marketing.ru/Card/Person/6505743", "Шелест Ольга Николаевна")</f>
        <v>Шелест Ольга Николаевна</v>
      </c>
      <c r="K11168" s="24" t="s">
        <v>13430</v>
      </c>
      <c r="L11168" s="22" t="s">
        <v>10</v>
      </c>
      <c r="M11168" s="25">
        <v>214120</v>
      </c>
      <c r="N11168" s="27">
        <v>0.495</v>
      </c>
    </row>
    <row r="11169" spans="1:14" hidden="1" outlineLevel="1" x14ac:dyDescent="0.2">
      <c r="A11169" s="23" t="str">
        <f t="shared" si="558"/>
        <v>АДМИНИСТРАЦИЯ МЕДВЕДОВСКОГО СЕЛЬСКОГО ПОСЕЛЕНИЯ ТИМАШЕВСКОГО РАЙОНА</v>
      </c>
      <c r="B11169" s="24" t="s">
        <v>13443</v>
      </c>
      <c r="C11169" s="25">
        <v>424000</v>
      </c>
      <c r="D11169" s="22" t="s">
        <v>13444</v>
      </c>
      <c r="E11169" s="22" t="s">
        <v>59</v>
      </c>
      <c r="F11169" s="23" t="str">
        <f t="shared" si="559"/>
        <v>Выполнение работ по техническому обслуживанию и монтажу систем освещения на территории Медведовского сельского поселения Тимашевского района</v>
      </c>
      <c r="G11169" s="22" t="s">
        <v>132</v>
      </c>
      <c r="H11169" s="22" t="s">
        <v>132</v>
      </c>
      <c r="I11169" s="26">
        <v>43552.587500000001</v>
      </c>
      <c r="J11169" s="23" t="str">
        <f>HYPERLINK("https://www.spark-marketing.ru/Card/Person/66390", "ООО ""РЕМСТРОЙЭНЕРГО""")</f>
        <v>ООО "РЕМСТРОЙЭНЕРГО"</v>
      </c>
      <c r="K11169" s="24" t="s">
        <v>13446</v>
      </c>
      <c r="L11169" s="28" t="s">
        <v>52</v>
      </c>
      <c r="M11169" s="25">
        <v>383720</v>
      </c>
      <c r="N11169" s="27">
        <v>9.5000000000000001E-2</v>
      </c>
    </row>
    <row r="11170" spans="1:14" hidden="1" outlineLevel="1" x14ac:dyDescent="0.2">
      <c r="A11170" s="23" t="str">
        <f t="shared" si="558"/>
        <v>АДМИНИСТРАЦИЯ МЕДВЕДОВСКОГО СЕЛЬСКОГО ПОСЕЛЕНИЯ ТИМАШЕВСКОГО РАЙОНА</v>
      </c>
      <c r="B11170" s="24" t="s">
        <v>13443</v>
      </c>
      <c r="C11170" s="25">
        <v>424000</v>
      </c>
      <c r="D11170" s="22" t="s">
        <v>13444</v>
      </c>
      <c r="E11170" s="22" t="s">
        <v>59</v>
      </c>
      <c r="F11170" s="23" t="str">
        <f t="shared" si="559"/>
        <v>Выполнение работ по техническому обслуживанию и монтажу систем освещения на территории Медведовского сельского поселения Тимашевского района</v>
      </c>
      <c r="G11170" s="22" t="s">
        <v>132</v>
      </c>
      <c r="H11170" s="22" t="s">
        <v>132</v>
      </c>
      <c r="I11170" s="26">
        <v>43552.587500000001</v>
      </c>
      <c r="J11170" s="23" t="str">
        <f>HYPERLINK("https://www.spark-marketing.ru/Card/Person/6513318", "ООО ""СУПЕРЭЛЕКТРО""")</f>
        <v>ООО "СУПЕРЭЛЕКТРО"</v>
      </c>
      <c r="K11170" s="24" t="s">
        <v>12100</v>
      </c>
      <c r="L11170" s="28" t="s">
        <v>52</v>
      </c>
      <c r="M11170" s="25">
        <v>216240</v>
      </c>
      <c r="N11170" s="27">
        <v>0.49</v>
      </c>
    </row>
    <row r="11171" spans="1:14" hidden="1" outlineLevel="1" x14ac:dyDescent="0.2">
      <c r="A11171" s="23" t="str">
        <f t="shared" si="558"/>
        <v>АДМИНИСТРАЦИЯ МЕДВЕДОВСКОГО СЕЛЬСКОГО ПОСЕЛЕНИЯ ТИМАШЕВСКОГО РАЙОНА</v>
      </c>
      <c r="B11171" s="24" t="s">
        <v>13443</v>
      </c>
      <c r="C11171" s="25">
        <v>424000</v>
      </c>
      <c r="D11171" s="22" t="s">
        <v>13444</v>
      </c>
      <c r="E11171" s="22" t="s">
        <v>59</v>
      </c>
      <c r="F11171" s="23" t="str">
        <f t="shared" si="559"/>
        <v>Выполнение работ по техническому обслуживанию и монтажу систем освещения на территории Медведовского сельского поселения Тимашевского района</v>
      </c>
      <c r="G11171" s="22" t="s">
        <v>132</v>
      </c>
      <c r="H11171" s="22" t="s">
        <v>132</v>
      </c>
      <c r="I11171" s="26">
        <v>43552.587500000001</v>
      </c>
      <c r="J11171" s="23" t="str">
        <f>HYPERLINK("https://www.spark-marketing.ru/Card/Person/1174213", "ООО КОМПАНИЯ ""РОСЭНЕРГО""")</f>
        <v>ООО КОМПАНИЯ "РОСЭНЕРГО"</v>
      </c>
      <c r="K11171" s="24" t="s">
        <v>13447</v>
      </c>
      <c r="L11171" s="28" t="s">
        <v>52</v>
      </c>
      <c r="M11171" s="25">
        <v>315880</v>
      </c>
      <c r="N11171" s="27">
        <v>0.255</v>
      </c>
    </row>
    <row r="11172" spans="1:14" x14ac:dyDescent="0.15">
      <c r="A11172" s="23" t="str">
        <f t="shared" ref="A11172:A11177" si="560">HYPERLINK("https://www.spark-marketing.ru/Card/Person/7616", "ГКУ ""УПРАВЛЕНИЕ СТРОИТЕЛЬСТВА И ДОРОЖНОГО ХОЗЯЙСТВА ПЕНЗЕНСКОЙ ОБЛАСТИ""")</f>
        <v>ГКУ "УПРАВЛЕНИЕ СТРОИТЕЛЬСТВА И ДОРОЖНОГО ХОЗЯЙСТВА ПЕНЗЕНСКОЙ ОБЛАСТИ"</v>
      </c>
      <c r="B11172" s="24" t="s">
        <v>13192</v>
      </c>
      <c r="C11172" s="25">
        <v>2752000</v>
      </c>
      <c r="D11172" s="22" t="s">
        <v>13448</v>
      </c>
      <c r="E11172" s="22" t="s">
        <v>79</v>
      </c>
      <c r="F11172" s="23" t="str">
        <f t="shared" ref="F11172:F11177" si="561">HYPERLINK("https://www.spark-marketing.ru/Card/Lot/69110582", "Установка автоматизированной информационной системы фото-видеофиксации нарушений правил дорожного движения на автомобильной дороге «с.Поим- р.п. Башмаково-р.п.Земетчино» км 2+740 Белинского района Пензенской области")</f>
        <v>Установка автоматизированной информационной системы фото-видеофиксации нарушений правил дорожного движения на автомобильной дороге «с.Поим- р.п. Башмаково-р.п.Земетчино» км 2+740 Белинского района Пензенской области</v>
      </c>
      <c r="G11172" s="22" t="s">
        <v>514</v>
      </c>
      <c r="H11172" s="22" t="s">
        <v>2167</v>
      </c>
      <c r="I11172" s="26">
        <v>43552.597222222197</v>
      </c>
      <c r="J11172" s="28" t="s">
        <v>52</v>
      </c>
      <c r="K11172" s="28" t="s">
        <v>52</v>
      </c>
      <c r="L11172" s="28" t="s">
        <v>52</v>
      </c>
      <c r="M11172" s="28" t="s">
        <v>52</v>
      </c>
      <c r="N11172" s="28" t="s">
        <v>52</v>
      </c>
    </row>
    <row r="11173" spans="1:14" ht="12.75" hidden="1" outlineLevel="1" x14ac:dyDescent="0.2">
      <c r="A11173" s="23" t="str">
        <f t="shared" si="560"/>
        <v>ГКУ "УПРАВЛЕНИЕ СТРОИТЕЛЬСТВА И ДОРОЖНОГО ХОЗЯЙСТВА ПЕНЗЕНСКОЙ ОБЛАСТИ"</v>
      </c>
      <c r="B11173" s="24" t="s">
        <v>13192</v>
      </c>
      <c r="C11173" s="25">
        <v>2752000</v>
      </c>
      <c r="D11173" s="22" t="s">
        <v>13448</v>
      </c>
      <c r="E11173" s="22" t="s">
        <v>79</v>
      </c>
      <c r="F11173" s="23" t="str">
        <f t="shared" si="561"/>
        <v>Установка автоматизированной информационной системы фото-видеофиксации нарушений правил дорожного движения на автомобильной дороге «с.Поим- р.п. Башмаково-р.п.Земетчино» км 2+740 Белинского района Пензенской области</v>
      </c>
      <c r="G11173" s="22" t="s">
        <v>514</v>
      </c>
      <c r="H11173" s="22" t="s">
        <v>2167</v>
      </c>
      <c r="I11173" s="26">
        <v>43552.597222222197</v>
      </c>
      <c r="J11173" s="23" t="str">
        <f>HYPERLINK("https://www.spark-marketing.ru/Card/Person/236655", "ООО ""ТМЦ -НН""")</f>
        <v>ООО "ТМЦ -НН"</v>
      </c>
      <c r="K11173" s="24" t="s">
        <v>4899</v>
      </c>
      <c r="L11173" s="22" t="s">
        <v>10</v>
      </c>
      <c r="M11173" s="25">
        <v>2710720</v>
      </c>
      <c r="N11173" s="27">
        <v>1.4999999999999999E-2</v>
      </c>
    </row>
    <row r="11174" spans="1:14" hidden="1" outlineLevel="1" x14ac:dyDescent="0.2">
      <c r="A11174" s="23" t="str">
        <f t="shared" si="560"/>
        <v>ГКУ "УПРАВЛЕНИЕ СТРОИТЕЛЬСТВА И ДОРОЖНОГО ХОЗЯЙСТВА ПЕНЗЕНСКОЙ ОБЛАСТИ"</v>
      </c>
      <c r="B11174" s="24" t="s">
        <v>13192</v>
      </c>
      <c r="C11174" s="25">
        <v>2752000</v>
      </c>
      <c r="D11174" s="22" t="s">
        <v>13448</v>
      </c>
      <c r="E11174" s="22" t="s">
        <v>79</v>
      </c>
      <c r="F11174" s="23" t="str">
        <f t="shared" si="561"/>
        <v>Установка автоматизированной информационной системы фото-видеофиксации нарушений правил дорожного движения на автомобильной дороге «с.Поим- р.п. Башмаково-р.п.Земетчино» км 2+740 Белинского района Пензенской области</v>
      </c>
      <c r="G11174" s="22" t="s">
        <v>514</v>
      </c>
      <c r="H11174" s="22" t="s">
        <v>2167</v>
      </c>
      <c r="I11174" s="26">
        <v>43552.597222222197</v>
      </c>
      <c r="J11174" s="23" t="str">
        <f>HYPERLINK("https://www.spark-marketing.ru/Card/Person/10991", "ПАО ""РОСТЕЛЕКОМ""")</f>
        <v>ПАО "РОСТЕЛЕКОМ"</v>
      </c>
      <c r="K11174" s="24" t="s">
        <v>607</v>
      </c>
      <c r="L11174" s="28" t="s">
        <v>52</v>
      </c>
      <c r="M11174" s="25">
        <v>2724480</v>
      </c>
      <c r="N11174" s="27">
        <v>0.01</v>
      </c>
    </row>
    <row r="11175" spans="1:14" ht="12.75" hidden="1" outlineLevel="1" x14ac:dyDescent="0.2">
      <c r="A11175" s="23" t="str">
        <f t="shared" si="560"/>
        <v>ГКУ "УПРАВЛЕНИЕ СТРОИТЕЛЬСТВА И ДОРОЖНОГО ХОЗЯЙСТВА ПЕНЗЕНСКОЙ ОБЛАСТИ"</v>
      </c>
      <c r="B11175" s="24" t="s">
        <v>13192</v>
      </c>
      <c r="C11175" s="25">
        <v>2752000</v>
      </c>
      <c r="D11175" s="22" t="s">
        <v>13448</v>
      </c>
      <c r="E11175" s="22" t="s">
        <v>79</v>
      </c>
      <c r="F11175" s="23" t="str">
        <f t="shared" si="561"/>
        <v>Установка автоматизированной информационной системы фото-видеофиксации нарушений правил дорожного движения на автомобильной дороге «с.Поим- р.п. Башмаково-р.п.Земетчино» км 2+740 Белинского района Пензенской области</v>
      </c>
      <c r="G11175" s="22" t="s">
        <v>514</v>
      </c>
      <c r="H11175" s="22" t="s">
        <v>2167</v>
      </c>
      <c r="I11175" s="26">
        <v>43552.597222222197</v>
      </c>
      <c r="J11175" s="23" t="str">
        <f>HYPERLINK("https://www.spark-marketing.ru/Card/Person/236655", "ООО ""ТМЦ -НН""")</f>
        <v>ООО "ТМЦ -НН"</v>
      </c>
      <c r="K11175" s="24" t="s">
        <v>4899</v>
      </c>
      <c r="L11175" s="22" t="s">
        <v>10</v>
      </c>
      <c r="M11175" s="25">
        <v>2710720</v>
      </c>
      <c r="N11175" s="27">
        <v>1.4999999999999999E-2</v>
      </c>
    </row>
    <row r="11176" spans="1:14" hidden="1" outlineLevel="1" x14ac:dyDescent="0.2">
      <c r="A11176" s="23" t="str">
        <f t="shared" si="560"/>
        <v>ГКУ "УПРАВЛЕНИЕ СТРОИТЕЛЬСТВА И ДОРОЖНОГО ХОЗЯЙСТВА ПЕНЗЕНСКОЙ ОБЛАСТИ"</v>
      </c>
      <c r="B11176" s="24" t="s">
        <v>13192</v>
      </c>
      <c r="C11176" s="25">
        <v>2752000</v>
      </c>
      <c r="D11176" s="22" t="s">
        <v>13448</v>
      </c>
      <c r="E11176" s="22" t="s">
        <v>79</v>
      </c>
      <c r="F11176" s="23" t="str">
        <f t="shared" si="561"/>
        <v>Установка автоматизированной информационной системы фото-видеофиксации нарушений правил дорожного движения на автомобильной дороге «с.Поим- р.п. Башмаково-р.п.Земетчино» км 2+740 Белинского района Пензенской области</v>
      </c>
      <c r="G11176" s="22" t="s">
        <v>514</v>
      </c>
      <c r="H11176" s="22" t="s">
        <v>2167</v>
      </c>
      <c r="I11176" s="26">
        <v>43552.597222222197</v>
      </c>
      <c r="J11176" s="23" t="str">
        <f>HYPERLINK("https://www.spark-marketing.ru/Card/Person/21753", "Поволжский филиал ПАО ""МЕГАФОН""")</f>
        <v>Поволжский филиал ПАО "МЕГАФОН"</v>
      </c>
      <c r="K11176" s="24" t="s">
        <v>2783</v>
      </c>
      <c r="L11176" s="28" t="s">
        <v>52</v>
      </c>
      <c r="M11176" s="25">
        <v>2738240</v>
      </c>
      <c r="N11176" s="27">
        <v>5.0000000000000001E-3</v>
      </c>
    </row>
    <row r="11177" spans="1:14" hidden="1" outlineLevel="1" x14ac:dyDescent="0.2">
      <c r="A11177" s="23" t="str">
        <f t="shared" si="560"/>
        <v>ГКУ "УПРАВЛЕНИЕ СТРОИТЕЛЬСТВА И ДОРОЖНОГО ХОЗЯЙСТВА ПЕНЗЕНСКОЙ ОБЛАСТИ"</v>
      </c>
      <c r="B11177" s="24" t="s">
        <v>13192</v>
      </c>
      <c r="C11177" s="25">
        <v>2752000</v>
      </c>
      <c r="D11177" s="22" t="s">
        <v>13448</v>
      </c>
      <c r="E11177" s="22" t="s">
        <v>79</v>
      </c>
      <c r="F11177" s="23" t="str">
        <f t="shared" si="561"/>
        <v>Установка автоматизированной информационной системы фото-видеофиксации нарушений правил дорожного движения на автомобильной дороге «с.Поим- р.п. Башмаково-р.п.Земетчино» км 2+740 Белинского района Пензенской области</v>
      </c>
      <c r="G11177" s="22" t="s">
        <v>514</v>
      </c>
      <c r="H11177" s="22" t="s">
        <v>2167</v>
      </c>
      <c r="I11177" s="26">
        <v>43552.597222222197</v>
      </c>
      <c r="J11177" s="23" t="str">
        <f>HYPERLINK("https://www.spark-marketing.ru/Card/Person/10991", "ПАО ""РОСТЕЛЕКОМ""")</f>
        <v>ПАО "РОСТЕЛЕКОМ"</v>
      </c>
      <c r="K11177" s="24" t="s">
        <v>607</v>
      </c>
      <c r="L11177" s="28" t="s">
        <v>52</v>
      </c>
      <c r="M11177" s="25">
        <v>2724480</v>
      </c>
      <c r="N11177" s="27">
        <v>0.01</v>
      </c>
    </row>
    <row r="11178" spans="1:14" x14ac:dyDescent="0.15">
      <c r="A11178" s="23" t="str">
        <f>HYPERLINK("https://www.spark-marketing.ru/Card/Person/4343405", "ФГУП ""ГОСКОРПОРАЦИЯ ПО ОРВД""")</f>
        <v>ФГУП "ГОСКОРПОРАЦИЯ ПО ОРВД"</v>
      </c>
      <c r="B11178" s="24" t="s">
        <v>801</v>
      </c>
      <c r="C11178" s="25">
        <v>2880589.8</v>
      </c>
      <c r="D11178" s="22" t="s">
        <v>13449</v>
      </c>
      <c r="E11178" s="22" t="s">
        <v>144</v>
      </c>
      <c r="F11178" s="23" t="str">
        <f>HYPERLINK("https://www.spark-marketing.ru/Card/Lot/69122536", "Оказание услуг по охране, обеспечению внутриобъектового режима объекта ОРЛ-Т, совмещенный с ВРЛ, АРП и АРТР (Североуральск) Екатеринбургского Центра ОВД филиала «Аэронавигация Урала» ФГУП «Госкорпорация по ОрВД».")</f>
        <v>Оказание услуг по охране, обеспечению внутриобъектового режима объекта ОРЛ-Т, совмещенный с ВРЛ, АРП и АРТР (Североуральск) Екатеринбургского Центра ОВД филиала «Аэронавигация Урала» ФГУП «Госкорпорация по ОрВД».</v>
      </c>
      <c r="G11178" s="22" t="s">
        <v>72</v>
      </c>
      <c r="H11178" s="22" t="s">
        <v>72</v>
      </c>
      <c r="I11178" s="26">
        <v>43552.576886574097</v>
      </c>
      <c r="J11178" s="28" t="s">
        <v>52</v>
      </c>
      <c r="K11178" s="28" t="s">
        <v>52</v>
      </c>
      <c r="L11178" s="28" t="s">
        <v>52</v>
      </c>
      <c r="M11178" s="28" t="s">
        <v>52</v>
      </c>
      <c r="N11178" s="28" t="s">
        <v>52</v>
      </c>
    </row>
    <row r="11179" spans="1:14" x14ac:dyDescent="0.15">
      <c r="A11179" s="23" t="str">
        <f>HYPERLINK("https://www.spark-marketing.ru/Card/Person/24551", "АДМИНИСТРАЦИЯ МО ""Г. ЛЫСКОВО""")</f>
        <v>АДМИНИСТРАЦИЯ МО "Г. ЛЫСКОВО"</v>
      </c>
      <c r="B11179" s="24" t="s">
        <v>13450</v>
      </c>
      <c r="C11179" s="25">
        <v>530000</v>
      </c>
      <c r="D11179" s="22" t="s">
        <v>13451</v>
      </c>
      <c r="E11179" s="22" t="s">
        <v>52</v>
      </c>
      <c r="F11179" s="23" t="str">
        <f>HYPERLINK("https://www.spark-marketing.ru/Card/Lot/69113083", "Услуги по обеспечению общественного порядка и безопасности; Услуги в области отдыха прочие, не включенные в другие группировки")</f>
        <v>Услуги по обеспечению общественного порядка и безопасности; Услуги в области отдыха прочие, не включенные в другие группировки</v>
      </c>
      <c r="G11179" s="22" t="s">
        <v>64</v>
      </c>
      <c r="H11179" s="22" t="s">
        <v>64</v>
      </c>
      <c r="I11179" s="26">
        <v>43552.558333333298</v>
      </c>
      <c r="J11179" s="23" t="str">
        <f>HYPERLINK("https://www.spark-marketing.ru/Card/Person/646225", "ООО ЧОО ""РЕГИОН-ВОСТОК""")</f>
        <v>ООО ЧОО "РЕГИОН-ВОСТОК"</v>
      </c>
      <c r="K11179" s="24" t="s">
        <v>13452</v>
      </c>
      <c r="L11179" s="22" t="s">
        <v>10</v>
      </c>
      <c r="M11179" s="28" t="s">
        <v>52</v>
      </c>
      <c r="N11179" s="28" t="s">
        <v>52</v>
      </c>
    </row>
    <row r="11180" spans="1:14" x14ac:dyDescent="0.15">
      <c r="A11180" s="23" t="str">
        <f>HYPERLINK("https://www.spark-marketing.ru/Card/Person/84778", "УФНС РОССИИ ПО НОВОСИБИРСКОЙ ОБЛАСТИ")</f>
        <v>УФНС РОССИИ ПО НОВОСИБИРСКОЙ ОБЛАСТИ</v>
      </c>
      <c r="B11180" s="24" t="s">
        <v>8811</v>
      </c>
      <c r="C11180" s="25">
        <v>84096</v>
      </c>
      <c r="D11180" s="22" t="s">
        <v>13453</v>
      </c>
      <c r="E11180" s="22" t="s">
        <v>53</v>
      </c>
      <c r="F11180" s="23" t="str">
        <f>HYPERLINK("https://www.spark-marketing.ru/Card/Lot/70787193", "Оказание услуг по централизованному наблюдению за техническими средствами охраны")</f>
        <v>Оказание услуг по централизованному наблюдению за техническими средствами охраны</v>
      </c>
      <c r="G11180" s="22" t="s">
        <v>209</v>
      </c>
      <c r="H11180" s="22" t="s">
        <v>210</v>
      </c>
      <c r="I11180" s="26">
        <v>43552.544861111099</v>
      </c>
      <c r="J11180" s="28" t="s">
        <v>52</v>
      </c>
      <c r="K11180" s="28" t="s">
        <v>52</v>
      </c>
      <c r="L11180" s="28" t="s">
        <v>52</v>
      </c>
      <c r="M11180" s="28" t="s">
        <v>52</v>
      </c>
      <c r="N11180" s="28" t="s">
        <v>52</v>
      </c>
    </row>
    <row r="11181" spans="1:14" x14ac:dyDescent="0.15">
      <c r="A11181" s="23" t="str">
        <f>HYPERLINK("https://www.spark-marketing.ru/Card/Person/10487", "ФГУП ""ОХРАНА"" РОСГВАРДИИ")</f>
        <v>ФГУП "ОХРАНА" РОСГВАРДИИ</v>
      </c>
      <c r="B11181" s="24" t="s">
        <v>779</v>
      </c>
      <c r="C11181" s="25">
        <v>3593200</v>
      </c>
      <c r="D11181" s="22" t="s">
        <v>13454</v>
      </c>
      <c r="E11181" s="22" t="s">
        <v>13455</v>
      </c>
      <c r="F11181" s="23" t="str">
        <f>HYPERLINK("https://www.spark-marketing.ru/Card/Lot/69122532", "Оказание услуг по проведению ХТИ на наличие в организме человека наркотических средств, психотропных веществ и их метаболитов для нужд Управления по Северо-Западному Федеральному округу Центра охраны объектов промышленности")</f>
        <v>Оказание услуг по проведению ХТИ на наличие в организме человека наркотических средств, психотропных веществ и их метаболитов для нужд Управления по Северо-Западному Федеральному округу Центра охраны объектов промышленности</v>
      </c>
      <c r="G11181" s="22" t="s">
        <v>190</v>
      </c>
      <c r="H11181" s="22" t="s">
        <v>190</v>
      </c>
      <c r="I11181" s="26">
        <v>43552.576620370397</v>
      </c>
      <c r="J11181" s="28" t="s">
        <v>52</v>
      </c>
      <c r="K11181" s="28" t="s">
        <v>52</v>
      </c>
      <c r="L11181" s="28" t="s">
        <v>52</v>
      </c>
      <c r="M11181" s="28" t="s">
        <v>52</v>
      </c>
      <c r="N11181" s="28" t="s">
        <v>52</v>
      </c>
    </row>
    <row r="11182" spans="1:14" x14ac:dyDescent="0.15">
      <c r="A11182" s="23" t="str">
        <f>HYPERLINK("https://www.spark-marketing.ru/Card/Person/998675", "ГИМНАЗИЯ № 11")</f>
        <v>ГИМНАЗИЯ № 11</v>
      </c>
      <c r="B11182" s="24" t="s">
        <v>13456</v>
      </c>
      <c r="C11182" s="25">
        <v>18000</v>
      </c>
      <c r="D11182" s="22" t="s">
        <v>13457</v>
      </c>
      <c r="E11182" s="22" t="s">
        <v>103</v>
      </c>
      <c r="F11182" s="23" t="str">
        <f>HYPERLINK("https://www.spark-marketing.ru/Card/Lot/69102627", "Оказание услуг по техническому обслуживанию системы видеонаблюдения")</f>
        <v>Оказание услуг по техническому обслуживанию системы видеонаблюдения</v>
      </c>
      <c r="G11182" s="22" t="s">
        <v>50</v>
      </c>
      <c r="H11182" s="22" t="s">
        <v>2012</v>
      </c>
      <c r="I11182" s="26">
        <v>43552.555370370399</v>
      </c>
      <c r="J11182" s="28" t="s">
        <v>52</v>
      </c>
      <c r="K11182" s="28" t="s">
        <v>52</v>
      </c>
      <c r="L11182" s="28" t="s">
        <v>52</v>
      </c>
      <c r="M11182" s="28" t="s">
        <v>52</v>
      </c>
      <c r="N11182" s="28" t="s">
        <v>52</v>
      </c>
    </row>
    <row r="11183" spans="1:14" x14ac:dyDescent="0.15">
      <c r="A11183" s="23" t="str">
        <f>HYPERLINK("https://www.spark-marketing.ru/Card/Person/131500", "ОГБОУ ""СОЛОТЧИНСКАЯ ШКОЛА-ИНТЕРНАТ ДЛЯ ДЕТЕЙ-СИРОТ""")</f>
        <v>ОГБОУ "СОЛОТЧИНСКАЯ ШКОЛА-ИНТЕРНАТ ДЛЯ ДЕТЕЙ-СИРОТ"</v>
      </c>
      <c r="B11183" s="24" t="s">
        <v>13458</v>
      </c>
      <c r="C11183" s="25">
        <v>599936.4</v>
      </c>
      <c r="D11183" s="22" t="s">
        <v>13459</v>
      </c>
      <c r="E11183" s="22" t="s">
        <v>52</v>
      </c>
      <c r="F11183" s="23" t="str">
        <f>HYPERLINK("https://www.spark-marketing.ru/Card/Lot/69108466", "Оказание услуг по круглосуточной охране и поддержанию общественного порядка на территории и объектах Областного государственного бюджетного общеобразовательного учреждения «Солотчинская школа-интернат для детей-сирот и детей, оставшихся без попечения...")</f>
        <v>Оказание услуг по круглосуточной охране и поддержанию общественного порядка на территории и объектах Областного государственного бюджетного общеобразовательного учреждения «Солотчинская школа-интернат для детей-сирот и детей, оставшихся без попечения...</v>
      </c>
      <c r="G11183" s="22" t="s">
        <v>186</v>
      </c>
      <c r="H11183" s="22" t="s">
        <v>187</v>
      </c>
      <c r="I11183" s="26">
        <v>43552.534027777801</v>
      </c>
      <c r="J11183" s="23" t="str">
        <f>HYPERLINK("https://www.spark-marketing.ru/Card/Person/4879397", "ООО ЧОП ""ПАНТЕРА""")</f>
        <v>ООО ЧОП "ПАНТЕРА"</v>
      </c>
      <c r="K11183" s="24" t="s">
        <v>13460</v>
      </c>
      <c r="L11183" s="28" t="s">
        <v>52</v>
      </c>
      <c r="M11183" s="28" t="s">
        <v>52</v>
      </c>
      <c r="N11183" s="28" t="s">
        <v>52</v>
      </c>
    </row>
    <row r="11184" spans="1:14" ht="12.75" hidden="1" outlineLevel="1" x14ac:dyDescent="0.2">
      <c r="A11184" s="23" t="str">
        <f>HYPERLINK("https://www.spark-marketing.ru/Card/Person/131500", "ОГБОУ ""СОЛОТЧИНСКАЯ ШКОЛА-ИНТЕРНАТ ДЛЯ ДЕТЕЙ-СИРОТ""")</f>
        <v>ОГБОУ "СОЛОТЧИНСКАЯ ШКОЛА-ИНТЕРНАТ ДЛЯ ДЕТЕЙ-СИРОТ"</v>
      </c>
      <c r="B11184" s="24" t="s">
        <v>13458</v>
      </c>
      <c r="C11184" s="25">
        <v>599936.4</v>
      </c>
      <c r="D11184" s="22" t="s">
        <v>13459</v>
      </c>
      <c r="E11184" s="22" t="s">
        <v>52</v>
      </c>
      <c r="F11184" s="23" t="str">
        <f>HYPERLINK("https://www.spark-marketing.ru/Card/Lot/69108466", "Оказание услуг по круглосуточной охране и поддержанию общественного порядка на территории и объектах Областного государственного бюджетного общеобразовательного учреждения «Солотчинская школа-интернат для детей-сирот и детей, оставшихся без попечения...")</f>
        <v>Оказание услуг по круглосуточной охране и поддержанию общественного порядка на территории и объектах Областного государственного бюджетного общеобразовательного учреждения «Солотчинская школа-интернат для детей-сирот и детей, оставшихся без попечения...</v>
      </c>
      <c r="G11184" s="22" t="s">
        <v>186</v>
      </c>
      <c r="H11184" s="22" t="s">
        <v>187</v>
      </c>
      <c r="I11184" s="26">
        <v>43552.534027777801</v>
      </c>
      <c r="J11184" s="23" t="str">
        <f>HYPERLINK("https://www.spark-marketing.ru/Card/Person/4879397", "ООО ЧОП ""ПАНТЕРА""")</f>
        <v>ООО ЧОП "ПАНТЕРА"</v>
      </c>
      <c r="K11184" s="24" t="s">
        <v>13460</v>
      </c>
      <c r="L11184" s="22" t="s">
        <v>10</v>
      </c>
      <c r="M11184" s="25">
        <v>596936.72</v>
      </c>
      <c r="N11184" s="27">
        <v>4.9999966663132958E-3</v>
      </c>
    </row>
    <row r="11185" spans="1:14" x14ac:dyDescent="0.2">
      <c r="A11185" s="23" t="str">
        <f>HYPERLINK("https://www.spark-marketing.ru/Card/Person/209449", "КРАСНОЯРСКИЙ КРАЕВОЙ ИНСТИТУТ ПОВЫШЕНИЯ КВАЛИФИКАЦИИ, (КК ИПК)")</f>
        <v>КРАСНОЯРСКИЙ КРАЕВОЙ ИНСТИТУТ ПОВЫШЕНИЯ КВАЛИФИКАЦИИ, (КК ИПК)</v>
      </c>
      <c r="B11185" s="24" t="s">
        <v>13461</v>
      </c>
      <c r="C11185" s="25">
        <v>99600</v>
      </c>
      <c r="D11185" s="22" t="s">
        <v>13462</v>
      </c>
      <c r="E11185" s="22" t="s">
        <v>144</v>
      </c>
      <c r="F11185" s="23" t="str">
        <f>HYPERLINK("https://www.spark-marketing.ru/Card/Lot/69091006", "27э-19: Осуществление охранных услуг путем оперативного реагирования на пультовое сообщение о срабатывании охранной сигнализации")</f>
        <v>27э-19: Осуществление охранных услуг путем оперативного реагирования на пультовое сообщение о срабатывании охранной сигнализации</v>
      </c>
      <c r="G11185" s="22" t="s">
        <v>640</v>
      </c>
      <c r="H11185" s="22" t="s">
        <v>640</v>
      </c>
      <c r="I11185" s="26">
        <v>43552.523923611101</v>
      </c>
      <c r="J11185" s="23" t="str">
        <f>HYPERLINK("https://www.spark-marketing.ru/Card/Person/4349239", "ООО ОА ""ТИГР""")</f>
        <v>ООО ОА "ТИГР"</v>
      </c>
      <c r="K11185" s="24" t="s">
        <v>13463</v>
      </c>
      <c r="L11185" s="28" t="s">
        <v>52</v>
      </c>
      <c r="M11185" s="25">
        <v>19998</v>
      </c>
      <c r="N11185" s="27">
        <v>0.79921686746987952</v>
      </c>
    </row>
    <row r="11186" spans="1:14" x14ac:dyDescent="0.15">
      <c r="A11186" s="23" t="str">
        <f>HYPERLINK("https://www.spark-marketing.ru/Card/Person/7563", "ГКУ ""СЛУЖБА ЕДИНОГО ЗАКАЗЧИКА"" ЗАБАЙКАЛЬСКОГО КРАЯ")</f>
        <v>ГКУ "СЛУЖБА ЕДИНОГО ЗАКАЗЧИКА" ЗАБАЙКАЛЬСКОГО КРАЯ</v>
      </c>
      <c r="B11186" s="24" t="s">
        <v>13464</v>
      </c>
      <c r="C11186" s="25">
        <v>1000000</v>
      </c>
      <c r="D11186" s="22" t="s">
        <v>13465</v>
      </c>
      <c r="E11186" s="22" t="s">
        <v>218</v>
      </c>
      <c r="F11186" s="23" t="str">
        <f>HYPERLINK("https://www.spark-marketing.ru/Card/Lot/69086558", "Выполнение работ по разработке и утверждению планов обеспечения транспортной безопасности объектов транспортной инфраструктуры в сфере дорожного хозяйства (2522-КвЭФ)")</f>
        <v>Выполнение работ по разработке и утверждению планов обеспечения транспортной безопасности объектов транспортной инфраструктуры в сфере дорожного хозяйства (2522-КвЭФ)</v>
      </c>
      <c r="G11186" s="22" t="s">
        <v>473</v>
      </c>
      <c r="H11186" s="22" t="s">
        <v>476</v>
      </c>
      <c r="I11186" s="26">
        <v>43552.540972222203</v>
      </c>
      <c r="J11186" s="28" t="s">
        <v>52</v>
      </c>
      <c r="K11186" s="28" t="s">
        <v>52</v>
      </c>
      <c r="L11186" s="28" t="s">
        <v>52</v>
      </c>
      <c r="M11186" s="28" t="s">
        <v>52</v>
      </c>
      <c r="N11186" s="28" t="s">
        <v>52</v>
      </c>
    </row>
    <row r="11187" spans="1:14" hidden="1" outlineLevel="1" x14ac:dyDescent="0.2">
      <c r="A11187" s="23" t="str">
        <f>HYPERLINK("https://www.spark-marketing.ru/Card/Person/7563", "ГКУ ""СЛУЖБА ЕДИНОГО ЗАКАЗЧИКА"" ЗАБАЙКАЛЬСКОГО КРАЯ")</f>
        <v>ГКУ "СЛУЖБА ЕДИНОГО ЗАКАЗЧИКА" ЗАБАЙКАЛЬСКОГО КРАЯ</v>
      </c>
      <c r="B11187" s="24" t="s">
        <v>13464</v>
      </c>
      <c r="C11187" s="25">
        <v>1000000</v>
      </c>
      <c r="D11187" s="22" t="s">
        <v>13465</v>
      </c>
      <c r="E11187" s="22" t="s">
        <v>218</v>
      </c>
      <c r="F11187" s="23" t="str">
        <f>HYPERLINK("https://www.spark-marketing.ru/Card/Lot/69086558", "Выполнение работ по разработке и утверждению планов обеспечения транспортной безопасности объектов транспортной инфраструктуры в сфере дорожного хозяйства (2522-КвЭФ)")</f>
        <v>Выполнение работ по разработке и утверждению планов обеспечения транспортной безопасности объектов транспортной инфраструктуры в сфере дорожного хозяйства (2522-КвЭФ)</v>
      </c>
      <c r="G11187" s="22" t="s">
        <v>473</v>
      </c>
      <c r="H11187" s="22" t="s">
        <v>476</v>
      </c>
      <c r="I11187" s="26">
        <v>43552.540972222203</v>
      </c>
      <c r="J11187" s="23" t="str">
        <f>HYPERLINK("https://www.spark-marketing.ru/Card/Person/6110146", "ООО ""ИЦ ТЕХНОБЕЗОПАСНОСТЬ""")</f>
        <v>ООО "ИЦ ТЕХНОБЕЗОПАСНОСТЬ"</v>
      </c>
      <c r="K11187" s="24" t="s">
        <v>2240</v>
      </c>
      <c r="L11187" s="28" t="s">
        <v>52</v>
      </c>
      <c r="M11187" s="25">
        <v>798000</v>
      </c>
      <c r="N11187" s="27">
        <v>0.20200000000000001</v>
      </c>
    </row>
    <row r="11188" spans="1:14" ht="12.75" hidden="1" outlineLevel="1" x14ac:dyDescent="0.2">
      <c r="A11188" s="23" t="str">
        <f>HYPERLINK("https://www.spark-marketing.ru/Card/Person/7563", "ГКУ ""СЛУЖБА ЕДИНОГО ЗАКАЗЧИКА"" ЗАБАЙКАЛЬСКОГО КРАЯ")</f>
        <v>ГКУ "СЛУЖБА ЕДИНОГО ЗАКАЗЧИКА" ЗАБАЙКАЛЬСКОГО КРАЯ</v>
      </c>
      <c r="B11188" s="24" t="s">
        <v>13464</v>
      </c>
      <c r="C11188" s="25">
        <v>1000000</v>
      </c>
      <c r="D11188" s="22" t="s">
        <v>13465</v>
      </c>
      <c r="E11188" s="22" t="s">
        <v>218</v>
      </c>
      <c r="F11188" s="23" t="str">
        <f>HYPERLINK("https://www.spark-marketing.ru/Card/Lot/69086558", "Выполнение работ по разработке и утверждению планов обеспечения транспортной безопасности объектов транспортной инфраструктуры в сфере дорожного хозяйства (2522-КвЭФ)")</f>
        <v>Выполнение работ по разработке и утверждению планов обеспечения транспортной безопасности объектов транспортной инфраструктуры в сфере дорожного хозяйства (2522-КвЭФ)</v>
      </c>
      <c r="G11188" s="22" t="s">
        <v>473</v>
      </c>
      <c r="H11188" s="22" t="s">
        <v>476</v>
      </c>
      <c r="I11188" s="26">
        <v>43552.540972222203</v>
      </c>
      <c r="J11188" s="23" t="str">
        <f>HYPERLINK("https://www.spark-marketing.ru/Card/Person/81571", "ООО ""СО ""АНТИТЕРРОР""")</f>
        <v>ООО "СО "АНТИТЕРРОР"</v>
      </c>
      <c r="K11188" s="24" t="s">
        <v>3384</v>
      </c>
      <c r="L11188" s="22" t="s">
        <v>10</v>
      </c>
      <c r="M11188" s="25">
        <v>600000</v>
      </c>
      <c r="N11188" s="27">
        <v>0.4</v>
      </c>
    </row>
    <row r="11189" spans="1:14" hidden="1" outlineLevel="1" x14ac:dyDescent="0.2">
      <c r="A11189" s="23" t="str">
        <f>HYPERLINK("https://www.spark-marketing.ru/Card/Person/7563", "ГКУ ""СЛУЖБА ЕДИНОГО ЗАКАЗЧИКА"" ЗАБАЙКАЛЬСКОГО КРАЯ")</f>
        <v>ГКУ "СЛУЖБА ЕДИНОГО ЗАКАЗЧИКА" ЗАБАЙКАЛЬСКОГО КРАЯ</v>
      </c>
      <c r="B11189" s="24" t="s">
        <v>13464</v>
      </c>
      <c r="C11189" s="25">
        <v>1000000</v>
      </c>
      <c r="D11189" s="22" t="s">
        <v>13465</v>
      </c>
      <c r="E11189" s="22" t="s">
        <v>218</v>
      </c>
      <c r="F11189" s="23" t="str">
        <f>HYPERLINK("https://www.spark-marketing.ru/Card/Lot/69086558", "Выполнение работ по разработке и утверждению планов обеспечения транспортной безопасности объектов транспортной инфраструктуры в сфере дорожного хозяйства (2522-КвЭФ)")</f>
        <v>Выполнение работ по разработке и утверждению планов обеспечения транспортной безопасности объектов транспортной инфраструктуры в сфере дорожного хозяйства (2522-КвЭФ)</v>
      </c>
      <c r="G11189" s="22" t="s">
        <v>473</v>
      </c>
      <c r="H11189" s="22" t="s">
        <v>476</v>
      </c>
      <c r="I11189" s="26">
        <v>43552.540972222203</v>
      </c>
      <c r="J11189" s="23" t="str">
        <f>HYPERLINK("https://www.spark-marketing.ru/Card/Person/4259585", "ООО ""ЭЛИКОМ ТБ""")</f>
        <v>ООО "ЭЛИКОМ ТБ"</v>
      </c>
      <c r="K11189" s="24" t="s">
        <v>6400</v>
      </c>
      <c r="L11189" s="28" t="s">
        <v>52</v>
      </c>
      <c r="M11189" s="25">
        <v>495000</v>
      </c>
      <c r="N11189" s="27">
        <v>0.505</v>
      </c>
    </row>
    <row r="11190" spans="1:14" x14ac:dyDescent="0.15">
      <c r="A11190" s="23" t="str">
        <f>HYPERLINK("https://www.spark-marketing.ru/Card/Person/1022283", "МОУ ГОРЕТОВСКАЯ СОШ")</f>
        <v>МОУ ГОРЕТОВСКАЯ СОШ</v>
      </c>
      <c r="B11190" s="24" t="s">
        <v>397</v>
      </c>
      <c r="C11190" s="25">
        <v>290333.33</v>
      </c>
      <c r="D11190" s="22" t="s">
        <v>13466</v>
      </c>
      <c r="E11190" s="22" t="s">
        <v>208</v>
      </c>
      <c r="F11190" s="23" t="str">
        <f>HYPERLINK("https://www.spark-marketing.ru/Card/Lot/69108279", "Поставка и установка системы контроля и управления доступом, стационарных рамок металлодетектора, системы видеодомофонии")</f>
        <v>Поставка и установка системы контроля и управления доступом, стационарных рамок металлодетектора, системы видеодомофонии</v>
      </c>
      <c r="G11190" s="22" t="s">
        <v>50</v>
      </c>
      <c r="H11190" s="22" t="s">
        <v>946</v>
      </c>
      <c r="I11190" s="26">
        <v>43552.5090277778</v>
      </c>
      <c r="J11190" s="28" t="s">
        <v>52</v>
      </c>
      <c r="K11190" s="28" t="s">
        <v>52</v>
      </c>
      <c r="L11190" s="28" t="s">
        <v>52</v>
      </c>
      <c r="M11190" s="28" t="s">
        <v>52</v>
      </c>
      <c r="N11190" s="28" t="s">
        <v>52</v>
      </c>
    </row>
    <row r="11191" spans="1:14" hidden="1" outlineLevel="1" x14ac:dyDescent="0.2">
      <c r="A11191" s="23" t="str">
        <f>HYPERLINK("https://www.spark-marketing.ru/Card/Person/1022283", "МОУ ГОРЕТОВСКАЯ СОШ")</f>
        <v>МОУ ГОРЕТОВСКАЯ СОШ</v>
      </c>
      <c r="B11191" s="24" t="s">
        <v>397</v>
      </c>
      <c r="C11191" s="25">
        <v>290333.33</v>
      </c>
      <c r="D11191" s="22" t="s">
        <v>13466</v>
      </c>
      <c r="E11191" s="22" t="s">
        <v>208</v>
      </c>
      <c r="F11191" s="23" t="str">
        <f>HYPERLINK("https://www.spark-marketing.ru/Card/Lot/69108279", "Поставка и установка системы контроля и управления доступом, стационарных рамок металлодетектора, системы видеодомофонии")</f>
        <v>Поставка и установка системы контроля и управления доступом, стационарных рамок металлодетектора, системы видеодомофонии</v>
      </c>
      <c r="G11191" s="22" t="s">
        <v>50</v>
      </c>
      <c r="H11191" s="22" t="s">
        <v>946</v>
      </c>
      <c r="I11191" s="26">
        <v>43552.5090277778</v>
      </c>
      <c r="J11191" s="23" t="str">
        <f>HYPERLINK("https://www.spark-marketing.ru/Card/Person/4369176", "ООО ""АЛТИМА""")</f>
        <v>ООО "АЛТИМА"</v>
      </c>
      <c r="K11191" s="24" t="s">
        <v>13467</v>
      </c>
      <c r="L11191" s="28" t="s">
        <v>52</v>
      </c>
      <c r="M11191" s="25">
        <v>244514.85</v>
      </c>
      <c r="N11191" s="27">
        <v>0.1578133657613475</v>
      </c>
    </row>
    <row r="11192" spans="1:14" hidden="1" outlineLevel="1" x14ac:dyDescent="0.2">
      <c r="A11192" s="23" t="str">
        <f>HYPERLINK("https://www.spark-marketing.ru/Card/Person/1022283", "МОУ ГОРЕТОВСКАЯ СОШ")</f>
        <v>МОУ ГОРЕТОВСКАЯ СОШ</v>
      </c>
      <c r="B11192" s="24" t="s">
        <v>397</v>
      </c>
      <c r="C11192" s="25">
        <v>290333.33</v>
      </c>
      <c r="D11192" s="22" t="s">
        <v>13466</v>
      </c>
      <c r="E11192" s="22" t="s">
        <v>208</v>
      </c>
      <c r="F11192" s="23" t="str">
        <f>HYPERLINK("https://www.spark-marketing.ru/Card/Lot/69108279", "Поставка и установка системы контроля и управления доступом, стационарных рамок металлодетектора, системы видеодомофонии")</f>
        <v>Поставка и установка системы контроля и управления доступом, стационарных рамок металлодетектора, системы видеодомофонии</v>
      </c>
      <c r="G11192" s="22" t="s">
        <v>50</v>
      </c>
      <c r="H11192" s="22" t="s">
        <v>946</v>
      </c>
      <c r="I11192" s="26">
        <v>43552.5090277778</v>
      </c>
      <c r="J11192" s="23" t="str">
        <f>HYPERLINK("https://www.spark-marketing.ru/Card/Person/6514628", "Алиева Диана Руслановна")</f>
        <v>Алиева Диана Руслановна</v>
      </c>
      <c r="K11192" s="24" t="s">
        <v>10048</v>
      </c>
      <c r="L11192" s="28" t="s">
        <v>52</v>
      </c>
      <c r="M11192" s="25">
        <v>221934.98</v>
      </c>
      <c r="N11192" s="27">
        <v>0.2355855939791687</v>
      </c>
    </row>
    <row r="11193" spans="1:14" ht="12.75" hidden="1" outlineLevel="1" x14ac:dyDescent="0.2">
      <c r="A11193" s="23" t="str">
        <f>HYPERLINK("https://www.spark-marketing.ru/Card/Person/1022283", "МОУ ГОРЕТОВСКАЯ СОШ")</f>
        <v>МОУ ГОРЕТОВСКАЯ СОШ</v>
      </c>
      <c r="B11193" s="24" t="s">
        <v>397</v>
      </c>
      <c r="C11193" s="25">
        <v>290333.33</v>
      </c>
      <c r="D11193" s="22" t="s">
        <v>13466</v>
      </c>
      <c r="E11193" s="22" t="s">
        <v>208</v>
      </c>
      <c r="F11193" s="23" t="str">
        <f>HYPERLINK("https://www.spark-marketing.ru/Card/Lot/69108279", "Поставка и установка системы контроля и управления доступом, стационарных рамок металлодетектора, системы видеодомофонии")</f>
        <v>Поставка и установка системы контроля и управления доступом, стационарных рамок металлодетектора, системы видеодомофонии</v>
      </c>
      <c r="G11193" s="22" t="s">
        <v>50</v>
      </c>
      <c r="H11193" s="22" t="s">
        <v>946</v>
      </c>
      <c r="I11193" s="26">
        <v>43552.5090277778</v>
      </c>
      <c r="J11193" s="23" t="str">
        <f>HYPERLINK("https://www.spark-marketing.ru/Card/Person/4954405", "ООО ""АНГАРЕЙОН-СБ""")</f>
        <v>ООО "АНГАРЕЙОН-СБ"</v>
      </c>
      <c r="K11193" s="24" t="s">
        <v>3508</v>
      </c>
      <c r="L11193" s="22" t="s">
        <v>10</v>
      </c>
      <c r="M11193" s="25">
        <v>198547.33</v>
      </c>
      <c r="N11193" s="27">
        <v>0.31614007251595949</v>
      </c>
    </row>
    <row r="11194" spans="1:14" hidden="1" outlineLevel="1" x14ac:dyDescent="0.2">
      <c r="A11194" s="23" t="str">
        <f>HYPERLINK("https://www.spark-marketing.ru/Card/Person/1022283", "МОУ ГОРЕТОВСКАЯ СОШ")</f>
        <v>МОУ ГОРЕТОВСКАЯ СОШ</v>
      </c>
      <c r="B11194" s="24" t="s">
        <v>397</v>
      </c>
      <c r="C11194" s="25">
        <v>290333.33</v>
      </c>
      <c r="D11194" s="22" t="s">
        <v>13466</v>
      </c>
      <c r="E11194" s="22" t="s">
        <v>208</v>
      </c>
      <c r="F11194" s="23" t="str">
        <f>HYPERLINK("https://www.spark-marketing.ru/Card/Lot/69108279", "Поставка и установка системы контроля и управления доступом, стационарных рамок металлодетектора, системы видеодомофонии")</f>
        <v>Поставка и установка системы контроля и управления доступом, стационарных рамок металлодетектора, системы видеодомофонии</v>
      </c>
      <c r="G11194" s="22" t="s">
        <v>50</v>
      </c>
      <c r="H11194" s="22" t="s">
        <v>946</v>
      </c>
      <c r="I11194" s="26">
        <v>43552.5090277778</v>
      </c>
      <c r="J11194" s="23" t="str">
        <f>HYPERLINK("https://www.spark-marketing.ru/Card/Person/6515622", "Мягков Андрей Николаевич")</f>
        <v>Мягков Андрей Николаевич</v>
      </c>
      <c r="K11194" s="24" t="s">
        <v>13468</v>
      </c>
      <c r="L11194" s="28" t="s">
        <v>52</v>
      </c>
      <c r="M11194" s="25">
        <v>199999</v>
      </c>
      <c r="N11194" s="27">
        <v>0.31114006097749786</v>
      </c>
    </row>
    <row r="11195" spans="1:14" x14ac:dyDescent="0.15">
      <c r="A11195" s="23" t="str">
        <f>HYPERLINK("https://www.spark-marketing.ru/Card/Person/30382", "ФКУ ""ТЕРСКИЙ ЛЕПРОЗОРИЙ"" МИНЗДРАВА РОССИИ")</f>
        <v>ФКУ "ТЕРСКИЙ ЛЕПРОЗОРИЙ" МИНЗДРАВА РОССИИ</v>
      </c>
      <c r="B11195" s="24" t="s">
        <v>13469</v>
      </c>
      <c r="C11195" s="25">
        <v>4989.24</v>
      </c>
      <c r="D11195" s="22" t="s">
        <v>13470</v>
      </c>
      <c r="E11195" s="22" t="s">
        <v>53</v>
      </c>
      <c r="F11195" s="23" t="str">
        <f>HYPERLINK("https://www.spark-marketing.ru/Card/Lot/70789900", "Техническое обслуживание комплекса технических средств охраны")</f>
        <v>Техническое обслуживание комплекса технических средств охраны</v>
      </c>
      <c r="G11195" s="22" t="s">
        <v>258</v>
      </c>
      <c r="H11195" s="22" t="s">
        <v>258</v>
      </c>
      <c r="I11195" s="26">
        <v>43552.461516203701</v>
      </c>
      <c r="J11195" s="28" t="s">
        <v>52</v>
      </c>
      <c r="K11195" s="28" t="s">
        <v>52</v>
      </c>
      <c r="L11195" s="28" t="s">
        <v>52</v>
      </c>
      <c r="M11195" s="28" t="s">
        <v>52</v>
      </c>
      <c r="N11195" s="28" t="s">
        <v>52</v>
      </c>
    </row>
    <row r="11196" spans="1:14" x14ac:dyDescent="0.15">
      <c r="A11196" s="23" t="str">
        <f>HYPERLINK("https://www.spark-marketing.ru/Card/Person/74732", "УМВД РОССИИ ПО ВЫБОРГСКОМУ РАЙОНУ ЛО")</f>
        <v>УМВД РОССИИ ПО ВЫБОРГСКОМУ РАЙОНУ ЛО</v>
      </c>
      <c r="B11196" s="24" t="s">
        <v>13471</v>
      </c>
      <c r="C11196" s="25">
        <v>66777.72</v>
      </c>
      <c r="D11196" s="22" t="s">
        <v>13472</v>
      </c>
      <c r="E11196" s="22" t="s">
        <v>53</v>
      </c>
      <c r="F11196" s="23" t="str">
        <f>HYPERLINK("https://www.spark-marketing.ru/Card/Lot/70789905", "услуги по техническому обслуживанию комплекса технических средств охраны установленного на объектах «Заказчика»")</f>
        <v>услуги по техническому обслуживанию комплекса технических средств охраны установленного на объектах «Заказчика»</v>
      </c>
      <c r="G11196" s="22" t="s">
        <v>861</v>
      </c>
      <c r="H11196" s="22" t="s">
        <v>2792</v>
      </c>
      <c r="I11196" s="26">
        <v>43552.463587963</v>
      </c>
      <c r="J11196" s="28" t="s">
        <v>52</v>
      </c>
      <c r="K11196" s="28" t="s">
        <v>52</v>
      </c>
      <c r="L11196" s="28" t="s">
        <v>52</v>
      </c>
      <c r="M11196" s="28" t="s">
        <v>52</v>
      </c>
      <c r="N11196" s="28" t="s">
        <v>52</v>
      </c>
    </row>
    <row r="11197" spans="1:14" x14ac:dyDescent="0.15">
      <c r="A11197" s="23" t="str">
        <f>HYPERLINK("https://www.spark-marketing.ru/Card/Person/107043", "МБДОУ ДЕТСКИЙ САД № 53 КОМБИНИРОВАННОГО ВИДА")</f>
        <v>МБДОУ ДЕТСКИЙ САД № 53 КОМБИНИРОВАННОГО ВИДА</v>
      </c>
      <c r="B11197" s="24" t="s">
        <v>13473</v>
      </c>
      <c r="C11197" s="25">
        <v>46800</v>
      </c>
      <c r="D11197" s="22" t="s">
        <v>13474</v>
      </c>
      <c r="E11197" s="22" t="s">
        <v>1293</v>
      </c>
      <c r="F11197" s="23" t="str">
        <f>HYPERLINK("https://www.spark-marketing.ru/Card/Lot/69094440", "Закупка в 2019 году услуг по техническому обслуживанию кнопки тревожной сигнализации для нужд МБДОУ детский сад №53 комбинированного вида")</f>
        <v>Закупка в 2019 году услуг по техническому обслуживанию кнопки тревожной сигнализации для нужд МБДОУ детский сад №53 комбинированного вида</v>
      </c>
      <c r="G11197" s="22" t="s">
        <v>50</v>
      </c>
      <c r="H11197" s="22" t="s">
        <v>1045</v>
      </c>
      <c r="I11197" s="26">
        <v>43552.482881944401</v>
      </c>
      <c r="J11197" s="28" t="s">
        <v>52</v>
      </c>
      <c r="K11197" s="28" t="s">
        <v>52</v>
      </c>
      <c r="L11197" s="28" t="s">
        <v>52</v>
      </c>
      <c r="M11197" s="28" t="s">
        <v>52</v>
      </c>
      <c r="N11197" s="28" t="s">
        <v>52</v>
      </c>
    </row>
    <row r="11198" spans="1:14" x14ac:dyDescent="0.15">
      <c r="A11198" s="23" t="str">
        <f>HYPERLINK("https://www.spark-marketing.ru/Card/Person/1010917", "МБУ ""ЦЕНТРАЛИЗОВАННАЯ БИБЛИОТЕЧНАЯ СИСТЕМА""")</f>
        <v>МБУ "ЦЕНТРАЛИЗОВАННАЯ БИБЛИОТЕЧНАЯ СИСТЕМА"</v>
      </c>
      <c r="B11198" s="24" t="s">
        <v>9615</v>
      </c>
      <c r="C11198" s="25">
        <v>545800</v>
      </c>
      <c r="D11198" s="22" t="s">
        <v>13475</v>
      </c>
      <c r="E11198" s="22" t="s">
        <v>84</v>
      </c>
      <c r="F11198" s="23" t="str">
        <f>HYPERLINK("https://www.spark-marketing.ru/Card/Lot/69093590", "Выполнение работ по установке видеонаблюдения в Центральной городской библиотеке")</f>
        <v>Выполнение работ по установке видеонаблюдения в Центральной городской библиотеке</v>
      </c>
      <c r="G11198" s="22" t="s">
        <v>119</v>
      </c>
      <c r="H11198" s="22" t="s">
        <v>9617</v>
      </c>
      <c r="I11198" s="26">
        <v>43552.491666666698</v>
      </c>
      <c r="J11198" s="28" t="s">
        <v>52</v>
      </c>
      <c r="K11198" s="28" t="s">
        <v>52</v>
      </c>
      <c r="L11198" s="28" t="s">
        <v>52</v>
      </c>
      <c r="M11198" s="28" t="s">
        <v>52</v>
      </c>
      <c r="N11198" s="28" t="s">
        <v>52</v>
      </c>
    </row>
    <row r="11199" spans="1:14" x14ac:dyDescent="0.15">
      <c r="A11199" s="23" t="str">
        <f>HYPERLINK("https://www.spark-marketing.ru/Card/Person/159436", "ОТДЕЛ ГФС РОССИИ В Г. ВЛАДИВОСТОКЕ")</f>
        <v>ОТДЕЛ ГФС РОССИИ В Г. ВЛАДИВОСТОКЕ</v>
      </c>
      <c r="B11199" s="24" t="s">
        <v>13476</v>
      </c>
      <c r="C11199" s="25">
        <v>24667.64</v>
      </c>
      <c r="D11199" s="22" t="s">
        <v>13477</v>
      </c>
      <c r="E11199" s="22" t="s">
        <v>53</v>
      </c>
      <c r="F11199" s="23" t="str">
        <f>HYPERLINK("https://www.spark-marketing.ru/Card/Lot/70787495", "Услуги по техническому обслуживанию комплекса технических средств охраны")</f>
        <v>Услуги по техническому обслуживанию комплекса технических средств охраны</v>
      </c>
      <c r="G11199" s="22" t="s">
        <v>409</v>
      </c>
      <c r="H11199" s="22" t="s">
        <v>878</v>
      </c>
      <c r="I11199" s="26">
        <v>43552.476851851898</v>
      </c>
      <c r="J11199" s="28" t="s">
        <v>52</v>
      </c>
      <c r="K11199" s="28" t="s">
        <v>52</v>
      </c>
      <c r="L11199" s="28" t="s">
        <v>52</v>
      </c>
      <c r="M11199" s="28" t="s">
        <v>52</v>
      </c>
      <c r="N11199" s="28" t="s">
        <v>52</v>
      </c>
    </row>
    <row r="11200" spans="1:14" x14ac:dyDescent="0.15">
      <c r="A11200" s="23" t="str">
        <f>HYPERLINK("https://www.spark-marketing.ru/Card/Person/4450008", "ООО ""КАРИ""")</f>
        <v>ООО "КАРИ"</v>
      </c>
      <c r="B11200" s="24" t="s">
        <v>2903</v>
      </c>
      <c r="C11200" s="25">
        <v>0</v>
      </c>
      <c r="D11200" s="22" t="s">
        <v>13478</v>
      </c>
      <c r="E11200" s="22" t="s">
        <v>208</v>
      </c>
      <c r="F11200" s="23" t="str">
        <f>HYPERLINK("https://www.spark-marketing.ru/Card/Lot/69100541", "Услуги по охране объекта стационарным постом (24-х часовую охрану складского помещения)")</f>
        <v>Услуги по охране объекта стационарным постом (24-х часовую охрану складского помещения)</v>
      </c>
      <c r="G11200" s="22" t="s">
        <v>409</v>
      </c>
      <c r="H11200" s="22" t="s">
        <v>3324</v>
      </c>
      <c r="I11200" s="26">
        <v>43552.454872685201</v>
      </c>
      <c r="J11200" s="28" t="s">
        <v>52</v>
      </c>
      <c r="K11200" s="28" t="s">
        <v>52</v>
      </c>
      <c r="L11200" s="28" t="s">
        <v>52</v>
      </c>
      <c r="M11200" s="28" t="s">
        <v>52</v>
      </c>
      <c r="N11200" s="28" t="s">
        <v>52</v>
      </c>
    </row>
    <row r="11201" spans="1:14" x14ac:dyDescent="0.15">
      <c r="A11201" s="23" t="str">
        <f>HYPERLINK("https://www.spark-marketing.ru/Card/Person/8901", "НОВОЧЕРКАССКОЕ СУВОРОВСКОЕ ВОЕННОЕ УЧИЛИЩЕ МВД РОССИИ, ФГКОУ НСВУ МВД РОССИИ, НОВОЧЕРКАССКОЕ СВУ МВД РОССИИ")</f>
        <v>НОВОЧЕРКАССКОЕ СУВОРОВСКОЕ ВОЕННОЕ УЧИЛИЩЕ МВД РОССИИ, ФГКОУ НСВУ МВД РОССИИ, НОВОЧЕРКАССКОЕ СВУ МВД РОССИИ</v>
      </c>
      <c r="B11201" s="24" t="s">
        <v>2661</v>
      </c>
      <c r="C11201" s="25">
        <v>76065</v>
      </c>
      <c r="D11201" s="22" t="s">
        <v>13479</v>
      </c>
      <c r="E11201" s="22" t="s">
        <v>84</v>
      </c>
      <c r="F11201" s="23" t="str">
        <f>HYPERLINK("https://www.spark-marketing.ru/Card/Lot/70789809", "Монтаж, установка, сборка систем охранного видеонаблюдения, 1 шт")</f>
        <v>Монтаж, установка, сборка систем охранного видеонаблюдения, 1 шт</v>
      </c>
      <c r="G11201" s="22" t="s">
        <v>402</v>
      </c>
      <c r="H11201" s="22" t="s">
        <v>2663</v>
      </c>
      <c r="I11201" s="26">
        <v>43552.452662037002</v>
      </c>
      <c r="J11201" s="28" t="s">
        <v>52</v>
      </c>
      <c r="K11201" s="28" t="s">
        <v>52</v>
      </c>
      <c r="L11201" s="28" t="s">
        <v>52</v>
      </c>
      <c r="M11201" s="28" t="s">
        <v>52</v>
      </c>
      <c r="N11201" s="28" t="s">
        <v>52</v>
      </c>
    </row>
    <row r="11202" spans="1:14" x14ac:dyDescent="0.15">
      <c r="A11202" s="23" t="str">
        <f>HYPERLINK("https://www.spark-marketing.ru/Card/Person/1020073", "ФЛ ФГБУК ""Государственный музей Востока""")</f>
        <v>ФЛ ФГБУК "Государственный музей Востока"</v>
      </c>
      <c r="B11202" s="24" t="s">
        <v>13480</v>
      </c>
      <c r="C11202" s="25">
        <v>1377860.4</v>
      </c>
      <c r="D11202" s="22" t="s">
        <v>13481</v>
      </c>
      <c r="E11202" s="22" t="s">
        <v>68</v>
      </c>
      <c r="F11202" s="23" t="str">
        <f>HYPERLINK("https://www.spark-marketing.ru/Card/Lot/69097864", "Оказание услуг по охране объекта (Здание Северокавказского филиала Федерального государственного бюджетного учреждения культуры ""Государственный музей искусства народов Востока""")</f>
        <v>Оказание услуг по охране объекта (Здание Северокавказского филиала Федерального государственного бюджетного учреждения культуры "Государственный музей искусства народов Востока"</v>
      </c>
      <c r="G11202" s="22" t="s">
        <v>1547</v>
      </c>
      <c r="H11202" s="22" t="s">
        <v>1983</v>
      </c>
      <c r="I11202" s="26">
        <v>43552.456250000003</v>
      </c>
      <c r="J11202" s="28" t="s">
        <v>52</v>
      </c>
      <c r="K11202" s="28" t="s">
        <v>52</v>
      </c>
      <c r="L11202" s="28" t="s">
        <v>52</v>
      </c>
      <c r="M11202" s="28" t="s">
        <v>52</v>
      </c>
      <c r="N11202" s="28" t="s">
        <v>52</v>
      </c>
    </row>
    <row r="11203" spans="1:14" x14ac:dyDescent="0.15">
      <c r="A11203" s="23" t="str">
        <f>HYPERLINK("https://www.spark-marketing.ru/Card/Person/13877", "СУ СК РОССИИ ПО КУРГАНСКОЙ ОБЛАСТИ")</f>
        <v>СУ СК РОССИИ ПО КУРГАНСКОЙ ОБЛАСТИ</v>
      </c>
      <c r="B11203" s="24" t="s">
        <v>9651</v>
      </c>
      <c r="C11203" s="25">
        <v>15000</v>
      </c>
      <c r="D11203" s="22" t="s">
        <v>13482</v>
      </c>
      <c r="E11203" s="22" t="s">
        <v>107</v>
      </c>
      <c r="F11203" s="23" t="str">
        <f>HYPERLINK("https://www.spark-marketing.ru/Card/Lot/70172638", "Техническое обслуживание видеонаблюдения, 30 шт")</f>
        <v>Техническое обслуживание видеонаблюдения, 30 шт</v>
      </c>
      <c r="G11203" s="22" t="s">
        <v>626</v>
      </c>
      <c r="H11203" s="22" t="s">
        <v>1508</v>
      </c>
      <c r="I11203" s="26">
        <v>43552.417951388903</v>
      </c>
      <c r="J11203" s="28" t="s">
        <v>52</v>
      </c>
      <c r="K11203" s="28" t="s">
        <v>52</v>
      </c>
      <c r="L11203" s="28" t="s">
        <v>52</v>
      </c>
      <c r="M11203" s="28" t="s">
        <v>52</v>
      </c>
      <c r="N11203" s="28" t="s">
        <v>52</v>
      </c>
    </row>
    <row r="11204" spans="1:14" x14ac:dyDescent="0.15">
      <c r="A11204" s="23" t="str">
        <f>HYPERLINK("https://www.spark-marketing.ru/Card/Person/121727", "МЕЖРАЙОННАЯ ИФНС РОССИИ № 1 ПО РОСТОВСКОЙ ОБЛАСТИ")</f>
        <v>МЕЖРАЙОННАЯ ИФНС РОССИИ № 1 ПО РОСТОВСКОЙ ОБЛАСТИ</v>
      </c>
      <c r="B11204" s="24" t="s">
        <v>13414</v>
      </c>
      <c r="C11204" s="25">
        <v>9255.7199999999993</v>
      </c>
      <c r="D11204" s="22" t="s">
        <v>13483</v>
      </c>
      <c r="E11204" s="22" t="s">
        <v>53</v>
      </c>
      <c r="F11204" s="23" t="str">
        <f>HYPERLINK("https://www.spark-marketing.ru/Card/Lot/70789939", "Услуги пультовой охраны с использованием тревожной кнопки, 1 шт")</f>
        <v>Услуги пультовой охраны с использованием тревожной кнопки, 1 шт</v>
      </c>
      <c r="G11204" s="22" t="s">
        <v>402</v>
      </c>
      <c r="H11204" s="22" t="s">
        <v>6099</v>
      </c>
      <c r="I11204" s="26">
        <v>43552.414479166699</v>
      </c>
      <c r="J11204" s="28" t="s">
        <v>52</v>
      </c>
      <c r="K11204" s="28" t="s">
        <v>52</v>
      </c>
      <c r="L11204" s="28" t="s">
        <v>52</v>
      </c>
      <c r="M11204" s="28" t="s">
        <v>52</v>
      </c>
      <c r="N11204" s="28" t="s">
        <v>52</v>
      </c>
    </row>
    <row r="11205" spans="1:14" x14ac:dyDescent="0.15">
      <c r="A11205" s="23" t="str">
        <f>HYPERLINK("https://www.spark-marketing.ru/Card/Person/35980", "СПБ ГБУ СОН ""ЦСПСИД КАЛИНИНСКОГО РАЙОНА""")</f>
        <v>СПБ ГБУ СОН "ЦСПСИД КАЛИНИНСКОГО РАЙОНА"</v>
      </c>
      <c r="B11205" s="24" t="s">
        <v>13484</v>
      </c>
      <c r="C11205" s="25">
        <v>243581.56</v>
      </c>
      <c r="D11205" s="22" t="s">
        <v>13485</v>
      </c>
      <c r="E11205" s="22" t="s">
        <v>208</v>
      </c>
      <c r="F11205" s="23" t="str">
        <f>HYPERLINK("https://www.spark-marketing.ru/Card/Lot/69091797", "Поставка и установка системы учета рабочего времени")</f>
        <v>Поставка и установка системы учета рабочего времени</v>
      </c>
      <c r="G11205" s="22" t="s">
        <v>89</v>
      </c>
      <c r="H11205" s="22" t="s">
        <v>89</v>
      </c>
      <c r="I11205" s="26">
        <v>43552.381944444402</v>
      </c>
      <c r="J11205" s="28" t="s">
        <v>52</v>
      </c>
      <c r="K11205" s="28" t="s">
        <v>52</v>
      </c>
      <c r="L11205" s="28" t="s">
        <v>52</v>
      </c>
      <c r="M11205" s="28" t="s">
        <v>52</v>
      </c>
      <c r="N11205" s="28" t="s">
        <v>52</v>
      </c>
    </row>
    <row r="11206" spans="1:14" hidden="1" outlineLevel="1" x14ac:dyDescent="0.2">
      <c r="A11206" s="23" t="str">
        <f>HYPERLINK("https://www.spark-marketing.ru/Card/Person/35980", "СПБ ГБУ СОН ""ЦСПСИД КАЛИНИНСКОГО РАЙОНА""")</f>
        <v>СПБ ГБУ СОН "ЦСПСИД КАЛИНИНСКОГО РАЙОНА"</v>
      </c>
      <c r="B11206" s="24" t="s">
        <v>13484</v>
      </c>
      <c r="C11206" s="25">
        <v>243581.56</v>
      </c>
      <c r="D11206" s="22" t="s">
        <v>13485</v>
      </c>
      <c r="E11206" s="22" t="s">
        <v>208</v>
      </c>
      <c r="F11206" s="23" t="str">
        <f>HYPERLINK("https://www.spark-marketing.ru/Card/Lot/69091797", "Поставка и установка системы учета рабочего времени")</f>
        <v>Поставка и установка системы учета рабочего времени</v>
      </c>
      <c r="G11206" s="22" t="s">
        <v>89</v>
      </c>
      <c r="H11206" s="22" t="s">
        <v>89</v>
      </c>
      <c r="I11206" s="26">
        <v>43552.381944444402</v>
      </c>
      <c r="J11206" s="23" t="str">
        <f>HYPERLINK("https://www.spark-marketing.ru/Card/Person/450990", "ООО ""СЕЙГАЛ""")</f>
        <v>ООО "СЕЙГАЛ"</v>
      </c>
      <c r="K11206" s="24" t="s">
        <v>11235</v>
      </c>
      <c r="L11206" s="28" t="s">
        <v>52</v>
      </c>
      <c r="M11206" s="25">
        <v>242363.65</v>
      </c>
      <c r="N11206" s="27">
        <v>5.000009031882381E-3</v>
      </c>
    </row>
    <row r="11207" spans="1:14" ht="12.75" hidden="1" outlineLevel="1" x14ac:dyDescent="0.2">
      <c r="A11207" s="23" t="str">
        <f>HYPERLINK("https://www.spark-marketing.ru/Card/Person/35980", "СПБ ГБУ СОН ""ЦСПСИД КАЛИНИНСКОГО РАЙОНА""")</f>
        <v>СПБ ГБУ СОН "ЦСПСИД КАЛИНИНСКОГО РАЙОНА"</v>
      </c>
      <c r="B11207" s="24" t="s">
        <v>13484</v>
      </c>
      <c r="C11207" s="25">
        <v>243581.56</v>
      </c>
      <c r="D11207" s="22" t="s">
        <v>13485</v>
      </c>
      <c r="E11207" s="22" t="s">
        <v>208</v>
      </c>
      <c r="F11207" s="23" t="str">
        <f>HYPERLINK("https://www.spark-marketing.ru/Card/Lot/69091797", "Поставка и установка системы учета рабочего времени")</f>
        <v>Поставка и установка системы учета рабочего времени</v>
      </c>
      <c r="G11207" s="22" t="s">
        <v>89</v>
      </c>
      <c r="H11207" s="22" t="s">
        <v>89</v>
      </c>
      <c r="I11207" s="26">
        <v>43552.381944444402</v>
      </c>
      <c r="J11207" s="23" t="str">
        <f>HYPERLINK("https://www.spark-marketing.ru/Card/Person/6293291", "Данвальд Наталья Викторовна")</f>
        <v>Данвальд Наталья Викторовна</v>
      </c>
      <c r="K11207" s="24" t="s">
        <v>10041</v>
      </c>
      <c r="L11207" s="22" t="s">
        <v>10</v>
      </c>
      <c r="M11207" s="25">
        <v>241145.74</v>
      </c>
      <c r="N11207" s="27">
        <v>1.0000018063764762E-2</v>
      </c>
    </row>
    <row r="11208" spans="1:14" x14ac:dyDescent="0.15">
      <c r="A11208" s="23" t="str">
        <f>HYPERLINK("https://www.spark-marketing.ru/Card/Person/2920", "УПРАВЛЕНИЕ МИРОВОЙ ЮСТИЦИИ БРЯНСКОЙ ОБЛАСТИ")</f>
        <v>УПРАВЛЕНИЕ МИРОВОЙ ЮСТИЦИИ БРЯНСКОЙ ОБЛАСТИ</v>
      </c>
      <c r="B11208" s="24" t="s">
        <v>12569</v>
      </c>
      <c r="C11208" s="25">
        <v>274903.2</v>
      </c>
      <c r="D11208" s="22" t="s">
        <v>13486</v>
      </c>
      <c r="E11208" s="22" t="s">
        <v>68</v>
      </c>
      <c r="F11208" s="23" t="str">
        <f>HYPERLINK("https://www.spark-marketing.ru/Card/Lot/69091302", "Охрана объектов путём контроля за техническими средствами тревожной сигнализации (МСУ).")</f>
        <v>Охрана объектов путём контроля за техническими средствами тревожной сигнализации (МСУ).</v>
      </c>
      <c r="G11208" s="22" t="s">
        <v>215</v>
      </c>
      <c r="H11208" s="22" t="s">
        <v>406</v>
      </c>
      <c r="I11208" s="26">
        <v>43552.387499999997</v>
      </c>
      <c r="J11208" s="28" t="s">
        <v>52</v>
      </c>
      <c r="K11208" s="28" t="s">
        <v>52</v>
      </c>
      <c r="L11208" s="28" t="s">
        <v>52</v>
      </c>
      <c r="M11208" s="28" t="s">
        <v>52</v>
      </c>
      <c r="N11208" s="28" t="s">
        <v>52</v>
      </c>
    </row>
    <row r="11209" spans="1:14" x14ac:dyDescent="0.15">
      <c r="A11209" s="23" t="str">
        <f>HYPERLINK("https://www.spark-marketing.ru/Card/Person/79060", "ГБУЗ РК ""ПЕЧОРСКАЯ ЦРБ""")</f>
        <v>ГБУЗ РК "ПЕЧОРСКАЯ ЦРБ"</v>
      </c>
      <c r="B11209" s="24" t="s">
        <v>13487</v>
      </c>
      <c r="C11209" s="25">
        <v>160000</v>
      </c>
      <c r="D11209" s="22" t="s">
        <v>13488</v>
      </c>
      <c r="E11209" s="22" t="s">
        <v>103</v>
      </c>
      <c r="F11209" s="23" t="str">
        <f>HYPERLINK("https://www.spark-marketing.ru/Card/Lot/69091684", "Оказание услуг по техническому обслуживанию системы видеонаблюдения ГБУЗ РК «Печорская ЦРБ» в 2019 году")</f>
        <v>Оказание услуг по техническому обслуживанию системы видеонаблюдения ГБУЗ РК «Печорская ЦРБ» в 2019 году</v>
      </c>
      <c r="G11209" s="22" t="s">
        <v>538</v>
      </c>
      <c r="H11209" s="22" t="s">
        <v>13489</v>
      </c>
      <c r="I11209" s="26">
        <v>43552.379166666702</v>
      </c>
      <c r="J11209" s="28" t="s">
        <v>52</v>
      </c>
      <c r="K11209" s="28" t="s">
        <v>52</v>
      </c>
      <c r="L11209" s="28" t="s">
        <v>52</v>
      </c>
      <c r="M11209" s="28" t="s">
        <v>52</v>
      </c>
      <c r="N11209" s="28" t="s">
        <v>52</v>
      </c>
    </row>
    <row r="11210" spans="1:14" hidden="1" outlineLevel="1" x14ac:dyDescent="0.2">
      <c r="A11210" s="23" t="str">
        <f>HYPERLINK("https://www.spark-marketing.ru/Card/Person/79060", "ГБУЗ РК ""ПЕЧОРСКАЯ ЦРБ""")</f>
        <v>ГБУЗ РК "ПЕЧОРСКАЯ ЦРБ"</v>
      </c>
      <c r="B11210" s="24" t="s">
        <v>13487</v>
      </c>
      <c r="C11210" s="25">
        <v>160000</v>
      </c>
      <c r="D11210" s="22" t="s">
        <v>13488</v>
      </c>
      <c r="E11210" s="22" t="s">
        <v>103</v>
      </c>
      <c r="F11210" s="23" t="str">
        <f>HYPERLINK("https://www.spark-marketing.ru/Card/Lot/69091684", "Оказание услуг по техническому обслуживанию системы видеонаблюдения ГБУЗ РК «Печорская ЦРБ» в 2019 году")</f>
        <v>Оказание услуг по техническому обслуживанию системы видеонаблюдения ГБУЗ РК «Печорская ЦРБ» в 2019 году</v>
      </c>
      <c r="G11210" s="22" t="s">
        <v>538</v>
      </c>
      <c r="H11210" s="22" t="s">
        <v>13489</v>
      </c>
      <c r="I11210" s="26">
        <v>43552.379166666702</v>
      </c>
      <c r="J11210" s="23" t="str">
        <f>HYPERLINK("https://www.spark-marketing.ru/Card/Person/171473", "ООО ""БИСМАРК.ТВ""")</f>
        <v>ООО "БИСМАРК.ТВ"</v>
      </c>
      <c r="K11210" s="24" t="s">
        <v>10897</v>
      </c>
      <c r="L11210" s="28" t="s">
        <v>52</v>
      </c>
      <c r="M11210" s="25">
        <v>136000</v>
      </c>
      <c r="N11210" s="27">
        <v>0.15</v>
      </c>
    </row>
    <row r="11211" spans="1:14" ht="12.75" hidden="1" outlineLevel="1" x14ac:dyDescent="0.2">
      <c r="A11211" s="23" t="str">
        <f>HYPERLINK("https://www.spark-marketing.ru/Card/Person/79060", "ГБУЗ РК ""ПЕЧОРСКАЯ ЦРБ""")</f>
        <v>ГБУЗ РК "ПЕЧОРСКАЯ ЦРБ"</v>
      </c>
      <c r="B11211" s="24" t="s">
        <v>13487</v>
      </c>
      <c r="C11211" s="25">
        <v>160000</v>
      </c>
      <c r="D11211" s="22" t="s">
        <v>13488</v>
      </c>
      <c r="E11211" s="22" t="s">
        <v>103</v>
      </c>
      <c r="F11211" s="23" t="str">
        <f>HYPERLINK("https://www.spark-marketing.ru/Card/Lot/69091684", "Оказание услуг по техническому обслуживанию системы видеонаблюдения ГБУЗ РК «Печорская ЦРБ» в 2019 году")</f>
        <v>Оказание услуг по техническому обслуживанию системы видеонаблюдения ГБУЗ РК «Печорская ЦРБ» в 2019 году</v>
      </c>
      <c r="G11211" s="22" t="s">
        <v>538</v>
      </c>
      <c r="H11211" s="22" t="s">
        <v>13489</v>
      </c>
      <c r="I11211" s="26">
        <v>43552.379166666702</v>
      </c>
      <c r="J11211" s="23" t="str">
        <f>HYPERLINK("https://www.spark-marketing.ru/Card/Person/160398", "ООО ""СИСТЕМЫ БЕЗОПАСНОСТИ""")</f>
        <v>ООО "СИСТЕМЫ БЕЗОПАСНОСТИ"</v>
      </c>
      <c r="K11211" s="24" t="s">
        <v>13490</v>
      </c>
      <c r="L11211" s="22" t="s">
        <v>10</v>
      </c>
      <c r="M11211" s="25">
        <v>135200</v>
      </c>
      <c r="N11211" s="27">
        <v>0.155</v>
      </c>
    </row>
    <row r="11212" spans="1:14" x14ac:dyDescent="0.15">
      <c r="A11212" s="23" t="str">
        <f>HYPERLINK("https://www.spark-marketing.ru/Card/Person/30709", "ГБУЗ ЯНАО ""МУРАВЛЕНКОВСКАЯ ГБ""")</f>
        <v>ГБУЗ ЯНАО "МУРАВЛЕНКОВСКАЯ ГБ"</v>
      </c>
      <c r="B11212" s="24" t="s">
        <v>13491</v>
      </c>
      <c r="C11212" s="25">
        <v>132000</v>
      </c>
      <c r="D11212" s="22" t="s">
        <v>13492</v>
      </c>
      <c r="E11212" s="22" t="s">
        <v>59</v>
      </c>
      <c r="F11212" s="23" t="str">
        <f>HYPERLINK("https://www.spark-marketing.ru/Card/Lot/69086278", "Выполнение работ по установке кнопок тревожной сигнализации")</f>
        <v>Выполнение работ по установке кнопок тревожной сигнализации</v>
      </c>
      <c r="G11212" s="22" t="s">
        <v>311</v>
      </c>
      <c r="H11212" s="22" t="s">
        <v>13493</v>
      </c>
      <c r="I11212" s="26">
        <v>43552.393750000003</v>
      </c>
      <c r="J11212" s="23" t="str">
        <f>HYPERLINK("https://www.spark-marketing.ru/Card/Person/115827", "ООО ""НЭКСТ""")</f>
        <v>ООО "НЭКСТ"</v>
      </c>
      <c r="K11212" s="24" t="s">
        <v>13494</v>
      </c>
      <c r="L11212" s="28" t="s">
        <v>52</v>
      </c>
      <c r="M11212" s="28" t="s">
        <v>52</v>
      </c>
      <c r="N11212" s="28" t="s">
        <v>52</v>
      </c>
    </row>
    <row r="11213" spans="1:14" hidden="1" outlineLevel="1" x14ac:dyDescent="0.15">
      <c r="A11213" s="23" t="str">
        <f>HYPERLINK("https://www.spark-marketing.ru/Card/Person/30709", "ГБУЗ ЯНАО ""МУРАВЛЕНКОВСКАЯ ГБ""")</f>
        <v>ГБУЗ ЯНАО "МУРАВЛЕНКОВСКАЯ ГБ"</v>
      </c>
      <c r="B11213" s="24" t="s">
        <v>13491</v>
      </c>
      <c r="C11213" s="25">
        <v>132000</v>
      </c>
      <c r="D11213" s="22" t="s">
        <v>13492</v>
      </c>
      <c r="E11213" s="22" t="s">
        <v>59</v>
      </c>
      <c r="F11213" s="23" t="str">
        <f>HYPERLINK("https://www.spark-marketing.ru/Card/Lot/69086278", "Выполнение работ по установке кнопок тревожной сигнализации")</f>
        <v>Выполнение работ по установке кнопок тревожной сигнализации</v>
      </c>
      <c r="G11213" s="22" t="s">
        <v>311</v>
      </c>
      <c r="H11213" s="22" t="s">
        <v>13493</v>
      </c>
      <c r="I11213" s="26">
        <v>43552.393750000003</v>
      </c>
      <c r="J11213" s="23" t="str">
        <f>HYPERLINK("https://www.spark-marketing.ru/Card/Person/115827", "ООО ""НЭКСТ""")</f>
        <v>ООО "НЭКСТ"</v>
      </c>
      <c r="K11213" s="24" t="s">
        <v>13494</v>
      </c>
      <c r="L11213" s="22" t="s">
        <v>10</v>
      </c>
      <c r="M11213" s="28" t="s">
        <v>52</v>
      </c>
      <c r="N11213" s="28" t="s">
        <v>52</v>
      </c>
    </row>
    <row r="11214" spans="1:14" x14ac:dyDescent="0.15">
      <c r="A11214" s="23" t="str">
        <f>HYPERLINK("https://www.spark-marketing.ru/Card/Person/6579698", "ОПС ФЛ УПРАВЛЕНИЯ")</f>
        <v>ОПС ФЛ УПРАВЛЕНИЯ</v>
      </c>
      <c r="B11214" s="24" t="s">
        <v>13495</v>
      </c>
      <c r="C11214" s="25">
        <v>22050</v>
      </c>
      <c r="D11214" s="22" t="s">
        <v>13496</v>
      </c>
      <c r="E11214" s="22" t="s">
        <v>53</v>
      </c>
      <c r="F11214" s="23" t="str">
        <f>HYPERLINK("https://www.spark-marketing.ru/Card/Lot/70804578", "Оказание услуг по установке автомобильной сигнализации на автомобиль Форд Фокус, находящийся на гарантии")</f>
        <v>Оказание услуг по установке автомобильной сигнализации на автомобиль Форд Фокус, находящийся на гарантии</v>
      </c>
      <c r="G11214" s="22" t="s">
        <v>52</v>
      </c>
      <c r="H11214" s="22" t="s">
        <v>52</v>
      </c>
      <c r="I11214" s="26">
        <v>43552.370034722197</v>
      </c>
      <c r="J11214" s="28" t="s">
        <v>52</v>
      </c>
      <c r="K11214" s="28" t="s">
        <v>52</v>
      </c>
      <c r="L11214" s="28" t="s">
        <v>52</v>
      </c>
      <c r="M11214" s="28" t="s">
        <v>52</v>
      </c>
      <c r="N11214" s="28" t="s">
        <v>52</v>
      </c>
    </row>
    <row r="11215" spans="1:14" x14ac:dyDescent="0.15">
      <c r="A11215" s="23" t="str">
        <f>HYPERLINK("https://www.spark-marketing.ru/Card/Person/122910", "МЕЖРАЙОННАЯ ИФНС РОССИИ № 3 ПО ЗАБАЙКАЛЬСКОМУ КРАЮ")</f>
        <v>МЕЖРАЙОННАЯ ИФНС РОССИИ № 3 ПО ЗАБАЙКАЛЬСКОМУ КРАЮ</v>
      </c>
      <c r="B11215" s="24" t="s">
        <v>9357</v>
      </c>
      <c r="C11215" s="25">
        <v>72360</v>
      </c>
      <c r="D11215" s="22" t="s">
        <v>13497</v>
      </c>
      <c r="E11215" s="22" t="s">
        <v>53</v>
      </c>
      <c r="F11215" s="23" t="str">
        <f>HYPERLINK("https://www.spark-marketing.ru/Card/Lot/70789549", "Комплекс услуг охраны объектов (ОПС-КТС)")</f>
        <v>Комплекс услуг охраны объектов (ОПС-КТС)</v>
      </c>
      <c r="G11215" s="22" t="s">
        <v>473</v>
      </c>
      <c r="H11215" s="22" t="s">
        <v>476</v>
      </c>
      <c r="I11215" s="26">
        <v>43552.2737037037</v>
      </c>
      <c r="J11215" s="28" t="s">
        <v>52</v>
      </c>
      <c r="K11215" s="28" t="s">
        <v>52</v>
      </c>
      <c r="L11215" s="28" t="s">
        <v>52</v>
      </c>
      <c r="M11215" s="28" t="s">
        <v>52</v>
      </c>
      <c r="N11215" s="28" t="s">
        <v>52</v>
      </c>
    </row>
    <row r="11216" spans="1:14" x14ac:dyDescent="0.15">
      <c r="A11216" s="23" t="str">
        <f>HYPERLINK("https://www.spark-marketing.ru/Card/Person/122910", "МЕЖРАЙОННАЯ ИФНС РОССИИ № 3 ПО ЗАБАЙКАЛЬСКОМУ КРАЮ")</f>
        <v>МЕЖРАЙОННАЯ ИФНС РОССИИ № 3 ПО ЗАБАЙКАЛЬСКОМУ КРАЮ</v>
      </c>
      <c r="B11216" s="24" t="s">
        <v>9357</v>
      </c>
      <c r="C11216" s="25">
        <v>54000</v>
      </c>
      <c r="D11216" s="22" t="s">
        <v>13498</v>
      </c>
      <c r="E11216" s="22" t="s">
        <v>53</v>
      </c>
      <c r="F11216" s="23" t="str">
        <f>HYPERLINK("https://www.spark-marketing.ru/Card/Lot/70789552", "Комплекс услуг охраны объектов (ОПС-КТС)")</f>
        <v>Комплекс услуг охраны объектов (ОПС-КТС)</v>
      </c>
      <c r="G11216" s="22" t="s">
        <v>473</v>
      </c>
      <c r="H11216" s="22" t="s">
        <v>476</v>
      </c>
      <c r="I11216" s="26">
        <v>43552.277303240699</v>
      </c>
      <c r="J11216" s="28" t="s">
        <v>52</v>
      </c>
      <c r="K11216" s="28" t="s">
        <v>52</v>
      </c>
      <c r="L11216" s="28" t="s">
        <v>52</v>
      </c>
      <c r="M11216" s="28" t="s">
        <v>52</v>
      </c>
      <c r="N11216" s="28" t="s">
        <v>52</v>
      </c>
    </row>
    <row r="11217" spans="1:14" x14ac:dyDescent="0.15">
      <c r="A11217" s="23" t="str">
        <f>HYPERLINK("https://www.spark-marketing.ru/Card/Person/4857912", "МЕЖРЕГИОНАЛЬНЫЙ ФИЛИАЛ ФКУ ""ЦЕНТР ПО ОБЕСПЕЧЕНИЮ ДЕЯТЕЛЬНОСТИ КАЗНАЧЕЙСТВА РОССИИ"" В Г. ХАБАРОВСКЕ")</f>
        <v>МЕЖРЕГИОНАЛЬНЫЙ ФИЛИАЛ ФКУ "ЦЕНТР ПО ОБЕСПЕЧЕНИЮ ДЕЯТЕЛЬНОСТИ КАЗНАЧЕЙСТВА РОССИИ" В Г. ХАБАРОВСКЕ</v>
      </c>
      <c r="B11217" s="24" t="s">
        <v>962</v>
      </c>
      <c r="C11217" s="25">
        <v>48300</v>
      </c>
      <c r="D11217" s="22" t="s">
        <v>13499</v>
      </c>
      <c r="E11217" s="22" t="s">
        <v>107</v>
      </c>
      <c r="F11217" s="23" t="str">
        <f>HYPERLINK("https://www.spark-marketing.ru/Card/Lot/70172731", "Техническое обслуживание средств ОС, ОПС, ТС, видеонаблюдения и СКУД, 1 шт")</f>
        <v>Техническое обслуживание средств ОС, ОПС, ТС, видеонаблюдения и СКУД, 1 шт</v>
      </c>
      <c r="G11217" s="22" t="s">
        <v>55</v>
      </c>
      <c r="H11217" s="22" t="s">
        <v>55</v>
      </c>
      <c r="I11217" s="26">
        <v>43552.194687499999</v>
      </c>
      <c r="J11217" s="28" t="s">
        <v>52</v>
      </c>
      <c r="K11217" s="28" t="s">
        <v>52</v>
      </c>
      <c r="L11217" s="28" t="s">
        <v>52</v>
      </c>
      <c r="M11217" s="28" t="s">
        <v>52</v>
      </c>
      <c r="N11217" s="28" t="s">
        <v>52</v>
      </c>
    </row>
    <row r="11218" spans="1:14" x14ac:dyDescent="0.15">
      <c r="A11218" s="23" t="str">
        <f>HYPERLINK("https://www.spark-marketing.ru/Card/Person/1369770", "ООО ""НЗХК-ЭНЕРГИЯ""")</f>
        <v>ООО "НЗХК-ЭНЕРГИЯ"</v>
      </c>
      <c r="B11218" s="24" t="s">
        <v>13500</v>
      </c>
      <c r="C11218" s="25">
        <v>4224000</v>
      </c>
      <c r="D11218" s="22" t="s">
        <v>13501</v>
      </c>
      <c r="E11218" s="22" t="s">
        <v>1242</v>
      </c>
      <c r="F11218" s="23" t="str">
        <f>HYPERLINK("https://www.spark-marketing.ru/Card/Lot/69077301", "Право заключения договора на Охрана объектов НФС «Питьевой центр» и станция «Водозабор»")</f>
        <v>Право заключения договора на Охрана объектов НФС «Питьевой центр» и станция «Водозабор»</v>
      </c>
      <c r="G11218" s="22" t="s">
        <v>209</v>
      </c>
      <c r="H11218" s="22" t="s">
        <v>210</v>
      </c>
      <c r="I11218" s="26">
        <v>43551.889131944401</v>
      </c>
      <c r="J11218" s="28" t="s">
        <v>52</v>
      </c>
      <c r="K11218" s="28" t="s">
        <v>52</v>
      </c>
      <c r="L11218" s="28" t="s">
        <v>52</v>
      </c>
      <c r="M11218" s="28" t="s">
        <v>52</v>
      </c>
      <c r="N11218" s="28" t="s">
        <v>52</v>
      </c>
    </row>
    <row r="11219" spans="1:14" hidden="1" outlineLevel="1" x14ac:dyDescent="0.2">
      <c r="A11219" s="23" t="str">
        <f>HYPERLINK("https://www.spark-marketing.ru/Card/Person/1369770", "ООО ""НЗХК-ЭНЕРГИЯ""")</f>
        <v>ООО "НЗХК-ЭНЕРГИЯ"</v>
      </c>
      <c r="B11219" s="24" t="s">
        <v>13500</v>
      </c>
      <c r="C11219" s="28" t="s">
        <v>52</v>
      </c>
      <c r="D11219" s="22" t="s">
        <v>13501</v>
      </c>
      <c r="E11219" s="22" t="s">
        <v>1242</v>
      </c>
      <c r="F11219" s="23" t="str">
        <f>HYPERLINK("https://www.spark-marketing.ru/Card/Lot/69077301", "Право заключения договора на Охрана объектов НФС «Питьевой центр» и станция «Водозабор»")</f>
        <v>Право заключения договора на Охрана объектов НФС «Питьевой центр» и станция «Водозабор»</v>
      </c>
      <c r="G11219" s="22" t="s">
        <v>209</v>
      </c>
      <c r="H11219" s="22" t="s">
        <v>210</v>
      </c>
      <c r="I11219" s="26">
        <v>43551.889131944401</v>
      </c>
      <c r="J11219" s="23" t="str">
        <f>HYPERLINK("https://www.spark-marketing.ru/Card/Person/2004256", "ООО ОП ""ФАВОРИТ""")</f>
        <v>ООО ОП "ФАВОРИТ"</v>
      </c>
      <c r="K11219" s="24" t="s">
        <v>13502</v>
      </c>
      <c r="L11219" s="28" t="s">
        <v>52</v>
      </c>
      <c r="M11219" s="25">
        <v>3228000</v>
      </c>
      <c r="N11219" s="27">
        <v>0.23579545454545456</v>
      </c>
    </row>
    <row r="11220" spans="1:14" hidden="1" outlineLevel="1" x14ac:dyDescent="0.2">
      <c r="A11220" s="23" t="str">
        <f>HYPERLINK("https://www.spark-marketing.ru/Card/Person/1369770", "ООО ""НЗХК-ЭНЕРГИЯ""")</f>
        <v>ООО "НЗХК-ЭНЕРГИЯ"</v>
      </c>
      <c r="B11220" s="24" t="s">
        <v>13500</v>
      </c>
      <c r="C11220" s="28" t="s">
        <v>52</v>
      </c>
      <c r="D11220" s="22" t="s">
        <v>13501</v>
      </c>
      <c r="E11220" s="22" t="s">
        <v>1242</v>
      </c>
      <c r="F11220" s="23" t="str">
        <f>HYPERLINK("https://www.spark-marketing.ru/Card/Lot/69077301", "Право заключения договора на Охрана объектов НФС «Питьевой центр» и станция «Водозабор»")</f>
        <v>Право заключения договора на Охрана объектов НФС «Питьевой центр» и станция «Водозабор»</v>
      </c>
      <c r="G11220" s="22" t="s">
        <v>209</v>
      </c>
      <c r="H11220" s="22" t="s">
        <v>210</v>
      </c>
      <c r="I11220" s="26">
        <v>43551.889131944401</v>
      </c>
      <c r="J11220" s="23" t="str">
        <f>HYPERLINK("https://www.spark-marketing.ru/Card/Person/5939675", "ООО ЧОО ""ВИТЯЗЬ""")</f>
        <v>ООО ЧОО "ВИТЯЗЬ"</v>
      </c>
      <c r="K11220" s="24" t="s">
        <v>13503</v>
      </c>
      <c r="L11220" s="28" t="s">
        <v>52</v>
      </c>
      <c r="M11220" s="25">
        <v>4187280</v>
      </c>
      <c r="N11220" s="27">
        <v>8.6931818181818186E-3</v>
      </c>
    </row>
    <row r="11221" spans="1:14" x14ac:dyDescent="0.2">
      <c r="A11221" s="23" t="str">
        <f>HYPERLINK("https://www.spark-marketing.ru/Card/Person/36095", "КНИТУ-КАИ,ФГБОУ ВО ""КНИТУ-КАИ"",КАЗАНСКИЙ НАЦИОНАЛЬНЫЙ ИССЛЕДОВАТЕЛЬСКИЙ ТЕХНИЧЕСКИЙ УНИВЕРСИТЕТ ИМ. А.Н. ТУПОЛЕВА-КАИ")</f>
        <v>КНИТУ-КАИ,ФГБОУ ВО "КНИТУ-КАИ",КАЗАНСКИЙ НАЦИОНАЛЬНЫЙ ИССЛЕДОВАТЕЛЬСКИЙ ТЕХНИЧЕСКИЙ УНИВЕРСИТЕТ ИМ. А.Н. ТУПОЛЕВА-КАИ</v>
      </c>
      <c r="B11221" s="24" t="s">
        <v>13504</v>
      </c>
      <c r="C11221" s="25">
        <v>151888.29999999999</v>
      </c>
      <c r="D11221" s="22" t="s">
        <v>13505</v>
      </c>
      <c r="E11221" s="22" t="s">
        <v>13506</v>
      </c>
      <c r="F11221" s="23" t="str">
        <f>HYPERLINK("https://www.spark-marketing.ru/Card/Lot/69080192", "Поставка газоанализаторов для нужд КНИТУ-КАИ")</f>
        <v>Поставка газоанализаторов для нужд КНИТУ-КАИ</v>
      </c>
      <c r="G11221" s="22" t="s">
        <v>204</v>
      </c>
      <c r="H11221" s="22" t="s">
        <v>303</v>
      </c>
      <c r="I11221" s="26">
        <v>43551.854155092602</v>
      </c>
      <c r="J11221" s="28" t="s">
        <v>52</v>
      </c>
      <c r="K11221" s="28" t="s">
        <v>52</v>
      </c>
      <c r="L11221" s="22" t="s">
        <v>10</v>
      </c>
      <c r="M11221" s="25">
        <v>151888.29999999999</v>
      </c>
      <c r="N11221" s="27">
        <v>0</v>
      </c>
    </row>
    <row r="11222" spans="1:14" x14ac:dyDescent="0.15">
      <c r="A11222" s="23" t="str">
        <f>HYPERLINK("https://www.spark-marketing.ru/Card/Person/13952", "СПБ ГБУЗ ""ГОРОДСКАЯ БОЛЬНИЦА № 14""")</f>
        <v>СПБ ГБУЗ "ГОРОДСКАЯ БОЛЬНИЦА № 14"</v>
      </c>
      <c r="B11222" s="24" t="s">
        <v>13507</v>
      </c>
      <c r="C11222" s="25">
        <v>5461561.4400000004</v>
      </c>
      <c r="D11222" s="22" t="s">
        <v>13508</v>
      </c>
      <c r="E11222" s="22" t="s">
        <v>59</v>
      </c>
      <c r="F11222" s="23" t="str">
        <f>HYPERLINK("https://www.spark-marketing.ru/Card/Lot/69076376", "Выполнение работ по установке системы видеонаблюдения в СПб ГБУЗ ""Городская больница №14""")</f>
        <v>Выполнение работ по установке системы видеонаблюдения в СПб ГБУЗ "Городская больница №14"</v>
      </c>
      <c r="G11222" s="22" t="s">
        <v>89</v>
      </c>
      <c r="H11222" s="22" t="s">
        <v>89</v>
      </c>
      <c r="I11222" s="26">
        <v>43551.750694444403</v>
      </c>
      <c r="J11222" s="28" t="s">
        <v>52</v>
      </c>
      <c r="K11222" s="28" t="s">
        <v>52</v>
      </c>
      <c r="L11222" s="28" t="s">
        <v>52</v>
      </c>
      <c r="M11222" s="28" t="s">
        <v>52</v>
      </c>
      <c r="N11222" s="28" t="s">
        <v>52</v>
      </c>
    </row>
    <row r="11223" spans="1:14" ht="12.75" hidden="1" outlineLevel="1" x14ac:dyDescent="0.2">
      <c r="A11223" s="23" t="str">
        <f>HYPERLINK("https://www.spark-marketing.ru/Card/Person/13952", "СПБ ГБУЗ ""ГОРОДСКАЯ БОЛЬНИЦА № 14""")</f>
        <v>СПБ ГБУЗ "ГОРОДСКАЯ БОЛЬНИЦА № 14"</v>
      </c>
      <c r="B11223" s="24" t="s">
        <v>13507</v>
      </c>
      <c r="C11223" s="25">
        <v>5461561.4400000004</v>
      </c>
      <c r="D11223" s="22" t="s">
        <v>13508</v>
      </c>
      <c r="E11223" s="22" t="s">
        <v>59</v>
      </c>
      <c r="F11223" s="23" t="str">
        <f>HYPERLINK("https://www.spark-marketing.ru/Card/Lot/69076376", "Выполнение работ по установке системы видеонаблюдения в СПб ГБУЗ ""Городская больница №14""")</f>
        <v>Выполнение работ по установке системы видеонаблюдения в СПб ГБУЗ "Городская больница №14"</v>
      </c>
      <c r="G11223" s="22" t="s">
        <v>89</v>
      </c>
      <c r="H11223" s="22" t="s">
        <v>89</v>
      </c>
      <c r="I11223" s="26">
        <v>43551.750694444403</v>
      </c>
      <c r="J11223" s="23" t="str">
        <f>HYPERLINK("https://www.spark-marketing.ru/Card/Person/6397508", "ООО ""РЕМСТРОЙПРОЕКТ""")</f>
        <v>ООО "РЕМСТРОЙПРОЕКТ"</v>
      </c>
      <c r="K11223" s="24" t="s">
        <v>13509</v>
      </c>
      <c r="L11223" s="22" t="s">
        <v>10</v>
      </c>
      <c r="M11223" s="25">
        <v>4751558.38</v>
      </c>
      <c r="N11223" s="27">
        <v>0.13000001332952138</v>
      </c>
    </row>
    <row r="11224" spans="1:14" hidden="1" outlineLevel="1" x14ac:dyDescent="0.2">
      <c r="A11224" s="23" t="str">
        <f>HYPERLINK("https://www.spark-marketing.ru/Card/Person/13952", "СПБ ГБУЗ ""ГОРОДСКАЯ БОЛЬНИЦА № 14""")</f>
        <v>СПБ ГБУЗ "ГОРОДСКАЯ БОЛЬНИЦА № 14"</v>
      </c>
      <c r="B11224" s="24" t="s">
        <v>13507</v>
      </c>
      <c r="C11224" s="25">
        <v>5461561.4400000004</v>
      </c>
      <c r="D11224" s="22" t="s">
        <v>13508</v>
      </c>
      <c r="E11224" s="22" t="s">
        <v>59</v>
      </c>
      <c r="F11224" s="23" t="str">
        <f>HYPERLINK("https://www.spark-marketing.ru/Card/Lot/69076376", "Выполнение работ по установке системы видеонаблюдения в СПб ГБУЗ ""Городская больница №14""")</f>
        <v>Выполнение работ по установке системы видеонаблюдения в СПб ГБУЗ "Городская больница №14"</v>
      </c>
      <c r="G11224" s="22" t="s">
        <v>89</v>
      </c>
      <c r="H11224" s="22" t="s">
        <v>89</v>
      </c>
      <c r="I11224" s="26">
        <v>43551.750694444403</v>
      </c>
      <c r="J11224" s="23" t="str">
        <f>HYPERLINK("https://www.spark-marketing.ru/Card/Person/6464664", "ООО ""АРКОНА""")</f>
        <v>ООО "АРКОНА"</v>
      </c>
      <c r="K11224" s="24" t="s">
        <v>13510</v>
      </c>
      <c r="L11224" s="28" t="s">
        <v>52</v>
      </c>
      <c r="M11224" s="25">
        <v>5434253.6299999999</v>
      </c>
      <c r="N11224" s="27">
        <v>5.0000005126738991E-3</v>
      </c>
    </row>
    <row r="11225" spans="1:14" hidden="1" outlineLevel="1" x14ac:dyDescent="0.2">
      <c r="A11225" s="23" t="str">
        <f>HYPERLINK("https://www.spark-marketing.ru/Card/Person/13952", "СПБ ГБУЗ ""ГОРОДСКАЯ БОЛЬНИЦА № 14""")</f>
        <v>СПБ ГБУЗ "ГОРОДСКАЯ БОЛЬНИЦА № 14"</v>
      </c>
      <c r="B11225" s="24" t="s">
        <v>13507</v>
      </c>
      <c r="C11225" s="25">
        <v>5461561.4400000004</v>
      </c>
      <c r="D11225" s="22" t="s">
        <v>13508</v>
      </c>
      <c r="E11225" s="22" t="s">
        <v>59</v>
      </c>
      <c r="F11225" s="23" t="str">
        <f>HYPERLINK("https://www.spark-marketing.ru/Card/Lot/69076376", "Выполнение работ по установке системы видеонаблюдения в СПб ГБУЗ ""Городская больница №14""")</f>
        <v>Выполнение работ по установке системы видеонаблюдения в СПб ГБУЗ "Городская больница №14"</v>
      </c>
      <c r="G11225" s="22" t="s">
        <v>89</v>
      </c>
      <c r="H11225" s="22" t="s">
        <v>89</v>
      </c>
      <c r="I11225" s="26">
        <v>43551.750694444403</v>
      </c>
      <c r="J11225" s="23" t="str">
        <f>HYPERLINK("https://www.spark-marketing.ru/Card/Person/115382", "ООО ""КОМПАКТ-ПЛЮС""")</f>
        <v>ООО "КОМПАКТ-ПЛЮС"</v>
      </c>
      <c r="K11225" s="24" t="s">
        <v>13511</v>
      </c>
      <c r="L11225" s="28" t="s">
        <v>52</v>
      </c>
      <c r="M11225" s="25">
        <v>4778866.1900000004</v>
      </c>
      <c r="N11225" s="27">
        <v>0.12500001281684747</v>
      </c>
    </row>
    <row r="11226" spans="1:14" x14ac:dyDescent="0.15">
      <c r="A11226" s="23" t="str">
        <f>HYPERLINK("https://www.spark-marketing.ru/Card/Person/4343740", "МИНЗДРАВ РОССИИ")</f>
        <v>МИНЗДРАВ РОССИИ</v>
      </c>
      <c r="B11226" s="24" t="s">
        <v>1666</v>
      </c>
      <c r="C11226" s="25">
        <v>803868894.17999995</v>
      </c>
      <c r="D11226" s="22" t="s">
        <v>13512</v>
      </c>
      <c r="E11226" s="22" t="s">
        <v>53</v>
      </c>
      <c r="F11226" s="23" t="str">
        <f>HYPERLINK("https://www.spark-marketing.ru/Card/Lot/69077472", "Интерферон бета-1а, раствор для подкожного введения, 44 мкг (12 млн МЕ)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f>
        <v>Интерферон бета-1а, раствор для подкожного введения, 44 мкг (12 млн МЕ)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v>
      </c>
      <c r="G11226" s="22" t="s">
        <v>428</v>
      </c>
      <c r="H11226" s="22" t="s">
        <v>429</v>
      </c>
      <c r="I11226" s="26">
        <v>43551.781944444403</v>
      </c>
      <c r="J11226" s="23" t="str">
        <f>HYPERLINK("https://www.spark-marketing.ru/Card/Person/63594", "ООО ""БИОКАД-ФАРМ""")</f>
        <v>ООО "БИОКАД-ФАРМ"</v>
      </c>
      <c r="K11226" s="24" t="s">
        <v>11566</v>
      </c>
      <c r="L11226" s="22" t="s">
        <v>10</v>
      </c>
      <c r="M11226" s="28" t="s">
        <v>52</v>
      </c>
      <c r="N11226" s="28" t="s">
        <v>52</v>
      </c>
    </row>
    <row r="11227" spans="1:14" x14ac:dyDescent="0.15">
      <c r="A11227" s="23" t="str">
        <f>HYPERLINK("https://www.spark-marketing.ru/Card/Person/4343740", "МИНЗДРАВ РОССИИ")</f>
        <v>МИНЗДРАВ РОССИИ</v>
      </c>
      <c r="B11227" s="24" t="s">
        <v>1666</v>
      </c>
      <c r="C11227" s="25">
        <v>14175684.57</v>
      </c>
      <c r="D11227" s="22" t="s">
        <v>13513</v>
      </c>
      <c r="E11227" s="22" t="s">
        <v>53</v>
      </c>
      <c r="F11227" s="23" t="str">
        <f>HYPERLINK("https://www.spark-marketing.ru/Card/Lot/69077376", "Адалимумаб, раствор для подкожного введения, 40 мг/0,4 мл, 0,400 мл и/или  40 мг/0,8 мл, 0,800 мл  в рамках реализации постановления Правительства Российской Федерации от 26.11.2018 № 1416 ""О порядке организации обеспечения лекарственными препаратам...")</f>
        <v>Адалимумаб, раствор для подкожного введения, 40 мг/0,4 мл, 0,400 мл и/или  40 мг/0,8 мл, 0,800 мл  в рамках реализации постановления Правительства Российской Федерации от 26.11.2018 № 1416 "О порядке организации обеспечения лекарственными препаратам...</v>
      </c>
      <c r="G11227" s="22" t="s">
        <v>428</v>
      </c>
      <c r="H11227" s="22" t="s">
        <v>429</v>
      </c>
      <c r="I11227" s="26">
        <v>43551.782638888901</v>
      </c>
      <c r="J11227" s="23" t="str">
        <f>HYPERLINK("https://www.spark-marketing.ru/Card/Person/4345864", "АО ""Р-ФАРМ""")</f>
        <v>АО "Р-ФАРМ"</v>
      </c>
      <c r="K11227" s="24" t="s">
        <v>5343</v>
      </c>
      <c r="L11227" s="22" t="s">
        <v>10</v>
      </c>
      <c r="M11227" s="28" t="s">
        <v>52</v>
      </c>
      <c r="N11227" s="28" t="s">
        <v>52</v>
      </c>
    </row>
    <row r="11228" spans="1:14" x14ac:dyDescent="0.15">
      <c r="A11228" s="23" t="str">
        <f t="shared" ref="A11228:A11240" si="562">HYPERLINK("https://www.spark-marketing.ru/Card/Person/4355066", "ГБУЗС ""ГОРОДСКАЯ БОЛЬНИЦА №3 ИМ. ДАШИ СЕВАСТОПОЛЬСКОЙ""")</f>
        <v>ГБУЗС "ГОРОДСКАЯ БОЛЬНИЦА №3 ИМ. ДАШИ СЕВАСТОПОЛЬСКОЙ"</v>
      </c>
      <c r="B11228" s="24" t="s">
        <v>13514</v>
      </c>
      <c r="C11228" s="25">
        <v>287750</v>
      </c>
      <c r="D11228" s="22" t="s">
        <v>13515</v>
      </c>
      <c r="E11228" s="22" t="s">
        <v>107</v>
      </c>
      <c r="F11228" s="23" t="str">
        <f t="shared" ref="F11228:F11240" si="563">HYPERLINK("https://www.spark-marketing.ru/Card/Lot/69073641", "на оказание услуг по техническому обслуживанию системы охранного видеонаблюдения")</f>
        <v>на оказание услуг по техническому обслуживанию системы охранного видеонаблюдения</v>
      </c>
      <c r="G11228" s="22" t="s">
        <v>714</v>
      </c>
      <c r="H11228" s="22" t="s">
        <v>714</v>
      </c>
      <c r="I11228" s="26">
        <v>43551.710416666698</v>
      </c>
      <c r="J11228" s="28" t="s">
        <v>52</v>
      </c>
      <c r="K11228" s="28" t="s">
        <v>52</v>
      </c>
      <c r="L11228" s="28" t="s">
        <v>52</v>
      </c>
      <c r="M11228" s="28" t="s">
        <v>52</v>
      </c>
      <c r="N11228" s="28" t="s">
        <v>52</v>
      </c>
    </row>
    <row r="11229" spans="1:14" hidden="1" outlineLevel="1" x14ac:dyDescent="0.2">
      <c r="A11229" s="23" t="str">
        <f t="shared" si="562"/>
        <v>ГБУЗС "ГОРОДСКАЯ БОЛЬНИЦА №3 ИМ. ДАШИ СЕВАСТОПОЛЬСКОЙ"</v>
      </c>
      <c r="B11229" s="24" t="s">
        <v>13514</v>
      </c>
      <c r="C11229" s="25">
        <v>287750</v>
      </c>
      <c r="D11229" s="22" t="s">
        <v>13515</v>
      </c>
      <c r="E11229" s="22" t="s">
        <v>107</v>
      </c>
      <c r="F11229" s="23" t="str">
        <f t="shared" si="563"/>
        <v>на оказание услуг по техническому обслуживанию системы охранного видеонаблюдения</v>
      </c>
      <c r="G11229" s="22" t="s">
        <v>714</v>
      </c>
      <c r="H11229" s="22" t="s">
        <v>714</v>
      </c>
      <c r="I11229" s="26">
        <v>43551.710416666698</v>
      </c>
      <c r="J11229" s="23" t="str">
        <f>HYPERLINK("https://www.spark-marketing.ru/Card/Person/943554", "ООО ""ОМЕГА ТЕХНИКС""")</f>
        <v>ООО "ОМЕГА ТЕХНИКС"</v>
      </c>
      <c r="K11229" s="24" t="s">
        <v>13516</v>
      </c>
      <c r="L11229" s="28" t="s">
        <v>52</v>
      </c>
      <c r="M11229" s="25">
        <v>81205</v>
      </c>
      <c r="N11229" s="27">
        <v>0.71779322328410078</v>
      </c>
    </row>
    <row r="11230" spans="1:14" hidden="1" outlineLevel="1" x14ac:dyDescent="0.2">
      <c r="A11230" s="23" t="str">
        <f t="shared" si="562"/>
        <v>ГБУЗС "ГОРОДСКАЯ БОЛЬНИЦА №3 ИМ. ДАШИ СЕВАСТОПОЛЬСКОЙ"</v>
      </c>
      <c r="B11230" s="24" t="s">
        <v>13514</v>
      </c>
      <c r="C11230" s="25">
        <v>287750</v>
      </c>
      <c r="D11230" s="22" t="s">
        <v>13515</v>
      </c>
      <c r="E11230" s="22" t="s">
        <v>107</v>
      </c>
      <c r="F11230" s="23" t="str">
        <f t="shared" si="563"/>
        <v>на оказание услуг по техническому обслуживанию системы охранного видеонаблюдения</v>
      </c>
      <c r="G11230" s="22" t="s">
        <v>714</v>
      </c>
      <c r="H11230" s="22" t="s">
        <v>714</v>
      </c>
      <c r="I11230" s="26">
        <v>43551.710416666698</v>
      </c>
      <c r="J11230" s="23" t="str">
        <f>HYPERLINK("https://www.spark-marketing.ru/Card/Person/1663779", "ООО ""ТАВРИДА-СБ""")</f>
        <v>ООО "ТАВРИДА-СБ"</v>
      </c>
      <c r="K11230" s="24" t="s">
        <v>13517</v>
      </c>
      <c r="L11230" s="28" t="s">
        <v>52</v>
      </c>
      <c r="M11230" s="25">
        <v>43797.5</v>
      </c>
      <c r="N11230" s="27">
        <v>0.84779322328410078</v>
      </c>
    </row>
    <row r="11231" spans="1:14" hidden="1" outlineLevel="1" x14ac:dyDescent="0.2">
      <c r="A11231" s="23" t="str">
        <f t="shared" si="562"/>
        <v>ГБУЗС "ГОРОДСКАЯ БОЛЬНИЦА №3 ИМ. ДАШИ СЕВАСТОПОЛЬСКОЙ"</v>
      </c>
      <c r="B11231" s="24" t="s">
        <v>13514</v>
      </c>
      <c r="C11231" s="25">
        <v>287750</v>
      </c>
      <c r="D11231" s="22" t="s">
        <v>13515</v>
      </c>
      <c r="E11231" s="22" t="s">
        <v>107</v>
      </c>
      <c r="F11231" s="23" t="str">
        <f t="shared" si="563"/>
        <v>на оказание услуг по техническому обслуживанию системы охранного видеонаблюдения</v>
      </c>
      <c r="G11231" s="22" t="s">
        <v>714</v>
      </c>
      <c r="H11231" s="22" t="s">
        <v>714</v>
      </c>
      <c r="I11231" s="26">
        <v>43551.710416666698</v>
      </c>
      <c r="J11231" s="23" t="str">
        <f>HYPERLINK("https://www.spark-marketing.ru/Card/Person/6469288", "ООО ""ИНЖЕНЕРНЫЕ РЕШЕНИЯ""")</f>
        <v>ООО "ИНЖЕНЕРНЫЕ РЕШЕНИЯ"</v>
      </c>
      <c r="K11231" s="24" t="s">
        <v>13518</v>
      </c>
      <c r="L11231" s="28" t="s">
        <v>52</v>
      </c>
      <c r="M11231" s="25">
        <v>191225</v>
      </c>
      <c r="N11231" s="27">
        <v>0.33544743701129454</v>
      </c>
    </row>
    <row r="11232" spans="1:14" hidden="1" outlineLevel="1" x14ac:dyDescent="0.2">
      <c r="A11232" s="23" t="str">
        <f t="shared" si="562"/>
        <v>ГБУЗС "ГОРОДСКАЯ БОЛЬНИЦА №3 ИМ. ДАШИ СЕВАСТОПОЛЬСКОЙ"</v>
      </c>
      <c r="B11232" s="24" t="s">
        <v>13514</v>
      </c>
      <c r="C11232" s="25">
        <v>287750</v>
      </c>
      <c r="D11232" s="22" t="s">
        <v>13515</v>
      </c>
      <c r="E11232" s="22" t="s">
        <v>107</v>
      </c>
      <c r="F11232" s="23" t="str">
        <f t="shared" si="563"/>
        <v>на оказание услуг по техническому обслуживанию системы охранного видеонаблюдения</v>
      </c>
      <c r="G11232" s="22" t="s">
        <v>714</v>
      </c>
      <c r="H11232" s="22" t="s">
        <v>714</v>
      </c>
      <c r="I11232" s="26">
        <v>43551.710416666698</v>
      </c>
      <c r="J11232" s="23" t="str">
        <f>HYPERLINK("https://www.spark-marketing.ru/Card/Person/4756820", "Брагина Марина Викторовна")</f>
        <v>Брагина Марина Викторовна</v>
      </c>
      <c r="K11232" s="24" t="s">
        <v>13519</v>
      </c>
      <c r="L11232" s="28" t="s">
        <v>52</v>
      </c>
      <c r="M11232" s="25">
        <v>135000</v>
      </c>
      <c r="N11232" s="27">
        <v>0.53084274543874888</v>
      </c>
    </row>
    <row r="11233" spans="1:14" hidden="1" outlineLevel="1" x14ac:dyDescent="0.2">
      <c r="A11233" s="23" t="str">
        <f t="shared" si="562"/>
        <v>ГБУЗС "ГОРОДСКАЯ БОЛЬНИЦА №3 ИМ. ДАШИ СЕВАСТОПОЛЬСКОЙ"</v>
      </c>
      <c r="B11233" s="24" t="s">
        <v>13514</v>
      </c>
      <c r="C11233" s="25">
        <v>287750</v>
      </c>
      <c r="D11233" s="22" t="s">
        <v>13515</v>
      </c>
      <c r="E11233" s="22" t="s">
        <v>107</v>
      </c>
      <c r="F11233" s="23" t="str">
        <f t="shared" si="563"/>
        <v>на оказание услуг по техническому обслуживанию системы охранного видеонаблюдения</v>
      </c>
      <c r="G11233" s="22" t="s">
        <v>714</v>
      </c>
      <c r="H11233" s="22" t="s">
        <v>714</v>
      </c>
      <c r="I11233" s="26">
        <v>43551.710416666698</v>
      </c>
      <c r="J11233" s="23" t="str">
        <f>HYPERLINK("https://www.spark-marketing.ru/Card/Person/934169", "ООО ""СЕВСТАР ИТ""")</f>
        <v>ООО "СЕВСТАР ИТ"</v>
      </c>
      <c r="K11233" s="24" t="s">
        <v>13520</v>
      </c>
      <c r="L11233" s="28" t="s">
        <v>52</v>
      </c>
      <c r="M11233" s="25">
        <v>79766.25</v>
      </c>
      <c r="N11233" s="27">
        <v>0.72279322328410078</v>
      </c>
    </row>
    <row r="11234" spans="1:14" hidden="1" outlineLevel="1" x14ac:dyDescent="0.2">
      <c r="A11234" s="23" t="str">
        <f t="shared" si="562"/>
        <v>ГБУЗС "ГОРОДСКАЯ БОЛЬНИЦА №3 ИМ. ДАШИ СЕВАСТОПОЛЬСКОЙ"</v>
      </c>
      <c r="B11234" s="24" t="s">
        <v>13514</v>
      </c>
      <c r="C11234" s="25">
        <v>287750</v>
      </c>
      <c r="D11234" s="22" t="s">
        <v>13515</v>
      </c>
      <c r="E11234" s="22" t="s">
        <v>107</v>
      </c>
      <c r="F11234" s="23" t="str">
        <f t="shared" si="563"/>
        <v>на оказание услуг по техническому обслуживанию системы охранного видеонаблюдения</v>
      </c>
      <c r="G11234" s="22" t="s">
        <v>714</v>
      </c>
      <c r="H11234" s="22" t="s">
        <v>714</v>
      </c>
      <c r="I11234" s="26">
        <v>43551.710416666698</v>
      </c>
      <c r="J11234" s="23" t="str">
        <f>HYPERLINK("https://www.spark-marketing.ru/Card/Person/6050658", "Самохин Александр Сергеевич")</f>
        <v>Самохин Александр Сергеевич</v>
      </c>
      <c r="K11234" s="24" t="s">
        <v>13521</v>
      </c>
      <c r="L11234" s="28" t="s">
        <v>52</v>
      </c>
      <c r="M11234" s="25">
        <v>22216.25</v>
      </c>
      <c r="N11234" s="27">
        <v>0.92279322328410074</v>
      </c>
    </row>
    <row r="11235" spans="1:14" hidden="1" outlineLevel="1" x14ac:dyDescent="0.2">
      <c r="A11235" s="23" t="str">
        <f t="shared" si="562"/>
        <v>ГБУЗС "ГОРОДСКАЯ БОЛЬНИЦА №3 ИМ. ДАШИ СЕВАСТОПОЛЬСКОЙ"</v>
      </c>
      <c r="B11235" s="24" t="s">
        <v>13514</v>
      </c>
      <c r="C11235" s="25">
        <v>287750</v>
      </c>
      <c r="D11235" s="22" t="s">
        <v>13515</v>
      </c>
      <c r="E11235" s="22" t="s">
        <v>107</v>
      </c>
      <c r="F11235" s="23" t="str">
        <f t="shared" si="563"/>
        <v>на оказание услуг по техническому обслуживанию системы охранного видеонаблюдения</v>
      </c>
      <c r="G11235" s="22" t="s">
        <v>714</v>
      </c>
      <c r="H11235" s="22" t="s">
        <v>714</v>
      </c>
      <c r="I11235" s="26">
        <v>43551.710416666698</v>
      </c>
      <c r="J11235" s="23" t="str">
        <f>HYPERLINK("https://www.spark-marketing.ru/Card/Person/471054", "ООО ""СИСТЕМА БЕЗОПАСНОСТИ""")</f>
        <v>ООО "СИСТЕМА БЕЗОПАСНОСТИ"</v>
      </c>
      <c r="K11235" s="24" t="s">
        <v>13522</v>
      </c>
      <c r="L11235" s="28" t="s">
        <v>52</v>
      </c>
      <c r="M11235" s="25">
        <v>283433.75</v>
      </c>
      <c r="N11235" s="27">
        <v>1.4999999999999999E-2</v>
      </c>
    </row>
    <row r="11236" spans="1:14" hidden="1" outlineLevel="1" x14ac:dyDescent="0.2">
      <c r="A11236" s="23" t="str">
        <f t="shared" si="562"/>
        <v>ГБУЗС "ГОРОДСКАЯ БОЛЬНИЦА №3 ИМ. ДАШИ СЕВАСТОПОЛЬСКОЙ"</v>
      </c>
      <c r="B11236" s="24" t="s">
        <v>13514</v>
      </c>
      <c r="C11236" s="25">
        <v>287750</v>
      </c>
      <c r="D11236" s="22" t="s">
        <v>13515</v>
      </c>
      <c r="E11236" s="22" t="s">
        <v>107</v>
      </c>
      <c r="F11236" s="23" t="str">
        <f t="shared" si="563"/>
        <v>на оказание услуг по техническому обслуживанию системы охранного видеонаблюдения</v>
      </c>
      <c r="G11236" s="22" t="s">
        <v>714</v>
      </c>
      <c r="H11236" s="22" t="s">
        <v>714</v>
      </c>
      <c r="I11236" s="26">
        <v>43551.710416666698</v>
      </c>
      <c r="J11236" s="23" t="str">
        <f>HYPERLINK("https://www.spark-marketing.ru/Card/Person/4855004", "Бакши Игорь Анатольевич")</f>
        <v>Бакши Игорь Анатольевич</v>
      </c>
      <c r="K11236" s="24" t="s">
        <v>10078</v>
      </c>
      <c r="L11236" s="28" t="s">
        <v>52</v>
      </c>
      <c r="M11236" s="25">
        <v>99908.75</v>
      </c>
      <c r="N11236" s="27">
        <v>0.65279322328410083</v>
      </c>
    </row>
    <row r="11237" spans="1:14" hidden="1" outlineLevel="1" x14ac:dyDescent="0.2">
      <c r="A11237" s="23" t="str">
        <f t="shared" si="562"/>
        <v>ГБУЗС "ГОРОДСКАЯ БОЛЬНИЦА №3 ИМ. ДАШИ СЕВАСТОПОЛЬСКОЙ"</v>
      </c>
      <c r="B11237" s="24" t="s">
        <v>13514</v>
      </c>
      <c r="C11237" s="25">
        <v>287750</v>
      </c>
      <c r="D11237" s="22" t="s">
        <v>13515</v>
      </c>
      <c r="E11237" s="22" t="s">
        <v>107</v>
      </c>
      <c r="F11237" s="23" t="str">
        <f t="shared" si="563"/>
        <v>на оказание услуг по техническому обслуживанию системы охранного видеонаблюдения</v>
      </c>
      <c r="G11237" s="22" t="s">
        <v>714</v>
      </c>
      <c r="H11237" s="22" t="s">
        <v>714</v>
      </c>
      <c r="I11237" s="26">
        <v>43551.710416666698</v>
      </c>
      <c r="J11237" s="23" t="str">
        <f>HYPERLINK("https://www.spark-marketing.ru/Card/Person/6516144", "ООО ""ИНСТАЛЛЕКС""")</f>
        <v>ООО "ИНСТАЛЛЕКС"</v>
      </c>
      <c r="K11237" s="24" t="s">
        <v>12961</v>
      </c>
      <c r="L11237" s="28" t="s">
        <v>52</v>
      </c>
      <c r="M11237" s="25">
        <v>58184.99</v>
      </c>
      <c r="N11237" s="27">
        <v>0.79779325803649004</v>
      </c>
    </row>
    <row r="11238" spans="1:14" hidden="1" outlineLevel="1" x14ac:dyDescent="0.2">
      <c r="A11238" s="23" t="str">
        <f t="shared" si="562"/>
        <v>ГБУЗС "ГОРОДСКАЯ БОЛЬНИЦА №3 ИМ. ДАШИ СЕВАСТОПОЛЬСКОЙ"</v>
      </c>
      <c r="B11238" s="24" t="s">
        <v>13514</v>
      </c>
      <c r="C11238" s="25">
        <v>287750</v>
      </c>
      <c r="D11238" s="22" t="s">
        <v>13515</v>
      </c>
      <c r="E11238" s="22" t="s">
        <v>107</v>
      </c>
      <c r="F11238" s="23" t="str">
        <f t="shared" si="563"/>
        <v>на оказание услуг по техническому обслуживанию системы охранного видеонаблюдения</v>
      </c>
      <c r="G11238" s="22" t="s">
        <v>714</v>
      </c>
      <c r="H11238" s="22" t="s">
        <v>714</v>
      </c>
      <c r="I11238" s="26">
        <v>43551.710416666698</v>
      </c>
      <c r="J11238" s="23" t="str">
        <f>HYPERLINK("https://www.spark-marketing.ru/Card/Person/4707295", "ООО ""СКБ""")</f>
        <v>ООО "СКБ"</v>
      </c>
      <c r="K11238" s="24" t="s">
        <v>13523</v>
      </c>
      <c r="L11238" s="28" t="s">
        <v>52</v>
      </c>
      <c r="M11238" s="25">
        <v>95592.5</v>
      </c>
      <c r="N11238" s="27">
        <v>0.66779322328410073</v>
      </c>
    </row>
    <row r="11239" spans="1:14" hidden="1" outlineLevel="1" x14ac:dyDescent="0.2">
      <c r="A11239" s="23" t="str">
        <f t="shared" si="562"/>
        <v>ГБУЗС "ГОРОДСКАЯ БОЛЬНИЦА №3 ИМ. ДАШИ СЕВАСТОПОЛЬСКОЙ"</v>
      </c>
      <c r="B11239" s="24" t="s">
        <v>13514</v>
      </c>
      <c r="C11239" s="25">
        <v>287750</v>
      </c>
      <c r="D11239" s="22" t="s">
        <v>13515</v>
      </c>
      <c r="E11239" s="22" t="s">
        <v>107</v>
      </c>
      <c r="F11239" s="23" t="str">
        <f t="shared" si="563"/>
        <v>на оказание услуг по техническому обслуживанию системы охранного видеонаблюдения</v>
      </c>
      <c r="G11239" s="22" t="s">
        <v>714</v>
      </c>
      <c r="H11239" s="22" t="s">
        <v>714</v>
      </c>
      <c r="I11239" s="26">
        <v>43551.710416666698</v>
      </c>
      <c r="J11239" s="23" t="str">
        <f>HYPERLINK("https://www.spark-marketing.ru/Card/Person/6407786", "Педченко Алена Ивановна")</f>
        <v>Педченко Алена Ивановна</v>
      </c>
      <c r="K11239" s="24" t="s">
        <v>13524</v>
      </c>
      <c r="L11239" s="28" t="s">
        <v>52</v>
      </c>
      <c r="M11239" s="25">
        <v>133000</v>
      </c>
      <c r="N11239" s="27">
        <v>0.53779322328410073</v>
      </c>
    </row>
    <row r="11240" spans="1:14" ht="12.75" hidden="1" outlineLevel="1" x14ac:dyDescent="0.2">
      <c r="A11240" s="23" t="str">
        <f t="shared" si="562"/>
        <v>ГБУЗС "ГОРОДСКАЯ БОЛЬНИЦА №3 ИМ. ДАШИ СЕВАСТОПОЛЬСКОЙ"</v>
      </c>
      <c r="B11240" s="24" t="s">
        <v>13514</v>
      </c>
      <c r="C11240" s="25">
        <v>287750</v>
      </c>
      <c r="D11240" s="22" t="s">
        <v>13515</v>
      </c>
      <c r="E11240" s="22" t="s">
        <v>107</v>
      </c>
      <c r="F11240" s="23" t="str">
        <f t="shared" si="563"/>
        <v>на оказание услуг по техническому обслуживанию системы охранного видеонаблюдения</v>
      </c>
      <c r="G11240" s="22" t="s">
        <v>714</v>
      </c>
      <c r="H11240" s="22" t="s">
        <v>714</v>
      </c>
      <c r="I11240" s="26">
        <v>43551.710416666698</v>
      </c>
      <c r="J11240" s="23" t="str">
        <f>HYPERLINK("https://www.spark-marketing.ru/Card/Person/6393552", "ООО ""ОЛИМП""")</f>
        <v>ООО "ОЛИМП"</v>
      </c>
      <c r="K11240" s="24" t="s">
        <v>13525</v>
      </c>
      <c r="L11240" s="22" t="s">
        <v>10</v>
      </c>
      <c r="M11240" s="25">
        <v>20777.5</v>
      </c>
      <c r="N11240" s="27">
        <v>0.92779322328410074</v>
      </c>
    </row>
    <row r="11241" spans="1:14" x14ac:dyDescent="0.15">
      <c r="A11241" s="23" t="str">
        <f>HYPERLINK("https://www.spark-marketing.ru/Card/Person/4348813", "АО ""РЖДСТРОЙ""")</f>
        <v>АО "РЖДСТРОЙ"</v>
      </c>
      <c r="B11241" s="24" t="s">
        <v>975</v>
      </c>
      <c r="C11241" s="25">
        <v>1197385.6399999999</v>
      </c>
      <c r="D11241" s="22" t="s">
        <v>13526</v>
      </c>
      <c r="E11241" s="22" t="s">
        <v>5691</v>
      </c>
      <c r="F11241" s="23" t="str">
        <f>HYPERLINK("https://www.spark-marketing.ru/Card/Lot/69077855", "Оказание услуг по геодезическому сопровождению объекта: ""КОМПЛЕКСНАЯ РЕКОНСТРУКЦИЯ УЧАСТКА ИМ.МАКСИМА ГОРЬКОГО-КОТЕЛЬНИКОВО ПРИВОЛЖСКОЙ Ж.Д.СТРОИТЕЛЬСТВО ВТОРОГО ГЛАВНОГО ПУТИ НА УЧАСТКЕ ИМ.МАКСИМА ГОРЬКОГО-ГОРНОПОЛЯНСКИЙ""")</f>
        <v>Оказание услуг по геодезическому сопровождению объекта: "КОМПЛЕКСНАЯ РЕКОНСТРУКЦИЯ УЧАСТКА ИМ.МАКСИМА ГОРЬКОГО-КОТЕЛЬНИКОВО ПРИВОЛЖСКОЙ Ж.Д.СТРОИТЕЛЬСТВО ВТОРОГО ГЛАВНОГО ПУТИ НА УЧАСТКЕ ИМ.МАКСИМА ГОРЬКОГО-ГОРНОПОЛЯНСКИЙ"</v>
      </c>
      <c r="G11241" s="22" t="s">
        <v>343</v>
      </c>
      <c r="H11241" s="22" t="s">
        <v>343</v>
      </c>
      <c r="I11241" s="26">
        <v>43551.738194444399</v>
      </c>
      <c r="J11241" s="28" t="s">
        <v>52</v>
      </c>
      <c r="K11241" s="28" t="s">
        <v>52</v>
      </c>
      <c r="L11241" s="28" t="s">
        <v>52</v>
      </c>
      <c r="M11241" s="28" t="s">
        <v>52</v>
      </c>
      <c r="N11241" s="28" t="s">
        <v>52</v>
      </c>
    </row>
    <row r="11242" spans="1:14" hidden="1" outlineLevel="1" x14ac:dyDescent="0.15">
      <c r="A11242" s="23" t="str">
        <f>HYPERLINK("https://www.spark-marketing.ru/Card/Person/4348813", "АО ""РЖДСТРОЙ""")</f>
        <v>АО "РЖДСТРОЙ"</v>
      </c>
      <c r="B11242" s="24" t="s">
        <v>975</v>
      </c>
      <c r="C11242" s="28" t="s">
        <v>52</v>
      </c>
      <c r="D11242" s="22" t="s">
        <v>13526</v>
      </c>
      <c r="E11242" s="22" t="s">
        <v>5691</v>
      </c>
      <c r="F11242" s="23" t="str">
        <f>HYPERLINK("https://www.spark-marketing.ru/Card/Lot/69077855", "Оказание услуг по геодезическому сопровождению объекта: ""КОМПЛЕКСНАЯ РЕКОНСТРУКЦИЯ УЧАСТКА ИМ.МАКСИМА ГОРЬКОГО-КОТЕЛЬНИКОВО ПРИВОЛЖСКОЙ Ж.Д.СТРОИТЕЛЬСТВО ВТОРОГО ГЛАВНОГО ПУТИ НА УЧАСТКЕ ИМ.МАКСИМА ГОРЬКОГО-ГОРНОПОЛЯНСКИЙ""")</f>
        <v>Оказание услуг по геодезическому сопровождению объекта: "КОМПЛЕКСНАЯ РЕКОНСТРУКЦИЯ УЧАСТКА ИМ.МАКСИМА ГОРЬКОГО-КОТЕЛЬНИКОВО ПРИВОЛЖСКОЙ Ж.Д.СТРОИТЕЛЬСТВО ВТОРОГО ГЛАВНОГО ПУТИ НА УЧАСТКЕ ИМ.МАКСИМА ГОРЬКОГО-ГОРНОПОЛЯНСКИЙ"</v>
      </c>
      <c r="G11242" s="22" t="s">
        <v>343</v>
      </c>
      <c r="H11242" s="22" t="s">
        <v>343</v>
      </c>
      <c r="I11242" s="26">
        <v>43551.738194444399</v>
      </c>
      <c r="J11242" s="23" t="str">
        <f>HYPERLINK("https://www.spark-marketing.ru/Card/Person/-1", "неизвестно")</f>
        <v>неизвестно</v>
      </c>
      <c r="K11242" s="28" t="s">
        <v>52</v>
      </c>
      <c r="L11242" s="28" t="s">
        <v>52</v>
      </c>
      <c r="M11242" s="28" t="s">
        <v>52</v>
      </c>
      <c r="N11242" s="28" t="s">
        <v>52</v>
      </c>
    </row>
    <row r="11243" spans="1:14" hidden="1" outlineLevel="1" x14ac:dyDescent="0.15">
      <c r="A11243" s="23" t="str">
        <f>HYPERLINK("https://www.spark-marketing.ru/Card/Person/4348813", "АО ""РЖДСТРОЙ""")</f>
        <v>АО "РЖДСТРОЙ"</v>
      </c>
      <c r="B11243" s="24" t="s">
        <v>975</v>
      </c>
      <c r="C11243" s="28" t="s">
        <v>52</v>
      </c>
      <c r="D11243" s="22" t="s">
        <v>13526</v>
      </c>
      <c r="E11243" s="22" t="s">
        <v>5691</v>
      </c>
      <c r="F11243" s="23" t="str">
        <f>HYPERLINK("https://www.spark-marketing.ru/Card/Lot/69077855", "Оказание услуг по геодезическому сопровождению объекта: ""КОМПЛЕКСНАЯ РЕКОНСТРУКЦИЯ УЧАСТКА ИМ.МАКСИМА ГОРЬКОГО-КОТЕЛЬНИКОВО ПРИВОЛЖСКОЙ Ж.Д.СТРОИТЕЛЬСТВО ВТОРОГО ГЛАВНОГО ПУТИ НА УЧАСТКЕ ИМ.МАКСИМА ГОРЬКОГО-ГОРНОПОЛЯНСКИЙ""")</f>
        <v>Оказание услуг по геодезическому сопровождению объекта: "КОМПЛЕКСНАЯ РЕКОНСТРУКЦИЯ УЧАСТКА ИМ.МАКСИМА ГОРЬКОГО-КОТЕЛЬНИКОВО ПРИВОЛЖСКОЙ Ж.Д.СТРОИТЕЛЬСТВО ВТОРОГО ГЛАВНОГО ПУТИ НА УЧАСТКЕ ИМ.МАКСИМА ГОРЬКОГО-ГОРНОПОЛЯНСКИЙ"</v>
      </c>
      <c r="G11243" s="22" t="s">
        <v>343</v>
      </c>
      <c r="H11243" s="22" t="s">
        <v>343</v>
      </c>
      <c r="I11243" s="26">
        <v>43551.738194444399</v>
      </c>
      <c r="J11243" s="23" t="str">
        <f>HYPERLINK("https://www.spark-marketing.ru/Card/Person/-1", "неизвестно")</f>
        <v>неизвестно</v>
      </c>
      <c r="K11243" s="28" t="s">
        <v>52</v>
      </c>
      <c r="L11243" s="28" t="s">
        <v>52</v>
      </c>
      <c r="M11243" s="28" t="s">
        <v>52</v>
      </c>
      <c r="N11243" s="28" t="s">
        <v>52</v>
      </c>
    </row>
    <row r="11244" spans="1:14" x14ac:dyDescent="0.15">
      <c r="A11244" s="23" t="str">
        <f>HYPERLINK("https://www.spark-marketing.ru/Card/Person/4348446", "ООО ""ТАИФ-НК АЗС""")</f>
        <v>ООО "ТАИФ-НК АЗС"</v>
      </c>
      <c r="B11244" s="24" t="s">
        <v>301</v>
      </c>
      <c r="C11244" s="25">
        <v>74753.02</v>
      </c>
      <c r="D11244" s="22" t="s">
        <v>13527</v>
      </c>
      <c r="E11244" s="22" t="s">
        <v>53</v>
      </c>
      <c r="F11244" s="23" t="str">
        <f>HYPERLINK("https://www.spark-marketing.ru/Card/Lot/69084635", "Выполнение работ по смете на объекте тип2")</f>
        <v>Выполнение работ по смете на объекте тип2</v>
      </c>
      <c r="G11244" s="22" t="s">
        <v>204</v>
      </c>
      <c r="H11244" s="22" t="s">
        <v>303</v>
      </c>
      <c r="I11244" s="26">
        <v>43551.713877314804</v>
      </c>
      <c r="J11244" s="28" t="s">
        <v>52</v>
      </c>
      <c r="K11244" s="28" t="s">
        <v>52</v>
      </c>
      <c r="L11244" s="28" t="s">
        <v>52</v>
      </c>
      <c r="M11244" s="28" t="s">
        <v>52</v>
      </c>
      <c r="N11244" s="28" t="s">
        <v>52</v>
      </c>
    </row>
    <row r="11245" spans="1:14" x14ac:dyDescent="0.15">
      <c r="A11245" s="23" t="str">
        <f>HYPERLINK("https://www.spark-marketing.ru/Card/Person/49931", "КГБУЗ ""БИРИЛЮССКАЯ РБ""")</f>
        <v>КГБУЗ "БИРИЛЮССКАЯ РБ"</v>
      </c>
      <c r="B11245" s="24" t="s">
        <v>13528</v>
      </c>
      <c r="C11245" s="25">
        <v>42600</v>
      </c>
      <c r="D11245" s="22" t="s">
        <v>13529</v>
      </c>
      <c r="E11245" s="22" t="s">
        <v>5799</v>
      </c>
      <c r="F11245" s="23" t="str">
        <f>HYPERLINK("https://www.spark-marketing.ru/Card/Lot/69066753", "Охрана объекта путем подключения на пульт централизованного подключения")</f>
        <v>Охрана объекта путем подключения на пульт централизованного подключения</v>
      </c>
      <c r="G11245" s="22" t="s">
        <v>640</v>
      </c>
      <c r="H11245" s="22" t="s">
        <v>13530</v>
      </c>
      <c r="I11245" s="26">
        <v>43551.735416666699</v>
      </c>
      <c r="J11245" s="28" t="s">
        <v>52</v>
      </c>
      <c r="K11245" s="28" t="s">
        <v>52</v>
      </c>
      <c r="L11245" s="28" t="s">
        <v>52</v>
      </c>
      <c r="M11245" s="28" t="s">
        <v>52</v>
      </c>
      <c r="N11245" s="28" t="s">
        <v>52</v>
      </c>
    </row>
    <row r="11246" spans="1:14" hidden="1" outlineLevel="1" x14ac:dyDescent="0.2">
      <c r="A11246" s="23" t="str">
        <f>HYPERLINK("https://www.spark-marketing.ru/Card/Person/49931", "КГБУЗ ""БИРИЛЮССКАЯ РБ""")</f>
        <v>КГБУЗ "БИРИЛЮССКАЯ РБ"</v>
      </c>
      <c r="B11246" s="24" t="s">
        <v>13528</v>
      </c>
      <c r="C11246" s="25">
        <v>42600</v>
      </c>
      <c r="D11246" s="22" t="s">
        <v>13529</v>
      </c>
      <c r="E11246" s="22" t="s">
        <v>5799</v>
      </c>
      <c r="F11246" s="23" t="str">
        <f>HYPERLINK("https://www.spark-marketing.ru/Card/Lot/69066753", "Охрана объекта путем подключения на пульт централизованного подключения")</f>
        <v>Охрана объекта путем подключения на пульт централизованного подключения</v>
      </c>
      <c r="G11246" s="22" t="s">
        <v>640</v>
      </c>
      <c r="H11246" s="22" t="s">
        <v>13530</v>
      </c>
      <c r="I11246" s="26">
        <v>43551.735416666699</v>
      </c>
      <c r="J11246" s="23" t="str">
        <f>HYPERLINK("https://www.spark-marketing.ru/Card/Person/34688", "ООО ЧОП ""ТЕМУЧИН-АЧИНСК""")</f>
        <v>ООО ЧОП "ТЕМУЧИН-АЧИНСК"</v>
      </c>
      <c r="K11246" s="24" t="s">
        <v>13531</v>
      </c>
      <c r="L11246" s="28" t="s">
        <v>52</v>
      </c>
      <c r="M11246" s="25">
        <v>42387</v>
      </c>
      <c r="N11246" s="27">
        <v>5.0000000000000001E-3</v>
      </c>
    </row>
    <row r="11247" spans="1:14" ht="12.75" hidden="1" outlineLevel="1" x14ac:dyDescent="0.2">
      <c r="A11247" s="23" t="str">
        <f>HYPERLINK("https://www.spark-marketing.ru/Card/Person/49931", "КГБУЗ ""БИРИЛЮССКАЯ РБ""")</f>
        <v>КГБУЗ "БИРИЛЮССКАЯ РБ"</v>
      </c>
      <c r="B11247" s="24" t="s">
        <v>13528</v>
      </c>
      <c r="C11247" s="25">
        <v>42600</v>
      </c>
      <c r="D11247" s="22" t="s">
        <v>13529</v>
      </c>
      <c r="E11247" s="22" t="s">
        <v>5799</v>
      </c>
      <c r="F11247" s="23" t="str">
        <f>HYPERLINK("https://www.spark-marketing.ru/Card/Lot/69066753", "Охрана объекта путем подключения на пульт централизованного подключения")</f>
        <v>Охрана объекта путем подключения на пульт централизованного подключения</v>
      </c>
      <c r="G11247" s="22" t="s">
        <v>640</v>
      </c>
      <c r="H11247" s="22" t="s">
        <v>13530</v>
      </c>
      <c r="I11247" s="26">
        <v>43551.735416666699</v>
      </c>
      <c r="J11247" s="23" t="str">
        <f>HYPERLINK("https://www.spark-marketing.ru/Card/Person/216841", "ООО ЧОО ""ТАМЕРЛАН""")</f>
        <v>ООО ЧОО "ТАМЕРЛАН"</v>
      </c>
      <c r="K11247" s="24" t="s">
        <v>13532</v>
      </c>
      <c r="L11247" s="22" t="s">
        <v>10</v>
      </c>
      <c r="M11247" s="25">
        <v>42387</v>
      </c>
      <c r="N11247" s="27">
        <v>5.0000000000000001E-3</v>
      </c>
    </row>
    <row r="11248" spans="1:14" hidden="1" outlineLevel="1" x14ac:dyDescent="0.2">
      <c r="A11248" s="23" t="str">
        <f>HYPERLINK("https://www.spark-marketing.ru/Card/Person/49931", "КГБУЗ ""БИРИЛЮССКАЯ РБ""")</f>
        <v>КГБУЗ "БИРИЛЮССКАЯ РБ"</v>
      </c>
      <c r="B11248" s="24" t="s">
        <v>13528</v>
      </c>
      <c r="C11248" s="25">
        <v>42600</v>
      </c>
      <c r="D11248" s="22" t="s">
        <v>13529</v>
      </c>
      <c r="E11248" s="22" t="s">
        <v>5799</v>
      </c>
      <c r="F11248" s="23" t="str">
        <f>HYPERLINK("https://www.spark-marketing.ru/Card/Lot/69066753", "Охрана объекта путем подключения на пульт централизованного подключения")</f>
        <v>Охрана объекта путем подключения на пульт централизованного подключения</v>
      </c>
      <c r="G11248" s="22" t="s">
        <v>640</v>
      </c>
      <c r="H11248" s="22" t="s">
        <v>13530</v>
      </c>
      <c r="I11248" s="26">
        <v>43551.735416666699</v>
      </c>
      <c r="J11248" s="23" t="str">
        <f>HYPERLINK("https://www.spark-marketing.ru/Card/Person/20362", "ООО ЧОА ""УРАГАН-С""")</f>
        <v>ООО ЧОА "УРАГАН-С"</v>
      </c>
      <c r="K11248" s="24" t="s">
        <v>13533</v>
      </c>
      <c r="L11248" s="28" t="s">
        <v>52</v>
      </c>
      <c r="M11248" s="25">
        <v>42387</v>
      </c>
      <c r="N11248" s="27">
        <v>5.0000000000000001E-3</v>
      </c>
    </row>
    <row r="11249" spans="1:14" x14ac:dyDescent="0.15">
      <c r="A11249" s="23" t="str">
        <f>HYPERLINK("https://www.spark-marketing.ru/Card/Person/4348446", "ООО ""ТАИФ-НК АЗС""")</f>
        <v>ООО "ТАИФ-НК АЗС"</v>
      </c>
      <c r="B11249" s="24" t="s">
        <v>301</v>
      </c>
      <c r="C11249" s="25">
        <v>82978.5</v>
      </c>
      <c r="D11249" s="22" t="s">
        <v>13527</v>
      </c>
      <c r="E11249" s="22" t="s">
        <v>53</v>
      </c>
      <c r="F11249" s="23" t="str">
        <f>HYPERLINK("https://www.spark-marketing.ru/Card/Lot/69084634", "Выполнение работ по смете на объекте тип1")</f>
        <v>Выполнение работ по смете на объекте тип1</v>
      </c>
      <c r="G11249" s="22" t="s">
        <v>204</v>
      </c>
      <c r="H11249" s="22" t="s">
        <v>303</v>
      </c>
      <c r="I11249" s="26">
        <v>43551.713877314804</v>
      </c>
      <c r="J11249" s="28" t="s">
        <v>52</v>
      </c>
      <c r="K11249" s="28" t="s">
        <v>52</v>
      </c>
      <c r="L11249" s="28" t="s">
        <v>52</v>
      </c>
      <c r="M11249" s="28" t="s">
        <v>52</v>
      </c>
      <c r="N11249" s="28" t="s">
        <v>52</v>
      </c>
    </row>
    <row r="11250" spans="1:14" x14ac:dyDescent="0.15">
      <c r="A11250" s="23" t="str">
        <f>HYPERLINK("https://www.spark-marketing.ru/Card/Person/4348446", "ООО ""ТАИФ-НК АЗС""")</f>
        <v>ООО "ТАИФ-НК АЗС"</v>
      </c>
      <c r="B11250" s="24" t="s">
        <v>301</v>
      </c>
      <c r="C11250" s="25">
        <v>87593.53</v>
      </c>
      <c r="D11250" s="22" t="s">
        <v>13527</v>
      </c>
      <c r="E11250" s="22" t="s">
        <v>53</v>
      </c>
      <c r="F11250" s="23" t="str">
        <f>HYPERLINK("https://www.spark-marketing.ru/Card/Lot/69084638", "Выполнение работ по смете на объекте тип5")</f>
        <v>Выполнение работ по смете на объекте тип5</v>
      </c>
      <c r="G11250" s="22" t="s">
        <v>204</v>
      </c>
      <c r="H11250" s="22" t="s">
        <v>303</v>
      </c>
      <c r="I11250" s="26">
        <v>43551.713877314804</v>
      </c>
      <c r="J11250" s="28" t="s">
        <v>52</v>
      </c>
      <c r="K11250" s="28" t="s">
        <v>52</v>
      </c>
      <c r="L11250" s="28" t="s">
        <v>52</v>
      </c>
      <c r="M11250" s="28" t="s">
        <v>52</v>
      </c>
      <c r="N11250" s="28" t="s">
        <v>52</v>
      </c>
    </row>
    <row r="11251" spans="1:14" x14ac:dyDescent="0.15">
      <c r="A11251" s="23" t="str">
        <f>HYPERLINK("https://www.spark-marketing.ru/Card/Person/4348813", "АО ""РЖДСТРОЙ""")</f>
        <v>АО "РЖДСТРОЙ"</v>
      </c>
      <c r="B11251" s="24" t="s">
        <v>975</v>
      </c>
      <c r="C11251" s="25">
        <v>814612</v>
      </c>
      <c r="D11251" s="22" t="s">
        <v>13534</v>
      </c>
      <c r="E11251" s="22" t="s">
        <v>5691</v>
      </c>
      <c r="F11251" s="23" t="str">
        <f>HYPERLINK("https://www.spark-marketing.ru/Card/Lot/69077874", "Оказание услуг по геодезическому сопровождению объекта: ""Реконструкция станции Гумрак Приволжской железной дороги. Путепроводная развязка""")</f>
        <v>Оказание услуг по геодезическому сопровождению объекта: "Реконструкция станции Гумрак Приволжской железной дороги. Путепроводная развязка"</v>
      </c>
      <c r="G11251" s="22" t="s">
        <v>55</v>
      </c>
      <c r="H11251" s="22" t="s">
        <v>55</v>
      </c>
      <c r="I11251" s="26">
        <v>43551.740451388898</v>
      </c>
      <c r="J11251" s="28" t="s">
        <v>52</v>
      </c>
      <c r="K11251" s="28" t="s">
        <v>52</v>
      </c>
      <c r="L11251" s="28" t="s">
        <v>52</v>
      </c>
      <c r="M11251" s="28" t="s">
        <v>52</v>
      </c>
      <c r="N11251" s="28" t="s">
        <v>52</v>
      </c>
    </row>
    <row r="11252" spans="1:14" hidden="1" outlineLevel="1" x14ac:dyDescent="0.15">
      <c r="A11252" s="23" t="str">
        <f>HYPERLINK("https://www.spark-marketing.ru/Card/Person/4348813", "АО ""РЖДСТРОЙ""")</f>
        <v>АО "РЖДСТРОЙ"</v>
      </c>
      <c r="B11252" s="24" t="s">
        <v>975</v>
      </c>
      <c r="C11252" s="28" t="s">
        <v>52</v>
      </c>
      <c r="D11252" s="22" t="s">
        <v>13534</v>
      </c>
      <c r="E11252" s="22" t="s">
        <v>5691</v>
      </c>
      <c r="F11252" s="23" t="str">
        <f>HYPERLINK("https://www.spark-marketing.ru/Card/Lot/69077874", "Оказание услуг по геодезическому сопровождению объекта: ""Реконструкция станции Гумрак Приволжской железной дороги. Путепроводная развязка""")</f>
        <v>Оказание услуг по геодезическому сопровождению объекта: "Реконструкция станции Гумрак Приволжской железной дороги. Путепроводная развязка"</v>
      </c>
      <c r="G11252" s="22" t="s">
        <v>55</v>
      </c>
      <c r="H11252" s="22" t="s">
        <v>55</v>
      </c>
      <c r="I11252" s="26">
        <v>43551.740451388898</v>
      </c>
      <c r="J11252" s="23" t="str">
        <f>HYPERLINK("https://www.spark-marketing.ru/Card/Person/-1", "неизвестно")</f>
        <v>неизвестно</v>
      </c>
      <c r="K11252" s="28" t="s">
        <v>52</v>
      </c>
      <c r="L11252" s="28" t="s">
        <v>52</v>
      </c>
      <c r="M11252" s="28" t="s">
        <v>52</v>
      </c>
      <c r="N11252" s="28" t="s">
        <v>52</v>
      </c>
    </row>
    <row r="11253" spans="1:14" hidden="1" outlineLevel="1" x14ac:dyDescent="0.15">
      <c r="A11253" s="23" t="str">
        <f>HYPERLINK("https://www.spark-marketing.ru/Card/Person/4348813", "АО ""РЖДСТРОЙ""")</f>
        <v>АО "РЖДСТРОЙ"</v>
      </c>
      <c r="B11253" s="24" t="s">
        <v>975</v>
      </c>
      <c r="C11253" s="28" t="s">
        <v>52</v>
      </c>
      <c r="D11253" s="22" t="s">
        <v>13534</v>
      </c>
      <c r="E11253" s="22" t="s">
        <v>5691</v>
      </c>
      <c r="F11253" s="23" t="str">
        <f>HYPERLINK("https://www.spark-marketing.ru/Card/Lot/69077874", "Оказание услуг по геодезическому сопровождению объекта: ""Реконструкция станции Гумрак Приволжской железной дороги. Путепроводная развязка""")</f>
        <v>Оказание услуг по геодезическому сопровождению объекта: "Реконструкция станции Гумрак Приволжской железной дороги. Путепроводная развязка"</v>
      </c>
      <c r="G11253" s="22" t="s">
        <v>55</v>
      </c>
      <c r="H11253" s="22" t="s">
        <v>55</v>
      </c>
      <c r="I11253" s="26">
        <v>43551.740451388898</v>
      </c>
      <c r="J11253" s="23" t="str">
        <f>HYPERLINK("https://www.spark-marketing.ru/Card/Person/-1", "неизвестно")</f>
        <v>неизвестно</v>
      </c>
      <c r="K11253" s="28" t="s">
        <v>52</v>
      </c>
      <c r="L11253" s="28" t="s">
        <v>52</v>
      </c>
      <c r="M11253" s="28" t="s">
        <v>52</v>
      </c>
      <c r="N11253" s="28" t="s">
        <v>52</v>
      </c>
    </row>
    <row r="11254" spans="1:14" x14ac:dyDescent="0.15">
      <c r="A11254" s="23" t="str">
        <f>HYPERLINK("https://www.spark-marketing.ru/Card/Person/4348446", "ООО ""ТАИФ-НК АЗС""")</f>
        <v>ООО "ТАИФ-НК АЗС"</v>
      </c>
      <c r="B11254" s="24" t="s">
        <v>301</v>
      </c>
      <c r="C11254" s="25">
        <v>120814.52</v>
      </c>
      <c r="D11254" s="22" t="s">
        <v>13527</v>
      </c>
      <c r="E11254" s="22" t="s">
        <v>53</v>
      </c>
      <c r="F11254" s="23" t="str">
        <f>HYPERLINK("https://www.spark-marketing.ru/Card/Lot/69084637", "Выполнение работ по смете на объекте тип4")</f>
        <v>Выполнение работ по смете на объекте тип4</v>
      </c>
      <c r="G11254" s="22" t="s">
        <v>204</v>
      </c>
      <c r="H11254" s="22" t="s">
        <v>303</v>
      </c>
      <c r="I11254" s="26">
        <v>43551.713877314804</v>
      </c>
      <c r="J11254" s="28" t="s">
        <v>52</v>
      </c>
      <c r="K11254" s="28" t="s">
        <v>52</v>
      </c>
      <c r="L11254" s="28" t="s">
        <v>52</v>
      </c>
      <c r="M11254" s="28" t="s">
        <v>52</v>
      </c>
      <c r="N11254" s="28" t="s">
        <v>52</v>
      </c>
    </row>
    <row r="11255" spans="1:14" x14ac:dyDescent="0.15">
      <c r="A11255" s="23" t="str">
        <f>HYPERLINK("https://www.spark-marketing.ru/Card/Person/4348446", "ООО ""ТАИФ-НК АЗС""")</f>
        <v>ООО "ТАИФ-НК АЗС"</v>
      </c>
      <c r="B11255" s="24" t="s">
        <v>301</v>
      </c>
      <c r="C11255" s="25">
        <v>68280.149999999994</v>
      </c>
      <c r="D11255" s="22" t="s">
        <v>13527</v>
      </c>
      <c r="E11255" s="22" t="s">
        <v>53</v>
      </c>
      <c r="F11255" s="23" t="str">
        <f>HYPERLINK("https://www.spark-marketing.ru/Card/Lot/69084636", "Выполнение работ по смете на объекте тип3")</f>
        <v>Выполнение работ по смете на объекте тип3</v>
      </c>
      <c r="G11255" s="22" t="s">
        <v>204</v>
      </c>
      <c r="H11255" s="22" t="s">
        <v>303</v>
      </c>
      <c r="I11255" s="26">
        <v>43551.713877314804</v>
      </c>
      <c r="J11255" s="28" t="s">
        <v>52</v>
      </c>
      <c r="K11255" s="28" t="s">
        <v>52</v>
      </c>
      <c r="L11255" s="28" t="s">
        <v>52</v>
      </c>
      <c r="M11255" s="28" t="s">
        <v>52</v>
      </c>
      <c r="N11255" s="28" t="s">
        <v>52</v>
      </c>
    </row>
    <row r="11256" spans="1:14" x14ac:dyDescent="0.15">
      <c r="A11256" s="23" t="str">
        <f>HYPERLINK("https://www.spark-marketing.ru/Card/Person/2920", "УПРАВЛЕНИЕ МИРОВОЙ ЮСТИЦИИ БРЯНСКОЙ ОБЛАСТИ")</f>
        <v>УПРАВЛЕНИЕ МИРОВОЙ ЮСТИЦИИ БРЯНСКОЙ ОБЛАСТИ</v>
      </c>
      <c r="B11256" s="24" t="s">
        <v>12569</v>
      </c>
      <c r="C11256" s="25">
        <v>17366.400000000001</v>
      </c>
      <c r="D11256" s="22" t="s">
        <v>13535</v>
      </c>
      <c r="E11256" s="22" t="s">
        <v>68</v>
      </c>
      <c r="F11256" s="23" t="str">
        <f>HYPERLINK("https://www.spark-marketing.ru/Card/Lot/69074556", "Охрана объектов путём контроля за техническими средствами тревожной сигнализации (УМЮ).")</f>
        <v>Охрана объектов путём контроля за техническими средствами тревожной сигнализации (УМЮ).</v>
      </c>
      <c r="G11256" s="22" t="s">
        <v>215</v>
      </c>
      <c r="H11256" s="22" t="s">
        <v>406</v>
      </c>
      <c r="I11256" s="26">
        <v>43551.708333333299</v>
      </c>
      <c r="J11256" s="28" t="s">
        <v>52</v>
      </c>
      <c r="K11256" s="28" t="s">
        <v>52</v>
      </c>
      <c r="L11256" s="28" t="s">
        <v>52</v>
      </c>
      <c r="M11256" s="28" t="s">
        <v>52</v>
      </c>
      <c r="N11256" s="28" t="s">
        <v>52</v>
      </c>
    </row>
    <row r="11257" spans="1:14" x14ac:dyDescent="0.15">
      <c r="A11257" s="23" t="str">
        <f>HYPERLINK("https://www.spark-marketing.ru/Card/Person/1006976", "ГКОУ СО ""НИЖНЕТАГИЛЬСКАЯ ШКОЛА-ИНТЕРНАТ № 1""")</f>
        <v>ГКОУ СО "НИЖНЕТАГИЛЬСКАЯ ШКОЛА-ИНТЕРНАТ № 1"</v>
      </c>
      <c r="B11257" s="24" t="s">
        <v>10847</v>
      </c>
      <c r="C11257" s="25">
        <v>1485640.8</v>
      </c>
      <c r="D11257" s="22" t="s">
        <v>13536</v>
      </c>
      <c r="E11257" s="22" t="s">
        <v>68</v>
      </c>
      <c r="F11257" s="23" t="str">
        <f>HYPERLINK("https://www.spark-marketing.ru/Card/Lot/69070782", "Оказание услуг физической охраны (круглосуточно)")</f>
        <v>Оказание услуг физической охраны (круглосуточно)</v>
      </c>
      <c r="G11257" s="22" t="s">
        <v>72</v>
      </c>
      <c r="H11257" s="22" t="s">
        <v>3332</v>
      </c>
      <c r="I11257" s="26">
        <v>43551.739583333299</v>
      </c>
      <c r="J11257" s="28" t="s">
        <v>52</v>
      </c>
      <c r="K11257" s="28" t="s">
        <v>52</v>
      </c>
      <c r="L11257" s="28" t="s">
        <v>52</v>
      </c>
      <c r="M11257" s="28" t="s">
        <v>52</v>
      </c>
      <c r="N11257" s="28" t="s">
        <v>52</v>
      </c>
    </row>
    <row r="11258" spans="1:14" ht="12.75" hidden="1" outlineLevel="1" x14ac:dyDescent="0.2">
      <c r="A11258" s="23" t="str">
        <f>HYPERLINK("https://www.spark-marketing.ru/Card/Person/1006976", "ГКОУ СО ""НИЖНЕТАГИЛЬСКАЯ ШКОЛА-ИНТЕРНАТ № 1""")</f>
        <v>ГКОУ СО "НИЖНЕТАГИЛЬСКАЯ ШКОЛА-ИНТЕРНАТ № 1"</v>
      </c>
      <c r="B11258" s="24" t="s">
        <v>10847</v>
      </c>
      <c r="C11258" s="25">
        <v>1485640.8</v>
      </c>
      <c r="D11258" s="22" t="s">
        <v>13536</v>
      </c>
      <c r="E11258" s="22" t="s">
        <v>68</v>
      </c>
      <c r="F11258" s="23" t="str">
        <f>HYPERLINK("https://www.spark-marketing.ru/Card/Lot/69070782", "Оказание услуг физической охраны (круглосуточно)")</f>
        <v>Оказание услуг физической охраны (круглосуточно)</v>
      </c>
      <c r="G11258" s="22" t="s">
        <v>72</v>
      </c>
      <c r="H11258" s="22" t="s">
        <v>3332</v>
      </c>
      <c r="I11258" s="26">
        <v>43551.739583333299</v>
      </c>
      <c r="J11258" s="23" t="str">
        <f>HYPERLINK("https://www.spark-marketing.ru/Card/Person/38100", "ООО ЧОО ""ВСС-ПЕРМЬ""")</f>
        <v>ООО ЧОО "ВСС-ПЕРМЬ"</v>
      </c>
      <c r="K11258" s="24" t="s">
        <v>13537</v>
      </c>
      <c r="L11258" s="22" t="s">
        <v>10</v>
      </c>
      <c r="M11258" s="25">
        <v>891898.95</v>
      </c>
      <c r="N11258" s="27">
        <v>0.39965370498710051</v>
      </c>
    </row>
    <row r="11259" spans="1:14" hidden="1" outlineLevel="1" x14ac:dyDescent="0.2">
      <c r="A11259" s="23" t="str">
        <f>HYPERLINK("https://www.spark-marketing.ru/Card/Person/1006976", "ГКОУ СО ""НИЖНЕТАГИЛЬСКАЯ ШКОЛА-ИНТЕРНАТ № 1""")</f>
        <v>ГКОУ СО "НИЖНЕТАГИЛЬСКАЯ ШКОЛА-ИНТЕРНАТ № 1"</v>
      </c>
      <c r="B11259" s="24" t="s">
        <v>10847</v>
      </c>
      <c r="C11259" s="25">
        <v>1485640.8</v>
      </c>
      <c r="D11259" s="22" t="s">
        <v>13536</v>
      </c>
      <c r="E11259" s="22" t="s">
        <v>68</v>
      </c>
      <c r="F11259" s="23" t="str">
        <f>HYPERLINK("https://www.spark-marketing.ru/Card/Lot/69070782", "Оказание услуг физической охраны (круглосуточно)")</f>
        <v>Оказание услуг физической охраны (круглосуточно)</v>
      </c>
      <c r="G11259" s="22" t="s">
        <v>72</v>
      </c>
      <c r="H11259" s="22" t="s">
        <v>3332</v>
      </c>
      <c r="I11259" s="26">
        <v>43551.739583333299</v>
      </c>
      <c r="J11259" s="23" t="str">
        <f>HYPERLINK("https://www.spark-marketing.ru/Card/Person/797603", "ООО ЧОО ""АСГАРД- УРАЛ""")</f>
        <v>ООО ЧОО "АСГАРД- УРАЛ"</v>
      </c>
      <c r="K11259" s="24" t="s">
        <v>11742</v>
      </c>
      <c r="L11259" s="28" t="s">
        <v>52</v>
      </c>
      <c r="M11259" s="25">
        <v>899327.16</v>
      </c>
      <c r="N11259" s="27">
        <v>0.39465370094843921</v>
      </c>
    </row>
    <row r="11260" spans="1:14" hidden="1" outlineLevel="1" x14ac:dyDescent="0.2">
      <c r="A11260" s="23" t="str">
        <f>HYPERLINK("https://www.spark-marketing.ru/Card/Person/1006976", "ГКОУ СО ""НИЖНЕТАГИЛЬСКАЯ ШКОЛА-ИНТЕРНАТ № 1""")</f>
        <v>ГКОУ СО "НИЖНЕТАГИЛЬСКАЯ ШКОЛА-ИНТЕРНАТ № 1"</v>
      </c>
      <c r="B11260" s="24" t="s">
        <v>10847</v>
      </c>
      <c r="C11260" s="25">
        <v>1485640.8</v>
      </c>
      <c r="D11260" s="22" t="s">
        <v>13536</v>
      </c>
      <c r="E11260" s="22" t="s">
        <v>68</v>
      </c>
      <c r="F11260" s="23" t="str">
        <f>HYPERLINK("https://www.spark-marketing.ru/Card/Lot/69070782", "Оказание услуг физической охраны (круглосуточно)")</f>
        <v>Оказание услуг физической охраны (круглосуточно)</v>
      </c>
      <c r="G11260" s="22" t="s">
        <v>72</v>
      </c>
      <c r="H11260" s="22" t="s">
        <v>3332</v>
      </c>
      <c r="I11260" s="26">
        <v>43551.739583333299</v>
      </c>
      <c r="J11260" s="23" t="str">
        <f>HYPERLINK("https://www.spark-marketing.ru/Card/Person/5898537", "ООО ЧОП ""ГЕПАРД""")</f>
        <v>ООО ЧОП "ГЕПАРД"</v>
      </c>
      <c r="K11260" s="24" t="s">
        <v>9658</v>
      </c>
      <c r="L11260" s="28" t="s">
        <v>52</v>
      </c>
      <c r="M11260" s="25">
        <v>1411200</v>
      </c>
      <c r="N11260" s="27">
        <v>5.0106862977914987E-2</v>
      </c>
    </row>
    <row r="11261" spans="1:14" x14ac:dyDescent="0.15">
      <c r="A11261" s="23" t="str">
        <f t="shared" ref="A11261:A11268" si="564">HYPERLINK("https://www.spark-marketing.ru/Card/Person/245033", "МДОБУ ЦРР - Д/С № 105 ""УМКА""")</f>
        <v>МДОБУ ЦРР - Д/С № 105 "УМКА"</v>
      </c>
      <c r="B11261" s="24" t="s">
        <v>13538</v>
      </c>
      <c r="C11261" s="25">
        <v>42000.03</v>
      </c>
      <c r="D11261" s="22" t="s">
        <v>13539</v>
      </c>
      <c r="E11261" s="22" t="s">
        <v>107</v>
      </c>
      <c r="F11261" s="23" t="str">
        <f t="shared" ref="F11261:F11268" si="565">HYPERLINK("https://www.spark-marketing.ru/Card/Lot/69058579", "Оказание услуг по техническому обслуживанию систем видеонаблюдения")</f>
        <v>Оказание услуг по техническому обслуживанию систем видеонаблюдения</v>
      </c>
      <c r="G11261" s="22" t="s">
        <v>424</v>
      </c>
      <c r="H11261" s="22" t="s">
        <v>1186</v>
      </c>
      <c r="I11261" s="26">
        <v>43551.711805555598</v>
      </c>
      <c r="J11261" s="28" t="s">
        <v>52</v>
      </c>
      <c r="K11261" s="28" t="s">
        <v>52</v>
      </c>
      <c r="L11261" s="28" t="s">
        <v>52</v>
      </c>
      <c r="M11261" s="28" t="s">
        <v>52</v>
      </c>
      <c r="N11261" s="28" t="s">
        <v>52</v>
      </c>
    </row>
    <row r="11262" spans="1:14" hidden="1" outlineLevel="1" x14ac:dyDescent="0.2">
      <c r="A11262" s="23" t="str">
        <f t="shared" si="564"/>
        <v>МДОБУ ЦРР - Д/С № 105 "УМКА"</v>
      </c>
      <c r="B11262" s="24" t="s">
        <v>13538</v>
      </c>
      <c r="C11262" s="25">
        <v>42000.03</v>
      </c>
      <c r="D11262" s="22" t="s">
        <v>13539</v>
      </c>
      <c r="E11262" s="22" t="s">
        <v>107</v>
      </c>
      <c r="F11262" s="23" t="str">
        <f t="shared" si="565"/>
        <v>Оказание услуг по техническому обслуживанию систем видеонаблюдения</v>
      </c>
      <c r="G11262" s="22" t="s">
        <v>424</v>
      </c>
      <c r="H11262" s="22" t="s">
        <v>1186</v>
      </c>
      <c r="I11262" s="26">
        <v>43551.711805555598</v>
      </c>
      <c r="J11262" s="23" t="str">
        <f>HYPERLINK("https://www.spark-marketing.ru/Card/Person/5853361", "ООО ""НОВА""")</f>
        <v>ООО "НОВА"</v>
      </c>
      <c r="K11262" s="24" t="s">
        <v>6361</v>
      </c>
      <c r="L11262" s="28" t="s">
        <v>52</v>
      </c>
      <c r="M11262" s="25">
        <v>22049.08</v>
      </c>
      <c r="N11262" s="27">
        <v>0.47502227974599065</v>
      </c>
    </row>
    <row r="11263" spans="1:14" hidden="1" outlineLevel="1" x14ac:dyDescent="0.2">
      <c r="A11263" s="23" t="str">
        <f t="shared" si="564"/>
        <v>МДОБУ ЦРР - Д/С № 105 "УМКА"</v>
      </c>
      <c r="B11263" s="24" t="s">
        <v>13538</v>
      </c>
      <c r="C11263" s="25">
        <v>42000.03</v>
      </c>
      <c r="D11263" s="22" t="s">
        <v>13539</v>
      </c>
      <c r="E11263" s="22" t="s">
        <v>107</v>
      </c>
      <c r="F11263" s="23" t="str">
        <f t="shared" si="565"/>
        <v>Оказание услуг по техническому обслуживанию систем видеонаблюдения</v>
      </c>
      <c r="G11263" s="22" t="s">
        <v>424</v>
      </c>
      <c r="H11263" s="22" t="s">
        <v>1186</v>
      </c>
      <c r="I11263" s="26">
        <v>43551.711805555598</v>
      </c>
      <c r="J11263" s="23" t="str">
        <f>HYPERLINK("https://www.spark-marketing.ru/Card/Person/77351", "ООО ""НМК""")</f>
        <v>ООО "НМК"</v>
      </c>
      <c r="K11263" s="24" t="s">
        <v>13540</v>
      </c>
      <c r="L11263" s="28" t="s">
        <v>52</v>
      </c>
      <c r="M11263" s="25">
        <v>39269.9</v>
      </c>
      <c r="N11263" s="27">
        <v>6.5003048807346087E-2</v>
      </c>
    </row>
    <row r="11264" spans="1:14" ht="12.75" hidden="1" outlineLevel="1" x14ac:dyDescent="0.2">
      <c r="A11264" s="23" t="str">
        <f t="shared" si="564"/>
        <v>МДОБУ ЦРР - Д/С № 105 "УМКА"</v>
      </c>
      <c r="B11264" s="24" t="s">
        <v>13538</v>
      </c>
      <c r="C11264" s="25">
        <v>42000.03</v>
      </c>
      <c r="D11264" s="22" t="s">
        <v>13539</v>
      </c>
      <c r="E11264" s="22" t="s">
        <v>107</v>
      </c>
      <c r="F11264" s="23" t="str">
        <f t="shared" si="565"/>
        <v>Оказание услуг по техническому обслуживанию систем видеонаблюдения</v>
      </c>
      <c r="G11264" s="22" t="s">
        <v>424</v>
      </c>
      <c r="H11264" s="22" t="s">
        <v>1186</v>
      </c>
      <c r="I11264" s="26">
        <v>43551.711805555598</v>
      </c>
      <c r="J11264" s="23" t="str">
        <f>HYPERLINK("https://www.spark-marketing.ru/Card/Person/226383", "ООО ""ГРИЗЛИ""")</f>
        <v>ООО "ГРИЗЛИ"</v>
      </c>
      <c r="K11264" s="24" t="s">
        <v>13541</v>
      </c>
      <c r="L11264" s="22" t="s">
        <v>10</v>
      </c>
      <c r="M11264" s="25">
        <v>15089.99</v>
      </c>
      <c r="N11264" s="27">
        <v>0.64071478044182351</v>
      </c>
    </row>
    <row r="11265" spans="1:14" hidden="1" outlineLevel="1" x14ac:dyDescent="0.2">
      <c r="A11265" s="23" t="str">
        <f t="shared" si="564"/>
        <v>МДОБУ ЦРР - Д/С № 105 "УМКА"</v>
      </c>
      <c r="B11265" s="24" t="s">
        <v>13538</v>
      </c>
      <c r="C11265" s="25">
        <v>42000.03</v>
      </c>
      <c r="D11265" s="22" t="s">
        <v>13539</v>
      </c>
      <c r="E11265" s="22" t="s">
        <v>107</v>
      </c>
      <c r="F11265" s="23" t="str">
        <f t="shared" si="565"/>
        <v>Оказание услуг по техническому обслуживанию систем видеонаблюдения</v>
      </c>
      <c r="G11265" s="22" t="s">
        <v>424</v>
      </c>
      <c r="H11265" s="22" t="s">
        <v>1186</v>
      </c>
      <c r="I11265" s="26">
        <v>43551.711805555598</v>
      </c>
      <c r="J11265" s="23" t="str">
        <f>HYPERLINK("https://www.spark-marketing.ru/Card/Person/2588873", "ООО ЧОП ""ЯГУАР НОРД""")</f>
        <v>ООО ЧОП "ЯГУАР НОРД"</v>
      </c>
      <c r="K11265" s="24" t="s">
        <v>7980</v>
      </c>
      <c r="L11265" s="28" t="s">
        <v>52</v>
      </c>
      <c r="M11265" s="25">
        <v>25000</v>
      </c>
      <c r="N11265" s="27">
        <v>0.40476232993166911</v>
      </c>
    </row>
    <row r="11266" spans="1:14" hidden="1" outlineLevel="1" x14ac:dyDescent="0.2">
      <c r="A11266" s="23" t="str">
        <f t="shared" si="564"/>
        <v>МДОБУ ЦРР - Д/С № 105 "УМКА"</v>
      </c>
      <c r="B11266" s="24" t="s">
        <v>13538</v>
      </c>
      <c r="C11266" s="25">
        <v>42000.03</v>
      </c>
      <c r="D11266" s="22" t="s">
        <v>13539</v>
      </c>
      <c r="E11266" s="22" t="s">
        <v>107</v>
      </c>
      <c r="F11266" s="23" t="str">
        <f t="shared" si="565"/>
        <v>Оказание услуг по техническому обслуживанию систем видеонаблюдения</v>
      </c>
      <c r="G11266" s="22" t="s">
        <v>424</v>
      </c>
      <c r="H11266" s="22" t="s">
        <v>1186</v>
      </c>
      <c r="I11266" s="26">
        <v>43551.711805555598</v>
      </c>
      <c r="J11266" s="23" t="str">
        <f>HYPERLINK("https://www.spark-marketing.ru/Card/Person/450845", "ООО ""НИКОР""")</f>
        <v>ООО "НИКОР"</v>
      </c>
      <c r="K11266" s="24" t="s">
        <v>6365</v>
      </c>
      <c r="L11266" s="28" t="s">
        <v>52</v>
      </c>
      <c r="M11266" s="25">
        <v>15300</v>
      </c>
      <c r="N11266" s="27">
        <v>0.63571454591818144</v>
      </c>
    </row>
    <row r="11267" spans="1:14" hidden="1" outlineLevel="1" x14ac:dyDescent="0.2">
      <c r="A11267" s="23" t="str">
        <f t="shared" si="564"/>
        <v>МДОБУ ЦРР - Д/С № 105 "УМКА"</v>
      </c>
      <c r="B11267" s="24" t="s">
        <v>13538</v>
      </c>
      <c r="C11267" s="25">
        <v>42000.03</v>
      </c>
      <c r="D11267" s="22" t="s">
        <v>13539</v>
      </c>
      <c r="E11267" s="22" t="s">
        <v>107</v>
      </c>
      <c r="F11267" s="23" t="str">
        <f t="shared" si="565"/>
        <v>Оказание услуг по техническому обслуживанию систем видеонаблюдения</v>
      </c>
      <c r="G11267" s="22" t="s">
        <v>424</v>
      </c>
      <c r="H11267" s="22" t="s">
        <v>1186</v>
      </c>
      <c r="I11267" s="26">
        <v>43551.711805555598</v>
      </c>
      <c r="J11267" s="23" t="str">
        <f>HYPERLINK("https://www.spark-marketing.ru/Card/Person/4929868", "ООО ""ИНФОРМАЦИОННЫЙ ЦЕНТР""")</f>
        <v>ООО "ИНФОРМАЦИОННЫЙ ЦЕНТР"</v>
      </c>
      <c r="K11267" s="24" t="s">
        <v>13542</v>
      </c>
      <c r="L11267" s="28" t="s">
        <v>52</v>
      </c>
      <c r="M11267" s="25">
        <v>27000</v>
      </c>
      <c r="N11267" s="27">
        <v>0.35714331632620261</v>
      </c>
    </row>
    <row r="11268" spans="1:14" hidden="1" outlineLevel="1" x14ac:dyDescent="0.2">
      <c r="A11268" s="23" t="str">
        <f t="shared" si="564"/>
        <v>МДОБУ ЦРР - Д/С № 105 "УМКА"</v>
      </c>
      <c r="B11268" s="24" t="s">
        <v>13538</v>
      </c>
      <c r="C11268" s="25">
        <v>42000.03</v>
      </c>
      <c r="D11268" s="22" t="s">
        <v>13539</v>
      </c>
      <c r="E11268" s="22" t="s">
        <v>107</v>
      </c>
      <c r="F11268" s="23" t="str">
        <f t="shared" si="565"/>
        <v>Оказание услуг по техническому обслуживанию систем видеонаблюдения</v>
      </c>
      <c r="G11268" s="22" t="s">
        <v>424</v>
      </c>
      <c r="H11268" s="22" t="s">
        <v>1186</v>
      </c>
      <c r="I11268" s="26">
        <v>43551.711805555598</v>
      </c>
      <c r="J11268" s="23" t="str">
        <f>HYPERLINK("https://www.spark-marketing.ru/Card/Person/152254", "ООО ""БАСТИОН""")</f>
        <v>ООО "БАСТИОН"</v>
      </c>
      <c r="K11268" s="24" t="s">
        <v>9304</v>
      </c>
      <c r="L11268" s="28" t="s">
        <v>52</v>
      </c>
      <c r="M11268" s="25">
        <v>20000.990000000002</v>
      </c>
      <c r="N11268" s="27">
        <v>0.52378629253360054</v>
      </c>
    </row>
    <row r="11269" spans="1:14" x14ac:dyDescent="0.15">
      <c r="A11269" s="23" t="str">
        <f>HYPERLINK("https://www.spark-marketing.ru/Card/Person/317530", "МКУ ""УКМПИТ""")</f>
        <v>МКУ "УКМПИТ"</v>
      </c>
      <c r="B11269" s="24" t="s">
        <v>13543</v>
      </c>
      <c r="C11269" s="25">
        <v>4455</v>
      </c>
      <c r="D11269" s="22" t="s">
        <v>13544</v>
      </c>
      <c r="E11269" s="22" t="s">
        <v>107</v>
      </c>
      <c r="F11269" s="23" t="str">
        <f>HYPERLINK("https://www.spark-marketing.ru/Card/Lot/69080571", "Техническое обслуживание системы охранной сигнализации")</f>
        <v>Техническое обслуживание системы охранной сигнализации</v>
      </c>
      <c r="G11269" s="22" t="s">
        <v>176</v>
      </c>
      <c r="H11269" s="22" t="s">
        <v>13545</v>
      </c>
      <c r="I11269" s="26">
        <v>43551.739583333299</v>
      </c>
      <c r="J11269" s="28" t="s">
        <v>52</v>
      </c>
      <c r="K11269" s="28" t="s">
        <v>52</v>
      </c>
      <c r="L11269" s="28" t="s">
        <v>52</v>
      </c>
      <c r="M11269" s="28" t="s">
        <v>52</v>
      </c>
      <c r="N11269" s="28" t="s">
        <v>52</v>
      </c>
    </row>
    <row r="11270" spans="1:14" x14ac:dyDescent="0.15">
      <c r="A11270" s="23" t="str">
        <f>HYPERLINK("https://www.spark-marketing.ru/Card/Person/4343740", "МИНЗДРАВ РОССИИ")</f>
        <v>МИНЗДРАВ РОССИИ</v>
      </c>
      <c r="B11270" s="24" t="s">
        <v>1666</v>
      </c>
      <c r="C11270" s="25">
        <v>732081978.64999998</v>
      </c>
      <c r="D11270" s="22" t="s">
        <v>13546</v>
      </c>
      <c r="E11270" s="22" t="s">
        <v>53</v>
      </c>
      <c r="F11270" s="23" t="str">
        <f>HYPERLINK("https://www.spark-marketing.ru/Card/Lot/69076689", "Интерферон бета-1b, лиофилизат для приготовления раствора для подкожного введения и/или раствор для подкожного введения, 8-9,6 млн. МЕ  в рамках реализации постановления Правительства Российской Федерации от 26.11.2018 № 1416 ""О порядке организации ...")</f>
        <v>Интерферон бета-1b, лиофилизат для приготовления раствора для подкожного введения и/или раствор для подкожного введения, 8-9,6 млн. МЕ  в рамках реализации постановления Правительства Российской Федерации от 26.11.2018 № 1416 "О порядке организации ...</v>
      </c>
      <c r="G11270" s="22" t="s">
        <v>428</v>
      </c>
      <c r="H11270" s="22" t="s">
        <v>429</v>
      </c>
      <c r="I11270" s="26">
        <v>43551.731249999997</v>
      </c>
      <c r="J11270" s="23" t="str">
        <f>HYPERLINK("https://www.spark-marketing.ru/Card/Person/50996", "ООО ""БИОТЭК""")</f>
        <v>ООО "БИОТЭК"</v>
      </c>
      <c r="K11270" s="24" t="s">
        <v>3462</v>
      </c>
      <c r="L11270" s="22" t="s">
        <v>10</v>
      </c>
      <c r="M11270" s="28" t="s">
        <v>52</v>
      </c>
      <c r="N11270" s="28" t="s">
        <v>52</v>
      </c>
    </row>
    <row r="11271" spans="1:14" x14ac:dyDescent="0.15">
      <c r="A11271" s="23" t="str">
        <f>HYPERLINK("https://www.spark-marketing.ru/Card/Person/3509669", "БАНК РОССИИ")</f>
        <v>БАНК РОССИИ</v>
      </c>
      <c r="B11271" s="24" t="s">
        <v>624</v>
      </c>
      <c r="C11271" s="25">
        <v>0</v>
      </c>
      <c r="D11271" s="22" t="s">
        <v>13547</v>
      </c>
      <c r="E11271" s="22" t="s">
        <v>194</v>
      </c>
      <c r="F11271" s="23" t="str">
        <f>HYPERLINK("https://www.spark-marketing.ru/Card/Lot/69078211", "Закупка малого объема")</f>
        <v>Закупка малого объема</v>
      </c>
      <c r="G11271" s="22" t="s">
        <v>55</v>
      </c>
      <c r="H11271" s="22" t="s">
        <v>55</v>
      </c>
      <c r="I11271" s="26">
        <v>43551.704884259299</v>
      </c>
      <c r="J11271" s="28" t="s">
        <v>52</v>
      </c>
      <c r="K11271" s="28" t="s">
        <v>52</v>
      </c>
      <c r="L11271" s="28" t="s">
        <v>52</v>
      </c>
      <c r="M11271" s="28" t="s">
        <v>52</v>
      </c>
      <c r="N11271" s="28" t="s">
        <v>52</v>
      </c>
    </row>
    <row r="11272" spans="1:14" x14ac:dyDescent="0.15">
      <c r="A11272" s="23" t="str">
        <f t="shared" ref="A11272:A11277" si="566">HYPERLINK("https://www.spark-marketing.ru/Card/Person/7616", "ГКУ ""УПРАВЛЕНИЕ СТРОИТЕЛЬСТВА И ДОРОЖНОГО ХОЗЯЙСТВА ПЕНЗЕНСКОЙ ОБЛАСТИ""")</f>
        <v>ГКУ "УПРАВЛЕНИЕ СТРОИТЕЛЬСТВА И ДОРОЖНОГО ХОЗЯЙСТВА ПЕНЗЕНСКОЙ ОБЛАСТИ"</v>
      </c>
      <c r="B11272" s="24" t="s">
        <v>13192</v>
      </c>
      <c r="C11272" s="25">
        <v>2752000</v>
      </c>
      <c r="D11272" s="22" t="s">
        <v>13548</v>
      </c>
      <c r="E11272" s="22" t="s">
        <v>79</v>
      </c>
      <c r="F11272" s="23" t="str">
        <f t="shared" ref="F11272:F11277" si="567">HYPERLINK("https://www.spark-marketing.ru/Card/Lot/69075143", "Установка автоматизированной информационной системы фото-видеофиксации нарушений правил дорожного движения на автомобильной дороге «с.Поим-р.п.Башмаково-р.п.Земетчино» км 27+900 Башмаковского района Пензенской области")</f>
        <v>Установка автоматизированной информационной системы фото-видеофиксации нарушений правил дорожного движения на автомобильной дороге «с.Поим-р.п.Башмаково-р.п.Земетчино» км 27+900 Башмаковского района Пензенской области</v>
      </c>
      <c r="G11272" s="22" t="s">
        <v>514</v>
      </c>
      <c r="H11272" s="22" t="s">
        <v>2167</v>
      </c>
      <c r="I11272" s="26">
        <v>43551.677083333299</v>
      </c>
      <c r="J11272" s="28" t="s">
        <v>52</v>
      </c>
      <c r="K11272" s="28" t="s">
        <v>52</v>
      </c>
      <c r="L11272" s="28" t="s">
        <v>52</v>
      </c>
      <c r="M11272" s="28" t="s">
        <v>52</v>
      </c>
      <c r="N11272" s="28" t="s">
        <v>52</v>
      </c>
    </row>
    <row r="11273" spans="1:14" hidden="1" outlineLevel="1" x14ac:dyDescent="0.2">
      <c r="A11273" s="23" t="str">
        <f t="shared" si="566"/>
        <v>ГКУ "УПРАВЛЕНИЕ СТРОИТЕЛЬСТВА И ДОРОЖНОГО ХОЗЯЙСТВА ПЕНЗЕНСКОЙ ОБЛАСТИ"</v>
      </c>
      <c r="B11273" s="24" t="s">
        <v>13192</v>
      </c>
      <c r="C11273" s="25">
        <v>2752000</v>
      </c>
      <c r="D11273" s="22" t="s">
        <v>13548</v>
      </c>
      <c r="E11273" s="22" t="s">
        <v>79</v>
      </c>
      <c r="F11273" s="23" t="str">
        <f t="shared" si="567"/>
        <v>Установка автоматизированной информационной системы фото-видеофиксации нарушений правил дорожного движения на автомобильной дороге «с.Поим-р.п.Башмаково-р.п.Земетчино» км 27+900 Башмаковского района Пензенской области</v>
      </c>
      <c r="G11273" s="22" t="s">
        <v>514</v>
      </c>
      <c r="H11273" s="22" t="s">
        <v>2167</v>
      </c>
      <c r="I11273" s="26">
        <v>43551.677083333299</v>
      </c>
      <c r="J11273" s="23" t="str">
        <f>HYPERLINK("https://www.spark-marketing.ru/Card/Person/10991", "ПАО ""РОСТЕЛЕКОМ""")</f>
        <v>ПАО "РОСТЕЛЕКОМ"</v>
      </c>
      <c r="K11273" s="24" t="s">
        <v>607</v>
      </c>
      <c r="L11273" s="28" t="s">
        <v>52</v>
      </c>
      <c r="M11273" s="25">
        <v>2724480</v>
      </c>
      <c r="N11273" s="27">
        <v>0.01</v>
      </c>
    </row>
    <row r="11274" spans="1:14" ht="12.75" hidden="1" outlineLevel="1" x14ac:dyDescent="0.2">
      <c r="A11274" s="23" t="str">
        <f t="shared" si="566"/>
        <v>ГКУ "УПРАВЛЕНИЕ СТРОИТЕЛЬСТВА И ДОРОЖНОГО ХОЗЯЙСТВА ПЕНЗЕНСКОЙ ОБЛАСТИ"</v>
      </c>
      <c r="B11274" s="24" t="s">
        <v>13192</v>
      </c>
      <c r="C11274" s="25">
        <v>2752000</v>
      </c>
      <c r="D11274" s="22" t="s">
        <v>13548</v>
      </c>
      <c r="E11274" s="22" t="s">
        <v>79</v>
      </c>
      <c r="F11274" s="23" t="str">
        <f t="shared" si="567"/>
        <v>Установка автоматизированной информационной системы фото-видеофиксации нарушений правил дорожного движения на автомобильной дороге «с.Поим-р.п.Башмаково-р.п.Земетчино» км 27+900 Башмаковского района Пензенской области</v>
      </c>
      <c r="G11274" s="22" t="s">
        <v>514</v>
      </c>
      <c r="H11274" s="22" t="s">
        <v>2167</v>
      </c>
      <c r="I11274" s="26">
        <v>43551.677083333299</v>
      </c>
      <c r="J11274" s="23" t="str">
        <f>HYPERLINK("https://www.spark-marketing.ru/Card/Person/236655", "ООО ""ТМЦ -НН""")</f>
        <v>ООО "ТМЦ -НН"</v>
      </c>
      <c r="K11274" s="24" t="s">
        <v>4899</v>
      </c>
      <c r="L11274" s="22" t="s">
        <v>10</v>
      </c>
      <c r="M11274" s="25">
        <v>2710720</v>
      </c>
      <c r="N11274" s="27">
        <v>1.4999999999999999E-2</v>
      </c>
    </row>
    <row r="11275" spans="1:14" hidden="1" outlineLevel="1" x14ac:dyDescent="0.2">
      <c r="A11275" s="23" t="str">
        <f t="shared" si="566"/>
        <v>ГКУ "УПРАВЛЕНИЕ СТРОИТЕЛЬСТВА И ДОРОЖНОГО ХОЗЯЙСТВА ПЕНЗЕНСКОЙ ОБЛАСТИ"</v>
      </c>
      <c r="B11275" s="24" t="s">
        <v>13192</v>
      </c>
      <c r="C11275" s="25">
        <v>2752000</v>
      </c>
      <c r="D11275" s="22" t="s">
        <v>13548</v>
      </c>
      <c r="E11275" s="22" t="s">
        <v>79</v>
      </c>
      <c r="F11275" s="23" t="str">
        <f t="shared" si="567"/>
        <v>Установка автоматизированной информационной системы фото-видеофиксации нарушений правил дорожного движения на автомобильной дороге «с.Поим-р.п.Башмаково-р.п.Земетчино» км 27+900 Башмаковского района Пензенской области</v>
      </c>
      <c r="G11275" s="22" t="s">
        <v>514</v>
      </c>
      <c r="H11275" s="22" t="s">
        <v>2167</v>
      </c>
      <c r="I11275" s="26">
        <v>43551.677083333299</v>
      </c>
      <c r="J11275" s="23" t="str">
        <f>HYPERLINK("https://www.spark-marketing.ru/Card/Person/10991", "ПАО ""РОСТЕЛЕКОМ""")</f>
        <v>ПАО "РОСТЕЛЕКОМ"</v>
      </c>
      <c r="K11275" s="24" t="s">
        <v>607</v>
      </c>
      <c r="L11275" s="28" t="s">
        <v>52</v>
      </c>
      <c r="M11275" s="25">
        <v>2724480</v>
      </c>
      <c r="N11275" s="27">
        <v>0.01</v>
      </c>
    </row>
    <row r="11276" spans="1:14" ht="12.75" hidden="1" outlineLevel="1" x14ac:dyDescent="0.2">
      <c r="A11276" s="23" t="str">
        <f t="shared" si="566"/>
        <v>ГКУ "УПРАВЛЕНИЕ СТРОИТЕЛЬСТВА И ДОРОЖНОГО ХОЗЯЙСТВА ПЕНЗЕНСКОЙ ОБЛАСТИ"</v>
      </c>
      <c r="B11276" s="24" t="s">
        <v>13192</v>
      </c>
      <c r="C11276" s="25">
        <v>2752000</v>
      </c>
      <c r="D11276" s="22" t="s">
        <v>13548</v>
      </c>
      <c r="E11276" s="22" t="s">
        <v>79</v>
      </c>
      <c r="F11276" s="23" t="str">
        <f t="shared" si="567"/>
        <v>Установка автоматизированной информационной системы фото-видеофиксации нарушений правил дорожного движения на автомобильной дороге «с.Поим-р.п.Башмаково-р.п.Земетчино» км 27+900 Башмаковского района Пензенской области</v>
      </c>
      <c r="G11276" s="22" t="s">
        <v>514</v>
      </c>
      <c r="H11276" s="22" t="s">
        <v>2167</v>
      </c>
      <c r="I11276" s="26">
        <v>43551.677083333299</v>
      </c>
      <c r="J11276" s="23" t="str">
        <f>HYPERLINK("https://www.spark-marketing.ru/Card/Person/236655", "ООО ""ТМЦ -НН""")</f>
        <v>ООО "ТМЦ -НН"</v>
      </c>
      <c r="K11276" s="24" t="s">
        <v>4899</v>
      </c>
      <c r="L11276" s="22" t="s">
        <v>10</v>
      </c>
      <c r="M11276" s="25">
        <v>2710720</v>
      </c>
      <c r="N11276" s="27">
        <v>1.4999999999999999E-2</v>
      </c>
    </row>
    <row r="11277" spans="1:14" hidden="1" outlineLevel="1" x14ac:dyDescent="0.2">
      <c r="A11277" s="23" t="str">
        <f t="shared" si="566"/>
        <v>ГКУ "УПРАВЛЕНИЕ СТРОИТЕЛЬСТВА И ДОРОЖНОГО ХОЗЯЙСТВА ПЕНЗЕНСКОЙ ОБЛАСТИ"</v>
      </c>
      <c r="B11277" s="24" t="s">
        <v>13192</v>
      </c>
      <c r="C11277" s="25">
        <v>2752000</v>
      </c>
      <c r="D11277" s="22" t="s">
        <v>13548</v>
      </c>
      <c r="E11277" s="22" t="s">
        <v>79</v>
      </c>
      <c r="F11277" s="23" t="str">
        <f t="shared" si="567"/>
        <v>Установка автоматизированной информационной системы фото-видеофиксации нарушений правил дорожного движения на автомобильной дороге «с.Поим-р.п.Башмаково-р.п.Земетчино» км 27+900 Башмаковского района Пензенской области</v>
      </c>
      <c r="G11277" s="22" t="s">
        <v>514</v>
      </c>
      <c r="H11277" s="22" t="s">
        <v>2167</v>
      </c>
      <c r="I11277" s="26">
        <v>43551.677083333299</v>
      </c>
      <c r="J11277" s="23" t="str">
        <f>HYPERLINK("https://www.spark-marketing.ru/Card/Person/21753", "Поволжский филиал ПАО ""МЕГАФОН""")</f>
        <v>Поволжский филиал ПАО "МЕГАФОН"</v>
      </c>
      <c r="K11277" s="24" t="s">
        <v>2783</v>
      </c>
      <c r="L11277" s="28" t="s">
        <v>52</v>
      </c>
      <c r="M11277" s="25">
        <v>2738240</v>
      </c>
      <c r="N11277" s="27">
        <v>5.0000000000000001E-3</v>
      </c>
    </row>
    <row r="11278" spans="1:14" x14ac:dyDescent="0.2">
      <c r="A11278" s="23" t="str">
        <f>HYPERLINK("https://www.spark-marketing.ru/Card/Person/1766366", "МАУ ГОЩ ""МФЦ ГОРОДСКОГО ОКРУГА ЩЁЛКОВО""")</f>
        <v>МАУ ГОЩ "МФЦ ГОРОДСКОГО ОКРУГА ЩЁЛКОВО"</v>
      </c>
      <c r="B11278" s="24" t="s">
        <v>9283</v>
      </c>
      <c r="C11278" s="25">
        <v>44156.52</v>
      </c>
      <c r="D11278" s="22" t="s">
        <v>13549</v>
      </c>
      <c r="E11278" s="22" t="s">
        <v>9285</v>
      </c>
      <c r="F11278" s="23" t="str">
        <f>HYPERLINK("https://www.spark-marketing.ru/Card/Lot/69071386", "Возмещение эксплуатационных расходов по коммунальным и охранным услугам (Московская область, г. Щёлково, ул. Радиоцентр №5, д. 16)")</f>
        <v>Возмещение эксплуатационных расходов по коммунальным и охранным услугам (Московская область, г. Щёлково, ул. Радиоцентр №5, д. 16)</v>
      </c>
      <c r="G11278" s="22" t="s">
        <v>50</v>
      </c>
      <c r="H11278" s="22" t="s">
        <v>458</v>
      </c>
      <c r="I11278" s="26">
        <v>43551.677326388897</v>
      </c>
      <c r="J11278" s="23" t="str">
        <f>HYPERLINK("https://www.spark-marketing.ru/Card/Person/6313566", "ООО ""СТРОЙИНВЕСТ-Л""")</f>
        <v>ООО "СТРОЙИНВЕСТ-Л"</v>
      </c>
      <c r="K11278" s="24" t="s">
        <v>9286</v>
      </c>
      <c r="L11278" s="28" t="s">
        <v>52</v>
      </c>
      <c r="M11278" s="25">
        <v>44156.52</v>
      </c>
      <c r="N11278" s="27">
        <v>0</v>
      </c>
    </row>
    <row r="11279" spans="1:14" x14ac:dyDescent="0.15">
      <c r="A11279" s="23" t="str">
        <f>HYPERLINK("https://www.spark-marketing.ru/Card/Person/84949", "СУ СК РОССИИ ПО РЕСПУБЛИКЕ САХА (ЯКУТИЯ)")</f>
        <v>СУ СК РОССИИ ПО РЕСПУБЛИКЕ САХА (ЯКУТИЯ)</v>
      </c>
      <c r="B11279" s="24" t="s">
        <v>9648</v>
      </c>
      <c r="C11279" s="25">
        <v>17561.7</v>
      </c>
      <c r="D11279" s="22" t="s">
        <v>13550</v>
      </c>
      <c r="E11279" s="22" t="s">
        <v>9650</v>
      </c>
      <c r="F11279" s="23" t="str">
        <f>HYPERLINK("https://www.spark-marketing.ru/Card/Lot/69060429", "Услуги по охране объектов при помощи кнопок тревожной сигнализации.")</f>
        <v>Услуги по охране объектов при помощи кнопок тревожной сигнализации.</v>
      </c>
      <c r="G11279" s="22" t="s">
        <v>424</v>
      </c>
      <c r="H11279" s="22" t="s">
        <v>424</v>
      </c>
      <c r="I11279" s="26">
        <v>43551.694444444402</v>
      </c>
      <c r="J11279" s="28" t="s">
        <v>52</v>
      </c>
      <c r="K11279" s="28" t="s">
        <v>52</v>
      </c>
      <c r="L11279" s="28" t="s">
        <v>52</v>
      </c>
      <c r="M11279" s="28" t="s">
        <v>52</v>
      </c>
      <c r="N11279" s="28" t="s">
        <v>52</v>
      </c>
    </row>
    <row r="11280" spans="1:14" x14ac:dyDescent="0.15">
      <c r="A11280" s="23" t="str">
        <f>HYPERLINK("https://www.spark-marketing.ru/Card/Person/51632", "СУ СК РОССИИ ПО КАМЧАТСКОМУ КРАЮ")</f>
        <v>СУ СК РОССИИ ПО КАМЧАТСКОМУ КРАЮ</v>
      </c>
      <c r="B11280" s="24" t="s">
        <v>13551</v>
      </c>
      <c r="C11280" s="25">
        <v>89495.28</v>
      </c>
      <c r="D11280" s="22" t="s">
        <v>13552</v>
      </c>
      <c r="E11280" s="22" t="s">
        <v>68</v>
      </c>
      <c r="F11280" s="23" t="str">
        <f>HYPERLINK("https://www.spark-marketing.ru/Card/Lot/69049065", "Услуги охраны объектов СУ при помощи ПЦУ в следственном отделе по ЗАТО г. Вилючинск")</f>
        <v>Услуги охраны объектов СУ при помощи ПЦУ в следственном отделе по ЗАТО г. Вилючинск</v>
      </c>
      <c r="G11280" s="22" t="s">
        <v>1141</v>
      </c>
      <c r="H11280" s="22" t="s">
        <v>13553</v>
      </c>
      <c r="I11280" s="26">
        <v>43551.686111111099</v>
      </c>
      <c r="J11280" s="28" t="s">
        <v>52</v>
      </c>
      <c r="K11280" s="28" t="s">
        <v>52</v>
      </c>
      <c r="L11280" s="28" t="s">
        <v>52</v>
      </c>
      <c r="M11280" s="28" t="s">
        <v>52</v>
      </c>
      <c r="N11280" s="28" t="s">
        <v>52</v>
      </c>
    </row>
    <row r="11281" spans="1:14" x14ac:dyDescent="0.15">
      <c r="A11281" s="23" t="str">
        <f>HYPERLINK("https://www.spark-marketing.ru/Card/Person/3509669", "БАНК РОССИИ")</f>
        <v>БАНК РОССИИ</v>
      </c>
      <c r="B11281" s="24" t="s">
        <v>624</v>
      </c>
      <c r="C11281" s="28" t="s">
        <v>52</v>
      </c>
      <c r="D11281" s="22" t="s">
        <v>13554</v>
      </c>
      <c r="E11281" s="22" t="s">
        <v>194</v>
      </c>
      <c r="F11281" s="23" t="str">
        <f>HYPERLINK("https://www.spark-marketing.ru/Card/Lot/69079538", "Закупка настенно-напольного кронштейна для установки видеостены в конференц-зале")</f>
        <v>Закупка настенно-напольного кронштейна для установки видеостены в конференц-зале</v>
      </c>
      <c r="G11281" s="22" t="s">
        <v>55</v>
      </c>
      <c r="H11281" s="22" t="s">
        <v>55</v>
      </c>
      <c r="I11281" s="26">
        <v>43551.680601851898</v>
      </c>
      <c r="J11281" s="28" t="s">
        <v>52</v>
      </c>
      <c r="K11281" s="28" t="s">
        <v>52</v>
      </c>
      <c r="L11281" s="28" t="s">
        <v>52</v>
      </c>
      <c r="M11281" s="28" t="s">
        <v>52</v>
      </c>
      <c r="N11281" s="28" t="s">
        <v>52</v>
      </c>
    </row>
    <row r="11282" spans="1:14" x14ac:dyDescent="0.2">
      <c r="A11282" s="23" t="str">
        <f>HYPERLINK("https://www.spark-marketing.ru/Card/Person/503616", "ГАПОУ ВО ""ГХТК""")</f>
        <v>ГАПОУ ВО "ГХТК"</v>
      </c>
      <c r="B11282" s="24" t="s">
        <v>13555</v>
      </c>
      <c r="C11282" s="25">
        <v>687960</v>
      </c>
      <c r="D11282" s="22" t="s">
        <v>13556</v>
      </c>
      <c r="E11282" s="22" t="s">
        <v>4271</v>
      </c>
      <c r="F11282" s="23" t="str">
        <f>HYPERLINK("https://www.spark-marketing.ru/Card/Lot/69071207", "Оказание охранных услуг")</f>
        <v>Оказание охранных услуг</v>
      </c>
      <c r="G11282" s="22" t="s">
        <v>145</v>
      </c>
      <c r="H11282" s="22" t="s">
        <v>145</v>
      </c>
      <c r="I11282" s="26">
        <v>43551.673321759299</v>
      </c>
      <c r="J11282" s="23" t="str">
        <f>HYPERLINK("https://www.spark-marketing.ru/Card/Person/4399395", "ООО ЧОО ""ОЛИМП XXI ВЕК""")</f>
        <v>ООО ЧОО "ОЛИМП XXI ВЕК"</v>
      </c>
      <c r="K11282" s="24" t="s">
        <v>13557</v>
      </c>
      <c r="L11282" s="28" t="s">
        <v>52</v>
      </c>
      <c r="M11282" s="25">
        <v>573300</v>
      </c>
      <c r="N11282" s="27">
        <v>0.16666666666666666</v>
      </c>
    </row>
    <row r="11283" spans="1:14" x14ac:dyDescent="0.15">
      <c r="A11283" s="23" t="str">
        <f t="shared" ref="A11283:A11290" si="568">HYPERLINK("https://www.spark-marketing.ru/Card/Person/1562", "ГБУЗ ""МНПЦ БОРЬБЫ С ТУБЕРКУЛЕЗОМ ДЗМ""")</f>
        <v>ГБУЗ "МНПЦ БОРЬБЫ С ТУБЕРКУЛЕЗОМ ДЗМ"</v>
      </c>
      <c r="B11283" s="24" t="s">
        <v>13558</v>
      </c>
      <c r="C11283" s="25">
        <v>6649167.5599999996</v>
      </c>
      <c r="D11283" s="22" t="s">
        <v>13559</v>
      </c>
      <c r="E11283" s="22" t="s">
        <v>103</v>
      </c>
      <c r="F11283" s="23" t="str">
        <f t="shared" ref="F11283:F11290" si="569">HYPERLINK("https://www.spark-marketing.ru/Card/Lot/69072568", "Оказание услуг по техническому обслуживанию палатной сигнализации в ГБУЗ ""МНПЦ борьбы с туберкулезом ДЗМ""")</f>
        <v>Оказание услуг по техническому обслуживанию палатной сигнализации в ГБУЗ "МНПЦ борьбы с туберкулезом ДЗМ"</v>
      </c>
      <c r="G11283" s="22" t="s">
        <v>55</v>
      </c>
      <c r="H11283" s="22" t="s">
        <v>55</v>
      </c>
      <c r="I11283" s="26">
        <v>43551.659027777801</v>
      </c>
      <c r="J11283" s="28" t="s">
        <v>52</v>
      </c>
      <c r="K11283" s="28" t="s">
        <v>52</v>
      </c>
      <c r="L11283" s="28" t="s">
        <v>52</v>
      </c>
      <c r="M11283" s="28" t="s">
        <v>52</v>
      </c>
      <c r="N11283" s="28" t="s">
        <v>52</v>
      </c>
    </row>
    <row r="11284" spans="1:14" ht="12.75" hidden="1" outlineLevel="1" x14ac:dyDescent="0.2">
      <c r="A11284" s="23" t="str">
        <f t="shared" si="568"/>
        <v>ГБУЗ "МНПЦ БОРЬБЫ С ТУБЕРКУЛЕЗОМ ДЗМ"</v>
      </c>
      <c r="B11284" s="24" t="s">
        <v>13558</v>
      </c>
      <c r="C11284" s="25">
        <v>6649167.5599999996</v>
      </c>
      <c r="D11284" s="22" t="s">
        <v>13559</v>
      </c>
      <c r="E11284" s="22" t="s">
        <v>103</v>
      </c>
      <c r="F11284" s="23" t="str">
        <f t="shared" si="569"/>
        <v>Оказание услуг по техническому обслуживанию палатной сигнализации в ГБУЗ "МНПЦ борьбы с туберкулезом ДЗМ"</v>
      </c>
      <c r="G11284" s="22" t="s">
        <v>55</v>
      </c>
      <c r="H11284" s="22" t="s">
        <v>55</v>
      </c>
      <c r="I11284" s="26">
        <v>43551.659027777801</v>
      </c>
      <c r="J11284" s="23" t="str">
        <f>HYPERLINK("https://www.spark-marketing.ru/Card/Person/4347116", "ООО ""СК МАШМОНТАЖ""")</f>
        <v>ООО "СК МАШМОНТАЖ"</v>
      </c>
      <c r="K11284" s="24" t="s">
        <v>13560</v>
      </c>
      <c r="L11284" s="22" t="s">
        <v>10</v>
      </c>
      <c r="M11284" s="25">
        <v>764654.14</v>
      </c>
      <c r="N11284" s="27">
        <v>0.88500001946108275</v>
      </c>
    </row>
    <row r="11285" spans="1:14" hidden="1" outlineLevel="1" x14ac:dyDescent="0.2">
      <c r="A11285" s="23" t="str">
        <f t="shared" si="568"/>
        <v>ГБУЗ "МНПЦ БОРЬБЫ С ТУБЕРКУЛЕЗОМ ДЗМ"</v>
      </c>
      <c r="B11285" s="24" t="s">
        <v>13558</v>
      </c>
      <c r="C11285" s="25">
        <v>6649167.5599999996</v>
      </c>
      <c r="D11285" s="22" t="s">
        <v>13559</v>
      </c>
      <c r="E11285" s="22" t="s">
        <v>103</v>
      </c>
      <c r="F11285" s="23" t="str">
        <f t="shared" si="569"/>
        <v>Оказание услуг по техническому обслуживанию палатной сигнализации в ГБУЗ "МНПЦ борьбы с туберкулезом ДЗМ"</v>
      </c>
      <c r="G11285" s="22" t="s">
        <v>55</v>
      </c>
      <c r="H11285" s="22" t="s">
        <v>55</v>
      </c>
      <c r="I11285" s="26">
        <v>43551.659027777801</v>
      </c>
      <c r="J11285" s="23" t="str">
        <f>HYPERLINK("https://www.spark-marketing.ru/Card/Person/5969968", "ООО ""АРТДИЗАЙНПРО""")</f>
        <v>ООО "АРТДИЗАЙНПРО"</v>
      </c>
      <c r="K11285" s="24" t="s">
        <v>8545</v>
      </c>
      <c r="L11285" s="28" t="s">
        <v>52</v>
      </c>
      <c r="M11285" s="25">
        <v>4222221.3600000003</v>
      </c>
      <c r="N11285" s="27">
        <v>0.36500000610602751</v>
      </c>
    </row>
    <row r="11286" spans="1:14" hidden="1" outlineLevel="1" x14ac:dyDescent="0.2">
      <c r="A11286" s="23" t="str">
        <f t="shared" si="568"/>
        <v>ГБУЗ "МНПЦ БОРЬБЫ С ТУБЕРКУЛЕЗОМ ДЗМ"</v>
      </c>
      <c r="B11286" s="24" t="s">
        <v>13558</v>
      </c>
      <c r="C11286" s="25">
        <v>6649167.5599999996</v>
      </c>
      <c r="D11286" s="22" t="s">
        <v>13559</v>
      </c>
      <c r="E11286" s="22" t="s">
        <v>103</v>
      </c>
      <c r="F11286" s="23" t="str">
        <f t="shared" si="569"/>
        <v>Оказание услуг по техническому обслуживанию палатной сигнализации в ГБУЗ "МНПЦ борьбы с туберкулезом ДЗМ"</v>
      </c>
      <c r="G11286" s="22" t="s">
        <v>55</v>
      </c>
      <c r="H11286" s="22" t="s">
        <v>55</v>
      </c>
      <c r="I11286" s="26">
        <v>43551.659027777801</v>
      </c>
      <c r="J11286" s="23" t="str">
        <f>HYPERLINK("https://www.spark-marketing.ru/Card/Person/6218387", "ООО ""КАПИТАЛ СТРОЙ""")</f>
        <v>ООО "КАПИТАЛ СТРОЙ"</v>
      </c>
      <c r="K11286" s="24" t="s">
        <v>10679</v>
      </c>
      <c r="L11286" s="28" t="s">
        <v>52</v>
      </c>
      <c r="M11286" s="25">
        <v>4199999</v>
      </c>
      <c r="N11286" s="27">
        <v>0.36834213274059829</v>
      </c>
    </row>
    <row r="11287" spans="1:14" hidden="1" outlineLevel="1" x14ac:dyDescent="0.2">
      <c r="A11287" s="23" t="str">
        <f t="shared" si="568"/>
        <v>ГБУЗ "МНПЦ БОРЬБЫ С ТУБЕРКУЛЕЗОМ ДЗМ"</v>
      </c>
      <c r="B11287" s="24" t="s">
        <v>13558</v>
      </c>
      <c r="C11287" s="25">
        <v>6649167.5599999996</v>
      </c>
      <c r="D11287" s="22" t="s">
        <v>13559</v>
      </c>
      <c r="E11287" s="22" t="s">
        <v>103</v>
      </c>
      <c r="F11287" s="23" t="str">
        <f t="shared" si="569"/>
        <v>Оказание услуг по техническому обслуживанию палатной сигнализации в ГБУЗ "МНПЦ борьбы с туберкулезом ДЗМ"</v>
      </c>
      <c r="G11287" s="22" t="s">
        <v>55</v>
      </c>
      <c r="H11287" s="22" t="s">
        <v>55</v>
      </c>
      <c r="I11287" s="26">
        <v>43551.659027777801</v>
      </c>
      <c r="J11287" s="23" t="str">
        <f>HYPERLINK("https://www.spark-marketing.ru/Card/Person/6218389", "ООО ""АСУС""")</f>
        <v>ООО "АСУС"</v>
      </c>
      <c r="K11287" s="24" t="s">
        <v>13561</v>
      </c>
      <c r="L11287" s="28" t="s">
        <v>52</v>
      </c>
      <c r="M11287" s="25">
        <v>731408.3</v>
      </c>
      <c r="N11287" s="27">
        <v>0.8900000197919512</v>
      </c>
    </row>
    <row r="11288" spans="1:14" hidden="1" outlineLevel="1" x14ac:dyDescent="0.2">
      <c r="A11288" s="23" t="str">
        <f t="shared" si="568"/>
        <v>ГБУЗ "МНПЦ БОРЬБЫ С ТУБЕРКУЛЕЗОМ ДЗМ"</v>
      </c>
      <c r="B11288" s="24" t="s">
        <v>13558</v>
      </c>
      <c r="C11288" s="25">
        <v>6649167.5599999996</v>
      </c>
      <c r="D11288" s="22" t="s">
        <v>13559</v>
      </c>
      <c r="E11288" s="22" t="s">
        <v>103</v>
      </c>
      <c r="F11288" s="23" t="str">
        <f t="shared" si="569"/>
        <v>Оказание услуг по техническому обслуживанию палатной сигнализации в ГБУЗ "МНПЦ борьбы с туберкулезом ДЗМ"</v>
      </c>
      <c r="G11288" s="22" t="s">
        <v>55</v>
      </c>
      <c r="H11288" s="22" t="s">
        <v>55</v>
      </c>
      <c r="I11288" s="26">
        <v>43551.659027777801</v>
      </c>
      <c r="J11288" s="23" t="str">
        <f>HYPERLINK("https://www.spark-marketing.ru/Card/Person/6316283", "Варзанова Екатерина Олеговна")</f>
        <v>Варзанова Екатерина Олеговна</v>
      </c>
      <c r="K11288" s="24" t="s">
        <v>2059</v>
      </c>
      <c r="L11288" s="28" t="s">
        <v>52</v>
      </c>
      <c r="M11288" s="25">
        <v>2027996.04</v>
      </c>
      <c r="N11288" s="27">
        <v>0.69500000989597566</v>
      </c>
    </row>
    <row r="11289" spans="1:14" hidden="1" outlineLevel="1" x14ac:dyDescent="0.2">
      <c r="A11289" s="23" t="str">
        <f t="shared" si="568"/>
        <v>ГБУЗ "МНПЦ БОРЬБЫ С ТУБЕРКУЛЕЗОМ ДЗМ"</v>
      </c>
      <c r="B11289" s="24" t="s">
        <v>13558</v>
      </c>
      <c r="C11289" s="25">
        <v>6649167.5599999996</v>
      </c>
      <c r="D11289" s="22" t="s">
        <v>13559</v>
      </c>
      <c r="E11289" s="22" t="s">
        <v>103</v>
      </c>
      <c r="F11289" s="23" t="str">
        <f t="shared" si="569"/>
        <v>Оказание услуг по техническому обслуживанию палатной сигнализации в ГБУЗ "МНПЦ борьбы с туберкулезом ДЗМ"</v>
      </c>
      <c r="G11289" s="22" t="s">
        <v>55</v>
      </c>
      <c r="H11289" s="22" t="s">
        <v>55</v>
      </c>
      <c r="I11289" s="26">
        <v>43551.659027777801</v>
      </c>
      <c r="J11289" s="23" t="str">
        <f>HYPERLINK("https://www.spark-marketing.ru/Card/Person/6395214", "ООО ""ПРОФМОНТАЖ""")</f>
        <v>ООО "ПРОФМОНТАЖ"</v>
      </c>
      <c r="K11289" s="24" t="s">
        <v>13562</v>
      </c>
      <c r="L11289" s="28" t="s">
        <v>52</v>
      </c>
      <c r="M11289" s="25">
        <v>1429570.94</v>
      </c>
      <c r="N11289" s="27">
        <v>0.78500001284371301</v>
      </c>
    </row>
    <row r="11290" spans="1:14" hidden="1" outlineLevel="1" x14ac:dyDescent="0.2">
      <c r="A11290" s="23" t="str">
        <f t="shared" si="568"/>
        <v>ГБУЗ "МНПЦ БОРЬБЫ С ТУБЕРКУЛЕЗОМ ДЗМ"</v>
      </c>
      <c r="B11290" s="24" t="s">
        <v>13558</v>
      </c>
      <c r="C11290" s="25">
        <v>6649167.5599999996</v>
      </c>
      <c r="D11290" s="22" t="s">
        <v>13559</v>
      </c>
      <c r="E11290" s="22" t="s">
        <v>103</v>
      </c>
      <c r="F11290" s="23" t="str">
        <f t="shared" si="569"/>
        <v>Оказание услуг по техническому обслуживанию палатной сигнализации в ГБУЗ "МНПЦ борьбы с туберкулезом ДЗМ"</v>
      </c>
      <c r="G11290" s="22" t="s">
        <v>55</v>
      </c>
      <c r="H11290" s="22" t="s">
        <v>55</v>
      </c>
      <c r="I11290" s="26">
        <v>43551.659027777801</v>
      </c>
      <c r="J11290" s="23" t="str">
        <f>HYPERLINK("https://www.spark-marketing.ru/Card/Person/6441268", "ООО ""СЕРВИСПРОФ""")</f>
        <v>ООО "СЕРВИСПРОФ"</v>
      </c>
      <c r="K11290" s="24" t="s">
        <v>4830</v>
      </c>
      <c r="L11290" s="28" t="s">
        <v>52</v>
      </c>
      <c r="M11290" s="25">
        <v>4554679.74</v>
      </c>
      <c r="N11290" s="27">
        <v>0.31500000580523796</v>
      </c>
    </row>
    <row r="11291" spans="1:14" x14ac:dyDescent="0.15">
      <c r="A11291" s="23" t="str">
        <f>HYPERLINK("https://www.spark-marketing.ru/Card/Person/8271", "АДМИНИСТРАЦИЯ ГОРОДСКОГО ПОСЕЛЕНИЯ ""ГОРОД ВЯЗЕМСКИЙ"" ВЯЗЕМСКОГО МУНИЦИПАЛЬНОГО РАЙОНА ХАБАРОВСКОГО КРАЯ")</f>
        <v>АДМИНИСТРАЦИЯ ГОРОДСКОГО ПОСЕЛЕНИЯ "ГОРОД ВЯЗЕМСКИЙ" ВЯЗЕМСКОГО МУНИЦИПАЛЬНОГО РАЙОНА ХАБАРОВСКОГО КРАЯ</v>
      </c>
      <c r="B11291" s="24" t="s">
        <v>13563</v>
      </c>
      <c r="C11291" s="25">
        <v>250760</v>
      </c>
      <c r="D11291" s="22" t="s">
        <v>13564</v>
      </c>
      <c r="E11291" s="22" t="s">
        <v>1013</v>
      </c>
      <c r="F11291" s="23" t="str">
        <f>HYPERLINK("https://www.spark-marketing.ru/Card/Lot/69053586", "Оказание услуг по техническому обслуживанию системы видеонаблюдения на территории городского поселения ""Город Вяземский""")</f>
        <v>Оказание услуг по техническому обслуживанию системы видеонаблюдения на территории городского поселения "Город Вяземский"</v>
      </c>
      <c r="G11291" s="22" t="s">
        <v>138</v>
      </c>
      <c r="H11291" s="22" t="s">
        <v>13565</v>
      </c>
      <c r="I11291" s="26">
        <v>43551.661111111098</v>
      </c>
      <c r="J11291" s="28" t="s">
        <v>52</v>
      </c>
      <c r="K11291" s="28" t="s">
        <v>52</v>
      </c>
      <c r="L11291" s="28" t="s">
        <v>52</v>
      </c>
      <c r="M11291" s="28" t="s">
        <v>52</v>
      </c>
      <c r="N11291" s="28" t="s">
        <v>52</v>
      </c>
    </row>
    <row r="11292" spans="1:14" hidden="1" outlineLevel="1" x14ac:dyDescent="0.2">
      <c r="A11292" s="23" t="str">
        <f>HYPERLINK("https://www.spark-marketing.ru/Card/Person/8271", "АДМИНИСТРАЦИЯ ГОРОДСКОГО ПОСЕЛЕНИЯ ""ГОРОД ВЯЗЕМСКИЙ"" ВЯЗЕМСКОГО МУНИЦИПАЛЬНОГО РАЙОНА ХАБАРОВСКОГО КРАЯ")</f>
        <v>АДМИНИСТРАЦИЯ ГОРОДСКОГО ПОСЕЛЕНИЯ "ГОРОД ВЯЗЕМСКИЙ" ВЯЗЕМСКОГО МУНИЦИПАЛЬНОГО РАЙОНА ХАБАРОВСКОГО КРАЯ</v>
      </c>
      <c r="B11292" s="24" t="s">
        <v>13563</v>
      </c>
      <c r="C11292" s="25">
        <v>250760</v>
      </c>
      <c r="D11292" s="22" t="s">
        <v>13564</v>
      </c>
      <c r="E11292" s="22" t="s">
        <v>1013</v>
      </c>
      <c r="F11292" s="23" t="str">
        <f>HYPERLINK("https://www.spark-marketing.ru/Card/Lot/69053586", "Оказание услуг по техническому обслуживанию системы видеонаблюдения на территории городского поселения ""Город Вяземский""")</f>
        <v>Оказание услуг по техническому обслуживанию системы видеонаблюдения на территории городского поселения "Город Вяземский"</v>
      </c>
      <c r="G11292" s="22" t="s">
        <v>138</v>
      </c>
      <c r="H11292" s="22" t="s">
        <v>13565</v>
      </c>
      <c r="I11292" s="26">
        <v>43551.661111111098</v>
      </c>
      <c r="J11292" s="23" t="str">
        <f>HYPERLINK("https://www.spark-marketing.ru/Card/Person/242773", "Борисов Андрей Александрович")</f>
        <v>Борисов Андрей Александрович</v>
      </c>
      <c r="K11292" s="24" t="s">
        <v>13566</v>
      </c>
      <c r="L11292" s="28" t="s">
        <v>52</v>
      </c>
      <c r="M11292" s="25">
        <v>164492.4</v>
      </c>
      <c r="N11292" s="27">
        <v>0.34402456532142289</v>
      </c>
    </row>
    <row r="11293" spans="1:14" ht="12.75" hidden="1" outlineLevel="1" x14ac:dyDescent="0.2">
      <c r="A11293" s="23" t="str">
        <f>HYPERLINK("https://www.spark-marketing.ru/Card/Person/8271", "АДМИНИСТРАЦИЯ ГОРОДСКОГО ПОСЕЛЕНИЯ ""ГОРОД ВЯЗЕМСКИЙ"" ВЯЗЕМСКОГО МУНИЦИПАЛЬНОГО РАЙОНА ХАБАРОВСКОГО КРАЯ")</f>
        <v>АДМИНИСТРАЦИЯ ГОРОДСКОГО ПОСЕЛЕНИЯ "ГОРОД ВЯЗЕМСКИЙ" ВЯЗЕМСКОГО МУНИЦИПАЛЬНОГО РАЙОНА ХАБАРОВСКОГО КРАЯ</v>
      </c>
      <c r="B11293" s="24" t="s">
        <v>13563</v>
      </c>
      <c r="C11293" s="25">
        <v>250760</v>
      </c>
      <c r="D11293" s="22" t="s">
        <v>13564</v>
      </c>
      <c r="E11293" s="22" t="s">
        <v>1013</v>
      </c>
      <c r="F11293" s="23" t="str">
        <f>HYPERLINK("https://www.spark-marketing.ru/Card/Lot/69053586", "Оказание услуг по техническому обслуживанию системы видеонаблюдения на территории городского поселения ""Город Вяземский""")</f>
        <v>Оказание услуг по техническому обслуживанию системы видеонаблюдения на территории городского поселения "Город Вяземский"</v>
      </c>
      <c r="G11293" s="22" t="s">
        <v>138</v>
      </c>
      <c r="H11293" s="22" t="s">
        <v>13565</v>
      </c>
      <c r="I11293" s="26">
        <v>43551.661111111098</v>
      </c>
      <c r="J11293" s="23" t="str">
        <f>HYPERLINK("https://www.spark-marketing.ru/Card/Person/4934814", "Васильев Иван Иванович")</f>
        <v>Васильев Иван Иванович</v>
      </c>
      <c r="K11293" s="24" t="s">
        <v>13567</v>
      </c>
      <c r="L11293" s="22" t="s">
        <v>10</v>
      </c>
      <c r="M11293" s="25">
        <v>162992.4</v>
      </c>
      <c r="N11293" s="27">
        <v>0.35000638060296696</v>
      </c>
    </row>
    <row r="11294" spans="1:14" hidden="1" outlineLevel="1" x14ac:dyDescent="0.2">
      <c r="A11294" s="23" t="str">
        <f>HYPERLINK("https://www.spark-marketing.ru/Card/Person/8271", "АДМИНИСТРАЦИЯ ГОРОДСКОГО ПОСЕЛЕНИЯ ""ГОРОД ВЯЗЕМСКИЙ"" ВЯЗЕМСКОГО МУНИЦИПАЛЬНОГО РАЙОНА ХАБАРОВСКОГО КРАЯ")</f>
        <v>АДМИНИСТРАЦИЯ ГОРОДСКОГО ПОСЕЛЕНИЯ "ГОРОД ВЯЗЕМСКИЙ" ВЯЗЕМСКОГО МУНИЦИПАЛЬНОГО РАЙОНА ХАБАРОВСКОГО КРАЯ</v>
      </c>
      <c r="B11294" s="24" t="s">
        <v>13563</v>
      </c>
      <c r="C11294" s="25">
        <v>250760</v>
      </c>
      <c r="D11294" s="22" t="s">
        <v>13564</v>
      </c>
      <c r="E11294" s="22" t="s">
        <v>1013</v>
      </c>
      <c r="F11294" s="23" t="str">
        <f>HYPERLINK("https://www.spark-marketing.ru/Card/Lot/69053586", "Оказание услуг по техническому обслуживанию системы видеонаблюдения на территории городского поселения ""Город Вяземский""")</f>
        <v>Оказание услуг по техническому обслуживанию системы видеонаблюдения на территории городского поселения "Город Вяземский"</v>
      </c>
      <c r="G11294" s="22" t="s">
        <v>138</v>
      </c>
      <c r="H11294" s="22" t="s">
        <v>13565</v>
      </c>
      <c r="I11294" s="26">
        <v>43551.661111111098</v>
      </c>
      <c r="J11294" s="23" t="str">
        <f>HYPERLINK("https://www.spark-marketing.ru/Card/Person/492378", "Мироненко Игорь Васильевич")</f>
        <v>Мироненко Игорь Васильевич</v>
      </c>
      <c r="K11294" s="24" t="s">
        <v>13568</v>
      </c>
      <c r="L11294" s="28" t="s">
        <v>52</v>
      </c>
      <c r="M11294" s="25">
        <v>170000</v>
      </c>
      <c r="N11294" s="27">
        <v>0.32206093475833464</v>
      </c>
    </row>
    <row r="11295" spans="1:14" x14ac:dyDescent="0.15">
      <c r="A11295" s="23" t="str">
        <f>HYPERLINK("https://www.spark-marketing.ru/Card/Person/61001", "МБОУ СОШ № 2 Г.О. КРАСНОАРМЕЙСК")</f>
        <v>МБОУ СОШ № 2 Г.О. КРАСНОАРМЕЙСК</v>
      </c>
      <c r="B11295" s="24" t="s">
        <v>13569</v>
      </c>
      <c r="C11295" s="25">
        <v>53100</v>
      </c>
      <c r="D11295" s="22" t="s">
        <v>13570</v>
      </c>
      <c r="E11295" s="22" t="s">
        <v>103</v>
      </c>
      <c r="F11295" s="23" t="str">
        <f>HYPERLINK("https://www.spark-marketing.ru/Card/Lot/69068444", "оказание услуг по обслуживанию системы видеонаблюдения и видеодомофонов в здании и на территории")</f>
        <v>оказание услуг по обслуживанию системы видеонаблюдения и видеодомофонов в здании и на территории</v>
      </c>
      <c r="G11295" s="22" t="s">
        <v>50</v>
      </c>
      <c r="H11295" s="22" t="s">
        <v>2957</v>
      </c>
      <c r="I11295" s="26">
        <v>43551.659594907404</v>
      </c>
      <c r="J11295" s="28" t="s">
        <v>52</v>
      </c>
      <c r="K11295" s="28" t="s">
        <v>52</v>
      </c>
      <c r="L11295" s="28" t="s">
        <v>52</v>
      </c>
      <c r="M11295" s="28" t="s">
        <v>52</v>
      </c>
      <c r="N11295" s="28" t="s">
        <v>52</v>
      </c>
    </row>
    <row r="11296" spans="1:14" x14ac:dyDescent="0.15">
      <c r="A11296" s="23" t="str">
        <f>HYPERLINK("https://www.spark-marketing.ru/Card/Person/403432", "МАУ ДО ДЮЦ ""ФАВОРИТ"" Г.ПЕРМИ")</f>
        <v>МАУ ДО ДЮЦ "ФАВОРИТ" Г.ПЕРМИ</v>
      </c>
      <c r="B11296" s="24" t="s">
        <v>13571</v>
      </c>
      <c r="C11296" s="25">
        <v>955545</v>
      </c>
      <c r="D11296" s="22" t="s">
        <v>13572</v>
      </c>
      <c r="E11296" s="22" t="s">
        <v>13573</v>
      </c>
      <c r="F11296" s="23" t="str">
        <f>HYPERLINK("https://www.spark-marketing.ru/Card/Lot/69062481", "Охрана объектов муниципального автономного учреждения дополнительного образования «Детско-юношеский центр «Фаворит» г. Перми.")</f>
        <v>Охрана объектов муниципального автономного учреждения дополнительного образования «Детско-юношеский центр «Фаворит» г. Перми.</v>
      </c>
      <c r="G11296" s="22" t="s">
        <v>391</v>
      </c>
      <c r="H11296" s="22" t="s">
        <v>391</v>
      </c>
      <c r="I11296" s="26">
        <v>43551.6323611111</v>
      </c>
      <c r="J11296" s="28" t="s">
        <v>52</v>
      </c>
      <c r="K11296" s="28" t="s">
        <v>52</v>
      </c>
      <c r="L11296" s="28" t="s">
        <v>52</v>
      </c>
      <c r="M11296" s="28" t="s">
        <v>52</v>
      </c>
      <c r="N11296" s="28" t="s">
        <v>52</v>
      </c>
    </row>
    <row r="11297" spans="1:14" hidden="1" outlineLevel="1" x14ac:dyDescent="0.2">
      <c r="A11297" s="23" t="str">
        <f>HYPERLINK("https://www.spark-marketing.ru/Card/Person/403432", "МАУ ДО ДЮЦ ""ФАВОРИТ"" Г.ПЕРМИ")</f>
        <v>МАУ ДО ДЮЦ "ФАВОРИТ" Г.ПЕРМИ</v>
      </c>
      <c r="B11297" s="24" t="s">
        <v>13571</v>
      </c>
      <c r="C11297" s="28" t="s">
        <v>52</v>
      </c>
      <c r="D11297" s="22" t="s">
        <v>13572</v>
      </c>
      <c r="E11297" s="22" t="s">
        <v>13573</v>
      </c>
      <c r="F11297" s="23" t="str">
        <f>HYPERLINK("https://www.spark-marketing.ru/Card/Lot/69062481", "Охрана объектов муниципального автономного учреждения дополнительного образования «Детско-юношеский центр «Фаворит» г. Перми.")</f>
        <v>Охрана объектов муниципального автономного учреждения дополнительного образования «Детско-юношеский центр «Фаворит» г. Перми.</v>
      </c>
      <c r="G11297" s="22" t="s">
        <v>391</v>
      </c>
      <c r="H11297" s="22" t="s">
        <v>391</v>
      </c>
      <c r="I11297" s="26">
        <v>43551.6323611111</v>
      </c>
      <c r="J11297" s="23" t="str">
        <f>HYPERLINK("https://www.spark-marketing.ru/Card/Person/47533", "ООО ""ОА ""КСС""")</f>
        <v>ООО "ОА "КСС"</v>
      </c>
      <c r="K11297" s="24" t="s">
        <v>13574</v>
      </c>
      <c r="L11297" s="22" t="s">
        <v>10</v>
      </c>
      <c r="M11297" s="25">
        <v>884865.36</v>
      </c>
      <c r="N11297" s="27">
        <v>7.3967882203349919E-2</v>
      </c>
    </row>
    <row r="11298" spans="1:14" hidden="1" outlineLevel="1" x14ac:dyDescent="0.2">
      <c r="A11298" s="23" t="str">
        <f>HYPERLINK("https://www.spark-marketing.ru/Card/Person/403432", "МАУ ДО ДЮЦ ""ФАВОРИТ"" Г.ПЕРМИ")</f>
        <v>МАУ ДО ДЮЦ "ФАВОРИТ" Г.ПЕРМИ</v>
      </c>
      <c r="B11298" s="24" t="s">
        <v>13571</v>
      </c>
      <c r="C11298" s="28" t="s">
        <v>52</v>
      </c>
      <c r="D11298" s="22" t="s">
        <v>13572</v>
      </c>
      <c r="E11298" s="22" t="s">
        <v>13573</v>
      </c>
      <c r="F11298" s="23" t="str">
        <f>HYPERLINK("https://www.spark-marketing.ru/Card/Lot/69062481", "Охрана объектов муниципального автономного учреждения дополнительного образования «Детско-юношеский центр «Фаворит» г. Перми.")</f>
        <v>Охрана объектов муниципального автономного учреждения дополнительного образования «Детско-юношеский центр «Фаворит» г. Перми.</v>
      </c>
      <c r="G11298" s="22" t="s">
        <v>391</v>
      </c>
      <c r="H11298" s="22" t="s">
        <v>391</v>
      </c>
      <c r="I11298" s="26">
        <v>43551.6323611111</v>
      </c>
      <c r="J11298" s="23" t="str">
        <f>HYPERLINK("https://www.spark-marketing.ru/Card/Person/60932", "ООО ""ОА ""ПРОМЕТЕЙ""")</f>
        <v>ООО "ОА "ПРОМЕТЕЙ"</v>
      </c>
      <c r="K11298" s="24" t="s">
        <v>11889</v>
      </c>
      <c r="L11298" s="28" t="s">
        <v>52</v>
      </c>
      <c r="M11298" s="25">
        <v>673067</v>
      </c>
      <c r="N11298" s="27">
        <v>0.29561977719521321</v>
      </c>
    </row>
    <row r="11299" spans="1:14" hidden="1" outlineLevel="1" x14ac:dyDescent="0.2">
      <c r="A11299" s="23" t="str">
        <f>HYPERLINK("https://www.spark-marketing.ru/Card/Person/403432", "МАУ ДО ДЮЦ ""ФАВОРИТ"" Г.ПЕРМИ")</f>
        <v>МАУ ДО ДЮЦ "ФАВОРИТ" Г.ПЕРМИ</v>
      </c>
      <c r="B11299" s="24" t="s">
        <v>13571</v>
      </c>
      <c r="C11299" s="28" t="s">
        <v>52</v>
      </c>
      <c r="D11299" s="22" t="s">
        <v>13572</v>
      </c>
      <c r="E11299" s="22" t="s">
        <v>13573</v>
      </c>
      <c r="F11299" s="23" t="str">
        <f>HYPERLINK("https://www.spark-marketing.ru/Card/Lot/69062481", "Охрана объектов муниципального автономного учреждения дополнительного образования «Детско-юношеский центр «Фаворит» г. Перми.")</f>
        <v>Охрана объектов муниципального автономного учреждения дополнительного образования «Детско-юношеский центр «Фаворит» г. Перми.</v>
      </c>
      <c r="G11299" s="22" t="s">
        <v>391</v>
      </c>
      <c r="H11299" s="22" t="s">
        <v>391</v>
      </c>
      <c r="I11299" s="26">
        <v>43551.6323611111</v>
      </c>
      <c r="J11299" s="23" t="str">
        <f>HYPERLINK("https://www.spark-marketing.ru/Card/Person/94227", "ООО ""КАПИТАЛ СК""")</f>
        <v>ООО "КАПИТАЛ СК"</v>
      </c>
      <c r="K11299" s="24" t="s">
        <v>11890</v>
      </c>
      <c r="L11299" s="28" t="s">
        <v>52</v>
      </c>
      <c r="M11299" s="25">
        <v>755316</v>
      </c>
      <c r="N11299" s="27">
        <v>0.20954429147763842</v>
      </c>
    </row>
    <row r="11300" spans="1:14" x14ac:dyDescent="0.15">
      <c r="A11300" s="23" t="str">
        <f t="shared" ref="A11300:A11305" si="570">HYPERLINK("https://www.spark-marketing.ru/Card/Person/7616", "ГКУ ""УПРАВЛЕНИЕ СТРОИТЕЛЬСТВА И ДОРОЖНОГО ХОЗЯЙСТВА ПЕНЗЕНСКОЙ ОБЛАСТИ""")</f>
        <v>ГКУ "УПРАВЛЕНИЕ СТРОИТЕЛЬСТВА И ДОРОЖНОГО ХОЗЯЙСТВА ПЕНЗЕНСКОЙ ОБЛАСТИ"</v>
      </c>
      <c r="B11300" s="24" t="s">
        <v>13192</v>
      </c>
      <c r="C11300" s="25">
        <v>2752000</v>
      </c>
      <c r="D11300" s="22" t="s">
        <v>13575</v>
      </c>
      <c r="E11300" s="22" t="s">
        <v>79</v>
      </c>
      <c r="F11300" s="23" t="str">
        <f t="shared" ref="F11300:F11305" si="571">HYPERLINK("https://www.spark-marketing.ru/Card/Lot/69070760", "Установка автоматизированной информационной системы фото-видеофиксации нарушений правил дорожного движения на автомобильной дороге «г. Тамбов- г.Пенза»-р.п. Колышлей - г. Сердобск - р.п. Беково» км 17+900 Пензенского района")</f>
        <v>Установка автоматизированной информационной системы фото-видеофиксации нарушений правил дорожного движения на автомобильной дороге «г. Тамбов- г.Пенза»-р.п. Колышлей - г. Сердобск - р.п. Беково» км 17+900 Пензенского района</v>
      </c>
      <c r="G11300" s="22" t="s">
        <v>514</v>
      </c>
      <c r="H11300" s="22" t="s">
        <v>2167</v>
      </c>
      <c r="I11300" s="26">
        <v>43551.636805555601</v>
      </c>
      <c r="J11300" s="28" t="s">
        <v>52</v>
      </c>
      <c r="K11300" s="28" t="s">
        <v>52</v>
      </c>
      <c r="L11300" s="28" t="s">
        <v>52</v>
      </c>
      <c r="M11300" s="28" t="s">
        <v>52</v>
      </c>
      <c r="N11300" s="28" t="s">
        <v>52</v>
      </c>
    </row>
    <row r="11301" spans="1:14" hidden="1" outlineLevel="1" x14ac:dyDescent="0.2">
      <c r="A11301" s="23" t="str">
        <f t="shared" si="570"/>
        <v>ГКУ "УПРАВЛЕНИЕ СТРОИТЕЛЬСТВА И ДОРОЖНОГО ХОЗЯЙСТВА ПЕНЗЕНСКОЙ ОБЛАСТИ"</v>
      </c>
      <c r="B11301" s="24" t="s">
        <v>13192</v>
      </c>
      <c r="C11301" s="25">
        <v>2752000</v>
      </c>
      <c r="D11301" s="22" t="s">
        <v>13575</v>
      </c>
      <c r="E11301" s="22" t="s">
        <v>79</v>
      </c>
      <c r="F11301" s="23" t="str">
        <f t="shared" si="571"/>
        <v>Установка автоматизированной информационной системы фото-видеофиксации нарушений правил дорожного движения на автомобильной дороге «г. Тамбов- г.Пенза»-р.п. Колышлей - г. Сердобск - р.п. Беково» км 17+900 Пензенского района</v>
      </c>
      <c r="G11301" s="22" t="s">
        <v>514</v>
      </c>
      <c r="H11301" s="22" t="s">
        <v>2167</v>
      </c>
      <c r="I11301" s="26">
        <v>43551.636805555601</v>
      </c>
      <c r="J11301" s="23" t="str">
        <f>HYPERLINK("https://www.spark-marketing.ru/Card/Person/10991", "ПАО ""РОСТЕЛЕКОМ""")</f>
        <v>ПАО "РОСТЕЛЕКОМ"</v>
      </c>
      <c r="K11301" s="24" t="s">
        <v>607</v>
      </c>
      <c r="L11301" s="28" t="s">
        <v>52</v>
      </c>
      <c r="M11301" s="25">
        <v>2724480</v>
      </c>
      <c r="N11301" s="27">
        <v>0.01</v>
      </c>
    </row>
    <row r="11302" spans="1:14" ht="12.75" hidden="1" outlineLevel="1" x14ac:dyDescent="0.2">
      <c r="A11302" s="23" t="str">
        <f t="shared" si="570"/>
        <v>ГКУ "УПРАВЛЕНИЕ СТРОИТЕЛЬСТВА И ДОРОЖНОГО ХОЗЯЙСТВА ПЕНЗЕНСКОЙ ОБЛАСТИ"</v>
      </c>
      <c r="B11302" s="24" t="s">
        <v>13192</v>
      </c>
      <c r="C11302" s="25">
        <v>2752000</v>
      </c>
      <c r="D11302" s="22" t="s">
        <v>13575</v>
      </c>
      <c r="E11302" s="22" t="s">
        <v>79</v>
      </c>
      <c r="F11302" s="23" t="str">
        <f t="shared" si="571"/>
        <v>Установка автоматизированной информационной системы фото-видеофиксации нарушений правил дорожного движения на автомобильной дороге «г. Тамбов- г.Пенза»-р.п. Колышлей - г. Сердобск - р.п. Беково» км 17+900 Пензенского района</v>
      </c>
      <c r="G11302" s="22" t="s">
        <v>514</v>
      </c>
      <c r="H11302" s="22" t="s">
        <v>2167</v>
      </c>
      <c r="I11302" s="26">
        <v>43551.636805555601</v>
      </c>
      <c r="J11302" s="23" t="str">
        <f>HYPERLINK("https://www.spark-marketing.ru/Card/Person/236655", "ООО ""ТМЦ -НН""")</f>
        <v>ООО "ТМЦ -НН"</v>
      </c>
      <c r="K11302" s="24" t="s">
        <v>4899</v>
      </c>
      <c r="L11302" s="22" t="s">
        <v>10</v>
      </c>
      <c r="M11302" s="25">
        <v>2710720</v>
      </c>
      <c r="N11302" s="27">
        <v>1.4999999999999999E-2</v>
      </c>
    </row>
    <row r="11303" spans="1:14" hidden="1" outlineLevel="1" x14ac:dyDescent="0.2">
      <c r="A11303" s="23" t="str">
        <f t="shared" si="570"/>
        <v>ГКУ "УПРАВЛЕНИЕ СТРОИТЕЛЬСТВА И ДОРОЖНОГО ХОЗЯЙСТВА ПЕНЗЕНСКОЙ ОБЛАСТИ"</v>
      </c>
      <c r="B11303" s="24" t="s">
        <v>13192</v>
      </c>
      <c r="C11303" s="25">
        <v>2752000</v>
      </c>
      <c r="D11303" s="22" t="s">
        <v>13575</v>
      </c>
      <c r="E11303" s="22" t="s">
        <v>79</v>
      </c>
      <c r="F11303" s="23" t="str">
        <f t="shared" si="571"/>
        <v>Установка автоматизированной информационной системы фото-видеофиксации нарушений правил дорожного движения на автомобильной дороге «г. Тамбов- г.Пенза»-р.п. Колышлей - г. Сердобск - р.п. Беково» км 17+900 Пензенского района</v>
      </c>
      <c r="G11303" s="22" t="s">
        <v>514</v>
      </c>
      <c r="H11303" s="22" t="s">
        <v>2167</v>
      </c>
      <c r="I11303" s="26">
        <v>43551.636805555601</v>
      </c>
      <c r="J11303" s="23" t="str">
        <f>HYPERLINK("https://www.spark-marketing.ru/Card/Person/10991", "ПАО ""РОСТЕЛЕКОМ""")</f>
        <v>ПАО "РОСТЕЛЕКОМ"</v>
      </c>
      <c r="K11303" s="24" t="s">
        <v>607</v>
      </c>
      <c r="L11303" s="28" t="s">
        <v>52</v>
      </c>
      <c r="M11303" s="25">
        <v>2724480</v>
      </c>
      <c r="N11303" s="27">
        <v>0.01</v>
      </c>
    </row>
    <row r="11304" spans="1:14" ht="12.75" hidden="1" outlineLevel="1" x14ac:dyDescent="0.2">
      <c r="A11304" s="23" t="str">
        <f t="shared" si="570"/>
        <v>ГКУ "УПРАВЛЕНИЕ СТРОИТЕЛЬСТВА И ДОРОЖНОГО ХОЗЯЙСТВА ПЕНЗЕНСКОЙ ОБЛАСТИ"</v>
      </c>
      <c r="B11304" s="24" t="s">
        <v>13192</v>
      </c>
      <c r="C11304" s="25">
        <v>2752000</v>
      </c>
      <c r="D11304" s="22" t="s">
        <v>13575</v>
      </c>
      <c r="E11304" s="22" t="s">
        <v>79</v>
      </c>
      <c r="F11304" s="23" t="str">
        <f t="shared" si="571"/>
        <v>Установка автоматизированной информационной системы фото-видеофиксации нарушений правил дорожного движения на автомобильной дороге «г. Тамбов- г.Пенза»-р.п. Колышлей - г. Сердобск - р.п. Беково» км 17+900 Пензенского района</v>
      </c>
      <c r="G11304" s="22" t="s">
        <v>514</v>
      </c>
      <c r="H11304" s="22" t="s">
        <v>2167</v>
      </c>
      <c r="I11304" s="26">
        <v>43551.636805555601</v>
      </c>
      <c r="J11304" s="23" t="str">
        <f>HYPERLINK("https://www.spark-marketing.ru/Card/Person/236655", "ООО ""ТМЦ -НН""")</f>
        <v>ООО "ТМЦ -НН"</v>
      </c>
      <c r="K11304" s="24" t="s">
        <v>4899</v>
      </c>
      <c r="L11304" s="22" t="s">
        <v>10</v>
      </c>
      <c r="M11304" s="25">
        <v>2710720</v>
      </c>
      <c r="N11304" s="27">
        <v>1.4999999999999999E-2</v>
      </c>
    </row>
    <row r="11305" spans="1:14" hidden="1" outlineLevel="1" x14ac:dyDescent="0.2">
      <c r="A11305" s="23" t="str">
        <f t="shared" si="570"/>
        <v>ГКУ "УПРАВЛЕНИЕ СТРОИТЕЛЬСТВА И ДОРОЖНОГО ХОЗЯЙСТВА ПЕНЗЕНСКОЙ ОБЛАСТИ"</v>
      </c>
      <c r="B11305" s="24" t="s">
        <v>13192</v>
      </c>
      <c r="C11305" s="25">
        <v>2752000</v>
      </c>
      <c r="D11305" s="22" t="s">
        <v>13575</v>
      </c>
      <c r="E11305" s="22" t="s">
        <v>79</v>
      </c>
      <c r="F11305" s="23" t="str">
        <f t="shared" si="571"/>
        <v>Установка автоматизированной информационной системы фото-видеофиксации нарушений правил дорожного движения на автомобильной дороге «г. Тамбов- г.Пенза»-р.п. Колышлей - г. Сердобск - р.п. Беково» км 17+900 Пензенского района</v>
      </c>
      <c r="G11305" s="22" t="s">
        <v>514</v>
      </c>
      <c r="H11305" s="22" t="s">
        <v>2167</v>
      </c>
      <c r="I11305" s="26">
        <v>43551.636805555601</v>
      </c>
      <c r="J11305" s="23" t="str">
        <f>HYPERLINK("https://www.spark-marketing.ru/Card/Person/21753", "Поволжский филиал ПАО ""МЕГАФОН""")</f>
        <v>Поволжский филиал ПАО "МЕГАФОН"</v>
      </c>
      <c r="K11305" s="24" t="s">
        <v>2783</v>
      </c>
      <c r="L11305" s="28" t="s">
        <v>52</v>
      </c>
      <c r="M11305" s="25">
        <v>2738240</v>
      </c>
      <c r="N11305" s="27">
        <v>5.0000000000000001E-3</v>
      </c>
    </row>
    <row r="11306" spans="1:14" x14ac:dyDescent="0.15">
      <c r="A11306" s="23" t="str">
        <f>HYPERLINK("https://www.spark-marketing.ru/Card/Person/13171", "МБУЗ ЦРБ ОКТЯБРЬСКОГО РАЙОНА")</f>
        <v>МБУЗ ЦРБ ОКТЯБРЬСКОГО РАЙОНА</v>
      </c>
      <c r="B11306" s="24" t="s">
        <v>13576</v>
      </c>
      <c r="C11306" s="25">
        <v>50004</v>
      </c>
      <c r="D11306" s="22" t="s">
        <v>13577</v>
      </c>
      <c r="E11306" s="22" t="s">
        <v>103</v>
      </c>
      <c r="F11306" s="23" t="str">
        <f>HYPERLINK("https://www.spark-marketing.ru/Card/Lot/69079553", "оказание услуг по техническому обслуживанию системы видеонаблюдения для нужд МБУЗ ЦРБ Октябрьского района Ростовской области.")</f>
        <v>оказание услуг по техническому обслуживанию системы видеонаблюдения для нужд МБУЗ ЦРБ Октябрьского района Ростовской области.</v>
      </c>
      <c r="G11306" s="22" t="s">
        <v>402</v>
      </c>
      <c r="H11306" s="22" t="s">
        <v>10004</v>
      </c>
      <c r="I11306" s="26">
        <v>43551.634722222203</v>
      </c>
      <c r="J11306" s="28" t="s">
        <v>52</v>
      </c>
      <c r="K11306" s="28" t="s">
        <v>52</v>
      </c>
      <c r="L11306" s="28" t="s">
        <v>52</v>
      </c>
      <c r="M11306" s="28" t="s">
        <v>52</v>
      </c>
      <c r="N11306" s="28" t="s">
        <v>52</v>
      </c>
    </row>
    <row r="11307" spans="1:14" x14ac:dyDescent="0.15">
      <c r="A11307" s="23" t="str">
        <f>HYPERLINK("https://www.spark-marketing.ru/Card/Person/13171", "МБУЗ ЦРБ ОКТЯБРЬСКОГО РАЙОНА")</f>
        <v>МБУЗ ЦРБ ОКТЯБРЬСКОГО РАЙОНА</v>
      </c>
      <c r="B11307" s="24" t="s">
        <v>13576</v>
      </c>
      <c r="C11307" s="25">
        <v>99996</v>
      </c>
      <c r="D11307" s="22" t="s">
        <v>13578</v>
      </c>
      <c r="E11307" s="22" t="s">
        <v>103</v>
      </c>
      <c r="F11307" s="23" t="str">
        <f>HYPERLINK("https://www.spark-marketing.ru/Card/Lot/69078565", "оказание услуг по техническому обслуживанию системы видеонаблюдения для нужд МБУЗ ЦРБ Октябрьского района Ростовской области.")</f>
        <v>оказание услуг по техническому обслуживанию системы видеонаблюдения для нужд МБУЗ ЦРБ Октябрьского района Ростовской области.</v>
      </c>
      <c r="G11307" s="22" t="s">
        <v>402</v>
      </c>
      <c r="H11307" s="22" t="s">
        <v>10004</v>
      </c>
      <c r="I11307" s="26">
        <v>43551.631944444402</v>
      </c>
      <c r="J11307" s="28" t="s">
        <v>52</v>
      </c>
      <c r="K11307" s="28" t="s">
        <v>52</v>
      </c>
      <c r="L11307" s="28" t="s">
        <v>52</v>
      </c>
      <c r="M11307" s="28" t="s">
        <v>52</v>
      </c>
      <c r="N11307" s="28" t="s">
        <v>52</v>
      </c>
    </row>
    <row r="11308" spans="1:14" x14ac:dyDescent="0.15">
      <c r="A11308" s="23" t="str">
        <f>HYPERLINK("https://www.spark-marketing.ru/Card/Person/171008", "МЕЖРАЙОННАЯ ИФНС РОССИИ №13 ПО ПРИМОРСКОМУ КРАЮ")</f>
        <v>МЕЖРАЙОННАЯ ИФНС РОССИИ №13 ПО ПРИМОРСКОМУ КРАЮ</v>
      </c>
      <c r="B11308" s="24" t="s">
        <v>13579</v>
      </c>
      <c r="C11308" s="25">
        <v>91821.6</v>
      </c>
      <c r="D11308" s="22" t="s">
        <v>13580</v>
      </c>
      <c r="E11308" s="22" t="s">
        <v>68</v>
      </c>
      <c r="F11308" s="23" t="str">
        <f>HYPERLINK("https://www.spark-marketing.ru/Card/Lot/69049584", "Услуги по охране объектов путем экстренного выезда наряда реагирования")</f>
        <v>Услуги по охране объектов путем экстренного выезда наряда реагирования</v>
      </c>
      <c r="G11308" s="22" t="s">
        <v>409</v>
      </c>
      <c r="H11308" s="22" t="s">
        <v>878</v>
      </c>
      <c r="I11308" s="26">
        <v>43551.629166666702</v>
      </c>
      <c r="J11308" s="28" t="s">
        <v>52</v>
      </c>
      <c r="K11308" s="28" t="s">
        <v>52</v>
      </c>
      <c r="L11308" s="28" t="s">
        <v>52</v>
      </c>
      <c r="M11308" s="28" t="s">
        <v>52</v>
      </c>
      <c r="N11308" s="28" t="s">
        <v>52</v>
      </c>
    </row>
    <row r="11309" spans="1:14" x14ac:dyDescent="0.15">
      <c r="A11309" s="23" t="str">
        <f>HYPERLINK("https://www.spark-marketing.ru/Card/Person/265996", "УПРАВЛЕНИЕ МИНЮСТА РОССИИ ПО ВОЛГОГРАДСКОЙ ОБЛАСТИ")</f>
        <v>УПРАВЛЕНИЕ МИНЮСТА РОССИИ ПО ВОЛГОГРАДСКОЙ ОБЛАСТИ</v>
      </c>
      <c r="B11309" s="24" t="s">
        <v>13581</v>
      </c>
      <c r="C11309" s="25">
        <v>11200</v>
      </c>
      <c r="D11309" s="22" t="s">
        <v>13582</v>
      </c>
      <c r="E11309" s="22" t="s">
        <v>53</v>
      </c>
      <c r="F11309" s="23" t="str">
        <f>HYPERLINK("https://www.spark-marketing.ru/Card/Lot/70788691", "Выполнение работ по тонировке автомобиля, установке сигнализации, дисков, камеры заднего вида")</f>
        <v>Выполнение работ по тонировке автомобиля, установке сигнализации, дисков, камеры заднего вида</v>
      </c>
      <c r="G11309" s="22" t="s">
        <v>343</v>
      </c>
      <c r="H11309" s="22" t="s">
        <v>344</v>
      </c>
      <c r="I11309" s="26">
        <v>43551.6120717593</v>
      </c>
      <c r="J11309" s="28" t="s">
        <v>52</v>
      </c>
      <c r="K11309" s="28" t="s">
        <v>52</v>
      </c>
      <c r="L11309" s="28" t="s">
        <v>52</v>
      </c>
      <c r="M11309" s="28" t="s">
        <v>52</v>
      </c>
      <c r="N11309" s="28" t="s">
        <v>52</v>
      </c>
    </row>
    <row r="11310" spans="1:14" x14ac:dyDescent="0.15">
      <c r="A11310" s="23" t="str">
        <f>HYPERLINK("https://www.spark-marketing.ru/Card/Person/58729", "МБОУ ""ЛИЦЕЙ Г. ШАТУРЫ""")</f>
        <v>МБОУ "ЛИЦЕЙ Г. ШАТУРЫ"</v>
      </c>
      <c r="B11310" s="24" t="s">
        <v>13583</v>
      </c>
      <c r="C11310" s="25">
        <v>56000</v>
      </c>
      <c r="D11310" s="22" t="s">
        <v>13584</v>
      </c>
      <c r="E11310" s="22" t="s">
        <v>294</v>
      </c>
      <c r="F11310" s="23" t="str">
        <f>HYPERLINK("https://www.spark-marketing.ru/Card/Lot/69063321", "Оказание услуг по техническому обслуживанию (видеонаблюдение) ГИА")</f>
        <v>Оказание услуг по техническому обслуживанию (видеонаблюдение) ГИА</v>
      </c>
      <c r="G11310" s="22" t="s">
        <v>50</v>
      </c>
      <c r="H11310" s="22" t="s">
        <v>756</v>
      </c>
      <c r="I11310" s="26">
        <v>43551.587175925903</v>
      </c>
      <c r="J11310" s="28" t="s">
        <v>52</v>
      </c>
      <c r="K11310" s="28" t="s">
        <v>52</v>
      </c>
      <c r="L11310" s="28" t="s">
        <v>52</v>
      </c>
      <c r="M11310" s="28" t="s">
        <v>52</v>
      </c>
      <c r="N11310" s="28" t="s">
        <v>52</v>
      </c>
    </row>
    <row r="11311" spans="1:14" x14ac:dyDescent="0.15">
      <c r="A11311" s="23" t="str">
        <f>HYPERLINK("https://www.spark-marketing.ru/Card/Person/561604", "МАУ ""ДЗОЛ ""ЗАРЯ""")</f>
        <v>МАУ "ДЗОЛ "ЗАРЯ"</v>
      </c>
      <c r="B11311" s="24" t="s">
        <v>13187</v>
      </c>
      <c r="C11311" s="25">
        <v>497762</v>
      </c>
      <c r="D11311" s="22" t="s">
        <v>13585</v>
      </c>
      <c r="E11311" s="22" t="s">
        <v>996</v>
      </c>
      <c r="F11311" s="23" t="str">
        <f>HYPERLINK("https://www.spark-marketing.ru/Card/Lot/69061964", "Установка (модернизация имеющегося) внутреннего и наружного видеонаблюдения в МАУ ""ДЗОЛ ""Заря"".")</f>
        <v>Установка (модернизация имеющегося) внутреннего и наружного видеонаблюдения в МАУ "ДЗОЛ "Заря".</v>
      </c>
      <c r="G11311" s="22" t="s">
        <v>72</v>
      </c>
      <c r="H11311" s="22" t="s">
        <v>72</v>
      </c>
      <c r="I11311" s="26">
        <v>43551.619398148097</v>
      </c>
      <c r="J11311" s="28" t="s">
        <v>52</v>
      </c>
      <c r="K11311" s="28" t="s">
        <v>52</v>
      </c>
      <c r="L11311" s="28" t="s">
        <v>52</v>
      </c>
      <c r="M11311" s="28" t="s">
        <v>52</v>
      </c>
      <c r="N11311" s="28" t="s">
        <v>52</v>
      </c>
    </row>
    <row r="11312" spans="1:14" hidden="1" outlineLevel="1" x14ac:dyDescent="0.2">
      <c r="A11312" s="23" t="str">
        <f>HYPERLINK("https://www.spark-marketing.ru/Card/Person/561604", "МАУ ""ДЗОЛ ""ЗАРЯ""")</f>
        <v>МАУ "ДЗОЛ "ЗАРЯ"</v>
      </c>
      <c r="B11312" s="24" t="s">
        <v>13187</v>
      </c>
      <c r="C11312" s="28" t="s">
        <v>52</v>
      </c>
      <c r="D11312" s="22" t="s">
        <v>13585</v>
      </c>
      <c r="E11312" s="22" t="s">
        <v>996</v>
      </c>
      <c r="F11312" s="23" t="str">
        <f>HYPERLINK("https://www.spark-marketing.ru/Card/Lot/69061964", "Установка (модернизация имеющегося) внутреннего и наружного видеонаблюдения в МАУ ""ДЗОЛ ""Заря"".")</f>
        <v>Установка (модернизация имеющегося) внутреннего и наружного видеонаблюдения в МАУ "ДЗОЛ "Заря".</v>
      </c>
      <c r="G11312" s="22" t="s">
        <v>72</v>
      </c>
      <c r="H11312" s="22" t="s">
        <v>72</v>
      </c>
      <c r="I11312" s="26">
        <v>43551.619398148097</v>
      </c>
      <c r="J11312" s="23" t="str">
        <f>HYPERLINK("https://www.spark-marketing.ru/Card/Person/803106", "Лунегов Алексей Евгеньевич")</f>
        <v>Лунегов Алексей Евгеньевич</v>
      </c>
      <c r="K11312" s="24" t="s">
        <v>2506</v>
      </c>
      <c r="L11312" s="28" t="s">
        <v>52</v>
      </c>
      <c r="M11312" s="25">
        <v>497761</v>
      </c>
      <c r="N11312" s="27">
        <v>2.0089922493079023E-6</v>
      </c>
    </row>
    <row r="11313" spans="1:14" hidden="1" outlineLevel="1" x14ac:dyDescent="0.2">
      <c r="A11313" s="23" t="str">
        <f>HYPERLINK("https://www.spark-marketing.ru/Card/Person/561604", "МАУ ""ДЗОЛ ""ЗАРЯ""")</f>
        <v>МАУ "ДЗОЛ "ЗАРЯ"</v>
      </c>
      <c r="B11313" s="24" t="s">
        <v>13187</v>
      </c>
      <c r="C11313" s="28" t="s">
        <v>52</v>
      </c>
      <c r="D11313" s="22" t="s">
        <v>13585</v>
      </c>
      <c r="E11313" s="22" t="s">
        <v>996</v>
      </c>
      <c r="F11313" s="23" t="str">
        <f>HYPERLINK("https://www.spark-marketing.ru/Card/Lot/69061964", "Установка (модернизация имеющегося) внутреннего и наружного видеонаблюдения в МАУ ""ДЗОЛ ""Заря"".")</f>
        <v>Установка (модернизация имеющегося) внутреннего и наружного видеонаблюдения в МАУ "ДЗОЛ "Заря".</v>
      </c>
      <c r="G11313" s="22" t="s">
        <v>72</v>
      </c>
      <c r="H11313" s="22" t="s">
        <v>72</v>
      </c>
      <c r="I11313" s="26">
        <v>43551.619398148097</v>
      </c>
      <c r="J11313" s="23" t="str">
        <f>HYPERLINK("https://www.spark-marketing.ru/Card/Person/151409", "ООО ""КОЛИБРИ""")</f>
        <v>ООО "КОЛИБРИ"</v>
      </c>
      <c r="K11313" s="24" t="s">
        <v>13586</v>
      </c>
      <c r="L11313" s="22" t="s">
        <v>10</v>
      </c>
      <c r="M11313" s="25">
        <v>497762</v>
      </c>
      <c r="N11313" s="27">
        <v>0</v>
      </c>
    </row>
    <row r="11314" spans="1:14" hidden="1" outlineLevel="1" x14ac:dyDescent="0.2">
      <c r="A11314" s="23" t="str">
        <f>HYPERLINK("https://www.spark-marketing.ru/Card/Person/561604", "МАУ ""ДЗОЛ ""ЗАРЯ""")</f>
        <v>МАУ "ДЗОЛ "ЗАРЯ"</v>
      </c>
      <c r="B11314" s="24" t="s">
        <v>13187</v>
      </c>
      <c r="C11314" s="28" t="s">
        <v>52</v>
      </c>
      <c r="D11314" s="22" t="s">
        <v>13585</v>
      </c>
      <c r="E11314" s="22" t="s">
        <v>996</v>
      </c>
      <c r="F11314" s="23" t="str">
        <f>HYPERLINK("https://www.spark-marketing.ru/Card/Lot/69061964", "Установка (модернизация имеющегося) внутреннего и наружного видеонаблюдения в МАУ ""ДЗОЛ ""Заря"".")</f>
        <v>Установка (модернизация имеющегося) внутреннего и наружного видеонаблюдения в МАУ "ДЗОЛ "Заря".</v>
      </c>
      <c r="G11314" s="22" t="s">
        <v>72</v>
      </c>
      <c r="H11314" s="22" t="s">
        <v>72</v>
      </c>
      <c r="I11314" s="26">
        <v>43551.619398148097</v>
      </c>
      <c r="J11314" s="23" t="str">
        <f>HYPERLINK("https://www.spark-marketing.ru/Card/Person/390380", "ООО ""КОНТРОЛЬ-Н""")</f>
        <v>ООО "КОНТРОЛЬ-Н"</v>
      </c>
      <c r="K11314" s="24" t="s">
        <v>4927</v>
      </c>
      <c r="L11314" s="28" t="s">
        <v>52</v>
      </c>
      <c r="M11314" s="25">
        <v>400000</v>
      </c>
      <c r="N11314" s="27">
        <v>0.19640310027683913</v>
      </c>
    </row>
    <row r="11315" spans="1:14" ht="12.75" x14ac:dyDescent="0.2">
      <c r="A11315" s="23" t="str">
        <f>HYPERLINK("https://www.spark-marketing.ru/Card/Person/64814", "АО ""ВОЕНТЕЛЕКОМ""")</f>
        <v>АО "ВОЕНТЕЛЕКОМ"</v>
      </c>
      <c r="B11315" s="24" t="s">
        <v>10731</v>
      </c>
      <c r="C11315" s="25">
        <v>2350080</v>
      </c>
      <c r="D11315" s="22" t="s">
        <v>13587</v>
      </c>
      <c r="E11315" s="22" t="s">
        <v>363</v>
      </c>
      <c r="F11315" s="23" t="str">
        <f>HYPERLINK("https://www.spark-marketing.ru/Card/Lot/69083236", "Услуги охраны")</f>
        <v>Услуги охраны</v>
      </c>
      <c r="G11315" s="22" t="s">
        <v>55</v>
      </c>
      <c r="H11315" s="22" t="s">
        <v>55</v>
      </c>
      <c r="I11315" s="26">
        <v>43551.610671296301</v>
      </c>
      <c r="J11315" s="23" t="str">
        <f>HYPERLINK("https://www.spark-marketing.ru/Card/Person/1385695", "ООО ЧОО ""ОХРАНА НОРД СЕРВИС""")</f>
        <v>ООО ЧОО "ОХРАНА НОРД СЕРВИС"</v>
      </c>
      <c r="K11315" s="24" t="s">
        <v>13588</v>
      </c>
      <c r="L11315" s="22" t="s">
        <v>10</v>
      </c>
      <c r="M11315" s="25">
        <v>2335392</v>
      </c>
      <c r="N11315" s="27">
        <v>6.2500000000000003E-3</v>
      </c>
    </row>
    <row r="11316" spans="1:14" x14ac:dyDescent="0.15">
      <c r="A11316" s="23" t="str">
        <f>HYPERLINK("https://www.spark-marketing.ru/Card/Person/89146", "СПБ ГБ ПОУ ""СЛ ИМ. С.И. МОСИНА""")</f>
        <v>СПБ ГБ ПОУ "СЛ ИМ. С.И. МОСИНА"</v>
      </c>
      <c r="B11316" s="24" t="s">
        <v>13589</v>
      </c>
      <c r="C11316" s="25">
        <v>107040</v>
      </c>
      <c r="D11316" s="22" t="s">
        <v>13590</v>
      </c>
      <c r="E11316" s="22" t="s">
        <v>5442</v>
      </c>
      <c r="F11316" s="23" t="str">
        <f>HYPERLINK("https://www.spark-marketing.ru/Card/Lot/69065846", "Оказание услуг по подключению к Электронной библиотечной системе в 2019 году")</f>
        <v>Оказание услуг по подключению к Электронной библиотечной системе в 2019 году</v>
      </c>
      <c r="G11316" s="22" t="s">
        <v>89</v>
      </c>
      <c r="H11316" s="22" t="s">
        <v>89</v>
      </c>
      <c r="I11316" s="26">
        <v>43551.586805555598</v>
      </c>
      <c r="J11316" s="28" t="s">
        <v>52</v>
      </c>
      <c r="K11316" s="28" t="s">
        <v>52</v>
      </c>
      <c r="L11316" s="28" t="s">
        <v>52</v>
      </c>
      <c r="M11316" s="28" t="s">
        <v>52</v>
      </c>
      <c r="N11316" s="28" t="s">
        <v>52</v>
      </c>
    </row>
    <row r="11317" spans="1:14" x14ac:dyDescent="0.15">
      <c r="A11317" s="23" t="str">
        <f t="shared" ref="A11317:A11328" si="572">HYPERLINK("https://www.spark-marketing.ru/Card/Person/37880", "ГУЗ ""КБ № 5""")</f>
        <v>ГУЗ "КБ № 5"</v>
      </c>
      <c r="B11317" s="24" t="s">
        <v>13591</v>
      </c>
      <c r="C11317" s="25">
        <v>80133.33</v>
      </c>
      <c r="D11317" s="22" t="s">
        <v>13592</v>
      </c>
      <c r="E11317" s="22" t="s">
        <v>107</v>
      </c>
      <c r="F11317" s="23" t="str">
        <f t="shared" ref="F11317:F11328" si="573">HYPERLINK("https://www.spark-marketing.ru/Card/Lot/69064697", "Техническое обслуживание системы видеонаблюдения в ГУЗ «КБ № 5»")</f>
        <v>Техническое обслуживание системы видеонаблюдения в ГУЗ «КБ № 5»</v>
      </c>
      <c r="G11317" s="22" t="s">
        <v>343</v>
      </c>
      <c r="H11317" s="22" t="s">
        <v>344</v>
      </c>
      <c r="I11317" s="26">
        <v>43551.595138888901</v>
      </c>
      <c r="J11317" s="28" t="s">
        <v>52</v>
      </c>
      <c r="K11317" s="28" t="s">
        <v>52</v>
      </c>
      <c r="L11317" s="28" t="s">
        <v>52</v>
      </c>
      <c r="M11317" s="28" t="s">
        <v>52</v>
      </c>
      <c r="N11317" s="28" t="s">
        <v>52</v>
      </c>
    </row>
    <row r="11318" spans="1:14" hidden="1" outlineLevel="1" x14ac:dyDescent="0.2">
      <c r="A11318" s="23" t="str">
        <f t="shared" si="572"/>
        <v>ГУЗ "КБ № 5"</v>
      </c>
      <c r="B11318" s="24" t="s">
        <v>13591</v>
      </c>
      <c r="C11318" s="25">
        <v>80133.33</v>
      </c>
      <c r="D11318" s="22" t="s">
        <v>13592</v>
      </c>
      <c r="E11318" s="22" t="s">
        <v>107</v>
      </c>
      <c r="F11318" s="23" t="str">
        <f t="shared" si="573"/>
        <v>Техническое обслуживание системы видеонаблюдения в ГУЗ «КБ № 5»</v>
      </c>
      <c r="G11318" s="22" t="s">
        <v>343</v>
      </c>
      <c r="H11318" s="22" t="s">
        <v>344</v>
      </c>
      <c r="I11318" s="26">
        <v>43551.595138888901</v>
      </c>
      <c r="J11318" s="23" t="str">
        <f>HYPERLINK("https://www.spark-marketing.ru/Card/Person/6002437", "ООО ЧОП ""АНТЕЙ-5""")</f>
        <v>ООО ЧОП "АНТЕЙ-5"</v>
      </c>
      <c r="K11318" s="24" t="s">
        <v>2228</v>
      </c>
      <c r="L11318" s="28" t="s">
        <v>52</v>
      </c>
      <c r="M11318" s="25">
        <v>54000</v>
      </c>
      <c r="N11318" s="27">
        <v>0.3261231000883153</v>
      </c>
    </row>
    <row r="11319" spans="1:14" ht="12.75" hidden="1" outlineLevel="1" x14ac:dyDescent="0.2">
      <c r="A11319" s="23" t="str">
        <f t="shared" si="572"/>
        <v>ГУЗ "КБ № 5"</v>
      </c>
      <c r="B11319" s="24" t="s">
        <v>13591</v>
      </c>
      <c r="C11319" s="25">
        <v>80133.33</v>
      </c>
      <c r="D11319" s="22" t="s">
        <v>13592</v>
      </c>
      <c r="E11319" s="22" t="s">
        <v>107</v>
      </c>
      <c r="F11319" s="23" t="str">
        <f t="shared" si="573"/>
        <v>Техническое обслуживание системы видеонаблюдения в ГУЗ «КБ № 5»</v>
      </c>
      <c r="G11319" s="22" t="s">
        <v>343</v>
      </c>
      <c r="H11319" s="22" t="s">
        <v>344</v>
      </c>
      <c r="I11319" s="26">
        <v>43551.595138888901</v>
      </c>
      <c r="J11319" s="23" t="str">
        <f>HYPERLINK("https://www.spark-marketing.ru/Card/Person/291634", "ООО ""СПЕКТР СБ""")</f>
        <v>ООО "СПЕКТР СБ"</v>
      </c>
      <c r="K11319" s="24" t="s">
        <v>9335</v>
      </c>
      <c r="L11319" s="22" t="s">
        <v>10</v>
      </c>
      <c r="M11319" s="25">
        <v>15930</v>
      </c>
      <c r="N11319" s="27">
        <v>0.80120631452605306</v>
      </c>
    </row>
    <row r="11320" spans="1:14" hidden="1" outlineLevel="1" x14ac:dyDescent="0.2">
      <c r="A11320" s="23" t="str">
        <f t="shared" si="572"/>
        <v>ГУЗ "КБ № 5"</v>
      </c>
      <c r="B11320" s="24" t="s">
        <v>13591</v>
      </c>
      <c r="C11320" s="25">
        <v>80133.33</v>
      </c>
      <c r="D11320" s="22" t="s">
        <v>13592</v>
      </c>
      <c r="E11320" s="22" t="s">
        <v>107</v>
      </c>
      <c r="F11320" s="23" t="str">
        <f t="shared" si="573"/>
        <v>Техническое обслуживание системы видеонаблюдения в ГУЗ «КБ № 5»</v>
      </c>
      <c r="G11320" s="22" t="s">
        <v>343</v>
      </c>
      <c r="H11320" s="22" t="s">
        <v>344</v>
      </c>
      <c r="I11320" s="26">
        <v>43551.595138888901</v>
      </c>
      <c r="J11320" s="23" t="str">
        <f>HYPERLINK("https://www.spark-marketing.ru/Card/Person/4915856", "Мулин Алексей Анатольевич")</f>
        <v>Мулин Алексей Анатольевич</v>
      </c>
      <c r="K11320" s="24" t="s">
        <v>13593</v>
      </c>
      <c r="L11320" s="28" t="s">
        <v>52</v>
      </c>
      <c r="M11320" s="25">
        <v>23700</v>
      </c>
      <c r="N11320" s="27">
        <v>0.70424291614987167</v>
      </c>
    </row>
    <row r="11321" spans="1:14" hidden="1" outlineLevel="1" x14ac:dyDescent="0.2">
      <c r="A11321" s="23" t="str">
        <f t="shared" si="572"/>
        <v>ГУЗ "КБ № 5"</v>
      </c>
      <c r="B11321" s="24" t="s">
        <v>13591</v>
      </c>
      <c r="C11321" s="25">
        <v>80133.33</v>
      </c>
      <c r="D11321" s="22" t="s">
        <v>13592</v>
      </c>
      <c r="E11321" s="22" t="s">
        <v>107</v>
      </c>
      <c r="F11321" s="23" t="str">
        <f t="shared" si="573"/>
        <v>Техническое обслуживание системы видеонаблюдения в ГУЗ «КБ № 5»</v>
      </c>
      <c r="G11321" s="22" t="s">
        <v>343</v>
      </c>
      <c r="H11321" s="22" t="s">
        <v>344</v>
      </c>
      <c r="I11321" s="26">
        <v>43551.595138888901</v>
      </c>
      <c r="J11321" s="23" t="str">
        <f>HYPERLINK("https://www.spark-marketing.ru/Card/Person/509327", "ООО ЧОП ""ЦАРЬГРАД""")</f>
        <v>ООО ЧОП "ЦАРЬГРАД"</v>
      </c>
      <c r="K11321" s="24" t="s">
        <v>10928</v>
      </c>
      <c r="L11321" s="28" t="s">
        <v>52</v>
      </c>
      <c r="M11321" s="25">
        <v>31680</v>
      </c>
      <c r="N11321" s="27">
        <v>0.60465888538514501</v>
      </c>
    </row>
    <row r="11322" spans="1:14" hidden="1" outlineLevel="1" x14ac:dyDescent="0.2">
      <c r="A11322" s="23" t="str">
        <f t="shared" si="572"/>
        <v>ГУЗ "КБ № 5"</v>
      </c>
      <c r="B11322" s="24" t="s">
        <v>13591</v>
      </c>
      <c r="C11322" s="25">
        <v>80133.33</v>
      </c>
      <c r="D11322" s="22" t="s">
        <v>13592</v>
      </c>
      <c r="E11322" s="22" t="s">
        <v>107</v>
      </c>
      <c r="F11322" s="23" t="str">
        <f t="shared" si="573"/>
        <v>Техническое обслуживание системы видеонаблюдения в ГУЗ «КБ № 5»</v>
      </c>
      <c r="G11322" s="22" t="s">
        <v>343</v>
      </c>
      <c r="H11322" s="22" t="s">
        <v>344</v>
      </c>
      <c r="I11322" s="26">
        <v>43551.595138888901</v>
      </c>
      <c r="J11322" s="23" t="str">
        <f>HYPERLINK("https://www.spark-marketing.ru/Card/Person/4353676", "ООО ""СОВА""")</f>
        <v>ООО "СОВА"</v>
      </c>
      <c r="K11322" s="24" t="s">
        <v>13594</v>
      </c>
      <c r="L11322" s="28" t="s">
        <v>52</v>
      </c>
      <c r="M11322" s="25">
        <v>39800</v>
      </c>
      <c r="N11322" s="27">
        <v>0.50332776636138798</v>
      </c>
    </row>
    <row r="11323" spans="1:14" hidden="1" outlineLevel="1" x14ac:dyDescent="0.2">
      <c r="A11323" s="23" t="str">
        <f t="shared" si="572"/>
        <v>ГУЗ "КБ № 5"</v>
      </c>
      <c r="B11323" s="24" t="s">
        <v>13591</v>
      </c>
      <c r="C11323" s="25">
        <v>80133.33</v>
      </c>
      <c r="D11323" s="22" t="s">
        <v>13592</v>
      </c>
      <c r="E11323" s="22" t="s">
        <v>107</v>
      </c>
      <c r="F11323" s="23" t="str">
        <f t="shared" si="573"/>
        <v>Техническое обслуживание системы видеонаблюдения в ГУЗ «КБ № 5»</v>
      </c>
      <c r="G11323" s="22" t="s">
        <v>343</v>
      </c>
      <c r="H11323" s="22" t="s">
        <v>344</v>
      </c>
      <c r="I11323" s="26">
        <v>43551.595138888901</v>
      </c>
      <c r="J11323" s="23" t="str">
        <f>HYPERLINK("https://www.spark-marketing.ru/Card/Person/335677", "ООО ""НК-ТЕХЗАЩИТА""")</f>
        <v>ООО "НК-ТЕХЗАЩИТА"</v>
      </c>
      <c r="K11323" s="24" t="s">
        <v>13595</v>
      </c>
      <c r="L11323" s="28" t="s">
        <v>52</v>
      </c>
      <c r="M11323" s="25">
        <v>40000</v>
      </c>
      <c r="N11323" s="27">
        <v>0.50083192599134463</v>
      </c>
    </row>
    <row r="11324" spans="1:14" hidden="1" outlineLevel="1" x14ac:dyDescent="0.2">
      <c r="A11324" s="23" t="str">
        <f t="shared" si="572"/>
        <v>ГУЗ "КБ № 5"</v>
      </c>
      <c r="B11324" s="24" t="s">
        <v>13591</v>
      </c>
      <c r="C11324" s="25">
        <v>80133.33</v>
      </c>
      <c r="D11324" s="22" t="s">
        <v>13592</v>
      </c>
      <c r="E11324" s="22" t="s">
        <v>107</v>
      </c>
      <c r="F11324" s="23" t="str">
        <f t="shared" si="573"/>
        <v>Техническое обслуживание системы видеонаблюдения в ГУЗ «КБ № 5»</v>
      </c>
      <c r="G11324" s="22" t="s">
        <v>343</v>
      </c>
      <c r="H11324" s="22" t="s">
        <v>344</v>
      </c>
      <c r="I11324" s="26">
        <v>43551.595138888901</v>
      </c>
      <c r="J11324" s="23" t="str">
        <f>HYPERLINK("https://www.spark-marketing.ru/Card/Person/6159440", "ООО ""АСБК""")</f>
        <v>ООО "АСБК"</v>
      </c>
      <c r="K11324" s="24" t="s">
        <v>13596</v>
      </c>
      <c r="L11324" s="28" t="s">
        <v>52</v>
      </c>
      <c r="M11324" s="25">
        <v>49500</v>
      </c>
      <c r="N11324" s="27">
        <v>0.38227950841428904</v>
      </c>
    </row>
    <row r="11325" spans="1:14" hidden="1" outlineLevel="1" x14ac:dyDescent="0.2">
      <c r="A11325" s="23" t="str">
        <f t="shared" si="572"/>
        <v>ГУЗ "КБ № 5"</v>
      </c>
      <c r="B11325" s="24" t="s">
        <v>13591</v>
      </c>
      <c r="C11325" s="25">
        <v>80133.33</v>
      </c>
      <c r="D11325" s="22" t="s">
        <v>13592</v>
      </c>
      <c r="E11325" s="22" t="s">
        <v>107</v>
      </c>
      <c r="F11325" s="23" t="str">
        <f t="shared" si="573"/>
        <v>Техническое обслуживание системы видеонаблюдения в ГУЗ «КБ № 5»</v>
      </c>
      <c r="G11325" s="22" t="s">
        <v>343</v>
      </c>
      <c r="H11325" s="22" t="s">
        <v>344</v>
      </c>
      <c r="I11325" s="26">
        <v>43551.595138888901</v>
      </c>
      <c r="J11325" s="23" t="str">
        <f>HYPERLINK("https://www.spark-marketing.ru/Card/Person/509131", "ООО ""СПЕКТР ЭЛЕКТРОНИКА""")</f>
        <v>ООО "СПЕКТР ЭЛЕКТРОНИКА"</v>
      </c>
      <c r="K11325" s="24" t="s">
        <v>13597</v>
      </c>
      <c r="L11325" s="28" t="s">
        <v>52</v>
      </c>
      <c r="M11325" s="25">
        <v>60000</v>
      </c>
      <c r="N11325" s="27">
        <v>0.251247888987017</v>
      </c>
    </row>
    <row r="11326" spans="1:14" hidden="1" outlineLevel="1" x14ac:dyDescent="0.2">
      <c r="A11326" s="23" t="str">
        <f t="shared" si="572"/>
        <v>ГУЗ "КБ № 5"</v>
      </c>
      <c r="B11326" s="24" t="s">
        <v>13591</v>
      </c>
      <c r="C11326" s="25">
        <v>80133.33</v>
      </c>
      <c r="D11326" s="22" t="s">
        <v>13592</v>
      </c>
      <c r="E11326" s="22" t="s">
        <v>107</v>
      </c>
      <c r="F11326" s="23" t="str">
        <f t="shared" si="573"/>
        <v>Техническое обслуживание системы видеонаблюдения в ГУЗ «КБ № 5»</v>
      </c>
      <c r="G11326" s="22" t="s">
        <v>343</v>
      </c>
      <c r="H11326" s="22" t="s">
        <v>344</v>
      </c>
      <c r="I11326" s="26">
        <v>43551.595138888901</v>
      </c>
      <c r="J11326" s="23" t="str">
        <f>HYPERLINK("https://www.spark-marketing.ru/Card/Person/510357", "ООО ""АКС""")</f>
        <v>ООО "АКС"</v>
      </c>
      <c r="K11326" s="24" t="s">
        <v>13598</v>
      </c>
      <c r="L11326" s="28" t="s">
        <v>52</v>
      </c>
      <c r="M11326" s="25">
        <v>63000</v>
      </c>
      <c r="N11326" s="27">
        <v>0.21381028343636788</v>
      </c>
    </row>
    <row r="11327" spans="1:14" hidden="1" outlineLevel="1" x14ac:dyDescent="0.2">
      <c r="A11327" s="23" t="str">
        <f t="shared" si="572"/>
        <v>ГУЗ "КБ № 5"</v>
      </c>
      <c r="B11327" s="24" t="s">
        <v>13591</v>
      </c>
      <c r="C11327" s="25">
        <v>80133.33</v>
      </c>
      <c r="D11327" s="22" t="s">
        <v>13592</v>
      </c>
      <c r="E11327" s="22" t="s">
        <v>107</v>
      </c>
      <c r="F11327" s="23" t="str">
        <f t="shared" si="573"/>
        <v>Техническое обслуживание системы видеонаблюдения в ГУЗ «КБ № 5»</v>
      </c>
      <c r="G11327" s="22" t="s">
        <v>343</v>
      </c>
      <c r="H11327" s="22" t="s">
        <v>344</v>
      </c>
      <c r="I11327" s="26">
        <v>43551.595138888901</v>
      </c>
      <c r="J11327" s="23" t="str">
        <f>HYPERLINK("https://www.spark-marketing.ru/Card/Person/454864", "ООО ""ТЕХНОДАЧА""")</f>
        <v>ООО "ТЕХНОДАЧА"</v>
      </c>
      <c r="K11327" s="24" t="s">
        <v>4319</v>
      </c>
      <c r="L11327" s="28" t="s">
        <v>52</v>
      </c>
      <c r="M11327" s="25">
        <v>65700</v>
      </c>
      <c r="N11327" s="27">
        <v>0.18011643844078362</v>
      </c>
    </row>
    <row r="11328" spans="1:14" hidden="1" outlineLevel="1" x14ac:dyDescent="0.2">
      <c r="A11328" s="23" t="str">
        <f t="shared" si="572"/>
        <v>ГУЗ "КБ № 5"</v>
      </c>
      <c r="B11328" s="24" t="s">
        <v>13591</v>
      </c>
      <c r="C11328" s="25">
        <v>80133.33</v>
      </c>
      <c r="D11328" s="22" t="s">
        <v>13592</v>
      </c>
      <c r="E11328" s="22" t="s">
        <v>107</v>
      </c>
      <c r="F11328" s="23" t="str">
        <f t="shared" si="573"/>
        <v>Техническое обслуживание системы видеонаблюдения в ГУЗ «КБ № 5»</v>
      </c>
      <c r="G11328" s="22" t="s">
        <v>343</v>
      </c>
      <c r="H11328" s="22" t="s">
        <v>344</v>
      </c>
      <c r="I11328" s="26">
        <v>43551.595138888901</v>
      </c>
      <c r="J11328" s="23" t="str">
        <f>HYPERLINK("https://www.spark-marketing.ru/Card/Person/246297", "Кучеренко Александр Геннадьевич")</f>
        <v>Кучеренко Александр Геннадьевич</v>
      </c>
      <c r="K11328" s="24" t="s">
        <v>9666</v>
      </c>
      <c r="L11328" s="28" t="s">
        <v>52</v>
      </c>
      <c r="M11328" s="25">
        <v>68650</v>
      </c>
      <c r="N11328" s="27">
        <v>0.14330279298264531</v>
      </c>
    </row>
    <row r="11329" spans="1:14" x14ac:dyDescent="0.15">
      <c r="A11329" s="23" t="str">
        <f>HYPERLINK("https://www.spark-marketing.ru/Card/Person/69529", "АДМИНИСТРАЦИЯ ГОРОДСКОГО ПОСЕЛЕНИЯ БОГОРОДСКОЕ")</f>
        <v>АДМИНИСТРАЦИЯ ГОРОДСКОГО ПОСЕЛЕНИЯ БОГОРОДСКОЕ</v>
      </c>
      <c r="B11329" s="24" t="s">
        <v>13599</v>
      </c>
      <c r="C11329" s="25">
        <v>199797.79</v>
      </c>
      <c r="D11329" s="22" t="s">
        <v>13600</v>
      </c>
      <c r="E11329" s="22" t="s">
        <v>59</v>
      </c>
      <c r="F11329" s="23" t="str">
        <f>HYPERLINK("https://www.spark-marketing.ru/Card/Lot/69068116", "Выполнение работ по содержанию и обслуживанию технических средств организации дорожного движения (ТСОДД) в р.п. Богородское для нужд муниципального образования городское поселение Богородское Сергиево-Посадского района Московской области")</f>
        <v>Выполнение работ по содержанию и обслуживанию технических средств организации дорожного движения (ТСОДД) в р.п. Богородское для нужд муниципального образования городское поселение Богородское Сергиево-Посадского района Московской области</v>
      </c>
      <c r="G11329" s="22" t="s">
        <v>50</v>
      </c>
      <c r="H11329" s="22" t="s">
        <v>50</v>
      </c>
      <c r="I11329" s="26">
        <v>43551.595138888901</v>
      </c>
      <c r="J11329" s="28" t="s">
        <v>52</v>
      </c>
      <c r="K11329" s="28" t="s">
        <v>52</v>
      </c>
      <c r="L11329" s="28" t="s">
        <v>52</v>
      </c>
      <c r="M11329" s="28" t="s">
        <v>52</v>
      </c>
      <c r="N11329" s="28" t="s">
        <v>52</v>
      </c>
    </row>
    <row r="11330" spans="1:14" hidden="1" outlineLevel="1" x14ac:dyDescent="0.2">
      <c r="A11330" s="23" t="str">
        <f>HYPERLINK("https://www.spark-marketing.ru/Card/Person/69529", "АДМИНИСТРАЦИЯ ГОРОДСКОГО ПОСЕЛЕНИЯ БОГОРОДСКОЕ")</f>
        <v>АДМИНИСТРАЦИЯ ГОРОДСКОГО ПОСЕЛЕНИЯ БОГОРОДСКОЕ</v>
      </c>
      <c r="B11330" s="24" t="s">
        <v>13599</v>
      </c>
      <c r="C11330" s="25">
        <v>199797.79</v>
      </c>
      <c r="D11330" s="22" t="s">
        <v>13600</v>
      </c>
      <c r="E11330" s="22" t="s">
        <v>59</v>
      </c>
      <c r="F11330" s="23" t="str">
        <f>HYPERLINK("https://www.spark-marketing.ru/Card/Lot/69068116", "Выполнение работ по содержанию и обслуживанию технических средств организации дорожного движения (ТСОДД) в р.п. Богородское для нужд муниципального образования городское поселение Богородское Сергиево-Посадского района Московской области")</f>
        <v>Выполнение работ по содержанию и обслуживанию технических средств организации дорожного движения (ТСОДД) в р.п. Богородское для нужд муниципального образования городское поселение Богородское Сергиево-Посадского района Московской области</v>
      </c>
      <c r="G11330" s="22" t="s">
        <v>50</v>
      </c>
      <c r="H11330" s="22" t="s">
        <v>50</v>
      </c>
      <c r="I11330" s="26">
        <v>43551.595138888901</v>
      </c>
      <c r="J11330" s="23" t="str">
        <f>HYPERLINK("https://www.spark-marketing.ru/Card/Person/88734", "ООО ""ВЭЛТС""")</f>
        <v>ООО "ВЭЛТС"</v>
      </c>
      <c r="K11330" s="24" t="s">
        <v>13601</v>
      </c>
      <c r="L11330" s="28" t="s">
        <v>52</v>
      </c>
      <c r="M11330" s="25">
        <v>118017.17</v>
      </c>
      <c r="N11330" s="27">
        <v>0.4093169398920779</v>
      </c>
    </row>
    <row r="11331" spans="1:14" hidden="1" outlineLevel="1" x14ac:dyDescent="0.2">
      <c r="A11331" s="23" t="str">
        <f>HYPERLINK("https://www.spark-marketing.ru/Card/Person/69529", "АДМИНИСТРАЦИЯ ГОРОДСКОГО ПОСЕЛЕНИЯ БОГОРОДСКОЕ")</f>
        <v>АДМИНИСТРАЦИЯ ГОРОДСКОГО ПОСЕЛЕНИЯ БОГОРОДСКОЕ</v>
      </c>
      <c r="B11331" s="24" t="s">
        <v>13599</v>
      </c>
      <c r="C11331" s="25">
        <v>199797.79</v>
      </c>
      <c r="D11331" s="22" t="s">
        <v>13600</v>
      </c>
      <c r="E11331" s="22" t="s">
        <v>59</v>
      </c>
      <c r="F11331" s="23" t="str">
        <f>HYPERLINK("https://www.spark-marketing.ru/Card/Lot/69068116", "Выполнение работ по содержанию и обслуживанию технических средств организации дорожного движения (ТСОДД) в р.п. Богородское для нужд муниципального образования городское поселение Богородское Сергиево-Посадского района Московской области")</f>
        <v>Выполнение работ по содержанию и обслуживанию технических средств организации дорожного движения (ТСОДД) в р.п. Богородское для нужд муниципального образования городское поселение Богородское Сергиево-Посадского района Московской области</v>
      </c>
      <c r="G11331" s="22" t="s">
        <v>50</v>
      </c>
      <c r="H11331" s="22" t="s">
        <v>50</v>
      </c>
      <c r="I11331" s="26">
        <v>43551.595138888901</v>
      </c>
      <c r="J11331" s="23" t="str">
        <f>HYPERLINK("https://www.spark-marketing.ru/Card/Person/1689403", "ООО ""СТРОЙСЕРВИС""")</f>
        <v>ООО "СТРОЙСЕРВИС"</v>
      </c>
      <c r="K11331" s="24" t="s">
        <v>13602</v>
      </c>
      <c r="L11331" s="28" t="s">
        <v>52</v>
      </c>
      <c r="M11331" s="25">
        <v>176821.02</v>
      </c>
      <c r="N11331" s="27">
        <v>0.11500012087220784</v>
      </c>
    </row>
    <row r="11332" spans="1:14" ht="12.75" hidden="1" outlineLevel="1" x14ac:dyDescent="0.2">
      <c r="A11332" s="23" t="str">
        <f>HYPERLINK("https://www.spark-marketing.ru/Card/Person/69529", "АДМИНИСТРАЦИЯ ГОРОДСКОГО ПОСЕЛЕНИЯ БОГОРОДСКОЕ")</f>
        <v>АДМИНИСТРАЦИЯ ГОРОДСКОГО ПОСЕЛЕНИЯ БОГОРОДСКОЕ</v>
      </c>
      <c r="B11332" s="24" t="s">
        <v>13599</v>
      </c>
      <c r="C11332" s="25">
        <v>199797.79</v>
      </c>
      <c r="D11332" s="22" t="s">
        <v>13600</v>
      </c>
      <c r="E11332" s="22" t="s">
        <v>59</v>
      </c>
      <c r="F11332" s="23" t="str">
        <f>HYPERLINK("https://www.spark-marketing.ru/Card/Lot/69068116", "Выполнение работ по содержанию и обслуживанию технических средств организации дорожного движения (ТСОДД) в р.п. Богородское для нужд муниципального образования городское поселение Богородское Сергиево-Посадского района Московской области")</f>
        <v>Выполнение работ по содержанию и обслуживанию технических средств организации дорожного движения (ТСОДД) в р.п. Богородское для нужд муниципального образования городское поселение Богородское Сергиево-Посадского района Московской области</v>
      </c>
      <c r="G11332" s="22" t="s">
        <v>50</v>
      </c>
      <c r="H11332" s="22" t="s">
        <v>50</v>
      </c>
      <c r="I11332" s="26">
        <v>43551.595138888901</v>
      </c>
      <c r="J11332" s="23" t="str">
        <f>HYPERLINK("https://www.spark-marketing.ru/Card/Person/4412805", "ООО ""ЛАЙТ СИГНАЛ""")</f>
        <v>ООО "ЛАЙТ СИГНАЛ"</v>
      </c>
      <c r="K11332" s="24" t="s">
        <v>13603</v>
      </c>
      <c r="L11332" s="22" t="s">
        <v>10</v>
      </c>
      <c r="M11332" s="25">
        <v>117018.18</v>
      </c>
      <c r="N11332" s="27">
        <v>0.41431694514739126</v>
      </c>
    </row>
    <row r="11333" spans="1:14" x14ac:dyDescent="0.15">
      <c r="A11333" s="23" t="str">
        <f>HYPERLINK("https://www.spark-marketing.ru/Card/Person/1759666", "МАОУ БОГАНДИНСКАЯ СОШ № 2")</f>
        <v>МАОУ БОГАНДИНСКАЯ СОШ № 2</v>
      </c>
      <c r="B11333" s="24" t="s">
        <v>7682</v>
      </c>
      <c r="C11333" s="25">
        <v>332640</v>
      </c>
      <c r="D11333" s="22" t="s">
        <v>13604</v>
      </c>
      <c r="E11333" s="22" t="s">
        <v>363</v>
      </c>
      <c r="F11333" s="23" t="str">
        <f>HYPERLINK("https://www.spark-marketing.ru/Card/Lot/69059712", "Оказание охранных услуг")</f>
        <v>Оказание охранных услуг</v>
      </c>
      <c r="G11333" s="22" t="s">
        <v>893</v>
      </c>
      <c r="H11333" s="22" t="s">
        <v>893</v>
      </c>
      <c r="I11333" s="26">
        <v>43551.568888888898</v>
      </c>
      <c r="J11333" s="28" t="s">
        <v>52</v>
      </c>
      <c r="K11333" s="28" t="s">
        <v>52</v>
      </c>
      <c r="L11333" s="28" t="s">
        <v>52</v>
      </c>
      <c r="M11333" s="28" t="s">
        <v>52</v>
      </c>
      <c r="N11333" s="28" t="s">
        <v>52</v>
      </c>
    </row>
    <row r="11334" spans="1:14" x14ac:dyDescent="0.15">
      <c r="A11334" s="23" t="str">
        <f>HYPERLINK("https://www.spark-marketing.ru/Card/Person/6052008", "ООО ""САПЛ-БИЗ""")</f>
        <v>ООО "САПЛ-БИЗ"</v>
      </c>
      <c r="B11334" s="24" t="s">
        <v>3500</v>
      </c>
      <c r="C11334" s="28" t="s">
        <v>52</v>
      </c>
      <c r="D11334" s="22" t="s">
        <v>13605</v>
      </c>
      <c r="E11334" s="22" t="s">
        <v>53</v>
      </c>
      <c r="F11334" s="23" t="str">
        <f>HYPERLINK("https://www.spark-marketing.ru/Card/Lot/69063706", "Требуется табличка для видеосъёмки ролика 450х300 мм - 1 шт. На пенокартоне или каком-то пластике (чтобы был объём и буквывырезать из пластика фактуры медь или матовое золото. Пример в файле https://suplbiz-a.akamaihd.net/media/attachments/2019/3/27/...")</f>
        <v>Требуется табличка для видеосъёмки ролика 450х300 мм - 1 шт. На пенокартоне или каком-то пластике (чтобы был объём и буквывырезать из пластика фактуры медь или матовое золото. Пример в файле https://suplbiz-a.akamaihd.net/media/attachments/2019/3/27/...</v>
      </c>
      <c r="G11334" s="22" t="s">
        <v>150</v>
      </c>
      <c r="H11334" s="22" t="s">
        <v>1656</v>
      </c>
      <c r="I11334" s="26">
        <v>43551.567442129599</v>
      </c>
      <c r="J11334" s="28" t="s">
        <v>52</v>
      </c>
      <c r="K11334" s="28" t="s">
        <v>52</v>
      </c>
      <c r="L11334" s="28" t="s">
        <v>52</v>
      </c>
      <c r="M11334" s="28" t="s">
        <v>52</v>
      </c>
      <c r="N11334" s="28" t="s">
        <v>52</v>
      </c>
    </row>
    <row r="11335" spans="1:14" x14ac:dyDescent="0.15">
      <c r="A11335" s="23" t="str">
        <f>HYPERLINK("https://www.spark-marketing.ru/Card/Person/1320082", "ГАУ СО ""МИХАЙЛОВСКИЙ ПНИ""")</f>
        <v>ГАУ СО "МИХАЙЛОВСКИЙ ПНИ"</v>
      </c>
      <c r="B11335" s="24" t="s">
        <v>13606</v>
      </c>
      <c r="C11335" s="25">
        <v>64000</v>
      </c>
      <c r="D11335" s="22" t="s">
        <v>13607</v>
      </c>
      <c r="E11335" s="22" t="s">
        <v>9565</v>
      </c>
      <c r="F11335" s="23" t="str">
        <f>HYPERLINK("https://www.spark-marketing.ru/Card/Lot/69059563", "Техническое обслуживание системы видеонаблюдения на ГАУ СО «Михайловский ПНИ»")</f>
        <v>Техническое обслуживание системы видеонаблюдения на ГАУ СО «Михайловский ПНИ»</v>
      </c>
      <c r="G11335" s="22" t="s">
        <v>80</v>
      </c>
      <c r="H11335" s="22" t="s">
        <v>13608</v>
      </c>
      <c r="I11335" s="26">
        <v>43551.508495370399</v>
      </c>
      <c r="J11335" s="28" t="s">
        <v>52</v>
      </c>
      <c r="K11335" s="28" t="s">
        <v>52</v>
      </c>
      <c r="L11335" s="28" t="s">
        <v>52</v>
      </c>
      <c r="M11335" s="28" t="s">
        <v>52</v>
      </c>
      <c r="N11335" s="28" t="s">
        <v>52</v>
      </c>
    </row>
    <row r="11336" spans="1:14" hidden="1" outlineLevel="1" x14ac:dyDescent="0.15">
      <c r="A11336" s="23" t="str">
        <f>HYPERLINK("https://www.spark-marketing.ru/Card/Person/1320082", "ГАУ СО ""МИХАЙЛОВСКИЙ ПНИ""")</f>
        <v>ГАУ СО "МИХАЙЛОВСКИЙ ПНИ"</v>
      </c>
      <c r="B11336" s="24" t="s">
        <v>13606</v>
      </c>
      <c r="C11336" s="28" t="s">
        <v>52</v>
      </c>
      <c r="D11336" s="22" t="s">
        <v>13607</v>
      </c>
      <c r="E11336" s="22" t="s">
        <v>9565</v>
      </c>
      <c r="F11336" s="23" t="str">
        <f>HYPERLINK("https://www.spark-marketing.ru/Card/Lot/69059563", "Техническое обслуживание системы видеонаблюдения на ГАУ СО «Михайловский ПНИ»")</f>
        <v>Техническое обслуживание системы видеонаблюдения на ГАУ СО «Михайловский ПНИ»</v>
      </c>
      <c r="G11336" s="22" t="s">
        <v>80</v>
      </c>
      <c r="H11336" s="22" t="s">
        <v>13608</v>
      </c>
      <c r="I11336" s="26">
        <v>43551.508495370399</v>
      </c>
      <c r="J11336" s="23" t="str">
        <f>HYPERLINK("https://www.spark-marketing.ru/Card/Person/5789541", "ООО ""СБ-ПЛЮС""")</f>
        <v>ООО "СБ-ПЛЮС"</v>
      </c>
      <c r="K11336" s="24" t="s">
        <v>4674</v>
      </c>
      <c r="L11336" s="28" t="s">
        <v>52</v>
      </c>
      <c r="M11336" s="28" t="s">
        <v>52</v>
      </c>
      <c r="N11336" s="28" t="s">
        <v>52</v>
      </c>
    </row>
    <row r="11337" spans="1:14" hidden="1" outlineLevel="1" x14ac:dyDescent="0.15">
      <c r="A11337" s="23" t="str">
        <f>HYPERLINK("https://www.spark-marketing.ru/Card/Person/1320082", "ГАУ СО ""МИХАЙЛОВСКИЙ ПНИ""")</f>
        <v>ГАУ СО "МИХАЙЛОВСКИЙ ПНИ"</v>
      </c>
      <c r="B11337" s="24" t="s">
        <v>13606</v>
      </c>
      <c r="C11337" s="28" t="s">
        <v>52</v>
      </c>
      <c r="D11337" s="22" t="s">
        <v>13607</v>
      </c>
      <c r="E11337" s="22" t="s">
        <v>9565</v>
      </c>
      <c r="F11337" s="23" t="str">
        <f>HYPERLINK("https://www.spark-marketing.ru/Card/Lot/69059563", "Техническое обслуживание системы видеонаблюдения на ГАУ СО «Михайловский ПНИ»")</f>
        <v>Техническое обслуживание системы видеонаблюдения на ГАУ СО «Михайловский ПНИ»</v>
      </c>
      <c r="G11337" s="22" t="s">
        <v>80</v>
      </c>
      <c r="H11337" s="22" t="s">
        <v>13608</v>
      </c>
      <c r="I11337" s="26">
        <v>43551.508495370399</v>
      </c>
      <c r="J11337" s="23" t="str">
        <f>HYPERLINK("https://www.spark-marketing.ru/Card/Person/587881", "ООО ""СЕЛЬХОЗЭНЕРГО""")</f>
        <v>ООО "СЕЛЬХОЗЭНЕРГО"</v>
      </c>
      <c r="K11337" s="24" t="s">
        <v>13609</v>
      </c>
      <c r="L11337" s="28" t="s">
        <v>52</v>
      </c>
      <c r="M11337" s="28" t="s">
        <v>52</v>
      </c>
      <c r="N11337" s="28" t="s">
        <v>52</v>
      </c>
    </row>
    <row r="11338" spans="1:14" hidden="1" outlineLevel="1" x14ac:dyDescent="0.15">
      <c r="A11338" s="23" t="str">
        <f>HYPERLINK("https://www.spark-marketing.ru/Card/Person/1320082", "ГАУ СО ""МИХАЙЛОВСКИЙ ПНИ""")</f>
        <v>ГАУ СО "МИХАЙЛОВСКИЙ ПНИ"</v>
      </c>
      <c r="B11338" s="24" t="s">
        <v>13606</v>
      </c>
      <c r="C11338" s="28" t="s">
        <v>52</v>
      </c>
      <c r="D11338" s="22" t="s">
        <v>13607</v>
      </c>
      <c r="E11338" s="22" t="s">
        <v>9565</v>
      </c>
      <c r="F11338" s="23" t="str">
        <f>HYPERLINK("https://www.spark-marketing.ru/Card/Lot/69059563", "Техническое обслуживание системы видеонаблюдения на ГАУ СО «Михайловский ПНИ»")</f>
        <v>Техническое обслуживание системы видеонаблюдения на ГАУ СО «Михайловский ПНИ»</v>
      </c>
      <c r="G11338" s="22" t="s">
        <v>80</v>
      </c>
      <c r="H11338" s="22" t="s">
        <v>13608</v>
      </c>
      <c r="I11338" s="26">
        <v>43551.508495370399</v>
      </c>
      <c r="J11338" s="23" t="str">
        <f>HYPERLINK("https://www.spark-marketing.ru/Card/Person/29623", "ООО ЧОО ""РАДОН-СБ""")</f>
        <v>ООО ЧОО "РАДОН-СБ"</v>
      </c>
      <c r="K11338" s="24" t="s">
        <v>13610</v>
      </c>
      <c r="L11338" s="22" t="s">
        <v>10</v>
      </c>
      <c r="M11338" s="28" t="s">
        <v>52</v>
      </c>
      <c r="N11338" s="28" t="s">
        <v>52</v>
      </c>
    </row>
    <row r="11339" spans="1:14" x14ac:dyDescent="0.15">
      <c r="A11339" s="23" t="str">
        <f>HYPERLINK("https://www.spark-marketing.ru/Card/Person/370376", "ООО ""ВОДОКАНАЛ""")</f>
        <v>ООО "ВОДОКАНАЛ"</v>
      </c>
      <c r="B11339" s="24" t="s">
        <v>6444</v>
      </c>
      <c r="C11339" s="25">
        <v>1109870.1000000001</v>
      </c>
      <c r="D11339" s="22" t="s">
        <v>13611</v>
      </c>
      <c r="E11339" s="22" t="s">
        <v>144</v>
      </c>
      <c r="F11339" s="23" t="str">
        <f>HYPERLINK("https://www.spark-marketing.ru/Card/Lot/69052825", "Оказание услуг по охране объектов военизированными подразделениями")</f>
        <v>Оказание услуг по охране объектов военизированными подразделениями</v>
      </c>
      <c r="G11339" s="22" t="s">
        <v>209</v>
      </c>
      <c r="H11339" s="22" t="s">
        <v>209</v>
      </c>
      <c r="I11339" s="26">
        <v>43551.520972222199</v>
      </c>
      <c r="J11339" s="28" t="s">
        <v>52</v>
      </c>
      <c r="K11339" s="28" t="s">
        <v>52</v>
      </c>
      <c r="L11339" s="28" t="s">
        <v>52</v>
      </c>
      <c r="M11339" s="28" t="s">
        <v>52</v>
      </c>
      <c r="N11339" s="28" t="s">
        <v>52</v>
      </c>
    </row>
    <row r="11340" spans="1:14" x14ac:dyDescent="0.15">
      <c r="A11340" s="23" t="str">
        <f>HYPERLINK("https://www.spark-marketing.ru/Card/Person/4712431", "МАУ ""МУК""")</f>
        <v>МАУ "МУК"</v>
      </c>
      <c r="B11340" s="24" t="s">
        <v>13612</v>
      </c>
      <c r="C11340" s="25">
        <v>1515645</v>
      </c>
      <c r="D11340" s="22" t="s">
        <v>13613</v>
      </c>
      <c r="E11340" s="22" t="s">
        <v>49</v>
      </c>
      <c r="F11340" s="23" t="str">
        <f>HYPERLINK("https://www.spark-marketing.ru/Card/Lot/69059512", "услуги по сервисному сопровождению объектов уличного освещения")</f>
        <v>услуги по сервисному сопровождению объектов уличного освещения</v>
      </c>
      <c r="G11340" s="22" t="s">
        <v>861</v>
      </c>
      <c r="H11340" s="22" t="s">
        <v>861</v>
      </c>
      <c r="I11340" s="26">
        <v>43551.503611111097</v>
      </c>
      <c r="J11340" s="28" t="s">
        <v>52</v>
      </c>
      <c r="K11340" s="28" t="s">
        <v>52</v>
      </c>
      <c r="L11340" s="28" t="s">
        <v>52</v>
      </c>
      <c r="M11340" s="28" t="s">
        <v>52</v>
      </c>
      <c r="N11340" s="28" t="s">
        <v>52</v>
      </c>
    </row>
    <row r="11341" spans="1:14" x14ac:dyDescent="0.2">
      <c r="A11341" s="23" t="str">
        <f>HYPERLINK("https://www.spark-marketing.ru/Card/Person/9916", "ФКУ ""РОСТРАНСМОДЕРНИЗАЦИЯ""")</f>
        <v>ФКУ "РОСТРАНСМОДЕРНИЗАЦИЯ"</v>
      </c>
      <c r="B11341" s="24" t="s">
        <v>12770</v>
      </c>
      <c r="C11341" s="25">
        <v>18102712</v>
      </c>
      <c r="D11341" s="22" t="s">
        <v>13614</v>
      </c>
      <c r="E11341" s="22" t="s">
        <v>13615</v>
      </c>
      <c r="F11341" s="23" t="str">
        <f>HYPERLINK("https://www.spark-marketing.ru/Card/Lot/69064400", "Оказание услуг по круглосуточной физической охране территорий и находящегося на них имущества и элементов незавершенного строительства объекта «Комплексное развитие Новороссийского транспортного узла (Краснодарский край). Строительство железнодорожны...")</f>
        <v>Оказание услуг по круглосуточной физической охране территорий и находящегося на них имущества и элементов незавершенного строительства объекта «Комплексное развитие Новороссийского транспортного узла (Краснодарский край). Строительство железнодорожны...</v>
      </c>
      <c r="G11341" s="22" t="s">
        <v>132</v>
      </c>
      <c r="H11341" s="22" t="s">
        <v>132</v>
      </c>
      <c r="I11341" s="26">
        <v>43551.534722222197</v>
      </c>
      <c r="J11341" s="23" t="str">
        <f>HYPERLINK("https://www.spark-marketing.ru/Card/Person/163417", "КРАСНОДАРСКИЙ ФЛ ФГУП ""УВО МИНТРАНСА РОССИИ""")</f>
        <v>КРАСНОДАРСКИЙ ФЛ ФГУП "УВО МИНТРАНСА РОССИИ"</v>
      </c>
      <c r="K11341" s="24" t="s">
        <v>1472</v>
      </c>
      <c r="L11341" s="28" t="s">
        <v>52</v>
      </c>
      <c r="M11341" s="25">
        <v>17175920.199999999</v>
      </c>
      <c r="N11341" s="27">
        <v>5.119629589201883E-2</v>
      </c>
    </row>
    <row r="11342" spans="1:14" x14ac:dyDescent="0.15">
      <c r="A11342" s="23" t="str">
        <f>HYPERLINK("https://www.spark-marketing.ru/Card/Person/261444", "УПРАВЛЕНИЕ МИНЮСТА РОССИИ ПО БРЯНСКОЙ ОБЛАСТИ")</f>
        <v>УПРАВЛЕНИЕ МИНЮСТА РОССИИ ПО БРЯНСКОЙ ОБЛАСТИ</v>
      </c>
      <c r="B11342" s="24" t="s">
        <v>7152</v>
      </c>
      <c r="C11342" s="25">
        <v>98381.63</v>
      </c>
      <c r="D11342" s="22" t="s">
        <v>13616</v>
      </c>
      <c r="E11342" s="22" t="s">
        <v>53</v>
      </c>
      <c r="F11342" s="23" t="str">
        <f>HYPERLINK("https://www.spark-marketing.ru/Card/Lot/70791308", "Государственная охрана объекта, расположенного по адресу г. Брянск, ул. Степная, д. 2а.")</f>
        <v>Государственная охрана объекта, расположенного по адресу г. Брянск, ул. Степная, д. 2а.</v>
      </c>
      <c r="G11342" s="22" t="s">
        <v>215</v>
      </c>
      <c r="H11342" s="22" t="s">
        <v>406</v>
      </c>
      <c r="I11342" s="26">
        <v>43551.5313888889</v>
      </c>
      <c r="J11342" s="28" t="s">
        <v>52</v>
      </c>
      <c r="K11342" s="28" t="s">
        <v>52</v>
      </c>
      <c r="L11342" s="28" t="s">
        <v>52</v>
      </c>
      <c r="M11342" s="28" t="s">
        <v>52</v>
      </c>
      <c r="N11342" s="28" t="s">
        <v>52</v>
      </c>
    </row>
    <row r="11343" spans="1:14" x14ac:dyDescent="0.15">
      <c r="A11343" s="23" t="str">
        <f t="shared" ref="A11343:A11351" si="574">HYPERLINK("https://www.spark-marketing.ru/Card/Person/37220", "ГБДОУ ДЕТСКИЙ САД ""ЛЕСНОЕ"" ФРУНЗЕНСКОГО РАЙОНА СПБ")</f>
        <v>ГБДОУ ДЕТСКИЙ САД "ЛЕСНОЕ" ФРУНЗЕНСКОГО РАЙОНА СПБ</v>
      </c>
      <c r="B11343" s="24" t="s">
        <v>13617</v>
      </c>
      <c r="C11343" s="25">
        <v>394494</v>
      </c>
      <c r="D11343" s="22" t="s">
        <v>13618</v>
      </c>
      <c r="E11343" s="22" t="s">
        <v>59</v>
      </c>
      <c r="F11343" s="23" t="str">
        <f t="shared" ref="F11343:F11351" si="575">HYPERLINK("https://www.spark-marketing.ru/Card/Lot/69062763", "Выполнение работ по монтажу системы охранного ip-видеонаблюдения территории администрации с функцией хранения информации на NVR в ГБДОУ детский сад «Лесное» Фрунзенского района Санкт-Петербурга по адресу: Ленинградская область, г. Луга, п. п-т «Зелен...")</f>
        <v>Выполнение работ по монтажу системы охранного ip-видеонаблюдения территории администрации с функцией хранения информации на NVR в ГБДОУ детский сад «Лесное» Фрунзенского района Санкт-Петербурга по адресу: Ленинградская область, г. Луга, п. п-т «Зелен...</v>
      </c>
      <c r="G11343" s="22" t="s">
        <v>861</v>
      </c>
      <c r="H11343" s="22" t="s">
        <v>5194</v>
      </c>
      <c r="I11343" s="26">
        <v>43551.506249999999</v>
      </c>
      <c r="J11343" s="28" t="s">
        <v>52</v>
      </c>
      <c r="K11343" s="28" t="s">
        <v>52</v>
      </c>
      <c r="L11343" s="28" t="s">
        <v>52</v>
      </c>
      <c r="M11343" s="28" t="s">
        <v>52</v>
      </c>
      <c r="N11343" s="28" t="s">
        <v>52</v>
      </c>
    </row>
    <row r="11344" spans="1:14" hidden="1" outlineLevel="1" x14ac:dyDescent="0.2">
      <c r="A11344" s="23" t="str">
        <f t="shared" si="574"/>
        <v>ГБДОУ ДЕТСКИЙ САД "ЛЕСНОЕ" ФРУНЗЕНСКОГО РАЙОНА СПБ</v>
      </c>
      <c r="B11344" s="24" t="s">
        <v>13617</v>
      </c>
      <c r="C11344" s="25">
        <v>394494</v>
      </c>
      <c r="D11344" s="22" t="s">
        <v>13618</v>
      </c>
      <c r="E11344" s="22" t="s">
        <v>59</v>
      </c>
      <c r="F11344" s="23" t="str">
        <f t="shared" si="575"/>
        <v>Выполнение работ по монтажу системы охранного ip-видеонаблюдения территории администрации с функцией хранения информации на NVR в ГБДОУ детский сад «Лесное» Фрунзенского района Санкт-Петербурга по адресу: Ленинградская область, г. Луга, п. п-т «Зелен...</v>
      </c>
      <c r="G11344" s="22" t="s">
        <v>861</v>
      </c>
      <c r="H11344" s="22" t="s">
        <v>5194</v>
      </c>
      <c r="I11344" s="26">
        <v>43551.506249999999</v>
      </c>
      <c r="J11344" s="23" t="str">
        <f>HYPERLINK("https://www.spark-marketing.ru/Card/Person/70359", "ООО ""ЭНЕРГОСИЛА""")</f>
        <v>ООО "ЭНЕРГОСИЛА"</v>
      </c>
      <c r="K11344" s="24" t="s">
        <v>13619</v>
      </c>
      <c r="L11344" s="28" t="s">
        <v>52</v>
      </c>
      <c r="M11344" s="25">
        <v>378714.24</v>
      </c>
      <c r="N11344" s="27">
        <v>0.04</v>
      </c>
    </row>
    <row r="11345" spans="1:14" hidden="1" outlineLevel="1" x14ac:dyDescent="0.2">
      <c r="A11345" s="23" t="str">
        <f t="shared" si="574"/>
        <v>ГБДОУ ДЕТСКИЙ САД "ЛЕСНОЕ" ФРУНЗЕНСКОГО РАЙОНА СПБ</v>
      </c>
      <c r="B11345" s="24" t="s">
        <v>13617</v>
      </c>
      <c r="C11345" s="25">
        <v>394494</v>
      </c>
      <c r="D11345" s="22" t="s">
        <v>13618</v>
      </c>
      <c r="E11345" s="22" t="s">
        <v>59</v>
      </c>
      <c r="F11345" s="23" t="str">
        <f t="shared" si="575"/>
        <v>Выполнение работ по монтажу системы охранного ip-видеонаблюдения территории администрации с функцией хранения информации на NVR в ГБДОУ детский сад «Лесное» Фрунзенского района Санкт-Петербурга по адресу: Ленинградская область, г. Луга, п. п-т «Зелен...</v>
      </c>
      <c r="G11345" s="22" t="s">
        <v>861</v>
      </c>
      <c r="H11345" s="22" t="s">
        <v>5194</v>
      </c>
      <c r="I11345" s="26">
        <v>43551.506249999999</v>
      </c>
      <c r="J11345" s="23" t="str">
        <f>HYPERLINK("https://www.spark-marketing.ru/Card/Person/6348809", "ООО ""ИСБ""")</f>
        <v>ООО "ИСБ"</v>
      </c>
      <c r="K11345" s="24" t="s">
        <v>7239</v>
      </c>
      <c r="L11345" s="28" t="s">
        <v>52</v>
      </c>
      <c r="M11345" s="25">
        <v>380000</v>
      </c>
      <c r="N11345" s="27">
        <v>3.6740736234264652E-2</v>
      </c>
    </row>
    <row r="11346" spans="1:14" ht="12.75" hidden="1" outlineLevel="1" x14ac:dyDescent="0.2">
      <c r="A11346" s="23" t="str">
        <f t="shared" si="574"/>
        <v>ГБДОУ ДЕТСКИЙ САД "ЛЕСНОЕ" ФРУНЗЕНСКОГО РАЙОНА СПБ</v>
      </c>
      <c r="B11346" s="24" t="s">
        <v>13617</v>
      </c>
      <c r="C11346" s="25">
        <v>394494</v>
      </c>
      <c r="D11346" s="22" t="s">
        <v>13618</v>
      </c>
      <c r="E11346" s="22" t="s">
        <v>59</v>
      </c>
      <c r="F11346" s="23" t="str">
        <f t="shared" si="575"/>
        <v>Выполнение работ по монтажу системы охранного ip-видеонаблюдения территории администрации с функцией хранения информации на NVR в ГБДОУ детский сад «Лесное» Фрунзенского района Санкт-Петербурга по адресу: Ленинградская область, г. Луга, п. п-т «Зелен...</v>
      </c>
      <c r="G11346" s="22" t="s">
        <v>861</v>
      </c>
      <c r="H11346" s="22" t="s">
        <v>5194</v>
      </c>
      <c r="I11346" s="26">
        <v>43551.506249999999</v>
      </c>
      <c r="J11346" s="23" t="str">
        <f>HYPERLINK("https://www.spark-marketing.ru/Card/Person/6491705", "ООО ""КОВЧЕГ""")</f>
        <v>ООО "КОВЧЕГ"</v>
      </c>
      <c r="K11346" s="24" t="s">
        <v>8252</v>
      </c>
      <c r="L11346" s="22" t="s">
        <v>10</v>
      </c>
      <c r="M11346" s="25">
        <v>327752.69</v>
      </c>
      <c r="N11346" s="27">
        <v>0.16918206614042292</v>
      </c>
    </row>
    <row r="11347" spans="1:14" hidden="1" outlineLevel="1" x14ac:dyDescent="0.2">
      <c r="A11347" s="23" t="str">
        <f t="shared" si="574"/>
        <v>ГБДОУ ДЕТСКИЙ САД "ЛЕСНОЕ" ФРУНЗЕНСКОГО РАЙОНА СПБ</v>
      </c>
      <c r="B11347" s="24" t="s">
        <v>13617</v>
      </c>
      <c r="C11347" s="25">
        <v>394494</v>
      </c>
      <c r="D11347" s="22" t="s">
        <v>13618</v>
      </c>
      <c r="E11347" s="22" t="s">
        <v>59</v>
      </c>
      <c r="F11347" s="23" t="str">
        <f t="shared" si="575"/>
        <v>Выполнение работ по монтажу системы охранного ip-видеонаблюдения территории администрации с функцией хранения информации на NVR в ГБДОУ детский сад «Лесное» Фрунзенского района Санкт-Петербурга по адресу: Ленинградская область, г. Луга, п. п-т «Зелен...</v>
      </c>
      <c r="G11347" s="22" t="s">
        <v>861</v>
      </c>
      <c r="H11347" s="22" t="s">
        <v>5194</v>
      </c>
      <c r="I11347" s="26">
        <v>43551.506249999999</v>
      </c>
      <c r="J11347" s="23" t="str">
        <f>HYPERLINK("https://www.spark-marketing.ru/Card/Person/392285", "ООО ""ОП ""МОНИТОР-Л""")</f>
        <v>ООО "ОП "МОНИТОР-Л"</v>
      </c>
      <c r="K11347" s="24" t="s">
        <v>13620</v>
      </c>
      <c r="L11347" s="28" t="s">
        <v>52</v>
      </c>
      <c r="M11347" s="25">
        <v>293753.02</v>
      </c>
      <c r="N11347" s="27">
        <v>0.25536758480483862</v>
      </c>
    </row>
    <row r="11348" spans="1:14" hidden="1" outlineLevel="1" x14ac:dyDescent="0.2">
      <c r="A11348" s="23" t="str">
        <f t="shared" si="574"/>
        <v>ГБДОУ ДЕТСКИЙ САД "ЛЕСНОЕ" ФРУНЗЕНСКОГО РАЙОНА СПБ</v>
      </c>
      <c r="B11348" s="24" t="s">
        <v>13617</v>
      </c>
      <c r="C11348" s="25">
        <v>394494</v>
      </c>
      <c r="D11348" s="22" t="s">
        <v>13618</v>
      </c>
      <c r="E11348" s="22" t="s">
        <v>59</v>
      </c>
      <c r="F11348" s="23" t="str">
        <f t="shared" si="575"/>
        <v>Выполнение работ по монтажу системы охранного ip-видеонаблюдения территории администрации с функцией хранения информации на NVR в ГБДОУ детский сад «Лесное» Фрунзенского района Санкт-Петербурга по адресу: Ленинградская область, г. Луга, п. п-т «Зелен...</v>
      </c>
      <c r="G11348" s="22" t="s">
        <v>861</v>
      </c>
      <c r="H11348" s="22" t="s">
        <v>5194</v>
      </c>
      <c r="I11348" s="26">
        <v>43551.506249999999</v>
      </c>
      <c r="J11348" s="23" t="str">
        <f>HYPERLINK("https://www.spark-marketing.ru/Card/Person/450990", "ООО ""СЕЙГАЛ""")</f>
        <v>ООО "СЕЙГАЛ"</v>
      </c>
      <c r="K11348" s="24" t="s">
        <v>11235</v>
      </c>
      <c r="L11348" s="28" t="s">
        <v>52</v>
      </c>
      <c r="M11348" s="25">
        <v>352110.12</v>
      </c>
      <c r="N11348" s="27">
        <v>0.10743859222193493</v>
      </c>
    </row>
    <row r="11349" spans="1:14" hidden="1" outlineLevel="1" x14ac:dyDescent="0.2">
      <c r="A11349" s="23" t="str">
        <f t="shared" si="574"/>
        <v>ГБДОУ ДЕТСКИЙ САД "ЛЕСНОЕ" ФРУНЗЕНСКОГО РАЙОНА СПБ</v>
      </c>
      <c r="B11349" s="24" t="s">
        <v>13617</v>
      </c>
      <c r="C11349" s="25">
        <v>394494</v>
      </c>
      <c r="D11349" s="22" t="s">
        <v>13618</v>
      </c>
      <c r="E11349" s="22" t="s">
        <v>59</v>
      </c>
      <c r="F11349" s="23" t="str">
        <f t="shared" si="575"/>
        <v>Выполнение работ по монтажу системы охранного ip-видеонаблюдения территории администрации с функцией хранения информации на NVR в ГБДОУ детский сад «Лесное» Фрунзенского района Санкт-Петербурга по адресу: Ленинградская область, г. Луга, п. п-т «Зелен...</v>
      </c>
      <c r="G11349" s="22" t="s">
        <v>861</v>
      </c>
      <c r="H11349" s="22" t="s">
        <v>5194</v>
      </c>
      <c r="I11349" s="26">
        <v>43551.506249999999</v>
      </c>
      <c r="J11349" s="23" t="str">
        <f>HYPERLINK("https://www.spark-marketing.ru/Card/Person/6412569", "Тихомиров Алексей Анатольевич")</f>
        <v>Тихомиров Алексей Анатольевич</v>
      </c>
      <c r="K11349" s="24" t="s">
        <v>13621</v>
      </c>
      <c r="L11349" s="28" t="s">
        <v>52</v>
      </c>
      <c r="M11349" s="25">
        <v>295725.49</v>
      </c>
      <c r="N11349" s="27">
        <v>0.25036758480483862</v>
      </c>
    </row>
    <row r="11350" spans="1:14" hidden="1" outlineLevel="1" x14ac:dyDescent="0.2">
      <c r="A11350" s="23" t="str">
        <f t="shared" si="574"/>
        <v>ГБДОУ ДЕТСКИЙ САД "ЛЕСНОЕ" ФРУНЗЕНСКОГО РАЙОНА СПБ</v>
      </c>
      <c r="B11350" s="24" t="s">
        <v>13617</v>
      </c>
      <c r="C11350" s="25">
        <v>394494</v>
      </c>
      <c r="D11350" s="22" t="s">
        <v>13618</v>
      </c>
      <c r="E11350" s="22" t="s">
        <v>59</v>
      </c>
      <c r="F11350" s="23" t="str">
        <f t="shared" si="575"/>
        <v>Выполнение работ по монтажу системы охранного ip-видеонаблюдения территории администрации с функцией хранения информации на NVR в ГБДОУ детский сад «Лесное» Фрунзенского района Санкт-Петербурга по адресу: Ленинградская область, г. Луга, п. п-т «Зелен...</v>
      </c>
      <c r="G11350" s="22" t="s">
        <v>861</v>
      </c>
      <c r="H11350" s="22" t="s">
        <v>5194</v>
      </c>
      <c r="I11350" s="26">
        <v>43551.506249999999</v>
      </c>
      <c r="J11350" s="23" t="str">
        <f>HYPERLINK("https://www.spark-marketing.ru/Card/Person/60776", "ООО ""СИСТЕМКОМПЛЕКС""")</f>
        <v>ООО "СИСТЕМКОМПЛЕКС"</v>
      </c>
      <c r="K11350" s="24" t="s">
        <v>4945</v>
      </c>
      <c r="L11350" s="28" t="s">
        <v>52</v>
      </c>
      <c r="M11350" s="25">
        <v>390000</v>
      </c>
      <c r="N11350" s="27">
        <v>1.1391808240429513E-2</v>
      </c>
    </row>
    <row r="11351" spans="1:14" hidden="1" outlineLevel="1" x14ac:dyDescent="0.2">
      <c r="A11351" s="23" t="str">
        <f t="shared" si="574"/>
        <v>ГБДОУ ДЕТСКИЙ САД "ЛЕСНОЕ" ФРУНЗЕНСКОГО РАЙОНА СПБ</v>
      </c>
      <c r="B11351" s="24" t="s">
        <v>13617</v>
      </c>
      <c r="C11351" s="25">
        <v>394494</v>
      </c>
      <c r="D11351" s="22" t="s">
        <v>13618</v>
      </c>
      <c r="E11351" s="22" t="s">
        <v>59</v>
      </c>
      <c r="F11351" s="23" t="str">
        <f t="shared" si="575"/>
        <v>Выполнение работ по монтажу системы охранного ip-видеонаблюдения территории администрации с функцией хранения информации на NVR в ГБДОУ детский сад «Лесное» Фрунзенского района Санкт-Петербурга по адресу: Ленинградская область, г. Луга, п. п-т «Зелен...</v>
      </c>
      <c r="G11351" s="22" t="s">
        <v>861</v>
      </c>
      <c r="H11351" s="22" t="s">
        <v>5194</v>
      </c>
      <c r="I11351" s="26">
        <v>43551.506249999999</v>
      </c>
      <c r="J11351" s="23" t="str">
        <f>HYPERLINK("https://www.spark-marketing.ru/Card/Person/5897511", "Романов Максим Александрович")</f>
        <v>Романов Максим Александрович</v>
      </c>
      <c r="K11351" s="24" t="s">
        <v>4769</v>
      </c>
      <c r="L11351" s="28" t="s">
        <v>52</v>
      </c>
      <c r="M11351" s="25">
        <v>370824.36</v>
      </c>
      <c r="N11351" s="27">
        <v>0.06</v>
      </c>
    </row>
    <row r="11352" spans="1:14" x14ac:dyDescent="0.15">
      <c r="A11352" s="23" t="str">
        <f>HYPERLINK("https://www.spark-marketing.ru/Card/Person/30599", "ГБУ РО ""ПНД""")</f>
        <v>ГБУ РО "ПНД"</v>
      </c>
      <c r="B11352" s="24" t="s">
        <v>13622</v>
      </c>
      <c r="C11352" s="25">
        <v>37866.68</v>
      </c>
      <c r="D11352" s="22" t="s">
        <v>13623</v>
      </c>
      <c r="E11352" s="22" t="s">
        <v>107</v>
      </c>
      <c r="F11352" s="23" t="str">
        <f>HYPERLINK("https://www.spark-marketing.ru/Card/Lot/69061557", "Оказание услуг по техническому обслуживанию системы видеонаблюдения, системы контроля и управления доступом для нужд Красносулинского  филиала ГБУ РО «ПНД» в 2019 году")</f>
        <v>Оказание услуг по техническому обслуживанию системы видеонаблюдения, системы контроля и управления доступом для нужд Красносулинского  филиала ГБУ РО «ПНД» в 2019 году</v>
      </c>
      <c r="G11352" s="22" t="s">
        <v>402</v>
      </c>
      <c r="H11352" s="22" t="s">
        <v>10454</v>
      </c>
      <c r="I11352" s="26">
        <v>43551.493750000001</v>
      </c>
      <c r="J11352" s="28" t="s">
        <v>52</v>
      </c>
      <c r="K11352" s="28" t="s">
        <v>52</v>
      </c>
      <c r="L11352" s="28" t="s">
        <v>52</v>
      </c>
      <c r="M11352" s="28" t="s">
        <v>52</v>
      </c>
      <c r="N11352" s="28" t="s">
        <v>52</v>
      </c>
    </row>
    <row r="11353" spans="1:14" hidden="1" outlineLevel="1" x14ac:dyDescent="0.2">
      <c r="A11353" s="23" t="str">
        <f>HYPERLINK("https://www.spark-marketing.ru/Card/Person/30599", "ГБУ РО ""ПНД""")</f>
        <v>ГБУ РО "ПНД"</v>
      </c>
      <c r="B11353" s="24" t="s">
        <v>13622</v>
      </c>
      <c r="C11353" s="25">
        <v>37866.68</v>
      </c>
      <c r="D11353" s="22" t="s">
        <v>13623</v>
      </c>
      <c r="E11353" s="22" t="s">
        <v>107</v>
      </c>
      <c r="F11353" s="23" t="str">
        <f>HYPERLINK("https://www.spark-marketing.ru/Card/Lot/69061557", "Оказание услуг по техническому обслуживанию системы видеонаблюдения, системы контроля и управления доступом для нужд Красносулинского  филиала ГБУ РО «ПНД» в 2019 году")</f>
        <v>Оказание услуг по техническому обслуживанию системы видеонаблюдения, системы контроля и управления доступом для нужд Красносулинского  филиала ГБУ РО «ПНД» в 2019 году</v>
      </c>
      <c r="G11353" s="22" t="s">
        <v>402</v>
      </c>
      <c r="H11353" s="22" t="s">
        <v>10454</v>
      </c>
      <c r="I11353" s="26">
        <v>43551.493750000001</v>
      </c>
      <c r="J11353" s="23" t="str">
        <f>HYPERLINK("https://www.spark-marketing.ru/Card/Person/425295", "ООО ""АНД""")</f>
        <v>ООО "АНД"</v>
      </c>
      <c r="K11353" s="24" t="s">
        <v>13624</v>
      </c>
      <c r="L11353" s="28" t="s">
        <v>52</v>
      </c>
      <c r="M11353" s="25">
        <v>23103.35</v>
      </c>
      <c r="N11353" s="27">
        <v>0.38987653525474109</v>
      </c>
    </row>
    <row r="11354" spans="1:14" hidden="1" outlineLevel="1" x14ac:dyDescent="0.2">
      <c r="A11354" s="23" t="str">
        <f>HYPERLINK("https://www.spark-marketing.ru/Card/Person/30599", "ГБУ РО ""ПНД""")</f>
        <v>ГБУ РО "ПНД"</v>
      </c>
      <c r="B11354" s="24" t="s">
        <v>13622</v>
      </c>
      <c r="C11354" s="25">
        <v>37866.68</v>
      </c>
      <c r="D11354" s="22" t="s">
        <v>13623</v>
      </c>
      <c r="E11354" s="22" t="s">
        <v>107</v>
      </c>
      <c r="F11354" s="23" t="str">
        <f>HYPERLINK("https://www.spark-marketing.ru/Card/Lot/69061557", "Оказание услуг по техническому обслуживанию системы видеонаблюдения, системы контроля и управления доступом для нужд Красносулинского  филиала ГБУ РО «ПНД» в 2019 году")</f>
        <v>Оказание услуг по техническому обслуживанию системы видеонаблюдения, системы контроля и управления доступом для нужд Красносулинского  филиала ГБУ РО «ПНД» в 2019 году</v>
      </c>
      <c r="G11354" s="22" t="s">
        <v>402</v>
      </c>
      <c r="H11354" s="22" t="s">
        <v>10454</v>
      </c>
      <c r="I11354" s="26">
        <v>43551.493750000001</v>
      </c>
      <c r="J11354" s="23" t="str">
        <f>HYPERLINK("https://www.spark-marketing.ru/Card/Person/425632", "Пегушин Дмитрий Александрович")</f>
        <v>Пегушин Дмитрий Александрович</v>
      </c>
      <c r="K11354" s="24" t="s">
        <v>13625</v>
      </c>
      <c r="L11354" s="28" t="s">
        <v>52</v>
      </c>
      <c r="M11354" s="25">
        <v>8030</v>
      </c>
      <c r="N11354" s="27">
        <v>0.78794021551400861</v>
      </c>
    </row>
    <row r="11355" spans="1:14" ht="12.75" hidden="1" outlineLevel="1" x14ac:dyDescent="0.2">
      <c r="A11355" s="23" t="str">
        <f>HYPERLINK("https://www.spark-marketing.ru/Card/Person/30599", "ГБУ РО ""ПНД""")</f>
        <v>ГБУ РО "ПНД"</v>
      </c>
      <c r="B11355" s="24" t="s">
        <v>13622</v>
      </c>
      <c r="C11355" s="25">
        <v>37866.68</v>
      </c>
      <c r="D11355" s="22" t="s">
        <v>13623</v>
      </c>
      <c r="E11355" s="22" t="s">
        <v>107</v>
      </c>
      <c r="F11355" s="23" t="str">
        <f>HYPERLINK("https://www.spark-marketing.ru/Card/Lot/69061557", "Оказание услуг по техническому обслуживанию системы видеонаблюдения, системы контроля и управления доступом для нужд Красносулинского  филиала ГБУ РО «ПНД» в 2019 году")</f>
        <v>Оказание услуг по техническому обслуживанию системы видеонаблюдения, системы контроля и управления доступом для нужд Красносулинского  филиала ГБУ РО «ПНД» в 2019 году</v>
      </c>
      <c r="G11355" s="22" t="s">
        <v>402</v>
      </c>
      <c r="H11355" s="22" t="s">
        <v>10454</v>
      </c>
      <c r="I11355" s="26">
        <v>43551.493750000001</v>
      </c>
      <c r="J11355" s="23" t="str">
        <f>HYPERLINK("https://www.spark-marketing.ru/Card/Person/6242679", "ООО «И С Ю»")</f>
        <v>ООО «И С Ю»</v>
      </c>
      <c r="K11355" s="24" t="s">
        <v>12635</v>
      </c>
      <c r="L11355" s="22" t="s">
        <v>10</v>
      </c>
      <c r="M11355" s="25">
        <v>8030</v>
      </c>
      <c r="N11355" s="27">
        <v>0.78794021551400861</v>
      </c>
    </row>
    <row r="11356" spans="1:14" x14ac:dyDescent="0.15">
      <c r="A11356" s="23" t="str">
        <f>HYPERLINK("https://www.spark-marketing.ru/Card/Person/4354076", "МАРИСТАТ")</f>
        <v>МАРИСТАТ</v>
      </c>
      <c r="B11356" s="24" t="s">
        <v>13143</v>
      </c>
      <c r="C11356" s="25">
        <v>65000</v>
      </c>
      <c r="D11356" s="22" t="s">
        <v>13626</v>
      </c>
      <c r="E11356" s="22" t="s">
        <v>107</v>
      </c>
      <c r="F11356" s="23" t="str">
        <f>HYPERLINK("https://www.spark-marketing.ru/Card/Lot/70172248", "Техническое обслуживание средств ОС, ОПС, ТС, видеонаблюдения и СКУД, 1 шт")</f>
        <v>Техническое обслуживание средств ОС, ОПС, ТС, видеонаблюдения и СКУД, 1 шт</v>
      </c>
      <c r="G11356" s="22" t="s">
        <v>2514</v>
      </c>
      <c r="H11356" s="22" t="s">
        <v>4189</v>
      </c>
      <c r="I11356" s="26">
        <v>43551.470902777801</v>
      </c>
      <c r="J11356" s="28" t="s">
        <v>52</v>
      </c>
      <c r="K11356" s="28" t="s">
        <v>52</v>
      </c>
      <c r="L11356" s="28" t="s">
        <v>52</v>
      </c>
      <c r="M11356" s="28" t="s">
        <v>52</v>
      </c>
      <c r="N11356" s="28" t="s">
        <v>52</v>
      </c>
    </row>
    <row r="11357" spans="1:14" x14ac:dyDescent="0.15">
      <c r="A11357" s="23" t="str">
        <f>HYPERLINK("https://www.spark-marketing.ru/Card/Person/4362291", "АО ""РОСНЕФТЕФЛОТ""")</f>
        <v>АО "РОСНЕФТЕФЛОТ"</v>
      </c>
      <c r="B11357" s="24" t="s">
        <v>1381</v>
      </c>
      <c r="C11357" s="28" t="s">
        <v>52</v>
      </c>
      <c r="D11357" s="22" t="s">
        <v>13627</v>
      </c>
      <c r="E11357" s="22" t="s">
        <v>854</v>
      </c>
      <c r="F11357" s="23" t="str">
        <f>HYPERLINK("https://www.spark-marketing.ru/Card/Lot/74020506", "Оказание услуг по разработке и утверждению проектов оснащения инженерно-техническими средствами обеспечения транспортной безопасности судов Санкт-Петербургского филиала АО «Роснефтефлот»")</f>
        <v>Оказание услуг по разработке и утверждению проектов оснащения инженерно-техническими средствами обеспечения транспортной безопасности судов Санкт-Петербургского филиала АО «Роснефтефлот»</v>
      </c>
      <c r="G11357" s="22" t="s">
        <v>55</v>
      </c>
      <c r="H11357" s="22" t="s">
        <v>55</v>
      </c>
      <c r="I11357" s="26">
        <v>43551.479861111096</v>
      </c>
      <c r="J11357" s="28" t="s">
        <v>52</v>
      </c>
      <c r="K11357" s="28" t="s">
        <v>52</v>
      </c>
      <c r="L11357" s="28" t="s">
        <v>52</v>
      </c>
      <c r="M11357" s="28" t="s">
        <v>52</v>
      </c>
      <c r="N11357" s="28" t="s">
        <v>52</v>
      </c>
    </row>
    <row r="11358" spans="1:14" x14ac:dyDescent="0.15">
      <c r="A11358" s="23" t="str">
        <f>HYPERLINK("https://www.spark-marketing.ru/Card/Person/360059", "МЕЖРАЙОННАЯ ИФНС РОССИИ № 8 ПО КУРСКОЙ ОБЛАСТИ")</f>
        <v>МЕЖРАЙОННАЯ ИФНС РОССИИ № 8 ПО КУРСКОЙ ОБЛАСТИ</v>
      </c>
      <c r="B11358" s="24" t="s">
        <v>13628</v>
      </c>
      <c r="C11358" s="25">
        <v>87404.73</v>
      </c>
      <c r="D11358" s="22" t="s">
        <v>13629</v>
      </c>
      <c r="E11358" s="22" t="s">
        <v>53</v>
      </c>
      <c r="F11358" s="23" t="str">
        <f>HYPERLINK("https://www.spark-marketing.ru/Card/Lot/70790826", "Военизированная охрана объекта")</f>
        <v>Военизированная охрана объекта</v>
      </c>
      <c r="G11358" s="22" t="s">
        <v>3128</v>
      </c>
      <c r="H11358" s="22" t="s">
        <v>13630</v>
      </c>
      <c r="I11358" s="26">
        <v>43551.4854976852</v>
      </c>
      <c r="J11358" s="28" t="s">
        <v>52</v>
      </c>
      <c r="K11358" s="28" t="s">
        <v>52</v>
      </c>
      <c r="L11358" s="28" t="s">
        <v>52</v>
      </c>
      <c r="M11358" s="28" t="s">
        <v>52</v>
      </c>
      <c r="N11358" s="28" t="s">
        <v>52</v>
      </c>
    </row>
    <row r="11359" spans="1:14" x14ac:dyDescent="0.15">
      <c r="A11359" s="23" t="str">
        <f>HYPERLINK("https://www.spark-marketing.ru/Card/Person/1037802", "МУ ""УПРАВЛЕНИЕ ПО ДЕЛАМ ГО И ЧС ВОЛЬСКОГО МУНИЦИПАЛЬНОГО РАЙОНА""")</f>
        <v>МУ "УПРАВЛЕНИЕ ПО ДЕЛАМ ГО И ЧС ВОЛЬСКОГО МУНИЦИПАЛЬНОГО РАЙОНА"</v>
      </c>
      <c r="B11359" s="24" t="s">
        <v>13631</v>
      </c>
      <c r="C11359" s="25">
        <v>422000</v>
      </c>
      <c r="D11359" s="22" t="s">
        <v>13632</v>
      </c>
      <c r="E11359" s="22" t="s">
        <v>1634</v>
      </c>
      <c r="F11359" s="23" t="str">
        <f>HYPERLINK("https://www.spark-marketing.ru/Card/Lot/69056586", "Организация работы и оборудования городского пляжа, обеспечение безопасности людей на водных объектах, охране их жизни и здоровья на летний период 2019 года")</f>
        <v>Организация работы и оборудования городского пляжа, обеспечение безопасности людей на водных объектах, охране их жизни и здоровья на летний период 2019 года</v>
      </c>
      <c r="G11359" s="22" t="s">
        <v>80</v>
      </c>
      <c r="H11359" s="22" t="s">
        <v>80</v>
      </c>
      <c r="I11359" s="26">
        <v>43551.471527777801</v>
      </c>
      <c r="J11359" s="23" t="str">
        <f>HYPERLINK("https://www.spark-marketing.ru/Card/Person/538882", "ООО ""КОЛЛЕКТИВ""")</f>
        <v>ООО "КОЛЛЕКТИВ"</v>
      </c>
      <c r="K11359" s="24" t="s">
        <v>13633</v>
      </c>
      <c r="L11359" s="22" t="s">
        <v>10</v>
      </c>
      <c r="M11359" s="28" t="s">
        <v>52</v>
      </c>
      <c r="N11359" s="28" t="s">
        <v>52</v>
      </c>
    </row>
    <row r="11360" spans="1:14" ht="12.75" x14ac:dyDescent="0.2">
      <c r="A11360" s="23" t="str">
        <f>HYPERLINK("https://www.spark-marketing.ru/Card/Person/4348643", "ФГУП ""КОМБИНАТ ""ЭЛЕКТРОХИМПРИБОР""")</f>
        <v>ФГУП "КОМБИНАТ "ЭЛЕКТРОХИМПРИБОР"</v>
      </c>
      <c r="B11360" s="24" t="s">
        <v>13634</v>
      </c>
      <c r="C11360" s="25">
        <v>739034.99</v>
      </c>
      <c r="D11360" s="22" t="s">
        <v>13635</v>
      </c>
      <c r="E11360" s="22" t="s">
        <v>13636</v>
      </c>
      <c r="F11360" s="23" t="str">
        <f>HYPERLINK("https://www.spark-marketing.ru/Card/Lot/69053319", "Право заключения договора на оказание услуг по физической охране объекта ""Общежитие ""Дружба"" ФГУП ""Комбинат ""Электрохимприбор""")</f>
        <v>Право заключения договора на оказание услуг по физической охране объекта "Общежитие "Дружба" ФГУП "Комбинат "Электрохимприбор"</v>
      </c>
      <c r="G11360" s="22" t="s">
        <v>72</v>
      </c>
      <c r="H11360" s="22" t="s">
        <v>11442</v>
      </c>
      <c r="I11360" s="26">
        <v>43551.493252314802</v>
      </c>
      <c r="J11360" s="23" t="str">
        <f>HYPERLINK("https://www.spark-marketing.ru/Card/Person/6070692", "ООО ЧОО ""РУБЕЖ-ОХРАНА""")</f>
        <v>ООО ЧОО "РУБЕЖ-ОХРАНА"</v>
      </c>
      <c r="K11360" s="24" t="s">
        <v>13637</v>
      </c>
      <c r="L11360" s="22" t="s">
        <v>10</v>
      </c>
      <c r="M11360" s="25">
        <v>589536</v>
      </c>
      <c r="N11360" s="27">
        <v>0.20228946128788841</v>
      </c>
    </row>
    <row r="11361" spans="1:14" x14ac:dyDescent="0.15">
      <c r="A11361" s="23" t="str">
        <f>HYPERLINK("https://www.spark-marketing.ru/Card/Person/105295", "МЕЖРАЙОННАЯ ИФНС РОССИИ № 7 ПО ЗАБАЙКАЛЬСКОМУ КРАЮ")</f>
        <v>МЕЖРАЙОННАЯ ИФНС РОССИИ № 7 ПО ЗАБАЙКАЛЬСКОМУ КРАЮ</v>
      </c>
      <c r="B11361" s="24" t="s">
        <v>13638</v>
      </c>
      <c r="C11361" s="25">
        <v>5414.4</v>
      </c>
      <c r="D11361" s="22" t="s">
        <v>13639</v>
      </c>
      <c r="E11361" s="22" t="s">
        <v>53</v>
      </c>
      <c r="F11361" s="23" t="str">
        <f>HYPERLINK("https://www.spark-marketing.ru/Card/Lot/70792026", "Услуги по централизованной охране объекта Заказчика")</f>
        <v>Услуги по централизованной охране объекта Заказчика</v>
      </c>
      <c r="G11361" s="22" t="s">
        <v>473</v>
      </c>
      <c r="H11361" s="22" t="s">
        <v>12949</v>
      </c>
      <c r="I11361" s="26">
        <v>43551.419247685197</v>
      </c>
      <c r="J11361" s="28" t="s">
        <v>52</v>
      </c>
      <c r="K11361" s="28" t="s">
        <v>52</v>
      </c>
      <c r="L11361" s="28" t="s">
        <v>52</v>
      </c>
      <c r="M11361" s="28" t="s">
        <v>52</v>
      </c>
      <c r="N11361" s="28" t="s">
        <v>52</v>
      </c>
    </row>
    <row r="11362" spans="1:14" x14ac:dyDescent="0.15">
      <c r="A11362" s="28" t="s">
        <v>52</v>
      </c>
      <c r="B11362" s="28" t="s">
        <v>52</v>
      </c>
      <c r="C11362" s="28" t="s">
        <v>52</v>
      </c>
      <c r="D11362" s="22" t="s">
        <v>13640</v>
      </c>
      <c r="E11362" s="22" t="s">
        <v>208</v>
      </c>
      <c r="F11362" s="23" t="str">
        <f>HYPERLINK("https://www.spark-marketing.ru/Card/Lot/69062475", "Комплект СВН для буровых установок Видеорег. ITV MATRIX,,Видеорег. ITV MATRIX-TH1 4Us-iX-F6-FB-2,7Тб-1M-4/4(с монтажом и пуско-наладкой),,,,шт Монитор,,L1753TR Black 17"" (LCD, TCO03, 83KHz,1280x1024/75Hz, DVI, 2ms ,2000:1, 300 кд/м2),,1,,шт TВК - 46...")</f>
        <v>Комплект СВН для буровых установок Видеорег. ITV MATRIX,,Видеорег. ITV MATRIX-TH1 4Us-iX-F6-FB-2,7Тб-1M-4/4(с монтажом и пуско-наладкой),,,,шт Монитор,,L1753TR Black 17" (LCD, TCO03, 83KHz,1280x1024/75Hz, DVI, 2ms ,2000:1, 300 кд/м2),,1,,шт TВК - 46...</v>
      </c>
      <c r="G11362" s="22" t="s">
        <v>204</v>
      </c>
      <c r="H11362" s="22" t="s">
        <v>308</v>
      </c>
      <c r="I11362" s="26">
        <v>43551.454884259299</v>
      </c>
      <c r="J11362" s="23" t="str">
        <f>HYPERLINK("https://www.spark-marketing.ru/Card/Person/819717", "ООО ""ТАТИНТЕК""")</f>
        <v>ООО "ТАТИНТЕК"</v>
      </c>
      <c r="K11362" s="24" t="s">
        <v>13641</v>
      </c>
      <c r="L11362" s="28" t="s">
        <v>52</v>
      </c>
      <c r="M11362" s="25">
        <v>710908.44</v>
      </c>
      <c r="N11362" s="28" t="s">
        <v>52</v>
      </c>
    </row>
    <row r="11363" spans="1:14" x14ac:dyDescent="0.15">
      <c r="A11363" s="23" t="str">
        <f>HYPERLINK("https://www.spark-marketing.ru/Card/Person/18310", "БУ ""СУРГУТСКАЯ ГОРОДСКАЯ КЛИНИЧЕСКАЯ ПОЛИКЛИНИКА № 1""")</f>
        <v>БУ "СУРГУТСКАЯ ГОРОДСКАЯ КЛИНИЧЕСКАЯ ПОЛИКЛИНИКА № 1"</v>
      </c>
      <c r="B11363" s="24" t="s">
        <v>13642</v>
      </c>
      <c r="C11363" s="25">
        <v>2404725.9700000002</v>
      </c>
      <c r="D11363" s="22" t="s">
        <v>13643</v>
      </c>
      <c r="E11363" s="22" t="s">
        <v>52</v>
      </c>
      <c r="F11363" s="23" t="str">
        <f>HYPERLINK("https://www.spark-marketing.ru/Card/Lot/69051804", "Оказание услуг по охране объектов")</f>
        <v>Оказание услуг по охране объектов</v>
      </c>
      <c r="G11363" s="22" t="s">
        <v>119</v>
      </c>
      <c r="H11363" s="22" t="s">
        <v>463</v>
      </c>
      <c r="I11363" s="26">
        <v>43551.442361111098</v>
      </c>
      <c r="J11363" s="28" t="s">
        <v>52</v>
      </c>
      <c r="K11363" s="28" t="s">
        <v>52</v>
      </c>
      <c r="L11363" s="28" t="s">
        <v>52</v>
      </c>
      <c r="M11363" s="28" t="s">
        <v>52</v>
      </c>
      <c r="N11363" s="28" t="s">
        <v>52</v>
      </c>
    </row>
    <row r="11364" spans="1:14" hidden="1" outlineLevel="1" x14ac:dyDescent="0.2">
      <c r="A11364" s="23" t="str">
        <f>HYPERLINK("https://www.spark-marketing.ru/Card/Person/18310", "БУ ""СУРГУТСКАЯ ГОРОДСКАЯ КЛИНИЧЕСКАЯ ПОЛИКЛИНИКА № 1""")</f>
        <v>БУ "СУРГУТСКАЯ ГОРОДСКАЯ КЛИНИЧЕСКАЯ ПОЛИКЛИНИКА № 1"</v>
      </c>
      <c r="B11364" s="24" t="s">
        <v>13642</v>
      </c>
      <c r="C11364" s="25">
        <v>2404725.9700000002</v>
      </c>
      <c r="D11364" s="22" t="s">
        <v>13643</v>
      </c>
      <c r="E11364" s="22" t="s">
        <v>52</v>
      </c>
      <c r="F11364" s="23" t="str">
        <f>HYPERLINK("https://www.spark-marketing.ru/Card/Lot/69051804", "Оказание услуг по охране объектов")</f>
        <v>Оказание услуг по охране объектов</v>
      </c>
      <c r="G11364" s="22" t="s">
        <v>119</v>
      </c>
      <c r="H11364" s="22" t="s">
        <v>463</v>
      </c>
      <c r="I11364" s="26">
        <v>43551.442361111098</v>
      </c>
      <c r="J11364" s="23" t="str">
        <f>HYPERLINK("https://www.spark-marketing.ru/Card/Person/4851642", "ООО ЧОО ""ОЛИМП-БЕЗОПАСНОСТЬ""")</f>
        <v>ООО ЧОО "ОЛИМП-БЕЗОПАСНОСТЬ"</v>
      </c>
      <c r="K11364" s="24" t="s">
        <v>5255</v>
      </c>
      <c r="L11364" s="28" t="s">
        <v>52</v>
      </c>
      <c r="M11364" s="25">
        <v>1647237.28</v>
      </c>
      <c r="N11364" s="27">
        <v>0.31500000392976168</v>
      </c>
    </row>
    <row r="11365" spans="1:14" hidden="1" outlineLevel="1" x14ac:dyDescent="0.2">
      <c r="A11365" s="23" t="str">
        <f>HYPERLINK("https://www.spark-marketing.ru/Card/Person/18310", "БУ ""СУРГУТСКАЯ ГОРОДСКАЯ КЛИНИЧЕСКАЯ ПОЛИКЛИНИКА № 1""")</f>
        <v>БУ "СУРГУТСКАЯ ГОРОДСКАЯ КЛИНИЧЕСКАЯ ПОЛИКЛИНИКА № 1"</v>
      </c>
      <c r="B11365" s="24" t="s">
        <v>13642</v>
      </c>
      <c r="C11365" s="25">
        <v>2404725.9700000002</v>
      </c>
      <c r="D11365" s="22" t="s">
        <v>13643</v>
      </c>
      <c r="E11365" s="22" t="s">
        <v>52</v>
      </c>
      <c r="F11365" s="23" t="str">
        <f>HYPERLINK("https://www.spark-marketing.ru/Card/Lot/69051804", "Оказание услуг по охране объектов")</f>
        <v>Оказание услуг по охране объектов</v>
      </c>
      <c r="G11365" s="22" t="s">
        <v>119</v>
      </c>
      <c r="H11365" s="22" t="s">
        <v>463</v>
      </c>
      <c r="I11365" s="26">
        <v>43551.442361111098</v>
      </c>
      <c r="J11365" s="23" t="str">
        <f>HYPERLINK("https://www.spark-marketing.ru/Card/Person/111118", "ООО ЧОО ""СТАРКАД""")</f>
        <v>ООО ЧОО "СТАРКАД"</v>
      </c>
      <c r="K11365" s="24" t="s">
        <v>13644</v>
      </c>
      <c r="L11365" s="28" t="s">
        <v>52</v>
      </c>
      <c r="M11365" s="25">
        <v>1911757.14</v>
      </c>
      <c r="N11365" s="27">
        <v>0.20500000255746395</v>
      </c>
    </row>
    <row r="11366" spans="1:14" hidden="1" outlineLevel="1" x14ac:dyDescent="0.2">
      <c r="A11366" s="23" t="str">
        <f>HYPERLINK("https://www.spark-marketing.ru/Card/Person/18310", "БУ ""СУРГУТСКАЯ ГОРОДСКАЯ КЛИНИЧЕСКАЯ ПОЛИКЛИНИКА № 1""")</f>
        <v>БУ "СУРГУТСКАЯ ГОРОДСКАЯ КЛИНИЧЕСКАЯ ПОЛИКЛИНИКА № 1"</v>
      </c>
      <c r="B11366" s="24" t="s">
        <v>13642</v>
      </c>
      <c r="C11366" s="25">
        <v>2404725.9700000002</v>
      </c>
      <c r="D11366" s="22" t="s">
        <v>13643</v>
      </c>
      <c r="E11366" s="22" t="s">
        <v>52</v>
      </c>
      <c r="F11366" s="23" t="str">
        <f>HYPERLINK("https://www.spark-marketing.ru/Card/Lot/69051804", "Оказание услуг по охране объектов")</f>
        <v>Оказание услуг по охране объектов</v>
      </c>
      <c r="G11366" s="22" t="s">
        <v>119</v>
      </c>
      <c r="H11366" s="22" t="s">
        <v>463</v>
      </c>
      <c r="I11366" s="26">
        <v>43551.442361111098</v>
      </c>
      <c r="J11366" s="23" t="str">
        <f>HYPERLINK("https://www.spark-marketing.ru/Card/Person/87686", "ООО ОА ""ПЕРЕСВЕТ""")</f>
        <v>ООО ОА "ПЕРЕСВЕТ"</v>
      </c>
      <c r="K11366" s="24" t="s">
        <v>2992</v>
      </c>
      <c r="L11366" s="28" t="s">
        <v>52</v>
      </c>
      <c r="M11366" s="25">
        <v>1635213.65</v>
      </c>
      <c r="N11366" s="27">
        <v>0.32000000399213885</v>
      </c>
    </row>
    <row r="11367" spans="1:14" ht="12.75" hidden="1" outlineLevel="1" x14ac:dyDescent="0.2">
      <c r="A11367" s="23" t="str">
        <f>HYPERLINK("https://www.spark-marketing.ru/Card/Person/18310", "БУ ""СУРГУТСКАЯ ГОРОДСКАЯ КЛИНИЧЕСКАЯ ПОЛИКЛИНИКА № 1""")</f>
        <v>БУ "СУРГУТСКАЯ ГОРОДСКАЯ КЛИНИЧЕСКАЯ ПОЛИКЛИНИКА № 1"</v>
      </c>
      <c r="B11367" s="24" t="s">
        <v>13642</v>
      </c>
      <c r="C11367" s="25">
        <v>2404725.9700000002</v>
      </c>
      <c r="D11367" s="22" t="s">
        <v>13643</v>
      </c>
      <c r="E11367" s="22" t="s">
        <v>52</v>
      </c>
      <c r="F11367" s="23" t="str">
        <f>HYPERLINK("https://www.spark-marketing.ru/Card/Lot/69051804", "Оказание услуг по охране объектов")</f>
        <v>Оказание услуг по охране объектов</v>
      </c>
      <c r="G11367" s="22" t="s">
        <v>119</v>
      </c>
      <c r="H11367" s="22" t="s">
        <v>463</v>
      </c>
      <c r="I11367" s="26">
        <v>43551.442361111098</v>
      </c>
      <c r="J11367" s="23" t="str">
        <f>HYPERLINK("https://www.spark-marketing.ru/Card/Person/5926044", "ООО ЧОП ""МАКСИМУМ-ОХРАНА""")</f>
        <v>ООО ЧОП "МАКСИМУМ-ОХРАНА"</v>
      </c>
      <c r="K11367" s="24" t="s">
        <v>6900</v>
      </c>
      <c r="L11367" s="22" t="s">
        <v>10</v>
      </c>
      <c r="M11367" s="25">
        <v>1635213.65</v>
      </c>
      <c r="N11367" s="27">
        <v>0.32000000399213885</v>
      </c>
    </row>
    <row r="11368" spans="1:14" x14ac:dyDescent="0.15">
      <c r="A11368" s="23" t="str">
        <f>HYPERLINK("https://www.spark-marketing.ru/Card/Person/5816929", "ТЮМЕНЬСТАТ")</f>
        <v>ТЮМЕНЬСТАТ</v>
      </c>
      <c r="B11368" s="24" t="s">
        <v>13645</v>
      </c>
      <c r="C11368" s="25">
        <v>99000</v>
      </c>
      <c r="D11368" s="22" t="s">
        <v>13646</v>
      </c>
      <c r="E11368" s="22" t="s">
        <v>52</v>
      </c>
      <c r="F11368" s="23" t="str">
        <f>HYPERLINK("https://www.spark-marketing.ru/Card/Lot/69049577", "Оказание услуг охраны посредством комплекса технических средств охраны и объектовой приемопередающей аппаратуры в г.Сургут")</f>
        <v>Оказание услуг охраны посредством комплекса технических средств охраны и объектовой приемопередающей аппаратуры в г.Сургут</v>
      </c>
      <c r="G11368" s="22" t="s">
        <v>119</v>
      </c>
      <c r="H11368" s="22" t="s">
        <v>463</v>
      </c>
      <c r="I11368" s="26">
        <v>43551.430555555598</v>
      </c>
      <c r="J11368" s="28" t="s">
        <v>52</v>
      </c>
      <c r="K11368" s="28" t="s">
        <v>52</v>
      </c>
      <c r="L11368" s="28" t="s">
        <v>52</v>
      </c>
      <c r="M11368" s="28" t="s">
        <v>52</v>
      </c>
      <c r="N11368" s="28" t="s">
        <v>52</v>
      </c>
    </row>
    <row r="11369" spans="1:14" ht="12.75" hidden="1" outlineLevel="1" x14ac:dyDescent="0.2">
      <c r="A11369" s="23" t="str">
        <f>HYPERLINK("https://www.spark-marketing.ru/Card/Person/5816929", "ТЮМЕНЬСТАТ")</f>
        <v>ТЮМЕНЬСТАТ</v>
      </c>
      <c r="B11369" s="24" t="s">
        <v>13645</v>
      </c>
      <c r="C11369" s="25">
        <v>99000</v>
      </c>
      <c r="D11369" s="22" t="s">
        <v>13646</v>
      </c>
      <c r="E11369" s="22" t="s">
        <v>52</v>
      </c>
      <c r="F11369" s="23" t="str">
        <f>HYPERLINK("https://www.spark-marketing.ru/Card/Lot/69049577", "Оказание услуг охраны посредством комплекса технических средств охраны и объектовой приемопередающей аппаратуры в г.Сургут")</f>
        <v>Оказание услуг охраны посредством комплекса технических средств охраны и объектовой приемопередающей аппаратуры в г.Сургут</v>
      </c>
      <c r="G11369" s="22" t="s">
        <v>119</v>
      </c>
      <c r="H11369" s="22" t="s">
        <v>463</v>
      </c>
      <c r="I11369" s="26">
        <v>43551.430555555598</v>
      </c>
      <c r="J11369" s="23" t="str">
        <f>HYPERLINK("https://www.spark-marketing.ru/Card/Person/671694", "ООО ЧОА ""АЛЬФА ЩИТ""")</f>
        <v>ООО ЧОА "АЛЬФА ЩИТ"</v>
      </c>
      <c r="K11369" s="24" t="s">
        <v>13647</v>
      </c>
      <c r="L11369" s="22" t="s">
        <v>10</v>
      </c>
      <c r="M11369" s="25">
        <v>54000</v>
      </c>
      <c r="N11369" s="27">
        <v>0.45454545454545453</v>
      </c>
    </row>
    <row r="11370" spans="1:14" hidden="1" outlineLevel="1" x14ac:dyDescent="0.2">
      <c r="A11370" s="23" t="str">
        <f>HYPERLINK("https://www.spark-marketing.ru/Card/Person/5816929", "ТЮМЕНЬСТАТ")</f>
        <v>ТЮМЕНЬСТАТ</v>
      </c>
      <c r="B11370" s="24" t="s">
        <v>13645</v>
      </c>
      <c r="C11370" s="25">
        <v>99000</v>
      </c>
      <c r="D11370" s="22" t="s">
        <v>13646</v>
      </c>
      <c r="E11370" s="22" t="s">
        <v>52</v>
      </c>
      <c r="F11370" s="23" t="str">
        <f>HYPERLINK("https://www.spark-marketing.ru/Card/Lot/69049577", "Оказание услуг охраны посредством комплекса технических средств охраны и объектовой приемопередающей аппаратуры в г.Сургут")</f>
        <v>Оказание услуг охраны посредством комплекса технических средств охраны и объектовой приемопередающей аппаратуры в г.Сургут</v>
      </c>
      <c r="G11370" s="22" t="s">
        <v>119</v>
      </c>
      <c r="H11370" s="22" t="s">
        <v>463</v>
      </c>
      <c r="I11370" s="26">
        <v>43551.430555555598</v>
      </c>
      <c r="J11370" s="23" t="str">
        <f>HYPERLINK("https://www.spark-marketing.ru/Card/Person/4851642", "ООО ЧОО ""ОЛИМП-БЕЗОПАСНОСТЬ""")</f>
        <v>ООО ЧОО "ОЛИМП-БЕЗОПАСНОСТЬ"</v>
      </c>
      <c r="K11370" s="24" t="s">
        <v>5255</v>
      </c>
      <c r="L11370" s="28" t="s">
        <v>52</v>
      </c>
      <c r="M11370" s="25">
        <v>80100</v>
      </c>
      <c r="N11370" s="27">
        <v>0.19090909090909092</v>
      </c>
    </row>
    <row r="11371" spans="1:14" x14ac:dyDescent="0.15">
      <c r="A11371" s="23" t="str">
        <f>HYPERLINK("https://www.spark-marketing.ru/Card/Person/60842", "ФГБОУ ВО ""УГТУ"", УХТИНСКИЙ ГОСУДАРСТВЕННЫЙ ТЕХНИЧЕСКИЙ УНИВЕРСИТЕТ, УГТУ")</f>
        <v>ФГБОУ ВО "УГТУ", УХТИНСКИЙ ГОСУДАРСТВЕННЫЙ ТЕХНИЧЕСКИЙ УНИВЕРСИТЕТ, УГТУ</v>
      </c>
      <c r="B11371" s="24" t="s">
        <v>13648</v>
      </c>
      <c r="C11371" s="25">
        <v>19594075.199999999</v>
      </c>
      <c r="D11371" s="22" t="s">
        <v>13649</v>
      </c>
      <c r="E11371" s="22" t="s">
        <v>854</v>
      </c>
      <c r="F11371" s="23" t="str">
        <f>HYPERLINK("https://www.spark-marketing.ru/Card/Lot/69057256", "услуги по сопровождению государственной экспертизы по объекту: «Реконструкция УПН «Уса- Тяжелая нефть» Усинского нефтяного месторождения»")</f>
        <v>услуги по сопровождению государственной экспертизы по объекту: «Реконструкция УПН «Уса- Тяжелая нефть» Усинского нефтяного месторождения»</v>
      </c>
      <c r="G11371" s="22" t="s">
        <v>538</v>
      </c>
      <c r="H11371" s="22" t="s">
        <v>538</v>
      </c>
      <c r="I11371" s="26">
        <v>43551.454907407402</v>
      </c>
      <c r="J11371" s="28" t="s">
        <v>52</v>
      </c>
      <c r="K11371" s="28" t="s">
        <v>52</v>
      </c>
      <c r="L11371" s="28" t="s">
        <v>52</v>
      </c>
      <c r="M11371" s="28" t="s">
        <v>52</v>
      </c>
      <c r="N11371" s="28" t="s">
        <v>52</v>
      </c>
    </row>
    <row r="11372" spans="1:14" x14ac:dyDescent="0.15">
      <c r="A11372" s="23" t="str">
        <f>HYPERLINK("https://www.spark-marketing.ru/Card/Person/83086", "ГБОУ ШКОЛА-ИНТЕРНАТ СТ-ЦЫ СТАРОЛЕУШКОВСКОЙ")</f>
        <v>ГБОУ ШКОЛА-ИНТЕРНАТ СТ-ЦЫ СТАРОЛЕУШКОВСКОЙ</v>
      </c>
      <c r="B11372" s="24" t="s">
        <v>5273</v>
      </c>
      <c r="C11372" s="25">
        <v>409233</v>
      </c>
      <c r="D11372" s="22" t="s">
        <v>13650</v>
      </c>
      <c r="E11372" s="22" t="s">
        <v>68</v>
      </c>
      <c r="F11372" s="23" t="str">
        <f>HYPERLINK("https://www.spark-marketing.ru/Card/Lot/69060104", "оказание охранных услуг")</f>
        <v>оказание охранных услуг</v>
      </c>
      <c r="G11372" s="22" t="s">
        <v>132</v>
      </c>
      <c r="H11372" s="22" t="s">
        <v>5275</v>
      </c>
      <c r="I11372" s="26">
        <v>43551.451388888898</v>
      </c>
      <c r="J11372" s="28" t="s">
        <v>52</v>
      </c>
      <c r="K11372" s="28" t="s">
        <v>52</v>
      </c>
      <c r="L11372" s="28" t="s">
        <v>52</v>
      </c>
      <c r="M11372" s="28" t="s">
        <v>52</v>
      </c>
      <c r="N11372" s="28" t="s">
        <v>52</v>
      </c>
    </row>
    <row r="11373" spans="1:14" hidden="1" outlineLevel="1" x14ac:dyDescent="0.2">
      <c r="A11373" s="23" t="str">
        <f>HYPERLINK("https://www.spark-marketing.ru/Card/Person/83086", "ГБОУ ШКОЛА-ИНТЕРНАТ СТ-ЦЫ СТАРОЛЕУШКОВСКОЙ")</f>
        <v>ГБОУ ШКОЛА-ИНТЕРНАТ СТ-ЦЫ СТАРОЛЕУШКОВСКОЙ</v>
      </c>
      <c r="B11373" s="24" t="s">
        <v>5273</v>
      </c>
      <c r="C11373" s="25">
        <v>409233</v>
      </c>
      <c r="D11373" s="22" t="s">
        <v>13650</v>
      </c>
      <c r="E11373" s="22" t="s">
        <v>68</v>
      </c>
      <c r="F11373" s="23" t="str">
        <f>HYPERLINK("https://www.spark-marketing.ru/Card/Lot/69060104", "оказание охранных услуг")</f>
        <v>оказание охранных услуг</v>
      </c>
      <c r="G11373" s="22" t="s">
        <v>132</v>
      </c>
      <c r="H11373" s="22" t="s">
        <v>5275</v>
      </c>
      <c r="I11373" s="26">
        <v>43551.451388888898</v>
      </c>
      <c r="J11373" s="23" t="str">
        <f>HYPERLINK("https://www.spark-marketing.ru/Card/Person/16149", "ООО ЧОО ""ОБЕРЕГ-КУБАНЬ""")</f>
        <v>ООО ЧОО "ОБЕРЕГ-КУБАНЬ"</v>
      </c>
      <c r="K11373" s="24" t="s">
        <v>8603</v>
      </c>
      <c r="L11373" s="28" t="s">
        <v>52</v>
      </c>
      <c r="M11373" s="25">
        <v>300000</v>
      </c>
      <c r="N11373" s="27">
        <v>0.2669212893388363</v>
      </c>
    </row>
    <row r="11374" spans="1:14" hidden="1" outlineLevel="1" x14ac:dyDescent="0.2">
      <c r="A11374" s="23" t="str">
        <f>HYPERLINK("https://www.spark-marketing.ru/Card/Person/83086", "ГБОУ ШКОЛА-ИНТЕРНАТ СТ-ЦЫ СТАРОЛЕУШКОВСКОЙ")</f>
        <v>ГБОУ ШКОЛА-ИНТЕРНАТ СТ-ЦЫ СТАРОЛЕУШКОВСКОЙ</v>
      </c>
      <c r="B11374" s="24" t="s">
        <v>5273</v>
      </c>
      <c r="C11374" s="25">
        <v>409233</v>
      </c>
      <c r="D11374" s="22" t="s">
        <v>13650</v>
      </c>
      <c r="E11374" s="22" t="s">
        <v>68</v>
      </c>
      <c r="F11374" s="23" t="str">
        <f>HYPERLINK("https://www.spark-marketing.ru/Card/Lot/69060104", "оказание охранных услуг")</f>
        <v>оказание охранных услуг</v>
      </c>
      <c r="G11374" s="22" t="s">
        <v>132</v>
      </c>
      <c r="H11374" s="22" t="s">
        <v>5275</v>
      </c>
      <c r="I11374" s="26">
        <v>43551.451388888898</v>
      </c>
      <c r="J11374" s="23" t="str">
        <f>HYPERLINK("https://www.spark-marketing.ru/Card/Person/881820", "ООО ""ЧОО ""АЛЬФА""")</f>
        <v>ООО "ЧОО "АЛЬФА"</v>
      </c>
      <c r="K11374" s="24" t="s">
        <v>13651</v>
      </c>
      <c r="L11374" s="28" t="s">
        <v>52</v>
      </c>
      <c r="M11374" s="25">
        <v>289766</v>
      </c>
      <c r="N11374" s="27">
        <v>0.2919290477551908</v>
      </c>
    </row>
    <row r="11375" spans="1:14" ht="12.75" hidden="1" outlineLevel="1" x14ac:dyDescent="0.2">
      <c r="A11375" s="23" t="str">
        <f>HYPERLINK("https://www.spark-marketing.ru/Card/Person/83086", "ГБОУ ШКОЛА-ИНТЕРНАТ СТ-ЦЫ СТАРОЛЕУШКОВСКОЙ")</f>
        <v>ГБОУ ШКОЛА-ИНТЕРНАТ СТ-ЦЫ СТАРОЛЕУШКОВСКОЙ</v>
      </c>
      <c r="B11375" s="24" t="s">
        <v>5273</v>
      </c>
      <c r="C11375" s="25">
        <v>409233</v>
      </c>
      <c r="D11375" s="22" t="s">
        <v>13650</v>
      </c>
      <c r="E11375" s="22" t="s">
        <v>68</v>
      </c>
      <c r="F11375" s="23" t="str">
        <f>HYPERLINK("https://www.spark-marketing.ru/Card/Lot/69060104", "оказание охранных услуг")</f>
        <v>оказание охранных услуг</v>
      </c>
      <c r="G11375" s="22" t="s">
        <v>132</v>
      </c>
      <c r="H11375" s="22" t="s">
        <v>5275</v>
      </c>
      <c r="I11375" s="26">
        <v>43551.451388888898</v>
      </c>
      <c r="J11375" s="23" t="str">
        <f>HYPERLINK("https://www.spark-marketing.ru/Card/Person/5897635", "ООО ЧОО ""АЛЬФА-КУБАНЬ""")</f>
        <v>ООО ЧОО "АЛЬФА-КУБАНЬ"</v>
      </c>
      <c r="K11375" s="24" t="s">
        <v>5276</v>
      </c>
      <c r="L11375" s="22" t="s">
        <v>10</v>
      </c>
      <c r="M11375" s="25">
        <v>289766</v>
      </c>
      <c r="N11375" s="27">
        <v>0.2919290477551908</v>
      </c>
    </row>
    <row r="11376" spans="1:14" x14ac:dyDescent="0.15">
      <c r="A11376" s="23" t="str">
        <f>HYPERLINK("https://www.spark-marketing.ru/Card/Person/123741", "МОУ КРУПИНСКАЯ СОШ")</f>
        <v>МОУ КРУПИНСКАЯ СОШ</v>
      </c>
      <c r="B11376" s="24" t="s">
        <v>13652</v>
      </c>
      <c r="C11376" s="25">
        <v>25000</v>
      </c>
      <c r="D11376" s="22" t="s">
        <v>13653</v>
      </c>
      <c r="E11376" s="22" t="s">
        <v>1293</v>
      </c>
      <c r="F11376" s="23" t="str">
        <f>HYPERLINK("https://www.spark-marketing.ru/Card/Lot/69055313", "Оказание услуг по замене блоков средств криптографической защиты информации тахо-графа навигационно-криптографических модулей с последующей активацией и калиб-ровкой ранее установленных и активированных тахографов на транспортных средствах")</f>
        <v>Оказание услуг по замене блоков средств криптографической защиты информации тахо-графа навигационно-криптографических модулей с последующей активацией и калиб-ровкой ранее установленных и активированных тахографов на транспортных средствах</v>
      </c>
      <c r="G11376" s="22" t="s">
        <v>50</v>
      </c>
      <c r="H11376" s="22" t="s">
        <v>7257</v>
      </c>
      <c r="I11376" s="26">
        <v>43551.440335648098</v>
      </c>
      <c r="J11376" s="28" t="s">
        <v>52</v>
      </c>
      <c r="K11376" s="28" t="s">
        <v>52</v>
      </c>
      <c r="L11376" s="28" t="s">
        <v>52</v>
      </c>
      <c r="M11376" s="28" t="s">
        <v>52</v>
      </c>
      <c r="N11376" s="28" t="s">
        <v>52</v>
      </c>
    </row>
    <row r="11377" spans="1:14" x14ac:dyDescent="0.15">
      <c r="A11377" s="23" t="str">
        <f>HYPERLINK("https://www.spark-marketing.ru/Card/Person/115960", "МОУ ""ЛИЦЕЙ"" Г.ДЕДОВСК")</f>
        <v>МОУ "ЛИЦЕЙ" Г.ДЕДОВСК</v>
      </c>
      <c r="B11377" s="24" t="s">
        <v>6526</v>
      </c>
      <c r="C11377" s="25">
        <v>918433.41</v>
      </c>
      <c r="D11377" s="22" t="s">
        <v>13654</v>
      </c>
      <c r="E11377" s="22" t="s">
        <v>194</v>
      </c>
      <c r="F11377" s="23" t="str">
        <f>HYPERLINK("https://www.spark-marketing.ru/Card/Lot/69059990", "Поставка камер (с установкой) системы видеонаблюдения в пункты приема экзаменов (ППЭ) ""МОУ Лицей"" г. Дедовск")</f>
        <v>Поставка камер (с установкой) системы видеонаблюдения в пункты приема экзаменов (ППЭ) "МОУ Лицей" г. Дедовск</v>
      </c>
      <c r="G11377" s="22" t="s">
        <v>50</v>
      </c>
      <c r="H11377" s="22" t="s">
        <v>295</v>
      </c>
      <c r="I11377" s="26">
        <v>43551.434722222199</v>
      </c>
      <c r="J11377" s="28" t="s">
        <v>52</v>
      </c>
      <c r="K11377" s="28" t="s">
        <v>52</v>
      </c>
      <c r="L11377" s="28" t="s">
        <v>52</v>
      </c>
      <c r="M11377" s="28" t="s">
        <v>52</v>
      </c>
      <c r="N11377" s="28" t="s">
        <v>52</v>
      </c>
    </row>
    <row r="11378" spans="1:14" ht="12.75" hidden="1" outlineLevel="1" x14ac:dyDescent="0.2">
      <c r="A11378" s="23" t="str">
        <f>HYPERLINK("https://www.spark-marketing.ru/Card/Person/115960", "МОУ ""ЛИЦЕЙ"" Г.ДЕДОВСК")</f>
        <v>МОУ "ЛИЦЕЙ" Г.ДЕДОВСК</v>
      </c>
      <c r="B11378" s="24" t="s">
        <v>6526</v>
      </c>
      <c r="C11378" s="25">
        <v>918433.41</v>
      </c>
      <c r="D11378" s="22" t="s">
        <v>13654</v>
      </c>
      <c r="E11378" s="22" t="s">
        <v>194</v>
      </c>
      <c r="F11378" s="23" t="str">
        <f>HYPERLINK("https://www.spark-marketing.ru/Card/Lot/69059990", "Поставка камер (с установкой) системы видеонаблюдения в пункты приема экзаменов (ППЭ) ""МОУ Лицей"" г. Дедовск")</f>
        <v>Поставка камер (с установкой) системы видеонаблюдения в пункты приема экзаменов (ППЭ) "МОУ Лицей" г. Дедовск</v>
      </c>
      <c r="G11378" s="22" t="s">
        <v>50</v>
      </c>
      <c r="H11378" s="22" t="s">
        <v>295</v>
      </c>
      <c r="I11378" s="26">
        <v>43551.434722222199</v>
      </c>
      <c r="J11378" s="23" t="str">
        <f>HYPERLINK("https://www.spark-marketing.ru/Card/Person/76451", "ООО ""БИС""")</f>
        <v>ООО "БИС"</v>
      </c>
      <c r="K11378" s="24" t="s">
        <v>6528</v>
      </c>
      <c r="L11378" s="22" t="s">
        <v>10</v>
      </c>
      <c r="M11378" s="25">
        <v>909249.07</v>
      </c>
      <c r="N11378" s="27">
        <v>1.0000006423982332E-2</v>
      </c>
    </row>
    <row r="11379" spans="1:14" hidden="1" outlineLevel="1" x14ac:dyDescent="0.2">
      <c r="A11379" s="23" t="str">
        <f>HYPERLINK("https://www.spark-marketing.ru/Card/Person/115960", "МОУ ""ЛИЦЕЙ"" Г.ДЕДОВСК")</f>
        <v>МОУ "ЛИЦЕЙ" Г.ДЕДОВСК</v>
      </c>
      <c r="B11379" s="24" t="s">
        <v>6526</v>
      </c>
      <c r="C11379" s="25">
        <v>918433.41</v>
      </c>
      <c r="D11379" s="22" t="s">
        <v>13654</v>
      </c>
      <c r="E11379" s="22" t="s">
        <v>194</v>
      </c>
      <c r="F11379" s="23" t="str">
        <f>HYPERLINK("https://www.spark-marketing.ru/Card/Lot/69059990", "Поставка камер (с установкой) системы видеонаблюдения в пункты приема экзаменов (ППЭ) ""МОУ Лицей"" г. Дедовск")</f>
        <v>Поставка камер (с установкой) системы видеонаблюдения в пункты приема экзаменов (ППЭ) "МОУ Лицей" г. Дедовск</v>
      </c>
      <c r="G11379" s="22" t="s">
        <v>50</v>
      </c>
      <c r="H11379" s="22" t="s">
        <v>295</v>
      </c>
      <c r="I11379" s="26">
        <v>43551.434722222199</v>
      </c>
      <c r="J11379" s="23" t="str">
        <f>HYPERLINK("https://www.spark-marketing.ru/Card/Person/4856010", "ООО ""СФЕРА БЕЗОПАСНОСТИ""")</f>
        <v>ООО "СФЕРА БЕЗОПАСНОСТИ"</v>
      </c>
      <c r="K11379" s="24" t="s">
        <v>13278</v>
      </c>
      <c r="L11379" s="28" t="s">
        <v>52</v>
      </c>
      <c r="M11379" s="25">
        <v>904656</v>
      </c>
      <c r="N11379" s="27">
        <v>1.5000989565481944E-2</v>
      </c>
    </row>
    <row r="11380" spans="1:14" x14ac:dyDescent="0.15">
      <c r="A11380" s="23" t="str">
        <f>HYPERLINK("https://www.spark-marketing.ru/Card/Person/159436", "ОТДЕЛ ГФС РОССИИ В Г. ВЛАДИВОСТОКЕ")</f>
        <v>ОТДЕЛ ГФС РОССИИ В Г. ВЛАДИВОСТОКЕ</v>
      </c>
      <c r="B11380" s="24" t="s">
        <v>13476</v>
      </c>
      <c r="C11380" s="25">
        <v>56537.279999999999</v>
      </c>
      <c r="D11380" s="22" t="s">
        <v>13655</v>
      </c>
      <c r="E11380" s="22" t="s">
        <v>53</v>
      </c>
      <c r="F11380" s="23" t="str">
        <f>HYPERLINK("https://www.spark-marketing.ru/Card/Lot/70792316", "Услуги пультовой охраны с использованием тревожной кнопки, 1 шт")</f>
        <v>Услуги пультовой охраны с использованием тревожной кнопки, 1 шт</v>
      </c>
      <c r="G11380" s="22" t="s">
        <v>409</v>
      </c>
      <c r="H11380" s="22" t="s">
        <v>878</v>
      </c>
      <c r="I11380" s="26">
        <v>43551.447361111103</v>
      </c>
      <c r="J11380" s="28" t="s">
        <v>52</v>
      </c>
      <c r="K11380" s="28" t="s">
        <v>52</v>
      </c>
      <c r="L11380" s="28" t="s">
        <v>52</v>
      </c>
      <c r="M11380" s="28" t="s">
        <v>52</v>
      </c>
      <c r="N11380" s="28" t="s">
        <v>52</v>
      </c>
    </row>
    <row r="11381" spans="1:14" x14ac:dyDescent="0.15">
      <c r="A11381" s="28" t="s">
        <v>52</v>
      </c>
      <c r="B11381" s="28" t="s">
        <v>52</v>
      </c>
      <c r="C11381" s="28" t="s">
        <v>52</v>
      </c>
      <c r="D11381" s="22" t="s">
        <v>13640</v>
      </c>
      <c r="E11381" s="22" t="s">
        <v>208</v>
      </c>
      <c r="F11381" s="23" t="str">
        <f>HYPERLINK("https://www.spark-marketing.ru/Card/Lot/69062502", "Комплект СВН для буровых установок Видеорег. ITV MATRIX,,Видеорег. ITV MATRIX-TH1 4Us-iX-F6-FB-2,7Тб-1M-4/4(с монтажом и пуско-наладкой),,,,шт Монитор,,L1753TR Black 17"" (LCD, TCO03, 83KHz,1280x1024/75Hz, DVI, 2ms ,2000:1, 300 кд/м2),,1,,шт TВК - 46...")</f>
        <v>Комплект СВН для буровых установок Видеорег. ITV MATRIX,,Видеорег. ITV MATRIX-TH1 4Us-iX-F6-FB-2,7Тб-1M-4/4(с монтажом и пуско-наладкой),,,,шт Монитор,,L1753TR Black 17" (LCD, TCO03, 83KHz,1280x1024/75Hz, DVI, 2ms ,2000:1, 300 кд/м2),,1,,шт TВК - 46...</v>
      </c>
      <c r="G11381" s="22" t="s">
        <v>204</v>
      </c>
      <c r="H11381" s="22" t="s">
        <v>308</v>
      </c>
      <c r="I11381" s="26">
        <v>43551.454884259299</v>
      </c>
      <c r="J11381" s="23" t="str">
        <f>HYPERLINK("https://www.spark-marketing.ru/Card/Person/819717", "ООО ""ТАТИНТЕК""")</f>
        <v>ООО "ТАТИНТЕК"</v>
      </c>
      <c r="K11381" s="24" t="s">
        <v>13641</v>
      </c>
      <c r="L11381" s="28" t="s">
        <v>52</v>
      </c>
      <c r="M11381" s="25">
        <v>710908.44</v>
      </c>
      <c r="N11381" s="28" t="s">
        <v>52</v>
      </c>
    </row>
    <row r="11382" spans="1:14" x14ac:dyDescent="0.15">
      <c r="A11382" s="28" t="s">
        <v>52</v>
      </c>
      <c r="B11382" s="28" t="s">
        <v>52</v>
      </c>
      <c r="C11382" s="28" t="s">
        <v>52</v>
      </c>
      <c r="D11382" s="22" t="s">
        <v>13640</v>
      </c>
      <c r="E11382" s="22" t="s">
        <v>208</v>
      </c>
      <c r="F11382" s="23" t="str">
        <f>HYPERLINK("https://www.spark-marketing.ru/Card/Lot/69062501", "Комплект СВН для буровых установок Видеорег. ITV MATRIX,,Видеорег. ITV MATRIX-TH1 4Us-iX-F6-FB-2,7Тб-1M-4/4(с монтажом и пуско-наладкой),,,,шт Монитор,,L1753TR Black 17"" (LCD, TCO03, 83KHz,1280x1024/75Hz, DVI, 2ms ,2000:1, 300 кд/м2),,1,,шт TВК - 46...")</f>
        <v>Комплект СВН для буровых установок Видеорег. ITV MATRIX,,Видеорег. ITV MATRIX-TH1 4Us-iX-F6-FB-2,7Тб-1M-4/4(с монтажом и пуско-наладкой),,,,шт Монитор,,L1753TR Black 17" (LCD, TCO03, 83KHz,1280x1024/75Hz, DVI, 2ms ,2000:1, 300 кд/м2),,1,,шт TВК - 46...</v>
      </c>
      <c r="G11382" s="22" t="s">
        <v>204</v>
      </c>
      <c r="H11382" s="22" t="s">
        <v>308</v>
      </c>
      <c r="I11382" s="26">
        <v>43551.454884259299</v>
      </c>
      <c r="J11382" s="23" t="str">
        <f>HYPERLINK("https://www.spark-marketing.ru/Card/Person/819717", "ООО ""ТАТИНТЕК""")</f>
        <v>ООО "ТАТИНТЕК"</v>
      </c>
      <c r="K11382" s="24" t="s">
        <v>13641</v>
      </c>
      <c r="L11382" s="28" t="s">
        <v>52</v>
      </c>
      <c r="M11382" s="25">
        <v>710908.44</v>
      </c>
      <c r="N11382" s="28" t="s">
        <v>52</v>
      </c>
    </row>
    <row r="11383" spans="1:14" ht="12.75" x14ac:dyDescent="0.2">
      <c r="A11383" s="23" t="str">
        <f>HYPERLINK("https://www.spark-marketing.ru/Card/Person/1758163", "ГАПОУ ""ЧЕБОКСАРСКИЙ ТЕХНИКУМ ТРАНССТРОЙТЕХ"" МИНОБРАЗОВАНИЯ ЧУВАШИИ")</f>
        <v>ГАПОУ "ЧЕБОКСАРСКИЙ ТЕХНИКУМ ТРАНССТРОЙТЕХ" МИНОБРАЗОВАНИЯ ЧУВАШИИ</v>
      </c>
      <c r="B11383" s="24" t="s">
        <v>1432</v>
      </c>
      <c r="C11383" s="25">
        <v>373320</v>
      </c>
      <c r="D11383" s="22" t="s">
        <v>13656</v>
      </c>
      <c r="E11383" s="22" t="s">
        <v>144</v>
      </c>
      <c r="F11383" s="23" t="str">
        <f>HYPERLINK("https://www.spark-marketing.ru/Card/Lot/69051025", "Услуги, по охране объекта")</f>
        <v>Услуги, по охране объекта</v>
      </c>
      <c r="G11383" s="22" t="s">
        <v>1137</v>
      </c>
      <c r="H11383" s="22" t="s">
        <v>1137</v>
      </c>
      <c r="I11383" s="26">
        <v>43551.3820023148</v>
      </c>
      <c r="J11383" s="23" t="str">
        <f>HYPERLINK("https://www.spark-marketing.ru/Card/Person/63539", "ООО ""ЧОО ""ЦЕРБЕР""")</f>
        <v>ООО "ЧОО "ЦЕРБЕР"</v>
      </c>
      <c r="K11383" s="24" t="s">
        <v>1434</v>
      </c>
      <c r="L11383" s="22" t="s">
        <v>10</v>
      </c>
      <c r="M11383" s="25">
        <v>373320</v>
      </c>
      <c r="N11383" s="27">
        <v>0</v>
      </c>
    </row>
    <row r="11384" spans="1:14" x14ac:dyDescent="0.15">
      <c r="A11384" s="23" t="str">
        <f t="shared" ref="A11384:A11394" si="576">HYPERLINK("https://www.spark-marketing.ru/Card/Person/17070", "ГБУЗ ТО ""РОДИЛЬНЫЙ ДОМ № 3""")</f>
        <v>ГБУЗ ТО "РОДИЛЬНЫЙ ДОМ № 3"</v>
      </c>
      <c r="B11384" s="24" t="s">
        <v>13657</v>
      </c>
      <c r="C11384" s="25">
        <v>70200</v>
      </c>
      <c r="D11384" s="22" t="s">
        <v>13658</v>
      </c>
      <c r="E11384" s="22" t="s">
        <v>107</v>
      </c>
      <c r="F11384" s="23" t="str">
        <f t="shared" ref="F11384:F11394" si="577">HYPERLINK("https://www.spark-marketing.ru/Card/Lot/69048694", "Оказание услуг по техническому обслуживанию систем видеонаблюдения")</f>
        <v>Оказание услуг по техническому обслуживанию систем видеонаблюдения</v>
      </c>
      <c r="G11384" s="22" t="s">
        <v>893</v>
      </c>
      <c r="H11384" s="22" t="s">
        <v>894</v>
      </c>
      <c r="I11384" s="26">
        <v>43551.4</v>
      </c>
      <c r="J11384" s="28" t="s">
        <v>52</v>
      </c>
      <c r="K11384" s="28" t="s">
        <v>52</v>
      </c>
      <c r="L11384" s="28" t="s">
        <v>52</v>
      </c>
      <c r="M11384" s="28" t="s">
        <v>52</v>
      </c>
      <c r="N11384" s="28" t="s">
        <v>52</v>
      </c>
    </row>
    <row r="11385" spans="1:14" hidden="1" outlineLevel="1" x14ac:dyDescent="0.2">
      <c r="A11385" s="23" t="str">
        <f t="shared" si="576"/>
        <v>ГБУЗ ТО "РОДИЛЬНЫЙ ДОМ № 3"</v>
      </c>
      <c r="B11385" s="24" t="s">
        <v>13657</v>
      </c>
      <c r="C11385" s="25">
        <v>70200</v>
      </c>
      <c r="D11385" s="22" t="s">
        <v>13658</v>
      </c>
      <c r="E11385" s="22" t="s">
        <v>107</v>
      </c>
      <c r="F11385" s="23" t="str">
        <f t="shared" si="577"/>
        <v>Оказание услуг по техническому обслуживанию систем видеонаблюдения</v>
      </c>
      <c r="G11385" s="22" t="s">
        <v>893</v>
      </c>
      <c r="H11385" s="22" t="s">
        <v>894</v>
      </c>
      <c r="I11385" s="26">
        <v>43551.4</v>
      </c>
      <c r="J11385" s="23" t="str">
        <f>HYPERLINK("https://www.spark-marketing.ru/Card/Person/235055", "ООО ""ТТСС +""")</f>
        <v>ООО "ТТСС +"</v>
      </c>
      <c r="K11385" s="24" t="s">
        <v>9414</v>
      </c>
      <c r="L11385" s="28" t="s">
        <v>52</v>
      </c>
      <c r="M11385" s="25">
        <v>6203.69</v>
      </c>
      <c r="N11385" s="27">
        <v>0.91162834757834754</v>
      </c>
    </row>
    <row r="11386" spans="1:14" hidden="1" outlineLevel="1" x14ac:dyDescent="0.2">
      <c r="A11386" s="23" t="str">
        <f t="shared" si="576"/>
        <v>ГБУЗ ТО "РОДИЛЬНЫЙ ДОМ № 3"</v>
      </c>
      <c r="B11386" s="24" t="s">
        <v>13657</v>
      </c>
      <c r="C11386" s="25">
        <v>70200</v>
      </c>
      <c r="D11386" s="22" t="s">
        <v>13658</v>
      </c>
      <c r="E11386" s="22" t="s">
        <v>107</v>
      </c>
      <c r="F11386" s="23" t="str">
        <f t="shared" si="577"/>
        <v>Оказание услуг по техническому обслуживанию систем видеонаблюдения</v>
      </c>
      <c r="G11386" s="22" t="s">
        <v>893</v>
      </c>
      <c r="H11386" s="22" t="s">
        <v>894</v>
      </c>
      <c r="I11386" s="26">
        <v>43551.4</v>
      </c>
      <c r="J11386" s="23" t="str">
        <f>HYPERLINK("https://www.spark-marketing.ru/Card/Person/5770152", "Васильев Виталий Владимирович")</f>
        <v>Васильев Виталий Владимирович</v>
      </c>
      <c r="K11386" s="24" t="s">
        <v>5515</v>
      </c>
      <c r="L11386" s="28" t="s">
        <v>52</v>
      </c>
      <c r="M11386" s="25">
        <v>22393.31</v>
      </c>
      <c r="N11386" s="27">
        <v>0.68100698005698002</v>
      </c>
    </row>
    <row r="11387" spans="1:14" hidden="1" outlineLevel="1" x14ac:dyDescent="0.2">
      <c r="A11387" s="23" t="str">
        <f t="shared" si="576"/>
        <v>ГБУЗ ТО "РОДИЛЬНЫЙ ДОМ № 3"</v>
      </c>
      <c r="B11387" s="24" t="s">
        <v>13657</v>
      </c>
      <c r="C11387" s="25">
        <v>70200</v>
      </c>
      <c r="D11387" s="22" t="s">
        <v>13658</v>
      </c>
      <c r="E11387" s="22" t="s">
        <v>107</v>
      </c>
      <c r="F11387" s="23" t="str">
        <f t="shared" si="577"/>
        <v>Оказание услуг по техническому обслуживанию систем видеонаблюдения</v>
      </c>
      <c r="G11387" s="22" t="s">
        <v>893</v>
      </c>
      <c r="H11387" s="22" t="s">
        <v>894</v>
      </c>
      <c r="I11387" s="26">
        <v>43551.4</v>
      </c>
      <c r="J11387" s="23" t="str">
        <f>HYPERLINK("https://www.spark-marketing.ru/Card/Person/6443260", "ООО ""ГРУППА КОМПАНИЙ ""АДМИРАЛ""")</f>
        <v>ООО "ГРУППА КОМПАНИЙ "АДМИРАЛ"</v>
      </c>
      <c r="K11387" s="24" t="s">
        <v>11299</v>
      </c>
      <c r="L11387" s="28" t="s">
        <v>52</v>
      </c>
      <c r="M11387" s="25">
        <v>10120.77</v>
      </c>
      <c r="N11387" s="27">
        <v>0.85582948717948715</v>
      </c>
    </row>
    <row r="11388" spans="1:14" ht="12.75" hidden="1" outlineLevel="1" x14ac:dyDescent="0.2">
      <c r="A11388" s="23" t="str">
        <f t="shared" si="576"/>
        <v>ГБУЗ ТО "РОДИЛЬНЫЙ ДОМ № 3"</v>
      </c>
      <c r="B11388" s="24" t="s">
        <v>13657</v>
      </c>
      <c r="C11388" s="25">
        <v>70200</v>
      </c>
      <c r="D11388" s="22" t="s">
        <v>13658</v>
      </c>
      <c r="E11388" s="22" t="s">
        <v>107</v>
      </c>
      <c r="F11388" s="23" t="str">
        <f t="shared" si="577"/>
        <v>Оказание услуг по техническому обслуживанию систем видеонаблюдения</v>
      </c>
      <c r="G11388" s="22" t="s">
        <v>893</v>
      </c>
      <c r="H11388" s="22" t="s">
        <v>894</v>
      </c>
      <c r="I11388" s="26">
        <v>43551.4</v>
      </c>
      <c r="J11388" s="23" t="str">
        <f>HYPERLINK("https://www.spark-marketing.ru/Card/Person/2046153", "ООО ""МС""")</f>
        <v>ООО "МС"</v>
      </c>
      <c r="K11388" s="24" t="s">
        <v>13659</v>
      </c>
      <c r="L11388" s="22" t="s">
        <v>10</v>
      </c>
      <c r="M11388" s="25">
        <v>4280.46</v>
      </c>
      <c r="N11388" s="27">
        <v>0.93902478632478636</v>
      </c>
    </row>
    <row r="11389" spans="1:14" hidden="1" outlineLevel="1" x14ac:dyDescent="0.2">
      <c r="A11389" s="23" t="str">
        <f t="shared" si="576"/>
        <v>ГБУЗ ТО "РОДИЛЬНЫЙ ДОМ № 3"</v>
      </c>
      <c r="B11389" s="24" t="s">
        <v>13657</v>
      </c>
      <c r="C11389" s="25">
        <v>70200</v>
      </c>
      <c r="D11389" s="22" t="s">
        <v>13658</v>
      </c>
      <c r="E11389" s="22" t="s">
        <v>107</v>
      </c>
      <c r="F11389" s="23" t="str">
        <f t="shared" si="577"/>
        <v>Оказание услуг по техническому обслуживанию систем видеонаблюдения</v>
      </c>
      <c r="G11389" s="22" t="s">
        <v>893</v>
      </c>
      <c r="H11389" s="22" t="s">
        <v>894</v>
      </c>
      <c r="I11389" s="26">
        <v>43551.4</v>
      </c>
      <c r="J11389" s="23" t="str">
        <f>HYPERLINK("https://www.spark-marketing.ru/Card/Person/6510293", "Иванников Алексей Михайлович")</f>
        <v>Иванников Алексей Михайлович</v>
      </c>
      <c r="K11389" s="24" t="s">
        <v>13660</v>
      </c>
      <c r="L11389" s="28" t="s">
        <v>52</v>
      </c>
      <c r="M11389" s="25">
        <v>6905.69</v>
      </c>
      <c r="N11389" s="27">
        <v>0.90162834757834753</v>
      </c>
    </row>
    <row r="11390" spans="1:14" hidden="1" outlineLevel="1" x14ac:dyDescent="0.2">
      <c r="A11390" s="23" t="str">
        <f t="shared" si="576"/>
        <v>ГБУЗ ТО "РОДИЛЬНЫЙ ДОМ № 3"</v>
      </c>
      <c r="B11390" s="24" t="s">
        <v>13657</v>
      </c>
      <c r="C11390" s="25">
        <v>70200</v>
      </c>
      <c r="D11390" s="22" t="s">
        <v>13658</v>
      </c>
      <c r="E11390" s="22" t="s">
        <v>107</v>
      </c>
      <c r="F11390" s="23" t="str">
        <f t="shared" si="577"/>
        <v>Оказание услуг по техническому обслуживанию систем видеонаблюдения</v>
      </c>
      <c r="G11390" s="22" t="s">
        <v>893</v>
      </c>
      <c r="H11390" s="22" t="s">
        <v>894</v>
      </c>
      <c r="I11390" s="26">
        <v>43551.4</v>
      </c>
      <c r="J11390" s="23" t="str">
        <f>HYPERLINK("https://www.spark-marketing.ru/Card/Person/4359595", "ООО ""ПРОКСИ-КОМ""")</f>
        <v>ООО "ПРОКСИ-КОМ"</v>
      </c>
      <c r="K11390" s="24" t="s">
        <v>13661</v>
      </c>
      <c r="L11390" s="28" t="s">
        <v>52</v>
      </c>
      <c r="M11390" s="25">
        <v>23249</v>
      </c>
      <c r="N11390" s="27">
        <v>0.66881766381766383</v>
      </c>
    </row>
    <row r="11391" spans="1:14" hidden="1" outlineLevel="1" x14ac:dyDescent="0.2">
      <c r="A11391" s="23" t="str">
        <f t="shared" si="576"/>
        <v>ГБУЗ ТО "РОДИЛЬНЫЙ ДОМ № 3"</v>
      </c>
      <c r="B11391" s="24" t="s">
        <v>13657</v>
      </c>
      <c r="C11391" s="25">
        <v>70200</v>
      </c>
      <c r="D11391" s="22" t="s">
        <v>13658</v>
      </c>
      <c r="E11391" s="22" t="s">
        <v>107</v>
      </c>
      <c r="F11391" s="23" t="str">
        <f t="shared" si="577"/>
        <v>Оказание услуг по техническому обслуживанию систем видеонаблюдения</v>
      </c>
      <c r="G11391" s="22" t="s">
        <v>893</v>
      </c>
      <c r="H11391" s="22" t="s">
        <v>894</v>
      </c>
      <c r="I11391" s="26">
        <v>43551.4</v>
      </c>
      <c r="J11391" s="23" t="str">
        <f>HYPERLINK("https://www.spark-marketing.ru/Card/Person/6501519", "Цитриков Семён Владимирович")</f>
        <v>Цитриков Семён Владимирович</v>
      </c>
      <c r="K11391" s="24" t="s">
        <v>13662</v>
      </c>
      <c r="L11391" s="28" t="s">
        <v>52</v>
      </c>
      <c r="M11391" s="25">
        <v>40000</v>
      </c>
      <c r="N11391" s="27">
        <v>0.43019943019943019</v>
      </c>
    </row>
    <row r="11392" spans="1:14" hidden="1" outlineLevel="1" x14ac:dyDescent="0.2">
      <c r="A11392" s="23" t="str">
        <f t="shared" si="576"/>
        <v>ГБУЗ ТО "РОДИЛЬНЫЙ ДОМ № 3"</v>
      </c>
      <c r="B11392" s="24" t="s">
        <v>13657</v>
      </c>
      <c r="C11392" s="25">
        <v>70200</v>
      </c>
      <c r="D11392" s="22" t="s">
        <v>13658</v>
      </c>
      <c r="E11392" s="22" t="s">
        <v>107</v>
      </c>
      <c r="F11392" s="23" t="str">
        <f t="shared" si="577"/>
        <v>Оказание услуг по техническому обслуживанию систем видеонаблюдения</v>
      </c>
      <c r="G11392" s="22" t="s">
        <v>893</v>
      </c>
      <c r="H11392" s="22" t="s">
        <v>894</v>
      </c>
      <c r="I11392" s="26">
        <v>43551.4</v>
      </c>
      <c r="J11392" s="23" t="str">
        <f>HYPERLINK("https://www.spark-marketing.ru/Card/Person/65477", "ООО ""ПТС-С""")</f>
        <v>ООО "ПТС-С"</v>
      </c>
      <c r="K11392" s="24" t="s">
        <v>13663</v>
      </c>
      <c r="L11392" s="28" t="s">
        <v>52</v>
      </c>
      <c r="M11392" s="25">
        <v>42822</v>
      </c>
      <c r="N11392" s="27">
        <v>0.39</v>
      </c>
    </row>
    <row r="11393" spans="1:14" hidden="1" outlineLevel="1" x14ac:dyDescent="0.2">
      <c r="A11393" s="23" t="str">
        <f t="shared" si="576"/>
        <v>ГБУЗ ТО "РОДИЛЬНЫЙ ДОМ № 3"</v>
      </c>
      <c r="B11393" s="24" t="s">
        <v>13657</v>
      </c>
      <c r="C11393" s="25">
        <v>70200</v>
      </c>
      <c r="D11393" s="22" t="s">
        <v>13658</v>
      </c>
      <c r="E11393" s="22" t="s">
        <v>107</v>
      </c>
      <c r="F11393" s="23" t="str">
        <f t="shared" si="577"/>
        <v>Оказание услуг по техническому обслуживанию систем видеонаблюдения</v>
      </c>
      <c r="G11393" s="22" t="s">
        <v>893</v>
      </c>
      <c r="H11393" s="22" t="s">
        <v>894</v>
      </c>
      <c r="I11393" s="26">
        <v>43551.4</v>
      </c>
      <c r="J11393" s="23" t="str">
        <f>HYPERLINK("https://www.spark-marketing.ru/Card/Person/2498635", "ООО ""ДС""")</f>
        <v>ООО "ДС"</v>
      </c>
      <c r="K11393" s="24" t="s">
        <v>13664</v>
      </c>
      <c r="L11393" s="28" t="s">
        <v>52</v>
      </c>
      <c r="M11393" s="25">
        <v>41769</v>
      </c>
      <c r="N11393" s="27">
        <v>0.40500000000000003</v>
      </c>
    </row>
    <row r="11394" spans="1:14" hidden="1" outlineLevel="1" x14ac:dyDescent="0.2">
      <c r="A11394" s="23" t="str">
        <f t="shared" si="576"/>
        <v>ГБУЗ ТО "РОДИЛЬНЫЙ ДОМ № 3"</v>
      </c>
      <c r="B11394" s="24" t="s">
        <v>13657</v>
      </c>
      <c r="C11394" s="25">
        <v>70200</v>
      </c>
      <c r="D11394" s="22" t="s">
        <v>13658</v>
      </c>
      <c r="E11394" s="22" t="s">
        <v>107</v>
      </c>
      <c r="F11394" s="23" t="str">
        <f t="shared" si="577"/>
        <v>Оказание услуг по техническому обслуживанию систем видеонаблюдения</v>
      </c>
      <c r="G11394" s="22" t="s">
        <v>893</v>
      </c>
      <c r="H11394" s="22" t="s">
        <v>894</v>
      </c>
      <c r="I11394" s="26">
        <v>43551.4</v>
      </c>
      <c r="J11394" s="23" t="str">
        <f>HYPERLINK("https://www.spark-marketing.ru/Card/Person/4356791", "ООО СК ""СИБЭНЕРГО""")</f>
        <v>ООО СК "СИБЭНЕРГО"</v>
      </c>
      <c r="K11394" s="24" t="s">
        <v>13665</v>
      </c>
      <c r="L11394" s="28" t="s">
        <v>52</v>
      </c>
      <c r="M11394" s="25">
        <v>4631.46</v>
      </c>
      <c r="N11394" s="27">
        <v>0.93402478632478636</v>
      </c>
    </row>
    <row r="11395" spans="1:14" x14ac:dyDescent="0.15">
      <c r="A11395" s="23" t="str">
        <f>HYPERLINK("https://www.spark-marketing.ru/Card/Person/4347314", "ПАО ""САЛЮТ""")</f>
        <v>ПАО "САЛЮТ"</v>
      </c>
      <c r="B11395" s="24" t="s">
        <v>13666</v>
      </c>
      <c r="C11395" s="25">
        <v>599919.72</v>
      </c>
      <c r="D11395" s="22" t="s">
        <v>13667</v>
      </c>
      <c r="E11395" s="22" t="s">
        <v>13668</v>
      </c>
      <c r="F11395" s="23" t="str">
        <f>HYPERLINK("https://www.spark-marketing.ru/Card/Lot/69051065", "Услуги по ежемесячному техническому обслуживанию системы видеонаблюдения на территории ПАО «Салют»")</f>
        <v>Услуги по ежемесячному техническому обслуживанию системы видеонаблюдения на территории ПАО «Салют»</v>
      </c>
      <c r="G11395" s="22" t="s">
        <v>760</v>
      </c>
      <c r="H11395" s="22" t="s">
        <v>760</v>
      </c>
      <c r="I11395" s="26">
        <v>43551.412731481498</v>
      </c>
      <c r="J11395" s="23" t="str">
        <f>HYPERLINK("https://www.spark-marketing.ru/Card/Person/376325", "ООО ""ВАША БЕЗОПАСНОСТЬ""")</f>
        <v>ООО "ВАША БЕЗОПАСНОСТЬ"</v>
      </c>
      <c r="K11395" s="24" t="s">
        <v>4923</v>
      </c>
      <c r="L11395" s="28" t="s">
        <v>52</v>
      </c>
      <c r="M11395" s="28" t="s">
        <v>52</v>
      </c>
      <c r="N11395" s="28" t="s">
        <v>52</v>
      </c>
    </row>
    <row r="11396" spans="1:14" hidden="1" outlineLevel="1" x14ac:dyDescent="0.2">
      <c r="A11396" s="23" t="str">
        <f>HYPERLINK("https://www.spark-marketing.ru/Card/Person/4347314", "ПАО ""САЛЮТ""")</f>
        <v>ПАО "САЛЮТ"</v>
      </c>
      <c r="B11396" s="24" t="s">
        <v>13666</v>
      </c>
      <c r="C11396" s="28" t="s">
        <v>52</v>
      </c>
      <c r="D11396" s="22" t="s">
        <v>13667</v>
      </c>
      <c r="E11396" s="22" t="s">
        <v>13668</v>
      </c>
      <c r="F11396" s="23" t="str">
        <f>HYPERLINK("https://www.spark-marketing.ru/Card/Lot/69051065", "Услуги по ежемесячному техническому обслуживанию системы видеонаблюдения на территории ПАО «Салют»")</f>
        <v>Услуги по ежемесячному техническому обслуживанию системы видеонаблюдения на территории ПАО «Салют»</v>
      </c>
      <c r="G11396" s="22" t="s">
        <v>760</v>
      </c>
      <c r="H11396" s="22" t="s">
        <v>760</v>
      </c>
      <c r="I11396" s="26">
        <v>43551.412731481498</v>
      </c>
      <c r="J11396" s="23" t="str">
        <f>HYPERLINK("https://www.spark-marketing.ru/Card/Person/376325", "ООО ""ВАША БЕЗОПАСНОСТЬ""")</f>
        <v>ООО "ВАША БЕЗОПАСНОСТЬ"</v>
      </c>
      <c r="K11396" s="24" t="s">
        <v>4923</v>
      </c>
      <c r="L11396" s="22" t="s">
        <v>10</v>
      </c>
      <c r="M11396" s="25">
        <v>134100</v>
      </c>
      <c r="N11396" s="27">
        <v>0.77647009169826919</v>
      </c>
    </row>
    <row r="11397" spans="1:14" x14ac:dyDescent="0.15">
      <c r="A11397" s="23" t="str">
        <f>HYPERLINK("https://www.spark-marketing.ru/Card/Person/22818", "ПРОКУРАТУРА РОСТОВСКОЙ ОБЛАСТИ")</f>
        <v>ПРОКУРАТУРА РОСТОВСКОЙ ОБЛАСТИ</v>
      </c>
      <c r="B11397" s="24" t="s">
        <v>13669</v>
      </c>
      <c r="C11397" s="25">
        <v>18008.28</v>
      </c>
      <c r="D11397" s="22" t="s">
        <v>13670</v>
      </c>
      <c r="E11397" s="22" t="s">
        <v>68</v>
      </c>
      <c r="F11397" s="23" t="str">
        <f>HYPERLINK("https://www.spark-marketing.ru/Card/Lot/69051550", "Услуги по обеспечению общественного порядка и безопасности (оказание услуг по оперативному реагированию на сообщение о срабатывании средств тревожной сигнализации в прокуратуре Мясниковского района, подключенных  по GSM-каналу к ПЦО)")</f>
        <v>Услуги по обеспечению общественного порядка и безопасности (оказание услуг по оперативному реагированию на сообщение о срабатывании средств тревожной сигнализации в прокуратуре Мясниковского района, подключенных  по GSM-каналу к ПЦО)</v>
      </c>
      <c r="G11397" s="22" t="s">
        <v>402</v>
      </c>
      <c r="H11397" s="22" t="s">
        <v>402</v>
      </c>
      <c r="I11397" s="26">
        <v>43551.374305555597</v>
      </c>
      <c r="J11397" s="28" t="s">
        <v>52</v>
      </c>
      <c r="K11397" s="28" t="s">
        <v>52</v>
      </c>
      <c r="L11397" s="28" t="s">
        <v>52</v>
      </c>
      <c r="M11397" s="28" t="s">
        <v>52</v>
      </c>
      <c r="N11397" s="28" t="s">
        <v>52</v>
      </c>
    </row>
    <row r="11398" spans="1:14" x14ac:dyDescent="0.15">
      <c r="A11398" s="23" t="str">
        <f>HYPERLINK("https://www.spark-marketing.ru/Card/Person/1338393", "МАУ ДО ""ДОРОХОВСКАЯ ДШИ""")</f>
        <v>МАУ ДО "ДОРОХОВСКАЯ ДШИ"</v>
      </c>
      <c r="B11398" s="24" t="s">
        <v>13671</v>
      </c>
      <c r="C11398" s="25">
        <v>170000</v>
      </c>
      <c r="D11398" s="22" t="s">
        <v>13672</v>
      </c>
      <c r="E11398" s="22" t="s">
        <v>49</v>
      </c>
      <c r="F11398" s="23" t="str">
        <f>HYPERLINK("https://www.spark-marketing.ru/Card/Lot/69049482", "Выполнение работ по монтажу, установке и пусконаладке системы видеодомофонной связи")</f>
        <v>Выполнение работ по монтажу, установке и пусконаладке системы видеодомофонной связи</v>
      </c>
      <c r="G11398" s="22" t="s">
        <v>50</v>
      </c>
      <c r="H11398" s="22" t="s">
        <v>50</v>
      </c>
      <c r="I11398" s="26">
        <v>43551.349189814799</v>
      </c>
      <c r="J11398" s="28" t="s">
        <v>52</v>
      </c>
      <c r="K11398" s="28" t="s">
        <v>52</v>
      </c>
      <c r="L11398" s="28" t="s">
        <v>52</v>
      </c>
      <c r="M11398" s="28" t="s">
        <v>52</v>
      </c>
      <c r="N11398" s="28" t="s">
        <v>52</v>
      </c>
    </row>
    <row r="11399" spans="1:14" hidden="1" outlineLevel="1" x14ac:dyDescent="0.2">
      <c r="A11399" s="23" t="str">
        <f>HYPERLINK("https://www.spark-marketing.ru/Card/Person/1338393", "МАУ ДО ""ДОРОХОВСКАЯ ДШИ""")</f>
        <v>МАУ ДО "ДОРОХОВСКАЯ ДШИ"</v>
      </c>
      <c r="B11399" s="24" t="s">
        <v>13671</v>
      </c>
      <c r="C11399" s="28" t="s">
        <v>52</v>
      </c>
      <c r="D11399" s="22" t="s">
        <v>13672</v>
      </c>
      <c r="E11399" s="22" t="s">
        <v>49</v>
      </c>
      <c r="F11399" s="23" t="str">
        <f>HYPERLINK("https://www.spark-marketing.ru/Card/Lot/69049482", "Выполнение работ по монтажу, установке и пусконаладке системы видеодомофонной связи")</f>
        <v>Выполнение работ по монтажу, установке и пусконаладке системы видеодомофонной связи</v>
      </c>
      <c r="G11399" s="22" t="s">
        <v>50</v>
      </c>
      <c r="H11399" s="22" t="s">
        <v>50</v>
      </c>
      <c r="I11399" s="26">
        <v>43551.349189814799</v>
      </c>
      <c r="J11399" s="23" t="str">
        <f>HYPERLINK("https://www.spark-marketing.ru/Card/Person/1358782", "ООО ""СТРОЙМАКСМОНТАЖ""")</f>
        <v>ООО "СТРОЙМАКСМОНТАЖ"</v>
      </c>
      <c r="K11399" s="24" t="s">
        <v>8540</v>
      </c>
      <c r="L11399" s="28" t="s">
        <v>52</v>
      </c>
      <c r="M11399" s="25">
        <v>169150</v>
      </c>
      <c r="N11399" s="27">
        <v>5.0000000000000001E-3</v>
      </c>
    </row>
    <row r="11400" spans="1:14" hidden="1" outlineLevel="1" x14ac:dyDescent="0.2">
      <c r="A11400" s="23" t="str">
        <f>HYPERLINK("https://www.spark-marketing.ru/Card/Person/1338393", "МАУ ДО ""ДОРОХОВСКАЯ ДШИ""")</f>
        <v>МАУ ДО "ДОРОХОВСКАЯ ДШИ"</v>
      </c>
      <c r="B11400" s="24" t="s">
        <v>13671</v>
      </c>
      <c r="C11400" s="28" t="s">
        <v>52</v>
      </c>
      <c r="D11400" s="22" t="s">
        <v>13672</v>
      </c>
      <c r="E11400" s="22" t="s">
        <v>49</v>
      </c>
      <c r="F11400" s="23" t="str">
        <f>HYPERLINK("https://www.spark-marketing.ru/Card/Lot/69049482", "Выполнение работ по монтажу, установке и пусконаладке системы видеодомофонной связи")</f>
        <v>Выполнение работ по монтажу, установке и пусконаладке системы видеодомофонной связи</v>
      </c>
      <c r="G11400" s="22" t="s">
        <v>50</v>
      </c>
      <c r="H11400" s="22" t="s">
        <v>50</v>
      </c>
      <c r="I11400" s="26">
        <v>43551.349189814799</v>
      </c>
      <c r="J11400" s="23" t="str">
        <f>HYPERLINK("https://www.spark-marketing.ru/Card/Person/1939881", "ООО ""ОБЩЕСТВЕННАЯ ОРГАНИЗАЦИЯ ПРОТИВОПОЖАРНЫХ РАБОТ""ОБЕРЕГ""")</f>
        <v>ООО "ОБЩЕСТВЕННАЯ ОРГАНИЗАЦИЯ ПРОТИВОПОЖАРНЫХ РАБОТ"ОБЕРЕГ"</v>
      </c>
      <c r="K11400" s="24" t="s">
        <v>13673</v>
      </c>
      <c r="L11400" s="22" t="s">
        <v>10</v>
      </c>
      <c r="M11400" s="25">
        <v>165900</v>
      </c>
      <c r="N11400" s="27">
        <v>2.4117647058823528E-2</v>
      </c>
    </row>
    <row r="11401" spans="1:14" x14ac:dyDescent="0.15">
      <c r="A11401" s="23" t="str">
        <f>HYPERLINK("https://www.spark-marketing.ru/Card/Person/22818", "ПРОКУРАТУРА РОСТОВСКОЙ ОБЛАСТИ")</f>
        <v>ПРОКУРАТУРА РОСТОВСКОЙ ОБЛАСТИ</v>
      </c>
      <c r="B11401" s="24" t="s">
        <v>13669</v>
      </c>
      <c r="C11401" s="25">
        <v>49191.72</v>
      </c>
      <c r="D11401" s="22" t="s">
        <v>13674</v>
      </c>
      <c r="E11401" s="22" t="s">
        <v>68</v>
      </c>
      <c r="F11401" s="23" t="str">
        <f>HYPERLINK("https://www.spark-marketing.ru/Card/Lot/69052588", "Услуги по обеспечению общественного порядка и безопасности (обеспечение охраны прокуратуры Мясниковского района с помощью комплекса технических средств охранной сигнализации, подключенных  по GSM-каналу к ПЦО)")</f>
        <v>Услуги по обеспечению общественного порядка и безопасности (обеспечение охраны прокуратуры Мясниковского района с помощью комплекса технических средств охранной сигнализации, подключенных  по GSM-каналу к ПЦО)</v>
      </c>
      <c r="G11401" s="22" t="s">
        <v>402</v>
      </c>
      <c r="H11401" s="22" t="s">
        <v>402</v>
      </c>
      <c r="I11401" s="26">
        <v>43551.374305555597</v>
      </c>
      <c r="J11401" s="28" t="s">
        <v>52</v>
      </c>
      <c r="K11401" s="28" t="s">
        <v>52</v>
      </c>
      <c r="L11401" s="28" t="s">
        <v>52</v>
      </c>
      <c r="M11401" s="28" t="s">
        <v>52</v>
      </c>
      <c r="N11401" s="28" t="s">
        <v>52</v>
      </c>
    </row>
    <row r="11402" spans="1:14" x14ac:dyDescent="0.15">
      <c r="A11402" s="23" t="str">
        <f>HYPERLINK("https://www.spark-marketing.ru/Card/Person/108703", "САХАЛИНСТАТ")</f>
        <v>САХАЛИНСТАТ</v>
      </c>
      <c r="B11402" s="24" t="s">
        <v>3096</v>
      </c>
      <c r="C11402" s="25">
        <v>12500</v>
      </c>
      <c r="D11402" s="22" t="s">
        <v>13675</v>
      </c>
      <c r="E11402" s="22" t="s">
        <v>53</v>
      </c>
      <c r="F11402" s="23" t="str">
        <f>HYPERLINK("https://www.spark-marketing.ru/Card/Lot/70800941", "техническое обслуживание систем видеонаблюдения")</f>
        <v>техническое обслуживание систем видеонаблюдения</v>
      </c>
      <c r="G11402" s="22" t="s">
        <v>69</v>
      </c>
      <c r="H11402" s="22" t="s">
        <v>973</v>
      </c>
      <c r="I11402" s="26">
        <v>43551.293865740699</v>
      </c>
      <c r="J11402" s="28" t="s">
        <v>52</v>
      </c>
      <c r="K11402" s="28" t="s">
        <v>52</v>
      </c>
      <c r="L11402" s="28" t="s">
        <v>52</v>
      </c>
      <c r="M11402" s="28" t="s">
        <v>52</v>
      </c>
      <c r="N11402" s="28" t="s">
        <v>52</v>
      </c>
    </row>
    <row r="11403" spans="1:14" x14ac:dyDescent="0.15">
      <c r="A11403" s="23" t="str">
        <f>HYPERLINK("https://www.spark-marketing.ru/Card/Person/17655", "ФКУ УПРДОР ""ПРИБАЙКАЛЬЕ""")</f>
        <v>ФКУ УПРДОР "ПРИБАЙКАЛЬЕ"</v>
      </c>
      <c r="B11403" s="24" t="s">
        <v>4586</v>
      </c>
      <c r="C11403" s="25">
        <v>60000</v>
      </c>
      <c r="D11403" s="22" t="s">
        <v>13676</v>
      </c>
      <c r="E11403" s="22" t="s">
        <v>107</v>
      </c>
      <c r="F11403" s="23" t="str">
        <f>HYPERLINK("https://www.spark-marketing.ru/Card/Lot/70173619", "Техническое обслуживание средств ОС, ОПС, ТС, видеонаблюдения и СКУД, 3 шт")</f>
        <v>Техническое обслуживание средств ОС, ОПС, ТС, видеонаблюдения и СКУД, 3 шт</v>
      </c>
      <c r="G11403" s="22" t="s">
        <v>281</v>
      </c>
      <c r="H11403" s="22" t="s">
        <v>2008</v>
      </c>
      <c r="I11403" s="26">
        <v>43551.189872685201</v>
      </c>
      <c r="J11403" s="28" t="s">
        <v>52</v>
      </c>
      <c r="K11403" s="28" t="s">
        <v>52</v>
      </c>
      <c r="L11403" s="28" t="s">
        <v>52</v>
      </c>
      <c r="M11403" s="28" t="s">
        <v>52</v>
      </c>
      <c r="N11403" s="28" t="s">
        <v>52</v>
      </c>
    </row>
    <row r="11404" spans="1:14" x14ac:dyDescent="0.15">
      <c r="A11404" s="23" t="str">
        <f>HYPERLINK("https://www.spark-marketing.ru/Card/Person/910922", "ООО ""ДОМАШНИЙ ИНТЕРЬЕР""")</f>
        <v>ООО "ДОМАШНИЙ ИНТЕРЬЕР"</v>
      </c>
      <c r="B11404" s="24" t="s">
        <v>13677</v>
      </c>
      <c r="C11404" s="28" t="s">
        <v>52</v>
      </c>
      <c r="D11404" s="22" t="s">
        <v>13678</v>
      </c>
      <c r="E11404" s="22" t="s">
        <v>53</v>
      </c>
      <c r="F11404" s="23" t="str">
        <f>HYPERLINK("https://www.spark-marketing.ru/Card/Lot/69055226", "Процедура выбора компании на оказание услуг физической охраны в магазинах Hoff в регионе Урал (гг. Екатеринбург, Тюмень, Казань, Оренбург) (id368585)")</f>
        <v>Процедура выбора компании на оказание услуг физической охраны в магазинах Hoff в регионе Урал (гг. Екатеринбург, Тюмень, Казань, Оренбург) (id368585)</v>
      </c>
      <c r="G11404" s="22" t="s">
        <v>55</v>
      </c>
      <c r="H11404" s="22" t="s">
        <v>55</v>
      </c>
      <c r="I11404" s="26">
        <v>43551</v>
      </c>
      <c r="J11404" s="28" t="s">
        <v>52</v>
      </c>
      <c r="K11404" s="28" t="s">
        <v>52</v>
      </c>
      <c r="L11404" s="28" t="s">
        <v>52</v>
      </c>
      <c r="M11404" s="28" t="s">
        <v>52</v>
      </c>
      <c r="N11404" s="28" t="s">
        <v>52</v>
      </c>
    </row>
    <row r="11405" spans="1:14" x14ac:dyDescent="0.15">
      <c r="A11405" s="23" t="str">
        <f>HYPERLINK("https://www.spark-marketing.ru/Card/Person/6450322", "ЗАКАЗЧИК РП БЕЛАРУСЬ")</f>
        <v>ЗАКАЗЧИК РП БЕЛАРУСЬ</v>
      </c>
      <c r="B11405" s="28" t="s">
        <v>52</v>
      </c>
      <c r="C11405" s="28" t="s">
        <v>52</v>
      </c>
      <c r="D11405" s="22" t="s">
        <v>13679</v>
      </c>
      <c r="E11405" s="22" t="s">
        <v>53</v>
      </c>
      <c r="F11405" s="23" t="str">
        <f>HYPERLINK("https://www.spark-marketing.ru/Card/Lot/69050234", "Охранная услуга по приему сигналов тревоги систем тревожной сигнализации на объектах университета")</f>
        <v>Охранная услуга по приему сигналов тревоги систем тревожной сигнализации на объектах университета</v>
      </c>
      <c r="G11405" s="22" t="s">
        <v>52</v>
      </c>
      <c r="H11405" s="22" t="s">
        <v>52</v>
      </c>
      <c r="I11405" s="26">
        <v>43551</v>
      </c>
      <c r="J11405" s="28" t="s">
        <v>52</v>
      </c>
      <c r="K11405" s="28" t="s">
        <v>52</v>
      </c>
      <c r="L11405" s="28" t="s">
        <v>52</v>
      </c>
      <c r="M11405" s="28" t="s">
        <v>52</v>
      </c>
      <c r="N11405" s="28" t="s">
        <v>52</v>
      </c>
    </row>
    <row r="11406" spans="1:14" x14ac:dyDescent="0.15">
      <c r="A11406" s="23" t="str">
        <f>HYPERLINK("https://www.spark-marketing.ru/Card/Person/1944505", "АО ""УГОЛЬНАЯ КОМПАНИЯ ""СЕВЕРНЫЙ КУЗБАСС""")</f>
        <v>АО "УГОЛЬНАЯ КОМПАНИЯ "СЕВЕРНЫЙ КУЗБАСС"</v>
      </c>
      <c r="B11406" s="24" t="s">
        <v>13680</v>
      </c>
      <c r="C11406" s="28" t="s">
        <v>52</v>
      </c>
      <c r="D11406" s="22" t="s">
        <v>13681</v>
      </c>
      <c r="E11406" s="22" t="s">
        <v>53</v>
      </c>
      <c r="F11406" s="23" t="str">
        <f>HYPERLINK("https://www.spark-marketing.ru/Card/Lot/69045745", "Закупка ""На корректировку проекта мер охраны объектов поверхности и проекта наблюдательной станции при подработке объектов поверхности ш. ""Первомайская"" АО УК ""Северный Кузбасс"" №19-SSA-01-03K")</f>
        <v>Закупка "На корректировку проекта мер охраны объектов поверхности и проекта наблюдательной станции при подработке объектов поверхности ш. "Первомайская" АО УК "Северный Кузбасс" №19-SSA-01-03K</v>
      </c>
      <c r="G11406" s="22" t="s">
        <v>367</v>
      </c>
      <c r="H11406" s="22" t="s">
        <v>13682</v>
      </c>
      <c r="I11406" s="26">
        <v>43551</v>
      </c>
      <c r="J11406" s="28" t="s">
        <v>52</v>
      </c>
      <c r="K11406" s="28" t="s">
        <v>52</v>
      </c>
      <c r="L11406" s="28" t="s">
        <v>52</v>
      </c>
      <c r="M11406" s="28" t="s">
        <v>52</v>
      </c>
      <c r="N11406" s="28" t="s">
        <v>52</v>
      </c>
    </row>
    <row r="11407" spans="1:14" x14ac:dyDescent="0.15">
      <c r="A11407" s="23" t="str">
        <f t="shared" ref="A11407:A11413" si="578">HYPERLINK("https://www.spark-marketing.ru/Card/Person/100886", "АДМИНИСТРАЦИЯ ГОРОДСКОГО ПОСЕЛЕНИЯ СКОРОПУСКОВСКИЙ")</f>
        <v>АДМИНИСТРАЦИЯ ГОРОДСКОГО ПОСЕЛЕНИЯ СКОРОПУСКОВСКИЙ</v>
      </c>
      <c r="B11407" s="24" t="s">
        <v>13683</v>
      </c>
      <c r="C11407" s="25">
        <v>441900</v>
      </c>
      <c r="D11407" s="22" t="s">
        <v>13684</v>
      </c>
      <c r="E11407" s="22" t="s">
        <v>103</v>
      </c>
      <c r="F11407" s="23" t="str">
        <f t="shared" ref="F11407:F11413" si="579">HYPERLINK("https://www.spark-marketing.ru/Card/Lot/69044775", "Оказание услуг по техническому обслуживанию систем оповещения населения и уличного видеонаблюдения на территории р.п. Скоропусковский")</f>
        <v>Оказание услуг по техническому обслуживанию систем оповещения населения и уличного видеонаблюдения на территории р.п. Скоропусковский</v>
      </c>
      <c r="G11407" s="22" t="s">
        <v>50</v>
      </c>
      <c r="H11407" s="22" t="s">
        <v>326</v>
      </c>
      <c r="I11407" s="26">
        <v>43550.943055555603</v>
      </c>
      <c r="J11407" s="28" t="s">
        <v>52</v>
      </c>
      <c r="K11407" s="28" t="s">
        <v>52</v>
      </c>
      <c r="L11407" s="28" t="s">
        <v>52</v>
      </c>
      <c r="M11407" s="28" t="s">
        <v>52</v>
      </c>
      <c r="N11407" s="28" t="s">
        <v>52</v>
      </c>
    </row>
    <row r="11408" spans="1:14" hidden="1" outlineLevel="1" x14ac:dyDescent="0.2">
      <c r="A11408" s="23" t="str">
        <f t="shared" si="578"/>
        <v>АДМИНИСТРАЦИЯ ГОРОДСКОГО ПОСЕЛЕНИЯ СКОРОПУСКОВСКИЙ</v>
      </c>
      <c r="B11408" s="24" t="s">
        <v>13683</v>
      </c>
      <c r="C11408" s="25">
        <v>441900</v>
      </c>
      <c r="D11408" s="22" t="s">
        <v>13684</v>
      </c>
      <c r="E11408" s="22" t="s">
        <v>103</v>
      </c>
      <c r="F11408" s="23" t="str">
        <f t="shared" si="579"/>
        <v>Оказание услуг по техническому обслуживанию систем оповещения населения и уличного видеонаблюдения на территории р.п. Скоропусковский</v>
      </c>
      <c r="G11408" s="22" t="s">
        <v>50</v>
      </c>
      <c r="H11408" s="22" t="s">
        <v>326</v>
      </c>
      <c r="I11408" s="26">
        <v>43550.943055555603</v>
      </c>
      <c r="J11408" s="23" t="str">
        <f>HYPERLINK("https://www.spark-marketing.ru/Card/Person/4545079", "Окутин Андрей Сергеевич")</f>
        <v>Окутин Андрей Сергеевич</v>
      </c>
      <c r="K11408" s="24" t="s">
        <v>13685</v>
      </c>
      <c r="L11408" s="28" t="s">
        <v>52</v>
      </c>
      <c r="M11408" s="25">
        <v>441000</v>
      </c>
      <c r="N11408" s="27">
        <v>2.0366598778004071E-3</v>
      </c>
    </row>
    <row r="11409" spans="1:14" ht="12.75" hidden="1" outlineLevel="1" x14ac:dyDescent="0.2">
      <c r="A11409" s="23" t="str">
        <f t="shared" si="578"/>
        <v>АДМИНИСТРАЦИЯ ГОРОДСКОГО ПОСЕЛЕНИЯ СКОРОПУСКОВСКИЙ</v>
      </c>
      <c r="B11409" s="24" t="s">
        <v>13683</v>
      </c>
      <c r="C11409" s="25">
        <v>441900</v>
      </c>
      <c r="D11409" s="22" t="s">
        <v>13684</v>
      </c>
      <c r="E11409" s="22" t="s">
        <v>103</v>
      </c>
      <c r="F11409" s="23" t="str">
        <f t="shared" si="579"/>
        <v>Оказание услуг по техническому обслуживанию систем оповещения населения и уличного видеонаблюдения на территории р.п. Скоропусковский</v>
      </c>
      <c r="G11409" s="22" t="s">
        <v>50</v>
      </c>
      <c r="H11409" s="22" t="s">
        <v>326</v>
      </c>
      <c r="I11409" s="26">
        <v>43550.943055555603</v>
      </c>
      <c r="J11409" s="23" t="str">
        <f>HYPERLINK("https://www.spark-marketing.ru/Card/Person/699561", "ООО ""ТЕО-БЕЗОПАСНОСТЬ""")</f>
        <v>ООО "ТЕО-БЕЗОПАСНОСТЬ"</v>
      </c>
      <c r="K11409" s="24" t="s">
        <v>10575</v>
      </c>
      <c r="L11409" s="22" t="s">
        <v>10</v>
      </c>
      <c r="M11409" s="25">
        <v>180000</v>
      </c>
      <c r="N11409" s="27">
        <v>0.59266802443991851</v>
      </c>
    </row>
    <row r="11410" spans="1:14" hidden="1" outlineLevel="1" x14ac:dyDescent="0.2">
      <c r="A11410" s="23" t="str">
        <f t="shared" si="578"/>
        <v>АДМИНИСТРАЦИЯ ГОРОДСКОГО ПОСЕЛЕНИЯ СКОРОПУСКОВСКИЙ</v>
      </c>
      <c r="B11410" s="24" t="s">
        <v>13683</v>
      </c>
      <c r="C11410" s="25">
        <v>441900</v>
      </c>
      <c r="D11410" s="22" t="s">
        <v>13684</v>
      </c>
      <c r="E11410" s="22" t="s">
        <v>103</v>
      </c>
      <c r="F11410" s="23" t="str">
        <f t="shared" si="579"/>
        <v>Оказание услуг по техническому обслуживанию систем оповещения населения и уличного видеонаблюдения на территории р.п. Скоропусковский</v>
      </c>
      <c r="G11410" s="22" t="s">
        <v>50</v>
      </c>
      <c r="H11410" s="22" t="s">
        <v>326</v>
      </c>
      <c r="I11410" s="26">
        <v>43550.943055555603</v>
      </c>
      <c r="J11410" s="23" t="str">
        <f>HYPERLINK("https://www.spark-marketing.ru/Card/Person/5969968", "ООО ""АРТДИЗАЙНПРО""")</f>
        <v>ООО "АРТДИЗАЙНПРО"</v>
      </c>
      <c r="K11410" s="24" t="s">
        <v>8545</v>
      </c>
      <c r="L11410" s="28" t="s">
        <v>52</v>
      </c>
      <c r="M11410" s="25">
        <v>320000</v>
      </c>
      <c r="N11410" s="27">
        <v>0.27585426567096627</v>
      </c>
    </row>
    <row r="11411" spans="1:14" hidden="1" outlineLevel="1" x14ac:dyDescent="0.2">
      <c r="A11411" s="23" t="str">
        <f t="shared" si="578"/>
        <v>АДМИНИСТРАЦИЯ ГОРОДСКОГО ПОСЕЛЕНИЯ СКОРОПУСКОВСКИЙ</v>
      </c>
      <c r="B11411" s="24" t="s">
        <v>13683</v>
      </c>
      <c r="C11411" s="25">
        <v>441900</v>
      </c>
      <c r="D11411" s="22" t="s">
        <v>13684</v>
      </c>
      <c r="E11411" s="22" t="s">
        <v>103</v>
      </c>
      <c r="F11411" s="23" t="str">
        <f t="shared" si="579"/>
        <v>Оказание услуг по техническому обслуживанию систем оповещения населения и уличного видеонаблюдения на территории р.п. Скоропусковский</v>
      </c>
      <c r="G11411" s="22" t="s">
        <v>50</v>
      </c>
      <c r="H11411" s="22" t="s">
        <v>326</v>
      </c>
      <c r="I11411" s="26">
        <v>43550.943055555603</v>
      </c>
      <c r="J11411" s="23" t="str">
        <f>HYPERLINK("https://www.spark-marketing.ru/Card/Person/138497", "ООО ""ПТС""")</f>
        <v>ООО "ПТС"</v>
      </c>
      <c r="K11411" s="24" t="s">
        <v>9590</v>
      </c>
      <c r="L11411" s="28" t="s">
        <v>52</v>
      </c>
      <c r="M11411" s="25">
        <v>405000</v>
      </c>
      <c r="N11411" s="27">
        <v>8.3503054989816694E-2</v>
      </c>
    </row>
    <row r="11412" spans="1:14" hidden="1" outlineLevel="1" x14ac:dyDescent="0.2">
      <c r="A11412" s="23" t="str">
        <f t="shared" si="578"/>
        <v>АДМИНИСТРАЦИЯ ГОРОДСКОГО ПОСЕЛЕНИЯ СКОРОПУСКОВСКИЙ</v>
      </c>
      <c r="B11412" s="24" t="s">
        <v>13683</v>
      </c>
      <c r="C11412" s="25">
        <v>441900</v>
      </c>
      <c r="D11412" s="22" t="s">
        <v>13684</v>
      </c>
      <c r="E11412" s="22" t="s">
        <v>103</v>
      </c>
      <c r="F11412" s="23" t="str">
        <f t="shared" si="579"/>
        <v>Оказание услуг по техническому обслуживанию систем оповещения населения и уличного видеонаблюдения на территории р.п. Скоропусковский</v>
      </c>
      <c r="G11412" s="22" t="s">
        <v>50</v>
      </c>
      <c r="H11412" s="22" t="s">
        <v>326</v>
      </c>
      <c r="I11412" s="26">
        <v>43550.943055555603</v>
      </c>
      <c r="J11412" s="23" t="str">
        <f>HYPERLINK("https://www.spark-marketing.ru/Card/Person/5926225", "ООО ""ГАУДИ СП""")</f>
        <v>ООО "ГАУДИ СП"</v>
      </c>
      <c r="K11412" s="24" t="s">
        <v>13686</v>
      </c>
      <c r="L11412" s="28" t="s">
        <v>52</v>
      </c>
      <c r="M11412" s="25">
        <v>441100</v>
      </c>
      <c r="N11412" s="27">
        <v>1.8103643358225842E-3</v>
      </c>
    </row>
    <row r="11413" spans="1:14" hidden="1" outlineLevel="1" x14ac:dyDescent="0.2">
      <c r="A11413" s="23" t="str">
        <f t="shared" si="578"/>
        <v>АДМИНИСТРАЦИЯ ГОРОДСКОГО ПОСЕЛЕНИЯ СКОРОПУСКОВСКИЙ</v>
      </c>
      <c r="B11413" s="24" t="s">
        <v>13683</v>
      </c>
      <c r="C11413" s="25">
        <v>441900</v>
      </c>
      <c r="D11413" s="22" t="s">
        <v>13684</v>
      </c>
      <c r="E11413" s="22" t="s">
        <v>103</v>
      </c>
      <c r="F11413" s="23" t="str">
        <f t="shared" si="579"/>
        <v>Оказание услуг по техническому обслуживанию систем оповещения населения и уличного видеонаблюдения на территории р.п. Скоропусковский</v>
      </c>
      <c r="G11413" s="22" t="s">
        <v>50</v>
      </c>
      <c r="H11413" s="22" t="s">
        <v>326</v>
      </c>
      <c r="I11413" s="26">
        <v>43550.943055555603</v>
      </c>
      <c r="J11413" s="23" t="str">
        <f>HYPERLINK("https://www.spark-marketing.ru/Card/Person/374734", "ООО ""АМАТЕК""")</f>
        <v>ООО "АМАТЕК"</v>
      </c>
      <c r="K11413" s="24" t="s">
        <v>13687</v>
      </c>
      <c r="L11413" s="28" t="s">
        <v>52</v>
      </c>
      <c r="M11413" s="25">
        <v>441900</v>
      </c>
      <c r="N11413" s="27">
        <v>0</v>
      </c>
    </row>
    <row r="11414" spans="1:14" x14ac:dyDescent="0.15">
      <c r="A11414" s="23" t="str">
        <f>HYPERLINK("https://www.spark-marketing.ru/Card/Person/6251539", "ГБУ РС(Я) ""РССШ ПО ПЛАВАНИЮ""")</f>
        <v>ГБУ РС(Я) "РССШ ПО ПЛАВАНИЮ"</v>
      </c>
      <c r="B11414" s="24" t="s">
        <v>13688</v>
      </c>
      <c r="C11414" s="25">
        <v>143083.29999999999</v>
      </c>
      <c r="D11414" s="22" t="s">
        <v>13689</v>
      </c>
      <c r="E11414" s="22" t="s">
        <v>2847</v>
      </c>
      <c r="F11414" s="23" t="str">
        <f>HYPERLINK("https://www.spark-marketing.ru/Card/Lot/69025126", "выполнениеработ по техническому обслуживанию системы видеонаблюдения на объекте ГБУ РС(Я)«Республиканская специализированная спортивная школа по плаванию».")</f>
        <v>выполнениеработ по техническому обслуживанию системы видеонаблюдения на объекте ГБУ РС(Я)«Республиканская специализированная спортивная школа по плаванию».</v>
      </c>
      <c r="G11414" s="22" t="s">
        <v>424</v>
      </c>
      <c r="H11414" s="22" t="s">
        <v>424</v>
      </c>
      <c r="I11414" s="26">
        <v>43550.772847222201</v>
      </c>
      <c r="J11414" s="28" t="s">
        <v>52</v>
      </c>
      <c r="K11414" s="28" t="s">
        <v>52</v>
      </c>
      <c r="L11414" s="28" t="s">
        <v>52</v>
      </c>
      <c r="M11414" s="28" t="s">
        <v>52</v>
      </c>
      <c r="N11414" s="28" t="s">
        <v>52</v>
      </c>
    </row>
    <row r="11415" spans="1:14" x14ac:dyDescent="0.15">
      <c r="A11415" s="23" t="str">
        <f>HYPERLINK("https://www.spark-marketing.ru/Card/Person/123903", "ТОМСКАЯ ТАМОЖНЯ")</f>
        <v>ТОМСКАЯ ТАМОЖНЯ</v>
      </c>
      <c r="B11415" s="24" t="s">
        <v>13690</v>
      </c>
      <c r="C11415" s="25">
        <v>61149.54</v>
      </c>
      <c r="D11415" s="22" t="s">
        <v>13691</v>
      </c>
      <c r="E11415" s="22" t="s">
        <v>68</v>
      </c>
      <c r="F11415" s="23" t="str">
        <f>HYPERLINK("https://www.spark-marketing.ru/Card/Lot/69027907", "Оказание услуг по охране объекта Томской таможни")</f>
        <v>Оказание услуг по охране объекта Томской таможни</v>
      </c>
      <c r="G11415" s="22" t="s">
        <v>150</v>
      </c>
      <c r="H11415" s="22" t="s">
        <v>150</v>
      </c>
      <c r="I11415" s="26">
        <v>43550.726388888899</v>
      </c>
      <c r="J11415" s="23" t="str">
        <f>HYPERLINK("https://www.spark-marketing.ru/Card/Person/4930976", "ФЛ ФГУП ОХРАНА РОСГВАРДИИ ПО ТОМСКОЙ ОБЛ")</f>
        <v>ФЛ ФГУП ОХРАНА РОСГВАРДИИ ПО ТОМСКОЙ ОБЛ</v>
      </c>
      <c r="K11415" s="24" t="s">
        <v>779</v>
      </c>
      <c r="L11415" s="22" t="s">
        <v>10</v>
      </c>
      <c r="M11415" s="28" t="s">
        <v>52</v>
      </c>
      <c r="N11415" s="28" t="s">
        <v>52</v>
      </c>
    </row>
    <row r="11416" spans="1:14" x14ac:dyDescent="0.15">
      <c r="A11416" s="23" t="str">
        <f>HYPERLINK("https://www.spark-marketing.ru/Card/Person/246050", "МБУ ""АКИХО"" ГО ""ГОРОД ЯКУТСК""")</f>
        <v>МБУ "АКИХО" ГО "ГОРОД ЯКУТСК"</v>
      </c>
      <c r="B11416" s="24" t="s">
        <v>13692</v>
      </c>
      <c r="C11416" s="25">
        <v>1200000</v>
      </c>
      <c r="D11416" s="22" t="s">
        <v>13693</v>
      </c>
      <c r="E11416" s="22" t="s">
        <v>103</v>
      </c>
      <c r="F11416" s="23" t="str">
        <f>HYPERLINK("https://www.spark-marketing.ru/Card/Lot/69024670", "Оказание услуг по демонстрации видеоматериалов с использованием светодиодного экрана для нужд Заказчика в 2019 году")</f>
        <v>Оказание услуг по демонстрации видеоматериалов с использованием светодиодного экрана для нужд Заказчика в 2019 году</v>
      </c>
      <c r="G11416" s="22" t="s">
        <v>424</v>
      </c>
      <c r="H11416" s="22" t="s">
        <v>1186</v>
      </c>
      <c r="I11416" s="26">
        <v>43550.726388888899</v>
      </c>
      <c r="J11416" s="23" t="str">
        <f>HYPERLINK("https://www.spark-marketing.ru/Card/Person/215298", "ООО ""КОМПАНИЯ АВЕ""")</f>
        <v>ООО "КОМПАНИЯ АВЕ"</v>
      </c>
      <c r="K11416" s="24" t="s">
        <v>13694</v>
      </c>
      <c r="L11416" s="22" t="s">
        <v>10</v>
      </c>
      <c r="M11416" s="28" t="s">
        <v>52</v>
      </c>
      <c r="N11416" s="28" t="s">
        <v>52</v>
      </c>
    </row>
    <row r="11417" spans="1:14" x14ac:dyDescent="0.15">
      <c r="A11417" s="23" t="str">
        <f>HYPERLINK("https://www.spark-marketing.ru/Card/Person/123903", "ТОМСКАЯ ТАМОЖНЯ")</f>
        <v>ТОМСКАЯ ТАМОЖНЯ</v>
      </c>
      <c r="B11417" s="24" t="s">
        <v>13690</v>
      </c>
      <c r="C11417" s="25">
        <v>16612.38</v>
      </c>
      <c r="D11417" s="22" t="s">
        <v>13695</v>
      </c>
      <c r="E11417" s="22" t="s">
        <v>68</v>
      </c>
      <c r="F11417" s="23" t="str">
        <f>HYPERLINK("https://www.spark-marketing.ru/Card/Lot/69027549", "Оказание услуг по охране объекта Томской таможни")</f>
        <v>Оказание услуг по охране объекта Томской таможни</v>
      </c>
      <c r="G11417" s="22" t="s">
        <v>150</v>
      </c>
      <c r="H11417" s="22" t="s">
        <v>150</v>
      </c>
      <c r="I11417" s="26">
        <v>43550.727083333302</v>
      </c>
      <c r="J11417" s="23" t="str">
        <f>HYPERLINK("https://www.spark-marketing.ru/Card/Person/4930976", "ФЛ ФГУП ОХРАНА РОСГВАРДИИ ПО ТОМСКОЙ ОБЛ")</f>
        <v>ФЛ ФГУП ОХРАНА РОСГВАРДИИ ПО ТОМСКОЙ ОБЛ</v>
      </c>
      <c r="K11417" s="24" t="s">
        <v>779</v>
      </c>
      <c r="L11417" s="22" t="s">
        <v>10</v>
      </c>
      <c r="M11417" s="28" t="s">
        <v>52</v>
      </c>
      <c r="N11417" s="28" t="s">
        <v>52</v>
      </c>
    </row>
    <row r="11418" spans="1:14" x14ac:dyDescent="0.15">
      <c r="A11418" s="23" t="str">
        <f>HYPERLINK("https://www.spark-marketing.ru/Card/Person/66467", "АДМИНИСТРАЦИЯ ГО Г. САЛАВАТ РБ")</f>
        <v>АДМИНИСТРАЦИЯ ГО Г. САЛАВАТ РБ</v>
      </c>
      <c r="B11418" s="24" t="s">
        <v>13696</v>
      </c>
      <c r="C11418" s="25">
        <v>36800</v>
      </c>
      <c r="D11418" s="22" t="s">
        <v>13697</v>
      </c>
      <c r="E11418" s="22" t="s">
        <v>107</v>
      </c>
      <c r="F11418" s="23" t="str">
        <f>HYPERLINK("https://www.spark-marketing.ru/Card/Lot/69034993", "Оказание услуг по техническому обслуживанию комплекса технических средств охранной и тревожной сигнализации на объектах Администрации городского округа город Салават Республики Башкортостан")</f>
        <v>Оказание услуг по техническому обслуживанию комплекса технических средств охранной и тревожной сигнализации на объектах Администрации городского округа город Салават Республики Башкортостан</v>
      </c>
      <c r="G11418" s="22" t="s">
        <v>100</v>
      </c>
      <c r="H11418" s="22" t="s">
        <v>2093</v>
      </c>
      <c r="I11418" s="26">
        <v>43550.701388888898</v>
      </c>
      <c r="J11418" s="28" t="s">
        <v>52</v>
      </c>
      <c r="K11418" s="28" t="s">
        <v>52</v>
      </c>
      <c r="L11418" s="28" t="s">
        <v>52</v>
      </c>
      <c r="M11418" s="28" t="s">
        <v>52</v>
      </c>
      <c r="N11418" s="28" t="s">
        <v>52</v>
      </c>
    </row>
    <row r="11419" spans="1:14" hidden="1" outlineLevel="1" x14ac:dyDescent="0.2">
      <c r="A11419" s="23" t="str">
        <f>HYPERLINK("https://www.spark-marketing.ru/Card/Person/66467", "АДМИНИСТРАЦИЯ ГО Г. САЛАВАТ РБ")</f>
        <v>АДМИНИСТРАЦИЯ ГО Г. САЛАВАТ РБ</v>
      </c>
      <c r="B11419" s="24" t="s">
        <v>13696</v>
      </c>
      <c r="C11419" s="25">
        <v>36800</v>
      </c>
      <c r="D11419" s="22" t="s">
        <v>13697</v>
      </c>
      <c r="E11419" s="22" t="s">
        <v>107</v>
      </c>
      <c r="F11419" s="23" t="str">
        <f>HYPERLINK("https://www.spark-marketing.ru/Card/Lot/69034993", "Оказание услуг по техническому обслуживанию комплекса технических средств охранной и тревожной сигнализации на объектах Администрации городского округа город Салават Республики Башкортостан")</f>
        <v>Оказание услуг по техническому обслуживанию комплекса технических средств охранной и тревожной сигнализации на объектах Администрации городского округа город Салават Республики Башкортостан</v>
      </c>
      <c r="G11419" s="22" t="s">
        <v>100</v>
      </c>
      <c r="H11419" s="22" t="s">
        <v>2093</v>
      </c>
      <c r="I11419" s="26">
        <v>43550.701388888898</v>
      </c>
      <c r="J11419" s="23" t="str">
        <f>HYPERLINK("https://www.spark-marketing.ru/Card/Person/204515", "ФЛ ФГУП ""Охрана"" Росгвардии по Республике Башкортостан")</f>
        <v>ФЛ ФГУП "Охрана" Росгвардии по Республике Башкортостан</v>
      </c>
      <c r="K11419" s="24" t="s">
        <v>779</v>
      </c>
      <c r="L11419" s="28" t="s">
        <v>52</v>
      </c>
      <c r="M11419" s="25">
        <v>31000</v>
      </c>
      <c r="N11419" s="27">
        <v>0.15760869565217392</v>
      </c>
    </row>
    <row r="11420" spans="1:14" ht="12.75" hidden="1" outlineLevel="1" x14ac:dyDescent="0.2">
      <c r="A11420" s="23" t="str">
        <f>HYPERLINK("https://www.spark-marketing.ru/Card/Person/66467", "АДМИНИСТРАЦИЯ ГО Г. САЛАВАТ РБ")</f>
        <v>АДМИНИСТРАЦИЯ ГО Г. САЛАВАТ РБ</v>
      </c>
      <c r="B11420" s="24" t="s">
        <v>13696</v>
      </c>
      <c r="C11420" s="25">
        <v>36800</v>
      </c>
      <c r="D11420" s="22" t="s">
        <v>13697</v>
      </c>
      <c r="E11420" s="22" t="s">
        <v>107</v>
      </c>
      <c r="F11420" s="23" t="str">
        <f>HYPERLINK("https://www.spark-marketing.ru/Card/Lot/69034993", "Оказание услуг по техническому обслуживанию комплекса технических средств охранной и тревожной сигнализации на объектах Администрации городского округа город Салават Республики Башкортостан")</f>
        <v>Оказание услуг по техническому обслуживанию комплекса технических средств охранной и тревожной сигнализации на объектах Администрации городского округа город Салават Республики Башкортостан</v>
      </c>
      <c r="G11420" s="22" t="s">
        <v>100</v>
      </c>
      <c r="H11420" s="22" t="s">
        <v>2093</v>
      </c>
      <c r="I11420" s="26">
        <v>43550.701388888898</v>
      </c>
      <c r="J11420" s="23" t="str">
        <f>HYPERLINK("https://www.spark-marketing.ru/Card/Person/2591271", "ООО ""МСТ""")</f>
        <v>ООО "МСТ"</v>
      </c>
      <c r="K11420" s="24" t="s">
        <v>13698</v>
      </c>
      <c r="L11420" s="22" t="s">
        <v>10</v>
      </c>
      <c r="M11420" s="25">
        <v>30000</v>
      </c>
      <c r="N11420" s="27">
        <v>0.18478260869565216</v>
      </c>
    </row>
    <row r="11421" spans="1:14" x14ac:dyDescent="0.15">
      <c r="A11421" s="23" t="str">
        <f>HYPERLINK("https://www.spark-marketing.ru/Card/Person/115547", "АДМИНИСТРАЦИЯ ГОРОДА ЧАПЛЫГИНА ЛИПЕЦКОЙ ОБЛАСТИ")</f>
        <v>АДМИНИСТРАЦИЯ ГОРОДА ЧАПЛЫГИНА ЛИПЕЦКОЙ ОБЛАСТИ</v>
      </c>
      <c r="B11421" s="24" t="s">
        <v>13699</v>
      </c>
      <c r="C11421" s="25">
        <v>330900</v>
      </c>
      <c r="D11421" s="22" t="s">
        <v>13700</v>
      </c>
      <c r="E11421" s="22" t="s">
        <v>68</v>
      </c>
      <c r="F11421" s="23" t="str">
        <f>HYPERLINK("https://www.spark-marketing.ru/Card/Lot/69038523", "Обустройство пешеходных переходов в черте города Чаплыгина")</f>
        <v>Обустройство пешеходных переходов в черте города Чаплыгина</v>
      </c>
      <c r="G11421" s="22" t="s">
        <v>629</v>
      </c>
      <c r="H11421" s="22" t="s">
        <v>629</v>
      </c>
      <c r="I11421" s="26">
        <v>43550.677777777797</v>
      </c>
      <c r="J11421" s="23" t="str">
        <f>HYPERLINK("https://www.spark-marketing.ru/Card/Person/699624", "АО РАБОТНИКОВ ""НП ""СПЕЦАТП""")</f>
        <v>АО РАБОТНИКОВ "НП "СПЕЦАТП"</v>
      </c>
      <c r="K11421" s="24" t="s">
        <v>13701</v>
      </c>
      <c r="L11421" s="28" t="s">
        <v>52</v>
      </c>
      <c r="M11421" s="28" t="s">
        <v>52</v>
      </c>
      <c r="N11421" s="28" t="s">
        <v>52</v>
      </c>
    </row>
    <row r="11422" spans="1:14" ht="12.75" hidden="1" outlineLevel="1" x14ac:dyDescent="0.2">
      <c r="A11422" s="23" t="str">
        <f>HYPERLINK("https://www.spark-marketing.ru/Card/Person/115547", "АДМИНИСТРАЦИЯ ГОРОДА ЧАПЛЫГИНА ЛИПЕЦКОЙ ОБЛАСТИ")</f>
        <v>АДМИНИСТРАЦИЯ ГОРОДА ЧАПЛЫГИНА ЛИПЕЦКОЙ ОБЛАСТИ</v>
      </c>
      <c r="B11422" s="24" t="s">
        <v>13699</v>
      </c>
      <c r="C11422" s="25">
        <v>330900</v>
      </c>
      <c r="D11422" s="22" t="s">
        <v>13700</v>
      </c>
      <c r="E11422" s="22" t="s">
        <v>68</v>
      </c>
      <c r="F11422" s="23" t="str">
        <f>HYPERLINK("https://www.spark-marketing.ru/Card/Lot/69038523", "Обустройство пешеходных переходов в черте города Чаплыгина")</f>
        <v>Обустройство пешеходных переходов в черте города Чаплыгина</v>
      </c>
      <c r="G11422" s="22" t="s">
        <v>629</v>
      </c>
      <c r="H11422" s="22" t="s">
        <v>629</v>
      </c>
      <c r="I11422" s="26">
        <v>43550.677777777797</v>
      </c>
      <c r="J11422" s="23" t="str">
        <f>HYPERLINK("https://www.spark-marketing.ru/Card/Person/699624", "АО РАБОТНИКОВ ""НП ""СПЕЦАТП""")</f>
        <v>АО РАБОТНИКОВ "НП "СПЕЦАТП"</v>
      </c>
      <c r="K11422" s="24" t="s">
        <v>13701</v>
      </c>
      <c r="L11422" s="22" t="s">
        <v>10</v>
      </c>
      <c r="M11422" s="25">
        <v>329245.5</v>
      </c>
      <c r="N11422" s="27">
        <v>5.0000000000000001E-3</v>
      </c>
    </row>
    <row r="11423" spans="1:14" x14ac:dyDescent="0.15">
      <c r="A11423" s="23" t="str">
        <f>HYPERLINK("https://www.spark-marketing.ru/Card/Person/6483520", "ОГБУЗ ""ГОРОДСКАЯ ПОЛИКЛИНИКА Г. БЕЛГОРОДА""")</f>
        <v>ОГБУЗ "ГОРОДСКАЯ ПОЛИКЛИНИКА Г. БЕЛГОРОДА"</v>
      </c>
      <c r="B11423" s="24" t="s">
        <v>13702</v>
      </c>
      <c r="C11423" s="25">
        <v>2671747.2000000002</v>
      </c>
      <c r="D11423" s="22" t="s">
        <v>13703</v>
      </c>
      <c r="E11423" s="22" t="s">
        <v>52</v>
      </c>
      <c r="F11423" s="23" t="str">
        <f>HYPERLINK("https://www.spark-marketing.ru/Card/Lot/69040572", "Оказание услуг по круглосуточной охране в 2019 году")</f>
        <v>Оказание услуг по круглосуточной охране в 2019 году</v>
      </c>
      <c r="G11423" s="22" t="s">
        <v>176</v>
      </c>
      <c r="H11423" s="22" t="s">
        <v>318</v>
      </c>
      <c r="I11423" s="26">
        <v>43550.706944444399</v>
      </c>
      <c r="J11423" s="28" t="s">
        <v>52</v>
      </c>
      <c r="K11423" s="28" t="s">
        <v>52</v>
      </c>
      <c r="L11423" s="28" t="s">
        <v>52</v>
      </c>
      <c r="M11423" s="28" t="s">
        <v>52</v>
      </c>
      <c r="N11423" s="28" t="s">
        <v>52</v>
      </c>
    </row>
    <row r="11424" spans="1:14" hidden="1" outlineLevel="1" x14ac:dyDescent="0.2">
      <c r="A11424" s="23" t="str">
        <f>HYPERLINK("https://www.spark-marketing.ru/Card/Person/6483520", "ОГБУЗ ""ГОРОДСКАЯ ПОЛИКЛИНИКА Г. БЕЛГОРОДА""")</f>
        <v>ОГБУЗ "ГОРОДСКАЯ ПОЛИКЛИНИКА Г. БЕЛГОРОДА"</v>
      </c>
      <c r="B11424" s="24" t="s">
        <v>13702</v>
      </c>
      <c r="C11424" s="25">
        <v>2671747.2000000002</v>
      </c>
      <c r="D11424" s="22" t="s">
        <v>13703</v>
      </c>
      <c r="E11424" s="22" t="s">
        <v>52</v>
      </c>
      <c r="F11424" s="23" t="str">
        <f>HYPERLINK("https://www.spark-marketing.ru/Card/Lot/69040572", "Оказание услуг по круглосуточной охране в 2019 году")</f>
        <v>Оказание услуг по круглосуточной охране в 2019 году</v>
      </c>
      <c r="G11424" s="22" t="s">
        <v>176</v>
      </c>
      <c r="H11424" s="22" t="s">
        <v>318</v>
      </c>
      <c r="I11424" s="26">
        <v>43550.706944444399</v>
      </c>
      <c r="J11424" s="23" t="str">
        <f>HYPERLINK("https://www.spark-marketing.ru/Card/Person/62819", "ООО ""ЧОП ""ДЕРЖАВА""")</f>
        <v>ООО "ЧОП "ДЕРЖАВА"</v>
      </c>
      <c r="K11424" s="24" t="s">
        <v>13704</v>
      </c>
      <c r="L11424" s="28" t="s">
        <v>52</v>
      </c>
      <c r="M11424" s="25">
        <v>2554646.4</v>
      </c>
      <c r="N11424" s="27">
        <v>4.3829296424452137E-2</v>
      </c>
    </row>
    <row r="11425" spans="1:14" ht="12.75" hidden="1" outlineLevel="1" x14ac:dyDescent="0.2">
      <c r="A11425" s="23" t="str">
        <f>HYPERLINK("https://www.spark-marketing.ru/Card/Person/6483520", "ОГБУЗ ""ГОРОДСКАЯ ПОЛИКЛИНИКА Г. БЕЛГОРОДА""")</f>
        <v>ОГБУЗ "ГОРОДСКАЯ ПОЛИКЛИНИКА Г. БЕЛГОРОДА"</v>
      </c>
      <c r="B11425" s="24" t="s">
        <v>13702</v>
      </c>
      <c r="C11425" s="25">
        <v>2671747.2000000002</v>
      </c>
      <c r="D11425" s="22" t="s">
        <v>13703</v>
      </c>
      <c r="E11425" s="22" t="s">
        <v>52</v>
      </c>
      <c r="F11425" s="23" t="str">
        <f>HYPERLINK("https://www.spark-marketing.ru/Card/Lot/69040572", "Оказание услуг по круглосуточной охране в 2019 году")</f>
        <v>Оказание услуг по круглосуточной охране в 2019 году</v>
      </c>
      <c r="G11425" s="22" t="s">
        <v>176</v>
      </c>
      <c r="H11425" s="22" t="s">
        <v>318</v>
      </c>
      <c r="I11425" s="26">
        <v>43550.706944444399</v>
      </c>
      <c r="J11425" s="23" t="str">
        <f>HYPERLINK("https://www.spark-marketing.ru/Card/Person/134126", "ООО ""ЧОО ""ОХРАННАЯ СЛУЖБА БЕЗОПАСНОСТИ""")</f>
        <v>ООО "ЧОО "ОХРАННАЯ СЛУЖБА БЕЗОПАСНОСТИ"</v>
      </c>
      <c r="K11425" s="24" t="s">
        <v>13705</v>
      </c>
      <c r="L11425" s="22" t="s">
        <v>10</v>
      </c>
      <c r="M11425" s="25">
        <v>2478000</v>
      </c>
      <c r="N11425" s="27">
        <v>7.2517040534373911E-2</v>
      </c>
    </row>
    <row r="11426" spans="1:14" x14ac:dyDescent="0.15">
      <c r="A11426" s="23" t="str">
        <f>HYPERLINK("https://www.spark-marketing.ru/Card/Person/84157", "МБУК ""ЦК ""РОДИНА""")</f>
        <v>МБУК "ЦК "РОДИНА"</v>
      </c>
      <c r="B11426" s="24" t="s">
        <v>13706</v>
      </c>
      <c r="C11426" s="25">
        <v>465000</v>
      </c>
      <c r="D11426" s="22" t="s">
        <v>13707</v>
      </c>
      <c r="E11426" s="22" t="s">
        <v>1634</v>
      </c>
      <c r="F11426" s="23" t="str">
        <f>HYPERLINK("https://www.spark-marketing.ru/Card/Lot/69039897", "Оказание услуги по предоставлению светодиодного оборудования, его техническое обслуживание и видео сопровождение мероприятий на светодиодных экранах.")</f>
        <v>Оказание услуги по предоставлению светодиодного оборудования, его техническое обслуживание и видео сопровождение мероприятий на светодиодных экранах.</v>
      </c>
      <c r="G11426" s="22" t="s">
        <v>132</v>
      </c>
      <c r="H11426" s="22" t="s">
        <v>6733</v>
      </c>
      <c r="I11426" s="26">
        <v>43550.695138888899</v>
      </c>
      <c r="J11426" s="23" t="str">
        <f>HYPERLINK("https://www.spark-marketing.ru/Card/Person/1207971", "Караман Татьяна Ивановна")</f>
        <v>Караман Татьяна Ивановна</v>
      </c>
      <c r="K11426" s="24" t="s">
        <v>10333</v>
      </c>
      <c r="L11426" s="28" t="s">
        <v>52</v>
      </c>
      <c r="M11426" s="28" t="s">
        <v>52</v>
      </c>
      <c r="N11426" s="28" t="s">
        <v>52</v>
      </c>
    </row>
    <row r="11427" spans="1:14" hidden="1" outlineLevel="1" x14ac:dyDescent="0.15">
      <c r="A11427" s="23" t="str">
        <f>HYPERLINK("https://www.spark-marketing.ru/Card/Person/84157", "МБУК ""ЦК ""РОДИНА""")</f>
        <v>МБУК "ЦК "РОДИНА"</v>
      </c>
      <c r="B11427" s="24" t="s">
        <v>13706</v>
      </c>
      <c r="C11427" s="25">
        <v>465000</v>
      </c>
      <c r="D11427" s="22" t="s">
        <v>13707</v>
      </c>
      <c r="E11427" s="22" t="s">
        <v>1634</v>
      </c>
      <c r="F11427" s="23" t="str">
        <f>HYPERLINK("https://www.spark-marketing.ru/Card/Lot/69039897", "Оказание услуги по предоставлению светодиодного оборудования, его техническое обслуживание и видео сопровождение мероприятий на светодиодных экранах.")</f>
        <v>Оказание услуги по предоставлению светодиодного оборудования, его техническое обслуживание и видео сопровождение мероприятий на светодиодных экранах.</v>
      </c>
      <c r="G11427" s="22" t="s">
        <v>132</v>
      </c>
      <c r="H11427" s="22" t="s">
        <v>6733</v>
      </c>
      <c r="I11427" s="26">
        <v>43550.695138888899</v>
      </c>
      <c r="J11427" s="23" t="str">
        <f>HYPERLINK("https://www.spark-marketing.ru/Card/Person/1207971", "Караман Татьяна Ивановна")</f>
        <v>Караман Татьяна Ивановна</v>
      </c>
      <c r="K11427" s="24" t="s">
        <v>10333</v>
      </c>
      <c r="L11427" s="22" t="s">
        <v>10</v>
      </c>
      <c r="M11427" s="28" t="s">
        <v>52</v>
      </c>
      <c r="N11427" s="28" t="s">
        <v>52</v>
      </c>
    </row>
    <row r="11428" spans="1:14" x14ac:dyDescent="0.15">
      <c r="A11428" s="23" t="str">
        <f>HYPERLINK("https://www.spark-marketing.ru/Card/Person/432842", "КУМИ СЛАНЦЕВСКОГО МУНИЦИПАЛЬНОГО РАЙОНА")</f>
        <v>КУМИ СЛАНЦЕВСКОГО МУНИЦИПАЛЬНОГО РАЙОНА</v>
      </c>
      <c r="B11428" s="24" t="s">
        <v>13708</v>
      </c>
      <c r="C11428" s="25">
        <v>920000</v>
      </c>
      <c r="D11428" s="22" t="s">
        <v>13709</v>
      </c>
      <c r="E11428" s="22" t="s">
        <v>68</v>
      </c>
      <c r="F11428" s="23" t="str">
        <f>HYPERLINK("https://www.spark-marketing.ru/Card/Lot/69039446", "Оказание услуг по охране объектов муниципальной собственности")</f>
        <v>Оказание услуг по охране объектов муниципальной собственности</v>
      </c>
      <c r="G11428" s="22" t="s">
        <v>861</v>
      </c>
      <c r="H11428" s="22" t="s">
        <v>13710</v>
      </c>
      <c r="I11428" s="26">
        <v>43550.704166666699</v>
      </c>
      <c r="J11428" s="28" t="s">
        <v>52</v>
      </c>
      <c r="K11428" s="28" t="s">
        <v>52</v>
      </c>
      <c r="L11428" s="28" t="s">
        <v>52</v>
      </c>
      <c r="M11428" s="28" t="s">
        <v>52</v>
      </c>
      <c r="N11428" s="28" t="s">
        <v>52</v>
      </c>
    </row>
    <row r="11429" spans="1:14" hidden="1" outlineLevel="1" x14ac:dyDescent="0.2">
      <c r="A11429" s="23" t="str">
        <f>HYPERLINK("https://www.spark-marketing.ru/Card/Person/432842", "КУМИ СЛАНЦЕВСКОГО МУНИЦИПАЛЬНОГО РАЙОНА")</f>
        <v>КУМИ СЛАНЦЕВСКОГО МУНИЦИПАЛЬНОГО РАЙОНА</v>
      </c>
      <c r="B11429" s="24" t="s">
        <v>13708</v>
      </c>
      <c r="C11429" s="25">
        <v>920000</v>
      </c>
      <c r="D11429" s="22" t="s">
        <v>13709</v>
      </c>
      <c r="E11429" s="22" t="s">
        <v>68</v>
      </c>
      <c r="F11429" s="23" t="str">
        <f>HYPERLINK("https://www.spark-marketing.ru/Card/Lot/69039446", "Оказание услуг по охране объектов муниципальной собственности")</f>
        <v>Оказание услуг по охране объектов муниципальной собственности</v>
      </c>
      <c r="G11429" s="22" t="s">
        <v>861</v>
      </c>
      <c r="H11429" s="22" t="s">
        <v>13710</v>
      </c>
      <c r="I11429" s="26">
        <v>43550.704166666699</v>
      </c>
      <c r="J11429" s="23" t="str">
        <f>HYPERLINK("https://www.spark-marketing.ru/Card/Person/670064", "ООО ""ОП ""РАМС""")</f>
        <v>ООО "ОП "РАМС"</v>
      </c>
      <c r="K11429" s="24" t="s">
        <v>13711</v>
      </c>
      <c r="L11429" s="28" t="s">
        <v>52</v>
      </c>
      <c r="M11429" s="25">
        <v>596203.56999999995</v>
      </c>
      <c r="N11429" s="27">
        <v>0.35195264130434784</v>
      </c>
    </row>
    <row r="11430" spans="1:14" ht="12.75" hidden="1" outlineLevel="1" x14ac:dyDescent="0.2">
      <c r="A11430" s="23" t="str">
        <f>HYPERLINK("https://www.spark-marketing.ru/Card/Person/432842", "КУМИ СЛАНЦЕВСКОГО МУНИЦИПАЛЬНОГО РАЙОНА")</f>
        <v>КУМИ СЛАНЦЕВСКОГО МУНИЦИПАЛЬНОГО РАЙОНА</v>
      </c>
      <c r="B11430" s="24" t="s">
        <v>13708</v>
      </c>
      <c r="C11430" s="25">
        <v>920000</v>
      </c>
      <c r="D11430" s="22" t="s">
        <v>13709</v>
      </c>
      <c r="E11430" s="22" t="s">
        <v>68</v>
      </c>
      <c r="F11430" s="23" t="str">
        <f>HYPERLINK("https://www.spark-marketing.ru/Card/Lot/69039446", "Оказание услуг по охране объектов муниципальной собственности")</f>
        <v>Оказание услуг по охране объектов муниципальной собственности</v>
      </c>
      <c r="G11430" s="22" t="s">
        <v>861</v>
      </c>
      <c r="H11430" s="22" t="s">
        <v>13710</v>
      </c>
      <c r="I11430" s="26">
        <v>43550.704166666699</v>
      </c>
      <c r="J11430" s="23" t="str">
        <f>HYPERLINK("https://www.spark-marketing.ru/Card/Person/27570", "ООО ""ОО ""ИНСАР""")</f>
        <v>ООО "ОО "ИНСАР"</v>
      </c>
      <c r="K11430" s="24" t="s">
        <v>6890</v>
      </c>
      <c r="L11430" s="22" t="s">
        <v>10</v>
      </c>
      <c r="M11430" s="25">
        <v>591603.37</v>
      </c>
      <c r="N11430" s="27">
        <v>0.35695285869565219</v>
      </c>
    </row>
    <row r="11431" spans="1:14" hidden="1" outlineLevel="1" x14ac:dyDescent="0.2">
      <c r="A11431" s="23" t="str">
        <f>HYPERLINK("https://www.spark-marketing.ru/Card/Person/432842", "КУМИ СЛАНЦЕВСКОГО МУНИЦИПАЛЬНОГО РАЙОНА")</f>
        <v>КУМИ СЛАНЦЕВСКОГО МУНИЦИПАЛЬНОГО РАЙОНА</v>
      </c>
      <c r="B11431" s="24" t="s">
        <v>13708</v>
      </c>
      <c r="C11431" s="25">
        <v>920000</v>
      </c>
      <c r="D11431" s="22" t="s">
        <v>13709</v>
      </c>
      <c r="E11431" s="22" t="s">
        <v>68</v>
      </c>
      <c r="F11431" s="23" t="str">
        <f>HYPERLINK("https://www.spark-marketing.ru/Card/Lot/69039446", "Оказание услуг по охране объектов муниципальной собственности")</f>
        <v>Оказание услуг по охране объектов муниципальной собственности</v>
      </c>
      <c r="G11431" s="22" t="s">
        <v>861</v>
      </c>
      <c r="H11431" s="22" t="s">
        <v>13710</v>
      </c>
      <c r="I11431" s="26">
        <v>43550.704166666699</v>
      </c>
      <c r="J11431" s="23" t="str">
        <f>HYPERLINK("https://www.spark-marketing.ru/Card/Person/6473321", "ООО ""ОП ""ТЕХНОПРОЕКТ-БП""")</f>
        <v>ООО "ОП "ТЕХНОПРОЕКТ-БП"</v>
      </c>
      <c r="K11431" s="24" t="s">
        <v>13712</v>
      </c>
      <c r="L11431" s="28" t="s">
        <v>52</v>
      </c>
      <c r="M11431" s="25">
        <v>851000</v>
      </c>
      <c r="N11431" s="27">
        <v>7.4999999999999997E-2</v>
      </c>
    </row>
    <row r="11432" spans="1:14" x14ac:dyDescent="0.15">
      <c r="A11432" s="23" t="str">
        <f t="shared" ref="A11432:A11437" si="580">HYPERLINK("https://www.spark-marketing.ru/Card/Person/21298", "ФГУ ЭВ ЧЕЛЯБИНСКОЙ ОБЛАСТИ")</f>
        <v>ФГУ ЭВ ЧЕЛЯБИНСКОЙ ОБЛАСТИ</v>
      </c>
      <c r="B11432" s="24" t="s">
        <v>13713</v>
      </c>
      <c r="C11432" s="25">
        <v>573333.36</v>
      </c>
      <c r="D11432" s="22" t="s">
        <v>13714</v>
      </c>
      <c r="E11432" s="22" t="s">
        <v>107</v>
      </c>
      <c r="F11432" s="23" t="str">
        <f t="shared" ref="F11432:F11437" si="581">HYPERLINK("https://www.spark-marketing.ru/Card/Lot/69031063", "Техническое обслуживание комплекса инженерно-технических средств охраны, систем видеонаблюдения")</f>
        <v>Техническое обслуживание комплекса инженерно-технических средств охраны, систем видеонаблюдения</v>
      </c>
      <c r="G11432" s="22" t="s">
        <v>60</v>
      </c>
      <c r="H11432" s="22" t="s">
        <v>60</v>
      </c>
      <c r="I11432" s="26">
        <v>43550.675694444399</v>
      </c>
      <c r="J11432" s="28" t="s">
        <v>52</v>
      </c>
      <c r="K11432" s="28" t="s">
        <v>52</v>
      </c>
      <c r="L11432" s="28" t="s">
        <v>52</v>
      </c>
      <c r="M11432" s="28" t="s">
        <v>52</v>
      </c>
      <c r="N11432" s="28" t="s">
        <v>52</v>
      </c>
    </row>
    <row r="11433" spans="1:14" hidden="1" outlineLevel="1" x14ac:dyDescent="0.2">
      <c r="A11433" s="23" t="str">
        <f t="shared" si="580"/>
        <v>ФГУ ЭВ ЧЕЛЯБИНСКОЙ ОБЛАСТИ</v>
      </c>
      <c r="B11433" s="24" t="s">
        <v>13713</v>
      </c>
      <c r="C11433" s="25">
        <v>573333.36</v>
      </c>
      <c r="D11433" s="22" t="s">
        <v>13714</v>
      </c>
      <c r="E11433" s="22" t="s">
        <v>107</v>
      </c>
      <c r="F11433" s="23" t="str">
        <f t="shared" si="581"/>
        <v>Техническое обслуживание комплекса инженерно-технических средств охраны, систем видеонаблюдения</v>
      </c>
      <c r="G11433" s="22" t="s">
        <v>60</v>
      </c>
      <c r="H11433" s="22" t="s">
        <v>60</v>
      </c>
      <c r="I11433" s="26">
        <v>43550.675694444399</v>
      </c>
      <c r="J11433" s="23" t="str">
        <f>HYPERLINK("https://www.spark-marketing.ru/Card/Person/149128", "ООО ""ОХРАННЫЕ СИСТЕМЫ""")</f>
        <v>ООО "ОХРАННЫЕ СИСТЕМЫ"</v>
      </c>
      <c r="K11433" s="24" t="s">
        <v>13715</v>
      </c>
      <c r="L11433" s="28" t="s">
        <v>52</v>
      </c>
      <c r="M11433" s="25">
        <v>440699.95</v>
      </c>
      <c r="N11433" s="27">
        <v>0.23133733226337991</v>
      </c>
    </row>
    <row r="11434" spans="1:14" ht="12.75" hidden="1" outlineLevel="1" x14ac:dyDescent="0.2">
      <c r="A11434" s="23" t="str">
        <f t="shared" si="580"/>
        <v>ФГУ ЭВ ЧЕЛЯБИНСКОЙ ОБЛАСТИ</v>
      </c>
      <c r="B11434" s="24" t="s">
        <v>13713</v>
      </c>
      <c r="C11434" s="25">
        <v>573333.36</v>
      </c>
      <c r="D11434" s="22" t="s">
        <v>13714</v>
      </c>
      <c r="E11434" s="22" t="s">
        <v>107</v>
      </c>
      <c r="F11434" s="23" t="str">
        <f t="shared" si="581"/>
        <v>Техническое обслуживание комплекса инженерно-технических средств охраны, систем видеонаблюдения</v>
      </c>
      <c r="G11434" s="22" t="s">
        <v>60</v>
      </c>
      <c r="H11434" s="22" t="s">
        <v>60</v>
      </c>
      <c r="I11434" s="26">
        <v>43550.675694444399</v>
      </c>
      <c r="J11434" s="23" t="str">
        <f>HYPERLINK("https://www.spark-marketing.ru/Card/Person/4864034", "ЧРО ООО ""РОССОЮЗСПАС"" ЧЕЛЯБИНСКОЕ РО РОССОЮЗСПАС")</f>
        <v>ЧРО ООО "РОССОЮЗСПАС" ЧЕЛЯБИНСКОЕ РО РОССОЮЗСПАС</v>
      </c>
      <c r="K11434" s="24" t="s">
        <v>13716</v>
      </c>
      <c r="L11434" s="22" t="s">
        <v>10</v>
      </c>
      <c r="M11434" s="25">
        <v>102432.89</v>
      </c>
      <c r="N11434" s="27">
        <v>0.82133799086800041</v>
      </c>
    </row>
    <row r="11435" spans="1:14" hidden="1" outlineLevel="1" x14ac:dyDescent="0.2">
      <c r="A11435" s="23" t="str">
        <f t="shared" si="580"/>
        <v>ФГУ ЭВ ЧЕЛЯБИНСКОЙ ОБЛАСТИ</v>
      </c>
      <c r="B11435" s="24" t="s">
        <v>13713</v>
      </c>
      <c r="C11435" s="25">
        <v>573333.36</v>
      </c>
      <c r="D11435" s="22" t="s">
        <v>13714</v>
      </c>
      <c r="E11435" s="22" t="s">
        <v>107</v>
      </c>
      <c r="F11435" s="23" t="str">
        <f t="shared" si="581"/>
        <v>Техническое обслуживание комплекса инженерно-технических средств охраны, систем видеонаблюдения</v>
      </c>
      <c r="G11435" s="22" t="s">
        <v>60</v>
      </c>
      <c r="H11435" s="22" t="s">
        <v>60</v>
      </c>
      <c r="I11435" s="26">
        <v>43550.675694444399</v>
      </c>
      <c r="J11435" s="23" t="str">
        <f>HYPERLINK("https://www.spark-marketing.ru/Card/Person/106736", "ООО ""РОДЕН""")</f>
        <v>ООО "РОДЕН"</v>
      </c>
      <c r="K11435" s="24" t="s">
        <v>13717</v>
      </c>
      <c r="L11435" s="28" t="s">
        <v>52</v>
      </c>
      <c r="M11435" s="25">
        <v>432099.94</v>
      </c>
      <c r="N11435" s="27">
        <v>0.24633734900756515</v>
      </c>
    </row>
    <row r="11436" spans="1:14" hidden="1" outlineLevel="1" x14ac:dyDescent="0.2">
      <c r="A11436" s="23" t="str">
        <f t="shared" si="580"/>
        <v>ФГУ ЭВ ЧЕЛЯБИНСКОЙ ОБЛАСТИ</v>
      </c>
      <c r="B11436" s="24" t="s">
        <v>13713</v>
      </c>
      <c r="C11436" s="25">
        <v>573333.36</v>
      </c>
      <c r="D11436" s="22" t="s">
        <v>13714</v>
      </c>
      <c r="E11436" s="22" t="s">
        <v>107</v>
      </c>
      <c r="F11436" s="23" t="str">
        <f t="shared" si="581"/>
        <v>Техническое обслуживание комплекса инженерно-технических средств охраны, систем видеонаблюдения</v>
      </c>
      <c r="G11436" s="22" t="s">
        <v>60</v>
      </c>
      <c r="H11436" s="22" t="s">
        <v>60</v>
      </c>
      <c r="I11436" s="26">
        <v>43550.675694444399</v>
      </c>
      <c r="J11436" s="23" t="str">
        <f>HYPERLINK("https://www.spark-marketing.ru/Card/Person/46472", "ООО ""БТБ""")</f>
        <v>ООО "БТБ"</v>
      </c>
      <c r="K11436" s="24" t="s">
        <v>13718</v>
      </c>
      <c r="L11436" s="28" t="s">
        <v>52</v>
      </c>
      <c r="M11436" s="25">
        <v>105299.56</v>
      </c>
      <c r="N11436" s="27">
        <v>0.81633798528660528</v>
      </c>
    </row>
    <row r="11437" spans="1:14" hidden="1" outlineLevel="1" x14ac:dyDescent="0.2">
      <c r="A11437" s="23" t="str">
        <f t="shared" si="580"/>
        <v>ФГУ ЭВ ЧЕЛЯБИНСКОЙ ОБЛАСТИ</v>
      </c>
      <c r="B11437" s="24" t="s">
        <v>13713</v>
      </c>
      <c r="C11437" s="25">
        <v>573333.36</v>
      </c>
      <c r="D11437" s="22" t="s">
        <v>13714</v>
      </c>
      <c r="E11437" s="22" t="s">
        <v>107</v>
      </c>
      <c r="F11437" s="23" t="str">
        <f t="shared" si="581"/>
        <v>Техническое обслуживание комплекса инженерно-технических средств охраны, систем видеонаблюдения</v>
      </c>
      <c r="G11437" s="22" t="s">
        <v>60</v>
      </c>
      <c r="H11437" s="22" t="s">
        <v>60</v>
      </c>
      <c r="I11437" s="26">
        <v>43550.675694444399</v>
      </c>
      <c r="J11437" s="23" t="str">
        <f>HYPERLINK("https://www.spark-marketing.ru/Card/Person/6223189", "ООО ""ОМЕГА-ТЕХНОСЕРВИС""")</f>
        <v>ООО "ОМЕГА-ТЕХНОСЕРВИС"</v>
      </c>
      <c r="K11437" s="24" t="s">
        <v>13719</v>
      </c>
      <c r="L11437" s="28" t="s">
        <v>52</v>
      </c>
      <c r="M11437" s="25">
        <v>323166.48</v>
      </c>
      <c r="N11437" s="27">
        <v>0.43633756110057853</v>
      </c>
    </row>
    <row r="11438" spans="1:14" x14ac:dyDescent="0.15">
      <c r="A11438" s="23" t="str">
        <f>HYPERLINK("https://www.spark-marketing.ru/Card/Person/1519116", "АУ ДО ДШИ")</f>
        <v>АУ ДО ДШИ</v>
      </c>
      <c r="B11438" s="24" t="s">
        <v>13720</v>
      </c>
      <c r="C11438" s="25">
        <v>30981.599999999999</v>
      </c>
      <c r="D11438" s="22" t="s">
        <v>13721</v>
      </c>
      <c r="E11438" s="22" t="s">
        <v>234</v>
      </c>
      <c r="F11438" s="23" t="str">
        <f>HYPERLINK("https://www.spark-marketing.ru/Card/Lot/69037153", "Охранные услуги путем оперативного реагирования нарядом полиции вневедомственной охраны на сигнал ""Тревога"", формируемый комплексом технических средств тревожной сигнализации")</f>
        <v>Охранные услуги путем оперативного реагирования нарядом полиции вневедомственной охраны на сигнал "Тревога", формируемый комплексом технических средств тревожной сигнализации</v>
      </c>
      <c r="G11438" s="22" t="s">
        <v>50</v>
      </c>
      <c r="H11438" s="22" t="s">
        <v>3866</v>
      </c>
      <c r="I11438" s="26">
        <v>43550.6807638889</v>
      </c>
      <c r="J11438" s="28" t="s">
        <v>52</v>
      </c>
      <c r="K11438" s="28" t="s">
        <v>52</v>
      </c>
      <c r="L11438" s="28" t="s">
        <v>52</v>
      </c>
      <c r="M11438" s="28" t="s">
        <v>52</v>
      </c>
      <c r="N11438" s="28" t="s">
        <v>52</v>
      </c>
    </row>
    <row r="11439" spans="1:14" x14ac:dyDescent="0.15">
      <c r="A11439" s="23" t="str">
        <f>HYPERLINK("https://www.spark-marketing.ru/Card/Person/67140", "СЕВЕРО-ЗАПАДНОЕ СУТ СК РОССИИ")</f>
        <v>СЕВЕРО-ЗАПАДНОЕ СУТ СК РОССИИ</v>
      </c>
      <c r="B11439" s="24" t="s">
        <v>13722</v>
      </c>
      <c r="C11439" s="25">
        <v>1535752.32</v>
      </c>
      <c r="D11439" s="22" t="s">
        <v>13723</v>
      </c>
      <c r="E11439" s="22" t="s">
        <v>52</v>
      </c>
      <c r="F11439" s="23" t="str">
        <f>HYPERLINK("https://www.spark-marketing.ru/Card/Lot/69039514", "Оказание услуг по военизированной охране административного здания и прилегающей территории к нему")</f>
        <v>Оказание услуг по военизированной охране административного здания и прилегающей территории к нему</v>
      </c>
      <c r="G11439" s="22" t="s">
        <v>89</v>
      </c>
      <c r="H11439" s="22" t="s">
        <v>89</v>
      </c>
      <c r="I11439" s="26">
        <v>43550.689583333296</v>
      </c>
      <c r="J11439" s="23" t="str">
        <f>HYPERLINK("https://www.spark-marketing.ru/Card/Person/10487", "ФГУП ""ОХРАНА"" РОСГВАРДИИ")</f>
        <v>ФГУП "ОХРАНА" РОСГВАРДИИ</v>
      </c>
      <c r="K11439" s="24" t="s">
        <v>779</v>
      </c>
      <c r="L11439" s="22" t="s">
        <v>10</v>
      </c>
      <c r="M11439" s="28" t="s">
        <v>52</v>
      </c>
      <c r="N11439" s="28" t="s">
        <v>52</v>
      </c>
    </row>
    <row r="11440" spans="1:14" x14ac:dyDescent="0.15">
      <c r="A11440" s="23" t="str">
        <f>HYPERLINK("https://www.spark-marketing.ru/Card/Person/27515", "ТЕРРИТОРИАЛЬНОЕ УПРАВЛЕНИЕ ЕРШОВСКОЕ")</f>
        <v>ТЕРРИТОРИАЛЬНОЕ УПРАВЛЕНИЕ ЕРШОВСКОЕ</v>
      </c>
      <c r="B11440" s="24" t="s">
        <v>13724</v>
      </c>
      <c r="C11440" s="25">
        <v>10000</v>
      </c>
      <c r="D11440" s="22" t="s">
        <v>13725</v>
      </c>
      <c r="E11440" s="22" t="s">
        <v>2246</v>
      </c>
      <c r="F11440" s="23" t="str">
        <f>HYPERLINK("https://www.spark-marketing.ru/Card/Lot/69033761", "Закупка в 2019 году услуг по изготовлению и поставке знаков безопасности для охраны людей на водных объектах для нужд сельского поселения Ершовское Одинцовского района Московской области")</f>
        <v>Закупка в 2019 году услуг по изготовлению и поставке знаков безопасности для охраны людей на водных объектах для нужд сельского поселения Ершовское Одинцовского района Московской области</v>
      </c>
      <c r="G11440" s="22" t="s">
        <v>50</v>
      </c>
      <c r="H11440" s="22" t="s">
        <v>50</v>
      </c>
      <c r="I11440" s="26">
        <v>43550.669872685197</v>
      </c>
      <c r="J11440" s="28" t="s">
        <v>52</v>
      </c>
      <c r="K11440" s="28" t="s">
        <v>52</v>
      </c>
      <c r="L11440" s="28" t="s">
        <v>52</v>
      </c>
      <c r="M11440" s="28" t="s">
        <v>52</v>
      </c>
      <c r="N11440" s="28" t="s">
        <v>52</v>
      </c>
    </row>
    <row r="11441" spans="1:14" x14ac:dyDescent="0.15">
      <c r="A11441" s="23" t="str">
        <f>HYPERLINK("https://www.spark-marketing.ru/Card/Person/7448", "ПРОКУРАТУРА МУРМАНСКОЙ ОБЛАСТИ")</f>
        <v>ПРОКУРАТУРА МУРМАНСКОЙ ОБЛАСТИ</v>
      </c>
      <c r="B11441" s="24" t="s">
        <v>13726</v>
      </c>
      <c r="C11441" s="25">
        <v>246684.56</v>
      </c>
      <c r="D11441" s="22" t="s">
        <v>13727</v>
      </c>
      <c r="E11441" s="22" t="s">
        <v>7738</v>
      </c>
      <c r="F11441" s="23" t="str">
        <f>HYPERLINK("https://www.spark-marketing.ru/Card/Lot/69038330", "оказание услуг  по охране объектов при помощи технических средств охраны в пр-ре г. Североморск")</f>
        <v>оказание услуг  по охране объектов при помощи технических средств охраны в пр-ре г. Североморск</v>
      </c>
      <c r="G11441" s="22" t="s">
        <v>190</v>
      </c>
      <c r="H11441" s="22" t="s">
        <v>9725</v>
      </c>
      <c r="I11441" s="26">
        <v>43550.682638888902</v>
      </c>
      <c r="J11441" s="28" t="s">
        <v>52</v>
      </c>
      <c r="K11441" s="28" t="s">
        <v>52</v>
      </c>
      <c r="L11441" s="28" t="s">
        <v>52</v>
      </c>
      <c r="M11441" s="28" t="s">
        <v>52</v>
      </c>
      <c r="N11441" s="28" t="s">
        <v>52</v>
      </c>
    </row>
    <row r="11442" spans="1:14" x14ac:dyDescent="0.15">
      <c r="A11442" s="23" t="str">
        <f>HYPERLINK("https://www.spark-marketing.ru/Card/Person/21298", "ФГУ ЭВ ЧЕЛЯБИНСКОЙ ОБЛАСТИ")</f>
        <v>ФГУ ЭВ ЧЕЛЯБИНСКОЙ ОБЛАСТИ</v>
      </c>
      <c r="B11442" s="24" t="s">
        <v>13713</v>
      </c>
      <c r="C11442" s="25">
        <v>536666.64</v>
      </c>
      <c r="D11442" s="22" t="s">
        <v>13728</v>
      </c>
      <c r="E11442" s="22" t="s">
        <v>103</v>
      </c>
      <c r="F11442" s="23" t="str">
        <f>HYPERLINK("https://www.spark-marketing.ru/Card/Lot/69031033", "Оказание услуг по техническому обслуживанию систем видеонаблюдения")</f>
        <v>Оказание услуг по техническому обслуживанию систем видеонаблюдения</v>
      </c>
      <c r="G11442" s="22" t="s">
        <v>60</v>
      </c>
      <c r="H11442" s="22" t="s">
        <v>60</v>
      </c>
      <c r="I11442" s="26">
        <v>43550.677083333299</v>
      </c>
      <c r="J11442" s="28" t="s">
        <v>52</v>
      </c>
      <c r="K11442" s="28" t="s">
        <v>52</v>
      </c>
      <c r="L11442" s="28" t="s">
        <v>52</v>
      </c>
      <c r="M11442" s="28" t="s">
        <v>52</v>
      </c>
      <c r="N11442" s="28" t="s">
        <v>52</v>
      </c>
    </row>
    <row r="11443" spans="1:14" hidden="1" outlineLevel="1" x14ac:dyDescent="0.2">
      <c r="A11443" s="23" t="str">
        <f>HYPERLINK("https://www.spark-marketing.ru/Card/Person/21298", "ФГУ ЭВ ЧЕЛЯБИНСКОЙ ОБЛАСТИ")</f>
        <v>ФГУ ЭВ ЧЕЛЯБИНСКОЙ ОБЛАСТИ</v>
      </c>
      <c r="B11443" s="24" t="s">
        <v>13713</v>
      </c>
      <c r="C11443" s="25">
        <v>536666.64</v>
      </c>
      <c r="D11443" s="22" t="s">
        <v>13728</v>
      </c>
      <c r="E11443" s="22" t="s">
        <v>103</v>
      </c>
      <c r="F11443" s="23" t="str">
        <f>HYPERLINK("https://www.spark-marketing.ru/Card/Lot/69031033", "Оказание услуг по техническому обслуживанию систем видеонаблюдения")</f>
        <v>Оказание услуг по техническому обслуживанию систем видеонаблюдения</v>
      </c>
      <c r="G11443" s="22" t="s">
        <v>60</v>
      </c>
      <c r="H11443" s="22" t="s">
        <v>60</v>
      </c>
      <c r="I11443" s="26">
        <v>43550.677083333299</v>
      </c>
      <c r="J11443" s="23" t="str">
        <f>HYPERLINK("https://www.spark-marketing.ru/Card/Person/6223189", "ООО ""ОМЕГА-ТЕХНОСЕРВИС""")</f>
        <v>ООО "ОМЕГА-ТЕХНОСЕРВИС"</v>
      </c>
      <c r="K11443" s="24" t="s">
        <v>13719</v>
      </c>
      <c r="L11443" s="28" t="s">
        <v>52</v>
      </c>
      <c r="M11443" s="25">
        <v>482999.84</v>
      </c>
      <c r="N11443" s="27">
        <v>0.10000025341616166</v>
      </c>
    </row>
    <row r="11444" spans="1:14" ht="12.75" hidden="1" outlineLevel="1" x14ac:dyDescent="0.2">
      <c r="A11444" s="23" t="str">
        <f>HYPERLINK("https://www.spark-marketing.ru/Card/Person/21298", "ФГУ ЭВ ЧЕЛЯБИНСКОЙ ОБЛАСТИ")</f>
        <v>ФГУ ЭВ ЧЕЛЯБИНСКОЙ ОБЛАСТИ</v>
      </c>
      <c r="B11444" s="24" t="s">
        <v>13713</v>
      </c>
      <c r="C11444" s="25">
        <v>536666.64</v>
      </c>
      <c r="D11444" s="22" t="s">
        <v>13728</v>
      </c>
      <c r="E11444" s="22" t="s">
        <v>103</v>
      </c>
      <c r="F11444" s="23" t="str">
        <f>HYPERLINK("https://www.spark-marketing.ru/Card/Lot/69031033", "Оказание услуг по техническому обслуживанию систем видеонаблюдения")</f>
        <v>Оказание услуг по техническому обслуживанию систем видеонаблюдения</v>
      </c>
      <c r="G11444" s="22" t="s">
        <v>60</v>
      </c>
      <c r="H11444" s="22" t="s">
        <v>60</v>
      </c>
      <c r="I11444" s="26">
        <v>43550.677083333299</v>
      </c>
      <c r="J11444" s="23" t="str">
        <f>HYPERLINK("https://www.spark-marketing.ru/Card/Person/4864034", "ЧРО ООО ""РОССОЮЗСПАС"" ЧЕЛЯБИНСКОЕ РО РОССОЮЗСПАС")</f>
        <v>ЧРО ООО "РОССОЮЗСПАС" ЧЕЛЯБИНСКОЕ РО РОССОЮЗСПАС</v>
      </c>
      <c r="K11444" s="24" t="s">
        <v>13716</v>
      </c>
      <c r="L11444" s="22" t="s">
        <v>10</v>
      </c>
      <c r="M11444" s="25">
        <v>77815.5</v>
      </c>
      <c r="N11444" s="27">
        <v>0.85500216670818219</v>
      </c>
    </row>
    <row r="11445" spans="1:14" hidden="1" outlineLevel="1" x14ac:dyDescent="0.2">
      <c r="A11445" s="23" t="str">
        <f>HYPERLINK("https://www.spark-marketing.ru/Card/Person/21298", "ФГУ ЭВ ЧЕЛЯБИНСКОЙ ОБЛАСТИ")</f>
        <v>ФГУ ЭВ ЧЕЛЯБИНСКОЙ ОБЛАСТИ</v>
      </c>
      <c r="B11445" s="24" t="s">
        <v>13713</v>
      </c>
      <c r="C11445" s="25">
        <v>536666.64</v>
      </c>
      <c r="D11445" s="22" t="s">
        <v>13728</v>
      </c>
      <c r="E11445" s="22" t="s">
        <v>103</v>
      </c>
      <c r="F11445" s="23" t="str">
        <f>HYPERLINK("https://www.spark-marketing.ru/Card/Lot/69031033", "Оказание услуг по техническому обслуживанию систем видеонаблюдения")</f>
        <v>Оказание услуг по техническому обслуживанию систем видеонаблюдения</v>
      </c>
      <c r="G11445" s="22" t="s">
        <v>60</v>
      </c>
      <c r="H11445" s="22" t="s">
        <v>60</v>
      </c>
      <c r="I11445" s="26">
        <v>43550.677083333299</v>
      </c>
      <c r="J11445" s="23" t="str">
        <f>HYPERLINK("https://www.spark-marketing.ru/Card/Person/46472", "ООО ""БТБ""")</f>
        <v>ООО "БТБ"</v>
      </c>
      <c r="K11445" s="24" t="s">
        <v>13718</v>
      </c>
      <c r="L11445" s="28" t="s">
        <v>52</v>
      </c>
      <c r="M11445" s="25">
        <v>80498.84</v>
      </c>
      <c r="N11445" s="27">
        <v>0.85000215403737411</v>
      </c>
    </row>
    <row r="11446" spans="1:14" x14ac:dyDescent="0.15">
      <c r="A11446" s="23" t="str">
        <f>HYPERLINK("https://www.spark-marketing.ru/Card/Person/4596", "МКУ ""ДИСОТИ""")</f>
        <v>МКУ "ДИСОТИ"</v>
      </c>
      <c r="B11446" s="24" t="s">
        <v>642</v>
      </c>
      <c r="C11446" s="25">
        <v>11067264</v>
      </c>
      <c r="D11446" s="22" t="s">
        <v>13729</v>
      </c>
      <c r="E11446" s="22" t="s">
        <v>68</v>
      </c>
      <c r="F11446" s="23" t="str">
        <f>HYPERLINK("https://www.spark-marketing.ru/Card/Lot/69038611", "Оказание услуг по охране мостов и путепроводов в г. Ростове-на-Дону.")</f>
        <v>Оказание услуг по охране мостов и путепроводов в г. Ростове-на-Дону.</v>
      </c>
      <c r="G11446" s="22" t="s">
        <v>402</v>
      </c>
      <c r="H11446" s="22" t="s">
        <v>403</v>
      </c>
      <c r="I11446" s="26">
        <v>43550.664583333302</v>
      </c>
      <c r="J11446" s="28" t="s">
        <v>52</v>
      </c>
      <c r="K11446" s="28" t="s">
        <v>52</v>
      </c>
      <c r="L11446" s="28" t="s">
        <v>52</v>
      </c>
      <c r="M11446" s="28" t="s">
        <v>52</v>
      </c>
      <c r="N11446" s="28" t="s">
        <v>52</v>
      </c>
    </row>
    <row r="11447" spans="1:14" x14ac:dyDescent="0.15">
      <c r="A11447" s="23" t="str">
        <f>HYPERLINK("https://www.spark-marketing.ru/Card/Person/1083390", "МБУК КТ ""ЮДИНСКИЙ МУНИЦИПАЛЬНЫЙ КДЦ ""МОЛОДЕЖНЫЙ""")</f>
        <v>МБУК КТ "ЮДИНСКИЙ МУНИЦИПАЛЬНЫЙ КДЦ "МОЛОДЕЖНЫЙ"</v>
      </c>
      <c r="B11447" s="24" t="s">
        <v>13730</v>
      </c>
      <c r="C11447" s="25">
        <v>60000</v>
      </c>
      <c r="D11447" s="22" t="s">
        <v>13731</v>
      </c>
      <c r="E11447" s="22" t="s">
        <v>107</v>
      </c>
      <c r="F11447" s="23" t="str">
        <f>HYPERLINK("https://www.spark-marketing.ru/Card/Lot/69033583", "Закупка в 2019 году услуг по техническому обслуживанию системы видеонаблюдения для нужд МБУККТ Юдинский муниципальный КДЦ «Молодёжный»")</f>
        <v>Закупка в 2019 году услуг по техническому обслуживанию системы видеонаблюдения для нужд МБУККТ Юдинский муниципальный КДЦ «Молодёжный»</v>
      </c>
      <c r="G11447" s="22" t="s">
        <v>50</v>
      </c>
      <c r="H11447" s="22" t="s">
        <v>1045</v>
      </c>
      <c r="I11447" s="26">
        <v>43550.649062500001</v>
      </c>
      <c r="J11447" s="28" t="s">
        <v>52</v>
      </c>
      <c r="K11447" s="28" t="s">
        <v>52</v>
      </c>
      <c r="L11447" s="28" t="s">
        <v>52</v>
      </c>
      <c r="M11447" s="28" t="s">
        <v>52</v>
      </c>
      <c r="N11447" s="28" t="s">
        <v>52</v>
      </c>
    </row>
    <row r="11448" spans="1:14" x14ac:dyDescent="0.15">
      <c r="A11448" s="23" t="str">
        <f>HYPERLINK("https://www.spark-marketing.ru/Card/Person/61581", "ГБДОУ ДЕТСКИЙ САД № 93 КОМПЕНСИРУЮЩЕГО ВИДА ФРУНЗЕНСКОГО РАЙОНА САНКТ-ПЕТЕРБУРГА")</f>
        <v>ГБДОУ ДЕТСКИЙ САД № 93 КОМПЕНСИРУЮЩЕГО ВИДА ФРУНЗЕНСКОГО РАЙОНА САНКТ-ПЕТЕРБУРГА</v>
      </c>
      <c r="B11448" s="24" t="s">
        <v>13732</v>
      </c>
      <c r="C11448" s="25">
        <v>1775566</v>
      </c>
      <c r="D11448" s="22" t="s">
        <v>13733</v>
      </c>
      <c r="E11448" s="22" t="s">
        <v>59</v>
      </c>
      <c r="F11448" s="23" t="str">
        <f>HYPERLINK("https://www.spark-marketing.ru/Card/Lot/69034237", "Выполнение работ по монтажу системы контроля и управления доступом и системы видеонаблюдения в ГБДОУ детский сад № 93 компенсирующего вида Фрунзенского района Санкт-Петербурга в 2019 году")</f>
        <v>Выполнение работ по монтажу системы контроля и управления доступом и системы видеонаблюдения в ГБДОУ детский сад № 93 компенсирующего вида Фрунзенского района Санкт-Петербурга в 2019 году</v>
      </c>
      <c r="G11448" s="22" t="s">
        <v>89</v>
      </c>
      <c r="H11448" s="22" t="s">
        <v>89</v>
      </c>
      <c r="I11448" s="26">
        <v>43550.633333333302</v>
      </c>
      <c r="J11448" s="28" t="s">
        <v>52</v>
      </c>
      <c r="K11448" s="28" t="s">
        <v>52</v>
      </c>
      <c r="L11448" s="28" t="s">
        <v>52</v>
      </c>
      <c r="M11448" s="28" t="s">
        <v>52</v>
      </c>
      <c r="N11448" s="28" t="s">
        <v>52</v>
      </c>
    </row>
    <row r="11449" spans="1:14" hidden="1" outlineLevel="1" x14ac:dyDescent="0.2">
      <c r="A11449" s="23" t="str">
        <f>HYPERLINK("https://www.spark-marketing.ru/Card/Person/61581", "ГБДОУ ДЕТСКИЙ САД № 93 КОМПЕНСИРУЮЩЕГО ВИДА ФРУНЗЕНСКОГО РАЙОНА САНКТ-ПЕТЕРБУРГА")</f>
        <v>ГБДОУ ДЕТСКИЙ САД № 93 КОМПЕНСИРУЮЩЕГО ВИДА ФРУНЗЕНСКОГО РАЙОНА САНКТ-ПЕТЕРБУРГА</v>
      </c>
      <c r="B11449" s="24" t="s">
        <v>13732</v>
      </c>
      <c r="C11449" s="25">
        <v>1775566</v>
      </c>
      <c r="D11449" s="22" t="s">
        <v>13733</v>
      </c>
      <c r="E11449" s="22" t="s">
        <v>59</v>
      </c>
      <c r="F11449" s="23" t="str">
        <f>HYPERLINK("https://www.spark-marketing.ru/Card/Lot/69034237", "Выполнение работ по монтажу системы контроля и управления доступом и системы видеонаблюдения в ГБДОУ детский сад № 93 компенсирующего вида Фрунзенского района Санкт-Петербурга в 2019 году")</f>
        <v>Выполнение работ по монтажу системы контроля и управления доступом и системы видеонаблюдения в ГБДОУ детский сад № 93 компенсирующего вида Фрунзенского района Санкт-Петербурга в 2019 году</v>
      </c>
      <c r="G11449" s="22" t="s">
        <v>89</v>
      </c>
      <c r="H11449" s="22" t="s">
        <v>89</v>
      </c>
      <c r="I11449" s="26">
        <v>43550.633333333302</v>
      </c>
      <c r="J11449" s="23" t="str">
        <f>HYPERLINK("https://www.spark-marketing.ru/Card/Person/6048845", "ООО ""АВАНГАРД""")</f>
        <v>ООО "АВАНГАРД"</v>
      </c>
      <c r="K11449" s="24" t="s">
        <v>1978</v>
      </c>
      <c r="L11449" s="28" t="s">
        <v>52</v>
      </c>
      <c r="M11449" s="25">
        <v>1748932.51</v>
      </c>
      <c r="N11449" s="27">
        <v>1.4999999999999999E-2</v>
      </c>
    </row>
    <row r="11450" spans="1:14" ht="12.75" hidden="1" outlineLevel="1" x14ac:dyDescent="0.2">
      <c r="A11450" s="23" t="str">
        <f>HYPERLINK("https://www.spark-marketing.ru/Card/Person/61581", "ГБДОУ ДЕТСКИЙ САД № 93 КОМПЕНСИРУЮЩЕГО ВИДА ФРУНЗЕНСКОГО РАЙОНА САНКТ-ПЕТЕРБУРГА")</f>
        <v>ГБДОУ ДЕТСКИЙ САД № 93 КОМПЕНСИРУЮЩЕГО ВИДА ФРУНЗЕНСКОГО РАЙОНА САНКТ-ПЕТЕРБУРГА</v>
      </c>
      <c r="B11450" s="24" t="s">
        <v>13732</v>
      </c>
      <c r="C11450" s="25">
        <v>1775566</v>
      </c>
      <c r="D11450" s="22" t="s">
        <v>13733</v>
      </c>
      <c r="E11450" s="22" t="s">
        <v>59</v>
      </c>
      <c r="F11450" s="23" t="str">
        <f>HYPERLINK("https://www.spark-marketing.ru/Card/Lot/69034237", "Выполнение работ по монтажу системы контроля и управления доступом и системы видеонаблюдения в ГБДОУ детский сад № 93 компенсирующего вида Фрунзенского района Санкт-Петербурга в 2019 году")</f>
        <v>Выполнение работ по монтажу системы контроля и управления доступом и системы видеонаблюдения в ГБДОУ детский сад № 93 компенсирующего вида Фрунзенского района Санкт-Петербурга в 2019 году</v>
      </c>
      <c r="G11450" s="22" t="s">
        <v>89</v>
      </c>
      <c r="H11450" s="22" t="s">
        <v>89</v>
      </c>
      <c r="I11450" s="26">
        <v>43550.633333333302</v>
      </c>
      <c r="J11450" s="23" t="str">
        <f>HYPERLINK("https://www.spark-marketing.ru/Card/Person/6457183", "ООО ""Т-СЕРВИС""")</f>
        <v>ООО "Т-СЕРВИС"</v>
      </c>
      <c r="K11450" s="24" t="s">
        <v>1979</v>
      </c>
      <c r="L11450" s="22" t="s">
        <v>10</v>
      </c>
      <c r="M11450" s="25">
        <v>1757810.34</v>
      </c>
      <c r="N11450" s="27">
        <v>0.01</v>
      </c>
    </row>
    <row r="11451" spans="1:14" x14ac:dyDescent="0.15">
      <c r="A11451" s="23" t="str">
        <f t="shared" ref="A11451:A11475" si="582">HYPERLINK("https://www.spark-marketing.ru/Card/Person/1887298", "АО ""ТОРГОВЫЙ ДОМ ""ПЕРЕКРЕСТОК""")</f>
        <v>АО "ТОРГОВЫЙ ДОМ "ПЕРЕКРЕСТОК"</v>
      </c>
      <c r="B11451" s="24" t="s">
        <v>6999</v>
      </c>
      <c r="C11451" s="25">
        <v>1864.41</v>
      </c>
      <c r="D11451" s="22" t="s">
        <v>13734</v>
      </c>
      <c r="E11451" s="22" t="s">
        <v>508</v>
      </c>
      <c r="F11451" s="23" t="str">
        <f>HYPERLINK("https://www.spark-marketing.ru/Card/Lot/69037754", "Тариф на оказание услуг комплексной безопасности (КТС), в Республике Удмуртия")</f>
        <v>Тариф на оказание услуг комплексной безопасности (КТС), в Республике Удмуртия</v>
      </c>
      <c r="G11451" s="22" t="s">
        <v>55</v>
      </c>
      <c r="H11451" s="22" t="s">
        <v>55</v>
      </c>
      <c r="I11451" s="26">
        <v>43550.621539351901</v>
      </c>
      <c r="J11451" s="28" t="s">
        <v>52</v>
      </c>
      <c r="K11451" s="28" t="s">
        <v>52</v>
      </c>
      <c r="L11451" s="28" t="s">
        <v>52</v>
      </c>
      <c r="M11451" s="28" t="s">
        <v>52</v>
      </c>
      <c r="N11451" s="28" t="s">
        <v>52</v>
      </c>
    </row>
    <row r="11452" spans="1:14" x14ac:dyDescent="0.15">
      <c r="A11452" s="23" t="str">
        <f t="shared" si="582"/>
        <v>АО "ТОРГОВЫЙ ДОМ "ПЕРЕКРЕСТОК"</v>
      </c>
      <c r="B11452" s="24" t="s">
        <v>6999</v>
      </c>
      <c r="C11452" s="25">
        <v>2288.14</v>
      </c>
      <c r="D11452" s="22" t="s">
        <v>13734</v>
      </c>
      <c r="E11452" s="22" t="s">
        <v>508</v>
      </c>
      <c r="F11452" s="23" t="str">
        <f>HYPERLINK("https://www.spark-marketing.ru/Card/Lot/69037777", "Тариф на оказание услуг комплексной безопасности (КТС), в Костромской обл.")</f>
        <v>Тариф на оказание услуг комплексной безопасности (КТС), в Костромской обл.</v>
      </c>
      <c r="G11452" s="22" t="s">
        <v>55</v>
      </c>
      <c r="H11452" s="22" t="s">
        <v>55</v>
      </c>
      <c r="I11452" s="26">
        <v>43550.621539351901</v>
      </c>
      <c r="J11452" s="28" t="s">
        <v>52</v>
      </c>
      <c r="K11452" s="28" t="s">
        <v>52</v>
      </c>
      <c r="L11452" s="28" t="s">
        <v>52</v>
      </c>
      <c r="M11452" s="28" t="s">
        <v>52</v>
      </c>
      <c r="N11452" s="28" t="s">
        <v>52</v>
      </c>
    </row>
    <row r="11453" spans="1:14" x14ac:dyDescent="0.15">
      <c r="A11453" s="23" t="str">
        <f t="shared" si="582"/>
        <v>АО "ТОРГОВЫЙ ДОМ "ПЕРЕКРЕСТОК"</v>
      </c>
      <c r="B11453" s="24" t="s">
        <v>6999</v>
      </c>
      <c r="C11453" s="25">
        <v>2118.64</v>
      </c>
      <c r="D11453" s="22" t="s">
        <v>13734</v>
      </c>
      <c r="E11453" s="22" t="s">
        <v>508</v>
      </c>
      <c r="F11453" s="23" t="str">
        <f>HYPERLINK("https://www.spark-marketing.ru/Card/Lot/69037784", "Тариф на оказание услуг комплексной безопасности (КТС), в Пермском крае")</f>
        <v>Тариф на оказание услуг комплексной безопасности (КТС), в Пермском крае</v>
      </c>
      <c r="G11453" s="22" t="s">
        <v>55</v>
      </c>
      <c r="H11453" s="22" t="s">
        <v>55</v>
      </c>
      <c r="I11453" s="26">
        <v>43550.621539351901</v>
      </c>
      <c r="J11453" s="28" t="s">
        <v>52</v>
      </c>
      <c r="K11453" s="28" t="s">
        <v>52</v>
      </c>
      <c r="L11453" s="28" t="s">
        <v>52</v>
      </c>
      <c r="M11453" s="28" t="s">
        <v>52</v>
      </c>
      <c r="N11453" s="28" t="s">
        <v>52</v>
      </c>
    </row>
    <row r="11454" spans="1:14" x14ac:dyDescent="0.15">
      <c r="A11454" s="23" t="str">
        <f t="shared" si="582"/>
        <v>АО "ТОРГОВЫЙ ДОМ "ПЕРЕКРЕСТОК"</v>
      </c>
      <c r="B11454" s="24" t="s">
        <v>6999</v>
      </c>
      <c r="C11454" s="25">
        <v>3300</v>
      </c>
      <c r="D11454" s="22" t="s">
        <v>13734</v>
      </c>
      <c r="E11454" s="22" t="s">
        <v>508</v>
      </c>
      <c r="F11454" s="23" t="str">
        <f>HYPERLINK("https://www.spark-marketing.ru/Card/Lot/69037798", "Тариф на оказание услуг комплексной безопасности (КТС), в Ханты-Мансийском АО")</f>
        <v>Тариф на оказание услуг комплексной безопасности (КТС), в Ханты-Мансийском АО</v>
      </c>
      <c r="G11454" s="22" t="s">
        <v>55</v>
      </c>
      <c r="H11454" s="22" t="s">
        <v>55</v>
      </c>
      <c r="I11454" s="26">
        <v>43550.621539351901</v>
      </c>
      <c r="J11454" s="28" t="s">
        <v>52</v>
      </c>
      <c r="K11454" s="28" t="s">
        <v>52</v>
      </c>
      <c r="L11454" s="28" t="s">
        <v>52</v>
      </c>
      <c r="M11454" s="28" t="s">
        <v>52</v>
      </c>
      <c r="N11454" s="28" t="s">
        <v>52</v>
      </c>
    </row>
    <row r="11455" spans="1:14" x14ac:dyDescent="0.15">
      <c r="A11455" s="23" t="str">
        <f t="shared" si="582"/>
        <v>АО "ТОРГОВЫЙ ДОМ "ПЕРЕКРЕСТОК"</v>
      </c>
      <c r="B11455" s="24" t="s">
        <v>6999</v>
      </c>
      <c r="C11455" s="25">
        <v>1864.41</v>
      </c>
      <c r="D11455" s="22" t="s">
        <v>13734</v>
      </c>
      <c r="E11455" s="22" t="s">
        <v>508</v>
      </c>
      <c r="F11455" s="23" t="str">
        <f>HYPERLINK("https://www.spark-marketing.ru/Card/Lot/69037755", "Тариф на оказание услуг комплексной безопасности (КТС), в Республике Чувашия")</f>
        <v>Тариф на оказание услуг комплексной безопасности (КТС), в Республике Чувашия</v>
      </c>
      <c r="G11455" s="22" t="s">
        <v>55</v>
      </c>
      <c r="H11455" s="22" t="s">
        <v>55</v>
      </c>
      <c r="I11455" s="26">
        <v>43550.621539351901</v>
      </c>
      <c r="J11455" s="28" t="s">
        <v>52</v>
      </c>
      <c r="K11455" s="28" t="s">
        <v>52</v>
      </c>
      <c r="L11455" s="28" t="s">
        <v>52</v>
      </c>
      <c r="M11455" s="28" t="s">
        <v>52</v>
      </c>
      <c r="N11455" s="28" t="s">
        <v>52</v>
      </c>
    </row>
    <row r="11456" spans="1:14" x14ac:dyDescent="0.15">
      <c r="A11456" s="23" t="str">
        <f t="shared" si="582"/>
        <v>АО "ТОРГОВЫЙ ДОМ "ПЕРЕКРЕСТОК"</v>
      </c>
      <c r="B11456" s="24" t="s">
        <v>6999</v>
      </c>
      <c r="C11456" s="25">
        <v>1719.49</v>
      </c>
      <c r="D11456" s="22" t="s">
        <v>13734</v>
      </c>
      <c r="E11456" s="22" t="s">
        <v>508</v>
      </c>
      <c r="F11456" s="23" t="str">
        <f>HYPERLINK("https://www.spark-marketing.ru/Card/Lot/69037778", "Тариф на оказание услуг комплексной безопасности (КТС), в Ленинградской обл.")</f>
        <v>Тариф на оказание услуг комплексной безопасности (КТС), в Ленинградской обл.</v>
      </c>
      <c r="G11456" s="22" t="s">
        <v>55</v>
      </c>
      <c r="H11456" s="22" t="s">
        <v>55</v>
      </c>
      <c r="I11456" s="26">
        <v>43550.621539351901</v>
      </c>
      <c r="J11456" s="28" t="s">
        <v>52</v>
      </c>
      <c r="K11456" s="28" t="s">
        <v>52</v>
      </c>
      <c r="L11456" s="28" t="s">
        <v>52</v>
      </c>
      <c r="M11456" s="28" t="s">
        <v>52</v>
      </c>
      <c r="N11456" s="28" t="s">
        <v>52</v>
      </c>
    </row>
    <row r="11457" spans="1:14" x14ac:dyDescent="0.15">
      <c r="A11457" s="23" t="str">
        <f t="shared" si="582"/>
        <v>АО "ТОРГОВЫЙ ДОМ "ПЕРЕКРЕСТОК"</v>
      </c>
      <c r="B11457" s="24" t="s">
        <v>6999</v>
      </c>
      <c r="C11457" s="25">
        <v>1864.41</v>
      </c>
      <c r="D11457" s="22" t="s">
        <v>13734</v>
      </c>
      <c r="E11457" s="22" t="s">
        <v>508</v>
      </c>
      <c r="F11457" s="23" t="str">
        <f>HYPERLINK("https://www.spark-marketing.ru/Card/Lot/69037753", "Тариф на оказание услуг комплексной безопасности (КТС), в Республике Татарстан")</f>
        <v>Тариф на оказание услуг комплексной безопасности (КТС), в Республике Татарстан</v>
      </c>
      <c r="G11457" s="22" t="s">
        <v>55</v>
      </c>
      <c r="H11457" s="22" t="s">
        <v>55</v>
      </c>
      <c r="I11457" s="26">
        <v>43550.621539351901</v>
      </c>
      <c r="J11457" s="28" t="s">
        <v>52</v>
      </c>
      <c r="K11457" s="28" t="s">
        <v>52</v>
      </c>
      <c r="L11457" s="28" t="s">
        <v>52</v>
      </c>
      <c r="M11457" s="28" t="s">
        <v>52</v>
      </c>
      <c r="N11457" s="28" t="s">
        <v>52</v>
      </c>
    </row>
    <row r="11458" spans="1:14" x14ac:dyDescent="0.15">
      <c r="A11458" s="23" t="str">
        <f t="shared" si="582"/>
        <v>АО "ТОРГОВЫЙ ДОМ "ПЕРЕКРЕСТОК"</v>
      </c>
      <c r="B11458" s="24" t="s">
        <v>6999</v>
      </c>
      <c r="C11458" s="25">
        <v>1864.41</v>
      </c>
      <c r="D11458" s="22" t="s">
        <v>13734</v>
      </c>
      <c r="E11458" s="22" t="s">
        <v>508</v>
      </c>
      <c r="F11458" s="23" t="str">
        <f>HYPERLINK("https://www.spark-marketing.ru/Card/Lot/69037774", "Тариф на оказание услуг комплексной безопасности (КТС), в Воронежской обл.")</f>
        <v>Тариф на оказание услуг комплексной безопасности (КТС), в Воронежской обл.</v>
      </c>
      <c r="G11458" s="22" t="s">
        <v>55</v>
      </c>
      <c r="H11458" s="22" t="s">
        <v>55</v>
      </c>
      <c r="I11458" s="26">
        <v>43550.621539351901</v>
      </c>
      <c r="J11458" s="28" t="s">
        <v>52</v>
      </c>
      <c r="K11458" s="28" t="s">
        <v>52</v>
      </c>
      <c r="L11458" s="28" t="s">
        <v>52</v>
      </c>
      <c r="M11458" s="28" t="s">
        <v>52</v>
      </c>
      <c r="N11458" s="28" t="s">
        <v>52</v>
      </c>
    </row>
    <row r="11459" spans="1:14" x14ac:dyDescent="0.15">
      <c r="A11459" s="23" t="str">
        <f t="shared" si="582"/>
        <v>АО "ТОРГОВЫЙ ДОМ "ПЕРЕКРЕСТОК"</v>
      </c>
      <c r="B11459" s="24" t="s">
        <v>6999</v>
      </c>
      <c r="C11459" s="25">
        <v>1864.41</v>
      </c>
      <c r="D11459" s="22" t="s">
        <v>13734</v>
      </c>
      <c r="E11459" s="22" t="s">
        <v>508</v>
      </c>
      <c r="F11459" s="23" t="str">
        <f>HYPERLINK("https://www.spark-marketing.ru/Card/Lot/69037752", "Тариф на оказание услуг комплексной безопасности (КТС), в Республике Марий Эл")</f>
        <v>Тариф на оказание услуг комплексной безопасности (КТС), в Республике Марий Эл</v>
      </c>
      <c r="G11459" s="22" t="s">
        <v>55</v>
      </c>
      <c r="H11459" s="22" t="s">
        <v>55</v>
      </c>
      <c r="I11459" s="26">
        <v>43550.621539351901</v>
      </c>
      <c r="J11459" s="28" t="s">
        <v>52</v>
      </c>
      <c r="K11459" s="28" t="s">
        <v>52</v>
      </c>
      <c r="L11459" s="28" t="s">
        <v>52</v>
      </c>
      <c r="M11459" s="28" t="s">
        <v>52</v>
      </c>
      <c r="N11459" s="28" t="s">
        <v>52</v>
      </c>
    </row>
    <row r="11460" spans="1:14" x14ac:dyDescent="0.15">
      <c r="A11460" s="23" t="str">
        <f t="shared" si="582"/>
        <v>АО "ТОРГОВЫЙ ДОМ "ПЕРЕКРЕСТОК"</v>
      </c>
      <c r="B11460" s="24" t="s">
        <v>6999</v>
      </c>
      <c r="C11460" s="25">
        <v>1864.41</v>
      </c>
      <c r="D11460" s="22" t="s">
        <v>13734</v>
      </c>
      <c r="E11460" s="22" t="s">
        <v>508</v>
      </c>
      <c r="F11460" s="23" t="str">
        <f>HYPERLINK("https://www.spark-marketing.ru/Card/Lot/69037790", "Тариф на оказание услуг комплексной безопасности (КТС), в Тамбовской обл.")</f>
        <v>Тариф на оказание услуг комплексной безопасности (КТС), в Тамбовской обл.</v>
      </c>
      <c r="G11460" s="22" t="s">
        <v>55</v>
      </c>
      <c r="H11460" s="22" t="s">
        <v>55</v>
      </c>
      <c r="I11460" s="26">
        <v>43550.621539351901</v>
      </c>
      <c r="J11460" s="28" t="s">
        <v>52</v>
      </c>
      <c r="K11460" s="28" t="s">
        <v>52</v>
      </c>
      <c r="L11460" s="28" t="s">
        <v>52</v>
      </c>
      <c r="M11460" s="28" t="s">
        <v>52</v>
      </c>
      <c r="N11460" s="28" t="s">
        <v>52</v>
      </c>
    </row>
    <row r="11461" spans="1:14" x14ac:dyDescent="0.15">
      <c r="A11461" s="23" t="str">
        <f t="shared" si="582"/>
        <v>АО "ТОРГОВЫЙ ДОМ "ПЕРЕКРЕСТОК"</v>
      </c>
      <c r="B11461" s="24" t="s">
        <v>6999</v>
      </c>
      <c r="C11461" s="25">
        <v>2118.64</v>
      </c>
      <c r="D11461" s="22" t="s">
        <v>13734</v>
      </c>
      <c r="E11461" s="22" t="s">
        <v>508</v>
      </c>
      <c r="F11461" s="23" t="str">
        <f>HYPERLINK("https://www.spark-marketing.ru/Card/Lot/69037796", "Тариф на оказание услуг комплексной безопасности (КТС), в г. Москве")</f>
        <v>Тариф на оказание услуг комплексной безопасности (КТС), в г. Москве</v>
      </c>
      <c r="G11461" s="22" t="s">
        <v>55</v>
      </c>
      <c r="H11461" s="22" t="s">
        <v>55</v>
      </c>
      <c r="I11461" s="26">
        <v>43550.621539351901</v>
      </c>
      <c r="J11461" s="28" t="s">
        <v>52</v>
      </c>
      <c r="K11461" s="28" t="s">
        <v>52</v>
      </c>
      <c r="L11461" s="28" t="s">
        <v>52</v>
      </c>
      <c r="M11461" s="28" t="s">
        <v>52</v>
      </c>
      <c r="N11461" s="28" t="s">
        <v>52</v>
      </c>
    </row>
    <row r="11462" spans="1:14" x14ac:dyDescent="0.15">
      <c r="A11462" s="23" t="str">
        <f t="shared" si="582"/>
        <v>АО "ТОРГОВЫЙ ДОМ "ПЕРЕКРЕСТОК"</v>
      </c>
      <c r="B11462" s="24" t="s">
        <v>6999</v>
      </c>
      <c r="C11462" s="25">
        <v>2118.64</v>
      </c>
      <c r="D11462" s="22" t="s">
        <v>13734</v>
      </c>
      <c r="E11462" s="22" t="s">
        <v>508</v>
      </c>
      <c r="F11462" s="23" t="str">
        <f>HYPERLINK("https://www.spark-marketing.ru/Card/Lot/69037780", "Тариф на оказание услуг комплексной безопасности (КТС), в Московской обл.")</f>
        <v>Тариф на оказание услуг комплексной безопасности (КТС), в Московской обл.</v>
      </c>
      <c r="G11462" s="22" t="s">
        <v>55</v>
      </c>
      <c r="H11462" s="22" t="s">
        <v>55</v>
      </c>
      <c r="I11462" s="26">
        <v>43550.621539351901</v>
      </c>
      <c r="J11462" s="28" t="s">
        <v>52</v>
      </c>
      <c r="K11462" s="28" t="s">
        <v>52</v>
      </c>
      <c r="L11462" s="28" t="s">
        <v>52</v>
      </c>
      <c r="M11462" s="28" t="s">
        <v>52</v>
      </c>
      <c r="N11462" s="28" t="s">
        <v>52</v>
      </c>
    </row>
    <row r="11463" spans="1:14" x14ac:dyDescent="0.15">
      <c r="A11463" s="23" t="str">
        <f t="shared" si="582"/>
        <v>АО "ТОРГОВЫЙ ДОМ "ПЕРЕКРЕСТОК"</v>
      </c>
      <c r="B11463" s="24" t="s">
        <v>6999</v>
      </c>
      <c r="C11463" s="25">
        <v>2372.88</v>
      </c>
      <c r="D11463" s="22" t="s">
        <v>13734</v>
      </c>
      <c r="E11463" s="22" t="s">
        <v>508</v>
      </c>
      <c r="F11463" s="23" t="str">
        <f>HYPERLINK("https://www.spark-marketing.ru/Card/Lot/69037785", "Тариф на оказание услуг комплексной безопасности (КТС), в Рязанской обл.")</f>
        <v>Тариф на оказание услуг комплексной безопасности (КТС), в Рязанской обл.</v>
      </c>
      <c r="G11463" s="22" t="s">
        <v>55</v>
      </c>
      <c r="H11463" s="22" t="s">
        <v>55</v>
      </c>
      <c r="I11463" s="26">
        <v>43550.621539351901</v>
      </c>
      <c r="J11463" s="28" t="s">
        <v>52</v>
      </c>
      <c r="K11463" s="28" t="s">
        <v>52</v>
      </c>
      <c r="L11463" s="28" t="s">
        <v>52</v>
      </c>
      <c r="M11463" s="28" t="s">
        <v>52</v>
      </c>
      <c r="N11463" s="28" t="s">
        <v>52</v>
      </c>
    </row>
    <row r="11464" spans="1:14" x14ac:dyDescent="0.15">
      <c r="A11464" s="23" t="str">
        <f t="shared" si="582"/>
        <v>АО "ТОРГОВЫЙ ДОМ "ПЕРЕКРЕСТОК"</v>
      </c>
      <c r="B11464" s="24" t="s">
        <v>6999</v>
      </c>
      <c r="C11464" s="25">
        <v>2500</v>
      </c>
      <c r="D11464" s="22" t="s">
        <v>13734</v>
      </c>
      <c r="E11464" s="22" t="s">
        <v>508</v>
      </c>
      <c r="F11464" s="23" t="str">
        <f>HYPERLINK("https://www.spark-marketing.ru/Card/Lot/69037776", "Тариф на оказание услуг комплексной безопасности (КТС), в Кировской обл.")</f>
        <v>Тариф на оказание услуг комплексной безопасности (КТС), в Кировской обл.</v>
      </c>
      <c r="G11464" s="22" t="s">
        <v>55</v>
      </c>
      <c r="H11464" s="22" t="s">
        <v>55</v>
      </c>
      <c r="I11464" s="26">
        <v>43550.621539351901</v>
      </c>
      <c r="J11464" s="28" t="s">
        <v>52</v>
      </c>
      <c r="K11464" s="28" t="s">
        <v>52</v>
      </c>
      <c r="L11464" s="28" t="s">
        <v>52</v>
      </c>
      <c r="M11464" s="28" t="s">
        <v>52</v>
      </c>
      <c r="N11464" s="28" t="s">
        <v>52</v>
      </c>
    </row>
    <row r="11465" spans="1:14" x14ac:dyDescent="0.15">
      <c r="A11465" s="23" t="str">
        <f t="shared" si="582"/>
        <v>АО "ТОРГОВЫЙ ДОМ "ПЕРЕКРЕСТОК"</v>
      </c>
      <c r="B11465" s="24" t="s">
        <v>6999</v>
      </c>
      <c r="C11465" s="25">
        <v>2033.9</v>
      </c>
      <c r="D11465" s="22" t="s">
        <v>13734</v>
      </c>
      <c r="E11465" s="22" t="s">
        <v>508</v>
      </c>
      <c r="F11465" s="23" t="str">
        <f>HYPERLINK("https://www.spark-marketing.ru/Card/Lot/69037783", "Тариф на оказание услуг комплексной безопасности (КТС), в Оренбургской обл.")</f>
        <v>Тариф на оказание услуг комплексной безопасности (КТС), в Оренбургской обл.</v>
      </c>
      <c r="G11465" s="22" t="s">
        <v>55</v>
      </c>
      <c r="H11465" s="22" t="s">
        <v>55</v>
      </c>
      <c r="I11465" s="26">
        <v>43550.621539351901</v>
      </c>
      <c r="J11465" s="28" t="s">
        <v>52</v>
      </c>
      <c r="K11465" s="28" t="s">
        <v>52</v>
      </c>
      <c r="L11465" s="28" t="s">
        <v>52</v>
      </c>
      <c r="M11465" s="28" t="s">
        <v>52</v>
      </c>
      <c r="N11465" s="28" t="s">
        <v>52</v>
      </c>
    </row>
    <row r="11466" spans="1:14" x14ac:dyDescent="0.15">
      <c r="A11466" s="23" t="str">
        <f t="shared" si="582"/>
        <v>АО "ТОРГОВЫЙ ДОМ "ПЕРЕКРЕСТОК"</v>
      </c>
      <c r="B11466" s="24" t="s">
        <v>6999</v>
      </c>
      <c r="C11466" s="25">
        <v>1500</v>
      </c>
      <c r="D11466" s="22" t="s">
        <v>13734</v>
      </c>
      <c r="E11466" s="22" t="s">
        <v>508</v>
      </c>
      <c r="F11466" s="23" t="str">
        <f>HYPERLINK("https://www.spark-marketing.ru/Card/Lot/69037795", "Тариф на оказание услуг комплексной безопасности (КТС), в Ярославской обл.")</f>
        <v>Тариф на оказание услуг комплексной безопасности (КТС), в Ярославской обл.</v>
      </c>
      <c r="G11466" s="22" t="s">
        <v>55</v>
      </c>
      <c r="H11466" s="22" t="s">
        <v>55</v>
      </c>
      <c r="I11466" s="26">
        <v>43550.621539351901</v>
      </c>
      <c r="J11466" s="28" t="s">
        <v>52</v>
      </c>
      <c r="K11466" s="28" t="s">
        <v>52</v>
      </c>
      <c r="L11466" s="28" t="s">
        <v>52</v>
      </c>
      <c r="M11466" s="28" t="s">
        <v>52</v>
      </c>
      <c r="N11466" s="28" t="s">
        <v>52</v>
      </c>
    </row>
    <row r="11467" spans="1:14" x14ac:dyDescent="0.15">
      <c r="A11467" s="23" t="str">
        <f t="shared" si="582"/>
        <v>АО "ТОРГОВЫЙ ДОМ "ПЕРЕКРЕСТОК"</v>
      </c>
      <c r="B11467" s="24" t="s">
        <v>6999</v>
      </c>
      <c r="C11467" s="25">
        <v>2118.64</v>
      </c>
      <c r="D11467" s="22" t="s">
        <v>13734</v>
      </c>
      <c r="E11467" s="22" t="s">
        <v>508</v>
      </c>
      <c r="F11467" s="23" t="str">
        <f>HYPERLINK("https://www.spark-marketing.ru/Card/Lot/69037775", "Тариф на оказание услуг комплексной безопасности (КТС), в Калужской обл.")</f>
        <v>Тариф на оказание услуг комплексной безопасности (КТС), в Калужской обл.</v>
      </c>
      <c r="G11467" s="22" t="s">
        <v>55</v>
      </c>
      <c r="H11467" s="22" t="s">
        <v>55</v>
      </c>
      <c r="I11467" s="26">
        <v>43550.621539351901</v>
      </c>
      <c r="J11467" s="28" t="s">
        <v>52</v>
      </c>
      <c r="K11467" s="28" t="s">
        <v>52</v>
      </c>
      <c r="L11467" s="28" t="s">
        <v>52</v>
      </c>
      <c r="M11467" s="28" t="s">
        <v>52</v>
      </c>
      <c r="N11467" s="28" t="s">
        <v>52</v>
      </c>
    </row>
    <row r="11468" spans="1:14" x14ac:dyDescent="0.15">
      <c r="A11468" s="23" t="str">
        <f t="shared" si="582"/>
        <v>АО "ТОРГОВЫЙ ДОМ "ПЕРЕКРЕСТОК"</v>
      </c>
      <c r="B11468" s="24" t="s">
        <v>6999</v>
      </c>
      <c r="C11468" s="25">
        <v>1864.41</v>
      </c>
      <c r="D11468" s="22" t="s">
        <v>13734</v>
      </c>
      <c r="E11468" s="22" t="s">
        <v>508</v>
      </c>
      <c r="F11468" s="23" t="str">
        <f>HYPERLINK("https://www.spark-marketing.ru/Card/Lot/69037782", "Тариф на оказание услуг комплексной безопасности (КТС), в Новгородской обл.")</f>
        <v>Тариф на оказание услуг комплексной безопасности (КТС), в Новгородской обл.</v>
      </c>
      <c r="G11468" s="22" t="s">
        <v>55</v>
      </c>
      <c r="H11468" s="22" t="s">
        <v>55</v>
      </c>
      <c r="I11468" s="26">
        <v>43550.621539351901</v>
      </c>
      <c r="J11468" s="28" t="s">
        <v>52</v>
      </c>
      <c r="K11468" s="28" t="s">
        <v>52</v>
      </c>
      <c r="L11468" s="28" t="s">
        <v>52</v>
      </c>
      <c r="M11468" s="28" t="s">
        <v>52</v>
      </c>
      <c r="N11468" s="28" t="s">
        <v>52</v>
      </c>
    </row>
    <row r="11469" spans="1:14" x14ac:dyDescent="0.15">
      <c r="A11469" s="23" t="str">
        <f t="shared" si="582"/>
        <v>АО "ТОРГОВЫЙ ДОМ "ПЕРЕКРЕСТОК"</v>
      </c>
      <c r="B11469" s="24" t="s">
        <v>6999</v>
      </c>
      <c r="C11469" s="25">
        <v>2118.64</v>
      </c>
      <c r="D11469" s="22" t="s">
        <v>13734</v>
      </c>
      <c r="E11469" s="22" t="s">
        <v>508</v>
      </c>
      <c r="F11469" s="23" t="str">
        <f>HYPERLINK("https://www.spark-marketing.ru/Card/Lot/69037787", "Тариф на оказание услуг комплексной безопасности (КТС), в Саратовской обл.")</f>
        <v>Тариф на оказание услуг комплексной безопасности (КТС), в Саратовской обл.</v>
      </c>
      <c r="G11469" s="22" t="s">
        <v>55</v>
      </c>
      <c r="H11469" s="22" t="s">
        <v>55</v>
      </c>
      <c r="I11469" s="26">
        <v>43550.621539351901</v>
      </c>
      <c r="J11469" s="28" t="s">
        <v>52</v>
      </c>
      <c r="K11469" s="28" t="s">
        <v>52</v>
      </c>
      <c r="L11469" s="28" t="s">
        <v>52</v>
      </c>
      <c r="M11469" s="28" t="s">
        <v>52</v>
      </c>
      <c r="N11469" s="28" t="s">
        <v>52</v>
      </c>
    </row>
    <row r="11470" spans="1:14" x14ac:dyDescent="0.15">
      <c r="A11470" s="23" t="str">
        <f t="shared" si="582"/>
        <v>АО "ТОРГОВЫЙ ДОМ "ПЕРЕКРЕСТОК"</v>
      </c>
      <c r="B11470" s="24" t="s">
        <v>6999</v>
      </c>
      <c r="C11470" s="25">
        <v>2118.64</v>
      </c>
      <c r="D11470" s="22" t="s">
        <v>13734</v>
      </c>
      <c r="E11470" s="22" t="s">
        <v>508</v>
      </c>
      <c r="F11470" s="23" t="str">
        <f>HYPERLINK("https://www.spark-marketing.ru/Card/Lot/69037788", "Тариф на оказание услуг комплексной безопасности (КТС), в Свердловской обл.")</f>
        <v>Тариф на оказание услуг комплексной безопасности (КТС), в Свердловской обл.</v>
      </c>
      <c r="G11470" s="22" t="s">
        <v>55</v>
      </c>
      <c r="H11470" s="22" t="s">
        <v>55</v>
      </c>
      <c r="I11470" s="26">
        <v>43550.621539351901</v>
      </c>
      <c r="J11470" s="28" t="s">
        <v>52</v>
      </c>
      <c r="K11470" s="28" t="s">
        <v>52</v>
      </c>
      <c r="L11470" s="28" t="s">
        <v>52</v>
      </c>
      <c r="M11470" s="28" t="s">
        <v>52</v>
      </c>
      <c r="N11470" s="28" t="s">
        <v>52</v>
      </c>
    </row>
    <row r="11471" spans="1:14" x14ac:dyDescent="0.15">
      <c r="A11471" s="23" t="str">
        <f t="shared" si="582"/>
        <v>АО "ТОРГОВЫЙ ДОМ "ПЕРЕКРЕСТОК"</v>
      </c>
      <c r="B11471" s="24" t="s">
        <v>6999</v>
      </c>
      <c r="C11471" s="25">
        <v>2288.14</v>
      </c>
      <c r="D11471" s="22" t="s">
        <v>13734</v>
      </c>
      <c r="E11471" s="22" t="s">
        <v>508</v>
      </c>
      <c r="F11471" s="23" t="str">
        <f>HYPERLINK("https://www.spark-marketing.ru/Card/Lot/69037791", "Тариф на оказание услуг комплексной безопасности (КТС), в Тверской обл.")</f>
        <v>Тариф на оказание услуг комплексной безопасности (КТС), в Тверской обл.</v>
      </c>
      <c r="G11471" s="22" t="s">
        <v>55</v>
      </c>
      <c r="H11471" s="22" t="s">
        <v>55</v>
      </c>
      <c r="I11471" s="26">
        <v>43550.621539351901</v>
      </c>
      <c r="J11471" s="28" t="s">
        <v>52</v>
      </c>
      <c r="K11471" s="28" t="s">
        <v>52</v>
      </c>
      <c r="L11471" s="28" t="s">
        <v>52</v>
      </c>
      <c r="M11471" s="28" t="s">
        <v>52</v>
      </c>
      <c r="N11471" s="28" t="s">
        <v>52</v>
      </c>
    </row>
    <row r="11472" spans="1:14" x14ac:dyDescent="0.15">
      <c r="A11472" s="23" t="str">
        <f t="shared" si="582"/>
        <v>АО "ТОРГОВЫЙ ДОМ "ПЕРЕКРЕСТОК"</v>
      </c>
      <c r="B11472" s="24" t="s">
        <v>6999</v>
      </c>
      <c r="C11472" s="25">
        <v>1864.41</v>
      </c>
      <c r="D11472" s="22" t="s">
        <v>13734</v>
      </c>
      <c r="E11472" s="22" t="s">
        <v>508</v>
      </c>
      <c r="F11472" s="23" t="str">
        <f>HYPERLINK("https://www.spark-marketing.ru/Card/Lot/69037773", "Тариф на оказание услуг комплексной безопасности (КТС), в Волгоградской обл.")</f>
        <v>Тариф на оказание услуг комплексной безопасности (КТС), в Волгоградской обл.</v>
      </c>
      <c r="G11472" s="22" t="s">
        <v>55</v>
      </c>
      <c r="H11472" s="22" t="s">
        <v>55</v>
      </c>
      <c r="I11472" s="26">
        <v>43550.621539351901</v>
      </c>
      <c r="J11472" s="28" t="s">
        <v>52</v>
      </c>
      <c r="K11472" s="28" t="s">
        <v>52</v>
      </c>
      <c r="L11472" s="28" t="s">
        <v>52</v>
      </c>
      <c r="M11472" s="28" t="s">
        <v>52</v>
      </c>
      <c r="N11472" s="28" t="s">
        <v>52</v>
      </c>
    </row>
    <row r="11473" spans="1:14" x14ac:dyDescent="0.15">
      <c r="A11473" s="23" t="str">
        <f t="shared" si="582"/>
        <v>АО "ТОРГОВЫЙ ДОМ "ПЕРЕКРЕСТОК"</v>
      </c>
      <c r="B11473" s="24" t="s">
        <v>6999</v>
      </c>
      <c r="C11473" s="25">
        <v>1610.17</v>
      </c>
      <c r="D11473" s="22" t="s">
        <v>13734</v>
      </c>
      <c r="E11473" s="22" t="s">
        <v>508</v>
      </c>
      <c r="F11473" s="23" t="str">
        <f>HYPERLINK("https://www.spark-marketing.ru/Card/Lot/69037797", "Тариф на оказание услуг комплексной безопасности (КТС), в г. Санкт-Петербурге")</f>
        <v>Тариф на оказание услуг комплексной безопасности (КТС), в г. Санкт-Петербурге</v>
      </c>
      <c r="G11473" s="22" t="s">
        <v>55</v>
      </c>
      <c r="H11473" s="22" t="s">
        <v>55</v>
      </c>
      <c r="I11473" s="26">
        <v>43550.621539351901</v>
      </c>
      <c r="J11473" s="28" t="s">
        <v>52</v>
      </c>
      <c r="K11473" s="28" t="s">
        <v>52</v>
      </c>
      <c r="L11473" s="28" t="s">
        <v>52</v>
      </c>
      <c r="M11473" s="28" t="s">
        <v>52</v>
      </c>
      <c r="N11473" s="28" t="s">
        <v>52</v>
      </c>
    </row>
    <row r="11474" spans="1:14" x14ac:dyDescent="0.15">
      <c r="A11474" s="23" t="str">
        <f t="shared" si="582"/>
        <v>АО "ТОРГОВЫЙ ДОМ "ПЕРЕКРЕСТОК"</v>
      </c>
      <c r="B11474" s="24" t="s">
        <v>6999</v>
      </c>
      <c r="C11474" s="25">
        <v>2118.64</v>
      </c>
      <c r="D11474" s="22" t="s">
        <v>13734</v>
      </c>
      <c r="E11474" s="22" t="s">
        <v>508</v>
      </c>
      <c r="F11474" s="23" t="str">
        <f>HYPERLINK("https://www.spark-marketing.ru/Card/Lot/69037792", "Тариф на оказание услуг комплексной безопасности (КТС), в Тульской обл.")</f>
        <v>Тариф на оказание услуг комплексной безопасности (КТС), в Тульской обл.</v>
      </c>
      <c r="G11474" s="22" t="s">
        <v>55</v>
      </c>
      <c r="H11474" s="22" t="s">
        <v>55</v>
      </c>
      <c r="I11474" s="26">
        <v>43550.621539351901</v>
      </c>
      <c r="J11474" s="28" t="s">
        <v>52</v>
      </c>
      <c r="K11474" s="28" t="s">
        <v>52</v>
      </c>
      <c r="L11474" s="28" t="s">
        <v>52</v>
      </c>
      <c r="M11474" s="28" t="s">
        <v>52</v>
      </c>
      <c r="N11474" s="28" t="s">
        <v>52</v>
      </c>
    </row>
    <row r="11475" spans="1:14" x14ac:dyDescent="0.15">
      <c r="A11475" s="23" t="str">
        <f t="shared" si="582"/>
        <v>АО "ТОРГОВЫЙ ДОМ "ПЕРЕКРЕСТОК"</v>
      </c>
      <c r="B11475" s="24" t="s">
        <v>6999</v>
      </c>
      <c r="C11475" s="25">
        <v>2118.64</v>
      </c>
      <c r="D11475" s="22" t="s">
        <v>13734</v>
      </c>
      <c r="E11475" s="22" t="s">
        <v>508</v>
      </c>
      <c r="F11475" s="23" t="str">
        <f>HYPERLINK("https://www.spark-marketing.ru/Card/Lot/69037794", "Тариф на оказание услуг комплексной безопасности (КТС), в Челябинской обл.")</f>
        <v>Тариф на оказание услуг комплексной безопасности (КТС), в Челябинской обл.</v>
      </c>
      <c r="G11475" s="22" t="s">
        <v>55</v>
      </c>
      <c r="H11475" s="22" t="s">
        <v>55</v>
      </c>
      <c r="I11475" s="26">
        <v>43550.621539351901</v>
      </c>
      <c r="J11475" s="28" t="s">
        <v>52</v>
      </c>
      <c r="K11475" s="28" t="s">
        <v>52</v>
      </c>
      <c r="L11475" s="28" t="s">
        <v>52</v>
      </c>
      <c r="M11475" s="28" t="s">
        <v>52</v>
      </c>
      <c r="N11475" s="28" t="s">
        <v>52</v>
      </c>
    </row>
    <row r="11476" spans="1:14" x14ac:dyDescent="0.15">
      <c r="A11476" s="23" t="str">
        <f t="shared" ref="A11476:A11481" si="583">HYPERLINK("https://www.spark-marketing.ru/Card/Person/26419", "МУ ""АДМИНИСТРАЦИЯ ГОРОДСКОГО ПОСЕЛЕНИЯ ПОЙКОВСКИЙ""")</f>
        <v>МУ "АДМИНИСТРАЦИЯ ГОРОДСКОГО ПОСЕЛЕНИЯ ПОЙКОВСКИЙ"</v>
      </c>
      <c r="B11476" s="24" t="s">
        <v>13735</v>
      </c>
      <c r="C11476" s="25">
        <v>667575</v>
      </c>
      <c r="D11476" s="22" t="s">
        <v>13736</v>
      </c>
      <c r="E11476" s="22" t="s">
        <v>59</v>
      </c>
      <c r="F11476" s="23" t="str">
        <f t="shared" ref="F11476:F11481" si="584">HYPERLINK("https://www.spark-marketing.ru/Card/Lot/69026262", "Содержание и обслуживание системы видеонаблюдения гп.Пойковский")</f>
        <v>Содержание и обслуживание системы видеонаблюдения гп.Пойковский</v>
      </c>
      <c r="G11476" s="22" t="s">
        <v>119</v>
      </c>
      <c r="H11476" s="22" t="s">
        <v>9031</v>
      </c>
      <c r="I11476" s="26">
        <v>43550.594444444403</v>
      </c>
      <c r="J11476" s="28" t="s">
        <v>52</v>
      </c>
      <c r="K11476" s="28" t="s">
        <v>52</v>
      </c>
      <c r="L11476" s="28" t="s">
        <v>52</v>
      </c>
      <c r="M11476" s="28" t="s">
        <v>52</v>
      </c>
      <c r="N11476" s="28" t="s">
        <v>52</v>
      </c>
    </row>
    <row r="11477" spans="1:14" hidden="1" outlineLevel="1" x14ac:dyDescent="0.2">
      <c r="A11477" s="23" t="str">
        <f t="shared" si="583"/>
        <v>МУ "АДМИНИСТРАЦИЯ ГОРОДСКОГО ПОСЕЛЕНИЯ ПОЙКОВСКИЙ"</v>
      </c>
      <c r="B11477" s="24" t="s">
        <v>13735</v>
      </c>
      <c r="C11477" s="25">
        <v>667575</v>
      </c>
      <c r="D11477" s="22" t="s">
        <v>13736</v>
      </c>
      <c r="E11477" s="22" t="s">
        <v>59</v>
      </c>
      <c r="F11477" s="23" t="str">
        <f t="shared" si="584"/>
        <v>Содержание и обслуживание системы видеонаблюдения гп.Пойковский</v>
      </c>
      <c r="G11477" s="22" t="s">
        <v>119</v>
      </c>
      <c r="H11477" s="22" t="s">
        <v>9031</v>
      </c>
      <c r="I11477" s="26">
        <v>43550.594444444403</v>
      </c>
      <c r="J11477" s="23" t="str">
        <f>HYPERLINK("https://www.spark-marketing.ru/Card/Person/104500", "Остапенко Виктор Иванович")</f>
        <v>Остапенко Виктор Иванович</v>
      </c>
      <c r="K11477" s="24" t="s">
        <v>3292</v>
      </c>
      <c r="L11477" s="28" t="s">
        <v>52</v>
      </c>
      <c r="M11477" s="25">
        <v>664237.12</v>
      </c>
      <c r="N11477" s="27">
        <v>5.000007489795154E-3</v>
      </c>
    </row>
    <row r="11478" spans="1:14" hidden="1" outlineLevel="1" x14ac:dyDescent="0.2">
      <c r="A11478" s="23" t="str">
        <f t="shared" si="583"/>
        <v>МУ "АДМИНИСТРАЦИЯ ГОРОДСКОГО ПОСЕЛЕНИЯ ПОЙКОВСКИЙ"</v>
      </c>
      <c r="B11478" s="24" t="s">
        <v>13735</v>
      </c>
      <c r="C11478" s="25">
        <v>667575</v>
      </c>
      <c r="D11478" s="22" t="s">
        <v>13736</v>
      </c>
      <c r="E11478" s="22" t="s">
        <v>59</v>
      </c>
      <c r="F11478" s="23" t="str">
        <f t="shared" si="584"/>
        <v>Содержание и обслуживание системы видеонаблюдения гп.Пойковский</v>
      </c>
      <c r="G11478" s="22" t="s">
        <v>119</v>
      </c>
      <c r="H11478" s="22" t="s">
        <v>9031</v>
      </c>
      <c r="I11478" s="26">
        <v>43550.594444444403</v>
      </c>
      <c r="J11478" s="23" t="str">
        <f>HYPERLINK("https://www.spark-marketing.ru/Card/Person/117624", "ООО ""ОСТМАСТЕР""")</f>
        <v>ООО "ОСТМАСТЕР"</v>
      </c>
      <c r="K11478" s="24" t="s">
        <v>10126</v>
      </c>
      <c r="L11478" s="28" t="s">
        <v>52</v>
      </c>
      <c r="M11478" s="25">
        <v>619067.12</v>
      </c>
      <c r="N11478" s="27">
        <v>7.2662816911957459E-2</v>
      </c>
    </row>
    <row r="11479" spans="1:14" hidden="1" outlineLevel="1" x14ac:dyDescent="0.2">
      <c r="A11479" s="23" t="str">
        <f t="shared" si="583"/>
        <v>МУ "АДМИНИСТРАЦИЯ ГОРОДСКОГО ПОСЕЛЕНИЯ ПОЙКОВСКИЙ"</v>
      </c>
      <c r="B11479" s="24" t="s">
        <v>13735</v>
      </c>
      <c r="C11479" s="25">
        <v>667575</v>
      </c>
      <c r="D11479" s="22" t="s">
        <v>13736</v>
      </c>
      <c r="E11479" s="22" t="s">
        <v>59</v>
      </c>
      <c r="F11479" s="23" t="str">
        <f t="shared" si="584"/>
        <v>Содержание и обслуживание системы видеонаблюдения гп.Пойковский</v>
      </c>
      <c r="G11479" s="22" t="s">
        <v>119</v>
      </c>
      <c r="H11479" s="22" t="s">
        <v>9031</v>
      </c>
      <c r="I11479" s="26">
        <v>43550.594444444403</v>
      </c>
      <c r="J11479" s="23" t="str">
        <f>HYPERLINK("https://www.spark-marketing.ru/Card/Person/4331145", "Бердяшкин Анатолий Борисович")</f>
        <v>Бердяшкин Анатолий Борисович</v>
      </c>
      <c r="K11479" s="24" t="s">
        <v>9033</v>
      </c>
      <c r="L11479" s="28" t="s">
        <v>52</v>
      </c>
      <c r="M11479" s="25">
        <v>503265.6</v>
      </c>
      <c r="N11479" s="27">
        <v>0.24612874957869901</v>
      </c>
    </row>
    <row r="11480" spans="1:14" hidden="1" outlineLevel="1" x14ac:dyDescent="0.2">
      <c r="A11480" s="23" t="str">
        <f t="shared" si="583"/>
        <v>МУ "АДМИНИСТРАЦИЯ ГОРОДСКОГО ПОСЕЛЕНИЯ ПОЙКОВСКИЙ"</v>
      </c>
      <c r="B11480" s="24" t="s">
        <v>13735</v>
      </c>
      <c r="C11480" s="25">
        <v>667575</v>
      </c>
      <c r="D11480" s="22" t="s">
        <v>13736</v>
      </c>
      <c r="E11480" s="22" t="s">
        <v>59</v>
      </c>
      <c r="F11480" s="23" t="str">
        <f t="shared" si="584"/>
        <v>Содержание и обслуживание системы видеонаблюдения гп.Пойковский</v>
      </c>
      <c r="G11480" s="22" t="s">
        <v>119</v>
      </c>
      <c r="H11480" s="22" t="s">
        <v>9031</v>
      </c>
      <c r="I11480" s="26">
        <v>43550.594444444403</v>
      </c>
      <c r="J11480" s="23" t="str">
        <f>HYPERLINK("https://www.spark-marketing.ru/Card/Person/6516780", "Муразымов Азат Салаватович")</f>
        <v>Муразымов Азат Салаватович</v>
      </c>
      <c r="K11480" s="24" t="s">
        <v>13737</v>
      </c>
      <c r="L11480" s="28" t="s">
        <v>52</v>
      </c>
      <c r="M11480" s="25">
        <v>369750.4</v>
      </c>
      <c r="N11480" s="27">
        <v>0.44612904917050517</v>
      </c>
    </row>
    <row r="11481" spans="1:14" ht="12.75" hidden="1" outlineLevel="1" x14ac:dyDescent="0.2">
      <c r="A11481" s="23" t="str">
        <f t="shared" si="583"/>
        <v>МУ "АДМИНИСТРАЦИЯ ГОРОДСКОГО ПОСЕЛЕНИЯ ПОЙКОВСКИЙ"</v>
      </c>
      <c r="B11481" s="24" t="s">
        <v>13735</v>
      </c>
      <c r="C11481" s="25">
        <v>667575</v>
      </c>
      <c r="D11481" s="22" t="s">
        <v>13736</v>
      </c>
      <c r="E11481" s="22" t="s">
        <v>59</v>
      </c>
      <c r="F11481" s="23" t="str">
        <f t="shared" si="584"/>
        <v>Содержание и обслуживание системы видеонаблюдения гп.Пойковский</v>
      </c>
      <c r="G11481" s="22" t="s">
        <v>119</v>
      </c>
      <c r="H11481" s="22" t="s">
        <v>9031</v>
      </c>
      <c r="I11481" s="26">
        <v>43550.594444444403</v>
      </c>
      <c r="J11481" s="23" t="str">
        <f>HYPERLINK("https://www.spark-marketing.ru/Card/Person/934723", "ООО ""НЗРРТА""")</f>
        <v>ООО "НЗРРТА"</v>
      </c>
      <c r="K11481" s="24" t="s">
        <v>13738</v>
      </c>
      <c r="L11481" s="22" t="s">
        <v>10</v>
      </c>
      <c r="M11481" s="25">
        <v>366412.52</v>
      </c>
      <c r="N11481" s="27">
        <v>0.45112905666030034</v>
      </c>
    </row>
    <row r="11482" spans="1:14" x14ac:dyDescent="0.15">
      <c r="A11482" s="23" t="str">
        <f t="shared" ref="A11482:A11490" si="585">HYPERLINK("https://www.spark-marketing.ru/Card/Person/1887298", "АО ""ТОРГОВЫЙ ДОМ ""ПЕРЕКРЕСТОК""")</f>
        <v>АО "ТОРГОВЫЙ ДОМ "ПЕРЕКРЕСТОК"</v>
      </c>
      <c r="B11482" s="24" t="s">
        <v>6999</v>
      </c>
      <c r="C11482" s="25">
        <v>2118.64</v>
      </c>
      <c r="D11482" s="22" t="s">
        <v>13734</v>
      </c>
      <c r="E11482" s="22" t="s">
        <v>508</v>
      </c>
      <c r="F11482" s="23" t="str">
        <f>HYPERLINK("https://www.spark-marketing.ru/Card/Lot/69037756", "Тариф на оказание услуг комплексной безопасности (КТС), в Краснодарском крае")</f>
        <v>Тариф на оказание услуг комплексной безопасности (КТС), в Краснодарском крае</v>
      </c>
      <c r="G11482" s="22" t="s">
        <v>55</v>
      </c>
      <c r="H11482" s="22" t="s">
        <v>55</v>
      </c>
      <c r="I11482" s="26">
        <v>43550.621539351901</v>
      </c>
      <c r="J11482" s="28" t="s">
        <v>52</v>
      </c>
      <c r="K11482" s="28" t="s">
        <v>52</v>
      </c>
      <c r="L11482" s="28" t="s">
        <v>52</v>
      </c>
      <c r="M11482" s="28" t="s">
        <v>52</v>
      </c>
      <c r="N11482" s="28" t="s">
        <v>52</v>
      </c>
    </row>
    <row r="11483" spans="1:14" x14ac:dyDescent="0.15">
      <c r="A11483" s="23" t="str">
        <f t="shared" si="585"/>
        <v>АО "ТОРГОВЫЙ ДОМ "ПЕРЕКРЕСТОК"</v>
      </c>
      <c r="B11483" s="24" t="s">
        <v>6999</v>
      </c>
      <c r="C11483" s="25">
        <v>2203.39</v>
      </c>
      <c r="D11483" s="22" t="s">
        <v>13734</v>
      </c>
      <c r="E11483" s="22" t="s">
        <v>508</v>
      </c>
      <c r="F11483" s="23" t="str">
        <f>HYPERLINK("https://www.spark-marketing.ru/Card/Lot/69037758", "Тариф на оказание услуг комплексной безопасности (КТС), в Белгородской обл.")</f>
        <v>Тариф на оказание услуг комплексной безопасности (КТС), в Белгородской обл.</v>
      </c>
      <c r="G11483" s="22" t="s">
        <v>55</v>
      </c>
      <c r="H11483" s="22" t="s">
        <v>55</v>
      </c>
      <c r="I11483" s="26">
        <v>43550.621539351901</v>
      </c>
      <c r="J11483" s="28" t="s">
        <v>52</v>
      </c>
      <c r="K11483" s="28" t="s">
        <v>52</v>
      </c>
      <c r="L11483" s="28" t="s">
        <v>52</v>
      </c>
      <c r="M11483" s="28" t="s">
        <v>52</v>
      </c>
      <c r="N11483" s="28" t="s">
        <v>52</v>
      </c>
    </row>
    <row r="11484" spans="1:14" x14ac:dyDescent="0.15">
      <c r="A11484" s="23" t="str">
        <f t="shared" si="585"/>
        <v>АО "ТОРГОВЫЙ ДОМ "ПЕРЕКРЕСТОК"</v>
      </c>
      <c r="B11484" s="24" t="s">
        <v>6999</v>
      </c>
      <c r="C11484" s="25">
        <v>1694.92</v>
      </c>
      <c r="D11484" s="22" t="s">
        <v>13734</v>
      </c>
      <c r="E11484" s="22" t="s">
        <v>508</v>
      </c>
      <c r="F11484" s="23" t="str">
        <f>HYPERLINK("https://www.spark-marketing.ru/Card/Lot/69037781", "Тариф на оказание услуг комплексной безопасности (КТС), в Нижегородской обл.")</f>
        <v>Тариф на оказание услуг комплексной безопасности (КТС), в Нижегородской обл.</v>
      </c>
      <c r="G11484" s="22" t="s">
        <v>55</v>
      </c>
      <c r="H11484" s="22" t="s">
        <v>55</v>
      </c>
      <c r="I11484" s="26">
        <v>43550.621539351901</v>
      </c>
      <c r="J11484" s="28" t="s">
        <v>52</v>
      </c>
      <c r="K11484" s="28" t="s">
        <v>52</v>
      </c>
      <c r="L11484" s="28" t="s">
        <v>52</v>
      </c>
      <c r="M11484" s="28" t="s">
        <v>52</v>
      </c>
      <c r="N11484" s="28" t="s">
        <v>52</v>
      </c>
    </row>
    <row r="11485" spans="1:14" x14ac:dyDescent="0.15">
      <c r="A11485" s="23" t="str">
        <f t="shared" si="585"/>
        <v>АО "ТОРГОВЫЙ ДОМ "ПЕРЕКРЕСТОК"</v>
      </c>
      <c r="B11485" s="24" t="s">
        <v>6999</v>
      </c>
      <c r="C11485" s="25">
        <v>1500</v>
      </c>
      <c r="D11485" s="22" t="s">
        <v>13734</v>
      </c>
      <c r="E11485" s="22" t="s">
        <v>508</v>
      </c>
      <c r="F11485" s="23" t="str">
        <f>HYPERLINK("https://www.spark-marketing.ru/Card/Lot/69037786", "Тариф на оказание услуг комплексной безопасности (КТС), в Самарской обл.")</f>
        <v>Тариф на оказание услуг комплексной безопасности (КТС), в Самарской обл.</v>
      </c>
      <c r="G11485" s="22" t="s">
        <v>55</v>
      </c>
      <c r="H11485" s="22" t="s">
        <v>55</v>
      </c>
      <c r="I11485" s="26">
        <v>43550.621539351901</v>
      </c>
      <c r="J11485" s="28" t="s">
        <v>52</v>
      </c>
      <c r="K11485" s="28" t="s">
        <v>52</v>
      </c>
      <c r="L11485" s="28" t="s">
        <v>52</v>
      </c>
      <c r="M11485" s="28" t="s">
        <v>52</v>
      </c>
      <c r="N11485" s="28" t="s">
        <v>52</v>
      </c>
    </row>
    <row r="11486" spans="1:14" x14ac:dyDescent="0.15">
      <c r="A11486" s="23" t="str">
        <f t="shared" si="585"/>
        <v>АО "ТОРГОВЫЙ ДОМ "ПЕРЕКРЕСТОК"</v>
      </c>
      <c r="B11486" s="24" t="s">
        <v>6999</v>
      </c>
      <c r="C11486" s="25">
        <v>1864.41</v>
      </c>
      <c r="D11486" s="22" t="s">
        <v>13734</v>
      </c>
      <c r="E11486" s="22" t="s">
        <v>508</v>
      </c>
      <c r="F11486" s="23" t="str">
        <f>HYPERLINK("https://www.spark-marketing.ru/Card/Lot/69037751", "Тариф на оказание услуг комплексной безопасности (КТС), в Республике Башкортостан")</f>
        <v>Тариф на оказание услуг комплексной безопасности (КТС), в Республике Башкортостан</v>
      </c>
      <c r="G11486" s="22" t="s">
        <v>55</v>
      </c>
      <c r="H11486" s="22" t="s">
        <v>55</v>
      </c>
      <c r="I11486" s="26">
        <v>43550.621539351901</v>
      </c>
      <c r="J11486" s="28" t="s">
        <v>52</v>
      </c>
      <c r="K11486" s="28" t="s">
        <v>52</v>
      </c>
      <c r="L11486" s="28" t="s">
        <v>52</v>
      </c>
      <c r="M11486" s="28" t="s">
        <v>52</v>
      </c>
      <c r="N11486" s="28" t="s">
        <v>52</v>
      </c>
    </row>
    <row r="11487" spans="1:14" x14ac:dyDescent="0.15">
      <c r="A11487" s="23" t="str">
        <f t="shared" si="585"/>
        <v>АО "ТОРГОВЫЙ ДОМ "ПЕРЕКРЕСТОК"</v>
      </c>
      <c r="B11487" s="24" t="s">
        <v>6999</v>
      </c>
      <c r="C11487" s="25">
        <v>2538.14</v>
      </c>
      <c r="D11487" s="22" t="s">
        <v>13734</v>
      </c>
      <c r="E11487" s="22" t="s">
        <v>508</v>
      </c>
      <c r="F11487" s="23" t="str">
        <f>HYPERLINK("https://www.spark-marketing.ru/Card/Lot/69037757", "Тариф на оказание услуг комплексной безопасности (КТС), в Ставропольском крае")</f>
        <v>Тариф на оказание услуг комплексной безопасности (КТС), в Ставропольском крае</v>
      </c>
      <c r="G11487" s="22" t="s">
        <v>55</v>
      </c>
      <c r="H11487" s="22" t="s">
        <v>55</v>
      </c>
      <c r="I11487" s="26">
        <v>43550.621539351901</v>
      </c>
      <c r="J11487" s="28" t="s">
        <v>52</v>
      </c>
      <c r="K11487" s="28" t="s">
        <v>52</v>
      </c>
      <c r="L11487" s="28" t="s">
        <v>52</v>
      </c>
      <c r="M11487" s="28" t="s">
        <v>52</v>
      </c>
      <c r="N11487" s="28" t="s">
        <v>52</v>
      </c>
    </row>
    <row r="11488" spans="1:14" x14ac:dyDescent="0.15">
      <c r="A11488" s="23" t="str">
        <f t="shared" si="585"/>
        <v>АО "ТОРГОВЫЙ ДОМ "ПЕРЕКРЕСТОК"</v>
      </c>
      <c r="B11488" s="24" t="s">
        <v>6999</v>
      </c>
      <c r="C11488" s="25">
        <v>2033.9</v>
      </c>
      <c r="D11488" s="22" t="s">
        <v>13734</v>
      </c>
      <c r="E11488" s="22" t="s">
        <v>508</v>
      </c>
      <c r="F11488" s="23" t="str">
        <f>HYPERLINK("https://www.spark-marketing.ru/Card/Lot/69037789", "Тариф на оказание услуг комплексной безопасности (КТС), в Смоленской обл.")</f>
        <v>Тариф на оказание услуг комплексной безопасности (КТС), в Смоленской обл.</v>
      </c>
      <c r="G11488" s="22" t="s">
        <v>55</v>
      </c>
      <c r="H11488" s="22" t="s">
        <v>55</v>
      </c>
      <c r="I11488" s="26">
        <v>43550.621539351901</v>
      </c>
      <c r="J11488" s="28" t="s">
        <v>52</v>
      </c>
      <c r="K11488" s="28" t="s">
        <v>52</v>
      </c>
      <c r="L11488" s="28" t="s">
        <v>52</v>
      </c>
      <c r="M11488" s="28" t="s">
        <v>52</v>
      </c>
      <c r="N11488" s="28" t="s">
        <v>52</v>
      </c>
    </row>
    <row r="11489" spans="1:14" x14ac:dyDescent="0.15">
      <c r="A11489" s="23" t="str">
        <f t="shared" si="585"/>
        <v>АО "ТОРГОВЫЙ ДОМ "ПЕРЕКРЕСТОК"</v>
      </c>
      <c r="B11489" s="24" t="s">
        <v>6999</v>
      </c>
      <c r="C11489" s="25">
        <v>2118.64</v>
      </c>
      <c r="D11489" s="22" t="s">
        <v>13734</v>
      </c>
      <c r="E11489" s="22" t="s">
        <v>508</v>
      </c>
      <c r="F11489" s="23" t="str">
        <f>HYPERLINK("https://www.spark-marketing.ru/Card/Lot/69037793", "Тариф на оказание услуг комплексной безопасности (КТС), в Тюменской обл.")</f>
        <v>Тариф на оказание услуг комплексной безопасности (КТС), в Тюменской обл.</v>
      </c>
      <c r="G11489" s="22" t="s">
        <v>55</v>
      </c>
      <c r="H11489" s="22" t="s">
        <v>55</v>
      </c>
      <c r="I11489" s="26">
        <v>43550.621539351901</v>
      </c>
      <c r="J11489" s="28" t="s">
        <v>52</v>
      </c>
      <c r="K11489" s="28" t="s">
        <v>52</v>
      </c>
      <c r="L11489" s="28" t="s">
        <v>52</v>
      </c>
      <c r="M11489" s="28" t="s">
        <v>52</v>
      </c>
      <c r="N11489" s="28" t="s">
        <v>52</v>
      </c>
    </row>
    <row r="11490" spans="1:14" x14ac:dyDescent="0.15">
      <c r="A11490" s="23" t="str">
        <f t="shared" si="585"/>
        <v>АО "ТОРГОВЫЙ ДОМ "ПЕРЕКРЕСТОК"</v>
      </c>
      <c r="B11490" s="24" t="s">
        <v>6999</v>
      </c>
      <c r="C11490" s="25">
        <v>1778.81</v>
      </c>
      <c r="D11490" s="22" t="s">
        <v>13734</v>
      </c>
      <c r="E11490" s="22" t="s">
        <v>508</v>
      </c>
      <c r="F11490" s="23" t="str">
        <f>HYPERLINK("https://www.spark-marketing.ru/Card/Lot/69037779", "Тариф на оказание услуг комплексной безопасности (КТС), в Липецкой обл.")</f>
        <v>Тариф на оказание услуг комплексной безопасности (КТС), в Липецкой обл.</v>
      </c>
      <c r="G11490" s="22" t="s">
        <v>55</v>
      </c>
      <c r="H11490" s="22" t="s">
        <v>55</v>
      </c>
      <c r="I11490" s="26">
        <v>43550.621539351901</v>
      </c>
      <c r="J11490" s="28" t="s">
        <v>52</v>
      </c>
      <c r="K11490" s="28" t="s">
        <v>52</v>
      </c>
      <c r="L11490" s="28" t="s">
        <v>52</v>
      </c>
      <c r="M11490" s="28" t="s">
        <v>52</v>
      </c>
      <c r="N11490" s="28" t="s">
        <v>52</v>
      </c>
    </row>
    <row r="11491" spans="1:14" x14ac:dyDescent="0.2">
      <c r="A11491" s="23" t="str">
        <f>HYPERLINK("https://www.spark-marketing.ru/Card/Person/32273", "КГБУЗ ""КМКБ № 4""")</f>
        <v>КГБУЗ "КМКБ № 4"</v>
      </c>
      <c r="B11491" s="24" t="s">
        <v>5369</v>
      </c>
      <c r="C11491" s="25">
        <v>389832</v>
      </c>
      <c r="D11491" s="22" t="s">
        <v>13739</v>
      </c>
      <c r="E11491" s="22" t="s">
        <v>144</v>
      </c>
      <c r="F11491" s="23" t="str">
        <f>HYPERLINK("https://www.spark-marketing.ru/Card/Lot/69016245", "Оказание охранных услуг")</f>
        <v>Оказание охранных услуг</v>
      </c>
      <c r="G11491" s="22" t="s">
        <v>640</v>
      </c>
      <c r="H11491" s="22" t="s">
        <v>640</v>
      </c>
      <c r="I11491" s="26">
        <v>43550.579537037003</v>
      </c>
      <c r="J11491" s="23" t="str">
        <f>HYPERLINK("https://www.spark-marketing.ru/Card/Person/1894836", "ООО ЧОО ""ВОСТОК-ОХРАНА""")</f>
        <v>ООО ЧОО "ВОСТОК-ОХРАНА"</v>
      </c>
      <c r="K11491" s="24" t="s">
        <v>13740</v>
      </c>
      <c r="L11491" s="28" t="s">
        <v>52</v>
      </c>
      <c r="M11491" s="25">
        <v>389832</v>
      </c>
      <c r="N11491" s="27">
        <v>0</v>
      </c>
    </row>
    <row r="11492" spans="1:14" x14ac:dyDescent="0.15">
      <c r="A11492" s="23" t="str">
        <f>HYPERLINK("https://www.spark-marketing.ru/Card/Person/92945", "МБДОУ Д/С № 1 ""БЕРЕЗКА""")</f>
        <v>МБДОУ Д/С № 1 "БЕРЕЗКА"</v>
      </c>
      <c r="B11492" s="24" t="s">
        <v>13741</v>
      </c>
      <c r="C11492" s="25">
        <v>37499.94</v>
      </c>
      <c r="D11492" s="22" t="s">
        <v>13742</v>
      </c>
      <c r="E11492" s="22" t="s">
        <v>103</v>
      </c>
      <c r="F11492" s="23" t="str">
        <f>HYPERLINK("https://www.spark-marketing.ru/Card/Lot/69026736", "Услуги по техническому обслуживанию систем (элементов) видеонаблюдения")</f>
        <v>Услуги по техническому обслуживанию систем (элементов) видеонаблюдения</v>
      </c>
      <c r="G11492" s="22" t="s">
        <v>50</v>
      </c>
      <c r="H11492" s="22" t="s">
        <v>2957</v>
      </c>
      <c r="I11492" s="26">
        <v>43550.575914351903</v>
      </c>
      <c r="J11492" s="28" t="s">
        <v>52</v>
      </c>
      <c r="K11492" s="28" t="s">
        <v>52</v>
      </c>
      <c r="L11492" s="28" t="s">
        <v>52</v>
      </c>
      <c r="M11492" s="28" t="s">
        <v>52</v>
      </c>
      <c r="N11492" s="28" t="s">
        <v>52</v>
      </c>
    </row>
    <row r="11493" spans="1:14" x14ac:dyDescent="0.15">
      <c r="A11493" s="23" t="str">
        <f>HYPERLINK("https://www.spark-marketing.ru/Card/Person/116904", "МОУ СОШ №2 ИМ. 37 ГСД КРАСНОЙ АРМИИ")</f>
        <v>МОУ СОШ №2 ИМ. 37 ГСД КРАСНОЙ АРМИИ</v>
      </c>
      <c r="B11493" s="24" t="s">
        <v>10092</v>
      </c>
      <c r="C11493" s="25">
        <v>88000</v>
      </c>
      <c r="D11493" s="22" t="s">
        <v>13743</v>
      </c>
      <c r="E11493" s="22" t="s">
        <v>298</v>
      </c>
      <c r="F11493" s="23" t="str">
        <f>HYPERLINK("https://www.spark-marketing.ru/Card/Lot/69023687", "Оказание услуг по техническому сопровождению региональной системы видеотрансляции и видеопротоколирования, ТО оборудования в пунктах проведения экзаменов")</f>
        <v>Оказание услуг по техническому сопровождению региональной системы видеотрансляции и видеопротоколирования, ТО оборудования в пунктах проведения экзаменов</v>
      </c>
      <c r="G11493" s="22" t="s">
        <v>50</v>
      </c>
      <c r="H11493" s="22" t="s">
        <v>827</v>
      </c>
      <c r="I11493" s="26">
        <v>43550.544467592597</v>
      </c>
      <c r="J11493" s="28" t="s">
        <v>52</v>
      </c>
      <c r="K11493" s="28" t="s">
        <v>52</v>
      </c>
      <c r="L11493" s="28" t="s">
        <v>52</v>
      </c>
      <c r="M11493" s="28" t="s">
        <v>52</v>
      </c>
      <c r="N11493" s="28" t="s">
        <v>52</v>
      </c>
    </row>
    <row r="11494" spans="1:14" x14ac:dyDescent="0.15">
      <c r="A11494" s="23" t="str">
        <f>HYPERLINK("https://www.spark-marketing.ru/Card/Person/221505", "ГБУЗ РЕСПУБЛИКИ МОРДОВИЯ ""КОМСОМОЛЬСКАЯ МБ""")</f>
        <v>ГБУЗ РЕСПУБЛИКИ МОРДОВИЯ "КОМСОМОЛЬСКАЯ МБ"</v>
      </c>
      <c r="B11494" s="24" t="s">
        <v>13744</v>
      </c>
      <c r="C11494" s="25">
        <v>271525.09999999998</v>
      </c>
      <c r="D11494" s="22" t="s">
        <v>13745</v>
      </c>
      <c r="E11494" s="22" t="s">
        <v>52</v>
      </c>
      <c r="F11494" s="23" t="str">
        <f>HYPERLINK("https://www.spark-marketing.ru/Card/Lot/69031267", "оказание услуг по обеспечению охраны и общественной безопасности на объектах ГБУЗ Республики Мордовия «Комсомольская МБ»")</f>
        <v>оказание услуг по обеспечению охраны и общественной безопасности на объектах ГБУЗ Республики Мордовия «Комсомольская МБ»</v>
      </c>
      <c r="G11494" s="22" t="s">
        <v>331</v>
      </c>
      <c r="H11494" s="22" t="s">
        <v>13746</v>
      </c>
      <c r="I11494" s="26">
        <v>43550.577777777798</v>
      </c>
      <c r="J11494" s="23" t="str">
        <f>HYPERLINK("https://www.spark-marketing.ru/Card/Person/10487", "ФГУП ""ОХРАНА"" РОСГВАРДИИ")</f>
        <v>ФГУП "ОХРАНА" РОСГВАРДИИ</v>
      </c>
      <c r="K11494" s="24" t="s">
        <v>779</v>
      </c>
      <c r="L11494" s="22" t="s">
        <v>10</v>
      </c>
      <c r="M11494" s="28" t="s">
        <v>52</v>
      </c>
      <c r="N11494" s="28" t="s">
        <v>52</v>
      </c>
    </row>
    <row r="11495" spans="1:14" x14ac:dyDescent="0.15">
      <c r="A11495" s="23" t="str">
        <f>HYPERLINK("https://www.spark-marketing.ru/Card/Person/6288", "ФКУ ""ЦХИСО ГУ МВД РОССИИ ПО АЛТАЙСКОМУ КРАЮ""")</f>
        <v>ФКУ "ЦХИСО ГУ МВД РОССИИ ПО АЛТАЙСКОМУ КРАЮ"</v>
      </c>
      <c r="B11495" s="24" t="s">
        <v>13747</v>
      </c>
      <c r="C11495" s="25">
        <v>1631930</v>
      </c>
      <c r="D11495" s="22" t="s">
        <v>13748</v>
      </c>
      <c r="E11495" s="22" t="s">
        <v>508</v>
      </c>
      <c r="F11495" s="23" t="str">
        <f>HYPERLINK("https://www.spark-marketing.ru/Card/Lot/69017683", "Приобретение видеоспектрального ТВ комплекса")</f>
        <v>Приобретение видеоспектрального ТВ комплекса</v>
      </c>
      <c r="G11495" s="22" t="s">
        <v>428</v>
      </c>
      <c r="H11495" s="22" t="s">
        <v>429</v>
      </c>
      <c r="I11495" s="26">
        <v>43550.559722222199</v>
      </c>
      <c r="J11495" s="23" t="str">
        <f>HYPERLINK("https://www.spark-marketing.ru/Card/Person/616011", "ООО ТД ""УЧЕБНЫЙ ФОРМАТ""")</f>
        <v>ООО ТД "УЧЕБНЫЙ ФОРМАТ"</v>
      </c>
      <c r="K11495" s="24" t="s">
        <v>13749</v>
      </c>
      <c r="L11495" s="22" t="s">
        <v>10</v>
      </c>
      <c r="M11495" s="28" t="s">
        <v>52</v>
      </c>
      <c r="N11495" s="28" t="s">
        <v>52</v>
      </c>
    </row>
    <row r="11496" spans="1:14" x14ac:dyDescent="0.15">
      <c r="A11496" s="23" t="str">
        <f>HYPERLINK("https://www.spark-marketing.ru/Card/Person/1020073", "ФЛ ФГБУК ""Государственный музей Востока""")</f>
        <v>ФЛ ФГБУК "Государственный музей Востока"</v>
      </c>
      <c r="B11496" s="24" t="s">
        <v>13480</v>
      </c>
      <c r="C11496" s="25">
        <v>106346.4</v>
      </c>
      <c r="D11496" s="22" t="s">
        <v>13750</v>
      </c>
      <c r="E11496" s="22" t="s">
        <v>68</v>
      </c>
      <c r="F11496" s="23" t="str">
        <f>HYPERLINK("https://www.spark-marketing.ru/Card/Lot/69033193", "Оказание охранных услуг (тревожная кнопка)")</f>
        <v>Оказание охранных услуг (тревожная кнопка)</v>
      </c>
      <c r="G11496" s="22" t="s">
        <v>1547</v>
      </c>
      <c r="H11496" s="22" t="s">
        <v>1983</v>
      </c>
      <c r="I11496" s="26">
        <v>43550.582638888904</v>
      </c>
      <c r="J11496" s="28" t="s">
        <v>52</v>
      </c>
      <c r="K11496" s="28" t="s">
        <v>52</v>
      </c>
      <c r="L11496" s="28" t="s">
        <v>52</v>
      </c>
      <c r="M11496" s="28" t="s">
        <v>52</v>
      </c>
      <c r="N11496" s="28" t="s">
        <v>52</v>
      </c>
    </row>
    <row r="11497" spans="1:14" x14ac:dyDescent="0.15">
      <c r="A11497" s="23" t="str">
        <f>HYPERLINK("https://www.spark-marketing.ru/Card/Person/1082436", "МБДОУ ""ДЕТСКИЙ САД №4 ""РОДНИЧОК""")</f>
        <v>МБДОУ "ДЕТСКИЙ САД №4 "РОДНИЧОК"</v>
      </c>
      <c r="B11497" s="24" t="s">
        <v>13751</v>
      </c>
      <c r="C11497" s="25">
        <v>51100</v>
      </c>
      <c r="D11497" s="22" t="s">
        <v>13752</v>
      </c>
      <c r="E11497" s="22" t="s">
        <v>59</v>
      </c>
      <c r="F11497" s="23" t="str">
        <f>HYPERLINK("https://www.spark-marketing.ru/Card/Lot/69021712", "Установка системы видеонаблюдения   МБДОУ «Детский сад № 4 «Родничок».")</f>
        <v>Установка системы видеонаблюдения   МБДОУ «Детский сад № 4 «Родничок».</v>
      </c>
      <c r="G11497" s="22" t="s">
        <v>384</v>
      </c>
      <c r="H11497" s="22" t="s">
        <v>384</v>
      </c>
      <c r="I11497" s="26">
        <v>43550.536111111098</v>
      </c>
      <c r="J11497" s="23" t="str">
        <f>HYPERLINK("https://www.spark-marketing.ru/Card/Person/418017", "Кожемякин Григорий Валерьевич")</f>
        <v>Кожемякин Григорий Валерьевич</v>
      </c>
      <c r="K11497" s="24" t="s">
        <v>3982</v>
      </c>
      <c r="L11497" s="22" t="s">
        <v>10</v>
      </c>
      <c r="M11497" s="28" t="s">
        <v>52</v>
      </c>
      <c r="N11497" s="28" t="s">
        <v>52</v>
      </c>
    </row>
    <row r="11498" spans="1:14" x14ac:dyDescent="0.15">
      <c r="A11498" s="23" t="str">
        <f>HYPERLINK("https://www.spark-marketing.ru/Card/Person/46142", "ГБУ ""АВТОЗАВОДСКИЙ ПНИ""")</f>
        <v>ГБУ "АВТОЗАВОДСКИЙ ПНИ"</v>
      </c>
      <c r="B11498" s="24" t="s">
        <v>13753</v>
      </c>
      <c r="C11498" s="25">
        <v>151200</v>
      </c>
      <c r="D11498" s="22" t="s">
        <v>13754</v>
      </c>
      <c r="E11498" s="22" t="s">
        <v>53</v>
      </c>
      <c r="F11498" s="23" t="str">
        <f>HYPERLINK("https://www.spark-marketing.ru/Card/Lot/69648149", "Оказание услуг по защите материального имущества объектов и обеспечения внутриобъектового и пропускного режимов.")</f>
        <v>Оказание услуг по защите материального имущества объектов и обеспечения внутриобъектового и пропускного режимов.</v>
      </c>
      <c r="G11498" s="22" t="s">
        <v>64</v>
      </c>
      <c r="H11498" s="22" t="s">
        <v>65</v>
      </c>
      <c r="I11498" s="26">
        <v>43550.515277777798</v>
      </c>
      <c r="J11498" s="28" t="s">
        <v>52</v>
      </c>
      <c r="K11498" s="28" t="s">
        <v>52</v>
      </c>
      <c r="L11498" s="28" t="s">
        <v>52</v>
      </c>
      <c r="M11498" s="28" t="s">
        <v>52</v>
      </c>
      <c r="N11498" s="28" t="s">
        <v>52</v>
      </c>
    </row>
    <row r="11499" spans="1:14" x14ac:dyDescent="0.15">
      <c r="A11499" s="23" t="str">
        <f>HYPERLINK("https://www.spark-marketing.ru/Card/Person/1007139", "МКУ""УПРАВЛЕНИЕ ДЕЛАМИ ГОРОДСКОЙ ДУМЫ ГОРОДА ЮЖНО-САХАЛИНСКА""")</f>
        <v>МКУ"УПРАВЛЕНИЕ ДЕЛАМИ ГОРОДСКОЙ ДУМЫ ГОРОДА ЮЖНО-САХАЛИНСКА"</v>
      </c>
      <c r="B11499" s="24" t="s">
        <v>13755</v>
      </c>
      <c r="C11499" s="25">
        <v>33000</v>
      </c>
      <c r="D11499" s="22" t="s">
        <v>13756</v>
      </c>
      <c r="E11499" s="22" t="s">
        <v>103</v>
      </c>
      <c r="F11499" s="23" t="str">
        <f>HYPERLINK("https://www.spark-marketing.ru/Card/Lot/69006739", "Оказание услуг по техническому обслуживанию системы видеонаблюдения.")</f>
        <v>Оказание услуг по техническому обслуживанию системы видеонаблюдения.</v>
      </c>
      <c r="G11499" s="22" t="s">
        <v>69</v>
      </c>
      <c r="H11499" s="22" t="s">
        <v>973</v>
      </c>
      <c r="I11499" s="26">
        <v>43550.520138888904</v>
      </c>
      <c r="J11499" s="28" t="s">
        <v>52</v>
      </c>
      <c r="K11499" s="28" t="s">
        <v>52</v>
      </c>
      <c r="L11499" s="28" t="s">
        <v>52</v>
      </c>
      <c r="M11499" s="28" t="s">
        <v>52</v>
      </c>
      <c r="N11499" s="28" t="s">
        <v>52</v>
      </c>
    </row>
    <row r="11500" spans="1:14" hidden="1" outlineLevel="1" x14ac:dyDescent="0.2">
      <c r="A11500" s="23" t="str">
        <f>HYPERLINK("https://www.spark-marketing.ru/Card/Person/1007139", "МКУ""УПРАВЛЕНИЕ ДЕЛАМИ ГОРОДСКОЙ ДУМЫ ГОРОДА ЮЖНО-САХАЛИНСКА""")</f>
        <v>МКУ"УПРАВЛЕНИЕ ДЕЛАМИ ГОРОДСКОЙ ДУМЫ ГОРОДА ЮЖНО-САХАЛИНСКА"</v>
      </c>
      <c r="B11500" s="24" t="s">
        <v>13755</v>
      </c>
      <c r="C11500" s="25">
        <v>33000</v>
      </c>
      <c r="D11500" s="22" t="s">
        <v>13756</v>
      </c>
      <c r="E11500" s="22" t="s">
        <v>103</v>
      </c>
      <c r="F11500" s="23" t="str">
        <f>HYPERLINK("https://www.spark-marketing.ru/Card/Lot/69006739", "Оказание услуг по техническому обслуживанию системы видеонаблюдения.")</f>
        <v>Оказание услуг по техническому обслуживанию системы видеонаблюдения.</v>
      </c>
      <c r="G11500" s="22" t="s">
        <v>69</v>
      </c>
      <c r="H11500" s="22" t="s">
        <v>973</v>
      </c>
      <c r="I11500" s="26">
        <v>43550.520138888904</v>
      </c>
      <c r="J11500" s="23" t="str">
        <f>HYPERLINK("https://www.spark-marketing.ru/Card/Person/56174", "ООО ЧОП ""ФИНЭКО-РОСА-1""")</f>
        <v>ООО ЧОП "ФИНЭКО-РОСА-1"</v>
      </c>
      <c r="K11500" s="24" t="s">
        <v>13411</v>
      </c>
      <c r="L11500" s="28" t="s">
        <v>52</v>
      </c>
      <c r="M11500" s="25">
        <v>31350</v>
      </c>
      <c r="N11500" s="27">
        <v>0.05</v>
      </c>
    </row>
    <row r="11501" spans="1:14" hidden="1" outlineLevel="1" x14ac:dyDescent="0.2">
      <c r="A11501" s="23" t="str">
        <f>HYPERLINK("https://www.spark-marketing.ru/Card/Person/1007139", "МКУ""УПРАВЛЕНИЕ ДЕЛАМИ ГОРОДСКОЙ ДУМЫ ГОРОДА ЮЖНО-САХАЛИНСКА""")</f>
        <v>МКУ"УПРАВЛЕНИЕ ДЕЛАМИ ГОРОДСКОЙ ДУМЫ ГОРОДА ЮЖНО-САХАЛИНСКА"</v>
      </c>
      <c r="B11501" s="24" t="s">
        <v>13755</v>
      </c>
      <c r="C11501" s="25">
        <v>33000</v>
      </c>
      <c r="D11501" s="22" t="s">
        <v>13756</v>
      </c>
      <c r="E11501" s="22" t="s">
        <v>103</v>
      </c>
      <c r="F11501" s="23" t="str">
        <f>HYPERLINK("https://www.spark-marketing.ru/Card/Lot/69006739", "Оказание услуг по техническому обслуживанию системы видеонаблюдения.")</f>
        <v>Оказание услуг по техническому обслуживанию системы видеонаблюдения.</v>
      </c>
      <c r="G11501" s="22" t="s">
        <v>69</v>
      </c>
      <c r="H11501" s="22" t="s">
        <v>973</v>
      </c>
      <c r="I11501" s="26">
        <v>43550.520138888904</v>
      </c>
      <c r="J11501" s="23" t="str">
        <f>HYPERLINK("https://www.spark-marketing.ru/Card/Person/472776", "Цой Родион Евгеньевич")</f>
        <v>Цой Родион Евгеньевич</v>
      </c>
      <c r="K11501" s="24" t="s">
        <v>13757</v>
      </c>
      <c r="L11501" s="28" t="s">
        <v>52</v>
      </c>
      <c r="M11501" s="25">
        <v>31350</v>
      </c>
      <c r="N11501" s="27">
        <v>0.05</v>
      </c>
    </row>
    <row r="11502" spans="1:14" ht="12.75" hidden="1" outlineLevel="1" x14ac:dyDescent="0.2">
      <c r="A11502" s="23" t="str">
        <f>HYPERLINK("https://www.spark-marketing.ru/Card/Person/1007139", "МКУ""УПРАВЛЕНИЕ ДЕЛАМИ ГОРОДСКОЙ ДУМЫ ГОРОДА ЮЖНО-САХАЛИНСКА""")</f>
        <v>МКУ"УПРАВЛЕНИЕ ДЕЛАМИ ГОРОДСКОЙ ДУМЫ ГОРОДА ЮЖНО-САХАЛИНСКА"</v>
      </c>
      <c r="B11502" s="24" t="s">
        <v>13755</v>
      </c>
      <c r="C11502" s="25">
        <v>33000</v>
      </c>
      <c r="D11502" s="22" t="s">
        <v>13756</v>
      </c>
      <c r="E11502" s="22" t="s">
        <v>103</v>
      </c>
      <c r="F11502" s="23" t="str">
        <f>HYPERLINK("https://www.spark-marketing.ru/Card/Lot/69006739", "Оказание услуг по техническому обслуживанию системы видеонаблюдения.")</f>
        <v>Оказание услуг по техническому обслуживанию системы видеонаблюдения.</v>
      </c>
      <c r="G11502" s="22" t="s">
        <v>69</v>
      </c>
      <c r="H11502" s="22" t="s">
        <v>973</v>
      </c>
      <c r="I11502" s="26">
        <v>43550.520138888904</v>
      </c>
      <c r="J11502" s="23" t="str">
        <f>HYPERLINK("https://www.spark-marketing.ru/Card/Person/134905", "ООО ""АРИЭЛЬ""")</f>
        <v>ООО "АРИЭЛЬ"</v>
      </c>
      <c r="K11502" s="24" t="s">
        <v>13758</v>
      </c>
      <c r="L11502" s="22" t="s">
        <v>10</v>
      </c>
      <c r="M11502" s="25">
        <v>31185</v>
      </c>
      <c r="N11502" s="27">
        <v>5.5E-2</v>
      </c>
    </row>
    <row r="11503" spans="1:14" x14ac:dyDescent="0.15">
      <c r="A11503" s="23" t="str">
        <f>HYPERLINK("https://www.spark-marketing.ru/Card/Person/4348435", "ООО ""ТД ПОЛИМЕТАЛЛ""")</f>
        <v>ООО "ТД ПОЛИМЕТАЛЛ"</v>
      </c>
      <c r="B11503" s="24" t="s">
        <v>374</v>
      </c>
      <c r="C11503" s="25">
        <v>0</v>
      </c>
      <c r="D11503" s="22" t="s">
        <v>13759</v>
      </c>
      <c r="E11503" s="22" t="s">
        <v>527</v>
      </c>
      <c r="F11503" s="23" t="str">
        <f>HYPERLINK("https://www.spark-marketing.ru/Card/Lot/69030848", "Знак 2.1.18 Не открывать. Работают люди по ГОСТ Р 12.4.026-2001")</f>
        <v>Знак 2.1.18 Не открывать. Работают люди по ГОСТ Р 12.4.026-2001</v>
      </c>
      <c r="G11503" s="22" t="s">
        <v>89</v>
      </c>
      <c r="H11503" s="22" t="s">
        <v>89</v>
      </c>
      <c r="I11503" s="26">
        <v>43550.538217592599</v>
      </c>
      <c r="J11503" s="28" t="s">
        <v>52</v>
      </c>
      <c r="K11503" s="28" t="s">
        <v>52</v>
      </c>
      <c r="L11503" s="28" t="s">
        <v>52</v>
      </c>
      <c r="M11503" s="28" t="s">
        <v>52</v>
      </c>
      <c r="N11503" s="28" t="s">
        <v>52</v>
      </c>
    </row>
    <row r="11504" spans="1:14" x14ac:dyDescent="0.15">
      <c r="A11504" s="23" t="str">
        <f>HYPERLINK("https://www.spark-marketing.ru/Card/Person/4348435", "ООО ""ТД ПОЛИМЕТАЛЛ""")</f>
        <v>ООО "ТД ПОЛИМЕТАЛЛ"</v>
      </c>
      <c r="B11504" s="24" t="s">
        <v>374</v>
      </c>
      <c r="C11504" s="25">
        <v>0</v>
      </c>
      <c r="D11504" s="22" t="s">
        <v>13759</v>
      </c>
      <c r="E11504" s="22" t="s">
        <v>527</v>
      </c>
      <c r="F11504" s="23" t="str">
        <f>HYPERLINK("https://www.spark-marketing.ru/Card/Lot/69030846", "Знак ""Работать в защитной одежде"" 200х200, металлический со светоотр.покрытием")</f>
        <v>Знак "Работать в защитной одежде" 200х200, металлический со светоотр.покрытием</v>
      </c>
      <c r="G11504" s="22" t="s">
        <v>89</v>
      </c>
      <c r="H11504" s="22" t="s">
        <v>89</v>
      </c>
      <c r="I11504" s="26">
        <v>43550.538217592599</v>
      </c>
      <c r="J11504" s="28" t="s">
        <v>52</v>
      </c>
      <c r="K11504" s="28" t="s">
        <v>52</v>
      </c>
      <c r="L11504" s="28" t="s">
        <v>52</v>
      </c>
      <c r="M11504" s="28" t="s">
        <v>52</v>
      </c>
      <c r="N11504" s="28" t="s">
        <v>52</v>
      </c>
    </row>
    <row r="11505" spans="1:14" x14ac:dyDescent="0.15">
      <c r="A11505" s="23" t="str">
        <f>HYPERLINK("https://www.spark-marketing.ru/Card/Person/811751", "УФССП РОССИИ ПО РЕСПУБЛИКЕ ТЫВА")</f>
        <v>УФССП РОССИИ ПО РЕСПУБЛИКЕ ТЫВА</v>
      </c>
      <c r="B11505" s="24" t="s">
        <v>13760</v>
      </c>
      <c r="C11505" s="25">
        <v>4511.1000000000004</v>
      </c>
      <c r="D11505" s="22" t="s">
        <v>13761</v>
      </c>
      <c r="E11505" s="22" t="s">
        <v>59</v>
      </c>
      <c r="F11505" s="23" t="str">
        <f>HYPERLINK("https://www.spark-marketing.ru/Card/Lot/69013654", "на оказание услуг по техническому обслуживанию кнопки тревожной сигнализации")</f>
        <v>на оказание услуг по техническому обслуживанию кнопки тревожной сигнализации</v>
      </c>
      <c r="G11505" s="22" t="s">
        <v>2193</v>
      </c>
      <c r="H11505" s="22" t="s">
        <v>2194</v>
      </c>
      <c r="I11505" s="26">
        <v>43550.526388888902</v>
      </c>
      <c r="J11505" s="23" t="str">
        <f>HYPERLINK("https://www.spark-marketing.ru/Card/Person/10487", "ФГУП ""ОХРАНА"" РОСГВАРДИИ")</f>
        <v>ФГУП "ОХРАНА" РОСГВАРДИИ</v>
      </c>
      <c r="K11505" s="24" t="s">
        <v>779</v>
      </c>
      <c r="L11505" s="22" t="s">
        <v>10</v>
      </c>
      <c r="M11505" s="28" t="s">
        <v>52</v>
      </c>
      <c r="N11505" s="28" t="s">
        <v>52</v>
      </c>
    </row>
    <row r="11506" spans="1:14" x14ac:dyDescent="0.15">
      <c r="A11506" s="23" t="str">
        <f>HYPERLINK("https://www.spark-marketing.ru/Card/Person/1017175", "МБДОУ ""ДЕТСКИЙ САД №6 ""ЧЕБУРАШКА""")</f>
        <v>МБДОУ "ДЕТСКИЙ САД №6 "ЧЕБУРАШКА"</v>
      </c>
      <c r="B11506" s="24" t="s">
        <v>13762</v>
      </c>
      <c r="C11506" s="25">
        <v>51100</v>
      </c>
      <c r="D11506" s="22" t="s">
        <v>13763</v>
      </c>
      <c r="E11506" s="22" t="s">
        <v>59</v>
      </c>
      <c r="F11506" s="23" t="str">
        <f>HYPERLINK("https://www.spark-marketing.ru/Card/Lot/69021713", "Установка системы видеонаблюдения   МБДОУ «Детский сад № 6 «Чебурашка».")</f>
        <v>Установка системы видеонаблюдения   МБДОУ «Детский сад № 6 «Чебурашка».</v>
      </c>
      <c r="G11506" s="22" t="s">
        <v>384</v>
      </c>
      <c r="H11506" s="22" t="s">
        <v>384</v>
      </c>
      <c r="I11506" s="26">
        <v>43550.535416666702</v>
      </c>
      <c r="J11506" s="23" t="str">
        <f>HYPERLINK("https://www.spark-marketing.ru/Card/Person/418017", "Кожемякин Григорий Валерьевич")</f>
        <v>Кожемякин Григорий Валерьевич</v>
      </c>
      <c r="K11506" s="24" t="s">
        <v>3982</v>
      </c>
      <c r="L11506" s="22" t="s">
        <v>10</v>
      </c>
      <c r="M11506" s="28" t="s">
        <v>52</v>
      </c>
      <c r="N11506" s="28" t="s">
        <v>52</v>
      </c>
    </row>
    <row r="11507" spans="1:14" x14ac:dyDescent="0.15">
      <c r="A11507" s="23" t="str">
        <f t="shared" ref="A11507:A11519" si="586">HYPERLINK("https://www.spark-marketing.ru/Card/Person/4348435", "ООО ""ТД ПОЛИМЕТАЛЛ""")</f>
        <v>ООО "ТД ПОЛИМЕТАЛЛ"</v>
      </c>
      <c r="B11507" s="24" t="s">
        <v>374</v>
      </c>
      <c r="C11507" s="25">
        <v>0</v>
      </c>
      <c r="D11507" s="22" t="s">
        <v>13759</v>
      </c>
      <c r="E11507" s="22" t="s">
        <v>527</v>
      </c>
      <c r="F11507" s="23" t="str">
        <f>HYPERLINK("https://www.spark-marketing.ru/Card/Lot/69030858", "Плакат Запрещается поднимать краном груз, 1 лист 60х80 см")</f>
        <v>Плакат Запрещается поднимать краном груз, 1 лист 60х80 см</v>
      </c>
      <c r="G11507" s="22" t="s">
        <v>89</v>
      </c>
      <c r="H11507" s="22" t="s">
        <v>89</v>
      </c>
      <c r="I11507" s="26">
        <v>43550.538217592599</v>
      </c>
      <c r="J11507" s="28" t="s">
        <v>52</v>
      </c>
      <c r="K11507" s="28" t="s">
        <v>52</v>
      </c>
      <c r="L11507" s="28" t="s">
        <v>52</v>
      </c>
      <c r="M11507" s="28" t="s">
        <v>52</v>
      </c>
      <c r="N11507" s="28" t="s">
        <v>52</v>
      </c>
    </row>
    <row r="11508" spans="1:14" x14ac:dyDescent="0.15">
      <c r="A11508" s="23" t="str">
        <f t="shared" si="586"/>
        <v>ООО "ТД ПОЛИМЕТАЛЛ"</v>
      </c>
      <c r="B11508" s="24" t="s">
        <v>374</v>
      </c>
      <c r="C11508" s="25">
        <v>0</v>
      </c>
      <c r="D11508" s="22" t="s">
        <v>13759</v>
      </c>
      <c r="E11508" s="22" t="s">
        <v>527</v>
      </c>
      <c r="F11508" s="23" t="str">
        <f>HYPERLINK("https://www.spark-marketing.ru/Card/Lot/69030850", "Знак W04 ""Опасно! Едкие и корроз. вещества""")</f>
        <v>Знак W04 "Опасно! Едкие и корроз. вещества"</v>
      </c>
      <c r="G11508" s="22" t="s">
        <v>89</v>
      </c>
      <c r="H11508" s="22" t="s">
        <v>89</v>
      </c>
      <c r="I11508" s="26">
        <v>43550.538217592599</v>
      </c>
      <c r="J11508" s="28" t="s">
        <v>52</v>
      </c>
      <c r="K11508" s="28" t="s">
        <v>52</v>
      </c>
      <c r="L11508" s="28" t="s">
        <v>52</v>
      </c>
      <c r="M11508" s="28" t="s">
        <v>52</v>
      </c>
      <c r="N11508" s="28" t="s">
        <v>52</v>
      </c>
    </row>
    <row r="11509" spans="1:14" x14ac:dyDescent="0.15">
      <c r="A11509" s="23" t="str">
        <f t="shared" si="586"/>
        <v>ООО "ТД ПОЛИМЕТАЛЛ"</v>
      </c>
      <c r="B11509" s="24" t="s">
        <v>374</v>
      </c>
      <c r="C11509" s="25">
        <v>0</v>
      </c>
      <c r="D11509" s="22" t="s">
        <v>13759</v>
      </c>
      <c r="E11509" s="22" t="s">
        <v>527</v>
      </c>
      <c r="F11509" s="23" t="str">
        <f>HYPERLINK("https://www.spark-marketing.ru/Card/Lot/69030857", "Плакат ""Грузозахватные приспособления""")</f>
        <v>Плакат "Грузозахватные приспособления"</v>
      </c>
      <c r="G11509" s="22" t="s">
        <v>89</v>
      </c>
      <c r="H11509" s="22" t="s">
        <v>89</v>
      </c>
      <c r="I11509" s="26">
        <v>43550.538217592599</v>
      </c>
      <c r="J11509" s="28" t="s">
        <v>52</v>
      </c>
      <c r="K11509" s="28" t="s">
        <v>52</v>
      </c>
      <c r="L11509" s="28" t="s">
        <v>52</v>
      </c>
      <c r="M11509" s="28" t="s">
        <v>52</v>
      </c>
      <c r="N11509" s="28" t="s">
        <v>52</v>
      </c>
    </row>
    <row r="11510" spans="1:14" x14ac:dyDescent="0.15">
      <c r="A11510" s="23" t="str">
        <f t="shared" si="586"/>
        <v>ООО "ТД ПОЛИМЕТАЛЛ"</v>
      </c>
      <c r="B11510" s="24" t="s">
        <v>374</v>
      </c>
      <c r="C11510" s="25">
        <v>0</v>
      </c>
      <c r="D11510" s="22" t="s">
        <v>13759</v>
      </c>
      <c r="E11510" s="22" t="s">
        <v>527</v>
      </c>
      <c r="F11510" s="23" t="str">
        <f>HYPERLINK("https://www.spark-marketing.ru/Card/Lot/69030855", "Комплект плакатов ""Техника безопасности грузоподъемных работ"" - 4л.")</f>
        <v>Комплект плакатов "Техника безопасности грузоподъемных работ" - 4л.</v>
      </c>
      <c r="G11510" s="22" t="s">
        <v>89</v>
      </c>
      <c r="H11510" s="22" t="s">
        <v>89</v>
      </c>
      <c r="I11510" s="26">
        <v>43550.538217592599</v>
      </c>
      <c r="J11510" s="28" t="s">
        <v>52</v>
      </c>
      <c r="K11510" s="28" t="s">
        <v>52</v>
      </c>
      <c r="L11510" s="28" t="s">
        <v>52</v>
      </c>
      <c r="M11510" s="28" t="s">
        <v>52</v>
      </c>
      <c r="N11510" s="28" t="s">
        <v>52</v>
      </c>
    </row>
    <row r="11511" spans="1:14" x14ac:dyDescent="0.15">
      <c r="A11511" s="23" t="str">
        <f t="shared" si="586"/>
        <v>ООО "ТД ПОЛИМЕТАЛЛ"</v>
      </c>
      <c r="B11511" s="24" t="s">
        <v>374</v>
      </c>
      <c r="C11511" s="25">
        <v>0</v>
      </c>
      <c r="D11511" s="22" t="s">
        <v>13759</v>
      </c>
      <c r="E11511" s="22" t="s">
        <v>527</v>
      </c>
      <c r="F11511" s="23" t="str">
        <f>HYPERLINK("https://www.spark-marketing.ru/Card/Lot/69030849", "Знак 2.1.20 Не закрывать. Работают люди по ГОСТ Р 12.4.026-2001")</f>
        <v>Знак 2.1.20 Не закрывать. Работают люди по ГОСТ Р 12.4.026-2001</v>
      </c>
      <c r="G11511" s="22" t="s">
        <v>89</v>
      </c>
      <c r="H11511" s="22" t="s">
        <v>89</v>
      </c>
      <c r="I11511" s="26">
        <v>43550.538217592599</v>
      </c>
      <c r="J11511" s="28" t="s">
        <v>52</v>
      </c>
      <c r="K11511" s="28" t="s">
        <v>52</v>
      </c>
      <c r="L11511" s="28" t="s">
        <v>52</v>
      </c>
      <c r="M11511" s="28" t="s">
        <v>52</v>
      </c>
      <c r="N11511" s="28" t="s">
        <v>52</v>
      </c>
    </row>
    <row r="11512" spans="1:14" x14ac:dyDescent="0.15">
      <c r="A11512" s="23" t="str">
        <f t="shared" si="586"/>
        <v>ООО "ТД ПОЛИМЕТАЛЛ"</v>
      </c>
      <c r="B11512" s="24" t="s">
        <v>374</v>
      </c>
      <c r="C11512" s="25">
        <v>0</v>
      </c>
      <c r="D11512" s="22" t="s">
        <v>13759</v>
      </c>
      <c r="E11512" s="22" t="s">
        <v>527</v>
      </c>
      <c r="F11512" s="23" t="str">
        <f>HYPERLINK("https://www.spark-marketing.ru/Card/Lot/69030847", "Знак ""Работать в защитных очках"" 200х200, металлический со светоотр.покрытием")</f>
        <v>Знак "Работать в защитных очках" 200х200, металлический со светоотр.покрытием</v>
      </c>
      <c r="G11512" s="22" t="s">
        <v>89</v>
      </c>
      <c r="H11512" s="22" t="s">
        <v>89</v>
      </c>
      <c r="I11512" s="26">
        <v>43550.538217592599</v>
      </c>
      <c r="J11512" s="28" t="s">
        <v>52</v>
      </c>
      <c r="K11512" s="28" t="s">
        <v>52</v>
      </c>
      <c r="L11512" s="28" t="s">
        <v>52</v>
      </c>
      <c r="M11512" s="28" t="s">
        <v>52</v>
      </c>
      <c r="N11512" s="28" t="s">
        <v>52</v>
      </c>
    </row>
    <row r="11513" spans="1:14" x14ac:dyDescent="0.15">
      <c r="A11513" s="23" t="str">
        <f t="shared" si="586"/>
        <v>ООО "ТД ПОЛИМЕТАЛЛ"</v>
      </c>
      <c r="B11513" s="24" t="s">
        <v>374</v>
      </c>
      <c r="C11513" s="25">
        <v>0</v>
      </c>
      <c r="D11513" s="22" t="s">
        <v>13759</v>
      </c>
      <c r="E11513" s="22" t="s">
        <v>527</v>
      </c>
      <c r="F11513" s="23" t="str">
        <f>HYPERLINK("https://www.spark-marketing.ru/Card/Lot/69030852", "Знак Е 03 ""Направление к эвакуационному выходу направо"" фотолюминесцентный на самоклеющейся пленке")</f>
        <v>Знак Е 03 "Направление к эвакуационному выходу направо" фотолюминесцентный на самоклеющейся пленке</v>
      </c>
      <c r="G11513" s="22" t="s">
        <v>89</v>
      </c>
      <c r="H11513" s="22" t="s">
        <v>89</v>
      </c>
      <c r="I11513" s="26">
        <v>43550.538217592599</v>
      </c>
      <c r="J11513" s="28" t="s">
        <v>52</v>
      </c>
      <c r="K11513" s="28" t="s">
        <v>52</v>
      </c>
      <c r="L11513" s="28" t="s">
        <v>52</v>
      </c>
      <c r="M11513" s="28" t="s">
        <v>52</v>
      </c>
      <c r="N11513" s="28" t="s">
        <v>52</v>
      </c>
    </row>
    <row r="11514" spans="1:14" x14ac:dyDescent="0.15">
      <c r="A11514" s="23" t="str">
        <f t="shared" si="586"/>
        <v>ООО "ТД ПОЛИМЕТАЛЛ"</v>
      </c>
      <c r="B11514" s="24" t="s">
        <v>374</v>
      </c>
      <c r="C11514" s="25">
        <v>0</v>
      </c>
      <c r="D11514" s="22" t="s">
        <v>13759</v>
      </c>
      <c r="E11514" s="22" t="s">
        <v>527</v>
      </c>
      <c r="F11514" s="23" t="str">
        <f>HYPERLINK("https://www.spark-marketing.ru/Card/Lot/69030860", "Знак приоритета 2.3.3 Примыкание второстепенной дороги слева")</f>
        <v>Знак приоритета 2.3.3 Примыкание второстепенной дороги слева</v>
      </c>
      <c r="G11514" s="22" t="s">
        <v>89</v>
      </c>
      <c r="H11514" s="22" t="s">
        <v>89</v>
      </c>
      <c r="I11514" s="26">
        <v>43550.538217592599</v>
      </c>
      <c r="J11514" s="28" t="s">
        <v>52</v>
      </c>
      <c r="K11514" s="28" t="s">
        <v>52</v>
      </c>
      <c r="L11514" s="28" t="s">
        <v>52</v>
      </c>
      <c r="M11514" s="28" t="s">
        <v>52</v>
      </c>
      <c r="N11514" s="28" t="s">
        <v>52</v>
      </c>
    </row>
    <row r="11515" spans="1:14" x14ac:dyDescent="0.15">
      <c r="A11515" s="23" t="str">
        <f t="shared" si="586"/>
        <v>ООО "ТД ПОЛИМЕТАЛЛ"</v>
      </c>
      <c r="B11515" s="24" t="s">
        <v>374</v>
      </c>
      <c r="C11515" s="25">
        <v>0</v>
      </c>
      <c r="D11515" s="22" t="s">
        <v>13759</v>
      </c>
      <c r="E11515" s="22" t="s">
        <v>527</v>
      </c>
      <c r="F11515" s="23" t="str">
        <f>HYPERLINK("https://www.spark-marketing.ru/Card/Lot/69030853", "Знак Е 04 ""Направление к эвакуационному выходу налево"" фотолюминесцентный на самоклеющейся пленке")</f>
        <v>Знак Е 04 "Направление к эвакуационному выходу налево" фотолюминесцентный на самоклеющейся пленке</v>
      </c>
      <c r="G11515" s="22" t="s">
        <v>89</v>
      </c>
      <c r="H11515" s="22" t="s">
        <v>89</v>
      </c>
      <c r="I11515" s="26">
        <v>43550.538217592599</v>
      </c>
      <c r="J11515" s="28" t="s">
        <v>52</v>
      </c>
      <c r="K11515" s="28" t="s">
        <v>52</v>
      </c>
      <c r="L11515" s="28" t="s">
        <v>52</v>
      </c>
      <c r="M11515" s="28" t="s">
        <v>52</v>
      </c>
      <c r="N11515" s="28" t="s">
        <v>52</v>
      </c>
    </row>
    <row r="11516" spans="1:14" x14ac:dyDescent="0.15">
      <c r="A11516" s="23" t="str">
        <f t="shared" si="586"/>
        <v>ООО "ТД ПОЛИМЕТАЛЛ"</v>
      </c>
      <c r="B11516" s="24" t="s">
        <v>374</v>
      </c>
      <c r="C11516" s="25">
        <v>0</v>
      </c>
      <c r="D11516" s="22" t="s">
        <v>13759</v>
      </c>
      <c r="E11516" s="22" t="s">
        <v>527</v>
      </c>
      <c r="F11516" s="23" t="str">
        <f>HYPERLINK("https://www.spark-marketing.ru/Card/Lot/69030854", "Знак запрещающий ""Доступ посторонним запрещен"" (ГОСТ 12.4.026-2015, код знака P06, пластик, диаметр 200 мм.)")</f>
        <v>Знак запрещающий "Доступ посторонним запрещен" (ГОСТ 12.4.026-2015, код знака P06, пластик, диаметр 200 мм.)</v>
      </c>
      <c r="G11516" s="22" t="s">
        <v>89</v>
      </c>
      <c r="H11516" s="22" t="s">
        <v>89</v>
      </c>
      <c r="I11516" s="26">
        <v>43550.538217592599</v>
      </c>
      <c r="J11516" s="28" t="s">
        <v>52</v>
      </c>
      <c r="K11516" s="28" t="s">
        <v>52</v>
      </c>
      <c r="L11516" s="28" t="s">
        <v>52</v>
      </c>
      <c r="M11516" s="28" t="s">
        <v>52</v>
      </c>
      <c r="N11516" s="28" t="s">
        <v>52</v>
      </c>
    </row>
    <row r="11517" spans="1:14" x14ac:dyDescent="0.15">
      <c r="A11517" s="23" t="str">
        <f t="shared" si="586"/>
        <v>ООО "ТД ПОЛИМЕТАЛЛ"</v>
      </c>
      <c r="B11517" s="24" t="s">
        <v>374</v>
      </c>
      <c r="C11517" s="25">
        <v>0</v>
      </c>
      <c r="D11517" s="22" t="s">
        <v>13759</v>
      </c>
      <c r="E11517" s="22" t="s">
        <v>527</v>
      </c>
      <c r="F11517" s="23" t="str">
        <f>HYPERLINK("https://www.spark-marketing.ru/Card/Lot/69030845", "Знак ""Работать в защитной обуви"" 200х200, металлический со светоотр.покрытием")</f>
        <v>Знак "Работать в защитной обуви" 200х200, металлический со светоотр.покрытием</v>
      </c>
      <c r="G11517" s="22" t="s">
        <v>89</v>
      </c>
      <c r="H11517" s="22" t="s">
        <v>89</v>
      </c>
      <c r="I11517" s="26">
        <v>43550.538217592599</v>
      </c>
      <c r="J11517" s="28" t="s">
        <v>52</v>
      </c>
      <c r="K11517" s="28" t="s">
        <v>52</v>
      </c>
      <c r="L11517" s="28" t="s">
        <v>52</v>
      </c>
      <c r="M11517" s="28" t="s">
        <v>52</v>
      </c>
      <c r="N11517" s="28" t="s">
        <v>52</v>
      </c>
    </row>
    <row r="11518" spans="1:14" x14ac:dyDescent="0.15">
      <c r="A11518" s="23" t="str">
        <f t="shared" si="586"/>
        <v>ООО "ТД ПОЛИМЕТАЛЛ"</v>
      </c>
      <c r="B11518" s="24" t="s">
        <v>374</v>
      </c>
      <c r="C11518" s="25">
        <v>0</v>
      </c>
      <c r="D11518" s="22" t="s">
        <v>13759</v>
      </c>
      <c r="E11518" s="22" t="s">
        <v>527</v>
      </c>
      <c r="F11518" s="23" t="str">
        <f>HYPERLINK("https://www.spark-marketing.ru/Card/Lot/69030851", "Знак W14 ""Осторожно. Малозаметное препятствие"" на металлической основе с нанесением краски, для наружного применения")</f>
        <v>Знак W14 "Осторожно. Малозаметное препятствие" на металлической основе с нанесением краски, для наружного применения</v>
      </c>
      <c r="G11518" s="22" t="s">
        <v>89</v>
      </c>
      <c r="H11518" s="22" t="s">
        <v>89</v>
      </c>
      <c r="I11518" s="26">
        <v>43550.538217592599</v>
      </c>
      <c r="J11518" s="28" t="s">
        <v>52</v>
      </c>
      <c r="K11518" s="28" t="s">
        <v>52</v>
      </c>
      <c r="L11518" s="28" t="s">
        <v>52</v>
      </c>
      <c r="M11518" s="28" t="s">
        <v>52</v>
      </c>
      <c r="N11518" s="28" t="s">
        <v>52</v>
      </c>
    </row>
    <row r="11519" spans="1:14" x14ac:dyDescent="0.15">
      <c r="A11519" s="23" t="str">
        <f t="shared" si="586"/>
        <v>ООО "ТД ПОЛИМЕТАЛЛ"</v>
      </c>
      <c r="B11519" s="24" t="s">
        <v>374</v>
      </c>
      <c r="C11519" s="25">
        <v>0</v>
      </c>
      <c r="D11519" s="22" t="s">
        <v>13759</v>
      </c>
      <c r="E11519" s="22" t="s">
        <v>527</v>
      </c>
      <c r="F11519" s="23" t="str">
        <f>HYPERLINK("https://www.spark-marketing.ru/Card/Lot/69030859", "Плакат Знаковая сигнализация при грузоподъемных работах, 1 лист 60х80 см")</f>
        <v>Плакат Знаковая сигнализация при грузоподъемных работах, 1 лист 60х80 см</v>
      </c>
      <c r="G11519" s="22" t="s">
        <v>89</v>
      </c>
      <c r="H11519" s="22" t="s">
        <v>89</v>
      </c>
      <c r="I11519" s="26">
        <v>43550.538217592599</v>
      </c>
      <c r="J11519" s="28" t="s">
        <v>52</v>
      </c>
      <c r="K11519" s="28" t="s">
        <v>52</v>
      </c>
      <c r="L11519" s="28" t="s">
        <v>52</v>
      </c>
      <c r="M11519" s="28" t="s">
        <v>52</v>
      </c>
      <c r="N11519" s="28" t="s">
        <v>52</v>
      </c>
    </row>
    <row r="11520" spans="1:14" x14ac:dyDescent="0.15">
      <c r="A11520" s="23" t="str">
        <f t="shared" ref="A11520:A11525" si="587">HYPERLINK("https://www.spark-marketing.ru/Card/Person/123868", "ГКУЗ СК ""КРАЕВОЙ СПЕЦИАЛИЗИРОВАННЫЙ ДОМ РЕБЕНКА ""МАШУК""")</f>
        <v>ГКУЗ СК "КРАЕВОЙ СПЕЦИАЛИЗИРОВАННЫЙ ДОМ РЕБЕНКА "МАШУК"</v>
      </c>
      <c r="B11520" s="24" t="s">
        <v>13764</v>
      </c>
      <c r="C11520" s="25">
        <v>1155060</v>
      </c>
      <c r="D11520" s="22" t="s">
        <v>13765</v>
      </c>
      <c r="E11520" s="22" t="s">
        <v>52</v>
      </c>
      <c r="F11520" s="23" t="str">
        <f t="shared" ref="F11520:F11525" si="588">HYPERLINK("https://www.spark-marketing.ru/Card/Lot/69024731", "Оказание услуг по охране объекта и обеспечении общественного порядка для обеспечения государственных нужд Ставропольского края")</f>
        <v>Оказание услуг по охране объекта и обеспечении общественного порядка для обеспечения государственных нужд Ставропольского края</v>
      </c>
      <c r="G11520" s="22" t="s">
        <v>258</v>
      </c>
      <c r="H11520" s="22" t="s">
        <v>3309</v>
      </c>
      <c r="I11520" s="26">
        <v>43550.462500000001</v>
      </c>
      <c r="J11520" s="28" t="s">
        <v>52</v>
      </c>
      <c r="K11520" s="28" t="s">
        <v>52</v>
      </c>
      <c r="L11520" s="28" t="s">
        <v>52</v>
      </c>
      <c r="M11520" s="28" t="s">
        <v>52</v>
      </c>
      <c r="N11520" s="28" t="s">
        <v>52</v>
      </c>
    </row>
    <row r="11521" spans="1:14" hidden="1" outlineLevel="1" x14ac:dyDescent="0.2">
      <c r="A11521" s="23" t="str">
        <f t="shared" si="587"/>
        <v>ГКУЗ СК "КРАЕВОЙ СПЕЦИАЛИЗИРОВАННЫЙ ДОМ РЕБЕНКА "МАШУК"</v>
      </c>
      <c r="B11521" s="24" t="s">
        <v>13764</v>
      </c>
      <c r="C11521" s="25">
        <v>1155060</v>
      </c>
      <c r="D11521" s="22" t="s">
        <v>13765</v>
      </c>
      <c r="E11521" s="22" t="s">
        <v>52</v>
      </c>
      <c r="F11521" s="23" t="str">
        <f t="shared" si="588"/>
        <v>Оказание услуг по охране объекта и обеспечении общественного порядка для обеспечения государственных нужд Ставропольского края</v>
      </c>
      <c r="G11521" s="22" t="s">
        <v>258</v>
      </c>
      <c r="H11521" s="22" t="s">
        <v>3309</v>
      </c>
      <c r="I11521" s="26">
        <v>43550.462500000001</v>
      </c>
      <c r="J11521" s="23" t="str">
        <f>HYPERLINK("https://www.spark-marketing.ru/Card/Person/2234356", "ООО ЧОП ""СКАЛА""")</f>
        <v>ООО ЧОП "СКАЛА"</v>
      </c>
      <c r="K11521" s="24" t="s">
        <v>11820</v>
      </c>
      <c r="L11521" s="28" t="s">
        <v>52</v>
      </c>
      <c r="M11521" s="25">
        <v>1022228.1</v>
      </c>
      <c r="N11521" s="27">
        <v>0.115</v>
      </c>
    </row>
    <row r="11522" spans="1:14" ht="12.75" hidden="1" outlineLevel="1" x14ac:dyDescent="0.2">
      <c r="A11522" s="23" t="str">
        <f t="shared" si="587"/>
        <v>ГКУЗ СК "КРАЕВОЙ СПЕЦИАЛИЗИРОВАННЫЙ ДОМ РЕБЕНКА "МАШУК"</v>
      </c>
      <c r="B11522" s="24" t="s">
        <v>13764</v>
      </c>
      <c r="C11522" s="25">
        <v>1155060</v>
      </c>
      <c r="D11522" s="22" t="s">
        <v>13765</v>
      </c>
      <c r="E11522" s="22" t="s">
        <v>52</v>
      </c>
      <c r="F11522" s="23" t="str">
        <f t="shared" si="588"/>
        <v>Оказание услуг по охране объекта и обеспечении общественного порядка для обеспечения государственных нужд Ставропольского края</v>
      </c>
      <c r="G11522" s="22" t="s">
        <v>258</v>
      </c>
      <c r="H11522" s="22" t="s">
        <v>3309</v>
      </c>
      <c r="I11522" s="26">
        <v>43550.462500000001</v>
      </c>
      <c r="J11522" s="23" t="str">
        <f>HYPERLINK("https://www.spark-marketing.ru/Card/Person/113424", "ООО ""ОП ""ПРОМЕТЕЙ""")</f>
        <v>ООО "ОП "ПРОМЕТЕЙ"</v>
      </c>
      <c r="K11522" s="24" t="s">
        <v>11821</v>
      </c>
      <c r="L11522" s="22" t="s">
        <v>10</v>
      </c>
      <c r="M11522" s="25">
        <v>687807.54</v>
      </c>
      <c r="N11522" s="27">
        <v>0.40452657004830916</v>
      </c>
    </row>
    <row r="11523" spans="1:14" hidden="1" outlineLevel="1" x14ac:dyDescent="0.2">
      <c r="A11523" s="23" t="str">
        <f t="shared" si="587"/>
        <v>ГКУЗ СК "КРАЕВОЙ СПЕЦИАЛИЗИРОВАННЫЙ ДОМ РЕБЕНКА "МАШУК"</v>
      </c>
      <c r="B11523" s="24" t="s">
        <v>13764</v>
      </c>
      <c r="C11523" s="25">
        <v>1155060</v>
      </c>
      <c r="D11523" s="22" t="s">
        <v>13765</v>
      </c>
      <c r="E11523" s="22" t="s">
        <v>52</v>
      </c>
      <c r="F11523" s="23" t="str">
        <f t="shared" si="588"/>
        <v>Оказание услуг по охране объекта и обеспечении общественного порядка для обеспечения государственных нужд Ставропольского края</v>
      </c>
      <c r="G11523" s="22" t="s">
        <v>258</v>
      </c>
      <c r="H11523" s="22" t="s">
        <v>3309</v>
      </c>
      <c r="I11523" s="26">
        <v>43550.462500000001</v>
      </c>
      <c r="J11523" s="23" t="str">
        <f>HYPERLINK("https://www.spark-marketing.ru/Card/Person/2205707", "ООО ""ЧОО ""ФОРТ""")</f>
        <v>ООО "ЧОО "ФОРТ"</v>
      </c>
      <c r="K11523" s="24" t="s">
        <v>13766</v>
      </c>
      <c r="L11523" s="28" t="s">
        <v>52</v>
      </c>
      <c r="M11523" s="25">
        <v>814864.14</v>
      </c>
      <c r="N11523" s="27">
        <v>0.29452657004830918</v>
      </c>
    </row>
    <row r="11524" spans="1:14" hidden="1" outlineLevel="1" x14ac:dyDescent="0.2">
      <c r="A11524" s="23" t="str">
        <f t="shared" si="587"/>
        <v>ГКУЗ СК "КРАЕВОЙ СПЕЦИАЛИЗИРОВАННЫЙ ДОМ РЕБЕНКА "МАШУК"</v>
      </c>
      <c r="B11524" s="24" t="s">
        <v>13764</v>
      </c>
      <c r="C11524" s="25">
        <v>1155060</v>
      </c>
      <c r="D11524" s="22" t="s">
        <v>13765</v>
      </c>
      <c r="E11524" s="22" t="s">
        <v>52</v>
      </c>
      <c r="F11524" s="23" t="str">
        <f t="shared" si="588"/>
        <v>Оказание услуг по охране объекта и обеспечении общественного порядка для обеспечения государственных нужд Ставропольского края</v>
      </c>
      <c r="G11524" s="22" t="s">
        <v>258</v>
      </c>
      <c r="H11524" s="22" t="s">
        <v>3309</v>
      </c>
      <c r="I11524" s="26">
        <v>43550.462500000001</v>
      </c>
      <c r="J11524" s="23" t="str">
        <f>HYPERLINK("https://www.spark-marketing.ru/Card/Person/87823", "ООО ""ОП ""ТЕМП""")</f>
        <v>ООО "ОП "ТЕМП"</v>
      </c>
      <c r="K11524" s="24" t="s">
        <v>13767</v>
      </c>
      <c r="L11524" s="28" t="s">
        <v>52</v>
      </c>
      <c r="M11524" s="25">
        <v>981801</v>
      </c>
      <c r="N11524" s="27">
        <v>0.15</v>
      </c>
    </row>
    <row r="11525" spans="1:14" hidden="1" outlineLevel="1" x14ac:dyDescent="0.2">
      <c r="A11525" s="23" t="str">
        <f t="shared" si="587"/>
        <v>ГКУЗ СК "КРАЕВОЙ СПЕЦИАЛИЗИРОВАННЫЙ ДОМ РЕБЕНКА "МАШУК"</v>
      </c>
      <c r="B11525" s="24" t="s">
        <v>13764</v>
      </c>
      <c r="C11525" s="25">
        <v>1155060</v>
      </c>
      <c r="D11525" s="22" t="s">
        <v>13765</v>
      </c>
      <c r="E11525" s="22" t="s">
        <v>52</v>
      </c>
      <c r="F11525" s="23" t="str">
        <f t="shared" si="588"/>
        <v>Оказание услуг по охране объекта и обеспечении общественного порядка для обеспечения государственных нужд Ставропольского края</v>
      </c>
      <c r="G11525" s="22" t="s">
        <v>258</v>
      </c>
      <c r="H11525" s="22" t="s">
        <v>3309</v>
      </c>
      <c r="I11525" s="26">
        <v>43550.462500000001</v>
      </c>
      <c r="J11525" s="23" t="str">
        <f>HYPERLINK("https://www.spark-marketing.ru/Card/Person/114518", "ООО ""ЧОО ""ТИТАН""")</f>
        <v>ООО "ЧОО "ТИТАН"</v>
      </c>
      <c r="K11525" s="24" t="s">
        <v>13768</v>
      </c>
      <c r="L11525" s="28" t="s">
        <v>52</v>
      </c>
      <c r="M11525" s="25">
        <v>693582.84</v>
      </c>
      <c r="N11525" s="27">
        <v>0.39952657004830916</v>
      </c>
    </row>
    <row r="11526" spans="1:14" x14ac:dyDescent="0.15">
      <c r="A11526" s="23" t="str">
        <f>HYPERLINK("https://www.spark-marketing.ru/Card/Person/32969", "МБУС ""УРОЖАЙ""")</f>
        <v>МБУС "УРОЖАЙ"</v>
      </c>
      <c r="B11526" s="24" t="s">
        <v>13769</v>
      </c>
      <c r="C11526" s="25">
        <v>36000</v>
      </c>
      <c r="D11526" s="22" t="s">
        <v>13770</v>
      </c>
      <c r="E11526" s="22" t="s">
        <v>107</v>
      </c>
      <c r="F11526" s="23" t="str">
        <f>HYPERLINK("https://www.spark-marketing.ru/Card/Lot/69020547", "Техническое обслуживание системы видеонаблюдения")</f>
        <v>Техническое обслуживание системы видеонаблюдения</v>
      </c>
      <c r="G11526" s="22" t="s">
        <v>50</v>
      </c>
      <c r="H11526" s="22" t="s">
        <v>50</v>
      </c>
      <c r="I11526" s="26">
        <v>43550.461469907401</v>
      </c>
      <c r="J11526" s="28" t="s">
        <v>52</v>
      </c>
      <c r="K11526" s="28" t="s">
        <v>52</v>
      </c>
      <c r="L11526" s="28" t="s">
        <v>52</v>
      </c>
      <c r="M11526" s="28" t="s">
        <v>52</v>
      </c>
      <c r="N11526" s="28" t="s">
        <v>52</v>
      </c>
    </row>
    <row r="11527" spans="1:14" x14ac:dyDescent="0.15">
      <c r="A11527" s="23" t="str">
        <f>HYPERLINK("https://www.spark-marketing.ru/Card/Person/15984", "СПБ ГБУЗ ГПБ № 7")</f>
        <v>СПБ ГБУЗ ГПБ № 7</v>
      </c>
      <c r="B11527" s="24" t="s">
        <v>13771</v>
      </c>
      <c r="C11527" s="25">
        <v>1490171.04</v>
      </c>
      <c r="D11527" s="22" t="s">
        <v>13772</v>
      </c>
      <c r="E11527" s="22" t="s">
        <v>59</v>
      </c>
      <c r="F11527" s="23" t="str">
        <f>HYPERLINK("https://www.spark-marketing.ru/Card/Lot/69024644", "Установка видеонаблюдения СПб ГбУЗ ГПБ №7 по адресу СПб, В.О., 15-я линия д. 4-6")</f>
        <v>Установка видеонаблюдения СПб ГбУЗ ГПБ №7 по адресу СПб, В.О., 15-я линия д. 4-6</v>
      </c>
      <c r="G11527" s="22" t="s">
        <v>89</v>
      </c>
      <c r="H11527" s="22" t="s">
        <v>89</v>
      </c>
      <c r="I11527" s="26">
        <v>43550.486111111102</v>
      </c>
      <c r="J11527" s="28" t="s">
        <v>52</v>
      </c>
      <c r="K11527" s="28" t="s">
        <v>52</v>
      </c>
      <c r="L11527" s="28" t="s">
        <v>52</v>
      </c>
      <c r="M11527" s="28" t="s">
        <v>52</v>
      </c>
      <c r="N11527" s="28" t="s">
        <v>52</v>
      </c>
    </row>
    <row r="11528" spans="1:14" hidden="1" outlineLevel="1" x14ac:dyDescent="0.2">
      <c r="A11528" s="23" t="str">
        <f>HYPERLINK("https://www.spark-marketing.ru/Card/Person/15984", "СПБ ГБУЗ ГПБ № 7")</f>
        <v>СПБ ГБУЗ ГПБ № 7</v>
      </c>
      <c r="B11528" s="24" t="s">
        <v>13771</v>
      </c>
      <c r="C11528" s="25">
        <v>1490171.04</v>
      </c>
      <c r="D11528" s="22" t="s">
        <v>13772</v>
      </c>
      <c r="E11528" s="22" t="s">
        <v>59</v>
      </c>
      <c r="F11528" s="23" t="str">
        <f>HYPERLINK("https://www.spark-marketing.ru/Card/Lot/69024644", "Установка видеонаблюдения СПб ГбУЗ ГПБ №7 по адресу СПб, В.О., 15-я линия д. 4-6")</f>
        <v>Установка видеонаблюдения СПб ГбУЗ ГПБ №7 по адресу СПб, В.О., 15-я линия д. 4-6</v>
      </c>
      <c r="G11528" s="22" t="s">
        <v>89</v>
      </c>
      <c r="H11528" s="22" t="s">
        <v>89</v>
      </c>
      <c r="I11528" s="26">
        <v>43550.486111111102</v>
      </c>
      <c r="J11528" s="23" t="str">
        <f>HYPERLINK("https://www.spark-marketing.ru/Card/Person/115979", "ООО ""ТМС-СТРОЙ""")</f>
        <v>ООО "ТМС-СТРОЙ"</v>
      </c>
      <c r="K11528" s="24" t="s">
        <v>13773</v>
      </c>
      <c r="L11528" s="28" t="s">
        <v>52</v>
      </c>
      <c r="M11528" s="25">
        <v>1490171.02</v>
      </c>
      <c r="N11528" s="27">
        <v>1.3421278137306976E-8</v>
      </c>
    </row>
    <row r="11529" spans="1:14" ht="12.75" hidden="1" outlineLevel="1" x14ac:dyDescent="0.2">
      <c r="A11529" s="23" t="str">
        <f>HYPERLINK("https://www.spark-marketing.ru/Card/Person/15984", "СПБ ГБУЗ ГПБ № 7")</f>
        <v>СПБ ГБУЗ ГПБ № 7</v>
      </c>
      <c r="B11529" s="24" t="s">
        <v>13771</v>
      </c>
      <c r="C11529" s="25">
        <v>1490171.04</v>
      </c>
      <c r="D11529" s="22" t="s">
        <v>13772</v>
      </c>
      <c r="E11529" s="22" t="s">
        <v>59</v>
      </c>
      <c r="F11529" s="23" t="str">
        <f>HYPERLINK("https://www.spark-marketing.ru/Card/Lot/69024644", "Установка видеонаблюдения СПб ГбУЗ ГПБ №7 по адресу СПб, В.О., 15-я линия д. 4-6")</f>
        <v>Установка видеонаблюдения СПб ГбУЗ ГПБ №7 по адресу СПб, В.О., 15-я линия д. 4-6</v>
      </c>
      <c r="G11529" s="22" t="s">
        <v>89</v>
      </c>
      <c r="H11529" s="22" t="s">
        <v>89</v>
      </c>
      <c r="I11529" s="26">
        <v>43550.486111111102</v>
      </c>
      <c r="J11529" s="23" t="str">
        <f>HYPERLINK("https://www.spark-marketing.ru/Card/Person/871270", "ООО ""РПС""")</f>
        <v>ООО "РПС"</v>
      </c>
      <c r="K11529" s="24" t="s">
        <v>13774</v>
      </c>
      <c r="L11529" s="22" t="s">
        <v>10</v>
      </c>
      <c r="M11529" s="25">
        <v>1482720.18</v>
      </c>
      <c r="N11529" s="27">
        <v>5.000003221106753E-3</v>
      </c>
    </row>
    <row r="11530" spans="1:14" x14ac:dyDescent="0.15">
      <c r="A11530" s="23" t="str">
        <f>HYPERLINK("https://www.spark-marketing.ru/Card/Person/71079", "ПРИВОЛЖСКНЕДРА")</f>
        <v>ПРИВОЛЖСКНЕДРА</v>
      </c>
      <c r="B11530" s="24" t="s">
        <v>13775</v>
      </c>
      <c r="C11530" s="25">
        <v>20000</v>
      </c>
      <c r="D11530" s="22" t="s">
        <v>13776</v>
      </c>
      <c r="E11530" s="22" t="s">
        <v>107</v>
      </c>
      <c r="F11530" s="23" t="str">
        <f>HYPERLINK("https://www.spark-marketing.ru/Card/Lot/70175499", "Техническое обслуживание средств ОС, ОПС, ТС, видеонаблюдения и СКУД, 1 шт")</f>
        <v>Техническое обслуживание средств ОС, ОПС, ТС, видеонаблюдения и СКУД, 1 шт</v>
      </c>
      <c r="G11530" s="22" t="s">
        <v>64</v>
      </c>
      <c r="H11530" s="22" t="s">
        <v>65</v>
      </c>
      <c r="I11530" s="26">
        <v>43550.472997685203</v>
      </c>
      <c r="J11530" s="28" t="s">
        <v>52</v>
      </c>
      <c r="K11530" s="28" t="s">
        <v>52</v>
      </c>
      <c r="L11530" s="28" t="s">
        <v>52</v>
      </c>
      <c r="M11530" s="28" t="s">
        <v>52</v>
      </c>
      <c r="N11530" s="28" t="s">
        <v>52</v>
      </c>
    </row>
    <row r="11531" spans="1:14" x14ac:dyDescent="0.15">
      <c r="A11531" s="23" t="str">
        <f>HYPERLINK("https://www.spark-marketing.ru/Card/Person/370519", "ФКУ ИК-4 УФСИН РОССИИ ПО КУРГАНСКОЙ ОБЛАСТИ")</f>
        <v>ФКУ ИК-4 УФСИН РОССИИ ПО КУРГАНСКОЙ ОБЛАСТИ</v>
      </c>
      <c r="B11531" s="24" t="s">
        <v>13777</v>
      </c>
      <c r="C11531" s="25">
        <v>15000</v>
      </c>
      <c r="D11531" s="22" t="s">
        <v>13778</v>
      </c>
      <c r="E11531" s="22" t="s">
        <v>8862</v>
      </c>
      <c r="F11531" s="23" t="str">
        <f>HYPERLINK("https://www.spark-marketing.ru/Card/Lot/69015031", "Приобретение кабельной продукции для проведения технического обслуживания инженерно-технических средств охраны и надзора.")</f>
        <v>Приобретение кабельной продукции для проведения технического обслуживания инженерно-технических средств охраны и надзора.</v>
      </c>
      <c r="G11531" s="22" t="s">
        <v>626</v>
      </c>
      <c r="H11531" s="22" t="s">
        <v>1508</v>
      </c>
      <c r="I11531" s="26">
        <v>43550.475694444402</v>
      </c>
      <c r="J11531" s="28" t="s">
        <v>52</v>
      </c>
      <c r="K11531" s="28" t="s">
        <v>52</v>
      </c>
      <c r="L11531" s="28" t="s">
        <v>52</v>
      </c>
      <c r="M11531" s="28" t="s">
        <v>52</v>
      </c>
      <c r="N11531" s="28" t="s">
        <v>52</v>
      </c>
    </row>
    <row r="11532" spans="1:14" ht="12.75" hidden="1" outlineLevel="1" x14ac:dyDescent="0.2">
      <c r="A11532" s="23" t="str">
        <f>HYPERLINK("https://www.spark-marketing.ru/Card/Person/370519", "ФКУ ИК-4 УФСИН РОССИИ ПО КУРГАНСКОЙ ОБЛАСТИ")</f>
        <v>ФКУ ИК-4 УФСИН РОССИИ ПО КУРГАНСКОЙ ОБЛАСТИ</v>
      </c>
      <c r="B11532" s="24" t="s">
        <v>13777</v>
      </c>
      <c r="C11532" s="25">
        <v>15000</v>
      </c>
      <c r="D11532" s="22" t="s">
        <v>13778</v>
      </c>
      <c r="E11532" s="22" t="s">
        <v>8862</v>
      </c>
      <c r="F11532" s="23" t="str">
        <f>HYPERLINK("https://www.spark-marketing.ru/Card/Lot/69015031", "Приобретение кабельной продукции для проведения технического обслуживания инженерно-технических средств охраны и надзора.")</f>
        <v>Приобретение кабельной продукции для проведения технического обслуживания инженерно-технических средств охраны и надзора.</v>
      </c>
      <c r="G11532" s="22" t="s">
        <v>626</v>
      </c>
      <c r="H11532" s="22" t="s">
        <v>1508</v>
      </c>
      <c r="I11532" s="26">
        <v>43550.475694444402</v>
      </c>
      <c r="J11532" s="23" t="str">
        <f>HYPERLINK("https://www.spark-marketing.ru/Card/Person/365769", "ООО ""ЦЕНТР - СБ""")</f>
        <v>ООО "ЦЕНТР - СБ"</v>
      </c>
      <c r="K11532" s="24" t="s">
        <v>13779</v>
      </c>
      <c r="L11532" s="22" t="s">
        <v>10</v>
      </c>
      <c r="M11532" s="25">
        <v>14400</v>
      </c>
      <c r="N11532" s="27">
        <v>0.04</v>
      </c>
    </row>
    <row r="11533" spans="1:14" hidden="1" outlineLevel="1" x14ac:dyDescent="0.2">
      <c r="A11533" s="23" t="str">
        <f>HYPERLINK("https://www.spark-marketing.ru/Card/Person/370519", "ФКУ ИК-4 УФСИН РОССИИ ПО КУРГАНСКОЙ ОБЛАСТИ")</f>
        <v>ФКУ ИК-4 УФСИН РОССИИ ПО КУРГАНСКОЙ ОБЛАСТИ</v>
      </c>
      <c r="B11533" s="24" t="s">
        <v>13777</v>
      </c>
      <c r="C11533" s="25">
        <v>15000</v>
      </c>
      <c r="D11533" s="22" t="s">
        <v>13778</v>
      </c>
      <c r="E11533" s="22" t="s">
        <v>8862</v>
      </c>
      <c r="F11533" s="23" t="str">
        <f>HYPERLINK("https://www.spark-marketing.ru/Card/Lot/69015031", "Приобретение кабельной продукции для проведения технического обслуживания инженерно-технических средств охраны и надзора.")</f>
        <v>Приобретение кабельной продукции для проведения технического обслуживания инженерно-технических средств охраны и надзора.</v>
      </c>
      <c r="G11533" s="22" t="s">
        <v>626</v>
      </c>
      <c r="H11533" s="22" t="s">
        <v>1508</v>
      </c>
      <c r="I11533" s="26">
        <v>43550.475694444402</v>
      </c>
      <c r="J11533" s="23" t="str">
        <f>HYPERLINK("https://www.spark-marketing.ru/Card/Person/5864188", "ООО ""КОНСТРЕЙД""")</f>
        <v>ООО "КОНСТРЕЙД"</v>
      </c>
      <c r="K11533" s="24" t="s">
        <v>13780</v>
      </c>
      <c r="L11533" s="28" t="s">
        <v>52</v>
      </c>
      <c r="M11533" s="25">
        <v>14400</v>
      </c>
      <c r="N11533" s="27">
        <v>0.04</v>
      </c>
    </row>
    <row r="11534" spans="1:14" x14ac:dyDescent="0.15">
      <c r="A11534" s="23" t="str">
        <f>HYPERLINK("https://www.spark-marketing.ru/Card/Person/880875", "МОБУ ГИМНАЗИЯ № 5 ИМ.ГЕРОЯ СОВЕТСКОГО СОЮЗА ТУРЕНКО Е.Г.")</f>
        <v>МОБУ ГИМНАЗИЯ № 5 ИМ.ГЕРОЯ СОВЕТСКОГО СОЮЗА ТУРЕНКО Е.Г.</v>
      </c>
      <c r="B11534" s="24" t="s">
        <v>13781</v>
      </c>
      <c r="C11534" s="25">
        <v>750600</v>
      </c>
      <c r="D11534" s="22" t="s">
        <v>13782</v>
      </c>
      <c r="E11534" s="22" t="s">
        <v>52</v>
      </c>
      <c r="F11534" s="23" t="str">
        <f>HYPERLINK("https://www.spark-marketing.ru/Card/Lot/69021513", "Охрана объектов")</f>
        <v>Охрана объектов</v>
      </c>
      <c r="G11534" s="22" t="s">
        <v>132</v>
      </c>
      <c r="H11534" s="22" t="s">
        <v>132</v>
      </c>
      <c r="I11534" s="26">
        <v>43550.435416666704</v>
      </c>
      <c r="J11534" s="28" t="s">
        <v>52</v>
      </c>
      <c r="K11534" s="28" t="s">
        <v>52</v>
      </c>
      <c r="L11534" s="28" t="s">
        <v>52</v>
      </c>
      <c r="M11534" s="28" t="s">
        <v>52</v>
      </c>
      <c r="N11534" s="28" t="s">
        <v>52</v>
      </c>
    </row>
    <row r="11535" spans="1:14" ht="12.75" hidden="1" outlineLevel="1" x14ac:dyDescent="0.2">
      <c r="A11535" s="23" t="str">
        <f>HYPERLINK("https://www.spark-marketing.ru/Card/Person/880875", "МОБУ ГИМНАЗИЯ № 5 ИМ.ГЕРОЯ СОВЕТСКОГО СОЮЗА ТУРЕНКО Е.Г.")</f>
        <v>МОБУ ГИМНАЗИЯ № 5 ИМ.ГЕРОЯ СОВЕТСКОГО СОЮЗА ТУРЕНКО Е.Г.</v>
      </c>
      <c r="B11535" s="24" t="s">
        <v>13781</v>
      </c>
      <c r="C11535" s="25">
        <v>750600</v>
      </c>
      <c r="D11535" s="22" t="s">
        <v>13782</v>
      </c>
      <c r="E11535" s="22" t="s">
        <v>52</v>
      </c>
      <c r="F11535" s="23" t="str">
        <f>HYPERLINK("https://www.spark-marketing.ru/Card/Lot/69021513", "Охрана объектов")</f>
        <v>Охрана объектов</v>
      </c>
      <c r="G11535" s="22" t="s">
        <v>132</v>
      </c>
      <c r="H11535" s="22" t="s">
        <v>132</v>
      </c>
      <c r="I11535" s="26">
        <v>43550.435416666704</v>
      </c>
      <c r="J11535" s="23" t="str">
        <f>HYPERLINK("https://www.spark-marketing.ru/Card/Person/124509", "ООО ""ЧАСТНАЯ ОХРАННАЯ ОРГАНИЗАЦИЯ ""РУБИКОН""")</f>
        <v>ООО "ЧАСТНАЯ ОХРАННАЯ ОРГАНИЗАЦИЯ "РУБИКОН"</v>
      </c>
      <c r="K11535" s="24" t="s">
        <v>6844</v>
      </c>
      <c r="L11535" s="22" t="s">
        <v>10</v>
      </c>
      <c r="M11535" s="25">
        <v>641763</v>
      </c>
      <c r="N11535" s="27">
        <v>0.14499999999999999</v>
      </c>
    </row>
    <row r="11536" spans="1:14" hidden="1" outlineLevel="1" x14ac:dyDescent="0.2">
      <c r="A11536" s="23" t="str">
        <f>HYPERLINK("https://www.spark-marketing.ru/Card/Person/880875", "МОБУ ГИМНАЗИЯ № 5 ИМ.ГЕРОЯ СОВЕТСКОГО СОЮЗА ТУРЕНКО Е.Г.")</f>
        <v>МОБУ ГИМНАЗИЯ № 5 ИМ.ГЕРОЯ СОВЕТСКОГО СОЮЗА ТУРЕНКО Е.Г.</v>
      </c>
      <c r="B11536" s="24" t="s">
        <v>13781</v>
      </c>
      <c r="C11536" s="25">
        <v>750600</v>
      </c>
      <c r="D11536" s="22" t="s">
        <v>13782</v>
      </c>
      <c r="E11536" s="22" t="s">
        <v>52</v>
      </c>
      <c r="F11536" s="23" t="str">
        <f>HYPERLINK("https://www.spark-marketing.ru/Card/Lot/69021513", "Охрана объектов")</f>
        <v>Охрана объектов</v>
      </c>
      <c r="G11536" s="22" t="s">
        <v>132</v>
      </c>
      <c r="H11536" s="22" t="s">
        <v>132</v>
      </c>
      <c r="I11536" s="26">
        <v>43550.435416666704</v>
      </c>
      <c r="J11536" s="23" t="str">
        <f>HYPERLINK("https://www.spark-marketing.ru/Card/Person/6249280", "ООО ""ЧОО ""ПЕРИМЕТР БЕЗОПАСНОСТИ""")</f>
        <v>ООО "ЧОО "ПЕРИМЕТР БЕЗОПАСНОСТИ"</v>
      </c>
      <c r="K11536" s="24" t="s">
        <v>13783</v>
      </c>
      <c r="L11536" s="28" t="s">
        <v>52</v>
      </c>
      <c r="M11536" s="25">
        <v>645516</v>
      </c>
      <c r="N11536" s="27">
        <v>0.14000000000000001</v>
      </c>
    </row>
    <row r="11537" spans="1:14" x14ac:dyDescent="0.15">
      <c r="A11537" s="23" t="str">
        <f>HYPERLINK("https://www.spark-marketing.ru/Card/Person/3203", "УПРАВЛЕНИЕ РОССЕЛЬХОЗНАДЗОРА ПО РОСТОВСКОЙ, ВОЛГОГРАДСКОЙ И АСТРАХАНСКОЙ ОБЛАСТЯМ И РЕСПУБЛИКЕ КАЛМЫКИЯ")</f>
        <v>УПРАВЛЕНИЕ РОССЕЛЬХОЗНАДЗОРА ПО РОСТОВСКОЙ, ВОЛГОГРАДСКОЙ И АСТРАХАНСКОЙ ОБЛАСТЯМ И РЕСПУБЛИКЕ КАЛМЫКИЯ</v>
      </c>
      <c r="B11537" s="24" t="s">
        <v>400</v>
      </c>
      <c r="C11537" s="25">
        <v>9600</v>
      </c>
      <c r="D11537" s="22" t="s">
        <v>13784</v>
      </c>
      <c r="E11537" s="22" t="s">
        <v>53</v>
      </c>
      <c r="F11537" s="23" t="str">
        <f>HYPERLINK("https://www.spark-marketing.ru/Card/Lot/70790237", "Оказание услуг по техническому обслуживанию средств охраны")</f>
        <v>Оказание услуг по техническому обслуживанию средств охраны</v>
      </c>
      <c r="G11537" s="22" t="s">
        <v>402</v>
      </c>
      <c r="H11537" s="22" t="s">
        <v>403</v>
      </c>
      <c r="I11537" s="26">
        <v>43550.435810185198</v>
      </c>
      <c r="J11537" s="28" t="s">
        <v>52</v>
      </c>
      <c r="K11537" s="28" t="s">
        <v>52</v>
      </c>
      <c r="L11537" s="28" t="s">
        <v>52</v>
      </c>
      <c r="M11537" s="28" t="s">
        <v>52</v>
      </c>
      <c r="N11537" s="28" t="s">
        <v>52</v>
      </c>
    </row>
    <row r="11538" spans="1:14" x14ac:dyDescent="0.15">
      <c r="A11538" s="23" t="str">
        <f>HYPERLINK("https://www.spark-marketing.ru/Card/Person/4360548", "МАУ ЦДО ""ПЕРЕМЕНА""")</f>
        <v>МАУ ЦДО "ПЕРЕМЕНА"</v>
      </c>
      <c r="B11538" s="24" t="s">
        <v>12815</v>
      </c>
      <c r="C11538" s="25">
        <v>600</v>
      </c>
      <c r="D11538" s="22" t="s">
        <v>13785</v>
      </c>
      <c r="E11538" s="22" t="s">
        <v>4747</v>
      </c>
      <c r="F11538" s="23" t="str">
        <f>HYPERLINK("https://www.spark-marketing.ru/Card/Lot/69017827", "Оказание услуг по техническому обслуживанию технических средств охраны в ДОЛ ""Кировец"" в период проведения сбора")</f>
        <v>Оказание услуг по техническому обслуживанию технических средств охраны в ДОЛ "Кировец" в период проведения сбора</v>
      </c>
      <c r="G11538" s="22" t="s">
        <v>552</v>
      </c>
      <c r="H11538" s="22" t="s">
        <v>552</v>
      </c>
      <c r="I11538" s="26">
        <v>43550.423888888901</v>
      </c>
      <c r="J11538" s="28" t="s">
        <v>52</v>
      </c>
      <c r="K11538" s="28" t="s">
        <v>52</v>
      </c>
      <c r="L11538" s="28" t="s">
        <v>52</v>
      </c>
      <c r="M11538" s="28" t="s">
        <v>52</v>
      </c>
      <c r="N11538" s="28" t="s">
        <v>52</v>
      </c>
    </row>
    <row r="11539" spans="1:14" x14ac:dyDescent="0.15">
      <c r="A11539" s="23" t="str">
        <f>HYPERLINK("https://www.spark-marketing.ru/Card/Person/26833", "ГБУ ""ЖИЛИЩНИК АЛТУФЬЕВСКОГО РАЙОНА""")</f>
        <v>ГБУ "ЖИЛИЩНИК АЛТУФЬЕВСКОГО РАЙОНА"</v>
      </c>
      <c r="B11539" s="24" t="s">
        <v>11400</v>
      </c>
      <c r="C11539" s="25">
        <v>252900</v>
      </c>
      <c r="D11539" s="22" t="s">
        <v>13786</v>
      </c>
      <c r="E11539" s="22" t="s">
        <v>107</v>
      </c>
      <c r="F11539" s="23" t="str">
        <f>HYPERLINK("https://www.spark-marketing.ru/Card/Lot/69021081", "Оказание услуг по техническому обслуживанию тревожных кнопок ГБУ ""Жилищник Алтуфьевского района""")</f>
        <v>Оказание услуг по техническому обслуживанию тревожных кнопок ГБУ "Жилищник Алтуфьевского района"</v>
      </c>
      <c r="G11539" s="22" t="s">
        <v>55</v>
      </c>
      <c r="H11539" s="22" t="s">
        <v>55</v>
      </c>
      <c r="I11539" s="26">
        <v>43550.438888888901</v>
      </c>
      <c r="J11539" s="28" t="s">
        <v>52</v>
      </c>
      <c r="K11539" s="28" t="s">
        <v>52</v>
      </c>
      <c r="L11539" s="28" t="s">
        <v>52</v>
      </c>
      <c r="M11539" s="28" t="s">
        <v>52</v>
      </c>
      <c r="N11539" s="28" t="s">
        <v>52</v>
      </c>
    </row>
    <row r="11540" spans="1:14" hidden="1" outlineLevel="1" x14ac:dyDescent="0.15">
      <c r="A11540" s="23" t="str">
        <f>HYPERLINK("https://www.spark-marketing.ru/Card/Person/26833", "ГБУ ""ЖИЛИЩНИК АЛТУФЬЕВСКОГО РАЙОНА""")</f>
        <v>ГБУ "ЖИЛИЩНИК АЛТУФЬЕВСКОГО РАЙОНА"</v>
      </c>
      <c r="B11540" s="24" t="s">
        <v>11400</v>
      </c>
      <c r="C11540" s="25">
        <v>252900</v>
      </c>
      <c r="D11540" s="22" t="s">
        <v>13786</v>
      </c>
      <c r="E11540" s="22" t="s">
        <v>107</v>
      </c>
      <c r="F11540" s="23" t="str">
        <f>HYPERLINK("https://www.spark-marketing.ru/Card/Lot/69021081", "Оказание услуг по техническому обслуживанию тревожных кнопок ГБУ ""Жилищник Алтуфьевского района""")</f>
        <v>Оказание услуг по техническому обслуживанию тревожных кнопок ГБУ "Жилищник Алтуфьевского района"</v>
      </c>
      <c r="G11540" s="22" t="s">
        <v>55</v>
      </c>
      <c r="H11540" s="22" t="s">
        <v>55</v>
      </c>
      <c r="I11540" s="26">
        <v>43550.438888888901</v>
      </c>
      <c r="J11540" s="23" t="str">
        <f>HYPERLINK("https://www.spark-marketing.ru/Card/Person/925596", "ООО ""СПЕЦМОНТАЖ-А""")</f>
        <v>ООО "СПЕЦМОНТАЖ-А"</v>
      </c>
      <c r="K11540" s="24" t="s">
        <v>4217</v>
      </c>
      <c r="L11540" s="28" t="s">
        <v>52</v>
      </c>
      <c r="M11540" s="28" t="s">
        <v>52</v>
      </c>
      <c r="N11540" s="28" t="s">
        <v>52</v>
      </c>
    </row>
    <row r="11541" spans="1:14" ht="12.75" hidden="1" outlineLevel="1" x14ac:dyDescent="0.2">
      <c r="A11541" s="23" t="str">
        <f>HYPERLINK("https://www.spark-marketing.ru/Card/Person/26833", "ГБУ ""ЖИЛИЩНИК АЛТУФЬЕВСКОГО РАЙОНА""")</f>
        <v>ГБУ "ЖИЛИЩНИК АЛТУФЬЕВСКОГО РАЙОНА"</v>
      </c>
      <c r="B11541" s="24" t="s">
        <v>11400</v>
      </c>
      <c r="C11541" s="25">
        <v>252900</v>
      </c>
      <c r="D11541" s="22" t="s">
        <v>13786</v>
      </c>
      <c r="E11541" s="22" t="s">
        <v>107</v>
      </c>
      <c r="F11541" s="23" t="str">
        <f>HYPERLINK("https://www.spark-marketing.ru/Card/Lot/69021081", "Оказание услуг по техническому обслуживанию тревожных кнопок ГБУ ""Жилищник Алтуфьевского района""")</f>
        <v>Оказание услуг по техническому обслуживанию тревожных кнопок ГБУ "Жилищник Алтуфьевского района"</v>
      </c>
      <c r="G11541" s="22" t="s">
        <v>55</v>
      </c>
      <c r="H11541" s="22" t="s">
        <v>55</v>
      </c>
      <c r="I11541" s="26">
        <v>43550.438888888901</v>
      </c>
      <c r="J11541" s="23" t="str">
        <f>HYPERLINK("https://www.spark-marketing.ru/Card/Person/925596", "ООО ""СПЕЦМОНТАЖ-А""")</f>
        <v>ООО "СПЕЦМОНТАЖ-А"</v>
      </c>
      <c r="K11541" s="24" t="s">
        <v>4217</v>
      </c>
      <c r="L11541" s="22" t="s">
        <v>10</v>
      </c>
      <c r="M11541" s="25">
        <v>240000</v>
      </c>
      <c r="N11541" s="27">
        <v>5.1008303677342826E-2</v>
      </c>
    </row>
    <row r="11542" spans="1:14" hidden="1" outlineLevel="1" x14ac:dyDescent="0.2">
      <c r="A11542" s="23" t="str">
        <f>HYPERLINK("https://www.spark-marketing.ru/Card/Person/26833", "ГБУ ""ЖИЛИЩНИК АЛТУФЬЕВСКОГО РАЙОНА""")</f>
        <v>ГБУ "ЖИЛИЩНИК АЛТУФЬЕВСКОГО РАЙОНА"</v>
      </c>
      <c r="B11542" s="24" t="s">
        <v>11400</v>
      </c>
      <c r="C11542" s="25">
        <v>252900</v>
      </c>
      <c r="D11542" s="22" t="s">
        <v>13786</v>
      </c>
      <c r="E11542" s="22" t="s">
        <v>107</v>
      </c>
      <c r="F11542" s="23" t="str">
        <f>HYPERLINK("https://www.spark-marketing.ru/Card/Lot/69021081", "Оказание услуг по техническому обслуживанию тревожных кнопок ГБУ ""Жилищник Алтуфьевского района""")</f>
        <v>Оказание услуг по техническому обслуживанию тревожных кнопок ГБУ "Жилищник Алтуфьевского района"</v>
      </c>
      <c r="G11542" s="22" t="s">
        <v>55</v>
      </c>
      <c r="H11542" s="22" t="s">
        <v>55</v>
      </c>
      <c r="I11542" s="26">
        <v>43550.438888888901</v>
      </c>
      <c r="J11542" s="23" t="str">
        <f>HYPERLINK("https://www.spark-marketing.ru/Card/Person/63144", "ООО""ЧОП""РАДУГА""")</f>
        <v>ООО"ЧОП"РАДУГА"</v>
      </c>
      <c r="K11542" s="24" t="s">
        <v>13376</v>
      </c>
      <c r="L11542" s="28" t="s">
        <v>52</v>
      </c>
      <c r="M11542" s="25">
        <v>252000</v>
      </c>
      <c r="N11542" s="27">
        <v>3.5587188612099642E-3</v>
      </c>
    </row>
    <row r="11543" spans="1:14" x14ac:dyDescent="0.15">
      <c r="A11543" s="23" t="str">
        <f>HYPERLINK("https://www.spark-marketing.ru/Card/Person/4360548", "МАУ ЦДО ""ПЕРЕМЕНА""")</f>
        <v>МАУ ЦДО "ПЕРЕМЕНА"</v>
      </c>
      <c r="B11543" s="24" t="s">
        <v>12815</v>
      </c>
      <c r="C11543" s="25">
        <v>78400</v>
      </c>
      <c r="D11543" s="22" t="s">
        <v>13787</v>
      </c>
      <c r="E11543" s="22" t="s">
        <v>4747</v>
      </c>
      <c r="F11543" s="23" t="str">
        <f>HYPERLINK("https://www.spark-marketing.ru/Card/Lot/69017853", "Оказание услуг по техническому обслуживанию технических средств охраны ДОЛ ""Полет"", ДОЛ ""Алмаз"", ДОЛ ""Голубой экран"", ДОЛ ""Восток-4"", ДОЛ ""Костер"", ДОЛ ""Маяк"", ДОЛ ""Кировец""")</f>
        <v>Оказание услуг по техническому обслуживанию технических средств охраны ДОЛ "Полет", ДОЛ "Алмаз", ДОЛ "Голубой экран", ДОЛ "Восток-4", ДОЛ "Костер", ДОЛ "Маяк", ДОЛ "Кировец"</v>
      </c>
      <c r="G11543" s="22" t="s">
        <v>552</v>
      </c>
      <c r="H11543" s="22" t="s">
        <v>552</v>
      </c>
      <c r="I11543" s="26">
        <v>43550.427719907399</v>
      </c>
      <c r="J11543" s="28" t="s">
        <v>52</v>
      </c>
      <c r="K11543" s="28" t="s">
        <v>52</v>
      </c>
      <c r="L11543" s="28" t="s">
        <v>52</v>
      </c>
      <c r="M11543" s="28" t="s">
        <v>52</v>
      </c>
      <c r="N11543" s="28" t="s">
        <v>52</v>
      </c>
    </row>
    <row r="11544" spans="1:14" x14ac:dyDescent="0.15">
      <c r="A11544" s="23" t="str">
        <f>HYPERLINK("https://www.spark-marketing.ru/Card/Person/6363545", "ООО НИЖНЕКАМСКАЯ ТЭЦ")</f>
        <v>ООО НИЖНЕКАМСКАЯ ТЭЦ</v>
      </c>
      <c r="B11544" s="28" t="s">
        <v>52</v>
      </c>
      <c r="C11544" s="28" t="s">
        <v>52</v>
      </c>
      <c r="D11544" s="22" t="s">
        <v>13788</v>
      </c>
      <c r="E11544" s="22" t="s">
        <v>53</v>
      </c>
      <c r="F11544" s="23" t="str">
        <f>HYPERLINK("https://www.spark-marketing.ru/Card/Lot/72688512", "Запрос предложений в электронной форме по выбору исполнителя на оказание услуг по охране объектов, обеспечению пропускного режима и защите от противоправных посягательств ООО «Нижнекамская ТЭЦ» в 2019-2020гг")</f>
        <v>Запрос предложений в электронной форме по выбору исполнителя на оказание услуг по охране объектов, обеспечению пропускного режима и защите от противоправных посягательств ООО «Нижнекамская ТЭЦ» в 2019-2020гг</v>
      </c>
      <c r="G11544" s="22" t="s">
        <v>52</v>
      </c>
      <c r="H11544" s="22" t="s">
        <v>52</v>
      </c>
      <c r="I11544" s="26">
        <v>43550.416666666701</v>
      </c>
      <c r="J11544" s="28" t="s">
        <v>52</v>
      </c>
      <c r="K11544" s="28" t="s">
        <v>52</v>
      </c>
      <c r="L11544" s="28" t="s">
        <v>52</v>
      </c>
      <c r="M11544" s="28" t="s">
        <v>52</v>
      </c>
      <c r="N11544" s="28" t="s">
        <v>52</v>
      </c>
    </row>
    <row r="11545" spans="1:14" x14ac:dyDescent="0.15">
      <c r="A11545" s="23" t="str">
        <f>HYPERLINK("https://www.spark-marketing.ru/Card/Person/4858917", "МЕЖРЕГИОНАЛЬНЫЙ ФЛ ФКУ ""ЦОКР"" В Г. СТАВРОПОЛЕ")</f>
        <v>МЕЖРЕГИОНАЛЬНЫЙ ФЛ ФКУ "ЦОКР" В Г. СТАВРОПОЛЕ</v>
      </c>
      <c r="B11545" s="24" t="s">
        <v>962</v>
      </c>
      <c r="C11545" s="25">
        <v>29210</v>
      </c>
      <c r="D11545" s="22" t="s">
        <v>13789</v>
      </c>
      <c r="E11545" s="22" t="s">
        <v>84</v>
      </c>
      <c r="F11545" s="23" t="str">
        <f>HYPERLINK("https://www.spark-marketing.ru/Card/Lot/70175310", "Установка камеры видеонаблюдения, 1 шт")</f>
        <v>Установка камеры видеонаблюдения, 1 шт</v>
      </c>
      <c r="G11545" s="22" t="s">
        <v>55</v>
      </c>
      <c r="H11545" s="22" t="s">
        <v>55</v>
      </c>
      <c r="I11545" s="26">
        <v>43550.448275463001</v>
      </c>
      <c r="J11545" s="28" t="s">
        <v>52</v>
      </c>
      <c r="K11545" s="28" t="s">
        <v>52</v>
      </c>
      <c r="L11545" s="28" t="s">
        <v>52</v>
      </c>
      <c r="M11545" s="28" t="s">
        <v>52</v>
      </c>
      <c r="N11545" s="28" t="s">
        <v>52</v>
      </c>
    </row>
    <row r="11546" spans="1:14" x14ac:dyDescent="0.15">
      <c r="A11546" s="23" t="str">
        <f>HYPERLINK("https://www.spark-marketing.ru/Card/Person/62702", "ГБУЗ ""ТОРОПЕЦКАЯ ЦРБ""")</f>
        <v>ГБУЗ "ТОРОПЕЦКАЯ ЦРБ"</v>
      </c>
      <c r="B11546" s="24" t="s">
        <v>13790</v>
      </c>
      <c r="C11546" s="25">
        <v>147200</v>
      </c>
      <c r="D11546" s="22" t="s">
        <v>13791</v>
      </c>
      <c r="E11546" s="22" t="s">
        <v>52</v>
      </c>
      <c r="F11546" s="23" t="str">
        <f>HYPERLINK("https://www.spark-marketing.ru/Card/Lot/69018823", "Оказание услуг по охране объектов")</f>
        <v>Оказание услуг по охране объектов</v>
      </c>
      <c r="G11546" s="22" t="s">
        <v>251</v>
      </c>
      <c r="H11546" s="22" t="s">
        <v>13792</v>
      </c>
      <c r="I11546" s="26">
        <v>43550.422916666699</v>
      </c>
      <c r="J11546" s="23" t="str">
        <f>HYPERLINK("https://www.spark-marketing.ru/Card/Person/90013", "ООО ЧОО ""БЕРКУТ-ГБР""")</f>
        <v>ООО ЧОО "БЕРКУТ-ГБР"</v>
      </c>
      <c r="K11546" s="24" t="s">
        <v>13793</v>
      </c>
      <c r="L11546" s="22" t="s">
        <v>10</v>
      </c>
      <c r="M11546" s="28" t="s">
        <v>52</v>
      </c>
      <c r="N11546" s="28" t="s">
        <v>52</v>
      </c>
    </row>
    <row r="11547" spans="1:14" x14ac:dyDescent="0.15">
      <c r="A11547" s="23" t="str">
        <f>HYPERLINK("https://www.spark-marketing.ru/Card/Person/1277", "СУ СК РОССИИ ПО РЕСПУБЛИКЕ БАШКОРТОСТАН")</f>
        <v>СУ СК РОССИИ ПО РЕСПУБЛИКЕ БАШКОРТОСТАН</v>
      </c>
      <c r="B11547" s="24" t="s">
        <v>6184</v>
      </c>
      <c r="C11547" s="25">
        <v>1282080</v>
      </c>
      <c r="D11547" s="22" t="s">
        <v>13794</v>
      </c>
      <c r="E11547" s="22" t="s">
        <v>68</v>
      </c>
      <c r="F11547" s="23" t="str">
        <f>HYPERLINK("https://www.spark-marketing.ru/Card/Lot/69015950", "Государственная охрана объектов следственного управления Следственного комитета Российской Федерации по Республике Башкортостан")</f>
        <v>Государственная охрана объектов следственного управления Следственного комитета Российской Федерации по Республике Башкортостан</v>
      </c>
      <c r="G11547" s="22" t="s">
        <v>100</v>
      </c>
      <c r="H11547" s="22" t="s">
        <v>100</v>
      </c>
      <c r="I11547" s="26">
        <v>43550.453472222202</v>
      </c>
      <c r="J11547" s="28" t="s">
        <v>52</v>
      </c>
      <c r="K11547" s="28" t="s">
        <v>52</v>
      </c>
      <c r="L11547" s="28" t="s">
        <v>52</v>
      </c>
      <c r="M11547" s="28" t="s">
        <v>52</v>
      </c>
      <c r="N11547" s="28" t="s">
        <v>52</v>
      </c>
    </row>
    <row r="11548" spans="1:14" x14ac:dyDescent="0.15">
      <c r="A11548" s="23" t="str">
        <f>HYPERLINK("https://www.spark-marketing.ru/Card/Person/65064", "ГБУ СО «КЦСОН РК»")</f>
        <v>ГБУ СО «КЦСОН РК»</v>
      </c>
      <c r="B11548" s="24" t="s">
        <v>13795</v>
      </c>
      <c r="C11548" s="25">
        <v>745836</v>
      </c>
      <c r="D11548" s="22" t="s">
        <v>13796</v>
      </c>
      <c r="E11548" s="22" t="s">
        <v>52</v>
      </c>
      <c r="F11548" s="23" t="str">
        <f>HYPERLINK("https://www.spark-marketing.ru/Card/Lot/69019094", "оказание услуг по физической охране отделения социальной адаптации для лиц без определённого места жительства ГБУ РК КЦСОН «Истоки»")</f>
        <v>оказание услуг по физической охране отделения социальной адаптации для лиц без определённого места жительства ГБУ РК КЦСОН «Истоки»</v>
      </c>
      <c r="G11548" s="22" t="s">
        <v>435</v>
      </c>
      <c r="H11548" s="22" t="s">
        <v>436</v>
      </c>
      <c r="I11548" s="26">
        <v>43550.402777777803</v>
      </c>
      <c r="J11548" s="28" t="s">
        <v>52</v>
      </c>
      <c r="K11548" s="28" t="s">
        <v>52</v>
      </c>
      <c r="L11548" s="28" t="s">
        <v>52</v>
      </c>
      <c r="M11548" s="28" t="s">
        <v>52</v>
      </c>
      <c r="N11548" s="28" t="s">
        <v>52</v>
      </c>
    </row>
    <row r="11549" spans="1:14" hidden="1" outlineLevel="1" x14ac:dyDescent="0.2">
      <c r="A11549" s="23" t="str">
        <f>HYPERLINK("https://www.spark-marketing.ru/Card/Person/65064", "ГБУ СО «КЦСОН РК»")</f>
        <v>ГБУ СО «КЦСОН РК»</v>
      </c>
      <c r="B11549" s="24" t="s">
        <v>13795</v>
      </c>
      <c r="C11549" s="25">
        <v>745836</v>
      </c>
      <c r="D11549" s="22" t="s">
        <v>13796</v>
      </c>
      <c r="E11549" s="22" t="s">
        <v>52</v>
      </c>
      <c r="F11549" s="23" t="str">
        <f>HYPERLINK("https://www.spark-marketing.ru/Card/Lot/69019094", "оказание услуг по физической охране отделения социальной адаптации для лиц без определённого места жительства ГБУ РК КЦСОН «Истоки»")</f>
        <v>оказание услуг по физической охране отделения социальной адаптации для лиц без определённого места жительства ГБУ РК КЦСОН «Истоки»</v>
      </c>
      <c r="G11549" s="22" t="s">
        <v>435</v>
      </c>
      <c r="H11549" s="22" t="s">
        <v>436</v>
      </c>
      <c r="I11549" s="26">
        <v>43550.402777777803</v>
      </c>
      <c r="J11549" s="23" t="str">
        <f>HYPERLINK("https://www.spark-marketing.ru/Card/Person/268999", "ООО ОП ""БАСТИОН""")</f>
        <v>ООО ОП "БАСТИОН"</v>
      </c>
      <c r="K11549" s="24" t="s">
        <v>13797</v>
      </c>
      <c r="L11549" s="28" t="s">
        <v>52</v>
      </c>
      <c r="M11549" s="25">
        <v>432033.23</v>
      </c>
      <c r="N11549" s="27">
        <v>0.42073963981357831</v>
      </c>
    </row>
    <row r="11550" spans="1:14" ht="12.75" hidden="1" outlineLevel="1" x14ac:dyDescent="0.2">
      <c r="A11550" s="23" t="str">
        <f>HYPERLINK("https://www.spark-marketing.ru/Card/Person/65064", "ГБУ СО «КЦСОН РК»")</f>
        <v>ГБУ СО «КЦСОН РК»</v>
      </c>
      <c r="B11550" s="24" t="s">
        <v>13795</v>
      </c>
      <c r="C11550" s="25">
        <v>745836</v>
      </c>
      <c r="D11550" s="22" t="s">
        <v>13796</v>
      </c>
      <c r="E11550" s="22" t="s">
        <v>52</v>
      </c>
      <c r="F11550" s="23" t="str">
        <f>HYPERLINK("https://www.spark-marketing.ru/Card/Lot/69019094", "оказание услуг по физической охране отделения социальной адаптации для лиц без определённого места жительства ГБУ РК КЦСОН «Истоки»")</f>
        <v>оказание услуг по физической охране отделения социальной адаптации для лиц без определённого места жительства ГБУ РК КЦСОН «Истоки»</v>
      </c>
      <c r="G11550" s="22" t="s">
        <v>435</v>
      </c>
      <c r="H11550" s="22" t="s">
        <v>436</v>
      </c>
      <c r="I11550" s="26">
        <v>43550.402777777803</v>
      </c>
      <c r="J11550" s="23" t="str">
        <f>HYPERLINK("https://www.spark-marketing.ru/Card/Person/114794", "ООО ОХРАННАЯ ОРГАНИЗАЦИЯ ""РУСЬ""")</f>
        <v>ООО ОХРАННАЯ ОРГАНИЗАЦИЯ "РУСЬ"</v>
      </c>
      <c r="K11550" s="24" t="s">
        <v>13798</v>
      </c>
      <c r="L11550" s="22" t="s">
        <v>10</v>
      </c>
      <c r="M11550" s="25">
        <v>428304.05</v>
      </c>
      <c r="N11550" s="27">
        <v>0.42573963981357832</v>
      </c>
    </row>
    <row r="11551" spans="1:14" hidden="1" outlineLevel="1" x14ac:dyDescent="0.2">
      <c r="A11551" s="23" t="str">
        <f>HYPERLINK("https://www.spark-marketing.ru/Card/Person/65064", "ГБУ СО «КЦСОН РК»")</f>
        <v>ГБУ СО «КЦСОН РК»</v>
      </c>
      <c r="B11551" s="24" t="s">
        <v>13795</v>
      </c>
      <c r="C11551" s="25">
        <v>745836</v>
      </c>
      <c r="D11551" s="22" t="s">
        <v>13796</v>
      </c>
      <c r="E11551" s="22" t="s">
        <v>52</v>
      </c>
      <c r="F11551" s="23" t="str">
        <f>HYPERLINK("https://www.spark-marketing.ru/Card/Lot/69019094", "оказание услуг по физической охране отделения социальной адаптации для лиц без определённого места жительства ГБУ РК КЦСОН «Истоки»")</f>
        <v>оказание услуг по физической охране отделения социальной адаптации для лиц без определённого места жительства ГБУ РК КЦСОН «Истоки»</v>
      </c>
      <c r="G11551" s="22" t="s">
        <v>435</v>
      </c>
      <c r="H11551" s="22" t="s">
        <v>436</v>
      </c>
      <c r="I11551" s="26">
        <v>43550.402777777803</v>
      </c>
      <c r="J11551" s="23" t="str">
        <f>HYPERLINK("https://www.spark-marketing.ru/Card/Person/18164", "ООО ""ОХРАННОЕ ПРЕДПРИЯТИЕ ""МОНОЛИТ""")</f>
        <v>ООО "ОХРАННОЕ ПРЕДПРИЯТИЕ "МОНОЛИТ"</v>
      </c>
      <c r="K11551" s="24" t="s">
        <v>13799</v>
      </c>
      <c r="L11551" s="28" t="s">
        <v>52</v>
      </c>
      <c r="M11551" s="25">
        <v>525262.73</v>
      </c>
      <c r="N11551" s="27">
        <v>0.29573963981357831</v>
      </c>
    </row>
    <row r="11552" spans="1:14" x14ac:dyDescent="0.15">
      <c r="A11552" s="23" t="str">
        <f>HYPERLINK("https://www.spark-marketing.ru/Card/Person/80201", "МБДОУ № 68 ""ЛУКОМОРЬЕ""")</f>
        <v>МБДОУ № 68 "ЛУКОМОРЬЕ"</v>
      </c>
      <c r="B11552" s="24" t="s">
        <v>13800</v>
      </c>
      <c r="C11552" s="25">
        <v>59500</v>
      </c>
      <c r="D11552" s="22" t="s">
        <v>13801</v>
      </c>
      <c r="E11552" s="22" t="s">
        <v>732</v>
      </c>
      <c r="F11552" s="23" t="str">
        <f>HYPERLINK("https://www.spark-marketing.ru/Card/Lot/69014169", "Закупка видеодомофонов Falcon Eye FE-4CHP2 с установкой для нужд МБДОУ №68 ""Лукоморье""")</f>
        <v>Закупка видеодомофонов Falcon Eye FE-4CHP2 с установкой для нужд МБДОУ №68 "Лукоморье"</v>
      </c>
      <c r="G11552" s="22" t="s">
        <v>50</v>
      </c>
      <c r="H11552" s="22" t="s">
        <v>323</v>
      </c>
      <c r="I11552" s="26">
        <v>43550.409675925897</v>
      </c>
      <c r="J11552" s="28" t="s">
        <v>52</v>
      </c>
      <c r="K11552" s="28" t="s">
        <v>52</v>
      </c>
      <c r="L11552" s="28" t="s">
        <v>52</v>
      </c>
      <c r="M11552" s="28" t="s">
        <v>52</v>
      </c>
      <c r="N11552" s="28" t="s">
        <v>52</v>
      </c>
    </row>
    <row r="11553" spans="1:14" x14ac:dyDescent="0.15">
      <c r="A11553" s="23" t="str">
        <f>HYPERLINK("https://www.spark-marketing.ru/Card/Person/4343928", "ФГБОУ ВО КУБАНСКИЙ ГАУ")</f>
        <v>ФГБОУ ВО КУБАНСКИЙ ГАУ</v>
      </c>
      <c r="B11553" s="24" t="s">
        <v>1428</v>
      </c>
      <c r="C11553" s="25">
        <v>469480</v>
      </c>
      <c r="D11553" s="22" t="s">
        <v>13802</v>
      </c>
      <c r="E11553" s="22" t="s">
        <v>144</v>
      </c>
      <c r="F11553" s="23" t="str">
        <f>HYPERLINK("https://www.spark-marketing.ru/Card/Lot/69011033", "Услуги охранные студенческого городка")</f>
        <v>Услуги охранные студенческого городка</v>
      </c>
      <c r="G11553" s="22" t="s">
        <v>132</v>
      </c>
      <c r="H11553" s="22" t="s">
        <v>132</v>
      </c>
      <c r="I11553" s="26">
        <v>43550.3355324074</v>
      </c>
      <c r="J11553" s="28" t="s">
        <v>52</v>
      </c>
      <c r="K11553" s="28" t="s">
        <v>52</v>
      </c>
      <c r="L11553" s="28" t="s">
        <v>52</v>
      </c>
      <c r="M11553" s="28" t="s">
        <v>52</v>
      </c>
      <c r="N11553" s="28" t="s">
        <v>52</v>
      </c>
    </row>
    <row r="11554" spans="1:14" x14ac:dyDescent="0.15">
      <c r="A11554" s="23" t="str">
        <f>HYPERLINK("https://www.spark-marketing.ru/Card/Person/10136", "УПРАВЛЕНИЕ ЗАГС КЕМЕРОВСКОЙ ОБЛАСТИ")</f>
        <v>УПРАВЛЕНИЕ ЗАГС КЕМЕРОВСКОЙ ОБЛАСТИ</v>
      </c>
      <c r="B11554" s="24" t="s">
        <v>13803</v>
      </c>
      <c r="C11554" s="25">
        <v>1101756.33</v>
      </c>
      <c r="D11554" s="22" t="s">
        <v>13804</v>
      </c>
      <c r="E11554" s="22" t="s">
        <v>107</v>
      </c>
      <c r="F11554" s="23" t="str">
        <f>HYPERLINK("https://www.spark-marketing.ru/Card/Lot/69006666", "Оказание услуг по техническому обслуживанию комплекса технических средств охраны, установленных в органах ЗАГС Кемеровской области")</f>
        <v>Оказание услуг по техническому обслуживанию комплекса технических средств охраны, установленных в органах ЗАГС Кемеровской области</v>
      </c>
      <c r="G11554" s="22" t="s">
        <v>367</v>
      </c>
      <c r="H11554" s="22" t="s">
        <v>881</v>
      </c>
      <c r="I11554" s="26">
        <v>43550.367361111101</v>
      </c>
      <c r="J11554" s="28" t="s">
        <v>52</v>
      </c>
      <c r="K11554" s="28" t="s">
        <v>52</v>
      </c>
      <c r="L11554" s="28" t="s">
        <v>52</v>
      </c>
      <c r="M11554" s="28" t="s">
        <v>52</v>
      </c>
      <c r="N11554" s="28" t="s">
        <v>52</v>
      </c>
    </row>
    <row r="11555" spans="1:14" ht="12.75" hidden="1" outlineLevel="1" x14ac:dyDescent="0.2">
      <c r="A11555" s="23" t="str">
        <f>HYPERLINK("https://www.spark-marketing.ru/Card/Person/10136", "УПРАВЛЕНИЕ ЗАГС КЕМЕРОВСКОЙ ОБЛАСТИ")</f>
        <v>УПРАВЛЕНИЕ ЗАГС КЕМЕРОВСКОЙ ОБЛАСТИ</v>
      </c>
      <c r="B11555" s="24" t="s">
        <v>13803</v>
      </c>
      <c r="C11555" s="25">
        <v>1101756.33</v>
      </c>
      <c r="D11555" s="22" t="s">
        <v>13804</v>
      </c>
      <c r="E11555" s="22" t="s">
        <v>107</v>
      </c>
      <c r="F11555" s="23" t="str">
        <f>HYPERLINK("https://www.spark-marketing.ru/Card/Lot/69006666", "Оказание услуг по техническому обслуживанию комплекса технических средств охраны, установленных в органах ЗАГС Кемеровской области")</f>
        <v>Оказание услуг по техническому обслуживанию комплекса технических средств охраны, установленных в органах ЗАГС Кемеровской области</v>
      </c>
      <c r="G11555" s="22" t="s">
        <v>367</v>
      </c>
      <c r="H11555" s="22" t="s">
        <v>881</v>
      </c>
      <c r="I11555" s="26">
        <v>43550.367361111101</v>
      </c>
      <c r="J11555" s="23" t="str">
        <f>HYPERLINK("https://www.spark-marketing.ru/Card/Person/59808", "ООО ""ФОРТУНА ПЛЮС""")</f>
        <v>ООО "ФОРТУНА ПЛЮС"</v>
      </c>
      <c r="K11555" s="24" t="s">
        <v>4403</v>
      </c>
      <c r="L11555" s="22" t="s">
        <v>10</v>
      </c>
      <c r="M11555" s="25">
        <v>574491.22</v>
      </c>
      <c r="N11555" s="27">
        <v>0.47856780636785629</v>
      </c>
    </row>
    <row r="11556" spans="1:14" hidden="1" outlineLevel="1" x14ac:dyDescent="0.2">
      <c r="A11556" s="23" t="str">
        <f>HYPERLINK("https://www.spark-marketing.ru/Card/Person/10136", "УПРАВЛЕНИЕ ЗАГС КЕМЕРОВСКОЙ ОБЛАСТИ")</f>
        <v>УПРАВЛЕНИЕ ЗАГС КЕМЕРОВСКОЙ ОБЛАСТИ</v>
      </c>
      <c r="B11556" s="24" t="s">
        <v>13803</v>
      </c>
      <c r="C11556" s="25">
        <v>1101756.33</v>
      </c>
      <c r="D11556" s="22" t="s">
        <v>13804</v>
      </c>
      <c r="E11556" s="22" t="s">
        <v>107</v>
      </c>
      <c r="F11556" s="23" t="str">
        <f>HYPERLINK("https://www.spark-marketing.ru/Card/Lot/69006666", "Оказание услуг по техническому обслуживанию комплекса технических средств охраны, установленных в органах ЗАГС Кемеровской области")</f>
        <v>Оказание услуг по техническому обслуживанию комплекса технических средств охраны, установленных в органах ЗАГС Кемеровской области</v>
      </c>
      <c r="G11556" s="22" t="s">
        <v>367</v>
      </c>
      <c r="H11556" s="22" t="s">
        <v>881</v>
      </c>
      <c r="I11556" s="26">
        <v>43550.367361111101</v>
      </c>
      <c r="J11556" s="23" t="str">
        <f>HYPERLINK("https://www.spark-marketing.ru/Card/Person/625548", "ООО ОП ""ГРАД""")</f>
        <v>ООО ОП "ГРАД"</v>
      </c>
      <c r="K11556" s="24" t="s">
        <v>13805</v>
      </c>
      <c r="L11556" s="28" t="s">
        <v>52</v>
      </c>
      <c r="M11556" s="25">
        <v>580000</v>
      </c>
      <c r="N11556" s="27">
        <v>0.47356780786546515</v>
      </c>
    </row>
    <row r="11557" spans="1:14" x14ac:dyDescent="0.15">
      <c r="A11557" s="23" t="str">
        <f>HYPERLINK("https://www.spark-marketing.ru/Card/Person/21274", "ФГКУ КОМБИНАТ ""ВОЛЬНЫЙ"" РОСРЕЗЕРВА")</f>
        <v>ФГКУ КОМБИНАТ "ВОЛЬНЫЙ" РОСРЕЗЕРВА</v>
      </c>
      <c r="B11557" s="24" t="s">
        <v>12423</v>
      </c>
      <c r="C11557" s="25">
        <v>13517.08</v>
      </c>
      <c r="D11557" s="22" t="s">
        <v>13806</v>
      </c>
      <c r="E11557" s="22" t="s">
        <v>53</v>
      </c>
      <c r="F11557" s="23" t="str">
        <f>HYPERLINK("https://www.spark-marketing.ru/Card/Lot/70791281", "Охранные услуги")</f>
        <v>Охранные услуги</v>
      </c>
      <c r="G11557" s="22" t="s">
        <v>384</v>
      </c>
      <c r="H11557" s="22" t="s">
        <v>696</v>
      </c>
      <c r="I11557" s="26">
        <v>43550.371446759302</v>
      </c>
      <c r="J11557" s="28" t="s">
        <v>52</v>
      </c>
      <c r="K11557" s="28" t="s">
        <v>52</v>
      </c>
      <c r="L11557" s="28" t="s">
        <v>52</v>
      </c>
      <c r="M11557" s="28" t="s">
        <v>52</v>
      </c>
      <c r="N11557" s="28" t="s">
        <v>52</v>
      </c>
    </row>
    <row r="11558" spans="1:14" x14ac:dyDescent="0.15">
      <c r="A11558" s="23" t="str">
        <f t="shared" ref="A11558:A11563" si="589">HYPERLINK("https://www.spark-marketing.ru/Card/Person/119608", "ФКУ СИЗО-1 УФСИН РОССИИ ПО РЕСПУБЛИКЕ БУРЯТИЯ")</f>
        <v>ФКУ СИЗО-1 УФСИН РОССИИ ПО РЕСПУБЛИКЕ БУРЯТИЯ</v>
      </c>
      <c r="B11558" s="24" t="s">
        <v>13807</v>
      </c>
      <c r="C11558" s="25">
        <v>233500</v>
      </c>
      <c r="D11558" s="22" t="s">
        <v>13808</v>
      </c>
      <c r="E11558" s="22" t="s">
        <v>13809</v>
      </c>
      <c r="F11558" s="23" t="str">
        <f t="shared" ref="F11558:F11563" si="590">HYPERLINK("https://www.spark-marketing.ru/Card/Lot/69006361", "Поставка системы видеонаблюдения, кабельной продукции и беспроводной кнопки тревожной сигнализации")</f>
        <v>Поставка системы видеонаблюдения, кабельной продукции и беспроводной кнопки тревожной сигнализации</v>
      </c>
      <c r="G11558" s="22" t="s">
        <v>354</v>
      </c>
      <c r="H11558" s="22" t="s">
        <v>355</v>
      </c>
      <c r="I11558" s="26">
        <v>43550.363888888904</v>
      </c>
      <c r="J11558" s="28" t="s">
        <v>52</v>
      </c>
      <c r="K11558" s="28" t="s">
        <v>52</v>
      </c>
      <c r="L11558" s="28" t="s">
        <v>52</v>
      </c>
      <c r="M11558" s="28" t="s">
        <v>52</v>
      </c>
      <c r="N11558" s="28" t="s">
        <v>52</v>
      </c>
    </row>
    <row r="11559" spans="1:14" ht="12.75" hidden="1" outlineLevel="1" x14ac:dyDescent="0.2">
      <c r="A11559" s="23" t="str">
        <f t="shared" si="589"/>
        <v>ФКУ СИЗО-1 УФСИН РОССИИ ПО РЕСПУБЛИКЕ БУРЯТИЯ</v>
      </c>
      <c r="B11559" s="24" t="s">
        <v>13807</v>
      </c>
      <c r="C11559" s="25">
        <v>233500</v>
      </c>
      <c r="D11559" s="22" t="s">
        <v>13808</v>
      </c>
      <c r="E11559" s="22" t="s">
        <v>13809</v>
      </c>
      <c r="F11559" s="23" t="str">
        <f t="shared" si="590"/>
        <v>Поставка системы видеонаблюдения, кабельной продукции и беспроводной кнопки тревожной сигнализации</v>
      </c>
      <c r="G11559" s="22" t="s">
        <v>354</v>
      </c>
      <c r="H11559" s="22" t="s">
        <v>355</v>
      </c>
      <c r="I11559" s="26">
        <v>43550.363888888904</v>
      </c>
      <c r="J11559" s="23" t="str">
        <f>HYPERLINK("https://www.spark-marketing.ru/Card/Person/6502267", "ООО ""СКАЙ""")</f>
        <v>ООО "СКАЙ"</v>
      </c>
      <c r="K11559" s="24" t="s">
        <v>13810</v>
      </c>
      <c r="L11559" s="22" t="s">
        <v>10</v>
      </c>
      <c r="M11559" s="25">
        <v>165540</v>
      </c>
      <c r="N11559" s="27">
        <v>0.29104925053533193</v>
      </c>
    </row>
    <row r="11560" spans="1:14" hidden="1" outlineLevel="1" x14ac:dyDescent="0.2">
      <c r="A11560" s="23" t="str">
        <f t="shared" si="589"/>
        <v>ФКУ СИЗО-1 УФСИН РОССИИ ПО РЕСПУБЛИКЕ БУРЯТИЯ</v>
      </c>
      <c r="B11560" s="24" t="s">
        <v>13807</v>
      </c>
      <c r="C11560" s="25">
        <v>233500</v>
      </c>
      <c r="D11560" s="22" t="s">
        <v>13808</v>
      </c>
      <c r="E11560" s="22" t="s">
        <v>13809</v>
      </c>
      <c r="F11560" s="23" t="str">
        <f t="shared" si="590"/>
        <v>Поставка системы видеонаблюдения, кабельной продукции и беспроводной кнопки тревожной сигнализации</v>
      </c>
      <c r="G11560" s="22" t="s">
        <v>354</v>
      </c>
      <c r="H11560" s="22" t="s">
        <v>355</v>
      </c>
      <c r="I11560" s="26">
        <v>43550.363888888904</v>
      </c>
      <c r="J11560" s="23" t="str">
        <f>HYPERLINK("https://www.spark-marketing.ru/Card/Person/4022052", "ООО ""ПРОТОНТЕХНОЛОДЖИ""")</f>
        <v>ООО "ПРОТОНТЕХНОЛОДЖИ"</v>
      </c>
      <c r="K11560" s="24" t="s">
        <v>13811</v>
      </c>
      <c r="L11560" s="28" t="s">
        <v>52</v>
      </c>
      <c r="M11560" s="25">
        <v>183183</v>
      </c>
      <c r="N11560" s="27">
        <v>0.21549036402569594</v>
      </c>
    </row>
    <row r="11561" spans="1:14" hidden="1" outlineLevel="1" x14ac:dyDescent="0.2">
      <c r="A11561" s="23" t="str">
        <f t="shared" si="589"/>
        <v>ФКУ СИЗО-1 УФСИН РОССИИ ПО РЕСПУБЛИКЕ БУРЯТИЯ</v>
      </c>
      <c r="B11561" s="24" t="s">
        <v>13807</v>
      </c>
      <c r="C11561" s="25">
        <v>233500</v>
      </c>
      <c r="D11561" s="22" t="s">
        <v>13808</v>
      </c>
      <c r="E11561" s="22" t="s">
        <v>13809</v>
      </c>
      <c r="F11561" s="23" t="str">
        <f t="shared" si="590"/>
        <v>Поставка системы видеонаблюдения, кабельной продукции и беспроводной кнопки тревожной сигнализации</v>
      </c>
      <c r="G11561" s="22" t="s">
        <v>354</v>
      </c>
      <c r="H11561" s="22" t="s">
        <v>355</v>
      </c>
      <c r="I11561" s="26">
        <v>43550.363888888904</v>
      </c>
      <c r="J11561" s="23" t="str">
        <f>HYPERLINK("https://www.spark-marketing.ru/Card/Person/6457149", "ООО ""НИКА-СБ""")</f>
        <v>ООО "НИКА-СБ"</v>
      </c>
      <c r="K11561" s="24" t="s">
        <v>1800</v>
      </c>
      <c r="L11561" s="28" t="s">
        <v>52</v>
      </c>
      <c r="M11561" s="25">
        <v>203942.11</v>
      </c>
      <c r="N11561" s="27">
        <v>0.12658625267665952</v>
      </c>
    </row>
    <row r="11562" spans="1:14" hidden="1" outlineLevel="1" x14ac:dyDescent="0.2">
      <c r="A11562" s="23" t="str">
        <f t="shared" si="589"/>
        <v>ФКУ СИЗО-1 УФСИН РОССИИ ПО РЕСПУБЛИКЕ БУРЯТИЯ</v>
      </c>
      <c r="B11562" s="24" t="s">
        <v>13807</v>
      </c>
      <c r="C11562" s="25">
        <v>233500</v>
      </c>
      <c r="D11562" s="22" t="s">
        <v>13808</v>
      </c>
      <c r="E11562" s="22" t="s">
        <v>13809</v>
      </c>
      <c r="F11562" s="23" t="str">
        <f t="shared" si="590"/>
        <v>Поставка системы видеонаблюдения, кабельной продукции и беспроводной кнопки тревожной сигнализации</v>
      </c>
      <c r="G11562" s="22" t="s">
        <v>354</v>
      </c>
      <c r="H11562" s="22" t="s">
        <v>355</v>
      </c>
      <c r="I11562" s="26">
        <v>43550.363888888904</v>
      </c>
      <c r="J11562" s="23" t="str">
        <f>HYPERLINK("https://www.spark-marketing.ru/Card/Person/294049", "ООО ""ИНЖЕНЕРНЫЕ СИСТЕМЫ""")</f>
        <v>ООО "ИНЖЕНЕРНЫЕ СИСТЕМЫ"</v>
      </c>
      <c r="K11562" s="24" t="s">
        <v>11935</v>
      </c>
      <c r="L11562" s="28" t="s">
        <v>52</v>
      </c>
      <c r="M11562" s="25">
        <v>204447</v>
      </c>
      <c r="N11562" s="27">
        <v>0.12442398286937902</v>
      </c>
    </row>
    <row r="11563" spans="1:14" hidden="1" outlineLevel="1" x14ac:dyDescent="0.2">
      <c r="A11563" s="23" t="str">
        <f t="shared" si="589"/>
        <v>ФКУ СИЗО-1 УФСИН РОССИИ ПО РЕСПУБЛИКЕ БУРЯТИЯ</v>
      </c>
      <c r="B11563" s="24" t="s">
        <v>13807</v>
      </c>
      <c r="C11563" s="25">
        <v>233500</v>
      </c>
      <c r="D11563" s="22" t="s">
        <v>13808</v>
      </c>
      <c r="E11563" s="22" t="s">
        <v>13809</v>
      </c>
      <c r="F11563" s="23" t="str">
        <f t="shared" si="590"/>
        <v>Поставка системы видеонаблюдения, кабельной продукции и беспроводной кнопки тревожной сигнализации</v>
      </c>
      <c r="G11563" s="22" t="s">
        <v>354</v>
      </c>
      <c r="H11563" s="22" t="s">
        <v>355</v>
      </c>
      <c r="I11563" s="26">
        <v>43550.363888888904</v>
      </c>
      <c r="J11563" s="23" t="str">
        <f>HYPERLINK("https://www.spark-marketing.ru/Card/Person/4259585", "ООО ""ЭЛИКОМ ТБ""")</f>
        <v>ООО "ЭЛИКОМ ТБ"</v>
      </c>
      <c r="K11563" s="24" t="s">
        <v>6400</v>
      </c>
      <c r="L11563" s="28" t="s">
        <v>52</v>
      </c>
      <c r="M11563" s="25">
        <v>230500</v>
      </c>
      <c r="N11563" s="27">
        <v>1.284796573875803E-2</v>
      </c>
    </row>
    <row r="11564" spans="1:14" x14ac:dyDescent="0.15">
      <c r="A11564" s="23" t="str">
        <f>HYPERLINK("https://www.spark-marketing.ru/Card/Person/4343928", "ФГБОУ ВО КУБАНСКИЙ ГАУ")</f>
        <v>ФГБОУ ВО КУБАНСКИЙ ГАУ</v>
      </c>
      <c r="B11564" s="24" t="s">
        <v>1428</v>
      </c>
      <c r="C11564" s="25">
        <v>714142</v>
      </c>
      <c r="D11564" s="22" t="s">
        <v>13812</v>
      </c>
      <c r="E11564" s="22" t="s">
        <v>144</v>
      </c>
      <c r="F11564" s="23" t="str">
        <f>HYPERLINK("https://www.spark-marketing.ru/Card/Lot/69011028", "Услуги охранные учебных корпусов")</f>
        <v>Услуги охранные учебных корпусов</v>
      </c>
      <c r="G11564" s="22" t="s">
        <v>132</v>
      </c>
      <c r="H11564" s="22" t="s">
        <v>132</v>
      </c>
      <c r="I11564" s="26">
        <v>43550.332499999997</v>
      </c>
      <c r="J11564" s="28" t="s">
        <v>52</v>
      </c>
      <c r="K11564" s="28" t="s">
        <v>52</v>
      </c>
      <c r="L11564" s="28" t="s">
        <v>52</v>
      </c>
      <c r="M11564" s="28" t="s">
        <v>52</v>
      </c>
      <c r="N11564" s="28" t="s">
        <v>52</v>
      </c>
    </row>
    <row r="11565" spans="1:14" x14ac:dyDescent="0.15">
      <c r="A11565" s="23" t="str">
        <f>HYPERLINK("https://www.spark-marketing.ru/Card/Person/26722", "ВЕРХНЕОБСКОЕ ТУ РОСРЫБОЛОВСТВА")</f>
        <v>ВЕРХНЕОБСКОЕ ТУ РОСРЫБОЛОВСТВА</v>
      </c>
      <c r="B11565" s="24" t="s">
        <v>13813</v>
      </c>
      <c r="C11565" s="25">
        <v>28493.96</v>
      </c>
      <c r="D11565" s="22" t="s">
        <v>13814</v>
      </c>
      <c r="E11565" s="22" t="s">
        <v>53</v>
      </c>
      <c r="F11565" s="23" t="str">
        <f>HYPERLINK("https://www.spark-marketing.ru/Card/Lot/70790887", "Оказание услуг пультовой охраны и технического обслуживания средств охранной и тревожной сигнализации")</f>
        <v>Оказание услуг пультовой охраны и технического обслуживания средств охранной и тревожной сигнализации</v>
      </c>
      <c r="G11565" s="22" t="s">
        <v>209</v>
      </c>
      <c r="H11565" s="22" t="s">
        <v>210</v>
      </c>
      <c r="I11565" s="26">
        <v>43550.228333333303</v>
      </c>
      <c r="J11565" s="28" t="s">
        <v>52</v>
      </c>
      <c r="K11565" s="28" t="s">
        <v>52</v>
      </c>
      <c r="L11565" s="28" t="s">
        <v>52</v>
      </c>
      <c r="M11565" s="28" t="s">
        <v>52</v>
      </c>
      <c r="N11565" s="28" t="s">
        <v>52</v>
      </c>
    </row>
    <row r="11566" spans="1:14" x14ac:dyDescent="0.15">
      <c r="A11566" s="23" t="str">
        <f>HYPERLINK("https://www.spark-marketing.ru/Card/Person/4348435", "ООО ""ТД ПОЛИМЕТАЛЛ""")</f>
        <v>ООО "ТД ПОЛИМЕТАЛЛ"</v>
      </c>
      <c r="B11566" s="24" t="s">
        <v>374</v>
      </c>
      <c r="C11566" s="25">
        <v>0</v>
      </c>
      <c r="D11566" s="22" t="s">
        <v>13815</v>
      </c>
      <c r="E11566" s="22" t="s">
        <v>1647</v>
      </c>
      <c r="F11566" s="23" t="str">
        <f>HYPERLINK("https://www.spark-marketing.ru/Card/Lot/69011839", "Установка системы видеонаблюдения и СКУД на предприятии")</f>
        <v>Установка системы видеонаблюдения и СКУД на предприятии</v>
      </c>
      <c r="G11566" s="22" t="s">
        <v>89</v>
      </c>
      <c r="H11566" s="22" t="s">
        <v>89</v>
      </c>
      <c r="I11566" s="26">
        <v>43550.211689814802</v>
      </c>
      <c r="J11566" s="28" t="s">
        <v>52</v>
      </c>
      <c r="K11566" s="28" t="s">
        <v>52</v>
      </c>
      <c r="L11566" s="28" t="s">
        <v>52</v>
      </c>
      <c r="M11566" s="28" t="s">
        <v>52</v>
      </c>
      <c r="N11566" s="28" t="s">
        <v>52</v>
      </c>
    </row>
    <row r="11567" spans="1:14" x14ac:dyDescent="0.15">
      <c r="A11567" s="23" t="str">
        <f>HYPERLINK("https://www.spark-marketing.ru/Card/Person/43315", "КГБУЗ ""ЦЕНТРАЛЬНАЯ ГОРОДСКАЯ БОЛЬНИЦА, Г. БИЙСК""")</f>
        <v>КГБУЗ "ЦЕНТРАЛЬНАЯ ГОРОДСКАЯ БОЛЬНИЦА, Г. БИЙСК"</v>
      </c>
      <c r="B11567" s="24" t="s">
        <v>13816</v>
      </c>
      <c r="C11567" s="25">
        <v>36000</v>
      </c>
      <c r="D11567" s="22" t="s">
        <v>13817</v>
      </c>
      <c r="E11567" s="22" t="s">
        <v>103</v>
      </c>
      <c r="F11567" s="23" t="str">
        <f>HYPERLINK("https://www.spark-marketing.ru/Card/Lot/69006444", "(000)Товары, работы или услуги на сумму, не превышающую 100 тыс. руб. (п.4 ч.1 ст.93 Федерального закона №44-ФЗ)")</f>
        <v>(000)Товары, работы или услуги на сумму, не превышающую 100 тыс. руб. (п.4 ч.1 ст.93 Федерального закона №44-ФЗ)</v>
      </c>
      <c r="G11567" s="22" t="s">
        <v>428</v>
      </c>
      <c r="H11567" s="22" t="s">
        <v>5346</v>
      </c>
      <c r="I11567" s="26">
        <v>43550.199305555601</v>
      </c>
      <c r="J11567" s="28" t="s">
        <v>52</v>
      </c>
      <c r="K11567" s="28" t="s">
        <v>52</v>
      </c>
      <c r="L11567" s="28" t="s">
        <v>52</v>
      </c>
      <c r="M11567" s="28" t="s">
        <v>52</v>
      </c>
      <c r="N11567" s="28" t="s">
        <v>52</v>
      </c>
    </row>
    <row r="11568" spans="1:14" x14ac:dyDescent="0.15">
      <c r="A11568" s="23" t="str">
        <f>HYPERLINK("https://www.spark-marketing.ru/Card/Person/114615", "МБДОУ ДЕТСКИЙ САД № 9 ""АИСТЕНОК""")</f>
        <v>МБДОУ ДЕТСКИЙ САД № 9 "АИСТЕНОК"</v>
      </c>
      <c r="B11568" s="24" t="s">
        <v>13818</v>
      </c>
      <c r="C11568" s="25">
        <v>15000</v>
      </c>
      <c r="D11568" s="22" t="s">
        <v>13819</v>
      </c>
      <c r="E11568" s="22" t="s">
        <v>107</v>
      </c>
      <c r="F11568" s="23" t="str">
        <f>HYPERLINK("https://www.spark-marketing.ru/Card/Lot/69003201", "Оказание услуг по техническому обслуживанию видеонаблюдения в 2019 году")</f>
        <v>Оказание услуг по техническому обслуживанию видеонаблюдения в 2019 году</v>
      </c>
      <c r="G11568" s="22" t="s">
        <v>50</v>
      </c>
      <c r="H11568" s="22" t="s">
        <v>3866</v>
      </c>
      <c r="I11568" s="26">
        <v>43549.825775463003</v>
      </c>
      <c r="J11568" s="28" t="s">
        <v>52</v>
      </c>
      <c r="K11568" s="28" t="s">
        <v>52</v>
      </c>
      <c r="L11568" s="28" t="s">
        <v>52</v>
      </c>
      <c r="M11568" s="28" t="s">
        <v>52</v>
      </c>
      <c r="N11568" s="28" t="s">
        <v>52</v>
      </c>
    </row>
    <row r="11569" spans="1:14" x14ac:dyDescent="0.15">
      <c r="A11569" s="23" t="str">
        <f>HYPERLINK("https://www.spark-marketing.ru/Card/Person/4343740", "МИНЗДРАВ РОССИИ")</f>
        <v>МИНЗДРАВ РОССИИ</v>
      </c>
      <c r="B11569" s="24" t="s">
        <v>1666</v>
      </c>
      <c r="C11569" s="25">
        <v>517401660</v>
      </c>
      <c r="D11569" s="22" t="s">
        <v>13820</v>
      </c>
      <c r="E11569" s="22" t="s">
        <v>53</v>
      </c>
      <c r="F11569" s="23" t="str">
        <f>HYPERLINK("https://www.spark-marketing.ru/Card/Lot/69002007", "Интерферон бета-1а, раствор и/или лиофилизат для приготовления раствора для внутримышечного введения, 30 мкг (6 млн МЕ) в рамках реализации постановления Правительства Российской Федерации от 26.11.2018 № 1416 ""О порядке организации обеспечения лека...")</f>
        <v>Интерферон бета-1а, раствор и/или лиофилизат для приготовления раствора для внутримышечного введения, 30 мкг (6 млн МЕ) в рамках реализации постановления Правительства Российской Федерации от 26.11.2018 № 1416 "О порядке организации обеспечения лека...</v>
      </c>
      <c r="G11569" s="22" t="s">
        <v>428</v>
      </c>
      <c r="H11569" s="22" t="s">
        <v>429</v>
      </c>
      <c r="I11569" s="26">
        <v>43549.768750000003</v>
      </c>
      <c r="J11569" s="23" t="str">
        <f>HYPERLINK("https://www.spark-marketing.ru/Card/Person/6441363", "ООО ""ИРВИН""")</f>
        <v>ООО "ИРВИН"</v>
      </c>
      <c r="K11569" s="24" t="s">
        <v>13821</v>
      </c>
      <c r="L11569" s="22" t="s">
        <v>10</v>
      </c>
      <c r="M11569" s="28" t="s">
        <v>52</v>
      </c>
      <c r="N11569" s="28" t="s">
        <v>52</v>
      </c>
    </row>
    <row r="11570" spans="1:14" x14ac:dyDescent="0.15">
      <c r="A11570" s="28" t="s">
        <v>52</v>
      </c>
      <c r="B11570" s="28" t="s">
        <v>52</v>
      </c>
      <c r="C11570" s="28" t="s">
        <v>52</v>
      </c>
      <c r="D11570" s="22" t="s">
        <v>13822</v>
      </c>
      <c r="E11570" s="22" t="s">
        <v>766</v>
      </c>
      <c r="F11570" s="23" t="str">
        <f>HYPERLINK("https://www.spark-marketing.ru/Card/Lot/69003975", "Блок, предназнач.для пункта охраны размером 2,8*8,0")</f>
        <v>Блок, предназнач.для пункта охраны размером 2,8*8,0</v>
      </c>
      <c r="G11570" s="22" t="s">
        <v>52</v>
      </c>
      <c r="H11570" s="22" t="s">
        <v>52</v>
      </c>
      <c r="I11570" s="26">
        <v>43549.7882060185</v>
      </c>
      <c r="J11570" s="23" t="str">
        <f>HYPERLINK("https://www.spark-marketing.ru/Card/Person/4434151", "ООО ""ГАЗТЕХЛИЗИНГ""")</f>
        <v>ООО "ГАЗТЕХЛИЗИНГ"</v>
      </c>
      <c r="K11570" s="24" t="s">
        <v>13823</v>
      </c>
      <c r="L11570" s="28" t="s">
        <v>52</v>
      </c>
      <c r="M11570" s="25">
        <v>33600</v>
      </c>
      <c r="N11570" s="28" t="s">
        <v>52</v>
      </c>
    </row>
    <row r="11571" spans="1:14" x14ac:dyDescent="0.15">
      <c r="A11571" s="23" t="str">
        <f>HYPERLINK("https://www.spark-marketing.ru/Card/Person/4413396", "АО ""НК НПЗ""")</f>
        <v>АО "НК НПЗ"</v>
      </c>
      <c r="B11571" s="24" t="s">
        <v>12489</v>
      </c>
      <c r="C11571" s="28" t="s">
        <v>52</v>
      </c>
      <c r="D11571" s="22" t="s">
        <v>13824</v>
      </c>
      <c r="E11571" s="22" t="s">
        <v>53</v>
      </c>
      <c r="F11571" s="23" t="str">
        <f>HYPERLINK("https://www.spark-marketing.ru/Card/Lot/69004962", "Номер закупки б/н. АНОНС предстоящей процедуры закупки «Оснащение транспортной инфраструктуры АО «НК НПЗ» инженерно-техническими средствами охраны (причальное сооружение, речной транспорт). Техническое перевооружение».")</f>
        <v>Номер закупки б/н. АНОНС предстоящей процедуры закупки «Оснащение транспортной инфраструктуры АО «НК НПЗ» инженерно-техническими средствами охраны (причальное сооружение, речной транспорт). Техническое перевооружение».</v>
      </c>
      <c r="G11571" s="22" t="s">
        <v>760</v>
      </c>
      <c r="H11571" s="22" t="s">
        <v>12491</v>
      </c>
      <c r="I11571" s="26">
        <v>43549.767361111102</v>
      </c>
      <c r="J11571" s="28" t="s">
        <v>52</v>
      </c>
      <c r="K11571" s="28" t="s">
        <v>52</v>
      </c>
      <c r="L11571" s="28" t="s">
        <v>52</v>
      </c>
      <c r="M11571" s="28" t="s">
        <v>52</v>
      </c>
      <c r="N11571" s="28" t="s">
        <v>52</v>
      </c>
    </row>
    <row r="11572" spans="1:14" x14ac:dyDescent="0.2">
      <c r="A11572" s="23" t="str">
        <f>HYPERLINK("https://www.spark-marketing.ru/Card/Person/95245", "ОАО ""РЖД""")</f>
        <v>ОАО "РЖД"</v>
      </c>
      <c r="B11572" s="24" t="s">
        <v>163</v>
      </c>
      <c r="C11572" s="25">
        <v>11640000</v>
      </c>
      <c r="D11572" s="22" t="s">
        <v>13825</v>
      </c>
      <c r="E11572" s="22" t="s">
        <v>1077</v>
      </c>
      <c r="F11572" s="23" t="str">
        <f>HYPERLINK("https://www.spark-marketing.ru/Card/Lot/68999123", "На право заключения договора возмездного оказания услуг делопроизводства по международной регистрации товарных знаков «РЖД» № 1424747 (красный), № 1424758 (черный) по Мадридской системе на этапе рассмотрения национальными и региональными ведомствами,...")</f>
        <v>На право заключения договора возмездного оказания услуг делопроизводства по международной регистрации товарных знаков «РЖД» № 1424747 (красный), № 1424758 (черный) по Мадридской системе на этапе рассмотрения национальными и региональными ведомствами,...</v>
      </c>
      <c r="G11572" s="22" t="s">
        <v>55</v>
      </c>
      <c r="H11572" s="22" t="s">
        <v>55</v>
      </c>
      <c r="I11572" s="26">
        <v>43549.754942129599</v>
      </c>
      <c r="J11572" s="23" t="str">
        <f>HYPERLINK("https://www.spark-marketing.ru/Card/Person/6571899", "ООО ПАТЕНТНО ПРАВОВАЯ ФИРМА ЮС")</f>
        <v>ООО ПАТЕНТНО ПРАВОВАЯ ФИРМА ЮС</v>
      </c>
      <c r="K11572" s="28" t="s">
        <v>52</v>
      </c>
      <c r="L11572" s="28" t="s">
        <v>52</v>
      </c>
      <c r="M11572" s="25">
        <v>8500000</v>
      </c>
      <c r="N11572" s="27">
        <v>0.26975945017182129</v>
      </c>
    </row>
    <row r="11573" spans="1:14" x14ac:dyDescent="0.15">
      <c r="A11573" s="23" t="str">
        <f>HYPERLINK("https://www.spark-marketing.ru/Card/Person/2684", "АДМИНИСТРАЦИЯ МУНИЦИПАЛЬНОГО РАЙОНА ИШИМБАЙСКИЙ РАЙОН РЕСПУБЛИКИ БАШКОРТОСТАН")</f>
        <v>АДМИНИСТРАЦИЯ МУНИЦИПАЛЬНОГО РАЙОНА ИШИМБАЙСКИЙ РАЙОН РЕСПУБЛИКИ БАШКОРТОСТАН</v>
      </c>
      <c r="B11573" s="24" t="s">
        <v>13826</v>
      </c>
      <c r="C11573" s="25">
        <v>248400</v>
      </c>
      <c r="D11573" s="22" t="s">
        <v>13827</v>
      </c>
      <c r="E11573" s="22" t="s">
        <v>52</v>
      </c>
      <c r="F11573" s="23" t="str">
        <f>HYPERLINK("https://www.spark-marketing.ru/Card/Lot/68996840", "Оказание охранных услуг")</f>
        <v>Оказание охранных услуг</v>
      </c>
      <c r="G11573" s="22" t="s">
        <v>100</v>
      </c>
      <c r="H11573" s="22" t="s">
        <v>100</v>
      </c>
      <c r="I11573" s="26">
        <v>43549.753472222197</v>
      </c>
      <c r="J11573" s="28" t="s">
        <v>52</v>
      </c>
      <c r="K11573" s="28" t="s">
        <v>52</v>
      </c>
      <c r="L11573" s="28" t="s">
        <v>52</v>
      </c>
      <c r="M11573" s="28" t="s">
        <v>52</v>
      </c>
      <c r="N11573" s="28" t="s">
        <v>52</v>
      </c>
    </row>
    <row r="11574" spans="1:14" hidden="1" outlineLevel="1" x14ac:dyDescent="0.2">
      <c r="A11574" s="23" t="str">
        <f>HYPERLINK("https://www.spark-marketing.ru/Card/Person/2684", "АДМИНИСТРАЦИЯ МУНИЦИПАЛЬНОГО РАЙОНА ИШИМБАЙСКИЙ РАЙОН РЕСПУБЛИКИ БАШКОРТОСТАН")</f>
        <v>АДМИНИСТРАЦИЯ МУНИЦИПАЛЬНОГО РАЙОНА ИШИМБАЙСКИЙ РАЙОН РЕСПУБЛИКИ БАШКОРТОСТАН</v>
      </c>
      <c r="B11574" s="24" t="s">
        <v>13826</v>
      </c>
      <c r="C11574" s="25">
        <v>248400</v>
      </c>
      <c r="D11574" s="22" t="s">
        <v>13827</v>
      </c>
      <c r="E11574" s="22" t="s">
        <v>52</v>
      </c>
      <c r="F11574" s="23" t="str">
        <f>HYPERLINK("https://www.spark-marketing.ru/Card/Lot/68996840", "Оказание охранных услуг")</f>
        <v>Оказание охранных услуг</v>
      </c>
      <c r="G11574" s="22" t="s">
        <v>100</v>
      </c>
      <c r="H11574" s="22" t="s">
        <v>100</v>
      </c>
      <c r="I11574" s="26">
        <v>43549.753472222197</v>
      </c>
      <c r="J11574" s="23" t="str">
        <f>HYPERLINK("https://www.spark-marketing.ru/Card/Person/4886524", "ООО ЧОО ""ФЕНИКС""")</f>
        <v>ООО ЧОО "ФЕНИКС"</v>
      </c>
      <c r="K11574" s="24" t="s">
        <v>8997</v>
      </c>
      <c r="L11574" s="28" t="s">
        <v>52</v>
      </c>
      <c r="M11574" s="25">
        <v>248400</v>
      </c>
      <c r="N11574" s="27">
        <v>0</v>
      </c>
    </row>
    <row r="11575" spans="1:14" hidden="1" outlineLevel="1" x14ac:dyDescent="0.2">
      <c r="A11575" s="23" t="str">
        <f>HYPERLINK("https://www.spark-marketing.ru/Card/Person/2684", "АДМИНИСТРАЦИЯ МУНИЦИПАЛЬНОГО РАЙОНА ИШИМБАЙСКИЙ РАЙОН РЕСПУБЛИКИ БАШКОРТОСТАН")</f>
        <v>АДМИНИСТРАЦИЯ МУНИЦИПАЛЬНОГО РАЙОНА ИШИМБАЙСКИЙ РАЙОН РЕСПУБЛИКИ БАШКОРТОСТАН</v>
      </c>
      <c r="B11575" s="24" t="s">
        <v>13826</v>
      </c>
      <c r="C11575" s="25">
        <v>248400</v>
      </c>
      <c r="D11575" s="22" t="s">
        <v>13827</v>
      </c>
      <c r="E11575" s="22" t="s">
        <v>52</v>
      </c>
      <c r="F11575" s="23" t="str">
        <f>HYPERLINK("https://www.spark-marketing.ru/Card/Lot/68996840", "Оказание охранных услуг")</f>
        <v>Оказание охранных услуг</v>
      </c>
      <c r="G11575" s="22" t="s">
        <v>100</v>
      </c>
      <c r="H11575" s="22" t="s">
        <v>100</v>
      </c>
      <c r="I11575" s="26">
        <v>43549.753472222197</v>
      </c>
      <c r="J11575" s="23" t="str">
        <f>HYPERLINK("https://www.spark-marketing.ru/Card/Person/138362", "ООО ЧОО ""ВЫМПЕЛ""")</f>
        <v>ООО ЧОО "ВЫМПЕЛ"</v>
      </c>
      <c r="K11575" s="24" t="s">
        <v>10615</v>
      </c>
      <c r="L11575" s="28" t="s">
        <v>52</v>
      </c>
      <c r="M11575" s="25">
        <v>240948</v>
      </c>
      <c r="N11575" s="27">
        <v>0.03</v>
      </c>
    </row>
    <row r="11576" spans="1:14" ht="12.75" hidden="1" outlineLevel="1" x14ac:dyDescent="0.2">
      <c r="A11576" s="23" t="str">
        <f>HYPERLINK("https://www.spark-marketing.ru/Card/Person/2684", "АДМИНИСТРАЦИЯ МУНИЦИПАЛЬНОГО РАЙОНА ИШИМБАЙСКИЙ РАЙОН РЕСПУБЛИКИ БАШКОРТОСТАН")</f>
        <v>АДМИНИСТРАЦИЯ МУНИЦИПАЛЬНОГО РАЙОНА ИШИМБАЙСКИЙ РАЙОН РЕСПУБЛИКИ БАШКОРТОСТАН</v>
      </c>
      <c r="B11576" s="24" t="s">
        <v>13826</v>
      </c>
      <c r="C11576" s="25">
        <v>248400</v>
      </c>
      <c r="D11576" s="22" t="s">
        <v>13827</v>
      </c>
      <c r="E11576" s="22" t="s">
        <v>52</v>
      </c>
      <c r="F11576" s="23" t="str">
        <f>HYPERLINK("https://www.spark-marketing.ru/Card/Lot/68996840", "Оказание охранных услуг")</f>
        <v>Оказание охранных услуг</v>
      </c>
      <c r="G11576" s="22" t="s">
        <v>100</v>
      </c>
      <c r="H11576" s="22" t="s">
        <v>100</v>
      </c>
      <c r="I11576" s="26">
        <v>43549.753472222197</v>
      </c>
      <c r="J11576" s="23" t="str">
        <f>HYPERLINK("https://www.spark-marketing.ru/Card/Person/1892674", "ООО ""ЧОО ""ТРИТОН""")</f>
        <v>ООО "ЧОО "ТРИТОН"</v>
      </c>
      <c r="K11576" s="24" t="s">
        <v>2800</v>
      </c>
      <c r="L11576" s="22" t="s">
        <v>10</v>
      </c>
      <c r="M11576" s="25">
        <v>239706</v>
      </c>
      <c r="N11576" s="27">
        <v>3.5000000000000003E-2</v>
      </c>
    </row>
    <row r="11577" spans="1:14" x14ac:dyDescent="0.15">
      <c r="A11577" s="28" t="s">
        <v>52</v>
      </c>
      <c r="B11577" s="28" t="s">
        <v>52</v>
      </c>
      <c r="C11577" s="28" t="s">
        <v>52</v>
      </c>
      <c r="D11577" s="22" t="s">
        <v>13828</v>
      </c>
      <c r="E11577" s="22" t="s">
        <v>766</v>
      </c>
      <c r="F11577" s="23" t="str">
        <f>HYPERLINK("https://www.spark-marketing.ru/Card/Lot/69003682", "Прицеп-здание мобильное ""Екатерина"" мод M83724 пункт охраны на 2 места рабочих")</f>
        <v>Прицеп-здание мобильное "Екатерина" мод M83724 пункт охраны на 2 места рабочих</v>
      </c>
      <c r="G11577" s="22" t="s">
        <v>52</v>
      </c>
      <c r="H11577" s="22" t="s">
        <v>52</v>
      </c>
      <c r="I11577" s="26">
        <v>43549.7882060185</v>
      </c>
      <c r="J11577" s="23" t="str">
        <f>HYPERLINK("https://www.spark-marketing.ru/Card/Person/4434151", "ООО ""ГАЗТЕХЛИЗИНГ""")</f>
        <v>ООО "ГАЗТЕХЛИЗИНГ"</v>
      </c>
      <c r="K11577" s="24" t="s">
        <v>13823</v>
      </c>
      <c r="L11577" s="28" t="s">
        <v>52</v>
      </c>
      <c r="M11577" s="25">
        <v>120000</v>
      </c>
      <c r="N11577" s="28" t="s">
        <v>52</v>
      </c>
    </row>
    <row r="11578" spans="1:14" x14ac:dyDescent="0.15">
      <c r="A11578" s="23" t="str">
        <f>HYPERLINK("https://www.spark-marketing.ru/Card/Person/4343740", "МИНЗДРАВ РОССИИ")</f>
        <v>МИНЗДРАВ РОССИИ</v>
      </c>
      <c r="B11578" s="24" t="s">
        <v>1666</v>
      </c>
      <c r="C11578" s="25">
        <v>894681900</v>
      </c>
      <c r="D11578" s="22" t="s">
        <v>13829</v>
      </c>
      <c r="E11578" s="22" t="s">
        <v>53</v>
      </c>
      <c r="F11578" s="23" t="str">
        <f>HYPERLINK("https://www.spark-marketing.ru/Card/Lot/69002281", "Октоког альфа, лиофилизат для приготовления раствора для внутривенного введения, 1000 - 1500 МЕ в рамках реализации постановления Правительства Российской Федерации от 26.11.2018 № 1416 ""О порядке организации обеспечения лекарственными препаратами л...")</f>
        <v>Октоког альфа, лиофилизат для приготовления раствора для внутривенного введения, 1000 - 1500 МЕ в рамках реализации постановления Правительства Российской Федерации от 26.11.2018 № 1416 "О порядке организации обеспечения лекарственными препаратами л...</v>
      </c>
      <c r="G11578" s="22" t="s">
        <v>648</v>
      </c>
      <c r="H11578" s="22" t="s">
        <v>13830</v>
      </c>
      <c r="I11578" s="26">
        <v>43549.766666666699</v>
      </c>
      <c r="J11578" s="23" t="str">
        <f>HYPERLINK("https://www.spark-marketing.ru/Card/Person/42069", "АО ""ФАРМСТАНДАРТ""")</f>
        <v>АО "ФАРМСТАНДАРТ"</v>
      </c>
      <c r="K11578" s="24" t="s">
        <v>1668</v>
      </c>
      <c r="L11578" s="22" t="s">
        <v>10</v>
      </c>
      <c r="M11578" s="28" t="s">
        <v>52</v>
      </c>
      <c r="N11578" s="28" t="s">
        <v>52</v>
      </c>
    </row>
    <row r="11579" spans="1:14" x14ac:dyDescent="0.15">
      <c r="A11579" s="28" t="s">
        <v>52</v>
      </c>
      <c r="B11579" s="28" t="s">
        <v>52</v>
      </c>
      <c r="C11579" s="28" t="s">
        <v>52</v>
      </c>
      <c r="D11579" s="22" t="s">
        <v>13822</v>
      </c>
      <c r="E11579" s="22" t="s">
        <v>766</v>
      </c>
      <c r="F11579" s="23" t="str">
        <f>HYPERLINK("https://www.spark-marketing.ru/Card/Lot/69003974", "Блок, предназнач.для пункта охраны размером 2,8*8,0")</f>
        <v>Блок, предназнач.для пункта охраны размером 2,8*8,0</v>
      </c>
      <c r="G11579" s="22" t="s">
        <v>52</v>
      </c>
      <c r="H11579" s="22" t="s">
        <v>52</v>
      </c>
      <c r="I11579" s="26">
        <v>43549.7882060185</v>
      </c>
      <c r="J11579" s="23" t="str">
        <f>HYPERLINK("https://www.spark-marketing.ru/Card/Person/4434151", "ООО ""ГАЗТЕХЛИЗИНГ""")</f>
        <v>ООО "ГАЗТЕХЛИЗИНГ"</v>
      </c>
      <c r="K11579" s="24" t="s">
        <v>13823</v>
      </c>
      <c r="L11579" s="28" t="s">
        <v>52</v>
      </c>
      <c r="M11579" s="25">
        <v>33600</v>
      </c>
      <c r="N11579" s="28" t="s">
        <v>52</v>
      </c>
    </row>
    <row r="11580" spans="1:14" x14ac:dyDescent="0.15">
      <c r="A11580" s="23" t="str">
        <f>HYPERLINK("https://www.spark-marketing.ru/Card/Person/89360", "ФКУ ""ГБ МСЭ ПО ХАБАРОВСКОМУ КРАЮ"" МИНТРУДА РОССИИ")</f>
        <v>ФКУ "ГБ МСЭ ПО ХАБАРОВСКОМУ КРАЮ" МИНТРУДА РОССИИ</v>
      </c>
      <c r="B11580" s="24" t="s">
        <v>10142</v>
      </c>
      <c r="C11580" s="25">
        <v>66200</v>
      </c>
      <c r="D11580" s="22" t="s">
        <v>13831</v>
      </c>
      <c r="E11580" s="22" t="s">
        <v>59</v>
      </c>
      <c r="F11580" s="23" t="str">
        <f>HYPERLINK("https://www.spark-marketing.ru/Card/Lot/68972273", "Установка автомобильной сигнализации")</f>
        <v>Установка автомобильной сигнализации</v>
      </c>
      <c r="G11580" s="22" t="s">
        <v>138</v>
      </c>
      <c r="H11580" s="22" t="s">
        <v>255</v>
      </c>
      <c r="I11580" s="26">
        <v>43549.675000000003</v>
      </c>
      <c r="J11580" s="28" t="s">
        <v>52</v>
      </c>
      <c r="K11580" s="28" t="s">
        <v>52</v>
      </c>
      <c r="L11580" s="28" t="s">
        <v>52</v>
      </c>
      <c r="M11580" s="28" t="s">
        <v>52</v>
      </c>
      <c r="N11580" s="28" t="s">
        <v>52</v>
      </c>
    </row>
    <row r="11581" spans="1:14" hidden="1" outlineLevel="1" x14ac:dyDescent="0.2">
      <c r="A11581" s="23" t="str">
        <f>HYPERLINK("https://www.spark-marketing.ru/Card/Person/89360", "ФКУ ""ГБ МСЭ ПО ХАБАРОВСКОМУ КРАЮ"" МИНТРУДА РОССИИ")</f>
        <v>ФКУ "ГБ МСЭ ПО ХАБАРОВСКОМУ КРАЮ" МИНТРУДА РОССИИ</v>
      </c>
      <c r="B11581" s="24" t="s">
        <v>10142</v>
      </c>
      <c r="C11581" s="25">
        <v>66200</v>
      </c>
      <c r="D11581" s="22" t="s">
        <v>13831</v>
      </c>
      <c r="E11581" s="22" t="s">
        <v>59</v>
      </c>
      <c r="F11581" s="23" t="str">
        <f>HYPERLINK("https://www.spark-marketing.ru/Card/Lot/68972273", "Установка автомобильной сигнализации")</f>
        <v>Установка автомобильной сигнализации</v>
      </c>
      <c r="G11581" s="22" t="s">
        <v>138</v>
      </c>
      <c r="H11581" s="22" t="s">
        <v>255</v>
      </c>
      <c r="I11581" s="26">
        <v>43549.675000000003</v>
      </c>
      <c r="J11581" s="23" t="str">
        <f>HYPERLINK("https://www.spark-marketing.ru/Card/Person/486153", "ФАУ ""ЦМТО ФПС ПО ХАБАРОВСКОМУ КРАЮ""")</f>
        <v>ФАУ "ЦМТО ФПС ПО ХАБАРОВСКОМУ КРАЮ"</v>
      </c>
      <c r="K11581" s="24" t="s">
        <v>13832</v>
      </c>
      <c r="L11581" s="28" t="s">
        <v>52</v>
      </c>
      <c r="M11581" s="25">
        <v>64875.8</v>
      </c>
      <c r="N11581" s="27">
        <v>2.0003021148036253E-2</v>
      </c>
    </row>
    <row r="11582" spans="1:14" ht="12.75" hidden="1" outlineLevel="1" x14ac:dyDescent="0.2">
      <c r="A11582" s="23" t="str">
        <f>HYPERLINK("https://www.spark-marketing.ru/Card/Person/89360", "ФКУ ""ГБ МСЭ ПО ХАБАРОВСКОМУ КРАЮ"" МИНТРУДА РОССИИ")</f>
        <v>ФКУ "ГБ МСЭ ПО ХАБАРОВСКОМУ КРАЮ" МИНТРУДА РОССИИ</v>
      </c>
      <c r="B11582" s="24" t="s">
        <v>10142</v>
      </c>
      <c r="C11582" s="25">
        <v>66200</v>
      </c>
      <c r="D11582" s="22" t="s">
        <v>13831</v>
      </c>
      <c r="E11582" s="22" t="s">
        <v>59</v>
      </c>
      <c r="F11582" s="23" t="str">
        <f>HYPERLINK("https://www.spark-marketing.ru/Card/Lot/68972273", "Установка автомобильной сигнализации")</f>
        <v>Установка автомобильной сигнализации</v>
      </c>
      <c r="G11582" s="22" t="s">
        <v>138</v>
      </c>
      <c r="H11582" s="22" t="s">
        <v>255</v>
      </c>
      <c r="I11582" s="26">
        <v>43549.675000000003</v>
      </c>
      <c r="J11582" s="23" t="str">
        <f>HYPERLINK("https://www.spark-marketing.ru/Card/Person/1220114", "Куликов Роман Васильевич")</f>
        <v>Куликов Роман Васильевич</v>
      </c>
      <c r="K11582" s="24" t="s">
        <v>13833</v>
      </c>
      <c r="L11582" s="22" t="s">
        <v>10</v>
      </c>
      <c r="M11582" s="25">
        <v>64544.800000000003</v>
      </c>
      <c r="N11582" s="27">
        <v>2.5003021148036254E-2</v>
      </c>
    </row>
    <row r="11583" spans="1:14" x14ac:dyDescent="0.15">
      <c r="A11583" s="23" t="str">
        <f>HYPERLINK("https://www.spark-marketing.ru/Card/Person/27273", "МБОУ ""АКБУЛАКСКАЯ СОШ № 3""")</f>
        <v>МБОУ "АКБУЛАКСКАЯ СОШ № 3"</v>
      </c>
      <c r="B11583" s="24" t="s">
        <v>11995</v>
      </c>
      <c r="C11583" s="25">
        <v>51100</v>
      </c>
      <c r="D11583" s="22" t="s">
        <v>13834</v>
      </c>
      <c r="E11583" s="22" t="s">
        <v>59</v>
      </c>
      <c r="F11583" s="23" t="str">
        <f>HYPERLINK("https://www.spark-marketing.ru/Card/Lot/68995539", "Установка системы видеонаблюдения   МБОУ «Акбулакская СОШ № 3» (филиал в поселке Кулаксай).")</f>
        <v>Установка системы видеонаблюдения   МБОУ «Акбулакская СОШ № 3» (филиал в поселке Кулаксай).</v>
      </c>
      <c r="G11583" s="22" t="s">
        <v>384</v>
      </c>
      <c r="H11583" s="22" t="s">
        <v>384</v>
      </c>
      <c r="I11583" s="26">
        <v>43549.7</v>
      </c>
      <c r="J11583" s="23" t="str">
        <f>HYPERLINK("https://www.spark-marketing.ru/Card/Person/418017", "Кожемякин Григорий Валерьевич")</f>
        <v>Кожемякин Григорий Валерьевич</v>
      </c>
      <c r="K11583" s="24" t="s">
        <v>3982</v>
      </c>
      <c r="L11583" s="22" t="s">
        <v>10</v>
      </c>
      <c r="M11583" s="28" t="s">
        <v>52</v>
      </c>
      <c r="N11583" s="28" t="s">
        <v>52</v>
      </c>
    </row>
    <row r="11584" spans="1:14" x14ac:dyDescent="0.15">
      <c r="A11584" s="23" t="str">
        <f>HYPERLINK("https://www.spark-marketing.ru/Card/Person/139543", "УПРАВЛЕНИЕ ПО ОБЕСПЕЧЕНИЮ ДЕЯТЕЛЬНОСТИ МИРОВЫХ СУДЕЙ ЧАО")</f>
        <v>УПРАВЛЕНИЕ ПО ОБЕСПЕЧЕНИЮ ДЕЯТЕЛЬНОСТИ МИРОВЫХ СУДЕЙ ЧАО</v>
      </c>
      <c r="B11584" s="24" t="s">
        <v>13835</v>
      </c>
      <c r="C11584" s="25">
        <v>429024.48</v>
      </c>
      <c r="D11584" s="22" t="s">
        <v>13836</v>
      </c>
      <c r="E11584" s="22" t="s">
        <v>68</v>
      </c>
      <c r="F11584" s="23" t="str">
        <f>HYPERLINK("https://www.spark-marketing.ru/Card/Lot/68969241", "Оказание услуг охраны объекта с помощью технических средств охранной сигнализации (г. Билибино г. Певек)")</f>
        <v>Оказание услуг охраны объекта с помощью технических средств охранной сигнализации (г. Билибино г. Певек)</v>
      </c>
      <c r="G11584" s="22" t="s">
        <v>1544</v>
      </c>
      <c r="H11584" s="22" t="s">
        <v>1544</v>
      </c>
      <c r="I11584" s="26">
        <v>43549.675000000003</v>
      </c>
      <c r="J11584" s="28" t="s">
        <v>52</v>
      </c>
      <c r="K11584" s="28" t="s">
        <v>52</v>
      </c>
      <c r="L11584" s="28" t="s">
        <v>52</v>
      </c>
      <c r="M11584" s="28" t="s">
        <v>52</v>
      </c>
      <c r="N11584" s="28" t="s">
        <v>52</v>
      </c>
    </row>
    <row r="11585" spans="1:14" x14ac:dyDescent="0.2">
      <c r="A11585" s="23" t="str">
        <f>HYPERLINK("https://www.spark-marketing.ru/Card/Person/4343563", "РТРС")</f>
        <v>РТРС</v>
      </c>
      <c r="B11585" s="24" t="s">
        <v>1414</v>
      </c>
      <c r="C11585" s="25">
        <v>3008007.16</v>
      </c>
      <c r="D11585" s="22" t="s">
        <v>13837</v>
      </c>
      <c r="E11585" s="22" t="s">
        <v>144</v>
      </c>
      <c r="F11585" s="23" t="str">
        <f>HYPERLINK("https://www.spark-marketing.ru/Card/Lot/68996016", "Физическая охрана объекта и осуществление контрольно-пропускного режима")</f>
        <v>Физическая охрана объекта и осуществление контрольно-пропускного режима</v>
      </c>
      <c r="G11585" s="22" t="s">
        <v>55</v>
      </c>
      <c r="H11585" s="22" t="s">
        <v>55</v>
      </c>
      <c r="I11585" s="26">
        <v>43549.684131944399</v>
      </c>
      <c r="J11585" s="23" t="str">
        <f>HYPERLINK("https://www.spark-marketing.ru/Card/Person/10487", "ФГУП ""ОХРАНА"" РОСГВАРДИИ")</f>
        <v>ФГУП "ОХРАНА" РОСГВАРДИИ</v>
      </c>
      <c r="K11585" s="24" t="s">
        <v>779</v>
      </c>
      <c r="L11585" s="28" t="s">
        <v>52</v>
      </c>
      <c r="M11585" s="25">
        <v>3007928</v>
      </c>
      <c r="N11585" s="27">
        <v>2.6316426720207675E-5</v>
      </c>
    </row>
    <row r="11586" spans="1:14" x14ac:dyDescent="0.15">
      <c r="A11586" s="23" t="str">
        <f>HYPERLINK("https://www.spark-marketing.ru/Card/Person/641874", "УПФР В АГИНСКОМ БУРЯТСКОМ ОКРУГЕ ЗАБАЙКАЛЬСКОГО КРАЯ (МЕЖРАЙОННОЕ)")</f>
        <v>УПФР В АГИНСКОМ БУРЯТСКОМ ОКРУГЕ ЗАБАЙКАЛЬСКОГО КРАЯ (МЕЖРАЙОННОЕ)</v>
      </c>
      <c r="B11586" s="24" t="s">
        <v>13838</v>
      </c>
      <c r="C11586" s="25">
        <v>210620</v>
      </c>
      <c r="D11586" s="22" t="s">
        <v>13839</v>
      </c>
      <c r="E11586" s="22" t="s">
        <v>349</v>
      </c>
      <c r="F11586" s="23" t="str">
        <f>HYPERLINK("https://www.spark-marketing.ru/Card/Lot/68977446", "Оказание услуг по техническому обслуживанию систем видеонаблюдения")</f>
        <v>Оказание услуг по техническому обслуживанию систем видеонаблюдения</v>
      </c>
      <c r="G11586" s="22" t="s">
        <v>473</v>
      </c>
      <c r="H11586" s="22" t="s">
        <v>13840</v>
      </c>
      <c r="I11586" s="26">
        <v>43549.688194444403</v>
      </c>
      <c r="J11586" s="28" t="s">
        <v>52</v>
      </c>
      <c r="K11586" s="28" t="s">
        <v>52</v>
      </c>
      <c r="L11586" s="28" t="s">
        <v>52</v>
      </c>
      <c r="M11586" s="28" t="s">
        <v>52</v>
      </c>
      <c r="N11586" s="28" t="s">
        <v>52</v>
      </c>
    </row>
    <row r="11587" spans="1:14" ht="12.75" hidden="1" outlineLevel="1" x14ac:dyDescent="0.2">
      <c r="A11587" s="23" t="str">
        <f>HYPERLINK("https://www.spark-marketing.ru/Card/Person/641874", "УПФР В АГИНСКОМ БУРЯТСКОМ ОКРУГЕ ЗАБАЙКАЛЬСКОГО КРАЯ (МЕЖРАЙОННОЕ)")</f>
        <v>УПФР В АГИНСКОМ БУРЯТСКОМ ОКРУГЕ ЗАБАЙКАЛЬСКОГО КРАЯ (МЕЖРАЙОННОЕ)</v>
      </c>
      <c r="B11587" s="24" t="s">
        <v>13838</v>
      </c>
      <c r="C11587" s="25">
        <v>210620</v>
      </c>
      <c r="D11587" s="22" t="s">
        <v>13839</v>
      </c>
      <c r="E11587" s="22" t="s">
        <v>349</v>
      </c>
      <c r="F11587" s="23" t="str">
        <f>HYPERLINK("https://www.spark-marketing.ru/Card/Lot/68977446", "Оказание услуг по техническому обслуживанию систем видеонаблюдения")</f>
        <v>Оказание услуг по техническому обслуживанию систем видеонаблюдения</v>
      </c>
      <c r="G11587" s="22" t="s">
        <v>473</v>
      </c>
      <c r="H11587" s="22" t="s">
        <v>13840</v>
      </c>
      <c r="I11587" s="26">
        <v>43549.688194444403</v>
      </c>
      <c r="J11587" s="23" t="str">
        <f>HYPERLINK("https://www.spark-marketing.ru/Card/Person/4714501", "ООО ""СТАНДАРТ-СЕРВИС""")</f>
        <v>ООО "СТАНДАРТ-СЕРВИС"</v>
      </c>
      <c r="K11587" s="24" t="s">
        <v>13841</v>
      </c>
      <c r="L11587" s="22" t="s">
        <v>10</v>
      </c>
      <c r="M11587" s="25">
        <v>137930.9</v>
      </c>
      <c r="N11587" s="27">
        <v>0.34511964675719303</v>
      </c>
    </row>
    <row r="11588" spans="1:14" hidden="1" outlineLevel="1" x14ac:dyDescent="0.2">
      <c r="A11588" s="23" t="str">
        <f>HYPERLINK("https://www.spark-marketing.ru/Card/Person/641874", "УПФР В АГИНСКОМ БУРЯТСКОМ ОКРУГЕ ЗАБАЙКАЛЬСКОГО КРАЯ (МЕЖРАЙОННОЕ)")</f>
        <v>УПФР В АГИНСКОМ БУРЯТСКОМ ОКРУГЕ ЗАБАЙКАЛЬСКОГО КРАЯ (МЕЖРАЙОННОЕ)</v>
      </c>
      <c r="B11588" s="24" t="s">
        <v>13838</v>
      </c>
      <c r="C11588" s="25">
        <v>210620</v>
      </c>
      <c r="D11588" s="22" t="s">
        <v>13839</v>
      </c>
      <c r="E11588" s="22" t="s">
        <v>349</v>
      </c>
      <c r="F11588" s="23" t="str">
        <f>HYPERLINK("https://www.spark-marketing.ru/Card/Lot/68977446", "Оказание услуг по техническому обслуживанию систем видеонаблюдения")</f>
        <v>Оказание услуг по техническому обслуживанию систем видеонаблюдения</v>
      </c>
      <c r="G11588" s="22" t="s">
        <v>473</v>
      </c>
      <c r="H11588" s="22" t="s">
        <v>13840</v>
      </c>
      <c r="I11588" s="26">
        <v>43549.688194444403</v>
      </c>
      <c r="J11588" s="23" t="str">
        <f>HYPERLINK("https://www.spark-marketing.ru/Card/Person/673123", "ООО ЧОП ""КОДЕКС""")</f>
        <v>ООО ЧОП "КОДЕКС"</v>
      </c>
      <c r="K11588" s="24" t="s">
        <v>13842</v>
      </c>
      <c r="L11588" s="28" t="s">
        <v>52</v>
      </c>
      <c r="M11588" s="25">
        <v>138984</v>
      </c>
      <c r="N11588" s="27">
        <v>0.34011964675719303</v>
      </c>
    </row>
    <row r="11589" spans="1:14" x14ac:dyDescent="0.15">
      <c r="A11589" s="23" t="str">
        <f>HYPERLINK("https://www.spark-marketing.ru/Card/Person/4377779", "МБДОУ ""ДЕТСКИЙ САД № 7 ""ТЕРЕМОК""")</f>
        <v>МБДОУ "ДЕТСКИЙ САД № 7 "ТЕРЕМОК"</v>
      </c>
      <c r="B11589" s="24" t="s">
        <v>13843</v>
      </c>
      <c r="C11589" s="25">
        <v>51100</v>
      </c>
      <c r="D11589" s="22" t="s">
        <v>13844</v>
      </c>
      <c r="E11589" s="22" t="s">
        <v>59</v>
      </c>
      <c r="F11589" s="23" t="str">
        <f>HYPERLINK("https://www.spark-marketing.ru/Card/Lot/68995525", "Установка системы видеонаблюдения   МБДОУ «Детский сад № 7 «Теремок».")</f>
        <v>Установка системы видеонаблюдения   МБДОУ «Детский сад № 7 «Теремок».</v>
      </c>
      <c r="G11589" s="22" t="s">
        <v>384</v>
      </c>
      <c r="H11589" s="22" t="s">
        <v>384</v>
      </c>
      <c r="I11589" s="26">
        <v>43549.694444444402</v>
      </c>
      <c r="J11589" s="23" t="str">
        <f>HYPERLINK("https://www.spark-marketing.ru/Card/Person/418017", "Кожемякин Григорий Валерьевич")</f>
        <v>Кожемякин Григорий Валерьевич</v>
      </c>
      <c r="K11589" s="24" t="s">
        <v>3982</v>
      </c>
      <c r="L11589" s="22" t="s">
        <v>10</v>
      </c>
      <c r="M11589" s="28" t="s">
        <v>52</v>
      </c>
      <c r="N11589" s="28" t="s">
        <v>52</v>
      </c>
    </row>
    <row r="11590" spans="1:14" x14ac:dyDescent="0.15">
      <c r="A11590" s="23" t="str">
        <f>HYPERLINK("https://www.spark-marketing.ru/Card/Person/1035707", "МБУДО ДТР")</f>
        <v>МБУДО ДТР</v>
      </c>
      <c r="B11590" s="24" t="s">
        <v>13845</v>
      </c>
      <c r="C11590" s="25">
        <v>51100</v>
      </c>
      <c r="D11590" s="22" t="s">
        <v>13846</v>
      </c>
      <c r="E11590" s="22" t="s">
        <v>59</v>
      </c>
      <c r="F11590" s="23" t="str">
        <f>HYPERLINK("https://www.spark-marketing.ru/Card/Lot/68995538", "Установка системы видеонаблюдения   в Муниципальном бюджетном  учреждении дополнительного образования «Дом творческого развития  Акбулакского района Оренбургской области».")</f>
        <v>Установка системы видеонаблюдения   в Муниципальном бюджетном  учреждении дополнительного образования «Дом творческого развития  Акбулакского района Оренбургской области».</v>
      </c>
      <c r="G11590" s="22" t="s">
        <v>384</v>
      </c>
      <c r="H11590" s="22" t="s">
        <v>384</v>
      </c>
      <c r="I11590" s="26">
        <v>43549.694444444402</v>
      </c>
      <c r="J11590" s="23" t="str">
        <f>HYPERLINK("https://www.spark-marketing.ru/Card/Person/418017", "Кожемякин Григорий Валерьевич")</f>
        <v>Кожемякин Григорий Валерьевич</v>
      </c>
      <c r="K11590" s="24" t="s">
        <v>3982</v>
      </c>
      <c r="L11590" s="22" t="s">
        <v>10</v>
      </c>
      <c r="M11590" s="28" t="s">
        <v>52</v>
      </c>
      <c r="N11590" s="28" t="s">
        <v>52</v>
      </c>
    </row>
    <row r="11591" spans="1:14" x14ac:dyDescent="0.15">
      <c r="A11591" s="23" t="str">
        <f>HYPERLINK("https://www.spark-marketing.ru/Card/Person/330016", "КУРСКАЯ АЭС - ФИЛИАЛ ОАО ""КОНЦЕРН РОСЭНЕРГОАТОМ""")</f>
        <v>КУРСКАЯ АЭС - ФИЛИАЛ ОАО "КОНЦЕРН РОСЭНЕРГОАТОМ"</v>
      </c>
      <c r="B11591" s="24" t="s">
        <v>211</v>
      </c>
      <c r="C11591" s="25">
        <v>1731000</v>
      </c>
      <c r="D11591" s="22" t="s">
        <v>13847</v>
      </c>
      <c r="E11591" s="22" t="s">
        <v>53</v>
      </c>
      <c r="F11591" s="23" t="str">
        <f>HYPERLINK("https://www.spark-marketing.ru/Card/Lot/68994722", "Право заключения договора на Охрана внешних объектов Смоленской АЭС при помощи пульта централизованного наблюдения")</f>
        <v>Право заключения договора на Охрана внешних объектов Смоленской АЭС при помощи пульта централизованного наблюдения</v>
      </c>
      <c r="G11591" s="22" t="s">
        <v>55</v>
      </c>
      <c r="H11591" s="22" t="s">
        <v>55</v>
      </c>
      <c r="I11591" s="26">
        <v>43549.638391203698</v>
      </c>
      <c r="J11591" s="28" t="s">
        <v>52</v>
      </c>
      <c r="K11591" s="28" t="s">
        <v>52</v>
      </c>
      <c r="L11591" s="28" t="s">
        <v>52</v>
      </c>
      <c r="M11591" s="28" t="s">
        <v>52</v>
      </c>
      <c r="N11591" s="28" t="s">
        <v>52</v>
      </c>
    </row>
    <row r="11592" spans="1:14" x14ac:dyDescent="0.15">
      <c r="A11592" s="23" t="str">
        <f t="shared" ref="A11592:A11600" si="591">HYPERLINK("https://www.spark-marketing.ru/Card/Person/57844", "СПБ ГБУ ""ПМДЦ ""ФРУНЗЕНСКИЙ""")</f>
        <v>СПБ ГБУ "ПМДЦ "ФРУНЗЕНСКИЙ"</v>
      </c>
      <c r="B11592" s="24" t="s">
        <v>13848</v>
      </c>
      <c r="C11592" s="25">
        <v>728357</v>
      </c>
      <c r="D11592" s="22" t="s">
        <v>13849</v>
      </c>
      <c r="E11592" s="22" t="s">
        <v>59</v>
      </c>
      <c r="F11592" s="23" t="str">
        <f t="shared" ref="F11592:F11600" si="592">HYPERLINK("https://www.spark-marketing.ru/Card/Lot/68997662", "Выполнение работ по монтажу системы видеонаблюдения в зданиях ДМ ""Купчино""")</f>
        <v>Выполнение работ по монтажу системы видеонаблюдения в зданиях ДМ "Купчино"</v>
      </c>
      <c r="G11592" s="22" t="s">
        <v>89</v>
      </c>
      <c r="H11592" s="22" t="s">
        <v>89</v>
      </c>
      <c r="I11592" s="26">
        <v>43549.65625</v>
      </c>
      <c r="J11592" s="28" t="s">
        <v>52</v>
      </c>
      <c r="K11592" s="28" t="s">
        <v>52</v>
      </c>
      <c r="L11592" s="28" t="s">
        <v>52</v>
      </c>
      <c r="M11592" s="28" t="s">
        <v>52</v>
      </c>
      <c r="N11592" s="28" t="s">
        <v>52</v>
      </c>
    </row>
    <row r="11593" spans="1:14" hidden="1" outlineLevel="1" x14ac:dyDescent="0.2">
      <c r="A11593" s="23" t="str">
        <f t="shared" si="591"/>
        <v>СПБ ГБУ "ПМДЦ "ФРУНЗЕНСКИЙ"</v>
      </c>
      <c r="B11593" s="24" t="s">
        <v>13848</v>
      </c>
      <c r="C11593" s="25">
        <v>728357</v>
      </c>
      <c r="D11593" s="22" t="s">
        <v>13849</v>
      </c>
      <c r="E11593" s="22" t="s">
        <v>59</v>
      </c>
      <c r="F11593" s="23" t="str">
        <f t="shared" si="592"/>
        <v>Выполнение работ по монтажу системы видеонаблюдения в зданиях ДМ "Купчино"</v>
      </c>
      <c r="G11593" s="22" t="s">
        <v>89</v>
      </c>
      <c r="H11593" s="22" t="s">
        <v>89</v>
      </c>
      <c r="I11593" s="26">
        <v>43549.65625</v>
      </c>
      <c r="J11593" s="23" t="str">
        <f>HYPERLINK("https://www.spark-marketing.ru/Card/Person/6348809", "ООО ""ИСБ""")</f>
        <v>ООО "ИСБ"</v>
      </c>
      <c r="K11593" s="24" t="s">
        <v>7239</v>
      </c>
      <c r="L11593" s="28" t="s">
        <v>52</v>
      </c>
      <c r="M11593" s="25">
        <v>565000</v>
      </c>
      <c r="N11593" s="27">
        <v>0.22428149931970173</v>
      </c>
    </row>
    <row r="11594" spans="1:14" hidden="1" outlineLevel="1" x14ac:dyDescent="0.2">
      <c r="A11594" s="23" t="str">
        <f t="shared" si="591"/>
        <v>СПБ ГБУ "ПМДЦ "ФРУНЗЕНСКИЙ"</v>
      </c>
      <c r="B11594" s="24" t="s">
        <v>13848</v>
      </c>
      <c r="C11594" s="25">
        <v>728357</v>
      </c>
      <c r="D11594" s="22" t="s">
        <v>13849</v>
      </c>
      <c r="E11594" s="22" t="s">
        <v>59</v>
      </c>
      <c r="F11594" s="23" t="str">
        <f t="shared" si="592"/>
        <v>Выполнение работ по монтажу системы видеонаблюдения в зданиях ДМ "Купчино"</v>
      </c>
      <c r="G11594" s="22" t="s">
        <v>89</v>
      </c>
      <c r="H11594" s="22" t="s">
        <v>89</v>
      </c>
      <c r="I11594" s="26">
        <v>43549.65625</v>
      </c>
      <c r="J11594" s="23" t="str">
        <f>HYPERLINK("https://www.spark-marketing.ru/Card/Person/5897511", "Романов Максим Александрович")</f>
        <v>Романов Максим Александрович</v>
      </c>
      <c r="K11594" s="24" t="s">
        <v>4769</v>
      </c>
      <c r="L11594" s="28" t="s">
        <v>52</v>
      </c>
      <c r="M11594" s="25">
        <v>549909.29</v>
      </c>
      <c r="N11594" s="27">
        <v>0.24500033637350915</v>
      </c>
    </row>
    <row r="11595" spans="1:14" hidden="1" outlineLevel="1" x14ac:dyDescent="0.2">
      <c r="A11595" s="23" t="str">
        <f t="shared" si="591"/>
        <v>СПБ ГБУ "ПМДЦ "ФРУНЗЕНСКИЙ"</v>
      </c>
      <c r="B11595" s="24" t="s">
        <v>13848</v>
      </c>
      <c r="C11595" s="25">
        <v>728357</v>
      </c>
      <c r="D11595" s="22" t="s">
        <v>13849</v>
      </c>
      <c r="E11595" s="22" t="s">
        <v>59</v>
      </c>
      <c r="F11595" s="23" t="str">
        <f t="shared" si="592"/>
        <v>Выполнение работ по монтажу системы видеонаблюдения в зданиях ДМ "Купчино"</v>
      </c>
      <c r="G11595" s="22" t="s">
        <v>89</v>
      </c>
      <c r="H11595" s="22" t="s">
        <v>89</v>
      </c>
      <c r="I11595" s="26">
        <v>43549.65625</v>
      </c>
      <c r="J11595" s="23" t="str">
        <f>HYPERLINK("https://www.spark-marketing.ru/Card/Person/94345", "ООО ""СТРОЙСЕРВИСПРОЕКТ""")</f>
        <v>ООО "СТРОЙСЕРВИСПРОЕКТ"</v>
      </c>
      <c r="K11595" s="24" t="s">
        <v>1285</v>
      </c>
      <c r="L11595" s="28" t="s">
        <v>52</v>
      </c>
      <c r="M11595" s="25">
        <v>680134.31</v>
      </c>
      <c r="N11595" s="27">
        <v>6.620749165587754E-2</v>
      </c>
    </row>
    <row r="11596" spans="1:14" hidden="1" outlineLevel="1" x14ac:dyDescent="0.2">
      <c r="A11596" s="23" t="str">
        <f t="shared" si="591"/>
        <v>СПБ ГБУ "ПМДЦ "ФРУНЗЕНСКИЙ"</v>
      </c>
      <c r="B11596" s="24" t="s">
        <v>13848</v>
      </c>
      <c r="C11596" s="25">
        <v>728357</v>
      </c>
      <c r="D11596" s="22" t="s">
        <v>13849</v>
      </c>
      <c r="E11596" s="22" t="s">
        <v>59</v>
      </c>
      <c r="F11596" s="23" t="str">
        <f t="shared" si="592"/>
        <v>Выполнение работ по монтажу системы видеонаблюдения в зданиях ДМ "Купчино"</v>
      </c>
      <c r="G11596" s="22" t="s">
        <v>89</v>
      </c>
      <c r="H11596" s="22" t="s">
        <v>89</v>
      </c>
      <c r="I11596" s="26">
        <v>43549.65625</v>
      </c>
      <c r="J11596" s="23" t="str">
        <f>HYPERLINK("https://www.spark-marketing.ru/Card/Person/5950116", "ООО ""АСБ""")</f>
        <v>ООО "АСБ"</v>
      </c>
      <c r="K11596" s="24" t="s">
        <v>11384</v>
      </c>
      <c r="L11596" s="28" t="s">
        <v>52</v>
      </c>
      <c r="M11596" s="25">
        <v>685000</v>
      </c>
      <c r="N11596" s="27">
        <v>5.9527127493797682E-2</v>
      </c>
    </row>
    <row r="11597" spans="1:14" hidden="1" outlineLevel="1" x14ac:dyDescent="0.2">
      <c r="A11597" s="23" t="str">
        <f t="shared" si="591"/>
        <v>СПБ ГБУ "ПМДЦ "ФРУНЗЕНСКИЙ"</v>
      </c>
      <c r="B11597" s="24" t="s">
        <v>13848</v>
      </c>
      <c r="C11597" s="25">
        <v>728357</v>
      </c>
      <c r="D11597" s="22" t="s">
        <v>13849</v>
      </c>
      <c r="E11597" s="22" t="s">
        <v>59</v>
      </c>
      <c r="F11597" s="23" t="str">
        <f t="shared" si="592"/>
        <v>Выполнение работ по монтажу системы видеонаблюдения в зданиях ДМ "Купчино"</v>
      </c>
      <c r="G11597" s="22" t="s">
        <v>89</v>
      </c>
      <c r="H11597" s="22" t="s">
        <v>89</v>
      </c>
      <c r="I11597" s="26">
        <v>43549.65625</v>
      </c>
      <c r="J11597" s="23" t="str">
        <f>HYPERLINK("https://www.spark-marketing.ru/Card/Person/6293291", "Данвальд Наталья Викторовна")</f>
        <v>Данвальд Наталья Викторовна</v>
      </c>
      <c r="K11597" s="24" t="s">
        <v>10041</v>
      </c>
      <c r="L11597" s="28" t="s">
        <v>52</v>
      </c>
      <c r="M11597" s="25">
        <v>528058.55000000005</v>
      </c>
      <c r="N11597" s="27">
        <v>0.27500037756210211</v>
      </c>
    </row>
    <row r="11598" spans="1:14" hidden="1" outlineLevel="1" x14ac:dyDescent="0.2">
      <c r="A11598" s="23" t="str">
        <f t="shared" si="591"/>
        <v>СПБ ГБУ "ПМДЦ "ФРУНЗЕНСКИЙ"</v>
      </c>
      <c r="B11598" s="24" t="s">
        <v>13848</v>
      </c>
      <c r="C11598" s="25">
        <v>728357</v>
      </c>
      <c r="D11598" s="22" t="s">
        <v>13849</v>
      </c>
      <c r="E11598" s="22" t="s">
        <v>59</v>
      </c>
      <c r="F11598" s="23" t="str">
        <f t="shared" si="592"/>
        <v>Выполнение работ по монтажу системы видеонаблюдения в зданиях ДМ "Купчино"</v>
      </c>
      <c r="G11598" s="22" t="s">
        <v>89</v>
      </c>
      <c r="H11598" s="22" t="s">
        <v>89</v>
      </c>
      <c r="I11598" s="26">
        <v>43549.65625</v>
      </c>
      <c r="J11598" s="23" t="str">
        <f>HYPERLINK("https://www.spark-marketing.ru/Card/Person/4345955", "ООО ""СБ-СЕРВИС""")</f>
        <v>ООО "СБ-СЕРВИС"</v>
      </c>
      <c r="K11598" s="24" t="s">
        <v>10035</v>
      </c>
      <c r="L11598" s="28" t="s">
        <v>52</v>
      </c>
      <c r="M11598" s="25">
        <v>713789.86</v>
      </c>
      <c r="N11598" s="27">
        <v>0.02</v>
      </c>
    </row>
    <row r="11599" spans="1:14" hidden="1" outlineLevel="1" x14ac:dyDescent="0.2">
      <c r="A11599" s="23" t="str">
        <f t="shared" si="591"/>
        <v>СПБ ГБУ "ПМДЦ "ФРУНЗЕНСКИЙ"</v>
      </c>
      <c r="B11599" s="24" t="s">
        <v>13848</v>
      </c>
      <c r="C11599" s="25">
        <v>728357</v>
      </c>
      <c r="D11599" s="22" t="s">
        <v>13849</v>
      </c>
      <c r="E11599" s="22" t="s">
        <v>59</v>
      </c>
      <c r="F11599" s="23" t="str">
        <f t="shared" si="592"/>
        <v>Выполнение работ по монтажу системы видеонаблюдения в зданиях ДМ "Купчино"</v>
      </c>
      <c r="G11599" s="22" t="s">
        <v>89</v>
      </c>
      <c r="H11599" s="22" t="s">
        <v>89</v>
      </c>
      <c r="I11599" s="26">
        <v>43549.65625</v>
      </c>
      <c r="J11599" s="23" t="str">
        <f>HYPERLINK("https://www.spark-marketing.ru/Card/Person/153636", "ООО ""ПН-СИСТЕМ""")</f>
        <v>ООО "ПН-СИСТЕМ"</v>
      </c>
      <c r="K11599" s="24" t="s">
        <v>13850</v>
      </c>
      <c r="L11599" s="28" t="s">
        <v>52</v>
      </c>
      <c r="M11599" s="25">
        <v>650000</v>
      </c>
      <c r="N11599" s="27">
        <v>0.10758048594301969</v>
      </c>
    </row>
    <row r="11600" spans="1:14" ht="12.75" hidden="1" outlineLevel="1" x14ac:dyDescent="0.2">
      <c r="A11600" s="23" t="str">
        <f t="shared" si="591"/>
        <v>СПБ ГБУ "ПМДЦ "ФРУНЗЕНСКИЙ"</v>
      </c>
      <c r="B11600" s="24" t="s">
        <v>13848</v>
      </c>
      <c r="C11600" s="25">
        <v>728357</v>
      </c>
      <c r="D11600" s="22" t="s">
        <v>13849</v>
      </c>
      <c r="E11600" s="22" t="s">
        <v>59</v>
      </c>
      <c r="F11600" s="23" t="str">
        <f t="shared" si="592"/>
        <v>Выполнение работ по монтажу системы видеонаблюдения в зданиях ДМ "Купчино"</v>
      </c>
      <c r="G11600" s="22" t="s">
        <v>89</v>
      </c>
      <c r="H11600" s="22" t="s">
        <v>89</v>
      </c>
      <c r="I11600" s="26">
        <v>43549.65625</v>
      </c>
      <c r="J11600" s="23" t="str">
        <f>HYPERLINK("https://www.spark-marketing.ru/Card/Person/6458113", "ООО ""НООТЭК""")</f>
        <v>ООО "НООТЭК"</v>
      </c>
      <c r="K11600" s="24" t="s">
        <v>5875</v>
      </c>
      <c r="L11600" s="22" t="s">
        <v>10</v>
      </c>
      <c r="M11600" s="25">
        <v>524416.76</v>
      </c>
      <c r="N11600" s="27">
        <v>0.28000038442686759</v>
      </c>
    </row>
    <row r="11601" spans="1:14" x14ac:dyDescent="0.15">
      <c r="A11601" s="23" t="str">
        <f>HYPERLINK("https://www.spark-marketing.ru/Card/Person/73162", "ПРИВОЛЖСКОЕ СУТ СК РОССИИ")</f>
        <v>ПРИВОЛЖСКОЕ СУТ СК РОССИИ</v>
      </c>
      <c r="B11601" s="24" t="s">
        <v>10820</v>
      </c>
      <c r="C11601" s="25">
        <v>85500</v>
      </c>
      <c r="D11601" s="22" t="s">
        <v>13851</v>
      </c>
      <c r="E11601" s="22" t="s">
        <v>68</v>
      </c>
      <c r="F11601" s="23" t="str">
        <f>HYPERLINK("https://www.spark-marketing.ru/Card/Lot/68995653", "Услуги по централизованной охране объекта, включающие в себя контроль за каналом передачи тревожного извещения и централизованного наблюдения с объекта  и экстренный выезд наряда полиции по сигналу ""Тревога"" (г. Самара)")</f>
        <v>Услуги по централизованной охране объекта, включающие в себя контроль за каналом передачи тревожного извещения и централизованного наблюдения с объекта  и экстренный выезд наряда полиции по сигналу "Тревога" (г. Самара)</v>
      </c>
      <c r="G11601" s="22" t="s">
        <v>760</v>
      </c>
      <c r="H11601" s="22" t="s">
        <v>1709</v>
      </c>
      <c r="I11601" s="26">
        <v>43549.640277777798</v>
      </c>
      <c r="J11601" s="28" t="s">
        <v>52</v>
      </c>
      <c r="K11601" s="28" t="s">
        <v>52</v>
      </c>
      <c r="L11601" s="28" t="s">
        <v>52</v>
      </c>
      <c r="M11601" s="28" t="s">
        <v>52</v>
      </c>
      <c r="N11601" s="28" t="s">
        <v>52</v>
      </c>
    </row>
    <row r="11602" spans="1:14" x14ac:dyDescent="0.15">
      <c r="A11602" s="23" t="str">
        <f>HYPERLINK("https://www.spark-marketing.ru/Card/Person/4434547", "ООО ""ТЕХНОАЛЬЯНСИНВЕСТ""")</f>
        <v>ООО "ТЕХНОАЛЬЯНСИНВЕСТ"</v>
      </c>
      <c r="B11602" s="24" t="s">
        <v>12404</v>
      </c>
      <c r="C11602" s="25">
        <v>1650000</v>
      </c>
      <c r="D11602" s="22" t="s">
        <v>13852</v>
      </c>
      <c r="E11602" s="22" t="s">
        <v>12406</v>
      </c>
      <c r="F11602" s="23" t="str">
        <f>HYPERLINK("https://www.spark-marketing.ru/Card/Lot/68991584", "Техническое обслуживание газового, теплоэнергетического оборудования, КИПиА, автоматики безопасности, систем автоматического регулирования, контроля, сигнализации и управления технологическими процессами котельной")</f>
        <v>Техническое обслуживание газового, теплоэнергетического оборудования, КИПиА, автоматики безопасности, систем автоматического регулирования, контроля, сигнализации и управления технологическими процессами котельной</v>
      </c>
      <c r="G11602" s="22" t="s">
        <v>50</v>
      </c>
      <c r="H11602" s="22" t="s">
        <v>50</v>
      </c>
      <c r="I11602" s="26">
        <v>43549.653587963003</v>
      </c>
      <c r="J11602" s="28" t="s">
        <v>52</v>
      </c>
      <c r="K11602" s="28" t="s">
        <v>52</v>
      </c>
      <c r="L11602" s="28" t="s">
        <v>52</v>
      </c>
      <c r="M11602" s="28" t="s">
        <v>52</v>
      </c>
      <c r="N11602" s="28" t="s">
        <v>52</v>
      </c>
    </row>
    <row r="11603" spans="1:14" x14ac:dyDescent="0.15">
      <c r="A11603" s="23" t="str">
        <f>HYPERLINK("https://www.spark-marketing.ru/Card/Person/61921", "МДОУ ""ОДУВАНЧИК""")</f>
        <v>МДОУ "ОДУВАНЧИК"</v>
      </c>
      <c r="B11603" s="24" t="s">
        <v>9206</v>
      </c>
      <c r="C11603" s="25">
        <v>29821.37</v>
      </c>
      <c r="D11603" s="22" t="s">
        <v>13853</v>
      </c>
      <c r="E11603" s="22" t="s">
        <v>208</v>
      </c>
      <c r="F11603" s="23" t="str">
        <f>HYPERLINK("https://www.spark-marketing.ru/Card/Lot/68988385", "Услуги по замене тревожной кнопки")</f>
        <v>Услуги по замене тревожной кнопки</v>
      </c>
      <c r="G11603" s="22" t="s">
        <v>50</v>
      </c>
      <c r="H11603" s="22" t="s">
        <v>50</v>
      </c>
      <c r="I11603" s="26">
        <v>43549.628101851798</v>
      </c>
      <c r="J11603" s="28" t="s">
        <v>52</v>
      </c>
      <c r="K11603" s="28" t="s">
        <v>52</v>
      </c>
      <c r="L11603" s="28" t="s">
        <v>52</v>
      </c>
      <c r="M11603" s="28" t="s">
        <v>52</v>
      </c>
      <c r="N11603" s="28" t="s">
        <v>52</v>
      </c>
    </row>
    <row r="11604" spans="1:14" x14ac:dyDescent="0.15">
      <c r="A11604" s="23" t="str">
        <f>HYPERLINK("https://www.spark-marketing.ru/Card/Person/6447", "УСД В СМОЛЕНСКОЙ ОБЛАСТИ")</f>
        <v>УСД В СМОЛЕНСКОЙ ОБЛАСТИ</v>
      </c>
      <c r="B11604" s="24" t="s">
        <v>13854</v>
      </c>
      <c r="C11604" s="25">
        <v>1498588.8</v>
      </c>
      <c r="D11604" s="22" t="s">
        <v>13855</v>
      </c>
      <c r="E11604" s="22" t="s">
        <v>68</v>
      </c>
      <c r="F11604" s="23" t="str">
        <f>HYPERLINK("https://www.spark-marketing.ru/Card/Lot/68997154", "Государственная военизированная охрана объектов судов")</f>
        <v>Государственная военизированная охрана объектов судов</v>
      </c>
      <c r="G11604" s="22" t="s">
        <v>956</v>
      </c>
      <c r="H11604" s="22" t="s">
        <v>956</v>
      </c>
      <c r="I11604" s="26">
        <v>43549.665972222203</v>
      </c>
      <c r="J11604" s="28" t="s">
        <v>52</v>
      </c>
      <c r="K11604" s="28" t="s">
        <v>52</v>
      </c>
      <c r="L11604" s="28" t="s">
        <v>52</v>
      </c>
      <c r="M11604" s="28" t="s">
        <v>52</v>
      </c>
      <c r="N11604" s="28" t="s">
        <v>52</v>
      </c>
    </row>
    <row r="11605" spans="1:14" x14ac:dyDescent="0.15">
      <c r="A11605" s="23" t="str">
        <f t="shared" ref="A11605:A11611" si="593">HYPERLINK("https://www.spark-marketing.ru/Card/Person/3668", "АДМИНИСТРАЦИЯ ГОРОДА РУБЦОВСКА")</f>
        <v>АДМИНИСТРАЦИЯ ГОРОДА РУБЦОВСКА</v>
      </c>
      <c r="B11605" s="24" t="s">
        <v>6302</v>
      </c>
      <c r="C11605" s="25">
        <v>102858</v>
      </c>
      <c r="D11605" s="22" t="s">
        <v>13856</v>
      </c>
      <c r="E11605" s="22" t="s">
        <v>59</v>
      </c>
      <c r="F11605" s="23" t="str">
        <f>HYPERLINK("https://www.spark-marketing.ru/Card/Lot/68983426", "Установка видеонаблюдения для нужд Администрации города Рубцовска.")</f>
        <v>Установка видеонаблюдения для нужд Администрации города Рубцовска.</v>
      </c>
      <c r="G11605" s="22" t="s">
        <v>428</v>
      </c>
      <c r="H11605" s="22" t="s">
        <v>6304</v>
      </c>
      <c r="I11605" s="26">
        <v>43549.639583333301</v>
      </c>
      <c r="J11605" s="23" t="str">
        <f>HYPERLINK("https://www.spark-marketing.ru/Card/Person/1166510", "Кострикин Александр Владимирович")</f>
        <v>Кострикин Александр Владимирович</v>
      </c>
      <c r="K11605" s="24" t="s">
        <v>13857</v>
      </c>
      <c r="L11605" s="28" t="s">
        <v>52</v>
      </c>
      <c r="M11605" s="28" t="s">
        <v>52</v>
      </c>
      <c r="N11605" s="28" t="s">
        <v>52</v>
      </c>
    </row>
    <row r="11606" spans="1:14" ht="12.75" hidden="1" outlineLevel="1" x14ac:dyDescent="0.2">
      <c r="A11606" s="23" t="str">
        <f t="shared" si="593"/>
        <v>АДМИНИСТРАЦИЯ ГОРОДА РУБЦОВСКА</v>
      </c>
      <c r="B11606" s="24" t="s">
        <v>6302</v>
      </c>
      <c r="C11606" s="25">
        <v>102858</v>
      </c>
      <c r="D11606" s="22" t="s">
        <v>13856</v>
      </c>
      <c r="E11606" s="22" t="s">
        <v>59</v>
      </c>
      <c r="F11606" s="23" t="str">
        <f>HYPERLINK("https://www.spark-marketing.ru/Card/Lot/68983426", "Установка видеонаблюдения для нужд Администрации города Рубцовска.")</f>
        <v>Установка видеонаблюдения для нужд Администрации города Рубцовска.</v>
      </c>
      <c r="G11606" s="22" t="s">
        <v>428</v>
      </c>
      <c r="H11606" s="22" t="s">
        <v>6304</v>
      </c>
      <c r="I11606" s="26">
        <v>43549.639583333301</v>
      </c>
      <c r="J11606" s="23" t="str">
        <f>HYPERLINK("https://www.spark-marketing.ru/Card/Person/1166510", "Кострикин Александр Владимирович")</f>
        <v>Кострикин Александр Владимирович</v>
      </c>
      <c r="K11606" s="24" t="s">
        <v>13857</v>
      </c>
      <c r="L11606" s="22" t="s">
        <v>10</v>
      </c>
      <c r="M11606" s="25">
        <v>101000</v>
      </c>
      <c r="N11606" s="27">
        <v>1.8063738357735906E-2</v>
      </c>
    </row>
    <row r="11607" spans="1:14" x14ac:dyDescent="0.15">
      <c r="A11607" s="23" t="str">
        <f t="shared" si="593"/>
        <v>АДМИНИСТРАЦИЯ ГОРОДА РУБЦОВСКА</v>
      </c>
      <c r="B11607" s="24" t="s">
        <v>6302</v>
      </c>
      <c r="C11607" s="25">
        <v>151300</v>
      </c>
      <c r="D11607" s="22" t="s">
        <v>13858</v>
      </c>
      <c r="E11607" s="22" t="s">
        <v>59</v>
      </c>
      <c r="F11607" s="23" t="str">
        <f>HYPERLINK("https://www.spark-marketing.ru/Card/Lot/68980483", "Установка охранной сигнализации для нужд Администрации города Рубцовска.")</f>
        <v>Установка охранной сигнализации для нужд Администрации города Рубцовска.</v>
      </c>
      <c r="G11607" s="22" t="s">
        <v>428</v>
      </c>
      <c r="H11607" s="22" t="s">
        <v>6304</v>
      </c>
      <c r="I11607" s="26">
        <v>43549.633333333302</v>
      </c>
      <c r="J11607" s="28" t="s">
        <v>52</v>
      </c>
      <c r="K11607" s="28" t="s">
        <v>52</v>
      </c>
      <c r="L11607" s="28" t="s">
        <v>52</v>
      </c>
      <c r="M11607" s="28" t="s">
        <v>52</v>
      </c>
      <c r="N11607" s="28" t="s">
        <v>52</v>
      </c>
    </row>
    <row r="11608" spans="1:14" hidden="1" outlineLevel="1" x14ac:dyDescent="0.2">
      <c r="A11608" s="23" t="str">
        <f t="shared" si="593"/>
        <v>АДМИНИСТРАЦИЯ ГОРОДА РУБЦОВСКА</v>
      </c>
      <c r="B11608" s="24" t="s">
        <v>6302</v>
      </c>
      <c r="C11608" s="25">
        <v>151300</v>
      </c>
      <c r="D11608" s="22" t="s">
        <v>13858</v>
      </c>
      <c r="E11608" s="22" t="s">
        <v>59</v>
      </c>
      <c r="F11608" s="23" t="str">
        <f>HYPERLINK("https://www.spark-marketing.ru/Card/Lot/68980483", "Установка охранной сигнализации для нужд Администрации города Рубцовска.")</f>
        <v>Установка охранной сигнализации для нужд Администрации города Рубцовска.</v>
      </c>
      <c r="G11608" s="22" t="s">
        <v>428</v>
      </c>
      <c r="H11608" s="22" t="s">
        <v>6304</v>
      </c>
      <c r="I11608" s="26">
        <v>43549.633333333302</v>
      </c>
      <c r="J11608" s="23" t="str">
        <f>HYPERLINK("https://www.spark-marketing.ru/Card/Person/6499927", "ООО ""ПРОФСБ""")</f>
        <v>ООО "ПРОФСБ"</v>
      </c>
      <c r="K11608" s="24" t="s">
        <v>3199</v>
      </c>
      <c r="L11608" s="28" t="s">
        <v>52</v>
      </c>
      <c r="M11608" s="25">
        <v>140730.5</v>
      </c>
      <c r="N11608" s="27">
        <v>6.9857898215465966E-2</v>
      </c>
    </row>
    <row r="11609" spans="1:14" hidden="1" outlineLevel="1" x14ac:dyDescent="0.2">
      <c r="A11609" s="23" t="str">
        <f t="shared" si="593"/>
        <v>АДМИНИСТРАЦИЯ ГОРОДА РУБЦОВСКА</v>
      </c>
      <c r="B11609" s="24" t="s">
        <v>6302</v>
      </c>
      <c r="C11609" s="25">
        <v>151300</v>
      </c>
      <c r="D11609" s="22" t="s">
        <v>13858</v>
      </c>
      <c r="E11609" s="22" t="s">
        <v>59</v>
      </c>
      <c r="F11609" s="23" t="str">
        <f>HYPERLINK("https://www.spark-marketing.ru/Card/Lot/68980483", "Установка охранной сигнализации для нужд Администрации города Рубцовска.")</f>
        <v>Установка охранной сигнализации для нужд Администрации города Рубцовска.</v>
      </c>
      <c r="G11609" s="22" t="s">
        <v>428</v>
      </c>
      <c r="H11609" s="22" t="s">
        <v>6304</v>
      </c>
      <c r="I11609" s="26">
        <v>43549.633333333302</v>
      </c>
      <c r="J11609" s="23" t="str">
        <f>HYPERLINK("https://www.spark-marketing.ru/Card/Person/6510307", "ООО ""ТРЕНД""")</f>
        <v>ООО "ТРЕНД"</v>
      </c>
      <c r="K11609" s="24" t="s">
        <v>13859</v>
      </c>
      <c r="L11609" s="28" t="s">
        <v>52</v>
      </c>
      <c r="M11609" s="25">
        <v>126191.5</v>
      </c>
      <c r="N11609" s="27">
        <v>0.16595175148711169</v>
      </c>
    </row>
    <row r="11610" spans="1:14" ht="12.75" hidden="1" outlineLevel="1" x14ac:dyDescent="0.2">
      <c r="A11610" s="23" t="str">
        <f t="shared" si="593"/>
        <v>АДМИНИСТРАЦИЯ ГОРОДА РУБЦОВСКА</v>
      </c>
      <c r="B11610" s="24" t="s">
        <v>6302</v>
      </c>
      <c r="C11610" s="25">
        <v>151300</v>
      </c>
      <c r="D11610" s="22" t="s">
        <v>13858</v>
      </c>
      <c r="E11610" s="22" t="s">
        <v>59</v>
      </c>
      <c r="F11610" s="23" t="str">
        <f>HYPERLINK("https://www.spark-marketing.ru/Card/Lot/68980483", "Установка охранной сигнализации для нужд Администрации города Рубцовска.")</f>
        <v>Установка охранной сигнализации для нужд Администрации города Рубцовска.</v>
      </c>
      <c r="G11610" s="22" t="s">
        <v>428</v>
      </c>
      <c r="H11610" s="22" t="s">
        <v>6304</v>
      </c>
      <c r="I11610" s="26">
        <v>43549.633333333302</v>
      </c>
      <c r="J11610" s="23" t="str">
        <f>HYPERLINK("https://www.spark-marketing.ru/Card/Person/608191", "Трошков Денис Валерьевич")</f>
        <v>Трошков Денис Валерьевич</v>
      </c>
      <c r="K11610" s="24" t="s">
        <v>13860</v>
      </c>
      <c r="L11610" s="22" t="s">
        <v>10</v>
      </c>
      <c r="M11610" s="25">
        <v>125435</v>
      </c>
      <c r="N11610" s="27">
        <v>0.1709517514871117</v>
      </c>
    </row>
    <row r="11611" spans="1:14" hidden="1" outlineLevel="1" x14ac:dyDescent="0.2">
      <c r="A11611" s="23" t="str">
        <f t="shared" si="593"/>
        <v>АДМИНИСТРАЦИЯ ГОРОДА РУБЦОВСКА</v>
      </c>
      <c r="B11611" s="24" t="s">
        <v>6302</v>
      </c>
      <c r="C11611" s="25">
        <v>151300</v>
      </c>
      <c r="D11611" s="22" t="s">
        <v>13858</v>
      </c>
      <c r="E11611" s="22" t="s">
        <v>59</v>
      </c>
      <c r="F11611" s="23" t="str">
        <f>HYPERLINK("https://www.spark-marketing.ru/Card/Lot/68980483", "Установка охранной сигнализации для нужд Администрации города Рубцовска.")</f>
        <v>Установка охранной сигнализации для нужд Администрации города Рубцовска.</v>
      </c>
      <c r="G11611" s="22" t="s">
        <v>428</v>
      </c>
      <c r="H11611" s="22" t="s">
        <v>6304</v>
      </c>
      <c r="I11611" s="26">
        <v>43549.633333333302</v>
      </c>
      <c r="J11611" s="23" t="str">
        <f>HYPERLINK("https://www.spark-marketing.ru/Card/Person/106748", "ООО ""РЕЗУЛЬТАТ""")</f>
        <v>ООО "РЕЗУЛЬТАТ"</v>
      </c>
      <c r="K11611" s="24" t="s">
        <v>2655</v>
      </c>
      <c r="L11611" s="28" t="s">
        <v>52</v>
      </c>
      <c r="M11611" s="25">
        <v>148000</v>
      </c>
      <c r="N11611" s="27">
        <v>2.1810971579643092E-2</v>
      </c>
    </row>
    <row r="11612" spans="1:14" x14ac:dyDescent="0.15">
      <c r="A11612" s="23" t="str">
        <f>HYPERLINK("https://www.spark-marketing.ru/Card/Person/14359", "БУ ""ЦЕНТР АДАПТИВНОГО СПОРТА ЮГРЫ""")</f>
        <v>БУ "ЦЕНТР АДАПТИВНОГО СПОРТА ЮГРЫ"</v>
      </c>
      <c r="B11612" s="24" t="s">
        <v>11255</v>
      </c>
      <c r="C11612" s="28" t="s">
        <v>52</v>
      </c>
      <c r="D11612" s="22" t="s">
        <v>13861</v>
      </c>
      <c r="E11612" s="22" t="s">
        <v>52</v>
      </c>
      <c r="F11612" s="23" t="str">
        <f>HYPERLINK("https://www.spark-marketing.ru/Card/Lot/68988483", "Оказание услуг по охране объекта, расположенного по адресу: ХМАО-Югра, г.п. Пионерский, ул. Заводская, д. 13а")</f>
        <v>Оказание услуг по охране объекта, расположенного по адресу: ХМАО-Югра, г.п. Пионерский, ул. Заводская, д. 13а</v>
      </c>
      <c r="G11612" s="22" t="s">
        <v>119</v>
      </c>
      <c r="H11612" s="22" t="s">
        <v>2563</v>
      </c>
      <c r="I11612" s="26">
        <v>43549.632638888899</v>
      </c>
      <c r="J11612" s="28" t="s">
        <v>52</v>
      </c>
      <c r="K11612" s="28" t="s">
        <v>52</v>
      </c>
      <c r="L11612" s="28" t="s">
        <v>52</v>
      </c>
      <c r="M11612" s="28" t="s">
        <v>52</v>
      </c>
      <c r="N11612" s="28" t="s">
        <v>52</v>
      </c>
    </row>
    <row r="11613" spans="1:14" x14ac:dyDescent="0.15">
      <c r="A11613" s="23" t="str">
        <f>HYPERLINK("https://www.spark-marketing.ru/Card/Person/133619", "МБОУ ""ШКОЛА №1""")</f>
        <v>МБОУ "ШКОЛА №1"</v>
      </c>
      <c r="B11613" s="24" t="s">
        <v>13862</v>
      </c>
      <c r="C11613" s="25">
        <v>392000</v>
      </c>
      <c r="D11613" s="22" t="s">
        <v>13863</v>
      </c>
      <c r="E11613" s="22" t="s">
        <v>1589</v>
      </c>
      <c r="F11613" s="23" t="str">
        <f>HYPERLINK("https://www.spark-marketing.ru/Card/Lot/68991220", "Приобретение и установка средств видеотрансляции и видеопротоколирования в пункты проведения экзаменов ГИА")</f>
        <v>Приобретение и установка средств видеотрансляции и видеопротоколирования в пункты проведения экзаменов ГИА</v>
      </c>
      <c r="G11613" s="22" t="s">
        <v>50</v>
      </c>
      <c r="H11613" s="22" t="s">
        <v>432</v>
      </c>
      <c r="I11613" s="26">
        <v>43549.639120370397</v>
      </c>
      <c r="J11613" s="28" t="s">
        <v>52</v>
      </c>
      <c r="K11613" s="28" t="s">
        <v>52</v>
      </c>
      <c r="L11613" s="28" t="s">
        <v>52</v>
      </c>
      <c r="M11613" s="28" t="s">
        <v>52</v>
      </c>
      <c r="N11613" s="28" t="s">
        <v>52</v>
      </c>
    </row>
    <row r="11614" spans="1:14" x14ac:dyDescent="0.15">
      <c r="A11614" s="23" t="str">
        <f t="shared" ref="A11614:A11619" si="594">HYPERLINK("https://www.spark-marketing.ru/Card/Person/164121", "ГБУ ""УПРАВЛЕНИЕ МАТЕРИАЛЬНОГО ОБЕСПЕЧЕНИЯ""")</f>
        <v>ГБУ "УПРАВЛЕНИЕ МАТЕРИАЛЬНОГО ОБЕСПЕЧЕНИЯ"</v>
      </c>
      <c r="B11614" s="24" t="s">
        <v>13864</v>
      </c>
      <c r="C11614" s="25">
        <v>390425.82</v>
      </c>
      <c r="D11614" s="22" t="s">
        <v>13865</v>
      </c>
      <c r="E11614" s="22" t="s">
        <v>79</v>
      </c>
      <c r="F11614" s="23" t="str">
        <f t="shared" ref="F11614:F11619" si="595">HYPERLINK("https://www.spark-marketing.ru/Card/Lot/68993077", "Выполнение работ по установке и монтажу системы видеонаблюдения")</f>
        <v>Выполнение работ по установке и монтажу системы видеонаблюдения</v>
      </c>
      <c r="G11614" s="22" t="s">
        <v>204</v>
      </c>
      <c r="H11614" s="22" t="s">
        <v>303</v>
      </c>
      <c r="I11614" s="26">
        <v>43549.601388888899</v>
      </c>
      <c r="J11614" s="28" t="s">
        <v>52</v>
      </c>
      <c r="K11614" s="28" t="s">
        <v>52</v>
      </c>
      <c r="L11614" s="28" t="s">
        <v>52</v>
      </c>
      <c r="M11614" s="28" t="s">
        <v>52</v>
      </c>
      <c r="N11614" s="28" t="s">
        <v>52</v>
      </c>
    </row>
    <row r="11615" spans="1:14" hidden="1" outlineLevel="1" x14ac:dyDescent="0.2">
      <c r="A11615" s="23" t="str">
        <f t="shared" si="594"/>
        <v>ГБУ "УПРАВЛЕНИЕ МАТЕРИАЛЬНОГО ОБЕСПЕЧЕНИЯ"</v>
      </c>
      <c r="B11615" s="24" t="s">
        <v>13864</v>
      </c>
      <c r="C11615" s="25">
        <v>390425.82</v>
      </c>
      <c r="D11615" s="22" t="s">
        <v>13865</v>
      </c>
      <c r="E11615" s="22" t="s">
        <v>79</v>
      </c>
      <c r="F11615" s="23" t="str">
        <f t="shared" si="595"/>
        <v>Выполнение работ по установке и монтажу системы видеонаблюдения</v>
      </c>
      <c r="G11615" s="22" t="s">
        <v>204</v>
      </c>
      <c r="H11615" s="22" t="s">
        <v>303</v>
      </c>
      <c r="I11615" s="26">
        <v>43549.601388888899</v>
      </c>
      <c r="J11615" s="23" t="str">
        <f>HYPERLINK("https://www.spark-marketing.ru/Card/Person/5984282", "ООО ""КЭСК""")</f>
        <v>ООО "КЭСК"</v>
      </c>
      <c r="K11615" s="24" t="s">
        <v>13866</v>
      </c>
      <c r="L11615" s="28" t="s">
        <v>52</v>
      </c>
      <c r="M11615" s="25">
        <v>360191.48</v>
      </c>
      <c r="N11615" s="27">
        <v>7.7439396810385128E-2</v>
      </c>
    </row>
    <row r="11616" spans="1:14" ht="12.75" hidden="1" outlineLevel="1" x14ac:dyDescent="0.2">
      <c r="A11616" s="23" t="str">
        <f t="shared" si="594"/>
        <v>ГБУ "УПРАВЛЕНИЕ МАТЕРИАЛЬНОГО ОБЕСПЕЧЕНИЯ"</v>
      </c>
      <c r="B11616" s="24" t="s">
        <v>13864</v>
      </c>
      <c r="C11616" s="25">
        <v>390425.82</v>
      </c>
      <c r="D11616" s="22" t="s">
        <v>13865</v>
      </c>
      <c r="E11616" s="22" t="s">
        <v>79</v>
      </c>
      <c r="F11616" s="23" t="str">
        <f t="shared" si="595"/>
        <v>Выполнение работ по установке и монтажу системы видеонаблюдения</v>
      </c>
      <c r="G11616" s="22" t="s">
        <v>204</v>
      </c>
      <c r="H11616" s="22" t="s">
        <v>303</v>
      </c>
      <c r="I11616" s="26">
        <v>43549.601388888899</v>
      </c>
      <c r="J11616" s="23" t="str">
        <f>HYPERLINK("https://www.spark-marketing.ru/Card/Person/6442971", "ООО ""НСБ""")</f>
        <v>ООО "НСБ"</v>
      </c>
      <c r="K11616" s="24" t="s">
        <v>12536</v>
      </c>
      <c r="L11616" s="22" t="s">
        <v>10</v>
      </c>
      <c r="M11616" s="25">
        <v>262585.02</v>
      </c>
      <c r="N11616" s="27">
        <v>0.3274394096169152</v>
      </c>
    </row>
    <row r="11617" spans="1:14" hidden="1" outlineLevel="1" x14ac:dyDescent="0.2">
      <c r="A11617" s="23" t="str">
        <f t="shared" si="594"/>
        <v>ГБУ "УПРАВЛЕНИЕ МАТЕРИАЛЬНОГО ОБЕСПЕЧЕНИЯ"</v>
      </c>
      <c r="B11617" s="24" t="s">
        <v>13864</v>
      </c>
      <c r="C11617" s="25">
        <v>390425.82</v>
      </c>
      <c r="D11617" s="22" t="s">
        <v>13865</v>
      </c>
      <c r="E11617" s="22" t="s">
        <v>79</v>
      </c>
      <c r="F11617" s="23" t="str">
        <f t="shared" si="595"/>
        <v>Выполнение работ по установке и монтажу системы видеонаблюдения</v>
      </c>
      <c r="G11617" s="22" t="s">
        <v>204</v>
      </c>
      <c r="H11617" s="22" t="s">
        <v>303</v>
      </c>
      <c r="I11617" s="26">
        <v>43549.601388888899</v>
      </c>
      <c r="J11617" s="23" t="str">
        <f>HYPERLINK("https://www.spark-marketing.ru/Card/Person/6231576", "Роменская Елена Валерьевна")</f>
        <v>Роменская Елена Валерьевна</v>
      </c>
      <c r="K11617" s="24" t="s">
        <v>13110</v>
      </c>
      <c r="L11617" s="28" t="s">
        <v>52</v>
      </c>
      <c r="M11617" s="25">
        <v>282106.31</v>
      </c>
      <c r="N11617" s="27">
        <v>0.27743941217822121</v>
      </c>
    </row>
    <row r="11618" spans="1:14" hidden="1" outlineLevel="1" x14ac:dyDescent="0.2">
      <c r="A11618" s="23" t="str">
        <f t="shared" si="594"/>
        <v>ГБУ "УПРАВЛЕНИЕ МАТЕРИАЛЬНОГО ОБЕСПЕЧЕНИЯ"</v>
      </c>
      <c r="B11618" s="24" t="s">
        <v>13864</v>
      </c>
      <c r="C11618" s="25">
        <v>390425.82</v>
      </c>
      <c r="D11618" s="22" t="s">
        <v>13865</v>
      </c>
      <c r="E11618" s="22" t="s">
        <v>79</v>
      </c>
      <c r="F11618" s="23" t="str">
        <f t="shared" si="595"/>
        <v>Выполнение работ по установке и монтажу системы видеонаблюдения</v>
      </c>
      <c r="G11618" s="22" t="s">
        <v>204</v>
      </c>
      <c r="H11618" s="22" t="s">
        <v>303</v>
      </c>
      <c r="I11618" s="26">
        <v>43549.601388888899</v>
      </c>
      <c r="J11618" s="23" t="str">
        <f>HYPERLINK("https://www.spark-marketing.ru/Card/Person/371074", "ООО ""СПМ""")</f>
        <v>ООО "СПМ"</v>
      </c>
      <c r="K11618" s="24" t="s">
        <v>5464</v>
      </c>
      <c r="L11618" s="28" t="s">
        <v>52</v>
      </c>
      <c r="M11618" s="25">
        <v>388473.69</v>
      </c>
      <c r="N11618" s="27">
        <v>5.0000023051754109E-3</v>
      </c>
    </row>
    <row r="11619" spans="1:14" hidden="1" outlineLevel="1" x14ac:dyDescent="0.2">
      <c r="A11619" s="23" t="str">
        <f t="shared" si="594"/>
        <v>ГБУ "УПРАВЛЕНИЕ МАТЕРИАЛЬНОГО ОБЕСПЕЧЕНИЯ"</v>
      </c>
      <c r="B11619" s="24" t="s">
        <v>13864</v>
      </c>
      <c r="C11619" s="25">
        <v>390425.82</v>
      </c>
      <c r="D11619" s="22" t="s">
        <v>13865</v>
      </c>
      <c r="E11619" s="22" t="s">
        <v>79</v>
      </c>
      <c r="F11619" s="23" t="str">
        <f t="shared" si="595"/>
        <v>Выполнение работ по установке и монтажу системы видеонаблюдения</v>
      </c>
      <c r="G11619" s="22" t="s">
        <v>204</v>
      </c>
      <c r="H11619" s="22" t="s">
        <v>303</v>
      </c>
      <c r="I11619" s="26">
        <v>43549.601388888899</v>
      </c>
      <c r="J11619" s="23" t="str">
        <f>HYPERLINK("https://www.spark-marketing.ru/Card/Person/5853123", "Ершов Андрей Алексеевич")</f>
        <v>Ершов Андрей Алексеевич</v>
      </c>
      <c r="K11619" s="24" t="s">
        <v>1063</v>
      </c>
      <c r="L11619" s="28" t="s">
        <v>52</v>
      </c>
      <c r="M11619" s="25">
        <v>376760.35</v>
      </c>
      <c r="N11619" s="27">
        <v>3.5001450467594585E-2</v>
      </c>
    </row>
    <row r="11620" spans="1:14" x14ac:dyDescent="0.15">
      <c r="A11620" s="23" t="str">
        <f>HYPERLINK("https://www.spark-marketing.ru/Card/Person/46142", "ГБУ ""АВТОЗАВОДСКИЙ ПНИ""")</f>
        <v>ГБУ "АВТОЗАВОДСКИЙ ПНИ"</v>
      </c>
      <c r="B11620" s="24" t="s">
        <v>13753</v>
      </c>
      <c r="C11620" s="25">
        <v>140</v>
      </c>
      <c r="D11620" s="22" t="s">
        <v>13867</v>
      </c>
      <c r="E11620" s="22" t="s">
        <v>53</v>
      </c>
      <c r="F11620" s="23" t="str">
        <f>HYPERLINK("https://www.spark-marketing.ru/Card/Lot/69647665", "Оказание услуг по защите материального имущества объектов и обеспечения внутриобъектового и пропускного режимов. 62")</f>
        <v>Оказание услуг по защите материального имущества объектов и обеспечения внутриобъектового и пропускного режимов. 62</v>
      </c>
      <c r="G11620" s="22" t="s">
        <v>64</v>
      </c>
      <c r="H11620" s="22" t="s">
        <v>65</v>
      </c>
      <c r="I11620" s="26">
        <v>43549.610416666699</v>
      </c>
      <c r="J11620" s="28" t="s">
        <v>52</v>
      </c>
      <c r="K11620" s="28" t="s">
        <v>52</v>
      </c>
      <c r="L11620" s="28" t="s">
        <v>52</v>
      </c>
      <c r="M11620" s="28" t="s">
        <v>52</v>
      </c>
      <c r="N11620" s="28" t="s">
        <v>52</v>
      </c>
    </row>
    <row r="11621" spans="1:14" x14ac:dyDescent="0.15">
      <c r="A11621" s="23" t="str">
        <f>HYPERLINK("https://www.spark-marketing.ru/Card/Person/999497", "МБУК БУДЕННОВСКИЙ СДК")</f>
        <v>МБУК БУДЕННОВСКИЙ СДК</v>
      </c>
      <c r="B11621" s="24" t="s">
        <v>13868</v>
      </c>
      <c r="C11621" s="25">
        <v>15290</v>
      </c>
      <c r="D11621" s="22" t="s">
        <v>13869</v>
      </c>
      <c r="E11621" s="22" t="s">
        <v>84</v>
      </c>
      <c r="F11621" s="23" t="str">
        <f>HYPERLINK("https://www.spark-marketing.ru/Card/Lot/68987524", "Установка камер видеонаблюдения")</f>
        <v>Установка камер видеонаблюдения</v>
      </c>
      <c r="G11621" s="22" t="s">
        <v>402</v>
      </c>
      <c r="H11621" s="22" t="s">
        <v>13870</v>
      </c>
      <c r="I11621" s="26">
        <v>43549.620138888902</v>
      </c>
      <c r="J11621" s="28" t="s">
        <v>52</v>
      </c>
      <c r="K11621" s="28" t="s">
        <v>52</v>
      </c>
      <c r="L11621" s="28" t="s">
        <v>52</v>
      </c>
      <c r="M11621" s="28" t="s">
        <v>52</v>
      </c>
      <c r="N11621" s="28" t="s">
        <v>52</v>
      </c>
    </row>
    <row r="11622" spans="1:14" x14ac:dyDescent="0.15">
      <c r="A11622" s="23" t="str">
        <f>HYPERLINK("https://www.spark-marketing.ru/Card/Person/1005924", "МУДО ""ПДШИ""")</f>
        <v>МУДО "ПДШИ"</v>
      </c>
      <c r="B11622" s="24" t="s">
        <v>13871</v>
      </c>
      <c r="C11622" s="25">
        <v>60000</v>
      </c>
      <c r="D11622" s="22" t="s">
        <v>13872</v>
      </c>
      <c r="E11622" s="22" t="s">
        <v>84</v>
      </c>
      <c r="F11622" s="23" t="str">
        <f>HYPERLINK("https://www.spark-marketing.ru/Card/Lot/68988182", "Закупка и установка охранного видеонаблюдения")</f>
        <v>Закупка и установка охранного видеонаблюдения</v>
      </c>
      <c r="G11622" s="22" t="s">
        <v>50</v>
      </c>
      <c r="H11622" s="22" t="s">
        <v>267</v>
      </c>
      <c r="I11622" s="26">
        <v>43549.597164351799</v>
      </c>
      <c r="J11622" s="28" t="s">
        <v>52</v>
      </c>
      <c r="K11622" s="28" t="s">
        <v>52</v>
      </c>
      <c r="L11622" s="28" t="s">
        <v>52</v>
      </c>
      <c r="M11622" s="28" t="s">
        <v>52</v>
      </c>
      <c r="N11622" s="28" t="s">
        <v>52</v>
      </c>
    </row>
    <row r="11623" spans="1:14" x14ac:dyDescent="0.15">
      <c r="A11623" s="23" t="str">
        <f>HYPERLINK("https://www.spark-marketing.ru/Card/Person/1027794", "МОУ СОШ ГОРОДСКОГО ОКРУГА ВОСХОД МОСКОВСКОЙ ОБЛАСТИ")</f>
        <v>МОУ СОШ ГОРОДСКОГО ОКРУГА ВОСХОД МОСКОВСКОЙ ОБЛАСТИ</v>
      </c>
      <c r="B11623" s="24" t="s">
        <v>13873</v>
      </c>
      <c r="C11623" s="25">
        <v>29821.37</v>
      </c>
      <c r="D11623" s="22" t="s">
        <v>13874</v>
      </c>
      <c r="E11623" s="22" t="s">
        <v>208</v>
      </c>
      <c r="F11623" s="23" t="str">
        <f>HYPERLINK("https://www.spark-marketing.ru/Card/Lot/68988258", "Услуги по замене тревожной кнопки")</f>
        <v>Услуги по замене тревожной кнопки</v>
      </c>
      <c r="G11623" s="22" t="s">
        <v>50</v>
      </c>
      <c r="H11623" s="22" t="s">
        <v>50</v>
      </c>
      <c r="I11623" s="26">
        <v>43549.607141203698</v>
      </c>
      <c r="J11623" s="28" t="s">
        <v>52</v>
      </c>
      <c r="K11623" s="28" t="s">
        <v>52</v>
      </c>
      <c r="L11623" s="28" t="s">
        <v>52</v>
      </c>
      <c r="M11623" s="28" t="s">
        <v>52</v>
      </c>
      <c r="N11623" s="28" t="s">
        <v>52</v>
      </c>
    </row>
    <row r="11624" spans="1:14" x14ac:dyDescent="0.15">
      <c r="A11624" s="23" t="str">
        <f>HYPERLINK("https://www.spark-marketing.ru/Card/Person/1073142", "МБУДО ""ДШИ № 1""")</f>
        <v>МБУДО "ДШИ № 1"</v>
      </c>
      <c r="B11624" s="24" t="s">
        <v>13875</v>
      </c>
      <c r="C11624" s="25">
        <v>110995.71</v>
      </c>
      <c r="D11624" s="22" t="s">
        <v>13876</v>
      </c>
      <c r="E11624" s="22" t="s">
        <v>59</v>
      </c>
      <c r="F11624" s="23" t="str">
        <f>HYPERLINK("https://www.spark-marketing.ru/Card/Lot/68979122", "монтаж системы видеонаблюдения")</f>
        <v>монтаж системы видеонаблюдения</v>
      </c>
      <c r="G11624" s="22" t="s">
        <v>209</v>
      </c>
      <c r="H11624" s="22" t="s">
        <v>2703</v>
      </c>
      <c r="I11624" s="26">
        <v>43549.599999999999</v>
      </c>
      <c r="J11624" s="28" t="s">
        <v>52</v>
      </c>
      <c r="K11624" s="28" t="s">
        <v>52</v>
      </c>
      <c r="L11624" s="28" t="s">
        <v>52</v>
      </c>
      <c r="M11624" s="28" t="s">
        <v>52</v>
      </c>
      <c r="N11624" s="28" t="s">
        <v>52</v>
      </c>
    </row>
    <row r="11625" spans="1:14" hidden="1" outlineLevel="1" x14ac:dyDescent="0.2">
      <c r="A11625" s="23" t="str">
        <f>HYPERLINK("https://www.spark-marketing.ru/Card/Person/1073142", "МБУДО ""ДШИ № 1""")</f>
        <v>МБУДО "ДШИ № 1"</v>
      </c>
      <c r="B11625" s="24" t="s">
        <v>13875</v>
      </c>
      <c r="C11625" s="25">
        <v>110995.71</v>
      </c>
      <c r="D11625" s="22" t="s">
        <v>13876</v>
      </c>
      <c r="E11625" s="22" t="s">
        <v>59</v>
      </c>
      <c r="F11625" s="23" t="str">
        <f>HYPERLINK("https://www.spark-marketing.ru/Card/Lot/68979122", "монтаж системы видеонаблюдения")</f>
        <v>монтаж системы видеонаблюдения</v>
      </c>
      <c r="G11625" s="22" t="s">
        <v>209</v>
      </c>
      <c r="H11625" s="22" t="s">
        <v>2703</v>
      </c>
      <c r="I11625" s="26">
        <v>43549.599999999999</v>
      </c>
      <c r="J11625" s="23" t="str">
        <f>HYPERLINK("https://www.spark-marketing.ru/Card/Person/235335", "ООО""МВС""")</f>
        <v>ООО"МВС"</v>
      </c>
      <c r="K11625" s="24" t="s">
        <v>8482</v>
      </c>
      <c r="L11625" s="28" t="s">
        <v>52</v>
      </c>
      <c r="M11625" s="25">
        <v>89000</v>
      </c>
      <c r="N11625" s="27">
        <v>0.19816720844436239</v>
      </c>
    </row>
    <row r="11626" spans="1:14" hidden="1" outlineLevel="1" x14ac:dyDescent="0.2">
      <c r="A11626" s="23" t="str">
        <f>HYPERLINK("https://www.spark-marketing.ru/Card/Person/1073142", "МБУДО ""ДШИ № 1""")</f>
        <v>МБУДО "ДШИ № 1"</v>
      </c>
      <c r="B11626" s="24" t="s">
        <v>13875</v>
      </c>
      <c r="C11626" s="25">
        <v>110995.71</v>
      </c>
      <c r="D11626" s="22" t="s">
        <v>13876</v>
      </c>
      <c r="E11626" s="22" t="s">
        <v>59</v>
      </c>
      <c r="F11626" s="23" t="str">
        <f>HYPERLINK("https://www.spark-marketing.ru/Card/Lot/68979122", "монтаж системы видеонаблюдения")</f>
        <v>монтаж системы видеонаблюдения</v>
      </c>
      <c r="G11626" s="22" t="s">
        <v>209</v>
      </c>
      <c r="H11626" s="22" t="s">
        <v>2703</v>
      </c>
      <c r="I11626" s="26">
        <v>43549.599999999999</v>
      </c>
      <c r="J11626" s="23" t="str">
        <f>HYPERLINK("https://www.spark-marketing.ru/Card/Person/6117492", "ООО ""ВИДЕОСПЕЦСЕРВИС""")</f>
        <v>ООО "ВИДЕОСПЕЦСЕРВИС"</v>
      </c>
      <c r="K11626" s="24" t="s">
        <v>13877</v>
      </c>
      <c r="L11626" s="28" t="s">
        <v>52</v>
      </c>
      <c r="M11626" s="25">
        <v>94900</v>
      </c>
      <c r="N11626" s="27">
        <v>0.14501200091426958</v>
      </c>
    </row>
    <row r="11627" spans="1:14" ht="12.75" hidden="1" outlineLevel="1" x14ac:dyDescent="0.2">
      <c r="A11627" s="23" t="str">
        <f>HYPERLINK("https://www.spark-marketing.ru/Card/Person/1073142", "МБУДО ""ДШИ № 1""")</f>
        <v>МБУДО "ДШИ № 1"</v>
      </c>
      <c r="B11627" s="24" t="s">
        <v>13875</v>
      </c>
      <c r="C11627" s="25">
        <v>110995.71</v>
      </c>
      <c r="D11627" s="22" t="s">
        <v>13876</v>
      </c>
      <c r="E11627" s="22" t="s">
        <v>59</v>
      </c>
      <c r="F11627" s="23" t="str">
        <f>HYPERLINK("https://www.spark-marketing.ru/Card/Lot/68979122", "монтаж системы видеонаблюдения")</f>
        <v>монтаж системы видеонаблюдения</v>
      </c>
      <c r="G11627" s="22" t="s">
        <v>209</v>
      </c>
      <c r="H11627" s="22" t="s">
        <v>2703</v>
      </c>
      <c r="I11627" s="26">
        <v>43549.599999999999</v>
      </c>
      <c r="J11627" s="23" t="str">
        <f>HYPERLINK("https://www.spark-marketing.ru/Card/Person/5871806", "Мазурова Евгения Николаевна")</f>
        <v>Мазурова Евгения Николаевна</v>
      </c>
      <c r="K11627" s="24" t="s">
        <v>13878</v>
      </c>
      <c r="L11627" s="22" t="s">
        <v>10</v>
      </c>
      <c r="M11627" s="25">
        <v>87000</v>
      </c>
      <c r="N11627" s="27">
        <v>0.21618592286134303</v>
      </c>
    </row>
    <row r="11628" spans="1:14" hidden="1" outlineLevel="1" x14ac:dyDescent="0.2">
      <c r="A11628" s="23" t="str">
        <f>HYPERLINK("https://www.spark-marketing.ru/Card/Person/1073142", "МБУДО ""ДШИ № 1""")</f>
        <v>МБУДО "ДШИ № 1"</v>
      </c>
      <c r="B11628" s="24" t="s">
        <v>13875</v>
      </c>
      <c r="C11628" s="25">
        <v>110995.71</v>
      </c>
      <c r="D11628" s="22" t="s">
        <v>13876</v>
      </c>
      <c r="E11628" s="22" t="s">
        <v>59</v>
      </c>
      <c r="F11628" s="23" t="str">
        <f>HYPERLINK("https://www.spark-marketing.ru/Card/Lot/68979122", "монтаж системы видеонаблюдения")</f>
        <v>монтаж системы видеонаблюдения</v>
      </c>
      <c r="G11628" s="22" t="s">
        <v>209</v>
      </c>
      <c r="H11628" s="22" t="s">
        <v>2703</v>
      </c>
      <c r="I11628" s="26">
        <v>43549.599999999999</v>
      </c>
      <c r="J11628" s="23" t="str">
        <f>HYPERLINK("https://www.spark-marketing.ru/Card/Person/719607", "ООО ""КС""")</f>
        <v>ООО "КС"</v>
      </c>
      <c r="K11628" s="24" t="s">
        <v>13879</v>
      </c>
      <c r="L11628" s="28" t="s">
        <v>52</v>
      </c>
      <c r="M11628" s="25">
        <v>91510</v>
      </c>
      <c r="N11628" s="27">
        <v>0.17555372185105173</v>
      </c>
    </row>
    <row r="11629" spans="1:14" x14ac:dyDescent="0.15">
      <c r="A11629" s="23" t="str">
        <f>HYPERLINK("https://www.spark-marketing.ru/Card/Person/1044294", "ГКОУ СО ""КРАСНОТУРЬИНСКАЯ ШКОЛА-ИНТЕРНАТ""")</f>
        <v>ГКОУ СО "КРАСНОТУРЬИНСКАЯ ШКОЛА-ИНТЕРНАТ"</v>
      </c>
      <c r="B11629" s="24" t="s">
        <v>13880</v>
      </c>
      <c r="C11629" s="25">
        <v>884400</v>
      </c>
      <c r="D11629" s="22" t="s">
        <v>13881</v>
      </c>
      <c r="E11629" s="22" t="s">
        <v>52</v>
      </c>
      <c r="F11629" s="23" t="str">
        <f>HYPERLINK("https://www.spark-marketing.ru/Card/Lot/68985172", "Оказание услуг по физической охране и антитеррористической защите зданий и территорий ГКОУ СО «Краснотурьинская школа-интернат»")</f>
        <v>Оказание услуг по физической охране и антитеррористической защите зданий и территорий ГКОУ СО «Краснотурьинская школа-интернат»</v>
      </c>
      <c r="G11629" s="22" t="s">
        <v>72</v>
      </c>
      <c r="H11629" s="22" t="s">
        <v>13882</v>
      </c>
      <c r="I11629" s="26">
        <v>43549.589583333298</v>
      </c>
      <c r="J11629" s="28" t="s">
        <v>52</v>
      </c>
      <c r="K11629" s="28" t="s">
        <v>52</v>
      </c>
      <c r="L11629" s="28" t="s">
        <v>52</v>
      </c>
      <c r="M11629" s="28" t="s">
        <v>52</v>
      </c>
      <c r="N11629" s="28" t="s">
        <v>52</v>
      </c>
    </row>
    <row r="11630" spans="1:14" ht="12.75" hidden="1" outlineLevel="1" x14ac:dyDescent="0.2">
      <c r="A11630" s="23" t="str">
        <f>HYPERLINK("https://www.spark-marketing.ru/Card/Person/1044294", "ГКОУ СО ""КРАСНОТУРЬИНСКАЯ ШКОЛА-ИНТЕРНАТ""")</f>
        <v>ГКОУ СО "КРАСНОТУРЬИНСКАЯ ШКОЛА-ИНТЕРНАТ"</v>
      </c>
      <c r="B11630" s="24" t="s">
        <v>13880</v>
      </c>
      <c r="C11630" s="25">
        <v>884400</v>
      </c>
      <c r="D11630" s="22" t="s">
        <v>13881</v>
      </c>
      <c r="E11630" s="22" t="s">
        <v>52</v>
      </c>
      <c r="F11630" s="23" t="str">
        <f>HYPERLINK("https://www.spark-marketing.ru/Card/Lot/68985172", "Оказание услуг по физической охране и антитеррористической защите зданий и территорий ГКОУ СО «Краснотурьинская школа-интернат»")</f>
        <v>Оказание услуг по физической охране и антитеррористической защите зданий и территорий ГКОУ СО «Краснотурьинская школа-интернат»</v>
      </c>
      <c r="G11630" s="22" t="s">
        <v>72</v>
      </c>
      <c r="H11630" s="22" t="s">
        <v>13882</v>
      </c>
      <c r="I11630" s="26">
        <v>43549.589583333298</v>
      </c>
      <c r="J11630" s="23" t="str">
        <f>HYPERLINK("https://www.spark-marketing.ru/Card/Person/5898537", "ООО ЧОП ""ГЕПАРД""")</f>
        <v>ООО ЧОП "ГЕПАРД"</v>
      </c>
      <c r="K11630" s="24" t="s">
        <v>9658</v>
      </c>
      <c r="L11630" s="22" t="s">
        <v>10</v>
      </c>
      <c r="M11630" s="25">
        <v>587027.04</v>
      </c>
      <c r="N11630" s="27">
        <v>0.33624260515603799</v>
      </c>
    </row>
    <row r="11631" spans="1:14" hidden="1" outlineLevel="1" x14ac:dyDescent="0.2">
      <c r="A11631" s="23" t="str">
        <f>HYPERLINK("https://www.spark-marketing.ru/Card/Person/1044294", "ГКОУ СО ""КРАСНОТУРЬИНСКАЯ ШКОЛА-ИНТЕРНАТ""")</f>
        <v>ГКОУ СО "КРАСНОТУРЬИНСКАЯ ШКОЛА-ИНТЕРНАТ"</v>
      </c>
      <c r="B11631" s="24" t="s">
        <v>13880</v>
      </c>
      <c r="C11631" s="25">
        <v>884400</v>
      </c>
      <c r="D11631" s="22" t="s">
        <v>13881</v>
      </c>
      <c r="E11631" s="22" t="s">
        <v>52</v>
      </c>
      <c r="F11631" s="23" t="str">
        <f>HYPERLINK("https://www.spark-marketing.ru/Card/Lot/68985172", "Оказание услуг по физической охране и антитеррористической защите зданий и территорий ГКОУ СО «Краснотурьинская школа-интернат»")</f>
        <v>Оказание услуг по физической охране и антитеррористической защите зданий и территорий ГКОУ СО «Краснотурьинская школа-интернат»</v>
      </c>
      <c r="G11631" s="22" t="s">
        <v>72</v>
      </c>
      <c r="H11631" s="22" t="s">
        <v>13882</v>
      </c>
      <c r="I11631" s="26">
        <v>43549.589583333298</v>
      </c>
      <c r="J11631" s="23" t="str">
        <f>HYPERLINK("https://www.spark-marketing.ru/Card/Person/556042", "ООО ЧОП ""БАСТИОН""")</f>
        <v>ООО ЧОП "БАСТИОН"</v>
      </c>
      <c r="K11631" s="24" t="s">
        <v>13883</v>
      </c>
      <c r="L11631" s="28" t="s">
        <v>52</v>
      </c>
      <c r="M11631" s="25">
        <v>591449.04</v>
      </c>
      <c r="N11631" s="27">
        <v>0.33124260515603798</v>
      </c>
    </row>
    <row r="11632" spans="1:14" x14ac:dyDescent="0.15">
      <c r="A11632" s="23" t="str">
        <f>HYPERLINK("https://www.spark-marketing.ru/Card/Person/120370", "ФГКУ КОМБИНАТ ""САЯНЫ"" РОСРЕЗЕРВА")</f>
        <v>ФГКУ КОМБИНАТ "САЯНЫ" РОСРЕЗЕРВА</v>
      </c>
      <c r="B11632" s="24" t="s">
        <v>4698</v>
      </c>
      <c r="C11632" s="25">
        <v>1126.05</v>
      </c>
      <c r="D11632" s="22" t="s">
        <v>13884</v>
      </c>
      <c r="E11632" s="22" t="s">
        <v>12340</v>
      </c>
      <c r="F11632" s="23" t="str">
        <f>HYPERLINK("https://www.spark-marketing.ru/Card/Lot/68979668", "оказание услуги по охране грузов в вагонах железнодорожного транспорта на путях необщего пользования")</f>
        <v>оказание услуги по охране грузов в вагонах железнодорожного транспорта на путях необщего пользования</v>
      </c>
      <c r="G11632" s="22" t="s">
        <v>640</v>
      </c>
      <c r="H11632" s="22" t="s">
        <v>640</v>
      </c>
      <c r="I11632" s="26">
        <v>43549.598611111098</v>
      </c>
      <c r="J11632" s="28" t="s">
        <v>52</v>
      </c>
      <c r="K11632" s="28" t="s">
        <v>52</v>
      </c>
      <c r="L11632" s="28" t="s">
        <v>52</v>
      </c>
      <c r="M11632" s="28" t="s">
        <v>52</v>
      </c>
      <c r="N11632" s="28" t="s">
        <v>52</v>
      </c>
    </row>
    <row r="11633" spans="1:14" x14ac:dyDescent="0.15">
      <c r="A11633" s="23" t="str">
        <f>HYPERLINK("https://www.spark-marketing.ru/Card/Person/28773", "АДМИНИСТРАЦИЯ СОВЕТСКОГО МУНИЦИПАЛЬНОГО РАЙОНА САРАТОВСКОЙ ОБЛАСТИ")</f>
        <v>АДМИНИСТРАЦИЯ СОВЕТСКОГО МУНИЦИПАЛЬНОГО РАЙОНА САРАТОВСКОЙ ОБЛАСТИ</v>
      </c>
      <c r="B11633" s="24" t="s">
        <v>13885</v>
      </c>
      <c r="C11633" s="25">
        <v>90000</v>
      </c>
      <c r="D11633" s="22" t="s">
        <v>13886</v>
      </c>
      <c r="E11633" s="22" t="s">
        <v>194</v>
      </c>
      <c r="F11633" s="23" t="str">
        <f>HYPERLINK("https://www.spark-marketing.ru/Card/Lot/68989167", "Приобретение и установка системы видеонаблюдения")</f>
        <v>Приобретение и установка системы видеонаблюдения</v>
      </c>
      <c r="G11633" s="22" t="s">
        <v>80</v>
      </c>
      <c r="H11633" s="22" t="s">
        <v>2515</v>
      </c>
      <c r="I11633" s="26">
        <v>43549.597916666702</v>
      </c>
      <c r="J11633" s="28" t="s">
        <v>52</v>
      </c>
      <c r="K11633" s="28" t="s">
        <v>52</v>
      </c>
      <c r="L11633" s="28" t="s">
        <v>52</v>
      </c>
      <c r="M11633" s="28" t="s">
        <v>52</v>
      </c>
      <c r="N11633" s="28" t="s">
        <v>52</v>
      </c>
    </row>
    <row r="11634" spans="1:14" hidden="1" outlineLevel="1" x14ac:dyDescent="0.2">
      <c r="A11634" s="23" t="str">
        <f>HYPERLINK("https://www.spark-marketing.ru/Card/Person/28773", "АДМИНИСТРАЦИЯ СОВЕТСКОГО МУНИЦИПАЛЬНОГО РАЙОНА САРАТОВСКОЙ ОБЛАСТИ")</f>
        <v>АДМИНИСТРАЦИЯ СОВЕТСКОГО МУНИЦИПАЛЬНОГО РАЙОНА САРАТОВСКОЙ ОБЛАСТИ</v>
      </c>
      <c r="B11634" s="24" t="s">
        <v>13885</v>
      </c>
      <c r="C11634" s="25">
        <v>90000</v>
      </c>
      <c r="D11634" s="22" t="s">
        <v>13886</v>
      </c>
      <c r="E11634" s="22" t="s">
        <v>194</v>
      </c>
      <c r="F11634" s="23" t="str">
        <f>HYPERLINK("https://www.spark-marketing.ru/Card/Lot/68989167", "Приобретение и установка системы видеонаблюдения")</f>
        <v>Приобретение и установка системы видеонаблюдения</v>
      </c>
      <c r="G11634" s="22" t="s">
        <v>80</v>
      </c>
      <c r="H11634" s="22" t="s">
        <v>2515</v>
      </c>
      <c r="I11634" s="26">
        <v>43549.597916666702</v>
      </c>
      <c r="J11634" s="23" t="str">
        <f>HYPERLINK("https://www.spark-marketing.ru/Card/Person/4855672", "Соннова Екатерина Александровна")</f>
        <v>Соннова Екатерина Александровна</v>
      </c>
      <c r="K11634" s="24" t="s">
        <v>2556</v>
      </c>
      <c r="L11634" s="28" t="s">
        <v>52</v>
      </c>
      <c r="M11634" s="25">
        <v>62848.98</v>
      </c>
      <c r="N11634" s="27">
        <v>0.301678</v>
      </c>
    </row>
    <row r="11635" spans="1:14" ht="12.75" hidden="1" outlineLevel="1" x14ac:dyDescent="0.2">
      <c r="A11635" s="23" t="str">
        <f>HYPERLINK("https://www.spark-marketing.ru/Card/Person/28773", "АДМИНИСТРАЦИЯ СОВЕТСКОГО МУНИЦИПАЛЬНОГО РАЙОНА САРАТОВСКОЙ ОБЛАСТИ")</f>
        <v>АДМИНИСТРАЦИЯ СОВЕТСКОГО МУНИЦИПАЛЬНОГО РАЙОНА САРАТОВСКОЙ ОБЛАСТИ</v>
      </c>
      <c r="B11635" s="24" t="s">
        <v>13885</v>
      </c>
      <c r="C11635" s="25">
        <v>90000</v>
      </c>
      <c r="D11635" s="22" t="s">
        <v>13886</v>
      </c>
      <c r="E11635" s="22" t="s">
        <v>194</v>
      </c>
      <c r="F11635" s="23" t="str">
        <f>HYPERLINK("https://www.spark-marketing.ru/Card/Lot/68989167", "Приобретение и установка системы видеонаблюдения")</f>
        <v>Приобретение и установка системы видеонаблюдения</v>
      </c>
      <c r="G11635" s="22" t="s">
        <v>80</v>
      </c>
      <c r="H11635" s="22" t="s">
        <v>2515</v>
      </c>
      <c r="I11635" s="26">
        <v>43549.597916666702</v>
      </c>
      <c r="J11635" s="23" t="str">
        <f>HYPERLINK("https://www.spark-marketing.ru/Card/Person/5898403", "ООО ""ВОЛГА АЙ ТИ""")</f>
        <v>ООО "ВОЛГА АЙ ТИ"</v>
      </c>
      <c r="K11635" s="24" t="s">
        <v>13887</v>
      </c>
      <c r="L11635" s="22" t="s">
        <v>10</v>
      </c>
      <c r="M11635" s="25">
        <v>59550</v>
      </c>
      <c r="N11635" s="27">
        <v>0.33833333333333332</v>
      </c>
    </row>
    <row r="11636" spans="1:14" hidden="1" outlineLevel="1" x14ac:dyDescent="0.2">
      <c r="A11636" s="23" t="str">
        <f>HYPERLINK("https://www.spark-marketing.ru/Card/Person/28773", "АДМИНИСТРАЦИЯ СОВЕТСКОГО МУНИЦИПАЛЬНОГО РАЙОНА САРАТОВСКОЙ ОБЛАСТИ")</f>
        <v>АДМИНИСТРАЦИЯ СОВЕТСКОГО МУНИЦИПАЛЬНОГО РАЙОНА САРАТОВСКОЙ ОБЛАСТИ</v>
      </c>
      <c r="B11636" s="24" t="s">
        <v>13885</v>
      </c>
      <c r="C11636" s="25">
        <v>90000</v>
      </c>
      <c r="D11636" s="22" t="s">
        <v>13886</v>
      </c>
      <c r="E11636" s="22" t="s">
        <v>194</v>
      </c>
      <c r="F11636" s="23" t="str">
        <f>HYPERLINK("https://www.spark-marketing.ru/Card/Lot/68989167", "Приобретение и установка системы видеонаблюдения")</f>
        <v>Приобретение и установка системы видеонаблюдения</v>
      </c>
      <c r="G11636" s="22" t="s">
        <v>80</v>
      </c>
      <c r="H11636" s="22" t="s">
        <v>2515</v>
      </c>
      <c r="I11636" s="26">
        <v>43549.597916666702</v>
      </c>
      <c r="J11636" s="23" t="str">
        <f>HYPERLINK("https://www.spark-marketing.ru/Card/Person/233377", "ООО ""СИЛЬВЕР-ЛАЙН""")</f>
        <v>ООО "СИЛЬВЕР-ЛАЙН"</v>
      </c>
      <c r="K11636" s="24" t="s">
        <v>2557</v>
      </c>
      <c r="L11636" s="28" t="s">
        <v>52</v>
      </c>
      <c r="M11636" s="25">
        <v>60000</v>
      </c>
      <c r="N11636" s="27">
        <v>0.33333333333333331</v>
      </c>
    </row>
    <row r="11637" spans="1:14" hidden="1" outlineLevel="1" x14ac:dyDescent="0.2">
      <c r="A11637" s="23" t="str">
        <f>HYPERLINK("https://www.spark-marketing.ru/Card/Person/28773", "АДМИНИСТРАЦИЯ СОВЕТСКОГО МУНИЦИПАЛЬНОГО РАЙОНА САРАТОВСКОЙ ОБЛАСТИ")</f>
        <v>АДМИНИСТРАЦИЯ СОВЕТСКОГО МУНИЦИПАЛЬНОГО РАЙОНА САРАТОВСКОЙ ОБЛАСТИ</v>
      </c>
      <c r="B11637" s="24" t="s">
        <v>13885</v>
      </c>
      <c r="C11637" s="25">
        <v>90000</v>
      </c>
      <c r="D11637" s="22" t="s">
        <v>13886</v>
      </c>
      <c r="E11637" s="22" t="s">
        <v>194</v>
      </c>
      <c r="F11637" s="23" t="str">
        <f>HYPERLINK("https://www.spark-marketing.ru/Card/Lot/68989167", "Приобретение и установка системы видеонаблюдения")</f>
        <v>Приобретение и установка системы видеонаблюдения</v>
      </c>
      <c r="G11637" s="22" t="s">
        <v>80</v>
      </c>
      <c r="H11637" s="22" t="s">
        <v>2515</v>
      </c>
      <c r="I11637" s="26">
        <v>43549.597916666702</v>
      </c>
      <c r="J11637" s="23" t="str">
        <f>HYPERLINK("https://www.spark-marketing.ru/Card/Person/5512065", "Мугрузин Артем Александрович")</f>
        <v>Мугрузин Артем Александрович</v>
      </c>
      <c r="K11637" s="24" t="s">
        <v>4286</v>
      </c>
      <c r="L11637" s="28" t="s">
        <v>52</v>
      </c>
      <c r="M11637" s="25">
        <v>64648.98</v>
      </c>
      <c r="N11637" s="27">
        <v>0.28167799999999998</v>
      </c>
    </row>
    <row r="11638" spans="1:14" x14ac:dyDescent="0.15">
      <c r="A11638" s="23" t="str">
        <f t="shared" ref="A11638:A11644" si="596">HYPERLINK("https://www.spark-marketing.ru/Card/Person/58731", "КОГБУЗ ""КИРОВСКАЯ КЛИНИЧЕСКАЯ БОЛЬНИЦА №7 ""КОГБУЗ ""ККБ №7""")</f>
        <v>КОГБУЗ "КИРОВСКАЯ КЛИНИЧЕСКАЯ БОЛЬНИЦА №7 "КОГБУЗ "ККБ №7"</v>
      </c>
      <c r="B11638" s="24" t="s">
        <v>13888</v>
      </c>
      <c r="C11638" s="25">
        <v>379053</v>
      </c>
      <c r="D11638" s="22" t="s">
        <v>13889</v>
      </c>
      <c r="E11638" s="22" t="s">
        <v>59</v>
      </c>
      <c r="F11638" s="23" t="str">
        <f t="shared" ref="F11638:F11644" si="597">HYPERLINK("https://www.spark-marketing.ru/Card/Lot/68997714", "Выполнение работ по монтажу систем автоматической установки охранной сигнализации (АУОС)")</f>
        <v>Выполнение работ по монтажу систем автоматической установки охранной сигнализации (АУОС)</v>
      </c>
      <c r="G11638" s="22" t="s">
        <v>556</v>
      </c>
      <c r="H11638" s="22" t="s">
        <v>557</v>
      </c>
      <c r="I11638" s="26">
        <v>43549.620138888902</v>
      </c>
      <c r="J11638" s="28" t="s">
        <v>52</v>
      </c>
      <c r="K11638" s="28" t="s">
        <v>52</v>
      </c>
      <c r="L11638" s="28" t="s">
        <v>52</v>
      </c>
      <c r="M11638" s="28" t="s">
        <v>52</v>
      </c>
      <c r="N11638" s="28" t="s">
        <v>52</v>
      </c>
    </row>
    <row r="11639" spans="1:14" ht="12.75" hidden="1" outlineLevel="1" x14ac:dyDescent="0.2">
      <c r="A11639" s="23" t="str">
        <f t="shared" si="596"/>
        <v>КОГБУЗ "КИРОВСКАЯ КЛИНИЧЕСКАЯ БОЛЬНИЦА №7 "КОГБУЗ "ККБ №7"</v>
      </c>
      <c r="B11639" s="24" t="s">
        <v>13888</v>
      </c>
      <c r="C11639" s="25">
        <v>379053</v>
      </c>
      <c r="D11639" s="22" t="s">
        <v>13889</v>
      </c>
      <c r="E11639" s="22" t="s">
        <v>59</v>
      </c>
      <c r="F11639" s="23" t="str">
        <f t="shared" si="597"/>
        <v>Выполнение работ по монтажу систем автоматической установки охранной сигнализации (АУОС)</v>
      </c>
      <c r="G11639" s="22" t="s">
        <v>556</v>
      </c>
      <c r="H11639" s="22" t="s">
        <v>557</v>
      </c>
      <c r="I11639" s="26">
        <v>43549.620138888902</v>
      </c>
      <c r="J11639" s="23" t="str">
        <f>HYPERLINK("https://www.spark-marketing.ru/Card/Person/127166", "ООО ""АЛГОРИТМ""")</f>
        <v>ООО "АЛГОРИТМ"</v>
      </c>
      <c r="K11639" s="24" t="s">
        <v>13890</v>
      </c>
      <c r="L11639" s="22" t="s">
        <v>10</v>
      </c>
      <c r="M11639" s="25">
        <v>219855.55</v>
      </c>
      <c r="N11639" s="27">
        <v>0.41998731048164767</v>
      </c>
    </row>
    <row r="11640" spans="1:14" hidden="1" outlineLevel="1" x14ac:dyDescent="0.2">
      <c r="A11640" s="23" t="str">
        <f t="shared" si="596"/>
        <v>КОГБУЗ "КИРОВСКАЯ КЛИНИЧЕСКАЯ БОЛЬНИЦА №7 "КОГБУЗ "ККБ №7"</v>
      </c>
      <c r="B11640" s="24" t="s">
        <v>13888</v>
      </c>
      <c r="C11640" s="25">
        <v>379053</v>
      </c>
      <c r="D11640" s="22" t="s">
        <v>13889</v>
      </c>
      <c r="E11640" s="22" t="s">
        <v>59</v>
      </c>
      <c r="F11640" s="23" t="str">
        <f t="shared" si="597"/>
        <v>Выполнение работ по монтажу систем автоматической установки охранной сигнализации (АУОС)</v>
      </c>
      <c r="G11640" s="22" t="s">
        <v>556</v>
      </c>
      <c r="H11640" s="22" t="s">
        <v>557</v>
      </c>
      <c r="I11640" s="26">
        <v>43549.620138888902</v>
      </c>
      <c r="J11640" s="23" t="str">
        <f>HYPERLINK("https://www.spark-marketing.ru/Card/Person/352975", "ООО ""МЕЖРЕГИОНКОМПЛЕКТ""")</f>
        <v>ООО "МЕЖРЕГИОНКОМПЛЕКТ"</v>
      </c>
      <c r="K11640" s="24" t="s">
        <v>9767</v>
      </c>
      <c r="L11640" s="28" t="s">
        <v>52</v>
      </c>
      <c r="M11640" s="25">
        <v>300225.55</v>
      </c>
      <c r="N11640" s="27">
        <v>0.20795891339733494</v>
      </c>
    </row>
    <row r="11641" spans="1:14" hidden="1" outlineLevel="1" x14ac:dyDescent="0.2">
      <c r="A11641" s="23" t="str">
        <f t="shared" si="596"/>
        <v>КОГБУЗ "КИРОВСКАЯ КЛИНИЧЕСКАЯ БОЛЬНИЦА №7 "КОГБУЗ "ККБ №7"</v>
      </c>
      <c r="B11641" s="24" t="s">
        <v>13888</v>
      </c>
      <c r="C11641" s="25">
        <v>379053</v>
      </c>
      <c r="D11641" s="22" t="s">
        <v>13889</v>
      </c>
      <c r="E11641" s="22" t="s">
        <v>59</v>
      </c>
      <c r="F11641" s="23" t="str">
        <f t="shared" si="597"/>
        <v>Выполнение работ по монтажу систем автоматической установки охранной сигнализации (АУОС)</v>
      </c>
      <c r="G11641" s="22" t="s">
        <v>556</v>
      </c>
      <c r="H11641" s="22" t="s">
        <v>557</v>
      </c>
      <c r="I11641" s="26">
        <v>43549.620138888902</v>
      </c>
      <c r="J11641" s="23" t="str">
        <f>HYPERLINK("https://www.spark-marketing.ru/Card/Person/276758", "ООО ""СЕРВИС БЕЗОПАСНОСТИ""")</f>
        <v>ООО "СЕРВИС БЕЗОПАСНОСТИ"</v>
      </c>
      <c r="K11641" s="24" t="s">
        <v>13891</v>
      </c>
      <c r="L11641" s="28" t="s">
        <v>52</v>
      </c>
      <c r="M11641" s="25">
        <v>306763.65999999997</v>
      </c>
      <c r="N11641" s="27">
        <v>0.19071037559391429</v>
      </c>
    </row>
    <row r="11642" spans="1:14" hidden="1" outlineLevel="1" x14ac:dyDescent="0.2">
      <c r="A11642" s="23" t="str">
        <f t="shared" si="596"/>
        <v>КОГБУЗ "КИРОВСКАЯ КЛИНИЧЕСКАЯ БОЛЬНИЦА №7 "КОГБУЗ "ККБ №7"</v>
      </c>
      <c r="B11642" s="24" t="s">
        <v>13888</v>
      </c>
      <c r="C11642" s="25">
        <v>379053</v>
      </c>
      <c r="D11642" s="22" t="s">
        <v>13889</v>
      </c>
      <c r="E11642" s="22" t="s">
        <v>59</v>
      </c>
      <c r="F11642" s="23" t="str">
        <f t="shared" si="597"/>
        <v>Выполнение работ по монтажу систем автоматической установки охранной сигнализации (АУОС)</v>
      </c>
      <c r="G11642" s="22" t="s">
        <v>556</v>
      </c>
      <c r="H11642" s="22" t="s">
        <v>557</v>
      </c>
      <c r="I11642" s="26">
        <v>43549.620138888902</v>
      </c>
      <c r="J11642" s="23" t="str">
        <f>HYPERLINK("https://www.spark-marketing.ru/Card/Person/33676", "ООО ""РОСМАССИВ-ПЛЮС""")</f>
        <v>ООО "РОСМАССИВ-ПЛЮС"</v>
      </c>
      <c r="K11642" s="24" t="s">
        <v>13892</v>
      </c>
      <c r="L11642" s="28" t="s">
        <v>52</v>
      </c>
      <c r="M11642" s="25">
        <v>221750.82</v>
      </c>
      <c r="N11642" s="27">
        <v>0.41498729729088019</v>
      </c>
    </row>
    <row r="11643" spans="1:14" hidden="1" outlineLevel="1" x14ac:dyDescent="0.2">
      <c r="A11643" s="23" t="str">
        <f t="shared" si="596"/>
        <v>КОГБУЗ "КИРОВСКАЯ КЛИНИЧЕСКАЯ БОЛЬНИЦА №7 "КОГБУЗ "ККБ №7"</v>
      </c>
      <c r="B11643" s="24" t="s">
        <v>13888</v>
      </c>
      <c r="C11643" s="25">
        <v>379053</v>
      </c>
      <c r="D11643" s="22" t="s">
        <v>13889</v>
      </c>
      <c r="E11643" s="22" t="s">
        <v>59</v>
      </c>
      <c r="F11643" s="23" t="str">
        <f t="shared" si="597"/>
        <v>Выполнение работ по монтажу систем автоматической установки охранной сигнализации (АУОС)</v>
      </c>
      <c r="G11643" s="22" t="s">
        <v>556</v>
      </c>
      <c r="H11643" s="22" t="s">
        <v>557</v>
      </c>
      <c r="I11643" s="26">
        <v>43549.620138888902</v>
      </c>
      <c r="J11643" s="23" t="str">
        <f>HYPERLINK("https://www.spark-marketing.ru/Card/Person/625806", "ПК ""ИНФОСТ""")</f>
        <v>ПК "ИНФОСТ"</v>
      </c>
      <c r="K11643" s="24" t="s">
        <v>13893</v>
      </c>
      <c r="L11643" s="28" t="s">
        <v>52</v>
      </c>
      <c r="M11643" s="25">
        <v>308658.93</v>
      </c>
      <c r="N11643" s="27">
        <v>0.18571036240314678</v>
      </c>
    </row>
    <row r="11644" spans="1:14" hidden="1" outlineLevel="1" x14ac:dyDescent="0.2">
      <c r="A11644" s="23" t="str">
        <f t="shared" si="596"/>
        <v>КОГБУЗ "КИРОВСКАЯ КЛИНИЧЕСКАЯ БОЛЬНИЦА №7 "КОГБУЗ "ККБ №7"</v>
      </c>
      <c r="B11644" s="24" t="s">
        <v>13888</v>
      </c>
      <c r="C11644" s="25">
        <v>379053</v>
      </c>
      <c r="D11644" s="22" t="s">
        <v>13889</v>
      </c>
      <c r="E11644" s="22" t="s">
        <v>59</v>
      </c>
      <c r="F11644" s="23" t="str">
        <f t="shared" si="597"/>
        <v>Выполнение работ по монтажу систем автоматической установки охранной сигнализации (АУОС)</v>
      </c>
      <c r="G11644" s="22" t="s">
        <v>556</v>
      </c>
      <c r="H11644" s="22" t="s">
        <v>557</v>
      </c>
      <c r="I11644" s="26">
        <v>43549.620138888902</v>
      </c>
      <c r="J11644" s="23" t="str">
        <f>HYPERLINK("https://www.spark-marketing.ru/Card/Person/57894", "ООО ""КЛЕВЕР-ЛАН""")</f>
        <v>ООО "КЛЕВЕР-ЛАН"</v>
      </c>
      <c r="K11644" s="24" t="s">
        <v>13894</v>
      </c>
      <c r="L11644" s="28" t="s">
        <v>52</v>
      </c>
      <c r="M11644" s="25">
        <v>299000</v>
      </c>
      <c r="N11644" s="27">
        <v>0.21119210242367162</v>
      </c>
    </row>
    <row r="11645" spans="1:14" x14ac:dyDescent="0.15">
      <c r="A11645" s="23" t="str">
        <f>HYPERLINK("https://www.spark-marketing.ru/Card/Person/889228", "МОБУ ГИМНАЗИЯ №76")</f>
        <v>МОБУ ГИМНАЗИЯ №76</v>
      </c>
      <c r="B11645" s="24" t="s">
        <v>13895</v>
      </c>
      <c r="C11645" s="25">
        <v>750600</v>
      </c>
      <c r="D11645" s="22" t="s">
        <v>13896</v>
      </c>
      <c r="E11645" s="22" t="s">
        <v>68</v>
      </c>
      <c r="F11645" s="23" t="str">
        <f>HYPERLINK("https://www.spark-marketing.ru/Card/Lot/68995004", "Услуги, связанные с обеспечением общественного порядка и безопасности, прочие")</f>
        <v>Услуги, связанные с обеспечением общественного порядка и безопасности, прочие</v>
      </c>
      <c r="G11645" s="22" t="s">
        <v>132</v>
      </c>
      <c r="H11645" s="22" t="s">
        <v>1126</v>
      </c>
      <c r="I11645" s="26">
        <v>43549.595138888901</v>
      </c>
      <c r="J11645" s="28" t="s">
        <v>52</v>
      </c>
      <c r="K11645" s="28" t="s">
        <v>52</v>
      </c>
      <c r="L11645" s="28" t="s">
        <v>52</v>
      </c>
      <c r="M11645" s="28" t="s">
        <v>52</v>
      </c>
      <c r="N11645" s="28" t="s">
        <v>52</v>
      </c>
    </row>
    <row r="11646" spans="1:14" ht="12.75" hidden="1" outlineLevel="1" x14ac:dyDescent="0.2">
      <c r="A11646" s="23" t="str">
        <f>HYPERLINK("https://www.spark-marketing.ru/Card/Person/889228", "МОБУ ГИМНАЗИЯ №76")</f>
        <v>МОБУ ГИМНАЗИЯ №76</v>
      </c>
      <c r="B11646" s="24" t="s">
        <v>13895</v>
      </c>
      <c r="C11646" s="25">
        <v>750600</v>
      </c>
      <c r="D11646" s="22" t="s">
        <v>13896</v>
      </c>
      <c r="E11646" s="22" t="s">
        <v>68</v>
      </c>
      <c r="F11646" s="23" t="str">
        <f>HYPERLINK("https://www.spark-marketing.ru/Card/Lot/68995004", "Услуги, связанные с обеспечением общественного порядка и безопасности, прочие")</f>
        <v>Услуги, связанные с обеспечением общественного порядка и безопасности, прочие</v>
      </c>
      <c r="G11646" s="22" t="s">
        <v>132</v>
      </c>
      <c r="H11646" s="22" t="s">
        <v>1126</v>
      </c>
      <c r="I11646" s="26">
        <v>43549.595138888901</v>
      </c>
      <c r="J11646" s="23" t="str">
        <f>HYPERLINK("https://www.spark-marketing.ru/Card/Person/446854", "ООО ""ОХРАНА ""ОЛИМП""")</f>
        <v>ООО "ОХРАНА "ОЛИМП"</v>
      </c>
      <c r="K11646" s="24" t="s">
        <v>13026</v>
      </c>
      <c r="L11646" s="22" t="s">
        <v>10</v>
      </c>
      <c r="M11646" s="25">
        <v>607569</v>
      </c>
      <c r="N11646" s="27">
        <v>0.19055555555555556</v>
      </c>
    </row>
    <row r="11647" spans="1:14" hidden="1" outlineLevel="1" x14ac:dyDescent="0.2">
      <c r="A11647" s="23" t="str">
        <f>HYPERLINK("https://www.spark-marketing.ru/Card/Person/889228", "МОБУ ГИМНАЗИЯ №76")</f>
        <v>МОБУ ГИМНАЗИЯ №76</v>
      </c>
      <c r="B11647" s="24" t="s">
        <v>13895</v>
      </c>
      <c r="C11647" s="25">
        <v>750600</v>
      </c>
      <c r="D11647" s="22" t="s">
        <v>13896</v>
      </c>
      <c r="E11647" s="22" t="s">
        <v>68</v>
      </c>
      <c r="F11647" s="23" t="str">
        <f>HYPERLINK("https://www.spark-marketing.ru/Card/Lot/68995004", "Услуги, связанные с обеспечением общественного порядка и безопасности, прочие")</f>
        <v>Услуги, связанные с обеспечением общественного порядка и безопасности, прочие</v>
      </c>
      <c r="G11647" s="22" t="s">
        <v>132</v>
      </c>
      <c r="H11647" s="22" t="s">
        <v>1126</v>
      </c>
      <c r="I11647" s="26">
        <v>43549.595138888901</v>
      </c>
      <c r="J11647" s="23" t="str">
        <f>HYPERLINK("https://www.spark-marketing.ru/Card/Person/124509", "ООО ""ЧАСТНАЯ ОХРАННАЯ ОРГАНИЗАЦИЯ ""РУБИКОН""")</f>
        <v>ООО "ЧАСТНАЯ ОХРАННАЯ ОРГАНИЗАЦИЯ "РУБИКОН"</v>
      </c>
      <c r="K11647" s="24" t="s">
        <v>6844</v>
      </c>
      <c r="L11647" s="28" t="s">
        <v>52</v>
      </c>
      <c r="M11647" s="25">
        <v>611322</v>
      </c>
      <c r="N11647" s="27">
        <v>0.18555555555555556</v>
      </c>
    </row>
    <row r="11648" spans="1:14" hidden="1" outlineLevel="1" x14ac:dyDescent="0.2">
      <c r="A11648" s="23" t="str">
        <f>HYPERLINK("https://www.spark-marketing.ru/Card/Person/889228", "МОБУ ГИМНАЗИЯ №76")</f>
        <v>МОБУ ГИМНАЗИЯ №76</v>
      </c>
      <c r="B11648" s="24" t="s">
        <v>13895</v>
      </c>
      <c r="C11648" s="25">
        <v>750600</v>
      </c>
      <c r="D11648" s="22" t="s">
        <v>13896</v>
      </c>
      <c r="E11648" s="22" t="s">
        <v>68</v>
      </c>
      <c r="F11648" s="23" t="str">
        <f>HYPERLINK("https://www.spark-marketing.ru/Card/Lot/68995004", "Услуги, связанные с обеспечением общественного порядка и безопасности, прочие")</f>
        <v>Услуги, связанные с обеспечением общественного порядка и безопасности, прочие</v>
      </c>
      <c r="G11648" s="22" t="s">
        <v>132</v>
      </c>
      <c r="H11648" s="22" t="s">
        <v>1126</v>
      </c>
      <c r="I11648" s="26">
        <v>43549.595138888901</v>
      </c>
      <c r="J11648" s="23" t="str">
        <f>HYPERLINK("https://www.spark-marketing.ru/Card/Person/2326354", "ООО ЧОП ""ГАРАНТН""")</f>
        <v>ООО ЧОП "ГАРАНТН"</v>
      </c>
      <c r="K11648" s="24" t="s">
        <v>2933</v>
      </c>
      <c r="L11648" s="28" t="s">
        <v>52</v>
      </c>
      <c r="M11648" s="25">
        <v>723912</v>
      </c>
      <c r="N11648" s="27">
        <v>3.5555555555555556E-2</v>
      </c>
    </row>
    <row r="11649" spans="1:14" x14ac:dyDescent="0.15">
      <c r="A11649" s="23" t="str">
        <f>HYPERLINK("https://www.spark-marketing.ru/Card/Person/155244", "ООО ""ГАЗПРОМ МЕЖРЕГИОНГАЗ КРАСНОДАР""")</f>
        <v>ООО "ГАЗПРОМ МЕЖРЕГИОНГАЗ КРАСНОДАР"</v>
      </c>
      <c r="B11649" s="24" t="s">
        <v>13897</v>
      </c>
      <c r="C11649" s="25">
        <v>27006336</v>
      </c>
      <c r="D11649" s="22" t="s">
        <v>13898</v>
      </c>
      <c r="E11649" s="22" t="s">
        <v>8137</v>
      </c>
      <c r="F11649" s="23" t="str">
        <f>HYPERLINK("https://www.spark-marketing.ru/Card/Lot/69005683", "Оказание услуг по физической охране объектов")</f>
        <v>Оказание услуг по физической охране объектов</v>
      </c>
      <c r="G11649" s="22" t="s">
        <v>132</v>
      </c>
      <c r="H11649" s="22" t="s">
        <v>132</v>
      </c>
      <c r="I11649" s="26">
        <v>43549.586192129602</v>
      </c>
      <c r="J11649" s="28" t="s">
        <v>52</v>
      </c>
      <c r="K11649" s="28" t="s">
        <v>52</v>
      </c>
      <c r="L11649" s="28" t="s">
        <v>52</v>
      </c>
      <c r="M11649" s="28" t="s">
        <v>52</v>
      </c>
      <c r="N11649" s="28" t="s">
        <v>52</v>
      </c>
    </row>
    <row r="11650" spans="1:14" x14ac:dyDescent="0.15">
      <c r="A11650" s="23" t="str">
        <f t="shared" ref="A11650:A11656" si="598">HYPERLINK("https://www.spark-marketing.ru/Card/Person/47723", "УПРАВЛЕНИЕ РОСПОТРЕБНАДЗОРА ПО ПСКОВСКОЙ ОБЛАСТИ")</f>
        <v>УПРАВЛЕНИЕ РОСПОТРЕБНАДЗОРА ПО ПСКОВСКОЙ ОБЛАСТИ</v>
      </c>
      <c r="B11650" s="24" t="s">
        <v>13899</v>
      </c>
      <c r="C11650" s="25">
        <v>153360</v>
      </c>
      <c r="D11650" s="22" t="s">
        <v>13900</v>
      </c>
      <c r="E11650" s="22" t="s">
        <v>107</v>
      </c>
      <c r="F11650" s="23" t="str">
        <f t="shared" ref="F11650:F11656" si="599">HYPERLINK("https://www.spark-marketing.ru/Card/Lot/68989427", "Услуги по техническому обслуживанию системы видеонаблюдения")</f>
        <v>Услуги по техническому обслуживанию системы видеонаблюдения</v>
      </c>
      <c r="G11650" s="22" t="s">
        <v>142</v>
      </c>
      <c r="H11650" s="22" t="s">
        <v>142</v>
      </c>
      <c r="I11650" s="26">
        <v>43549.576388888898</v>
      </c>
      <c r="J11650" s="28" t="s">
        <v>52</v>
      </c>
      <c r="K11650" s="28" t="s">
        <v>52</v>
      </c>
      <c r="L11650" s="28" t="s">
        <v>52</v>
      </c>
      <c r="M11650" s="28" t="s">
        <v>52</v>
      </c>
      <c r="N11650" s="28" t="s">
        <v>52</v>
      </c>
    </row>
    <row r="11651" spans="1:14" hidden="1" outlineLevel="1" x14ac:dyDescent="0.2">
      <c r="A11651" s="23" t="str">
        <f t="shared" si="598"/>
        <v>УПРАВЛЕНИЕ РОСПОТРЕБНАДЗОРА ПО ПСКОВСКОЙ ОБЛАСТИ</v>
      </c>
      <c r="B11651" s="24" t="s">
        <v>13899</v>
      </c>
      <c r="C11651" s="25">
        <v>153360</v>
      </c>
      <c r="D11651" s="22" t="s">
        <v>13900</v>
      </c>
      <c r="E11651" s="22" t="s">
        <v>107</v>
      </c>
      <c r="F11651" s="23" t="str">
        <f t="shared" si="599"/>
        <v>Услуги по техническому обслуживанию системы видеонаблюдения</v>
      </c>
      <c r="G11651" s="22" t="s">
        <v>142</v>
      </c>
      <c r="H11651" s="22" t="s">
        <v>142</v>
      </c>
      <c r="I11651" s="26">
        <v>43549.576388888898</v>
      </c>
      <c r="J11651" s="23" t="str">
        <f>HYPERLINK("https://www.spark-marketing.ru/Card/Person/5790089", "ООО ""СКОРПИОН-ГРУПП""")</f>
        <v>ООО "СКОРПИОН-ГРУПП"</v>
      </c>
      <c r="K11651" s="24" t="s">
        <v>13901</v>
      </c>
      <c r="L11651" s="28" t="s">
        <v>52</v>
      </c>
      <c r="M11651" s="25">
        <v>102751.2</v>
      </c>
      <c r="N11651" s="27">
        <v>0.33</v>
      </c>
    </row>
    <row r="11652" spans="1:14" ht="12.75" hidden="1" outlineLevel="1" x14ac:dyDescent="0.2">
      <c r="A11652" s="23" t="str">
        <f t="shared" si="598"/>
        <v>УПРАВЛЕНИЕ РОСПОТРЕБНАДЗОРА ПО ПСКОВСКОЙ ОБЛАСТИ</v>
      </c>
      <c r="B11652" s="24" t="s">
        <v>13899</v>
      </c>
      <c r="C11652" s="25">
        <v>153360</v>
      </c>
      <c r="D11652" s="22" t="s">
        <v>13900</v>
      </c>
      <c r="E11652" s="22" t="s">
        <v>107</v>
      </c>
      <c r="F11652" s="23" t="str">
        <f t="shared" si="599"/>
        <v>Услуги по техническому обслуживанию системы видеонаблюдения</v>
      </c>
      <c r="G11652" s="22" t="s">
        <v>142</v>
      </c>
      <c r="H11652" s="22" t="s">
        <v>142</v>
      </c>
      <c r="I11652" s="26">
        <v>43549.576388888898</v>
      </c>
      <c r="J11652" s="23" t="str">
        <f>HYPERLINK("https://www.spark-marketing.ru/Card/Person/1691635", "ООО ""ТРАНЗИТ-ТЕЛЕКОМ""")</f>
        <v>ООО "ТРАНЗИТ-ТЕЛЕКОМ"</v>
      </c>
      <c r="K11652" s="24" t="s">
        <v>11151</v>
      </c>
      <c r="L11652" s="22" t="s">
        <v>10</v>
      </c>
      <c r="M11652" s="25">
        <v>24849.38</v>
      </c>
      <c r="N11652" s="27">
        <v>0.83796700573813254</v>
      </c>
    </row>
    <row r="11653" spans="1:14" hidden="1" outlineLevel="1" x14ac:dyDescent="0.2">
      <c r="A11653" s="23" t="str">
        <f t="shared" si="598"/>
        <v>УПРАВЛЕНИЕ РОСПОТРЕБНАДЗОРА ПО ПСКОВСКОЙ ОБЛАСТИ</v>
      </c>
      <c r="B11653" s="24" t="s">
        <v>13899</v>
      </c>
      <c r="C11653" s="25">
        <v>153360</v>
      </c>
      <c r="D11653" s="22" t="s">
        <v>13900</v>
      </c>
      <c r="E11653" s="22" t="s">
        <v>107</v>
      </c>
      <c r="F11653" s="23" t="str">
        <f t="shared" si="599"/>
        <v>Услуги по техническому обслуживанию системы видеонаблюдения</v>
      </c>
      <c r="G11653" s="22" t="s">
        <v>142</v>
      </c>
      <c r="H11653" s="22" t="s">
        <v>142</v>
      </c>
      <c r="I11653" s="26">
        <v>43549.576388888898</v>
      </c>
      <c r="J11653" s="23" t="str">
        <f>HYPERLINK("https://www.spark-marketing.ru/Card/Person/11882", "ООО ""ИЗБОРСКИЙ ПАРК""")</f>
        <v>ООО "ИЗБОРСКИЙ ПАРК"</v>
      </c>
      <c r="K11653" s="24" t="s">
        <v>13902</v>
      </c>
      <c r="L11653" s="28" t="s">
        <v>52</v>
      </c>
      <c r="M11653" s="25">
        <v>25000</v>
      </c>
      <c r="N11653" s="27">
        <v>0.83698487219613982</v>
      </c>
    </row>
    <row r="11654" spans="1:14" hidden="1" outlineLevel="1" x14ac:dyDescent="0.2">
      <c r="A11654" s="23" t="str">
        <f t="shared" si="598"/>
        <v>УПРАВЛЕНИЕ РОСПОТРЕБНАДЗОРА ПО ПСКОВСКОЙ ОБЛАСТИ</v>
      </c>
      <c r="B11654" s="24" t="s">
        <v>13899</v>
      </c>
      <c r="C11654" s="25">
        <v>153360</v>
      </c>
      <c r="D11654" s="22" t="s">
        <v>13900</v>
      </c>
      <c r="E11654" s="22" t="s">
        <v>107</v>
      </c>
      <c r="F11654" s="23" t="str">
        <f t="shared" si="599"/>
        <v>Услуги по техническому обслуживанию системы видеонаблюдения</v>
      </c>
      <c r="G11654" s="22" t="s">
        <v>142</v>
      </c>
      <c r="H11654" s="22" t="s">
        <v>142</v>
      </c>
      <c r="I11654" s="26">
        <v>43549.576388888898</v>
      </c>
      <c r="J11654" s="23" t="str">
        <f>HYPERLINK("https://www.spark-marketing.ru/Card/Person/6080279", "ООО ""ОПС МОНТАЖ-СЕРВИС""")</f>
        <v>ООО "ОПС МОНТАЖ-СЕРВИС"</v>
      </c>
      <c r="K11654" s="24" t="s">
        <v>13903</v>
      </c>
      <c r="L11654" s="28" t="s">
        <v>52</v>
      </c>
      <c r="M11654" s="25">
        <v>80000</v>
      </c>
      <c r="N11654" s="27">
        <v>0.47835159102764735</v>
      </c>
    </row>
    <row r="11655" spans="1:14" hidden="1" outlineLevel="1" x14ac:dyDescent="0.2">
      <c r="A11655" s="23" t="str">
        <f t="shared" si="598"/>
        <v>УПРАВЛЕНИЕ РОСПОТРЕБНАДЗОРА ПО ПСКОВСКОЙ ОБЛАСТИ</v>
      </c>
      <c r="B11655" s="24" t="s">
        <v>13899</v>
      </c>
      <c r="C11655" s="25">
        <v>153360</v>
      </c>
      <c r="D11655" s="22" t="s">
        <v>13900</v>
      </c>
      <c r="E11655" s="22" t="s">
        <v>107</v>
      </c>
      <c r="F11655" s="23" t="str">
        <f t="shared" si="599"/>
        <v>Услуги по техническому обслуживанию системы видеонаблюдения</v>
      </c>
      <c r="G11655" s="22" t="s">
        <v>142</v>
      </c>
      <c r="H11655" s="22" t="s">
        <v>142</v>
      </c>
      <c r="I11655" s="26">
        <v>43549.576388888898</v>
      </c>
      <c r="J11655" s="23" t="str">
        <f>HYPERLINK("https://www.spark-marketing.ru/Card/Person/397632", "ООО ПКП ""АГАТ-1""")</f>
        <v>ООО ПКП "АГАТ-1"</v>
      </c>
      <c r="K11655" s="24" t="s">
        <v>13904</v>
      </c>
      <c r="L11655" s="28" t="s">
        <v>52</v>
      </c>
      <c r="M11655" s="25">
        <v>127288.8</v>
      </c>
      <c r="N11655" s="27">
        <v>0.17</v>
      </c>
    </row>
    <row r="11656" spans="1:14" hidden="1" outlineLevel="1" x14ac:dyDescent="0.2">
      <c r="A11656" s="23" t="str">
        <f t="shared" si="598"/>
        <v>УПРАВЛЕНИЕ РОСПОТРЕБНАДЗОРА ПО ПСКОВСКОЙ ОБЛАСТИ</v>
      </c>
      <c r="B11656" s="24" t="s">
        <v>13899</v>
      </c>
      <c r="C11656" s="25">
        <v>153360</v>
      </c>
      <c r="D11656" s="22" t="s">
        <v>13900</v>
      </c>
      <c r="E11656" s="22" t="s">
        <v>107</v>
      </c>
      <c r="F11656" s="23" t="str">
        <f t="shared" si="599"/>
        <v>Услуги по техническому обслуживанию системы видеонаблюдения</v>
      </c>
      <c r="G11656" s="22" t="s">
        <v>142</v>
      </c>
      <c r="H11656" s="22" t="s">
        <v>142</v>
      </c>
      <c r="I11656" s="26">
        <v>43549.576388888898</v>
      </c>
      <c r="J11656" s="23" t="str">
        <f>HYPERLINK("https://www.spark-marketing.ru/Card/Person/16137", "ООО ""ПМЦ-ПСКОВ""")</f>
        <v>ООО "ПМЦ-ПСКОВ"</v>
      </c>
      <c r="K11656" s="24" t="s">
        <v>13905</v>
      </c>
      <c r="L11656" s="28" t="s">
        <v>52</v>
      </c>
      <c r="M11656" s="25">
        <v>149526</v>
      </c>
      <c r="N11656" s="27">
        <v>2.5000000000000001E-2</v>
      </c>
    </row>
    <row r="11657" spans="1:14" x14ac:dyDescent="0.15">
      <c r="A11657" s="23" t="str">
        <f>HYPERLINK("https://www.spark-marketing.ru/Card/Person/11770", "МЕЖРАЙОННАЯ ИФНС РОССИИ № 1 ПО РЕСПУБЛИКЕ БАШКОРТОСТАН")</f>
        <v>МЕЖРАЙОННАЯ ИФНС РОССИИ № 1 ПО РЕСПУБЛИКЕ БАШКОРТОСТАН</v>
      </c>
      <c r="B11657" s="24" t="s">
        <v>13906</v>
      </c>
      <c r="C11657" s="25">
        <v>90316.6</v>
      </c>
      <c r="D11657" s="22" t="s">
        <v>13907</v>
      </c>
      <c r="E11657" s="22" t="s">
        <v>53</v>
      </c>
      <c r="F11657" s="23" t="str">
        <f>HYPERLINK("https://www.spark-marketing.ru/Card/Lot/70790278", "Услуги пультовой охраны")</f>
        <v>Услуги пультовой охраны</v>
      </c>
      <c r="G11657" s="22" t="s">
        <v>100</v>
      </c>
      <c r="H11657" s="22" t="s">
        <v>373</v>
      </c>
      <c r="I11657" s="26">
        <v>43549.512939814798</v>
      </c>
      <c r="J11657" s="28" t="s">
        <v>52</v>
      </c>
      <c r="K11657" s="28" t="s">
        <v>52</v>
      </c>
      <c r="L11657" s="28" t="s">
        <v>52</v>
      </c>
      <c r="M11657" s="28" t="s">
        <v>52</v>
      </c>
      <c r="N11657" s="28" t="s">
        <v>52</v>
      </c>
    </row>
    <row r="11658" spans="1:14" x14ac:dyDescent="0.15">
      <c r="A11658" s="23" t="str">
        <f>HYPERLINK("https://www.spark-marketing.ru/Card/Person/139420", "КГБУДО ""КАМЧАТСКИЙ ЦЕНТР ДЕТСКОГО И ЮНОШЕСКОГО ТЕХНИЧЕСКОГО ТВОРЧЕСТВА""")</f>
        <v>КГБУДО "КАМЧАТСКИЙ ЦЕНТР ДЕТСКОГО И ЮНОШЕСКОГО ТЕХНИЧЕСКОГО ТВОРЧЕСТВА"</v>
      </c>
      <c r="B11658" s="24" t="s">
        <v>13908</v>
      </c>
      <c r="C11658" s="25">
        <v>1526330.4</v>
      </c>
      <c r="D11658" s="22" t="s">
        <v>13909</v>
      </c>
      <c r="E11658" s="22" t="s">
        <v>52</v>
      </c>
      <c r="F11658" s="23" t="str">
        <f>HYPERLINK("https://www.spark-marketing.ru/Card/Lot/68966168", "Оказание услуг по круглосуточной охране объектов, принадлежащих КГБУДО «Камчатский центр детского и юношеского технического творчества» в 2019 году")</f>
        <v>Оказание услуг по круглосуточной охране объектов, принадлежащих КГБУДО «Камчатский центр детского и юношеского технического творчества» в 2019 году</v>
      </c>
      <c r="G11658" s="22" t="s">
        <v>1141</v>
      </c>
      <c r="H11658" s="22" t="s">
        <v>1142</v>
      </c>
      <c r="I11658" s="26">
        <v>43549.465972222199</v>
      </c>
      <c r="J11658" s="23" t="str">
        <f>HYPERLINK("https://www.spark-marketing.ru/Card/Person/139059", "ООО АБ "" ЗАЩИТА""")</f>
        <v>ООО АБ " ЗАЩИТА"</v>
      </c>
      <c r="K11658" s="24" t="s">
        <v>13910</v>
      </c>
      <c r="L11658" s="22" t="s">
        <v>10</v>
      </c>
      <c r="M11658" s="28" t="s">
        <v>52</v>
      </c>
      <c r="N11658" s="28" t="s">
        <v>52</v>
      </c>
    </row>
    <row r="11659" spans="1:14" x14ac:dyDescent="0.15">
      <c r="A11659" s="23" t="str">
        <f>HYPERLINK("https://www.spark-marketing.ru/Card/Person/4362267", "АО ""ЛГЭК""")</f>
        <v>АО "ЛГЭК"</v>
      </c>
      <c r="B11659" s="24" t="s">
        <v>13911</v>
      </c>
      <c r="C11659" s="25">
        <v>3000000</v>
      </c>
      <c r="D11659" s="22" t="s">
        <v>13912</v>
      </c>
      <c r="E11659" s="22" t="s">
        <v>854</v>
      </c>
      <c r="F11659" s="23" t="str">
        <f>HYPERLINK("https://www.spark-marketing.ru/Card/Lot/68977527", "Выполнение (корректировка) проекта зоны санитарной охраны по объекту: ""Выполнение проектов ЗСО 1-го пояса на ВНС-1, ВНС-4, ВНС ""Центролит"", ВНС-10, ВНС-7"": - ""Проект зоны санитарной охраны первого пояса (ЗСО-1) водозабора ""Косыревский"", распол...")</f>
        <v>Выполнение (корректировка) проекта зоны санитарной охраны по объекту: "Выполнение проектов ЗСО 1-го пояса на ВНС-1, ВНС-4, ВНС "Центролит", ВНС-10, ВНС-7": - "Проект зоны санитарной охраны первого пояса (ЗСО-1) водозабора "Косыревский", распол...</v>
      </c>
      <c r="G11659" s="22" t="s">
        <v>629</v>
      </c>
      <c r="H11659" s="22" t="s">
        <v>629</v>
      </c>
      <c r="I11659" s="26">
        <v>43549.465520833299</v>
      </c>
      <c r="J11659" s="28" t="s">
        <v>52</v>
      </c>
      <c r="K11659" s="28" t="s">
        <v>52</v>
      </c>
      <c r="L11659" s="28" t="s">
        <v>52</v>
      </c>
      <c r="M11659" s="28" t="s">
        <v>52</v>
      </c>
      <c r="N11659" s="28" t="s">
        <v>52</v>
      </c>
    </row>
    <row r="11660" spans="1:14" hidden="1" outlineLevel="1" x14ac:dyDescent="0.2">
      <c r="A11660" s="23" t="str">
        <f>HYPERLINK("https://www.spark-marketing.ru/Card/Person/4362267", "АО ""ЛГЭК""")</f>
        <v>АО "ЛГЭК"</v>
      </c>
      <c r="B11660" s="24" t="s">
        <v>13911</v>
      </c>
      <c r="C11660" s="28" t="s">
        <v>52</v>
      </c>
      <c r="D11660" s="22" t="s">
        <v>13912</v>
      </c>
      <c r="E11660" s="22" t="s">
        <v>854</v>
      </c>
      <c r="F11660" s="23" t="str">
        <f>HYPERLINK("https://www.spark-marketing.ru/Card/Lot/68977527", "Выполнение (корректировка) проекта зоны санитарной охраны по объекту: ""Выполнение проектов ЗСО 1-го пояса на ВНС-1, ВНС-4, ВНС ""Центролит"", ВНС-10, ВНС-7"": - ""Проект зоны санитарной охраны первого пояса (ЗСО-1) водозабора ""Косыревский"", распол...")</f>
        <v>Выполнение (корректировка) проекта зоны санитарной охраны по объекту: "Выполнение проектов ЗСО 1-го пояса на ВНС-1, ВНС-4, ВНС "Центролит", ВНС-10, ВНС-7": - "Проект зоны санитарной охраны первого пояса (ЗСО-1) водозабора "Косыревский", распол...</v>
      </c>
      <c r="G11660" s="22" t="s">
        <v>629</v>
      </c>
      <c r="H11660" s="22" t="s">
        <v>629</v>
      </c>
      <c r="I11660" s="26">
        <v>43549.465520833299</v>
      </c>
      <c r="J11660" s="23" t="str">
        <f>HYPERLINK("https://www.spark-marketing.ru/Card/Person/4682575", "ООО ""ПРОЕКТ Е4""")</f>
        <v>ООО "ПРОЕКТ Е4"</v>
      </c>
      <c r="K11660" s="24" t="s">
        <v>13913</v>
      </c>
      <c r="L11660" s="22" t="s">
        <v>10</v>
      </c>
      <c r="M11660" s="25">
        <v>1180000</v>
      </c>
      <c r="N11660" s="27">
        <v>0.60666666666666669</v>
      </c>
    </row>
    <row r="11661" spans="1:14" hidden="1" outlineLevel="1" x14ac:dyDescent="0.2">
      <c r="A11661" s="23" t="str">
        <f>HYPERLINK("https://www.spark-marketing.ru/Card/Person/4362267", "АО ""ЛГЭК""")</f>
        <v>АО "ЛГЭК"</v>
      </c>
      <c r="B11661" s="24" t="s">
        <v>13911</v>
      </c>
      <c r="C11661" s="28" t="s">
        <v>52</v>
      </c>
      <c r="D11661" s="22" t="s">
        <v>13912</v>
      </c>
      <c r="E11661" s="22" t="s">
        <v>854</v>
      </c>
      <c r="F11661" s="23" t="str">
        <f>HYPERLINK("https://www.spark-marketing.ru/Card/Lot/68977527", "Выполнение (корректировка) проекта зоны санитарной охраны по объекту: ""Выполнение проектов ЗСО 1-го пояса на ВНС-1, ВНС-4, ВНС ""Центролит"", ВНС-10, ВНС-7"": - ""Проект зоны санитарной охраны первого пояса (ЗСО-1) водозабора ""Косыревский"", распол...")</f>
        <v>Выполнение (корректировка) проекта зоны санитарной охраны по объекту: "Выполнение проектов ЗСО 1-го пояса на ВНС-1, ВНС-4, ВНС "Центролит", ВНС-10, ВНС-7": - "Проект зоны санитарной охраны первого пояса (ЗСО-1) водозабора "Косыревский", распол...</v>
      </c>
      <c r="G11661" s="22" t="s">
        <v>629</v>
      </c>
      <c r="H11661" s="22" t="s">
        <v>629</v>
      </c>
      <c r="I11661" s="26">
        <v>43549.465520833299</v>
      </c>
      <c r="J11661" s="23" t="str">
        <f>HYPERLINK("https://www.spark-marketing.ru/Card/Person/394843", "ООО ""МЕЛИОРАЦИЯ""")</f>
        <v>ООО "МЕЛИОРАЦИЯ"</v>
      </c>
      <c r="K11661" s="24" t="s">
        <v>13914</v>
      </c>
      <c r="L11661" s="28" t="s">
        <v>52</v>
      </c>
      <c r="M11661" s="25">
        <v>2480000</v>
      </c>
      <c r="N11661" s="27">
        <v>0.17333333333333334</v>
      </c>
    </row>
    <row r="11662" spans="1:14" x14ac:dyDescent="0.15">
      <c r="A11662" s="23" t="str">
        <f>HYPERLINK("https://www.spark-marketing.ru/Card/Person/953184", "СРЕДНЯЯ ОБЩЕОБРАЗОВАТЕЛЬНАЯ ШКОЛА №85")</f>
        <v>СРЕДНЯЯ ОБЩЕОБРАЗОВАТЕЛЬНАЯ ШКОЛА №85</v>
      </c>
      <c r="B11662" s="24" t="s">
        <v>13915</v>
      </c>
      <c r="C11662" s="25">
        <v>750600</v>
      </c>
      <c r="D11662" s="22" t="s">
        <v>13916</v>
      </c>
      <c r="E11662" s="22" t="s">
        <v>68</v>
      </c>
      <c r="F11662" s="23" t="str">
        <f>HYPERLINK("https://www.spark-marketing.ru/Card/Lot/68983214", "Услуги, связанные с обеспечением общественного порядка и безопасности, прочие")</f>
        <v>Услуги, связанные с обеспечением общественного порядка и безопасности, прочие</v>
      </c>
      <c r="G11662" s="22" t="s">
        <v>132</v>
      </c>
      <c r="H11662" s="22" t="s">
        <v>1126</v>
      </c>
      <c r="I11662" s="26">
        <v>43549.465972222199</v>
      </c>
      <c r="J11662" s="28" t="s">
        <v>52</v>
      </c>
      <c r="K11662" s="28" t="s">
        <v>52</v>
      </c>
      <c r="L11662" s="28" t="s">
        <v>52</v>
      </c>
      <c r="M11662" s="28" t="s">
        <v>52</v>
      </c>
      <c r="N11662" s="28" t="s">
        <v>52</v>
      </c>
    </row>
    <row r="11663" spans="1:14" ht="12.75" hidden="1" outlineLevel="1" x14ac:dyDescent="0.2">
      <c r="A11663" s="23" t="str">
        <f>HYPERLINK("https://www.spark-marketing.ru/Card/Person/953184", "СРЕДНЯЯ ОБЩЕОБРАЗОВАТЕЛЬНАЯ ШКОЛА №85")</f>
        <v>СРЕДНЯЯ ОБЩЕОБРАЗОВАТЕЛЬНАЯ ШКОЛА №85</v>
      </c>
      <c r="B11663" s="24" t="s">
        <v>13915</v>
      </c>
      <c r="C11663" s="25">
        <v>750600</v>
      </c>
      <c r="D11663" s="22" t="s">
        <v>13916</v>
      </c>
      <c r="E11663" s="22" t="s">
        <v>68</v>
      </c>
      <c r="F11663" s="23" t="str">
        <f>HYPERLINK("https://www.spark-marketing.ru/Card/Lot/68983214", "Услуги, связанные с обеспечением общественного порядка и безопасности, прочие")</f>
        <v>Услуги, связанные с обеспечением общественного порядка и безопасности, прочие</v>
      </c>
      <c r="G11663" s="22" t="s">
        <v>132</v>
      </c>
      <c r="H11663" s="22" t="s">
        <v>1126</v>
      </c>
      <c r="I11663" s="26">
        <v>43549.465972222199</v>
      </c>
      <c r="J11663" s="23" t="str">
        <f>HYPERLINK("https://www.spark-marketing.ru/Card/Person/446854", "ООО ""ОХРАНА ""ОЛИМП""")</f>
        <v>ООО "ОХРАНА "ОЛИМП"</v>
      </c>
      <c r="K11663" s="24" t="s">
        <v>13026</v>
      </c>
      <c r="L11663" s="22" t="s">
        <v>10</v>
      </c>
      <c r="M11663" s="25">
        <v>607986</v>
      </c>
      <c r="N11663" s="27">
        <v>0.19</v>
      </c>
    </row>
    <row r="11664" spans="1:14" hidden="1" outlineLevel="1" x14ac:dyDescent="0.2">
      <c r="A11664" s="23" t="str">
        <f>HYPERLINK("https://www.spark-marketing.ru/Card/Person/953184", "СРЕДНЯЯ ОБЩЕОБРАЗОВАТЕЛЬНАЯ ШКОЛА №85")</f>
        <v>СРЕДНЯЯ ОБЩЕОБРАЗОВАТЕЛЬНАЯ ШКОЛА №85</v>
      </c>
      <c r="B11664" s="24" t="s">
        <v>13915</v>
      </c>
      <c r="C11664" s="25">
        <v>750600</v>
      </c>
      <c r="D11664" s="22" t="s">
        <v>13916</v>
      </c>
      <c r="E11664" s="22" t="s">
        <v>68</v>
      </c>
      <c r="F11664" s="23" t="str">
        <f>HYPERLINK("https://www.spark-marketing.ru/Card/Lot/68983214", "Услуги, связанные с обеспечением общественного порядка и безопасности, прочие")</f>
        <v>Услуги, связанные с обеспечением общественного порядка и безопасности, прочие</v>
      </c>
      <c r="G11664" s="22" t="s">
        <v>132</v>
      </c>
      <c r="H11664" s="22" t="s">
        <v>1126</v>
      </c>
      <c r="I11664" s="26">
        <v>43549.465972222199</v>
      </c>
      <c r="J11664" s="23" t="str">
        <f>HYPERLINK("https://www.spark-marketing.ru/Card/Person/124509", "ООО ""ЧАСТНАЯ ОХРАННАЯ ОРГАНИЗАЦИЯ ""РУБИКОН""")</f>
        <v>ООО "ЧАСТНАЯ ОХРАННАЯ ОРГАНИЗАЦИЯ "РУБИКОН"</v>
      </c>
      <c r="K11664" s="24" t="s">
        <v>6844</v>
      </c>
      <c r="L11664" s="28" t="s">
        <v>52</v>
      </c>
      <c r="M11664" s="25">
        <v>611739</v>
      </c>
      <c r="N11664" s="27">
        <v>0.185</v>
      </c>
    </row>
    <row r="11665" spans="1:14" x14ac:dyDescent="0.15">
      <c r="A11665" s="23" t="str">
        <f>HYPERLINK("https://www.spark-marketing.ru/Card/Person/1073360", "МБУ ДО ДЮСШ ""КАИССА""")</f>
        <v>МБУ ДО ДЮСШ "КАИССА"</v>
      </c>
      <c r="B11665" s="24" t="s">
        <v>13917</v>
      </c>
      <c r="C11665" s="25">
        <v>14013.7</v>
      </c>
      <c r="D11665" s="22" t="s">
        <v>13918</v>
      </c>
      <c r="E11665" s="22" t="s">
        <v>53</v>
      </c>
      <c r="F11665" s="23" t="str">
        <f>HYPERLINK("https://www.spark-marketing.ru/Card/Lot/70790584", "Охранные услуги (г.Новороссийск, ул.Сакко и Ванцетти, 11)")</f>
        <v>Охранные услуги (г.Новороссийск, ул.Сакко и Ванцетти, 11)</v>
      </c>
      <c r="G11665" s="22" t="s">
        <v>132</v>
      </c>
      <c r="H11665" s="22" t="s">
        <v>452</v>
      </c>
      <c r="I11665" s="26">
        <v>43549.429375</v>
      </c>
      <c r="J11665" s="28" t="s">
        <v>52</v>
      </c>
      <c r="K11665" s="28" t="s">
        <v>52</v>
      </c>
      <c r="L11665" s="28" t="s">
        <v>52</v>
      </c>
      <c r="M11665" s="28" t="s">
        <v>52</v>
      </c>
      <c r="N11665" s="28" t="s">
        <v>52</v>
      </c>
    </row>
    <row r="11666" spans="1:14" x14ac:dyDescent="0.15">
      <c r="A11666" s="23" t="str">
        <f>HYPERLINK("https://www.spark-marketing.ru/Card/Person/4343752", "УСД В РЕСПУБЛИКЕ КРЫМ")</f>
        <v>УСД В РЕСПУБЛИКЕ КРЫМ</v>
      </c>
      <c r="B11666" s="24" t="s">
        <v>13919</v>
      </c>
      <c r="C11666" s="25">
        <v>1234772</v>
      </c>
      <c r="D11666" s="22" t="s">
        <v>13920</v>
      </c>
      <c r="E11666" s="22" t="s">
        <v>208</v>
      </c>
      <c r="F11666" s="23" t="str">
        <f>HYPERLINK("https://www.spark-marketing.ru/Card/Lot/68978718", "Приобретение с установкой и наладкой системы охранного видеонаблюдения в Кировском районном суде, расположенном по адресу: пгт. Кировское, ул. Р. Люксембург, д. 25")</f>
        <v>Приобретение с установкой и наладкой системы охранного видеонаблюдения в Кировском районном суде, расположенном по адресу: пгт. Кировское, ул. Р. Люксембург, д. 25</v>
      </c>
      <c r="G11666" s="22" t="s">
        <v>1053</v>
      </c>
      <c r="H11666" s="22" t="s">
        <v>1053</v>
      </c>
      <c r="I11666" s="26">
        <v>43549.438888888901</v>
      </c>
      <c r="J11666" s="23" t="str">
        <f>HYPERLINK("https://www.spark-marketing.ru/Card/Person/4961992", "ООО ""Б-СТРОЙ""")</f>
        <v>ООО "Б-СТРОЙ"</v>
      </c>
      <c r="K11666" s="24" t="s">
        <v>13921</v>
      </c>
      <c r="L11666" s="28" t="s">
        <v>52</v>
      </c>
      <c r="M11666" s="28" t="s">
        <v>52</v>
      </c>
      <c r="N11666" s="28" t="s">
        <v>52</v>
      </c>
    </row>
    <row r="11667" spans="1:14" hidden="1" outlineLevel="1" x14ac:dyDescent="0.15">
      <c r="A11667" s="23" t="str">
        <f>HYPERLINK("https://www.spark-marketing.ru/Card/Person/4343752", "УСД В РЕСПУБЛИКЕ КРЫМ")</f>
        <v>УСД В РЕСПУБЛИКЕ КРЫМ</v>
      </c>
      <c r="B11667" s="24" t="s">
        <v>13919</v>
      </c>
      <c r="C11667" s="25">
        <v>1234772</v>
      </c>
      <c r="D11667" s="22" t="s">
        <v>13920</v>
      </c>
      <c r="E11667" s="22" t="s">
        <v>208</v>
      </c>
      <c r="F11667" s="23" t="str">
        <f>HYPERLINK("https://www.spark-marketing.ru/Card/Lot/68978718", "Приобретение с установкой и наладкой системы охранного видеонаблюдения в Кировском районном суде, расположенном по адресу: пгт. Кировское, ул. Р. Люксембург, д. 25")</f>
        <v>Приобретение с установкой и наладкой системы охранного видеонаблюдения в Кировском районном суде, расположенном по адресу: пгт. Кировское, ул. Р. Люксембург, д. 25</v>
      </c>
      <c r="G11667" s="22" t="s">
        <v>1053</v>
      </c>
      <c r="H11667" s="22" t="s">
        <v>1053</v>
      </c>
      <c r="I11667" s="26">
        <v>43549.438888888901</v>
      </c>
      <c r="J11667" s="23" t="str">
        <f>HYPERLINK("https://www.spark-marketing.ru/Card/Person/4961992", "ООО ""Б-СТРОЙ""")</f>
        <v>ООО "Б-СТРОЙ"</v>
      </c>
      <c r="K11667" s="24" t="s">
        <v>13921</v>
      </c>
      <c r="L11667" s="22" t="s">
        <v>10</v>
      </c>
      <c r="M11667" s="28" t="s">
        <v>52</v>
      </c>
      <c r="N11667" s="28" t="s">
        <v>52</v>
      </c>
    </row>
    <row r="11668" spans="1:14" x14ac:dyDescent="0.15">
      <c r="A11668" s="23" t="str">
        <f>HYPERLINK("https://www.spark-marketing.ru/Card/Person/124063", "МКУ ""АДЦ""")</f>
        <v>МКУ "АДЦ"</v>
      </c>
      <c r="B11668" s="24" t="s">
        <v>12644</v>
      </c>
      <c r="C11668" s="25">
        <v>9779041.3100000005</v>
      </c>
      <c r="D11668" s="22" t="s">
        <v>13922</v>
      </c>
      <c r="E11668" s="22" t="s">
        <v>68</v>
      </c>
      <c r="F11668" s="23" t="str">
        <f>HYPERLINK("https://www.spark-marketing.ru/Card/Lot/68966404", "Оказание услуг защиты объекта транспортной инфраструктуры от актов незаконного вмешательства для нужд МКУ ""Автоматизированный диспетчерский центр""")</f>
        <v>Оказание услуг защиты объекта транспортной инфраструктуры от актов незаконного вмешательства для нужд МКУ "Автоматизированный диспетчерский центр"</v>
      </c>
      <c r="G11668" s="22" t="s">
        <v>409</v>
      </c>
      <c r="H11668" s="22" t="s">
        <v>878</v>
      </c>
      <c r="I11668" s="26">
        <v>43549.453472222202</v>
      </c>
      <c r="J11668" s="28" t="s">
        <v>52</v>
      </c>
      <c r="K11668" s="28" t="s">
        <v>52</v>
      </c>
      <c r="L11668" s="28" t="s">
        <v>52</v>
      </c>
      <c r="M11668" s="28" t="s">
        <v>52</v>
      </c>
      <c r="N11668" s="28" t="s">
        <v>52</v>
      </c>
    </row>
    <row r="11669" spans="1:14" hidden="1" outlineLevel="1" x14ac:dyDescent="0.2">
      <c r="A11669" s="23" t="str">
        <f>HYPERLINK("https://www.spark-marketing.ru/Card/Person/124063", "МКУ ""АДЦ""")</f>
        <v>МКУ "АДЦ"</v>
      </c>
      <c r="B11669" s="24" t="s">
        <v>12644</v>
      </c>
      <c r="C11669" s="25">
        <v>9779041.3100000005</v>
      </c>
      <c r="D11669" s="22" t="s">
        <v>13922</v>
      </c>
      <c r="E11669" s="22" t="s">
        <v>68</v>
      </c>
      <c r="F11669" s="23" t="str">
        <f>HYPERLINK("https://www.spark-marketing.ru/Card/Lot/68966404", "Оказание услуг защиты объекта транспортной инфраструктуры от актов незаконного вмешательства для нужд МКУ ""Автоматизированный диспетчерский центр""")</f>
        <v>Оказание услуг защиты объекта транспортной инфраструктуры от актов незаконного вмешательства для нужд МКУ "Автоматизированный диспетчерский центр"</v>
      </c>
      <c r="G11669" s="22" t="s">
        <v>409</v>
      </c>
      <c r="H11669" s="22" t="s">
        <v>878</v>
      </c>
      <c r="I11669" s="26">
        <v>43549.453472222202</v>
      </c>
      <c r="J11669" s="23" t="str">
        <f>HYPERLINK("https://www.spark-marketing.ru/Card/Person/6285750", "ООО ""ДВ ТРАНСПОРТНАЯ БЕЗОПАСНОСТЬ""")</f>
        <v>ООО "ДВ ТРАНСПОРТНАЯ БЕЗОПАСНОСТЬ"</v>
      </c>
      <c r="K11669" s="24" t="s">
        <v>12646</v>
      </c>
      <c r="L11669" s="28" t="s">
        <v>52</v>
      </c>
      <c r="M11669" s="25">
        <v>6307481.4000000004</v>
      </c>
      <c r="N11669" s="27">
        <v>0.35500002504846767</v>
      </c>
    </row>
    <row r="11670" spans="1:14" ht="12.75" hidden="1" outlineLevel="1" x14ac:dyDescent="0.2">
      <c r="A11670" s="23" t="str">
        <f>HYPERLINK("https://www.spark-marketing.ru/Card/Person/124063", "МКУ ""АДЦ""")</f>
        <v>МКУ "АДЦ"</v>
      </c>
      <c r="B11670" s="24" t="s">
        <v>12644</v>
      </c>
      <c r="C11670" s="25">
        <v>9779041.3100000005</v>
      </c>
      <c r="D11670" s="22" t="s">
        <v>13922</v>
      </c>
      <c r="E11670" s="22" t="s">
        <v>68</v>
      </c>
      <c r="F11670" s="23" t="str">
        <f>HYPERLINK("https://www.spark-marketing.ru/Card/Lot/68966404", "Оказание услуг защиты объекта транспортной инфраструктуры от актов незаконного вмешательства для нужд МКУ ""Автоматизированный диспетчерский центр""")</f>
        <v>Оказание услуг защиты объекта транспортной инфраструктуры от актов незаконного вмешательства для нужд МКУ "Автоматизированный диспетчерский центр"</v>
      </c>
      <c r="G11670" s="22" t="s">
        <v>409</v>
      </c>
      <c r="H11670" s="22" t="s">
        <v>878</v>
      </c>
      <c r="I11670" s="26">
        <v>43549.453472222202</v>
      </c>
      <c r="J11670" s="23" t="str">
        <f>HYPERLINK("https://www.spark-marketing.ru/Card/Person/6216876", "ООО ПТБ ""ФИЛИН""")</f>
        <v>ООО ПТБ "ФИЛИН"</v>
      </c>
      <c r="K11670" s="24" t="s">
        <v>13923</v>
      </c>
      <c r="L11670" s="22" t="s">
        <v>10</v>
      </c>
      <c r="M11670" s="25">
        <v>6258586.1900000004</v>
      </c>
      <c r="N11670" s="27">
        <v>0.36000002540126297</v>
      </c>
    </row>
    <row r="11671" spans="1:14" hidden="1" outlineLevel="1" x14ac:dyDescent="0.2">
      <c r="A11671" s="23" t="str">
        <f>HYPERLINK("https://www.spark-marketing.ru/Card/Person/124063", "МКУ ""АДЦ""")</f>
        <v>МКУ "АДЦ"</v>
      </c>
      <c r="B11671" s="24" t="s">
        <v>12644</v>
      </c>
      <c r="C11671" s="25">
        <v>9779041.3100000005</v>
      </c>
      <c r="D11671" s="22" t="s">
        <v>13922</v>
      </c>
      <c r="E11671" s="22" t="s">
        <v>68</v>
      </c>
      <c r="F11671" s="23" t="str">
        <f>HYPERLINK("https://www.spark-marketing.ru/Card/Lot/68966404", "Оказание услуг защиты объекта транспортной инфраструктуры от актов незаконного вмешательства для нужд МКУ ""Автоматизированный диспетчерский центр""")</f>
        <v>Оказание услуг защиты объекта транспортной инфраструктуры от актов незаконного вмешательства для нужд МКУ "Автоматизированный диспетчерский центр"</v>
      </c>
      <c r="G11671" s="22" t="s">
        <v>409</v>
      </c>
      <c r="H11671" s="22" t="s">
        <v>878</v>
      </c>
      <c r="I11671" s="26">
        <v>43549.453472222202</v>
      </c>
      <c r="J11671" s="23" t="str">
        <f>HYPERLINK("https://www.spark-marketing.ru/Card/Person/1713850", "ООО ""ПТБ ""ЭКСКАЛИБУР""")</f>
        <v>ООО "ПТБ "ЭКСКАЛИБУР"</v>
      </c>
      <c r="K11671" s="24" t="s">
        <v>13924</v>
      </c>
      <c r="L11671" s="28" t="s">
        <v>52</v>
      </c>
      <c r="M11671" s="25">
        <v>9632355.6799999997</v>
      </c>
      <c r="N11671" s="27">
        <v>1.5000001058385958E-2</v>
      </c>
    </row>
    <row r="11672" spans="1:14" x14ac:dyDescent="0.15">
      <c r="A11672" s="23" t="str">
        <f>HYPERLINK("https://www.spark-marketing.ru/Card/Person/19123", "ФГБОУ ВО ""КЕМЕРОВСКИЙ ГОСУДАРСТВЕННЫЙ УНИВЕРСИТЕТ"" КЕМГУ КЕМЕРОВСКИЙ ГОСУДАРСТВЕННЫЙ УНИВЕРСИТЕТ")</f>
        <v>ФГБОУ ВО "КЕМЕРОВСКИЙ ГОСУДАРСТВЕННЫЙ УНИВЕРСИТЕТ" КЕМГУ КЕМЕРОВСКИЙ ГОСУДАРСТВЕННЫЙ УНИВЕРСИТЕТ</v>
      </c>
      <c r="B11672" s="24" t="s">
        <v>13925</v>
      </c>
      <c r="C11672" s="25">
        <v>14234.47</v>
      </c>
      <c r="D11672" s="22" t="s">
        <v>13926</v>
      </c>
      <c r="E11672" s="22" t="s">
        <v>59</v>
      </c>
      <c r="F11672" s="23" t="str">
        <f>HYPERLINK("https://www.spark-marketing.ru/Card/Lot/68969365", "Установка оборудования")</f>
        <v>Установка оборудования</v>
      </c>
      <c r="G11672" s="22" t="s">
        <v>367</v>
      </c>
      <c r="H11672" s="22" t="s">
        <v>367</v>
      </c>
      <c r="I11672" s="26">
        <v>43549.451388888898</v>
      </c>
      <c r="J11672" s="28" t="s">
        <v>52</v>
      </c>
      <c r="K11672" s="28" t="s">
        <v>52</v>
      </c>
      <c r="L11672" s="28" t="s">
        <v>52</v>
      </c>
      <c r="M11672" s="28" t="s">
        <v>52</v>
      </c>
      <c r="N11672" s="28" t="s">
        <v>52</v>
      </c>
    </row>
    <row r="11673" spans="1:14" x14ac:dyDescent="0.15">
      <c r="A11673" s="23" t="str">
        <f>HYPERLINK("https://www.spark-marketing.ru/Card/Person/1073360", "МБУ ДО ДЮСШ ""КАИССА""")</f>
        <v>МБУ ДО ДЮСШ "КАИССА"</v>
      </c>
      <c r="B11673" s="24" t="s">
        <v>13917</v>
      </c>
      <c r="C11673" s="25">
        <v>14013.7</v>
      </c>
      <c r="D11673" s="22" t="s">
        <v>13927</v>
      </c>
      <c r="E11673" s="22" t="s">
        <v>53</v>
      </c>
      <c r="F11673" s="23" t="str">
        <f>HYPERLINK("https://www.spark-marketing.ru/Card/Lot/70790565", "Оказание охранных услуг с помощью средств тревожной сигнализации (ст.Натухаевская, Фрунзе, 50)")</f>
        <v>Оказание охранных услуг с помощью средств тревожной сигнализации (ст.Натухаевская, Фрунзе, 50)</v>
      </c>
      <c r="G11673" s="22" t="s">
        <v>132</v>
      </c>
      <c r="H11673" s="22" t="s">
        <v>452</v>
      </c>
      <c r="I11673" s="26">
        <v>43549.424317129597</v>
      </c>
      <c r="J11673" s="28" t="s">
        <v>52</v>
      </c>
      <c r="K11673" s="28" t="s">
        <v>52</v>
      </c>
      <c r="L11673" s="28" t="s">
        <v>52</v>
      </c>
      <c r="M11673" s="28" t="s">
        <v>52</v>
      </c>
      <c r="N11673" s="28" t="s">
        <v>52</v>
      </c>
    </row>
    <row r="11674" spans="1:14" x14ac:dyDescent="0.15">
      <c r="A11674" s="23" t="str">
        <f t="shared" ref="A11674:A11679" si="600">HYPERLINK("https://www.spark-marketing.ru/Card/Person/1046374", "ОБУ ""ЦСЗН ПО ГОРОДУ ЕЛЬЦУ""")</f>
        <v>ОБУ "ЦСЗН ПО ГОРОДУ ЕЛЬЦУ"</v>
      </c>
      <c r="B11674" s="24" t="s">
        <v>13928</v>
      </c>
      <c r="C11674" s="25">
        <v>135337.67000000001</v>
      </c>
      <c r="D11674" s="22" t="s">
        <v>13929</v>
      </c>
      <c r="E11674" s="22" t="s">
        <v>84</v>
      </c>
      <c r="F11674" s="23" t="str">
        <f t="shared" ref="F11674:F11679" si="601">HYPERLINK("https://www.spark-marketing.ru/Card/Lot/68973221", "Установка системы видеонаблюдения")</f>
        <v>Установка системы видеонаблюдения</v>
      </c>
      <c r="G11674" s="22" t="s">
        <v>629</v>
      </c>
      <c r="H11674" s="22" t="s">
        <v>9737</v>
      </c>
      <c r="I11674" s="26">
        <v>43549.377777777801</v>
      </c>
      <c r="J11674" s="28" t="s">
        <v>52</v>
      </c>
      <c r="K11674" s="28" t="s">
        <v>52</v>
      </c>
      <c r="L11674" s="28" t="s">
        <v>52</v>
      </c>
      <c r="M11674" s="28" t="s">
        <v>52</v>
      </c>
      <c r="N11674" s="28" t="s">
        <v>52</v>
      </c>
    </row>
    <row r="11675" spans="1:14" hidden="1" outlineLevel="1" x14ac:dyDescent="0.2">
      <c r="A11675" s="23" t="str">
        <f t="shared" si="600"/>
        <v>ОБУ "ЦСЗН ПО ГОРОДУ ЕЛЬЦУ"</v>
      </c>
      <c r="B11675" s="24" t="s">
        <v>13928</v>
      </c>
      <c r="C11675" s="25">
        <v>135337.67000000001</v>
      </c>
      <c r="D11675" s="22" t="s">
        <v>13929</v>
      </c>
      <c r="E11675" s="22" t="s">
        <v>84</v>
      </c>
      <c r="F11675" s="23" t="str">
        <f t="shared" si="601"/>
        <v>Установка системы видеонаблюдения</v>
      </c>
      <c r="G11675" s="22" t="s">
        <v>629</v>
      </c>
      <c r="H11675" s="22" t="s">
        <v>9737</v>
      </c>
      <c r="I11675" s="26">
        <v>43549.377777777801</v>
      </c>
      <c r="J11675" s="23" t="str">
        <f>HYPERLINK("https://www.spark-marketing.ru/Card/Person/415634", "ООО ""АЙТИ-НЭТ""")</f>
        <v>ООО "АЙТИ-НЭТ"</v>
      </c>
      <c r="K11675" s="24" t="s">
        <v>11757</v>
      </c>
      <c r="L11675" s="28" t="s">
        <v>52</v>
      </c>
      <c r="M11675" s="25">
        <v>119849.65</v>
      </c>
      <c r="N11675" s="27">
        <v>0.11443983038868631</v>
      </c>
    </row>
    <row r="11676" spans="1:14" hidden="1" outlineLevel="1" x14ac:dyDescent="0.2">
      <c r="A11676" s="23" t="str">
        <f t="shared" si="600"/>
        <v>ОБУ "ЦСЗН ПО ГОРОДУ ЕЛЬЦУ"</v>
      </c>
      <c r="B11676" s="24" t="s">
        <v>13928</v>
      </c>
      <c r="C11676" s="25">
        <v>135337.67000000001</v>
      </c>
      <c r="D11676" s="22" t="s">
        <v>13929</v>
      </c>
      <c r="E11676" s="22" t="s">
        <v>84</v>
      </c>
      <c r="F11676" s="23" t="str">
        <f t="shared" si="601"/>
        <v>Установка системы видеонаблюдения</v>
      </c>
      <c r="G11676" s="22" t="s">
        <v>629</v>
      </c>
      <c r="H11676" s="22" t="s">
        <v>9737</v>
      </c>
      <c r="I11676" s="26">
        <v>43549.377777777801</v>
      </c>
      <c r="J11676" s="23" t="str">
        <f>HYPERLINK("https://www.spark-marketing.ru/Card/Person/6493589", "Тен Анастасия Сергеевна")</f>
        <v>Тен Анастасия Сергеевна</v>
      </c>
      <c r="K11676" s="24" t="s">
        <v>13930</v>
      </c>
      <c r="L11676" s="28" t="s">
        <v>52</v>
      </c>
      <c r="M11676" s="25">
        <v>109022.63</v>
      </c>
      <c r="N11676" s="27">
        <v>0.19443987767781135</v>
      </c>
    </row>
    <row r="11677" spans="1:14" hidden="1" outlineLevel="1" x14ac:dyDescent="0.2">
      <c r="A11677" s="23" t="str">
        <f t="shared" si="600"/>
        <v>ОБУ "ЦСЗН ПО ГОРОДУ ЕЛЬЦУ"</v>
      </c>
      <c r="B11677" s="24" t="s">
        <v>13928</v>
      </c>
      <c r="C11677" s="25">
        <v>135337.67000000001</v>
      </c>
      <c r="D11677" s="22" t="s">
        <v>13929</v>
      </c>
      <c r="E11677" s="22" t="s">
        <v>84</v>
      </c>
      <c r="F11677" s="23" t="str">
        <f t="shared" si="601"/>
        <v>Установка системы видеонаблюдения</v>
      </c>
      <c r="G11677" s="22" t="s">
        <v>629</v>
      </c>
      <c r="H11677" s="22" t="s">
        <v>9737</v>
      </c>
      <c r="I11677" s="26">
        <v>43549.377777777801</v>
      </c>
      <c r="J11677" s="23" t="str">
        <f>HYPERLINK("https://www.spark-marketing.ru/Card/Person/18883", "ООО ""БЭКСТР""")</f>
        <v>ООО "БЭКСТР"</v>
      </c>
      <c r="K11677" s="24" t="s">
        <v>9050</v>
      </c>
      <c r="L11677" s="28" t="s">
        <v>52</v>
      </c>
      <c r="M11677" s="25">
        <v>120526.34</v>
      </c>
      <c r="N11677" s="27">
        <v>0.10943981819695876</v>
      </c>
    </row>
    <row r="11678" spans="1:14" ht="12.75" hidden="1" outlineLevel="1" x14ac:dyDescent="0.2">
      <c r="A11678" s="23" t="str">
        <f t="shared" si="600"/>
        <v>ОБУ "ЦСЗН ПО ГОРОДУ ЕЛЬЦУ"</v>
      </c>
      <c r="B11678" s="24" t="s">
        <v>13928</v>
      </c>
      <c r="C11678" s="25">
        <v>135337.67000000001</v>
      </c>
      <c r="D11678" s="22" t="s">
        <v>13929</v>
      </c>
      <c r="E11678" s="22" t="s">
        <v>84</v>
      </c>
      <c r="F11678" s="23" t="str">
        <f t="shared" si="601"/>
        <v>Установка системы видеонаблюдения</v>
      </c>
      <c r="G11678" s="22" t="s">
        <v>629</v>
      </c>
      <c r="H11678" s="22" t="s">
        <v>9737</v>
      </c>
      <c r="I11678" s="26">
        <v>43549.377777777801</v>
      </c>
      <c r="J11678" s="23" t="str">
        <f>HYPERLINK("https://www.spark-marketing.ru/Card/Person/6515133", "ООО ""БАСТИОН СБ""")</f>
        <v>ООО "БАСТИОН СБ"</v>
      </c>
      <c r="K11678" s="24" t="s">
        <v>13931</v>
      </c>
      <c r="L11678" s="22" t="s">
        <v>10</v>
      </c>
      <c r="M11678" s="25">
        <v>108345.94</v>
      </c>
      <c r="N11678" s="27">
        <v>0.19943988986953892</v>
      </c>
    </row>
    <row r="11679" spans="1:14" hidden="1" outlineLevel="1" x14ac:dyDescent="0.2">
      <c r="A11679" s="23" t="str">
        <f t="shared" si="600"/>
        <v>ОБУ "ЦСЗН ПО ГОРОДУ ЕЛЬЦУ"</v>
      </c>
      <c r="B11679" s="24" t="s">
        <v>13928</v>
      </c>
      <c r="C11679" s="25">
        <v>135337.67000000001</v>
      </c>
      <c r="D11679" s="22" t="s">
        <v>13929</v>
      </c>
      <c r="E11679" s="22" t="s">
        <v>84</v>
      </c>
      <c r="F11679" s="23" t="str">
        <f t="shared" si="601"/>
        <v>Установка системы видеонаблюдения</v>
      </c>
      <c r="G11679" s="22" t="s">
        <v>629</v>
      </c>
      <c r="H11679" s="22" t="s">
        <v>9737</v>
      </c>
      <c r="I11679" s="26">
        <v>43549.377777777801</v>
      </c>
      <c r="J11679" s="23" t="str">
        <f>HYPERLINK("https://www.spark-marketing.ru/Card/Person/1510813", "ООО ""ЮНИКОМ""")</f>
        <v>ООО "ЮНИКОМ"</v>
      </c>
      <c r="K11679" s="24" t="s">
        <v>13932</v>
      </c>
      <c r="L11679" s="28" t="s">
        <v>52</v>
      </c>
      <c r="M11679" s="25">
        <v>134660.98000000001</v>
      </c>
      <c r="N11679" s="27">
        <v>5.0000121917275512E-3</v>
      </c>
    </row>
    <row r="11680" spans="1:14" x14ac:dyDescent="0.15">
      <c r="A11680" s="23" t="str">
        <f>HYPERLINK("https://www.spark-marketing.ru/Card/Person/85461", "ФГКУ ""ДОМ ОТДЫХА ""ПРИБРЕЖНЫЙ""")</f>
        <v>ФГКУ "ДОМ ОТДЫХА "ПРИБРЕЖНЫЙ"</v>
      </c>
      <c r="B11680" s="24" t="s">
        <v>13933</v>
      </c>
      <c r="C11680" s="25">
        <v>350788</v>
      </c>
      <c r="D11680" s="22" t="s">
        <v>13934</v>
      </c>
      <c r="E11680" s="22" t="s">
        <v>107</v>
      </c>
      <c r="F11680" s="23" t="str">
        <f>HYPERLINK("https://www.spark-marketing.ru/Card/Lot/68977838", "Оказание услуг по техническому обслуживанию газового оборудования котельной, автоматики безопасности, аварийной сигнализации, электрического, термомеханического и водоподготовительного оборудования")</f>
        <v>Оказание услуг по техническому обслуживанию газового оборудования котельной, автоматики безопасности, аварийной сигнализации, электрического, термомеханического и водоподготовительного оборудования</v>
      </c>
      <c r="G11680" s="22" t="s">
        <v>1053</v>
      </c>
      <c r="H11680" s="22" t="s">
        <v>7366</v>
      </c>
      <c r="I11680" s="26">
        <v>43549.408333333296</v>
      </c>
      <c r="J11680" s="28" t="s">
        <v>52</v>
      </c>
      <c r="K11680" s="28" t="s">
        <v>52</v>
      </c>
      <c r="L11680" s="28" t="s">
        <v>52</v>
      </c>
      <c r="M11680" s="28" t="s">
        <v>52</v>
      </c>
      <c r="N11680" s="28" t="s">
        <v>52</v>
      </c>
    </row>
    <row r="11681" spans="1:14" x14ac:dyDescent="0.15">
      <c r="A11681" s="23" t="str">
        <f>HYPERLINK("https://www.spark-marketing.ru/Card/Person/21099", "ГОСПИТАЛЬ ВЕТЕРАНОВ")</f>
        <v>ГОСПИТАЛЬ ВЕТЕРАНОВ</v>
      </c>
      <c r="B11681" s="24" t="s">
        <v>13935</v>
      </c>
      <c r="C11681" s="25">
        <v>208000</v>
      </c>
      <c r="D11681" s="22" t="s">
        <v>13936</v>
      </c>
      <c r="E11681" s="22" t="s">
        <v>103</v>
      </c>
      <c r="F11681" s="23" t="str">
        <f>HYPERLINK("https://www.spark-marketing.ru/Card/Lot/68973911", "Услуги по техническому обслуживанию эндоскопического оборудования")</f>
        <v>Услуги по техническому обслуживанию эндоскопического оборудования</v>
      </c>
      <c r="G11681" s="22" t="s">
        <v>446</v>
      </c>
      <c r="H11681" s="22" t="s">
        <v>3996</v>
      </c>
      <c r="I11681" s="26">
        <v>43549.415972222203</v>
      </c>
      <c r="J11681" s="28" t="s">
        <v>52</v>
      </c>
      <c r="K11681" s="28" t="s">
        <v>52</v>
      </c>
      <c r="L11681" s="28" t="s">
        <v>52</v>
      </c>
      <c r="M11681" s="28" t="s">
        <v>52</v>
      </c>
      <c r="N11681" s="28" t="s">
        <v>52</v>
      </c>
    </row>
    <row r="11682" spans="1:14" hidden="1" outlineLevel="1" x14ac:dyDescent="0.2">
      <c r="A11682" s="23" t="str">
        <f>HYPERLINK("https://www.spark-marketing.ru/Card/Person/21099", "ГОСПИТАЛЬ ВЕТЕРАНОВ")</f>
        <v>ГОСПИТАЛЬ ВЕТЕРАНОВ</v>
      </c>
      <c r="B11682" s="24" t="s">
        <v>13935</v>
      </c>
      <c r="C11682" s="25">
        <v>208000</v>
      </c>
      <c r="D11682" s="22" t="s">
        <v>13936</v>
      </c>
      <c r="E11682" s="22" t="s">
        <v>103</v>
      </c>
      <c r="F11682" s="23" t="str">
        <f>HYPERLINK("https://www.spark-marketing.ru/Card/Lot/68973911", "Услуги по техническому обслуживанию эндоскопического оборудования")</f>
        <v>Услуги по техническому обслуживанию эндоскопического оборудования</v>
      </c>
      <c r="G11682" s="22" t="s">
        <v>446</v>
      </c>
      <c r="H11682" s="22" t="s">
        <v>3996</v>
      </c>
      <c r="I11682" s="26">
        <v>43549.415972222203</v>
      </c>
      <c r="J11682" s="23" t="str">
        <f>HYPERLINK("https://www.spark-marketing.ru/Card/Person/6219994", "ООО ""ЭВОТРЕЙД""")</f>
        <v>ООО "ЭВОТРЕЙД"</v>
      </c>
      <c r="K11682" s="24" t="s">
        <v>13937</v>
      </c>
      <c r="L11682" s="28" t="s">
        <v>52</v>
      </c>
      <c r="M11682" s="25">
        <v>95000</v>
      </c>
      <c r="N11682" s="27">
        <v>0.54326923076923073</v>
      </c>
    </row>
    <row r="11683" spans="1:14" hidden="1" outlineLevel="1" x14ac:dyDescent="0.2">
      <c r="A11683" s="23" t="str">
        <f>HYPERLINK("https://www.spark-marketing.ru/Card/Person/21099", "ГОСПИТАЛЬ ВЕТЕРАНОВ")</f>
        <v>ГОСПИТАЛЬ ВЕТЕРАНОВ</v>
      </c>
      <c r="B11683" s="24" t="s">
        <v>13935</v>
      </c>
      <c r="C11683" s="25">
        <v>208000</v>
      </c>
      <c r="D11683" s="22" t="s">
        <v>13936</v>
      </c>
      <c r="E11683" s="22" t="s">
        <v>103</v>
      </c>
      <c r="F11683" s="23" t="str">
        <f>HYPERLINK("https://www.spark-marketing.ru/Card/Lot/68973911", "Услуги по техническому обслуживанию эндоскопического оборудования")</f>
        <v>Услуги по техническому обслуживанию эндоскопического оборудования</v>
      </c>
      <c r="G11683" s="22" t="s">
        <v>446</v>
      </c>
      <c r="H11683" s="22" t="s">
        <v>3996</v>
      </c>
      <c r="I11683" s="26">
        <v>43549.415972222203</v>
      </c>
      <c r="J11683" s="23" t="str">
        <f>HYPERLINK("https://www.spark-marketing.ru/Card/Person/103234", "ООО ""МЕДТЕХЛИНК""")</f>
        <v>ООО "МЕДТЕХЛИНК"</v>
      </c>
      <c r="K11683" s="24" t="s">
        <v>13938</v>
      </c>
      <c r="L11683" s="28" t="s">
        <v>52</v>
      </c>
      <c r="M11683" s="25">
        <v>70640</v>
      </c>
      <c r="N11683" s="27">
        <v>0.66038461538461535</v>
      </c>
    </row>
    <row r="11684" spans="1:14" ht="12.75" hidden="1" outlineLevel="1" x14ac:dyDescent="0.2">
      <c r="A11684" s="23" t="str">
        <f>HYPERLINK("https://www.spark-marketing.ru/Card/Person/21099", "ГОСПИТАЛЬ ВЕТЕРАНОВ")</f>
        <v>ГОСПИТАЛЬ ВЕТЕРАНОВ</v>
      </c>
      <c r="B11684" s="24" t="s">
        <v>13935</v>
      </c>
      <c r="C11684" s="25">
        <v>208000</v>
      </c>
      <c r="D11684" s="22" t="s">
        <v>13936</v>
      </c>
      <c r="E11684" s="22" t="s">
        <v>103</v>
      </c>
      <c r="F11684" s="23" t="str">
        <f>HYPERLINK("https://www.spark-marketing.ru/Card/Lot/68973911", "Услуги по техническому обслуживанию эндоскопического оборудования")</f>
        <v>Услуги по техническому обслуживанию эндоскопического оборудования</v>
      </c>
      <c r="G11684" s="22" t="s">
        <v>446</v>
      </c>
      <c r="H11684" s="22" t="s">
        <v>3996</v>
      </c>
      <c r="I11684" s="26">
        <v>43549.415972222203</v>
      </c>
      <c r="J11684" s="23" t="str">
        <f>HYPERLINK("https://www.spark-marketing.ru/Card/Person/277565", "ООО ""МАРКОН""")</f>
        <v>ООО "МАРКОН"</v>
      </c>
      <c r="K11684" s="24" t="s">
        <v>13939</v>
      </c>
      <c r="L11684" s="22" t="s">
        <v>10</v>
      </c>
      <c r="M11684" s="25">
        <v>69600</v>
      </c>
      <c r="N11684" s="27">
        <v>0.66538461538461535</v>
      </c>
    </row>
    <row r="11685" spans="1:14" x14ac:dyDescent="0.15">
      <c r="A11685" s="23" t="str">
        <f>HYPERLINK("https://www.spark-marketing.ru/Card/Person/5867574", "ПЕНЗЕНСКИЙ ИНСТИТУТ УСОВЕРШЕНСТВОВАНИЯ ВРАЧЕЙ - ФЛ ГБУ ""РОССИЙСКАЯ МЕДИЦИНСКАЯ АКАДЕМИЯ НЕПРЕРЫВНОГО ПРОФЕССИОНАЛЬНОГО ОБРАЗОВАНИЯ"" МИНЗДРАВА РОССИИ")</f>
        <v>ПЕНЗЕНСКИЙ ИНСТИТУТ УСОВЕРШЕНСТВОВАНИЯ ВРАЧЕЙ - ФЛ ГБУ "РОССИЙСКАЯ МЕДИЦИНСКАЯ АКАДЕМИЯ НЕПРЕРЫВНОГО ПРОФЕССИОНАЛЬНОГО ОБРАЗОВАНИЯ" МИНЗДРАВА РОССИИ</v>
      </c>
      <c r="B11685" s="24" t="s">
        <v>13940</v>
      </c>
      <c r="C11685" s="25">
        <v>1361040</v>
      </c>
      <c r="D11685" s="22" t="s">
        <v>13941</v>
      </c>
      <c r="E11685" s="22" t="s">
        <v>68</v>
      </c>
      <c r="F11685" s="23" t="str">
        <f>HYPERLINK("https://www.spark-marketing.ru/Card/Lot/68971633", "Услуги охраны и обеспечения пропускного режима в ПИУВ-филлиале ФГБОУ ДПО РМАНПО Минздрава России")</f>
        <v>Услуги охраны и обеспечения пропускного режима в ПИУВ-филлиале ФГБОУ ДПО РМАНПО Минздрава России</v>
      </c>
      <c r="G11685" s="22" t="s">
        <v>514</v>
      </c>
      <c r="H11685" s="22" t="s">
        <v>2167</v>
      </c>
      <c r="I11685" s="26">
        <v>43549.359027777798</v>
      </c>
      <c r="J11685" s="28" t="s">
        <v>52</v>
      </c>
      <c r="K11685" s="28" t="s">
        <v>52</v>
      </c>
      <c r="L11685" s="28" t="s">
        <v>52</v>
      </c>
      <c r="M11685" s="28" t="s">
        <v>52</v>
      </c>
      <c r="N11685" s="28" t="s">
        <v>52</v>
      </c>
    </row>
    <row r="11686" spans="1:14" x14ac:dyDescent="0.15">
      <c r="A11686" s="23" t="str">
        <f>HYPERLINK("https://www.spark-marketing.ru/Card/Person/2908", "ГБУЗ ""ДС № 68 ДЗМ""")</f>
        <v>ГБУЗ "ДС № 68 ДЗМ"</v>
      </c>
      <c r="B11686" s="24" t="s">
        <v>13942</v>
      </c>
      <c r="C11686" s="25">
        <v>498904.21</v>
      </c>
      <c r="D11686" s="22" t="s">
        <v>13943</v>
      </c>
      <c r="E11686" s="22" t="s">
        <v>59</v>
      </c>
      <c r="F11686" s="23" t="str">
        <f>HYPERLINK("https://www.spark-marketing.ru/Card/Lot/68971541", "Установка систем видеонаблюдения в спальном корпусе № 2 ГБУЗ «ДС № 68 ДЗМ»")</f>
        <v>Установка систем видеонаблюдения в спальном корпусе № 2 ГБУЗ «ДС № 68 ДЗМ»</v>
      </c>
      <c r="G11686" s="22" t="s">
        <v>50</v>
      </c>
      <c r="H11686" s="22" t="s">
        <v>76</v>
      </c>
      <c r="I11686" s="26">
        <v>43549.350694444402</v>
      </c>
      <c r="J11686" s="28" t="s">
        <v>52</v>
      </c>
      <c r="K11686" s="28" t="s">
        <v>52</v>
      </c>
      <c r="L11686" s="28" t="s">
        <v>52</v>
      </c>
      <c r="M11686" s="28" t="s">
        <v>52</v>
      </c>
      <c r="N11686" s="28" t="s">
        <v>52</v>
      </c>
    </row>
    <row r="11687" spans="1:14" hidden="1" outlineLevel="1" x14ac:dyDescent="0.2">
      <c r="A11687" s="23" t="str">
        <f>HYPERLINK("https://www.spark-marketing.ru/Card/Person/2908", "ГБУЗ ""ДС № 68 ДЗМ""")</f>
        <v>ГБУЗ "ДС № 68 ДЗМ"</v>
      </c>
      <c r="B11687" s="24" t="s">
        <v>13942</v>
      </c>
      <c r="C11687" s="25">
        <v>498904.21</v>
      </c>
      <c r="D11687" s="22" t="s">
        <v>13943</v>
      </c>
      <c r="E11687" s="22" t="s">
        <v>59</v>
      </c>
      <c r="F11687" s="23" t="str">
        <f>HYPERLINK("https://www.spark-marketing.ru/Card/Lot/68971541", "Установка систем видеонаблюдения в спальном корпусе № 2 ГБУЗ «ДС № 68 ДЗМ»")</f>
        <v>Установка систем видеонаблюдения в спальном корпусе № 2 ГБУЗ «ДС № 68 ДЗМ»</v>
      </c>
      <c r="G11687" s="22" t="s">
        <v>50</v>
      </c>
      <c r="H11687" s="22" t="s">
        <v>76</v>
      </c>
      <c r="I11687" s="26">
        <v>43549.350694444402</v>
      </c>
      <c r="J11687" s="23" t="str">
        <f>HYPERLINK("https://www.spark-marketing.ru/Card/Person/127226", "ООО ""ОБС""")</f>
        <v>ООО "ОБС"</v>
      </c>
      <c r="K11687" s="24" t="s">
        <v>11096</v>
      </c>
      <c r="L11687" s="28" t="s">
        <v>52</v>
      </c>
      <c r="M11687" s="25">
        <v>491420.65</v>
      </c>
      <c r="N11687" s="27">
        <v>1.499999368616272E-2</v>
      </c>
    </row>
    <row r="11688" spans="1:14" ht="12.75" hidden="1" outlineLevel="1" x14ac:dyDescent="0.2">
      <c r="A11688" s="23" t="str">
        <f>HYPERLINK("https://www.spark-marketing.ru/Card/Person/2908", "ГБУЗ ""ДС № 68 ДЗМ""")</f>
        <v>ГБУЗ "ДС № 68 ДЗМ"</v>
      </c>
      <c r="B11688" s="24" t="s">
        <v>13942</v>
      </c>
      <c r="C11688" s="25">
        <v>498904.21</v>
      </c>
      <c r="D11688" s="22" t="s">
        <v>13943</v>
      </c>
      <c r="E11688" s="22" t="s">
        <v>59</v>
      </c>
      <c r="F11688" s="23" t="str">
        <f>HYPERLINK("https://www.spark-marketing.ru/Card/Lot/68971541", "Установка систем видеонаблюдения в спальном корпусе № 2 ГБУЗ «ДС № 68 ДЗМ»")</f>
        <v>Установка систем видеонаблюдения в спальном корпусе № 2 ГБУЗ «ДС № 68 ДЗМ»</v>
      </c>
      <c r="G11688" s="22" t="s">
        <v>50</v>
      </c>
      <c r="H11688" s="22" t="s">
        <v>76</v>
      </c>
      <c r="I11688" s="26">
        <v>43549.350694444402</v>
      </c>
      <c r="J11688" s="23" t="str">
        <f>HYPERLINK("https://www.spark-marketing.ru/Card/Person/6149119", "ООО ""НОПАКОМ""")</f>
        <v>ООО "НОПАКОМ"</v>
      </c>
      <c r="K11688" s="24" t="s">
        <v>9097</v>
      </c>
      <c r="L11688" s="22" t="s">
        <v>10</v>
      </c>
      <c r="M11688" s="25">
        <v>488926.13</v>
      </c>
      <c r="N11688" s="27">
        <v>1.9999991581550296E-2</v>
      </c>
    </row>
    <row r="11689" spans="1:14" x14ac:dyDescent="0.15">
      <c r="A11689" s="23" t="str">
        <f>HYPERLINK("https://www.spark-marketing.ru/Card/Person/12173", "АДМИНИСТРАЦИЯ СОСНОВОБОРСКОГО ГОРОДСКОГО ОКРУГА")</f>
        <v>АДМИНИСТРАЦИЯ СОСНОВОБОРСКОГО ГОРОДСКОГО ОКРУГА</v>
      </c>
      <c r="B11689" s="24" t="s">
        <v>13944</v>
      </c>
      <c r="C11689" s="25">
        <v>711318</v>
      </c>
      <c r="D11689" s="22" t="s">
        <v>13945</v>
      </c>
      <c r="E11689" s="22" t="s">
        <v>52</v>
      </c>
      <c r="F11689" s="23" t="str">
        <f>HYPERLINK("https://www.spark-marketing.ru/Card/Lot/68971273", "Оказание услуг по обеспечению порядка в общественных местах при проведении массовых мероприятий в муниципальном образовании Сосновоборский городской округ Ленинградской области")</f>
        <v>Оказание услуг по обеспечению порядка в общественных местах при проведении массовых мероприятий в муниципальном образовании Сосновоборский городской округ Ленинградской области</v>
      </c>
      <c r="G11689" s="22" t="s">
        <v>861</v>
      </c>
      <c r="H11689" s="22" t="s">
        <v>1920</v>
      </c>
      <c r="I11689" s="26">
        <v>43549.372222222199</v>
      </c>
      <c r="J11689" s="28" t="s">
        <v>52</v>
      </c>
      <c r="K11689" s="28" t="s">
        <v>52</v>
      </c>
      <c r="L11689" s="28" t="s">
        <v>52</v>
      </c>
      <c r="M11689" s="28" t="s">
        <v>52</v>
      </c>
      <c r="N11689" s="28" t="s">
        <v>52</v>
      </c>
    </row>
    <row r="11690" spans="1:14" ht="12.75" hidden="1" outlineLevel="1" x14ac:dyDescent="0.2">
      <c r="A11690" s="23" t="str">
        <f>HYPERLINK("https://www.spark-marketing.ru/Card/Person/12173", "АДМИНИСТРАЦИЯ СОСНОВОБОРСКОГО ГОРОДСКОГО ОКРУГА")</f>
        <v>АДМИНИСТРАЦИЯ СОСНОВОБОРСКОГО ГОРОДСКОГО ОКРУГА</v>
      </c>
      <c r="B11690" s="24" t="s">
        <v>13944</v>
      </c>
      <c r="C11690" s="25">
        <v>711318</v>
      </c>
      <c r="D11690" s="22" t="s">
        <v>13945</v>
      </c>
      <c r="E11690" s="22" t="s">
        <v>52</v>
      </c>
      <c r="F11690" s="23" t="str">
        <f>HYPERLINK("https://www.spark-marketing.ru/Card/Lot/68971273", "Оказание услуг по обеспечению порядка в общественных местах при проведении массовых мероприятий в муниципальном образовании Сосновоборский городской округ Ленинградской области")</f>
        <v>Оказание услуг по обеспечению порядка в общественных местах при проведении массовых мероприятий в муниципальном образовании Сосновоборский городской округ Ленинградской области</v>
      </c>
      <c r="G11690" s="22" t="s">
        <v>861</v>
      </c>
      <c r="H11690" s="22" t="s">
        <v>1920</v>
      </c>
      <c r="I11690" s="26">
        <v>43549.372222222199</v>
      </c>
      <c r="J11690" s="23" t="str">
        <f>HYPERLINK("https://www.spark-marketing.ru/Card/Person/61820", "ООО ""ОО ""ЭСПАДОН""")</f>
        <v>ООО "ОО "ЭСПАДОН"</v>
      </c>
      <c r="K11690" s="24" t="s">
        <v>13946</v>
      </c>
      <c r="L11690" s="22" t="s">
        <v>10</v>
      </c>
      <c r="M11690" s="25">
        <v>704204.82</v>
      </c>
      <c r="N11690" s="27">
        <v>0.01</v>
      </c>
    </row>
    <row r="11691" spans="1:14" hidden="1" outlineLevel="1" x14ac:dyDescent="0.2">
      <c r="A11691" s="23" t="str">
        <f>HYPERLINK("https://www.spark-marketing.ru/Card/Person/12173", "АДМИНИСТРАЦИЯ СОСНОВОБОРСКОГО ГОРОДСКОГО ОКРУГА")</f>
        <v>АДМИНИСТРАЦИЯ СОСНОВОБОРСКОГО ГОРОДСКОГО ОКРУГА</v>
      </c>
      <c r="B11691" s="24" t="s">
        <v>13944</v>
      </c>
      <c r="C11691" s="25">
        <v>711318</v>
      </c>
      <c r="D11691" s="22" t="s">
        <v>13945</v>
      </c>
      <c r="E11691" s="22" t="s">
        <v>52</v>
      </c>
      <c r="F11691" s="23" t="str">
        <f>HYPERLINK("https://www.spark-marketing.ru/Card/Lot/68971273", "Оказание услуг по обеспечению порядка в общественных местах при проведении массовых мероприятий в муниципальном образовании Сосновоборский городской округ Ленинградской области")</f>
        <v>Оказание услуг по обеспечению порядка в общественных местах при проведении массовых мероприятий в муниципальном образовании Сосновоборский городской округ Ленинградской области</v>
      </c>
      <c r="G11691" s="22" t="s">
        <v>861</v>
      </c>
      <c r="H11691" s="22" t="s">
        <v>1920</v>
      </c>
      <c r="I11691" s="26">
        <v>43549.372222222199</v>
      </c>
      <c r="J11691" s="23" t="str">
        <f>HYPERLINK("https://www.spark-marketing.ru/Card/Person/672693", "ООО ""ОП""""РИГВЕДА""")</f>
        <v>ООО "ОП""РИГВЕДА"</v>
      </c>
      <c r="K11691" s="24" t="s">
        <v>13947</v>
      </c>
      <c r="L11691" s="28" t="s">
        <v>52</v>
      </c>
      <c r="M11691" s="25">
        <v>707761.41</v>
      </c>
      <c r="N11691" s="27">
        <v>5.0000000000000001E-3</v>
      </c>
    </row>
    <row r="11692" spans="1:14" x14ac:dyDescent="0.15">
      <c r="A11692" s="23" t="str">
        <f>HYPERLINK("https://www.spark-marketing.ru/Card/Person/1075572", "МКУ ДО ДЮСШ ""СОКОЛ""")</f>
        <v>МКУ ДО ДЮСШ "СОКОЛ"</v>
      </c>
      <c r="B11692" s="24" t="s">
        <v>13948</v>
      </c>
      <c r="C11692" s="25">
        <v>50400</v>
      </c>
      <c r="D11692" s="22" t="s">
        <v>13949</v>
      </c>
      <c r="E11692" s="22" t="s">
        <v>376</v>
      </c>
      <c r="F11692" s="23" t="str">
        <f>HYPERLINK("https://www.spark-marketing.ru/Card/Lot/68969166", "обслуживание охранной сигнализации")</f>
        <v>обслуживание охранной сигнализации</v>
      </c>
      <c r="G11692" s="22" t="s">
        <v>209</v>
      </c>
      <c r="H11692" s="22" t="s">
        <v>13950</v>
      </c>
      <c r="I11692" s="26">
        <v>43549.318749999999</v>
      </c>
      <c r="J11692" s="28" t="s">
        <v>52</v>
      </c>
      <c r="K11692" s="28" t="s">
        <v>52</v>
      </c>
      <c r="L11692" s="28" t="s">
        <v>52</v>
      </c>
      <c r="M11692" s="28" t="s">
        <v>52</v>
      </c>
      <c r="N11692" s="28" t="s">
        <v>52</v>
      </c>
    </row>
    <row r="11693" spans="1:14" x14ac:dyDescent="0.15">
      <c r="A11693" s="23" t="str">
        <f>HYPERLINK("https://www.spark-marketing.ru/Card/Person/19899", "УПРАВЛЕНИЕ РОСПОТРЕБНАДЗОРА ПО РЕСПУБЛИКЕ САХА (ЯКУТИЯ)")</f>
        <v>УПРАВЛЕНИЕ РОСПОТРЕБНАДЗОРА ПО РЕСПУБЛИКЕ САХА (ЯКУТИЯ)</v>
      </c>
      <c r="B11693" s="24" t="s">
        <v>13951</v>
      </c>
      <c r="C11693" s="25">
        <v>53402.400000000001</v>
      </c>
      <c r="D11693" s="22" t="s">
        <v>13952</v>
      </c>
      <c r="E11693" s="22" t="s">
        <v>53</v>
      </c>
      <c r="F11693" s="23" t="str">
        <f>HYPERLINK("https://www.spark-marketing.ru/Card/Lot/70797931", "Оказание услуг обеспечения КПП и охраны объекта с 10 апреля по 14 апреля 2019 года")</f>
        <v>Оказание услуг обеспечения КПП и охраны объекта с 10 апреля по 14 апреля 2019 года</v>
      </c>
      <c r="G11693" s="22" t="s">
        <v>424</v>
      </c>
      <c r="H11693" s="22" t="s">
        <v>1186</v>
      </c>
      <c r="I11693" s="26">
        <v>43549.284571759301</v>
      </c>
      <c r="J11693" s="28" t="s">
        <v>52</v>
      </c>
      <c r="K11693" s="28" t="s">
        <v>52</v>
      </c>
      <c r="L11693" s="28" t="s">
        <v>52</v>
      </c>
      <c r="M11693" s="28" t="s">
        <v>52</v>
      </c>
      <c r="N11693" s="28" t="s">
        <v>52</v>
      </c>
    </row>
    <row r="11694" spans="1:14" x14ac:dyDescent="0.15">
      <c r="A11694" s="23" t="str">
        <f>HYPERLINK("https://www.spark-marketing.ru/Card/Person/19899", "УПРАВЛЕНИЕ РОСПОТРЕБНАДЗОРА ПО РЕСПУБЛИКЕ САХА (ЯКУТИЯ)")</f>
        <v>УПРАВЛЕНИЕ РОСПОТРЕБНАДЗОРА ПО РЕСПУБЛИКЕ САХА (ЯКУТИЯ)</v>
      </c>
      <c r="B11694" s="24" t="s">
        <v>13951</v>
      </c>
      <c r="C11694" s="25">
        <v>96124.32</v>
      </c>
      <c r="D11694" s="22" t="s">
        <v>13953</v>
      </c>
      <c r="E11694" s="22" t="s">
        <v>53</v>
      </c>
      <c r="F11694" s="23" t="str">
        <f>HYPERLINK("https://www.spark-marketing.ru/Card/Lot/70797927", "Оказание услуг обеспечения КПП и охраны объекта с 01 апреля по 09 апреля 2019 года")</f>
        <v>Оказание услуг обеспечения КПП и охраны объекта с 01 апреля по 09 апреля 2019 года</v>
      </c>
      <c r="G11694" s="22" t="s">
        <v>424</v>
      </c>
      <c r="H11694" s="22" t="s">
        <v>1186</v>
      </c>
      <c r="I11694" s="26">
        <v>43549.279594907399</v>
      </c>
      <c r="J11694" s="28" t="s">
        <v>52</v>
      </c>
      <c r="K11694" s="28" t="s">
        <v>52</v>
      </c>
      <c r="L11694" s="28" t="s">
        <v>52</v>
      </c>
      <c r="M11694" s="28" t="s">
        <v>52</v>
      </c>
      <c r="N11694" s="28" t="s">
        <v>52</v>
      </c>
    </row>
    <row r="11695" spans="1:14" x14ac:dyDescent="0.15">
      <c r="A11695" s="23" t="str">
        <f>HYPERLINK("https://www.spark-marketing.ru/Card/Person/45045", "ГБУЗ НСО ""КАРАСУКСКАЯ ЦРБ""")</f>
        <v>ГБУЗ НСО "КАРАСУКСКАЯ ЦРБ"</v>
      </c>
      <c r="B11695" s="24" t="s">
        <v>13954</v>
      </c>
      <c r="C11695" s="25">
        <v>75024</v>
      </c>
      <c r="D11695" s="22" t="s">
        <v>13955</v>
      </c>
      <c r="E11695" s="22" t="s">
        <v>68</v>
      </c>
      <c r="F11695" s="23" t="str">
        <f>HYPERLINK("https://www.spark-marketing.ru/Card/Lot/68967257", "Услуги по централизованному наблюдению за ТСО в период нахождения под наблюдением, путем получения тревожного сообщения с приборов установленных у заказчика.")</f>
        <v>Услуги по централизованному наблюдению за ТСО в период нахождения под наблюдением, путем получения тревожного сообщения с приборов установленных у заказчика.</v>
      </c>
      <c r="G11695" s="22" t="s">
        <v>209</v>
      </c>
      <c r="H11695" s="22" t="s">
        <v>2703</v>
      </c>
      <c r="I11695" s="26">
        <v>43549.226388888899</v>
      </c>
      <c r="J11695" s="28" t="s">
        <v>52</v>
      </c>
      <c r="K11695" s="28" t="s">
        <v>52</v>
      </c>
      <c r="L11695" s="28" t="s">
        <v>52</v>
      </c>
      <c r="M11695" s="28" t="s">
        <v>52</v>
      </c>
      <c r="N11695" s="28" t="s">
        <v>52</v>
      </c>
    </row>
    <row r="11696" spans="1:14" x14ac:dyDescent="0.15">
      <c r="A11696" s="23" t="str">
        <f>HYPERLINK("https://www.spark-marketing.ru/Card/Person/159436", "ОТДЕЛ ГФС РОССИИ В Г. ВЛАДИВОСТОКЕ")</f>
        <v>ОТДЕЛ ГФС РОССИИ В Г. ВЛАДИВОСТОКЕ</v>
      </c>
      <c r="B11696" s="24" t="s">
        <v>13476</v>
      </c>
      <c r="C11696" s="25">
        <v>24667.64</v>
      </c>
      <c r="D11696" s="22" t="s">
        <v>13956</v>
      </c>
      <c r="E11696" s="22" t="s">
        <v>107</v>
      </c>
      <c r="F11696" s="23" t="str">
        <f>HYPERLINK("https://www.spark-marketing.ru/Card/Lot/70176262", "Техническое обслуживание средств ОС, ОПС, ТС, видеонаблюдения и СКУД, 1 шт")</f>
        <v>Техническое обслуживание средств ОС, ОПС, ТС, видеонаблюдения и СКУД, 1 шт</v>
      </c>
      <c r="G11696" s="22" t="s">
        <v>409</v>
      </c>
      <c r="H11696" s="22" t="s">
        <v>878</v>
      </c>
      <c r="I11696" s="26">
        <v>43549.159675925897</v>
      </c>
      <c r="J11696" s="28" t="s">
        <v>52</v>
      </c>
      <c r="K11696" s="28" t="s">
        <v>52</v>
      </c>
      <c r="L11696" s="28" t="s">
        <v>52</v>
      </c>
      <c r="M11696" s="28" t="s">
        <v>52</v>
      </c>
      <c r="N11696" s="28" t="s">
        <v>52</v>
      </c>
    </row>
    <row r="11697" spans="1:14" x14ac:dyDescent="0.15">
      <c r="A11697" s="23" t="str">
        <f>HYPERLINK("https://www.spark-marketing.ru/Card/Person/133867", "МБОУ ""ГИМНАЗИЯ-ИНТЕРНАТ № 34"" НМР РТ")</f>
        <v>МБОУ "ГИМНАЗИЯ-ИНТЕРНАТ № 34" НМР РТ</v>
      </c>
      <c r="B11697" s="24" t="s">
        <v>13957</v>
      </c>
      <c r="C11697" s="25">
        <v>12600</v>
      </c>
      <c r="D11697" s="22" t="s">
        <v>13958</v>
      </c>
      <c r="E11697" s="22" t="s">
        <v>53</v>
      </c>
      <c r="F11697" s="23" t="str">
        <f>HYPERLINK("https://www.spark-marketing.ru/Card/Lot/73709149", "Техническое обслуживание системы видеонаблюдения")</f>
        <v>Техническое обслуживание системы видеонаблюдения</v>
      </c>
      <c r="G11697" s="22" t="s">
        <v>204</v>
      </c>
      <c r="H11697" s="22" t="s">
        <v>824</v>
      </c>
      <c r="I11697" s="26">
        <v>43549.395138888904</v>
      </c>
      <c r="J11697" s="28" t="s">
        <v>52</v>
      </c>
      <c r="K11697" s="28" t="s">
        <v>52</v>
      </c>
      <c r="L11697" s="28" t="s">
        <v>52</v>
      </c>
      <c r="M11697" s="28" t="s">
        <v>52</v>
      </c>
      <c r="N11697" s="28" t="s">
        <v>52</v>
      </c>
    </row>
    <row r="11698" spans="1:14" x14ac:dyDescent="0.2">
      <c r="A11698" s="23" t="str">
        <f>HYPERLINK("https://www.spark-marketing.ru/Card/Person/259457", "МБОУ ""АКТАНЫШСКАЯ НАЧАЛЬНАЯ ОБЩЕОБРАЗОВАТЕЛЬНАЯ ШКОЛА - ДЕТСКИЙ САД""")</f>
        <v>МБОУ "АКТАНЫШСКАЯ НАЧАЛЬНАЯ ОБЩЕОБРАЗОВАТЕЛЬНАЯ ШКОЛА - ДЕТСКИЙ САД"</v>
      </c>
      <c r="B11698" s="24" t="s">
        <v>13959</v>
      </c>
      <c r="C11698" s="25">
        <v>6000</v>
      </c>
      <c r="D11698" s="22" t="s">
        <v>13960</v>
      </c>
      <c r="E11698" s="22" t="s">
        <v>53</v>
      </c>
      <c r="F11698" s="23" t="str">
        <f>HYPERLINK("https://www.spark-marketing.ru/Card/Lot/73701116", "Техническое обслуживание системы видеонаблюдения")</f>
        <v>Техническое обслуживание системы видеонаблюдения</v>
      </c>
      <c r="G11698" s="22" t="s">
        <v>204</v>
      </c>
      <c r="H11698" s="22" t="s">
        <v>4395</v>
      </c>
      <c r="I11698" s="26">
        <v>43549.000694444403</v>
      </c>
      <c r="J11698" s="28" t="s">
        <v>52</v>
      </c>
      <c r="K11698" s="28" t="s">
        <v>52</v>
      </c>
      <c r="L11698" s="28" t="s">
        <v>52</v>
      </c>
      <c r="M11698" s="25">
        <v>6000</v>
      </c>
      <c r="N11698" s="27">
        <v>0</v>
      </c>
    </row>
    <row r="11699" spans="1:14" x14ac:dyDescent="0.15">
      <c r="A11699" s="23" t="str">
        <f>HYPERLINK("https://www.spark-marketing.ru/Card/Person/122556", "ГБУЗ МО ""ДПТД""")</f>
        <v>ГБУЗ МО "ДПТД"</v>
      </c>
      <c r="B11699" s="24" t="s">
        <v>13961</v>
      </c>
      <c r="C11699" s="25">
        <v>16448.16</v>
      </c>
      <c r="D11699" s="22" t="s">
        <v>13962</v>
      </c>
      <c r="E11699" s="22" t="s">
        <v>376</v>
      </c>
      <c r="F11699" s="23" t="str">
        <f>HYPERLINK("https://www.spark-marketing.ru/Card/Lot/68964385", "Техническое обслуживание комплекса технических средств охраны (г. Домодедово)")</f>
        <v>Техническое обслуживание комплекса технических средств охраны (г. Домодедово)</v>
      </c>
      <c r="G11699" s="22" t="s">
        <v>50</v>
      </c>
      <c r="H11699" s="22" t="s">
        <v>4782</v>
      </c>
      <c r="I11699" s="26">
        <v>43547.784120370401</v>
      </c>
      <c r="J11699" s="28" t="s">
        <v>52</v>
      </c>
      <c r="K11699" s="28" t="s">
        <v>52</v>
      </c>
      <c r="L11699" s="28" t="s">
        <v>52</v>
      </c>
      <c r="M11699" s="28" t="s">
        <v>52</v>
      </c>
      <c r="N11699" s="28" t="s">
        <v>52</v>
      </c>
    </row>
    <row r="11700" spans="1:14" x14ac:dyDescent="0.15">
      <c r="A11700" s="23" t="str">
        <f>HYPERLINK("https://www.spark-marketing.ru/Card/Person/1077355", "ГБУЗ МО ""МЕДВЕЖЬЕ-ОЗЁРСКАЯ АМБУЛАТОРИЯ""")</f>
        <v>ГБУЗ МО "МЕДВЕЖЬЕ-ОЗЁРСКАЯ АМБУЛАТОРИЯ"</v>
      </c>
      <c r="B11700" s="24" t="s">
        <v>13963</v>
      </c>
      <c r="C11700" s="25">
        <v>12000</v>
      </c>
      <c r="D11700" s="22" t="s">
        <v>13964</v>
      </c>
      <c r="E11700" s="22" t="s">
        <v>103</v>
      </c>
      <c r="F11700" s="23" t="str">
        <f>HYPERLINK("https://www.spark-marketing.ru/Card/Lot/68960683", "Услуги по техническому обслуживанию (содержанию) мобильных комплексов фотовидеофиксации (камер видеонаблюдения)")</f>
        <v>Услуги по техническому обслуживанию (содержанию) мобильных комплексов фотовидеофиксации (камер видеонаблюдения)</v>
      </c>
      <c r="G11700" s="22" t="s">
        <v>50</v>
      </c>
      <c r="H11700" s="22" t="s">
        <v>458</v>
      </c>
      <c r="I11700" s="26">
        <v>43546.846863425897</v>
      </c>
      <c r="J11700" s="28" t="s">
        <v>52</v>
      </c>
      <c r="K11700" s="28" t="s">
        <v>52</v>
      </c>
      <c r="L11700" s="28" t="s">
        <v>52</v>
      </c>
      <c r="M11700" s="28" t="s">
        <v>52</v>
      </c>
      <c r="N11700" s="28" t="s">
        <v>52</v>
      </c>
    </row>
    <row r="11701" spans="1:14" x14ac:dyDescent="0.15">
      <c r="A11701" s="23" t="str">
        <f>HYPERLINK("https://www.spark-marketing.ru/Card/Person/6230529", "МАДОУ ДСКН № 9 Г. СОСНОВОБОРСКА")</f>
        <v>МАДОУ ДСКН № 9 Г. СОСНОВОБОРСКА</v>
      </c>
      <c r="B11701" s="24" t="s">
        <v>13965</v>
      </c>
      <c r="C11701" s="25">
        <v>151861</v>
      </c>
      <c r="D11701" s="22" t="s">
        <v>13966</v>
      </c>
      <c r="E11701" s="22" t="s">
        <v>13967</v>
      </c>
      <c r="F11701" s="23" t="str">
        <f>HYPERLINK("https://www.spark-marketing.ru/Card/Lot/68950834", "установка устройства системы охранной сигнализации")</f>
        <v>установка устройства системы охранной сигнализации</v>
      </c>
      <c r="G11701" s="22" t="s">
        <v>640</v>
      </c>
      <c r="H11701" s="22" t="s">
        <v>640</v>
      </c>
      <c r="I11701" s="26">
        <v>43546.804340277798</v>
      </c>
      <c r="J11701" s="28" t="s">
        <v>52</v>
      </c>
      <c r="K11701" s="28" t="s">
        <v>52</v>
      </c>
      <c r="L11701" s="28" t="s">
        <v>52</v>
      </c>
      <c r="M11701" s="28" t="s">
        <v>52</v>
      </c>
      <c r="N11701" s="28" t="s">
        <v>52</v>
      </c>
    </row>
    <row r="11702" spans="1:14" x14ac:dyDescent="0.15">
      <c r="A11702" s="23" t="str">
        <f t="shared" ref="A11702:A11707" si="602">HYPERLINK("https://www.spark-marketing.ru/Card/Person/87116", "ГБУЗ ""ДСП №30 ДЗМ""")</f>
        <v>ГБУЗ "ДСП №30 ДЗМ"</v>
      </c>
      <c r="B11702" s="24" t="s">
        <v>13968</v>
      </c>
      <c r="C11702" s="25">
        <v>129970</v>
      </c>
      <c r="D11702" s="22" t="s">
        <v>13969</v>
      </c>
      <c r="E11702" s="22" t="s">
        <v>84</v>
      </c>
      <c r="F11702" s="23" t="str">
        <f t="shared" ref="F11702:F11707" si="603">HYPERLINK("https://www.spark-marketing.ru/Card/Lot/68960582", "Аукцион в электронной форме на право заключения контракта на выполнение работ по установке (монтажу) системы видеонаблюдения для ГБУЗ «ДСП №30 ДЗМ» в 2019 году.")</f>
        <v>Аукцион в электронной форме на право заключения контракта на выполнение работ по установке (монтажу) системы видеонаблюдения для ГБУЗ «ДСП №30 ДЗМ» в 2019 году.</v>
      </c>
      <c r="G11702" s="22" t="s">
        <v>55</v>
      </c>
      <c r="H11702" s="22" t="s">
        <v>55</v>
      </c>
      <c r="I11702" s="26">
        <v>43546.806250000001</v>
      </c>
      <c r="J11702" s="28" t="s">
        <v>52</v>
      </c>
      <c r="K11702" s="28" t="s">
        <v>52</v>
      </c>
      <c r="L11702" s="28" t="s">
        <v>52</v>
      </c>
      <c r="M11702" s="28" t="s">
        <v>52</v>
      </c>
      <c r="N11702" s="28" t="s">
        <v>52</v>
      </c>
    </row>
    <row r="11703" spans="1:14" hidden="1" outlineLevel="1" x14ac:dyDescent="0.2">
      <c r="A11703" s="23" t="str">
        <f t="shared" si="602"/>
        <v>ГБУЗ "ДСП №30 ДЗМ"</v>
      </c>
      <c r="B11703" s="24" t="s">
        <v>13968</v>
      </c>
      <c r="C11703" s="25">
        <v>129970</v>
      </c>
      <c r="D11703" s="22" t="s">
        <v>13969</v>
      </c>
      <c r="E11703" s="22" t="s">
        <v>84</v>
      </c>
      <c r="F11703" s="23" t="str">
        <f t="shared" si="603"/>
        <v>Аукцион в электронной форме на право заключения контракта на выполнение работ по установке (монтажу) системы видеонаблюдения для ГБУЗ «ДСП №30 ДЗМ» в 2019 году.</v>
      </c>
      <c r="G11703" s="22" t="s">
        <v>55</v>
      </c>
      <c r="H11703" s="22" t="s">
        <v>55</v>
      </c>
      <c r="I11703" s="26">
        <v>43546.806250000001</v>
      </c>
      <c r="J11703" s="23" t="str">
        <f>HYPERLINK("https://www.spark-marketing.ru/Card/Person/6234808", "Мачин Александр Юрьевич")</f>
        <v>Мачин Александр Юрьевич</v>
      </c>
      <c r="K11703" s="24" t="s">
        <v>13970</v>
      </c>
      <c r="L11703" s="28" t="s">
        <v>52</v>
      </c>
      <c r="M11703" s="25">
        <v>88379.6</v>
      </c>
      <c r="N11703" s="27">
        <v>0.32</v>
      </c>
    </row>
    <row r="11704" spans="1:14" hidden="1" outlineLevel="1" x14ac:dyDescent="0.2">
      <c r="A11704" s="23" t="str">
        <f t="shared" si="602"/>
        <v>ГБУЗ "ДСП №30 ДЗМ"</v>
      </c>
      <c r="B11704" s="24" t="s">
        <v>13968</v>
      </c>
      <c r="C11704" s="25">
        <v>129970</v>
      </c>
      <c r="D11704" s="22" t="s">
        <v>13969</v>
      </c>
      <c r="E11704" s="22" t="s">
        <v>84</v>
      </c>
      <c r="F11704" s="23" t="str">
        <f t="shared" si="603"/>
        <v>Аукцион в электронной форме на право заключения контракта на выполнение работ по установке (монтажу) системы видеонаблюдения для ГБУЗ «ДСП №30 ДЗМ» в 2019 году.</v>
      </c>
      <c r="G11704" s="22" t="s">
        <v>55</v>
      </c>
      <c r="H11704" s="22" t="s">
        <v>55</v>
      </c>
      <c r="I11704" s="26">
        <v>43546.806250000001</v>
      </c>
      <c r="J11704" s="23" t="str">
        <f>HYPERLINK("https://www.spark-marketing.ru/Card/Person/6215027", "ООО ""АЙТИ ГЛОБАЛ СМАРТ""")</f>
        <v>ООО "АЙТИ ГЛОБАЛ СМАРТ"</v>
      </c>
      <c r="K11704" s="24" t="s">
        <v>10018</v>
      </c>
      <c r="L11704" s="28" t="s">
        <v>52</v>
      </c>
      <c r="M11704" s="25">
        <v>102676.3</v>
      </c>
      <c r="N11704" s="27">
        <v>0.21</v>
      </c>
    </row>
    <row r="11705" spans="1:14" hidden="1" outlineLevel="1" x14ac:dyDescent="0.2">
      <c r="A11705" s="23" t="str">
        <f t="shared" si="602"/>
        <v>ГБУЗ "ДСП №30 ДЗМ"</v>
      </c>
      <c r="B11705" s="24" t="s">
        <v>13968</v>
      </c>
      <c r="C11705" s="25">
        <v>129970</v>
      </c>
      <c r="D11705" s="22" t="s">
        <v>13969</v>
      </c>
      <c r="E11705" s="22" t="s">
        <v>84</v>
      </c>
      <c r="F11705" s="23" t="str">
        <f t="shared" si="603"/>
        <v>Аукцион в электронной форме на право заключения контракта на выполнение работ по установке (монтажу) системы видеонаблюдения для ГБУЗ «ДСП №30 ДЗМ» в 2019 году.</v>
      </c>
      <c r="G11705" s="22" t="s">
        <v>55</v>
      </c>
      <c r="H11705" s="22" t="s">
        <v>55</v>
      </c>
      <c r="I11705" s="26">
        <v>43546.806250000001</v>
      </c>
      <c r="J11705" s="23" t="str">
        <f>HYPERLINK("https://www.spark-marketing.ru/Card/Person/6462474", "ООО ""ФАВОР""")</f>
        <v>ООО "ФАВОР"</v>
      </c>
      <c r="K11705" s="24" t="s">
        <v>2058</v>
      </c>
      <c r="L11705" s="28" t="s">
        <v>52</v>
      </c>
      <c r="M11705" s="25">
        <v>100076.9</v>
      </c>
      <c r="N11705" s="27">
        <v>0.23</v>
      </c>
    </row>
    <row r="11706" spans="1:14" hidden="1" outlineLevel="1" x14ac:dyDescent="0.2">
      <c r="A11706" s="23" t="str">
        <f t="shared" si="602"/>
        <v>ГБУЗ "ДСП №30 ДЗМ"</v>
      </c>
      <c r="B11706" s="24" t="s">
        <v>13968</v>
      </c>
      <c r="C11706" s="25">
        <v>129970</v>
      </c>
      <c r="D11706" s="22" t="s">
        <v>13969</v>
      </c>
      <c r="E11706" s="22" t="s">
        <v>84</v>
      </c>
      <c r="F11706" s="23" t="str">
        <f t="shared" si="603"/>
        <v>Аукцион в электронной форме на право заключения контракта на выполнение работ по установке (монтажу) системы видеонаблюдения для ГБУЗ «ДСП №30 ДЗМ» в 2019 году.</v>
      </c>
      <c r="G11706" s="22" t="s">
        <v>55</v>
      </c>
      <c r="H11706" s="22" t="s">
        <v>55</v>
      </c>
      <c r="I11706" s="26">
        <v>43546.806250000001</v>
      </c>
      <c r="J11706" s="23" t="str">
        <f>HYPERLINK("https://www.spark-marketing.ru/Card/Person/6514628", "Алиева Диана Руслановна")</f>
        <v>Алиева Диана Руслановна</v>
      </c>
      <c r="K11706" s="24" t="s">
        <v>10048</v>
      </c>
      <c r="L11706" s="28" t="s">
        <v>52</v>
      </c>
      <c r="M11706" s="25">
        <v>92928.55</v>
      </c>
      <c r="N11706" s="27">
        <v>0.28499999999999998</v>
      </c>
    </row>
    <row r="11707" spans="1:14" ht="12.75" hidden="1" outlineLevel="1" x14ac:dyDescent="0.2">
      <c r="A11707" s="23" t="str">
        <f t="shared" si="602"/>
        <v>ГБУЗ "ДСП №30 ДЗМ"</v>
      </c>
      <c r="B11707" s="24" t="s">
        <v>13968</v>
      </c>
      <c r="C11707" s="25">
        <v>129970</v>
      </c>
      <c r="D11707" s="22" t="s">
        <v>13969</v>
      </c>
      <c r="E11707" s="22" t="s">
        <v>84</v>
      </c>
      <c r="F11707" s="23" t="str">
        <f t="shared" si="603"/>
        <v>Аукцион в электронной форме на право заключения контракта на выполнение работ по установке (монтажу) системы видеонаблюдения для ГБУЗ «ДСП №30 ДЗМ» в 2019 году.</v>
      </c>
      <c r="G11707" s="22" t="s">
        <v>55</v>
      </c>
      <c r="H11707" s="22" t="s">
        <v>55</v>
      </c>
      <c r="I11707" s="26">
        <v>43546.806250000001</v>
      </c>
      <c r="J11707" s="23" t="str">
        <f>HYPERLINK("https://www.spark-marketing.ru/Card/Person/6455583", "Долгова Наталья Николаевна")</f>
        <v>Долгова Наталья Николаевна</v>
      </c>
      <c r="K11707" s="24" t="s">
        <v>13971</v>
      </c>
      <c r="L11707" s="22" t="s">
        <v>10</v>
      </c>
      <c r="M11707" s="25">
        <v>87729.75</v>
      </c>
      <c r="N11707" s="27">
        <v>0.32500000000000001</v>
      </c>
    </row>
    <row r="11708" spans="1:14" x14ac:dyDescent="0.15">
      <c r="A11708" s="23" t="str">
        <f>HYPERLINK("https://www.spark-marketing.ru/Card/Person/53405", "ВГУЮ (РПА МИНЮСТА РОССИИ)")</f>
        <v>ВГУЮ (РПА МИНЮСТА РОССИИ)</v>
      </c>
      <c r="B11708" s="24" t="s">
        <v>4560</v>
      </c>
      <c r="C11708" s="25">
        <v>540046</v>
      </c>
      <c r="D11708" s="22" t="s">
        <v>13972</v>
      </c>
      <c r="E11708" s="22" t="s">
        <v>2204</v>
      </c>
      <c r="F11708" s="23" t="str">
        <f>HYPERLINK("https://www.spark-marketing.ru/Card/Lot/68959235", "Поставка и установка наружной системы видеонаблюдения по адресу: г. Москва, ул. Молодогвардейская, дом 46, корп.1 и корп.2")</f>
        <v>Поставка и установка наружной системы видеонаблюдения по адресу: г. Москва, ул. Молодогвардейская, дом 46, корп.1 и корп.2</v>
      </c>
      <c r="G11708" s="22" t="s">
        <v>55</v>
      </c>
      <c r="H11708" s="22" t="s">
        <v>55</v>
      </c>
      <c r="I11708" s="26">
        <v>43546.758842592601</v>
      </c>
      <c r="J11708" s="28" t="s">
        <v>52</v>
      </c>
      <c r="K11708" s="28" t="s">
        <v>52</v>
      </c>
      <c r="L11708" s="28" t="s">
        <v>52</v>
      </c>
      <c r="M11708" s="28" t="s">
        <v>52</v>
      </c>
      <c r="N11708" s="28" t="s">
        <v>52</v>
      </c>
    </row>
    <row r="11709" spans="1:14" x14ac:dyDescent="0.15">
      <c r="A11709" s="23" t="str">
        <f>HYPERLINK("https://www.spark-marketing.ru/Card/Person/4343740", "МИНЗДРАВ РОССИИ")</f>
        <v>МИНЗДРАВ РОССИИ</v>
      </c>
      <c r="B11709" s="24" t="s">
        <v>1666</v>
      </c>
      <c r="C11709" s="25">
        <v>894681900</v>
      </c>
      <c r="D11709" s="22" t="s">
        <v>13973</v>
      </c>
      <c r="E11709" s="22" t="s">
        <v>53</v>
      </c>
      <c r="F11709" s="23" t="str">
        <f>HYPERLINK("https://www.spark-marketing.ru/Card/Lot/68958889", "Октоког альфа, лиофилизат для приготовления раствора для внутривенного введения, 1000 - 1500 МЕ в рамках реализации постановления Правительства Российской Федерации от 26.11.2018 № 1416 ""О порядке организации обеспечения лекарственными препаратами л...")</f>
        <v>Октоког альфа, лиофилизат для приготовления раствора для внутривенного введения, 1000 - 1500 МЕ в рамках реализации постановления Правительства Российской Федерации от 26.11.2018 № 1416 "О порядке организации обеспечения лекарственными препаратами л...</v>
      </c>
      <c r="G11709" s="22" t="s">
        <v>230</v>
      </c>
      <c r="H11709" s="22" t="s">
        <v>231</v>
      </c>
      <c r="I11709" s="26">
        <v>43546.754166666702</v>
      </c>
      <c r="J11709" s="23" t="str">
        <f>HYPERLINK("https://www.spark-marketing.ru/Card/Person/42069", "АО ""ФАРМСТАНДАРТ""")</f>
        <v>АО "ФАРМСТАНДАРТ"</v>
      </c>
      <c r="K11709" s="24" t="s">
        <v>1668</v>
      </c>
      <c r="L11709" s="22" t="s">
        <v>10</v>
      </c>
      <c r="M11709" s="28" t="s">
        <v>52</v>
      </c>
      <c r="N11709" s="28" t="s">
        <v>52</v>
      </c>
    </row>
    <row r="11710" spans="1:14" x14ac:dyDescent="0.15">
      <c r="A11710" s="23" t="str">
        <f>HYPERLINK("https://www.spark-marketing.ru/Card/Person/19112", "КГБУЗ ""ЛЕСОСИБИРСКАЯ МБ""")</f>
        <v>КГБУЗ "ЛЕСОСИБИРСКАЯ МБ"</v>
      </c>
      <c r="B11710" s="24" t="s">
        <v>13974</v>
      </c>
      <c r="C11710" s="25">
        <v>70200</v>
      </c>
      <c r="D11710" s="22" t="s">
        <v>13975</v>
      </c>
      <c r="E11710" s="22" t="s">
        <v>103</v>
      </c>
      <c r="F11710" s="23" t="str">
        <f>HYPERLINK("https://www.spark-marketing.ru/Card/Lot/68955752", "Техническое обслуживание системы видеонаблюдения КГБУЗ ""Лесосибирская МБ""")</f>
        <v>Техническое обслуживание системы видеонаблюдения КГБУЗ "Лесосибирская МБ"</v>
      </c>
      <c r="G11710" s="22" t="s">
        <v>640</v>
      </c>
      <c r="H11710" s="22" t="s">
        <v>13976</v>
      </c>
      <c r="I11710" s="26">
        <v>43546.778472222199</v>
      </c>
      <c r="J11710" s="28" t="s">
        <v>52</v>
      </c>
      <c r="K11710" s="28" t="s">
        <v>52</v>
      </c>
      <c r="L11710" s="28" t="s">
        <v>52</v>
      </c>
      <c r="M11710" s="28" t="s">
        <v>52</v>
      </c>
      <c r="N11710" s="28" t="s">
        <v>52</v>
      </c>
    </row>
    <row r="11711" spans="1:14" ht="12.75" hidden="1" outlineLevel="1" x14ac:dyDescent="0.2">
      <c r="A11711" s="23" t="str">
        <f>HYPERLINK("https://www.spark-marketing.ru/Card/Person/19112", "КГБУЗ ""ЛЕСОСИБИРСКАЯ МБ""")</f>
        <v>КГБУЗ "ЛЕСОСИБИРСКАЯ МБ"</v>
      </c>
      <c r="B11711" s="24" t="s">
        <v>13974</v>
      </c>
      <c r="C11711" s="25">
        <v>70200</v>
      </c>
      <c r="D11711" s="22" t="s">
        <v>13975</v>
      </c>
      <c r="E11711" s="22" t="s">
        <v>103</v>
      </c>
      <c r="F11711" s="23" t="str">
        <f>HYPERLINK("https://www.spark-marketing.ru/Card/Lot/68955752", "Техническое обслуживание системы видеонаблюдения КГБУЗ ""Лесосибирская МБ""")</f>
        <v>Техническое обслуживание системы видеонаблюдения КГБУЗ "Лесосибирская МБ"</v>
      </c>
      <c r="G11711" s="22" t="s">
        <v>640</v>
      </c>
      <c r="H11711" s="22" t="s">
        <v>13976</v>
      </c>
      <c r="I11711" s="26">
        <v>43546.778472222199</v>
      </c>
      <c r="J11711" s="23" t="str">
        <f>HYPERLINK("https://www.spark-marketing.ru/Card/Person/6496424", "ООО НПО ""ЭНЕРГИЯ""")</f>
        <v>ООО НПО "ЭНЕРГИЯ"</v>
      </c>
      <c r="K11711" s="24" t="s">
        <v>13977</v>
      </c>
      <c r="L11711" s="22" t="s">
        <v>10</v>
      </c>
      <c r="M11711" s="25">
        <v>33849</v>
      </c>
      <c r="N11711" s="27">
        <v>0.51782051282051278</v>
      </c>
    </row>
    <row r="11712" spans="1:14" hidden="1" outlineLevel="1" x14ac:dyDescent="0.2">
      <c r="A11712" s="23" t="str">
        <f>HYPERLINK("https://www.spark-marketing.ru/Card/Person/19112", "КГБУЗ ""ЛЕСОСИБИРСКАЯ МБ""")</f>
        <v>КГБУЗ "ЛЕСОСИБИРСКАЯ МБ"</v>
      </c>
      <c r="B11712" s="24" t="s">
        <v>13974</v>
      </c>
      <c r="C11712" s="25">
        <v>70200</v>
      </c>
      <c r="D11712" s="22" t="s">
        <v>13975</v>
      </c>
      <c r="E11712" s="22" t="s">
        <v>103</v>
      </c>
      <c r="F11712" s="23" t="str">
        <f>HYPERLINK("https://www.spark-marketing.ru/Card/Lot/68955752", "Техническое обслуживание системы видеонаблюдения КГБУЗ ""Лесосибирская МБ""")</f>
        <v>Техническое обслуживание системы видеонаблюдения КГБУЗ "Лесосибирская МБ"</v>
      </c>
      <c r="G11712" s="22" t="s">
        <v>640</v>
      </c>
      <c r="H11712" s="22" t="s">
        <v>13976</v>
      </c>
      <c r="I11712" s="26">
        <v>43546.778472222199</v>
      </c>
      <c r="J11712" s="23" t="str">
        <f>HYPERLINK("https://www.spark-marketing.ru/Card/Person/2592762", "ООО ""ПЕРСПЕКТИВА""")</f>
        <v>ООО "ПЕРСПЕКТИВА"</v>
      </c>
      <c r="K11712" s="24" t="s">
        <v>13978</v>
      </c>
      <c r="L11712" s="28" t="s">
        <v>52</v>
      </c>
      <c r="M11712" s="25">
        <v>34200</v>
      </c>
      <c r="N11712" s="27">
        <v>0.51282051282051277</v>
      </c>
    </row>
    <row r="11713" spans="1:14" hidden="1" outlineLevel="1" x14ac:dyDescent="0.2">
      <c r="A11713" s="23" t="str">
        <f>HYPERLINK("https://www.spark-marketing.ru/Card/Person/19112", "КГБУЗ ""ЛЕСОСИБИРСКАЯ МБ""")</f>
        <v>КГБУЗ "ЛЕСОСИБИРСКАЯ МБ"</v>
      </c>
      <c r="B11713" s="24" t="s">
        <v>13974</v>
      </c>
      <c r="C11713" s="25">
        <v>70200</v>
      </c>
      <c r="D11713" s="22" t="s">
        <v>13975</v>
      </c>
      <c r="E11713" s="22" t="s">
        <v>103</v>
      </c>
      <c r="F11713" s="23" t="str">
        <f>HYPERLINK("https://www.spark-marketing.ru/Card/Lot/68955752", "Техническое обслуживание системы видеонаблюдения КГБУЗ ""Лесосибирская МБ""")</f>
        <v>Техническое обслуживание системы видеонаблюдения КГБУЗ "Лесосибирская МБ"</v>
      </c>
      <c r="G11713" s="22" t="s">
        <v>640</v>
      </c>
      <c r="H11713" s="22" t="s">
        <v>13976</v>
      </c>
      <c r="I11713" s="26">
        <v>43546.778472222199</v>
      </c>
      <c r="J11713" s="23" t="str">
        <f>HYPERLINK("https://www.spark-marketing.ru/Card/Person/6455741", "ООО ""ПРОСТРОЙ""")</f>
        <v>ООО "ПРОСТРОЙ"</v>
      </c>
      <c r="K11713" s="24" t="s">
        <v>13979</v>
      </c>
      <c r="L11713" s="28" t="s">
        <v>52</v>
      </c>
      <c r="M11713" s="25">
        <v>63727</v>
      </c>
      <c r="N11713" s="27">
        <v>9.2207977207977201E-2</v>
      </c>
    </row>
    <row r="11714" spans="1:14" hidden="1" outlineLevel="1" x14ac:dyDescent="0.2">
      <c r="A11714" s="23" t="str">
        <f>HYPERLINK("https://www.spark-marketing.ru/Card/Person/19112", "КГБУЗ ""ЛЕСОСИБИРСКАЯ МБ""")</f>
        <v>КГБУЗ "ЛЕСОСИБИРСКАЯ МБ"</v>
      </c>
      <c r="B11714" s="24" t="s">
        <v>13974</v>
      </c>
      <c r="C11714" s="25">
        <v>70200</v>
      </c>
      <c r="D11714" s="22" t="s">
        <v>13975</v>
      </c>
      <c r="E11714" s="22" t="s">
        <v>103</v>
      </c>
      <c r="F11714" s="23" t="str">
        <f>HYPERLINK("https://www.spark-marketing.ru/Card/Lot/68955752", "Техническое обслуживание системы видеонаблюдения КГБУЗ ""Лесосибирская МБ""")</f>
        <v>Техническое обслуживание системы видеонаблюдения КГБУЗ "Лесосибирская МБ"</v>
      </c>
      <c r="G11714" s="22" t="s">
        <v>640</v>
      </c>
      <c r="H11714" s="22" t="s">
        <v>13976</v>
      </c>
      <c r="I11714" s="26">
        <v>43546.778472222199</v>
      </c>
      <c r="J11714" s="23" t="str">
        <f>HYPERLINK("https://www.spark-marketing.ru/Card/Person/6313379", "Петров Максим Васильевич")</f>
        <v>Петров Максим Васильевич</v>
      </c>
      <c r="K11714" s="24" t="s">
        <v>11480</v>
      </c>
      <c r="L11714" s="28" t="s">
        <v>52</v>
      </c>
      <c r="M11714" s="25">
        <v>57760</v>
      </c>
      <c r="N11714" s="27">
        <v>0.17720797720797721</v>
      </c>
    </row>
    <row r="11715" spans="1:14" x14ac:dyDescent="0.15">
      <c r="A11715" s="23" t="str">
        <f>HYPERLINK("https://www.spark-marketing.ru/Card/Person/4343740", "МИНЗДРАВ РОССИИ")</f>
        <v>МИНЗДРАВ РОССИИ</v>
      </c>
      <c r="B11715" s="24" t="s">
        <v>1666</v>
      </c>
      <c r="C11715" s="25">
        <v>915537646.5</v>
      </c>
      <c r="D11715" s="22" t="s">
        <v>13980</v>
      </c>
      <c r="E11715" s="22" t="s">
        <v>53</v>
      </c>
      <c r="F11715" s="23" t="str">
        <f>HYPERLINK("https://www.spark-marketing.ru/Card/Lot/68958888", "Ритуксимаб, концентрат для приготовления раствора для инфузий, 10 мг/мл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f>
        <v>Ритуксимаб, концентрат для приготовления раствора для инфузий, 10 мг/мл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v>
      </c>
      <c r="G11715" s="22" t="s">
        <v>428</v>
      </c>
      <c r="H11715" s="22" t="s">
        <v>429</v>
      </c>
      <c r="I11715" s="26">
        <v>43546.753472222197</v>
      </c>
      <c r="J11715" s="23" t="str">
        <f>HYPERLINK("https://www.spark-marketing.ru/Card/Person/63594", "ООО ""БИОКАД-ФАРМ""")</f>
        <v>ООО "БИОКАД-ФАРМ"</v>
      </c>
      <c r="K11715" s="24" t="s">
        <v>11566</v>
      </c>
      <c r="L11715" s="22" t="s">
        <v>10</v>
      </c>
      <c r="M11715" s="28" t="s">
        <v>52</v>
      </c>
      <c r="N11715" s="28" t="s">
        <v>52</v>
      </c>
    </row>
    <row r="11716" spans="1:14" x14ac:dyDescent="0.15">
      <c r="A11716" s="23" t="str">
        <f>HYPERLINK("https://www.spark-marketing.ru/Card/Person/4343740", "МИНЗДРАВ РОССИИ")</f>
        <v>МИНЗДРАВ РОССИИ</v>
      </c>
      <c r="B11716" s="24" t="s">
        <v>1666</v>
      </c>
      <c r="C11716" s="25">
        <v>653184808.64999998</v>
      </c>
      <c r="D11716" s="22" t="s">
        <v>13981</v>
      </c>
      <c r="E11716" s="22" t="s">
        <v>53</v>
      </c>
      <c r="F11716" s="23" t="str">
        <f>HYPERLINK("https://www.spark-marketing.ru/Card/Lot/68958422", "Дорназа альфа, раствор для ингаляций, 1 мг/мл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муковисцидозом, гипофизарн...")</f>
        <v>Дорназа альфа, раствор для ингаляций, 1 мг/мл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муковисцидозом, гипофизарн...</v>
      </c>
      <c r="G11716" s="22" t="s">
        <v>428</v>
      </c>
      <c r="H11716" s="22" t="s">
        <v>429</v>
      </c>
      <c r="I11716" s="26">
        <v>43546.709027777797</v>
      </c>
      <c r="J11716" s="28" t="s">
        <v>52</v>
      </c>
      <c r="K11716" s="28" t="s">
        <v>52</v>
      </c>
      <c r="L11716" s="28" t="s">
        <v>52</v>
      </c>
      <c r="M11716" s="28" t="s">
        <v>52</v>
      </c>
      <c r="N11716" s="28" t="s">
        <v>52</v>
      </c>
    </row>
    <row r="11717" spans="1:14" x14ac:dyDescent="0.15">
      <c r="A11717" s="23" t="str">
        <f>HYPERLINK("https://www.spark-marketing.ru/Card/Person/193037", "АО ""ГАЗПРОМ ГАЗОРАСПРЕДЕЛЕНИЕ КРАСНОДАР""")</f>
        <v>АО "ГАЗПРОМ ГАЗОРАСПРЕДЕЛЕНИЕ КРАСНОДАР"</v>
      </c>
      <c r="B11717" s="24" t="s">
        <v>11069</v>
      </c>
      <c r="C11717" s="25">
        <v>12840</v>
      </c>
      <c r="D11717" s="22" t="s">
        <v>13982</v>
      </c>
      <c r="E11717" s="22" t="s">
        <v>370</v>
      </c>
      <c r="F11717" s="23" t="str">
        <f>HYPERLINK("https://www.spark-marketing.ru/Card/Lot/68959467", "Услуги по техническому обслуживания тревожной кнопки")</f>
        <v>Услуги по техническому обслуживания тревожной кнопки</v>
      </c>
      <c r="G11717" s="22" t="s">
        <v>132</v>
      </c>
      <c r="H11717" s="22" t="s">
        <v>652</v>
      </c>
      <c r="I11717" s="26">
        <v>43546.715567129599</v>
      </c>
      <c r="J11717" s="28" t="s">
        <v>52</v>
      </c>
      <c r="K11717" s="28" t="s">
        <v>52</v>
      </c>
      <c r="L11717" s="28" t="s">
        <v>52</v>
      </c>
      <c r="M11717" s="28" t="s">
        <v>52</v>
      </c>
      <c r="N11717" s="28" t="s">
        <v>52</v>
      </c>
    </row>
    <row r="11718" spans="1:14" x14ac:dyDescent="0.15">
      <c r="A11718" s="23" t="str">
        <f t="shared" ref="A11718:A11725" si="604">HYPERLINK("https://www.spark-marketing.ru/Card/Person/92013", "МБУЗ ГП Г.ШАХТЫ")</f>
        <v>МБУЗ ГП Г.ШАХТЫ</v>
      </c>
      <c r="B11718" s="24" t="s">
        <v>13983</v>
      </c>
      <c r="C11718" s="25">
        <v>252007</v>
      </c>
      <c r="D11718" s="22" t="s">
        <v>13984</v>
      </c>
      <c r="E11718" s="22" t="s">
        <v>84</v>
      </c>
      <c r="F11718" s="23" t="str">
        <f t="shared" ref="F11718:F11725" si="605">HYPERLINK("https://www.spark-marketing.ru/Card/Lot/68958246", "Установка системы видеонаблюдения в МБУЗ ГП г.Шахты по адресам: ул. Михайлова, 6 лит. А, Б, В, пер. Мечникова, 3б.")</f>
        <v>Установка системы видеонаблюдения в МБУЗ ГП г.Шахты по адресам: ул. Михайлова, 6 лит. А, Б, В, пер. Мечникова, 3б.</v>
      </c>
      <c r="G11718" s="22" t="s">
        <v>402</v>
      </c>
      <c r="H11718" s="22" t="s">
        <v>4374</v>
      </c>
      <c r="I11718" s="26">
        <v>43546.7097222222</v>
      </c>
      <c r="J11718" s="28" t="s">
        <v>52</v>
      </c>
      <c r="K11718" s="28" t="s">
        <v>52</v>
      </c>
      <c r="L11718" s="28" t="s">
        <v>52</v>
      </c>
      <c r="M11718" s="28" t="s">
        <v>52</v>
      </c>
      <c r="N11718" s="28" t="s">
        <v>52</v>
      </c>
    </row>
    <row r="11719" spans="1:14" hidden="1" outlineLevel="1" x14ac:dyDescent="0.2">
      <c r="A11719" s="23" t="str">
        <f t="shared" si="604"/>
        <v>МБУЗ ГП Г.ШАХТЫ</v>
      </c>
      <c r="B11719" s="24" t="s">
        <v>13983</v>
      </c>
      <c r="C11719" s="25">
        <v>252007</v>
      </c>
      <c r="D11719" s="22" t="s">
        <v>13984</v>
      </c>
      <c r="E11719" s="22" t="s">
        <v>84</v>
      </c>
      <c r="F11719" s="23" t="str">
        <f t="shared" si="605"/>
        <v>Установка системы видеонаблюдения в МБУЗ ГП г.Шахты по адресам: ул. Михайлова, 6 лит. А, Б, В, пер. Мечникова, 3б.</v>
      </c>
      <c r="G11719" s="22" t="s">
        <v>402</v>
      </c>
      <c r="H11719" s="22" t="s">
        <v>4374</v>
      </c>
      <c r="I11719" s="26">
        <v>43546.7097222222</v>
      </c>
      <c r="J11719" s="23" t="str">
        <f>HYPERLINK("https://www.spark-marketing.ru/Card/Person/1215309", "ООО ""МУЛЬТИСИСТЕМЫ""")</f>
        <v>ООО "МУЛЬТИСИСТЕМЫ"</v>
      </c>
      <c r="K11719" s="24" t="s">
        <v>3297</v>
      </c>
      <c r="L11719" s="28" t="s">
        <v>52</v>
      </c>
      <c r="M11719" s="25">
        <v>101171.68</v>
      </c>
      <c r="N11719" s="27">
        <v>0.59853623113643672</v>
      </c>
    </row>
    <row r="11720" spans="1:14" hidden="1" outlineLevel="1" x14ac:dyDescent="0.2">
      <c r="A11720" s="23" t="str">
        <f t="shared" si="604"/>
        <v>МБУЗ ГП Г.ШАХТЫ</v>
      </c>
      <c r="B11720" s="24" t="s">
        <v>13983</v>
      </c>
      <c r="C11720" s="25">
        <v>252007</v>
      </c>
      <c r="D11720" s="22" t="s">
        <v>13984</v>
      </c>
      <c r="E11720" s="22" t="s">
        <v>84</v>
      </c>
      <c r="F11720" s="23" t="str">
        <f t="shared" si="605"/>
        <v>Установка системы видеонаблюдения в МБУЗ ГП г.Шахты по адресам: ул. Михайлова, 6 лит. А, Б, В, пер. Мечникова, 3б.</v>
      </c>
      <c r="G11720" s="22" t="s">
        <v>402</v>
      </c>
      <c r="H11720" s="22" t="s">
        <v>4374</v>
      </c>
      <c r="I11720" s="26">
        <v>43546.7097222222</v>
      </c>
      <c r="J11720" s="23" t="str">
        <f>HYPERLINK("https://www.spark-marketing.ru/Card/Person/1444717", "Соколов Михаил Львович")</f>
        <v>Соколов Михаил Львович</v>
      </c>
      <c r="K11720" s="24" t="s">
        <v>2839</v>
      </c>
      <c r="L11720" s="28" t="s">
        <v>52</v>
      </c>
      <c r="M11720" s="25">
        <v>151000</v>
      </c>
      <c r="N11720" s="27">
        <v>0.40081029495212434</v>
      </c>
    </row>
    <row r="11721" spans="1:14" hidden="1" outlineLevel="1" x14ac:dyDescent="0.2">
      <c r="A11721" s="23" t="str">
        <f t="shared" si="604"/>
        <v>МБУЗ ГП Г.ШАХТЫ</v>
      </c>
      <c r="B11721" s="24" t="s">
        <v>13983</v>
      </c>
      <c r="C11721" s="25">
        <v>252007</v>
      </c>
      <c r="D11721" s="22" t="s">
        <v>13984</v>
      </c>
      <c r="E11721" s="22" t="s">
        <v>84</v>
      </c>
      <c r="F11721" s="23" t="str">
        <f t="shared" si="605"/>
        <v>Установка системы видеонаблюдения в МБУЗ ГП г.Шахты по адресам: ул. Михайлова, 6 лит. А, Б, В, пер. Мечникова, 3б.</v>
      </c>
      <c r="G11721" s="22" t="s">
        <v>402</v>
      </c>
      <c r="H11721" s="22" t="s">
        <v>4374</v>
      </c>
      <c r="I11721" s="26">
        <v>43546.7097222222</v>
      </c>
      <c r="J11721" s="23" t="str">
        <f>HYPERLINK("https://www.spark-marketing.ru/Card/Person/6349963", "Тирацуян Евгений Ованесович")</f>
        <v>Тирацуян Евгений Ованесович</v>
      </c>
      <c r="K11721" s="24" t="s">
        <v>1488</v>
      </c>
      <c r="L11721" s="28" t="s">
        <v>52</v>
      </c>
      <c r="M11721" s="25">
        <v>180000</v>
      </c>
      <c r="N11721" s="27">
        <v>0.28573412643299589</v>
      </c>
    </row>
    <row r="11722" spans="1:14" hidden="1" outlineLevel="1" x14ac:dyDescent="0.2">
      <c r="A11722" s="23" t="str">
        <f t="shared" si="604"/>
        <v>МБУЗ ГП Г.ШАХТЫ</v>
      </c>
      <c r="B11722" s="24" t="s">
        <v>13983</v>
      </c>
      <c r="C11722" s="25">
        <v>252007</v>
      </c>
      <c r="D11722" s="22" t="s">
        <v>13984</v>
      </c>
      <c r="E11722" s="22" t="s">
        <v>84</v>
      </c>
      <c r="F11722" s="23" t="str">
        <f t="shared" si="605"/>
        <v>Установка системы видеонаблюдения в МБУЗ ГП г.Шахты по адресам: ул. Михайлова, 6 лит. А, Б, В, пер. Мечникова, 3б.</v>
      </c>
      <c r="G11722" s="22" t="s">
        <v>402</v>
      </c>
      <c r="H11722" s="22" t="s">
        <v>4374</v>
      </c>
      <c r="I11722" s="26">
        <v>43546.7097222222</v>
      </c>
      <c r="J11722" s="23" t="str">
        <f>HYPERLINK("https://www.spark-marketing.ru/Card/Person/384360", "Губарева Маргарита Николаевна")</f>
        <v>Губарева Маргарита Николаевна</v>
      </c>
      <c r="K11722" s="24" t="s">
        <v>1489</v>
      </c>
      <c r="L11722" s="28" t="s">
        <v>52</v>
      </c>
      <c r="M11722" s="25">
        <v>111411.84</v>
      </c>
      <c r="N11722" s="27">
        <v>0.5579018043149595</v>
      </c>
    </row>
    <row r="11723" spans="1:14" hidden="1" outlineLevel="1" x14ac:dyDescent="0.2">
      <c r="A11723" s="23" t="str">
        <f t="shared" si="604"/>
        <v>МБУЗ ГП Г.ШАХТЫ</v>
      </c>
      <c r="B11723" s="24" t="s">
        <v>13983</v>
      </c>
      <c r="C11723" s="25">
        <v>252007</v>
      </c>
      <c r="D11723" s="22" t="s">
        <v>13984</v>
      </c>
      <c r="E11723" s="22" t="s">
        <v>84</v>
      </c>
      <c r="F11723" s="23" t="str">
        <f t="shared" si="605"/>
        <v>Установка системы видеонаблюдения в МБУЗ ГП г.Шахты по адресам: ул. Михайлова, 6 лит. А, Б, В, пер. Мечникова, 3б.</v>
      </c>
      <c r="G11723" s="22" t="s">
        <v>402</v>
      </c>
      <c r="H11723" s="22" t="s">
        <v>4374</v>
      </c>
      <c r="I11723" s="26">
        <v>43546.7097222222</v>
      </c>
      <c r="J11723" s="23" t="str">
        <f>HYPERLINK("https://www.spark-marketing.ru/Card/Person/6492186", "Ленинградский Евгений Владимирович")</f>
        <v>Ленинградский Евгений Владимирович</v>
      </c>
      <c r="K11723" s="24" t="s">
        <v>4320</v>
      </c>
      <c r="L11723" s="28" t="s">
        <v>52</v>
      </c>
      <c r="M11723" s="25">
        <v>120352</v>
      </c>
      <c r="N11723" s="27">
        <v>0.52242596435813293</v>
      </c>
    </row>
    <row r="11724" spans="1:14" hidden="1" outlineLevel="1" x14ac:dyDescent="0.2">
      <c r="A11724" s="23" t="str">
        <f t="shared" si="604"/>
        <v>МБУЗ ГП Г.ШАХТЫ</v>
      </c>
      <c r="B11724" s="24" t="s">
        <v>13983</v>
      </c>
      <c r="C11724" s="25">
        <v>252007</v>
      </c>
      <c r="D11724" s="22" t="s">
        <v>13984</v>
      </c>
      <c r="E11724" s="22" t="s">
        <v>84</v>
      </c>
      <c r="F11724" s="23" t="str">
        <f t="shared" si="605"/>
        <v>Установка системы видеонаблюдения в МБУЗ ГП г.Шахты по адресам: ул. Михайлова, 6 лит. А, Б, В, пер. Мечникова, 3б.</v>
      </c>
      <c r="G11724" s="22" t="s">
        <v>402</v>
      </c>
      <c r="H11724" s="22" t="s">
        <v>4374</v>
      </c>
      <c r="I11724" s="26">
        <v>43546.7097222222</v>
      </c>
      <c r="J11724" s="23" t="str">
        <f>HYPERLINK("https://www.spark-marketing.ru/Card/Person/6453842", "Федина Наталья Ивановна")</f>
        <v>Федина Наталья Ивановна</v>
      </c>
      <c r="K11724" s="24" t="s">
        <v>13985</v>
      </c>
      <c r="L11724" s="28" t="s">
        <v>52</v>
      </c>
      <c r="M11724" s="25">
        <v>119091.96</v>
      </c>
      <c r="N11724" s="27">
        <v>0.52742598419885167</v>
      </c>
    </row>
    <row r="11725" spans="1:14" ht="12.75" hidden="1" outlineLevel="1" x14ac:dyDescent="0.2">
      <c r="A11725" s="23" t="str">
        <f t="shared" si="604"/>
        <v>МБУЗ ГП Г.ШАХТЫ</v>
      </c>
      <c r="B11725" s="24" t="s">
        <v>13983</v>
      </c>
      <c r="C11725" s="25">
        <v>252007</v>
      </c>
      <c r="D11725" s="22" t="s">
        <v>13984</v>
      </c>
      <c r="E11725" s="22" t="s">
        <v>84</v>
      </c>
      <c r="F11725" s="23" t="str">
        <f t="shared" si="605"/>
        <v>Установка системы видеонаблюдения в МБУЗ ГП г.Шахты по адресам: ул. Михайлова, 6 лит. А, Б, В, пер. Мечникова, 3б.</v>
      </c>
      <c r="G11725" s="22" t="s">
        <v>402</v>
      </c>
      <c r="H11725" s="22" t="s">
        <v>4374</v>
      </c>
      <c r="I11725" s="26">
        <v>43546.7097222222</v>
      </c>
      <c r="J11725" s="23" t="str">
        <f>HYPERLINK("https://www.spark-marketing.ru/Card/Person/425632", "Пегушин Дмитрий Александрович")</f>
        <v>Пегушин Дмитрий Александрович</v>
      </c>
      <c r="K11725" s="24" t="s">
        <v>13625</v>
      </c>
      <c r="L11725" s="22" t="s">
        <v>10</v>
      </c>
      <c r="M11725" s="25">
        <v>99871.679999999993</v>
      </c>
      <c r="N11725" s="27">
        <v>0.60369481800108726</v>
      </c>
    </row>
    <row r="11726" spans="1:14" x14ac:dyDescent="0.15">
      <c r="A11726" s="23" t="str">
        <f>HYPERLINK("https://www.spark-marketing.ru/Card/Person/94147", "КГБУ ""АЧИНСКАЯ СО И САТ""")</f>
        <v>КГБУ "АЧИНСКАЯ СО И САТ"</v>
      </c>
      <c r="B11726" s="24" t="s">
        <v>13986</v>
      </c>
      <c r="C11726" s="25">
        <v>94986.67</v>
      </c>
      <c r="D11726" s="22" t="s">
        <v>13987</v>
      </c>
      <c r="E11726" s="22" t="s">
        <v>84</v>
      </c>
      <c r="F11726" s="23" t="str">
        <f>HYPERLINK("https://www.spark-marketing.ru/Card/Lot/68953173", "№ ЭА 38810/19 «Услуги по установке системы видеонаблюдения», субъектами малого предпринимательства, социально ориентированными некоммерческими организациями».")</f>
        <v>№ ЭА 38810/19 «Услуги по установке системы видеонаблюдения», субъектами малого предпринимательства, социально ориентированными некоммерческими организациями».</v>
      </c>
      <c r="G11726" s="22" t="s">
        <v>640</v>
      </c>
      <c r="H11726" s="22" t="s">
        <v>13988</v>
      </c>
      <c r="I11726" s="26">
        <v>43546.717361111099</v>
      </c>
      <c r="J11726" s="28" t="s">
        <v>52</v>
      </c>
      <c r="K11726" s="28" t="s">
        <v>52</v>
      </c>
      <c r="L11726" s="28" t="s">
        <v>52</v>
      </c>
      <c r="M11726" s="28" t="s">
        <v>52</v>
      </c>
      <c r="N11726" s="28" t="s">
        <v>52</v>
      </c>
    </row>
    <row r="11727" spans="1:14" hidden="1" outlineLevel="1" x14ac:dyDescent="0.2">
      <c r="A11727" s="23" t="str">
        <f>HYPERLINK("https://www.spark-marketing.ru/Card/Person/94147", "КГБУ ""АЧИНСКАЯ СО И САТ""")</f>
        <v>КГБУ "АЧИНСКАЯ СО И САТ"</v>
      </c>
      <c r="B11727" s="24" t="s">
        <v>13986</v>
      </c>
      <c r="C11727" s="25">
        <v>94986.67</v>
      </c>
      <c r="D11727" s="22" t="s">
        <v>13987</v>
      </c>
      <c r="E11727" s="22" t="s">
        <v>84</v>
      </c>
      <c r="F11727" s="23" t="str">
        <f>HYPERLINK("https://www.spark-marketing.ru/Card/Lot/68953173", "№ ЭА 38810/19 «Услуги по установке системы видеонаблюдения», субъектами малого предпринимательства, социально ориентированными некоммерческими организациями».")</f>
        <v>№ ЭА 38810/19 «Услуги по установке системы видеонаблюдения», субъектами малого предпринимательства, социально ориентированными некоммерческими организациями».</v>
      </c>
      <c r="G11727" s="22" t="s">
        <v>640</v>
      </c>
      <c r="H11727" s="22" t="s">
        <v>13988</v>
      </c>
      <c r="I11727" s="26">
        <v>43546.717361111099</v>
      </c>
      <c r="J11727" s="23" t="str">
        <f>HYPERLINK("https://www.spark-marketing.ru/Card/Person/183269", "ООО ""ЗЕВС""")</f>
        <v>ООО "ЗЕВС"</v>
      </c>
      <c r="K11727" s="24" t="s">
        <v>13989</v>
      </c>
      <c r="L11727" s="28" t="s">
        <v>52</v>
      </c>
      <c r="M11727" s="25">
        <v>58416.29</v>
      </c>
      <c r="N11727" s="27">
        <v>0.38500539075640822</v>
      </c>
    </row>
    <row r="11728" spans="1:14" ht="12.75" hidden="1" outlineLevel="1" x14ac:dyDescent="0.2">
      <c r="A11728" s="23" t="str">
        <f>HYPERLINK("https://www.spark-marketing.ru/Card/Person/94147", "КГБУ ""АЧИНСКАЯ СО И САТ""")</f>
        <v>КГБУ "АЧИНСКАЯ СО И САТ"</v>
      </c>
      <c r="B11728" s="24" t="s">
        <v>13986</v>
      </c>
      <c r="C11728" s="25">
        <v>94986.67</v>
      </c>
      <c r="D11728" s="22" t="s">
        <v>13987</v>
      </c>
      <c r="E11728" s="22" t="s">
        <v>84</v>
      </c>
      <c r="F11728" s="23" t="str">
        <f>HYPERLINK("https://www.spark-marketing.ru/Card/Lot/68953173", "№ ЭА 38810/19 «Услуги по установке системы видеонаблюдения», субъектами малого предпринимательства, социально ориентированными некоммерческими организациями».")</f>
        <v>№ ЭА 38810/19 «Услуги по установке системы видеонаблюдения», субъектами малого предпринимательства, социально ориентированными некоммерческими организациями».</v>
      </c>
      <c r="G11728" s="22" t="s">
        <v>640</v>
      </c>
      <c r="H11728" s="22" t="s">
        <v>13988</v>
      </c>
      <c r="I11728" s="26">
        <v>43546.717361111099</v>
      </c>
      <c r="J11728" s="23" t="str">
        <f>HYPERLINK("https://www.spark-marketing.ru/Card/Person/161789", "ООО ""ИНТЕРМЕДИА""")</f>
        <v>ООО "ИНТЕРМЕДИА"</v>
      </c>
      <c r="K11728" s="24" t="s">
        <v>13990</v>
      </c>
      <c r="L11728" s="22" t="s">
        <v>10</v>
      </c>
      <c r="M11728" s="25">
        <v>57941.35</v>
      </c>
      <c r="N11728" s="27">
        <v>0.39000546076623172</v>
      </c>
    </row>
    <row r="11729" spans="1:14" hidden="1" outlineLevel="1" x14ac:dyDescent="0.2">
      <c r="A11729" s="23" t="str">
        <f>HYPERLINK("https://www.spark-marketing.ru/Card/Person/94147", "КГБУ ""АЧИНСКАЯ СО И САТ""")</f>
        <v>КГБУ "АЧИНСКАЯ СО И САТ"</v>
      </c>
      <c r="B11729" s="24" t="s">
        <v>13986</v>
      </c>
      <c r="C11729" s="25">
        <v>94986.67</v>
      </c>
      <c r="D11729" s="22" t="s">
        <v>13987</v>
      </c>
      <c r="E11729" s="22" t="s">
        <v>84</v>
      </c>
      <c r="F11729" s="23" t="str">
        <f>HYPERLINK("https://www.spark-marketing.ru/Card/Lot/68953173", "№ ЭА 38810/19 «Услуги по установке системы видеонаблюдения», субъектами малого предпринимательства, социально ориентированными некоммерческими организациями».")</f>
        <v>№ ЭА 38810/19 «Услуги по установке системы видеонаблюдения», субъектами малого предпринимательства, социально ориентированными некоммерческими организациями».</v>
      </c>
      <c r="G11729" s="22" t="s">
        <v>640</v>
      </c>
      <c r="H11729" s="22" t="s">
        <v>13988</v>
      </c>
      <c r="I11729" s="26">
        <v>43546.717361111099</v>
      </c>
      <c r="J11729" s="23" t="str">
        <f>HYPERLINK("https://www.spark-marketing.ru/Card/Person/80279", "ООО ""БРАНД-СЕРВИС""")</f>
        <v>ООО "БРАНД-СЕРВИС"</v>
      </c>
      <c r="K11729" s="24" t="s">
        <v>13991</v>
      </c>
      <c r="L11729" s="28" t="s">
        <v>52</v>
      </c>
      <c r="M11729" s="25">
        <v>94986.6</v>
      </c>
      <c r="N11729" s="27">
        <v>7.3694551035424232E-7</v>
      </c>
    </row>
    <row r="11730" spans="1:14" x14ac:dyDescent="0.15">
      <c r="A11730" s="23" t="str">
        <f>HYPERLINK("https://www.spark-marketing.ru/Card/Person/1083960", "МКОУ ""ОТРАДНЕНСКАЯ СОШ""")</f>
        <v>МКОУ "ОТРАДНЕНСКАЯ СОШ"</v>
      </c>
      <c r="B11730" s="24" t="s">
        <v>1973</v>
      </c>
      <c r="C11730" s="25">
        <v>81000</v>
      </c>
      <c r="D11730" s="22" t="s">
        <v>13992</v>
      </c>
      <c r="E11730" s="22" t="s">
        <v>53</v>
      </c>
      <c r="F11730" s="23" t="str">
        <f>HYPERLINK("https://www.spark-marketing.ru/Card/Lot/70807372", "Оказание охранных услуг")</f>
        <v>Оказание охранных услуг</v>
      </c>
      <c r="G11730" s="22" t="s">
        <v>552</v>
      </c>
      <c r="H11730" s="22" t="s">
        <v>1975</v>
      </c>
      <c r="I11730" s="26">
        <v>43546.731307870403</v>
      </c>
      <c r="J11730" s="28" t="s">
        <v>52</v>
      </c>
      <c r="K11730" s="28" t="s">
        <v>52</v>
      </c>
      <c r="L11730" s="28" t="s">
        <v>52</v>
      </c>
      <c r="M11730" s="28" t="s">
        <v>52</v>
      </c>
      <c r="N11730" s="28" t="s">
        <v>52</v>
      </c>
    </row>
    <row r="11731" spans="1:14" ht="12.75" x14ac:dyDescent="0.2">
      <c r="A11731" s="23" t="str">
        <f>HYPERLINK("https://www.spark-marketing.ru/Card/Person/193037", "АО ""ГАЗПРОМ ГАЗОРАСПРЕДЕЛЕНИЕ КРАСНОДАР""")</f>
        <v>АО "ГАЗПРОМ ГАЗОРАСПРЕДЕЛЕНИЕ КРАСНОДАР"</v>
      </c>
      <c r="B11731" s="24" t="s">
        <v>11069</v>
      </c>
      <c r="C11731" s="25">
        <v>99999.96</v>
      </c>
      <c r="D11731" s="22" t="s">
        <v>13993</v>
      </c>
      <c r="E11731" s="22" t="s">
        <v>1840</v>
      </c>
      <c r="F11731" s="23" t="str">
        <f>HYPERLINK("https://www.spark-marketing.ru/Card/Lot/68952916", "Работа по техническому обслуживанию системы видеонаблюдения")</f>
        <v>Работа по техническому обслуживанию системы видеонаблюдения</v>
      </c>
      <c r="G11731" s="22" t="s">
        <v>132</v>
      </c>
      <c r="H11731" s="22" t="s">
        <v>652</v>
      </c>
      <c r="I11731" s="26">
        <v>43546.690740740698</v>
      </c>
      <c r="J11731" s="23" t="str">
        <f>HYPERLINK("https://www.spark-marketing.ru/Card/Person/1159876", "ООО ""СЕРВИС-СБ""")</f>
        <v>ООО "СЕРВИС-СБ"</v>
      </c>
      <c r="K11731" s="24" t="s">
        <v>13994</v>
      </c>
      <c r="L11731" s="22" t="s">
        <v>10</v>
      </c>
      <c r="M11731" s="25">
        <v>66667</v>
      </c>
      <c r="N11731" s="27">
        <v>0.33332973333189331</v>
      </c>
    </row>
    <row r="11732" spans="1:14" ht="12.75" x14ac:dyDescent="0.2">
      <c r="A11732" s="23" t="str">
        <f>HYPERLINK("https://www.spark-marketing.ru/Card/Person/193037", "АО ""ГАЗПРОМ ГАЗОРАСПРЕДЕЛЕНИЕ КРАСНОДАР""")</f>
        <v>АО "ГАЗПРОМ ГАЗОРАСПРЕДЕЛЕНИЕ КРАСНОДАР"</v>
      </c>
      <c r="B11732" s="24" t="s">
        <v>11069</v>
      </c>
      <c r="C11732" s="25">
        <v>19260</v>
      </c>
      <c r="D11732" s="22" t="s">
        <v>13993</v>
      </c>
      <c r="E11732" s="22" t="s">
        <v>1840</v>
      </c>
      <c r="F11732" s="23" t="str">
        <f>HYPERLINK("https://www.spark-marketing.ru/Card/Lot/68952917", "Работа по техническому обслуживанию системы видеонаблюдения")</f>
        <v>Работа по техническому обслуживанию системы видеонаблюдения</v>
      </c>
      <c r="G11732" s="22" t="s">
        <v>132</v>
      </c>
      <c r="H11732" s="22" t="s">
        <v>652</v>
      </c>
      <c r="I11732" s="26">
        <v>43546.690740740698</v>
      </c>
      <c r="J11732" s="23" t="str">
        <f>HYPERLINK("https://www.spark-marketing.ru/Card/Person/1159876", "ООО ""СЕРВИС-СБ""")</f>
        <v>ООО "СЕРВИС-СБ"</v>
      </c>
      <c r="K11732" s="24" t="s">
        <v>13994</v>
      </c>
      <c r="L11732" s="22" t="s">
        <v>10</v>
      </c>
      <c r="M11732" s="25">
        <v>12840</v>
      </c>
      <c r="N11732" s="27">
        <v>0.33333333333333331</v>
      </c>
    </row>
    <row r="11733" spans="1:14" x14ac:dyDescent="0.15">
      <c r="A11733" s="23" t="str">
        <f>HYPERLINK("https://www.spark-marketing.ru/Card/Person/1762255", "МАДОУ ""ДЕТСКИЙ САД № 37""")</f>
        <v>МАДОУ "ДЕТСКИЙ САД № 37"</v>
      </c>
      <c r="B11733" s="24" t="s">
        <v>13995</v>
      </c>
      <c r="C11733" s="25">
        <v>65835</v>
      </c>
      <c r="D11733" s="22" t="s">
        <v>13996</v>
      </c>
      <c r="E11733" s="22" t="s">
        <v>103</v>
      </c>
      <c r="F11733" s="23" t="str">
        <f>HYPERLINK("https://www.spark-marketing.ru/Card/Lot/68953277", "на оказание услуг по техническому обслуживанию системы видеонаблюдения")</f>
        <v>на оказание услуг по техническому обслуживанию системы видеонаблюдения</v>
      </c>
      <c r="G11733" s="22" t="s">
        <v>50</v>
      </c>
      <c r="H11733" s="22" t="s">
        <v>12149</v>
      </c>
      <c r="I11733" s="26">
        <v>43546.680486111101</v>
      </c>
      <c r="J11733" s="28" t="s">
        <v>52</v>
      </c>
      <c r="K11733" s="28" t="s">
        <v>52</v>
      </c>
      <c r="L11733" s="28" t="s">
        <v>52</v>
      </c>
      <c r="M11733" s="28" t="s">
        <v>52</v>
      </c>
      <c r="N11733" s="28" t="s">
        <v>52</v>
      </c>
    </row>
    <row r="11734" spans="1:14" x14ac:dyDescent="0.15">
      <c r="A11734" s="23" t="str">
        <f>HYPERLINK("https://www.spark-marketing.ru/Card/Person/144619", "ДМС ЗАБАЙКАЛЬСКОГО КРАЯ")</f>
        <v>ДМС ЗАБАЙКАЛЬСКОГО КРАЯ</v>
      </c>
      <c r="B11734" s="24" t="s">
        <v>13997</v>
      </c>
      <c r="C11734" s="25">
        <v>1958337.6</v>
      </c>
      <c r="D11734" s="22" t="s">
        <v>13998</v>
      </c>
      <c r="E11734" s="22" t="s">
        <v>68</v>
      </c>
      <c r="F11734" s="23" t="str">
        <f>HYPERLINK("https://www.spark-marketing.ru/Card/Lot/68938631", "Оказание услуг по централизованной охране Объекта (Объектов) Заказчика")</f>
        <v>Оказание услуг по централизованной охране Объекта (Объектов) Заказчика</v>
      </c>
      <c r="G11734" s="22" t="s">
        <v>473</v>
      </c>
      <c r="H11734" s="22" t="s">
        <v>473</v>
      </c>
      <c r="I11734" s="26">
        <v>43546.686805555597</v>
      </c>
      <c r="J11734" s="28" t="s">
        <v>52</v>
      </c>
      <c r="K11734" s="28" t="s">
        <v>52</v>
      </c>
      <c r="L11734" s="28" t="s">
        <v>52</v>
      </c>
      <c r="M11734" s="28" t="s">
        <v>52</v>
      </c>
      <c r="N11734" s="28" t="s">
        <v>52</v>
      </c>
    </row>
    <row r="11735" spans="1:14" x14ac:dyDescent="0.15">
      <c r="A11735" s="23" t="str">
        <f>HYPERLINK("https://www.spark-marketing.ru/Card/Person/1781189", "ПАО ""ВЫСОЧАЙШИЙ""")</f>
        <v>ПАО "ВЫСОЧАЙШИЙ"</v>
      </c>
      <c r="B11735" s="24" t="s">
        <v>784</v>
      </c>
      <c r="C11735" s="25">
        <v>0</v>
      </c>
      <c r="D11735" s="22" t="s">
        <v>13999</v>
      </c>
      <c r="E11735" s="22" t="s">
        <v>208</v>
      </c>
      <c r="F11735" s="23" t="str">
        <f>HYPERLINK("https://www.spark-marketing.ru/Card/Lot/68959985", "Поставка шлагбаумов для оснащения постов охраны 3-х объектов ПАО «Высочайший»")</f>
        <v>Поставка шлагбаумов для оснащения постов охраны 3-х объектов ПАО «Высочайший»</v>
      </c>
      <c r="G11735" s="22" t="s">
        <v>354</v>
      </c>
      <c r="H11735" s="22" t="s">
        <v>787</v>
      </c>
      <c r="I11735" s="26">
        <v>43546.704872685201</v>
      </c>
      <c r="J11735" s="28" t="s">
        <v>52</v>
      </c>
      <c r="K11735" s="28" t="s">
        <v>52</v>
      </c>
      <c r="L11735" s="28" t="s">
        <v>52</v>
      </c>
      <c r="M11735" s="28" t="s">
        <v>52</v>
      </c>
      <c r="N11735" s="28" t="s">
        <v>52</v>
      </c>
    </row>
    <row r="11736" spans="1:14" x14ac:dyDescent="0.15">
      <c r="A11736" s="23" t="str">
        <f>HYPERLINK("https://www.spark-marketing.ru/Card/Person/33453", "МКУ ""ТУ ""МЫТИЩИНСКОЕ""")</f>
        <v>МКУ "ТУ "МЫТИЩИНСКОЕ"</v>
      </c>
      <c r="B11736" s="24" t="s">
        <v>4307</v>
      </c>
      <c r="C11736" s="25">
        <v>96000</v>
      </c>
      <c r="D11736" s="22" t="s">
        <v>14000</v>
      </c>
      <c r="E11736" s="22" t="s">
        <v>746</v>
      </c>
      <c r="F11736" s="23" t="str">
        <f>HYPERLINK("https://www.spark-marketing.ru/Card/Lot/68949753", "Оказание услуг по обслуживанию средств охранной сигнализации и охранные услуги в административных зданиях")</f>
        <v>Оказание услуг по обслуживанию средств охранной сигнализации и охранные услуги в административных зданиях</v>
      </c>
      <c r="G11736" s="22" t="s">
        <v>50</v>
      </c>
      <c r="H11736" s="22" t="s">
        <v>323</v>
      </c>
      <c r="I11736" s="26">
        <v>43546.638796296298</v>
      </c>
      <c r="J11736" s="28" t="s">
        <v>52</v>
      </c>
      <c r="K11736" s="28" t="s">
        <v>52</v>
      </c>
      <c r="L11736" s="28" t="s">
        <v>52</v>
      </c>
      <c r="M11736" s="28" t="s">
        <v>52</v>
      </c>
      <c r="N11736" s="28" t="s">
        <v>52</v>
      </c>
    </row>
    <row r="11737" spans="1:14" x14ac:dyDescent="0.15">
      <c r="A11737" s="23" t="str">
        <f>HYPERLINK("https://www.spark-marketing.ru/Card/Person/1766421", "МАОУ ДО ДШИ ИМ.Н.Н.КАЛИНИНА")</f>
        <v>МАОУ ДО ДШИ ИМ.Н.Н.КАЛИНИНА</v>
      </c>
      <c r="B11737" s="24" t="s">
        <v>12416</v>
      </c>
      <c r="C11737" s="25">
        <v>270050.67</v>
      </c>
      <c r="D11737" s="22" t="s">
        <v>14001</v>
      </c>
      <c r="E11737" s="22" t="s">
        <v>691</v>
      </c>
      <c r="F11737" s="23" t="str">
        <f>HYPERLINK("https://www.spark-marketing.ru/Card/Lot/68947640", "Оказание услуг по установке системы видеонаблюдения")</f>
        <v>Оказание услуг по установке системы видеонаблюдения</v>
      </c>
      <c r="G11737" s="22" t="s">
        <v>50</v>
      </c>
      <c r="H11737" s="22" t="s">
        <v>50</v>
      </c>
      <c r="I11737" s="26">
        <v>43546.639733796299</v>
      </c>
      <c r="J11737" s="28" t="s">
        <v>52</v>
      </c>
      <c r="K11737" s="28" t="s">
        <v>52</v>
      </c>
      <c r="L11737" s="28" t="s">
        <v>52</v>
      </c>
      <c r="M11737" s="28" t="s">
        <v>52</v>
      </c>
      <c r="N11737" s="28" t="s">
        <v>52</v>
      </c>
    </row>
    <row r="11738" spans="1:14" hidden="1" outlineLevel="1" x14ac:dyDescent="0.2">
      <c r="A11738" s="23" t="str">
        <f>HYPERLINK("https://www.spark-marketing.ru/Card/Person/1766421", "МАОУ ДО ДШИ ИМ.Н.Н.КАЛИНИНА")</f>
        <v>МАОУ ДО ДШИ ИМ.Н.Н.КАЛИНИНА</v>
      </c>
      <c r="B11738" s="24" t="s">
        <v>12416</v>
      </c>
      <c r="C11738" s="28" t="s">
        <v>52</v>
      </c>
      <c r="D11738" s="22" t="s">
        <v>14001</v>
      </c>
      <c r="E11738" s="22" t="s">
        <v>691</v>
      </c>
      <c r="F11738" s="23" t="str">
        <f>HYPERLINK("https://www.spark-marketing.ru/Card/Lot/68947640", "Оказание услуг по установке системы видеонаблюдения")</f>
        <v>Оказание услуг по установке системы видеонаблюдения</v>
      </c>
      <c r="G11738" s="22" t="s">
        <v>50</v>
      </c>
      <c r="H11738" s="22" t="s">
        <v>50</v>
      </c>
      <c r="I11738" s="26">
        <v>43546.639733796299</v>
      </c>
      <c r="J11738" s="23" t="str">
        <f>HYPERLINK("https://www.spark-marketing.ru/Card/Person/4855697", "Перебейносов Алексей Игоревич")</f>
        <v>Перебейносов Алексей Игоревич</v>
      </c>
      <c r="K11738" s="24" t="s">
        <v>2716</v>
      </c>
      <c r="L11738" s="28" t="s">
        <v>52</v>
      </c>
      <c r="M11738" s="25">
        <v>220900</v>
      </c>
      <c r="N11738" s="27">
        <v>0.18200536217888294</v>
      </c>
    </row>
    <row r="11739" spans="1:14" hidden="1" outlineLevel="1" x14ac:dyDescent="0.2">
      <c r="A11739" s="23" t="str">
        <f>HYPERLINK("https://www.spark-marketing.ru/Card/Person/1766421", "МАОУ ДО ДШИ ИМ.Н.Н.КАЛИНИНА")</f>
        <v>МАОУ ДО ДШИ ИМ.Н.Н.КАЛИНИНА</v>
      </c>
      <c r="B11739" s="24" t="s">
        <v>12416</v>
      </c>
      <c r="C11739" s="28" t="s">
        <v>52</v>
      </c>
      <c r="D11739" s="22" t="s">
        <v>14001</v>
      </c>
      <c r="E11739" s="22" t="s">
        <v>691</v>
      </c>
      <c r="F11739" s="23" t="str">
        <f>HYPERLINK("https://www.spark-marketing.ru/Card/Lot/68947640", "Оказание услуг по установке системы видеонаблюдения")</f>
        <v>Оказание услуг по установке системы видеонаблюдения</v>
      </c>
      <c r="G11739" s="22" t="s">
        <v>50</v>
      </c>
      <c r="H11739" s="22" t="s">
        <v>50</v>
      </c>
      <c r="I11739" s="26">
        <v>43546.639733796299</v>
      </c>
      <c r="J11739" s="23" t="str">
        <f>HYPERLINK("https://www.spark-marketing.ru/Card/Person/6513523", "ООО ""СУМУС""")</f>
        <v>ООО "СУМУС"</v>
      </c>
      <c r="K11739" s="24" t="s">
        <v>14002</v>
      </c>
      <c r="L11739" s="28" t="s">
        <v>52</v>
      </c>
      <c r="M11739" s="25">
        <v>247000</v>
      </c>
      <c r="N11739" s="27">
        <v>8.5356833219484327E-2</v>
      </c>
    </row>
    <row r="11740" spans="1:14" x14ac:dyDescent="0.15">
      <c r="A11740" s="23" t="str">
        <f>HYPERLINK("https://www.spark-marketing.ru/Card/Person/5224", "ФКУ ""ЦХИСО ГУ МВД РОССИИ ПО РОСТОВСКОЙ ОБЛАСТИ""")</f>
        <v>ФКУ "ЦХИСО ГУ МВД РОССИИ ПО РОСТОВСКОЙ ОБЛАСТИ"</v>
      </c>
      <c r="B11740" s="24" t="s">
        <v>4377</v>
      </c>
      <c r="C11740" s="25">
        <v>62820</v>
      </c>
      <c r="D11740" s="22" t="s">
        <v>14003</v>
      </c>
      <c r="E11740" s="22" t="s">
        <v>84</v>
      </c>
      <c r="F11740" s="23" t="str">
        <f>HYPERLINK("https://www.spark-marketing.ru/Card/Lot/70176560", "установка систем охранного видеонаблюдения 16 каналов, 1 шт")</f>
        <v>установка систем охранного видеонаблюдения 16 каналов, 1 шт</v>
      </c>
      <c r="G11740" s="22" t="s">
        <v>402</v>
      </c>
      <c r="H11740" s="22" t="s">
        <v>403</v>
      </c>
      <c r="I11740" s="26">
        <v>43546.653252314798</v>
      </c>
      <c r="J11740" s="28" t="s">
        <v>52</v>
      </c>
      <c r="K11740" s="28" t="s">
        <v>52</v>
      </c>
      <c r="L11740" s="28" t="s">
        <v>52</v>
      </c>
      <c r="M11740" s="28" t="s">
        <v>52</v>
      </c>
      <c r="N11740" s="28" t="s">
        <v>52</v>
      </c>
    </row>
    <row r="11741" spans="1:14" x14ac:dyDescent="0.15">
      <c r="A11741" s="23" t="str">
        <f>HYPERLINK("https://www.spark-marketing.ru/Card/Person/6219431", "МАУ Г. НИЖНЕВАРТОВСКА ""СШ""")</f>
        <v>МАУ Г. НИЖНЕВАРТОВСКА "СШ"</v>
      </c>
      <c r="B11741" s="24" t="s">
        <v>2780</v>
      </c>
      <c r="C11741" s="25">
        <v>121747.26</v>
      </c>
      <c r="D11741" s="22" t="s">
        <v>14004</v>
      </c>
      <c r="E11741" s="22" t="s">
        <v>49</v>
      </c>
      <c r="F11741" s="23" t="str">
        <f>HYPERLINK("https://www.spark-marketing.ru/Card/Lot/68945674", "Выполнение работ по техническому обслуживанию систем видеонаблюдения")</f>
        <v>Выполнение работ по техническому обслуживанию систем видеонаблюдения</v>
      </c>
      <c r="G11741" s="22" t="s">
        <v>119</v>
      </c>
      <c r="H11741" s="22" t="s">
        <v>119</v>
      </c>
      <c r="I11741" s="26">
        <v>43546.663101851896</v>
      </c>
      <c r="J11741" s="28" t="s">
        <v>52</v>
      </c>
      <c r="K11741" s="28" t="s">
        <v>52</v>
      </c>
      <c r="L11741" s="28" t="s">
        <v>52</v>
      </c>
      <c r="M11741" s="28" t="s">
        <v>52</v>
      </c>
      <c r="N11741" s="28" t="s">
        <v>52</v>
      </c>
    </row>
    <row r="11742" spans="1:14" x14ac:dyDescent="0.15">
      <c r="A11742" s="23" t="str">
        <f>HYPERLINK("https://www.spark-marketing.ru/Card/Person/4347064", "ЗАКОНОДАТЕЛЬНОЕ СОБРАНИЕ САНКТ-ПЕТЕРБУРГА")</f>
        <v>ЗАКОНОДАТЕЛЬНОЕ СОБРАНИЕ САНКТ-ПЕТЕРБУРГА</v>
      </c>
      <c r="B11742" s="24" t="s">
        <v>1761</v>
      </c>
      <c r="C11742" s="25">
        <v>1083573.3600000001</v>
      </c>
      <c r="D11742" s="22" t="s">
        <v>14005</v>
      </c>
      <c r="E11742" s="22" t="s">
        <v>14006</v>
      </c>
      <c r="F11742" s="23" t="str">
        <f>HYPERLINK("https://www.spark-marketing.ru/Card/Lot/68957925", "Поставка электротехнических материалов")</f>
        <v>Поставка электротехнических материалов</v>
      </c>
      <c r="G11742" s="22" t="s">
        <v>89</v>
      </c>
      <c r="H11742" s="22" t="s">
        <v>89</v>
      </c>
      <c r="I11742" s="26">
        <v>43546.636805555601</v>
      </c>
      <c r="J11742" s="28" t="s">
        <v>52</v>
      </c>
      <c r="K11742" s="28" t="s">
        <v>52</v>
      </c>
      <c r="L11742" s="28" t="s">
        <v>52</v>
      </c>
      <c r="M11742" s="28" t="s">
        <v>52</v>
      </c>
      <c r="N11742" s="28" t="s">
        <v>52</v>
      </c>
    </row>
    <row r="11743" spans="1:14" hidden="1" outlineLevel="1" x14ac:dyDescent="0.2">
      <c r="A11743" s="23" t="str">
        <f>HYPERLINK("https://www.spark-marketing.ru/Card/Person/4347064", "ЗАКОНОДАТЕЛЬНОЕ СОБРАНИЕ САНКТ-ПЕТЕРБУРГА")</f>
        <v>ЗАКОНОДАТЕЛЬНОЕ СОБРАНИЕ САНКТ-ПЕТЕРБУРГА</v>
      </c>
      <c r="B11743" s="24" t="s">
        <v>1761</v>
      </c>
      <c r="C11743" s="25">
        <v>1083573.3600000001</v>
      </c>
      <c r="D11743" s="22" t="s">
        <v>14005</v>
      </c>
      <c r="E11743" s="22" t="s">
        <v>14006</v>
      </c>
      <c r="F11743" s="23" t="str">
        <f>HYPERLINK("https://www.spark-marketing.ru/Card/Lot/68957925", "Поставка электротехнических материалов")</f>
        <v>Поставка электротехнических материалов</v>
      </c>
      <c r="G11743" s="22" t="s">
        <v>89</v>
      </c>
      <c r="H11743" s="22" t="s">
        <v>89</v>
      </c>
      <c r="I11743" s="26">
        <v>43546.636805555601</v>
      </c>
      <c r="J11743" s="23" t="str">
        <f>HYPERLINK("https://www.spark-marketing.ru/Card/Person/126847", "ООО ""ЭНЕРГИЯ""")</f>
        <v>ООО "ЭНЕРГИЯ"</v>
      </c>
      <c r="K11743" s="24" t="s">
        <v>14007</v>
      </c>
      <c r="L11743" s="28" t="s">
        <v>52</v>
      </c>
      <c r="M11743" s="25">
        <v>867492.78</v>
      </c>
      <c r="N11743" s="27">
        <v>0.19941481396331118</v>
      </c>
    </row>
    <row r="11744" spans="1:14" ht="12.75" hidden="1" outlineLevel="1" x14ac:dyDescent="0.2">
      <c r="A11744" s="23" t="str">
        <f>HYPERLINK("https://www.spark-marketing.ru/Card/Person/4347064", "ЗАКОНОДАТЕЛЬНОЕ СОБРАНИЕ САНКТ-ПЕТЕРБУРГА")</f>
        <v>ЗАКОНОДАТЕЛЬНОЕ СОБРАНИЕ САНКТ-ПЕТЕРБУРГА</v>
      </c>
      <c r="B11744" s="24" t="s">
        <v>1761</v>
      </c>
      <c r="C11744" s="25">
        <v>1083573.3600000001</v>
      </c>
      <c r="D11744" s="22" t="s">
        <v>14005</v>
      </c>
      <c r="E11744" s="22" t="s">
        <v>14006</v>
      </c>
      <c r="F11744" s="23" t="str">
        <f>HYPERLINK("https://www.spark-marketing.ru/Card/Lot/68957925", "Поставка электротехнических материалов")</f>
        <v>Поставка электротехнических материалов</v>
      </c>
      <c r="G11744" s="22" t="s">
        <v>89</v>
      </c>
      <c r="H11744" s="22" t="s">
        <v>89</v>
      </c>
      <c r="I11744" s="26">
        <v>43546.636805555601</v>
      </c>
      <c r="J11744" s="23" t="str">
        <f>HYPERLINK("https://www.spark-marketing.ru/Card/Person/6501176", "Дмитриев Олег Евгеньевич")</f>
        <v>Дмитриев Олег Евгеньевич</v>
      </c>
      <c r="K11744" s="24" t="s">
        <v>14008</v>
      </c>
      <c r="L11744" s="22" t="s">
        <v>10</v>
      </c>
      <c r="M11744" s="25">
        <v>730000</v>
      </c>
      <c r="N11744" s="27">
        <v>0.32630311250915212</v>
      </c>
    </row>
    <row r="11745" spans="1:14" hidden="1" outlineLevel="1" x14ac:dyDescent="0.2">
      <c r="A11745" s="23" t="str">
        <f>HYPERLINK("https://www.spark-marketing.ru/Card/Person/4347064", "ЗАКОНОДАТЕЛЬНОЕ СОБРАНИЕ САНКТ-ПЕТЕРБУРГА")</f>
        <v>ЗАКОНОДАТЕЛЬНОЕ СОБРАНИЕ САНКТ-ПЕТЕРБУРГА</v>
      </c>
      <c r="B11745" s="24" t="s">
        <v>1761</v>
      </c>
      <c r="C11745" s="25">
        <v>1083573.3600000001</v>
      </c>
      <c r="D11745" s="22" t="s">
        <v>14005</v>
      </c>
      <c r="E11745" s="22" t="s">
        <v>14006</v>
      </c>
      <c r="F11745" s="23" t="str">
        <f>HYPERLINK("https://www.spark-marketing.ru/Card/Lot/68957925", "Поставка электротехнических материалов")</f>
        <v>Поставка электротехнических материалов</v>
      </c>
      <c r="G11745" s="22" t="s">
        <v>89</v>
      </c>
      <c r="H11745" s="22" t="s">
        <v>89</v>
      </c>
      <c r="I11745" s="26">
        <v>43546.636805555601</v>
      </c>
      <c r="J11745" s="23" t="str">
        <f>HYPERLINK("https://www.spark-marketing.ru/Card/Person/6223136", "ООО ""КАСКАД""")</f>
        <v>ООО "КАСКАД"</v>
      </c>
      <c r="K11745" s="24" t="s">
        <v>14009</v>
      </c>
      <c r="L11745" s="28" t="s">
        <v>52</v>
      </c>
      <c r="M11745" s="25">
        <v>1061901.8799999999</v>
      </c>
      <c r="N11745" s="27">
        <v>2.0000011812767341E-2</v>
      </c>
    </row>
    <row r="11746" spans="1:14" hidden="1" outlineLevel="1" x14ac:dyDescent="0.2">
      <c r="A11746" s="23" t="str">
        <f>HYPERLINK("https://www.spark-marketing.ru/Card/Person/4347064", "ЗАКОНОДАТЕЛЬНОЕ СОБРАНИЕ САНКТ-ПЕТЕРБУРГА")</f>
        <v>ЗАКОНОДАТЕЛЬНОЕ СОБРАНИЕ САНКТ-ПЕТЕРБУРГА</v>
      </c>
      <c r="B11746" s="24" t="s">
        <v>1761</v>
      </c>
      <c r="C11746" s="25">
        <v>1083573.3600000001</v>
      </c>
      <c r="D11746" s="22" t="s">
        <v>14005</v>
      </c>
      <c r="E11746" s="22" t="s">
        <v>14006</v>
      </c>
      <c r="F11746" s="23" t="str">
        <f>HYPERLINK("https://www.spark-marketing.ru/Card/Lot/68957925", "Поставка электротехнических материалов")</f>
        <v>Поставка электротехнических материалов</v>
      </c>
      <c r="G11746" s="22" t="s">
        <v>89</v>
      </c>
      <c r="H11746" s="22" t="s">
        <v>89</v>
      </c>
      <c r="I11746" s="26">
        <v>43546.636805555601</v>
      </c>
      <c r="J11746" s="23" t="str">
        <f>HYPERLINK("https://www.spark-marketing.ru/Card/Person/289346", "ООО ""КОМПЛЕКТАЦИЯ СПБ""")</f>
        <v>ООО "КОМПЛЕКТАЦИЯ СПБ"</v>
      </c>
      <c r="K11746" s="24" t="s">
        <v>14010</v>
      </c>
      <c r="L11746" s="28" t="s">
        <v>52</v>
      </c>
      <c r="M11746" s="25">
        <v>744582.13</v>
      </c>
      <c r="N11746" s="27">
        <v>0.31284566648999196</v>
      </c>
    </row>
    <row r="11747" spans="1:14" x14ac:dyDescent="0.15">
      <c r="A11747" s="23" t="str">
        <f>HYPERLINK("https://www.spark-marketing.ru/Card/Person/1683079", "ООО ""ЧОП ""КЕННАРД""")</f>
        <v>ООО "ЧОП "КЕННАРД"</v>
      </c>
      <c r="B11747" s="24" t="s">
        <v>1949</v>
      </c>
      <c r="C11747" s="25">
        <v>292464</v>
      </c>
      <c r="D11747" s="22" t="s">
        <v>14011</v>
      </c>
      <c r="E11747" s="22" t="s">
        <v>53</v>
      </c>
      <c r="F11747" s="23" t="str">
        <f>HYPERLINK("https://www.spark-marketing.ru/Card/Lot/68963372", "Опора ООС 4 метра для установки камер CCTV OOC-02-4")</f>
        <v>Опора ООС 4 метра для установки камер CCTV OOC-02-4</v>
      </c>
      <c r="G11747" s="22" t="s">
        <v>204</v>
      </c>
      <c r="H11747" s="22" t="s">
        <v>303</v>
      </c>
      <c r="I11747" s="26">
        <v>43546.618923611102</v>
      </c>
      <c r="J11747" s="28" t="s">
        <v>52</v>
      </c>
      <c r="K11747" s="28" t="s">
        <v>52</v>
      </c>
      <c r="L11747" s="28" t="s">
        <v>52</v>
      </c>
      <c r="M11747" s="28" t="s">
        <v>52</v>
      </c>
      <c r="N11747" s="28" t="s">
        <v>52</v>
      </c>
    </row>
    <row r="11748" spans="1:14" x14ac:dyDescent="0.15">
      <c r="A11748" s="23" t="str">
        <f>HYPERLINK("https://www.spark-marketing.ru/Card/Person/14499", "ГБУЗ ""ГКБ ИМ. И.В. ДАВЫДОВСКОГО ДЗМ""")</f>
        <v>ГБУЗ "ГКБ ИМ. И.В. ДАВЫДОВСКОГО ДЗМ"</v>
      </c>
      <c r="B11748" s="24" t="s">
        <v>14012</v>
      </c>
      <c r="C11748" s="25">
        <v>8935122.5299999993</v>
      </c>
      <c r="D11748" s="22" t="s">
        <v>14013</v>
      </c>
      <c r="E11748" s="22" t="s">
        <v>3069</v>
      </c>
      <c r="F11748" s="23" t="str">
        <f>HYPERLINK("https://www.spark-marketing.ru/Card/Lot/68951460", "Аукцион в электронной форме на поставку, установку и ввод в эксплуатацию комплекса для видеоларингоскопии в рамках реализации Государственной программы города Москвы «Развитие здравоохранения города Москвы (Столичное здравоохранение)» (ПСЗ2018-582)")</f>
        <v>Аукцион в электронной форме на поставку, установку и ввод в эксплуатацию комплекса для видеоларингоскопии в рамках реализации Государственной программы города Москвы «Развитие здравоохранения города Москвы (Столичное здравоохранение)» (ПСЗ2018-582)</v>
      </c>
      <c r="G11748" s="22" t="s">
        <v>55</v>
      </c>
      <c r="H11748" s="22" t="s">
        <v>55</v>
      </c>
      <c r="I11748" s="26">
        <v>43546.583333333299</v>
      </c>
      <c r="J11748" s="28" t="s">
        <v>52</v>
      </c>
      <c r="K11748" s="28" t="s">
        <v>52</v>
      </c>
      <c r="L11748" s="28" t="s">
        <v>52</v>
      </c>
      <c r="M11748" s="28" t="s">
        <v>52</v>
      </c>
      <c r="N11748" s="28" t="s">
        <v>52</v>
      </c>
    </row>
    <row r="11749" spans="1:14" ht="12.75" hidden="1" outlineLevel="1" x14ac:dyDescent="0.2">
      <c r="A11749" s="23" t="str">
        <f>HYPERLINK("https://www.spark-marketing.ru/Card/Person/14499", "ГБУЗ ""ГКБ ИМ. И.В. ДАВЫДОВСКОГО ДЗМ""")</f>
        <v>ГБУЗ "ГКБ ИМ. И.В. ДАВЫДОВСКОГО ДЗМ"</v>
      </c>
      <c r="B11749" s="24" t="s">
        <v>14012</v>
      </c>
      <c r="C11749" s="25">
        <v>8935122.5299999993</v>
      </c>
      <c r="D11749" s="22" t="s">
        <v>14013</v>
      </c>
      <c r="E11749" s="22" t="s">
        <v>3069</v>
      </c>
      <c r="F11749" s="23" t="str">
        <f>HYPERLINK("https://www.spark-marketing.ru/Card/Lot/68951460", "Аукцион в электронной форме на поставку, установку и ввод в эксплуатацию комплекса для видеоларингоскопии в рамках реализации Государственной программы города Москвы «Развитие здравоохранения города Москвы (Столичное здравоохранение)» (ПСЗ2018-582)")</f>
        <v>Аукцион в электронной форме на поставку, установку и ввод в эксплуатацию комплекса для видеоларингоскопии в рамках реализации Государственной программы города Москвы «Развитие здравоохранения города Москвы (Столичное здравоохранение)» (ПСЗ2018-582)</v>
      </c>
      <c r="G11749" s="22" t="s">
        <v>55</v>
      </c>
      <c r="H11749" s="22" t="s">
        <v>55</v>
      </c>
      <c r="I11749" s="26">
        <v>43546.583333333299</v>
      </c>
      <c r="J11749" s="23" t="str">
        <f>HYPERLINK("https://www.spark-marketing.ru/Card/Person/6223078", "АО ""МЕДИНВЕСТ""")</f>
        <v>АО "МЕДИНВЕСТ"</v>
      </c>
      <c r="K11749" s="24" t="s">
        <v>14014</v>
      </c>
      <c r="L11749" s="22" t="s">
        <v>10</v>
      </c>
      <c r="M11749" s="25">
        <v>8845771.3100000005</v>
      </c>
      <c r="N11749" s="27">
        <v>9.999999406835219E-3</v>
      </c>
    </row>
    <row r="11750" spans="1:14" hidden="1" outlineLevel="1" x14ac:dyDescent="0.2">
      <c r="A11750" s="23" t="str">
        <f>HYPERLINK("https://www.spark-marketing.ru/Card/Person/14499", "ГБУЗ ""ГКБ ИМ. И.В. ДАВЫДОВСКОГО ДЗМ""")</f>
        <v>ГБУЗ "ГКБ ИМ. И.В. ДАВЫДОВСКОГО ДЗМ"</v>
      </c>
      <c r="B11750" s="24" t="s">
        <v>14012</v>
      </c>
      <c r="C11750" s="25">
        <v>8935122.5299999993</v>
      </c>
      <c r="D11750" s="22" t="s">
        <v>14013</v>
      </c>
      <c r="E11750" s="22" t="s">
        <v>3069</v>
      </c>
      <c r="F11750" s="23" t="str">
        <f>HYPERLINK("https://www.spark-marketing.ru/Card/Lot/68951460", "Аукцион в электронной форме на поставку, установку и ввод в эксплуатацию комплекса для видеоларингоскопии в рамках реализации Государственной программы города Москвы «Развитие здравоохранения города Москвы (Столичное здравоохранение)» (ПСЗ2018-582)")</f>
        <v>Аукцион в электронной форме на поставку, установку и ввод в эксплуатацию комплекса для видеоларингоскопии в рамках реализации Государственной программы города Москвы «Развитие здравоохранения города Москвы (Столичное здравоохранение)» (ПСЗ2018-582)</v>
      </c>
      <c r="G11750" s="22" t="s">
        <v>55</v>
      </c>
      <c r="H11750" s="22" t="s">
        <v>55</v>
      </c>
      <c r="I11750" s="26">
        <v>43546.583333333299</v>
      </c>
      <c r="J11750" s="23" t="str">
        <f>HYPERLINK("https://www.spark-marketing.ru/Card/Person/141082", "ООО ""БАТ""")</f>
        <v>ООО "БАТ"</v>
      </c>
      <c r="K11750" s="24" t="s">
        <v>14015</v>
      </c>
      <c r="L11750" s="28" t="s">
        <v>52</v>
      </c>
      <c r="M11750" s="25">
        <v>8890446.9199999999</v>
      </c>
      <c r="N11750" s="27">
        <v>4.9999997034176095E-3</v>
      </c>
    </row>
    <row r="11751" spans="1:14" x14ac:dyDescent="0.15">
      <c r="A11751" s="23" t="str">
        <f>HYPERLINK("https://www.spark-marketing.ru/Card/Person/128097", "МБОУ ""ШКОЛА № 25""")</f>
        <v>МБОУ "ШКОЛА № 25"</v>
      </c>
      <c r="B11751" s="24" t="s">
        <v>10280</v>
      </c>
      <c r="C11751" s="25">
        <v>399990</v>
      </c>
      <c r="D11751" s="22" t="s">
        <v>14016</v>
      </c>
      <c r="E11751" s="22" t="s">
        <v>84</v>
      </c>
      <c r="F11751" s="23" t="str">
        <f>HYPERLINK("https://www.spark-marketing.ru/Card/Lot/68945640", "Установка видеонаблюдения в ОУ")</f>
        <v>Установка видеонаблюдения в ОУ</v>
      </c>
      <c r="G11751" s="22" t="s">
        <v>50</v>
      </c>
      <c r="H11751" s="22" t="s">
        <v>432</v>
      </c>
      <c r="I11751" s="26">
        <v>43546.6078472222</v>
      </c>
      <c r="J11751" s="28" t="s">
        <v>52</v>
      </c>
      <c r="K11751" s="28" t="s">
        <v>52</v>
      </c>
      <c r="L11751" s="28" t="s">
        <v>52</v>
      </c>
      <c r="M11751" s="28" t="s">
        <v>52</v>
      </c>
      <c r="N11751" s="28" t="s">
        <v>52</v>
      </c>
    </row>
    <row r="11752" spans="1:14" x14ac:dyDescent="0.15">
      <c r="A11752" s="23" t="str">
        <f t="shared" ref="A11752:A11758" si="606">HYPERLINK("https://www.spark-marketing.ru/Card/Person/12848", "УКХ И Б АДМИНИСТРАЦИИ Г. УФЫ")</f>
        <v>УКХ И Б АДМИНИСТРАЦИИ Г. УФЫ</v>
      </c>
      <c r="B11752" s="24" t="s">
        <v>14017</v>
      </c>
      <c r="C11752" s="25">
        <v>2500000</v>
      </c>
      <c r="D11752" s="22" t="s">
        <v>14018</v>
      </c>
      <c r="E11752" s="22" t="s">
        <v>52</v>
      </c>
      <c r="F11752" s="23" t="str">
        <f t="shared" ref="F11752:F11758" si="607">HYPERLINK("https://www.spark-marketing.ru/Card/Lot/68951056", "Оказание услуг по разработке Планов обеспечения транспортной безопасности объектов транспортной инфраструктуры городского округа город Уфа Республики Башкортостан")</f>
        <v>Оказание услуг по разработке Планов обеспечения транспортной безопасности объектов транспортной инфраструктуры городского округа город Уфа Республики Башкортостан</v>
      </c>
      <c r="G11752" s="22" t="s">
        <v>100</v>
      </c>
      <c r="H11752" s="22" t="s">
        <v>373</v>
      </c>
      <c r="I11752" s="26">
        <v>43546.624305555597</v>
      </c>
      <c r="J11752" s="28" t="s">
        <v>52</v>
      </c>
      <c r="K11752" s="28" t="s">
        <v>52</v>
      </c>
      <c r="L11752" s="28" t="s">
        <v>52</v>
      </c>
      <c r="M11752" s="28" t="s">
        <v>52</v>
      </c>
      <c r="N11752" s="28" t="s">
        <v>52</v>
      </c>
    </row>
    <row r="11753" spans="1:14" hidden="1" outlineLevel="1" x14ac:dyDescent="0.2">
      <c r="A11753" s="23" t="str">
        <f t="shared" si="606"/>
        <v>УКХ И Б АДМИНИСТРАЦИИ Г. УФЫ</v>
      </c>
      <c r="B11753" s="24" t="s">
        <v>14017</v>
      </c>
      <c r="C11753" s="25">
        <v>2500000</v>
      </c>
      <c r="D11753" s="22" t="s">
        <v>14018</v>
      </c>
      <c r="E11753" s="22" t="s">
        <v>52</v>
      </c>
      <c r="F11753" s="23" t="str">
        <f t="shared" si="607"/>
        <v>Оказание услуг по разработке Планов обеспечения транспортной безопасности объектов транспортной инфраструктуры городского округа город Уфа Республики Башкортостан</v>
      </c>
      <c r="G11753" s="22" t="s">
        <v>100</v>
      </c>
      <c r="H11753" s="22" t="s">
        <v>373</v>
      </c>
      <c r="I11753" s="26">
        <v>43546.624305555597</v>
      </c>
      <c r="J11753" s="23" t="str">
        <f>HYPERLINK("https://www.spark-marketing.ru/Card/Person/1978058", "ООО ""ФОРМУЛА БЕЗОПАСНОСТИ ТРАНСПОРТА""")</f>
        <v>ООО "ФОРМУЛА БЕЗОПАСНОСТИ ТРАНСПОРТА"</v>
      </c>
      <c r="K11753" s="24" t="s">
        <v>3385</v>
      </c>
      <c r="L11753" s="28" t="s">
        <v>52</v>
      </c>
      <c r="M11753" s="25">
        <v>1437500</v>
      </c>
      <c r="N11753" s="27">
        <v>0.42499999999999999</v>
      </c>
    </row>
    <row r="11754" spans="1:14" hidden="1" outlineLevel="1" x14ac:dyDescent="0.2">
      <c r="A11754" s="23" t="str">
        <f t="shared" si="606"/>
        <v>УКХ И Б АДМИНИСТРАЦИИ Г. УФЫ</v>
      </c>
      <c r="B11754" s="24" t="s">
        <v>14017</v>
      </c>
      <c r="C11754" s="25">
        <v>2500000</v>
      </c>
      <c r="D11754" s="22" t="s">
        <v>14018</v>
      </c>
      <c r="E11754" s="22" t="s">
        <v>52</v>
      </c>
      <c r="F11754" s="23" t="str">
        <f t="shared" si="607"/>
        <v>Оказание услуг по разработке Планов обеспечения транспортной безопасности объектов транспортной инфраструктуры городского округа город Уфа Республики Башкортостан</v>
      </c>
      <c r="G11754" s="22" t="s">
        <v>100</v>
      </c>
      <c r="H11754" s="22" t="s">
        <v>373</v>
      </c>
      <c r="I11754" s="26">
        <v>43546.624305555597</v>
      </c>
      <c r="J11754" s="23" t="str">
        <f>HYPERLINK("https://www.spark-marketing.ru/Card/Person/20706", "ООО ""ЦВБ""")</f>
        <v>ООО "ЦВБ"</v>
      </c>
      <c r="K11754" s="24" t="s">
        <v>2872</v>
      </c>
      <c r="L11754" s="28" t="s">
        <v>52</v>
      </c>
      <c r="M11754" s="25">
        <v>1412500</v>
      </c>
      <c r="N11754" s="27">
        <v>0.435</v>
      </c>
    </row>
    <row r="11755" spans="1:14" hidden="1" outlineLevel="1" x14ac:dyDescent="0.2">
      <c r="A11755" s="23" t="str">
        <f t="shared" si="606"/>
        <v>УКХ И Б АДМИНИСТРАЦИИ Г. УФЫ</v>
      </c>
      <c r="B11755" s="24" t="s">
        <v>14017</v>
      </c>
      <c r="C11755" s="25">
        <v>2500000</v>
      </c>
      <c r="D11755" s="22" t="s">
        <v>14018</v>
      </c>
      <c r="E11755" s="22" t="s">
        <v>52</v>
      </c>
      <c r="F11755" s="23" t="str">
        <f t="shared" si="607"/>
        <v>Оказание услуг по разработке Планов обеспечения транспортной безопасности объектов транспортной инфраструктуры городского округа город Уфа Республики Башкортостан</v>
      </c>
      <c r="G11755" s="22" t="s">
        <v>100</v>
      </c>
      <c r="H11755" s="22" t="s">
        <v>373</v>
      </c>
      <c r="I11755" s="26">
        <v>43546.624305555597</v>
      </c>
      <c r="J11755" s="23" t="str">
        <f>HYPERLINK("https://www.spark-marketing.ru/Card/Person/81571", "ООО ""СО ""АНТИТЕРРОР""")</f>
        <v>ООО "СО "АНТИТЕРРОР"</v>
      </c>
      <c r="K11755" s="24" t="s">
        <v>3384</v>
      </c>
      <c r="L11755" s="28" t="s">
        <v>52</v>
      </c>
      <c r="M11755" s="25">
        <v>1561000</v>
      </c>
      <c r="N11755" s="27">
        <v>0.37559999999999999</v>
      </c>
    </row>
    <row r="11756" spans="1:14" hidden="1" outlineLevel="1" x14ac:dyDescent="0.2">
      <c r="A11756" s="23" t="str">
        <f t="shared" si="606"/>
        <v>УКХ И Б АДМИНИСТРАЦИИ Г. УФЫ</v>
      </c>
      <c r="B11756" s="24" t="s">
        <v>14017</v>
      </c>
      <c r="C11756" s="25">
        <v>2500000</v>
      </c>
      <c r="D11756" s="22" t="s">
        <v>14018</v>
      </c>
      <c r="E11756" s="22" t="s">
        <v>52</v>
      </c>
      <c r="F11756" s="23" t="str">
        <f t="shared" si="607"/>
        <v>Оказание услуг по разработке Планов обеспечения транспортной безопасности объектов транспортной инфраструктуры городского округа город Уфа Республики Башкортостан</v>
      </c>
      <c r="G11756" s="22" t="s">
        <v>100</v>
      </c>
      <c r="H11756" s="22" t="s">
        <v>373</v>
      </c>
      <c r="I11756" s="26">
        <v>43546.624305555597</v>
      </c>
      <c r="J11756" s="23" t="str">
        <f>HYPERLINK("https://www.spark-marketing.ru/Card/Person/6110146", "ООО ""ИЦ ТЕХНОБЕЗОПАСНОСТЬ""")</f>
        <v>ООО "ИЦ ТЕХНОБЕЗОПАСНОСТЬ"</v>
      </c>
      <c r="K11756" s="24" t="s">
        <v>2240</v>
      </c>
      <c r="L11756" s="28" t="s">
        <v>52</v>
      </c>
      <c r="M11756" s="25">
        <v>1475000</v>
      </c>
      <c r="N11756" s="27">
        <v>0.41</v>
      </c>
    </row>
    <row r="11757" spans="1:14" hidden="1" outlineLevel="1" x14ac:dyDescent="0.2">
      <c r="A11757" s="23" t="str">
        <f t="shared" si="606"/>
        <v>УКХ И Б АДМИНИСТРАЦИИ Г. УФЫ</v>
      </c>
      <c r="B11757" s="24" t="s">
        <v>14017</v>
      </c>
      <c r="C11757" s="25">
        <v>2500000</v>
      </c>
      <c r="D11757" s="22" t="s">
        <v>14018</v>
      </c>
      <c r="E11757" s="22" t="s">
        <v>52</v>
      </c>
      <c r="F11757" s="23" t="str">
        <f t="shared" si="607"/>
        <v>Оказание услуг по разработке Планов обеспечения транспортной безопасности объектов транспортной инфраструктуры городского округа город Уфа Республики Башкортостан</v>
      </c>
      <c r="G11757" s="22" t="s">
        <v>100</v>
      </c>
      <c r="H11757" s="22" t="s">
        <v>373</v>
      </c>
      <c r="I11757" s="26">
        <v>43546.624305555597</v>
      </c>
      <c r="J11757" s="23" t="str">
        <f>HYPERLINK("https://www.spark-marketing.ru/Card/Person/6514996", "СРЕДНЕВОЛЖСКИЙ ФЛ ФГУП УПРАВЛЕНИЕ ВЕДОМСТВЕННОЙ ОХРАНЫ МИНИСТЕРСТВА ТРАНСПОРТА РФ")</f>
        <v>СРЕДНЕВОЛЖСКИЙ ФЛ ФГУП УПРАВЛЕНИЕ ВЕДОМСТВЕННОЙ ОХРАНЫ МИНИСТЕРСТВА ТРАНСПОРТА РФ</v>
      </c>
      <c r="K11757" s="24" t="s">
        <v>1472</v>
      </c>
      <c r="L11757" s="28" t="s">
        <v>52</v>
      </c>
      <c r="M11757" s="25">
        <v>1887500</v>
      </c>
      <c r="N11757" s="27">
        <v>0.245</v>
      </c>
    </row>
    <row r="11758" spans="1:14" ht="12.75" hidden="1" outlineLevel="1" x14ac:dyDescent="0.2">
      <c r="A11758" s="23" t="str">
        <f t="shared" si="606"/>
        <v>УКХ И Б АДМИНИСТРАЦИИ Г. УФЫ</v>
      </c>
      <c r="B11758" s="24" t="s">
        <v>14017</v>
      </c>
      <c r="C11758" s="25">
        <v>2500000</v>
      </c>
      <c r="D11758" s="22" t="s">
        <v>14018</v>
      </c>
      <c r="E11758" s="22" t="s">
        <v>52</v>
      </c>
      <c r="F11758" s="23" t="str">
        <f t="shared" si="607"/>
        <v>Оказание услуг по разработке Планов обеспечения транспортной безопасности объектов транспортной инфраструктуры городского округа город Уфа Республики Башкортостан</v>
      </c>
      <c r="G11758" s="22" t="s">
        <v>100</v>
      </c>
      <c r="H11758" s="22" t="s">
        <v>373</v>
      </c>
      <c r="I11758" s="26">
        <v>43546.624305555597</v>
      </c>
      <c r="J11758" s="23" t="str">
        <f>HYPERLINK("https://www.spark-marketing.ru/Card/Person/6501773", "Шагалина Альфия Узбековна")</f>
        <v>Шагалина Альфия Узбековна</v>
      </c>
      <c r="K11758" s="24" t="s">
        <v>14019</v>
      </c>
      <c r="L11758" s="22" t="s">
        <v>10</v>
      </c>
      <c r="M11758" s="25">
        <v>1400000</v>
      </c>
      <c r="N11758" s="27">
        <v>0.44</v>
      </c>
    </row>
    <row r="11759" spans="1:14" x14ac:dyDescent="0.15">
      <c r="A11759" s="23" t="str">
        <f>HYPERLINK("https://www.spark-marketing.ru/Card/Person/151950", "БУ УР ""ДОМ ДРУЖБЫ НАРОДОВ""")</f>
        <v>БУ УР "ДОМ ДРУЖБЫ НАРОДОВ"</v>
      </c>
      <c r="B11759" s="24" t="s">
        <v>14020</v>
      </c>
      <c r="C11759" s="25">
        <v>332800</v>
      </c>
      <c r="D11759" s="22" t="s">
        <v>14021</v>
      </c>
      <c r="E11759" s="22" t="s">
        <v>52</v>
      </c>
      <c r="F11759" s="23" t="str">
        <f>HYPERLINK("https://www.spark-marketing.ru/Card/Lot/68949775", "№ зз-08377-19 Услуги по внутриобъектовой охране здания, прилегающей территории и имущества БУ УР ''Дом Дружбы народов''")</f>
        <v>№ зз-08377-19 Услуги по внутриобъектовой охране здания, прилегающей территории и имущества БУ УР ''Дом Дружбы народов''</v>
      </c>
      <c r="G11759" s="22" t="s">
        <v>96</v>
      </c>
      <c r="H11759" s="22" t="s">
        <v>1342</v>
      </c>
      <c r="I11759" s="26">
        <v>43546.618055555598</v>
      </c>
      <c r="J11759" s="23" t="str">
        <f>HYPERLINK("https://www.spark-marketing.ru/Card/Person/210995", "ООО ЧОО АГЕНТСТВО РЕГИОНАЛЬНОЙ БЕЗОПАСНОСТИ")</f>
        <v>ООО ЧОО АГЕНТСТВО РЕГИОНАЛЬНОЙ БЕЗОПАСНОСТИ</v>
      </c>
      <c r="K11759" s="24" t="s">
        <v>14022</v>
      </c>
      <c r="L11759" s="22" t="s">
        <v>10</v>
      </c>
      <c r="M11759" s="28" t="s">
        <v>52</v>
      </c>
      <c r="N11759" s="28" t="s">
        <v>52</v>
      </c>
    </row>
    <row r="11760" spans="1:14" x14ac:dyDescent="0.15">
      <c r="A11760" s="23" t="str">
        <f>HYPERLINK("https://www.spark-marketing.ru/Card/Person/4350168", "МБДОУ ""ДЕТСКИЙ САД № 133"" Г. ЧЕБОКСАРЫ")</f>
        <v>МБДОУ "ДЕТСКИЙ САД № 133" Г. ЧЕБОКСАРЫ</v>
      </c>
      <c r="B11760" s="24" t="s">
        <v>14023</v>
      </c>
      <c r="C11760" s="25">
        <v>2682</v>
      </c>
      <c r="D11760" s="22" t="s">
        <v>14024</v>
      </c>
      <c r="E11760" s="22" t="s">
        <v>294</v>
      </c>
      <c r="F11760" s="23" t="str">
        <f>HYPERLINK("https://www.spark-marketing.ru/Card/Lot/68942196", "Техническое обслуживание средств тревожной сигнализации")</f>
        <v>Техническое обслуживание средств тревожной сигнализации</v>
      </c>
      <c r="G11760" s="22" t="s">
        <v>1137</v>
      </c>
      <c r="H11760" s="22" t="s">
        <v>1138</v>
      </c>
      <c r="I11760" s="26">
        <v>43546.543749999997</v>
      </c>
      <c r="J11760" s="28" t="s">
        <v>52</v>
      </c>
      <c r="K11760" s="28" t="s">
        <v>52</v>
      </c>
      <c r="L11760" s="28" t="s">
        <v>52</v>
      </c>
      <c r="M11760" s="28" t="s">
        <v>52</v>
      </c>
      <c r="N11760" s="28" t="s">
        <v>52</v>
      </c>
    </row>
    <row r="11761" spans="1:14" x14ac:dyDescent="0.15">
      <c r="A11761" s="23" t="str">
        <f>HYPERLINK("https://www.spark-marketing.ru/Card/Person/70448", "АДМИНИСТРАЦИЯ РЫБНОВСКОГО ГОРОДСКОГО ПОСЕЛЕНИЯ")</f>
        <v>АДМИНИСТРАЦИЯ РЫБНОВСКОГО ГОРОДСКОГО ПОСЕЛЕНИЯ</v>
      </c>
      <c r="B11761" s="24" t="s">
        <v>10156</v>
      </c>
      <c r="C11761" s="25">
        <v>750000</v>
      </c>
      <c r="D11761" s="22" t="s">
        <v>14025</v>
      </c>
      <c r="E11761" s="22" t="s">
        <v>107</v>
      </c>
      <c r="F11761" s="23" t="str">
        <f>HYPERLINK("https://www.spark-marketing.ru/Card/Lot/68950141", "Оказание услуг по техническому обслуживанию системы видеонаблюдения и дистанционного мониторинга в г. Рыбное Рязанской обл.")</f>
        <v>Оказание услуг по техническому обслуживанию системы видеонаблюдения и дистанционного мониторинга в г. Рыбное Рязанской обл.</v>
      </c>
      <c r="G11761" s="22" t="s">
        <v>186</v>
      </c>
      <c r="H11761" s="22" t="s">
        <v>186</v>
      </c>
      <c r="I11761" s="26">
        <v>43546.552777777797</v>
      </c>
      <c r="J11761" s="23" t="str">
        <f>HYPERLINK("https://www.spark-marketing.ru/Card/Person/128500", "ООО ""ОНТЕЛЕКОМ""")</f>
        <v>ООО "ОНТЕЛЕКОМ"</v>
      </c>
      <c r="K11761" s="24" t="s">
        <v>10158</v>
      </c>
      <c r="L11761" s="28" t="s">
        <v>52</v>
      </c>
      <c r="M11761" s="28" t="s">
        <v>52</v>
      </c>
      <c r="N11761" s="28" t="s">
        <v>52</v>
      </c>
    </row>
    <row r="11762" spans="1:14" ht="12.75" hidden="1" outlineLevel="1" x14ac:dyDescent="0.2">
      <c r="A11762" s="23" t="str">
        <f>HYPERLINK("https://www.spark-marketing.ru/Card/Person/70448", "АДМИНИСТРАЦИЯ РЫБНОВСКОГО ГОРОДСКОГО ПОСЕЛЕНИЯ")</f>
        <v>АДМИНИСТРАЦИЯ РЫБНОВСКОГО ГОРОДСКОГО ПОСЕЛЕНИЯ</v>
      </c>
      <c r="B11762" s="24" t="s">
        <v>10156</v>
      </c>
      <c r="C11762" s="25">
        <v>750000</v>
      </c>
      <c r="D11762" s="22" t="s">
        <v>14025</v>
      </c>
      <c r="E11762" s="22" t="s">
        <v>107</v>
      </c>
      <c r="F11762" s="23" t="str">
        <f>HYPERLINK("https://www.spark-marketing.ru/Card/Lot/68950141", "Оказание услуг по техническому обслуживанию системы видеонаблюдения и дистанционного мониторинга в г. Рыбное Рязанской обл.")</f>
        <v>Оказание услуг по техническому обслуживанию системы видеонаблюдения и дистанционного мониторинга в г. Рыбное Рязанской обл.</v>
      </c>
      <c r="G11762" s="22" t="s">
        <v>186</v>
      </c>
      <c r="H11762" s="22" t="s">
        <v>186</v>
      </c>
      <c r="I11762" s="26">
        <v>43546.552777777797</v>
      </c>
      <c r="J11762" s="23" t="str">
        <f>HYPERLINK("https://www.spark-marketing.ru/Card/Person/128500", "ООО ""ОНТЕЛЕКОМ""")</f>
        <v>ООО "ОНТЕЛЕКОМ"</v>
      </c>
      <c r="K11762" s="24" t="s">
        <v>10158</v>
      </c>
      <c r="L11762" s="22" t="s">
        <v>10</v>
      </c>
      <c r="M11762" s="25">
        <v>746250</v>
      </c>
      <c r="N11762" s="27">
        <v>5.0000000000000001E-3</v>
      </c>
    </row>
    <row r="11763" spans="1:14" x14ac:dyDescent="0.15">
      <c r="A11763" s="23" t="str">
        <f>HYPERLINK("https://www.spark-marketing.ru/Card/Person/70448", "АДМИНИСТРАЦИЯ РЫБНОВСКОГО ГОРОДСКОГО ПОСЕЛЕНИЯ")</f>
        <v>АДМИНИСТРАЦИЯ РЫБНОВСКОГО ГОРОДСКОГО ПОСЕЛЕНИЯ</v>
      </c>
      <c r="B11763" s="24" t="s">
        <v>10156</v>
      </c>
      <c r="C11763" s="25">
        <v>548608.80000000005</v>
      </c>
      <c r="D11763" s="22" t="s">
        <v>14026</v>
      </c>
      <c r="E11763" s="22" t="s">
        <v>194</v>
      </c>
      <c r="F11763" s="23" t="str">
        <f>HYPERLINK("https://www.spark-marketing.ru/Card/Lot/68951148", "Приобретение и установка видеокамер в г. Рыбное Рязанской области")</f>
        <v>Приобретение и установка видеокамер в г. Рыбное Рязанской области</v>
      </c>
      <c r="G11763" s="22" t="s">
        <v>186</v>
      </c>
      <c r="H11763" s="22" t="s">
        <v>186</v>
      </c>
      <c r="I11763" s="26">
        <v>43546.5534722222</v>
      </c>
      <c r="J11763" s="23" t="str">
        <f>HYPERLINK("https://www.spark-marketing.ru/Card/Person/128500", "ООО ""ОНТЕЛЕКОМ""")</f>
        <v>ООО "ОНТЕЛЕКОМ"</v>
      </c>
      <c r="K11763" s="24" t="s">
        <v>10158</v>
      </c>
      <c r="L11763" s="28" t="s">
        <v>52</v>
      </c>
      <c r="M11763" s="28" t="s">
        <v>52</v>
      </c>
      <c r="N11763" s="28" t="s">
        <v>52</v>
      </c>
    </row>
    <row r="11764" spans="1:14" x14ac:dyDescent="0.15">
      <c r="A11764" s="23" t="str">
        <f>HYPERLINK("https://www.spark-marketing.ru/Card/Person/139198", "ОГКУЗ МЕДИЦИНСКИЙ ЦЕНТР ""РЕЗЕРВ""")</f>
        <v>ОГКУЗ МЕДИЦИНСКИЙ ЦЕНТР "РЕЗЕРВ"</v>
      </c>
      <c r="B11764" s="24" t="s">
        <v>6824</v>
      </c>
      <c r="C11764" s="25">
        <v>1732830</v>
      </c>
      <c r="D11764" s="22" t="s">
        <v>14027</v>
      </c>
      <c r="E11764" s="22" t="s">
        <v>68</v>
      </c>
      <c r="F11764" s="23" t="str">
        <f>HYPERLINK("https://www.spark-marketing.ru/Card/Lot/68928972", "Услуги по охране объектов")</f>
        <v>Услуги по охране объектов</v>
      </c>
      <c r="G11764" s="22" t="s">
        <v>281</v>
      </c>
      <c r="H11764" s="22" t="s">
        <v>14028</v>
      </c>
      <c r="I11764" s="26">
        <v>43546.509722222203</v>
      </c>
      <c r="J11764" s="28" t="s">
        <v>52</v>
      </c>
      <c r="K11764" s="28" t="s">
        <v>52</v>
      </c>
      <c r="L11764" s="28" t="s">
        <v>52</v>
      </c>
      <c r="M11764" s="28" t="s">
        <v>52</v>
      </c>
      <c r="N11764" s="28" t="s">
        <v>52</v>
      </c>
    </row>
    <row r="11765" spans="1:14" x14ac:dyDescent="0.15">
      <c r="A11765" s="23" t="str">
        <f>HYPERLINK("https://www.spark-marketing.ru/Card/Person/107579", "УМВД РОССИИ ПО Г. ВЕЛИКИЙ НОВГОРОД")</f>
        <v>УМВД РОССИИ ПО Г. ВЕЛИКИЙ НОВГОРОД</v>
      </c>
      <c r="B11765" s="24" t="s">
        <v>14029</v>
      </c>
      <c r="C11765" s="25">
        <v>3000</v>
      </c>
      <c r="D11765" s="22" t="s">
        <v>14030</v>
      </c>
      <c r="E11765" s="22" t="s">
        <v>53</v>
      </c>
      <c r="F11765" s="23" t="str">
        <f>HYPERLINK("https://www.spark-marketing.ru/Card/Lot/70792473", "обслуживание аудио (видео) домофона")</f>
        <v>обслуживание аудио (видео) домофона</v>
      </c>
      <c r="G11765" s="22" t="s">
        <v>959</v>
      </c>
      <c r="H11765" s="22" t="s">
        <v>960</v>
      </c>
      <c r="I11765" s="26">
        <v>43546.510069444397</v>
      </c>
      <c r="J11765" s="28" t="s">
        <v>52</v>
      </c>
      <c r="K11765" s="28" t="s">
        <v>52</v>
      </c>
      <c r="L11765" s="28" t="s">
        <v>52</v>
      </c>
      <c r="M11765" s="28" t="s">
        <v>52</v>
      </c>
      <c r="N11765" s="28" t="s">
        <v>52</v>
      </c>
    </row>
    <row r="11766" spans="1:14" x14ac:dyDescent="0.15">
      <c r="A11766" s="23" t="str">
        <f>HYPERLINK("https://www.spark-marketing.ru/Card/Person/16795", "АДМИНИСТРАЦИЯ ГОРОДА КИМРЫ ТВЕРСКОЙ ОБЛАСТИ")</f>
        <v>АДМИНИСТРАЦИЯ ГОРОДА КИМРЫ ТВЕРСКОЙ ОБЛАСТИ</v>
      </c>
      <c r="B11766" s="24" t="s">
        <v>12762</v>
      </c>
      <c r="C11766" s="25">
        <v>149014</v>
      </c>
      <c r="D11766" s="22" t="s">
        <v>14031</v>
      </c>
      <c r="E11766" s="22" t="s">
        <v>2754</v>
      </c>
      <c r="F11766" s="23" t="str">
        <f>HYPERLINK("https://www.spark-marketing.ru/Card/Lot/68951340", "Выполнение работ по обслуживанию и содержанию судоходной сигнализации на мостовом переходе через реку Волга в городе Кимры Тверской области в 2019 году")</f>
        <v>Выполнение работ по обслуживанию и содержанию судоходной сигнализации на мостовом переходе через реку Волга в городе Кимры Тверской области в 2019 году</v>
      </c>
      <c r="G11766" s="22" t="s">
        <v>251</v>
      </c>
      <c r="H11766" s="22" t="s">
        <v>5132</v>
      </c>
      <c r="I11766" s="26">
        <v>43546.515277777798</v>
      </c>
      <c r="J11766" s="28" t="s">
        <v>52</v>
      </c>
      <c r="K11766" s="28" t="s">
        <v>52</v>
      </c>
      <c r="L11766" s="28" t="s">
        <v>52</v>
      </c>
      <c r="M11766" s="28" t="s">
        <v>52</v>
      </c>
      <c r="N11766" s="28" t="s">
        <v>52</v>
      </c>
    </row>
    <row r="11767" spans="1:14" x14ac:dyDescent="0.15">
      <c r="A11767" s="23" t="str">
        <f>HYPERLINK("https://www.spark-marketing.ru/Card/Person/1759344", "МКП ""КАЛИНИНГРАД-ГОРТРАНС""")</f>
        <v>МКП "КАЛИНИНГРАД-ГОРТРАНС"</v>
      </c>
      <c r="B11767" s="24" t="s">
        <v>12178</v>
      </c>
      <c r="C11767" s="25">
        <v>499200</v>
      </c>
      <c r="D11767" s="22" t="s">
        <v>14032</v>
      </c>
      <c r="E11767" s="22" t="s">
        <v>2577</v>
      </c>
      <c r="F11767" s="23" t="str">
        <f>HYPERLINK("https://www.spark-marketing.ru/Card/Lot/68940163", "Оказание услуг по обеспечению транспортной безопасности и защите транспортных средств МКП «Калининград-ГорТранс» от актов незаконного вмешательства")</f>
        <v>Оказание услуг по обеспечению транспортной безопасности и защите транспортных средств МКП «Калининград-ГорТранс» от актов незаконного вмешательства</v>
      </c>
      <c r="G11767" s="22" t="s">
        <v>247</v>
      </c>
      <c r="H11767" s="22" t="s">
        <v>576</v>
      </c>
      <c r="I11767" s="26">
        <v>43546.470208333303</v>
      </c>
      <c r="J11767" s="28" t="s">
        <v>52</v>
      </c>
      <c r="K11767" s="28" t="s">
        <v>52</v>
      </c>
      <c r="L11767" s="28" t="s">
        <v>52</v>
      </c>
      <c r="M11767" s="28" t="s">
        <v>52</v>
      </c>
      <c r="N11767" s="28" t="s">
        <v>52</v>
      </c>
    </row>
    <row r="11768" spans="1:14" hidden="1" outlineLevel="1" x14ac:dyDescent="0.2">
      <c r="A11768" s="23" t="str">
        <f>HYPERLINK("https://www.spark-marketing.ru/Card/Person/1759344", "МКП ""КАЛИНИНГРАД-ГОРТРАНС""")</f>
        <v>МКП "КАЛИНИНГРАД-ГОРТРАНС"</v>
      </c>
      <c r="B11768" s="24" t="s">
        <v>12178</v>
      </c>
      <c r="C11768" s="28" t="s">
        <v>52</v>
      </c>
      <c r="D11768" s="22" t="s">
        <v>14032</v>
      </c>
      <c r="E11768" s="22" t="s">
        <v>2577</v>
      </c>
      <c r="F11768" s="23" t="str">
        <f>HYPERLINK("https://www.spark-marketing.ru/Card/Lot/68940163", "Оказание услуг по обеспечению транспортной безопасности и защите транспортных средств МКП «Калининград-ГорТранс» от актов незаконного вмешательства")</f>
        <v>Оказание услуг по обеспечению транспортной безопасности и защите транспортных средств МКП «Калининград-ГорТранс» от актов незаконного вмешательства</v>
      </c>
      <c r="G11768" s="22" t="s">
        <v>247</v>
      </c>
      <c r="H11768" s="22" t="s">
        <v>576</v>
      </c>
      <c r="I11768" s="26">
        <v>43546.470208333303</v>
      </c>
      <c r="J11768" s="23" t="str">
        <f>HYPERLINK("https://www.spark-marketing.ru/Card/Person/6459402", "ООО ""СИСТЕМЫ ТРАНСПОРТНОЙ БЕЗОПАСНОСТИ""")</f>
        <v>ООО "СИСТЕМЫ ТРАНСПОРТНОЙ БЕЗОПАСНОСТИ"</v>
      </c>
      <c r="K11768" s="24" t="s">
        <v>10217</v>
      </c>
      <c r="L11768" s="22" t="s">
        <v>10</v>
      </c>
      <c r="M11768" s="25">
        <v>479200</v>
      </c>
      <c r="N11768" s="27">
        <v>4.0064102564102567E-2</v>
      </c>
    </row>
    <row r="11769" spans="1:14" hidden="1" outlineLevel="1" x14ac:dyDescent="0.2">
      <c r="A11769" s="23" t="str">
        <f>HYPERLINK("https://www.spark-marketing.ru/Card/Person/1759344", "МКП ""КАЛИНИНГРАД-ГОРТРАНС""")</f>
        <v>МКП "КАЛИНИНГРАД-ГОРТРАНС"</v>
      </c>
      <c r="B11769" s="24" t="s">
        <v>12178</v>
      </c>
      <c r="C11769" s="28" t="s">
        <v>52</v>
      </c>
      <c r="D11769" s="22" t="s">
        <v>14032</v>
      </c>
      <c r="E11769" s="22" t="s">
        <v>2577</v>
      </c>
      <c r="F11769" s="23" t="str">
        <f>HYPERLINK("https://www.spark-marketing.ru/Card/Lot/68940163", "Оказание услуг по обеспечению транспортной безопасности и защите транспортных средств МКП «Калининград-ГорТранс» от актов незаконного вмешательства")</f>
        <v>Оказание услуг по обеспечению транспортной безопасности и защите транспортных средств МКП «Калининград-ГорТранс» от актов незаконного вмешательства</v>
      </c>
      <c r="G11769" s="22" t="s">
        <v>247</v>
      </c>
      <c r="H11769" s="22" t="s">
        <v>576</v>
      </c>
      <c r="I11769" s="26">
        <v>43546.470208333303</v>
      </c>
      <c r="J11769" s="23" t="str">
        <f>HYPERLINK("https://www.spark-marketing.ru/Card/Person/2038990", "ООО ""СТБ""")</f>
        <v>ООО "СТБ"</v>
      </c>
      <c r="K11769" s="24" t="s">
        <v>2244</v>
      </c>
      <c r="L11769" s="28" t="s">
        <v>52</v>
      </c>
      <c r="M11769" s="25">
        <v>499200</v>
      </c>
      <c r="N11769" s="27">
        <v>0</v>
      </c>
    </row>
    <row r="11770" spans="1:14" x14ac:dyDescent="0.15">
      <c r="A11770" s="23" t="str">
        <f>HYPERLINK("https://www.spark-marketing.ru/Card/Person/27809", "ГБУЗ ""ТАРБАГАТАЙСКАЯ ЦРБ""")</f>
        <v>ГБУЗ "ТАРБАГАТАЙСКАЯ ЦРБ"</v>
      </c>
      <c r="B11770" s="24" t="s">
        <v>14033</v>
      </c>
      <c r="C11770" s="25">
        <v>355888.38</v>
      </c>
      <c r="D11770" s="22" t="s">
        <v>14034</v>
      </c>
      <c r="E11770" s="22" t="s">
        <v>68</v>
      </c>
      <c r="F11770" s="23" t="str">
        <f>HYPERLINK("https://www.spark-marketing.ru/Card/Lot/68928125", "Оказание услуг по охране объектов с помощью ПЦН и КТС в ГБУЗ Тарбагатайская ЦРБ")</f>
        <v>Оказание услуг по охране объектов с помощью ПЦН и КТС в ГБУЗ Тарбагатайская ЦРБ</v>
      </c>
      <c r="G11770" s="22" t="s">
        <v>354</v>
      </c>
      <c r="H11770" s="22" t="s">
        <v>4772</v>
      </c>
      <c r="I11770" s="26">
        <v>43546.473611111098</v>
      </c>
      <c r="J11770" s="23" t="str">
        <f>HYPERLINK("https://www.spark-marketing.ru/Card/Person/65470", "ООО ""ЧОО ""ОЛИМП""")</f>
        <v>ООО "ЧОО "ОЛИМП"</v>
      </c>
      <c r="K11770" s="24" t="s">
        <v>14035</v>
      </c>
      <c r="L11770" s="28" t="s">
        <v>52</v>
      </c>
      <c r="M11770" s="28" t="s">
        <v>52</v>
      </c>
      <c r="N11770" s="28" t="s">
        <v>52</v>
      </c>
    </row>
    <row r="11771" spans="1:14" ht="12.75" hidden="1" outlineLevel="1" x14ac:dyDescent="0.2">
      <c r="A11771" s="23" t="str">
        <f>HYPERLINK("https://www.spark-marketing.ru/Card/Person/27809", "ГБУЗ ""ТАРБАГАТАЙСКАЯ ЦРБ""")</f>
        <v>ГБУЗ "ТАРБАГАТАЙСКАЯ ЦРБ"</v>
      </c>
      <c r="B11771" s="24" t="s">
        <v>14033</v>
      </c>
      <c r="C11771" s="25">
        <v>355888.38</v>
      </c>
      <c r="D11771" s="22" t="s">
        <v>14034</v>
      </c>
      <c r="E11771" s="22" t="s">
        <v>68</v>
      </c>
      <c r="F11771" s="23" t="str">
        <f>HYPERLINK("https://www.spark-marketing.ru/Card/Lot/68928125", "Оказание услуг по охране объектов с помощью ПЦН и КТС в ГБУЗ Тарбагатайская ЦРБ")</f>
        <v>Оказание услуг по охране объектов с помощью ПЦН и КТС в ГБУЗ Тарбагатайская ЦРБ</v>
      </c>
      <c r="G11771" s="22" t="s">
        <v>354</v>
      </c>
      <c r="H11771" s="22" t="s">
        <v>4772</v>
      </c>
      <c r="I11771" s="26">
        <v>43546.473611111098</v>
      </c>
      <c r="J11771" s="23" t="str">
        <f>HYPERLINK("https://www.spark-marketing.ru/Card/Person/65470", "ООО ""ЧОО ""ОЛИМП""")</f>
        <v>ООО "ЧОО "ОЛИМП"</v>
      </c>
      <c r="K11771" s="24" t="s">
        <v>14035</v>
      </c>
      <c r="L11771" s="22" t="s">
        <v>10</v>
      </c>
      <c r="M11771" s="25">
        <v>354108.94</v>
      </c>
      <c r="N11771" s="27">
        <v>4.9999946612474394E-3</v>
      </c>
    </row>
    <row r="11772" spans="1:14" x14ac:dyDescent="0.15">
      <c r="A11772" s="23" t="str">
        <f t="shared" ref="A11772:A11777" si="608">HYPERLINK("https://www.spark-marketing.ru/Card/Person/26588", "БУОО ""АВТОБАЗА ЗДРАВООХРАНЕНИЯ""")</f>
        <v>БУОО "АВТОБАЗА ЗДРАВООХРАНЕНИЯ"</v>
      </c>
      <c r="B11772" s="24" t="s">
        <v>14036</v>
      </c>
      <c r="C11772" s="25">
        <v>286666.65000000002</v>
      </c>
      <c r="D11772" s="22" t="s">
        <v>14037</v>
      </c>
      <c r="E11772" s="22" t="s">
        <v>491</v>
      </c>
      <c r="F11772" s="23" t="str">
        <f t="shared" ref="F11772:F11777" si="609">HYPERLINK("https://www.spark-marketing.ru/Card/Lot/68930443", "Оказание услуг по разработке планов обеспечения транспортной безопасности транспортных средств учреждения")</f>
        <v>Оказание услуг по разработке планов обеспечения транспортной безопасности транспортных средств учреждения</v>
      </c>
      <c r="G11772" s="22" t="s">
        <v>521</v>
      </c>
      <c r="H11772" s="22" t="s">
        <v>522</v>
      </c>
      <c r="I11772" s="26">
        <v>43546.4375</v>
      </c>
      <c r="J11772" s="28" t="s">
        <v>52</v>
      </c>
      <c r="K11772" s="28" t="s">
        <v>52</v>
      </c>
      <c r="L11772" s="28" t="s">
        <v>52</v>
      </c>
      <c r="M11772" s="28" t="s">
        <v>52</v>
      </c>
      <c r="N11772" s="28" t="s">
        <v>52</v>
      </c>
    </row>
    <row r="11773" spans="1:14" ht="12.75" hidden="1" outlineLevel="1" x14ac:dyDescent="0.2">
      <c r="A11773" s="23" t="str">
        <f t="shared" si="608"/>
        <v>БУОО "АВТОБАЗА ЗДРАВООХРАНЕНИЯ"</v>
      </c>
      <c r="B11773" s="24" t="s">
        <v>14036</v>
      </c>
      <c r="C11773" s="25">
        <v>286666.65000000002</v>
      </c>
      <c r="D11773" s="22" t="s">
        <v>14037</v>
      </c>
      <c r="E11773" s="22" t="s">
        <v>491</v>
      </c>
      <c r="F11773" s="23" t="str">
        <f t="shared" si="609"/>
        <v>Оказание услуг по разработке планов обеспечения транспортной безопасности транспортных средств учреждения</v>
      </c>
      <c r="G11773" s="22" t="s">
        <v>521</v>
      </c>
      <c r="H11773" s="22" t="s">
        <v>522</v>
      </c>
      <c r="I11773" s="26">
        <v>43546.4375</v>
      </c>
      <c r="J11773" s="23" t="str">
        <f>HYPERLINK("https://www.spark-marketing.ru/Card/Person/81571", "ООО ""СО ""АНТИТЕРРОР""")</f>
        <v>ООО "СО "АНТИТЕРРОР"</v>
      </c>
      <c r="K11773" s="24" t="s">
        <v>3384</v>
      </c>
      <c r="L11773" s="22" t="s">
        <v>10</v>
      </c>
      <c r="M11773" s="25">
        <v>170000</v>
      </c>
      <c r="N11773" s="27">
        <v>0.40697670970794825</v>
      </c>
    </row>
    <row r="11774" spans="1:14" hidden="1" outlineLevel="1" x14ac:dyDescent="0.2">
      <c r="A11774" s="23" t="str">
        <f t="shared" si="608"/>
        <v>БУОО "АВТОБАЗА ЗДРАВООХРАНЕНИЯ"</v>
      </c>
      <c r="B11774" s="24" t="s">
        <v>14036</v>
      </c>
      <c r="C11774" s="25">
        <v>286666.65000000002</v>
      </c>
      <c r="D11774" s="22" t="s">
        <v>14037</v>
      </c>
      <c r="E11774" s="22" t="s">
        <v>491</v>
      </c>
      <c r="F11774" s="23" t="str">
        <f t="shared" si="609"/>
        <v>Оказание услуг по разработке планов обеспечения транспортной безопасности транспортных средств учреждения</v>
      </c>
      <c r="G11774" s="22" t="s">
        <v>521</v>
      </c>
      <c r="H11774" s="22" t="s">
        <v>522</v>
      </c>
      <c r="I11774" s="26">
        <v>43546.4375</v>
      </c>
      <c r="J11774" s="23" t="str">
        <f>HYPERLINK("https://www.spark-marketing.ru/Card/Person/1668697", "ООО ""КСБ-КРЫМ""")</f>
        <v>ООО "КСБ-КРЫМ"</v>
      </c>
      <c r="K11774" s="24" t="s">
        <v>14038</v>
      </c>
      <c r="L11774" s="28" t="s">
        <v>52</v>
      </c>
      <c r="M11774" s="25">
        <v>225000</v>
      </c>
      <c r="N11774" s="27">
        <v>0.21511623343699032</v>
      </c>
    </row>
    <row r="11775" spans="1:14" hidden="1" outlineLevel="1" x14ac:dyDescent="0.2">
      <c r="A11775" s="23" t="str">
        <f t="shared" si="608"/>
        <v>БУОО "АВТОБАЗА ЗДРАВООХРАНЕНИЯ"</v>
      </c>
      <c r="B11775" s="24" t="s">
        <v>14036</v>
      </c>
      <c r="C11775" s="25">
        <v>286666.65000000002</v>
      </c>
      <c r="D11775" s="22" t="s">
        <v>14037</v>
      </c>
      <c r="E11775" s="22" t="s">
        <v>491</v>
      </c>
      <c r="F11775" s="23" t="str">
        <f t="shared" si="609"/>
        <v>Оказание услуг по разработке планов обеспечения транспортной безопасности транспортных средств учреждения</v>
      </c>
      <c r="G11775" s="22" t="s">
        <v>521</v>
      </c>
      <c r="H11775" s="22" t="s">
        <v>522</v>
      </c>
      <c r="I11775" s="26">
        <v>43546.4375</v>
      </c>
      <c r="J11775" s="23" t="str">
        <f>HYPERLINK("https://www.spark-marketing.ru/Card/Person/6500038", "ООО «СИСТЕМЫ ТРАНСПОРТНОЙ БЕЗОПАСНОСТИ»")</f>
        <v>ООО «СИСТЕМЫ ТРАНСПОРТНОЙ БЕЗОПАСНОСТИ»</v>
      </c>
      <c r="K11775" s="24" t="s">
        <v>12136</v>
      </c>
      <c r="L11775" s="28" t="s">
        <v>52</v>
      </c>
      <c r="M11775" s="25">
        <v>225000</v>
      </c>
      <c r="N11775" s="27">
        <v>0.21511623343699032</v>
      </c>
    </row>
    <row r="11776" spans="1:14" hidden="1" outlineLevel="1" x14ac:dyDescent="0.2">
      <c r="A11776" s="23" t="str">
        <f t="shared" si="608"/>
        <v>БУОО "АВТОБАЗА ЗДРАВООХРАНЕНИЯ"</v>
      </c>
      <c r="B11776" s="24" t="s">
        <v>14036</v>
      </c>
      <c r="C11776" s="25">
        <v>286666.65000000002</v>
      </c>
      <c r="D11776" s="22" t="s">
        <v>14037</v>
      </c>
      <c r="E11776" s="22" t="s">
        <v>491</v>
      </c>
      <c r="F11776" s="23" t="str">
        <f t="shared" si="609"/>
        <v>Оказание услуг по разработке планов обеспечения транспортной безопасности транспортных средств учреждения</v>
      </c>
      <c r="G11776" s="22" t="s">
        <v>521</v>
      </c>
      <c r="H11776" s="22" t="s">
        <v>522</v>
      </c>
      <c r="I11776" s="26">
        <v>43546.4375</v>
      </c>
      <c r="J11776" s="23" t="str">
        <f>HYPERLINK("https://www.spark-marketing.ru/Card/Person/6110146", "ООО ""ИЦ ТЕХНОБЕЗОПАСНОСТЬ""")</f>
        <v>ООО "ИЦ ТЕХНОБЕЗОПАСНОСТЬ"</v>
      </c>
      <c r="K11776" s="24" t="s">
        <v>2240</v>
      </c>
      <c r="L11776" s="28" t="s">
        <v>52</v>
      </c>
      <c r="M11776" s="25">
        <v>259999</v>
      </c>
      <c r="N11776" s="27">
        <v>9.3026691455040195E-2</v>
      </c>
    </row>
    <row r="11777" spans="1:14" hidden="1" outlineLevel="1" x14ac:dyDescent="0.2">
      <c r="A11777" s="23" t="str">
        <f t="shared" si="608"/>
        <v>БУОО "АВТОБАЗА ЗДРАВООХРАНЕНИЯ"</v>
      </c>
      <c r="B11777" s="24" t="s">
        <v>14036</v>
      </c>
      <c r="C11777" s="25">
        <v>286666.65000000002</v>
      </c>
      <c r="D11777" s="22" t="s">
        <v>14037</v>
      </c>
      <c r="E11777" s="22" t="s">
        <v>491</v>
      </c>
      <c r="F11777" s="23" t="str">
        <f t="shared" si="609"/>
        <v>Оказание услуг по разработке планов обеспечения транспортной безопасности транспортных средств учреждения</v>
      </c>
      <c r="G11777" s="22" t="s">
        <v>521</v>
      </c>
      <c r="H11777" s="22" t="s">
        <v>522</v>
      </c>
      <c r="I11777" s="26">
        <v>43546.4375</v>
      </c>
      <c r="J11777" s="23" t="str">
        <f>HYPERLINK("https://www.spark-marketing.ru/Card/Person/479379", "ООО ""МЦДО ПРОФСТАНДАРТ""")</f>
        <v>ООО "МЦДО ПРОФСТАНДАРТ"</v>
      </c>
      <c r="K11777" s="24" t="s">
        <v>14039</v>
      </c>
      <c r="L11777" s="28" t="s">
        <v>52</v>
      </c>
      <c r="M11777" s="25">
        <v>250000</v>
      </c>
      <c r="N11777" s="27">
        <v>0.12790692604110035</v>
      </c>
    </row>
    <row r="11778" spans="1:14" x14ac:dyDescent="0.15">
      <c r="A11778" s="23" t="str">
        <f>HYPERLINK("https://www.spark-marketing.ru/Card/Person/1769839", "МАДОУ Д/С №14 ""ПОДМОСКОВЬЕ""")</f>
        <v>МАДОУ Д/С №14 "ПОДМОСКОВЬЕ"</v>
      </c>
      <c r="B11778" s="24" t="s">
        <v>14040</v>
      </c>
      <c r="C11778" s="25">
        <v>13350</v>
      </c>
      <c r="D11778" s="22" t="s">
        <v>14041</v>
      </c>
      <c r="E11778" s="22" t="s">
        <v>107</v>
      </c>
      <c r="F11778" s="23" t="str">
        <f>HYPERLINK("https://www.spark-marketing.ru/Card/Lot/68932958", "Услуги по замене, установки и монтажу видеодомофона")</f>
        <v>Услуги по замене, установки и монтажу видеодомофона</v>
      </c>
      <c r="G11778" s="22" t="s">
        <v>50</v>
      </c>
      <c r="H11778" s="22" t="s">
        <v>4782</v>
      </c>
      <c r="I11778" s="26">
        <v>43546.4199421296</v>
      </c>
      <c r="J11778" s="28" t="s">
        <v>52</v>
      </c>
      <c r="K11778" s="28" t="s">
        <v>52</v>
      </c>
      <c r="L11778" s="28" t="s">
        <v>52</v>
      </c>
      <c r="M11778" s="28" t="s">
        <v>52</v>
      </c>
      <c r="N11778" s="28" t="s">
        <v>52</v>
      </c>
    </row>
    <row r="11779" spans="1:14" ht="12.75" x14ac:dyDescent="0.2">
      <c r="A11779" s="23" t="str">
        <f>HYPERLINK("https://www.spark-marketing.ru/Card/Person/4343630", "ВОРОНЕЖСКАЯ ТАМОЖНЯ")</f>
        <v>ВОРОНЕЖСКАЯ ТАМОЖНЯ</v>
      </c>
      <c r="B11779" s="24" t="s">
        <v>14042</v>
      </c>
      <c r="C11779" s="25">
        <v>38924.400000000001</v>
      </c>
      <c r="D11779" s="22" t="s">
        <v>14043</v>
      </c>
      <c r="E11779" s="22" t="s">
        <v>68</v>
      </c>
      <c r="F11779" s="23" t="str">
        <f>HYPERLINK("https://www.spark-marketing.ru/Card/Lot/68937838", "оплата услуг по договорам с охранными организациями")</f>
        <v>оплата услуг по договорам с охранными организациями</v>
      </c>
      <c r="G11779" s="22" t="s">
        <v>552</v>
      </c>
      <c r="H11779" s="22" t="s">
        <v>886</v>
      </c>
      <c r="I11779" s="26">
        <v>43546.452777777798</v>
      </c>
      <c r="J11779" s="23" t="str">
        <f>HYPERLINK("https://www.spark-marketing.ru/Card/Person/4347319", "ФГКУ ""УВО ВНГ РОССИИ ПО ВОРОНЕЖСКОЙ ОБЛАСТИ""")</f>
        <v>ФГКУ "УВО ВНГ РОССИИ ПО ВОРОНЕЖСКОЙ ОБЛАСТИ"</v>
      </c>
      <c r="K11779" s="24" t="s">
        <v>8960</v>
      </c>
      <c r="L11779" s="22" t="s">
        <v>10</v>
      </c>
      <c r="M11779" s="25">
        <v>38924.400000000001</v>
      </c>
      <c r="N11779" s="27">
        <v>0</v>
      </c>
    </row>
    <row r="11780" spans="1:14" x14ac:dyDescent="0.15">
      <c r="A11780" s="23" t="str">
        <f>HYPERLINK("https://www.spark-marketing.ru/Card/Person/33130", "ГБУЗ ""ДГП № 23 ДЗМ""")</f>
        <v>ГБУЗ "ДГП № 23 ДЗМ"</v>
      </c>
      <c r="B11780" s="24" t="s">
        <v>14044</v>
      </c>
      <c r="C11780" s="25">
        <v>622082.27</v>
      </c>
      <c r="D11780" s="22" t="s">
        <v>14045</v>
      </c>
      <c r="E11780" s="22" t="s">
        <v>107</v>
      </c>
      <c r="F11780" s="23" t="str">
        <f>HYPERLINK("https://www.spark-marketing.ru/Card/Lot/68939156", "оказание услуг по техническому обслуживанию комплекса тревожной сигнализации на объектах ГБУЗ «ДГП № 23 ДЗМ»")</f>
        <v>оказание услуг по техническому обслуживанию комплекса тревожной сигнализации на объектах ГБУЗ «ДГП № 23 ДЗМ»</v>
      </c>
      <c r="G11780" s="22" t="s">
        <v>55</v>
      </c>
      <c r="H11780" s="22" t="s">
        <v>55</v>
      </c>
      <c r="I11780" s="26">
        <v>43546.435416666704</v>
      </c>
      <c r="J11780" s="28" t="s">
        <v>52</v>
      </c>
      <c r="K11780" s="28" t="s">
        <v>52</v>
      </c>
      <c r="L11780" s="28" t="s">
        <v>52</v>
      </c>
      <c r="M11780" s="28" t="s">
        <v>52</v>
      </c>
      <c r="N11780" s="28" t="s">
        <v>52</v>
      </c>
    </row>
    <row r="11781" spans="1:14" ht="12.75" hidden="1" outlineLevel="1" x14ac:dyDescent="0.2">
      <c r="A11781" s="23" t="str">
        <f>HYPERLINK("https://www.spark-marketing.ru/Card/Person/33130", "ГБУЗ ""ДГП № 23 ДЗМ""")</f>
        <v>ГБУЗ "ДГП № 23 ДЗМ"</v>
      </c>
      <c r="B11781" s="24" t="s">
        <v>14044</v>
      </c>
      <c r="C11781" s="25">
        <v>622082.27</v>
      </c>
      <c r="D11781" s="22" t="s">
        <v>14045</v>
      </c>
      <c r="E11781" s="22" t="s">
        <v>107</v>
      </c>
      <c r="F11781" s="23" t="str">
        <f>HYPERLINK("https://www.spark-marketing.ru/Card/Lot/68939156", "оказание услуг по техническому обслуживанию комплекса тревожной сигнализации на объектах ГБУЗ «ДГП № 23 ДЗМ»")</f>
        <v>оказание услуг по техническому обслуживанию комплекса тревожной сигнализации на объектах ГБУЗ «ДГП № 23 ДЗМ»</v>
      </c>
      <c r="G11781" s="22" t="s">
        <v>55</v>
      </c>
      <c r="H11781" s="22" t="s">
        <v>55</v>
      </c>
      <c r="I11781" s="26">
        <v>43546.435416666704</v>
      </c>
      <c r="J11781" s="23" t="str">
        <f>HYPERLINK("https://www.spark-marketing.ru/Card/Person/1592828", "ООО ЧОП ""АГЕНТСТВО БЕЗОПАСНОСТИ ""ЭСТОК""")</f>
        <v>ООО ЧОП "АГЕНТСТВО БЕЗОПАСНОСТИ "ЭСТОК"</v>
      </c>
      <c r="K11781" s="24" t="s">
        <v>1377</v>
      </c>
      <c r="L11781" s="22" t="s">
        <v>10</v>
      </c>
      <c r="M11781" s="25">
        <v>76659.59</v>
      </c>
      <c r="N11781" s="27">
        <v>0.87676937007061784</v>
      </c>
    </row>
    <row r="11782" spans="1:14" hidden="1" outlineLevel="1" x14ac:dyDescent="0.2">
      <c r="A11782" s="23" t="str">
        <f>HYPERLINK("https://www.spark-marketing.ru/Card/Person/33130", "ГБУЗ ""ДГП № 23 ДЗМ""")</f>
        <v>ГБУЗ "ДГП № 23 ДЗМ"</v>
      </c>
      <c r="B11782" s="24" t="s">
        <v>14044</v>
      </c>
      <c r="C11782" s="25">
        <v>622082.27</v>
      </c>
      <c r="D11782" s="22" t="s">
        <v>14045</v>
      </c>
      <c r="E11782" s="22" t="s">
        <v>107</v>
      </c>
      <c r="F11782" s="23" t="str">
        <f>HYPERLINK("https://www.spark-marketing.ru/Card/Lot/68939156", "оказание услуг по техническому обслуживанию комплекса тревожной сигнализации на объектах ГБУЗ «ДГП № 23 ДЗМ»")</f>
        <v>оказание услуг по техническому обслуживанию комплекса тревожной сигнализации на объектах ГБУЗ «ДГП № 23 ДЗМ»</v>
      </c>
      <c r="G11782" s="22" t="s">
        <v>55</v>
      </c>
      <c r="H11782" s="22" t="s">
        <v>55</v>
      </c>
      <c r="I11782" s="26">
        <v>43546.435416666704</v>
      </c>
      <c r="J11782" s="23" t="str">
        <f>HYPERLINK("https://www.spark-marketing.ru/Card/Person/60875", "ООО ЧОП ""ГОЛДЕКС""")</f>
        <v>ООО ЧОП "ГОЛДЕКС"</v>
      </c>
      <c r="K11782" s="24" t="s">
        <v>1378</v>
      </c>
      <c r="L11782" s="28" t="s">
        <v>52</v>
      </c>
      <c r="M11782" s="25">
        <v>79770</v>
      </c>
      <c r="N11782" s="27">
        <v>0.8717693722407488</v>
      </c>
    </row>
    <row r="11783" spans="1:14" hidden="1" outlineLevel="1" x14ac:dyDescent="0.2">
      <c r="A11783" s="23" t="str">
        <f>HYPERLINK("https://www.spark-marketing.ru/Card/Person/33130", "ГБУЗ ""ДГП № 23 ДЗМ""")</f>
        <v>ГБУЗ "ДГП № 23 ДЗМ"</v>
      </c>
      <c r="B11783" s="24" t="s">
        <v>14044</v>
      </c>
      <c r="C11783" s="25">
        <v>622082.27</v>
      </c>
      <c r="D11783" s="22" t="s">
        <v>14045</v>
      </c>
      <c r="E11783" s="22" t="s">
        <v>107</v>
      </c>
      <c r="F11783" s="23" t="str">
        <f>HYPERLINK("https://www.spark-marketing.ru/Card/Lot/68939156", "оказание услуг по техническому обслуживанию комплекса тревожной сигнализации на объектах ГБУЗ «ДГП № 23 ДЗМ»")</f>
        <v>оказание услуг по техническому обслуживанию комплекса тревожной сигнализации на объектах ГБУЗ «ДГП № 23 ДЗМ»</v>
      </c>
      <c r="G11783" s="22" t="s">
        <v>55</v>
      </c>
      <c r="H11783" s="22" t="s">
        <v>55</v>
      </c>
      <c r="I11783" s="26">
        <v>43546.435416666704</v>
      </c>
      <c r="J11783" s="23" t="str">
        <f>HYPERLINK("https://www.spark-marketing.ru/Card/Person/63144", "ООО""ЧОП""РАДУГА""")</f>
        <v>ООО"ЧОП"РАДУГА"</v>
      </c>
      <c r="K11783" s="24" t="s">
        <v>13376</v>
      </c>
      <c r="L11783" s="28" t="s">
        <v>52</v>
      </c>
      <c r="M11783" s="25">
        <v>166530</v>
      </c>
      <c r="N11783" s="27">
        <v>0.73230228857028834</v>
      </c>
    </row>
    <row r="11784" spans="1:14" hidden="1" outlineLevel="1" x14ac:dyDescent="0.2">
      <c r="A11784" s="23" t="str">
        <f>HYPERLINK("https://www.spark-marketing.ru/Card/Person/33130", "ГБУЗ ""ДГП № 23 ДЗМ""")</f>
        <v>ГБУЗ "ДГП № 23 ДЗМ"</v>
      </c>
      <c r="B11784" s="24" t="s">
        <v>14044</v>
      </c>
      <c r="C11784" s="25">
        <v>622082.27</v>
      </c>
      <c r="D11784" s="22" t="s">
        <v>14045</v>
      </c>
      <c r="E11784" s="22" t="s">
        <v>107</v>
      </c>
      <c r="F11784" s="23" t="str">
        <f>HYPERLINK("https://www.spark-marketing.ru/Card/Lot/68939156", "оказание услуг по техническому обслуживанию комплекса тревожной сигнализации на объектах ГБУЗ «ДГП № 23 ДЗМ»")</f>
        <v>оказание услуг по техническому обслуживанию комплекса тревожной сигнализации на объектах ГБУЗ «ДГП № 23 ДЗМ»</v>
      </c>
      <c r="G11784" s="22" t="s">
        <v>55</v>
      </c>
      <c r="H11784" s="22" t="s">
        <v>55</v>
      </c>
      <c r="I11784" s="26">
        <v>43546.435416666704</v>
      </c>
      <c r="J11784" s="23" t="str">
        <f>HYPERLINK("https://www.spark-marketing.ru/Card/Person/461358", "ООО ""СИБ""")</f>
        <v>ООО "СИБ"</v>
      </c>
      <c r="K11784" s="24" t="s">
        <v>14046</v>
      </c>
      <c r="L11784" s="28" t="s">
        <v>52</v>
      </c>
      <c r="M11784" s="25">
        <v>397117.07</v>
      </c>
      <c r="N11784" s="27">
        <v>0.36163255384211479</v>
      </c>
    </row>
    <row r="11785" spans="1:14" x14ac:dyDescent="0.15">
      <c r="A11785" s="23" t="str">
        <f>HYPERLINK("https://www.spark-marketing.ru/Card/Person/12183", "ФГБУ ""ФЦТОЭ"" МИНЗДРАВА РОССИИ (Г. СМОЛЕНСК)")</f>
        <v>ФГБУ "ФЦТОЭ" МИНЗДРАВА РОССИИ (Г. СМОЛЕНСК)</v>
      </c>
      <c r="B11785" s="24" t="s">
        <v>14047</v>
      </c>
      <c r="C11785" s="25">
        <v>128520</v>
      </c>
      <c r="D11785" s="22" t="s">
        <v>14048</v>
      </c>
      <c r="E11785" s="22" t="s">
        <v>68</v>
      </c>
      <c r="F11785" s="23" t="str">
        <f>HYPERLINK("https://www.spark-marketing.ru/Card/Lot/68937194", "Услуги по охране имущества при помощи пульта централизованной охраны")</f>
        <v>Услуги по охране имущества при помощи пульта централизованной охраны</v>
      </c>
      <c r="G11785" s="22" t="s">
        <v>956</v>
      </c>
      <c r="H11785" s="22" t="s">
        <v>1451</v>
      </c>
      <c r="I11785" s="26">
        <v>43546.423611111102</v>
      </c>
      <c r="J11785" s="28" t="s">
        <v>52</v>
      </c>
      <c r="K11785" s="28" t="s">
        <v>52</v>
      </c>
      <c r="L11785" s="28" t="s">
        <v>52</v>
      </c>
      <c r="M11785" s="28" t="s">
        <v>52</v>
      </c>
      <c r="N11785" s="28" t="s">
        <v>52</v>
      </c>
    </row>
    <row r="11786" spans="1:14" x14ac:dyDescent="0.15">
      <c r="A11786" s="23" t="str">
        <f>HYPERLINK("https://www.spark-marketing.ru/Card/Person/4343603", "МИНЗДРАВ КРАЯ")</f>
        <v>МИНЗДРАВ КРАЯ</v>
      </c>
      <c r="B11786" s="24" t="s">
        <v>14049</v>
      </c>
      <c r="C11786" s="25">
        <v>1687070.88</v>
      </c>
      <c r="D11786" s="22" t="s">
        <v>14050</v>
      </c>
      <c r="E11786" s="22" t="s">
        <v>183</v>
      </c>
      <c r="F11786" s="23" t="str">
        <f>HYPERLINK("https://www.spark-marketing.ru/Card/Lot/68937105", "оказание услуг по охране объекта")</f>
        <v>оказание услуг по охране объекта</v>
      </c>
      <c r="G11786" s="22" t="s">
        <v>258</v>
      </c>
      <c r="H11786" s="22" t="s">
        <v>546</v>
      </c>
      <c r="I11786" s="26">
        <v>43546.434027777803</v>
      </c>
      <c r="J11786" s="28" t="s">
        <v>52</v>
      </c>
      <c r="K11786" s="28" t="s">
        <v>52</v>
      </c>
      <c r="L11786" s="28" t="s">
        <v>52</v>
      </c>
      <c r="M11786" s="28" t="s">
        <v>52</v>
      </c>
      <c r="N11786" s="28" t="s">
        <v>52</v>
      </c>
    </row>
    <row r="11787" spans="1:14" x14ac:dyDescent="0.15">
      <c r="A11787" s="23" t="str">
        <f>HYPERLINK("https://www.spark-marketing.ru/Card/Person/6505005", "ГБУЗ ПК ""БКПО""")</f>
        <v>ГБУЗ ПК "БКПО"</v>
      </c>
      <c r="B11787" s="24" t="s">
        <v>14051</v>
      </c>
      <c r="C11787" s="25">
        <v>196523.28</v>
      </c>
      <c r="D11787" s="22" t="s">
        <v>14052</v>
      </c>
      <c r="E11787" s="22" t="s">
        <v>103</v>
      </c>
      <c r="F11787" s="23" t="str">
        <f>HYPERLINK("https://www.spark-marketing.ru/Card/Lot/68931089", "Оказание услуг по техническому обслуживанию средств охраны")</f>
        <v>Оказание услуг по техническому обслуживанию средств охраны</v>
      </c>
      <c r="G11787" s="22" t="s">
        <v>391</v>
      </c>
      <c r="H11787" s="22" t="s">
        <v>391</v>
      </c>
      <c r="I11787" s="26">
        <v>43546.441666666702</v>
      </c>
      <c r="J11787" s="28" t="s">
        <v>52</v>
      </c>
      <c r="K11787" s="28" t="s">
        <v>52</v>
      </c>
      <c r="L11787" s="28" t="s">
        <v>52</v>
      </c>
      <c r="M11787" s="28" t="s">
        <v>52</v>
      </c>
      <c r="N11787" s="28" t="s">
        <v>52</v>
      </c>
    </row>
    <row r="11788" spans="1:14" x14ac:dyDescent="0.15">
      <c r="A11788" s="23" t="str">
        <f>HYPERLINK("https://www.spark-marketing.ru/Card/Person/6116479", "МБДОУ ""ДЕТСКИЙ САД № 4""")</f>
        <v>МБДОУ "ДЕТСКИЙ САД № 4"</v>
      </c>
      <c r="B11788" s="24" t="s">
        <v>14053</v>
      </c>
      <c r="C11788" s="25">
        <v>81000</v>
      </c>
      <c r="D11788" s="22" t="s">
        <v>14054</v>
      </c>
      <c r="E11788" s="22" t="s">
        <v>107</v>
      </c>
      <c r="F11788" s="23" t="str">
        <f>HYPERLINK("https://www.spark-marketing.ru/Card/Lot/68932928", "Услуги на выполнение работ по техническому обслуживанию системы видеонаблюдения (СВН), системы контроля и управления доступом (СКУД), аудио-видеодомофонной связи")</f>
        <v>Услуги на выполнение работ по техническому обслуживанию системы видеонаблюдения (СВН), системы контроля и управления доступом (СКУД), аудио-видеодомофонной связи</v>
      </c>
      <c r="G11788" s="22" t="s">
        <v>50</v>
      </c>
      <c r="H11788" s="22" t="s">
        <v>265</v>
      </c>
      <c r="I11788" s="26">
        <v>43546.3989351852</v>
      </c>
      <c r="J11788" s="28" t="s">
        <v>52</v>
      </c>
      <c r="K11788" s="28" t="s">
        <v>52</v>
      </c>
      <c r="L11788" s="28" t="s">
        <v>52</v>
      </c>
      <c r="M11788" s="28" t="s">
        <v>52</v>
      </c>
      <c r="N11788" s="28" t="s">
        <v>52</v>
      </c>
    </row>
    <row r="11789" spans="1:14" x14ac:dyDescent="0.15">
      <c r="A11789" s="23" t="str">
        <f>HYPERLINK("https://www.spark-marketing.ru/Card/Person/140855", "ГАУ ""ОБЛАСТНОЙ ЦЕНТР РЕАБИЛИТАЦИИ ИНВАЛИДОВ""")</f>
        <v>ГАУ "ОБЛАСТНОЙ ЦЕНТР РЕАБИЛИТАЦИИ ИНВАЛИДОВ"</v>
      </c>
      <c r="B11789" s="24" t="s">
        <v>1561</v>
      </c>
      <c r="C11789" s="25">
        <v>497952</v>
      </c>
      <c r="D11789" s="22" t="s">
        <v>14055</v>
      </c>
      <c r="E11789" s="22" t="s">
        <v>144</v>
      </c>
      <c r="F11789" s="23" t="str">
        <f>HYPERLINK("https://www.spark-marketing.ru/Card/Lot/68929446", "Оказание услуг по охране объекта социального обслуживания населения с постоянным (круглосуточным) пребыванием людей")</f>
        <v>Оказание услуг по охране объекта социального обслуживания населения с постоянным (круглосуточным) пребыванием людей</v>
      </c>
      <c r="G11789" s="22" t="s">
        <v>72</v>
      </c>
      <c r="H11789" s="22" t="s">
        <v>72</v>
      </c>
      <c r="I11789" s="26">
        <v>43546.3850578704</v>
      </c>
      <c r="J11789" s="28" t="s">
        <v>52</v>
      </c>
      <c r="K11789" s="28" t="s">
        <v>52</v>
      </c>
      <c r="L11789" s="28" t="s">
        <v>52</v>
      </c>
      <c r="M11789" s="28" t="s">
        <v>52</v>
      </c>
      <c r="N11789" s="28" t="s">
        <v>52</v>
      </c>
    </row>
    <row r="11790" spans="1:14" x14ac:dyDescent="0.15">
      <c r="A11790" s="23" t="str">
        <f t="shared" ref="A11790:A11796" si="610">HYPERLINK("https://www.spark-marketing.ru/Card/Person/138022", "ГУ ""КПАТ""")</f>
        <v>ГУ "КПАТ"</v>
      </c>
      <c r="B11790" s="24" t="s">
        <v>2862</v>
      </c>
      <c r="C11790" s="25">
        <v>520452</v>
      </c>
      <c r="D11790" s="22" t="s">
        <v>14056</v>
      </c>
      <c r="E11790" s="22" t="s">
        <v>1242</v>
      </c>
      <c r="F11790" s="23" t="str">
        <f>HYPERLINK("https://www.spark-marketing.ru/Card/Lot/68926323", "Охрана объектов с использованием технических средств тревожной сигнализации")</f>
        <v>Охрана объектов с использованием технических средств тревожной сигнализации</v>
      </c>
      <c r="G11790" s="22" t="s">
        <v>367</v>
      </c>
      <c r="H11790" s="22" t="s">
        <v>367</v>
      </c>
      <c r="I11790" s="26">
        <v>43546.385520833297</v>
      </c>
      <c r="J11790" s="28" t="s">
        <v>52</v>
      </c>
      <c r="K11790" s="28" t="s">
        <v>52</v>
      </c>
      <c r="L11790" s="28" t="s">
        <v>52</v>
      </c>
      <c r="M11790" s="28" t="s">
        <v>52</v>
      </c>
      <c r="N11790" s="28" t="s">
        <v>52</v>
      </c>
    </row>
    <row r="11791" spans="1:14" hidden="1" outlineLevel="1" x14ac:dyDescent="0.2">
      <c r="A11791" s="23" t="str">
        <f t="shared" si="610"/>
        <v>ГУ "КПАТ"</v>
      </c>
      <c r="B11791" s="24" t="s">
        <v>2862</v>
      </c>
      <c r="C11791" s="28" t="s">
        <v>52</v>
      </c>
      <c r="D11791" s="22" t="s">
        <v>14056</v>
      </c>
      <c r="E11791" s="22" t="s">
        <v>1242</v>
      </c>
      <c r="F11791" s="23" t="str">
        <f>HYPERLINK("https://www.spark-marketing.ru/Card/Lot/68926323", "Охрана объектов с использованием технических средств тревожной сигнализации")</f>
        <v>Охрана объектов с использованием технических средств тревожной сигнализации</v>
      </c>
      <c r="G11791" s="22" t="s">
        <v>367</v>
      </c>
      <c r="H11791" s="22" t="s">
        <v>367</v>
      </c>
      <c r="I11791" s="26">
        <v>43546.385520833297</v>
      </c>
      <c r="J11791" s="23" t="str">
        <f>HYPERLINK("https://www.spark-marketing.ru/Card/Person/10487", "ФГУП ""ОХРАНА"" РОСГВАРДИИ")</f>
        <v>ФГУП "ОХРАНА" РОСГВАРДИИ</v>
      </c>
      <c r="K11791" s="24" t="s">
        <v>779</v>
      </c>
      <c r="L11791" s="28" t="s">
        <v>52</v>
      </c>
      <c r="M11791" s="25">
        <v>513864</v>
      </c>
      <c r="N11791" s="27">
        <v>1.2658227848101266E-2</v>
      </c>
    </row>
    <row r="11792" spans="1:14" hidden="1" outlineLevel="1" x14ac:dyDescent="0.2">
      <c r="A11792" s="23" t="str">
        <f t="shared" si="610"/>
        <v>ГУ "КПАТ"</v>
      </c>
      <c r="B11792" s="24" t="s">
        <v>2862</v>
      </c>
      <c r="C11792" s="28" t="s">
        <v>52</v>
      </c>
      <c r="D11792" s="22" t="s">
        <v>14056</v>
      </c>
      <c r="E11792" s="22" t="s">
        <v>1242</v>
      </c>
      <c r="F11792" s="23" t="str">
        <f>HYPERLINK("https://www.spark-marketing.ru/Card/Lot/68926323", "Охрана объектов с использованием технических средств тревожной сигнализации")</f>
        <v>Охрана объектов с использованием технических средств тревожной сигнализации</v>
      </c>
      <c r="G11792" s="22" t="s">
        <v>367</v>
      </c>
      <c r="H11792" s="22" t="s">
        <v>367</v>
      </c>
      <c r="I11792" s="26">
        <v>43546.385520833297</v>
      </c>
      <c r="J11792" s="23" t="str">
        <f>HYPERLINK("https://www.spark-marketing.ru/Card/Person/5939675", "ООО ЧОО ""ВИТЯЗЬ""")</f>
        <v>ООО ЧОО "ВИТЯЗЬ"</v>
      </c>
      <c r="K11792" s="24" t="s">
        <v>13503</v>
      </c>
      <c r="L11792" s="22" t="s">
        <v>10</v>
      </c>
      <c r="M11792" s="25">
        <v>427561.2</v>
      </c>
      <c r="N11792" s="27">
        <v>0.17848101265822786</v>
      </c>
    </row>
    <row r="11793" spans="1:14" hidden="1" outlineLevel="1" x14ac:dyDescent="0.2">
      <c r="A11793" s="23" t="str">
        <f t="shared" si="610"/>
        <v>ГУ "КПАТ"</v>
      </c>
      <c r="B11793" s="24" t="s">
        <v>2862</v>
      </c>
      <c r="C11793" s="28" t="s">
        <v>52</v>
      </c>
      <c r="D11793" s="22" t="s">
        <v>14056</v>
      </c>
      <c r="E11793" s="22" t="s">
        <v>1242</v>
      </c>
      <c r="F11793" s="23" t="str">
        <f>HYPERLINK("https://www.spark-marketing.ru/Card/Lot/68926323", "Охрана объектов с использованием технических средств тревожной сигнализации")</f>
        <v>Охрана объектов с использованием технических средств тревожной сигнализации</v>
      </c>
      <c r="G11793" s="22" t="s">
        <v>367</v>
      </c>
      <c r="H11793" s="22" t="s">
        <v>367</v>
      </c>
      <c r="I11793" s="26">
        <v>43546.385520833297</v>
      </c>
      <c r="J11793" s="23" t="str">
        <f>HYPERLINK("https://www.spark-marketing.ru/Card/Person/625548", "ООО ОП ""ГРАД""")</f>
        <v>ООО ОП "ГРАД"</v>
      </c>
      <c r="K11793" s="24" t="s">
        <v>13805</v>
      </c>
      <c r="L11793" s="28" t="s">
        <v>52</v>
      </c>
      <c r="M11793" s="25">
        <v>415044</v>
      </c>
      <c r="N11793" s="27">
        <v>0.20253164556962025</v>
      </c>
    </row>
    <row r="11794" spans="1:14" x14ac:dyDescent="0.15">
      <c r="A11794" s="23" t="str">
        <f t="shared" si="610"/>
        <v>ГУ "КПАТ"</v>
      </c>
      <c r="B11794" s="24" t="s">
        <v>2862</v>
      </c>
      <c r="C11794" s="25">
        <v>406241.7</v>
      </c>
      <c r="D11794" s="22" t="s">
        <v>14056</v>
      </c>
      <c r="E11794" s="22" t="s">
        <v>1242</v>
      </c>
      <c r="F11794" s="23" t="str">
        <f>HYPERLINK("https://www.spark-marketing.ru/Card/Lot/68926321", "Охрана объектов с использованием технических средств тревожной сигнализации")</f>
        <v>Охрана объектов с использованием технических средств тревожной сигнализации</v>
      </c>
      <c r="G11794" s="22" t="s">
        <v>367</v>
      </c>
      <c r="H11794" s="22" t="s">
        <v>367</v>
      </c>
      <c r="I11794" s="26">
        <v>43546.385520833297</v>
      </c>
      <c r="J11794" s="28" t="s">
        <v>52</v>
      </c>
      <c r="K11794" s="28" t="s">
        <v>52</v>
      </c>
      <c r="L11794" s="28" t="s">
        <v>52</v>
      </c>
      <c r="M11794" s="28" t="s">
        <v>52</v>
      </c>
      <c r="N11794" s="28" t="s">
        <v>52</v>
      </c>
    </row>
    <row r="11795" spans="1:14" hidden="1" outlineLevel="1" x14ac:dyDescent="0.2">
      <c r="A11795" s="23" t="str">
        <f t="shared" si="610"/>
        <v>ГУ "КПАТ"</v>
      </c>
      <c r="B11795" s="24" t="s">
        <v>2862</v>
      </c>
      <c r="C11795" s="28" t="s">
        <v>52</v>
      </c>
      <c r="D11795" s="22" t="s">
        <v>14056</v>
      </c>
      <c r="E11795" s="22" t="s">
        <v>1242</v>
      </c>
      <c r="F11795" s="23" t="str">
        <f>HYPERLINK("https://www.spark-marketing.ru/Card/Lot/68926321", "Охрана объектов с использованием технических средств тревожной сигнализации")</f>
        <v>Охрана объектов с использованием технических средств тревожной сигнализации</v>
      </c>
      <c r="G11795" s="22" t="s">
        <v>367</v>
      </c>
      <c r="H11795" s="22" t="s">
        <v>367</v>
      </c>
      <c r="I11795" s="26">
        <v>43546.385520833297</v>
      </c>
      <c r="J11795" s="23" t="str">
        <f>HYPERLINK("https://www.spark-marketing.ru/Card/Person/10487", "ФГУП ""ОХРАНА"" РОСГВАРДИИ")</f>
        <v>ФГУП "ОХРАНА" РОСГВАРДИИ</v>
      </c>
      <c r="K11795" s="24" t="s">
        <v>779</v>
      </c>
      <c r="L11795" s="22" t="s">
        <v>10</v>
      </c>
      <c r="M11795" s="25">
        <v>401099.4</v>
      </c>
      <c r="N11795" s="27">
        <v>1.2658227848101266E-2</v>
      </c>
    </row>
    <row r="11796" spans="1:14" hidden="1" outlineLevel="1" x14ac:dyDescent="0.2">
      <c r="A11796" s="23" t="str">
        <f t="shared" si="610"/>
        <v>ГУ "КПАТ"</v>
      </c>
      <c r="B11796" s="24" t="s">
        <v>2862</v>
      </c>
      <c r="C11796" s="28" t="s">
        <v>52</v>
      </c>
      <c r="D11796" s="22" t="s">
        <v>14056</v>
      </c>
      <c r="E11796" s="22" t="s">
        <v>1242</v>
      </c>
      <c r="F11796" s="23" t="str">
        <f>HYPERLINK("https://www.spark-marketing.ru/Card/Lot/68926321", "Охрана объектов с использованием технических средств тревожной сигнализации")</f>
        <v>Охрана объектов с использованием технических средств тревожной сигнализации</v>
      </c>
      <c r="G11796" s="22" t="s">
        <v>367</v>
      </c>
      <c r="H11796" s="22" t="s">
        <v>367</v>
      </c>
      <c r="I11796" s="26">
        <v>43546.385520833297</v>
      </c>
      <c r="J11796" s="23" t="str">
        <f>HYPERLINK("https://www.spark-marketing.ru/Card/Person/625548", "ООО ОП ""ГРАД""")</f>
        <v>ООО ОП "ГРАД"</v>
      </c>
      <c r="K11796" s="24" t="s">
        <v>13805</v>
      </c>
      <c r="L11796" s="28" t="s">
        <v>52</v>
      </c>
      <c r="M11796" s="25">
        <v>323964.90000000002</v>
      </c>
      <c r="N11796" s="27">
        <v>0.20253164556962025</v>
      </c>
    </row>
    <row r="11797" spans="1:14" x14ac:dyDescent="0.15">
      <c r="A11797" s="23" t="str">
        <f>HYPERLINK("https://www.spark-marketing.ru/Card/Person/938063", "ГУПС ""СЕВАВТОТРАНС""")</f>
        <v>ГУПС "СЕВАВТОТРАНС"</v>
      </c>
      <c r="B11797" s="24" t="s">
        <v>3912</v>
      </c>
      <c r="C11797" s="25">
        <v>931240.81</v>
      </c>
      <c r="D11797" s="22" t="s">
        <v>14057</v>
      </c>
      <c r="E11797" s="22" t="s">
        <v>84</v>
      </c>
      <c r="F11797" s="23" t="str">
        <f>HYPERLINK("https://www.spark-marketing.ru/Card/Lot/68934570", "Реализация мероприятий по транспортной безопасности (Строительно-монтажные работы. Досмотровое оборудование)")</f>
        <v>Реализация мероприятий по транспортной безопасности (Строительно-монтажные работы. Досмотровое оборудование)</v>
      </c>
      <c r="G11797" s="22" t="s">
        <v>714</v>
      </c>
      <c r="H11797" s="22" t="s">
        <v>714</v>
      </c>
      <c r="I11797" s="26">
        <v>43546.385416666701</v>
      </c>
      <c r="J11797" s="23" t="str">
        <f>HYPERLINK("https://www.spark-marketing.ru/Card/Person/38436", "АО ""СНТ""")</f>
        <v>АО "СНТ"</v>
      </c>
      <c r="K11797" s="24" t="s">
        <v>2928</v>
      </c>
      <c r="L11797" s="22" t="s">
        <v>10</v>
      </c>
      <c r="M11797" s="28" t="s">
        <v>52</v>
      </c>
      <c r="N11797" s="28" t="s">
        <v>52</v>
      </c>
    </row>
    <row r="11798" spans="1:14" x14ac:dyDescent="0.15">
      <c r="A11798" s="23" t="str">
        <f>HYPERLINK("https://www.spark-marketing.ru/Card/Person/138022", "ГУ ""КПАТ""")</f>
        <v>ГУ "КПАТ"</v>
      </c>
      <c r="B11798" s="24" t="s">
        <v>2862</v>
      </c>
      <c r="C11798" s="25">
        <v>533463.30000000005</v>
      </c>
      <c r="D11798" s="22" t="s">
        <v>14056</v>
      </c>
      <c r="E11798" s="22" t="s">
        <v>1242</v>
      </c>
      <c r="F11798" s="23" t="str">
        <f>HYPERLINK("https://www.spark-marketing.ru/Card/Lot/68926322", "Охрана объектов с использованием технических средств тревожной сигнализации")</f>
        <v>Охрана объектов с использованием технических средств тревожной сигнализации</v>
      </c>
      <c r="G11798" s="22" t="s">
        <v>367</v>
      </c>
      <c r="H11798" s="22" t="s">
        <v>367</v>
      </c>
      <c r="I11798" s="26">
        <v>43546.385520833297</v>
      </c>
      <c r="J11798" s="28" t="s">
        <v>52</v>
      </c>
      <c r="K11798" s="28" t="s">
        <v>52</v>
      </c>
      <c r="L11798" s="28" t="s">
        <v>52</v>
      </c>
      <c r="M11798" s="28" t="s">
        <v>52</v>
      </c>
      <c r="N11798" s="28" t="s">
        <v>52</v>
      </c>
    </row>
    <row r="11799" spans="1:14" hidden="1" outlineLevel="1" x14ac:dyDescent="0.2">
      <c r="A11799" s="23" t="str">
        <f>HYPERLINK("https://www.spark-marketing.ru/Card/Person/138022", "ГУ ""КПАТ""")</f>
        <v>ГУ "КПАТ"</v>
      </c>
      <c r="B11799" s="24" t="s">
        <v>2862</v>
      </c>
      <c r="C11799" s="28" t="s">
        <v>52</v>
      </c>
      <c r="D11799" s="22" t="s">
        <v>14056</v>
      </c>
      <c r="E11799" s="22" t="s">
        <v>1242</v>
      </c>
      <c r="F11799" s="23" t="str">
        <f>HYPERLINK("https://www.spark-marketing.ru/Card/Lot/68926322", "Охрана объектов с использованием технических средств тревожной сигнализации")</f>
        <v>Охрана объектов с использованием технических средств тревожной сигнализации</v>
      </c>
      <c r="G11799" s="22" t="s">
        <v>367</v>
      </c>
      <c r="H11799" s="22" t="s">
        <v>367</v>
      </c>
      <c r="I11799" s="26">
        <v>43546.385520833297</v>
      </c>
      <c r="J11799" s="23" t="str">
        <f>HYPERLINK("https://www.spark-marketing.ru/Card/Person/10487", "ФГУП ""ОХРАНА"" РОСГВАРДИИ")</f>
        <v>ФГУП "ОХРАНА" РОСГВАРДИИ</v>
      </c>
      <c r="K11799" s="24" t="s">
        <v>779</v>
      </c>
      <c r="L11799" s="22" t="s">
        <v>10</v>
      </c>
      <c r="M11799" s="25">
        <v>526710.6</v>
      </c>
      <c r="N11799" s="27">
        <v>1.2658227848101266E-2</v>
      </c>
    </row>
    <row r="11800" spans="1:14" hidden="1" outlineLevel="1" x14ac:dyDescent="0.2">
      <c r="A11800" s="23" t="str">
        <f>HYPERLINK("https://www.spark-marketing.ru/Card/Person/138022", "ГУ ""КПАТ""")</f>
        <v>ГУ "КПАТ"</v>
      </c>
      <c r="B11800" s="24" t="s">
        <v>2862</v>
      </c>
      <c r="C11800" s="28" t="s">
        <v>52</v>
      </c>
      <c r="D11800" s="22" t="s">
        <v>14056</v>
      </c>
      <c r="E11800" s="22" t="s">
        <v>1242</v>
      </c>
      <c r="F11800" s="23" t="str">
        <f>HYPERLINK("https://www.spark-marketing.ru/Card/Lot/68926322", "Охрана объектов с использованием технических средств тревожной сигнализации")</f>
        <v>Охрана объектов с использованием технических средств тревожной сигнализации</v>
      </c>
      <c r="G11800" s="22" t="s">
        <v>367</v>
      </c>
      <c r="H11800" s="22" t="s">
        <v>367</v>
      </c>
      <c r="I11800" s="26">
        <v>43546.385520833297</v>
      </c>
      <c r="J11800" s="23" t="str">
        <f>HYPERLINK("https://www.spark-marketing.ru/Card/Person/625548", "ООО ОП ""ГРАД""")</f>
        <v>ООО ОП "ГРАД"</v>
      </c>
      <c r="K11800" s="24" t="s">
        <v>13805</v>
      </c>
      <c r="L11800" s="28" t="s">
        <v>52</v>
      </c>
      <c r="M11800" s="25">
        <v>425420.1</v>
      </c>
      <c r="N11800" s="27">
        <v>0.20253164556962025</v>
      </c>
    </row>
    <row r="11801" spans="1:14" x14ac:dyDescent="0.15">
      <c r="A11801" s="23" t="str">
        <f>HYPERLINK("https://www.spark-marketing.ru/Card/Person/4345088", "ГБПОУ НАО ""НЕНЕЦКИЙ АГРАРНО-ЭКОНОМИЧЕСКИЙ ТЕХНИКУМ ИМЕНИ В.Г. ВОЛКОВА""")</f>
        <v>ГБПОУ НАО "НЕНЕЦКИЙ АГРАРНО-ЭКОНОМИЧЕСКИЙ ТЕХНИКУМ ИМЕНИ В.Г. ВОЛКОВА"</v>
      </c>
      <c r="B11801" s="24" t="s">
        <v>4355</v>
      </c>
      <c r="C11801" s="25">
        <v>61334</v>
      </c>
      <c r="D11801" s="22" t="s">
        <v>14058</v>
      </c>
      <c r="E11801" s="22" t="s">
        <v>194</v>
      </c>
      <c r="F11801" s="23" t="str">
        <f>HYPERLINK("https://www.spark-marketing.ru/Card/Lot/68931026", "Видеокамера мультиформатная корпусная уличная RVi-HDC421 (2.7 - 12)")</f>
        <v>Видеокамера мультиформатная корпусная уличная RVi-HDC421 (2.7 - 12)</v>
      </c>
      <c r="G11801" s="22" t="s">
        <v>1014</v>
      </c>
      <c r="H11801" s="22" t="s">
        <v>1015</v>
      </c>
      <c r="I11801" s="26">
        <v>43546.3569444444</v>
      </c>
      <c r="J11801" s="28" t="s">
        <v>52</v>
      </c>
      <c r="K11801" s="28" t="s">
        <v>52</v>
      </c>
      <c r="L11801" s="28" t="s">
        <v>52</v>
      </c>
      <c r="M11801" s="28" t="s">
        <v>52</v>
      </c>
      <c r="N11801" s="28" t="s">
        <v>52</v>
      </c>
    </row>
    <row r="11802" spans="1:14" x14ac:dyDescent="0.15">
      <c r="A11802" s="23" t="str">
        <f>HYPERLINK("https://www.spark-marketing.ru/Card/Person/26124", "СУ СК РОССИИ ПО ТВЕРСКОЙ ОБЛАСТИ")</f>
        <v>СУ СК РОССИИ ПО ТВЕРСКОЙ ОБЛАСТИ</v>
      </c>
      <c r="B11802" s="24" t="s">
        <v>8708</v>
      </c>
      <c r="C11802" s="25">
        <v>1887744.96</v>
      </c>
      <c r="D11802" s="22" t="s">
        <v>14059</v>
      </c>
      <c r="E11802" s="22" t="s">
        <v>68</v>
      </c>
      <c r="F11802" s="23" t="str">
        <f>HYPERLINK("https://www.spark-marketing.ru/Card/Lot/68931891", "услуги по охране объектов военизированными подразделениями ФГУП ""Охрана"" Федеральной службы войск национальной гвардии Российской Федерации")</f>
        <v>услуги по охране объектов военизированными подразделениями ФГУП "Охрана" Федеральной службы войск национальной гвардии Российской Федерации</v>
      </c>
      <c r="G11802" s="22" t="s">
        <v>251</v>
      </c>
      <c r="H11802" s="22" t="s">
        <v>252</v>
      </c>
      <c r="I11802" s="26">
        <v>43546.368055555598</v>
      </c>
      <c r="J11802" s="28" t="s">
        <v>52</v>
      </c>
      <c r="K11802" s="28" t="s">
        <v>52</v>
      </c>
      <c r="L11802" s="28" t="s">
        <v>52</v>
      </c>
      <c r="M11802" s="28" t="s">
        <v>52</v>
      </c>
      <c r="N11802" s="28" t="s">
        <v>52</v>
      </c>
    </row>
    <row r="11803" spans="1:14" x14ac:dyDescent="0.15">
      <c r="A11803" s="23" t="str">
        <f>HYPERLINK("https://www.spark-marketing.ru/Card/Person/6279", "УФССП РОССИИ ПО РЕСПУБЛИКЕ АЛТАЙ")</f>
        <v>УФССП РОССИИ ПО РЕСПУБЛИКЕ АЛТАЙ</v>
      </c>
      <c r="B11803" s="24" t="s">
        <v>14060</v>
      </c>
      <c r="C11803" s="25">
        <v>12156.4</v>
      </c>
      <c r="D11803" s="22" t="s">
        <v>14061</v>
      </c>
      <c r="E11803" s="22" t="s">
        <v>84</v>
      </c>
      <c r="F11803" s="23" t="str">
        <f>HYPERLINK("https://www.spark-marketing.ru/Card/Lot/70175889", "демонтаж, монтаж, настройка арочного металлодетектора, наружной видеокамеры")</f>
        <v>демонтаж, монтаж, настройка арочного металлодетектора, наружной видеокамеры</v>
      </c>
      <c r="G11803" s="22" t="s">
        <v>3000</v>
      </c>
      <c r="H11803" s="22" t="s">
        <v>3001</v>
      </c>
      <c r="I11803" s="26">
        <v>43546.293877314798</v>
      </c>
      <c r="J11803" s="28" t="s">
        <v>52</v>
      </c>
      <c r="K11803" s="28" t="s">
        <v>52</v>
      </c>
      <c r="L11803" s="28" t="s">
        <v>52</v>
      </c>
      <c r="M11803" s="28" t="s">
        <v>52</v>
      </c>
      <c r="N11803" s="28" t="s">
        <v>52</v>
      </c>
    </row>
    <row r="11804" spans="1:14" x14ac:dyDescent="0.15">
      <c r="A11804" s="23" t="str">
        <f>HYPERLINK("https://www.spark-marketing.ru/Card/Person/6450322", "ЗАКАЗЧИК РП БЕЛАРУСЬ")</f>
        <v>ЗАКАЗЧИК РП БЕЛАРУСЬ</v>
      </c>
      <c r="B11804" s="28" t="s">
        <v>52</v>
      </c>
      <c r="C11804" s="28" t="s">
        <v>52</v>
      </c>
      <c r="D11804" s="22" t="s">
        <v>14062</v>
      </c>
      <c r="E11804" s="22" t="s">
        <v>53</v>
      </c>
      <c r="F11804" s="23" t="str">
        <f>HYPERLINK("https://www.spark-marketing.ru/Card/Lot/68948448", "Выбор подрядной организации по установке и выносу системы сигнализации на пульты КПП охраны в количестве 206 секторов")</f>
        <v>Выбор подрядной организации по установке и выносу системы сигнализации на пульты КПП охраны в количестве 206 секторов</v>
      </c>
      <c r="G11804" s="22" t="s">
        <v>52</v>
      </c>
      <c r="H11804" s="22" t="s">
        <v>52</v>
      </c>
      <c r="I11804" s="26">
        <v>43546</v>
      </c>
      <c r="J11804" s="28" t="s">
        <v>52</v>
      </c>
      <c r="K11804" s="28" t="s">
        <v>52</v>
      </c>
      <c r="L11804" s="28" t="s">
        <v>52</v>
      </c>
      <c r="M11804" s="28" t="s">
        <v>52</v>
      </c>
      <c r="N11804" s="28" t="s">
        <v>52</v>
      </c>
    </row>
    <row r="11805" spans="1:14" x14ac:dyDescent="0.15">
      <c r="A11805" s="23" t="str">
        <f>HYPERLINK("https://www.spark-marketing.ru/Card/Person/6450322", "ЗАКАЗЧИК РП БЕЛАРУСЬ")</f>
        <v>ЗАКАЗЧИК РП БЕЛАРУСЬ</v>
      </c>
      <c r="B11805" s="28" t="s">
        <v>52</v>
      </c>
      <c r="C11805" s="28" t="s">
        <v>52</v>
      </c>
      <c r="D11805" s="22" t="s">
        <v>14063</v>
      </c>
      <c r="E11805" s="22" t="s">
        <v>53</v>
      </c>
      <c r="F11805" s="23" t="str">
        <f>HYPERLINK("https://www.spark-marketing.ru/Card/Lot/68935118", "Металлоконструкция (мачта) - стальная разборная (инвентарная) конструкция; - общая высота 30 м; - отдельные секции от 2м до 2,5м с переходником выполненные из тонкостенной стальной трубы O76 - 86 мм; - оттяжки (стальной оцинкованный трос не менее O4 ...")</f>
        <v>Металлоконструкция (мачта) - стальная разборная (инвентарная) конструкция; - общая высота 30 м; - отдельные секции от 2м до 2,5м с переходником выполненные из тонкостенной стальной трубы O76 - 86 мм; - оттяжки (стальной оцинкованный трос не менее O4 ...</v>
      </c>
      <c r="G11805" s="22" t="s">
        <v>52</v>
      </c>
      <c r="H11805" s="22" t="s">
        <v>52</v>
      </c>
      <c r="I11805" s="26">
        <v>43546</v>
      </c>
      <c r="J11805" s="28" t="s">
        <v>52</v>
      </c>
      <c r="K11805" s="28" t="s">
        <v>52</v>
      </c>
      <c r="L11805" s="28" t="s">
        <v>52</v>
      </c>
      <c r="M11805" s="28" t="s">
        <v>52</v>
      </c>
      <c r="N11805" s="28" t="s">
        <v>52</v>
      </c>
    </row>
    <row r="11806" spans="1:14" x14ac:dyDescent="0.15">
      <c r="A11806" s="23" t="str">
        <f>HYPERLINK("https://www.spark-marketing.ru/Card/Person/31070", "МУ ""МДС БАГРАТИОН""")</f>
        <v>МУ "МДС БАГРАТИОН"</v>
      </c>
      <c r="B11806" s="24" t="s">
        <v>14064</v>
      </c>
      <c r="C11806" s="25">
        <v>61963.199999999997</v>
      </c>
      <c r="D11806" s="22" t="s">
        <v>14065</v>
      </c>
      <c r="E11806" s="22" t="s">
        <v>68</v>
      </c>
      <c r="F11806" s="23" t="str">
        <f>HYPERLINK("https://www.spark-marketing.ru/Card/Lot/68923957", "Оказание охранных услуг")</f>
        <v>Оказание охранных услуг</v>
      </c>
      <c r="G11806" s="22" t="s">
        <v>50</v>
      </c>
      <c r="H11806" s="22" t="s">
        <v>946</v>
      </c>
      <c r="I11806" s="26">
        <v>43545.857037037</v>
      </c>
      <c r="J11806" s="28" t="s">
        <v>52</v>
      </c>
      <c r="K11806" s="28" t="s">
        <v>52</v>
      </c>
      <c r="L11806" s="28" t="s">
        <v>52</v>
      </c>
      <c r="M11806" s="28" t="s">
        <v>52</v>
      </c>
      <c r="N11806" s="28" t="s">
        <v>52</v>
      </c>
    </row>
    <row r="11807" spans="1:14" x14ac:dyDescent="0.15">
      <c r="A11807" s="23" t="str">
        <f>HYPERLINK("https://www.spark-marketing.ru/Card/Person/122556", "ГБУЗ МО ""ДПТД""")</f>
        <v>ГБУЗ МО "ДПТД"</v>
      </c>
      <c r="B11807" s="24" t="s">
        <v>13961</v>
      </c>
      <c r="C11807" s="25">
        <v>35000</v>
      </c>
      <c r="D11807" s="22" t="s">
        <v>14066</v>
      </c>
      <c r="E11807" s="22" t="s">
        <v>107</v>
      </c>
      <c r="F11807" s="23" t="str">
        <f>HYPERLINK("https://www.spark-marketing.ru/Card/Lot/68921579", "Оказание услуг по техническому обслуживанию охранной сигнализации (г. Видное)")</f>
        <v>Оказание услуг по техническому обслуживанию охранной сигнализации (г. Видное)</v>
      </c>
      <c r="G11807" s="22" t="s">
        <v>50</v>
      </c>
      <c r="H11807" s="22" t="s">
        <v>4782</v>
      </c>
      <c r="I11807" s="26">
        <v>43545.794456018499</v>
      </c>
      <c r="J11807" s="28" t="s">
        <v>52</v>
      </c>
      <c r="K11807" s="28" t="s">
        <v>52</v>
      </c>
      <c r="L11807" s="28" t="s">
        <v>52</v>
      </c>
      <c r="M11807" s="28" t="s">
        <v>52</v>
      </c>
      <c r="N11807" s="28" t="s">
        <v>52</v>
      </c>
    </row>
    <row r="11808" spans="1:14" x14ac:dyDescent="0.2">
      <c r="A11808" s="23" t="str">
        <f>HYPERLINK("https://www.spark-marketing.ru/Card/Person/18635", "АО ""КЭМЗ""")</f>
        <v>АО "КЭМЗ"</v>
      </c>
      <c r="B11808" s="24" t="s">
        <v>14067</v>
      </c>
      <c r="C11808" s="25">
        <v>1568281.6000000001</v>
      </c>
      <c r="D11808" s="22" t="s">
        <v>14068</v>
      </c>
      <c r="E11808" s="22" t="s">
        <v>14069</v>
      </c>
      <c r="F11808" s="23" t="str">
        <f>HYPERLINK("https://www.spark-marketing.ru/Card/Lot/68923427", "Оказание услуг по вооруженной охране груза при его транспортировке")</f>
        <v>Оказание услуг по вооруженной охране груза при его транспортировке</v>
      </c>
      <c r="G11808" s="22" t="s">
        <v>658</v>
      </c>
      <c r="H11808" s="22" t="s">
        <v>741</v>
      </c>
      <c r="I11808" s="26">
        <v>43545.774826388901</v>
      </c>
      <c r="J11808" s="23" t="str">
        <f>HYPERLINK("https://www.spark-marketing.ru/Card/Person/28309", "ФГУП ГЦСС")</f>
        <v>ФГУП ГЦСС</v>
      </c>
      <c r="K11808" s="24" t="s">
        <v>14070</v>
      </c>
      <c r="L11808" s="28" t="s">
        <v>52</v>
      </c>
      <c r="M11808" s="25">
        <v>1568281.6000000001</v>
      </c>
      <c r="N11808" s="27">
        <v>0</v>
      </c>
    </row>
    <row r="11809" spans="1:14" x14ac:dyDescent="0.2">
      <c r="A11809" s="23" t="str">
        <f>HYPERLINK("https://www.spark-marketing.ru/Card/Person/1759666", "МАОУ БОГАНДИНСКАЯ СОШ № 2")</f>
        <v>МАОУ БОГАНДИНСКАЯ СОШ № 2</v>
      </c>
      <c r="B11809" s="24" t="s">
        <v>7682</v>
      </c>
      <c r="C11809" s="25">
        <v>100000</v>
      </c>
      <c r="D11809" s="22" t="s">
        <v>14071</v>
      </c>
      <c r="E11809" s="22" t="s">
        <v>363</v>
      </c>
      <c r="F11809" s="23" t="str">
        <f>HYPERLINK("https://www.spark-marketing.ru/Card/Lot/68917321", "Оказание охранных услуг")</f>
        <v>Оказание охранных услуг</v>
      </c>
      <c r="G11809" s="22" t="s">
        <v>893</v>
      </c>
      <c r="H11809" s="22" t="s">
        <v>893</v>
      </c>
      <c r="I11809" s="26">
        <v>43545.7413773148</v>
      </c>
      <c r="J11809" s="23" t="str">
        <f>HYPERLINK("https://www.spark-marketing.ru/Card/Person/139570", "ООО НЧОП ""КЛЕВРЕТ""")</f>
        <v>ООО НЧОП "КЛЕВРЕТ"</v>
      </c>
      <c r="K11809" s="24" t="s">
        <v>11787</v>
      </c>
      <c r="L11809" s="28" t="s">
        <v>52</v>
      </c>
      <c r="M11809" s="25">
        <v>100000</v>
      </c>
      <c r="N11809" s="27">
        <v>0</v>
      </c>
    </row>
    <row r="11810" spans="1:14" x14ac:dyDescent="0.15">
      <c r="A11810" s="23" t="str">
        <f>HYPERLINK("https://www.spark-marketing.ru/Card/Person/4768943", "МБУ ПМРМО ""ФОК""")</f>
        <v>МБУ ПМРМО "ФОК"</v>
      </c>
      <c r="B11810" s="24" t="s">
        <v>14072</v>
      </c>
      <c r="C11810" s="25">
        <v>32000</v>
      </c>
      <c r="D11810" s="22" t="s">
        <v>14073</v>
      </c>
      <c r="E11810" s="22" t="s">
        <v>59</v>
      </c>
      <c r="F11810" s="23" t="str">
        <f>HYPERLINK("https://www.spark-marketing.ru/Card/Lot/68920889", "Выполнение работ по монтажу кнопки тревожной сигнализации")</f>
        <v>Выполнение работ по монтажу кнопки тревожной сигнализации</v>
      </c>
      <c r="G11810" s="22" t="s">
        <v>50</v>
      </c>
      <c r="H11810" s="22" t="s">
        <v>76</v>
      </c>
      <c r="I11810" s="26">
        <v>43545.721620370401</v>
      </c>
      <c r="J11810" s="28" t="s">
        <v>52</v>
      </c>
      <c r="K11810" s="28" t="s">
        <v>52</v>
      </c>
      <c r="L11810" s="28" t="s">
        <v>52</v>
      </c>
      <c r="M11810" s="28" t="s">
        <v>52</v>
      </c>
      <c r="N11810" s="28" t="s">
        <v>52</v>
      </c>
    </row>
    <row r="11811" spans="1:14" x14ac:dyDescent="0.15">
      <c r="A11811" s="23" t="str">
        <f>HYPERLINK("https://www.spark-marketing.ru/Card/Person/1755948", "ОАУСО ""НОВГОРОДСКИЙ КЦ""")</f>
        <v>ОАУСО "НОВГОРОДСКИЙ КЦ"</v>
      </c>
      <c r="B11811" s="24" t="s">
        <v>14074</v>
      </c>
      <c r="C11811" s="25">
        <v>600320</v>
      </c>
      <c r="D11811" s="22" t="s">
        <v>14075</v>
      </c>
      <c r="E11811" s="22" t="s">
        <v>14076</v>
      </c>
      <c r="F11811" s="23" t="str">
        <f>HYPERLINK("https://www.spark-marketing.ru/Card/Lot/68921040", "оказание услуг экстренной помощи на дому пожилым гражданам и инвалидам с использованием сотового устройства «тревожная кнопка»")</f>
        <v>оказание услуг экстренной помощи на дому пожилым гражданам и инвалидам с использованием сотового устройства «тревожная кнопка»</v>
      </c>
      <c r="G11811" s="22" t="s">
        <v>959</v>
      </c>
      <c r="H11811" s="22" t="s">
        <v>960</v>
      </c>
      <c r="I11811" s="26">
        <v>43545.719687500001</v>
      </c>
      <c r="J11811" s="23" t="str">
        <f>HYPERLINK("https://www.spark-marketing.ru/Card/Person/36070", "ООО ""СИСТЕМА ЗАБОТА""")</f>
        <v>ООО "СИСТЕМА ЗАБОТА"</v>
      </c>
      <c r="K11811" s="24" t="s">
        <v>14077</v>
      </c>
      <c r="L11811" s="28" t="s">
        <v>52</v>
      </c>
      <c r="M11811" s="28" t="s">
        <v>52</v>
      </c>
      <c r="N11811" s="28" t="s">
        <v>52</v>
      </c>
    </row>
    <row r="11812" spans="1:14" x14ac:dyDescent="0.15">
      <c r="A11812" s="23" t="str">
        <f>HYPERLINK("https://www.spark-marketing.ru/Card/Person/15368", "ГБУ РС(Я) ""РБ № 2 - ЦЭМП""")</f>
        <v>ГБУ РС(Я) "РБ № 2 - ЦЭМП"</v>
      </c>
      <c r="B11812" s="24" t="s">
        <v>14078</v>
      </c>
      <c r="C11812" s="25">
        <v>385644.24</v>
      </c>
      <c r="D11812" s="22" t="s">
        <v>14079</v>
      </c>
      <c r="E11812" s="22" t="s">
        <v>68</v>
      </c>
      <c r="F11812" s="23" t="str">
        <f>HYPERLINK("https://www.spark-marketing.ru/Card/Lot/68908577", "Оказание услуг по охране объектов при помощи пульта централизованного наблюдения")</f>
        <v>Оказание услуг по охране объектов при помощи пульта централизованного наблюдения</v>
      </c>
      <c r="G11812" s="22" t="s">
        <v>424</v>
      </c>
      <c r="H11812" s="22" t="s">
        <v>1186</v>
      </c>
      <c r="I11812" s="26">
        <v>43545.721527777801</v>
      </c>
      <c r="J11812" s="28" t="s">
        <v>52</v>
      </c>
      <c r="K11812" s="28" t="s">
        <v>52</v>
      </c>
      <c r="L11812" s="28" t="s">
        <v>52</v>
      </c>
      <c r="M11812" s="28" t="s">
        <v>52</v>
      </c>
      <c r="N11812" s="28" t="s">
        <v>52</v>
      </c>
    </row>
    <row r="11813" spans="1:14" x14ac:dyDescent="0.15">
      <c r="A11813" s="23" t="str">
        <f>HYPERLINK("https://www.spark-marketing.ru/Card/Person/1000990", "МБОУ ""ГИМНАЗИЯ""")</f>
        <v>МБОУ "ГИМНАЗИЯ"</v>
      </c>
      <c r="B11813" s="24" t="s">
        <v>12679</v>
      </c>
      <c r="C11813" s="25">
        <v>72000</v>
      </c>
      <c r="D11813" s="22" t="s">
        <v>14080</v>
      </c>
      <c r="E11813" s="22" t="s">
        <v>84</v>
      </c>
      <c r="F11813" s="23" t="str">
        <f>HYPERLINK("https://www.spark-marketing.ru/Card/Lot/68919778", "Оказание услуг на выполнению работ по установке видеокамер для АТЗ объекта МБОУ ""Гимназия""")</f>
        <v>Оказание услуг на выполнению работ по установке видеокамер для АТЗ объекта МБОУ "Гимназия"</v>
      </c>
      <c r="G11813" s="22" t="s">
        <v>50</v>
      </c>
      <c r="H11813" s="22" t="s">
        <v>1386</v>
      </c>
      <c r="I11813" s="26">
        <v>43545.701284722199</v>
      </c>
      <c r="J11813" s="28" t="s">
        <v>52</v>
      </c>
      <c r="K11813" s="28" t="s">
        <v>52</v>
      </c>
      <c r="L11813" s="28" t="s">
        <v>52</v>
      </c>
      <c r="M11813" s="28" t="s">
        <v>52</v>
      </c>
      <c r="N11813" s="28" t="s">
        <v>52</v>
      </c>
    </row>
    <row r="11814" spans="1:14" x14ac:dyDescent="0.15">
      <c r="A11814" s="23" t="str">
        <f>HYPERLINK("https://www.spark-marketing.ru/Card/Person/1000990", "МБОУ ""ГИМНАЗИЯ""")</f>
        <v>МБОУ "ГИМНАЗИЯ"</v>
      </c>
      <c r="B11814" s="24" t="s">
        <v>12679</v>
      </c>
      <c r="C11814" s="25">
        <v>12564.6</v>
      </c>
      <c r="D11814" s="22" t="s">
        <v>14081</v>
      </c>
      <c r="E11814" s="22" t="s">
        <v>107</v>
      </c>
      <c r="F11814" s="23" t="str">
        <f>HYPERLINK("https://www.spark-marketing.ru/Card/Lot/68919776", "Услуги по техническому обслуживанию комплекса технических средств охраны (тревожная кнопка)")</f>
        <v>Услуги по техническому обслуживанию комплекса технических средств охраны (тревожная кнопка)</v>
      </c>
      <c r="G11814" s="22" t="s">
        <v>50</v>
      </c>
      <c r="H11814" s="22" t="s">
        <v>1386</v>
      </c>
      <c r="I11814" s="26">
        <v>43545.701273148101</v>
      </c>
      <c r="J11814" s="28" t="s">
        <v>52</v>
      </c>
      <c r="K11814" s="28" t="s">
        <v>52</v>
      </c>
      <c r="L11814" s="28" t="s">
        <v>52</v>
      </c>
      <c r="M11814" s="28" t="s">
        <v>52</v>
      </c>
      <c r="N11814" s="28" t="s">
        <v>52</v>
      </c>
    </row>
    <row r="11815" spans="1:14" x14ac:dyDescent="0.15">
      <c r="A11815" s="23" t="str">
        <f>HYPERLINK("https://www.spark-marketing.ru/Card/Person/193037", "АО ""ГАЗПРОМ ГАЗОРАСПРЕДЕЛЕНИЕ КРАСНОДАР""")</f>
        <v>АО "ГАЗПРОМ ГАЗОРАСПРЕДЕЛЕНИЕ КРАСНОДАР"</v>
      </c>
      <c r="B11815" s="24" t="s">
        <v>11069</v>
      </c>
      <c r="C11815" s="25">
        <v>162720</v>
      </c>
      <c r="D11815" s="22" t="s">
        <v>14082</v>
      </c>
      <c r="E11815" s="22" t="s">
        <v>1840</v>
      </c>
      <c r="F11815" s="23" t="str">
        <f>HYPERLINK("https://www.spark-marketing.ru/Card/Lot/68920631", "Услуга по техническому обслуживанию системы видеонаблюдения")</f>
        <v>Услуга по техническому обслуживанию системы видеонаблюдения</v>
      </c>
      <c r="G11815" s="22" t="s">
        <v>132</v>
      </c>
      <c r="H11815" s="22" t="s">
        <v>652</v>
      </c>
      <c r="I11815" s="26">
        <v>43545.7036226852</v>
      </c>
      <c r="J11815" s="28" t="s">
        <v>52</v>
      </c>
      <c r="K11815" s="28" t="s">
        <v>52</v>
      </c>
      <c r="L11815" s="28" t="s">
        <v>52</v>
      </c>
      <c r="M11815" s="28" t="s">
        <v>52</v>
      </c>
      <c r="N11815" s="28" t="s">
        <v>52</v>
      </c>
    </row>
    <row r="11816" spans="1:14" hidden="1" outlineLevel="1" x14ac:dyDescent="0.2">
      <c r="A11816" s="23" t="str">
        <f>HYPERLINK("https://www.spark-marketing.ru/Card/Person/193037", "АО ""ГАЗПРОМ ГАЗОРАСПРЕДЕЛЕНИЕ КРАСНОДАР""")</f>
        <v>АО "ГАЗПРОМ ГАЗОРАСПРЕДЕЛЕНИЕ КРАСНОДАР"</v>
      </c>
      <c r="B11816" s="24" t="s">
        <v>11069</v>
      </c>
      <c r="C11816" s="28" t="s">
        <v>52</v>
      </c>
      <c r="D11816" s="22" t="s">
        <v>14082</v>
      </c>
      <c r="E11816" s="22" t="s">
        <v>1840</v>
      </c>
      <c r="F11816" s="23" t="str">
        <f>HYPERLINK("https://www.spark-marketing.ru/Card/Lot/68920631", "Услуга по техническому обслуживанию системы видеонаблюдения")</f>
        <v>Услуга по техническому обслуживанию системы видеонаблюдения</v>
      </c>
      <c r="G11816" s="22" t="s">
        <v>132</v>
      </c>
      <c r="H11816" s="22" t="s">
        <v>652</v>
      </c>
      <c r="I11816" s="26">
        <v>43545.7036226852</v>
      </c>
      <c r="J11816" s="23" t="str">
        <f>HYPERLINK("https://www.spark-marketing.ru/Card/Person/187974", "ООО ""ЮГЭЛЕКТРОПРОЕКТ""")</f>
        <v>ООО "ЮГЭЛЕКТРОПРОЕКТ"</v>
      </c>
      <c r="K11816" s="24" t="s">
        <v>14083</v>
      </c>
      <c r="L11816" s="22" t="s">
        <v>10</v>
      </c>
      <c r="M11816" s="25">
        <v>112800</v>
      </c>
      <c r="N11816" s="27">
        <v>0.30678466076696165</v>
      </c>
    </row>
    <row r="11817" spans="1:14" hidden="1" outlineLevel="1" x14ac:dyDescent="0.2">
      <c r="A11817" s="23" t="str">
        <f>HYPERLINK("https://www.spark-marketing.ru/Card/Person/193037", "АО ""ГАЗПРОМ ГАЗОРАСПРЕДЕЛЕНИЕ КРАСНОДАР""")</f>
        <v>АО "ГАЗПРОМ ГАЗОРАСПРЕДЕЛЕНИЕ КРАСНОДАР"</v>
      </c>
      <c r="B11817" s="24" t="s">
        <v>11069</v>
      </c>
      <c r="C11817" s="28" t="s">
        <v>52</v>
      </c>
      <c r="D11817" s="22" t="s">
        <v>14082</v>
      </c>
      <c r="E11817" s="22" t="s">
        <v>1840</v>
      </c>
      <c r="F11817" s="23" t="str">
        <f>HYPERLINK("https://www.spark-marketing.ru/Card/Lot/68920631", "Услуга по техническому обслуживанию системы видеонаблюдения")</f>
        <v>Услуга по техническому обслуживанию системы видеонаблюдения</v>
      </c>
      <c r="G11817" s="22" t="s">
        <v>132</v>
      </c>
      <c r="H11817" s="22" t="s">
        <v>652</v>
      </c>
      <c r="I11817" s="26">
        <v>43545.7036226852</v>
      </c>
      <c r="J11817" s="23" t="str">
        <f>HYPERLINK("https://www.spark-marketing.ru/Card/Person/1159876", "ООО ""СЕРВИС-СБ""")</f>
        <v>ООО "СЕРВИС-СБ"</v>
      </c>
      <c r="K11817" s="24" t="s">
        <v>13994</v>
      </c>
      <c r="L11817" s="28" t="s">
        <v>52</v>
      </c>
      <c r="M11817" s="25">
        <v>108480</v>
      </c>
      <c r="N11817" s="27">
        <v>0.33333333333333331</v>
      </c>
    </row>
    <row r="11818" spans="1:14" x14ac:dyDescent="0.15">
      <c r="A11818" s="23" t="str">
        <f>HYPERLINK("https://www.spark-marketing.ru/Card/Person/10082", "КОМИТЕТ ГОРОДСКОГО ХОЗЯЙСТВА")</f>
        <v>КОМИТЕТ ГОРОДСКОГО ХОЗЯЙСТВА</v>
      </c>
      <c r="B11818" s="24" t="s">
        <v>14084</v>
      </c>
      <c r="C11818" s="25">
        <v>78096</v>
      </c>
      <c r="D11818" s="22" t="s">
        <v>14085</v>
      </c>
      <c r="E11818" s="22" t="s">
        <v>59</v>
      </c>
      <c r="F11818" s="23" t="str">
        <f>HYPERLINK("https://www.spark-marketing.ru/Card/Lot/68918457", "Установка системы видеонаблюдения.")</f>
        <v>Установка системы видеонаблюдения.</v>
      </c>
      <c r="G11818" s="22" t="s">
        <v>258</v>
      </c>
      <c r="H11818" s="22" t="s">
        <v>546</v>
      </c>
      <c r="I11818" s="26">
        <v>43545.684027777803</v>
      </c>
      <c r="J11818" s="28" t="s">
        <v>52</v>
      </c>
      <c r="K11818" s="28" t="s">
        <v>52</v>
      </c>
      <c r="L11818" s="28" t="s">
        <v>52</v>
      </c>
      <c r="M11818" s="28" t="s">
        <v>52</v>
      </c>
      <c r="N11818" s="28" t="s">
        <v>52</v>
      </c>
    </row>
    <row r="11819" spans="1:14" x14ac:dyDescent="0.15">
      <c r="A11819" s="23" t="str">
        <f>HYPERLINK("https://www.spark-marketing.ru/Card/Person/1890", "МТУ РОСИМУЩЕСТВА В КЕМЕРОВСКОЙ И ТОМСКОЙ ОБЛАСТЯХ")</f>
        <v>МТУ РОСИМУЩЕСТВА В КЕМЕРОВСКОЙ И ТОМСКОЙ ОБЛАСТЯХ</v>
      </c>
      <c r="B11819" s="24" t="s">
        <v>1817</v>
      </c>
      <c r="C11819" s="25">
        <v>2200</v>
      </c>
      <c r="D11819" s="22" t="s">
        <v>14086</v>
      </c>
      <c r="E11819" s="22" t="s">
        <v>53</v>
      </c>
      <c r="F11819" s="23" t="str">
        <f>HYPERLINK("https://www.spark-marketing.ru/Card/Lot/70792542", "Услуги")</f>
        <v>Услуги</v>
      </c>
      <c r="G11819" s="22" t="s">
        <v>367</v>
      </c>
      <c r="H11819" s="22" t="s">
        <v>881</v>
      </c>
      <c r="I11819" s="26">
        <v>43545.680520833303</v>
      </c>
      <c r="J11819" s="28" t="s">
        <v>52</v>
      </c>
      <c r="K11819" s="28" t="s">
        <v>52</v>
      </c>
      <c r="L11819" s="28" t="s">
        <v>52</v>
      </c>
      <c r="M11819" s="28" t="s">
        <v>52</v>
      </c>
      <c r="N11819" s="28" t="s">
        <v>52</v>
      </c>
    </row>
    <row r="11820" spans="1:14" x14ac:dyDescent="0.15">
      <c r="A11820" s="23" t="str">
        <f>HYPERLINK("https://www.spark-marketing.ru/Card/Person/91981", "ГБСУСО МО ""ШЕРЕМЕТЬЕВСКИЙ РЦ""")</f>
        <v>ГБСУСО МО "ШЕРЕМЕТЬЕВСКИЙ РЦ"</v>
      </c>
      <c r="B11820" s="24" t="s">
        <v>14087</v>
      </c>
      <c r="C11820" s="25">
        <v>94440</v>
      </c>
      <c r="D11820" s="22" t="s">
        <v>14088</v>
      </c>
      <c r="E11820" s="22" t="s">
        <v>4116</v>
      </c>
      <c r="F11820" s="23" t="str">
        <f>HYPERLINK("https://www.spark-marketing.ru/Card/Lot/68919860", "ТО тревожной кнопки, проверка и подтверждение нормального функционирования")</f>
        <v>ТО тревожной кнопки, проверка и подтверждение нормального функционирования</v>
      </c>
      <c r="G11820" s="22" t="s">
        <v>50</v>
      </c>
      <c r="H11820" s="22" t="s">
        <v>3866</v>
      </c>
      <c r="I11820" s="26">
        <v>43545.690312500003</v>
      </c>
      <c r="J11820" s="28" t="s">
        <v>52</v>
      </c>
      <c r="K11820" s="28" t="s">
        <v>52</v>
      </c>
      <c r="L11820" s="28" t="s">
        <v>52</v>
      </c>
      <c r="M11820" s="28" t="s">
        <v>52</v>
      </c>
      <c r="N11820" s="28" t="s">
        <v>52</v>
      </c>
    </row>
    <row r="11821" spans="1:14" x14ac:dyDescent="0.15">
      <c r="A11821" s="23" t="str">
        <f>HYPERLINK("https://www.spark-marketing.ru/Card/Person/38622", "АО ""СХК""")</f>
        <v>АО "СХК"</v>
      </c>
      <c r="B11821" s="24" t="s">
        <v>159</v>
      </c>
      <c r="C11821" s="25">
        <v>2388000</v>
      </c>
      <c r="D11821" s="22" t="s">
        <v>14089</v>
      </c>
      <c r="E11821" s="22" t="s">
        <v>14090</v>
      </c>
      <c r="F11821" s="23" t="str">
        <f>HYPERLINK("https://www.spark-marketing.ru/Card/Lot/68912896", "Право заключения договора на Оказание услуг по техническому обслуживанию инженерно-технических средств охраны (ИТСО) территорий ЦСХ АО «СХК»")</f>
        <v>Право заключения договора на Оказание услуг по техническому обслуживанию инженерно-технических средств охраны (ИТСО) территорий ЦСХ АО «СХК»</v>
      </c>
      <c r="G11821" s="22" t="s">
        <v>150</v>
      </c>
      <c r="H11821" s="22" t="s">
        <v>161</v>
      </c>
      <c r="I11821" s="26">
        <v>43545.668726851902</v>
      </c>
      <c r="J11821" s="28" t="s">
        <v>52</v>
      </c>
      <c r="K11821" s="28" t="s">
        <v>52</v>
      </c>
      <c r="L11821" s="28" t="s">
        <v>52</v>
      </c>
      <c r="M11821" s="28" t="s">
        <v>52</v>
      </c>
      <c r="N11821" s="28" t="s">
        <v>52</v>
      </c>
    </row>
    <row r="11822" spans="1:14" hidden="1" outlineLevel="1" x14ac:dyDescent="0.2">
      <c r="A11822" s="23" t="str">
        <f>HYPERLINK("https://www.spark-marketing.ru/Card/Person/38622", "АО ""СХК""")</f>
        <v>АО "СХК"</v>
      </c>
      <c r="B11822" s="24" t="s">
        <v>159</v>
      </c>
      <c r="C11822" s="28" t="s">
        <v>52</v>
      </c>
      <c r="D11822" s="22" t="s">
        <v>14089</v>
      </c>
      <c r="E11822" s="22" t="s">
        <v>14090</v>
      </c>
      <c r="F11822" s="23" t="str">
        <f>HYPERLINK("https://www.spark-marketing.ru/Card/Lot/68912896", "Право заключения договора на Оказание услуг по техническому обслуживанию инженерно-технических средств охраны (ИТСО) территорий ЦСХ АО «СХК»")</f>
        <v>Право заключения договора на Оказание услуг по техническому обслуживанию инженерно-технических средств охраны (ИТСО) территорий ЦСХ АО «СХК»</v>
      </c>
      <c r="G11822" s="22" t="s">
        <v>150</v>
      </c>
      <c r="H11822" s="22" t="s">
        <v>161</v>
      </c>
      <c r="I11822" s="26">
        <v>43545.668726851902</v>
      </c>
      <c r="J11822" s="23" t="str">
        <f>HYPERLINK("https://www.spark-marketing.ru/Card/Person/110874", "ООО ""ЧОП ""СОКОЛ""")</f>
        <v>ООО "ЧОП "СОКОЛ"</v>
      </c>
      <c r="K11822" s="24" t="s">
        <v>11540</v>
      </c>
      <c r="L11822" s="22" t="s">
        <v>10</v>
      </c>
      <c r="M11822" s="25">
        <v>1979802.6</v>
      </c>
      <c r="N11822" s="27">
        <v>0.17093693467336685</v>
      </c>
    </row>
    <row r="11823" spans="1:14" hidden="1" outlineLevel="1" x14ac:dyDescent="0.15">
      <c r="A11823" s="23" t="str">
        <f>HYPERLINK("https://www.spark-marketing.ru/Card/Person/38622", "АО ""СХК""")</f>
        <v>АО "СХК"</v>
      </c>
      <c r="B11823" s="24" t="s">
        <v>159</v>
      </c>
      <c r="C11823" s="28" t="s">
        <v>52</v>
      </c>
      <c r="D11823" s="22" t="s">
        <v>14089</v>
      </c>
      <c r="E11823" s="22" t="s">
        <v>14090</v>
      </c>
      <c r="F11823" s="23" t="str">
        <f>HYPERLINK("https://www.spark-marketing.ru/Card/Lot/68912896", "Право заключения договора на Оказание услуг по техническому обслуживанию инженерно-технических средств охраны (ИТСО) территорий ЦСХ АО «СХК»")</f>
        <v>Право заключения договора на Оказание услуг по техническому обслуживанию инженерно-технических средств охраны (ИТСО) территорий ЦСХ АО «СХК»</v>
      </c>
      <c r="G11823" s="22" t="s">
        <v>150</v>
      </c>
      <c r="H11823" s="22" t="s">
        <v>161</v>
      </c>
      <c r="I11823" s="26">
        <v>43545.668726851902</v>
      </c>
      <c r="J11823" s="23" t="str">
        <f>HYPERLINK("https://www.spark-marketing.ru/Card/Person/1905065", "ЗАЯВКА")</f>
        <v>ЗАЯВКА</v>
      </c>
      <c r="K11823" s="24" t="s">
        <v>10745</v>
      </c>
      <c r="L11823" s="28" t="s">
        <v>52</v>
      </c>
      <c r="M11823" s="28" t="s">
        <v>52</v>
      </c>
      <c r="N11823" s="28" t="s">
        <v>52</v>
      </c>
    </row>
    <row r="11824" spans="1:14" x14ac:dyDescent="0.15">
      <c r="A11824" s="23" t="str">
        <f>HYPERLINK("https://www.spark-marketing.ru/Card/Person/4348584", "АО ""АТОМ-ОХРАНА""")</f>
        <v>АО "АТОМ-ОХРАНА"</v>
      </c>
      <c r="B11824" s="24" t="s">
        <v>1036</v>
      </c>
      <c r="C11824" s="28" t="s">
        <v>52</v>
      </c>
      <c r="D11824" s="22" t="s">
        <v>14091</v>
      </c>
      <c r="E11824" s="22" t="s">
        <v>53</v>
      </c>
      <c r="F11824" s="23" t="str">
        <f>HYPERLINK("https://www.spark-marketing.ru/Card/Lot/68922498", "оказание услуг по шиномонтажу транспортных средств АУП, отряда №301 МУВО № 3 ФГУП «Атом-охрана» (1213657)")</f>
        <v>оказание услуг по шиномонтажу транспортных средств АУП, отряда №301 МУВО № 3 ФГУП «Атом-охрана» (1213657)</v>
      </c>
      <c r="G11824" s="22" t="s">
        <v>55</v>
      </c>
      <c r="H11824" s="22" t="s">
        <v>55</v>
      </c>
      <c r="I11824" s="26">
        <v>43545.704884259299</v>
      </c>
      <c r="J11824" s="28" t="s">
        <v>52</v>
      </c>
      <c r="K11824" s="28" t="s">
        <v>52</v>
      </c>
      <c r="L11824" s="28" t="s">
        <v>52</v>
      </c>
      <c r="M11824" s="28" t="s">
        <v>52</v>
      </c>
      <c r="N11824" s="28" t="s">
        <v>52</v>
      </c>
    </row>
    <row r="11825" spans="1:14" x14ac:dyDescent="0.15">
      <c r="A11825" s="23" t="str">
        <f>HYPERLINK("https://www.spark-marketing.ru/Card/Person/1462017", "ГБПОУ РО ""РГМТ""")</f>
        <v>ГБПОУ РО "РГМТ"</v>
      </c>
      <c r="B11825" s="24" t="s">
        <v>14092</v>
      </c>
      <c r="C11825" s="25">
        <v>340000</v>
      </c>
      <c r="D11825" s="22" t="s">
        <v>14093</v>
      </c>
      <c r="E11825" s="22" t="s">
        <v>234</v>
      </c>
      <c r="F11825" s="23" t="str">
        <f>HYPERLINK("https://www.spark-marketing.ru/Card/Lot/68919907", "Демонтаж-установка системы видеонаблюдения")</f>
        <v>Демонтаж-установка системы видеонаблюдения</v>
      </c>
      <c r="G11825" s="22" t="s">
        <v>402</v>
      </c>
      <c r="H11825" s="22" t="s">
        <v>403</v>
      </c>
      <c r="I11825" s="26">
        <v>43545.706944444399</v>
      </c>
      <c r="J11825" s="28" t="s">
        <v>52</v>
      </c>
      <c r="K11825" s="28" t="s">
        <v>52</v>
      </c>
      <c r="L11825" s="28" t="s">
        <v>52</v>
      </c>
      <c r="M11825" s="28" t="s">
        <v>52</v>
      </c>
      <c r="N11825" s="28" t="s">
        <v>52</v>
      </c>
    </row>
    <row r="11826" spans="1:14" x14ac:dyDescent="0.15">
      <c r="A11826" s="23" t="str">
        <f>HYPERLINK("https://www.spark-marketing.ru/Card/Person/4348584", "АО ""АТОМ-ОХРАНА""")</f>
        <v>АО "АТОМ-ОХРАНА"</v>
      </c>
      <c r="B11826" s="24" t="s">
        <v>1036</v>
      </c>
      <c r="C11826" s="25">
        <v>0</v>
      </c>
      <c r="D11826" s="22" t="s">
        <v>14094</v>
      </c>
      <c r="E11826" s="22" t="s">
        <v>53</v>
      </c>
      <c r="F11826" s="23" t="str">
        <f>HYPERLINK("https://www.spark-marketing.ru/Card/Lot/68921594", "мониторинг цен в электронной форме на оказание услуг по шиномонтажу транспортных средств АУП, отряда №301 МУВО № 3 ФГУП «Атом-охрана»")</f>
        <v>мониторинг цен в электронной форме на оказание услуг по шиномонтажу транспортных средств АУП, отряда №301 МУВО № 3 ФГУП «Атом-охрана»</v>
      </c>
      <c r="G11826" s="22" t="s">
        <v>55</v>
      </c>
      <c r="H11826" s="22" t="s">
        <v>55</v>
      </c>
      <c r="I11826" s="26">
        <v>43545.661122685196</v>
      </c>
      <c r="J11826" s="28" t="s">
        <v>52</v>
      </c>
      <c r="K11826" s="28" t="s">
        <v>52</v>
      </c>
      <c r="L11826" s="28" t="s">
        <v>52</v>
      </c>
      <c r="M11826" s="28" t="s">
        <v>52</v>
      </c>
      <c r="N11826" s="28" t="s">
        <v>52</v>
      </c>
    </row>
    <row r="11827" spans="1:14" x14ac:dyDescent="0.15">
      <c r="A11827" s="23" t="str">
        <f>HYPERLINK("https://www.spark-marketing.ru/Card/Person/34885", "КГБУЗ ""АРСЕНЬЕВСКАЯ ГБ""")</f>
        <v>КГБУЗ "АРСЕНЬЕВСКАЯ ГБ"</v>
      </c>
      <c r="B11827" s="24" t="s">
        <v>3738</v>
      </c>
      <c r="C11827" s="25">
        <v>349999.98</v>
      </c>
      <c r="D11827" s="22" t="s">
        <v>14095</v>
      </c>
      <c r="E11827" s="22" t="s">
        <v>68</v>
      </c>
      <c r="F11827" s="23" t="str">
        <f>HYPERLINK("https://www.spark-marketing.ru/Card/Lot/68901533", "Охрана объектов")</f>
        <v>Охрана объектов</v>
      </c>
      <c r="G11827" s="22" t="s">
        <v>409</v>
      </c>
      <c r="H11827" s="22" t="s">
        <v>3740</v>
      </c>
      <c r="I11827" s="26">
        <v>43545.644444444399</v>
      </c>
      <c r="J11827" s="28" t="s">
        <v>52</v>
      </c>
      <c r="K11827" s="28" t="s">
        <v>52</v>
      </c>
      <c r="L11827" s="28" t="s">
        <v>52</v>
      </c>
      <c r="M11827" s="28" t="s">
        <v>52</v>
      </c>
      <c r="N11827" s="28" t="s">
        <v>52</v>
      </c>
    </row>
    <row r="11828" spans="1:14" hidden="1" outlineLevel="1" x14ac:dyDescent="0.2">
      <c r="A11828" s="23" t="str">
        <f>HYPERLINK("https://www.spark-marketing.ru/Card/Person/34885", "КГБУЗ ""АРСЕНЬЕВСКАЯ ГБ""")</f>
        <v>КГБУЗ "АРСЕНЬЕВСКАЯ ГБ"</v>
      </c>
      <c r="B11828" s="24" t="s">
        <v>3738</v>
      </c>
      <c r="C11828" s="25">
        <v>349999.98</v>
      </c>
      <c r="D11828" s="22" t="s">
        <v>14095</v>
      </c>
      <c r="E11828" s="22" t="s">
        <v>68</v>
      </c>
      <c r="F11828" s="23" t="str">
        <f>HYPERLINK("https://www.spark-marketing.ru/Card/Lot/68901533", "Охрана объектов")</f>
        <v>Охрана объектов</v>
      </c>
      <c r="G11828" s="22" t="s">
        <v>409</v>
      </c>
      <c r="H11828" s="22" t="s">
        <v>3740</v>
      </c>
      <c r="I11828" s="26">
        <v>43545.644444444399</v>
      </c>
      <c r="J11828" s="23" t="str">
        <f>HYPERLINK("https://www.spark-marketing.ru/Card/Person/667865", "ООО ""ОХРАННОЕ АГЕНТСТВО ""ПЕРЕСВЕТ""")</f>
        <v>ООО "ОХРАННОЕ АГЕНТСТВО "ПЕРЕСВЕТ"</v>
      </c>
      <c r="K11828" s="24" t="s">
        <v>3741</v>
      </c>
      <c r="L11828" s="28" t="s">
        <v>52</v>
      </c>
      <c r="M11828" s="25">
        <v>199499.98</v>
      </c>
      <c r="N11828" s="27">
        <v>0.43000002457143</v>
      </c>
    </row>
    <row r="11829" spans="1:14" ht="12.75" hidden="1" outlineLevel="1" x14ac:dyDescent="0.2">
      <c r="A11829" s="23" t="str">
        <f>HYPERLINK("https://www.spark-marketing.ru/Card/Person/34885", "КГБУЗ ""АРСЕНЬЕВСКАЯ ГБ""")</f>
        <v>КГБУЗ "АРСЕНЬЕВСКАЯ ГБ"</v>
      </c>
      <c r="B11829" s="24" t="s">
        <v>3738</v>
      </c>
      <c r="C11829" s="25">
        <v>349999.98</v>
      </c>
      <c r="D11829" s="22" t="s">
        <v>14095</v>
      </c>
      <c r="E11829" s="22" t="s">
        <v>68</v>
      </c>
      <c r="F11829" s="23" t="str">
        <f>HYPERLINK("https://www.spark-marketing.ru/Card/Lot/68901533", "Охрана объектов")</f>
        <v>Охрана объектов</v>
      </c>
      <c r="G11829" s="22" t="s">
        <v>409</v>
      </c>
      <c r="H11829" s="22" t="s">
        <v>3740</v>
      </c>
      <c r="I11829" s="26">
        <v>43545.644444444399</v>
      </c>
      <c r="J11829" s="23" t="str">
        <f>HYPERLINK("https://www.spark-marketing.ru/Card/Person/470715", "ООО ""ЧАСТНАЯ ОХРАННАЯ ОРГАНИЗАЦИЯ ""СТРЕЛЕЦ""")</f>
        <v>ООО "ЧАСТНАЯ ОХРАННАЯ ОРГАНИЗАЦИЯ "СТРЕЛЕЦ"</v>
      </c>
      <c r="K11829" s="24" t="s">
        <v>3742</v>
      </c>
      <c r="L11829" s="22" t="s">
        <v>10</v>
      </c>
      <c r="M11829" s="25">
        <v>187249.98</v>
      </c>
      <c r="N11829" s="27">
        <v>0.46500002657143008</v>
      </c>
    </row>
    <row r="11830" spans="1:14" hidden="1" outlineLevel="1" x14ac:dyDescent="0.2">
      <c r="A11830" s="23" t="str">
        <f>HYPERLINK("https://www.spark-marketing.ru/Card/Person/34885", "КГБУЗ ""АРСЕНЬЕВСКАЯ ГБ""")</f>
        <v>КГБУЗ "АРСЕНЬЕВСКАЯ ГБ"</v>
      </c>
      <c r="B11830" s="24" t="s">
        <v>3738</v>
      </c>
      <c r="C11830" s="25">
        <v>349999.98</v>
      </c>
      <c r="D11830" s="22" t="s">
        <v>14095</v>
      </c>
      <c r="E11830" s="22" t="s">
        <v>68</v>
      </c>
      <c r="F11830" s="23" t="str">
        <f>HYPERLINK("https://www.spark-marketing.ru/Card/Lot/68901533", "Охрана объектов")</f>
        <v>Охрана объектов</v>
      </c>
      <c r="G11830" s="22" t="s">
        <v>409</v>
      </c>
      <c r="H11830" s="22" t="s">
        <v>3740</v>
      </c>
      <c r="I11830" s="26">
        <v>43545.644444444399</v>
      </c>
      <c r="J11830" s="23" t="str">
        <f>HYPERLINK("https://www.spark-marketing.ru/Card/Person/91730", "ООО ""ЧОП ""СОЮЗ""")</f>
        <v>ООО "ЧОП "СОЮЗ"</v>
      </c>
      <c r="K11830" s="24" t="s">
        <v>3743</v>
      </c>
      <c r="L11830" s="28" t="s">
        <v>52</v>
      </c>
      <c r="M11830" s="25">
        <v>188999.98</v>
      </c>
      <c r="N11830" s="27">
        <v>0.46000002628571579</v>
      </c>
    </row>
    <row r="11831" spans="1:14" x14ac:dyDescent="0.15">
      <c r="A11831" s="23" t="str">
        <f>HYPERLINK("https://www.spark-marketing.ru/Card/Person/1763925", "МАУК КИНОТЕАТР ""МИР КИНО"" БЕЛЕБЕЕВСКОГО РАЙОНА")</f>
        <v>МАУК КИНОТЕАТР "МИР КИНО" БЕЛЕБЕЕВСКОГО РАЙОНА</v>
      </c>
      <c r="B11831" s="24" t="s">
        <v>14096</v>
      </c>
      <c r="C11831" s="25">
        <v>300858.48</v>
      </c>
      <c r="D11831" s="22" t="s">
        <v>14097</v>
      </c>
      <c r="E11831" s="22" t="s">
        <v>789</v>
      </c>
      <c r="F11831" s="23" t="str">
        <f>HYPERLINK("https://www.spark-marketing.ru/Card/Lot/68914164", "Услуги по обеспечению порядка и сохранности имущества")</f>
        <v>Услуги по обеспечению порядка и сохранности имущества</v>
      </c>
      <c r="G11831" s="22" t="s">
        <v>100</v>
      </c>
      <c r="H11831" s="22" t="s">
        <v>100</v>
      </c>
      <c r="I11831" s="26">
        <v>43545.6493402778</v>
      </c>
      <c r="J11831" s="28" t="s">
        <v>52</v>
      </c>
      <c r="K11831" s="28" t="s">
        <v>52</v>
      </c>
      <c r="L11831" s="28" t="s">
        <v>52</v>
      </c>
      <c r="M11831" s="28" t="s">
        <v>52</v>
      </c>
      <c r="N11831" s="28" t="s">
        <v>52</v>
      </c>
    </row>
    <row r="11832" spans="1:14" x14ac:dyDescent="0.15">
      <c r="A11832" s="23" t="str">
        <f>HYPERLINK("https://www.spark-marketing.ru/Card/Person/91596", "МЕЖРАЙОННАЯ ИФНС РОССИИ №3 ПО МОСКОВСКОЙ ОБЛАСТИ")</f>
        <v>МЕЖРАЙОННАЯ ИФНС РОССИИ №3 ПО МОСКОВСКОЙ ОБЛАСТИ</v>
      </c>
      <c r="B11832" s="24" t="s">
        <v>14098</v>
      </c>
      <c r="C11832" s="25">
        <v>72301.919999999998</v>
      </c>
      <c r="D11832" s="22" t="s">
        <v>14099</v>
      </c>
      <c r="E11832" s="22" t="s">
        <v>53</v>
      </c>
      <c r="F11832" s="23" t="str">
        <f>HYPERLINK("https://www.spark-marketing.ru/Card/Lot/70792438", "Техническое обслуживание комплекса технических средств охраны и технологическое обеспечение работоспособностиоконечного устройства систем передачи извещений")</f>
        <v>Техническое обслуживание комплекса технических средств охраны и технологическое обеспечение работоспособностиоконечного устройства систем передачи извещений</v>
      </c>
      <c r="G11832" s="22" t="s">
        <v>50</v>
      </c>
      <c r="H11832" s="22" t="s">
        <v>76</v>
      </c>
      <c r="I11832" s="26">
        <v>43545.665393518502</v>
      </c>
      <c r="J11832" s="28" t="s">
        <v>52</v>
      </c>
      <c r="K11832" s="28" t="s">
        <v>52</v>
      </c>
      <c r="L11832" s="28" t="s">
        <v>52</v>
      </c>
      <c r="M11832" s="28" t="s">
        <v>52</v>
      </c>
      <c r="N11832" s="28" t="s">
        <v>52</v>
      </c>
    </row>
    <row r="11833" spans="1:14" x14ac:dyDescent="0.15">
      <c r="A11833" s="23" t="str">
        <f>HYPERLINK("https://www.spark-marketing.ru/Card/Person/4450008", "ООО ""КАРИ""")</f>
        <v>ООО "КАРИ"</v>
      </c>
      <c r="B11833" s="24" t="s">
        <v>2903</v>
      </c>
      <c r="C11833" s="25">
        <v>0</v>
      </c>
      <c r="D11833" s="22" t="s">
        <v>14100</v>
      </c>
      <c r="E11833" s="22" t="s">
        <v>208</v>
      </c>
      <c r="F11833" s="23" t="str">
        <f>HYPERLINK("https://www.spark-marketing.ru/Card/Lot/68920394", "Услуги охраны: 5 постов - 24 ч., 1 пост - 12 ч.")</f>
        <v>Услуги охраны: 5 постов - 24 ч., 1 пост - 12 ч.</v>
      </c>
      <c r="G11833" s="22" t="s">
        <v>55</v>
      </c>
      <c r="H11833" s="22" t="s">
        <v>55</v>
      </c>
      <c r="I11833" s="26">
        <v>43545.621539351901</v>
      </c>
      <c r="J11833" s="28" t="s">
        <v>52</v>
      </c>
      <c r="K11833" s="28" t="s">
        <v>52</v>
      </c>
      <c r="L11833" s="28" t="s">
        <v>52</v>
      </c>
      <c r="M11833" s="28" t="s">
        <v>52</v>
      </c>
      <c r="N11833" s="28" t="s">
        <v>52</v>
      </c>
    </row>
    <row r="11834" spans="1:14" x14ac:dyDescent="0.15">
      <c r="A11834" s="23" t="str">
        <f>HYPERLINK("https://www.spark-marketing.ru/Card/Person/7228", "ГБУЗ ""ГКБ № 29 ИМ. Н.Э. БАУМАНА""")</f>
        <v>ГБУЗ "ГКБ № 29 ИМ. Н.Э. БАУМАНА"</v>
      </c>
      <c r="B11834" s="24" t="s">
        <v>14101</v>
      </c>
      <c r="C11834" s="25">
        <v>18785373.739999998</v>
      </c>
      <c r="D11834" s="22" t="s">
        <v>14102</v>
      </c>
      <c r="E11834" s="22" t="s">
        <v>3069</v>
      </c>
      <c r="F11834" s="23" t="str">
        <f>HYPERLINK("https://www.spark-marketing.ru/Card/Lot/68916248", "Аукцион в электронной форме на поставку, установку и ввод в эксплуатацию видеоэндоскопической стойки в соответствии с постановлением Правительства РФ от 21.04.2016 г. № 332(СОМС2018-77)")</f>
        <v>Аукцион в электронной форме на поставку, установку и ввод в эксплуатацию видеоэндоскопической стойки в соответствии с постановлением Правительства РФ от 21.04.2016 г. № 332(СОМС2018-77)</v>
      </c>
      <c r="G11834" s="22" t="s">
        <v>55</v>
      </c>
      <c r="H11834" s="22" t="s">
        <v>55</v>
      </c>
      <c r="I11834" s="26">
        <v>43545.557638888902</v>
      </c>
      <c r="J11834" s="28" t="s">
        <v>52</v>
      </c>
      <c r="K11834" s="28" t="s">
        <v>52</v>
      </c>
      <c r="L11834" s="28" t="s">
        <v>52</v>
      </c>
      <c r="M11834" s="28" t="s">
        <v>52</v>
      </c>
      <c r="N11834" s="28" t="s">
        <v>52</v>
      </c>
    </row>
    <row r="11835" spans="1:14" ht="12.75" hidden="1" outlineLevel="1" x14ac:dyDescent="0.2">
      <c r="A11835" s="23" t="str">
        <f>HYPERLINK("https://www.spark-marketing.ru/Card/Person/7228", "ГБУЗ ""ГКБ № 29 ИМ. Н.Э. БАУМАНА""")</f>
        <v>ГБУЗ "ГКБ № 29 ИМ. Н.Э. БАУМАНА"</v>
      </c>
      <c r="B11835" s="24" t="s">
        <v>14101</v>
      </c>
      <c r="C11835" s="25">
        <v>18785373.739999998</v>
      </c>
      <c r="D11835" s="22" t="s">
        <v>14102</v>
      </c>
      <c r="E11835" s="22" t="s">
        <v>3069</v>
      </c>
      <c r="F11835" s="23" t="str">
        <f>HYPERLINK("https://www.spark-marketing.ru/Card/Lot/68916248", "Аукцион в электронной форме на поставку, установку и ввод в эксплуатацию видеоэндоскопической стойки в соответствии с постановлением Правительства РФ от 21.04.2016 г. № 332(СОМС2018-77)")</f>
        <v>Аукцион в электронной форме на поставку, установку и ввод в эксплуатацию видеоэндоскопической стойки в соответствии с постановлением Правительства РФ от 21.04.2016 г. № 332(СОМС2018-77)</v>
      </c>
      <c r="G11835" s="22" t="s">
        <v>55</v>
      </c>
      <c r="H11835" s="22" t="s">
        <v>55</v>
      </c>
      <c r="I11835" s="26">
        <v>43545.557638888902</v>
      </c>
      <c r="J11835" s="23" t="str">
        <f>HYPERLINK("https://www.spark-marketing.ru/Card/Person/6116976", "ООО ""НЕОМЕД""")</f>
        <v>ООО "НЕОМЕД"</v>
      </c>
      <c r="K11835" s="24" t="s">
        <v>3070</v>
      </c>
      <c r="L11835" s="22" t="s">
        <v>10</v>
      </c>
      <c r="M11835" s="25">
        <v>18597520</v>
      </c>
      <c r="N11835" s="27">
        <v>1.0000000138405551E-2</v>
      </c>
    </row>
    <row r="11836" spans="1:14" hidden="1" outlineLevel="1" x14ac:dyDescent="0.2">
      <c r="A11836" s="23" t="str">
        <f>HYPERLINK("https://www.spark-marketing.ru/Card/Person/7228", "ГБУЗ ""ГКБ № 29 ИМ. Н.Э. БАУМАНА""")</f>
        <v>ГБУЗ "ГКБ № 29 ИМ. Н.Э. БАУМАНА"</v>
      </c>
      <c r="B11836" s="24" t="s">
        <v>14101</v>
      </c>
      <c r="C11836" s="25">
        <v>18785373.739999998</v>
      </c>
      <c r="D11836" s="22" t="s">
        <v>14102</v>
      </c>
      <c r="E11836" s="22" t="s">
        <v>3069</v>
      </c>
      <c r="F11836" s="23" t="str">
        <f>HYPERLINK("https://www.spark-marketing.ru/Card/Lot/68916248", "Аукцион в электронной форме на поставку, установку и ввод в эксплуатацию видеоэндоскопической стойки в соответствии с постановлением Правительства РФ от 21.04.2016 г. № 332(СОМС2018-77)")</f>
        <v>Аукцион в электронной форме на поставку, установку и ввод в эксплуатацию видеоэндоскопической стойки в соответствии с постановлением Правительства РФ от 21.04.2016 г. № 332(СОМС2018-77)</v>
      </c>
      <c r="G11836" s="22" t="s">
        <v>55</v>
      </c>
      <c r="H11836" s="22" t="s">
        <v>55</v>
      </c>
      <c r="I11836" s="26">
        <v>43545.557638888902</v>
      </c>
      <c r="J11836" s="23" t="str">
        <f>HYPERLINK("https://www.spark-marketing.ru/Card/Person/49542", "ООО ""БРИЗ-ИНСТРУМЕНТ""")</f>
        <v>ООО "БРИЗ-ИНСТРУМЕНТ"</v>
      </c>
      <c r="K11836" s="24" t="s">
        <v>13316</v>
      </c>
      <c r="L11836" s="28" t="s">
        <v>52</v>
      </c>
      <c r="M11836" s="25">
        <v>18691446.870000001</v>
      </c>
      <c r="N11836" s="27">
        <v>5.0000000692027756E-3</v>
      </c>
    </row>
    <row r="11837" spans="1:14" x14ac:dyDescent="0.15">
      <c r="A11837" s="23" t="str">
        <f>HYPERLINK("https://www.spark-marketing.ru/Card/Person/18873", "УСД В КЕМЕРОВСКОЙ ОБЛАСТИ")</f>
        <v>УСД В КЕМЕРОВСКОЙ ОБЛАСТИ</v>
      </c>
      <c r="B11837" s="24" t="s">
        <v>7512</v>
      </c>
      <c r="C11837" s="25">
        <v>94901.759999999995</v>
      </c>
      <c r="D11837" s="22" t="s">
        <v>14103</v>
      </c>
      <c r="E11837" s="22" t="s">
        <v>68</v>
      </c>
      <c r="F11837" s="23" t="str">
        <f>HYPERLINK("https://www.spark-marketing.ru/Card/Lot/68902576", "Оказание охранных услуг с использованием технических средств охранной сигнализации в Тайгинском городском суде и Ижморском районном суде Кемеровской области")</f>
        <v>Оказание охранных услуг с использованием технических средств охранной сигнализации в Тайгинском городском суде и Ижморском районном суде Кемеровской области</v>
      </c>
      <c r="G11837" s="22" t="s">
        <v>367</v>
      </c>
      <c r="H11837" s="22" t="s">
        <v>367</v>
      </c>
      <c r="I11837" s="26">
        <v>43545.548611111102</v>
      </c>
      <c r="J11837" s="28" t="s">
        <v>52</v>
      </c>
      <c r="K11837" s="28" t="s">
        <v>52</v>
      </c>
      <c r="L11837" s="28" t="s">
        <v>52</v>
      </c>
      <c r="M11837" s="28" t="s">
        <v>52</v>
      </c>
      <c r="N11837" s="28" t="s">
        <v>52</v>
      </c>
    </row>
    <row r="11838" spans="1:14" x14ac:dyDescent="0.15">
      <c r="A11838" s="23" t="str">
        <f>HYPERLINK("https://www.spark-marketing.ru/Card/Person/62451", "ЗАПАДНО-СИБИРСКОЕ СУТ СК РОССИИ")</f>
        <v>ЗАПАДНО-СИБИРСКОЕ СУТ СК РОССИИ</v>
      </c>
      <c r="B11838" s="24" t="s">
        <v>11238</v>
      </c>
      <c r="C11838" s="25">
        <v>13804.83</v>
      </c>
      <c r="D11838" s="22" t="s">
        <v>14104</v>
      </c>
      <c r="E11838" s="22" t="s">
        <v>68</v>
      </c>
      <c r="F11838" s="23" t="str">
        <f>HYPERLINK("https://www.spark-marketing.ru/Card/Lot/68901066", "Оказание услуг по охране с помощью кнопки тревожной сигнализации объекта Западно-Сибирского следственного управления на транспорте Следственного комитета Российской Федерации (г. Ачинск)")</f>
        <v>Оказание услуг по охране с помощью кнопки тревожной сигнализации объекта Западно-Сибирского следственного управления на транспорте Следственного комитета Российской Федерации (г. Ачинск)</v>
      </c>
      <c r="G11838" s="22" t="s">
        <v>640</v>
      </c>
      <c r="H11838" s="22" t="s">
        <v>640</v>
      </c>
      <c r="I11838" s="26">
        <v>43545.539583333302</v>
      </c>
      <c r="J11838" s="28" t="s">
        <v>52</v>
      </c>
      <c r="K11838" s="28" t="s">
        <v>52</v>
      </c>
      <c r="L11838" s="28" t="s">
        <v>52</v>
      </c>
      <c r="M11838" s="28" t="s">
        <v>52</v>
      </c>
      <c r="N11838" s="28" t="s">
        <v>52</v>
      </c>
    </row>
    <row r="11839" spans="1:14" x14ac:dyDescent="0.15">
      <c r="A11839" s="23" t="str">
        <f>HYPERLINK("https://www.spark-marketing.ru/Card/Person/154165", "ГБУЗ ""МГЛИНСКАЯ ЦРБ""")</f>
        <v>ГБУЗ "МГЛИНСКАЯ ЦРБ"</v>
      </c>
      <c r="B11839" s="24" t="s">
        <v>14105</v>
      </c>
      <c r="C11839" s="25">
        <v>12852</v>
      </c>
      <c r="D11839" s="22" t="s">
        <v>14106</v>
      </c>
      <c r="E11839" s="22" t="s">
        <v>68</v>
      </c>
      <c r="F11839" s="23" t="str">
        <f>HYPERLINK("https://www.spark-marketing.ru/Card/Lot/68914335", "Обслуживание технических средств охраны")</f>
        <v>Обслуживание технических средств охраны</v>
      </c>
      <c r="G11839" s="22" t="s">
        <v>215</v>
      </c>
      <c r="H11839" s="22" t="s">
        <v>14107</v>
      </c>
      <c r="I11839" s="26">
        <v>43545.521527777797</v>
      </c>
      <c r="J11839" s="28" t="s">
        <v>52</v>
      </c>
      <c r="K11839" s="28" t="s">
        <v>52</v>
      </c>
      <c r="L11839" s="28" t="s">
        <v>52</v>
      </c>
      <c r="M11839" s="28" t="s">
        <v>52</v>
      </c>
      <c r="N11839" s="28" t="s">
        <v>52</v>
      </c>
    </row>
    <row r="11840" spans="1:14" x14ac:dyDescent="0.15">
      <c r="A11840" s="23" t="str">
        <f>HYPERLINK("https://www.spark-marketing.ru/Card/Person/62451", "ЗАПАДНО-СИБИРСКОЕ СУТ СК РОССИИ")</f>
        <v>ЗАПАДНО-СИБИРСКОЕ СУТ СК РОССИИ</v>
      </c>
      <c r="B11840" s="24" t="s">
        <v>11238</v>
      </c>
      <c r="C11840" s="25">
        <v>198695.04000000001</v>
      </c>
      <c r="D11840" s="22" t="s">
        <v>14108</v>
      </c>
      <c r="E11840" s="22" t="s">
        <v>68</v>
      </c>
      <c r="F11840" s="23" t="str">
        <f>HYPERLINK("https://www.spark-marketing.ru/Card/Lot/68902519", "Оказание услуг по охране с помощью кнопки тревожной сигнализации объекта Западно-Сибирского следственного управления на транспорте Следственного комитета Российской Федерации (г. Новосибирск).")</f>
        <v>Оказание услуг по охране с помощью кнопки тревожной сигнализации объекта Западно-Сибирского следственного управления на транспорте Следственного комитета Российской Федерации (г. Новосибирск).</v>
      </c>
      <c r="G11840" s="22" t="s">
        <v>209</v>
      </c>
      <c r="H11840" s="22" t="s">
        <v>209</v>
      </c>
      <c r="I11840" s="26">
        <v>43545.5402777778</v>
      </c>
      <c r="J11840" s="28" t="s">
        <v>52</v>
      </c>
      <c r="K11840" s="28" t="s">
        <v>52</v>
      </c>
      <c r="L11840" s="28" t="s">
        <v>52</v>
      </c>
      <c r="M11840" s="28" t="s">
        <v>52</v>
      </c>
      <c r="N11840" s="28" t="s">
        <v>52</v>
      </c>
    </row>
    <row r="11841" spans="1:14" x14ac:dyDescent="0.15">
      <c r="A11841" s="23" t="str">
        <f>HYPERLINK("https://www.spark-marketing.ru/Card/Person/62451", "ЗАПАДНО-СИБИРСКОЕ СУТ СК РОССИИ")</f>
        <v>ЗАПАДНО-СИБИРСКОЕ СУТ СК РОССИИ</v>
      </c>
      <c r="B11841" s="24" t="s">
        <v>11238</v>
      </c>
      <c r="C11841" s="25">
        <v>227917.44</v>
      </c>
      <c r="D11841" s="22" t="s">
        <v>14109</v>
      </c>
      <c r="E11841" s="22" t="s">
        <v>68</v>
      </c>
      <c r="F11841" s="23" t="str">
        <f>HYPERLINK("https://www.spark-marketing.ru/Card/Lot/68902552", "Оказание услуг по централизованной охране объекта Западно-Сибирского следственного управления на транспорте Следственного комитета Российской Федерации (г. Новосибирск).")</f>
        <v>Оказание услуг по централизованной охране объекта Западно-Сибирского следственного управления на транспорте Следственного комитета Российской Федерации (г. Новосибирск).</v>
      </c>
      <c r="G11841" s="22" t="s">
        <v>209</v>
      </c>
      <c r="H11841" s="22" t="s">
        <v>209</v>
      </c>
      <c r="I11841" s="26">
        <v>43545.539583333302</v>
      </c>
      <c r="J11841" s="28" t="s">
        <v>52</v>
      </c>
      <c r="K11841" s="28" t="s">
        <v>52</v>
      </c>
      <c r="L11841" s="28" t="s">
        <v>52</v>
      </c>
      <c r="M11841" s="28" t="s">
        <v>52</v>
      </c>
      <c r="N11841" s="28" t="s">
        <v>52</v>
      </c>
    </row>
    <row r="11842" spans="1:14" x14ac:dyDescent="0.15">
      <c r="A11842" s="23" t="str">
        <f>HYPERLINK("https://www.spark-marketing.ru/Card/Person/62451", "ЗАПАДНО-СИБИРСКОЕ СУТ СК РОССИИ")</f>
        <v>ЗАПАДНО-СИБИРСКОЕ СУТ СК РОССИИ</v>
      </c>
      <c r="B11842" s="24" t="s">
        <v>11238</v>
      </c>
      <c r="C11842" s="25">
        <v>97532.04</v>
      </c>
      <c r="D11842" s="22" t="s">
        <v>14110</v>
      </c>
      <c r="E11842" s="22" t="s">
        <v>68</v>
      </c>
      <c r="F11842" s="23" t="str">
        <f>HYPERLINK("https://www.spark-marketing.ru/Card/Lot/68901648", "Оказание услуг по централизованной охране объекта Западно-Сибирского следственного управления на транспорте Следственного комитета Российской Федерации (г. Ачинск)")</f>
        <v>Оказание услуг по централизованной охране объекта Западно-Сибирского следственного управления на транспорте Следственного комитета Российской Федерации (г. Ачинск)</v>
      </c>
      <c r="G11842" s="22" t="s">
        <v>640</v>
      </c>
      <c r="H11842" s="22" t="s">
        <v>640</v>
      </c>
      <c r="I11842" s="26">
        <v>43545.539583333302</v>
      </c>
      <c r="J11842" s="28" t="s">
        <v>52</v>
      </c>
      <c r="K11842" s="28" t="s">
        <v>52</v>
      </c>
      <c r="L11842" s="28" t="s">
        <v>52</v>
      </c>
      <c r="M11842" s="28" t="s">
        <v>52</v>
      </c>
      <c r="N11842" s="28" t="s">
        <v>52</v>
      </c>
    </row>
    <row r="11843" spans="1:14" x14ac:dyDescent="0.15">
      <c r="A11843" s="23" t="str">
        <f>HYPERLINK("https://www.spark-marketing.ru/Card/Person/1074334", "ГБУ РО ""СШОР № 11""")</f>
        <v>ГБУ РО "СШОР № 11"</v>
      </c>
      <c r="B11843" s="24" t="s">
        <v>14111</v>
      </c>
      <c r="C11843" s="25">
        <v>64800</v>
      </c>
      <c r="D11843" s="22" t="s">
        <v>14112</v>
      </c>
      <c r="E11843" s="22" t="s">
        <v>103</v>
      </c>
      <c r="F11843" s="23" t="str">
        <f>HYPERLINK("https://www.spark-marketing.ru/Card/Lot/68911106", "Обслуживание системы видеонаблюдения")</f>
        <v>Обслуживание системы видеонаблюдения</v>
      </c>
      <c r="G11843" s="22" t="s">
        <v>402</v>
      </c>
      <c r="H11843" s="22" t="s">
        <v>403</v>
      </c>
      <c r="I11843" s="26">
        <v>43545.535416666702</v>
      </c>
      <c r="J11843" s="28" t="s">
        <v>52</v>
      </c>
      <c r="K11843" s="28" t="s">
        <v>52</v>
      </c>
      <c r="L11843" s="28" t="s">
        <v>52</v>
      </c>
      <c r="M11843" s="28" t="s">
        <v>52</v>
      </c>
      <c r="N11843" s="28" t="s">
        <v>52</v>
      </c>
    </row>
    <row r="11844" spans="1:14" x14ac:dyDescent="0.15">
      <c r="A11844" s="23" t="str">
        <f>HYPERLINK("https://www.spark-marketing.ru/Card/Person/1005899", "ГБУЗ МО ""МОНД""")</f>
        <v>ГБУЗ МО "МОНД"</v>
      </c>
      <c r="B11844" s="24" t="s">
        <v>14113</v>
      </c>
      <c r="C11844" s="25">
        <v>12204</v>
      </c>
      <c r="D11844" s="22" t="s">
        <v>14114</v>
      </c>
      <c r="E11844" s="22" t="s">
        <v>107</v>
      </c>
      <c r="F11844" s="23" t="str">
        <f>HYPERLINK("https://www.spark-marketing.ru/Card/Lot/68907748", "Комплексное(система тревожной кнопки)")</f>
        <v>Комплексное(система тревожной кнопки)</v>
      </c>
      <c r="G11844" s="22" t="s">
        <v>50</v>
      </c>
      <c r="H11844" s="22" t="s">
        <v>76</v>
      </c>
      <c r="I11844" s="26">
        <v>43545.504085648201</v>
      </c>
      <c r="J11844" s="28" t="s">
        <v>52</v>
      </c>
      <c r="K11844" s="28" t="s">
        <v>52</v>
      </c>
      <c r="L11844" s="28" t="s">
        <v>52</v>
      </c>
      <c r="M11844" s="28" t="s">
        <v>52</v>
      </c>
      <c r="N11844" s="28" t="s">
        <v>52</v>
      </c>
    </row>
    <row r="11845" spans="1:14" x14ac:dyDescent="0.15">
      <c r="A11845" s="23" t="str">
        <f>HYPERLINK("https://www.spark-marketing.ru/Card/Person/4345866", "ГУЗ ""ККБ""")</f>
        <v>ГУЗ "ККБ"</v>
      </c>
      <c r="B11845" s="24" t="s">
        <v>14115</v>
      </c>
      <c r="C11845" s="25">
        <v>35793.360000000001</v>
      </c>
      <c r="D11845" s="22" t="s">
        <v>14116</v>
      </c>
      <c r="E11845" s="22" t="s">
        <v>68</v>
      </c>
      <c r="F11845" s="23" t="str">
        <f>HYPERLINK("https://www.spark-marketing.ru/Card/Lot/68897709", "Оказание услуг по предупреждению и пресечению правонарушений и преступлений с помощью тревожной сигнализации")</f>
        <v>Оказание услуг по предупреждению и пресечению правонарушений и преступлений с помощью тревожной сигнализации</v>
      </c>
      <c r="G11845" s="22" t="s">
        <v>473</v>
      </c>
      <c r="H11845" s="22" t="s">
        <v>476</v>
      </c>
      <c r="I11845" s="26">
        <v>43545.470138888901</v>
      </c>
      <c r="J11845" s="28" t="s">
        <v>52</v>
      </c>
      <c r="K11845" s="28" t="s">
        <v>52</v>
      </c>
      <c r="L11845" s="28" t="s">
        <v>52</v>
      </c>
      <c r="M11845" s="28" t="s">
        <v>52</v>
      </c>
      <c r="N11845" s="28" t="s">
        <v>52</v>
      </c>
    </row>
    <row r="11846" spans="1:14" ht="12.75" x14ac:dyDescent="0.2">
      <c r="A11846" s="23" t="str">
        <f>HYPERLINK("https://www.spark-marketing.ru/Card/Person/62743", "ФГБОУ ВО ""РГСУ"", РГСУ, РОССИЙСКИЙ ГОСУДАРСТВЕННЫЙ СОЦИАЛЬНЫЙ УНИВЕРСИТЕТ")</f>
        <v>ФГБОУ ВО "РГСУ", РГСУ, РОССИЙСКИЙ ГОСУДАРСТВЕННЫЙ СОЦИАЛЬНЫЙ УНИВЕРСИТЕТ</v>
      </c>
      <c r="B11846" s="24" t="s">
        <v>14117</v>
      </c>
      <c r="C11846" s="25">
        <v>380884.8</v>
      </c>
      <c r="D11846" s="22" t="s">
        <v>14118</v>
      </c>
      <c r="E11846" s="22" t="s">
        <v>144</v>
      </c>
      <c r="F11846" s="23" t="str">
        <f>HYPERLINK("https://www.spark-marketing.ru/Card/Lot/68907298", "Оказание охранных услуг в зданиях, помещениях оборудованных кнопкой тревожной сигнализации и реагирования мобильными нарядами войск национальной гвардии для нужд Санатория-профилактория для студентов и сотрудников РГСУ и УРМЦ ""Алмаз""")</f>
        <v>Оказание охранных услуг в зданиях, помещениях оборудованных кнопкой тревожной сигнализации и реагирования мобильными нарядами войск национальной гвардии для нужд Санатория-профилактория для студентов и сотрудников РГСУ и УРМЦ "Алмаз"</v>
      </c>
      <c r="G11846" s="22" t="s">
        <v>50</v>
      </c>
      <c r="H11846" s="22" t="s">
        <v>50</v>
      </c>
      <c r="I11846" s="26">
        <v>43545.460185185198</v>
      </c>
      <c r="J11846" s="23" t="str">
        <f>HYPERLINK("https://www.spark-marketing.ru/Card/Person/4368305", "ФГКУ ""УВО ВНГ РОССИИ ПО МОСКОВСКОЙ ОБЛАСТИ""")</f>
        <v>ФГКУ "УВО ВНГ РОССИИ ПО МОСКОВСКОЙ ОБЛАСТИ"</v>
      </c>
      <c r="K11846" s="24" t="s">
        <v>9566</v>
      </c>
      <c r="L11846" s="22" t="s">
        <v>10</v>
      </c>
      <c r="M11846" s="25">
        <v>380884.8</v>
      </c>
      <c r="N11846" s="27">
        <v>0</v>
      </c>
    </row>
    <row r="11847" spans="1:14" x14ac:dyDescent="0.15">
      <c r="A11847" s="23" t="str">
        <f>HYPERLINK("https://www.spark-marketing.ru/Card/Person/4331050", "ООО БАШНЕФТЬ СЕРВИС")</f>
        <v>ООО БАШНЕФТЬ СЕРВИС</v>
      </c>
      <c r="B11847" s="28" t="s">
        <v>52</v>
      </c>
      <c r="C11847" s="28" t="s">
        <v>52</v>
      </c>
      <c r="D11847" s="22" t="s">
        <v>14119</v>
      </c>
      <c r="E11847" s="22" t="s">
        <v>14120</v>
      </c>
      <c r="F11847" s="23" t="str">
        <f>HYPERLINK("https://www.spark-marketing.ru/Card/Lot/74020346", "Оборудование по эксплуатации и ТО объектов ПАО АНК «Башнефть»")</f>
        <v>Оборудование по эксплуатации и ТО объектов ПАО АНК «Башнефть»</v>
      </c>
      <c r="G11847" s="22" t="s">
        <v>100</v>
      </c>
      <c r="H11847" s="22" t="s">
        <v>373</v>
      </c>
      <c r="I11847" s="26">
        <v>43545.497222222199</v>
      </c>
      <c r="J11847" s="28" t="s">
        <v>52</v>
      </c>
      <c r="K11847" s="28" t="s">
        <v>52</v>
      </c>
      <c r="L11847" s="28" t="s">
        <v>52</v>
      </c>
      <c r="M11847" s="28" t="s">
        <v>52</v>
      </c>
      <c r="N11847" s="28" t="s">
        <v>52</v>
      </c>
    </row>
    <row r="11848" spans="1:14" x14ac:dyDescent="0.15">
      <c r="A11848" s="23" t="str">
        <f>HYPERLINK("https://www.spark-marketing.ru/Card/Person/5204", "УПРАВЛЕНИЕ СУДЕБНОГО ДЕПАРТАМЕНТА В АРХАНГЕЛЬСКОЙ ОБЛАСТИ И НЕНЕЦКОМ АВТОНОМНОМ ОКРУГЕ")</f>
        <v>УПРАВЛЕНИЕ СУДЕБНОГО ДЕПАРТАМЕНТА В АРХАНГЕЛЬСКОЙ ОБЛАСТИ И НЕНЕЦКОМ АВТОНОМНОМ ОКРУГЕ</v>
      </c>
      <c r="B11848" s="24" t="s">
        <v>6926</v>
      </c>
      <c r="C11848" s="25">
        <v>93740</v>
      </c>
      <c r="D11848" s="22" t="s">
        <v>14121</v>
      </c>
      <c r="E11848" s="22" t="s">
        <v>376</v>
      </c>
      <c r="F11848" s="23" t="str">
        <f>HYPERLINK("https://www.spark-marketing.ru/Card/Lot/68908449", "Поставка с установкой системы открывания ворот для нужд Приморского районного суда Архангельской области для обеспечения государственных нужд")</f>
        <v>Поставка с установкой системы открывания ворот для нужд Приморского районного суда Архангельской области для обеспечения государственных нужд</v>
      </c>
      <c r="G11848" s="22" t="s">
        <v>674</v>
      </c>
      <c r="H11848" s="22" t="s">
        <v>674</v>
      </c>
      <c r="I11848" s="26">
        <v>43545.479861111096</v>
      </c>
      <c r="J11848" s="23" t="str">
        <f>HYPERLINK("https://www.spark-marketing.ru/Card/Person/4721832", "ООО ""РОЛС""")</f>
        <v>ООО "РОЛС"</v>
      </c>
      <c r="K11848" s="24" t="s">
        <v>14122</v>
      </c>
      <c r="L11848" s="28" t="s">
        <v>52</v>
      </c>
      <c r="M11848" s="28" t="s">
        <v>52</v>
      </c>
      <c r="N11848" s="28" t="s">
        <v>52</v>
      </c>
    </row>
    <row r="11849" spans="1:14" ht="12.75" hidden="1" outlineLevel="1" x14ac:dyDescent="0.2">
      <c r="A11849" s="23" t="str">
        <f>HYPERLINK("https://www.spark-marketing.ru/Card/Person/5204", "УПРАВЛЕНИЕ СУДЕБНОГО ДЕПАРТАМЕНТА В АРХАНГЕЛЬСКОЙ ОБЛАСТИ И НЕНЕЦКОМ АВТОНОМНОМ ОКРУГЕ")</f>
        <v>УПРАВЛЕНИЕ СУДЕБНОГО ДЕПАРТАМЕНТА В АРХАНГЕЛЬСКОЙ ОБЛАСТИ И НЕНЕЦКОМ АВТОНОМНОМ ОКРУГЕ</v>
      </c>
      <c r="B11849" s="24" t="s">
        <v>6926</v>
      </c>
      <c r="C11849" s="25">
        <v>93740</v>
      </c>
      <c r="D11849" s="22" t="s">
        <v>14121</v>
      </c>
      <c r="E11849" s="22" t="s">
        <v>376</v>
      </c>
      <c r="F11849" s="23" t="str">
        <f>HYPERLINK("https://www.spark-marketing.ru/Card/Lot/68908449", "Поставка с установкой системы открывания ворот для нужд Приморского районного суда Архангельской области для обеспечения государственных нужд")</f>
        <v>Поставка с установкой системы открывания ворот для нужд Приморского районного суда Архангельской области для обеспечения государственных нужд</v>
      </c>
      <c r="G11849" s="22" t="s">
        <v>674</v>
      </c>
      <c r="H11849" s="22" t="s">
        <v>674</v>
      </c>
      <c r="I11849" s="26">
        <v>43545.479861111096</v>
      </c>
      <c r="J11849" s="23" t="str">
        <f>HYPERLINK("https://www.spark-marketing.ru/Card/Person/4721832", "ООО ""РОЛС""")</f>
        <v>ООО "РОЛС"</v>
      </c>
      <c r="K11849" s="24" t="s">
        <v>14122</v>
      </c>
      <c r="L11849" s="22" t="s">
        <v>10</v>
      </c>
      <c r="M11849" s="25">
        <v>93000</v>
      </c>
      <c r="N11849" s="27">
        <v>7.894175378707062E-3</v>
      </c>
    </row>
    <row r="11850" spans="1:14" x14ac:dyDescent="0.15">
      <c r="A11850" s="23" t="str">
        <f>HYPERLINK("https://www.spark-marketing.ru/Card/Person/91981", "ГБСУСО МО ""ШЕРЕМЕТЬЕВСКИЙ РЦ""")</f>
        <v>ГБСУСО МО "ШЕРЕМЕТЬЕВСКИЙ РЦ"</v>
      </c>
      <c r="B11850" s="24" t="s">
        <v>14087</v>
      </c>
      <c r="C11850" s="25">
        <v>31000</v>
      </c>
      <c r="D11850" s="22" t="s">
        <v>14123</v>
      </c>
      <c r="E11850" s="22" t="s">
        <v>4116</v>
      </c>
      <c r="F11850" s="23" t="str">
        <f>HYPERLINK("https://www.spark-marketing.ru/Card/Lot/68908414", "Услуги пультовой охраны с использованием тревожной кнопки")</f>
        <v>Услуги пультовой охраны с использованием тревожной кнопки</v>
      </c>
      <c r="G11850" s="22" t="s">
        <v>50</v>
      </c>
      <c r="H11850" s="22" t="s">
        <v>3866</v>
      </c>
      <c r="I11850" s="26">
        <v>43545.471898148098</v>
      </c>
      <c r="J11850" s="28" t="s">
        <v>52</v>
      </c>
      <c r="K11850" s="28" t="s">
        <v>52</v>
      </c>
      <c r="L11850" s="28" t="s">
        <v>52</v>
      </c>
      <c r="M11850" s="28" t="s">
        <v>52</v>
      </c>
      <c r="N11850" s="28" t="s">
        <v>52</v>
      </c>
    </row>
    <row r="11851" spans="1:14" x14ac:dyDescent="0.15">
      <c r="A11851" s="23" t="str">
        <f>HYPERLINK("https://www.spark-marketing.ru/Card/Person/666553", "ФГП ВО ЖДТ РОССИИ")</f>
        <v>ФГП ВО ЖДТ РОССИИ</v>
      </c>
      <c r="B11851" s="24" t="s">
        <v>1269</v>
      </c>
      <c r="C11851" s="25">
        <v>5520000</v>
      </c>
      <c r="D11851" s="22" t="s">
        <v>14124</v>
      </c>
      <c r="E11851" s="22" t="s">
        <v>1543</v>
      </c>
      <c r="F11851" s="23" t="str">
        <f>HYPERLINK("https://www.spark-marketing.ru/Card/Lot/68908052", "Поставка 2 автобусов для нужд филиала федерального государственного предприятия «Ведомственная охрана железнодорожного транспорта Российской Федерации» на Северо-Кавказской железной дороге")</f>
        <v>Поставка 2 автобусов для нужд филиала федерального государственного предприятия «Ведомственная охрана железнодорожного транспорта Российской Федерации» на Северо-Кавказской железной дороге</v>
      </c>
      <c r="G11851" s="22" t="s">
        <v>55</v>
      </c>
      <c r="H11851" s="22" t="s">
        <v>55</v>
      </c>
      <c r="I11851" s="26">
        <v>43545.480659722198</v>
      </c>
      <c r="J11851" s="28" t="s">
        <v>52</v>
      </c>
      <c r="K11851" s="28" t="s">
        <v>52</v>
      </c>
      <c r="L11851" s="28" t="s">
        <v>52</v>
      </c>
      <c r="M11851" s="28" t="s">
        <v>52</v>
      </c>
      <c r="N11851" s="28" t="s">
        <v>52</v>
      </c>
    </row>
    <row r="11852" spans="1:14" hidden="1" outlineLevel="1" x14ac:dyDescent="0.2">
      <c r="A11852" s="23" t="str">
        <f>HYPERLINK("https://www.spark-marketing.ru/Card/Person/666553", "ФГП ВО ЖДТ РОССИИ")</f>
        <v>ФГП ВО ЖДТ РОССИИ</v>
      </c>
      <c r="B11852" s="24" t="s">
        <v>1269</v>
      </c>
      <c r="C11852" s="28" t="s">
        <v>52</v>
      </c>
      <c r="D11852" s="22" t="s">
        <v>14124</v>
      </c>
      <c r="E11852" s="22" t="s">
        <v>1543</v>
      </c>
      <c r="F11852" s="23" t="str">
        <f>HYPERLINK("https://www.spark-marketing.ru/Card/Lot/68908052", "Поставка 2 автобусов для нужд филиала федерального государственного предприятия «Ведомственная охрана железнодорожного транспорта Российской Федерации» на Северо-Кавказской железной дороге")</f>
        <v>Поставка 2 автобусов для нужд филиала федерального государственного предприятия «Ведомственная охрана железнодорожного транспорта Российской Федерации» на Северо-Кавказской железной дороге</v>
      </c>
      <c r="G11852" s="22" t="s">
        <v>55</v>
      </c>
      <c r="H11852" s="22" t="s">
        <v>55</v>
      </c>
      <c r="I11852" s="26">
        <v>43545.480659722198</v>
      </c>
      <c r="J11852" s="23" t="str">
        <f>HYPERLINK("https://www.spark-marketing.ru/Card/Person/63632", "ЗАО ТСЦ ""РУСАВТОПРОМ-РОСТОВ""")</f>
        <v>ЗАО ТСЦ "РУСАВТОПРОМ-РОСТОВ"</v>
      </c>
      <c r="K11852" s="24" t="s">
        <v>14125</v>
      </c>
      <c r="L11852" s="22" t="s">
        <v>10</v>
      </c>
      <c r="M11852" s="25">
        <v>5216400</v>
      </c>
      <c r="N11852" s="27">
        <v>5.5E-2</v>
      </c>
    </row>
    <row r="11853" spans="1:14" hidden="1" outlineLevel="1" x14ac:dyDescent="0.2">
      <c r="A11853" s="23" t="str">
        <f>HYPERLINK("https://www.spark-marketing.ru/Card/Person/666553", "ФГП ВО ЖДТ РОССИИ")</f>
        <v>ФГП ВО ЖДТ РОССИИ</v>
      </c>
      <c r="B11853" s="24" t="s">
        <v>1269</v>
      </c>
      <c r="C11853" s="28" t="s">
        <v>52</v>
      </c>
      <c r="D11853" s="22" t="s">
        <v>14124</v>
      </c>
      <c r="E11853" s="22" t="s">
        <v>1543</v>
      </c>
      <c r="F11853" s="23" t="str">
        <f>HYPERLINK("https://www.spark-marketing.ru/Card/Lot/68908052", "Поставка 2 автобусов для нужд филиала федерального государственного предприятия «Ведомственная охрана железнодорожного транспорта Российской Федерации» на Северо-Кавказской железной дороге")</f>
        <v>Поставка 2 автобусов для нужд филиала федерального государственного предприятия «Ведомственная охрана железнодорожного транспорта Российской Федерации» на Северо-Кавказской железной дороге</v>
      </c>
      <c r="G11853" s="22" t="s">
        <v>55</v>
      </c>
      <c r="H11853" s="22" t="s">
        <v>55</v>
      </c>
      <c r="I11853" s="26">
        <v>43545.480659722198</v>
      </c>
      <c r="J11853" s="23" t="str">
        <f>HYPERLINK("https://www.spark-marketing.ru/Card/Person/6211704", "ООО ""ТЕХИНКОМ-ЭКСПРЕСС""")</f>
        <v>ООО "ТЕХИНКОМ-ЭКСПРЕСС"</v>
      </c>
      <c r="K11853" s="24" t="s">
        <v>14126</v>
      </c>
      <c r="L11853" s="28" t="s">
        <v>52</v>
      </c>
      <c r="M11853" s="25">
        <v>5244000</v>
      </c>
      <c r="N11853" s="27">
        <v>0.05</v>
      </c>
    </row>
    <row r="11854" spans="1:14" hidden="1" outlineLevel="1" x14ac:dyDescent="0.2">
      <c r="A11854" s="23" t="str">
        <f>HYPERLINK("https://www.spark-marketing.ru/Card/Person/666553", "ФГП ВО ЖДТ РОССИИ")</f>
        <v>ФГП ВО ЖДТ РОССИИ</v>
      </c>
      <c r="B11854" s="24" t="s">
        <v>1269</v>
      </c>
      <c r="C11854" s="28" t="s">
        <v>52</v>
      </c>
      <c r="D11854" s="22" t="s">
        <v>14124</v>
      </c>
      <c r="E11854" s="22" t="s">
        <v>1543</v>
      </c>
      <c r="F11854" s="23" t="str">
        <f>HYPERLINK("https://www.spark-marketing.ru/Card/Lot/68908052", "Поставка 2 автобусов для нужд филиала федерального государственного предприятия «Ведомственная охрана железнодорожного транспорта Российской Федерации» на Северо-Кавказской железной дороге")</f>
        <v>Поставка 2 автобусов для нужд филиала федерального государственного предприятия «Ведомственная охрана железнодорожного транспорта Российской Федерации» на Северо-Кавказской железной дороге</v>
      </c>
      <c r="G11854" s="22" t="s">
        <v>55</v>
      </c>
      <c r="H11854" s="22" t="s">
        <v>55</v>
      </c>
      <c r="I11854" s="26">
        <v>43545.480659722198</v>
      </c>
      <c r="J11854" s="23" t="str">
        <f>HYPERLINK("https://www.spark-marketing.ru/Card/Person/6276261", "ООО ""ЦПГТ""")</f>
        <v>ООО "ЦПГТ"</v>
      </c>
      <c r="K11854" s="24" t="s">
        <v>14127</v>
      </c>
      <c r="L11854" s="28" t="s">
        <v>52</v>
      </c>
      <c r="M11854" s="25">
        <v>5382000</v>
      </c>
      <c r="N11854" s="27">
        <v>2.5000000000000001E-2</v>
      </c>
    </row>
    <row r="11855" spans="1:14" x14ac:dyDescent="0.15">
      <c r="A11855" s="23" t="str">
        <f>HYPERLINK("https://www.spark-marketing.ru/Card/Person/47724", "ОГБУЗ ""ОБ № 2""")</f>
        <v>ОГБУЗ "ОБ № 2"</v>
      </c>
      <c r="B11855" s="24" t="s">
        <v>14128</v>
      </c>
      <c r="C11855" s="25">
        <v>26824.14</v>
      </c>
      <c r="D11855" s="22" t="s">
        <v>14129</v>
      </c>
      <c r="E11855" s="22" t="s">
        <v>14130</v>
      </c>
      <c r="F11855" s="23" t="str">
        <f>HYPERLINK("https://www.spark-marketing.ru/Card/Lot/68897965", "Приобретение материалов для установки видеонаблюдения")</f>
        <v>Приобретение материалов для установки видеонаблюдения</v>
      </c>
      <c r="G11855" s="22" t="s">
        <v>281</v>
      </c>
      <c r="H11855" s="22" t="s">
        <v>14028</v>
      </c>
      <c r="I11855" s="26">
        <v>43545.426388888904</v>
      </c>
      <c r="J11855" s="23" t="str">
        <f>HYPERLINK("https://www.spark-marketing.ru/Card/Person/5900857", "ООО ТД ""БЕЗОПАСНОСТЬ""")</f>
        <v>ООО ТД "БЕЗОПАСНОСТЬ"</v>
      </c>
      <c r="K11855" s="24" t="s">
        <v>14131</v>
      </c>
      <c r="L11855" s="28" t="s">
        <v>52</v>
      </c>
      <c r="M11855" s="28" t="s">
        <v>52</v>
      </c>
      <c r="N11855" s="28" t="s">
        <v>52</v>
      </c>
    </row>
    <row r="11856" spans="1:14" hidden="1" outlineLevel="1" x14ac:dyDescent="0.15">
      <c r="A11856" s="23" t="str">
        <f>HYPERLINK("https://www.spark-marketing.ru/Card/Person/47724", "ОГБУЗ ""ОБ № 2""")</f>
        <v>ОГБУЗ "ОБ № 2"</v>
      </c>
      <c r="B11856" s="24" t="s">
        <v>14128</v>
      </c>
      <c r="C11856" s="25">
        <v>26824.14</v>
      </c>
      <c r="D11856" s="22" t="s">
        <v>14129</v>
      </c>
      <c r="E11856" s="22" t="s">
        <v>14130</v>
      </c>
      <c r="F11856" s="23" t="str">
        <f>HYPERLINK("https://www.spark-marketing.ru/Card/Lot/68897965", "Приобретение материалов для установки видеонаблюдения")</f>
        <v>Приобретение материалов для установки видеонаблюдения</v>
      </c>
      <c r="G11856" s="22" t="s">
        <v>281</v>
      </c>
      <c r="H11856" s="22" t="s">
        <v>14028</v>
      </c>
      <c r="I11856" s="26">
        <v>43545.426388888904</v>
      </c>
      <c r="J11856" s="23" t="str">
        <f>HYPERLINK("https://www.spark-marketing.ru/Card/Person/5900857", "ООО ТД ""БЕЗОПАСНОСТЬ""")</f>
        <v>ООО ТД "БЕЗОПАСНОСТЬ"</v>
      </c>
      <c r="K11856" s="24" t="s">
        <v>14131</v>
      </c>
      <c r="L11856" s="22" t="s">
        <v>10</v>
      </c>
      <c r="M11856" s="28" t="s">
        <v>52</v>
      </c>
      <c r="N11856" s="28" t="s">
        <v>52</v>
      </c>
    </row>
    <row r="11857" spans="1:14" x14ac:dyDescent="0.15">
      <c r="A11857" s="23" t="str">
        <f>HYPERLINK("https://www.spark-marketing.ru/Card/Person/139500", "УПРАВЛЕНИЕ РОСКОМНАДЗОРА ПО КЕМЕРОВСКОЙ ОБЛАСТИ")</f>
        <v>УПРАВЛЕНИЕ РОСКОМНАДЗОРА ПО КЕМЕРОВСКОЙ ОБЛАСТИ</v>
      </c>
      <c r="B11857" s="24" t="s">
        <v>14132</v>
      </c>
      <c r="C11857" s="25">
        <v>88493.16</v>
      </c>
      <c r="D11857" s="22" t="s">
        <v>14133</v>
      </c>
      <c r="E11857" s="22" t="s">
        <v>53</v>
      </c>
      <c r="F11857" s="23" t="str">
        <f>HYPERLINK("https://www.spark-marketing.ru/Card/Lot/70793778", "Оказание услуг по техническому обслуживанию технических средств охраны и видеонаблюдения")</f>
        <v>Оказание услуг по техническому обслуживанию технических средств охраны и видеонаблюдения</v>
      </c>
      <c r="G11857" s="22" t="s">
        <v>367</v>
      </c>
      <c r="H11857" s="22" t="s">
        <v>881</v>
      </c>
      <c r="I11857" s="26">
        <v>43545.440462963001</v>
      </c>
      <c r="J11857" s="28" t="s">
        <v>52</v>
      </c>
      <c r="K11857" s="28" t="s">
        <v>52</v>
      </c>
      <c r="L11857" s="28" t="s">
        <v>52</v>
      </c>
      <c r="M11857" s="28" t="s">
        <v>52</v>
      </c>
      <c r="N11857" s="28" t="s">
        <v>52</v>
      </c>
    </row>
    <row r="11858" spans="1:14" x14ac:dyDescent="0.15">
      <c r="A11858" s="23" t="str">
        <f>HYPERLINK("https://www.spark-marketing.ru/Card/Person/89725", "ИФНС РОССИИ ПО Г. СТУПИНО МОСКОВСКОЙ ОБЛАСТИ")</f>
        <v>ИФНС РОССИИ ПО Г. СТУПИНО МОСКОВСКОЙ ОБЛАСТИ</v>
      </c>
      <c r="B11858" s="24" t="s">
        <v>14134</v>
      </c>
      <c r="C11858" s="25">
        <v>16448.16</v>
      </c>
      <c r="D11858" s="22" t="s">
        <v>14135</v>
      </c>
      <c r="E11858" s="22" t="s">
        <v>53</v>
      </c>
      <c r="F11858" s="23" t="str">
        <f>HYPERLINK("https://www.spark-marketing.ru/Card/Lot/70793787", "Услуги по техническому обслуживанию комплекса технических средств охраны")</f>
        <v>Услуги по техническому обслуживанию комплекса технических средств охраны</v>
      </c>
      <c r="G11858" s="22" t="s">
        <v>50</v>
      </c>
      <c r="H11858" s="22" t="s">
        <v>5791</v>
      </c>
      <c r="I11858" s="26">
        <v>43545.447187500002</v>
      </c>
      <c r="J11858" s="28" t="s">
        <v>52</v>
      </c>
      <c r="K11858" s="28" t="s">
        <v>52</v>
      </c>
      <c r="L11858" s="28" t="s">
        <v>52</v>
      </c>
      <c r="M11858" s="28" t="s">
        <v>52</v>
      </c>
      <c r="N11858" s="28" t="s">
        <v>52</v>
      </c>
    </row>
    <row r="11859" spans="1:14" x14ac:dyDescent="0.15">
      <c r="A11859" s="23" t="str">
        <f>HYPERLINK("https://www.spark-marketing.ru/Card/Person/4345088", "ГБПОУ НАО ""НЕНЕЦКИЙ АГРАРНО-ЭКОНОМИЧЕСКИЙ ТЕХНИКУМ ИМЕНИ В.Г. ВОЛКОВА""")</f>
        <v>ГБПОУ НАО "НЕНЕЦКИЙ АГРАРНО-ЭКОНОМИЧЕСКИЙ ТЕХНИКУМ ИМЕНИ В.Г. ВОЛКОВА"</v>
      </c>
      <c r="B11859" s="24" t="s">
        <v>4355</v>
      </c>
      <c r="C11859" s="25">
        <v>6100</v>
      </c>
      <c r="D11859" s="22" t="s">
        <v>14136</v>
      </c>
      <c r="E11859" s="22" t="s">
        <v>194</v>
      </c>
      <c r="F11859" s="23" t="str">
        <f>HYPERLINK("https://www.spark-marketing.ru/Card/Lot/68901169", "Установка видеокамер TVI купольная RVI-HDC311 - AY (2.8 - 12 мм.).")</f>
        <v>Установка видеокамер TVI купольная RVI-HDC311 - AY (2.8 - 12 мм.).</v>
      </c>
      <c r="G11859" s="22" t="s">
        <v>1014</v>
      </c>
      <c r="H11859" s="22" t="s">
        <v>1015</v>
      </c>
      <c r="I11859" s="26">
        <v>43545.406944444403</v>
      </c>
      <c r="J11859" s="28" t="s">
        <v>52</v>
      </c>
      <c r="K11859" s="28" t="s">
        <v>52</v>
      </c>
      <c r="L11859" s="28" t="s">
        <v>52</v>
      </c>
      <c r="M11859" s="28" t="s">
        <v>52</v>
      </c>
      <c r="N11859" s="28" t="s">
        <v>52</v>
      </c>
    </row>
    <row r="11860" spans="1:14" x14ac:dyDescent="0.15">
      <c r="A11860" s="23" t="str">
        <f>HYPERLINK("https://www.spark-marketing.ru/Card/Person/456138", "КГАУ ""ЦСП""")</f>
        <v>КГАУ "ЦСП"</v>
      </c>
      <c r="B11860" s="24" t="s">
        <v>2031</v>
      </c>
      <c r="C11860" s="25">
        <v>491520</v>
      </c>
      <c r="D11860" s="22" t="s">
        <v>14137</v>
      </c>
      <c r="E11860" s="22" t="s">
        <v>363</v>
      </c>
      <c r="F11860" s="23" t="str">
        <f>HYPERLINK("https://www.spark-marketing.ru/Card/Lot/68898029", "Услуги по обеспечению порядка охране имущества, обеспечению пропускного и внутриобъектового режимов на объекте")</f>
        <v>Услуги по обеспечению порядка охране имущества, обеспечению пропускного и внутриобъектового режимов на объекте</v>
      </c>
      <c r="G11860" s="22" t="s">
        <v>640</v>
      </c>
      <c r="H11860" s="22" t="s">
        <v>640</v>
      </c>
      <c r="I11860" s="26">
        <v>43545.401030092602</v>
      </c>
      <c r="J11860" s="28" t="s">
        <v>52</v>
      </c>
      <c r="K11860" s="28" t="s">
        <v>52</v>
      </c>
      <c r="L11860" s="28" t="s">
        <v>52</v>
      </c>
      <c r="M11860" s="28" t="s">
        <v>52</v>
      </c>
      <c r="N11860" s="28" t="s">
        <v>52</v>
      </c>
    </row>
    <row r="11861" spans="1:14" x14ac:dyDescent="0.15">
      <c r="A11861" s="23" t="str">
        <f>HYPERLINK("https://www.spark-marketing.ru/Card/Person/139724", "МБОУ ""ГИМНАЗИЯ №5""")</f>
        <v>МБОУ "ГИМНАЗИЯ №5"</v>
      </c>
      <c r="B11861" s="24" t="s">
        <v>14138</v>
      </c>
      <c r="C11861" s="25">
        <v>196000</v>
      </c>
      <c r="D11861" s="22" t="s">
        <v>14139</v>
      </c>
      <c r="E11861" s="22" t="s">
        <v>14140</v>
      </c>
      <c r="F11861" s="23" t="str">
        <f>HYPERLINK("https://www.spark-marketing.ru/Card/Lot/68901900", "приобретение и установка средств видеотрансляции и видеопротоколирования в пункте проведения экзаменов ГИА")</f>
        <v>приобретение и установка средств видеотрансляции и видеопротоколирования в пункте проведения экзаменов ГИА</v>
      </c>
      <c r="G11861" s="22" t="s">
        <v>50</v>
      </c>
      <c r="H11861" s="22" t="s">
        <v>432</v>
      </c>
      <c r="I11861" s="26">
        <v>43545.398668981499</v>
      </c>
      <c r="J11861" s="28" t="s">
        <v>52</v>
      </c>
      <c r="K11861" s="28" t="s">
        <v>52</v>
      </c>
      <c r="L11861" s="28" t="s">
        <v>52</v>
      </c>
      <c r="M11861" s="28" t="s">
        <v>52</v>
      </c>
      <c r="N11861" s="28" t="s">
        <v>52</v>
      </c>
    </row>
    <row r="11862" spans="1:14" x14ac:dyDescent="0.15">
      <c r="A11862" s="23" t="str">
        <f>HYPERLINK("https://www.spark-marketing.ru/Card/Person/4224", "ГКУ НСО ""НОВОСИБОБЛФАРМ""")</f>
        <v>ГКУ НСО "НОВОСИБОБЛФАРМ"</v>
      </c>
      <c r="B11862" s="24" t="s">
        <v>10815</v>
      </c>
      <c r="C11862" s="25">
        <v>3429877.5</v>
      </c>
      <c r="D11862" s="22" t="s">
        <v>14141</v>
      </c>
      <c r="E11862" s="22" t="s">
        <v>68</v>
      </c>
      <c r="F11862" s="23" t="str">
        <f>HYPERLINK("https://www.spark-marketing.ru/Card/Lot/68897691", "Оказание услуг централизованной пультовой охраны объекта (комнаты хранения наркотических средств, психотропных веществ 1-й и 2-й категории) с выездом группы немедленного реагирования при срабатывании тревожной и охранной сигнализации")</f>
        <v>Оказание услуг централизованной пультовой охраны объекта (комнаты хранения наркотических средств, психотропных веществ 1-й и 2-й категории) с выездом группы немедленного реагирования при срабатывании тревожной и охранной сигнализации</v>
      </c>
      <c r="G11862" s="22" t="s">
        <v>209</v>
      </c>
      <c r="H11862" s="22" t="s">
        <v>210</v>
      </c>
      <c r="I11862" s="26">
        <v>43545.388888888898</v>
      </c>
      <c r="J11862" s="28" t="s">
        <v>52</v>
      </c>
      <c r="K11862" s="28" t="s">
        <v>52</v>
      </c>
      <c r="L11862" s="28" t="s">
        <v>52</v>
      </c>
      <c r="M11862" s="28" t="s">
        <v>52</v>
      </c>
      <c r="N11862" s="28" t="s">
        <v>52</v>
      </c>
    </row>
    <row r="11863" spans="1:14" x14ac:dyDescent="0.15">
      <c r="A11863" s="23" t="str">
        <f>HYPERLINK("https://www.spark-marketing.ru/Card/Person/6768", "АДМИНИСТРАЦИЯ ГОРОДСКОГО ОКРУГА")</f>
        <v>АДМИНИСТРАЦИЯ ГОРОДСКОГО ОКРУГА</v>
      </c>
      <c r="B11863" s="24" t="s">
        <v>6595</v>
      </c>
      <c r="C11863" s="25">
        <v>433903.33</v>
      </c>
      <c r="D11863" s="22" t="s">
        <v>14142</v>
      </c>
      <c r="E11863" s="22" t="s">
        <v>59</v>
      </c>
      <c r="F11863" s="23" t="str">
        <f>HYPERLINK("https://www.spark-marketing.ru/Card/Lot/68901689", "Выполнение работ по монтажу системы видеонаблюдения")</f>
        <v>Выполнение работ по монтажу системы видеонаблюдения</v>
      </c>
      <c r="G11863" s="22" t="s">
        <v>552</v>
      </c>
      <c r="H11863" s="22" t="s">
        <v>552</v>
      </c>
      <c r="I11863" s="26">
        <v>43545.336111111101</v>
      </c>
      <c r="J11863" s="28" t="s">
        <v>52</v>
      </c>
      <c r="K11863" s="28" t="s">
        <v>52</v>
      </c>
      <c r="L11863" s="28" t="s">
        <v>52</v>
      </c>
      <c r="M11863" s="28" t="s">
        <v>52</v>
      </c>
      <c r="N11863" s="28" t="s">
        <v>52</v>
      </c>
    </row>
    <row r="11864" spans="1:14" ht="12.75" hidden="1" outlineLevel="1" x14ac:dyDescent="0.2">
      <c r="A11864" s="23" t="str">
        <f>HYPERLINK("https://www.spark-marketing.ru/Card/Person/6768", "АДМИНИСТРАЦИЯ ГОРОДСКОГО ОКРУГА")</f>
        <v>АДМИНИСТРАЦИЯ ГОРОДСКОГО ОКРУГА</v>
      </c>
      <c r="B11864" s="24" t="s">
        <v>6595</v>
      </c>
      <c r="C11864" s="25">
        <v>433903.33</v>
      </c>
      <c r="D11864" s="22" t="s">
        <v>14142</v>
      </c>
      <c r="E11864" s="22" t="s">
        <v>59</v>
      </c>
      <c r="F11864" s="23" t="str">
        <f>HYPERLINK("https://www.spark-marketing.ru/Card/Lot/68901689", "Выполнение работ по монтажу системы видеонаблюдения")</f>
        <v>Выполнение работ по монтажу системы видеонаблюдения</v>
      </c>
      <c r="G11864" s="22" t="s">
        <v>552</v>
      </c>
      <c r="H11864" s="22" t="s">
        <v>552</v>
      </c>
      <c r="I11864" s="26">
        <v>43545.336111111101</v>
      </c>
      <c r="J11864" s="23" t="str">
        <f>HYPERLINK("https://www.spark-marketing.ru/Card/Person/516257", "Гуторов Михаил Сергеевич")</f>
        <v>Гуторов Михаил Сергеевич</v>
      </c>
      <c r="K11864" s="24" t="s">
        <v>6598</v>
      </c>
      <c r="L11864" s="22" t="s">
        <v>10</v>
      </c>
      <c r="M11864" s="25">
        <v>300000</v>
      </c>
      <c r="N11864" s="27">
        <v>0.30860175698582448</v>
      </c>
    </row>
    <row r="11865" spans="1:14" hidden="1" outlineLevel="1" x14ac:dyDescent="0.2">
      <c r="A11865" s="23" t="str">
        <f>HYPERLINK("https://www.spark-marketing.ru/Card/Person/6768", "АДМИНИСТРАЦИЯ ГОРОДСКОГО ОКРУГА")</f>
        <v>АДМИНИСТРАЦИЯ ГОРОДСКОГО ОКРУГА</v>
      </c>
      <c r="B11865" s="24" t="s">
        <v>6595</v>
      </c>
      <c r="C11865" s="25">
        <v>433903.33</v>
      </c>
      <c r="D11865" s="22" t="s">
        <v>14142</v>
      </c>
      <c r="E11865" s="22" t="s">
        <v>59</v>
      </c>
      <c r="F11865" s="23" t="str">
        <f>HYPERLINK("https://www.spark-marketing.ru/Card/Lot/68901689", "Выполнение работ по монтажу системы видеонаблюдения")</f>
        <v>Выполнение работ по монтажу системы видеонаблюдения</v>
      </c>
      <c r="G11865" s="22" t="s">
        <v>552</v>
      </c>
      <c r="H11865" s="22" t="s">
        <v>552</v>
      </c>
      <c r="I11865" s="26">
        <v>43545.336111111101</v>
      </c>
      <c r="J11865" s="23" t="str">
        <f>HYPERLINK("https://www.spark-marketing.ru/Card/Person/304226", "ООО ""СТАРКОМ ПЛЮС""")</f>
        <v>ООО "СТАРКОМ ПЛЮС"</v>
      </c>
      <c r="K11865" s="24" t="s">
        <v>6597</v>
      </c>
      <c r="L11865" s="28" t="s">
        <v>52</v>
      </c>
      <c r="M11865" s="25">
        <v>302830.48</v>
      </c>
      <c r="N11865" s="27">
        <v>0.30207846065620192</v>
      </c>
    </row>
    <row r="11866" spans="1:14" hidden="1" outlineLevel="1" x14ac:dyDescent="0.2">
      <c r="A11866" s="23" t="str">
        <f>HYPERLINK("https://www.spark-marketing.ru/Card/Person/6768", "АДМИНИСТРАЦИЯ ГОРОДСКОГО ОКРУГА")</f>
        <v>АДМИНИСТРАЦИЯ ГОРОДСКОГО ОКРУГА</v>
      </c>
      <c r="B11866" s="24" t="s">
        <v>6595</v>
      </c>
      <c r="C11866" s="25">
        <v>433903.33</v>
      </c>
      <c r="D11866" s="22" t="s">
        <v>14142</v>
      </c>
      <c r="E11866" s="22" t="s">
        <v>59</v>
      </c>
      <c r="F11866" s="23" t="str">
        <f>HYPERLINK("https://www.spark-marketing.ru/Card/Lot/68901689", "Выполнение работ по монтажу системы видеонаблюдения")</f>
        <v>Выполнение работ по монтажу системы видеонаблюдения</v>
      </c>
      <c r="G11866" s="22" t="s">
        <v>552</v>
      </c>
      <c r="H11866" s="22" t="s">
        <v>552</v>
      </c>
      <c r="I11866" s="26">
        <v>43545.336111111101</v>
      </c>
      <c r="J11866" s="23" t="str">
        <f>HYPERLINK("https://www.spark-marketing.ru/Card/Person/6513300", "Селюкова Виктория Альбертовна")</f>
        <v>Селюкова Виктория Альбертовна</v>
      </c>
      <c r="K11866" s="24" t="s">
        <v>14143</v>
      </c>
      <c r="L11866" s="28" t="s">
        <v>52</v>
      </c>
      <c r="M11866" s="25">
        <v>431733.81</v>
      </c>
      <c r="N11866" s="27">
        <v>5.0000077206137136E-3</v>
      </c>
    </row>
    <row r="11867" spans="1:14" x14ac:dyDescent="0.15">
      <c r="A11867" s="23" t="str">
        <f>HYPERLINK("https://www.spark-marketing.ru/Card/Person/1024819", "МАДОУ Д/С №26 ""ЛУЧИК""")</f>
        <v>МАДОУ Д/С №26 "ЛУЧИК"</v>
      </c>
      <c r="B11867" s="24" t="s">
        <v>14144</v>
      </c>
      <c r="C11867" s="25">
        <v>44000</v>
      </c>
      <c r="D11867" s="22" t="s">
        <v>14145</v>
      </c>
      <c r="E11867" s="22" t="s">
        <v>107</v>
      </c>
      <c r="F11867" s="23" t="str">
        <f>HYPERLINK("https://www.spark-marketing.ru/Card/Lot/68900498", "Оказание услуг по техническому обслуживанию системы доступа (домофон) и системы видеонаблюдения")</f>
        <v>Оказание услуг по техническому обслуживанию системы доступа (домофон) и системы видеонаблюдения</v>
      </c>
      <c r="G11867" s="22" t="s">
        <v>50</v>
      </c>
      <c r="H11867" s="22" t="s">
        <v>4782</v>
      </c>
      <c r="I11867" s="26">
        <v>43545.367384259298</v>
      </c>
      <c r="J11867" s="28" t="s">
        <v>52</v>
      </c>
      <c r="K11867" s="28" t="s">
        <v>52</v>
      </c>
      <c r="L11867" s="28" t="s">
        <v>52</v>
      </c>
      <c r="M11867" s="28" t="s">
        <v>52</v>
      </c>
      <c r="N11867" s="28" t="s">
        <v>52</v>
      </c>
    </row>
    <row r="11868" spans="1:14" x14ac:dyDescent="0.15">
      <c r="A11868" s="23" t="str">
        <f>HYPERLINK("https://www.spark-marketing.ru/Card/Person/10038", "БУ ""НИЖНЕВАРТОВСКАЯ ГОРОДСКАЯ ДЕТСКАЯ ПОЛИКЛИНИКА""")</f>
        <v>БУ "НИЖНЕВАРТОВСКАЯ ГОРОДСКАЯ ДЕТСКАЯ ПОЛИКЛИНИКА"</v>
      </c>
      <c r="B11868" s="24" t="s">
        <v>14146</v>
      </c>
      <c r="C11868" s="28" t="s">
        <v>52</v>
      </c>
      <c r="D11868" s="22" t="s">
        <v>14147</v>
      </c>
      <c r="E11868" s="22" t="s">
        <v>52</v>
      </c>
      <c r="F11868" s="23" t="str">
        <f>HYPERLINK("https://www.spark-marketing.ru/Card/Lot/68898994", "Оказание услуг по охране")</f>
        <v>Оказание услуг по охране</v>
      </c>
      <c r="G11868" s="22" t="s">
        <v>119</v>
      </c>
      <c r="H11868" s="22" t="s">
        <v>952</v>
      </c>
      <c r="I11868" s="26">
        <v>43545.309722222199</v>
      </c>
      <c r="J11868" s="28" t="s">
        <v>52</v>
      </c>
      <c r="K11868" s="28" t="s">
        <v>52</v>
      </c>
      <c r="L11868" s="28" t="s">
        <v>52</v>
      </c>
      <c r="M11868" s="28" t="s">
        <v>52</v>
      </c>
      <c r="N11868" s="28" t="s">
        <v>52</v>
      </c>
    </row>
    <row r="11869" spans="1:14" x14ac:dyDescent="0.15">
      <c r="A11869" s="23" t="str">
        <f>HYPERLINK("https://www.spark-marketing.ru/Card/Person/6450322", "ЗАКАЗЧИК РП БЕЛАРУСЬ")</f>
        <v>ЗАКАЗЧИК РП БЕЛАРУСЬ</v>
      </c>
      <c r="B11869" s="28" t="s">
        <v>52</v>
      </c>
      <c r="C11869" s="25">
        <v>674962.73</v>
      </c>
      <c r="D11869" s="22" t="s">
        <v>14148</v>
      </c>
      <c r="E11869" s="22" t="s">
        <v>53</v>
      </c>
      <c r="F11869" s="23" t="str">
        <f>HYPERLINK("https://www.spark-marketing.ru/Card/Lot/68901826", "Установка тревожной сигнализации (тревожной кнопки) в учреждениях подведомственных управлению по образованию администрации Московского района г.Бреста")</f>
        <v>Установка тревожной сигнализации (тревожной кнопки) в учреждениях подведомственных управлению по образованию администрации Московского района г.Бреста</v>
      </c>
      <c r="G11869" s="22" t="s">
        <v>52</v>
      </c>
      <c r="H11869" s="22" t="s">
        <v>52</v>
      </c>
      <c r="I11869" s="26">
        <v>43545</v>
      </c>
      <c r="J11869" s="28" t="s">
        <v>52</v>
      </c>
      <c r="K11869" s="28" t="s">
        <v>52</v>
      </c>
      <c r="L11869" s="28" t="s">
        <v>52</v>
      </c>
      <c r="M11869" s="28" t="s">
        <v>52</v>
      </c>
      <c r="N11869" s="28" t="s">
        <v>52</v>
      </c>
    </row>
    <row r="11870" spans="1:14" x14ac:dyDescent="0.15">
      <c r="A11870" s="23" t="str">
        <f>HYPERLINK("https://www.spark-marketing.ru/Card/Person/6450322", "ЗАКАЗЧИК РП БЕЛАРУСЬ")</f>
        <v>ЗАКАЗЧИК РП БЕЛАРУСЬ</v>
      </c>
      <c r="B11870" s="28" t="s">
        <v>52</v>
      </c>
      <c r="C11870" s="25">
        <v>19851.845000000001</v>
      </c>
      <c r="D11870" s="22" t="s">
        <v>14148</v>
      </c>
      <c r="E11870" s="22" t="s">
        <v>53</v>
      </c>
      <c r="F11870" s="23" t="str">
        <f>HYPERLINK("https://www.spark-marketing.ru/Card/Lot/68901828", "Установка тревожной сигнализации (тревожной кнопки), в учреждениях подведомственных управлению по образованию администрации Московского района г.Бреста")</f>
        <v>Установка тревожной сигнализации (тревожной кнопки), в учреждениях подведомственных управлению по образованию администрации Московского района г.Бреста</v>
      </c>
      <c r="G11870" s="22" t="s">
        <v>52</v>
      </c>
      <c r="H11870" s="22" t="s">
        <v>52</v>
      </c>
      <c r="I11870" s="26">
        <v>43545</v>
      </c>
      <c r="J11870" s="28" t="s">
        <v>52</v>
      </c>
      <c r="K11870" s="28" t="s">
        <v>52</v>
      </c>
      <c r="L11870" s="28" t="s">
        <v>52</v>
      </c>
      <c r="M11870" s="28" t="s">
        <v>52</v>
      </c>
      <c r="N11870" s="28" t="s">
        <v>52</v>
      </c>
    </row>
    <row r="11871" spans="1:14" x14ac:dyDescent="0.15">
      <c r="A11871" s="23" t="str">
        <f>HYPERLINK("https://www.spark-marketing.ru/Card/Person/6450322", "ЗАКАЗЧИК РП БЕЛАРУСЬ")</f>
        <v>ЗАКАЗЧИК РП БЕЛАРУСЬ</v>
      </c>
      <c r="B11871" s="28" t="s">
        <v>52</v>
      </c>
      <c r="C11871" s="25">
        <v>19851.845000000001</v>
      </c>
      <c r="D11871" s="22" t="s">
        <v>14148</v>
      </c>
      <c r="E11871" s="22" t="s">
        <v>53</v>
      </c>
      <c r="F11871" s="23" t="str">
        <f>HYPERLINK("https://www.spark-marketing.ru/Card/Lot/68901827", "Установка тревожной сигнализации (тревожной кнопки), с последующим контролем и обслуживанием в учреждениях подведомственных управлению по образованию администрации Московского района г.Бреста»")</f>
        <v>Установка тревожной сигнализации (тревожной кнопки), с последующим контролем и обслуживанием в учреждениях подведомственных управлению по образованию администрации Московского района г.Бреста»</v>
      </c>
      <c r="G11871" s="22" t="s">
        <v>52</v>
      </c>
      <c r="H11871" s="22" t="s">
        <v>52</v>
      </c>
      <c r="I11871" s="26">
        <v>43545</v>
      </c>
      <c r="J11871" s="28" t="s">
        <v>52</v>
      </c>
      <c r="K11871" s="28" t="s">
        <v>52</v>
      </c>
      <c r="L11871" s="28" t="s">
        <v>52</v>
      </c>
      <c r="M11871" s="28" t="s">
        <v>52</v>
      </c>
      <c r="N11871" s="28" t="s">
        <v>52</v>
      </c>
    </row>
    <row r="11872" spans="1:14" x14ac:dyDescent="0.15">
      <c r="A11872" s="23" t="str">
        <f>HYPERLINK("https://www.spark-marketing.ru/Card/Person/1019997", "МБОУ ""МАЛИНСКАЯ СОШ""")</f>
        <v>МБОУ "МАЛИНСКАЯ СОШ"</v>
      </c>
      <c r="B11872" s="24" t="s">
        <v>14149</v>
      </c>
      <c r="C11872" s="25">
        <v>112000</v>
      </c>
      <c r="D11872" s="22" t="s">
        <v>14150</v>
      </c>
      <c r="E11872" s="22" t="s">
        <v>84</v>
      </c>
      <c r="F11872" s="23" t="str">
        <f>HYPERLINK("https://www.spark-marketing.ru/Card/Lot/68895196", "Осуществление закупки по приобретению и установке камер системы видеонаблюдения в пунктах приема экзаменов")</f>
        <v>Осуществление закупки по приобретению и установке камер системы видеонаблюдения в пунктах приема экзаменов</v>
      </c>
      <c r="G11872" s="22" t="s">
        <v>50</v>
      </c>
      <c r="H11872" s="22" t="s">
        <v>5791</v>
      </c>
      <c r="I11872" s="26">
        <v>43544.888437499998</v>
      </c>
      <c r="J11872" s="28" t="s">
        <v>52</v>
      </c>
      <c r="K11872" s="28" t="s">
        <v>52</v>
      </c>
      <c r="L11872" s="28" t="s">
        <v>52</v>
      </c>
      <c r="M11872" s="28" t="s">
        <v>52</v>
      </c>
      <c r="N11872" s="28" t="s">
        <v>52</v>
      </c>
    </row>
    <row r="11873" spans="1:14" x14ac:dyDescent="0.15">
      <c r="A11873" s="23" t="str">
        <f>HYPERLINK("https://www.spark-marketing.ru/Card/Person/1404456", "МАОУ ""СОШ № 80"" Г.ПЕРМИ")</f>
        <v>МАОУ "СОШ № 80" Г.ПЕРМИ</v>
      </c>
      <c r="B11873" s="24" t="s">
        <v>14151</v>
      </c>
      <c r="C11873" s="25">
        <v>584000</v>
      </c>
      <c r="D11873" s="22" t="s">
        <v>14152</v>
      </c>
      <c r="E11873" s="22" t="s">
        <v>4747</v>
      </c>
      <c r="F11873" s="23" t="str">
        <f>HYPERLINK("https://www.spark-marketing.ru/Card/Lot/68891478", "Физическая охрана имущества")</f>
        <v>Физическая охрана имущества</v>
      </c>
      <c r="G11873" s="22" t="s">
        <v>391</v>
      </c>
      <c r="H11873" s="22" t="s">
        <v>391</v>
      </c>
      <c r="I11873" s="26">
        <v>43544.846828703703</v>
      </c>
      <c r="J11873" s="28" t="s">
        <v>52</v>
      </c>
      <c r="K11873" s="28" t="s">
        <v>52</v>
      </c>
      <c r="L11873" s="28" t="s">
        <v>52</v>
      </c>
      <c r="M11873" s="28" t="s">
        <v>52</v>
      </c>
      <c r="N11873" s="28" t="s">
        <v>52</v>
      </c>
    </row>
    <row r="11874" spans="1:14" hidden="1" outlineLevel="1" x14ac:dyDescent="0.2">
      <c r="A11874" s="23" t="str">
        <f>HYPERLINK("https://www.spark-marketing.ru/Card/Person/1404456", "МАОУ ""СОШ № 80"" Г.ПЕРМИ")</f>
        <v>МАОУ "СОШ № 80" Г.ПЕРМИ</v>
      </c>
      <c r="B11874" s="24" t="s">
        <v>14151</v>
      </c>
      <c r="C11874" s="28" t="s">
        <v>52</v>
      </c>
      <c r="D11874" s="22" t="s">
        <v>14152</v>
      </c>
      <c r="E11874" s="22" t="s">
        <v>4747</v>
      </c>
      <c r="F11874" s="23" t="str">
        <f>HYPERLINK("https://www.spark-marketing.ru/Card/Lot/68891478", "Физическая охрана имущества")</f>
        <v>Физическая охрана имущества</v>
      </c>
      <c r="G11874" s="22" t="s">
        <v>391</v>
      </c>
      <c r="H11874" s="22" t="s">
        <v>391</v>
      </c>
      <c r="I11874" s="26">
        <v>43544.846828703703</v>
      </c>
      <c r="J11874" s="23" t="str">
        <f>HYPERLINK("https://www.spark-marketing.ru/Card/Person/22685", "ООО ""ЧОО ""СИБИРЬ-М""")</f>
        <v>ООО "ЧОО "СИБИРЬ-М"</v>
      </c>
      <c r="K11874" s="24" t="s">
        <v>14153</v>
      </c>
      <c r="L11874" s="22" t="s">
        <v>10</v>
      </c>
      <c r="M11874" s="25">
        <v>579500</v>
      </c>
      <c r="N11874" s="27">
        <v>7.7054794520547941E-3</v>
      </c>
    </row>
    <row r="11875" spans="1:14" hidden="1" outlineLevel="1" x14ac:dyDescent="0.2">
      <c r="A11875" s="23" t="str">
        <f>HYPERLINK("https://www.spark-marketing.ru/Card/Person/1404456", "МАОУ ""СОШ № 80"" Г.ПЕРМИ")</f>
        <v>МАОУ "СОШ № 80" Г.ПЕРМИ</v>
      </c>
      <c r="B11875" s="24" t="s">
        <v>14151</v>
      </c>
      <c r="C11875" s="28" t="s">
        <v>52</v>
      </c>
      <c r="D11875" s="22" t="s">
        <v>14152</v>
      </c>
      <c r="E11875" s="22" t="s">
        <v>4747</v>
      </c>
      <c r="F11875" s="23" t="str">
        <f>HYPERLINK("https://www.spark-marketing.ru/Card/Lot/68891478", "Физическая охрана имущества")</f>
        <v>Физическая охрана имущества</v>
      </c>
      <c r="G11875" s="22" t="s">
        <v>391</v>
      </c>
      <c r="H11875" s="22" t="s">
        <v>391</v>
      </c>
      <c r="I11875" s="26">
        <v>43544.846828703703</v>
      </c>
      <c r="J11875" s="23" t="str">
        <f>HYPERLINK("https://www.spark-marketing.ru/Card/Person/51447", "ООО ""ОХРАННОЕ АГЕНТСТВО ""АЯКС""")</f>
        <v>ООО "ОХРАННОЕ АГЕНТСТВО "АЯКС"</v>
      </c>
      <c r="K11875" s="24" t="s">
        <v>11888</v>
      </c>
      <c r="L11875" s="28" t="s">
        <v>52</v>
      </c>
      <c r="M11875" s="25">
        <v>584000</v>
      </c>
      <c r="N11875" s="27">
        <v>0</v>
      </c>
    </row>
    <row r="11876" spans="1:14" x14ac:dyDescent="0.15">
      <c r="A11876" s="23" t="str">
        <f>HYPERLINK("https://www.spark-marketing.ru/Card/Person/10991", "ПАО ""РОСТЕЛЕКОМ""")</f>
        <v>ПАО "РОСТЕЛЕКОМ"</v>
      </c>
      <c r="B11876" s="24" t="s">
        <v>607</v>
      </c>
      <c r="C11876" s="25">
        <v>7014414.9100000001</v>
      </c>
      <c r="D11876" s="22" t="s">
        <v>14154</v>
      </c>
      <c r="E11876" s="22" t="s">
        <v>49</v>
      </c>
      <c r="F11876" s="23" t="str">
        <f>HYPERLINK("https://www.spark-marketing.ru/Card/Lot/68891226", "Техническое обслуживание технических средств охраны на объектах связи Нижегородского филиала")</f>
        <v>Техническое обслуживание технических средств охраны на объектах связи Нижегородского филиала</v>
      </c>
      <c r="G11876" s="22" t="s">
        <v>89</v>
      </c>
      <c r="H11876" s="22" t="s">
        <v>89</v>
      </c>
      <c r="I11876" s="26">
        <v>43544.794849537</v>
      </c>
      <c r="J11876" s="28" t="s">
        <v>52</v>
      </c>
      <c r="K11876" s="28" t="s">
        <v>52</v>
      </c>
      <c r="L11876" s="28" t="s">
        <v>52</v>
      </c>
      <c r="M11876" s="28" t="s">
        <v>52</v>
      </c>
      <c r="N11876" s="28" t="s">
        <v>52</v>
      </c>
    </row>
    <row r="11877" spans="1:14" hidden="1" outlineLevel="1" x14ac:dyDescent="0.2">
      <c r="A11877" s="23" t="str">
        <f>HYPERLINK("https://www.spark-marketing.ru/Card/Person/10991", "ПАО ""РОСТЕЛЕКОМ""")</f>
        <v>ПАО "РОСТЕЛЕКОМ"</v>
      </c>
      <c r="B11877" s="24" t="s">
        <v>607</v>
      </c>
      <c r="C11877" s="28" t="s">
        <v>52</v>
      </c>
      <c r="D11877" s="22" t="s">
        <v>14154</v>
      </c>
      <c r="E11877" s="22" t="s">
        <v>49</v>
      </c>
      <c r="F11877" s="23" t="str">
        <f>HYPERLINK("https://www.spark-marketing.ru/Card/Lot/68891226", "Техническое обслуживание технических средств охраны на объектах связи Нижегородского филиала")</f>
        <v>Техническое обслуживание технических средств охраны на объектах связи Нижегородского филиала</v>
      </c>
      <c r="G11877" s="22" t="s">
        <v>89</v>
      </c>
      <c r="H11877" s="22" t="s">
        <v>89</v>
      </c>
      <c r="I11877" s="26">
        <v>43544.794849537</v>
      </c>
      <c r="J11877" s="23" t="str">
        <f>HYPERLINK("https://www.spark-marketing.ru/Card/Person/398695", "ООО ""ЦЕНТР БЕЗОПАСНОСТИ""")</f>
        <v>ООО "ЦЕНТР БЕЗОПАСНОСТИ"</v>
      </c>
      <c r="K11877" s="24" t="s">
        <v>14155</v>
      </c>
      <c r="L11877" s="28" t="s">
        <v>52</v>
      </c>
      <c r="M11877" s="25">
        <v>6304855.8399999999</v>
      </c>
      <c r="N11877" s="27">
        <v>0.10115727100608596</v>
      </c>
    </row>
    <row r="11878" spans="1:14" hidden="1" outlineLevel="1" x14ac:dyDescent="0.2">
      <c r="A11878" s="23" t="str">
        <f>HYPERLINK("https://www.spark-marketing.ru/Card/Person/10991", "ПАО ""РОСТЕЛЕКОМ""")</f>
        <v>ПАО "РОСТЕЛЕКОМ"</v>
      </c>
      <c r="B11878" s="24" t="s">
        <v>607</v>
      </c>
      <c r="C11878" s="28" t="s">
        <v>52</v>
      </c>
      <c r="D11878" s="22" t="s">
        <v>14154</v>
      </c>
      <c r="E11878" s="22" t="s">
        <v>49</v>
      </c>
      <c r="F11878" s="23" t="str">
        <f>HYPERLINK("https://www.spark-marketing.ru/Card/Lot/68891226", "Техническое обслуживание технических средств охраны на объектах связи Нижегородского филиала")</f>
        <v>Техническое обслуживание технических средств охраны на объектах связи Нижегородского филиала</v>
      </c>
      <c r="G11878" s="22" t="s">
        <v>89</v>
      </c>
      <c r="H11878" s="22" t="s">
        <v>89</v>
      </c>
      <c r="I11878" s="26">
        <v>43544.794849537</v>
      </c>
      <c r="J11878" s="23" t="str">
        <f>HYPERLINK("https://www.spark-marketing.ru/Card/Person/516175", "ООО ""ДЕЛЬТА""")</f>
        <v>ООО "ДЕЛЬТА"</v>
      </c>
      <c r="K11878" s="24" t="s">
        <v>14156</v>
      </c>
      <c r="L11878" s="22" t="s">
        <v>10</v>
      </c>
      <c r="M11878" s="25">
        <v>5084927.92</v>
      </c>
      <c r="N11878" s="27">
        <v>0.27507454502716322</v>
      </c>
    </row>
    <row r="11879" spans="1:14" hidden="1" outlineLevel="1" x14ac:dyDescent="0.2">
      <c r="A11879" s="23" t="str">
        <f>HYPERLINK("https://www.spark-marketing.ru/Card/Person/10991", "ПАО ""РОСТЕЛЕКОМ""")</f>
        <v>ПАО "РОСТЕЛЕКОМ"</v>
      </c>
      <c r="B11879" s="24" t="s">
        <v>607</v>
      </c>
      <c r="C11879" s="28" t="s">
        <v>52</v>
      </c>
      <c r="D11879" s="22" t="s">
        <v>14154</v>
      </c>
      <c r="E11879" s="22" t="s">
        <v>49</v>
      </c>
      <c r="F11879" s="23" t="str">
        <f>HYPERLINK("https://www.spark-marketing.ru/Card/Lot/68891226", "Техническое обслуживание технических средств охраны на объектах связи Нижегородского филиала")</f>
        <v>Техническое обслуживание технических средств охраны на объектах связи Нижегородского филиала</v>
      </c>
      <c r="G11879" s="22" t="s">
        <v>89</v>
      </c>
      <c r="H11879" s="22" t="s">
        <v>89</v>
      </c>
      <c r="I11879" s="26">
        <v>43544.794849537</v>
      </c>
      <c r="J11879" s="23" t="str">
        <f>HYPERLINK("https://www.spark-marketing.ru/Card/Person/1165498", "ООО ОО ""ЛАЦИО""")</f>
        <v>ООО ОО "ЛАЦИО"</v>
      </c>
      <c r="K11879" s="24" t="s">
        <v>14157</v>
      </c>
      <c r="L11879" s="28" t="s">
        <v>52</v>
      </c>
      <c r="M11879" s="25">
        <v>5120000</v>
      </c>
      <c r="N11879" s="27">
        <v>0.27007454425019178</v>
      </c>
    </row>
    <row r="11880" spans="1:14" x14ac:dyDescent="0.15">
      <c r="A11880" s="23" t="str">
        <f>HYPERLINK("https://www.spark-marketing.ru/Card/Person/198674", "ООО ""РН-АЭРО""")</f>
        <v>ООО "РН-АЭРО"</v>
      </c>
      <c r="B11880" s="24" t="s">
        <v>12411</v>
      </c>
      <c r="C11880" s="25">
        <v>5615294.9800000004</v>
      </c>
      <c r="D11880" s="22" t="s">
        <v>14158</v>
      </c>
      <c r="E11880" s="22" t="s">
        <v>53</v>
      </c>
      <c r="F11880" s="23" t="str">
        <f>HYPERLINK("https://www.spark-marketing.ru/Card/Lot/68889939", "Оказание охранных услуг в офисных помещениях ООО ""РН-Аэро"" г. Москва 2019-2020 гг.")</f>
        <v>Оказание охранных услуг в офисных помещениях ООО "РН-Аэро" г. Москва 2019-2020 гг.</v>
      </c>
      <c r="G11880" s="22" t="s">
        <v>55</v>
      </c>
      <c r="H11880" s="22" t="s">
        <v>55</v>
      </c>
      <c r="I11880" s="26">
        <v>43544.776388888902</v>
      </c>
      <c r="J11880" s="28" t="s">
        <v>52</v>
      </c>
      <c r="K11880" s="28" t="s">
        <v>52</v>
      </c>
      <c r="L11880" s="28" t="s">
        <v>52</v>
      </c>
      <c r="M11880" s="28" t="s">
        <v>52</v>
      </c>
      <c r="N11880" s="28" t="s">
        <v>52</v>
      </c>
    </row>
    <row r="11881" spans="1:14" x14ac:dyDescent="0.15">
      <c r="A11881" s="23" t="str">
        <f>HYPERLINK("https://www.spark-marketing.ru/Card/Person/4450008", "ООО ""КАРИ""")</f>
        <v>ООО "КАРИ"</v>
      </c>
      <c r="B11881" s="24" t="s">
        <v>2903</v>
      </c>
      <c r="C11881" s="25">
        <v>0</v>
      </c>
      <c r="D11881" s="22" t="s">
        <v>14159</v>
      </c>
      <c r="E11881" s="22" t="s">
        <v>208</v>
      </c>
      <c r="F11881" s="23" t="str">
        <f>HYPERLINK("https://www.spark-marketing.ru/Card/Lot/68894560", "За 24-х часовую охрану имущества Заказчика и охрану складского помещения")</f>
        <v>За 24-х часовую охрану имущества Заказчика и охрану складского помещения</v>
      </c>
      <c r="G11881" s="22" t="s">
        <v>209</v>
      </c>
      <c r="H11881" s="22" t="s">
        <v>11190</v>
      </c>
      <c r="I11881" s="26">
        <v>43544.788217592599</v>
      </c>
      <c r="J11881" s="28" t="s">
        <v>52</v>
      </c>
      <c r="K11881" s="28" t="s">
        <v>52</v>
      </c>
      <c r="L11881" s="28" t="s">
        <v>52</v>
      </c>
      <c r="M11881" s="28" t="s">
        <v>52</v>
      </c>
      <c r="N11881" s="28" t="s">
        <v>52</v>
      </c>
    </row>
    <row r="11882" spans="1:14" x14ac:dyDescent="0.15">
      <c r="A11882" s="23" t="str">
        <f>HYPERLINK("https://www.spark-marketing.ru/Card/Person/260574", "ФКУ ИК-3 УФСИН РОССИИ ПО ИВАНОВСКОЙ ОБЛАСТИ")</f>
        <v>ФКУ ИК-3 УФСИН РОССИИ ПО ИВАНОВСКОЙ ОБЛАСТИ</v>
      </c>
      <c r="B11882" s="24" t="s">
        <v>14160</v>
      </c>
      <c r="C11882" s="25">
        <v>3334</v>
      </c>
      <c r="D11882" s="22" t="s">
        <v>14161</v>
      </c>
      <c r="E11882" s="22" t="s">
        <v>53</v>
      </c>
      <c r="F11882" s="23" t="str">
        <f>HYPERLINK("https://www.spark-marketing.ru/Card/Lot/70796634", "специальные жидкости к автомобильному автотранспорту")</f>
        <v>специальные жидкости к автомобильному автотранспорту</v>
      </c>
      <c r="G11882" s="22" t="s">
        <v>340</v>
      </c>
      <c r="H11882" s="22" t="s">
        <v>2755</v>
      </c>
      <c r="I11882" s="26">
        <v>43544.769305555601</v>
      </c>
      <c r="J11882" s="28" t="s">
        <v>52</v>
      </c>
      <c r="K11882" s="28" t="s">
        <v>52</v>
      </c>
      <c r="L11882" s="28" t="s">
        <v>52</v>
      </c>
      <c r="M11882" s="28" t="s">
        <v>52</v>
      </c>
      <c r="N11882" s="28" t="s">
        <v>52</v>
      </c>
    </row>
    <row r="11883" spans="1:14" x14ac:dyDescent="0.15">
      <c r="A11883" s="23" t="str">
        <f t="shared" ref="A11883:A11891" si="611">HYPERLINK("https://www.spark-marketing.ru/Card/Person/1022963", "СПБ ГБНОУ ""ЦЕНТР РЕГИОНАЛЬНОГО И МЕЖДУНАРОДНОГО СОТРУДНИЧЕСТВА""")</f>
        <v>СПБ ГБНОУ "ЦЕНТР РЕГИОНАЛЬНОГО И МЕЖДУНАРОДНОГО СОТРУДНИЧЕСТВА"</v>
      </c>
      <c r="B11883" s="24" t="s">
        <v>14162</v>
      </c>
      <c r="C11883" s="25">
        <v>1730000</v>
      </c>
      <c r="D11883" s="22" t="s">
        <v>14163</v>
      </c>
      <c r="E11883" s="22" t="s">
        <v>68</v>
      </c>
      <c r="F11883" s="23" t="str">
        <f t="shared" ref="F11883:F11891" si="612">HYPERLINK("https://www.spark-marketing.ru/Card/Lot/68888713", "Организация обеспечения охраны объектов и (или) имущества, а так же обеспечения внутриобъектового и пропускного режимов на объектах, в отношении которых установлены обязательные для выполнения требования к антитеррористической защищенности для нужд С...")</f>
        <v>Организация обеспечения охраны объектов и (или) имущества, а так же обеспечения внутриобъектового и пропускного режимов на объектах, в отношении которых установлены обязательные для выполнения требования к антитеррористической защищенности для нужд С...</v>
      </c>
      <c r="G11883" s="22" t="s">
        <v>89</v>
      </c>
      <c r="H11883" s="22" t="s">
        <v>89</v>
      </c>
      <c r="I11883" s="26">
        <v>43544.733333333301</v>
      </c>
      <c r="J11883" s="28" t="s">
        <v>52</v>
      </c>
      <c r="K11883" s="28" t="s">
        <v>52</v>
      </c>
      <c r="L11883" s="28" t="s">
        <v>52</v>
      </c>
      <c r="M11883" s="28" t="s">
        <v>52</v>
      </c>
      <c r="N11883" s="28" t="s">
        <v>52</v>
      </c>
    </row>
    <row r="11884" spans="1:14" hidden="1" outlineLevel="1" x14ac:dyDescent="0.2">
      <c r="A11884" s="23" t="str">
        <f t="shared" si="611"/>
        <v>СПБ ГБНОУ "ЦЕНТР РЕГИОНАЛЬНОГО И МЕЖДУНАРОДНОГО СОТРУДНИЧЕСТВА"</v>
      </c>
      <c r="B11884" s="24" t="s">
        <v>14162</v>
      </c>
      <c r="C11884" s="25">
        <v>1730000</v>
      </c>
      <c r="D11884" s="22" t="s">
        <v>14163</v>
      </c>
      <c r="E11884" s="22" t="s">
        <v>68</v>
      </c>
      <c r="F11884" s="23" t="str">
        <f t="shared" si="612"/>
        <v>Организация обеспечения охраны объектов и (или) имущества, а так же обеспечения внутриобъектового и пропускного режимов на объектах, в отношении которых установлены обязательные для выполнения требования к антитеррористической защищенности для нужд С...</v>
      </c>
      <c r="G11884" s="22" t="s">
        <v>89</v>
      </c>
      <c r="H11884" s="22" t="s">
        <v>89</v>
      </c>
      <c r="I11884" s="26">
        <v>43544.733333333301</v>
      </c>
      <c r="J11884" s="23" t="str">
        <f>HYPERLINK("https://www.spark-marketing.ru/Card/Person/10487", "ФГУП ""ОХРАНА"" РОСГВАРДИИ")</f>
        <v>ФГУП "ОХРАНА" РОСГВАРДИИ</v>
      </c>
      <c r="K11884" s="24" t="s">
        <v>779</v>
      </c>
      <c r="L11884" s="28" t="s">
        <v>52</v>
      </c>
      <c r="M11884" s="25">
        <v>1036192.5</v>
      </c>
      <c r="N11884" s="27">
        <v>0.40104479768786128</v>
      </c>
    </row>
    <row r="11885" spans="1:14" hidden="1" outlineLevel="1" x14ac:dyDescent="0.2">
      <c r="A11885" s="23" t="str">
        <f t="shared" si="611"/>
        <v>СПБ ГБНОУ "ЦЕНТР РЕГИОНАЛЬНОГО И МЕЖДУНАРОДНОГО СОТРУДНИЧЕСТВА"</v>
      </c>
      <c r="B11885" s="24" t="s">
        <v>14162</v>
      </c>
      <c r="C11885" s="25">
        <v>1730000</v>
      </c>
      <c r="D11885" s="22" t="s">
        <v>14163</v>
      </c>
      <c r="E11885" s="22" t="s">
        <v>68</v>
      </c>
      <c r="F11885" s="23" t="str">
        <f t="shared" si="612"/>
        <v>Организация обеспечения охраны объектов и (или) имущества, а так же обеспечения внутриобъектового и пропускного режимов на объектах, в отношении которых установлены обязательные для выполнения требования к антитеррористической защищенности для нужд С...</v>
      </c>
      <c r="G11885" s="22" t="s">
        <v>89</v>
      </c>
      <c r="H11885" s="22" t="s">
        <v>89</v>
      </c>
      <c r="I11885" s="26">
        <v>43544.733333333301</v>
      </c>
      <c r="J11885" s="23" t="str">
        <f>HYPERLINK("https://www.spark-marketing.ru/Card/Person/1318208", "ООО ""ОО ""РОСОХРАНА""")</f>
        <v>ООО "ОО "РОСОХРАНА"</v>
      </c>
      <c r="K11885" s="24" t="s">
        <v>10946</v>
      </c>
      <c r="L11885" s="28" t="s">
        <v>52</v>
      </c>
      <c r="M11885" s="25">
        <v>680000</v>
      </c>
      <c r="N11885" s="27">
        <v>0.60693641618497107</v>
      </c>
    </row>
    <row r="11886" spans="1:14" hidden="1" outlineLevel="1" x14ac:dyDescent="0.2">
      <c r="A11886" s="23" t="str">
        <f t="shared" si="611"/>
        <v>СПБ ГБНОУ "ЦЕНТР РЕГИОНАЛЬНОГО И МЕЖДУНАРОДНОГО СОТРУДНИЧЕСТВА"</v>
      </c>
      <c r="B11886" s="24" t="s">
        <v>14162</v>
      </c>
      <c r="C11886" s="25">
        <v>1730000</v>
      </c>
      <c r="D11886" s="22" t="s">
        <v>14163</v>
      </c>
      <c r="E11886" s="22" t="s">
        <v>68</v>
      </c>
      <c r="F11886" s="23" t="str">
        <f t="shared" si="612"/>
        <v>Организация обеспечения охраны объектов и (или) имущества, а так же обеспечения внутриобъектового и пропускного режимов на объектах, в отношении которых установлены обязательные для выполнения требования к антитеррористической защищенности для нужд С...</v>
      </c>
      <c r="G11886" s="22" t="s">
        <v>89</v>
      </c>
      <c r="H11886" s="22" t="s">
        <v>89</v>
      </c>
      <c r="I11886" s="26">
        <v>43544.733333333301</v>
      </c>
      <c r="J11886" s="23" t="str">
        <f>HYPERLINK("https://www.spark-marketing.ru/Card/Person/4349324", "ООО ""ЧОП ""ФОРТ-С""")</f>
        <v>ООО "ЧОП "ФОРТ-С"</v>
      </c>
      <c r="K11886" s="24" t="s">
        <v>14164</v>
      </c>
      <c r="L11886" s="28" t="s">
        <v>52</v>
      </c>
      <c r="M11886" s="25">
        <v>1319782</v>
      </c>
      <c r="N11886" s="27">
        <v>0.23712023121387282</v>
      </c>
    </row>
    <row r="11887" spans="1:14" hidden="1" outlineLevel="1" x14ac:dyDescent="0.2">
      <c r="A11887" s="23" t="str">
        <f t="shared" si="611"/>
        <v>СПБ ГБНОУ "ЦЕНТР РЕГИОНАЛЬНОГО И МЕЖДУНАРОДНОГО СОТРУДНИЧЕСТВА"</v>
      </c>
      <c r="B11887" s="24" t="s">
        <v>14162</v>
      </c>
      <c r="C11887" s="25">
        <v>1730000</v>
      </c>
      <c r="D11887" s="22" t="s">
        <v>14163</v>
      </c>
      <c r="E11887" s="22" t="s">
        <v>68</v>
      </c>
      <c r="F11887" s="23" t="str">
        <f t="shared" si="612"/>
        <v>Организация обеспечения охраны объектов и (или) имущества, а так же обеспечения внутриобъектового и пропускного режимов на объектах, в отношении которых установлены обязательные для выполнения требования к антитеррористической защищенности для нужд С...</v>
      </c>
      <c r="G11887" s="22" t="s">
        <v>89</v>
      </c>
      <c r="H11887" s="22" t="s">
        <v>89</v>
      </c>
      <c r="I11887" s="26">
        <v>43544.733333333301</v>
      </c>
      <c r="J11887" s="23" t="str">
        <f>HYPERLINK("https://www.spark-marketing.ru/Card/Person/2582543", "ООО ""ОП ""ЭГО-СИСТЕМА""")</f>
        <v>ООО "ОП "ЭГО-СИСТЕМА"</v>
      </c>
      <c r="K11887" s="24" t="s">
        <v>11088</v>
      </c>
      <c r="L11887" s="28" t="s">
        <v>52</v>
      </c>
      <c r="M11887" s="25">
        <v>1400000</v>
      </c>
      <c r="N11887" s="27">
        <v>0.19075144508670519</v>
      </c>
    </row>
    <row r="11888" spans="1:14" ht="12.75" hidden="1" outlineLevel="1" x14ac:dyDescent="0.2">
      <c r="A11888" s="23" t="str">
        <f t="shared" si="611"/>
        <v>СПБ ГБНОУ "ЦЕНТР РЕГИОНАЛЬНОГО И МЕЖДУНАРОДНОГО СОТРУДНИЧЕСТВА"</v>
      </c>
      <c r="B11888" s="24" t="s">
        <v>14162</v>
      </c>
      <c r="C11888" s="25">
        <v>1730000</v>
      </c>
      <c r="D11888" s="22" t="s">
        <v>14163</v>
      </c>
      <c r="E11888" s="22" t="s">
        <v>68</v>
      </c>
      <c r="F11888" s="23" t="str">
        <f t="shared" si="612"/>
        <v>Организация обеспечения охраны объектов и (или) имущества, а так же обеспечения внутриобъектового и пропускного режимов на объектах, в отношении которых установлены обязательные для выполнения требования к антитеррористической защищенности для нужд С...</v>
      </c>
      <c r="G11888" s="22" t="s">
        <v>89</v>
      </c>
      <c r="H11888" s="22" t="s">
        <v>89</v>
      </c>
      <c r="I11888" s="26">
        <v>43544.733333333301</v>
      </c>
      <c r="J11888" s="23" t="str">
        <f>HYPERLINK("https://www.spark-marketing.ru/Card/Person/916387", "ООО ""ЧОО ""ФАРАОН""")</f>
        <v>ООО "ЧОО "ФАРАОН"</v>
      </c>
      <c r="K11888" s="24" t="s">
        <v>14165</v>
      </c>
      <c r="L11888" s="22" t="s">
        <v>10</v>
      </c>
      <c r="M11888" s="25">
        <v>1000000</v>
      </c>
      <c r="N11888" s="27">
        <v>0.42196531791907516</v>
      </c>
    </row>
    <row r="11889" spans="1:14" hidden="1" outlineLevel="1" x14ac:dyDescent="0.2">
      <c r="A11889" s="23" t="str">
        <f t="shared" si="611"/>
        <v>СПБ ГБНОУ "ЦЕНТР РЕГИОНАЛЬНОГО И МЕЖДУНАРОДНОГО СОТРУДНИЧЕСТВА"</v>
      </c>
      <c r="B11889" s="24" t="s">
        <v>14162</v>
      </c>
      <c r="C11889" s="25">
        <v>1730000</v>
      </c>
      <c r="D11889" s="22" t="s">
        <v>14163</v>
      </c>
      <c r="E11889" s="22" t="s">
        <v>68</v>
      </c>
      <c r="F11889" s="23" t="str">
        <f t="shared" si="612"/>
        <v>Организация обеспечения охраны объектов и (или) имущества, а так же обеспечения внутриобъектового и пропускного режимов на объектах, в отношении которых установлены обязательные для выполнения требования к антитеррористической защищенности для нужд С...</v>
      </c>
      <c r="G11889" s="22" t="s">
        <v>89</v>
      </c>
      <c r="H11889" s="22" t="s">
        <v>89</v>
      </c>
      <c r="I11889" s="26">
        <v>43544.733333333301</v>
      </c>
      <c r="J11889" s="23" t="str">
        <f>HYPERLINK("https://www.spark-marketing.ru/Card/Person/691424", "ООО ""ОО ""ВАЛЬКИРИЯ""")</f>
        <v>ООО "ОО "ВАЛЬКИРИЯ"</v>
      </c>
      <c r="K11889" s="24" t="s">
        <v>14166</v>
      </c>
      <c r="L11889" s="28" t="s">
        <v>52</v>
      </c>
      <c r="M11889" s="25">
        <v>1557000</v>
      </c>
      <c r="N11889" s="27">
        <v>0.1</v>
      </c>
    </row>
    <row r="11890" spans="1:14" hidden="1" outlineLevel="1" x14ac:dyDescent="0.2">
      <c r="A11890" s="23" t="str">
        <f t="shared" si="611"/>
        <v>СПБ ГБНОУ "ЦЕНТР РЕГИОНАЛЬНОГО И МЕЖДУНАРОДНОГО СОТРУДНИЧЕСТВА"</v>
      </c>
      <c r="B11890" s="24" t="s">
        <v>14162</v>
      </c>
      <c r="C11890" s="25">
        <v>1730000</v>
      </c>
      <c r="D11890" s="22" t="s">
        <v>14163</v>
      </c>
      <c r="E11890" s="22" t="s">
        <v>68</v>
      </c>
      <c r="F11890" s="23" t="str">
        <f t="shared" si="612"/>
        <v>Организация обеспечения охраны объектов и (или) имущества, а так же обеспечения внутриобъектового и пропускного режимов на объектах, в отношении которых установлены обязательные для выполнения требования к антитеррористической защищенности для нужд С...</v>
      </c>
      <c r="G11890" s="22" t="s">
        <v>89</v>
      </c>
      <c r="H11890" s="22" t="s">
        <v>89</v>
      </c>
      <c r="I11890" s="26">
        <v>43544.733333333301</v>
      </c>
      <c r="J11890" s="23" t="str">
        <f>HYPERLINK("https://www.spark-marketing.ru/Card/Person/60989", "ООО ""ОП ""БАЛТИЙСКАЯ ПЕРСПЕКТИВА""")</f>
        <v>ООО "ОП "БАЛТИЙСКАЯ ПЕРСПЕКТИВА"</v>
      </c>
      <c r="K11890" s="24" t="s">
        <v>14167</v>
      </c>
      <c r="L11890" s="28" t="s">
        <v>52</v>
      </c>
      <c r="M11890" s="25">
        <v>800000</v>
      </c>
      <c r="N11890" s="27">
        <v>0.53757225433526012</v>
      </c>
    </row>
    <row r="11891" spans="1:14" hidden="1" outlineLevel="1" x14ac:dyDescent="0.2">
      <c r="A11891" s="23" t="str">
        <f t="shared" si="611"/>
        <v>СПБ ГБНОУ "ЦЕНТР РЕГИОНАЛЬНОГО И МЕЖДУНАРОДНОГО СОТРУДНИЧЕСТВА"</v>
      </c>
      <c r="B11891" s="24" t="s">
        <v>14162</v>
      </c>
      <c r="C11891" s="25">
        <v>1730000</v>
      </c>
      <c r="D11891" s="22" t="s">
        <v>14163</v>
      </c>
      <c r="E11891" s="22" t="s">
        <v>68</v>
      </c>
      <c r="F11891" s="23" t="str">
        <f t="shared" si="612"/>
        <v>Организация обеспечения охраны объектов и (или) имущества, а так же обеспечения внутриобъектового и пропускного режимов на объектах, в отношении которых установлены обязательные для выполнения требования к антитеррористической защищенности для нужд С...</v>
      </c>
      <c r="G11891" s="22" t="s">
        <v>89</v>
      </c>
      <c r="H11891" s="22" t="s">
        <v>89</v>
      </c>
      <c r="I11891" s="26">
        <v>43544.733333333301</v>
      </c>
      <c r="J11891" s="23" t="str">
        <f>HYPERLINK("https://www.spark-marketing.ru/Card/Person/32217", "ООО ""ОО ""ЗВЕЗДОЧЁТ""")</f>
        <v>ООО "ОО "ЗВЕЗДОЧЁТ"</v>
      </c>
      <c r="K11891" s="24" t="s">
        <v>13156</v>
      </c>
      <c r="L11891" s="28" t="s">
        <v>52</v>
      </c>
      <c r="M11891" s="25">
        <v>1248000</v>
      </c>
      <c r="N11891" s="27">
        <v>0.27861271676300581</v>
      </c>
    </row>
    <row r="11892" spans="1:14" x14ac:dyDescent="0.15">
      <c r="A11892" s="23" t="str">
        <f>HYPERLINK("https://www.spark-marketing.ru/Card/Person/4382185", "ОАО ""ОМСКИЙ АЭРОПОРТ""")</f>
        <v>ОАО "ОМСКИЙ АЭРОПОРТ"</v>
      </c>
      <c r="B11892" s="24" t="s">
        <v>14168</v>
      </c>
      <c r="C11892" s="25">
        <v>267000</v>
      </c>
      <c r="D11892" s="22" t="s">
        <v>14169</v>
      </c>
      <c r="E11892" s="22" t="s">
        <v>14170</v>
      </c>
      <c r="F11892" s="23" t="str">
        <f>HYPERLINK("https://www.spark-marketing.ru/Card/Lot/68881591", "Техническое обслуживание стационарных систем обнаружения делящихся и радиоактивных материалов ""Янтарь-2П"" с комплектом видеонаблюдения, ""Янтарь-2СН"" с комплектом видеонаблюдения, ""Янтарь-1СН""")</f>
        <v>Техническое обслуживание стационарных систем обнаружения делящихся и радиоактивных материалов "Янтарь-2П" с комплектом видеонаблюдения, "Янтарь-2СН" с комплектом видеонаблюдения, "Янтарь-1СН"</v>
      </c>
      <c r="G11892" s="22" t="s">
        <v>521</v>
      </c>
      <c r="H11892" s="22" t="s">
        <v>521</v>
      </c>
      <c r="I11892" s="26">
        <v>43544.721747685202</v>
      </c>
      <c r="J11892" s="28" t="s">
        <v>52</v>
      </c>
      <c r="K11892" s="28" t="s">
        <v>52</v>
      </c>
      <c r="L11892" s="28" t="s">
        <v>52</v>
      </c>
      <c r="M11892" s="28" t="s">
        <v>52</v>
      </c>
      <c r="N11892" s="28" t="s">
        <v>52</v>
      </c>
    </row>
    <row r="11893" spans="1:14" hidden="1" outlineLevel="1" x14ac:dyDescent="0.2">
      <c r="A11893" s="23" t="str">
        <f>HYPERLINK("https://www.spark-marketing.ru/Card/Person/4382185", "ОАО ""ОМСКИЙ АЭРОПОРТ""")</f>
        <v>ОАО "ОМСКИЙ АЭРОПОРТ"</v>
      </c>
      <c r="B11893" s="24" t="s">
        <v>14168</v>
      </c>
      <c r="C11893" s="28" t="s">
        <v>52</v>
      </c>
      <c r="D11893" s="22" t="s">
        <v>14169</v>
      </c>
      <c r="E11893" s="22" t="s">
        <v>14170</v>
      </c>
      <c r="F11893" s="23" t="str">
        <f>HYPERLINK("https://www.spark-marketing.ru/Card/Lot/68881591", "Техническое обслуживание стационарных систем обнаружения делящихся и радиоактивных материалов ""Янтарь-2П"" с комплектом видеонаблюдения, ""Янтарь-2СН"" с комплектом видеонаблюдения, ""Янтарь-1СН""")</f>
        <v>Техническое обслуживание стационарных систем обнаружения делящихся и радиоактивных материалов "Янтарь-2П" с комплектом видеонаблюдения, "Янтарь-2СН" с комплектом видеонаблюдения, "Янтарь-1СН"</v>
      </c>
      <c r="G11893" s="22" t="s">
        <v>521</v>
      </c>
      <c r="H11893" s="22" t="s">
        <v>521</v>
      </c>
      <c r="I11893" s="26">
        <v>43544.721747685202</v>
      </c>
      <c r="J11893" s="23" t="str">
        <f>HYPERLINK("https://www.spark-marketing.ru/Card/Person/65875", "ООО ""СИБМЕР""")</f>
        <v>ООО "СИБМЕР"</v>
      </c>
      <c r="K11893" s="24" t="s">
        <v>14171</v>
      </c>
      <c r="L11893" s="28" t="s">
        <v>52</v>
      </c>
      <c r="M11893" s="25">
        <v>238000</v>
      </c>
      <c r="N11893" s="27">
        <v>0.10861423220973783</v>
      </c>
    </row>
    <row r="11894" spans="1:14" hidden="1" outlineLevel="1" x14ac:dyDescent="0.2">
      <c r="A11894" s="23" t="str">
        <f>HYPERLINK("https://www.spark-marketing.ru/Card/Person/4382185", "ОАО ""ОМСКИЙ АЭРОПОРТ""")</f>
        <v>ОАО "ОМСКИЙ АЭРОПОРТ"</v>
      </c>
      <c r="B11894" s="24" t="s">
        <v>14168</v>
      </c>
      <c r="C11894" s="28" t="s">
        <v>52</v>
      </c>
      <c r="D11894" s="22" t="s">
        <v>14169</v>
      </c>
      <c r="E11894" s="22" t="s">
        <v>14170</v>
      </c>
      <c r="F11894" s="23" t="str">
        <f>HYPERLINK("https://www.spark-marketing.ru/Card/Lot/68881591", "Техническое обслуживание стационарных систем обнаружения делящихся и радиоактивных материалов ""Янтарь-2П"" с комплектом видеонаблюдения, ""Янтарь-2СН"" с комплектом видеонаблюдения, ""Янтарь-1СН""")</f>
        <v>Техническое обслуживание стационарных систем обнаружения делящихся и радиоактивных материалов "Янтарь-2П" с комплектом видеонаблюдения, "Янтарь-2СН" с комплектом видеонаблюдения, "Янтарь-1СН"</v>
      </c>
      <c r="G11894" s="22" t="s">
        <v>521</v>
      </c>
      <c r="H11894" s="22" t="s">
        <v>521</v>
      </c>
      <c r="I11894" s="26">
        <v>43544.721747685202</v>
      </c>
      <c r="J11894" s="23" t="str">
        <f>HYPERLINK("https://www.spark-marketing.ru/Card/Person/213146", "ООО ""УРАЛ-АСПЕКТ СЕРВИС""")</f>
        <v>ООО "УРАЛ-АСПЕКТ СЕРВИС"</v>
      </c>
      <c r="K11894" s="24" t="s">
        <v>14172</v>
      </c>
      <c r="L11894" s="28" t="s">
        <v>52</v>
      </c>
      <c r="M11894" s="25">
        <v>190000</v>
      </c>
      <c r="N11894" s="27">
        <v>0.28838951310861421</v>
      </c>
    </row>
    <row r="11895" spans="1:14" x14ac:dyDescent="0.15">
      <c r="A11895" s="23" t="str">
        <f>HYPERLINK("https://www.spark-marketing.ru/Card/Person/113881", "ОГБУ ""СМОЛЕНСКИЙ КЦСОН""")</f>
        <v>ОГБУ "СМОЛЕНСКИЙ КЦСОН"</v>
      </c>
      <c r="B11895" s="24" t="s">
        <v>14173</v>
      </c>
      <c r="C11895" s="25">
        <v>486000</v>
      </c>
      <c r="D11895" s="22" t="s">
        <v>14174</v>
      </c>
      <c r="E11895" s="22" t="s">
        <v>52</v>
      </c>
      <c r="F11895" s="23" t="str">
        <f>HYPERLINK("https://www.spark-marketing.ru/Card/Lot/68887731", "0296-аэф/у Оказание услуг по охране здания расположенного по адресу: г. Смоленск, городок Коминтерна, д.12а, с находящимся в нем имуществом для нужд ОГБУ «Смоленский КЦСОН» на 2019 г.")</f>
        <v>0296-аэф/у Оказание услуг по охране здания расположенного по адресу: г. Смоленск, городок Коминтерна, д.12а, с находящимся в нем имуществом для нужд ОГБУ «Смоленский КЦСОН» на 2019 г.</v>
      </c>
      <c r="G11895" s="22" t="s">
        <v>956</v>
      </c>
      <c r="H11895" s="22" t="s">
        <v>1451</v>
      </c>
      <c r="I11895" s="26">
        <v>43544.714583333298</v>
      </c>
      <c r="J11895" s="28" t="s">
        <v>52</v>
      </c>
      <c r="K11895" s="28" t="s">
        <v>52</v>
      </c>
      <c r="L11895" s="28" t="s">
        <v>52</v>
      </c>
      <c r="M11895" s="28" t="s">
        <v>52</v>
      </c>
      <c r="N11895" s="28" t="s">
        <v>52</v>
      </c>
    </row>
    <row r="11896" spans="1:14" ht="12.75" hidden="1" outlineLevel="1" x14ac:dyDescent="0.2">
      <c r="A11896" s="23" t="str">
        <f>HYPERLINK("https://www.spark-marketing.ru/Card/Person/113881", "ОГБУ ""СМОЛЕНСКИЙ КЦСОН""")</f>
        <v>ОГБУ "СМОЛЕНСКИЙ КЦСОН"</v>
      </c>
      <c r="B11896" s="24" t="s">
        <v>14173</v>
      </c>
      <c r="C11896" s="25">
        <v>486000</v>
      </c>
      <c r="D11896" s="22" t="s">
        <v>14174</v>
      </c>
      <c r="E11896" s="22" t="s">
        <v>52</v>
      </c>
      <c r="F11896" s="23" t="str">
        <f>HYPERLINK("https://www.spark-marketing.ru/Card/Lot/68887731", "0296-аэф/у Оказание услуг по охране здания расположенного по адресу: г. Смоленск, городок Коминтерна, д.12а, с находящимся в нем имуществом для нужд ОГБУ «Смоленский КЦСОН» на 2019 г.")</f>
        <v>0296-аэф/у Оказание услуг по охране здания расположенного по адресу: г. Смоленск, городок Коминтерна, д.12а, с находящимся в нем имуществом для нужд ОГБУ «Смоленский КЦСОН» на 2019 г.</v>
      </c>
      <c r="G11896" s="22" t="s">
        <v>956</v>
      </c>
      <c r="H11896" s="22" t="s">
        <v>1451</v>
      </c>
      <c r="I11896" s="26">
        <v>43544.714583333298</v>
      </c>
      <c r="J11896" s="23" t="str">
        <f>HYPERLINK("https://www.spark-marketing.ru/Card/Person/91037", "ООО ""ЧОП ""ВЕКТОР""")</f>
        <v>ООО "ЧОП "ВЕКТОР"</v>
      </c>
      <c r="K11896" s="24" t="s">
        <v>14175</v>
      </c>
      <c r="L11896" s="22" t="s">
        <v>10</v>
      </c>
      <c r="M11896" s="25">
        <v>396090</v>
      </c>
      <c r="N11896" s="27">
        <v>0.185</v>
      </c>
    </row>
    <row r="11897" spans="1:14" hidden="1" outlineLevel="1" x14ac:dyDescent="0.2">
      <c r="A11897" s="23" t="str">
        <f>HYPERLINK("https://www.spark-marketing.ru/Card/Person/113881", "ОГБУ ""СМОЛЕНСКИЙ КЦСОН""")</f>
        <v>ОГБУ "СМОЛЕНСКИЙ КЦСОН"</v>
      </c>
      <c r="B11897" s="24" t="s">
        <v>14173</v>
      </c>
      <c r="C11897" s="25">
        <v>486000</v>
      </c>
      <c r="D11897" s="22" t="s">
        <v>14174</v>
      </c>
      <c r="E11897" s="22" t="s">
        <v>52</v>
      </c>
      <c r="F11897" s="23" t="str">
        <f>HYPERLINK("https://www.spark-marketing.ru/Card/Lot/68887731", "0296-аэф/у Оказание услуг по охране здания расположенного по адресу: г. Смоленск, городок Коминтерна, д.12а, с находящимся в нем имуществом для нужд ОГБУ «Смоленский КЦСОН» на 2019 г.")</f>
        <v>0296-аэф/у Оказание услуг по охране здания расположенного по адресу: г. Смоленск, городок Коминтерна, д.12а, с находящимся в нем имуществом для нужд ОГБУ «Смоленский КЦСОН» на 2019 г.</v>
      </c>
      <c r="G11897" s="22" t="s">
        <v>956</v>
      </c>
      <c r="H11897" s="22" t="s">
        <v>1451</v>
      </c>
      <c r="I11897" s="26">
        <v>43544.714583333298</v>
      </c>
      <c r="J11897" s="23" t="str">
        <f>HYPERLINK("https://www.spark-marketing.ru/Card/Person/836753", "ООО ""ЧОП ""АРБАЛЕТ""")</f>
        <v>ООО "ЧОП "АРБАЛЕТ"</v>
      </c>
      <c r="K11897" s="24" t="s">
        <v>14176</v>
      </c>
      <c r="L11897" s="28" t="s">
        <v>52</v>
      </c>
      <c r="M11897" s="25">
        <v>398520</v>
      </c>
      <c r="N11897" s="27">
        <v>0.18</v>
      </c>
    </row>
    <row r="11898" spans="1:14" hidden="1" outlineLevel="1" x14ac:dyDescent="0.2">
      <c r="A11898" s="23" t="str">
        <f>HYPERLINK("https://www.spark-marketing.ru/Card/Person/113881", "ОГБУ ""СМОЛЕНСКИЙ КЦСОН""")</f>
        <v>ОГБУ "СМОЛЕНСКИЙ КЦСОН"</v>
      </c>
      <c r="B11898" s="24" t="s">
        <v>14173</v>
      </c>
      <c r="C11898" s="25">
        <v>486000</v>
      </c>
      <c r="D11898" s="22" t="s">
        <v>14174</v>
      </c>
      <c r="E11898" s="22" t="s">
        <v>52</v>
      </c>
      <c r="F11898" s="23" t="str">
        <f>HYPERLINK("https://www.spark-marketing.ru/Card/Lot/68887731", "0296-аэф/у Оказание услуг по охране здания расположенного по адресу: г. Смоленск, городок Коминтерна, д.12а, с находящимся в нем имуществом для нужд ОГБУ «Смоленский КЦСОН» на 2019 г.")</f>
        <v>0296-аэф/у Оказание услуг по охране здания расположенного по адресу: г. Смоленск, городок Коминтерна, д.12а, с находящимся в нем имуществом для нужд ОГБУ «Смоленский КЦСОН» на 2019 г.</v>
      </c>
      <c r="G11898" s="22" t="s">
        <v>956</v>
      </c>
      <c r="H11898" s="22" t="s">
        <v>1451</v>
      </c>
      <c r="I11898" s="26">
        <v>43544.714583333298</v>
      </c>
      <c r="J11898" s="23" t="str">
        <f>HYPERLINK("https://www.spark-marketing.ru/Card/Person/1998277", "ООО ""ЧОП ""БАРС""")</f>
        <v>ООО "ЧОП "БАРС"</v>
      </c>
      <c r="K11898" s="24" t="s">
        <v>14177</v>
      </c>
      <c r="L11898" s="28" t="s">
        <v>52</v>
      </c>
      <c r="M11898" s="25">
        <v>420390</v>
      </c>
      <c r="N11898" s="27">
        <v>0.13500000000000001</v>
      </c>
    </row>
    <row r="11899" spans="1:14" x14ac:dyDescent="0.15">
      <c r="A11899" s="23" t="str">
        <f>HYPERLINK("https://www.spark-marketing.ru/Card/Person/148607", "ОГБУЗ ""СТОДОЛИЩЕНСКАЯ РБ""")</f>
        <v>ОГБУЗ "СТОДОЛИЩЕНСКАЯ РБ"</v>
      </c>
      <c r="B11899" s="24" t="s">
        <v>14178</v>
      </c>
      <c r="C11899" s="25">
        <v>134760</v>
      </c>
      <c r="D11899" s="22" t="s">
        <v>14179</v>
      </c>
      <c r="E11899" s="22" t="s">
        <v>5799</v>
      </c>
      <c r="F11899" s="23" t="str">
        <f>HYPERLINK("https://www.spark-marketing.ru/Card/Lot/68889708", "услуги предоставляемые экстерриториальными организациями и органами")</f>
        <v>услуги предоставляемые экстерриториальными организациями и органами</v>
      </c>
      <c r="G11899" s="22" t="s">
        <v>956</v>
      </c>
      <c r="H11899" s="22" t="s">
        <v>14180</v>
      </c>
      <c r="I11899" s="26">
        <v>43544.721527777801</v>
      </c>
      <c r="J11899" s="28" t="s">
        <v>52</v>
      </c>
      <c r="K11899" s="28" t="s">
        <v>52</v>
      </c>
      <c r="L11899" s="28" t="s">
        <v>52</v>
      </c>
      <c r="M11899" s="28" t="s">
        <v>52</v>
      </c>
      <c r="N11899" s="28" t="s">
        <v>52</v>
      </c>
    </row>
    <row r="11900" spans="1:14" x14ac:dyDescent="0.15">
      <c r="A11900" s="23" t="str">
        <f>HYPERLINK("https://www.spark-marketing.ru/Card/Person/1579773", "СПБ ГУП ""ЗООПАРК""")</f>
        <v>СПБ ГУП "ЗООПАРК"</v>
      </c>
      <c r="B11900" s="24" t="s">
        <v>14181</v>
      </c>
      <c r="C11900" s="25">
        <v>4897997.09</v>
      </c>
      <c r="D11900" s="22" t="s">
        <v>14182</v>
      </c>
      <c r="E11900" s="22" t="s">
        <v>144</v>
      </c>
      <c r="F11900" s="23" t="str">
        <f>HYPERLINK("https://www.spark-marketing.ru/Card/Lot/68889123", "Оказание услуг по охране территории СПб ГУП «Зоопарк» и обеспечение порядка вместах проведения массовых мероприятий")</f>
        <v>Оказание услуг по охране территории СПб ГУП «Зоопарк» и обеспечение порядка вместах проведения массовых мероприятий</v>
      </c>
      <c r="G11900" s="22" t="s">
        <v>89</v>
      </c>
      <c r="H11900" s="22" t="s">
        <v>89</v>
      </c>
      <c r="I11900" s="26">
        <v>43544.749652777798</v>
      </c>
      <c r="J11900" s="28" t="s">
        <v>52</v>
      </c>
      <c r="K11900" s="28" t="s">
        <v>52</v>
      </c>
      <c r="L11900" s="28" t="s">
        <v>52</v>
      </c>
      <c r="M11900" s="28" t="s">
        <v>52</v>
      </c>
      <c r="N11900" s="28" t="s">
        <v>52</v>
      </c>
    </row>
    <row r="11901" spans="1:14" x14ac:dyDescent="0.15">
      <c r="A11901" s="23" t="str">
        <f>HYPERLINK("https://www.spark-marketing.ru/Card/Person/1003524", "УПРАВЛЕНИЕ РОСПРИРОДНАДЗОРА ПО САХАЛИНСКОЙ ОБЛАСТИ")</f>
        <v>УПРАВЛЕНИЕ РОСПРИРОДНАДЗОРА ПО САХАЛИНСКОЙ ОБЛАСТИ</v>
      </c>
      <c r="B11901" s="24" t="s">
        <v>14183</v>
      </c>
      <c r="C11901" s="25">
        <v>81730.8</v>
      </c>
      <c r="D11901" s="22" t="s">
        <v>14184</v>
      </c>
      <c r="E11901" s="22" t="s">
        <v>68</v>
      </c>
      <c r="F11901" s="23" t="str">
        <f>HYPERLINK("https://www.spark-marketing.ru/Card/Lot/68864064", "Прочие работы, услуги")</f>
        <v>Прочие работы, услуги</v>
      </c>
      <c r="G11901" s="22" t="s">
        <v>69</v>
      </c>
      <c r="H11901" s="22" t="s">
        <v>973</v>
      </c>
      <c r="I11901" s="26">
        <v>43544.677083333299</v>
      </c>
      <c r="J11901" s="28" t="s">
        <v>52</v>
      </c>
      <c r="K11901" s="28" t="s">
        <v>52</v>
      </c>
      <c r="L11901" s="28" t="s">
        <v>52</v>
      </c>
      <c r="M11901" s="28" t="s">
        <v>52</v>
      </c>
      <c r="N11901" s="28" t="s">
        <v>52</v>
      </c>
    </row>
    <row r="11902" spans="1:14" x14ac:dyDescent="0.15">
      <c r="A11902" s="23" t="str">
        <f>HYPERLINK("https://www.spark-marketing.ru/Card/Person/4136", "ОПФР ПО ЯМАЛО-НЕНЕЦКОМУ АВТОНОМНОМУ ОКРУГУ")</f>
        <v>ОПФР ПО ЯМАЛО-НЕНЕЦКОМУ АВТОНОМНОМУ ОКРУГУ</v>
      </c>
      <c r="B11902" s="24" t="s">
        <v>14185</v>
      </c>
      <c r="C11902" s="25">
        <v>9300</v>
      </c>
      <c r="D11902" s="22" t="s">
        <v>14186</v>
      </c>
      <c r="E11902" s="22" t="s">
        <v>103</v>
      </c>
      <c r="F11902" s="23" t="str">
        <f>HYPERLINK("https://www.spark-marketing.ru/Card/Lot/68883612", "Оказание услуг по техническому обслуживанию систем видеонаблюдения")</f>
        <v>Оказание услуг по техническому обслуживанию систем видеонаблюдения</v>
      </c>
      <c r="G11902" s="22" t="s">
        <v>311</v>
      </c>
      <c r="H11902" s="22" t="s">
        <v>312</v>
      </c>
      <c r="I11902" s="26">
        <v>43544.697222222203</v>
      </c>
      <c r="J11902" s="28" t="s">
        <v>52</v>
      </c>
      <c r="K11902" s="28" t="s">
        <v>52</v>
      </c>
      <c r="L11902" s="28" t="s">
        <v>52</v>
      </c>
      <c r="M11902" s="28" t="s">
        <v>52</v>
      </c>
      <c r="N11902" s="28" t="s">
        <v>52</v>
      </c>
    </row>
    <row r="11903" spans="1:14" hidden="1" outlineLevel="1" x14ac:dyDescent="0.2">
      <c r="A11903" s="23" t="str">
        <f>HYPERLINK("https://www.spark-marketing.ru/Card/Person/4136", "ОПФР ПО ЯМАЛО-НЕНЕЦКОМУ АВТОНОМНОМУ ОКРУГУ")</f>
        <v>ОПФР ПО ЯМАЛО-НЕНЕЦКОМУ АВТОНОМНОМУ ОКРУГУ</v>
      </c>
      <c r="B11903" s="24" t="s">
        <v>14185</v>
      </c>
      <c r="C11903" s="25">
        <v>9300</v>
      </c>
      <c r="D11903" s="22" t="s">
        <v>14186</v>
      </c>
      <c r="E11903" s="22" t="s">
        <v>103</v>
      </c>
      <c r="F11903" s="23" t="str">
        <f>HYPERLINK("https://www.spark-marketing.ru/Card/Lot/68883612", "Оказание услуг по техническому обслуживанию систем видеонаблюдения")</f>
        <v>Оказание услуг по техническому обслуживанию систем видеонаблюдения</v>
      </c>
      <c r="G11903" s="22" t="s">
        <v>311</v>
      </c>
      <c r="H11903" s="22" t="s">
        <v>312</v>
      </c>
      <c r="I11903" s="26">
        <v>43544.697222222203</v>
      </c>
      <c r="J11903" s="23" t="str">
        <f>HYPERLINK("https://www.spark-marketing.ru/Card/Person/6483569", "Рябова Наталья Владимировна")</f>
        <v>Рябова Наталья Владимировна</v>
      </c>
      <c r="K11903" s="24" t="s">
        <v>14187</v>
      </c>
      <c r="L11903" s="28" t="s">
        <v>52</v>
      </c>
      <c r="M11903" s="25">
        <v>7099.36</v>
      </c>
      <c r="N11903" s="27">
        <v>0.23662795698924732</v>
      </c>
    </row>
    <row r="11904" spans="1:14" hidden="1" outlineLevel="1" x14ac:dyDescent="0.2">
      <c r="A11904" s="23" t="str">
        <f>HYPERLINK("https://www.spark-marketing.ru/Card/Person/4136", "ОПФР ПО ЯМАЛО-НЕНЕЦКОМУ АВТОНОМНОМУ ОКРУГУ")</f>
        <v>ОПФР ПО ЯМАЛО-НЕНЕЦКОМУ АВТОНОМНОМУ ОКРУГУ</v>
      </c>
      <c r="B11904" s="24" t="s">
        <v>14185</v>
      </c>
      <c r="C11904" s="25">
        <v>9300</v>
      </c>
      <c r="D11904" s="22" t="s">
        <v>14186</v>
      </c>
      <c r="E11904" s="22" t="s">
        <v>103</v>
      </c>
      <c r="F11904" s="23" t="str">
        <f>HYPERLINK("https://www.spark-marketing.ru/Card/Lot/68883612", "Оказание услуг по техническому обслуживанию систем видеонаблюдения")</f>
        <v>Оказание услуг по техническому обслуживанию систем видеонаблюдения</v>
      </c>
      <c r="G11904" s="22" t="s">
        <v>311</v>
      </c>
      <c r="H11904" s="22" t="s">
        <v>312</v>
      </c>
      <c r="I11904" s="26">
        <v>43544.697222222203</v>
      </c>
      <c r="J11904" s="23" t="str">
        <f>HYPERLINK("https://www.spark-marketing.ru/Card/Person/6218803", "ООО ""СПСУ""")</f>
        <v>ООО "СПСУ"</v>
      </c>
      <c r="K11904" s="24" t="s">
        <v>11252</v>
      </c>
      <c r="L11904" s="28" t="s">
        <v>52</v>
      </c>
      <c r="M11904" s="25">
        <v>8900</v>
      </c>
      <c r="N11904" s="27">
        <v>4.3010752688172046E-2</v>
      </c>
    </row>
    <row r="11905" spans="1:14" ht="12.75" hidden="1" outlineLevel="1" x14ac:dyDescent="0.2">
      <c r="A11905" s="23" t="str">
        <f>HYPERLINK("https://www.spark-marketing.ru/Card/Person/4136", "ОПФР ПО ЯМАЛО-НЕНЕЦКОМУ АВТОНОМНОМУ ОКРУГУ")</f>
        <v>ОПФР ПО ЯМАЛО-НЕНЕЦКОМУ АВТОНОМНОМУ ОКРУГУ</v>
      </c>
      <c r="B11905" s="24" t="s">
        <v>14185</v>
      </c>
      <c r="C11905" s="25">
        <v>9300</v>
      </c>
      <c r="D11905" s="22" t="s">
        <v>14186</v>
      </c>
      <c r="E11905" s="22" t="s">
        <v>103</v>
      </c>
      <c r="F11905" s="23" t="str">
        <f>HYPERLINK("https://www.spark-marketing.ru/Card/Lot/68883612", "Оказание услуг по техническому обслуживанию систем видеонаблюдения")</f>
        <v>Оказание услуг по техническому обслуживанию систем видеонаблюдения</v>
      </c>
      <c r="G11905" s="22" t="s">
        <v>311</v>
      </c>
      <c r="H11905" s="22" t="s">
        <v>312</v>
      </c>
      <c r="I11905" s="26">
        <v>43544.697222222203</v>
      </c>
      <c r="J11905" s="23" t="str">
        <f>HYPERLINK("https://www.spark-marketing.ru/Card/Person/6306955", "ООО ""КБ 89""")</f>
        <v>ООО "КБ 89"</v>
      </c>
      <c r="K11905" s="24" t="s">
        <v>14188</v>
      </c>
      <c r="L11905" s="22" t="s">
        <v>10</v>
      </c>
      <c r="M11905" s="25">
        <v>6999.36</v>
      </c>
      <c r="N11905" s="27">
        <v>0.24738064516129032</v>
      </c>
    </row>
    <row r="11906" spans="1:14" x14ac:dyDescent="0.15">
      <c r="A11906" s="23" t="str">
        <f>HYPERLINK("https://www.spark-marketing.ru/Card/Person/1000182", "ФКУ ИК-4 ГУФСИН РОССИИ ПО НИЖЕГОРОДСКОЙ ОБЛАСТИ")</f>
        <v>ФКУ ИК-4 ГУФСИН РОССИИ ПО НИЖЕГОРОДСКОЙ ОБЛАСТИ</v>
      </c>
      <c r="B11906" s="24" t="s">
        <v>14189</v>
      </c>
      <c r="C11906" s="25">
        <v>76560</v>
      </c>
      <c r="D11906" s="22" t="s">
        <v>14190</v>
      </c>
      <c r="E11906" s="22" t="s">
        <v>208</v>
      </c>
      <c r="F11906" s="23" t="str">
        <f>HYPERLINK("https://www.spark-marketing.ru/Card/Lot/68888507", "системы тревожной сигнализации, предназначенные для обеспечения безопасности женского персонала")</f>
        <v>системы тревожной сигнализации, предназначенные для обеспечения безопасности женского персонала</v>
      </c>
      <c r="G11906" s="22" t="s">
        <v>64</v>
      </c>
      <c r="H11906" s="22" t="s">
        <v>14191</v>
      </c>
      <c r="I11906" s="26">
        <v>43544.697222222203</v>
      </c>
      <c r="J11906" s="28" t="s">
        <v>52</v>
      </c>
      <c r="K11906" s="28" t="s">
        <v>52</v>
      </c>
      <c r="L11906" s="28" t="s">
        <v>52</v>
      </c>
      <c r="M11906" s="28" t="s">
        <v>52</v>
      </c>
      <c r="N11906" s="28" t="s">
        <v>52</v>
      </c>
    </row>
    <row r="11907" spans="1:14" hidden="1" outlineLevel="1" x14ac:dyDescent="0.2">
      <c r="A11907" s="23" t="str">
        <f>HYPERLINK("https://www.spark-marketing.ru/Card/Person/1000182", "ФКУ ИК-4 ГУФСИН РОССИИ ПО НИЖЕГОРОДСКОЙ ОБЛАСТИ")</f>
        <v>ФКУ ИК-4 ГУФСИН РОССИИ ПО НИЖЕГОРОДСКОЙ ОБЛАСТИ</v>
      </c>
      <c r="B11907" s="24" t="s">
        <v>14189</v>
      </c>
      <c r="C11907" s="25">
        <v>76560</v>
      </c>
      <c r="D11907" s="22" t="s">
        <v>14190</v>
      </c>
      <c r="E11907" s="22" t="s">
        <v>208</v>
      </c>
      <c r="F11907" s="23" t="str">
        <f>HYPERLINK("https://www.spark-marketing.ru/Card/Lot/68888507", "системы тревожной сигнализации, предназначенные для обеспечения безопасности женского персонала")</f>
        <v>системы тревожной сигнализации, предназначенные для обеспечения безопасности женского персонала</v>
      </c>
      <c r="G11907" s="22" t="s">
        <v>64</v>
      </c>
      <c r="H11907" s="22" t="s">
        <v>14191</v>
      </c>
      <c r="I11907" s="26">
        <v>43544.697222222203</v>
      </c>
      <c r="J11907" s="23" t="str">
        <f>HYPERLINK("https://www.spark-marketing.ru/Card/Person/6180885", "ООО ""КОНТРОЛЬ ДОСТУПА""")</f>
        <v>ООО "КОНТРОЛЬ ДОСТУПА"</v>
      </c>
      <c r="K11907" s="24" t="s">
        <v>1799</v>
      </c>
      <c r="L11907" s="28" t="s">
        <v>52</v>
      </c>
      <c r="M11907" s="25">
        <v>57330.44</v>
      </c>
      <c r="N11907" s="27">
        <v>0.25116980146290491</v>
      </c>
    </row>
    <row r="11908" spans="1:14" ht="12.75" hidden="1" outlineLevel="1" x14ac:dyDescent="0.2">
      <c r="A11908" s="23" t="str">
        <f>HYPERLINK("https://www.spark-marketing.ru/Card/Person/1000182", "ФКУ ИК-4 ГУФСИН РОССИИ ПО НИЖЕГОРОДСКОЙ ОБЛАСТИ")</f>
        <v>ФКУ ИК-4 ГУФСИН РОССИИ ПО НИЖЕГОРОДСКОЙ ОБЛАСТИ</v>
      </c>
      <c r="B11908" s="24" t="s">
        <v>14189</v>
      </c>
      <c r="C11908" s="25">
        <v>76560</v>
      </c>
      <c r="D11908" s="22" t="s">
        <v>14190</v>
      </c>
      <c r="E11908" s="22" t="s">
        <v>208</v>
      </c>
      <c r="F11908" s="23" t="str">
        <f>HYPERLINK("https://www.spark-marketing.ru/Card/Lot/68888507", "системы тревожной сигнализации, предназначенные для обеспечения безопасности женского персонала")</f>
        <v>системы тревожной сигнализации, предназначенные для обеспечения безопасности женского персонала</v>
      </c>
      <c r="G11908" s="22" t="s">
        <v>64</v>
      </c>
      <c r="H11908" s="22" t="s">
        <v>14191</v>
      </c>
      <c r="I11908" s="26">
        <v>43544.697222222203</v>
      </c>
      <c r="J11908" s="23" t="str">
        <f>HYPERLINK("https://www.spark-marketing.ru/Card/Person/343131", "ООО ""ЩИТ""")</f>
        <v>ООО "ЩИТ"</v>
      </c>
      <c r="K11908" s="24" t="s">
        <v>1798</v>
      </c>
      <c r="L11908" s="22" t="s">
        <v>10</v>
      </c>
      <c r="M11908" s="25">
        <v>56703.01</v>
      </c>
      <c r="N11908" s="27">
        <v>0.25936507314524554</v>
      </c>
    </row>
    <row r="11909" spans="1:14" x14ac:dyDescent="0.15">
      <c r="A11909" s="23" t="str">
        <f>HYPERLINK("https://www.spark-marketing.ru/Card/Person/47724", "ОГБУЗ ""ОБ № 2""")</f>
        <v>ОГБУЗ "ОБ № 2"</v>
      </c>
      <c r="B11909" s="24" t="s">
        <v>14128</v>
      </c>
      <c r="C11909" s="25">
        <v>57120.61</v>
      </c>
      <c r="D11909" s="22" t="s">
        <v>14192</v>
      </c>
      <c r="E11909" s="22" t="s">
        <v>3770</v>
      </c>
      <c r="F11909" s="23" t="str">
        <f>HYPERLINK("https://www.spark-marketing.ru/Card/Lot/68873759", "Приобретение материалов для установки видеонаблюдения")</f>
        <v>Приобретение материалов для установки видеонаблюдения</v>
      </c>
      <c r="G11909" s="22" t="s">
        <v>281</v>
      </c>
      <c r="H11909" s="22" t="s">
        <v>14028</v>
      </c>
      <c r="I11909" s="26">
        <v>43544.698611111096</v>
      </c>
      <c r="J11909" s="23" t="str">
        <f>HYPERLINK("https://www.spark-marketing.ru/Card/Person/5874924", "Паутов Алексей Сергеевич")</f>
        <v>Паутов Алексей Сергеевич</v>
      </c>
      <c r="K11909" s="24" t="s">
        <v>14193</v>
      </c>
      <c r="L11909" s="28" t="s">
        <v>52</v>
      </c>
      <c r="M11909" s="28" t="s">
        <v>52</v>
      </c>
      <c r="N11909" s="28" t="s">
        <v>52</v>
      </c>
    </row>
    <row r="11910" spans="1:14" ht="12.75" hidden="1" outlineLevel="1" x14ac:dyDescent="0.2">
      <c r="A11910" s="23" t="str">
        <f>HYPERLINK("https://www.spark-marketing.ru/Card/Person/47724", "ОГБУЗ ""ОБ № 2""")</f>
        <v>ОГБУЗ "ОБ № 2"</v>
      </c>
      <c r="B11910" s="24" t="s">
        <v>14128</v>
      </c>
      <c r="C11910" s="25">
        <v>57120.61</v>
      </c>
      <c r="D11910" s="22" t="s">
        <v>14192</v>
      </c>
      <c r="E11910" s="22" t="s">
        <v>3770</v>
      </c>
      <c r="F11910" s="23" t="str">
        <f>HYPERLINK("https://www.spark-marketing.ru/Card/Lot/68873759", "Приобретение материалов для установки видеонаблюдения")</f>
        <v>Приобретение материалов для установки видеонаблюдения</v>
      </c>
      <c r="G11910" s="22" t="s">
        <v>281</v>
      </c>
      <c r="H11910" s="22" t="s">
        <v>14028</v>
      </c>
      <c r="I11910" s="26">
        <v>43544.698611111096</v>
      </c>
      <c r="J11910" s="23" t="str">
        <f>HYPERLINK("https://www.spark-marketing.ru/Card/Person/5874924", "Паутов Алексей Сергеевич")</f>
        <v>Паутов Алексей Сергеевич</v>
      </c>
      <c r="K11910" s="24" t="s">
        <v>14193</v>
      </c>
      <c r="L11910" s="22" t="s">
        <v>10</v>
      </c>
      <c r="M11910" s="25">
        <v>56835</v>
      </c>
      <c r="N11910" s="27">
        <v>5.0001216723700951E-3</v>
      </c>
    </row>
    <row r="11911" spans="1:14" x14ac:dyDescent="0.2">
      <c r="A11911" s="23" t="str">
        <f>HYPERLINK("https://www.spark-marketing.ru/Card/Person/246327", "ПАО ""ВНИПИГАЗДОБЫЧА""")</f>
        <v>ПАО "ВНИПИГАЗДОБЫЧА"</v>
      </c>
      <c r="B11911" s="24" t="s">
        <v>12052</v>
      </c>
      <c r="C11911" s="25">
        <v>495000</v>
      </c>
      <c r="D11911" s="22" t="s">
        <v>14194</v>
      </c>
      <c r="E11911" s="22" t="s">
        <v>10181</v>
      </c>
      <c r="F11911" s="23" t="str">
        <f>HYPERLINK("https://www.spark-marketing.ru/Card/Lot/68880809", "Техническое обслуживание системы видеонаблюдения")</f>
        <v>Техническое обслуживание системы видеонаблюдения</v>
      </c>
      <c r="G11911" s="22" t="s">
        <v>80</v>
      </c>
      <c r="H11911" s="22" t="s">
        <v>81</v>
      </c>
      <c r="I11911" s="26">
        <v>43544.668576388904</v>
      </c>
      <c r="J11911" s="28" t="s">
        <v>52</v>
      </c>
      <c r="K11911" s="28" t="s">
        <v>52</v>
      </c>
      <c r="L11911" s="28" t="s">
        <v>52</v>
      </c>
      <c r="M11911" s="25">
        <v>495000</v>
      </c>
      <c r="N11911" s="27">
        <v>0</v>
      </c>
    </row>
    <row r="11912" spans="1:14" x14ac:dyDescent="0.15">
      <c r="A11912" s="23" t="str">
        <f>HYPERLINK("https://www.spark-marketing.ru/Card/Person/47325", "ГБУЗ НО ""НОКОД""")</f>
        <v>ГБУЗ НО "НОКОД"</v>
      </c>
      <c r="B11912" s="24" t="s">
        <v>7864</v>
      </c>
      <c r="C11912" s="25">
        <v>309228.36</v>
      </c>
      <c r="D11912" s="22" t="s">
        <v>14195</v>
      </c>
      <c r="E11912" s="22" t="s">
        <v>68</v>
      </c>
      <c r="F11912" s="23" t="str">
        <f>HYPERLINK("https://www.spark-marketing.ru/Card/Lot/68885213", "Оказание Заказчику охранных услуг в зданиях, помещениях, их частях и комбинациях, оборудованных действующим комплексом технических средств охраны и кнопкой экстренного вызова полиции")</f>
        <v>Оказание Заказчику охранных услуг в зданиях, помещениях, их частях и комбинациях, оборудованных действующим комплексом технических средств охраны и кнопкой экстренного вызова полиции</v>
      </c>
      <c r="G11912" s="22" t="s">
        <v>64</v>
      </c>
      <c r="H11912" s="22" t="s">
        <v>65</v>
      </c>
      <c r="I11912" s="26">
        <v>43544.6784722222</v>
      </c>
      <c r="J11912" s="28" t="s">
        <v>52</v>
      </c>
      <c r="K11912" s="28" t="s">
        <v>52</v>
      </c>
      <c r="L11912" s="28" t="s">
        <v>52</v>
      </c>
      <c r="M11912" s="28" t="s">
        <v>52</v>
      </c>
      <c r="N11912" s="28" t="s">
        <v>52</v>
      </c>
    </row>
    <row r="11913" spans="1:14" x14ac:dyDescent="0.15">
      <c r="A11913" s="23" t="str">
        <f>HYPERLINK("https://www.spark-marketing.ru/Card/Person/4347636", "УПРАВЛЕНИЕ РОССЕЛЬХОЗНАДЗОРА ПО МАГАДАНСКОЙ ОБЛАСТИ")</f>
        <v>УПРАВЛЕНИЕ РОССЕЛЬХОЗНАДЗОРА ПО МАГАДАНСКОЙ ОБЛАСТИ</v>
      </c>
      <c r="B11913" s="24" t="s">
        <v>14196</v>
      </c>
      <c r="C11913" s="25">
        <v>733600</v>
      </c>
      <c r="D11913" s="22" t="s">
        <v>14197</v>
      </c>
      <c r="E11913" s="22" t="s">
        <v>68</v>
      </c>
      <c r="F11913" s="23" t="str">
        <f>HYPERLINK("https://www.spark-marketing.ru/Card/Lot/68859935", "Организация дежурства на КПП административного здания")</f>
        <v>Организация дежурства на КПП административного здания</v>
      </c>
      <c r="G11913" s="22" t="s">
        <v>808</v>
      </c>
      <c r="H11913" s="22" t="s">
        <v>809</v>
      </c>
      <c r="I11913" s="26">
        <v>43544.6340277778</v>
      </c>
      <c r="J11913" s="23" t="str">
        <f>HYPERLINK("https://www.spark-marketing.ru/Card/Person/1285841", "ООО ""ВОСТОК""")</f>
        <v>ООО "ВОСТОК"</v>
      </c>
      <c r="K11913" s="24" t="s">
        <v>14198</v>
      </c>
      <c r="L11913" s="28" t="s">
        <v>52</v>
      </c>
      <c r="M11913" s="28" t="s">
        <v>52</v>
      </c>
      <c r="N11913" s="28" t="s">
        <v>52</v>
      </c>
    </row>
    <row r="11914" spans="1:14" ht="12.75" hidden="1" outlineLevel="1" x14ac:dyDescent="0.2">
      <c r="A11914" s="23" t="str">
        <f>HYPERLINK("https://www.spark-marketing.ru/Card/Person/4347636", "УПРАВЛЕНИЕ РОССЕЛЬХОЗНАДЗОРА ПО МАГАДАНСКОЙ ОБЛАСТИ")</f>
        <v>УПРАВЛЕНИЕ РОССЕЛЬХОЗНАДЗОРА ПО МАГАДАНСКОЙ ОБЛАСТИ</v>
      </c>
      <c r="B11914" s="24" t="s">
        <v>14196</v>
      </c>
      <c r="C11914" s="25">
        <v>733600</v>
      </c>
      <c r="D11914" s="22" t="s">
        <v>14197</v>
      </c>
      <c r="E11914" s="22" t="s">
        <v>68</v>
      </c>
      <c r="F11914" s="23" t="str">
        <f>HYPERLINK("https://www.spark-marketing.ru/Card/Lot/68859935", "Организация дежурства на КПП административного здания")</f>
        <v>Организация дежурства на КПП административного здания</v>
      </c>
      <c r="G11914" s="22" t="s">
        <v>808</v>
      </c>
      <c r="H11914" s="22" t="s">
        <v>809</v>
      </c>
      <c r="I11914" s="26">
        <v>43544.6340277778</v>
      </c>
      <c r="J11914" s="23" t="str">
        <f>HYPERLINK("https://www.spark-marketing.ru/Card/Person/1285841", "ООО ""ВОСТОК""")</f>
        <v>ООО "ВОСТОК"</v>
      </c>
      <c r="K11914" s="24" t="s">
        <v>14198</v>
      </c>
      <c r="L11914" s="22" t="s">
        <v>10</v>
      </c>
      <c r="M11914" s="25">
        <v>729932</v>
      </c>
      <c r="N11914" s="27">
        <v>5.0000000000000001E-3</v>
      </c>
    </row>
    <row r="11915" spans="1:14" x14ac:dyDescent="0.15">
      <c r="A11915" s="23" t="str">
        <f>HYPERLINK("https://www.spark-marketing.ru/Card/Person/4369400", "ООО АВИАПРЕДПРИЯТИЕ ""ГАЗПРОМ АВИА""")</f>
        <v>ООО АВИАПРЕДПРИЯТИЕ "ГАЗПРОМ АВИА"</v>
      </c>
      <c r="B11915" s="24" t="s">
        <v>6295</v>
      </c>
      <c r="C11915" s="25">
        <v>66554.399999999994</v>
      </c>
      <c r="D11915" s="22" t="s">
        <v>14199</v>
      </c>
      <c r="E11915" s="22" t="s">
        <v>3442</v>
      </c>
      <c r="F11915" s="23" t="str">
        <f>HYPERLINK("https://www.spark-marketing.ru/Card/Lot/68878629", "Услуги по обслуживанию технических средств и систем охраны на посадочной площадке ""Чёрная речка"" г. Сургут")</f>
        <v>Услуги по обслуживанию технических средств и систем охраны на посадочной площадке "Чёрная речка" г. Сургут</v>
      </c>
      <c r="G11915" s="22" t="s">
        <v>55</v>
      </c>
      <c r="H11915" s="22" t="s">
        <v>55</v>
      </c>
      <c r="I11915" s="26">
        <v>43544.625590277799</v>
      </c>
      <c r="J11915" s="28" t="s">
        <v>52</v>
      </c>
      <c r="K11915" s="28" t="s">
        <v>52</v>
      </c>
      <c r="L11915" s="28" t="s">
        <v>52</v>
      </c>
      <c r="M11915" s="28" t="s">
        <v>52</v>
      </c>
      <c r="N11915" s="28" t="s">
        <v>52</v>
      </c>
    </row>
    <row r="11916" spans="1:14" x14ac:dyDescent="0.15">
      <c r="A11916" s="23" t="str">
        <f>HYPERLINK("https://www.spark-marketing.ru/Card/Person/119493", "ГБУЗ МО ""СП ПТД""")</f>
        <v>ГБУЗ МО "СП ПТД"</v>
      </c>
      <c r="B11916" s="24" t="s">
        <v>14200</v>
      </c>
      <c r="C11916" s="25">
        <v>15992.88</v>
      </c>
      <c r="D11916" s="22" t="s">
        <v>14201</v>
      </c>
      <c r="E11916" s="22" t="s">
        <v>107</v>
      </c>
      <c r="F11916" s="23" t="str">
        <f>HYPERLINK("https://www.spark-marketing.ru/Card/Lot/68881911", "На техническое обслуживание комплекса технических средств охраны на объектах для нужд ГБУЗ МО ""СП ПТД""")</f>
        <v>На техническое обслуживание комплекса технических средств охраны на объектах для нужд ГБУЗ МО "СП ПТД"</v>
      </c>
      <c r="G11916" s="22" t="s">
        <v>50</v>
      </c>
      <c r="H11916" s="22" t="s">
        <v>326</v>
      </c>
      <c r="I11916" s="26">
        <v>43544.659583333298</v>
      </c>
      <c r="J11916" s="28" t="s">
        <v>52</v>
      </c>
      <c r="K11916" s="28" t="s">
        <v>52</v>
      </c>
      <c r="L11916" s="28" t="s">
        <v>52</v>
      </c>
      <c r="M11916" s="28" t="s">
        <v>52</v>
      </c>
      <c r="N11916" s="28" t="s">
        <v>52</v>
      </c>
    </row>
    <row r="11917" spans="1:14" x14ac:dyDescent="0.15">
      <c r="A11917" s="23" t="str">
        <f>HYPERLINK("https://www.spark-marketing.ru/Card/Person/1007024", "ОТДЕЛ МВД РОССИИ ПО ГИАГИНСКОМУ РАЙОНУ")</f>
        <v>ОТДЕЛ МВД РОССИИ ПО ГИАГИНСКОМУ РАЙОНУ</v>
      </c>
      <c r="B11917" s="24" t="s">
        <v>9382</v>
      </c>
      <c r="C11917" s="25">
        <v>22160.16</v>
      </c>
      <c r="D11917" s="22" t="s">
        <v>14202</v>
      </c>
      <c r="E11917" s="22" t="s">
        <v>53</v>
      </c>
      <c r="F11917" s="23" t="str">
        <f>HYPERLINK("https://www.spark-marketing.ru/Card/Lot/70794702", "Оказание услуг по техническому обслуживанию комплекса технических средств охраны")</f>
        <v>Оказание услуг по техническому обслуживанию комплекса технических средств охраны</v>
      </c>
      <c r="G11917" s="22" t="s">
        <v>1547</v>
      </c>
      <c r="H11917" s="22" t="s">
        <v>1547</v>
      </c>
      <c r="I11917" s="26">
        <v>43544.646828703699</v>
      </c>
      <c r="J11917" s="28" t="s">
        <v>52</v>
      </c>
      <c r="K11917" s="28" t="s">
        <v>52</v>
      </c>
      <c r="L11917" s="28" t="s">
        <v>52</v>
      </c>
      <c r="M11917" s="28" t="s">
        <v>52</v>
      </c>
      <c r="N11917" s="28" t="s">
        <v>52</v>
      </c>
    </row>
    <row r="11918" spans="1:14" x14ac:dyDescent="0.15">
      <c r="A11918" s="23" t="str">
        <f>HYPERLINK("https://www.spark-marketing.ru/Card/Person/401376", "АО ""ВОЛГОГАЗОАППАРАТ""")</f>
        <v>АО "ВОЛГОГАЗОАППАРАТ"</v>
      </c>
      <c r="B11918" s="24" t="s">
        <v>14203</v>
      </c>
      <c r="C11918" s="25">
        <v>600000</v>
      </c>
      <c r="D11918" s="22" t="s">
        <v>14204</v>
      </c>
      <c r="E11918" s="22" t="s">
        <v>14205</v>
      </c>
      <c r="F11918" s="23" t="str">
        <f>HYPERLINK("https://www.spark-marketing.ru/Card/Lot/68876980", "Лот № 1")</f>
        <v>Лот № 1</v>
      </c>
      <c r="G11918" s="22" t="s">
        <v>343</v>
      </c>
      <c r="H11918" s="22" t="s">
        <v>344</v>
      </c>
      <c r="I11918" s="26">
        <v>43544.657048611101</v>
      </c>
      <c r="J11918" s="28" t="s">
        <v>52</v>
      </c>
      <c r="K11918" s="28" t="s">
        <v>52</v>
      </c>
      <c r="L11918" s="28" t="s">
        <v>52</v>
      </c>
      <c r="M11918" s="28" t="s">
        <v>52</v>
      </c>
      <c r="N11918" s="28" t="s">
        <v>52</v>
      </c>
    </row>
    <row r="11919" spans="1:14" x14ac:dyDescent="0.15">
      <c r="A11919" s="23" t="str">
        <f>HYPERLINK("https://www.spark-marketing.ru/Card/Person/198674", "ООО ""РН-АЭРО""")</f>
        <v>ООО "РН-АЭРО"</v>
      </c>
      <c r="B11919" s="24" t="s">
        <v>12411</v>
      </c>
      <c r="C11919" s="25">
        <v>4734720</v>
      </c>
      <c r="D11919" s="22" t="s">
        <v>14206</v>
      </c>
      <c r="E11919" s="22" t="s">
        <v>53</v>
      </c>
      <c r="F11919" s="23" t="str">
        <f>HYPERLINK("https://www.spark-marketing.ru/Card/Lot/68889927", "Оказание охранных услуг в ОП ""Сеща"" ООО ""РН-Аэро"" на 2019-2022 гг.")</f>
        <v>Оказание охранных услуг в ОП "Сеща" ООО "РН-Аэро" на 2019-2022 гг.</v>
      </c>
      <c r="G11919" s="22" t="s">
        <v>55</v>
      </c>
      <c r="H11919" s="22" t="s">
        <v>55</v>
      </c>
      <c r="I11919" s="26">
        <v>43544.629166666702</v>
      </c>
      <c r="J11919" s="28" t="s">
        <v>52</v>
      </c>
      <c r="K11919" s="28" t="s">
        <v>52</v>
      </c>
      <c r="L11919" s="28" t="s">
        <v>52</v>
      </c>
      <c r="M11919" s="28" t="s">
        <v>52</v>
      </c>
      <c r="N11919" s="28" t="s">
        <v>52</v>
      </c>
    </row>
    <row r="11920" spans="1:14" x14ac:dyDescent="0.15">
      <c r="A11920" s="23" t="str">
        <f>HYPERLINK("https://www.spark-marketing.ru/Card/Person/89259", "УФНС РОССИИ ПО ОРЛОВСКОЙ ОБЛАСТИ")</f>
        <v>УФНС РОССИИ ПО ОРЛОВСКОЙ ОБЛАСТИ</v>
      </c>
      <c r="B11920" s="24" t="s">
        <v>14207</v>
      </c>
      <c r="C11920" s="25">
        <v>99000</v>
      </c>
      <c r="D11920" s="22" t="s">
        <v>14208</v>
      </c>
      <c r="E11920" s="22" t="s">
        <v>107</v>
      </c>
      <c r="F11920" s="23" t="str">
        <f>HYPERLINK("https://www.spark-marketing.ru/Card/Lot/70791805", "Техническое обслуживание средств ОС, ОПС, ТС, видеонаблюдения и СКУД, 1 шт")</f>
        <v>Техническое обслуживание средств ОС, ОПС, ТС, видеонаблюдения и СКУД, 1 шт</v>
      </c>
      <c r="G11920" s="22" t="s">
        <v>492</v>
      </c>
      <c r="H11920" s="22" t="s">
        <v>5024</v>
      </c>
      <c r="I11920" s="26">
        <v>43544.618634259299</v>
      </c>
      <c r="J11920" s="28" t="s">
        <v>52</v>
      </c>
      <c r="K11920" s="28" t="s">
        <v>52</v>
      </c>
      <c r="L11920" s="28" t="s">
        <v>52</v>
      </c>
      <c r="M11920" s="28" t="s">
        <v>52</v>
      </c>
      <c r="N11920" s="28" t="s">
        <v>52</v>
      </c>
    </row>
    <row r="11921" spans="1:14" x14ac:dyDescent="0.15">
      <c r="A11921" s="23" t="str">
        <f>HYPERLINK("https://www.spark-marketing.ru/Card/Person/134054", "МДОУ ЦРР-ДЕТСКИЙ САД № 33 ""РОМАШКА""")</f>
        <v>МДОУ ЦРР-ДЕТСКИЙ САД № 33 "РОМАШКА"</v>
      </c>
      <c r="B11921" s="24" t="s">
        <v>14209</v>
      </c>
      <c r="C11921" s="25">
        <v>83923.04</v>
      </c>
      <c r="D11921" s="22" t="s">
        <v>14210</v>
      </c>
      <c r="E11921" s="22" t="s">
        <v>732</v>
      </c>
      <c r="F11921" s="23" t="str">
        <f>HYPERLINK("https://www.spark-marketing.ru/Card/Lot/68877050", "Установка системы контроля и ограничения доступа (видеодомофон) в МДОУ центр развития ребенка-детский сад № 33 ""Ромашка""")</f>
        <v>Установка системы контроля и ограничения доступа (видеодомофон) в МДОУ центр развития ребенка-детский сад № 33 "Ромашка"</v>
      </c>
      <c r="G11921" s="22" t="s">
        <v>50</v>
      </c>
      <c r="H11921" s="22" t="s">
        <v>2463</v>
      </c>
      <c r="I11921" s="26">
        <v>43544.607662037</v>
      </c>
      <c r="J11921" s="28" t="s">
        <v>52</v>
      </c>
      <c r="K11921" s="28" t="s">
        <v>52</v>
      </c>
      <c r="L11921" s="28" t="s">
        <v>52</v>
      </c>
      <c r="M11921" s="28" t="s">
        <v>52</v>
      </c>
      <c r="N11921" s="28" t="s">
        <v>52</v>
      </c>
    </row>
    <row r="11922" spans="1:14" x14ac:dyDescent="0.15">
      <c r="A11922" s="23" t="str">
        <f>HYPERLINK("https://www.spark-marketing.ru/Card/Person/5898166", "ПАО ПАО НК РОСНЕФТЬ СМОЛЕНСКНЕФТЕПРОДУКТ")</f>
        <v>ПАО ПАО НК РОСНЕФТЬ СМОЛЕНСКНЕФТЕПРОДУКТ</v>
      </c>
      <c r="B11922" s="28" t="s">
        <v>52</v>
      </c>
      <c r="C11922" s="28" t="s">
        <v>52</v>
      </c>
      <c r="D11922" s="22" t="s">
        <v>14211</v>
      </c>
      <c r="E11922" s="22" t="s">
        <v>14212</v>
      </c>
      <c r="F11922" s="23" t="str">
        <f>HYPERLINK("https://www.spark-marketing.ru/Card/Lot/68871723", "Приобретение услуг по физической охране объектов для нужд ПАО ""НК""Роснефть""-Смоленскнефтепродукт""")</f>
        <v>Приобретение услуг по физической охране объектов для нужд ПАО "НК"Роснефть"-Смоленскнефтепродукт"</v>
      </c>
      <c r="G11922" s="22" t="s">
        <v>956</v>
      </c>
      <c r="H11922" s="22" t="s">
        <v>956</v>
      </c>
      <c r="I11922" s="26">
        <v>43544.512499999997</v>
      </c>
      <c r="J11922" s="28" t="s">
        <v>52</v>
      </c>
      <c r="K11922" s="28" t="s">
        <v>52</v>
      </c>
      <c r="L11922" s="28" t="s">
        <v>52</v>
      </c>
      <c r="M11922" s="28" t="s">
        <v>52</v>
      </c>
      <c r="N11922" s="28" t="s">
        <v>52</v>
      </c>
    </row>
    <row r="11923" spans="1:14" x14ac:dyDescent="0.15">
      <c r="A11923" s="23" t="str">
        <f>HYPERLINK("https://www.spark-marketing.ru/Card/Person/119400", "СПБ ГБПОУ ПК № 8")</f>
        <v>СПБ ГБПОУ ПК № 8</v>
      </c>
      <c r="B11923" s="24" t="s">
        <v>14213</v>
      </c>
      <c r="C11923" s="25">
        <v>4133842.47</v>
      </c>
      <c r="D11923" s="22" t="s">
        <v>14214</v>
      </c>
      <c r="E11923" s="22" t="s">
        <v>84</v>
      </c>
      <c r="F11923" s="23" t="str">
        <f>HYPERLINK("https://www.spark-marketing.ru/Card/Lot/68872754", "Выполнение работ по установке системы видеонаблюдения в зданиях СПб ГБПОУ «Педагогического колледжа № 8» в 2019 году")</f>
        <v>Выполнение работ по установке системы видеонаблюдения в зданиях СПб ГБПОУ «Педагогического колледжа № 8» в 2019 году</v>
      </c>
      <c r="G11923" s="22" t="s">
        <v>89</v>
      </c>
      <c r="H11923" s="22" t="s">
        <v>89</v>
      </c>
      <c r="I11923" s="26">
        <v>43544.462500000001</v>
      </c>
      <c r="J11923" s="28" t="s">
        <v>52</v>
      </c>
      <c r="K11923" s="28" t="s">
        <v>52</v>
      </c>
      <c r="L11923" s="28" t="s">
        <v>52</v>
      </c>
      <c r="M11923" s="28" t="s">
        <v>52</v>
      </c>
      <c r="N11923" s="28" t="s">
        <v>52</v>
      </c>
    </row>
    <row r="11924" spans="1:14" ht="12.75" hidden="1" outlineLevel="1" x14ac:dyDescent="0.2">
      <c r="A11924" s="23" t="str">
        <f>HYPERLINK("https://www.spark-marketing.ru/Card/Person/119400", "СПБ ГБПОУ ПК № 8")</f>
        <v>СПБ ГБПОУ ПК № 8</v>
      </c>
      <c r="B11924" s="24" t="s">
        <v>14213</v>
      </c>
      <c r="C11924" s="25">
        <v>4133842.47</v>
      </c>
      <c r="D11924" s="22" t="s">
        <v>14214</v>
      </c>
      <c r="E11924" s="22" t="s">
        <v>84</v>
      </c>
      <c r="F11924" s="23" t="str">
        <f>HYPERLINK("https://www.spark-marketing.ru/Card/Lot/68872754", "Выполнение работ по установке системы видеонаблюдения в зданиях СПб ГБПОУ «Педагогического колледжа № 8» в 2019 году")</f>
        <v>Выполнение работ по установке системы видеонаблюдения в зданиях СПб ГБПОУ «Педагогического колледжа № 8» в 2019 году</v>
      </c>
      <c r="G11924" s="22" t="s">
        <v>89</v>
      </c>
      <c r="H11924" s="22" t="s">
        <v>89</v>
      </c>
      <c r="I11924" s="26">
        <v>43544.462500000001</v>
      </c>
      <c r="J11924" s="23" t="str">
        <f>HYPERLINK("https://www.spark-marketing.ru/Card/Person/4502851", "ООО ""МОС""")</f>
        <v>ООО "МОС"</v>
      </c>
      <c r="K11924" s="24" t="s">
        <v>9263</v>
      </c>
      <c r="L11924" s="22" t="s">
        <v>10</v>
      </c>
      <c r="M11924" s="25">
        <v>4092504.05</v>
      </c>
      <c r="N11924" s="27">
        <v>9.9999988630432735E-3</v>
      </c>
    </row>
    <row r="11925" spans="1:14" hidden="1" outlineLevel="1" x14ac:dyDescent="0.2">
      <c r="A11925" s="23" t="str">
        <f>HYPERLINK("https://www.spark-marketing.ru/Card/Person/119400", "СПБ ГБПОУ ПК № 8")</f>
        <v>СПБ ГБПОУ ПК № 8</v>
      </c>
      <c r="B11925" s="24" t="s">
        <v>14213</v>
      </c>
      <c r="C11925" s="25">
        <v>4133842.47</v>
      </c>
      <c r="D11925" s="22" t="s">
        <v>14214</v>
      </c>
      <c r="E11925" s="22" t="s">
        <v>84</v>
      </c>
      <c r="F11925" s="23" t="str">
        <f>HYPERLINK("https://www.spark-marketing.ru/Card/Lot/68872754", "Выполнение работ по установке системы видеонаблюдения в зданиях СПб ГБПОУ «Педагогического колледжа № 8» в 2019 году")</f>
        <v>Выполнение работ по установке системы видеонаблюдения в зданиях СПб ГБПОУ «Педагогического колледжа № 8» в 2019 году</v>
      </c>
      <c r="G11925" s="22" t="s">
        <v>89</v>
      </c>
      <c r="H11925" s="22" t="s">
        <v>89</v>
      </c>
      <c r="I11925" s="26">
        <v>43544.462500000001</v>
      </c>
      <c r="J11925" s="23" t="str">
        <f>HYPERLINK("https://www.spark-marketing.ru/Card/Person/2438239", "ООО ""КОНСТАНТА""")</f>
        <v>ООО "КОНСТАНТА"</v>
      </c>
      <c r="K11925" s="24" t="s">
        <v>14215</v>
      </c>
      <c r="L11925" s="28" t="s">
        <v>52</v>
      </c>
      <c r="M11925" s="25">
        <v>4113173.26</v>
      </c>
      <c r="N11925" s="27">
        <v>4.9999994315216368E-3</v>
      </c>
    </row>
    <row r="11926" spans="1:14" ht="12.75" hidden="1" outlineLevel="1" x14ac:dyDescent="0.2">
      <c r="A11926" s="23" t="str">
        <f>HYPERLINK("https://www.spark-marketing.ru/Card/Person/119400", "СПБ ГБПОУ ПК № 8")</f>
        <v>СПБ ГБПОУ ПК № 8</v>
      </c>
      <c r="B11926" s="24" t="s">
        <v>14213</v>
      </c>
      <c r="C11926" s="25">
        <v>4133842.47</v>
      </c>
      <c r="D11926" s="22" t="s">
        <v>14214</v>
      </c>
      <c r="E11926" s="22" t="s">
        <v>84</v>
      </c>
      <c r="F11926" s="23" t="str">
        <f>HYPERLINK("https://www.spark-marketing.ru/Card/Lot/68872754", "Выполнение работ по установке системы видеонаблюдения в зданиях СПб ГБПОУ «Педагогического колледжа № 8» в 2019 году")</f>
        <v>Выполнение работ по установке системы видеонаблюдения в зданиях СПб ГБПОУ «Педагогического колледжа № 8» в 2019 году</v>
      </c>
      <c r="G11926" s="22" t="s">
        <v>89</v>
      </c>
      <c r="H11926" s="22" t="s">
        <v>89</v>
      </c>
      <c r="I11926" s="26">
        <v>43544.462500000001</v>
      </c>
      <c r="J11926" s="23" t="str">
        <f>HYPERLINK("https://www.spark-marketing.ru/Card/Person/4502851", "ООО ""МОС""")</f>
        <v>ООО "МОС"</v>
      </c>
      <c r="K11926" s="24" t="s">
        <v>9263</v>
      </c>
      <c r="L11926" s="22" t="s">
        <v>10</v>
      </c>
      <c r="M11926" s="25">
        <v>4113173.26</v>
      </c>
      <c r="N11926" s="27">
        <v>4.9999994315216368E-3</v>
      </c>
    </row>
    <row r="11927" spans="1:14" x14ac:dyDescent="0.15">
      <c r="A11927" s="23" t="str">
        <f>HYPERLINK("https://www.spark-marketing.ru/Card/Person/1014482", "МБУДО ДШИ № 4 Г. СТАВРОПОЛЯ")</f>
        <v>МБУДО ДШИ № 4 Г. СТАВРОПОЛЯ</v>
      </c>
      <c r="B11927" s="24" t="s">
        <v>14216</v>
      </c>
      <c r="C11927" s="25">
        <v>141960</v>
      </c>
      <c r="D11927" s="22" t="s">
        <v>14217</v>
      </c>
      <c r="E11927" s="22" t="s">
        <v>5267</v>
      </c>
      <c r="F11927" s="23" t="str">
        <f>HYPERLINK("https://www.spark-marketing.ru/Card/Lot/68868587", "Физическая охрана объекта")</f>
        <v>Физическая охрана объекта</v>
      </c>
      <c r="G11927" s="22" t="s">
        <v>258</v>
      </c>
      <c r="H11927" s="22" t="s">
        <v>546</v>
      </c>
      <c r="I11927" s="26">
        <v>43544.485416666699</v>
      </c>
      <c r="J11927" s="28" t="s">
        <v>52</v>
      </c>
      <c r="K11927" s="28" t="s">
        <v>52</v>
      </c>
      <c r="L11927" s="28" t="s">
        <v>52</v>
      </c>
      <c r="M11927" s="28" t="s">
        <v>52</v>
      </c>
      <c r="N11927" s="28" t="s">
        <v>52</v>
      </c>
    </row>
    <row r="11928" spans="1:14" x14ac:dyDescent="0.15">
      <c r="A11928" s="23" t="str">
        <f>HYPERLINK("https://www.spark-marketing.ru/Card/Person/233478", "МБОУ ""СОШ № 3 ИМ. А.А. ИВАСЕНКО""")</f>
        <v>МБОУ "СОШ № 3 ИМ. А.А. ИВАСЕНКО"</v>
      </c>
      <c r="B11928" s="24" t="s">
        <v>14218</v>
      </c>
      <c r="C11928" s="25">
        <v>364800</v>
      </c>
      <c r="D11928" s="22" t="s">
        <v>14219</v>
      </c>
      <c r="E11928" s="22" t="s">
        <v>52</v>
      </c>
      <c r="F11928" s="23" t="str">
        <f>HYPERLINK("https://www.spark-marketing.ru/Card/Lot/68867378", "охранные услуги")</f>
        <v>охранные услуги</v>
      </c>
      <c r="G11928" s="22" t="s">
        <v>119</v>
      </c>
      <c r="H11928" s="22" t="s">
        <v>120</v>
      </c>
      <c r="I11928" s="26">
        <v>43544.470138888901</v>
      </c>
      <c r="J11928" s="28" t="s">
        <v>52</v>
      </c>
      <c r="K11928" s="28" t="s">
        <v>52</v>
      </c>
      <c r="L11928" s="28" t="s">
        <v>52</v>
      </c>
      <c r="M11928" s="28" t="s">
        <v>52</v>
      </c>
      <c r="N11928" s="28" t="s">
        <v>52</v>
      </c>
    </row>
    <row r="11929" spans="1:14" x14ac:dyDescent="0.15">
      <c r="A11929" s="23" t="str">
        <f>HYPERLINK("https://www.spark-marketing.ru/Card/Person/1860", "ГБУЗ АО ""ГП №1""")</f>
        <v>ГБУЗ АО "ГП №1"</v>
      </c>
      <c r="B11929" s="24" t="s">
        <v>14220</v>
      </c>
      <c r="C11929" s="25">
        <v>1540501.2</v>
      </c>
      <c r="D11929" s="22" t="s">
        <v>14221</v>
      </c>
      <c r="E11929" s="22" t="s">
        <v>52</v>
      </c>
      <c r="F11929" s="23" t="str">
        <f>HYPERLINK("https://www.spark-marketing.ru/Card/Lot/68866858", "Оказание услуг охраны объектов ГБУЗ АО ГП № 1")</f>
        <v>Оказание услуг охраны объектов ГБУЗ АО ГП № 1</v>
      </c>
      <c r="G11929" s="22" t="s">
        <v>565</v>
      </c>
      <c r="H11929" s="22" t="s">
        <v>566</v>
      </c>
      <c r="I11929" s="26">
        <v>43544.434722222199</v>
      </c>
      <c r="J11929" s="28" t="s">
        <v>52</v>
      </c>
      <c r="K11929" s="28" t="s">
        <v>52</v>
      </c>
      <c r="L11929" s="28" t="s">
        <v>52</v>
      </c>
      <c r="M11929" s="28" t="s">
        <v>52</v>
      </c>
      <c r="N11929" s="28" t="s">
        <v>52</v>
      </c>
    </row>
    <row r="11930" spans="1:14" hidden="1" outlineLevel="1" x14ac:dyDescent="0.2">
      <c r="A11930" s="23" t="str">
        <f>HYPERLINK("https://www.spark-marketing.ru/Card/Person/1860", "ГБУЗ АО ""ГП №1""")</f>
        <v>ГБУЗ АО "ГП №1"</v>
      </c>
      <c r="B11930" s="24" t="s">
        <v>14220</v>
      </c>
      <c r="C11930" s="25">
        <v>1540501.2</v>
      </c>
      <c r="D11930" s="22" t="s">
        <v>14221</v>
      </c>
      <c r="E11930" s="22" t="s">
        <v>52</v>
      </c>
      <c r="F11930" s="23" t="str">
        <f>HYPERLINK("https://www.spark-marketing.ru/Card/Lot/68866858", "Оказание услуг охраны объектов ГБУЗ АО ГП № 1")</f>
        <v>Оказание услуг охраны объектов ГБУЗ АО ГП № 1</v>
      </c>
      <c r="G11930" s="22" t="s">
        <v>565</v>
      </c>
      <c r="H11930" s="22" t="s">
        <v>566</v>
      </c>
      <c r="I11930" s="26">
        <v>43544.434722222199</v>
      </c>
      <c r="J11930" s="23" t="str">
        <f>HYPERLINK("https://www.spark-marketing.ru/Card/Person/624005", "ООО ЧОО ""АМЕГА""")</f>
        <v>ООО ЧОО "АМЕГА"</v>
      </c>
      <c r="K11930" s="24" t="s">
        <v>6950</v>
      </c>
      <c r="L11930" s="28" t="s">
        <v>52</v>
      </c>
      <c r="M11930" s="25">
        <v>962812.95</v>
      </c>
      <c r="N11930" s="27">
        <v>0.37500019474181517</v>
      </c>
    </row>
    <row r="11931" spans="1:14" hidden="1" outlineLevel="1" x14ac:dyDescent="0.2">
      <c r="A11931" s="23" t="str">
        <f>HYPERLINK("https://www.spark-marketing.ru/Card/Person/1860", "ГБУЗ АО ""ГП №1""")</f>
        <v>ГБУЗ АО "ГП №1"</v>
      </c>
      <c r="B11931" s="24" t="s">
        <v>14220</v>
      </c>
      <c r="C11931" s="25">
        <v>1540501.2</v>
      </c>
      <c r="D11931" s="22" t="s">
        <v>14221</v>
      </c>
      <c r="E11931" s="22" t="s">
        <v>52</v>
      </c>
      <c r="F11931" s="23" t="str">
        <f>HYPERLINK("https://www.spark-marketing.ru/Card/Lot/68866858", "Оказание услуг охраны объектов ГБУЗ АО ГП № 1")</f>
        <v>Оказание услуг охраны объектов ГБУЗ АО ГП № 1</v>
      </c>
      <c r="G11931" s="22" t="s">
        <v>565</v>
      </c>
      <c r="H11931" s="22" t="s">
        <v>566</v>
      </c>
      <c r="I11931" s="26">
        <v>43544.434722222199</v>
      </c>
      <c r="J11931" s="23" t="str">
        <f>HYPERLINK("https://www.spark-marketing.ru/Card/Person/491696", "ООО ""ОА ""ТАЙСЕ""")</f>
        <v>ООО "ОА "ТАЙСЕ"</v>
      </c>
      <c r="K11931" s="24" t="s">
        <v>14222</v>
      </c>
      <c r="L11931" s="28" t="s">
        <v>52</v>
      </c>
      <c r="M11931" s="25">
        <v>1163078.21</v>
      </c>
      <c r="N11931" s="27">
        <v>0.24500012723131925</v>
      </c>
    </row>
    <row r="11932" spans="1:14" hidden="1" outlineLevel="1" x14ac:dyDescent="0.2">
      <c r="A11932" s="23" t="str">
        <f>HYPERLINK("https://www.spark-marketing.ru/Card/Person/1860", "ГБУЗ АО ""ГП №1""")</f>
        <v>ГБУЗ АО "ГП №1"</v>
      </c>
      <c r="B11932" s="24" t="s">
        <v>14220</v>
      </c>
      <c r="C11932" s="25">
        <v>1540501.2</v>
      </c>
      <c r="D11932" s="22" t="s">
        <v>14221</v>
      </c>
      <c r="E11932" s="22" t="s">
        <v>52</v>
      </c>
      <c r="F11932" s="23" t="str">
        <f>HYPERLINK("https://www.spark-marketing.ru/Card/Lot/68866858", "Оказание услуг охраны объектов ГБУЗ АО ГП № 1")</f>
        <v>Оказание услуг охраны объектов ГБУЗ АО ГП № 1</v>
      </c>
      <c r="G11932" s="22" t="s">
        <v>565</v>
      </c>
      <c r="H11932" s="22" t="s">
        <v>566</v>
      </c>
      <c r="I11932" s="26">
        <v>43544.434722222199</v>
      </c>
      <c r="J11932" s="23" t="str">
        <f>HYPERLINK("https://www.spark-marketing.ru/Card/Person/2573816", "ООО ЧОО ""ЛИОН""")</f>
        <v>ООО ЧОО "ЛИОН"</v>
      </c>
      <c r="K11932" s="24" t="s">
        <v>6583</v>
      </c>
      <c r="L11932" s="28" t="s">
        <v>52</v>
      </c>
      <c r="M11932" s="25">
        <v>1163078.21</v>
      </c>
      <c r="N11932" s="27">
        <v>0.24500012723131925</v>
      </c>
    </row>
    <row r="11933" spans="1:14" ht="12.75" hidden="1" outlineLevel="1" x14ac:dyDescent="0.2">
      <c r="A11933" s="23" t="str">
        <f>HYPERLINK("https://www.spark-marketing.ru/Card/Person/1860", "ГБУЗ АО ""ГП №1""")</f>
        <v>ГБУЗ АО "ГП №1"</v>
      </c>
      <c r="B11933" s="24" t="s">
        <v>14220</v>
      </c>
      <c r="C11933" s="25">
        <v>1540501.2</v>
      </c>
      <c r="D11933" s="22" t="s">
        <v>14221</v>
      </c>
      <c r="E11933" s="22" t="s">
        <v>52</v>
      </c>
      <c r="F11933" s="23" t="str">
        <f>HYPERLINK("https://www.spark-marketing.ru/Card/Lot/68866858", "Оказание услуг охраны объектов ГБУЗ АО ГП № 1")</f>
        <v>Оказание услуг охраны объектов ГБУЗ АО ГП № 1</v>
      </c>
      <c r="G11933" s="22" t="s">
        <v>565</v>
      </c>
      <c r="H11933" s="22" t="s">
        <v>566</v>
      </c>
      <c r="I11933" s="26">
        <v>43544.434722222199</v>
      </c>
      <c r="J11933" s="23" t="str">
        <f>HYPERLINK("https://www.spark-marketing.ru/Card/Person/345025", "ООО ЧОО ""РУСИЧИ""")</f>
        <v>ООО ЧОО "РУСИЧИ"</v>
      </c>
      <c r="K11933" s="24" t="s">
        <v>9177</v>
      </c>
      <c r="L11933" s="22" t="s">
        <v>10</v>
      </c>
      <c r="M11933" s="25">
        <v>955110.44</v>
      </c>
      <c r="N11933" s="27">
        <v>0.38000019733837276</v>
      </c>
    </row>
    <row r="11934" spans="1:14" x14ac:dyDescent="0.15">
      <c r="A11934" s="23" t="str">
        <f>HYPERLINK("https://www.spark-marketing.ru/Card/Person/4372644", "МБДОУ ДЕТСКИЙ САД №49")</f>
        <v>МБДОУ ДЕТСКИЙ САД №49</v>
      </c>
      <c r="B11934" s="24" t="s">
        <v>14223</v>
      </c>
      <c r="C11934" s="25">
        <v>30000</v>
      </c>
      <c r="D11934" s="22" t="s">
        <v>14224</v>
      </c>
      <c r="E11934" s="22" t="s">
        <v>103</v>
      </c>
      <c r="F11934" s="23" t="str">
        <f>HYPERLINK("https://www.spark-marketing.ru/Card/Lot/68863423", "Оказание услуг по техническому обслуживанию, содержанию и передачи видеоизображения с места нахождения")</f>
        <v>Оказание услуг по техническому обслуживанию, содержанию и передачи видеоизображения с места нахождения</v>
      </c>
      <c r="G11934" s="22" t="s">
        <v>50</v>
      </c>
      <c r="H11934" s="22" t="s">
        <v>2332</v>
      </c>
      <c r="I11934" s="26">
        <v>43544.4194907407</v>
      </c>
      <c r="J11934" s="28" t="s">
        <v>52</v>
      </c>
      <c r="K11934" s="28" t="s">
        <v>52</v>
      </c>
      <c r="L11934" s="28" t="s">
        <v>52</v>
      </c>
      <c r="M11934" s="28" t="s">
        <v>52</v>
      </c>
      <c r="N11934" s="28" t="s">
        <v>52</v>
      </c>
    </row>
    <row r="11935" spans="1:14" x14ac:dyDescent="0.15">
      <c r="A11935" s="23" t="str">
        <f>HYPERLINK("https://www.spark-marketing.ru/Card/Person/1011820", "ГКУ ""ЦЗН ГОРОДА БРЯНСКА""")</f>
        <v>ГКУ "ЦЗН ГОРОДА БРЯНСКА"</v>
      </c>
      <c r="B11935" s="24" t="s">
        <v>14225</v>
      </c>
      <c r="C11935" s="25">
        <v>380000</v>
      </c>
      <c r="D11935" s="22" t="s">
        <v>14226</v>
      </c>
      <c r="E11935" s="22" t="s">
        <v>52</v>
      </c>
      <c r="F11935" s="23" t="str">
        <f>HYPERLINK("https://www.spark-marketing.ru/Card/Lot/68867775", "Оказание услуг по охране объектов и обеспечению контрольно-пропускного режима")</f>
        <v>Оказание услуг по охране объектов и обеспечению контрольно-пропускного режима</v>
      </c>
      <c r="G11935" s="22" t="s">
        <v>215</v>
      </c>
      <c r="H11935" s="22" t="s">
        <v>406</v>
      </c>
      <c r="I11935" s="26">
        <v>43544.420833333301</v>
      </c>
      <c r="J11935" s="23" t="str">
        <f>HYPERLINK("https://www.spark-marketing.ru/Card/Person/261032", "ООО ЧОП ""ШТОРМ""")</f>
        <v>ООО ЧОП "ШТОРМ"</v>
      </c>
      <c r="K11935" s="24" t="s">
        <v>14227</v>
      </c>
      <c r="L11935" s="22" t="s">
        <v>10</v>
      </c>
      <c r="M11935" s="28" t="s">
        <v>52</v>
      </c>
      <c r="N11935" s="28" t="s">
        <v>52</v>
      </c>
    </row>
    <row r="11936" spans="1:14" x14ac:dyDescent="0.15">
      <c r="A11936" s="23" t="str">
        <f>HYPERLINK("https://www.spark-marketing.ru/Card/Person/4372644", "МБДОУ ДЕТСКИЙ САД №49")</f>
        <v>МБДОУ ДЕТСКИЙ САД №49</v>
      </c>
      <c r="B11936" s="24" t="s">
        <v>14223</v>
      </c>
      <c r="C11936" s="25">
        <v>60420</v>
      </c>
      <c r="D11936" s="22" t="s">
        <v>14228</v>
      </c>
      <c r="E11936" s="22" t="s">
        <v>107</v>
      </c>
      <c r="F11936" s="23" t="str">
        <f>HYPERLINK("https://www.spark-marketing.ru/Card/Lot/68864813", "Оказание услуг по техническому обслуживанию комплекса технических средств охраны (КТС)")</f>
        <v>Оказание услуг по техническому обслуживанию комплекса технических средств охраны (КТС)</v>
      </c>
      <c r="G11936" s="22" t="s">
        <v>50</v>
      </c>
      <c r="H11936" s="22" t="s">
        <v>2332</v>
      </c>
      <c r="I11936" s="26">
        <v>43544.440277777801</v>
      </c>
      <c r="J11936" s="28" t="s">
        <v>52</v>
      </c>
      <c r="K11936" s="28" t="s">
        <v>52</v>
      </c>
      <c r="L11936" s="28" t="s">
        <v>52</v>
      </c>
      <c r="M11936" s="28" t="s">
        <v>52</v>
      </c>
      <c r="N11936" s="28" t="s">
        <v>52</v>
      </c>
    </row>
    <row r="11937" spans="1:14" x14ac:dyDescent="0.15">
      <c r="A11937" s="23" t="str">
        <f>HYPERLINK("https://www.spark-marketing.ru/Card/Person/107933", "СУ СК РОССИИ ПО ТАМБОВСКОЙ ОБЛАСТИ")</f>
        <v>СУ СК РОССИИ ПО ТАМБОВСКОЙ ОБЛАСТИ</v>
      </c>
      <c r="B11937" s="24" t="s">
        <v>14229</v>
      </c>
      <c r="C11937" s="25">
        <v>1200</v>
      </c>
      <c r="D11937" s="22" t="s">
        <v>14230</v>
      </c>
      <c r="E11937" s="22" t="s">
        <v>53</v>
      </c>
      <c r="F11937" s="23" t="str">
        <f>HYPERLINK("https://www.spark-marketing.ru/Card/Lot/70794446", "Услуги по техническому обслуживанию системы видеонаблюдения")</f>
        <v>Услуги по техническому обслуживанию системы видеонаблюдения</v>
      </c>
      <c r="G11937" s="22" t="s">
        <v>1319</v>
      </c>
      <c r="H11937" s="22" t="s">
        <v>1320</v>
      </c>
      <c r="I11937" s="26">
        <v>43544.424386574101</v>
      </c>
      <c r="J11937" s="28" t="s">
        <v>52</v>
      </c>
      <c r="K11937" s="28" t="s">
        <v>52</v>
      </c>
      <c r="L11937" s="28" t="s">
        <v>52</v>
      </c>
      <c r="M11937" s="28" t="s">
        <v>52</v>
      </c>
      <c r="N11937" s="28" t="s">
        <v>52</v>
      </c>
    </row>
    <row r="11938" spans="1:14" x14ac:dyDescent="0.15">
      <c r="A11938" s="23" t="str">
        <f>HYPERLINK("https://www.spark-marketing.ru/Card/Person/1692268", "ФГУП ""ИШИМСКОЕ""")</f>
        <v>ФГУП "ИШИМСКОЕ"</v>
      </c>
      <c r="B11938" s="24" t="s">
        <v>14231</v>
      </c>
      <c r="C11938" s="25">
        <v>120000</v>
      </c>
      <c r="D11938" s="22" t="s">
        <v>14232</v>
      </c>
      <c r="E11938" s="22" t="s">
        <v>14233</v>
      </c>
      <c r="F11938" s="23" t="str">
        <f>HYPERLINK("https://www.spark-marketing.ru/Card/Lot/68862846", "Услуги по охране объектов с помощью пульта централизованного наблюдения (КТС)")</f>
        <v>Услуги по охране объектов с помощью пульта централизованного наблюдения (КТС)</v>
      </c>
      <c r="G11938" s="22" t="s">
        <v>893</v>
      </c>
      <c r="H11938" s="22" t="s">
        <v>893</v>
      </c>
      <c r="I11938" s="26">
        <v>43544.414305555598</v>
      </c>
      <c r="J11938" s="23" t="str">
        <f>HYPERLINK("https://www.spark-marketing.ru/Card/Person/546686", "ООО ЧОО ""ЗАЩИТНИК""")</f>
        <v>ООО ЧОО "ЗАЩИТНИК"</v>
      </c>
      <c r="K11938" s="24" t="s">
        <v>2223</v>
      </c>
      <c r="L11938" s="28" t="s">
        <v>52</v>
      </c>
      <c r="M11938" s="28" t="s">
        <v>52</v>
      </c>
      <c r="N11938" s="28" t="s">
        <v>52</v>
      </c>
    </row>
    <row r="11939" spans="1:14" x14ac:dyDescent="0.15">
      <c r="A11939" s="23" t="str">
        <f>HYPERLINK("https://www.spark-marketing.ru/Card/Person/148607", "ОГБУЗ ""СТОДОЛИЩЕНСКАЯ РБ""")</f>
        <v>ОГБУЗ "СТОДОЛИЩЕНСКАЯ РБ"</v>
      </c>
      <c r="B11939" s="24" t="s">
        <v>14178</v>
      </c>
      <c r="C11939" s="25">
        <v>15600</v>
      </c>
      <c r="D11939" s="22" t="s">
        <v>14234</v>
      </c>
      <c r="E11939" s="22" t="s">
        <v>5799</v>
      </c>
      <c r="F11939" s="23" t="str">
        <f>HYPERLINK("https://www.spark-marketing.ru/Card/Lot/68866126", "услуги предоставляемые экстерриториальными организациями и органами")</f>
        <v>услуги предоставляемые экстерриториальными организациями и органами</v>
      </c>
      <c r="G11939" s="22" t="s">
        <v>956</v>
      </c>
      <c r="H11939" s="22" t="s">
        <v>14180</v>
      </c>
      <c r="I11939" s="26">
        <v>43544.388888888898</v>
      </c>
      <c r="J11939" s="28" t="s">
        <v>52</v>
      </c>
      <c r="K11939" s="28" t="s">
        <v>52</v>
      </c>
      <c r="L11939" s="28" t="s">
        <v>52</v>
      </c>
      <c r="M11939" s="28" t="s">
        <v>52</v>
      </c>
      <c r="N11939" s="28" t="s">
        <v>52</v>
      </c>
    </row>
    <row r="11940" spans="1:14" x14ac:dyDescent="0.15">
      <c r="A11940" s="23" t="str">
        <f>HYPERLINK("https://www.spark-marketing.ru/Card/Person/94591", "ГБУ РС (Я) ""НЮРБИНСКАЯ ЦРБ""")</f>
        <v>ГБУ РС (Я) "НЮРБИНСКАЯ ЦРБ"</v>
      </c>
      <c r="B11940" s="24" t="s">
        <v>9301</v>
      </c>
      <c r="C11940" s="25">
        <v>180000</v>
      </c>
      <c r="D11940" s="22" t="s">
        <v>14235</v>
      </c>
      <c r="E11940" s="22" t="s">
        <v>84</v>
      </c>
      <c r="F11940" s="23" t="str">
        <f>HYPERLINK("https://www.spark-marketing.ru/Card/Lot/68857160", "Оказание услуг по установке видеонаблюдения")</f>
        <v>Оказание услуг по установке видеонаблюдения</v>
      </c>
      <c r="G11940" s="22" t="s">
        <v>424</v>
      </c>
      <c r="H11940" s="22" t="s">
        <v>9303</v>
      </c>
      <c r="I11940" s="26">
        <v>43544.404166666704</v>
      </c>
      <c r="J11940" s="28" t="s">
        <v>52</v>
      </c>
      <c r="K11940" s="28" t="s">
        <v>52</v>
      </c>
      <c r="L11940" s="28" t="s">
        <v>52</v>
      </c>
      <c r="M11940" s="28" t="s">
        <v>52</v>
      </c>
      <c r="N11940" s="28" t="s">
        <v>52</v>
      </c>
    </row>
    <row r="11941" spans="1:14" x14ac:dyDescent="0.15">
      <c r="A11941" s="23" t="str">
        <f>HYPERLINK("https://www.spark-marketing.ru/Card/Person/4350490", "МБУ ""ВОИС""")</f>
        <v>МБУ "ВОИС"</v>
      </c>
      <c r="B11941" s="24" t="s">
        <v>2079</v>
      </c>
      <c r="C11941" s="25">
        <v>9844884.9800000004</v>
      </c>
      <c r="D11941" s="22" t="s">
        <v>14236</v>
      </c>
      <c r="E11941" s="22" t="s">
        <v>68</v>
      </c>
      <c r="F11941" s="23" t="str">
        <f>HYPERLINK("https://www.spark-marketing.ru/Card/Lot/68861303", "Защита объектов транспортной инфраструктуры от актов незаконного вмешательства. Реагирование на подготовку совершения или совершение актов незаконного вмешательства в зонах транспортной безопасности объектов транспортной инфраструктуры. Реагирование ...")</f>
        <v>Защита объектов транспортной инфраструктуры от актов незаконного вмешательства. Реагирование на подготовку совершения или совершение актов незаконного вмешательства в зонах транспортной безопасности объектов транспортной инфраструктуры. Реагирование ...</v>
      </c>
      <c r="G11941" s="22" t="s">
        <v>72</v>
      </c>
      <c r="H11941" s="22" t="s">
        <v>949</v>
      </c>
      <c r="I11941" s="26">
        <v>43544.401388888902</v>
      </c>
      <c r="J11941" s="28" t="s">
        <v>52</v>
      </c>
      <c r="K11941" s="28" t="s">
        <v>52</v>
      </c>
      <c r="L11941" s="28" t="s">
        <v>52</v>
      </c>
      <c r="M11941" s="28" t="s">
        <v>52</v>
      </c>
      <c r="N11941" s="28" t="s">
        <v>52</v>
      </c>
    </row>
    <row r="11942" spans="1:14" hidden="1" outlineLevel="1" x14ac:dyDescent="0.2">
      <c r="A11942" s="23" t="str">
        <f>HYPERLINK("https://www.spark-marketing.ru/Card/Person/4350490", "МБУ ""ВОИС""")</f>
        <v>МБУ "ВОИС"</v>
      </c>
      <c r="B11942" s="24" t="s">
        <v>2079</v>
      </c>
      <c r="C11942" s="25">
        <v>9844884.9800000004</v>
      </c>
      <c r="D11942" s="22" t="s">
        <v>14236</v>
      </c>
      <c r="E11942" s="22" t="s">
        <v>68</v>
      </c>
      <c r="F11942" s="23" t="str">
        <f>HYPERLINK("https://www.spark-marketing.ru/Card/Lot/68861303", "Защита объектов транспортной инфраструктуры от актов незаконного вмешательства. Реагирование на подготовку совершения или совершение актов незаконного вмешательства в зонах транспортной безопасности объектов транспортной инфраструктуры. Реагирование ...")</f>
        <v>Защита объектов транспортной инфраструктуры от актов незаконного вмешательства. Реагирование на подготовку совершения или совершение актов незаконного вмешательства в зонах транспортной безопасности объектов транспортной инфраструктуры. Реагирование ...</v>
      </c>
      <c r="G11942" s="22" t="s">
        <v>72</v>
      </c>
      <c r="H11942" s="22" t="s">
        <v>949</v>
      </c>
      <c r="I11942" s="26">
        <v>43544.401388888902</v>
      </c>
      <c r="J11942" s="23" t="str">
        <f>HYPERLINK("https://www.spark-marketing.ru/Card/Person/6523889", "ООО ""СИСТЕМЫ ТРАНСПОРТНОЙ БЕЗОПАСНОСТИ""")</f>
        <v>ООО "СИСТЕМЫ ТРАНСПОРТНОЙ БЕЗОПАСНОСТИ"</v>
      </c>
      <c r="K11942" s="24" t="s">
        <v>14237</v>
      </c>
      <c r="L11942" s="28" t="s">
        <v>52</v>
      </c>
      <c r="M11942" s="25">
        <v>3741056.32</v>
      </c>
      <c r="N11942" s="27">
        <v>0.61999999719651366</v>
      </c>
    </row>
    <row r="11943" spans="1:14" ht="12.75" hidden="1" outlineLevel="1" x14ac:dyDescent="0.2">
      <c r="A11943" s="23" t="str">
        <f>HYPERLINK("https://www.spark-marketing.ru/Card/Person/4350490", "МБУ ""ВОИС""")</f>
        <v>МБУ "ВОИС"</v>
      </c>
      <c r="B11943" s="24" t="s">
        <v>2079</v>
      </c>
      <c r="C11943" s="25">
        <v>9844884.9800000004</v>
      </c>
      <c r="D11943" s="22" t="s">
        <v>14236</v>
      </c>
      <c r="E11943" s="22" t="s">
        <v>68</v>
      </c>
      <c r="F11943" s="23" t="str">
        <f>HYPERLINK("https://www.spark-marketing.ru/Card/Lot/68861303", "Защита объектов транспортной инфраструктуры от актов незаконного вмешательства. Реагирование на подготовку совершения или совершение актов незаконного вмешательства в зонах транспортной безопасности объектов транспортной инфраструктуры. Реагирование ...")</f>
        <v>Защита объектов транспортной инфраструктуры от актов незаконного вмешательства. Реагирование на подготовку совершения или совершение актов незаконного вмешательства в зонах транспортной безопасности объектов транспортной инфраструктуры. Реагирование ...</v>
      </c>
      <c r="G11943" s="22" t="s">
        <v>72</v>
      </c>
      <c r="H11943" s="22" t="s">
        <v>949</v>
      </c>
      <c r="I11943" s="26">
        <v>43544.401388888902</v>
      </c>
      <c r="J11943" s="23" t="str">
        <f>HYPERLINK("https://www.spark-marketing.ru/Card/Person/6439463", "ООО ""ПТБ ""НАБАТ""")</f>
        <v>ООО "ПТБ "НАБАТ"</v>
      </c>
      <c r="K11943" s="24" t="s">
        <v>2083</v>
      </c>
      <c r="L11943" s="22" t="s">
        <v>10</v>
      </c>
      <c r="M11943" s="25">
        <v>3248812.08</v>
      </c>
      <c r="N11943" s="27">
        <v>0.66999999628233342</v>
      </c>
    </row>
    <row r="11944" spans="1:14" hidden="1" outlineLevel="1" x14ac:dyDescent="0.2">
      <c r="A11944" s="23" t="str">
        <f>HYPERLINK("https://www.spark-marketing.ru/Card/Person/4350490", "МБУ ""ВОИС""")</f>
        <v>МБУ "ВОИС"</v>
      </c>
      <c r="B11944" s="24" t="s">
        <v>2079</v>
      </c>
      <c r="C11944" s="25">
        <v>9844884.9800000004</v>
      </c>
      <c r="D11944" s="22" t="s">
        <v>14236</v>
      </c>
      <c r="E11944" s="22" t="s">
        <v>68</v>
      </c>
      <c r="F11944" s="23" t="str">
        <f>HYPERLINK("https://www.spark-marketing.ru/Card/Lot/68861303", "Защита объектов транспортной инфраструктуры от актов незаконного вмешательства. Реагирование на подготовку совершения или совершение актов незаконного вмешательства в зонах транспортной безопасности объектов транспортной инфраструктуры. Реагирование ...")</f>
        <v>Защита объектов транспортной инфраструктуры от актов незаконного вмешательства. Реагирование на подготовку совершения или совершение актов незаконного вмешательства в зонах транспортной безопасности объектов транспортной инфраструктуры. Реагирование ...</v>
      </c>
      <c r="G11944" s="22" t="s">
        <v>72</v>
      </c>
      <c r="H11944" s="22" t="s">
        <v>949</v>
      </c>
      <c r="I11944" s="26">
        <v>43544.401388888902</v>
      </c>
      <c r="J11944" s="23" t="str">
        <f>HYPERLINK("https://www.spark-marketing.ru/Card/Person/6242877", "ООО ""ТБ - ГРУПП СВ""")</f>
        <v>ООО "ТБ - ГРУПП СВ"</v>
      </c>
      <c r="K11944" s="24" t="s">
        <v>12526</v>
      </c>
      <c r="L11944" s="28" t="s">
        <v>52</v>
      </c>
      <c r="M11944" s="25">
        <v>9746436.1199999992</v>
      </c>
      <c r="N11944" s="27">
        <v>1.0000001036071017E-2</v>
      </c>
    </row>
    <row r="11945" spans="1:14" x14ac:dyDescent="0.15">
      <c r="A11945" s="23" t="str">
        <f>HYPERLINK("https://www.spark-marketing.ru/Card/Person/1005060", "МБОУ ""СОШ С УГЛУБЛЕННЫМ ИЗУЧЕНИЕМ ОТДЕЛЬНЫХ ПРЕДМЕТОВ"" Г. ГРАЙВОРОНА")</f>
        <v>МБОУ "СОШ С УГЛУБЛЕННЫМ ИЗУЧЕНИЕМ ОТДЕЛЬНЫХ ПРЕДМЕТОВ" Г. ГРАЙВОРОНА</v>
      </c>
      <c r="B11945" s="24" t="s">
        <v>14238</v>
      </c>
      <c r="C11945" s="25">
        <v>8500</v>
      </c>
      <c r="D11945" s="22" t="s">
        <v>14239</v>
      </c>
      <c r="E11945" s="22" t="s">
        <v>59</v>
      </c>
      <c r="F11945" s="23" t="str">
        <f>HYPERLINK("https://www.spark-marketing.ru/Card/Lot/68862614", "Установка системы видеонаблюдения")</f>
        <v>Установка системы видеонаблюдения</v>
      </c>
      <c r="G11945" s="22" t="s">
        <v>176</v>
      </c>
      <c r="H11945" s="22" t="s">
        <v>11724</v>
      </c>
      <c r="I11945" s="26">
        <v>43544.401388888902</v>
      </c>
      <c r="J11945" s="28" t="s">
        <v>52</v>
      </c>
      <c r="K11945" s="28" t="s">
        <v>52</v>
      </c>
      <c r="L11945" s="28" t="s">
        <v>52</v>
      </c>
      <c r="M11945" s="28" t="s">
        <v>52</v>
      </c>
      <c r="N11945" s="28" t="s">
        <v>52</v>
      </c>
    </row>
    <row r="11946" spans="1:14" x14ac:dyDescent="0.15">
      <c r="A11946" s="23" t="str">
        <f>HYPERLINK("https://www.spark-marketing.ru/Card/Person/6487339", "ГКУ НСО ЦСПН КРАСНОЗЕРСКОГО РАЙОНА")</f>
        <v>ГКУ НСО ЦСПН КРАСНОЗЕРСКОГО РАЙОНА</v>
      </c>
      <c r="B11946" s="24" t="s">
        <v>14240</v>
      </c>
      <c r="C11946" s="25">
        <v>18200</v>
      </c>
      <c r="D11946" s="22" t="s">
        <v>14241</v>
      </c>
      <c r="E11946" s="22" t="s">
        <v>59</v>
      </c>
      <c r="F11946" s="23" t="str">
        <f>HYPERLINK("https://www.spark-marketing.ru/Card/Lot/68862051", "услуги по техническому обслуживанию комплекса технических средств охраны")</f>
        <v>услуги по техническому обслуживанию комплекса технических средств охраны</v>
      </c>
      <c r="G11946" s="22" t="s">
        <v>209</v>
      </c>
      <c r="H11946" s="22" t="s">
        <v>14242</v>
      </c>
      <c r="I11946" s="26">
        <v>43544.3618055556</v>
      </c>
      <c r="J11946" s="28" t="s">
        <v>52</v>
      </c>
      <c r="K11946" s="28" t="s">
        <v>52</v>
      </c>
      <c r="L11946" s="28" t="s">
        <v>52</v>
      </c>
      <c r="M11946" s="28" t="s">
        <v>52</v>
      </c>
      <c r="N11946" s="28" t="s">
        <v>52</v>
      </c>
    </row>
    <row r="11947" spans="1:14" x14ac:dyDescent="0.15">
      <c r="A11947" s="23" t="str">
        <f t="shared" ref="A11947:A11952" si="613">HYPERLINK("https://www.spark-marketing.ru/Card/Person/658", "ГКУ НО ""ГУАД""")</f>
        <v>ГКУ НО "ГУАД"</v>
      </c>
      <c r="B11947" s="24" t="s">
        <v>3382</v>
      </c>
      <c r="C11947" s="25">
        <v>39500000</v>
      </c>
      <c r="D11947" s="22" t="s">
        <v>14243</v>
      </c>
      <c r="E11947" s="22" t="s">
        <v>491</v>
      </c>
      <c r="F11947" s="23" t="str">
        <f t="shared" ref="F11947:F11952" si="614">HYPERLINK("https://www.spark-marketing.ru/Card/Lot/68864501", "Разработка планов обеспечения транспортной безопасности объектов транспортной инфраструктуры 3 и 4 категории на автомобильных дорогах общего пользования регионального или межмуниципального значения Нижегородской области")</f>
        <v>Разработка планов обеспечения транспортной безопасности объектов транспортной инфраструктуры 3 и 4 категории на автомобильных дорогах общего пользования регионального или межмуниципального значения Нижегородской области</v>
      </c>
      <c r="G11947" s="22" t="s">
        <v>64</v>
      </c>
      <c r="H11947" s="22" t="s">
        <v>64</v>
      </c>
      <c r="I11947" s="26">
        <v>43544.349305555603</v>
      </c>
      <c r="J11947" s="28" t="s">
        <v>52</v>
      </c>
      <c r="K11947" s="28" t="s">
        <v>52</v>
      </c>
      <c r="L11947" s="28" t="s">
        <v>52</v>
      </c>
      <c r="M11947" s="28" t="s">
        <v>52</v>
      </c>
      <c r="N11947" s="28" t="s">
        <v>52</v>
      </c>
    </row>
    <row r="11948" spans="1:14" ht="12.75" hidden="1" outlineLevel="1" x14ac:dyDescent="0.2">
      <c r="A11948" s="23" t="str">
        <f t="shared" si="613"/>
        <v>ГКУ НО "ГУАД"</v>
      </c>
      <c r="B11948" s="24" t="s">
        <v>3382</v>
      </c>
      <c r="C11948" s="25">
        <v>39500000</v>
      </c>
      <c r="D11948" s="22" t="s">
        <v>14243</v>
      </c>
      <c r="E11948" s="22" t="s">
        <v>491</v>
      </c>
      <c r="F11948" s="23" t="str">
        <f t="shared" si="614"/>
        <v>Разработка планов обеспечения транспортной безопасности объектов транспортной инфраструктуры 3 и 4 категории на автомобильных дорогах общего пользования регионального или межмуниципального значения Нижегородской области</v>
      </c>
      <c r="G11948" s="22" t="s">
        <v>64</v>
      </c>
      <c r="H11948" s="22" t="s">
        <v>64</v>
      </c>
      <c r="I11948" s="26">
        <v>43544.349305555603</v>
      </c>
      <c r="J11948" s="23" t="str">
        <f>HYPERLINK("https://www.spark-marketing.ru/Card/Person/6000317", "ООО ""ЗАСЛОН""")</f>
        <v>ООО "ЗАСЛОН"</v>
      </c>
      <c r="K11948" s="24" t="s">
        <v>14244</v>
      </c>
      <c r="L11948" s="22" t="s">
        <v>10</v>
      </c>
      <c r="M11948" s="25">
        <v>10000000</v>
      </c>
      <c r="N11948" s="27">
        <v>0.74683544303797467</v>
      </c>
    </row>
    <row r="11949" spans="1:14" hidden="1" outlineLevel="1" x14ac:dyDescent="0.2">
      <c r="A11949" s="23" t="str">
        <f t="shared" si="613"/>
        <v>ГКУ НО "ГУАД"</v>
      </c>
      <c r="B11949" s="24" t="s">
        <v>3382</v>
      </c>
      <c r="C11949" s="25">
        <v>39500000</v>
      </c>
      <c r="D11949" s="22" t="s">
        <v>14243</v>
      </c>
      <c r="E11949" s="22" t="s">
        <v>491</v>
      </c>
      <c r="F11949" s="23" t="str">
        <f t="shared" si="614"/>
        <v>Разработка планов обеспечения транспортной безопасности объектов транспортной инфраструктуры 3 и 4 категории на автомобильных дорогах общего пользования регионального или межмуниципального значения Нижегородской области</v>
      </c>
      <c r="G11949" s="22" t="s">
        <v>64</v>
      </c>
      <c r="H11949" s="22" t="s">
        <v>64</v>
      </c>
      <c r="I11949" s="26">
        <v>43544.349305555603</v>
      </c>
      <c r="J11949" s="23" t="str">
        <f>HYPERLINK("https://www.spark-marketing.ru/Card/Person/90111", "ООО ""АЙ ДИ КОНСАЛТИНГ""")</f>
        <v>ООО "АЙ ДИ КОНСАЛТИНГ"</v>
      </c>
      <c r="K11949" s="24" t="s">
        <v>2498</v>
      </c>
      <c r="L11949" s="28" t="s">
        <v>52</v>
      </c>
      <c r="M11949" s="25">
        <v>12245000</v>
      </c>
      <c r="N11949" s="27">
        <v>0.69</v>
      </c>
    </row>
    <row r="11950" spans="1:14" hidden="1" outlineLevel="1" x14ac:dyDescent="0.2">
      <c r="A11950" s="23" t="str">
        <f t="shared" si="613"/>
        <v>ГКУ НО "ГУАД"</v>
      </c>
      <c r="B11950" s="24" t="s">
        <v>3382</v>
      </c>
      <c r="C11950" s="25">
        <v>39500000</v>
      </c>
      <c r="D11950" s="22" t="s">
        <v>14243</v>
      </c>
      <c r="E11950" s="22" t="s">
        <v>491</v>
      </c>
      <c r="F11950" s="23" t="str">
        <f t="shared" si="614"/>
        <v>Разработка планов обеспечения транспортной безопасности объектов транспортной инфраструктуры 3 и 4 категории на автомобильных дорогах общего пользования регионального или межмуниципального значения Нижегородской области</v>
      </c>
      <c r="G11950" s="22" t="s">
        <v>64</v>
      </c>
      <c r="H11950" s="22" t="s">
        <v>64</v>
      </c>
      <c r="I11950" s="26">
        <v>43544.349305555603</v>
      </c>
      <c r="J11950" s="23" t="str">
        <f>HYPERLINK("https://www.spark-marketing.ru/Card/Person/675917", "Центральный ФЛ ФГУП ""УВО Минтранса России""")</f>
        <v>Центральный ФЛ ФГУП "УВО Минтранса России"</v>
      </c>
      <c r="K11950" s="24" t="s">
        <v>1472</v>
      </c>
      <c r="L11950" s="28" t="s">
        <v>52</v>
      </c>
      <c r="M11950" s="25">
        <v>25675000</v>
      </c>
      <c r="N11950" s="27">
        <v>0.35</v>
      </c>
    </row>
    <row r="11951" spans="1:14" hidden="1" outlineLevel="1" x14ac:dyDescent="0.2">
      <c r="A11951" s="23" t="str">
        <f t="shared" si="613"/>
        <v>ГКУ НО "ГУАД"</v>
      </c>
      <c r="B11951" s="24" t="s">
        <v>3382</v>
      </c>
      <c r="C11951" s="25">
        <v>39500000</v>
      </c>
      <c r="D11951" s="22" t="s">
        <v>14243</v>
      </c>
      <c r="E11951" s="22" t="s">
        <v>491</v>
      </c>
      <c r="F11951" s="23" t="str">
        <f t="shared" si="614"/>
        <v>Разработка планов обеспечения транспортной безопасности объектов транспортной инфраструктуры 3 и 4 категории на автомобильных дорогах общего пользования регионального или межмуниципального значения Нижегородской области</v>
      </c>
      <c r="G11951" s="22" t="s">
        <v>64</v>
      </c>
      <c r="H11951" s="22" t="s">
        <v>64</v>
      </c>
      <c r="I11951" s="26">
        <v>43544.349305555603</v>
      </c>
      <c r="J11951" s="23" t="str">
        <f>HYPERLINK("https://www.spark-marketing.ru/Card/Person/25906", "АО ""ПСТМ""")</f>
        <v>АО "ПСТМ"</v>
      </c>
      <c r="K11951" s="24" t="s">
        <v>2241</v>
      </c>
      <c r="L11951" s="28" t="s">
        <v>52</v>
      </c>
      <c r="M11951" s="25">
        <v>39000000</v>
      </c>
      <c r="N11951" s="27">
        <v>1.2658227848101266E-2</v>
      </c>
    </row>
    <row r="11952" spans="1:14" hidden="1" outlineLevel="1" x14ac:dyDescent="0.2">
      <c r="A11952" s="23" t="str">
        <f t="shared" si="613"/>
        <v>ГКУ НО "ГУАД"</v>
      </c>
      <c r="B11952" s="24" t="s">
        <v>3382</v>
      </c>
      <c r="C11952" s="25">
        <v>39500000</v>
      </c>
      <c r="D11952" s="22" t="s">
        <v>14243</v>
      </c>
      <c r="E11952" s="22" t="s">
        <v>491</v>
      </c>
      <c r="F11952" s="23" t="str">
        <f t="shared" si="614"/>
        <v>Разработка планов обеспечения транспортной безопасности объектов транспортной инфраструктуры 3 и 4 категории на автомобильных дорогах общего пользования регионального или межмуниципального значения Нижегородской области</v>
      </c>
      <c r="G11952" s="22" t="s">
        <v>64</v>
      </c>
      <c r="H11952" s="22" t="s">
        <v>64</v>
      </c>
      <c r="I11952" s="26">
        <v>43544.349305555603</v>
      </c>
      <c r="J11952" s="23" t="str">
        <f>HYPERLINK("https://www.spark-marketing.ru/Card/Person/81571", "ООО ""СО ""АНТИТЕРРОР""")</f>
        <v>ООО "СО "АНТИТЕРРОР"</v>
      </c>
      <c r="K11952" s="24" t="s">
        <v>3384</v>
      </c>
      <c r="L11952" s="28" t="s">
        <v>52</v>
      </c>
      <c r="M11952" s="25">
        <v>25000000</v>
      </c>
      <c r="N11952" s="27">
        <v>0.36708860759493672</v>
      </c>
    </row>
    <row r="11953" spans="1:14" x14ac:dyDescent="0.15">
      <c r="A11953" s="23" t="str">
        <f>HYPERLINK("https://www.spark-marketing.ru/Card/Person/5906029", "ОАО ""КАЛМНЕФТЕГАЗ""")</f>
        <v>ОАО "КАЛМНЕФТЕГАЗ"</v>
      </c>
      <c r="B11953" s="24" t="s">
        <v>14245</v>
      </c>
      <c r="C11953" s="28" t="s">
        <v>52</v>
      </c>
      <c r="D11953" s="22" t="s">
        <v>14246</v>
      </c>
      <c r="E11953" s="22" t="s">
        <v>53</v>
      </c>
      <c r="F11953" s="23" t="str">
        <f>HYPERLINK("https://www.spark-marketing.ru/Card/Lot/68888165", "Оказание услуг по охране УПСВ и скважин № 7, 42, 46, 95, 98 месторождения Таша и Манычского месторождения (07)")</f>
        <v>Оказание услуг по охране УПСВ и скважин № 7, 42, 46, 95, 98 месторождения Таша и Манычского месторождения (07)</v>
      </c>
      <c r="G11953" s="22" t="s">
        <v>1325</v>
      </c>
      <c r="H11953" s="22" t="s">
        <v>2595</v>
      </c>
      <c r="I11953" s="26">
        <v>43544</v>
      </c>
      <c r="J11953" s="28" t="s">
        <v>52</v>
      </c>
      <c r="K11953" s="28" t="s">
        <v>52</v>
      </c>
      <c r="L11953" s="28" t="s">
        <v>52</v>
      </c>
      <c r="M11953" s="28" t="s">
        <v>52</v>
      </c>
      <c r="N11953" s="28" t="s">
        <v>52</v>
      </c>
    </row>
    <row r="11954" spans="1:14" x14ac:dyDescent="0.2">
      <c r="A11954" s="23" t="str">
        <f>HYPERLINK("https://www.spark-marketing.ru/Card/Person/768362", "МАОУ ""ГИМНАЗИЯ № 33 Г. УЛАН-УДЭ""")</f>
        <v>МАОУ "ГИМНАЗИЯ № 33 Г. УЛАН-УДЭ"</v>
      </c>
      <c r="B11954" s="24" t="s">
        <v>14247</v>
      </c>
      <c r="C11954" s="25">
        <v>238303</v>
      </c>
      <c r="D11954" s="22" t="s">
        <v>14248</v>
      </c>
      <c r="E11954" s="22" t="s">
        <v>8385</v>
      </c>
      <c r="F11954" s="23" t="str">
        <f>HYPERLINK("https://www.spark-marketing.ru/Card/Lot/68841778", "Установка системы видеонаблюдения в МАОУ ""Гимназия №33 г.Улан-Удэ""")</f>
        <v>Установка системы видеонаблюдения в МАОУ "Гимназия №33 г.Улан-Удэ"</v>
      </c>
      <c r="G11954" s="22" t="s">
        <v>354</v>
      </c>
      <c r="H11954" s="22" t="s">
        <v>354</v>
      </c>
      <c r="I11954" s="26">
        <v>43543.769513888903</v>
      </c>
      <c r="J11954" s="23" t="str">
        <f>HYPERLINK("https://www.spark-marketing.ru/Card/Person/6479443", "ООО ""СПК-ТЕЛЕКОМ-НСК""")</f>
        <v>ООО "СПК-ТЕЛЕКОМ-НСК"</v>
      </c>
      <c r="K11954" s="24" t="s">
        <v>14249</v>
      </c>
      <c r="L11954" s="28" t="s">
        <v>52</v>
      </c>
      <c r="M11954" s="25">
        <v>238303</v>
      </c>
      <c r="N11954" s="27">
        <v>0</v>
      </c>
    </row>
    <row r="11955" spans="1:14" x14ac:dyDescent="0.15">
      <c r="A11955" s="23" t="str">
        <f>HYPERLINK("https://www.spark-marketing.ru/Card/Person/4353398", "МУЗЕЙ-ЗАПОВЕДНИК ""МУЗЕЙ ОБОРОНЫ СЕВАСТОПОЛЯ""")</f>
        <v>МУЗЕЙ-ЗАПОВЕДНИК "МУЗЕЙ ОБОРОНЫ СЕВАСТОПОЛЯ"</v>
      </c>
      <c r="B11955" s="24" t="s">
        <v>14250</v>
      </c>
      <c r="C11955" s="25">
        <v>10117379.58</v>
      </c>
      <c r="D11955" s="22" t="s">
        <v>14251</v>
      </c>
      <c r="E11955" s="22" t="s">
        <v>68</v>
      </c>
      <c r="F11955" s="23" t="str">
        <f>HYPERLINK("https://www.spark-marketing.ru/Card/Lot/68854639", "Услуги по обеспечению охраны объектов музея военизированными подразделениями в 2019 году")</f>
        <v>Услуги по обеспечению охраны объектов музея военизированными подразделениями в 2019 году</v>
      </c>
      <c r="G11955" s="22" t="s">
        <v>714</v>
      </c>
      <c r="H11955" s="22" t="s">
        <v>714</v>
      </c>
      <c r="I11955" s="26">
        <v>43543.750694444403</v>
      </c>
      <c r="J11955" s="28" t="s">
        <v>52</v>
      </c>
      <c r="K11955" s="28" t="s">
        <v>52</v>
      </c>
      <c r="L11955" s="28" t="s">
        <v>52</v>
      </c>
      <c r="M11955" s="28" t="s">
        <v>52</v>
      </c>
      <c r="N11955" s="28" t="s">
        <v>52</v>
      </c>
    </row>
    <row r="11956" spans="1:14" x14ac:dyDescent="0.15">
      <c r="A11956" s="23" t="str">
        <f>HYPERLINK("https://www.spark-marketing.ru/Card/Person/820250", "МБОУ ""БУГ""")</f>
        <v>МБОУ "БУГ"</v>
      </c>
      <c r="B11956" s="24" t="s">
        <v>14252</v>
      </c>
      <c r="C11956" s="25">
        <v>126000</v>
      </c>
      <c r="D11956" s="22" t="s">
        <v>14253</v>
      </c>
      <c r="E11956" s="22" t="s">
        <v>52</v>
      </c>
      <c r="F11956" s="23" t="str">
        <f>HYPERLINK("https://www.spark-marketing.ru/Card/Lot/68841465", "Оказание услуг по организации и обеспечении охраны объекта и (или) имущества, а также обеспечение внутриобъектного и пропускного режима на объекте")</f>
        <v>Оказание услуг по организации и обеспечении охраны объекта и (или) имущества, а также обеспечение внутриобъектного и пропускного режима на объекте</v>
      </c>
      <c r="G11956" s="22" t="s">
        <v>424</v>
      </c>
      <c r="H11956" s="22" t="s">
        <v>12478</v>
      </c>
      <c r="I11956" s="26">
        <v>43543.755555555603</v>
      </c>
      <c r="J11956" s="23" t="str">
        <f>HYPERLINK("https://www.spark-marketing.ru/Card/Person/2588873", "ООО ЧОП ""ЯГУАР НОРД""")</f>
        <v>ООО ЧОП "ЯГУАР НОРД"</v>
      </c>
      <c r="K11956" s="24" t="s">
        <v>7980</v>
      </c>
      <c r="L11956" s="22" t="s">
        <v>10</v>
      </c>
      <c r="M11956" s="28" t="s">
        <v>52</v>
      </c>
      <c r="N11956" s="28" t="s">
        <v>52</v>
      </c>
    </row>
    <row r="11957" spans="1:14" x14ac:dyDescent="0.15">
      <c r="A11957" s="23" t="str">
        <f>HYPERLINK("https://www.spark-marketing.ru/Card/Person/4353398", "МУЗЕЙ-ЗАПОВЕДНИК ""МУЗЕЙ ОБОРОНЫ СЕВАСТОПОЛЯ""")</f>
        <v>МУЗЕЙ-ЗАПОВЕДНИК "МУЗЕЙ ОБОРОНЫ СЕВАСТОПОЛЯ"</v>
      </c>
      <c r="B11957" s="24" t="s">
        <v>14250</v>
      </c>
      <c r="C11957" s="25">
        <v>473040</v>
      </c>
      <c r="D11957" s="22" t="s">
        <v>14254</v>
      </c>
      <c r="E11957" s="22" t="s">
        <v>68</v>
      </c>
      <c r="F11957" s="23" t="str">
        <f>HYPERLINK("https://www.spark-marketing.ru/Card/Lot/68854645", "Услуги охраны объектов музея стационарным постом полиции в 2019 году")</f>
        <v>Услуги охраны объектов музея стационарным постом полиции в 2019 году</v>
      </c>
      <c r="G11957" s="22" t="s">
        <v>714</v>
      </c>
      <c r="H11957" s="22" t="s">
        <v>714</v>
      </c>
      <c r="I11957" s="26">
        <v>43543.751388888901</v>
      </c>
      <c r="J11957" s="28" t="s">
        <v>52</v>
      </c>
      <c r="K11957" s="28" t="s">
        <v>52</v>
      </c>
      <c r="L11957" s="28" t="s">
        <v>52</v>
      </c>
      <c r="M11957" s="28" t="s">
        <v>52</v>
      </c>
      <c r="N11957" s="28" t="s">
        <v>52</v>
      </c>
    </row>
    <row r="11958" spans="1:14" x14ac:dyDescent="0.15">
      <c r="A11958" s="23" t="str">
        <f>HYPERLINK("https://www.spark-marketing.ru/Card/Person/139844", "МБОУ ""ШКОЛА № 15""")</f>
        <v>МБОУ "ШКОЛА № 15"</v>
      </c>
      <c r="B11958" s="24" t="s">
        <v>14255</v>
      </c>
      <c r="C11958" s="25">
        <v>196000</v>
      </c>
      <c r="D11958" s="22" t="s">
        <v>14256</v>
      </c>
      <c r="E11958" s="22" t="s">
        <v>14257</v>
      </c>
      <c r="F11958" s="23" t="str">
        <f>HYPERLINK("https://www.spark-marketing.ru/Card/Lot/68852631", "установка камер")</f>
        <v>установка камер</v>
      </c>
      <c r="G11958" s="22" t="s">
        <v>50</v>
      </c>
      <c r="H11958" s="22" t="s">
        <v>432</v>
      </c>
      <c r="I11958" s="26">
        <v>43543.732407407399</v>
      </c>
      <c r="J11958" s="28" t="s">
        <v>52</v>
      </c>
      <c r="K11958" s="28" t="s">
        <v>52</v>
      </c>
      <c r="L11958" s="28" t="s">
        <v>52</v>
      </c>
      <c r="M11958" s="28" t="s">
        <v>52</v>
      </c>
      <c r="N11958" s="28" t="s">
        <v>52</v>
      </c>
    </row>
    <row r="11959" spans="1:14" x14ac:dyDescent="0.15">
      <c r="A11959" s="23" t="str">
        <f>HYPERLINK("https://www.spark-marketing.ru/Card/Person/5901188", "УПФР В ИЧАЛКОВСКОМ МУНИЦИПАЛЬНОМ РАЙОНЕ РЕСПУБЛИКИ МОРДОВИЯ (МЕЖРАЙОННОЕ)")</f>
        <v>УПФР В ИЧАЛКОВСКОМ МУНИЦИПАЛЬНОМ РАЙОНЕ РЕСПУБЛИКИ МОРДОВИЯ (МЕЖРАЙОННОЕ)</v>
      </c>
      <c r="B11959" s="24" t="s">
        <v>14258</v>
      </c>
      <c r="C11959" s="25">
        <v>225600</v>
      </c>
      <c r="D11959" s="22" t="s">
        <v>14259</v>
      </c>
      <c r="E11959" s="22" t="s">
        <v>59</v>
      </c>
      <c r="F11959" s="23" t="str">
        <f>HYPERLINK("https://www.spark-marketing.ru/Card/Lot/68852801", "Создание системы аудио-видеоконтроля зон приема граждан.")</f>
        <v>Создание системы аудио-видеоконтроля зон приема граждан.</v>
      </c>
      <c r="G11959" s="22" t="s">
        <v>331</v>
      </c>
      <c r="H11959" s="22" t="s">
        <v>14260</v>
      </c>
      <c r="I11959" s="26">
        <v>43543.711111111101</v>
      </c>
      <c r="J11959" s="23" t="str">
        <f>HYPERLINK("https://www.spark-marketing.ru/Card/Person/149051", "Лопаткин Андрей Николаевич")</f>
        <v>Лопаткин Андрей Николаевич</v>
      </c>
      <c r="K11959" s="24" t="s">
        <v>2127</v>
      </c>
      <c r="L11959" s="22" t="s">
        <v>10</v>
      </c>
      <c r="M11959" s="28" t="s">
        <v>52</v>
      </c>
      <c r="N11959" s="28" t="s">
        <v>52</v>
      </c>
    </row>
    <row r="11960" spans="1:14" x14ac:dyDescent="0.15">
      <c r="A11960" s="23" t="str">
        <f>HYPERLINK("https://www.spark-marketing.ru/Card/Person/6441010", "УПРАВЛЕНИЕ МИНЮСТА РОССИИ ПО РЕСПУБЛИКЕ КРЫМ")</f>
        <v>УПРАВЛЕНИЕ МИНЮСТА РОССИИ ПО РЕСПУБЛИКЕ КРЫМ</v>
      </c>
      <c r="B11960" s="24" t="s">
        <v>14261</v>
      </c>
      <c r="C11960" s="25">
        <v>45000</v>
      </c>
      <c r="D11960" s="22" t="s">
        <v>14262</v>
      </c>
      <c r="E11960" s="22" t="s">
        <v>103</v>
      </c>
      <c r="F11960" s="23" t="str">
        <f>HYPERLINK("https://www.spark-marketing.ru/Card/Lot/68852790", "Оказание услуг по техническому обслуживанию системы видеонаблюдения")</f>
        <v>Оказание услуг по техническому обслуживанию системы видеонаблюдения</v>
      </c>
      <c r="G11960" s="22" t="s">
        <v>1053</v>
      </c>
      <c r="H11960" s="22" t="s">
        <v>3239</v>
      </c>
      <c r="I11960" s="26">
        <v>43543.741666666698</v>
      </c>
      <c r="J11960" s="28" t="s">
        <v>52</v>
      </c>
      <c r="K11960" s="28" t="s">
        <v>52</v>
      </c>
      <c r="L11960" s="28" t="s">
        <v>52</v>
      </c>
      <c r="M11960" s="28" t="s">
        <v>52</v>
      </c>
      <c r="N11960" s="28" t="s">
        <v>52</v>
      </c>
    </row>
    <row r="11961" spans="1:14" hidden="1" outlineLevel="1" x14ac:dyDescent="0.2">
      <c r="A11961" s="23" t="str">
        <f>HYPERLINK("https://www.spark-marketing.ru/Card/Person/6441010", "УПРАВЛЕНИЕ МИНЮСТА РОССИИ ПО РЕСПУБЛИКЕ КРЫМ")</f>
        <v>УПРАВЛЕНИЕ МИНЮСТА РОССИИ ПО РЕСПУБЛИКЕ КРЫМ</v>
      </c>
      <c r="B11961" s="24" t="s">
        <v>14261</v>
      </c>
      <c r="C11961" s="25">
        <v>45000</v>
      </c>
      <c r="D11961" s="22" t="s">
        <v>14262</v>
      </c>
      <c r="E11961" s="22" t="s">
        <v>103</v>
      </c>
      <c r="F11961" s="23" t="str">
        <f>HYPERLINK("https://www.spark-marketing.ru/Card/Lot/68852790", "Оказание услуг по техническому обслуживанию системы видеонаблюдения")</f>
        <v>Оказание услуг по техническому обслуживанию системы видеонаблюдения</v>
      </c>
      <c r="G11961" s="22" t="s">
        <v>1053</v>
      </c>
      <c r="H11961" s="22" t="s">
        <v>3239</v>
      </c>
      <c r="I11961" s="26">
        <v>43543.741666666698</v>
      </c>
      <c r="J11961" s="23" t="str">
        <f>HYPERLINK("https://www.spark-marketing.ru/Card/Person/4756830", "Беляев Александр Анатольевич")</f>
        <v>Беляев Александр Анатольевич</v>
      </c>
      <c r="K11961" s="24" t="s">
        <v>14263</v>
      </c>
      <c r="L11961" s="28" t="s">
        <v>52</v>
      </c>
      <c r="M11961" s="25">
        <v>22275</v>
      </c>
      <c r="N11961" s="27">
        <v>0.505</v>
      </c>
    </row>
    <row r="11962" spans="1:14" ht="12.75" hidden="1" outlineLevel="1" x14ac:dyDescent="0.2">
      <c r="A11962" s="23" t="str">
        <f>HYPERLINK("https://www.spark-marketing.ru/Card/Person/6441010", "УПРАВЛЕНИЕ МИНЮСТА РОССИИ ПО РЕСПУБЛИКЕ КРЫМ")</f>
        <v>УПРАВЛЕНИЕ МИНЮСТА РОССИИ ПО РЕСПУБЛИКЕ КРЫМ</v>
      </c>
      <c r="B11962" s="24" t="s">
        <v>14261</v>
      </c>
      <c r="C11962" s="25">
        <v>45000</v>
      </c>
      <c r="D11962" s="22" t="s">
        <v>14262</v>
      </c>
      <c r="E11962" s="22" t="s">
        <v>103</v>
      </c>
      <c r="F11962" s="23" t="str">
        <f>HYPERLINK("https://www.spark-marketing.ru/Card/Lot/68852790", "Оказание услуг по техническому обслуживанию системы видеонаблюдения")</f>
        <v>Оказание услуг по техническому обслуживанию системы видеонаблюдения</v>
      </c>
      <c r="G11962" s="22" t="s">
        <v>1053</v>
      </c>
      <c r="H11962" s="22" t="s">
        <v>3239</v>
      </c>
      <c r="I11962" s="26">
        <v>43543.741666666698</v>
      </c>
      <c r="J11962" s="23" t="str">
        <f>HYPERLINK("https://www.spark-marketing.ru/Card/Person/6442177", "ООО «ЮЖИН»")</f>
        <v>ООО «ЮЖИН»</v>
      </c>
      <c r="K11962" s="24" t="s">
        <v>10077</v>
      </c>
      <c r="L11962" s="22" t="s">
        <v>10</v>
      </c>
      <c r="M11962" s="25">
        <v>22050</v>
      </c>
      <c r="N11962" s="27">
        <v>0.51</v>
      </c>
    </row>
    <row r="11963" spans="1:14" hidden="1" outlineLevel="1" x14ac:dyDescent="0.2">
      <c r="A11963" s="23" t="str">
        <f>HYPERLINK("https://www.spark-marketing.ru/Card/Person/6441010", "УПРАВЛЕНИЕ МИНЮСТА РОССИИ ПО РЕСПУБЛИКЕ КРЫМ")</f>
        <v>УПРАВЛЕНИЕ МИНЮСТА РОССИИ ПО РЕСПУБЛИКЕ КРЫМ</v>
      </c>
      <c r="B11963" s="24" t="s">
        <v>14261</v>
      </c>
      <c r="C11963" s="25">
        <v>45000</v>
      </c>
      <c r="D11963" s="22" t="s">
        <v>14262</v>
      </c>
      <c r="E11963" s="22" t="s">
        <v>103</v>
      </c>
      <c r="F11963" s="23" t="str">
        <f>HYPERLINK("https://www.spark-marketing.ru/Card/Lot/68852790", "Оказание услуг по техническому обслуживанию системы видеонаблюдения")</f>
        <v>Оказание услуг по техническому обслуживанию системы видеонаблюдения</v>
      </c>
      <c r="G11963" s="22" t="s">
        <v>1053</v>
      </c>
      <c r="H11963" s="22" t="s">
        <v>3239</v>
      </c>
      <c r="I11963" s="26">
        <v>43543.741666666698</v>
      </c>
      <c r="J11963" s="23" t="str">
        <f>HYPERLINK("https://www.spark-marketing.ru/Card/Person/4855004", "Бакши Игорь Анатольевич")</f>
        <v>Бакши Игорь Анатольевич</v>
      </c>
      <c r="K11963" s="24" t="s">
        <v>10078</v>
      </c>
      <c r="L11963" s="28" t="s">
        <v>52</v>
      </c>
      <c r="M11963" s="25">
        <v>34875</v>
      </c>
      <c r="N11963" s="27">
        <v>0.22500000000000001</v>
      </c>
    </row>
    <row r="11964" spans="1:14" hidden="1" outlineLevel="1" x14ac:dyDescent="0.2">
      <c r="A11964" s="23" t="str">
        <f>HYPERLINK("https://www.spark-marketing.ru/Card/Person/6441010", "УПРАВЛЕНИЕ МИНЮСТА РОССИИ ПО РЕСПУБЛИКЕ КРЫМ")</f>
        <v>УПРАВЛЕНИЕ МИНЮСТА РОССИИ ПО РЕСПУБЛИКЕ КРЫМ</v>
      </c>
      <c r="B11964" s="24" t="s">
        <v>14261</v>
      </c>
      <c r="C11964" s="25">
        <v>45000</v>
      </c>
      <c r="D11964" s="22" t="s">
        <v>14262</v>
      </c>
      <c r="E11964" s="22" t="s">
        <v>103</v>
      </c>
      <c r="F11964" s="23" t="str">
        <f>HYPERLINK("https://www.spark-marketing.ru/Card/Lot/68852790", "Оказание услуг по техническому обслуживанию системы видеонаблюдения")</f>
        <v>Оказание услуг по техническому обслуживанию системы видеонаблюдения</v>
      </c>
      <c r="G11964" s="22" t="s">
        <v>1053</v>
      </c>
      <c r="H11964" s="22" t="s">
        <v>3239</v>
      </c>
      <c r="I11964" s="26">
        <v>43543.741666666698</v>
      </c>
      <c r="J11964" s="23" t="str">
        <f>HYPERLINK("https://www.spark-marketing.ru/Card/Person/6447771", "Коробейко Елена Вячеславовна")</f>
        <v>Коробейко Елена Вячеславовна</v>
      </c>
      <c r="K11964" s="24" t="s">
        <v>14264</v>
      </c>
      <c r="L11964" s="28" t="s">
        <v>52</v>
      </c>
      <c r="M11964" s="25">
        <v>40500</v>
      </c>
      <c r="N11964" s="27">
        <v>0.1</v>
      </c>
    </row>
    <row r="11965" spans="1:14" x14ac:dyDescent="0.15">
      <c r="A11965" s="23" t="str">
        <f>HYPERLINK("https://www.spark-marketing.ru/Card/Person/62451", "ЗАПАДНО-СИБИРСКОЕ СУТ СК РОССИИ")</f>
        <v>ЗАПАДНО-СИБИРСКОЕ СУТ СК РОССИИ</v>
      </c>
      <c r="B11965" s="24" t="s">
        <v>11238</v>
      </c>
      <c r="C11965" s="25">
        <v>13364.4</v>
      </c>
      <c r="D11965" s="22" t="s">
        <v>14265</v>
      </c>
      <c r="E11965" s="22" t="s">
        <v>68</v>
      </c>
      <c r="F11965" s="23" t="str">
        <f>HYPERLINK("https://www.spark-marketing.ru/Card/Lot/68843349", "Оказание услуг по охране с помощью кнопки тревожной сигнализации объекта Западно-Сибирского следственного управления на транспорте Следственного комитета Российской Федерации (г. Белово)")</f>
        <v>Оказание услуг по охране с помощью кнопки тревожной сигнализации объекта Западно-Сибирского следственного управления на транспорте Следственного комитета Российской Федерации (г. Белово)</v>
      </c>
      <c r="G11965" s="22" t="s">
        <v>367</v>
      </c>
      <c r="H11965" s="22" t="s">
        <v>367</v>
      </c>
      <c r="I11965" s="26">
        <v>43543.706250000003</v>
      </c>
      <c r="J11965" s="28" t="s">
        <v>52</v>
      </c>
      <c r="K11965" s="28" t="s">
        <v>52</v>
      </c>
      <c r="L11965" s="28" t="s">
        <v>52</v>
      </c>
      <c r="M11965" s="28" t="s">
        <v>52</v>
      </c>
      <c r="N11965" s="28" t="s">
        <v>52</v>
      </c>
    </row>
    <row r="11966" spans="1:14" x14ac:dyDescent="0.15">
      <c r="A11966" s="23" t="str">
        <f>HYPERLINK("https://www.spark-marketing.ru/Card/Person/1037654", "ФКУ ЦИТОВ ГУФСИН РОССИИ ПО РОСТОВСКОЙ ОБЛАСТИ")</f>
        <v>ФКУ ЦИТОВ ГУФСИН РОССИИ ПО РОСТОВСКОЙ ОБЛАСТИ</v>
      </c>
      <c r="B11966" s="24" t="s">
        <v>14266</v>
      </c>
      <c r="C11966" s="25">
        <v>1436243.08</v>
      </c>
      <c r="D11966" s="22" t="s">
        <v>14267</v>
      </c>
      <c r="E11966" s="22" t="s">
        <v>208</v>
      </c>
      <c r="F11966" s="23" t="str">
        <f>HYPERLINK("https://www.spark-marketing.ru/Card/Lot/68853486", "Приобритение товаров для обслуживание средств противопожарной автоматике")</f>
        <v>Приобритение товаров для обслуживание средств противопожарной автоматике</v>
      </c>
      <c r="G11966" s="22" t="s">
        <v>402</v>
      </c>
      <c r="H11966" s="22" t="s">
        <v>403</v>
      </c>
      <c r="I11966" s="26">
        <v>43543.707638888904</v>
      </c>
      <c r="J11966" s="28" t="s">
        <v>52</v>
      </c>
      <c r="K11966" s="28" t="s">
        <v>52</v>
      </c>
      <c r="L11966" s="28" t="s">
        <v>52</v>
      </c>
      <c r="M11966" s="28" t="s">
        <v>52</v>
      </c>
      <c r="N11966" s="28" t="s">
        <v>52</v>
      </c>
    </row>
    <row r="11967" spans="1:14" hidden="1" outlineLevel="1" x14ac:dyDescent="0.2">
      <c r="A11967" s="23" t="str">
        <f>HYPERLINK("https://www.spark-marketing.ru/Card/Person/1037654", "ФКУ ЦИТОВ ГУФСИН РОССИИ ПО РОСТОВСКОЙ ОБЛАСТИ")</f>
        <v>ФКУ ЦИТОВ ГУФСИН РОССИИ ПО РОСТОВСКОЙ ОБЛАСТИ</v>
      </c>
      <c r="B11967" s="24" t="s">
        <v>14266</v>
      </c>
      <c r="C11967" s="25">
        <v>1436243.08</v>
      </c>
      <c r="D11967" s="22" t="s">
        <v>14267</v>
      </c>
      <c r="E11967" s="22" t="s">
        <v>208</v>
      </c>
      <c r="F11967" s="23" t="str">
        <f>HYPERLINK("https://www.spark-marketing.ru/Card/Lot/68853486", "Приобритение товаров для обслуживание средств противопожарной автоматике")</f>
        <v>Приобритение товаров для обслуживание средств противопожарной автоматике</v>
      </c>
      <c r="G11967" s="22" t="s">
        <v>402</v>
      </c>
      <c r="H11967" s="22" t="s">
        <v>403</v>
      </c>
      <c r="I11967" s="26">
        <v>43543.707638888904</v>
      </c>
      <c r="J11967" s="23" t="str">
        <f>HYPERLINK("https://www.spark-marketing.ru/Card/Person/1215309", "ООО ""МУЛЬТИСИСТЕМЫ""")</f>
        <v>ООО "МУЛЬТИСИСТЕМЫ"</v>
      </c>
      <c r="K11967" s="24" t="s">
        <v>3297</v>
      </c>
      <c r="L11967" s="28" t="s">
        <v>52</v>
      </c>
      <c r="M11967" s="25">
        <v>1177648.56</v>
      </c>
      <c r="N11967" s="27">
        <v>0.18004927132529683</v>
      </c>
    </row>
    <row r="11968" spans="1:14" ht="12.75" hidden="1" outlineLevel="1" x14ac:dyDescent="0.2">
      <c r="A11968" s="23" t="str">
        <f>HYPERLINK("https://www.spark-marketing.ru/Card/Person/1037654", "ФКУ ЦИТОВ ГУФСИН РОССИИ ПО РОСТОВСКОЙ ОБЛАСТИ")</f>
        <v>ФКУ ЦИТОВ ГУФСИН РОССИИ ПО РОСТОВСКОЙ ОБЛАСТИ</v>
      </c>
      <c r="B11968" s="24" t="s">
        <v>14266</v>
      </c>
      <c r="C11968" s="25">
        <v>1436243.08</v>
      </c>
      <c r="D11968" s="22" t="s">
        <v>14267</v>
      </c>
      <c r="E11968" s="22" t="s">
        <v>208</v>
      </c>
      <c r="F11968" s="23" t="str">
        <f>HYPERLINK("https://www.spark-marketing.ru/Card/Lot/68853486", "Приобритение товаров для обслуживание средств противопожарной автоматике")</f>
        <v>Приобритение товаров для обслуживание средств противопожарной автоматике</v>
      </c>
      <c r="G11968" s="22" t="s">
        <v>402</v>
      </c>
      <c r="H11968" s="22" t="s">
        <v>403</v>
      </c>
      <c r="I11968" s="26">
        <v>43543.707638888904</v>
      </c>
      <c r="J11968" s="23" t="str">
        <f>HYPERLINK("https://www.spark-marketing.ru/Card/Person/470113", "ООО ""АЛАРМ СЕРВИС""")</f>
        <v>ООО "АЛАРМ СЕРВИС"</v>
      </c>
      <c r="K11968" s="24" t="s">
        <v>6025</v>
      </c>
      <c r="L11968" s="22" t="s">
        <v>10</v>
      </c>
      <c r="M11968" s="25">
        <v>1156104</v>
      </c>
      <c r="N11968" s="27">
        <v>0.19504990756857118</v>
      </c>
    </row>
    <row r="11969" spans="1:14" hidden="1" outlineLevel="1" x14ac:dyDescent="0.2">
      <c r="A11969" s="23" t="str">
        <f>HYPERLINK("https://www.spark-marketing.ru/Card/Person/1037654", "ФКУ ЦИТОВ ГУФСИН РОССИИ ПО РОСТОВСКОЙ ОБЛАСТИ")</f>
        <v>ФКУ ЦИТОВ ГУФСИН РОССИИ ПО РОСТОВСКОЙ ОБЛАСТИ</v>
      </c>
      <c r="B11969" s="24" t="s">
        <v>14266</v>
      </c>
      <c r="C11969" s="25">
        <v>1436243.08</v>
      </c>
      <c r="D11969" s="22" t="s">
        <v>14267</v>
      </c>
      <c r="E11969" s="22" t="s">
        <v>208</v>
      </c>
      <c r="F11969" s="23" t="str">
        <f>HYPERLINK("https://www.spark-marketing.ru/Card/Lot/68853486", "Приобритение товаров для обслуживание средств противопожарной автоматике")</f>
        <v>Приобритение товаров для обслуживание средств противопожарной автоматике</v>
      </c>
      <c r="G11969" s="22" t="s">
        <v>402</v>
      </c>
      <c r="H11969" s="22" t="s">
        <v>403</v>
      </c>
      <c r="I11969" s="26">
        <v>43543.707638888904</v>
      </c>
      <c r="J11969" s="23" t="str">
        <f>HYPERLINK("https://www.spark-marketing.ru/Card/Person/784524", "ООО ""ФОРТ-АСТЕЛ""")</f>
        <v>ООО "ФОРТ-АСТЕЛ"</v>
      </c>
      <c r="K11969" s="24" t="s">
        <v>14268</v>
      </c>
      <c r="L11969" s="28" t="s">
        <v>52</v>
      </c>
      <c r="M11969" s="25">
        <v>1156104</v>
      </c>
      <c r="N11969" s="27">
        <v>0.19504990756857118</v>
      </c>
    </row>
    <row r="11970" spans="1:14" x14ac:dyDescent="0.15">
      <c r="A11970" s="23" t="str">
        <f>HYPERLINK("https://www.spark-marketing.ru/Card/Person/62451", "ЗАПАДНО-СИБИРСКОЕ СУТ СК РОССИИ")</f>
        <v>ЗАПАДНО-СИБИРСКОЕ СУТ СК РОССИИ</v>
      </c>
      <c r="B11970" s="24" t="s">
        <v>11238</v>
      </c>
      <c r="C11970" s="25">
        <v>94110.6</v>
      </c>
      <c r="D11970" s="22" t="s">
        <v>14269</v>
      </c>
      <c r="E11970" s="22" t="s">
        <v>68</v>
      </c>
      <c r="F11970" s="23" t="str">
        <f>HYPERLINK("https://www.spark-marketing.ru/Card/Lot/68844053", "Оказание услуг по централизованной охране объекта Западно-Сибирского следственного управления на транспорте Следственного комитета Российской Федерации (г. Белово)")</f>
        <v>Оказание услуг по централизованной охране объекта Западно-Сибирского следственного управления на транспорте Следственного комитета Российской Федерации (г. Белово)</v>
      </c>
      <c r="G11970" s="22" t="s">
        <v>367</v>
      </c>
      <c r="H11970" s="22" t="s">
        <v>6850</v>
      </c>
      <c r="I11970" s="26">
        <v>43543.706944444399</v>
      </c>
      <c r="J11970" s="28" t="s">
        <v>52</v>
      </c>
      <c r="K11970" s="28" t="s">
        <v>52</v>
      </c>
      <c r="L11970" s="28" t="s">
        <v>52</v>
      </c>
      <c r="M11970" s="28" t="s">
        <v>52</v>
      </c>
      <c r="N11970" s="28" t="s">
        <v>52</v>
      </c>
    </row>
    <row r="11971" spans="1:14" x14ac:dyDescent="0.15">
      <c r="A11971" s="23" t="str">
        <f>HYPERLINK("https://www.spark-marketing.ru/Card/Person/12376", "ФКУ ""ЦХИСО УМВД РОССИИ ПО МУРМАНСКОЙ ОБЛАСТИ""")</f>
        <v>ФКУ "ЦХИСО УМВД РОССИИ ПО МУРМАНСКОЙ ОБЛАСТИ"</v>
      </c>
      <c r="B11971" s="24" t="s">
        <v>8074</v>
      </c>
      <c r="C11971" s="25">
        <v>97920</v>
      </c>
      <c r="D11971" s="22" t="s">
        <v>14270</v>
      </c>
      <c r="E11971" s="22" t="s">
        <v>53</v>
      </c>
      <c r="F11971" s="23" t="str">
        <f>HYPERLINK("https://www.spark-marketing.ru/Card/Lot/70802631", "услуги физической охраны, 1 шт")</f>
        <v>услуги физической охраны, 1 шт</v>
      </c>
      <c r="G11971" s="22" t="s">
        <v>190</v>
      </c>
      <c r="H11971" s="22" t="s">
        <v>191</v>
      </c>
      <c r="I11971" s="26">
        <v>43543.695752314801</v>
      </c>
      <c r="J11971" s="28" t="s">
        <v>52</v>
      </c>
      <c r="K11971" s="28" t="s">
        <v>52</v>
      </c>
      <c r="L11971" s="28" t="s">
        <v>52</v>
      </c>
      <c r="M11971" s="28" t="s">
        <v>52</v>
      </c>
      <c r="N11971" s="28" t="s">
        <v>52</v>
      </c>
    </row>
    <row r="11972" spans="1:14" x14ac:dyDescent="0.15">
      <c r="A11972" s="23" t="str">
        <f>HYPERLINK("https://www.spark-marketing.ru/Card/Person/12376", "ФКУ ""ЦХИСО УМВД РОССИИ ПО МУРМАНСКОЙ ОБЛАСТИ""")</f>
        <v>ФКУ "ЦХИСО УМВД РОССИИ ПО МУРМАНСКОЙ ОБЛАСТИ"</v>
      </c>
      <c r="B11972" s="24" t="s">
        <v>8074</v>
      </c>
      <c r="C11972" s="25">
        <v>39100</v>
      </c>
      <c r="D11972" s="22" t="s">
        <v>14271</v>
      </c>
      <c r="E11972" s="22" t="s">
        <v>53</v>
      </c>
      <c r="F11972" s="23" t="str">
        <f>HYPERLINK("https://www.spark-marketing.ru/Card/Lot/70804225", "услуги физической охраны, 1 шт")</f>
        <v>услуги физической охраны, 1 шт</v>
      </c>
      <c r="G11972" s="22" t="s">
        <v>190</v>
      </c>
      <c r="H11972" s="22" t="s">
        <v>191</v>
      </c>
      <c r="I11972" s="26">
        <v>43543.685277777797</v>
      </c>
      <c r="J11972" s="28" t="s">
        <v>52</v>
      </c>
      <c r="K11972" s="28" t="s">
        <v>52</v>
      </c>
      <c r="L11972" s="28" t="s">
        <v>52</v>
      </c>
      <c r="M11972" s="28" t="s">
        <v>52</v>
      </c>
      <c r="N11972" s="28" t="s">
        <v>52</v>
      </c>
    </row>
    <row r="11973" spans="1:14" x14ac:dyDescent="0.15">
      <c r="A11973" s="23" t="str">
        <f>HYPERLINK("https://www.spark-marketing.ru/Card/Person/1053249", "УПРАВЛЕНИЕ ГЗ")</f>
        <v>УПРАВЛЕНИЕ ГЗ</v>
      </c>
      <c r="B11973" s="24" t="s">
        <v>9404</v>
      </c>
      <c r="C11973" s="25">
        <v>1664000</v>
      </c>
      <c r="D11973" s="22" t="s">
        <v>14272</v>
      </c>
      <c r="E11973" s="22" t="s">
        <v>1647</v>
      </c>
      <c r="F11973" s="23" t="str">
        <f>HYPERLINK("https://www.spark-marketing.ru/Card/Lot/68846434", "услуги по обеспечению территории Чусовского городского поселения системой видеонаблюдения")</f>
        <v>услуги по обеспечению территории Чусовского городского поселения системой видеонаблюдения</v>
      </c>
      <c r="G11973" s="22" t="s">
        <v>391</v>
      </c>
      <c r="H11973" s="22" t="s">
        <v>391</v>
      </c>
      <c r="I11973" s="26">
        <v>43543.666666666701</v>
      </c>
      <c r="J11973" s="28" t="s">
        <v>52</v>
      </c>
      <c r="K11973" s="28" t="s">
        <v>52</v>
      </c>
      <c r="L11973" s="28" t="s">
        <v>52</v>
      </c>
      <c r="M11973" s="28" t="s">
        <v>52</v>
      </c>
      <c r="N11973" s="28" t="s">
        <v>52</v>
      </c>
    </row>
    <row r="11974" spans="1:14" ht="12.75" hidden="1" outlineLevel="1" x14ac:dyDescent="0.2">
      <c r="A11974" s="23" t="str">
        <f>HYPERLINK("https://www.spark-marketing.ru/Card/Person/1053249", "УПРАВЛЕНИЕ ГЗ")</f>
        <v>УПРАВЛЕНИЕ ГЗ</v>
      </c>
      <c r="B11974" s="24" t="s">
        <v>9404</v>
      </c>
      <c r="C11974" s="25">
        <v>1664000</v>
      </c>
      <c r="D11974" s="22" t="s">
        <v>14272</v>
      </c>
      <c r="E11974" s="22" t="s">
        <v>1647</v>
      </c>
      <c r="F11974" s="23" t="str">
        <f>HYPERLINK("https://www.spark-marketing.ru/Card/Lot/68846434", "услуги по обеспечению территории Чусовского городского поселения системой видеонаблюдения")</f>
        <v>услуги по обеспечению территории Чусовского городского поселения системой видеонаблюдения</v>
      </c>
      <c r="G11974" s="22" t="s">
        <v>391</v>
      </c>
      <c r="H11974" s="22" t="s">
        <v>391</v>
      </c>
      <c r="I11974" s="26">
        <v>43543.666666666701</v>
      </c>
      <c r="J11974" s="23" t="str">
        <f>HYPERLINK("https://www.spark-marketing.ru/Card/Person/6486376", "ООО ""СПБ""")</f>
        <v>ООО "СПБ"</v>
      </c>
      <c r="K11974" s="24" t="s">
        <v>14273</v>
      </c>
      <c r="L11974" s="22" t="s">
        <v>10</v>
      </c>
      <c r="M11974" s="25">
        <v>1231360</v>
      </c>
      <c r="N11974" s="27">
        <v>0.26</v>
      </c>
    </row>
    <row r="11975" spans="1:14" hidden="1" outlineLevel="1" x14ac:dyDescent="0.2">
      <c r="A11975" s="23" t="str">
        <f>HYPERLINK("https://www.spark-marketing.ru/Card/Person/1053249", "УПРАВЛЕНИЕ ГЗ")</f>
        <v>УПРАВЛЕНИЕ ГЗ</v>
      </c>
      <c r="B11975" s="24" t="s">
        <v>9404</v>
      </c>
      <c r="C11975" s="25">
        <v>1664000</v>
      </c>
      <c r="D11975" s="22" t="s">
        <v>14272</v>
      </c>
      <c r="E11975" s="22" t="s">
        <v>1647</v>
      </c>
      <c r="F11975" s="23" t="str">
        <f>HYPERLINK("https://www.spark-marketing.ru/Card/Lot/68846434", "услуги по обеспечению территории Чусовского городского поселения системой видеонаблюдения")</f>
        <v>услуги по обеспечению территории Чусовского городского поселения системой видеонаблюдения</v>
      </c>
      <c r="G11975" s="22" t="s">
        <v>391</v>
      </c>
      <c r="H11975" s="22" t="s">
        <v>391</v>
      </c>
      <c r="I11975" s="26">
        <v>43543.666666666701</v>
      </c>
      <c r="J11975" s="23" t="str">
        <f>HYPERLINK("https://www.spark-marketing.ru/Card/Person/130488", "Сычев Владимир Евгеньевич")</f>
        <v>Сычев Владимир Евгеньевич</v>
      </c>
      <c r="K11975" s="24" t="s">
        <v>14274</v>
      </c>
      <c r="L11975" s="28" t="s">
        <v>52</v>
      </c>
      <c r="M11975" s="25">
        <v>1497600</v>
      </c>
      <c r="N11975" s="27">
        <v>0.1</v>
      </c>
    </row>
    <row r="11976" spans="1:14" hidden="1" outlineLevel="1" x14ac:dyDescent="0.2">
      <c r="A11976" s="23" t="str">
        <f>HYPERLINK("https://www.spark-marketing.ru/Card/Person/1053249", "УПРАВЛЕНИЕ ГЗ")</f>
        <v>УПРАВЛЕНИЕ ГЗ</v>
      </c>
      <c r="B11976" s="24" t="s">
        <v>9404</v>
      </c>
      <c r="C11976" s="25">
        <v>1664000</v>
      </c>
      <c r="D11976" s="22" t="s">
        <v>14272</v>
      </c>
      <c r="E11976" s="22" t="s">
        <v>1647</v>
      </c>
      <c r="F11976" s="23" t="str">
        <f>HYPERLINK("https://www.spark-marketing.ru/Card/Lot/68846434", "услуги по обеспечению территории Чусовского городского поселения системой видеонаблюдения")</f>
        <v>услуги по обеспечению территории Чусовского городского поселения системой видеонаблюдения</v>
      </c>
      <c r="G11976" s="22" t="s">
        <v>391</v>
      </c>
      <c r="H11976" s="22" t="s">
        <v>391</v>
      </c>
      <c r="I11976" s="26">
        <v>43543.666666666701</v>
      </c>
      <c r="J11976" s="23" t="str">
        <f>HYPERLINK("https://www.spark-marketing.ru/Card/Person/12789", "АО ""ЭР-ТЕЛЕКОМ ХОЛДИНГ""")</f>
        <v>АО "ЭР-ТЕЛЕКОМ ХОЛДИНГ"</v>
      </c>
      <c r="K11976" s="24" t="s">
        <v>3100</v>
      </c>
      <c r="L11976" s="28" t="s">
        <v>52</v>
      </c>
      <c r="M11976" s="25">
        <v>1239680</v>
      </c>
      <c r="N11976" s="27">
        <v>0.255</v>
      </c>
    </row>
    <row r="11977" spans="1:14" x14ac:dyDescent="0.15">
      <c r="A11977" s="23" t="str">
        <f>HYPERLINK("https://www.spark-marketing.ru/Card/Person/4365603", "ООО ""ГАЗПРОМ ДОБЫЧА КРАСНОДАР""")</f>
        <v>ООО "ГАЗПРОМ ДОБЫЧА КРАСНОДАР"</v>
      </c>
      <c r="B11977" s="24" t="s">
        <v>14275</v>
      </c>
      <c r="C11977" s="25">
        <v>139000</v>
      </c>
      <c r="D11977" s="22" t="s">
        <v>14276</v>
      </c>
      <c r="E11977" s="22" t="s">
        <v>14277</v>
      </c>
      <c r="F11977" s="23" t="str">
        <f>HYPERLINK("https://www.spark-marketing.ru/Card/Lot/68848255", "Оказание услуг по установке и настройке приборов видео регистрации 2-х стороннего действия на транспортные средства филиала ООО ""Газпром добыча Краснодар"" - ЛПУМТ")</f>
        <v>Оказание услуг по установке и настройке приборов видео регистрации 2-х стороннего действия на транспортные средства филиала ООО "Газпром добыча Краснодар" - ЛПУМТ</v>
      </c>
      <c r="G11977" s="22" t="s">
        <v>132</v>
      </c>
      <c r="H11977" s="22" t="s">
        <v>652</v>
      </c>
      <c r="I11977" s="26">
        <v>43543.690856481502</v>
      </c>
      <c r="J11977" s="23" t="str">
        <f>HYPERLINK("https://www.spark-marketing.ru/Card/Person/295269", "ООО ""ВЕСТА""")</f>
        <v>ООО "ВЕСТА"</v>
      </c>
      <c r="K11977" s="24" t="s">
        <v>14278</v>
      </c>
      <c r="L11977" s="28" t="s">
        <v>52</v>
      </c>
      <c r="M11977" s="28" t="s">
        <v>52</v>
      </c>
      <c r="N11977" s="28" t="s">
        <v>52</v>
      </c>
    </row>
    <row r="11978" spans="1:14" x14ac:dyDescent="0.15">
      <c r="A11978" s="23" t="str">
        <f t="shared" ref="A11978:A11983" si="615">HYPERLINK("https://www.spark-marketing.ru/Card/Person/45380", "КГБУЗ ""ГОРОДСКАЯ БОЛЬНИЦА № 4""")</f>
        <v>КГБУЗ "ГОРОДСКАЯ БОЛЬНИЦА № 4"</v>
      </c>
      <c r="B11978" s="24" t="s">
        <v>14279</v>
      </c>
      <c r="C11978" s="25">
        <v>142800</v>
      </c>
      <c r="D11978" s="22" t="s">
        <v>14280</v>
      </c>
      <c r="E11978" s="22" t="s">
        <v>103</v>
      </c>
      <c r="F11978" s="23" t="str">
        <f t="shared" ref="F11978:F11983" si="616">HYPERLINK("https://www.spark-marketing.ru/Card/Lot/68823641", "Оказание услуг по техническому обслуживанию системы видеонаблюдения")</f>
        <v>Оказание услуг по техническому обслуживанию системы видеонаблюдения</v>
      </c>
      <c r="G11978" s="22" t="s">
        <v>138</v>
      </c>
      <c r="H11978" s="22" t="s">
        <v>139</v>
      </c>
      <c r="I11978" s="26">
        <v>43543.645138888904</v>
      </c>
      <c r="J11978" s="28" t="s">
        <v>52</v>
      </c>
      <c r="K11978" s="28" t="s">
        <v>52</v>
      </c>
      <c r="L11978" s="28" t="s">
        <v>52</v>
      </c>
      <c r="M11978" s="28" t="s">
        <v>52</v>
      </c>
      <c r="N11978" s="28" t="s">
        <v>52</v>
      </c>
    </row>
    <row r="11979" spans="1:14" hidden="1" outlineLevel="1" x14ac:dyDescent="0.2">
      <c r="A11979" s="23" t="str">
        <f t="shared" si="615"/>
        <v>КГБУЗ "ГОРОДСКАЯ БОЛЬНИЦА № 4"</v>
      </c>
      <c r="B11979" s="24" t="s">
        <v>14279</v>
      </c>
      <c r="C11979" s="25">
        <v>142800</v>
      </c>
      <c r="D11979" s="22" t="s">
        <v>14280</v>
      </c>
      <c r="E11979" s="22" t="s">
        <v>103</v>
      </c>
      <c r="F11979" s="23" t="str">
        <f t="shared" si="616"/>
        <v>Оказание услуг по техническому обслуживанию системы видеонаблюдения</v>
      </c>
      <c r="G11979" s="22" t="s">
        <v>138</v>
      </c>
      <c r="H11979" s="22" t="s">
        <v>139</v>
      </c>
      <c r="I11979" s="26">
        <v>43543.645138888904</v>
      </c>
      <c r="J11979" s="23" t="str">
        <f>HYPERLINK("https://www.spark-marketing.ru/Card/Person/190384", "ООО ""ТСК "" АЗИМУТ""")</f>
        <v>ООО "ТСК " АЗИМУТ"</v>
      </c>
      <c r="K11979" s="24" t="s">
        <v>2697</v>
      </c>
      <c r="L11979" s="28" t="s">
        <v>52</v>
      </c>
      <c r="M11979" s="25">
        <v>15728</v>
      </c>
      <c r="N11979" s="27">
        <v>0.88985994397759105</v>
      </c>
    </row>
    <row r="11980" spans="1:14" ht="12.75" hidden="1" outlineLevel="1" x14ac:dyDescent="0.2">
      <c r="A11980" s="23" t="str">
        <f t="shared" si="615"/>
        <v>КГБУЗ "ГОРОДСКАЯ БОЛЬНИЦА № 4"</v>
      </c>
      <c r="B11980" s="24" t="s">
        <v>14279</v>
      </c>
      <c r="C11980" s="25">
        <v>142800</v>
      </c>
      <c r="D11980" s="22" t="s">
        <v>14280</v>
      </c>
      <c r="E11980" s="22" t="s">
        <v>103</v>
      </c>
      <c r="F11980" s="23" t="str">
        <f t="shared" si="616"/>
        <v>Оказание услуг по техническому обслуживанию системы видеонаблюдения</v>
      </c>
      <c r="G11980" s="22" t="s">
        <v>138</v>
      </c>
      <c r="H11980" s="22" t="s">
        <v>139</v>
      </c>
      <c r="I11980" s="26">
        <v>43543.645138888904</v>
      </c>
      <c r="J11980" s="23" t="str">
        <f>HYPERLINK("https://www.spark-marketing.ru/Card/Person/6464736", "Макаров Алексей Андреевич")</f>
        <v>Макаров Алексей Андреевич</v>
      </c>
      <c r="K11980" s="24" t="s">
        <v>4262</v>
      </c>
      <c r="L11980" s="22" t="s">
        <v>10</v>
      </c>
      <c r="M11980" s="25">
        <v>15014</v>
      </c>
      <c r="N11980" s="27">
        <v>0.89485994397759105</v>
      </c>
    </row>
    <row r="11981" spans="1:14" hidden="1" outlineLevel="1" x14ac:dyDescent="0.2">
      <c r="A11981" s="23" t="str">
        <f t="shared" si="615"/>
        <v>КГБУЗ "ГОРОДСКАЯ БОЛЬНИЦА № 4"</v>
      </c>
      <c r="B11981" s="24" t="s">
        <v>14279</v>
      </c>
      <c r="C11981" s="25">
        <v>142800</v>
      </c>
      <c r="D11981" s="22" t="s">
        <v>14280</v>
      </c>
      <c r="E11981" s="22" t="s">
        <v>103</v>
      </c>
      <c r="F11981" s="23" t="str">
        <f t="shared" si="616"/>
        <v>Оказание услуг по техническому обслуживанию системы видеонаблюдения</v>
      </c>
      <c r="G11981" s="22" t="s">
        <v>138</v>
      </c>
      <c r="H11981" s="22" t="s">
        <v>139</v>
      </c>
      <c r="I11981" s="26">
        <v>43543.645138888904</v>
      </c>
      <c r="J11981" s="23" t="str">
        <f>HYPERLINK("https://www.spark-marketing.ru/Card/Person/2595628", "ООО ""ЧОО ""ГАРТ""")</f>
        <v>ООО "ЧОО "ГАРТ"</v>
      </c>
      <c r="K11981" s="24" t="s">
        <v>2984</v>
      </c>
      <c r="L11981" s="28" t="s">
        <v>52</v>
      </c>
      <c r="M11981" s="25">
        <v>121380</v>
      </c>
      <c r="N11981" s="27">
        <v>0.15</v>
      </c>
    </row>
    <row r="11982" spans="1:14" hidden="1" outlineLevel="1" x14ac:dyDescent="0.2">
      <c r="A11982" s="23" t="str">
        <f t="shared" si="615"/>
        <v>КГБУЗ "ГОРОДСКАЯ БОЛЬНИЦА № 4"</v>
      </c>
      <c r="B11982" s="24" t="s">
        <v>14279</v>
      </c>
      <c r="C11982" s="25">
        <v>142800</v>
      </c>
      <c r="D11982" s="22" t="s">
        <v>14280</v>
      </c>
      <c r="E11982" s="22" t="s">
        <v>103</v>
      </c>
      <c r="F11982" s="23" t="str">
        <f t="shared" si="616"/>
        <v>Оказание услуг по техническому обслуживанию системы видеонаблюдения</v>
      </c>
      <c r="G11982" s="22" t="s">
        <v>138</v>
      </c>
      <c r="H11982" s="22" t="s">
        <v>139</v>
      </c>
      <c r="I11982" s="26">
        <v>43543.645138888904</v>
      </c>
      <c r="J11982" s="23" t="str">
        <f>HYPERLINK("https://www.spark-marketing.ru/Card/Person/32537", "ООО ""ОСУ - ДВ""")</f>
        <v>ООО "ОСУ - ДВ"</v>
      </c>
      <c r="K11982" s="24" t="s">
        <v>14281</v>
      </c>
      <c r="L11982" s="28" t="s">
        <v>52</v>
      </c>
      <c r="M11982" s="25">
        <v>55200</v>
      </c>
      <c r="N11982" s="27">
        <v>0.61344537815126055</v>
      </c>
    </row>
    <row r="11983" spans="1:14" hidden="1" outlineLevel="1" x14ac:dyDescent="0.2">
      <c r="A11983" s="23" t="str">
        <f t="shared" si="615"/>
        <v>КГБУЗ "ГОРОДСКАЯ БОЛЬНИЦА № 4"</v>
      </c>
      <c r="B11983" s="24" t="s">
        <v>14279</v>
      </c>
      <c r="C11983" s="25">
        <v>142800</v>
      </c>
      <c r="D11983" s="22" t="s">
        <v>14280</v>
      </c>
      <c r="E11983" s="22" t="s">
        <v>103</v>
      </c>
      <c r="F11983" s="23" t="str">
        <f t="shared" si="616"/>
        <v>Оказание услуг по техническому обслуживанию системы видеонаблюдения</v>
      </c>
      <c r="G11983" s="22" t="s">
        <v>138</v>
      </c>
      <c r="H11983" s="22" t="s">
        <v>139</v>
      </c>
      <c r="I11983" s="26">
        <v>43543.645138888904</v>
      </c>
      <c r="J11983" s="23" t="str">
        <f>HYPERLINK("https://www.spark-marketing.ru/Card/Person/470449", "ООО ""ПОЖАРНАЯ ЗАЩИТА""")</f>
        <v>ООО "ПОЖАРНАЯ ЗАЩИТА"</v>
      </c>
      <c r="K11983" s="24" t="s">
        <v>14282</v>
      </c>
      <c r="L11983" s="28" t="s">
        <v>52</v>
      </c>
      <c r="M11983" s="25">
        <v>49200</v>
      </c>
      <c r="N11983" s="27">
        <v>0.65546218487394958</v>
      </c>
    </row>
    <row r="11984" spans="1:14" x14ac:dyDescent="0.15">
      <c r="A11984" s="23" t="str">
        <f>HYPERLINK("https://www.spark-marketing.ru/Card/Person/139981", "ФГКДОУ ""ДЕТСКИЕ ЯСЛИ-САД ""СКАЗКА"" МВД РОССИИ""")</f>
        <v>ФГКДОУ "ДЕТСКИЕ ЯСЛИ-САД "СКАЗКА" МВД РОССИИ"</v>
      </c>
      <c r="B11984" s="24" t="s">
        <v>14283</v>
      </c>
      <c r="C11984" s="25">
        <v>4958</v>
      </c>
      <c r="D11984" s="22" t="s">
        <v>14284</v>
      </c>
      <c r="E11984" s="22" t="s">
        <v>53</v>
      </c>
      <c r="F11984" s="23" t="str">
        <f>HYPERLINK("https://www.spark-marketing.ru/Card/Lot/70805418", "Услуги по техническому обслуживанию средств охраны")</f>
        <v>Услуги по техническому обслуживанию средств охраны</v>
      </c>
      <c r="G11984" s="22" t="s">
        <v>1053</v>
      </c>
      <c r="H11984" s="22" t="s">
        <v>3239</v>
      </c>
      <c r="I11984" s="26">
        <v>43543.633240740703</v>
      </c>
      <c r="J11984" s="28" t="s">
        <v>52</v>
      </c>
      <c r="K11984" s="28" t="s">
        <v>52</v>
      </c>
      <c r="L11984" s="28" t="s">
        <v>52</v>
      </c>
      <c r="M11984" s="28" t="s">
        <v>52</v>
      </c>
      <c r="N11984" s="28" t="s">
        <v>52</v>
      </c>
    </row>
    <row r="11985" spans="1:14" x14ac:dyDescent="0.15">
      <c r="A11985" s="23" t="str">
        <f>HYPERLINK("https://www.spark-marketing.ru/Card/Person/49713", "МОУ СОШ № 19")</f>
        <v>МОУ СОШ № 19</v>
      </c>
      <c r="B11985" s="24" t="s">
        <v>14285</v>
      </c>
      <c r="C11985" s="25">
        <v>119700</v>
      </c>
      <c r="D11985" s="22" t="s">
        <v>14286</v>
      </c>
      <c r="E11985" s="22" t="s">
        <v>194</v>
      </c>
      <c r="F11985" s="23" t="str">
        <f>HYPERLINK("https://www.spark-marketing.ru/Card/Lot/68842052", "Приобретение, установка и ввод в эксплуатацию видеокамер в пункте проведения экзаменов ЕГЭ")</f>
        <v>Приобретение, установка и ввод в эксплуатацию видеокамер в пункте проведения экзаменов ЕГЭ</v>
      </c>
      <c r="G11985" s="22" t="s">
        <v>50</v>
      </c>
      <c r="H11985" s="22" t="s">
        <v>569</v>
      </c>
      <c r="I11985" s="26">
        <v>43543.627916666701</v>
      </c>
      <c r="J11985" s="28" t="s">
        <v>52</v>
      </c>
      <c r="K11985" s="28" t="s">
        <v>52</v>
      </c>
      <c r="L11985" s="28" t="s">
        <v>52</v>
      </c>
      <c r="M11985" s="28" t="s">
        <v>52</v>
      </c>
      <c r="N11985" s="28" t="s">
        <v>52</v>
      </c>
    </row>
    <row r="11986" spans="1:14" x14ac:dyDescent="0.15">
      <c r="A11986" s="23" t="str">
        <f>HYPERLINK("https://www.spark-marketing.ru/Card/Person/363735", "МУРМАНСКСТАТ")</f>
        <v>МУРМАНСКСТАТ</v>
      </c>
      <c r="B11986" s="24" t="s">
        <v>12767</v>
      </c>
      <c r="C11986" s="25">
        <v>8288.16</v>
      </c>
      <c r="D11986" s="22" t="s">
        <v>14287</v>
      </c>
      <c r="E11986" s="22" t="s">
        <v>53</v>
      </c>
      <c r="F11986" s="23" t="str">
        <f>HYPERLINK("https://www.spark-marketing.ru/Card/Lot/70804019", "Охрана объекта при помощи тревожной сигнализации")</f>
        <v>Охрана объекта при помощи тревожной сигнализации</v>
      </c>
      <c r="G11986" s="22" t="s">
        <v>190</v>
      </c>
      <c r="H11986" s="22" t="s">
        <v>191</v>
      </c>
      <c r="I11986" s="26">
        <v>43543.606053240699</v>
      </c>
      <c r="J11986" s="28" t="s">
        <v>52</v>
      </c>
      <c r="K11986" s="28" t="s">
        <v>52</v>
      </c>
      <c r="L11986" s="28" t="s">
        <v>52</v>
      </c>
      <c r="M11986" s="28" t="s">
        <v>52</v>
      </c>
      <c r="N11986" s="28" t="s">
        <v>52</v>
      </c>
    </row>
    <row r="11987" spans="1:14" x14ac:dyDescent="0.15">
      <c r="A11987" s="23" t="str">
        <f>HYPERLINK("https://www.spark-marketing.ru/Card/Person/541757", "ЕМУП ""СПЕЦАВТОБАЗА""")</f>
        <v>ЕМУП "СПЕЦАВТОБАЗА"</v>
      </c>
      <c r="B11987" s="24" t="s">
        <v>14288</v>
      </c>
      <c r="C11987" s="25">
        <v>1486832</v>
      </c>
      <c r="D11987" s="22" t="s">
        <v>14289</v>
      </c>
      <c r="E11987" s="22" t="s">
        <v>2204</v>
      </c>
      <c r="F11987" s="23" t="str">
        <f>HYPERLINK("https://www.spark-marketing.ru/Card/Lot/68830970", "Поставка услуг и работ по установке системы видеонаблюдения")</f>
        <v>Поставка услуг и работ по установке системы видеонаблюдения</v>
      </c>
      <c r="G11987" s="22" t="s">
        <v>72</v>
      </c>
      <c r="H11987" s="22" t="s">
        <v>72</v>
      </c>
      <c r="I11987" s="26">
        <v>43543.556458333303</v>
      </c>
      <c r="J11987" s="28" t="s">
        <v>52</v>
      </c>
      <c r="K11987" s="28" t="s">
        <v>52</v>
      </c>
      <c r="L11987" s="28" t="s">
        <v>52</v>
      </c>
      <c r="M11987" s="28" t="s">
        <v>52</v>
      </c>
      <c r="N11987" s="28" t="s">
        <v>52</v>
      </c>
    </row>
    <row r="11988" spans="1:14" x14ac:dyDescent="0.15">
      <c r="A11988" s="23" t="str">
        <f>HYPERLINK("https://www.spark-marketing.ru/Card/Person/136319", "МУ МВД РОССИИ ""БИЙСКОЕ""")</f>
        <v>МУ МВД РОССИИ "БИЙСКОЕ"</v>
      </c>
      <c r="B11988" s="24" t="s">
        <v>13030</v>
      </c>
      <c r="C11988" s="25">
        <v>8223.84</v>
      </c>
      <c r="D11988" s="22" t="s">
        <v>14290</v>
      </c>
      <c r="E11988" s="22" t="s">
        <v>53</v>
      </c>
      <c r="F11988" s="23" t="str">
        <f>HYPERLINK("https://www.spark-marketing.ru/Card/Lot/70805255", "Услуги по выполнению эксплуатационно-технического обслуживания технических средств охраны")</f>
        <v>Услуги по выполнению эксплуатационно-технического обслуживания технических средств охраны</v>
      </c>
      <c r="G11988" s="22" t="s">
        <v>428</v>
      </c>
      <c r="H11988" s="22" t="s">
        <v>5346</v>
      </c>
      <c r="I11988" s="26">
        <v>43543.576886574097</v>
      </c>
      <c r="J11988" s="28" t="s">
        <v>52</v>
      </c>
      <c r="K11988" s="28" t="s">
        <v>52</v>
      </c>
      <c r="L11988" s="28" t="s">
        <v>52</v>
      </c>
      <c r="M11988" s="28" t="s">
        <v>52</v>
      </c>
      <c r="N11988" s="28" t="s">
        <v>52</v>
      </c>
    </row>
    <row r="11989" spans="1:14" x14ac:dyDescent="0.15">
      <c r="A11989" s="23" t="str">
        <f>HYPERLINK("https://www.spark-marketing.ru/Card/Person/1003573", "ГБУЗ НСО""КСП №3""")</f>
        <v>ГБУЗ НСО"КСП №3"</v>
      </c>
      <c r="B11989" s="24" t="s">
        <v>14291</v>
      </c>
      <c r="C11989" s="25">
        <v>31902.959999999999</v>
      </c>
      <c r="D11989" s="22" t="s">
        <v>14292</v>
      </c>
      <c r="E11989" s="22" t="s">
        <v>68</v>
      </c>
      <c r="F11989" s="23" t="str">
        <f>HYPERLINK("https://www.spark-marketing.ru/Card/Lot/68831257", "контроль за состоянием средств тревожной сигнализации и вызов наряда вневедомственной охраны")</f>
        <v>контроль за состоянием средств тревожной сигнализации и вызов наряда вневедомственной охраны</v>
      </c>
      <c r="G11989" s="22" t="s">
        <v>209</v>
      </c>
      <c r="H11989" s="22" t="s">
        <v>210</v>
      </c>
      <c r="I11989" s="26">
        <v>43543.516666666699</v>
      </c>
      <c r="J11989" s="28" t="s">
        <v>52</v>
      </c>
      <c r="K11989" s="28" t="s">
        <v>52</v>
      </c>
      <c r="L11989" s="28" t="s">
        <v>52</v>
      </c>
      <c r="M11989" s="28" t="s">
        <v>52</v>
      </c>
      <c r="N11989" s="28" t="s">
        <v>52</v>
      </c>
    </row>
    <row r="11990" spans="1:14" x14ac:dyDescent="0.15">
      <c r="A11990" s="23" t="str">
        <f>HYPERLINK("https://www.spark-marketing.ru/Card/Person/1058214", "МОУ ""МОЧИЛЬСКАЯ СРЕДНЯЯ ОБЩЕОБРАЗОВАТЕЛЬНАЯ ШКОЛА""")</f>
        <v>МОУ "МОЧИЛЬСКАЯ СРЕДНЯЯ ОБЩЕОБРАЗОВАТЕЛЬНАЯ ШКОЛА"</v>
      </c>
      <c r="B11990" s="24" t="s">
        <v>14293</v>
      </c>
      <c r="C11990" s="25">
        <v>33300</v>
      </c>
      <c r="D11990" s="22" t="s">
        <v>14294</v>
      </c>
      <c r="E11990" s="22" t="s">
        <v>234</v>
      </c>
      <c r="F11990" s="23" t="str">
        <f>HYPERLINK("https://www.spark-marketing.ru/Card/Lot/68830769", "Оказание услуг по техническому обслуживанию системы видеонаблюдения для нужд муниципального общеобразовательного учреждения «Мочильская средняя общеобразовательная школа»")</f>
        <v>Оказание услуг по техническому обслуживанию системы видеонаблюдения для нужд муниципального общеобразовательного учреждения «Мочильская средняя общеобразовательная школа»</v>
      </c>
      <c r="G11990" s="22" t="s">
        <v>50</v>
      </c>
      <c r="H11990" s="22" t="s">
        <v>14295</v>
      </c>
      <c r="I11990" s="26">
        <v>43543.503344907404</v>
      </c>
      <c r="J11990" s="28" t="s">
        <v>52</v>
      </c>
      <c r="K11990" s="28" t="s">
        <v>52</v>
      </c>
      <c r="L11990" s="28" t="s">
        <v>52</v>
      </c>
      <c r="M11990" s="28" t="s">
        <v>52</v>
      </c>
      <c r="N11990" s="28" t="s">
        <v>52</v>
      </c>
    </row>
    <row r="11991" spans="1:14" x14ac:dyDescent="0.15">
      <c r="A11991" s="23" t="str">
        <f>HYPERLINK("https://www.spark-marketing.ru/Card/Person/86862", "ВОСТОЧНО-СИБИРСКОЕ СУТ СК РОССИИ")</f>
        <v>ВОСТОЧНО-СИБИРСКОЕ СУТ СК РОССИИ</v>
      </c>
      <c r="B11991" s="24" t="s">
        <v>14296</v>
      </c>
      <c r="C11991" s="25">
        <v>62018.5</v>
      </c>
      <c r="D11991" s="22" t="s">
        <v>14297</v>
      </c>
      <c r="E11991" s="22" t="s">
        <v>68</v>
      </c>
      <c r="F11991" s="23" t="str">
        <f>HYPERLINK("https://www.spark-marketing.ru/Card/Lot/68823392", "Охрана объектов при помощи пульта централизованного наблюдения (Прочая закупка товаров, работ и услуг)")</f>
        <v>Охрана объектов при помощи пульта централизованного наблюдения (Прочая закупка товаров, работ и услуг)</v>
      </c>
      <c r="G11991" s="22" t="s">
        <v>424</v>
      </c>
      <c r="H11991" s="22" t="s">
        <v>1186</v>
      </c>
      <c r="I11991" s="26">
        <v>43543.532638888901</v>
      </c>
      <c r="J11991" s="28" t="s">
        <v>52</v>
      </c>
      <c r="K11991" s="28" t="s">
        <v>52</v>
      </c>
      <c r="L11991" s="28" t="s">
        <v>52</v>
      </c>
      <c r="M11991" s="28" t="s">
        <v>52</v>
      </c>
      <c r="N11991" s="28" t="s">
        <v>52</v>
      </c>
    </row>
    <row r="11992" spans="1:14" x14ac:dyDescent="0.15">
      <c r="A11992" s="23" t="str">
        <f>HYPERLINK("https://www.spark-marketing.ru/Card/Person/140920", "МУ ""ЦКИД ""МОСКВОРЕЦКИЙ""")</f>
        <v>МУ "ЦКИД "МОСКВОРЕЦКИЙ"</v>
      </c>
      <c r="B11992" s="24" t="s">
        <v>12550</v>
      </c>
      <c r="C11992" s="25">
        <v>200000</v>
      </c>
      <c r="D11992" s="22" t="s">
        <v>14298</v>
      </c>
      <c r="E11992" s="22" t="s">
        <v>103</v>
      </c>
      <c r="F11992" s="23" t="str">
        <f>HYPERLINK("https://www.spark-marketing.ru/Card/Lot/68830632", "Обслуживание видеосистемы")</f>
        <v>Обслуживание видеосистемы</v>
      </c>
      <c r="G11992" s="22" t="s">
        <v>50</v>
      </c>
      <c r="H11992" s="22" t="s">
        <v>2463</v>
      </c>
      <c r="I11992" s="26">
        <v>43543.482511574097</v>
      </c>
      <c r="J11992" s="28" t="s">
        <v>52</v>
      </c>
      <c r="K11992" s="28" t="s">
        <v>52</v>
      </c>
      <c r="L11992" s="28" t="s">
        <v>52</v>
      </c>
      <c r="M11992" s="28" t="s">
        <v>52</v>
      </c>
      <c r="N11992" s="28" t="s">
        <v>52</v>
      </c>
    </row>
    <row r="11993" spans="1:14" x14ac:dyDescent="0.15">
      <c r="A11993" s="23" t="str">
        <f>HYPERLINK("https://www.spark-marketing.ru/Card/Person/1768054", "МАУК ГОЩ ""ДК ИМ. В.П. ЧКАЛОВА""")</f>
        <v>МАУК ГОЩ "ДК ИМ. В.П. ЧКАЛОВА"</v>
      </c>
      <c r="B11993" s="24" t="s">
        <v>14299</v>
      </c>
      <c r="C11993" s="25">
        <v>188880</v>
      </c>
      <c r="D11993" s="22" t="s">
        <v>14300</v>
      </c>
      <c r="E11993" s="22" t="s">
        <v>137</v>
      </c>
      <c r="F11993" s="23" t="str">
        <f>HYPERLINK("https://www.spark-marketing.ru/Card/Lot/68830656", "Оказание услуг по техническому обслуживанию камер видеонаблюдения")</f>
        <v>Оказание услуг по техническому обслуживанию камер видеонаблюдения</v>
      </c>
      <c r="G11993" s="22" t="s">
        <v>50</v>
      </c>
      <c r="H11993" s="22" t="s">
        <v>50</v>
      </c>
      <c r="I11993" s="26">
        <v>43543.4952430556</v>
      </c>
      <c r="J11993" s="28" t="s">
        <v>52</v>
      </c>
      <c r="K11993" s="28" t="s">
        <v>52</v>
      </c>
      <c r="L11993" s="28" t="s">
        <v>52</v>
      </c>
      <c r="M11993" s="28" t="s">
        <v>52</v>
      </c>
      <c r="N11993" s="28" t="s">
        <v>52</v>
      </c>
    </row>
    <row r="11994" spans="1:14" hidden="1" outlineLevel="1" x14ac:dyDescent="0.2">
      <c r="A11994" s="23" t="str">
        <f>HYPERLINK("https://www.spark-marketing.ru/Card/Person/1768054", "МАУК ГОЩ ""ДК ИМ. В.П. ЧКАЛОВА""")</f>
        <v>МАУК ГОЩ "ДК ИМ. В.П. ЧКАЛОВА"</v>
      </c>
      <c r="B11994" s="24" t="s">
        <v>14299</v>
      </c>
      <c r="C11994" s="28" t="s">
        <v>52</v>
      </c>
      <c r="D11994" s="22" t="s">
        <v>14300</v>
      </c>
      <c r="E11994" s="22" t="s">
        <v>137</v>
      </c>
      <c r="F11994" s="23" t="str">
        <f>HYPERLINK("https://www.spark-marketing.ru/Card/Lot/68830656", "Оказание услуг по техническому обслуживанию камер видеонаблюдения")</f>
        <v>Оказание услуг по техническому обслуживанию камер видеонаблюдения</v>
      </c>
      <c r="G11994" s="22" t="s">
        <v>50</v>
      </c>
      <c r="H11994" s="22" t="s">
        <v>50</v>
      </c>
      <c r="I11994" s="26">
        <v>43543.4952430556</v>
      </c>
      <c r="J11994" s="23" t="str">
        <f>HYPERLINK("https://www.spark-marketing.ru/Card/Person/65028", "ООО ""ИМПУЛЬС М""")</f>
        <v>ООО "ИМПУЛЬС М"</v>
      </c>
      <c r="K11994" s="24" t="s">
        <v>7268</v>
      </c>
      <c r="L11994" s="28" t="s">
        <v>52</v>
      </c>
      <c r="M11994" s="25">
        <v>150000</v>
      </c>
      <c r="N11994" s="27">
        <v>0.20584498094027953</v>
      </c>
    </row>
    <row r="11995" spans="1:14" hidden="1" outlineLevel="1" x14ac:dyDescent="0.2">
      <c r="A11995" s="23" t="str">
        <f>HYPERLINK("https://www.spark-marketing.ru/Card/Person/1768054", "МАУК ГОЩ ""ДК ИМ. В.П. ЧКАЛОВА""")</f>
        <v>МАУК ГОЩ "ДК ИМ. В.П. ЧКАЛОВА"</v>
      </c>
      <c r="B11995" s="24" t="s">
        <v>14299</v>
      </c>
      <c r="C11995" s="28" t="s">
        <v>52</v>
      </c>
      <c r="D11995" s="22" t="s">
        <v>14300</v>
      </c>
      <c r="E11995" s="22" t="s">
        <v>137</v>
      </c>
      <c r="F11995" s="23" t="str">
        <f>HYPERLINK("https://www.spark-marketing.ru/Card/Lot/68830656", "Оказание услуг по техническому обслуживанию камер видеонаблюдения")</f>
        <v>Оказание услуг по техническому обслуживанию камер видеонаблюдения</v>
      </c>
      <c r="G11995" s="22" t="s">
        <v>50</v>
      </c>
      <c r="H11995" s="22" t="s">
        <v>50</v>
      </c>
      <c r="I11995" s="26">
        <v>43543.4952430556</v>
      </c>
      <c r="J11995" s="23" t="str">
        <f>HYPERLINK("https://www.spark-marketing.ru/Card/Person/375155", "ООО ""ПОИГ-ЩЕЛКОВО""")</f>
        <v>ООО "ПОИГ-ЩЕЛКОВО"</v>
      </c>
      <c r="K11995" s="24" t="s">
        <v>2611</v>
      </c>
      <c r="L11995" s="28" t="s">
        <v>52</v>
      </c>
      <c r="M11995" s="25">
        <v>180000</v>
      </c>
      <c r="N11995" s="27">
        <v>4.7013977128335452E-2</v>
      </c>
    </row>
    <row r="11996" spans="1:14" x14ac:dyDescent="0.15">
      <c r="A11996" s="23" t="str">
        <f>HYPERLINK("https://www.spark-marketing.ru/Card/Person/136319", "МУ МВД РОССИИ ""БИЙСКОЕ""")</f>
        <v>МУ МВД РОССИИ "БИЙСКОЕ"</v>
      </c>
      <c r="B11996" s="24" t="s">
        <v>13030</v>
      </c>
      <c r="C11996" s="25">
        <v>69486.78</v>
      </c>
      <c r="D11996" s="22" t="s">
        <v>14301</v>
      </c>
      <c r="E11996" s="22" t="s">
        <v>53</v>
      </c>
      <c r="F11996" s="23" t="str">
        <f>HYPERLINK("https://www.spark-marketing.ru/Card/Lot/70794408", "Услуги по выполнению эксплуатационно-технического обслуживания технических средств охраны")</f>
        <v>Услуги по выполнению эксплуатационно-технического обслуживания технических средств охраны</v>
      </c>
      <c r="G11996" s="22" t="s">
        <v>428</v>
      </c>
      <c r="H11996" s="22" t="s">
        <v>5346</v>
      </c>
      <c r="I11996" s="26">
        <v>43543.460312499999</v>
      </c>
      <c r="J11996" s="28" t="s">
        <v>52</v>
      </c>
      <c r="K11996" s="28" t="s">
        <v>52</v>
      </c>
      <c r="L11996" s="28" t="s">
        <v>52</v>
      </c>
      <c r="M11996" s="28" t="s">
        <v>52</v>
      </c>
      <c r="N11996" s="28" t="s">
        <v>52</v>
      </c>
    </row>
    <row r="11997" spans="1:14" x14ac:dyDescent="0.15">
      <c r="A11997" s="23" t="str">
        <f>HYPERLINK("https://www.spark-marketing.ru/Card/Person/136319", "МУ МВД РОССИИ ""БИЙСКОЕ""")</f>
        <v>МУ МВД РОССИИ "БИЙСКОЕ"</v>
      </c>
      <c r="B11997" s="24" t="s">
        <v>13030</v>
      </c>
      <c r="C11997" s="25">
        <v>1370.64</v>
      </c>
      <c r="D11997" s="22" t="s">
        <v>14302</v>
      </c>
      <c r="E11997" s="22" t="s">
        <v>53</v>
      </c>
      <c r="F11997" s="23" t="str">
        <f>HYPERLINK("https://www.spark-marketing.ru/Card/Lot/70807349", "Услуги по выполнению эксплуатационно-технического обслуживания технических средств охраны")</f>
        <v>Услуги по выполнению эксплуатационно-технического обслуживания технических средств охраны</v>
      </c>
      <c r="G11997" s="22" t="s">
        <v>428</v>
      </c>
      <c r="H11997" s="22" t="s">
        <v>5346</v>
      </c>
      <c r="I11997" s="26">
        <v>43543.496597222198</v>
      </c>
      <c r="J11997" s="28" t="s">
        <v>52</v>
      </c>
      <c r="K11997" s="28" t="s">
        <v>52</v>
      </c>
      <c r="L11997" s="28" t="s">
        <v>52</v>
      </c>
      <c r="M11997" s="28" t="s">
        <v>52</v>
      </c>
      <c r="N11997" s="28" t="s">
        <v>52</v>
      </c>
    </row>
    <row r="11998" spans="1:14" x14ac:dyDescent="0.15">
      <c r="A11998" s="23" t="str">
        <f>HYPERLINK("https://www.spark-marketing.ru/Card/Person/136319", "МУ МВД РОССИИ ""БИЙСКОЕ""")</f>
        <v>МУ МВД РОССИИ "БИЙСКОЕ"</v>
      </c>
      <c r="B11998" s="24" t="s">
        <v>13030</v>
      </c>
      <c r="C11998" s="25">
        <v>98993.88</v>
      </c>
      <c r="D11998" s="22" t="s">
        <v>14303</v>
      </c>
      <c r="E11998" s="22" t="s">
        <v>53</v>
      </c>
      <c r="F11998" s="23" t="str">
        <f>HYPERLINK("https://www.spark-marketing.ru/Card/Lot/70794576", "Услуги по выполнению эксплуатационно-технического обслуживания технических средств охраны")</f>
        <v>Услуги по выполнению эксплуатационно-технического обслуживания технических средств охраны</v>
      </c>
      <c r="G11998" s="22" t="s">
        <v>428</v>
      </c>
      <c r="H11998" s="22" t="s">
        <v>5346</v>
      </c>
      <c r="I11998" s="26">
        <v>43543.471192129597</v>
      </c>
      <c r="J11998" s="28" t="s">
        <v>52</v>
      </c>
      <c r="K11998" s="28" t="s">
        <v>52</v>
      </c>
      <c r="L11998" s="28" t="s">
        <v>52</v>
      </c>
      <c r="M11998" s="28" t="s">
        <v>52</v>
      </c>
      <c r="N11998" s="28" t="s">
        <v>52</v>
      </c>
    </row>
    <row r="11999" spans="1:14" x14ac:dyDescent="0.15">
      <c r="A11999" s="23" t="str">
        <f>HYPERLINK("https://www.spark-marketing.ru/Card/Person/62451", "ЗАПАДНО-СИБИРСКОЕ СУТ СК РОССИИ")</f>
        <v>ЗАПАДНО-СИБИРСКОЕ СУТ СК РОССИИ</v>
      </c>
      <c r="B11999" s="24" t="s">
        <v>11238</v>
      </c>
      <c r="C11999" s="25">
        <v>16086.48</v>
      </c>
      <c r="D11999" s="22" t="s">
        <v>14304</v>
      </c>
      <c r="E11999" s="22" t="s">
        <v>68</v>
      </c>
      <c r="F11999" s="23" t="str">
        <f>HYPERLINK("https://www.spark-marketing.ru/Card/Lot/68823484", "Оказание услуг по охране с помощью кнопки тревожной сигнализации объекта Западно-Сибирского следственного управления на транспорте Следственного комитета Российской Федерации (г. Новокузнецк)")</f>
        <v>Оказание услуг по охране с помощью кнопки тревожной сигнализации объекта Западно-Сибирского следственного управления на транспорте Следственного комитета Российской Федерации (г. Новокузнецк)</v>
      </c>
      <c r="G11999" s="22" t="s">
        <v>367</v>
      </c>
      <c r="H11999" s="22" t="s">
        <v>367</v>
      </c>
      <c r="I11999" s="26">
        <v>43543.454166666699</v>
      </c>
      <c r="J11999" s="28" t="s">
        <v>52</v>
      </c>
      <c r="K11999" s="28" t="s">
        <v>52</v>
      </c>
      <c r="L11999" s="28" t="s">
        <v>52</v>
      </c>
      <c r="M11999" s="28" t="s">
        <v>52</v>
      </c>
      <c r="N11999" s="28" t="s">
        <v>52</v>
      </c>
    </row>
    <row r="12000" spans="1:14" x14ac:dyDescent="0.15">
      <c r="A12000" s="23" t="str">
        <f>HYPERLINK("https://www.spark-marketing.ru/Card/Person/7097", "ГБУ ЯНАО ""ЦЕНТР ""ГАРМОНИЯ"" В МО Г. НОЯБРЬСК""")</f>
        <v>ГБУ ЯНАО "ЦЕНТР "ГАРМОНИЯ" В МО Г. НОЯБРЬСК"</v>
      </c>
      <c r="B12000" s="24" t="s">
        <v>725</v>
      </c>
      <c r="C12000" s="25">
        <v>636000</v>
      </c>
      <c r="D12000" s="22" t="s">
        <v>14305</v>
      </c>
      <c r="E12000" s="22" t="s">
        <v>52</v>
      </c>
      <c r="F12000" s="23" t="str">
        <f>HYPERLINK("https://www.spark-marketing.ru/Card/Lot/68831466", "Оказание услуг по круглосуточной охране объекта")</f>
        <v>Оказание услуг по круглосуточной охране объекта</v>
      </c>
      <c r="G12000" s="22" t="s">
        <v>311</v>
      </c>
      <c r="H12000" s="22" t="s">
        <v>727</v>
      </c>
      <c r="I12000" s="26">
        <v>43543.457638888904</v>
      </c>
      <c r="J12000" s="28" t="s">
        <v>52</v>
      </c>
      <c r="K12000" s="28" t="s">
        <v>52</v>
      </c>
      <c r="L12000" s="28" t="s">
        <v>52</v>
      </c>
      <c r="M12000" s="28" t="s">
        <v>52</v>
      </c>
      <c r="N12000" s="28" t="s">
        <v>52</v>
      </c>
    </row>
    <row r="12001" spans="1:14" hidden="1" outlineLevel="1" x14ac:dyDescent="0.2">
      <c r="A12001" s="23" t="str">
        <f>HYPERLINK("https://www.spark-marketing.ru/Card/Person/7097", "ГБУ ЯНАО ""ЦЕНТР ""ГАРМОНИЯ"" В МО Г. НОЯБРЬСК""")</f>
        <v>ГБУ ЯНАО "ЦЕНТР "ГАРМОНИЯ" В МО Г. НОЯБРЬСК"</v>
      </c>
      <c r="B12001" s="24" t="s">
        <v>725</v>
      </c>
      <c r="C12001" s="25">
        <v>636000</v>
      </c>
      <c r="D12001" s="22" t="s">
        <v>14305</v>
      </c>
      <c r="E12001" s="22" t="s">
        <v>52</v>
      </c>
      <c r="F12001" s="23" t="str">
        <f>HYPERLINK("https://www.spark-marketing.ru/Card/Lot/68831466", "Оказание услуг по круглосуточной охране объекта")</f>
        <v>Оказание услуг по круглосуточной охране объекта</v>
      </c>
      <c r="G12001" s="22" t="s">
        <v>311</v>
      </c>
      <c r="H12001" s="22" t="s">
        <v>727</v>
      </c>
      <c r="I12001" s="26">
        <v>43543.457638888904</v>
      </c>
      <c r="J12001" s="23" t="str">
        <f>HYPERLINK("https://www.spark-marketing.ru/Card/Person/4948482", "ООО ЧОП ""ГОРГОНА""")</f>
        <v>ООО ЧОП "ГОРГОНА"</v>
      </c>
      <c r="K12001" s="24" t="s">
        <v>11737</v>
      </c>
      <c r="L12001" s="28" t="s">
        <v>52</v>
      </c>
      <c r="M12001" s="25">
        <v>559680</v>
      </c>
      <c r="N12001" s="27">
        <v>0.12</v>
      </c>
    </row>
    <row r="12002" spans="1:14" ht="12.75" hidden="1" outlineLevel="1" x14ac:dyDescent="0.2">
      <c r="A12002" s="23" t="str">
        <f>HYPERLINK("https://www.spark-marketing.ru/Card/Person/7097", "ГБУ ЯНАО ""ЦЕНТР ""ГАРМОНИЯ"" В МО Г. НОЯБРЬСК""")</f>
        <v>ГБУ ЯНАО "ЦЕНТР "ГАРМОНИЯ" В МО Г. НОЯБРЬСК"</v>
      </c>
      <c r="B12002" s="24" t="s">
        <v>725</v>
      </c>
      <c r="C12002" s="25">
        <v>636000</v>
      </c>
      <c r="D12002" s="22" t="s">
        <v>14305</v>
      </c>
      <c r="E12002" s="22" t="s">
        <v>52</v>
      </c>
      <c r="F12002" s="23" t="str">
        <f>HYPERLINK("https://www.spark-marketing.ru/Card/Lot/68831466", "Оказание услуг по круглосуточной охране объекта")</f>
        <v>Оказание услуг по круглосуточной охране объекта</v>
      </c>
      <c r="G12002" s="22" t="s">
        <v>311</v>
      </c>
      <c r="H12002" s="22" t="s">
        <v>727</v>
      </c>
      <c r="I12002" s="26">
        <v>43543.457638888904</v>
      </c>
      <c r="J12002" s="23" t="str">
        <f>HYPERLINK("https://www.spark-marketing.ru/Card/Person/2574379", "ООО ЧОО ""СИГМА""")</f>
        <v>ООО ЧОО "СИГМА"</v>
      </c>
      <c r="K12002" s="24" t="s">
        <v>14306</v>
      </c>
      <c r="L12002" s="22" t="s">
        <v>10</v>
      </c>
      <c r="M12002" s="25">
        <v>556500</v>
      </c>
      <c r="N12002" s="27">
        <v>0.125</v>
      </c>
    </row>
    <row r="12003" spans="1:14" hidden="1" outlineLevel="1" x14ac:dyDescent="0.2">
      <c r="A12003" s="23" t="str">
        <f>HYPERLINK("https://www.spark-marketing.ru/Card/Person/7097", "ГБУ ЯНАО ""ЦЕНТР ""ГАРМОНИЯ"" В МО Г. НОЯБРЬСК""")</f>
        <v>ГБУ ЯНАО "ЦЕНТР "ГАРМОНИЯ" В МО Г. НОЯБРЬСК"</v>
      </c>
      <c r="B12003" s="24" t="s">
        <v>725</v>
      </c>
      <c r="C12003" s="25">
        <v>636000</v>
      </c>
      <c r="D12003" s="22" t="s">
        <v>14305</v>
      </c>
      <c r="E12003" s="22" t="s">
        <v>52</v>
      </c>
      <c r="F12003" s="23" t="str">
        <f>HYPERLINK("https://www.spark-marketing.ru/Card/Lot/68831466", "Оказание услуг по круглосуточной охране объекта")</f>
        <v>Оказание услуг по круглосуточной охране объекта</v>
      </c>
      <c r="G12003" s="22" t="s">
        <v>311</v>
      </c>
      <c r="H12003" s="22" t="s">
        <v>727</v>
      </c>
      <c r="I12003" s="26">
        <v>43543.457638888904</v>
      </c>
      <c r="J12003" s="23" t="str">
        <f>HYPERLINK("https://www.spark-marketing.ru/Card/Person/1604", "ООО ЧОО ""КРЫМ""")</f>
        <v>ООО ЧОО "КРЫМ"</v>
      </c>
      <c r="K12003" s="24" t="s">
        <v>14307</v>
      </c>
      <c r="L12003" s="28" t="s">
        <v>52</v>
      </c>
      <c r="M12003" s="25">
        <v>581940</v>
      </c>
      <c r="N12003" s="27">
        <v>8.5000000000000006E-2</v>
      </c>
    </row>
    <row r="12004" spans="1:14" x14ac:dyDescent="0.15">
      <c r="A12004" s="23" t="str">
        <f>HYPERLINK("https://www.spark-marketing.ru/Card/Person/4351502", "ОГБПОУ ""КЭТ ИМ. Ф.В. ЧИЖОВА"", КОСТРОМСКОЙ ЭНЕРГЕТИЧЕСКИЙ ТЕХНИКУМ")</f>
        <v>ОГБПОУ "КЭТ ИМ. Ф.В. ЧИЖОВА", КОСТРОМСКОЙ ЭНЕРГЕТИЧЕСКИЙ ТЕХНИКУМ</v>
      </c>
      <c r="B12004" s="24" t="s">
        <v>14308</v>
      </c>
      <c r="C12004" s="25">
        <v>15669</v>
      </c>
      <c r="D12004" s="22" t="s">
        <v>14309</v>
      </c>
      <c r="E12004" s="22" t="s">
        <v>107</v>
      </c>
      <c r="F12004" s="23" t="str">
        <f>HYPERLINK("https://www.spark-marketing.ru/Card/Lot/68828676", "Обслуживание системы видеонаблюдения")</f>
        <v>Обслуживание системы видеонаблюдения</v>
      </c>
      <c r="G12004" s="22" t="s">
        <v>1104</v>
      </c>
      <c r="H12004" s="22" t="s">
        <v>1105</v>
      </c>
      <c r="I12004" s="26">
        <v>43543.454166666699</v>
      </c>
      <c r="J12004" s="28" t="s">
        <v>52</v>
      </c>
      <c r="K12004" s="28" t="s">
        <v>52</v>
      </c>
      <c r="L12004" s="28" t="s">
        <v>52</v>
      </c>
      <c r="M12004" s="28" t="s">
        <v>52</v>
      </c>
      <c r="N12004" s="28" t="s">
        <v>52</v>
      </c>
    </row>
    <row r="12005" spans="1:14" x14ac:dyDescent="0.15">
      <c r="A12005" s="23" t="str">
        <f>HYPERLINK("https://www.spark-marketing.ru/Card/Person/89259", "УФНС РОССИИ ПО ОРЛОВСКОЙ ОБЛАСТИ")</f>
        <v>УФНС РОССИИ ПО ОРЛОВСКОЙ ОБЛАСТИ</v>
      </c>
      <c r="B12005" s="24" t="s">
        <v>14207</v>
      </c>
      <c r="C12005" s="25">
        <v>99000</v>
      </c>
      <c r="D12005" s="22" t="s">
        <v>14310</v>
      </c>
      <c r="E12005" s="22" t="s">
        <v>107</v>
      </c>
      <c r="F12005" s="23" t="str">
        <f>HYPERLINK("https://www.spark-marketing.ru/Card/Lot/70178864", "Техническое обслуживание средств ОС, ОПС, ТС, видеонаблюдения и СКУД, 1 шт")</f>
        <v>Техническое обслуживание средств ОС, ОПС, ТС, видеонаблюдения и СКУД, 1 шт</v>
      </c>
      <c r="G12005" s="22" t="s">
        <v>492</v>
      </c>
      <c r="H12005" s="22" t="s">
        <v>5024</v>
      </c>
      <c r="I12005" s="26">
        <v>43543.430567129602</v>
      </c>
      <c r="J12005" s="28" t="s">
        <v>52</v>
      </c>
      <c r="K12005" s="28" t="s">
        <v>52</v>
      </c>
      <c r="L12005" s="28" t="s">
        <v>52</v>
      </c>
      <c r="M12005" s="28" t="s">
        <v>52</v>
      </c>
      <c r="N12005" s="28" t="s">
        <v>52</v>
      </c>
    </row>
    <row r="12006" spans="1:14" x14ac:dyDescent="0.2">
      <c r="A12006" s="23" t="str">
        <f>HYPERLINK("https://www.spark-marketing.ru/Card/Person/5854041", "ГКУ ""УПРАВЛЕНИЕ ПО ОБЕСПЕЧЕНИЮ ДЕЯТЕЛЬНОСТИ МИНИСТЕРСТВА СЕЛЬСКОГО ХОЗЯЙСТВА ЧЕЧЕНСКОЙ РЕСПУБЛИКИ""")</f>
        <v>ГКУ "УПРАВЛЕНИЕ ПО ОБЕСПЕЧЕНИЮ ДЕЯТЕЛЬНОСТИ МИНИСТЕРСТВА СЕЛЬСКОГО ХОЗЯЙСТВА ЧЕЧЕНСКОЙ РЕСПУБЛИКИ"</v>
      </c>
      <c r="B12006" s="24" t="s">
        <v>14311</v>
      </c>
      <c r="C12006" s="25">
        <v>2773600</v>
      </c>
      <c r="D12006" s="22" t="s">
        <v>14312</v>
      </c>
      <c r="E12006" s="22" t="s">
        <v>68</v>
      </c>
      <c r="F12006" s="23" t="str">
        <f>HYPERLINK("https://www.spark-marketing.ru/Card/Lot/68833045", "Оказание услуг по круглосуточной охране административного здания и прилегающей территории")</f>
        <v>Оказание услуг по круглосуточной охране административного здания и прилегающей территории</v>
      </c>
      <c r="G12006" s="22" t="s">
        <v>724</v>
      </c>
      <c r="H12006" s="22" t="s">
        <v>724</v>
      </c>
      <c r="I12006" s="26">
        <v>43543.4194444444</v>
      </c>
      <c r="J12006" s="23" t="str">
        <f>HYPERLINK("https://www.spark-marketing.ru/Card/Person/1784074", "ФГКУ ""УВО ВНГ РОССИИ ПО ЧЕЧЕНСКОЙ РЕСПУБЛИКЕ""")</f>
        <v>ФГКУ "УВО ВНГ РОССИИ ПО ЧЕЧЕНСКОЙ РЕСПУБЛИКЕ"</v>
      </c>
      <c r="K12006" s="24" t="s">
        <v>1617</v>
      </c>
      <c r="L12006" s="28" t="s">
        <v>52</v>
      </c>
      <c r="M12006" s="25">
        <v>2773600</v>
      </c>
      <c r="N12006" s="27">
        <v>0</v>
      </c>
    </row>
    <row r="12007" spans="1:14" x14ac:dyDescent="0.15">
      <c r="A12007" s="23" t="str">
        <f>HYPERLINK("https://www.spark-marketing.ru/Card/Person/5893236", "МАДОУ ""Д/С № 14 ""ЯГОДКА""")</f>
        <v>МАДОУ "Д/С № 14 "ЯГОДКА"</v>
      </c>
      <c r="B12007" s="24" t="s">
        <v>14313</v>
      </c>
      <c r="C12007" s="25">
        <v>53100</v>
      </c>
      <c r="D12007" s="22" t="s">
        <v>14314</v>
      </c>
      <c r="E12007" s="22" t="s">
        <v>107</v>
      </c>
      <c r="F12007" s="23" t="str">
        <f>HYPERLINK("https://www.spark-marketing.ru/Card/Lot/68822763", "оказание услуги по техническому обслуживанию системы видеонаблюдения и видеодомофона")</f>
        <v>оказание услуги по техническому обслуживанию системы видеонаблюдения и видеодомофона</v>
      </c>
      <c r="G12007" s="22" t="s">
        <v>50</v>
      </c>
      <c r="H12007" s="22" t="s">
        <v>2391</v>
      </c>
      <c r="I12007" s="26">
        <v>43543.419791666704</v>
      </c>
      <c r="J12007" s="28" t="s">
        <v>52</v>
      </c>
      <c r="K12007" s="28" t="s">
        <v>52</v>
      </c>
      <c r="L12007" s="28" t="s">
        <v>52</v>
      </c>
      <c r="M12007" s="28" t="s">
        <v>52</v>
      </c>
      <c r="N12007" s="28" t="s">
        <v>52</v>
      </c>
    </row>
    <row r="12008" spans="1:14" x14ac:dyDescent="0.15">
      <c r="A12008" s="23" t="str">
        <f>HYPERLINK("https://www.spark-marketing.ru/Card/Person/145504", "ФГУП ""ВГСЧ""")</f>
        <v>ФГУП "ВГСЧ"</v>
      </c>
      <c r="B12008" s="24" t="s">
        <v>7302</v>
      </c>
      <c r="C12008" s="25">
        <v>165750</v>
      </c>
      <c r="D12008" s="22" t="s">
        <v>14315</v>
      </c>
      <c r="E12008" s="22" t="s">
        <v>1923</v>
      </c>
      <c r="F12008" s="23" t="str">
        <f>HYPERLINK("https://www.spark-marketing.ru/Card/Lot/68830939", "Оказание услуг по проведению экспертизы промышленной безопасности цистерн транспортных криогенных филиала «Кемеровский ВГСО» ФГУП «ВГСЧ»")</f>
        <v>Оказание услуг по проведению экспертизы промышленной безопасности цистерн транспортных криогенных филиала «Кемеровский ВГСО» ФГУП «ВГСЧ»</v>
      </c>
      <c r="G12008" s="22" t="s">
        <v>55</v>
      </c>
      <c r="H12008" s="22" t="s">
        <v>55</v>
      </c>
      <c r="I12008" s="26">
        <v>43543.454930555599</v>
      </c>
      <c r="J12008" s="28" t="s">
        <v>52</v>
      </c>
      <c r="K12008" s="28" t="s">
        <v>52</v>
      </c>
      <c r="L12008" s="28" t="s">
        <v>52</v>
      </c>
      <c r="M12008" s="28" t="s">
        <v>52</v>
      </c>
      <c r="N12008" s="28" t="s">
        <v>52</v>
      </c>
    </row>
    <row r="12009" spans="1:14" x14ac:dyDescent="0.15">
      <c r="A12009" s="23" t="str">
        <f>HYPERLINK("https://www.spark-marketing.ru/Card/Person/1047679", "ГБУСО МО ""КЛИМОВСКИЙ ЦСПСИД ""ГАРМОНИЯ""")</f>
        <v>ГБУСО МО "КЛИМОВСКИЙ ЦСПСИД "ГАРМОНИЯ"</v>
      </c>
      <c r="B12009" s="24" t="s">
        <v>14316</v>
      </c>
      <c r="C12009" s="25">
        <v>51289.67</v>
      </c>
      <c r="D12009" s="22" t="s">
        <v>14317</v>
      </c>
      <c r="E12009" s="22" t="s">
        <v>59</v>
      </c>
      <c r="F12009" s="23" t="str">
        <f>HYPERLINK("https://www.spark-marketing.ru/Card/Lot/68825278", "монтаж охранно-тревожной сигнализации")</f>
        <v>монтаж охранно-тревожной сигнализации</v>
      </c>
      <c r="G12009" s="22" t="s">
        <v>50</v>
      </c>
      <c r="H12009" s="22" t="s">
        <v>569</v>
      </c>
      <c r="I12009" s="26">
        <v>43543.4508796296</v>
      </c>
      <c r="J12009" s="28" t="s">
        <v>52</v>
      </c>
      <c r="K12009" s="28" t="s">
        <v>52</v>
      </c>
      <c r="L12009" s="28" t="s">
        <v>52</v>
      </c>
      <c r="M12009" s="28" t="s">
        <v>52</v>
      </c>
      <c r="N12009" s="28" t="s">
        <v>52</v>
      </c>
    </row>
    <row r="12010" spans="1:14" x14ac:dyDescent="0.2">
      <c r="A12010" s="23" t="str">
        <f>HYPERLINK("https://www.spark-marketing.ru/Card/Person/1081603", "МОУ ЮХТИНСКАЯ СОШ")</f>
        <v>МОУ ЮХТИНСКАЯ СОШ</v>
      </c>
      <c r="B12010" s="24" t="s">
        <v>703</v>
      </c>
      <c r="C12010" s="25">
        <v>153209.63</v>
      </c>
      <c r="D12010" s="22" t="s">
        <v>14318</v>
      </c>
      <c r="E12010" s="22" t="s">
        <v>49</v>
      </c>
      <c r="F12010" s="23" t="str">
        <f>HYPERLINK("https://www.spark-marketing.ru/Card/Lot/68818316", "Установка технических средств охранной сигнализации")</f>
        <v>Установка технических средств охранной сигнализации</v>
      </c>
      <c r="G12010" s="22" t="s">
        <v>230</v>
      </c>
      <c r="H12010" s="22" t="s">
        <v>230</v>
      </c>
      <c r="I12010" s="26">
        <v>43543.413865740702</v>
      </c>
      <c r="J12010" s="23" t="str">
        <f>HYPERLINK("https://www.spark-marketing.ru/Card/Person/10487", "ФГУП ""ОХРАНА"" РОСГВАРДИИ")</f>
        <v>ФГУП "ОХРАНА" РОСГВАРДИИ</v>
      </c>
      <c r="K12010" s="24" t="s">
        <v>779</v>
      </c>
      <c r="L12010" s="28" t="s">
        <v>52</v>
      </c>
      <c r="M12010" s="25">
        <v>153209.63</v>
      </c>
      <c r="N12010" s="27">
        <v>0</v>
      </c>
    </row>
    <row r="12011" spans="1:14" x14ac:dyDescent="0.15">
      <c r="A12011" s="23" t="str">
        <f>HYPERLINK("https://www.spark-marketing.ru/Card/Person/1014196", "БУ ДО ГОРОДА ОМСКА ""СДЮСШОР № 35""")</f>
        <v>БУ ДО ГОРОДА ОМСКА "СДЮСШОР № 35"</v>
      </c>
      <c r="B12011" s="24" t="s">
        <v>4967</v>
      </c>
      <c r="C12011" s="25">
        <v>98680</v>
      </c>
      <c r="D12011" s="22" t="s">
        <v>14319</v>
      </c>
      <c r="E12011" s="22" t="s">
        <v>14320</v>
      </c>
      <c r="F12011" s="23" t="str">
        <f>HYPERLINK("https://www.spark-marketing.ru/Card/Lot/68826108", "Поставка товаров для установки системы видеонаблюдения")</f>
        <v>Поставка товаров для установки системы видеонаблюдения</v>
      </c>
      <c r="G12011" s="22" t="s">
        <v>521</v>
      </c>
      <c r="H12011" s="22" t="s">
        <v>522</v>
      </c>
      <c r="I12011" s="26">
        <v>43543.403472222199</v>
      </c>
      <c r="J12011" s="28" t="s">
        <v>52</v>
      </c>
      <c r="K12011" s="28" t="s">
        <v>52</v>
      </c>
      <c r="L12011" s="28" t="s">
        <v>52</v>
      </c>
      <c r="M12011" s="28" t="s">
        <v>52</v>
      </c>
      <c r="N12011" s="28" t="s">
        <v>52</v>
      </c>
    </row>
    <row r="12012" spans="1:14" x14ac:dyDescent="0.15">
      <c r="A12012" s="23" t="str">
        <f>HYPERLINK("https://www.spark-marketing.ru/Card/Person/1300380", "МУ ЦДТ Г. ДМИТРОВА")</f>
        <v>МУ ЦДТ Г. ДМИТРОВА</v>
      </c>
      <c r="B12012" s="24" t="s">
        <v>14321</v>
      </c>
      <c r="C12012" s="25">
        <v>47400</v>
      </c>
      <c r="D12012" s="22" t="s">
        <v>14322</v>
      </c>
      <c r="E12012" s="22" t="s">
        <v>59</v>
      </c>
      <c r="F12012" s="23" t="str">
        <f>HYPERLINK("https://www.spark-marketing.ru/Card/Lot/68821863", "Установка, монтаж и пуско-наладка системы тревожной сигнализации на объектах Муниципального учреждения дополнительного образования центра детского творчества г. Дмитрова Московской области")</f>
        <v>Установка, монтаж и пуско-наладка системы тревожной сигнализации на объектах Муниципального учреждения дополнительного образования центра детского творчества г. Дмитрова Московской области</v>
      </c>
      <c r="G12012" s="22" t="s">
        <v>50</v>
      </c>
      <c r="H12012" s="22" t="s">
        <v>504</v>
      </c>
      <c r="I12012" s="26">
        <v>43543.398761574099</v>
      </c>
      <c r="J12012" s="28" t="s">
        <v>52</v>
      </c>
      <c r="K12012" s="28" t="s">
        <v>52</v>
      </c>
      <c r="L12012" s="28" t="s">
        <v>52</v>
      </c>
      <c r="M12012" s="28" t="s">
        <v>52</v>
      </c>
      <c r="N12012" s="28" t="s">
        <v>52</v>
      </c>
    </row>
    <row r="12013" spans="1:14" ht="12.75" x14ac:dyDescent="0.2">
      <c r="A12013" s="23" t="str">
        <f>HYPERLINK("https://www.spark-marketing.ru/Card/Person/4348449", "ООО ""ЭСКБ""")</f>
        <v>ООО "ЭСКБ"</v>
      </c>
      <c r="B12013" s="24" t="s">
        <v>14323</v>
      </c>
      <c r="C12013" s="25">
        <v>595708.18999999994</v>
      </c>
      <c r="D12013" s="22" t="s">
        <v>14324</v>
      </c>
      <c r="E12013" s="22" t="s">
        <v>14325</v>
      </c>
      <c r="F12013" s="23" t="str">
        <f>HYPERLINK("https://www.spark-marketing.ru/Card/Lot/68821347", "Техническое обслуживание систем видеонаблюдения на объектах ООО ""ЭСКБ""")</f>
        <v>Техническое обслуживание систем видеонаблюдения на объектах ООО "ЭСКБ"</v>
      </c>
      <c r="G12013" s="22" t="s">
        <v>100</v>
      </c>
      <c r="H12013" s="22" t="s">
        <v>373</v>
      </c>
      <c r="I12013" s="26">
        <v>43543.378854166702</v>
      </c>
      <c r="J12013" s="23" t="str">
        <f>HYPERLINK("https://www.spark-marketing.ru/Card/Person/317555", "ООО ""ТЕХОХРАНА""")</f>
        <v>ООО "ТЕХОХРАНА"</v>
      </c>
      <c r="K12013" s="24" t="s">
        <v>14326</v>
      </c>
      <c r="L12013" s="22" t="s">
        <v>10</v>
      </c>
      <c r="M12013" s="25">
        <v>595708.18999999994</v>
      </c>
      <c r="N12013" s="27">
        <v>0</v>
      </c>
    </row>
    <row r="12014" spans="1:14" x14ac:dyDescent="0.15">
      <c r="A12014" s="23" t="str">
        <f>HYPERLINK("https://www.spark-marketing.ru/Card/Person/259457", "МБОУ ""АКТАНЫШСКАЯ НАЧАЛЬНАЯ ОБЩЕОБРАЗОВАТЕЛЬНАЯ ШКОЛА - ДЕТСКИЙ САД""")</f>
        <v>МБОУ "АКТАНЫШСКАЯ НАЧАЛЬНАЯ ОБЩЕОБРАЗОВАТЕЛЬНАЯ ШКОЛА - ДЕТСКИЙ САД"</v>
      </c>
      <c r="B12014" s="24" t="s">
        <v>13959</v>
      </c>
      <c r="C12014" s="25">
        <v>6000</v>
      </c>
      <c r="D12014" s="22" t="s">
        <v>14327</v>
      </c>
      <c r="E12014" s="22" t="s">
        <v>53</v>
      </c>
      <c r="F12014" s="23" t="str">
        <f>HYPERLINK("https://www.spark-marketing.ru/Card/Lot/73702258", "Техническое обслуживание системы видеонаблюдения")</f>
        <v>Техническое обслуживание системы видеонаблюдения</v>
      </c>
      <c r="G12014" s="22" t="s">
        <v>204</v>
      </c>
      <c r="H12014" s="22" t="s">
        <v>4395</v>
      </c>
      <c r="I12014" s="26">
        <v>43543.000694444403</v>
      </c>
      <c r="J12014" s="28" t="s">
        <v>52</v>
      </c>
      <c r="K12014" s="28" t="s">
        <v>52</v>
      </c>
      <c r="L12014" s="28" t="s">
        <v>52</v>
      </c>
      <c r="M12014" s="28" t="s">
        <v>52</v>
      </c>
      <c r="N12014" s="28" t="s">
        <v>52</v>
      </c>
    </row>
    <row r="12015" spans="1:14" x14ac:dyDescent="0.15">
      <c r="A12015" s="23" t="str">
        <f>HYPERLINK("https://www.spark-marketing.ru/Card/Person/1000118", "МБУ ""СШОР ПО ДЗЮДО И САМБО ""ЭЛЕКТРОСТАЛЬ""")</f>
        <v>МБУ "СШОР ПО ДЗЮДО И САМБО "ЭЛЕКТРОСТАЛЬ"</v>
      </c>
      <c r="B12015" s="24" t="s">
        <v>14328</v>
      </c>
      <c r="C12015" s="25">
        <v>10470.459999999999</v>
      </c>
      <c r="D12015" s="22" t="s">
        <v>14329</v>
      </c>
      <c r="E12015" s="22" t="s">
        <v>376</v>
      </c>
      <c r="F12015" s="23" t="str">
        <f>HYPERLINK("https://www.spark-marketing.ru/Card/Lot/68816232", "ТО систем охранной сигнализации")</f>
        <v>ТО систем охранной сигнализации</v>
      </c>
      <c r="G12015" s="22" t="s">
        <v>50</v>
      </c>
      <c r="H12015" s="22" t="s">
        <v>747</v>
      </c>
      <c r="I12015" s="26">
        <v>43542.877766203703</v>
      </c>
      <c r="J12015" s="28" t="s">
        <v>52</v>
      </c>
      <c r="K12015" s="28" t="s">
        <v>52</v>
      </c>
      <c r="L12015" s="28" t="s">
        <v>52</v>
      </c>
      <c r="M12015" s="28" t="s">
        <v>52</v>
      </c>
      <c r="N12015" s="28" t="s">
        <v>52</v>
      </c>
    </row>
    <row r="12016" spans="1:14" x14ac:dyDescent="0.15">
      <c r="A12016" s="23" t="str">
        <f>HYPERLINK("https://www.spark-marketing.ru/Card/Person/996132", "МБУ ФСО ""СШ ПО ФУТБОЛУ ""ВИКТОРИЯ""")</f>
        <v>МБУ ФСО "СШ ПО ФУТБОЛУ "ВИКТОРИЯ"</v>
      </c>
      <c r="B12016" s="24" t="s">
        <v>14330</v>
      </c>
      <c r="C12016" s="25">
        <v>39300</v>
      </c>
      <c r="D12016" s="22" t="s">
        <v>14331</v>
      </c>
      <c r="E12016" s="22" t="s">
        <v>103</v>
      </c>
      <c r="F12016" s="23" t="str">
        <f>HYPERLINK("https://www.spark-marketing.ru/Card/Lot/68816231", "Услуги по техническому обслуживанию камер видеонаблюдения")</f>
        <v>Услуги по техническому обслуживанию камер видеонаблюдения</v>
      </c>
      <c r="G12016" s="22" t="s">
        <v>50</v>
      </c>
      <c r="H12016" s="22" t="s">
        <v>682</v>
      </c>
      <c r="I12016" s="26">
        <v>43542.877766203703</v>
      </c>
      <c r="J12016" s="28" t="s">
        <v>52</v>
      </c>
      <c r="K12016" s="28" t="s">
        <v>52</v>
      </c>
      <c r="L12016" s="28" t="s">
        <v>52</v>
      </c>
      <c r="M12016" s="28" t="s">
        <v>52</v>
      </c>
      <c r="N12016" s="28" t="s">
        <v>52</v>
      </c>
    </row>
    <row r="12017" spans="1:14" x14ac:dyDescent="0.15">
      <c r="A12017" s="23" t="str">
        <f>HYPERLINK("https://www.spark-marketing.ru/Card/Person/82917", "МБДОУ ""ДЕТСКИЙ САД № 37""")</f>
        <v>МБДОУ "ДЕТСКИЙ САД № 37"</v>
      </c>
      <c r="B12017" s="24" t="s">
        <v>14332</v>
      </c>
      <c r="C12017" s="25">
        <v>35000</v>
      </c>
      <c r="D12017" s="22" t="s">
        <v>14333</v>
      </c>
      <c r="E12017" s="22" t="s">
        <v>294</v>
      </c>
      <c r="F12017" s="23" t="str">
        <f>HYPERLINK("https://www.spark-marketing.ru/Card/Lot/68802394", "То видеонаблюдения")</f>
        <v>То видеонаблюдения</v>
      </c>
      <c r="G12017" s="22" t="s">
        <v>50</v>
      </c>
      <c r="H12017" s="22" t="s">
        <v>432</v>
      </c>
      <c r="I12017" s="26">
        <v>43542.794409722199</v>
      </c>
      <c r="J12017" s="28" t="s">
        <v>52</v>
      </c>
      <c r="K12017" s="28" t="s">
        <v>52</v>
      </c>
      <c r="L12017" s="28" t="s">
        <v>52</v>
      </c>
      <c r="M12017" s="28" t="s">
        <v>52</v>
      </c>
      <c r="N12017" s="28" t="s">
        <v>52</v>
      </c>
    </row>
    <row r="12018" spans="1:14" x14ac:dyDescent="0.15">
      <c r="A12018" s="23" t="str">
        <f>HYPERLINK("https://www.spark-marketing.ru/Card/Person/27242", "ГБУЗ ""ДГП № 52 ДЗМ""")</f>
        <v>ГБУЗ "ДГП № 52 ДЗМ"</v>
      </c>
      <c r="B12018" s="24" t="s">
        <v>14334</v>
      </c>
      <c r="C12018" s="25">
        <v>274576.3</v>
      </c>
      <c r="D12018" s="22" t="s">
        <v>14335</v>
      </c>
      <c r="E12018" s="22" t="s">
        <v>107</v>
      </c>
      <c r="F12018" s="23" t="str">
        <f>HYPERLINK("https://www.spark-marketing.ru/Card/Lot/68814176", "Оказание услуг по техническому обслуживанию системы передачи тревожных сообщений на пульт (01) и (02) в помещениях ГБУЗ «ДГП № 52 ДЗМ» в 2019 году")</f>
        <v>Оказание услуг по техническому обслуживанию системы передачи тревожных сообщений на пульт (01) и (02) в помещениях ГБУЗ «ДГП № 52 ДЗМ» в 2019 году</v>
      </c>
      <c r="G12018" s="22" t="s">
        <v>55</v>
      </c>
      <c r="H12018" s="22" t="s">
        <v>55</v>
      </c>
      <c r="I12018" s="26">
        <v>43542.767361111102</v>
      </c>
      <c r="J12018" s="28" t="s">
        <v>52</v>
      </c>
      <c r="K12018" s="28" t="s">
        <v>52</v>
      </c>
      <c r="L12018" s="28" t="s">
        <v>52</v>
      </c>
      <c r="M12018" s="28" t="s">
        <v>52</v>
      </c>
      <c r="N12018" s="28" t="s">
        <v>52</v>
      </c>
    </row>
    <row r="12019" spans="1:14" ht="12.75" hidden="1" outlineLevel="1" x14ac:dyDescent="0.2">
      <c r="A12019" s="23" t="str">
        <f>HYPERLINK("https://www.spark-marketing.ru/Card/Person/27242", "ГБУЗ ""ДГП № 52 ДЗМ""")</f>
        <v>ГБУЗ "ДГП № 52 ДЗМ"</v>
      </c>
      <c r="B12019" s="24" t="s">
        <v>14334</v>
      </c>
      <c r="C12019" s="25">
        <v>274576.3</v>
      </c>
      <c r="D12019" s="22" t="s">
        <v>14335</v>
      </c>
      <c r="E12019" s="22" t="s">
        <v>107</v>
      </c>
      <c r="F12019" s="23" t="str">
        <f>HYPERLINK("https://www.spark-marketing.ru/Card/Lot/68814176", "Оказание услуг по техническому обслуживанию системы передачи тревожных сообщений на пульт (01) и (02) в помещениях ГБУЗ «ДГП № 52 ДЗМ» в 2019 году")</f>
        <v>Оказание услуг по техническому обслуживанию системы передачи тревожных сообщений на пульт (01) и (02) в помещениях ГБУЗ «ДГП № 52 ДЗМ» в 2019 году</v>
      </c>
      <c r="G12019" s="22" t="s">
        <v>55</v>
      </c>
      <c r="H12019" s="22" t="s">
        <v>55</v>
      </c>
      <c r="I12019" s="26">
        <v>43542.767361111102</v>
      </c>
      <c r="J12019" s="23" t="str">
        <f>HYPERLINK("https://www.spark-marketing.ru/Card/Person/925596", "ООО ""СПЕЦМОНТАЖ-А""")</f>
        <v>ООО "СПЕЦМОНТАЖ-А"</v>
      </c>
      <c r="K12019" s="24" t="s">
        <v>4217</v>
      </c>
      <c r="L12019" s="22" t="s">
        <v>10</v>
      </c>
      <c r="M12019" s="25">
        <v>217836.18</v>
      </c>
      <c r="N12019" s="27">
        <v>0.20664609436429873</v>
      </c>
    </row>
    <row r="12020" spans="1:14" hidden="1" outlineLevel="1" x14ac:dyDescent="0.2">
      <c r="A12020" s="23" t="str">
        <f>HYPERLINK("https://www.spark-marketing.ru/Card/Person/27242", "ГБУЗ ""ДГП № 52 ДЗМ""")</f>
        <v>ГБУЗ "ДГП № 52 ДЗМ"</v>
      </c>
      <c r="B12020" s="24" t="s">
        <v>14334</v>
      </c>
      <c r="C12020" s="25">
        <v>274576.3</v>
      </c>
      <c r="D12020" s="22" t="s">
        <v>14335</v>
      </c>
      <c r="E12020" s="22" t="s">
        <v>107</v>
      </c>
      <c r="F12020" s="23" t="str">
        <f>HYPERLINK("https://www.spark-marketing.ru/Card/Lot/68814176", "Оказание услуг по техническому обслуживанию системы передачи тревожных сообщений на пульт (01) и (02) в помещениях ГБУЗ «ДГП № 52 ДЗМ» в 2019 году")</f>
        <v>Оказание услуг по техническому обслуживанию системы передачи тревожных сообщений на пульт (01) и (02) в помещениях ГБУЗ «ДГП № 52 ДЗМ» в 2019 году</v>
      </c>
      <c r="G12020" s="22" t="s">
        <v>55</v>
      </c>
      <c r="H12020" s="22" t="s">
        <v>55</v>
      </c>
      <c r="I12020" s="26">
        <v>43542.767361111102</v>
      </c>
      <c r="J12020" s="23" t="str">
        <f>HYPERLINK("https://www.spark-marketing.ru/Card/Person/6785", "ООО ""КБК""")</f>
        <v>ООО "КБК"</v>
      </c>
      <c r="K12020" s="24" t="s">
        <v>14336</v>
      </c>
      <c r="L12020" s="28" t="s">
        <v>52</v>
      </c>
      <c r="M12020" s="25">
        <v>219209.06</v>
      </c>
      <c r="N12020" s="27">
        <v>0.20164609982726112</v>
      </c>
    </row>
    <row r="12021" spans="1:14" x14ac:dyDescent="0.15">
      <c r="A12021" s="23" t="str">
        <f>HYPERLINK("https://www.spark-marketing.ru/Card/Person/4348484", "ОАО ""МРСК УРАЛА""")</f>
        <v>ОАО "МРСК УРАЛА"</v>
      </c>
      <c r="B12021" s="24" t="s">
        <v>3612</v>
      </c>
      <c r="C12021" s="25">
        <v>5305206.04</v>
      </c>
      <c r="D12021" s="22" t="s">
        <v>14337</v>
      </c>
      <c r="E12021" s="22" t="s">
        <v>49</v>
      </c>
      <c r="F12021" s="23" t="str">
        <f>HYPERLINK("https://www.spark-marketing.ru/Card/Lot/68798855", "СМР. Модернизация ПС 110 кВ (установка систем видеонаблюдения) ПО ""ЗЭС"" (4 шт.)")</f>
        <v>СМР. Модернизация ПС 110 кВ (установка систем видеонаблюдения) ПО "ЗЭС" (4 шт.)</v>
      </c>
      <c r="G12021" s="22" t="s">
        <v>60</v>
      </c>
      <c r="H12021" s="22" t="s">
        <v>60</v>
      </c>
      <c r="I12021" s="26">
        <v>43542.763495370396</v>
      </c>
      <c r="J12021" s="28" t="s">
        <v>52</v>
      </c>
      <c r="K12021" s="28" t="s">
        <v>52</v>
      </c>
      <c r="L12021" s="28" t="s">
        <v>52</v>
      </c>
      <c r="M12021" s="28" t="s">
        <v>52</v>
      </c>
      <c r="N12021" s="28" t="s">
        <v>52</v>
      </c>
    </row>
    <row r="12022" spans="1:14" hidden="1" outlineLevel="1" x14ac:dyDescent="0.15">
      <c r="A12022" s="23" t="str">
        <f>HYPERLINK("https://www.spark-marketing.ru/Card/Person/4348484", "ОАО ""МРСК УРАЛА""")</f>
        <v>ОАО "МРСК УРАЛА"</v>
      </c>
      <c r="B12022" s="24" t="s">
        <v>3612</v>
      </c>
      <c r="C12022" s="28" t="s">
        <v>52</v>
      </c>
      <c r="D12022" s="22" t="s">
        <v>14337</v>
      </c>
      <c r="E12022" s="22" t="s">
        <v>49</v>
      </c>
      <c r="F12022" s="23" t="str">
        <f>HYPERLINK("https://www.spark-marketing.ru/Card/Lot/68798855", "СМР. Модернизация ПС 110 кВ (установка систем видеонаблюдения) ПО ""ЗЭС"" (4 шт.)")</f>
        <v>СМР. Модернизация ПС 110 кВ (установка систем видеонаблюдения) ПО "ЗЭС" (4 шт.)</v>
      </c>
      <c r="G12022" s="22" t="s">
        <v>60</v>
      </c>
      <c r="H12022" s="22" t="s">
        <v>60</v>
      </c>
      <c r="I12022" s="26">
        <v>43542.763495370396</v>
      </c>
      <c r="J12022" s="23" t="str">
        <f>HYPERLINK("https://www.spark-marketing.ru/Card/Person/6520173", "ЗАЯВКА 7233")</f>
        <v>ЗАЯВКА 7233</v>
      </c>
      <c r="K12022" s="28" t="s">
        <v>52</v>
      </c>
      <c r="L12022" s="28" t="s">
        <v>52</v>
      </c>
      <c r="M12022" s="28" t="s">
        <v>52</v>
      </c>
      <c r="N12022" s="28" t="s">
        <v>52</v>
      </c>
    </row>
    <row r="12023" spans="1:14" hidden="1" outlineLevel="1" x14ac:dyDescent="0.15">
      <c r="A12023" s="23" t="str">
        <f>HYPERLINK("https://www.spark-marketing.ru/Card/Person/4348484", "ОАО ""МРСК УРАЛА""")</f>
        <v>ОАО "МРСК УРАЛА"</v>
      </c>
      <c r="B12023" s="24" t="s">
        <v>3612</v>
      </c>
      <c r="C12023" s="28" t="s">
        <v>52</v>
      </c>
      <c r="D12023" s="22" t="s">
        <v>14337</v>
      </c>
      <c r="E12023" s="22" t="s">
        <v>49</v>
      </c>
      <c r="F12023" s="23" t="str">
        <f>HYPERLINK("https://www.spark-marketing.ru/Card/Lot/68798855", "СМР. Модернизация ПС 110 кВ (установка систем видеонаблюдения) ПО ""ЗЭС"" (4 шт.)")</f>
        <v>СМР. Модернизация ПС 110 кВ (установка систем видеонаблюдения) ПО "ЗЭС" (4 шт.)</v>
      </c>
      <c r="G12023" s="22" t="s">
        <v>60</v>
      </c>
      <c r="H12023" s="22" t="s">
        <v>60</v>
      </c>
      <c r="I12023" s="26">
        <v>43542.763495370396</v>
      </c>
      <c r="J12023" s="23" t="str">
        <f>HYPERLINK("https://www.spark-marketing.ru/Card/Person/1905065", "ЗАЯВКА")</f>
        <v>ЗАЯВКА</v>
      </c>
      <c r="K12023" s="24" t="s">
        <v>10745</v>
      </c>
      <c r="L12023" s="28" t="s">
        <v>52</v>
      </c>
      <c r="M12023" s="28" t="s">
        <v>52</v>
      </c>
      <c r="N12023" s="28" t="s">
        <v>52</v>
      </c>
    </row>
    <row r="12024" spans="1:14" hidden="1" outlineLevel="1" x14ac:dyDescent="0.2">
      <c r="A12024" s="23" t="str">
        <f>HYPERLINK("https://www.spark-marketing.ru/Card/Person/4348484", "ОАО ""МРСК УРАЛА""")</f>
        <v>ОАО "МРСК УРАЛА"</v>
      </c>
      <c r="B12024" s="24" t="s">
        <v>3612</v>
      </c>
      <c r="C12024" s="28" t="s">
        <v>52</v>
      </c>
      <c r="D12024" s="22" t="s">
        <v>14337</v>
      </c>
      <c r="E12024" s="22" t="s">
        <v>49</v>
      </c>
      <c r="F12024" s="23" t="str">
        <f>HYPERLINK("https://www.spark-marketing.ru/Card/Lot/68798855", "СМР. Модернизация ПС 110 кВ (установка систем видеонаблюдения) ПО ""ЗЭС"" (4 шт.)")</f>
        <v>СМР. Модернизация ПС 110 кВ (установка систем видеонаблюдения) ПО "ЗЭС" (4 шт.)</v>
      </c>
      <c r="G12024" s="22" t="s">
        <v>60</v>
      </c>
      <c r="H12024" s="22" t="s">
        <v>60</v>
      </c>
      <c r="I12024" s="26">
        <v>43542.763495370396</v>
      </c>
      <c r="J12024" s="23" t="str">
        <f>HYPERLINK("https://www.spark-marketing.ru/Card/Person/61831", "ООО ""ЭНЕРГОИНЖИНИРИНГ""")</f>
        <v>ООО "ЭНЕРГОИНЖИНИРИНГ"</v>
      </c>
      <c r="K12024" s="24" t="s">
        <v>14338</v>
      </c>
      <c r="L12024" s="28" t="s">
        <v>52</v>
      </c>
      <c r="M12024" s="25">
        <v>5252153</v>
      </c>
      <c r="N12024" s="27">
        <v>1.0000184648813375E-2</v>
      </c>
    </row>
    <row r="12025" spans="1:14" x14ac:dyDescent="0.15">
      <c r="A12025" s="23" t="str">
        <f>HYPERLINK("https://www.spark-marketing.ru/Card/Person/147053", "МОУ СОШ №20")</f>
        <v>МОУ СОШ №20</v>
      </c>
      <c r="B12025" s="24" t="s">
        <v>14339</v>
      </c>
      <c r="C12025" s="25">
        <v>135570</v>
      </c>
      <c r="D12025" s="22" t="s">
        <v>14340</v>
      </c>
      <c r="E12025" s="22" t="s">
        <v>84</v>
      </c>
      <c r="F12025" s="23" t="str">
        <f>HYPERLINK("https://www.spark-marketing.ru/Card/Lot/68798469", "Оказание услуг по установке системы видеонаблюдения для проведения ОГЭ")</f>
        <v>Оказание услуг по установке системы видеонаблюдения для проведения ОГЭ</v>
      </c>
      <c r="G12025" s="22" t="s">
        <v>50</v>
      </c>
      <c r="H12025" s="22" t="s">
        <v>569</v>
      </c>
      <c r="I12025" s="26">
        <v>43542.742650462998</v>
      </c>
      <c r="J12025" s="28" t="s">
        <v>52</v>
      </c>
      <c r="K12025" s="28" t="s">
        <v>52</v>
      </c>
      <c r="L12025" s="28" t="s">
        <v>52</v>
      </c>
      <c r="M12025" s="28" t="s">
        <v>52</v>
      </c>
      <c r="N12025" s="28" t="s">
        <v>52</v>
      </c>
    </row>
    <row r="12026" spans="1:14" x14ac:dyDescent="0.15">
      <c r="A12026" s="23" t="str">
        <f>HYPERLINK("https://www.spark-marketing.ru/Card/Person/5818", "МКУ ""ЖКЭС""")</f>
        <v>МКУ "ЖКЭС"</v>
      </c>
      <c r="B12026" s="24" t="s">
        <v>14341</v>
      </c>
      <c r="C12026" s="25">
        <v>6397388.7599999998</v>
      </c>
      <c r="D12026" s="22" t="s">
        <v>14342</v>
      </c>
      <c r="E12026" s="22" t="s">
        <v>107</v>
      </c>
      <c r="F12026" s="23" t="str">
        <f>HYPERLINK("https://www.spark-marketing.ru/Card/Lot/68810107", "выполнение работ по содержанию автомобильной дороги в границах охраняемого регулируемого железнодорожного переезда на 47км ПК10 перегона Армязь-Сайгатка в рамках обслуживания систем сигнализации, г. Чайковский Пермского края")</f>
        <v>выполнение работ по содержанию автомобильной дороги в границах охраняемого регулируемого железнодорожного переезда на 47км ПК10 перегона Армязь-Сайгатка в рамках обслуживания систем сигнализации, г. Чайковский Пермского края</v>
      </c>
      <c r="G12026" s="22" t="s">
        <v>391</v>
      </c>
      <c r="H12026" s="22" t="s">
        <v>391</v>
      </c>
      <c r="I12026" s="26">
        <v>43542.728472222203</v>
      </c>
      <c r="J12026" s="28" t="s">
        <v>52</v>
      </c>
      <c r="K12026" s="28" t="s">
        <v>52</v>
      </c>
      <c r="L12026" s="28" t="s">
        <v>52</v>
      </c>
      <c r="M12026" s="28" t="s">
        <v>52</v>
      </c>
      <c r="N12026" s="28" t="s">
        <v>52</v>
      </c>
    </row>
    <row r="12027" spans="1:14" x14ac:dyDescent="0.15">
      <c r="A12027" s="23" t="str">
        <f>HYPERLINK("https://www.spark-marketing.ru/Card/Person/4349294", "ГБУЗ МО ""ВЕРЕЙСКАЯ УЧАСТКОВАЯ БОЛЬНИЦА""")</f>
        <v>ГБУЗ МО "ВЕРЕЙСКАЯ УЧАСТКОВАЯ БОЛЬНИЦА"</v>
      </c>
      <c r="B12027" s="24" t="s">
        <v>14343</v>
      </c>
      <c r="C12027" s="25">
        <v>90114</v>
      </c>
      <c r="D12027" s="22" t="s">
        <v>14344</v>
      </c>
      <c r="E12027" s="22" t="s">
        <v>294</v>
      </c>
      <c r="F12027" s="23" t="str">
        <f>HYPERLINK("https://www.spark-marketing.ru/Card/Lot/68798458", "Услуги по техническому обслуживанию системы видеонаблюдения для нужд ГБУЗ МО ""Верейская участковая больница""")</f>
        <v>Услуги по техническому обслуживанию системы видеонаблюдения для нужд ГБУЗ МО "Верейская участковая больница"</v>
      </c>
      <c r="G12027" s="22" t="s">
        <v>50</v>
      </c>
      <c r="H12027" s="22" t="s">
        <v>104</v>
      </c>
      <c r="I12027" s="26">
        <v>43542.742488425902</v>
      </c>
      <c r="J12027" s="28" t="s">
        <v>52</v>
      </c>
      <c r="K12027" s="28" t="s">
        <v>52</v>
      </c>
      <c r="L12027" s="28" t="s">
        <v>52</v>
      </c>
      <c r="M12027" s="28" t="s">
        <v>52</v>
      </c>
      <c r="N12027" s="28" t="s">
        <v>52</v>
      </c>
    </row>
    <row r="12028" spans="1:14" x14ac:dyDescent="0.15">
      <c r="A12028" s="23" t="str">
        <f>HYPERLINK("https://www.spark-marketing.ru/Card/Person/1081232", "ФКУ КП-4 УФСИН РОССИИ ПО ЕВРЕЙСКОЙ АВТОНОМНОЙ ОБЛАСТИ")</f>
        <v>ФКУ КП-4 УФСИН РОССИИ ПО ЕВРЕЙСКОЙ АВТОНОМНОЙ ОБЛАСТИ</v>
      </c>
      <c r="B12028" s="24" t="s">
        <v>14345</v>
      </c>
      <c r="C12028" s="25">
        <v>15000</v>
      </c>
      <c r="D12028" s="22" t="s">
        <v>14346</v>
      </c>
      <c r="E12028" s="22" t="s">
        <v>14347</v>
      </c>
      <c r="F12028" s="23" t="str">
        <f>HYPERLINK("https://www.spark-marketing.ru/Card/Lot/68799914", "Поставка материалов для проведения технического обслуживания средств охраны и надзора")</f>
        <v>Поставка материалов для проведения технического обслуживания средств охраны и надзора</v>
      </c>
      <c r="G12028" s="22" t="s">
        <v>6409</v>
      </c>
      <c r="H12028" s="22" t="s">
        <v>6409</v>
      </c>
      <c r="I12028" s="26">
        <v>43542.709027777797</v>
      </c>
      <c r="J12028" s="23" t="str">
        <f>HYPERLINK("https://www.spark-marketing.ru/Card/Person/222784", "Медведев Алексей Тимофеевич")</f>
        <v>Медведев Алексей Тимофеевич</v>
      </c>
      <c r="K12028" s="24" t="s">
        <v>14348</v>
      </c>
      <c r="L12028" s="22" t="s">
        <v>10</v>
      </c>
      <c r="M12028" s="28" t="s">
        <v>52</v>
      </c>
      <c r="N12028" s="28" t="s">
        <v>52</v>
      </c>
    </row>
    <row r="12029" spans="1:14" x14ac:dyDescent="0.15">
      <c r="A12029" s="23" t="str">
        <f>HYPERLINK("https://www.spark-marketing.ru/Card/Person/13659", "КУЗ ВО ""ВОКПТД ИМ. Н.С. ПОХВИСНЕВОЙ """)</f>
        <v>КУЗ ВО "ВОКПТД ИМ. Н.С. ПОХВИСНЕВОЙ "</v>
      </c>
      <c r="B12029" s="24" t="s">
        <v>11519</v>
      </c>
      <c r="C12029" s="25">
        <v>131087.70000000001</v>
      </c>
      <c r="D12029" s="22" t="s">
        <v>14349</v>
      </c>
      <c r="E12029" s="22" t="s">
        <v>107</v>
      </c>
      <c r="F12029" s="23" t="str">
        <f>HYPERLINK("https://www.spark-marketing.ru/Card/Lot/68813587", "2019-01086)) Техническое обслуживание охранной сигнализации Корпусов № 1,2,3")</f>
        <v>2019-01086)) Техническое обслуживание охранной сигнализации Корпусов № 1,2,3</v>
      </c>
      <c r="G12029" s="22" t="s">
        <v>552</v>
      </c>
      <c r="H12029" s="22" t="s">
        <v>886</v>
      </c>
      <c r="I12029" s="26">
        <v>43542.708333333299</v>
      </c>
      <c r="J12029" s="28" t="s">
        <v>52</v>
      </c>
      <c r="K12029" s="28" t="s">
        <v>52</v>
      </c>
      <c r="L12029" s="28" t="s">
        <v>52</v>
      </c>
      <c r="M12029" s="28" t="s">
        <v>52</v>
      </c>
      <c r="N12029" s="28" t="s">
        <v>52</v>
      </c>
    </row>
    <row r="12030" spans="1:14" ht="12.75" hidden="1" outlineLevel="1" x14ac:dyDescent="0.2">
      <c r="A12030" s="23" t="str">
        <f>HYPERLINK("https://www.spark-marketing.ru/Card/Person/13659", "КУЗ ВО ""ВОКПТД ИМ. Н.С. ПОХВИСНЕВОЙ """)</f>
        <v>КУЗ ВО "ВОКПТД ИМ. Н.С. ПОХВИСНЕВОЙ "</v>
      </c>
      <c r="B12030" s="24" t="s">
        <v>11519</v>
      </c>
      <c r="C12030" s="25">
        <v>131087.70000000001</v>
      </c>
      <c r="D12030" s="22" t="s">
        <v>14349</v>
      </c>
      <c r="E12030" s="22" t="s">
        <v>107</v>
      </c>
      <c r="F12030" s="23" t="str">
        <f>HYPERLINK("https://www.spark-marketing.ru/Card/Lot/68813587", "2019-01086)) Техническое обслуживание охранной сигнализации Корпусов № 1,2,3")</f>
        <v>2019-01086)) Техническое обслуживание охранной сигнализации Корпусов № 1,2,3</v>
      </c>
      <c r="G12030" s="22" t="s">
        <v>552</v>
      </c>
      <c r="H12030" s="22" t="s">
        <v>886</v>
      </c>
      <c r="I12030" s="26">
        <v>43542.708333333299</v>
      </c>
      <c r="J12030" s="23" t="str">
        <f>HYPERLINK("https://www.spark-marketing.ru/Card/Person/510393", "Болотнов Юрий Александрович")</f>
        <v>Болотнов Юрий Александрович</v>
      </c>
      <c r="K12030" s="24" t="s">
        <v>11521</v>
      </c>
      <c r="L12030" s="22" t="s">
        <v>10</v>
      </c>
      <c r="M12030" s="25">
        <v>67510.16</v>
      </c>
      <c r="N12030" s="27">
        <v>0.48500004195664431</v>
      </c>
    </row>
    <row r="12031" spans="1:14" hidden="1" outlineLevel="1" x14ac:dyDescent="0.2">
      <c r="A12031" s="23" t="str">
        <f>HYPERLINK("https://www.spark-marketing.ru/Card/Person/13659", "КУЗ ВО ""ВОКПТД ИМ. Н.С. ПОХВИСНЕВОЙ """)</f>
        <v>КУЗ ВО "ВОКПТД ИМ. Н.С. ПОХВИСНЕВОЙ "</v>
      </c>
      <c r="B12031" s="24" t="s">
        <v>11519</v>
      </c>
      <c r="C12031" s="25">
        <v>131087.70000000001</v>
      </c>
      <c r="D12031" s="22" t="s">
        <v>14349</v>
      </c>
      <c r="E12031" s="22" t="s">
        <v>107</v>
      </c>
      <c r="F12031" s="23" t="str">
        <f>HYPERLINK("https://www.spark-marketing.ru/Card/Lot/68813587", "2019-01086)) Техническое обслуживание охранной сигнализации Корпусов № 1,2,3")</f>
        <v>2019-01086)) Техническое обслуживание охранной сигнализации Корпусов № 1,2,3</v>
      </c>
      <c r="G12031" s="22" t="s">
        <v>552</v>
      </c>
      <c r="H12031" s="22" t="s">
        <v>886</v>
      </c>
      <c r="I12031" s="26">
        <v>43542.708333333299</v>
      </c>
      <c r="J12031" s="23" t="str">
        <f>HYPERLINK("https://www.spark-marketing.ru/Card/Person/1920691", "ООО ""КОМБАТ""")</f>
        <v>ООО "КОМБАТ"</v>
      </c>
      <c r="K12031" s="24" t="s">
        <v>8784</v>
      </c>
      <c r="L12031" s="28" t="s">
        <v>52</v>
      </c>
      <c r="M12031" s="25">
        <v>74064.539999999994</v>
      </c>
      <c r="N12031" s="27">
        <v>0.43500008009904817</v>
      </c>
    </row>
    <row r="12032" spans="1:14" x14ac:dyDescent="0.15">
      <c r="A12032" s="23" t="str">
        <f>HYPERLINK("https://www.spark-marketing.ru/Card/Person/5818", "МКУ ""ЖКЭС""")</f>
        <v>МКУ "ЖКЭС"</v>
      </c>
      <c r="B12032" s="24" t="s">
        <v>14341</v>
      </c>
      <c r="C12032" s="25">
        <v>936852.6</v>
      </c>
      <c r="D12032" s="22" t="s">
        <v>14350</v>
      </c>
      <c r="E12032" s="22" t="s">
        <v>107</v>
      </c>
      <c r="F12032" s="23" t="str">
        <f>HYPERLINK("https://www.spark-marketing.ru/Card/Lot/68811288", "Выполнение работ по содержанию автомобильных дорог в границах переездов на 46 км и 47 км перегона Ужуиха-Сайгатка в рамках обслуживание систем сигнализации, г. Чайковский Пермского края")</f>
        <v>Выполнение работ по содержанию автомобильных дорог в границах переездов на 46 км и 47 км перегона Ужуиха-Сайгатка в рамках обслуживание систем сигнализации, г. Чайковский Пермского края</v>
      </c>
      <c r="G12032" s="22" t="s">
        <v>391</v>
      </c>
      <c r="H12032" s="22" t="s">
        <v>391</v>
      </c>
      <c r="I12032" s="26">
        <v>43542.729861111096</v>
      </c>
      <c r="J12032" s="28" t="s">
        <v>52</v>
      </c>
      <c r="K12032" s="28" t="s">
        <v>52</v>
      </c>
      <c r="L12032" s="28" t="s">
        <v>52</v>
      </c>
      <c r="M12032" s="28" t="s">
        <v>52</v>
      </c>
      <c r="N12032" s="28" t="s">
        <v>52</v>
      </c>
    </row>
    <row r="12033" spans="1:14" x14ac:dyDescent="0.15">
      <c r="A12033" s="23" t="str">
        <f>HYPERLINK("https://www.spark-marketing.ru/Card/Person/1516673", "МАДОУ № 31 ""КРЕПЫШ""")</f>
        <v>МАДОУ № 31 "КРЕПЫШ"</v>
      </c>
      <c r="B12033" s="24" t="s">
        <v>14351</v>
      </c>
      <c r="C12033" s="25">
        <v>66000</v>
      </c>
      <c r="D12033" s="22" t="s">
        <v>14352</v>
      </c>
      <c r="E12033" s="22" t="s">
        <v>103</v>
      </c>
      <c r="F12033" s="23" t="str">
        <f>HYPERLINK("https://www.spark-marketing.ru/Card/Lot/68798459", "на оказание услуг по техническому обслуживанию системы видеонаблюдения")</f>
        <v>на оказание услуг по техническому обслуживанию системы видеонаблюдения</v>
      </c>
      <c r="G12033" s="22" t="s">
        <v>50</v>
      </c>
      <c r="H12033" s="22" t="s">
        <v>12149</v>
      </c>
      <c r="I12033" s="26">
        <v>43542.7425</v>
      </c>
      <c r="J12033" s="28" t="s">
        <v>52</v>
      </c>
      <c r="K12033" s="28" t="s">
        <v>52</v>
      </c>
      <c r="L12033" s="28" t="s">
        <v>52</v>
      </c>
      <c r="M12033" s="28" t="s">
        <v>52</v>
      </c>
      <c r="N12033" s="28" t="s">
        <v>52</v>
      </c>
    </row>
    <row r="12034" spans="1:14" x14ac:dyDescent="0.15">
      <c r="A12034" s="23" t="str">
        <f>HYPERLINK("https://www.spark-marketing.ru/Card/Person/119430", "АРБИТРАЖНЫЙ СУД КАБАРДИНО-БАЛКАРСКОЙ РЕСПУБЛИКИ")</f>
        <v>АРБИТРАЖНЫЙ СУД КАБАРДИНО-БАЛКАРСКОЙ РЕСПУБЛИКИ</v>
      </c>
      <c r="B12034" s="24" t="s">
        <v>14353</v>
      </c>
      <c r="C12034" s="25">
        <v>100000</v>
      </c>
      <c r="D12034" s="22" t="s">
        <v>14354</v>
      </c>
      <c r="E12034" s="22" t="s">
        <v>194</v>
      </c>
      <c r="F12034" s="23" t="str">
        <f>HYPERLINK("https://www.spark-marketing.ru/Card/Lot/68812924", "обслуживание систем охранного видеонаблюдение")</f>
        <v>обслуживание систем охранного видеонаблюдение</v>
      </c>
      <c r="G12034" s="22" t="s">
        <v>110</v>
      </c>
      <c r="H12034" s="22" t="s">
        <v>111</v>
      </c>
      <c r="I12034" s="26">
        <v>43542.730555555601</v>
      </c>
      <c r="J12034" s="28" t="s">
        <v>52</v>
      </c>
      <c r="K12034" s="28" t="s">
        <v>52</v>
      </c>
      <c r="L12034" s="28" t="s">
        <v>52</v>
      </c>
      <c r="M12034" s="28" t="s">
        <v>52</v>
      </c>
      <c r="N12034" s="28" t="s">
        <v>52</v>
      </c>
    </row>
    <row r="12035" spans="1:14" ht="12.75" hidden="1" outlineLevel="1" x14ac:dyDescent="0.2">
      <c r="A12035" s="23" t="str">
        <f>HYPERLINK("https://www.spark-marketing.ru/Card/Person/119430", "АРБИТРАЖНЫЙ СУД КАБАРДИНО-БАЛКАРСКОЙ РЕСПУБЛИКИ")</f>
        <v>АРБИТРАЖНЫЙ СУД КАБАРДИНО-БАЛКАРСКОЙ РЕСПУБЛИКИ</v>
      </c>
      <c r="B12035" s="24" t="s">
        <v>14353</v>
      </c>
      <c r="C12035" s="25">
        <v>100000</v>
      </c>
      <c r="D12035" s="22" t="s">
        <v>14354</v>
      </c>
      <c r="E12035" s="22" t="s">
        <v>194</v>
      </c>
      <c r="F12035" s="23" t="str">
        <f>HYPERLINK("https://www.spark-marketing.ru/Card/Lot/68812924", "обслуживание систем охранного видеонаблюдение")</f>
        <v>обслуживание систем охранного видеонаблюдение</v>
      </c>
      <c r="G12035" s="22" t="s">
        <v>110</v>
      </c>
      <c r="H12035" s="22" t="s">
        <v>111</v>
      </c>
      <c r="I12035" s="26">
        <v>43542.730555555601</v>
      </c>
      <c r="J12035" s="23" t="str">
        <f>HYPERLINK("https://www.spark-marketing.ru/Card/Person/4890981", "ООО ""МАШУК-ТЕЛЕКОМ""")</f>
        <v>ООО "МАШУК-ТЕЛЕКОМ"</v>
      </c>
      <c r="K12035" s="24" t="s">
        <v>6024</v>
      </c>
      <c r="L12035" s="22" t="s">
        <v>10</v>
      </c>
      <c r="M12035" s="25">
        <v>89500</v>
      </c>
      <c r="N12035" s="27">
        <v>0.105</v>
      </c>
    </row>
    <row r="12036" spans="1:14" hidden="1" outlineLevel="1" x14ac:dyDescent="0.2">
      <c r="A12036" s="23" t="str">
        <f>HYPERLINK("https://www.spark-marketing.ru/Card/Person/119430", "АРБИТРАЖНЫЙ СУД КАБАРДИНО-БАЛКАРСКОЙ РЕСПУБЛИКИ")</f>
        <v>АРБИТРАЖНЫЙ СУД КАБАРДИНО-БАЛКАРСКОЙ РЕСПУБЛИКИ</v>
      </c>
      <c r="B12036" s="24" t="s">
        <v>14353</v>
      </c>
      <c r="C12036" s="25">
        <v>100000</v>
      </c>
      <c r="D12036" s="22" t="s">
        <v>14354</v>
      </c>
      <c r="E12036" s="22" t="s">
        <v>194</v>
      </c>
      <c r="F12036" s="23" t="str">
        <f>HYPERLINK("https://www.spark-marketing.ru/Card/Lot/68812924", "обслуживание систем охранного видеонаблюдение")</f>
        <v>обслуживание систем охранного видеонаблюдение</v>
      </c>
      <c r="G12036" s="22" t="s">
        <v>110</v>
      </c>
      <c r="H12036" s="22" t="s">
        <v>111</v>
      </c>
      <c r="I12036" s="26">
        <v>43542.730555555601</v>
      </c>
      <c r="J12036" s="23" t="str">
        <f>HYPERLINK("https://www.spark-marketing.ru/Card/Person/148291", "Нартов Сергей Владимирович")</f>
        <v>Нартов Сергей Владимирович</v>
      </c>
      <c r="K12036" s="24" t="s">
        <v>9626</v>
      </c>
      <c r="L12036" s="28" t="s">
        <v>52</v>
      </c>
      <c r="M12036" s="25">
        <v>90000</v>
      </c>
      <c r="N12036" s="27">
        <v>0.1</v>
      </c>
    </row>
    <row r="12037" spans="1:14" x14ac:dyDescent="0.15">
      <c r="A12037" s="23" t="str">
        <f t="shared" ref="A12037:A12042" si="617">HYPERLINK("https://www.spark-marketing.ru/Card/Person/11643", "ФКУЗ ""МСЧ МВД РОССИИ ПО АЛТАЙСКОМУ КРАЮ""")</f>
        <v>ФКУЗ "МСЧ МВД РОССИИ ПО АЛТАЙСКОМУ КРАЮ"</v>
      </c>
      <c r="B12037" s="24" t="s">
        <v>10226</v>
      </c>
      <c r="C12037" s="25">
        <v>104800</v>
      </c>
      <c r="D12037" s="22" t="s">
        <v>14355</v>
      </c>
      <c r="E12037" s="22" t="s">
        <v>59</v>
      </c>
      <c r="F12037" s="23" t="str">
        <f t="shared" ref="F12037:F12042" si="618">HYPERLINK("https://www.spark-marketing.ru/Card/Lot/68800960", "Услуги по техническому обслуживания противопожарной сигнализации")</f>
        <v>Услуги по техническому обслуживания противопожарной сигнализации</v>
      </c>
      <c r="G12037" s="22" t="s">
        <v>428</v>
      </c>
      <c r="H12037" s="22" t="s">
        <v>429</v>
      </c>
      <c r="I12037" s="26">
        <v>43542.673611111102</v>
      </c>
      <c r="J12037" s="28" t="s">
        <v>52</v>
      </c>
      <c r="K12037" s="28" t="s">
        <v>52</v>
      </c>
      <c r="L12037" s="28" t="s">
        <v>52</v>
      </c>
      <c r="M12037" s="28" t="s">
        <v>52</v>
      </c>
      <c r="N12037" s="28" t="s">
        <v>52</v>
      </c>
    </row>
    <row r="12038" spans="1:14" ht="12.75" hidden="1" outlineLevel="1" x14ac:dyDescent="0.2">
      <c r="A12038" s="23" t="str">
        <f t="shared" si="617"/>
        <v>ФКУЗ "МСЧ МВД РОССИИ ПО АЛТАЙСКОМУ КРАЮ"</v>
      </c>
      <c r="B12038" s="24" t="s">
        <v>10226</v>
      </c>
      <c r="C12038" s="25">
        <v>104800</v>
      </c>
      <c r="D12038" s="22" t="s">
        <v>14355</v>
      </c>
      <c r="E12038" s="22" t="s">
        <v>59</v>
      </c>
      <c r="F12038" s="23" t="str">
        <f t="shared" si="618"/>
        <v>Услуги по техническому обслуживания противопожарной сигнализации</v>
      </c>
      <c r="G12038" s="22" t="s">
        <v>428</v>
      </c>
      <c r="H12038" s="22" t="s">
        <v>429</v>
      </c>
      <c r="I12038" s="26">
        <v>43542.673611111102</v>
      </c>
      <c r="J12038" s="23" t="str">
        <f>HYPERLINK("https://www.spark-marketing.ru/Card/Person/183968", """ ВИДЕОТЕХНОЛОГИИ "" ООО")</f>
        <v>" ВИДЕОТЕХНОЛОГИИ " ООО</v>
      </c>
      <c r="K12038" s="24" t="s">
        <v>14356</v>
      </c>
      <c r="L12038" s="22" t="s">
        <v>10</v>
      </c>
      <c r="M12038" s="25">
        <v>32488</v>
      </c>
      <c r="N12038" s="27">
        <v>0.69</v>
      </c>
    </row>
    <row r="12039" spans="1:14" hidden="1" outlineLevel="1" x14ac:dyDescent="0.2">
      <c r="A12039" s="23" t="str">
        <f t="shared" si="617"/>
        <v>ФКУЗ "МСЧ МВД РОССИИ ПО АЛТАЙСКОМУ КРАЮ"</v>
      </c>
      <c r="B12039" s="24" t="s">
        <v>10226</v>
      </c>
      <c r="C12039" s="25">
        <v>104800</v>
      </c>
      <c r="D12039" s="22" t="s">
        <v>14355</v>
      </c>
      <c r="E12039" s="22" t="s">
        <v>59</v>
      </c>
      <c r="F12039" s="23" t="str">
        <f t="shared" si="618"/>
        <v>Услуги по техническому обслуживания противопожарной сигнализации</v>
      </c>
      <c r="G12039" s="22" t="s">
        <v>428</v>
      </c>
      <c r="H12039" s="22" t="s">
        <v>429</v>
      </c>
      <c r="I12039" s="26">
        <v>43542.673611111102</v>
      </c>
      <c r="J12039" s="23" t="str">
        <f>HYPERLINK("https://www.spark-marketing.ru/Card/Person/145638", "Мурзинцев Виталий Игоревич")</f>
        <v>Мурзинцев Виталий Игоревич</v>
      </c>
      <c r="K12039" s="24" t="s">
        <v>14357</v>
      </c>
      <c r="L12039" s="28" t="s">
        <v>52</v>
      </c>
      <c r="M12039" s="25">
        <v>88556</v>
      </c>
      <c r="N12039" s="27">
        <v>0.155</v>
      </c>
    </row>
    <row r="12040" spans="1:14" hidden="1" outlineLevel="1" x14ac:dyDescent="0.2">
      <c r="A12040" s="23" t="str">
        <f t="shared" si="617"/>
        <v>ФКУЗ "МСЧ МВД РОССИИ ПО АЛТАЙСКОМУ КРАЮ"</v>
      </c>
      <c r="B12040" s="24" t="s">
        <v>10226</v>
      </c>
      <c r="C12040" s="25">
        <v>104800</v>
      </c>
      <c r="D12040" s="22" t="s">
        <v>14355</v>
      </c>
      <c r="E12040" s="22" t="s">
        <v>59</v>
      </c>
      <c r="F12040" s="23" t="str">
        <f t="shared" si="618"/>
        <v>Услуги по техническому обслуживания противопожарной сигнализации</v>
      </c>
      <c r="G12040" s="22" t="s">
        <v>428</v>
      </c>
      <c r="H12040" s="22" t="s">
        <v>429</v>
      </c>
      <c r="I12040" s="26">
        <v>43542.673611111102</v>
      </c>
      <c r="J12040" s="23" t="str">
        <f>HYPERLINK("https://www.spark-marketing.ru/Card/Person/126199", "ООО "" СВС""")</f>
        <v>ООО " СВС"</v>
      </c>
      <c r="K12040" s="24" t="s">
        <v>2365</v>
      </c>
      <c r="L12040" s="28" t="s">
        <v>52</v>
      </c>
      <c r="M12040" s="25">
        <v>89604</v>
      </c>
      <c r="N12040" s="27">
        <v>0.14499999999999999</v>
      </c>
    </row>
    <row r="12041" spans="1:14" hidden="1" outlineLevel="1" x14ac:dyDescent="0.2">
      <c r="A12041" s="23" t="str">
        <f t="shared" si="617"/>
        <v>ФКУЗ "МСЧ МВД РОССИИ ПО АЛТАЙСКОМУ КРАЮ"</v>
      </c>
      <c r="B12041" s="24" t="s">
        <v>10226</v>
      </c>
      <c r="C12041" s="25">
        <v>104800</v>
      </c>
      <c r="D12041" s="22" t="s">
        <v>14355</v>
      </c>
      <c r="E12041" s="22" t="s">
        <v>59</v>
      </c>
      <c r="F12041" s="23" t="str">
        <f t="shared" si="618"/>
        <v>Услуги по техническому обслуживания противопожарной сигнализации</v>
      </c>
      <c r="G12041" s="22" t="s">
        <v>428</v>
      </c>
      <c r="H12041" s="22" t="s">
        <v>429</v>
      </c>
      <c r="I12041" s="26">
        <v>43542.673611111102</v>
      </c>
      <c r="J12041" s="23" t="str">
        <f>HYPERLINK("https://www.spark-marketing.ru/Card/Person/529892", "ЗАО ""ТЕХНО""")</f>
        <v>ЗАО "ТЕХНО"</v>
      </c>
      <c r="K12041" s="24" t="s">
        <v>2360</v>
      </c>
      <c r="L12041" s="28" t="s">
        <v>52</v>
      </c>
      <c r="M12041" s="25">
        <v>47160</v>
      </c>
      <c r="N12041" s="27">
        <v>0.55000000000000004</v>
      </c>
    </row>
    <row r="12042" spans="1:14" hidden="1" outlineLevel="1" x14ac:dyDescent="0.2">
      <c r="A12042" s="23" t="str">
        <f t="shared" si="617"/>
        <v>ФКУЗ "МСЧ МВД РОССИИ ПО АЛТАЙСКОМУ КРАЮ"</v>
      </c>
      <c r="B12042" s="24" t="s">
        <v>10226</v>
      </c>
      <c r="C12042" s="25">
        <v>104800</v>
      </c>
      <c r="D12042" s="22" t="s">
        <v>14355</v>
      </c>
      <c r="E12042" s="22" t="s">
        <v>59</v>
      </c>
      <c r="F12042" s="23" t="str">
        <f t="shared" si="618"/>
        <v>Услуги по техническому обслуживания противопожарной сигнализации</v>
      </c>
      <c r="G12042" s="22" t="s">
        <v>428</v>
      </c>
      <c r="H12042" s="22" t="s">
        <v>429</v>
      </c>
      <c r="I12042" s="26">
        <v>43542.673611111102</v>
      </c>
      <c r="J12042" s="23" t="str">
        <f>HYPERLINK("https://www.spark-marketing.ru/Card/Person/106748", "ООО ""РЕЗУЛЬТАТ""")</f>
        <v>ООО "РЕЗУЛЬТАТ"</v>
      </c>
      <c r="K12042" s="24" t="s">
        <v>2655</v>
      </c>
      <c r="L12042" s="28" t="s">
        <v>52</v>
      </c>
      <c r="M12042" s="25">
        <v>33012</v>
      </c>
      <c r="N12042" s="27">
        <v>0.68500000000000005</v>
      </c>
    </row>
    <row r="12043" spans="1:14" x14ac:dyDescent="0.15">
      <c r="A12043" s="23" t="str">
        <f>HYPERLINK("https://www.spark-marketing.ru/Card/Person/24701", "СИБИРСКИЙ УНИВЕРСИТЕТ НАУКИ И ТЕХНОЛОГИЙ, СИБИРСКИЙ ГОСУДАРСТВЕННЫЙ УНИВЕРСИТЕТ, ФГБОУ ВО ""СИБИРСКИЙ ГОСУДАРСТВЕННЫЙ УНИВЕРСИТЕТ НАУКИ И ТЕХНОЛОГИЙ ИМЕНИ АКАДЕМИКА М.Ф. РЕШЕТНЕВА"", СИБГУ ИМ. М.Ф. РЕШЕТНЕВА")</f>
        <v>СИБИРСКИЙ УНИВЕРСИТЕТ НАУКИ И ТЕХНОЛОГИЙ, СИБИРСКИЙ ГОСУДАРСТВЕННЫЙ УНИВЕРСИТЕТ, ФГБОУ ВО "СИБИРСКИЙ ГОСУДАРСТВЕННЫЙ УНИВЕРСИТЕТ НАУКИ И ТЕХНОЛОГИЙ ИМЕНИ АКАДЕМИКА М.Ф. РЕШЕТНЕВА", СИБГУ ИМ. М.Ф. РЕШЕТНЕВА</v>
      </c>
      <c r="B12043" s="24" t="s">
        <v>14358</v>
      </c>
      <c r="C12043" s="25">
        <v>239071.08</v>
      </c>
      <c r="D12043" s="22" t="s">
        <v>14359</v>
      </c>
      <c r="E12043" s="22" t="s">
        <v>789</v>
      </c>
      <c r="F12043" s="23" t="str">
        <f>HYPERLINK("https://www.spark-marketing.ru/Card/Lot/68792930", "Возмещение расходов по техническому обслуживанию инженерно-коммуникационных сетей и содержанию мест общего пользования пропорционально занимаемым площадям в филиале СибГУ им М.Ф. Решетнева в г. Новосибирске")</f>
        <v>Возмещение расходов по техническому обслуживанию инженерно-коммуникационных сетей и содержанию мест общего пользования пропорционально занимаемым площадям в филиале СибГУ им М.Ф. Решетнева в г. Новосибирске</v>
      </c>
      <c r="G12043" s="22" t="s">
        <v>640</v>
      </c>
      <c r="H12043" s="22" t="s">
        <v>640</v>
      </c>
      <c r="I12043" s="26">
        <v>43542.692268518498</v>
      </c>
      <c r="J12043" s="28" t="s">
        <v>52</v>
      </c>
      <c r="K12043" s="28" t="s">
        <v>52</v>
      </c>
      <c r="L12043" s="28" t="s">
        <v>52</v>
      </c>
      <c r="M12043" s="28" t="s">
        <v>52</v>
      </c>
      <c r="N12043" s="28" t="s">
        <v>52</v>
      </c>
    </row>
    <row r="12044" spans="1:14" x14ac:dyDescent="0.2">
      <c r="A12044" s="23" t="str">
        <f>HYPERLINK("https://www.spark-marketing.ru/Card/Person/9633", "МИНСТРОЙ ИНГУШЕТИИ")</f>
        <v>МИНСТРОЙ ИНГУШЕТИИ</v>
      </c>
      <c r="B12044" s="24" t="s">
        <v>646</v>
      </c>
      <c r="C12044" s="25">
        <v>2021640</v>
      </c>
      <c r="D12044" s="22" t="s">
        <v>14360</v>
      </c>
      <c r="E12044" s="22" t="s">
        <v>218</v>
      </c>
      <c r="F12044" s="23" t="str">
        <f>HYPERLINK("https://www.spark-marketing.ru/Card/Lot/68816141", "Оказание услуг по строительному контролю и техническому сопровождению работ по объекту «Детский сад на 220 мест в с.п. Али-Юрт»")</f>
        <v>Оказание услуг по строительному контролю и техническому сопровождению работ по объекту «Детский сад на 220 мест в с.п. Али-Юрт»</v>
      </c>
      <c r="G12044" s="22" t="s">
        <v>648</v>
      </c>
      <c r="H12044" s="22" t="s">
        <v>648</v>
      </c>
      <c r="I12044" s="26">
        <v>43542.6743055556</v>
      </c>
      <c r="J12044" s="23" t="str">
        <f>HYPERLINK("https://www.spark-marketing.ru/Card/Person/259250", "ГУП""УКС РИ""")</f>
        <v>ГУП"УКС РИ"</v>
      </c>
      <c r="K12044" s="24" t="s">
        <v>7151</v>
      </c>
      <c r="L12044" s="28" t="s">
        <v>52</v>
      </c>
      <c r="M12044" s="25">
        <v>2021640</v>
      </c>
      <c r="N12044" s="27">
        <v>0</v>
      </c>
    </row>
    <row r="12045" spans="1:14" x14ac:dyDescent="0.15">
      <c r="A12045" s="23" t="str">
        <f>HYPERLINK("https://www.spark-marketing.ru/Card/Person/171770", "УПРАВЛЕНИЕ МИНЮСТА РОССИИ ПО РЕСПУБЛИКЕ КОМИ")</f>
        <v>УПРАВЛЕНИЕ МИНЮСТА РОССИИ ПО РЕСПУБЛИКЕ КОМИ</v>
      </c>
      <c r="B12045" s="24" t="s">
        <v>3376</v>
      </c>
      <c r="C12045" s="25">
        <v>20316.439999999999</v>
      </c>
      <c r="D12045" s="22" t="s">
        <v>14361</v>
      </c>
      <c r="E12045" s="22" t="s">
        <v>53</v>
      </c>
      <c r="F12045" s="23" t="str">
        <f>HYPERLINK("https://www.spark-marketing.ru/Card/Lot/70794378", "Оказание услуг по охране объектов с помощью пульта централизованного наблюдения подрадделениями вневедомственной охраны")</f>
        <v>Оказание услуг по охране объектов с помощью пульта централизованного наблюдения подрадделениями вневедомственной охраны</v>
      </c>
      <c r="G12045" s="22" t="s">
        <v>538</v>
      </c>
      <c r="H12045" s="22" t="s">
        <v>707</v>
      </c>
      <c r="I12045" s="26">
        <v>43542.666458333297</v>
      </c>
      <c r="J12045" s="28" t="s">
        <v>52</v>
      </c>
      <c r="K12045" s="28" t="s">
        <v>52</v>
      </c>
      <c r="L12045" s="28" t="s">
        <v>52</v>
      </c>
      <c r="M12045" s="28" t="s">
        <v>52</v>
      </c>
      <c r="N12045" s="28" t="s">
        <v>52</v>
      </c>
    </row>
    <row r="12046" spans="1:14" ht="12.75" x14ac:dyDescent="0.2">
      <c r="A12046" s="23" t="str">
        <f>HYPERLINK("https://www.spark-marketing.ru/Card/Person/21994", "ФГБОУ ВО ""СКГМИ (ГТУ)""")</f>
        <v>ФГБОУ ВО "СКГМИ (ГТУ)"</v>
      </c>
      <c r="B12046" s="24" t="s">
        <v>14362</v>
      </c>
      <c r="C12046" s="25">
        <v>309753.59999999998</v>
      </c>
      <c r="D12046" s="22" t="s">
        <v>14363</v>
      </c>
      <c r="E12046" s="22" t="s">
        <v>14364</v>
      </c>
      <c r="F12046" s="23" t="str">
        <f>HYPERLINK("https://www.spark-marketing.ru/Card/Lot/68794866", "Оказание охранных услуг в зданиях, помещениях, их частях или комбинациях, оборудованных действующим комплексом технических средств охраны.")</f>
        <v>Оказание охранных услуг в зданиях, помещениях, их частях или комбинациях, оборудованных действующим комплексом технических средств охраны.</v>
      </c>
      <c r="G12046" s="22" t="s">
        <v>833</v>
      </c>
      <c r="H12046" s="22" t="s">
        <v>833</v>
      </c>
      <c r="I12046" s="26">
        <v>43542.631712962997</v>
      </c>
      <c r="J12046" s="23" t="str">
        <f>HYPERLINK("https://www.spark-marketing.ru/Card/Person/4539420", "ФЛ ОВО ПО Г. ВЛАДИКАВКАЗУ ФГКУ ""УВО ВНГ РОССИИ ПО РЕСПУБЛИКЕ СЕВЕРНАЯ ОСЕТИЯ-АЛАНИЯ""")</f>
        <v>ФЛ ОВО ПО Г. ВЛАДИКАВКАЗУ ФГКУ "УВО ВНГ РОССИИ ПО РЕСПУБЛИКЕ СЕВЕРНАЯ ОСЕТИЯ-АЛАНИЯ"</v>
      </c>
      <c r="K12046" s="24" t="s">
        <v>14365</v>
      </c>
      <c r="L12046" s="22" t="s">
        <v>10</v>
      </c>
      <c r="M12046" s="25">
        <v>309753.59999999998</v>
      </c>
      <c r="N12046" s="27">
        <v>0</v>
      </c>
    </row>
    <row r="12047" spans="1:14" x14ac:dyDescent="0.15">
      <c r="A12047" s="23" t="str">
        <f>HYPERLINK("https://www.spark-marketing.ru/Card/Person/601568", "ЯРОСЛАВСКИЙ МУЗЕЙ-ЗАПОВЕДНИК")</f>
        <v>ЯРОСЛАВСКИЙ МУЗЕЙ-ЗАПОВЕДНИК</v>
      </c>
      <c r="B12047" s="24" t="s">
        <v>2482</v>
      </c>
      <c r="C12047" s="25">
        <v>890740.24</v>
      </c>
      <c r="D12047" s="22" t="s">
        <v>14366</v>
      </c>
      <c r="E12047" s="22" t="s">
        <v>144</v>
      </c>
      <c r="F12047" s="23" t="str">
        <f>HYPERLINK("https://www.spark-marketing.ru/Card/Lot/68796490", "Услуги по охране объектов Ярославского музея-заповедника.")</f>
        <v>Услуги по охране объектов Ярославского музея-заповедника.</v>
      </c>
      <c r="G12047" s="22" t="s">
        <v>155</v>
      </c>
      <c r="H12047" s="22" t="s">
        <v>155</v>
      </c>
      <c r="I12047" s="26">
        <v>43542.652129629598</v>
      </c>
      <c r="J12047" s="28" t="s">
        <v>52</v>
      </c>
      <c r="K12047" s="28" t="s">
        <v>52</v>
      </c>
      <c r="L12047" s="28" t="s">
        <v>52</v>
      </c>
      <c r="M12047" s="28" t="s">
        <v>52</v>
      </c>
      <c r="N12047" s="28" t="s">
        <v>52</v>
      </c>
    </row>
    <row r="12048" spans="1:14" x14ac:dyDescent="0.15">
      <c r="A12048" s="23" t="str">
        <f>HYPERLINK("https://www.spark-marketing.ru/Card/Person/4997", "ФГУП ""ВНИИА""")</f>
        <v>ФГУП "ВНИИА"</v>
      </c>
      <c r="B12048" s="24" t="s">
        <v>794</v>
      </c>
      <c r="C12048" s="28" t="s">
        <v>52</v>
      </c>
      <c r="D12048" s="22" t="s">
        <v>14367</v>
      </c>
      <c r="E12048" s="22" t="s">
        <v>508</v>
      </c>
      <c r="F12048" s="23" t="str">
        <f>HYPERLINK("https://www.spark-marketing.ru/Card/Lot/68796243", "Поставка комплектующих частей для интегральной оптической системы")</f>
        <v>Поставка комплектующих частей для интегральной оптической системы</v>
      </c>
      <c r="G12048" s="22" t="s">
        <v>55</v>
      </c>
      <c r="H12048" s="22" t="s">
        <v>55</v>
      </c>
      <c r="I12048" s="26">
        <v>43542.637615740699</v>
      </c>
      <c r="J12048" s="28" t="s">
        <v>52</v>
      </c>
      <c r="K12048" s="28" t="s">
        <v>52</v>
      </c>
      <c r="L12048" s="28" t="s">
        <v>52</v>
      </c>
      <c r="M12048" s="28" t="s">
        <v>52</v>
      </c>
      <c r="N12048" s="28" t="s">
        <v>52</v>
      </c>
    </row>
    <row r="12049" spans="1:14" x14ac:dyDescent="0.2">
      <c r="A12049" s="23" t="str">
        <f>HYPERLINK("https://www.spark-marketing.ru/Card/Person/75780", "МАДОУ ЦРР - ДЕТСКИЙ САД № 1 ""ТЕРЕМОК"" ГОЩ")</f>
        <v>МАДОУ ЦРР - ДЕТСКИЙ САД № 1 "ТЕРЕМОК" ГОЩ</v>
      </c>
      <c r="B12049" s="24" t="s">
        <v>14368</v>
      </c>
      <c r="C12049" s="25">
        <v>205200</v>
      </c>
      <c r="D12049" s="22" t="s">
        <v>14369</v>
      </c>
      <c r="E12049" s="22" t="s">
        <v>370</v>
      </c>
      <c r="F12049" s="23" t="str">
        <f>HYPERLINK("https://www.spark-marketing.ru/Card/Lot/68796374", "Выполнение работ по техническому обслуживанию установленного оборудования видеонаблюдения")</f>
        <v>Выполнение работ по техническому обслуживанию установленного оборудования видеонаблюдения</v>
      </c>
      <c r="G12049" s="22" t="s">
        <v>50</v>
      </c>
      <c r="H12049" s="22" t="s">
        <v>458</v>
      </c>
      <c r="I12049" s="26">
        <v>43542.661192129599</v>
      </c>
      <c r="J12049" s="23" t="str">
        <f>HYPERLINK("https://www.spark-marketing.ru/Card/Person/375155", "ООО ""ПОИГ-ЩЕЛКОВО""")</f>
        <v>ООО "ПОИГ-ЩЕЛКОВО"</v>
      </c>
      <c r="K12049" s="24" t="s">
        <v>2611</v>
      </c>
      <c r="L12049" s="28" t="s">
        <v>52</v>
      </c>
      <c r="M12049" s="25">
        <v>205200</v>
      </c>
      <c r="N12049" s="27">
        <v>0</v>
      </c>
    </row>
    <row r="12050" spans="1:14" x14ac:dyDescent="0.15">
      <c r="A12050" s="23" t="str">
        <f t="shared" ref="A12050:A12061" si="619">HYPERLINK("https://www.spark-marketing.ru/Card/Person/1077389", "МОУ ШКОЛА-ИНТЕРНАТ")</f>
        <v>МОУ ШКОЛА-ИНТЕРНАТ</v>
      </c>
      <c r="B12050" s="24" t="s">
        <v>14370</v>
      </c>
      <c r="C12050" s="25">
        <v>480000</v>
      </c>
      <c r="D12050" s="22" t="s">
        <v>14371</v>
      </c>
      <c r="E12050" s="22" t="s">
        <v>59</v>
      </c>
      <c r="F12050" s="23" t="str">
        <f t="shared" ref="F12050:F12061" si="620">HYPERLINK("https://www.spark-marketing.ru/Card/Lot/68809244", "Выполнение работ по установке (монтажу) системы видеонаблюдения")</f>
        <v>Выполнение работ по установке (монтажу) системы видеонаблюдения</v>
      </c>
      <c r="G12050" s="22" t="s">
        <v>258</v>
      </c>
      <c r="H12050" s="22" t="s">
        <v>3129</v>
      </c>
      <c r="I12050" s="26">
        <v>43542.635416666701</v>
      </c>
      <c r="J12050" s="28" t="s">
        <v>52</v>
      </c>
      <c r="K12050" s="28" t="s">
        <v>52</v>
      </c>
      <c r="L12050" s="28" t="s">
        <v>52</v>
      </c>
      <c r="M12050" s="28" t="s">
        <v>52</v>
      </c>
      <c r="N12050" s="28" t="s">
        <v>52</v>
      </c>
    </row>
    <row r="12051" spans="1:14" hidden="1" outlineLevel="1" x14ac:dyDescent="0.2">
      <c r="A12051" s="23" t="str">
        <f t="shared" si="619"/>
        <v>МОУ ШКОЛА-ИНТЕРНАТ</v>
      </c>
      <c r="B12051" s="24" t="s">
        <v>14370</v>
      </c>
      <c r="C12051" s="25">
        <v>480000</v>
      </c>
      <c r="D12051" s="22" t="s">
        <v>14371</v>
      </c>
      <c r="E12051" s="22" t="s">
        <v>59</v>
      </c>
      <c r="F12051" s="23" t="str">
        <f t="shared" si="620"/>
        <v>Выполнение работ по установке (монтажу) системы видеонаблюдения</v>
      </c>
      <c r="G12051" s="22" t="s">
        <v>258</v>
      </c>
      <c r="H12051" s="22" t="s">
        <v>3129</v>
      </c>
      <c r="I12051" s="26">
        <v>43542.635416666701</v>
      </c>
      <c r="J12051" s="23" t="str">
        <f>HYPERLINK("https://www.spark-marketing.ru/Card/Person/6236853", "Бармашов Иван Александрович")</f>
        <v>Бармашов Иван Александрович</v>
      </c>
      <c r="K12051" s="24" t="s">
        <v>3257</v>
      </c>
      <c r="L12051" s="28" t="s">
        <v>52</v>
      </c>
      <c r="M12051" s="25">
        <v>148800</v>
      </c>
      <c r="N12051" s="27">
        <v>0.69</v>
      </c>
    </row>
    <row r="12052" spans="1:14" hidden="1" outlineLevel="1" x14ac:dyDescent="0.2">
      <c r="A12052" s="23" t="str">
        <f t="shared" si="619"/>
        <v>МОУ ШКОЛА-ИНТЕРНАТ</v>
      </c>
      <c r="B12052" s="24" t="s">
        <v>14370</v>
      </c>
      <c r="C12052" s="25">
        <v>480000</v>
      </c>
      <c r="D12052" s="22" t="s">
        <v>14371</v>
      </c>
      <c r="E12052" s="22" t="s">
        <v>59</v>
      </c>
      <c r="F12052" s="23" t="str">
        <f t="shared" si="620"/>
        <v>Выполнение работ по установке (монтажу) системы видеонаблюдения</v>
      </c>
      <c r="G12052" s="22" t="s">
        <v>258</v>
      </c>
      <c r="H12052" s="22" t="s">
        <v>3129</v>
      </c>
      <c r="I12052" s="26">
        <v>43542.635416666701</v>
      </c>
      <c r="J12052" s="23" t="str">
        <f>HYPERLINK("https://www.spark-marketing.ru/Card/Person/4855810", "ООО ГРУППА КОМПАНИЙ ""ПАРТНЕР ПРОЕКТ""")</f>
        <v>ООО ГРУППА КОМПАНИЙ "ПАРТНЕР ПРОЕКТ"</v>
      </c>
      <c r="K12052" s="24" t="s">
        <v>14372</v>
      </c>
      <c r="L12052" s="28" t="s">
        <v>52</v>
      </c>
      <c r="M12052" s="25">
        <v>391200</v>
      </c>
      <c r="N12052" s="27">
        <v>0.185</v>
      </c>
    </row>
    <row r="12053" spans="1:14" hidden="1" outlineLevel="1" x14ac:dyDescent="0.2">
      <c r="A12053" s="23" t="str">
        <f t="shared" si="619"/>
        <v>МОУ ШКОЛА-ИНТЕРНАТ</v>
      </c>
      <c r="B12053" s="24" t="s">
        <v>14370</v>
      </c>
      <c r="C12053" s="25">
        <v>480000</v>
      </c>
      <c r="D12053" s="22" t="s">
        <v>14371</v>
      </c>
      <c r="E12053" s="22" t="s">
        <v>59</v>
      </c>
      <c r="F12053" s="23" t="str">
        <f t="shared" si="620"/>
        <v>Выполнение работ по установке (монтажу) системы видеонаблюдения</v>
      </c>
      <c r="G12053" s="22" t="s">
        <v>258</v>
      </c>
      <c r="H12053" s="22" t="s">
        <v>3129</v>
      </c>
      <c r="I12053" s="26">
        <v>43542.635416666701</v>
      </c>
      <c r="J12053" s="23" t="str">
        <f>HYPERLINK("https://www.spark-marketing.ru/Card/Person/5825261", "ООО ""СПЕЦСТРОЙ ВЕК""")</f>
        <v>ООО "СПЕЦСТРОЙ ВЕК"</v>
      </c>
      <c r="K12053" s="24" t="s">
        <v>14373</v>
      </c>
      <c r="L12053" s="28" t="s">
        <v>52</v>
      </c>
      <c r="M12053" s="25">
        <v>475200</v>
      </c>
      <c r="N12053" s="27">
        <v>0.01</v>
      </c>
    </row>
    <row r="12054" spans="1:14" hidden="1" outlineLevel="1" x14ac:dyDescent="0.2">
      <c r="A12054" s="23" t="str">
        <f t="shared" si="619"/>
        <v>МОУ ШКОЛА-ИНТЕРНАТ</v>
      </c>
      <c r="B12054" s="24" t="s">
        <v>14370</v>
      </c>
      <c r="C12054" s="25">
        <v>480000</v>
      </c>
      <c r="D12054" s="22" t="s">
        <v>14371</v>
      </c>
      <c r="E12054" s="22" t="s">
        <v>59</v>
      </c>
      <c r="F12054" s="23" t="str">
        <f t="shared" si="620"/>
        <v>Выполнение работ по установке (монтажу) системы видеонаблюдения</v>
      </c>
      <c r="G12054" s="22" t="s">
        <v>258</v>
      </c>
      <c r="H12054" s="22" t="s">
        <v>3129</v>
      </c>
      <c r="I12054" s="26">
        <v>43542.635416666701</v>
      </c>
      <c r="J12054" s="23" t="str">
        <f>HYPERLINK("https://www.spark-marketing.ru/Card/Person/217520", "ООО ""ЭНЕРГОПРОМ""")</f>
        <v>ООО "ЭНЕРГОПРОМ"</v>
      </c>
      <c r="K12054" s="24" t="s">
        <v>14374</v>
      </c>
      <c r="L12054" s="28" t="s">
        <v>52</v>
      </c>
      <c r="M12054" s="25">
        <v>220800</v>
      </c>
      <c r="N12054" s="27">
        <v>0.54</v>
      </c>
    </row>
    <row r="12055" spans="1:14" ht="12.75" hidden="1" outlineLevel="1" x14ac:dyDescent="0.2">
      <c r="A12055" s="23" t="str">
        <f t="shared" si="619"/>
        <v>МОУ ШКОЛА-ИНТЕРНАТ</v>
      </c>
      <c r="B12055" s="24" t="s">
        <v>14370</v>
      </c>
      <c r="C12055" s="25">
        <v>480000</v>
      </c>
      <c r="D12055" s="22" t="s">
        <v>14371</v>
      </c>
      <c r="E12055" s="22" t="s">
        <v>59</v>
      </c>
      <c r="F12055" s="23" t="str">
        <f t="shared" si="620"/>
        <v>Выполнение работ по установке (монтажу) системы видеонаблюдения</v>
      </c>
      <c r="G12055" s="22" t="s">
        <v>258</v>
      </c>
      <c r="H12055" s="22" t="s">
        <v>3129</v>
      </c>
      <c r="I12055" s="26">
        <v>43542.635416666701</v>
      </c>
      <c r="J12055" s="23" t="str">
        <f>HYPERLINK("https://www.spark-marketing.ru/Card/Person/5954375", "Михальков Юрий Николаевич")</f>
        <v>Михальков Юрий Николаевич</v>
      </c>
      <c r="K12055" s="24" t="s">
        <v>14375</v>
      </c>
      <c r="L12055" s="22" t="s">
        <v>10</v>
      </c>
      <c r="M12055" s="25">
        <v>146400</v>
      </c>
      <c r="N12055" s="27">
        <v>0.69499999999999995</v>
      </c>
    </row>
    <row r="12056" spans="1:14" hidden="1" outlineLevel="1" x14ac:dyDescent="0.2">
      <c r="A12056" s="23" t="str">
        <f t="shared" si="619"/>
        <v>МОУ ШКОЛА-ИНТЕРНАТ</v>
      </c>
      <c r="B12056" s="24" t="s">
        <v>14370</v>
      </c>
      <c r="C12056" s="25">
        <v>480000</v>
      </c>
      <c r="D12056" s="22" t="s">
        <v>14371</v>
      </c>
      <c r="E12056" s="22" t="s">
        <v>59</v>
      </c>
      <c r="F12056" s="23" t="str">
        <f t="shared" si="620"/>
        <v>Выполнение работ по установке (монтажу) системы видеонаблюдения</v>
      </c>
      <c r="G12056" s="22" t="s">
        <v>258</v>
      </c>
      <c r="H12056" s="22" t="s">
        <v>3129</v>
      </c>
      <c r="I12056" s="26">
        <v>43542.635416666701</v>
      </c>
      <c r="J12056" s="23" t="str">
        <f>HYPERLINK("https://www.spark-marketing.ru/Card/Person/6142617", "ООО ""АВРОРА СБ""")</f>
        <v>ООО "АВРОРА СБ"</v>
      </c>
      <c r="K12056" s="24" t="s">
        <v>9674</v>
      </c>
      <c r="L12056" s="28" t="s">
        <v>52</v>
      </c>
      <c r="M12056" s="25">
        <v>364800</v>
      </c>
      <c r="N12056" s="27">
        <v>0.24</v>
      </c>
    </row>
    <row r="12057" spans="1:14" hidden="1" outlineLevel="1" x14ac:dyDescent="0.2">
      <c r="A12057" s="23" t="str">
        <f t="shared" si="619"/>
        <v>МОУ ШКОЛА-ИНТЕРНАТ</v>
      </c>
      <c r="B12057" s="24" t="s">
        <v>14370</v>
      </c>
      <c r="C12057" s="25">
        <v>480000</v>
      </c>
      <c r="D12057" s="22" t="s">
        <v>14371</v>
      </c>
      <c r="E12057" s="22" t="s">
        <v>59</v>
      </c>
      <c r="F12057" s="23" t="str">
        <f t="shared" si="620"/>
        <v>Выполнение работ по установке (монтажу) системы видеонаблюдения</v>
      </c>
      <c r="G12057" s="22" t="s">
        <v>258</v>
      </c>
      <c r="H12057" s="22" t="s">
        <v>3129</v>
      </c>
      <c r="I12057" s="26">
        <v>43542.635416666701</v>
      </c>
      <c r="J12057" s="23" t="str">
        <f>HYPERLINK("https://www.spark-marketing.ru/Card/Person/54834", "ООО ""СЕТИ БЕЗОПАСНОСТИ""")</f>
        <v>ООО "СЕТИ БЕЗОПАСНОСТИ"</v>
      </c>
      <c r="K12057" s="24" t="s">
        <v>1985</v>
      </c>
      <c r="L12057" s="28" t="s">
        <v>52</v>
      </c>
      <c r="M12057" s="25">
        <v>475200</v>
      </c>
      <c r="N12057" s="27">
        <v>0.01</v>
      </c>
    </row>
    <row r="12058" spans="1:14" hidden="1" outlineLevel="1" x14ac:dyDescent="0.2">
      <c r="A12058" s="23" t="str">
        <f t="shared" si="619"/>
        <v>МОУ ШКОЛА-ИНТЕРНАТ</v>
      </c>
      <c r="B12058" s="24" t="s">
        <v>14370</v>
      </c>
      <c r="C12058" s="25">
        <v>480000</v>
      </c>
      <c r="D12058" s="22" t="s">
        <v>14371</v>
      </c>
      <c r="E12058" s="22" t="s">
        <v>59</v>
      </c>
      <c r="F12058" s="23" t="str">
        <f t="shared" si="620"/>
        <v>Выполнение работ по установке (монтажу) системы видеонаблюдения</v>
      </c>
      <c r="G12058" s="22" t="s">
        <v>258</v>
      </c>
      <c r="H12058" s="22" t="s">
        <v>3129</v>
      </c>
      <c r="I12058" s="26">
        <v>43542.635416666701</v>
      </c>
      <c r="J12058" s="23" t="str">
        <f>HYPERLINK("https://www.spark-marketing.ru/Card/Person/165131", "Кочубей Олег Михайлович")</f>
        <v>Кочубей Олег Михайлович</v>
      </c>
      <c r="K12058" s="24" t="s">
        <v>1673</v>
      </c>
      <c r="L12058" s="28" t="s">
        <v>52</v>
      </c>
      <c r="M12058" s="25">
        <v>396000</v>
      </c>
      <c r="N12058" s="27">
        <v>0.17499999999999999</v>
      </c>
    </row>
    <row r="12059" spans="1:14" hidden="1" outlineLevel="1" x14ac:dyDescent="0.2">
      <c r="A12059" s="23" t="str">
        <f t="shared" si="619"/>
        <v>МОУ ШКОЛА-ИНТЕРНАТ</v>
      </c>
      <c r="B12059" s="24" t="s">
        <v>14370</v>
      </c>
      <c r="C12059" s="25">
        <v>480000</v>
      </c>
      <c r="D12059" s="22" t="s">
        <v>14371</v>
      </c>
      <c r="E12059" s="22" t="s">
        <v>59</v>
      </c>
      <c r="F12059" s="23" t="str">
        <f t="shared" si="620"/>
        <v>Выполнение работ по установке (монтажу) системы видеонаблюдения</v>
      </c>
      <c r="G12059" s="22" t="s">
        <v>258</v>
      </c>
      <c r="H12059" s="22" t="s">
        <v>3129</v>
      </c>
      <c r="I12059" s="26">
        <v>43542.635416666701</v>
      </c>
      <c r="J12059" s="23" t="str">
        <f>HYPERLINK("https://www.spark-marketing.ru/Card/Person/4962434", "ООО ""СБ РНД""")</f>
        <v>ООО "СБ РНД"</v>
      </c>
      <c r="K12059" s="24" t="s">
        <v>4613</v>
      </c>
      <c r="L12059" s="28" t="s">
        <v>52</v>
      </c>
      <c r="M12059" s="25">
        <v>340800</v>
      </c>
      <c r="N12059" s="27">
        <v>0.28999999999999998</v>
      </c>
    </row>
    <row r="12060" spans="1:14" hidden="1" outlineLevel="1" x14ac:dyDescent="0.2">
      <c r="A12060" s="23" t="str">
        <f t="shared" si="619"/>
        <v>МОУ ШКОЛА-ИНТЕРНАТ</v>
      </c>
      <c r="B12060" s="24" t="s">
        <v>14370</v>
      </c>
      <c r="C12060" s="25">
        <v>480000</v>
      </c>
      <c r="D12060" s="22" t="s">
        <v>14371</v>
      </c>
      <c r="E12060" s="22" t="s">
        <v>59</v>
      </c>
      <c r="F12060" s="23" t="str">
        <f t="shared" si="620"/>
        <v>Выполнение работ по установке (монтажу) системы видеонаблюдения</v>
      </c>
      <c r="G12060" s="22" t="s">
        <v>258</v>
      </c>
      <c r="H12060" s="22" t="s">
        <v>3129</v>
      </c>
      <c r="I12060" s="26">
        <v>43542.635416666701</v>
      </c>
      <c r="J12060" s="23" t="str">
        <f>HYPERLINK("https://www.spark-marketing.ru/Card/Person/6511482", "ООО ""ПАМ""")</f>
        <v>ООО "ПАМ"</v>
      </c>
      <c r="K12060" s="24" t="s">
        <v>14376</v>
      </c>
      <c r="L12060" s="28" t="s">
        <v>52</v>
      </c>
      <c r="M12060" s="25">
        <v>448800</v>
      </c>
      <c r="N12060" s="27">
        <v>6.5000000000000002E-2</v>
      </c>
    </row>
    <row r="12061" spans="1:14" hidden="1" outlineLevel="1" x14ac:dyDescent="0.2">
      <c r="A12061" s="23" t="str">
        <f t="shared" si="619"/>
        <v>МОУ ШКОЛА-ИНТЕРНАТ</v>
      </c>
      <c r="B12061" s="24" t="s">
        <v>14370</v>
      </c>
      <c r="C12061" s="25">
        <v>480000</v>
      </c>
      <c r="D12061" s="22" t="s">
        <v>14371</v>
      </c>
      <c r="E12061" s="22" t="s">
        <v>59</v>
      </c>
      <c r="F12061" s="23" t="str">
        <f t="shared" si="620"/>
        <v>Выполнение работ по установке (монтажу) системы видеонаблюдения</v>
      </c>
      <c r="G12061" s="22" t="s">
        <v>258</v>
      </c>
      <c r="H12061" s="22" t="s">
        <v>3129</v>
      </c>
      <c r="I12061" s="26">
        <v>43542.635416666701</v>
      </c>
      <c r="J12061" s="23" t="str">
        <f>HYPERLINK("https://www.spark-marketing.ru/Card/Person/148291", "Нартов Сергей Владимирович")</f>
        <v>Нартов Сергей Владимирович</v>
      </c>
      <c r="K12061" s="24" t="s">
        <v>9626</v>
      </c>
      <c r="L12061" s="28" t="s">
        <v>52</v>
      </c>
      <c r="M12061" s="25">
        <v>158400</v>
      </c>
      <c r="N12061" s="27">
        <v>0.67</v>
      </c>
    </row>
    <row r="12062" spans="1:14" x14ac:dyDescent="0.15">
      <c r="A12062" s="23" t="str">
        <f t="shared" ref="A12062:A12068" si="621">HYPERLINK("https://www.spark-marketing.ru/Card/Person/649", "ГБУЗ ""ККБ № 2""")</f>
        <v>ГБУЗ "ККБ № 2"</v>
      </c>
      <c r="B12062" s="24" t="s">
        <v>14377</v>
      </c>
      <c r="C12062" s="25">
        <v>757311.62</v>
      </c>
      <c r="D12062" s="22" t="s">
        <v>14378</v>
      </c>
      <c r="E12062" s="22" t="s">
        <v>8775</v>
      </c>
      <c r="F12062" s="23" t="str">
        <f t="shared" ref="F12062:F12068" si="622">HYPERLINK("https://www.spark-marketing.ru/Card/Lot/68792782", "Проведение технической инвентаризации с изготовлением технических паспортов на объекты недвижимого имущества нежилого фонда.")</f>
        <v>Проведение технической инвентаризации с изготовлением технических паспортов на объекты недвижимого имущества нежилого фонда.</v>
      </c>
      <c r="G12062" s="22" t="s">
        <v>132</v>
      </c>
      <c r="H12062" s="22" t="s">
        <v>652</v>
      </c>
      <c r="I12062" s="26">
        <v>43542.583368055602</v>
      </c>
      <c r="J12062" s="28" t="s">
        <v>52</v>
      </c>
      <c r="K12062" s="28" t="s">
        <v>52</v>
      </c>
      <c r="L12062" s="28" t="s">
        <v>52</v>
      </c>
      <c r="M12062" s="28" t="s">
        <v>52</v>
      </c>
      <c r="N12062" s="28" t="s">
        <v>52</v>
      </c>
    </row>
    <row r="12063" spans="1:14" hidden="1" outlineLevel="1" x14ac:dyDescent="0.2">
      <c r="A12063" s="23" t="str">
        <f t="shared" si="621"/>
        <v>ГБУЗ "ККБ № 2"</v>
      </c>
      <c r="B12063" s="24" t="s">
        <v>14377</v>
      </c>
      <c r="C12063" s="28" t="s">
        <v>52</v>
      </c>
      <c r="D12063" s="22" t="s">
        <v>14378</v>
      </c>
      <c r="E12063" s="22" t="s">
        <v>8775</v>
      </c>
      <c r="F12063" s="23" t="str">
        <f t="shared" si="622"/>
        <v>Проведение технической инвентаризации с изготовлением технических паспортов на объекты недвижимого имущества нежилого фонда.</v>
      </c>
      <c r="G12063" s="22" t="s">
        <v>132</v>
      </c>
      <c r="H12063" s="22" t="s">
        <v>652</v>
      </c>
      <c r="I12063" s="26">
        <v>43542.583368055602</v>
      </c>
      <c r="J12063" s="23" t="str">
        <f>HYPERLINK("https://www.spark-marketing.ru/Card/Person/156232", "ГБУ КК ""КРАЙТЕХИНВЕНТАРИЗАЦИЯ - КРАЕВОЕ БТИ""")</f>
        <v>ГБУ КК "КРАЙТЕХИНВЕНТАРИЗАЦИЯ - КРАЕВОЕ БТИ"</v>
      </c>
      <c r="K12063" s="24" t="s">
        <v>14379</v>
      </c>
      <c r="L12063" s="28" t="s">
        <v>52</v>
      </c>
      <c r="M12063" s="25">
        <v>401375.14</v>
      </c>
      <c r="N12063" s="27">
        <v>0.47000002456056333</v>
      </c>
    </row>
    <row r="12064" spans="1:14" hidden="1" outlineLevel="1" x14ac:dyDescent="0.2">
      <c r="A12064" s="23" t="str">
        <f t="shared" si="621"/>
        <v>ГБУЗ "ККБ № 2"</v>
      </c>
      <c r="B12064" s="24" t="s">
        <v>14377</v>
      </c>
      <c r="C12064" s="28" t="s">
        <v>52</v>
      </c>
      <c r="D12064" s="22" t="s">
        <v>14378</v>
      </c>
      <c r="E12064" s="22" t="s">
        <v>8775</v>
      </c>
      <c r="F12064" s="23" t="str">
        <f t="shared" si="622"/>
        <v>Проведение технической инвентаризации с изготовлением технических паспортов на объекты недвижимого имущества нежилого фонда.</v>
      </c>
      <c r="G12064" s="22" t="s">
        <v>132</v>
      </c>
      <c r="H12064" s="22" t="s">
        <v>652</v>
      </c>
      <c r="I12064" s="26">
        <v>43542.583368055602</v>
      </c>
      <c r="J12064" s="23" t="str">
        <f>HYPERLINK("https://www.spark-marketing.ru/Card/Person/4312320", "ООО ""ЦЕНТР""")</f>
        <v>ООО "ЦЕНТР"</v>
      </c>
      <c r="K12064" s="24" t="s">
        <v>14380</v>
      </c>
      <c r="L12064" s="28" t="s">
        <v>52</v>
      </c>
      <c r="M12064" s="25">
        <v>575556.81999999995</v>
      </c>
      <c r="N12064" s="27">
        <v>0.24000001478915642</v>
      </c>
    </row>
    <row r="12065" spans="1:14" hidden="1" outlineLevel="1" x14ac:dyDescent="0.2">
      <c r="A12065" s="23" t="str">
        <f t="shared" si="621"/>
        <v>ГБУЗ "ККБ № 2"</v>
      </c>
      <c r="B12065" s="24" t="s">
        <v>14377</v>
      </c>
      <c r="C12065" s="28" t="s">
        <v>52</v>
      </c>
      <c r="D12065" s="22" t="s">
        <v>14378</v>
      </c>
      <c r="E12065" s="22" t="s">
        <v>8775</v>
      </c>
      <c r="F12065" s="23" t="str">
        <f t="shared" si="622"/>
        <v>Проведение технической инвентаризации с изготовлением технических паспортов на объекты недвижимого имущества нежилого фонда.</v>
      </c>
      <c r="G12065" s="22" t="s">
        <v>132</v>
      </c>
      <c r="H12065" s="22" t="s">
        <v>652</v>
      </c>
      <c r="I12065" s="26">
        <v>43542.583368055602</v>
      </c>
      <c r="J12065" s="23" t="str">
        <f>HYPERLINK("https://www.spark-marketing.ru/Card/Person/361575", "МП ""ИНВЕНТАРИЗАТОР""")</f>
        <v>МП "ИНВЕНТАРИЗАТОР"</v>
      </c>
      <c r="K12065" s="24" t="s">
        <v>14381</v>
      </c>
      <c r="L12065" s="28" t="s">
        <v>52</v>
      </c>
      <c r="M12065" s="25">
        <v>272632.12</v>
      </c>
      <c r="N12065" s="27">
        <v>0.64000008345309689</v>
      </c>
    </row>
    <row r="12066" spans="1:14" hidden="1" outlineLevel="1" x14ac:dyDescent="0.2">
      <c r="A12066" s="23" t="str">
        <f t="shared" si="621"/>
        <v>ГБУЗ "ККБ № 2"</v>
      </c>
      <c r="B12066" s="24" t="s">
        <v>14377</v>
      </c>
      <c r="C12066" s="28" t="s">
        <v>52</v>
      </c>
      <c r="D12066" s="22" t="s">
        <v>14378</v>
      </c>
      <c r="E12066" s="22" t="s">
        <v>8775</v>
      </c>
      <c r="F12066" s="23" t="str">
        <f t="shared" si="622"/>
        <v>Проведение технической инвентаризации с изготовлением технических паспортов на объекты недвижимого имущества нежилого фонда.</v>
      </c>
      <c r="G12066" s="22" t="s">
        <v>132</v>
      </c>
      <c r="H12066" s="22" t="s">
        <v>652</v>
      </c>
      <c r="I12066" s="26">
        <v>43542.583368055602</v>
      </c>
      <c r="J12066" s="23" t="str">
        <f>HYPERLINK("https://www.spark-marketing.ru/Card/Person/58763", "ГБУ РО ""ЦЕНТР СОДЕЙСТВИЯ РАЗВИТИЮ ИМУЩЕСТВЕННО-ЗЕМЕЛЬНЫХ ОТНОШЕНИЙ РОСТОВСКОЙ ОБЛАСТИ""")</f>
        <v>ГБУ РО "ЦЕНТР СОДЕЙСТВИЯ РАЗВИТИЮ ИМУЩЕСТВЕННО-ЗЕМЕЛЬНЫХ ОТНОШЕНИЙ РОСТОВСКОЙ ОБЛАСТИ"</v>
      </c>
      <c r="K12066" s="24" t="s">
        <v>14382</v>
      </c>
      <c r="L12066" s="28" t="s">
        <v>52</v>
      </c>
      <c r="M12066" s="25">
        <v>450600.4</v>
      </c>
      <c r="N12066" s="27">
        <v>0.40500001835439947</v>
      </c>
    </row>
    <row r="12067" spans="1:14" hidden="1" outlineLevel="1" x14ac:dyDescent="0.2">
      <c r="A12067" s="23" t="str">
        <f t="shared" si="621"/>
        <v>ГБУЗ "ККБ № 2"</v>
      </c>
      <c r="B12067" s="24" t="s">
        <v>14377</v>
      </c>
      <c r="C12067" s="28" t="s">
        <v>52</v>
      </c>
      <c r="D12067" s="22" t="s">
        <v>14378</v>
      </c>
      <c r="E12067" s="22" t="s">
        <v>8775</v>
      </c>
      <c r="F12067" s="23" t="str">
        <f t="shared" si="622"/>
        <v>Проведение технической инвентаризации с изготовлением технических паспортов на объекты недвижимого имущества нежилого фонда.</v>
      </c>
      <c r="G12067" s="22" t="s">
        <v>132</v>
      </c>
      <c r="H12067" s="22" t="s">
        <v>652</v>
      </c>
      <c r="I12067" s="26">
        <v>43542.583368055602</v>
      </c>
      <c r="J12067" s="23" t="str">
        <f>HYPERLINK("https://www.spark-marketing.ru/Card/Person/6402360", "Данилина Анна Вячеславовна")</f>
        <v>Данилина Анна Вячеславовна</v>
      </c>
      <c r="K12067" s="24" t="s">
        <v>14383</v>
      </c>
      <c r="L12067" s="22" t="s">
        <v>10</v>
      </c>
      <c r="M12067" s="25">
        <v>268845.56</v>
      </c>
      <c r="N12067" s="27">
        <v>0.64500008596197167</v>
      </c>
    </row>
    <row r="12068" spans="1:14" hidden="1" outlineLevel="1" x14ac:dyDescent="0.2">
      <c r="A12068" s="23" t="str">
        <f t="shared" si="621"/>
        <v>ГБУЗ "ККБ № 2"</v>
      </c>
      <c r="B12068" s="24" t="s">
        <v>14377</v>
      </c>
      <c r="C12068" s="28" t="s">
        <v>52</v>
      </c>
      <c r="D12068" s="22" t="s">
        <v>14378</v>
      </c>
      <c r="E12068" s="22" t="s">
        <v>8775</v>
      </c>
      <c r="F12068" s="23" t="str">
        <f t="shared" si="622"/>
        <v>Проведение технической инвентаризации с изготовлением технических паспортов на объекты недвижимого имущества нежилого фонда.</v>
      </c>
      <c r="G12068" s="22" t="s">
        <v>132</v>
      </c>
      <c r="H12068" s="22" t="s">
        <v>652</v>
      </c>
      <c r="I12068" s="26">
        <v>43542.583368055602</v>
      </c>
      <c r="J12068" s="23" t="str">
        <f>HYPERLINK("https://www.spark-marketing.ru/Card/Person/465295", "ООО ""ИК ""КВАДР""")</f>
        <v>ООО "ИК "КВАДР"</v>
      </c>
      <c r="K12068" s="24" t="s">
        <v>14384</v>
      </c>
      <c r="L12068" s="28" t="s">
        <v>52</v>
      </c>
      <c r="M12068" s="25">
        <v>287778.36</v>
      </c>
      <c r="N12068" s="27">
        <v>0.62000007341759789</v>
      </c>
    </row>
    <row r="12069" spans="1:14" x14ac:dyDescent="0.15">
      <c r="A12069" s="23" t="str">
        <f>HYPERLINK("https://www.spark-marketing.ru/Card/Person/59844", "МБДОУ ДЕТСКИЙ САД №47 ""БЕЛЬЧОНОК"" ГОЩ")</f>
        <v>МБДОУ ДЕТСКИЙ САД №47 "БЕЛЬЧОНОК" ГОЩ</v>
      </c>
      <c r="B12069" s="24" t="s">
        <v>14385</v>
      </c>
      <c r="C12069" s="25">
        <v>10000</v>
      </c>
      <c r="D12069" s="22" t="s">
        <v>14386</v>
      </c>
      <c r="E12069" s="22" t="s">
        <v>14387</v>
      </c>
      <c r="F12069" s="23" t="str">
        <f>HYPERLINK("https://www.spark-marketing.ru/Card/Lot/68793702", "Оказание услуг по техническому обслуживанию и проверке вентиляционных каналов с применением системы видеорегистрации, замеров параметров воздухообмена соответствующим оборудованием")</f>
        <v>Оказание услуг по техническому обслуживанию и проверке вентиляционных каналов с применением системы видеорегистрации, замеров параметров воздухообмена соответствующим оборудованием</v>
      </c>
      <c r="G12069" s="22" t="s">
        <v>50</v>
      </c>
      <c r="H12069" s="22" t="s">
        <v>458</v>
      </c>
      <c r="I12069" s="26">
        <v>43542.597708333298</v>
      </c>
      <c r="J12069" s="28" t="s">
        <v>52</v>
      </c>
      <c r="K12069" s="28" t="s">
        <v>52</v>
      </c>
      <c r="L12069" s="28" t="s">
        <v>52</v>
      </c>
      <c r="M12069" s="28" t="s">
        <v>52</v>
      </c>
      <c r="N12069" s="28" t="s">
        <v>52</v>
      </c>
    </row>
    <row r="12070" spans="1:14" x14ac:dyDescent="0.15">
      <c r="A12070" s="23" t="str">
        <f t="shared" ref="A12070:A12077" si="623">HYPERLINK("https://www.spark-marketing.ru/Card/Person/1084575", "МКОУ СОШ № 5")</f>
        <v>МКОУ СОШ № 5</v>
      </c>
      <c r="B12070" s="24" t="s">
        <v>14388</v>
      </c>
      <c r="C12070" s="25">
        <v>480000</v>
      </c>
      <c r="D12070" s="22" t="s">
        <v>14389</v>
      </c>
      <c r="E12070" s="22" t="s">
        <v>59</v>
      </c>
      <c r="F12070" s="23" t="str">
        <f t="shared" ref="F12070:F12077" si="624">HYPERLINK("https://www.spark-marketing.ru/Card/Lot/68809394", "Выполнение работ по установке (монтажу) системы видеонаблюдения")</f>
        <v>Выполнение работ по установке (монтажу) системы видеонаблюдения</v>
      </c>
      <c r="G12070" s="22" t="s">
        <v>258</v>
      </c>
      <c r="H12070" s="22" t="s">
        <v>3129</v>
      </c>
      <c r="I12070" s="26">
        <v>43542.5805555556</v>
      </c>
      <c r="J12070" s="28" t="s">
        <v>52</v>
      </c>
      <c r="K12070" s="28" t="s">
        <v>52</v>
      </c>
      <c r="L12070" s="28" t="s">
        <v>52</v>
      </c>
      <c r="M12070" s="28" t="s">
        <v>52</v>
      </c>
      <c r="N12070" s="28" t="s">
        <v>52</v>
      </c>
    </row>
    <row r="12071" spans="1:14" hidden="1" outlineLevel="1" x14ac:dyDescent="0.2">
      <c r="A12071" s="23" t="str">
        <f t="shared" si="623"/>
        <v>МКОУ СОШ № 5</v>
      </c>
      <c r="B12071" s="24" t="s">
        <v>14388</v>
      </c>
      <c r="C12071" s="25">
        <v>480000</v>
      </c>
      <c r="D12071" s="22" t="s">
        <v>14389</v>
      </c>
      <c r="E12071" s="22" t="s">
        <v>59</v>
      </c>
      <c r="F12071" s="23" t="str">
        <f t="shared" si="624"/>
        <v>Выполнение работ по установке (монтажу) системы видеонаблюдения</v>
      </c>
      <c r="G12071" s="22" t="s">
        <v>258</v>
      </c>
      <c r="H12071" s="22" t="s">
        <v>3129</v>
      </c>
      <c r="I12071" s="26">
        <v>43542.5805555556</v>
      </c>
      <c r="J12071" s="23" t="str">
        <f>HYPERLINK("https://www.spark-marketing.ru/Card/Person/6236853", "Бармашов Иван Александрович")</f>
        <v>Бармашов Иван Александрович</v>
      </c>
      <c r="K12071" s="24" t="s">
        <v>3257</v>
      </c>
      <c r="L12071" s="28" t="s">
        <v>52</v>
      </c>
      <c r="M12071" s="25">
        <v>145600</v>
      </c>
      <c r="N12071" s="27">
        <v>0.69666666666666666</v>
      </c>
    </row>
    <row r="12072" spans="1:14" ht="12.75" hidden="1" outlineLevel="1" x14ac:dyDescent="0.2">
      <c r="A12072" s="23" t="str">
        <f t="shared" si="623"/>
        <v>МКОУ СОШ № 5</v>
      </c>
      <c r="B12072" s="24" t="s">
        <v>14388</v>
      </c>
      <c r="C12072" s="25">
        <v>480000</v>
      </c>
      <c r="D12072" s="22" t="s">
        <v>14389</v>
      </c>
      <c r="E12072" s="22" t="s">
        <v>59</v>
      </c>
      <c r="F12072" s="23" t="str">
        <f t="shared" si="624"/>
        <v>Выполнение работ по установке (монтажу) системы видеонаблюдения</v>
      </c>
      <c r="G12072" s="22" t="s">
        <v>258</v>
      </c>
      <c r="H12072" s="22" t="s">
        <v>3129</v>
      </c>
      <c r="I12072" s="26">
        <v>43542.5805555556</v>
      </c>
      <c r="J12072" s="23" t="str">
        <f>HYPERLINK("https://www.spark-marketing.ru/Card/Person/5954375", "Михальков Юрий Николаевич")</f>
        <v>Михальков Юрий Николаевич</v>
      </c>
      <c r="K12072" s="24" t="s">
        <v>14375</v>
      </c>
      <c r="L12072" s="22" t="s">
        <v>10</v>
      </c>
      <c r="M12072" s="25">
        <v>143200</v>
      </c>
      <c r="N12072" s="27">
        <v>0.70166666666666666</v>
      </c>
    </row>
    <row r="12073" spans="1:14" hidden="1" outlineLevel="1" x14ac:dyDescent="0.2">
      <c r="A12073" s="23" t="str">
        <f t="shared" si="623"/>
        <v>МКОУ СОШ № 5</v>
      </c>
      <c r="B12073" s="24" t="s">
        <v>14388</v>
      </c>
      <c r="C12073" s="25">
        <v>480000</v>
      </c>
      <c r="D12073" s="22" t="s">
        <v>14389</v>
      </c>
      <c r="E12073" s="22" t="s">
        <v>59</v>
      </c>
      <c r="F12073" s="23" t="str">
        <f t="shared" si="624"/>
        <v>Выполнение работ по установке (монтажу) системы видеонаблюдения</v>
      </c>
      <c r="G12073" s="22" t="s">
        <v>258</v>
      </c>
      <c r="H12073" s="22" t="s">
        <v>3129</v>
      </c>
      <c r="I12073" s="26">
        <v>43542.5805555556</v>
      </c>
      <c r="J12073" s="23" t="str">
        <f>HYPERLINK("https://www.spark-marketing.ru/Card/Person/470113", "ООО ""АЛАРМ СЕРВИС""")</f>
        <v>ООО "АЛАРМ СЕРВИС"</v>
      </c>
      <c r="K12073" s="24" t="s">
        <v>6025</v>
      </c>
      <c r="L12073" s="28" t="s">
        <v>52</v>
      </c>
      <c r="M12073" s="25">
        <v>429600</v>
      </c>
      <c r="N12073" s="27">
        <v>0.105</v>
      </c>
    </row>
    <row r="12074" spans="1:14" hidden="1" outlineLevel="1" x14ac:dyDescent="0.2">
      <c r="A12074" s="23" t="str">
        <f t="shared" si="623"/>
        <v>МКОУ СОШ № 5</v>
      </c>
      <c r="B12074" s="24" t="s">
        <v>14388</v>
      </c>
      <c r="C12074" s="25">
        <v>480000</v>
      </c>
      <c r="D12074" s="22" t="s">
        <v>14389</v>
      </c>
      <c r="E12074" s="22" t="s">
        <v>59</v>
      </c>
      <c r="F12074" s="23" t="str">
        <f t="shared" si="624"/>
        <v>Выполнение работ по установке (монтажу) системы видеонаблюдения</v>
      </c>
      <c r="G12074" s="22" t="s">
        <v>258</v>
      </c>
      <c r="H12074" s="22" t="s">
        <v>3129</v>
      </c>
      <c r="I12074" s="26">
        <v>43542.5805555556</v>
      </c>
      <c r="J12074" s="23" t="str">
        <f>HYPERLINK("https://www.spark-marketing.ru/Card/Person/470476", "Пятенко Андрей Анатольевич")</f>
        <v>Пятенко Андрей Анатольевич</v>
      </c>
      <c r="K12074" s="24" t="s">
        <v>2735</v>
      </c>
      <c r="L12074" s="28" t="s">
        <v>52</v>
      </c>
      <c r="M12074" s="25">
        <v>302400</v>
      </c>
      <c r="N12074" s="27">
        <v>0.37</v>
      </c>
    </row>
    <row r="12075" spans="1:14" hidden="1" outlineLevel="1" x14ac:dyDescent="0.2">
      <c r="A12075" s="23" t="str">
        <f t="shared" si="623"/>
        <v>МКОУ СОШ № 5</v>
      </c>
      <c r="B12075" s="24" t="s">
        <v>14388</v>
      </c>
      <c r="C12075" s="25">
        <v>480000</v>
      </c>
      <c r="D12075" s="22" t="s">
        <v>14389</v>
      </c>
      <c r="E12075" s="22" t="s">
        <v>59</v>
      </c>
      <c r="F12075" s="23" t="str">
        <f t="shared" si="624"/>
        <v>Выполнение работ по установке (монтажу) системы видеонаблюдения</v>
      </c>
      <c r="G12075" s="22" t="s">
        <v>258</v>
      </c>
      <c r="H12075" s="22" t="s">
        <v>3129</v>
      </c>
      <c r="I12075" s="26">
        <v>43542.5805555556</v>
      </c>
      <c r="J12075" s="23" t="str">
        <f>HYPERLINK("https://www.spark-marketing.ru/Card/Person/6142617", "ООО ""АВРОРА СБ""")</f>
        <v>ООО "АВРОРА СБ"</v>
      </c>
      <c r="K12075" s="24" t="s">
        <v>9674</v>
      </c>
      <c r="L12075" s="28" t="s">
        <v>52</v>
      </c>
      <c r="M12075" s="25">
        <v>376800</v>
      </c>
      <c r="N12075" s="27">
        <v>0.215</v>
      </c>
    </row>
    <row r="12076" spans="1:14" hidden="1" outlineLevel="1" x14ac:dyDescent="0.2">
      <c r="A12076" s="23" t="str">
        <f t="shared" si="623"/>
        <v>МКОУ СОШ № 5</v>
      </c>
      <c r="B12076" s="24" t="s">
        <v>14388</v>
      </c>
      <c r="C12076" s="25">
        <v>480000</v>
      </c>
      <c r="D12076" s="22" t="s">
        <v>14389</v>
      </c>
      <c r="E12076" s="22" t="s">
        <v>59</v>
      </c>
      <c r="F12076" s="23" t="str">
        <f t="shared" si="624"/>
        <v>Выполнение работ по установке (монтажу) системы видеонаблюдения</v>
      </c>
      <c r="G12076" s="22" t="s">
        <v>258</v>
      </c>
      <c r="H12076" s="22" t="s">
        <v>3129</v>
      </c>
      <c r="I12076" s="26">
        <v>43542.5805555556</v>
      </c>
      <c r="J12076" s="23" t="str">
        <f>HYPERLINK("https://www.spark-marketing.ru/Card/Person/54834", "ООО ""СЕТИ БЕЗОПАСНОСТИ""")</f>
        <v>ООО "СЕТИ БЕЗОПАСНОСТИ"</v>
      </c>
      <c r="K12076" s="24" t="s">
        <v>1985</v>
      </c>
      <c r="L12076" s="28" t="s">
        <v>52</v>
      </c>
      <c r="M12076" s="25">
        <v>472800</v>
      </c>
      <c r="N12076" s="27">
        <v>1.4999999999999999E-2</v>
      </c>
    </row>
    <row r="12077" spans="1:14" hidden="1" outlineLevel="1" x14ac:dyDescent="0.2">
      <c r="A12077" s="23" t="str">
        <f t="shared" si="623"/>
        <v>МКОУ СОШ № 5</v>
      </c>
      <c r="B12077" s="24" t="s">
        <v>14388</v>
      </c>
      <c r="C12077" s="25">
        <v>480000</v>
      </c>
      <c r="D12077" s="22" t="s">
        <v>14389</v>
      </c>
      <c r="E12077" s="22" t="s">
        <v>59</v>
      </c>
      <c r="F12077" s="23" t="str">
        <f t="shared" si="624"/>
        <v>Выполнение работ по установке (монтажу) системы видеонаблюдения</v>
      </c>
      <c r="G12077" s="22" t="s">
        <v>258</v>
      </c>
      <c r="H12077" s="22" t="s">
        <v>3129</v>
      </c>
      <c r="I12077" s="26">
        <v>43542.5805555556</v>
      </c>
      <c r="J12077" s="23" t="str">
        <f>HYPERLINK("https://www.spark-marketing.ru/Card/Person/6507226", "Вдовченко Андрей Викторович")</f>
        <v>Вдовченко Андрей Викторович</v>
      </c>
      <c r="K12077" s="24" t="s">
        <v>14390</v>
      </c>
      <c r="L12077" s="28" t="s">
        <v>52</v>
      </c>
      <c r="M12077" s="25">
        <v>475200</v>
      </c>
      <c r="N12077" s="27">
        <v>0.01</v>
      </c>
    </row>
    <row r="12078" spans="1:14" x14ac:dyDescent="0.15">
      <c r="A12078" s="23" t="str">
        <f>HYPERLINK("https://www.spark-marketing.ru/Card/Person/9464", "ГБУЗ ""ДИРЕКЦИЯ РАЗВИТИЯ ОБЪЕКТОВ ЗДРАВООХРАНЕНИЯ ГОРОДА МОСКВЫ""")</f>
        <v>ГБУЗ "ДИРЕКЦИЯ РАЗВИТИЯ ОБЪЕКТОВ ЗДРАВООХРАНЕНИЯ ГОРОДА МОСКВЫ"</v>
      </c>
      <c r="B12078" s="24" t="s">
        <v>14391</v>
      </c>
      <c r="C12078" s="25">
        <v>730559.62</v>
      </c>
      <c r="D12078" s="22" t="s">
        <v>14392</v>
      </c>
      <c r="E12078" s="22" t="s">
        <v>218</v>
      </c>
      <c r="F12078" s="23" t="str">
        <f>HYPERLINK("https://www.spark-marketing.ru/Card/Lot/68814773", "Выполнение работ по осуществлению авторского надзора и проектного сопровождения при строительстве объекта : ""Пристройка к поликлинике на 480 посещений в смену по адресу: ул. Рабочая, вл. 34, стр. 1""")</f>
        <v>Выполнение работ по осуществлению авторского надзора и проектного сопровождения при строительстве объекта : "Пристройка к поликлинике на 480 посещений в смену по адресу: ул. Рабочая, вл. 34, стр. 1"</v>
      </c>
      <c r="G12078" s="22" t="s">
        <v>55</v>
      </c>
      <c r="H12078" s="22" t="s">
        <v>55</v>
      </c>
      <c r="I12078" s="26">
        <v>43542.55</v>
      </c>
      <c r="J12078" s="28" t="s">
        <v>52</v>
      </c>
      <c r="K12078" s="28" t="s">
        <v>52</v>
      </c>
      <c r="L12078" s="28" t="s">
        <v>52</v>
      </c>
      <c r="M12078" s="28" t="s">
        <v>52</v>
      </c>
      <c r="N12078" s="28" t="s">
        <v>52</v>
      </c>
    </row>
    <row r="12079" spans="1:14" x14ac:dyDescent="0.15">
      <c r="A12079" s="23" t="str">
        <f>HYPERLINK("https://www.spark-marketing.ru/Card/Person/151049", "МОУ ""ГЛЕБОВСКАЯ СОШ""")</f>
        <v>МОУ "ГЛЕБОВСКАЯ СОШ"</v>
      </c>
      <c r="B12079" s="24" t="s">
        <v>14393</v>
      </c>
      <c r="C12079" s="25">
        <v>249600</v>
      </c>
      <c r="D12079" s="22" t="s">
        <v>14394</v>
      </c>
      <c r="E12079" s="22" t="s">
        <v>294</v>
      </c>
      <c r="F12079" s="23" t="str">
        <f>HYPERLINK("https://www.spark-marketing.ru/Card/Lot/68791182", "Услуга по техническому обслуживанию системы видеонаблюдения в здании МОУ ""Глебовская СОШ""")</f>
        <v>Услуга по техническому обслуживанию системы видеонаблюдения в здании МОУ "Глебовская СОШ"</v>
      </c>
      <c r="G12079" s="22" t="s">
        <v>50</v>
      </c>
      <c r="H12079" s="22" t="s">
        <v>295</v>
      </c>
      <c r="I12079" s="26">
        <v>43542.544814814799</v>
      </c>
      <c r="J12079" s="28" t="s">
        <v>52</v>
      </c>
      <c r="K12079" s="28" t="s">
        <v>52</v>
      </c>
      <c r="L12079" s="28" t="s">
        <v>52</v>
      </c>
      <c r="M12079" s="28" t="s">
        <v>52</v>
      </c>
      <c r="N12079" s="28" t="s">
        <v>52</v>
      </c>
    </row>
    <row r="12080" spans="1:14" x14ac:dyDescent="0.15">
      <c r="A12080" s="23" t="str">
        <f>HYPERLINK("https://www.spark-marketing.ru/Card/Person/109863", "БДОУ Г. ОМСКА ""ДЕТСКИЙ САД № 127""")</f>
        <v>БДОУ Г. ОМСКА "ДЕТСКИЙ САД № 127"</v>
      </c>
      <c r="B12080" s="24" t="s">
        <v>14395</v>
      </c>
      <c r="C12080" s="25">
        <v>12000</v>
      </c>
      <c r="D12080" s="22" t="s">
        <v>14396</v>
      </c>
      <c r="E12080" s="22" t="s">
        <v>68</v>
      </c>
      <c r="F12080" s="23" t="str">
        <f>HYPERLINK("https://www.spark-marketing.ru/Card/Lot/68789876", "Услуги по охране имущества, путем осуществления контроля за состоянием средств тревожной сигнализации.")</f>
        <v>Услуги по охране имущества, путем осуществления контроля за состоянием средств тревожной сигнализации.</v>
      </c>
      <c r="G12080" s="22" t="s">
        <v>521</v>
      </c>
      <c r="H12080" s="22" t="s">
        <v>522</v>
      </c>
      <c r="I12080" s="26">
        <v>43542.508333333302</v>
      </c>
      <c r="J12080" s="28" t="s">
        <v>52</v>
      </c>
      <c r="K12080" s="28" t="s">
        <v>52</v>
      </c>
      <c r="L12080" s="28" t="s">
        <v>52</v>
      </c>
      <c r="M12080" s="28" t="s">
        <v>52</v>
      </c>
      <c r="N12080" s="28" t="s">
        <v>52</v>
      </c>
    </row>
    <row r="12081" spans="1:14" x14ac:dyDescent="0.15">
      <c r="A12081" s="23" t="str">
        <f>HYPERLINK("https://www.spark-marketing.ru/Card/Person/733281", "МАОУ СОШ № 3 ЗАТО МЕЖГОРЬЕ РЕСПУБЛИКИ БАШКОРТОСТАН")</f>
        <v>МАОУ СОШ № 3 ЗАТО МЕЖГОРЬЕ РЕСПУБЛИКИ БАШКОРТОСТАН</v>
      </c>
      <c r="B12081" s="24" t="s">
        <v>14397</v>
      </c>
      <c r="C12081" s="25">
        <v>751700</v>
      </c>
      <c r="D12081" s="22" t="s">
        <v>14398</v>
      </c>
      <c r="E12081" s="22" t="s">
        <v>4747</v>
      </c>
      <c r="F12081" s="23" t="str">
        <f>HYPERLINK("https://www.spark-marketing.ru/Card/Lot/68789497", "оказание охранных услуг")</f>
        <v>оказание охранных услуг</v>
      </c>
      <c r="G12081" s="22" t="s">
        <v>100</v>
      </c>
      <c r="H12081" s="22" t="s">
        <v>100</v>
      </c>
      <c r="I12081" s="26">
        <v>43542.521064814799</v>
      </c>
      <c r="J12081" s="28" t="s">
        <v>52</v>
      </c>
      <c r="K12081" s="28" t="s">
        <v>52</v>
      </c>
      <c r="L12081" s="28" t="s">
        <v>52</v>
      </c>
      <c r="M12081" s="28" t="s">
        <v>52</v>
      </c>
      <c r="N12081" s="28" t="s">
        <v>52</v>
      </c>
    </row>
    <row r="12082" spans="1:14" x14ac:dyDescent="0.15">
      <c r="A12082" s="23" t="str">
        <f>HYPERLINK("https://www.spark-marketing.ru/Card/Person/12461", "УФСИН РОССИИ ПО ОМСКОЙ ОБЛАСТИ")</f>
        <v>УФСИН РОССИИ ПО ОМСКОЙ ОБЛАСТИ</v>
      </c>
      <c r="B12082" s="24" t="s">
        <v>14399</v>
      </c>
      <c r="C12082" s="25">
        <v>1433400</v>
      </c>
      <c r="D12082" s="22" t="s">
        <v>14400</v>
      </c>
      <c r="E12082" s="22" t="s">
        <v>2458</v>
      </c>
      <c r="F12082" s="23" t="str">
        <f>HYPERLINK("https://www.spark-marketing.ru/Card/Lot/68807822", "Средства транспортные в целях обеспечения государственной программы вооружения в рамках ГОЗ")</f>
        <v>Средства транспортные в целях обеспечения государственной программы вооружения в рамках ГОЗ</v>
      </c>
      <c r="G12082" s="22" t="s">
        <v>521</v>
      </c>
      <c r="H12082" s="22" t="s">
        <v>522</v>
      </c>
      <c r="I12082" s="26">
        <v>43542.511805555601</v>
      </c>
      <c r="J12082" s="28" t="s">
        <v>52</v>
      </c>
      <c r="K12082" s="28" t="s">
        <v>52</v>
      </c>
      <c r="L12082" s="28" t="s">
        <v>52</v>
      </c>
      <c r="M12082" s="28" t="s">
        <v>52</v>
      </c>
      <c r="N12082" s="28" t="s">
        <v>52</v>
      </c>
    </row>
    <row r="12083" spans="1:14" hidden="1" outlineLevel="1" x14ac:dyDescent="0.2">
      <c r="A12083" s="23" t="str">
        <f>HYPERLINK("https://www.spark-marketing.ru/Card/Person/12461", "УФСИН РОССИИ ПО ОМСКОЙ ОБЛАСТИ")</f>
        <v>УФСИН РОССИИ ПО ОМСКОЙ ОБЛАСТИ</v>
      </c>
      <c r="B12083" s="24" t="s">
        <v>14399</v>
      </c>
      <c r="C12083" s="25">
        <v>1433400</v>
      </c>
      <c r="D12083" s="22" t="s">
        <v>14400</v>
      </c>
      <c r="E12083" s="22" t="s">
        <v>2458</v>
      </c>
      <c r="F12083" s="23" t="str">
        <f>HYPERLINK("https://www.spark-marketing.ru/Card/Lot/68807822", "Средства транспортные в целях обеспечения государственной программы вооружения в рамках ГОЗ")</f>
        <v>Средства транспортные в целях обеспечения государственной программы вооружения в рамках ГОЗ</v>
      </c>
      <c r="G12083" s="22" t="s">
        <v>521</v>
      </c>
      <c r="H12083" s="22" t="s">
        <v>522</v>
      </c>
      <c r="I12083" s="26">
        <v>43542.511805555601</v>
      </c>
      <c r="J12083" s="23" t="str">
        <f>HYPERLINK("https://www.spark-marketing.ru/Card/Person/4358944", "ООО ""АВТОЦЕНТРГАЗ""")</f>
        <v>ООО "АВТОЦЕНТРГАЗ"</v>
      </c>
      <c r="K12083" s="24" t="s">
        <v>12255</v>
      </c>
      <c r="L12083" s="28" t="s">
        <v>52</v>
      </c>
      <c r="M12083" s="25">
        <v>1404732</v>
      </c>
      <c r="N12083" s="27">
        <v>0.02</v>
      </c>
    </row>
    <row r="12084" spans="1:14" ht="12.75" hidden="1" outlineLevel="1" x14ac:dyDescent="0.2">
      <c r="A12084" s="23" t="str">
        <f>HYPERLINK("https://www.spark-marketing.ru/Card/Person/12461", "УФСИН РОССИИ ПО ОМСКОЙ ОБЛАСТИ")</f>
        <v>УФСИН РОССИИ ПО ОМСКОЙ ОБЛАСТИ</v>
      </c>
      <c r="B12084" s="24" t="s">
        <v>14399</v>
      </c>
      <c r="C12084" s="25">
        <v>1433400</v>
      </c>
      <c r="D12084" s="22" t="s">
        <v>14400</v>
      </c>
      <c r="E12084" s="22" t="s">
        <v>2458</v>
      </c>
      <c r="F12084" s="23" t="str">
        <f>HYPERLINK("https://www.spark-marketing.ru/Card/Lot/68807822", "Средства транспортные в целях обеспечения государственной программы вооружения в рамках ГОЗ")</f>
        <v>Средства транспортные в целях обеспечения государственной программы вооружения в рамках ГОЗ</v>
      </c>
      <c r="G12084" s="22" t="s">
        <v>521</v>
      </c>
      <c r="H12084" s="22" t="s">
        <v>522</v>
      </c>
      <c r="I12084" s="26">
        <v>43542.511805555601</v>
      </c>
      <c r="J12084" s="23" t="str">
        <f>HYPERLINK("https://www.spark-marketing.ru/Card/Person/621089", "ООО ""АЗИЯ АВТО""")</f>
        <v>ООО "АЗИЯ АВТО"</v>
      </c>
      <c r="K12084" s="24" t="s">
        <v>14401</v>
      </c>
      <c r="L12084" s="22" t="s">
        <v>10</v>
      </c>
      <c r="M12084" s="25">
        <v>1397565</v>
      </c>
      <c r="N12084" s="27">
        <v>2.5000000000000001E-2</v>
      </c>
    </row>
    <row r="12085" spans="1:14" x14ac:dyDescent="0.15">
      <c r="A12085" s="23" t="str">
        <f>HYPERLINK("https://www.spark-marketing.ru/Card/Person/102265", "МБОУДО ""ДОЛ ""ВОЛНА"" Г. ЧЕБОКСАРЫ")</f>
        <v>МБОУДО "ДОЛ "ВОЛНА" Г. ЧЕБОКСАРЫ</v>
      </c>
      <c r="B12085" s="24" t="s">
        <v>14402</v>
      </c>
      <c r="C12085" s="25">
        <v>247260</v>
      </c>
      <c r="D12085" s="22" t="s">
        <v>14403</v>
      </c>
      <c r="E12085" s="22" t="s">
        <v>68</v>
      </c>
      <c r="F12085" s="23" t="str">
        <f>HYPERLINK("https://www.spark-marketing.ru/Card/Lot/68790551", "охранные услуги в соответствии положениями Закона РФ от 11.03.1992г. № 2487-1 «О частной детективной и охранной деятельности в Российской Федерации»")</f>
        <v>охранные услуги в соответствии положениями Закона РФ от 11.03.1992г. № 2487-1 «О частной детективной и охранной деятельности в Российской Федерации»</v>
      </c>
      <c r="G12085" s="22" t="s">
        <v>1137</v>
      </c>
      <c r="H12085" s="22" t="s">
        <v>1138</v>
      </c>
      <c r="I12085" s="26">
        <v>43542.518750000003</v>
      </c>
      <c r="J12085" s="28" t="s">
        <v>52</v>
      </c>
      <c r="K12085" s="28" t="s">
        <v>52</v>
      </c>
      <c r="L12085" s="28" t="s">
        <v>52</v>
      </c>
      <c r="M12085" s="28" t="s">
        <v>52</v>
      </c>
      <c r="N12085" s="28" t="s">
        <v>52</v>
      </c>
    </row>
    <row r="12086" spans="1:14" x14ac:dyDescent="0.15">
      <c r="A12086" s="23" t="str">
        <f>HYPERLINK("https://www.spark-marketing.ru/Card/Person/733281", "МАОУ СОШ № 3 ЗАТО МЕЖГОРЬЕ РЕСПУБЛИКИ БАШКОРТОСТАН")</f>
        <v>МАОУ СОШ № 3 ЗАТО МЕЖГОРЬЕ РЕСПУБЛИКИ БАШКОРТОСТАН</v>
      </c>
      <c r="B12086" s="24" t="s">
        <v>14397</v>
      </c>
      <c r="C12086" s="25">
        <v>190881.6</v>
      </c>
      <c r="D12086" s="22" t="s">
        <v>14404</v>
      </c>
      <c r="E12086" s="22" t="s">
        <v>4747</v>
      </c>
      <c r="F12086" s="23" t="str">
        <f>HYPERLINK("https://www.spark-marketing.ru/Card/Lot/68787668", "охранные услуги с помощью технических средств охраны")</f>
        <v>охранные услуги с помощью технических средств охраны</v>
      </c>
      <c r="G12086" s="22" t="s">
        <v>100</v>
      </c>
      <c r="H12086" s="22" t="s">
        <v>100</v>
      </c>
      <c r="I12086" s="26">
        <v>43542.510879629597</v>
      </c>
      <c r="J12086" s="28" t="s">
        <v>52</v>
      </c>
      <c r="K12086" s="28" t="s">
        <v>52</v>
      </c>
      <c r="L12086" s="28" t="s">
        <v>52</v>
      </c>
      <c r="M12086" s="28" t="s">
        <v>52</v>
      </c>
      <c r="N12086" s="28" t="s">
        <v>52</v>
      </c>
    </row>
    <row r="12087" spans="1:14" x14ac:dyDescent="0.15">
      <c r="A12087" s="23" t="str">
        <f t="shared" ref="A12087:A12097" si="625">HYPERLINK("https://www.spark-marketing.ru/Card/Person/8832", "НИИФКИ")</f>
        <v>НИИФКИ</v>
      </c>
      <c r="B12087" s="24" t="s">
        <v>14405</v>
      </c>
      <c r="C12087" s="25">
        <v>134100</v>
      </c>
      <c r="D12087" s="22" t="s">
        <v>14406</v>
      </c>
      <c r="E12087" s="22" t="s">
        <v>107</v>
      </c>
      <c r="F12087" s="23" t="str">
        <f t="shared" ref="F12087:F12097" si="626">HYPERLINK("https://www.spark-marketing.ru/Card/Lot/68802371", "Оказание услуг по техническому обслуживанию систем видеонаблюдения и автоматических шлагбаумов")</f>
        <v>Оказание услуг по техническому обслуживанию систем видеонаблюдения и автоматических шлагбаумов</v>
      </c>
      <c r="G12087" s="22" t="s">
        <v>209</v>
      </c>
      <c r="H12087" s="22" t="s">
        <v>210</v>
      </c>
      <c r="I12087" s="26">
        <v>43542.5090277778</v>
      </c>
      <c r="J12087" s="28" t="s">
        <v>52</v>
      </c>
      <c r="K12087" s="28" t="s">
        <v>52</v>
      </c>
      <c r="L12087" s="28" t="s">
        <v>52</v>
      </c>
      <c r="M12087" s="28" t="s">
        <v>52</v>
      </c>
      <c r="N12087" s="28" t="s">
        <v>52</v>
      </c>
    </row>
    <row r="12088" spans="1:14" ht="12.75" hidden="1" outlineLevel="1" x14ac:dyDescent="0.2">
      <c r="A12088" s="23" t="str">
        <f t="shared" si="625"/>
        <v>НИИФКИ</v>
      </c>
      <c r="B12088" s="24" t="s">
        <v>14405</v>
      </c>
      <c r="C12088" s="25">
        <v>134100</v>
      </c>
      <c r="D12088" s="22" t="s">
        <v>14406</v>
      </c>
      <c r="E12088" s="22" t="s">
        <v>107</v>
      </c>
      <c r="F12088" s="23" t="str">
        <f t="shared" si="626"/>
        <v>Оказание услуг по техническому обслуживанию систем видеонаблюдения и автоматических шлагбаумов</v>
      </c>
      <c r="G12088" s="22" t="s">
        <v>209</v>
      </c>
      <c r="H12088" s="22" t="s">
        <v>210</v>
      </c>
      <c r="I12088" s="26">
        <v>43542.5090277778</v>
      </c>
      <c r="J12088" s="23" t="str">
        <f>HYPERLINK("https://www.spark-marketing.ru/Card/Person/6117492", "ООО ""ВИДЕОСПЕЦСЕРВИС""")</f>
        <v>ООО "ВИДЕОСПЕЦСЕРВИС"</v>
      </c>
      <c r="K12088" s="24" t="s">
        <v>13877</v>
      </c>
      <c r="L12088" s="22" t="s">
        <v>10</v>
      </c>
      <c r="M12088" s="25">
        <v>26475</v>
      </c>
      <c r="N12088" s="27">
        <v>0.80257270693512306</v>
      </c>
    </row>
    <row r="12089" spans="1:14" hidden="1" outlineLevel="1" x14ac:dyDescent="0.2">
      <c r="A12089" s="23" t="str">
        <f t="shared" si="625"/>
        <v>НИИФКИ</v>
      </c>
      <c r="B12089" s="24" t="s">
        <v>14405</v>
      </c>
      <c r="C12089" s="25">
        <v>134100</v>
      </c>
      <c r="D12089" s="22" t="s">
        <v>14406</v>
      </c>
      <c r="E12089" s="22" t="s">
        <v>107</v>
      </c>
      <c r="F12089" s="23" t="str">
        <f t="shared" si="626"/>
        <v>Оказание услуг по техническому обслуживанию систем видеонаблюдения и автоматических шлагбаумов</v>
      </c>
      <c r="G12089" s="22" t="s">
        <v>209</v>
      </c>
      <c r="H12089" s="22" t="s">
        <v>210</v>
      </c>
      <c r="I12089" s="26">
        <v>43542.5090277778</v>
      </c>
      <c r="J12089" s="23" t="str">
        <f>HYPERLINK("https://www.spark-marketing.ru/Card/Person/6511503", "Грошева Алина Викторовна")</f>
        <v>Грошева Алина Викторовна</v>
      </c>
      <c r="K12089" s="24" t="s">
        <v>14407</v>
      </c>
      <c r="L12089" s="28" t="s">
        <v>52</v>
      </c>
      <c r="M12089" s="25">
        <v>60000</v>
      </c>
      <c r="N12089" s="27">
        <v>0.55257270693512306</v>
      </c>
    </row>
    <row r="12090" spans="1:14" hidden="1" outlineLevel="1" x14ac:dyDescent="0.2">
      <c r="A12090" s="23" t="str">
        <f t="shared" si="625"/>
        <v>НИИФКИ</v>
      </c>
      <c r="B12090" s="24" t="s">
        <v>14405</v>
      </c>
      <c r="C12090" s="25">
        <v>134100</v>
      </c>
      <c r="D12090" s="22" t="s">
        <v>14406</v>
      </c>
      <c r="E12090" s="22" t="s">
        <v>107</v>
      </c>
      <c r="F12090" s="23" t="str">
        <f t="shared" si="626"/>
        <v>Оказание услуг по техническому обслуживанию систем видеонаблюдения и автоматических шлагбаумов</v>
      </c>
      <c r="G12090" s="22" t="s">
        <v>209</v>
      </c>
      <c r="H12090" s="22" t="s">
        <v>210</v>
      </c>
      <c r="I12090" s="26">
        <v>43542.5090277778</v>
      </c>
      <c r="J12090" s="23" t="str">
        <f>HYPERLINK("https://www.spark-marketing.ru/Card/Person/6402542", "ООО ""ЦЕНТР СБ""")</f>
        <v>ООО "ЦЕНТР СБ"</v>
      </c>
      <c r="K12090" s="24" t="s">
        <v>2133</v>
      </c>
      <c r="L12090" s="28" t="s">
        <v>52</v>
      </c>
      <c r="M12090" s="25">
        <v>103000</v>
      </c>
      <c r="N12090" s="27">
        <v>0.2319164802386279</v>
      </c>
    </row>
    <row r="12091" spans="1:14" hidden="1" outlineLevel="1" x14ac:dyDescent="0.2">
      <c r="A12091" s="23" t="str">
        <f t="shared" si="625"/>
        <v>НИИФКИ</v>
      </c>
      <c r="B12091" s="24" t="s">
        <v>14405</v>
      </c>
      <c r="C12091" s="25">
        <v>134100</v>
      </c>
      <c r="D12091" s="22" t="s">
        <v>14406</v>
      </c>
      <c r="E12091" s="22" t="s">
        <v>107</v>
      </c>
      <c r="F12091" s="23" t="str">
        <f t="shared" si="626"/>
        <v>Оказание услуг по техническому обслуживанию систем видеонаблюдения и автоматических шлагбаумов</v>
      </c>
      <c r="G12091" s="22" t="s">
        <v>209</v>
      </c>
      <c r="H12091" s="22" t="s">
        <v>210</v>
      </c>
      <c r="I12091" s="26">
        <v>43542.5090277778</v>
      </c>
      <c r="J12091" s="23" t="str">
        <f>HYPERLINK("https://www.spark-marketing.ru/Card/Person/432603", "ООО ""ТД МИРОГРАД""")</f>
        <v>ООО "ТД МИРОГРАД"</v>
      </c>
      <c r="K12091" s="24" t="s">
        <v>14408</v>
      </c>
      <c r="L12091" s="28" t="s">
        <v>52</v>
      </c>
      <c r="M12091" s="25">
        <v>124800</v>
      </c>
      <c r="N12091" s="27">
        <v>6.9351230425055935E-2</v>
      </c>
    </row>
    <row r="12092" spans="1:14" hidden="1" outlineLevel="1" x14ac:dyDescent="0.2">
      <c r="A12092" s="23" t="str">
        <f t="shared" si="625"/>
        <v>НИИФКИ</v>
      </c>
      <c r="B12092" s="24" t="s">
        <v>14405</v>
      </c>
      <c r="C12092" s="25">
        <v>134100</v>
      </c>
      <c r="D12092" s="22" t="s">
        <v>14406</v>
      </c>
      <c r="E12092" s="22" t="s">
        <v>107</v>
      </c>
      <c r="F12092" s="23" t="str">
        <f t="shared" si="626"/>
        <v>Оказание услуг по техническому обслуживанию систем видеонаблюдения и автоматических шлагбаумов</v>
      </c>
      <c r="G12092" s="22" t="s">
        <v>209</v>
      </c>
      <c r="H12092" s="22" t="s">
        <v>210</v>
      </c>
      <c r="I12092" s="26">
        <v>43542.5090277778</v>
      </c>
      <c r="J12092" s="23" t="str">
        <f>HYPERLINK("https://www.spark-marketing.ru/Card/Person/621617", "ЗАО ""СЕРВИССНАБСБЫТ""")</f>
        <v>ЗАО "СЕРВИССНАБСБЫТ"</v>
      </c>
      <c r="K12092" s="24" t="s">
        <v>14409</v>
      </c>
      <c r="L12092" s="28" t="s">
        <v>52</v>
      </c>
      <c r="M12092" s="25">
        <v>27145.5</v>
      </c>
      <c r="N12092" s="27">
        <v>0.79757270693512305</v>
      </c>
    </row>
    <row r="12093" spans="1:14" hidden="1" outlineLevel="1" x14ac:dyDescent="0.2">
      <c r="A12093" s="23" t="str">
        <f t="shared" si="625"/>
        <v>НИИФКИ</v>
      </c>
      <c r="B12093" s="24" t="s">
        <v>14405</v>
      </c>
      <c r="C12093" s="25">
        <v>134100</v>
      </c>
      <c r="D12093" s="22" t="s">
        <v>14406</v>
      </c>
      <c r="E12093" s="22" t="s">
        <v>107</v>
      </c>
      <c r="F12093" s="23" t="str">
        <f t="shared" si="626"/>
        <v>Оказание услуг по техническому обслуживанию систем видеонаблюдения и автоматических шлагбаумов</v>
      </c>
      <c r="G12093" s="22" t="s">
        <v>209</v>
      </c>
      <c r="H12093" s="22" t="s">
        <v>210</v>
      </c>
      <c r="I12093" s="26">
        <v>43542.5090277778</v>
      </c>
      <c r="J12093" s="23" t="str">
        <f>HYPERLINK("https://www.spark-marketing.ru/Card/Person/5787272", "ООО СК ""ТРАКТ""")</f>
        <v>ООО СК "ТРАКТ"</v>
      </c>
      <c r="K12093" s="24" t="s">
        <v>14410</v>
      </c>
      <c r="L12093" s="28" t="s">
        <v>52</v>
      </c>
      <c r="M12093" s="25">
        <v>73498</v>
      </c>
      <c r="N12093" s="27">
        <v>0.4519164802386279</v>
      </c>
    </row>
    <row r="12094" spans="1:14" hidden="1" outlineLevel="1" x14ac:dyDescent="0.2">
      <c r="A12094" s="23" t="str">
        <f t="shared" si="625"/>
        <v>НИИФКИ</v>
      </c>
      <c r="B12094" s="24" t="s">
        <v>14405</v>
      </c>
      <c r="C12094" s="25">
        <v>134100</v>
      </c>
      <c r="D12094" s="22" t="s">
        <v>14406</v>
      </c>
      <c r="E12094" s="22" t="s">
        <v>107</v>
      </c>
      <c r="F12094" s="23" t="str">
        <f t="shared" si="626"/>
        <v>Оказание услуг по техническому обслуживанию систем видеонаблюдения и автоматических шлагбаумов</v>
      </c>
      <c r="G12094" s="22" t="s">
        <v>209</v>
      </c>
      <c r="H12094" s="22" t="s">
        <v>210</v>
      </c>
      <c r="I12094" s="26">
        <v>43542.5090277778</v>
      </c>
      <c r="J12094" s="23" t="str">
        <f>HYPERLINK("https://www.spark-marketing.ru/Card/Person/38661", "ООО ЧОП ""ПРАВОПОРЯДОК-ГАРАНТ""")</f>
        <v>ООО ЧОП "ПРАВОПОРЯДОК-ГАРАНТ"</v>
      </c>
      <c r="K12094" s="24" t="s">
        <v>14411</v>
      </c>
      <c r="L12094" s="28" t="s">
        <v>52</v>
      </c>
      <c r="M12094" s="25">
        <v>37203</v>
      </c>
      <c r="N12094" s="27">
        <v>0.72257270693512299</v>
      </c>
    </row>
    <row r="12095" spans="1:14" hidden="1" outlineLevel="1" x14ac:dyDescent="0.2">
      <c r="A12095" s="23" t="str">
        <f t="shared" si="625"/>
        <v>НИИФКИ</v>
      </c>
      <c r="B12095" s="24" t="s">
        <v>14405</v>
      </c>
      <c r="C12095" s="25">
        <v>134100</v>
      </c>
      <c r="D12095" s="22" t="s">
        <v>14406</v>
      </c>
      <c r="E12095" s="22" t="s">
        <v>107</v>
      </c>
      <c r="F12095" s="23" t="str">
        <f t="shared" si="626"/>
        <v>Оказание услуг по техническому обслуживанию систем видеонаблюдения и автоматических шлагбаумов</v>
      </c>
      <c r="G12095" s="22" t="s">
        <v>209</v>
      </c>
      <c r="H12095" s="22" t="s">
        <v>210</v>
      </c>
      <c r="I12095" s="26">
        <v>43542.5090277778</v>
      </c>
      <c r="J12095" s="23" t="str">
        <f>HYPERLINK("https://www.spark-marketing.ru/Card/Person/5856682", "ООО ""СТБ""")</f>
        <v>ООО "СТБ"</v>
      </c>
      <c r="K12095" s="24" t="s">
        <v>14412</v>
      </c>
      <c r="L12095" s="28" t="s">
        <v>52</v>
      </c>
      <c r="M12095" s="25">
        <v>59680</v>
      </c>
      <c r="N12095" s="27">
        <v>0.55495898583146908</v>
      </c>
    </row>
    <row r="12096" spans="1:14" hidden="1" outlineLevel="1" x14ac:dyDescent="0.2">
      <c r="A12096" s="23" t="str">
        <f t="shared" si="625"/>
        <v>НИИФКИ</v>
      </c>
      <c r="B12096" s="24" t="s">
        <v>14405</v>
      </c>
      <c r="C12096" s="25">
        <v>134100</v>
      </c>
      <c r="D12096" s="22" t="s">
        <v>14406</v>
      </c>
      <c r="E12096" s="22" t="s">
        <v>107</v>
      </c>
      <c r="F12096" s="23" t="str">
        <f t="shared" si="626"/>
        <v>Оказание услуг по техническому обслуживанию систем видеонаблюдения и автоматических шлагбаумов</v>
      </c>
      <c r="G12096" s="22" t="s">
        <v>209</v>
      </c>
      <c r="H12096" s="22" t="s">
        <v>210</v>
      </c>
      <c r="I12096" s="26">
        <v>43542.5090277778</v>
      </c>
      <c r="J12096" s="23" t="str">
        <f>HYPERLINK("https://www.spark-marketing.ru/Card/Person/6493618", "ООО ""2РПЛЮС""")</f>
        <v>ООО "2РПЛЮС"</v>
      </c>
      <c r="K12096" s="24" t="s">
        <v>14413</v>
      </c>
      <c r="L12096" s="28" t="s">
        <v>52</v>
      </c>
      <c r="M12096" s="25">
        <v>100000</v>
      </c>
      <c r="N12096" s="27">
        <v>0.25428784489187173</v>
      </c>
    </row>
    <row r="12097" spans="1:14" hidden="1" outlineLevel="1" x14ac:dyDescent="0.2">
      <c r="A12097" s="23" t="str">
        <f t="shared" si="625"/>
        <v>НИИФКИ</v>
      </c>
      <c r="B12097" s="24" t="s">
        <v>14405</v>
      </c>
      <c r="C12097" s="25">
        <v>134100</v>
      </c>
      <c r="D12097" s="22" t="s">
        <v>14406</v>
      </c>
      <c r="E12097" s="22" t="s">
        <v>107</v>
      </c>
      <c r="F12097" s="23" t="str">
        <f t="shared" si="626"/>
        <v>Оказание услуг по техническому обслуживанию систем видеонаблюдения и автоматических шлагбаумов</v>
      </c>
      <c r="G12097" s="22" t="s">
        <v>209</v>
      </c>
      <c r="H12097" s="22" t="s">
        <v>210</v>
      </c>
      <c r="I12097" s="26">
        <v>43542.5090277778</v>
      </c>
      <c r="J12097" s="23" t="str">
        <f>HYPERLINK("https://www.spark-marketing.ru/Card/Person/443653", "ООО ""ГРУППА АЛЬФА СЕРВИС""")</f>
        <v>ООО "ГРУППА АЛЬФА СЕРВИС"</v>
      </c>
      <c r="K12097" s="24" t="s">
        <v>14414</v>
      </c>
      <c r="L12097" s="28" t="s">
        <v>52</v>
      </c>
      <c r="M12097" s="25">
        <v>115996.5</v>
      </c>
      <c r="N12097" s="27">
        <v>0.13500000000000001</v>
      </c>
    </row>
    <row r="12098" spans="1:14" x14ac:dyDescent="0.15">
      <c r="A12098" s="23" t="str">
        <f>HYPERLINK("https://www.spark-marketing.ru/Card/Person/124063", "МКУ ""АДЦ""")</f>
        <v>МКУ "АДЦ"</v>
      </c>
      <c r="B12098" s="24" t="s">
        <v>12644</v>
      </c>
      <c r="C12098" s="25">
        <v>182400</v>
      </c>
      <c r="D12098" s="22" t="s">
        <v>14415</v>
      </c>
      <c r="E12098" s="22" t="s">
        <v>68</v>
      </c>
      <c r="F12098" s="23" t="str">
        <f>HYPERLINK("https://www.spark-marketing.ru/Card/Lot/68783820", "Оказание услуг защиты объекта транспортной инфраструктуры от актов незаконного вмешательства для нужд МКУ ""Автоматизированный диспетчерский центр""")</f>
        <v>Оказание услуг защиты объекта транспортной инфраструктуры от актов незаконного вмешательства для нужд МКУ "Автоматизированный диспетчерский центр"</v>
      </c>
      <c r="G12098" s="22" t="s">
        <v>409</v>
      </c>
      <c r="H12098" s="22" t="s">
        <v>878</v>
      </c>
      <c r="I12098" s="26">
        <v>43542.470833333296</v>
      </c>
      <c r="J12098" s="28" t="s">
        <v>52</v>
      </c>
      <c r="K12098" s="28" t="s">
        <v>52</v>
      </c>
      <c r="L12098" s="28" t="s">
        <v>52</v>
      </c>
      <c r="M12098" s="28" t="s">
        <v>52</v>
      </c>
      <c r="N12098" s="28" t="s">
        <v>52</v>
      </c>
    </row>
    <row r="12099" spans="1:14" ht="12.75" hidden="1" outlineLevel="1" x14ac:dyDescent="0.2">
      <c r="A12099" s="23" t="str">
        <f>HYPERLINK("https://www.spark-marketing.ru/Card/Person/124063", "МКУ ""АДЦ""")</f>
        <v>МКУ "АДЦ"</v>
      </c>
      <c r="B12099" s="24" t="s">
        <v>12644</v>
      </c>
      <c r="C12099" s="25">
        <v>182400</v>
      </c>
      <c r="D12099" s="22" t="s">
        <v>14415</v>
      </c>
      <c r="E12099" s="22" t="s">
        <v>68</v>
      </c>
      <c r="F12099" s="23" t="str">
        <f>HYPERLINK("https://www.spark-marketing.ru/Card/Lot/68783820", "Оказание услуг защиты объекта транспортной инфраструктуры от актов незаконного вмешательства для нужд МКУ ""Автоматизированный диспетчерский центр""")</f>
        <v>Оказание услуг защиты объекта транспортной инфраструктуры от актов незаконного вмешательства для нужд МКУ "Автоматизированный диспетчерский центр"</v>
      </c>
      <c r="G12099" s="22" t="s">
        <v>409</v>
      </c>
      <c r="H12099" s="22" t="s">
        <v>878</v>
      </c>
      <c r="I12099" s="26">
        <v>43542.470833333296</v>
      </c>
      <c r="J12099" s="23" t="str">
        <f>HYPERLINK("https://www.spark-marketing.ru/Card/Person/6285750", "ООО ""ДВ ТРАНСПОРТНАЯ БЕЗОПАСНОСТЬ""")</f>
        <v>ООО "ДВ ТРАНСПОРТНАЯ БЕЗОПАСНОСТЬ"</v>
      </c>
      <c r="K12099" s="24" t="s">
        <v>12646</v>
      </c>
      <c r="L12099" s="22" t="s">
        <v>10</v>
      </c>
      <c r="M12099" s="25">
        <v>182304</v>
      </c>
      <c r="N12099" s="27">
        <v>5.263157894736842E-4</v>
      </c>
    </row>
    <row r="12100" spans="1:14" hidden="1" outlineLevel="1" x14ac:dyDescent="0.2">
      <c r="A12100" s="23" t="str">
        <f>HYPERLINK("https://www.spark-marketing.ru/Card/Person/124063", "МКУ ""АДЦ""")</f>
        <v>МКУ "АДЦ"</v>
      </c>
      <c r="B12100" s="24" t="s">
        <v>12644</v>
      </c>
      <c r="C12100" s="25">
        <v>182400</v>
      </c>
      <c r="D12100" s="22" t="s">
        <v>14415</v>
      </c>
      <c r="E12100" s="22" t="s">
        <v>68</v>
      </c>
      <c r="F12100" s="23" t="str">
        <f>HYPERLINK("https://www.spark-marketing.ru/Card/Lot/68783820", "Оказание услуг защиты объекта транспортной инфраструктуры от актов незаконного вмешательства для нужд МКУ ""Автоматизированный диспетчерский центр""")</f>
        <v>Оказание услуг защиты объекта транспортной инфраструктуры от актов незаконного вмешательства для нужд МКУ "Автоматизированный диспетчерский центр"</v>
      </c>
      <c r="G12100" s="22" t="s">
        <v>409</v>
      </c>
      <c r="H12100" s="22" t="s">
        <v>878</v>
      </c>
      <c r="I12100" s="26">
        <v>43542.470833333296</v>
      </c>
      <c r="J12100" s="23" t="str">
        <f>HYPERLINK("https://www.spark-marketing.ru/Card/Person/470688", "ООО ""ОА ""РЕАЛ СЕКЬЮРИТИ ДВ""")</f>
        <v>ООО "ОА "РЕАЛ СЕКЬЮРИТИ ДВ"</v>
      </c>
      <c r="K12100" s="24" t="s">
        <v>12647</v>
      </c>
      <c r="L12100" s="28" t="s">
        <v>52</v>
      </c>
      <c r="M12100" s="25">
        <v>182400</v>
      </c>
      <c r="N12100" s="27">
        <v>0</v>
      </c>
    </row>
    <row r="12101" spans="1:14" x14ac:dyDescent="0.15">
      <c r="A12101" s="23" t="str">
        <f>HYPERLINK("https://www.spark-marketing.ru/Card/Person/56376", "УПРАВЛЕНИЕ РОСПОТРЕБНАДЗОРА ПО КОСТРОМСКОЙ ОБЛАСТИ")</f>
        <v>УПРАВЛЕНИЕ РОСПОТРЕБНАДЗОРА ПО КОСТРОМСКОЙ ОБЛАСТИ</v>
      </c>
      <c r="B12101" s="24" t="s">
        <v>14416</v>
      </c>
      <c r="C12101" s="25">
        <v>5000</v>
      </c>
      <c r="D12101" s="22" t="s">
        <v>14417</v>
      </c>
      <c r="E12101" s="22" t="s">
        <v>53</v>
      </c>
      <c r="F12101" s="23" t="str">
        <f>HYPERLINK("https://www.spark-marketing.ru/Card/Lot/70794421", "техническое обслуживание системы тревожной сигнализации")</f>
        <v>техническое обслуживание системы тревожной сигнализации</v>
      </c>
      <c r="G12101" s="22" t="s">
        <v>1104</v>
      </c>
      <c r="H12101" s="22" t="s">
        <v>1105</v>
      </c>
      <c r="I12101" s="26">
        <v>43542.470428240696</v>
      </c>
      <c r="J12101" s="28" t="s">
        <v>52</v>
      </c>
      <c r="K12101" s="28" t="s">
        <v>52</v>
      </c>
      <c r="L12101" s="28" t="s">
        <v>52</v>
      </c>
      <c r="M12101" s="28" t="s">
        <v>52</v>
      </c>
      <c r="N12101" s="28" t="s">
        <v>52</v>
      </c>
    </row>
    <row r="12102" spans="1:14" x14ac:dyDescent="0.15">
      <c r="A12102" s="23" t="str">
        <f>HYPERLINK("https://www.spark-marketing.ru/Card/Person/6208488", "БАЙКАЛЬСКАЯ МЕЖРЕГИОНАЛЬНАЯ ПРИРОДООХРАННАЯ ПРОКУРАТУРА")</f>
        <v>БАЙКАЛЬСКАЯ МЕЖРЕГИОНАЛЬНАЯ ПРИРОДООХРАННАЯ ПРОКУРАТУРА</v>
      </c>
      <c r="B12102" s="24" t="s">
        <v>6928</v>
      </c>
      <c r="C12102" s="25">
        <v>69642</v>
      </c>
      <c r="D12102" s="22" t="s">
        <v>14418</v>
      </c>
      <c r="E12102" s="22" t="s">
        <v>68</v>
      </c>
      <c r="F12102" s="23" t="str">
        <f>HYPERLINK("https://www.spark-marketing.ru/Card/Lot/68783661", "Охрана объектов путем применения систем централизованного наблюдения")</f>
        <v>Охрана объектов путем применения систем централизованного наблюдения</v>
      </c>
      <c r="G12102" s="22" t="s">
        <v>281</v>
      </c>
      <c r="H12102" s="22" t="s">
        <v>281</v>
      </c>
      <c r="I12102" s="26">
        <v>43542.420833333301</v>
      </c>
      <c r="J12102" s="28" t="s">
        <v>52</v>
      </c>
      <c r="K12102" s="28" t="s">
        <v>52</v>
      </c>
      <c r="L12102" s="28" t="s">
        <v>52</v>
      </c>
      <c r="M12102" s="28" t="s">
        <v>52</v>
      </c>
      <c r="N12102" s="28" t="s">
        <v>52</v>
      </c>
    </row>
    <row r="12103" spans="1:14" x14ac:dyDescent="0.15">
      <c r="A12103" s="23" t="str">
        <f>HYPERLINK("https://www.spark-marketing.ru/Card/Person/734887", "ФКУ ИК-3 УФСИН РОССИИ ПО РЕСПУБЛИКЕ МАРИЙ ЭЛ")</f>
        <v>ФКУ ИК-3 УФСИН РОССИИ ПО РЕСПУБЛИКЕ МАРИЙ ЭЛ</v>
      </c>
      <c r="B12103" s="24" t="s">
        <v>14419</v>
      </c>
      <c r="C12103" s="25">
        <v>26175</v>
      </c>
      <c r="D12103" s="22" t="s">
        <v>14420</v>
      </c>
      <c r="E12103" s="22" t="s">
        <v>53</v>
      </c>
      <c r="F12103" s="23" t="str">
        <f>HYPERLINK("https://www.spark-marketing.ru/Card/Lot/70794215", "Поставка материалов для проведения технического обслуживания технических средств охраны и надзора")</f>
        <v>Поставка материалов для проведения технического обслуживания технических средств охраны и надзора</v>
      </c>
      <c r="G12103" s="22" t="s">
        <v>2514</v>
      </c>
      <c r="H12103" s="22" t="s">
        <v>14421</v>
      </c>
      <c r="I12103" s="26">
        <v>43542.424641203703</v>
      </c>
      <c r="J12103" s="28" t="s">
        <v>52</v>
      </c>
      <c r="K12103" s="28" t="s">
        <v>52</v>
      </c>
      <c r="L12103" s="28" t="s">
        <v>52</v>
      </c>
      <c r="M12103" s="28" t="s">
        <v>52</v>
      </c>
      <c r="N12103" s="28" t="s">
        <v>52</v>
      </c>
    </row>
    <row r="12104" spans="1:14" x14ac:dyDescent="0.15">
      <c r="A12104" s="23" t="str">
        <f>HYPERLINK("https://www.spark-marketing.ru/Card/Person/6208488", "БАЙКАЛЬСКАЯ МЕЖРЕГИОНАЛЬНАЯ ПРИРОДООХРАННАЯ ПРОКУРАТУРА")</f>
        <v>БАЙКАЛЬСКАЯ МЕЖРЕГИОНАЛЬНАЯ ПРИРОДООХРАННАЯ ПРОКУРАТУРА</v>
      </c>
      <c r="B12104" s="24" t="s">
        <v>6928</v>
      </c>
      <c r="C12104" s="25">
        <v>80802</v>
      </c>
      <c r="D12104" s="22" t="s">
        <v>14422</v>
      </c>
      <c r="E12104" s="22" t="s">
        <v>68</v>
      </c>
      <c r="F12104" s="23" t="str">
        <f>HYPERLINK("https://www.spark-marketing.ru/Card/Lot/68783721", "Услуги охраны объектов с помощью технических средств")</f>
        <v>Услуги охраны объектов с помощью технических средств</v>
      </c>
      <c r="G12104" s="22" t="s">
        <v>281</v>
      </c>
      <c r="H12104" s="22" t="s">
        <v>281</v>
      </c>
      <c r="I12104" s="26">
        <v>43542.422222222202</v>
      </c>
      <c r="J12104" s="28" t="s">
        <v>52</v>
      </c>
      <c r="K12104" s="28" t="s">
        <v>52</v>
      </c>
      <c r="L12104" s="28" t="s">
        <v>52</v>
      </c>
      <c r="M12104" s="28" t="s">
        <v>52</v>
      </c>
      <c r="N12104" s="28" t="s">
        <v>52</v>
      </c>
    </row>
    <row r="12105" spans="1:14" x14ac:dyDescent="0.15">
      <c r="A12105" s="23" t="str">
        <f>HYPERLINK("https://www.spark-marketing.ru/Card/Person/719479", "БУ ДО ГОРОДА ОМСКА ""СДЮСШОР ""ЦЛС""")</f>
        <v>БУ ДО ГОРОДА ОМСКА "СДЮСШОР "ЦЛС"</v>
      </c>
      <c r="B12105" s="24" t="s">
        <v>14423</v>
      </c>
      <c r="C12105" s="28" t="s">
        <v>52</v>
      </c>
      <c r="D12105" s="22" t="s">
        <v>14424</v>
      </c>
      <c r="E12105" s="22" t="s">
        <v>68</v>
      </c>
      <c r="F12105" s="23" t="str">
        <f>HYPERLINK("https://www.spark-marketing.ru/Card/Lot/68786076", "Оказание охранных услуг путем использования канала сотовой связи GSM")</f>
        <v>Оказание охранных услуг путем использования канала сотовой связи GSM</v>
      </c>
      <c r="G12105" s="22" t="s">
        <v>521</v>
      </c>
      <c r="H12105" s="22" t="s">
        <v>522</v>
      </c>
      <c r="I12105" s="26">
        <v>43542.390277777798</v>
      </c>
      <c r="J12105" s="28" t="s">
        <v>52</v>
      </c>
      <c r="K12105" s="28" t="s">
        <v>52</v>
      </c>
      <c r="L12105" s="28" t="s">
        <v>52</v>
      </c>
      <c r="M12105" s="28" t="s">
        <v>52</v>
      </c>
      <c r="N12105" s="28" t="s">
        <v>52</v>
      </c>
    </row>
    <row r="12106" spans="1:14" x14ac:dyDescent="0.15">
      <c r="A12106" s="23" t="str">
        <f>HYPERLINK("https://www.spark-marketing.ru/Card/Person/719479", "БУ ДО ГОРОДА ОМСКА ""СДЮСШОР ""ЦЛС""")</f>
        <v>БУ ДО ГОРОДА ОМСКА "СДЮСШОР "ЦЛС"</v>
      </c>
      <c r="B12106" s="24" t="s">
        <v>14423</v>
      </c>
      <c r="C12106" s="28" t="s">
        <v>52</v>
      </c>
      <c r="D12106" s="22" t="s">
        <v>14425</v>
      </c>
      <c r="E12106" s="22" t="s">
        <v>68</v>
      </c>
      <c r="F12106" s="23" t="str">
        <f>HYPERLINK("https://www.spark-marketing.ru/Card/Lot/68786073", "Оказание услуг по охране имущества")</f>
        <v>Оказание услуг по охране имущества</v>
      </c>
      <c r="G12106" s="22" t="s">
        <v>521</v>
      </c>
      <c r="H12106" s="22" t="s">
        <v>522</v>
      </c>
      <c r="I12106" s="26">
        <v>43542.390277777798</v>
      </c>
      <c r="J12106" s="28" t="s">
        <v>52</v>
      </c>
      <c r="K12106" s="28" t="s">
        <v>52</v>
      </c>
      <c r="L12106" s="28" t="s">
        <v>52</v>
      </c>
      <c r="M12106" s="28" t="s">
        <v>52</v>
      </c>
      <c r="N12106" s="28" t="s">
        <v>52</v>
      </c>
    </row>
    <row r="12107" spans="1:14" x14ac:dyDescent="0.15">
      <c r="A12107" s="23" t="str">
        <f>HYPERLINK("https://www.spark-marketing.ru/Card/Person/6457857", "ТЕРУПРАВЛЕНИЕ №7 АДМИНИСТРАЦИИ ДМИТРОВСКОГО ГОРОДСКОГО ОКРУГА")</f>
        <v>ТЕРУПРАВЛЕНИЕ №7 АДМИНИСТРАЦИИ ДМИТРОВСКОГО ГОРОДСКОГО ОКРУГА</v>
      </c>
      <c r="B12107" s="24" t="s">
        <v>14426</v>
      </c>
      <c r="C12107" s="25">
        <v>20560.18</v>
      </c>
      <c r="D12107" s="22" t="s">
        <v>14427</v>
      </c>
      <c r="E12107" s="22" t="s">
        <v>103</v>
      </c>
      <c r="F12107" s="23" t="str">
        <f>HYPERLINK("https://www.spark-marketing.ru/Card/Lot/68787229", "Услуги по техническому обслуживанию средств охраны")</f>
        <v>Услуги по техническому обслуживанию средств охраны</v>
      </c>
      <c r="G12107" s="22" t="s">
        <v>50</v>
      </c>
      <c r="H12107" s="22" t="s">
        <v>511</v>
      </c>
      <c r="I12107" s="26">
        <v>43542.388680555603</v>
      </c>
      <c r="J12107" s="28" t="s">
        <v>52</v>
      </c>
      <c r="K12107" s="28" t="s">
        <v>52</v>
      </c>
      <c r="L12107" s="28" t="s">
        <v>52</v>
      </c>
      <c r="M12107" s="28" t="s">
        <v>52</v>
      </c>
      <c r="N12107" s="28" t="s">
        <v>52</v>
      </c>
    </row>
    <row r="12108" spans="1:14" x14ac:dyDescent="0.2">
      <c r="A12108" s="23" t="str">
        <f>HYPERLINK("https://www.spark-marketing.ru/Card/Person/1744023", "АО ""РОСОБОРОНЭКСПОРТ""")</f>
        <v>АО "РОСОБОРОНЭКСПОРТ"</v>
      </c>
      <c r="B12108" s="24" t="s">
        <v>7968</v>
      </c>
      <c r="C12108" s="25">
        <v>43553743.25</v>
      </c>
      <c r="D12108" s="22" t="s">
        <v>14428</v>
      </c>
      <c r="E12108" s="22" t="s">
        <v>363</v>
      </c>
      <c r="F12108" s="23" t="str">
        <f>HYPERLINK("https://www.spark-marketing.ru/Card/Lot/68786957", "1103-2019-00115 Оказание услуг, связанных с решением задач по охране Объекта и имущества Заказчика от противоправных посягательств, обеспечению внутриобъектового и пропускного режимов, предупреждению и пресечению преступлений и административных право...")</f>
        <v>1103-2019-00115 Оказание услуг, связанных с решением задач по охране Объекта и имущества Заказчика от противоправных посягательств, обеспечению внутриобъектового и пропускного режимов, предупреждению и пресечению преступлений и административных право...</v>
      </c>
      <c r="G12108" s="22" t="s">
        <v>55</v>
      </c>
      <c r="H12108" s="22" t="s">
        <v>55</v>
      </c>
      <c r="I12108" s="26">
        <v>43542.3973611111</v>
      </c>
      <c r="J12108" s="28" t="s">
        <v>52</v>
      </c>
      <c r="K12108" s="28" t="s">
        <v>52</v>
      </c>
      <c r="L12108" s="28" t="s">
        <v>52</v>
      </c>
      <c r="M12108" s="25">
        <v>43553743.25</v>
      </c>
      <c r="N12108" s="27">
        <v>0</v>
      </c>
    </row>
    <row r="12109" spans="1:14" x14ac:dyDescent="0.15">
      <c r="A12109" s="23" t="str">
        <f>HYPERLINK("https://www.spark-marketing.ru/Card/Person/47724", "ОГБУЗ ""ОБ № 2""")</f>
        <v>ОГБУЗ "ОБ № 2"</v>
      </c>
      <c r="B12109" s="24" t="s">
        <v>14128</v>
      </c>
      <c r="C12109" s="25">
        <v>242325.6</v>
      </c>
      <c r="D12109" s="22" t="s">
        <v>14429</v>
      </c>
      <c r="E12109" s="22" t="s">
        <v>68</v>
      </c>
      <c r="F12109" s="23" t="str">
        <f>HYPERLINK("https://www.spark-marketing.ru/Card/Lot/68783322", "Централизованная охрана объектов и охрана с помощью тревожной сигнализации")</f>
        <v>Централизованная охрана объектов и охрана с помощью тревожной сигнализации</v>
      </c>
      <c r="G12109" s="22" t="s">
        <v>281</v>
      </c>
      <c r="H12109" s="22" t="s">
        <v>14028</v>
      </c>
      <c r="I12109" s="26">
        <v>43542.354861111096</v>
      </c>
      <c r="J12109" s="28" t="s">
        <v>52</v>
      </c>
      <c r="K12109" s="28" t="s">
        <v>52</v>
      </c>
      <c r="L12109" s="28" t="s">
        <v>52</v>
      </c>
      <c r="M12109" s="28" t="s">
        <v>52</v>
      </c>
      <c r="N12109" s="28" t="s">
        <v>52</v>
      </c>
    </row>
    <row r="12110" spans="1:14" x14ac:dyDescent="0.15">
      <c r="A12110" s="23" t="str">
        <f>HYPERLINK("https://www.spark-marketing.ru/Card/Person/75722", "ГБУЗ ""ССМП Г. КОРКИНО""")</f>
        <v>ГБУЗ "ССМП Г. КОРКИНО"</v>
      </c>
      <c r="B12110" s="24" t="s">
        <v>14430</v>
      </c>
      <c r="C12110" s="25">
        <v>14202</v>
      </c>
      <c r="D12110" s="22" t="s">
        <v>14431</v>
      </c>
      <c r="E12110" s="22" t="s">
        <v>68</v>
      </c>
      <c r="F12110" s="23" t="str">
        <f>HYPERLINK("https://www.spark-marketing.ru/Card/Lot/68784908", "Оказание услуг охраны (тревожная кнопка) для нужд ГБУЗ ""ССМП г. Коркино"" в п. Первомайский Коркинского муниципального района Челябинской области")</f>
        <v>Оказание услуг охраны (тревожная кнопка) для нужд ГБУЗ "ССМП г. Коркино" в п. Первомайский Коркинского муниципального района Челябинской области</v>
      </c>
      <c r="G12110" s="22" t="s">
        <v>60</v>
      </c>
      <c r="H12110" s="22" t="s">
        <v>14432</v>
      </c>
      <c r="I12110" s="26">
        <v>43542.374305555597</v>
      </c>
      <c r="J12110" s="23" t="str">
        <f>HYPERLINK("https://www.spark-marketing.ru/Card/Person/534247", "ООО ЧОО ""ВАРЯГ-1""")</f>
        <v>ООО ЧОО "ВАРЯГ-1"</v>
      </c>
      <c r="K12110" s="24" t="s">
        <v>3231</v>
      </c>
      <c r="L12110" s="22" t="s">
        <v>10</v>
      </c>
      <c r="M12110" s="28" t="s">
        <v>52</v>
      </c>
      <c r="N12110" s="28" t="s">
        <v>52</v>
      </c>
    </row>
    <row r="12111" spans="1:14" x14ac:dyDescent="0.15">
      <c r="A12111" s="23" t="str">
        <f>HYPERLINK("https://www.spark-marketing.ru/Card/Person/677716", "МП ТПАТП №3")</f>
        <v>МП ТПАТП №3</v>
      </c>
      <c r="B12111" s="24" t="s">
        <v>1803</v>
      </c>
      <c r="C12111" s="25">
        <v>291510</v>
      </c>
      <c r="D12111" s="22" t="s">
        <v>14433</v>
      </c>
      <c r="E12111" s="22" t="s">
        <v>107</v>
      </c>
      <c r="F12111" s="23" t="str">
        <f>HYPERLINK("https://www.spark-marketing.ru/Card/Lot/68785642", "Оказание услуг по техническому обслуживанию  блоков навигационных и видеорегистраторов RVI-RM08 (с комплектом видеокамер)")</f>
        <v>Оказание услуг по техническому обслуживанию  блоков навигационных и видеорегистраторов RVI-RM08 (с комплектом видеокамер)</v>
      </c>
      <c r="G12111" s="22" t="s">
        <v>760</v>
      </c>
      <c r="H12111" s="22" t="s">
        <v>760</v>
      </c>
      <c r="I12111" s="26">
        <v>43542.355555555601</v>
      </c>
      <c r="J12111" s="23" t="str">
        <f>HYPERLINK("https://www.spark-marketing.ru/Card/Person/1936744", "ООО ""ТЕХНАРЬ""")</f>
        <v>ООО "ТЕХНАРЬ"</v>
      </c>
      <c r="K12111" s="24" t="s">
        <v>1806</v>
      </c>
      <c r="L12111" s="28" t="s">
        <v>52</v>
      </c>
      <c r="M12111" s="28" t="s">
        <v>52</v>
      </c>
      <c r="N12111" s="28" t="s">
        <v>52</v>
      </c>
    </row>
    <row r="12112" spans="1:14" ht="12.75" hidden="1" outlineLevel="1" x14ac:dyDescent="0.2">
      <c r="A12112" s="23" t="str">
        <f>HYPERLINK("https://www.spark-marketing.ru/Card/Person/677716", "МП ТПАТП №3")</f>
        <v>МП ТПАТП №3</v>
      </c>
      <c r="B12112" s="24" t="s">
        <v>1803</v>
      </c>
      <c r="C12112" s="25">
        <v>291510</v>
      </c>
      <c r="D12112" s="22" t="s">
        <v>14433</v>
      </c>
      <c r="E12112" s="22" t="s">
        <v>107</v>
      </c>
      <c r="F12112" s="23" t="str">
        <f>HYPERLINK("https://www.spark-marketing.ru/Card/Lot/68785642", "Оказание услуг по техническому обслуживанию  блоков навигационных и видеорегистраторов RVI-RM08 (с комплектом видеокамер)")</f>
        <v>Оказание услуг по техническому обслуживанию  блоков навигационных и видеорегистраторов RVI-RM08 (с комплектом видеокамер)</v>
      </c>
      <c r="G12112" s="22" t="s">
        <v>760</v>
      </c>
      <c r="H12112" s="22" t="s">
        <v>760</v>
      </c>
      <c r="I12112" s="26">
        <v>43542.355555555601</v>
      </c>
      <c r="J12112" s="23" t="str">
        <f>HYPERLINK("https://www.spark-marketing.ru/Card/Person/1936744", "ООО ""ТЕХНАРЬ""")</f>
        <v>ООО "ТЕХНАРЬ"</v>
      </c>
      <c r="K12112" s="24" t="s">
        <v>1806</v>
      </c>
      <c r="L12112" s="22" t="s">
        <v>10</v>
      </c>
      <c r="M12112" s="25">
        <v>290052.45</v>
      </c>
      <c r="N12112" s="27">
        <v>5.0000000000000001E-3</v>
      </c>
    </row>
    <row r="12113" spans="1:14" x14ac:dyDescent="0.15">
      <c r="A12113" s="23" t="str">
        <f>HYPERLINK("https://www.spark-marketing.ru/Card/Person/2174770", "Сиротин Олег Владимирович")</f>
        <v>Сиротин Олег Владимирович</v>
      </c>
      <c r="B12113" s="24" t="s">
        <v>14434</v>
      </c>
      <c r="C12113" s="25">
        <v>655000</v>
      </c>
      <c r="D12113" s="22" t="s">
        <v>14435</v>
      </c>
      <c r="E12113" s="22" t="s">
        <v>53</v>
      </c>
      <c r="F12113" s="23" t="str">
        <f>HYPERLINK("https://www.spark-marketing.ru/Card/Lot/68784146", "Лот Светодиодный экран P6 - outdoor Размер 2880*2304 см, разрешение 480*384 пикс. Размещение внутри, за стеклопакетом, без дополнительного обогрева. Яркость, кд/м2 ? 6 500 Управление через USB, Ethernet, возможно Wi-Fi. Поддержка большинства типов фа...")</f>
        <v>Лот Светодиодный экран P6 - outdoor Размер 2880*2304 см, разрешение 480*384 пикс. Размещение внутри, за стеклопакетом, без дополнительного обогрева. Яркость, кд/м2 ? 6 500 Управление через USB, Ethernet, возможно Wi-Fi. Поддержка большинства типов фа...</v>
      </c>
      <c r="G12113" s="22" t="s">
        <v>281</v>
      </c>
      <c r="H12113" s="22" t="s">
        <v>281</v>
      </c>
      <c r="I12113" s="26">
        <v>43542.279861111099</v>
      </c>
      <c r="J12113" s="28" t="s">
        <v>52</v>
      </c>
      <c r="K12113" s="28" t="s">
        <v>52</v>
      </c>
      <c r="L12113" s="28" t="s">
        <v>52</v>
      </c>
      <c r="M12113" s="28" t="s">
        <v>52</v>
      </c>
      <c r="N12113" s="28" t="s">
        <v>52</v>
      </c>
    </row>
    <row r="12114" spans="1:14" x14ac:dyDescent="0.15">
      <c r="A12114" s="23" t="str">
        <f>HYPERLINK("https://www.spark-marketing.ru/Card/Person/4424856", "МУК ""ПОКРОВСКИЙ КДК""")</f>
        <v>МУК "ПОКРОВСКИЙ КДК"</v>
      </c>
      <c r="B12114" s="24" t="s">
        <v>14436</v>
      </c>
      <c r="C12114" s="25">
        <v>66000</v>
      </c>
      <c r="D12114" s="22" t="s">
        <v>14437</v>
      </c>
      <c r="E12114" s="22" t="s">
        <v>103</v>
      </c>
      <c r="F12114" s="23" t="str">
        <f>HYPERLINK("https://www.spark-marketing.ru/Card/Lot/68780993", "Услуги по обслуживанию систем видеонаблюдения")</f>
        <v>Услуги по обслуживанию систем видеонаблюдения</v>
      </c>
      <c r="G12114" s="22" t="s">
        <v>50</v>
      </c>
      <c r="H12114" s="22" t="s">
        <v>295</v>
      </c>
      <c r="I12114" s="26">
        <v>43540.409085648098</v>
      </c>
      <c r="J12114" s="28" t="s">
        <v>52</v>
      </c>
      <c r="K12114" s="28" t="s">
        <v>52</v>
      </c>
      <c r="L12114" s="28" t="s">
        <v>52</v>
      </c>
      <c r="M12114" s="28" t="s">
        <v>52</v>
      </c>
      <c r="N12114" s="28" t="s">
        <v>52</v>
      </c>
    </row>
    <row r="12115" spans="1:14" x14ac:dyDescent="0.15">
      <c r="A12115" s="23" t="str">
        <f>HYPERLINK("https://www.spark-marketing.ru/Card/Person/60947", "МБОУ СОШ № 3 Г. О. КРАСНОАРМЕЙСК")</f>
        <v>МБОУ СОШ № 3 Г. О. КРАСНОАРМЕЙСК</v>
      </c>
      <c r="B12115" s="24" t="s">
        <v>14438</v>
      </c>
      <c r="C12115" s="25">
        <v>29250</v>
      </c>
      <c r="D12115" s="22" t="s">
        <v>14439</v>
      </c>
      <c r="E12115" s="22" t="s">
        <v>103</v>
      </c>
      <c r="F12115" s="23" t="str">
        <f>HYPERLINK("https://www.spark-marketing.ru/Card/Lot/68777618", "Обслуживание системы видеонаблюдения")</f>
        <v>Обслуживание системы видеонаблюдения</v>
      </c>
      <c r="G12115" s="22" t="s">
        <v>50</v>
      </c>
      <c r="H12115" s="22" t="s">
        <v>2957</v>
      </c>
      <c r="I12115" s="26">
        <v>43539.961053240702</v>
      </c>
      <c r="J12115" s="28" t="s">
        <v>52</v>
      </c>
      <c r="K12115" s="28" t="s">
        <v>52</v>
      </c>
      <c r="L12115" s="28" t="s">
        <v>52</v>
      </c>
      <c r="M12115" s="28" t="s">
        <v>52</v>
      </c>
      <c r="N12115" s="28" t="s">
        <v>52</v>
      </c>
    </row>
    <row r="12116" spans="1:14" x14ac:dyDescent="0.15">
      <c r="A12116" s="23" t="str">
        <f>HYPERLINK("https://www.spark-marketing.ru/Card/Person/113506", "МБУ ""ФСК ""КУПАВНА""")</f>
        <v>МБУ "ФСК "КУПАВНА"</v>
      </c>
      <c r="B12116" s="24" t="s">
        <v>13105</v>
      </c>
      <c r="C12116" s="25">
        <v>107520</v>
      </c>
      <c r="D12116" s="22" t="s">
        <v>14440</v>
      </c>
      <c r="E12116" s="22" t="s">
        <v>294</v>
      </c>
      <c r="F12116" s="23" t="str">
        <f>HYPERLINK("https://www.spark-marketing.ru/Card/Lot/68772091", "Техническое обслуживание системы видеонаблюдения")</f>
        <v>Техническое обслуживание системы видеонаблюдения</v>
      </c>
      <c r="G12116" s="22" t="s">
        <v>50</v>
      </c>
      <c r="H12116" s="22" t="s">
        <v>5744</v>
      </c>
      <c r="I12116" s="26">
        <v>43539.835995370398</v>
      </c>
      <c r="J12116" s="28" t="s">
        <v>52</v>
      </c>
      <c r="K12116" s="28" t="s">
        <v>52</v>
      </c>
      <c r="L12116" s="28" t="s">
        <v>52</v>
      </c>
      <c r="M12116" s="28" t="s">
        <v>52</v>
      </c>
      <c r="N12116" s="28" t="s">
        <v>52</v>
      </c>
    </row>
    <row r="12117" spans="1:14" x14ac:dyDescent="0.15">
      <c r="A12117" s="23" t="str">
        <f>HYPERLINK("https://www.spark-marketing.ru/Card/Person/26390", "МЭРИЯ ГОРОДА КЫЗЫЛА")</f>
        <v>МЭРИЯ ГОРОДА КЫЗЫЛА</v>
      </c>
      <c r="B12117" s="24" t="s">
        <v>13196</v>
      </c>
      <c r="C12117" s="25">
        <v>478020</v>
      </c>
      <c r="D12117" s="22" t="s">
        <v>14441</v>
      </c>
      <c r="E12117" s="22" t="s">
        <v>84</v>
      </c>
      <c r="F12117" s="23" t="str">
        <f>HYPERLINK("https://www.spark-marketing.ru/Card/Lot/68745919", "Оказание услуг по установке систем видеонаблюдения")</f>
        <v>Оказание услуг по установке систем видеонаблюдения</v>
      </c>
      <c r="G12117" s="22" t="s">
        <v>2193</v>
      </c>
      <c r="H12117" s="22" t="s">
        <v>2194</v>
      </c>
      <c r="I12117" s="26">
        <v>43539.712500000001</v>
      </c>
      <c r="J12117" s="28" t="s">
        <v>52</v>
      </c>
      <c r="K12117" s="28" t="s">
        <v>52</v>
      </c>
      <c r="L12117" s="28" t="s">
        <v>52</v>
      </c>
      <c r="M12117" s="28" t="s">
        <v>52</v>
      </c>
      <c r="N12117" s="28" t="s">
        <v>52</v>
      </c>
    </row>
    <row r="12118" spans="1:14" x14ac:dyDescent="0.15">
      <c r="A12118" s="23" t="str">
        <f>HYPERLINK("https://www.spark-marketing.ru/Card/Person/1756877", "МАОУ ""ШБИП"" Г.ПЕРМИ")</f>
        <v>МАОУ "ШБИП" Г.ПЕРМИ</v>
      </c>
      <c r="B12118" s="24" t="s">
        <v>14442</v>
      </c>
      <c r="C12118" s="25">
        <v>235767.38</v>
      </c>
      <c r="D12118" s="22" t="s">
        <v>14443</v>
      </c>
      <c r="E12118" s="22" t="s">
        <v>49</v>
      </c>
      <c r="F12118" s="23" t="str">
        <f>HYPERLINK("https://www.spark-marketing.ru/Card/Lot/68757831", "Приобретение и установка охранной сигнализации")</f>
        <v>Приобретение и установка охранной сигнализации</v>
      </c>
      <c r="G12118" s="22" t="s">
        <v>391</v>
      </c>
      <c r="H12118" s="22" t="s">
        <v>391</v>
      </c>
      <c r="I12118" s="26">
        <v>43539.743032407401</v>
      </c>
      <c r="J12118" s="28" t="s">
        <v>52</v>
      </c>
      <c r="K12118" s="28" t="s">
        <v>52</v>
      </c>
      <c r="L12118" s="28" t="s">
        <v>52</v>
      </c>
      <c r="M12118" s="28" t="s">
        <v>52</v>
      </c>
      <c r="N12118" s="28" t="s">
        <v>52</v>
      </c>
    </row>
    <row r="12119" spans="1:14" x14ac:dyDescent="0.15">
      <c r="A12119" s="23" t="str">
        <f>HYPERLINK("https://www.spark-marketing.ru/Card/Person/1066538", "МКУ ""ЦОФУ ИВАНОВСКОГО МУНИЦИПАЛЬНОГО РАЙОНА""")</f>
        <v>МКУ "ЦОФУ ИВАНОВСКОГО МУНИЦИПАЛЬНОГО РАЙОНА"</v>
      </c>
      <c r="B12119" s="24" t="s">
        <v>14444</v>
      </c>
      <c r="C12119" s="25">
        <v>500000</v>
      </c>
      <c r="D12119" s="22" t="s">
        <v>14445</v>
      </c>
      <c r="E12119" s="22" t="s">
        <v>1013</v>
      </c>
      <c r="F12119" s="23" t="str">
        <f>HYPERLINK("https://www.spark-marketing.ru/Card/Lot/68761136", "Обеспечение мероприятий по обеспечению безопасности людей на водных объектах, охране их жизни и здоровья")</f>
        <v>Обеспечение мероприятий по обеспечению безопасности людей на водных объектах, охране их жизни и здоровья</v>
      </c>
      <c r="G12119" s="22" t="s">
        <v>340</v>
      </c>
      <c r="H12119" s="22" t="s">
        <v>340</v>
      </c>
      <c r="I12119" s="26">
        <v>43539.682638888902</v>
      </c>
      <c r="J12119" s="23" t="str">
        <f>HYPERLINK("https://www.spark-marketing.ru/Card/Person/301894", "ООО ""СПЕКТР""")</f>
        <v>ООО "СПЕКТР"</v>
      </c>
      <c r="K12119" s="24" t="s">
        <v>14446</v>
      </c>
      <c r="L12119" s="22" t="s">
        <v>10</v>
      </c>
      <c r="M12119" s="28" t="s">
        <v>52</v>
      </c>
      <c r="N12119" s="28" t="s">
        <v>52</v>
      </c>
    </row>
    <row r="12120" spans="1:14" ht="12.75" x14ac:dyDescent="0.2">
      <c r="A12120" s="23" t="str">
        <f>HYPERLINK("https://www.spark-marketing.ru/Card/Person/193037", "АО ""ГАЗПРОМ ГАЗОРАСПРЕДЕЛЕНИЕ КРАСНОДАР""")</f>
        <v>АО "ГАЗПРОМ ГАЗОРАСПРЕДЕЛЕНИЕ КРАСНОДАР"</v>
      </c>
      <c r="B12120" s="24" t="s">
        <v>11069</v>
      </c>
      <c r="C12120" s="25">
        <v>36000</v>
      </c>
      <c r="D12120" s="22" t="s">
        <v>14447</v>
      </c>
      <c r="E12120" s="22" t="s">
        <v>1840</v>
      </c>
      <c r="F12120" s="23" t="str">
        <f>HYPERLINK("https://www.spark-marketing.ru/Card/Lot/68768389", "Услуги по техническому обслуживанию охранной сигнализации")</f>
        <v>Услуги по техническому обслуживанию охранной сигнализации</v>
      </c>
      <c r="G12120" s="22" t="s">
        <v>132</v>
      </c>
      <c r="H12120" s="22" t="s">
        <v>652</v>
      </c>
      <c r="I12120" s="26">
        <v>43539.705995370401</v>
      </c>
      <c r="J12120" s="23" t="str">
        <f>HYPERLINK("https://www.spark-marketing.ru/Card/Person/187974", "ООО ""ЮГЭЛЕКТРОПРОЕКТ""")</f>
        <v>ООО "ЮГЭЛЕКТРОПРОЕКТ"</v>
      </c>
      <c r="K12120" s="24" t="s">
        <v>14083</v>
      </c>
      <c r="L12120" s="22" t="s">
        <v>10</v>
      </c>
      <c r="M12120" s="25">
        <v>26310</v>
      </c>
      <c r="N12120" s="27">
        <v>0.26916666666666667</v>
      </c>
    </row>
    <row r="12121" spans="1:14" x14ac:dyDescent="0.15">
      <c r="A12121" s="23" t="str">
        <f>HYPERLINK("https://www.spark-marketing.ru/Card/Person/14395", "МЕЖРАЙОННАЯ ИФНС РОССИИ № 1 ПО АСТРАХАНСКОЙ ОБЛАСТИ")</f>
        <v>МЕЖРАЙОННАЯ ИФНС РОССИИ № 1 ПО АСТРАХАНСКОЙ ОБЛАСТИ</v>
      </c>
      <c r="B12121" s="24" t="s">
        <v>14448</v>
      </c>
      <c r="C12121" s="25">
        <v>57994.2</v>
      </c>
      <c r="D12121" s="22" t="s">
        <v>14449</v>
      </c>
      <c r="E12121" s="22" t="s">
        <v>53</v>
      </c>
      <c r="F12121" s="23" t="str">
        <f>HYPERLINK("https://www.spark-marketing.ru/Card/Lot/70795865", "Возмездное оказание услуг по охране имущества путем оперативного реагирования на сообщения тревожной сигнализации и техническое обслуживание технических средств охраны.")</f>
        <v>Возмездное оказание услуг по охране имущества путем оперативного реагирования на сообщения тревожной сигнализации и техническое обслуживание технических средств охраны.</v>
      </c>
      <c r="G12121" s="22" t="s">
        <v>565</v>
      </c>
      <c r="H12121" s="22" t="s">
        <v>566</v>
      </c>
      <c r="I12121" s="26">
        <v>43539.688425925902</v>
      </c>
      <c r="J12121" s="28" t="s">
        <v>52</v>
      </c>
      <c r="K12121" s="28" t="s">
        <v>52</v>
      </c>
      <c r="L12121" s="28" t="s">
        <v>52</v>
      </c>
      <c r="M12121" s="28" t="s">
        <v>52</v>
      </c>
      <c r="N12121" s="28" t="s">
        <v>52</v>
      </c>
    </row>
    <row r="12122" spans="1:14" x14ac:dyDescent="0.15">
      <c r="A12122" s="23" t="str">
        <f>HYPERLINK("https://www.spark-marketing.ru/Card/Person/561", "УФССП РОССИИ ПО КУРГАНСКОЙ ОБЛАСТИ")</f>
        <v>УФССП РОССИИ ПО КУРГАНСКОЙ ОБЛАСТИ</v>
      </c>
      <c r="B12122" s="24" t="s">
        <v>1506</v>
      </c>
      <c r="C12122" s="25">
        <v>12500</v>
      </c>
      <c r="D12122" s="22" t="s">
        <v>14450</v>
      </c>
      <c r="E12122" s="22" t="s">
        <v>746</v>
      </c>
      <c r="F12122" s="23" t="str">
        <f>HYPERLINK("https://www.spark-marketing.ru/Card/Lot/68743865", "Оказание услуг по техническому обслуживанию систем видеонаблюдения, установленных на объектах УФССП России по Курганской области")</f>
        <v>Оказание услуг по техническому обслуживанию систем видеонаблюдения, установленных на объектах УФССП России по Курганской области</v>
      </c>
      <c r="G12122" s="22" t="s">
        <v>626</v>
      </c>
      <c r="H12122" s="22" t="s">
        <v>626</v>
      </c>
      <c r="I12122" s="26">
        <v>43539.640277777798</v>
      </c>
      <c r="J12122" s="28" t="s">
        <v>52</v>
      </c>
      <c r="K12122" s="28" t="s">
        <v>52</v>
      </c>
      <c r="L12122" s="28" t="s">
        <v>52</v>
      </c>
      <c r="M12122" s="28" t="s">
        <v>52</v>
      </c>
      <c r="N12122" s="28" t="s">
        <v>52</v>
      </c>
    </row>
    <row r="12123" spans="1:14" hidden="1" outlineLevel="1" x14ac:dyDescent="0.2">
      <c r="A12123" s="23" t="str">
        <f>HYPERLINK("https://www.spark-marketing.ru/Card/Person/561", "УФССП РОССИИ ПО КУРГАНСКОЙ ОБЛАСТИ")</f>
        <v>УФССП РОССИИ ПО КУРГАНСКОЙ ОБЛАСТИ</v>
      </c>
      <c r="B12123" s="24" t="s">
        <v>1506</v>
      </c>
      <c r="C12123" s="25">
        <v>12500</v>
      </c>
      <c r="D12123" s="22" t="s">
        <v>14450</v>
      </c>
      <c r="E12123" s="22" t="s">
        <v>746</v>
      </c>
      <c r="F12123" s="23" t="str">
        <f>HYPERLINK("https://www.spark-marketing.ru/Card/Lot/68743865", "Оказание услуг по техническому обслуживанию систем видеонаблюдения, установленных на объектах УФССП России по Курганской области")</f>
        <v>Оказание услуг по техническому обслуживанию систем видеонаблюдения, установленных на объектах УФССП России по Курганской области</v>
      </c>
      <c r="G12123" s="22" t="s">
        <v>626</v>
      </c>
      <c r="H12123" s="22" t="s">
        <v>626</v>
      </c>
      <c r="I12123" s="26">
        <v>43539.640277777798</v>
      </c>
      <c r="J12123" s="23" t="str">
        <f>HYPERLINK("https://www.spark-marketing.ru/Card/Person/4661945", "ООО""ПОЖСТРОЙЭНЕРГОСЕРВИС""")</f>
        <v>ООО"ПОЖСТРОЙЭНЕРГОСЕРВИС"</v>
      </c>
      <c r="K12123" s="24" t="s">
        <v>14451</v>
      </c>
      <c r="L12123" s="28" t="s">
        <v>52</v>
      </c>
      <c r="M12123" s="25">
        <v>9525</v>
      </c>
      <c r="N12123" s="27">
        <v>0.23799999999999999</v>
      </c>
    </row>
    <row r="12124" spans="1:14" ht="12.75" hidden="1" outlineLevel="1" x14ac:dyDescent="0.2">
      <c r="A12124" s="23" t="str">
        <f>HYPERLINK("https://www.spark-marketing.ru/Card/Person/561", "УФССП РОССИИ ПО КУРГАНСКОЙ ОБЛАСТИ")</f>
        <v>УФССП РОССИИ ПО КУРГАНСКОЙ ОБЛАСТИ</v>
      </c>
      <c r="B12124" s="24" t="s">
        <v>1506</v>
      </c>
      <c r="C12124" s="25">
        <v>12500</v>
      </c>
      <c r="D12124" s="22" t="s">
        <v>14450</v>
      </c>
      <c r="E12124" s="22" t="s">
        <v>746</v>
      </c>
      <c r="F12124" s="23" t="str">
        <f>HYPERLINK("https://www.spark-marketing.ru/Card/Lot/68743865", "Оказание услуг по техническому обслуживанию систем видеонаблюдения, установленных на объектах УФССП России по Курганской области")</f>
        <v>Оказание услуг по техническому обслуживанию систем видеонаблюдения, установленных на объектах УФССП России по Курганской области</v>
      </c>
      <c r="G12124" s="22" t="s">
        <v>626</v>
      </c>
      <c r="H12124" s="22" t="s">
        <v>626</v>
      </c>
      <c r="I12124" s="26">
        <v>43539.640277777798</v>
      </c>
      <c r="J12124" s="23" t="str">
        <f>HYPERLINK("https://www.spark-marketing.ru/Card/Person/63127", "ООО ""ЧОО ""ВИТЯЗЬ СТАВР""")</f>
        <v>ООО "ЧОО "ВИТЯЗЬ СТАВР"</v>
      </c>
      <c r="K12124" s="24" t="s">
        <v>13227</v>
      </c>
      <c r="L12124" s="22" t="s">
        <v>10</v>
      </c>
      <c r="M12124" s="25">
        <v>9425</v>
      </c>
      <c r="N12124" s="27">
        <v>0.246</v>
      </c>
    </row>
    <row r="12125" spans="1:14" x14ac:dyDescent="0.2">
      <c r="A12125" s="23" t="str">
        <f>HYPERLINK("https://www.spark-marketing.ru/Card/Person/9633", "МИНСТРОЙ ИНГУШЕТИИ")</f>
        <v>МИНСТРОЙ ИНГУШЕТИИ</v>
      </c>
      <c r="B12125" s="24" t="s">
        <v>646</v>
      </c>
      <c r="C12125" s="25">
        <v>2406710</v>
      </c>
      <c r="D12125" s="22" t="s">
        <v>14452</v>
      </c>
      <c r="E12125" s="22" t="s">
        <v>218</v>
      </c>
      <c r="F12125" s="23" t="str">
        <f>HYPERLINK("https://www.spark-marketing.ru/Card/Lot/68754531", "Оказание услуг по строительному контролю и техническому сопровождению работ по объекту «Строительство школы на 720 мест в с. п. Средние Ачалуки»")</f>
        <v>Оказание услуг по строительному контролю и техническому сопровождению работ по объекту «Строительство школы на 720 мест в с. п. Средние Ачалуки»</v>
      </c>
      <c r="G12125" s="22" t="s">
        <v>648</v>
      </c>
      <c r="H12125" s="22" t="s">
        <v>648</v>
      </c>
      <c r="I12125" s="26">
        <v>43539.632638888899</v>
      </c>
      <c r="J12125" s="23" t="str">
        <f>HYPERLINK("https://www.spark-marketing.ru/Card/Person/259250", "ГУП""УКС РИ""")</f>
        <v>ГУП"УКС РИ"</v>
      </c>
      <c r="K12125" s="24" t="s">
        <v>7151</v>
      </c>
      <c r="L12125" s="28" t="s">
        <v>52</v>
      </c>
      <c r="M12125" s="25">
        <v>2406710</v>
      </c>
      <c r="N12125" s="27">
        <v>0</v>
      </c>
    </row>
    <row r="12126" spans="1:14" x14ac:dyDescent="0.15">
      <c r="A12126" s="23" t="str">
        <f>HYPERLINK("https://www.spark-marketing.ru/Card/Person/193037", "АО ""ГАЗПРОМ ГАЗОРАСПРЕДЕЛЕНИЕ КРАСНОДАР""")</f>
        <v>АО "ГАЗПРОМ ГАЗОРАСПРЕДЕЛЕНИЕ КРАСНОДАР"</v>
      </c>
      <c r="B12126" s="24" t="s">
        <v>11069</v>
      </c>
      <c r="C12126" s="25">
        <v>39924</v>
      </c>
      <c r="D12126" s="22" t="s">
        <v>14453</v>
      </c>
      <c r="E12126" s="22" t="s">
        <v>1840</v>
      </c>
      <c r="F12126" s="23" t="str">
        <f>HYPERLINK("https://www.spark-marketing.ru/Card/Lot/68757703", "Работа по техническому обслуживанию системы видеонаблюдения")</f>
        <v>Работа по техническому обслуживанию системы видеонаблюдения</v>
      </c>
      <c r="G12126" s="22" t="s">
        <v>132</v>
      </c>
      <c r="H12126" s="22" t="s">
        <v>652</v>
      </c>
      <c r="I12126" s="26">
        <v>43539.654386574097</v>
      </c>
      <c r="J12126" s="28" t="s">
        <v>52</v>
      </c>
      <c r="K12126" s="28" t="s">
        <v>52</v>
      </c>
      <c r="L12126" s="28" t="s">
        <v>52</v>
      </c>
      <c r="M12126" s="28" t="s">
        <v>52</v>
      </c>
      <c r="N12126" s="28" t="s">
        <v>52</v>
      </c>
    </row>
    <row r="12127" spans="1:14" hidden="1" outlineLevel="1" x14ac:dyDescent="0.2">
      <c r="A12127" s="23" t="str">
        <f>HYPERLINK("https://www.spark-marketing.ru/Card/Person/193037", "АО ""ГАЗПРОМ ГАЗОРАСПРЕДЕЛЕНИЕ КРАСНОДАР""")</f>
        <v>АО "ГАЗПРОМ ГАЗОРАСПРЕДЕЛЕНИЕ КРАСНОДАР"</v>
      </c>
      <c r="B12127" s="24" t="s">
        <v>11069</v>
      </c>
      <c r="C12127" s="28" t="s">
        <v>52</v>
      </c>
      <c r="D12127" s="22" t="s">
        <v>14453</v>
      </c>
      <c r="E12127" s="22" t="s">
        <v>1840</v>
      </c>
      <c r="F12127" s="23" t="str">
        <f>HYPERLINK("https://www.spark-marketing.ru/Card/Lot/68757703", "Работа по техническому обслуживанию системы видеонаблюдения")</f>
        <v>Работа по техническому обслуживанию системы видеонаблюдения</v>
      </c>
      <c r="G12127" s="22" t="s">
        <v>132</v>
      </c>
      <c r="H12127" s="22" t="s">
        <v>652</v>
      </c>
      <c r="I12127" s="26">
        <v>43539.654386574097</v>
      </c>
      <c r="J12127" s="23" t="str">
        <f>HYPERLINK("https://www.spark-marketing.ru/Card/Person/187974", "ООО ""ЮГЭЛЕКТРОПРОЕКТ""")</f>
        <v>ООО "ЮГЭЛЕКТРОПРОЕКТ"</v>
      </c>
      <c r="K12127" s="24" t="s">
        <v>14083</v>
      </c>
      <c r="L12127" s="22" t="s">
        <v>10</v>
      </c>
      <c r="M12127" s="25">
        <v>29160</v>
      </c>
      <c r="N12127" s="27">
        <v>0.26961226330027049</v>
      </c>
    </row>
    <row r="12128" spans="1:14" hidden="1" outlineLevel="1" x14ac:dyDescent="0.2">
      <c r="A12128" s="23" t="str">
        <f>HYPERLINK("https://www.spark-marketing.ru/Card/Person/193037", "АО ""ГАЗПРОМ ГАЗОРАСПРЕДЕЛЕНИЕ КРАСНОДАР""")</f>
        <v>АО "ГАЗПРОМ ГАЗОРАСПРЕДЕЛЕНИЕ КРАСНОДАР"</v>
      </c>
      <c r="B12128" s="24" t="s">
        <v>11069</v>
      </c>
      <c r="C12128" s="28" t="s">
        <v>52</v>
      </c>
      <c r="D12128" s="22" t="s">
        <v>14453</v>
      </c>
      <c r="E12128" s="22" t="s">
        <v>1840</v>
      </c>
      <c r="F12128" s="23" t="str">
        <f>HYPERLINK("https://www.spark-marketing.ru/Card/Lot/68757703", "Работа по техническому обслуживанию системы видеонаблюдения")</f>
        <v>Работа по техническому обслуживанию системы видеонаблюдения</v>
      </c>
      <c r="G12128" s="22" t="s">
        <v>132</v>
      </c>
      <c r="H12128" s="22" t="s">
        <v>652</v>
      </c>
      <c r="I12128" s="26">
        <v>43539.654386574097</v>
      </c>
      <c r="J12128" s="23" t="str">
        <f>HYPERLINK("https://www.spark-marketing.ru/Card/Person/1159876", "ООО ""СЕРВИС-СБ""")</f>
        <v>ООО "СЕРВИС-СБ"</v>
      </c>
      <c r="K12128" s="24" t="s">
        <v>13994</v>
      </c>
      <c r="L12128" s="28" t="s">
        <v>52</v>
      </c>
      <c r="M12128" s="25">
        <v>33270</v>
      </c>
      <c r="N12128" s="27">
        <v>0.16666666666666666</v>
      </c>
    </row>
    <row r="12129" spans="1:14" x14ac:dyDescent="0.15">
      <c r="A12129" s="23" t="str">
        <f>HYPERLINK("https://www.spark-marketing.ru/Card/Person/46230", "УФСБ РОССИИ ПО ГОРОДУ САНКТ-ПЕТЕРБУРГУ И ЛЕНИНГРАДСКОЙ ОБЛАСТИ")</f>
        <v>УФСБ РОССИИ ПО ГОРОДУ САНКТ-ПЕТЕРБУРГУ И ЛЕНИНГРАДСКОЙ ОБЛАСТИ</v>
      </c>
      <c r="B12129" s="24" t="s">
        <v>14454</v>
      </c>
      <c r="C12129" s="25">
        <v>1550000</v>
      </c>
      <c r="D12129" s="22" t="s">
        <v>14455</v>
      </c>
      <c r="E12129" s="22" t="s">
        <v>208</v>
      </c>
      <c r="F12129" s="23" t="str">
        <f>HYPERLINK("https://www.spark-marketing.ru/Card/Lot/68757691", "Поставка аппаратуры для создания комплекса технических средств охраны режимного объекта в рамках государственного оборонного для нужд Управления Федеральной службы безопасности Российской Федерации по городу Санкт-Петербургу и Ленинградской области.")</f>
        <v>Поставка аппаратуры для создания комплекса технических средств охраны режимного объекта в рамках государственного оборонного для нужд Управления Федеральной службы безопасности Российской Федерации по городу Санкт-Петербургу и Ленинградской области.</v>
      </c>
      <c r="G12129" s="22" t="s">
        <v>89</v>
      </c>
      <c r="H12129" s="22" t="s">
        <v>89</v>
      </c>
      <c r="I12129" s="26">
        <v>43539.654166666704</v>
      </c>
      <c r="J12129" s="28" t="s">
        <v>52</v>
      </c>
      <c r="K12129" s="28" t="s">
        <v>52</v>
      </c>
      <c r="L12129" s="28" t="s">
        <v>52</v>
      </c>
      <c r="M12129" s="28" t="s">
        <v>52</v>
      </c>
      <c r="N12129" s="28" t="s">
        <v>52</v>
      </c>
    </row>
    <row r="12130" spans="1:14" x14ac:dyDescent="0.2">
      <c r="A12130" s="23" t="str">
        <f>HYPERLINK("https://www.spark-marketing.ru/Card/Person/9633", "МИНСТРОЙ ИНГУШЕТИИ")</f>
        <v>МИНСТРОЙ ИНГУШЕТИИ</v>
      </c>
      <c r="B12130" s="24" t="s">
        <v>646</v>
      </c>
      <c r="C12130" s="25">
        <v>1487974</v>
      </c>
      <c r="D12130" s="22" t="s">
        <v>14456</v>
      </c>
      <c r="E12130" s="22" t="s">
        <v>218</v>
      </c>
      <c r="F12130" s="23" t="str">
        <f>HYPERLINK("https://www.spark-marketing.ru/Card/Lot/68758328", "Оказание услуг по строительному контролю и техническому сопровождению работ по объекту «Реконструкция ГКОУ «Средняя общеобразовательная школа №1 в с.п Сурхахи»")</f>
        <v>Оказание услуг по строительному контролю и техническому сопровождению работ по объекту «Реконструкция ГКОУ «Средняя общеобразовательная школа №1 в с.п Сурхахи»</v>
      </c>
      <c r="G12130" s="22" t="s">
        <v>648</v>
      </c>
      <c r="H12130" s="22" t="s">
        <v>648</v>
      </c>
      <c r="I12130" s="26">
        <v>43539.630555555603</v>
      </c>
      <c r="J12130" s="23" t="str">
        <f>HYPERLINK("https://www.spark-marketing.ru/Card/Person/259250", "ГУП""УКС РИ""")</f>
        <v>ГУП"УКС РИ"</v>
      </c>
      <c r="K12130" s="24" t="s">
        <v>7151</v>
      </c>
      <c r="L12130" s="28" t="s">
        <v>52</v>
      </c>
      <c r="M12130" s="25">
        <v>1487974</v>
      </c>
      <c r="N12130" s="27">
        <v>0</v>
      </c>
    </row>
    <row r="12131" spans="1:14" x14ac:dyDescent="0.15">
      <c r="A12131" s="23" t="str">
        <f>HYPERLINK("https://www.spark-marketing.ru/Card/Person/85037", "УПРАВЛЕНИЕ МИНЮСТА РОССИИ ПО ТВЕРСКОЙ ОБЛАСТИ")</f>
        <v>УПРАВЛЕНИЕ МИНЮСТА РОССИИ ПО ТВЕРСКОЙ ОБЛАСТИ</v>
      </c>
      <c r="B12131" s="24" t="s">
        <v>11529</v>
      </c>
      <c r="C12131" s="25">
        <v>63324</v>
      </c>
      <c r="D12131" s="22" t="s">
        <v>14457</v>
      </c>
      <c r="E12131" s="22" t="s">
        <v>53</v>
      </c>
      <c r="F12131" s="23" t="str">
        <f>HYPERLINK("https://www.spark-marketing.ru/Card/Lot/70794685", "Охранные услуги")</f>
        <v>Охранные услуги</v>
      </c>
      <c r="G12131" s="22" t="s">
        <v>251</v>
      </c>
      <c r="H12131" s="22" t="s">
        <v>252</v>
      </c>
      <c r="I12131" s="26">
        <v>43539.630636574097</v>
      </c>
      <c r="J12131" s="28" t="s">
        <v>52</v>
      </c>
      <c r="K12131" s="28" t="s">
        <v>52</v>
      </c>
      <c r="L12131" s="28" t="s">
        <v>52</v>
      </c>
      <c r="M12131" s="28" t="s">
        <v>52</v>
      </c>
      <c r="N12131" s="28" t="s">
        <v>52</v>
      </c>
    </row>
    <row r="12132" spans="1:14" x14ac:dyDescent="0.15">
      <c r="A12132" s="23" t="str">
        <f>HYPERLINK("https://www.spark-marketing.ru/Card/Person/6218324", "ГКУ ""УДМС""")</f>
        <v>ГКУ "УДМС"</v>
      </c>
      <c r="B12132" s="24" t="s">
        <v>5555</v>
      </c>
      <c r="C12132" s="25">
        <v>1396.87</v>
      </c>
      <c r="D12132" s="22" t="s">
        <v>14458</v>
      </c>
      <c r="E12132" s="22" t="s">
        <v>5924</v>
      </c>
      <c r="F12132" s="23" t="str">
        <f>HYPERLINK("https://www.spark-marketing.ru/Card/Lot/68755040", "Закупка у единственного поставщика на выполнение работ по осуществлению технологического присоединения к электрическим сетям объекта: Видеонаблюдение путепровода тоннельного типа № 4 по объекту: ""Реконструкция двухуровневой транспортной развязки на ...")</f>
        <v>Закупка у единственного поставщика на выполнение работ по осуществлению технологического присоединения к электрическим сетям объекта: Видеонаблюдение путепровода тоннельного типа № 4 по объекту: "Реконструкция двухуровневой транспортной развязки на ...</v>
      </c>
      <c r="G12132" s="22" t="s">
        <v>55</v>
      </c>
      <c r="H12132" s="22" t="s">
        <v>55</v>
      </c>
      <c r="I12132" s="26">
        <v>43539.629166666702</v>
      </c>
      <c r="J12132" s="28" t="s">
        <v>52</v>
      </c>
      <c r="K12132" s="28" t="s">
        <v>52</v>
      </c>
      <c r="L12132" s="28" t="s">
        <v>52</v>
      </c>
      <c r="M12132" s="28" t="s">
        <v>52</v>
      </c>
      <c r="N12132" s="28" t="s">
        <v>52</v>
      </c>
    </row>
    <row r="12133" spans="1:14" x14ac:dyDescent="0.15">
      <c r="A12133" s="23" t="str">
        <f>HYPERLINK("https://www.spark-marketing.ru/Card/Person/85037", "УПРАВЛЕНИЕ МИНЮСТА РОССИИ ПО ТВЕРСКОЙ ОБЛАСТИ")</f>
        <v>УПРАВЛЕНИЕ МИНЮСТА РОССИИ ПО ТВЕРСКОЙ ОБЛАСТИ</v>
      </c>
      <c r="B12133" s="24" t="s">
        <v>11529</v>
      </c>
      <c r="C12133" s="25">
        <v>14640</v>
      </c>
      <c r="D12133" s="22" t="s">
        <v>14459</v>
      </c>
      <c r="E12133" s="22" t="s">
        <v>53</v>
      </c>
      <c r="F12133" s="23" t="str">
        <f>HYPERLINK("https://www.spark-marketing.ru/Card/Lot/70796525", "Техническое обслуживание средств сигнализации")</f>
        <v>Техническое обслуживание средств сигнализации</v>
      </c>
      <c r="G12133" s="22" t="s">
        <v>251</v>
      </c>
      <c r="H12133" s="22" t="s">
        <v>252</v>
      </c>
      <c r="I12133" s="26">
        <v>43539.615462962996</v>
      </c>
      <c r="J12133" s="28" t="s">
        <v>52</v>
      </c>
      <c r="K12133" s="28" t="s">
        <v>52</v>
      </c>
      <c r="L12133" s="28" t="s">
        <v>52</v>
      </c>
      <c r="M12133" s="28" t="s">
        <v>52</v>
      </c>
      <c r="N12133" s="28" t="s">
        <v>52</v>
      </c>
    </row>
    <row r="12134" spans="1:14" x14ac:dyDescent="0.15">
      <c r="A12134" s="23" t="str">
        <f>HYPERLINK("https://www.spark-marketing.ru/Card/Person/1084211", "Краснодарский фл ФГБНУ ""ВНИРО""")</f>
        <v>Краснодарский фл ФГБНУ "ВНИРО"</v>
      </c>
      <c r="B12134" s="24" t="s">
        <v>14460</v>
      </c>
      <c r="C12134" s="25">
        <v>2540000</v>
      </c>
      <c r="D12134" s="22" t="s">
        <v>14461</v>
      </c>
      <c r="E12134" s="22" t="s">
        <v>68</v>
      </c>
      <c r="F12134" s="23" t="str">
        <f>HYPERLINK("https://www.spark-marketing.ru/Card/Lot/68718016", "Обеспечение внутриобъектового и пропускного режимов, охрана объектов и товарно-материальных ценностей, принадлежащих «КамчатНИРО»")</f>
        <v>Обеспечение внутриобъектового и пропускного режимов, охрана объектов и товарно-материальных ценностей, принадлежащих «КамчатНИРО»</v>
      </c>
      <c r="G12134" s="22" t="s">
        <v>1141</v>
      </c>
      <c r="H12134" s="22" t="s">
        <v>1142</v>
      </c>
      <c r="I12134" s="26">
        <v>43539.597916666702</v>
      </c>
      <c r="J12134" s="23" t="str">
        <f>HYPERLINK("https://www.spark-marketing.ru/Card/Person/125817", "ООО ""ДАЛЬНЕВОСТОЧНОЕ АГЕНТСТВО ОХРАНЫ""")</f>
        <v>ООО "ДАЛЬНЕВОСТОЧНОЕ АГЕНТСТВО ОХРАНЫ"</v>
      </c>
      <c r="K12134" s="24" t="s">
        <v>2394</v>
      </c>
      <c r="L12134" s="22" t="s">
        <v>10</v>
      </c>
      <c r="M12134" s="28" t="s">
        <v>52</v>
      </c>
      <c r="N12134" s="28" t="s">
        <v>52</v>
      </c>
    </row>
    <row r="12135" spans="1:14" x14ac:dyDescent="0.15">
      <c r="A12135" s="23" t="str">
        <f>HYPERLINK("https://www.spark-marketing.ru/Card/Person/85037", "УПРАВЛЕНИЕ МИНЮСТА РОССИИ ПО ТВЕРСКОЙ ОБЛАСТИ")</f>
        <v>УПРАВЛЕНИЕ МИНЮСТА РОССИИ ПО ТВЕРСКОЙ ОБЛАСТИ</v>
      </c>
      <c r="B12135" s="24" t="s">
        <v>11529</v>
      </c>
      <c r="C12135" s="25">
        <v>13800</v>
      </c>
      <c r="D12135" s="22" t="s">
        <v>14462</v>
      </c>
      <c r="E12135" s="22" t="s">
        <v>53</v>
      </c>
      <c r="F12135" s="23" t="str">
        <f>HYPERLINK("https://www.spark-marketing.ru/Card/Lot/70794670", "Техническое обслуживание средств сигнализации")</f>
        <v>Техническое обслуживание средств сигнализации</v>
      </c>
      <c r="G12135" s="22" t="s">
        <v>251</v>
      </c>
      <c r="H12135" s="22" t="s">
        <v>252</v>
      </c>
      <c r="I12135" s="26">
        <v>43539.624074074098</v>
      </c>
      <c r="J12135" s="28" t="s">
        <v>52</v>
      </c>
      <c r="K12135" s="28" t="s">
        <v>52</v>
      </c>
      <c r="L12135" s="28" t="s">
        <v>52</v>
      </c>
      <c r="M12135" s="28" t="s">
        <v>52</v>
      </c>
      <c r="N12135" s="28" t="s">
        <v>52</v>
      </c>
    </row>
    <row r="12136" spans="1:14" x14ac:dyDescent="0.15">
      <c r="A12136" s="23" t="str">
        <f>HYPERLINK("https://www.spark-marketing.ru/Card/Person/59976", "ИЖЕВСКИЙ ДОМ-ИНТЕРНАТ ДЛЯ ПРЕСТАРЕЛЫХ И ИНВАЛИДОВ")</f>
        <v>ИЖЕВСКИЙ ДОМ-ИНТЕРНАТ ДЛЯ ПРЕСТАРЕЛЫХ И ИНВАЛИДОВ</v>
      </c>
      <c r="B12136" s="24" t="s">
        <v>14463</v>
      </c>
      <c r="C12136" s="25">
        <v>168204.33</v>
      </c>
      <c r="D12136" s="22" t="s">
        <v>14464</v>
      </c>
      <c r="E12136" s="22" t="s">
        <v>609</v>
      </c>
      <c r="F12136" s="23" t="str">
        <f>HYPERLINK("https://www.spark-marketing.ru/Card/Lot/68733100", "Монтаж системы видеонаблюдения для нужд автономного стационарного учреждения социального обслуживания Удмуртской Республики""Ижевский дом-интернат для престарелых и инвалидов""")</f>
        <v>Монтаж системы видеонаблюдения для нужд автономного стационарного учреждения социального обслуживания Удмуртской Республики"Ижевский дом-интернат для престарелых и инвалидов"</v>
      </c>
      <c r="G12136" s="22" t="s">
        <v>96</v>
      </c>
      <c r="H12136" s="22" t="s">
        <v>96</v>
      </c>
      <c r="I12136" s="26">
        <v>43539.584803240701</v>
      </c>
      <c r="J12136" s="28" t="s">
        <v>52</v>
      </c>
      <c r="K12136" s="28" t="s">
        <v>52</v>
      </c>
      <c r="L12136" s="28" t="s">
        <v>52</v>
      </c>
      <c r="M12136" s="28" t="s">
        <v>52</v>
      </c>
      <c r="N12136" s="28" t="s">
        <v>52</v>
      </c>
    </row>
    <row r="12137" spans="1:14" hidden="1" outlineLevel="1" x14ac:dyDescent="0.2">
      <c r="A12137" s="23" t="str">
        <f>HYPERLINK("https://www.spark-marketing.ru/Card/Person/59976", "ИЖЕВСКИЙ ДОМ-ИНТЕРНАТ ДЛЯ ПРЕСТАРЕЛЫХ И ИНВАЛИДОВ")</f>
        <v>ИЖЕВСКИЙ ДОМ-ИНТЕРНАТ ДЛЯ ПРЕСТАРЕЛЫХ И ИНВАЛИДОВ</v>
      </c>
      <c r="B12137" s="24" t="s">
        <v>14463</v>
      </c>
      <c r="C12137" s="28" t="s">
        <v>52</v>
      </c>
      <c r="D12137" s="22" t="s">
        <v>14464</v>
      </c>
      <c r="E12137" s="22" t="s">
        <v>609</v>
      </c>
      <c r="F12137" s="23" t="str">
        <f>HYPERLINK("https://www.spark-marketing.ru/Card/Lot/68733100", "Монтаж системы видеонаблюдения для нужд автономного стационарного учреждения социального обслуживания Удмуртской Республики""Ижевский дом-интернат для престарелых и инвалидов""")</f>
        <v>Монтаж системы видеонаблюдения для нужд автономного стационарного учреждения социального обслуживания Удмуртской Республики"Ижевский дом-интернат для престарелых и инвалидов"</v>
      </c>
      <c r="G12137" s="22" t="s">
        <v>96</v>
      </c>
      <c r="H12137" s="22" t="s">
        <v>96</v>
      </c>
      <c r="I12137" s="26">
        <v>43539.584803240701</v>
      </c>
      <c r="J12137" s="23" t="str">
        <f>HYPERLINK("https://www.spark-marketing.ru/Card/Person/10991", "ПАО ""РОСТЕЛЕКОМ""")</f>
        <v>ПАО "РОСТЕЛЕКОМ"</v>
      </c>
      <c r="K12137" s="24" t="s">
        <v>607</v>
      </c>
      <c r="L12137" s="22" t="s">
        <v>10</v>
      </c>
      <c r="M12137" s="25">
        <v>64831.199999999997</v>
      </c>
      <c r="N12137" s="27">
        <v>0.61456878072044874</v>
      </c>
    </row>
    <row r="12138" spans="1:14" hidden="1" outlineLevel="1" x14ac:dyDescent="0.2">
      <c r="A12138" s="23" t="str">
        <f>HYPERLINK("https://www.spark-marketing.ru/Card/Person/59976", "ИЖЕВСКИЙ ДОМ-ИНТЕРНАТ ДЛЯ ПРЕСТАРЕЛЫХ И ИНВАЛИДОВ")</f>
        <v>ИЖЕВСКИЙ ДОМ-ИНТЕРНАТ ДЛЯ ПРЕСТАРЕЛЫХ И ИНВАЛИДОВ</v>
      </c>
      <c r="B12138" s="24" t="s">
        <v>14463</v>
      </c>
      <c r="C12138" s="28" t="s">
        <v>52</v>
      </c>
      <c r="D12138" s="22" t="s">
        <v>14464</v>
      </c>
      <c r="E12138" s="22" t="s">
        <v>609</v>
      </c>
      <c r="F12138" s="23" t="str">
        <f>HYPERLINK("https://www.spark-marketing.ru/Card/Lot/68733100", "Монтаж системы видеонаблюдения для нужд автономного стационарного учреждения социального обслуживания Удмуртской Республики""Ижевский дом-интернат для престарелых и инвалидов""")</f>
        <v>Монтаж системы видеонаблюдения для нужд автономного стационарного учреждения социального обслуживания Удмуртской Республики"Ижевский дом-интернат для престарелых и инвалидов"</v>
      </c>
      <c r="G12138" s="22" t="s">
        <v>96</v>
      </c>
      <c r="H12138" s="22" t="s">
        <v>96</v>
      </c>
      <c r="I12138" s="26">
        <v>43539.584803240701</v>
      </c>
      <c r="J12138" s="23" t="str">
        <f>HYPERLINK("https://www.spark-marketing.ru/Card/Person/218878", "ООО ПТЦ ""ГАММА""")</f>
        <v>ООО ПТЦ "ГАММА"</v>
      </c>
      <c r="K12138" s="24" t="s">
        <v>13111</v>
      </c>
      <c r="L12138" s="28" t="s">
        <v>52</v>
      </c>
      <c r="M12138" s="25">
        <v>109000</v>
      </c>
      <c r="N12138" s="27">
        <v>0.35197863217908837</v>
      </c>
    </row>
    <row r="12139" spans="1:14" hidden="1" outlineLevel="1" x14ac:dyDescent="0.2">
      <c r="A12139" s="23" t="str">
        <f>HYPERLINK("https://www.spark-marketing.ru/Card/Person/59976", "ИЖЕВСКИЙ ДОМ-ИНТЕРНАТ ДЛЯ ПРЕСТАРЕЛЫХ И ИНВАЛИДОВ")</f>
        <v>ИЖЕВСКИЙ ДОМ-ИНТЕРНАТ ДЛЯ ПРЕСТАРЕЛЫХ И ИНВАЛИДОВ</v>
      </c>
      <c r="B12139" s="24" t="s">
        <v>14463</v>
      </c>
      <c r="C12139" s="28" t="s">
        <v>52</v>
      </c>
      <c r="D12139" s="22" t="s">
        <v>14464</v>
      </c>
      <c r="E12139" s="22" t="s">
        <v>609</v>
      </c>
      <c r="F12139" s="23" t="str">
        <f>HYPERLINK("https://www.spark-marketing.ru/Card/Lot/68733100", "Монтаж системы видеонаблюдения для нужд автономного стационарного учреждения социального обслуживания Удмуртской Республики""Ижевский дом-интернат для престарелых и инвалидов""")</f>
        <v>Монтаж системы видеонаблюдения для нужд автономного стационарного учреждения социального обслуживания Удмуртской Республики"Ижевский дом-интернат для престарелых и инвалидов"</v>
      </c>
      <c r="G12139" s="22" t="s">
        <v>96</v>
      </c>
      <c r="H12139" s="22" t="s">
        <v>96</v>
      </c>
      <c r="I12139" s="26">
        <v>43539.584803240701</v>
      </c>
      <c r="J12139" s="23" t="str">
        <f>HYPERLINK("https://www.spark-marketing.ru/Card/Person/5853123", "Ершов Андрей Алексеевич")</f>
        <v>Ершов Андрей Алексеевич</v>
      </c>
      <c r="K12139" s="24" t="s">
        <v>1063</v>
      </c>
      <c r="L12139" s="28" t="s">
        <v>52</v>
      </c>
      <c r="M12139" s="25">
        <v>138000</v>
      </c>
      <c r="N12139" s="27">
        <v>0.17956927743774492</v>
      </c>
    </row>
    <row r="12140" spans="1:14" x14ac:dyDescent="0.15">
      <c r="A12140" s="23" t="str">
        <f>HYPERLINK("https://www.spark-marketing.ru/Card/Person/119383", "ГБОУ НАО ""СШ № 1 ИМЕНИ П.М. СПИРИХИНА""")</f>
        <v>ГБОУ НАО "СШ № 1 ИМЕНИ П.М. СПИРИХИНА"</v>
      </c>
      <c r="B12140" s="24" t="s">
        <v>14465</v>
      </c>
      <c r="C12140" s="25">
        <v>114000</v>
      </c>
      <c r="D12140" s="22" t="s">
        <v>14466</v>
      </c>
      <c r="E12140" s="22" t="s">
        <v>349</v>
      </c>
      <c r="F12140" s="23" t="str">
        <f>HYPERLINK("https://www.spark-marketing.ru/Card/Lot/68739035", "установка охранной сигнализации")</f>
        <v>установка охранной сигнализации</v>
      </c>
      <c r="G12140" s="22" t="s">
        <v>1014</v>
      </c>
      <c r="H12140" s="22" t="s">
        <v>1015</v>
      </c>
      <c r="I12140" s="26">
        <v>43539.583333333299</v>
      </c>
      <c r="J12140" s="28" t="s">
        <v>52</v>
      </c>
      <c r="K12140" s="28" t="s">
        <v>52</v>
      </c>
      <c r="L12140" s="28" t="s">
        <v>52</v>
      </c>
      <c r="M12140" s="28" t="s">
        <v>52</v>
      </c>
      <c r="N12140" s="28" t="s">
        <v>52</v>
      </c>
    </row>
    <row r="12141" spans="1:14" x14ac:dyDescent="0.15">
      <c r="A12141" s="23" t="str">
        <f>HYPERLINK("https://www.spark-marketing.ru/Card/Person/193037", "АО ""ГАЗПРОМ ГАЗОРАСПРЕДЕЛЕНИЕ КРАСНОДАР""")</f>
        <v>АО "ГАЗПРОМ ГАЗОРАСПРЕДЕЛЕНИЕ КРАСНОДАР"</v>
      </c>
      <c r="B12141" s="24" t="s">
        <v>11069</v>
      </c>
      <c r="C12141" s="25">
        <v>48556.800000000003</v>
      </c>
      <c r="D12141" s="22" t="s">
        <v>14467</v>
      </c>
      <c r="E12141" s="22" t="s">
        <v>1840</v>
      </c>
      <c r="F12141" s="23" t="str">
        <f>HYPERLINK("https://www.spark-marketing.ru/Card/Lot/68738579", "Работа по техническому обслуживанию системы видеонаблюдения")</f>
        <v>Работа по техническому обслуживанию системы видеонаблюдения</v>
      </c>
      <c r="G12141" s="22" t="s">
        <v>132</v>
      </c>
      <c r="H12141" s="22" t="s">
        <v>652</v>
      </c>
      <c r="I12141" s="26">
        <v>43539.562442129602</v>
      </c>
      <c r="J12141" s="28" t="s">
        <v>52</v>
      </c>
      <c r="K12141" s="28" t="s">
        <v>52</v>
      </c>
      <c r="L12141" s="28" t="s">
        <v>52</v>
      </c>
      <c r="M12141" s="28" t="s">
        <v>52</v>
      </c>
      <c r="N12141" s="28" t="s">
        <v>52</v>
      </c>
    </row>
    <row r="12142" spans="1:14" hidden="1" outlineLevel="1" x14ac:dyDescent="0.2">
      <c r="A12142" s="23" t="str">
        <f>HYPERLINK("https://www.spark-marketing.ru/Card/Person/193037", "АО ""ГАЗПРОМ ГАЗОРАСПРЕДЕЛЕНИЕ КРАСНОДАР""")</f>
        <v>АО "ГАЗПРОМ ГАЗОРАСПРЕДЕЛЕНИЕ КРАСНОДАР"</v>
      </c>
      <c r="B12142" s="24" t="s">
        <v>11069</v>
      </c>
      <c r="C12142" s="28" t="s">
        <v>52</v>
      </c>
      <c r="D12142" s="22" t="s">
        <v>14467</v>
      </c>
      <c r="E12142" s="22" t="s">
        <v>1840</v>
      </c>
      <c r="F12142" s="23" t="str">
        <f>HYPERLINK("https://www.spark-marketing.ru/Card/Lot/68738579", "Работа по техническому обслуживанию системы видеонаблюдения")</f>
        <v>Работа по техническому обслуживанию системы видеонаблюдения</v>
      </c>
      <c r="G12142" s="22" t="s">
        <v>132</v>
      </c>
      <c r="H12142" s="22" t="s">
        <v>652</v>
      </c>
      <c r="I12142" s="26">
        <v>43539.562442129602</v>
      </c>
      <c r="J12142" s="23" t="str">
        <f>HYPERLINK("https://www.spark-marketing.ru/Card/Person/187974", "ООО ""ЮГЭЛЕКТРОПРОЕКТ""")</f>
        <v>ООО "ЮГЭЛЕКТРОПРОЕКТ"</v>
      </c>
      <c r="K12142" s="24" t="s">
        <v>14083</v>
      </c>
      <c r="L12142" s="22" t="s">
        <v>10</v>
      </c>
      <c r="M12142" s="25">
        <v>35460</v>
      </c>
      <c r="N12142" s="27">
        <v>0.2697212336892052</v>
      </c>
    </row>
    <row r="12143" spans="1:14" hidden="1" outlineLevel="1" x14ac:dyDescent="0.2">
      <c r="A12143" s="23" t="str">
        <f>HYPERLINK("https://www.spark-marketing.ru/Card/Person/193037", "АО ""ГАЗПРОМ ГАЗОРАСПРЕДЕЛЕНИЕ КРАСНОДАР""")</f>
        <v>АО "ГАЗПРОМ ГАЗОРАСПРЕДЕЛЕНИЕ КРАСНОДАР"</v>
      </c>
      <c r="B12143" s="24" t="s">
        <v>11069</v>
      </c>
      <c r="C12143" s="28" t="s">
        <v>52</v>
      </c>
      <c r="D12143" s="22" t="s">
        <v>14467</v>
      </c>
      <c r="E12143" s="22" t="s">
        <v>1840</v>
      </c>
      <c r="F12143" s="23" t="str">
        <f>HYPERLINK("https://www.spark-marketing.ru/Card/Lot/68738579", "Работа по техническому обслуживанию системы видеонаблюдения")</f>
        <v>Работа по техническому обслуживанию системы видеонаблюдения</v>
      </c>
      <c r="G12143" s="22" t="s">
        <v>132</v>
      </c>
      <c r="H12143" s="22" t="s">
        <v>652</v>
      </c>
      <c r="I12143" s="26">
        <v>43539.562442129602</v>
      </c>
      <c r="J12143" s="23" t="str">
        <f>HYPERLINK("https://www.spark-marketing.ru/Card/Person/1159876", "ООО ""СЕРВИС-СБ""")</f>
        <v>ООО "СЕРВИС-СБ"</v>
      </c>
      <c r="K12143" s="24" t="s">
        <v>13994</v>
      </c>
      <c r="L12143" s="28" t="s">
        <v>52</v>
      </c>
      <c r="M12143" s="25">
        <v>40464</v>
      </c>
      <c r="N12143" s="27">
        <v>0.16666666666666666</v>
      </c>
    </row>
    <row r="12144" spans="1:14" x14ac:dyDescent="0.15">
      <c r="A12144" s="23" t="str">
        <f>HYPERLINK("https://www.spark-marketing.ru/Card/Person/51322", "МЕЖРАЙОННАЯ ИФНС РОССИИ № 28 ПО СВЕРДЛОВСКОЙ ОБЛАСТИ")</f>
        <v>МЕЖРАЙОННАЯ ИФНС РОССИИ № 28 ПО СВЕРДЛОВСКОЙ ОБЛАСТИ</v>
      </c>
      <c r="B12144" s="24" t="s">
        <v>14468</v>
      </c>
      <c r="C12144" s="25">
        <v>31000</v>
      </c>
      <c r="D12144" s="22" t="s">
        <v>14469</v>
      </c>
      <c r="E12144" s="22" t="s">
        <v>53</v>
      </c>
      <c r="F12144" s="23" t="str">
        <f>HYPERLINK("https://www.spark-marketing.ru/Card/Lot/70795572", "Замена блока СКИЗИ (средство криптографической защиты информации) на транспортном средстве")</f>
        <v>Замена блока СКИЗИ (средство криптографической защиты информации) на транспортном средстве</v>
      </c>
      <c r="G12144" s="22" t="s">
        <v>72</v>
      </c>
      <c r="H12144" s="22" t="s">
        <v>412</v>
      </c>
      <c r="I12144" s="26">
        <v>43539.574849536999</v>
      </c>
      <c r="J12144" s="28" t="s">
        <v>52</v>
      </c>
      <c r="K12144" s="28" t="s">
        <v>52</v>
      </c>
      <c r="L12144" s="28" t="s">
        <v>52</v>
      </c>
      <c r="M12144" s="28" t="s">
        <v>52</v>
      </c>
      <c r="N12144" s="28" t="s">
        <v>52</v>
      </c>
    </row>
    <row r="12145" spans="1:14" x14ac:dyDescent="0.15">
      <c r="A12145" s="23" t="str">
        <f>HYPERLINK("https://www.spark-marketing.ru/Card/Person/357891", "ПЕСЧАНОКОПСКОЕ УСЗН")</f>
        <v>ПЕСЧАНОКОПСКОЕ УСЗН</v>
      </c>
      <c r="B12145" s="24" t="s">
        <v>14470</v>
      </c>
      <c r="C12145" s="25">
        <v>705450</v>
      </c>
      <c r="D12145" s="22" t="s">
        <v>14471</v>
      </c>
      <c r="E12145" s="22" t="s">
        <v>2458</v>
      </c>
      <c r="F12145" s="23" t="str">
        <f>HYPERLINK("https://www.spark-marketing.ru/Card/Lot/68744490", "Приобретение легкового автомобиля для нужд Управления социальной защиты населения Администрации Песчанокопского района Ростовской области.")</f>
        <v>Приобретение легкового автомобиля для нужд Управления социальной защиты населения Администрации Песчанокопского района Ростовской области.</v>
      </c>
      <c r="G12145" s="22" t="s">
        <v>402</v>
      </c>
      <c r="H12145" s="22" t="s">
        <v>14472</v>
      </c>
      <c r="I12145" s="26">
        <v>43539.545138888898</v>
      </c>
      <c r="J12145" s="28" t="s">
        <v>52</v>
      </c>
      <c r="K12145" s="28" t="s">
        <v>52</v>
      </c>
      <c r="L12145" s="28" t="s">
        <v>52</v>
      </c>
      <c r="M12145" s="28" t="s">
        <v>52</v>
      </c>
      <c r="N12145" s="28" t="s">
        <v>52</v>
      </c>
    </row>
    <row r="12146" spans="1:14" ht="12.75" hidden="1" outlineLevel="1" x14ac:dyDescent="0.2">
      <c r="A12146" s="23" t="str">
        <f>HYPERLINK("https://www.spark-marketing.ru/Card/Person/357891", "ПЕСЧАНОКОПСКОЕ УСЗН")</f>
        <v>ПЕСЧАНОКОПСКОЕ УСЗН</v>
      </c>
      <c r="B12146" s="24" t="s">
        <v>14470</v>
      </c>
      <c r="C12146" s="25">
        <v>705450</v>
      </c>
      <c r="D12146" s="22" t="s">
        <v>14471</v>
      </c>
      <c r="E12146" s="22" t="s">
        <v>2458</v>
      </c>
      <c r="F12146" s="23" t="str">
        <f>HYPERLINK("https://www.spark-marketing.ru/Card/Lot/68744490", "Приобретение легкового автомобиля для нужд Управления социальной защиты населения Администрации Песчанокопского района Ростовской области.")</f>
        <v>Приобретение легкового автомобиля для нужд Управления социальной защиты населения Администрации Песчанокопского района Ростовской области.</v>
      </c>
      <c r="G12146" s="22" t="s">
        <v>402</v>
      </c>
      <c r="H12146" s="22" t="s">
        <v>14472</v>
      </c>
      <c r="I12146" s="26">
        <v>43539.545138888898</v>
      </c>
      <c r="J12146" s="23" t="str">
        <f>HYPERLINK("https://www.spark-marketing.ru/Card/Person/6440705", "ООО ""АВТОСТАЛЬ""")</f>
        <v>ООО "АВТОСТАЛЬ"</v>
      </c>
      <c r="K12146" s="24" t="s">
        <v>14473</v>
      </c>
      <c r="L12146" s="22" t="s">
        <v>10</v>
      </c>
      <c r="M12146" s="25">
        <v>673072.75</v>
      </c>
      <c r="N12146" s="27">
        <v>4.5895882061095752E-2</v>
      </c>
    </row>
    <row r="12147" spans="1:14" hidden="1" outlineLevel="1" x14ac:dyDescent="0.2">
      <c r="A12147" s="23" t="str">
        <f>HYPERLINK("https://www.spark-marketing.ru/Card/Person/357891", "ПЕСЧАНОКОПСКОЕ УСЗН")</f>
        <v>ПЕСЧАНОКОПСКОЕ УСЗН</v>
      </c>
      <c r="B12147" s="24" t="s">
        <v>14470</v>
      </c>
      <c r="C12147" s="25">
        <v>705450</v>
      </c>
      <c r="D12147" s="22" t="s">
        <v>14471</v>
      </c>
      <c r="E12147" s="22" t="s">
        <v>2458</v>
      </c>
      <c r="F12147" s="23" t="str">
        <f>HYPERLINK("https://www.spark-marketing.ru/Card/Lot/68744490", "Приобретение легкового автомобиля для нужд Управления социальной защиты населения Администрации Песчанокопского района Ростовской области.")</f>
        <v>Приобретение легкового автомобиля для нужд Управления социальной защиты населения Администрации Песчанокопского района Ростовской области.</v>
      </c>
      <c r="G12147" s="22" t="s">
        <v>402</v>
      </c>
      <c r="H12147" s="22" t="s">
        <v>14472</v>
      </c>
      <c r="I12147" s="26">
        <v>43539.545138888898</v>
      </c>
      <c r="J12147" s="23" t="str">
        <f>HYPERLINK("https://www.spark-marketing.ru/Card/Person/4358944", "ООО ""АВТОЦЕНТРГАЗ""")</f>
        <v>ООО "АВТОЦЕНТРГАЗ"</v>
      </c>
      <c r="K12147" s="24" t="s">
        <v>12255</v>
      </c>
      <c r="L12147" s="28" t="s">
        <v>52</v>
      </c>
      <c r="M12147" s="25">
        <v>676600</v>
      </c>
      <c r="N12147" s="27">
        <v>4.0895882061095755E-2</v>
      </c>
    </row>
    <row r="12148" spans="1:14" x14ac:dyDescent="0.2">
      <c r="A12148" s="23" t="str">
        <f>HYPERLINK("https://www.spark-marketing.ru/Card/Person/666553", "ФГП ВО ЖДТ РОССИИ")</f>
        <v>ФГП ВО ЖДТ РОССИИ</v>
      </c>
      <c r="B12148" s="24" t="s">
        <v>1269</v>
      </c>
      <c r="C12148" s="25">
        <v>208400</v>
      </c>
      <c r="D12148" s="22" t="s">
        <v>14474</v>
      </c>
      <c r="E12148" s="22" t="s">
        <v>778</v>
      </c>
      <c r="F12148" s="23" t="str">
        <f>HYPERLINK("https://www.spark-marketing.ru/Card/Lot/68730849", "Поставка блок-контейнеров для нужд филиала ФГП ВО ЖДТ России на Свердловской железной дороге")</f>
        <v>Поставка блок-контейнеров для нужд филиала ФГП ВО ЖДТ России на Свердловской железной дороге</v>
      </c>
      <c r="G12148" s="22" t="s">
        <v>72</v>
      </c>
      <c r="H12148" s="22" t="s">
        <v>72</v>
      </c>
      <c r="I12148" s="26">
        <v>43539.535231481503</v>
      </c>
      <c r="J12148" s="23" t="str">
        <f>HYPERLINK("https://www.spark-marketing.ru/Card/Person/6501119", "ООО ""ПРОФИТ""")</f>
        <v>ООО "ПРОФИТ"</v>
      </c>
      <c r="K12148" s="24" t="s">
        <v>14475</v>
      </c>
      <c r="L12148" s="28" t="s">
        <v>52</v>
      </c>
      <c r="M12148" s="25">
        <v>208400</v>
      </c>
      <c r="N12148" s="27">
        <v>0</v>
      </c>
    </row>
    <row r="12149" spans="1:14" x14ac:dyDescent="0.15">
      <c r="A12149" s="23" t="str">
        <f>HYPERLINK("https://www.spark-marketing.ru/Card/Person/1025686", "МОУ СОШ №12 С УИОП")</f>
        <v>МОУ СОШ №12 С УИОП</v>
      </c>
      <c r="B12149" s="24" t="s">
        <v>237</v>
      </c>
      <c r="C12149" s="25">
        <v>583060.76</v>
      </c>
      <c r="D12149" s="22" t="s">
        <v>14476</v>
      </c>
      <c r="E12149" s="22" t="s">
        <v>14477</v>
      </c>
      <c r="F12149" s="23" t="str">
        <f>HYPERLINK("https://www.spark-marketing.ru/Card/Lot/68733302", "Поставка, установка и ввод в эксплуатацию средств видеотрансляции и видеопротоколирования в пункте приема экзаменов для нужд МОУ СОШ №12 с УИОП")</f>
        <v>Поставка, установка и ввод в эксплуатацию средств видеотрансляции и видеопротоколирования в пункте приема экзаменов для нужд МОУ СОШ №12 с УИОП</v>
      </c>
      <c r="G12149" s="22" t="s">
        <v>50</v>
      </c>
      <c r="H12149" s="22" t="s">
        <v>239</v>
      </c>
      <c r="I12149" s="26">
        <v>43539.506944444402</v>
      </c>
      <c r="J12149" s="28" t="s">
        <v>52</v>
      </c>
      <c r="K12149" s="28" t="s">
        <v>52</v>
      </c>
      <c r="L12149" s="28" t="s">
        <v>52</v>
      </c>
      <c r="M12149" s="28" t="s">
        <v>52</v>
      </c>
      <c r="N12149" s="28" t="s">
        <v>52</v>
      </c>
    </row>
    <row r="12150" spans="1:14" hidden="1" outlineLevel="1" x14ac:dyDescent="0.2">
      <c r="A12150" s="23" t="str">
        <f>HYPERLINK("https://www.spark-marketing.ru/Card/Person/1025686", "МОУ СОШ №12 С УИОП")</f>
        <v>МОУ СОШ №12 С УИОП</v>
      </c>
      <c r="B12150" s="24" t="s">
        <v>237</v>
      </c>
      <c r="C12150" s="25">
        <v>583060.76</v>
      </c>
      <c r="D12150" s="22" t="s">
        <v>14476</v>
      </c>
      <c r="E12150" s="22" t="s">
        <v>14477</v>
      </c>
      <c r="F12150" s="23" t="str">
        <f>HYPERLINK("https://www.spark-marketing.ru/Card/Lot/68733302", "Поставка, установка и ввод в эксплуатацию средств видеотрансляции и видеопротоколирования в пункте приема экзаменов для нужд МОУ СОШ №12 с УИОП")</f>
        <v>Поставка, установка и ввод в эксплуатацию средств видеотрансляции и видеопротоколирования в пункте приема экзаменов для нужд МОУ СОШ №12 с УИОП</v>
      </c>
      <c r="G12150" s="22" t="s">
        <v>50</v>
      </c>
      <c r="H12150" s="22" t="s">
        <v>239</v>
      </c>
      <c r="I12150" s="26">
        <v>43539.506944444402</v>
      </c>
      <c r="J12150" s="23" t="str">
        <f>HYPERLINK("https://www.spark-marketing.ru/Card/Person/76451", "ООО ""БИС""")</f>
        <v>ООО "БИС"</v>
      </c>
      <c r="K12150" s="24" t="s">
        <v>6528</v>
      </c>
      <c r="L12150" s="28" t="s">
        <v>52</v>
      </c>
      <c r="M12150" s="25">
        <v>580145.46</v>
      </c>
      <c r="N12150" s="27">
        <v>4.9999934826689416E-3</v>
      </c>
    </row>
    <row r="12151" spans="1:14" ht="12.75" hidden="1" outlineLevel="1" x14ac:dyDescent="0.2">
      <c r="A12151" s="23" t="str">
        <f>HYPERLINK("https://www.spark-marketing.ru/Card/Person/1025686", "МОУ СОШ №12 С УИОП")</f>
        <v>МОУ СОШ №12 С УИОП</v>
      </c>
      <c r="B12151" s="24" t="s">
        <v>237</v>
      </c>
      <c r="C12151" s="25">
        <v>583060.76</v>
      </c>
      <c r="D12151" s="22" t="s">
        <v>14476</v>
      </c>
      <c r="E12151" s="22" t="s">
        <v>14477</v>
      </c>
      <c r="F12151" s="23" t="str">
        <f>HYPERLINK("https://www.spark-marketing.ru/Card/Lot/68733302", "Поставка, установка и ввод в эксплуатацию средств видеотрансляции и видеопротоколирования в пункте приема экзаменов для нужд МОУ СОШ №12 с УИОП")</f>
        <v>Поставка, установка и ввод в эксплуатацию средств видеотрансляции и видеопротоколирования в пункте приема экзаменов для нужд МОУ СОШ №12 с УИОП</v>
      </c>
      <c r="G12151" s="22" t="s">
        <v>50</v>
      </c>
      <c r="H12151" s="22" t="s">
        <v>239</v>
      </c>
      <c r="I12151" s="26">
        <v>43539.506944444402</v>
      </c>
      <c r="J12151" s="23" t="str">
        <f>HYPERLINK("https://www.spark-marketing.ru/Card/Person/4856010", "ООО ""СФЕРА БЕЗОПАСНОСТИ""")</f>
        <v>ООО "СФЕРА БЕЗОПАСНОСТИ"</v>
      </c>
      <c r="K12151" s="24" t="s">
        <v>13278</v>
      </c>
      <c r="L12151" s="22" t="s">
        <v>10</v>
      </c>
      <c r="M12151" s="25">
        <v>577230.16</v>
      </c>
      <c r="N12151" s="27">
        <v>9.9999869653378832E-3</v>
      </c>
    </row>
    <row r="12152" spans="1:14" x14ac:dyDescent="0.15">
      <c r="A12152" s="23" t="str">
        <f>HYPERLINK("https://www.spark-marketing.ru/Card/Person/30541", "ГБУЗ СО ""ТГКБ № 5""")</f>
        <v>ГБУЗ СО "ТГКБ № 5"</v>
      </c>
      <c r="B12152" s="24" t="s">
        <v>14478</v>
      </c>
      <c r="C12152" s="25">
        <v>38840</v>
      </c>
      <c r="D12152" s="22" t="s">
        <v>14479</v>
      </c>
      <c r="E12152" s="22" t="s">
        <v>14480</v>
      </c>
      <c r="F12152" s="23" t="str">
        <f>HYPERLINK("https://www.spark-marketing.ru/Card/Lot/68729240", "Поставка материалов для установки видеонаблюдения для Государственного бюджетного учреждения здравоохранения Самарской области ""Тольяттинская городская клиническая больница № 5""")</f>
        <v>Поставка материалов для установки видеонаблюдения для Государственного бюджетного учреждения здравоохранения Самарской области "Тольяттинская городская клиническая больница № 5"</v>
      </c>
      <c r="G12152" s="22" t="s">
        <v>760</v>
      </c>
      <c r="H12152" s="22" t="s">
        <v>1805</v>
      </c>
      <c r="I12152" s="26">
        <v>43539.506944444402</v>
      </c>
      <c r="J12152" s="23" t="str">
        <f>HYPERLINK("https://www.spark-marketing.ru/Card/Person/6506415", "Шевченко Евгений Дмитриевич")</f>
        <v>Шевченко Евгений Дмитриевич</v>
      </c>
      <c r="K12152" s="24" t="s">
        <v>14481</v>
      </c>
      <c r="L12152" s="22" t="s">
        <v>10</v>
      </c>
      <c r="M12152" s="28" t="s">
        <v>52</v>
      </c>
      <c r="N12152" s="28" t="s">
        <v>52</v>
      </c>
    </row>
    <row r="12153" spans="1:14" x14ac:dyDescent="0.15">
      <c r="A12153" s="23" t="str">
        <f>HYPERLINK("https://www.spark-marketing.ru/Card/Person/139886", "МАОУ СОШ № 4 ИМ. П.И. КЛИМУКА ЩМР МО")</f>
        <v>МАОУ СОШ № 4 ИМ. П.И. КЛИМУКА ЩМР МО</v>
      </c>
      <c r="B12153" s="24" t="s">
        <v>14482</v>
      </c>
      <c r="C12153" s="25">
        <v>106920</v>
      </c>
      <c r="D12153" s="22" t="s">
        <v>14483</v>
      </c>
      <c r="E12153" s="22" t="s">
        <v>14484</v>
      </c>
      <c r="F12153" s="23" t="str">
        <f>HYPERLINK("https://www.spark-marketing.ru/Card/Lot/68730795", "Оказание услуг по техническому обслуживанию систем видеонаблюдения")</f>
        <v>Оказание услуг по техническому обслуживанию систем видеонаблюдения</v>
      </c>
      <c r="G12153" s="22" t="s">
        <v>50</v>
      </c>
      <c r="H12153" s="22" t="s">
        <v>458</v>
      </c>
      <c r="I12153" s="26">
        <v>43539.531863425902</v>
      </c>
      <c r="J12153" s="28" t="s">
        <v>52</v>
      </c>
      <c r="K12153" s="28" t="s">
        <v>52</v>
      </c>
      <c r="L12153" s="28" t="s">
        <v>52</v>
      </c>
      <c r="M12153" s="28" t="s">
        <v>52</v>
      </c>
      <c r="N12153" s="28" t="s">
        <v>52</v>
      </c>
    </row>
    <row r="12154" spans="1:14" x14ac:dyDescent="0.15">
      <c r="A12154" s="23" t="str">
        <f>HYPERLINK("https://www.spark-marketing.ru/Card/Person/4348561", "ПАО ""КТК""")</f>
        <v>ПАО "КТК"</v>
      </c>
      <c r="B12154" s="24" t="s">
        <v>5209</v>
      </c>
      <c r="C12154" s="25">
        <v>0</v>
      </c>
      <c r="D12154" s="22" t="s">
        <v>14485</v>
      </c>
      <c r="E12154" s="22" t="s">
        <v>84</v>
      </c>
      <c r="F12154" s="23" t="str">
        <f>HYPERLINK("https://www.spark-marketing.ru/Card/Lot/68749436", "Закупка 2019-01-36")</f>
        <v>Закупка 2019-01-36</v>
      </c>
      <c r="G12154" s="22" t="s">
        <v>367</v>
      </c>
      <c r="H12154" s="22" t="s">
        <v>881</v>
      </c>
      <c r="I12154" s="26">
        <v>43539.5382060185</v>
      </c>
      <c r="J12154" s="28" t="s">
        <v>52</v>
      </c>
      <c r="K12154" s="28" t="s">
        <v>52</v>
      </c>
      <c r="L12154" s="28" t="s">
        <v>52</v>
      </c>
      <c r="M12154" s="28" t="s">
        <v>52</v>
      </c>
      <c r="N12154" s="28" t="s">
        <v>52</v>
      </c>
    </row>
    <row r="12155" spans="1:14" x14ac:dyDescent="0.15">
      <c r="A12155" s="23" t="s">
        <v>121</v>
      </c>
      <c r="B12155" s="28" t="s">
        <v>52</v>
      </c>
      <c r="C12155" s="25">
        <v>2873937.5</v>
      </c>
      <c r="D12155" s="22" t="s">
        <v>14486</v>
      </c>
      <c r="E12155" s="22" t="s">
        <v>84</v>
      </c>
      <c r="F12155" s="23" t="str">
        <f t="shared" ref="F12155:F12161" si="627">HYPERLINK("https://www.spark-marketing.ru/Card/Lot/68741548", "Оказание услуг по установке средств видео-трансляции и видео-протоколирования в пунктах проведения экзаменов")</f>
        <v>Оказание услуг по установке средств видео-трансляции и видео-протоколирования в пунктах проведения экзаменов</v>
      </c>
      <c r="G12155" s="22" t="s">
        <v>52</v>
      </c>
      <c r="H12155" s="22" t="s">
        <v>52</v>
      </c>
      <c r="I12155" s="26">
        <v>43539.531944444403</v>
      </c>
      <c r="J12155" s="28" t="s">
        <v>52</v>
      </c>
      <c r="K12155" s="28" t="s">
        <v>52</v>
      </c>
      <c r="L12155" s="28" t="s">
        <v>52</v>
      </c>
      <c r="M12155" s="28" t="s">
        <v>52</v>
      </c>
      <c r="N12155" s="28" t="s">
        <v>52</v>
      </c>
    </row>
    <row r="12156" spans="1:14" hidden="1" outlineLevel="1" x14ac:dyDescent="0.15">
      <c r="A12156" s="23" t="str">
        <f>HYPERLINK("https://www.spark-marketing.ru/Card/Person/6227428", "МОУ - ГИМНАЗИЯ № 15")</f>
        <v>МОУ - ГИМНАЗИЯ № 15</v>
      </c>
      <c r="B12156" s="24" t="s">
        <v>14487</v>
      </c>
      <c r="C12156" s="25">
        <v>790650</v>
      </c>
      <c r="D12156" s="22" t="s">
        <v>14486</v>
      </c>
      <c r="E12156" s="22" t="s">
        <v>84</v>
      </c>
      <c r="F12156" s="23" t="str">
        <f t="shared" si="627"/>
        <v>Оказание услуг по установке средств видео-трансляции и видео-протоколирования в пунктах проведения экзаменов</v>
      </c>
      <c r="G12156" s="22" t="s">
        <v>50</v>
      </c>
      <c r="H12156" s="22" t="s">
        <v>8131</v>
      </c>
      <c r="I12156" s="26">
        <v>43539.531944444403</v>
      </c>
      <c r="J12156" s="28" t="s">
        <v>52</v>
      </c>
      <c r="K12156" s="28" t="s">
        <v>52</v>
      </c>
      <c r="L12156" s="28" t="s">
        <v>52</v>
      </c>
      <c r="M12156" s="28" t="s">
        <v>52</v>
      </c>
      <c r="N12156" s="28" t="s">
        <v>52</v>
      </c>
    </row>
    <row r="12157" spans="1:14" hidden="1" outlineLevel="1" x14ac:dyDescent="0.15">
      <c r="A12157" s="23" t="str">
        <f>HYPERLINK("https://www.spark-marketing.ru/Card/Person/6231840", "МОУ-СОШ № 17")</f>
        <v>МОУ-СОШ № 17</v>
      </c>
      <c r="B12157" s="24" t="s">
        <v>14488</v>
      </c>
      <c r="C12157" s="25">
        <v>790650</v>
      </c>
      <c r="D12157" s="22" t="s">
        <v>14486</v>
      </c>
      <c r="E12157" s="22" t="s">
        <v>84</v>
      </c>
      <c r="F12157" s="23" t="str">
        <f t="shared" si="627"/>
        <v>Оказание услуг по установке средств видео-трансляции и видео-протоколирования в пунктах проведения экзаменов</v>
      </c>
      <c r="G12157" s="22" t="s">
        <v>50</v>
      </c>
      <c r="H12157" s="22" t="s">
        <v>8131</v>
      </c>
      <c r="I12157" s="26">
        <v>43539.531944444403</v>
      </c>
      <c r="J12157" s="28" t="s">
        <v>52</v>
      </c>
      <c r="K12157" s="28" t="s">
        <v>52</v>
      </c>
      <c r="L12157" s="28" t="s">
        <v>52</v>
      </c>
      <c r="M12157" s="28" t="s">
        <v>52</v>
      </c>
      <c r="N12157" s="28" t="s">
        <v>52</v>
      </c>
    </row>
    <row r="12158" spans="1:14" hidden="1" outlineLevel="1" x14ac:dyDescent="0.15">
      <c r="A12158" s="23" t="str">
        <f>HYPERLINK("https://www.spark-marketing.ru/Card/Person/6242148", "МОУ-ГИМНАЗИЯ № 1")</f>
        <v>МОУ-ГИМНАЗИЯ № 1</v>
      </c>
      <c r="B12158" s="24" t="s">
        <v>14489</v>
      </c>
      <c r="C12158" s="25">
        <v>460750</v>
      </c>
      <c r="D12158" s="22" t="s">
        <v>14486</v>
      </c>
      <c r="E12158" s="22" t="s">
        <v>84</v>
      </c>
      <c r="F12158" s="23" t="str">
        <f t="shared" si="627"/>
        <v>Оказание услуг по установке средств видео-трансляции и видео-протоколирования в пунктах проведения экзаменов</v>
      </c>
      <c r="G12158" s="22" t="s">
        <v>50</v>
      </c>
      <c r="H12158" s="22" t="s">
        <v>8131</v>
      </c>
      <c r="I12158" s="26">
        <v>43539.531944444403</v>
      </c>
      <c r="J12158" s="28" t="s">
        <v>52</v>
      </c>
      <c r="K12158" s="28" t="s">
        <v>52</v>
      </c>
      <c r="L12158" s="28" t="s">
        <v>52</v>
      </c>
      <c r="M12158" s="28" t="s">
        <v>52</v>
      </c>
      <c r="N12158" s="28" t="s">
        <v>52</v>
      </c>
    </row>
    <row r="12159" spans="1:14" hidden="1" outlineLevel="1" x14ac:dyDescent="0.15">
      <c r="A12159" s="23" t="str">
        <f>HYPERLINK("https://www.spark-marketing.ru/Card/Person/6227433", "МОУ - ГИМНАЗИЯ №2")</f>
        <v>МОУ - ГИМНАЗИЯ №2</v>
      </c>
      <c r="B12159" s="24" t="s">
        <v>14490</v>
      </c>
      <c r="C12159" s="25">
        <v>831887.5</v>
      </c>
      <c r="D12159" s="22" t="s">
        <v>14486</v>
      </c>
      <c r="E12159" s="22" t="s">
        <v>84</v>
      </c>
      <c r="F12159" s="23" t="str">
        <f t="shared" si="627"/>
        <v>Оказание услуг по установке средств видео-трансляции и видео-протоколирования в пунктах проведения экзаменов</v>
      </c>
      <c r="G12159" s="22" t="s">
        <v>50</v>
      </c>
      <c r="H12159" s="22" t="s">
        <v>8131</v>
      </c>
      <c r="I12159" s="26">
        <v>43539.531944444403</v>
      </c>
      <c r="J12159" s="28" t="s">
        <v>52</v>
      </c>
      <c r="K12159" s="28" t="s">
        <v>52</v>
      </c>
      <c r="L12159" s="28" t="s">
        <v>52</v>
      </c>
      <c r="M12159" s="28" t="s">
        <v>52</v>
      </c>
      <c r="N12159" s="28" t="s">
        <v>52</v>
      </c>
    </row>
    <row r="12160" spans="1:14" hidden="1" outlineLevel="1" x14ac:dyDescent="0.2">
      <c r="A12160" s="28" t="s">
        <v>52</v>
      </c>
      <c r="B12160" s="28" t="s">
        <v>52</v>
      </c>
      <c r="C12160" s="28" t="s">
        <v>52</v>
      </c>
      <c r="D12160" s="22" t="s">
        <v>14486</v>
      </c>
      <c r="E12160" s="22" t="s">
        <v>84</v>
      </c>
      <c r="F12160" s="23" t="str">
        <f t="shared" si="627"/>
        <v>Оказание услуг по установке средств видео-трансляции и видео-протоколирования в пунктах проведения экзаменов</v>
      </c>
      <c r="G12160" s="22" t="s">
        <v>52</v>
      </c>
      <c r="H12160" s="22" t="s">
        <v>52</v>
      </c>
      <c r="I12160" s="26">
        <v>43539.531944444403</v>
      </c>
      <c r="J12160" s="23" t="str">
        <f>HYPERLINK("https://www.spark-marketing.ru/Card/Person/693266", "ООО ""БД БЕЗОПАСНОСТЬ""")</f>
        <v>ООО "БД БЕЗОПАСНОСТЬ"</v>
      </c>
      <c r="K12160" s="24" t="s">
        <v>14491</v>
      </c>
      <c r="L12160" s="22" t="s">
        <v>10</v>
      </c>
      <c r="M12160" s="25">
        <v>2859500</v>
      </c>
      <c r="N12160" s="27">
        <v>5.0235956766631149E-3</v>
      </c>
    </row>
    <row r="12161" spans="1:14" hidden="1" outlineLevel="1" x14ac:dyDescent="0.2">
      <c r="A12161" s="28" t="s">
        <v>52</v>
      </c>
      <c r="B12161" s="28" t="s">
        <v>52</v>
      </c>
      <c r="C12161" s="28" t="s">
        <v>52</v>
      </c>
      <c r="D12161" s="22" t="s">
        <v>14486</v>
      </c>
      <c r="E12161" s="22" t="s">
        <v>84</v>
      </c>
      <c r="F12161" s="23" t="str">
        <f t="shared" si="627"/>
        <v>Оказание услуг по установке средств видео-трансляции и видео-протоколирования в пунктах проведения экзаменов</v>
      </c>
      <c r="G12161" s="22" t="s">
        <v>52</v>
      </c>
      <c r="H12161" s="22" t="s">
        <v>52</v>
      </c>
      <c r="I12161" s="26">
        <v>43539.531944444403</v>
      </c>
      <c r="J12161" s="23" t="str">
        <f>HYPERLINK("https://www.spark-marketing.ru/Card/Person/76451", "ООО ""БИС""")</f>
        <v>ООО "БИС"</v>
      </c>
      <c r="K12161" s="24" t="s">
        <v>6528</v>
      </c>
      <c r="L12161" s="28" t="s">
        <v>52</v>
      </c>
      <c r="M12161" s="25">
        <v>2859500</v>
      </c>
      <c r="N12161" s="27">
        <v>5.0235956766631149E-3</v>
      </c>
    </row>
    <row r="12162" spans="1:14" x14ac:dyDescent="0.15">
      <c r="A12162" s="23" t="str">
        <f>HYPERLINK("https://www.spark-marketing.ru/Card/Person/17996", "АДМИНИСТРАЦИЯ РАЙОНА")</f>
        <v>АДМИНИСТРАЦИЯ РАЙОНА</v>
      </c>
      <c r="B12162" s="24" t="s">
        <v>14492</v>
      </c>
      <c r="C12162" s="25">
        <v>60000</v>
      </c>
      <c r="D12162" s="22" t="s">
        <v>14493</v>
      </c>
      <c r="E12162" s="22" t="s">
        <v>68</v>
      </c>
      <c r="F12162" s="23" t="str">
        <f>HYPERLINK("https://www.spark-marketing.ru/Card/Lot/68718774", "Оказание услуг по охране объекта посредством пульта централизованного наблюдения по адресу: Иркутская область, г. Тайшет, ул. Шевченко, 6 (ТИК)")</f>
        <v>Оказание услуг по охране объекта посредством пульта централизованного наблюдения по адресу: Иркутская область, г. Тайшет, ул. Шевченко, 6 (ТИК)</v>
      </c>
      <c r="G12162" s="22" t="s">
        <v>281</v>
      </c>
      <c r="H12162" s="22" t="s">
        <v>14494</v>
      </c>
      <c r="I12162" s="26">
        <v>43539.463888888902</v>
      </c>
      <c r="J12162" s="28" t="s">
        <v>52</v>
      </c>
      <c r="K12162" s="28" t="s">
        <v>52</v>
      </c>
      <c r="L12162" s="28" t="s">
        <v>52</v>
      </c>
      <c r="M12162" s="28" t="s">
        <v>52</v>
      </c>
      <c r="N12162" s="28" t="s">
        <v>52</v>
      </c>
    </row>
    <row r="12163" spans="1:14" hidden="1" outlineLevel="1" x14ac:dyDescent="0.2">
      <c r="A12163" s="23" t="str">
        <f>HYPERLINK("https://www.spark-marketing.ru/Card/Person/17996", "АДМИНИСТРАЦИЯ РАЙОНА")</f>
        <v>АДМИНИСТРАЦИЯ РАЙОНА</v>
      </c>
      <c r="B12163" s="24" t="s">
        <v>14492</v>
      </c>
      <c r="C12163" s="25">
        <v>60000</v>
      </c>
      <c r="D12163" s="22" t="s">
        <v>14493</v>
      </c>
      <c r="E12163" s="22" t="s">
        <v>68</v>
      </c>
      <c r="F12163" s="23" t="str">
        <f>HYPERLINK("https://www.spark-marketing.ru/Card/Lot/68718774", "Оказание услуг по охране объекта посредством пульта централизованного наблюдения по адресу: Иркутская область, г. Тайшет, ул. Шевченко, 6 (ТИК)")</f>
        <v>Оказание услуг по охране объекта посредством пульта централизованного наблюдения по адресу: Иркутская область, г. Тайшет, ул. Шевченко, 6 (ТИК)</v>
      </c>
      <c r="G12163" s="22" t="s">
        <v>281</v>
      </c>
      <c r="H12163" s="22" t="s">
        <v>14494</v>
      </c>
      <c r="I12163" s="26">
        <v>43539.463888888902</v>
      </c>
      <c r="J12163" s="23" t="str">
        <f>HYPERLINK("https://www.spark-marketing.ru/Card/Person/53937", "ООО ОФ ""КОДЕКС""")</f>
        <v>ООО ОФ "КОДЕКС"</v>
      </c>
      <c r="K12163" s="24" t="s">
        <v>5915</v>
      </c>
      <c r="L12163" s="28" t="s">
        <v>52</v>
      </c>
      <c r="M12163" s="25">
        <v>56700</v>
      </c>
      <c r="N12163" s="27">
        <v>5.5E-2</v>
      </c>
    </row>
    <row r="12164" spans="1:14" ht="12.75" hidden="1" outlineLevel="1" x14ac:dyDescent="0.2">
      <c r="A12164" s="23" t="str">
        <f>HYPERLINK("https://www.spark-marketing.ru/Card/Person/17996", "АДМИНИСТРАЦИЯ РАЙОНА")</f>
        <v>АДМИНИСТРАЦИЯ РАЙОНА</v>
      </c>
      <c r="B12164" s="24" t="s">
        <v>14492</v>
      </c>
      <c r="C12164" s="25">
        <v>60000</v>
      </c>
      <c r="D12164" s="22" t="s">
        <v>14493</v>
      </c>
      <c r="E12164" s="22" t="s">
        <v>68</v>
      </c>
      <c r="F12164" s="23" t="str">
        <f>HYPERLINK("https://www.spark-marketing.ru/Card/Lot/68718774", "Оказание услуг по охране объекта посредством пульта централизованного наблюдения по адресу: Иркутская область, г. Тайшет, ул. Шевченко, 6 (ТИК)")</f>
        <v>Оказание услуг по охране объекта посредством пульта централизованного наблюдения по адресу: Иркутская область, г. Тайшет, ул. Шевченко, 6 (ТИК)</v>
      </c>
      <c r="G12164" s="22" t="s">
        <v>281</v>
      </c>
      <c r="H12164" s="22" t="s">
        <v>14494</v>
      </c>
      <c r="I12164" s="26">
        <v>43539.463888888902</v>
      </c>
      <c r="J12164" s="23" t="str">
        <f>HYPERLINK("https://www.spark-marketing.ru/Card/Person/4389781", "ООО ""ЧОП""ОМЕГА""")</f>
        <v>ООО "ЧОП"ОМЕГА"</v>
      </c>
      <c r="K12164" s="24" t="s">
        <v>5914</v>
      </c>
      <c r="L12164" s="22" t="s">
        <v>10</v>
      </c>
      <c r="M12164" s="25">
        <v>56400</v>
      </c>
      <c r="N12164" s="27">
        <v>0.06</v>
      </c>
    </row>
    <row r="12165" spans="1:14" x14ac:dyDescent="0.15">
      <c r="A12165" s="23" t="str">
        <f>HYPERLINK("https://www.spark-marketing.ru/Card/Person/64814", "АО ""ВОЕНТЕЛЕКОМ""")</f>
        <v>АО "ВОЕНТЕЛЕКОМ"</v>
      </c>
      <c r="B12165" s="24" t="s">
        <v>10731</v>
      </c>
      <c r="C12165" s="25">
        <v>1020000</v>
      </c>
      <c r="D12165" s="22" t="s">
        <v>14495</v>
      </c>
      <c r="E12165" s="22" t="s">
        <v>363</v>
      </c>
      <c r="F12165" s="23" t="str">
        <f>HYPERLINK("https://www.spark-marketing.ru/Card/Lot/68727535", "Услуги охраны")</f>
        <v>Услуги охраны</v>
      </c>
      <c r="G12165" s="22" t="s">
        <v>89</v>
      </c>
      <c r="H12165" s="22" t="s">
        <v>89</v>
      </c>
      <c r="I12165" s="26">
        <v>43539.495509259301</v>
      </c>
      <c r="J12165" s="28" t="s">
        <v>52</v>
      </c>
      <c r="K12165" s="28" t="s">
        <v>52</v>
      </c>
      <c r="L12165" s="28" t="s">
        <v>52</v>
      </c>
      <c r="M12165" s="28" t="s">
        <v>52</v>
      </c>
      <c r="N12165" s="28" t="s">
        <v>52</v>
      </c>
    </row>
    <row r="12166" spans="1:14" x14ac:dyDescent="0.15">
      <c r="A12166" s="23" t="str">
        <f>HYPERLINK("https://www.spark-marketing.ru/Card/Person/193037", "АО ""ГАЗПРОМ ГАЗОРАСПРЕДЕЛЕНИЕ КРАСНОДАР""")</f>
        <v>АО "ГАЗПРОМ ГАЗОРАСПРЕДЕЛЕНИЕ КРАСНОДАР"</v>
      </c>
      <c r="B12166" s="24" t="s">
        <v>11069</v>
      </c>
      <c r="C12166" s="25">
        <v>44940</v>
      </c>
      <c r="D12166" s="22" t="s">
        <v>14496</v>
      </c>
      <c r="E12166" s="22" t="s">
        <v>1840</v>
      </c>
      <c r="F12166" s="23" t="str">
        <f>HYPERLINK("https://www.spark-marketing.ru/Card/Lot/68725909", "Работа по техническому обслуживанию системы видеонаблюдения")</f>
        <v>Работа по техническому обслуживанию системы видеонаблюдения</v>
      </c>
      <c r="G12166" s="22" t="s">
        <v>132</v>
      </c>
      <c r="H12166" s="22" t="s">
        <v>652</v>
      </c>
      <c r="I12166" s="26">
        <v>43539.476527777799</v>
      </c>
      <c r="J12166" s="28" t="s">
        <v>52</v>
      </c>
      <c r="K12166" s="28" t="s">
        <v>52</v>
      </c>
      <c r="L12166" s="28" t="s">
        <v>52</v>
      </c>
      <c r="M12166" s="28" t="s">
        <v>52</v>
      </c>
      <c r="N12166" s="28" t="s">
        <v>52</v>
      </c>
    </row>
    <row r="12167" spans="1:14" hidden="1" outlineLevel="1" x14ac:dyDescent="0.2">
      <c r="A12167" s="23" t="str">
        <f>HYPERLINK("https://www.spark-marketing.ru/Card/Person/193037", "АО ""ГАЗПРОМ ГАЗОРАСПРЕДЕЛЕНИЕ КРАСНОДАР""")</f>
        <v>АО "ГАЗПРОМ ГАЗОРАСПРЕДЕЛЕНИЕ КРАСНОДАР"</v>
      </c>
      <c r="B12167" s="24" t="s">
        <v>11069</v>
      </c>
      <c r="C12167" s="28" t="s">
        <v>52</v>
      </c>
      <c r="D12167" s="22" t="s">
        <v>14496</v>
      </c>
      <c r="E12167" s="22" t="s">
        <v>1840</v>
      </c>
      <c r="F12167" s="23" t="str">
        <f>HYPERLINK("https://www.spark-marketing.ru/Card/Lot/68725909", "Работа по техническому обслуживанию системы видеонаблюдения")</f>
        <v>Работа по техническому обслуживанию системы видеонаблюдения</v>
      </c>
      <c r="G12167" s="22" t="s">
        <v>132</v>
      </c>
      <c r="H12167" s="22" t="s">
        <v>652</v>
      </c>
      <c r="I12167" s="26">
        <v>43539.476527777799</v>
      </c>
      <c r="J12167" s="23" t="str">
        <f>HYPERLINK("https://www.spark-marketing.ru/Card/Person/187974", "ООО ""ЮГЭЛЕКТРОПРОЕКТ""")</f>
        <v>ООО "ЮГЭЛЕКТРОПРОЕКТ"</v>
      </c>
      <c r="K12167" s="24" t="s">
        <v>14083</v>
      </c>
      <c r="L12167" s="22" t="s">
        <v>10</v>
      </c>
      <c r="M12167" s="25">
        <v>32823</v>
      </c>
      <c r="N12167" s="27">
        <v>0.26962616822429908</v>
      </c>
    </row>
    <row r="12168" spans="1:14" hidden="1" outlineLevel="1" x14ac:dyDescent="0.2">
      <c r="A12168" s="23" t="str">
        <f>HYPERLINK("https://www.spark-marketing.ru/Card/Person/193037", "АО ""ГАЗПРОМ ГАЗОРАСПРЕДЕЛЕНИЕ КРАСНОДАР""")</f>
        <v>АО "ГАЗПРОМ ГАЗОРАСПРЕДЕЛЕНИЕ КРАСНОДАР"</v>
      </c>
      <c r="B12168" s="24" t="s">
        <v>11069</v>
      </c>
      <c r="C12168" s="28" t="s">
        <v>52</v>
      </c>
      <c r="D12168" s="22" t="s">
        <v>14496</v>
      </c>
      <c r="E12168" s="22" t="s">
        <v>1840</v>
      </c>
      <c r="F12168" s="23" t="str">
        <f>HYPERLINK("https://www.spark-marketing.ru/Card/Lot/68725909", "Работа по техническому обслуживанию системы видеонаблюдения")</f>
        <v>Работа по техническому обслуживанию системы видеонаблюдения</v>
      </c>
      <c r="G12168" s="22" t="s">
        <v>132</v>
      </c>
      <c r="H12168" s="22" t="s">
        <v>652</v>
      </c>
      <c r="I12168" s="26">
        <v>43539.476527777799</v>
      </c>
      <c r="J12168" s="23" t="str">
        <f>HYPERLINK("https://www.spark-marketing.ru/Card/Person/1159876", "ООО ""СЕРВИС-СБ""")</f>
        <v>ООО "СЕРВИС-СБ"</v>
      </c>
      <c r="K12168" s="24" t="s">
        <v>13994</v>
      </c>
      <c r="L12168" s="28" t="s">
        <v>52</v>
      </c>
      <c r="M12168" s="25">
        <v>37450</v>
      </c>
      <c r="N12168" s="27">
        <v>0.16666666666666666</v>
      </c>
    </row>
    <row r="12169" spans="1:14" x14ac:dyDescent="0.2">
      <c r="A12169" s="23" t="str">
        <f>HYPERLINK("https://www.spark-marketing.ru/Card/Person/358868", "АО ""РАМЕНСКАЯ ТЕПЛОСЕТЬ""")</f>
        <v>АО "РАМЕНСКАЯ ТЕПЛОСЕТЬ"</v>
      </c>
      <c r="B12169" s="24" t="s">
        <v>14497</v>
      </c>
      <c r="C12169" s="25">
        <v>24000</v>
      </c>
      <c r="D12169" s="22" t="s">
        <v>14498</v>
      </c>
      <c r="E12169" s="22" t="s">
        <v>144</v>
      </c>
      <c r="F12169" s="23" t="str">
        <f>HYPERLINK("https://www.spark-marketing.ru/Card/Lot/68727320", "Оказание охранных услуг по котельной «Кузнецово» АО ""Раменская теплосеть""")</f>
        <v>Оказание охранных услуг по котельной «Кузнецово» АО "Раменская теплосеть"</v>
      </c>
      <c r="G12169" s="22" t="s">
        <v>50</v>
      </c>
      <c r="H12169" s="22" t="s">
        <v>244</v>
      </c>
      <c r="I12169" s="26">
        <v>43539.484039351897</v>
      </c>
      <c r="J12169" s="23" t="str">
        <f>HYPERLINK("https://www.spark-marketing.ru/Card/Person/1281054", "ООО ЧОО ""ОХРАНА""")</f>
        <v>ООО ЧОО "ОХРАНА"</v>
      </c>
      <c r="K12169" s="24" t="s">
        <v>14499</v>
      </c>
      <c r="L12169" s="28" t="s">
        <v>52</v>
      </c>
      <c r="M12169" s="25">
        <v>24000</v>
      </c>
      <c r="N12169" s="27">
        <v>0</v>
      </c>
    </row>
    <row r="12170" spans="1:14" x14ac:dyDescent="0.15">
      <c r="A12170" s="23" t="str">
        <f>HYPERLINK("https://www.spark-marketing.ru/Card/Person/64814", "АО ""ВОЕНТЕЛЕКОМ""")</f>
        <v>АО "ВОЕНТЕЛЕКОМ"</v>
      </c>
      <c r="B12170" s="24" t="s">
        <v>10731</v>
      </c>
      <c r="C12170" s="25">
        <v>3060000</v>
      </c>
      <c r="D12170" s="22" t="s">
        <v>14500</v>
      </c>
      <c r="E12170" s="22" t="s">
        <v>363</v>
      </c>
      <c r="F12170" s="23" t="str">
        <f>HYPERLINK("https://www.spark-marketing.ru/Card/Lot/68725938", "Услуги охраны")</f>
        <v>Услуги охраны</v>
      </c>
      <c r="G12170" s="22" t="s">
        <v>89</v>
      </c>
      <c r="H12170" s="22" t="s">
        <v>89</v>
      </c>
      <c r="I12170" s="26">
        <v>43539.481504629599</v>
      </c>
      <c r="J12170" s="28" t="s">
        <v>52</v>
      </c>
      <c r="K12170" s="28" t="s">
        <v>52</v>
      </c>
      <c r="L12170" s="28" t="s">
        <v>52</v>
      </c>
      <c r="M12170" s="28" t="s">
        <v>52</v>
      </c>
      <c r="N12170" s="28" t="s">
        <v>52</v>
      </c>
    </row>
    <row r="12171" spans="1:14" x14ac:dyDescent="0.15">
      <c r="A12171" s="23" t="str">
        <f>HYPERLINK("https://www.spark-marketing.ru/Card/Person/17996", "АДМИНИСТРАЦИЯ РАЙОНА")</f>
        <v>АДМИНИСТРАЦИЯ РАЙОНА</v>
      </c>
      <c r="B12171" s="24" t="s">
        <v>14492</v>
      </c>
      <c r="C12171" s="25">
        <v>64000</v>
      </c>
      <c r="D12171" s="22" t="s">
        <v>14501</v>
      </c>
      <c r="E12171" s="22" t="s">
        <v>68</v>
      </c>
      <c r="F12171" s="23" t="str">
        <f>HYPERLINK("https://www.spark-marketing.ru/Card/Lot/68718771", "Оказание услуг по охране объекта посредством пульта централизованного наблюдения по адресу ул. Капустина, 20 для нужд администрации Тайшетского района.")</f>
        <v>Оказание услуг по охране объекта посредством пульта централизованного наблюдения по адресу ул. Капустина, 20 для нужд администрации Тайшетского района.</v>
      </c>
      <c r="G12171" s="22" t="s">
        <v>281</v>
      </c>
      <c r="H12171" s="22" t="s">
        <v>14494</v>
      </c>
      <c r="I12171" s="26">
        <v>43539.4597222222</v>
      </c>
      <c r="J12171" s="28" t="s">
        <v>52</v>
      </c>
      <c r="K12171" s="28" t="s">
        <v>52</v>
      </c>
      <c r="L12171" s="28" t="s">
        <v>52</v>
      </c>
      <c r="M12171" s="28" t="s">
        <v>52</v>
      </c>
      <c r="N12171" s="28" t="s">
        <v>52</v>
      </c>
    </row>
    <row r="12172" spans="1:14" hidden="1" outlineLevel="1" x14ac:dyDescent="0.2">
      <c r="A12172" s="23" t="str">
        <f>HYPERLINK("https://www.spark-marketing.ru/Card/Person/17996", "АДМИНИСТРАЦИЯ РАЙОНА")</f>
        <v>АДМИНИСТРАЦИЯ РАЙОНА</v>
      </c>
      <c r="B12172" s="24" t="s">
        <v>14492</v>
      </c>
      <c r="C12172" s="25">
        <v>64000</v>
      </c>
      <c r="D12172" s="22" t="s">
        <v>14501</v>
      </c>
      <c r="E12172" s="22" t="s">
        <v>68</v>
      </c>
      <c r="F12172" s="23" t="str">
        <f>HYPERLINK("https://www.spark-marketing.ru/Card/Lot/68718771", "Оказание услуг по охране объекта посредством пульта централизованного наблюдения по адресу ул. Капустина, 20 для нужд администрации Тайшетского района.")</f>
        <v>Оказание услуг по охране объекта посредством пульта централизованного наблюдения по адресу ул. Капустина, 20 для нужд администрации Тайшетского района.</v>
      </c>
      <c r="G12172" s="22" t="s">
        <v>281</v>
      </c>
      <c r="H12172" s="22" t="s">
        <v>14494</v>
      </c>
      <c r="I12172" s="26">
        <v>43539.4597222222</v>
      </c>
      <c r="J12172" s="23" t="str">
        <f>HYPERLINK("https://www.spark-marketing.ru/Card/Person/53937", "ООО ОФ ""КОДЕКС""")</f>
        <v>ООО ОФ "КОДЕКС"</v>
      </c>
      <c r="K12172" s="24" t="s">
        <v>5915</v>
      </c>
      <c r="L12172" s="28" t="s">
        <v>52</v>
      </c>
      <c r="M12172" s="25">
        <v>60480</v>
      </c>
      <c r="N12172" s="27">
        <v>5.5E-2</v>
      </c>
    </row>
    <row r="12173" spans="1:14" ht="12.75" hidden="1" outlineLevel="1" x14ac:dyDescent="0.2">
      <c r="A12173" s="23" t="str">
        <f>HYPERLINK("https://www.spark-marketing.ru/Card/Person/17996", "АДМИНИСТРАЦИЯ РАЙОНА")</f>
        <v>АДМИНИСТРАЦИЯ РАЙОНА</v>
      </c>
      <c r="B12173" s="24" t="s">
        <v>14492</v>
      </c>
      <c r="C12173" s="25">
        <v>64000</v>
      </c>
      <c r="D12173" s="22" t="s">
        <v>14501</v>
      </c>
      <c r="E12173" s="22" t="s">
        <v>68</v>
      </c>
      <c r="F12173" s="23" t="str">
        <f>HYPERLINK("https://www.spark-marketing.ru/Card/Lot/68718771", "Оказание услуг по охране объекта посредством пульта централизованного наблюдения по адресу ул. Капустина, 20 для нужд администрации Тайшетского района.")</f>
        <v>Оказание услуг по охране объекта посредством пульта централизованного наблюдения по адресу ул. Капустина, 20 для нужд администрации Тайшетского района.</v>
      </c>
      <c r="G12173" s="22" t="s">
        <v>281</v>
      </c>
      <c r="H12173" s="22" t="s">
        <v>14494</v>
      </c>
      <c r="I12173" s="26">
        <v>43539.4597222222</v>
      </c>
      <c r="J12173" s="23" t="str">
        <f>HYPERLINK("https://www.spark-marketing.ru/Card/Person/4389781", "ООО ""ЧОП""ОМЕГА""")</f>
        <v>ООО "ЧОП"ОМЕГА"</v>
      </c>
      <c r="K12173" s="24" t="s">
        <v>5914</v>
      </c>
      <c r="L12173" s="22" t="s">
        <v>10</v>
      </c>
      <c r="M12173" s="25">
        <v>60160</v>
      </c>
      <c r="N12173" s="27">
        <v>0.06</v>
      </c>
    </row>
    <row r="12174" spans="1:14" x14ac:dyDescent="0.15">
      <c r="A12174" s="23" t="str">
        <f t="shared" ref="A12174:A12179" si="628">HYPERLINK("https://www.spark-marketing.ru/Card/Person/1002463", "МОУ ""ШКОЛА НОВОГО ВЕКА""")</f>
        <v>МОУ "ШКОЛА НОВОГО ВЕКА"</v>
      </c>
      <c r="B12174" s="24" t="s">
        <v>14502</v>
      </c>
      <c r="C12174" s="25">
        <v>381116</v>
      </c>
      <c r="D12174" s="22" t="s">
        <v>14503</v>
      </c>
      <c r="E12174" s="22" t="s">
        <v>49</v>
      </c>
      <c r="F12174" s="23" t="str">
        <f t="shared" ref="F12174:F12179" si="629">HYPERLINK("https://www.spark-marketing.ru/Card/Lot/68724887", "Работы по установке видео и аудио техники для проведения экзаменов")</f>
        <v>Работы по установке видео и аудио техники для проведения экзаменов</v>
      </c>
      <c r="G12174" s="22" t="s">
        <v>80</v>
      </c>
      <c r="H12174" s="22" t="s">
        <v>3150</v>
      </c>
      <c r="I12174" s="26">
        <v>43539.490798611099</v>
      </c>
      <c r="J12174" s="28" t="s">
        <v>52</v>
      </c>
      <c r="K12174" s="28" t="s">
        <v>52</v>
      </c>
      <c r="L12174" s="28" t="s">
        <v>52</v>
      </c>
      <c r="M12174" s="28" t="s">
        <v>52</v>
      </c>
      <c r="N12174" s="28" t="s">
        <v>52</v>
      </c>
    </row>
    <row r="12175" spans="1:14" hidden="1" outlineLevel="1" x14ac:dyDescent="0.2">
      <c r="A12175" s="23" t="str">
        <f t="shared" si="628"/>
        <v>МОУ "ШКОЛА НОВОГО ВЕКА"</v>
      </c>
      <c r="B12175" s="24" t="s">
        <v>14502</v>
      </c>
      <c r="C12175" s="28" t="s">
        <v>52</v>
      </c>
      <c r="D12175" s="22" t="s">
        <v>14503</v>
      </c>
      <c r="E12175" s="22" t="s">
        <v>49</v>
      </c>
      <c r="F12175" s="23" t="str">
        <f t="shared" si="629"/>
        <v>Работы по установке видео и аудио техники для проведения экзаменов</v>
      </c>
      <c r="G12175" s="22" t="s">
        <v>80</v>
      </c>
      <c r="H12175" s="22" t="s">
        <v>3150</v>
      </c>
      <c r="I12175" s="26">
        <v>43539.490798611099</v>
      </c>
      <c r="J12175" s="23" t="str">
        <f>HYPERLINK("https://www.spark-marketing.ru/Card/Person/-1", "неизвестно")</f>
        <v>неизвестно</v>
      </c>
      <c r="K12175" s="28" t="s">
        <v>52</v>
      </c>
      <c r="L12175" s="28" t="s">
        <v>52</v>
      </c>
      <c r="M12175" s="25">
        <v>0</v>
      </c>
      <c r="N12175" s="27">
        <v>1</v>
      </c>
    </row>
    <row r="12176" spans="1:14" hidden="1" outlineLevel="1" x14ac:dyDescent="0.2">
      <c r="A12176" s="23" t="str">
        <f t="shared" si="628"/>
        <v>МОУ "ШКОЛА НОВОГО ВЕКА"</v>
      </c>
      <c r="B12176" s="24" t="s">
        <v>14502</v>
      </c>
      <c r="C12176" s="28" t="s">
        <v>52</v>
      </c>
      <c r="D12176" s="22" t="s">
        <v>14503</v>
      </c>
      <c r="E12176" s="22" t="s">
        <v>49</v>
      </c>
      <c r="F12176" s="23" t="str">
        <f t="shared" si="629"/>
        <v>Работы по установке видео и аудио техники для проведения экзаменов</v>
      </c>
      <c r="G12176" s="22" t="s">
        <v>80</v>
      </c>
      <c r="H12176" s="22" t="s">
        <v>3150</v>
      </c>
      <c r="I12176" s="26">
        <v>43539.490798611099</v>
      </c>
      <c r="J12176" s="23" t="str">
        <f>HYPERLINK("https://www.spark-marketing.ru/Card/Person/6310418", "ООО ""МИГ""")</f>
        <v>ООО "МИГ"</v>
      </c>
      <c r="K12176" s="24" t="s">
        <v>14504</v>
      </c>
      <c r="L12176" s="28" t="s">
        <v>52</v>
      </c>
      <c r="M12176" s="25">
        <v>302094.42</v>
      </c>
      <c r="N12176" s="27">
        <v>0.20734259385593887</v>
      </c>
    </row>
    <row r="12177" spans="1:14" hidden="1" outlineLevel="1" x14ac:dyDescent="0.2">
      <c r="A12177" s="23" t="str">
        <f t="shared" si="628"/>
        <v>МОУ "ШКОЛА НОВОГО ВЕКА"</v>
      </c>
      <c r="B12177" s="24" t="s">
        <v>14502</v>
      </c>
      <c r="C12177" s="28" t="s">
        <v>52</v>
      </c>
      <c r="D12177" s="22" t="s">
        <v>14503</v>
      </c>
      <c r="E12177" s="22" t="s">
        <v>49</v>
      </c>
      <c r="F12177" s="23" t="str">
        <f t="shared" si="629"/>
        <v>Работы по установке видео и аудио техники для проведения экзаменов</v>
      </c>
      <c r="G12177" s="22" t="s">
        <v>80</v>
      </c>
      <c r="H12177" s="22" t="s">
        <v>3150</v>
      </c>
      <c r="I12177" s="26">
        <v>43539.490798611099</v>
      </c>
      <c r="J12177" s="23" t="str">
        <f>HYPERLINK("https://www.spark-marketing.ru/Card/Person/552159", "ООО ""КОРОНЭЛЬ""")</f>
        <v>ООО "КОРОНЭЛЬ"</v>
      </c>
      <c r="K12177" s="24" t="s">
        <v>14505</v>
      </c>
      <c r="L12177" s="28" t="s">
        <v>52</v>
      </c>
      <c r="M12177" s="25">
        <v>343004.4</v>
      </c>
      <c r="N12177" s="27">
        <v>0.1</v>
      </c>
    </row>
    <row r="12178" spans="1:14" hidden="1" outlineLevel="1" x14ac:dyDescent="0.2">
      <c r="A12178" s="23" t="str">
        <f t="shared" si="628"/>
        <v>МОУ "ШКОЛА НОВОГО ВЕКА"</v>
      </c>
      <c r="B12178" s="24" t="s">
        <v>14502</v>
      </c>
      <c r="C12178" s="28" t="s">
        <v>52</v>
      </c>
      <c r="D12178" s="22" t="s">
        <v>14503</v>
      </c>
      <c r="E12178" s="22" t="s">
        <v>49</v>
      </c>
      <c r="F12178" s="23" t="str">
        <f t="shared" si="629"/>
        <v>Работы по установке видео и аудио техники для проведения экзаменов</v>
      </c>
      <c r="G12178" s="22" t="s">
        <v>80</v>
      </c>
      <c r="H12178" s="22" t="s">
        <v>3150</v>
      </c>
      <c r="I12178" s="26">
        <v>43539.490798611099</v>
      </c>
      <c r="J12178" s="23" t="str">
        <f>HYPERLINK("https://www.spark-marketing.ru/Card/Person/1475348", "ООО ""ЦИФРОВЫЕ ТЕХНОЛОГИИ""")</f>
        <v>ООО "ЦИФРОВЫЕ ТЕХНОЛОГИИ"</v>
      </c>
      <c r="K12178" s="24" t="s">
        <v>14506</v>
      </c>
      <c r="L12178" s="22" t="s">
        <v>10</v>
      </c>
      <c r="M12178" s="25">
        <v>228283.26</v>
      </c>
      <c r="N12178" s="27">
        <v>0.40101370711279505</v>
      </c>
    </row>
    <row r="12179" spans="1:14" hidden="1" outlineLevel="1" x14ac:dyDescent="0.2">
      <c r="A12179" s="23" t="str">
        <f t="shared" si="628"/>
        <v>МОУ "ШКОЛА НОВОГО ВЕКА"</v>
      </c>
      <c r="B12179" s="24" t="s">
        <v>14502</v>
      </c>
      <c r="C12179" s="28" t="s">
        <v>52</v>
      </c>
      <c r="D12179" s="22" t="s">
        <v>14503</v>
      </c>
      <c r="E12179" s="22" t="s">
        <v>49</v>
      </c>
      <c r="F12179" s="23" t="str">
        <f t="shared" si="629"/>
        <v>Работы по установке видео и аудио техники для проведения экзаменов</v>
      </c>
      <c r="G12179" s="22" t="s">
        <v>80</v>
      </c>
      <c r="H12179" s="22" t="s">
        <v>3150</v>
      </c>
      <c r="I12179" s="26">
        <v>43539.490798611099</v>
      </c>
      <c r="J12179" s="23" t="str">
        <f>HYPERLINK("https://www.spark-marketing.ru/Card/Person/233377", "ООО ""СИЛЬВЕР-ЛАЙН""")</f>
        <v>ООО "СИЛЬВЕР-ЛАЙН"</v>
      </c>
      <c r="K12179" s="24" t="s">
        <v>2557</v>
      </c>
      <c r="L12179" s="28" t="s">
        <v>52</v>
      </c>
      <c r="M12179" s="25">
        <v>230188.84</v>
      </c>
      <c r="N12179" s="27">
        <v>0.39601370711279504</v>
      </c>
    </row>
    <row r="12180" spans="1:14" x14ac:dyDescent="0.15">
      <c r="A12180" s="23" t="str">
        <f>HYPERLINK("https://www.spark-marketing.ru/Card/Person/6052008", "ООО ""САПЛ-БИЗ""")</f>
        <v>ООО "САПЛ-БИЗ"</v>
      </c>
      <c r="B12180" s="24" t="s">
        <v>3500</v>
      </c>
      <c r="C12180" s="28" t="s">
        <v>52</v>
      </c>
      <c r="D12180" s="22" t="s">
        <v>14507</v>
      </c>
      <c r="E12180" s="22" t="s">
        <v>53</v>
      </c>
      <c r="F12180" s="23" t="str">
        <f>HYPERLINK("https://www.spark-marketing.ru/Card/Lot/68724784", "Требуется ""Пост охраны"" Блок контейнер БК-014 с 4 окнами, КПП, вагончик для сторожа По возможности многоугольный, по периметру с окнами, с местом для отдыха, обзор на 360 градусов, стеклянная дверь, утепленный, размеры - 2,5 на 3 метра. Поставка в ...")</f>
        <v>Требуется "Пост охраны" Блок контейнер БК-014 с 4 окнами, КПП, вагончик для сторожа По возможности многоугольный, по периметру с окнами, с местом для отдыха, обзор на 360 градусов, стеклянная дверь, утепленный, размеры - 2,5 на 3 метра. Поставка в ...</v>
      </c>
      <c r="G12180" s="22" t="s">
        <v>150</v>
      </c>
      <c r="H12180" s="22" t="s">
        <v>1656</v>
      </c>
      <c r="I12180" s="26">
        <v>43539.433414351799</v>
      </c>
      <c r="J12180" s="28" t="s">
        <v>52</v>
      </c>
      <c r="K12180" s="28" t="s">
        <v>52</v>
      </c>
      <c r="L12180" s="28" t="s">
        <v>52</v>
      </c>
      <c r="M12180" s="28" t="s">
        <v>52</v>
      </c>
      <c r="N12180" s="28" t="s">
        <v>52</v>
      </c>
    </row>
    <row r="12181" spans="1:14" x14ac:dyDescent="0.15">
      <c r="A12181" s="23" t="str">
        <f>HYPERLINK("https://www.spark-marketing.ru/Card/Person/17996", "АДМИНИСТРАЦИЯ РАЙОНА")</f>
        <v>АДМИНИСТРАЦИЯ РАЙОНА</v>
      </c>
      <c r="B12181" s="24" t="s">
        <v>14492</v>
      </c>
      <c r="C12181" s="25">
        <v>44000</v>
      </c>
      <c r="D12181" s="22" t="s">
        <v>14508</v>
      </c>
      <c r="E12181" s="22" t="s">
        <v>68</v>
      </c>
      <c r="F12181" s="23" t="str">
        <f>HYPERLINK("https://www.spark-marketing.ru/Card/Lot/68717595", "Оказание услуг по охране объекта посредством пульта централизованного наблюдения для нужд администрации Тайшетского района.")</f>
        <v>Оказание услуг по охране объекта посредством пульта централизованного наблюдения для нужд администрации Тайшетского района.</v>
      </c>
      <c r="G12181" s="22" t="s">
        <v>281</v>
      </c>
      <c r="H12181" s="22" t="s">
        <v>14494</v>
      </c>
      <c r="I12181" s="26">
        <v>43539.456944444399</v>
      </c>
      <c r="J12181" s="28" t="s">
        <v>52</v>
      </c>
      <c r="K12181" s="28" t="s">
        <v>52</v>
      </c>
      <c r="L12181" s="28" t="s">
        <v>52</v>
      </c>
      <c r="M12181" s="28" t="s">
        <v>52</v>
      </c>
      <c r="N12181" s="28" t="s">
        <v>52</v>
      </c>
    </row>
    <row r="12182" spans="1:14" hidden="1" outlineLevel="1" x14ac:dyDescent="0.2">
      <c r="A12182" s="23" t="str">
        <f>HYPERLINK("https://www.spark-marketing.ru/Card/Person/17996", "АДМИНИСТРАЦИЯ РАЙОНА")</f>
        <v>АДМИНИСТРАЦИЯ РАЙОНА</v>
      </c>
      <c r="B12182" s="24" t="s">
        <v>14492</v>
      </c>
      <c r="C12182" s="25">
        <v>44000</v>
      </c>
      <c r="D12182" s="22" t="s">
        <v>14508</v>
      </c>
      <c r="E12182" s="22" t="s">
        <v>68</v>
      </c>
      <c r="F12182" s="23" t="str">
        <f>HYPERLINK("https://www.spark-marketing.ru/Card/Lot/68717595", "Оказание услуг по охране объекта посредством пульта централизованного наблюдения для нужд администрации Тайшетского района.")</f>
        <v>Оказание услуг по охране объекта посредством пульта централизованного наблюдения для нужд администрации Тайшетского района.</v>
      </c>
      <c r="G12182" s="22" t="s">
        <v>281</v>
      </c>
      <c r="H12182" s="22" t="s">
        <v>14494</v>
      </c>
      <c r="I12182" s="26">
        <v>43539.456944444399</v>
      </c>
      <c r="J12182" s="23" t="str">
        <f>HYPERLINK("https://www.spark-marketing.ru/Card/Person/53937", "ООО ОФ ""КОДЕКС""")</f>
        <v>ООО ОФ "КОДЕКС"</v>
      </c>
      <c r="K12182" s="24" t="s">
        <v>5915</v>
      </c>
      <c r="L12182" s="28" t="s">
        <v>52</v>
      </c>
      <c r="M12182" s="25">
        <v>41580</v>
      </c>
      <c r="N12182" s="27">
        <v>5.5E-2</v>
      </c>
    </row>
    <row r="12183" spans="1:14" ht="12.75" hidden="1" outlineLevel="1" x14ac:dyDescent="0.2">
      <c r="A12183" s="23" t="str">
        <f>HYPERLINK("https://www.spark-marketing.ru/Card/Person/17996", "АДМИНИСТРАЦИЯ РАЙОНА")</f>
        <v>АДМИНИСТРАЦИЯ РАЙОНА</v>
      </c>
      <c r="B12183" s="24" t="s">
        <v>14492</v>
      </c>
      <c r="C12183" s="25">
        <v>44000</v>
      </c>
      <c r="D12183" s="22" t="s">
        <v>14508</v>
      </c>
      <c r="E12183" s="22" t="s">
        <v>68</v>
      </c>
      <c r="F12183" s="23" t="str">
        <f>HYPERLINK("https://www.spark-marketing.ru/Card/Lot/68717595", "Оказание услуг по охране объекта посредством пульта централизованного наблюдения для нужд администрации Тайшетского района.")</f>
        <v>Оказание услуг по охране объекта посредством пульта централизованного наблюдения для нужд администрации Тайшетского района.</v>
      </c>
      <c r="G12183" s="22" t="s">
        <v>281</v>
      </c>
      <c r="H12183" s="22" t="s">
        <v>14494</v>
      </c>
      <c r="I12183" s="26">
        <v>43539.456944444399</v>
      </c>
      <c r="J12183" s="23" t="str">
        <f>HYPERLINK("https://www.spark-marketing.ru/Card/Person/4389781", "ООО ""ЧОП""ОМЕГА""")</f>
        <v>ООО "ЧОП"ОМЕГА"</v>
      </c>
      <c r="K12183" s="24" t="s">
        <v>5914</v>
      </c>
      <c r="L12183" s="22" t="s">
        <v>10</v>
      </c>
      <c r="M12183" s="25">
        <v>41360</v>
      </c>
      <c r="N12183" s="27">
        <v>0.06</v>
      </c>
    </row>
    <row r="12184" spans="1:14" x14ac:dyDescent="0.15">
      <c r="A12184" s="23" t="str">
        <f>HYPERLINK("https://www.spark-marketing.ru/Card/Person/1904395", "ООО ""УК ""ТАТСПЕЦТРАНСПОРТ""")</f>
        <v>ООО "УК "ТАТСПЕЦТРАНСПОРТ"</v>
      </c>
      <c r="B12184" s="24" t="s">
        <v>14509</v>
      </c>
      <c r="C12184" s="25">
        <v>617804.93000000005</v>
      </c>
      <c r="D12184" s="22" t="s">
        <v>14510</v>
      </c>
      <c r="E12184" s="22" t="s">
        <v>53</v>
      </c>
      <c r="F12184" s="23" t="str">
        <f>HYPERLINK("https://www.spark-marketing.ru/Card/Lot/68690640", "Оказание услуг по установке технических средств охраны (0/166)")</f>
        <v>Оказание услуг по установке технических средств охраны (0/166)</v>
      </c>
      <c r="G12184" s="22" t="s">
        <v>204</v>
      </c>
      <c r="H12184" s="22" t="s">
        <v>308</v>
      </c>
      <c r="I12184" s="26">
        <v>43538.452083333301</v>
      </c>
      <c r="J12184" s="28" t="s">
        <v>52</v>
      </c>
      <c r="K12184" s="28" t="s">
        <v>52</v>
      </c>
      <c r="L12184" s="28" t="s">
        <v>52</v>
      </c>
      <c r="M12184" s="28" t="s">
        <v>52</v>
      </c>
      <c r="N12184" s="28" t="s">
        <v>52</v>
      </c>
    </row>
    <row r="12185" spans="1:14" x14ac:dyDescent="0.15">
      <c r="A12185" s="23" t="str">
        <f>HYPERLINK("https://www.spark-marketing.ru/Card/Person/126008", "МБУ ""СДЦ КАЛИНИНЕЦ""")</f>
        <v>МБУ "СДЦ КАЛИНИНЕЦ"</v>
      </c>
      <c r="B12185" s="24" t="s">
        <v>14511</v>
      </c>
      <c r="C12185" s="25">
        <v>20000</v>
      </c>
      <c r="D12185" s="22" t="s">
        <v>14512</v>
      </c>
      <c r="E12185" s="22" t="s">
        <v>107</v>
      </c>
      <c r="F12185" s="23" t="str">
        <f>HYPERLINK("https://www.spark-marketing.ru/Card/Lot/68721820", "Охранные услуги по реагированию (тревожная кнопка)")</f>
        <v>Охранные услуги по реагированию (тревожная кнопка)</v>
      </c>
      <c r="G12185" s="22" t="s">
        <v>50</v>
      </c>
      <c r="H12185" s="22" t="s">
        <v>2332</v>
      </c>
      <c r="I12185" s="26">
        <v>43539.3988425926</v>
      </c>
      <c r="J12185" s="28" t="s">
        <v>52</v>
      </c>
      <c r="K12185" s="28" t="s">
        <v>52</v>
      </c>
      <c r="L12185" s="28" t="s">
        <v>52</v>
      </c>
      <c r="M12185" s="28" t="s">
        <v>52</v>
      </c>
      <c r="N12185" s="28" t="s">
        <v>52</v>
      </c>
    </row>
    <row r="12186" spans="1:14" x14ac:dyDescent="0.15">
      <c r="A12186" s="23" t="str">
        <f>HYPERLINK("https://www.spark-marketing.ru/Card/Person/1003216", "КУ РА ""ЦОД МОРА""")</f>
        <v>КУ РА "ЦОД МОРА"</v>
      </c>
      <c r="B12186" s="24" t="s">
        <v>14513</v>
      </c>
      <c r="C12186" s="25">
        <v>27599.94</v>
      </c>
      <c r="D12186" s="22" t="s">
        <v>14514</v>
      </c>
      <c r="E12186" s="22" t="s">
        <v>68</v>
      </c>
      <c r="F12186" s="23" t="str">
        <f>HYPERLINK("https://www.spark-marketing.ru/Card/Lot/68717686", "Оказание услуг по охране объекта с помощью технических средств (КТС)")</f>
        <v>Оказание услуг по охране объекта с помощью технических средств (КТС)</v>
      </c>
      <c r="G12186" s="22" t="s">
        <v>3000</v>
      </c>
      <c r="H12186" s="22" t="s">
        <v>3001</v>
      </c>
      <c r="I12186" s="26">
        <v>43539.385416666701</v>
      </c>
      <c r="J12186" s="28" t="s">
        <v>52</v>
      </c>
      <c r="K12186" s="28" t="s">
        <v>52</v>
      </c>
      <c r="L12186" s="28" t="s">
        <v>52</v>
      </c>
      <c r="M12186" s="28" t="s">
        <v>52</v>
      </c>
      <c r="N12186" s="28" t="s">
        <v>52</v>
      </c>
    </row>
    <row r="12187" spans="1:14" ht="12.75" hidden="1" outlineLevel="1" x14ac:dyDescent="0.2">
      <c r="A12187" s="23" t="str">
        <f>HYPERLINK("https://www.spark-marketing.ru/Card/Person/1003216", "КУ РА ""ЦОД МОРА""")</f>
        <v>КУ РА "ЦОД МОРА"</v>
      </c>
      <c r="B12187" s="24" t="s">
        <v>14513</v>
      </c>
      <c r="C12187" s="25">
        <v>27599.94</v>
      </c>
      <c r="D12187" s="22" t="s">
        <v>14514</v>
      </c>
      <c r="E12187" s="22" t="s">
        <v>68</v>
      </c>
      <c r="F12187" s="23" t="str">
        <f>HYPERLINK("https://www.spark-marketing.ru/Card/Lot/68717686", "Оказание услуг по охране объекта с помощью технических средств (КТС)")</f>
        <v>Оказание услуг по охране объекта с помощью технических средств (КТС)</v>
      </c>
      <c r="G12187" s="22" t="s">
        <v>3000</v>
      </c>
      <c r="H12187" s="22" t="s">
        <v>3001</v>
      </c>
      <c r="I12187" s="26">
        <v>43539.385416666701</v>
      </c>
      <c r="J12187" s="23" t="str">
        <f>HYPERLINK("https://www.spark-marketing.ru/Card/Person/87219", "ООО ЧОП ""АЛЛИГАТОР""")</f>
        <v>ООО ЧОП "АЛЛИГАТОР"</v>
      </c>
      <c r="K12187" s="24" t="s">
        <v>14515</v>
      </c>
      <c r="L12187" s="22" t="s">
        <v>10</v>
      </c>
      <c r="M12187" s="25">
        <v>8003.97</v>
      </c>
      <c r="N12187" s="27">
        <v>0.71000045652273158</v>
      </c>
    </row>
    <row r="12188" spans="1:14" hidden="1" outlineLevel="1" x14ac:dyDescent="0.2">
      <c r="A12188" s="23" t="str">
        <f>HYPERLINK("https://www.spark-marketing.ru/Card/Person/1003216", "КУ РА ""ЦОД МОРА""")</f>
        <v>КУ РА "ЦОД МОРА"</v>
      </c>
      <c r="B12188" s="24" t="s">
        <v>14513</v>
      </c>
      <c r="C12188" s="25">
        <v>27599.94</v>
      </c>
      <c r="D12188" s="22" t="s">
        <v>14514</v>
      </c>
      <c r="E12188" s="22" t="s">
        <v>68</v>
      </c>
      <c r="F12188" s="23" t="str">
        <f>HYPERLINK("https://www.spark-marketing.ru/Card/Lot/68717686", "Оказание услуг по охране объекта с помощью технических средств (КТС)")</f>
        <v>Оказание услуг по охране объекта с помощью технических средств (КТС)</v>
      </c>
      <c r="G12188" s="22" t="s">
        <v>3000</v>
      </c>
      <c r="H12188" s="22" t="s">
        <v>3001</v>
      </c>
      <c r="I12188" s="26">
        <v>43539.385416666701</v>
      </c>
      <c r="J12188" s="23" t="str">
        <f>HYPERLINK("https://www.spark-marketing.ru/Card/Person/66152", "ООО ""ТРИС ОХРАНА-СЕРВИС""")</f>
        <v>ООО "ТРИС ОХРАНА-СЕРВИС"</v>
      </c>
      <c r="K12188" s="24" t="s">
        <v>14516</v>
      </c>
      <c r="L12188" s="28" t="s">
        <v>52</v>
      </c>
      <c r="M12188" s="25">
        <v>8141.97</v>
      </c>
      <c r="N12188" s="27">
        <v>0.70500044565314268</v>
      </c>
    </row>
    <row r="12189" spans="1:14" x14ac:dyDescent="0.15">
      <c r="A12189" s="23" t="str">
        <f>HYPERLINK("https://www.spark-marketing.ru/Card/Person/1021653", "МБУС СШ ""САТУРН""")</f>
        <v>МБУС СШ "САТУРН"</v>
      </c>
      <c r="B12189" s="24" t="s">
        <v>14517</v>
      </c>
      <c r="C12189" s="25">
        <v>25000</v>
      </c>
      <c r="D12189" s="22" t="s">
        <v>14518</v>
      </c>
      <c r="E12189" s="22" t="s">
        <v>103</v>
      </c>
      <c r="F12189" s="23" t="str">
        <f>HYPERLINK("https://www.spark-marketing.ru/Card/Lot/68721699", "Обслуживание видеонаблюдения")</f>
        <v>Обслуживание видеонаблюдения</v>
      </c>
      <c r="G12189" s="22" t="s">
        <v>50</v>
      </c>
      <c r="H12189" s="22" t="s">
        <v>244</v>
      </c>
      <c r="I12189" s="26">
        <v>43539.388437499998</v>
      </c>
      <c r="J12189" s="28" t="s">
        <v>52</v>
      </c>
      <c r="K12189" s="28" t="s">
        <v>52</v>
      </c>
      <c r="L12189" s="28" t="s">
        <v>52</v>
      </c>
      <c r="M12189" s="28" t="s">
        <v>52</v>
      </c>
      <c r="N12189" s="28" t="s">
        <v>52</v>
      </c>
    </row>
    <row r="12190" spans="1:14" x14ac:dyDescent="0.15">
      <c r="A12190" s="23" t="str">
        <f t="shared" ref="A12190:A12197" si="630">HYPERLINK("https://www.spark-marketing.ru/Card/Person/361082", "МУП ""ПОДОЛЬСКИЙ ТРОЛЛЕЙБУС""")</f>
        <v>МУП "ПОДОЛЬСКИЙ ТРОЛЛЕЙБУС"</v>
      </c>
      <c r="B12190" s="24" t="s">
        <v>14519</v>
      </c>
      <c r="C12190" s="25">
        <v>9082929.6699999999</v>
      </c>
      <c r="D12190" s="22" t="s">
        <v>14520</v>
      </c>
      <c r="E12190" s="22" t="s">
        <v>84</v>
      </c>
      <c r="F12190" s="23" t="str">
        <f t="shared" ref="F12190:F12197" si="631">HYPERLINK("https://www.spark-marketing.ru/Card/Lot/68728751", "Оказание услуг по оснащению объектов транспортной инфраструктуры техническими средствами обеспечения транспортной безопасности транспортной инфраструктуры")</f>
        <v>Оказание услуг по оснащению объектов транспортной инфраструктуры техническими средствами обеспечения транспортной безопасности транспортной инфраструктуры</v>
      </c>
      <c r="G12190" s="22" t="s">
        <v>50</v>
      </c>
      <c r="H12190" s="22" t="s">
        <v>569</v>
      </c>
      <c r="I12190" s="26">
        <v>43539.402083333298</v>
      </c>
      <c r="J12190" s="28" t="s">
        <v>52</v>
      </c>
      <c r="K12190" s="28" t="s">
        <v>52</v>
      </c>
      <c r="L12190" s="28" t="s">
        <v>52</v>
      </c>
      <c r="M12190" s="28" t="s">
        <v>52</v>
      </c>
      <c r="N12190" s="28" t="s">
        <v>52</v>
      </c>
    </row>
    <row r="12191" spans="1:14" hidden="1" outlineLevel="1" x14ac:dyDescent="0.2">
      <c r="A12191" s="23" t="str">
        <f t="shared" si="630"/>
        <v>МУП "ПОДОЛЬСКИЙ ТРОЛЛЕЙБУС"</v>
      </c>
      <c r="B12191" s="24" t="s">
        <v>14519</v>
      </c>
      <c r="C12191" s="25">
        <v>9082929.6699999999</v>
      </c>
      <c r="D12191" s="22" t="s">
        <v>14520</v>
      </c>
      <c r="E12191" s="22" t="s">
        <v>84</v>
      </c>
      <c r="F12191" s="23" t="str">
        <f t="shared" si="631"/>
        <v>Оказание услуг по оснащению объектов транспортной инфраструктуры техническими средствами обеспечения транспортной безопасности транспортной инфраструктуры</v>
      </c>
      <c r="G12191" s="22" t="s">
        <v>50</v>
      </c>
      <c r="H12191" s="22" t="s">
        <v>569</v>
      </c>
      <c r="I12191" s="26">
        <v>43539.402083333298</v>
      </c>
      <c r="J12191" s="23" t="str">
        <f>HYPERLINK("https://www.spark-marketing.ru/Card/Person/4517991", "ООО ""АКБ""")</f>
        <v>ООО "АКБ"</v>
      </c>
      <c r="K12191" s="24" t="s">
        <v>14521</v>
      </c>
      <c r="L12191" s="28" t="s">
        <v>52</v>
      </c>
      <c r="M12191" s="25">
        <v>7902148.7699999996</v>
      </c>
      <c r="N12191" s="27">
        <v>0.13000000472314568</v>
      </c>
    </row>
    <row r="12192" spans="1:14" ht="12.75" hidden="1" outlineLevel="1" x14ac:dyDescent="0.2">
      <c r="A12192" s="23" t="str">
        <f t="shared" si="630"/>
        <v>МУП "ПОДОЛЬСКИЙ ТРОЛЛЕЙБУС"</v>
      </c>
      <c r="B12192" s="24" t="s">
        <v>14519</v>
      </c>
      <c r="C12192" s="25">
        <v>9082929.6699999999</v>
      </c>
      <c r="D12192" s="22" t="s">
        <v>14520</v>
      </c>
      <c r="E12192" s="22" t="s">
        <v>84</v>
      </c>
      <c r="F12192" s="23" t="str">
        <f t="shared" si="631"/>
        <v>Оказание услуг по оснащению объектов транспортной инфраструктуры техническими средствами обеспечения транспортной безопасности транспортной инфраструктуры</v>
      </c>
      <c r="G12192" s="22" t="s">
        <v>50</v>
      </c>
      <c r="H12192" s="22" t="s">
        <v>569</v>
      </c>
      <c r="I12192" s="26">
        <v>43539.402083333298</v>
      </c>
      <c r="J12192" s="23" t="str">
        <f>HYPERLINK("https://www.spark-marketing.ru/Card/Person/6202649", "ООО ""КЛЕВЕР""")</f>
        <v>ООО "КЛЕВЕР"</v>
      </c>
      <c r="K12192" s="24" t="s">
        <v>4548</v>
      </c>
      <c r="L12192" s="22" t="s">
        <v>10</v>
      </c>
      <c r="M12192" s="25">
        <v>2134488.6800000002</v>
      </c>
      <c r="N12192" s="27">
        <v>0.76499997714944323</v>
      </c>
    </row>
    <row r="12193" spans="1:14" hidden="1" outlineLevel="1" x14ac:dyDescent="0.2">
      <c r="A12193" s="23" t="str">
        <f t="shared" si="630"/>
        <v>МУП "ПОДОЛЬСКИЙ ТРОЛЛЕЙБУС"</v>
      </c>
      <c r="B12193" s="24" t="s">
        <v>14519</v>
      </c>
      <c r="C12193" s="25">
        <v>9082929.6699999999</v>
      </c>
      <c r="D12193" s="22" t="s">
        <v>14520</v>
      </c>
      <c r="E12193" s="22" t="s">
        <v>84</v>
      </c>
      <c r="F12193" s="23" t="str">
        <f t="shared" si="631"/>
        <v>Оказание услуг по оснащению объектов транспортной инфраструктуры техническими средствами обеспечения транспортной безопасности транспортной инфраструктуры</v>
      </c>
      <c r="G12193" s="22" t="s">
        <v>50</v>
      </c>
      <c r="H12193" s="22" t="s">
        <v>569</v>
      </c>
      <c r="I12193" s="26">
        <v>43539.402083333298</v>
      </c>
      <c r="J12193" s="23" t="str">
        <f>HYPERLINK("https://www.spark-marketing.ru/Card/Person/1978058", "ООО ""ФОРМУЛА БЕЗОПАСНОСТИ ТРАНСПОРТА""")</f>
        <v>ООО "ФОРМУЛА БЕЗОПАСНОСТИ ТРАНСПОРТА"</v>
      </c>
      <c r="K12193" s="24" t="s">
        <v>3385</v>
      </c>
      <c r="L12193" s="28" t="s">
        <v>52</v>
      </c>
      <c r="M12193" s="25">
        <v>5000000</v>
      </c>
      <c r="N12193" s="27">
        <v>0.44951682093119188</v>
      </c>
    </row>
    <row r="12194" spans="1:14" hidden="1" outlineLevel="1" x14ac:dyDescent="0.2">
      <c r="A12194" s="23" t="str">
        <f t="shared" si="630"/>
        <v>МУП "ПОДОЛЬСКИЙ ТРОЛЛЕЙБУС"</v>
      </c>
      <c r="B12194" s="24" t="s">
        <v>14519</v>
      </c>
      <c r="C12194" s="25">
        <v>9082929.6699999999</v>
      </c>
      <c r="D12194" s="22" t="s">
        <v>14520</v>
      </c>
      <c r="E12194" s="22" t="s">
        <v>84</v>
      </c>
      <c r="F12194" s="23" t="str">
        <f t="shared" si="631"/>
        <v>Оказание услуг по оснащению объектов транспортной инфраструктуры техническими средствами обеспечения транспортной безопасности транспортной инфраструктуры</v>
      </c>
      <c r="G12194" s="22" t="s">
        <v>50</v>
      </c>
      <c r="H12194" s="22" t="s">
        <v>569</v>
      </c>
      <c r="I12194" s="26">
        <v>43539.402083333298</v>
      </c>
      <c r="J12194" s="23" t="str">
        <f>HYPERLINK("https://www.spark-marketing.ru/Card/Person/4945394", "ООО ""ЕМ ГРУПП""")</f>
        <v>ООО "ЕМ ГРУПП"</v>
      </c>
      <c r="K12194" s="24" t="s">
        <v>14522</v>
      </c>
      <c r="L12194" s="28" t="s">
        <v>52</v>
      </c>
      <c r="M12194" s="25">
        <v>5495172.3399999999</v>
      </c>
      <c r="N12194" s="27">
        <v>0.39500001214916375</v>
      </c>
    </row>
    <row r="12195" spans="1:14" hidden="1" outlineLevel="1" x14ac:dyDescent="0.2">
      <c r="A12195" s="23" t="str">
        <f t="shared" si="630"/>
        <v>МУП "ПОДОЛЬСКИЙ ТРОЛЛЕЙБУС"</v>
      </c>
      <c r="B12195" s="24" t="s">
        <v>14519</v>
      </c>
      <c r="C12195" s="25">
        <v>9082929.6699999999</v>
      </c>
      <c r="D12195" s="22" t="s">
        <v>14520</v>
      </c>
      <c r="E12195" s="22" t="s">
        <v>84</v>
      </c>
      <c r="F12195" s="23" t="str">
        <f t="shared" si="631"/>
        <v>Оказание услуг по оснащению объектов транспортной инфраструктуры техническими средствами обеспечения транспортной безопасности транспортной инфраструктуры</v>
      </c>
      <c r="G12195" s="22" t="s">
        <v>50</v>
      </c>
      <c r="H12195" s="22" t="s">
        <v>569</v>
      </c>
      <c r="I12195" s="26">
        <v>43539.402083333298</v>
      </c>
      <c r="J12195" s="23" t="str">
        <f>HYPERLINK("https://www.spark-marketing.ru/Card/Person/4022027", "ООО ""ПРОСТЫЕ РЕШЕНИЯ""")</f>
        <v>ООО "ПРОСТЫЕ РЕШЕНИЯ"</v>
      </c>
      <c r="K12195" s="24" t="s">
        <v>14523</v>
      </c>
      <c r="L12195" s="28" t="s">
        <v>52</v>
      </c>
      <c r="M12195" s="25">
        <v>2179903.33</v>
      </c>
      <c r="N12195" s="27">
        <v>0.75999997696778376</v>
      </c>
    </row>
    <row r="12196" spans="1:14" hidden="1" outlineLevel="1" x14ac:dyDescent="0.2">
      <c r="A12196" s="23" t="str">
        <f t="shared" si="630"/>
        <v>МУП "ПОДОЛЬСКИЙ ТРОЛЛЕЙБУС"</v>
      </c>
      <c r="B12196" s="24" t="s">
        <v>14519</v>
      </c>
      <c r="C12196" s="25">
        <v>9082929.6699999999</v>
      </c>
      <c r="D12196" s="22" t="s">
        <v>14520</v>
      </c>
      <c r="E12196" s="22" t="s">
        <v>84</v>
      </c>
      <c r="F12196" s="23" t="str">
        <f t="shared" si="631"/>
        <v>Оказание услуг по оснащению объектов транспортной инфраструктуры техническими средствами обеспечения транспортной безопасности транспортной инфраструктуры</v>
      </c>
      <c r="G12196" s="22" t="s">
        <v>50</v>
      </c>
      <c r="H12196" s="22" t="s">
        <v>569</v>
      </c>
      <c r="I12196" s="26">
        <v>43539.402083333298</v>
      </c>
      <c r="J12196" s="23" t="str">
        <f>HYPERLINK("https://www.spark-marketing.ru/Card/Person/5823345", "ООО ""РТС""")</f>
        <v>ООО "РТС"</v>
      </c>
      <c r="K12196" s="24" t="s">
        <v>10955</v>
      </c>
      <c r="L12196" s="28" t="s">
        <v>52</v>
      </c>
      <c r="M12196" s="25">
        <v>3088196.33</v>
      </c>
      <c r="N12196" s="27">
        <v>0.65999997333459481</v>
      </c>
    </row>
    <row r="12197" spans="1:14" hidden="1" outlineLevel="1" x14ac:dyDescent="0.2">
      <c r="A12197" s="23" t="str">
        <f t="shared" si="630"/>
        <v>МУП "ПОДОЛЬСКИЙ ТРОЛЛЕЙБУС"</v>
      </c>
      <c r="B12197" s="24" t="s">
        <v>14519</v>
      </c>
      <c r="C12197" s="25">
        <v>9082929.6699999999</v>
      </c>
      <c r="D12197" s="22" t="s">
        <v>14520</v>
      </c>
      <c r="E12197" s="22" t="s">
        <v>84</v>
      </c>
      <c r="F12197" s="23" t="str">
        <f t="shared" si="631"/>
        <v>Оказание услуг по оснащению объектов транспортной инфраструктуры техническими средствами обеспечения транспортной безопасности транспортной инфраструктуры</v>
      </c>
      <c r="G12197" s="22" t="s">
        <v>50</v>
      </c>
      <c r="H12197" s="22" t="s">
        <v>569</v>
      </c>
      <c r="I12197" s="26">
        <v>43539.402083333298</v>
      </c>
      <c r="J12197" s="23" t="str">
        <f>HYPERLINK("https://www.spark-marketing.ru/Card/Person/2576628", "ООО ""АЛЬТЕРА""")</f>
        <v>ООО "АЛЬТЕРА"</v>
      </c>
      <c r="K12197" s="24" t="s">
        <v>1718</v>
      </c>
      <c r="L12197" s="28" t="s">
        <v>52</v>
      </c>
      <c r="M12197" s="25">
        <v>5400000</v>
      </c>
      <c r="N12197" s="27">
        <v>0.40547816660568725</v>
      </c>
    </row>
    <row r="12198" spans="1:14" x14ac:dyDescent="0.15">
      <c r="A12198" s="23" t="str">
        <f>HYPERLINK("https://www.spark-marketing.ru/Card/Person/83965", "МДОУ №17")</f>
        <v>МДОУ №17</v>
      </c>
      <c r="B12198" s="24" t="s">
        <v>14524</v>
      </c>
      <c r="C12198" s="25">
        <v>50256</v>
      </c>
      <c r="D12198" s="22" t="s">
        <v>14525</v>
      </c>
      <c r="E12198" s="22" t="s">
        <v>107</v>
      </c>
      <c r="F12198" s="23" t="str">
        <f>HYPERLINK("https://www.spark-marketing.ru/Card/Lot/68720623", "Услуги по техническому обслуживанию комплекса технических средств охраны на объектах и технологическому обеспечению работоспособности оконечного устройства систем передачи извещений")</f>
        <v>Услуги по техническому обслуживанию комплекса технических средств охраны на объектах и технологическому обеспечению работоспособности оконечного устройства систем передачи извещений</v>
      </c>
      <c r="G12198" s="22" t="s">
        <v>50</v>
      </c>
      <c r="H12198" s="22" t="s">
        <v>295</v>
      </c>
      <c r="I12198" s="26">
        <v>43539.367349537002</v>
      </c>
      <c r="J12198" s="28" t="s">
        <v>52</v>
      </c>
      <c r="K12198" s="28" t="s">
        <v>52</v>
      </c>
      <c r="L12198" s="28" t="s">
        <v>52</v>
      </c>
      <c r="M12198" s="28" t="s">
        <v>52</v>
      </c>
      <c r="N12198" s="28" t="s">
        <v>52</v>
      </c>
    </row>
    <row r="12199" spans="1:14" x14ac:dyDescent="0.15">
      <c r="A12199" s="23" t="str">
        <f t="shared" ref="A12199:A12205" si="632">HYPERLINK("https://www.spark-marketing.ru/Card/Person/658", "ГКУ НО ""ГУАД""")</f>
        <v>ГКУ НО "ГУАД"</v>
      </c>
      <c r="B12199" s="24" t="s">
        <v>3382</v>
      </c>
      <c r="C12199" s="25">
        <v>5800000</v>
      </c>
      <c r="D12199" s="22" t="s">
        <v>14526</v>
      </c>
      <c r="E12199" s="22" t="s">
        <v>491</v>
      </c>
      <c r="F12199" s="23" t="str">
        <f t="shared" ref="F12199:F12205" si="633">HYPERLINK("https://www.spark-marketing.ru/Card/Lot/68720463", "Разработка и корректировка планов обеспечения транспортной безопасности объектов транспортной инфраструктуры на автомобильных дорогах общего пользования регионального или межмуниципального значения Нижегородской области")</f>
        <v>Разработка и корректировка планов обеспечения транспортной безопасности объектов транспортной инфраструктуры на автомобильных дорогах общего пользования регионального или межмуниципального значения Нижегородской области</v>
      </c>
      <c r="G12199" s="22" t="s">
        <v>64</v>
      </c>
      <c r="H12199" s="22" t="s">
        <v>65</v>
      </c>
      <c r="I12199" s="26">
        <v>43539.337500000001</v>
      </c>
      <c r="J12199" s="28" t="s">
        <v>52</v>
      </c>
      <c r="K12199" s="28" t="s">
        <v>52</v>
      </c>
      <c r="L12199" s="28" t="s">
        <v>52</v>
      </c>
      <c r="M12199" s="28" t="s">
        <v>52</v>
      </c>
      <c r="N12199" s="28" t="s">
        <v>52</v>
      </c>
    </row>
    <row r="12200" spans="1:14" hidden="1" outlineLevel="1" x14ac:dyDescent="0.2">
      <c r="A12200" s="23" t="str">
        <f t="shared" si="632"/>
        <v>ГКУ НО "ГУАД"</v>
      </c>
      <c r="B12200" s="24" t="s">
        <v>3382</v>
      </c>
      <c r="C12200" s="25">
        <v>5800000</v>
      </c>
      <c r="D12200" s="22" t="s">
        <v>14526</v>
      </c>
      <c r="E12200" s="22" t="s">
        <v>491</v>
      </c>
      <c r="F12200" s="23" t="str">
        <f t="shared" si="633"/>
        <v>Разработка и корректировка планов обеспечения транспортной безопасности объектов транспортной инфраструктуры на автомобильных дорогах общего пользования регионального или межмуниципального значения Нижегородской области</v>
      </c>
      <c r="G12200" s="22" t="s">
        <v>64</v>
      </c>
      <c r="H12200" s="22" t="s">
        <v>65</v>
      </c>
      <c r="I12200" s="26">
        <v>43539.337500000001</v>
      </c>
      <c r="J12200" s="23" t="str">
        <f>HYPERLINK("https://www.spark-marketing.ru/Card/Person/90111", "ООО ""АЙ ДИ КОНСАЛТИНГ""")</f>
        <v>ООО "АЙ ДИ КОНСАЛТИНГ"</v>
      </c>
      <c r="K12200" s="24" t="s">
        <v>2498</v>
      </c>
      <c r="L12200" s="28" t="s">
        <v>52</v>
      </c>
      <c r="M12200" s="25">
        <v>2320000</v>
      </c>
      <c r="N12200" s="27">
        <v>0.6</v>
      </c>
    </row>
    <row r="12201" spans="1:14" ht="12.75" hidden="1" outlineLevel="1" x14ac:dyDescent="0.2">
      <c r="A12201" s="23" t="str">
        <f t="shared" si="632"/>
        <v>ГКУ НО "ГУАД"</v>
      </c>
      <c r="B12201" s="24" t="s">
        <v>3382</v>
      </c>
      <c r="C12201" s="25">
        <v>5800000</v>
      </c>
      <c r="D12201" s="22" t="s">
        <v>14526</v>
      </c>
      <c r="E12201" s="22" t="s">
        <v>491</v>
      </c>
      <c r="F12201" s="23" t="str">
        <f t="shared" si="633"/>
        <v>Разработка и корректировка планов обеспечения транспортной безопасности объектов транспортной инфраструктуры на автомобильных дорогах общего пользования регионального или межмуниципального значения Нижегородской области</v>
      </c>
      <c r="G12201" s="22" t="s">
        <v>64</v>
      </c>
      <c r="H12201" s="22" t="s">
        <v>65</v>
      </c>
      <c r="I12201" s="26">
        <v>43539.337500000001</v>
      </c>
      <c r="J12201" s="23" t="str">
        <f>HYPERLINK("https://www.spark-marketing.ru/Card/Person/1978058", "ООО ""ФОРМУЛА БЕЗОПАСНОСТИ ТРАНСПОРТА""")</f>
        <v>ООО "ФОРМУЛА БЕЗОПАСНОСТИ ТРАНСПОРТА"</v>
      </c>
      <c r="K12201" s="24" t="s">
        <v>3385</v>
      </c>
      <c r="L12201" s="22" t="s">
        <v>10</v>
      </c>
      <c r="M12201" s="25">
        <v>2030000</v>
      </c>
      <c r="N12201" s="27">
        <v>0.65</v>
      </c>
    </row>
    <row r="12202" spans="1:14" hidden="1" outlineLevel="1" x14ac:dyDescent="0.2">
      <c r="A12202" s="23" t="str">
        <f t="shared" si="632"/>
        <v>ГКУ НО "ГУАД"</v>
      </c>
      <c r="B12202" s="24" t="s">
        <v>3382</v>
      </c>
      <c r="C12202" s="25">
        <v>5800000</v>
      </c>
      <c r="D12202" s="22" t="s">
        <v>14526</v>
      </c>
      <c r="E12202" s="22" t="s">
        <v>491</v>
      </c>
      <c r="F12202" s="23" t="str">
        <f t="shared" si="633"/>
        <v>Разработка и корректировка планов обеспечения транспортной безопасности объектов транспортной инфраструктуры на автомобильных дорогах общего пользования регионального или межмуниципального значения Нижегородской области</v>
      </c>
      <c r="G12202" s="22" t="s">
        <v>64</v>
      </c>
      <c r="H12202" s="22" t="s">
        <v>65</v>
      </c>
      <c r="I12202" s="26">
        <v>43539.337500000001</v>
      </c>
      <c r="J12202" s="23" t="str">
        <f>HYPERLINK("https://www.spark-marketing.ru/Card/Person/20706", "ООО ""ЦВБ""")</f>
        <v>ООО "ЦВБ"</v>
      </c>
      <c r="K12202" s="24" t="s">
        <v>2872</v>
      </c>
      <c r="L12202" s="28" t="s">
        <v>52</v>
      </c>
      <c r="M12202" s="25">
        <v>5800000</v>
      </c>
      <c r="N12202" s="27">
        <v>0</v>
      </c>
    </row>
    <row r="12203" spans="1:14" hidden="1" outlineLevel="1" x14ac:dyDescent="0.2">
      <c r="A12203" s="23" t="str">
        <f t="shared" si="632"/>
        <v>ГКУ НО "ГУАД"</v>
      </c>
      <c r="B12203" s="24" t="s">
        <v>3382</v>
      </c>
      <c r="C12203" s="25">
        <v>5800000</v>
      </c>
      <c r="D12203" s="22" t="s">
        <v>14526</v>
      </c>
      <c r="E12203" s="22" t="s">
        <v>491</v>
      </c>
      <c r="F12203" s="23" t="str">
        <f t="shared" si="633"/>
        <v>Разработка и корректировка планов обеспечения транспортной безопасности объектов транспортной инфраструктуры на автомобильных дорогах общего пользования регионального или межмуниципального значения Нижегородской области</v>
      </c>
      <c r="G12203" s="22" t="s">
        <v>64</v>
      </c>
      <c r="H12203" s="22" t="s">
        <v>65</v>
      </c>
      <c r="I12203" s="26">
        <v>43539.337500000001</v>
      </c>
      <c r="J12203" s="23" t="str">
        <f>HYPERLINK("https://www.spark-marketing.ru/Card/Person/25906", "АО ""ПСТМ""")</f>
        <v>АО "ПСТМ"</v>
      </c>
      <c r="K12203" s="24" t="s">
        <v>2241</v>
      </c>
      <c r="L12203" s="28" t="s">
        <v>52</v>
      </c>
      <c r="M12203" s="25">
        <v>2600000</v>
      </c>
      <c r="N12203" s="27">
        <v>0.55172413793103448</v>
      </c>
    </row>
    <row r="12204" spans="1:14" hidden="1" outlineLevel="1" x14ac:dyDescent="0.2">
      <c r="A12204" s="23" t="str">
        <f t="shared" si="632"/>
        <v>ГКУ НО "ГУАД"</v>
      </c>
      <c r="B12204" s="24" t="s">
        <v>3382</v>
      </c>
      <c r="C12204" s="25">
        <v>5800000</v>
      </c>
      <c r="D12204" s="22" t="s">
        <v>14526</v>
      </c>
      <c r="E12204" s="22" t="s">
        <v>491</v>
      </c>
      <c r="F12204" s="23" t="str">
        <f t="shared" si="633"/>
        <v>Разработка и корректировка планов обеспечения транспортной безопасности объектов транспортной инфраструктуры на автомобильных дорогах общего пользования регионального или межмуниципального значения Нижегородской области</v>
      </c>
      <c r="G12204" s="22" t="s">
        <v>64</v>
      </c>
      <c r="H12204" s="22" t="s">
        <v>65</v>
      </c>
      <c r="I12204" s="26">
        <v>43539.337500000001</v>
      </c>
      <c r="J12204" s="23" t="str">
        <f>HYPERLINK("https://www.spark-marketing.ru/Card/Person/6514996", "СРЕДНЕВОЛЖСКИЙ ФЛ ФГУП УПРАВЛЕНИЕ ВЕДОМСТВЕННОЙ ОХРАНЫ МИНИСТЕРСТВА ТРАНСПОРТА РФ")</f>
        <v>СРЕДНЕВОЛЖСКИЙ ФЛ ФГУП УПРАВЛЕНИЕ ВЕДОМСТВЕННОЙ ОХРАНЫ МИНИСТЕРСТВА ТРАНСПОРТА РФ</v>
      </c>
      <c r="K12204" s="24" t="s">
        <v>1472</v>
      </c>
      <c r="L12204" s="28" t="s">
        <v>52</v>
      </c>
      <c r="M12204" s="25">
        <v>4700000</v>
      </c>
      <c r="N12204" s="27">
        <v>0.18965517241379309</v>
      </c>
    </row>
    <row r="12205" spans="1:14" hidden="1" outlineLevel="1" x14ac:dyDescent="0.2">
      <c r="A12205" s="23" t="str">
        <f t="shared" si="632"/>
        <v>ГКУ НО "ГУАД"</v>
      </c>
      <c r="B12205" s="24" t="s">
        <v>3382</v>
      </c>
      <c r="C12205" s="25">
        <v>5800000</v>
      </c>
      <c r="D12205" s="22" t="s">
        <v>14526</v>
      </c>
      <c r="E12205" s="22" t="s">
        <v>491</v>
      </c>
      <c r="F12205" s="23" t="str">
        <f t="shared" si="633"/>
        <v>Разработка и корректировка планов обеспечения транспортной безопасности объектов транспортной инфраструктуры на автомобильных дорогах общего пользования регионального или межмуниципального значения Нижегородской области</v>
      </c>
      <c r="G12205" s="22" t="s">
        <v>64</v>
      </c>
      <c r="H12205" s="22" t="s">
        <v>65</v>
      </c>
      <c r="I12205" s="26">
        <v>43539.337500000001</v>
      </c>
      <c r="J12205" s="23" t="str">
        <f>HYPERLINK("https://www.spark-marketing.ru/Card/Person/81571", "ООО ""СО ""АНТИТЕРРОР""")</f>
        <v>ООО "СО "АНТИТЕРРОР"</v>
      </c>
      <c r="K12205" s="24" t="s">
        <v>3384</v>
      </c>
      <c r="L12205" s="28" t="s">
        <v>52</v>
      </c>
      <c r="M12205" s="25">
        <v>5790000</v>
      </c>
      <c r="N12205" s="27">
        <v>1.7241379310344827E-3</v>
      </c>
    </row>
    <row r="12206" spans="1:14" ht="12.75" x14ac:dyDescent="0.2">
      <c r="A12206" s="23" t="str">
        <f>HYPERLINK("https://www.spark-marketing.ru/Card/Person/369051", "ГАУЗ ПО ""СП""")</f>
        <v>ГАУЗ ПО "СП"</v>
      </c>
      <c r="B12206" s="24" t="s">
        <v>14527</v>
      </c>
      <c r="C12206" s="25">
        <v>857825</v>
      </c>
      <c r="D12206" s="22" t="s">
        <v>14528</v>
      </c>
      <c r="E12206" s="22" t="s">
        <v>3608</v>
      </c>
      <c r="F12206" s="23" t="str">
        <f>HYPERLINK("https://www.spark-marketing.ru/Card/Lot/68714733", "Оказание услуг по охране (физическая охрана, услуги охраны с помощью тревожной кнопки) объекта ГАУЗ ПО «СП»")</f>
        <v>Оказание услуг по охране (физическая охрана, услуги охраны с помощью тревожной кнопки) объекта ГАУЗ ПО «СП»</v>
      </c>
      <c r="G12206" s="22" t="s">
        <v>142</v>
      </c>
      <c r="H12206" s="22" t="s">
        <v>2320</v>
      </c>
      <c r="I12206" s="26">
        <v>43538.942002314798</v>
      </c>
      <c r="J12206" s="23" t="str">
        <f>HYPERLINK("https://www.spark-marketing.ru/Card/Person/619457", "ООО ЧОО ""ВЫМПЕЛ""")</f>
        <v>ООО ЧОО "ВЫМПЕЛ"</v>
      </c>
      <c r="K12206" s="24" t="s">
        <v>8516</v>
      </c>
      <c r="L12206" s="22" t="s">
        <v>10</v>
      </c>
      <c r="M12206" s="25">
        <v>679320</v>
      </c>
      <c r="N12206" s="27">
        <v>0.20809022819339609</v>
      </c>
    </row>
    <row r="12207" spans="1:14" x14ac:dyDescent="0.15">
      <c r="A12207" s="23" t="str">
        <f>HYPERLINK("https://www.spark-marketing.ru/Card/Person/37118", "Межрегиональный филиал ФКУ ""ЦОКР"" в г.Владимире")</f>
        <v>Межрегиональный филиал ФКУ "ЦОКР" в г.Владимире</v>
      </c>
      <c r="B12207" s="24" t="s">
        <v>962</v>
      </c>
      <c r="C12207" s="25">
        <v>47934.720000000001</v>
      </c>
      <c r="D12207" s="22" t="s">
        <v>14529</v>
      </c>
      <c r="E12207" s="22" t="s">
        <v>53</v>
      </c>
      <c r="F12207" s="23" t="str">
        <f>HYPERLINK("https://www.spark-marketing.ru/Card/Lot/70795337", "Оказание услуг по пультовой охране с использованием тревожной сигнализации для обеспечения нужд Управления Федерального казначейства по Белгородской области")</f>
        <v>Оказание услуг по пультовой охране с использованием тревожной сигнализации для обеспечения нужд Управления Федерального казначейства по Белгородской области</v>
      </c>
      <c r="G12207" s="22" t="s">
        <v>340</v>
      </c>
      <c r="H12207" s="22" t="s">
        <v>11990</v>
      </c>
      <c r="I12207" s="26">
        <v>43538.849861111099</v>
      </c>
      <c r="J12207" s="28" t="s">
        <v>52</v>
      </c>
      <c r="K12207" s="28" t="s">
        <v>52</v>
      </c>
      <c r="L12207" s="28" t="s">
        <v>52</v>
      </c>
      <c r="M12207" s="28" t="s">
        <v>52</v>
      </c>
      <c r="N12207" s="28" t="s">
        <v>52</v>
      </c>
    </row>
    <row r="12208" spans="1:14" x14ac:dyDescent="0.15">
      <c r="A12208" s="23" t="str">
        <f>HYPERLINK("https://www.spark-marketing.ru/Card/Person/4372847", "МБОУ ""ТАВРИЧЕСКАЯ ШКОЛА-ГИМНАЗИЯ №20 ИМ. СВТ. ЛУКИ"" Г. СИМФЕРОПОЛЯ")</f>
        <v>МБОУ "ТАВРИЧЕСКАЯ ШКОЛА-ГИМНАЗИЯ №20 ИМ. СВТ. ЛУКИ" Г. СИМФЕРОПОЛЯ</v>
      </c>
      <c r="B12208" s="24" t="s">
        <v>14530</v>
      </c>
      <c r="C12208" s="25">
        <v>60000</v>
      </c>
      <c r="D12208" s="22" t="s">
        <v>14531</v>
      </c>
      <c r="E12208" s="22" t="s">
        <v>103</v>
      </c>
      <c r="F12208" s="23" t="str">
        <f>HYPERLINK("https://www.spark-marketing.ru/Card/Lot/68712875", "Оказание услуг по техническому обслуживанию системы видеонаблюдения январь-декабрь 2019 года")</f>
        <v>Оказание услуг по техническому обслуживанию системы видеонаблюдения январь-декабрь 2019 года</v>
      </c>
      <c r="G12208" s="22" t="s">
        <v>1053</v>
      </c>
      <c r="H12208" s="22" t="s">
        <v>3239</v>
      </c>
      <c r="I12208" s="26">
        <v>43538.833333333299</v>
      </c>
      <c r="J12208" s="28" t="s">
        <v>52</v>
      </c>
      <c r="K12208" s="28" t="s">
        <v>52</v>
      </c>
      <c r="L12208" s="28" t="s">
        <v>52</v>
      </c>
      <c r="M12208" s="28" t="s">
        <v>52</v>
      </c>
      <c r="N12208" s="28" t="s">
        <v>52</v>
      </c>
    </row>
    <row r="12209" spans="1:14" x14ac:dyDescent="0.15">
      <c r="A12209" s="23" t="str">
        <f>HYPERLINK("https://www.spark-marketing.ru/Card/Person/1003739", "МБУК ГОЩ ЩЦБ")</f>
        <v>МБУК ГОЩ ЩЦБ</v>
      </c>
      <c r="B12209" s="24" t="s">
        <v>14532</v>
      </c>
      <c r="C12209" s="25">
        <v>74400</v>
      </c>
      <c r="D12209" s="22" t="s">
        <v>14533</v>
      </c>
      <c r="E12209" s="22" t="s">
        <v>103</v>
      </c>
      <c r="F12209" s="23" t="str">
        <f>HYPERLINK("https://www.spark-marketing.ru/Card/Lot/68711808", "Оказание услуг по техническому обслуживанию систем видеонаблюдения")</f>
        <v>Оказание услуг по техническому обслуживанию систем видеонаблюдения</v>
      </c>
      <c r="G12209" s="22" t="s">
        <v>50</v>
      </c>
      <c r="H12209" s="22" t="s">
        <v>458</v>
      </c>
      <c r="I12209" s="26">
        <v>43538.744444444397</v>
      </c>
      <c r="J12209" s="28" t="s">
        <v>52</v>
      </c>
      <c r="K12209" s="28" t="s">
        <v>52</v>
      </c>
      <c r="L12209" s="28" t="s">
        <v>52</v>
      </c>
      <c r="M12209" s="28" t="s">
        <v>52</v>
      </c>
      <c r="N12209" s="28" t="s">
        <v>52</v>
      </c>
    </row>
    <row r="12210" spans="1:14" hidden="1" outlineLevel="1" x14ac:dyDescent="0.2">
      <c r="A12210" s="23" t="str">
        <f>HYPERLINK("https://www.spark-marketing.ru/Card/Person/1003739", "МБУК ГОЩ ЩЦБ")</f>
        <v>МБУК ГОЩ ЩЦБ</v>
      </c>
      <c r="B12210" s="24" t="s">
        <v>14532</v>
      </c>
      <c r="C12210" s="25">
        <v>74400</v>
      </c>
      <c r="D12210" s="22" t="s">
        <v>14533</v>
      </c>
      <c r="E12210" s="22" t="s">
        <v>103</v>
      </c>
      <c r="F12210" s="23" t="str">
        <f>HYPERLINK("https://www.spark-marketing.ru/Card/Lot/68711808", "Оказание услуг по техническому обслуживанию систем видеонаблюдения")</f>
        <v>Оказание услуг по техническому обслуживанию систем видеонаблюдения</v>
      </c>
      <c r="G12210" s="22" t="s">
        <v>50</v>
      </c>
      <c r="H12210" s="22" t="s">
        <v>458</v>
      </c>
      <c r="I12210" s="26">
        <v>43538.744444444397</v>
      </c>
      <c r="J12210" s="23" t="str">
        <f>HYPERLINK("https://www.spark-marketing.ru/Card/Person/680814", "ООО ""СИГНАЛ-СЕРВИС""")</f>
        <v>ООО "СИГНАЛ-СЕРВИС"</v>
      </c>
      <c r="K12210" s="24" t="s">
        <v>14534</v>
      </c>
      <c r="L12210" s="28" t="s">
        <v>52</v>
      </c>
      <c r="M12210" s="25">
        <v>39712.46</v>
      </c>
      <c r="N12210" s="27">
        <v>0.46623037634408604</v>
      </c>
    </row>
    <row r="12211" spans="1:14" hidden="1" outlineLevel="1" x14ac:dyDescent="0.2">
      <c r="A12211" s="23" t="str">
        <f>HYPERLINK("https://www.spark-marketing.ru/Card/Person/1003739", "МБУК ГОЩ ЩЦБ")</f>
        <v>МБУК ГОЩ ЩЦБ</v>
      </c>
      <c r="B12211" s="24" t="s">
        <v>14532</v>
      </c>
      <c r="C12211" s="25">
        <v>74400</v>
      </c>
      <c r="D12211" s="22" t="s">
        <v>14533</v>
      </c>
      <c r="E12211" s="22" t="s">
        <v>103</v>
      </c>
      <c r="F12211" s="23" t="str">
        <f>HYPERLINK("https://www.spark-marketing.ru/Card/Lot/68711808", "Оказание услуг по техническому обслуживанию систем видеонаблюдения")</f>
        <v>Оказание услуг по техническому обслуживанию систем видеонаблюдения</v>
      </c>
      <c r="G12211" s="22" t="s">
        <v>50</v>
      </c>
      <c r="H12211" s="22" t="s">
        <v>458</v>
      </c>
      <c r="I12211" s="26">
        <v>43538.744444444397</v>
      </c>
      <c r="J12211" s="23" t="str">
        <f>HYPERLINK("https://www.spark-marketing.ru/Card/Person/4360333", "Коновалов Игорь Алексеевич")</f>
        <v>Коновалов Игорь Алексеевич</v>
      </c>
      <c r="K12211" s="24" t="s">
        <v>14535</v>
      </c>
      <c r="L12211" s="28" t="s">
        <v>52</v>
      </c>
      <c r="M12211" s="25">
        <v>40000</v>
      </c>
      <c r="N12211" s="27">
        <v>0.46236559139784944</v>
      </c>
    </row>
    <row r="12212" spans="1:14" ht="12.75" hidden="1" outlineLevel="1" x14ac:dyDescent="0.2">
      <c r="A12212" s="23" t="str">
        <f>HYPERLINK("https://www.spark-marketing.ru/Card/Person/1003739", "МБУК ГОЩ ЩЦБ")</f>
        <v>МБУК ГОЩ ЩЦБ</v>
      </c>
      <c r="B12212" s="24" t="s">
        <v>14532</v>
      </c>
      <c r="C12212" s="25">
        <v>74400</v>
      </c>
      <c r="D12212" s="22" t="s">
        <v>14533</v>
      </c>
      <c r="E12212" s="22" t="s">
        <v>103</v>
      </c>
      <c r="F12212" s="23" t="str">
        <f>HYPERLINK("https://www.spark-marketing.ru/Card/Lot/68711808", "Оказание услуг по техническому обслуживанию систем видеонаблюдения")</f>
        <v>Оказание услуг по техническому обслуживанию систем видеонаблюдения</v>
      </c>
      <c r="G12212" s="22" t="s">
        <v>50</v>
      </c>
      <c r="H12212" s="22" t="s">
        <v>458</v>
      </c>
      <c r="I12212" s="26">
        <v>43538.744444444397</v>
      </c>
      <c r="J12212" s="23" t="str">
        <f>HYPERLINK("https://www.spark-marketing.ru/Card/Person/6316283", "Варзанова Екатерина Олеговна")</f>
        <v>Варзанова Екатерина Олеговна</v>
      </c>
      <c r="K12212" s="24" t="s">
        <v>2059</v>
      </c>
      <c r="L12212" s="22" t="s">
        <v>10</v>
      </c>
      <c r="M12212" s="25">
        <v>39712.46</v>
      </c>
      <c r="N12212" s="27">
        <v>0.46623037634408604</v>
      </c>
    </row>
    <row r="12213" spans="1:14" hidden="1" outlineLevel="1" x14ac:dyDescent="0.2">
      <c r="A12213" s="23" t="str">
        <f>HYPERLINK("https://www.spark-marketing.ru/Card/Person/1003739", "МБУК ГОЩ ЩЦБ")</f>
        <v>МБУК ГОЩ ЩЦБ</v>
      </c>
      <c r="B12213" s="24" t="s">
        <v>14532</v>
      </c>
      <c r="C12213" s="25">
        <v>74400</v>
      </c>
      <c r="D12213" s="22" t="s">
        <v>14533</v>
      </c>
      <c r="E12213" s="22" t="s">
        <v>103</v>
      </c>
      <c r="F12213" s="23" t="str">
        <f>HYPERLINK("https://www.spark-marketing.ru/Card/Lot/68711808", "Оказание услуг по техническому обслуживанию систем видеонаблюдения")</f>
        <v>Оказание услуг по техническому обслуживанию систем видеонаблюдения</v>
      </c>
      <c r="G12213" s="22" t="s">
        <v>50</v>
      </c>
      <c r="H12213" s="22" t="s">
        <v>458</v>
      </c>
      <c r="I12213" s="26">
        <v>43538.744444444397</v>
      </c>
      <c r="J12213" s="23" t="str">
        <f>HYPERLINK("https://www.spark-marketing.ru/Card/Person/6513002", "ООО ""КОНСАЛТНБ""")</f>
        <v>ООО "КОНСАЛТНБ"</v>
      </c>
      <c r="K12213" s="24" t="s">
        <v>14536</v>
      </c>
      <c r="L12213" s="28" t="s">
        <v>52</v>
      </c>
      <c r="M12213" s="25">
        <v>45000</v>
      </c>
      <c r="N12213" s="27">
        <v>0.39516129032258063</v>
      </c>
    </row>
    <row r="12214" spans="1:14" x14ac:dyDescent="0.15">
      <c r="A12214" s="23" t="str">
        <f>HYPERLINK("https://www.spark-marketing.ru/Card/Person/4361105", "АО ""БЭТ""")</f>
        <v>АО "БЭТ"</v>
      </c>
      <c r="B12214" s="24" t="s">
        <v>4253</v>
      </c>
      <c r="C12214" s="25">
        <v>0</v>
      </c>
      <c r="D12214" s="22" t="s">
        <v>14537</v>
      </c>
      <c r="E12214" s="22" t="s">
        <v>53</v>
      </c>
      <c r="F12214" s="23" t="str">
        <f>HYPERLINK("https://www.spark-marketing.ru/Card/Lot/68710442", "Оказание услуг по охране объектов для нужд Челябинского завода железобетонных шпал - филиала АО ""БЭТ""")</f>
        <v>Оказание услуг по охране объектов для нужд Челябинского завода железобетонных шпал - филиала АО "БЭТ"</v>
      </c>
      <c r="G12214" s="22" t="s">
        <v>55</v>
      </c>
      <c r="H12214" s="22" t="s">
        <v>55</v>
      </c>
      <c r="I12214" s="26">
        <v>43538.737152777801</v>
      </c>
      <c r="J12214" s="28" t="s">
        <v>52</v>
      </c>
      <c r="K12214" s="28" t="s">
        <v>52</v>
      </c>
      <c r="L12214" s="28" t="s">
        <v>52</v>
      </c>
      <c r="M12214" s="28" t="s">
        <v>52</v>
      </c>
      <c r="N12214" s="28" t="s">
        <v>52</v>
      </c>
    </row>
    <row r="12215" spans="1:14" x14ac:dyDescent="0.15">
      <c r="A12215" s="23" t="str">
        <f>HYPERLINK("https://www.spark-marketing.ru/Card/Person/1066130", "МБДОУ № 29")</f>
        <v>МБДОУ № 29</v>
      </c>
      <c r="B12215" s="24" t="s">
        <v>14538</v>
      </c>
      <c r="C12215" s="25">
        <v>47000</v>
      </c>
      <c r="D12215" s="22" t="s">
        <v>14539</v>
      </c>
      <c r="E12215" s="22" t="s">
        <v>107</v>
      </c>
      <c r="F12215" s="23" t="str">
        <f>HYPERLINK("https://www.spark-marketing.ru/Card/Lot/68710538", "услуги пультовой охраны с использованием тревожной кнопки")</f>
        <v>услуги пультовой охраны с использованием тревожной кнопки</v>
      </c>
      <c r="G12215" s="22" t="s">
        <v>50</v>
      </c>
      <c r="H12215" s="22" t="s">
        <v>432</v>
      </c>
      <c r="I12215" s="26">
        <v>43538.721747685202</v>
      </c>
      <c r="J12215" s="28" t="s">
        <v>52</v>
      </c>
      <c r="K12215" s="28" t="s">
        <v>52</v>
      </c>
      <c r="L12215" s="28" t="s">
        <v>52</v>
      </c>
      <c r="M12215" s="28" t="s">
        <v>52</v>
      </c>
      <c r="N12215" s="28" t="s">
        <v>52</v>
      </c>
    </row>
    <row r="12216" spans="1:14" x14ac:dyDescent="0.15">
      <c r="A12216" s="23" t="str">
        <f>HYPERLINK("https://www.spark-marketing.ru/Card/Person/23027", "БУЗОО ""КОРМИЛОВСКАЯ ЦРБ""")</f>
        <v>БУЗОО "КОРМИЛОВСКАЯ ЦРБ"</v>
      </c>
      <c r="B12216" s="24" t="s">
        <v>12982</v>
      </c>
      <c r="C12216" s="25">
        <v>6138</v>
      </c>
      <c r="D12216" s="22" t="s">
        <v>14540</v>
      </c>
      <c r="E12216" s="22" t="s">
        <v>68</v>
      </c>
      <c r="F12216" s="23" t="str">
        <f>HYPERLINK("https://www.spark-marketing.ru/Card/Lot/68704844", "Услуги по охране имущества путем осуществления контроля за состоянием средств тревожной сигнализации")</f>
        <v>Услуги по охране имущества путем осуществления контроля за состоянием средств тревожной сигнализации</v>
      </c>
      <c r="G12216" s="22" t="s">
        <v>521</v>
      </c>
      <c r="H12216" s="22" t="s">
        <v>12984</v>
      </c>
      <c r="I12216" s="26">
        <v>43538.7277777778</v>
      </c>
      <c r="J12216" s="28" t="s">
        <v>52</v>
      </c>
      <c r="K12216" s="28" t="s">
        <v>52</v>
      </c>
      <c r="L12216" s="28" t="s">
        <v>52</v>
      </c>
      <c r="M12216" s="28" t="s">
        <v>52</v>
      </c>
      <c r="N12216" s="28" t="s">
        <v>52</v>
      </c>
    </row>
    <row r="12217" spans="1:14" x14ac:dyDescent="0.15">
      <c r="A12217" s="23" t="str">
        <f>HYPERLINK("https://www.spark-marketing.ru/Card/Person/56867", "ГБ № 3")</f>
        <v>ГБ № 3</v>
      </c>
      <c r="B12217" s="24" t="s">
        <v>14541</v>
      </c>
      <c r="C12217" s="25">
        <v>30000</v>
      </c>
      <c r="D12217" s="22" t="s">
        <v>14542</v>
      </c>
      <c r="E12217" s="22" t="s">
        <v>103</v>
      </c>
      <c r="F12217" s="23" t="str">
        <f>HYPERLINK("https://www.spark-marketing.ru/Card/Lot/68711137", "Услуги по техническому обслуживанию систем видеонаблюдения")</f>
        <v>Услуги по техническому обслуживанию систем видеонаблюдения</v>
      </c>
      <c r="G12217" s="22" t="s">
        <v>247</v>
      </c>
      <c r="H12217" s="22" t="s">
        <v>576</v>
      </c>
      <c r="I12217" s="26">
        <v>43538.747916666704</v>
      </c>
      <c r="J12217" s="28" t="s">
        <v>52</v>
      </c>
      <c r="K12217" s="28" t="s">
        <v>52</v>
      </c>
      <c r="L12217" s="28" t="s">
        <v>52</v>
      </c>
      <c r="M12217" s="28" t="s">
        <v>52</v>
      </c>
      <c r="N12217" s="28" t="s">
        <v>52</v>
      </c>
    </row>
    <row r="12218" spans="1:14" x14ac:dyDescent="0.15">
      <c r="A12218" s="23" t="str">
        <f>HYPERLINK("https://www.spark-marketing.ru/Card/Person/23027", "БУЗОО ""КОРМИЛОВСКАЯ ЦРБ""")</f>
        <v>БУЗОО "КОРМИЛОВСКАЯ ЦРБ"</v>
      </c>
      <c r="B12218" s="24" t="s">
        <v>12982</v>
      </c>
      <c r="C12218" s="25">
        <v>21092.400000000001</v>
      </c>
      <c r="D12218" s="22" t="s">
        <v>14543</v>
      </c>
      <c r="E12218" s="22" t="s">
        <v>68</v>
      </c>
      <c r="F12218" s="23" t="str">
        <f>HYPERLINK("https://www.spark-marketing.ru/Card/Lot/68707021", "Услуги по охране имущества путем наблюдения за средствами охранной сигнализации, установленных с выводом на пульт централизованной охраны")</f>
        <v>Услуги по охране имущества путем наблюдения за средствами охранной сигнализации, установленных с выводом на пульт централизованной охраны</v>
      </c>
      <c r="G12218" s="22" t="s">
        <v>521</v>
      </c>
      <c r="H12218" s="22" t="s">
        <v>12984</v>
      </c>
      <c r="I12218" s="26">
        <v>43538.7277777778</v>
      </c>
      <c r="J12218" s="28" t="s">
        <v>52</v>
      </c>
      <c r="K12218" s="28" t="s">
        <v>52</v>
      </c>
      <c r="L12218" s="28" t="s">
        <v>52</v>
      </c>
      <c r="M12218" s="28" t="s">
        <v>52</v>
      </c>
      <c r="N12218" s="28" t="s">
        <v>52</v>
      </c>
    </row>
    <row r="12219" spans="1:14" x14ac:dyDescent="0.15">
      <c r="A12219" s="23" t="str">
        <f>HYPERLINK("https://www.spark-marketing.ru/Card/Person/1271", "ГБУЗ ""ООКПТД""")</f>
        <v>ГБУЗ "ООКПТД"</v>
      </c>
      <c r="B12219" s="24" t="s">
        <v>14544</v>
      </c>
      <c r="C12219" s="25">
        <v>129040</v>
      </c>
      <c r="D12219" s="22" t="s">
        <v>14545</v>
      </c>
      <c r="E12219" s="22" t="s">
        <v>107</v>
      </c>
      <c r="F12219" s="23" t="str">
        <f>HYPERLINK("https://www.spark-marketing.ru/Card/Lot/68706469", "На оказание услуг по техническому обслуживанию тревожной кнопки охранной сигнализации")</f>
        <v>На оказание услуг по техническому обслуживанию тревожной кнопки охранной сигнализации</v>
      </c>
      <c r="G12219" s="22" t="s">
        <v>384</v>
      </c>
      <c r="H12219" s="22" t="s">
        <v>696</v>
      </c>
      <c r="I12219" s="26">
        <v>43538.693749999999</v>
      </c>
      <c r="J12219" s="28" t="s">
        <v>52</v>
      </c>
      <c r="K12219" s="28" t="s">
        <v>52</v>
      </c>
      <c r="L12219" s="28" t="s">
        <v>52</v>
      </c>
      <c r="M12219" s="28" t="s">
        <v>52</v>
      </c>
      <c r="N12219" s="28" t="s">
        <v>52</v>
      </c>
    </row>
    <row r="12220" spans="1:14" ht="12.75" hidden="1" outlineLevel="1" x14ac:dyDescent="0.2">
      <c r="A12220" s="23" t="str">
        <f>HYPERLINK("https://www.spark-marketing.ru/Card/Person/1271", "ГБУЗ ""ООКПТД""")</f>
        <v>ГБУЗ "ООКПТД"</v>
      </c>
      <c r="B12220" s="24" t="s">
        <v>14544</v>
      </c>
      <c r="C12220" s="25">
        <v>129040</v>
      </c>
      <c r="D12220" s="22" t="s">
        <v>14545</v>
      </c>
      <c r="E12220" s="22" t="s">
        <v>107</v>
      </c>
      <c r="F12220" s="23" t="str">
        <f>HYPERLINK("https://www.spark-marketing.ru/Card/Lot/68706469", "На оказание услуг по техническому обслуживанию тревожной кнопки охранной сигнализации")</f>
        <v>На оказание услуг по техническому обслуживанию тревожной кнопки охранной сигнализации</v>
      </c>
      <c r="G12220" s="22" t="s">
        <v>384</v>
      </c>
      <c r="H12220" s="22" t="s">
        <v>696</v>
      </c>
      <c r="I12220" s="26">
        <v>43538.693749999999</v>
      </c>
      <c r="J12220" s="23" t="str">
        <f>HYPERLINK("https://www.spark-marketing.ru/Card/Person/412763", "ООО ""АМУЛЕТ-СЕРВИС""")</f>
        <v>ООО "АМУЛЕТ-СЕРВИС"</v>
      </c>
      <c r="K12220" s="24" t="s">
        <v>4475</v>
      </c>
      <c r="L12220" s="22" t="s">
        <v>10</v>
      </c>
      <c r="M12220" s="25">
        <v>43200</v>
      </c>
      <c r="N12220" s="27">
        <v>0.66522008679479228</v>
      </c>
    </row>
    <row r="12221" spans="1:14" hidden="1" outlineLevel="1" x14ac:dyDescent="0.2">
      <c r="A12221" s="23" t="str">
        <f>HYPERLINK("https://www.spark-marketing.ru/Card/Person/1271", "ГБУЗ ""ООКПТД""")</f>
        <v>ГБУЗ "ООКПТД"</v>
      </c>
      <c r="B12221" s="24" t="s">
        <v>14544</v>
      </c>
      <c r="C12221" s="25">
        <v>129040</v>
      </c>
      <c r="D12221" s="22" t="s">
        <v>14545</v>
      </c>
      <c r="E12221" s="22" t="s">
        <v>107</v>
      </c>
      <c r="F12221" s="23" t="str">
        <f>HYPERLINK("https://www.spark-marketing.ru/Card/Lot/68706469", "На оказание услуг по техническому обслуживанию тревожной кнопки охранной сигнализации")</f>
        <v>На оказание услуг по техническому обслуживанию тревожной кнопки охранной сигнализации</v>
      </c>
      <c r="G12221" s="22" t="s">
        <v>384</v>
      </c>
      <c r="H12221" s="22" t="s">
        <v>696</v>
      </c>
      <c r="I12221" s="26">
        <v>43538.693749999999</v>
      </c>
      <c r="J12221" s="23" t="str">
        <f>HYPERLINK("https://www.spark-marketing.ru/Card/Person/4886240", "ФЛ ФГУП ОХРАНА ФЕДЕРАЛЬНОЙ СЛУЖБЫ ВОЙСК НАЦИОНАЛЬНОЙ ГВАРДИИ РФ ПО ОРЕНБУРГСКОЙ ОБЛ")</f>
        <v>ФЛ ФГУП ОХРАНА ФЕДЕРАЛЬНОЙ СЛУЖБЫ ВОЙСК НАЦИОНАЛЬНОЙ ГВАРДИИ РФ ПО ОРЕНБУРГСКОЙ ОБЛ</v>
      </c>
      <c r="K12221" s="24" t="s">
        <v>779</v>
      </c>
      <c r="L12221" s="28" t="s">
        <v>52</v>
      </c>
      <c r="M12221" s="25">
        <v>127104.4</v>
      </c>
      <c r="N12221" s="27">
        <v>1.4999999999999999E-2</v>
      </c>
    </row>
    <row r="12222" spans="1:14" hidden="1" outlineLevel="1" x14ac:dyDescent="0.2">
      <c r="A12222" s="23" t="str">
        <f>HYPERLINK("https://www.spark-marketing.ru/Card/Person/1271", "ГБУЗ ""ООКПТД""")</f>
        <v>ГБУЗ "ООКПТД"</v>
      </c>
      <c r="B12222" s="24" t="s">
        <v>14544</v>
      </c>
      <c r="C12222" s="25">
        <v>129040</v>
      </c>
      <c r="D12222" s="22" t="s">
        <v>14545</v>
      </c>
      <c r="E12222" s="22" t="s">
        <v>107</v>
      </c>
      <c r="F12222" s="23" t="str">
        <f>HYPERLINK("https://www.spark-marketing.ru/Card/Lot/68706469", "На оказание услуг по техническому обслуживанию тревожной кнопки охранной сигнализации")</f>
        <v>На оказание услуг по техническому обслуживанию тревожной кнопки охранной сигнализации</v>
      </c>
      <c r="G12222" s="22" t="s">
        <v>384</v>
      </c>
      <c r="H12222" s="22" t="s">
        <v>696</v>
      </c>
      <c r="I12222" s="26">
        <v>43538.693749999999</v>
      </c>
      <c r="J12222" s="23" t="str">
        <f>HYPERLINK("https://www.spark-marketing.ru/Card/Person/407619", "ООО ""МАКСИМ""")</f>
        <v>ООО "МАКСИМ"</v>
      </c>
      <c r="K12222" s="24" t="s">
        <v>4479</v>
      </c>
      <c r="L12222" s="28" t="s">
        <v>52</v>
      </c>
      <c r="M12222" s="25">
        <v>45000</v>
      </c>
      <c r="N12222" s="27">
        <v>0.65127092374457529</v>
      </c>
    </row>
    <row r="12223" spans="1:14" x14ac:dyDescent="0.15">
      <c r="A12223" s="23" t="str">
        <f>HYPERLINK("https://www.spark-marketing.ru/Card/Person/4348584", "АО ""АТОМ-ОХРАНА""")</f>
        <v>АО "АТОМ-ОХРАНА"</v>
      </c>
      <c r="B12223" s="24" t="s">
        <v>1036</v>
      </c>
      <c r="C12223" s="25">
        <v>0</v>
      </c>
      <c r="D12223" s="22" t="s">
        <v>14546</v>
      </c>
      <c r="E12223" s="22" t="s">
        <v>53</v>
      </c>
      <c r="F12223" s="23" t="str">
        <f>HYPERLINK("https://www.spark-marketing.ru/Card/Lot/68712237", "мониторинг цен в электронной форме на Изготовление и монтаж ограждения контейнеров ТБО для нужд МУВО №1 ФГУП «Атом-охрана»")</f>
        <v>мониторинг цен в электронной форме на Изготовление и монтаж ограждения контейнеров ТБО для нужд МУВО №1 ФГУП «Атом-охрана»</v>
      </c>
      <c r="G12223" s="22" t="s">
        <v>55</v>
      </c>
      <c r="H12223" s="22" t="s">
        <v>55</v>
      </c>
      <c r="I12223" s="26">
        <v>43538.676805555602</v>
      </c>
      <c r="J12223" s="28" t="s">
        <v>52</v>
      </c>
      <c r="K12223" s="28" t="s">
        <v>52</v>
      </c>
      <c r="L12223" s="28" t="s">
        <v>52</v>
      </c>
      <c r="M12223" s="28" t="s">
        <v>52</v>
      </c>
      <c r="N12223" s="28" t="s">
        <v>52</v>
      </c>
    </row>
    <row r="12224" spans="1:14" x14ac:dyDescent="0.15">
      <c r="A12224" s="23" t="str">
        <f>HYPERLINK("https://www.spark-marketing.ru/Card/Person/6160579", "ГКУ ""КПДО ЧР""")</f>
        <v>ГКУ "КПДО ЧР"</v>
      </c>
      <c r="B12224" s="24" t="s">
        <v>14547</v>
      </c>
      <c r="C12224" s="25">
        <v>1560150</v>
      </c>
      <c r="D12224" s="22" t="s">
        <v>14548</v>
      </c>
      <c r="E12224" s="22" t="s">
        <v>68</v>
      </c>
      <c r="F12224" s="23" t="str">
        <f>HYPERLINK("https://www.spark-marketing.ru/Card/Lot/68709381", "Оказание услуг по круглосуточной охране административного здания")</f>
        <v>Оказание услуг по круглосуточной охране административного здания</v>
      </c>
      <c r="G12224" s="22" t="s">
        <v>724</v>
      </c>
      <c r="H12224" s="22" t="s">
        <v>724</v>
      </c>
      <c r="I12224" s="26">
        <v>43538.686805555597</v>
      </c>
      <c r="J12224" s="23" t="str">
        <f>HYPERLINK("https://www.spark-marketing.ru/Card/Person/1784074", "ФГКУ ""УВО ВНГ РОССИИ ПО ЧЕЧЕНСКОЙ РЕСПУБЛИКЕ""")</f>
        <v>ФГКУ "УВО ВНГ РОССИИ ПО ЧЕЧЕНСКОЙ РЕСПУБЛИКЕ"</v>
      </c>
      <c r="K12224" s="24" t="s">
        <v>1617</v>
      </c>
      <c r="L12224" s="22" t="s">
        <v>10</v>
      </c>
      <c r="M12224" s="28" t="s">
        <v>52</v>
      </c>
      <c r="N12224" s="28" t="s">
        <v>52</v>
      </c>
    </row>
    <row r="12225" spans="1:14" x14ac:dyDescent="0.15">
      <c r="A12225" s="23" t="str">
        <f>HYPERLINK("https://www.spark-marketing.ru/Card/Person/1000252", "МБУК ""СЕРЕДИНСКИЙ ЦСДК""")</f>
        <v>МБУК "СЕРЕДИНСКИЙ ЦСДК"</v>
      </c>
      <c r="B12225" s="24" t="s">
        <v>14549</v>
      </c>
      <c r="C12225" s="25">
        <v>54000</v>
      </c>
      <c r="D12225" s="22" t="s">
        <v>14550</v>
      </c>
      <c r="E12225" s="22" t="s">
        <v>103</v>
      </c>
      <c r="F12225" s="23" t="str">
        <f>HYPERLINK("https://www.spark-marketing.ru/Card/Lot/68708202", "оказание услуг по обслуживанию системы видеонаблюдения")</f>
        <v>оказание услуг по обслуживанию системы видеонаблюдения</v>
      </c>
      <c r="G12225" s="22" t="s">
        <v>50</v>
      </c>
      <c r="H12225" s="22" t="s">
        <v>1172</v>
      </c>
      <c r="I12225" s="26">
        <v>43538.700891203698</v>
      </c>
      <c r="J12225" s="28" t="s">
        <v>52</v>
      </c>
      <c r="K12225" s="28" t="s">
        <v>52</v>
      </c>
      <c r="L12225" s="28" t="s">
        <v>52</v>
      </c>
      <c r="M12225" s="28" t="s">
        <v>52</v>
      </c>
      <c r="N12225" s="28" t="s">
        <v>52</v>
      </c>
    </row>
    <row r="12226" spans="1:14" x14ac:dyDescent="0.15">
      <c r="A12226" s="23" t="str">
        <f>HYPERLINK("https://www.spark-marketing.ru/Card/Person/4348584", "АО ""АТОМ-ОХРАНА""")</f>
        <v>АО "АТОМ-ОХРАНА"</v>
      </c>
      <c r="B12226" s="24" t="s">
        <v>1036</v>
      </c>
      <c r="C12226" s="28" t="s">
        <v>52</v>
      </c>
      <c r="D12226" s="22" t="s">
        <v>14551</v>
      </c>
      <c r="E12226" s="22" t="s">
        <v>53</v>
      </c>
      <c r="F12226" s="23" t="str">
        <f>HYPERLINK("https://www.spark-marketing.ru/Card/Lot/68712800", "Изготовление и монтаж ограждения контейнеров ТБО для нужд МУВО №1 ФГУП «Атом-охрана» (1207829)")</f>
        <v>Изготовление и монтаж ограждения контейнеров ТБО для нужд МУВО №1 ФГУП «Атом-охрана» (1207829)</v>
      </c>
      <c r="G12226" s="22" t="s">
        <v>55</v>
      </c>
      <c r="H12226" s="22" t="s">
        <v>55</v>
      </c>
      <c r="I12226" s="26">
        <v>43538.704872685201</v>
      </c>
      <c r="J12226" s="28" t="s">
        <v>52</v>
      </c>
      <c r="K12226" s="28" t="s">
        <v>52</v>
      </c>
      <c r="L12226" s="28" t="s">
        <v>52</v>
      </c>
      <c r="M12226" s="28" t="s">
        <v>52</v>
      </c>
      <c r="N12226" s="28" t="s">
        <v>52</v>
      </c>
    </row>
    <row r="12227" spans="1:14" x14ac:dyDescent="0.15">
      <c r="A12227" s="23" t="str">
        <f>HYPERLINK("https://www.spark-marketing.ru/Card/Person/1762923", "ООО ""НУТЭП""")</f>
        <v>ООО "НУТЭП"</v>
      </c>
      <c r="B12227" s="24" t="s">
        <v>10810</v>
      </c>
      <c r="C12227" s="25">
        <v>32000000</v>
      </c>
      <c r="D12227" s="22" t="s">
        <v>14552</v>
      </c>
      <c r="E12227" s="22" t="s">
        <v>10761</v>
      </c>
      <c r="F12227" s="23" t="str">
        <f>HYPERLINK("https://www.spark-marketing.ru/Card/Lot/68704727", "Монтаж и пуско-наладка инженерно-технических средств обеспечения транспортной безопасности объекта транспортной инфраструктуры")</f>
        <v>Монтаж и пуско-наладка инженерно-технических средств обеспечения транспортной безопасности объекта транспортной инфраструктуры</v>
      </c>
      <c r="G12227" s="22" t="s">
        <v>132</v>
      </c>
      <c r="H12227" s="22" t="s">
        <v>452</v>
      </c>
      <c r="I12227" s="26">
        <v>43538.645069444399</v>
      </c>
      <c r="J12227" s="28" t="s">
        <v>52</v>
      </c>
      <c r="K12227" s="28" t="s">
        <v>52</v>
      </c>
      <c r="L12227" s="28" t="s">
        <v>52</v>
      </c>
      <c r="M12227" s="28" t="s">
        <v>52</v>
      </c>
      <c r="N12227" s="28" t="s">
        <v>52</v>
      </c>
    </row>
    <row r="12228" spans="1:14" x14ac:dyDescent="0.15">
      <c r="A12228" s="23" t="str">
        <f>HYPERLINK("https://www.spark-marketing.ru/Card/Person/29754", "ФКУ ""ДЕЗЗ"" МИНЗДРАВА РОССИИ")</f>
        <v>ФКУ "ДЕЗЗ" МИНЗДРАВА РОССИИ</v>
      </c>
      <c r="B12228" s="24" t="s">
        <v>14553</v>
      </c>
      <c r="C12228" s="25">
        <v>80000</v>
      </c>
      <c r="D12228" s="22" t="s">
        <v>14554</v>
      </c>
      <c r="E12228" s="22" t="s">
        <v>53</v>
      </c>
      <c r="F12228" s="23" t="str">
        <f>HYPERLINK("https://www.spark-marketing.ru/Card/Lot/70795384", "Оказание услуг по обеспечению контрольно-пропускного режима, охраны общественного порядка, соблюдения правил посещения территории объекта")</f>
        <v>Оказание услуг по обеспечению контрольно-пропускного режима, охраны общественного порядка, соблюдения правил посещения территории объекта</v>
      </c>
      <c r="G12228" s="22" t="s">
        <v>55</v>
      </c>
      <c r="H12228" s="22" t="s">
        <v>55</v>
      </c>
      <c r="I12228" s="26">
        <v>43538.636250000003</v>
      </c>
      <c r="J12228" s="28" t="s">
        <v>52</v>
      </c>
      <c r="K12228" s="28" t="s">
        <v>52</v>
      </c>
      <c r="L12228" s="28" t="s">
        <v>52</v>
      </c>
      <c r="M12228" s="28" t="s">
        <v>52</v>
      </c>
      <c r="N12228" s="28" t="s">
        <v>52</v>
      </c>
    </row>
    <row r="12229" spans="1:14" x14ac:dyDescent="0.15">
      <c r="A12229" s="23" t="str">
        <f>HYPERLINK("https://www.spark-marketing.ru/Card/Person/19148", "БУ ""ЦСПСКЮ""")</f>
        <v>БУ "ЦСПСКЮ"</v>
      </c>
      <c r="B12229" s="24" t="s">
        <v>4640</v>
      </c>
      <c r="C12229" s="28" t="s">
        <v>52</v>
      </c>
      <c r="D12229" s="22" t="s">
        <v>14555</v>
      </c>
      <c r="E12229" s="22" t="s">
        <v>52</v>
      </c>
      <c r="F12229" s="23" t="str">
        <f>HYPERLINK("https://www.spark-marketing.ru/Card/Lot/68698114", "Поставка и установка автомобильных видеорегистраторов")</f>
        <v>Поставка и установка автомобильных видеорегистраторов</v>
      </c>
      <c r="G12229" s="22" t="s">
        <v>119</v>
      </c>
      <c r="H12229" s="22" t="s">
        <v>2563</v>
      </c>
      <c r="I12229" s="26">
        <v>43538.642361111102</v>
      </c>
      <c r="J12229" s="28" t="s">
        <v>52</v>
      </c>
      <c r="K12229" s="28" t="s">
        <v>52</v>
      </c>
      <c r="L12229" s="28" t="s">
        <v>52</v>
      </c>
      <c r="M12229" s="28" t="s">
        <v>52</v>
      </c>
      <c r="N12229" s="28" t="s">
        <v>52</v>
      </c>
    </row>
    <row r="12230" spans="1:14" x14ac:dyDescent="0.15">
      <c r="A12230" s="23" t="str">
        <f>HYPERLINK("https://www.spark-marketing.ru/Card/Person/562121", "МАОУ ЛИЦЕЙ № 110")</f>
        <v>МАОУ ЛИЦЕЙ № 110</v>
      </c>
      <c r="B12230" s="24" t="s">
        <v>14556</v>
      </c>
      <c r="C12230" s="25">
        <v>1207744</v>
      </c>
      <c r="D12230" s="22" t="s">
        <v>14557</v>
      </c>
      <c r="E12230" s="22" t="s">
        <v>144</v>
      </c>
      <c r="F12230" s="23" t="str">
        <f>HYPERLINK("https://www.spark-marketing.ru/Card/Lot/68695197", "Оказание услуг по охране и обеспечению внутриобъектового и пропускного режимов")</f>
        <v>Оказание услуг по охране и обеспечению внутриобъектового и пропускного режимов</v>
      </c>
      <c r="G12230" s="22" t="s">
        <v>72</v>
      </c>
      <c r="H12230" s="22" t="s">
        <v>72</v>
      </c>
      <c r="I12230" s="26">
        <v>43538.636550925898</v>
      </c>
      <c r="J12230" s="28" t="s">
        <v>52</v>
      </c>
      <c r="K12230" s="28" t="s">
        <v>52</v>
      </c>
      <c r="L12230" s="28" t="s">
        <v>52</v>
      </c>
      <c r="M12230" s="28" t="s">
        <v>52</v>
      </c>
      <c r="N12230" s="28" t="s">
        <v>52</v>
      </c>
    </row>
    <row r="12231" spans="1:14" x14ac:dyDescent="0.15">
      <c r="A12231" s="23" t="str">
        <f>HYPERLINK("https://www.spark-marketing.ru/Card/Person/1061175", "МРБУК У-Д МЦБ")</f>
        <v>МРБУК У-Д МЦБ</v>
      </c>
      <c r="B12231" s="24" t="s">
        <v>14558</v>
      </c>
      <c r="C12231" s="25">
        <v>61100</v>
      </c>
      <c r="D12231" s="22" t="s">
        <v>14559</v>
      </c>
      <c r="E12231" s="22" t="s">
        <v>84</v>
      </c>
      <c r="F12231" s="23" t="str">
        <f>HYPERLINK("https://www.spark-marketing.ru/Card/Lot/68706376", "Установка систем видеонаблюдения в здании сельского дома культуры")</f>
        <v>Установка систем видеонаблюдения в здании сельского дома культуры</v>
      </c>
      <c r="G12231" s="22" t="s">
        <v>402</v>
      </c>
      <c r="H12231" s="22" t="s">
        <v>7542</v>
      </c>
      <c r="I12231" s="26">
        <v>43538.660416666702</v>
      </c>
      <c r="J12231" s="28" t="s">
        <v>52</v>
      </c>
      <c r="K12231" s="28" t="s">
        <v>52</v>
      </c>
      <c r="L12231" s="28" t="s">
        <v>52</v>
      </c>
      <c r="M12231" s="28" t="s">
        <v>52</v>
      </c>
      <c r="N12231" s="28" t="s">
        <v>52</v>
      </c>
    </row>
    <row r="12232" spans="1:14" x14ac:dyDescent="0.15">
      <c r="A12232" s="23" t="str">
        <f>HYPERLINK("https://www.spark-marketing.ru/Card/Person/115547", "АДМИНИСТРАЦИЯ ГОРОДА ЧАПЛЫГИНА ЛИПЕЦКОЙ ОБЛАСТИ")</f>
        <v>АДМИНИСТРАЦИЯ ГОРОДА ЧАПЛЫГИНА ЛИПЕЦКОЙ ОБЛАСТИ</v>
      </c>
      <c r="B12232" s="24" t="s">
        <v>13699</v>
      </c>
      <c r="C12232" s="25">
        <v>479148</v>
      </c>
      <c r="D12232" s="22" t="s">
        <v>14560</v>
      </c>
      <c r="E12232" s="22" t="s">
        <v>68</v>
      </c>
      <c r="F12232" s="23" t="str">
        <f>HYPERLINK("https://www.spark-marketing.ru/Card/Lot/68706968", "Горизонтальная дорожная разметка автомобильных дорог местного значения общего пользования в г. Чаплыгин Липецкой области")</f>
        <v>Горизонтальная дорожная разметка автомобильных дорог местного значения общего пользования в г. Чаплыгин Липецкой области</v>
      </c>
      <c r="G12232" s="22" t="s">
        <v>629</v>
      </c>
      <c r="H12232" s="22" t="s">
        <v>629</v>
      </c>
      <c r="I12232" s="26">
        <v>43538.648611111101</v>
      </c>
      <c r="J12232" s="28" t="s">
        <v>52</v>
      </c>
      <c r="K12232" s="28" t="s">
        <v>52</v>
      </c>
      <c r="L12232" s="28" t="s">
        <v>52</v>
      </c>
      <c r="M12232" s="28" t="s">
        <v>52</v>
      </c>
      <c r="N12232" s="28" t="s">
        <v>52</v>
      </c>
    </row>
    <row r="12233" spans="1:14" hidden="1" outlineLevel="1" x14ac:dyDescent="0.2">
      <c r="A12233" s="23" t="str">
        <f>HYPERLINK("https://www.spark-marketing.ru/Card/Person/115547", "АДМИНИСТРАЦИЯ ГОРОДА ЧАПЛЫГИНА ЛИПЕЦКОЙ ОБЛАСТИ")</f>
        <v>АДМИНИСТРАЦИЯ ГОРОДА ЧАПЛЫГИНА ЛИПЕЦКОЙ ОБЛАСТИ</v>
      </c>
      <c r="B12233" s="24" t="s">
        <v>13699</v>
      </c>
      <c r="C12233" s="25">
        <v>479148</v>
      </c>
      <c r="D12233" s="22" t="s">
        <v>14560</v>
      </c>
      <c r="E12233" s="22" t="s">
        <v>68</v>
      </c>
      <c r="F12233" s="23" t="str">
        <f>HYPERLINK("https://www.spark-marketing.ru/Card/Lot/68706968", "Горизонтальная дорожная разметка автомобильных дорог местного значения общего пользования в г. Чаплыгин Липецкой области")</f>
        <v>Горизонтальная дорожная разметка автомобильных дорог местного значения общего пользования в г. Чаплыгин Липецкой области</v>
      </c>
      <c r="G12233" s="22" t="s">
        <v>629</v>
      </c>
      <c r="H12233" s="22" t="s">
        <v>629</v>
      </c>
      <c r="I12233" s="26">
        <v>43538.648611111101</v>
      </c>
      <c r="J12233" s="23" t="str">
        <f>HYPERLINK("https://www.spark-marketing.ru/Card/Person/699624", "АО РАБОТНИКОВ ""НП ""СПЕЦАТП""")</f>
        <v>АО РАБОТНИКОВ "НП "СПЕЦАТП"</v>
      </c>
      <c r="K12233" s="24" t="s">
        <v>13701</v>
      </c>
      <c r="L12233" s="28" t="s">
        <v>52</v>
      </c>
      <c r="M12233" s="25">
        <v>349778.04</v>
      </c>
      <c r="N12233" s="27">
        <v>0.27</v>
      </c>
    </row>
    <row r="12234" spans="1:14" ht="12.75" hidden="1" outlineLevel="1" x14ac:dyDescent="0.2">
      <c r="A12234" s="23" t="str">
        <f>HYPERLINK("https://www.spark-marketing.ru/Card/Person/115547", "АДМИНИСТРАЦИЯ ГОРОДА ЧАПЛЫГИНА ЛИПЕЦКОЙ ОБЛАСТИ")</f>
        <v>АДМИНИСТРАЦИЯ ГОРОДА ЧАПЛЫГИНА ЛИПЕЦКОЙ ОБЛАСТИ</v>
      </c>
      <c r="B12234" s="24" t="s">
        <v>13699</v>
      </c>
      <c r="C12234" s="25">
        <v>479148</v>
      </c>
      <c r="D12234" s="22" t="s">
        <v>14560</v>
      </c>
      <c r="E12234" s="22" t="s">
        <v>68</v>
      </c>
      <c r="F12234" s="23" t="str">
        <f>HYPERLINK("https://www.spark-marketing.ru/Card/Lot/68706968", "Горизонтальная дорожная разметка автомобильных дорог местного значения общего пользования в г. Чаплыгин Липецкой области")</f>
        <v>Горизонтальная дорожная разметка автомобильных дорог местного значения общего пользования в г. Чаплыгин Липецкой области</v>
      </c>
      <c r="G12234" s="22" t="s">
        <v>629</v>
      </c>
      <c r="H12234" s="22" t="s">
        <v>629</v>
      </c>
      <c r="I12234" s="26">
        <v>43538.648611111101</v>
      </c>
      <c r="J12234" s="23" t="str">
        <f>HYPERLINK("https://www.spark-marketing.ru/Card/Person/134716", "ООО ""ЛИНИЯ""")</f>
        <v>ООО "ЛИНИЯ"</v>
      </c>
      <c r="K12234" s="24" t="s">
        <v>14561</v>
      </c>
      <c r="L12234" s="22" t="s">
        <v>10</v>
      </c>
      <c r="M12234" s="25">
        <v>347382.3</v>
      </c>
      <c r="N12234" s="27">
        <v>0.27500000000000002</v>
      </c>
    </row>
    <row r="12235" spans="1:14" x14ac:dyDescent="0.15">
      <c r="A12235" s="23" t="str">
        <f>HYPERLINK("https://www.spark-marketing.ru/Card/Person/36891", "ГБУЗ ""ВЕЛИКОЛУКСКАЯ МБ""")</f>
        <v>ГБУЗ "ВЕЛИКОЛУКСКАЯ МБ"</v>
      </c>
      <c r="B12235" s="24" t="s">
        <v>14562</v>
      </c>
      <c r="C12235" s="25">
        <v>513200.7</v>
      </c>
      <c r="D12235" s="22" t="s">
        <v>14563</v>
      </c>
      <c r="E12235" s="22" t="s">
        <v>52</v>
      </c>
      <c r="F12235" s="23" t="str">
        <f>HYPERLINK("https://www.spark-marketing.ru/Card/Lot/68707349", "Оказание охранных услуг")</f>
        <v>Оказание охранных услуг</v>
      </c>
      <c r="G12235" s="22" t="s">
        <v>142</v>
      </c>
      <c r="H12235" s="22" t="s">
        <v>3575</v>
      </c>
      <c r="I12235" s="26">
        <v>43538.660416666702</v>
      </c>
      <c r="J12235" s="28" t="s">
        <v>52</v>
      </c>
      <c r="K12235" s="28" t="s">
        <v>52</v>
      </c>
      <c r="L12235" s="28" t="s">
        <v>52</v>
      </c>
      <c r="M12235" s="28" t="s">
        <v>52</v>
      </c>
      <c r="N12235" s="28" t="s">
        <v>52</v>
      </c>
    </row>
    <row r="12236" spans="1:14" x14ac:dyDescent="0.15">
      <c r="A12236" s="23" t="str">
        <f t="shared" ref="A12236:A12245" si="634">HYPERLINK("https://www.spark-marketing.ru/Card/Person/4354402", "ГБУЗС ""СТОМПОЛИКЛИНИКА №1""")</f>
        <v>ГБУЗС "СТОМПОЛИКЛИНИКА №1"</v>
      </c>
      <c r="B12236" s="24" t="s">
        <v>14564</v>
      </c>
      <c r="C12236" s="25">
        <v>112936</v>
      </c>
      <c r="D12236" s="22" t="s">
        <v>14565</v>
      </c>
      <c r="E12236" s="22" t="s">
        <v>103</v>
      </c>
      <c r="F12236" s="23" t="str">
        <f t="shared" ref="F12236:F12245" si="635">HYPERLINK("https://www.spark-marketing.ru/Card/Lot/68707481", "На оказание услуг по обслуживанию системы видеонаблюдения")</f>
        <v>На оказание услуг по обслуживанию системы видеонаблюдения</v>
      </c>
      <c r="G12236" s="22" t="s">
        <v>714</v>
      </c>
      <c r="H12236" s="22" t="s">
        <v>714</v>
      </c>
      <c r="I12236" s="26">
        <v>43538.658333333296</v>
      </c>
      <c r="J12236" s="28" t="s">
        <v>52</v>
      </c>
      <c r="K12236" s="28" t="s">
        <v>52</v>
      </c>
      <c r="L12236" s="28" t="s">
        <v>52</v>
      </c>
      <c r="M12236" s="28" t="s">
        <v>52</v>
      </c>
      <c r="N12236" s="28" t="s">
        <v>52</v>
      </c>
    </row>
    <row r="12237" spans="1:14" hidden="1" outlineLevel="1" x14ac:dyDescent="0.2">
      <c r="A12237" s="23" t="str">
        <f t="shared" si="634"/>
        <v>ГБУЗС "СТОМПОЛИКЛИНИКА №1"</v>
      </c>
      <c r="B12237" s="24" t="s">
        <v>14564</v>
      </c>
      <c r="C12237" s="25">
        <v>112936</v>
      </c>
      <c r="D12237" s="22" t="s">
        <v>14565</v>
      </c>
      <c r="E12237" s="22" t="s">
        <v>103</v>
      </c>
      <c r="F12237" s="23" t="str">
        <f t="shared" si="635"/>
        <v>На оказание услуг по обслуживанию системы видеонаблюдения</v>
      </c>
      <c r="G12237" s="22" t="s">
        <v>714</v>
      </c>
      <c r="H12237" s="22" t="s">
        <v>714</v>
      </c>
      <c r="I12237" s="26">
        <v>43538.658333333296</v>
      </c>
      <c r="J12237" s="23" t="str">
        <f>HYPERLINK("https://www.spark-marketing.ru/Card/Person/931481", "Котовщук Олег Юрьевич")</f>
        <v>Котовщук Олег Юрьевич</v>
      </c>
      <c r="K12237" s="24" t="s">
        <v>14566</v>
      </c>
      <c r="L12237" s="28" t="s">
        <v>52</v>
      </c>
      <c r="M12237" s="25">
        <v>112371.32</v>
      </c>
      <c r="N12237" s="27">
        <v>5.0000000000000001E-3</v>
      </c>
    </row>
    <row r="12238" spans="1:14" hidden="1" outlineLevel="1" x14ac:dyDescent="0.2">
      <c r="A12238" s="23" t="str">
        <f t="shared" si="634"/>
        <v>ГБУЗС "СТОМПОЛИКЛИНИКА №1"</v>
      </c>
      <c r="B12238" s="24" t="s">
        <v>14564</v>
      </c>
      <c r="C12238" s="25">
        <v>112936</v>
      </c>
      <c r="D12238" s="22" t="s">
        <v>14565</v>
      </c>
      <c r="E12238" s="22" t="s">
        <v>103</v>
      </c>
      <c r="F12238" s="23" t="str">
        <f t="shared" si="635"/>
        <v>На оказание услуг по обслуживанию системы видеонаблюдения</v>
      </c>
      <c r="G12238" s="22" t="s">
        <v>714</v>
      </c>
      <c r="H12238" s="22" t="s">
        <v>714</v>
      </c>
      <c r="I12238" s="26">
        <v>43538.658333333296</v>
      </c>
      <c r="J12238" s="23" t="str">
        <f>HYPERLINK("https://www.spark-marketing.ru/Card/Person/6469288", "ООО ""ИНЖЕНЕРНЫЕ РЕШЕНИЯ""")</f>
        <v>ООО "ИНЖЕНЕРНЫЕ РЕШЕНИЯ"</v>
      </c>
      <c r="K12238" s="24" t="s">
        <v>13518</v>
      </c>
      <c r="L12238" s="28" t="s">
        <v>52</v>
      </c>
      <c r="M12238" s="25">
        <v>25410.6</v>
      </c>
      <c r="N12238" s="27">
        <v>0.77500000000000002</v>
      </c>
    </row>
    <row r="12239" spans="1:14" hidden="1" outlineLevel="1" x14ac:dyDescent="0.2">
      <c r="A12239" s="23" t="str">
        <f t="shared" si="634"/>
        <v>ГБУЗС "СТОМПОЛИКЛИНИКА №1"</v>
      </c>
      <c r="B12239" s="24" t="s">
        <v>14564</v>
      </c>
      <c r="C12239" s="25">
        <v>112936</v>
      </c>
      <c r="D12239" s="22" t="s">
        <v>14565</v>
      </c>
      <c r="E12239" s="22" t="s">
        <v>103</v>
      </c>
      <c r="F12239" s="23" t="str">
        <f t="shared" si="635"/>
        <v>На оказание услуг по обслуживанию системы видеонаблюдения</v>
      </c>
      <c r="G12239" s="22" t="s">
        <v>714</v>
      </c>
      <c r="H12239" s="22" t="s">
        <v>714</v>
      </c>
      <c r="I12239" s="26">
        <v>43538.658333333296</v>
      </c>
      <c r="J12239" s="23" t="str">
        <f>HYPERLINK("https://www.spark-marketing.ru/Card/Person/1663779", "ООО ""ТАВРИДА-СБ""")</f>
        <v>ООО "ТАВРИДА-СБ"</v>
      </c>
      <c r="K12239" s="24" t="s">
        <v>13517</v>
      </c>
      <c r="L12239" s="28" t="s">
        <v>52</v>
      </c>
      <c r="M12239" s="25">
        <v>66067.56</v>
      </c>
      <c r="N12239" s="27">
        <v>0.41499999999999998</v>
      </c>
    </row>
    <row r="12240" spans="1:14" hidden="1" outlineLevel="1" x14ac:dyDescent="0.2">
      <c r="A12240" s="23" t="str">
        <f t="shared" si="634"/>
        <v>ГБУЗС "СТОМПОЛИКЛИНИКА №1"</v>
      </c>
      <c r="B12240" s="24" t="s">
        <v>14564</v>
      </c>
      <c r="C12240" s="25">
        <v>112936</v>
      </c>
      <c r="D12240" s="22" t="s">
        <v>14565</v>
      </c>
      <c r="E12240" s="22" t="s">
        <v>103</v>
      </c>
      <c r="F12240" s="23" t="str">
        <f t="shared" si="635"/>
        <v>На оказание услуг по обслуживанию системы видеонаблюдения</v>
      </c>
      <c r="G12240" s="22" t="s">
        <v>714</v>
      </c>
      <c r="H12240" s="22" t="s">
        <v>714</v>
      </c>
      <c r="I12240" s="26">
        <v>43538.658333333296</v>
      </c>
      <c r="J12240" s="23" t="str">
        <f>HYPERLINK("https://www.spark-marketing.ru/Card/Person/6050658", "Самохин Александр Сергеевич")</f>
        <v>Самохин Александр Сергеевич</v>
      </c>
      <c r="K12240" s="24" t="s">
        <v>13521</v>
      </c>
      <c r="L12240" s="28" t="s">
        <v>52</v>
      </c>
      <c r="M12240" s="25">
        <v>37268.879999999997</v>
      </c>
      <c r="N12240" s="27">
        <v>0.67</v>
      </c>
    </row>
    <row r="12241" spans="1:14" hidden="1" outlineLevel="1" x14ac:dyDescent="0.2">
      <c r="A12241" s="23" t="str">
        <f t="shared" si="634"/>
        <v>ГБУЗС "СТОМПОЛИКЛИНИКА №1"</v>
      </c>
      <c r="B12241" s="24" t="s">
        <v>14564</v>
      </c>
      <c r="C12241" s="25">
        <v>112936</v>
      </c>
      <c r="D12241" s="22" t="s">
        <v>14565</v>
      </c>
      <c r="E12241" s="22" t="s">
        <v>103</v>
      </c>
      <c r="F12241" s="23" t="str">
        <f t="shared" si="635"/>
        <v>На оказание услуг по обслуживанию системы видеонаблюдения</v>
      </c>
      <c r="G12241" s="22" t="s">
        <v>714</v>
      </c>
      <c r="H12241" s="22" t="s">
        <v>714</v>
      </c>
      <c r="I12241" s="26">
        <v>43538.658333333296</v>
      </c>
      <c r="J12241" s="23" t="str">
        <f>HYPERLINK("https://www.spark-marketing.ru/Card/Person/943554", "ООО ""ОМЕГА ТЕХНИКС""")</f>
        <v>ООО "ОМЕГА ТЕХНИКС"</v>
      </c>
      <c r="K12241" s="24" t="s">
        <v>13516</v>
      </c>
      <c r="L12241" s="28" t="s">
        <v>52</v>
      </c>
      <c r="M12241" s="25">
        <v>37268.879999999997</v>
      </c>
      <c r="N12241" s="27">
        <v>0.67</v>
      </c>
    </row>
    <row r="12242" spans="1:14" hidden="1" outlineLevel="1" x14ac:dyDescent="0.2">
      <c r="A12242" s="23" t="str">
        <f t="shared" si="634"/>
        <v>ГБУЗС "СТОМПОЛИКЛИНИКА №1"</v>
      </c>
      <c r="B12242" s="24" t="s">
        <v>14564</v>
      </c>
      <c r="C12242" s="25">
        <v>112936</v>
      </c>
      <c r="D12242" s="22" t="s">
        <v>14565</v>
      </c>
      <c r="E12242" s="22" t="s">
        <v>103</v>
      </c>
      <c r="F12242" s="23" t="str">
        <f t="shared" si="635"/>
        <v>На оказание услуг по обслуживанию системы видеонаблюдения</v>
      </c>
      <c r="G12242" s="22" t="s">
        <v>714</v>
      </c>
      <c r="H12242" s="22" t="s">
        <v>714</v>
      </c>
      <c r="I12242" s="26">
        <v>43538.658333333296</v>
      </c>
      <c r="J12242" s="23" t="str">
        <f>HYPERLINK("https://www.spark-marketing.ru/Card/Person/4855004", "Бакши Игорь Анатольевич")</f>
        <v>Бакши Игорь Анатольевич</v>
      </c>
      <c r="K12242" s="24" t="s">
        <v>10078</v>
      </c>
      <c r="L12242" s="28" t="s">
        <v>52</v>
      </c>
      <c r="M12242" s="25">
        <v>73408.399999999994</v>
      </c>
      <c r="N12242" s="27">
        <v>0.35</v>
      </c>
    </row>
    <row r="12243" spans="1:14" hidden="1" outlineLevel="1" x14ac:dyDescent="0.2">
      <c r="A12243" s="23" t="str">
        <f t="shared" si="634"/>
        <v>ГБУЗС "СТОМПОЛИКЛИНИКА №1"</v>
      </c>
      <c r="B12243" s="24" t="s">
        <v>14564</v>
      </c>
      <c r="C12243" s="25">
        <v>112936</v>
      </c>
      <c r="D12243" s="22" t="s">
        <v>14565</v>
      </c>
      <c r="E12243" s="22" t="s">
        <v>103</v>
      </c>
      <c r="F12243" s="23" t="str">
        <f t="shared" si="635"/>
        <v>На оказание услуг по обслуживанию системы видеонаблюдения</v>
      </c>
      <c r="G12243" s="22" t="s">
        <v>714</v>
      </c>
      <c r="H12243" s="22" t="s">
        <v>714</v>
      </c>
      <c r="I12243" s="26">
        <v>43538.658333333296</v>
      </c>
      <c r="J12243" s="23" t="str">
        <f>HYPERLINK("https://www.spark-marketing.ru/Card/Person/6407786", "Педченко Алена Ивановна")</f>
        <v>Педченко Алена Ивановна</v>
      </c>
      <c r="K12243" s="24" t="s">
        <v>13524</v>
      </c>
      <c r="L12243" s="28" t="s">
        <v>52</v>
      </c>
      <c r="M12243" s="25">
        <v>84137</v>
      </c>
      <c r="N12243" s="27">
        <v>0.25500283346320041</v>
      </c>
    </row>
    <row r="12244" spans="1:14" hidden="1" outlineLevel="1" x14ac:dyDescent="0.2">
      <c r="A12244" s="23" t="str">
        <f t="shared" si="634"/>
        <v>ГБУЗС "СТОМПОЛИКЛИНИКА №1"</v>
      </c>
      <c r="B12244" s="24" t="s">
        <v>14564</v>
      </c>
      <c r="C12244" s="25">
        <v>112936</v>
      </c>
      <c r="D12244" s="22" t="s">
        <v>14565</v>
      </c>
      <c r="E12244" s="22" t="s">
        <v>103</v>
      </c>
      <c r="F12244" s="23" t="str">
        <f t="shared" si="635"/>
        <v>На оказание услуг по обслуживанию системы видеонаблюдения</v>
      </c>
      <c r="G12244" s="22" t="s">
        <v>714</v>
      </c>
      <c r="H12244" s="22" t="s">
        <v>714</v>
      </c>
      <c r="I12244" s="26">
        <v>43538.658333333296</v>
      </c>
      <c r="J12244" s="23" t="str">
        <f>HYPERLINK("https://www.spark-marketing.ru/Card/Person/6264257", "ООО ""СИНИЦА""")</f>
        <v>ООО "СИНИЦА"</v>
      </c>
      <c r="K12244" s="24" t="s">
        <v>13340</v>
      </c>
      <c r="L12244" s="28" t="s">
        <v>52</v>
      </c>
      <c r="M12244" s="25">
        <v>50000</v>
      </c>
      <c r="N12244" s="27">
        <v>0.55727137493801804</v>
      </c>
    </row>
    <row r="12245" spans="1:14" ht="12.75" hidden="1" outlineLevel="1" x14ac:dyDescent="0.2">
      <c r="A12245" s="23" t="str">
        <f t="shared" si="634"/>
        <v>ГБУЗС "СТОМПОЛИКЛИНИКА №1"</v>
      </c>
      <c r="B12245" s="24" t="s">
        <v>14564</v>
      </c>
      <c r="C12245" s="25">
        <v>112936</v>
      </c>
      <c r="D12245" s="22" t="s">
        <v>14565</v>
      </c>
      <c r="E12245" s="22" t="s">
        <v>103</v>
      </c>
      <c r="F12245" s="23" t="str">
        <f t="shared" si="635"/>
        <v>На оказание услуг по обслуживанию системы видеонаблюдения</v>
      </c>
      <c r="G12245" s="22" t="s">
        <v>714</v>
      </c>
      <c r="H12245" s="22" t="s">
        <v>714</v>
      </c>
      <c r="I12245" s="26">
        <v>43538.658333333296</v>
      </c>
      <c r="J12245" s="23" t="str">
        <f>HYPERLINK("https://www.spark-marketing.ru/Card/Person/5890056", "Луговой Богдан Юрьевич")</f>
        <v>Луговой Богдан Юрьевич</v>
      </c>
      <c r="K12245" s="24" t="s">
        <v>14567</v>
      </c>
      <c r="L12245" s="22" t="s">
        <v>10</v>
      </c>
      <c r="M12245" s="25">
        <v>24845.919999999998</v>
      </c>
      <c r="N12245" s="27">
        <v>0.78</v>
      </c>
    </row>
    <row r="12246" spans="1:14" x14ac:dyDescent="0.15">
      <c r="A12246" s="23" t="str">
        <f>HYPERLINK("https://www.spark-marketing.ru/Card/Person/7589", "ГБУЗ АО ""ССМП Г. БЛАГОВЕЩЕНСКА""")</f>
        <v>ГБУЗ АО "ССМП Г. БЛАГОВЕЩЕНСКА"</v>
      </c>
      <c r="B12246" s="24" t="s">
        <v>9925</v>
      </c>
      <c r="C12246" s="25">
        <v>84605.94</v>
      </c>
      <c r="D12246" s="22" t="s">
        <v>14568</v>
      </c>
      <c r="E12246" s="22" t="s">
        <v>68</v>
      </c>
      <c r="F12246" s="23" t="str">
        <f>HYPERLINK("https://www.spark-marketing.ru/Card/Lot/68685536", "Оказание услуг по пультовой централизованной охране объекта Заказчика с использованием группы быстрого реагирования")</f>
        <v>Оказание услуг по пультовой централизованной охране объекта Заказчика с использованием группы быстрого реагирования</v>
      </c>
      <c r="G12246" s="22" t="s">
        <v>230</v>
      </c>
      <c r="H12246" s="22" t="s">
        <v>231</v>
      </c>
      <c r="I12246" s="26">
        <v>43538.611111111102</v>
      </c>
      <c r="J12246" s="23" t="str">
        <f>HYPERLINK("https://www.spark-marketing.ru/Card/Person/487038", "ООО ""ОА ""РОСБЕЗОПАСНОСТЬ""")</f>
        <v>ООО "ОА "РОСБЕЗОПАСНОСТЬ"</v>
      </c>
      <c r="K12246" s="24" t="s">
        <v>9928</v>
      </c>
      <c r="L12246" s="22" t="s">
        <v>10</v>
      </c>
      <c r="M12246" s="28" t="s">
        <v>52</v>
      </c>
      <c r="N12246" s="28" t="s">
        <v>52</v>
      </c>
    </row>
    <row r="12247" spans="1:14" x14ac:dyDescent="0.15">
      <c r="A12247" s="23" t="str">
        <f>HYPERLINK("https://www.spark-marketing.ru/Card/Person/82674", "МБОУ ""ШКОЛА №32""")</f>
        <v>МБОУ "ШКОЛА №32"</v>
      </c>
      <c r="B12247" s="24" t="s">
        <v>14569</v>
      </c>
      <c r="C12247" s="25">
        <v>26000</v>
      </c>
      <c r="D12247" s="22" t="s">
        <v>14570</v>
      </c>
      <c r="E12247" s="22" t="s">
        <v>59</v>
      </c>
      <c r="F12247" s="23" t="str">
        <f>HYPERLINK("https://www.spark-marketing.ru/Card/Lot/68697729", "выполнение работ по монтажу и пуско-наладке тревожной сигнализации")</f>
        <v>выполнение работ по монтажу и пуско-наладке тревожной сигнализации</v>
      </c>
      <c r="G12247" s="22" t="s">
        <v>50</v>
      </c>
      <c r="H12247" s="22" t="s">
        <v>432</v>
      </c>
      <c r="I12247" s="26">
        <v>43538.617962962999</v>
      </c>
      <c r="J12247" s="28" t="s">
        <v>52</v>
      </c>
      <c r="K12247" s="28" t="s">
        <v>52</v>
      </c>
      <c r="L12247" s="28" t="s">
        <v>52</v>
      </c>
      <c r="M12247" s="28" t="s">
        <v>52</v>
      </c>
      <c r="N12247" s="28" t="s">
        <v>52</v>
      </c>
    </row>
    <row r="12248" spans="1:14" ht="12.75" x14ac:dyDescent="0.2">
      <c r="A12248" s="23" t="str">
        <f>HYPERLINK("https://www.spark-marketing.ru/Card/Person/4348484", "ОАО ""МРСК УРАЛА""")</f>
        <v>ОАО "МРСК УРАЛА"</v>
      </c>
      <c r="B12248" s="24" t="s">
        <v>3612</v>
      </c>
      <c r="C12248" s="25">
        <v>1270376.47</v>
      </c>
      <c r="D12248" s="22" t="s">
        <v>14571</v>
      </c>
      <c r="E12248" s="22" t="s">
        <v>49</v>
      </c>
      <c r="F12248" s="23" t="str">
        <f>HYPERLINK("https://www.spark-marketing.ru/Card/Lot/68696549", "СМР. Модернизация ПС 110 кВ Еленинская (установка периметральной сигнализации) ПО ""МЭС"" (1 шт.)")</f>
        <v>СМР. Модернизация ПС 110 кВ Еленинская (установка периметральной сигнализации) ПО "МЭС" (1 шт.)</v>
      </c>
      <c r="G12248" s="22" t="s">
        <v>72</v>
      </c>
      <c r="H12248" s="22" t="s">
        <v>949</v>
      </c>
      <c r="I12248" s="26">
        <v>43538.6180902778</v>
      </c>
      <c r="J12248" s="23" t="str">
        <f>HYPERLINK("https://www.spark-marketing.ru/Card/Person/4350875", "ООО ""СИСТЕМЫ БЕЗОПАСНОСТИ""")</f>
        <v>ООО "СИСТЕМЫ БЕЗОПАСНОСТИ"</v>
      </c>
      <c r="K12248" s="24" t="s">
        <v>14572</v>
      </c>
      <c r="L12248" s="22" t="s">
        <v>10</v>
      </c>
      <c r="M12248" s="25">
        <v>978189.88</v>
      </c>
      <c r="N12248" s="27">
        <v>0.23000000149561964</v>
      </c>
    </row>
    <row r="12249" spans="1:14" x14ac:dyDescent="0.15">
      <c r="A12249" s="23" t="str">
        <f>HYPERLINK("https://www.spark-marketing.ru/Card/Person/1021832", "МБУ ""ШКОЛА РЕМЕСЕЛ""")</f>
        <v>МБУ "ШКОЛА РЕМЕСЕЛ"</v>
      </c>
      <c r="B12249" s="24" t="s">
        <v>14573</v>
      </c>
      <c r="C12249" s="25">
        <v>48000</v>
      </c>
      <c r="D12249" s="22" t="s">
        <v>14574</v>
      </c>
      <c r="E12249" s="22" t="s">
        <v>103</v>
      </c>
      <c r="F12249" s="23" t="str">
        <f>HYPERLINK("https://www.spark-marketing.ru/Card/Lot/68697874", "Лицензированное техническое обслуживание видеонаблюдения ""Безопасный регион""")</f>
        <v>Лицензированное техническое обслуживание видеонаблюдения "Безопасный регион"</v>
      </c>
      <c r="G12249" s="22" t="s">
        <v>50</v>
      </c>
      <c r="H12249" s="22" t="s">
        <v>682</v>
      </c>
      <c r="I12249" s="26">
        <v>43538.6069444444</v>
      </c>
      <c r="J12249" s="28" t="s">
        <v>52</v>
      </c>
      <c r="K12249" s="28" t="s">
        <v>52</v>
      </c>
      <c r="L12249" s="28" t="s">
        <v>52</v>
      </c>
      <c r="M12249" s="28" t="s">
        <v>52</v>
      </c>
      <c r="N12249" s="28" t="s">
        <v>52</v>
      </c>
    </row>
    <row r="12250" spans="1:14" x14ac:dyDescent="0.15">
      <c r="A12250" s="23" t="str">
        <f>HYPERLINK("https://www.spark-marketing.ru/Card/Person/104098", "МБУК ГОЩ ""МЕДВЕЖЬЕ-ОЗЕРСКАЯ ЦКС""")</f>
        <v>МБУК ГОЩ "МЕДВЕЖЬЕ-ОЗЕРСКАЯ ЦКС"</v>
      </c>
      <c r="B12250" s="24" t="s">
        <v>14575</v>
      </c>
      <c r="C12250" s="25">
        <v>39600</v>
      </c>
      <c r="D12250" s="22" t="s">
        <v>14576</v>
      </c>
      <c r="E12250" s="22" t="s">
        <v>103</v>
      </c>
      <c r="F12250" s="23" t="str">
        <f>HYPERLINK("https://www.spark-marketing.ru/Card/Lot/68697663", "Оказание услуг по техническому обслуживанию систем (элементов) видеонаблюдения (Медвежье-Озерская СДК)")</f>
        <v>Оказание услуг по техническому обслуживанию систем (элементов) видеонаблюдения (Медвежье-Озерская СДК)</v>
      </c>
      <c r="G12250" s="22" t="s">
        <v>50</v>
      </c>
      <c r="H12250" s="22" t="s">
        <v>458</v>
      </c>
      <c r="I12250" s="26">
        <v>43538.5964930556</v>
      </c>
      <c r="J12250" s="28" t="s">
        <v>52</v>
      </c>
      <c r="K12250" s="28" t="s">
        <v>52</v>
      </c>
      <c r="L12250" s="28" t="s">
        <v>52</v>
      </c>
      <c r="M12250" s="28" t="s">
        <v>52</v>
      </c>
      <c r="N12250" s="28" t="s">
        <v>52</v>
      </c>
    </row>
    <row r="12251" spans="1:14" x14ac:dyDescent="0.15">
      <c r="A12251" s="23" t="str">
        <f>HYPERLINK("https://www.spark-marketing.ru/Card/Person/31745", "ГКУСО МО ""ОРЕХОВО-ЗУЕВСКИЙ СРЦ ""НАШ ДОМ""")</f>
        <v>ГКУСО МО "ОРЕХОВО-ЗУЕВСКИЙ СРЦ "НАШ ДОМ"</v>
      </c>
      <c r="B12251" s="24" t="s">
        <v>327</v>
      </c>
      <c r="C12251" s="25">
        <v>13000</v>
      </c>
      <c r="D12251" s="22" t="s">
        <v>14577</v>
      </c>
      <c r="E12251" s="22" t="s">
        <v>107</v>
      </c>
      <c r="F12251" s="23" t="str">
        <f>HYPERLINK("https://www.spark-marketing.ru/Card/Lot/68695431", "Услуги по техническому обслуживанию (содержанию) систем охранной (противовзломной) сигнализации")</f>
        <v>Услуги по техническому обслуживанию (содержанию) систем охранной (противовзломной) сигнализации</v>
      </c>
      <c r="G12251" s="22" t="s">
        <v>50</v>
      </c>
      <c r="H12251" s="22" t="s">
        <v>14578</v>
      </c>
      <c r="I12251" s="26">
        <v>43538.565370370401</v>
      </c>
      <c r="J12251" s="28" t="s">
        <v>52</v>
      </c>
      <c r="K12251" s="28" t="s">
        <v>52</v>
      </c>
      <c r="L12251" s="28" t="s">
        <v>52</v>
      </c>
      <c r="M12251" s="28" t="s">
        <v>52</v>
      </c>
      <c r="N12251" s="28" t="s">
        <v>52</v>
      </c>
    </row>
    <row r="12252" spans="1:14" x14ac:dyDescent="0.15">
      <c r="A12252" s="23" t="str">
        <f>HYPERLINK("https://www.spark-marketing.ru/Card/Person/27662", "АДМИНИСТРАЦИЯ КУРГАНИНСКОГО ГОРОДСКОГО ПОСЕЛЕНИЯ КУРГАНИНСКОГО РАЙОНА")</f>
        <v>АДМИНИСТРАЦИЯ КУРГАНИНСКОГО ГОРОДСКОГО ПОСЕЛЕНИЯ КУРГАНИНСКОГО РАЙОНА</v>
      </c>
      <c r="B12252" s="24" t="s">
        <v>14579</v>
      </c>
      <c r="C12252" s="25">
        <v>1282734</v>
      </c>
      <c r="D12252" s="22" t="s">
        <v>14580</v>
      </c>
      <c r="E12252" s="22" t="s">
        <v>59</v>
      </c>
      <c r="F12252" s="23" t="str">
        <f>HYPERLINK("https://www.spark-marketing.ru/Card/Lot/68697994", "Содержание автомобильных дорог общего пользования местного значения (установка светофорного объекта) на пересечении ул. Ленина и ул. Пушкина в г. Курганинске")</f>
        <v>Содержание автомобильных дорог общего пользования местного значения (установка светофорного объекта) на пересечении ул. Ленина и ул. Пушкина в г. Курганинске</v>
      </c>
      <c r="G12252" s="22" t="s">
        <v>132</v>
      </c>
      <c r="H12252" s="22" t="s">
        <v>132</v>
      </c>
      <c r="I12252" s="26">
        <v>43538.5534722222</v>
      </c>
      <c r="J12252" s="23" t="str">
        <f>HYPERLINK("https://www.spark-marketing.ru/Card/Person/127376", "Ермак Борис Алексеевич")</f>
        <v>Ермак Борис Алексеевич</v>
      </c>
      <c r="K12252" s="24" t="s">
        <v>14581</v>
      </c>
      <c r="L12252" s="22" t="s">
        <v>10</v>
      </c>
      <c r="M12252" s="28" t="s">
        <v>52</v>
      </c>
      <c r="N12252" s="28" t="s">
        <v>52</v>
      </c>
    </row>
    <row r="12253" spans="1:14" x14ac:dyDescent="0.15">
      <c r="A12253" s="23" t="str">
        <f>HYPERLINK("https://www.spark-marketing.ru/Card/Person/104098", "МБУК ГОЩ ""МЕДВЕЖЬЕ-ОЗЕРСКАЯ ЦКС""")</f>
        <v>МБУК ГОЩ "МЕДВЕЖЬЕ-ОЗЕРСКАЯ ЦКС"</v>
      </c>
      <c r="B12253" s="24" t="s">
        <v>14575</v>
      </c>
      <c r="C12253" s="25">
        <v>28700</v>
      </c>
      <c r="D12253" s="22" t="s">
        <v>14582</v>
      </c>
      <c r="E12253" s="22" t="s">
        <v>103</v>
      </c>
      <c r="F12253" s="23" t="str">
        <f>HYPERLINK("https://www.spark-marketing.ru/Card/Lot/68695444", "Оказание услуг по техническому обслуживанию систем (элементов) видеонаблюдения (Никифоровский СДК)")</f>
        <v>Оказание услуг по техническому обслуживанию систем (элементов) видеонаблюдения (Никифоровский СДК)</v>
      </c>
      <c r="G12253" s="22" t="s">
        <v>50</v>
      </c>
      <c r="H12253" s="22" t="s">
        <v>458</v>
      </c>
      <c r="I12253" s="26">
        <v>43538.575856481497</v>
      </c>
      <c r="J12253" s="28" t="s">
        <v>52</v>
      </c>
      <c r="K12253" s="28" t="s">
        <v>52</v>
      </c>
      <c r="L12253" s="28" t="s">
        <v>52</v>
      </c>
      <c r="M12253" s="28" t="s">
        <v>52</v>
      </c>
      <c r="N12253" s="28" t="s">
        <v>52</v>
      </c>
    </row>
    <row r="12254" spans="1:14" x14ac:dyDescent="0.15">
      <c r="A12254" s="23" t="str">
        <f>HYPERLINK("https://www.spark-marketing.ru/Card/Person/8041", "МАУ МП ""ОБЪЕДИНЕНИЕ МОЛОДЕЖНЫХ ЦЕНТРОВ""")</f>
        <v>МАУ МП "ОБЪЕДИНЕНИЕ МОЛОДЕЖНЫХ ЦЕНТРОВ"</v>
      </c>
      <c r="B12254" s="24" t="s">
        <v>14583</v>
      </c>
      <c r="C12254" s="25">
        <v>250000</v>
      </c>
      <c r="D12254" s="22" t="s">
        <v>14584</v>
      </c>
      <c r="E12254" s="22" t="s">
        <v>144</v>
      </c>
      <c r="F12254" s="23" t="str">
        <f>HYPERLINK("https://www.spark-marketing.ru/Card/Lot/68692638", "Оказание охранных услуг по поддержанию общественного порядка в период проведения торжественных и иных мероприятий")</f>
        <v>Оказание охранных услуг по поддержанию общественного порядка в период проведения торжественных и иных мероприятий</v>
      </c>
      <c r="G12254" s="22" t="s">
        <v>190</v>
      </c>
      <c r="H12254" s="22" t="s">
        <v>190</v>
      </c>
      <c r="I12254" s="26">
        <v>43538.5288194444</v>
      </c>
      <c r="J12254" s="28" t="s">
        <v>52</v>
      </c>
      <c r="K12254" s="28" t="s">
        <v>52</v>
      </c>
      <c r="L12254" s="28" t="s">
        <v>52</v>
      </c>
      <c r="M12254" s="28" t="s">
        <v>52</v>
      </c>
      <c r="N12254" s="28" t="s">
        <v>52</v>
      </c>
    </row>
    <row r="12255" spans="1:14" x14ac:dyDescent="0.15">
      <c r="A12255" s="23" t="str">
        <f>HYPERLINK("https://www.spark-marketing.ru/Card/Person/7325", "ГБУЗ ""ГКБ №40 ДЗМ""")</f>
        <v>ГБУЗ "ГКБ №40 ДЗМ"</v>
      </c>
      <c r="B12255" s="24" t="s">
        <v>11094</v>
      </c>
      <c r="C12255" s="25">
        <v>1422515.53</v>
      </c>
      <c r="D12255" s="22" t="s">
        <v>14585</v>
      </c>
      <c r="E12255" s="22" t="s">
        <v>3069</v>
      </c>
      <c r="F12255" s="23" t="str">
        <f>HYPERLINK("https://www.spark-marketing.ru/Card/Lot/68697990", "Аукцион в электронной форме на поставку, установку и ввод в эксплуатацию видеоларингоскопа для трудной интубации в соответствии с постановлением Правительства РФ от 21.04.2016 г. № 332 (СОМС2018-102)")</f>
        <v>Аукцион в электронной форме на поставку, установку и ввод в эксплуатацию видеоларингоскопа для трудной интубации в соответствии с постановлением Правительства РФ от 21.04.2016 г. № 332 (СОМС2018-102)</v>
      </c>
      <c r="G12255" s="22" t="s">
        <v>55</v>
      </c>
      <c r="H12255" s="22" t="s">
        <v>55</v>
      </c>
      <c r="I12255" s="26">
        <v>43538.537499999999</v>
      </c>
      <c r="J12255" s="28" t="s">
        <v>52</v>
      </c>
      <c r="K12255" s="28" t="s">
        <v>52</v>
      </c>
      <c r="L12255" s="28" t="s">
        <v>52</v>
      </c>
      <c r="M12255" s="28" t="s">
        <v>52</v>
      </c>
      <c r="N12255" s="28" t="s">
        <v>52</v>
      </c>
    </row>
    <row r="12256" spans="1:14" ht="12.75" hidden="1" outlineLevel="1" x14ac:dyDescent="0.2">
      <c r="A12256" s="23" t="str">
        <f>HYPERLINK("https://www.spark-marketing.ru/Card/Person/7325", "ГБУЗ ""ГКБ №40 ДЗМ""")</f>
        <v>ГБУЗ "ГКБ №40 ДЗМ"</v>
      </c>
      <c r="B12256" s="24" t="s">
        <v>11094</v>
      </c>
      <c r="C12256" s="25">
        <v>1422515.53</v>
      </c>
      <c r="D12256" s="22" t="s">
        <v>14585</v>
      </c>
      <c r="E12256" s="22" t="s">
        <v>3069</v>
      </c>
      <c r="F12256" s="23" t="str">
        <f>HYPERLINK("https://www.spark-marketing.ru/Card/Lot/68697990", "Аукцион в электронной форме на поставку, установку и ввод в эксплуатацию видеоларингоскопа для трудной интубации в соответствии с постановлением Правительства РФ от 21.04.2016 г. № 332 (СОМС2018-102)")</f>
        <v>Аукцион в электронной форме на поставку, установку и ввод в эксплуатацию видеоларингоскопа для трудной интубации в соответствии с постановлением Правительства РФ от 21.04.2016 г. № 332 (СОМС2018-102)</v>
      </c>
      <c r="G12256" s="22" t="s">
        <v>55</v>
      </c>
      <c r="H12256" s="22" t="s">
        <v>55</v>
      </c>
      <c r="I12256" s="26">
        <v>43538.537499999999</v>
      </c>
      <c r="J12256" s="23" t="str">
        <f>HYPERLINK("https://www.spark-marketing.ru/Card/Person/6116976", "ООО ""НЕОМЕД""")</f>
        <v>ООО "НЕОМЕД"</v>
      </c>
      <c r="K12256" s="24" t="s">
        <v>3070</v>
      </c>
      <c r="L12256" s="22" t="s">
        <v>10</v>
      </c>
      <c r="M12256" s="25">
        <v>1415402.95</v>
      </c>
      <c r="N12256" s="27">
        <v>5.0000016520030544E-3</v>
      </c>
    </row>
    <row r="12257" spans="1:14" hidden="1" outlineLevel="1" x14ac:dyDescent="0.2">
      <c r="A12257" s="23" t="str">
        <f>HYPERLINK("https://www.spark-marketing.ru/Card/Person/7325", "ГБУЗ ""ГКБ №40 ДЗМ""")</f>
        <v>ГБУЗ "ГКБ №40 ДЗМ"</v>
      </c>
      <c r="B12257" s="24" t="s">
        <v>11094</v>
      </c>
      <c r="C12257" s="25">
        <v>1422515.53</v>
      </c>
      <c r="D12257" s="22" t="s">
        <v>14585</v>
      </c>
      <c r="E12257" s="22" t="s">
        <v>3069</v>
      </c>
      <c r="F12257" s="23" t="str">
        <f>HYPERLINK("https://www.spark-marketing.ru/Card/Lot/68697990", "Аукцион в электронной форме на поставку, установку и ввод в эксплуатацию видеоларингоскопа для трудной интубации в соответствии с постановлением Правительства РФ от 21.04.2016 г. № 332 (СОМС2018-102)")</f>
        <v>Аукцион в электронной форме на поставку, установку и ввод в эксплуатацию видеоларингоскопа для трудной интубации в соответствии с постановлением Правительства РФ от 21.04.2016 г. № 332 (СОМС2018-102)</v>
      </c>
      <c r="G12257" s="22" t="s">
        <v>55</v>
      </c>
      <c r="H12257" s="22" t="s">
        <v>55</v>
      </c>
      <c r="I12257" s="26">
        <v>43538.537499999999</v>
      </c>
      <c r="J12257" s="23" t="str">
        <f>HYPERLINK("https://www.spark-marketing.ru/Card/Person/6437493", "ООО ""ПРАЙД МЕДИКАЛ""")</f>
        <v>ООО "ПРАЙД МЕДИКАЛ"</v>
      </c>
      <c r="K12257" s="24" t="s">
        <v>3071</v>
      </c>
      <c r="L12257" s="28" t="s">
        <v>52</v>
      </c>
      <c r="M12257" s="25">
        <v>1415402.95</v>
      </c>
      <c r="N12257" s="27">
        <v>5.0000016520030544E-3</v>
      </c>
    </row>
    <row r="12258" spans="1:14" x14ac:dyDescent="0.15">
      <c r="A12258" s="23" t="str">
        <f>HYPERLINK("https://www.spark-marketing.ru/Card/Person/26418", "ГЛАВНОЕ УПРАВЛЕНИЕ МЧС РОССИИ ПО МУРМАНСКОЙ ОБЛАСТИ")</f>
        <v>ГЛАВНОЕ УПРАВЛЕНИЕ МЧС РОССИИ ПО МУРМАНСКОЙ ОБЛАСТИ</v>
      </c>
      <c r="B12258" s="24" t="s">
        <v>8062</v>
      </c>
      <c r="C12258" s="25">
        <v>256815</v>
      </c>
      <c r="D12258" s="22" t="s">
        <v>14586</v>
      </c>
      <c r="E12258" s="22" t="s">
        <v>68</v>
      </c>
      <c r="F12258" s="23" t="str">
        <f>HYPERLINK("https://www.spark-marketing.ru/Card/Lot/68695833", "Оказание услуг по охране объектов")</f>
        <v>Оказание услуг по охране объектов</v>
      </c>
      <c r="G12258" s="22" t="s">
        <v>190</v>
      </c>
      <c r="H12258" s="22" t="s">
        <v>190</v>
      </c>
      <c r="I12258" s="26">
        <v>43538.532638888901</v>
      </c>
      <c r="J12258" s="28" t="s">
        <v>52</v>
      </c>
      <c r="K12258" s="28" t="s">
        <v>52</v>
      </c>
      <c r="L12258" s="28" t="s">
        <v>52</v>
      </c>
      <c r="M12258" s="28" t="s">
        <v>52</v>
      </c>
      <c r="N12258" s="28" t="s">
        <v>52</v>
      </c>
    </row>
    <row r="12259" spans="1:14" x14ac:dyDescent="0.15">
      <c r="A12259" s="23" t="str">
        <f>HYPERLINK("https://www.spark-marketing.ru/Card/Person/78260", "МОУ ШКОЛА № 13 С УИОП")</f>
        <v>МОУ ШКОЛА № 13 С УИОП</v>
      </c>
      <c r="B12259" s="24" t="s">
        <v>14587</v>
      </c>
      <c r="C12259" s="25">
        <v>49950</v>
      </c>
      <c r="D12259" s="22" t="s">
        <v>14588</v>
      </c>
      <c r="E12259" s="22" t="s">
        <v>294</v>
      </c>
      <c r="F12259" s="23" t="str">
        <f>HYPERLINK("https://www.spark-marketing.ru/Card/Lot/68691790", "Оказание услуг по техническому обслуживанию оборудования, входящего в систему видеонаблюдения в период проведения ЕГЭ")</f>
        <v>Оказание услуг по техническому обслуживанию оборудования, входящего в систему видеонаблюдения в период проведения ЕГЭ</v>
      </c>
      <c r="G12259" s="22" t="s">
        <v>50</v>
      </c>
      <c r="H12259" s="22" t="s">
        <v>6661</v>
      </c>
      <c r="I12259" s="26">
        <v>43538.523715277799</v>
      </c>
      <c r="J12259" s="28" t="s">
        <v>52</v>
      </c>
      <c r="K12259" s="28" t="s">
        <v>52</v>
      </c>
      <c r="L12259" s="28" t="s">
        <v>52</v>
      </c>
      <c r="M12259" s="28" t="s">
        <v>52</v>
      </c>
      <c r="N12259" s="28" t="s">
        <v>52</v>
      </c>
    </row>
    <row r="12260" spans="1:14" x14ac:dyDescent="0.15">
      <c r="A12260" s="23" t="str">
        <f>HYPERLINK("https://www.spark-marketing.ru/Card/Person/1077505", "МБУ ""КМЦ""")</f>
        <v>МБУ "КМЦ"</v>
      </c>
      <c r="B12260" s="24" t="s">
        <v>14589</v>
      </c>
      <c r="C12260" s="25">
        <v>11231.9</v>
      </c>
      <c r="D12260" s="22" t="s">
        <v>14590</v>
      </c>
      <c r="E12260" s="22" t="s">
        <v>103</v>
      </c>
      <c r="F12260" s="23" t="str">
        <f>HYPERLINK("https://www.spark-marketing.ru/Card/Lot/68690835", "Услуги по техническому обслуживанию комплекса технических средств охраны")</f>
        <v>Услуги по техническому обслуживанию комплекса технических средств охраны</v>
      </c>
      <c r="G12260" s="22" t="s">
        <v>50</v>
      </c>
      <c r="H12260" s="22" t="s">
        <v>3866</v>
      </c>
      <c r="I12260" s="26">
        <v>43538.482581018499</v>
      </c>
      <c r="J12260" s="28" t="s">
        <v>52</v>
      </c>
      <c r="K12260" s="28" t="s">
        <v>52</v>
      </c>
      <c r="L12260" s="28" t="s">
        <v>52</v>
      </c>
      <c r="M12260" s="28" t="s">
        <v>52</v>
      </c>
      <c r="N12260" s="28" t="s">
        <v>52</v>
      </c>
    </row>
    <row r="12261" spans="1:14" x14ac:dyDescent="0.15">
      <c r="A12261" s="23" t="str">
        <f>HYPERLINK("https://www.spark-marketing.ru/Card/Person/19133", "МРУ РОСАЛКОГОЛЬРЕГУЛИРОВАНИЯ ПО ЮЖНОМУ ФЕДЕРАЛЬНОМУ ОКРУГУ")</f>
        <v>МРУ РОСАЛКОГОЛЬРЕГУЛИРОВАНИЯ ПО ЮЖНОМУ ФЕДЕРАЛЬНОМУ ОКРУГУ</v>
      </c>
      <c r="B12261" s="24" t="s">
        <v>14591</v>
      </c>
      <c r="C12261" s="25">
        <v>74452.800000000003</v>
      </c>
      <c r="D12261" s="22" t="s">
        <v>14592</v>
      </c>
      <c r="E12261" s="22" t="s">
        <v>53</v>
      </c>
      <c r="F12261" s="23" t="str">
        <f>HYPERLINK("https://www.spark-marketing.ru/Card/Lot/70794885", "Пультовая охрана")</f>
        <v>Пультовая охрана</v>
      </c>
      <c r="G12261" s="22" t="s">
        <v>402</v>
      </c>
      <c r="H12261" s="22" t="s">
        <v>403</v>
      </c>
      <c r="I12261" s="26">
        <v>43538.490543981497</v>
      </c>
      <c r="J12261" s="28" t="s">
        <v>52</v>
      </c>
      <c r="K12261" s="28" t="s">
        <v>52</v>
      </c>
      <c r="L12261" s="28" t="s">
        <v>52</v>
      </c>
      <c r="M12261" s="28" t="s">
        <v>52</v>
      </c>
      <c r="N12261" s="28" t="s">
        <v>52</v>
      </c>
    </row>
    <row r="12262" spans="1:14" x14ac:dyDescent="0.15">
      <c r="A12262" s="23" t="str">
        <f>HYPERLINK("https://www.spark-marketing.ru/Card/Person/68471", "АДМИНИСТРАЦИЯ МО ""ЧУРАПЧИНСКИЙ НАСЛЕГ"" ЧУРАПЧИНСКОГО УЛУСА (РАЙОНА) РС(Я)")</f>
        <v>АДМИНИСТРАЦИЯ МО "ЧУРАПЧИНСКИЙ НАСЛЕГ" ЧУРАПЧИНСКОГО УЛУСА (РАЙОНА) РС(Я)</v>
      </c>
      <c r="B12262" s="24" t="s">
        <v>14593</v>
      </c>
      <c r="C12262" s="25">
        <v>1600000</v>
      </c>
      <c r="D12262" s="22" t="s">
        <v>14594</v>
      </c>
      <c r="E12262" s="22" t="s">
        <v>59</v>
      </c>
      <c r="F12262" s="23" t="str">
        <f>HYPERLINK("https://www.spark-marketing.ru/Card/Lot/68681855", "Содержание и техническое обслуживание сетей уличного освещения, расположенных на территории МО ""Чурапчинский наслег""")</f>
        <v>Содержание и техническое обслуживание сетей уличного освещения, расположенных на территории МО "Чурапчинский наслег"</v>
      </c>
      <c r="G12262" s="22" t="s">
        <v>424</v>
      </c>
      <c r="H12262" s="22" t="s">
        <v>5271</v>
      </c>
      <c r="I12262" s="26">
        <v>43538.452083333301</v>
      </c>
      <c r="J12262" s="28" t="s">
        <v>52</v>
      </c>
      <c r="K12262" s="28" t="s">
        <v>52</v>
      </c>
      <c r="L12262" s="28" t="s">
        <v>52</v>
      </c>
      <c r="M12262" s="28" t="s">
        <v>52</v>
      </c>
      <c r="N12262" s="28" t="s">
        <v>52</v>
      </c>
    </row>
    <row r="12263" spans="1:14" hidden="1" outlineLevel="1" x14ac:dyDescent="0.2">
      <c r="A12263" s="23" t="str">
        <f>HYPERLINK("https://www.spark-marketing.ru/Card/Person/68471", "АДМИНИСТРАЦИЯ МО ""ЧУРАПЧИНСКИЙ НАСЛЕГ"" ЧУРАПЧИНСКОГО УЛУСА (РАЙОНА) РС(Я)")</f>
        <v>АДМИНИСТРАЦИЯ МО "ЧУРАПЧИНСКИЙ НАСЛЕГ" ЧУРАПЧИНСКОГО УЛУСА (РАЙОНА) РС(Я)</v>
      </c>
      <c r="B12263" s="24" t="s">
        <v>14593</v>
      </c>
      <c r="C12263" s="25">
        <v>1600000</v>
      </c>
      <c r="D12263" s="22" t="s">
        <v>14594</v>
      </c>
      <c r="E12263" s="22" t="s">
        <v>59</v>
      </c>
      <c r="F12263" s="23" t="str">
        <f>HYPERLINK("https://www.spark-marketing.ru/Card/Lot/68681855", "Содержание и техническое обслуживание сетей уличного освещения, расположенных на территории МО ""Чурапчинский наслег""")</f>
        <v>Содержание и техническое обслуживание сетей уличного освещения, расположенных на территории МО "Чурапчинский наслег"</v>
      </c>
      <c r="G12263" s="22" t="s">
        <v>424</v>
      </c>
      <c r="H12263" s="22" t="s">
        <v>5271</v>
      </c>
      <c r="I12263" s="26">
        <v>43538.452083333301</v>
      </c>
      <c r="J12263" s="23" t="str">
        <f>HYPERLINK("https://www.spark-marketing.ru/Card/Person/1160273", "ООО ""САХА БИЗНЕС ГРУППА""")</f>
        <v>ООО "САХА БИЗНЕС ГРУППА"</v>
      </c>
      <c r="K12263" s="24" t="s">
        <v>14595</v>
      </c>
      <c r="L12263" s="28" t="s">
        <v>52</v>
      </c>
      <c r="M12263" s="25">
        <v>1292000</v>
      </c>
      <c r="N12263" s="27">
        <v>0.1925</v>
      </c>
    </row>
    <row r="12264" spans="1:14" hidden="1" outlineLevel="1" x14ac:dyDescent="0.2">
      <c r="A12264" s="23" t="str">
        <f>HYPERLINK("https://www.spark-marketing.ru/Card/Person/68471", "АДМИНИСТРАЦИЯ МО ""ЧУРАПЧИНСКИЙ НАСЛЕГ"" ЧУРАПЧИНСКОГО УЛУСА (РАЙОНА) РС(Я)")</f>
        <v>АДМИНИСТРАЦИЯ МО "ЧУРАПЧИНСКИЙ НАСЛЕГ" ЧУРАПЧИНСКОГО УЛУСА (РАЙОНА) РС(Я)</v>
      </c>
      <c r="B12264" s="24" t="s">
        <v>14593</v>
      </c>
      <c r="C12264" s="25">
        <v>1600000</v>
      </c>
      <c r="D12264" s="22" t="s">
        <v>14594</v>
      </c>
      <c r="E12264" s="22" t="s">
        <v>59</v>
      </c>
      <c r="F12264" s="23" t="str">
        <f>HYPERLINK("https://www.spark-marketing.ru/Card/Lot/68681855", "Содержание и техническое обслуживание сетей уличного освещения, расположенных на территории МО ""Чурапчинский наслег""")</f>
        <v>Содержание и техническое обслуживание сетей уличного освещения, расположенных на территории МО "Чурапчинский наслег"</v>
      </c>
      <c r="G12264" s="22" t="s">
        <v>424</v>
      </c>
      <c r="H12264" s="22" t="s">
        <v>5271</v>
      </c>
      <c r="I12264" s="26">
        <v>43538.452083333301</v>
      </c>
      <c r="J12264" s="23" t="str">
        <f>HYPERLINK("https://www.spark-marketing.ru/Card/Person/6491526", "ООО ""АРКТИК ТРЕЙД""")</f>
        <v>ООО "АРКТИК ТРЕЙД"</v>
      </c>
      <c r="K12264" s="24" t="s">
        <v>14596</v>
      </c>
      <c r="L12264" s="28" t="s">
        <v>52</v>
      </c>
      <c r="M12264" s="25">
        <v>1292000</v>
      </c>
      <c r="N12264" s="27">
        <v>0.1925</v>
      </c>
    </row>
    <row r="12265" spans="1:14" ht="12.75" hidden="1" outlineLevel="1" x14ac:dyDescent="0.2">
      <c r="A12265" s="23" t="str">
        <f>HYPERLINK("https://www.spark-marketing.ru/Card/Person/68471", "АДМИНИСТРАЦИЯ МО ""ЧУРАПЧИНСКИЙ НАСЛЕГ"" ЧУРАПЧИНСКОГО УЛУСА (РАЙОНА) РС(Я)")</f>
        <v>АДМИНИСТРАЦИЯ МО "ЧУРАПЧИНСКИЙ НАСЛЕГ" ЧУРАПЧИНСКОГО УЛУСА (РАЙОНА) РС(Я)</v>
      </c>
      <c r="B12265" s="24" t="s">
        <v>14593</v>
      </c>
      <c r="C12265" s="25">
        <v>1600000</v>
      </c>
      <c r="D12265" s="22" t="s">
        <v>14594</v>
      </c>
      <c r="E12265" s="22" t="s">
        <v>59</v>
      </c>
      <c r="F12265" s="23" t="str">
        <f>HYPERLINK("https://www.spark-marketing.ru/Card/Lot/68681855", "Содержание и техническое обслуживание сетей уличного освещения, расположенных на территории МО ""Чурапчинский наслег""")</f>
        <v>Содержание и техническое обслуживание сетей уличного освещения, расположенных на территории МО "Чурапчинский наслег"</v>
      </c>
      <c r="G12265" s="22" t="s">
        <v>424</v>
      </c>
      <c r="H12265" s="22" t="s">
        <v>5271</v>
      </c>
      <c r="I12265" s="26">
        <v>43538.452083333301</v>
      </c>
      <c r="J12265" s="23" t="str">
        <f>HYPERLINK("https://www.spark-marketing.ru/Card/Person/5825905", "ООО ""ВОСТОКСТРОЙ""")</f>
        <v>ООО "ВОСТОКСТРОЙ"</v>
      </c>
      <c r="K12265" s="24" t="s">
        <v>14597</v>
      </c>
      <c r="L12265" s="22" t="s">
        <v>10</v>
      </c>
      <c r="M12265" s="25">
        <v>1284000</v>
      </c>
      <c r="N12265" s="27">
        <v>0.19750000000000001</v>
      </c>
    </row>
    <row r="12266" spans="1:14" x14ac:dyDescent="0.15">
      <c r="A12266" s="23" t="str">
        <f>HYPERLINK("https://www.spark-marketing.ru/Card/Person/27953", "АДМИНИСТРАЦИЯ БМР САРАТОВ. ОБЛ.")</f>
        <v>АДМИНИСТРАЦИЯ БМР САРАТОВ. ОБЛ.</v>
      </c>
      <c r="B12266" s="24" t="s">
        <v>11869</v>
      </c>
      <c r="C12266" s="25">
        <v>267950</v>
      </c>
      <c r="D12266" s="22" t="s">
        <v>14598</v>
      </c>
      <c r="E12266" s="22" t="s">
        <v>52</v>
      </c>
      <c r="F12266" s="23" t="str">
        <f>HYPERLINK("https://www.spark-marketing.ru/Card/Lot/68687881", "Оказание услуг по содействию в обеспечении охраны общественного правопорядка")</f>
        <v>Оказание услуг по содействию в обеспечении охраны общественного правопорядка</v>
      </c>
      <c r="G12266" s="22" t="s">
        <v>80</v>
      </c>
      <c r="H12266" s="22" t="s">
        <v>80</v>
      </c>
      <c r="I12266" s="26">
        <v>43538.453472222202</v>
      </c>
      <c r="J12266" s="28" t="s">
        <v>52</v>
      </c>
      <c r="K12266" s="28" t="s">
        <v>52</v>
      </c>
      <c r="L12266" s="28" t="s">
        <v>52</v>
      </c>
      <c r="M12266" s="28" t="s">
        <v>52</v>
      </c>
      <c r="N12266" s="28" t="s">
        <v>52</v>
      </c>
    </row>
    <row r="12267" spans="1:14" x14ac:dyDescent="0.15">
      <c r="A12267" s="23" t="str">
        <f>HYPERLINK("https://www.spark-marketing.ru/Card/Person/653214", "УПФР В ПАВЛОВСКОМ РАЙОНЕ ВОРОНЕЖСКОЙ ОБЛАСТИ")</f>
        <v>УПФР В ПАВЛОВСКОМ РАЙОНЕ ВОРОНЕЖСКОЙ ОБЛАСТИ</v>
      </c>
      <c r="B12267" s="24" t="s">
        <v>14599</v>
      </c>
      <c r="C12267" s="25">
        <v>74325</v>
      </c>
      <c r="D12267" s="22" t="s">
        <v>14600</v>
      </c>
      <c r="E12267" s="22" t="s">
        <v>194</v>
      </c>
      <c r="F12267" s="23" t="str">
        <f>HYPERLINK("https://www.spark-marketing.ru/Card/Lot/68689823", "Оказание услуг по техническому обслуживанию систем видеонаблюдения")</f>
        <v>Оказание услуг по техническому обслуживанию систем видеонаблюдения</v>
      </c>
      <c r="G12267" s="22" t="s">
        <v>552</v>
      </c>
      <c r="H12267" s="22" t="s">
        <v>552</v>
      </c>
      <c r="I12267" s="26">
        <v>43538.4506944444</v>
      </c>
      <c r="J12267" s="28" t="s">
        <v>52</v>
      </c>
      <c r="K12267" s="28" t="s">
        <v>52</v>
      </c>
      <c r="L12267" s="28" t="s">
        <v>52</v>
      </c>
      <c r="M12267" s="28" t="s">
        <v>52</v>
      </c>
      <c r="N12267" s="28" t="s">
        <v>52</v>
      </c>
    </row>
    <row r="12268" spans="1:14" hidden="1" outlineLevel="1" x14ac:dyDescent="0.2">
      <c r="A12268" s="23" t="str">
        <f>HYPERLINK("https://www.spark-marketing.ru/Card/Person/653214", "УПФР В ПАВЛОВСКОМ РАЙОНЕ ВОРОНЕЖСКОЙ ОБЛАСТИ")</f>
        <v>УПФР В ПАВЛОВСКОМ РАЙОНЕ ВОРОНЕЖСКОЙ ОБЛАСТИ</v>
      </c>
      <c r="B12268" s="24" t="s">
        <v>14599</v>
      </c>
      <c r="C12268" s="25">
        <v>74325</v>
      </c>
      <c r="D12268" s="22" t="s">
        <v>14600</v>
      </c>
      <c r="E12268" s="22" t="s">
        <v>194</v>
      </c>
      <c r="F12268" s="23" t="str">
        <f>HYPERLINK("https://www.spark-marketing.ru/Card/Lot/68689823", "Оказание услуг по техническому обслуживанию систем видеонаблюдения")</f>
        <v>Оказание услуг по техническому обслуживанию систем видеонаблюдения</v>
      </c>
      <c r="G12268" s="22" t="s">
        <v>552</v>
      </c>
      <c r="H12268" s="22" t="s">
        <v>552</v>
      </c>
      <c r="I12268" s="26">
        <v>43538.4506944444</v>
      </c>
      <c r="J12268" s="23" t="str">
        <f>HYPERLINK("https://www.spark-marketing.ru/Card/Person/275285", "ООО""ГЕФЕСТ""")</f>
        <v>ООО"ГЕФЕСТ"</v>
      </c>
      <c r="K12268" s="24" t="s">
        <v>14601</v>
      </c>
      <c r="L12268" s="28" t="s">
        <v>52</v>
      </c>
      <c r="M12268" s="25">
        <v>48000</v>
      </c>
      <c r="N12268" s="27">
        <v>0.35418768920282545</v>
      </c>
    </row>
    <row r="12269" spans="1:14" ht="12.75" hidden="1" outlineLevel="1" x14ac:dyDescent="0.2">
      <c r="A12269" s="23" t="str">
        <f>HYPERLINK("https://www.spark-marketing.ru/Card/Person/653214", "УПФР В ПАВЛОВСКОМ РАЙОНЕ ВОРОНЕЖСКОЙ ОБЛАСТИ")</f>
        <v>УПФР В ПАВЛОВСКОМ РАЙОНЕ ВОРОНЕЖСКОЙ ОБЛАСТИ</v>
      </c>
      <c r="B12269" s="24" t="s">
        <v>14599</v>
      </c>
      <c r="C12269" s="25">
        <v>74325</v>
      </c>
      <c r="D12269" s="22" t="s">
        <v>14600</v>
      </c>
      <c r="E12269" s="22" t="s">
        <v>194</v>
      </c>
      <c r="F12269" s="23" t="str">
        <f>HYPERLINK("https://www.spark-marketing.ru/Card/Lot/68689823", "Оказание услуг по техническому обслуживанию систем видеонаблюдения")</f>
        <v>Оказание услуг по техническому обслуживанию систем видеонаблюдения</v>
      </c>
      <c r="G12269" s="22" t="s">
        <v>552</v>
      </c>
      <c r="H12269" s="22" t="s">
        <v>552</v>
      </c>
      <c r="I12269" s="26">
        <v>43538.4506944444</v>
      </c>
      <c r="J12269" s="23" t="str">
        <f>HYPERLINK("https://www.spark-marketing.ru/Card/Person/1920691", "ООО ""КОМБАТ""")</f>
        <v>ООО "КОМБАТ"</v>
      </c>
      <c r="K12269" s="24" t="s">
        <v>8784</v>
      </c>
      <c r="L12269" s="22" t="s">
        <v>10</v>
      </c>
      <c r="M12269" s="25">
        <v>45000</v>
      </c>
      <c r="N12269" s="27">
        <v>0.39455095862764883</v>
      </c>
    </row>
    <row r="12270" spans="1:14" hidden="1" outlineLevel="1" x14ac:dyDescent="0.2">
      <c r="A12270" s="23" t="str">
        <f>HYPERLINK("https://www.spark-marketing.ru/Card/Person/653214", "УПФР В ПАВЛОВСКОМ РАЙОНЕ ВОРОНЕЖСКОЙ ОБЛАСТИ")</f>
        <v>УПФР В ПАВЛОВСКОМ РАЙОНЕ ВОРОНЕЖСКОЙ ОБЛАСТИ</v>
      </c>
      <c r="B12270" s="24" t="s">
        <v>14599</v>
      </c>
      <c r="C12270" s="25">
        <v>74325</v>
      </c>
      <c r="D12270" s="22" t="s">
        <v>14600</v>
      </c>
      <c r="E12270" s="22" t="s">
        <v>194</v>
      </c>
      <c r="F12270" s="23" t="str">
        <f>HYPERLINK("https://www.spark-marketing.ru/Card/Lot/68689823", "Оказание услуг по техническому обслуживанию систем видеонаблюдения")</f>
        <v>Оказание услуг по техническому обслуживанию систем видеонаблюдения</v>
      </c>
      <c r="G12270" s="22" t="s">
        <v>552</v>
      </c>
      <c r="H12270" s="22" t="s">
        <v>552</v>
      </c>
      <c r="I12270" s="26">
        <v>43538.4506944444</v>
      </c>
      <c r="J12270" s="23" t="str">
        <f>HYPERLINK("https://www.spark-marketing.ru/Card/Person/513419", "ООО ""ТЕХНОЛОГИИ КОМФОРТА""")</f>
        <v>ООО "ТЕХНОЛОГИИ КОМФОРТА"</v>
      </c>
      <c r="K12270" s="24" t="s">
        <v>14602</v>
      </c>
      <c r="L12270" s="28" t="s">
        <v>52</v>
      </c>
      <c r="M12270" s="25">
        <v>57000</v>
      </c>
      <c r="N12270" s="27">
        <v>0.23309788092835521</v>
      </c>
    </row>
    <row r="12271" spans="1:14" x14ac:dyDescent="0.15">
      <c r="A12271" s="23" t="str">
        <f>HYPERLINK("https://www.spark-marketing.ru/Card/Person/1781604", "ФКУ ""ГБ МСЭ ПО ВОЛОГОДСКОЙ ОБЛАСТИ"" МИНТРУДА РОССИИ")</f>
        <v>ФКУ "ГБ МСЭ ПО ВОЛОГОДСКОЙ ОБЛАСТИ" МИНТРУДА РОССИИ</v>
      </c>
      <c r="B12271" s="24" t="s">
        <v>14603</v>
      </c>
      <c r="C12271" s="25">
        <v>23000</v>
      </c>
      <c r="D12271" s="22" t="s">
        <v>14604</v>
      </c>
      <c r="E12271" s="22" t="s">
        <v>53</v>
      </c>
      <c r="F12271" s="23" t="str">
        <f>HYPERLINK("https://www.spark-marketing.ru/Card/Lot/70795908", "разработка технического решенияи составление локальных смет на установку внутренней системы аудио и видеофиксации в здании по адресам:г. Вологда, ул. Ленина, д.7; г. Вологда, ул. Красноармейская, д.35; г. Череповец, пр. Победы, д. 17; г. Великий Устю...")</f>
        <v>разработка технического решенияи составление локальных смет на установку внутренней системы аудио и видеофиксации в здании по адресам:г. Вологда, ул. Ленина, д.7; г. Вологда, ул. Красноармейская, д.35; г. Череповец, пр. Победы, д. 17; г. Великий Устю...</v>
      </c>
      <c r="G12271" s="22" t="s">
        <v>902</v>
      </c>
      <c r="H12271" s="22" t="s">
        <v>903</v>
      </c>
      <c r="I12271" s="26">
        <v>43538.413020833301</v>
      </c>
      <c r="J12271" s="28" t="s">
        <v>52</v>
      </c>
      <c r="K12271" s="28" t="s">
        <v>52</v>
      </c>
      <c r="L12271" s="28" t="s">
        <v>52</v>
      </c>
      <c r="M12271" s="28" t="s">
        <v>52</v>
      </c>
      <c r="N12271" s="28" t="s">
        <v>52</v>
      </c>
    </row>
    <row r="12272" spans="1:14" x14ac:dyDescent="0.15">
      <c r="A12272" s="23" t="str">
        <f>HYPERLINK("https://www.spark-marketing.ru/Card/Person/24398", "ГКУ КАЛУЖСКОЙ ОБЛАСТИ ""КАЛУГАДОРЗАКАЗЧИК""")</f>
        <v>ГКУ КАЛУЖСКОЙ ОБЛАСТИ "КАЛУГАДОРЗАКАЗЧИК"</v>
      </c>
      <c r="B12272" s="24" t="s">
        <v>7693</v>
      </c>
      <c r="C12272" s="25">
        <v>4920000</v>
      </c>
      <c r="D12272" s="22" t="s">
        <v>14605</v>
      </c>
      <c r="E12272" s="22" t="s">
        <v>68</v>
      </c>
      <c r="F12272" s="23" t="str">
        <f>HYPERLINK("https://www.spark-marketing.ru/Card/Lot/68686900", "Оказание услуг по обеспечению транспортной безопасности")</f>
        <v>Оказание услуг по обеспечению транспортной безопасности</v>
      </c>
      <c r="G12272" s="22" t="s">
        <v>658</v>
      </c>
      <c r="H12272" s="22" t="s">
        <v>741</v>
      </c>
      <c r="I12272" s="26">
        <v>43538.405555555597</v>
      </c>
      <c r="J12272" s="28" t="s">
        <v>52</v>
      </c>
      <c r="K12272" s="28" t="s">
        <v>52</v>
      </c>
      <c r="L12272" s="28" t="s">
        <v>52</v>
      </c>
      <c r="M12272" s="28" t="s">
        <v>52</v>
      </c>
      <c r="N12272" s="28" t="s">
        <v>52</v>
      </c>
    </row>
    <row r="12273" spans="1:14" ht="12.75" hidden="1" outlineLevel="1" x14ac:dyDescent="0.2">
      <c r="A12273" s="23" t="str">
        <f>HYPERLINK("https://www.spark-marketing.ru/Card/Person/24398", "ГКУ КАЛУЖСКОЙ ОБЛАСТИ ""КАЛУГАДОРЗАКАЗЧИК""")</f>
        <v>ГКУ КАЛУЖСКОЙ ОБЛАСТИ "КАЛУГАДОРЗАКАЗЧИК"</v>
      </c>
      <c r="B12273" s="24" t="s">
        <v>7693</v>
      </c>
      <c r="C12273" s="25">
        <v>4920000</v>
      </c>
      <c r="D12273" s="22" t="s">
        <v>14605</v>
      </c>
      <c r="E12273" s="22" t="s">
        <v>68</v>
      </c>
      <c r="F12273" s="23" t="str">
        <f>HYPERLINK("https://www.spark-marketing.ru/Card/Lot/68686900", "Оказание услуг по обеспечению транспортной безопасности")</f>
        <v>Оказание услуг по обеспечению транспортной безопасности</v>
      </c>
      <c r="G12273" s="22" t="s">
        <v>658</v>
      </c>
      <c r="H12273" s="22" t="s">
        <v>741</v>
      </c>
      <c r="I12273" s="26">
        <v>43538.405555555597</v>
      </c>
      <c r="J12273" s="23" t="str">
        <f>HYPERLINK("https://www.spark-marketing.ru/Card/Person/1978058", "ООО ""ФОРМУЛА БЕЗОПАСНОСТИ ТРАНСПОРТА""")</f>
        <v>ООО "ФОРМУЛА БЕЗОПАСНОСТИ ТРАНСПОРТА"</v>
      </c>
      <c r="K12273" s="24" t="s">
        <v>3385</v>
      </c>
      <c r="L12273" s="22" t="s">
        <v>10</v>
      </c>
      <c r="M12273" s="25">
        <v>4821600</v>
      </c>
      <c r="N12273" s="27">
        <v>0.02</v>
      </c>
    </row>
    <row r="12274" spans="1:14" hidden="1" outlineLevel="1" x14ac:dyDescent="0.2">
      <c r="A12274" s="23" t="str">
        <f>HYPERLINK("https://www.spark-marketing.ru/Card/Person/24398", "ГКУ КАЛУЖСКОЙ ОБЛАСТИ ""КАЛУГАДОРЗАКАЗЧИК""")</f>
        <v>ГКУ КАЛУЖСКОЙ ОБЛАСТИ "КАЛУГАДОРЗАКАЗЧИК"</v>
      </c>
      <c r="B12274" s="24" t="s">
        <v>7693</v>
      </c>
      <c r="C12274" s="25">
        <v>4920000</v>
      </c>
      <c r="D12274" s="22" t="s">
        <v>14605</v>
      </c>
      <c r="E12274" s="22" t="s">
        <v>68</v>
      </c>
      <c r="F12274" s="23" t="str">
        <f>HYPERLINK("https://www.spark-marketing.ru/Card/Lot/68686900", "Оказание услуг по обеспечению транспортной безопасности")</f>
        <v>Оказание услуг по обеспечению транспортной безопасности</v>
      </c>
      <c r="G12274" s="22" t="s">
        <v>658</v>
      </c>
      <c r="H12274" s="22" t="s">
        <v>741</v>
      </c>
      <c r="I12274" s="26">
        <v>43538.405555555597</v>
      </c>
      <c r="J12274" s="23" t="str">
        <f>HYPERLINK("https://www.spark-marketing.ru/Card/Person/81571", "ООО ""СО ""АНТИТЕРРОР""")</f>
        <v>ООО "СО "АНТИТЕРРОР"</v>
      </c>
      <c r="K12274" s="24" t="s">
        <v>3384</v>
      </c>
      <c r="L12274" s="28" t="s">
        <v>52</v>
      </c>
      <c r="M12274" s="25">
        <v>4846200</v>
      </c>
      <c r="N12274" s="27">
        <v>1.4999999999999999E-2</v>
      </c>
    </row>
    <row r="12275" spans="1:14" hidden="1" outlineLevel="1" x14ac:dyDescent="0.2">
      <c r="A12275" s="23" t="str">
        <f>HYPERLINK("https://www.spark-marketing.ru/Card/Person/24398", "ГКУ КАЛУЖСКОЙ ОБЛАСТИ ""КАЛУГАДОРЗАКАЗЧИК""")</f>
        <v>ГКУ КАЛУЖСКОЙ ОБЛАСТИ "КАЛУГАДОРЗАКАЗЧИК"</v>
      </c>
      <c r="B12275" s="24" t="s">
        <v>7693</v>
      </c>
      <c r="C12275" s="25">
        <v>4920000</v>
      </c>
      <c r="D12275" s="22" t="s">
        <v>14605</v>
      </c>
      <c r="E12275" s="22" t="s">
        <v>68</v>
      </c>
      <c r="F12275" s="23" t="str">
        <f>HYPERLINK("https://www.spark-marketing.ru/Card/Lot/68686900", "Оказание услуг по обеспечению транспортной безопасности")</f>
        <v>Оказание услуг по обеспечению транспортной безопасности</v>
      </c>
      <c r="G12275" s="22" t="s">
        <v>658</v>
      </c>
      <c r="H12275" s="22" t="s">
        <v>741</v>
      </c>
      <c r="I12275" s="26">
        <v>43538.405555555597</v>
      </c>
      <c r="J12275" s="23" t="str">
        <f>HYPERLINK("https://www.spark-marketing.ru/Card/Person/20706", "ООО ""ЦВБ""")</f>
        <v>ООО "ЦВБ"</v>
      </c>
      <c r="K12275" s="24" t="s">
        <v>2872</v>
      </c>
      <c r="L12275" s="28" t="s">
        <v>52</v>
      </c>
      <c r="M12275" s="25">
        <v>4895400</v>
      </c>
      <c r="N12275" s="27">
        <v>5.0000000000000001E-3</v>
      </c>
    </row>
    <row r="12276" spans="1:14" hidden="1" outlineLevel="1" x14ac:dyDescent="0.2">
      <c r="A12276" s="23" t="str">
        <f>HYPERLINK("https://www.spark-marketing.ru/Card/Person/24398", "ГКУ КАЛУЖСКОЙ ОБЛАСТИ ""КАЛУГАДОРЗАКАЗЧИК""")</f>
        <v>ГКУ КАЛУЖСКОЙ ОБЛАСТИ "КАЛУГАДОРЗАКАЗЧИК"</v>
      </c>
      <c r="B12276" s="24" t="s">
        <v>7693</v>
      </c>
      <c r="C12276" s="25">
        <v>4920000</v>
      </c>
      <c r="D12276" s="22" t="s">
        <v>14605</v>
      </c>
      <c r="E12276" s="22" t="s">
        <v>68</v>
      </c>
      <c r="F12276" s="23" t="str">
        <f>HYPERLINK("https://www.spark-marketing.ru/Card/Lot/68686900", "Оказание услуг по обеспечению транспортной безопасности")</f>
        <v>Оказание услуг по обеспечению транспортной безопасности</v>
      </c>
      <c r="G12276" s="22" t="s">
        <v>658</v>
      </c>
      <c r="H12276" s="22" t="s">
        <v>741</v>
      </c>
      <c r="I12276" s="26">
        <v>43538.405555555597</v>
      </c>
      <c r="J12276" s="23" t="str">
        <f>HYPERLINK("https://www.spark-marketing.ru/Card/Person/77204", "ООО ""ИНФОРМ-АЛЬЯНС""")</f>
        <v>ООО "ИНФОРМ-АЛЬЯНС"</v>
      </c>
      <c r="K12276" s="24" t="s">
        <v>2499</v>
      </c>
      <c r="L12276" s="28" t="s">
        <v>52</v>
      </c>
      <c r="M12276" s="25">
        <v>4870800</v>
      </c>
      <c r="N12276" s="27">
        <v>0.01</v>
      </c>
    </row>
    <row r="12277" spans="1:14" x14ac:dyDescent="0.15">
      <c r="A12277" s="23" t="str">
        <f>HYPERLINK("https://www.spark-marketing.ru/Card/Person/2243580", "МАДОУ "" ЦРР - ДЕТСКИЙ САД № 46"" Г. ПЕРМИ")</f>
        <v>МАДОУ " ЦРР - ДЕТСКИЙ САД № 46" Г. ПЕРМИ</v>
      </c>
      <c r="B12277" s="24" t="s">
        <v>14606</v>
      </c>
      <c r="C12277" s="25">
        <v>144000</v>
      </c>
      <c r="D12277" s="22" t="s">
        <v>14607</v>
      </c>
      <c r="E12277" s="22" t="s">
        <v>14608</v>
      </c>
      <c r="F12277" s="23" t="str">
        <f>HYPERLINK("https://www.spark-marketing.ru/Card/Lot/68683277", "техническое обслуживание оборудования системы видеонаблюдения, домофонной системы и автоматических распашных ворот")</f>
        <v>техническое обслуживание оборудования системы видеонаблюдения, домофонной системы и автоматических распашных ворот</v>
      </c>
      <c r="G12277" s="22" t="s">
        <v>391</v>
      </c>
      <c r="H12277" s="22" t="s">
        <v>391</v>
      </c>
      <c r="I12277" s="26">
        <v>43538.405497685198</v>
      </c>
      <c r="J12277" s="28" t="s">
        <v>52</v>
      </c>
      <c r="K12277" s="28" t="s">
        <v>52</v>
      </c>
      <c r="L12277" s="28" t="s">
        <v>52</v>
      </c>
      <c r="M12277" s="28" t="s">
        <v>52</v>
      </c>
      <c r="N12277" s="28" t="s">
        <v>52</v>
      </c>
    </row>
    <row r="12278" spans="1:14" x14ac:dyDescent="0.15">
      <c r="A12278" s="23" t="str">
        <f>HYPERLINK("https://www.spark-marketing.ru/Card/Person/1058210", "МБУ СПОРТИВНАЯ ШКОЛА ""ЦЕНТР""")</f>
        <v>МБУ СПОРТИВНАЯ ШКОЛА "ЦЕНТР"</v>
      </c>
      <c r="B12278" s="24" t="s">
        <v>14609</v>
      </c>
      <c r="C12278" s="25">
        <v>36000</v>
      </c>
      <c r="D12278" s="22" t="s">
        <v>14610</v>
      </c>
      <c r="E12278" s="22" t="s">
        <v>103</v>
      </c>
      <c r="F12278" s="23" t="str">
        <f>HYPERLINK("https://www.spark-marketing.ru/Card/Lot/68685326", "Оказание услуг по осуществлению технического обслуживания систем видеонаблюдения объекта по адресу:МО,Сергиево-Посадский мун.район,г.Пересвет,ул.Мира,д.2а")</f>
        <v>Оказание услуг по осуществлению технического обслуживания систем видеонаблюдения объекта по адресу:МО,Сергиево-Посадский мун.район,г.Пересвет,ул.Мира,д.2а</v>
      </c>
      <c r="G12278" s="22" t="s">
        <v>50</v>
      </c>
      <c r="H12278" s="22" t="s">
        <v>326</v>
      </c>
      <c r="I12278" s="26">
        <v>43538.409641203703</v>
      </c>
      <c r="J12278" s="28" t="s">
        <v>52</v>
      </c>
      <c r="K12278" s="28" t="s">
        <v>52</v>
      </c>
      <c r="L12278" s="28" t="s">
        <v>52</v>
      </c>
      <c r="M12278" s="28" t="s">
        <v>52</v>
      </c>
      <c r="N12278" s="28" t="s">
        <v>52</v>
      </c>
    </row>
    <row r="12279" spans="1:14" x14ac:dyDescent="0.15">
      <c r="A12279" s="23" t="str">
        <f>HYPERLINK("https://www.spark-marketing.ru/Card/Person/4350159", "МУ ""ЦЕНТР ПОМОЩИ ДЕТЯМ ""НАДЕЖДА"" Г. МАГНИТОГОРСКА")</f>
        <v>МУ "ЦЕНТР ПОМОЩИ ДЕТЯМ "НАДЕЖДА" Г. МАГНИТОГОРСКА</v>
      </c>
      <c r="B12279" s="24" t="s">
        <v>14611</v>
      </c>
      <c r="C12279" s="28" t="s">
        <v>52</v>
      </c>
      <c r="D12279" s="22" t="s">
        <v>14612</v>
      </c>
      <c r="E12279" s="22" t="s">
        <v>107</v>
      </c>
      <c r="F12279" s="23" t="str">
        <f>HYPERLINK("https://www.spark-marketing.ru/Card/Lot/68685851", "Оказание услуг по техническому обслуживанию комплексной системы безопасности (видеонаблюдение) согласно технического задания")</f>
        <v>Оказание услуг по техническому обслуживанию комплексной системы безопасности (видеонаблюдение) согласно технического задания</v>
      </c>
      <c r="G12279" s="22" t="s">
        <v>60</v>
      </c>
      <c r="H12279" s="22" t="s">
        <v>221</v>
      </c>
      <c r="I12279" s="26">
        <v>43538.413888888899</v>
      </c>
      <c r="J12279" s="28" t="s">
        <v>52</v>
      </c>
      <c r="K12279" s="28" t="s">
        <v>52</v>
      </c>
      <c r="L12279" s="28" t="s">
        <v>52</v>
      </c>
      <c r="M12279" s="28" t="s">
        <v>52</v>
      </c>
      <c r="N12279" s="28" t="s">
        <v>52</v>
      </c>
    </row>
    <row r="12280" spans="1:14" x14ac:dyDescent="0.15">
      <c r="A12280" s="23" t="str">
        <f t="shared" ref="A12280:A12285" si="636">HYPERLINK("https://www.spark-marketing.ru/Card/Person/11714", "ГБУЗ ""ДГП № 105 ДЗМ""")</f>
        <v>ГБУЗ "ДГП № 105 ДЗМ"</v>
      </c>
      <c r="B12280" s="24" t="s">
        <v>14613</v>
      </c>
      <c r="C12280" s="25">
        <v>1730212.43</v>
      </c>
      <c r="D12280" s="22" t="s">
        <v>14614</v>
      </c>
      <c r="E12280" s="22" t="s">
        <v>103</v>
      </c>
      <c r="F12280" s="23" t="str">
        <f t="shared" ref="F12280:F12285" si="637">HYPERLINK("https://www.spark-marketing.ru/Card/Lot/68684567", "Оказание услуг по техническому обслуживанию, тестированию и контролю систем видеонаблюдения в зданиях ГБУЗ «ДГП № 105 ДЗМ» в 2019-2020гг.")</f>
        <v>Оказание услуг по техническому обслуживанию, тестированию и контролю систем видеонаблюдения в зданиях ГБУЗ «ДГП № 105 ДЗМ» в 2019-2020гг.</v>
      </c>
      <c r="G12280" s="22" t="s">
        <v>55</v>
      </c>
      <c r="H12280" s="22" t="s">
        <v>55</v>
      </c>
      <c r="I12280" s="26">
        <v>43538.357638888898</v>
      </c>
      <c r="J12280" s="28" t="s">
        <v>52</v>
      </c>
      <c r="K12280" s="28" t="s">
        <v>52</v>
      </c>
      <c r="L12280" s="28" t="s">
        <v>52</v>
      </c>
      <c r="M12280" s="28" t="s">
        <v>52</v>
      </c>
      <c r="N12280" s="28" t="s">
        <v>52</v>
      </c>
    </row>
    <row r="12281" spans="1:14" ht="12.75" hidden="1" outlineLevel="1" x14ac:dyDescent="0.2">
      <c r="A12281" s="23" t="str">
        <f t="shared" si="636"/>
        <v>ГБУЗ "ДГП № 105 ДЗМ"</v>
      </c>
      <c r="B12281" s="24" t="s">
        <v>14613</v>
      </c>
      <c r="C12281" s="25">
        <v>1730212.43</v>
      </c>
      <c r="D12281" s="22" t="s">
        <v>14614</v>
      </c>
      <c r="E12281" s="22" t="s">
        <v>103</v>
      </c>
      <c r="F12281" s="23" t="str">
        <f t="shared" si="637"/>
        <v>Оказание услуг по техническому обслуживанию, тестированию и контролю систем видеонаблюдения в зданиях ГБУЗ «ДГП № 105 ДЗМ» в 2019-2020гг.</v>
      </c>
      <c r="G12281" s="22" t="s">
        <v>55</v>
      </c>
      <c r="H12281" s="22" t="s">
        <v>55</v>
      </c>
      <c r="I12281" s="26">
        <v>43538.357638888898</v>
      </c>
      <c r="J12281" s="23" t="str">
        <f>HYPERLINK("https://www.spark-marketing.ru/Card/Person/19197", "ООО ""АПЕКС-АС""")</f>
        <v>ООО "АПЕКС-АС"</v>
      </c>
      <c r="K12281" s="24" t="s">
        <v>14615</v>
      </c>
      <c r="L12281" s="22" t="s">
        <v>10</v>
      </c>
      <c r="M12281" s="25">
        <v>751348.94</v>
      </c>
      <c r="N12281" s="27">
        <v>0.56574757701862077</v>
      </c>
    </row>
    <row r="12282" spans="1:14" hidden="1" outlineLevel="1" x14ac:dyDescent="0.2">
      <c r="A12282" s="23" t="str">
        <f t="shared" si="636"/>
        <v>ГБУЗ "ДГП № 105 ДЗМ"</v>
      </c>
      <c r="B12282" s="24" t="s">
        <v>14613</v>
      </c>
      <c r="C12282" s="25">
        <v>1730212.43</v>
      </c>
      <c r="D12282" s="22" t="s">
        <v>14614</v>
      </c>
      <c r="E12282" s="22" t="s">
        <v>103</v>
      </c>
      <c r="F12282" s="23" t="str">
        <f t="shared" si="637"/>
        <v>Оказание услуг по техническому обслуживанию, тестированию и контролю систем видеонаблюдения в зданиях ГБУЗ «ДГП № 105 ДЗМ» в 2019-2020гг.</v>
      </c>
      <c r="G12282" s="22" t="s">
        <v>55</v>
      </c>
      <c r="H12282" s="22" t="s">
        <v>55</v>
      </c>
      <c r="I12282" s="26">
        <v>43538.357638888898</v>
      </c>
      <c r="J12282" s="23" t="str">
        <f>HYPERLINK("https://www.spark-marketing.ru/Card/Person/4660357", "ООО ""ДИАЙ ТЕК""")</f>
        <v>ООО "ДИАЙ ТЕК"</v>
      </c>
      <c r="K12282" s="24" t="s">
        <v>3220</v>
      </c>
      <c r="L12282" s="28" t="s">
        <v>52</v>
      </c>
      <c r="M12282" s="25">
        <v>1254000</v>
      </c>
      <c r="N12282" s="27">
        <v>0.27523350413105052</v>
      </c>
    </row>
    <row r="12283" spans="1:14" hidden="1" outlineLevel="1" x14ac:dyDescent="0.2">
      <c r="A12283" s="23" t="str">
        <f t="shared" si="636"/>
        <v>ГБУЗ "ДГП № 105 ДЗМ"</v>
      </c>
      <c r="B12283" s="24" t="s">
        <v>14613</v>
      </c>
      <c r="C12283" s="25">
        <v>1730212.43</v>
      </c>
      <c r="D12283" s="22" t="s">
        <v>14614</v>
      </c>
      <c r="E12283" s="22" t="s">
        <v>103</v>
      </c>
      <c r="F12283" s="23" t="str">
        <f t="shared" si="637"/>
        <v>Оказание услуг по техническому обслуживанию, тестированию и контролю систем видеонаблюдения в зданиях ГБУЗ «ДГП № 105 ДЗМ» в 2019-2020гг.</v>
      </c>
      <c r="G12283" s="22" t="s">
        <v>55</v>
      </c>
      <c r="H12283" s="22" t="s">
        <v>55</v>
      </c>
      <c r="I12283" s="26">
        <v>43538.357638888898</v>
      </c>
      <c r="J12283" s="23" t="str">
        <f>HYPERLINK("https://www.spark-marketing.ru/Card/Person/6372626", "Тюкин Дмитрий Владимирович")</f>
        <v>Тюкин Дмитрий Владимирович</v>
      </c>
      <c r="K12283" s="24" t="s">
        <v>14616</v>
      </c>
      <c r="L12283" s="28" t="s">
        <v>52</v>
      </c>
      <c r="M12283" s="25">
        <v>1254404.07</v>
      </c>
      <c r="N12283" s="27">
        <v>0.27499996633361373</v>
      </c>
    </row>
    <row r="12284" spans="1:14" hidden="1" outlineLevel="1" x14ac:dyDescent="0.2">
      <c r="A12284" s="23" t="str">
        <f t="shared" si="636"/>
        <v>ГБУЗ "ДГП № 105 ДЗМ"</v>
      </c>
      <c r="B12284" s="24" t="s">
        <v>14613</v>
      </c>
      <c r="C12284" s="25">
        <v>1730212.43</v>
      </c>
      <c r="D12284" s="22" t="s">
        <v>14614</v>
      </c>
      <c r="E12284" s="22" t="s">
        <v>103</v>
      </c>
      <c r="F12284" s="23" t="str">
        <f t="shared" si="637"/>
        <v>Оказание услуг по техническому обслуживанию, тестированию и контролю систем видеонаблюдения в зданиях ГБУЗ «ДГП № 105 ДЗМ» в 2019-2020гг.</v>
      </c>
      <c r="G12284" s="22" t="s">
        <v>55</v>
      </c>
      <c r="H12284" s="22" t="s">
        <v>55</v>
      </c>
      <c r="I12284" s="26">
        <v>43538.357638888898</v>
      </c>
      <c r="J12284" s="23" t="str">
        <f>HYPERLINK("https://www.spark-marketing.ru/Card/Person/5906298", "ООО ""ПРОФМЕХАНИКА""")</f>
        <v>ООО "ПРОФМЕХАНИКА"</v>
      </c>
      <c r="K12284" s="24" t="s">
        <v>10573</v>
      </c>
      <c r="L12284" s="28" t="s">
        <v>52</v>
      </c>
      <c r="M12284" s="25">
        <v>1583144.41</v>
      </c>
      <c r="N12284" s="27">
        <v>8.4999978875426291E-2</v>
      </c>
    </row>
    <row r="12285" spans="1:14" hidden="1" outlineLevel="1" x14ac:dyDescent="0.2">
      <c r="A12285" s="23" t="str">
        <f t="shared" si="636"/>
        <v>ГБУЗ "ДГП № 105 ДЗМ"</v>
      </c>
      <c r="B12285" s="24" t="s">
        <v>14613</v>
      </c>
      <c r="C12285" s="25">
        <v>1730212.43</v>
      </c>
      <c r="D12285" s="22" t="s">
        <v>14614</v>
      </c>
      <c r="E12285" s="22" t="s">
        <v>103</v>
      </c>
      <c r="F12285" s="23" t="str">
        <f t="shared" si="637"/>
        <v>Оказание услуг по техническому обслуживанию, тестированию и контролю систем видеонаблюдения в зданиях ГБУЗ «ДГП № 105 ДЗМ» в 2019-2020гг.</v>
      </c>
      <c r="G12285" s="22" t="s">
        <v>55</v>
      </c>
      <c r="H12285" s="22" t="s">
        <v>55</v>
      </c>
      <c r="I12285" s="26">
        <v>43538.357638888898</v>
      </c>
      <c r="J12285" s="23" t="str">
        <f>HYPERLINK("https://www.spark-marketing.ru/Card/Person/77060", "ООО ""ЭРТЕЛ""")</f>
        <v>ООО "ЭРТЕЛ"</v>
      </c>
      <c r="K12285" s="24" t="s">
        <v>14617</v>
      </c>
      <c r="L12285" s="28" t="s">
        <v>52</v>
      </c>
      <c r="M12285" s="25">
        <v>760000</v>
      </c>
      <c r="N12285" s="27">
        <v>0.56074757826124277</v>
      </c>
    </row>
    <row r="12286" spans="1:14" x14ac:dyDescent="0.15">
      <c r="A12286" s="23" t="str">
        <f t="shared" ref="A12286:A12291" si="638">HYPERLINK("https://www.spark-marketing.ru/Card/Person/219159", "МЕЖРАЙОННАЯ ИФНС РОССИИ № 1 ПО РЕСПУБЛИКЕ САХА (ЯКУТИЯ)")</f>
        <v>МЕЖРАЙОННАЯ ИФНС РОССИИ № 1 ПО РЕСПУБЛИКЕ САХА (ЯКУТИЯ)</v>
      </c>
      <c r="B12286" s="24" t="s">
        <v>14618</v>
      </c>
      <c r="C12286" s="25">
        <v>68446.67</v>
      </c>
      <c r="D12286" s="22" t="s">
        <v>14619</v>
      </c>
      <c r="E12286" s="22" t="s">
        <v>183</v>
      </c>
      <c r="F12286" s="23" t="str">
        <f t="shared" ref="F12286:F12291" si="639">HYPERLINK("https://www.spark-marketing.ru/Card/Lot/68679188", "Обслуживание системы видеонаблюдения")</f>
        <v>Обслуживание системы видеонаблюдения</v>
      </c>
      <c r="G12286" s="22" t="s">
        <v>424</v>
      </c>
      <c r="H12286" s="22" t="s">
        <v>14620</v>
      </c>
      <c r="I12286" s="26">
        <v>43538.358333333301</v>
      </c>
      <c r="J12286" s="28" t="s">
        <v>52</v>
      </c>
      <c r="K12286" s="28" t="s">
        <v>52</v>
      </c>
      <c r="L12286" s="28" t="s">
        <v>52</v>
      </c>
      <c r="M12286" s="28" t="s">
        <v>52</v>
      </c>
      <c r="N12286" s="28" t="s">
        <v>52</v>
      </c>
    </row>
    <row r="12287" spans="1:14" hidden="1" outlineLevel="1" x14ac:dyDescent="0.2">
      <c r="A12287" s="23" t="str">
        <f t="shared" si="638"/>
        <v>МЕЖРАЙОННАЯ ИФНС РОССИИ № 1 ПО РЕСПУБЛИКЕ САХА (ЯКУТИЯ)</v>
      </c>
      <c r="B12287" s="24" t="s">
        <v>14618</v>
      </c>
      <c r="C12287" s="25">
        <v>68446.67</v>
      </c>
      <c r="D12287" s="22" t="s">
        <v>14619</v>
      </c>
      <c r="E12287" s="22" t="s">
        <v>183</v>
      </c>
      <c r="F12287" s="23" t="str">
        <f t="shared" si="639"/>
        <v>Обслуживание системы видеонаблюдения</v>
      </c>
      <c r="G12287" s="22" t="s">
        <v>424</v>
      </c>
      <c r="H12287" s="22" t="s">
        <v>14620</v>
      </c>
      <c r="I12287" s="26">
        <v>43538.358333333301</v>
      </c>
      <c r="J12287" s="23" t="str">
        <f>HYPERLINK("https://www.spark-marketing.ru/Card/Person/460684", "Тамбовцев Максим Владимирович")</f>
        <v>Тамбовцев Максим Владимирович</v>
      </c>
      <c r="K12287" s="24" t="s">
        <v>14621</v>
      </c>
      <c r="L12287" s="28" t="s">
        <v>52</v>
      </c>
      <c r="M12287" s="25">
        <v>19976.2</v>
      </c>
      <c r="N12287" s="27">
        <v>0.70814942494645827</v>
      </c>
    </row>
    <row r="12288" spans="1:14" ht="12.75" hidden="1" outlineLevel="1" x14ac:dyDescent="0.2">
      <c r="A12288" s="23" t="str">
        <f t="shared" si="638"/>
        <v>МЕЖРАЙОННАЯ ИФНС РОССИИ № 1 ПО РЕСПУБЛИКЕ САХА (ЯКУТИЯ)</v>
      </c>
      <c r="B12288" s="24" t="s">
        <v>14618</v>
      </c>
      <c r="C12288" s="25">
        <v>68446.67</v>
      </c>
      <c r="D12288" s="22" t="s">
        <v>14619</v>
      </c>
      <c r="E12288" s="22" t="s">
        <v>183</v>
      </c>
      <c r="F12288" s="23" t="str">
        <f t="shared" si="639"/>
        <v>Обслуживание системы видеонаблюдения</v>
      </c>
      <c r="G12288" s="22" t="s">
        <v>424</v>
      </c>
      <c r="H12288" s="22" t="s">
        <v>14620</v>
      </c>
      <c r="I12288" s="26">
        <v>43538.358333333301</v>
      </c>
      <c r="J12288" s="23" t="str">
        <f>HYPERLINK("https://www.spark-marketing.ru/Card/Person/167044", "ООО ЧОО ""ОХРАНА-СЕРВИС-СВЕТЛЫЙ""")</f>
        <v>ООО ЧОО "ОХРАНА-СЕРВИС-СВЕТЛЫЙ"</v>
      </c>
      <c r="K12288" s="24" t="s">
        <v>9318</v>
      </c>
      <c r="L12288" s="22" t="s">
        <v>10</v>
      </c>
      <c r="M12288" s="25">
        <v>19633.95</v>
      </c>
      <c r="N12288" s="27">
        <v>0.71314966820153558</v>
      </c>
    </row>
    <row r="12289" spans="1:14" hidden="1" outlineLevel="1" x14ac:dyDescent="0.2">
      <c r="A12289" s="23" t="str">
        <f t="shared" si="638"/>
        <v>МЕЖРАЙОННАЯ ИФНС РОССИИ № 1 ПО РЕСПУБЛИКЕ САХА (ЯКУТИЯ)</v>
      </c>
      <c r="B12289" s="24" t="s">
        <v>14618</v>
      </c>
      <c r="C12289" s="25">
        <v>68446.67</v>
      </c>
      <c r="D12289" s="22" t="s">
        <v>14619</v>
      </c>
      <c r="E12289" s="22" t="s">
        <v>183</v>
      </c>
      <c r="F12289" s="23" t="str">
        <f t="shared" si="639"/>
        <v>Обслуживание системы видеонаблюдения</v>
      </c>
      <c r="G12289" s="22" t="s">
        <v>424</v>
      </c>
      <c r="H12289" s="22" t="s">
        <v>14620</v>
      </c>
      <c r="I12289" s="26">
        <v>43538.358333333301</v>
      </c>
      <c r="J12289" s="23" t="str">
        <f>HYPERLINK("https://www.spark-marketing.ru/Card/Person/447014", "ООО ЧОП ""ГАЛИАФ""")</f>
        <v>ООО ЧОП "ГАЛИАФ"</v>
      </c>
      <c r="K12289" s="24" t="s">
        <v>9319</v>
      </c>
      <c r="L12289" s="28" t="s">
        <v>52</v>
      </c>
      <c r="M12289" s="25">
        <v>39065.300000000003</v>
      </c>
      <c r="N12289" s="27">
        <v>0.42925930509110233</v>
      </c>
    </row>
    <row r="12290" spans="1:14" hidden="1" outlineLevel="1" x14ac:dyDescent="0.2">
      <c r="A12290" s="23" t="str">
        <f t="shared" si="638"/>
        <v>МЕЖРАЙОННАЯ ИФНС РОССИИ № 1 ПО РЕСПУБЛИКЕ САХА (ЯКУТИЯ)</v>
      </c>
      <c r="B12290" s="24" t="s">
        <v>14618</v>
      </c>
      <c r="C12290" s="25">
        <v>68446.67</v>
      </c>
      <c r="D12290" s="22" t="s">
        <v>14619</v>
      </c>
      <c r="E12290" s="22" t="s">
        <v>183</v>
      </c>
      <c r="F12290" s="23" t="str">
        <f t="shared" si="639"/>
        <v>Обслуживание системы видеонаблюдения</v>
      </c>
      <c r="G12290" s="22" t="s">
        <v>424</v>
      </c>
      <c r="H12290" s="22" t="s">
        <v>14620</v>
      </c>
      <c r="I12290" s="26">
        <v>43538.358333333301</v>
      </c>
      <c r="J12290" s="23" t="str">
        <f>HYPERLINK("https://www.spark-marketing.ru/Card/Person/5853361", "ООО ""НОВА""")</f>
        <v>ООО "НОВА"</v>
      </c>
      <c r="K12290" s="24" t="s">
        <v>6361</v>
      </c>
      <c r="L12290" s="28" t="s">
        <v>52</v>
      </c>
      <c r="M12290" s="25">
        <v>43660.12</v>
      </c>
      <c r="N12290" s="27">
        <v>0.36212937751390972</v>
      </c>
    </row>
    <row r="12291" spans="1:14" hidden="1" outlineLevel="1" x14ac:dyDescent="0.2">
      <c r="A12291" s="23" t="str">
        <f t="shared" si="638"/>
        <v>МЕЖРАЙОННАЯ ИФНС РОССИИ № 1 ПО РЕСПУБЛИКЕ САХА (ЯКУТИЯ)</v>
      </c>
      <c r="B12291" s="24" t="s">
        <v>14618</v>
      </c>
      <c r="C12291" s="25">
        <v>68446.67</v>
      </c>
      <c r="D12291" s="22" t="s">
        <v>14619</v>
      </c>
      <c r="E12291" s="22" t="s">
        <v>183</v>
      </c>
      <c r="F12291" s="23" t="str">
        <f t="shared" si="639"/>
        <v>Обслуживание системы видеонаблюдения</v>
      </c>
      <c r="G12291" s="22" t="s">
        <v>424</v>
      </c>
      <c r="H12291" s="22" t="s">
        <v>14620</v>
      </c>
      <c r="I12291" s="26">
        <v>43538.358333333301</v>
      </c>
      <c r="J12291" s="23" t="str">
        <f>HYPERLINK("https://www.spark-marketing.ru/Card/Person/16587", "ООО ""НС - БЕЗОПАСНОСТЬ""")</f>
        <v>ООО "НС - БЕЗОПАСНОСТЬ"</v>
      </c>
      <c r="K12291" s="24" t="s">
        <v>5859</v>
      </c>
      <c r="L12291" s="28" t="s">
        <v>52</v>
      </c>
      <c r="M12291" s="25">
        <v>30094.36</v>
      </c>
      <c r="N12291" s="27">
        <v>0.56032397193318539</v>
      </c>
    </row>
    <row r="12292" spans="1:14" x14ac:dyDescent="0.15">
      <c r="A12292" s="23" t="str">
        <f>HYPERLINK("https://www.spark-marketing.ru/Card/Person/147578", "МБДОУ Д/С ""СВЕТЛЯЧОК""")</f>
        <v>МБДОУ Д/С "СВЕТЛЯЧОК"</v>
      </c>
      <c r="B12292" s="24" t="s">
        <v>14622</v>
      </c>
      <c r="C12292" s="25">
        <v>336000</v>
      </c>
      <c r="D12292" s="22" t="s">
        <v>14623</v>
      </c>
      <c r="E12292" s="22" t="s">
        <v>234</v>
      </c>
      <c r="F12292" s="23" t="str">
        <f>HYPERLINK("https://www.spark-marketing.ru/Card/Lot/68679055", "Оказание услуг по обслуживанию внутренних систем (система контроля доступа, система видеонаблюдения и видеозаписи, система домофонной связи) для нужд МБДОУ д/с ""Светлячок""")</f>
        <v>Оказание услуг по обслуживанию внутренних систем (система контроля доступа, система видеонаблюдения и видеозаписи, система домофонной связи) для нужд МБДОУ д/с "Светлячок"</v>
      </c>
      <c r="G12292" s="22" t="s">
        <v>50</v>
      </c>
      <c r="H12292" s="22" t="s">
        <v>6267</v>
      </c>
      <c r="I12292" s="26">
        <v>43538.127847222197</v>
      </c>
      <c r="J12292" s="28" t="s">
        <v>52</v>
      </c>
      <c r="K12292" s="28" t="s">
        <v>52</v>
      </c>
      <c r="L12292" s="28" t="s">
        <v>52</v>
      </c>
      <c r="M12292" s="28" t="s">
        <v>52</v>
      </c>
      <c r="N12292" s="28" t="s">
        <v>52</v>
      </c>
    </row>
    <row r="12293" spans="1:14" x14ac:dyDescent="0.15">
      <c r="A12293" s="23" t="str">
        <f t="shared" ref="A12293:A12299" si="640">HYPERLINK("https://www.spark-marketing.ru/Card/Person/6450322", "ЗАКАЗЧИК РП БЕЛАРУСЬ")</f>
        <v>ЗАКАЗЧИК РП БЕЛАРУСЬ</v>
      </c>
      <c r="B12293" s="28" t="s">
        <v>52</v>
      </c>
      <c r="C12293" s="25">
        <v>10752.805</v>
      </c>
      <c r="D12293" s="22" t="s">
        <v>14624</v>
      </c>
      <c r="E12293" s="22" t="s">
        <v>53</v>
      </c>
      <c r="F12293" s="23" t="str">
        <f>HYPERLINK("https://www.spark-marketing.ru/Card/Lot/68707969", "Прибор приемно-контрольный")</f>
        <v>Прибор приемно-контрольный</v>
      </c>
      <c r="G12293" s="22" t="s">
        <v>52</v>
      </c>
      <c r="H12293" s="22" t="s">
        <v>52</v>
      </c>
      <c r="I12293" s="26">
        <v>43538</v>
      </c>
      <c r="J12293" s="28" t="s">
        <v>52</v>
      </c>
      <c r="K12293" s="28" t="s">
        <v>52</v>
      </c>
      <c r="L12293" s="28" t="s">
        <v>52</v>
      </c>
      <c r="M12293" s="28" t="s">
        <v>52</v>
      </c>
      <c r="N12293" s="28" t="s">
        <v>52</v>
      </c>
    </row>
    <row r="12294" spans="1:14" x14ac:dyDescent="0.15">
      <c r="A12294" s="23" t="str">
        <f t="shared" si="640"/>
        <v>ЗАКАЗЧИК РП БЕЛАРУСЬ</v>
      </c>
      <c r="B12294" s="28" t="s">
        <v>52</v>
      </c>
      <c r="C12294" s="25">
        <v>2457.7840000000001</v>
      </c>
      <c r="D12294" s="22" t="s">
        <v>14624</v>
      </c>
      <c r="E12294" s="22" t="s">
        <v>53</v>
      </c>
      <c r="F12294" s="23" t="str">
        <f>HYPERLINK("https://www.spark-marketing.ru/Card/Lot/68707970", "Блок бесперебойного питания")</f>
        <v>Блок бесперебойного питания</v>
      </c>
      <c r="G12294" s="22" t="s">
        <v>52</v>
      </c>
      <c r="H12294" s="22" t="s">
        <v>52</v>
      </c>
      <c r="I12294" s="26">
        <v>43538</v>
      </c>
      <c r="J12294" s="28" t="s">
        <v>52</v>
      </c>
      <c r="K12294" s="28" t="s">
        <v>52</v>
      </c>
      <c r="L12294" s="28" t="s">
        <v>52</v>
      </c>
      <c r="M12294" s="28" t="s">
        <v>52</v>
      </c>
      <c r="N12294" s="28" t="s">
        <v>52</v>
      </c>
    </row>
    <row r="12295" spans="1:14" x14ac:dyDescent="0.15">
      <c r="A12295" s="23" t="str">
        <f t="shared" si="640"/>
        <v>ЗАКАЗЧИК РП БЕЛАРУСЬ</v>
      </c>
      <c r="B12295" s="28" t="s">
        <v>52</v>
      </c>
      <c r="C12295" s="25">
        <v>399389.9</v>
      </c>
      <c r="D12295" s="22" t="s">
        <v>14624</v>
      </c>
      <c r="E12295" s="22" t="s">
        <v>53</v>
      </c>
      <c r="F12295" s="23" t="str">
        <f>HYPERLINK("https://www.spark-marketing.ru/Card/Lot/68707964", "Прибор приемно-контрольный")</f>
        <v>Прибор приемно-контрольный</v>
      </c>
      <c r="G12295" s="22" t="s">
        <v>52</v>
      </c>
      <c r="H12295" s="22" t="s">
        <v>52</v>
      </c>
      <c r="I12295" s="26">
        <v>43538</v>
      </c>
      <c r="J12295" s="28" t="s">
        <v>52</v>
      </c>
      <c r="K12295" s="28" t="s">
        <v>52</v>
      </c>
      <c r="L12295" s="28" t="s">
        <v>52</v>
      </c>
      <c r="M12295" s="28" t="s">
        <v>52</v>
      </c>
      <c r="N12295" s="28" t="s">
        <v>52</v>
      </c>
    </row>
    <row r="12296" spans="1:14" x14ac:dyDescent="0.15">
      <c r="A12296" s="23" t="str">
        <f t="shared" si="640"/>
        <v>ЗАКАЗЧИК РП БЕЛАРУСЬ</v>
      </c>
      <c r="B12296" s="28" t="s">
        <v>52</v>
      </c>
      <c r="C12296" s="28" t="s">
        <v>52</v>
      </c>
      <c r="D12296" s="22" t="s">
        <v>14624</v>
      </c>
      <c r="E12296" s="22" t="s">
        <v>53</v>
      </c>
      <c r="F12296" s="23" t="str">
        <f>HYPERLINK("https://www.spark-marketing.ru/Card/Lot/68707968", "Тревожная кнопка")</f>
        <v>Тревожная кнопка</v>
      </c>
      <c r="G12296" s="22" t="s">
        <v>52</v>
      </c>
      <c r="H12296" s="22" t="s">
        <v>52</v>
      </c>
      <c r="I12296" s="26">
        <v>43538</v>
      </c>
      <c r="J12296" s="28" t="s">
        <v>52</v>
      </c>
      <c r="K12296" s="28" t="s">
        <v>52</v>
      </c>
      <c r="L12296" s="28" t="s">
        <v>52</v>
      </c>
      <c r="M12296" s="28" t="s">
        <v>52</v>
      </c>
      <c r="N12296" s="28" t="s">
        <v>52</v>
      </c>
    </row>
    <row r="12297" spans="1:14" x14ac:dyDescent="0.15">
      <c r="A12297" s="23" t="str">
        <f t="shared" si="640"/>
        <v>ЗАКАЗЧИК РП БЕЛАРУСЬ</v>
      </c>
      <c r="B12297" s="28" t="s">
        <v>52</v>
      </c>
      <c r="C12297" s="28" t="s">
        <v>52</v>
      </c>
      <c r="D12297" s="22" t="s">
        <v>14624</v>
      </c>
      <c r="E12297" s="22" t="s">
        <v>53</v>
      </c>
      <c r="F12297" s="23" t="str">
        <f>HYPERLINK("https://www.spark-marketing.ru/Card/Lot/68707967", "Ключ электронный")</f>
        <v>Ключ электронный</v>
      </c>
      <c r="G12297" s="22" t="s">
        <v>52</v>
      </c>
      <c r="H12297" s="22" t="s">
        <v>52</v>
      </c>
      <c r="I12297" s="26">
        <v>43538</v>
      </c>
      <c r="J12297" s="28" t="s">
        <v>52</v>
      </c>
      <c r="K12297" s="28" t="s">
        <v>52</v>
      </c>
      <c r="L12297" s="28" t="s">
        <v>52</v>
      </c>
      <c r="M12297" s="28" t="s">
        <v>52</v>
      </c>
      <c r="N12297" s="28" t="s">
        <v>52</v>
      </c>
    </row>
    <row r="12298" spans="1:14" x14ac:dyDescent="0.15">
      <c r="A12298" s="23" t="str">
        <f t="shared" si="640"/>
        <v>ЗАКАЗЧИК РП БЕЛАРУСЬ</v>
      </c>
      <c r="B12298" s="28" t="s">
        <v>52</v>
      </c>
      <c r="C12298" s="25">
        <v>25806.732</v>
      </c>
      <c r="D12298" s="22" t="s">
        <v>14624</v>
      </c>
      <c r="E12298" s="22" t="s">
        <v>53</v>
      </c>
      <c r="F12298" s="23" t="str">
        <f>HYPERLINK("https://www.spark-marketing.ru/Card/Lot/68707966", "Устройство доступа")</f>
        <v>Устройство доступа</v>
      </c>
      <c r="G12298" s="22" t="s">
        <v>52</v>
      </c>
      <c r="H12298" s="22" t="s">
        <v>52</v>
      </c>
      <c r="I12298" s="26">
        <v>43538</v>
      </c>
      <c r="J12298" s="28" t="s">
        <v>52</v>
      </c>
      <c r="K12298" s="28" t="s">
        <v>52</v>
      </c>
      <c r="L12298" s="28" t="s">
        <v>52</v>
      </c>
      <c r="M12298" s="28" t="s">
        <v>52</v>
      </c>
      <c r="N12298" s="28" t="s">
        <v>52</v>
      </c>
    </row>
    <row r="12299" spans="1:14" x14ac:dyDescent="0.15">
      <c r="A12299" s="23" t="str">
        <f t="shared" si="640"/>
        <v>ЗАКАЗЧИК РП БЕЛАРУСЬ</v>
      </c>
      <c r="B12299" s="28" t="s">
        <v>52</v>
      </c>
      <c r="C12299" s="25">
        <v>70968.513000000006</v>
      </c>
      <c r="D12299" s="22" t="s">
        <v>14624</v>
      </c>
      <c r="E12299" s="22" t="s">
        <v>53</v>
      </c>
      <c r="F12299" s="23" t="str">
        <f>HYPERLINK("https://www.spark-marketing.ru/Card/Lot/68707965", "Устройство радиоприемное")</f>
        <v>Устройство радиоприемное</v>
      </c>
      <c r="G12299" s="22" t="s">
        <v>52</v>
      </c>
      <c r="H12299" s="22" t="s">
        <v>52</v>
      </c>
      <c r="I12299" s="26">
        <v>43538</v>
      </c>
      <c r="J12299" s="28" t="s">
        <v>52</v>
      </c>
      <c r="K12299" s="28" t="s">
        <v>52</v>
      </c>
      <c r="L12299" s="28" t="s">
        <v>52</v>
      </c>
      <c r="M12299" s="28" t="s">
        <v>52</v>
      </c>
      <c r="N12299" s="28" t="s">
        <v>52</v>
      </c>
    </row>
    <row r="12300" spans="1:14" x14ac:dyDescent="0.15">
      <c r="A12300" s="23" t="str">
        <f>HYPERLINK("https://www.spark-marketing.ru/Card/Person/1756877", "МАОУ ""ШБИП"" Г.ПЕРМИ")</f>
        <v>МАОУ "ШБИП" Г.ПЕРМИ</v>
      </c>
      <c r="B12300" s="24" t="s">
        <v>14442</v>
      </c>
      <c r="C12300" s="25">
        <v>214578</v>
      </c>
      <c r="D12300" s="22" t="s">
        <v>14625</v>
      </c>
      <c r="E12300" s="22" t="s">
        <v>14626</v>
      </c>
      <c r="F12300" s="23" t="str">
        <f>HYPERLINK("https://www.spark-marketing.ru/Card/Lot/68679006", "Приобретение и установка системы видеонаблюдения")</f>
        <v>Приобретение и установка системы видеонаблюдения</v>
      </c>
      <c r="G12300" s="22" t="s">
        <v>391</v>
      </c>
      <c r="H12300" s="22" t="s">
        <v>391</v>
      </c>
      <c r="I12300" s="26">
        <v>43537.936932870398</v>
      </c>
      <c r="J12300" s="28" t="s">
        <v>52</v>
      </c>
      <c r="K12300" s="28" t="s">
        <v>52</v>
      </c>
      <c r="L12300" s="28" t="s">
        <v>52</v>
      </c>
      <c r="M12300" s="28" t="s">
        <v>52</v>
      </c>
      <c r="N12300" s="28" t="s">
        <v>52</v>
      </c>
    </row>
    <row r="12301" spans="1:14" x14ac:dyDescent="0.15">
      <c r="A12301" s="23" t="str">
        <f>HYPERLINK("https://www.spark-marketing.ru/Card/Person/1302913", "ОАУСО ""ХОЛМСКИЙ КЦ""")</f>
        <v>ОАУСО "ХОЛМСКИЙ КЦ"</v>
      </c>
      <c r="B12301" s="24" t="s">
        <v>14627</v>
      </c>
      <c r="C12301" s="25">
        <v>144720</v>
      </c>
      <c r="D12301" s="22" t="s">
        <v>14628</v>
      </c>
      <c r="E12301" s="22" t="s">
        <v>14629</v>
      </c>
      <c r="F12301" s="23" t="str">
        <f>HYPERLINK("https://www.spark-marketing.ru/Card/Lot/68674106", "Предоставление специализированных медико-социальных услуг экстренной помощи на дому ""Тревожная кнопка"" в Холмском районе Новгородской области")</f>
        <v>Предоставление специализированных медико-социальных услуг экстренной помощи на дому "Тревожная кнопка" в Холмском районе Новгородской области</v>
      </c>
      <c r="G12301" s="22" t="s">
        <v>959</v>
      </c>
      <c r="H12301" s="22" t="s">
        <v>959</v>
      </c>
      <c r="I12301" s="26">
        <v>43537.729143518503</v>
      </c>
      <c r="J12301" s="28" t="s">
        <v>52</v>
      </c>
      <c r="K12301" s="28" t="s">
        <v>52</v>
      </c>
      <c r="L12301" s="28" t="s">
        <v>52</v>
      </c>
      <c r="M12301" s="28" t="s">
        <v>52</v>
      </c>
      <c r="N12301" s="28" t="s">
        <v>52</v>
      </c>
    </row>
    <row r="12302" spans="1:14" x14ac:dyDescent="0.15">
      <c r="A12302" s="23" t="str">
        <f>HYPERLINK("https://www.spark-marketing.ru/Card/Person/48729", "ГБУЗ НО ""БОЛЬШЕМУРАШКИНСКАЯ ЦРБ""")</f>
        <v>ГБУЗ НО "БОЛЬШЕМУРАШКИНСКАЯ ЦРБ"</v>
      </c>
      <c r="B12302" s="24" t="s">
        <v>14630</v>
      </c>
      <c r="C12302" s="25">
        <v>64800</v>
      </c>
      <c r="D12302" s="22" t="s">
        <v>14631</v>
      </c>
      <c r="E12302" s="22" t="s">
        <v>59</v>
      </c>
      <c r="F12302" s="23" t="str">
        <f>HYPERLINK("https://www.spark-marketing.ru/Card/Lot/68674752", "Оказание услуг по техническому обслуживанию комплекса технических средств охраны")</f>
        <v>Оказание услуг по техническому обслуживанию комплекса технических средств охраны</v>
      </c>
      <c r="G12302" s="22" t="s">
        <v>64</v>
      </c>
      <c r="H12302" s="22" t="s">
        <v>64</v>
      </c>
      <c r="I12302" s="26">
        <v>43537.725694444402</v>
      </c>
      <c r="J12302" s="28" t="s">
        <v>52</v>
      </c>
      <c r="K12302" s="28" t="s">
        <v>52</v>
      </c>
      <c r="L12302" s="28" t="s">
        <v>52</v>
      </c>
      <c r="M12302" s="28" t="s">
        <v>52</v>
      </c>
      <c r="N12302" s="28" t="s">
        <v>52</v>
      </c>
    </row>
    <row r="12303" spans="1:14" ht="12.75" hidden="1" outlineLevel="1" x14ac:dyDescent="0.2">
      <c r="A12303" s="23" t="str">
        <f>HYPERLINK("https://www.spark-marketing.ru/Card/Person/48729", "ГБУЗ НО ""БОЛЬШЕМУРАШКИНСКАЯ ЦРБ""")</f>
        <v>ГБУЗ НО "БОЛЬШЕМУРАШКИНСКАЯ ЦРБ"</v>
      </c>
      <c r="B12303" s="24" t="s">
        <v>14630</v>
      </c>
      <c r="C12303" s="25">
        <v>64800</v>
      </c>
      <c r="D12303" s="22" t="s">
        <v>14631</v>
      </c>
      <c r="E12303" s="22" t="s">
        <v>59</v>
      </c>
      <c r="F12303" s="23" t="str">
        <f>HYPERLINK("https://www.spark-marketing.ru/Card/Lot/68674752", "Оказание услуг по техническому обслуживанию комплекса технических средств охраны")</f>
        <v>Оказание услуг по техническому обслуживанию комплекса технических средств охраны</v>
      </c>
      <c r="G12303" s="22" t="s">
        <v>64</v>
      </c>
      <c r="H12303" s="22" t="s">
        <v>64</v>
      </c>
      <c r="I12303" s="26">
        <v>43537.725694444402</v>
      </c>
      <c r="J12303" s="23" t="str">
        <f>HYPERLINK("https://www.spark-marketing.ru/Card/Person/338603", "ООО ""ВИДИС""")</f>
        <v>ООО "ВИДИС"</v>
      </c>
      <c r="K12303" s="24" t="s">
        <v>7838</v>
      </c>
      <c r="L12303" s="22" t="s">
        <v>10</v>
      </c>
      <c r="M12303" s="25">
        <v>36000</v>
      </c>
      <c r="N12303" s="27">
        <v>0.44444444444444442</v>
      </c>
    </row>
    <row r="12304" spans="1:14" hidden="1" outlineLevel="1" x14ac:dyDescent="0.2">
      <c r="A12304" s="23" t="str">
        <f>HYPERLINK("https://www.spark-marketing.ru/Card/Person/48729", "ГБУЗ НО ""БОЛЬШЕМУРАШКИНСКАЯ ЦРБ""")</f>
        <v>ГБУЗ НО "БОЛЬШЕМУРАШКИНСКАЯ ЦРБ"</v>
      </c>
      <c r="B12304" s="24" t="s">
        <v>14630</v>
      </c>
      <c r="C12304" s="25">
        <v>64800</v>
      </c>
      <c r="D12304" s="22" t="s">
        <v>14631</v>
      </c>
      <c r="E12304" s="22" t="s">
        <v>59</v>
      </c>
      <c r="F12304" s="23" t="str">
        <f>HYPERLINK("https://www.spark-marketing.ru/Card/Lot/68674752", "Оказание услуг по техническому обслуживанию комплекса технических средств охраны")</f>
        <v>Оказание услуг по техническому обслуживанию комплекса технических средств охраны</v>
      </c>
      <c r="G12304" s="22" t="s">
        <v>64</v>
      </c>
      <c r="H12304" s="22" t="s">
        <v>64</v>
      </c>
      <c r="I12304" s="26">
        <v>43537.725694444402</v>
      </c>
      <c r="J12304" s="23" t="str">
        <f>HYPERLINK("https://www.spark-marketing.ru/Card/Person/127350", "ООО ""НАНОСТРОЙ""")</f>
        <v>ООО "НАНОСТРОЙ"</v>
      </c>
      <c r="K12304" s="24" t="s">
        <v>14632</v>
      </c>
      <c r="L12304" s="28" t="s">
        <v>52</v>
      </c>
      <c r="M12304" s="25">
        <v>59940</v>
      </c>
      <c r="N12304" s="27">
        <v>7.4999999999999997E-2</v>
      </c>
    </row>
    <row r="12305" spans="1:14" hidden="1" outlineLevel="1" x14ac:dyDescent="0.2">
      <c r="A12305" s="23" t="str">
        <f>HYPERLINK("https://www.spark-marketing.ru/Card/Person/48729", "ГБУЗ НО ""БОЛЬШЕМУРАШКИНСКАЯ ЦРБ""")</f>
        <v>ГБУЗ НО "БОЛЬШЕМУРАШКИНСКАЯ ЦРБ"</v>
      </c>
      <c r="B12305" s="24" t="s">
        <v>14630</v>
      </c>
      <c r="C12305" s="25">
        <v>64800</v>
      </c>
      <c r="D12305" s="22" t="s">
        <v>14631</v>
      </c>
      <c r="E12305" s="22" t="s">
        <v>59</v>
      </c>
      <c r="F12305" s="23" t="str">
        <f>HYPERLINK("https://www.spark-marketing.ru/Card/Lot/68674752", "Оказание услуг по техническому обслуживанию комплекса технических средств охраны")</f>
        <v>Оказание услуг по техническому обслуживанию комплекса технических средств охраны</v>
      </c>
      <c r="G12305" s="22" t="s">
        <v>64</v>
      </c>
      <c r="H12305" s="22" t="s">
        <v>64</v>
      </c>
      <c r="I12305" s="26">
        <v>43537.725694444402</v>
      </c>
      <c r="J12305" s="23" t="str">
        <f>HYPERLINK("https://www.spark-marketing.ru/Card/Person/4857369", "ООО ""ЗАЩИТА - НН""")</f>
        <v>ООО "ЗАЩИТА - НН"</v>
      </c>
      <c r="K12305" s="24" t="s">
        <v>14633</v>
      </c>
      <c r="L12305" s="28" t="s">
        <v>52</v>
      </c>
      <c r="M12305" s="25">
        <v>36936</v>
      </c>
      <c r="N12305" s="27">
        <v>0.43</v>
      </c>
    </row>
    <row r="12306" spans="1:14" hidden="1" outlineLevel="1" x14ac:dyDescent="0.2">
      <c r="A12306" s="23" t="str">
        <f>HYPERLINK("https://www.spark-marketing.ru/Card/Person/48729", "ГБУЗ НО ""БОЛЬШЕМУРАШКИНСКАЯ ЦРБ""")</f>
        <v>ГБУЗ НО "БОЛЬШЕМУРАШКИНСКАЯ ЦРБ"</v>
      </c>
      <c r="B12306" s="24" t="s">
        <v>14630</v>
      </c>
      <c r="C12306" s="25">
        <v>64800</v>
      </c>
      <c r="D12306" s="22" t="s">
        <v>14631</v>
      </c>
      <c r="E12306" s="22" t="s">
        <v>59</v>
      </c>
      <c r="F12306" s="23" t="str">
        <f>HYPERLINK("https://www.spark-marketing.ru/Card/Lot/68674752", "Оказание услуг по техническому обслуживанию комплекса технических средств охраны")</f>
        <v>Оказание услуг по техническому обслуживанию комплекса технических средств охраны</v>
      </c>
      <c r="G12306" s="22" t="s">
        <v>64</v>
      </c>
      <c r="H12306" s="22" t="s">
        <v>64</v>
      </c>
      <c r="I12306" s="26">
        <v>43537.725694444402</v>
      </c>
      <c r="J12306" s="23" t="str">
        <f>HYPERLINK("https://www.spark-marketing.ru/Card/Person/519654", "ООО ЧОП "" ПРАВОПОРЯДОК """)</f>
        <v>ООО ЧОП " ПРАВОПОРЯДОК "</v>
      </c>
      <c r="K12306" s="24" t="s">
        <v>14634</v>
      </c>
      <c r="L12306" s="28" t="s">
        <v>52</v>
      </c>
      <c r="M12306" s="25">
        <v>40176</v>
      </c>
      <c r="N12306" s="27">
        <v>0.38</v>
      </c>
    </row>
    <row r="12307" spans="1:14" ht="12.75" x14ac:dyDescent="0.2">
      <c r="A12307" s="23" t="str">
        <f>HYPERLINK("https://www.spark-marketing.ru/Card/Person/666553", "ФГП ВО ЖДТ РОССИИ")</f>
        <v>ФГП ВО ЖДТ РОССИИ</v>
      </c>
      <c r="B12307" s="24" t="s">
        <v>1269</v>
      </c>
      <c r="C12307" s="25">
        <v>33089280</v>
      </c>
      <c r="D12307" s="22" t="s">
        <v>14635</v>
      </c>
      <c r="E12307" s="22" t="s">
        <v>1543</v>
      </c>
      <c r="F12307" s="23" t="str">
        <f>HYPERLINK("https://www.spark-marketing.ru/Card/Lot/68674254", "Поставка автомобильной техники для нужд федерального государственного предприятия «Ведомственная охрана железнодорожного транспорта Российской Федерации»")</f>
        <v>Поставка автомобильной техники для нужд федерального государственного предприятия «Ведомственная охрана железнодорожного транспорта Российской Федерации»</v>
      </c>
      <c r="G12307" s="22" t="s">
        <v>55</v>
      </c>
      <c r="H12307" s="22" t="s">
        <v>55</v>
      </c>
      <c r="I12307" s="26">
        <v>43537.731412036999</v>
      </c>
      <c r="J12307" s="23" t="str">
        <f>HYPERLINK("https://www.spark-marketing.ru/Card/Person/135654", "ООО ""УАЗ""")</f>
        <v>ООО "УАЗ"</v>
      </c>
      <c r="K12307" s="24" t="s">
        <v>14636</v>
      </c>
      <c r="L12307" s="22" t="s">
        <v>10</v>
      </c>
      <c r="M12307" s="25">
        <v>0</v>
      </c>
      <c r="N12307" s="27">
        <v>1</v>
      </c>
    </row>
    <row r="12308" spans="1:14" x14ac:dyDescent="0.15">
      <c r="A12308" s="23" t="str">
        <f>HYPERLINK("https://www.spark-marketing.ru/Card/Person/359515", "АО ""ЛОТЭК""")</f>
        <v>АО "ЛОТЭК"</v>
      </c>
      <c r="B12308" s="24" t="s">
        <v>14637</v>
      </c>
      <c r="C12308" s="25">
        <v>303696</v>
      </c>
      <c r="D12308" s="22" t="s">
        <v>14638</v>
      </c>
      <c r="E12308" s="22" t="s">
        <v>144</v>
      </c>
      <c r="F12308" s="23" t="str">
        <f>HYPERLINK("https://www.spark-marketing.ru/Card/Lot/68673990", "Услуги по охране производственного объекта Заказчика путем экстренного выезда нарядов охраны по вызову с помощью кнопки тревожной сигнализации")</f>
        <v>Услуги по охране производственного объекта Заказчика путем экстренного выезда нарядов охраны по вызову с помощью кнопки тревожной сигнализации</v>
      </c>
      <c r="G12308" s="22" t="s">
        <v>861</v>
      </c>
      <c r="H12308" s="22" t="s">
        <v>861</v>
      </c>
      <c r="I12308" s="26">
        <v>43537.722708333298</v>
      </c>
      <c r="J12308" s="28" t="s">
        <v>52</v>
      </c>
      <c r="K12308" s="28" t="s">
        <v>52</v>
      </c>
      <c r="L12308" s="28" t="s">
        <v>52</v>
      </c>
      <c r="M12308" s="28" t="s">
        <v>52</v>
      </c>
      <c r="N12308" s="28" t="s">
        <v>52</v>
      </c>
    </row>
    <row r="12309" spans="1:14" hidden="1" outlineLevel="1" x14ac:dyDescent="0.2">
      <c r="A12309" s="23" t="str">
        <f>HYPERLINK("https://www.spark-marketing.ru/Card/Person/359515", "АО ""ЛОТЭК""")</f>
        <v>АО "ЛОТЭК"</v>
      </c>
      <c r="B12309" s="24" t="s">
        <v>14637</v>
      </c>
      <c r="C12309" s="28" t="s">
        <v>52</v>
      </c>
      <c r="D12309" s="22" t="s">
        <v>14638</v>
      </c>
      <c r="E12309" s="22" t="s">
        <v>144</v>
      </c>
      <c r="F12309" s="23" t="str">
        <f>HYPERLINK("https://www.spark-marketing.ru/Card/Lot/68673990", "Услуги по охране производственного объекта Заказчика путем экстренного выезда нарядов охраны по вызову с помощью кнопки тревожной сигнализации")</f>
        <v>Услуги по охране производственного объекта Заказчика путем экстренного выезда нарядов охраны по вызову с помощью кнопки тревожной сигнализации</v>
      </c>
      <c r="G12309" s="22" t="s">
        <v>861</v>
      </c>
      <c r="H12309" s="22" t="s">
        <v>861</v>
      </c>
      <c r="I12309" s="26">
        <v>43537.722708333298</v>
      </c>
      <c r="J12309" s="23" t="str">
        <f>HYPERLINK("https://www.spark-marketing.ru/Card/Person/4347044", "ФГКУ ""УВО ВНГ РОССИИ ПО Г. СПБ И ЛО""")</f>
        <v>ФГКУ "УВО ВНГ РОССИИ ПО Г. СПБ И ЛО"</v>
      </c>
      <c r="K12309" s="24" t="s">
        <v>8969</v>
      </c>
      <c r="L12309" s="28" t="s">
        <v>52</v>
      </c>
      <c r="M12309" s="25">
        <v>253080</v>
      </c>
      <c r="N12309" s="27">
        <v>0.16666666666666666</v>
      </c>
    </row>
    <row r="12310" spans="1:14" hidden="1" outlineLevel="1" x14ac:dyDescent="0.2">
      <c r="A12310" s="23" t="str">
        <f>HYPERLINK("https://www.spark-marketing.ru/Card/Person/359515", "АО ""ЛОТЭК""")</f>
        <v>АО "ЛОТЭК"</v>
      </c>
      <c r="B12310" s="24" t="s">
        <v>14637</v>
      </c>
      <c r="C12310" s="28" t="s">
        <v>52</v>
      </c>
      <c r="D12310" s="22" t="s">
        <v>14638</v>
      </c>
      <c r="E12310" s="22" t="s">
        <v>144</v>
      </c>
      <c r="F12310" s="23" t="str">
        <f>HYPERLINK("https://www.spark-marketing.ru/Card/Lot/68673990", "Услуги по охране производственного объекта Заказчика путем экстренного выезда нарядов охраны по вызову с помощью кнопки тревожной сигнализации")</f>
        <v>Услуги по охране производственного объекта Заказчика путем экстренного выезда нарядов охраны по вызову с помощью кнопки тревожной сигнализации</v>
      </c>
      <c r="G12310" s="22" t="s">
        <v>861</v>
      </c>
      <c r="H12310" s="22" t="s">
        <v>861</v>
      </c>
      <c r="I12310" s="26">
        <v>43537.722708333298</v>
      </c>
      <c r="J12310" s="23" t="str">
        <f>HYPERLINK("https://www.spark-marketing.ru/Card/Person/4468695", "ООО ""ЛОДЕЙНОПОЛЬСКАЯ ЧАСТНАЯ ОХРАНА""")</f>
        <v>ООО "ЛОДЕЙНОПОЛЬСКАЯ ЧАСТНАЯ ОХРАНА"</v>
      </c>
      <c r="K12310" s="24" t="s">
        <v>14639</v>
      </c>
      <c r="L12310" s="22" t="s">
        <v>10</v>
      </c>
      <c r="M12310" s="25">
        <v>249000</v>
      </c>
      <c r="N12310" s="27">
        <v>0.18010115378536432</v>
      </c>
    </row>
    <row r="12311" spans="1:14" x14ac:dyDescent="0.15">
      <c r="A12311" s="23" t="str">
        <f>HYPERLINK("https://www.spark-marketing.ru/Card/Person/1005329", "МБОУ ГИМНАЗИЯ № 1")</f>
        <v>МБОУ ГИМНАЗИЯ № 1</v>
      </c>
      <c r="B12311" s="24" t="s">
        <v>12726</v>
      </c>
      <c r="C12311" s="25">
        <v>672000</v>
      </c>
      <c r="D12311" s="22" t="s">
        <v>14640</v>
      </c>
      <c r="E12311" s="22" t="s">
        <v>194</v>
      </c>
      <c r="F12311" s="23" t="str">
        <f>HYPERLINK("https://www.spark-marketing.ru/Card/Lot/68675614", "Приобретение и установка средств видеотрансляции и видеопротоколирования в пункты проведения экзаменов ГИА МБОУ Гимназии №1 городского округа Краснознаменск Московской области")</f>
        <v>Приобретение и установка средств видеотрансляции и видеопротоколирования в пункты проведения экзаменов ГИА МБОУ Гимназии №1 городского округа Краснознаменск Московской области</v>
      </c>
      <c r="G12311" s="22" t="s">
        <v>50</v>
      </c>
      <c r="H12311" s="22" t="s">
        <v>9386</v>
      </c>
      <c r="I12311" s="26">
        <v>43537.748611111099</v>
      </c>
      <c r="J12311" s="28" t="s">
        <v>52</v>
      </c>
      <c r="K12311" s="28" t="s">
        <v>52</v>
      </c>
      <c r="L12311" s="28" t="s">
        <v>52</v>
      </c>
      <c r="M12311" s="28" t="s">
        <v>52</v>
      </c>
      <c r="N12311" s="28" t="s">
        <v>52</v>
      </c>
    </row>
    <row r="12312" spans="1:14" ht="12.75" hidden="1" outlineLevel="1" x14ac:dyDescent="0.2">
      <c r="A12312" s="23" t="str">
        <f>HYPERLINK("https://www.spark-marketing.ru/Card/Person/1005329", "МБОУ ГИМНАЗИЯ № 1")</f>
        <v>МБОУ ГИМНАЗИЯ № 1</v>
      </c>
      <c r="B12312" s="24" t="s">
        <v>12726</v>
      </c>
      <c r="C12312" s="25">
        <v>672000</v>
      </c>
      <c r="D12312" s="22" t="s">
        <v>14640</v>
      </c>
      <c r="E12312" s="22" t="s">
        <v>194</v>
      </c>
      <c r="F12312" s="23" t="str">
        <f>HYPERLINK("https://www.spark-marketing.ru/Card/Lot/68675614", "Приобретение и установка средств видеотрансляции и видеопротоколирования в пункты проведения экзаменов ГИА МБОУ Гимназии №1 городского округа Краснознаменск Московской области")</f>
        <v>Приобретение и установка средств видеотрансляции и видеопротоколирования в пункты проведения экзаменов ГИА МБОУ Гимназии №1 городского округа Краснознаменск Московской области</v>
      </c>
      <c r="G12312" s="22" t="s">
        <v>50</v>
      </c>
      <c r="H12312" s="22" t="s">
        <v>9386</v>
      </c>
      <c r="I12312" s="26">
        <v>43537.748611111099</v>
      </c>
      <c r="J12312" s="23" t="str">
        <f>HYPERLINK("https://www.spark-marketing.ru/Card/Person/4856010", "ООО ""СФЕРА БЕЗОПАСНОСТИ""")</f>
        <v>ООО "СФЕРА БЕЗОПАСНОСТИ"</v>
      </c>
      <c r="K12312" s="24" t="s">
        <v>13278</v>
      </c>
      <c r="L12312" s="22" t="s">
        <v>10</v>
      </c>
      <c r="M12312" s="25">
        <v>665280</v>
      </c>
      <c r="N12312" s="27">
        <v>0.01</v>
      </c>
    </row>
    <row r="12313" spans="1:14" hidden="1" outlineLevel="1" x14ac:dyDescent="0.2">
      <c r="A12313" s="23" t="str">
        <f>HYPERLINK("https://www.spark-marketing.ru/Card/Person/1005329", "МБОУ ГИМНАЗИЯ № 1")</f>
        <v>МБОУ ГИМНАЗИЯ № 1</v>
      </c>
      <c r="B12313" s="24" t="s">
        <v>12726</v>
      </c>
      <c r="C12313" s="25">
        <v>672000</v>
      </c>
      <c r="D12313" s="22" t="s">
        <v>14640</v>
      </c>
      <c r="E12313" s="22" t="s">
        <v>194</v>
      </c>
      <c r="F12313" s="23" t="str">
        <f>HYPERLINK("https://www.spark-marketing.ru/Card/Lot/68675614", "Приобретение и установка средств видеотрансляции и видеопротоколирования в пункты проведения экзаменов ГИА МБОУ Гимназии №1 городского округа Краснознаменск Московской области")</f>
        <v>Приобретение и установка средств видеотрансляции и видеопротоколирования в пункты проведения экзаменов ГИА МБОУ Гимназии №1 городского округа Краснознаменск Московской области</v>
      </c>
      <c r="G12313" s="22" t="s">
        <v>50</v>
      </c>
      <c r="H12313" s="22" t="s">
        <v>9386</v>
      </c>
      <c r="I12313" s="26">
        <v>43537.748611111099</v>
      </c>
      <c r="J12313" s="23" t="str">
        <f>HYPERLINK("https://www.spark-marketing.ru/Card/Person/76451", "ООО ""БИС""")</f>
        <v>ООО "БИС"</v>
      </c>
      <c r="K12313" s="24" t="s">
        <v>6528</v>
      </c>
      <c r="L12313" s="28" t="s">
        <v>52</v>
      </c>
      <c r="M12313" s="25">
        <v>668640</v>
      </c>
      <c r="N12313" s="27">
        <v>5.0000000000000001E-3</v>
      </c>
    </row>
    <row r="12314" spans="1:14" x14ac:dyDescent="0.15">
      <c r="A12314" s="23" t="str">
        <f>HYPERLINK("https://www.spark-marketing.ru/Card/Person/5225", "ФБУЗ ""ЦГИЭ В РО""")</f>
        <v>ФБУЗ "ЦГИЭ В РО"</v>
      </c>
      <c r="B12314" s="24" t="s">
        <v>2140</v>
      </c>
      <c r="C12314" s="25">
        <v>368813</v>
      </c>
      <c r="D12314" s="22" t="s">
        <v>14641</v>
      </c>
      <c r="E12314" s="22" t="s">
        <v>14642</v>
      </c>
      <c r="F12314" s="23" t="str">
        <f>HYPERLINK("https://www.spark-marketing.ru/Card/Lot/68674081", "Оказание услуг по охране имущества, услуг оператора, техника, уборщика территории для филиала ФБУЗ ""ЦГиЭ в РО"" в г. Ростове-на-Дону")</f>
        <v>Оказание услуг по охране имущества, услуг оператора, техника, уборщика территории для филиала ФБУЗ "ЦГиЭ в РО" в г. Ростове-на-Дону</v>
      </c>
      <c r="G12314" s="22" t="s">
        <v>402</v>
      </c>
      <c r="H12314" s="22" t="s">
        <v>402</v>
      </c>
      <c r="I12314" s="26">
        <v>43537.7256597222</v>
      </c>
      <c r="J12314" s="28" t="s">
        <v>52</v>
      </c>
      <c r="K12314" s="28" t="s">
        <v>52</v>
      </c>
      <c r="L12314" s="28" t="s">
        <v>52</v>
      </c>
      <c r="M12314" s="28" t="s">
        <v>52</v>
      </c>
      <c r="N12314" s="28" t="s">
        <v>52</v>
      </c>
    </row>
    <row r="12315" spans="1:14" hidden="1" outlineLevel="1" x14ac:dyDescent="0.2">
      <c r="A12315" s="23" t="str">
        <f>HYPERLINK("https://www.spark-marketing.ru/Card/Person/5225", "ФБУЗ ""ЦГИЭ В РО""")</f>
        <v>ФБУЗ "ЦГИЭ В РО"</v>
      </c>
      <c r="B12315" s="24" t="s">
        <v>2140</v>
      </c>
      <c r="C12315" s="28" t="s">
        <v>52</v>
      </c>
      <c r="D12315" s="22" t="s">
        <v>14641</v>
      </c>
      <c r="E12315" s="22" t="s">
        <v>14642</v>
      </c>
      <c r="F12315" s="23" t="str">
        <f>HYPERLINK("https://www.spark-marketing.ru/Card/Lot/68674081", "Оказание услуг по охране имущества, услуг оператора, техника, уборщика территории для филиала ФБУЗ ""ЦГиЭ в РО"" в г. Ростове-на-Дону")</f>
        <v>Оказание услуг по охране имущества, услуг оператора, техника, уборщика территории для филиала ФБУЗ "ЦГиЭ в РО" в г. Ростове-на-Дону</v>
      </c>
      <c r="G12315" s="22" t="s">
        <v>402</v>
      </c>
      <c r="H12315" s="22" t="s">
        <v>402</v>
      </c>
      <c r="I12315" s="26">
        <v>43537.7256597222</v>
      </c>
      <c r="J12315" s="23" t="str">
        <f>HYPERLINK("https://www.spark-marketing.ru/Card/Person/4912504", "ООО ""ЮСК""")</f>
        <v>ООО "ЮСК"</v>
      </c>
      <c r="K12315" s="24" t="s">
        <v>14643</v>
      </c>
      <c r="L12315" s="22" t="s">
        <v>10</v>
      </c>
      <c r="M12315" s="25">
        <v>360180</v>
      </c>
      <c r="N12315" s="27">
        <v>2.340752630736986E-2</v>
      </c>
    </row>
    <row r="12316" spans="1:14" hidden="1" outlineLevel="1" x14ac:dyDescent="0.2">
      <c r="A12316" s="23" t="str">
        <f>HYPERLINK("https://www.spark-marketing.ru/Card/Person/5225", "ФБУЗ ""ЦГИЭ В РО""")</f>
        <v>ФБУЗ "ЦГИЭ В РО"</v>
      </c>
      <c r="B12316" s="24" t="s">
        <v>2140</v>
      </c>
      <c r="C12316" s="28" t="s">
        <v>52</v>
      </c>
      <c r="D12316" s="22" t="s">
        <v>14641</v>
      </c>
      <c r="E12316" s="22" t="s">
        <v>14642</v>
      </c>
      <c r="F12316" s="23" t="str">
        <f>HYPERLINK("https://www.spark-marketing.ru/Card/Lot/68674081", "Оказание услуг по охране имущества, услуг оператора, техника, уборщика территории для филиала ФБУЗ ""ЦГиЭ в РО"" в г. Ростове-на-Дону")</f>
        <v>Оказание услуг по охране имущества, услуг оператора, техника, уборщика территории для филиала ФБУЗ "ЦГиЭ в РО" в г. Ростове-на-Дону</v>
      </c>
      <c r="G12316" s="22" t="s">
        <v>402</v>
      </c>
      <c r="H12316" s="22" t="s">
        <v>402</v>
      </c>
      <c r="I12316" s="26">
        <v>43537.7256597222</v>
      </c>
      <c r="J12316" s="23" t="str">
        <f>HYPERLINK("https://www.spark-marketing.ru/Card/Person/6319012", "Нагинай Виталий Викторович")</f>
        <v>Нагинай Виталий Викторович</v>
      </c>
      <c r="K12316" s="24" t="s">
        <v>14644</v>
      </c>
      <c r="L12316" s="28" t="s">
        <v>52</v>
      </c>
      <c r="M12316" s="25">
        <v>368000</v>
      </c>
      <c r="N12316" s="27">
        <v>2.2043691518465998E-3</v>
      </c>
    </row>
    <row r="12317" spans="1:14" x14ac:dyDescent="0.15">
      <c r="A12317" s="23" t="str">
        <f>HYPERLINK("https://www.spark-marketing.ru/Card/Person/61942", "ГБПОУ РО ""РБМК""")</f>
        <v>ГБПОУ РО "РБМК"</v>
      </c>
      <c r="B12317" s="24" t="s">
        <v>7721</v>
      </c>
      <c r="C12317" s="25">
        <v>195461.82</v>
      </c>
      <c r="D12317" s="22" t="s">
        <v>14645</v>
      </c>
      <c r="E12317" s="22" t="s">
        <v>1261</v>
      </c>
      <c r="F12317" s="23" t="str">
        <f>HYPERLINK("https://www.spark-marketing.ru/Card/Lot/68670123", "Выполнение комплекса работ по монтажу и пусконаладочным работам системы контроля доступа в помещение ГБПОУ РО ""РБМК"" по адресу: г.Ростов-на-Дону ул. Пушкинская 173б по антитеррористическим мероприятиям в рамках реализации ГПРО ""Обеспечение обществ...")</f>
        <v>Выполнение комплекса работ по монтажу и пусконаладочным работам системы контроля доступа в помещение ГБПОУ РО "РБМК" по адресу: г.Ростов-на-Дону ул. Пушкинская 173б по антитеррористическим мероприятиям в рамках реализации ГПРО "Обеспечение обществ...</v>
      </c>
      <c r="G12317" s="22" t="s">
        <v>402</v>
      </c>
      <c r="H12317" s="22" t="s">
        <v>403</v>
      </c>
      <c r="I12317" s="26">
        <v>43537.6965277778</v>
      </c>
      <c r="J12317" s="28" t="s">
        <v>52</v>
      </c>
      <c r="K12317" s="28" t="s">
        <v>52</v>
      </c>
      <c r="L12317" s="28" t="s">
        <v>52</v>
      </c>
      <c r="M12317" s="28" t="s">
        <v>52</v>
      </c>
      <c r="N12317" s="28" t="s">
        <v>52</v>
      </c>
    </row>
    <row r="12318" spans="1:14" x14ac:dyDescent="0.15">
      <c r="A12318" s="23" t="str">
        <f>HYPERLINK("https://www.spark-marketing.ru/Card/Person/4348584", "АО ""АТОМ-ОХРАНА""")</f>
        <v>АО "АТОМ-ОХРАНА"</v>
      </c>
      <c r="B12318" s="24" t="s">
        <v>1036</v>
      </c>
      <c r="C12318" s="25">
        <v>0</v>
      </c>
      <c r="D12318" s="22" t="s">
        <v>14646</v>
      </c>
      <c r="E12318" s="22" t="s">
        <v>53</v>
      </c>
      <c r="F12318" s="23" t="str">
        <f>HYPERLINK("https://www.spark-marketing.ru/Card/Lot/68675992", "мониторинг цен в электронной форме на Оказание услуг по техническому обслуживанию в гарантийный период эксплуатации автомобиля марки Peugeot Traveller МУВО № 2 ФГУП «Атом-охрана»")</f>
        <v>мониторинг цен в электронной форме на Оказание услуг по техническому обслуживанию в гарантийный период эксплуатации автомобиля марки Peugeot Traveller МУВО № 2 ФГУП «Атом-охрана»</v>
      </c>
      <c r="G12318" s="22" t="s">
        <v>55</v>
      </c>
      <c r="H12318" s="22" t="s">
        <v>55</v>
      </c>
      <c r="I12318" s="26">
        <v>43537.6667592593</v>
      </c>
      <c r="J12318" s="28" t="s">
        <v>52</v>
      </c>
      <c r="K12318" s="28" t="s">
        <v>52</v>
      </c>
      <c r="L12318" s="28" t="s">
        <v>52</v>
      </c>
      <c r="M12318" s="28" t="s">
        <v>52</v>
      </c>
      <c r="N12318" s="28" t="s">
        <v>52</v>
      </c>
    </row>
    <row r="12319" spans="1:14" x14ac:dyDescent="0.15">
      <c r="A12319" s="23" t="str">
        <f>HYPERLINK("https://www.spark-marketing.ru/Card/Person/61942", "ГБПОУ РО ""РБМК""")</f>
        <v>ГБПОУ РО "РБМК"</v>
      </c>
      <c r="B12319" s="24" t="s">
        <v>7721</v>
      </c>
      <c r="C12319" s="25">
        <v>195207.26</v>
      </c>
      <c r="D12319" s="22" t="s">
        <v>14647</v>
      </c>
      <c r="E12319" s="22" t="s">
        <v>1261</v>
      </c>
      <c r="F12319" s="23" t="str">
        <f>HYPERLINK("https://www.spark-marketing.ru/Card/Lot/68670116", "Выполнение комплекса работ по монтажу и пусконаладочным работам системы контроля доступа в помещение ГБПОУ РО ""РБМК"" по адресу: г.Ростов-на-Дону ул. Тракторная 50а по антитеррористическим мероприятиям в рамках реализации ГПРО ""Обеспечение обществе...")</f>
        <v>Выполнение комплекса работ по монтажу и пусконаладочным работам системы контроля доступа в помещение ГБПОУ РО "РБМК" по адресу: г.Ростов-на-Дону ул. Тракторная 50а по антитеррористическим мероприятиям в рамках реализации ГПРО "Обеспечение обществе...</v>
      </c>
      <c r="G12319" s="22" t="s">
        <v>402</v>
      </c>
      <c r="H12319" s="22" t="s">
        <v>403</v>
      </c>
      <c r="I12319" s="26">
        <v>43537.695833333302</v>
      </c>
      <c r="J12319" s="28" t="s">
        <v>52</v>
      </c>
      <c r="K12319" s="28" t="s">
        <v>52</v>
      </c>
      <c r="L12319" s="28" t="s">
        <v>52</v>
      </c>
      <c r="M12319" s="28" t="s">
        <v>52</v>
      </c>
      <c r="N12319" s="28" t="s">
        <v>52</v>
      </c>
    </row>
    <row r="12320" spans="1:14" x14ac:dyDescent="0.15">
      <c r="A12320" s="23" t="str">
        <f>HYPERLINK("https://www.spark-marketing.ru/Card/Person/4348584", "АО ""АТОМ-ОХРАНА""")</f>
        <v>АО "АТОМ-ОХРАНА"</v>
      </c>
      <c r="B12320" s="24" t="s">
        <v>1036</v>
      </c>
      <c r="C12320" s="28" t="s">
        <v>52</v>
      </c>
      <c r="D12320" s="22" t="s">
        <v>14648</v>
      </c>
      <c r="E12320" s="22" t="s">
        <v>53</v>
      </c>
      <c r="F12320" s="23" t="str">
        <f>HYPERLINK("https://www.spark-marketing.ru/Card/Lot/68676348", "Оказание услуг по техническому обслуживанию в гарантийный период эксплуатации автомобиля марки Peugeot Traveller МУВО № 2 ФГУП «Атом-охрана» (1206677)")</f>
        <v>Оказание услуг по техническому обслуживанию в гарантийный период эксплуатации автомобиля марки Peugeot Traveller МУВО № 2 ФГУП «Атом-охрана» (1206677)</v>
      </c>
      <c r="G12320" s="22" t="s">
        <v>55</v>
      </c>
      <c r="H12320" s="22" t="s">
        <v>55</v>
      </c>
      <c r="I12320" s="26">
        <v>43537.704884259299</v>
      </c>
      <c r="J12320" s="28" t="s">
        <v>52</v>
      </c>
      <c r="K12320" s="28" t="s">
        <v>52</v>
      </c>
      <c r="L12320" s="28" t="s">
        <v>52</v>
      </c>
      <c r="M12320" s="28" t="s">
        <v>52</v>
      </c>
      <c r="N12320" s="28" t="s">
        <v>52</v>
      </c>
    </row>
    <row r="12321" spans="1:14" x14ac:dyDescent="0.15">
      <c r="A12321" s="23" t="str">
        <f>HYPERLINK("https://www.spark-marketing.ru/Card/Person/61942", "ГБПОУ РО ""РБМК""")</f>
        <v>ГБПОУ РО "РБМК"</v>
      </c>
      <c r="B12321" s="24" t="s">
        <v>7721</v>
      </c>
      <c r="C12321" s="25">
        <v>198430.21</v>
      </c>
      <c r="D12321" s="22" t="s">
        <v>14649</v>
      </c>
      <c r="E12321" s="22" t="s">
        <v>1261</v>
      </c>
      <c r="F12321" s="23" t="str">
        <f>HYPERLINK("https://www.spark-marketing.ru/Card/Lot/68670114", "Выполнение комплекса работ по монтажу и пусконаладочным работам системы контроля доступа в помещение ГБПОУ РО ""РБМК"" по адресу: г.Ростов-на-Дону ул.14-я линия 63 по антитеррористическим мероприятиям в рамках реализации ГПРО ""Обеспечение общественн...")</f>
        <v>Выполнение комплекса работ по монтажу и пусконаладочным работам системы контроля доступа в помещение ГБПОУ РО "РБМК" по адресу: г.Ростов-на-Дону ул.14-я линия 63 по антитеррористическим мероприятиям в рамках реализации ГПРО "Обеспечение общественн...</v>
      </c>
      <c r="G12321" s="22" t="s">
        <v>402</v>
      </c>
      <c r="H12321" s="22" t="s">
        <v>403</v>
      </c>
      <c r="I12321" s="26">
        <v>43537.695833333302</v>
      </c>
      <c r="J12321" s="28" t="s">
        <v>52</v>
      </c>
      <c r="K12321" s="28" t="s">
        <v>52</v>
      </c>
      <c r="L12321" s="28" t="s">
        <v>52</v>
      </c>
      <c r="M12321" s="28" t="s">
        <v>52</v>
      </c>
      <c r="N12321" s="28" t="s">
        <v>52</v>
      </c>
    </row>
    <row r="12322" spans="1:14" x14ac:dyDescent="0.15">
      <c r="A12322" s="23" t="str">
        <f>HYPERLINK("https://www.spark-marketing.ru/Card/Person/4346324", "ПАО ""ФСК ЕЭС""")</f>
        <v>ПАО "ФСК ЕЭС"</v>
      </c>
      <c r="B12322" s="24" t="s">
        <v>361</v>
      </c>
      <c r="C12322" s="25">
        <v>6096960</v>
      </c>
      <c r="D12322" s="22" t="s">
        <v>14650</v>
      </c>
      <c r="E12322" s="22" t="s">
        <v>363</v>
      </c>
      <c r="F12322" s="23" t="str">
        <f>HYPERLINK("https://www.spark-marketing.ru/Card/Lot/68668445", "Оказание охранных услуг на РП 330 кВ Путкинский, РП 330 кВ Ондский по титулу «Строительство ВЛ 330 кВ Кольская АЭС - Княжегубская ГЭС - ПС 330/110/35 кВ Лоухи - Путкинская ГЭС - ОРУ 330 кВ Ондской ГЭС» для нужд филиала ПАО «ФСК ЕЭС» - МЭС Северо-Запа...")</f>
        <v>Оказание охранных услуг на РП 330 кВ Путкинский, РП 330 кВ Ондский по титулу «Строительство ВЛ 330 кВ Кольская АЭС - Княжегубская ГЭС - ПС 330/110/35 кВ Лоухи - Путкинская ГЭС - ОРУ 330 кВ Ондской ГЭС» для нужд филиала ПАО «ФСК ЕЭС» - МЭС Северо-Запа...</v>
      </c>
      <c r="G12322" s="22" t="s">
        <v>89</v>
      </c>
      <c r="H12322" s="22" t="s">
        <v>89</v>
      </c>
      <c r="I12322" s="26">
        <v>43537.676365740699</v>
      </c>
      <c r="J12322" s="28" t="s">
        <v>52</v>
      </c>
      <c r="K12322" s="28" t="s">
        <v>52</v>
      </c>
      <c r="L12322" s="28" t="s">
        <v>52</v>
      </c>
      <c r="M12322" s="28" t="s">
        <v>52</v>
      </c>
      <c r="N12322" s="28" t="s">
        <v>52</v>
      </c>
    </row>
    <row r="12323" spans="1:14" hidden="1" outlineLevel="1" x14ac:dyDescent="0.2">
      <c r="A12323" s="23" t="str">
        <f>HYPERLINK("https://www.spark-marketing.ru/Card/Person/4346324", "ПАО ""ФСК ЕЭС""")</f>
        <v>ПАО "ФСК ЕЭС"</v>
      </c>
      <c r="B12323" s="24" t="s">
        <v>361</v>
      </c>
      <c r="C12323" s="28" t="s">
        <v>52</v>
      </c>
      <c r="D12323" s="22" t="s">
        <v>14650</v>
      </c>
      <c r="E12323" s="22" t="s">
        <v>363</v>
      </c>
      <c r="F12323" s="23" t="str">
        <f>HYPERLINK("https://www.spark-marketing.ru/Card/Lot/68668445", "Оказание охранных услуг на РП 330 кВ Путкинский, РП 330 кВ Ондский по титулу «Строительство ВЛ 330 кВ Кольская АЭС - Княжегубская ГЭС - ПС 330/110/35 кВ Лоухи - Путкинская ГЭС - ОРУ 330 кВ Ондской ГЭС» для нужд филиала ПАО «ФСК ЕЭС» - МЭС Северо-Запа...")</f>
        <v>Оказание охранных услуг на РП 330 кВ Путкинский, РП 330 кВ Ондский по титулу «Строительство ВЛ 330 кВ Кольская АЭС - Княжегубская ГЭС - ПС 330/110/35 кВ Лоухи - Путкинская ГЭС - ОРУ 330 кВ Ондской ГЭС» для нужд филиала ПАО «ФСК ЕЭС» - МЭС Северо-Запа...</v>
      </c>
      <c r="G12323" s="22" t="s">
        <v>89</v>
      </c>
      <c r="H12323" s="22" t="s">
        <v>89</v>
      </c>
      <c r="I12323" s="26">
        <v>43537.676365740699</v>
      </c>
      <c r="J12323" s="23" t="str">
        <f>HYPERLINK("https://www.spark-marketing.ru/Card/Person/114794", "ООО ОХРАННАЯ ОРГАНИЗАЦИЯ ""РУСЬ""")</f>
        <v>ООО ОХРАННАЯ ОРГАНИЗАЦИЯ "РУСЬ"</v>
      </c>
      <c r="K12323" s="24" t="s">
        <v>13798</v>
      </c>
      <c r="L12323" s="22" t="s">
        <v>10</v>
      </c>
      <c r="M12323" s="25">
        <v>3859920</v>
      </c>
      <c r="N12323" s="27">
        <v>0.36691072272083136</v>
      </c>
    </row>
    <row r="12324" spans="1:14" hidden="1" outlineLevel="1" x14ac:dyDescent="0.2">
      <c r="A12324" s="23" t="str">
        <f>HYPERLINK("https://www.spark-marketing.ru/Card/Person/4346324", "ПАО ""ФСК ЕЭС""")</f>
        <v>ПАО "ФСК ЕЭС"</v>
      </c>
      <c r="B12324" s="24" t="s">
        <v>361</v>
      </c>
      <c r="C12324" s="28" t="s">
        <v>52</v>
      </c>
      <c r="D12324" s="22" t="s">
        <v>14650</v>
      </c>
      <c r="E12324" s="22" t="s">
        <v>363</v>
      </c>
      <c r="F12324" s="23" t="str">
        <f>HYPERLINK("https://www.spark-marketing.ru/Card/Lot/68668445", "Оказание охранных услуг на РП 330 кВ Путкинский, РП 330 кВ Ондский по титулу «Строительство ВЛ 330 кВ Кольская АЭС - Княжегубская ГЭС - ПС 330/110/35 кВ Лоухи - Путкинская ГЭС - ОРУ 330 кВ Ондской ГЭС» для нужд филиала ПАО «ФСК ЕЭС» - МЭС Северо-Запа...")</f>
        <v>Оказание охранных услуг на РП 330 кВ Путкинский, РП 330 кВ Ондский по титулу «Строительство ВЛ 330 кВ Кольская АЭС - Княжегубская ГЭС - ПС 330/110/35 кВ Лоухи - Путкинская ГЭС - ОРУ 330 кВ Ондской ГЭС» для нужд филиала ПАО «ФСК ЕЭС» - МЭС Северо-Запа...</v>
      </c>
      <c r="G12324" s="22" t="s">
        <v>89</v>
      </c>
      <c r="H12324" s="22" t="s">
        <v>89</v>
      </c>
      <c r="I12324" s="26">
        <v>43537.676365740699</v>
      </c>
      <c r="J12324" s="23" t="str">
        <f>HYPERLINK("https://www.spark-marketing.ru/Card/Person/4705777", "ООО ""ЧОО ""ОШТЕН""")</f>
        <v>ООО "ЧОО "ОШТЕН"</v>
      </c>
      <c r="K12324" s="24" t="s">
        <v>14651</v>
      </c>
      <c r="L12324" s="28" t="s">
        <v>52</v>
      </c>
      <c r="M12324" s="25">
        <v>4678848</v>
      </c>
      <c r="N12324" s="27">
        <v>0.23259329239489845</v>
      </c>
    </row>
    <row r="12325" spans="1:14" hidden="1" outlineLevel="1" x14ac:dyDescent="0.2">
      <c r="A12325" s="23" t="str">
        <f>HYPERLINK("https://www.spark-marketing.ru/Card/Person/4346324", "ПАО ""ФСК ЕЭС""")</f>
        <v>ПАО "ФСК ЕЭС"</v>
      </c>
      <c r="B12325" s="24" t="s">
        <v>361</v>
      </c>
      <c r="C12325" s="28" t="s">
        <v>52</v>
      </c>
      <c r="D12325" s="22" t="s">
        <v>14650</v>
      </c>
      <c r="E12325" s="22" t="s">
        <v>363</v>
      </c>
      <c r="F12325" s="23" t="str">
        <f>HYPERLINK("https://www.spark-marketing.ru/Card/Lot/68668445", "Оказание охранных услуг на РП 330 кВ Путкинский, РП 330 кВ Ондский по титулу «Строительство ВЛ 330 кВ Кольская АЭС - Княжегубская ГЭС - ПС 330/110/35 кВ Лоухи - Путкинская ГЭС - ОРУ 330 кВ Ондской ГЭС» для нужд филиала ПАО «ФСК ЕЭС» - МЭС Северо-Запа...")</f>
        <v>Оказание охранных услуг на РП 330 кВ Путкинский, РП 330 кВ Ондский по титулу «Строительство ВЛ 330 кВ Кольская АЭС - Княжегубская ГЭС - ПС 330/110/35 кВ Лоухи - Путкинская ГЭС - ОРУ 330 кВ Ондской ГЭС» для нужд филиала ПАО «ФСК ЕЭС» - МЭС Северо-Запа...</v>
      </c>
      <c r="G12325" s="22" t="s">
        <v>89</v>
      </c>
      <c r="H12325" s="22" t="s">
        <v>89</v>
      </c>
      <c r="I12325" s="26">
        <v>43537.676365740699</v>
      </c>
      <c r="J12325" s="23" t="str">
        <f>HYPERLINK("https://www.spark-marketing.ru/Card/Person/660541", "ООО ""ОП ""СТАФ-АЛЬЯНС ПЕТРОЗАВОДСК""")</f>
        <v>ООО "ОП "СТАФ-АЛЬЯНС ПЕТРОЗАВОДСК"</v>
      </c>
      <c r="K12325" s="24" t="s">
        <v>14652</v>
      </c>
      <c r="L12325" s="28" t="s">
        <v>52</v>
      </c>
      <c r="M12325" s="25">
        <v>5328112.32</v>
      </c>
      <c r="N12325" s="27">
        <v>0.12610344827586206</v>
      </c>
    </row>
    <row r="12326" spans="1:14" x14ac:dyDescent="0.15">
      <c r="A12326" s="23" t="str">
        <f t="shared" ref="A12326:A12332" si="641">HYPERLINK("https://www.spark-marketing.ru/Card/Person/18763", "ФГБУ ""ФЦССХ"" МИНЗДРАВА РОССИИ (Г. ЧЕЛЯБИНСК)")</f>
        <v>ФГБУ "ФЦССХ" МИНЗДРАВА РОССИИ (Г. ЧЕЛЯБИНСК)</v>
      </c>
      <c r="B12326" s="24" t="s">
        <v>14653</v>
      </c>
      <c r="C12326" s="25">
        <v>2057412</v>
      </c>
      <c r="D12326" s="22" t="s">
        <v>14654</v>
      </c>
      <c r="E12326" s="22" t="s">
        <v>68</v>
      </c>
      <c r="F12326" s="23" t="str">
        <f t="shared" ref="F12326:F12332" si="642">HYPERLINK("https://www.spark-marketing.ru/Card/Lot/68666760", "Оказание услуг по охране объекта ФГБУ «ФЦССХ» Минздрава России (г. Челябинск)")</f>
        <v>Оказание услуг по охране объекта ФГБУ «ФЦССХ» Минздрава России (г. Челябинск)</v>
      </c>
      <c r="G12326" s="22" t="s">
        <v>60</v>
      </c>
      <c r="H12326" s="22" t="s">
        <v>1683</v>
      </c>
      <c r="I12326" s="26">
        <v>43537.6784722222</v>
      </c>
      <c r="J12326" s="28" t="s">
        <v>52</v>
      </c>
      <c r="K12326" s="28" t="s">
        <v>52</v>
      </c>
      <c r="L12326" s="28" t="s">
        <v>52</v>
      </c>
      <c r="M12326" s="28" t="s">
        <v>52</v>
      </c>
      <c r="N12326" s="28" t="s">
        <v>52</v>
      </c>
    </row>
    <row r="12327" spans="1:14" ht="12.75" hidden="1" outlineLevel="1" x14ac:dyDescent="0.2">
      <c r="A12327" s="23" t="str">
        <f t="shared" si="641"/>
        <v>ФГБУ "ФЦССХ" МИНЗДРАВА РОССИИ (Г. ЧЕЛЯБИНСК)</v>
      </c>
      <c r="B12327" s="24" t="s">
        <v>14653</v>
      </c>
      <c r="C12327" s="25">
        <v>2057412</v>
      </c>
      <c r="D12327" s="22" t="s">
        <v>14654</v>
      </c>
      <c r="E12327" s="22" t="s">
        <v>68</v>
      </c>
      <c r="F12327" s="23" t="str">
        <f t="shared" si="642"/>
        <v>Оказание услуг по охране объекта ФГБУ «ФЦССХ» Минздрава России (г. Челябинск)</v>
      </c>
      <c r="G12327" s="22" t="s">
        <v>60</v>
      </c>
      <c r="H12327" s="22" t="s">
        <v>1683</v>
      </c>
      <c r="I12327" s="26">
        <v>43537.6784722222</v>
      </c>
      <c r="J12327" s="23" t="str">
        <f>HYPERLINK("https://www.spark-marketing.ru/Card/Person/870444", "ООО ЧОП ""ГРОЗА""")</f>
        <v>ООО ЧОП "ГРОЗА"</v>
      </c>
      <c r="K12327" s="24" t="s">
        <v>14655</v>
      </c>
      <c r="L12327" s="22" t="s">
        <v>10</v>
      </c>
      <c r="M12327" s="25">
        <v>1600000</v>
      </c>
      <c r="N12327" s="27">
        <v>0.22232396816972003</v>
      </c>
    </row>
    <row r="12328" spans="1:14" hidden="1" outlineLevel="1" x14ac:dyDescent="0.2">
      <c r="A12328" s="23" t="str">
        <f t="shared" si="641"/>
        <v>ФГБУ "ФЦССХ" МИНЗДРАВА РОССИИ (Г. ЧЕЛЯБИНСК)</v>
      </c>
      <c r="B12328" s="24" t="s">
        <v>14653</v>
      </c>
      <c r="C12328" s="25">
        <v>2057412</v>
      </c>
      <c r="D12328" s="22" t="s">
        <v>14654</v>
      </c>
      <c r="E12328" s="22" t="s">
        <v>68</v>
      </c>
      <c r="F12328" s="23" t="str">
        <f t="shared" si="642"/>
        <v>Оказание услуг по охране объекта ФГБУ «ФЦССХ» Минздрава России (г. Челябинск)</v>
      </c>
      <c r="G12328" s="22" t="s">
        <v>60</v>
      </c>
      <c r="H12328" s="22" t="s">
        <v>1683</v>
      </c>
      <c r="I12328" s="26">
        <v>43537.6784722222</v>
      </c>
      <c r="J12328" s="23" t="str">
        <f>HYPERLINK("https://www.spark-marketing.ru/Card/Person/4358450", "ООО ЧОП ""ЗУБР""")</f>
        <v>ООО ЧОП "ЗУБР"</v>
      </c>
      <c r="K12328" s="24" t="s">
        <v>8218</v>
      </c>
      <c r="L12328" s="28" t="s">
        <v>52</v>
      </c>
      <c r="M12328" s="25">
        <v>1340640</v>
      </c>
      <c r="N12328" s="27">
        <v>0.34838525292940842</v>
      </c>
    </row>
    <row r="12329" spans="1:14" hidden="1" outlineLevel="1" x14ac:dyDescent="0.2">
      <c r="A12329" s="23" t="str">
        <f t="shared" si="641"/>
        <v>ФГБУ "ФЦССХ" МИНЗДРАВА РОССИИ (Г. ЧЕЛЯБИНСК)</v>
      </c>
      <c r="B12329" s="24" t="s">
        <v>14653</v>
      </c>
      <c r="C12329" s="25">
        <v>2057412</v>
      </c>
      <c r="D12329" s="22" t="s">
        <v>14654</v>
      </c>
      <c r="E12329" s="22" t="s">
        <v>68</v>
      </c>
      <c r="F12329" s="23" t="str">
        <f t="shared" si="642"/>
        <v>Оказание услуг по охране объекта ФГБУ «ФЦССХ» Минздрава России (г. Челябинск)</v>
      </c>
      <c r="G12329" s="22" t="s">
        <v>60</v>
      </c>
      <c r="H12329" s="22" t="s">
        <v>1683</v>
      </c>
      <c r="I12329" s="26">
        <v>43537.6784722222</v>
      </c>
      <c r="J12329" s="23" t="str">
        <f>HYPERLINK("https://www.spark-marketing.ru/Card/Person/534247", "ООО ЧОО ""ВАРЯГ-1""")</f>
        <v>ООО ЧОО "ВАРЯГ-1"</v>
      </c>
      <c r="K12329" s="24" t="s">
        <v>3231</v>
      </c>
      <c r="L12329" s="28" t="s">
        <v>52</v>
      </c>
      <c r="M12329" s="25">
        <v>1543500</v>
      </c>
      <c r="N12329" s="27">
        <v>0.24978565304372677</v>
      </c>
    </row>
    <row r="12330" spans="1:14" hidden="1" outlineLevel="1" x14ac:dyDescent="0.15">
      <c r="A12330" s="23" t="str">
        <f t="shared" si="641"/>
        <v>ФГБУ "ФЦССХ" МИНЗДРАВА РОССИИ (Г. ЧЕЛЯБИНСК)</v>
      </c>
      <c r="B12330" s="24" t="s">
        <v>14653</v>
      </c>
      <c r="C12330" s="25">
        <v>2057412</v>
      </c>
      <c r="D12330" s="22" t="s">
        <v>14654</v>
      </c>
      <c r="E12330" s="22" t="s">
        <v>68</v>
      </c>
      <c r="F12330" s="23" t="str">
        <f t="shared" si="642"/>
        <v>Оказание услуг по охране объекта ФГБУ «ФЦССХ» Минздрава России (г. Челябинск)</v>
      </c>
      <c r="G12330" s="22" t="s">
        <v>60</v>
      </c>
      <c r="H12330" s="22" t="s">
        <v>1683</v>
      </c>
      <c r="I12330" s="26">
        <v>43537.6784722222</v>
      </c>
      <c r="J12330" s="23" t="str">
        <f>HYPERLINK("https://www.spark-marketing.ru/Card/Person/54348", "ООО ЧОП ""ГРИДЪ""")</f>
        <v>ООО ЧОП "ГРИДЪ"</v>
      </c>
      <c r="K12330" s="24" t="s">
        <v>9756</v>
      </c>
      <c r="L12330" s="28" t="s">
        <v>52</v>
      </c>
      <c r="M12330" s="28" t="s">
        <v>52</v>
      </c>
      <c r="N12330" s="28" t="s">
        <v>52</v>
      </c>
    </row>
    <row r="12331" spans="1:14" hidden="1" outlineLevel="1" x14ac:dyDescent="0.2">
      <c r="A12331" s="23" t="str">
        <f t="shared" si="641"/>
        <v>ФГБУ "ФЦССХ" МИНЗДРАВА РОССИИ (Г. ЧЕЛЯБИНСК)</v>
      </c>
      <c r="B12331" s="24" t="s">
        <v>14653</v>
      </c>
      <c r="C12331" s="25">
        <v>2057412</v>
      </c>
      <c r="D12331" s="22" t="s">
        <v>14654</v>
      </c>
      <c r="E12331" s="22" t="s">
        <v>68</v>
      </c>
      <c r="F12331" s="23" t="str">
        <f t="shared" si="642"/>
        <v>Оказание услуг по охране объекта ФГБУ «ФЦССХ» Минздрава России (г. Челябинск)</v>
      </c>
      <c r="G12331" s="22" t="s">
        <v>60</v>
      </c>
      <c r="H12331" s="22" t="s">
        <v>1683</v>
      </c>
      <c r="I12331" s="26">
        <v>43537.6784722222</v>
      </c>
      <c r="J12331" s="23" t="str">
        <f>HYPERLINK("https://www.spark-marketing.ru/Card/Person/85112", "ООО ЧОП ""ЯГУАР""")</f>
        <v>ООО ЧОП "ЯГУАР"</v>
      </c>
      <c r="K12331" s="24" t="s">
        <v>8217</v>
      </c>
      <c r="L12331" s="28" t="s">
        <v>52</v>
      </c>
      <c r="M12331" s="25">
        <v>1411200</v>
      </c>
      <c r="N12331" s="27">
        <v>0.31408973992569306</v>
      </c>
    </row>
    <row r="12332" spans="1:14" hidden="1" outlineLevel="1" x14ac:dyDescent="0.2">
      <c r="A12332" s="23" t="str">
        <f t="shared" si="641"/>
        <v>ФГБУ "ФЦССХ" МИНЗДРАВА РОССИИ (Г. ЧЕЛЯБИНСК)</v>
      </c>
      <c r="B12332" s="24" t="s">
        <v>14653</v>
      </c>
      <c r="C12332" s="25">
        <v>2057412</v>
      </c>
      <c r="D12332" s="22" t="s">
        <v>14654</v>
      </c>
      <c r="E12332" s="22" t="s">
        <v>68</v>
      </c>
      <c r="F12332" s="23" t="str">
        <f t="shared" si="642"/>
        <v>Оказание услуг по охране объекта ФГБУ «ФЦССХ» Минздрава России (г. Челябинск)</v>
      </c>
      <c r="G12332" s="22" t="s">
        <v>60</v>
      </c>
      <c r="H12332" s="22" t="s">
        <v>1683</v>
      </c>
      <c r="I12332" s="26">
        <v>43537.6784722222</v>
      </c>
      <c r="J12332" s="23" t="str">
        <f>HYPERLINK("https://www.spark-marketing.ru/Card/Person/859717", "ООО ""ЧОО ""ОМЕГА""")</f>
        <v>ООО "ЧОО "ОМЕГА"</v>
      </c>
      <c r="K12332" s="24" t="s">
        <v>8533</v>
      </c>
      <c r="L12332" s="28" t="s">
        <v>52</v>
      </c>
      <c r="M12332" s="25">
        <v>1711080</v>
      </c>
      <c r="N12332" s="27">
        <v>0.16833380965990283</v>
      </c>
    </row>
    <row r="12333" spans="1:14" x14ac:dyDescent="0.15">
      <c r="A12333" s="23" t="str">
        <f>HYPERLINK("https://www.spark-marketing.ru/Card/Person/219159", "МЕЖРАЙОННАЯ ИФНС РОССИИ № 1 ПО РЕСПУБЛИКЕ САХА (ЯКУТИЯ)")</f>
        <v>МЕЖРАЙОННАЯ ИФНС РОССИИ № 1 ПО РЕСПУБЛИКЕ САХА (ЯКУТИЯ)</v>
      </c>
      <c r="B12333" s="24" t="s">
        <v>14618</v>
      </c>
      <c r="C12333" s="25">
        <v>68446.67</v>
      </c>
      <c r="D12333" s="22" t="s">
        <v>14656</v>
      </c>
      <c r="E12333" s="22" t="s">
        <v>183</v>
      </c>
      <c r="F12333" s="23" t="str">
        <f>HYPERLINK("https://www.spark-marketing.ru/Card/Lot/68654001", "Обслуживание системы видеонаблюдения")</f>
        <v>Обслуживание системы видеонаблюдения</v>
      </c>
      <c r="G12333" s="22" t="s">
        <v>424</v>
      </c>
      <c r="H12333" s="22" t="s">
        <v>14620</v>
      </c>
      <c r="I12333" s="26">
        <v>43537.637499999997</v>
      </c>
      <c r="J12333" s="28" t="s">
        <v>52</v>
      </c>
      <c r="K12333" s="28" t="s">
        <v>52</v>
      </c>
      <c r="L12333" s="28" t="s">
        <v>52</v>
      </c>
      <c r="M12333" s="28" t="s">
        <v>52</v>
      </c>
      <c r="N12333" s="28" t="s">
        <v>52</v>
      </c>
    </row>
    <row r="12334" spans="1:14" x14ac:dyDescent="0.15">
      <c r="A12334" s="23" t="str">
        <f>HYPERLINK("https://www.spark-marketing.ru/Card/Person/4368013", "АСУСОН ТО ""КУНЧУРСКИЙ ПСИХОНЕВРОЛОГИЧЕСКИЙ ИНТЕРНАТ""")</f>
        <v>АСУСОН ТО "КУНЧУРСКИЙ ПСИХОНЕВРОЛОГИЧЕСКИЙ ИНТЕРНАТ"</v>
      </c>
      <c r="B12334" s="24" t="s">
        <v>1570</v>
      </c>
      <c r="C12334" s="25">
        <v>371280</v>
      </c>
      <c r="D12334" s="22" t="s">
        <v>14657</v>
      </c>
      <c r="E12334" s="22" t="s">
        <v>144</v>
      </c>
      <c r="F12334" s="23" t="str">
        <f>HYPERLINK("https://www.spark-marketing.ru/Card/Lot/68662017", "Услуги охраны объекта")</f>
        <v>Услуги охраны объекта</v>
      </c>
      <c r="G12334" s="22" t="s">
        <v>893</v>
      </c>
      <c r="H12334" s="22" t="s">
        <v>893</v>
      </c>
      <c r="I12334" s="26">
        <v>43537.617025462998</v>
      </c>
      <c r="J12334" s="28" t="s">
        <v>52</v>
      </c>
      <c r="K12334" s="28" t="s">
        <v>52</v>
      </c>
      <c r="L12334" s="28" t="s">
        <v>52</v>
      </c>
      <c r="M12334" s="28" t="s">
        <v>52</v>
      </c>
      <c r="N12334" s="28" t="s">
        <v>52</v>
      </c>
    </row>
    <row r="12335" spans="1:14" hidden="1" outlineLevel="1" x14ac:dyDescent="0.2">
      <c r="A12335" s="23" t="str">
        <f>HYPERLINK("https://www.spark-marketing.ru/Card/Person/4368013", "АСУСОН ТО ""КУНЧУРСКИЙ ПСИХОНЕВРОЛОГИЧЕСКИЙ ИНТЕРНАТ""")</f>
        <v>АСУСОН ТО "КУНЧУРСКИЙ ПСИХОНЕВРОЛОГИЧЕСКИЙ ИНТЕРНАТ"</v>
      </c>
      <c r="B12335" s="24" t="s">
        <v>1570</v>
      </c>
      <c r="C12335" s="28" t="s">
        <v>52</v>
      </c>
      <c r="D12335" s="22" t="s">
        <v>14657</v>
      </c>
      <c r="E12335" s="22" t="s">
        <v>144</v>
      </c>
      <c r="F12335" s="23" t="str">
        <f>HYPERLINK("https://www.spark-marketing.ru/Card/Lot/68662017", "Услуги охраны объекта")</f>
        <v>Услуги охраны объекта</v>
      </c>
      <c r="G12335" s="22" t="s">
        <v>893</v>
      </c>
      <c r="H12335" s="22" t="s">
        <v>893</v>
      </c>
      <c r="I12335" s="26">
        <v>43537.617025462998</v>
      </c>
      <c r="J12335" s="23" t="str">
        <f>HYPERLINK("https://www.spark-marketing.ru/Card/Person/41364", "ФИЛИАЛ N 7215 ВТБ 24 (ЗАО)")</f>
        <v>ФИЛИАЛ N 7215 ВТБ 24 (ЗАО)</v>
      </c>
      <c r="K12335" s="24" t="s">
        <v>1574</v>
      </c>
      <c r="L12335" s="22" t="s">
        <v>10</v>
      </c>
      <c r="M12335" s="25">
        <v>371280</v>
      </c>
      <c r="N12335" s="27">
        <v>0</v>
      </c>
    </row>
    <row r="12336" spans="1:14" hidden="1" outlineLevel="1" x14ac:dyDescent="0.2">
      <c r="A12336" s="23" t="str">
        <f>HYPERLINK("https://www.spark-marketing.ru/Card/Person/4368013", "АСУСОН ТО ""КУНЧУРСКИЙ ПСИХОНЕВРОЛОГИЧЕСКИЙ ИНТЕРНАТ""")</f>
        <v>АСУСОН ТО "КУНЧУРСКИЙ ПСИХОНЕВРОЛОГИЧЕСКИЙ ИНТЕРНАТ"</v>
      </c>
      <c r="B12336" s="24" t="s">
        <v>1570</v>
      </c>
      <c r="C12336" s="28" t="s">
        <v>52</v>
      </c>
      <c r="D12336" s="22" t="s">
        <v>14657</v>
      </c>
      <c r="E12336" s="22" t="s">
        <v>144</v>
      </c>
      <c r="F12336" s="23" t="str">
        <f>HYPERLINK("https://www.spark-marketing.ru/Card/Lot/68662017", "Услуги охраны объекта")</f>
        <v>Услуги охраны объекта</v>
      </c>
      <c r="G12336" s="22" t="s">
        <v>893</v>
      </c>
      <c r="H12336" s="22" t="s">
        <v>893</v>
      </c>
      <c r="I12336" s="26">
        <v>43537.617025462998</v>
      </c>
      <c r="J12336" s="23" t="str">
        <f>HYPERLINK("https://www.spark-marketing.ru/Card/Person/4499861", "ООО ""НЧОП ""ИМПЕРИЯ - Т""")</f>
        <v>ООО "НЧОП "ИМПЕРИЯ - Т"</v>
      </c>
      <c r="K12336" s="24" t="s">
        <v>1572</v>
      </c>
      <c r="L12336" s="28" t="s">
        <v>52</v>
      </c>
      <c r="M12336" s="25">
        <v>502320</v>
      </c>
      <c r="N12336" s="27">
        <v>-0.35294117647058826</v>
      </c>
    </row>
    <row r="12337" spans="1:14" hidden="1" outlineLevel="1" x14ac:dyDescent="0.2">
      <c r="A12337" s="23" t="str">
        <f>HYPERLINK("https://www.spark-marketing.ru/Card/Person/4368013", "АСУСОН ТО ""КУНЧУРСКИЙ ПСИХОНЕВРОЛОГИЧЕСКИЙ ИНТЕРНАТ""")</f>
        <v>АСУСОН ТО "КУНЧУРСКИЙ ПСИХОНЕВРОЛОГИЧЕСКИЙ ИНТЕРНАТ"</v>
      </c>
      <c r="B12337" s="24" t="s">
        <v>1570</v>
      </c>
      <c r="C12337" s="28" t="s">
        <v>52</v>
      </c>
      <c r="D12337" s="22" t="s">
        <v>14657</v>
      </c>
      <c r="E12337" s="22" t="s">
        <v>144</v>
      </c>
      <c r="F12337" s="23" t="str">
        <f>HYPERLINK("https://www.spark-marketing.ru/Card/Lot/68662017", "Услуги охраны объекта")</f>
        <v>Услуги охраны объекта</v>
      </c>
      <c r="G12337" s="22" t="s">
        <v>893</v>
      </c>
      <c r="H12337" s="22" t="s">
        <v>893</v>
      </c>
      <c r="I12337" s="26">
        <v>43537.617025462998</v>
      </c>
      <c r="J12337" s="23" t="str">
        <f>HYPERLINK("https://www.spark-marketing.ru/Card/Person/85748", "ООО ЧОП ""БАГРАТИОН""")</f>
        <v>ООО ЧОП "БАГРАТИОН"</v>
      </c>
      <c r="K12337" s="24" t="s">
        <v>14658</v>
      </c>
      <c r="L12337" s="28" t="s">
        <v>52</v>
      </c>
      <c r="M12337" s="25">
        <v>436800</v>
      </c>
      <c r="N12337" s="27">
        <v>-0.17647058823529413</v>
      </c>
    </row>
    <row r="12338" spans="1:14" x14ac:dyDescent="0.15">
      <c r="A12338" s="23" t="str">
        <f>HYPERLINK("https://www.spark-marketing.ru/Card/Person/24516", "МУЗЕЙ МИРОВОГО ОКЕАНА")</f>
        <v>МУЗЕЙ МИРОВОГО ОКЕАНА</v>
      </c>
      <c r="B12338" s="24" t="s">
        <v>14659</v>
      </c>
      <c r="C12338" s="25">
        <v>268444.79999999999</v>
      </c>
      <c r="D12338" s="22" t="s">
        <v>14660</v>
      </c>
      <c r="E12338" s="22" t="s">
        <v>68</v>
      </c>
      <c r="F12338" s="23" t="str">
        <f>HYPERLINK("https://www.spark-marketing.ru/Card/Lot/68672736", "Оказание услуг об охране объектов подразделениями вневедомственной охраны при органах внутренних дел  с помощью пультов централизованного наблюдения, с использованием  GSM-канала")</f>
        <v>Оказание услуг об охране объектов подразделениями вневедомственной охраны при органах внутренних дел  с помощью пультов централизованного наблюдения, с использованием  GSM-канала</v>
      </c>
      <c r="G12338" s="22" t="s">
        <v>247</v>
      </c>
      <c r="H12338" s="22" t="s">
        <v>13391</v>
      </c>
      <c r="I12338" s="26">
        <v>43537.6159722222</v>
      </c>
      <c r="J12338" s="28" t="s">
        <v>52</v>
      </c>
      <c r="K12338" s="28" t="s">
        <v>52</v>
      </c>
      <c r="L12338" s="28" t="s">
        <v>52</v>
      </c>
      <c r="M12338" s="28" t="s">
        <v>52</v>
      </c>
      <c r="N12338" s="28" t="s">
        <v>52</v>
      </c>
    </row>
    <row r="12339" spans="1:14" x14ac:dyDescent="0.15">
      <c r="A12339" s="23" t="str">
        <f>HYPERLINK("https://www.spark-marketing.ru/Card/Person/1002531", "ГБПОУ НСО ""БПК""")</f>
        <v>ГБПОУ НСО "БПК"</v>
      </c>
      <c r="B12339" s="24" t="s">
        <v>7480</v>
      </c>
      <c r="C12339" s="25">
        <v>24000</v>
      </c>
      <c r="D12339" s="22" t="s">
        <v>14661</v>
      </c>
      <c r="E12339" s="22" t="s">
        <v>68</v>
      </c>
      <c r="F12339" s="23" t="str">
        <f>HYPERLINK("https://www.spark-marketing.ru/Card/Lot/68665516", "Оказание услуг по охране с использованием комплекта ТСО")</f>
        <v>Оказание услуг по охране с использованием комплекта ТСО</v>
      </c>
      <c r="G12339" s="22" t="s">
        <v>209</v>
      </c>
      <c r="H12339" s="22" t="s">
        <v>6912</v>
      </c>
      <c r="I12339" s="26">
        <v>43537.6159722222</v>
      </c>
      <c r="J12339" s="28" t="s">
        <v>52</v>
      </c>
      <c r="K12339" s="28" t="s">
        <v>52</v>
      </c>
      <c r="L12339" s="28" t="s">
        <v>52</v>
      </c>
      <c r="M12339" s="28" t="s">
        <v>52</v>
      </c>
      <c r="N12339" s="28" t="s">
        <v>52</v>
      </c>
    </row>
    <row r="12340" spans="1:14" x14ac:dyDescent="0.15">
      <c r="A12340" s="23" t="str">
        <f>HYPERLINK("https://www.spark-marketing.ru/Card/Person/4348435", "ООО ""ТД ПОЛИМЕТАЛЛ""")</f>
        <v>ООО "ТД ПОЛИМЕТАЛЛ"</v>
      </c>
      <c r="B12340" s="24" t="s">
        <v>374</v>
      </c>
      <c r="C12340" s="25">
        <v>0</v>
      </c>
      <c r="D12340" s="22" t="s">
        <v>14662</v>
      </c>
      <c r="E12340" s="22" t="s">
        <v>527</v>
      </c>
      <c r="F12340" s="23" t="str">
        <f>HYPERLINK("https://www.spark-marketing.ru/Card/Lot/68670275", "Знак ""Опасно. Возможно падение груза"", пластик")</f>
        <v>Знак "Опасно. Возможно падение груза", пластик</v>
      </c>
      <c r="G12340" s="22" t="s">
        <v>89</v>
      </c>
      <c r="H12340" s="22" t="s">
        <v>89</v>
      </c>
      <c r="I12340" s="26">
        <v>43537.621539351901</v>
      </c>
      <c r="J12340" s="28" t="s">
        <v>52</v>
      </c>
      <c r="K12340" s="28" t="s">
        <v>52</v>
      </c>
      <c r="L12340" s="28" t="s">
        <v>52</v>
      </c>
      <c r="M12340" s="28" t="s">
        <v>52</v>
      </c>
      <c r="N12340" s="28" t="s">
        <v>52</v>
      </c>
    </row>
    <row r="12341" spans="1:14" x14ac:dyDescent="0.15">
      <c r="A12341" s="23" t="str">
        <f>HYPERLINK("https://www.spark-marketing.ru/Card/Person/24144", "ГБУЗ МО КГБ № 1")</f>
        <v>ГБУЗ МО КГБ № 1</v>
      </c>
      <c r="B12341" s="24" t="s">
        <v>14663</v>
      </c>
      <c r="C12341" s="25">
        <v>100000</v>
      </c>
      <c r="D12341" s="22" t="s">
        <v>14664</v>
      </c>
      <c r="E12341" s="22" t="s">
        <v>585</v>
      </c>
      <c r="F12341" s="23" t="str">
        <f>HYPERLINK("https://www.spark-marketing.ru/Card/Lot/68664419", "Закупка услуг для нужд ГБУЗ МО КГБ № 1 в 2019 году (услуги по техническому обслуживанию комплекса технических средств видеонаблюдения)")</f>
        <v>Закупка услуг для нужд ГБУЗ МО КГБ № 1 в 2019 году (услуги по техническому обслуживанию комплекса технических средств видеонаблюдения)</v>
      </c>
      <c r="G12341" s="22" t="s">
        <v>50</v>
      </c>
      <c r="H12341" s="22" t="s">
        <v>267</v>
      </c>
      <c r="I12341" s="26">
        <v>43537.5863425926</v>
      </c>
      <c r="J12341" s="28" t="s">
        <v>52</v>
      </c>
      <c r="K12341" s="28" t="s">
        <v>52</v>
      </c>
      <c r="L12341" s="28" t="s">
        <v>52</v>
      </c>
      <c r="M12341" s="28" t="s">
        <v>52</v>
      </c>
      <c r="N12341" s="28" t="s">
        <v>52</v>
      </c>
    </row>
    <row r="12342" spans="1:14" x14ac:dyDescent="0.15">
      <c r="A12342" s="23" t="str">
        <f>HYPERLINK("https://www.spark-marketing.ru/Card/Person/4354167", "МБУ «ПОРЯДОК»")</f>
        <v>МБУ «ПОРЯДОК»</v>
      </c>
      <c r="B12342" s="24" t="s">
        <v>14665</v>
      </c>
      <c r="C12342" s="25">
        <v>8000000</v>
      </c>
      <c r="D12342" s="22" t="s">
        <v>14666</v>
      </c>
      <c r="E12342" s="22" t="s">
        <v>376</v>
      </c>
      <c r="F12342" s="23" t="str">
        <f>HYPERLINK("https://www.spark-marketing.ru/Card/Lot/68673543", "Поставка автоматических дорожных блокираторов с установкой")</f>
        <v>Поставка автоматических дорожных блокираторов с установкой</v>
      </c>
      <c r="G12342" s="22" t="s">
        <v>1053</v>
      </c>
      <c r="H12342" s="22" t="s">
        <v>5997</v>
      </c>
      <c r="I12342" s="26">
        <v>43537.608333333301</v>
      </c>
      <c r="J12342" s="23" t="str">
        <f>HYPERLINK("https://www.spark-marketing.ru/Card/Person/6511608", "Попонин Николай Анатольевич")</f>
        <v>Попонин Николай Анатольевич</v>
      </c>
      <c r="K12342" s="24" t="s">
        <v>14667</v>
      </c>
      <c r="L12342" s="22" t="s">
        <v>10</v>
      </c>
      <c r="M12342" s="28" t="s">
        <v>52</v>
      </c>
      <c r="N12342" s="28" t="s">
        <v>52</v>
      </c>
    </row>
    <row r="12343" spans="1:14" x14ac:dyDescent="0.15">
      <c r="A12343" s="23" t="str">
        <f>HYPERLINK("https://www.spark-marketing.ru/Card/Person/113478", "ГБСУСОН ""КРУГЛОЛЕССКИЙ ПНИ""")</f>
        <v>ГБСУСОН "КРУГЛОЛЕССКИЙ ПНИ"</v>
      </c>
      <c r="B12343" s="24" t="s">
        <v>14668</v>
      </c>
      <c r="C12343" s="25">
        <v>572400</v>
      </c>
      <c r="D12343" s="22" t="s">
        <v>14669</v>
      </c>
      <c r="E12343" s="22" t="s">
        <v>52</v>
      </c>
      <c r="F12343" s="23" t="str">
        <f>HYPERLINK("https://www.spark-marketing.ru/Card/Lot/68673170", "Мероприятие по повышению уровня антитеррористической защищенности")</f>
        <v>Мероприятие по повышению уровня антитеррористической защищенности</v>
      </c>
      <c r="G12343" s="22" t="s">
        <v>258</v>
      </c>
      <c r="H12343" s="22" t="s">
        <v>8085</v>
      </c>
      <c r="I12343" s="26">
        <v>43537.601388888899</v>
      </c>
      <c r="J12343" s="23" t="str">
        <f>HYPERLINK("https://www.spark-marketing.ru/Card/Person/114518", "ООО ""ЧОО ""ТИТАН""")</f>
        <v>ООО "ЧОО "ТИТАН"</v>
      </c>
      <c r="K12343" s="24" t="s">
        <v>13768</v>
      </c>
      <c r="L12343" s="22" t="s">
        <v>10</v>
      </c>
      <c r="M12343" s="28" t="s">
        <v>52</v>
      </c>
      <c r="N12343" s="28" t="s">
        <v>52</v>
      </c>
    </row>
    <row r="12344" spans="1:14" x14ac:dyDescent="0.15">
      <c r="A12344" s="23" t="str">
        <f>HYPERLINK("https://www.spark-marketing.ru/Card/Person/24516", "МУЗЕЙ МИРОВОГО ОКЕАНА")</f>
        <v>МУЗЕЙ МИРОВОГО ОКЕАНА</v>
      </c>
      <c r="B12344" s="24" t="s">
        <v>14659</v>
      </c>
      <c r="C12344" s="25">
        <v>1044907.44</v>
      </c>
      <c r="D12344" s="22" t="s">
        <v>14670</v>
      </c>
      <c r="E12344" s="22" t="s">
        <v>68</v>
      </c>
      <c r="F12344" s="23" t="str">
        <f>HYPERLINK("https://www.spark-marketing.ru/Card/Lot/68672891", "Оказание услуг по охране объектов ФГБУК «Музей Мирового океана» подразделением межмуниципального отдела вневедомственной охраны по городу Калининграду - филиалом федерального государственного казенного учреждения «Управление  вневедомственной охраны ...")</f>
        <v>Оказание услуг по охране объектов ФГБУК «Музей Мирового океана» подразделением межмуниципального отдела вневедомственной охраны по городу Калининграду - филиалом федерального государственного казенного учреждения «Управление  вневедомственной охраны ...</v>
      </c>
      <c r="G12344" s="22" t="s">
        <v>247</v>
      </c>
      <c r="H12344" s="22" t="s">
        <v>576</v>
      </c>
      <c r="I12344" s="26">
        <v>43537.613194444399</v>
      </c>
      <c r="J12344" s="28" t="s">
        <v>52</v>
      </c>
      <c r="K12344" s="28" t="s">
        <v>52</v>
      </c>
      <c r="L12344" s="28" t="s">
        <v>52</v>
      </c>
      <c r="M12344" s="28" t="s">
        <v>52</v>
      </c>
      <c r="N12344" s="28" t="s">
        <v>52</v>
      </c>
    </row>
    <row r="12345" spans="1:14" x14ac:dyDescent="0.15">
      <c r="A12345" s="23" t="str">
        <f>HYPERLINK("https://www.spark-marketing.ru/Card/Person/119383", "ГБОУ НАО ""СШ № 1 ИМЕНИ П.М. СПИРИХИНА""")</f>
        <v>ГБОУ НАО "СШ № 1 ИМЕНИ П.М. СПИРИХИНА"</v>
      </c>
      <c r="B12345" s="24" t="s">
        <v>14465</v>
      </c>
      <c r="C12345" s="25">
        <v>98000</v>
      </c>
      <c r="D12345" s="22" t="s">
        <v>14671</v>
      </c>
      <c r="E12345" s="22" t="s">
        <v>349</v>
      </c>
      <c r="F12345" s="23" t="str">
        <f>HYPERLINK("https://www.spark-marketing.ru/Card/Lot/68665536", "установка видеонаблюдения в ГБОУ НАО СШ № 1")</f>
        <v>установка видеонаблюдения в ГБОУ НАО СШ № 1</v>
      </c>
      <c r="G12345" s="22" t="s">
        <v>1014</v>
      </c>
      <c r="H12345" s="22" t="s">
        <v>1015</v>
      </c>
      <c r="I12345" s="26">
        <v>43537.604166666701</v>
      </c>
      <c r="J12345" s="28" t="s">
        <v>52</v>
      </c>
      <c r="K12345" s="28" t="s">
        <v>52</v>
      </c>
      <c r="L12345" s="28" t="s">
        <v>52</v>
      </c>
      <c r="M12345" s="28" t="s">
        <v>52</v>
      </c>
      <c r="N12345" s="28" t="s">
        <v>52</v>
      </c>
    </row>
    <row r="12346" spans="1:14" x14ac:dyDescent="0.15">
      <c r="A12346" s="23" t="str">
        <f>HYPERLINK("https://www.spark-marketing.ru/Card/Person/996710", "МБУК ЦДК ""ТРИУМФ""")</f>
        <v>МБУК ЦДК "ТРИУМФ"</v>
      </c>
      <c r="B12346" s="24" t="s">
        <v>14672</v>
      </c>
      <c r="C12346" s="25">
        <v>3600</v>
      </c>
      <c r="D12346" s="22" t="s">
        <v>14673</v>
      </c>
      <c r="E12346" s="22" t="s">
        <v>107</v>
      </c>
      <c r="F12346" s="23" t="str">
        <f>HYPERLINK("https://www.spark-marketing.ru/Card/Lot/68664432", "Услуги по техническому обслуживанию (содержанию) систем охранной (противовзломной) сигнализации")</f>
        <v>Услуги по техническому обслуживанию (содержанию) систем охранной (противовзломной) сигнализации</v>
      </c>
      <c r="G12346" s="22" t="s">
        <v>50</v>
      </c>
      <c r="H12346" s="22" t="s">
        <v>50</v>
      </c>
      <c r="I12346" s="26">
        <v>43537.596562500003</v>
      </c>
      <c r="J12346" s="28" t="s">
        <v>52</v>
      </c>
      <c r="K12346" s="28" t="s">
        <v>52</v>
      </c>
      <c r="L12346" s="28" t="s">
        <v>52</v>
      </c>
      <c r="M12346" s="28" t="s">
        <v>52</v>
      </c>
      <c r="N12346" s="28" t="s">
        <v>52</v>
      </c>
    </row>
    <row r="12347" spans="1:14" x14ac:dyDescent="0.15">
      <c r="A12347" s="23" t="str">
        <f>HYPERLINK("https://www.spark-marketing.ru/Card/Person/9991", "ГКУ ЦЗН ЛО")</f>
        <v>ГКУ ЦЗН ЛО</v>
      </c>
      <c r="B12347" s="24" t="s">
        <v>14674</v>
      </c>
      <c r="C12347" s="25">
        <v>215000</v>
      </c>
      <c r="D12347" s="22" t="s">
        <v>14675</v>
      </c>
      <c r="E12347" s="22" t="s">
        <v>591</v>
      </c>
      <c r="F12347" s="23" t="str">
        <f>HYPERLINK("https://www.spark-marketing.ru/Card/Lot/68664375", "Оказание услуг по обустройству кнопок тревожной сигнализации в помещениях филиалов ГКУ ЦЗН ЛО")</f>
        <v>Оказание услуг по обустройству кнопок тревожной сигнализации в помещениях филиалов ГКУ ЦЗН ЛО</v>
      </c>
      <c r="G12347" s="22" t="s">
        <v>861</v>
      </c>
      <c r="H12347" s="22" t="s">
        <v>14676</v>
      </c>
      <c r="I12347" s="26">
        <v>43537.577777777798</v>
      </c>
      <c r="J12347" s="28" t="s">
        <v>52</v>
      </c>
      <c r="K12347" s="28" t="s">
        <v>52</v>
      </c>
      <c r="L12347" s="28" t="s">
        <v>52</v>
      </c>
      <c r="M12347" s="28" t="s">
        <v>52</v>
      </c>
      <c r="N12347" s="28" t="s">
        <v>52</v>
      </c>
    </row>
    <row r="12348" spans="1:14" ht="12.75" hidden="1" outlineLevel="1" x14ac:dyDescent="0.2">
      <c r="A12348" s="23" t="str">
        <f>HYPERLINK("https://www.spark-marketing.ru/Card/Person/9991", "ГКУ ЦЗН ЛО")</f>
        <v>ГКУ ЦЗН ЛО</v>
      </c>
      <c r="B12348" s="24" t="s">
        <v>14674</v>
      </c>
      <c r="C12348" s="25">
        <v>215000</v>
      </c>
      <c r="D12348" s="22" t="s">
        <v>14675</v>
      </c>
      <c r="E12348" s="22" t="s">
        <v>591</v>
      </c>
      <c r="F12348" s="23" t="str">
        <f>HYPERLINK("https://www.spark-marketing.ru/Card/Lot/68664375", "Оказание услуг по обустройству кнопок тревожной сигнализации в помещениях филиалов ГКУ ЦЗН ЛО")</f>
        <v>Оказание услуг по обустройству кнопок тревожной сигнализации в помещениях филиалов ГКУ ЦЗН ЛО</v>
      </c>
      <c r="G12348" s="22" t="s">
        <v>861</v>
      </c>
      <c r="H12348" s="22" t="s">
        <v>14676</v>
      </c>
      <c r="I12348" s="26">
        <v>43537.577777777798</v>
      </c>
      <c r="J12348" s="23" t="str">
        <f>HYPERLINK("https://www.spark-marketing.ru/Card/Person/61820", "ООО ""ОО ""ЭСПАДОН""")</f>
        <v>ООО "ОО "ЭСПАДОН"</v>
      </c>
      <c r="K12348" s="24" t="s">
        <v>13946</v>
      </c>
      <c r="L12348" s="22" t="s">
        <v>10</v>
      </c>
      <c r="M12348" s="25">
        <v>212850</v>
      </c>
      <c r="N12348" s="27">
        <v>0.01</v>
      </c>
    </row>
    <row r="12349" spans="1:14" hidden="1" outlineLevel="1" x14ac:dyDescent="0.2">
      <c r="A12349" s="23" t="str">
        <f>HYPERLINK("https://www.spark-marketing.ru/Card/Person/9991", "ГКУ ЦЗН ЛО")</f>
        <v>ГКУ ЦЗН ЛО</v>
      </c>
      <c r="B12349" s="24" t="s">
        <v>14674</v>
      </c>
      <c r="C12349" s="25">
        <v>215000</v>
      </c>
      <c r="D12349" s="22" t="s">
        <v>14675</v>
      </c>
      <c r="E12349" s="22" t="s">
        <v>591</v>
      </c>
      <c r="F12349" s="23" t="str">
        <f>HYPERLINK("https://www.spark-marketing.ru/Card/Lot/68664375", "Оказание услуг по обустройству кнопок тревожной сигнализации в помещениях филиалов ГКУ ЦЗН ЛО")</f>
        <v>Оказание услуг по обустройству кнопок тревожной сигнализации в помещениях филиалов ГКУ ЦЗН ЛО</v>
      </c>
      <c r="G12349" s="22" t="s">
        <v>861</v>
      </c>
      <c r="H12349" s="22" t="s">
        <v>14676</v>
      </c>
      <c r="I12349" s="26">
        <v>43537.577777777798</v>
      </c>
      <c r="J12349" s="23" t="str">
        <f>HYPERLINK("https://www.spark-marketing.ru/Card/Person/672693", "ООО ""ОП""""РИГВЕДА""")</f>
        <v>ООО "ОП""РИГВЕДА"</v>
      </c>
      <c r="K12349" s="24" t="s">
        <v>13947</v>
      </c>
      <c r="L12349" s="28" t="s">
        <v>52</v>
      </c>
      <c r="M12349" s="25">
        <v>213925</v>
      </c>
      <c r="N12349" s="27">
        <v>5.0000000000000001E-3</v>
      </c>
    </row>
    <row r="12350" spans="1:14" x14ac:dyDescent="0.15">
      <c r="A12350" s="23" t="str">
        <f>HYPERLINK("https://www.spark-marketing.ru/Card/Person/17306", "ГБУ ЦРИ ""ЦАРИЦЫНО""")</f>
        <v>ГБУ ЦРИ "ЦАРИЦЫНО"</v>
      </c>
      <c r="B12350" s="24" t="s">
        <v>14677</v>
      </c>
      <c r="C12350" s="25">
        <v>339000.03</v>
      </c>
      <c r="D12350" s="22" t="s">
        <v>14678</v>
      </c>
      <c r="E12350" s="22" t="s">
        <v>349</v>
      </c>
      <c r="F12350" s="23" t="str">
        <f>HYPERLINK("https://www.spark-marketing.ru/Card/Lot/68664450", "Техническое обслуживание системы видеонаблюдения ""362-39 ВФМВ-СОВ Видеофон""")</f>
        <v>Техническое обслуживание системы видеонаблюдения "362-39 ВФМВ-СОВ Видеофон"</v>
      </c>
      <c r="G12350" s="22" t="s">
        <v>55</v>
      </c>
      <c r="H12350" s="22" t="s">
        <v>55</v>
      </c>
      <c r="I12350" s="26">
        <v>43537.577083333301</v>
      </c>
      <c r="J12350" s="28" t="s">
        <v>52</v>
      </c>
      <c r="K12350" s="28" t="s">
        <v>52</v>
      </c>
      <c r="L12350" s="28" t="s">
        <v>52</v>
      </c>
      <c r="M12350" s="28" t="s">
        <v>52</v>
      </c>
      <c r="N12350" s="28" t="s">
        <v>52</v>
      </c>
    </row>
    <row r="12351" spans="1:14" ht="12.75" hidden="1" outlineLevel="1" x14ac:dyDescent="0.2">
      <c r="A12351" s="23" t="str">
        <f>HYPERLINK("https://www.spark-marketing.ru/Card/Person/17306", "ГБУ ЦРИ ""ЦАРИЦЫНО""")</f>
        <v>ГБУ ЦРИ "ЦАРИЦЫНО"</v>
      </c>
      <c r="B12351" s="24" t="s">
        <v>14677</v>
      </c>
      <c r="C12351" s="25">
        <v>339000.03</v>
      </c>
      <c r="D12351" s="22" t="s">
        <v>14678</v>
      </c>
      <c r="E12351" s="22" t="s">
        <v>349</v>
      </c>
      <c r="F12351" s="23" t="str">
        <f>HYPERLINK("https://www.spark-marketing.ru/Card/Lot/68664450", "Техническое обслуживание системы видеонаблюдения ""362-39 ВФМВ-СОВ Видеофон""")</f>
        <v>Техническое обслуживание системы видеонаблюдения "362-39 ВФМВ-СОВ Видеофон"</v>
      </c>
      <c r="G12351" s="22" t="s">
        <v>55</v>
      </c>
      <c r="H12351" s="22" t="s">
        <v>55</v>
      </c>
      <c r="I12351" s="26">
        <v>43537.577083333301</v>
      </c>
      <c r="J12351" s="23" t="str">
        <f>HYPERLINK("https://www.spark-marketing.ru/Card/Person/4360175", "ООО ""ИТБ""")</f>
        <v>ООО "ИТБ"</v>
      </c>
      <c r="K12351" s="24" t="s">
        <v>14679</v>
      </c>
      <c r="L12351" s="22" t="s">
        <v>10</v>
      </c>
      <c r="M12351" s="25">
        <v>176265</v>
      </c>
      <c r="N12351" s="27">
        <v>0.48004429380138991</v>
      </c>
    </row>
    <row r="12352" spans="1:14" hidden="1" outlineLevel="1" x14ac:dyDescent="0.2">
      <c r="A12352" s="23" t="str">
        <f>HYPERLINK("https://www.spark-marketing.ru/Card/Person/17306", "ГБУ ЦРИ ""ЦАРИЦЫНО""")</f>
        <v>ГБУ ЦРИ "ЦАРИЦЫНО"</v>
      </c>
      <c r="B12352" s="24" t="s">
        <v>14677</v>
      </c>
      <c r="C12352" s="25">
        <v>339000.03</v>
      </c>
      <c r="D12352" s="22" t="s">
        <v>14678</v>
      </c>
      <c r="E12352" s="22" t="s">
        <v>349</v>
      </c>
      <c r="F12352" s="23" t="str">
        <f>HYPERLINK("https://www.spark-marketing.ru/Card/Lot/68664450", "Техническое обслуживание системы видеонаблюдения ""362-39 ВФМВ-СОВ Видеофон""")</f>
        <v>Техническое обслуживание системы видеонаблюдения "362-39 ВФМВ-СОВ Видеофон"</v>
      </c>
      <c r="G12352" s="22" t="s">
        <v>55</v>
      </c>
      <c r="H12352" s="22" t="s">
        <v>55</v>
      </c>
      <c r="I12352" s="26">
        <v>43537.577083333301</v>
      </c>
      <c r="J12352" s="23" t="str">
        <f>HYPERLINK("https://www.spark-marketing.ru/Card/Person/444206", "ООО ""ЭМЛАБ""")</f>
        <v>ООО "ЭМЛАБ"</v>
      </c>
      <c r="K12352" s="24" t="s">
        <v>1585</v>
      </c>
      <c r="L12352" s="28" t="s">
        <v>52</v>
      </c>
      <c r="M12352" s="25">
        <v>177960</v>
      </c>
      <c r="N12352" s="27">
        <v>0.47504429424386779</v>
      </c>
    </row>
    <row r="12353" spans="1:14" hidden="1" outlineLevel="1" x14ac:dyDescent="0.2">
      <c r="A12353" s="23" t="str">
        <f>HYPERLINK("https://www.spark-marketing.ru/Card/Person/17306", "ГБУ ЦРИ ""ЦАРИЦЫНО""")</f>
        <v>ГБУ ЦРИ "ЦАРИЦЫНО"</v>
      </c>
      <c r="B12353" s="24" t="s">
        <v>14677</v>
      </c>
      <c r="C12353" s="25">
        <v>339000.03</v>
      </c>
      <c r="D12353" s="22" t="s">
        <v>14678</v>
      </c>
      <c r="E12353" s="22" t="s">
        <v>349</v>
      </c>
      <c r="F12353" s="23" t="str">
        <f>HYPERLINK("https://www.spark-marketing.ru/Card/Lot/68664450", "Техническое обслуживание системы видеонаблюдения ""362-39 ВФМВ-СОВ Видеофон""")</f>
        <v>Техническое обслуживание системы видеонаблюдения "362-39 ВФМВ-СОВ Видеофон"</v>
      </c>
      <c r="G12353" s="22" t="s">
        <v>55</v>
      </c>
      <c r="H12353" s="22" t="s">
        <v>55</v>
      </c>
      <c r="I12353" s="26">
        <v>43537.577083333301</v>
      </c>
      <c r="J12353" s="23" t="str">
        <f>HYPERLINK("https://www.spark-marketing.ru/Card/Person/6458260", "ООО ""АККОРД""")</f>
        <v>ООО "АККОРД"</v>
      </c>
      <c r="K12353" s="24" t="s">
        <v>1674</v>
      </c>
      <c r="L12353" s="28" t="s">
        <v>52</v>
      </c>
      <c r="M12353" s="25">
        <v>300000</v>
      </c>
      <c r="N12353" s="27">
        <v>0.11504432610227203</v>
      </c>
    </row>
    <row r="12354" spans="1:14" hidden="1" outlineLevel="1" x14ac:dyDescent="0.2">
      <c r="A12354" s="23" t="str">
        <f>HYPERLINK("https://www.spark-marketing.ru/Card/Person/17306", "ГБУ ЦРИ ""ЦАРИЦЫНО""")</f>
        <v>ГБУ ЦРИ "ЦАРИЦЫНО"</v>
      </c>
      <c r="B12354" s="24" t="s">
        <v>14677</v>
      </c>
      <c r="C12354" s="25">
        <v>339000.03</v>
      </c>
      <c r="D12354" s="22" t="s">
        <v>14678</v>
      </c>
      <c r="E12354" s="22" t="s">
        <v>349</v>
      </c>
      <c r="F12354" s="23" t="str">
        <f>HYPERLINK("https://www.spark-marketing.ru/Card/Lot/68664450", "Техническое обслуживание системы видеонаблюдения ""362-39 ВФМВ-СОВ Видеофон""")</f>
        <v>Техническое обслуживание системы видеонаблюдения "362-39 ВФМВ-СОВ Видеофон"</v>
      </c>
      <c r="G12354" s="22" t="s">
        <v>55</v>
      </c>
      <c r="H12354" s="22" t="s">
        <v>55</v>
      </c>
      <c r="I12354" s="26">
        <v>43537.577083333301</v>
      </c>
      <c r="J12354" s="23" t="str">
        <f>HYPERLINK("https://www.spark-marketing.ru/Card/Person/84385", "Ложков Александр Анатольевич")</f>
        <v>Ложков Александр Анатольевич</v>
      </c>
      <c r="K12354" s="24" t="s">
        <v>9440</v>
      </c>
      <c r="L12354" s="28" t="s">
        <v>52</v>
      </c>
      <c r="M12354" s="25">
        <v>222030</v>
      </c>
      <c r="N12354" s="27">
        <v>0.34504430574829154</v>
      </c>
    </row>
    <row r="12355" spans="1:14" x14ac:dyDescent="0.15">
      <c r="A12355" s="23" t="str">
        <f>HYPERLINK("https://www.spark-marketing.ru/Card/Person/10487", "ФГУП ""ОХРАНА"" РОСГВАРДИИ")</f>
        <v>ФГУП "ОХРАНА" РОСГВАРДИИ</v>
      </c>
      <c r="B12355" s="24" t="s">
        <v>779</v>
      </c>
      <c r="C12355" s="25">
        <v>3593200</v>
      </c>
      <c r="D12355" s="22" t="s">
        <v>14680</v>
      </c>
      <c r="E12355" s="22" t="s">
        <v>13455</v>
      </c>
      <c r="F12355" s="23" t="str">
        <f>HYPERLINK("https://www.spark-marketing.ru/Card/Lot/68662363", "Оказание услуг по проведению ХТИ на наличие в организме человека наркотических средств, психотропных веществ и их метаболитов для нужд Управления по Северо-Западному Федеральному округу Центра охраны объектов промышленности")</f>
        <v>Оказание услуг по проведению ХТИ на наличие в организме человека наркотических средств, психотропных веществ и их метаболитов для нужд Управления по Северо-Западному Федеральному округу Центра охраны объектов промышленности</v>
      </c>
      <c r="G12355" s="22" t="s">
        <v>674</v>
      </c>
      <c r="H12355" s="22" t="s">
        <v>674</v>
      </c>
      <c r="I12355" s="26">
        <v>43537.530370370398</v>
      </c>
      <c r="J12355" s="28" t="s">
        <v>52</v>
      </c>
      <c r="K12355" s="28" t="s">
        <v>52</v>
      </c>
      <c r="L12355" s="28" t="s">
        <v>52</v>
      </c>
      <c r="M12355" s="28" t="s">
        <v>52</v>
      </c>
      <c r="N12355" s="28" t="s">
        <v>52</v>
      </c>
    </row>
    <row r="12356" spans="1:14" x14ac:dyDescent="0.15">
      <c r="A12356" s="23" t="str">
        <f>HYPERLINK("https://www.spark-marketing.ru/Card/Person/93247", "МБОУ СОШ № 14")</f>
        <v>МБОУ СОШ № 14</v>
      </c>
      <c r="B12356" s="24" t="s">
        <v>14681</v>
      </c>
      <c r="C12356" s="25">
        <v>198500</v>
      </c>
      <c r="D12356" s="22" t="s">
        <v>14682</v>
      </c>
      <c r="E12356" s="22" t="s">
        <v>14683</v>
      </c>
      <c r="F12356" s="23" t="str">
        <f>HYPERLINK("https://www.spark-marketing.ru/Card/Lot/68659758", "Услуги по оснащению актового зала музыкальным оборудованием, настройке и монтажу акустической системы, настройке и монтажу мультимедийного оборудования, настройке музыкального оборудования в радиорубке актового зала.")</f>
        <v>Услуги по оснащению актового зала музыкальным оборудованием, настройке и монтажу акустической системы, настройке и монтажу мультимедийного оборудования, настройке музыкального оборудования в радиорубке актового зала.</v>
      </c>
      <c r="G12356" s="22" t="s">
        <v>50</v>
      </c>
      <c r="H12356" s="22" t="s">
        <v>267</v>
      </c>
      <c r="I12356" s="26">
        <v>43537.524270833303</v>
      </c>
      <c r="J12356" s="28" t="s">
        <v>52</v>
      </c>
      <c r="K12356" s="28" t="s">
        <v>52</v>
      </c>
      <c r="L12356" s="28" t="s">
        <v>52</v>
      </c>
      <c r="M12356" s="28" t="s">
        <v>52</v>
      </c>
      <c r="N12356" s="28" t="s">
        <v>52</v>
      </c>
    </row>
    <row r="12357" spans="1:14" x14ac:dyDescent="0.15">
      <c r="A12357" s="23" t="str">
        <f>HYPERLINK("https://www.spark-marketing.ru/Card/Person/1826603", "ООО ""СИБУР ТОБОЛЬСК""")</f>
        <v>ООО "СИБУР ТОБОЛЬСК"</v>
      </c>
      <c r="B12357" s="24" t="s">
        <v>14684</v>
      </c>
      <c r="C12357" s="28" t="s">
        <v>52</v>
      </c>
      <c r="D12357" s="22" t="s">
        <v>14685</v>
      </c>
      <c r="E12357" s="22" t="s">
        <v>53</v>
      </c>
      <c r="F12357" s="23" t="str">
        <f>HYPERLINK("https://www.spark-marketing.ru/Card/Lot/68660199", "Лот #1. Закуп видеокамер для установки в автобусе, монтаж.")</f>
        <v>Лот #1. Закуп видеокамер для установки в автобусе, монтаж.</v>
      </c>
      <c r="G12357" s="22" t="s">
        <v>893</v>
      </c>
      <c r="H12357" s="22" t="s">
        <v>11828</v>
      </c>
      <c r="I12357" s="26">
        <v>43537.538194444402</v>
      </c>
      <c r="J12357" s="28" t="s">
        <v>52</v>
      </c>
      <c r="K12357" s="28" t="s">
        <v>52</v>
      </c>
      <c r="L12357" s="28" t="s">
        <v>52</v>
      </c>
      <c r="M12357" s="28" t="s">
        <v>52</v>
      </c>
      <c r="N12357" s="28" t="s">
        <v>52</v>
      </c>
    </row>
    <row r="12358" spans="1:14" x14ac:dyDescent="0.15">
      <c r="A12358" s="23" t="str">
        <f>HYPERLINK("https://www.spark-marketing.ru/Card/Person/15030", "БУ ""ЦЕНТР ОМГОЗН""")</f>
        <v>БУ "ЦЕНТР ОМГОЗН"</v>
      </c>
      <c r="B12358" s="24" t="s">
        <v>14686</v>
      </c>
      <c r="C12358" s="25">
        <v>371760</v>
      </c>
      <c r="D12358" s="22" t="s">
        <v>14687</v>
      </c>
      <c r="E12358" s="22" t="s">
        <v>103</v>
      </c>
      <c r="F12358" s="23" t="str">
        <f>HYPERLINK("https://www.spark-marketing.ru/Card/Lot/68652808", "Оказание услуг по техническому обслуживанию систем видеонаблюдения")</f>
        <v>Оказание услуг по техническому обслуживанию систем видеонаблюдения</v>
      </c>
      <c r="G12358" s="22" t="s">
        <v>521</v>
      </c>
      <c r="H12358" s="22" t="s">
        <v>522</v>
      </c>
      <c r="I12358" s="26">
        <v>43537.507638888899</v>
      </c>
      <c r="J12358" s="28" t="s">
        <v>52</v>
      </c>
      <c r="K12358" s="28" t="s">
        <v>52</v>
      </c>
      <c r="L12358" s="28" t="s">
        <v>52</v>
      </c>
      <c r="M12358" s="28" t="s">
        <v>52</v>
      </c>
      <c r="N12358" s="28" t="s">
        <v>52</v>
      </c>
    </row>
    <row r="12359" spans="1:14" hidden="1" outlineLevel="1" x14ac:dyDescent="0.2">
      <c r="A12359" s="23" t="str">
        <f>HYPERLINK("https://www.spark-marketing.ru/Card/Person/15030", "БУ ""ЦЕНТР ОМГОЗН""")</f>
        <v>БУ "ЦЕНТР ОМГОЗН"</v>
      </c>
      <c r="B12359" s="24" t="s">
        <v>14686</v>
      </c>
      <c r="C12359" s="25">
        <v>371760</v>
      </c>
      <c r="D12359" s="22" t="s">
        <v>14687</v>
      </c>
      <c r="E12359" s="22" t="s">
        <v>103</v>
      </c>
      <c r="F12359" s="23" t="str">
        <f>HYPERLINK("https://www.spark-marketing.ru/Card/Lot/68652808", "Оказание услуг по техническому обслуживанию систем видеонаблюдения")</f>
        <v>Оказание услуг по техническому обслуживанию систем видеонаблюдения</v>
      </c>
      <c r="G12359" s="22" t="s">
        <v>521</v>
      </c>
      <c r="H12359" s="22" t="s">
        <v>522</v>
      </c>
      <c r="I12359" s="26">
        <v>43537.507638888899</v>
      </c>
      <c r="J12359" s="23" t="str">
        <f>HYPERLINK("https://www.spark-marketing.ru/Card/Person/5867823", "ООО ""СИБСВЯЗЬ""")</f>
        <v>ООО "СИБСВЯЗЬ"</v>
      </c>
      <c r="K12359" s="24" t="s">
        <v>14688</v>
      </c>
      <c r="L12359" s="28" t="s">
        <v>52</v>
      </c>
      <c r="M12359" s="25">
        <v>252796.48</v>
      </c>
      <c r="N12359" s="27">
        <v>0.32000086077038947</v>
      </c>
    </row>
    <row r="12360" spans="1:14" hidden="1" outlineLevel="1" x14ac:dyDescent="0.2">
      <c r="A12360" s="23" t="str">
        <f>HYPERLINK("https://www.spark-marketing.ru/Card/Person/15030", "БУ ""ЦЕНТР ОМГОЗН""")</f>
        <v>БУ "ЦЕНТР ОМГОЗН"</v>
      </c>
      <c r="B12360" s="24" t="s">
        <v>14686</v>
      </c>
      <c r="C12360" s="25">
        <v>371760</v>
      </c>
      <c r="D12360" s="22" t="s">
        <v>14687</v>
      </c>
      <c r="E12360" s="22" t="s">
        <v>103</v>
      </c>
      <c r="F12360" s="23" t="str">
        <f>HYPERLINK("https://www.spark-marketing.ru/Card/Lot/68652808", "Оказание услуг по техническому обслуживанию систем видеонаблюдения")</f>
        <v>Оказание услуг по техническому обслуживанию систем видеонаблюдения</v>
      </c>
      <c r="G12360" s="22" t="s">
        <v>521</v>
      </c>
      <c r="H12360" s="22" t="s">
        <v>522</v>
      </c>
      <c r="I12360" s="26">
        <v>43537.507638888899</v>
      </c>
      <c r="J12360" s="23" t="str">
        <f>HYPERLINK("https://www.spark-marketing.ru/Card/Person/6498309", "Кытина Юлия Анатольевна")</f>
        <v>Кытина Юлия Анатольевна</v>
      </c>
      <c r="K12360" s="24" t="s">
        <v>14689</v>
      </c>
      <c r="L12360" s="28" t="s">
        <v>52</v>
      </c>
      <c r="M12360" s="25">
        <v>356889.56</v>
      </c>
      <c r="N12360" s="27">
        <v>4.0000107596298684E-2</v>
      </c>
    </row>
    <row r="12361" spans="1:14" ht="12.75" hidden="1" outlineLevel="1" x14ac:dyDescent="0.2">
      <c r="A12361" s="23" t="str">
        <f>HYPERLINK("https://www.spark-marketing.ru/Card/Person/15030", "БУ ""ЦЕНТР ОМГОЗН""")</f>
        <v>БУ "ЦЕНТР ОМГОЗН"</v>
      </c>
      <c r="B12361" s="24" t="s">
        <v>14686</v>
      </c>
      <c r="C12361" s="25">
        <v>371760</v>
      </c>
      <c r="D12361" s="22" t="s">
        <v>14687</v>
      </c>
      <c r="E12361" s="22" t="s">
        <v>103</v>
      </c>
      <c r="F12361" s="23" t="str">
        <f>HYPERLINK("https://www.spark-marketing.ru/Card/Lot/68652808", "Оказание услуг по техническому обслуживанию систем видеонаблюдения")</f>
        <v>Оказание услуг по техническому обслуживанию систем видеонаблюдения</v>
      </c>
      <c r="G12361" s="22" t="s">
        <v>521</v>
      </c>
      <c r="H12361" s="22" t="s">
        <v>522</v>
      </c>
      <c r="I12361" s="26">
        <v>43537.507638888899</v>
      </c>
      <c r="J12361" s="23" t="str">
        <f>HYPERLINK("https://www.spark-marketing.ru/Card/Person/91591", "ООО ""СЦ РИТМ""")</f>
        <v>ООО "СЦ РИТМ"</v>
      </c>
      <c r="K12361" s="24" t="s">
        <v>14690</v>
      </c>
      <c r="L12361" s="22" t="s">
        <v>10</v>
      </c>
      <c r="M12361" s="25">
        <v>250937.67</v>
      </c>
      <c r="N12361" s="27">
        <v>0.32500088766946417</v>
      </c>
    </row>
    <row r="12362" spans="1:14" x14ac:dyDescent="0.15">
      <c r="A12362" s="23" t="str">
        <f>HYPERLINK("https://www.spark-marketing.ru/Card/Person/103927", "ФКПОУ ""ИВРТТИ"" МИНТРУДА РОССИИ")</f>
        <v>ФКПОУ "ИВРТТИ" МИНТРУДА РОССИИ</v>
      </c>
      <c r="B12362" s="24" t="s">
        <v>14691</v>
      </c>
      <c r="C12362" s="25">
        <v>100214.39999999999</v>
      </c>
      <c r="D12362" s="22" t="s">
        <v>14692</v>
      </c>
      <c r="E12362" s="22" t="s">
        <v>53</v>
      </c>
      <c r="F12362" s="23" t="str">
        <f>HYPERLINK("https://www.spark-marketing.ru/Card/Lot/70806664", "Исполнитель принимает на себя обязательства по обеспечению реагирования наряда подразделения вневедомственной охраны при поступлении тревожного извещения с Объекта (объектов) Заказчика, указанного в Перечне, являющимся приложением к настоящему догово...")</f>
        <v>Исполнитель принимает на себя обязательства по обеспечению реагирования наряда подразделения вневедомственной охраны при поступлении тревожного извещения с Объекта (объектов) Заказчика, указанного в Перечне, являющимся приложением к настоящему догово...</v>
      </c>
      <c r="G12362" s="22" t="s">
        <v>340</v>
      </c>
      <c r="H12362" s="22" t="s">
        <v>1030</v>
      </c>
      <c r="I12362" s="26">
        <v>43537.513564814799</v>
      </c>
      <c r="J12362" s="28" t="s">
        <v>52</v>
      </c>
      <c r="K12362" s="28" t="s">
        <v>52</v>
      </c>
      <c r="L12362" s="28" t="s">
        <v>52</v>
      </c>
      <c r="M12362" s="28" t="s">
        <v>52</v>
      </c>
      <c r="N12362" s="28" t="s">
        <v>52</v>
      </c>
    </row>
    <row r="12363" spans="1:14" x14ac:dyDescent="0.2">
      <c r="A12363" s="23" t="str">
        <f>HYPERLINK("https://www.spark-marketing.ru/Card/Person/59968", "ФГБОУ ВО ""ПСКОВСКИЙ ГОСУДАРСТВЕННЫЙ УНИВЕРСИТЕТ""")</f>
        <v>ФГБОУ ВО "ПСКОВСКИЙ ГОСУДАРСТВЕННЫЙ УНИВЕРСИТЕТ"</v>
      </c>
      <c r="B12363" s="24" t="s">
        <v>14693</v>
      </c>
      <c r="C12363" s="25">
        <v>194313</v>
      </c>
      <c r="D12363" s="22" t="s">
        <v>14694</v>
      </c>
      <c r="E12363" s="22" t="s">
        <v>533</v>
      </c>
      <c r="F12363" s="23" t="str">
        <f>HYPERLINK("https://www.spark-marketing.ru/Card/Lot/68655985", "Установка системы тревожной сигнализации (КТС)")</f>
        <v>Установка системы тревожной сигнализации (КТС)</v>
      </c>
      <c r="G12363" s="22" t="s">
        <v>142</v>
      </c>
      <c r="H12363" s="22" t="s">
        <v>142</v>
      </c>
      <c r="I12363" s="26">
        <v>43537.467870370398</v>
      </c>
      <c r="J12363" s="23" t="str">
        <f>HYPERLINK("https://www.spark-marketing.ru/Card/Person/2009735", "ООО ""ОХРАННЫЕ СИСТЕМЫ ПСКОВ""")</f>
        <v>ООО "ОХРАННЫЕ СИСТЕМЫ ПСКОВ"</v>
      </c>
      <c r="K12363" s="24" t="s">
        <v>14695</v>
      </c>
      <c r="L12363" s="28" t="s">
        <v>52</v>
      </c>
      <c r="M12363" s="25">
        <v>194313</v>
      </c>
      <c r="N12363" s="27">
        <v>0</v>
      </c>
    </row>
    <row r="12364" spans="1:14" x14ac:dyDescent="0.15">
      <c r="A12364" s="23" t="str">
        <f>HYPERLINK("https://www.spark-marketing.ru/Card/Person/1753354", "АО ""ОПЫТНЫЙ ЗАВОД ""ИНТЕГРАЛ""")</f>
        <v>АО "ОПЫТНЫЙ ЗАВОД "ИНТЕГРАЛ"</v>
      </c>
      <c r="B12364" s="24" t="s">
        <v>14696</v>
      </c>
      <c r="C12364" s="25">
        <v>131760</v>
      </c>
      <c r="D12364" s="22" t="s">
        <v>14697</v>
      </c>
      <c r="E12364" s="22" t="s">
        <v>14698</v>
      </c>
      <c r="F12364" s="23" t="str">
        <f>HYPERLINK("https://www.spark-marketing.ru/Card/Lot/68656666", "Оказание услуг по охране объекта: ""Обслуживание тревожной кнопки""")</f>
        <v>Оказание услуг по охране объекта: "Обслуживание тревожной кнопки"</v>
      </c>
      <c r="G12364" s="22" t="s">
        <v>89</v>
      </c>
      <c r="H12364" s="22" t="s">
        <v>89</v>
      </c>
      <c r="I12364" s="26">
        <v>43537.481377314798</v>
      </c>
      <c r="J12364" s="28" t="s">
        <v>52</v>
      </c>
      <c r="K12364" s="28" t="s">
        <v>52</v>
      </c>
      <c r="L12364" s="28" t="s">
        <v>52</v>
      </c>
      <c r="M12364" s="28" t="s">
        <v>52</v>
      </c>
      <c r="N12364" s="28" t="s">
        <v>52</v>
      </c>
    </row>
    <row r="12365" spans="1:14" x14ac:dyDescent="0.15">
      <c r="A12365" s="23" t="str">
        <f>HYPERLINK("https://www.spark-marketing.ru/Card/Person/88038", "ОГБУЗ ""ГРАЙВОРОНСКАЯ ЦРБ""")</f>
        <v>ОГБУЗ "ГРАЙВОРОНСКАЯ ЦРБ"</v>
      </c>
      <c r="B12365" s="24" t="s">
        <v>14699</v>
      </c>
      <c r="C12365" s="25">
        <v>109721.4</v>
      </c>
      <c r="D12365" s="22" t="s">
        <v>14700</v>
      </c>
      <c r="E12365" s="22" t="s">
        <v>11359</v>
      </c>
      <c r="F12365" s="23" t="str">
        <f>HYPERLINK("https://www.spark-marketing.ru/Card/Lot/68661427", "Услуги по централизованной охране объектов в 2019 г")</f>
        <v>Услуги по централизованной охране объектов в 2019 г</v>
      </c>
      <c r="G12365" s="22" t="s">
        <v>176</v>
      </c>
      <c r="H12365" s="22" t="s">
        <v>11724</v>
      </c>
      <c r="I12365" s="26">
        <v>43537.490277777797</v>
      </c>
      <c r="J12365" s="28" t="s">
        <v>52</v>
      </c>
      <c r="K12365" s="28" t="s">
        <v>52</v>
      </c>
      <c r="L12365" s="28" t="s">
        <v>52</v>
      </c>
      <c r="M12365" s="28" t="s">
        <v>52</v>
      </c>
      <c r="N12365" s="28" t="s">
        <v>52</v>
      </c>
    </row>
    <row r="12366" spans="1:14" x14ac:dyDescent="0.15">
      <c r="A12366" s="23" t="str">
        <f>HYPERLINK("https://www.spark-marketing.ru/Card/Person/5753", "МОУ СОШ № 25")</f>
        <v>МОУ СОШ № 25</v>
      </c>
      <c r="B12366" s="24" t="s">
        <v>14701</v>
      </c>
      <c r="C12366" s="25">
        <v>334780</v>
      </c>
      <c r="D12366" s="22" t="s">
        <v>14702</v>
      </c>
      <c r="E12366" s="22" t="s">
        <v>84</v>
      </c>
      <c r="F12366" s="23" t="str">
        <f>HYPERLINK("https://www.spark-marketing.ru/Card/Lot/68654369", "Работы по модернизации и техническому обслуживанию системы охранного видеонаблюдения в МОУ СОШ № 25")</f>
        <v>Работы по модернизации и техническому обслуживанию системы охранного видеонаблюдения в МОУ СОШ № 25</v>
      </c>
      <c r="G12366" s="22" t="s">
        <v>50</v>
      </c>
      <c r="H12366" s="22" t="s">
        <v>827</v>
      </c>
      <c r="I12366" s="26">
        <v>43537.430393518502</v>
      </c>
      <c r="J12366" s="28" t="s">
        <v>52</v>
      </c>
      <c r="K12366" s="28" t="s">
        <v>52</v>
      </c>
      <c r="L12366" s="28" t="s">
        <v>52</v>
      </c>
      <c r="M12366" s="28" t="s">
        <v>52</v>
      </c>
      <c r="N12366" s="28" t="s">
        <v>52</v>
      </c>
    </row>
    <row r="12367" spans="1:14" x14ac:dyDescent="0.15">
      <c r="A12367" s="23" t="str">
        <f>HYPERLINK("https://www.spark-marketing.ru/Card/Person/1008060", "МБДОУ № 12 Г. АЗОВА")</f>
        <v>МБДОУ № 12 Г. АЗОВА</v>
      </c>
      <c r="B12367" s="24" t="s">
        <v>14703</v>
      </c>
      <c r="C12367" s="25">
        <v>48141.18</v>
      </c>
      <c r="D12367" s="22" t="s">
        <v>14704</v>
      </c>
      <c r="E12367" s="22" t="s">
        <v>14705</v>
      </c>
      <c r="F12367" s="23" t="str">
        <f>HYPERLINK("https://www.spark-marketing.ru/Card/Lot/68654599", "Оснащение средствами системы видеонаблюдения на объекте")</f>
        <v>Оснащение средствами системы видеонаблюдения на объекте</v>
      </c>
      <c r="G12367" s="22" t="s">
        <v>402</v>
      </c>
      <c r="H12367" s="22" t="s">
        <v>4950</v>
      </c>
      <c r="I12367" s="26">
        <v>43537.445833333302</v>
      </c>
      <c r="J12367" s="28" t="s">
        <v>52</v>
      </c>
      <c r="K12367" s="28" t="s">
        <v>52</v>
      </c>
      <c r="L12367" s="28" t="s">
        <v>52</v>
      </c>
      <c r="M12367" s="28" t="s">
        <v>52</v>
      </c>
      <c r="N12367" s="28" t="s">
        <v>52</v>
      </c>
    </row>
    <row r="12368" spans="1:14" x14ac:dyDescent="0.15">
      <c r="A12368" s="23" t="str">
        <f>HYPERLINK("https://www.spark-marketing.ru/Card/Person/1080963", "БОУ Г. ОМСКА ""ГИМНАЗИЯ № 139""")</f>
        <v>БОУ Г. ОМСКА "ГИМНАЗИЯ № 139"</v>
      </c>
      <c r="B12368" s="24" t="s">
        <v>14706</v>
      </c>
      <c r="C12368" s="25">
        <v>12000</v>
      </c>
      <c r="D12368" s="22" t="s">
        <v>14707</v>
      </c>
      <c r="E12368" s="22" t="s">
        <v>68</v>
      </c>
      <c r="F12368" s="23" t="str">
        <f>HYPERLINK("https://www.spark-marketing.ru/Card/Lot/68653650", "Охрана объектов вневедомственной охраной (по каналу GSM)")</f>
        <v>Охрана объектов вневедомственной охраной (по каналу GSM)</v>
      </c>
      <c r="G12368" s="22" t="s">
        <v>521</v>
      </c>
      <c r="H12368" s="22" t="s">
        <v>522</v>
      </c>
      <c r="I12368" s="26">
        <v>43537.433333333298</v>
      </c>
      <c r="J12368" s="28" t="s">
        <v>52</v>
      </c>
      <c r="K12368" s="28" t="s">
        <v>52</v>
      </c>
      <c r="L12368" s="28" t="s">
        <v>52</v>
      </c>
      <c r="M12368" s="28" t="s">
        <v>52</v>
      </c>
      <c r="N12368" s="28" t="s">
        <v>52</v>
      </c>
    </row>
    <row r="12369" spans="1:14" x14ac:dyDescent="0.15">
      <c r="A12369" s="23" t="str">
        <f>HYPERLINK("https://www.spark-marketing.ru/Card/Person/646966", "АО ""ИМКХ""")</f>
        <v>АО "ИМКХ"</v>
      </c>
      <c r="B12369" s="24" t="s">
        <v>2205</v>
      </c>
      <c r="C12369" s="25">
        <v>366912</v>
      </c>
      <c r="D12369" s="22" t="s">
        <v>14708</v>
      </c>
      <c r="E12369" s="22" t="s">
        <v>144</v>
      </c>
      <c r="F12369" s="23" t="str">
        <f>HYPERLINK("https://www.spark-marketing.ru/Card/Lot/68650064", "Оказание охранных услуг на участке водоотведения на второй квартал 2019 года")</f>
        <v>Оказание охранных услуг на участке водоотведения на второй квартал 2019 года</v>
      </c>
      <c r="G12369" s="22" t="s">
        <v>119</v>
      </c>
      <c r="H12369" s="22" t="s">
        <v>119</v>
      </c>
      <c r="I12369" s="26">
        <v>43537.386377314797</v>
      </c>
      <c r="J12369" s="28" t="s">
        <v>52</v>
      </c>
      <c r="K12369" s="28" t="s">
        <v>52</v>
      </c>
      <c r="L12369" s="28" t="s">
        <v>52</v>
      </c>
      <c r="M12369" s="28" t="s">
        <v>52</v>
      </c>
      <c r="N12369" s="28" t="s">
        <v>52</v>
      </c>
    </row>
    <row r="12370" spans="1:14" x14ac:dyDescent="0.15">
      <c r="A12370" s="23" t="str">
        <f>HYPERLINK("https://www.spark-marketing.ru/Card/Person/6218354", "АДМИНИСТРАЦИЯ КОЛОМЕНСКОГО ГОРОДСКОГО ОКРУГА МОСКОВСКОЙ ОБЛАСТИ")</f>
        <v>АДМИНИСТРАЦИЯ КОЛОМЕНСКОГО ГОРОДСКОГО ОКРУГА МОСКОВСКОЙ ОБЛАСТИ</v>
      </c>
      <c r="B12370" s="24" t="s">
        <v>12677</v>
      </c>
      <c r="C12370" s="25">
        <v>96903</v>
      </c>
      <c r="D12370" s="22" t="s">
        <v>14709</v>
      </c>
      <c r="E12370" s="22" t="s">
        <v>107</v>
      </c>
      <c r="F12370" s="23" t="str">
        <f>HYPERLINK("https://www.spark-marketing.ru/Card/Lot/68651753", "Техническое обслуживание системы видеонаблюдения здания администрации")</f>
        <v>Техническое обслуживание системы видеонаблюдения здания администрации</v>
      </c>
      <c r="G12370" s="22" t="s">
        <v>50</v>
      </c>
      <c r="H12370" s="22" t="s">
        <v>682</v>
      </c>
      <c r="I12370" s="26">
        <v>43537.3989351852</v>
      </c>
      <c r="J12370" s="28" t="s">
        <v>52</v>
      </c>
      <c r="K12370" s="28" t="s">
        <v>52</v>
      </c>
      <c r="L12370" s="28" t="s">
        <v>52</v>
      </c>
      <c r="M12370" s="28" t="s">
        <v>52</v>
      </c>
      <c r="N12370" s="28" t="s">
        <v>52</v>
      </c>
    </row>
    <row r="12371" spans="1:14" x14ac:dyDescent="0.15">
      <c r="A12371" s="23" t="str">
        <f>HYPERLINK("https://www.spark-marketing.ru/Card/Person/61097", "КГБУЗ ""ДЕТСКАЯ ГОРОДСКАЯ ПОЛИКЛИНИКА № 2, Г. БИЙСК""")</f>
        <v>КГБУЗ "ДЕТСКАЯ ГОРОДСКАЯ ПОЛИКЛИНИКА № 2, Г. БИЙСК"</v>
      </c>
      <c r="B12371" s="24" t="s">
        <v>5344</v>
      </c>
      <c r="C12371" s="25">
        <v>151655</v>
      </c>
      <c r="D12371" s="22" t="s">
        <v>14710</v>
      </c>
      <c r="E12371" s="22" t="s">
        <v>59</v>
      </c>
      <c r="F12371" s="23" t="str">
        <f>HYPERLINK("https://www.spark-marketing.ru/Card/Lot/68646819", "Выполнение работ по установке наружного и внутреннего устройства видеонаблюдения по адресу г. Бийск, ул. Воинов - Интернационалистов, 72")</f>
        <v>Выполнение работ по установке наружного и внутреннего устройства видеонаблюдения по адресу г. Бийск, ул. Воинов - Интернационалистов, 72</v>
      </c>
      <c r="G12371" s="22" t="s">
        <v>428</v>
      </c>
      <c r="H12371" s="22" t="s">
        <v>5346</v>
      </c>
      <c r="I12371" s="26">
        <v>43537.345833333296</v>
      </c>
      <c r="J12371" s="28" t="s">
        <v>52</v>
      </c>
      <c r="K12371" s="28" t="s">
        <v>52</v>
      </c>
      <c r="L12371" s="28" t="s">
        <v>52</v>
      </c>
      <c r="M12371" s="28" t="s">
        <v>52</v>
      </c>
      <c r="N12371" s="28" t="s">
        <v>52</v>
      </c>
    </row>
    <row r="12372" spans="1:14" x14ac:dyDescent="0.15">
      <c r="A12372" s="23" t="str">
        <f>HYPERLINK("https://www.spark-marketing.ru/Card/Person/1766068", "АОУ ДЕТСКИЙ САД №13 ""В ГОСТЯХ У СКАЗКИ""")</f>
        <v>АОУ ДЕТСКИЙ САД №13 "В ГОСТЯХ У СКАЗКИ"</v>
      </c>
      <c r="B12372" s="24" t="s">
        <v>14711</v>
      </c>
      <c r="C12372" s="25">
        <v>80400</v>
      </c>
      <c r="D12372" s="22" t="s">
        <v>14712</v>
      </c>
      <c r="E12372" s="22" t="s">
        <v>103</v>
      </c>
      <c r="F12372" s="23" t="str">
        <f>HYPERLINK("https://www.spark-marketing.ru/Card/Lot/68650525", "Оказание услуг по техническому обслуживанию системы контроля и управления доступом (СКУД), системы охранной сигнализации и системы видеонаблюдения")</f>
        <v>Оказание услуг по техническому обслуживанию системы контроля и управления доступом (СКУД), системы охранной сигнализации и системы видеонаблюдения</v>
      </c>
      <c r="G12372" s="22" t="s">
        <v>50</v>
      </c>
      <c r="H12372" s="22" t="s">
        <v>3866</v>
      </c>
      <c r="I12372" s="26">
        <v>43537.357002314799</v>
      </c>
      <c r="J12372" s="28" t="s">
        <v>52</v>
      </c>
      <c r="K12372" s="28" t="s">
        <v>52</v>
      </c>
      <c r="L12372" s="28" t="s">
        <v>52</v>
      </c>
      <c r="M12372" s="28" t="s">
        <v>52</v>
      </c>
      <c r="N12372" s="28" t="s">
        <v>52</v>
      </c>
    </row>
    <row r="12373" spans="1:14" x14ac:dyDescent="0.15">
      <c r="A12373" s="23" t="str">
        <f>HYPERLINK("https://www.spark-marketing.ru/Card/Person/1009161", "ГОСУДАРСТВЕННОЕ УЧРЕЖДЕНИЕ - УПРАВЛЕНИЕ ПЕНСИОННОГО ФОНДА РОССИЙСКОЙ ФЕДЕРАЦИИ №15 ПО Г.МОСКВЕ И МОСКОВСКОЙ ОБЛАСТИ")</f>
        <v>ГОСУДАРСТВЕННОЕ УЧРЕЖДЕНИЕ - УПРАВЛЕНИЕ ПЕНСИОННОГО ФОНДА РОССИЙСКОЙ ФЕДЕРАЦИИ №15 ПО Г.МОСКВЕ И МОСКОВСКОЙ ОБЛАСТИ</v>
      </c>
      <c r="B12373" s="24" t="s">
        <v>14713</v>
      </c>
      <c r="C12373" s="25">
        <v>71006.399999999994</v>
      </c>
      <c r="D12373" s="22" t="s">
        <v>14714</v>
      </c>
      <c r="E12373" s="22" t="s">
        <v>68</v>
      </c>
      <c r="F12373" s="23" t="str">
        <f>HYPERLINK("https://www.spark-marketing.ru/Card/Lot/68653330", "Оказание услуг охраны объекта техническими средствами (ПЦН)")</f>
        <v>Оказание услуг охраны объекта техническими средствами (ПЦН)</v>
      </c>
      <c r="G12373" s="22" t="s">
        <v>50</v>
      </c>
      <c r="H12373" s="22" t="s">
        <v>50</v>
      </c>
      <c r="I12373" s="26">
        <v>43537.371527777803</v>
      </c>
      <c r="J12373" s="28" t="s">
        <v>52</v>
      </c>
      <c r="K12373" s="28" t="s">
        <v>52</v>
      </c>
      <c r="L12373" s="28" t="s">
        <v>52</v>
      </c>
      <c r="M12373" s="28" t="s">
        <v>52</v>
      </c>
      <c r="N12373" s="28" t="s">
        <v>52</v>
      </c>
    </row>
    <row r="12374" spans="1:14" ht="12.75" hidden="1" outlineLevel="1" x14ac:dyDescent="0.2">
      <c r="A12374" s="23" t="str">
        <f>HYPERLINK("https://www.spark-marketing.ru/Card/Person/1009161", "ГОСУДАРСТВЕННОЕ УЧРЕЖДЕНИЕ - УПРАВЛЕНИЕ ПЕНСИОННОГО ФОНДА РОССИЙСКОЙ ФЕДЕРАЦИИ №15 ПО Г.МОСКВЕ И МОСКОВСКОЙ ОБЛАСТИ")</f>
        <v>ГОСУДАРСТВЕННОЕ УЧРЕЖДЕНИЕ - УПРАВЛЕНИЕ ПЕНСИОННОГО ФОНДА РОССИЙСКОЙ ФЕДЕРАЦИИ №15 ПО Г.МОСКВЕ И МОСКОВСКОЙ ОБЛАСТИ</v>
      </c>
      <c r="B12374" s="24" t="s">
        <v>14713</v>
      </c>
      <c r="C12374" s="25">
        <v>71006.399999999994</v>
      </c>
      <c r="D12374" s="22" t="s">
        <v>14714</v>
      </c>
      <c r="E12374" s="22" t="s">
        <v>68</v>
      </c>
      <c r="F12374" s="23" t="str">
        <f>HYPERLINK("https://www.spark-marketing.ru/Card/Lot/68653330", "Оказание услуг охраны объекта техническими средствами (ПЦН)")</f>
        <v>Оказание услуг охраны объекта техническими средствами (ПЦН)</v>
      </c>
      <c r="G12374" s="22" t="s">
        <v>50</v>
      </c>
      <c r="H12374" s="22" t="s">
        <v>50</v>
      </c>
      <c r="I12374" s="26">
        <v>43537.371527777803</v>
      </c>
      <c r="J12374" s="23" t="str">
        <f>HYPERLINK("https://www.spark-marketing.ru/Card/Person/6446702", "ООО ЧОП ""ГАРАНТ""")</f>
        <v>ООО ЧОП "ГАРАНТ"</v>
      </c>
      <c r="K12374" s="24" t="s">
        <v>14715</v>
      </c>
      <c r="L12374" s="22" t="s">
        <v>10</v>
      </c>
      <c r="M12374" s="25">
        <v>39600</v>
      </c>
      <c r="N12374" s="27">
        <v>0.44230379233421213</v>
      </c>
    </row>
    <row r="12375" spans="1:14" hidden="1" outlineLevel="1" x14ac:dyDescent="0.2">
      <c r="A12375" s="23" t="str">
        <f>HYPERLINK("https://www.spark-marketing.ru/Card/Person/1009161", "ГОСУДАРСТВЕННОЕ УЧРЕЖДЕНИЕ - УПРАВЛЕНИЕ ПЕНСИОННОГО ФОНДА РОССИЙСКОЙ ФЕДЕРАЦИИ №15 ПО Г.МОСКВЕ И МОСКОВСКОЙ ОБЛАСТИ")</f>
        <v>ГОСУДАРСТВЕННОЕ УЧРЕЖДЕНИЕ - УПРАВЛЕНИЕ ПЕНСИОННОГО ФОНДА РОССИЙСКОЙ ФЕДЕРАЦИИ №15 ПО Г.МОСКВЕ И МОСКОВСКОЙ ОБЛАСТИ</v>
      </c>
      <c r="B12375" s="24" t="s">
        <v>14713</v>
      </c>
      <c r="C12375" s="25">
        <v>71006.399999999994</v>
      </c>
      <c r="D12375" s="22" t="s">
        <v>14714</v>
      </c>
      <c r="E12375" s="22" t="s">
        <v>68</v>
      </c>
      <c r="F12375" s="23" t="str">
        <f>HYPERLINK("https://www.spark-marketing.ru/Card/Lot/68653330", "Оказание услуг охраны объекта техническими средствами (ПЦН)")</f>
        <v>Оказание услуг охраны объекта техническими средствами (ПЦН)</v>
      </c>
      <c r="G12375" s="22" t="s">
        <v>50</v>
      </c>
      <c r="H12375" s="22" t="s">
        <v>50</v>
      </c>
      <c r="I12375" s="26">
        <v>43537.371527777803</v>
      </c>
      <c r="J12375" s="23" t="str">
        <f>HYPERLINK("https://www.spark-marketing.ru/Card/Person/1976859", "ООО ЧОО ""ДЕЛЬТА""")</f>
        <v>ООО ЧОО "ДЕЛЬТА"</v>
      </c>
      <c r="K12375" s="24" t="s">
        <v>8928</v>
      </c>
      <c r="L12375" s="28" t="s">
        <v>52</v>
      </c>
      <c r="M12375" s="25">
        <v>53100</v>
      </c>
      <c r="N12375" s="27">
        <v>0.25218008517542079</v>
      </c>
    </row>
    <row r="12376" spans="1:14" x14ac:dyDescent="0.15">
      <c r="A12376" s="23" t="str">
        <f>HYPERLINK("https://www.spark-marketing.ru/Card/Person/171036", "МРУ РОСАЛКОГОЛЬРЕГУЛИРОВАНИЯ ПО ДАЛЬНЕВОСТОЧНОМУ ФЕДЕРАЛЬНОМУ ОКРУГУ")</f>
        <v>МРУ РОСАЛКОГОЛЬРЕГУЛИРОВАНИЯ ПО ДАЛЬНЕВОСТОЧНОМУ ФЕДЕРАЛЬНОМУ ОКРУГУ</v>
      </c>
      <c r="B12376" s="24" t="s">
        <v>14716</v>
      </c>
      <c r="C12376" s="25">
        <v>96360</v>
      </c>
      <c r="D12376" s="22" t="s">
        <v>14717</v>
      </c>
      <c r="E12376" s="22" t="s">
        <v>53</v>
      </c>
      <c r="F12376" s="23" t="str">
        <f>HYPERLINK("https://www.spark-marketing.ru/Card/Lot/70795443", "Централизованная охрана объекта")</f>
        <v>Централизованная охрана объекта</v>
      </c>
      <c r="G12376" s="22" t="s">
        <v>138</v>
      </c>
      <c r="H12376" s="22" t="s">
        <v>255</v>
      </c>
      <c r="I12376" s="26">
        <v>43537.2991203704</v>
      </c>
      <c r="J12376" s="28" t="s">
        <v>52</v>
      </c>
      <c r="K12376" s="28" t="s">
        <v>52</v>
      </c>
      <c r="L12376" s="28" t="s">
        <v>52</v>
      </c>
      <c r="M12376" s="28" t="s">
        <v>52</v>
      </c>
      <c r="N12376" s="28" t="s">
        <v>52</v>
      </c>
    </row>
    <row r="12377" spans="1:14" x14ac:dyDescent="0.15">
      <c r="A12377" s="23" t="str">
        <f>HYPERLINK("https://www.spark-marketing.ru/Card/Person/171036", "МРУ РОСАЛКОГОЛЬРЕГУЛИРОВАНИЯ ПО ДАЛЬНЕВОСТОЧНОМУ ФЕДЕРАЛЬНОМУ ОКРУГУ")</f>
        <v>МРУ РОСАЛКОГОЛЬРЕГУЛИРОВАНИЯ ПО ДАЛЬНЕВОСТОЧНОМУ ФЕДЕРАЛЬНОМУ ОКРУГУ</v>
      </c>
      <c r="B12377" s="24" t="s">
        <v>14716</v>
      </c>
      <c r="C12377" s="25">
        <v>15586.9</v>
      </c>
      <c r="D12377" s="22" t="s">
        <v>14718</v>
      </c>
      <c r="E12377" s="22" t="s">
        <v>53</v>
      </c>
      <c r="F12377" s="23" t="str">
        <f>HYPERLINK("https://www.spark-marketing.ru/Card/Lot/70795455", "Оказание услуг по техническому обслуживанию комплекса технических средств охраны на объектах")</f>
        <v>Оказание услуг по техническому обслуживанию комплекса технических средств охраны на объектах</v>
      </c>
      <c r="G12377" s="22" t="s">
        <v>138</v>
      </c>
      <c r="H12377" s="22" t="s">
        <v>255</v>
      </c>
      <c r="I12377" s="26">
        <v>43537.316886574103</v>
      </c>
      <c r="J12377" s="28" t="s">
        <v>52</v>
      </c>
      <c r="K12377" s="28" t="s">
        <v>52</v>
      </c>
      <c r="L12377" s="28" t="s">
        <v>52</v>
      </c>
      <c r="M12377" s="28" t="s">
        <v>52</v>
      </c>
      <c r="N12377" s="28" t="s">
        <v>52</v>
      </c>
    </row>
    <row r="12378" spans="1:14" x14ac:dyDescent="0.15">
      <c r="A12378" s="23" t="s">
        <v>121</v>
      </c>
      <c r="B12378" s="28" t="s">
        <v>52</v>
      </c>
      <c r="C12378" s="25">
        <v>423243</v>
      </c>
      <c r="D12378" s="22" t="s">
        <v>14719</v>
      </c>
      <c r="E12378" s="22" t="s">
        <v>68</v>
      </c>
      <c r="F12378" s="23" t="str">
        <f t="shared" ref="F12378:F12384" si="643">HYPERLINK("https://www.spark-marketing.ru/Card/Lot/68651935", "Оказание услуг по охране объектов и имущества для Совета и Исполнительного комитета Мензелинского муниципального района РТ")</f>
        <v>Оказание услуг по охране объектов и имущества для Совета и Исполнительного комитета Мензелинского муниципального района РТ</v>
      </c>
      <c r="G12378" s="22" t="s">
        <v>52</v>
      </c>
      <c r="H12378" s="22" t="s">
        <v>52</v>
      </c>
      <c r="I12378" s="26">
        <v>43537.3305555556</v>
      </c>
      <c r="J12378" s="28" t="s">
        <v>52</v>
      </c>
      <c r="K12378" s="28" t="s">
        <v>52</v>
      </c>
      <c r="L12378" s="28" t="s">
        <v>52</v>
      </c>
      <c r="M12378" s="28" t="s">
        <v>52</v>
      </c>
      <c r="N12378" s="28" t="s">
        <v>52</v>
      </c>
    </row>
    <row r="12379" spans="1:14" hidden="1" outlineLevel="1" x14ac:dyDescent="0.15">
      <c r="A12379" s="23" t="str">
        <f>HYPERLINK("https://www.spark-marketing.ru/Card/Person/7640", "ИСПОЛНИТЕЛЬНЫЙ КОМИТЕТ МЕНЗЕЛИНСКОГО МУНИЦИПАЛЬНОГО РАЙОНА РЕСПУБЛИКИ ТАТАРСТАН")</f>
        <v>ИСПОЛНИТЕЛЬНЫЙ КОМИТЕТ МЕНЗЕЛИНСКОГО МУНИЦИПАЛЬНОГО РАЙОНА РЕСПУБЛИКИ ТАТАРСТАН</v>
      </c>
      <c r="B12379" s="24" t="s">
        <v>14720</v>
      </c>
      <c r="C12379" s="25">
        <v>217341</v>
      </c>
      <c r="D12379" s="22" t="s">
        <v>14719</v>
      </c>
      <c r="E12379" s="22" t="s">
        <v>68</v>
      </c>
      <c r="F12379" s="23" t="str">
        <f t="shared" si="643"/>
        <v>Оказание услуг по охране объектов и имущества для Совета и Исполнительного комитета Мензелинского муниципального района РТ</v>
      </c>
      <c r="G12379" s="22" t="s">
        <v>204</v>
      </c>
      <c r="H12379" s="22" t="s">
        <v>14721</v>
      </c>
      <c r="I12379" s="26">
        <v>43537.3305555556</v>
      </c>
      <c r="J12379" s="28" t="s">
        <v>52</v>
      </c>
      <c r="K12379" s="28" t="s">
        <v>52</v>
      </c>
      <c r="L12379" s="28" t="s">
        <v>52</v>
      </c>
      <c r="M12379" s="28" t="s">
        <v>52</v>
      </c>
      <c r="N12379" s="28" t="s">
        <v>52</v>
      </c>
    </row>
    <row r="12380" spans="1:14" hidden="1" outlineLevel="1" x14ac:dyDescent="0.15">
      <c r="A12380" s="23" t="str">
        <f>HYPERLINK("https://www.spark-marketing.ru/Card/Person/160190", "СОВЕТ МЕНЗЕЛИНСКОГО МУНИЦИПАЛЬНОГО РАЙОНА РЕСПУБЛИКИ ТАТАРСТАН")</f>
        <v>СОВЕТ МЕНЗЕЛИНСКОГО МУНИЦИПАЛЬНОГО РАЙОНА РЕСПУБЛИКИ ТАТАРСТАН</v>
      </c>
      <c r="B12380" s="24" t="s">
        <v>14722</v>
      </c>
      <c r="C12380" s="25">
        <v>205902</v>
      </c>
      <c r="D12380" s="22" t="s">
        <v>14719</v>
      </c>
      <c r="E12380" s="22" t="s">
        <v>68</v>
      </c>
      <c r="F12380" s="23" t="str">
        <f t="shared" si="643"/>
        <v>Оказание услуг по охране объектов и имущества для Совета и Исполнительного комитета Мензелинского муниципального района РТ</v>
      </c>
      <c r="G12380" s="22" t="s">
        <v>204</v>
      </c>
      <c r="H12380" s="22" t="s">
        <v>14721</v>
      </c>
      <c r="I12380" s="26">
        <v>43537.3305555556</v>
      </c>
      <c r="J12380" s="28" t="s">
        <v>52</v>
      </c>
      <c r="K12380" s="28" t="s">
        <v>52</v>
      </c>
      <c r="L12380" s="28" t="s">
        <v>52</v>
      </c>
      <c r="M12380" s="28" t="s">
        <v>52</v>
      </c>
      <c r="N12380" s="28" t="s">
        <v>52</v>
      </c>
    </row>
    <row r="12381" spans="1:14" hidden="1" outlineLevel="1" x14ac:dyDescent="0.2">
      <c r="A12381" s="28" t="s">
        <v>52</v>
      </c>
      <c r="B12381" s="28" t="s">
        <v>52</v>
      </c>
      <c r="C12381" s="28" t="s">
        <v>52</v>
      </c>
      <c r="D12381" s="22" t="s">
        <v>14719</v>
      </c>
      <c r="E12381" s="22" t="s">
        <v>68</v>
      </c>
      <c r="F12381" s="23" t="str">
        <f t="shared" si="643"/>
        <v>Оказание услуг по охране объектов и имущества для Совета и Исполнительного комитета Мензелинского муниципального района РТ</v>
      </c>
      <c r="G12381" s="22" t="s">
        <v>52</v>
      </c>
      <c r="H12381" s="22" t="s">
        <v>52</v>
      </c>
      <c r="I12381" s="26">
        <v>43537.3305555556</v>
      </c>
      <c r="J12381" s="23" t="str">
        <f>HYPERLINK("https://www.spark-marketing.ru/Card/Person/1130302", "ООО ЧОП ""АЙРУС""")</f>
        <v>ООО ЧОП "АЙРУС"</v>
      </c>
      <c r="K12381" s="24" t="s">
        <v>8989</v>
      </c>
      <c r="L12381" s="28" t="s">
        <v>52</v>
      </c>
      <c r="M12381" s="25">
        <v>121855.98</v>
      </c>
      <c r="N12381" s="27">
        <v>0.71208979238876957</v>
      </c>
    </row>
    <row r="12382" spans="1:14" hidden="1" outlineLevel="1" x14ac:dyDescent="0.2">
      <c r="A12382" s="28" t="s">
        <v>52</v>
      </c>
      <c r="B12382" s="28" t="s">
        <v>52</v>
      </c>
      <c r="C12382" s="28" t="s">
        <v>52</v>
      </c>
      <c r="D12382" s="22" t="s">
        <v>14719</v>
      </c>
      <c r="E12382" s="22" t="s">
        <v>68</v>
      </c>
      <c r="F12382" s="23" t="str">
        <f t="shared" si="643"/>
        <v>Оказание услуг по охране объектов и имущества для Совета и Исполнительного комитета Мензелинского муниципального района РТ</v>
      </c>
      <c r="G12382" s="22" t="s">
        <v>52</v>
      </c>
      <c r="H12382" s="22" t="s">
        <v>52</v>
      </c>
      <c r="I12382" s="26">
        <v>43537.3305555556</v>
      </c>
      <c r="J12382" s="23" t="str">
        <f>HYPERLINK("https://www.spark-marketing.ru/Card/Person/363411", "МУП ""ЧИСТЫЙ ГОРОД""")</f>
        <v>МУП "ЧИСТЫЙ ГОРОД"</v>
      </c>
      <c r="K12382" s="24" t="s">
        <v>14723</v>
      </c>
      <c r="L12382" s="22" t="s">
        <v>10</v>
      </c>
      <c r="M12382" s="25">
        <v>119739.76</v>
      </c>
      <c r="N12382" s="27">
        <v>0.71708980420231405</v>
      </c>
    </row>
    <row r="12383" spans="1:14" hidden="1" outlineLevel="1" x14ac:dyDescent="0.2">
      <c r="A12383" s="28" t="s">
        <v>52</v>
      </c>
      <c r="B12383" s="28" t="s">
        <v>52</v>
      </c>
      <c r="C12383" s="28" t="s">
        <v>52</v>
      </c>
      <c r="D12383" s="22" t="s">
        <v>14719</v>
      </c>
      <c r="E12383" s="22" t="s">
        <v>68</v>
      </c>
      <c r="F12383" s="23" t="str">
        <f t="shared" si="643"/>
        <v>Оказание услуг по охране объектов и имущества для Совета и Исполнительного комитета Мензелинского муниципального района РТ</v>
      </c>
      <c r="G12383" s="22" t="s">
        <v>52</v>
      </c>
      <c r="H12383" s="22" t="s">
        <v>52</v>
      </c>
      <c r="I12383" s="26">
        <v>43537.3305555556</v>
      </c>
      <c r="J12383" s="23" t="str">
        <f>HYPERLINK("https://www.spark-marketing.ru/Card/Person/377137", "ООО ""ЧОО ""АБ""")</f>
        <v>ООО "ЧОО "АБ"</v>
      </c>
      <c r="K12383" s="24" t="s">
        <v>14724</v>
      </c>
      <c r="L12383" s="28" t="s">
        <v>52</v>
      </c>
      <c r="M12383" s="25">
        <v>421126.78</v>
      </c>
      <c r="N12383" s="27">
        <v>5.0000118135444648E-3</v>
      </c>
    </row>
    <row r="12384" spans="1:14" hidden="1" outlineLevel="1" x14ac:dyDescent="0.2">
      <c r="A12384" s="28" t="s">
        <v>52</v>
      </c>
      <c r="B12384" s="28" t="s">
        <v>52</v>
      </c>
      <c r="C12384" s="28" t="s">
        <v>52</v>
      </c>
      <c r="D12384" s="22" t="s">
        <v>14719</v>
      </c>
      <c r="E12384" s="22" t="s">
        <v>68</v>
      </c>
      <c r="F12384" s="23" t="str">
        <f t="shared" si="643"/>
        <v>Оказание услуг по охране объектов и имущества для Совета и Исполнительного комитета Мензелинского муниципального района РТ</v>
      </c>
      <c r="G12384" s="22" t="s">
        <v>52</v>
      </c>
      <c r="H12384" s="22" t="s">
        <v>52</v>
      </c>
      <c r="I12384" s="26">
        <v>43537.3305555556</v>
      </c>
      <c r="J12384" s="23" t="str">
        <f>HYPERLINK("https://www.spark-marketing.ru/Card/Person/90628", "ООО ""ЧОП ""ПАТРОН""")</f>
        <v>ООО "ЧОП "ПАТРОН"</v>
      </c>
      <c r="K12384" s="24" t="s">
        <v>14725</v>
      </c>
      <c r="L12384" s="28" t="s">
        <v>52</v>
      </c>
      <c r="M12384" s="25">
        <v>389383.48</v>
      </c>
      <c r="N12384" s="27">
        <v>8.0000189016711437E-2</v>
      </c>
    </row>
    <row r="12385" spans="1:14" x14ac:dyDescent="0.15">
      <c r="A12385" s="23" t="str">
        <f>HYPERLINK("https://www.spark-marketing.ru/Card/Person/137060", "МЕЖРАЙОННАЯ ИФНС РОССИИ № 3 ПО ПРИМОРСКОМУ КРАЮ")</f>
        <v>МЕЖРАЙОННАЯ ИФНС РОССИИ № 3 ПО ПРИМОРСКОМУ КРАЮ</v>
      </c>
      <c r="B12385" s="24" t="s">
        <v>14726</v>
      </c>
      <c r="C12385" s="25">
        <v>28501.200000000001</v>
      </c>
      <c r="D12385" s="22" t="s">
        <v>14727</v>
      </c>
      <c r="E12385" s="22" t="s">
        <v>53</v>
      </c>
      <c r="F12385" s="23" t="str">
        <f>HYPERLINK("https://www.spark-marketing.ru/Card/Lot/70795355", "услуги по централизованной охране объектов Заказчика")</f>
        <v>услуги по централизованной охране объектов Заказчика</v>
      </c>
      <c r="G12385" s="22" t="s">
        <v>409</v>
      </c>
      <c r="H12385" s="22" t="s">
        <v>3941</v>
      </c>
      <c r="I12385" s="26">
        <v>43537.262766203698</v>
      </c>
      <c r="J12385" s="28" t="s">
        <v>52</v>
      </c>
      <c r="K12385" s="28" t="s">
        <v>52</v>
      </c>
      <c r="L12385" s="28" t="s">
        <v>52</v>
      </c>
      <c r="M12385" s="28" t="s">
        <v>52</v>
      </c>
      <c r="N12385" s="28" t="s">
        <v>52</v>
      </c>
    </row>
    <row r="12386" spans="1:14" x14ac:dyDescent="0.15">
      <c r="A12386" s="23" t="str">
        <f>HYPERLINK("https://www.spark-marketing.ru/Card/Person/137060", "МЕЖРАЙОННАЯ ИФНС РОССИИ № 3 ПО ПРИМОРСКОМУ КРАЮ")</f>
        <v>МЕЖРАЙОННАЯ ИФНС РОССИИ № 3 ПО ПРИМОРСКОМУ КРАЮ</v>
      </c>
      <c r="B12386" s="24" t="s">
        <v>14726</v>
      </c>
      <c r="C12386" s="25">
        <v>8358.4</v>
      </c>
      <c r="D12386" s="22" t="s">
        <v>14728</v>
      </c>
      <c r="E12386" s="22" t="s">
        <v>53</v>
      </c>
      <c r="F12386" s="23" t="str">
        <f>HYPERLINK("https://www.spark-marketing.ru/Card/Lot/70795340", "услуги экстренного выезда группы задержания при срабатывании кнопки тревожной сигнализации, установленной на объектах Заказчика")</f>
        <v>услуги экстренного выезда группы задержания при срабатывании кнопки тревожной сигнализации, установленной на объектах Заказчика</v>
      </c>
      <c r="G12386" s="22" t="s">
        <v>409</v>
      </c>
      <c r="H12386" s="22" t="s">
        <v>3941</v>
      </c>
      <c r="I12386" s="26">
        <v>43537.201759259297</v>
      </c>
      <c r="J12386" s="28" t="s">
        <v>52</v>
      </c>
      <c r="K12386" s="28" t="s">
        <v>52</v>
      </c>
      <c r="L12386" s="28" t="s">
        <v>52</v>
      </c>
      <c r="M12386" s="28" t="s">
        <v>52</v>
      </c>
      <c r="N12386" s="28" t="s">
        <v>52</v>
      </c>
    </row>
    <row r="12387" spans="1:14" x14ac:dyDescent="0.15">
      <c r="A12387" s="23" t="str">
        <f>HYPERLINK("https://www.spark-marketing.ru/Card/Person/1081584", "МБУ СШ ""РУССКИЙ МЕДВЕДЬ""")</f>
        <v>МБУ СШ "РУССКИЙ МЕДВЕДЬ"</v>
      </c>
      <c r="B12387" s="24" t="s">
        <v>14729</v>
      </c>
      <c r="C12387" s="25">
        <v>99885.25</v>
      </c>
      <c r="D12387" s="22" t="s">
        <v>14730</v>
      </c>
      <c r="E12387" s="22" t="s">
        <v>59</v>
      </c>
      <c r="F12387" s="23" t="str">
        <f>HYPERLINK("https://www.spark-marketing.ru/Card/Lot/68642659", "Оказание услуг по монтажу охранной сигнализации в городском шахматном клубе")</f>
        <v>Оказание услуг по монтажу охранной сигнализации в городском шахматном клубе</v>
      </c>
      <c r="G12387" s="22" t="s">
        <v>50</v>
      </c>
      <c r="H12387" s="22" t="s">
        <v>299</v>
      </c>
      <c r="I12387" s="26">
        <v>43536.773634259298</v>
      </c>
      <c r="J12387" s="28" t="s">
        <v>52</v>
      </c>
      <c r="K12387" s="28" t="s">
        <v>52</v>
      </c>
      <c r="L12387" s="28" t="s">
        <v>52</v>
      </c>
      <c r="M12387" s="28" t="s">
        <v>52</v>
      </c>
      <c r="N12387" s="28" t="s">
        <v>52</v>
      </c>
    </row>
    <row r="12388" spans="1:14" x14ac:dyDescent="0.2">
      <c r="A12388" s="23" t="str">
        <f>HYPERLINK("https://www.spark-marketing.ru/Card/Person/131602", "ООО ""ГАЗПРОМ ТРАНСГАЗ ТОМСК""")</f>
        <v>ООО "ГАЗПРОМ ТРАНСГАЗ ТОМСК"</v>
      </c>
      <c r="B12388" s="24" t="s">
        <v>14731</v>
      </c>
      <c r="C12388" s="25">
        <v>377065.91</v>
      </c>
      <c r="D12388" s="22" t="s">
        <v>14732</v>
      </c>
      <c r="E12388" s="22" t="s">
        <v>14733</v>
      </c>
      <c r="F12388" s="23" t="str">
        <f>HYPERLINK("https://www.spark-marketing.ru/Card/Lot/68633502", "Выполнение работ по техническому и сервисному обслуживанию концертного, звукового и видеооборудования для нужд Администрации ООО ""Газпром трансгаз Томск"" в 2019 - 2020 гг.")</f>
        <v>Выполнение работ по техническому и сервисному обслуживанию концертного, звукового и видеооборудования для нужд Администрации ООО "Газпром трансгаз Томск" в 2019 - 2020 гг.</v>
      </c>
      <c r="G12388" s="22" t="s">
        <v>150</v>
      </c>
      <c r="H12388" s="22" t="s">
        <v>1656</v>
      </c>
      <c r="I12388" s="26">
        <v>43536.752546296302</v>
      </c>
      <c r="J12388" s="23" t="str">
        <f>HYPERLINK("https://www.spark-marketing.ru/Card/Person/-1", "неизвестно")</f>
        <v>неизвестно</v>
      </c>
      <c r="K12388" s="28" t="s">
        <v>52</v>
      </c>
      <c r="L12388" s="22" t="s">
        <v>10</v>
      </c>
      <c r="M12388" s="25">
        <v>377027.02</v>
      </c>
      <c r="N12388" s="27">
        <v>1.0313846722447012E-4</v>
      </c>
    </row>
    <row r="12389" spans="1:14" x14ac:dyDescent="0.15">
      <c r="A12389" s="23" t="str">
        <f>HYPERLINK("https://www.spark-marketing.ru/Card/Person/35198", "ФКУ ""ДЕЗ СКИТР""")</f>
        <v>ФКУ "ДЕЗ СКИТР"</v>
      </c>
      <c r="B12389" s="24" t="s">
        <v>2310</v>
      </c>
      <c r="C12389" s="25">
        <v>71149.64</v>
      </c>
      <c r="D12389" s="22" t="s">
        <v>14734</v>
      </c>
      <c r="E12389" s="22" t="s">
        <v>53</v>
      </c>
      <c r="F12389" s="23" t="str">
        <f>HYPERLINK("https://www.spark-marketing.ru/Card/Lot/70796404", "на оказание услуг по техническому обслуживанию видеонаблюдения нежилого здания по адресу: г. Москва, ул. Архитектора Власова, д.21, стр.3.")</f>
        <v>на оказание услуг по техническому обслуживанию видеонаблюдения нежилого здания по адресу: г. Москва, ул. Архитектора Власова, д.21, стр.3.</v>
      </c>
      <c r="G12389" s="22" t="s">
        <v>55</v>
      </c>
      <c r="H12389" s="22" t="s">
        <v>55</v>
      </c>
      <c r="I12389" s="26">
        <v>43536.727476851898</v>
      </c>
      <c r="J12389" s="28" t="s">
        <v>52</v>
      </c>
      <c r="K12389" s="28" t="s">
        <v>52</v>
      </c>
      <c r="L12389" s="28" t="s">
        <v>52</v>
      </c>
      <c r="M12389" s="28" t="s">
        <v>52</v>
      </c>
      <c r="N12389" s="28" t="s">
        <v>52</v>
      </c>
    </row>
    <row r="12390" spans="1:14" x14ac:dyDescent="0.15">
      <c r="A12390" s="23" t="str">
        <f>HYPERLINK("https://www.spark-marketing.ru/Card/Person/1011652", "МКУ ""УСЗН КИРОВСКОГО РАЙОНА Г. РОСТОВА-НА-ДОНУ""")</f>
        <v>МКУ "УСЗН КИРОВСКОГО РАЙОНА Г. РОСТОВА-НА-ДОНУ"</v>
      </c>
      <c r="B12390" s="24" t="s">
        <v>14735</v>
      </c>
      <c r="C12390" s="25">
        <v>315000</v>
      </c>
      <c r="D12390" s="22" t="s">
        <v>14736</v>
      </c>
      <c r="E12390" s="22" t="s">
        <v>68</v>
      </c>
      <c r="F12390" s="23" t="str">
        <f>HYPERLINK("https://www.spark-marketing.ru/Card/Lot/68643114", "Оказание услуг по обеспечению физической охраны помещения МКУ «УСЗН Кировского района г. Ростова-на-Дону», расположенного на первом этаже многоквартирного жилого дома по адресу: г. Ростов-на-Дону, пр. Ворошиловский, д. 52 и прилегающей территории")</f>
        <v>Оказание услуг по обеспечению физической охраны помещения МКУ «УСЗН Кировского района г. Ростова-на-Дону», расположенного на первом этаже многоквартирного жилого дома по адресу: г. Ростов-на-Дону, пр. Ворошиловский, д. 52 и прилегающей территории</v>
      </c>
      <c r="G12390" s="22" t="s">
        <v>402</v>
      </c>
      <c r="H12390" s="22" t="s">
        <v>403</v>
      </c>
      <c r="I12390" s="26">
        <v>43536.722222222197</v>
      </c>
      <c r="J12390" s="28" t="s">
        <v>52</v>
      </c>
      <c r="K12390" s="28" t="s">
        <v>52</v>
      </c>
      <c r="L12390" s="28" t="s">
        <v>52</v>
      </c>
      <c r="M12390" s="28" t="s">
        <v>52</v>
      </c>
      <c r="N12390" s="28" t="s">
        <v>52</v>
      </c>
    </row>
    <row r="12391" spans="1:14" hidden="1" outlineLevel="1" x14ac:dyDescent="0.2">
      <c r="A12391" s="23" t="str">
        <f>HYPERLINK("https://www.spark-marketing.ru/Card/Person/1011652", "МКУ ""УСЗН КИРОВСКОГО РАЙОНА Г. РОСТОВА-НА-ДОНУ""")</f>
        <v>МКУ "УСЗН КИРОВСКОГО РАЙОНА Г. РОСТОВА-НА-ДОНУ"</v>
      </c>
      <c r="B12391" s="24" t="s">
        <v>14735</v>
      </c>
      <c r="C12391" s="25">
        <v>315000</v>
      </c>
      <c r="D12391" s="22" t="s">
        <v>14736</v>
      </c>
      <c r="E12391" s="22" t="s">
        <v>68</v>
      </c>
      <c r="F12391" s="23" t="str">
        <f>HYPERLINK("https://www.spark-marketing.ru/Card/Lot/68643114", "Оказание услуг по обеспечению физической охраны помещения МКУ «УСЗН Кировского района г. Ростова-на-Дону», расположенного на первом этаже многоквартирного жилого дома по адресу: г. Ростов-на-Дону, пр. Ворошиловский, д. 52 и прилегающей территории")</f>
        <v>Оказание услуг по обеспечению физической охраны помещения МКУ «УСЗН Кировского района г. Ростова-на-Дону», расположенного на первом этаже многоквартирного жилого дома по адресу: г. Ростов-на-Дону, пр. Ворошиловский, д. 52 и прилегающей территории</v>
      </c>
      <c r="G12391" s="22" t="s">
        <v>402</v>
      </c>
      <c r="H12391" s="22" t="s">
        <v>403</v>
      </c>
      <c r="I12391" s="26">
        <v>43536.722222222197</v>
      </c>
      <c r="J12391" s="23" t="str">
        <f>HYPERLINK("https://www.spark-marketing.ru/Card/Person/1440053", "ООО ""ОП ""АГАТ""")</f>
        <v>ООО "ОП "АГАТ"</v>
      </c>
      <c r="K12391" s="24" t="s">
        <v>9006</v>
      </c>
      <c r="L12391" s="28" t="s">
        <v>52</v>
      </c>
      <c r="M12391" s="25">
        <v>190050</v>
      </c>
      <c r="N12391" s="27">
        <v>0.39666666666666667</v>
      </c>
    </row>
    <row r="12392" spans="1:14" hidden="1" outlineLevel="1" x14ac:dyDescent="0.2">
      <c r="A12392" s="23" t="str">
        <f>HYPERLINK("https://www.spark-marketing.ru/Card/Person/1011652", "МКУ ""УСЗН КИРОВСКОГО РАЙОНА Г. РОСТОВА-НА-ДОНУ""")</f>
        <v>МКУ "УСЗН КИРОВСКОГО РАЙОНА Г. РОСТОВА-НА-ДОНУ"</v>
      </c>
      <c r="B12392" s="24" t="s">
        <v>14735</v>
      </c>
      <c r="C12392" s="25">
        <v>315000</v>
      </c>
      <c r="D12392" s="22" t="s">
        <v>14736</v>
      </c>
      <c r="E12392" s="22" t="s">
        <v>68</v>
      </c>
      <c r="F12392" s="23" t="str">
        <f>HYPERLINK("https://www.spark-marketing.ru/Card/Lot/68643114", "Оказание услуг по обеспечению физической охраны помещения МКУ «УСЗН Кировского района г. Ростова-на-Дону», расположенного на первом этаже многоквартирного жилого дома по адресу: г. Ростов-на-Дону, пр. Ворошиловский, д. 52 и прилегающей территории")</f>
        <v>Оказание услуг по обеспечению физической охраны помещения МКУ «УСЗН Кировского района г. Ростова-на-Дону», расположенного на первом этаже многоквартирного жилого дома по адресу: г. Ростов-на-Дону, пр. Ворошиловский, д. 52 и прилегающей территории</v>
      </c>
      <c r="G12392" s="22" t="s">
        <v>402</v>
      </c>
      <c r="H12392" s="22" t="s">
        <v>403</v>
      </c>
      <c r="I12392" s="26">
        <v>43536.722222222197</v>
      </c>
      <c r="J12392" s="23" t="str">
        <f>HYPERLINK("https://www.spark-marketing.ru/Card/Person/2559665", "ООО ""ЧОО ""СОЮЗ""")</f>
        <v>ООО "ЧОО "СОЮЗ"</v>
      </c>
      <c r="K12392" s="24" t="s">
        <v>14737</v>
      </c>
      <c r="L12392" s="28" t="s">
        <v>52</v>
      </c>
      <c r="M12392" s="25">
        <v>313425</v>
      </c>
      <c r="N12392" s="27">
        <v>5.0000000000000001E-3</v>
      </c>
    </row>
    <row r="12393" spans="1:14" ht="12.75" hidden="1" outlineLevel="1" x14ac:dyDescent="0.2">
      <c r="A12393" s="23" t="str">
        <f>HYPERLINK("https://www.spark-marketing.ru/Card/Person/1011652", "МКУ ""УСЗН КИРОВСКОГО РАЙОНА Г. РОСТОВА-НА-ДОНУ""")</f>
        <v>МКУ "УСЗН КИРОВСКОГО РАЙОНА Г. РОСТОВА-НА-ДОНУ"</v>
      </c>
      <c r="B12393" s="24" t="s">
        <v>14735</v>
      </c>
      <c r="C12393" s="25">
        <v>315000</v>
      </c>
      <c r="D12393" s="22" t="s">
        <v>14736</v>
      </c>
      <c r="E12393" s="22" t="s">
        <v>68</v>
      </c>
      <c r="F12393" s="23" t="str">
        <f>HYPERLINK("https://www.spark-marketing.ru/Card/Lot/68643114", "Оказание услуг по обеспечению физической охраны помещения МКУ «УСЗН Кировского района г. Ростова-на-Дону», расположенного на первом этаже многоквартирного жилого дома по адресу: г. Ростов-на-Дону, пр. Ворошиловский, д. 52 и прилегающей территории")</f>
        <v>Оказание услуг по обеспечению физической охраны помещения МКУ «УСЗН Кировского района г. Ростова-на-Дону», расположенного на первом этаже многоквартирного жилого дома по адресу: г. Ростов-на-Дону, пр. Ворошиловский, д. 52 и прилегающей территории</v>
      </c>
      <c r="G12393" s="22" t="s">
        <v>402</v>
      </c>
      <c r="H12393" s="22" t="s">
        <v>403</v>
      </c>
      <c r="I12393" s="26">
        <v>43536.722222222197</v>
      </c>
      <c r="J12393" s="23" t="str">
        <f>HYPERLINK("https://www.spark-marketing.ru/Card/Person/780388", "ООО ЧОО ""ФРЕГАТ-12""")</f>
        <v>ООО ЧОО "ФРЕГАТ-12"</v>
      </c>
      <c r="K12393" s="24" t="s">
        <v>14738</v>
      </c>
      <c r="L12393" s="22" t="s">
        <v>10</v>
      </c>
      <c r="M12393" s="25">
        <v>188475</v>
      </c>
      <c r="N12393" s="27">
        <v>0.40166666666666667</v>
      </c>
    </row>
    <row r="12394" spans="1:14" x14ac:dyDescent="0.15">
      <c r="A12394" s="23" t="str">
        <f>HYPERLINK("https://www.spark-marketing.ru/Card/Person/32440", "ГБУЗ НО ""КРАСНОБАКОВСКАЯ ЦЕНТРАЛЬНАЯ РАЙОННАЯ БОЛЬНИЦА""")</f>
        <v>ГБУЗ НО "КРАСНОБАКОВСКАЯ ЦЕНТРАЛЬНАЯ РАЙОННАЯ БОЛЬНИЦА"</v>
      </c>
      <c r="B12394" s="24" t="s">
        <v>14739</v>
      </c>
      <c r="C12394" s="25">
        <v>373475.97</v>
      </c>
      <c r="D12394" s="22" t="s">
        <v>14740</v>
      </c>
      <c r="E12394" s="22" t="s">
        <v>68</v>
      </c>
      <c r="F12394" s="23" t="str">
        <f>HYPERLINK("https://www.spark-marketing.ru/Card/Lot/68642877", "Оказание услуг по пультовой охране")</f>
        <v>Оказание услуг по пультовой охране</v>
      </c>
      <c r="G12394" s="22" t="s">
        <v>64</v>
      </c>
      <c r="H12394" s="22" t="s">
        <v>14741</v>
      </c>
      <c r="I12394" s="26">
        <v>43536.738888888904</v>
      </c>
      <c r="J12394" s="28" t="s">
        <v>52</v>
      </c>
      <c r="K12394" s="28" t="s">
        <v>52</v>
      </c>
      <c r="L12394" s="28" t="s">
        <v>52</v>
      </c>
      <c r="M12394" s="28" t="s">
        <v>52</v>
      </c>
      <c r="N12394" s="28" t="s">
        <v>52</v>
      </c>
    </row>
    <row r="12395" spans="1:14" ht="12.75" hidden="1" outlineLevel="1" x14ac:dyDescent="0.2">
      <c r="A12395" s="23" t="str">
        <f>HYPERLINK("https://www.spark-marketing.ru/Card/Person/32440", "ГБУЗ НО ""КРАСНОБАКОВСКАЯ ЦЕНТРАЛЬНАЯ РАЙОННАЯ БОЛЬНИЦА""")</f>
        <v>ГБУЗ НО "КРАСНОБАКОВСКАЯ ЦЕНТРАЛЬНАЯ РАЙОННАЯ БОЛЬНИЦА"</v>
      </c>
      <c r="B12395" s="24" t="s">
        <v>14739</v>
      </c>
      <c r="C12395" s="25">
        <v>373475.97</v>
      </c>
      <c r="D12395" s="22" t="s">
        <v>14740</v>
      </c>
      <c r="E12395" s="22" t="s">
        <v>68</v>
      </c>
      <c r="F12395" s="23" t="str">
        <f>HYPERLINK("https://www.spark-marketing.ru/Card/Lot/68642877", "Оказание услуг по пультовой охране")</f>
        <v>Оказание услуг по пультовой охране</v>
      </c>
      <c r="G12395" s="22" t="s">
        <v>64</v>
      </c>
      <c r="H12395" s="22" t="s">
        <v>14741</v>
      </c>
      <c r="I12395" s="26">
        <v>43536.738888888904</v>
      </c>
      <c r="J12395" s="23" t="str">
        <f>HYPERLINK("https://www.spark-marketing.ru/Card/Person/10487", "ФГУП ""ОХРАНА"" РОСГВАРДИИ")</f>
        <v>ФГУП "ОХРАНА" РОСГВАРДИИ</v>
      </c>
      <c r="K12395" s="24" t="s">
        <v>779</v>
      </c>
      <c r="L12395" s="22" t="s">
        <v>10</v>
      </c>
      <c r="M12395" s="25">
        <v>164775.6</v>
      </c>
      <c r="N12395" s="27">
        <v>0.55880534964538686</v>
      </c>
    </row>
    <row r="12396" spans="1:14" hidden="1" outlineLevel="1" x14ac:dyDescent="0.2">
      <c r="A12396" s="23" t="str">
        <f>HYPERLINK("https://www.spark-marketing.ru/Card/Person/32440", "ГБУЗ НО ""КРАСНОБАКОВСКАЯ ЦЕНТРАЛЬНАЯ РАЙОННАЯ БОЛЬНИЦА""")</f>
        <v>ГБУЗ НО "КРАСНОБАКОВСКАЯ ЦЕНТРАЛЬНАЯ РАЙОННАЯ БОЛЬНИЦА"</v>
      </c>
      <c r="B12396" s="24" t="s">
        <v>14739</v>
      </c>
      <c r="C12396" s="25">
        <v>373475.97</v>
      </c>
      <c r="D12396" s="22" t="s">
        <v>14740</v>
      </c>
      <c r="E12396" s="22" t="s">
        <v>68</v>
      </c>
      <c r="F12396" s="23" t="str">
        <f>HYPERLINK("https://www.spark-marketing.ru/Card/Lot/68642877", "Оказание услуг по пультовой охране")</f>
        <v>Оказание услуг по пультовой охране</v>
      </c>
      <c r="G12396" s="22" t="s">
        <v>64</v>
      </c>
      <c r="H12396" s="22" t="s">
        <v>14741</v>
      </c>
      <c r="I12396" s="26">
        <v>43536.738888888904</v>
      </c>
      <c r="J12396" s="23" t="str">
        <f>HYPERLINK("https://www.spark-marketing.ru/Card/Person/4857369", "ООО ""ЗАЩИТА - НН""")</f>
        <v>ООО "ЗАЩИТА - НН"</v>
      </c>
      <c r="K12396" s="24" t="s">
        <v>14633</v>
      </c>
      <c r="L12396" s="28" t="s">
        <v>52</v>
      </c>
      <c r="M12396" s="25">
        <v>315000</v>
      </c>
      <c r="N12396" s="27">
        <v>0.1565722421177459</v>
      </c>
    </row>
    <row r="12397" spans="1:14" hidden="1" outlineLevel="1" x14ac:dyDescent="0.2">
      <c r="A12397" s="23" t="str">
        <f>HYPERLINK("https://www.spark-marketing.ru/Card/Person/32440", "ГБУЗ НО ""КРАСНОБАКОВСКАЯ ЦЕНТРАЛЬНАЯ РАЙОННАЯ БОЛЬНИЦА""")</f>
        <v>ГБУЗ НО "КРАСНОБАКОВСКАЯ ЦЕНТРАЛЬНАЯ РАЙОННАЯ БОЛЬНИЦА"</v>
      </c>
      <c r="B12397" s="24" t="s">
        <v>14739</v>
      </c>
      <c r="C12397" s="25">
        <v>373475.97</v>
      </c>
      <c r="D12397" s="22" t="s">
        <v>14740</v>
      </c>
      <c r="E12397" s="22" t="s">
        <v>68</v>
      </c>
      <c r="F12397" s="23" t="str">
        <f>HYPERLINK("https://www.spark-marketing.ru/Card/Lot/68642877", "Оказание услуг по пультовой охране")</f>
        <v>Оказание услуг по пультовой охране</v>
      </c>
      <c r="G12397" s="22" t="s">
        <v>64</v>
      </c>
      <c r="H12397" s="22" t="s">
        <v>14741</v>
      </c>
      <c r="I12397" s="26">
        <v>43536.738888888904</v>
      </c>
      <c r="J12397" s="23" t="str">
        <f>HYPERLINK("https://www.spark-marketing.ru/Card/Person/37771", "ООО СОФ ""ТИТАН""")</f>
        <v>ООО СОФ "ТИТАН"</v>
      </c>
      <c r="K12397" s="24" t="s">
        <v>14742</v>
      </c>
      <c r="L12397" s="28" t="s">
        <v>52</v>
      </c>
      <c r="M12397" s="25">
        <v>333000</v>
      </c>
      <c r="N12397" s="27">
        <v>0.10837637023875994</v>
      </c>
    </row>
    <row r="12398" spans="1:14" hidden="1" outlineLevel="1" x14ac:dyDescent="0.2">
      <c r="A12398" s="23" t="str">
        <f>HYPERLINK("https://www.spark-marketing.ru/Card/Person/32440", "ГБУЗ НО ""КРАСНОБАКОВСКАЯ ЦЕНТРАЛЬНАЯ РАЙОННАЯ БОЛЬНИЦА""")</f>
        <v>ГБУЗ НО "КРАСНОБАКОВСКАЯ ЦЕНТРАЛЬНАЯ РАЙОННАЯ БОЛЬНИЦА"</v>
      </c>
      <c r="B12398" s="24" t="s">
        <v>14739</v>
      </c>
      <c r="C12398" s="25">
        <v>373475.97</v>
      </c>
      <c r="D12398" s="22" t="s">
        <v>14740</v>
      </c>
      <c r="E12398" s="22" t="s">
        <v>68</v>
      </c>
      <c r="F12398" s="23" t="str">
        <f>HYPERLINK("https://www.spark-marketing.ru/Card/Lot/68642877", "Оказание услуг по пультовой охране")</f>
        <v>Оказание услуг по пультовой охране</v>
      </c>
      <c r="G12398" s="22" t="s">
        <v>64</v>
      </c>
      <c r="H12398" s="22" t="s">
        <v>14741</v>
      </c>
      <c r="I12398" s="26">
        <v>43536.738888888904</v>
      </c>
      <c r="J12398" s="23" t="str">
        <f>HYPERLINK("https://www.spark-marketing.ru/Card/Person/4574050", "ООО ЧОО ""АРСЕНАЛ""")</f>
        <v>ООО ЧОО "АРСЕНАЛ"</v>
      </c>
      <c r="K12398" s="24" t="s">
        <v>14743</v>
      </c>
      <c r="L12398" s="28" t="s">
        <v>52</v>
      </c>
      <c r="M12398" s="25">
        <v>337500</v>
      </c>
      <c r="N12398" s="27">
        <v>9.6327402269013457E-2</v>
      </c>
    </row>
    <row r="12399" spans="1:14" x14ac:dyDescent="0.2">
      <c r="A12399" s="23" t="str">
        <f>HYPERLINK("https://www.spark-marketing.ru/Card/Person/104437", "МАОУ СОШ № 1 ЩМР МО")</f>
        <v>МАОУ СОШ № 1 ЩМР МО</v>
      </c>
      <c r="B12399" s="24" t="s">
        <v>14744</v>
      </c>
      <c r="C12399" s="25">
        <v>168000</v>
      </c>
      <c r="D12399" s="22" t="s">
        <v>14745</v>
      </c>
      <c r="E12399" s="22" t="s">
        <v>691</v>
      </c>
      <c r="F12399" s="23" t="str">
        <f>HYPERLINK("https://www.spark-marketing.ru/Card/Lot/68641806", "Оказания услуг по установке и отладке технического оборудования (видеонаблюдения)")</f>
        <v>Оказания услуг по установке и отладке технического оборудования (видеонаблюдения)</v>
      </c>
      <c r="G12399" s="22" t="s">
        <v>50</v>
      </c>
      <c r="H12399" s="22" t="s">
        <v>458</v>
      </c>
      <c r="I12399" s="26">
        <v>43536.749837962998</v>
      </c>
      <c r="J12399" s="23" t="str">
        <f>HYPERLINK("https://www.spark-marketing.ru/Card/Person/1386838", "ООО ""ЧОО ""ТИТАН - К""")</f>
        <v>ООО "ЧОО "ТИТАН - К"</v>
      </c>
      <c r="K12399" s="24" t="s">
        <v>14746</v>
      </c>
      <c r="L12399" s="28" t="s">
        <v>52</v>
      </c>
      <c r="M12399" s="25">
        <v>168000</v>
      </c>
      <c r="N12399" s="27">
        <v>0</v>
      </c>
    </row>
    <row r="12400" spans="1:14" x14ac:dyDescent="0.15">
      <c r="A12400" s="23" t="str">
        <f>HYPERLINK("https://www.spark-marketing.ru/Card/Person/57291", "МБУ ДО ""ДМШ ИМ. В.В.АНДРЕЕВА""")</f>
        <v>МБУ ДО "ДМШ ИМ. В.В.АНДРЕЕВА"</v>
      </c>
      <c r="B12400" s="24" t="s">
        <v>14747</v>
      </c>
      <c r="C12400" s="25">
        <v>837408</v>
      </c>
      <c r="D12400" s="22" t="s">
        <v>14748</v>
      </c>
      <c r="E12400" s="22" t="s">
        <v>68</v>
      </c>
      <c r="F12400" s="23" t="str">
        <f>HYPERLINK("https://www.spark-marketing.ru/Card/Lot/68634396", "Оказание услуг по охране объектов")</f>
        <v>Оказание услуг по охране объектов</v>
      </c>
      <c r="G12400" s="22" t="s">
        <v>119</v>
      </c>
      <c r="H12400" s="22" t="s">
        <v>119</v>
      </c>
      <c r="I12400" s="26">
        <v>43536.676388888904</v>
      </c>
      <c r="J12400" s="28" t="s">
        <v>52</v>
      </c>
      <c r="K12400" s="28" t="s">
        <v>52</v>
      </c>
      <c r="L12400" s="28" t="s">
        <v>52</v>
      </c>
      <c r="M12400" s="28" t="s">
        <v>52</v>
      </c>
      <c r="N12400" s="28" t="s">
        <v>52</v>
      </c>
    </row>
    <row r="12401" spans="1:14" hidden="1" outlineLevel="1" x14ac:dyDescent="0.2">
      <c r="A12401" s="23" t="str">
        <f>HYPERLINK("https://www.spark-marketing.ru/Card/Person/57291", "МБУ ДО ""ДМШ ИМ. В.В.АНДРЕЕВА""")</f>
        <v>МБУ ДО "ДМШ ИМ. В.В.АНДРЕЕВА"</v>
      </c>
      <c r="B12401" s="24" t="s">
        <v>14747</v>
      </c>
      <c r="C12401" s="25">
        <v>837408</v>
      </c>
      <c r="D12401" s="22" t="s">
        <v>14748</v>
      </c>
      <c r="E12401" s="22" t="s">
        <v>68</v>
      </c>
      <c r="F12401" s="23" t="str">
        <f>HYPERLINK("https://www.spark-marketing.ru/Card/Lot/68634396", "Оказание услуг по охране объектов")</f>
        <v>Оказание услуг по охране объектов</v>
      </c>
      <c r="G12401" s="22" t="s">
        <v>119</v>
      </c>
      <c r="H12401" s="22" t="s">
        <v>119</v>
      </c>
      <c r="I12401" s="26">
        <v>43536.676388888904</v>
      </c>
      <c r="J12401" s="23" t="str">
        <f>HYPERLINK("https://www.spark-marketing.ru/Card/Person/58449", "ООО ""ЧОП ""ДОЗОР""")</f>
        <v>ООО "ЧОП "ДОЗОР"</v>
      </c>
      <c r="K12401" s="24" t="s">
        <v>13228</v>
      </c>
      <c r="L12401" s="28" t="s">
        <v>52</v>
      </c>
      <c r="M12401" s="25">
        <v>640617.12</v>
      </c>
      <c r="N12401" s="27">
        <v>0.23499999999999999</v>
      </c>
    </row>
    <row r="12402" spans="1:14" hidden="1" outlineLevel="1" x14ac:dyDescent="0.2">
      <c r="A12402" s="23" t="str">
        <f>HYPERLINK("https://www.spark-marketing.ru/Card/Person/57291", "МБУ ДО ""ДМШ ИМ. В.В.АНДРЕЕВА""")</f>
        <v>МБУ ДО "ДМШ ИМ. В.В.АНДРЕЕВА"</v>
      </c>
      <c r="B12402" s="24" t="s">
        <v>14747</v>
      </c>
      <c r="C12402" s="25">
        <v>837408</v>
      </c>
      <c r="D12402" s="22" t="s">
        <v>14748</v>
      </c>
      <c r="E12402" s="22" t="s">
        <v>68</v>
      </c>
      <c r="F12402" s="23" t="str">
        <f>HYPERLINK("https://www.spark-marketing.ru/Card/Lot/68634396", "Оказание услуг по охране объектов")</f>
        <v>Оказание услуг по охране объектов</v>
      </c>
      <c r="G12402" s="22" t="s">
        <v>119</v>
      </c>
      <c r="H12402" s="22" t="s">
        <v>119</v>
      </c>
      <c r="I12402" s="26">
        <v>43536.676388888904</v>
      </c>
      <c r="J12402" s="23" t="str">
        <f>HYPERLINK("https://www.spark-marketing.ru/Card/Person/92083", "ООО ЧОО ""СЕВЕР-С""")</f>
        <v>ООО ЧОО "СЕВЕР-С"</v>
      </c>
      <c r="K12402" s="24" t="s">
        <v>1964</v>
      </c>
      <c r="L12402" s="28" t="s">
        <v>52</v>
      </c>
      <c r="M12402" s="25">
        <v>703422</v>
      </c>
      <c r="N12402" s="27">
        <v>0.16000085979594175</v>
      </c>
    </row>
    <row r="12403" spans="1:14" ht="12.75" hidden="1" outlineLevel="1" x14ac:dyDescent="0.2">
      <c r="A12403" s="23" t="str">
        <f>HYPERLINK("https://www.spark-marketing.ru/Card/Person/57291", "МБУ ДО ""ДМШ ИМ. В.В.АНДРЕЕВА""")</f>
        <v>МБУ ДО "ДМШ ИМ. В.В.АНДРЕЕВА"</v>
      </c>
      <c r="B12403" s="24" t="s">
        <v>14747</v>
      </c>
      <c r="C12403" s="25">
        <v>837408</v>
      </c>
      <c r="D12403" s="22" t="s">
        <v>14748</v>
      </c>
      <c r="E12403" s="22" t="s">
        <v>68</v>
      </c>
      <c r="F12403" s="23" t="str">
        <f>HYPERLINK("https://www.spark-marketing.ru/Card/Lot/68634396", "Оказание услуг по охране объектов")</f>
        <v>Оказание услуг по охране объектов</v>
      </c>
      <c r="G12403" s="22" t="s">
        <v>119</v>
      </c>
      <c r="H12403" s="22" t="s">
        <v>119</v>
      </c>
      <c r="I12403" s="26">
        <v>43536.676388888904</v>
      </c>
      <c r="J12403" s="23" t="str">
        <f>HYPERLINK("https://www.spark-marketing.ru/Card/Person/1604", "ООО ЧОО ""КРЫМ""")</f>
        <v>ООО ЧОО "КРЫМ"</v>
      </c>
      <c r="K12403" s="24" t="s">
        <v>14307</v>
      </c>
      <c r="L12403" s="22" t="s">
        <v>10</v>
      </c>
      <c r="M12403" s="25">
        <v>640617.12</v>
      </c>
      <c r="N12403" s="27">
        <v>0.23499999999999999</v>
      </c>
    </row>
    <row r="12404" spans="1:14" hidden="1" outlineLevel="1" x14ac:dyDescent="0.2">
      <c r="A12404" s="23" t="str">
        <f>HYPERLINK("https://www.spark-marketing.ru/Card/Person/57291", "МБУ ДО ""ДМШ ИМ. В.В.АНДРЕЕВА""")</f>
        <v>МБУ ДО "ДМШ ИМ. В.В.АНДРЕЕВА"</v>
      </c>
      <c r="B12404" s="24" t="s">
        <v>14747</v>
      </c>
      <c r="C12404" s="25">
        <v>837408</v>
      </c>
      <c r="D12404" s="22" t="s">
        <v>14748</v>
      </c>
      <c r="E12404" s="22" t="s">
        <v>68</v>
      </c>
      <c r="F12404" s="23" t="str">
        <f>HYPERLINK("https://www.spark-marketing.ru/Card/Lot/68634396", "Оказание услуг по охране объектов")</f>
        <v>Оказание услуг по охране объектов</v>
      </c>
      <c r="G12404" s="22" t="s">
        <v>119</v>
      </c>
      <c r="H12404" s="22" t="s">
        <v>119</v>
      </c>
      <c r="I12404" s="26">
        <v>43536.676388888904</v>
      </c>
      <c r="J12404" s="23" t="str">
        <f>HYPERLINK("https://www.spark-marketing.ru/Card/Person/4851642", "ООО ЧОО ""ОЛИМП-БЕЗОПАСНОСТЬ""")</f>
        <v>ООО ЧОО "ОЛИМП-БЕЗОПАСНОСТЬ"</v>
      </c>
      <c r="K12404" s="24" t="s">
        <v>5255</v>
      </c>
      <c r="L12404" s="28" t="s">
        <v>52</v>
      </c>
      <c r="M12404" s="25">
        <v>644804.16</v>
      </c>
      <c r="N12404" s="27">
        <v>0.23</v>
      </c>
    </row>
    <row r="12405" spans="1:14" x14ac:dyDescent="0.15">
      <c r="A12405" s="23" t="str">
        <f>HYPERLINK("https://www.spark-marketing.ru/Card/Person/56696", "ГБУ НАО ""НЕНЕЦКИЙ РЕГИОНАЛЬНЫЙ ЦЕНТР РАЗВИТИЯ ОБРАЗОВАНИЯ"", ГБУ НАО ""НРЦРО""")</f>
        <v>ГБУ НАО "НЕНЕЦКИЙ РЕГИОНАЛЬНЫЙ ЦЕНТР РАЗВИТИЯ ОБРАЗОВАНИЯ", ГБУ НАО "НРЦРО"</v>
      </c>
      <c r="B12405" s="24" t="s">
        <v>14749</v>
      </c>
      <c r="C12405" s="25">
        <v>204500</v>
      </c>
      <c r="D12405" s="22" t="s">
        <v>14750</v>
      </c>
      <c r="E12405" s="22" t="s">
        <v>84</v>
      </c>
      <c r="F12405" s="23" t="str">
        <f>HYPERLINK("https://www.spark-marketing.ru/Card/Lot/68642773", "Поставка и монтаж турникета, оборудованного системой контроля и управления доступом, включая установку видеонаблюдения")</f>
        <v>Поставка и монтаж турникета, оборудованного системой контроля и управления доступом, включая установку видеонаблюдения</v>
      </c>
      <c r="G12405" s="22" t="s">
        <v>1014</v>
      </c>
      <c r="H12405" s="22" t="s">
        <v>1015</v>
      </c>
      <c r="I12405" s="26">
        <v>43536.698611111096</v>
      </c>
      <c r="J12405" s="28" t="s">
        <v>52</v>
      </c>
      <c r="K12405" s="28" t="s">
        <v>52</v>
      </c>
      <c r="L12405" s="28" t="s">
        <v>52</v>
      </c>
      <c r="M12405" s="28" t="s">
        <v>52</v>
      </c>
      <c r="N12405" s="28" t="s">
        <v>52</v>
      </c>
    </row>
    <row r="12406" spans="1:14" ht="12.75" hidden="1" outlineLevel="1" x14ac:dyDescent="0.2">
      <c r="A12406" s="23" t="str">
        <f>HYPERLINK("https://www.spark-marketing.ru/Card/Person/56696", "ГБУ НАО ""НЕНЕЦКИЙ РЕГИОНАЛЬНЫЙ ЦЕНТР РАЗВИТИЯ ОБРАЗОВАНИЯ"", ГБУ НАО ""НРЦРО""")</f>
        <v>ГБУ НАО "НЕНЕЦКИЙ РЕГИОНАЛЬНЫЙ ЦЕНТР РАЗВИТИЯ ОБРАЗОВАНИЯ", ГБУ НАО "НРЦРО"</v>
      </c>
      <c r="B12406" s="24" t="s">
        <v>14749</v>
      </c>
      <c r="C12406" s="25">
        <v>204500</v>
      </c>
      <c r="D12406" s="22" t="s">
        <v>14750</v>
      </c>
      <c r="E12406" s="22" t="s">
        <v>84</v>
      </c>
      <c r="F12406" s="23" t="str">
        <f>HYPERLINK("https://www.spark-marketing.ru/Card/Lot/68642773", "Поставка и монтаж турникета, оборудованного системой контроля и управления доступом, включая установку видеонаблюдения")</f>
        <v>Поставка и монтаж турникета, оборудованного системой контроля и управления доступом, включая установку видеонаблюдения</v>
      </c>
      <c r="G12406" s="22" t="s">
        <v>1014</v>
      </c>
      <c r="H12406" s="22" t="s">
        <v>1015</v>
      </c>
      <c r="I12406" s="26">
        <v>43536.698611111096</v>
      </c>
      <c r="J12406" s="23" t="str">
        <f>HYPERLINK("https://www.spark-marketing.ru/Card/Person/6490925", "Петунин Игорь Владимирович")</f>
        <v>Петунин Игорь Владимирович</v>
      </c>
      <c r="K12406" s="24" t="s">
        <v>14751</v>
      </c>
      <c r="L12406" s="22" t="s">
        <v>10</v>
      </c>
      <c r="M12406" s="25">
        <v>178932.5</v>
      </c>
      <c r="N12406" s="27">
        <v>0.1250244498777506</v>
      </c>
    </row>
    <row r="12407" spans="1:14" hidden="1" outlineLevel="1" x14ac:dyDescent="0.2">
      <c r="A12407" s="23" t="str">
        <f>HYPERLINK("https://www.spark-marketing.ru/Card/Person/56696", "ГБУ НАО ""НЕНЕЦКИЙ РЕГИОНАЛЬНЫЙ ЦЕНТР РАЗВИТИЯ ОБРАЗОВАНИЯ"", ГБУ НАО ""НРЦРО""")</f>
        <v>ГБУ НАО "НЕНЕЦКИЙ РЕГИОНАЛЬНЫЙ ЦЕНТР РАЗВИТИЯ ОБРАЗОВАНИЯ", ГБУ НАО "НРЦРО"</v>
      </c>
      <c r="B12407" s="24" t="s">
        <v>14749</v>
      </c>
      <c r="C12407" s="25">
        <v>204500</v>
      </c>
      <c r="D12407" s="22" t="s">
        <v>14750</v>
      </c>
      <c r="E12407" s="22" t="s">
        <v>84</v>
      </c>
      <c r="F12407" s="23" t="str">
        <f>HYPERLINK("https://www.spark-marketing.ru/Card/Lot/68642773", "Поставка и монтаж турникета, оборудованного системой контроля и управления доступом, включая установку видеонаблюдения")</f>
        <v>Поставка и монтаж турникета, оборудованного системой контроля и управления доступом, включая установку видеонаблюдения</v>
      </c>
      <c r="G12407" s="22" t="s">
        <v>1014</v>
      </c>
      <c r="H12407" s="22" t="s">
        <v>1015</v>
      </c>
      <c r="I12407" s="26">
        <v>43536.698611111096</v>
      </c>
      <c r="J12407" s="23" t="str">
        <f>HYPERLINK("https://www.spark-marketing.ru/Card/Person/6510449", "Ардеева Лариса Ильинична")</f>
        <v>Ардеева Лариса Ильинична</v>
      </c>
      <c r="K12407" s="24" t="s">
        <v>14752</v>
      </c>
      <c r="L12407" s="28" t="s">
        <v>52</v>
      </c>
      <c r="M12407" s="25">
        <v>179955</v>
      </c>
      <c r="N12407" s="27">
        <v>0.12002444987775061</v>
      </c>
    </row>
    <row r="12408" spans="1:14" x14ac:dyDescent="0.15">
      <c r="A12408" s="23" t="str">
        <f>HYPERLINK("https://www.spark-marketing.ru/Card/Person/1479226", "ГАУ ""ТАЛИЦКИЙ ПАНСИОНАТ""")</f>
        <v>ГАУ "ТАЛИЦКИЙ ПАНСИОНАТ"</v>
      </c>
      <c r="B12408" s="24" t="s">
        <v>2479</v>
      </c>
      <c r="C12408" s="25">
        <v>509614.56</v>
      </c>
      <c r="D12408" s="22" t="s">
        <v>14753</v>
      </c>
      <c r="E12408" s="22" t="s">
        <v>144</v>
      </c>
      <c r="F12408" s="23" t="str">
        <f>HYPERLINK("https://www.spark-marketing.ru/Card/Lot/68633382", "оказание услуг физической охраны объектов ГАУ ""Талицкий пансионат"" во 2 квартале 2019 г.")</f>
        <v>оказание услуг физической охраны объектов ГАУ "Талицкий пансионат" во 2 квартале 2019 г.</v>
      </c>
      <c r="G12408" s="22" t="s">
        <v>72</v>
      </c>
      <c r="H12408" s="22" t="s">
        <v>2481</v>
      </c>
      <c r="I12408" s="26">
        <v>43536.670763888898</v>
      </c>
      <c r="J12408" s="28" t="s">
        <v>52</v>
      </c>
      <c r="K12408" s="28" t="s">
        <v>52</v>
      </c>
      <c r="L12408" s="28" t="s">
        <v>52</v>
      </c>
      <c r="M12408" s="28" t="s">
        <v>52</v>
      </c>
      <c r="N12408" s="28" t="s">
        <v>52</v>
      </c>
    </row>
    <row r="12409" spans="1:14" hidden="1" outlineLevel="1" x14ac:dyDescent="0.2">
      <c r="A12409" s="23" t="str">
        <f>HYPERLINK("https://www.spark-marketing.ru/Card/Person/1479226", "ГАУ ""ТАЛИЦКИЙ ПАНСИОНАТ""")</f>
        <v>ГАУ "ТАЛИЦКИЙ ПАНСИОНАТ"</v>
      </c>
      <c r="B12409" s="24" t="s">
        <v>2479</v>
      </c>
      <c r="C12409" s="28" t="s">
        <v>52</v>
      </c>
      <c r="D12409" s="22" t="s">
        <v>14753</v>
      </c>
      <c r="E12409" s="22" t="s">
        <v>144</v>
      </c>
      <c r="F12409" s="23" t="str">
        <f>HYPERLINK("https://www.spark-marketing.ru/Card/Lot/68633382", "оказание услуг физической охраны объектов ГАУ ""Талицкий пансионат"" во 2 квартале 2019 г.")</f>
        <v>оказание услуг физической охраны объектов ГАУ "Талицкий пансионат" во 2 квартале 2019 г.</v>
      </c>
      <c r="G12409" s="22" t="s">
        <v>72</v>
      </c>
      <c r="H12409" s="22" t="s">
        <v>2481</v>
      </c>
      <c r="I12409" s="26">
        <v>43536.670763888898</v>
      </c>
      <c r="J12409" s="23" t="str">
        <f>HYPERLINK("https://www.spark-marketing.ru/Card/Person/4499550", "ООО НЧОП ""ТЮМЕНСКИЙ ЦЕНТР ПО ОХРАНЕ И БЕЗОПАСНОСТИ""")</f>
        <v>ООО НЧОП "ТЮМЕНСКИЙ ЦЕНТР ПО ОХРАНЕ И БЕЗОПАСНОСТИ"</v>
      </c>
      <c r="K12409" s="24" t="s">
        <v>14754</v>
      </c>
      <c r="L12409" s="28" t="s">
        <v>52</v>
      </c>
      <c r="M12409" s="25">
        <v>460824</v>
      </c>
      <c r="N12409" s="27">
        <v>9.5740121710808257E-2</v>
      </c>
    </row>
    <row r="12410" spans="1:14" hidden="1" outlineLevel="1" x14ac:dyDescent="0.2">
      <c r="A12410" s="23" t="str">
        <f>HYPERLINK("https://www.spark-marketing.ru/Card/Person/1479226", "ГАУ ""ТАЛИЦКИЙ ПАНСИОНАТ""")</f>
        <v>ГАУ "ТАЛИЦКИЙ ПАНСИОНАТ"</v>
      </c>
      <c r="B12410" s="24" t="s">
        <v>2479</v>
      </c>
      <c r="C12410" s="28" t="s">
        <v>52</v>
      </c>
      <c r="D12410" s="22" t="s">
        <v>14753</v>
      </c>
      <c r="E12410" s="22" t="s">
        <v>144</v>
      </c>
      <c r="F12410" s="23" t="str">
        <f>HYPERLINK("https://www.spark-marketing.ru/Card/Lot/68633382", "оказание услуг физической охраны объектов ГАУ ""Талицкий пансионат"" во 2 квартале 2019 г.")</f>
        <v>оказание услуг физической охраны объектов ГАУ "Талицкий пансионат" во 2 квартале 2019 г.</v>
      </c>
      <c r="G12410" s="22" t="s">
        <v>72</v>
      </c>
      <c r="H12410" s="22" t="s">
        <v>2481</v>
      </c>
      <c r="I12410" s="26">
        <v>43536.670763888898</v>
      </c>
      <c r="J12410" s="23" t="str">
        <f>HYPERLINK("https://www.spark-marketing.ru/Card/Person/804344", "ООО ""ЧОП ""ЛИНКОР""")</f>
        <v>ООО "ЧОП "ЛИНКОР"</v>
      </c>
      <c r="K12410" s="24" t="s">
        <v>9514</v>
      </c>
      <c r="L12410" s="22" t="s">
        <v>10</v>
      </c>
      <c r="M12410" s="25">
        <v>414960</v>
      </c>
      <c r="N12410" s="27">
        <v>0.18573755035570413</v>
      </c>
    </row>
    <row r="12411" spans="1:14" x14ac:dyDescent="0.15">
      <c r="A12411" s="23" t="str">
        <f t="shared" ref="A12411:A12421" si="644">HYPERLINK("https://www.spark-marketing.ru/Card/Person/6330", "УПРАВЛЕНИЕ РОССЕЛЬХОЗНАДЗОРА ПО КРАСНОДАРСКОМУ КРАЮ И РЕСПУБЛИКЕ АДЫГЕЯ")</f>
        <v>УПРАВЛЕНИЕ РОССЕЛЬХОЗНАДЗОРА ПО КРАСНОДАРСКОМУ КРАЮ И РЕСПУБЛИКЕ АДЫГЕЯ</v>
      </c>
      <c r="B12411" s="24" t="s">
        <v>14755</v>
      </c>
      <c r="C12411" s="25">
        <v>46966.67</v>
      </c>
      <c r="D12411" s="22" t="s">
        <v>14756</v>
      </c>
      <c r="E12411" s="22" t="s">
        <v>103</v>
      </c>
      <c r="F12411" s="23" t="str">
        <f t="shared" ref="F12411:F12421" si="645">HYPERLINK("https://www.spark-marketing.ru/Card/Lot/68638791", "Техническое обслуживание системы видеонаблюдения")</f>
        <v>Техническое обслуживание системы видеонаблюдения</v>
      </c>
      <c r="G12411" s="22" t="s">
        <v>132</v>
      </c>
      <c r="H12411" s="22" t="s">
        <v>132</v>
      </c>
      <c r="I12411" s="26">
        <v>43536.668055555601</v>
      </c>
      <c r="J12411" s="28" t="s">
        <v>52</v>
      </c>
      <c r="K12411" s="28" t="s">
        <v>52</v>
      </c>
      <c r="L12411" s="28" t="s">
        <v>52</v>
      </c>
      <c r="M12411" s="28" t="s">
        <v>52</v>
      </c>
      <c r="N12411" s="28" t="s">
        <v>52</v>
      </c>
    </row>
    <row r="12412" spans="1:14" hidden="1" outlineLevel="1" x14ac:dyDescent="0.2">
      <c r="A12412" s="23" t="str">
        <f t="shared" si="644"/>
        <v>УПРАВЛЕНИЕ РОССЕЛЬХОЗНАДЗОРА ПО КРАСНОДАРСКОМУ КРАЮ И РЕСПУБЛИКЕ АДЫГЕЯ</v>
      </c>
      <c r="B12412" s="24" t="s">
        <v>14755</v>
      </c>
      <c r="C12412" s="25">
        <v>46966.67</v>
      </c>
      <c r="D12412" s="22" t="s">
        <v>14756</v>
      </c>
      <c r="E12412" s="22" t="s">
        <v>103</v>
      </c>
      <c r="F12412" s="23" t="str">
        <f t="shared" si="645"/>
        <v>Техническое обслуживание системы видеонаблюдения</v>
      </c>
      <c r="G12412" s="22" t="s">
        <v>132</v>
      </c>
      <c r="H12412" s="22" t="s">
        <v>132</v>
      </c>
      <c r="I12412" s="26">
        <v>43536.668055555601</v>
      </c>
      <c r="J12412" s="23" t="str">
        <f>HYPERLINK("https://www.spark-marketing.ru/Card/Person/6504175", "Николенко Олег Николаевич")</f>
        <v>Николенко Олег Николаевич</v>
      </c>
      <c r="K12412" s="24" t="s">
        <v>14757</v>
      </c>
      <c r="L12412" s="28" t="s">
        <v>52</v>
      </c>
      <c r="M12412" s="25">
        <v>15859.01</v>
      </c>
      <c r="N12412" s="27">
        <v>0.66233480040207238</v>
      </c>
    </row>
    <row r="12413" spans="1:14" ht="12.75" hidden="1" outlineLevel="1" x14ac:dyDescent="0.2">
      <c r="A12413" s="23" t="str">
        <f t="shared" si="644"/>
        <v>УПРАВЛЕНИЕ РОССЕЛЬХОЗНАДЗОРА ПО КРАСНОДАРСКОМУ КРАЮ И РЕСПУБЛИКЕ АДЫГЕЯ</v>
      </c>
      <c r="B12413" s="24" t="s">
        <v>14755</v>
      </c>
      <c r="C12413" s="25">
        <v>46966.67</v>
      </c>
      <c r="D12413" s="22" t="s">
        <v>14756</v>
      </c>
      <c r="E12413" s="22" t="s">
        <v>103</v>
      </c>
      <c r="F12413" s="23" t="str">
        <f t="shared" si="645"/>
        <v>Техническое обслуживание системы видеонаблюдения</v>
      </c>
      <c r="G12413" s="22" t="s">
        <v>132</v>
      </c>
      <c r="H12413" s="22" t="s">
        <v>132</v>
      </c>
      <c r="I12413" s="26">
        <v>43536.668055555601</v>
      </c>
      <c r="J12413" s="23" t="str">
        <f>HYPERLINK("https://www.spark-marketing.ru/Card/Person/6142617", "ООО ""АВРОРА СБ""")</f>
        <v>ООО "АВРОРА СБ"</v>
      </c>
      <c r="K12413" s="24" t="s">
        <v>9674</v>
      </c>
      <c r="L12413" s="22" t="s">
        <v>10</v>
      </c>
      <c r="M12413" s="25">
        <v>8141.51</v>
      </c>
      <c r="N12413" s="27">
        <v>0.8266534544603652</v>
      </c>
    </row>
    <row r="12414" spans="1:14" hidden="1" outlineLevel="1" x14ac:dyDescent="0.2">
      <c r="A12414" s="23" t="str">
        <f t="shared" si="644"/>
        <v>УПРАВЛЕНИЕ РОССЕЛЬХОЗНАДЗОРА ПО КРАСНОДАРСКОМУ КРАЮ И РЕСПУБЛИКЕ АДЫГЕЯ</v>
      </c>
      <c r="B12414" s="24" t="s">
        <v>14755</v>
      </c>
      <c r="C12414" s="25">
        <v>46966.67</v>
      </c>
      <c r="D12414" s="22" t="s">
        <v>14756</v>
      </c>
      <c r="E12414" s="22" t="s">
        <v>103</v>
      </c>
      <c r="F12414" s="23" t="str">
        <f t="shared" si="645"/>
        <v>Техническое обслуживание системы видеонаблюдения</v>
      </c>
      <c r="G12414" s="22" t="s">
        <v>132</v>
      </c>
      <c r="H12414" s="22" t="s">
        <v>132</v>
      </c>
      <c r="I12414" s="26">
        <v>43536.668055555601</v>
      </c>
      <c r="J12414" s="23" t="str">
        <f>HYPERLINK("https://www.spark-marketing.ru/Card/Person/6499715", "ООО ""ДЕ ГРУПП""")</f>
        <v>ООО "ДЕ ГРУПП"</v>
      </c>
      <c r="K12414" s="24" t="s">
        <v>14758</v>
      </c>
      <c r="L12414" s="28" t="s">
        <v>52</v>
      </c>
      <c r="M12414" s="25">
        <v>25127.24</v>
      </c>
      <c r="N12414" s="27">
        <v>0.46499847657924226</v>
      </c>
    </row>
    <row r="12415" spans="1:14" hidden="1" outlineLevel="1" x14ac:dyDescent="0.2">
      <c r="A12415" s="23" t="str">
        <f t="shared" si="644"/>
        <v>УПРАВЛЕНИЕ РОССЕЛЬХОЗНАДЗОРА ПО КРАСНОДАРСКОМУ КРАЮ И РЕСПУБЛИКЕ АДЫГЕЯ</v>
      </c>
      <c r="B12415" s="24" t="s">
        <v>14755</v>
      </c>
      <c r="C12415" s="25">
        <v>46966.67</v>
      </c>
      <c r="D12415" s="22" t="s">
        <v>14756</v>
      </c>
      <c r="E12415" s="22" t="s">
        <v>103</v>
      </c>
      <c r="F12415" s="23" t="str">
        <f t="shared" si="645"/>
        <v>Техническое обслуживание системы видеонаблюдения</v>
      </c>
      <c r="G12415" s="22" t="s">
        <v>132</v>
      </c>
      <c r="H12415" s="22" t="s">
        <v>132</v>
      </c>
      <c r="I12415" s="26">
        <v>43536.668055555601</v>
      </c>
      <c r="J12415" s="23" t="str">
        <f>HYPERLINK("https://www.spark-marketing.ru/Card/Person/448052", "ООО ""ГРИФОН-ИНЖИНИРИНГ""")</f>
        <v>ООО "ГРИФОН-ИНЖИНИРИНГ"</v>
      </c>
      <c r="K12415" s="24" t="s">
        <v>14759</v>
      </c>
      <c r="L12415" s="28" t="s">
        <v>52</v>
      </c>
      <c r="M12415" s="25">
        <v>17914.14</v>
      </c>
      <c r="N12415" s="27">
        <v>0.61857759981706173</v>
      </c>
    </row>
    <row r="12416" spans="1:14" hidden="1" outlineLevel="1" x14ac:dyDescent="0.2">
      <c r="A12416" s="23" t="str">
        <f t="shared" si="644"/>
        <v>УПРАВЛЕНИЕ РОССЕЛЬХОЗНАДЗОРА ПО КРАСНОДАРСКОМУ КРАЮ И РЕСПУБЛИКЕ АДЫГЕЯ</v>
      </c>
      <c r="B12416" s="24" t="s">
        <v>14755</v>
      </c>
      <c r="C12416" s="25">
        <v>46966.67</v>
      </c>
      <c r="D12416" s="22" t="s">
        <v>14756</v>
      </c>
      <c r="E12416" s="22" t="s">
        <v>103</v>
      </c>
      <c r="F12416" s="23" t="str">
        <f t="shared" si="645"/>
        <v>Техническое обслуживание системы видеонаблюдения</v>
      </c>
      <c r="G12416" s="22" t="s">
        <v>132</v>
      </c>
      <c r="H12416" s="22" t="s">
        <v>132</v>
      </c>
      <c r="I12416" s="26">
        <v>43536.668055555601</v>
      </c>
      <c r="J12416" s="23" t="str">
        <f>HYPERLINK("https://www.spark-marketing.ru/Card/Person/6454952", "Деулин Константин Викторович")</f>
        <v>Деулин Константин Викторович</v>
      </c>
      <c r="K12416" s="24" t="s">
        <v>14760</v>
      </c>
      <c r="L12416" s="28" t="s">
        <v>52</v>
      </c>
      <c r="M12416" s="25">
        <v>39921.71</v>
      </c>
      <c r="N12416" s="27">
        <v>0.14999913768636355</v>
      </c>
    </row>
    <row r="12417" spans="1:14" hidden="1" outlineLevel="1" x14ac:dyDescent="0.2">
      <c r="A12417" s="23" t="str">
        <f t="shared" si="644"/>
        <v>УПРАВЛЕНИЕ РОССЕЛЬХОЗНАДЗОРА ПО КРАСНОДАРСКОМУ КРАЮ И РЕСПУБЛИКЕ АДЫГЕЯ</v>
      </c>
      <c r="B12417" s="24" t="s">
        <v>14755</v>
      </c>
      <c r="C12417" s="25">
        <v>46966.67</v>
      </c>
      <c r="D12417" s="22" t="s">
        <v>14756</v>
      </c>
      <c r="E12417" s="22" t="s">
        <v>103</v>
      </c>
      <c r="F12417" s="23" t="str">
        <f t="shared" si="645"/>
        <v>Техническое обслуживание системы видеонаблюдения</v>
      </c>
      <c r="G12417" s="22" t="s">
        <v>132</v>
      </c>
      <c r="H12417" s="22" t="s">
        <v>132</v>
      </c>
      <c r="I12417" s="26">
        <v>43536.668055555601</v>
      </c>
      <c r="J12417" s="23" t="str">
        <f>HYPERLINK("https://www.spark-marketing.ru/Card/Person/6496923", "Вешницкий Евгений Александрович")</f>
        <v>Вешницкий Евгений Александрович</v>
      </c>
      <c r="K12417" s="24" t="s">
        <v>14761</v>
      </c>
      <c r="L12417" s="28" t="s">
        <v>52</v>
      </c>
      <c r="M12417" s="25">
        <v>8376.34</v>
      </c>
      <c r="N12417" s="27">
        <v>0.82165352578754258</v>
      </c>
    </row>
    <row r="12418" spans="1:14" hidden="1" outlineLevel="1" x14ac:dyDescent="0.2">
      <c r="A12418" s="23" t="str">
        <f t="shared" si="644"/>
        <v>УПРАВЛЕНИЕ РОССЕЛЬХОЗНАДЗОРА ПО КРАСНОДАРСКОМУ КРАЮ И РЕСПУБЛИКЕ АДЫГЕЯ</v>
      </c>
      <c r="B12418" s="24" t="s">
        <v>14755</v>
      </c>
      <c r="C12418" s="25">
        <v>46966.67</v>
      </c>
      <c r="D12418" s="22" t="s">
        <v>14756</v>
      </c>
      <c r="E12418" s="22" t="s">
        <v>103</v>
      </c>
      <c r="F12418" s="23" t="str">
        <f t="shared" si="645"/>
        <v>Техническое обслуживание системы видеонаблюдения</v>
      </c>
      <c r="G12418" s="22" t="s">
        <v>132</v>
      </c>
      <c r="H12418" s="22" t="s">
        <v>132</v>
      </c>
      <c r="I12418" s="26">
        <v>43536.668055555601</v>
      </c>
      <c r="J12418" s="23" t="str">
        <f>HYPERLINK("https://www.spark-marketing.ru/Card/Person/54834", "ООО ""СЕТИ БЕЗОПАСНОСТИ""")</f>
        <v>ООО "СЕТИ БЕЗОПАСНОСТИ"</v>
      </c>
      <c r="K12418" s="24" t="s">
        <v>1985</v>
      </c>
      <c r="L12418" s="28" t="s">
        <v>52</v>
      </c>
      <c r="M12418" s="25">
        <v>39921.71</v>
      </c>
      <c r="N12418" s="27">
        <v>0.14999913768636355</v>
      </c>
    </row>
    <row r="12419" spans="1:14" hidden="1" outlineLevel="1" x14ac:dyDescent="0.2">
      <c r="A12419" s="23" t="str">
        <f t="shared" si="644"/>
        <v>УПРАВЛЕНИЕ РОССЕЛЬХОЗНАДЗОРА ПО КРАСНОДАРСКОМУ КРАЮ И РЕСПУБЛИКЕ АДЫГЕЯ</v>
      </c>
      <c r="B12419" s="24" t="s">
        <v>14755</v>
      </c>
      <c r="C12419" s="25">
        <v>46966.67</v>
      </c>
      <c r="D12419" s="22" t="s">
        <v>14756</v>
      </c>
      <c r="E12419" s="22" t="s">
        <v>103</v>
      </c>
      <c r="F12419" s="23" t="str">
        <f t="shared" si="645"/>
        <v>Техническое обслуживание системы видеонаблюдения</v>
      </c>
      <c r="G12419" s="22" t="s">
        <v>132</v>
      </c>
      <c r="H12419" s="22" t="s">
        <v>132</v>
      </c>
      <c r="I12419" s="26">
        <v>43536.668055555601</v>
      </c>
      <c r="J12419" s="23" t="str">
        <f>HYPERLINK("https://www.spark-marketing.ru/Card/Person/5826836", "Радченко Максим Сергеевич")</f>
        <v>Радченко Максим Сергеевич</v>
      </c>
      <c r="K12419" s="24" t="s">
        <v>10687</v>
      </c>
      <c r="L12419" s="28" t="s">
        <v>52</v>
      </c>
      <c r="M12419" s="25">
        <v>13510.68</v>
      </c>
      <c r="N12419" s="27">
        <v>0.71233472588114077</v>
      </c>
    </row>
    <row r="12420" spans="1:14" hidden="1" outlineLevel="1" x14ac:dyDescent="0.2">
      <c r="A12420" s="23" t="str">
        <f t="shared" si="644"/>
        <v>УПРАВЛЕНИЕ РОССЕЛЬХОЗНАДЗОРА ПО КРАСНОДАРСКОМУ КРАЮ И РЕСПУБЛИКЕ АДЫГЕЯ</v>
      </c>
      <c r="B12420" s="24" t="s">
        <v>14755</v>
      </c>
      <c r="C12420" s="25">
        <v>46966.67</v>
      </c>
      <c r="D12420" s="22" t="s">
        <v>14756</v>
      </c>
      <c r="E12420" s="22" t="s">
        <v>103</v>
      </c>
      <c r="F12420" s="23" t="str">
        <f t="shared" si="645"/>
        <v>Техническое обслуживание системы видеонаблюдения</v>
      </c>
      <c r="G12420" s="22" t="s">
        <v>132</v>
      </c>
      <c r="H12420" s="22" t="s">
        <v>132</v>
      </c>
      <c r="I12420" s="26">
        <v>43536.668055555601</v>
      </c>
      <c r="J12420" s="23" t="str">
        <f>HYPERLINK("https://www.spark-marketing.ru/Card/Person/54314", "ООО ""ТЕХНО-ДЖИ""")</f>
        <v>ООО "ТЕХНО-ДЖИ"</v>
      </c>
      <c r="K12420" s="24" t="s">
        <v>14762</v>
      </c>
      <c r="L12420" s="28" t="s">
        <v>52</v>
      </c>
      <c r="M12420" s="25">
        <v>35200</v>
      </c>
      <c r="N12420" s="27">
        <v>0.25053234559742049</v>
      </c>
    </row>
    <row r="12421" spans="1:14" hidden="1" outlineLevel="1" x14ac:dyDescent="0.2">
      <c r="A12421" s="23" t="str">
        <f t="shared" si="644"/>
        <v>УПРАВЛЕНИЕ РОССЕЛЬХОЗНАДЗОРА ПО КРАСНОДАРСКОМУ КРАЮ И РЕСПУБЛИКЕ АДЫГЕЯ</v>
      </c>
      <c r="B12421" s="24" t="s">
        <v>14755</v>
      </c>
      <c r="C12421" s="25">
        <v>46966.67</v>
      </c>
      <c r="D12421" s="22" t="s">
        <v>14756</v>
      </c>
      <c r="E12421" s="22" t="s">
        <v>103</v>
      </c>
      <c r="F12421" s="23" t="str">
        <f t="shared" si="645"/>
        <v>Техническое обслуживание системы видеонаблюдения</v>
      </c>
      <c r="G12421" s="22" t="s">
        <v>132</v>
      </c>
      <c r="H12421" s="22" t="s">
        <v>132</v>
      </c>
      <c r="I12421" s="26">
        <v>43536.668055555601</v>
      </c>
      <c r="J12421" s="23" t="str">
        <f>HYPERLINK("https://www.spark-marketing.ru/Card/Person/57753", "ООО ""КСБ-СЕРВИС""")</f>
        <v>ООО "КСБ-СЕРВИС"</v>
      </c>
      <c r="K12421" s="24" t="s">
        <v>14763</v>
      </c>
      <c r="L12421" s="28" t="s">
        <v>52</v>
      </c>
      <c r="M12421" s="25">
        <v>19021.599999999999</v>
      </c>
      <c r="N12421" s="27">
        <v>0.59499789957431515</v>
      </c>
    </row>
    <row r="12422" spans="1:14" x14ac:dyDescent="0.15">
      <c r="A12422" s="23" t="str">
        <f t="shared" ref="A12422:A12429" si="646">HYPERLINK("https://www.spark-marketing.ru/Card/Person/18673", "ГУ МВД РОССИИ ПО САМАРСКОЙ ОБЛАСТИ")</f>
        <v>ГУ МВД РОССИИ ПО САМАРСКОЙ ОБЛАСТИ</v>
      </c>
      <c r="B12422" s="24" t="s">
        <v>14764</v>
      </c>
      <c r="C12422" s="25">
        <v>1461224.64</v>
      </c>
      <c r="D12422" s="22" t="s">
        <v>14765</v>
      </c>
      <c r="E12422" s="22" t="s">
        <v>14766</v>
      </c>
      <c r="F12422" s="23" t="str">
        <f t="shared" ref="F12422:F12429" si="647">HYPERLINK("https://www.spark-marketing.ru/Card/Lot/68638630", "Поставка комплектующих к системам управления доступа и системам видеонаблюдения")</f>
        <v>Поставка комплектующих к системам управления доступа и системам видеонаблюдения</v>
      </c>
      <c r="G12422" s="22" t="s">
        <v>760</v>
      </c>
      <c r="H12422" s="22" t="s">
        <v>760</v>
      </c>
      <c r="I12422" s="26">
        <v>43536.675000000003</v>
      </c>
      <c r="J12422" s="28" t="s">
        <v>52</v>
      </c>
      <c r="K12422" s="28" t="s">
        <v>52</v>
      </c>
      <c r="L12422" s="28" t="s">
        <v>52</v>
      </c>
      <c r="M12422" s="28" t="s">
        <v>52</v>
      </c>
      <c r="N12422" s="28" t="s">
        <v>52</v>
      </c>
    </row>
    <row r="12423" spans="1:14" hidden="1" outlineLevel="1" x14ac:dyDescent="0.2">
      <c r="A12423" s="23" t="str">
        <f t="shared" si="646"/>
        <v>ГУ МВД РОССИИ ПО САМАРСКОЙ ОБЛАСТИ</v>
      </c>
      <c r="B12423" s="24" t="s">
        <v>14764</v>
      </c>
      <c r="C12423" s="25">
        <v>1461224.64</v>
      </c>
      <c r="D12423" s="22" t="s">
        <v>14765</v>
      </c>
      <c r="E12423" s="22" t="s">
        <v>14766</v>
      </c>
      <c r="F12423" s="23" t="str">
        <f t="shared" si="647"/>
        <v>Поставка комплектующих к системам управления доступа и системам видеонаблюдения</v>
      </c>
      <c r="G12423" s="22" t="s">
        <v>760</v>
      </c>
      <c r="H12423" s="22" t="s">
        <v>760</v>
      </c>
      <c r="I12423" s="26">
        <v>43536.675000000003</v>
      </c>
      <c r="J12423" s="23" t="str">
        <f>HYPERLINK("https://www.spark-marketing.ru/Card/Person/5868295", "ООО ""АЙТИ-ОПТ""")</f>
        <v>ООО "АЙТИ-ОПТ"</v>
      </c>
      <c r="K12423" s="24" t="s">
        <v>14767</v>
      </c>
      <c r="L12423" s="28" t="s">
        <v>52</v>
      </c>
      <c r="M12423" s="25">
        <v>996203.44</v>
      </c>
      <c r="N12423" s="27">
        <v>0.31824073265011465</v>
      </c>
    </row>
    <row r="12424" spans="1:14" hidden="1" outlineLevel="1" x14ac:dyDescent="0.2">
      <c r="A12424" s="23" t="str">
        <f t="shared" si="646"/>
        <v>ГУ МВД РОССИИ ПО САМАРСКОЙ ОБЛАСТИ</v>
      </c>
      <c r="B12424" s="24" t="s">
        <v>14764</v>
      </c>
      <c r="C12424" s="25">
        <v>1461224.64</v>
      </c>
      <c r="D12424" s="22" t="s">
        <v>14765</v>
      </c>
      <c r="E12424" s="22" t="s">
        <v>14766</v>
      </c>
      <c r="F12424" s="23" t="str">
        <f t="shared" si="647"/>
        <v>Поставка комплектующих к системам управления доступа и системам видеонаблюдения</v>
      </c>
      <c r="G12424" s="22" t="s">
        <v>760</v>
      </c>
      <c r="H12424" s="22" t="s">
        <v>760</v>
      </c>
      <c r="I12424" s="26">
        <v>43536.675000000003</v>
      </c>
      <c r="J12424" s="23" t="str">
        <f>HYPERLINK("https://www.spark-marketing.ru/Card/Person/4575465", "ООО ""ВИДЕОГЛАЗ ПРОЕКТ""")</f>
        <v>ООО "ВИДЕОГЛАЗ ПРОЕКТ"</v>
      </c>
      <c r="K12424" s="24" t="s">
        <v>14768</v>
      </c>
      <c r="L12424" s="28" t="s">
        <v>52</v>
      </c>
      <c r="M12424" s="25">
        <v>1098489.8400000001</v>
      </c>
      <c r="N12424" s="27">
        <v>0.24824027057194983</v>
      </c>
    </row>
    <row r="12425" spans="1:14" ht="12.75" hidden="1" outlineLevel="1" x14ac:dyDescent="0.2">
      <c r="A12425" s="23" t="str">
        <f t="shared" si="646"/>
        <v>ГУ МВД РОССИИ ПО САМАРСКОЙ ОБЛАСТИ</v>
      </c>
      <c r="B12425" s="24" t="s">
        <v>14764</v>
      </c>
      <c r="C12425" s="25">
        <v>1461224.64</v>
      </c>
      <c r="D12425" s="22" t="s">
        <v>14765</v>
      </c>
      <c r="E12425" s="22" t="s">
        <v>14766</v>
      </c>
      <c r="F12425" s="23" t="str">
        <f t="shared" si="647"/>
        <v>Поставка комплектующих к системам управления доступа и системам видеонаблюдения</v>
      </c>
      <c r="G12425" s="22" t="s">
        <v>760</v>
      </c>
      <c r="H12425" s="22" t="s">
        <v>760</v>
      </c>
      <c r="I12425" s="26">
        <v>43536.675000000003</v>
      </c>
      <c r="J12425" s="23" t="str">
        <f>HYPERLINK("https://www.spark-marketing.ru/Card/Person/726889", "ООО ""ОРИОН""")</f>
        <v>ООО "ОРИОН"</v>
      </c>
      <c r="K12425" s="24" t="s">
        <v>3483</v>
      </c>
      <c r="L12425" s="22" t="s">
        <v>10</v>
      </c>
      <c r="M12425" s="25">
        <v>1003509.56</v>
      </c>
      <c r="N12425" s="27">
        <v>0.31324073484005854</v>
      </c>
    </row>
    <row r="12426" spans="1:14" hidden="1" outlineLevel="1" x14ac:dyDescent="0.2">
      <c r="A12426" s="23" t="str">
        <f t="shared" si="646"/>
        <v>ГУ МВД РОССИИ ПО САМАРСКОЙ ОБЛАСТИ</v>
      </c>
      <c r="B12426" s="24" t="s">
        <v>14764</v>
      </c>
      <c r="C12426" s="25">
        <v>1461224.64</v>
      </c>
      <c r="D12426" s="22" t="s">
        <v>14765</v>
      </c>
      <c r="E12426" s="22" t="s">
        <v>14766</v>
      </c>
      <c r="F12426" s="23" t="str">
        <f t="shared" si="647"/>
        <v>Поставка комплектующих к системам управления доступа и системам видеонаблюдения</v>
      </c>
      <c r="G12426" s="22" t="s">
        <v>760</v>
      </c>
      <c r="H12426" s="22" t="s">
        <v>760</v>
      </c>
      <c r="I12426" s="26">
        <v>43536.675000000003</v>
      </c>
      <c r="J12426" s="23" t="str">
        <f>HYPERLINK("https://www.spark-marketing.ru/Card/Person/274165", "ООО ""ЭКСТРА ГРУПП""")</f>
        <v>ООО "ЭКСТРА ГРУПП"</v>
      </c>
      <c r="K12426" s="24" t="s">
        <v>14769</v>
      </c>
      <c r="L12426" s="28" t="s">
        <v>52</v>
      </c>
      <c r="M12426" s="25">
        <v>1047346.28</v>
      </c>
      <c r="N12426" s="27">
        <v>0.28324074797972199</v>
      </c>
    </row>
    <row r="12427" spans="1:14" hidden="1" outlineLevel="1" x14ac:dyDescent="0.2">
      <c r="A12427" s="23" t="str">
        <f t="shared" si="646"/>
        <v>ГУ МВД РОССИИ ПО САМАРСКОЙ ОБЛАСТИ</v>
      </c>
      <c r="B12427" s="24" t="s">
        <v>14764</v>
      </c>
      <c r="C12427" s="25">
        <v>1461224.64</v>
      </c>
      <c r="D12427" s="22" t="s">
        <v>14765</v>
      </c>
      <c r="E12427" s="22" t="s">
        <v>14766</v>
      </c>
      <c r="F12427" s="23" t="str">
        <f t="shared" si="647"/>
        <v>Поставка комплектующих к системам управления доступа и системам видеонаблюдения</v>
      </c>
      <c r="G12427" s="22" t="s">
        <v>760</v>
      </c>
      <c r="H12427" s="22" t="s">
        <v>760</v>
      </c>
      <c r="I12427" s="26">
        <v>43536.675000000003</v>
      </c>
      <c r="J12427" s="23" t="str">
        <f>HYPERLINK("https://www.spark-marketing.ru/Card/Person/6448942", "Мельников Сергей Иванович")</f>
        <v>Мельников Сергей Иванович</v>
      </c>
      <c r="K12427" s="24" t="s">
        <v>14770</v>
      </c>
      <c r="L12427" s="28" t="s">
        <v>52</v>
      </c>
      <c r="M12427" s="25">
        <v>1215387.76</v>
      </c>
      <c r="N12427" s="27">
        <v>0.16824030561105238</v>
      </c>
    </row>
    <row r="12428" spans="1:14" hidden="1" outlineLevel="1" x14ac:dyDescent="0.2">
      <c r="A12428" s="23" t="str">
        <f t="shared" si="646"/>
        <v>ГУ МВД РОССИИ ПО САМАРСКОЙ ОБЛАСТИ</v>
      </c>
      <c r="B12428" s="24" t="s">
        <v>14764</v>
      </c>
      <c r="C12428" s="25">
        <v>1461224.64</v>
      </c>
      <c r="D12428" s="22" t="s">
        <v>14765</v>
      </c>
      <c r="E12428" s="22" t="s">
        <v>14766</v>
      </c>
      <c r="F12428" s="23" t="str">
        <f t="shared" si="647"/>
        <v>Поставка комплектующих к системам управления доступа и системам видеонаблюдения</v>
      </c>
      <c r="G12428" s="22" t="s">
        <v>760</v>
      </c>
      <c r="H12428" s="22" t="s">
        <v>760</v>
      </c>
      <c r="I12428" s="26">
        <v>43536.675000000003</v>
      </c>
      <c r="J12428" s="23" t="str">
        <f>HYPERLINK("https://www.spark-marketing.ru/Card/Person/434705", "ООО ""СИТЭК""")</f>
        <v>ООО "СИТЭК"</v>
      </c>
      <c r="K12428" s="24" t="s">
        <v>14771</v>
      </c>
      <c r="L12428" s="28" t="s">
        <v>52</v>
      </c>
      <c r="M12428" s="25">
        <v>1312238.8</v>
      </c>
      <c r="N12428" s="27">
        <v>0.10195957275946291</v>
      </c>
    </row>
    <row r="12429" spans="1:14" hidden="1" outlineLevel="1" x14ac:dyDescent="0.2">
      <c r="A12429" s="23" t="str">
        <f t="shared" si="646"/>
        <v>ГУ МВД РОССИИ ПО САМАРСКОЙ ОБЛАСТИ</v>
      </c>
      <c r="B12429" s="24" t="s">
        <v>14764</v>
      </c>
      <c r="C12429" s="25">
        <v>1461224.64</v>
      </c>
      <c r="D12429" s="22" t="s">
        <v>14765</v>
      </c>
      <c r="E12429" s="22" t="s">
        <v>14766</v>
      </c>
      <c r="F12429" s="23" t="str">
        <f t="shared" si="647"/>
        <v>Поставка комплектующих к системам управления доступа и системам видеонаблюдения</v>
      </c>
      <c r="G12429" s="22" t="s">
        <v>760</v>
      </c>
      <c r="H12429" s="22" t="s">
        <v>760</v>
      </c>
      <c r="I12429" s="26">
        <v>43536.675000000003</v>
      </c>
      <c r="J12429" s="23" t="str">
        <f>HYPERLINK("https://www.spark-marketing.ru/Card/Person/2033274", "ООО ""ЛАЙТ ГРУПП""")</f>
        <v>ООО "ЛАЙТ ГРУПП"</v>
      </c>
      <c r="K12429" s="24" t="s">
        <v>14772</v>
      </c>
      <c r="L12429" s="28" t="s">
        <v>52</v>
      </c>
      <c r="M12429" s="25">
        <v>1261095.96</v>
      </c>
      <c r="N12429" s="27">
        <v>0.13695955742985555</v>
      </c>
    </row>
    <row r="12430" spans="1:14" x14ac:dyDescent="0.15">
      <c r="A12430" s="23" t="str">
        <f>HYPERLINK("https://www.spark-marketing.ru/Card/Person/24057", "ФГАУ ""САНАТОРИЙ ФССП РОССИИ ""ЗЕЛЕНАЯ ДОЛИНА""")</f>
        <v>ФГАУ "САНАТОРИЙ ФССП РОССИИ "ЗЕЛЕНАЯ ДОЛИНА"</v>
      </c>
      <c r="B12430" s="24" t="s">
        <v>14773</v>
      </c>
      <c r="C12430" s="25">
        <v>114668.4</v>
      </c>
      <c r="D12430" s="22" t="s">
        <v>14774</v>
      </c>
      <c r="E12430" s="22" t="s">
        <v>144</v>
      </c>
      <c r="F12430" s="23" t="str">
        <f>HYPERLINK("https://www.spark-marketing.ru/Card/Lot/68636163", "Охранные услуги (КТС)")</f>
        <v>Охранные услуги (КТС)</v>
      </c>
      <c r="G12430" s="22" t="s">
        <v>132</v>
      </c>
      <c r="H12430" s="22" t="s">
        <v>132</v>
      </c>
      <c r="I12430" s="26">
        <v>43536.675011574102</v>
      </c>
      <c r="J12430" s="28" t="s">
        <v>52</v>
      </c>
      <c r="K12430" s="28" t="s">
        <v>52</v>
      </c>
      <c r="L12430" s="28" t="s">
        <v>52</v>
      </c>
      <c r="M12430" s="28" t="s">
        <v>52</v>
      </c>
      <c r="N12430" s="28" t="s">
        <v>52</v>
      </c>
    </row>
    <row r="12431" spans="1:14" x14ac:dyDescent="0.15">
      <c r="A12431" s="23" t="str">
        <f>HYPERLINK("https://www.spark-marketing.ru/Card/Person/4356464", "ФИНАНСОВЫЙ УНИВЕРСИТЕТ, ФИНУНИВЕРСИТЕТ")</f>
        <v>ФИНАНСОВЫЙ УНИВЕРСИТЕТ, ФИНУНИВЕРСИТЕТ</v>
      </c>
      <c r="B12431" s="24" t="s">
        <v>2964</v>
      </c>
      <c r="C12431" s="25">
        <v>1033800</v>
      </c>
      <c r="D12431" s="22" t="s">
        <v>14775</v>
      </c>
      <c r="E12431" s="22" t="s">
        <v>68</v>
      </c>
      <c r="F12431" s="23" t="str">
        <f>HYPERLINK("https://www.spark-marketing.ru/Card/Lot/68639560", "Услуги физической охраны объекта Звенигородского филиала Финуниверситета")</f>
        <v>Услуги физической охраны объекта Звенигородского филиала Финуниверситета</v>
      </c>
      <c r="G12431" s="22" t="s">
        <v>50</v>
      </c>
      <c r="H12431" s="22" t="s">
        <v>14776</v>
      </c>
      <c r="I12431" s="26">
        <v>43536.640277777798</v>
      </c>
      <c r="J12431" s="23" t="str">
        <f>HYPERLINK("https://www.spark-marketing.ru/Card/Person/450088", "ООО ЧОП ""ЦЕНТУРИОН-ИНТЕР ПРОФИ""")</f>
        <v>ООО ЧОП "ЦЕНТУРИОН-ИНТЕР ПРОФИ"</v>
      </c>
      <c r="K12431" s="24" t="s">
        <v>14777</v>
      </c>
      <c r="L12431" s="22" t="s">
        <v>10</v>
      </c>
      <c r="M12431" s="28" t="s">
        <v>52</v>
      </c>
      <c r="N12431" s="28" t="s">
        <v>52</v>
      </c>
    </row>
    <row r="12432" spans="1:14" x14ac:dyDescent="0.15">
      <c r="A12432" s="23" t="str">
        <f>HYPERLINK("https://www.spark-marketing.ru/Card/Person/61031", "ГУЗ СО ""ЕРШОВСКАЯ РБ""")</f>
        <v>ГУЗ СО "ЕРШОВСКАЯ РБ"</v>
      </c>
      <c r="B12432" s="24" t="s">
        <v>14778</v>
      </c>
      <c r="C12432" s="25">
        <v>204300</v>
      </c>
      <c r="D12432" s="22" t="s">
        <v>14779</v>
      </c>
      <c r="E12432" s="22" t="s">
        <v>103</v>
      </c>
      <c r="F12432" s="23" t="str">
        <f>HYPERLINK("https://www.spark-marketing.ru/Card/Lot/68634630", "Оказание услуги по техническому обслуживанию системы видеонаблюдения для нужд ГУЗ СО ""Ершовская РБ""")</f>
        <v>Оказание услуги по техническому обслуживанию системы видеонаблюдения для нужд ГУЗ СО "Ершовская РБ"</v>
      </c>
      <c r="G12432" s="22" t="s">
        <v>80</v>
      </c>
      <c r="H12432" s="22" t="s">
        <v>14780</v>
      </c>
      <c r="I12432" s="26">
        <v>43536.645833333299</v>
      </c>
      <c r="J12432" s="28" t="s">
        <v>52</v>
      </c>
      <c r="K12432" s="28" t="s">
        <v>52</v>
      </c>
      <c r="L12432" s="28" t="s">
        <v>52</v>
      </c>
      <c r="M12432" s="28" t="s">
        <v>52</v>
      </c>
      <c r="N12432" s="28" t="s">
        <v>52</v>
      </c>
    </row>
    <row r="12433" spans="1:14" ht="12.75" hidden="1" outlineLevel="1" x14ac:dyDescent="0.2">
      <c r="A12433" s="23" t="str">
        <f>HYPERLINK("https://www.spark-marketing.ru/Card/Person/61031", "ГУЗ СО ""ЕРШОВСКАЯ РБ""")</f>
        <v>ГУЗ СО "ЕРШОВСКАЯ РБ"</v>
      </c>
      <c r="B12433" s="24" t="s">
        <v>14778</v>
      </c>
      <c r="C12433" s="25">
        <v>204300</v>
      </c>
      <c r="D12433" s="22" t="s">
        <v>14779</v>
      </c>
      <c r="E12433" s="22" t="s">
        <v>103</v>
      </c>
      <c r="F12433" s="23" t="str">
        <f>HYPERLINK("https://www.spark-marketing.ru/Card/Lot/68634630", "Оказание услуги по техническому обслуживанию системы видеонаблюдения для нужд ГУЗ СО ""Ершовская РБ""")</f>
        <v>Оказание услуги по техническому обслуживанию системы видеонаблюдения для нужд ГУЗ СО "Ершовская РБ"</v>
      </c>
      <c r="G12433" s="22" t="s">
        <v>80</v>
      </c>
      <c r="H12433" s="22" t="s">
        <v>14780</v>
      </c>
      <c r="I12433" s="26">
        <v>43536.645833333299</v>
      </c>
      <c r="J12433" s="23" t="str">
        <f>HYPERLINK("https://www.spark-marketing.ru/Card/Person/74710", "ООО ""АВЕРС-ВИДЕО""")</f>
        <v>ООО "АВЕРС-ВИДЕО"</v>
      </c>
      <c r="K12433" s="24" t="s">
        <v>2555</v>
      </c>
      <c r="L12433" s="22" t="s">
        <v>10</v>
      </c>
      <c r="M12433" s="25">
        <v>93548.5</v>
      </c>
      <c r="N12433" s="27">
        <v>0.5421023005384239</v>
      </c>
    </row>
    <row r="12434" spans="1:14" hidden="1" outlineLevel="1" x14ac:dyDescent="0.2">
      <c r="A12434" s="23" t="str">
        <f>HYPERLINK("https://www.spark-marketing.ru/Card/Person/61031", "ГУЗ СО ""ЕРШОВСКАЯ РБ""")</f>
        <v>ГУЗ СО "ЕРШОВСКАЯ РБ"</v>
      </c>
      <c r="B12434" s="24" t="s">
        <v>14778</v>
      </c>
      <c r="C12434" s="25">
        <v>204300</v>
      </c>
      <c r="D12434" s="22" t="s">
        <v>14779</v>
      </c>
      <c r="E12434" s="22" t="s">
        <v>103</v>
      </c>
      <c r="F12434" s="23" t="str">
        <f>HYPERLINK("https://www.spark-marketing.ru/Card/Lot/68634630", "Оказание услуги по техническому обслуживанию системы видеонаблюдения для нужд ГУЗ СО ""Ершовская РБ""")</f>
        <v>Оказание услуги по техническому обслуживанию системы видеонаблюдения для нужд ГУЗ СО "Ершовская РБ"</v>
      </c>
      <c r="G12434" s="22" t="s">
        <v>80</v>
      </c>
      <c r="H12434" s="22" t="s">
        <v>14780</v>
      </c>
      <c r="I12434" s="26">
        <v>43536.645833333299</v>
      </c>
      <c r="J12434" s="23" t="str">
        <f>HYPERLINK("https://www.spark-marketing.ru/Card/Person/5997131", "Юренко Александр Сергеевич")</f>
        <v>Юренко Александр Сергеевич</v>
      </c>
      <c r="K12434" s="24" t="s">
        <v>4283</v>
      </c>
      <c r="L12434" s="28" t="s">
        <v>52</v>
      </c>
      <c r="M12434" s="25">
        <v>115000</v>
      </c>
      <c r="N12434" s="27">
        <v>0.43710230053842386</v>
      </c>
    </row>
    <row r="12435" spans="1:14" hidden="1" outlineLevel="1" x14ac:dyDescent="0.2">
      <c r="A12435" s="23" t="str">
        <f>HYPERLINK("https://www.spark-marketing.ru/Card/Person/61031", "ГУЗ СО ""ЕРШОВСКАЯ РБ""")</f>
        <v>ГУЗ СО "ЕРШОВСКАЯ РБ"</v>
      </c>
      <c r="B12435" s="24" t="s">
        <v>14778</v>
      </c>
      <c r="C12435" s="25">
        <v>204300</v>
      </c>
      <c r="D12435" s="22" t="s">
        <v>14779</v>
      </c>
      <c r="E12435" s="22" t="s">
        <v>103</v>
      </c>
      <c r="F12435" s="23" t="str">
        <f>HYPERLINK("https://www.spark-marketing.ru/Card/Lot/68634630", "Оказание услуги по техническому обслуживанию системы видеонаблюдения для нужд ГУЗ СО ""Ершовская РБ""")</f>
        <v>Оказание услуги по техническому обслуживанию системы видеонаблюдения для нужд ГУЗ СО "Ершовская РБ"</v>
      </c>
      <c r="G12435" s="22" t="s">
        <v>80</v>
      </c>
      <c r="H12435" s="22" t="s">
        <v>14780</v>
      </c>
      <c r="I12435" s="26">
        <v>43536.645833333299</v>
      </c>
      <c r="J12435" s="23" t="str">
        <f>HYPERLINK("https://www.spark-marketing.ru/Card/Person/1474987", "ООО ""НИС""")</f>
        <v>ООО "НИС"</v>
      </c>
      <c r="K12435" s="24" t="s">
        <v>14781</v>
      </c>
      <c r="L12435" s="28" t="s">
        <v>52</v>
      </c>
      <c r="M12435" s="25">
        <v>94570</v>
      </c>
      <c r="N12435" s="27">
        <v>0.53710230053842389</v>
      </c>
    </row>
    <row r="12436" spans="1:14" hidden="1" outlineLevel="1" x14ac:dyDescent="0.2">
      <c r="A12436" s="23" t="str">
        <f>HYPERLINK("https://www.spark-marketing.ru/Card/Person/61031", "ГУЗ СО ""ЕРШОВСКАЯ РБ""")</f>
        <v>ГУЗ СО "ЕРШОВСКАЯ РБ"</v>
      </c>
      <c r="B12436" s="24" t="s">
        <v>14778</v>
      </c>
      <c r="C12436" s="25">
        <v>204300</v>
      </c>
      <c r="D12436" s="22" t="s">
        <v>14779</v>
      </c>
      <c r="E12436" s="22" t="s">
        <v>103</v>
      </c>
      <c r="F12436" s="23" t="str">
        <f>HYPERLINK("https://www.spark-marketing.ru/Card/Lot/68634630", "Оказание услуги по техническому обслуживанию системы видеонаблюдения для нужд ГУЗ СО ""Ершовская РБ""")</f>
        <v>Оказание услуги по техническому обслуживанию системы видеонаблюдения для нужд ГУЗ СО "Ершовская РБ"</v>
      </c>
      <c r="G12436" s="22" t="s">
        <v>80</v>
      </c>
      <c r="H12436" s="22" t="s">
        <v>14780</v>
      </c>
      <c r="I12436" s="26">
        <v>43536.645833333299</v>
      </c>
      <c r="J12436" s="23" t="str">
        <f>HYPERLINK("https://www.spark-marketing.ru/Card/Person/6498866", "Ковтун Михаил Геннадьевич")</f>
        <v>Ковтун Михаил Геннадьевич</v>
      </c>
      <c r="K12436" s="24" t="s">
        <v>13292</v>
      </c>
      <c r="L12436" s="28" t="s">
        <v>52</v>
      </c>
      <c r="M12436" s="25">
        <v>100699</v>
      </c>
      <c r="N12436" s="27">
        <v>0.50710230053842387</v>
      </c>
    </row>
    <row r="12437" spans="1:14" x14ac:dyDescent="0.15">
      <c r="A12437" s="23" t="str">
        <f>HYPERLINK("https://www.spark-marketing.ru/Card/Person/1343922", "ФЛ ""КАЭР"" АО ""Атомэнергоремонт""")</f>
        <v>ФЛ "КАЭР" АО "Атомэнергоремонт"</v>
      </c>
      <c r="B12437" s="24" t="s">
        <v>10791</v>
      </c>
      <c r="C12437" s="25">
        <v>2013030.14</v>
      </c>
      <c r="D12437" s="22" t="s">
        <v>14782</v>
      </c>
      <c r="E12437" s="22" t="s">
        <v>53</v>
      </c>
      <c r="F12437" s="23" t="str">
        <f>HYPERLINK("https://www.spark-marketing.ru/Card/Lot/68638372", "Право заключения договора на оказание услуг по физической охране объектов")</f>
        <v>Право заключения договора на оказание услуг по физической охране объектов</v>
      </c>
      <c r="G12437" s="22" t="s">
        <v>55</v>
      </c>
      <c r="H12437" s="22" t="s">
        <v>55</v>
      </c>
      <c r="I12437" s="26">
        <v>43536.646331018499</v>
      </c>
      <c r="J12437" s="28" t="s">
        <v>52</v>
      </c>
      <c r="K12437" s="28" t="s">
        <v>52</v>
      </c>
      <c r="L12437" s="28" t="s">
        <v>52</v>
      </c>
      <c r="M12437" s="28" t="s">
        <v>52</v>
      </c>
      <c r="N12437" s="28" t="s">
        <v>52</v>
      </c>
    </row>
    <row r="12438" spans="1:14" x14ac:dyDescent="0.15">
      <c r="A12438" s="23" t="str">
        <f>HYPERLINK("https://www.spark-marketing.ru/Card/Person/55985", "УПРАВЛЕНИЕ РОСПОТРЕБНАДЗОРА ПО КИРОВСКОЙ ОБЛАСТИ")</f>
        <v>УПРАВЛЕНИЕ РОСПОТРЕБНАДЗОРА ПО КИРОВСКОЙ ОБЛАСТИ</v>
      </c>
      <c r="B12438" s="24" t="s">
        <v>14783</v>
      </c>
      <c r="C12438" s="25">
        <v>4140</v>
      </c>
      <c r="D12438" s="22" t="s">
        <v>14784</v>
      </c>
      <c r="E12438" s="22" t="s">
        <v>53</v>
      </c>
      <c r="F12438" s="23" t="str">
        <f>HYPERLINK("https://www.spark-marketing.ru/Card/Lot/70796282", "Проверка технического состояния транспортных средств с последующим оформлением диагностических карт, содержащих сведения о соответствии (несоответствии) транспортных средств обязательным требованиям безопасности")</f>
        <v>Проверка технического состояния транспортных средств с последующим оформлением диагностических карт, содержащих сведения о соответствии (несоответствии) транспортных средств обязательным требованиям безопасности</v>
      </c>
      <c r="G12438" s="22" t="s">
        <v>556</v>
      </c>
      <c r="H12438" s="22" t="s">
        <v>557</v>
      </c>
      <c r="I12438" s="26">
        <v>43536.653969907398</v>
      </c>
      <c r="J12438" s="28" t="s">
        <v>52</v>
      </c>
      <c r="K12438" s="28" t="s">
        <v>52</v>
      </c>
      <c r="L12438" s="28" t="s">
        <v>52</v>
      </c>
      <c r="M12438" s="28" t="s">
        <v>52</v>
      </c>
      <c r="N12438" s="28" t="s">
        <v>52</v>
      </c>
    </row>
    <row r="12439" spans="1:14" x14ac:dyDescent="0.2">
      <c r="A12439" s="23" t="str">
        <f>HYPERLINK("https://www.spark-marketing.ru/Card/Person/718484", "ГАПОУ МО ""МОНПК""")</f>
        <v>ГАПОУ МО "МОНПК"</v>
      </c>
      <c r="B12439" s="24" t="s">
        <v>14785</v>
      </c>
      <c r="C12439" s="25">
        <v>24789.75</v>
      </c>
      <c r="D12439" s="22" t="s">
        <v>14786</v>
      </c>
      <c r="E12439" s="22" t="s">
        <v>14787</v>
      </c>
      <c r="F12439" s="23" t="str">
        <f>HYPERLINK("https://www.spark-marketing.ru/Card/Lot/68637333", "Поставка тревожных кнопок")</f>
        <v>Поставка тревожных кнопок</v>
      </c>
      <c r="G12439" s="22" t="s">
        <v>190</v>
      </c>
      <c r="H12439" s="22" t="s">
        <v>190</v>
      </c>
      <c r="I12439" s="26">
        <v>43536.639236111099</v>
      </c>
      <c r="J12439" s="28" t="s">
        <v>52</v>
      </c>
      <c r="K12439" s="28" t="s">
        <v>52</v>
      </c>
      <c r="L12439" s="28" t="s">
        <v>52</v>
      </c>
      <c r="M12439" s="25">
        <v>22500</v>
      </c>
      <c r="N12439" s="27">
        <v>9.2366804828608595E-2</v>
      </c>
    </row>
    <row r="12440" spans="1:14" x14ac:dyDescent="0.15">
      <c r="A12440" s="23" t="str">
        <f t="shared" ref="A12440:A12456" si="648">HYPERLINK("https://www.spark-marketing.ru/Card/Person/1268", "ГБУЗ ""КДЦ № 6 ДЗМ""")</f>
        <v>ГБУЗ "КДЦ № 6 ДЗМ"</v>
      </c>
      <c r="B12440" s="24" t="s">
        <v>14788</v>
      </c>
      <c r="C12440" s="25">
        <v>2734121.8</v>
      </c>
      <c r="D12440" s="22" t="s">
        <v>14789</v>
      </c>
      <c r="E12440" s="22" t="s">
        <v>103</v>
      </c>
      <c r="F12440" s="23" t="str">
        <f t="shared" ref="F12440:F12456" si="649">HYPERLINK("https://www.spark-marketing.ru/Card/Lot/68632954", "Оказание услуг по техническому обслуживанию системы видеонаблюдения для ГБУЗ ""КДЦ № 6 ДЗМ"" и его филиалов.")</f>
        <v>Оказание услуг по техническому обслуживанию системы видеонаблюдения для ГБУЗ "КДЦ № 6 ДЗМ" и его филиалов.</v>
      </c>
      <c r="G12440" s="22" t="s">
        <v>55</v>
      </c>
      <c r="H12440" s="22" t="s">
        <v>55</v>
      </c>
      <c r="I12440" s="26">
        <v>43536.587500000001</v>
      </c>
      <c r="J12440" s="28" t="s">
        <v>52</v>
      </c>
      <c r="K12440" s="28" t="s">
        <v>52</v>
      </c>
      <c r="L12440" s="28" t="s">
        <v>52</v>
      </c>
      <c r="M12440" s="28" t="s">
        <v>52</v>
      </c>
      <c r="N12440" s="28" t="s">
        <v>52</v>
      </c>
    </row>
    <row r="12441" spans="1:14" hidden="1" outlineLevel="1" x14ac:dyDescent="0.2">
      <c r="A12441" s="23" t="str">
        <f t="shared" si="648"/>
        <v>ГБУЗ "КДЦ № 6 ДЗМ"</v>
      </c>
      <c r="B12441" s="24" t="s">
        <v>14788</v>
      </c>
      <c r="C12441" s="25">
        <v>2734121.8</v>
      </c>
      <c r="D12441" s="22" t="s">
        <v>14789</v>
      </c>
      <c r="E12441" s="22" t="s">
        <v>103</v>
      </c>
      <c r="F12441" s="23" t="str">
        <f t="shared" si="649"/>
        <v>Оказание услуг по техническому обслуживанию системы видеонаблюдения для ГБУЗ "КДЦ № 6 ДЗМ" и его филиалов.</v>
      </c>
      <c r="G12441" s="22" t="s">
        <v>55</v>
      </c>
      <c r="H12441" s="22" t="s">
        <v>55</v>
      </c>
      <c r="I12441" s="26">
        <v>43536.587500000001</v>
      </c>
      <c r="J12441" s="23" t="str">
        <f>HYPERLINK("https://www.spark-marketing.ru/Card/Person/1634873", "ООО ""ИНТЕРФЕЙС""")</f>
        <v>ООО "ИНТЕРФЕЙС"</v>
      </c>
      <c r="K12441" s="24" t="s">
        <v>14790</v>
      </c>
      <c r="L12441" s="28" t="s">
        <v>52</v>
      </c>
      <c r="M12441" s="25">
        <v>1700000</v>
      </c>
      <c r="N12441" s="27">
        <v>0.37822813892197488</v>
      </c>
    </row>
    <row r="12442" spans="1:14" ht="12.75" hidden="1" outlineLevel="1" x14ac:dyDescent="0.2">
      <c r="A12442" s="23" t="str">
        <f t="shared" si="648"/>
        <v>ГБУЗ "КДЦ № 6 ДЗМ"</v>
      </c>
      <c r="B12442" s="24" t="s">
        <v>14788</v>
      </c>
      <c r="C12442" s="25">
        <v>2734121.8</v>
      </c>
      <c r="D12442" s="22" t="s">
        <v>14789</v>
      </c>
      <c r="E12442" s="22" t="s">
        <v>103</v>
      </c>
      <c r="F12442" s="23" t="str">
        <f t="shared" si="649"/>
        <v>Оказание услуг по техническому обслуживанию системы видеонаблюдения для ГБУЗ "КДЦ № 6 ДЗМ" и его филиалов.</v>
      </c>
      <c r="G12442" s="22" t="s">
        <v>55</v>
      </c>
      <c r="H12442" s="22" t="s">
        <v>55</v>
      </c>
      <c r="I12442" s="26">
        <v>43536.587500000001</v>
      </c>
      <c r="J12442" s="23" t="str">
        <f>HYPERLINK("https://www.spark-marketing.ru/Card/Person/5871409", "ООО «ПСП-ТЕЛЕКОМ»")</f>
        <v>ООО «ПСП-ТЕЛЕКОМ»</v>
      </c>
      <c r="K12442" s="24" t="s">
        <v>7147</v>
      </c>
      <c r="L12442" s="22" t="s">
        <v>10</v>
      </c>
      <c r="M12442" s="25">
        <v>177717.87</v>
      </c>
      <c r="N12442" s="27">
        <v>0.93500001719016324</v>
      </c>
    </row>
    <row r="12443" spans="1:14" hidden="1" outlineLevel="1" x14ac:dyDescent="0.2">
      <c r="A12443" s="23" t="str">
        <f t="shared" si="648"/>
        <v>ГБУЗ "КДЦ № 6 ДЗМ"</v>
      </c>
      <c r="B12443" s="24" t="s">
        <v>14788</v>
      </c>
      <c r="C12443" s="25">
        <v>2734121.8</v>
      </c>
      <c r="D12443" s="22" t="s">
        <v>14789</v>
      </c>
      <c r="E12443" s="22" t="s">
        <v>103</v>
      </c>
      <c r="F12443" s="23" t="str">
        <f t="shared" si="649"/>
        <v>Оказание услуг по техническому обслуживанию системы видеонаблюдения для ГБУЗ "КДЦ № 6 ДЗМ" и его филиалов.</v>
      </c>
      <c r="G12443" s="22" t="s">
        <v>55</v>
      </c>
      <c r="H12443" s="22" t="s">
        <v>55</v>
      </c>
      <c r="I12443" s="26">
        <v>43536.587500000001</v>
      </c>
      <c r="J12443" s="23" t="str">
        <f>HYPERLINK("https://www.spark-marketing.ru/Card/Person/269152", "ООО ТД ""ГРАН ПРИ +""")</f>
        <v>ООО ТД "ГРАН ПРИ +"</v>
      </c>
      <c r="K12443" s="24" t="s">
        <v>12160</v>
      </c>
      <c r="L12443" s="28" t="s">
        <v>52</v>
      </c>
      <c r="M12443" s="25">
        <v>1175672.3700000001</v>
      </c>
      <c r="N12443" s="27">
        <v>0.57000000146299257</v>
      </c>
    </row>
    <row r="12444" spans="1:14" hidden="1" outlineLevel="1" x14ac:dyDescent="0.2">
      <c r="A12444" s="23" t="str">
        <f t="shared" si="648"/>
        <v>ГБУЗ "КДЦ № 6 ДЗМ"</v>
      </c>
      <c r="B12444" s="24" t="s">
        <v>14788</v>
      </c>
      <c r="C12444" s="25">
        <v>2734121.8</v>
      </c>
      <c r="D12444" s="22" t="s">
        <v>14789</v>
      </c>
      <c r="E12444" s="22" t="s">
        <v>103</v>
      </c>
      <c r="F12444" s="23" t="str">
        <f t="shared" si="649"/>
        <v>Оказание услуг по техническому обслуживанию системы видеонаблюдения для ГБУЗ "КДЦ № 6 ДЗМ" и его филиалов.</v>
      </c>
      <c r="G12444" s="22" t="s">
        <v>55</v>
      </c>
      <c r="H12444" s="22" t="s">
        <v>55</v>
      </c>
      <c r="I12444" s="26">
        <v>43536.587500000001</v>
      </c>
      <c r="J12444" s="23" t="str">
        <f>HYPERLINK("https://www.spark-marketing.ru/Card/Person/6511501", "ООО ""ДИСКОНТ-ВИДЕО М""")</f>
        <v>ООО "ДИСКОНТ-ВИДЕО М"</v>
      </c>
      <c r="K12444" s="24" t="s">
        <v>10576</v>
      </c>
      <c r="L12444" s="28" t="s">
        <v>52</v>
      </c>
      <c r="M12444" s="25">
        <v>1599461.25</v>
      </c>
      <c r="N12444" s="27">
        <v>0.41500000109724444</v>
      </c>
    </row>
    <row r="12445" spans="1:14" hidden="1" outlineLevel="1" x14ac:dyDescent="0.2">
      <c r="A12445" s="23" t="str">
        <f t="shared" si="648"/>
        <v>ГБУЗ "КДЦ № 6 ДЗМ"</v>
      </c>
      <c r="B12445" s="24" t="s">
        <v>14788</v>
      </c>
      <c r="C12445" s="25">
        <v>2734121.8</v>
      </c>
      <c r="D12445" s="22" t="s">
        <v>14789</v>
      </c>
      <c r="E12445" s="22" t="s">
        <v>103</v>
      </c>
      <c r="F12445" s="23" t="str">
        <f t="shared" si="649"/>
        <v>Оказание услуг по техническому обслуживанию системы видеонаблюдения для ГБУЗ "КДЦ № 6 ДЗМ" и его филиалов.</v>
      </c>
      <c r="G12445" s="22" t="s">
        <v>55</v>
      </c>
      <c r="H12445" s="22" t="s">
        <v>55</v>
      </c>
      <c r="I12445" s="26">
        <v>43536.587500000001</v>
      </c>
      <c r="J12445" s="23" t="str">
        <f>HYPERLINK("https://www.spark-marketing.ru/Card/Person/4347708", "ООО ""СПЕЦПОЖАВТОМАТИКА""")</f>
        <v>ООО "СПЕЦПОЖАВТОМАТИКА"</v>
      </c>
      <c r="K12445" s="24" t="s">
        <v>14791</v>
      </c>
      <c r="L12445" s="28" t="s">
        <v>52</v>
      </c>
      <c r="M12445" s="25">
        <v>2720451.19</v>
      </c>
      <c r="N12445" s="27">
        <v>5.0000003657481532E-3</v>
      </c>
    </row>
    <row r="12446" spans="1:14" hidden="1" outlineLevel="1" x14ac:dyDescent="0.2">
      <c r="A12446" s="23" t="str">
        <f t="shared" si="648"/>
        <v>ГБУЗ "КДЦ № 6 ДЗМ"</v>
      </c>
      <c r="B12446" s="24" t="s">
        <v>14788</v>
      </c>
      <c r="C12446" s="25">
        <v>2734121.8</v>
      </c>
      <c r="D12446" s="22" t="s">
        <v>14789</v>
      </c>
      <c r="E12446" s="22" t="s">
        <v>103</v>
      </c>
      <c r="F12446" s="23" t="str">
        <f t="shared" si="649"/>
        <v>Оказание услуг по техническому обслуживанию системы видеонаблюдения для ГБУЗ "КДЦ № 6 ДЗМ" и его филиалов.</v>
      </c>
      <c r="G12446" s="22" t="s">
        <v>55</v>
      </c>
      <c r="H12446" s="22" t="s">
        <v>55</v>
      </c>
      <c r="I12446" s="26">
        <v>43536.587500000001</v>
      </c>
      <c r="J12446" s="23" t="str">
        <f>HYPERLINK("https://www.spark-marketing.ru/Card/Person/6458260", "ООО ""АККОРД""")</f>
        <v>ООО "АККОРД"</v>
      </c>
      <c r="K12446" s="24" t="s">
        <v>1674</v>
      </c>
      <c r="L12446" s="28" t="s">
        <v>52</v>
      </c>
      <c r="M12446" s="25">
        <v>1490096.38</v>
      </c>
      <c r="N12446" s="27">
        <v>0.45500000036574817</v>
      </c>
    </row>
    <row r="12447" spans="1:14" hidden="1" outlineLevel="1" x14ac:dyDescent="0.2">
      <c r="A12447" s="23" t="str">
        <f t="shared" si="648"/>
        <v>ГБУЗ "КДЦ № 6 ДЗМ"</v>
      </c>
      <c r="B12447" s="24" t="s">
        <v>14788</v>
      </c>
      <c r="C12447" s="25">
        <v>2734121.8</v>
      </c>
      <c r="D12447" s="22" t="s">
        <v>14789</v>
      </c>
      <c r="E12447" s="22" t="s">
        <v>103</v>
      </c>
      <c r="F12447" s="23" t="str">
        <f t="shared" si="649"/>
        <v>Оказание услуг по техническому обслуживанию системы видеонаблюдения для ГБУЗ "КДЦ № 6 ДЗМ" и его филиалов.</v>
      </c>
      <c r="G12447" s="22" t="s">
        <v>55</v>
      </c>
      <c r="H12447" s="22" t="s">
        <v>55</v>
      </c>
      <c r="I12447" s="26">
        <v>43536.587500000001</v>
      </c>
      <c r="J12447" s="23" t="str">
        <f>HYPERLINK("https://www.spark-marketing.ru/Card/Person/537216", "ООО ""ПТЦ РИОКОР""")</f>
        <v>ООО "ПТЦ РИОКОР"</v>
      </c>
      <c r="K12447" s="24" t="s">
        <v>7633</v>
      </c>
      <c r="L12447" s="28" t="s">
        <v>52</v>
      </c>
      <c r="M12447" s="25">
        <v>2200000</v>
      </c>
      <c r="N12447" s="27">
        <v>0.19535406213432041</v>
      </c>
    </row>
    <row r="12448" spans="1:14" hidden="1" outlineLevel="1" x14ac:dyDescent="0.2">
      <c r="A12448" s="23" t="str">
        <f t="shared" si="648"/>
        <v>ГБУЗ "КДЦ № 6 ДЗМ"</v>
      </c>
      <c r="B12448" s="24" t="s">
        <v>14788</v>
      </c>
      <c r="C12448" s="25">
        <v>2734121.8</v>
      </c>
      <c r="D12448" s="22" t="s">
        <v>14789</v>
      </c>
      <c r="E12448" s="22" t="s">
        <v>103</v>
      </c>
      <c r="F12448" s="23" t="str">
        <f t="shared" si="649"/>
        <v>Оказание услуг по техническому обслуживанию системы видеонаблюдения для ГБУЗ "КДЦ № 6 ДЗМ" и его филиалов.</v>
      </c>
      <c r="G12448" s="22" t="s">
        <v>55</v>
      </c>
      <c r="H12448" s="22" t="s">
        <v>55</v>
      </c>
      <c r="I12448" s="26">
        <v>43536.587500000001</v>
      </c>
      <c r="J12448" s="23" t="str">
        <f>HYPERLINK("https://www.spark-marketing.ru/Card/Person/92529", "ООО ""МТ-КОМ""")</f>
        <v>ООО "МТ-КОМ"</v>
      </c>
      <c r="K12448" s="24" t="s">
        <v>14792</v>
      </c>
      <c r="L12448" s="28" t="s">
        <v>52</v>
      </c>
      <c r="M12448" s="25">
        <v>1777179.17</v>
      </c>
      <c r="N12448" s="27">
        <v>0.35</v>
      </c>
    </row>
    <row r="12449" spans="1:14" hidden="1" outlineLevel="1" x14ac:dyDescent="0.2">
      <c r="A12449" s="23" t="str">
        <f t="shared" si="648"/>
        <v>ГБУЗ "КДЦ № 6 ДЗМ"</v>
      </c>
      <c r="B12449" s="24" t="s">
        <v>14788</v>
      </c>
      <c r="C12449" s="25">
        <v>2734121.8</v>
      </c>
      <c r="D12449" s="22" t="s">
        <v>14789</v>
      </c>
      <c r="E12449" s="22" t="s">
        <v>103</v>
      </c>
      <c r="F12449" s="23" t="str">
        <f t="shared" si="649"/>
        <v>Оказание услуг по техническому обслуживанию системы видеонаблюдения для ГБУЗ "КДЦ № 6 ДЗМ" и его филиалов.</v>
      </c>
      <c r="G12449" s="22" t="s">
        <v>55</v>
      </c>
      <c r="H12449" s="22" t="s">
        <v>55</v>
      </c>
      <c r="I12449" s="26">
        <v>43536.587500000001</v>
      </c>
      <c r="J12449" s="23" t="str">
        <f>HYPERLINK("https://www.spark-marketing.ru/Card/Person/6234863", "ООО ""ПРОМСТРОЙ""")</f>
        <v>ООО "ПРОМСТРОЙ"</v>
      </c>
      <c r="K12449" s="24" t="s">
        <v>14793</v>
      </c>
      <c r="L12449" s="28" t="s">
        <v>52</v>
      </c>
      <c r="M12449" s="25">
        <v>136706.04</v>
      </c>
      <c r="N12449" s="27">
        <v>0.95000001828740765</v>
      </c>
    </row>
    <row r="12450" spans="1:14" hidden="1" outlineLevel="1" x14ac:dyDescent="0.2">
      <c r="A12450" s="23" t="str">
        <f t="shared" si="648"/>
        <v>ГБУЗ "КДЦ № 6 ДЗМ"</v>
      </c>
      <c r="B12450" s="24" t="s">
        <v>14788</v>
      </c>
      <c r="C12450" s="25">
        <v>2734121.8</v>
      </c>
      <c r="D12450" s="22" t="s">
        <v>14789</v>
      </c>
      <c r="E12450" s="22" t="s">
        <v>103</v>
      </c>
      <c r="F12450" s="23" t="str">
        <f t="shared" si="649"/>
        <v>Оказание услуг по техническому обслуживанию системы видеонаблюдения для ГБУЗ "КДЦ № 6 ДЗМ" и его филиалов.</v>
      </c>
      <c r="G12450" s="22" t="s">
        <v>55</v>
      </c>
      <c r="H12450" s="22" t="s">
        <v>55</v>
      </c>
      <c r="I12450" s="26">
        <v>43536.587500000001</v>
      </c>
      <c r="J12450" s="23" t="str">
        <f>HYPERLINK("https://www.spark-marketing.ru/Card/Person/65028", "ООО ""ИМПУЛЬС М""")</f>
        <v>ООО "ИМПУЛЬС М"</v>
      </c>
      <c r="K12450" s="24" t="s">
        <v>7268</v>
      </c>
      <c r="L12450" s="28" t="s">
        <v>52</v>
      </c>
      <c r="M12450" s="25">
        <v>1000000</v>
      </c>
      <c r="N12450" s="27">
        <v>0.63425184642469112</v>
      </c>
    </row>
    <row r="12451" spans="1:14" hidden="1" outlineLevel="1" x14ac:dyDescent="0.2">
      <c r="A12451" s="23" t="str">
        <f t="shared" si="648"/>
        <v>ГБУЗ "КДЦ № 6 ДЗМ"</v>
      </c>
      <c r="B12451" s="24" t="s">
        <v>14788</v>
      </c>
      <c r="C12451" s="25">
        <v>2734121.8</v>
      </c>
      <c r="D12451" s="22" t="s">
        <v>14789</v>
      </c>
      <c r="E12451" s="22" t="s">
        <v>103</v>
      </c>
      <c r="F12451" s="23" t="str">
        <f t="shared" si="649"/>
        <v>Оказание услуг по техническому обслуживанию системы видеонаблюдения для ГБУЗ "КДЦ № 6 ДЗМ" и его филиалов.</v>
      </c>
      <c r="G12451" s="22" t="s">
        <v>55</v>
      </c>
      <c r="H12451" s="22" t="s">
        <v>55</v>
      </c>
      <c r="I12451" s="26">
        <v>43536.587500000001</v>
      </c>
      <c r="J12451" s="23" t="str">
        <f>HYPERLINK("https://www.spark-marketing.ru/Card/Person/6218340", "ООО ""ИКАНД""")</f>
        <v>ООО "ИКАНД"</v>
      </c>
      <c r="K12451" s="24" t="s">
        <v>10677</v>
      </c>
      <c r="L12451" s="28" t="s">
        <v>52</v>
      </c>
      <c r="M12451" s="25">
        <v>287082.75</v>
      </c>
      <c r="N12451" s="27">
        <v>0.89500001426417797</v>
      </c>
    </row>
    <row r="12452" spans="1:14" hidden="1" outlineLevel="1" x14ac:dyDescent="0.2">
      <c r="A12452" s="23" t="str">
        <f t="shared" si="648"/>
        <v>ГБУЗ "КДЦ № 6 ДЗМ"</v>
      </c>
      <c r="B12452" s="24" t="s">
        <v>14788</v>
      </c>
      <c r="C12452" s="25">
        <v>2734121.8</v>
      </c>
      <c r="D12452" s="22" t="s">
        <v>14789</v>
      </c>
      <c r="E12452" s="22" t="s">
        <v>103</v>
      </c>
      <c r="F12452" s="23" t="str">
        <f t="shared" si="649"/>
        <v>Оказание услуг по техническому обслуживанию системы видеонаблюдения для ГБУЗ "КДЦ № 6 ДЗМ" и его филиалов.</v>
      </c>
      <c r="G12452" s="22" t="s">
        <v>55</v>
      </c>
      <c r="H12452" s="22" t="s">
        <v>55</v>
      </c>
      <c r="I12452" s="26">
        <v>43536.587500000001</v>
      </c>
      <c r="J12452" s="23" t="str">
        <f>HYPERLINK("https://www.spark-marketing.ru/Card/Person/6445825", "Судариков Михаил Геннадьевич")</f>
        <v>Судариков Михаил Геннадьевич</v>
      </c>
      <c r="K12452" s="24" t="s">
        <v>1219</v>
      </c>
      <c r="L12452" s="28" t="s">
        <v>52</v>
      </c>
      <c r="M12452" s="25">
        <v>492141.9</v>
      </c>
      <c r="N12452" s="27">
        <v>0.82000000877795565</v>
      </c>
    </row>
    <row r="12453" spans="1:14" hidden="1" outlineLevel="1" x14ac:dyDescent="0.2">
      <c r="A12453" s="23" t="str">
        <f t="shared" si="648"/>
        <v>ГБУЗ "КДЦ № 6 ДЗМ"</v>
      </c>
      <c r="B12453" s="24" t="s">
        <v>14788</v>
      </c>
      <c r="C12453" s="25">
        <v>2734121.8</v>
      </c>
      <c r="D12453" s="22" t="s">
        <v>14789</v>
      </c>
      <c r="E12453" s="22" t="s">
        <v>103</v>
      </c>
      <c r="F12453" s="23" t="str">
        <f t="shared" si="649"/>
        <v>Оказание услуг по техническому обслуживанию системы видеонаблюдения для ГБУЗ "КДЦ № 6 ДЗМ" и его филиалов.</v>
      </c>
      <c r="G12453" s="22" t="s">
        <v>55</v>
      </c>
      <c r="H12453" s="22" t="s">
        <v>55</v>
      </c>
      <c r="I12453" s="26">
        <v>43536.587500000001</v>
      </c>
      <c r="J12453" s="23" t="str">
        <f>HYPERLINK("https://www.spark-marketing.ru/Card/Person/5867654", "ООО ""РСКБ""")</f>
        <v>ООО "РСКБ"</v>
      </c>
      <c r="K12453" s="24" t="s">
        <v>12161</v>
      </c>
      <c r="L12453" s="28" t="s">
        <v>52</v>
      </c>
      <c r="M12453" s="25">
        <v>150376.65</v>
      </c>
      <c r="N12453" s="27">
        <v>0.94500001792165955</v>
      </c>
    </row>
    <row r="12454" spans="1:14" hidden="1" outlineLevel="1" x14ac:dyDescent="0.2">
      <c r="A12454" s="23" t="str">
        <f t="shared" si="648"/>
        <v>ГБУЗ "КДЦ № 6 ДЗМ"</v>
      </c>
      <c r="B12454" s="24" t="s">
        <v>14788</v>
      </c>
      <c r="C12454" s="25">
        <v>2734121.8</v>
      </c>
      <c r="D12454" s="22" t="s">
        <v>14789</v>
      </c>
      <c r="E12454" s="22" t="s">
        <v>103</v>
      </c>
      <c r="F12454" s="23" t="str">
        <f t="shared" si="649"/>
        <v>Оказание услуг по техническому обслуживанию системы видеонаблюдения для ГБУЗ "КДЦ № 6 ДЗМ" и его филиалов.</v>
      </c>
      <c r="G12454" s="22" t="s">
        <v>55</v>
      </c>
      <c r="H12454" s="22" t="s">
        <v>55</v>
      </c>
      <c r="I12454" s="26">
        <v>43536.587500000001</v>
      </c>
      <c r="J12454" s="23" t="str">
        <f>HYPERLINK("https://www.spark-marketing.ru/Card/Person/6231494", "ООО ""ИСБ ПЛЮС""")</f>
        <v>ООО "ИСБ ПЛЮС"</v>
      </c>
      <c r="K12454" s="24" t="s">
        <v>1584</v>
      </c>
      <c r="L12454" s="28" t="s">
        <v>52</v>
      </c>
      <c r="M12454" s="25">
        <v>478471.29</v>
      </c>
      <c r="N12454" s="27">
        <v>0.82500000914370386</v>
      </c>
    </row>
    <row r="12455" spans="1:14" hidden="1" outlineLevel="1" x14ac:dyDescent="0.2">
      <c r="A12455" s="23" t="str">
        <f t="shared" si="648"/>
        <v>ГБУЗ "КДЦ № 6 ДЗМ"</v>
      </c>
      <c r="B12455" s="24" t="s">
        <v>14788</v>
      </c>
      <c r="C12455" s="25">
        <v>2734121.8</v>
      </c>
      <c r="D12455" s="22" t="s">
        <v>14789</v>
      </c>
      <c r="E12455" s="22" t="s">
        <v>103</v>
      </c>
      <c r="F12455" s="23" t="str">
        <f t="shared" si="649"/>
        <v>Оказание услуг по техническому обслуживанию системы видеонаблюдения для ГБУЗ "КДЦ № 6 ДЗМ" и его филиалов.</v>
      </c>
      <c r="G12455" s="22" t="s">
        <v>55</v>
      </c>
      <c r="H12455" s="22" t="s">
        <v>55</v>
      </c>
      <c r="I12455" s="26">
        <v>43536.587500000001</v>
      </c>
      <c r="J12455" s="23" t="str">
        <f>HYPERLINK("https://www.spark-marketing.ru/Card/Person/6460866", "ООО ""АБС-ПРО""")</f>
        <v>ООО "АБС-ПРО"</v>
      </c>
      <c r="K12455" s="24" t="s">
        <v>14794</v>
      </c>
      <c r="L12455" s="28" t="s">
        <v>52</v>
      </c>
      <c r="M12455" s="25">
        <v>1476425.77</v>
      </c>
      <c r="N12455" s="27">
        <v>0.46000000073149633</v>
      </c>
    </row>
    <row r="12456" spans="1:14" hidden="1" outlineLevel="1" x14ac:dyDescent="0.2">
      <c r="A12456" s="23" t="str">
        <f t="shared" si="648"/>
        <v>ГБУЗ "КДЦ № 6 ДЗМ"</v>
      </c>
      <c r="B12456" s="24" t="s">
        <v>14788</v>
      </c>
      <c r="C12456" s="25">
        <v>2734121.8</v>
      </c>
      <c r="D12456" s="22" t="s">
        <v>14789</v>
      </c>
      <c r="E12456" s="22" t="s">
        <v>103</v>
      </c>
      <c r="F12456" s="23" t="str">
        <f t="shared" si="649"/>
        <v>Оказание услуг по техническому обслуживанию системы видеонаблюдения для ГБУЗ "КДЦ № 6 ДЗМ" и его филиалов.</v>
      </c>
      <c r="G12456" s="22" t="s">
        <v>55</v>
      </c>
      <c r="H12456" s="22" t="s">
        <v>55</v>
      </c>
      <c r="I12456" s="26">
        <v>43536.587500000001</v>
      </c>
      <c r="J12456" s="23" t="str">
        <f>HYPERLINK("https://www.spark-marketing.ru/Card/Person/6049565", "ООО ""КОМСТРОЙ""")</f>
        <v>ООО "КОМСТРОЙ"</v>
      </c>
      <c r="K12456" s="24" t="s">
        <v>8684</v>
      </c>
      <c r="L12456" s="28" t="s">
        <v>52</v>
      </c>
      <c r="M12456" s="25">
        <v>1400000</v>
      </c>
      <c r="N12456" s="27">
        <v>0.48795258499456756</v>
      </c>
    </row>
    <row r="12457" spans="1:14" x14ac:dyDescent="0.15">
      <c r="A12457" s="23" t="str">
        <f t="shared" ref="A12457:A12462" si="650">HYPERLINK("https://www.spark-marketing.ru/Card/Person/1690", "ОГБУЗ ""МЕДИКО-САНИТАРНАЯ ЧАСТЬ №2"", ОГБУЗ ""МСЧ №2""")</f>
        <v>ОГБУЗ "МЕДИКО-САНИТАРНАЯ ЧАСТЬ №2", ОГБУЗ "МСЧ №2"</v>
      </c>
      <c r="B12457" s="24" t="s">
        <v>14795</v>
      </c>
      <c r="C12457" s="25">
        <v>1858429.2</v>
      </c>
      <c r="D12457" s="22" t="s">
        <v>14796</v>
      </c>
      <c r="E12457" s="22" t="s">
        <v>68</v>
      </c>
      <c r="F12457" s="23" t="str">
        <f t="shared" ref="F12457:F12462" si="651">HYPERLINK("https://www.spark-marketing.ru/Card/Lot/68621376", "Оказание комплекса охранных услуг для нужд ОГБУЗ «Медико-санитарная часть №2»")</f>
        <v>Оказание комплекса охранных услуг для нужд ОГБУЗ «Медико-санитарная часть №2»</v>
      </c>
      <c r="G12457" s="22" t="s">
        <v>150</v>
      </c>
      <c r="H12457" s="22" t="s">
        <v>1656</v>
      </c>
      <c r="I12457" s="26">
        <v>43536.618055555598</v>
      </c>
      <c r="J12457" s="28" t="s">
        <v>52</v>
      </c>
      <c r="K12457" s="28" t="s">
        <v>52</v>
      </c>
      <c r="L12457" s="28" t="s">
        <v>52</v>
      </c>
      <c r="M12457" s="28" t="s">
        <v>52</v>
      </c>
      <c r="N12457" s="28" t="s">
        <v>52</v>
      </c>
    </row>
    <row r="12458" spans="1:14" hidden="1" outlineLevel="1" x14ac:dyDescent="0.2">
      <c r="A12458" s="23" t="str">
        <f t="shared" si="650"/>
        <v>ОГБУЗ "МЕДИКО-САНИТАРНАЯ ЧАСТЬ №2", ОГБУЗ "МСЧ №2"</v>
      </c>
      <c r="B12458" s="24" t="s">
        <v>14795</v>
      </c>
      <c r="C12458" s="25">
        <v>1858429.2</v>
      </c>
      <c r="D12458" s="22" t="s">
        <v>14796</v>
      </c>
      <c r="E12458" s="22" t="s">
        <v>68</v>
      </c>
      <c r="F12458" s="23" t="str">
        <f t="shared" si="651"/>
        <v>Оказание комплекса охранных услуг для нужд ОГБУЗ «Медико-санитарная часть №2»</v>
      </c>
      <c r="G12458" s="22" t="s">
        <v>150</v>
      </c>
      <c r="H12458" s="22" t="s">
        <v>1656</v>
      </c>
      <c r="I12458" s="26">
        <v>43536.618055555598</v>
      </c>
      <c r="J12458" s="23" t="str">
        <f>HYPERLINK("https://www.spark-marketing.ru/Card/Person/6363112", "ООО ""ЧОО ""АЛЬФА-БЕЗОПАСНОСТЬ""")</f>
        <v>ООО "ЧОО "АЛЬФА-БЕЗОПАСНОСТЬ"</v>
      </c>
      <c r="K12458" s="24" t="s">
        <v>12304</v>
      </c>
      <c r="L12458" s="28" t="s">
        <v>52</v>
      </c>
      <c r="M12458" s="25">
        <v>1207978.94</v>
      </c>
      <c r="N12458" s="27">
        <v>0.35000002152355331</v>
      </c>
    </row>
    <row r="12459" spans="1:14" hidden="1" outlineLevel="1" x14ac:dyDescent="0.2">
      <c r="A12459" s="23" t="str">
        <f t="shared" si="650"/>
        <v>ОГБУЗ "МЕДИКО-САНИТАРНАЯ ЧАСТЬ №2", ОГБУЗ "МСЧ №2"</v>
      </c>
      <c r="B12459" s="24" t="s">
        <v>14795</v>
      </c>
      <c r="C12459" s="25">
        <v>1858429.2</v>
      </c>
      <c r="D12459" s="22" t="s">
        <v>14796</v>
      </c>
      <c r="E12459" s="22" t="s">
        <v>68</v>
      </c>
      <c r="F12459" s="23" t="str">
        <f t="shared" si="651"/>
        <v>Оказание комплекса охранных услуг для нужд ОГБУЗ «Медико-санитарная часть №2»</v>
      </c>
      <c r="G12459" s="22" t="s">
        <v>150</v>
      </c>
      <c r="H12459" s="22" t="s">
        <v>1656</v>
      </c>
      <c r="I12459" s="26">
        <v>43536.618055555598</v>
      </c>
      <c r="J12459" s="23" t="str">
        <f>HYPERLINK("https://www.spark-marketing.ru/Card/Person/4698951", "ООО ЧОП ""ЦСБ""")</f>
        <v>ООО ЧОП "ЦСБ"</v>
      </c>
      <c r="K12459" s="24" t="s">
        <v>12967</v>
      </c>
      <c r="L12459" s="28" t="s">
        <v>52</v>
      </c>
      <c r="M12459" s="25">
        <v>1830552.75</v>
      </c>
      <c r="N12459" s="27">
        <v>1.5000006457065999E-2</v>
      </c>
    </row>
    <row r="12460" spans="1:14" ht="12.75" hidden="1" outlineLevel="1" x14ac:dyDescent="0.2">
      <c r="A12460" s="23" t="str">
        <f t="shared" si="650"/>
        <v>ОГБУЗ "МЕДИКО-САНИТАРНАЯ ЧАСТЬ №2", ОГБУЗ "МСЧ №2"</v>
      </c>
      <c r="B12460" s="24" t="s">
        <v>14795</v>
      </c>
      <c r="C12460" s="25">
        <v>1858429.2</v>
      </c>
      <c r="D12460" s="22" t="s">
        <v>14796</v>
      </c>
      <c r="E12460" s="22" t="s">
        <v>68</v>
      </c>
      <c r="F12460" s="23" t="str">
        <f t="shared" si="651"/>
        <v>Оказание комплекса охранных услуг для нужд ОГБУЗ «Медико-санитарная часть №2»</v>
      </c>
      <c r="G12460" s="22" t="s">
        <v>150</v>
      </c>
      <c r="H12460" s="22" t="s">
        <v>1656</v>
      </c>
      <c r="I12460" s="26">
        <v>43536.618055555598</v>
      </c>
      <c r="J12460" s="23" t="str">
        <f>HYPERLINK("https://www.spark-marketing.ru/Card/Person/66466", "ООО ""ЧОП ""АРГУС-ТОМСК""")</f>
        <v>ООО "ЧОП "АРГУС-ТОМСК"</v>
      </c>
      <c r="K12460" s="24" t="s">
        <v>8639</v>
      </c>
      <c r="L12460" s="22" t="s">
        <v>10</v>
      </c>
      <c r="M12460" s="25">
        <v>1198686.79</v>
      </c>
      <c r="N12460" s="27">
        <v>0.35500002367590866</v>
      </c>
    </row>
    <row r="12461" spans="1:14" hidden="1" outlineLevel="1" x14ac:dyDescent="0.2">
      <c r="A12461" s="23" t="str">
        <f t="shared" si="650"/>
        <v>ОГБУЗ "МЕДИКО-САНИТАРНАЯ ЧАСТЬ №2", ОГБУЗ "МСЧ №2"</v>
      </c>
      <c r="B12461" s="24" t="s">
        <v>14795</v>
      </c>
      <c r="C12461" s="25">
        <v>1858429.2</v>
      </c>
      <c r="D12461" s="22" t="s">
        <v>14796</v>
      </c>
      <c r="E12461" s="22" t="s">
        <v>68</v>
      </c>
      <c r="F12461" s="23" t="str">
        <f t="shared" si="651"/>
        <v>Оказание комплекса охранных услуг для нужд ОГБУЗ «Медико-санитарная часть №2»</v>
      </c>
      <c r="G12461" s="22" t="s">
        <v>150</v>
      </c>
      <c r="H12461" s="22" t="s">
        <v>1656</v>
      </c>
      <c r="I12461" s="26">
        <v>43536.618055555598</v>
      </c>
      <c r="J12461" s="23" t="str">
        <f>HYPERLINK("https://www.spark-marketing.ru/Card/Person/6302464", "ООО ЧОО ""ГВАРДИЯ""")</f>
        <v>ООО ЧОО "ГВАРДИЯ"</v>
      </c>
      <c r="K12461" s="24" t="s">
        <v>14797</v>
      </c>
      <c r="L12461" s="28" t="s">
        <v>52</v>
      </c>
      <c r="M12461" s="25">
        <v>1858429.19</v>
      </c>
      <c r="N12461" s="27">
        <v>5.3808883330072513E-9</v>
      </c>
    </row>
    <row r="12462" spans="1:14" hidden="1" outlineLevel="1" x14ac:dyDescent="0.2">
      <c r="A12462" s="23" t="str">
        <f t="shared" si="650"/>
        <v>ОГБУЗ "МЕДИКО-САНИТАРНАЯ ЧАСТЬ №2", ОГБУЗ "МСЧ №2"</v>
      </c>
      <c r="B12462" s="24" t="s">
        <v>14795</v>
      </c>
      <c r="C12462" s="25">
        <v>1858429.2</v>
      </c>
      <c r="D12462" s="22" t="s">
        <v>14796</v>
      </c>
      <c r="E12462" s="22" t="s">
        <v>68</v>
      </c>
      <c r="F12462" s="23" t="str">
        <f t="shared" si="651"/>
        <v>Оказание комплекса охранных услуг для нужд ОГБУЗ «Медико-санитарная часть №2»</v>
      </c>
      <c r="G12462" s="22" t="s">
        <v>150</v>
      </c>
      <c r="H12462" s="22" t="s">
        <v>1656</v>
      </c>
      <c r="I12462" s="26">
        <v>43536.618055555598</v>
      </c>
      <c r="J12462" s="23" t="str">
        <f>HYPERLINK("https://www.spark-marketing.ru/Card/Person/6236177", "ООО ЧОО ""ОХРАНА И БЕЗОПАСНОСТЬ""")</f>
        <v>ООО ЧОО "ОХРАНА И БЕЗОПАСНОСТЬ"</v>
      </c>
      <c r="K12462" s="24" t="s">
        <v>14798</v>
      </c>
      <c r="L12462" s="28" t="s">
        <v>52</v>
      </c>
      <c r="M12462" s="25">
        <v>1858429.19</v>
      </c>
      <c r="N12462" s="27">
        <v>5.3808883330072513E-9</v>
      </c>
    </row>
    <row r="12463" spans="1:14" x14ac:dyDescent="0.15">
      <c r="A12463" s="23" t="str">
        <f>HYPERLINK("https://www.spark-marketing.ru/Card/Person/7636", "ГДСП")</f>
        <v>ГДСП</v>
      </c>
      <c r="B12463" s="24" t="s">
        <v>3516</v>
      </c>
      <c r="C12463" s="25">
        <v>210600</v>
      </c>
      <c r="D12463" s="22" t="s">
        <v>14799</v>
      </c>
      <c r="E12463" s="22" t="s">
        <v>194</v>
      </c>
      <c r="F12463" s="23" t="str">
        <f>HYPERLINK("https://www.spark-marketing.ru/Card/Lot/68638367", "Поставка и выполнение работ по установке оборудования системы видеонаблюдения")</f>
        <v>Поставка и выполнение работ по установке оборудования системы видеонаблюдения</v>
      </c>
      <c r="G12463" s="22" t="s">
        <v>247</v>
      </c>
      <c r="H12463" s="22" t="s">
        <v>576</v>
      </c>
      <c r="I12463" s="26">
        <v>43536.592361111099</v>
      </c>
      <c r="J12463" s="28" t="s">
        <v>52</v>
      </c>
      <c r="K12463" s="28" t="s">
        <v>52</v>
      </c>
      <c r="L12463" s="28" t="s">
        <v>52</v>
      </c>
      <c r="M12463" s="28" t="s">
        <v>52</v>
      </c>
      <c r="N12463" s="28" t="s">
        <v>52</v>
      </c>
    </row>
    <row r="12464" spans="1:14" hidden="1" outlineLevel="1" x14ac:dyDescent="0.2">
      <c r="A12464" s="23" t="str">
        <f>HYPERLINK("https://www.spark-marketing.ru/Card/Person/7636", "ГДСП")</f>
        <v>ГДСП</v>
      </c>
      <c r="B12464" s="24" t="s">
        <v>3516</v>
      </c>
      <c r="C12464" s="25">
        <v>210600</v>
      </c>
      <c r="D12464" s="22" t="s">
        <v>14799</v>
      </c>
      <c r="E12464" s="22" t="s">
        <v>194</v>
      </c>
      <c r="F12464" s="23" t="str">
        <f>HYPERLINK("https://www.spark-marketing.ru/Card/Lot/68638367", "Поставка и выполнение работ по установке оборудования системы видеонаблюдения")</f>
        <v>Поставка и выполнение работ по установке оборудования системы видеонаблюдения</v>
      </c>
      <c r="G12464" s="22" t="s">
        <v>247</v>
      </c>
      <c r="H12464" s="22" t="s">
        <v>576</v>
      </c>
      <c r="I12464" s="26">
        <v>43536.592361111099</v>
      </c>
      <c r="J12464" s="23" t="str">
        <f>HYPERLINK("https://www.spark-marketing.ru/Card/Person/128831", "ООО ""СИТИЛИНК""")</f>
        <v>ООО "СИТИЛИНК"</v>
      </c>
      <c r="K12464" s="24" t="s">
        <v>14800</v>
      </c>
      <c r="L12464" s="28" t="s">
        <v>52</v>
      </c>
      <c r="M12464" s="25">
        <v>209000</v>
      </c>
      <c r="N12464" s="27">
        <v>7.5973409306742644E-3</v>
      </c>
    </row>
    <row r="12465" spans="1:14" hidden="1" outlineLevel="1" x14ac:dyDescent="0.2">
      <c r="A12465" s="23" t="str">
        <f>HYPERLINK("https://www.spark-marketing.ru/Card/Person/7636", "ГДСП")</f>
        <v>ГДСП</v>
      </c>
      <c r="B12465" s="24" t="s">
        <v>3516</v>
      </c>
      <c r="C12465" s="25">
        <v>210600</v>
      </c>
      <c r="D12465" s="22" t="s">
        <v>14799</v>
      </c>
      <c r="E12465" s="22" t="s">
        <v>194</v>
      </c>
      <c r="F12465" s="23" t="str">
        <f>HYPERLINK("https://www.spark-marketing.ru/Card/Lot/68638367", "Поставка и выполнение работ по установке оборудования системы видеонаблюдения")</f>
        <v>Поставка и выполнение работ по установке оборудования системы видеонаблюдения</v>
      </c>
      <c r="G12465" s="22" t="s">
        <v>247</v>
      </c>
      <c r="H12465" s="22" t="s">
        <v>576</v>
      </c>
      <c r="I12465" s="26">
        <v>43536.592361111099</v>
      </c>
      <c r="J12465" s="23" t="str">
        <f>HYPERLINK("https://www.spark-marketing.ru/Card/Person/1295533", "ООО ""НПП БЕЗОПАСНЫЙ ГОРОД""")</f>
        <v>ООО "НПП БЕЗОПАСНЫЙ ГОРОД"</v>
      </c>
      <c r="K12465" s="24" t="s">
        <v>14801</v>
      </c>
      <c r="L12465" s="28" t="s">
        <v>52</v>
      </c>
      <c r="M12465" s="25">
        <v>209500</v>
      </c>
      <c r="N12465" s="27">
        <v>5.2231718898385565E-3</v>
      </c>
    </row>
    <row r="12466" spans="1:14" ht="12.75" hidden="1" outlineLevel="1" x14ac:dyDescent="0.2">
      <c r="A12466" s="23" t="str">
        <f>HYPERLINK("https://www.spark-marketing.ru/Card/Person/7636", "ГДСП")</f>
        <v>ГДСП</v>
      </c>
      <c r="B12466" s="24" t="s">
        <v>3516</v>
      </c>
      <c r="C12466" s="25">
        <v>210600</v>
      </c>
      <c r="D12466" s="22" t="s">
        <v>14799</v>
      </c>
      <c r="E12466" s="22" t="s">
        <v>194</v>
      </c>
      <c r="F12466" s="23" t="str">
        <f>HYPERLINK("https://www.spark-marketing.ru/Card/Lot/68638367", "Поставка и выполнение работ по установке оборудования системы видеонаблюдения")</f>
        <v>Поставка и выполнение работ по установке оборудования системы видеонаблюдения</v>
      </c>
      <c r="G12466" s="22" t="s">
        <v>247</v>
      </c>
      <c r="H12466" s="22" t="s">
        <v>576</v>
      </c>
      <c r="I12466" s="26">
        <v>43536.592361111099</v>
      </c>
      <c r="J12466" s="23" t="str">
        <f>HYPERLINK("https://www.spark-marketing.ru/Card/Person/586204", "Парфилова Светлана Степановна")</f>
        <v>Парфилова Светлана Степановна</v>
      </c>
      <c r="K12466" s="24" t="s">
        <v>14802</v>
      </c>
      <c r="L12466" s="22" t="s">
        <v>10</v>
      </c>
      <c r="M12466" s="25">
        <v>179000</v>
      </c>
      <c r="N12466" s="27">
        <v>0.15004748338081672</v>
      </c>
    </row>
    <row r="12467" spans="1:14" x14ac:dyDescent="0.15">
      <c r="A12467" s="23" t="str">
        <f>HYPERLINK("https://www.spark-marketing.ru/Card/Person/115547", "АДМИНИСТРАЦИЯ ГОРОДА ЧАПЛЫГИНА ЛИПЕЦКОЙ ОБЛАСТИ")</f>
        <v>АДМИНИСТРАЦИЯ ГОРОДА ЧАПЛЫГИНА ЛИПЕЦКОЙ ОБЛАСТИ</v>
      </c>
      <c r="B12467" s="24" t="s">
        <v>13699</v>
      </c>
      <c r="C12467" s="25">
        <v>1200000</v>
      </c>
      <c r="D12467" s="22" t="s">
        <v>14803</v>
      </c>
      <c r="E12467" s="22" t="s">
        <v>68</v>
      </c>
      <c r="F12467" s="23" t="str">
        <f>HYPERLINK("https://www.spark-marketing.ru/Card/Lot/68636157", "Содержание автомобильных дорог, тротуаров и инженерных сооружений на них в городе Чаплыгине на 2-3 кварталы 2019 года")</f>
        <v>Содержание автомобильных дорог, тротуаров и инженерных сооружений на них в городе Чаплыгине на 2-3 кварталы 2019 года</v>
      </c>
      <c r="G12467" s="22" t="s">
        <v>629</v>
      </c>
      <c r="H12467" s="22" t="s">
        <v>629</v>
      </c>
      <c r="I12467" s="26">
        <v>43536.613194444399</v>
      </c>
      <c r="J12467" s="23" t="str">
        <f>HYPERLINK("https://www.spark-marketing.ru/Card/Person/699624", "АО РАБОТНИКОВ ""НП ""СПЕЦАТП""")</f>
        <v>АО РАБОТНИКОВ "НП "СПЕЦАТП"</v>
      </c>
      <c r="K12467" s="24" t="s">
        <v>13701</v>
      </c>
      <c r="L12467" s="22" t="s">
        <v>10</v>
      </c>
      <c r="M12467" s="28" t="s">
        <v>52</v>
      </c>
      <c r="N12467" s="28" t="s">
        <v>52</v>
      </c>
    </row>
    <row r="12468" spans="1:14" x14ac:dyDescent="0.15">
      <c r="A12468" s="23" t="str">
        <f>HYPERLINK("https://www.spark-marketing.ru/Card/Person/22052", "ФГКУ КОМБИНАТ ""СИБИРСКИЙ"" РОСРЕЗЕРВА")</f>
        <v>ФГКУ КОМБИНАТ "СИБИРСКИЙ" РОСРЕЗЕРВА</v>
      </c>
      <c r="B12468" s="24" t="s">
        <v>14804</v>
      </c>
      <c r="C12468" s="25">
        <v>243672</v>
      </c>
      <c r="D12468" s="22" t="s">
        <v>14805</v>
      </c>
      <c r="E12468" s="22" t="s">
        <v>52</v>
      </c>
      <c r="F12468" s="23" t="str">
        <f>HYPERLINK("https://www.spark-marketing.ru/Card/Lot/68622885", "84.24.10.000-00000002  Услуги по обеспечению общественного порядка и безопасности")</f>
        <v>84.24.10.000-00000002  Услуги по обеспечению общественного порядка и безопасности</v>
      </c>
      <c r="G12468" s="22" t="s">
        <v>640</v>
      </c>
      <c r="H12468" s="22" t="s">
        <v>640</v>
      </c>
      <c r="I12468" s="26">
        <v>43536.587500000001</v>
      </c>
      <c r="J12468" s="23" t="str">
        <f>HYPERLINK("https://www.spark-marketing.ru/Card/Person/4355740", "ФГКУ ""УВО ВНГ РОССИИ ПО КРАСНОЯРСКОМУ КРАЮ""")</f>
        <v>ФГКУ "УВО ВНГ РОССИИ ПО КРАСНОЯРСКОМУ КРАЮ"</v>
      </c>
      <c r="K12468" s="24" t="s">
        <v>14806</v>
      </c>
      <c r="L12468" s="28" t="s">
        <v>52</v>
      </c>
      <c r="M12468" s="28" t="s">
        <v>52</v>
      </c>
      <c r="N12468" s="28" t="s">
        <v>52</v>
      </c>
    </row>
    <row r="12469" spans="1:14" ht="12.75" hidden="1" outlineLevel="1" x14ac:dyDescent="0.2">
      <c r="A12469" s="23" t="str">
        <f>HYPERLINK("https://www.spark-marketing.ru/Card/Person/22052", "ФГКУ КОМБИНАТ ""СИБИРСКИЙ"" РОСРЕЗЕРВА")</f>
        <v>ФГКУ КОМБИНАТ "СИБИРСКИЙ" РОСРЕЗЕРВА</v>
      </c>
      <c r="B12469" s="24" t="s">
        <v>14804</v>
      </c>
      <c r="C12469" s="25">
        <v>243672</v>
      </c>
      <c r="D12469" s="22" t="s">
        <v>14805</v>
      </c>
      <c r="E12469" s="22" t="s">
        <v>52</v>
      </c>
      <c r="F12469" s="23" t="str">
        <f>HYPERLINK("https://www.spark-marketing.ru/Card/Lot/68622885", "84.24.10.000-00000002  Услуги по обеспечению общественного порядка и безопасности")</f>
        <v>84.24.10.000-00000002  Услуги по обеспечению общественного порядка и безопасности</v>
      </c>
      <c r="G12469" s="22" t="s">
        <v>640</v>
      </c>
      <c r="H12469" s="22" t="s">
        <v>640</v>
      </c>
      <c r="I12469" s="26">
        <v>43536.587500000001</v>
      </c>
      <c r="J12469" s="23" t="str">
        <f>HYPERLINK("https://www.spark-marketing.ru/Card/Person/4355740", "ФГКУ ""УВО ВНГ РОССИИ ПО КРАСНОЯРСКОМУ КРАЮ""")</f>
        <v>ФГКУ "УВО ВНГ РОССИИ ПО КРАСНОЯРСКОМУ КРАЮ"</v>
      </c>
      <c r="K12469" s="24" t="s">
        <v>14806</v>
      </c>
      <c r="L12469" s="22" t="s">
        <v>10</v>
      </c>
      <c r="M12469" s="25">
        <v>242453.64</v>
      </c>
      <c r="N12469" s="27">
        <v>5.0000000000000001E-3</v>
      </c>
    </row>
    <row r="12470" spans="1:14" x14ac:dyDescent="0.15">
      <c r="A12470" s="23" t="s">
        <v>121</v>
      </c>
      <c r="B12470" s="28" t="s">
        <v>52</v>
      </c>
      <c r="C12470" s="25">
        <v>604656</v>
      </c>
      <c r="D12470" s="22" t="s">
        <v>14807</v>
      </c>
      <c r="E12470" s="22" t="s">
        <v>52</v>
      </c>
      <c r="F12470" s="23" t="str">
        <f>HYPERLINK("https://www.spark-marketing.ru/Card/Lot/68635029", "Услуги частных охранных служб")</f>
        <v>Услуги частных охранных служб</v>
      </c>
      <c r="G12470" s="22" t="s">
        <v>52</v>
      </c>
      <c r="H12470" s="22" t="s">
        <v>52</v>
      </c>
      <c r="I12470" s="26">
        <v>43536.579861111102</v>
      </c>
      <c r="J12470" s="23" t="str">
        <f>HYPERLINK("https://www.spark-marketing.ru/Card/Person/2562571", "ООО ОП""БОРС-БАЛТИКА""")</f>
        <v>ООО ОП"БОРС-БАЛТИКА"</v>
      </c>
      <c r="K12470" s="24" t="s">
        <v>4583</v>
      </c>
      <c r="L12470" s="28" t="s">
        <v>52</v>
      </c>
      <c r="M12470" s="28" t="s">
        <v>52</v>
      </c>
      <c r="N12470" s="28" t="s">
        <v>52</v>
      </c>
    </row>
    <row r="12471" spans="1:14" hidden="1" outlineLevel="1" x14ac:dyDescent="0.15">
      <c r="A12471" s="23" t="str">
        <f>HYPERLINK("https://www.spark-marketing.ru/Card/Person/60820", "ГБДОУ ДЕТСКИЙ САД № 17 ПРИМОРСКОГО РАЙОНА САНКТ-ПЕТЕРБУРГА")</f>
        <v>ГБДОУ ДЕТСКИЙ САД № 17 ПРИМОРСКОГО РАЙОНА САНКТ-ПЕТЕРБУРГА</v>
      </c>
      <c r="B12471" s="24" t="s">
        <v>14808</v>
      </c>
      <c r="C12471" s="25">
        <v>302328</v>
      </c>
      <c r="D12471" s="22" t="s">
        <v>14807</v>
      </c>
      <c r="E12471" s="22" t="s">
        <v>52</v>
      </c>
      <c r="F12471" s="23" t="str">
        <f>HYPERLINK("https://www.spark-marketing.ru/Card/Lot/68635029", "Услуги частных охранных служб")</f>
        <v>Услуги частных охранных служб</v>
      </c>
      <c r="G12471" s="22" t="s">
        <v>89</v>
      </c>
      <c r="H12471" s="22" t="s">
        <v>89</v>
      </c>
      <c r="I12471" s="26">
        <v>43536.579861111102</v>
      </c>
      <c r="J12471" s="23" t="str">
        <f>HYPERLINK("https://www.spark-marketing.ru/Card/Person/2562571", "ООО ОП""БОРС-БАЛТИКА""")</f>
        <v>ООО ОП"БОРС-БАЛТИКА"</v>
      </c>
      <c r="K12471" s="24" t="s">
        <v>4583</v>
      </c>
      <c r="L12471" s="28" t="s">
        <v>52</v>
      </c>
      <c r="M12471" s="28" t="s">
        <v>52</v>
      </c>
      <c r="N12471" s="28" t="s">
        <v>52</v>
      </c>
    </row>
    <row r="12472" spans="1:14" hidden="1" outlineLevel="1" x14ac:dyDescent="0.15">
      <c r="A12472" s="23" t="str">
        <f>HYPERLINK("https://www.spark-marketing.ru/Card/Person/89075", "ГБДОУ ДЕТСКИЙ САД №6 ПРИМОРСКОГО РАЙОНА САНКТ-ПЕТЕРБУРГА")</f>
        <v>ГБДОУ ДЕТСКИЙ САД №6 ПРИМОРСКОГО РАЙОНА САНКТ-ПЕТЕРБУРГА</v>
      </c>
      <c r="B12472" s="24" t="s">
        <v>14809</v>
      </c>
      <c r="C12472" s="25">
        <v>151164</v>
      </c>
      <c r="D12472" s="22" t="s">
        <v>14807</v>
      </c>
      <c r="E12472" s="22" t="s">
        <v>52</v>
      </c>
      <c r="F12472" s="23" t="str">
        <f>HYPERLINK("https://www.spark-marketing.ru/Card/Lot/68635029", "Услуги частных охранных служб")</f>
        <v>Услуги частных охранных служб</v>
      </c>
      <c r="G12472" s="22" t="s">
        <v>89</v>
      </c>
      <c r="H12472" s="22" t="s">
        <v>89</v>
      </c>
      <c r="I12472" s="26">
        <v>43536.579861111102</v>
      </c>
      <c r="J12472" s="23" t="str">
        <f>HYPERLINK("https://www.spark-marketing.ru/Card/Person/2562571", "ООО ОП""БОРС-БАЛТИКА""")</f>
        <v>ООО ОП"БОРС-БАЛТИКА"</v>
      </c>
      <c r="K12472" s="24" t="s">
        <v>4583</v>
      </c>
      <c r="L12472" s="28" t="s">
        <v>52</v>
      </c>
      <c r="M12472" s="28" t="s">
        <v>52</v>
      </c>
      <c r="N12472" s="28" t="s">
        <v>52</v>
      </c>
    </row>
    <row r="12473" spans="1:14" hidden="1" outlineLevel="1" x14ac:dyDescent="0.15">
      <c r="A12473" s="23" t="str">
        <f>HYPERLINK("https://www.spark-marketing.ru/Card/Person/103983", "ГБДОУ ДЕТСКИЙ САД № 54 ПРИМОРСКОГО РАЙОНА САНКТ-ПЕТЕРБУРГА")</f>
        <v>ГБДОУ ДЕТСКИЙ САД № 54 ПРИМОРСКОГО РАЙОНА САНКТ-ПЕТЕРБУРГА</v>
      </c>
      <c r="B12473" s="24" t="s">
        <v>14810</v>
      </c>
      <c r="C12473" s="25">
        <v>151164</v>
      </c>
      <c r="D12473" s="22" t="s">
        <v>14807</v>
      </c>
      <c r="E12473" s="22" t="s">
        <v>52</v>
      </c>
      <c r="F12473" s="23" t="str">
        <f>HYPERLINK("https://www.spark-marketing.ru/Card/Lot/68635029", "Услуги частных охранных служб")</f>
        <v>Услуги частных охранных служб</v>
      </c>
      <c r="G12473" s="22" t="s">
        <v>89</v>
      </c>
      <c r="H12473" s="22" t="s">
        <v>89</v>
      </c>
      <c r="I12473" s="26">
        <v>43536.579861111102</v>
      </c>
      <c r="J12473" s="23" t="str">
        <f>HYPERLINK("https://www.spark-marketing.ru/Card/Person/2562571", "ООО ОП""БОРС-БАЛТИКА""")</f>
        <v>ООО ОП"БОРС-БАЛТИКА"</v>
      </c>
      <c r="K12473" s="24" t="s">
        <v>4583</v>
      </c>
      <c r="L12473" s="28" t="s">
        <v>52</v>
      </c>
      <c r="M12473" s="28" t="s">
        <v>52</v>
      </c>
      <c r="N12473" s="28" t="s">
        <v>52</v>
      </c>
    </row>
    <row r="12474" spans="1:14" hidden="1" outlineLevel="1" x14ac:dyDescent="0.2">
      <c r="A12474" s="28" t="s">
        <v>52</v>
      </c>
      <c r="B12474" s="28" t="s">
        <v>52</v>
      </c>
      <c r="C12474" s="28" t="s">
        <v>52</v>
      </c>
      <c r="D12474" s="22" t="s">
        <v>14807</v>
      </c>
      <c r="E12474" s="22" t="s">
        <v>52</v>
      </c>
      <c r="F12474" s="23" t="str">
        <f>HYPERLINK("https://www.spark-marketing.ru/Card/Lot/68635029", "Услуги частных охранных служб")</f>
        <v>Услуги частных охранных служб</v>
      </c>
      <c r="G12474" s="22" t="s">
        <v>52</v>
      </c>
      <c r="H12474" s="22" t="s">
        <v>52</v>
      </c>
      <c r="I12474" s="26">
        <v>43536.579861111102</v>
      </c>
      <c r="J12474" s="23" t="str">
        <f>HYPERLINK("https://www.spark-marketing.ru/Card/Person/2562571", "ООО ОП""БОРС-БАЛТИКА""")</f>
        <v>ООО ОП"БОРС-БАЛТИКА"</v>
      </c>
      <c r="K12474" s="24" t="s">
        <v>4583</v>
      </c>
      <c r="L12474" s="22" t="s">
        <v>10</v>
      </c>
      <c r="M12474" s="25">
        <v>601623.36</v>
      </c>
      <c r="N12474" s="27">
        <v>5.0154798761609908E-3</v>
      </c>
    </row>
    <row r="12475" spans="1:14" x14ac:dyDescent="0.15">
      <c r="A12475" s="23" t="str">
        <f>HYPERLINK("https://www.spark-marketing.ru/Card/Person/107351", "БУЗОО БСМЭ")</f>
        <v>БУЗОО БСМЭ</v>
      </c>
      <c r="B12475" s="24" t="s">
        <v>14811</v>
      </c>
      <c r="C12475" s="25">
        <v>38700</v>
      </c>
      <c r="D12475" s="22" t="s">
        <v>14812</v>
      </c>
      <c r="E12475" s="22" t="s">
        <v>107</v>
      </c>
      <c r="F12475" s="23" t="str">
        <f>HYPERLINK("https://www.spark-marketing.ru/Card/Lot/68621098", "Оказание услуги по техническому обслуживанию систем контроля и управления доступом, внутреннего, внешнего (перриметрального) видеонаблюдения, подъездного шлагбаума на 2019 год")</f>
        <v>Оказание услуги по техническому обслуживанию систем контроля и управления доступом, внутреннего, внешнего (перриметрального) видеонаблюдения, подъездного шлагбаума на 2019 год</v>
      </c>
      <c r="G12475" s="22" t="s">
        <v>521</v>
      </c>
      <c r="H12475" s="22" t="s">
        <v>522</v>
      </c>
      <c r="I12475" s="26">
        <v>43536.531944444403</v>
      </c>
      <c r="J12475" s="28" t="s">
        <v>52</v>
      </c>
      <c r="K12475" s="28" t="s">
        <v>52</v>
      </c>
      <c r="L12475" s="28" t="s">
        <v>52</v>
      </c>
      <c r="M12475" s="28" t="s">
        <v>52</v>
      </c>
      <c r="N12475" s="28" t="s">
        <v>52</v>
      </c>
    </row>
    <row r="12476" spans="1:14" ht="12.75" hidden="1" outlineLevel="1" x14ac:dyDescent="0.2">
      <c r="A12476" s="23" t="str">
        <f>HYPERLINK("https://www.spark-marketing.ru/Card/Person/107351", "БУЗОО БСМЭ")</f>
        <v>БУЗОО БСМЭ</v>
      </c>
      <c r="B12476" s="24" t="s">
        <v>14811</v>
      </c>
      <c r="C12476" s="25">
        <v>38700</v>
      </c>
      <c r="D12476" s="22" t="s">
        <v>14812</v>
      </c>
      <c r="E12476" s="22" t="s">
        <v>107</v>
      </c>
      <c r="F12476" s="23" t="str">
        <f>HYPERLINK("https://www.spark-marketing.ru/Card/Lot/68621098", "Оказание услуги по техническому обслуживанию систем контроля и управления доступом, внутреннего, внешнего (перриметрального) видеонаблюдения, подъездного шлагбаума на 2019 год")</f>
        <v>Оказание услуги по техническому обслуживанию систем контроля и управления доступом, внутреннего, внешнего (перриметрального) видеонаблюдения, подъездного шлагбаума на 2019 год</v>
      </c>
      <c r="G12476" s="22" t="s">
        <v>521</v>
      </c>
      <c r="H12476" s="22" t="s">
        <v>522</v>
      </c>
      <c r="I12476" s="26">
        <v>43536.531944444403</v>
      </c>
      <c r="J12476" s="23" t="str">
        <f>HYPERLINK("https://www.spark-marketing.ru/Card/Person/88602", "ООО ""АСТРА ПЛЮС-СИБИРЬ""")</f>
        <v>ООО "АСТРА ПЛЮС-СИБИРЬ"</v>
      </c>
      <c r="K12476" s="24" t="s">
        <v>14813</v>
      </c>
      <c r="L12476" s="22" t="s">
        <v>10</v>
      </c>
      <c r="M12476" s="25">
        <v>8410.5</v>
      </c>
      <c r="N12476" s="27">
        <v>0.78267441860465115</v>
      </c>
    </row>
    <row r="12477" spans="1:14" hidden="1" outlineLevel="1" x14ac:dyDescent="0.2">
      <c r="A12477" s="23" t="str">
        <f>HYPERLINK("https://www.spark-marketing.ru/Card/Person/107351", "БУЗОО БСМЭ")</f>
        <v>БУЗОО БСМЭ</v>
      </c>
      <c r="B12477" s="24" t="s">
        <v>14811</v>
      </c>
      <c r="C12477" s="25">
        <v>38700</v>
      </c>
      <c r="D12477" s="22" t="s">
        <v>14812</v>
      </c>
      <c r="E12477" s="22" t="s">
        <v>107</v>
      </c>
      <c r="F12477" s="23" t="str">
        <f>HYPERLINK("https://www.spark-marketing.ru/Card/Lot/68621098", "Оказание услуги по техническому обслуживанию систем контроля и управления доступом, внутреннего, внешнего (перриметрального) видеонаблюдения, подъездного шлагбаума на 2019 год")</f>
        <v>Оказание услуги по техническому обслуживанию систем контроля и управления доступом, внутреннего, внешнего (перриметрального) видеонаблюдения, подъездного шлагбаума на 2019 год</v>
      </c>
      <c r="G12477" s="22" t="s">
        <v>521</v>
      </c>
      <c r="H12477" s="22" t="s">
        <v>522</v>
      </c>
      <c r="I12477" s="26">
        <v>43536.531944444403</v>
      </c>
      <c r="J12477" s="23" t="str">
        <f>HYPERLINK("https://www.spark-marketing.ru/Card/Person/5951321", "ООО ""АВР""")</f>
        <v>ООО "АВР"</v>
      </c>
      <c r="K12477" s="24" t="s">
        <v>8053</v>
      </c>
      <c r="L12477" s="28" t="s">
        <v>52</v>
      </c>
      <c r="M12477" s="25">
        <v>8604</v>
      </c>
      <c r="N12477" s="27">
        <v>0.77767441860465114</v>
      </c>
    </row>
    <row r="12478" spans="1:14" x14ac:dyDescent="0.15">
      <c r="A12478" s="23" t="str">
        <f>HYPERLINK("https://www.spark-marketing.ru/Card/Person/4378432", "МБДОУ ""ДЕТСКИЙ САД № 1 ""СОЛНЫШКО""")</f>
        <v>МБДОУ "ДЕТСКИЙ САД № 1 "СОЛНЫШКО"</v>
      </c>
      <c r="B12478" s="24" t="s">
        <v>14814</v>
      </c>
      <c r="C12478" s="25">
        <v>51100</v>
      </c>
      <c r="D12478" s="22" t="s">
        <v>14815</v>
      </c>
      <c r="E12478" s="22" t="s">
        <v>59</v>
      </c>
      <c r="F12478" s="23" t="str">
        <f>HYPERLINK("https://www.spark-marketing.ru/Card/Lot/68620575", "Установка системы видеонаблюдения   МБДОУ «Детский сад № 1 «Солнышко»,")</f>
        <v>Установка системы видеонаблюдения   МБДОУ «Детский сад № 1 «Солнышко»,</v>
      </c>
      <c r="G12478" s="22" t="s">
        <v>384</v>
      </c>
      <c r="H12478" s="22" t="s">
        <v>384</v>
      </c>
      <c r="I12478" s="26">
        <v>43536.5090277778</v>
      </c>
      <c r="J12478" s="23" t="str">
        <f>HYPERLINK("https://www.spark-marketing.ru/Card/Person/418017", "Кожемякин Григорий Валерьевич")</f>
        <v>Кожемякин Григорий Валерьевич</v>
      </c>
      <c r="K12478" s="24" t="s">
        <v>3982</v>
      </c>
      <c r="L12478" s="28" t="s">
        <v>52</v>
      </c>
      <c r="M12478" s="28" t="s">
        <v>52</v>
      </c>
      <c r="N12478" s="28" t="s">
        <v>52</v>
      </c>
    </row>
    <row r="12479" spans="1:14" ht="12.75" hidden="1" outlineLevel="1" x14ac:dyDescent="0.2">
      <c r="A12479" s="23" t="str">
        <f>HYPERLINK("https://www.spark-marketing.ru/Card/Person/4378432", "МБДОУ ""ДЕТСКИЙ САД № 1 ""СОЛНЫШКО""")</f>
        <v>МБДОУ "ДЕТСКИЙ САД № 1 "СОЛНЫШКО"</v>
      </c>
      <c r="B12479" s="24" t="s">
        <v>14814</v>
      </c>
      <c r="C12479" s="25">
        <v>51100</v>
      </c>
      <c r="D12479" s="22" t="s">
        <v>14815</v>
      </c>
      <c r="E12479" s="22" t="s">
        <v>59</v>
      </c>
      <c r="F12479" s="23" t="str">
        <f>HYPERLINK("https://www.spark-marketing.ru/Card/Lot/68620575", "Установка системы видеонаблюдения   МБДОУ «Детский сад № 1 «Солнышко»,")</f>
        <v>Установка системы видеонаблюдения   МБДОУ «Детский сад № 1 «Солнышко»,</v>
      </c>
      <c r="G12479" s="22" t="s">
        <v>384</v>
      </c>
      <c r="H12479" s="22" t="s">
        <v>384</v>
      </c>
      <c r="I12479" s="26">
        <v>43536.5090277778</v>
      </c>
      <c r="J12479" s="23" t="str">
        <f>HYPERLINK("https://www.spark-marketing.ru/Card/Person/418017", "Кожемякин Григорий Валерьевич")</f>
        <v>Кожемякин Григорий Валерьевич</v>
      </c>
      <c r="K12479" s="24" t="s">
        <v>3982</v>
      </c>
      <c r="L12479" s="22" t="s">
        <v>10</v>
      </c>
      <c r="M12479" s="25">
        <v>50844.5</v>
      </c>
      <c r="N12479" s="27">
        <v>5.0000000000000001E-3</v>
      </c>
    </row>
    <row r="12480" spans="1:14" x14ac:dyDescent="0.15">
      <c r="A12480" s="23" t="str">
        <f>HYPERLINK("https://www.spark-marketing.ru/Card/Person/131024", "МКУ ""МФЦ ГОРОДА ЛОБНЯ""")</f>
        <v>МКУ "МФЦ ГОРОДА ЛОБНЯ"</v>
      </c>
      <c r="B12480" s="24" t="s">
        <v>14816</v>
      </c>
      <c r="C12480" s="25">
        <v>99353.43</v>
      </c>
      <c r="D12480" s="22" t="s">
        <v>14817</v>
      </c>
      <c r="E12480" s="22" t="s">
        <v>59</v>
      </c>
      <c r="F12480" s="23" t="str">
        <f>HYPERLINK("https://www.spark-marketing.ru/Card/Lot/68625442", "Работы по установке систем охранной сигнализации")</f>
        <v>Работы по установке систем охранной сигнализации</v>
      </c>
      <c r="G12480" s="22" t="s">
        <v>50</v>
      </c>
      <c r="H12480" s="22" t="s">
        <v>2307</v>
      </c>
      <c r="I12480" s="26">
        <v>43536.503344907404</v>
      </c>
      <c r="J12480" s="28" t="s">
        <v>52</v>
      </c>
      <c r="K12480" s="28" t="s">
        <v>52</v>
      </c>
      <c r="L12480" s="28" t="s">
        <v>52</v>
      </c>
      <c r="M12480" s="28" t="s">
        <v>52</v>
      </c>
      <c r="N12480" s="28" t="s">
        <v>52</v>
      </c>
    </row>
    <row r="12481" spans="1:14" x14ac:dyDescent="0.15">
      <c r="A12481" s="23" t="str">
        <f>HYPERLINK("https://www.spark-marketing.ru/Card/Person/4348584", "АО ""АТОМ-ОХРАНА""")</f>
        <v>АО "АТОМ-ОХРАНА"</v>
      </c>
      <c r="B12481" s="24" t="s">
        <v>1036</v>
      </c>
      <c r="C12481" s="28" t="s">
        <v>52</v>
      </c>
      <c r="D12481" s="22" t="s">
        <v>14818</v>
      </c>
      <c r="E12481" s="22" t="s">
        <v>53</v>
      </c>
      <c r="F12481" s="23" t="str">
        <f>HYPERLINK("https://www.spark-marketing.ru/Card/Lot/68632383", "Оказание услуг по техническому обслуживанию служебного автомобиля марки NISSAN TEANA административно управленческого аппарата МУВО № 1 ФГУП «Атом-охрана» в 2019 году (1205070)")</f>
        <v>Оказание услуг по техническому обслуживанию служебного автомобиля марки NISSAN TEANA административно управленческого аппарата МУВО № 1 ФГУП «Атом-охрана» в 2019 году (1205070)</v>
      </c>
      <c r="G12481" s="22" t="s">
        <v>55</v>
      </c>
      <c r="H12481" s="22" t="s">
        <v>55</v>
      </c>
      <c r="I12481" s="26">
        <v>43536.5382060185</v>
      </c>
      <c r="J12481" s="28" t="s">
        <v>52</v>
      </c>
      <c r="K12481" s="28" t="s">
        <v>52</v>
      </c>
      <c r="L12481" s="28" t="s">
        <v>52</v>
      </c>
      <c r="M12481" s="28" t="s">
        <v>52</v>
      </c>
      <c r="N12481" s="28" t="s">
        <v>52</v>
      </c>
    </row>
    <row r="12482" spans="1:14" x14ac:dyDescent="0.15">
      <c r="A12482" s="23" t="str">
        <f>HYPERLINK("https://www.spark-marketing.ru/Card/Person/1399582", "ООО ""ГЭК""")</f>
        <v>ООО "ГЭК"</v>
      </c>
      <c r="B12482" s="24" t="s">
        <v>14819</v>
      </c>
      <c r="C12482" s="25">
        <v>1300000</v>
      </c>
      <c r="D12482" s="22" t="s">
        <v>14820</v>
      </c>
      <c r="E12482" s="22" t="s">
        <v>370</v>
      </c>
      <c r="F12482" s="23" t="str">
        <f>HYPERLINK("https://www.spark-marketing.ru/Card/Lot/68620041", "Услуги по техническому обслуживанию КИПиА, систем автоматики безопасности и сигнализации котельного оборудования парокотельного цеха")</f>
        <v>Услуги по техническому обслуживанию КИПиА, систем автоматики безопасности и сигнализации котельного оборудования парокотельного цеха</v>
      </c>
      <c r="G12482" s="22" t="s">
        <v>391</v>
      </c>
      <c r="H12482" s="22" t="s">
        <v>391</v>
      </c>
      <c r="I12482" s="26">
        <v>43536.523090277798</v>
      </c>
      <c r="J12482" s="28" t="s">
        <v>52</v>
      </c>
      <c r="K12482" s="28" t="s">
        <v>52</v>
      </c>
      <c r="L12482" s="28" t="s">
        <v>52</v>
      </c>
      <c r="M12482" s="28" t="s">
        <v>52</v>
      </c>
      <c r="N12482" s="28" t="s">
        <v>52</v>
      </c>
    </row>
    <row r="12483" spans="1:14" x14ac:dyDescent="0.15">
      <c r="A12483" s="23" t="str">
        <f>HYPERLINK("https://www.spark-marketing.ru/Card/Person/258883", "ГБОУ БЕЛЕБЕЕВСКАЯ КОРРЕКЦИОННАЯ ШКОЛА ДЛЯ ОБУЧАЮЩИХСЯ С ОВЗ")</f>
        <v>ГБОУ БЕЛЕБЕЕВСКАЯ КОРРЕКЦИОННАЯ ШКОЛА ДЛЯ ОБУЧАЮЩИХСЯ С ОВЗ</v>
      </c>
      <c r="B12483" s="24" t="s">
        <v>2548</v>
      </c>
      <c r="C12483" s="25">
        <v>498903.2</v>
      </c>
      <c r="D12483" s="22" t="s">
        <v>14821</v>
      </c>
      <c r="E12483" s="22" t="s">
        <v>183</v>
      </c>
      <c r="F12483" s="23" t="str">
        <f>HYPERLINK("https://www.spark-marketing.ru/Card/Lot/68622000", "Услуги по комплексному обслуживанию школы и прилегающей территории ГБОУ Белебеевская коррекционная школа для обучающихся с ОВЗ")</f>
        <v>Услуги по комплексному обслуживанию школы и прилегающей территории ГБОУ Белебеевская коррекционная школа для обучающихся с ОВЗ</v>
      </c>
      <c r="G12483" s="22" t="s">
        <v>100</v>
      </c>
      <c r="H12483" s="22" t="s">
        <v>2550</v>
      </c>
      <c r="I12483" s="26">
        <v>43536.521527777797</v>
      </c>
      <c r="J12483" s="28" t="s">
        <v>52</v>
      </c>
      <c r="K12483" s="28" t="s">
        <v>52</v>
      </c>
      <c r="L12483" s="28" t="s">
        <v>52</v>
      </c>
      <c r="M12483" s="28" t="s">
        <v>52</v>
      </c>
      <c r="N12483" s="28" t="s">
        <v>52</v>
      </c>
    </row>
    <row r="12484" spans="1:14" ht="12.75" hidden="1" outlineLevel="1" x14ac:dyDescent="0.2">
      <c r="A12484" s="23" t="str">
        <f>HYPERLINK("https://www.spark-marketing.ru/Card/Person/258883", "ГБОУ БЕЛЕБЕЕВСКАЯ КОРРЕКЦИОННАЯ ШКОЛА ДЛЯ ОБУЧАЮЩИХСЯ С ОВЗ")</f>
        <v>ГБОУ БЕЛЕБЕЕВСКАЯ КОРРЕКЦИОННАЯ ШКОЛА ДЛЯ ОБУЧАЮЩИХСЯ С ОВЗ</v>
      </c>
      <c r="B12484" s="24" t="s">
        <v>2548</v>
      </c>
      <c r="C12484" s="25">
        <v>498903.2</v>
      </c>
      <c r="D12484" s="22" t="s">
        <v>14821</v>
      </c>
      <c r="E12484" s="22" t="s">
        <v>183</v>
      </c>
      <c r="F12484" s="23" t="str">
        <f>HYPERLINK("https://www.spark-marketing.ru/Card/Lot/68622000", "Услуги по комплексному обслуживанию школы и прилегающей территории ГБОУ Белебеевская коррекционная школа для обучающихся с ОВЗ")</f>
        <v>Услуги по комплексному обслуживанию школы и прилегающей территории ГБОУ Белебеевская коррекционная школа для обучающихся с ОВЗ</v>
      </c>
      <c r="G12484" s="22" t="s">
        <v>100</v>
      </c>
      <c r="H12484" s="22" t="s">
        <v>2550</v>
      </c>
      <c r="I12484" s="26">
        <v>43536.521527777797</v>
      </c>
      <c r="J12484" s="23" t="str">
        <f>HYPERLINK("https://www.spark-marketing.ru/Card/Person/6465478", "ООО ""ИНТЕР-РАФ""")</f>
        <v>ООО "ИНТЕР-РАФ"</v>
      </c>
      <c r="K12484" s="24" t="s">
        <v>2551</v>
      </c>
      <c r="L12484" s="22" t="s">
        <v>10</v>
      </c>
      <c r="M12484" s="25">
        <v>272505.48</v>
      </c>
      <c r="N12484" s="27">
        <v>0.45379087566485843</v>
      </c>
    </row>
    <row r="12485" spans="1:14" hidden="1" outlineLevel="1" x14ac:dyDescent="0.2">
      <c r="A12485" s="23" t="str">
        <f>HYPERLINK("https://www.spark-marketing.ru/Card/Person/258883", "ГБОУ БЕЛЕБЕЕВСКАЯ КОРРЕКЦИОННАЯ ШКОЛА ДЛЯ ОБУЧАЮЩИХСЯ С ОВЗ")</f>
        <v>ГБОУ БЕЛЕБЕЕВСКАЯ КОРРЕКЦИОННАЯ ШКОЛА ДЛЯ ОБУЧАЮЩИХСЯ С ОВЗ</v>
      </c>
      <c r="B12485" s="24" t="s">
        <v>2548</v>
      </c>
      <c r="C12485" s="25">
        <v>498903.2</v>
      </c>
      <c r="D12485" s="22" t="s">
        <v>14821</v>
      </c>
      <c r="E12485" s="22" t="s">
        <v>183</v>
      </c>
      <c r="F12485" s="23" t="str">
        <f>HYPERLINK("https://www.spark-marketing.ru/Card/Lot/68622000", "Услуги по комплексному обслуживанию школы и прилегающей территории ГБОУ Белебеевская коррекционная школа для обучающихся с ОВЗ")</f>
        <v>Услуги по комплексному обслуживанию школы и прилегающей территории ГБОУ Белебеевская коррекционная школа для обучающихся с ОВЗ</v>
      </c>
      <c r="G12485" s="22" t="s">
        <v>100</v>
      </c>
      <c r="H12485" s="22" t="s">
        <v>2550</v>
      </c>
      <c r="I12485" s="26">
        <v>43536.521527777797</v>
      </c>
      <c r="J12485" s="23" t="str">
        <f>HYPERLINK("https://www.spark-marketing.ru/Card/Person/6459227", "ООО ""БАШРЕСУРС""")</f>
        <v>ООО "БАШРЕСУРС"</v>
      </c>
      <c r="K12485" s="24" t="s">
        <v>14822</v>
      </c>
      <c r="L12485" s="28" t="s">
        <v>52</v>
      </c>
      <c r="M12485" s="25">
        <v>275000</v>
      </c>
      <c r="N12485" s="27">
        <v>0.44879086764727105</v>
      </c>
    </row>
    <row r="12486" spans="1:14" hidden="1" outlineLevel="1" x14ac:dyDescent="0.2">
      <c r="A12486" s="23" t="str">
        <f>HYPERLINK("https://www.spark-marketing.ru/Card/Person/258883", "ГБОУ БЕЛЕБЕЕВСКАЯ КОРРЕКЦИОННАЯ ШКОЛА ДЛЯ ОБУЧАЮЩИХСЯ С ОВЗ")</f>
        <v>ГБОУ БЕЛЕБЕЕВСКАЯ КОРРЕКЦИОННАЯ ШКОЛА ДЛЯ ОБУЧАЮЩИХСЯ С ОВЗ</v>
      </c>
      <c r="B12486" s="24" t="s">
        <v>2548</v>
      </c>
      <c r="C12486" s="25">
        <v>498903.2</v>
      </c>
      <c r="D12486" s="22" t="s">
        <v>14821</v>
      </c>
      <c r="E12486" s="22" t="s">
        <v>183</v>
      </c>
      <c r="F12486" s="23" t="str">
        <f>HYPERLINK("https://www.spark-marketing.ru/Card/Lot/68622000", "Услуги по комплексному обслуживанию школы и прилегающей территории ГБОУ Белебеевская коррекционная школа для обучающихся с ОВЗ")</f>
        <v>Услуги по комплексному обслуживанию школы и прилегающей территории ГБОУ Белебеевская коррекционная школа для обучающихся с ОВЗ</v>
      </c>
      <c r="G12486" s="22" t="s">
        <v>100</v>
      </c>
      <c r="H12486" s="22" t="s">
        <v>2550</v>
      </c>
      <c r="I12486" s="26">
        <v>43536.521527777797</v>
      </c>
      <c r="J12486" s="23" t="str">
        <f>HYPERLINK("https://www.spark-marketing.ru/Card/Person/5864897", "ООО ""ЦСН ""СЕМИАРТ""")</f>
        <v>ООО "ЦСН "СЕМИАРТ"</v>
      </c>
      <c r="K12486" s="24" t="s">
        <v>14823</v>
      </c>
      <c r="L12486" s="28" t="s">
        <v>52</v>
      </c>
      <c r="M12486" s="25">
        <v>437505.48</v>
      </c>
      <c r="N12486" s="27">
        <v>0.12306539625322106</v>
      </c>
    </row>
    <row r="12487" spans="1:14" x14ac:dyDescent="0.15">
      <c r="A12487" s="23" t="str">
        <f>HYPERLINK("https://www.spark-marketing.ru/Card/Person/1007250", "МБДОУ ""ДЕТСКИЙ САД № 3 ""КОЛОСОК""")</f>
        <v>МБДОУ "ДЕТСКИЙ САД № 3 "КОЛОСОК"</v>
      </c>
      <c r="B12487" s="24" t="s">
        <v>14824</v>
      </c>
      <c r="C12487" s="25">
        <v>51100</v>
      </c>
      <c r="D12487" s="22" t="s">
        <v>14825</v>
      </c>
      <c r="E12487" s="22" t="s">
        <v>59</v>
      </c>
      <c r="F12487" s="23" t="str">
        <f>HYPERLINK("https://www.spark-marketing.ru/Card/Lot/68620730", "Установка системы видеонаблюдения   МБДОУ «Детский сад № 3 «Колосок».")</f>
        <v>Установка системы видеонаблюдения   МБДОУ «Детский сад № 3 «Колосок».</v>
      </c>
      <c r="G12487" s="22" t="s">
        <v>384</v>
      </c>
      <c r="H12487" s="22" t="s">
        <v>384</v>
      </c>
      <c r="I12487" s="26">
        <v>43536.509722222203</v>
      </c>
      <c r="J12487" s="23" t="str">
        <f>HYPERLINK("https://www.spark-marketing.ru/Card/Person/418017", "Кожемякин Григорий Валерьевич")</f>
        <v>Кожемякин Григорий Валерьевич</v>
      </c>
      <c r="K12487" s="24" t="s">
        <v>3982</v>
      </c>
      <c r="L12487" s="28" t="s">
        <v>52</v>
      </c>
      <c r="M12487" s="28" t="s">
        <v>52</v>
      </c>
      <c r="N12487" s="28" t="s">
        <v>52</v>
      </c>
    </row>
    <row r="12488" spans="1:14" ht="12.75" hidden="1" outlineLevel="1" x14ac:dyDescent="0.2">
      <c r="A12488" s="23" t="str">
        <f>HYPERLINK("https://www.spark-marketing.ru/Card/Person/1007250", "МБДОУ ""ДЕТСКИЙ САД № 3 ""КОЛОСОК""")</f>
        <v>МБДОУ "ДЕТСКИЙ САД № 3 "КОЛОСОК"</v>
      </c>
      <c r="B12488" s="24" t="s">
        <v>14824</v>
      </c>
      <c r="C12488" s="25">
        <v>51100</v>
      </c>
      <c r="D12488" s="22" t="s">
        <v>14825</v>
      </c>
      <c r="E12488" s="22" t="s">
        <v>59</v>
      </c>
      <c r="F12488" s="23" t="str">
        <f>HYPERLINK("https://www.spark-marketing.ru/Card/Lot/68620730", "Установка системы видеонаблюдения   МБДОУ «Детский сад № 3 «Колосок».")</f>
        <v>Установка системы видеонаблюдения   МБДОУ «Детский сад № 3 «Колосок».</v>
      </c>
      <c r="G12488" s="22" t="s">
        <v>384</v>
      </c>
      <c r="H12488" s="22" t="s">
        <v>384</v>
      </c>
      <c r="I12488" s="26">
        <v>43536.509722222203</v>
      </c>
      <c r="J12488" s="23" t="str">
        <f>HYPERLINK("https://www.spark-marketing.ru/Card/Person/418017", "Кожемякин Григорий Валерьевич")</f>
        <v>Кожемякин Григорий Валерьевич</v>
      </c>
      <c r="K12488" s="24" t="s">
        <v>3982</v>
      </c>
      <c r="L12488" s="22" t="s">
        <v>10</v>
      </c>
      <c r="M12488" s="25">
        <v>50844.5</v>
      </c>
      <c r="N12488" s="27">
        <v>5.0000000000000001E-3</v>
      </c>
    </row>
    <row r="12489" spans="1:14" x14ac:dyDescent="0.15">
      <c r="A12489" s="23" t="str">
        <f>HYPERLINK("https://www.spark-marketing.ru/Card/Person/1016779", "МБДОУ ""ДЕТСКИЙ САД № 5 ""СТЕПНЯЧОК""")</f>
        <v>МБДОУ "ДЕТСКИЙ САД № 5 "СТЕПНЯЧОК"</v>
      </c>
      <c r="B12489" s="24" t="s">
        <v>14826</v>
      </c>
      <c r="C12489" s="25">
        <v>51100</v>
      </c>
      <c r="D12489" s="22" t="s">
        <v>14827</v>
      </c>
      <c r="E12489" s="22" t="s">
        <v>59</v>
      </c>
      <c r="F12489" s="23" t="str">
        <f>HYPERLINK("https://www.spark-marketing.ru/Card/Lot/68620729", "Установка системы видеонаблюдения   МБДОУ «Детский сад № 5 «Степнячок».")</f>
        <v>Установка системы видеонаблюдения   МБДОУ «Детский сад № 5 «Степнячок».</v>
      </c>
      <c r="G12489" s="22" t="s">
        <v>384</v>
      </c>
      <c r="H12489" s="22" t="s">
        <v>384</v>
      </c>
      <c r="I12489" s="26">
        <v>43536.509722222203</v>
      </c>
      <c r="J12489" s="23" t="str">
        <f>HYPERLINK("https://www.spark-marketing.ru/Card/Person/418017", "Кожемякин Григорий Валерьевич")</f>
        <v>Кожемякин Григорий Валерьевич</v>
      </c>
      <c r="K12489" s="24" t="s">
        <v>3982</v>
      </c>
      <c r="L12489" s="28" t="s">
        <v>52</v>
      </c>
      <c r="M12489" s="28" t="s">
        <v>52</v>
      </c>
      <c r="N12489" s="28" t="s">
        <v>52</v>
      </c>
    </row>
    <row r="12490" spans="1:14" ht="12.75" hidden="1" outlineLevel="1" x14ac:dyDescent="0.2">
      <c r="A12490" s="23" t="str">
        <f>HYPERLINK("https://www.spark-marketing.ru/Card/Person/1016779", "МБДОУ ""ДЕТСКИЙ САД № 5 ""СТЕПНЯЧОК""")</f>
        <v>МБДОУ "ДЕТСКИЙ САД № 5 "СТЕПНЯЧОК"</v>
      </c>
      <c r="B12490" s="24" t="s">
        <v>14826</v>
      </c>
      <c r="C12490" s="25">
        <v>51100</v>
      </c>
      <c r="D12490" s="22" t="s">
        <v>14827</v>
      </c>
      <c r="E12490" s="22" t="s">
        <v>59</v>
      </c>
      <c r="F12490" s="23" t="str">
        <f>HYPERLINK("https://www.spark-marketing.ru/Card/Lot/68620729", "Установка системы видеонаблюдения   МБДОУ «Детский сад № 5 «Степнячок».")</f>
        <v>Установка системы видеонаблюдения   МБДОУ «Детский сад № 5 «Степнячок».</v>
      </c>
      <c r="G12490" s="22" t="s">
        <v>384</v>
      </c>
      <c r="H12490" s="22" t="s">
        <v>384</v>
      </c>
      <c r="I12490" s="26">
        <v>43536.509722222203</v>
      </c>
      <c r="J12490" s="23" t="str">
        <f>HYPERLINK("https://www.spark-marketing.ru/Card/Person/418017", "Кожемякин Григорий Валерьевич")</f>
        <v>Кожемякин Григорий Валерьевич</v>
      </c>
      <c r="K12490" s="24" t="s">
        <v>3982</v>
      </c>
      <c r="L12490" s="22" t="s">
        <v>10</v>
      </c>
      <c r="M12490" s="25">
        <v>50844.5</v>
      </c>
      <c r="N12490" s="27">
        <v>5.0000000000000001E-3</v>
      </c>
    </row>
    <row r="12491" spans="1:14" x14ac:dyDescent="0.15">
      <c r="A12491" s="23" t="str">
        <f>HYPERLINK("https://www.spark-marketing.ru/Card/Person/63798", "ГКУ ЦЗН ГОРОДА НИЖНЕГО НОВГОРОДА")</f>
        <v>ГКУ ЦЗН ГОРОДА НИЖНЕГО НОВГОРОДА</v>
      </c>
      <c r="B12491" s="24" t="s">
        <v>2464</v>
      </c>
      <c r="C12491" s="25">
        <v>100000</v>
      </c>
      <c r="D12491" s="22" t="s">
        <v>14828</v>
      </c>
      <c r="E12491" s="22" t="s">
        <v>68</v>
      </c>
      <c r="F12491" s="23" t="str">
        <f>HYPERLINK("https://www.spark-marketing.ru/Card/Lot/68629284", "Услуги по обеспечению общественного порядка и безопасности")</f>
        <v>Услуги по обеспечению общественного порядка и безопасности</v>
      </c>
      <c r="G12491" s="22" t="s">
        <v>64</v>
      </c>
      <c r="H12491" s="22" t="s">
        <v>65</v>
      </c>
      <c r="I12491" s="26">
        <v>43536.5131944444</v>
      </c>
      <c r="J12491" s="28" t="s">
        <v>52</v>
      </c>
      <c r="K12491" s="28" t="s">
        <v>52</v>
      </c>
      <c r="L12491" s="28" t="s">
        <v>52</v>
      </c>
      <c r="M12491" s="28" t="s">
        <v>52</v>
      </c>
      <c r="N12491" s="28" t="s">
        <v>52</v>
      </c>
    </row>
    <row r="12492" spans="1:14" ht="12.75" hidden="1" outlineLevel="1" x14ac:dyDescent="0.2">
      <c r="A12492" s="23" t="str">
        <f>HYPERLINK("https://www.spark-marketing.ru/Card/Person/63798", "ГКУ ЦЗН ГОРОДА НИЖНЕГО НОВГОРОДА")</f>
        <v>ГКУ ЦЗН ГОРОДА НИЖНЕГО НОВГОРОДА</v>
      </c>
      <c r="B12492" s="24" t="s">
        <v>2464</v>
      </c>
      <c r="C12492" s="25">
        <v>100000</v>
      </c>
      <c r="D12492" s="22" t="s">
        <v>14828</v>
      </c>
      <c r="E12492" s="22" t="s">
        <v>68</v>
      </c>
      <c r="F12492" s="23" t="str">
        <f>HYPERLINK("https://www.spark-marketing.ru/Card/Lot/68629284", "Услуги по обеспечению общественного порядка и безопасности")</f>
        <v>Услуги по обеспечению общественного порядка и безопасности</v>
      </c>
      <c r="G12492" s="22" t="s">
        <v>64</v>
      </c>
      <c r="H12492" s="22" t="s">
        <v>65</v>
      </c>
      <c r="I12492" s="26">
        <v>43536.5131944444</v>
      </c>
      <c r="J12492" s="23" t="str">
        <f>HYPERLINK("https://www.spark-marketing.ru/Card/Person/54417", "ООО ""ОП ""СПЕЦ""")</f>
        <v>ООО "ОП "СПЕЦ"</v>
      </c>
      <c r="K12492" s="24" t="s">
        <v>14829</v>
      </c>
      <c r="L12492" s="22" t="s">
        <v>10</v>
      </c>
      <c r="M12492" s="25">
        <v>78722.22</v>
      </c>
      <c r="N12492" s="27">
        <v>0.21277779999999999</v>
      </c>
    </row>
    <row r="12493" spans="1:14" hidden="1" outlineLevel="1" x14ac:dyDescent="0.2">
      <c r="A12493" s="23" t="str">
        <f>HYPERLINK("https://www.spark-marketing.ru/Card/Person/63798", "ГКУ ЦЗН ГОРОДА НИЖНЕГО НОВГОРОДА")</f>
        <v>ГКУ ЦЗН ГОРОДА НИЖНЕГО НОВГОРОДА</v>
      </c>
      <c r="B12493" s="24" t="s">
        <v>2464</v>
      </c>
      <c r="C12493" s="25">
        <v>100000</v>
      </c>
      <c r="D12493" s="22" t="s">
        <v>14828</v>
      </c>
      <c r="E12493" s="22" t="s">
        <v>68</v>
      </c>
      <c r="F12493" s="23" t="str">
        <f>HYPERLINK("https://www.spark-marketing.ru/Card/Lot/68629284", "Услуги по обеспечению общественного порядка и безопасности")</f>
        <v>Услуги по обеспечению общественного порядка и безопасности</v>
      </c>
      <c r="G12493" s="22" t="s">
        <v>64</v>
      </c>
      <c r="H12493" s="22" t="s">
        <v>65</v>
      </c>
      <c r="I12493" s="26">
        <v>43536.5131944444</v>
      </c>
      <c r="J12493" s="23" t="str">
        <f>HYPERLINK("https://www.spark-marketing.ru/Card/Person/245090", "ООО ОА ""ФЛОКС""")</f>
        <v>ООО ОА "ФЛОКС"</v>
      </c>
      <c r="K12493" s="24" t="s">
        <v>14830</v>
      </c>
      <c r="L12493" s="28" t="s">
        <v>52</v>
      </c>
      <c r="M12493" s="25">
        <v>79722.22</v>
      </c>
      <c r="N12493" s="27">
        <v>0.20277780000000001</v>
      </c>
    </row>
    <row r="12494" spans="1:14" hidden="1" outlineLevel="1" x14ac:dyDescent="0.2">
      <c r="A12494" s="23" t="str">
        <f>HYPERLINK("https://www.spark-marketing.ru/Card/Person/63798", "ГКУ ЦЗН ГОРОДА НИЖНЕГО НОВГОРОДА")</f>
        <v>ГКУ ЦЗН ГОРОДА НИЖНЕГО НОВГОРОДА</v>
      </c>
      <c r="B12494" s="24" t="s">
        <v>2464</v>
      </c>
      <c r="C12494" s="25">
        <v>100000</v>
      </c>
      <c r="D12494" s="22" t="s">
        <v>14828</v>
      </c>
      <c r="E12494" s="22" t="s">
        <v>68</v>
      </c>
      <c r="F12494" s="23" t="str">
        <f>HYPERLINK("https://www.spark-marketing.ru/Card/Lot/68629284", "Услуги по обеспечению общественного порядка и безопасности")</f>
        <v>Услуги по обеспечению общественного порядка и безопасности</v>
      </c>
      <c r="G12494" s="22" t="s">
        <v>64</v>
      </c>
      <c r="H12494" s="22" t="s">
        <v>65</v>
      </c>
      <c r="I12494" s="26">
        <v>43536.5131944444</v>
      </c>
      <c r="J12494" s="23" t="str">
        <f>HYPERLINK("https://www.spark-marketing.ru/Card/Person/526990", "ООО ""ЧОО ""СКАЛА-НН""")</f>
        <v>ООО "ЧОО "СКАЛА-НН"</v>
      </c>
      <c r="K12494" s="24" t="s">
        <v>10632</v>
      </c>
      <c r="L12494" s="28" t="s">
        <v>52</v>
      </c>
      <c r="M12494" s="25">
        <v>79222.22</v>
      </c>
      <c r="N12494" s="27">
        <v>0.20777780000000001</v>
      </c>
    </row>
    <row r="12495" spans="1:14" x14ac:dyDescent="0.15">
      <c r="A12495" s="23" t="str">
        <f>HYPERLINK("https://www.spark-marketing.ru/Card/Person/36785", "РЕСПУБЛИКАНСКИЙ ЦЕНТР МАТЕРИАЛЬНОЙ ПОМОЩИ")</f>
        <v>РЕСПУБЛИКАНСКИЙ ЦЕНТР МАТЕРИАЛЬНОЙ ПОМОЩИ</v>
      </c>
      <c r="B12495" s="24" t="s">
        <v>8875</v>
      </c>
      <c r="C12495" s="25">
        <v>756567.84</v>
      </c>
      <c r="D12495" s="22" t="s">
        <v>14831</v>
      </c>
      <c r="E12495" s="22" t="s">
        <v>52</v>
      </c>
      <c r="F12495" s="23" t="str">
        <f>HYPERLINK("https://www.spark-marketing.ru/Card/Lot/68626125", "Оказание услуг по обеспечению пропускного и внутриобъектного режимов и охране имущества отделения №1 ГКУ «Республиканский центр материальной помощи (компенсационных выплат)» в городском округе ""Набережные Челны""")</f>
        <v>Оказание услуг по обеспечению пропускного и внутриобъектного режимов и охране имущества отделения №1 ГКУ «Республиканский центр материальной помощи (компенсационных выплат)» в городском округе "Набережные Челны"</v>
      </c>
      <c r="G12495" s="22" t="s">
        <v>204</v>
      </c>
      <c r="H12495" s="22" t="s">
        <v>303</v>
      </c>
      <c r="I12495" s="26">
        <v>43536.494444444397</v>
      </c>
      <c r="J12495" s="28" t="s">
        <v>52</v>
      </c>
      <c r="K12495" s="28" t="s">
        <v>52</v>
      </c>
      <c r="L12495" s="28" t="s">
        <v>52</v>
      </c>
      <c r="M12495" s="28" t="s">
        <v>52</v>
      </c>
      <c r="N12495" s="28" t="s">
        <v>52</v>
      </c>
    </row>
    <row r="12496" spans="1:14" hidden="1" outlineLevel="1" x14ac:dyDescent="0.2">
      <c r="A12496" s="23" t="str">
        <f>HYPERLINK("https://www.spark-marketing.ru/Card/Person/36785", "РЕСПУБЛИКАНСКИЙ ЦЕНТР МАТЕРИАЛЬНОЙ ПОМОЩИ")</f>
        <v>РЕСПУБЛИКАНСКИЙ ЦЕНТР МАТЕРИАЛЬНОЙ ПОМОЩИ</v>
      </c>
      <c r="B12496" s="24" t="s">
        <v>8875</v>
      </c>
      <c r="C12496" s="25">
        <v>756567.84</v>
      </c>
      <c r="D12496" s="22" t="s">
        <v>14831</v>
      </c>
      <c r="E12496" s="22" t="s">
        <v>52</v>
      </c>
      <c r="F12496" s="23" t="str">
        <f>HYPERLINK("https://www.spark-marketing.ru/Card/Lot/68626125", "Оказание услуг по обеспечению пропускного и внутриобъектного режимов и охране имущества отделения №1 ГКУ «Республиканский центр материальной помощи (компенсационных выплат)» в городском округе ""Набережные Челны""")</f>
        <v>Оказание услуг по обеспечению пропускного и внутриобъектного режимов и охране имущества отделения №1 ГКУ «Республиканский центр материальной помощи (компенсационных выплат)» в городском округе "Набережные Челны"</v>
      </c>
      <c r="G12496" s="22" t="s">
        <v>204</v>
      </c>
      <c r="H12496" s="22" t="s">
        <v>303</v>
      </c>
      <c r="I12496" s="26">
        <v>43536.494444444397</v>
      </c>
      <c r="J12496" s="23" t="str">
        <f>HYPERLINK("https://www.spark-marketing.ru/Card/Person/1936186", "ООО ""ЧОП ""АТОЛЛ""")</f>
        <v>ООО "ЧОП "АТОЛЛ"</v>
      </c>
      <c r="K12496" s="24" t="s">
        <v>14832</v>
      </c>
      <c r="L12496" s="28" t="s">
        <v>52</v>
      </c>
      <c r="M12496" s="25">
        <v>593905.72</v>
      </c>
      <c r="N12496" s="27">
        <v>0.21500004546849361</v>
      </c>
    </row>
    <row r="12497" spans="1:14" hidden="1" outlineLevel="1" x14ac:dyDescent="0.2">
      <c r="A12497" s="23" t="str">
        <f>HYPERLINK("https://www.spark-marketing.ru/Card/Person/36785", "РЕСПУБЛИКАНСКИЙ ЦЕНТР МАТЕРИАЛЬНОЙ ПОМОЩИ")</f>
        <v>РЕСПУБЛИКАНСКИЙ ЦЕНТР МАТЕРИАЛЬНОЙ ПОМОЩИ</v>
      </c>
      <c r="B12497" s="24" t="s">
        <v>8875</v>
      </c>
      <c r="C12497" s="25">
        <v>756567.84</v>
      </c>
      <c r="D12497" s="22" t="s">
        <v>14831</v>
      </c>
      <c r="E12497" s="22" t="s">
        <v>52</v>
      </c>
      <c r="F12497" s="23" t="str">
        <f>HYPERLINK("https://www.spark-marketing.ru/Card/Lot/68626125", "Оказание услуг по обеспечению пропускного и внутриобъектного режимов и охране имущества отделения №1 ГКУ «Республиканский центр материальной помощи (компенсационных выплат)» в городском округе ""Набережные Челны""")</f>
        <v>Оказание услуг по обеспечению пропускного и внутриобъектного режимов и охране имущества отделения №1 ГКУ «Республиканский центр материальной помощи (компенсационных выплат)» в городском округе "Набережные Челны"</v>
      </c>
      <c r="G12497" s="22" t="s">
        <v>204</v>
      </c>
      <c r="H12497" s="22" t="s">
        <v>303</v>
      </c>
      <c r="I12497" s="26">
        <v>43536.494444444397</v>
      </c>
      <c r="J12497" s="23" t="str">
        <f>HYPERLINK("https://www.spark-marketing.ru/Card/Person/20831", "ООО ЧОП ""СТРАЖ-ГРУП""")</f>
        <v>ООО ЧОП "СТРАЖ-ГРУП"</v>
      </c>
      <c r="K12497" s="24" t="s">
        <v>14833</v>
      </c>
      <c r="L12497" s="28" t="s">
        <v>52</v>
      </c>
      <c r="M12497" s="25">
        <v>593905.72</v>
      </c>
      <c r="N12497" s="27">
        <v>0.21500004546849361</v>
      </c>
    </row>
    <row r="12498" spans="1:14" ht="12.75" hidden="1" outlineLevel="1" x14ac:dyDescent="0.2">
      <c r="A12498" s="23" t="str">
        <f>HYPERLINK("https://www.spark-marketing.ru/Card/Person/36785", "РЕСПУБЛИКАНСКИЙ ЦЕНТР МАТЕРИАЛЬНОЙ ПОМОЩИ")</f>
        <v>РЕСПУБЛИКАНСКИЙ ЦЕНТР МАТЕРИАЛЬНОЙ ПОМОЩИ</v>
      </c>
      <c r="B12498" s="24" t="s">
        <v>8875</v>
      </c>
      <c r="C12498" s="25">
        <v>756567.84</v>
      </c>
      <c r="D12498" s="22" t="s">
        <v>14831</v>
      </c>
      <c r="E12498" s="22" t="s">
        <v>52</v>
      </c>
      <c r="F12498" s="23" t="str">
        <f>HYPERLINK("https://www.spark-marketing.ru/Card/Lot/68626125", "Оказание услуг по обеспечению пропускного и внутриобъектного режимов и охране имущества отделения №1 ГКУ «Республиканский центр материальной помощи (компенсационных выплат)» в городском округе ""Набережные Челны""")</f>
        <v>Оказание услуг по обеспечению пропускного и внутриобъектного режимов и охране имущества отделения №1 ГКУ «Республиканский центр материальной помощи (компенсационных выплат)» в городском округе "Набережные Челны"</v>
      </c>
      <c r="G12498" s="22" t="s">
        <v>204</v>
      </c>
      <c r="H12498" s="22" t="s">
        <v>303</v>
      </c>
      <c r="I12498" s="26">
        <v>43536.494444444397</v>
      </c>
      <c r="J12498" s="23" t="str">
        <f>HYPERLINK("https://www.spark-marketing.ru/Card/Person/6457122", "ООО ""ЧОО ""ЭЛИТ-М""")</f>
        <v>ООО "ЧОО "ЭЛИТ-М"</v>
      </c>
      <c r="K12498" s="24" t="s">
        <v>14834</v>
      </c>
      <c r="L12498" s="22" t="s">
        <v>10</v>
      </c>
      <c r="M12498" s="25">
        <v>593905.72</v>
      </c>
      <c r="N12498" s="27">
        <v>0.21500004546849361</v>
      </c>
    </row>
    <row r="12499" spans="1:14" x14ac:dyDescent="0.15">
      <c r="A12499" s="23" t="str">
        <f>HYPERLINK("https://www.spark-marketing.ru/Card/Person/4348584", "АО ""АТОМ-ОХРАНА""")</f>
        <v>АО "АТОМ-ОХРАНА"</v>
      </c>
      <c r="B12499" s="24" t="s">
        <v>1036</v>
      </c>
      <c r="C12499" s="25">
        <v>0</v>
      </c>
      <c r="D12499" s="22" t="s">
        <v>14835</v>
      </c>
      <c r="E12499" s="22" t="s">
        <v>53</v>
      </c>
      <c r="F12499" s="23" t="str">
        <f>HYPERLINK("https://www.spark-marketing.ru/Card/Lot/68625713", "мониторинг цен в электронной форме на Оказание услуг по техническому обслуживанию служебного автомобиля марки NISSAN TEANA административно управленческого аппарата МУВО № 1 ФГУП «Атом-охрана» в 2019 году")</f>
        <v>мониторинг цен в электронной форме на Оказание услуг по техническому обслуживанию служебного автомобиля марки NISSAN TEANA административно управленческого аппарата МУВО № 1 ФГУП «Атом-охрана» в 2019 году</v>
      </c>
      <c r="G12499" s="22" t="s">
        <v>55</v>
      </c>
      <c r="H12499" s="22" t="s">
        <v>55</v>
      </c>
      <c r="I12499" s="26">
        <v>43536.471504629597</v>
      </c>
      <c r="J12499" s="28" t="s">
        <v>52</v>
      </c>
      <c r="K12499" s="28" t="s">
        <v>52</v>
      </c>
      <c r="L12499" s="28" t="s">
        <v>52</v>
      </c>
      <c r="M12499" s="28" t="s">
        <v>52</v>
      </c>
      <c r="N12499" s="28" t="s">
        <v>52</v>
      </c>
    </row>
    <row r="12500" spans="1:14" x14ac:dyDescent="0.15">
      <c r="A12500" s="23" t="str">
        <f>HYPERLINK("https://www.spark-marketing.ru/Card/Person/140364", "АДМИНИСТРАЦИЯ СОВЕТСКОГО РАЙОНА ГОРОДА ОРСКА")</f>
        <v>АДМИНИСТРАЦИЯ СОВЕТСКОГО РАЙОНА ГОРОДА ОРСКА</v>
      </c>
      <c r="B12500" s="24" t="s">
        <v>14836</v>
      </c>
      <c r="C12500" s="25">
        <v>690800</v>
      </c>
      <c r="D12500" s="22" t="s">
        <v>14837</v>
      </c>
      <c r="E12500" s="22" t="s">
        <v>68</v>
      </c>
      <c r="F12500" s="23" t="str">
        <f>HYPERLINK("https://www.spark-marketing.ru/Card/Lot/68617982", "Организация мероприятий, направленных на охрану общественного порядка на территории Советского района города Орска и создание условий для деятельности народных дружин")</f>
        <v>Организация мероприятий, направленных на охрану общественного порядка на территории Советского района города Орска и создание условий для деятельности народных дружин</v>
      </c>
      <c r="G12500" s="22" t="s">
        <v>384</v>
      </c>
      <c r="H12500" s="22" t="s">
        <v>10100</v>
      </c>
      <c r="I12500" s="26">
        <v>43536.473611111098</v>
      </c>
      <c r="J12500" s="23" t="str">
        <f>HYPERLINK("https://www.spark-marketing.ru/Card/Person/749562", "ООО ОО ""М-ГРУПП""")</f>
        <v>ООО ОО "М-ГРУПП"</v>
      </c>
      <c r="K12500" s="24" t="s">
        <v>14838</v>
      </c>
      <c r="L12500" s="22" t="s">
        <v>10</v>
      </c>
      <c r="M12500" s="28" t="s">
        <v>52</v>
      </c>
      <c r="N12500" s="28" t="s">
        <v>52</v>
      </c>
    </row>
    <row r="12501" spans="1:14" x14ac:dyDescent="0.15">
      <c r="A12501" s="23" t="str">
        <f>HYPERLINK("https://www.spark-marketing.ru/Card/Person/1017900", "МБОУ ""СОШ №3"" Г. НЕВЕЛЬСКА")</f>
        <v>МБОУ "СОШ №3" Г. НЕВЕЛЬСКА</v>
      </c>
      <c r="B12501" s="24" t="s">
        <v>14839</v>
      </c>
      <c r="C12501" s="25">
        <v>499800</v>
      </c>
      <c r="D12501" s="22" t="s">
        <v>14840</v>
      </c>
      <c r="E12501" s="22" t="s">
        <v>68</v>
      </c>
      <c r="F12501" s="23" t="str">
        <f>HYPERLINK("https://www.spark-marketing.ru/Card/Lot/68608490", "оказание услуг по охране объекта и имущества , a также обеспечения внутриобъектового и пропускного режима на объекте МБОУ ""Средняя общеобразовательная школа №3"", расположенного по адресу: г. Невельск, ул. Гоголя, 5")</f>
        <v>оказание услуг по охране объекта и имущества , a также обеспечения внутриобъектового и пропускного режима на объекте МБОУ "Средняя общеобразовательная школа №3", расположенного по адресу: г. Невельск, ул. Гоголя, 5</v>
      </c>
      <c r="G12501" s="22" t="s">
        <v>69</v>
      </c>
      <c r="H12501" s="22" t="s">
        <v>14841</v>
      </c>
      <c r="I12501" s="26">
        <v>43536.480555555601</v>
      </c>
      <c r="J12501" s="28" t="s">
        <v>52</v>
      </c>
      <c r="K12501" s="28" t="s">
        <v>52</v>
      </c>
      <c r="L12501" s="28" t="s">
        <v>52</v>
      </c>
      <c r="M12501" s="28" t="s">
        <v>52</v>
      </c>
      <c r="N12501" s="28" t="s">
        <v>52</v>
      </c>
    </row>
    <row r="12502" spans="1:14" ht="12.75" hidden="1" outlineLevel="1" x14ac:dyDescent="0.2">
      <c r="A12502" s="23" t="str">
        <f>HYPERLINK("https://www.spark-marketing.ru/Card/Person/1017900", "МБОУ ""СОШ №3"" Г. НЕВЕЛЬСКА")</f>
        <v>МБОУ "СОШ №3" Г. НЕВЕЛЬСКА</v>
      </c>
      <c r="B12502" s="24" t="s">
        <v>14839</v>
      </c>
      <c r="C12502" s="25">
        <v>499800</v>
      </c>
      <c r="D12502" s="22" t="s">
        <v>14840</v>
      </c>
      <c r="E12502" s="22" t="s">
        <v>68</v>
      </c>
      <c r="F12502" s="23" t="str">
        <f>HYPERLINK("https://www.spark-marketing.ru/Card/Lot/68608490", "оказание услуг по охране объекта и имущества , a также обеспечения внутриобъектового и пропускного режима на объекте МБОУ ""Средняя общеобразовательная школа №3"", расположенного по адресу: г. Невельск, ул. Гоголя, 5")</f>
        <v>оказание услуг по охране объекта и имущества , a также обеспечения внутриобъектового и пропускного режима на объекте МБОУ "Средняя общеобразовательная школа №3", расположенного по адресу: г. Невельск, ул. Гоголя, 5</v>
      </c>
      <c r="G12502" s="22" t="s">
        <v>69</v>
      </c>
      <c r="H12502" s="22" t="s">
        <v>14841</v>
      </c>
      <c r="I12502" s="26">
        <v>43536.480555555601</v>
      </c>
      <c r="J12502" s="23" t="str">
        <f>HYPERLINK("https://www.spark-marketing.ru/Card/Person/2593395", "ООО ЧОП ""ИРБИС-Т""")</f>
        <v>ООО ЧОП "ИРБИС-Т"</v>
      </c>
      <c r="K12502" s="24" t="s">
        <v>7697</v>
      </c>
      <c r="L12502" s="22" t="s">
        <v>10</v>
      </c>
      <c r="M12502" s="25">
        <v>480480</v>
      </c>
      <c r="N12502" s="27">
        <v>3.8655462184873951E-2</v>
      </c>
    </row>
    <row r="12503" spans="1:14" hidden="1" outlineLevel="1" x14ac:dyDescent="0.2">
      <c r="A12503" s="23" t="str">
        <f>HYPERLINK("https://www.spark-marketing.ru/Card/Person/1017900", "МБОУ ""СОШ №3"" Г. НЕВЕЛЬСКА")</f>
        <v>МБОУ "СОШ №3" Г. НЕВЕЛЬСКА</v>
      </c>
      <c r="B12503" s="24" t="s">
        <v>14839</v>
      </c>
      <c r="C12503" s="25">
        <v>499800</v>
      </c>
      <c r="D12503" s="22" t="s">
        <v>14840</v>
      </c>
      <c r="E12503" s="22" t="s">
        <v>68</v>
      </c>
      <c r="F12503" s="23" t="str">
        <f>HYPERLINK("https://www.spark-marketing.ru/Card/Lot/68608490", "оказание услуг по охране объекта и имущества , a также обеспечения внутриобъектового и пропускного режима на объекте МБОУ ""Средняя общеобразовательная школа №3"", расположенного по адресу: г. Невельск, ул. Гоголя, 5")</f>
        <v>оказание услуг по охране объекта и имущества , a также обеспечения внутриобъектового и пропускного режима на объекте МБОУ "Средняя общеобразовательная школа №3", расположенного по адресу: г. Невельск, ул. Гоголя, 5</v>
      </c>
      <c r="G12503" s="22" t="s">
        <v>69</v>
      </c>
      <c r="H12503" s="22" t="s">
        <v>14841</v>
      </c>
      <c r="I12503" s="26">
        <v>43536.480555555601</v>
      </c>
      <c r="J12503" s="23" t="str">
        <f>HYPERLINK("https://www.spark-marketing.ru/Card/Person/152419", "ООО ""ОА ""ЗАСТАВА""")</f>
        <v>ООО "ОА "ЗАСТАВА"</v>
      </c>
      <c r="K12503" s="24" t="s">
        <v>7252</v>
      </c>
      <c r="L12503" s="28" t="s">
        <v>52</v>
      </c>
      <c r="M12503" s="25">
        <v>499800</v>
      </c>
      <c r="N12503" s="27">
        <v>0</v>
      </c>
    </row>
    <row r="12504" spans="1:14" x14ac:dyDescent="0.15">
      <c r="A12504" s="23" t="str">
        <f>HYPERLINK("https://www.spark-marketing.ru/Card/Person/139509", "МКУ ""ЦЕНТР СЕМЕЙНОГО УСТРОЙСТВА""")</f>
        <v>МКУ "ЦЕНТР СЕМЕЙНОГО УСТРОЙСТВА"</v>
      </c>
      <c r="B12504" s="24" t="s">
        <v>14842</v>
      </c>
      <c r="C12504" s="25">
        <v>1452000</v>
      </c>
      <c r="D12504" s="22" t="s">
        <v>14843</v>
      </c>
      <c r="E12504" s="22" t="s">
        <v>52</v>
      </c>
      <c r="F12504" s="23" t="str">
        <f>HYPERLINK("https://www.spark-marketing.ru/Card/Lot/68611857", "Услуги постовой охраны для МКУ ""Центр семейного устройства""")</f>
        <v>Услуги постовой охраны для МКУ "Центр семейного устройства"</v>
      </c>
      <c r="G12504" s="22" t="s">
        <v>424</v>
      </c>
      <c r="H12504" s="22" t="s">
        <v>602</v>
      </c>
      <c r="I12504" s="26">
        <v>43536.45</v>
      </c>
      <c r="J12504" s="28" t="s">
        <v>52</v>
      </c>
      <c r="K12504" s="28" t="s">
        <v>52</v>
      </c>
      <c r="L12504" s="28" t="s">
        <v>52</v>
      </c>
      <c r="M12504" s="28" t="s">
        <v>52</v>
      </c>
      <c r="N12504" s="28" t="s">
        <v>52</v>
      </c>
    </row>
    <row r="12505" spans="1:14" hidden="1" outlineLevel="1" x14ac:dyDescent="0.2">
      <c r="A12505" s="23" t="str">
        <f>HYPERLINK("https://www.spark-marketing.ru/Card/Person/139509", "МКУ ""ЦЕНТР СЕМЕЙНОГО УСТРОЙСТВА""")</f>
        <v>МКУ "ЦЕНТР СЕМЕЙНОГО УСТРОЙСТВА"</v>
      </c>
      <c r="B12505" s="24" t="s">
        <v>14842</v>
      </c>
      <c r="C12505" s="25">
        <v>1452000</v>
      </c>
      <c r="D12505" s="22" t="s">
        <v>14843</v>
      </c>
      <c r="E12505" s="22" t="s">
        <v>52</v>
      </c>
      <c r="F12505" s="23" t="str">
        <f>HYPERLINK("https://www.spark-marketing.ru/Card/Lot/68611857", "Услуги постовой охраны для МКУ ""Центр семейного устройства""")</f>
        <v>Услуги постовой охраны для МКУ "Центр семейного устройства"</v>
      </c>
      <c r="G12505" s="22" t="s">
        <v>424</v>
      </c>
      <c r="H12505" s="22" t="s">
        <v>602</v>
      </c>
      <c r="I12505" s="26">
        <v>43536.45</v>
      </c>
      <c r="J12505" s="23" t="str">
        <f>HYPERLINK("https://www.spark-marketing.ru/Card/Person/447014", "ООО ЧОП ""ГАЛИАФ""")</f>
        <v>ООО ЧОП "ГАЛИАФ"</v>
      </c>
      <c r="K12505" s="24" t="s">
        <v>9319</v>
      </c>
      <c r="L12505" s="28" t="s">
        <v>52</v>
      </c>
      <c r="M12505" s="25">
        <v>1059960</v>
      </c>
      <c r="N12505" s="27">
        <v>0.27</v>
      </c>
    </row>
    <row r="12506" spans="1:14" ht="12.75" hidden="1" outlineLevel="1" x14ac:dyDescent="0.2">
      <c r="A12506" s="23" t="str">
        <f>HYPERLINK("https://www.spark-marketing.ru/Card/Person/139509", "МКУ ""ЦЕНТР СЕМЕЙНОГО УСТРОЙСТВА""")</f>
        <v>МКУ "ЦЕНТР СЕМЕЙНОГО УСТРОЙСТВА"</v>
      </c>
      <c r="B12506" s="24" t="s">
        <v>14842</v>
      </c>
      <c r="C12506" s="25">
        <v>1452000</v>
      </c>
      <c r="D12506" s="22" t="s">
        <v>14843</v>
      </c>
      <c r="E12506" s="22" t="s">
        <v>52</v>
      </c>
      <c r="F12506" s="23" t="str">
        <f>HYPERLINK("https://www.spark-marketing.ru/Card/Lot/68611857", "Услуги постовой охраны для МКУ ""Центр семейного устройства""")</f>
        <v>Услуги постовой охраны для МКУ "Центр семейного устройства"</v>
      </c>
      <c r="G12506" s="22" t="s">
        <v>424</v>
      </c>
      <c r="H12506" s="22" t="s">
        <v>602</v>
      </c>
      <c r="I12506" s="26">
        <v>43536.45</v>
      </c>
      <c r="J12506" s="23" t="str">
        <f>HYPERLINK("https://www.spark-marketing.ru/Card/Person/446473", "ООО ЧОП ""ФЛАГМАН""")</f>
        <v>ООО ЧОП "ФЛАГМАН"</v>
      </c>
      <c r="K12506" s="24" t="s">
        <v>14844</v>
      </c>
      <c r="L12506" s="22" t="s">
        <v>10</v>
      </c>
      <c r="M12506" s="25">
        <v>1052700</v>
      </c>
      <c r="N12506" s="27">
        <v>0.27500000000000002</v>
      </c>
    </row>
    <row r="12507" spans="1:14" x14ac:dyDescent="0.15">
      <c r="A12507" s="23" t="str">
        <f>HYPERLINK("https://www.spark-marketing.ru/Card/Person/48849", "ГБУЗ НО ""ГКБ № 30 МОСКОВСКОГО РАЙОНА""")</f>
        <v>ГБУЗ НО "ГКБ № 30 МОСКОВСКОГО РАЙОНА"</v>
      </c>
      <c r="B12507" s="24" t="s">
        <v>6122</v>
      </c>
      <c r="C12507" s="25">
        <v>14226.3</v>
      </c>
      <c r="D12507" s="22" t="s">
        <v>14845</v>
      </c>
      <c r="E12507" s="22" t="s">
        <v>68</v>
      </c>
      <c r="F12507" s="23" t="str">
        <f>HYPERLINK("https://www.spark-marketing.ru/Card/Lot/68621040", "экстренное прибытие наряда полиции")</f>
        <v>экстренное прибытие наряда полиции</v>
      </c>
      <c r="G12507" s="22" t="s">
        <v>64</v>
      </c>
      <c r="H12507" s="22" t="s">
        <v>65</v>
      </c>
      <c r="I12507" s="26">
        <v>43536.434722222199</v>
      </c>
      <c r="J12507" s="28" t="s">
        <v>52</v>
      </c>
      <c r="K12507" s="28" t="s">
        <v>52</v>
      </c>
      <c r="L12507" s="28" t="s">
        <v>52</v>
      </c>
      <c r="M12507" s="28" t="s">
        <v>52</v>
      </c>
      <c r="N12507" s="28" t="s">
        <v>52</v>
      </c>
    </row>
    <row r="12508" spans="1:14" x14ac:dyDescent="0.2">
      <c r="A12508" s="23" t="str">
        <f>HYPERLINK("https://www.spark-marketing.ru/Card/Person/1753482", "ОАО ""КАМЧАТГАЗПРОМ""")</f>
        <v>ОАО "КАМЧАТГАЗПРОМ"</v>
      </c>
      <c r="B12508" s="24" t="s">
        <v>14846</v>
      </c>
      <c r="C12508" s="25">
        <v>160000</v>
      </c>
      <c r="D12508" s="22" t="s">
        <v>14847</v>
      </c>
      <c r="E12508" s="22" t="s">
        <v>1923</v>
      </c>
      <c r="F12508" s="23" t="str">
        <f>HYPERLINK("https://www.spark-marketing.ru/Card/Lot/68607866", "Выполнение работ по инженерно-геодезическому сопровождению объекта")</f>
        <v>Выполнение работ по инженерно-геодезическому сопровождению объекта</v>
      </c>
      <c r="G12508" s="22" t="s">
        <v>1141</v>
      </c>
      <c r="H12508" s="22" t="s">
        <v>1142</v>
      </c>
      <c r="I12508" s="26">
        <v>43536.4536689815</v>
      </c>
      <c r="J12508" s="23" t="str">
        <f>HYPERLINK("https://www.spark-marketing.ru/Card/Person/339449", "ООО ""КСИ""")</f>
        <v>ООО "КСИ"</v>
      </c>
      <c r="K12508" s="24" t="s">
        <v>14848</v>
      </c>
      <c r="L12508" s="28" t="s">
        <v>52</v>
      </c>
      <c r="M12508" s="25">
        <v>160000</v>
      </c>
      <c r="N12508" s="27">
        <v>0</v>
      </c>
    </row>
    <row r="12509" spans="1:14" x14ac:dyDescent="0.15">
      <c r="A12509" s="23" t="str">
        <f>HYPERLINK("https://www.spark-marketing.ru/Card/Person/30314", "ГБУЗ ""УНЕЧСКАЯ ЦРБ""")</f>
        <v>ГБУЗ "УНЕЧСКАЯ ЦРБ"</v>
      </c>
      <c r="B12509" s="24" t="s">
        <v>14849</v>
      </c>
      <c r="C12509" s="25">
        <v>57886.559999999998</v>
      </c>
      <c r="D12509" s="22" t="s">
        <v>14850</v>
      </c>
      <c r="E12509" s="22" t="s">
        <v>68</v>
      </c>
      <c r="F12509" s="23" t="str">
        <f>HYPERLINK("https://www.spark-marketing.ru/Card/Lot/68622872", "Услуги по охране объекта (хранение наркотических средств и психотропных веществ) путем централизованного наблюдения за техническими средствами охранной сигнализации")</f>
        <v>Услуги по охране объекта (хранение наркотических средств и психотропных веществ) путем централизованного наблюдения за техническими средствами охранной сигнализации</v>
      </c>
      <c r="G12509" s="22" t="s">
        <v>215</v>
      </c>
      <c r="H12509" s="22" t="s">
        <v>216</v>
      </c>
      <c r="I12509" s="26">
        <v>43536.452777777798</v>
      </c>
      <c r="J12509" s="28" t="s">
        <v>52</v>
      </c>
      <c r="K12509" s="28" t="s">
        <v>52</v>
      </c>
      <c r="L12509" s="28" t="s">
        <v>52</v>
      </c>
      <c r="M12509" s="28" t="s">
        <v>52</v>
      </c>
      <c r="N12509" s="28" t="s">
        <v>52</v>
      </c>
    </row>
    <row r="12510" spans="1:14" x14ac:dyDescent="0.15">
      <c r="A12510" s="23" t="str">
        <f>HYPERLINK("https://www.spark-marketing.ru/Card/Person/5951331", "ГБУЗ ПК ""ГБ Г. СОЛИКАМСК""")</f>
        <v>ГБУЗ ПК "ГБ Г. СОЛИКАМСК"</v>
      </c>
      <c r="B12510" s="24" t="s">
        <v>448</v>
      </c>
      <c r="C12510" s="25">
        <v>40619.97</v>
      </c>
      <c r="D12510" s="22" t="s">
        <v>14851</v>
      </c>
      <c r="E12510" s="22" t="s">
        <v>349</v>
      </c>
      <c r="F12510" s="23" t="str">
        <f>HYPERLINK("https://www.spark-marketing.ru/Card/Lot/68616241", "Оказание услуг по техническому обслуживанию системы видеонаблюдения")</f>
        <v>Оказание услуг по техническому обслуживанию системы видеонаблюдения</v>
      </c>
      <c r="G12510" s="22" t="s">
        <v>391</v>
      </c>
      <c r="H12510" s="22" t="s">
        <v>391</v>
      </c>
      <c r="I12510" s="26">
        <v>43536.421527777798</v>
      </c>
      <c r="J12510" s="28" t="s">
        <v>52</v>
      </c>
      <c r="K12510" s="28" t="s">
        <v>52</v>
      </c>
      <c r="L12510" s="28" t="s">
        <v>52</v>
      </c>
      <c r="M12510" s="28" t="s">
        <v>52</v>
      </c>
      <c r="N12510" s="28" t="s">
        <v>52</v>
      </c>
    </row>
    <row r="12511" spans="1:14" ht="12.75" hidden="1" outlineLevel="1" x14ac:dyDescent="0.2">
      <c r="A12511" s="23" t="str">
        <f>HYPERLINK("https://www.spark-marketing.ru/Card/Person/5951331", "ГБУЗ ПК ""ГБ Г. СОЛИКАМСК""")</f>
        <v>ГБУЗ ПК "ГБ Г. СОЛИКАМСК"</v>
      </c>
      <c r="B12511" s="24" t="s">
        <v>448</v>
      </c>
      <c r="C12511" s="25">
        <v>40619.97</v>
      </c>
      <c r="D12511" s="22" t="s">
        <v>14851</v>
      </c>
      <c r="E12511" s="22" t="s">
        <v>349</v>
      </c>
      <c r="F12511" s="23" t="str">
        <f>HYPERLINK("https://www.spark-marketing.ru/Card/Lot/68616241", "Оказание услуг по техническому обслуживанию системы видеонаблюдения")</f>
        <v>Оказание услуг по техническому обслуживанию системы видеонаблюдения</v>
      </c>
      <c r="G12511" s="22" t="s">
        <v>391</v>
      </c>
      <c r="H12511" s="22" t="s">
        <v>391</v>
      </c>
      <c r="I12511" s="26">
        <v>43536.421527777798</v>
      </c>
      <c r="J12511" s="23" t="str">
        <f>HYPERLINK("https://www.spark-marketing.ru/Card/Person/5865499", "Давыдов Георгий Николаевич")</f>
        <v>Давыдов Георгий Николаевич</v>
      </c>
      <c r="K12511" s="24" t="s">
        <v>2350</v>
      </c>
      <c r="L12511" s="22" t="s">
        <v>10</v>
      </c>
      <c r="M12511" s="25">
        <v>29652.57</v>
      </c>
      <c r="N12511" s="27">
        <v>0.27000019940930531</v>
      </c>
    </row>
    <row r="12512" spans="1:14" hidden="1" outlineLevel="1" x14ac:dyDescent="0.2">
      <c r="A12512" s="23" t="str">
        <f>HYPERLINK("https://www.spark-marketing.ru/Card/Person/5951331", "ГБУЗ ПК ""ГБ Г. СОЛИКАМСК""")</f>
        <v>ГБУЗ ПК "ГБ Г. СОЛИКАМСК"</v>
      </c>
      <c r="B12512" s="24" t="s">
        <v>448</v>
      </c>
      <c r="C12512" s="25">
        <v>40619.97</v>
      </c>
      <c r="D12512" s="22" t="s">
        <v>14851</v>
      </c>
      <c r="E12512" s="22" t="s">
        <v>349</v>
      </c>
      <c r="F12512" s="23" t="str">
        <f>HYPERLINK("https://www.spark-marketing.ru/Card/Lot/68616241", "Оказание услуг по техническому обслуживанию системы видеонаблюдения")</f>
        <v>Оказание услуг по техническому обслуживанию системы видеонаблюдения</v>
      </c>
      <c r="G12512" s="22" t="s">
        <v>391</v>
      </c>
      <c r="H12512" s="22" t="s">
        <v>391</v>
      </c>
      <c r="I12512" s="26">
        <v>43536.421527777798</v>
      </c>
      <c r="J12512" s="23" t="str">
        <f>HYPERLINK("https://www.spark-marketing.ru/Card/Person/784174", "ООО ""БРАНД""")</f>
        <v>ООО "БРАНД"</v>
      </c>
      <c r="K12512" s="24" t="s">
        <v>14852</v>
      </c>
      <c r="L12512" s="28" t="s">
        <v>52</v>
      </c>
      <c r="M12512" s="25">
        <v>29855.67</v>
      </c>
      <c r="N12512" s="27">
        <v>0.26500019571654043</v>
      </c>
    </row>
    <row r="12513" spans="1:14" hidden="1" outlineLevel="1" x14ac:dyDescent="0.2">
      <c r="A12513" s="23" t="str">
        <f>HYPERLINK("https://www.spark-marketing.ru/Card/Person/5951331", "ГБУЗ ПК ""ГБ Г. СОЛИКАМСК""")</f>
        <v>ГБУЗ ПК "ГБ Г. СОЛИКАМСК"</v>
      </c>
      <c r="B12513" s="24" t="s">
        <v>448</v>
      </c>
      <c r="C12513" s="25">
        <v>40619.97</v>
      </c>
      <c r="D12513" s="22" t="s">
        <v>14851</v>
      </c>
      <c r="E12513" s="22" t="s">
        <v>349</v>
      </c>
      <c r="F12513" s="23" t="str">
        <f>HYPERLINK("https://www.spark-marketing.ru/Card/Lot/68616241", "Оказание услуг по техническому обслуживанию системы видеонаблюдения")</f>
        <v>Оказание услуг по техническому обслуживанию системы видеонаблюдения</v>
      </c>
      <c r="G12513" s="22" t="s">
        <v>391</v>
      </c>
      <c r="H12513" s="22" t="s">
        <v>391</v>
      </c>
      <c r="I12513" s="26">
        <v>43536.421527777798</v>
      </c>
      <c r="J12513" s="23" t="str">
        <f>HYPERLINK("https://www.spark-marketing.ru/Card/Person/420274", "Уфимцев Андрей Александрович")</f>
        <v>Уфимцев Андрей Александрович</v>
      </c>
      <c r="K12513" s="24" t="s">
        <v>14853</v>
      </c>
      <c r="L12513" s="28" t="s">
        <v>52</v>
      </c>
      <c r="M12513" s="25">
        <v>31074.27</v>
      </c>
      <c r="N12513" s="27">
        <v>0.23500017355995093</v>
      </c>
    </row>
    <row r="12514" spans="1:14" x14ac:dyDescent="0.15">
      <c r="A12514" s="23" t="str">
        <f>HYPERLINK("https://www.spark-marketing.ru/Card/Person/16469", "ГБУЗ СО ""ПТД""")</f>
        <v>ГБУЗ СО "ПТД"</v>
      </c>
      <c r="B12514" s="24" t="s">
        <v>14854</v>
      </c>
      <c r="C12514" s="25">
        <v>481800</v>
      </c>
      <c r="D12514" s="22" t="s">
        <v>14855</v>
      </c>
      <c r="E12514" s="22" t="s">
        <v>68</v>
      </c>
      <c r="F12514" s="23" t="str">
        <f>HYPERLINK("https://www.spark-marketing.ru/Card/Lot/68615457", "оказание комплекса охранных услуг на объекте: г. Екатеринбург, ул. Чапаева 9/Тверитина 73 ГБУЗ СО «Противотуберкулезный диспансер » в 2019 году")</f>
        <v>оказание комплекса охранных услуг на объекте: г. Екатеринбург, ул. Чапаева 9/Тверитина 73 ГБУЗ СО «Противотуберкулезный диспансер » в 2019 году</v>
      </c>
      <c r="G12514" s="22" t="s">
        <v>72</v>
      </c>
      <c r="H12514" s="22" t="s">
        <v>949</v>
      </c>
      <c r="I12514" s="26">
        <v>43536.425000000003</v>
      </c>
      <c r="J12514" s="28" t="s">
        <v>52</v>
      </c>
      <c r="K12514" s="28" t="s">
        <v>52</v>
      </c>
      <c r="L12514" s="28" t="s">
        <v>52</v>
      </c>
      <c r="M12514" s="28" t="s">
        <v>52</v>
      </c>
      <c r="N12514" s="28" t="s">
        <v>52</v>
      </c>
    </row>
    <row r="12515" spans="1:14" ht="12.75" hidden="1" outlineLevel="1" x14ac:dyDescent="0.2">
      <c r="A12515" s="23" t="str">
        <f>HYPERLINK("https://www.spark-marketing.ru/Card/Person/16469", "ГБУЗ СО ""ПТД""")</f>
        <v>ГБУЗ СО "ПТД"</v>
      </c>
      <c r="B12515" s="24" t="s">
        <v>14854</v>
      </c>
      <c r="C12515" s="25">
        <v>481800</v>
      </c>
      <c r="D12515" s="22" t="s">
        <v>14855</v>
      </c>
      <c r="E12515" s="22" t="s">
        <v>68</v>
      </c>
      <c r="F12515" s="23" t="str">
        <f>HYPERLINK("https://www.spark-marketing.ru/Card/Lot/68615457", "оказание комплекса охранных услуг на объекте: г. Екатеринбург, ул. Чапаева 9/Тверитина 73 ГБУЗ СО «Противотуберкулезный диспансер » в 2019 году")</f>
        <v>оказание комплекса охранных услуг на объекте: г. Екатеринбург, ул. Чапаева 9/Тверитина 73 ГБУЗ СО «Противотуберкулезный диспансер » в 2019 году</v>
      </c>
      <c r="G12515" s="22" t="s">
        <v>72</v>
      </c>
      <c r="H12515" s="22" t="s">
        <v>949</v>
      </c>
      <c r="I12515" s="26">
        <v>43536.425000000003</v>
      </c>
      <c r="J12515" s="23" t="str">
        <f>HYPERLINK("https://www.spark-marketing.ru/Card/Person/401870", "ООО ЧАСТНОЕ ОХРАННОЕ ПРЕДПРИЯТИЕ ""ГРОМ""")</f>
        <v>ООО ЧАСТНОЕ ОХРАННОЕ ПРЕДПРИЯТИЕ "ГРОМ"</v>
      </c>
      <c r="K12515" s="24" t="s">
        <v>10710</v>
      </c>
      <c r="L12515" s="22" t="s">
        <v>10</v>
      </c>
      <c r="M12515" s="25">
        <v>454773</v>
      </c>
      <c r="N12515" s="27">
        <v>5.6095890410958901E-2</v>
      </c>
    </row>
    <row r="12516" spans="1:14" hidden="1" outlineLevel="1" x14ac:dyDescent="0.2">
      <c r="A12516" s="23" t="str">
        <f>HYPERLINK("https://www.spark-marketing.ru/Card/Person/16469", "ГБУЗ СО ""ПТД""")</f>
        <v>ГБУЗ СО "ПТД"</v>
      </c>
      <c r="B12516" s="24" t="s">
        <v>14854</v>
      </c>
      <c r="C12516" s="25">
        <v>481800</v>
      </c>
      <c r="D12516" s="22" t="s">
        <v>14855</v>
      </c>
      <c r="E12516" s="22" t="s">
        <v>68</v>
      </c>
      <c r="F12516" s="23" t="str">
        <f>HYPERLINK("https://www.spark-marketing.ru/Card/Lot/68615457", "оказание комплекса охранных услуг на объекте: г. Екатеринбург, ул. Чапаева 9/Тверитина 73 ГБУЗ СО «Противотуберкулезный диспансер » в 2019 году")</f>
        <v>оказание комплекса охранных услуг на объекте: г. Екатеринбург, ул. Чапаева 9/Тверитина 73 ГБУЗ СО «Противотуберкулезный диспансер » в 2019 году</v>
      </c>
      <c r="G12516" s="22" t="s">
        <v>72</v>
      </c>
      <c r="H12516" s="22" t="s">
        <v>949</v>
      </c>
      <c r="I12516" s="26">
        <v>43536.425000000003</v>
      </c>
      <c r="J12516" s="23" t="str">
        <f>HYPERLINK("https://www.spark-marketing.ru/Card/Person/2582632", "ООО ЧОП ""ТАЛИОН""")</f>
        <v>ООО ЧОП "ТАЛИОН"</v>
      </c>
      <c r="K12516" s="24" t="s">
        <v>3228</v>
      </c>
      <c r="L12516" s="28" t="s">
        <v>52</v>
      </c>
      <c r="M12516" s="25">
        <v>457182</v>
      </c>
      <c r="N12516" s="27">
        <v>5.1095890410958904E-2</v>
      </c>
    </row>
    <row r="12517" spans="1:14" hidden="1" outlineLevel="1" x14ac:dyDescent="0.2">
      <c r="A12517" s="23" t="str">
        <f>HYPERLINK("https://www.spark-marketing.ru/Card/Person/16469", "ГБУЗ СО ""ПТД""")</f>
        <v>ГБУЗ СО "ПТД"</v>
      </c>
      <c r="B12517" s="24" t="s">
        <v>14854</v>
      </c>
      <c r="C12517" s="25">
        <v>481800</v>
      </c>
      <c r="D12517" s="22" t="s">
        <v>14855</v>
      </c>
      <c r="E12517" s="22" t="s">
        <v>68</v>
      </c>
      <c r="F12517" s="23" t="str">
        <f>HYPERLINK("https://www.spark-marketing.ru/Card/Lot/68615457", "оказание комплекса охранных услуг на объекте: г. Екатеринбург, ул. Чапаева 9/Тверитина 73 ГБУЗ СО «Противотуберкулезный диспансер » в 2019 году")</f>
        <v>оказание комплекса охранных услуг на объекте: г. Екатеринбург, ул. Чапаева 9/Тверитина 73 ГБУЗ СО «Противотуберкулезный диспансер » в 2019 году</v>
      </c>
      <c r="G12517" s="22" t="s">
        <v>72</v>
      </c>
      <c r="H12517" s="22" t="s">
        <v>949</v>
      </c>
      <c r="I12517" s="26">
        <v>43536.425000000003</v>
      </c>
      <c r="J12517" s="23" t="str">
        <f>HYPERLINK("https://www.spark-marketing.ru/Card/Person/234166", "ООО ""ЧОО ""СИНТЕК""")</f>
        <v>ООО "ЧОО "СИНТЕК"</v>
      </c>
      <c r="K12517" s="24" t="s">
        <v>11741</v>
      </c>
      <c r="L12517" s="28" t="s">
        <v>52</v>
      </c>
      <c r="M12517" s="25">
        <v>459591</v>
      </c>
      <c r="N12517" s="27">
        <v>4.6095890410958906E-2</v>
      </c>
    </row>
    <row r="12518" spans="1:14" x14ac:dyDescent="0.15">
      <c r="A12518" s="23" t="str">
        <f>HYPERLINK("https://www.spark-marketing.ru/Card/Person/30314", "ГБУЗ ""УНЕЧСКАЯ ЦРБ""")</f>
        <v>ГБУЗ "УНЕЧСКАЯ ЦРБ"</v>
      </c>
      <c r="B12518" s="24" t="s">
        <v>14849</v>
      </c>
      <c r="C12518" s="25">
        <v>43887.6</v>
      </c>
      <c r="D12518" s="22" t="s">
        <v>14856</v>
      </c>
      <c r="E12518" s="22" t="s">
        <v>68</v>
      </c>
      <c r="F12518" s="23" t="str">
        <f>HYPERLINK("https://www.spark-marketing.ru/Card/Lot/68622411", "Услуги по охране объекта (хранение наркотических средств и психотропных веществ) путем контроля за техническими средствами тревожной сигнализации")</f>
        <v>Услуги по охране объекта (хранение наркотических средств и психотропных веществ) путем контроля за техническими средствами тревожной сигнализации</v>
      </c>
      <c r="G12518" s="22" t="s">
        <v>215</v>
      </c>
      <c r="H12518" s="22" t="s">
        <v>216</v>
      </c>
      <c r="I12518" s="26">
        <v>43536.457638888904</v>
      </c>
      <c r="J12518" s="28" t="s">
        <v>52</v>
      </c>
      <c r="K12518" s="28" t="s">
        <v>52</v>
      </c>
      <c r="L12518" s="28" t="s">
        <v>52</v>
      </c>
      <c r="M12518" s="28" t="s">
        <v>52</v>
      </c>
      <c r="N12518" s="28" t="s">
        <v>52</v>
      </c>
    </row>
    <row r="12519" spans="1:14" x14ac:dyDescent="0.15">
      <c r="A12519" s="23" t="str">
        <f>HYPERLINK("https://www.spark-marketing.ru/Card/Person/1048759", "МАОУ БЕЛОСТОЛБОВСКАЯ СОШ")</f>
        <v>МАОУ БЕЛОСТОЛБОВСКАЯ СОШ</v>
      </c>
      <c r="B12519" s="24" t="s">
        <v>14857</v>
      </c>
      <c r="C12519" s="25">
        <v>40000</v>
      </c>
      <c r="D12519" s="22" t="s">
        <v>14858</v>
      </c>
      <c r="E12519" s="22" t="s">
        <v>103</v>
      </c>
      <c r="F12519" s="23" t="str">
        <f>HYPERLINK("https://www.spark-marketing.ru/Card/Lot/68618563", "Оказание услуг по техническому обслуживанию системы видеонаблюдения")</f>
        <v>Оказание услуг по техническому обслуживанию системы видеонаблюдения</v>
      </c>
      <c r="G12519" s="22" t="s">
        <v>50</v>
      </c>
      <c r="H12519" s="22" t="s">
        <v>4782</v>
      </c>
      <c r="I12519" s="26">
        <v>43536.451111111099</v>
      </c>
      <c r="J12519" s="28" t="s">
        <v>52</v>
      </c>
      <c r="K12519" s="28" t="s">
        <v>52</v>
      </c>
      <c r="L12519" s="28" t="s">
        <v>52</v>
      </c>
      <c r="M12519" s="28" t="s">
        <v>52</v>
      </c>
      <c r="N12519" s="28" t="s">
        <v>52</v>
      </c>
    </row>
    <row r="12520" spans="1:14" x14ac:dyDescent="0.15">
      <c r="A12520" s="23" t="str">
        <f>HYPERLINK("https://www.spark-marketing.ru/Card/Person/30314", "ГБУЗ ""УНЕЧСКАЯ ЦРБ""")</f>
        <v>ГБУЗ "УНЕЧСКАЯ ЦРБ"</v>
      </c>
      <c r="B12520" s="24" t="s">
        <v>14849</v>
      </c>
      <c r="C12520" s="25">
        <v>17510.400000000001</v>
      </c>
      <c r="D12520" s="22" t="s">
        <v>14859</v>
      </c>
      <c r="E12520" s="22" t="s">
        <v>68</v>
      </c>
      <c r="F12520" s="23" t="str">
        <f>HYPERLINK("https://www.spark-marketing.ru/Card/Lot/68624444", "Оказание услуг по техническому обслуживанию технических средств охраны, установленных на объектах Заказчика на 2019 год.")</f>
        <v>Оказание услуг по техническому обслуживанию технических средств охраны, установленных на объектах Заказчика на 2019 год.</v>
      </c>
      <c r="G12520" s="22" t="s">
        <v>215</v>
      </c>
      <c r="H12520" s="22" t="s">
        <v>216</v>
      </c>
      <c r="I12520" s="26">
        <v>43536.457638888904</v>
      </c>
      <c r="J12520" s="28" t="s">
        <v>52</v>
      </c>
      <c r="K12520" s="28" t="s">
        <v>52</v>
      </c>
      <c r="L12520" s="28" t="s">
        <v>52</v>
      </c>
      <c r="M12520" s="28" t="s">
        <v>52</v>
      </c>
      <c r="N12520" s="28" t="s">
        <v>52</v>
      </c>
    </row>
    <row r="12521" spans="1:14" x14ac:dyDescent="0.15">
      <c r="A12521" s="23" t="str">
        <f>HYPERLINK("https://www.spark-marketing.ru/Card/Person/16580", "АГЕНТСТВО ПО ОБЕСПЕЧЕНИЮ ДЕЯТЕЛЬНОСТИ МИРОВЫХ СУДЕЙ САХАЛИНСКОЙ ОБЛАСТИ")</f>
        <v>АГЕНТСТВО ПО ОБЕСПЕЧЕНИЮ ДЕЯТЕЛЬНОСТИ МИРОВЫХ СУДЕЙ САХАЛИНСКОЙ ОБЛАСТИ</v>
      </c>
      <c r="B12521" s="24" t="s">
        <v>14860</v>
      </c>
      <c r="C12521" s="25">
        <v>53102</v>
      </c>
      <c r="D12521" s="22" t="s">
        <v>14861</v>
      </c>
      <c r="E12521" s="22" t="s">
        <v>194</v>
      </c>
      <c r="F12521" s="23" t="str">
        <f>HYPERLINK("https://www.spark-marketing.ru/Card/Lot/68608033", "Поставка, установка и настройка видеорегистраторов на судебные участки мировых судей Сахалинской области")</f>
        <v>Поставка, установка и настройка видеорегистраторов на судебные участки мировых судей Сахалинской области</v>
      </c>
      <c r="G12521" s="22" t="s">
        <v>69</v>
      </c>
      <c r="H12521" s="22" t="s">
        <v>973</v>
      </c>
      <c r="I12521" s="26">
        <v>43536.454166666699</v>
      </c>
      <c r="J12521" s="28" t="s">
        <v>52</v>
      </c>
      <c r="K12521" s="28" t="s">
        <v>52</v>
      </c>
      <c r="L12521" s="28" t="s">
        <v>52</v>
      </c>
      <c r="M12521" s="28" t="s">
        <v>52</v>
      </c>
      <c r="N12521" s="28" t="s">
        <v>52</v>
      </c>
    </row>
    <row r="12522" spans="1:14" ht="12.75" hidden="1" outlineLevel="1" x14ac:dyDescent="0.2">
      <c r="A12522" s="23" t="str">
        <f>HYPERLINK("https://www.spark-marketing.ru/Card/Person/16580", "АГЕНТСТВО ПО ОБЕСПЕЧЕНИЮ ДЕЯТЕЛЬНОСТИ МИРОВЫХ СУДЕЙ САХАЛИНСКОЙ ОБЛАСТИ")</f>
        <v>АГЕНТСТВО ПО ОБЕСПЕЧЕНИЮ ДЕЯТЕЛЬНОСТИ МИРОВЫХ СУДЕЙ САХАЛИНСКОЙ ОБЛАСТИ</v>
      </c>
      <c r="B12522" s="24" t="s">
        <v>14860</v>
      </c>
      <c r="C12522" s="25">
        <v>53102</v>
      </c>
      <c r="D12522" s="22" t="s">
        <v>14861</v>
      </c>
      <c r="E12522" s="22" t="s">
        <v>194</v>
      </c>
      <c r="F12522" s="23" t="str">
        <f>HYPERLINK("https://www.spark-marketing.ru/Card/Lot/68608033", "Поставка, установка и настройка видеорегистраторов на судебные участки мировых судей Сахалинской области")</f>
        <v>Поставка, установка и настройка видеорегистраторов на судебные участки мировых судей Сахалинской области</v>
      </c>
      <c r="G12522" s="22" t="s">
        <v>69</v>
      </c>
      <c r="H12522" s="22" t="s">
        <v>973</v>
      </c>
      <c r="I12522" s="26">
        <v>43536.454166666699</v>
      </c>
      <c r="J12522" s="23" t="str">
        <f>HYPERLINK("https://www.spark-marketing.ru/Card/Person/134905", "ООО ""АРИЭЛЬ""")</f>
        <v>ООО "АРИЭЛЬ"</v>
      </c>
      <c r="K12522" s="24" t="s">
        <v>13758</v>
      </c>
      <c r="L12522" s="22" t="s">
        <v>10</v>
      </c>
      <c r="M12522" s="25">
        <v>48000</v>
      </c>
      <c r="N12522" s="27">
        <v>9.6079243719633917E-2</v>
      </c>
    </row>
    <row r="12523" spans="1:14" hidden="1" outlineLevel="1" x14ac:dyDescent="0.2">
      <c r="A12523" s="23" t="str">
        <f>HYPERLINK("https://www.spark-marketing.ru/Card/Person/16580", "АГЕНТСТВО ПО ОБЕСПЕЧЕНИЮ ДЕЯТЕЛЬНОСТИ МИРОВЫХ СУДЕЙ САХАЛИНСКОЙ ОБЛАСТИ")</f>
        <v>АГЕНТСТВО ПО ОБЕСПЕЧЕНИЮ ДЕЯТЕЛЬНОСТИ МИРОВЫХ СУДЕЙ САХАЛИНСКОЙ ОБЛАСТИ</v>
      </c>
      <c r="B12523" s="24" t="s">
        <v>14860</v>
      </c>
      <c r="C12523" s="25">
        <v>53102</v>
      </c>
      <c r="D12523" s="22" t="s">
        <v>14861</v>
      </c>
      <c r="E12523" s="22" t="s">
        <v>194</v>
      </c>
      <c r="F12523" s="23" t="str">
        <f>HYPERLINK("https://www.spark-marketing.ru/Card/Lot/68608033", "Поставка, установка и настройка видеорегистраторов на судебные участки мировых судей Сахалинской области")</f>
        <v>Поставка, установка и настройка видеорегистраторов на судебные участки мировых судей Сахалинской области</v>
      </c>
      <c r="G12523" s="22" t="s">
        <v>69</v>
      </c>
      <c r="H12523" s="22" t="s">
        <v>973</v>
      </c>
      <c r="I12523" s="26">
        <v>43536.454166666699</v>
      </c>
      <c r="J12523" s="23" t="str">
        <f>HYPERLINK("https://www.spark-marketing.ru/Card/Person/6262383", "ООО """"СЛАБОТОЧНЫЕ СИСТЕМЫ""""")</f>
        <v>ООО ""СЛАБОТОЧНЫЕ СИСТЕМЫ""</v>
      </c>
      <c r="K12523" s="24" t="s">
        <v>4364</v>
      </c>
      <c r="L12523" s="28" t="s">
        <v>52</v>
      </c>
      <c r="M12523" s="25">
        <v>53100</v>
      </c>
      <c r="N12523" s="27">
        <v>3.7663364845015251E-5</v>
      </c>
    </row>
    <row r="12524" spans="1:14" hidden="1" outlineLevel="1" x14ac:dyDescent="0.15">
      <c r="A12524" s="23" t="str">
        <f>HYPERLINK("https://www.spark-marketing.ru/Card/Person/16580", "АГЕНТСТВО ПО ОБЕСПЕЧЕНИЮ ДЕЯТЕЛЬНОСТИ МИРОВЫХ СУДЕЙ САХАЛИНСКОЙ ОБЛАСТИ")</f>
        <v>АГЕНТСТВО ПО ОБЕСПЕЧЕНИЮ ДЕЯТЕЛЬНОСТИ МИРОВЫХ СУДЕЙ САХАЛИНСКОЙ ОБЛАСТИ</v>
      </c>
      <c r="B12524" s="24" t="s">
        <v>14860</v>
      </c>
      <c r="C12524" s="25">
        <v>53102</v>
      </c>
      <c r="D12524" s="22" t="s">
        <v>14861</v>
      </c>
      <c r="E12524" s="22" t="s">
        <v>194</v>
      </c>
      <c r="F12524" s="23" t="str">
        <f>HYPERLINK("https://www.spark-marketing.ru/Card/Lot/68608033", "Поставка, установка и настройка видеорегистраторов на судебные участки мировых судей Сахалинской области")</f>
        <v>Поставка, установка и настройка видеорегистраторов на судебные участки мировых судей Сахалинской области</v>
      </c>
      <c r="G12524" s="22" t="s">
        <v>69</v>
      </c>
      <c r="H12524" s="22" t="s">
        <v>973</v>
      </c>
      <c r="I12524" s="26">
        <v>43536.454166666699</v>
      </c>
      <c r="J12524" s="23" t="str">
        <f>HYPERLINK("https://www.spark-marketing.ru/Card/Person/6262383", "ООО """"СЛАБОТОЧНЫЕ СИСТЕМЫ""""")</f>
        <v>ООО ""СЛАБОТОЧНЫЕ СИСТЕМЫ""</v>
      </c>
      <c r="K12524" s="24" t="s">
        <v>4364</v>
      </c>
      <c r="L12524" s="28" t="s">
        <v>52</v>
      </c>
      <c r="M12524" s="28" t="s">
        <v>52</v>
      </c>
      <c r="N12524" s="28" t="s">
        <v>52</v>
      </c>
    </row>
    <row r="12525" spans="1:14" x14ac:dyDescent="0.15">
      <c r="A12525" s="23" t="str">
        <f t="shared" ref="A12525:A12531" si="652">HYPERLINK("https://www.spark-marketing.ru/Card/Person/16469", "ГБУЗ СО ""ПТД""")</f>
        <v>ГБУЗ СО "ПТД"</v>
      </c>
      <c r="B12525" s="24" t="s">
        <v>14854</v>
      </c>
      <c r="C12525" s="25">
        <v>759000</v>
      </c>
      <c r="D12525" s="22" t="s">
        <v>14862</v>
      </c>
      <c r="E12525" s="22" t="s">
        <v>68</v>
      </c>
      <c r="F12525" s="23" t="str">
        <f t="shared" ref="F12525:F12531" si="653">HYPERLINK("https://www.spark-marketing.ru/Card/Lot/68617697", "оказание комплекса охранных услуг на объекте: г. Екатеринбург, ул. Камская, 37, 5-е фтизиатрическое отделение ГБУЗ СО «ПТД» в 2019 году")</f>
        <v>оказание комплекса охранных услуг на объекте: г. Екатеринбург, ул. Камская, 37, 5-е фтизиатрическое отделение ГБУЗ СО «ПТД» в 2019 году</v>
      </c>
      <c r="G12525" s="22" t="s">
        <v>72</v>
      </c>
      <c r="H12525" s="22" t="s">
        <v>949</v>
      </c>
      <c r="I12525" s="26">
        <v>43536.425000000003</v>
      </c>
      <c r="J12525" s="28" t="s">
        <v>52</v>
      </c>
      <c r="K12525" s="28" t="s">
        <v>52</v>
      </c>
      <c r="L12525" s="28" t="s">
        <v>52</v>
      </c>
      <c r="M12525" s="28" t="s">
        <v>52</v>
      </c>
      <c r="N12525" s="28" t="s">
        <v>52</v>
      </c>
    </row>
    <row r="12526" spans="1:14" hidden="1" outlineLevel="1" x14ac:dyDescent="0.2">
      <c r="A12526" s="23" t="str">
        <f t="shared" si="652"/>
        <v>ГБУЗ СО "ПТД"</v>
      </c>
      <c r="B12526" s="24" t="s">
        <v>14854</v>
      </c>
      <c r="C12526" s="25">
        <v>759000</v>
      </c>
      <c r="D12526" s="22" t="s">
        <v>14862</v>
      </c>
      <c r="E12526" s="22" t="s">
        <v>68</v>
      </c>
      <c r="F12526" s="23" t="str">
        <f t="shared" si="653"/>
        <v>оказание комплекса охранных услуг на объекте: г. Екатеринбург, ул. Камская, 37, 5-е фтизиатрическое отделение ГБУЗ СО «ПТД» в 2019 году</v>
      </c>
      <c r="G12526" s="22" t="s">
        <v>72</v>
      </c>
      <c r="H12526" s="22" t="s">
        <v>949</v>
      </c>
      <c r="I12526" s="26">
        <v>43536.425000000003</v>
      </c>
      <c r="J12526" s="23" t="str">
        <f>HYPERLINK("https://www.spark-marketing.ru/Card/Person/58845", "ООО ЧОП ""АГЕНТСТВО БИЗНЕС-БЕЗОПАСНОСТЬ""")</f>
        <v>ООО ЧОП "АГЕНТСТВО БИЗНЕС-БЕЗОПАСНОСТЬ"</v>
      </c>
      <c r="K12526" s="24" t="s">
        <v>1177</v>
      </c>
      <c r="L12526" s="28" t="s">
        <v>52</v>
      </c>
      <c r="M12526" s="25">
        <v>613800</v>
      </c>
      <c r="N12526" s="27">
        <v>0.19130434782608696</v>
      </c>
    </row>
    <row r="12527" spans="1:14" hidden="1" outlineLevel="1" x14ac:dyDescent="0.2">
      <c r="A12527" s="23" t="str">
        <f t="shared" si="652"/>
        <v>ГБУЗ СО "ПТД"</v>
      </c>
      <c r="B12527" s="24" t="s">
        <v>14854</v>
      </c>
      <c r="C12527" s="25">
        <v>759000</v>
      </c>
      <c r="D12527" s="22" t="s">
        <v>14862</v>
      </c>
      <c r="E12527" s="22" t="s">
        <v>68</v>
      </c>
      <c r="F12527" s="23" t="str">
        <f t="shared" si="653"/>
        <v>оказание комплекса охранных услуг на объекте: г. Екатеринбург, ул. Камская, 37, 5-е фтизиатрическое отделение ГБУЗ СО «ПТД» в 2019 году</v>
      </c>
      <c r="G12527" s="22" t="s">
        <v>72</v>
      </c>
      <c r="H12527" s="22" t="s">
        <v>949</v>
      </c>
      <c r="I12527" s="26">
        <v>43536.425000000003</v>
      </c>
      <c r="J12527" s="23" t="str">
        <f>HYPERLINK("https://www.spark-marketing.ru/Card/Person/2582632", "ООО ЧОП ""ТАЛИОН""")</f>
        <v>ООО ЧОП "ТАЛИОН"</v>
      </c>
      <c r="K12527" s="24" t="s">
        <v>3228</v>
      </c>
      <c r="L12527" s="28" t="s">
        <v>52</v>
      </c>
      <c r="M12527" s="25">
        <v>571527</v>
      </c>
      <c r="N12527" s="27">
        <v>0.247</v>
      </c>
    </row>
    <row r="12528" spans="1:14" ht="12.75" hidden="1" outlineLevel="1" x14ac:dyDescent="0.2">
      <c r="A12528" s="23" t="str">
        <f t="shared" si="652"/>
        <v>ГБУЗ СО "ПТД"</v>
      </c>
      <c r="B12528" s="24" t="s">
        <v>14854</v>
      </c>
      <c r="C12528" s="25">
        <v>759000</v>
      </c>
      <c r="D12528" s="22" t="s">
        <v>14862</v>
      </c>
      <c r="E12528" s="22" t="s">
        <v>68</v>
      </c>
      <c r="F12528" s="23" t="str">
        <f t="shared" si="653"/>
        <v>оказание комплекса охранных услуг на объекте: г. Екатеринбург, ул. Камская, 37, 5-е фтизиатрическое отделение ГБУЗ СО «ПТД» в 2019 году</v>
      </c>
      <c r="G12528" s="22" t="s">
        <v>72</v>
      </c>
      <c r="H12528" s="22" t="s">
        <v>949</v>
      </c>
      <c r="I12528" s="26">
        <v>43536.425000000003</v>
      </c>
      <c r="J12528" s="23" t="str">
        <f>HYPERLINK("https://www.spark-marketing.ru/Card/Person/234166", "ООО ""ЧОО ""СИНТЕК""")</f>
        <v>ООО "ЧОО "СИНТЕК"</v>
      </c>
      <c r="K12528" s="24" t="s">
        <v>11741</v>
      </c>
      <c r="L12528" s="22" t="s">
        <v>10</v>
      </c>
      <c r="M12528" s="25">
        <v>537000</v>
      </c>
      <c r="N12528" s="27">
        <v>0.29249011857707508</v>
      </c>
    </row>
    <row r="12529" spans="1:14" hidden="1" outlineLevel="1" x14ac:dyDescent="0.2">
      <c r="A12529" s="23" t="str">
        <f t="shared" si="652"/>
        <v>ГБУЗ СО "ПТД"</v>
      </c>
      <c r="B12529" s="24" t="s">
        <v>14854</v>
      </c>
      <c r="C12529" s="25">
        <v>759000</v>
      </c>
      <c r="D12529" s="22" t="s">
        <v>14862</v>
      </c>
      <c r="E12529" s="22" t="s">
        <v>68</v>
      </c>
      <c r="F12529" s="23" t="str">
        <f t="shared" si="653"/>
        <v>оказание комплекса охранных услуг на объекте: г. Екатеринбург, ул. Камская, 37, 5-е фтизиатрическое отделение ГБУЗ СО «ПТД» в 2019 году</v>
      </c>
      <c r="G12529" s="22" t="s">
        <v>72</v>
      </c>
      <c r="H12529" s="22" t="s">
        <v>949</v>
      </c>
      <c r="I12529" s="26">
        <v>43536.425000000003</v>
      </c>
      <c r="J12529" s="23" t="str">
        <f>HYPERLINK("https://www.spark-marketing.ru/Card/Person/2564383", "ООО ""СБ КРОНВЕРК""")</f>
        <v>ООО "СБ КРОНВЕРК"</v>
      </c>
      <c r="K12529" s="24" t="s">
        <v>14863</v>
      </c>
      <c r="L12529" s="28" t="s">
        <v>52</v>
      </c>
      <c r="M12529" s="25">
        <v>541005</v>
      </c>
      <c r="N12529" s="27">
        <v>0.28721343873517785</v>
      </c>
    </row>
    <row r="12530" spans="1:14" hidden="1" outlineLevel="1" x14ac:dyDescent="0.2">
      <c r="A12530" s="23" t="str">
        <f t="shared" si="652"/>
        <v>ГБУЗ СО "ПТД"</v>
      </c>
      <c r="B12530" s="24" t="s">
        <v>14854</v>
      </c>
      <c r="C12530" s="25">
        <v>759000</v>
      </c>
      <c r="D12530" s="22" t="s">
        <v>14862</v>
      </c>
      <c r="E12530" s="22" t="s">
        <v>68</v>
      </c>
      <c r="F12530" s="23" t="str">
        <f t="shared" si="653"/>
        <v>оказание комплекса охранных услуг на объекте: г. Екатеринбург, ул. Камская, 37, 5-е фтизиатрическое отделение ГБУЗ СО «ПТД» в 2019 году</v>
      </c>
      <c r="G12530" s="22" t="s">
        <v>72</v>
      </c>
      <c r="H12530" s="22" t="s">
        <v>949</v>
      </c>
      <c r="I12530" s="26">
        <v>43536.425000000003</v>
      </c>
      <c r="J12530" s="23" t="str">
        <f>HYPERLINK("https://www.spark-marketing.ru/Card/Person/534247", "ООО ЧОО ""ВАРЯГ-1""")</f>
        <v>ООО ЧОО "ВАРЯГ-1"</v>
      </c>
      <c r="K12530" s="24" t="s">
        <v>3231</v>
      </c>
      <c r="L12530" s="28" t="s">
        <v>52</v>
      </c>
      <c r="M12530" s="25">
        <v>755205</v>
      </c>
      <c r="N12530" s="27">
        <v>5.0000000000000001E-3</v>
      </c>
    </row>
    <row r="12531" spans="1:14" hidden="1" outlineLevel="1" x14ac:dyDescent="0.2">
      <c r="A12531" s="23" t="str">
        <f t="shared" si="652"/>
        <v>ГБУЗ СО "ПТД"</v>
      </c>
      <c r="B12531" s="24" t="s">
        <v>14854</v>
      </c>
      <c r="C12531" s="25">
        <v>759000</v>
      </c>
      <c r="D12531" s="22" t="s">
        <v>14862</v>
      </c>
      <c r="E12531" s="22" t="s">
        <v>68</v>
      </c>
      <c r="F12531" s="23" t="str">
        <f t="shared" si="653"/>
        <v>оказание комплекса охранных услуг на объекте: г. Екатеринбург, ул. Камская, 37, 5-е фтизиатрическое отделение ГБУЗ СО «ПТД» в 2019 году</v>
      </c>
      <c r="G12531" s="22" t="s">
        <v>72</v>
      </c>
      <c r="H12531" s="22" t="s">
        <v>949</v>
      </c>
      <c r="I12531" s="26">
        <v>43536.425000000003</v>
      </c>
      <c r="J12531" s="23" t="str">
        <f>HYPERLINK("https://www.spark-marketing.ru/Card/Person/797793", "ООО ЧОП ""МЕДВЕДЬ-Е""")</f>
        <v>ООО ЧОП "МЕДВЕДЬ-Е"</v>
      </c>
      <c r="K12531" s="24" t="s">
        <v>13365</v>
      </c>
      <c r="L12531" s="28" t="s">
        <v>52</v>
      </c>
      <c r="M12531" s="25">
        <v>726000</v>
      </c>
      <c r="N12531" s="27">
        <v>4.3478260869565216E-2</v>
      </c>
    </row>
    <row r="12532" spans="1:14" x14ac:dyDescent="0.15">
      <c r="A12532" s="23" t="str">
        <f>HYPERLINK("https://www.spark-marketing.ru/Card/Person/48849", "ГБУЗ НО ""ГКБ № 30 МОСКОВСКОГО РАЙОНА""")</f>
        <v>ГБУЗ НО "ГКБ № 30 МОСКОВСКОГО РАЙОНА"</v>
      </c>
      <c r="B12532" s="24" t="s">
        <v>6122</v>
      </c>
      <c r="C12532" s="25">
        <v>42103.8</v>
      </c>
      <c r="D12532" s="22" t="s">
        <v>14864</v>
      </c>
      <c r="E12532" s="22" t="s">
        <v>68</v>
      </c>
      <c r="F12532" s="23" t="str">
        <f>HYPERLINK("https://www.spark-marketing.ru/Card/Lot/68622646", "Оказание охранных услуг")</f>
        <v>Оказание охранных услуг</v>
      </c>
      <c r="G12532" s="22" t="s">
        <v>64</v>
      </c>
      <c r="H12532" s="22" t="s">
        <v>65</v>
      </c>
      <c r="I12532" s="26">
        <v>43536.434722222199</v>
      </c>
      <c r="J12532" s="28" t="s">
        <v>52</v>
      </c>
      <c r="K12532" s="28" t="s">
        <v>52</v>
      </c>
      <c r="L12532" s="28" t="s">
        <v>52</v>
      </c>
      <c r="M12532" s="28" t="s">
        <v>52</v>
      </c>
      <c r="N12532" s="28" t="s">
        <v>52</v>
      </c>
    </row>
    <row r="12533" spans="1:14" x14ac:dyDescent="0.15">
      <c r="A12533" s="23" t="str">
        <f>HYPERLINK("https://www.spark-marketing.ru/Card/Person/101903", "ГБУ ДКБ №2 Г. ГРОЗНОГО")</f>
        <v>ГБУ ДКБ №2 Г. ГРОЗНОГО</v>
      </c>
      <c r="B12533" s="24" t="s">
        <v>14865</v>
      </c>
      <c r="C12533" s="25">
        <v>36000</v>
      </c>
      <c r="D12533" s="22" t="s">
        <v>14866</v>
      </c>
      <c r="E12533" s="22" t="s">
        <v>107</v>
      </c>
      <c r="F12533" s="23" t="str">
        <f>HYPERLINK("https://www.spark-marketing.ru/Card/Lot/68621102", "Оказание услуг по техническому обслуживанию системы видеонаблюдения")</f>
        <v>Оказание услуг по техническому обслуживанию системы видеонаблюдения</v>
      </c>
      <c r="G12533" s="22" t="s">
        <v>724</v>
      </c>
      <c r="H12533" s="22" t="s">
        <v>724</v>
      </c>
      <c r="I12533" s="26">
        <v>43536.405555555597</v>
      </c>
      <c r="J12533" s="23" t="str">
        <f>HYPERLINK("https://www.spark-marketing.ru/Card/Person/4513992", "ООО ""СУПР""")</f>
        <v>ООО "СУПР"</v>
      </c>
      <c r="K12533" s="24" t="s">
        <v>14867</v>
      </c>
      <c r="L12533" s="22" t="s">
        <v>10</v>
      </c>
      <c r="M12533" s="28" t="s">
        <v>52</v>
      </c>
      <c r="N12533" s="28" t="s">
        <v>52</v>
      </c>
    </row>
    <row r="12534" spans="1:14" x14ac:dyDescent="0.15">
      <c r="A12534" s="23" t="str">
        <f>HYPERLINK("https://www.spark-marketing.ru/Card/Person/127424", "БОУ Г. ОМСКА ""ЛИЦЕЙ № 166""")</f>
        <v>БОУ Г. ОМСКА "ЛИЦЕЙ № 166"</v>
      </c>
      <c r="B12534" s="24" t="s">
        <v>14868</v>
      </c>
      <c r="C12534" s="25">
        <v>12000</v>
      </c>
      <c r="D12534" s="22" t="s">
        <v>14869</v>
      </c>
      <c r="E12534" s="22" t="s">
        <v>68</v>
      </c>
      <c r="F12534" s="23" t="str">
        <f>HYPERLINK("https://www.spark-marketing.ru/Card/Lot/68615382", "Оказание услуг по охране объекта")</f>
        <v>Оказание услуг по охране объекта</v>
      </c>
      <c r="G12534" s="22" t="s">
        <v>521</v>
      </c>
      <c r="H12534" s="22" t="s">
        <v>522</v>
      </c>
      <c r="I12534" s="26">
        <v>43536.397916666698</v>
      </c>
      <c r="J12534" s="28" t="s">
        <v>52</v>
      </c>
      <c r="K12534" s="28" t="s">
        <v>52</v>
      </c>
      <c r="L12534" s="28" t="s">
        <v>52</v>
      </c>
      <c r="M12534" s="28" t="s">
        <v>52</v>
      </c>
      <c r="N12534" s="28" t="s">
        <v>52</v>
      </c>
    </row>
    <row r="12535" spans="1:14" x14ac:dyDescent="0.15">
      <c r="A12535" s="23" t="str">
        <f>HYPERLINK("https://www.spark-marketing.ru/Card/Person/1054796", "НРМОБУ ""ОБЬ-ЮГАНСКАЯ СОШ""")</f>
        <v>НРМОБУ "ОБЬ-ЮГАНСКАЯ СОШ"</v>
      </c>
      <c r="B12535" s="24" t="s">
        <v>14870</v>
      </c>
      <c r="C12535" s="25">
        <v>327973.92</v>
      </c>
      <c r="D12535" s="22" t="s">
        <v>14871</v>
      </c>
      <c r="E12535" s="22" t="s">
        <v>52</v>
      </c>
      <c r="F12535" s="23" t="str">
        <f>HYPERLINK("https://www.spark-marketing.ru/Card/Lot/68615276", "Услуги частных охранных служб.")</f>
        <v>Услуги частных охранных служб.</v>
      </c>
      <c r="G12535" s="22" t="s">
        <v>119</v>
      </c>
      <c r="H12535" s="22" t="s">
        <v>9031</v>
      </c>
      <c r="I12535" s="26">
        <v>43536.411111111098</v>
      </c>
      <c r="J12535" s="28" t="s">
        <v>52</v>
      </c>
      <c r="K12535" s="28" t="s">
        <v>52</v>
      </c>
      <c r="L12535" s="28" t="s">
        <v>52</v>
      </c>
      <c r="M12535" s="28" t="s">
        <v>52</v>
      </c>
      <c r="N12535" s="28" t="s">
        <v>52</v>
      </c>
    </row>
    <row r="12536" spans="1:14" ht="12.75" hidden="1" outlineLevel="1" x14ac:dyDescent="0.2">
      <c r="A12536" s="23" t="str">
        <f>HYPERLINK("https://www.spark-marketing.ru/Card/Person/1054796", "НРМОБУ ""ОБЬ-ЮГАНСКАЯ СОШ""")</f>
        <v>НРМОБУ "ОБЬ-ЮГАНСКАЯ СОШ"</v>
      </c>
      <c r="B12536" s="24" t="s">
        <v>14870</v>
      </c>
      <c r="C12536" s="25">
        <v>327973.92</v>
      </c>
      <c r="D12536" s="22" t="s">
        <v>14871</v>
      </c>
      <c r="E12536" s="22" t="s">
        <v>52</v>
      </c>
      <c r="F12536" s="23" t="str">
        <f>HYPERLINK("https://www.spark-marketing.ru/Card/Lot/68615276", "Услуги частных охранных служб.")</f>
        <v>Услуги частных охранных служб.</v>
      </c>
      <c r="G12536" s="22" t="s">
        <v>119</v>
      </c>
      <c r="H12536" s="22" t="s">
        <v>9031</v>
      </c>
      <c r="I12536" s="26">
        <v>43536.411111111098</v>
      </c>
      <c r="J12536" s="23" t="str">
        <f>HYPERLINK("https://www.spark-marketing.ru/Card/Person/88382", "ООО ЧОО ""СБ""")</f>
        <v>ООО ЧОО "СБ"</v>
      </c>
      <c r="K12536" s="24" t="s">
        <v>9341</v>
      </c>
      <c r="L12536" s="22" t="s">
        <v>10</v>
      </c>
      <c r="M12536" s="25">
        <v>239420.94</v>
      </c>
      <c r="N12536" s="27">
        <v>0.27000006585889513</v>
      </c>
    </row>
    <row r="12537" spans="1:14" hidden="1" outlineLevel="1" x14ac:dyDescent="0.2">
      <c r="A12537" s="23" t="str">
        <f>HYPERLINK("https://www.spark-marketing.ru/Card/Person/1054796", "НРМОБУ ""ОБЬ-ЮГАНСКАЯ СОШ""")</f>
        <v>НРМОБУ "ОБЬ-ЮГАНСКАЯ СОШ"</v>
      </c>
      <c r="B12537" s="24" t="s">
        <v>14870</v>
      </c>
      <c r="C12537" s="25">
        <v>327973.92</v>
      </c>
      <c r="D12537" s="22" t="s">
        <v>14871</v>
      </c>
      <c r="E12537" s="22" t="s">
        <v>52</v>
      </c>
      <c r="F12537" s="23" t="str">
        <f>HYPERLINK("https://www.spark-marketing.ru/Card/Lot/68615276", "Услуги частных охранных служб.")</f>
        <v>Услуги частных охранных служб.</v>
      </c>
      <c r="G12537" s="22" t="s">
        <v>119</v>
      </c>
      <c r="H12537" s="22" t="s">
        <v>9031</v>
      </c>
      <c r="I12537" s="26">
        <v>43536.411111111098</v>
      </c>
      <c r="J12537" s="23" t="str">
        <f>HYPERLINK("https://www.spark-marketing.ru/Card/Person/6441148", "ООО ""ЧОП ""ТИТАН""")</f>
        <v>ООО "ЧОП "ТИТАН"</v>
      </c>
      <c r="K12537" s="24" t="s">
        <v>14872</v>
      </c>
      <c r="L12537" s="28" t="s">
        <v>52</v>
      </c>
      <c r="M12537" s="25">
        <v>311575.21999999997</v>
      </c>
      <c r="N12537" s="27">
        <v>5.0000012196091688E-2</v>
      </c>
    </row>
    <row r="12538" spans="1:14" hidden="1" outlineLevel="1" x14ac:dyDescent="0.2">
      <c r="A12538" s="23" t="str">
        <f>HYPERLINK("https://www.spark-marketing.ru/Card/Person/1054796", "НРМОБУ ""ОБЬ-ЮГАНСКАЯ СОШ""")</f>
        <v>НРМОБУ "ОБЬ-ЮГАНСКАЯ СОШ"</v>
      </c>
      <c r="B12538" s="24" t="s">
        <v>14870</v>
      </c>
      <c r="C12538" s="25">
        <v>327973.92</v>
      </c>
      <c r="D12538" s="22" t="s">
        <v>14871</v>
      </c>
      <c r="E12538" s="22" t="s">
        <v>52</v>
      </c>
      <c r="F12538" s="23" t="str">
        <f>HYPERLINK("https://www.spark-marketing.ru/Card/Lot/68615276", "Услуги частных охранных служб.")</f>
        <v>Услуги частных охранных служб.</v>
      </c>
      <c r="G12538" s="22" t="s">
        <v>119</v>
      </c>
      <c r="H12538" s="22" t="s">
        <v>9031</v>
      </c>
      <c r="I12538" s="26">
        <v>43536.411111111098</v>
      </c>
      <c r="J12538" s="23" t="str">
        <f>HYPERLINK("https://www.spark-marketing.ru/Card/Person/4515429", "ООО ЧОП ""АНТЕЙ - СБ""")</f>
        <v>ООО ЧОП "АНТЕЙ - СБ"</v>
      </c>
      <c r="K12538" s="24" t="s">
        <v>13258</v>
      </c>
      <c r="L12538" s="28" t="s">
        <v>52</v>
      </c>
      <c r="M12538" s="25">
        <v>239760</v>
      </c>
      <c r="N12538" s="27">
        <v>0.26896626414685654</v>
      </c>
    </row>
    <row r="12539" spans="1:14" hidden="1" outlineLevel="1" x14ac:dyDescent="0.2">
      <c r="A12539" s="23" t="str">
        <f>HYPERLINK("https://www.spark-marketing.ru/Card/Person/1054796", "НРМОБУ ""ОБЬ-ЮГАНСКАЯ СОШ""")</f>
        <v>НРМОБУ "ОБЬ-ЮГАНСКАЯ СОШ"</v>
      </c>
      <c r="B12539" s="24" t="s">
        <v>14870</v>
      </c>
      <c r="C12539" s="25">
        <v>327973.92</v>
      </c>
      <c r="D12539" s="22" t="s">
        <v>14871</v>
      </c>
      <c r="E12539" s="22" t="s">
        <v>52</v>
      </c>
      <c r="F12539" s="23" t="str">
        <f>HYPERLINK("https://www.spark-marketing.ru/Card/Lot/68615276", "Услуги частных охранных служб.")</f>
        <v>Услуги частных охранных служб.</v>
      </c>
      <c r="G12539" s="22" t="s">
        <v>119</v>
      </c>
      <c r="H12539" s="22" t="s">
        <v>9031</v>
      </c>
      <c r="I12539" s="26">
        <v>43536.411111111098</v>
      </c>
      <c r="J12539" s="23" t="str">
        <f>HYPERLINK("https://www.spark-marketing.ru/Card/Person/4851642", "ООО ЧОО ""ОЛИМП-БЕЗОПАСНОСТЬ""")</f>
        <v>ООО ЧОО "ОЛИМП-БЕЗОПАСНОСТЬ"</v>
      </c>
      <c r="K12539" s="24" t="s">
        <v>5255</v>
      </c>
      <c r="L12539" s="28" t="s">
        <v>52</v>
      </c>
      <c r="M12539" s="25">
        <v>327973.92</v>
      </c>
      <c r="N12539" s="27">
        <v>0</v>
      </c>
    </row>
    <row r="12540" spans="1:14" x14ac:dyDescent="0.15">
      <c r="A12540" s="23" t="str">
        <f t="shared" ref="A12540:A12546" si="654">HYPERLINK("https://www.spark-marketing.ru/Card/Person/2040032", "СПБ ГБУСОН ""КЦСОН КИРОВСКОГО РАЙОНА САНКТ-ПЕТЕРБУРГА""")</f>
        <v>СПБ ГБУСОН "КЦСОН КИРОВСКОГО РАЙОНА САНКТ-ПЕТЕРБУРГА"</v>
      </c>
      <c r="B12540" s="24" t="s">
        <v>14873</v>
      </c>
      <c r="C12540" s="25">
        <v>1522987</v>
      </c>
      <c r="D12540" s="22" t="s">
        <v>14874</v>
      </c>
      <c r="E12540" s="22" t="s">
        <v>59</v>
      </c>
      <c r="F12540" s="23" t="str">
        <f t="shared" ref="F12540:F12546" si="655">HYPERLINK("https://www.spark-marketing.ru/Card/Lot/68622151", "Выполнение работ по монтажу систем видеонаблюдения в помещениях по адресам: Санкт-Петербург, пр. Маршала Жукова, д. 22, лит. А, пом. 7-Н, ул. Стойкости, д. 34, лит. А, пом. 3-Н, ул. Стойкости, д. 8, лит. А, пом. 29-Н, 30-Н, и дооборудованию существую...")</f>
        <v>Выполнение работ по монтажу систем видеонаблюдения в помещениях по адресам: Санкт-Петербург, пр. Маршала Жукова, д. 22, лит. А, пом. 7-Н, ул. Стойкости, д. 34, лит. А, пом. 3-Н, ул. Стойкости, д. 8, лит. А, пом. 29-Н, 30-Н, и дооборудованию существую...</v>
      </c>
      <c r="G12540" s="22" t="s">
        <v>89</v>
      </c>
      <c r="H12540" s="22" t="s">
        <v>89</v>
      </c>
      <c r="I12540" s="26">
        <v>43536.393750000003</v>
      </c>
      <c r="J12540" s="28" t="s">
        <v>52</v>
      </c>
      <c r="K12540" s="28" t="s">
        <v>52</v>
      </c>
      <c r="L12540" s="28" t="s">
        <v>52</v>
      </c>
      <c r="M12540" s="28" t="s">
        <v>52</v>
      </c>
      <c r="N12540" s="28" t="s">
        <v>52</v>
      </c>
    </row>
    <row r="12541" spans="1:14" hidden="1" outlineLevel="1" x14ac:dyDescent="0.2">
      <c r="A12541" s="23" t="str">
        <f t="shared" si="654"/>
        <v>СПБ ГБУСОН "КЦСОН КИРОВСКОГО РАЙОНА САНКТ-ПЕТЕРБУРГА"</v>
      </c>
      <c r="B12541" s="24" t="s">
        <v>14873</v>
      </c>
      <c r="C12541" s="25">
        <v>1522987</v>
      </c>
      <c r="D12541" s="22" t="s">
        <v>14874</v>
      </c>
      <c r="E12541" s="22" t="s">
        <v>59</v>
      </c>
      <c r="F12541" s="23" t="str">
        <f t="shared" si="655"/>
        <v>Выполнение работ по монтажу систем видеонаблюдения в помещениях по адресам: Санкт-Петербург, пр. Маршала Жукова, д. 22, лит. А, пом. 7-Н, ул. Стойкости, д. 34, лит. А, пом. 3-Н, ул. Стойкости, д. 8, лит. А, пом. 29-Н, 30-Н, и дооборудованию существую...</v>
      </c>
      <c r="G12541" s="22" t="s">
        <v>89</v>
      </c>
      <c r="H12541" s="22" t="s">
        <v>89</v>
      </c>
      <c r="I12541" s="26">
        <v>43536.393750000003</v>
      </c>
      <c r="J12541" s="23" t="str">
        <f>HYPERLINK("https://www.spark-marketing.ru/Card/Person/5897511", "Романов Максим Александрович")</f>
        <v>Романов Максим Александрович</v>
      </c>
      <c r="K12541" s="24" t="s">
        <v>4769</v>
      </c>
      <c r="L12541" s="28" t="s">
        <v>52</v>
      </c>
      <c r="M12541" s="25">
        <v>992385.06</v>
      </c>
      <c r="N12541" s="27">
        <v>0.3483955805269513</v>
      </c>
    </row>
    <row r="12542" spans="1:14" hidden="1" outlineLevel="1" x14ac:dyDescent="0.2">
      <c r="A12542" s="23" t="str">
        <f t="shared" si="654"/>
        <v>СПБ ГБУСОН "КЦСОН КИРОВСКОГО РАЙОНА САНКТ-ПЕТЕРБУРГА"</v>
      </c>
      <c r="B12542" s="24" t="s">
        <v>14873</v>
      </c>
      <c r="C12542" s="25">
        <v>1522987</v>
      </c>
      <c r="D12542" s="22" t="s">
        <v>14874</v>
      </c>
      <c r="E12542" s="22" t="s">
        <v>59</v>
      </c>
      <c r="F12542" s="23" t="str">
        <f t="shared" si="655"/>
        <v>Выполнение работ по монтажу систем видеонаблюдения в помещениях по адресам: Санкт-Петербург, пр. Маршала Жукова, д. 22, лит. А, пом. 7-Н, ул. Стойкости, д. 34, лит. А, пом. 3-Н, ул. Стойкости, д. 8, лит. А, пом. 29-Н, 30-Н, и дооборудованию существую...</v>
      </c>
      <c r="G12542" s="22" t="s">
        <v>89</v>
      </c>
      <c r="H12542" s="22" t="s">
        <v>89</v>
      </c>
      <c r="I12542" s="26">
        <v>43536.393750000003</v>
      </c>
      <c r="J12542" s="23" t="str">
        <f>HYPERLINK("https://www.spark-marketing.ru/Card/Person/6293291", "Данвальд Наталья Викторовна")</f>
        <v>Данвальд Наталья Викторовна</v>
      </c>
      <c r="K12542" s="24" t="s">
        <v>10041</v>
      </c>
      <c r="L12542" s="28" t="s">
        <v>52</v>
      </c>
      <c r="M12542" s="25">
        <v>870546.02</v>
      </c>
      <c r="N12542" s="27">
        <v>0.42839563305530515</v>
      </c>
    </row>
    <row r="12543" spans="1:14" hidden="1" outlineLevel="1" x14ac:dyDescent="0.2">
      <c r="A12543" s="23" t="str">
        <f t="shared" si="654"/>
        <v>СПБ ГБУСОН "КЦСОН КИРОВСКОГО РАЙОНА САНКТ-ПЕТЕРБУРГА"</v>
      </c>
      <c r="B12543" s="24" t="s">
        <v>14873</v>
      </c>
      <c r="C12543" s="25">
        <v>1522987</v>
      </c>
      <c r="D12543" s="22" t="s">
        <v>14874</v>
      </c>
      <c r="E12543" s="22" t="s">
        <v>59</v>
      </c>
      <c r="F12543" s="23" t="str">
        <f t="shared" si="655"/>
        <v>Выполнение работ по монтажу систем видеонаблюдения в помещениях по адресам: Санкт-Петербург, пр. Маршала Жукова, д. 22, лит. А, пом. 7-Н, ул. Стойкости, д. 34, лит. А, пом. 3-Н, ул. Стойкости, д. 8, лит. А, пом. 29-Н, 30-Н, и дооборудованию существую...</v>
      </c>
      <c r="G12543" s="22" t="s">
        <v>89</v>
      </c>
      <c r="H12543" s="22" t="s">
        <v>89</v>
      </c>
      <c r="I12543" s="26">
        <v>43536.393750000003</v>
      </c>
      <c r="J12543" s="23" t="str">
        <f>HYPERLINK("https://www.spark-marketing.ru/Card/Person/888873", "ООО ""МИКРОН""")</f>
        <v>ООО "МИКРОН"</v>
      </c>
      <c r="K12543" s="24" t="s">
        <v>14875</v>
      </c>
      <c r="L12543" s="28" t="s">
        <v>52</v>
      </c>
      <c r="M12543" s="25">
        <v>1271694.03</v>
      </c>
      <c r="N12543" s="27">
        <v>0.16500007550950863</v>
      </c>
    </row>
    <row r="12544" spans="1:14" hidden="1" outlineLevel="1" x14ac:dyDescent="0.2">
      <c r="A12544" s="23" t="str">
        <f t="shared" si="654"/>
        <v>СПБ ГБУСОН "КЦСОН КИРОВСКОГО РАЙОНА САНКТ-ПЕТЕРБУРГА"</v>
      </c>
      <c r="B12544" s="24" t="s">
        <v>14873</v>
      </c>
      <c r="C12544" s="25">
        <v>1522987</v>
      </c>
      <c r="D12544" s="22" t="s">
        <v>14874</v>
      </c>
      <c r="E12544" s="22" t="s">
        <v>59</v>
      </c>
      <c r="F12544" s="23" t="str">
        <f t="shared" si="655"/>
        <v>Выполнение работ по монтажу систем видеонаблюдения в помещениях по адресам: Санкт-Петербург, пр. Маршала Жукова, д. 22, лит. А, пом. 7-Н, ул. Стойкости, д. 34, лит. А, пом. 3-Н, ул. Стойкости, д. 8, лит. А, пом. 29-Н, 30-Н, и дооборудованию существую...</v>
      </c>
      <c r="G12544" s="22" t="s">
        <v>89</v>
      </c>
      <c r="H12544" s="22" t="s">
        <v>89</v>
      </c>
      <c r="I12544" s="26">
        <v>43536.393750000003</v>
      </c>
      <c r="J12544" s="23" t="str">
        <f>HYPERLINK("https://www.spark-marketing.ru/Card/Person/4345955", "ООО ""СБ-СЕРВИС""")</f>
        <v>ООО "СБ-СЕРВИС"</v>
      </c>
      <c r="K12544" s="24" t="s">
        <v>10035</v>
      </c>
      <c r="L12544" s="28" t="s">
        <v>52</v>
      </c>
      <c r="M12544" s="25">
        <v>954310.36</v>
      </c>
      <c r="N12544" s="27">
        <v>0.37339559694206187</v>
      </c>
    </row>
    <row r="12545" spans="1:14" hidden="1" outlineLevel="1" x14ac:dyDescent="0.2">
      <c r="A12545" s="23" t="str">
        <f t="shared" si="654"/>
        <v>СПБ ГБУСОН "КЦСОН КИРОВСКОГО РАЙОНА САНКТ-ПЕТЕРБУРГА"</v>
      </c>
      <c r="B12545" s="24" t="s">
        <v>14873</v>
      </c>
      <c r="C12545" s="25">
        <v>1522987</v>
      </c>
      <c r="D12545" s="22" t="s">
        <v>14874</v>
      </c>
      <c r="E12545" s="22" t="s">
        <v>59</v>
      </c>
      <c r="F12545" s="23" t="str">
        <f t="shared" si="655"/>
        <v>Выполнение работ по монтажу систем видеонаблюдения в помещениях по адресам: Санкт-Петербург, пр. Маршала Жукова, д. 22, лит. А, пом. 7-Н, ул. Стойкости, д. 34, лит. А, пом. 3-Н, ул. Стойкости, д. 8, лит. А, пом. 29-Н, 30-Н, и дооборудованию существую...</v>
      </c>
      <c r="G12545" s="22" t="s">
        <v>89</v>
      </c>
      <c r="H12545" s="22" t="s">
        <v>89</v>
      </c>
      <c r="I12545" s="26">
        <v>43536.393750000003</v>
      </c>
      <c r="J12545" s="23" t="str">
        <f>HYPERLINK("https://www.spark-marketing.ru/Card/Person/6348809", "ООО ""ИСБ""")</f>
        <v>ООО "ИСБ"</v>
      </c>
      <c r="K12545" s="24" t="s">
        <v>7239</v>
      </c>
      <c r="L12545" s="28" t="s">
        <v>52</v>
      </c>
      <c r="M12545" s="25">
        <v>1104165.3999999999</v>
      </c>
      <c r="N12545" s="27">
        <v>0.27500011490577397</v>
      </c>
    </row>
    <row r="12546" spans="1:14" ht="12.75" hidden="1" outlineLevel="1" x14ac:dyDescent="0.2">
      <c r="A12546" s="23" t="str">
        <f t="shared" si="654"/>
        <v>СПБ ГБУСОН "КЦСОН КИРОВСКОГО РАЙОНА САНКТ-ПЕТЕРБУРГА"</v>
      </c>
      <c r="B12546" s="24" t="s">
        <v>14873</v>
      </c>
      <c r="C12546" s="25">
        <v>1522987</v>
      </c>
      <c r="D12546" s="22" t="s">
        <v>14874</v>
      </c>
      <c r="E12546" s="22" t="s">
        <v>59</v>
      </c>
      <c r="F12546" s="23" t="str">
        <f t="shared" si="655"/>
        <v>Выполнение работ по монтажу систем видеонаблюдения в помещениях по адресам: Санкт-Петербург, пр. Маршала Жукова, д. 22, лит. А, пом. 7-Н, ул. Стойкости, д. 34, лит. А, пом. 3-Н, ул. Стойкости, д. 8, лит. А, пом. 29-Н, 30-Н, и дооборудованию существую...</v>
      </c>
      <c r="G12546" s="22" t="s">
        <v>89</v>
      </c>
      <c r="H12546" s="22" t="s">
        <v>89</v>
      </c>
      <c r="I12546" s="26">
        <v>43536.393750000003</v>
      </c>
      <c r="J12546" s="23" t="str">
        <f>HYPERLINK("https://www.spark-marketing.ru/Card/Person/6410700", "Бадаев Олег Валерьевич")</f>
        <v>Бадаев Олег Валерьевич</v>
      </c>
      <c r="K12546" s="24" t="s">
        <v>11582</v>
      </c>
      <c r="L12546" s="22" t="s">
        <v>10</v>
      </c>
      <c r="M12546" s="25">
        <v>862931.08</v>
      </c>
      <c r="N12546" s="27">
        <v>0.43339563633832723</v>
      </c>
    </row>
    <row r="12547" spans="1:14" x14ac:dyDescent="0.15">
      <c r="A12547" s="23" t="str">
        <f>HYPERLINK("https://www.spark-marketing.ru/Card/Person/94790", "ООО ""САНАТОРИЙ ""ЗЕЛЕНАЯ РОЩА""")</f>
        <v>ООО "САНАТОРИЙ "ЗЕЛЕНАЯ РОЩА"</v>
      </c>
      <c r="B12547" s="24" t="s">
        <v>14876</v>
      </c>
      <c r="C12547" s="25">
        <v>9850848</v>
      </c>
      <c r="D12547" s="22" t="s">
        <v>14877</v>
      </c>
      <c r="E12547" s="22" t="s">
        <v>2577</v>
      </c>
      <c r="F12547" s="23" t="str">
        <f>HYPERLINK("https://www.spark-marketing.ru/Card/Lot/68613649", "Открытый конкурс для нужд ООО ""Санаторий ""Зеленая роща"" Лот №1 - обеспечение общественного порядка, внутри объектового и пропускного режимов, охрана имущества на территории ООО ""Санаторий ""Зеленая роща"".")</f>
        <v>Открытый конкурс для нужд ООО "Санаторий "Зеленая роща" Лот №1 - обеспечение общественного порядка, внутри объектового и пропускного режимов, охрана имущества на территории ООО "Санаторий "Зеленая роща".</v>
      </c>
      <c r="G12547" s="22" t="s">
        <v>100</v>
      </c>
      <c r="H12547" s="22" t="s">
        <v>100</v>
      </c>
      <c r="I12547" s="26">
        <v>43536.403877314799</v>
      </c>
      <c r="J12547" s="28" t="s">
        <v>52</v>
      </c>
      <c r="K12547" s="28" t="s">
        <v>52</v>
      </c>
      <c r="L12547" s="28" t="s">
        <v>52</v>
      </c>
      <c r="M12547" s="28" t="s">
        <v>52</v>
      </c>
      <c r="N12547" s="28" t="s">
        <v>52</v>
      </c>
    </row>
    <row r="12548" spans="1:14" hidden="1" outlineLevel="1" x14ac:dyDescent="0.2">
      <c r="A12548" s="23" t="str">
        <f>HYPERLINK("https://www.spark-marketing.ru/Card/Person/94790", "ООО ""САНАТОРИЙ ""ЗЕЛЕНАЯ РОЩА""")</f>
        <v>ООО "САНАТОРИЙ "ЗЕЛЕНАЯ РОЩА"</v>
      </c>
      <c r="B12548" s="24" t="s">
        <v>14876</v>
      </c>
      <c r="C12548" s="28" t="s">
        <v>52</v>
      </c>
      <c r="D12548" s="22" t="s">
        <v>14877</v>
      </c>
      <c r="E12548" s="22" t="s">
        <v>2577</v>
      </c>
      <c r="F12548" s="23" t="str">
        <f>HYPERLINK("https://www.spark-marketing.ru/Card/Lot/68613649", "Открытый конкурс для нужд ООО ""Санаторий ""Зеленая роща"" Лот №1 - обеспечение общественного порядка, внутри объектового и пропускного режимов, охрана имущества на территории ООО ""Санаторий ""Зеленая роща"".")</f>
        <v>Открытый конкурс для нужд ООО "Санаторий "Зеленая роща" Лот №1 - обеспечение общественного порядка, внутри объектового и пропускного режимов, охрана имущества на территории ООО "Санаторий "Зеленая роща".</v>
      </c>
      <c r="G12548" s="22" t="s">
        <v>100</v>
      </c>
      <c r="H12548" s="22" t="s">
        <v>100</v>
      </c>
      <c r="I12548" s="26">
        <v>43536.403877314799</v>
      </c>
      <c r="J12548" s="23" t="str">
        <f>HYPERLINK("https://www.spark-marketing.ru/Card/Person/4886524", "ООО ЧОО ""ФЕНИКС""")</f>
        <v>ООО ЧОО "ФЕНИКС"</v>
      </c>
      <c r="K12548" s="24" t="s">
        <v>8997</v>
      </c>
      <c r="L12548" s="28" t="s">
        <v>52</v>
      </c>
      <c r="M12548" s="25">
        <v>9206400</v>
      </c>
      <c r="N12548" s="27">
        <v>6.5420560747663545E-2</v>
      </c>
    </row>
    <row r="12549" spans="1:14" hidden="1" outlineLevel="1" x14ac:dyDescent="0.2">
      <c r="A12549" s="23" t="str">
        <f>HYPERLINK("https://www.spark-marketing.ru/Card/Person/94790", "ООО ""САНАТОРИЙ ""ЗЕЛЕНАЯ РОЩА""")</f>
        <v>ООО "САНАТОРИЙ "ЗЕЛЕНАЯ РОЩА"</v>
      </c>
      <c r="B12549" s="24" t="s">
        <v>14876</v>
      </c>
      <c r="C12549" s="28" t="s">
        <v>52</v>
      </c>
      <c r="D12549" s="22" t="s">
        <v>14877</v>
      </c>
      <c r="E12549" s="22" t="s">
        <v>2577</v>
      </c>
      <c r="F12549" s="23" t="str">
        <f>HYPERLINK("https://www.spark-marketing.ru/Card/Lot/68613649", "Открытый конкурс для нужд ООО ""Санаторий ""Зеленая роща"" Лот №1 - обеспечение общественного порядка, внутри объектового и пропускного режимов, охрана имущества на территории ООО ""Санаторий ""Зеленая роща"".")</f>
        <v>Открытый конкурс для нужд ООО "Санаторий "Зеленая роща" Лот №1 - обеспечение общественного порядка, внутри объектового и пропускного режимов, охрана имущества на территории ООО "Санаторий "Зеленая роща".</v>
      </c>
      <c r="G12549" s="22" t="s">
        <v>100</v>
      </c>
      <c r="H12549" s="22" t="s">
        <v>100</v>
      </c>
      <c r="I12549" s="26">
        <v>43536.403877314799</v>
      </c>
      <c r="J12549" s="23" t="str">
        <f>HYPERLINK("https://www.spark-marketing.ru/Card/Person/286359", "ООО ЧОП ""ЯСТРЕБ-ПЛЮС""")</f>
        <v>ООО ЧОП "ЯСТРЕБ-ПЛЮС"</v>
      </c>
      <c r="K12549" s="24" t="s">
        <v>14878</v>
      </c>
      <c r="L12549" s="28" t="s">
        <v>52</v>
      </c>
      <c r="M12549" s="25">
        <v>8285760</v>
      </c>
      <c r="N12549" s="27">
        <v>0.15887850467289719</v>
      </c>
    </row>
    <row r="12550" spans="1:14" hidden="1" outlineLevel="1" x14ac:dyDescent="0.2">
      <c r="A12550" s="23" t="str">
        <f>HYPERLINK("https://www.spark-marketing.ru/Card/Person/94790", "ООО ""САНАТОРИЙ ""ЗЕЛЕНАЯ РОЩА""")</f>
        <v>ООО "САНАТОРИЙ "ЗЕЛЕНАЯ РОЩА"</v>
      </c>
      <c r="B12550" s="24" t="s">
        <v>14876</v>
      </c>
      <c r="C12550" s="28" t="s">
        <v>52</v>
      </c>
      <c r="D12550" s="22" t="s">
        <v>14877</v>
      </c>
      <c r="E12550" s="22" t="s">
        <v>2577</v>
      </c>
      <c r="F12550" s="23" t="str">
        <f>HYPERLINK("https://www.spark-marketing.ru/Card/Lot/68613649", "Открытый конкурс для нужд ООО ""Санаторий ""Зеленая роща"" Лот №1 - обеспечение общественного порядка, внутри объектового и пропускного режимов, охрана имущества на территории ООО ""Санаторий ""Зеленая роща"".")</f>
        <v>Открытый конкурс для нужд ООО "Санаторий "Зеленая роща" Лот №1 - обеспечение общественного порядка, внутри объектового и пропускного режимов, охрана имущества на территории ООО "Санаторий "Зеленая роща".</v>
      </c>
      <c r="G12550" s="22" t="s">
        <v>100</v>
      </c>
      <c r="H12550" s="22" t="s">
        <v>100</v>
      </c>
      <c r="I12550" s="26">
        <v>43536.403877314799</v>
      </c>
      <c r="J12550" s="23" t="str">
        <f>HYPERLINK("https://www.spark-marketing.ru/Card/Person/6226582", "ООО ""ЧОО ""ФОРТУНА""")</f>
        <v>ООО "ЧОО "ФОРТУНА"</v>
      </c>
      <c r="K12550" s="24" t="s">
        <v>8994</v>
      </c>
      <c r="L12550" s="28" t="s">
        <v>52</v>
      </c>
      <c r="M12550" s="25">
        <v>9141955.1999999993</v>
      </c>
      <c r="N12550" s="27">
        <v>7.1962616822429909E-2</v>
      </c>
    </row>
    <row r="12551" spans="1:14" hidden="1" outlineLevel="1" x14ac:dyDescent="0.2">
      <c r="A12551" s="23" t="str">
        <f>HYPERLINK("https://www.spark-marketing.ru/Card/Person/94790", "ООО ""САНАТОРИЙ ""ЗЕЛЕНАЯ РОЩА""")</f>
        <v>ООО "САНАТОРИЙ "ЗЕЛЕНАЯ РОЩА"</v>
      </c>
      <c r="B12551" s="24" t="s">
        <v>14876</v>
      </c>
      <c r="C12551" s="28" t="s">
        <v>52</v>
      </c>
      <c r="D12551" s="22" t="s">
        <v>14877</v>
      </c>
      <c r="E12551" s="22" t="s">
        <v>2577</v>
      </c>
      <c r="F12551" s="23" t="str">
        <f>HYPERLINK("https://www.spark-marketing.ru/Card/Lot/68613649", "Открытый конкурс для нужд ООО ""Санаторий ""Зеленая роща"" Лот №1 - обеспечение общественного порядка, внутри объектового и пропускного режимов, охрана имущества на территории ООО ""Санаторий ""Зеленая роща"".")</f>
        <v>Открытый конкурс для нужд ООО "Санаторий "Зеленая роща" Лот №1 - обеспечение общественного порядка, внутри объектового и пропускного режимов, охрана имущества на территории ООО "Санаторий "Зеленая роща".</v>
      </c>
      <c r="G12551" s="22" t="s">
        <v>100</v>
      </c>
      <c r="H12551" s="22" t="s">
        <v>100</v>
      </c>
      <c r="I12551" s="26">
        <v>43536.403877314799</v>
      </c>
      <c r="J12551" s="23" t="str">
        <f>HYPERLINK("https://www.spark-marketing.ru/Card/Person/107485", "ООО ОП ""СТРАЖ""")</f>
        <v>ООО ОП "СТРАЖ"</v>
      </c>
      <c r="K12551" s="24" t="s">
        <v>14879</v>
      </c>
      <c r="L12551" s="22" t="s">
        <v>10</v>
      </c>
      <c r="M12551" s="25">
        <v>9666720</v>
      </c>
      <c r="N12551" s="27">
        <v>1.8691588785046728E-2</v>
      </c>
    </row>
    <row r="12552" spans="1:14" x14ac:dyDescent="0.15">
      <c r="A12552" s="23" t="str">
        <f>HYPERLINK("https://www.spark-marketing.ru/Card/Person/114552", "МБДОУ ДЕТСКИЙ САД № 54")</f>
        <v>МБДОУ ДЕТСКИЙ САД № 54</v>
      </c>
      <c r="B12552" s="24" t="s">
        <v>14880</v>
      </c>
      <c r="C12552" s="25">
        <v>60420</v>
      </c>
      <c r="D12552" s="22" t="s">
        <v>14881</v>
      </c>
      <c r="E12552" s="22" t="s">
        <v>107</v>
      </c>
      <c r="F12552" s="23" t="str">
        <f>HYPERLINK("https://www.spark-marketing.ru/Card/Lot/68615534", "Оказание услуг по техническому обслуживанию комплекса технических средств охраны (КТС)")</f>
        <v>Оказание услуг по техническому обслуживанию комплекса технических средств охраны (КТС)</v>
      </c>
      <c r="G12552" s="22" t="s">
        <v>50</v>
      </c>
      <c r="H12552" s="22" t="s">
        <v>3869</v>
      </c>
      <c r="I12552" s="26">
        <v>43536.409525463001</v>
      </c>
      <c r="J12552" s="28" t="s">
        <v>52</v>
      </c>
      <c r="K12552" s="28" t="s">
        <v>52</v>
      </c>
      <c r="L12552" s="28" t="s">
        <v>52</v>
      </c>
      <c r="M12552" s="28" t="s">
        <v>52</v>
      </c>
      <c r="N12552" s="28" t="s">
        <v>52</v>
      </c>
    </row>
    <row r="12553" spans="1:14" x14ac:dyDescent="0.15">
      <c r="A12553" s="23" t="str">
        <f>HYPERLINK("https://www.spark-marketing.ru/Card/Person/4348484", "ОАО ""МРСК УРАЛА""")</f>
        <v>ОАО "МРСК УРАЛА"</v>
      </c>
      <c r="B12553" s="24" t="s">
        <v>3612</v>
      </c>
      <c r="C12553" s="25">
        <v>1731754.09</v>
      </c>
      <c r="D12553" s="22" t="s">
        <v>14882</v>
      </c>
      <c r="E12553" s="22" t="s">
        <v>49</v>
      </c>
      <c r="F12553" s="23" t="str">
        <f>HYPERLINK("https://www.spark-marketing.ru/Card/Lot/68613551", "СМР. Модернизация ПС 35-110 кВ (установка периметральной сигнализации) ПО ""ЦЭС"" (2 шт)")</f>
        <v>СМР. Модернизация ПС 35-110 кВ (установка периметральной сигнализации) ПО "ЦЭС" (2 шт)</v>
      </c>
      <c r="G12553" s="22" t="s">
        <v>72</v>
      </c>
      <c r="H12553" s="22" t="s">
        <v>949</v>
      </c>
      <c r="I12553" s="26">
        <v>43536.373252314799</v>
      </c>
      <c r="J12553" s="28" t="s">
        <v>52</v>
      </c>
      <c r="K12553" s="28" t="s">
        <v>52</v>
      </c>
      <c r="L12553" s="28" t="s">
        <v>52</v>
      </c>
      <c r="M12553" s="28" t="s">
        <v>52</v>
      </c>
      <c r="N12553" s="28" t="s">
        <v>52</v>
      </c>
    </row>
    <row r="12554" spans="1:14" hidden="1" outlineLevel="1" x14ac:dyDescent="0.15">
      <c r="A12554" s="23" t="str">
        <f>HYPERLINK("https://www.spark-marketing.ru/Card/Person/4348484", "ОАО ""МРСК УРАЛА""")</f>
        <v>ОАО "МРСК УРАЛА"</v>
      </c>
      <c r="B12554" s="24" t="s">
        <v>3612</v>
      </c>
      <c r="C12554" s="28" t="s">
        <v>52</v>
      </c>
      <c r="D12554" s="22" t="s">
        <v>14882</v>
      </c>
      <c r="E12554" s="22" t="s">
        <v>49</v>
      </c>
      <c r="F12554" s="23" t="str">
        <f>HYPERLINK("https://www.spark-marketing.ru/Card/Lot/68613551", "СМР. Модернизация ПС 35-110 кВ (установка периметральной сигнализации) ПО ""ЦЭС"" (2 шт)")</f>
        <v>СМР. Модернизация ПС 35-110 кВ (установка периметральной сигнализации) ПО "ЦЭС" (2 шт)</v>
      </c>
      <c r="G12554" s="22" t="s">
        <v>72</v>
      </c>
      <c r="H12554" s="22" t="s">
        <v>949</v>
      </c>
      <c r="I12554" s="26">
        <v>43536.373252314799</v>
      </c>
      <c r="J12554" s="23" t="str">
        <f>HYPERLINK("https://www.spark-marketing.ru/Card/Person/1905065", "ЗАЯВКА")</f>
        <v>ЗАЯВКА</v>
      </c>
      <c r="K12554" s="24" t="s">
        <v>10745</v>
      </c>
      <c r="L12554" s="28" t="s">
        <v>52</v>
      </c>
      <c r="M12554" s="28" t="s">
        <v>52</v>
      </c>
      <c r="N12554" s="28" t="s">
        <v>52</v>
      </c>
    </row>
    <row r="12555" spans="1:14" hidden="1" outlineLevel="1" x14ac:dyDescent="0.15">
      <c r="A12555" s="23" t="str">
        <f>HYPERLINK("https://www.spark-marketing.ru/Card/Person/4348484", "ОАО ""МРСК УРАЛА""")</f>
        <v>ОАО "МРСК УРАЛА"</v>
      </c>
      <c r="B12555" s="24" t="s">
        <v>3612</v>
      </c>
      <c r="C12555" s="28" t="s">
        <v>52</v>
      </c>
      <c r="D12555" s="22" t="s">
        <v>14882</v>
      </c>
      <c r="E12555" s="22" t="s">
        <v>49</v>
      </c>
      <c r="F12555" s="23" t="str">
        <f>HYPERLINK("https://www.spark-marketing.ru/Card/Lot/68613551", "СМР. Модернизация ПС 35-110 кВ (установка периметральной сигнализации) ПО ""ЦЭС"" (2 шт)")</f>
        <v>СМР. Модернизация ПС 35-110 кВ (установка периметральной сигнализации) ПО "ЦЭС" (2 шт)</v>
      </c>
      <c r="G12555" s="22" t="s">
        <v>72</v>
      </c>
      <c r="H12555" s="22" t="s">
        <v>949</v>
      </c>
      <c r="I12555" s="26">
        <v>43536.373252314799</v>
      </c>
      <c r="J12555" s="23" t="str">
        <f>HYPERLINK("https://www.spark-marketing.ru/Card/Person/1905065", "ЗАЯВКА")</f>
        <v>ЗАЯВКА</v>
      </c>
      <c r="K12555" s="24" t="s">
        <v>10745</v>
      </c>
      <c r="L12555" s="28" t="s">
        <v>52</v>
      </c>
      <c r="M12555" s="28" t="s">
        <v>52</v>
      </c>
      <c r="N12555" s="28" t="s">
        <v>52</v>
      </c>
    </row>
    <row r="12556" spans="1:14" x14ac:dyDescent="0.15">
      <c r="A12556" s="23" t="str">
        <f>HYPERLINK("https://www.spark-marketing.ru/Card/Person/130109", "ПАО БАНК ""ФК ОТКРЫТИЕ""")</f>
        <v>ПАО БАНК "ФК ОТКРЫТИЕ"</v>
      </c>
      <c r="B12556" s="24" t="s">
        <v>693</v>
      </c>
      <c r="C12556" s="25">
        <v>16798267.5</v>
      </c>
      <c r="D12556" s="22" t="s">
        <v>14883</v>
      </c>
      <c r="E12556" s="22" t="s">
        <v>53</v>
      </c>
      <c r="F12556" s="23" t="str">
        <f>HYPERLINK("https://www.spark-marketing.ru/Card/Lot/68607991", "Оказание услуг физической охраны 4-х постов охраны на 2-х объектах Филиала Западно-Сибирский ПАО Банка «ФК Открытие» в городе Ханты-Мансийск.")</f>
        <v>Оказание услуг физической охраны 4-х постов охраны на 2-х объектах Филиала Западно-Сибирский ПАО Банка «ФК Открытие» в городе Ханты-Мансийск.</v>
      </c>
      <c r="G12556" s="22" t="s">
        <v>55</v>
      </c>
      <c r="H12556" s="22" t="s">
        <v>55</v>
      </c>
      <c r="I12556" s="26">
        <v>43536</v>
      </c>
      <c r="J12556" s="28" t="s">
        <v>52</v>
      </c>
      <c r="K12556" s="28" t="s">
        <v>52</v>
      </c>
      <c r="L12556" s="28" t="s">
        <v>52</v>
      </c>
      <c r="M12556" s="28" t="s">
        <v>52</v>
      </c>
      <c r="N12556" s="28" t="s">
        <v>52</v>
      </c>
    </row>
    <row r="12557" spans="1:14" x14ac:dyDescent="0.2">
      <c r="A12557" s="23" t="str">
        <f>HYPERLINK("https://www.spark-marketing.ru/Card/Person/1779708", "МАУ ДО ЦЕНТР ТР И ГО ""ЭТНОС""")</f>
        <v>МАУ ДО ЦЕНТР ТР И ГО "ЭТНОС"</v>
      </c>
      <c r="B12557" s="24" t="s">
        <v>14884</v>
      </c>
      <c r="C12557" s="25">
        <v>558000</v>
      </c>
      <c r="D12557" s="22" t="s">
        <v>14885</v>
      </c>
      <c r="E12557" s="22" t="s">
        <v>363</v>
      </c>
      <c r="F12557" s="23" t="str">
        <f>HYPERLINK("https://www.spark-marketing.ru/Card/Lot/68607052", "Оказание охранных услуг")</f>
        <v>Оказание охранных услуг</v>
      </c>
      <c r="G12557" s="22" t="s">
        <v>893</v>
      </c>
      <c r="H12557" s="22" t="s">
        <v>893</v>
      </c>
      <c r="I12557" s="26">
        <v>43535.928090277797</v>
      </c>
      <c r="J12557" s="23" t="str">
        <f>HYPERLINK("https://www.spark-marketing.ru/Card/Person/63886", "ООО ""ЧОП ""ПУТИНА""")</f>
        <v>ООО "ЧОП "ПУТИНА"</v>
      </c>
      <c r="K12557" s="24" t="s">
        <v>14886</v>
      </c>
      <c r="L12557" s="28" t="s">
        <v>52</v>
      </c>
      <c r="M12557" s="25">
        <v>549936</v>
      </c>
      <c r="N12557" s="27">
        <v>1.4451612903225806E-2</v>
      </c>
    </row>
    <row r="12558" spans="1:14" x14ac:dyDescent="0.15">
      <c r="A12558" s="23" t="str">
        <f>HYPERLINK("https://www.spark-marketing.ru/Card/Person/4366003", "АО ""ЕНИСЕЙСКАЯ ТГК (ТГК-13)""")</f>
        <v>АО "ЕНИСЕЙСКАЯ ТГК (ТГК-13)"</v>
      </c>
      <c r="B12558" s="24" t="s">
        <v>10179</v>
      </c>
      <c r="C12558" s="25">
        <v>1296000</v>
      </c>
      <c r="D12558" s="22" t="s">
        <v>14887</v>
      </c>
      <c r="E12558" s="22" t="s">
        <v>14888</v>
      </c>
      <c r="F12558" s="23" t="str">
        <f>HYPERLINK("https://www.spark-marketing.ru/Card/Lot/68587781", "ТО систем охранного видеонаблюдения периметральной охраны Абаканской ТЭЦ")</f>
        <v>ТО систем охранного видеонаблюдения периметральной охраны Абаканской ТЭЦ</v>
      </c>
      <c r="G12558" s="22" t="s">
        <v>640</v>
      </c>
      <c r="H12558" s="22" t="s">
        <v>1524</v>
      </c>
      <c r="I12558" s="26">
        <v>43535.776828703703</v>
      </c>
      <c r="J12558" s="28" t="s">
        <v>52</v>
      </c>
      <c r="K12558" s="28" t="s">
        <v>52</v>
      </c>
      <c r="L12558" s="28" t="s">
        <v>52</v>
      </c>
      <c r="M12558" s="28" t="s">
        <v>52</v>
      </c>
      <c r="N12558" s="28" t="s">
        <v>52</v>
      </c>
    </row>
    <row r="12559" spans="1:14" hidden="1" outlineLevel="1" x14ac:dyDescent="0.15">
      <c r="A12559" s="23" t="str">
        <f>HYPERLINK("https://www.spark-marketing.ru/Card/Person/4366003", "АО ""ЕНИСЕЙСКАЯ ТГК (ТГК-13)""")</f>
        <v>АО "ЕНИСЕЙСКАЯ ТГК (ТГК-13)"</v>
      </c>
      <c r="B12559" s="24" t="s">
        <v>10179</v>
      </c>
      <c r="C12559" s="28" t="s">
        <v>52</v>
      </c>
      <c r="D12559" s="22" t="s">
        <v>14887</v>
      </c>
      <c r="E12559" s="22" t="s">
        <v>14888</v>
      </c>
      <c r="F12559" s="23" t="str">
        <f>HYPERLINK("https://www.spark-marketing.ru/Card/Lot/68587781", "ТО систем охранного видеонаблюдения периметральной охраны Абаканской ТЭЦ")</f>
        <v>ТО систем охранного видеонаблюдения периметральной охраны Абаканской ТЭЦ</v>
      </c>
      <c r="G12559" s="22" t="s">
        <v>640</v>
      </c>
      <c r="H12559" s="22" t="s">
        <v>1524</v>
      </c>
      <c r="I12559" s="26">
        <v>43535.776828703703</v>
      </c>
      <c r="J12559" s="23" t="str">
        <f>HYPERLINK("https://www.spark-marketing.ru/Card/Person/6523179", "ЗАЯВКА 7857")</f>
        <v>ЗАЯВКА 7857</v>
      </c>
      <c r="K12559" s="28" t="s">
        <v>52</v>
      </c>
      <c r="L12559" s="28" t="s">
        <v>52</v>
      </c>
      <c r="M12559" s="28" t="s">
        <v>52</v>
      </c>
      <c r="N12559" s="28" t="s">
        <v>52</v>
      </c>
    </row>
    <row r="12560" spans="1:14" hidden="1" outlineLevel="1" x14ac:dyDescent="0.15">
      <c r="A12560" s="23" t="str">
        <f>HYPERLINK("https://www.spark-marketing.ru/Card/Person/4366003", "АО ""ЕНИСЕЙСКАЯ ТГК (ТГК-13)""")</f>
        <v>АО "ЕНИСЕЙСКАЯ ТГК (ТГК-13)"</v>
      </c>
      <c r="B12560" s="24" t="s">
        <v>10179</v>
      </c>
      <c r="C12560" s="28" t="s">
        <v>52</v>
      </c>
      <c r="D12560" s="22" t="s">
        <v>14887</v>
      </c>
      <c r="E12560" s="22" t="s">
        <v>14888</v>
      </c>
      <c r="F12560" s="23" t="str">
        <f>HYPERLINK("https://www.spark-marketing.ru/Card/Lot/68587781", "ТО систем охранного видеонаблюдения периметральной охраны Абаканской ТЭЦ")</f>
        <v>ТО систем охранного видеонаблюдения периметральной охраны Абаканской ТЭЦ</v>
      </c>
      <c r="G12560" s="22" t="s">
        <v>640</v>
      </c>
      <c r="H12560" s="22" t="s">
        <v>1524</v>
      </c>
      <c r="I12560" s="26">
        <v>43535.776828703703</v>
      </c>
      <c r="J12560" s="23" t="str">
        <f>HYPERLINK("https://www.spark-marketing.ru/Card/Person/6502991", "ЗАЯВКА 759")</f>
        <v>ЗАЯВКА 759</v>
      </c>
      <c r="K12560" s="28" t="s">
        <v>52</v>
      </c>
      <c r="L12560" s="28" t="s">
        <v>52</v>
      </c>
      <c r="M12560" s="28" t="s">
        <v>52</v>
      </c>
      <c r="N12560" s="28" t="s">
        <v>52</v>
      </c>
    </row>
    <row r="12561" spans="1:14" hidden="1" outlineLevel="1" x14ac:dyDescent="0.15">
      <c r="A12561" s="23" t="str">
        <f>HYPERLINK("https://www.spark-marketing.ru/Card/Person/4366003", "АО ""ЕНИСЕЙСКАЯ ТГК (ТГК-13)""")</f>
        <v>АО "ЕНИСЕЙСКАЯ ТГК (ТГК-13)"</v>
      </c>
      <c r="B12561" s="24" t="s">
        <v>10179</v>
      </c>
      <c r="C12561" s="28" t="s">
        <v>52</v>
      </c>
      <c r="D12561" s="22" t="s">
        <v>14887</v>
      </c>
      <c r="E12561" s="22" t="s">
        <v>14888</v>
      </c>
      <c r="F12561" s="23" t="str">
        <f>HYPERLINK("https://www.spark-marketing.ru/Card/Lot/68587781", "ТО систем охранного видеонаблюдения периметральной охраны Абаканской ТЭЦ")</f>
        <v>ТО систем охранного видеонаблюдения периметральной охраны Абаканской ТЭЦ</v>
      </c>
      <c r="G12561" s="22" t="s">
        <v>640</v>
      </c>
      <c r="H12561" s="22" t="s">
        <v>1524</v>
      </c>
      <c r="I12561" s="26">
        <v>43535.776828703703</v>
      </c>
      <c r="J12561" s="23" t="str">
        <f>HYPERLINK("https://www.spark-marketing.ru/Card/Person/6522016", "ЗАЯВКА 6743")</f>
        <v>ЗАЯВКА 6743</v>
      </c>
      <c r="K12561" s="28" t="s">
        <v>52</v>
      </c>
      <c r="L12561" s="28" t="s">
        <v>52</v>
      </c>
      <c r="M12561" s="28" t="s">
        <v>52</v>
      </c>
      <c r="N12561" s="28" t="s">
        <v>52</v>
      </c>
    </row>
    <row r="12562" spans="1:14" x14ac:dyDescent="0.15">
      <c r="A12562" s="23" t="str">
        <f>HYPERLINK("https://www.spark-marketing.ru/Card/Person/91130", "ОПФР ПО КАМЧАТСКОМУ КРАЮ")</f>
        <v>ОПФР ПО КАМЧАТСКОМУ КРАЮ</v>
      </c>
      <c r="B12562" s="24" t="s">
        <v>14889</v>
      </c>
      <c r="C12562" s="25">
        <v>8700</v>
      </c>
      <c r="D12562" s="22" t="s">
        <v>14890</v>
      </c>
      <c r="E12562" s="22" t="s">
        <v>59</v>
      </c>
      <c r="F12562" s="23" t="str">
        <f>HYPERLINK("https://www.spark-marketing.ru/Card/Lot/68577321", "Оказание услуг по техническому обслуживанию систем видеонаблюдения")</f>
        <v>Оказание услуг по техническому обслуживанию систем видеонаблюдения</v>
      </c>
      <c r="G12562" s="22" t="s">
        <v>1141</v>
      </c>
      <c r="H12562" s="22" t="s">
        <v>1142</v>
      </c>
      <c r="I12562" s="26">
        <v>43535.756249999999</v>
      </c>
      <c r="J12562" s="28" t="s">
        <v>52</v>
      </c>
      <c r="K12562" s="28" t="s">
        <v>52</v>
      </c>
      <c r="L12562" s="28" t="s">
        <v>52</v>
      </c>
      <c r="M12562" s="28" t="s">
        <v>52</v>
      </c>
      <c r="N12562" s="28" t="s">
        <v>52</v>
      </c>
    </row>
    <row r="12563" spans="1:14" ht="12.75" x14ac:dyDescent="0.2">
      <c r="A12563" s="23" t="str">
        <f>HYPERLINK("https://www.spark-marketing.ru/Card/Person/167093", "МП ""ГОРТЕПЛОЭНЕРГО""")</f>
        <v>МП "ГОРТЕПЛОЭНЕРГО"</v>
      </c>
      <c r="B12563" s="24" t="s">
        <v>14891</v>
      </c>
      <c r="C12563" s="25">
        <v>13648600</v>
      </c>
      <c r="D12563" s="22" t="s">
        <v>14892</v>
      </c>
      <c r="E12563" s="22" t="s">
        <v>144</v>
      </c>
      <c r="F12563" s="23" t="str">
        <f>HYPERLINK("https://www.spark-marketing.ru/Card/Lot/68587782", "Оказание услуг по вооруженной охране объектов водоподготовки")</f>
        <v>Оказание услуг по вооруженной охране объектов водоподготовки</v>
      </c>
      <c r="G12563" s="22" t="s">
        <v>640</v>
      </c>
      <c r="H12563" s="22" t="s">
        <v>640</v>
      </c>
      <c r="I12563" s="26">
        <v>43535.7836805556</v>
      </c>
      <c r="J12563" s="23" t="str">
        <f>HYPERLINK("https://www.spark-marketing.ru/Card/Person/127006", "ФГУП ""ВЕДОМСТВЕННАЯ ОХРАНА"" МИНЭНЕРГО РОССИИ")</f>
        <v>ФГУП "ВЕДОМСТВЕННАЯ ОХРАНА" МИНЭНЕРГО РОССИИ</v>
      </c>
      <c r="K12563" s="24" t="s">
        <v>11469</v>
      </c>
      <c r="L12563" s="22" t="s">
        <v>10</v>
      </c>
      <c r="M12563" s="25">
        <v>13648598.699999999</v>
      </c>
      <c r="N12563" s="27">
        <v>9.5247864249813167E-8</v>
      </c>
    </row>
    <row r="12564" spans="1:14" x14ac:dyDescent="0.15">
      <c r="A12564" s="23" t="str">
        <f>HYPERLINK("https://www.spark-marketing.ru/Card/Person/1050723", "ГБУСОН РО ""КЦСОН БОКОВСКОГО РАЙОНА""")</f>
        <v>ГБУСОН РО "КЦСОН БОКОВСКОГО РАЙОНА"</v>
      </c>
      <c r="B12564" s="24" t="s">
        <v>14893</v>
      </c>
      <c r="C12564" s="25">
        <v>24149.97</v>
      </c>
      <c r="D12564" s="22" t="s">
        <v>14894</v>
      </c>
      <c r="E12564" s="22" t="s">
        <v>107</v>
      </c>
      <c r="F12564" s="23" t="str">
        <f>HYPERLINK("https://www.spark-marketing.ru/Card/Lot/68602634", "Оказание услуг по техническому обслуживанию системы видеонаблюдения")</f>
        <v>Оказание услуг по техническому обслуживанию системы видеонаблюдения</v>
      </c>
      <c r="G12564" s="22" t="s">
        <v>402</v>
      </c>
      <c r="H12564" s="22" t="s">
        <v>6389</v>
      </c>
      <c r="I12564" s="26">
        <v>43535.724999999999</v>
      </c>
      <c r="J12564" s="28" t="s">
        <v>52</v>
      </c>
      <c r="K12564" s="28" t="s">
        <v>52</v>
      </c>
      <c r="L12564" s="28" t="s">
        <v>52</v>
      </c>
      <c r="M12564" s="28" t="s">
        <v>52</v>
      </c>
      <c r="N12564" s="28" t="s">
        <v>52</v>
      </c>
    </row>
    <row r="12565" spans="1:14" ht="12.75" hidden="1" outlineLevel="1" x14ac:dyDescent="0.2">
      <c r="A12565" s="23" t="str">
        <f>HYPERLINK("https://www.spark-marketing.ru/Card/Person/1050723", "ГБУСОН РО ""КЦСОН БОКОВСКОГО РАЙОНА""")</f>
        <v>ГБУСОН РО "КЦСОН БОКОВСКОГО РАЙОНА"</v>
      </c>
      <c r="B12565" s="24" t="s">
        <v>14893</v>
      </c>
      <c r="C12565" s="25">
        <v>24149.97</v>
      </c>
      <c r="D12565" s="22" t="s">
        <v>14894</v>
      </c>
      <c r="E12565" s="22" t="s">
        <v>107</v>
      </c>
      <c r="F12565" s="23" t="str">
        <f>HYPERLINK("https://www.spark-marketing.ru/Card/Lot/68602634", "Оказание услуг по техническому обслуживанию системы видеонаблюдения")</f>
        <v>Оказание услуг по техническому обслуживанию системы видеонаблюдения</v>
      </c>
      <c r="G12565" s="22" t="s">
        <v>402</v>
      </c>
      <c r="H12565" s="22" t="s">
        <v>6389</v>
      </c>
      <c r="I12565" s="26">
        <v>43535.724999999999</v>
      </c>
      <c r="J12565" s="23" t="str">
        <f>HYPERLINK("https://www.spark-marketing.ru/Card/Person/430603", "МП ""ЭНЕРГОСЕРВИС"" КАШАРСКОГО РАЙОНА")</f>
        <v>МП "ЭНЕРГОСЕРВИС" КАШАРСКОГО РАЙОНА</v>
      </c>
      <c r="K12565" s="24" t="s">
        <v>14895</v>
      </c>
      <c r="L12565" s="22" t="s">
        <v>10</v>
      </c>
      <c r="M12565" s="25">
        <v>8573.33</v>
      </c>
      <c r="N12565" s="27">
        <v>0.6449962463721487</v>
      </c>
    </row>
    <row r="12566" spans="1:14" hidden="1" outlineLevel="1" x14ac:dyDescent="0.2">
      <c r="A12566" s="23" t="str">
        <f>HYPERLINK("https://www.spark-marketing.ru/Card/Person/1050723", "ГБУСОН РО ""КЦСОН БОКОВСКОГО РАЙОНА""")</f>
        <v>ГБУСОН РО "КЦСОН БОКОВСКОГО РАЙОНА"</v>
      </c>
      <c r="B12566" s="24" t="s">
        <v>14893</v>
      </c>
      <c r="C12566" s="25">
        <v>24149.97</v>
      </c>
      <c r="D12566" s="22" t="s">
        <v>14894</v>
      </c>
      <c r="E12566" s="22" t="s">
        <v>107</v>
      </c>
      <c r="F12566" s="23" t="str">
        <f>HYPERLINK("https://www.spark-marketing.ru/Card/Lot/68602634", "Оказание услуг по техническому обслуживанию системы видеонаблюдения")</f>
        <v>Оказание услуг по техническому обслуживанию системы видеонаблюдения</v>
      </c>
      <c r="G12566" s="22" t="s">
        <v>402</v>
      </c>
      <c r="H12566" s="22" t="s">
        <v>6389</v>
      </c>
      <c r="I12566" s="26">
        <v>43535.724999999999</v>
      </c>
      <c r="J12566" s="23" t="str">
        <f>HYPERLINK("https://www.spark-marketing.ru/Card/Person/779284", "Волков Олег Николаевич")</f>
        <v>Волков Олег Николаевич</v>
      </c>
      <c r="K12566" s="24" t="s">
        <v>14896</v>
      </c>
      <c r="L12566" s="28" t="s">
        <v>52</v>
      </c>
      <c r="M12566" s="25">
        <v>8452.58</v>
      </c>
      <c r="N12566" s="27">
        <v>0.6499962525833366</v>
      </c>
    </row>
    <row r="12567" spans="1:14" x14ac:dyDescent="0.15">
      <c r="A12567" s="23" t="str">
        <f>HYPERLINK("https://www.spark-marketing.ru/Card/Person/59047", "БУЗ ОРЛОВСКОЙ ОБЛАСТИ ""КРАСНОЗОРЕНСКАЯ ЦРБ""")</f>
        <v>БУЗ ОРЛОВСКОЙ ОБЛАСТИ "КРАСНОЗОРЕНСКАЯ ЦРБ"</v>
      </c>
      <c r="B12567" s="24" t="s">
        <v>14897</v>
      </c>
      <c r="C12567" s="25">
        <v>45451.8</v>
      </c>
      <c r="D12567" s="22" t="s">
        <v>14898</v>
      </c>
      <c r="E12567" s="22" t="s">
        <v>208</v>
      </c>
      <c r="F12567" s="23" t="str">
        <f>HYPERLINK("https://www.spark-marketing.ru/Card/Lot/68602806", "Оказание услуг по охране объекта при помощи средств тревожной сигнализации (тревожная кнопка)")</f>
        <v>Оказание услуг по охране объекта при помощи средств тревожной сигнализации (тревожная кнопка)</v>
      </c>
      <c r="G12567" s="22" t="s">
        <v>492</v>
      </c>
      <c r="H12567" s="22" t="s">
        <v>14899</v>
      </c>
      <c r="I12567" s="26">
        <v>43535.721527777801</v>
      </c>
      <c r="J12567" s="23" t="str">
        <f>HYPERLINK("https://www.spark-marketing.ru/Card/Person/10487", "ФГУП ""ОХРАНА"" РОСГВАРДИИ")</f>
        <v>ФГУП "ОХРАНА" РОСГВАРДИИ</v>
      </c>
      <c r="K12567" s="24" t="s">
        <v>779</v>
      </c>
      <c r="L12567" s="22" t="s">
        <v>10</v>
      </c>
      <c r="M12567" s="28" t="s">
        <v>52</v>
      </c>
      <c r="N12567" s="28" t="s">
        <v>52</v>
      </c>
    </row>
    <row r="12568" spans="1:14" x14ac:dyDescent="0.15">
      <c r="A12568" s="23" t="str">
        <f>HYPERLINK("https://www.spark-marketing.ru/Card/Person/20864", "УПРАВЛЕНИЕ РОСПОТРЕБНАДЗОРА ПО ОРЛОВСКОЙ ОБЛАСТИ")</f>
        <v>УПРАВЛЕНИЕ РОСПОТРЕБНАДЗОРА ПО ОРЛОВСКОЙ ОБЛАСТИ</v>
      </c>
      <c r="B12568" s="24" t="s">
        <v>14900</v>
      </c>
      <c r="C12568" s="25">
        <v>57156</v>
      </c>
      <c r="D12568" s="22" t="s">
        <v>14901</v>
      </c>
      <c r="E12568" s="22" t="s">
        <v>183</v>
      </c>
      <c r="F12568" s="23" t="str">
        <f>HYPERLINK("https://www.spark-marketing.ru/Card/Lot/68601936", "Оказание услуг по контролю за состоянием средств тревожной сигнализации, установленных в помещении. Наименование позиции товара, работы, услуги по КТРУ - 81.10.10.000: Услуги по обслуживанию помещений комплексные.")</f>
        <v>Оказание услуг по контролю за состоянием средств тревожной сигнализации, установленных в помещении. Наименование позиции товара, работы, услуги по КТРУ - 81.10.10.000: Услуги по обслуживанию помещений комплексные.</v>
      </c>
      <c r="G12568" s="22" t="s">
        <v>492</v>
      </c>
      <c r="H12568" s="22" t="s">
        <v>5024</v>
      </c>
      <c r="I12568" s="26">
        <v>43535.7277777778</v>
      </c>
      <c r="J12568" s="28" t="s">
        <v>52</v>
      </c>
      <c r="K12568" s="28" t="s">
        <v>52</v>
      </c>
      <c r="L12568" s="28" t="s">
        <v>52</v>
      </c>
      <c r="M12568" s="28" t="s">
        <v>52</v>
      </c>
      <c r="N12568" s="28" t="s">
        <v>52</v>
      </c>
    </row>
    <row r="12569" spans="1:14" x14ac:dyDescent="0.15">
      <c r="A12569" s="23" t="str">
        <f>HYPERLINK("https://www.spark-marketing.ru/Card/Person/7583", "НМБУ ""ЦЕНТР-СЕРВИС""")</f>
        <v>НМБУ "ЦЕНТР-СЕРВИС"</v>
      </c>
      <c r="B12569" s="24" t="s">
        <v>14902</v>
      </c>
      <c r="C12569" s="25">
        <v>270520</v>
      </c>
      <c r="D12569" s="22" t="s">
        <v>14903</v>
      </c>
      <c r="E12569" s="22" t="s">
        <v>68</v>
      </c>
      <c r="F12569" s="23" t="str">
        <f>HYPERLINK("https://www.spark-marketing.ru/Card/Lot/68595171", "Оказание услуг по физической и пультовой охране на объекте Заказчика")</f>
        <v>Оказание услуг по физической и пультовой охране на объекте Заказчика</v>
      </c>
      <c r="G12569" s="22" t="s">
        <v>760</v>
      </c>
      <c r="H12569" s="22" t="s">
        <v>12491</v>
      </c>
      <c r="I12569" s="26">
        <v>43535.666666666701</v>
      </c>
      <c r="J12569" s="28" t="s">
        <v>52</v>
      </c>
      <c r="K12569" s="28" t="s">
        <v>52</v>
      </c>
      <c r="L12569" s="28" t="s">
        <v>52</v>
      </c>
      <c r="M12569" s="28" t="s">
        <v>52</v>
      </c>
      <c r="N12569" s="28" t="s">
        <v>52</v>
      </c>
    </row>
    <row r="12570" spans="1:14" ht="12.75" hidden="1" outlineLevel="1" x14ac:dyDescent="0.2">
      <c r="A12570" s="23" t="str">
        <f>HYPERLINK("https://www.spark-marketing.ru/Card/Person/7583", "НМБУ ""ЦЕНТР-СЕРВИС""")</f>
        <v>НМБУ "ЦЕНТР-СЕРВИС"</v>
      </c>
      <c r="B12570" s="24" t="s">
        <v>14902</v>
      </c>
      <c r="C12570" s="25">
        <v>270520</v>
      </c>
      <c r="D12570" s="22" t="s">
        <v>14903</v>
      </c>
      <c r="E12570" s="22" t="s">
        <v>68</v>
      </c>
      <c r="F12570" s="23" t="str">
        <f>HYPERLINK("https://www.spark-marketing.ru/Card/Lot/68595171", "Оказание услуг по физической и пультовой охране на объекте Заказчика")</f>
        <v>Оказание услуг по физической и пультовой охране на объекте Заказчика</v>
      </c>
      <c r="G12570" s="22" t="s">
        <v>760</v>
      </c>
      <c r="H12570" s="22" t="s">
        <v>12491</v>
      </c>
      <c r="I12570" s="26">
        <v>43535.666666666701</v>
      </c>
      <c r="J12570" s="23" t="str">
        <f>HYPERLINK("https://www.spark-marketing.ru/Card/Person/65288", "ООО ""ЧОО ""АЛЬФА""")</f>
        <v>ООО "ЧОО "АЛЬФА"</v>
      </c>
      <c r="K12570" s="24" t="s">
        <v>14904</v>
      </c>
      <c r="L12570" s="22" t="s">
        <v>10</v>
      </c>
      <c r="M12570" s="25">
        <v>241000</v>
      </c>
      <c r="N12570" s="27">
        <v>0.10912317019074376</v>
      </c>
    </row>
    <row r="12571" spans="1:14" hidden="1" outlineLevel="1" x14ac:dyDescent="0.2">
      <c r="A12571" s="23" t="str">
        <f>HYPERLINK("https://www.spark-marketing.ru/Card/Person/7583", "НМБУ ""ЦЕНТР-СЕРВИС""")</f>
        <v>НМБУ "ЦЕНТР-СЕРВИС"</v>
      </c>
      <c r="B12571" s="24" t="s">
        <v>14902</v>
      </c>
      <c r="C12571" s="25">
        <v>270520</v>
      </c>
      <c r="D12571" s="22" t="s">
        <v>14903</v>
      </c>
      <c r="E12571" s="22" t="s">
        <v>68</v>
      </c>
      <c r="F12571" s="23" t="str">
        <f>HYPERLINK("https://www.spark-marketing.ru/Card/Lot/68595171", "Оказание услуг по физической и пультовой охране на объекте Заказчика")</f>
        <v>Оказание услуг по физической и пультовой охране на объекте Заказчика</v>
      </c>
      <c r="G12571" s="22" t="s">
        <v>760</v>
      </c>
      <c r="H12571" s="22" t="s">
        <v>12491</v>
      </c>
      <c r="I12571" s="26">
        <v>43535.666666666701</v>
      </c>
      <c r="J12571" s="23" t="str">
        <f>HYPERLINK("https://www.spark-marketing.ru/Card/Person/4351682", "ООО ""ЧОО ""АБ-РЕГИОН""")</f>
        <v>ООО "ЧОО "АБ-РЕГИОН"</v>
      </c>
      <c r="K12571" s="24" t="s">
        <v>14905</v>
      </c>
      <c r="L12571" s="28" t="s">
        <v>52</v>
      </c>
      <c r="M12571" s="25">
        <v>242647.4</v>
      </c>
      <c r="N12571" s="27">
        <v>0.10303341712257874</v>
      </c>
    </row>
    <row r="12572" spans="1:14" x14ac:dyDescent="0.15">
      <c r="A12572" s="23" t="str">
        <f>HYPERLINK("https://www.spark-marketing.ru/Card/Person/86177", "ГБУ РС (Я) ""СУНТАРСКАЯ ЦРБ""")</f>
        <v>ГБУ РС (Я) "СУНТАРСКАЯ ЦРБ"</v>
      </c>
      <c r="B12572" s="24" t="s">
        <v>14906</v>
      </c>
      <c r="C12572" s="25">
        <v>120000</v>
      </c>
      <c r="D12572" s="22" t="s">
        <v>14907</v>
      </c>
      <c r="E12572" s="22" t="s">
        <v>107</v>
      </c>
      <c r="F12572" s="23" t="str">
        <f>HYPERLINK("https://www.spark-marketing.ru/Card/Lot/68578990", "Оказание услуги по техническому обслуживанию системы видеонаблюдения")</f>
        <v>Оказание услуги по техническому обслуживанию системы видеонаблюдения</v>
      </c>
      <c r="G12572" s="22" t="s">
        <v>424</v>
      </c>
      <c r="H12572" s="22" t="s">
        <v>10809</v>
      </c>
      <c r="I12572" s="26">
        <v>43535.6694444444</v>
      </c>
      <c r="J12572" s="28" t="s">
        <v>52</v>
      </c>
      <c r="K12572" s="28" t="s">
        <v>52</v>
      </c>
      <c r="L12572" s="28" t="s">
        <v>52</v>
      </c>
      <c r="M12572" s="28" t="s">
        <v>52</v>
      </c>
      <c r="N12572" s="28" t="s">
        <v>52</v>
      </c>
    </row>
    <row r="12573" spans="1:14" hidden="1" outlineLevel="1" x14ac:dyDescent="0.2">
      <c r="A12573" s="23" t="str">
        <f>HYPERLINK("https://www.spark-marketing.ru/Card/Person/86177", "ГБУ РС (Я) ""СУНТАРСКАЯ ЦРБ""")</f>
        <v>ГБУ РС (Я) "СУНТАРСКАЯ ЦРБ"</v>
      </c>
      <c r="B12573" s="24" t="s">
        <v>14906</v>
      </c>
      <c r="C12573" s="25">
        <v>120000</v>
      </c>
      <c r="D12573" s="22" t="s">
        <v>14907</v>
      </c>
      <c r="E12573" s="22" t="s">
        <v>107</v>
      </c>
      <c r="F12573" s="23" t="str">
        <f>HYPERLINK("https://www.spark-marketing.ru/Card/Lot/68578990", "Оказание услуги по техническому обслуживанию системы видеонаблюдения")</f>
        <v>Оказание услуги по техническому обслуживанию системы видеонаблюдения</v>
      </c>
      <c r="G12573" s="22" t="s">
        <v>424</v>
      </c>
      <c r="H12573" s="22" t="s">
        <v>10809</v>
      </c>
      <c r="I12573" s="26">
        <v>43535.6694444444</v>
      </c>
      <c r="J12573" s="23" t="str">
        <f>HYPERLINK("https://www.spark-marketing.ru/Card/Person/6381103", "ООО ""АЛТИМАН""")</f>
        <v>ООО "АЛТИМАН"</v>
      </c>
      <c r="K12573" s="24" t="s">
        <v>14908</v>
      </c>
      <c r="L12573" s="28" t="s">
        <v>52</v>
      </c>
      <c r="M12573" s="25">
        <v>99000</v>
      </c>
      <c r="N12573" s="27">
        <v>0.17499999999999999</v>
      </c>
    </row>
    <row r="12574" spans="1:14" hidden="1" outlineLevel="1" x14ac:dyDescent="0.2">
      <c r="A12574" s="23" t="str">
        <f>HYPERLINK("https://www.spark-marketing.ru/Card/Person/86177", "ГБУ РС (Я) ""СУНТАРСКАЯ ЦРБ""")</f>
        <v>ГБУ РС (Я) "СУНТАРСКАЯ ЦРБ"</v>
      </c>
      <c r="B12574" s="24" t="s">
        <v>14906</v>
      </c>
      <c r="C12574" s="25">
        <v>120000</v>
      </c>
      <c r="D12574" s="22" t="s">
        <v>14907</v>
      </c>
      <c r="E12574" s="22" t="s">
        <v>107</v>
      </c>
      <c r="F12574" s="23" t="str">
        <f>HYPERLINK("https://www.spark-marketing.ru/Card/Lot/68578990", "Оказание услуги по техническому обслуживанию системы видеонаблюдения")</f>
        <v>Оказание услуги по техническому обслуживанию системы видеонаблюдения</v>
      </c>
      <c r="G12574" s="22" t="s">
        <v>424</v>
      </c>
      <c r="H12574" s="22" t="s">
        <v>10809</v>
      </c>
      <c r="I12574" s="26">
        <v>43535.6694444444</v>
      </c>
      <c r="J12574" s="23" t="str">
        <f>HYPERLINK("https://www.spark-marketing.ru/Card/Person/152254", "ООО ""БАСТИОН""")</f>
        <v>ООО "БАСТИОН"</v>
      </c>
      <c r="K12574" s="24" t="s">
        <v>9304</v>
      </c>
      <c r="L12574" s="28" t="s">
        <v>52</v>
      </c>
      <c r="M12574" s="25">
        <v>79400</v>
      </c>
      <c r="N12574" s="27">
        <v>0.33833333333333332</v>
      </c>
    </row>
    <row r="12575" spans="1:14" ht="12.75" hidden="1" outlineLevel="1" x14ac:dyDescent="0.2">
      <c r="A12575" s="23" t="str">
        <f>HYPERLINK("https://www.spark-marketing.ru/Card/Person/86177", "ГБУ РС (Я) ""СУНТАРСКАЯ ЦРБ""")</f>
        <v>ГБУ РС (Я) "СУНТАРСКАЯ ЦРБ"</v>
      </c>
      <c r="B12575" s="24" t="s">
        <v>14906</v>
      </c>
      <c r="C12575" s="25">
        <v>120000</v>
      </c>
      <c r="D12575" s="22" t="s">
        <v>14907</v>
      </c>
      <c r="E12575" s="22" t="s">
        <v>107</v>
      </c>
      <c r="F12575" s="23" t="str">
        <f>HYPERLINK("https://www.spark-marketing.ru/Card/Lot/68578990", "Оказание услуги по техническому обслуживанию системы видеонаблюдения")</f>
        <v>Оказание услуги по техническому обслуживанию системы видеонаблюдения</v>
      </c>
      <c r="G12575" s="22" t="s">
        <v>424</v>
      </c>
      <c r="H12575" s="22" t="s">
        <v>10809</v>
      </c>
      <c r="I12575" s="26">
        <v>43535.6694444444</v>
      </c>
      <c r="J12575" s="23" t="str">
        <f>HYPERLINK("https://www.spark-marketing.ru/Card/Person/1163790", "Пономарев Алексей Васильевич")</f>
        <v>Пономарев Алексей Васильевич</v>
      </c>
      <c r="K12575" s="24" t="s">
        <v>14909</v>
      </c>
      <c r="L12575" s="22" t="s">
        <v>10</v>
      </c>
      <c r="M12575" s="25">
        <v>78000</v>
      </c>
      <c r="N12575" s="27">
        <v>0.35</v>
      </c>
    </row>
    <row r="12576" spans="1:14" ht="12.75" x14ac:dyDescent="0.2">
      <c r="A12576" s="23" t="str">
        <f>HYPERLINK("https://www.spark-marketing.ru/Card/Person/24287", "АДМИНИСТРАЦИЯ МУНИЦИПАЛЬНОГО ОБРАЗОВАНИЯ ""ВЯЗЕМСКИЙ РАЙОН"" СМОЛЕНСКОЙ ОБЛАСТИ")</f>
        <v>АДМИНИСТРАЦИЯ МУНИЦИПАЛЬНОГО ОБРАЗОВАНИЯ "ВЯЗЕМСКИЙ РАЙОН" СМОЛЕНСКОЙ ОБЛАСТИ</v>
      </c>
      <c r="B12576" s="24" t="s">
        <v>14910</v>
      </c>
      <c r="C12576" s="25">
        <v>300000</v>
      </c>
      <c r="D12576" s="22" t="s">
        <v>14911</v>
      </c>
      <c r="E12576" s="22" t="s">
        <v>52</v>
      </c>
      <c r="F12576" s="23" t="str">
        <f>HYPERLINK("https://www.spark-marketing.ru/Card/Lot/68599767", "Услуги по охране общественного порядка и поддержке граждан и их объединений, участвующих в охране общественного порядка, и созданию условий для деятельности добровольной народной дружины")</f>
        <v>Услуги по охране общественного порядка и поддержке граждан и их объединений, участвующих в охране общественного порядка, и созданию условий для деятельности добровольной народной дружины</v>
      </c>
      <c r="G12576" s="22" t="s">
        <v>956</v>
      </c>
      <c r="H12576" s="22" t="s">
        <v>13565</v>
      </c>
      <c r="I12576" s="26">
        <v>43535.689583333296</v>
      </c>
      <c r="J12576" s="23" t="str">
        <f>HYPERLINK("https://www.spark-marketing.ru/Card/Person/839862", "ВХКО")</f>
        <v>ВХКО</v>
      </c>
      <c r="K12576" s="24" t="s">
        <v>14912</v>
      </c>
      <c r="L12576" s="22" t="s">
        <v>10</v>
      </c>
      <c r="M12576" s="25">
        <v>300000</v>
      </c>
      <c r="N12576" s="27">
        <v>0</v>
      </c>
    </row>
    <row r="12577" spans="1:14" x14ac:dyDescent="0.15">
      <c r="A12577" s="23" t="str">
        <f>HYPERLINK("https://www.spark-marketing.ru/Card/Person/242893", "АУ ""ПКИО Г.ДОЛГОПРУДНОГО""")</f>
        <v>АУ "ПКИО Г.ДОЛГОПРУДНОГО"</v>
      </c>
      <c r="B12577" s="24" t="s">
        <v>14913</v>
      </c>
      <c r="C12577" s="25">
        <v>204000</v>
      </c>
      <c r="D12577" s="22" t="s">
        <v>14914</v>
      </c>
      <c r="E12577" s="22" t="s">
        <v>294</v>
      </c>
      <c r="F12577" s="23" t="str">
        <f>HYPERLINK("https://www.spark-marketing.ru/Card/Lot/68590240", "Услуги по техническому обслуживанию камер видеонаблюдения и проверка функционирования каналов связи для комплекса видеонаблюдения")</f>
        <v>Услуги по техническому обслуживанию камер видеонаблюдения и проверка функционирования каналов связи для комплекса видеонаблюдения</v>
      </c>
      <c r="G12577" s="22" t="s">
        <v>50</v>
      </c>
      <c r="H12577" s="22" t="s">
        <v>3866</v>
      </c>
      <c r="I12577" s="26">
        <v>43535.6386458333</v>
      </c>
      <c r="J12577" s="28" t="s">
        <v>52</v>
      </c>
      <c r="K12577" s="28" t="s">
        <v>52</v>
      </c>
      <c r="L12577" s="28" t="s">
        <v>52</v>
      </c>
      <c r="M12577" s="28" t="s">
        <v>52</v>
      </c>
      <c r="N12577" s="28" t="s">
        <v>52</v>
      </c>
    </row>
    <row r="12578" spans="1:14" x14ac:dyDescent="0.15">
      <c r="A12578" s="23" t="str">
        <f>HYPERLINK("https://www.spark-marketing.ru/Card/Person/143522", "КЕМЕРОВСКАЯ ТАМОЖНЯ")</f>
        <v>КЕМЕРОВСКАЯ ТАМОЖНЯ</v>
      </c>
      <c r="B12578" s="24" t="s">
        <v>2841</v>
      </c>
      <c r="C12578" s="25">
        <v>275289.84000000003</v>
      </c>
      <c r="D12578" s="22" t="s">
        <v>14915</v>
      </c>
      <c r="E12578" s="22" t="s">
        <v>68</v>
      </c>
      <c r="F12578" s="23" t="str">
        <f>HYPERLINK("https://www.spark-marketing.ru/Card/Lot/68583405", "Охрана объектов Кемеровской таможни")</f>
        <v>Охрана объектов Кемеровской таможни</v>
      </c>
      <c r="G12578" s="22" t="s">
        <v>367</v>
      </c>
      <c r="H12578" s="22" t="s">
        <v>881</v>
      </c>
      <c r="I12578" s="26">
        <v>43535.6430555556</v>
      </c>
      <c r="J12578" s="23" t="str">
        <f>HYPERLINK("https://www.spark-marketing.ru/Card/Person/10487", "ФГУП ""ОХРАНА"" РОСГВАРДИИ")</f>
        <v>ФГУП "ОХРАНА" РОСГВАРДИИ</v>
      </c>
      <c r="K12578" s="24" t="s">
        <v>779</v>
      </c>
      <c r="L12578" s="22" t="s">
        <v>10</v>
      </c>
      <c r="M12578" s="28" t="s">
        <v>52</v>
      </c>
      <c r="N12578" s="28" t="s">
        <v>52</v>
      </c>
    </row>
    <row r="12579" spans="1:14" x14ac:dyDescent="0.15">
      <c r="A12579" s="23" t="str">
        <f>HYPERLINK("https://www.spark-marketing.ru/Card/Person/4377032", "АРБИТРАЖНЫЙ СУД РИ")</f>
        <v>АРБИТРАЖНЫЙ СУД РИ</v>
      </c>
      <c r="B12579" s="24" t="s">
        <v>14916</v>
      </c>
      <c r="C12579" s="25">
        <v>1260000</v>
      </c>
      <c r="D12579" s="22" t="s">
        <v>14917</v>
      </c>
      <c r="E12579" s="22" t="s">
        <v>68</v>
      </c>
      <c r="F12579" s="23" t="str">
        <f>HYPERLINK("https://www.spark-marketing.ru/Card/Lot/68599708", "на оказание услуг по военизированной охране здания Арбитражного суда Республики")</f>
        <v>на оказание услуг по военизированной охране здания Арбитражного суда Республики</v>
      </c>
      <c r="G12579" s="22" t="s">
        <v>648</v>
      </c>
      <c r="H12579" s="22" t="s">
        <v>13830</v>
      </c>
      <c r="I12579" s="26">
        <v>43535.656944444403</v>
      </c>
      <c r="J12579" s="23" t="str">
        <f>HYPERLINK("https://www.spark-marketing.ru/Card/Person/207406", "ФГКУ ""УВО ВНГ РОССИИ ПО РЕСПУБЛИКЕ ИНГУШЕТИЯ""")</f>
        <v>ФГКУ "УВО ВНГ РОССИИ ПО РЕСПУБЛИКЕ ИНГУШЕТИЯ"</v>
      </c>
      <c r="K12579" s="24" t="s">
        <v>14918</v>
      </c>
      <c r="L12579" s="22" t="s">
        <v>10</v>
      </c>
      <c r="M12579" s="28" t="s">
        <v>52</v>
      </c>
      <c r="N12579" s="28" t="s">
        <v>52</v>
      </c>
    </row>
    <row r="12580" spans="1:14" x14ac:dyDescent="0.15">
      <c r="A12580" s="23" t="str">
        <f t="shared" ref="A12580:A12587" si="656">HYPERLINK("https://www.spark-marketing.ru/Card/Person/152378", "МБДОУ ""ЦРР - ДЕТСКИЙ САД №90 ""ПОДСОЛНУШЕК"" НМР РТ")</f>
        <v>МБДОУ "ЦРР - ДЕТСКИЙ САД №90 "ПОДСОЛНУШЕК" НМР РТ</v>
      </c>
      <c r="B12580" s="24" t="s">
        <v>14919</v>
      </c>
      <c r="C12580" s="25">
        <v>67400</v>
      </c>
      <c r="D12580" s="22" t="s">
        <v>14920</v>
      </c>
      <c r="E12580" s="22" t="s">
        <v>103</v>
      </c>
      <c r="F12580" s="23" t="str">
        <f t="shared" ref="F12580:F12587" si="657">HYPERLINK("https://www.spark-marketing.ru/Card/Lot/68594213", "Оказание услуг по техническому обслуживанию системы видеонаблюдения для МБОУ ""Центр развития ребенка - детский сад №90 ""Подсолнушек"" НМР РТ (СМП и СОНО)")</f>
        <v>Оказание услуг по техническому обслуживанию системы видеонаблюдения для МБОУ "Центр развития ребенка - детский сад №90 "Подсолнушек" НМР РТ (СМП и СОНО)</v>
      </c>
      <c r="G12580" s="22" t="s">
        <v>204</v>
      </c>
      <c r="H12580" s="22" t="s">
        <v>824</v>
      </c>
      <c r="I12580" s="26">
        <v>43535.631249999999</v>
      </c>
      <c r="J12580" s="28" t="s">
        <v>52</v>
      </c>
      <c r="K12580" s="28" t="s">
        <v>52</v>
      </c>
      <c r="L12580" s="28" t="s">
        <v>52</v>
      </c>
      <c r="M12580" s="28" t="s">
        <v>52</v>
      </c>
      <c r="N12580" s="28" t="s">
        <v>52</v>
      </c>
    </row>
    <row r="12581" spans="1:14" ht="12.75" hidden="1" outlineLevel="1" x14ac:dyDescent="0.2">
      <c r="A12581" s="23" t="str">
        <f t="shared" si="656"/>
        <v>МБДОУ "ЦРР - ДЕТСКИЙ САД №90 "ПОДСОЛНУШЕК" НМР РТ</v>
      </c>
      <c r="B12581" s="24" t="s">
        <v>14919</v>
      </c>
      <c r="C12581" s="25">
        <v>67400</v>
      </c>
      <c r="D12581" s="22" t="s">
        <v>14920</v>
      </c>
      <c r="E12581" s="22" t="s">
        <v>103</v>
      </c>
      <c r="F12581" s="23" t="str">
        <f t="shared" si="657"/>
        <v>Оказание услуг по техническому обслуживанию системы видеонаблюдения для МБОУ "Центр развития ребенка - детский сад №90 "Подсолнушек" НМР РТ (СМП и СОНО)</v>
      </c>
      <c r="G12581" s="22" t="s">
        <v>204</v>
      </c>
      <c r="H12581" s="22" t="s">
        <v>824</v>
      </c>
      <c r="I12581" s="26">
        <v>43535.631249999999</v>
      </c>
      <c r="J12581" s="23" t="str">
        <f>HYPERLINK("https://www.spark-marketing.ru/Card/Person/34725", "ООО ""КОМПЬЮСЕРВИС - НК""")</f>
        <v>ООО "КОМПЬЮСЕРВИС - НК"</v>
      </c>
      <c r="K12581" s="24" t="s">
        <v>3468</v>
      </c>
      <c r="L12581" s="22" t="s">
        <v>10</v>
      </c>
      <c r="M12581" s="25">
        <v>7648</v>
      </c>
      <c r="N12581" s="27">
        <v>0.88652818991097926</v>
      </c>
    </row>
    <row r="12582" spans="1:14" hidden="1" outlineLevel="1" x14ac:dyDescent="0.2">
      <c r="A12582" s="23" t="str">
        <f t="shared" si="656"/>
        <v>МБДОУ "ЦРР - ДЕТСКИЙ САД №90 "ПОДСОЛНУШЕК" НМР РТ</v>
      </c>
      <c r="B12582" s="24" t="s">
        <v>14919</v>
      </c>
      <c r="C12582" s="25">
        <v>67400</v>
      </c>
      <c r="D12582" s="22" t="s">
        <v>14920</v>
      </c>
      <c r="E12582" s="22" t="s">
        <v>103</v>
      </c>
      <c r="F12582" s="23" t="str">
        <f t="shared" si="657"/>
        <v>Оказание услуг по техническому обслуживанию системы видеонаблюдения для МБОУ "Центр развития ребенка - детский сад №90 "Подсолнушек" НМР РТ (СМП и СОНО)</v>
      </c>
      <c r="G12582" s="22" t="s">
        <v>204</v>
      </c>
      <c r="H12582" s="22" t="s">
        <v>824</v>
      </c>
      <c r="I12582" s="26">
        <v>43535.631249999999</v>
      </c>
      <c r="J12582" s="23" t="str">
        <f>HYPERLINK("https://www.spark-marketing.ru/Card/Person/5905797", "ООО ""СЛАЙДЕР""")</f>
        <v>ООО "СЛАЙДЕР"</v>
      </c>
      <c r="K12582" s="24" t="s">
        <v>14921</v>
      </c>
      <c r="L12582" s="28" t="s">
        <v>52</v>
      </c>
      <c r="M12582" s="25">
        <v>39663</v>
      </c>
      <c r="N12582" s="27">
        <v>0.41152818991097923</v>
      </c>
    </row>
    <row r="12583" spans="1:14" hidden="1" outlineLevel="1" x14ac:dyDescent="0.2">
      <c r="A12583" s="23" t="str">
        <f t="shared" si="656"/>
        <v>МБДОУ "ЦРР - ДЕТСКИЙ САД №90 "ПОДСОЛНУШЕК" НМР РТ</v>
      </c>
      <c r="B12583" s="24" t="s">
        <v>14919</v>
      </c>
      <c r="C12583" s="25">
        <v>67400</v>
      </c>
      <c r="D12583" s="22" t="s">
        <v>14920</v>
      </c>
      <c r="E12583" s="22" t="s">
        <v>103</v>
      </c>
      <c r="F12583" s="23" t="str">
        <f t="shared" si="657"/>
        <v>Оказание услуг по техническому обслуживанию системы видеонаблюдения для МБОУ "Центр развития ребенка - детский сад №90 "Подсолнушек" НМР РТ (СМП и СОНО)</v>
      </c>
      <c r="G12583" s="22" t="s">
        <v>204</v>
      </c>
      <c r="H12583" s="22" t="s">
        <v>824</v>
      </c>
      <c r="I12583" s="26">
        <v>43535.631249999999</v>
      </c>
      <c r="J12583" s="23" t="str">
        <f>HYPERLINK("https://www.spark-marketing.ru/Card/Person/5908924", "ООО ""ИНВЕСТСПЕЦСТРОЙ""")</f>
        <v>ООО "ИНВЕСТСПЕЦСТРОЙ"</v>
      </c>
      <c r="K12583" s="24" t="s">
        <v>14922</v>
      </c>
      <c r="L12583" s="28" t="s">
        <v>52</v>
      </c>
      <c r="M12583" s="25">
        <v>67000</v>
      </c>
      <c r="N12583" s="27">
        <v>5.9347181008902079E-3</v>
      </c>
    </row>
    <row r="12584" spans="1:14" hidden="1" outlineLevel="1" x14ac:dyDescent="0.2">
      <c r="A12584" s="23" t="str">
        <f t="shared" si="656"/>
        <v>МБДОУ "ЦРР - ДЕТСКИЙ САД №90 "ПОДСОЛНУШЕК" НМР РТ</v>
      </c>
      <c r="B12584" s="24" t="s">
        <v>14919</v>
      </c>
      <c r="C12584" s="25">
        <v>67400</v>
      </c>
      <c r="D12584" s="22" t="s">
        <v>14920</v>
      </c>
      <c r="E12584" s="22" t="s">
        <v>103</v>
      </c>
      <c r="F12584" s="23" t="str">
        <f t="shared" si="657"/>
        <v>Оказание услуг по техническому обслуживанию системы видеонаблюдения для МБОУ "Центр развития ребенка - детский сад №90 "Подсолнушек" НМР РТ (СМП и СОНО)</v>
      </c>
      <c r="G12584" s="22" t="s">
        <v>204</v>
      </c>
      <c r="H12584" s="22" t="s">
        <v>824</v>
      </c>
      <c r="I12584" s="26">
        <v>43535.631249999999</v>
      </c>
      <c r="J12584" s="23" t="str">
        <f>HYPERLINK("https://www.spark-marketing.ru/Card/Person/400993", "ООО ""РИТМ-ЗАЩИТА""")</f>
        <v>ООО "РИТМ-ЗАЩИТА"</v>
      </c>
      <c r="K12584" s="24" t="s">
        <v>10493</v>
      </c>
      <c r="L12584" s="28" t="s">
        <v>52</v>
      </c>
      <c r="M12584" s="25">
        <v>9670</v>
      </c>
      <c r="N12584" s="27">
        <v>0.85652818991097923</v>
      </c>
    </row>
    <row r="12585" spans="1:14" hidden="1" outlineLevel="1" x14ac:dyDescent="0.2">
      <c r="A12585" s="23" t="str">
        <f t="shared" si="656"/>
        <v>МБДОУ "ЦРР - ДЕТСКИЙ САД №90 "ПОДСОЛНУШЕК" НМР РТ</v>
      </c>
      <c r="B12585" s="24" t="s">
        <v>14919</v>
      </c>
      <c r="C12585" s="25">
        <v>67400</v>
      </c>
      <c r="D12585" s="22" t="s">
        <v>14920</v>
      </c>
      <c r="E12585" s="22" t="s">
        <v>103</v>
      </c>
      <c r="F12585" s="23" t="str">
        <f t="shared" si="657"/>
        <v>Оказание услуг по техническому обслуживанию системы видеонаблюдения для МБОУ "Центр развития ребенка - детский сад №90 "Подсолнушек" НМР РТ (СМП и СОНО)</v>
      </c>
      <c r="G12585" s="22" t="s">
        <v>204</v>
      </c>
      <c r="H12585" s="22" t="s">
        <v>824</v>
      </c>
      <c r="I12585" s="26">
        <v>43535.631249999999</v>
      </c>
      <c r="J12585" s="23" t="str">
        <f>HYPERLINK("https://www.spark-marketing.ru/Card/Person/5874819", "ООО ЧОО ""ФОРСЕК""")</f>
        <v>ООО ЧОО "ФОРСЕК"</v>
      </c>
      <c r="K12585" s="24" t="s">
        <v>8877</v>
      </c>
      <c r="L12585" s="28" t="s">
        <v>52</v>
      </c>
      <c r="M12585" s="25">
        <v>20117</v>
      </c>
      <c r="N12585" s="27">
        <v>0.70152818991097921</v>
      </c>
    </row>
    <row r="12586" spans="1:14" hidden="1" outlineLevel="1" x14ac:dyDescent="0.2">
      <c r="A12586" s="23" t="str">
        <f t="shared" si="656"/>
        <v>МБДОУ "ЦРР - ДЕТСКИЙ САД №90 "ПОДСОЛНУШЕК" НМР РТ</v>
      </c>
      <c r="B12586" s="24" t="s">
        <v>14919</v>
      </c>
      <c r="C12586" s="25">
        <v>67400</v>
      </c>
      <c r="D12586" s="22" t="s">
        <v>14920</v>
      </c>
      <c r="E12586" s="22" t="s">
        <v>103</v>
      </c>
      <c r="F12586" s="23" t="str">
        <f t="shared" si="657"/>
        <v>Оказание услуг по техническому обслуживанию системы видеонаблюдения для МБОУ "Центр развития ребенка - детский сад №90 "Подсолнушек" НМР РТ (СМП и СОНО)</v>
      </c>
      <c r="G12586" s="22" t="s">
        <v>204</v>
      </c>
      <c r="H12586" s="22" t="s">
        <v>824</v>
      </c>
      <c r="I12586" s="26">
        <v>43535.631249999999</v>
      </c>
      <c r="J12586" s="23" t="str">
        <f>HYPERLINK("https://www.spark-marketing.ru/Card/Person/6165225", "Пузикова Раиса Петровна")</f>
        <v>Пузикова Раиса Петровна</v>
      </c>
      <c r="K12586" s="24" t="s">
        <v>14923</v>
      </c>
      <c r="L12586" s="28" t="s">
        <v>52</v>
      </c>
      <c r="M12586" s="25">
        <v>40000</v>
      </c>
      <c r="N12586" s="27">
        <v>0.40652818991097922</v>
      </c>
    </row>
    <row r="12587" spans="1:14" hidden="1" outlineLevel="1" x14ac:dyDescent="0.2">
      <c r="A12587" s="23" t="str">
        <f t="shared" si="656"/>
        <v>МБДОУ "ЦРР - ДЕТСКИЙ САД №90 "ПОДСОЛНУШЕК" НМР РТ</v>
      </c>
      <c r="B12587" s="24" t="s">
        <v>14919</v>
      </c>
      <c r="C12587" s="25">
        <v>67400</v>
      </c>
      <c r="D12587" s="22" t="s">
        <v>14920</v>
      </c>
      <c r="E12587" s="22" t="s">
        <v>103</v>
      </c>
      <c r="F12587" s="23" t="str">
        <f t="shared" si="657"/>
        <v>Оказание услуг по техническому обслуживанию системы видеонаблюдения для МБОУ "Центр развития ребенка - детский сад №90 "Подсолнушек" НМР РТ (СМП и СОНО)</v>
      </c>
      <c r="G12587" s="22" t="s">
        <v>204</v>
      </c>
      <c r="H12587" s="22" t="s">
        <v>824</v>
      </c>
      <c r="I12587" s="26">
        <v>43535.631249999999</v>
      </c>
      <c r="J12587" s="23" t="str">
        <f>HYPERLINK("https://www.spark-marketing.ru/Card/Person/138713", "Хакимзянов Рустам Миннерафикович")</f>
        <v>Хакимзянов Рустам Миннерафикович</v>
      </c>
      <c r="K12587" s="24" t="s">
        <v>3470</v>
      </c>
      <c r="L12587" s="28" t="s">
        <v>52</v>
      </c>
      <c r="M12587" s="25">
        <v>7985</v>
      </c>
      <c r="N12587" s="27">
        <v>0.88152818991097925</v>
      </c>
    </row>
    <row r="12588" spans="1:14" x14ac:dyDescent="0.15">
      <c r="A12588" s="23" t="str">
        <f>HYPERLINK("https://www.spark-marketing.ru/Card/Person/10271", "АО ""НИИЭМ""")</f>
        <v>АО "НИИЭМ"</v>
      </c>
      <c r="B12588" s="24" t="s">
        <v>14924</v>
      </c>
      <c r="C12588" s="25">
        <v>130000</v>
      </c>
      <c r="D12588" s="22" t="s">
        <v>14925</v>
      </c>
      <c r="E12588" s="22" t="s">
        <v>14926</v>
      </c>
      <c r="F12588" s="23" t="str">
        <f>HYPERLINK("https://www.spark-marketing.ru/Card/Lot/68592962", "0556-2019-00105 Оказание услуги по установке камер видеонаблюдения на территории АО НИИЭМ, с приобретением оборудования")</f>
        <v>0556-2019-00105 Оказание услуги по установке камер видеонаблюдения на территории АО НИИЭМ, с приобретением оборудования</v>
      </c>
      <c r="G12588" s="22" t="s">
        <v>833</v>
      </c>
      <c r="H12588" s="22" t="s">
        <v>834</v>
      </c>
      <c r="I12588" s="26">
        <v>43535.653599537</v>
      </c>
      <c r="J12588" s="28" t="s">
        <v>52</v>
      </c>
      <c r="K12588" s="28" t="s">
        <v>52</v>
      </c>
      <c r="L12588" s="28" t="s">
        <v>52</v>
      </c>
      <c r="M12588" s="28" t="s">
        <v>52</v>
      </c>
      <c r="N12588" s="28" t="s">
        <v>52</v>
      </c>
    </row>
    <row r="12589" spans="1:14" hidden="1" outlineLevel="1" x14ac:dyDescent="0.2">
      <c r="A12589" s="23" t="str">
        <f>HYPERLINK("https://www.spark-marketing.ru/Card/Person/10271", "АО ""НИИЭМ""")</f>
        <v>АО "НИИЭМ"</v>
      </c>
      <c r="B12589" s="24" t="s">
        <v>14924</v>
      </c>
      <c r="C12589" s="28" t="s">
        <v>52</v>
      </c>
      <c r="D12589" s="22" t="s">
        <v>14925</v>
      </c>
      <c r="E12589" s="22" t="s">
        <v>14926</v>
      </c>
      <c r="F12589" s="23" t="str">
        <f>HYPERLINK("https://www.spark-marketing.ru/Card/Lot/68592962", "0556-2019-00105 Оказание услуги по установке камер видеонаблюдения на территории АО НИИЭМ, с приобретением оборудования")</f>
        <v>0556-2019-00105 Оказание услуги по установке камер видеонаблюдения на территории АО НИИЭМ, с приобретением оборудования</v>
      </c>
      <c r="G12589" s="22" t="s">
        <v>833</v>
      </c>
      <c r="H12589" s="22" t="s">
        <v>834</v>
      </c>
      <c r="I12589" s="26">
        <v>43535.653599537</v>
      </c>
      <c r="J12589" s="23" t="str">
        <f>HYPERLINK("https://www.spark-marketing.ru/Card/Person/6436228", "Фадеев Владимир Валерьевич")</f>
        <v>Фадеев Владимир Валерьевич</v>
      </c>
      <c r="K12589" s="24" t="s">
        <v>14927</v>
      </c>
      <c r="L12589" s="28" t="s">
        <v>52</v>
      </c>
      <c r="M12589" s="25">
        <v>115000</v>
      </c>
      <c r="N12589" s="27">
        <v>0.11538461538461539</v>
      </c>
    </row>
    <row r="12590" spans="1:14" hidden="1" outlineLevel="1" x14ac:dyDescent="0.2">
      <c r="A12590" s="23" t="str">
        <f>HYPERLINK("https://www.spark-marketing.ru/Card/Person/10271", "АО ""НИИЭМ""")</f>
        <v>АО "НИИЭМ"</v>
      </c>
      <c r="B12590" s="24" t="s">
        <v>14924</v>
      </c>
      <c r="C12590" s="28" t="s">
        <v>52</v>
      </c>
      <c r="D12590" s="22" t="s">
        <v>14925</v>
      </c>
      <c r="E12590" s="22" t="s">
        <v>14926</v>
      </c>
      <c r="F12590" s="23" t="str">
        <f>HYPERLINK("https://www.spark-marketing.ru/Card/Lot/68592962", "0556-2019-00105 Оказание услуги по установке камер видеонаблюдения на территории АО НИИЭМ, с приобретением оборудования")</f>
        <v>0556-2019-00105 Оказание услуги по установке камер видеонаблюдения на территории АО НИИЭМ, с приобретением оборудования</v>
      </c>
      <c r="G12590" s="22" t="s">
        <v>833</v>
      </c>
      <c r="H12590" s="22" t="s">
        <v>834</v>
      </c>
      <c r="I12590" s="26">
        <v>43535.653599537</v>
      </c>
      <c r="J12590" s="23" t="str">
        <f>HYPERLINK("https://www.spark-marketing.ru/Card/Person/169688", "Кантемиров Алан Рамазанович")</f>
        <v>Кантемиров Алан Рамазанович</v>
      </c>
      <c r="K12590" s="24" t="s">
        <v>14928</v>
      </c>
      <c r="L12590" s="28" t="s">
        <v>52</v>
      </c>
      <c r="M12590" s="25">
        <v>100000</v>
      </c>
      <c r="N12590" s="27">
        <v>0.23076923076923078</v>
      </c>
    </row>
    <row r="12591" spans="1:14" hidden="1" outlineLevel="1" x14ac:dyDescent="0.2">
      <c r="A12591" s="23" t="str">
        <f>HYPERLINK("https://www.spark-marketing.ru/Card/Person/10271", "АО ""НИИЭМ""")</f>
        <v>АО "НИИЭМ"</v>
      </c>
      <c r="B12591" s="24" t="s">
        <v>14924</v>
      </c>
      <c r="C12591" s="28" t="s">
        <v>52</v>
      </c>
      <c r="D12591" s="22" t="s">
        <v>14925</v>
      </c>
      <c r="E12591" s="22" t="s">
        <v>14926</v>
      </c>
      <c r="F12591" s="23" t="str">
        <f>HYPERLINK("https://www.spark-marketing.ru/Card/Lot/68592962", "0556-2019-00105 Оказание услуги по установке камер видеонаблюдения на территории АО НИИЭМ, с приобретением оборудования")</f>
        <v>0556-2019-00105 Оказание услуги по установке камер видеонаблюдения на территории АО НИИЭМ, с приобретением оборудования</v>
      </c>
      <c r="G12591" s="22" t="s">
        <v>833</v>
      </c>
      <c r="H12591" s="22" t="s">
        <v>834</v>
      </c>
      <c r="I12591" s="26">
        <v>43535.653599537</v>
      </c>
      <c r="J12591" s="23" t="str">
        <f>HYPERLINK("https://www.spark-marketing.ru/Card/Person/6507226", "Вдовченко Андрей Викторович")</f>
        <v>Вдовченко Андрей Викторович</v>
      </c>
      <c r="K12591" s="24" t="s">
        <v>14390</v>
      </c>
      <c r="L12591" s="22" t="s">
        <v>10</v>
      </c>
      <c r="M12591" s="25">
        <v>99000</v>
      </c>
      <c r="N12591" s="27">
        <v>0.23846153846153847</v>
      </c>
    </row>
    <row r="12592" spans="1:14" x14ac:dyDescent="0.15">
      <c r="A12592" s="23" t="str">
        <f>HYPERLINK("https://www.spark-marketing.ru/Card/Person/108752", "МБДОУ ЦРР - Д/С №21")</f>
        <v>МБДОУ ЦРР - Д/С №21</v>
      </c>
      <c r="B12592" s="24" t="s">
        <v>14929</v>
      </c>
      <c r="C12592" s="25">
        <v>10000</v>
      </c>
      <c r="D12592" s="22" t="s">
        <v>14930</v>
      </c>
      <c r="E12592" s="22" t="s">
        <v>84</v>
      </c>
      <c r="F12592" s="23" t="str">
        <f>HYPERLINK("https://www.spark-marketing.ru/Card/Lot/68590245", "Установка оборудования системы видеонаблюдения")</f>
        <v>Установка оборудования системы видеонаблюдения</v>
      </c>
      <c r="G12592" s="22" t="s">
        <v>50</v>
      </c>
      <c r="H12592" s="22" t="s">
        <v>679</v>
      </c>
      <c r="I12592" s="26">
        <v>43535.648611111101</v>
      </c>
      <c r="J12592" s="28" t="s">
        <v>52</v>
      </c>
      <c r="K12592" s="28" t="s">
        <v>52</v>
      </c>
      <c r="L12592" s="28" t="s">
        <v>52</v>
      </c>
      <c r="M12592" s="28" t="s">
        <v>52</v>
      </c>
      <c r="N12592" s="28" t="s">
        <v>52</v>
      </c>
    </row>
    <row r="12593" spans="1:14" x14ac:dyDescent="0.2">
      <c r="A12593" s="23" t="str">
        <f>HYPERLINK("https://www.spark-marketing.ru/Card/Person/9633", "МИНСТРОЙ ИНГУШЕТИИ")</f>
        <v>МИНСТРОЙ ИНГУШЕТИИ</v>
      </c>
      <c r="B12593" s="24" t="s">
        <v>646</v>
      </c>
      <c r="C12593" s="25">
        <v>2453460</v>
      </c>
      <c r="D12593" s="22" t="s">
        <v>14931</v>
      </c>
      <c r="E12593" s="22" t="s">
        <v>218</v>
      </c>
      <c r="F12593" s="23" t="str">
        <f>HYPERLINK("https://www.spark-marketing.ru/Card/Lot/68596100", "Оказание услуг по строительному контролю и техническому сопровождению работ по объекту «Строительство школы на 720 мест в г. Карабулак»")</f>
        <v>Оказание услуг по строительному контролю и техническому сопровождению работ по объекту «Строительство школы на 720 мест в г. Карабулак»</v>
      </c>
      <c r="G12593" s="22" t="s">
        <v>648</v>
      </c>
      <c r="H12593" s="22" t="s">
        <v>648</v>
      </c>
      <c r="I12593" s="26">
        <v>43535.6472222222</v>
      </c>
      <c r="J12593" s="23" t="str">
        <f>HYPERLINK("https://www.spark-marketing.ru/Card/Person/259250", "ГУП""УКС РИ""")</f>
        <v>ГУП"УКС РИ"</v>
      </c>
      <c r="K12593" s="24" t="s">
        <v>7151</v>
      </c>
      <c r="L12593" s="28" t="s">
        <v>52</v>
      </c>
      <c r="M12593" s="25">
        <v>2453460</v>
      </c>
      <c r="N12593" s="27">
        <v>0</v>
      </c>
    </row>
    <row r="12594" spans="1:14" x14ac:dyDescent="0.15">
      <c r="A12594" s="23" t="str">
        <f>HYPERLINK("https://www.spark-marketing.ru/Card/Person/1002969", "МБУ ДО ЦДТ ИЛИ ЦЕНТР ДЕТСКОГО ТВОРЧЕСТВА")</f>
        <v>МБУ ДО ЦДТ ИЛИ ЦЕНТР ДЕТСКОГО ТВОРЧЕСТВА</v>
      </c>
      <c r="B12594" s="24" t="s">
        <v>10796</v>
      </c>
      <c r="C12594" s="25">
        <v>405341.44</v>
      </c>
      <c r="D12594" s="22" t="s">
        <v>14932</v>
      </c>
      <c r="E12594" s="22" t="s">
        <v>68</v>
      </c>
      <c r="F12594" s="23" t="str">
        <f>HYPERLINK("https://www.spark-marketing.ru/Card/Lot/68591349", "Обеспечение охраны объектов (территорий) сотрудниками частных охранных организаций")</f>
        <v>Обеспечение охраны объектов (территорий) сотрудниками частных охранных организаций</v>
      </c>
      <c r="G12594" s="22" t="s">
        <v>72</v>
      </c>
      <c r="H12594" s="22" t="s">
        <v>692</v>
      </c>
      <c r="I12594" s="26">
        <v>43535.595138888901</v>
      </c>
      <c r="J12594" s="28" t="s">
        <v>52</v>
      </c>
      <c r="K12594" s="28" t="s">
        <v>52</v>
      </c>
      <c r="L12594" s="28" t="s">
        <v>52</v>
      </c>
      <c r="M12594" s="28" t="s">
        <v>52</v>
      </c>
      <c r="N12594" s="28" t="s">
        <v>52</v>
      </c>
    </row>
    <row r="12595" spans="1:14" hidden="1" outlineLevel="1" x14ac:dyDescent="0.2">
      <c r="A12595" s="23" t="str">
        <f>HYPERLINK("https://www.spark-marketing.ru/Card/Person/1002969", "МБУ ДО ЦДТ ИЛИ ЦЕНТР ДЕТСКОГО ТВОРЧЕСТВА")</f>
        <v>МБУ ДО ЦДТ ИЛИ ЦЕНТР ДЕТСКОГО ТВОРЧЕСТВА</v>
      </c>
      <c r="B12595" s="24" t="s">
        <v>10796</v>
      </c>
      <c r="C12595" s="25">
        <v>405341.44</v>
      </c>
      <c r="D12595" s="22" t="s">
        <v>14932</v>
      </c>
      <c r="E12595" s="22" t="s">
        <v>68</v>
      </c>
      <c r="F12595" s="23" t="str">
        <f>HYPERLINK("https://www.spark-marketing.ru/Card/Lot/68591349", "Обеспечение охраны объектов (территорий) сотрудниками частных охранных организаций")</f>
        <v>Обеспечение охраны объектов (территорий) сотрудниками частных охранных организаций</v>
      </c>
      <c r="G12595" s="22" t="s">
        <v>72</v>
      </c>
      <c r="H12595" s="22" t="s">
        <v>692</v>
      </c>
      <c r="I12595" s="26">
        <v>43535.595138888901</v>
      </c>
      <c r="J12595" s="23" t="str">
        <f>HYPERLINK("https://www.spark-marketing.ru/Card/Person/38100", "ООО ЧОО ""ВСС-ПЕРМЬ""")</f>
        <v>ООО ЧОО "ВСС-ПЕРМЬ"</v>
      </c>
      <c r="K12595" s="24" t="s">
        <v>13537</v>
      </c>
      <c r="L12595" s="28" t="s">
        <v>52</v>
      </c>
      <c r="M12595" s="25">
        <v>352646.98</v>
      </c>
      <c r="N12595" s="27">
        <v>0.13000017960167112</v>
      </c>
    </row>
    <row r="12596" spans="1:14" ht="12.75" hidden="1" outlineLevel="1" x14ac:dyDescent="0.2">
      <c r="A12596" s="23" t="str">
        <f>HYPERLINK("https://www.spark-marketing.ru/Card/Person/1002969", "МБУ ДО ЦДТ ИЛИ ЦЕНТР ДЕТСКОГО ТВОРЧЕСТВА")</f>
        <v>МБУ ДО ЦДТ ИЛИ ЦЕНТР ДЕТСКОГО ТВОРЧЕСТВА</v>
      </c>
      <c r="B12596" s="24" t="s">
        <v>10796</v>
      </c>
      <c r="C12596" s="25">
        <v>405341.44</v>
      </c>
      <c r="D12596" s="22" t="s">
        <v>14932</v>
      </c>
      <c r="E12596" s="22" t="s">
        <v>68</v>
      </c>
      <c r="F12596" s="23" t="str">
        <f>HYPERLINK("https://www.spark-marketing.ru/Card/Lot/68591349", "Обеспечение охраны объектов (территорий) сотрудниками частных охранных организаций")</f>
        <v>Обеспечение охраны объектов (территорий) сотрудниками частных охранных организаций</v>
      </c>
      <c r="G12596" s="22" t="s">
        <v>72</v>
      </c>
      <c r="H12596" s="22" t="s">
        <v>692</v>
      </c>
      <c r="I12596" s="26">
        <v>43535.595138888901</v>
      </c>
      <c r="J12596" s="23" t="str">
        <f>HYPERLINK("https://www.spark-marketing.ru/Card/Person/100254", "ООО ЧОО ""ВИКТОРИЯ""")</f>
        <v>ООО ЧОО "ВИКТОРИЯ"</v>
      </c>
      <c r="K12596" s="24" t="s">
        <v>1406</v>
      </c>
      <c r="L12596" s="22" t="s">
        <v>10</v>
      </c>
      <c r="M12596" s="25">
        <v>350620.27</v>
      </c>
      <c r="N12596" s="27">
        <v>0.13500018650942772</v>
      </c>
    </row>
    <row r="12597" spans="1:14" hidden="1" outlineLevel="1" x14ac:dyDescent="0.2">
      <c r="A12597" s="23" t="str">
        <f>HYPERLINK("https://www.spark-marketing.ru/Card/Person/1002969", "МБУ ДО ЦДТ ИЛИ ЦЕНТР ДЕТСКОГО ТВОРЧЕСТВА")</f>
        <v>МБУ ДО ЦДТ ИЛИ ЦЕНТР ДЕТСКОГО ТВОРЧЕСТВА</v>
      </c>
      <c r="B12597" s="24" t="s">
        <v>10796</v>
      </c>
      <c r="C12597" s="25">
        <v>405341.44</v>
      </c>
      <c r="D12597" s="22" t="s">
        <v>14932</v>
      </c>
      <c r="E12597" s="22" t="s">
        <v>68</v>
      </c>
      <c r="F12597" s="23" t="str">
        <f>HYPERLINK("https://www.spark-marketing.ru/Card/Lot/68591349", "Обеспечение охраны объектов (территорий) сотрудниками частных охранных организаций")</f>
        <v>Обеспечение охраны объектов (территорий) сотрудниками частных охранных организаций</v>
      </c>
      <c r="G12597" s="22" t="s">
        <v>72</v>
      </c>
      <c r="H12597" s="22" t="s">
        <v>692</v>
      </c>
      <c r="I12597" s="26">
        <v>43535.595138888901</v>
      </c>
      <c r="J12597" s="23" t="str">
        <f>HYPERLINK("https://www.spark-marketing.ru/Card/Person/6457697", "ООО ЧОО ""АЛЬФА-ЕКБ""")</f>
        <v>ООО ЧОО "АЛЬФА-ЕКБ"</v>
      </c>
      <c r="K12597" s="24" t="s">
        <v>10525</v>
      </c>
      <c r="L12597" s="28" t="s">
        <v>52</v>
      </c>
      <c r="M12597" s="25">
        <v>403314.73</v>
      </c>
      <c r="N12597" s="27">
        <v>5.0000069077565821E-3</v>
      </c>
    </row>
    <row r="12598" spans="1:14" hidden="1" outlineLevel="1" x14ac:dyDescent="0.2">
      <c r="A12598" s="23" t="str">
        <f>HYPERLINK("https://www.spark-marketing.ru/Card/Person/1002969", "МБУ ДО ЦДТ ИЛИ ЦЕНТР ДЕТСКОГО ТВОРЧЕСТВА")</f>
        <v>МБУ ДО ЦДТ ИЛИ ЦЕНТР ДЕТСКОГО ТВОРЧЕСТВА</v>
      </c>
      <c r="B12598" s="24" t="s">
        <v>10796</v>
      </c>
      <c r="C12598" s="25">
        <v>405341.44</v>
      </c>
      <c r="D12598" s="22" t="s">
        <v>14932</v>
      </c>
      <c r="E12598" s="22" t="s">
        <v>68</v>
      </c>
      <c r="F12598" s="23" t="str">
        <f>HYPERLINK("https://www.spark-marketing.ru/Card/Lot/68591349", "Обеспечение охраны объектов (территорий) сотрудниками частных охранных организаций")</f>
        <v>Обеспечение охраны объектов (территорий) сотрудниками частных охранных организаций</v>
      </c>
      <c r="G12598" s="22" t="s">
        <v>72</v>
      </c>
      <c r="H12598" s="22" t="s">
        <v>692</v>
      </c>
      <c r="I12598" s="26">
        <v>43535.595138888901</v>
      </c>
      <c r="J12598" s="23" t="str">
        <f>HYPERLINK("https://www.spark-marketing.ru/Card/Person/992169", "ООО ""ОА ""ТРОЙКА+""")</f>
        <v>ООО "ОА "ТРОЙКА+"</v>
      </c>
      <c r="K12598" s="24" t="s">
        <v>14933</v>
      </c>
      <c r="L12598" s="28" t="s">
        <v>52</v>
      </c>
      <c r="M12598" s="25">
        <v>356700.4</v>
      </c>
      <c r="N12598" s="27">
        <v>0.12000016578615796</v>
      </c>
    </row>
    <row r="12599" spans="1:14" x14ac:dyDescent="0.15">
      <c r="A12599" s="23" t="str">
        <f>HYPERLINK("https://www.spark-marketing.ru/Card/Person/865", "ДЕПАРТАМЕНТ ГОРИМУЩЕСТВА")</f>
        <v>ДЕПАРТАМЕНТ ГОРИМУЩЕСТВА</v>
      </c>
      <c r="B12599" s="24" t="s">
        <v>14934</v>
      </c>
      <c r="C12599" s="25">
        <v>2904960</v>
      </c>
      <c r="D12599" s="22" t="s">
        <v>14935</v>
      </c>
      <c r="E12599" s="22" t="s">
        <v>52</v>
      </c>
      <c r="F12599" s="23" t="str">
        <f>HYPERLINK("https://www.spark-marketing.ru/Card/Lot/68580475", "Услуги частных охранных служб")</f>
        <v>Услуги частных охранных служб</v>
      </c>
      <c r="G12599" s="22" t="s">
        <v>640</v>
      </c>
      <c r="H12599" s="22" t="s">
        <v>640</v>
      </c>
      <c r="I12599" s="26">
        <v>43535.595833333296</v>
      </c>
      <c r="J12599" s="28" t="s">
        <v>52</v>
      </c>
      <c r="K12599" s="28" t="s">
        <v>52</v>
      </c>
      <c r="L12599" s="28" t="s">
        <v>52</v>
      </c>
      <c r="M12599" s="28" t="s">
        <v>52</v>
      </c>
      <c r="N12599" s="28" t="s">
        <v>52</v>
      </c>
    </row>
    <row r="12600" spans="1:14" ht="12.75" hidden="1" outlineLevel="1" x14ac:dyDescent="0.2">
      <c r="A12600" s="23" t="str">
        <f>HYPERLINK("https://www.spark-marketing.ru/Card/Person/865", "ДЕПАРТАМЕНТ ГОРИМУЩЕСТВА")</f>
        <v>ДЕПАРТАМЕНТ ГОРИМУЩЕСТВА</v>
      </c>
      <c r="B12600" s="24" t="s">
        <v>14934</v>
      </c>
      <c r="C12600" s="25">
        <v>2904960</v>
      </c>
      <c r="D12600" s="22" t="s">
        <v>14935</v>
      </c>
      <c r="E12600" s="22" t="s">
        <v>52</v>
      </c>
      <c r="F12600" s="23" t="str">
        <f>HYPERLINK("https://www.spark-marketing.ru/Card/Lot/68580475", "Услуги частных охранных служб")</f>
        <v>Услуги частных охранных служб</v>
      </c>
      <c r="G12600" s="22" t="s">
        <v>640</v>
      </c>
      <c r="H12600" s="22" t="s">
        <v>640</v>
      </c>
      <c r="I12600" s="26">
        <v>43535.595833333296</v>
      </c>
      <c r="J12600" s="23" t="str">
        <f>HYPERLINK("https://www.spark-marketing.ru/Card/Person/85816", "ООО ОА ""РАТИБОР-В""")</f>
        <v>ООО ОА "РАТИБОР-В"</v>
      </c>
      <c r="K12600" s="24" t="s">
        <v>14936</v>
      </c>
      <c r="L12600" s="22" t="s">
        <v>10</v>
      </c>
      <c r="M12600" s="25">
        <v>2890435.2</v>
      </c>
      <c r="N12600" s="27">
        <v>5.0000000000000001E-3</v>
      </c>
    </row>
    <row r="12601" spans="1:14" hidden="1" outlineLevel="1" x14ac:dyDescent="0.2">
      <c r="A12601" s="23" t="str">
        <f>HYPERLINK("https://www.spark-marketing.ru/Card/Person/865", "ДЕПАРТАМЕНТ ГОРИМУЩЕСТВА")</f>
        <v>ДЕПАРТАМЕНТ ГОРИМУЩЕСТВА</v>
      </c>
      <c r="B12601" s="24" t="s">
        <v>14934</v>
      </c>
      <c r="C12601" s="25">
        <v>2904960</v>
      </c>
      <c r="D12601" s="22" t="s">
        <v>14935</v>
      </c>
      <c r="E12601" s="22" t="s">
        <v>52</v>
      </c>
      <c r="F12601" s="23" t="str">
        <f>HYPERLINK("https://www.spark-marketing.ru/Card/Lot/68580475", "Услуги частных охранных служб")</f>
        <v>Услуги частных охранных служб</v>
      </c>
      <c r="G12601" s="22" t="s">
        <v>640</v>
      </c>
      <c r="H12601" s="22" t="s">
        <v>640</v>
      </c>
      <c r="I12601" s="26">
        <v>43535.595833333296</v>
      </c>
      <c r="J12601" s="23" t="str">
        <f>HYPERLINK("https://www.spark-marketing.ru/Card/Person/472540", "ООО ""МОЛОТ""")</f>
        <v>ООО "МОЛОТ"</v>
      </c>
      <c r="K12601" s="24" t="s">
        <v>4684</v>
      </c>
      <c r="L12601" s="28" t="s">
        <v>52</v>
      </c>
      <c r="M12601" s="25">
        <v>2890435.2</v>
      </c>
      <c r="N12601" s="27">
        <v>5.0000000000000001E-3</v>
      </c>
    </row>
    <row r="12602" spans="1:14" x14ac:dyDescent="0.15">
      <c r="A12602" s="23" t="str">
        <f>HYPERLINK("https://www.spark-marketing.ru/Card/Person/4348425", "ПАО ""ЭНЕЛ РОССИЯ""")</f>
        <v>ПАО "ЭНЕЛ РОССИЯ"</v>
      </c>
      <c r="B12602" s="24" t="s">
        <v>10232</v>
      </c>
      <c r="C12602" s="25">
        <v>0</v>
      </c>
      <c r="D12602" s="22" t="s">
        <v>14937</v>
      </c>
      <c r="E12602" s="22" t="s">
        <v>508</v>
      </c>
      <c r="F12602" s="23" t="str">
        <f>HYPERLINK("https://www.spark-marketing.ru/Card/Lot/68598843", "Процедура проводится в ОДИН ЭТАП без проведение переторжек. Условия проведения в разделе - ""ДОПОЛНИТЕЛЬНЫЕ УСЛОВИЯ"". Переторжек не предусмотрено. На экспертизу направляется только одно предложение с лучшими коммерческими условиями.")</f>
        <v>Процедура проводится в ОДИН ЭТАП без проведение переторжек. Условия проведения в разделе - "ДОПОЛНИТЕЛЬНЫЕ УСЛОВИЯ". Переторжек не предусмотрено. На экспертизу направляется только одно предложение с лучшими коммерческими условиями.</v>
      </c>
      <c r="G12602" s="22" t="s">
        <v>72</v>
      </c>
      <c r="H12602" s="22" t="s">
        <v>72</v>
      </c>
      <c r="I12602" s="26">
        <v>43535.621539351901</v>
      </c>
      <c r="J12602" s="28" t="s">
        <v>52</v>
      </c>
      <c r="K12602" s="28" t="s">
        <v>52</v>
      </c>
      <c r="L12602" s="28" t="s">
        <v>52</v>
      </c>
      <c r="M12602" s="28" t="s">
        <v>52</v>
      </c>
      <c r="N12602" s="28" t="s">
        <v>52</v>
      </c>
    </row>
    <row r="12603" spans="1:14" x14ac:dyDescent="0.15">
      <c r="A12603" s="23" t="str">
        <f>HYPERLINK("https://www.spark-marketing.ru/Card/Person/2630", "УПРАВЛЕНИЕ РОСПОТРЕБНАДЗОРА ПО РЕСПУБЛИКЕ ДАГЕСТАН")</f>
        <v>УПРАВЛЕНИЕ РОСПОТРЕБНАДЗОРА ПО РЕСПУБЛИКЕ ДАГЕСТАН</v>
      </c>
      <c r="B12603" s="24" t="s">
        <v>14938</v>
      </c>
      <c r="C12603" s="25">
        <v>1214598</v>
      </c>
      <c r="D12603" s="22" t="s">
        <v>14939</v>
      </c>
      <c r="E12603" s="22" t="s">
        <v>68</v>
      </c>
      <c r="F12603" s="23" t="str">
        <f>HYPERLINK("https://www.spark-marketing.ru/Card/Lot/68591555", "Услуги по государственной охране здания и прилегающей территории Управления Роспотребнадзора по РД")</f>
        <v>Услуги по государственной охране здания и прилегающей территории Управления Роспотребнадзора по РД</v>
      </c>
      <c r="G12603" s="22" t="s">
        <v>595</v>
      </c>
      <c r="H12603" s="22" t="s">
        <v>3766</v>
      </c>
      <c r="I12603" s="26">
        <v>43535.59375</v>
      </c>
      <c r="J12603" s="28" t="s">
        <v>52</v>
      </c>
      <c r="K12603" s="28" t="s">
        <v>52</v>
      </c>
      <c r="L12603" s="28" t="s">
        <v>52</v>
      </c>
      <c r="M12603" s="28" t="s">
        <v>52</v>
      </c>
      <c r="N12603" s="28" t="s">
        <v>52</v>
      </c>
    </row>
    <row r="12604" spans="1:14" ht="12.75" hidden="1" outlineLevel="1" x14ac:dyDescent="0.2">
      <c r="A12604" s="23" t="str">
        <f>HYPERLINK("https://www.spark-marketing.ru/Card/Person/2630", "УПРАВЛЕНИЕ РОСПОТРЕБНАДЗОРА ПО РЕСПУБЛИКЕ ДАГЕСТАН")</f>
        <v>УПРАВЛЕНИЕ РОСПОТРЕБНАДЗОРА ПО РЕСПУБЛИКЕ ДАГЕСТАН</v>
      </c>
      <c r="B12604" s="24" t="s">
        <v>14938</v>
      </c>
      <c r="C12604" s="25">
        <v>1214598</v>
      </c>
      <c r="D12604" s="22" t="s">
        <v>14939</v>
      </c>
      <c r="E12604" s="22" t="s">
        <v>68</v>
      </c>
      <c r="F12604" s="23" t="str">
        <f>HYPERLINK("https://www.spark-marketing.ru/Card/Lot/68591555", "Услуги по государственной охране здания и прилегающей территории Управления Роспотребнадзора по РД")</f>
        <v>Услуги по государственной охране здания и прилегающей территории Управления Роспотребнадзора по РД</v>
      </c>
      <c r="G12604" s="22" t="s">
        <v>595</v>
      </c>
      <c r="H12604" s="22" t="s">
        <v>3766</v>
      </c>
      <c r="I12604" s="26">
        <v>43535.59375</v>
      </c>
      <c r="J12604" s="23" t="str">
        <f>HYPERLINK("https://www.spark-marketing.ru/Card/Person/5851633", "ФГКУ ""УВО ВНГ РОССИИ ПО РЕСПУБЛИКЕ ДАГЕСТАН""")</f>
        <v>ФГКУ "УВО ВНГ РОССИИ ПО РЕСПУБЛИКЕ ДАГЕСТАН"</v>
      </c>
      <c r="K12604" s="24" t="s">
        <v>14940</v>
      </c>
      <c r="L12604" s="22" t="s">
        <v>10</v>
      </c>
      <c r="M12604" s="25">
        <v>856291.59</v>
      </c>
      <c r="N12604" s="27">
        <v>0.29499999999999998</v>
      </c>
    </row>
    <row r="12605" spans="1:14" hidden="1" outlineLevel="1" x14ac:dyDescent="0.2">
      <c r="A12605" s="23" t="str">
        <f>HYPERLINK("https://www.spark-marketing.ru/Card/Person/2630", "УПРАВЛЕНИЕ РОСПОТРЕБНАДЗОРА ПО РЕСПУБЛИКЕ ДАГЕСТАН")</f>
        <v>УПРАВЛЕНИЕ РОСПОТРЕБНАДЗОРА ПО РЕСПУБЛИКЕ ДАГЕСТАН</v>
      </c>
      <c r="B12605" s="24" t="s">
        <v>14938</v>
      </c>
      <c r="C12605" s="25">
        <v>1214598</v>
      </c>
      <c r="D12605" s="22" t="s">
        <v>14939</v>
      </c>
      <c r="E12605" s="22" t="s">
        <v>68</v>
      </c>
      <c r="F12605" s="23" t="str">
        <f>HYPERLINK("https://www.spark-marketing.ru/Card/Lot/68591555", "Услуги по государственной охране здания и прилегающей территории Управления Роспотребнадзора по РД")</f>
        <v>Услуги по государственной охране здания и прилегающей территории Управления Роспотребнадзора по РД</v>
      </c>
      <c r="G12605" s="22" t="s">
        <v>595</v>
      </c>
      <c r="H12605" s="22" t="s">
        <v>3766</v>
      </c>
      <c r="I12605" s="26">
        <v>43535.59375</v>
      </c>
      <c r="J12605" s="23" t="str">
        <f>HYPERLINK("https://www.spark-marketing.ru/Card/Person/4667119", "ООО ЧОО ""ЩИТ И МЕЧ- 05""")</f>
        <v>ООО ЧОО "ЩИТ И МЕЧ- 05"</v>
      </c>
      <c r="K12605" s="24" t="s">
        <v>14941</v>
      </c>
      <c r="L12605" s="28" t="s">
        <v>52</v>
      </c>
      <c r="M12605" s="25">
        <v>856291.59</v>
      </c>
      <c r="N12605" s="27">
        <v>0.29499999999999998</v>
      </c>
    </row>
    <row r="12606" spans="1:14" x14ac:dyDescent="0.15">
      <c r="A12606" s="23" t="str">
        <f>HYPERLINK("https://www.spark-marketing.ru/Card/Person/397045", "ООО ""КОЛЬСКАЯ АЭС-АВТО""")</f>
        <v>ООО "КОЛЬСКАЯ АЭС-АВТО"</v>
      </c>
      <c r="B12606" s="24" t="s">
        <v>12797</v>
      </c>
      <c r="C12606" s="28" t="s">
        <v>52</v>
      </c>
      <c r="D12606" s="22" t="s">
        <v>14942</v>
      </c>
      <c r="E12606" s="22" t="s">
        <v>53</v>
      </c>
      <c r="F12606" s="23" t="str">
        <f>HYPERLINK("https://www.spark-marketing.ru/Card/Lot/68597858", "Оказание услуг по оснащению транспортных средств ООО «Кольская АЭС-Авто» техническими средствами обеспечения транспортной безопасности (1204156)")</f>
        <v>Оказание услуг по оснащению транспортных средств ООО «Кольская АЭС-Авто» техническими средствами обеспечения транспортной безопасности (1204156)</v>
      </c>
      <c r="G12606" s="22" t="s">
        <v>190</v>
      </c>
      <c r="H12606" s="22" t="s">
        <v>12799</v>
      </c>
      <c r="I12606" s="26">
        <v>43535.621539351901</v>
      </c>
      <c r="J12606" s="28" t="s">
        <v>52</v>
      </c>
      <c r="K12606" s="28" t="s">
        <v>52</v>
      </c>
      <c r="L12606" s="28" t="s">
        <v>52</v>
      </c>
      <c r="M12606" s="28" t="s">
        <v>52</v>
      </c>
      <c r="N12606" s="28" t="s">
        <v>52</v>
      </c>
    </row>
    <row r="12607" spans="1:14" x14ac:dyDescent="0.15">
      <c r="A12607" s="23" t="str">
        <f>HYPERLINK("https://www.spark-marketing.ru/Card/Person/13500", "ГБУЗ МО ""ПБ №4""")</f>
        <v>ГБУЗ МО "ПБ №4"</v>
      </c>
      <c r="B12607" s="24" t="s">
        <v>14943</v>
      </c>
      <c r="C12607" s="25">
        <v>45826</v>
      </c>
      <c r="D12607" s="22" t="s">
        <v>14944</v>
      </c>
      <c r="E12607" s="22" t="s">
        <v>294</v>
      </c>
      <c r="F12607" s="23" t="str">
        <f>HYPERLINK("https://www.spark-marketing.ru/Card/Lot/68587443", "Обслуживание видеонаблюдения")</f>
        <v>Обслуживание видеонаблюдения</v>
      </c>
      <c r="G12607" s="22" t="s">
        <v>50</v>
      </c>
      <c r="H12607" s="22" t="s">
        <v>1207</v>
      </c>
      <c r="I12607" s="26">
        <v>43535.607812499999</v>
      </c>
      <c r="J12607" s="28" t="s">
        <v>52</v>
      </c>
      <c r="K12607" s="28" t="s">
        <v>52</v>
      </c>
      <c r="L12607" s="28" t="s">
        <v>52</v>
      </c>
      <c r="M12607" s="28" t="s">
        <v>52</v>
      </c>
      <c r="N12607" s="28" t="s">
        <v>52</v>
      </c>
    </row>
    <row r="12608" spans="1:14" x14ac:dyDescent="0.15">
      <c r="A12608" s="23" t="str">
        <f>HYPERLINK("https://www.spark-marketing.ru/Card/Person/397045", "ООО ""КОЛЬСКАЯ АЭС-АВТО""")</f>
        <v>ООО "КОЛЬСКАЯ АЭС-АВТО"</v>
      </c>
      <c r="B12608" s="24" t="s">
        <v>12797</v>
      </c>
      <c r="C12608" s="25">
        <v>0</v>
      </c>
      <c r="D12608" s="22" t="s">
        <v>14945</v>
      </c>
      <c r="E12608" s="22" t="s">
        <v>53</v>
      </c>
      <c r="F12608" s="23" t="str">
        <f>HYPERLINK("https://www.spark-marketing.ru/Card/Lot/68596764", "мониторинг цен в электронной форме на Оказание услуг по оснащению транспортных средств ООО «Кольская АЭС-Авто» техническими средствами обеспечения транспортной безопасности")</f>
        <v>мониторинг цен в электронной форме на Оказание услуг по оснащению транспортных средств ООО «Кольская АЭС-Авто» техническими средствами обеспечения транспортной безопасности</v>
      </c>
      <c r="G12608" s="22" t="s">
        <v>190</v>
      </c>
      <c r="H12608" s="22" t="s">
        <v>12799</v>
      </c>
      <c r="I12608" s="26">
        <v>43535.595081018502</v>
      </c>
      <c r="J12608" s="28" t="s">
        <v>52</v>
      </c>
      <c r="K12608" s="28" t="s">
        <v>52</v>
      </c>
      <c r="L12608" s="28" t="s">
        <v>52</v>
      </c>
      <c r="M12608" s="28" t="s">
        <v>52</v>
      </c>
      <c r="N12608" s="28" t="s">
        <v>52</v>
      </c>
    </row>
    <row r="12609" spans="1:14" x14ac:dyDescent="0.15">
      <c r="A12609" s="23" t="str">
        <f>HYPERLINK("https://www.spark-marketing.ru/Card/Person/397045", "ООО ""КОЛЬСКАЯ АЭС-АВТО""")</f>
        <v>ООО "КОЛЬСКАЯ АЭС-АВТО"</v>
      </c>
      <c r="B12609" s="24" t="s">
        <v>12797</v>
      </c>
      <c r="C12609" s="28" t="s">
        <v>52</v>
      </c>
      <c r="D12609" s="22" t="s">
        <v>14946</v>
      </c>
      <c r="E12609" s="22" t="s">
        <v>84</v>
      </c>
      <c r="F12609" s="23" t="str">
        <f>HYPERLINK("https://www.spark-marketing.ru/Card/Lot/68593828", "Оказание услуг по оснащению транспортных средств ООО «Кольская АЭС-Авто» техническими средствами обеспечения транспортной безопасности")</f>
        <v>Оказание услуг по оснащению транспортных средств ООО «Кольская АЭС-Авто» техническими средствами обеспечения транспортной безопасности</v>
      </c>
      <c r="G12609" s="22" t="s">
        <v>190</v>
      </c>
      <c r="H12609" s="22" t="s">
        <v>12799</v>
      </c>
      <c r="I12609" s="26">
        <v>43535.595081018502</v>
      </c>
      <c r="J12609" s="28" t="s">
        <v>52</v>
      </c>
      <c r="K12609" s="28" t="s">
        <v>52</v>
      </c>
      <c r="L12609" s="28" t="s">
        <v>52</v>
      </c>
      <c r="M12609" s="28" t="s">
        <v>52</v>
      </c>
      <c r="N12609" s="28" t="s">
        <v>52</v>
      </c>
    </row>
    <row r="12610" spans="1:14" x14ac:dyDescent="0.2">
      <c r="A12610" s="23" t="str">
        <f>HYPERLINK("https://www.spark-marketing.ru/Card/Person/9633", "МИНСТРОЙ ИНГУШЕТИИ")</f>
        <v>МИНСТРОЙ ИНГУШЕТИИ</v>
      </c>
      <c r="B12610" s="24" t="s">
        <v>646</v>
      </c>
      <c r="C12610" s="25">
        <v>3622390</v>
      </c>
      <c r="D12610" s="22" t="s">
        <v>14947</v>
      </c>
      <c r="E12610" s="22" t="s">
        <v>218</v>
      </c>
      <c r="F12610" s="23" t="str">
        <f>HYPERLINK("https://www.spark-marketing.ru/Card/Lot/68594860", "Оказание услуг по строительному контролю и техническому сопровождению работ по объекту «Строительство детского сада на 220 мест в с.п. Галашки»")</f>
        <v>Оказание услуг по строительному контролю и техническому сопровождению работ по объекту «Строительство детского сада на 220 мест в с.п. Галашки»</v>
      </c>
      <c r="G12610" s="22" t="s">
        <v>648</v>
      </c>
      <c r="H12610" s="22" t="s">
        <v>648</v>
      </c>
      <c r="I12610" s="26">
        <v>43535.608333333301</v>
      </c>
      <c r="J12610" s="23" t="str">
        <f>HYPERLINK("https://www.spark-marketing.ru/Card/Person/259250", "ГУП""УКС РИ""")</f>
        <v>ГУП"УКС РИ"</v>
      </c>
      <c r="K12610" s="24" t="s">
        <v>7151</v>
      </c>
      <c r="L12610" s="28" t="s">
        <v>52</v>
      </c>
      <c r="M12610" s="25">
        <v>3622390</v>
      </c>
      <c r="N12610" s="27">
        <v>0</v>
      </c>
    </row>
    <row r="12611" spans="1:14" x14ac:dyDescent="0.15">
      <c r="A12611" s="23" t="str">
        <f>HYPERLINK("https://www.spark-marketing.ru/Card/Person/4347373", "ФМБА РОССИИ")</f>
        <v>ФМБА РОССИИ</v>
      </c>
      <c r="B12611" s="24" t="s">
        <v>14948</v>
      </c>
      <c r="C12611" s="25">
        <v>834069.48</v>
      </c>
      <c r="D12611" s="22" t="s">
        <v>14949</v>
      </c>
      <c r="E12611" s="22" t="s">
        <v>68</v>
      </c>
      <c r="F12611" s="23" t="str">
        <f>HYPERLINK("https://www.spark-marketing.ru/Card/Lot/68595952", "Сопровождение и охрана имущества при его транспортировке.")</f>
        <v>Сопровождение и охрана имущества при его транспортировке.</v>
      </c>
      <c r="G12611" s="22" t="s">
        <v>55</v>
      </c>
      <c r="H12611" s="22" t="s">
        <v>55</v>
      </c>
      <c r="I12611" s="26">
        <v>43535.623611111099</v>
      </c>
      <c r="J12611" s="28" t="s">
        <v>52</v>
      </c>
      <c r="K12611" s="28" t="s">
        <v>52</v>
      </c>
      <c r="L12611" s="28" t="s">
        <v>52</v>
      </c>
      <c r="M12611" s="28" t="s">
        <v>52</v>
      </c>
      <c r="N12611" s="28" t="s">
        <v>52</v>
      </c>
    </row>
    <row r="12612" spans="1:14" x14ac:dyDescent="0.15">
      <c r="A12612" s="23" t="str">
        <f>HYPERLINK("https://www.spark-marketing.ru/Card/Person/150155", "МАДОУ ЦРР ""ДЕТСКИЙ САД №15 ""МЕЧТА""")</f>
        <v>МАДОУ ЦРР "ДЕТСКИЙ САД №15 "МЕЧТА"</v>
      </c>
      <c r="B12612" s="24" t="s">
        <v>14950</v>
      </c>
      <c r="C12612" s="25">
        <v>36537</v>
      </c>
      <c r="D12612" s="22" t="s">
        <v>14951</v>
      </c>
      <c r="E12612" s="22" t="s">
        <v>84</v>
      </c>
      <c r="F12612" s="23" t="str">
        <f>HYPERLINK("https://www.spark-marketing.ru/Card/Lot/68585061", "установка видеонаблюдения")</f>
        <v>установка видеонаблюдения</v>
      </c>
      <c r="G12612" s="22" t="s">
        <v>50</v>
      </c>
      <c r="H12612" s="22" t="s">
        <v>5168</v>
      </c>
      <c r="I12612" s="26">
        <v>43535.5445833333</v>
      </c>
      <c r="J12612" s="28" t="s">
        <v>52</v>
      </c>
      <c r="K12612" s="28" t="s">
        <v>52</v>
      </c>
      <c r="L12612" s="28" t="s">
        <v>52</v>
      </c>
      <c r="M12612" s="28" t="s">
        <v>52</v>
      </c>
      <c r="N12612" s="28" t="s">
        <v>52</v>
      </c>
    </row>
    <row r="12613" spans="1:14" x14ac:dyDescent="0.2">
      <c r="A12613" s="23" t="str">
        <f>HYPERLINK("https://www.spark-marketing.ru/Card/Person/1324583", "МАОУ СОШ №2")</f>
        <v>МАОУ СОШ №2</v>
      </c>
      <c r="B12613" s="24" t="s">
        <v>14952</v>
      </c>
      <c r="C12613" s="25">
        <v>47200</v>
      </c>
      <c r="D12613" s="22" t="s">
        <v>14953</v>
      </c>
      <c r="E12613" s="22" t="s">
        <v>144</v>
      </c>
      <c r="F12613" s="23" t="str">
        <f>HYPERLINK("https://www.spark-marketing.ru/Card/Lot/68586906", "Оказание услуг по охране объекта, соблюдение пропускного режима")</f>
        <v>Оказание услуг по охране объекта, соблюдение пропускного режима</v>
      </c>
      <c r="G12613" s="22" t="s">
        <v>80</v>
      </c>
      <c r="H12613" s="22" t="s">
        <v>80</v>
      </c>
      <c r="I12613" s="26">
        <v>43535.564652777801</v>
      </c>
      <c r="J12613" s="28" t="s">
        <v>52</v>
      </c>
      <c r="K12613" s="28" t="s">
        <v>52</v>
      </c>
      <c r="L12613" s="28" t="s">
        <v>52</v>
      </c>
      <c r="M12613" s="25">
        <v>44000</v>
      </c>
      <c r="N12613" s="27">
        <v>6.7796610169491525E-2</v>
      </c>
    </row>
    <row r="12614" spans="1:14" x14ac:dyDescent="0.15">
      <c r="A12614" s="23" t="str">
        <f>HYPERLINK("https://www.spark-marketing.ru/Card/Person/8901", "НОВОЧЕРКАССКОЕ СУВОРОВСКОЕ ВОЕННОЕ УЧИЛИЩЕ МВД РОССИИ, ФГКОУ НСВУ МВД РОССИИ, НОВОЧЕРКАССКОЕ СВУ МВД РОССИИ")</f>
        <v>НОВОЧЕРКАССКОЕ СУВОРОВСКОЕ ВОЕННОЕ УЧИЛИЩЕ МВД РОССИИ, ФГКОУ НСВУ МВД РОССИИ, НОВОЧЕРКАССКОЕ СВУ МВД РОССИИ</v>
      </c>
      <c r="B12614" s="24" t="s">
        <v>2661</v>
      </c>
      <c r="C12614" s="25">
        <v>76065</v>
      </c>
      <c r="D12614" s="22" t="s">
        <v>14954</v>
      </c>
      <c r="E12614" s="22" t="s">
        <v>84</v>
      </c>
      <c r="F12614" s="23" t="str">
        <f>HYPERLINK("https://www.spark-marketing.ru/Card/Lot/70183069", "Монтаж, установка, сборка систем охранного видеонаблюдения, 1 шт")</f>
        <v>Монтаж, установка, сборка систем охранного видеонаблюдения, 1 шт</v>
      </c>
      <c r="G12614" s="22" t="s">
        <v>402</v>
      </c>
      <c r="H12614" s="22" t="s">
        <v>2663</v>
      </c>
      <c r="I12614" s="26">
        <v>43535.566215277802</v>
      </c>
      <c r="J12614" s="28" t="s">
        <v>52</v>
      </c>
      <c r="K12614" s="28" t="s">
        <v>52</v>
      </c>
      <c r="L12614" s="28" t="s">
        <v>52</v>
      </c>
      <c r="M12614" s="28" t="s">
        <v>52</v>
      </c>
      <c r="N12614" s="28" t="s">
        <v>52</v>
      </c>
    </row>
    <row r="12615" spans="1:14" x14ac:dyDescent="0.15">
      <c r="A12615" s="23" t="str">
        <f t="shared" ref="A12615:A12623" si="658">HYPERLINK("https://www.spark-marketing.ru/Card/Person/154259", "ГБУ ДППО ЦПКС ИМЦ МОСКОВСКОГО РАЙОНА САНКТ-ПЕТЕРБУРГА")</f>
        <v>ГБУ ДППО ЦПКС ИМЦ МОСКОВСКОГО РАЙОНА САНКТ-ПЕТЕРБУРГА</v>
      </c>
      <c r="B12615" s="24" t="s">
        <v>14955</v>
      </c>
      <c r="C12615" s="25">
        <v>1440000</v>
      </c>
      <c r="D12615" s="22" t="s">
        <v>14956</v>
      </c>
      <c r="E12615" s="22" t="s">
        <v>68</v>
      </c>
      <c r="F12615" s="23" t="str">
        <f t="shared" ref="F12615:F12623" si="659">HYPERLINK("https://www.spark-marketing.ru/Card/Lot/68586640", "Оказание услуг по обеспечению контрольно-пропускного режима и охраны помещений для нужд ГБУ ДППО ЦПКС ИМЦ Московского района Санкт-Петербурга в 2019 году")</f>
        <v>Оказание услуг по обеспечению контрольно-пропускного режима и охраны помещений для нужд ГБУ ДППО ЦПКС ИМЦ Московского района Санкт-Петербурга в 2019 году</v>
      </c>
      <c r="G12615" s="22" t="s">
        <v>89</v>
      </c>
      <c r="H12615" s="22" t="s">
        <v>89</v>
      </c>
      <c r="I12615" s="26">
        <v>43535.5756944444</v>
      </c>
      <c r="J12615" s="28" t="s">
        <v>52</v>
      </c>
      <c r="K12615" s="28" t="s">
        <v>52</v>
      </c>
      <c r="L12615" s="28" t="s">
        <v>52</v>
      </c>
      <c r="M12615" s="28" t="s">
        <v>52</v>
      </c>
      <c r="N12615" s="28" t="s">
        <v>52</v>
      </c>
    </row>
    <row r="12616" spans="1:14" hidden="1" outlineLevel="1" x14ac:dyDescent="0.2">
      <c r="A12616" s="23" t="str">
        <f t="shared" si="658"/>
        <v>ГБУ ДППО ЦПКС ИМЦ МОСКОВСКОГО РАЙОНА САНКТ-ПЕТЕРБУРГА</v>
      </c>
      <c r="B12616" s="24" t="s">
        <v>14955</v>
      </c>
      <c r="C12616" s="25">
        <v>1440000</v>
      </c>
      <c r="D12616" s="22" t="s">
        <v>14956</v>
      </c>
      <c r="E12616" s="22" t="s">
        <v>68</v>
      </c>
      <c r="F12616" s="23" t="str">
        <f t="shared" si="659"/>
        <v>Оказание услуг по обеспечению контрольно-пропускного режима и охраны помещений для нужд ГБУ ДППО ЦПКС ИМЦ Московского района Санкт-Петербурга в 2019 году</v>
      </c>
      <c r="G12616" s="22" t="s">
        <v>89</v>
      </c>
      <c r="H12616" s="22" t="s">
        <v>89</v>
      </c>
      <c r="I12616" s="26">
        <v>43535.5756944444</v>
      </c>
      <c r="J12616" s="23" t="str">
        <f>HYPERLINK("https://www.spark-marketing.ru/Card/Person/92561", "ООО ""ОП ""ДИФЕНС""")</f>
        <v>ООО "ОП "ДИФЕНС"</v>
      </c>
      <c r="K12616" s="24" t="s">
        <v>14957</v>
      </c>
      <c r="L12616" s="28" t="s">
        <v>52</v>
      </c>
      <c r="M12616" s="25">
        <v>964927.81</v>
      </c>
      <c r="N12616" s="27">
        <v>0.32991124305555558</v>
      </c>
    </row>
    <row r="12617" spans="1:14" hidden="1" outlineLevel="1" x14ac:dyDescent="0.2">
      <c r="A12617" s="23" t="str">
        <f t="shared" si="658"/>
        <v>ГБУ ДППО ЦПКС ИМЦ МОСКОВСКОГО РАЙОНА САНКТ-ПЕТЕРБУРГА</v>
      </c>
      <c r="B12617" s="24" t="s">
        <v>14955</v>
      </c>
      <c r="C12617" s="25">
        <v>1440000</v>
      </c>
      <c r="D12617" s="22" t="s">
        <v>14956</v>
      </c>
      <c r="E12617" s="22" t="s">
        <v>68</v>
      </c>
      <c r="F12617" s="23" t="str">
        <f t="shared" si="659"/>
        <v>Оказание услуг по обеспечению контрольно-пропускного режима и охраны помещений для нужд ГБУ ДППО ЦПКС ИМЦ Московского района Санкт-Петербурга в 2019 году</v>
      </c>
      <c r="G12617" s="22" t="s">
        <v>89</v>
      </c>
      <c r="H12617" s="22" t="s">
        <v>89</v>
      </c>
      <c r="I12617" s="26">
        <v>43535.5756944444</v>
      </c>
      <c r="J12617" s="23" t="str">
        <f>HYPERLINK("https://www.spark-marketing.ru/Card/Person/34615", "ООО ""ОП ""НЕВА. КОМ""")</f>
        <v>ООО "ОП "НЕВА. КОМ"</v>
      </c>
      <c r="K12617" s="24" t="s">
        <v>14958</v>
      </c>
      <c r="L12617" s="28" t="s">
        <v>52</v>
      </c>
      <c r="M12617" s="25">
        <v>590293.49</v>
      </c>
      <c r="N12617" s="27">
        <v>0.59007396527777778</v>
      </c>
    </row>
    <row r="12618" spans="1:14" hidden="1" outlineLevel="1" x14ac:dyDescent="0.2">
      <c r="A12618" s="23" t="str">
        <f t="shared" si="658"/>
        <v>ГБУ ДППО ЦПКС ИМЦ МОСКОВСКОГО РАЙОНА САНКТ-ПЕТЕРБУРГА</v>
      </c>
      <c r="B12618" s="24" t="s">
        <v>14955</v>
      </c>
      <c r="C12618" s="25">
        <v>1440000</v>
      </c>
      <c r="D12618" s="22" t="s">
        <v>14956</v>
      </c>
      <c r="E12618" s="22" t="s">
        <v>68</v>
      </c>
      <c r="F12618" s="23" t="str">
        <f t="shared" si="659"/>
        <v>Оказание услуг по обеспечению контрольно-пропускного режима и охраны помещений для нужд ГБУ ДППО ЦПКС ИМЦ Московского района Санкт-Петербурга в 2019 году</v>
      </c>
      <c r="G12618" s="22" t="s">
        <v>89</v>
      </c>
      <c r="H12618" s="22" t="s">
        <v>89</v>
      </c>
      <c r="I12618" s="26">
        <v>43535.5756944444</v>
      </c>
      <c r="J12618" s="23" t="str">
        <f>HYPERLINK("https://www.spark-marketing.ru/Card/Person/1318208", "ООО ""ОО ""РОСОХРАНА""")</f>
        <v>ООО "ОО "РОСОХРАНА"</v>
      </c>
      <c r="K12618" s="24" t="s">
        <v>10946</v>
      </c>
      <c r="L12618" s="28" t="s">
        <v>52</v>
      </c>
      <c r="M12618" s="25">
        <v>675700</v>
      </c>
      <c r="N12618" s="27">
        <v>0.53076388888888892</v>
      </c>
    </row>
    <row r="12619" spans="1:14" ht="12.75" hidden="1" outlineLevel="1" x14ac:dyDescent="0.2">
      <c r="A12619" s="23" t="str">
        <f t="shared" si="658"/>
        <v>ГБУ ДППО ЦПКС ИМЦ МОСКОВСКОГО РАЙОНА САНКТ-ПЕТЕРБУРГА</v>
      </c>
      <c r="B12619" s="24" t="s">
        <v>14955</v>
      </c>
      <c r="C12619" s="25">
        <v>1440000</v>
      </c>
      <c r="D12619" s="22" t="s">
        <v>14956</v>
      </c>
      <c r="E12619" s="22" t="s">
        <v>68</v>
      </c>
      <c r="F12619" s="23" t="str">
        <f t="shared" si="659"/>
        <v>Оказание услуг по обеспечению контрольно-пропускного режима и охраны помещений для нужд ГБУ ДППО ЦПКС ИМЦ Московского района Санкт-Петербурга в 2019 году</v>
      </c>
      <c r="G12619" s="22" t="s">
        <v>89</v>
      </c>
      <c r="H12619" s="22" t="s">
        <v>89</v>
      </c>
      <c r="I12619" s="26">
        <v>43535.5756944444</v>
      </c>
      <c r="J12619" s="23" t="str">
        <f>HYPERLINK("https://www.spark-marketing.ru/Card/Person/135806", "ООО ""ОП ""РАДОН""")</f>
        <v>ООО "ОП "РАДОН"</v>
      </c>
      <c r="K12619" s="24" t="s">
        <v>4139</v>
      </c>
      <c r="L12619" s="22" t="s">
        <v>10</v>
      </c>
      <c r="M12619" s="25">
        <v>583093.49</v>
      </c>
      <c r="N12619" s="27">
        <v>0.59507396527777778</v>
      </c>
    </row>
    <row r="12620" spans="1:14" hidden="1" outlineLevel="1" x14ac:dyDescent="0.2">
      <c r="A12620" s="23" t="str">
        <f t="shared" si="658"/>
        <v>ГБУ ДППО ЦПКС ИМЦ МОСКОВСКОГО РАЙОНА САНКТ-ПЕТЕРБУРГА</v>
      </c>
      <c r="B12620" s="24" t="s">
        <v>14955</v>
      </c>
      <c r="C12620" s="25">
        <v>1440000</v>
      </c>
      <c r="D12620" s="22" t="s">
        <v>14956</v>
      </c>
      <c r="E12620" s="22" t="s">
        <v>68</v>
      </c>
      <c r="F12620" s="23" t="str">
        <f t="shared" si="659"/>
        <v>Оказание услуг по обеспечению контрольно-пропускного режима и охраны помещений для нужд ГБУ ДППО ЦПКС ИМЦ Московского района Санкт-Петербурга в 2019 году</v>
      </c>
      <c r="G12620" s="22" t="s">
        <v>89</v>
      </c>
      <c r="H12620" s="22" t="s">
        <v>89</v>
      </c>
      <c r="I12620" s="26">
        <v>43535.5756944444</v>
      </c>
      <c r="J12620" s="23" t="str">
        <f>HYPERLINK("https://www.spark-marketing.ru/Card/Person/2212345", "ООО ""ОО ""БЛОК-МОНИТОРИНГ""")</f>
        <v>ООО "ОО "БЛОК-МОНИТОРИНГ"</v>
      </c>
      <c r="K12620" s="24" t="s">
        <v>7378</v>
      </c>
      <c r="L12620" s="28" t="s">
        <v>52</v>
      </c>
      <c r="M12620" s="25">
        <v>1332000</v>
      </c>
      <c r="N12620" s="27">
        <v>7.4999999999999997E-2</v>
      </c>
    </row>
    <row r="12621" spans="1:14" hidden="1" outlineLevel="1" x14ac:dyDescent="0.2">
      <c r="A12621" s="23" t="str">
        <f t="shared" si="658"/>
        <v>ГБУ ДППО ЦПКС ИМЦ МОСКОВСКОГО РАЙОНА САНКТ-ПЕТЕРБУРГА</v>
      </c>
      <c r="B12621" s="24" t="s">
        <v>14955</v>
      </c>
      <c r="C12621" s="25">
        <v>1440000</v>
      </c>
      <c r="D12621" s="22" t="s">
        <v>14956</v>
      </c>
      <c r="E12621" s="22" t="s">
        <v>68</v>
      </c>
      <c r="F12621" s="23" t="str">
        <f t="shared" si="659"/>
        <v>Оказание услуг по обеспечению контрольно-пропускного режима и охраны помещений для нужд ГБУ ДППО ЦПКС ИМЦ Московского района Санкт-Петербурга в 2019 году</v>
      </c>
      <c r="G12621" s="22" t="s">
        <v>89</v>
      </c>
      <c r="H12621" s="22" t="s">
        <v>89</v>
      </c>
      <c r="I12621" s="26">
        <v>43535.5756944444</v>
      </c>
      <c r="J12621" s="23" t="str">
        <f>HYPERLINK("https://www.spark-marketing.ru/Card/Person/2582721", "ООО ""ОО ""СЕЛЕКТ""")</f>
        <v>ООО "ОО "СЕЛЕКТ"</v>
      </c>
      <c r="K12621" s="24" t="s">
        <v>7379</v>
      </c>
      <c r="L12621" s="28" t="s">
        <v>52</v>
      </c>
      <c r="M12621" s="25">
        <v>1193200</v>
      </c>
      <c r="N12621" s="27">
        <v>0.1713888888888889</v>
      </c>
    </row>
    <row r="12622" spans="1:14" hidden="1" outlineLevel="1" x14ac:dyDescent="0.2">
      <c r="A12622" s="23" t="str">
        <f t="shared" si="658"/>
        <v>ГБУ ДППО ЦПКС ИМЦ МОСКОВСКОГО РАЙОНА САНКТ-ПЕТЕРБУРГА</v>
      </c>
      <c r="B12622" s="24" t="s">
        <v>14955</v>
      </c>
      <c r="C12622" s="25">
        <v>1440000</v>
      </c>
      <c r="D12622" s="22" t="s">
        <v>14956</v>
      </c>
      <c r="E12622" s="22" t="s">
        <v>68</v>
      </c>
      <c r="F12622" s="23" t="str">
        <f t="shared" si="659"/>
        <v>Оказание услуг по обеспечению контрольно-пропускного режима и охраны помещений для нужд ГБУ ДППО ЦПКС ИМЦ Московского района Санкт-Петербурга в 2019 году</v>
      </c>
      <c r="G12622" s="22" t="s">
        <v>89</v>
      </c>
      <c r="H12622" s="22" t="s">
        <v>89</v>
      </c>
      <c r="I12622" s="26">
        <v>43535.5756944444</v>
      </c>
      <c r="J12622" s="23" t="str">
        <f>HYPERLINK("https://www.spark-marketing.ru/Card/Person/60989", "ООО ""ОП ""БАЛТИЙСКАЯ ПЕРСПЕКТИВА""")</f>
        <v>ООО "ОП "БАЛТИЙСКАЯ ПЕРСПЕКТИВА"</v>
      </c>
      <c r="K12622" s="24" t="s">
        <v>14167</v>
      </c>
      <c r="L12622" s="28" t="s">
        <v>52</v>
      </c>
      <c r="M12622" s="25">
        <v>646900</v>
      </c>
      <c r="N12622" s="27">
        <v>0.55076388888888894</v>
      </c>
    </row>
    <row r="12623" spans="1:14" hidden="1" outlineLevel="1" x14ac:dyDescent="0.2">
      <c r="A12623" s="23" t="str">
        <f t="shared" si="658"/>
        <v>ГБУ ДППО ЦПКС ИМЦ МОСКОВСКОГО РАЙОНА САНКТ-ПЕТЕРБУРГА</v>
      </c>
      <c r="B12623" s="24" t="s">
        <v>14955</v>
      </c>
      <c r="C12623" s="25">
        <v>1440000</v>
      </c>
      <c r="D12623" s="22" t="s">
        <v>14956</v>
      </c>
      <c r="E12623" s="22" t="s">
        <v>68</v>
      </c>
      <c r="F12623" s="23" t="str">
        <f t="shared" si="659"/>
        <v>Оказание услуг по обеспечению контрольно-пропускного режима и охраны помещений для нужд ГБУ ДППО ЦПКС ИМЦ Московского района Санкт-Петербурга в 2019 году</v>
      </c>
      <c r="G12623" s="22" t="s">
        <v>89</v>
      </c>
      <c r="H12623" s="22" t="s">
        <v>89</v>
      </c>
      <c r="I12623" s="26">
        <v>43535.5756944444</v>
      </c>
      <c r="J12623" s="23" t="str">
        <f>HYPERLINK("https://www.spark-marketing.ru/Card/Person/2562571", "ООО ОП""БОРС-БАЛТИКА""")</f>
        <v>ООО ОП"БОРС-БАЛТИКА"</v>
      </c>
      <c r="K12623" s="24" t="s">
        <v>4583</v>
      </c>
      <c r="L12623" s="28" t="s">
        <v>52</v>
      </c>
      <c r="M12623" s="25">
        <v>823500</v>
      </c>
      <c r="N12623" s="27">
        <v>0.42812499999999998</v>
      </c>
    </row>
    <row r="12624" spans="1:14" x14ac:dyDescent="0.15">
      <c r="A12624" s="23" t="str">
        <f t="shared" ref="A12624:A12630" si="660">HYPERLINK("https://www.spark-marketing.ru/Card/Person/24979", "ФКУ ИК-22 ГУФСИН РОССИИ ПО КРАСНОЯРСКОМУ КРАЮ")</f>
        <v>ФКУ ИК-22 ГУФСИН РОССИИ ПО КРАСНОЯРСКОМУ КРАЮ</v>
      </c>
      <c r="B12624" s="24" t="s">
        <v>14959</v>
      </c>
      <c r="C12624" s="25">
        <v>71188</v>
      </c>
      <c r="D12624" s="22" t="s">
        <v>14960</v>
      </c>
      <c r="E12624" s="22" t="s">
        <v>1293</v>
      </c>
      <c r="F12624" s="23" t="str">
        <f t="shared" ref="F12624:F12630" si="661">HYPERLINK("https://www.spark-marketing.ru/Card/Lot/68575968", "Поставка внутренних накопителей памяти для нужд ФКУ ИК-22 ГУФСИН России по Красноярскому краю")</f>
        <v>Поставка внутренних накопителей памяти для нужд ФКУ ИК-22 ГУФСИН России по Красноярскому краю</v>
      </c>
      <c r="G12624" s="22" t="s">
        <v>640</v>
      </c>
      <c r="H12624" s="22" t="s">
        <v>1524</v>
      </c>
      <c r="I12624" s="26">
        <v>43535.512499999997</v>
      </c>
      <c r="J12624" s="28" t="s">
        <v>52</v>
      </c>
      <c r="K12624" s="28" t="s">
        <v>52</v>
      </c>
      <c r="L12624" s="28" t="s">
        <v>52</v>
      </c>
      <c r="M12624" s="28" t="s">
        <v>52</v>
      </c>
      <c r="N12624" s="28" t="s">
        <v>52</v>
      </c>
    </row>
    <row r="12625" spans="1:14" hidden="1" outlineLevel="1" x14ac:dyDescent="0.2">
      <c r="A12625" s="23" t="str">
        <f t="shared" si="660"/>
        <v>ФКУ ИК-22 ГУФСИН РОССИИ ПО КРАСНОЯРСКОМУ КРАЮ</v>
      </c>
      <c r="B12625" s="24" t="s">
        <v>14959</v>
      </c>
      <c r="C12625" s="25">
        <v>71188</v>
      </c>
      <c r="D12625" s="22" t="s">
        <v>14960</v>
      </c>
      <c r="E12625" s="22" t="s">
        <v>1293</v>
      </c>
      <c r="F12625" s="23" t="str">
        <f t="shared" si="661"/>
        <v>Поставка внутренних накопителей памяти для нужд ФКУ ИК-22 ГУФСИН России по Красноярскому краю</v>
      </c>
      <c r="G12625" s="22" t="s">
        <v>640</v>
      </c>
      <c r="H12625" s="22" t="s">
        <v>1524</v>
      </c>
      <c r="I12625" s="26">
        <v>43535.512499999997</v>
      </c>
      <c r="J12625" s="23" t="str">
        <f>HYPERLINK("https://www.spark-marketing.ru/Card/Person/730393", "ООО ""КОМПЛЕКТЕХ""")</f>
        <v>ООО "КОМПЛЕКТЕХ"</v>
      </c>
      <c r="K12625" s="24" t="s">
        <v>14961</v>
      </c>
      <c r="L12625" s="28" t="s">
        <v>52</v>
      </c>
      <c r="M12625" s="25">
        <v>64820</v>
      </c>
      <c r="N12625" s="27">
        <v>8.9453278642467826E-2</v>
      </c>
    </row>
    <row r="12626" spans="1:14" hidden="1" outlineLevel="1" x14ac:dyDescent="0.2">
      <c r="A12626" s="23" t="str">
        <f t="shared" si="660"/>
        <v>ФКУ ИК-22 ГУФСИН РОССИИ ПО КРАСНОЯРСКОМУ КРАЮ</v>
      </c>
      <c r="B12626" s="24" t="s">
        <v>14959</v>
      </c>
      <c r="C12626" s="25">
        <v>71188</v>
      </c>
      <c r="D12626" s="22" t="s">
        <v>14960</v>
      </c>
      <c r="E12626" s="22" t="s">
        <v>1293</v>
      </c>
      <c r="F12626" s="23" t="str">
        <f t="shared" si="661"/>
        <v>Поставка внутренних накопителей памяти для нужд ФКУ ИК-22 ГУФСИН России по Красноярскому краю</v>
      </c>
      <c r="G12626" s="22" t="s">
        <v>640</v>
      </c>
      <c r="H12626" s="22" t="s">
        <v>1524</v>
      </c>
      <c r="I12626" s="26">
        <v>43535.512499999997</v>
      </c>
      <c r="J12626" s="23" t="str">
        <f>HYPERLINK("https://www.spark-marketing.ru/Card/Person/168131", "ООО ""КОМПАНИЯ СОВРЕМЕННЫЕ РЕШЕНИЯ""")</f>
        <v>ООО "КОМПАНИЯ СОВРЕМЕННЫЕ РЕШЕНИЯ"</v>
      </c>
      <c r="K12626" s="24" t="s">
        <v>14962</v>
      </c>
      <c r="L12626" s="28" t="s">
        <v>52</v>
      </c>
      <c r="M12626" s="25">
        <v>69764.240000000005</v>
      </c>
      <c r="N12626" s="27">
        <v>0.02</v>
      </c>
    </row>
    <row r="12627" spans="1:14" ht="12.75" hidden="1" outlineLevel="1" x14ac:dyDescent="0.2">
      <c r="A12627" s="23" t="str">
        <f t="shared" si="660"/>
        <v>ФКУ ИК-22 ГУФСИН РОССИИ ПО КРАСНОЯРСКОМУ КРАЮ</v>
      </c>
      <c r="B12627" s="24" t="s">
        <v>14959</v>
      </c>
      <c r="C12627" s="25">
        <v>71188</v>
      </c>
      <c r="D12627" s="22" t="s">
        <v>14960</v>
      </c>
      <c r="E12627" s="22" t="s">
        <v>1293</v>
      </c>
      <c r="F12627" s="23" t="str">
        <f t="shared" si="661"/>
        <v>Поставка внутренних накопителей памяти для нужд ФКУ ИК-22 ГУФСИН России по Красноярскому краю</v>
      </c>
      <c r="G12627" s="22" t="s">
        <v>640</v>
      </c>
      <c r="H12627" s="22" t="s">
        <v>1524</v>
      </c>
      <c r="I12627" s="26">
        <v>43535.512499999997</v>
      </c>
      <c r="J12627" s="23" t="str">
        <f>HYPERLINK("https://www.spark-marketing.ru/Card/Person/4857645", "Кодица Сергей Иванович")</f>
        <v>Кодица Сергей Иванович</v>
      </c>
      <c r="K12627" s="24" t="s">
        <v>14963</v>
      </c>
      <c r="L12627" s="22" t="s">
        <v>10</v>
      </c>
      <c r="M12627" s="25">
        <v>58413.08</v>
      </c>
      <c r="N12627" s="27">
        <v>0.17945327864246782</v>
      </c>
    </row>
    <row r="12628" spans="1:14" hidden="1" outlineLevel="1" x14ac:dyDescent="0.2">
      <c r="A12628" s="23" t="str">
        <f t="shared" si="660"/>
        <v>ФКУ ИК-22 ГУФСИН РОССИИ ПО КРАСНОЯРСКОМУ КРАЮ</v>
      </c>
      <c r="B12628" s="24" t="s">
        <v>14959</v>
      </c>
      <c r="C12628" s="25">
        <v>71188</v>
      </c>
      <c r="D12628" s="22" t="s">
        <v>14960</v>
      </c>
      <c r="E12628" s="22" t="s">
        <v>1293</v>
      </c>
      <c r="F12628" s="23" t="str">
        <f t="shared" si="661"/>
        <v>Поставка внутренних накопителей памяти для нужд ФКУ ИК-22 ГУФСИН России по Красноярскому краю</v>
      </c>
      <c r="G12628" s="22" t="s">
        <v>640</v>
      </c>
      <c r="H12628" s="22" t="s">
        <v>1524</v>
      </c>
      <c r="I12628" s="26">
        <v>43535.512499999997</v>
      </c>
      <c r="J12628" s="23" t="str">
        <f>HYPERLINK("https://www.spark-marketing.ru/Card/Person/5908101", "ООО ""ЛЕНИНВЕСТСТАНДАРТ""")</f>
        <v>ООО "ЛЕНИНВЕСТСТАНДАРТ"</v>
      </c>
      <c r="K12628" s="24" t="s">
        <v>14964</v>
      </c>
      <c r="L12628" s="28" t="s">
        <v>52</v>
      </c>
      <c r="M12628" s="25">
        <v>62684.36</v>
      </c>
      <c r="N12628" s="27">
        <v>0.11945327864246783</v>
      </c>
    </row>
    <row r="12629" spans="1:14" hidden="1" outlineLevel="1" x14ac:dyDescent="0.2">
      <c r="A12629" s="23" t="str">
        <f t="shared" si="660"/>
        <v>ФКУ ИК-22 ГУФСИН РОССИИ ПО КРАСНОЯРСКОМУ КРАЮ</v>
      </c>
      <c r="B12629" s="24" t="s">
        <v>14959</v>
      </c>
      <c r="C12629" s="25">
        <v>71188</v>
      </c>
      <c r="D12629" s="22" t="s">
        <v>14960</v>
      </c>
      <c r="E12629" s="22" t="s">
        <v>1293</v>
      </c>
      <c r="F12629" s="23" t="str">
        <f t="shared" si="661"/>
        <v>Поставка внутренних накопителей памяти для нужд ФКУ ИК-22 ГУФСИН России по Красноярскому краю</v>
      </c>
      <c r="G12629" s="22" t="s">
        <v>640</v>
      </c>
      <c r="H12629" s="22" t="s">
        <v>1524</v>
      </c>
      <c r="I12629" s="26">
        <v>43535.512499999997</v>
      </c>
      <c r="J12629" s="23" t="str">
        <f>HYPERLINK("https://www.spark-marketing.ru/Card/Person/6000416", "ООО ""СЕРВИС-ЭКСПЕРТ""")</f>
        <v>ООО "СЕРВИС-ЭКСПЕРТ"</v>
      </c>
      <c r="K12629" s="24" t="s">
        <v>14965</v>
      </c>
      <c r="L12629" s="28" t="s">
        <v>52</v>
      </c>
      <c r="M12629" s="25">
        <v>65888</v>
      </c>
      <c r="N12629" s="27">
        <v>7.4450750126425796E-2</v>
      </c>
    </row>
    <row r="12630" spans="1:14" hidden="1" outlineLevel="1" x14ac:dyDescent="0.2">
      <c r="A12630" s="23" t="str">
        <f t="shared" si="660"/>
        <v>ФКУ ИК-22 ГУФСИН РОССИИ ПО КРАСНОЯРСКОМУ КРАЮ</v>
      </c>
      <c r="B12630" s="24" t="s">
        <v>14959</v>
      </c>
      <c r="C12630" s="25">
        <v>71188</v>
      </c>
      <c r="D12630" s="22" t="s">
        <v>14960</v>
      </c>
      <c r="E12630" s="22" t="s">
        <v>1293</v>
      </c>
      <c r="F12630" s="23" t="str">
        <f t="shared" si="661"/>
        <v>Поставка внутренних накопителей памяти для нужд ФКУ ИК-22 ГУФСИН России по Красноярскому краю</v>
      </c>
      <c r="G12630" s="22" t="s">
        <v>640</v>
      </c>
      <c r="H12630" s="22" t="s">
        <v>1524</v>
      </c>
      <c r="I12630" s="26">
        <v>43535.512499999997</v>
      </c>
      <c r="J12630" s="23" t="str">
        <f>HYPERLINK("https://www.spark-marketing.ru/Card/Person/170248", "ООО ""СЭС""")</f>
        <v>ООО "СЭС"</v>
      </c>
      <c r="K12630" s="24" t="s">
        <v>14966</v>
      </c>
      <c r="L12630" s="28" t="s">
        <v>52</v>
      </c>
      <c r="M12630" s="25">
        <v>58769.02</v>
      </c>
      <c r="N12630" s="27">
        <v>0.17445327864246782</v>
      </c>
    </row>
    <row r="12631" spans="1:14" x14ac:dyDescent="0.15">
      <c r="A12631" s="23" t="str">
        <f>HYPERLINK("https://www.spark-marketing.ru/Card/Person/4347373", "ФМБА РОССИИ")</f>
        <v>ФМБА РОССИИ</v>
      </c>
      <c r="B12631" s="24" t="s">
        <v>14948</v>
      </c>
      <c r="C12631" s="25">
        <v>3433482</v>
      </c>
      <c r="D12631" s="22" t="s">
        <v>14967</v>
      </c>
      <c r="E12631" s="22" t="s">
        <v>68</v>
      </c>
      <c r="F12631" s="23" t="str">
        <f>HYPERLINK("https://www.spark-marketing.ru/Card/Lot/68585502", "Услуги по обеспечению общественного порядка и безопасности.")</f>
        <v>Услуги по обеспечению общественного порядка и безопасности.</v>
      </c>
      <c r="G12631" s="22" t="s">
        <v>55</v>
      </c>
      <c r="H12631" s="22" t="s">
        <v>55</v>
      </c>
      <c r="I12631" s="26">
        <v>43535.509722222203</v>
      </c>
      <c r="J12631" s="28" t="s">
        <v>52</v>
      </c>
      <c r="K12631" s="28" t="s">
        <v>52</v>
      </c>
      <c r="L12631" s="28" t="s">
        <v>52</v>
      </c>
      <c r="M12631" s="28" t="s">
        <v>52</v>
      </c>
      <c r="N12631" s="28" t="s">
        <v>52</v>
      </c>
    </row>
    <row r="12632" spans="1:14" x14ac:dyDescent="0.15">
      <c r="A12632" s="23" t="str">
        <f>HYPERLINK("https://www.spark-marketing.ru/Card/Person/5619", "БУ ""ХАНТЫ-МАНСИЙСКИЙ ЦЕНТР ПОМОЩИ ДЕТЯМ, ОСТАВШИМСЯ БЕЗ ПОПЕЧЕНИЯ РОДИТЕЛЕЙ""")</f>
        <v>БУ "ХАНТЫ-МАНСИЙСКИЙ ЦЕНТР ПОМОЩИ ДЕТЯМ, ОСТАВШИМСЯ БЕЗ ПОПЕЧЕНИЯ РОДИТЕЛЕЙ"</v>
      </c>
      <c r="B12632" s="24" t="s">
        <v>14968</v>
      </c>
      <c r="C12632" s="25">
        <v>184500</v>
      </c>
      <c r="D12632" s="22" t="s">
        <v>14969</v>
      </c>
      <c r="E12632" s="22" t="s">
        <v>107</v>
      </c>
      <c r="F12632" s="23" t="str">
        <f>HYPERLINK("https://www.spark-marketing.ru/Card/Lot/68583063", "Услуги по техническому обслуживанию системы видеонаблюдения")</f>
        <v>Услуги по техническому обслуживанию системы видеонаблюдения</v>
      </c>
      <c r="G12632" s="22" t="s">
        <v>119</v>
      </c>
      <c r="H12632" s="22" t="s">
        <v>2563</v>
      </c>
      <c r="I12632" s="26">
        <v>43535.532638888901</v>
      </c>
      <c r="J12632" s="28" t="s">
        <v>52</v>
      </c>
      <c r="K12632" s="28" t="s">
        <v>52</v>
      </c>
      <c r="L12632" s="28" t="s">
        <v>52</v>
      </c>
      <c r="M12632" s="28" t="s">
        <v>52</v>
      </c>
      <c r="N12632" s="28" t="s">
        <v>52</v>
      </c>
    </row>
    <row r="12633" spans="1:14" ht="12.75" hidden="1" outlineLevel="1" x14ac:dyDescent="0.2">
      <c r="A12633" s="23" t="str">
        <f>HYPERLINK("https://www.spark-marketing.ru/Card/Person/5619", "БУ ""ХАНТЫ-МАНСИЙСКИЙ ЦЕНТР ПОМОЩИ ДЕТЯМ, ОСТАВШИМСЯ БЕЗ ПОПЕЧЕНИЯ РОДИТЕЛЕЙ""")</f>
        <v>БУ "ХАНТЫ-МАНСИЙСКИЙ ЦЕНТР ПОМОЩИ ДЕТЯМ, ОСТАВШИМСЯ БЕЗ ПОПЕЧЕНИЯ РОДИТЕЛЕЙ"</v>
      </c>
      <c r="B12633" s="24" t="s">
        <v>14968</v>
      </c>
      <c r="C12633" s="25">
        <v>184500</v>
      </c>
      <c r="D12633" s="22" t="s">
        <v>14969</v>
      </c>
      <c r="E12633" s="22" t="s">
        <v>107</v>
      </c>
      <c r="F12633" s="23" t="str">
        <f>HYPERLINK("https://www.spark-marketing.ru/Card/Lot/68583063", "Услуги по техническому обслуживанию системы видеонаблюдения")</f>
        <v>Услуги по техническому обслуживанию системы видеонаблюдения</v>
      </c>
      <c r="G12633" s="22" t="s">
        <v>119</v>
      </c>
      <c r="H12633" s="22" t="s">
        <v>2563</v>
      </c>
      <c r="I12633" s="26">
        <v>43535.532638888901</v>
      </c>
      <c r="J12633" s="23" t="str">
        <f>HYPERLINK("https://www.spark-marketing.ru/Card/Person/4866465", "ООО ""ПРОЕКТ 86""")</f>
        <v>ООО "ПРОЕКТ 86"</v>
      </c>
      <c r="K12633" s="24" t="s">
        <v>14970</v>
      </c>
      <c r="L12633" s="22" t="s">
        <v>10</v>
      </c>
      <c r="M12633" s="25">
        <v>25830</v>
      </c>
      <c r="N12633" s="27">
        <v>0.86</v>
      </c>
    </row>
    <row r="12634" spans="1:14" hidden="1" outlineLevel="1" x14ac:dyDescent="0.2">
      <c r="A12634" s="23" t="str">
        <f>HYPERLINK("https://www.spark-marketing.ru/Card/Person/5619", "БУ ""ХАНТЫ-МАНСИЙСКИЙ ЦЕНТР ПОМОЩИ ДЕТЯМ, ОСТАВШИМСЯ БЕЗ ПОПЕЧЕНИЯ РОДИТЕЛЕЙ""")</f>
        <v>БУ "ХАНТЫ-МАНСИЙСКИЙ ЦЕНТР ПОМОЩИ ДЕТЯМ, ОСТАВШИМСЯ БЕЗ ПОПЕЧЕНИЯ РОДИТЕЛЕЙ"</v>
      </c>
      <c r="B12634" s="24" t="s">
        <v>14968</v>
      </c>
      <c r="C12634" s="25">
        <v>184500</v>
      </c>
      <c r="D12634" s="22" t="s">
        <v>14969</v>
      </c>
      <c r="E12634" s="22" t="s">
        <v>107</v>
      </c>
      <c r="F12634" s="23" t="str">
        <f>HYPERLINK("https://www.spark-marketing.ru/Card/Lot/68583063", "Услуги по техническому обслуживанию системы видеонаблюдения")</f>
        <v>Услуги по техническому обслуживанию системы видеонаблюдения</v>
      </c>
      <c r="G12634" s="22" t="s">
        <v>119</v>
      </c>
      <c r="H12634" s="22" t="s">
        <v>2563</v>
      </c>
      <c r="I12634" s="26">
        <v>43535.532638888901</v>
      </c>
      <c r="J12634" s="23" t="str">
        <f>HYPERLINK("https://www.spark-marketing.ru/Card/Person/10487", "ФГУП ""ОХРАНА"" РОСГВАРДИИ")</f>
        <v>ФГУП "ОХРАНА" РОСГВАРДИИ</v>
      </c>
      <c r="K12634" s="24" t="s">
        <v>779</v>
      </c>
      <c r="L12634" s="28" t="s">
        <v>52</v>
      </c>
      <c r="M12634" s="25">
        <v>170662.5</v>
      </c>
      <c r="N12634" s="27">
        <v>7.4999999999999997E-2</v>
      </c>
    </row>
    <row r="12635" spans="1:14" hidden="1" outlineLevel="1" x14ac:dyDescent="0.2">
      <c r="A12635" s="23" t="str">
        <f>HYPERLINK("https://www.spark-marketing.ru/Card/Person/5619", "БУ ""ХАНТЫ-МАНСИЙСКИЙ ЦЕНТР ПОМОЩИ ДЕТЯМ, ОСТАВШИМСЯ БЕЗ ПОПЕЧЕНИЯ РОДИТЕЛЕЙ""")</f>
        <v>БУ "ХАНТЫ-МАНСИЙСКИЙ ЦЕНТР ПОМОЩИ ДЕТЯМ, ОСТАВШИМСЯ БЕЗ ПОПЕЧЕНИЯ РОДИТЕЛЕЙ"</v>
      </c>
      <c r="B12635" s="24" t="s">
        <v>14968</v>
      </c>
      <c r="C12635" s="25">
        <v>184500</v>
      </c>
      <c r="D12635" s="22" t="s">
        <v>14969</v>
      </c>
      <c r="E12635" s="22" t="s">
        <v>107</v>
      </c>
      <c r="F12635" s="23" t="str">
        <f>HYPERLINK("https://www.spark-marketing.ru/Card/Lot/68583063", "Услуги по техническому обслуживанию системы видеонаблюдения")</f>
        <v>Услуги по техническому обслуживанию системы видеонаблюдения</v>
      </c>
      <c r="G12635" s="22" t="s">
        <v>119</v>
      </c>
      <c r="H12635" s="22" t="s">
        <v>2563</v>
      </c>
      <c r="I12635" s="26">
        <v>43535.532638888901</v>
      </c>
      <c r="J12635" s="23" t="str">
        <f>HYPERLINK("https://www.spark-marketing.ru/Card/Person/4568019", "Старенький Александр Анатольевич")</f>
        <v>Старенький Александр Анатольевич</v>
      </c>
      <c r="K12635" s="24" t="s">
        <v>5392</v>
      </c>
      <c r="L12635" s="28" t="s">
        <v>52</v>
      </c>
      <c r="M12635" s="25">
        <v>26752.5</v>
      </c>
      <c r="N12635" s="27">
        <v>0.85499999999999998</v>
      </c>
    </row>
    <row r="12636" spans="1:14" x14ac:dyDescent="0.15">
      <c r="A12636" s="23" t="str">
        <f>HYPERLINK("https://www.spark-marketing.ru/Card/Person/92290", "ФКУ ""ГБ МСЭ ПО КЕМЕРОВСКОЙ ОБЛАСТИ - КУЗБАССУ"" МИНТРУДА РОССИИ")</f>
        <v>ФКУ "ГБ МСЭ ПО КЕМЕРОВСКОЙ ОБЛАСТИ - КУЗБАССУ" МИНТРУДА РОССИИ</v>
      </c>
      <c r="B12636" s="24" t="s">
        <v>14971</v>
      </c>
      <c r="C12636" s="25">
        <v>25560</v>
      </c>
      <c r="D12636" s="22" t="s">
        <v>14972</v>
      </c>
      <c r="E12636" s="22" t="s">
        <v>53</v>
      </c>
      <c r="F12636" s="23" t="str">
        <f>HYPERLINK("https://www.spark-marketing.ru/Card/Lot/70795303", "Услуги по охране объектов")</f>
        <v>Услуги по охране объектов</v>
      </c>
      <c r="G12636" s="22" t="s">
        <v>367</v>
      </c>
      <c r="H12636" s="22" t="s">
        <v>881</v>
      </c>
      <c r="I12636" s="26">
        <v>43535.500601851898</v>
      </c>
      <c r="J12636" s="28" t="s">
        <v>52</v>
      </c>
      <c r="K12636" s="28" t="s">
        <v>52</v>
      </c>
      <c r="L12636" s="28" t="s">
        <v>52</v>
      </c>
      <c r="M12636" s="28" t="s">
        <v>52</v>
      </c>
      <c r="N12636" s="28" t="s">
        <v>52</v>
      </c>
    </row>
    <row r="12637" spans="1:14" x14ac:dyDescent="0.15">
      <c r="A12637" s="23" t="str">
        <f>HYPERLINK("https://www.spark-marketing.ru/Card/Person/1778536", "МАУ ДО ДДТ ""ЭВРИКА""")</f>
        <v>МАУ ДО ДДТ "ЭВРИКА"</v>
      </c>
      <c r="B12637" s="24" t="s">
        <v>14973</v>
      </c>
      <c r="C12637" s="25">
        <v>55000</v>
      </c>
      <c r="D12637" s="22" t="s">
        <v>14974</v>
      </c>
      <c r="E12637" s="22" t="s">
        <v>234</v>
      </c>
      <c r="F12637" s="23" t="str">
        <f>HYPERLINK("https://www.spark-marketing.ru/Card/Lot/68580328", "Оказание услуг по техническому обслуживанию оборудования систем видеонаблюдения, системы контроля и управления доступом")</f>
        <v>Оказание услуг по техническому обслуживанию оборудования систем видеонаблюдения, системы контроля и управления доступом</v>
      </c>
      <c r="G12637" s="22" t="s">
        <v>50</v>
      </c>
      <c r="H12637" s="22" t="s">
        <v>4782</v>
      </c>
      <c r="I12637" s="26">
        <v>43535.461851851898</v>
      </c>
      <c r="J12637" s="28" t="s">
        <v>52</v>
      </c>
      <c r="K12637" s="28" t="s">
        <v>52</v>
      </c>
      <c r="L12637" s="28" t="s">
        <v>52</v>
      </c>
      <c r="M12637" s="28" t="s">
        <v>52</v>
      </c>
      <c r="N12637" s="28" t="s">
        <v>52</v>
      </c>
    </row>
    <row r="12638" spans="1:14" x14ac:dyDescent="0.15">
      <c r="A12638" s="23" t="str">
        <f>HYPERLINK("https://www.spark-marketing.ru/Card/Person/17887", "УПРАВЛЕНИЕ ДЕЛАМИ ГЛАВЫ И ПРАВИТЕЛЬСТВА КАБАРДИНО-БАЛКАРСКОЙ РЕСПУБЛИКИ")</f>
        <v>УПРАВЛЕНИЕ ДЕЛАМИ ГЛАВЫ И ПРАВИТЕЛЬСТВА КАБАРДИНО-БАЛКАРСКОЙ РЕСПУБЛИКИ</v>
      </c>
      <c r="B12638" s="24" t="s">
        <v>14975</v>
      </c>
      <c r="C12638" s="25">
        <v>6890436</v>
      </c>
      <c r="D12638" s="22" t="s">
        <v>14976</v>
      </c>
      <c r="E12638" s="22" t="s">
        <v>68</v>
      </c>
      <c r="F12638" s="23" t="str">
        <f>HYPERLINK("https://www.spark-marketing.ru/Card/Lot/68584108", "Оказание охранных услуг")</f>
        <v>Оказание охранных услуг</v>
      </c>
      <c r="G12638" s="22" t="s">
        <v>110</v>
      </c>
      <c r="H12638" s="22" t="s">
        <v>110</v>
      </c>
      <c r="I12638" s="26">
        <v>43535.46875</v>
      </c>
      <c r="J12638" s="28" t="s">
        <v>52</v>
      </c>
      <c r="K12638" s="28" t="s">
        <v>52</v>
      </c>
      <c r="L12638" s="28" t="s">
        <v>52</v>
      </c>
      <c r="M12638" s="28" t="s">
        <v>52</v>
      </c>
      <c r="N12638" s="28" t="s">
        <v>52</v>
      </c>
    </row>
    <row r="12639" spans="1:14" x14ac:dyDescent="0.15">
      <c r="A12639" s="23" t="str">
        <f>HYPERLINK("https://www.spark-marketing.ru/Card/Person/90165", "МЕЖРАЙОННАЯ ИФНС РОССИИ № 1 ПО БЕЛГОРОДСКОЙ ОБЛАСТИ")</f>
        <v>МЕЖРАЙОННАЯ ИФНС РОССИИ № 1 ПО БЕЛГОРОДСКОЙ ОБЛАСТИ</v>
      </c>
      <c r="B12639" s="24" t="s">
        <v>14977</v>
      </c>
      <c r="C12639" s="25">
        <v>49500</v>
      </c>
      <c r="D12639" s="22" t="s">
        <v>14978</v>
      </c>
      <c r="E12639" s="22" t="s">
        <v>53</v>
      </c>
      <c r="F12639" s="23" t="str">
        <f>HYPERLINK("https://www.spark-marketing.ru/Card/Lot/70795299", "Услуги по обеспечению пропускного и внутриобъектового режимов и охране имущества, расположенного в помещениях (зданиях) и на прилегающей территории объекта Межрайонной ИФНС России № 1 по Белгородской области, а также пресечению преступлений и админис...")</f>
        <v>Услуги по обеспечению пропускного и внутриобъектового режимов и охране имущества, расположенного в помещениях (зданиях) и на прилегающей территории объекта Межрайонной ИФНС России № 1 по Белгородской области, а также пресечению преступлений и админис...</v>
      </c>
      <c r="G12639" s="22" t="s">
        <v>176</v>
      </c>
      <c r="H12639" s="22" t="s">
        <v>9446</v>
      </c>
      <c r="I12639" s="26">
        <v>43535.497175925899</v>
      </c>
      <c r="J12639" s="28" t="s">
        <v>52</v>
      </c>
      <c r="K12639" s="28" t="s">
        <v>52</v>
      </c>
      <c r="L12639" s="28" t="s">
        <v>52</v>
      </c>
      <c r="M12639" s="28" t="s">
        <v>52</v>
      </c>
      <c r="N12639" s="28" t="s">
        <v>52</v>
      </c>
    </row>
    <row r="12640" spans="1:14" x14ac:dyDescent="0.15">
      <c r="A12640" s="23" t="str">
        <f>HYPERLINK("https://www.spark-marketing.ru/Card/Person/1956253", "ООО ""РН-СНАБЖЕНИЕ""")</f>
        <v>ООО "РН-СНАБЖЕНИЕ"</v>
      </c>
      <c r="B12640" s="24" t="s">
        <v>14979</v>
      </c>
      <c r="C12640" s="28" t="s">
        <v>52</v>
      </c>
      <c r="D12640" s="22" t="s">
        <v>14980</v>
      </c>
      <c r="E12640" s="22" t="s">
        <v>149</v>
      </c>
      <c r="F12640" s="23" t="str">
        <f>HYPERLINK("https://www.spark-marketing.ru/Card/Lot/74019667", "Поставка КИП различного назначения (120086)")</f>
        <v>Поставка КИП различного назначения (120086)</v>
      </c>
      <c r="G12640" s="22" t="s">
        <v>119</v>
      </c>
      <c r="H12640" s="22" t="s">
        <v>952</v>
      </c>
      <c r="I12640" s="26">
        <v>43535.491666666698</v>
      </c>
      <c r="J12640" s="28" t="s">
        <v>52</v>
      </c>
      <c r="K12640" s="28" t="s">
        <v>52</v>
      </c>
      <c r="L12640" s="28" t="s">
        <v>52</v>
      </c>
      <c r="M12640" s="28" t="s">
        <v>52</v>
      </c>
      <c r="N12640" s="28" t="s">
        <v>52</v>
      </c>
    </row>
    <row r="12641" spans="1:14" x14ac:dyDescent="0.15">
      <c r="A12641" s="23" t="str">
        <f>HYPERLINK("https://www.spark-marketing.ru/Card/Person/90908", "МЕЖРАЙОННАЯ ИФНС РОССИИ № 13 ПО КРАСНОДАРСКОМУ КРАЮ")</f>
        <v>МЕЖРАЙОННАЯ ИФНС РОССИИ № 13 ПО КРАСНОДАРСКОМУ КРАЮ</v>
      </c>
      <c r="B12641" s="24" t="s">
        <v>14981</v>
      </c>
      <c r="C12641" s="25">
        <v>23084</v>
      </c>
      <c r="D12641" s="22" t="s">
        <v>14982</v>
      </c>
      <c r="E12641" s="22" t="s">
        <v>53</v>
      </c>
      <c r="F12641" s="23" t="str">
        <f>HYPERLINK("https://www.spark-marketing.ru/Card/Lot/70796908", "Услуги по охране объектов с помощью тревожной сигнализации, 1 шт")</f>
        <v>Услуги по охране объектов с помощью тревожной сигнализации, 1 шт</v>
      </c>
      <c r="G12641" s="22" t="s">
        <v>132</v>
      </c>
      <c r="H12641" s="22" t="s">
        <v>14983</v>
      </c>
      <c r="I12641" s="26">
        <v>43535.484085648102</v>
      </c>
      <c r="J12641" s="28" t="s">
        <v>52</v>
      </c>
      <c r="K12641" s="28" t="s">
        <v>52</v>
      </c>
      <c r="L12641" s="28" t="s">
        <v>52</v>
      </c>
      <c r="M12641" s="28" t="s">
        <v>52</v>
      </c>
      <c r="N12641" s="28" t="s">
        <v>52</v>
      </c>
    </row>
    <row r="12642" spans="1:14" x14ac:dyDescent="0.15">
      <c r="A12642" s="23" t="str">
        <f>HYPERLINK("https://www.spark-marketing.ru/Card/Person/17887", "УПРАВЛЕНИЕ ДЕЛАМИ ГЛАВЫ И ПРАВИТЕЛЬСТВА КАБАРДИНО-БАЛКАРСКОЙ РЕСПУБЛИКИ")</f>
        <v>УПРАВЛЕНИЕ ДЕЛАМИ ГЛАВЫ И ПРАВИТЕЛЬСТВА КАБАРДИНО-БАЛКАРСКОЙ РЕСПУБЛИКИ</v>
      </c>
      <c r="B12642" s="24" t="s">
        <v>14975</v>
      </c>
      <c r="C12642" s="25">
        <v>30046185</v>
      </c>
      <c r="D12642" s="22" t="s">
        <v>14984</v>
      </c>
      <c r="E12642" s="22" t="s">
        <v>68</v>
      </c>
      <c r="F12642" s="23" t="str">
        <f>HYPERLINK("https://www.spark-marketing.ru/Card/Lot/68585122", "Оказание охранных услуг")</f>
        <v>Оказание охранных услуг</v>
      </c>
      <c r="G12642" s="22" t="s">
        <v>110</v>
      </c>
      <c r="H12642" s="22" t="s">
        <v>110</v>
      </c>
      <c r="I12642" s="26">
        <v>43535.46875</v>
      </c>
      <c r="J12642" s="28" t="s">
        <v>52</v>
      </c>
      <c r="K12642" s="28" t="s">
        <v>52</v>
      </c>
      <c r="L12642" s="28" t="s">
        <v>52</v>
      </c>
      <c r="M12642" s="28" t="s">
        <v>52</v>
      </c>
      <c r="N12642" s="28" t="s">
        <v>52</v>
      </c>
    </row>
    <row r="12643" spans="1:14" x14ac:dyDescent="0.15">
      <c r="A12643" s="23" t="str">
        <f>HYPERLINK("https://www.spark-marketing.ru/Card/Person/29178", "ГБОУ ГИМНАЗИЯ № 631 ПРИМОРСКОГО РАЙОНА САНКТ-ПЕТЕРБУРГА")</f>
        <v>ГБОУ ГИМНАЗИЯ № 631 ПРИМОРСКОГО РАЙОНА САНКТ-ПЕТЕРБУРГА</v>
      </c>
      <c r="B12643" s="24" t="s">
        <v>14985</v>
      </c>
      <c r="C12643" s="25">
        <v>174420</v>
      </c>
      <c r="D12643" s="22" t="s">
        <v>14986</v>
      </c>
      <c r="E12643" s="22" t="s">
        <v>52</v>
      </c>
      <c r="F12643" s="23" t="str">
        <f>HYPERLINK("https://www.spark-marketing.ru/Card/Lot/68583223", "Услуги частных охранных служб")</f>
        <v>Услуги частных охранных служб</v>
      </c>
      <c r="G12643" s="22" t="s">
        <v>89</v>
      </c>
      <c r="H12643" s="22" t="s">
        <v>89</v>
      </c>
      <c r="I12643" s="26">
        <v>43535.482638888898</v>
      </c>
      <c r="J12643" s="28" t="s">
        <v>52</v>
      </c>
      <c r="K12643" s="28" t="s">
        <v>52</v>
      </c>
      <c r="L12643" s="28" t="s">
        <v>52</v>
      </c>
      <c r="M12643" s="28" t="s">
        <v>52</v>
      </c>
      <c r="N12643" s="28" t="s">
        <v>52</v>
      </c>
    </row>
    <row r="12644" spans="1:14" hidden="1" outlineLevel="1" x14ac:dyDescent="0.2">
      <c r="A12644" s="23" t="str">
        <f>HYPERLINK("https://www.spark-marketing.ru/Card/Person/29178", "ГБОУ ГИМНАЗИЯ № 631 ПРИМОРСКОГО РАЙОНА САНКТ-ПЕТЕРБУРГА")</f>
        <v>ГБОУ ГИМНАЗИЯ № 631 ПРИМОРСКОГО РАЙОНА САНКТ-ПЕТЕРБУРГА</v>
      </c>
      <c r="B12644" s="24" t="s">
        <v>14985</v>
      </c>
      <c r="C12644" s="25">
        <v>174420</v>
      </c>
      <c r="D12644" s="22" t="s">
        <v>14986</v>
      </c>
      <c r="E12644" s="22" t="s">
        <v>52</v>
      </c>
      <c r="F12644" s="23" t="str">
        <f>HYPERLINK("https://www.spark-marketing.ru/Card/Lot/68583223", "Услуги частных охранных служб")</f>
        <v>Услуги частных охранных служб</v>
      </c>
      <c r="G12644" s="22" t="s">
        <v>89</v>
      </c>
      <c r="H12644" s="22" t="s">
        <v>89</v>
      </c>
      <c r="I12644" s="26">
        <v>43535.482638888898</v>
      </c>
      <c r="J12644" s="23" t="str">
        <f>HYPERLINK("https://www.spark-marketing.ru/Card/Person/1957699", "ООО ""ОП ""ТРАНС-СЕКЬЮРИТИ""""")</f>
        <v>ООО "ОП "ТРАНС-СЕКЬЮРИТИ""</v>
      </c>
      <c r="K12644" s="24" t="s">
        <v>4138</v>
      </c>
      <c r="L12644" s="28" t="s">
        <v>52</v>
      </c>
      <c r="M12644" s="25">
        <v>170928.9</v>
      </c>
      <c r="N12644" s="27">
        <v>2.001547987616099E-2</v>
      </c>
    </row>
    <row r="12645" spans="1:14" ht="12.75" hidden="1" outlineLevel="1" x14ac:dyDescent="0.2">
      <c r="A12645" s="23" t="str">
        <f>HYPERLINK("https://www.spark-marketing.ru/Card/Person/29178", "ГБОУ ГИМНАЗИЯ № 631 ПРИМОРСКОГО РАЙОНА САНКТ-ПЕТЕРБУРГА")</f>
        <v>ГБОУ ГИМНАЗИЯ № 631 ПРИМОРСКОГО РАЙОНА САНКТ-ПЕТЕРБУРГА</v>
      </c>
      <c r="B12645" s="24" t="s">
        <v>14985</v>
      </c>
      <c r="C12645" s="25">
        <v>174420</v>
      </c>
      <c r="D12645" s="22" t="s">
        <v>14986</v>
      </c>
      <c r="E12645" s="22" t="s">
        <v>52</v>
      </c>
      <c r="F12645" s="23" t="str">
        <f>HYPERLINK("https://www.spark-marketing.ru/Card/Lot/68583223", "Услуги частных охранных служб")</f>
        <v>Услуги частных охранных служб</v>
      </c>
      <c r="G12645" s="22" t="s">
        <v>89</v>
      </c>
      <c r="H12645" s="22" t="s">
        <v>89</v>
      </c>
      <c r="I12645" s="26">
        <v>43535.482638888898</v>
      </c>
      <c r="J12645" s="23" t="str">
        <f>HYPERLINK("https://www.spark-marketing.ru/Card/Person/2562571", "ООО ОП""БОРС-БАЛТИКА""")</f>
        <v>ООО ОП"БОРС-БАЛТИКА"</v>
      </c>
      <c r="K12645" s="24" t="s">
        <v>4583</v>
      </c>
      <c r="L12645" s="22" t="s">
        <v>10</v>
      </c>
      <c r="M12645" s="25">
        <v>170056.8</v>
      </c>
      <c r="N12645" s="27">
        <v>2.5015479876160991E-2</v>
      </c>
    </row>
    <row r="12646" spans="1:14" x14ac:dyDescent="0.15">
      <c r="A12646" s="23" t="str">
        <f>HYPERLINK("https://www.spark-marketing.ru/Card/Person/2321", "ОБУЗ ФУРМАНОВСКАЯ ЦРБ")</f>
        <v>ОБУЗ ФУРМАНОВСКАЯ ЦРБ</v>
      </c>
      <c r="B12646" s="24" t="s">
        <v>14987</v>
      </c>
      <c r="C12646" s="25">
        <v>99784.08</v>
      </c>
      <c r="D12646" s="22" t="s">
        <v>14988</v>
      </c>
      <c r="E12646" s="22" t="s">
        <v>68</v>
      </c>
      <c r="F12646" s="23" t="str">
        <f>HYPERLINK("https://www.spark-marketing.ru/Card/Lot/68584095", "оказание услуг по централизованной охране объекта, подключенного на пульт централизованного наблюдения (ПЦН) подразделения вневедомственной охраны")</f>
        <v>оказание услуг по централизованной охране объекта, подключенного на пульт централизованного наблюдения (ПЦН) подразделения вневедомственной охраны</v>
      </c>
      <c r="G12646" s="22" t="s">
        <v>340</v>
      </c>
      <c r="H12646" s="22" t="s">
        <v>3051</v>
      </c>
      <c r="I12646" s="26">
        <v>43535.474999999999</v>
      </c>
      <c r="J12646" s="28" t="s">
        <v>52</v>
      </c>
      <c r="K12646" s="28" t="s">
        <v>52</v>
      </c>
      <c r="L12646" s="28" t="s">
        <v>52</v>
      </c>
      <c r="M12646" s="28" t="s">
        <v>52</v>
      </c>
      <c r="N12646" s="28" t="s">
        <v>52</v>
      </c>
    </row>
    <row r="12647" spans="1:14" x14ac:dyDescent="0.15">
      <c r="A12647" s="23" t="str">
        <f>HYPERLINK("https://www.spark-marketing.ru/Card/Person/2321", "ОБУЗ ФУРМАНОВСКАЯ ЦРБ")</f>
        <v>ОБУЗ ФУРМАНОВСКАЯ ЦРБ</v>
      </c>
      <c r="B12647" s="24" t="s">
        <v>14987</v>
      </c>
      <c r="C12647" s="25">
        <v>23345.279999999999</v>
      </c>
      <c r="D12647" s="22" t="s">
        <v>14989</v>
      </c>
      <c r="E12647" s="22" t="s">
        <v>68</v>
      </c>
      <c r="F12647" s="23" t="str">
        <f>HYPERLINK("https://www.spark-marketing.ru/Card/Lot/68581773", "оказание услуг по охране объектов путем реагирования на сообщения о срабатывании тревожной сигнализации ( с использованием кнопки тревожной сигнализации)")</f>
        <v>оказание услуг по охране объектов путем реагирования на сообщения о срабатывании тревожной сигнализации ( с использованием кнопки тревожной сигнализации)</v>
      </c>
      <c r="G12647" s="22" t="s">
        <v>340</v>
      </c>
      <c r="H12647" s="22" t="s">
        <v>3051</v>
      </c>
      <c r="I12647" s="26">
        <v>43535.462500000001</v>
      </c>
      <c r="J12647" s="28" t="s">
        <v>52</v>
      </c>
      <c r="K12647" s="28" t="s">
        <v>52</v>
      </c>
      <c r="L12647" s="28" t="s">
        <v>52</v>
      </c>
      <c r="M12647" s="28" t="s">
        <v>52</v>
      </c>
      <c r="N12647" s="28" t="s">
        <v>52</v>
      </c>
    </row>
    <row r="12648" spans="1:14" x14ac:dyDescent="0.15">
      <c r="A12648" s="23" t="str">
        <f>HYPERLINK("https://www.spark-marketing.ru/Card/Person/22952", "УФНС РОССИИ ПО АРХАНГЕЛЬСКОЙ ОБЛАСТИ И НЕНЕЦКОМУ АВТОНОМНОМУ ОКРУГУ")</f>
        <v>УФНС РОССИИ ПО АРХАНГЕЛЬСКОЙ ОБЛАСТИ И НЕНЕЦКОМУ АВТОНОМНОМУ ОКРУГУ</v>
      </c>
      <c r="B12648" s="24" t="s">
        <v>14990</v>
      </c>
      <c r="C12648" s="25">
        <v>925534.2</v>
      </c>
      <c r="D12648" s="22" t="s">
        <v>14991</v>
      </c>
      <c r="E12648" s="22" t="s">
        <v>68</v>
      </c>
      <c r="F12648" s="23" t="str">
        <f>HYPERLINK("https://www.spark-marketing.ru/Card/Lot/68582510", "Оказание услуг по охране объектов при помощи пульта централизованного наблюдения")</f>
        <v>Оказание услуг по охране объектов при помощи пульта централизованного наблюдения</v>
      </c>
      <c r="G12648" s="22" t="s">
        <v>674</v>
      </c>
      <c r="H12648" s="22" t="s">
        <v>674</v>
      </c>
      <c r="I12648" s="26">
        <v>43535.444444444402</v>
      </c>
      <c r="J12648" s="28" t="s">
        <v>52</v>
      </c>
      <c r="K12648" s="28" t="s">
        <v>52</v>
      </c>
      <c r="L12648" s="28" t="s">
        <v>52</v>
      </c>
      <c r="M12648" s="28" t="s">
        <v>52</v>
      </c>
      <c r="N12648" s="28" t="s">
        <v>52</v>
      </c>
    </row>
    <row r="12649" spans="1:14" x14ac:dyDescent="0.15">
      <c r="A12649" s="23" t="str">
        <f>HYPERLINK("https://www.spark-marketing.ru/Card/Person/10784", "БУ ""КОГАЛЫМСКАЯ ГОРОДСКАЯ БОЛЬНИЦА""")</f>
        <v>БУ "КОГАЛЫМСКАЯ ГОРОДСКАЯ БОЛЬНИЦА"</v>
      </c>
      <c r="B12649" s="24" t="s">
        <v>14992</v>
      </c>
      <c r="C12649" s="25">
        <v>2425550.25</v>
      </c>
      <c r="D12649" s="22" t="s">
        <v>14993</v>
      </c>
      <c r="E12649" s="22" t="s">
        <v>68</v>
      </c>
      <c r="F12649" s="23" t="str">
        <f>HYPERLINK("https://www.spark-marketing.ru/Card/Lot/68577699", "Оказание услуг по охране объекта посредством пульта централизованного наблюдения и кнопки тревожной сигнализации для нужд Бюджетного учреждения Ханты-Мансийского автономного округа - Югры «Когалымская городская больница»")</f>
        <v>Оказание услуг по охране объекта посредством пульта централизованного наблюдения и кнопки тревожной сигнализации для нужд Бюджетного учреждения Ханты-Мансийского автономного округа - Югры «Когалымская городская больница»</v>
      </c>
      <c r="G12649" s="22" t="s">
        <v>119</v>
      </c>
      <c r="H12649" s="22" t="s">
        <v>9617</v>
      </c>
      <c r="I12649" s="26">
        <v>43535.434722222199</v>
      </c>
      <c r="J12649" s="23" t="str">
        <f>HYPERLINK("https://www.spark-marketing.ru/Card/Person/81140", "ФГКУ ""УВО ВНГ РОССИИ ПО ХАНТЫ-МАНСИЙСКОМУ АВТОНОМНОМУ ОКРУГУ - ЮГРЕ""")</f>
        <v>ФГКУ "УВО ВНГ РОССИИ ПО ХАНТЫ-МАНСИЙСКОМУ АВТОНОМНОМУ ОКРУГУ - ЮГРЕ"</v>
      </c>
      <c r="K12649" s="24" t="s">
        <v>1963</v>
      </c>
      <c r="L12649" s="28" t="s">
        <v>52</v>
      </c>
      <c r="M12649" s="28" t="s">
        <v>52</v>
      </c>
      <c r="N12649" s="28" t="s">
        <v>52</v>
      </c>
    </row>
    <row r="12650" spans="1:14" ht="12.75" hidden="1" outlineLevel="1" x14ac:dyDescent="0.2">
      <c r="A12650" s="23" t="str">
        <f>HYPERLINK("https://www.spark-marketing.ru/Card/Person/10784", "БУ ""КОГАЛЫМСКАЯ ГОРОДСКАЯ БОЛЬНИЦА""")</f>
        <v>БУ "КОГАЛЫМСКАЯ ГОРОДСКАЯ БОЛЬНИЦА"</v>
      </c>
      <c r="B12650" s="24" t="s">
        <v>14992</v>
      </c>
      <c r="C12650" s="25">
        <v>2425550.25</v>
      </c>
      <c r="D12650" s="22" t="s">
        <v>14993</v>
      </c>
      <c r="E12650" s="22" t="s">
        <v>68</v>
      </c>
      <c r="F12650" s="23" t="str">
        <f>HYPERLINK("https://www.spark-marketing.ru/Card/Lot/68577699", "Оказание услуг по охране объекта посредством пульта централизованного наблюдения и кнопки тревожной сигнализации для нужд Бюджетного учреждения Ханты-Мансийского автономного округа - Югры «Когалымская городская больница»")</f>
        <v>Оказание услуг по охране объекта посредством пульта централизованного наблюдения и кнопки тревожной сигнализации для нужд Бюджетного учреждения Ханты-Мансийского автономного округа - Югры «Когалымская городская больница»</v>
      </c>
      <c r="G12650" s="22" t="s">
        <v>119</v>
      </c>
      <c r="H12650" s="22" t="s">
        <v>9617</v>
      </c>
      <c r="I12650" s="26">
        <v>43535.434722222199</v>
      </c>
      <c r="J12650" s="23" t="str">
        <f>HYPERLINK("https://www.spark-marketing.ru/Card/Person/81140", "ФГКУ ""УВО ВНГ РОССИИ ПО ХАНТЫ-МАНСИЙСКОМУ АВТОНОМНОМУ ОКРУГУ - ЮГРЕ""")</f>
        <v>ФГКУ "УВО ВНГ РОССИИ ПО ХАНТЫ-МАНСИЙСКОМУ АВТОНОМНОМУ ОКРУГУ - ЮГРЕ"</v>
      </c>
      <c r="K12650" s="24" t="s">
        <v>1963</v>
      </c>
      <c r="L12650" s="22" t="s">
        <v>10</v>
      </c>
      <c r="M12650" s="25">
        <v>2413422.5</v>
      </c>
      <c r="N12650" s="27">
        <v>4.999999484653018E-3</v>
      </c>
    </row>
    <row r="12651" spans="1:14" x14ac:dyDescent="0.15">
      <c r="A12651" s="23" t="str">
        <f>HYPERLINK("https://www.spark-marketing.ru/Card/Person/1016771", "ФКУ ИК-6 УФСИН РОССИИ ПО ТЮМЕНСКОЙ ОБЛАСТИ")</f>
        <v>ФКУ ИК-6 УФСИН РОССИИ ПО ТЮМЕНСКОЙ ОБЛАСТИ</v>
      </c>
      <c r="B12651" s="24" t="s">
        <v>3541</v>
      </c>
      <c r="C12651" s="25">
        <v>74600</v>
      </c>
      <c r="D12651" s="22" t="s">
        <v>14994</v>
      </c>
      <c r="E12651" s="22" t="s">
        <v>14766</v>
      </c>
      <c r="F12651" s="23" t="str">
        <f>HYPERLINK("https://www.spark-marketing.ru/Card/Lot/68575936", "Закупка материалов для проведения ТО ТСОН")</f>
        <v>Закупка материалов для проведения ТО ТСОН</v>
      </c>
      <c r="G12651" s="22" t="s">
        <v>893</v>
      </c>
      <c r="H12651" s="22" t="s">
        <v>893</v>
      </c>
      <c r="I12651" s="26">
        <v>43535.429861111101</v>
      </c>
      <c r="J12651" s="28" t="s">
        <v>52</v>
      </c>
      <c r="K12651" s="28" t="s">
        <v>52</v>
      </c>
      <c r="L12651" s="28" t="s">
        <v>52</v>
      </c>
      <c r="M12651" s="28" t="s">
        <v>52</v>
      </c>
      <c r="N12651" s="28" t="s">
        <v>52</v>
      </c>
    </row>
    <row r="12652" spans="1:14" hidden="1" outlineLevel="1" x14ac:dyDescent="0.2">
      <c r="A12652" s="23" t="str">
        <f>HYPERLINK("https://www.spark-marketing.ru/Card/Person/1016771", "ФКУ ИК-6 УФСИН РОССИИ ПО ТЮМЕНСКОЙ ОБЛАСТИ")</f>
        <v>ФКУ ИК-6 УФСИН РОССИИ ПО ТЮМЕНСКОЙ ОБЛАСТИ</v>
      </c>
      <c r="B12652" s="24" t="s">
        <v>3541</v>
      </c>
      <c r="C12652" s="25">
        <v>74600</v>
      </c>
      <c r="D12652" s="22" t="s">
        <v>14994</v>
      </c>
      <c r="E12652" s="22" t="s">
        <v>14766</v>
      </c>
      <c r="F12652" s="23" t="str">
        <f>HYPERLINK("https://www.spark-marketing.ru/Card/Lot/68575936", "Закупка материалов для проведения ТО ТСОН")</f>
        <v>Закупка материалов для проведения ТО ТСОН</v>
      </c>
      <c r="G12652" s="22" t="s">
        <v>893</v>
      </c>
      <c r="H12652" s="22" t="s">
        <v>893</v>
      </c>
      <c r="I12652" s="26">
        <v>43535.429861111101</v>
      </c>
      <c r="J12652" s="23" t="str">
        <f>HYPERLINK("https://www.spark-marketing.ru/Card/Person/6510293", "Иванников Алексей Михайлович")</f>
        <v>Иванников Алексей Михайлович</v>
      </c>
      <c r="K12652" s="24" t="s">
        <v>13660</v>
      </c>
      <c r="L12652" s="28" t="s">
        <v>52</v>
      </c>
      <c r="M12652" s="25">
        <v>70492.59</v>
      </c>
      <c r="N12652" s="27">
        <v>5.5059115281501342E-2</v>
      </c>
    </row>
    <row r="12653" spans="1:14" hidden="1" outlineLevel="1" x14ac:dyDescent="0.2">
      <c r="A12653" s="23" t="str">
        <f>HYPERLINK("https://www.spark-marketing.ru/Card/Person/1016771", "ФКУ ИК-6 УФСИН РОССИИ ПО ТЮМЕНСКОЙ ОБЛАСТИ")</f>
        <v>ФКУ ИК-6 УФСИН РОССИИ ПО ТЮМЕНСКОЙ ОБЛАСТИ</v>
      </c>
      <c r="B12653" s="24" t="s">
        <v>3541</v>
      </c>
      <c r="C12653" s="25">
        <v>74600</v>
      </c>
      <c r="D12653" s="22" t="s">
        <v>14994</v>
      </c>
      <c r="E12653" s="22" t="s">
        <v>14766</v>
      </c>
      <c r="F12653" s="23" t="str">
        <f>HYPERLINK("https://www.spark-marketing.ru/Card/Lot/68575936", "Закупка материалов для проведения ТО ТСОН")</f>
        <v>Закупка материалов для проведения ТО ТСОН</v>
      </c>
      <c r="G12653" s="22" t="s">
        <v>893</v>
      </c>
      <c r="H12653" s="22" t="s">
        <v>893</v>
      </c>
      <c r="I12653" s="26">
        <v>43535.429861111101</v>
      </c>
      <c r="J12653" s="23" t="str">
        <f>HYPERLINK("https://www.spark-marketing.ru/Card/Person/6365469", "Долин Михаил Юрьевич")</f>
        <v>Долин Михаил Юрьевич</v>
      </c>
      <c r="K12653" s="24" t="s">
        <v>5512</v>
      </c>
      <c r="L12653" s="28" t="s">
        <v>52</v>
      </c>
      <c r="M12653" s="25">
        <v>72735</v>
      </c>
      <c r="N12653" s="27">
        <v>2.5000000000000001E-2</v>
      </c>
    </row>
    <row r="12654" spans="1:14" ht="12.75" hidden="1" outlineLevel="1" x14ac:dyDescent="0.2">
      <c r="A12654" s="23" t="str">
        <f>HYPERLINK("https://www.spark-marketing.ru/Card/Person/1016771", "ФКУ ИК-6 УФСИН РОССИИ ПО ТЮМЕНСКОЙ ОБЛАСТИ")</f>
        <v>ФКУ ИК-6 УФСИН РОССИИ ПО ТЮМЕНСКОЙ ОБЛАСТИ</v>
      </c>
      <c r="B12654" s="24" t="s">
        <v>3541</v>
      </c>
      <c r="C12654" s="25">
        <v>74600</v>
      </c>
      <c r="D12654" s="22" t="s">
        <v>14994</v>
      </c>
      <c r="E12654" s="22" t="s">
        <v>14766</v>
      </c>
      <c r="F12654" s="23" t="str">
        <f>HYPERLINK("https://www.spark-marketing.ru/Card/Lot/68575936", "Закупка материалов для проведения ТО ТСОН")</f>
        <v>Закупка материалов для проведения ТО ТСОН</v>
      </c>
      <c r="G12654" s="22" t="s">
        <v>893</v>
      </c>
      <c r="H12654" s="22" t="s">
        <v>893</v>
      </c>
      <c r="I12654" s="26">
        <v>43535.429861111101</v>
      </c>
      <c r="J12654" s="23" t="str">
        <f>HYPERLINK("https://www.spark-marketing.ru/Card/Person/343131", "ООО ""ЩИТ""")</f>
        <v>ООО "ЩИТ"</v>
      </c>
      <c r="K12654" s="24" t="s">
        <v>1798</v>
      </c>
      <c r="L12654" s="22" t="s">
        <v>10</v>
      </c>
      <c r="M12654" s="25">
        <v>68627.59</v>
      </c>
      <c r="N12654" s="27">
        <v>8.0059115281501336E-2</v>
      </c>
    </row>
    <row r="12655" spans="1:14" hidden="1" outlineLevel="1" x14ac:dyDescent="0.2">
      <c r="A12655" s="23" t="str">
        <f>HYPERLINK("https://www.spark-marketing.ru/Card/Person/1016771", "ФКУ ИК-6 УФСИН РОССИИ ПО ТЮМЕНСКОЙ ОБЛАСТИ")</f>
        <v>ФКУ ИК-6 УФСИН РОССИИ ПО ТЮМЕНСКОЙ ОБЛАСТИ</v>
      </c>
      <c r="B12655" s="24" t="s">
        <v>3541</v>
      </c>
      <c r="C12655" s="25">
        <v>74600</v>
      </c>
      <c r="D12655" s="22" t="s">
        <v>14994</v>
      </c>
      <c r="E12655" s="22" t="s">
        <v>14766</v>
      </c>
      <c r="F12655" s="23" t="str">
        <f>HYPERLINK("https://www.spark-marketing.ru/Card/Lot/68575936", "Закупка материалов для проведения ТО ТСОН")</f>
        <v>Закупка материалов для проведения ТО ТСОН</v>
      </c>
      <c r="G12655" s="22" t="s">
        <v>893</v>
      </c>
      <c r="H12655" s="22" t="s">
        <v>893</v>
      </c>
      <c r="I12655" s="26">
        <v>43535.429861111101</v>
      </c>
      <c r="J12655" s="23" t="str">
        <f>HYPERLINK("https://www.spark-marketing.ru/Card/Person/6342370", "Ванюков Сергей Александрович")</f>
        <v>Ванюков Сергей Александрович</v>
      </c>
      <c r="K12655" s="24" t="s">
        <v>3380</v>
      </c>
      <c r="L12655" s="28" t="s">
        <v>52</v>
      </c>
      <c r="M12655" s="25">
        <v>69000.59</v>
      </c>
      <c r="N12655" s="27">
        <v>7.5059115281501346E-2</v>
      </c>
    </row>
    <row r="12656" spans="1:14" x14ac:dyDescent="0.15">
      <c r="A12656" s="23" t="str">
        <f>HYPERLINK("https://www.spark-marketing.ru/Card/Person/120017", "ГБОУ ГИМНАЗИЯ № 116 ПРИМОРСКОГО РАЙОНА САНКТ-ПЕТЕРБУРГА")</f>
        <v>ГБОУ ГИМНАЗИЯ № 116 ПРИМОРСКОГО РАЙОНА САНКТ-ПЕТЕРБУРГА</v>
      </c>
      <c r="B12656" s="24" t="s">
        <v>14995</v>
      </c>
      <c r="C12656" s="25">
        <v>172800</v>
      </c>
      <c r="D12656" s="22" t="s">
        <v>14996</v>
      </c>
      <c r="E12656" s="22" t="s">
        <v>52</v>
      </c>
      <c r="F12656" s="23" t="str">
        <f>HYPERLINK("https://www.spark-marketing.ru/Card/Lot/68580688", "Услуги по организации физической охраны на стационарном посту и осуществлению контрольно-пропускного режима в ГБОУ гимназия №116 Приморского района Санкт-Петербурга в 2019 году.")</f>
        <v>Услуги по организации физической охраны на стационарном посту и осуществлению контрольно-пропускного режима в ГБОУ гимназия №116 Приморского района Санкт-Петербурга в 2019 году.</v>
      </c>
      <c r="G12656" s="22" t="s">
        <v>89</v>
      </c>
      <c r="H12656" s="22" t="s">
        <v>89</v>
      </c>
      <c r="I12656" s="26">
        <v>43535.431250000001</v>
      </c>
      <c r="J12656" s="28" t="s">
        <v>52</v>
      </c>
      <c r="K12656" s="28" t="s">
        <v>52</v>
      </c>
      <c r="L12656" s="28" t="s">
        <v>52</v>
      </c>
      <c r="M12656" s="28" t="s">
        <v>52</v>
      </c>
      <c r="N12656" s="28" t="s">
        <v>52</v>
      </c>
    </row>
    <row r="12657" spans="1:14" hidden="1" outlineLevel="1" x14ac:dyDescent="0.2">
      <c r="A12657" s="23" t="str">
        <f>HYPERLINK("https://www.spark-marketing.ru/Card/Person/120017", "ГБОУ ГИМНАЗИЯ № 116 ПРИМОРСКОГО РАЙОНА САНКТ-ПЕТЕРБУРГА")</f>
        <v>ГБОУ ГИМНАЗИЯ № 116 ПРИМОРСКОГО РАЙОНА САНКТ-ПЕТЕРБУРГА</v>
      </c>
      <c r="B12657" s="24" t="s">
        <v>14995</v>
      </c>
      <c r="C12657" s="25">
        <v>172800</v>
      </c>
      <c r="D12657" s="22" t="s">
        <v>14996</v>
      </c>
      <c r="E12657" s="22" t="s">
        <v>52</v>
      </c>
      <c r="F12657" s="23" t="str">
        <f>HYPERLINK("https://www.spark-marketing.ru/Card/Lot/68580688", "Услуги по организации физической охраны на стационарном посту и осуществлению контрольно-пропускного режима в ГБОУ гимназия №116 Приморского района Санкт-Петербурга в 2019 году.")</f>
        <v>Услуги по организации физической охраны на стационарном посту и осуществлению контрольно-пропускного режима в ГБОУ гимназия №116 Приморского района Санкт-Петербурга в 2019 году.</v>
      </c>
      <c r="G12657" s="22" t="s">
        <v>89</v>
      </c>
      <c r="H12657" s="22" t="s">
        <v>89</v>
      </c>
      <c r="I12657" s="26">
        <v>43535.431250000001</v>
      </c>
      <c r="J12657" s="23" t="str">
        <f>HYPERLINK("https://www.spark-marketing.ru/Card/Person/123130", "ООО ""ЧОП ""СЗАОПО-С""")</f>
        <v>ООО "ЧОП "СЗАОПО-С"</v>
      </c>
      <c r="K12657" s="24" t="s">
        <v>4290</v>
      </c>
      <c r="L12657" s="28" t="s">
        <v>52</v>
      </c>
      <c r="M12657" s="25">
        <v>163296</v>
      </c>
      <c r="N12657" s="27">
        <v>5.5E-2</v>
      </c>
    </row>
    <row r="12658" spans="1:14" ht="12.75" hidden="1" outlineLevel="1" x14ac:dyDescent="0.2">
      <c r="A12658" s="23" t="str">
        <f>HYPERLINK("https://www.spark-marketing.ru/Card/Person/120017", "ГБОУ ГИМНАЗИЯ № 116 ПРИМОРСКОГО РАЙОНА САНКТ-ПЕТЕРБУРГА")</f>
        <v>ГБОУ ГИМНАЗИЯ № 116 ПРИМОРСКОГО РАЙОНА САНКТ-ПЕТЕРБУРГА</v>
      </c>
      <c r="B12658" s="24" t="s">
        <v>14995</v>
      </c>
      <c r="C12658" s="25">
        <v>172800</v>
      </c>
      <c r="D12658" s="22" t="s">
        <v>14996</v>
      </c>
      <c r="E12658" s="22" t="s">
        <v>52</v>
      </c>
      <c r="F12658" s="23" t="str">
        <f>HYPERLINK("https://www.spark-marketing.ru/Card/Lot/68580688", "Услуги по организации физической охраны на стационарном посту и осуществлению контрольно-пропускного режима в ГБОУ гимназия №116 Приморского района Санкт-Петербурга в 2019 году.")</f>
        <v>Услуги по организации физической охраны на стационарном посту и осуществлению контрольно-пропускного режима в ГБОУ гимназия №116 Приморского района Санкт-Петербурга в 2019 году.</v>
      </c>
      <c r="G12658" s="22" t="s">
        <v>89</v>
      </c>
      <c r="H12658" s="22" t="s">
        <v>89</v>
      </c>
      <c r="I12658" s="26">
        <v>43535.431250000001</v>
      </c>
      <c r="J12658" s="23" t="str">
        <f>HYPERLINK("https://www.spark-marketing.ru/Card/Person/2562571", "ООО ОП""БОРС-БАЛТИКА""")</f>
        <v>ООО ОП"БОРС-БАЛТИКА"</v>
      </c>
      <c r="K12658" s="24" t="s">
        <v>4583</v>
      </c>
      <c r="L12658" s="22" t="s">
        <v>10</v>
      </c>
      <c r="M12658" s="25">
        <v>130464</v>
      </c>
      <c r="N12658" s="27">
        <v>0.245</v>
      </c>
    </row>
    <row r="12659" spans="1:14" hidden="1" outlineLevel="1" x14ac:dyDescent="0.2">
      <c r="A12659" s="23" t="str">
        <f>HYPERLINK("https://www.spark-marketing.ru/Card/Person/120017", "ГБОУ ГИМНАЗИЯ № 116 ПРИМОРСКОГО РАЙОНА САНКТ-ПЕТЕРБУРГА")</f>
        <v>ГБОУ ГИМНАЗИЯ № 116 ПРИМОРСКОГО РАЙОНА САНКТ-ПЕТЕРБУРГА</v>
      </c>
      <c r="B12659" s="24" t="s">
        <v>14995</v>
      </c>
      <c r="C12659" s="25">
        <v>172800</v>
      </c>
      <c r="D12659" s="22" t="s">
        <v>14996</v>
      </c>
      <c r="E12659" s="22" t="s">
        <v>52</v>
      </c>
      <c r="F12659" s="23" t="str">
        <f>HYPERLINK("https://www.spark-marketing.ru/Card/Lot/68580688", "Услуги по организации физической охраны на стационарном посту и осуществлению контрольно-пропускного режима в ГБОУ гимназия №116 Приморского района Санкт-Петербурга в 2019 году.")</f>
        <v>Услуги по организации физической охраны на стационарном посту и осуществлению контрольно-пропускного режима в ГБОУ гимназия №116 Приморского района Санкт-Петербурга в 2019 году.</v>
      </c>
      <c r="G12659" s="22" t="s">
        <v>89</v>
      </c>
      <c r="H12659" s="22" t="s">
        <v>89</v>
      </c>
      <c r="I12659" s="26">
        <v>43535.431250000001</v>
      </c>
      <c r="J12659" s="23" t="str">
        <f>HYPERLINK("https://www.spark-marketing.ru/Card/Person/1957699", "ООО ""ОП ""ТРАНС-СЕКЬЮРИТИ""""")</f>
        <v>ООО "ОП "ТРАНС-СЕКЬЮРИТИ""</v>
      </c>
      <c r="K12659" s="24" t="s">
        <v>4138</v>
      </c>
      <c r="L12659" s="28" t="s">
        <v>52</v>
      </c>
      <c r="M12659" s="25">
        <v>131328</v>
      </c>
      <c r="N12659" s="27">
        <v>0.24</v>
      </c>
    </row>
    <row r="12660" spans="1:14" hidden="1" outlineLevel="1" x14ac:dyDescent="0.2">
      <c r="A12660" s="23" t="str">
        <f>HYPERLINK("https://www.spark-marketing.ru/Card/Person/120017", "ГБОУ ГИМНАЗИЯ № 116 ПРИМОРСКОГО РАЙОНА САНКТ-ПЕТЕРБУРГА")</f>
        <v>ГБОУ ГИМНАЗИЯ № 116 ПРИМОРСКОГО РАЙОНА САНКТ-ПЕТЕРБУРГА</v>
      </c>
      <c r="B12660" s="24" t="s">
        <v>14995</v>
      </c>
      <c r="C12660" s="25">
        <v>172800</v>
      </c>
      <c r="D12660" s="22" t="s">
        <v>14996</v>
      </c>
      <c r="E12660" s="22" t="s">
        <v>52</v>
      </c>
      <c r="F12660" s="23" t="str">
        <f>HYPERLINK("https://www.spark-marketing.ru/Card/Lot/68580688", "Услуги по организации физической охраны на стационарном посту и осуществлению контрольно-пропускного режима в ГБОУ гимназия №116 Приморского района Санкт-Петербурга в 2019 году.")</f>
        <v>Услуги по организации физической охраны на стационарном посту и осуществлению контрольно-пропускного режима в ГБОУ гимназия №116 Приморского района Санкт-Петербурга в 2019 году.</v>
      </c>
      <c r="G12660" s="22" t="s">
        <v>89</v>
      </c>
      <c r="H12660" s="22" t="s">
        <v>89</v>
      </c>
      <c r="I12660" s="26">
        <v>43535.431250000001</v>
      </c>
      <c r="J12660" s="23" t="str">
        <f>HYPERLINK("https://www.spark-marketing.ru/Card/Person/135806", "ООО ""ОП ""РАДОН""")</f>
        <v>ООО "ОП "РАДОН"</v>
      </c>
      <c r="K12660" s="24" t="s">
        <v>4139</v>
      </c>
      <c r="L12660" s="28" t="s">
        <v>52</v>
      </c>
      <c r="M12660" s="25">
        <v>135540</v>
      </c>
      <c r="N12660" s="27">
        <v>0.21562500000000001</v>
      </c>
    </row>
    <row r="12661" spans="1:14" x14ac:dyDescent="0.15">
      <c r="A12661" s="23" t="str">
        <f>HYPERLINK("https://www.spark-marketing.ru/Card/Person/31523", "ГБОУ ШКОЛА № 53 ПРИМОРСКОГО РАЙОНА САНКТ-ПЕТЕРБУРГА")</f>
        <v>ГБОУ ШКОЛА № 53 ПРИМОРСКОГО РАЙОНА САНКТ-ПЕТЕРБУРГА</v>
      </c>
      <c r="B12661" s="24" t="s">
        <v>14997</v>
      </c>
      <c r="C12661" s="25">
        <v>174420</v>
      </c>
      <c r="D12661" s="22" t="s">
        <v>14998</v>
      </c>
      <c r="E12661" s="22" t="s">
        <v>52</v>
      </c>
      <c r="F12661" s="23" t="str">
        <f>HYPERLINK("https://www.spark-marketing.ru/Card/Lot/68583220", "Услуги частных охранных служб")</f>
        <v>Услуги частных охранных служб</v>
      </c>
      <c r="G12661" s="22" t="s">
        <v>89</v>
      </c>
      <c r="H12661" s="22" t="s">
        <v>89</v>
      </c>
      <c r="I12661" s="26">
        <v>43535.445833333302</v>
      </c>
      <c r="J12661" s="28" t="s">
        <v>52</v>
      </c>
      <c r="K12661" s="28" t="s">
        <v>52</v>
      </c>
      <c r="L12661" s="28" t="s">
        <v>52</v>
      </c>
      <c r="M12661" s="28" t="s">
        <v>52</v>
      </c>
      <c r="N12661" s="28" t="s">
        <v>52</v>
      </c>
    </row>
    <row r="12662" spans="1:14" hidden="1" outlineLevel="1" x14ac:dyDescent="0.2">
      <c r="A12662" s="23" t="str">
        <f>HYPERLINK("https://www.spark-marketing.ru/Card/Person/31523", "ГБОУ ШКОЛА № 53 ПРИМОРСКОГО РАЙОНА САНКТ-ПЕТЕРБУРГА")</f>
        <v>ГБОУ ШКОЛА № 53 ПРИМОРСКОГО РАЙОНА САНКТ-ПЕТЕРБУРГА</v>
      </c>
      <c r="B12662" s="24" t="s">
        <v>14997</v>
      </c>
      <c r="C12662" s="25">
        <v>174420</v>
      </c>
      <c r="D12662" s="22" t="s">
        <v>14998</v>
      </c>
      <c r="E12662" s="22" t="s">
        <v>52</v>
      </c>
      <c r="F12662" s="23" t="str">
        <f>HYPERLINK("https://www.spark-marketing.ru/Card/Lot/68583220", "Услуги частных охранных служб")</f>
        <v>Услуги частных охранных служб</v>
      </c>
      <c r="G12662" s="22" t="s">
        <v>89</v>
      </c>
      <c r="H12662" s="22" t="s">
        <v>89</v>
      </c>
      <c r="I12662" s="26">
        <v>43535.445833333302</v>
      </c>
      <c r="J12662" s="23" t="str">
        <f>HYPERLINK("https://www.spark-marketing.ru/Card/Person/1957699", "ООО ""ОП ""ТРАНС-СЕКЬЮРИТИ""""")</f>
        <v>ООО "ОП "ТРАНС-СЕКЬЮРИТИ""</v>
      </c>
      <c r="K12662" s="24" t="s">
        <v>4138</v>
      </c>
      <c r="L12662" s="28" t="s">
        <v>52</v>
      </c>
      <c r="M12662" s="25">
        <v>130850</v>
      </c>
      <c r="N12662" s="27">
        <v>0.24979933493865383</v>
      </c>
    </row>
    <row r="12663" spans="1:14" ht="12.75" hidden="1" outlineLevel="1" x14ac:dyDescent="0.2">
      <c r="A12663" s="23" t="str">
        <f>HYPERLINK("https://www.spark-marketing.ru/Card/Person/31523", "ГБОУ ШКОЛА № 53 ПРИМОРСКОГО РАЙОНА САНКТ-ПЕТЕРБУРГА")</f>
        <v>ГБОУ ШКОЛА № 53 ПРИМОРСКОГО РАЙОНА САНКТ-ПЕТЕРБУРГА</v>
      </c>
      <c r="B12663" s="24" t="s">
        <v>14997</v>
      </c>
      <c r="C12663" s="25">
        <v>174420</v>
      </c>
      <c r="D12663" s="22" t="s">
        <v>14998</v>
      </c>
      <c r="E12663" s="22" t="s">
        <v>52</v>
      </c>
      <c r="F12663" s="23" t="str">
        <f>HYPERLINK("https://www.spark-marketing.ru/Card/Lot/68583220", "Услуги частных охранных служб")</f>
        <v>Услуги частных охранных служб</v>
      </c>
      <c r="G12663" s="22" t="s">
        <v>89</v>
      </c>
      <c r="H12663" s="22" t="s">
        <v>89</v>
      </c>
      <c r="I12663" s="26">
        <v>43535.445833333302</v>
      </c>
      <c r="J12663" s="23" t="str">
        <f>HYPERLINK("https://www.spark-marketing.ru/Card/Person/2562571", "ООО ОП""БОРС-БАЛТИКА""")</f>
        <v>ООО ОП"БОРС-БАЛТИКА"</v>
      </c>
      <c r="K12663" s="24" t="s">
        <v>4583</v>
      </c>
      <c r="L12663" s="22" t="s">
        <v>10</v>
      </c>
      <c r="M12663" s="25">
        <v>129870</v>
      </c>
      <c r="N12663" s="27">
        <v>0.25541795665634676</v>
      </c>
    </row>
    <row r="12664" spans="1:14" x14ac:dyDescent="0.15">
      <c r="A12664" s="23" t="str">
        <f>HYPERLINK("https://www.spark-marketing.ru/Card/Person/109005", "ФГБУ ""5 ОТРЯД ФПС ГПС ПО РЕСПУБЛИКЕ ТАТАРСТАН (ДОГОВОРНОЙ)""")</f>
        <v>ФГБУ "5 ОТРЯД ФПС ГПС ПО РЕСПУБЛИКЕ ТАТАРСТАН (ДОГОВОРНОЙ)"</v>
      </c>
      <c r="B12664" s="24" t="s">
        <v>499</v>
      </c>
      <c r="C12664" s="25">
        <v>126948.06</v>
      </c>
      <c r="D12664" s="22" t="s">
        <v>14999</v>
      </c>
      <c r="E12664" s="22" t="s">
        <v>501</v>
      </c>
      <c r="F12664" s="23" t="str">
        <f>HYPERLINK("https://www.spark-marketing.ru/Card/Lot/68579625", "Прочая закупка товаров, работ и услуг (поставка имущества, функционально ориентированного на охрану труда и технику безопасности, гражданскую оборону)")</f>
        <v>Прочая закупка товаров, работ и услуг (поставка имущества, функционально ориентированного на охрану труда и технику безопасности, гражданскую оборону)</v>
      </c>
      <c r="G12664" s="22" t="s">
        <v>204</v>
      </c>
      <c r="H12664" s="22" t="s">
        <v>303</v>
      </c>
      <c r="I12664" s="26">
        <v>43535.386111111096</v>
      </c>
      <c r="J12664" s="28" t="s">
        <v>52</v>
      </c>
      <c r="K12664" s="28" t="s">
        <v>52</v>
      </c>
      <c r="L12664" s="28" t="s">
        <v>52</v>
      </c>
      <c r="M12664" s="28" t="s">
        <v>52</v>
      </c>
      <c r="N12664" s="28" t="s">
        <v>52</v>
      </c>
    </row>
    <row r="12665" spans="1:14" ht="12.75" hidden="1" outlineLevel="1" x14ac:dyDescent="0.2">
      <c r="A12665" s="23" t="str">
        <f>HYPERLINK("https://www.spark-marketing.ru/Card/Person/109005", "ФГБУ ""5 ОТРЯД ФПС ГПС ПО РЕСПУБЛИКЕ ТАТАРСТАН (ДОГОВОРНОЙ)""")</f>
        <v>ФГБУ "5 ОТРЯД ФПС ГПС ПО РЕСПУБЛИКЕ ТАТАРСТАН (ДОГОВОРНОЙ)"</v>
      </c>
      <c r="B12665" s="24" t="s">
        <v>499</v>
      </c>
      <c r="C12665" s="25">
        <v>126948.06</v>
      </c>
      <c r="D12665" s="22" t="s">
        <v>14999</v>
      </c>
      <c r="E12665" s="22" t="s">
        <v>501</v>
      </c>
      <c r="F12665" s="23" t="str">
        <f>HYPERLINK("https://www.spark-marketing.ru/Card/Lot/68579625", "Прочая закупка товаров, работ и услуг (поставка имущества, функционально ориентированного на охрану труда и технику безопасности, гражданскую оборону)")</f>
        <v>Прочая закупка товаров, работ и услуг (поставка имущества, функционально ориентированного на охрану труда и технику безопасности, гражданскую оборону)</v>
      </c>
      <c r="G12665" s="22" t="s">
        <v>204</v>
      </c>
      <c r="H12665" s="22" t="s">
        <v>303</v>
      </c>
      <c r="I12665" s="26">
        <v>43535.386111111096</v>
      </c>
      <c r="J12665" s="23" t="str">
        <f>HYPERLINK("https://www.spark-marketing.ru/Card/Person/796517", "ООО ""ПОЖЕВРОСТАНДАРТ""")</f>
        <v>ООО "ПОЖЕВРОСТАНДАРТ"</v>
      </c>
      <c r="K12665" s="24" t="s">
        <v>15000</v>
      </c>
      <c r="L12665" s="22" t="s">
        <v>10</v>
      </c>
      <c r="M12665" s="25">
        <v>124409.1</v>
      </c>
      <c r="N12665" s="27">
        <v>1.9999990547315178E-2</v>
      </c>
    </row>
    <row r="12666" spans="1:14" hidden="1" outlineLevel="1" x14ac:dyDescent="0.2">
      <c r="A12666" s="23" t="str">
        <f>HYPERLINK("https://www.spark-marketing.ru/Card/Person/109005", "ФГБУ ""5 ОТРЯД ФПС ГПС ПО РЕСПУБЛИКЕ ТАТАРСТАН (ДОГОВОРНОЙ)""")</f>
        <v>ФГБУ "5 ОТРЯД ФПС ГПС ПО РЕСПУБЛИКЕ ТАТАРСТАН (ДОГОВОРНОЙ)"</v>
      </c>
      <c r="B12666" s="24" t="s">
        <v>499</v>
      </c>
      <c r="C12666" s="25">
        <v>126948.06</v>
      </c>
      <c r="D12666" s="22" t="s">
        <v>14999</v>
      </c>
      <c r="E12666" s="22" t="s">
        <v>501</v>
      </c>
      <c r="F12666" s="23" t="str">
        <f>HYPERLINK("https://www.spark-marketing.ru/Card/Lot/68579625", "Прочая закупка товаров, работ и услуг (поставка имущества, функционально ориентированного на охрану труда и технику безопасности, гражданскую оборону)")</f>
        <v>Прочая закупка товаров, работ и услуг (поставка имущества, функционально ориентированного на охрану труда и технику безопасности, гражданскую оборону)</v>
      </c>
      <c r="G12666" s="22" t="s">
        <v>204</v>
      </c>
      <c r="H12666" s="22" t="s">
        <v>303</v>
      </c>
      <c r="I12666" s="26">
        <v>43535.386111111096</v>
      </c>
      <c r="J12666" s="23" t="str">
        <f>HYPERLINK("https://www.spark-marketing.ru/Card/Person/6501178", "Герфанов Галим Нурисламович")</f>
        <v>Герфанов Галим Нурисламович</v>
      </c>
      <c r="K12666" s="24" t="s">
        <v>15001</v>
      </c>
      <c r="L12666" s="28" t="s">
        <v>52</v>
      </c>
      <c r="M12666" s="25">
        <v>125043.84</v>
      </c>
      <c r="N12666" s="27">
        <v>1.4999992910486383E-2</v>
      </c>
    </row>
    <row r="12667" spans="1:14" x14ac:dyDescent="0.15">
      <c r="A12667" s="23" t="str">
        <f>HYPERLINK("https://www.spark-marketing.ru/Card/Person/6450322", "ЗАКАЗЧИК РП БЕЛАРУСЬ")</f>
        <v>ЗАКАЗЧИК РП БЕЛАРУСЬ</v>
      </c>
      <c r="B12667" s="28" t="s">
        <v>52</v>
      </c>
      <c r="C12667" s="25">
        <v>4397635.5</v>
      </c>
      <c r="D12667" s="22" t="s">
        <v>15002</v>
      </c>
      <c r="E12667" s="22" t="s">
        <v>53</v>
      </c>
      <c r="F12667" s="23" t="str">
        <f>HYPERLINK("https://www.spark-marketing.ru/Card/Lot/68607530", "Приобретение технической поддержки и обслуживанию эфирных видеосерверов Harmonic")</f>
        <v>Приобретение технической поддержки и обслуживанию эфирных видеосерверов Harmonic</v>
      </c>
      <c r="G12667" s="22" t="s">
        <v>52</v>
      </c>
      <c r="H12667" s="22" t="s">
        <v>52</v>
      </c>
      <c r="I12667" s="26">
        <v>43535</v>
      </c>
      <c r="J12667" s="28" t="s">
        <v>52</v>
      </c>
      <c r="K12667" s="28" t="s">
        <v>52</v>
      </c>
      <c r="L12667" s="28" t="s">
        <v>52</v>
      </c>
      <c r="M12667" s="28" t="s">
        <v>52</v>
      </c>
      <c r="N12667" s="28" t="s">
        <v>52</v>
      </c>
    </row>
    <row r="12668" spans="1:14" x14ac:dyDescent="0.15">
      <c r="A12668" s="23" t="str">
        <f>HYPERLINK("https://www.spark-marketing.ru/Card/Person/4695732", "ТС МОНЕТКА")</f>
        <v>ТС МОНЕТКА</v>
      </c>
      <c r="B12668" s="28" t="s">
        <v>52</v>
      </c>
      <c r="C12668" s="28" t="s">
        <v>52</v>
      </c>
      <c r="D12668" s="22" t="s">
        <v>15003</v>
      </c>
      <c r="E12668" s="22" t="s">
        <v>53</v>
      </c>
      <c r="F12668" s="23" t="str">
        <f>HYPERLINK("https://www.spark-marketing.ru/Card/Lot/68697754", "Тендер №2083 Пультовая охрана и реагирование на магазинах ТС Монета Челябинской области")</f>
        <v>Тендер №2083 Пультовая охрана и реагирование на магазинах ТС Монета Челябинской области</v>
      </c>
      <c r="G12668" s="22" t="s">
        <v>52</v>
      </c>
      <c r="H12668" s="22" t="s">
        <v>52</v>
      </c>
      <c r="I12668" s="26">
        <v>43535</v>
      </c>
      <c r="J12668" s="28" t="s">
        <v>52</v>
      </c>
      <c r="K12668" s="28" t="s">
        <v>52</v>
      </c>
      <c r="L12668" s="28" t="s">
        <v>52</v>
      </c>
      <c r="M12668" s="28" t="s">
        <v>52</v>
      </c>
      <c r="N12668" s="28" t="s">
        <v>52</v>
      </c>
    </row>
    <row r="12669" spans="1:14" x14ac:dyDescent="0.15">
      <c r="A12669" s="23" t="str">
        <f>HYPERLINK("https://www.spark-marketing.ru/Card/Person/69585", "ООО ""ТАГРАС-ЭНЕРГОСЕРВИС""")</f>
        <v>ООО "ТАГРАС-ЭНЕРГОСЕРВИС"</v>
      </c>
      <c r="B12669" s="24" t="s">
        <v>15004</v>
      </c>
      <c r="C12669" s="28" t="s">
        <v>52</v>
      </c>
      <c r="D12669" s="22" t="s">
        <v>15005</v>
      </c>
      <c r="E12669" s="22" t="s">
        <v>53</v>
      </c>
      <c r="F12669" s="23" t="str">
        <f>HYPERLINK("https://www.spark-marketing.ru/Card/Lot/68581081", "Оказание услуг по техническому обслуживанию системы видеонаблюдения (1362)")</f>
        <v>Оказание услуг по техническому обслуживанию системы видеонаблюдения (1362)</v>
      </c>
      <c r="G12669" s="22" t="s">
        <v>204</v>
      </c>
      <c r="H12669" s="22" t="s">
        <v>308</v>
      </c>
      <c r="I12669" s="26">
        <v>43535</v>
      </c>
      <c r="J12669" s="28" t="s">
        <v>52</v>
      </c>
      <c r="K12669" s="28" t="s">
        <v>52</v>
      </c>
      <c r="L12669" s="28" t="s">
        <v>52</v>
      </c>
      <c r="M12669" s="28" t="s">
        <v>52</v>
      </c>
      <c r="N12669" s="28" t="s">
        <v>52</v>
      </c>
    </row>
    <row r="12670" spans="1:14" x14ac:dyDescent="0.15">
      <c r="A12670" s="23" t="str">
        <f>HYPERLINK("https://www.spark-marketing.ru/Card/Person/1047679", "ГБУСО МО ""КЛИМОВСКИЙ ЦСПСИД ""ГАРМОНИЯ""")</f>
        <v>ГБУСО МО "КЛИМОВСКИЙ ЦСПСИД "ГАРМОНИЯ"</v>
      </c>
      <c r="B12670" s="24" t="s">
        <v>14316</v>
      </c>
      <c r="C12670" s="25">
        <v>56496.56</v>
      </c>
      <c r="D12670" s="22" t="s">
        <v>15006</v>
      </c>
      <c r="E12670" s="22" t="s">
        <v>59</v>
      </c>
      <c r="F12670" s="23" t="str">
        <f>HYPERLINK("https://www.spark-marketing.ru/Card/Lot/68569521", "Работы по установке систем охранной (противовзломной) сигнализации")</f>
        <v>Работы по установке систем охранной (противовзломной) сигнализации</v>
      </c>
      <c r="G12670" s="22" t="s">
        <v>50</v>
      </c>
      <c r="H12670" s="22" t="s">
        <v>569</v>
      </c>
      <c r="I12670" s="26">
        <v>43532.648495370398</v>
      </c>
      <c r="J12670" s="28" t="s">
        <v>52</v>
      </c>
      <c r="K12670" s="28" t="s">
        <v>52</v>
      </c>
      <c r="L12670" s="28" t="s">
        <v>52</v>
      </c>
      <c r="M12670" s="28" t="s">
        <v>52</v>
      </c>
      <c r="N12670" s="28" t="s">
        <v>52</v>
      </c>
    </row>
    <row r="12671" spans="1:14" x14ac:dyDescent="0.15">
      <c r="A12671" s="23" t="str">
        <f>HYPERLINK("https://www.spark-marketing.ru/Card/Person/1044119", "МБУК ""КАШИРСКИЙ КРАЕВЕДЧЕСКИЙ МУЗЕЙ""")</f>
        <v>МБУК "КАШИРСКИЙ КРАЕВЕДЧЕСКИЙ МУЗЕЙ"</v>
      </c>
      <c r="B12671" s="24" t="s">
        <v>15007</v>
      </c>
      <c r="C12671" s="25">
        <v>343444.08</v>
      </c>
      <c r="D12671" s="22" t="s">
        <v>15008</v>
      </c>
      <c r="E12671" s="22" t="s">
        <v>107</v>
      </c>
      <c r="F12671" s="23" t="str">
        <f>HYPERLINK("https://www.spark-marketing.ru/Card/Lot/68569488", "Оказание услуг путем оперативного реагирования на сигнал «Тревога»")</f>
        <v>Оказание услуг путем оперативного реагирования на сигнал «Тревога»</v>
      </c>
      <c r="G12671" s="22" t="s">
        <v>50</v>
      </c>
      <c r="H12671" s="22" t="s">
        <v>2283</v>
      </c>
      <c r="I12671" s="26">
        <v>43532.617511574099</v>
      </c>
      <c r="J12671" s="28" t="s">
        <v>52</v>
      </c>
      <c r="K12671" s="28" t="s">
        <v>52</v>
      </c>
      <c r="L12671" s="28" t="s">
        <v>52</v>
      </c>
      <c r="M12671" s="28" t="s">
        <v>52</v>
      </c>
      <c r="N12671" s="28" t="s">
        <v>52</v>
      </c>
    </row>
    <row r="12672" spans="1:14" x14ac:dyDescent="0.15">
      <c r="A12672" s="23" t="str">
        <f>HYPERLINK("https://www.spark-marketing.ru/Card/Person/1044119", "МБУК ""КАШИРСКИЙ КРАЕВЕДЧЕСКИЙ МУЗЕЙ""")</f>
        <v>МБУК "КАШИРСКИЙ КРАЕВЕДЧЕСКИЙ МУЗЕЙ"</v>
      </c>
      <c r="B12672" s="24" t="s">
        <v>15007</v>
      </c>
      <c r="C12672" s="25">
        <v>72000</v>
      </c>
      <c r="D12672" s="22" t="s">
        <v>15009</v>
      </c>
      <c r="E12672" s="22" t="s">
        <v>103</v>
      </c>
      <c r="F12672" s="23" t="str">
        <f>HYPERLINK("https://www.spark-marketing.ru/Card/Lot/68569490", "Оказание услуг по обслуживанию системы видеонаблюдения")</f>
        <v>Оказание услуг по обслуживанию системы видеонаблюдения</v>
      </c>
      <c r="G12672" s="22" t="s">
        <v>50</v>
      </c>
      <c r="H12672" s="22" t="s">
        <v>2283</v>
      </c>
      <c r="I12672" s="26">
        <v>43532.617523148103</v>
      </c>
      <c r="J12672" s="28" t="s">
        <v>52</v>
      </c>
      <c r="K12672" s="28" t="s">
        <v>52</v>
      </c>
      <c r="L12672" s="28" t="s">
        <v>52</v>
      </c>
      <c r="M12672" s="28" t="s">
        <v>52</v>
      </c>
      <c r="N12672" s="28" t="s">
        <v>52</v>
      </c>
    </row>
    <row r="12673" spans="1:14" x14ac:dyDescent="0.15">
      <c r="A12673" s="23" t="str">
        <f>HYPERLINK("https://www.spark-marketing.ru/Card/Person/1778495", "ОАО ""РОСВУЗДИЗАЙН""")</f>
        <v>ОАО "РОСВУЗДИЗАЙН"</v>
      </c>
      <c r="B12673" s="24" t="s">
        <v>15010</v>
      </c>
      <c r="C12673" s="25">
        <v>924000</v>
      </c>
      <c r="D12673" s="22" t="s">
        <v>15011</v>
      </c>
      <c r="E12673" s="22" t="s">
        <v>363</v>
      </c>
      <c r="F12673" s="23" t="str">
        <f>HYPERLINK("https://www.spark-marketing.ru/Card/Lot/68569427", "Обеспечение пропускного и внутриобъектового режимов, охраны территории, помещений, безопасности работников ОАО «Росвуздизайн».")</f>
        <v>Обеспечение пропускного и внутриобъектового режимов, охраны территории, помещений, безопасности работников ОАО «Росвуздизайн».</v>
      </c>
      <c r="G12673" s="22" t="s">
        <v>89</v>
      </c>
      <c r="H12673" s="22" t="s">
        <v>89</v>
      </c>
      <c r="I12673" s="26">
        <v>43532.501446759299</v>
      </c>
      <c r="J12673" s="28" t="s">
        <v>52</v>
      </c>
      <c r="K12673" s="28" t="s">
        <v>52</v>
      </c>
      <c r="L12673" s="28" t="s">
        <v>52</v>
      </c>
      <c r="M12673" s="28" t="s">
        <v>52</v>
      </c>
      <c r="N12673" s="28" t="s">
        <v>52</v>
      </c>
    </row>
    <row r="12674" spans="1:14" x14ac:dyDescent="0.15">
      <c r="A12674" s="23" t="str">
        <f>HYPERLINK("https://www.spark-marketing.ru/Card/Person/4351530", "ООО ""ПЕТЕРБУРГГАЗ""")</f>
        <v>ООО "ПЕТЕРБУРГГАЗ"</v>
      </c>
      <c r="B12674" s="24" t="s">
        <v>11195</v>
      </c>
      <c r="C12674" s="25">
        <v>5823185</v>
      </c>
      <c r="D12674" s="22" t="s">
        <v>15012</v>
      </c>
      <c r="E12674" s="22" t="s">
        <v>175</v>
      </c>
      <c r="F12674" s="23" t="str">
        <f>HYPERLINK("https://www.spark-marketing.ru/Card/Lot/68564676", "Выполнение работ по техническому обслуживанию оборудования систем видеонаблюдения и видеорегистрации, систем контроля доступа и управления доступом ГРО ""ПетербургГаз""")</f>
        <v>Выполнение работ по техническому обслуживанию оборудования систем видеонаблюдения и видеорегистрации, систем контроля доступа и управления доступом ГРО "ПетербургГаз"</v>
      </c>
      <c r="G12674" s="22" t="s">
        <v>89</v>
      </c>
      <c r="H12674" s="22" t="s">
        <v>89</v>
      </c>
      <c r="I12674" s="26">
        <v>43531.695277777799</v>
      </c>
      <c r="J12674" s="28" t="s">
        <v>52</v>
      </c>
      <c r="K12674" s="28" t="s">
        <v>52</v>
      </c>
      <c r="L12674" s="28" t="s">
        <v>52</v>
      </c>
      <c r="M12674" s="28" t="s">
        <v>52</v>
      </c>
      <c r="N12674" s="28" t="s">
        <v>52</v>
      </c>
    </row>
    <row r="12675" spans="1:14" x14ac:dyDescent="0.15">
      <c r="A12675" s="23" t="str">
        <f>HYPERLINK("https://www.spark-marketing.ru/Card/Person/4413396", "АО ""НК НПЗ""")</f>
        <v>АО "НК НПЗ"</v>
      </c>
      <c r="B12675" s="24" t="s">
        <v>12489</v>
      </c>
      <c r="C12675" s="28" t="s">
        <v>52</v>
      </c>
      <c r="D12675" s="22" t="s">
        <v>15013</v>
      </c>
      <c r="E12675" s="22" t="s">
        <v>370</v>
      </c>
      <c r="F12675" s="23" t="str">
        <f>HYPERLINK("https://www.spark-marketing.ru/Card/Lot/68562585", "Техническое обслуживание АПС и СОУЭ в санатории-профилактории «Дубки» и на базе отдыха «Утёс», техническое обслуживание системы видеонаблюдения в ДОЛ им. Ю.А. Гагарина АО «НК НПЗ»")</f>
        <v>Техническое обслуживание АПС и СОУЭ в санатории-профилактории «Дубки» и на базе отдыха «Утёс», техническое обслуживание системы видеонаблюдения в ДОЛ им. Ю.А. Гагарина АО «НК НПЗ»</v>
      </c>
      <c r="G12675" s="22" t="s">
        <v>760</v>
      </c>
      <c r="H12675" s="22" t="s">
        <v>12491</v>
      </c>
      <c r="I12675" s="26">
        <v>43531.641666666699</v>
      </c>
      <c r="J12675" s="28" t="s">
        <v>52</v>
      </c>
      <c r="K12675" s="28" t="s">
        <v>52</v>
      </c>
      <c r="L12675" s="28" t="s">
        <v>52</v>
      </c>
      <c r="M12675" s="28" t="s">
        <v>52</v>
      </c>
      <c r="N12675" s="28" t="s">
        <v>52</v>
      </c>
    </row>
    <row r="12676" spans="1:14" x14ac:dyDescent="0.15">
      <c r="A12676" s="23" t="str">
        <f>HYPERLINK("https://www.spark-marketing.ru/Card/Person/62487", "ГБУЗ НСО ""ГКБ № 12""")</f>
        <v>ГБУЗ НСО "ГКБ № 12"</v>
      </c>
      <c r="B12676" s="24" t="s">
        <v>13059</v>
      </c>
      <c r="C12676" s="25">
        <v>76964.039999999994</v>
      </c>
      <c r="D12676" s="22" t="s">
        <v>15014</v>
      </c>
      <c r="E12676" s="22" t="s">
        <v>68</v>
      </c>
      <c r="F12676" s="23" t="str">
        <f>HYPERLINK("https://www.spark-marketing.ru/Card/Lot/68554291", "Услуги охраны")</f>
        <v>Услуги охраны</v>
      </c>
      <c r="G12676" s="22" t="s">
        <v>209</v>
      </c>
      <c r="H12676" s="22" t="s">
        <v>210</v>
      </c>
      <c r="I12676" s="26">
        <v>43531.656944444403</v>
      </c>
      <c r="J12676" s="28" t="s">
        <v>52</v>
      </c>
      <c r="K12676" s="28" t="s">
        <v>52</v>
      </c>
      <c r="L12676" s="28" t="s">
        <v>52</v>
      </c>
      <c r="M12676" s="28" t="s">
        <v>52</v>
      </c>
      <c r="N12676" s="28" t="s">
        <v>52</v>
      </c>
    </row>
    <row r="12677" spans="1:14" x14ac:dyDescent="0.15">
      <c r="A12677" s="23" t="str">
        <f>HYPERLINK("https://www.spark-marketing.ru/Card/Person/914728", "АО ""НИИГРАФИТ""")</f>
        <v>АО "НИИГРАФИТ"</v>
      </c>
      <c r="B12677" s="24" t="s">
        <v>15015</v>
      </c>
      <c r="C12677" s="25">
        <v>576000</v>
      </c>
      <c r="D12677" s="22" t="s">
        <v>15016</v>
      </c>
      <c r="E12677" s="22" t="s">
        <v>49</v>
      </c>
      <c r="F12677" s="23" t="str">
        <f>HYPERLINK("https://www.spark-marketing.ru/Card/Lot/68563869", "ТО систем безопасности (видеонаблюдения, охранной сигнализации, систем контроля)")</f>
        <v>ТО систем безопасности (видеонаблюдения, охранной сигнализации, систем контроля)</v>
      </c>
      <c r="G12677" s="22" t="s">
        <v>55</v>
      </c>
      <c r="H12677" s="22" t="s">
        <v>55</v>
      </c>
      <c r="I12677" s="26">
        <v>43531.642962963</v>
      </c>
      <c r="J12677" s="28" t="s">
        <v>52</v>
      </c>
      <c r="K12677" s="28" t="s">
        <v>52</v>
      </c>
      <c r="L12677" s="28" t="s">
        <v>52</v>
      </c>
      <c r="M12677" s="28" t="s">
        <v>52</v>
      </c>
      <c r="N12677" s="28" t="s">
        <v>52</v>
      </c>
    </row>
    <row r="12678" spans="1:14" x14ac:dyDescent="0.15">
      <c r="A12678" s="23" t="str">
        <f>HYPERLINK("https://www.spark-marketing.ru/Card/Person/62487", "ГБУЗ НСО ""ГКБ № 12""")</f>
        <v>ГБУЗ НСО "ГКБ № 12"</v>
      </c>
      <c r="B12678" s="24" t="s">
        <v>13059</v>
      </c>
      <c r="C12678" s="25">
        <v>76872</v>
      </c>
      <c r="D12678" s="22" t="s">
        <v>15017</v>
      </c>
      <c r="E12678" s="22" t="s">
        <v>68</v>
      </c>
      <c r="F12678" s="23" t="str">
        <f>HYPERLINK("https://www.spark-marketing.ru/Card/Lot/68554292", "Услуги охраны")</f>
        <v>Услуги охраны</v>
      </c>
      <c r="G12678" s="22" t="s">
        <v>209</v>
      </c>
      <c r="H12678" s="22" t="s">
        <v>210</v>
      </c>
      <c r="I12678" s="26">
        <v>43531.640972222202</v>
      </c>
      <c r="J12678" s="28" t="s">
        <v>52</v>
      </c>
      <c r="K12678" s="28" t="s">
        <v>52</v>
      </c>
      <c r="L12678" s="28" t="s">
        <v>52</v>
      </c>
      <c r="M12678" s="28" t="s">
        <v>52</v>
      </c>
      <c r="N12678" s="28" t="s">
        <v>52</v>
      </c>
    </row>
    <row r="12679" spans="1:14" x14ac:dyDescent="0.15">
      <c r="A12679" s="23" t="str">
        <f>HYPERLINK("https://www.spark-marketing.ru/Card/Person/142184", "ЛОГБУ ""ВОЛОСОВСКИЙ КЦСОН ""БЕРЕГИНЯ""")</f>
        <v>ЛОГБУ "ВОЛОСОВСКИЙ КЦСОН "БЕРЕГИНЯ"</v>
      </c>
      <c r="B12679" s="24" t="s">
        <v>15018</v>
      </c>
      <c r="C12679" s="25">
        <v>27000</v>
      </c>
      <c r="D12679" s="22" t="s">
        <v>15019</v>
      </c>
      <c r="E12679" s="22" t="s">
        <v>208</v>
      </c>
      <c r="F12679" s="23" t="str">
        <f>HYPERLINK("https://www.spark-marketing.ru/Card/Lot/68563934", "Оказание услуг по техническому обслуживанию системы видеонаблюдения")</f>
        <v>Оказание услуг по техническому обслуживанию системы видеонаблюдения</v>
      </c>
      <c r="G12679" s="22" t="s">
        <v>861</v>
      </c>
      <c r="H12679" s="22" t="s">
        <v>9114</v>
      </c>
      <c r="I12679" s="26">
        <v>43531.661111111098</v>
      </c>
      <c r="J12679" s="28" t="s">
        <v>52</v>
      </c>
      <c r="K12679" s="28" t="s">
        <v>52</v>
      </c>
      <c r="L12679" s="28" t="s">
        <v>52</v>
      </c>
      <c r="M12679" s="28" t="s">
        <v>52</v>
      </c>
      <c r="N12679" s="28" t="s">
        <v>52</v>
      </c>
    </row>
    <row r="12680" spans="1:14" ht="12.75" hidden="1" outlineLevel="1" x14ac:dyDescent="0.2">
      <c r="A12680" s="23" t="str">
        <f>HYPERLINK("https://www.spark-marketing.ru/Card/Person/142184", "ЛОГБУ ""ВОЛОСОВСКИЙ КЦСОН ""БЕРЕГИНЯ""")</f>
        <v>ЛОГБУ "ВОЛОСОВСКИЙ КЦСОН "БЕРЕГИНЯ"</v>
      </c>
      <c r="B12680" s="24" t="s">
        <v>15018</v>
      </c>
      <c r="C12680" s="25">
        <v>27000</v>
      </c>
      <c r="D12680" s="22" t="s">
        <v>15019</v>
      </c>
      <c r="E12680" s="22" t="s">
        <v>208</v>
      </c>
      <c r="F12680" s="23" t="str">
        <f>HYPERLINK("https://www.spark-marketing.ru/Card/Lot/68563934", "Оказание услуг по техническому обслуживанию системы видеонаблюдения")</f>
        <v>Оказание услуг по техническому обслуживанию системы видеонаблюдения</v>
      </c>
      <c r="G12680" s="22" t="s">
        <v>861</v>
      </c>
      <c r="H12680" s="22" t="s">
        <v>9114</v>
      </c>
      <c r="I12680" s="26">
        <v>43531.661111111098</v>
      </c>
      <c r="J12680" s="23" t="str">
        <f>HYPERLINK("https://www.spark-marketing.ru/Card/Person/870073", "ООО ""АЛЬБИОН - ОХРАННЫЕ СИСТЕМЫ""")</f>
        <v>ООО "АЛЬБИОН - ОХРАННЫЕ СИСТЕМЫ"</v>
      </c>
      <c r="K12680" s="24" t="s">
        <v>11383</v>
      </c>
      <c r="L12680" s="22" t="s">
        <v>10</v>
      </c>
      <c r="M12680" s="25">
        <v>25200</v>
      </c>
      <c r="N12680" s="27">
        <v>6.6666666666666666E-2</v>
      </c>
    </row>
    <row r="12681" spans="1:14" hidden="1" outlineLevel="1" x14ac:dyDescent="0.2">
      <c r="A12681" s="23" t="str">
        <f>HYPERLINK("https://www.spark-marketing.ru/Card/Person/142184", "ЛОГБУ ""ВОЛОСОВСКИЙ КЦСОН ""БЕРЕГИНЯ""")</f>
        <v>ЛОГБУ "ВОЛОСОВСКИЙ КЦСОН "БЕРЕГИНЯ"</v>
      </c>
      <c r="B12681" s="24" t="s">
        <v>15018</v>
      </c>
      <c r="C12681" s="25">
        <v>27000</v>
      </c>
      <c r="D12681" s="22" t="s">
        <v>15019</v>
      </c>
      <c r="E12681" s="22" t="s">
        <v>208</v>
      </c>
      <c r="F12681" s="23" t="str">
        <f>HYPERLINK("https://www.spark-marketing.ru/Card/Lot/68563934", "Оказание услуг по техническому обслуживанию системы видеонаблюдения")</f>
        <v>Оказание услуг по техническому обслуживанию системы видеонаблюдения</v>
      </c>
      <c r="G12681" s="22" t="s">
        <v>861</v>
      </c>
      <c r="H12681" s="22" t="s">
        <v>9114</v>
      </c>
      <c r="I12681" s="26">
        <v>43531.661111111098</v>
      </c>
      <c r="J12681" s="23" t="str">
        <f>HYPERLINK("https://www.spark-marketing.ru/Card/Person/418015", "ООО ""КМК-СЕРВИС""")</f>
        <v>ООО "КМК-СЕРВИС"</v>
      </c>
      <c r="K12681" s="24" t="s">
        <v>15020</v>
      </c>
      <c r="L12681" s="28" t="s">
        <v>52</v>
      </c>
      <c r="M12681" s="25">
        <v>27000</v>
      </c>
      <c r="N12681" s="27">
        <v>0</v>
      </c>
    </row>
    <row r="12682" spans="1:14" x14ac:dyDescent="0.15">
      <c r="A12682" s="23" t="str">
        <f>HYPERLINK("https://www.spark-marketing.ru/Card/Person/4348450", "ПАО ""МРСК ЮГА""")</f>
        <v>ПАО "МРСК ЮГА"</v>
      </c>
      <c r="B12682" s="24" t="s">
        <v>10924</v>
      </c>
      <c r="C12682" s="25">
        <v>2101444.7999999998</v>
      </c>
      <c r="D12682" s="22" t="s">
        <v>15021</v>
      </c>
      <c r="E12682" s="22" t="s">
        <v>1242</v>
      </c>
      <c r="F12682" s="23" t="str">
        <f>HYPERLINK("https://www.spark-marketing.ru/Card/Lot/68562370", "Услуги по инженерно-техническому обслуживанию охранной сигнализации и видеонаблюдения объектов филиала ПАО «МРСК Юга» - «Волгоградэнерго»")</f>
        <v>Услуги по инженерно-техническому обслуживанию охранной сигнализации и видеонаблюдения объектов филиала ПАО «МРСК Юга» - «Волгоградэнерго»</v>
      </c>
      <c r="G12682" s="22" t="s">
        <v>402</v>
      </c>
      <c r="H12682" s="22" t="s">
        <v>403</v>
      </c>
      <c r="I12682" s="26">
        <v>43531.629513888904</v>
      </c>
      <c r="J12682" s="28" t="s">
        <v>52</v>
      </c>
      <c r="K12682" s="28" t="s">
        <v>52</v>
      </c>
      <c r="L12682" s="28" t="s">
        <v>52</v>
      </c>
      <c r="M12682" s="28" t="s">
        <v>52</v>
      </c>
      <c r="N12682" s="28" t="s">
        <v>52</v>
      </c>
    </row>
    <row r="12683" spans="1:14" hidden="1" outlineLevel="1" x14ac:dyDescent="0.2">
      <c r="A12683" s="23" t="str">
        <f>HYPERLINK("https://www.spark-marketing.ru/Card/Person/4348450", "ПАО ""МРСК ЮГА""")</f>
        <v>ПАО "МРСК ЮГА"</v>
      </c>
      <c r="B12683" s="24" t="s">
        <v>10924</v>
      </c>
      <c r="C12683" s="28" t="s">
        <v>52</v>
      </c>
      <c r="D12683" s="22" t="s">
        <v>15021</v>
      </c>
      <c r="E12683" s="22" t="s">
        <v>1242</v>
      </c>
      <c r="F12683" s="23" t="str">
        <f>HYPERLINK("https://www.spark-marketing.ru/Card/Lot/68562370", "Услуги по инженерно-техническому обслуживанию охранной сигнализации и видеонаблюдения объектов филиала ПАО «МРСК Юга» - «Волгоградэнерго»")</f>
        <v>Услуги по инженерно-техническому обслуживанию охранной сигнализации и видеонаблюдения объектов филиала ПАО «МРСК Юга» - «Волгоградэнерго»</v>
      </c>
      <c r="G12683" s="22" t="s">
        <v>402</v>
      </c>
      <c r="H12683" s="22" t="s">
        <v>403</v>
      </c>
      <c r="I12683" s="26">
        <v>43531.629513888904</v>
      </c>
      <c r="J12683" s="23" t="str">
        <f>HYPERLINK("https://www.spark-marketing.ru/Card/Person/329215", "ООО ""СТАС""")</f>
        <v>ООО "СТАС"</v>
      </c>
      <c r="K12683" s="24" t="s">
        <v>15022</v>
      </c>
      <c r="L12683" s="28" t="s">
        <v>52</v>
      </c>
      <c r="M12683" s="25">
        <v>1702000</v>
      </c>
      <c r="N12683" s="27">
        <v>0.19008103377257399</v>
      </c>
    </row>
    <row r="12684" spans="1:14" hidden="1" outlineLevel="1" x14ac:dyDescent="0.2">
      <c r="A12684" s="23" t="str">
        <f>HYPERLINK("https://www.spark-marketing.ru/Card/Person/4348450", "ПАО ""МРСК ЮГА""")</f>
        <v>ПАО "МРСК ЮГА"</v>
      </c>
      <c r="B12684" s="24" t="s">
        <v>10924</v>
      </c>
      <c r="C12684" s="28" t="s">
        <v>52</v>
      </c>
      <c r="D12684" s="22" t="s">
        <v>15021</v>
      </c>
      <c r="E12684" s="22" t="s">
        <v>1242</v>
      </c>
      <c r="F12684" s="23" t="str">
        <f>HYPERLINK("https://www.spark-marketing.ru/Card/Lot/68562370", "Услуги по инженерно-техническому обслуживанию охранной сигнализации и видеонаблюдения объектов филиала ПАО «МРСК Юга» - «Волгоградэнерго»")</f>
        <v>Услуги по инженерно-техническому обслуживанию охранной сигнализации и видеонаблюдения объектов филиала ПАО «МРСК Юга» - «Волгоградэнерго»</v>
      </c>
      <c r="G12684" s="22" t="s">
        <v>402</v>
      </c>
      <c r="H12684" s="22" t="s">
        <v>403</v>
      </c>
      <c r="I12684" s="26">
        <v>43531.629513888904</v>
      </c>
      <c r="J12684" s="23" t="str">
        <f>HYPERLINK("https://www.spark-marketing.ru/Card/Person/278339", "ООО ""СПЕЦМОНТАЖНАЛАДКА""")</f>
        <v>ООО "СПЕЦМОНТАЖНАЛАДКА"</v>
      </c>
      <c r="K12684" s="24" t="s">
        <v>15023</v>
      </c>
      <c r="L12684" s="22" t="s">
        <v>10</v>
      </c>
      <c r="M12684" s="25">
        <v>1326812.1499999999</v>
      </c>
      <c r="N12684" s="27">
        <v>0.3686190805487729</v>
      </c>
    </row>
    <row r="12685" spans="1:14" hidden="1" outlineLevel="1" x14ac:dyDescent="0.2">
      <c r="A12685" s="23" t="str">
        <f>HYPERLINK("https://www.spark-marketing.ru/Card/Person/4348450", "ПАО ""МРСК ЮГА""")</f>
        <v>ПАО "МРСК ЮГА"</v>
      </c>
      <c r="B12685" s="24" t="s">
        <v>10924</v>
      </c>
      <c r="C12685" s="28" t="s">
        <v>52</v>
      </c>
      <c r="D12685" s="22" t="s">
        <v>15021</v>
      </c>
      <c r="E12685" s="22" t="s">
        <v>1242</v>
      </c>
      <c r="F12685" s="23" t="str">
        <f>HYPERLINK("https://www.spark-marketing.ru/Card/Lot/68562370", "Услуги по инженерно-техническому обслуживанию охранной сигнализации и видеонаблюдения объектов филиала ПАО «МРСК Юга» - «Волгоградэнерго»")</f>
        <v>Услуги по инженерно-техническому обслуживанию охранной сигнализации и видеонаблюдения объектов филиала ПАО «МРСК Юга» - «Волгоградэнерго»</v>
      </c>
      <c r="G12685" s="22" t="s">
        <v>402</v>
      </c>
      <c r="H12685" s="22" t="s">
        <v>403</v>
      </c>
      <c r="I12685" s="26">
        <v>43531.629513888904</v>
      </c>
      <c r="J12685" s="23" t="str">
        <f>HYPERLINK("https://www.spark-marketing.ru/Card/Person/509327", "ООО ЧОП ""ЦАРЬГРАД""")</f>
        <v>ООО ЧОП "ЦАРЬГРАД"</v>
      </c>
      <c r="K12685" s="24" t="s">
        <v>10928</v>
      </c>
      <c r="L12685" s="28" t="s">
        <v>52</v>
      </c>
      <c r="M12685" s="25">
        <v>1336956.6499999999</v>
      </c>
      <c r="N12685" s="27">
        <v>0.36379168750946966</v>
      </c>
    </row>
    <row r="12686" spans="1:14" hidden="1" outlineLevel="1" x14ac:dyDescent="0.2">
      <c r="A12686" s="23" t="str">
        <f>HYPERLINK("https://www.spark-marketing.ru/Card/Person/4348450", "ПАО ""МРСК ЮГА""")</f>
        <v>ПАО "МРСК ЮГА"</v>
      </c>
      <c r="B12686" s="24" t="s">
        <v>10924</v>
      </c>
      <c r="C12686" s="28" t="s">
        <v>52</v>
      </c>
      <c r="D12686" s="22" t="s">
        <v>15021</v>
      </c>
      <c r="E12686" s="22" t="s">
        <v>1242</v>
      </c>
      <c r="F12686" s="23" t="str">
        <f>HYPERLINK("https://www.spark-marketing.ru/Card/Lot/68562370", "Услуги по инженерно-техническому обслуживанию охранной сигнализации и видеонаблюдения объектов филиала ПАО «МРСК Юга» - «Волгоградэнерго»")</f>
        <v>Услуги по инженерно-техническому обслуживанию охранной сигнализации и видеонаблюдения объектов филиала ПАО «МРСК Юга» - «Волгоградэнерго»</v>
      </c>
      <c r="G12686" s="22" t="s">
        <v>402</v>
      </c>
      <c r="H12686" s="22" t="s">
        <v>403</v>
      </c>
      <c r="I12686" s="26">
        <v>43531.629513888904</v>
      </c>
      <c r="J12686" s="23" t="str">
        <f>HYPERLINK("https://www.spark-marketing.ru/Card/Person/68072", "ООО ""ТСО""")</f>
        <v>ООО "ТСО"</v>
      </c>
      <c r="K12686" s="24" t="s">
        <v>15024</v>
      </c>
      <c r="L12686" s="28" t="s">
        <v>52</v>
      </c>
      <c r="M12686" s="25">
        <v>1499004</v>
      </c>
      <c r="N12686" s="27">
        <v>0.28667933604537221</v>
      </c>
    </row>
    <row r="12687" spans="1:14" x14ac:dyDescent="0.15">
      <c r="A12687" s="23" t="str">
        <f>HYPERLINK("https://www.spark-marketing.ru/Card/Person/92492", "ГКУСО МО ""КЛИНСКИЙ СРЦ ""СОГЛАСИЕ""")</f>
        <v>ГКУСО МО "КЛИНСКИЙ СРЦ "СОГЛАСИЕ"</v>
      </c>
      <c r="B12687" s="24" t="s">
        <v>15025</v>
      </c>
      <c r="C12687" s="25">
        <v>54070.32</v>
      </c>
      <c r="D12687" s="22" t="s">
        <v>15026</v>
      </c>
      <c r="E12687" s="22" t="s">
        <v>59</v>
      </c>
      <c r="F12687" s="23" t="str">
        <f>HYPERLINK("https://www.spark-marketing.ru/Card/Lot/68557684", "Установка охранной сигнализации")</f>
        <v>Установка охранной сигнализации</v>
      </c>
      <c r="G12687" s="22" t="s">
        <v>50</v>
      </c>
      <c r="H12687" s="22" t="s">
        <v>8131</v>
      </c>
      <c r="I12687" s="26">
        <v>43531.596736111103</v>
      </c>
      <c r="J12687" s="28" t="s">
        <v>52</v>
      </c>
      <c r="K12687" s="28" t="s">
        <v>52</v>
      </c>
      <c r="L12687" s="28" t="s">
        <v>52</v>
      </c>
      <c r="M12687" s="28" t="s">
        <v>52</v>
      </c>
      <c r="N12687" s="28" t="s">
        <v>52</v>
      </c>
    </row>
    <row r="12688" spans="1:14" x14ac:dyDescent="0.15">
      <c r="A12688" s="23" t="str">
        <f>HYPERLINK("https://www.spark-marketing.ru/Card/Person/8127", "ФКУ ""ДВОУМТС МВД РОССИИ""")</f>
        <v>ФКУ "ДВОУМТС МВД РОССИИ"</v>
      </c>
      <c r="B12688" s="24" t="s">
        <v>15027</v>
      </c>
      <c r="C12688" s="25">
        <v>600000</v>
      </c>
      <c r="D12688" s="22" t="s">
        <v>15028</v>
      </c>
      <c r="E12688" s="22" t="s">
        <v>508</v>
      </c>
      <c r="F12688" s="23" t="str">
        <f>HYPERLINK("https://www.spark-marketing.ru/Card/Lot/68546516", "Измерители скорости с видеофиксацией")</f>
        <v>Измерители скорости с видеофиксацией</v>
      </c>
      <c r="G12688" s="22" t="s">
        <v>138</v>
      </c>
      <c r="H12688" s="22" t="s">
        <v>138</v>
      </c>
      <c r="I12688" s="26">
        <v>43531.594444444403</v>
      </c>
      <c r="J12688" s="28" t="s">
        <v>52</v>
      </c>
      <c r="K12688" s="28" t="s">
        <v>52</v>
      </c>
      <c r="L12688" s="28" t="s">
        <v>52</v>
      </c>
      <c r="M12688" s="28" t="s">
        <v>52</v>
      </c>
      <c r="N12688" s="28" t="s">
        <v>52</v>
      </c>
    </row>
    <row r="12689" spans="1:14" ht="12.75" hidden="1" outlineLevel="1" x14ac:dyDescent="0.2">
      <c r="A12689" s="23" t="str">
        <f>HYPERLINK("https://www.spark-marketing.ru/Card/Person/8127", "ФКУ ""ДВОУМТС МВД РОССИИ""")</f>
        <v>ФКУ "ДВОУМТС МВД РОССИИ"</v>
      </c>
      <c r="B12689" s="24" t="s">
        <v>15027</v>
      </c>
      <c r="C12689" s="25">
        <v>600000</v>
      </c>
      <c r="D12689" s="22" t="s">
        <v>15028</v>
      </c>
      <c r="E12689" s="22" t="s">
        <v>508</v>
      </c>
      <c r="F12689" s="23" t="str">
        <f>HYPERLINK("https://www.spark-marketing.ru/Card/Lot/68546516", "Измерители скорости с видеофиксацией")</f>
        <v>Измерители скорости с видеофиксацией</v>
      </c>
      <c r="G12689" s="22" t="s">
        <v>138</v>
      </c>
      <c r="H12689" s="22" t="s">
        <v>138</v>
      </c>
      <c r="I12689" s="26">
        <v>43531.594444444403</v>
      </c>
      <c r="J12689" s="23" t="str">
        <f>HYPERLINK("https://www.spark-marketing.ru/Card/Person/6440712", "ООО ""СМАРТ ГРУПП""")</f>
        <v>ООО "СМАРТ ГРУПП"</v>
      </c>
      <c r="K12689" s="24" t="s">
        <v>15029</v>
      </c>
      <c r="L12689" s="22" t="s">
        <v>10</v>
      </c>
      <c r="M12689" s="25">
        <v>597000</v>
      </c>
      <c r="N12689" s="27">
        <v>5.0000000000000001E-3</v>
      </c>
    </row>
    <row r="12690" spans="1:14" hidden="1" outlineLevel="1" x14ac:dyDescent="0.2">
      <c r="A12690" s="23" t="str">
        <f>HYPERLINK("https://www.spark-marketing.ru/Card/Person/8127", "ФКУ ""ДВОУМТС МВД РОССИИ""")</f>
        <v>ФКУ "ДВОУМТС МВД РОССИИ"</v>
      </c>
      <c r="B12690" s="24" t="s">
        <v>15027</v>
      </c>
      <c r="C12690" s="25">
        <v>600000</v>
      </c>
      <c r="D12690" s="22" t="s">
        <v>15028</v>
      </c>
      <c r="E12690" s="22" t="s">
        <v>508</v>
      </c>
      <c r="F12690" s="23" t="str">
        <f>HYPERLINK("https://www.spark-marketing.ru/Card/Lot/68546516", "Измерители скорости с видеофиксацией")</f>
        <v>Измерители скорости с видеофиксацией</v>
      </c>
      <c r="G12690" s="22" t="s">
        <v>138</v>
      </c>
      <c r="H12690" s="22" t="s">
        <v>138</v>
      </c>
      <c r="I12690" s="26">
        <v>43531.594444444403</v>
      </c>
      <c r="J12690" s="23" t="str">
        <f>HYPERLINK("https://www.spark-marketing.ru/Card/Person/106934", "ООО ""ТЕХНОРЕСУРС""")</f>
        <v>ООО "ТЕХНОРЕСУРС"</v>
      </c>
      <c r="K12690" s="24" t="s">
        <v>15030</v>
      </c>
      <c r="L12690" s="28" t="s">
        <v>52</v>
      </c>
      <c r="M12690" s="25">
        <v>597000</v>
      </c>
      <c r="N12690" s="27">
        <v>5.0000000000000001E-3</v>
      </c>
    </row>
    <row r="12691" spans="1:14" x14ac:dyDescent="0.15">
      <c r="A12691" s="23" t="str">
        <f>HYPERLINK("https://www.spark-marketing.ru/Card/Person/814161", "ГБПОУ РС(Я) ""ЯККИИ""")</f>
        <v>ГБПОУ РС(Я) "ЯККИИ"</v>
      </c>
      <c r="B12691" s="24" t="s">
        <v>15031</v>
      </c>
      <c r="C12691" s="25">
        <v>825538.44</v>
      </c>
      <c r="D12691" s="22" t="s">
        <v>15032</v>
      </c>
      <c r="E12691" s="22" t="s">
        <v>52</v>
      </c>
      <c r="F12691" s="23" t="str">
        <f>HYPERLINK("https://www.spark-marketing.ru/Card/Lot/68546968", "Услуги охраны зданий")</f>
        <v>Услуги охраны зданий</v>
      </c>
      <c r="G12691" s="22" t="s">
        <v>424</v>
      </c>
      <c r="H12691" s="22" t="s">
        <v>1186</v>
      </c>
      <c r="I12691" s="26">
        <v>43531.597222222197</v>
      </c>
      <c r="J12691" s="23" t="str">
        <f>HYPERLINK("https://www.spark-marketing.ru/Card/Person/100815", "ООО ЧОП ""ГРОМ+""")</f>
        <v>ООО ЧОП "ГРОМ+"</v>
      </c>
      <c r="K12691" s="24" t="s">
        <v>15033</v>
      </c>
      <c r="L12691" s="22" t="s">
        <v>10</v>
      </c>
      <c r="M12691" s="28" t="s">
        <v>52</v>
      </c>
      <c r="N12691" s="28" t="s">
        <v>52</v>
      </c>
    </row>
    <row r="12692" spans="1:14" x14ac:dyDescent="0.15">
      <c r="A12692" s="23" t="str">
        <f>HYPERLINK("https://www.spark-marketing.ru/Card/Person/21908", "ФБУЗ МСЧ № 9 ФМБА РОССИИ")</f>
        <v>ФБУЗ МСЧ № 9 ФМБА РОССИИ</v>
      </c>
      <c r="B12692" s="24" t="s">
        <v>15034</v>
      </c>
      <c r="C12692" s="25">
        <v>24847.200000000001</v>
      </c>
      <c r="D12692" s="22" t="s">
        <v>15035</v>
      </c>
      <c r="E12692" s="22" t="s">
        <v>68</v>
      </c>
      <c r="F12692" s="23" t="str">
        <f>HYPERLINK("https://www.spark-marketing.ru/Card/Lot/68561861", "Охранные услуги зданий и помещений, оборудованных техническими средствами охраны")</f>
        <v>Охранные услуги зданий и помещений, оборудованных техническими средствами охраны</v>
      </c>
      <c r="G12692" s="22" t="s">
        <v>50</v>
      </c>
      <c r="H12692" s="22" t="s">
        <v>2012</v>
      </c>
      <c r="I12692" s="26">
        <v>43531.601388888899</v>
      </c>
      <c r="J12692" s="28" t="s">
        <v>52</v>
      </c>
      <c r="K12692" s="28" t="s">
        <v>52</v>
      </c>
      <c r="L12692" s="28" t="s">
        <v>52</v>
      </c>
      <c r="M12692" s="28" t="s">
        <v>52</v>
      </c>
      <c r="N12692" s="28" t="s">
        <v>52</v>
      </c>
    </row>
    <row r="12693" spans="1:14" x14ac:dyDescent="0.15">
      <c r="A12693" s="23" t="str">
        <f>HYPERLINK("https://www.spark-marketing.ru/Card/Person/18212", "МЕЖРАЙОННАЯ ИФНС РОССИИ № 5 ПО ЯРОСЛАВСКОЙ ОБЛАСТИ")</f>
        <v>МЕЖРАЙОННАЯ ИФНС РОССИИ № 5 ПО ЯРОСЛАВСКОЙ ОБЛАСТИ</v>
      </c>
      <c r="B12693" s="24" t="s">
        <v>15036</v>
      </c>
      <c r="C12693" s="25">
        <v>5984.64</v>
      </c>
      <c r="D12693" s="22" t="s">
        <v>15037</v>
      </c>
      <c r="E12693" s="22" t="s">
        <v>53</v>
      </c>
      <c r="F12693" s="23" t="str">
        <f>HYPERLINK("https://www.spark-marketing.ru/Card/Lot/70805039", "Услуги по эксплуатационно-техническому обслуживанию средств тревожной сигнализации")</f>
        <v>Услуги по эксплуатационно-техническому обслуживанию средств тревожной сигнализации</v>
      </c>
      <c r="G12693" s="22" t="s">
        <v>155</v>
      </c>
      <c r="H12693" s="22" t="s">
        <v>156</v>
      </c>
      <c r="I12693" s="26">
        <v>43531.595891203702</v>
      </c>
      <c r="J12693" s="28" t="s">
        <v>52</v>
      </c>
      <c r="K12693" s="28" t="s">
        <v>52</v>
      </c>
      <c r="L12693" s="28" t="s">
        <v>52</v>
      </c>
      <c r="M12693" s="28" t="s">
        <v>52</v>
      </c>
      <c r="N12693" s="28" t="s">
        <v>52</v>
      </c>
    </row>
    <row r="12694" spans="1:14" x14ac:dyDescent="0.15">
      <c r="A12694" s="23" t="str">
        <f>HYPERLINK("https://www.spark-marketing.ru/Card/Person/556921", "АДМИНИСТРАЦИЯ НАГАЙБАКСКОГО МУНИЦИПАЛЬНОГО РАЙОНА")</f>
        <v>АДМИНИСТРАЦИЯ НАГАЙБАКСКОГО МУНИЦИПАЛЬНОГО РАЙОНА</v>
      </c>
      <c r="B12694" s="24" t="s">
        <v>15038</v>
      </c>
      <c r="C12694" s="25">
        <v>49775.6</v>
      </c>
      <c r="D12694" s="22" t="s">
        <v>15039</v>
      </c>
      <c r="E12694" s="22" t="s">
        <v>52</v>
      </c>
      <c r="F12694" s="23" t="str">
        <f>HYPERLINK("https://www.spark-marketing.ru/Card/Lot/68550449", "Вневедомственная охрана-контроль над каналом передачи охранного и тревожного извещения с объектом Заказчика, экстренный выезд наряда полиции")</f>
        <v>Вневедомственная охрана-контроль над каналом передачи охранного и тревожного извещения с объектом Заказчика, экстренный выезд наряда полиции</v>
      </c>
      <c r="G12694" s="22" t="s">
        <v>60</v>
      </c>
      <c r="H12694" s="22" t="s">
        <v>15040</v>
      </c>
      <c r="I12694" s="26">
        <v>43531.476388888899</v>
      </c>
      <c r="J12694" s="23" t="str">
        <f>HYPERLINK("https://www.spark-marketing.ru/Card/Person/1533636", "ФГКУ ""УВО ВНГ РОССИИ ПО ЧЕЛЯБИНСКОЙ ОБЛАСТИ""")</f>
        <v>ФГКУ "УВО ВНГ РОССИИ ПО ЧЕЛЯБИНСКОЙ ОБЛАСТИ"</v>
      </c>
      <c r="K12694" s="24" t="s">
        <v>8553</v>
      </c>
      <c r="L12694" s="22" t="s">
        <v>10</v>
      </c>
      <c r="M12694" s="28" t="s">
        <v>52</v>
      </c>
      <c r="N12694" s="28" t="s">
        <v>52</v>
      </c>
    </row>
    <row r="12695" spans="1:14" x14ac:dyDescent="0.15">
      <c r="A12695" s="23" t="str">
        <f>HYPERLINK("https://www.spark-marketing.ru/Card/Person/4343928", "ФГБОУ ВО КУБАНСКИЙ ГАУ")</f>
        <v>ФГБОУ ВО КУБАНСКИЙ ГАУ</v>
      </c>
      <c r="B12695" s="24" t="s">
        <v>1428</v>
      </c>
      <c r="C12695" s="25">
        <v>652916</v>
      </c>
      <c r="D12695" s="22" t="s">
        <v>15041</v>
      </c>
      <c r="E12695" s="22" t="s">
        <v>144</v>
      </c>
      <c r="F12695" s="23" t="str">
        <f>HYPERLINK("https://www.spark-marketing.ru/Card/Lot/68550829", "Услуги охранные учебных корпусов")</f>
        <v>Услуги охранные учебных корпусов</v>
      </c>
      <c r="G12695" s="22" t="s">
        <v>132</v>
      </c>
      <c r="H12695" s="22" t="s">
        <v>132</v>
      </c>
      <c r="I12695" s="26">
        <v>43531.464907407397</v>
      </c>
      <c r="J12695" s="28" t="s">
        <v>52</v>
      </c>
      <c r="K12695" s="28" t="s">
        <v>52</v>
      </c>
      <c r="L12695" s="28" t="s">
        <v>52</v>
      </c>
      <c r="M12695" s="28" t="s">
        <v>52</v>
      </c>
      <c r="N12695" s="28" t="s">
        <v>52</v>
      </c>
    </row>
    <row r="12696" spans="1:14" x14ac:dyDescent="0.15">
      <c r="A12696" s="23" t="str">
        <f>HYPERLINK("https://www.spark-marketing.ru/Card/Person/114060", "МБОУ ""ВИДНОВСКАЯ СОШ № 5 С УИОП""")</f>
        <v>МБОУ "ВИДНОВСКАЯ СОШ № 5 С УИОП"</v>
      </c>
      <c r="B12696" s="24" t="s">
        <v>15042</v>
      </c>
      <c r="C12696" s="25">
        <v>82176</v>
      </c>
      <c r="D12696" s="22" t="s">
        <v>15043</v>
      </c>
      <c r="E12696" s="22" t="s">
        <v>103</v>
      </c>
      <c r="F12696" s="23" t="str">
        <f>HYPERLINK("https://www.spark-marketing.ru/Card/Lot/68550929", "Услуги по техническому обслуживанию системы видеонаблюдения")</f>
        <v>Услуги по техническому обслуживанию системы видеонаблюдения</v>
      </c>
      <c r="G12696" s="22" t="s">
        <v>50</v>
      </c>
      <c r="H12696" s="22" t="s">
        <v>2391</v>
      </c>
      <c r="I12696" s="26">
        <v>43531.462141203701</v>
      </c>
      <c r="J12696" s="28" t="s">
        <v>52</v>
      </c>
      <c r="K12696" s="28" t="s">
        <v>52</v>
      </c>
      <c r="L12696" s="28" t="s">
        <v>52</v>
      </c>
      <c r="M12696" s="28" t="s">
        <v>52</v>
      </c>
      <c r="N12696" s="28" t="s">
        <v>52</v>
      </c>
    </row>
    <row r="12697" spans="1:14" x14ac:dyDescent="0.15">
      <c r="A12697" s="23" t="str">
        <f>HYPERLINK("https://www.spark-marketing.ru/Card/Person/4343928", "ФГБОУ ВО КУБАНСКИЙ ГАУ")</f>
        <v>ФГБОУ ВО КУБАНСКИЙ ГАУ</v>
      </c>
      <c r="B12697" s="24" t="s">
        <v>1428</v>
      </c>
      <c r="C12697" s="25">
        <v>491744</v>
      </c>
      <c r="D12697" s="22" t="s">
        <v>15044</v>
      </c>
      <c r="E12697" s="22" t="s">
        <v>144</v>
      </c>
      <c r="F12697" s="23" t="str">
        <f>HYPERLINK("https://www.spark-marketing.ru/Card/Lot/68551609", "Услуги охранные студенческого городка")</f>
        <v>Услуги охранные студенческого городка</v>
      </c>
      <c r="G12697" s="22" t="s">
        <v>132</v>
      </c>
      <c r="H12697" s="22" t="s">
        <v>132</v>
      </c>
      <c r="I12697" s="26">
        <v>43531.468310185199</v>
      </c>
      <c r="J12697" s="28" t="s">
        <v>52</v>
      </c>
      <c r="K12697" s="28" t="s">
        <v>52</v>
      </c>
      <c r="L12697" s="28" t="s">
        <v>52</v>
      </c>
      <c r="M12697" s="28" t="s">
        <v>52</v>
      </c>
      <c r="N12697" s="28" t="s">
        <v>52</v>
      </c>
    </row>
    <row r="12698" spans="1:14" x14ac:dyDescent="0.2">
      <c r="A12698" s="23" t="str">
        <f>HYPERLINK("https://www.spark-marketing.ru/Card/Person/92043", "КОГАУСО ""ОМУТНИНСКИЙ КОМПЛЕКСНЫЙ ЦЕНТР СОЦИАЛЬНОГО ОБСЛУЖИВАНИЯ НАСЕЛЕНИЯ""")</f>
        <v>КОГАУСО "ОМУТНИНСКИЙ КОМПЛЕКСНЫЙ ЦЕНТР СОЦИАЛЬНОГО ОБСЛУЖИВАНИЯ НАСЕЛЕНИЯ"</v>
      </c>
      <c r="B12698" s="24" t="s">
        <v>15045</v>
      </c>
      <c r="C12698" s="25">
        <v>300000</v>
      </c>
      <c r="D12698" s="22" t="s">
        <v>15046</v>
      </c>
      <c r="E12698" s="22" t="s">
        <v>12866</v>
      </c>
      <c r="F12698" s="23" t="str">
        <f>HYPERLINK("https://www.spark-marketing.ru/Card/Lot/68550292", "Выполнение работ по монтажу охранной сигнализации в помещениях КОГАУСО ""Омутнинский комплексный центр социального обслуживания населения""")</f>
        <v>Выполнение работ по монтажу охранной сигнализации в помещениях КОГАУСО "Омутнинский комплексный центр социального обслуживания населения"</v>
      </c>
      <c r="G12698" s="22" t="s">
        <v>556</v>
      </c>
      <c r="H12698" s="22" t="s">
        <v>556</v>
      </c>
      <c r="I12698" s="26">
        <v>43531.446770833303</v>
      </c>
      <c r="J12698" s="23" t="str">
        <f>HYPERLINK("https://www.spark-marketing.ru/Card/Person/124260", "ООО ""АРГУС""")</f>
        <v>ООО "АРГУС"</v>
      </c>
      <c r="K12698" s="24" t="s">
        <v>9766</v>
      </c>
      <c r="L12698" s="28" t="s">
        <v>52</v>
      </c>
      <c r="M12698" s="25">
        <v>270000</v>
      </c>
      <c r="N12698" s="27">
        <v>0.1</v>
      </c>
    </row>
    <row r="12699" spans="1:14" x14ac:dyDescent="0.15">
      <c r="A12699" s="23" t="str">
        <f>HYPERLINK("https://www.spark-marketing.ru/Card/Person/18559", "ФГБУЗ ЦМСЧ № 38 ФМБА РОССИИ")</f>
        <v>ФГБУЗ ЦМСЧ № 38 ФМБА РОССИИ</v>
      </c>
      <c r="B12699" s="24" t="s">
        <v>15047</v>
      </c>
      <c r="C12699" s="25">
        <v>201131</v>
      </c>
      <c r="D12699" s="22" t="s">
        <v>15048</v>
      </c>
      <c r="E12699" s="22" t="s">
        <v>691</v>
      </c>
      <c r="F12699" s="23" t="str">
        <f>HYPERLINK("https://www.spark-marketing.ru/Card/Lot/68549942", "Установка видеонаблюдения в кабинетах стоматологического отделения и прокладка ЛВС в кабинет контрактной службы")</f>
        <v>Установка видеонаблюдения в кабинетах стоматологического отделения и прокладка ЛВС в кабинет контрактной службы</v>
      </c>
      <c r="G12699" s="22" t="s">
        <v>861</v>
      </c>
      <c r="H12699" s="22" t="s">
        <v>861</v>
      </c>
      <c r="I12699" s="26">
        <v>43531.4221875</v>
      </c>
      <c r="J12699" s="28" t="s">
        <v>52</v>
      </c>
      <c r="K12699" s="28" t="s">
        <v>52</v>
      </c>
      <c r="L12699" s="28" t="s">
        <v>52</v>
      </c>
      <c r="M12699" s="28" t="s">
        <v>52</v>
      </c>
      <c r="N12699" s="28" t="s">
        <v>52</v>
      </c>
    </row>
    <row r="12700" spans="1:14" x14ac:dyDescent="0.15">
      <c r="A12700" s="23" t="str">
        <f t="shared" ref="A12700:A12709" si="662">HYPERLINK("https://www.spark-marketing.ru/Card/Person/4374691", "МБДОУ (ЯСЛИ-САД) №4 ""ЗОЛОТАЯ РЫБКА"" Г.КРАСНОПЕРЕКОПСКА РЕСПУБЛИКИ КРЫМ")</f>
        <v>МБДОУ (ЯСЛИ-САД) №4 "ЗОЛОТАЯ РЫБКА" Г.КРАСНОПЕРЕКОПСКА РЕСПУБЛИКИ КРЫМ</v>
      </c>
      <c r="B12700" s="24" t="s">
        <v>15049</v>
      </c>
      <c r="C12700" s="25">
        <v>1629260</v>
      </c>
      <c r="D12700" s="22" t="s">
        <v>15050</v>
      </c>
      <c r="E12700" s="22" t="s">
        <v>84</v>
      </c>
      <c r="F12700" s="23" t="str">
        <f t="shared" ref="F12700:F12709" si="663">HYPERLINK("https://www.spark-marketing.ru/Card/Lot/68553887", "установка систем видеонаблюдения")</f>
        <v>установка систем видеонаблюдения</v>
      </c>
      <c r="G12700" s="22" t="s">
        <v>1053</v>
      </c>
      <c r="H12700" s="22" t="s">
        <v>9787</v>
      </c>
      <c r="I12700" s="26">
        <v>43531.422916666699</v>
      </c>
      <c r="J12700" s="28" t="s">
        <v>52</v>
      </c>
      <c r="K12700" s="28" t="s">
        <v>52</v>
      </c>
      <c r="L12700" s="28" t="s">
        <v>52</v>
      </c>
      <c r="M12700" s="28" t="s">
        <v>52</v>
      </c>
      <c r="N12700" s="28" t="s">
        <v>52</v>
      </c>
    </row>
    <row r="12701" spans="1:14" hidden="1" outlineLevel="1" x14ac:dyDescent="0.2">
      <c r="A12701" s="23" t="str">
        <f t="shared" si="662"/>
        <v>МБДОУ (ЯСЛИ-САД) №4 "ЗОЛОТАЯ РЫБКА" Г.КРАСНОПЕРЕКОПСКА РЕСПУБЛИКИ КРЫМ</v>
      </c>
      <c r="B12701" s="24" t="s">
        <v>15049</v>
      </c>
      <c r="C12701" s="25">
        <v>1629260</v>
      </c>
      <c r="D12701" s="22" t="s">
        <v>15050</v>
      </c>
      <c r="E12701" s="22" t="s">
        <v>84</v>
      </c>
      <c r="F12701" s="23" t="str">
        <f t="shared" si="663"/>
        <v>установка систем видеонаблюдения</v>
      </c>
      <c r="G12701" s="22" t="s">
        <v>1053</v>
      </c>
      <c r="H12701" s="22" t="s">
        <v>9787</v>
      </c>
      <c r="I12701" s="26">
        <v>43531.422916666699</v>
      </c>
      <c r="J12701" s="23" t="str">
        <f>HYPERLINK("https://www.spark-marketing.ru/Card/Person/6410700", "Бадаев Олег Валерьевич")</f>
        <v>Бадаев Олег Валерьевич</v>
      </c>
      <c r="K12701" s="24" t="s">
        <v>11582</v>
      </c>
      <c r="L12701" s="28" t="s">
        <v>52</v>
      </c>
      <c r="M12701" s="25">
        <v>1153303.98</v>
      </c>
      <c r="N12701" s="27">
        <v>0.29213018180032652</v>
      </c>
    </row>
    <row r="12702" spans="1:14" hidden="1" outlineLevel="1" x14ac:dyDescent="0.2">
      <c r="A12702" s="23" t="str">
        <f t="shared" si="662"/>
        <v>МБДОУ (ЯСЛИ-САД) №4 "ЗОЛОТАЯ РЫБКА" Г.КРАСНОПЕРЕКОПСКА РЕСПУБЛИКИ КРЫМ</v>
      </c>
      <c r="B12702" s="24" t="s">
        <v>15049</v>
      </c>
      <c r="C12702" s="25">
        <v>1629260</v>
      </c>
      <c r="D12702" s="22" t="s">
        <v>15050</v>
      </c>
      <c r="E12702" s="22" t="s">
        <v>84</v>
      </c>
      <c r="F12702" s="23" t="str">
        <f t="shared" si="663"/>
        <v>установка систем видеонаблюдения</v>
      </c>
      <c r="G12702" s="22" t="s">
        <v>1053</v>
      </c>
      <c r="H12702" s="22" t="s">
        <v>9787</v>
      </c>
      <c r="I12702" s="26">
        <v>43531.422916666699</v>
      </c>
      <c r="J12702" s="23" t="str">
        <f>HYPERLINK("https://www.spark-marketing.ru/Card/Person/92529", "ООО ""МТ-КОМ""")</f>
        <v>ООО "МТ-КОМ"</v>
      </c>
      <c r="K12702" s="24" t="s">
        <v>14792</v>
      </c>
      <c r="L12702" s="28" t="s">
        <v>52</v>
      </c>
      <c r="M12702" s="25">
        <v>1572235.9</v>
      </c>
      <c r="N12702" s="27">
        <v>3.5000000000000003E-2</v>
      </c>
    </row>
    <row r="12703" spans="1:14" hidden="1" outlineLevel="1" x14ac:dyDescent="0.2">
      <c r="A12703" s="23" t="str">
        <f t="shared" si="662"/>
        <v>МБДОУ (ЯСЛИ-САД) №4 "ЗОЛОТАЯ РЫБКА" Г.КРАСНОПЕРЕКОПСКА РЕСПУБЛИКИ КРЫМ</v>
      </c>
      <c r="B12703" s="24" t="s">
        <v>15049</v>
      </c>
      <c r="C12703" s="25">
        <v>1629260</v>
      </c>
      <c r="D12703" s="22" t="s">
        <v>15050</v>
      </c>
      <c r="E12703" s="22" t="s">
        <v>84</v>
      </c>
      <c r="F12703" s="23" t="str">
        <f t="shared" si="663"/>
        <v>установка систем видеонаблюдения</v>
      </c>
      <c r="G12703" s="22" t="s">
        <v>1053</v>
      </c>
      <c r="H12703" s="22" t="s">
        <v>9787</v>
      </c>
      <c r="I12703" s="26">
        <v>43531.422916666699</v>
      </c>
      <c r="J12703" s="23" t="str">
        <f>HYPERLINK("https://www.spark-marketing.ru/Card/Person/4756830", "Беляев Александр Анатольевич")</f>
        <v>Беляев Александр Анатольевич</v>
      </c>
      <c r="K12703" s="24" t="s">
        <v>14263</v>
      </c>
      <c r="L12703" s="28" t="s">
        <v>52</v>
      </c>
      <c r="M12703" s="25">
        <v>1088133.58</v>
      </c>
      <c r="N12703" s="27">
        <v>0.33213018180032655</v>
      </c>
    </row>
    <row r="12704" spans="1:14" ht="12.75" hidden="1" outlineLevel="1" x14ac:dyDescent="0.2">
      <c r="A12704" s="23" t="str">
        <f t="shared" si="662"/>
        <v>МБДОУ (ЯСЛИ-САД) №4 "ЗОЛОТАЯ РЫБКА" Г.КРАСНОПЕРЕКОПСКА РЕСПУБЛИКИ КРЫМ</v>
      </c>
      <c r="B12704" s="24" t="s">
        <v>15049</v>
      </c>
      <c r="C12704" s="25">
        <v>1629260</v>
      </c>
      <c r="D12704" s="22" t="s">
        <v>15050</v>
      </c>
      <c r="E12704" s="22" t="s">
        <v>84</v>
      </c>
      <c r="F12704" s="23" t="str">
        <f t="shared" si="663"/>
        <v>установка систем видеонаблюдения</v>
      </c>
      <c r="G12704" s="22" t="s">
        <v>1053</v>
      </c>
      <c r="H12704" s="22" t="s">
        <v>9787</v>
      </c>
      <c r="I12704" s="26">
        <v>43531.422916666699</v>
      </c>
      <c r="J12704" s="23" t="str">
        <f>HYPERLINK("https://www.spark-marketing.ru/Card/Person/373670", "ООО ""ОПС""")</f>
        <v>ООО "ОПС"</v>
      </c>
      <c r="K12704" s="24" t="s">
        <v>4634</v>
      </c>
      <c r="L12704" s="22" t="s">
        <v>10</v>
      </c>
      <c r="M12704" s="25">
        <v>1079987.28</v>
      </c>
      <c r="N12704" s="27">
        <v>0.33713018180032656</v>
      </c>
    </row>
    <row r="12705" spans="1:14" hidden="1" outlineLevel="1" x14ac:dyDescent="0.2">
      <c r="A12705" s="23" t="str">
        <f t="shared" si="662"/>
        <v>МБДОУ (ЯСЛИ-САД) №4 "ЗОЛОТАЯ РЫБКА" Г.КРАСНОПЕРЕКОПСКА РЕСПУБЛИКИ КРЫМ</v>
      </c>
      <c r="B12705" s="24" t="s">
        <v>15049</v>
      </c>
      <c r="C12705" s="25">
        <v>1629260</v>
      </c>
      <c r="D12705" s="22" t="s">
        <v>15050</v>
      </c>
      <c r="E12705" s="22" t="s">
        <v>84</v>
      </c>
      <c r="F12705" s="23" t="str">
        <f t="shared" si="663"/>
        <v>установка систем видеонаблюдения</v>
      </c>
      <c r="G12705" s="22" t="s">
        <v>1053</v>
      </c>
      <c r="H12705" s="22" t="s">
        <v>9787</v>
      </c>
      <c r="I12705" s="26">
        <v>43531.422916666699</v>
      </c>
      <c r="J12705" s="23" t="str">
        <f>HYPERLINK("https://www.spark-marketing.ru/Card/Person/4855004", "Бакши Игорь Анатольевич")</f>
        <v>Бакши Игорь Анатольевич</v>
      </c>
      <c r="K12705" s="24" t="s">
        <v>10078</v>
      </c>
      <c r="L12705" s="28" t="s">
        <v>52</v>
      </c>
      <c r="M12705" s="25">
        <v>1604387.27</v>
      </c>
      <c r="N12705" s="27">
        <v>1.5266274259479764E-2</v>
      </c>
    </row>
    <row r="12706" spans="1:14" hidden="1" outlineLevel="1" x14ac:dyDescent="0.2">
      <c r="A12706" s="23" t="str">
        <f t="shared" si="662"/>
        <v>МБДОУ (ЯСЛИ-САД) №4 "ЗОЛОТАЯ РЫБКА" Г.КРАСНОПЕРЕКОПСКА РЕСПУБЛИКИ КРЫМ</v>
      </c>
      <c r="B12706" s="24" t="s">
        <v>15049</v>
      </c>
      <c r="C12706" s="25">
        <v>1629260</v>
      </c>
      <c r="D12706" s="22" t="s">
        <v>15050</v>
      </c>
      <c r="E12706" s="22" t="s">
        <v>84</v>
      </c>
      <c r="F12706" s="23" t="str">
        <f t="shared" si="663"/>
        <v>установка систем видеонаблюдения</v>
      </c>
      <c r="G12706" s="22" t="s">
        <v>1053</v>
      </c>
      <c r="H12706" s="22" t="s">
        <v>9787</v>
      </c>
      <c r="I12706" s="26">
        <v>43531.422916666699</v>
      </c>
      <c r="J12706" s="23" t="str">
        <f>HYPERLINK("https://www.spark-marketing.ru/Card/Person/1816052", "ООО ""АСБ""")</f>
        <v>ООО "АСБ"</v>
      </c>
      <c r="K12706" s="24" t="s">
        <v>9135</v>
      </c>
      <c r="L12706" s="28" t="s">
        <v>52</v>
      </c>
      <c r="M12706" s="25">
        <v>1210328.08</v>
      </c>
      <c r="N12706" s="27">
        <v>0.25713018180032654</v>
      </c>
    </row>
    <row r="12707" spans="1:14" hidden="1" outlineLevel="1" x14ac:dyDescent="0.2">
      <c r="A12707" s="23" t="str">
        <f t="shared" si="662"/>
        <v>МБДОУ (ЯСЛИ-САД) №4 "ЗОЛОТАЯ РЫБКА" Г.КРАСНОПЕРЕКОПСКА РЕСПУБЛИКИ КРЫМ</v>
      </c>
      <c r="B12707" s="24" t="s">
        <v>15049</v>
      </c>
      <c r="C12707" s="25">
        <v>1629260</v>
      </c>
      <c r="D12707" s="22" t="s">
        <v>15050</v>
      </c>
      <c r="E12707" s="22" t="s">
        <v>84</v>
      </c>
      <c r="F12707" s="23" t="str">
        <f t="shared" si="663"/>
        <v>установка систем видеонаблюдения</v>
      </c>
      <c r="G12707" s="22" t="s">
        <v>1053</v>
      </c>
      <c r="H12707" s="22" t="s">
        <v>9787</v>
      </c>
      <c r="I12707" s="26">
        <v>43531.422916666699</v>
      </c>
      <c r="J12707" s="23" t="str">
        <f>HYPERLINK("https://www.spark-marketing.ru/Card/Person/6496409", "Малая Анастасия Андреевна")</f>
        <v>Малая Анастасия Андреевна</v>
      </c>
      <c r="K12707" s="24" t="s">
        <v>9142</v>
      </c>
      <c r="L12707" s="28" t="s">
        <v>52</v>
      </c>
      <c r="M12707" s="25">
        <v>1340668.8799999999</v>
      </c>
      <c r="N12707" s="27">
        <v>0.17713018180032652</v>
      </c>
    </row>
    <row r="12708" spans="1:14" hidden="1" outlineLevel="1" x14ac:dyDescent="0.2">
      <c r="A12708" s="23" t="str">
        <f t="shared" si="662"/>
        <v>МБДОУ (ЯСЛИ-САД) №4 "ЗОЛОТАЯ РЫБКА" Г.КРАСНОПЕРЕКОПСКА РЕСПУБЛИКИ КРЫМ</v>
      </c>
      <c r="B12708" s="24" t="s">
        <v>15049</v>
      </c>
      <c r="C12708" s="25">
        <v>1629260</v>
      </c>
      <c r="D12708" s="22" t="s">
        <v>15050</v>
      </c>
      <c r="E12708" s="22" t="s">
        <v>84</v>
      </c>
      <c r="F12708" s="23" t="str">
        <f t="shared" si="663"/>
        <v>установка систем видеонаблюдения</v>
      </c>
      <c r="G12708" s="22" t="s">
        <v>1053</v>
      </c>
      <c r="H12708" s="22" t="s">
        <v>9787</v>
      </c>
      <c r="I12708" s="26">
        <v>43531.422916666699</v>
      </c>
      <c r="J12708" s="23" t="str">
        <f>HYPERLINK("https://www.spark-marketing.ru/Card/Person/4622689", "ООО ""ДССЛ-ПЕРВЫЙ""")</f>
        <v>ООО "ДССЛ-ПЕРВЫЙ"</v>
      </c>
      <c r="K12708" s="24" t="s">
        <v>12903</v>
      </c>
      <c r="L12708" s="28" t="s">
        <v>52</v>
      </c>
      <c r="M12708" s="25">
        <v>1519887.48</v>
      </c>
      <c r="N12708" s="27">
        <v>6.7130181800326524E-2</v>
      </c>
    </row>
    <row r="12709" spans="1:14" hidden="1" outlineLevel="1" x14ac:dyDescent="0.2">
      <c r="A12709" s="23" t="str">
        <f t="shared" si="662"/>
        <v>МБДОУ (ЯСЛИ-САД) №4 "ЗОЛОТАЯ РЫБКА" Г.КРАСНОПЕРЕКОПСКА РЕСПУБЛИКИ КРЫМ</v>
      </c>
      <c r="B12709" s="24" t="s">
        <v>15049</v>
      </c>
      <c r="C12709" s="25">
        <v>1629260</v>
      </c>
      <c r="D12709" s="22" t="s">
        <v>15050</v>
      </c>
      <c r="E12709" s="22" t="s">
        <v>84</v>
      </c>
      <c r="F12709" s="23" t="str">
        <f t="shared" si="663"/>
        <v>установка систем видеонаблюдения</v>
      </c>
      <c r="G12709" s="22" t="s">
        <v>1053</v>
      </c>
      <c r="H12709" s="22" t="s">
        <v>9787</v>
      </c>
      <c r="I12709" s="26">
        <v>43531.422916666699</v>
      </c>
      <c r="J12709" s="23" t="str">
        <f>HYPERLINK("https://www.spark-marketing.ru/Card/Person/4882826", "ООО ""ЦВ ИТР""")</f>
        <v>ООО "ЦВ ИТР"</v>
      </c>
      <c r="K12709" s="24" t="s">
        <v>15051</v>
      </c>
      <c r="L12709" s="28" t="s">
        <v>52</v>
      </c>
      <c r="M12709" s="25">
        <v>1576911.58</v>
      </c>
      <c r="N12709" s="27">
        <v>3.2130181800326528E-2</v>
      </c>
    </row>
    <row r="12710" spans="1:14" x14ac:dyDescent="0.15">
      <c r="A12710" s="23" t="str">
        <f>HYPERLINK("https://www.spark-marketing.ru/Card/Person/8376", "ФГКУ КОМБИНАТ ""ВЗМОРЬЕ"" РОСРЕЗЕРВА")</f>
        <v>ФГКУ КОМБИНАТ "ВЗМОРЬЕ" РОСРЕЗЕРВА</v>
      </c>
      <c r="B12710" s="24" t="s">
        <v>15052</v>
      </c>
      <c r="C12710" s="25">
        <v>206000</v>
      </c>
      <c r="D12710" s="22" t="s">
        <v>15053</v>
      </c>
      <c r="E12710" s="22" t="s">
        <v>68</v>
      </c>
      <c r="F12710" s="23" t="str">
        <f>HYPERLINK("https://www.spark-marketing.ru/Card/Lot/68543204", "Обслуживание аварийно-спасательными формированиями")</f>
        <v>Обслуживание аварийно-спасательными формированиями</v>
      </c>
      <c r="G12710" s="22" t="s">
        <v>409</v>
      </c>
      <c r="H12710" s="22" t="s">
        <v>15054</v>
      </c>
      <c r="I12710" s="26">
        <v>43531.395138888904</v>
      </c>
      <c r="J12710" s="23" t="str">
        <f>HYPERLINK("https://www.spark-marketing.ru/Card/Person/143032", "АО ""ЦАСЭО""")</f>
        <v>АО "ЦАСЭО"</v>
      </c>
      <c r="K12710" s="24" t="s">
        <v>13299</v>
      </c>
      <c r="L12710" s="22" t="s">
        <v>10</v>
      </c>
      <c r="M12710" s="28" t="s">
        <v>52</v>
      </c>
      <c r="N12710" s="28" t="s">
        <v>52</v>
      </c>
    </row>
    <row r="12711" spans="1:14" x14ac:dyDescent="0.15">
      <c r="A12711" s="23" t="str">
        <f>HYPERLINK("https://www.spark-marketing.ru/Card/Person/237335", "БУ «ХАНТЫ-МАНСИЙСКИЙ РЕАБИЛИТАЦИОННЫЙ ЦЕНТР»")</f>
        <v>БУ «ХАНТЫ-МАНСИЙСКИЙ РЕАБИЛИТАЦИОННЫЙ ЦЕНТР»</v>
      </c>
      <c r="B12711" s="24" t="s">
        <v>10282</v>
      </c>
      <c r="C12711" s="25">
        <v>144000</v>
      </c>
      <c r="D12711" s="22" t="s">
        <v>15055</v>
      </c>
      <c r="E12711" s="22" t="s">
        <v>68</v>
      </c>
      <c r="F12711" s="23" t="str">
        <f>HYPERLINK("https://www.spark-marketing.ru/Card/Lot/68546672", "Услуги по охране здания и имущества")</f>
        <v>Услуги по охране здания и имущества</v>
      </c>
      <c r="G12711" s="22" t="s">
        <v>119</v>
      </c>
      <c r="H12711" s="22" t="s">
        <v>2563</v>
      </c>
      <c r="I12711" s="26">
        <v>43531.394444444399</v>
      </c>
      <c r="J12711" s="23" t="str">
        <f>HYPERLINK("https://www.spark-marketing.ru/Card/Person/109173", "ООО ЧОО АГЕНТСТВО БЕЗОПАСНОСТИ ""АРГУС""")</f>
        <v>ООО ЧОО АГЕНТСТВО БЕЗОПАСНОСТИ "АРГУС"</v>
      </c>
      <c r="K12711" s="24" t="s">
        <v>2564</v>
      </c>
      <c r="L12711" s="28" t="s">
        <v>52</v>
      </c>
      <c r="M12711" s="28" t="s">
        <v>52</v>
      </c>
      <c r="N12711" s="28" t="s">
        <v>52</v>
      </c>
    </row>
    <row r="12712" spans="1:14" ht="12.75" hidden="1" outlineLevel="1" x14ac:dyDescent="0.2">
      <c r="A12712" s="23" t="str">
        <f>HYPERLINK("https://www.spark-marketing.ru/Card/Person/237335", "БУ «ХАНТЫ-МАНСИЙСКИЙ РЕАБИЛИТАЦИОННЫЙ ЦЕНТР»")</f>
        <v>БУ «ХАНТЫ-МАНСИЙСКИЙ РЕАБИЛИТАЦИОННЫЙ ЦЕНТР»</v>
      </c>
      <c r="B12712" s="24" t="s">
        <v>10282</v>
      </c>
      <c r="C12712" s="25">
        <v>144000</v>
      </c>
      <c r="D12712" s="22" t="s">
        <v>15055</v>
      </c>
      <c r="E12712" s="22" t="s">
        <v>68</v>
      </c>
      <c r="F12712" s="23" t="str">
        <f>HYPERLINK("https://www.spark-marketing.ru/Card/Lot/68546672", "Услуги по охране здания и имущества")</f>
        <v>Услуги по охране здания и имущества</v>
      </c>
      <c r="G12712" s="22" t="s">
        <v>119</v>
      </c>
      <c r="H12712" s="22" t="s">
        <v>2563</v>
      </c>
      <c r="I12712" s="26">
        <v>43531.394444444399</v>
      </c>
      <c r="J12712" s="23" t="str">
        <f>HYPERLINK("https://www.spark-marketing.ru/Card/Person/109173", "ООО ЧОО АГЕНТСТВО БЕЗОПАСНОСТИ ""АРГУС""")</f>
        <v>ООО ЧОО АГЕНТСТВО БЕЗОПАСНОСТИ "АРГУС"</v>
      </c>
      <c r="K12712" s="24" t="s">
        <v>2564</v>
      </c>
      <c r="L12712" s="22" t="s">
        <v>10</v>
      </c>
      <c r="M12712" s="25">
        <v>143280</v>
      </c>
      <c r="N12712" s="27">
        <v>5.0000000000000001E-3</v>
      </c>
    </row>
    <row r="12713" spans="1:14" x14ac:dyDescent="0.15">
      <c r="A12713" s="23" t="str">
        <f>HYPERLINK("https://www.spark-marketing.ru/Card/Person/131965", "МБОУ ГИМНАЗИЯ №7")</f>
        <v>МБОУ ГИМНАЗИЯ №7</v>
      </c>
      <c r="B12713" s="24" t="s">
        <v>15056</v>
      </c>
      <c r="C12713" s="25">
        <v>78000</v>
      </c>
      <c r="D12713" s="22" t="s">
        <v>15057</v>
      </c>
      <c r="E12713" s="22" t="s">
        <v>15058</v>
      </c>
      <c r="F12713" s="23" t="str">
        <f>HYPERLINK("https://www.spark-marketing.ru/Card/Lot/68547441", "Техническое сопровождение видеотрансляции и видеопротоколирования")</f>
        <v>Техническое сопровождение видеотрансляции и видеопротоколирования</v>
      </c>
      <c r="G12713" s="22" t="s">
        <v>50</v>
      </c>
      <c r="H12713" s="22" t="s">
        <v>679</v>
      </c>
      <c r="I12713" s="26">
        <v>43531.3464930556</v>
      </c>
      <c r="J12713" s="28" t="s">
        <v>52</v>
      </c>
      <c r="K12713" s="28" t="s">
        <v>52</v>
      </c>
      <c r="L12713" s="28" t="s">
        <v>52</v>
      </c>
      <c r="M12713" s="28" t="s">
        <v>52</v>
      </c>
      <c r="N12713" s="28" t="s">
        <v>52</v>
      </c>
    </row>
    <row r="12714" spans="1:14" x14ac:dyDescent="0.15">
      <c r="A12714" s="23" t="str">
        <f>HYPERLINK("https://www.spark-marketing.ru/Card/Person/4753022", "ООО ЗСК")</f>
        <v>ООО ЗСК</v>
      </c>
      <c r="B12714" s="28" t="s">
        <v>52</v>
      </c>
      <c r="C12714" s="28" t="s">
        <v>52</v>
      </c>
      <c r="D12714" s="28" t="s">
        <v>52</v>
      </c>
      <c r="E12714" s="22" t="s">
        <v>53</v>
      </c>
      <c r="F12714" s="23" t="str">
        <f>HYPERLINK("https://www.spark-marketing.ru/Card/Lot/68559827", "№ 77494 «Техническое обслуживание систем видеорегистрации на подземном самоходном оборудовании подразделений ООО «ЗСК» в 2019г.»")</f>
        <v>№ 77494 «Техническое обслуживание систем видеорегистрации на подземном самоходном оборудовании подразделений ООО «ЗСК» в 2019г.»</v>
      </c>
      <c r="G12714" s="22" t="s">
        <v>52</v>
      </c>
      <c r="H12714" s="22" t="s">
        <v>52</v>
      </c>
      <c r="I12714" s="26">
        <v>43531</v>
      </c>
      <c r="J12714" s="28" t="s">
        <v>52</v>
      </c>
      <c r="K12714" s="28" t="s">
        <v>52</v>
      </c>
      <c r="L12714" s="28" t="s">
        <v>52</v>
      </c>
      <c r="M12714" s="28" t="s">
        <v>52</v>
      </c>
      <c r="N12714" s="28" t="s">
        <v>52</v>
      </c>
    </row>
    <row r="12715" spans="1:14" x14ac:dyDescent="0.15">
      <c r="A12715" s="23" t="str">
        <f>HYPERLINK("https://www.spark-marketing.ru/Card/Person/4366683", "ООО ""ЛУКОЙЛ-КУБАНЬЭНЕРГО""")</f>
        <v>ООО "ЛУКОЙЛ-КУБАНЬЭНЕРГО"</v>
      </c>
      <c r="B12715" s="24" t="s">
        <v>9936</v>
      </c>
      <c r="C12715" s="25">
        <v>4900500</v>
      </c>
      <c r="D12715" s="22" t="s">
        <v>15059</v>
      </c>
      <c r="E12715" s="22" t="s">
        <v>9938</v>
      </c>
      <c r="F12715" s="23" t="str">
        <f>HYPERLINK("https://www.spark-marketing.ru/Card/Lot/68541833", "Техническое обслуживание охранной сигнализации и оборудования видеонаблюдения промплощадки,береговых насосных станций ООО ""ЛУКОЙЛ-Кубаньэнерго""")</f>
        <v>Техническое обслуживание охранной сигнализации и оборудования видеонаблюдения промплощадки,береговых насосных станций ООО "ЛУКОЙЛ-Кубаньэнерго"</v>
      </c>
      <c r="G12715" s="22" t="s">
        <v>132</v>
      </c>
      <c r="H12715" s="22" t="s">
        <v>132</v>
      </c>
      <c r="I12715" s="26">
        <v>43530.827592592599</v>
      </c>
      <c r="J12715" s="28" t="s">
        <v>52</v>
      </c>
      <c r="K12715" s="28" t="s">
        <v>52</v>
      </c>
      <c r="L12715" s="28" t="s">
        <v>52</v>
      </c>
      <c r="M12715" s="28" t="s">
        <v>52</v>
      </c>
      <c r="N12715" s="28" t="s">
        <v>52</v>
      </c>
    </row>
    <row r="12716" spans="1:14" ht="12.75" x14ac:dyDescent="0.2">
      <c r="A12716" s="23" t="str">
        <f>HYPERLINK("https://www.spark-marketing.ru/Card/Person/4370465", "АУ ""УПРАВЛЕНИЕ ГОСУДАРСТВЕННОЙ ЭКСПЕРТИЗЫ ПРОЕКТНОЙ ДОКУМЕНТАЦИИ""")</f>
        <v>АУ "УПРАВЛЕНИЕ ГОСУДАРСТВЕННОЙ ЭКСПЕРТИЗЫ ПРОЕКТНОЙ ДОКУМЕНТАЦИИ"</v>
      </c>
      <c r="B12716" s="24" t="s">
        <v>15060</v>
      </c>
      <c r="C12716" s="25">
        <v>540000</v>
      </c>
      <c r="D12716" s="22" t="s">
        <v>15061</v>
      </c>
      <c r="E12716" s="22" t="s">
        <v>275</v>
      </c>
      <c r="F12716" s="23" t="str">
        <f>HYPERLINK("https://www.spark-marketing.ru/Card/Lot/68530066", "Услуги охраны объекта")</f>
        <v>Услуги охраны объекта</v>
      </c>
      <c r="G12716" s="22" t="s">
        <v>119</v>
      </c>
      <c r="H12716" s="22" t="s">
        <v>119</v>
      </c>
      <c r="I12716" s="26">
        <v>43530.7556944444</v>
      </c>
      <c r="J12716" s="23" t="str">
        <f>HYPERLINK("https://www.spark-marketing.ru/Card/Person/58845", "ООО ЧОП ""АГЕНТСТВО БИЗНЕС-БЕЗОПАСНОСТЬ""")</f>
        <v>ООО ЧОП "АГЕНТСТВО БИЗНЕС-БЕЗОПАСНОСТЬ"</v>
      </c>
      <c r="K12716" s="24" t="s">
        <v>1177</v>
      </c>
      <c r="L12716" s="22" t="s">
        <v>10</v>
      </c>
      <c r="M12716" s="25">
        <v>534600</v>
      </c>
      <c r="N12716" s="27">
        <v>0.01</v>
      </c>
    </row>
    <row r="12717" spans="1:14" x14ac:dyDescent="0.15">
      <c r="A12717" s="23" t="str">
        <f>HYPERLINK("https://www.spark-marketing.ru/Card/Person/996259", "МАОУ ""СОШ № 134"" Г.ПЕРМИ")</f>
        <v>МАОУ "СОШ № 134" Г.ПЕРМИ</v>
      </c>
      <c r="B12717" s="24" t="s">
        <v>6148</v>
      </c>
      <c r="C12717" s="25">
        <v>403920</v>
      </c>
      <c r="D12717" s="22" t="s">
        <v>15062</v>
      </c>
      <c r="E12717" s="22" t="s">
        <v>144</v>
      </c>
      <c r="F12717" s="23" t="str">
        <f>HYPERLINK("https://www.spark-marketing.ru/Card/Lot/68530060", "Оказание охранных услуг")</f>
        <v>Оказание охранных услуг</v>
      </c>
      <c r="G12717" s="22" t="s">
        <v>391</v>
      </c>
      <c r="H12717" s="22" t="s">
        <v>391</v>
      </c>
      <c r="I12717" s="26">
        <v>43530.751712963</v>
      </c>
      <c r="J12717" s="28" t="s">
        <v>52</v>
      </c>
      <c r="K12717" s="28" t="s">
        <v>52</v>
      </c>
      <c r="L12717" s="28" t="s">
        <v>52</v>
      </c>
      <c r="M12717" s="28" t="s">
        <v>52</v>
      </c>
      <c r="N12717" s="28" t="s">
        <v>52</v>
      </c>
    </row>
    <row r="12718" spans="1:14" hidden="1" outlineLevel="1" x14ac:dyDescent="0.2">
      <c r="A12718" s="23" t="str">
        <f>HYPERLINK("https://www.spark-marketing.ru/Card/Person/996259", "МАОУ ""СОШ № 134"" Г.ПЕРМИ")</f>
        <v>МАОУ "СОШ № 134" Г.ПЕРМИ</v>
      </c>
      <c r="B12718" s="24" t="s">
        <v>6148</v>
      </c>
      <c r="C12718" s="28" t="s">
        <v>52</v>
      </c>
      <c r="D12718" s="22" t="s">
        <v>15062</v>
      </c>
      <c r="E12718" s="22" t="s">
        <v>144</v>
      </c>
      <c r="F12718" s="23" t="str">
        <f>HYPERLINK("https://www.spark-marketing.ru/Card/Lot/68530060", "Оказание охранных услуг")</f>
        <v>Оказание охранных услуг</v>
      </c>
      <c r="G12718" s="22" t="s">
        <v>391</v>
      </c>
      <c r="H12718" s="22" t="s">
        <v>391</v>
      </c>
      <c r="I12718" s="26">
        <v>43530.751712963</v>
      </c>
      <c r="J12718" s="23" t="str">
        <f>HYPERLINK("https://www.spark-marketing.ru/Card/Person/1949090", "ООО ЧОО ""ДОЗОР""")</f>
        <v>ООО ЧОО "ДОЗОР"</v>
      </c>
      <c r="K12718" s="24" t="s">
        <v>15063</v>
      </c>
      <c r="L12718" s="22" t="s">
        <v>10</v>
      </c>
      <c r="M12718" s="25">
        <v>302784</v>
      </c>
      <c r="N12718" s="27">
        <v>0.25038621509209746</v>
      </c>
    </row>
    <row r="12719" spans="1:14" hidden="1" outlineLevel="1" x14ac:dyDescent="0.2">
      <c r="A12719" s="23" t="str">
        <f>HYPERLINK("https://www.spark-marketing.ru/Card/Person/996259", "МАОУ ""СОШ № 134"" Г.ПЕРМИ")</f>
        <v>МАОУ "СОШ № 134" Г.ПЕРМИ</v>
      </c>
      <c r="B12719" s="24" t="s">
        <v>6148</v>
      </c>
      <c r="C12719" s="28" t="s">
        <v>52</v>
      </c>
      <c r="D12719" s="22" t="s">
        <v>15062</v>
      </c>
      <c r="E12719" s="22" t="s">
        <v>144</v>
      </c>
      <c r="F12719" s="23" t="str">
        <f>HYPERLINK("https://www.spark-marketing.ru/Card/Lot/68530060", "Оказание охранных услуг")</f>
        <v>Оказание охранных услуг</v>
      </c>
      <c r="G12719" s="22" t="s">
        <v>391</v>
      </c>
      <c r="H12719" s="22" t="s">
        <v>391</v>
      </c>
      <c r="I12719" s="26">
        <v>43530.751712963</v>
      </c>
      <c r="J12719" s="23" t="str">
        <f>HYPERLINK("https://www.spark-marketing.ru/Card/Person/47533", "ООО ""ОА ""КСС""")</f>
        <v>ООО "ОА "КСС"</v>
      </c>
      <c r="K12719" s="24" t="s">
        <v>13574</v>
      </c>
      <c r="L12719" s="28" t="s">
        <v>52</v>
      </c>
      <c r="M12719" s="25">
        <v>400000</v>
      </c>
      <c r="N12719" s="27">
        <v>9.7048920578332344E-3</v>
      </c>
    </row>
    <row r="12720" spans="1:14" x14ac:dyDescent="0.15">
      <c r="A12720" s="23" t="str">
        <f>HYPERLINK("https://www.spark-marketing.ru/Card/Person/4350490", "МБУ ""ВОИС""")</f>
        <v>МБУ "ВОИС"</v>
      </c>
      <c r="B12720" s="24" t="s">
        <v>2079</v>
      </c>
      <c r="C12720" s="25">
        <v>7417410</v>
      </c>
      <c r="D12720" s="22" t="s">
        <v>15064</v>
      </c>
      <c r="E12720" s="22" t="s">
        <v>842</v>
      </c>
      <c r="F12720" s="23" t="str">
        <f>HYPERLINK("https://www.spark-marketing.ru/Card/Lot/68531448", "Оснащение категорированных объектов средствами обеспечения транспортной безопасности: Путепровод через железнодорожные пути по ул. Луганская в г. Екатеринбурге")</f>
        <v>Оснащение категорированных объектов средствами обеспечения транспортной безопасности: Путепровод через железнодорожные пути по ул. Луганская в г. Екатеринбурге</v>
      </c>
      <c r="G12720" s="22" t="s">
        <v>72</v>
      </c>
      <c r="H12720" s="22" t="s">
        <v>949</v>
      </c>
      <c r="I12720" s="26">
        <v>43530.777777777803</v>
      </c>
      <c r="J12720" s="28" t="s">
        <v>52</v>
      </c>
      <c r="K12720" s="28" t="s">
        <v>52</v>
      </c>
      <c r="L12720" s="28" t="s">
        <v>52</v>
      </c>
      <c r="M12720" s="28" t="s">
        <v>52</v>
      </c>
      <c r="N12720" s="28" t="s">
        <v>52</v>
      </c>
    </row>
    <row r="12721" spans="1:14" hidden="1" outlineLevel="1" x14ac:dyDescent="0.2">
      <c r="A12721" s="23" t="str">
        <f>HYPERLINK("https://www.spark-marketing.ru/Card/Person/4350490", "МБУ ""ВОИС""")</f>
        <v>МБУ "ВОИС"</v>
      </c>
      <c r="B12721" s="24" t="s">
        <v>2079</v>
      </c>
      <c r="C12721" s="25">
        <v>7417410</v>
      </c>
      <c r="D12721" s="22" t="s">
        <v>15064</v>
      </c>
      <c r="E12721" s="22" t="s">
        <v>842</v>
      </c>
      <c r="F12721" s="23" t="str">
        <f>HYPERLINK("https://www.spark-marketing.ru/Card/Lot/68531448", "Оснащение категорированных объектов средствами обеспечения транспортной безопасности: Путепровод через железнодорожные пути по ул. Луганская в г. Екатеринбурге")</f>
        <v>Оснащение категорированных объектов средствами обеспечения транспортной безопасности: Путепровод через железнодорожные пути по ул. Луганская в г. Екатеринбурге</v>
      </c>
      <c r="G12721" s="22" t="s">
        <v>72</v>
      </c>
      <c r="H12721" s="22" t="s">
        <v>949</v>
      </c>
      <c r="I12721" s="26">
        <v>43530.777777777803</v>
      </c>
      <c r="J12721" s="23" t="str">
        <f>HYPERLINK("https://www.spark-marketing.ru/Card/Person/77204", "ООО ""ИНФОРМ-АЛЬЯНС""")</f>
        <v>ООО "ИНФОРМ-АЛЬЯНС"</v>
      </c>
      <c r="K12721" s="24" t="s">
        <v>2499</v>
      </c>
      <c r="L12721" s="28" t="s">
        <v>52</v>
      </c>
      <c r="M12721" s="25">
        <v>6490233.75</v>
      </c>
      <c r="N12721" s="27">
        <v>0.125</v>
      </c>
    </row>
    <row r="12722" spans="1:14" ht="12.75" hidden="1" outlineLevel="1" x14ac:dyDescent="0.2">
      <c r="A12722" s="23" t="str">
        <f>HYPERLINK("https://www.spark-marketing.ru/Card/Person/4350490", "МБУ ""ВОИС""")</f>
        <v>МБУ "ВОИС"</v>
      </c>
      <c r="B12722" s="24" t="s">
        <v>2079</v>
      </c>
      <c r="C12722" s="25">
        <v>7417410</v>
      </c>
      <c r="D12722" s="22" t="s">
        <v>15064</v>
      </c>
      <c r="E12722" s="22" t="s">
        <v>842</v>
      </c>
      <c r="F12722" s="23" t="str">
        <f>HYPERLINK("https://www.spark-marketing.ru/Card/Lot/68531448", "Оснащение категорированных объектов средствами обеспечения транспортной безопасности: Путепровод через железнодорожные пути по ул. Луганская в г. Екатеринбурге")</f>
        <v>Оснащение категорированных объектов средствами обеспечения транспортной безопасности: Путепровод через железнодорожные пути по ул. Луганская в г. Екатеринбурге</v>
      </c>
      <c r="G12722" s="22" t="s">
        <v>72</v>
      </c>
      <c r="H12722" s="22" t="s">
        <v>949</v>
      </c>
      <c r="I12722" s="26">
        <v>43530.777777777803</v>
      </c>
      <c r="J12722" s="23" t="str">
        <f>HYPERLINK("https://www.spark-marketing.ru/Card/Person/65561", "ООО ""ВЕСТ""")</f>
        <v>ООО "ВЕСТ"</v>
      </c>
      <c r="K12722" s="24" t="s">
        <v>2492</v>
      </c>
      <c r="L12722" s="22" t="s">
        <v>10</v>
      </c>
      <c r="M12722" s="25">
        <v>6490233.75</v>
      </c>
      <c r="N12722" s="27">
        <v>0.125</v>
      </c>
    </row>
    <row r="12723" spans="1:14" hidden="1" outlineLevel="1" x14ac:dyDescent="0.2">
      <c r="A12723" s="23" t="str">
        <f>HYPERLINK("https://www.spark-marketing.ru/Card/Person/4350490", "МБУ ""ВОИС""")</f>
        <v>МБУ "ВОИС"</v>
      </c>
      <c r="B12723" s="24" t="s">
        <v>2079</v>
      </c>
      <c r="C12723" s="25">
        <v>7417410</v>
      </c>
      <c r="D12723" s="22" t="s">
        <v>15064</v>
      </c>
      <c r="E12723" s="22" t="s">
        <v>842</v>
      </c>
      <c r="F12723" s="23" t="str">
        <f>HYPERLINK("https://www.spark-marketing.ru/Card/Lot/68531448", "Оснащение категорированных объектов средствами обеспечения транспортной безопасности: Путепровод через железнодорожные пути по ул. Луганская в г. Екатеринбурге")</f>
        <v>Оснащение категорированных объектов средствами обеспечения транспортной безопасности: Путепровод через железнодорожные пути по ул. Луганская в г. Екатеринбурге</v>
      </c>
      <c r="G12723" s="22" t="s">
        <v>72</v>
      </c>
      <c r="H12723" s="22" t="s">
        <v>949</v>
      </c>
      <c r="I12723" s="26">
        <v>43530.777777777803</v>
      </c>
      <c r="J12723" s="23" t="str">
        <f>HYPERLINK("https://www.spark-marketing.ru/Card/Person/1874647", "УРАЛЬСКИЙ ФЛ ФГУП ""УВО МИНТРАНСА РОССИИ""")</f>
        <v>УРАЛЬСКИЙ ФЛ ФГУП "УВО МИНТРАНСА РОССИИ"</v>
      </c>
      <c r="K12723" s="24" t="s">
        <v>1472</v>
      </c>
      <c r="L12723" s="28" t="s">
        <v>52</v>
      </c>
      <c r="M12723" s="25">
        <v>6675669</v>
      </c>
      <c r="N12723" s="27">
        <v>0.1</v>
      </c>
    </row>
    <row r="12724" spans="1:14" x14ac:dyDescent="0.15">
      <c r="A12724" s="23" t="str">
        <f>HYPERLINK("https://www.spark-marketing.ru/Card/Person/1753788", "АО ""НИЖНЕ-БУРЕЙСКАЯ ГЭС""")</f>
        <v>АО "НИЖНЕ-БУРЕЙСКАЯ ГЭС"</v>
      </c>
      <c r="B12724" s="24" t="s">
        <v>15065</v>
      </c>
      <c r="C12724" s="25">
        <v>1484398.18</v>
      </c>
      <c r="D12724" s="22" t="s">
        <v>15066</v>
      </c>
      <c r="E12724" s="22" t="s">
        <v>1422</v>
      </c>
      <c r="F12724" s="23" t="str">
        <f>HYPERLINK("https://www.spark-marketing.ru/Card/Lot/68520774", "Услуги по обслуживанию системы безопасности (видеонаблюдения, охранной сигнализации, освещения, ОПС, СКУД) временных зданий и сооружений АО «Нижне-Бурейская ГЭС»")</f>
        <v>Услуги по обслуживанию системы безопасности (видеонаблюдения, охранной сигнализации, освещения, ОПС, СКУД) временных зданий и сооружений АО «Нижне-Бурейская ГЭС»</v>
      </c>
      <c r="G12724" s="22" t="s">
        <v>230</v>
      </c>
      <c r="H12724" s="22" t="s">
        <v>5593</v>
      </c>
      <c r="I12724" s="26">
        <v>43530.785254629598</v>
      </c>
      <c r="J12724" s="28" t="s">
        <v>52</v>
      </c>
      <c r="K12724" s="28" t="s">
        <v>52</v>
      </c>
      <c r="L12724" s="28" t="s">
        <v>52</v>
      </c>
      <c r="M12724" s="28" t="s">
        <v>52</v>
      </c>
      <c r="N12724" s="28" t="s">
        <v>52</v>
      </c>
    </row>
    <row r="12725" spans="1:14" hidden="1" outlineLevel="1" x14ac:dyDescent="0.2">
      <c r="A12725" s="23" t="str">
        <f>HYPERLINK("https://www.spark-marketing.ru/Card/Person/1753788", "АО ""НИЖНЕ-БУРЕЙСКАЯ ГЭС""")</f>
        <v>АО "НИЖНЕ-БУРЕЙСКАЯ ГЭС"</v>
      </c>
      <c r="B12725" s="24" t="s">
        <v>15065</v>
      </c>
      <c r="C12725" s="28" t="s">
        <v>52</v>
      </c>
      <c r="D12725" s="22" t="s">
        <v>15066</v>
      </c>
      <c r="E12725" s="22" t="s">
        <v>1422</v>
      </c>
      <c r="F12725" s="23" t="str">
        <f>HYPERLINK("https://www.spark-marketing.ru/Card/Lot/68520774", "Услуги по обслуживанию системы безопасности (видеонаблюдения, охранной сигнализации, освещения, ОПС, СКУД) временных зданий и сооружений АО «Нижне-Бурейская ГЭС»")</f>
        <v>Услуги по обслуживанию системы безопасности (видеонаблюдения, охранной сигнализации, освещения, ОПС, СКУД) временных зданий и сооружений АО «Нижне-Бурейская ГЭС»</v>
      </c>
      <c r="G12725" s="22" t="s">
        <v>230</v>
      </c>
      <c r="H12725" s="22" t="s">
        <v>5593</v>
      </c>
      <c r="I12725" s="26">
        <v>43530.785254629598</v>
      </c>
      <c r="J12725" s="23" t="str">
        <f>HYPERLINK("https://www.spark-marketing.ru/Card/Person/113645", "АО ""ГИДРОРЕМОНТ-ВКК""")</f>
        <v>АО "ГИДРОРЕМОНТ-ВКК"</v>
      </c>
      <c r="K12725" s="24" t="s">
        <v>15067</v>
      </c>
      <c r="L12725" s="28" t="s">
        <v>52</v>
      </c>
      <c r="M12725" s="25">
        <v>1484398.12</v>
      </c>
      <c r="N12725" s="27">
        <v>4.0420421426277952E-8</v>
      </c>
    </row>
    <row r="12726" spans="1:14" hidden="1" outlineLevel="1" x14ac:dyDescent="0.2">
      <c r="A12726" s="23" t="str">
        <f>HYPERLINK("https://www.spark-marketing.ru/Card/Person/1753788", "АО ""НИЖНЕ-БУРЕЙСКАЯ ГЭС""")</f>
        <v>АО "НИЖНЕ-БУРЕЙСКАЯ ГЭС"</v>
      </c>
      <c r="B12726" s="24" t="s">
        <v>15065</v>
      </c>
      <c r="C12726" s="28" t="s">
        <v>52</v>
      </c>
      <c r="D12726" s="22" t="s">
        <v>15066</v>
      </c>
      <c r="E12726" s="22" t="s">
        <v>1422</v>
      </c>
      <c r="F12726" s="23" t="str">
        <f>HYPERLINK("https://www.spark-marketing.ru/Card/Lot/68520774", "Услуги по обслуживанию системы безопасности (видеонаблюдения, охранной сигнализации, освещения, ОПС, СКУД) временных зданий и сооружений АО «Нижне-Бурейская ГЭС»")</f>
        <v>Услуги по обслуживанию системы безопасности (видеонаблюдения, охранной сигнализации, освещения, ОПС, СКУД) временных зданий и сооружений АО «Нижне-Бурейская ГЭС»</v>
      </c>
      <c r="G12726" s="22" t="s">
        <v>230</v>
      </c>
      <c r="H12726" s="22" t="s">
        <v>5593</v>
      </c>
      <c r="I12726" s="26">
        <v>43530.785254629598</v>
      </c>
      <c r="J12726" s="23" t="str">
        <f>HYPERLINK("https://www.spark-marketing.ru/Card/Person/343492", "ООО ""АО СИСТЕМЫ И СЕТИ""")</f>
        <v>ООО "АО СИСТЕМЫ И СЕТИ"</v>
      </c>
      <c r="K12726" s="24" t="s">
        <v>15068</v>
      </c>
      <c r="L12726" s="22" t="s">
        <v>10</v>
      </c>
      <c r="M12726" s="25">
        <v>816004.25</v>
      </c>
      <c r="N12726" s="27">
        <v>0.45027940548943546</v>
      </c>
    </row>
    <row r="12727" spans="1:14" hidden="1" outlineLevel="1" x14ac:dyDescent="0.2">
      <c r="A12727" s="23" t="str">
        <f>HYPERLINK("https://www.spark-marketing.ru/Card/Person/1753788", "АО ""НИЖНЕ-БУРЕЙСКАЯ ГЭС""")</f>
        <v>АО "НИЖНЕ-БУРЕЙСКАЯ ГЭС"</v>
      </c>
      <c r="B12727" s="24" t="s">
        <v>15065</v>
      </c>
      <c r="C12727" s="28" t="s">
        <v>52</v>
      </c>
      <c r="D12727" s="22" t="s">
        <v>15066</v>
      </c>
      <c r="E12727" s="22" t="s">
        <v>1422</v>
      </c>
      <c r="F12727" s="23" t="str">
        <f>HYPERLINK("https://www.spark-marketing.ru/Card/Lot/68520774", "Услуги по обслуживанию системы безопасности (видеонаблюдения, охранной сигнализации, освещения, ОПС, СКУД) временных зданий и сооружений АО «Нижне-Бурейская ГЭС»")</f>
        <v>Услуги по обслуживанию системы безопасности (видеонаблюдения, охранной сигнализации, освещения, ОПС, СКУД) временных зданий и сооружений АО «Нижне-Бурейская ГЭС»</v>
      </c>
      <c r="G12727" s="22" t="s">
        <v>230</v>
      </c>
      <c r="H12727" s="22" t="s">
        <v>5593</v>
      </c>
      <c r="I12727" s="26">
        <v>43530.785254629598</v>
      </c>
      <c r="J12727" s="23" t="str">
        <f>HYPERLINK("https://www.spark-marketing.ru/Card/Person/194389", "ООО ИЦ ""ФОРМУЛА БЕЗОПАСНОСТИ-ДВ""")</f>
        <v>ООО ИЦ "ФОРМУЛА БЕЗОПАСНОСТИ-ДВ"</v>
      </c>
      <c r="K12727" s="24" t="s">
        <v>15069</v>
      </c>
      <c r="L12727" s="28" t="s">
        <v>52</v>
      </c>
      <c r="M12727" s="25">
        <v>905968</v>
      </c>
      <c r="N12727" s="27">
        <v>0.38967319402129691</v>
      </c>
    </row>
    <row r="12728" spans="1:14" x14ac:dyDescent="0.15">
      <c r="A12728" s="23" t="str">
        <f>HYPERLINK("https://www.spark-marketing.ru/Card/Person/1000010", "МБУК ""ШАХОВСКОЙ ДК""")</f>
        <v>МБУК "ШАХОВСКОЙ ДК"</v>
      </c>
      <c r="B12728" s="24" t="s">
        <v>15070</v>
      </c>
      <c r="C12728" s="25">
        <v>37200</v>
      </c>
      <c r="D12728" s="22" t="s">
        <v>15071</v>
      </c>
      <c r="E12728" s="22" t="s">
        <v>294</v>
      </c>
      <c r="F12728" s="23" t="str">
        <f>HYPERLINK("https://www.spark-marketing.ru/Card/Lot/68533762", "Оказание услуг по техническому обслуживанию работоспособности видеокамер , подключенных к системе «Безопасный регион»")</f>
        <v>Оказание услуг по техническому обслуживанию работоспособности видеокамер , подключенных к системе «Безопасный регион»</v>
      </c>
      <c r="G12728" s="22" t="s">
        <v>50</v>
      </c>
      <c r="H12728" s="22" t="s">
        <v>15072</v>
      </c>
      <c r="I12728" s="26">
        <v>43530.754108796304</v>
      </c>
      <c r="J12728" s="28" t="s">
        <v>52</v>
      </c>
      <c r="K12728" s="28" t="s">
        <v>52</v>
      </c>
      <c r="L12728" s="28" t="s">
        <v>52</v>
      </c>
      <c r="M12728" s="28" t="s">
        <v>52</v>
      </c>
      <c r="N12728" s="28" t="s">
        <v>52</v>
      </c>
    </row>
    <row r="12729" spans="1:14" x14ac:dyDescent="0.15">
      <c r="A12729" s="23" t="str">
        <f>HYPERLINK("https://www.spark-marketing.ru/Card/Person/4365569", "ФГУП ""РОСМОРПОРТ""")</f>
        <v>ФГУП "РОСМОРПОРТ"</v>
      </c>
      <c r="B12729" s="24" t="s">
        <v>273</v>
      </c>
      <c r="C12729" s="25">
        <v>1477350</v>
      </c>
      <c r="D12729" s="22" t="s">
        <v>15073</v>
      </c>
      <c r="E12729" s="22" t="s">
        <v>144</v>
      </c>
      <c r="F12729" s="23" t="str">
        <f>HYPERLINK("https://www.spark-marketing.ru/Card/Lot/68532769", "Охрана объекта «ГМССБ г. Ейск» (инв. № KU070200053) с прилегающей территорией Ейского управления Азово-Черноморского бассейнового филиала ФГУП «Росморпорт»")</f>
        <v>Охрана объекта «ГМССБ г. Ейск» (инв. № KU070200053) с прилегающей территорией Ейского управления Азово-Черноморского бассейнового филиала ФГУП «Росморпорт»</v>
      </c>
      <c r="G12729" s="22" t="s">
        <v>132</v>
      </c>
      <c r="H12729" s="22" t="s">
        <v>15074</v>
      </c>
      <c r="I12729" s="26">
        <v>43530.737592592603</v>
      </c>
      <c r="J12729" s="28" t="s">
        <v>52</v>
      </c>
      <c r="K12729" s="28" t="s">
        <v>52</v>
      </c>
      <c r="L12729" s="28" t="s">
        <v>52</v>
      </c>
      <c r="M12729" s="28" t="s">
        <v>52</v>
      </c>
      <c r="N12729" s="28" t="s">
        <v>52</v>
      </c>
    </row>
    <row r="12730" spans="1:14" hidden="1" outlineLevel="1" x14ac:dyDescent="0.2">
      <c r="A12730" s="23" t="str">
        <f>HYPERLINK("https://www.spark-marketing.ru/Card/Person/4365569", "ФГУП ""РОСМОРПОРТ""")</f>
        <v>ФГУП "РОСМОРПОРТ"</v>
      </c>
      <c r="B12730" s="24" t="s">
        <v>273</v>
      </c>
      <c r="C12730" s="28" t="s">
        <v>52</v>
      </c>
      <c r="D12730" s="22" t="s">
        <v>15073</v>
      </c>
      <c r="E12730" s="22" t="s">
        <v>144</v>
      </c>
      <c r="F12730" s="23" t="str">
        <f>HYPERLINK("https://www.spark-marketing.ru/Card/Lot/68532769", "Охрана объекта «ГМССБ г. Ейск» (инв. № KU070200053) с прилегающей территорией Ейского управления Азово-Черноморского бассейнового филиала ФГУП «Росморпорт»")</f>
        <v>Охрана объекта «ГМССБ г. Ейск» (инв. № KU070200053) с прилегающей территорией Ейского управления Азово-Черноморского бассейнового филиала ФГУП «Росморпорт»</v>
      </c>
      <c r="G12730" s="22" t="s">
        <v>132</v>
      </c>
      <c r="H12730" s="22" t="s">
        <v>15074</v>
      </c>
      <c r="I12730" s="26">
        <v>43530.737592592603</v>
      </c>
      <c r="J12730" s="23" t="str">
        <f>HYPERLINK("https://www.spark-marketing.ru/Card/Person/448039", "ООО ""ЧОП ""ПАНТЕРА ЮГ""")</f>
        <v>ООО "ЧОП "ПАНТЕРА ЮГ"</v>
      </c>
      <c r="K12730" s="24" t="s">
        <v>3815</v>
      </c>
      <c r="L12730" s="22" t="s">
        <v>10</v>
      </c>
      <c r="M12730" s="25">
        <v>1260108.78</v>
      </c>
      <c r="N12730" s="27">
        <v>0.14704790334044066</v>
      </c>
    </row>
    <row r="12731" spans="1:14" hidden="1" outlineLevel="1" x14ac:dyDescent="0.2">
      <c r="A12731" s="23" t="str">
        <f>HYPERLINK("https://www.spark-marketing.ru/Card/Person/4365569", "ФГУП ""РОСМОРПОРТ""")</f>
        <v>ФГУП "РОСМОРПОРТ"</v>
      </c>
      <c r="B12731" s="24" t="s">
        <v>273</v>
      </c>
      <c r="C12731" s="28" t="s">
        <v>52</v>
      </c>
      <c r="D12731" s="22" t="s">
        <v>15073</v>
      </c>
      <c r="E12731" s="22" t="s">
        <v>144</v>
      </c>
      <c r="F12731" s="23" t="str">
        <f>HYPERLINK("https://www.spark-marketing.ru/Card/Lot/68532769", "Охрана объекта «ГМССБ г. Ейск» (инв. № KU070200053) с прилегающей территорией Ейского управления Азово-Черноморского бассейнового филиала ФГУП «Росморпорт»")</f>
        <v>Охрана объекта «ГМССБ г. Ейск» (инв. № KU070200053) с прилегающей территорией Ейского управления Азово-Черноморского бассейнового филиала ФГУП «Росморпорт»</v>
      </c>
      <c r="G12731" s="22" t="s">
        <v>132</v>
      </c>
      <c r="H12731" s="22" t="s">
        <v>15074</v>
      </c>
      <c r="I12731" s="26">
        <v>43530.737592592603</v>
      </c>
      <c r="J12731" s="23" t="str">
        <f>HYPERLINK("https://www.spark-marketing.ru/Card/Person/460011", "ООО ЧОП ""АГЕНТСТВО БЕЗОПАСНОСТИ""")</f>
        <v>ООО ЧОП "АГЕНТСТВО БЕЗОПАСНОСТИ"</v>
      </c>
      <c r="K12731" s="24" t="s">
        <v>15075</v>
      </c>
      <c r="L12731" s="28" t="s">
        <v>52</v>
      </c>
      <c r="M12731" s="25">
        <v>1384446</v>
      </c>
      <c r="N12731" s="27">
        <v>6.2885572139303486E-2</v>
      </c>
    </row>
    <row r="12732" spans="1:14" hidden="1" outlineLevel="1" x14ac:dyDescent="0.2">
      <c r="A12732" s="23" t="str">
        <f>HYPERLINK("https://www.spark-marketing.ru/Card/Person/4365569", "ФГУП ""РОСМОРПОРТ""")</f>
        <v>ФГУП "РОСМОРПОРТ"</v>
      </c>
      <c r="B12732" s="24" t="s">
        <v>273</v>
      </c>
      <c r="C12732" s="28" t="s">
        <v>52</v>
      </c>
      <c r="D12732" s="22" t="s">
        <v>15073</v>
      </c>
      <c r="E12732" s="22" t="s">
        <v>144</v>
      </c>
      <c r="F12732" s="23" t="str">
        <f>HYPERLINK("https://www.spark-marketing.ru/Card/Lot/68532769", "Охрана объекта «ГМССБ г. Ейск» (инв. № KU070200053) с прилегающей территорией Ейского управления Азово-Черноморского бассейнового филиала ФГУП «Росморпорт»")</f>
        <v>Охрана объекта «ГМССБ г. Ейск» (инв. № KU070200053) с прилегающей территорией Ейского управления Азово-Черноморского бассейнового филиала ФГУП «Росморпорт»</v>
      </c>
      <c r="G12732" s="22" t="s">
        <v>132</v>
      </c>
      <c r="H12732" s="22" t="s">
        <v>15074</v>
      </c>
      <c r="I12732" s="26">
        <v>43530.737592592603</v>
      </c>
      <c r="J12732" s="23" t="str">
        <f>HYPERLINK("https://www.spark-marketing.ru/Card/Person/56618", "ООО ЧОО ""ИСКАНДЕР""")</f>
        <v>ООО ЧОО "ИСКАНДЕР"</v>
      </c>
      <c r="K12732" s="24" t="s">
        <v>3814</v>
      </c>
      <c r="L12732" s="28" t="s">
        <v>52</v>
      </c>
      <c r="M12732" s="25">
        <v>1438500</v>
      </c>
      <c r="N12732" s="27">
        <v>2.6297085998578537E-2</v>
      </c>
    </row>
    <row r="12733" spans="1:14" x14ac:dyDescent="0.15">
      <c r="A12733" s="23" t="str">
        <f>HYPERLINK("https://www.spark-marketing.ru/Card/Person/1042150", "МБУДО ""ДШИ №8""")</f>
        <v>МБУДО "ДШИ №8"</v>
      </c>
      <c r="B12733" s="24" t="s">
        <v>15076</v>
      </c>
      <c r="C12733" s="25">
        <v>20000</v>
      </c>
      <c r="D12733" s="22" t="s">
        <v>15077</v>
      </c>
      <c r="E12733" s="22" t="s">
        <v>103</v>
      </c>
      <c r="F12733" s="23" t="str">
        <f>HYPERLINK("https://www.spark-marketing.ru/Card/Lot/68533800", "Проведение технического обслуживания (ТО), ремонтных и аварийно-восстановительных работ системы видеонаблюдения")</f>
        <v>Проведение технического обслуживания (ТО), ремонтных и аварийно-восстановительных работ системы видеонаблюдения</v>
      </c>
      <c r="G12733" s="22" t="s">
        <v>50</v>
      </c>
      <c r="H12733" s="22" t="s">
        <v>432</v>
      </c>
      <c r="I12733" s="26">
        <v>43530.711307870399</v>
      </c>
      <c r="J12733" s="28" t="s">
        <v>52</v>
      </c>
      <c r="K12733" s="28" t="s">
        <v>52</v>
      </c>
      <c r="L12733" s="28" t="s">
        <v>52</v>
      </c>
      <c r="M12733" s="28" t="s">
        <v>52</v>
      </c>
      <c r="N12733" s="28" t="s">
        <v>52</v>
      </c>
    </row>
    <row r="12734" spans="1:14" x14ac:dyDescent="0.15">
      <c r="A12734" s="23" t="str">
        <f>HYPERLINK("https://www.spark-marketing.ru/Card/Person/46142", "ГБУ ""АВТОЗАВОДСКИЙ ПНИ""")</f>
        <v>ГБУ "АВТОЗАВОДСКИЙ ПНИ"</v>
      </c>
      <c r="B12734" s="24" t="s">
        <v>13753</v>
      </c>
      <c r="C12734" s="25">
        <v>25161</v>
      </c>
      <c r="D12734" s="22" t="s">
        <v>15078</v>
      </c>
      <c r="E12734" s="22" t="s">
        <v>53</v>
      </c>
      <c r="F12734" s="23" t="str">
        <f>HYPERLINK("https://www.spark-marketing.ru/Card/Lot/69645082", "Техническое обслуживание системы видеонаблюдения. 50")</f>
        <v>Техническое обслуживание системы видеонаблюдения. 50</v>
      </c>
      <c r="G12734" s="22" t="s">
        <v>64</v>
      </c>
      <c r="H12734" s="22" t="s">
        <v>65</v>
      </c>
      <c r="I12734" s="26">
        <v>43530.709027777797</v>
      </c>
      <c r="J12734" s="28" t="s">
        <v>52</v>
      </c>
      <c r="K12734" s="28" t="s">
        <v>52</v>
      </c>
      <c r="L12734" s="28" t="s">
        <v>52</v>
      </c>
      <c r="M12734" s="28" t="s">
        <v>52</v>
      </c>
      <c r="N12734" s="28" t="s">
        <v>52</v>
      </c>
    </row>
    <row r="12735" spans="1:14" x14ac:dyDescent="0.15">
      <c r="A12735" s="23" t="str">
        <f>HYPERLINK("https://www.spark-marketing.ru/Card/Person/13124", "ФБУ ЦЕНТР РЕАБИЛИТАЦИИ ФОНДА СОЦИАЛЬНОГО СТРАХОВАНИЯ РОССИЙСКОЙ ФЕДЕРАЦИИ ""КРИСТАЛЛ""")</f>
        <v>ФБУ ЦЕНТР РЕАБИЛИТАЦИИ ФОНДА СОЦИАЛЬНОГО СТРАХОВАНИЯ РОССИЙСКОЙ ФЕДЕРАЦИИ "КРИСТАЛЛ"</v>
      </c>
      <c r="B12735" s="24" t="s">
        <v>10556</v>
      </c>
      <c r="C12735" s="25">
        <v>363000</v>
      </c>
      <c r="D12735" s="22" t="s">
        <v>15079</v>
      </c>
      <c r="E12735" s="22" t="s">
        <v>10558</v>
      </c>
      <c r="F12735" s="23" t="str">
        <f>HYPERLINK("https://www.spark-marketing.ru/Card/Lot/68530766", "Оказание услуг по предоставлению во временное пользование оборудования для оказания охранных услуг")</f>
        <v>Оказание услуг по предоставлению во временное пользование оборудования для оказания охранных услуг</v>
      </c>
      <c r="G12735" s="22" t="s">
        <v>132</v>
      </c>
      <c r="H12735" s="22" t="s">
        <v>132</v>
      </c>
      <c r="I12735" s="26">
        <v>43530.690972222197</v>
      </c>
      <c r="J12735" s="23" t="str">
        <f>HYPERLINK("https://www.spark-marketing.ru/Card/Person/154689", "ООО ЧОО ""САРМАТ""")</f>
        <v>ООО ЧОО "САРМАТ"</v>
      </c>
      <c r="K12735" s="24" t="s">
        <v>10559</v>
      </c>
      <c r="L12735" s="22" t="s">
        <v>10</v>
      </c>
      <c r="M12735" s="28" t="s">
        <v>52</v>
      </c>
      <c r="N12735" s="28" t="s">
        <v>52</v>
      </c>
    </row>
    <row r="12736" spans="1:14" x14ac:dyDescent="0.15">
      <c r="A12736" s="23" t="str">
        <f>HYPERLINK("https://www.spark-marketing.ru/Card/Person/16488", "АДМИНИСТРАЦИЯ ГОРОДА КЕМЕРОВО")</f>
        <v>АДМИНИСТРАЦИЯ ГОРОДА КЕМЕРОВО</v>
      </c>
      <c r="B12736" s="24" t="s">
        <v>879</v>
      </c>
      <c r="C12736" s="25">
        <v>59384</v>
      </c>
      <c r="D12736" s="22" t="s">
        <v>15080</v>
      </c>
      <c r="E12736" s="22" t="s">
        <v>84</v>
      </c>
      <c r="F12736" s="23" t="str">
        <f>HYPERLINK("https://www.spark-marketing.ru/Card/Lot/68524808", "Установка видеонаблюдения")</f>
        <v>Установка видеонаблюдения</v>
      </c>
      <c r="G12736" s="22" t="s">
        <v>367</v>
      </c>
      <c r="H12736" s="22" t="s">
        <v>881</v>
      </c>
      <c r="I12736" s="26">
        <v>43530.697222222203</v>
      </c>
      <c r="J12736" s="28" t="s">
        <v>52</v>
      </c>
      <c r="K12736" s="28" t="s">
        <v>52</v>
      </c>
      <c r="L12736" s="28" t="s">
        <v>52</v>
      </c>
      <c r="M12736" s="28" t="s">
        <v>52</v>
      </c>
      <c r="N12736" s="28" t="s">
        <v>52</v>
      </c>
    </row>
    <row r="12737" spans="1:14" hidden="1" outlineLevel="1" x14ac:dyDescent="0.2">
      <c r="A12737" s="23" t="str">
        <f>HYPERLINK("https://www.spark-marketing.ru/Card/Person/16488", "АДМИНИСТРАЦИЯ ГОРОДА КЕМЕРОВО")</f>
        <v>АДМИНИСТРАЦИЯ ГОРОДА КЕМЕРОВО</v>
      </c>
      <c r="B12737" s="24" t="s">
        <v>879</v>
      </c>
      <c r="C12737" s="25">
        <v>59384</v>
      </c>
      <c r="D12737" s="22" t="s">
        <v>15080</v>
      </c>
      <c r="E12737" s="22" t="s">
        <v>84</v>
      </c>
      <c r="F12737" s="23" t="str">
        <f>HYPERLINK("https://www.spark-marketing.ru/Card/Lot/68524808", "Установка видеонаблюдения")</f>
        <v>Установка видеонаблюдения</v>
      </c>
      <c r="G12737" s="22" t="s">
        <v>367</v>
      </c>
      <c r="H12737" s="22" t="s">
        <v>881</v>
      </c>
      <c r="I12737" s="26">
        <v>43530.697222222203</v>
      </c>
      <c r="J12737" s="23" t="str">
        <f>HYPERLINK("https://www.spark-marketing.ru/Card/Person/331", "ООО СК ""ГОРИЗОНТ""")</f>
        <v>ООО СК "ГОРИЗОНТ"</v>
      </c>
      <c r="K12737" s="24" t="s">
        <v>15081</v>
      </c>
      <c r="L12737" s="28" t="s">
        <v>52</v>
      </c>
      <c r="M12737" s="25">
        <v>58940</v>
      </c>
      <c r="N12737" s="27">
        <v>7.4767614172167587E-3</v>
      </c>
    </row>
    <row r="12738" spans="1:14" hidden="1" outlineLevel="1" x14ac:dyDescent="0.2">
      <c r="A12738" s="23" t="str">
        <f>HYPERLINK("https://www.spark-marketing.ru/Card/Person/16488", "АДМИНИСТРАЦИЯ ГОРОДА КЕМЕРОВО")</f>
        <v>АДМИНИСТРАЦИЯ ГОРОДА КЕМЕРОВО</v>
      </c>
      <c r="B12738" s="24" t="s">
        <v>879</v>
      </c>
      <c r="C12738" s="25">
        <v>59384</v>
      </c>
      <c r="D12738" s="22" t="s">
        <v>15080</v>
      </c>
      <c r="E12738" s="22" t="s">
        <v>84</v>
      </c>
      <c r="F12738" s="23" t="str">
        <f>HYPERLINK("https://www.spark-marketing.ru/Card/Lot/68524808", "Установка видеонаблюдения")</f>
        <v>Установка видеонаблюдения</v>
      </c>
      <c r="G12738" s="22" t="s">
        <v>367</v>
      </c>
      <c r="H12738" s="22" t="s">
        <v>881</v>
      </c>
      <c r="I12738" s="26">
        <v>43530.697222222203</v>
      </c>
      <c r="J12738" s="23" t="str">
        <f>HYPERLINK("https://www.spark-marketing.ru/Card/Person/2562620", "ООО ""НАРОДНЫЙ ИНТЕРНЕТ""")</f>
        <v>ООО "НАРОДНЫЙ ИНТЕРНЕТ"</v>
      </c>
      <c r="K12738" s="24" t="s">
        <v>15082</v>
      </c>
      <c r="L12738" s="28" t="s">
        <v>52</v>
      </c>
      <c r="M12738" s="25">
        <v>45000</v>
      </c>
      <c r="N12738" s="27">
        <v>0.24222012663343662</v>
      </c>
    </row>
    <row r="12739" spans="1:14" ht="12.75" hidden="1" outlineLevel="1" x14ac:dyDescent="0.2">
      <c r="A12739" s="23" t="str">
        <f>HYPERLINK("https://www.spark-marketing.ru/Card/Person/16488", "АДМИНИСТРАЦИЯ ГОРОДА КЕМЕРОВО")</f>
        <v>АДМИНИСТРАЦИЯ ГОРОДА КЕМЕРОВО</v>
      </c>
      <c r="B12739" s="24" t="s">
        <v>879</v>
      </c>
      <c r="C12739" s="25">
        <v>59384</v>
      </c>
      <c r="D12739" s="22" t="s">
        <v>15080</v>
      </c>
      <c r="E12739" s="22" t="s">
        <v>84</v>
      </c>
      <c r="F12739" s="23" t="str">
        <f>HYPERLINK("https://www.spark-marketing.ru/Card/Lot/68524808", "Установка видеонаблюдения")</f>
        <v>Установка видеонаблюдения</v>
      </c>
      <c r="G12739" s="22" t="s">
        <v>367</v>
      </c>
      <c r="H12739" s="22" t="s">
        <v>881</v>
      </c>
      <c r="I12739" s="26">
        <v>43530.697222222203</v>
      </c>
      <c r="J12739" s="23" t="str">
        <f>HYPERLINK("https://www.spark-marketing.ru/Card/Person/59808", "ООО ""ФОРТУНА ПЛЮС""")</f>
        <v>ООО "ФОРТУНА ПЛЮС"</v>
      </c>
      <c r="K12739" s="24" t="s">
        <v>4403</v>
      </c>
      <c r="L12739" s="22" t="s">
        <v>10</v>
      </c>
      <c r="M12739" s="25">
        <v>44800</v>
      </c>
      <c r="N12739" s="27">
        <v>0.24558803718173244</v>
      </c>
    </row>
    <row r="12740" spans="1:14" hidden="1" outlineLevel="1" x14ac:dyDescent="0.2">
      <c r="A12740" s="23" t="str">
        <f>HYPERLINK("https://www.spark-marketing.ru/Card/Person/16488", "АДМИНИСТРАЦИЯ ГОРОДА КЕМЕРОВО")</f>
        <v>АДМИНИСТРАЦИЯ ГОРОДА КЕМЕРОВО</v>
      </c>
      <c r="B12740" s="24" t="s">
        <v>879</v>
      </c>
      <c r="C12740" s="25">
        <v>59384</v>
      </c>
      <c r="D12740" s="22" t="s">
        <v>15080</v>
      </c>
      <c r="E12740" s="22" t="s">
        <v>84</v>
      </c>
      <c r="F12740" s="23" t="str">
        <f>HYPERLINK("https://www.spark-marketing.ru/Card/Lot/68524808", "Установка видеонаблюдения")</f>
        <v>Установка видеонаблюдения</v>
      </c>
      <c r="G12740" s="22" t="s">
        <v>367</v>
      </c>
      <c r="H12740" s="22" t="s">
        <v>881</v>
      </c>
      <c r="I12740" s="26">
        <v>43530.697222222203</v>
      </c>
      <c r="J12740" s="23" t="str">
        <f>HYPERLINK("https://www.spark-marketing.ru/Card/Person/113787", "ООО ЧОО ""АСТРА""")</f>
        <v>ООО ЧОО "АСТРА"</v>
      </c>
      <c r="K12740" s="24" t="s">
        <v>15083</v>
      </c>
      <c r="L12740" s="28" t="s">
        <v>52</v>
      </c>
      <c r="M12740" s="25">
        <v>59384</v>
      </c>
      <c r="N12740" s="27">
        <v>0</v>
      </c>
    </row>
    <row r="12741" spans="1:14" x14ac:dyDescent="0.15">
      <c r="A12741" s="23" t="str">
        <f>HYPERLINK("https://www.spark-marketing.ru/Card/Person/4343549", "СУ СК РОССИИ ПО Г. СЕВАСТОПОЛЮ")</f>
        <v>СУ СК РОССИИ ПО Г. СЕВАСТОПОЛЮ</v>
      </c>
      <c r="B12741" s="24" t="s">
        <v>15084</v>
      </c>
      <c r="C12741" s="25">
        <v>879012</v>
      </c>
      <c r="D12741" s="22" t="s">
        <v>15085</v>
      </c>
      <c r="E12741" s="22" t="s">
        <v>68</v>
      </c>
      <c r="F12741" s="23" t="str">
        <f>HYPERLINK("https://www.spark-marketing.ru/Card/Lot/68530105", "услуги по обеспечению охраны объектов Заказчика")</f>
        <v>услуги по обеспечению охраны объектов Заказчика</v>
      </c>
      <c r="G12741" s="22" t="s">
        <v>714</v>
      </c>
      <c r="H12741" s="22" t="s">
        <v>714</v>
      </c>
      <c r="I12741" s="26">
        <v>43530.675694444399</v>
      </c>
      <c r="J12741" s="28" t="s">
        <v>52</v>
      </c>
      <c r="K12741" s="28" t="s">
        <v>52</v>
      </c>
      <c r="L12741" s="28" t="s">
        <v>52</v>
      </c>
      <c r="M12741" s="28" t="s">
        <v>52</v>
      </c>
      <c r="N12741" s="28" t="s">
        <v>52</v>
      </c>
    </row>
    <row r="12742" spans="1:14" x14ac:dyDescent="0.15">
      <c r="A12742" s="23" t="str">
        <f>HYPERLINK("https://www.spark-marketing.ru/Card/Person/60155", "МБДОУ ДЕТСКИЙ САД №51")</f>
        <v>МБДОУ ДЕТСКИЙ САД №51</v>
      </c>
      <c r="B12742" s="24" t="s">
        <v>15086</v>
      </c>
      <c r="C12742" s="25">
        <v>36000</v>
      </c>
      <c r="D12742" s="22" t="s">
        <v>15087</v>
      </c>
      <c r="E12742" s="22" t="s">
        <v>103</v>
      </c>
      <c r="F12742" s="23" t="str">
        <f>HYPERLINK("https://www.spark-marketing.ru/Card/Lot/68533592", "Оказание услуг по техническому обслуживанию, содержанию и передачи видеоизображения с места нахождения")</f>
        <v>Оказание услуг по техническому обслуживанию, содержанию и передачи видеоизображения с места нахождения</v>
      </c>
      <c r="G12742" s="22" t="s">
        <v>50</v>
      </c>
      <c r="H12742" s="22" t="s">
        <v>2332</v>
      </c>
      <c r="I12742" s="26">
        <v>43530.659456018497</v>
      </c>
      <c r="J12742" s="28" t="s">
        <v>52</v>
      </c>
      <c r="K12742" s="28" t="s">
        <v>52</v>
      </c>
      <c r="L12742" s="28" t="s">
        <v>52</v>
      </c>
      <c r="M12742" s="28" t="s">
        <v>52</v>
      </c>
      <c r="N12742" s="28" t="s">
        <v>52</v>
      </c>
    </row>
    <row r="12743" spans="1:14" x14ac:dyDescent="0.15">
      <c r="A12743" s="23" t="str">
        <f>HYPERLINK("https://www.spark-marketing.ru/Card/Person/153985", "МБДОУ ""ДЕТСКИЙ САД № 203 ""НЕПОСЕДЫ"" Г. ЧЕБОКСАРЫ")</f>
        <v>МБДОУ "ДЕТСКИЙ САД № 203 "НЕПОСЕДЫ" Г. ЧЕБОКСАРЫ</v>
      </c>
      <c r="B12743" s="24" t="s">
        <v>15088</v>
      </c>
      <c r="C12743" s="25">
        <v>25751.81</v>
      </c>
      <c r="D12743" s="22" t="s">
        <v>15089</v>
      </c>
      <c r="E12743" s="22" t="s">
        <v>68</v>
      </c>
      <c r="F12743" s="23" t="str">
        <f>HYPERLINK("https://www.spark-marketing.ru/Card/Lot/68526304", "оказание услуг по техническому обслуживанию средств охранной и тревожной сигнализации МБДОУ «Детский сад №203 «Непоседы», г. Чебоксары.")</f>
        <v>оказание услуг по техническому обслуживанию средств охранной и тревожной сигнализации МБДОУ «Детский сад №203 «Непоседы», г. Чебоксары.</v>
      </c>
      <c r="G12743" s="22" t="s">
        <v>1137</v>
      </c>
      <c r="H12743" s="22" t="s">
        <v>1138</v>
      </c>
      <c r="I12743" s="26">
        <v>43530.645138888904</v>
      </c>
      <c r="J12743" s="28" t="s">
        <v>52</v>
      </c>
      <c r="K12743" s="28" t="s">
        <v>52</v>
      </c>
      <c r="L12743" s="28" t="s">
        <v>52</v>
      </c>
      <c r="M12743" s="28" t="s">
        <v>52</v>
      </c>
      <c r="N12743" s="28" t="s">
        <v>52</v>
      </c>
    </row>
    <row r="12744" spans="1:14" x14ac:dyDescent="0.15">
      <c r="A12744" s="23" t="str">
        <f t="shared" ref="A12744:A12749" si="664">HYPERLINK("https://www.spark-marketing.ru/Card/Person/19886", "МБУК ЦКС УГО")</f>
        <v>МБУК ЦКС УГО</v>
      </c>
      <c r="B12744" s="24" t="s">
        <v>15090</v>
      </c>
      <c r="C12744" s="25">
        <v>206807.74</v>
      </c>
      <c r="D12744" s="22" t="s">
        <v>15091</v>
      </c>
      <c r="E12744" s="22" t="s">
        <v>2221</v>
      </c>
      <c r="F12744" s="23" t="str">
        <f t="shared" ref="F12744:F12749" si="665">HYPERLINK("https://www.spark-marketing.ru/Card/Lot/68512120", "Оказание услуг по монтажу и наладке системы видеонаблюдения для дома культуры регионального значения")</f>
        <v>Оказание услуг по монтажу и наладке системы видеонаблюдения для дома культуры регионального значения</v>
      </c>
      <c r="G12744" s="22" t="s">
        <v>409</v>
      </c>
      <c r="H12744" s="22" t="s">
        <v>409</v>
      </c>
      <c r="I12744" s="26">
        <v>43530.626388888901</v>
      </c>
      <c r="J12744" s="28" t="s">
        <v>52</v>
      </c>
      <c r="K12744" s="28" t="s">
        <v>52</v>
      </c>
      <c r="L12744" s="28" t="s">
        <v>52</v>
      </c>
      <c r="M12744" s="28" t="s">
        <v>52</v>
      </c>
      <c r="N12744" s="28" t="s">
        <v>52</v>
      </c>
    </row>
    <row r="12745" spans="1:14" hidden="1" outlineLevel="1" x14ac:dyDescent="0.2">
      <c r="A12745" s="23" t="str">
        <f t="shared" si="664"/>
        <v>МБУК ЦКС УГО</v>
      </c>
      <c r="B12745" s="24" t="s">
        <v>15090</v>
      </c>
      <c r="C12745" s="25">
        <v>206807.74</v>
      </c>
      <c r="D12745" s="22" t="s">
        <v>15091</v>
      </c>
      <c r="E12745" s="22" t="s">
        <v>2221</v>
      </c>
      <c r="F12745" s="23" t="str">
        <f t="shared" si="665"/>
        <v>Оказание услуг по монтажу и наладке системы видеонаблюдения для дома культуры регионального значения</v>
      </c>
      <c r="G12745" s="22" t="s">
        <v>409</v>
      </c>
      <c r="H12745" s="22" t="s">
        <v>409</v>
      </c>
      <c r="I12745" s="26">
        <v>43530.626388888901</v>
      </c>
      <c r="J12745" s="23" t="str">
        <f>HYPERLINK("https://www.spark-marketing.ru/Card/Person/1107749", "ООО ""К-СИСТЕМЫ БЕЗОПАСНОСТИ""")</f>
        <v>ООО "К-СИСТЕМЫ БЕЗОПАСНОСТИ"</v>
      </c>
      <c r="K12745" s="24" t="s">
        <v>15092</v>
      </c>
      <c r="L12745" s="28" t="s">
        <v>52</v>
      </c>
      <c r="M12745" s="25">
        <v>137300</v>
      </c>
      <c r="N12745" s="27">
        <v>0.33609834912368369</v>
      </c>
    </row>
    <row r="12746" spans="1:14" hidden="1" outlineLevel="1" x14ac:dyDescent="0.2">
      <c r="A12746" s="23" t="str">
        <f t="shared" si="664"/>
        <v>МБУК ЦКС УГО</v>
      </c>
      <c r="B12746" s="24" t="s">
        <v>15090</v>
      </c>
      <c r="C12746" s="25">
        <v>206807.74</v>
      </c>
      <c r="D12746" s="22" t="s">
        <v>15091</v>
      </c>
      <c r="E12746" s="22" t="s">
        <v>2221</v>
      </c>
      <c r="F12746" s="23" t="str">
        <f t="shared" si="665"/>
        <v>Оказание услуг по монтажу и наладке системы видеонаблюдения для дома культуры регионального значения</v>
      </c>
      <c r="G12746" s="22" t="s">
        <v>409</v>
      </c>
      <c r="H12746" s="22" t="s">
        <v>409</v>
      </c>
      <c r="I12746" s="26">
        <v>43530.626388888901</v>
      </c>
      <c r="J12746" s="23" t="str">
        <f>HYPERLINK("https://www.spark-marketing.ru/Card/Person/472489", "Суртаев Андрей Алексеевич")</f>
        <v>Суртаев Андрей Алексеевич</v>
      </c>
      <c r="K12746" s="24" t="s">
        <v>15093</v>
      </c>
      <c r="L12746" s="28" t="s">
        <v>52</v>
      </c>
      <c r="M12746" s="25">
        <v>175000</v>
      </c>
      <c r="N12746" s="27">
        <v>0.15380343114817657</v>
      </c>
    </row>
    <row r="12747" spans="1:14" hidden="1" outlineLevel="1" x14ac:dyDescent="0.2">
      <c r="A12747" s="23" t="str">
        <f t="shared" si="664"/>
        <v>МБУК ЦКС УГО</v>
      </c>
      <c r="B12747" s="24" t="s">
        <v>15090</v>
      </c>
      <c r="C12747" s="25">
        <v>206807.74</v>
      </c>
      <c r="D12747" s="22" t="s">
        <v>15091</v>
      </c>
      <c r="E12747" s="22" t="s">
        <v>2221</v>
      </c>
      <c r="F12747" s="23" t="str">
        <f t="shared" si="665"/>
        <v>Оказание услуг по монтажу и наладке системы видеонаблюдения для дома культуры регионального значения</v>
      </c>
      <c r="G12747" s="22" t="s">
        <v>409</v>
      </c>
      <c r="H12747" s="22" t="s">
        <v>409</v>
      </c>
      <c r="I12747" s="26">
        <v>43530.626388888901</v>
      </c>
      <c r="J12747" s="23" t="str">
        <f>HYPERLINK("https://www.spark-marketing.ru/Card/Person/953485", "ООО ""ЭКЛИПТИКА""")</f>
        <v>ООО "ЭКЛИПТИКА"</v>
      </c>
      <c r="K12747" s="24" t="s">
        <v>15094</v>
      </c>
      <c r="L12747" s="28" t="s">
        <v>52</v>
      </c>
      <c r="M12747" s="25">
        <v>157173.88</v>
      </c>
      <c r="N12747" s="27">
        <v>0.24000001160498152</v>
      </c>
    </row>
    <row r="12748" spans="1:14" ht="12.75" hidden="1" outlineLevel="1" x14ac:dyDescent="0.2">
      <c r="A12748" s="23" t="str">
        <f t="shared" si="664"/>
        <v>МБУК ЦКС УГО</v>
      </c>
      <c r="B12748" s="24" t="s">
        <v>15090</v>
      </c>
      <c r="C12748" s="25">
        <v>206807.74</v>
      </c>
      <c r="D12748" s="22" t="s">
        <v>15091</v>
      </c>
      <c r="E12748" s="22" t="s">
        <v>2221</v>
      </c>
      <c r="F12748" s="23" t="str">
        <f t="shared" si="665"/>
        <v>Оказание услуг по монтажу и наладке системы видеонаблюдения для дома культуры регионального значения</v>
      </c>
      <c r="G12748" s="22" t="s">
        <v>409</v>
      </c>
      <c r="H12748" s="22" t="s">
        <v>409</v>
      </c>
      <c r="I12748" s="26">
        <v>43530.626388888901</v>
      </c>
      <c r="J12748" s="23" t="str">
        <f>HYPERLINK("https://www.spark-marketing.ru/Card/Person/6447988", "Степченко Роман Олегович")</f>
        <v>Степченко Роман Олегович</v>
      </c>
      <c r="K12748" s="24" t="s">
        <v>12343</v>
      </c>
      <c r="L12748" s="22" t="s">
        <v>10</v>
      </c>
      <c r="M12748" s="25">
        <v>136265.96</v>
      </c>
      <c r="N12748" s="27">
        <v>0.34109835540971534</v>
      </c>
    </row>
    <row r="12749" spans="1:14" hidden="1" outlineLevel="1" x14ac:dyDescent="0.2">
      <c r="A12749" s="23" t="str">
        <f t="shared" si="664"/>
        <v>МБУК ЦКС УГО</v>
      </c>
      <c r="B12749" s="24" t="s">
        <v>15090</v>
      </c>
      <c r="C12749" s="25">
        <v>206807.74</v>
      </c>
      <c r="D12749" s="22" t="s">
        <v>15091</v>
      </c>
      <c r="E12749" s="22" t="s">
        <v>2221</v>
      </c>
      <c r="F12749" s="23" t="str">
        <f t="shared" si="665"/>
        <v>Оказание услуг по монтажу и наладке системы видеонаблюдения для дома культуры регионального значения</v>
      </c>
      <c r="G12749" s="22" t="s">
        <v>409</v>
      </c>
      <c r="H12749" s="22" t="s">
        <v>409</v>
      </c>
      <c r="I12749" s="26">
        <v>43530.626388888901</v>
      </c>
      <c r="J12749" s="23" t="str">
        <f>HYPERLINK("https://www.spark-marketing.ru/Card/Person/5904114", "ООО ""АЛЬТСПЕЦМОНТАЖ""")</f>
        <v>ООО "АЛЬТСПЕЦМОНТАЖ"</v>
      </c>
      <c r="K12749" s="24" t="s">
        <v>15095</v>
      </c>
      <c r="L12749" s="28" t="s">
        <v>52</v>
      </c>
      <c r="M12749" s="25">
        <v>157000</v>
      </c>
      <c r="N12749" s="27">
        <v>0.24084079251579268</v>
      </c>
    </row>
    <row r="12750" spans="1:14" x14ac:dyDescent="0.15">
      <c r="A12750" s="23" t="str">
        <f>HYPERLINK("https://www.spark-marketing.ru/Card/Person/20683", "ФКУ УПРДОР ""ХОЛМОГОРЫ""")</f>
        <v>ФКУ УПРДОР "ХОЛМОГОРЫ"</v>
      </c>
      <c r="B12750" s="24" t="s">
        <v>3172</v>
      </c>
      <c r="C12750" s="25">
        <v>33279895</v>
      </c>
      <c r="D12750" s="22" t="s">
        <v>15096</v>
      </c>
      <c r="E12750" s="22" t="s">
        <v>15097</v>
      </c>
      <c r="F12750" s="23" t="str">
        <f>HYPERLINK("https://www.spark-marketing.ru/Card/Lot/68530465", "Оплата за потребляемую электроэнергию, в том числе на объектах транспортной безопасности, в рамках выполнения работ по содержанию линий электроосвещения на автомобильных дорогах общего пользования федерального значения М-8 «Холмогоры» Москва - Яросла...")</f>
        <v>Оплата за потребляемую электроэнергию, в том числе на объектах транспортной безопасности, в рамках выполнения работ по содержанию линий электроосвещения на автомобильных дорогах общего пользования федерального значения М-8 «Холмогоры» Москва - Яросла...</v>
      </c>
      <c r="G12750" s="22" t="s">
        <v>902</v>
      </c>
      <c r="H12750" s="22" t="s">
        <v>902</v>
      </c>
      <c r="I12750" s="26">
        <v>43530.647916666698</v>
      </c>
      <c r="J12750" s="23" t="str">
        <f>HYPERLINK("https://www.spark-marketing.ru/Card/Person/45405", "ООО ""АВТОДОРОГИ""")</f>
        <v>ООО "АВТОДОРОГИ"</v>
      </c>
      <c r="K12750" s="24" t="s">
        <v>15098</v>
      </c>
      <c r="L12750" s="22" t="s">
        <v>10</v>
      </c>
      <c r="M12750" s="28" t="s">
        <v>52</v>
      </c>
      <c r="N12750" s="28" t="s">
        <v>52</v>
      </c>
    </row>
    <row r="12751" spans="1:14" x14ac:dyDescent="0.15">
      <c r="A12751" s="23" t="str">
        <f>HYPERLINK("https://www.spark-marketing.ru/Card/Person/114329", "МБДОУ ДЕТСКИЙ САД №53")</f>
        <v>МБДОУ ДЕТСКИЙ САД №53</v>
      </c>
      <c r="B12751" s="24" t="s">
        <v>8587</v>
      </c>
      <c r="C12751" s="25">
        <v>36000</v>
      </c>
      <c r="D12751" s="22" t="s">
        <v>15099</v>
      </c>
      <c r="E12751" s="22" t="s">
        <v>103</v>
      </c>
      <c r="F12751" s="23" t="str">
        <f>HYPERLINK("https://www.spark-marketing.ru/Card/Lot/68533572", "Оказание услуг по техническому обслуживанию, содержанию и передачи видеоизображения с места нахождения")</f>
        <v>Оказание услуг по техническому обслуживанию, содержанию и передачи видеоизображения с места нахождения</v>
      </c>
      <c r="G12751" s="22" t="s">
        <v>50</v>
      </c>
      <c r="H12751" s="22" t="s">
        <v>2430</v>
      </c>
      <c r="I12751" s="26">
        <v>43530.6488425926</v>
      </c>
      <c r="J12751" s="28" t="s">
        <v>52</v>
      </c>
      <c r="K12751" s="28" t="s">
        <v>52</v>
      </c>
      <c r="L12751" s="28" t="s">
        <v>52</v>
      </c>
      <c r="M12751" s="28" t="s">
        <v>52</v>
      </c>
      <c r="N12751" s="28" t="s">
        <v>52</v>
      </c>
    </row>
    <row r="12752" spans="1:14" x14ac:dyDescent="0.15">
      <c r="A12752" s="23" t="s">
        <v>121</v>
      </c>
      <c r="B12752" s="28" t="s">
        <v>52</v>
      </c>
      <c r="C12752" s="25">
        <v>841050</v>
      </c>
      <c r="D12752" s="22" t="s">
        <v>15100</v>
      </c>
      <c r="E12752" s="22" t="s">
        <v>103</v>
      </c>
      <c r="F12752" s="23" t="str">
        <f t="shared" ref="F12752:F12789" si="666">HYPERLINK("https://www.spark-marketing.ru/Card/Lot/68526151", "Право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f>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52" s="22" t="s">
        <v>52</v>
      </c>
      <c r="H12752" s="22" t="s">
        <v>52</v>
      </c>
      <c r="I12752" s="26">
        <v>43530.6</v>
      </c>
      <c r="J12752" s="28" t="s">
        <v>52</v>
      </c>
      <c r="K12752" s="28" t="s">
        <v>52</v>
      </c>
      <c r="L12752" s="28" t="s">
        <v>52</v>
      </c>
      <c r="M12752" s="28" t="s">
        <v>52</v>
      </c>
      <c r="N12752" s="28" t="s">
        <v>52</v>
      </c>
    </row>
    <row r="12753" spans="1:14" hidden="1" outlineLevel="1" x14ac:dyDescent="0.15">
      <c r="A12753" s="23" t="str">
        <f>HYPERLINK("https://www.spark-marketing.ru/Card/Person/149338", "МБДОУ ""ДЕТСКИЙ САД ОБЩЕРАЗВИВАЮЩЕГО ВИДА №13"" НМР РТ")</f>
        <v>МБДОУ "ДЕТСКИЙ САД ОБЩЕРАЗВИВАЮЩЕГО ВИДА №13" НМР РТ</v>
      </c>
      <c r="B12753" s="24" t="s">
        <v>15101</v>
      </c>
      <c r="C12753" s="25">
        <v>16200</v>
      </c>
      <c r="D12753" s="22" t="s">
        <v>15100</v>
      </c>
      <c r="E12753" s="22" t="s">
        <v>103</v>
      </c>
      <c r="F12753"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53" s="22" t="s">
        <v>204</v>
      </c>
      <c r="H12753" s="22" t="s">
        <v>824</v>
      </c>
      <c r="I12753" s="26">
        <v>43530.6</v>
      </c>
      <c r="J12753" s="28" t="s">
        <v>52</v>
      </c>
      <c r="K12753" s="28" t="s">
        <v>52</v>
      </c>
      <c r="L12753" s="28" t="s">
        <v>52</v>
      </c>
      <c r="M12753" s="28" t="s">
        <v>52</v>
      </c>
      <c r="N12753" s="28" t="s">
        <v>52</v>
      </c>
    </row>
    <row r="12754" spans="1:14" hidden="1" outlineLevel="1" x14ac:dyDescent="0.15">
      <c r="A12754" s="23" t="str">
        <f>HYPERLINK("https://www.spark-marketing.ru/Card/Person/149883", "МБДОУ ""ДЕТСКИЙ САД ОБЩЕРАЗВИВАЮЩЕГО ВИДА №16"" НМР РТ")</f>
        <v>МБДОУ "ДЕТСКИЙ САД ОБЩЕРАЗВИВАЮЩЕГО ВИДА №16" НМР РТ</v>
      </c>
      <c r="B12754" s="24" t="s">
        <v>15102</v>
      </c>
      <c r="C12754" s="25">
        <v>25200</v>
      </c>
      <c r="D12754" s="22" t="s">
        <v>15100</v>
      </c>
      <c r="E12754" s="22" t="s">
        <v>103</v>
      </c>
      <c r="F12754"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54" s="22" t="s">
        <v>204</v>
      </c>
      <c r="H12754" s="22" t="s">
        <v>824</v>
      </c>
      <c r="I12754" s="26">
        <v>43530.6</v>
      </c>
      <c r="J12754" s="28" t="s">
        <v>52</v>
      </c>
      <c r="K12754" s="28" t="s">
        <v>52</v>
      </c>
      <c r="L12754" s="28" t="s">
        <v>52</v>
      </c>
      <c r="M12754" s="28" t="s">
        <v>52</v>
      </c>
      <c r="N12754" s="28" t="s">
        <v>52</v>
      </c>
    </row>
    <row r="12755" spans="1:14" hidden="1" outlineLevel="1" x14ac:dyDescent="0.15">
      <c r="A12755" s="23" t="str">
        <f>HYPERLINK("https://www.spark-marketing.ru/Card/Person/149911", "МБДОУ ""ДЕТСКИЙ САД КОМБИНИРОВАННОГО ВИДА №24"" НМР РТ")</f>
        <v>МБДОУ "ДЕТСКИЙ САД КОМБИНИРОВАННОГО ВИДА №24" НМР РТ</v>
      </c>
      <c r="B12755" s="24" t="s">
        <v>15103</v>
      </c>
      <c r="C12755" s="25">
        <v>24075</v>
      </c>
      <c r="D12755" s="22" t="s">
        <v>15100</v>
      </c>
      <c r="E12755" s="22" t="s">
        <v>103</v>
      </c>
      <c r="F12755"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55" s="22" t="s">
        <v>204</v>
      </c>
      <c r="H12755" s="22" t="s">
        <v>824</v>
      </c>
      <c r="I12755" s="26">
        <v>43530.6</v>
      </c>
      <c r="J12755" s="28" t="s">
        <v>52</v>
      </c>
      <c r="K12755" s="28" t="s">
        <v>52</v>
      </c>
      <c r="L12755" s="28" t="s">
        <v>52</v>
      </c>
      <c r="M12755" s="28" t="s">
        <v>52</v>
      </c>
      <c r="N12755" s="28" t="s">
        <v>52</v>
      </c>
    </row>
    <row r="12756" spans="1:14" hidden="1" outlineLevel="1" x14ac:dyDescent="0.15">
      <c r="A12756" s="23" t="str">
        <f>HYPERLINK("https://www.spark-marketing.ru/Card/Person/149957", "МАДОУ ""ДЕТСКИЙ САД ОБЩЕРАЗВИВАЮЩЕГО ВИДА №15"" НМР РТ")</f>
        <v>МАДОУ "ДЕТСКИЙ САД ОБЩЕРАЗВИВАЮЩЕГО ВИДА №15" НМР РТ</v>
      </c>
      <c r="B12756" s="24" t="s">
        <v>15104</v>
      </c>
      <c r="C12756" s="25">
        <v>28575</v>
      </c>
      <c r="D12756" s="22" t="s">
        <v>15100</v>
      </c>
      <c r="E12756" s="22" t="s">
        <v>103</v>
      </c>
      <c r="F12756"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56" s="22" t="s">
        <v>204</v>
      </c>
      <c r="H12756" s="22" t="s">
        <v>824</v>
      </c>
      <c r="I12756" s="26">
        <v>43530.6</v>
      </c>
      <c r="J12756" s="28" t="s">
        <v>52</v>
      </c>
      <c r="K12756" s="28" t="s">
        <v>52</v>
      </c>
      <c r="L12756" s="28" t="s">
        <v>52</v>
      </c>
      <c r="M12756" s="28" t="s">
        <v>52</v>
      </c>
      <c r="N12756" s="28" t="s">
        <v>52</v>
      </c>
    </row>
    <row r="12757" spans="1:14" hidden="1" outlineLevel="1" x14ac:dyDescent="0.15">
      <c r="A12757" s="23" t="str">
        <f>HYPERLINK("https://www.spark-marketing.ru/Card/Person/152384", "МБДОУ ""ЦЕНТР РАЗВИТИЯ РЕБЕНКА - ДЕТСКИЙ САД № 89"" НМР РТ")</f>
        <v>МБДОУ "ЦЕНТР РАЗВИТИЯ РЕБЕНКА - ДЕТСКИЙ САД № 89" НМР РТ</v>
      </c>
      <c r="B12757" s="24" t="s">
        <v>15105</v>
      </c>
      <c r="C12757" s="25">
        <v>25650</v>
      </c>
      <c r="D12757" s="22" t="s">
        <v>15100</v>
      </c>
      <c r="E12757" s="22" t="s">
        <v>103</v>
      </c>
      <c r="F12757"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57" s="22" t="s">
        <v>204</v>
      </c>
      <c r="H12757" s="22" t="s">
        <v>824</v>
      </c>
      <c r="I12757" s="26">
        <v>43530.6</v>
      </c>
      <c r="J12757" s="28" t="s">
        <v>52</v>
      </c>
      <c r="K12757" s="28" t="s">
        <v>52</v>
      </c>
      <c r="L12757" s="28" t="s">
        <v>52</v>
      </c>
      <c r="M12757" s="28" t="s">
        <v>52</v>
      </c>
      <c r="N12757" s="28" t="s">
        <v>52</v>
      </c>
    </row>
    <row r="12758" spans="1:14" hidden="1" outlineLevel="1" x14ac:dyDescent="0.15">
      <c r="A12758" s="23" t="str">
        <f>HYPERLINK("https://www.spark-marketing.ru/Card/Person/152394", "МАДОУ ""ДЕТСКИЙ САД КОМБИНИРОВАННОГО ВИДА С ГРУППАМИ ДЛЯ ДЕТЕЙ С НАРУШЕНИЯМИ РЕЧИ №78"" НМР РТ")</f>
        <v>МАДОУ "ДЕТСКИЙ САД КОМБИНИРОВАННОГО ВИДА С ГРУППАМИ ДЛЯ ДЕТЕЙ С НАРУШЕНИЯМИ РЕЧИ №78" НМР РТ</v>
      </c>
      <c r="B12758" s="24" t="s">
        <v>15106</v>
      </c>
      <c r="C12758" s="25">
        <v>27450</v>
      </c>
      <c r="D12758" s="22" t="s">
        <v>15100</v>
      </c>
      <c r="E12758" s="22" t="s">
        <v>103</v>
      </c>
      <c r="F12758"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58" s="22" t="s">
        <v>204</v>
      </c>
      <c r="H12758" s="22" t="s">
        <v>824</v>
      </c>
      <c r="I12758" s="26">
        <v>43530.6</v>
      </c>
      <c r="J12758" s="28" t="s">
        <v>52</v>
      </c>
      <c r="K12758" s="28" t="s">
        <v>52</v>
      </c>
      <c r="L12758" s="28" t="s">
        <v>52</v>
      </c>
      <c r="M12758" s="28" t="s">
        <v>52</v>
      </c>
      <c r="N12758" s="28" t="s">
        <v>52</v>
      </c>
    </row>
    <row r="12759" spans="1:14" hidden="1" outlineLevel="1" x14ac:dyDescent="0.15">
      <c r="A12759" s="23" t="str">
        <f>HYPERLINK("https://www.spark-marketing.ru/Card/Person/152395", "МАДОУ ""ДЕТСКИЙ САД ПРИСМОТРА И ОЗДОРОВЛЕНИЯ ДЛЯ ДЕТЕЙ С АЛЛЕРГИЧЕСКИМИ ЗАБОЛЕВАНИЯМИ №77"" НМР РТ")</f>
        <v>МАДОУ "ДЕТСКИЙ САД ПРИСМОТРА И ОЗДОРОВЛЕНИЯ ДЛЯ ДЕТЕЙ С АЛЛЕРГИЧЕСКИМИ ЗАБОЛЕВАНИЯМИ №77" НМР РТ</v>
      </c>
      <c r="B12759" s="24" t="s">
        <v>15107</v>
      </c>
      <c r="C12759" s="25">
        <v>35550</v>
      </c>
      <c r="D12759" s="22" t="s">
        <v>15100</v>
      </c>
      <c r="E12759" s="22" t="s">
        <v>103</v>
      </c>
      <c r="F12759"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59" s="22" t="s">
        <v>204</v>
      </c>
      <c r="H12759" s="22" t="s">
        <v>824</v>
      </c>
      <c r="I12759" s="26">
        <v>43530.6</v>
      </c>
      <c r="J12759" s="28" t="s">
        <v>52</v>
      </c>
      <c r="K12759" s="28" t="s">
        <v>52</v>
      </c>
      <c r="L12759" s="28" t="s">
        <v>52</v>
      </c>
      <c r="M12759" s="28" t="s">
        <v>52</v>
      </c>
      <c r="N12759" s="28" t="s">
        <v>52</v>
      </c>
    </row>
    <row r="12760" spans="1:14" hidden="1" outlineLevel="1" x14ac:dyDescent="0.15">
      <c r="A12760" s="23" t="str">
        <f>HYPERLINK("https://www.spark-marketing.ru/Card/Person/152448", "МБДОУ ""ДЕТСКИЙ САД ОБЩЕРАЗВИВАЮЩЕГО ВИДА №14"" НМР РТ")</f>
        <v>МБДОУ "ДЕТСКИЙ САД ОБЩЕРАЗВИВАЮЩЕГО ВИДА №14" НМР РТ</v>
      </c>
      <c r="B12760" s="24" t="s">
        <v>15108</v>
      </c>
      <c r="C12760" s="25">
        <v>24075</v>
      </c>
      <c r="D12760" s="22" t="s">
        <v>15100</v>
      </c>
      <c r="E12760" s="22" t="s">
        <v>103</v>
      </c>
      <c r="F12760"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60" s="22" t="s">
        <v>204</v>
      </c>
      <c r="H12760" s="22" t="s">
        <v>824</v>
      </c>
      <c r="I12760" s="26">
        <v>43530.6</v>
      </c>
      <c r="J12760" s="28" t="s">
        <v>52</v>
      </c>
      <c r="K12760" s="28" t="s">
        <v>52</v>
      </c>
      <c r="L12760" s="28" t="s">
        <v>52</v>
      </c>
      <c r="M12760" s="28" t="s">
        <v>52</v>
      </c>
      <c r="N12760" s="28" t="s">
        <v>52</v>
      </c>
    </row>
    <row r="12761" spans="1:14" hidden="1" outlineLevel="1" x14ac:dyDescent="0.15">
      <c r="A12761" s="23" t="str">
        <f>HYPERLINK("https://www.spark-marketing.ru/Card/Person/152463", "МБДОУ ""ДЕТСКИЙ САД ОБЩЕРАЗВИВАЮЩЕГО ВИДА №1"" НМР РТ")</f>
        <v>МБДОУ "ДЕТСКИЙ САД ОБЩЕРАЗВИВАЮЩЕГО ВИДА №1" НМР РТ</v>
      </c>
      <c r="B12761" s="24" t="s">
        <v>15109</v>
      </c>
      <c r="C12761" s="25">
        <v>22950</v>
      </c>
      <c r="D12761" s="22" t="s">
        <v>15100</v>
      </c>
      <c r="E12761" s="22" t="s">
        <v>103</v>
      </c>
      <c r="F12761"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61" s="22" t="s">
        <v>204</v>
      </c>
      <c r="H12761" s="22" t="s">
        <v>824</v>
      </c>
      <c r="I12761" s="26">
        <v>43530.6</v>
      </c>
      <c r="J12761" s="28" t="s">
        <v>52</v>
      </c>
      <c r="K12761" s="28" t="s">
        <v>52</v>
      </c>
      <c r="L12761" s="28" t="s">
        <v>52</v>
      </c>
      <c r="M12761" s="28" t="s">
        <v>52</v>
      </c>
      <c r="N12761" s="28" t="s">
        <v>52</v>
      </c>
    </row>
    <row r="12762" spans="1:14" hidden="1" outlineLevel="1" x14ac:dyDescent="0.15">
      <c r="A12762" s="23" t="str">
        <f>HYPERLINK("https://www.spark-marketing.ru/Card/Person/152469", "МБДОУ ""ДЕТСКИЙ САД ОБЩЕРАЗВИВАЮЩЕГО ВИДА №76"" НМР РТ")</f>
        <v>МБДОУ "ДЕТСКИЙ САД ОБЩЕРАЗВИВАЮЩЕГО ВИДА №76" НМР РТ</v>
      </c>
      <c r="B12762" s="24" t="s">
        <v>15110</v>
      </c>
      <c r="C12762" s="25">
        <v>12600</v>
      </c>
      <c r="D12762" s="22" t="s">
        <v>15100</v>
      </c>
      <c r="E12762" s="22" t="s">
        <v>103</v>
      </c>
      <c r="F12762"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62" s="22" t="s">
        <v>204</v>
      </c>
      <c r="H12762" s="22" t="s">
        <v>824</v>
      </c>
      <c r="I12762" s="26">
        <v>43530.6</v>
      </c>
      <c r="J12762" s="28" t="s">
        <v>52</v>
      </c>
      <c r="K12762" s="28" t="s">
        <v>52</v>
      </c>
      <c r="L12762" s="28" t="s">
        <v>52</v>
      </c>
      <c r="M12762" s="28" t="s">
        <v>52</v>
      </c>
      <c r="N12762" s="28" t="s">
        <v>52</v>
      </c>
    </row>
    <row r="12763" spans="1:14" hidden="1" outlineLevel="1" x14ac:dyDescent="0.15">
      <c r="A12763" s="23" t="str">
        <f>HYPERLINK("https://www.spark-marketing.ru/Card/Person/152480", "МАДОУ ""ДЕТСКИЙ САД №93 ""ЭЛЛЮКИ"" НМР РТ")</f>
        <v>МАДОУ "ДЕТСКИЙ САД №93 "ЭЛЛЮКИ" НМР РТ</v>
      </c>
      <c r="B12763" s="24" t="s">
        <v>15111</v>
      </c>
      <c r="C12763" s="25">
        <v>40275</v>
      </c>
      <c r="D12763" s="22" t="s">
        <v>15100</v>
      </c>
      <c r="E12763" s="22" t="s">
        <v>103</v>
      </c>
      <c r="F12763"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63" s="22" t="s">
        <v>204</v>
      </c>
      <c r="H12763" s="22" t="s">
        <v>824</v>
      </c>
      <c r="I12763" s="26">
        <v>43530.6</v>
      </c>
      <c r="J12763" s="28" t="s">
        <v>52</v>
      </c>
      <c r="K12763" s="28" t="s">
        <v>52</v>
      </c>
      <c r="L12763" s="28" t="s">
        <v>52</v>
      </c>
      <c r="M12763" s="28" t="s">
        <v>52</v>
      </c>
      <c r="N12763" s="28" t="s">
        <v>52</v>
      </c>
    </row>
    <row r="12764" spans="1:14" hidden="1" outlineLevel="1" x14ac:dyDescent="0.15">
      <c r="A12764" s="23" t="str">
        <f>HYPERLINK("https://www.spark-marketing.ru/Card/Person/152933", "МАДОУ ""ДЕТСКИЙ САД ОБЩЕРАЗВИВАЮЩЕГО ВИДА №23"" НМР РТ")</f>
        <v>МАДОУ "ДЕТСКИЙ САД ОБЩЕРАЗВИВАЮЩЕГО ВИДА №23" НМР РТ</v>
      </c>
      <c r="B12764" s="24" t="s">
        <v>15112</v>
      </c>
      <c r="C12764" s="25">
        <v>24075</v>
      </c>
      <c r="D12764" s="22" t="s">
        <v>15100</v>
      </c>
      <c r="E12764" s="22" t="s">
        <v>103</v>
      </c>
      <c r="F12764"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64" s="22" t="s">
        <v>204</v>
      </c>
      <c r="H12764" s="22" t="s">
        <v>824</v>
      </c>
      <c r="I12764" s="26">
        <v>43530.6</v>
      </c>
      <c r="J12764" s="28" t="s">
        <v>52</v>
      </c>
      <c r="K12764" s="28" t="s">
        <v>52</v>
      </c>
      <c r="L12764" s="28" t="s">
        <v>52</v>
      </c>
      <c r="M12764" s="28" t="s">
        <v>52</v>
      </c>
      <c r="N12764" s="28" t="s">
        <v>52</v>
      </c>
    </row>
    <row r="12765" spans="1:14" hidden="1" outlineLevel="1" x14ac:dyDescent="0.15">
      <c r="A12765" s="23" t="str">
        <f>HYPERLINK("https://www.spark-marketing.ru/Card/Person/153141", "МБДОУ ""ДЕТСКИЙ САД №94 ""СОЕНЕЧ"" НМР РТ")</f>
        <v>МБДОУ "ДЕТСКИЙ САД №94 "СОЕНЕЧ" НМР РТ</v>
      </c>
      <c r="B12765" s="24" t="s">
        <v>15113</v>
      </c>
      <c r="C12765" s="25">
        <v>61425</v>
      </c>
      <c r="D12765" s="22" t="s">
        <v>15100</v>
      </c>
      <c r="E12765" s="22" t="s">
        <v>103</v>
      </c>
      <c r="F12765"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65" s="22" t="s">
        <v>204</v>
      </c>
      <c r="H12765" s="22" t="s">
        <v>824</v>
      </c>
      <c r="I12765" s="26">
        <v>43530.6</v>
      </c>
      <c r="J12765" s="28" t="s">
        <v>52</v>
      </c>
      <c r="K12765" s="28" t="s">
        <v>52</v>
      </c>
      <c r="L12765" s="28" t="s">
        <v>52</v>
      </c>
      <c r="M12765" s="28" t="s">
        <v>52</v>
      </c>
      <c r="N12765" s="28" t="s">
        <v>52</v>
      </c>
    </row>
    <row r="12766" spans="1:14" hidden="1" outlineLevel="1" x14ac:dyDescent="0.15">
      <c r="A12766" s="23" t="str">
        <f>HYPERLINK("https://www.spark-marketing.ru/Card/Person/6441930", "МБДОУ ""ЦРР-ДЕТСКИЙ САД № 95 ""МЫ"" НМР РТ")</f>
        <v>МБДОУ "ЦРР-ДЕТСКИЙ САД № 95 "МЫ" НМР РТ</v>
      </c>
      <c r="B12766" s="24" t="s">
        <v>15114</v>
      </c>
      <c r="C12766" s="25">
        <v>36450</v>
      </c>
      <c r="D12766" s="22" t="s">
        <v>15100</v>
      </c>
      <c r="E12766" s="22" t="s">
        <v>103</v>
      </c>
      <c r="F12766"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66" s="22" t="s">
        <v>204</v>
      </c>
      <c r="H12766" s="22" t="s">
        <v>824</v>
      </c>
      <c r="I12766" s="26">
        <v>43530.6</v>
      </c>
      <c r="J12766" s="28" t="s">
        <v>52</v>
      </c>
      <c r="K12766" s="28" t="s">
        <v>52</v>
      </c>
      <c r="L12766" s="28" t="s">
        <v>52</v>
      </c>
      <c r="M12766" s="28" t="s">
        <v>52</v>
      </c>
      <c r="N12766" s="28" t="s">
        <v>52</v>
      </c>
    </row>
    <row r="12767" spans="1:14" hidden="1" outlineLevel="1" x14ac:dyDescent="0.15">
      <c r="A12767" s="23" t="str">
        <f>HYPERLINK("https://www.spark-marketing.ru/Card/Person/149186", "МАДОУ ""ДЕТСКИЙ САД ОБЩЕРАЗВИВАЮЩЕГО ВИДА №43"" НМР РТ")</f>
        <v>МАДОУ "ДЕТСКИЙ САД ОБЩЕРАЗВИВАЮЩЕГО ВИДА №43" НМР РТ</v>
      </c>
      <c r="B12767" s="24" t="s">
        <v>15115</v>
      </c>
      <c r="C12767" s="25">
        <v>28575</v>
      </c>
      <c r="D12767" s="22" t="s">
        <v>15100</v>
      </c>
      <c r="E12767" s="22" t="s">
        <v>103</v>
      </c>
      <c r="F12767"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67" s="22" t="s">
        <v>204</v>
      </c>
      <c r="H12767" s="22" t="s">
        <v>824</v>
      </c>
      <c r="I12767" s="26">
        <v>43530.6</v>
      </c>
      <c r="J12767" s="28" t="s">
        <v>52</v>
      </c>
      <c r="K12767" s="28" t="s">
        <v>52</v>
      </c>
      <c r="L12767" s="28" t="s">
        <v>52</v>
      </c>
      <c r="M12767" s="28" t="s">
        <v>52</v>
      </c>
      <c r="N12767" s="28" t="s">
        <v>52</v>
      </c>
    </row>
    <row r="12768" spans="1:14" hidden="1" outlineLevel="1" x14ac:dyDescent="0.15">
      <c r="A12768" s="23" t="str">
        <f>HYPERLINK("https://www.spark-marketing.ru/Card/Person/148031", "МАДОУ ""ДЕТСКИЙ САД ПРИСМОТРА И ОЗДОРОВЛЕНИЯ ДЛЯ ДЕТЕЙ С УРОЛОГИЧЕСКИМИ ЗАБОЛЕВАНИЯМИ №64"" НМР РТ")</f>
        <v>МАДОУ "ДЕТСКИЙ САД ПРИСМОТРА И ОЗДОРОВЛЕНИЯ ДЛЯ ДЕТЕЙ С УРОЛОГИЧЕСКИМИ ЗАБОЛЕВАНИЯМИ №64" НМР РТ</v>
      </c>
      <c r="B12768" s="24" t="s">
        <v>15116</v>
      </c>
      <c r="C12768" s="25">
        <v>21600</v>
      </c>
      <c r="D12768" s="22" t="s">
        <v>15100</v>
      </c>
      <c r="E12768" s="22" t="s">
        <v>103</v>
      </c>
      <c r="F12768"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68" s="22" t="s">
        <v>204</v>
      </c>
      <c r="H12768" s="22" t="s">
        <v>824</v>
      </c>
      <c r="I12768" s="26">
        <v>43530.6</v>
      </c>
      <c r="J12768" s="28" t="s">
        <v>52</v>
      </c>
      <c r="K12768" s="28" t="s">
        <v>52</v>
      </c>
      <c r="L12768" s="28" t="s">
        <v>52</v>
      </c>
      <c r="M12768" s="28" t="s">
        <v>52</v>
      </c>
      <c r="N12768" s="28" t="s">
        <v>52</v>
      </c>
    </row>
    <row r="12769" spans="1:14" hidden="1" outlineLevel="1" x14ac:dyDescent="0.15">
      <c r="A12769" s="23" t="str">
        <f>HYPERLINK("https://www.spark-marketing.ru/Card/Person/148084", "МАДОУ ""ДЕТСКИЙ САД ОБЩЕРАЗВИВАЮЩЕГО ВИДА № 72"" НМР РТ")</f>
        <v>МАДОУ "ДЕТСКИЙ САД ОБЩЕРАЗВИВАЮЩЕГО ВИДА № 72" НМР РТ</v>
      </c>
      <c r="B12769" s="24" t="s">
        <v>15117</v>
      </c>
      <c r="C12769" s="25">
        <v>31950</v>
      </c>
      <c r="D12769" s="22" t="s">
        <v>15100</v>
      </c>
      <c r="E12769" s="22" t="s">
        <v>103</v>
      </c>
      <c r="F12769"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69" s="22" t="s">
        <v>204</v>
      </c>
      <c r="H12769" s="22" t="s">
        <v>824</v>
      </c>
      <c r="I12769" s="26">
        <v>43530.6</v>
      </c>
      <c r="J12769" s="28" t="s">
        <v>52</v>
      </c>
      <c r="K12769" s="28" t="s">
        <v>52</v>
      </c>
      <c r="L12769" s="28" t="s">
        <v>52</v>
      </c>
      <c r="M12769" s="28" t="s">
        <v>52</v>
      </c>
      <c r="N12769" s="28" t="s">
        <v>52</v>
      </c>
    </row>
    <row r="12770" spans="1:14" hidden="1" outlineLevel="1" x14ac:dyDescent="0.15">
      <c r="A12770" s="23" t="str">
        <f>HYPERLINK("https://www.spark-marketing.ru/Card/Person/148204", "МАДОУ ""ДЕТСКИЙ САД КОМБИНИРОВАННОГО ВИДА №87"" НМР РТ")</f>
        <v>МАДОУ "ДЕТСКИЙ САД КОМБИНИРОВАННОГО ВИДА №87" НМР РТ</v>
      </c>
      <c r="B12770" s="24" t="s">
        <v>15118</v>
      </c>
      <c r="C12770" s="25">
        <v>22950</v>
      </c>
      <c r="D12770" s="22" t="s">
        <v>15100</v>
      </c>
      <c r="E12770" s="22" t="s">
        <v>103</v>
      </c>
      <c r="F12770"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70" s="22" t="s">
        <v>204</v>
      </c>
      <c r="H12770" s="22" t="s">
        <v>824</v>
      </c>
      <c r="I12770" s="26">
        <v>43530.6</v>
      </c>
      <c r="J12770" s="28" t="s">
        <v>52</v>
      </c>
      <c r="K12770" s="28" t="s">
        <v>52</v>
      </c>
      <c r="L12770" s="28" t="s">
        <v>52</v>
      </c>
      <c r="M12770" s="28" t="s">
        <v>52</v>
      </c>
      <c r="N12770" s="28" t="s">
        <v>52</v>
      </c>
    </row>
    <row r="12771" spans="1:14" hidden="1" outlineLevel="1" x14ac:dyDescent="0.15">
      <c r="A12771" s="23" t="str">
        <f>HYPERLINK("https://www.spark-marketing.ru/Card/Person/148245", "МБДОУ ""ДЕТСКИЙ САД КОМБИНИРОВАННОГО ВИДА С ГРУППАМИ ДЛЯ ТУБИНФИЦИРОВАННЫХ ДЕТЕЙ № 75"" НМР РТ")</f>
        <v>МБДОУ "ДЕТСКИЙ САД КОМБИНИРОВАННОГО ВИДА С ГРУППАМИ ДЛЯ ТУБИНФИЦИРОВАННЫХ ДЕТЕЙ № 75" НМР РТ</v>
      </c>
      <c r="B12771" s="24" t="s">
        <v>15119</v>
      </c>
      <c r="C12771" s="25">
        <v>31950</v>
      </c>
      <c r="D12771" s="22" t="s">
        <v>15100</v>
      </c>
      <c r="E12771" s="22" t="s">
        <v>103</v>
      </c>
      <c r="F12771"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71" s="22" t="s">
        <v>204</v>
      </c>
      <c r="H12771" s="22" t="s">
        <v>824</v>
      </c>
      <c r="I12771" s="26">
        <v>43530.6</v>
      </c>
      <c r="J12771" s="28" t="s">
        <v>52</v>
      </c>
      <c r="K12771" s="28" t="s">
        <v>52</v>
      </c>
      <c r="L12771" s="28" t="s">
        <v>52</v>
      </c>
      <c r="M12771" s="28" t="s">
        <v>52</v>
      </c>
      <c r="N12771" s="28" t="s">
        <v>52</v>
      </c>
    </row>
    <row r="12772" spans="1:14" hidden="1" outlineLevel="1" x14ac:dyDescent="0.15">
      <c r="A12772" s="23" t="str">
        <f>HYPERLINK("https://www.spark-marketing.ru/Card/Person/148264", "МАДОУ ""ДЕТСКИЙ САД ОБЩЕРАЗВИВАЮЩЕГО ВИДА №88"" НМР РТ")</f>
        <v>МАДОУ "ДЕТСКИЙ САД ОБЩЕРАЗВИВАЮЩЕГО ВИДА №88" НМР РТ</v>
      </c>
      <c r="B12772" s="24" t="s">
        <v>15120</v>
      </c>
      <c r="C12772" s="25">
        <v>22950</v>
      </c>
      <c r="D12772" s="22" t="s">
        <v>15100</v>
      </c>
      <c r="E12772" s="22" t="s">
        <v>103</v>
      </c>
      <c r="F12772"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72" s="22" t="s">
        <v>204</v>
      </c>
      <c r="H12772" s="22" t="s">
        <v>824</v>
      </c>
      <c r="I12772" s="26">
        <v>43530.6</v>
      </c>
      <c r="J12772" s="28" t="s">
        <v>52</v>
      </c>
      <c r="K12772" s="28" t="s">
        <v>52</v>
      </c>
      <c r="L12772" s="28" t="s">
        <v>52</v>
      </c>
      <c r="M12772" s="28" t="s">
        <v>52</v>
      </c>
      <c r="N12772" s="28" t="s">
        <v>52</v>
      </c>
    </row>
    <row r="12773" spans="1:14" hidden="1" outlineLevel="1" x14ac:dyDescent="0.15">
      <c r="A12773" s="23" t="str">
        <f>HYPERLINK("https://www.spark-marketing.ru/Card/Person/148413", "МБДОУ ""ДЕТСКИЙ САД ОБЩЕРАЗВИВАЮЩЕГО ВИДА №33"" НМР РТ")</f>
        <v>МБДОУ "ДЕТСКИЙ САД ОБЩЕРАЗВИВАЮЩЕГО ВИДА №33" НМР РТ</v>
      </c>
      <c r="B12773" s="24" t="s">
        <v>15121</v>
      </c>
      <c r="C12773" s="25">
        <v>21825</v>
      </c>
      <c r="D12773" s="22" t="s">
        <v>15100</v>
      </c>
      <c r="E12773" s="22" t="s">
        <v>103</v>
      </c>
      <c r="F12773"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73" s="22" t="s">
        <v>204</v>
      </c>
      <c r="H12773" s="22" t="s">
        <v>824</v>
      </c>
      <c r="I12773" s="26">
        <v>43530.6</v>
      </c>
      <c r="J12773" s="28" t="s">
        <v>52</v>
      </c>
      <c r="K12773" s="28" t="s">
        <v>52</v>
      </c>
      <c r="L12773" s="28" t="s">
        <v>52</v>
      </c>
      <c r="M12773" s="28" t="s">
        <v>52</v>
      </c>
      <c r="N12773" s="28" t="s">
        <v>52</v>
      </c>
    </row>
    <row r="12774" spans="1:14" hidden="1" outlineLevel="1" x14ac:dyDescent="0.15">
      <c r="A12774" s="23" t="str">
        <f>HYPERLINK("https://www.spark-marketing.ru/Card/Person/148532", "МАДОУ ""ДЕТСКИЙ САД КОМБИНИРОВАННОГО ВИДА С ГРУППАМИ ДЛЯ ДЕТЕЙ С НАРУШЕНИЯМИ РЕЧИ №41"" НМР РТ")</f>
        <v>МАДОУ "ДЕТСКИЙ САД КОМБИНИРОВАННОГО ВИДА С ГРУППАМИ ДЛЯ ДЕТЕЙ С НАРУШЕНИЯМИ РЕЧИ №41" НМР РТ</v>
      </c>
      <c r="B12774" s="24" t="s">
        <v>15122</v>
      </c>
      <c r="C12774" s="25">
        <v>30825</v>
      </c>
      <c r="D12774" s="22" t="s">
        <v>15100</v>
      </c>
      <c r="E12774" s="22" t="s">
        <v>103</v>
      </c>
      <c r="F12774"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74" s="22" t="s">
        <v>204</v>
      </c>
      <c r="H12774" s="22" t="s">
        <v>824</v>
      </c>
      <c r="I12774" s="26">
        <v>43530.6</v>
      </c>
      <c r="J12774" s="28" t="s">
        <v>52</v>
      </c>
      <c r="K12774" s="28" t="s">
        <v>52</v>
      </c>
      <c r="L12774" s="28" t="s">
        <v>52</v>
      </c>
      <c r="M12774" s="28" t="s">
        <v>52</v>
      </c>
      <c r="N12774" s="28" t="s">
        <v>52</v>
      </c>
    </row>
    <row r="12775" spans="1:14" hidden="1" outlineLevel="1" x14ac:dyDescent="0.15">
      <c r="A12775" s="23" t="str">
        <f>HYPERLINK("https://www.spark-marketing.ru/Card/Person/148570", "МБДОУ ""ДЕТСКИЙ САД КОМБИНИРОВАННОГО ВИДА № 40"" НМР РТ")</f>
        <v>МБДОУ "ДЕТСКИЙ САД КОМБИНИРОВАННОГО ВИДА № 40" НМР РТ</v>
      </c>
      <c r="B12775" s="24" t="s">
        <v>15123</v>
      </c>
      <c r="C12775" s="25">
        <v>21825</v>
      </c>
      <c r="D12775" s="22" t="s">
        <v>15100</v>
      </c>
      <c r="E12775" s="22" t="s">
        <v>103</v>
      </c>
      <c r="F12775"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75" s="22" t="s">
        <v>204</v>
      </c>
      <c r="H12775" s="22" t="s">
        <v>824</v>
      </c>
      <c r="I12775" s="26">
        <v>43530.6</v>
      </c>
      <c r="J12775" s="28" t="s">
        <v>52</v>
      </c>
      <c r="K12775" s="28" t="s">
        <v>52</v>
      </c>
      <c r="L12775" s="28" t="s">
        <v>52</v>
      </c>
      <c r="M12775" s="28" t="s">
        <v>52</v>
      </c>
      <c r="N12775" s="28" t="s">
        <v>52</v>
      </c>
    </row>
    <row r="12776" spans="1:14" hidden="1" outlineLevel="1" x14ac:dyDescent="0.15">
      <c r="A12776" s="23" t="str">
        <f>HYPERLINK("https://www.spark-marketing.ru/Card/Person/148875", "МБДОУ ""ДЕТСКИЙ САД КОМПЕНСИРУЮЩЕГО ВИДА С ПРИОРИТЕТНЫМ ОСУЩЕСТВЛЕНИЕМ КВАЛИФИЦИРОВАННОЙ КОРРЕКЦИИ ДЕТЕЙ С НАРУШЕНИЯМИ ЗРЕНИЯ №70"" НМР РТ")</f>
        <v>МБДОУ "ДЕТСКИЙ САД КОМПЕНСИРУЮЩЕГО ВИДА С ПРИОРИТЕТНЫМ ОСУЩЕСТВЛЕНИЕМ КВАЛИФИЦИРОВАННОЙ КОРРЕКЦИИ ДЕТЕЙ С НАРУШЕНИЯМИ ЗРЕНИЯ №70" НМР РТ</v>
      </c>
      <c r="B12776" s="24" t="s">
        <v>15124</v>
      </c>
      <c r="C12776" s="25">
        <v>22950</v>
      </c>
      <c r="D12776" s="22" t="s">
        <v>15100</v>
      </c>
      <c r="E12776" s="22" t="s">
        <v>103</v>
      </c>
      <c r="F12776"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76" s="22" t="s">
        <v>204</v>
      </c>
      <c r="H12776" s="22" t="s">
        <v>824</v>
      </c>
      <c r="I12776" s="26">
        <v>43530.6</v>
      </c>
      <c r="J12776" s="28" t="s">
        <v>52</v>
      </c>
      <c r="K12776" s="28" t="s">
        <v>52</v>
      </c>
      <c r="L12776" s="28" t="s">
        <v>52</v>
      </c>
      <c r="M12776" s="28" t="s">
        <v>52</v>
      </c>
      <c r="N12776" s="28" t="s">
        <v>52</v>
      </c>
    </row>
    <row r="12777" spans="1:14" hidden="1" outlineLevel="1" x14ac:dyDescent="0.15">
      <c r="A12777" s="23" t="str">
        <f>HYPERLINK("https://www.spark-marketing.ru/Card/Person/148991", "МБДОУ ""ДЕТСКИЙ САД КОМБИНИРОВАННОГО ВИДА №73"" НМР РТ")</f>
        <v>МБДОУ "ДЕТСКИЙ САД КОМБИНИРОВАННОГО ВИДА №73" НМР РТ</v>
      </c>
      <c r="B12777" s="24" t="s">
        <v>15125</v>
      </c>
      <c r="C12777" s="25">
        <v>33075</v>
      </c>
      <c r="D12777" s="22" t="s">
        <v>15100</v>
      </c>
      <c r="E12777" s="22" t="s">
        <v>103</v>
      </c>
      <c r="F12777"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77" s="22" t="s">
        <v>204</v>
      </c>
      <c r="H12777" s="22" t="s">
        <v>824</v>
      </c>
      <c r="I12777" s="26">
        <v>43530.6</v>
      </c>
      <c r="J12777" s="28" t="s">
        <v>52</v>
      </c>
      <c r="K12777" s="28" t="s">
        <v>52</v>
      </c>
      <c r="L12777" s="28" t="s">
        <v>52</v>
      </c>
      <c r="M12777" s="28" t="s">
        <v>52</v>
      </c>
      <c r="N12777" s="28" t="s">
        <v>52</v>
      </c>
    </row>
    <row r="12778" spans="1:14" hidden="1" outlineLevel="1" x14ac:dyDescent="0.15">
      <c r="A12778" s="23" t="str">
        <f>HYPERLINK("https://www.spark-marketing.ru/Card/Person/149041", "МБДОУ ""ДЕТСКИЙ САД ОБЩЕРАЗВИВАЮЩЕГО ВИДА №7"" НМР РТ")</f>
        <v>МБДОУ "ДЕТСКИЙ САД ОБЩЕРАЗВИВАЮЩЕГО ВИДА №7" НМР РТ</v>
      </c>
      <c r="B12778" s="24" t="s">
        <v>15126</v>
      </c>
      <c r="C12778" s="25">
        <v>19575</v>
      </c>
      <c r="D12778" s="22" t="s">
        <v>15100</v>
      </c>
      <c r="E12778" s="22" t="s">
        <v>103</v>
      </c>
      <c r="F12778"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78" s="22" t="s">
        <v>204</v>
      </c>
      <c r="H12778" s="22" t="s">
        <v>824</v>
      </c>
      <c r="I12778" s="26">
        <v>43530.6</v>
      </c>
      <c r="J12778" s="28" t="s">
        <v>52</v>
      </c>
      <c r="K12778" s="28" t="s">
        <v>52</v>
      </c>
      <c r="L12778" s="28" t="s">
        <v>52</v>
      </c>
      <c r="M12778" s="28" t="s">
        <v>52</v>
      </c>
      <c r="N12778" s="28" t="s">
        <v>52</v>
      </c>
    </row>
    <row r="12779" spans="1:14" hidden="1" outlineLevel="1" x14ac:dyDescent="0.15">
      <c r="A12779" s="23" t="str">
        <f>HYPERLINK("https://www.spark-marketing.ru/Card/Person/149043", "МБДОУ ""ДЕТСКИЙ САД ОБЩЕРАЗВИВАЮЩЕГО ВИДА №9"" НМР РТ")</f>
        <v>МБДОУ "ДЕТСКИЙ САД ОБЩЕРАЗВИВАЮЩЕГО ВИДА №9" НМР РТ</v>
      </c>
      <c r="B12779" s="24" t="s">
        <v>15127</v>
      </c>
      <c r="C12779" s="25">
        <v>22950</v>
      </c>
      <c r="D12779" s="22" t="s">
        <v>15100</v>
      </c>
      <c r="E12779" s="22" t="s">
        <v>103</v>
      </c>
      <c r="F12779"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79" s="22" t="s">
        <v>204</v>
      </c>
      <c r="H12779" s="22" t="s">
        <v>824</v>
      </c>
      <c r="I12779" s="26">
        <v>43530.6</v>
      </c>
      <c r="J12779" s="28" t="s">
        <v>52</v>
      </c>
      <c r="K12779" s="28" t="s">
        <v>52</v>
      </c>
      <c r="L12779" s="28" t="s">
        <v>52</v>
      </c>
      <c r="M12779" s="28" t="s">
        <v>52</v>
      </c>
      <c r="N12779" s="28" t="s">
        <v>52</v>
      </c>
    </row>
    <row r="12780" spans="1:14" hidden="1" outlineLevel="1" x14ac:dyDescent="0.15">
      <c r="A12780" s="23" t="str">
        <f>HYPERLINK("https://www.spark-marketing.ru/Card/Person/149045", "МБДОУ ""ДЕТСКИЙ САД ОБЩЕРАЗВИВАЮЩЕГО ВИДА № 11"" НМРРТ")</f>
        <v>МБДОУ "ДЕТСКИЙ САД ОБЩЕРАЗВИВАЮЩЕГО ВИДА № 11" НМРРТ</v>
      </c>
      <c r="B12780" s="24" t="s">
        <v>15128</v>
      </c>
      <c r="C12780" s="25">
        <v>22950</v>
      </c>
      <c r="D12780" s="22" t="s">
        <v>15100</v>
      </c>
      <c r="E12780" s="22" t="s">
        <v>103</v>
      </c>
      <c r="F12780"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80" s="22" t="s">
        <v>204</v>
      </c>
      <c r="H12780" s="22" t="s">
        <v>824</v>
      </c>
      <c r="I12780" s="26">
        <v>43530.6</v>
      </c>
      <c r="J12780" s="28" t="s">
        <v>52</v>
      </c>
      <c r="K12780" s="28" t="s">
        <v>52</v>
      </c>
      <c r="L12780" s="28" t="s">
        <v>52</v>
      </c>
      <c r="M12780" s="28" t="s">
        <v>52</v>
      </c>
      <c r="N12780" s="28" t="s">
        <v>52</v>
      </c>
    </row>
    <row r="12781" spans="1:14" hidden="1" outlineLevel="1" x14ac:dyDescent="0.15">
      <c r="A12781" s="23" t="str">
        <f>HYPERLINK("https://www.spark-marketing.ru/Card/Person/149110", "МАДОУ ""ДЕТСКИЙ САД ОБЩЕРАЗВИВАЮЩЕГО ВИДА №84"" НМР РТ")</f>
        <v>МАДОУ "ДЕТСКИЙ САД ОБЩЕРАЗВИВАЮЩЕГО ВИДА №84" НМР РТ</v>
      </c>
      <c r="B12781" s="24" t="s">
        <v>15129</v>
      </c>
      <c r="C12781" s="25">
        <v>19575</v>
      </c>
      <c r="D12781" s="22" t="s">
        <v>15100</v>
      </c>
      <c r="E12781" s="22" t="s">
        <v>103</v>
      </c>
      <c r="F12781"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81" s="22" t="s">
        <v>204</v>
      </c>
      <c r="H12781" s="22" t="s">
        <v>824</v>
      </c>
      <c r="I12781" s="26">
        <v>43530.6</v>
      </c>
      <c r="J12781" s="28" t="s">
        <v>52</v>
      </c>
      <c r="K12781" s="28" t="s">
        <v>52</v>
      </c>
      <c r="L12781" s="28" t="s">
        <v>52</v>
      </c>
      <c r="M12781" s="28" t="s">
        <v>52</v>
      </c>
      <c r="N12781" s="28" t="s">
        <v>52</v>
      </c>
    </row>
    <row r="12782" spans="1:14" hidden="1" outlineLevel="1" x14ac:dyDescent="0.15">
      <c r="A12782" s="23" t="str">
        <f>HYPERLINK("https://www.spark-marketing.ru/Card/Person/149125", "МАДОУ ""ДЕТСКИЙ САД КОМБИНИРОВАННОГО ВИДА С ГРУППАМИ ДЛЯ ДЕТЕЙ С НАРУШЕНИЯМИ РЕЧИ №57"" НМР РТ")</f>
        <v>МАДОУ "ДЕТСКИЙ САД КОМБИНИРОВАННОГО ВИДА С ГРУППАМИ ДЛЯ ДЕТЕЙ С НАРУШЕНИЯМИ РЕЧИ №57" НМР РТ</v>
      </c>
      <c r="B12782" s="24" t="s">
        <v>15130</v>
      </c>
      <c r="C12782" s="25">
        <v>38025</v>
      </c>
      <c r="D12782" s="22" t="s">
        <v>15100</v>
      </c>
      <c r="E12782" s="22" t="s">
        <v>103</v>
      </c>
      <c r="F12782"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82" s="22" t="s">
        <v>204</v>
      </c>
      <c r="H12782" s="22" t="s">
        <v>824</v>
      </c>
      <c r="I12782" s="26">
        <v>43530.6</v>
      </c>
      <c r="J12782" s="28" t="s">
        <v>52</v>
      </c>
      <c r="K12782" s="28" t="s">
        <v>52</v>
      </c>
      <c r="L12782" s="28" t="s">
        <v>52</v>
      </c>
      <c r="M12782" s="28" t="s">
        <v>52</v>
      </c>
      <c r="N12782" s="28" t="s">
        <v>52</v>
      </c>
    </row>
    <row r="12783" spans="1:14" hidden="1" outlineLevel="1" x14ac:dyDescent="0.15">
      <c r="A12783" s="23" t="str">
        <f>HYPERLINK("https://www.spark-marketing.ru/Card/Person/149129", "МБДОУ ""ДЕТСКИЙ САД ОБЩЕРАЗВИВАЮЩЕГО ВИДА № 28"" НМР РТ")</f>
        <v>МБДОУ "ДЕТСКИЙ САД ОБЩЕРАЗВИВАЮЩЕГО ВИДА № 28" НМР РТ</v>
      </c>
      <c r="B12783" s="24" t="s">
        <v>15131</v>
      </c>
      <c r="C12783" s="25">
        <v>22950</v>
      </c>
      <c r="D12783" s="22" t="s">
        <v>15100</v>
      </c>
      <c r="E12783" s="22" t="s">
        <v>103</v>
      </c>
      <c r="F12783"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83" s="22" t="s">
        <v>204</v>
      </c>
      <c r="H12783" s="22" t="s">
        <v>824</v>
      </c>
      <c r="I12783" s="26">
        <v>43530.6</v>
      </c>
      <c r="J12783" s="28" t="s">
        <v>52</v>
      </c>
      <c r="K12783" s="28" t="s">
        <v>52</v>
      </c>
      <c r="L12783" s="28" t="s">
        <v>52</v>
      </c>
      <c r="M12783" s="28" t="s">
        <v>52</v>
      </c>
      <c r="N12783" s="28" t="s">
        <v>52</v>
      </c>
    </row>
    <row r="12784" spans="1:14" hidden="1" outlineLevel="1" x14ac:dyDescent="0.2">
      <c r="A12784" s="28" t="s">
        <v>52</v>
      </c>
      <c r="B12784" s="28" t="s">
        <v>52</v>
      </c>
      <c r="C12784" s="28" t="s">
        <v>52</v>
      </c>
      <c r="D12784" s="22" t="s">
        <v>15100</v>
      </c>
      <c r="E12784" s="22" t="s">
        <v>103</v>
      </c>
      <c r="F12784"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84" s="22" t="s">
        <v>52</v>
      </c>
      <c r="H12784" s="22" t="s">
        <v>52</v>
      </c>
      <c r="I12784" s="26">
        <v>43530.6</v>
      </c>
      <c r="J12784" s="23" t="str">
        <f>HYPERLINK("https://www.spark-marketing.ru/Card/Person/371074", "ООО ""СПМ""")</f>
        <v>ООО "СПМ"</v>
      </c>
      <c r="K12784" s="24" t="s">
        <v>5464</v>
      </c>
      <c r="L12784" s="28" t="s">
        <v>52</v>
      </c>
      <c r="M12784" s="25">
        <v>744329.25</v>
      </c>
      <c r="N12784" s="27">
        <v>0.115</v>
      </c>
    </row>
    <row r="12785" spans="1:14" hidden="1" outlineLevel="1" x14ac:dyDescent="0.2">
      <c r="A12785" s="28" t="s">
        <v>52</v>
      </c>
      <c r="B12785" s="28" t="s">
        <v>52</v>
      </c>
      <c r="C12785" s="28" t="s">
        <v>52</v>
      </c>
      <c r="D12785" s="22" t="s">
        <v>15100</v>
      </c>
      <c r="E12785" s="22" t="s">
        <v>103</v>
      </c>
      <c r="F12785"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85" s="22" t="s">
        <v>52</v>
      </c>
      <c r="H12785" s="22" t="s">
        <v>52</v>
      </c>
      <c r="I12785" s="26">
        <v>43530.6</v>
      </c>
      <c r="J12785" s="23" t="str">
        <f>HYPERLINK("https://www.spark-marketing.ru/Card/Person/34725", "ООО ""КОМПЬЮСЕРВИС - НК""")</f>
        <v>ООО "КОМПЬЮСЕРВИС - НК"</v>
      </c>
      <c r="K12785" s="24" t="s">
        <v>3468</v>
      </c>
      <c r="L12785" s="22" t="s">
        <v>10</v>
      </c>
      <c r="M12785" s="25">
        <v>142966</v>
      </c>
      <c r="N12785" s="27">
        <v>0.83001486237441291</v>
      </c>
    </row>
    <row r="12786" spans="1:14" hidden="1" outlineLevel="1" x14ac:dyDescent="0.2">
      <c r="A12786" s="28" t="s">
        <v>52</v>
      </c>
      <c r="B12786" s="28" t="s">
        <v>52</v>
      </c>
      <c r="C12786" s="28" t="s">
        <v>52</v>
      </c>
      <c r="D12786" s="22" t="s">
        <v>15100</v>
      </c>
      <c r="E12786" s="22" t="s">
        <v>103</v>
      </c>
      <c r="F12786"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86" s="22" t="s">
        <v>52</v>
      </c>
      <c r="H12786" s="22" t="s">
        <v>52</v>
      </c>
      <c r="I12786" s="26">
        <v>43530.6</v>
      </c>
      <c r="J12786" s="23" t="str">
        <f>HYPERLINK("https://www.spark-marketing.ru/Card/Person/124260", "ООО ""АРГУС""")</f>
        <v>ООО "АРГУС"</v>
      </c>
      <c r="K12786" s="24" t="s">
        <v>9766</v>
      </c>
      <c r="L12786" s="28" t="s">
        <v>52</v>
      </c>
      <c r="M12786" s="25">
        <v>454164.5</v>
      </c>
      <c r="N12786" s="27">
        <v>0.46000297247488259</v>
      </c>
    </row>
    <row r="12787" spans="1:14" hidden="1" outlineLevel="1" x14ac:dyDescent="0.2">
      <c r="A12787" s="28" t="s">
        <v>52</v>
      </c>
      <c r="B12787" s="28" t="s">
        <v>52</v>
      </c>
      <c r="C12787" s="28" t="s">
        <v>52</v>
      </c>
      <c r="D12787" s="22" t="s">
        <v>15100</v>
      </c>
      <c r="E12787" s="22" t="s">
        <v>103</v>
      </c>
      <c r="F12787"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87" s="22" t="s">
        <v>52</v>
      </c>
      <c r="H12787" s="22" t="s">
        <v>52</v>
      </c>
      <c r="I12787" s="26">
        <v>43530.6</v>
      </c>
      <c r="J12787" s="23" t="str">
        <f>HYPERLINK("https://www.spark-marketing.ru/Card/Person/6442971", "ООО ""НСБ""")</f>
        <v>ООО "НСБ"</v>
      </c>
      <c r="K12787" s="24" t="s">
        <v>12536</v>
      </c>
      <c r="L12787" s="28" t="s">
        <v>52</v>
      </c>
      <c r="M12787" s="25">
        <v>269131</v>
      </c>
      <c r="N12787" s="27">
        <v>0.68000594494976518</v>
      </c>
    </row>
    <row r="12788" spans="1:14" hidden="1" outlineLevel="1" x14ac:dyDescent="0.2">
      <c r="A12788" s="28" t="s">
        <v>52</v>
      </c>
      <c r="B12788" s="28" t="s">
        <v>52</v>
      </c>
      <c r="C12788" s="28" t="s">
        <v>52</v>
      </c>
      <c r="D12788" s="22" t="s">
        <v>15100</v>
      </c>
      <c r="E12788" s="22" t="s">
        <v>103</v>
      </c>
      <c r="F12788"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88" s="22" t="s">
        <v>52</v>
      </c>
      <c r="H12788" s="22" t="s">
        <v>52</v>
      </c>
      <c r="I12788" s="26">
        <v>43530.6</v>
      </c>
      <c r="J12788" s="23" t="str">
        <f>HYPERLINK("https://www.spark-marketing.ru/Card/Person/400993", "ООО ""РИТМ-ЗАЩИТА""")</f>
        <v>ООО "РИТМ-ЗАЩИТА"</v>
      </c>
      <c r="K12788" s="24" t="s">
        <v>10493</v>
      </c>
      <c r="L12788" s="28" t="s">
        <v>52</v>
      </c>
      <c r="M12788" s="25">
        <v>147171.75</v>
      </c>
      <c r="N12788" s="27">
        <v>0.82501426787943644</v>
      </c>
    </row>
    <row r="12789" spans="1:14" hidden="1" outlineLevel="1" x14ac:dyDescent="0.2">
      <c r="A12789" s="28" t="s">
        <v>52</v>
      </c>
      <c r="B12789" s="28" t="s">
        <v>52</v>
      </c>
      <c r="C12789" s="28" t="s">
        <v>52</v>
      </c>
      <c r="D12789" s="22" t="s">
        <v>15100</v>
      </c>
      <c r="E12789" s="22" t="s">
        <v>103</v>
      </c>
      <c r="F12789" s="23" t="str">
        <f t="shared" si="666"/>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789" s="22" t="s">
        <v>52</v>
      </c>
      <c r="H12789" s="22" t="s">
        <v>52</v>
      </c>
      <c r="I12789" s="26">
        <v>43530.6</v>
      </c>
      <c r="J12789" s="23" t="str">
        <f>HYPERLINK("https://www.spark-marketing.ru/Card/Person/2592490", "ООО ""АЙТИРУС""")</f>
        <v>ООО "АЙТИРУС"</v>
      </c>
      <c r="K12789" s="24" t="s">
        <v>15132</v>
      </c>
      <c r="L12789" s="28" t="s">
        <v>52</v>
      </c>
      <c r="M12789" s="25">
        <v>407906.75</v>
      </c>
      <c r="N12789" s="27">
        <v>0.51500297247488258</v>
      </c>
    </row>
    <row r="12790" spans="1:14" x14ac:dyDescent="0.15">
      <c r="A12790" s="23" t="str">
        <f>HYPERLINK("https://www.spark-marketing.ru/Card/Person/815712", "ГКУ РС(Я) ""ТСРЦН""")</f>
        <v>ГКУ РС(Я) "ТСРЦН"</v>
      </c>
      <c r="B12790" s="24" t="s">
        <v>15133</v>
      </c>
      <c r="C12790" s="25">
        <v>207339.72</v>
      </c>
      <c r="D12790" s="22" t="s">
        <v>15134</v>
      </c>
      <c r="E12790" s="22" t="s">
        <v>52</v>
      </c>
      <c r="F12790" s="23" t="str">
        <f>HYPERLINK("https://www.spark-marketing.ru/Card/Lot/68513892", "услуги охраны")</f>
        <v>услуги охраны</v>
      </c>
      <c r="G12790" s="22" t="s">
        <v>424</v>
      </c>
      <c r="H12790" s="22" t="s">
        <v>15135</v>
      </c>
      <c r="I12790" s="26">
        <v>43530.601388888899</v>
      </c>
      <c r="J12790" s="28" t="s">
        <v>52</v>
      </c>
      <c r="K12790" s="28" t="s">
        <v>52</v>
      </c>
      <c r="L12790" s="28" t="s">
        <v>52</v>
      </c>
      <c r="M12790" s="28" t="s">
        <v>52</v>
      </c>
      <c r="N12790" s="28" t="s">
        <v>52</v>
      </c>
    </row>
    <row r="12791" spans="1:14" x14ac:dyDescent="0.15">
      <c r="A12791" s="23" t="str">
        <f>HYPERLINK("https://www.spark-marketing.ru/Card/Person/37136", "АДМИНИСТРАЦИЯ СЕМИКАРАКОРСКОГО ГОРОДСКОГО ПОСЕЛЕНИЯ")</f>
        <v>АДМИНИСТРАЦИЯ СЕМИКАРАКОРСКОГО ГОРОДСКОГО ПОСЕЛЕНИЯ</v>
      </c>
      <c r="B12791" s="24" t="s">
        <v>15136</v>
      </c>
      <c r="C12791" s="25">
        <v>30000</v>
      </c>
      <c r="D12791" s="22" t="s">
        <v>15137</v>
      </c>
      <c r="E12791" s="22" t="s">
        <v>208</v>
      </c>
      <c r="F12791" s="23" t="str">
        <f>HYPERLINK("https://www.spark-marketing.ru/Card/Lot/68523094", "техническое обслуживание камер видеонаблюдения")</f>
        <v>техническое обслуживание камер видеонаблюдения</v>
      </c>
      <c r="G12791" s="22" t="s">
        <v>402</v>
      </c>
      <c r="H12791" s="22" t="s">
        <v>10445</v>
      </c>
      <c r="I12791" s="26">
        <v>43530.611111111102</v>
      </c>
      <c r="J12791" s="28" t="s">
        <v>52</v>
      </c>
      <c r="K12791" s="28" t="s">
        <v>52</v>
      </c>
      <c r="L12791" s="28" t="s">
        <v>52</v>
      </c>
      <c r="M12791" s="28" t="s">
        <v>52</v>
      </c>
      <c r="N12791" s="28" t="s">
        <v>52</v>
      </c>
    </row>
    <row r="12792" spans="1:14" x14ac:dyDescent="0.15">
      <c r="A12792" s="23" t="str">
        <f>HYPERLINK("https://www.spark-marketing.ru/Card/Person/4349872", "АО ""АВИАКОМПАНИЯ ""РОССИЯ""")</f>
        <v>АО "АВИАКОМПАНИЯ "РОССИЯ"</v>
      </c>
      <c r="B12792" s="24" t="s">
        <v>12344</v>
      </c>
      <c r="C12792" s="25">
        <v>6840000</v>
      </c>
      <c r="D12792" s="22" t="s">
        <v>15138</v>
      </c>
      <c r="E12792" s="22" t="s">
        <v>8137</v>
      </c>
      <c r="F12792" s="23" t="str">
        <f>HYPERLINK("https://www.spark-marketing.ru/Card/Lot/68525529", "Оказание охранных услуг по охране объектов и имущества АО ""Авиакомпания ""Россия"", обеспечение безопасности персонала и посетителей АК.")</f>
        <v>Оказание охранных услуг по охране объектов и имущества АО "Авиакомпания "Россия", обеспечение безопасности персонала и посетителей АК.</v>
      </c>
      <c r="G12792" s="22" t="s">
        <v>89</v>
      </c>
      <c r="H12792" s="22" t="s">
        <v>89</v>
      </c>
      <c r="I12792" s="26">
        <v>43530.621412036999</v>
      </c>
      <c r="J12792" s="28" t="s">
        <v>52</v>
      </c>
      <c r="K12792" s="28" t="s">
        <v>52</v>
      </c>
      <c r="L12792" s="28" t="s">
        <v>52</v>
      </c>
      <c r="M12792" s="28" t="s">
        <v>52</v>
      </c>
      <c r="N12792" s="28" t="s">
        <v>52</v>
      </c>
    </row>
    <row r="12793" spans="1:14" hidden="1" outlineLevel="1" x14ac:dyDescent="0.15">
      <c r="A12793" s="23" t="str">
        <f>HYPERLINK("https://www.spark-marketing.ru/Card/Person/4349872", "АО ""АВИАКОМПАНИЯ ""РОССИЯ""")</f>
        <v>АО "АВИАКОМПАНИЯ "РОССИЯ"</v>
      </c>
      <c r="B12793" s="24" t="s">
        <v>12344</v>
      </c>
      <c r="C12793" s="28" t="s">
        <v>52</v>
      </c>
      <c r="D12793" s="22" t="s">
        <v>15138</v>
      </c>
      <c r="E12793" s="22" t="s">
        <v>8137</v>
      </c>
      <c r="F12793" s="23" t="str">
        <f>HYPERLINK("https://www.spark-marketing.ru/Card/Lot/68525529", "Оказание охранных услуг по охране объектов и имущества АО ""Авиакомпания ""Россия"", обеспечение безопасности персонала и посетителей АК.")</f>
        <v>Оказание охранных услуг по охране объектов и имущества АО "Авиакомпания "Россия", обеспечение безопасности персонала и посетителей АК.</v>
      </c>
      <c r="G12793" s="22" t="s">
        <v>89</v>
      </c>
      <c r="H12793" s="22" t="s">
        <v>89</v>
      </c>
      <c r="I12793" s="26">
        <v>43530.621412036999</v>
      </c>
      <c r="J12793" s="23" t="str">
        <f>HYPERLINK("https://www.spark-marketing.ru/Card/Person/1555459", "ООО ""ОО ""КОМБАТ СЕКЬЮРИТИ""")</f>
        <v>ООО "ОО "КОМБАТ СЕКЬЮРИТИ"</v>
      </c>
      <c r="K12793" s="24" t="s">
        <v>12346</v>
      </c>
      <c r="L12793" s="28" t="s">
        <v>52</v>
      </c>
      <c r="M12793" s="28" t="s">
        <v>52</v>
      </c>
      <c r="N12793" s="28" t="s">
        <v>52</v>
      </c>
    </row>
    <row r="12794" spans="1:14" hidden="1" outlineLevel="1" x14ac:dyDescent="0.2">
      <c r="A12794" s="23" t="str">
        <f>HYPERLINK("https://www.spark-marketing.ru/Card/Person/4349872", "АО ""АВИАКОМПАНИЯ ""РОССИЯ""")</f>
        <v>АО "АВИАКОМПАНИЯ "РОССИЯ"</v>
      </c>
      <c r="B12794" s="24" t="s">
        <v>12344</v>
      </c>
      <c r="C12794" s="28" t="s">
        <v>52</v>
      </c>
      <c r="D12794" s="22" t="s">
        <v>15138</v>
      </c>
      <c r="E12794" s="22" t="s">
        <v>8137</v>
      </c>
      <c r="F12794" s="23" t="str">
        <f>HYPERLINK("https://www.spark-marketing.ru/Card/Lot/68525529", "Оказание охранных услуг по охране объектов и имущества АО ""Авиакомпания ""Россия"", обеспечение безопасности персонала и посетителей АК.")</f>
        <v>Оказание охранных услуг по охране объектов и имущества АО "Авиакомпания "Россия", обеспечение безопасности персонала и посетителей АК.</v>
      </c>
      <c r="G12794" s="22" t="s">
        <v>89</v>
      </c>
      <c r="H12794" s="22" t="s">
        <v>89</v>
      </c>
      <c r="I12794" s="26">
        <v>43530.621412036999</v>
      </c>
      <c r="J12794" s="23" t="str">
        <f>HYPERLINK("https://www.spark-marketing.ru/Card/Person/4354329", "ООО ЧОО ""ЛЕГИОН ПЛЮС""")</f>
        <v>ООО ЧОО "ЛЕГИОН ПЛЮС"</v>
      </c>
      <c r="K12794" s="24" t="s">
        <v>15139</v>
      </c>
      <c r="L12794" s="28" t="s">
        <v>52</v>
      </c>
      <c r="M12794" s="25">
        <v>6200000</v>
      </c>
      <c r="N12794" s="27">
        <v>9.3567251461988299E-2</v>
      </c>
    </row>
    <row r="12795" spans="1:14" x14ac:dyDescent="0.15">
      <c r="A12795" s="23" t="str">
        <f>HYPERLINK("https://www.spark-marketing.ru/Card/Person/33453", "МКУ ""ТУ ""МЫТИЩИНСКОЕ""")</f>
        <v>МКУ "ТУ "МЫТИЩИНСКОЕ"</v>
      </c>
      <c r="B12795" s="24" t="s">
        <v>4307</v>
      </c>
      <c r="C12795" s="25">
        <v>96000</v>
      </c>
      <c r="D12795" s="22" t="s">
        <v>15140</v>
      </c>
      <c r="E12795" s="22" t="s">
        <v>746</v>
      </c>
      <c r="F12795" s="23" t="str">
        <f>HYPERLINK("https://www.spark-marketing.ru/Card/Lot/68533890", "Оказание охранных услуг и услуг по техническому обслуживанию средств охранной сигнализации и КТС в административных помещениях по 4 адресам")</f>
        <v>Оказание охранных услуг и услуг по техническому обслуживанию средств охранной сигнализации и КТС в административных помещениях по 4 адресам</v>
      </c>
      <c r="G12795" s="22" t="s">
        <v>50</v>
      </c>
      <c r="H12795" s="22" t="s">
        <v>323</v>
      </c>
      <c r="I12795" s="26">
        <v>43530.586331018501</v>
      </c>
      <c r="J12795" s="28" t="s">
        <v>52</v>
      </c>
      <c r="K12795" s="28" t="s">
        <v>52</v>
      </c>
      <c r="L12795" s="28" t="s">
        <v>52</v>
      </c>
      <c r="M12795" s="28" t="s">
        <v>52</v>
      </c>
      <c r="N12795" s="28" t="s">
        <v>52</v>
      </c>
    </row>
    <row r="12796" spans="1:14" x14ac:dyDescent="0.15">
      <c r="A12796" s="23" t="str">
        <f>HYPERLINK("https://www.spark-marketing.ru/Card/Person/1024696", "ОГБПОУ ТИК ИМЕНИ ГЕРОЯ СОВЕТСКОГО СОЮЗА А.П. БУЛАНОВА")</f>
        <v>ОГБПОУ ТИК ИМЕНИ ГЕРОЯ СОВЕТСКОГО СОЮЗА А.П. БУЛАНОВА</v>
      </c>
      <c r="B12796" s="24" t="s">
        <v>15141</v>
      </c>
      <c r="C12796" s="25">
        <v>1348248</v>
      </c>
      <c r="D12796" s="22" t="s">
        <v>15142</v>
      </c>
      <c r="E12796" s="22" t="s">
        <v>68</v>
      </c>
      <c r="F12796" s="23" t="str">
        <f>HYPERLINK("https://www.spark-marketing.ru/Card/Lot/68524678", "Оказание услуг, связанных с обеспечением общественного порядка и безопасности, с обеспечением внутриобъектового и пропускного режимов в учебном корпусе № 1 и гараже ОГБПОУ «ТИК им. Героя Советского Союза А.П.Буланова»")</f>
        <v>Оказание услуг, связанных с обеспечением общественного порядка и безопасности, с обеспечением внутриобъектового и пропускного режимов в учебном корпусе № 1 и гараже ОГБПОУ «ТИК им. Героя Советского Союза А.П.Буланова»</v>
      </c>
      <c r="G12796" s="22" t="s">
        <v>340</v>
      </c>
      <c r="H12796" s="22" t="s">
        <v>7926</v>
      </c>
      <c r="I12796" s="26">
        <v>43530.583333333299</v>
      </c>
      <c r="J12796" s="28" t="s">
        <v>52</v>
      </c>
      <c r="K12796" s="28" t="s">
        <v>52</v>
      </c>
      <c r="L12796" s="28" t="s">
        <v>52</v>
      </c>
      <c r="M12796" s="28" t="s">
        <v>52</v>
      </c>
      <c r="N12796" s="28" t="s">
        <v>52</v>
      </c>
    </row>
    <row r="12797" spans="1:14" hidden="1" outlineLevel="1" x14ac:dyDescent="0.15">
      <c r="A12797" s="23" t="str">
        <f>HYPERLINK("https://www.spark-marketing.ru/Card/Person/1024696", "ОГБПОУ ТИК ИМЕНИ ГЕРОЯ СОВЕТСКОГО СОЮЗА А.П. БУЛАНОВА")</f>
        <v>ОГБПОУ ТИК ИМЕНИ ГЕРОЯ СОВЕТСКОГО СОЮЗА А.П. БУЛАНОВА</v>
      </c>
      <c r="B12797" s="24" t="s">
        <v>15141</v>
      </c>
      <c r="C12797" s="25">
        <v>1348248</v>
      </c>
      <c r="D12797" s="22" t="s">
        <v>15142</v>
      </c>
      <c r="E12797" s="22" t="s">
        <v>68</v>
      </c>
      <c r="F12797" s="23" t="str">
        <f>HYPERLINK("https://www.spark-marketing.ru/Card/Lot/68524678", "Оказание услуг, связанных с обеспечением общественного порядка и безопасности, с обеспечением внутриобъектового и пропускного режимов в учебном корпусе № 1 и гараже ОГБПОУ «ТИК им. Героя Советского Союза А.П.Буланова»")</f>
        <v>Оказание услуг, связанных с обеспечением общественного порядка и безопасности, с обеспечением внутриобъектового и пропускного режимов в учебном корпусе № 1 и гараже ОГБПОУ «ТИК им. Героя Советского Союза А.П.Буланова»</v>
      </c>
      <c r="G12797" s="22" t="s">
        <v>340</v>
      </c>
      <c r="H12797" s="22" t="s">
        <v>7926</v>
      </c>
      <c r="I12797" s="26">
        <v>43530.583333333299</v>
      </c>
      <c r="J12797" s="23" t="str">
        <f>HYPERLINK("https://www.spark-marketing.ru/Card/Person/601830", "ООО ""БЕЗОПАСНОСТЬ""")</f>
        <v>ООО "БЕЗОПАСНОСТЬ"</v>
      </c>
      <c r="K12797" s="24" t="s">
        <v>15143</v>
      </c>
      <c r="L12797" s="28" t="s">
        <v>52</v>
      </c>
      <c r="M12797" s="28" t="s">
        <v>52</v>
      </c>
      <c r="N12797" s="28" t="s">
        <v>52</v>
      </c>
    </row>
    <row r="12798" spans="1:14" ht="12.75" hidden="1" outlineLevel="1" x14ac:dyDescent="0.2">
      <c r="A12798" s="23" t="str">
        <f>HYPERLINK("https://www.spark-marketing.ru/Card/Person/1024696", "ОГБПОУ ТИК ИМЕНИ ГЕРОЯ СОВЕТСКОГО СОЮЗА А.П. БУЛАНОВА")</f>
        <v>ОГБПОУ ТИК ИМЕНИ ГЕРОЯ СОВЕТСКОГО СОЮЗА А.П. БУЛАНОВА</v>
      </c>
      <c r="B12798" s="24" t="s">
        <v>15141</v>
      </c>
      <c r="C12798" s="25">
        <v>1348248</v>
      </c>
      <c r="D12798" s="22" t="s">
        <v>15142</v>
      </c>
      <c r="E12798" s="22" t="s">
        <v>68</v>
      </c>
      <c r="F12798" s="23" t="str">
        <f>HYPERLINK("https://www.spark-marketing.ru/Card/Lot/68524678", "Оказание услуг, связанных с обеспечением общественного порядка и безопасности, с обеспечением внутриобъектового и пропускного режимов в учебном корпусе № 1 и гараже ОГБПОУ «ТИК им. Героя Советского Союза А.П.Буланова»")</f>
        <v>Оказание услуг, связанных с обеспечением общественного порядка и безопасности, с обеспечением внутриобъектового и пропускного режимов в учебном корпусе № 1 и гараже ОГБПОУ «ТИК им. Героя Советского Союза А.П.Буланова»</v>
      </c>
      <c r="G12798" s="22" t="s">
        <v>340</v>
      </c>
      <c r="H12798" s="22" t="s">
        <v>7926</v>
      </c>
      <c r="I12798" s="26">
        <v>43530.583333333299</v>
      </c>
      <c r="J12798" s="23" t="str">
        <f>HYPERLINK("https://www.spark-marketing.ru/Card/Person/127442", "ООО ОА ""ГАРАНТ БЕЗОПАСНОСТИ""")</f>
        <v>ООО ОА "ГАРАНТ БЕЗОПАСНОСТИ"</v>
      </c>
      <c r="K12798" s="24" t="s">
        <v>5959</v>
      </c>
      <c r="L12798" s="22" t="s">
        <v>10</v>
      </c>
      <c r="M12798" s="25">
        <v>1348248</v>
      </c>
      <c r="N12798" s="27">
        <v>0</v>
      </c>
    </row>
    <row r="12799" spans="1:14" hidden="1" outlineLevel="1" x14ac:dyDescent="0.2">
      <c r="A12799" s="23" t="str">
        <f>HYPERLINK("https://www.spark-marketing.ru/Card/Person/1024696", "ОГБПОУ ТИК ИМЕНИ ГЕРОЯ СОВЕТСКОГО СОЮЗА А.П. БУЛАНОВА")</f>
        <v>ОГБПОУ ТИК ИМЕНИ ГЕРОЯ СОВЕТСКОГО СОЮЗА А.П. БУЛАНОВА</v>
      </c>
      <c r="B12799" s="24" t="s">
        <v>15141</v>
      </c>
      <c r="C12799" s="25">
        <v>1348248</v>
      </c>
      <c r="D12799" s="22" t="s">
        <v>15142</v>
      </c>
      <c r="E12799" s="22" t="s">
        <v>68</v>
      </c>
      <c r="F12799" s="23" t="str">
        <f>HYPERLINK("https://www.spark-marketing.ru/Card/Lot/68524678", "Оказание услуг, связанных с обеспечением общественного порядка и безопасности, с обеспечением внутриобъектового и пропускного режимов в учебном корпусе № 1 и гараже ОГБПОУ «ТИК им. Героя Советского Союза А.П.Буланова»")</f>
        <v>Оказание услуг, связанных с обеспечением общественного порядка и безопасности, с обеспечением внутриобъектового и пропускного режимов в учебном корпусе № 1 и гараже ОГБПОУ «ТИК им. Героя Советского Союза А.П.Буланова»</v>
      </c>
      <c r="G12799" s="22" t="s">
        <v>340</v>
      </c>
      <c r="H12799" s="22" t="s">
        <v>7926</v>
      </c>
      <c r="I12799" s="26">
        <v>43530.583333333299</v>
      </c>
      <c r="J12799" s="23" t="str">
        <f>HYPERLINK("https://www.spark-marketing.ru/Card/Person/84347", "ООО ЧОП ""ОМЕГА""")</f>
        <v>ООО ЧОП "ОМЕГА"</v>
      </c>
      <c r="K12799" s="24" t="s">
        <v>15144</v>
      </c>
      <c r="L12799" s="28" t="s">
        <v>52</v>
      </c>
      <c r="M12799" s="25">
        <v>1348248</v>
      </c>
      <c r="N12799" s="27">
        <v>0</v>
      </c>
    </row>
    <row r="12800" spans="1:14" x14ac:dyDescent="0.15">
      <c r="A12800" s="23" t="str">
        <f>HYPERLINK("https://www.spark-marketing.ru/Card/Person/121399", "МБДОУ ""ДЕТСКИЙ САД № 164"" Г.ЧЕБОКСАРЫ")</f>
        <v>МБДОУ "ДЕТСКИЙ САД № 164" Г.ЧЕБОКСАРЫ</v>
      </c>
      <c r="B12800" s="24" t="s">
        <v>15145</v>
      </c>
      <c r="C12800" s="25">
        <v>12873.87</v>
      </c>
      <c r="D12800" s="22" t="s">
        <v>15146</v>
      </c>
      <c r="E12800" s="22" t="s">
        <v>11359</v>
      </c>
      <c r="F12800" s="23" t="str">
        <f>HYPERLINK("https://www.spark-marketing.ru/Card/Lot/68524912", "Услуга о предупреждении и пресечении правонарушений и преступлений с помощью тревожной кнопки")</f>
        <v>Услуга о предупреждении и пресечении правонарушений и преступлений с помощью тревожной кнопки</v>
      </c>
      <c r="G12800" s="22" t="s">
        <v>1137</v>
      </c>
      <c r="H12800" s="22" t="s">
        <v>1138</v>
      </c>
      <c r="I12800" s="26">
        <v>43530.622916666704</v>
      </c>
      <c r="J12800" s="28" t="s">
        <v>52</v>
      </c>
      <c r="K12800" s="28" t="s">
        <v>52</v>
      </c>
      <c r="L12800" s="28" t="s">
        <v>52</v>
      </c>
      <c r="M12800" s="28" t="s">
        <v>52</v>
      </c>
      <c r="N12800" s="28" t="s">
        <v>52</v>
      </c>
    </row>
    <row r="12801" spans="1:14" x14ac:dyDescent="0.15">
      <c r="A12801" s="23" t="str">
        <f>HYPERLINK("https://www.spark-marketing.ru/Card/Person/19715", "АДМИНИСТРАЦИЯ ТАЦИНСКОГО СЕЛЬСКОГО ПОСЕЛЕНИЯ")</f>
        <v>АДМИНИСТРАЦИЯ ТАЦИНСКОГО СЕЛЬСКОГО ПОСЕЛЕНИЯ</v>
      </c>
      <c r="B12801" s="24" t="s">
        <v>4621</v>
      </c>
      <c r="C12801" s="25">
        <v>404190</v>
      </c>
      <c r="D12801" s="22" t="s">
        <v>15147</v>
      </c>
      <c r="E12801" s="22" t="s">
        <v>84</v>
      </c>
      <c r="F12801" s="23" t="str">
        <f>HYPERLINK("https://www.spark-marketing.ru/Card/Lot/68526598", "Монтаж и установка линейно-кабельных сооружений видеонаблюдения по ул. Ленина от д. № 17 до д. №47 в ст. Тацинской Тацинского сельского поселения Тацинского района Ростовской области")</f>
        <v>Монтаж и установка линейно-кабельных сооружений видеонаблюдения по ул. Ленина от д. № 17 до д. №47 в ст. Тацинской Тацинского сельского поселения Тацинского района Ростовской области</v>
      </c>
      <c r="G12801" s="22" t="s">
        <v>402</v>
      </c>
      <c r="H12801" s="22" t="s">
        <v>4623</v>
      </c>
      <c r="I12801" s="26">
        <v>43530.6118055556</v>
      </c>
      <c r="J12801" s="28" t="s">
        <v>52</v>
      </c>
      <c r="K12801" s="28" t="s">
        <v>52</v>
      </c>
      <c r="L12801" s="28" t="s">
        <v>52</v>
      </c>
      <c r="M12801" s="28" t="s">
        <v>52</v>
      </c>
      <c r="N12801" s="28" t="s">
        <v>52</v>
      </c>
    </row>
    <row r="12802" spans="1:14" ht="12.75" hidden="1" outlineLevel="1" x14ac:dyDescent="0.2">
      <c r="A12802" s="23" t="str">
        <f>HYPERLINK("https://www.spark-marketing.ru/Card/Person/19715", "АДМИНИСТРАЦИЯ ТАЦИНСКОГО СЕЛЬСКОГО ПОСЕЛЕНИЯ")</f>
        <v>АДМИНИСТРАЦИЯ ТАЦИНСКОГО СЕЛЬСКОГО ПОСЕЛЕНИЯ</v>
      </c>
      <c r="B12802" s="24" t="s">
        <v>4621</v>
      </c>
      <c r="C12802" s="25">
        <v>404190</v>
      </c>
      <c r="D12802" s="22" t="s">
        <v>15147</v>
      </c>
      <c r="E12802" s="22" t="s">
        <v>84</v>
      </c>
      <c r="F12802" s="23" t="str">
        <f>HYPERLINK("https://www.spark-marketing.ru/Card/Lot/68526598", "Монтаж и установка линейно-кабельных сооружений видеонаблюдения по ул. Ленина от д. № 17 до д. №47 в ст. Тацинской Тацинского сельского поселения Тацинского района Ростовской области")</f>
        <v>Монтаж и установка линейно-кабельных сооружений видеонаблюдения по ул. Ленина от д. № 17 до д. №47 в ст. Тацинской Тацинского сельского поселения Тацинского района Ростовской области</v>
      </c>
      <c r="G12802" s="22" t="s">
        <v>402</v>
      </c>
      <c r="H12802" s="22" t="s">
        <v>4623</v>
      </c>
      <c r="I12802" s="26">
        <v>43530.6118055556</v>
      </c>
      <c r="J12802" s="23" t="str">
        <f>HYPERLINK("https://www.spark-marketing.ru/Card/Person/4715617", "Стромова Юлия Михайловна")</f>
        <v>Стромова Юлия Михайловна</v>
      </c>
      <c r="K12802" s="24" t="s">
        <v>3887</v>
      </c>
      <c r="L12802" s="22" t="s">
        <v>10</v>
      </c>
      <c r="M12802" s="25">
        <v>349000</v>
      </c>
      <c r="N12802" s="27">
        <v>0.13654469432692545</v>
      </c>
    </row>
    <row r="12803" spans="1:14" hidden="1" outlineLevel="1" x14ac:dyDescent="0.2">
      <c r="A12803" s="23" t="str">
        <f>HYPERLINK("https://www.spark-marketing.ru/Card/Person/19715", "АДМИНИСТРАЦИЯ ТАЦИНСКОГО СЕЛЬСКОГО ПОСЕЛЕНИЯ")</f>
        <v>АДМИНИСТРАЦИЯ ТАЦИНСКОГО СЕЛЬСКОГО ПОСЕЛЕНИЯ</v>
      </c>
      <c r="B12803" s="24" t="s">
        <v>4621</v>
      </c>
      <c r="C12803" s="25">
        <v>404190</v>
      </c>
      <c r="D12803" s="22" t="s">
        <v>15147</v>
      </c>
      <c r="E12803" s="22" t="s">
        <v>84</v>
      </c>
      <c r="F12803" s="23" t="str">
        <f>HYPERLINK("https://www.spark-marketing.ru/Card/Lot/68526598", "Монтаж и установка линейно-кабельных сооружений видеонаблюдения по ул. Ленина от д. № 17 до д. №47 в ст. Тацинской Тацинского сельского поселения Тацинского района Ростовской области")</f>
        <v>Монтаж и установка линейно-кабельных сооружений видеонаблюдения по ул. Ленина от д. № 17 до д. №47 в ст. Тацинской Тацинского сельского поселения Тацинского района Ростовской области</v>
      </c>
      <c r="G12803" s="22" t="s">
        <v>402</v>
      </c>
      <c r="H12803" s="22" t="s">
        <v>4623</v>
      </c>
      <c r="I12803" s="26">
        <v>43530.6118055556</v>
      </c>
      <c r="J12803" s="23" t="str">
        <f>HYPERLINK("https://www.spark-marketing.ru/Card/Person/384360", "Губарева Маргарита Николаевна")</f>
        <v>Губарева Маргарита Николаевна</v>
      </c>
      <c r="K12803" s="24" t="s">
        <v>1489</v>
      </c>
      <c r="L12803" s="28" t="s">
        <v>52</v>
      </c>
      <c r="M12803" s="25">
        <v>375000</v>
      </c>
      <c r="N12803" s="27">
        <v>7.2218511096266605E-2</v>
      </c>
    </row>
    <row r="12804" spans="1:14" hidden="1" outlineLevel="1" x14ac:dyDescent="0.2">
      <c r="A12804" s="23" t="str">
        <f>HYPERLINK("https://www.spark-marketing.ru/Card/Person/19715", "АДМИНИСТРАЦИЯ ТАЦИНСКОГО СЕЛЬСКОГО ПОСЕЛЕНИЯ")</f>
        <v>АДМИНИСТРАЦИЯ ТАЦИНСКОГО СЕЛЬСКОГО ПОСЕЛЕНИЯ</v>
      </c>
      <c r="B12804" s="24" t="s">
        <v>4621</v>
      </c>
      <c r="C12804" s="25">
        <v>404190</v>
      </c>
      <c r="D12804" s="22" t="s">
        <v>15147</v>
      </c>
      <c r="E12804" s="22" t="s">
        <v>84</v>
      </c>
      <c r="F12804" s="23" t="str">
        <f>HYPERLINK("https://www.spark-marketing.ru/Card/Lot/68526598", "Монтаж и установка линейно-кабельных сооружений видеонаблюдения по ул. Ленина от д. № 17 до д. №47 в ст. Тацинской Тацинского сельского поселения Тацинского района Ростовской области")</f>
        <v>Монтаж и установка линейно-кабельных сооружений видеонаблюдения по ул. Ленина от д. № 17 до д. №47 в ст. Тацинской Тацинского сельского поселения Тацинского района Ростовской области</v>
      </c>
      <c r="G12804" s="22" t="s">
        <v>402</v>
      </c>
      <c r="H12804" s="22" t="s">
        <v>4623</v>
      </c>
      <c r="I12804" s="26">
        <v>43530.6118055556</v>
      </c>
      <c r="J12804" s="23" t="str">
        <f>HYPERLINK("https://www.spark-marketing.ru/Card/Person/1215309", "ООО ""МУЛЬТИСИСТЕМЫ""")</f>
        <v>ООО "МУЛЬТИСИСТЕМЫ"</v>
      </c>
      <c r="K12804" s="24" t="s">
        <v>3297</v>
      </c>
      <c r="L12804" s="28" t="s">
        <v>52</v>
      </c>
      <c r="M12804" s="25">
        <v>389500</v>
      </c>
      <c r="N12804" s="27">
        <v>3.6344293525322251E-2</v>
      </c>
    </row>
    <row r="12805" spans="1:14" hidden="1" outlineLevel="1" x14ac:dyDescent="0.2">
      <c r="A12805" s="23" t="str">
        <f>HYPERLINK("https://www.spark-marketing.ru/Card/Person/19715", "АДМИНИСТРАЦИЯ ТАЦИНСКОГО СЕЛЬСКОГО ПОСЕЛЕНИЯ")</f>
        <v>АДМИНИСТРАЦИЯ ТАЦИНСКОГО СЕЛЬСКОГО ПОСЕЛЕНИЯ</v>
      </c>
      <c r="B12805" s="24" t="s">
        <v>4621</v>
      </c>
      <c r="C12805" s="25">
        <v>404190</v>
      </c>
      <c r="D12805" s="22" t="s">
        <v>15147</v>
      </c>
      <c r="E12805" s="22" t="s">
        <v>84</v>
      </c>
      <c r="F12805" s="23" t="str">
        <f>HYPERLINK("https://www.spark-marketing.ru/Card/Lot/68526598", "Монтаж и установка линейно-кабельных сооружений видеонаблюдения по ул. Ленина от д. № 17 до д. №47 в ст. Тацинской Тацинского сельского поселения Тацинского района Ростовской области")</f>
        <v>Монтаж и установка линейно-кабельных сооружений видеонаблюдения по ул. Ленина от д. № 17 до д. №47 в ст. Тацинской Тацинского сельского поселения Тацинского района Ростовской области</v>
      </c>
      <c r="G12805" s="22" t="s">
        <v>402</v>
      </c>
      <c r="H12805" s="22" t="s">
        <v>4623</v>
      </c>
      <c r="I12805" s="26">
        <v>43530.6118055556</v>
      </c>
      <c r="J12805" s="23" t="str">
        <f>HYPERLINK("https://www.spark-marketing.ru/Card/Person/6489938", "ООО ""ДОНСТРОЙИНЖИНИРИНГ""")</f>
        <v>ООО "ДОНСТРОЙИНЖИНИРИНГ"</v>
      </c>
      <c r="K12805" s="24" t="s">
        <v>15148</v>
      </c>
      <c r="L12805" s="28" t="s">
        <v>52</v>
      </c>
      <c r="M12805" s="25">
        <v>400000</v>
      </c>
      <c r="N12805" s="27">
        <v>1.0366411836017714E-2</v>
      </c>
    </row>
    <row r="12806" spans="1:14" x14ac:dyDescent="0.15">
      <c r="A12806" s="23" t="str">
        <f>HYPERLINK("https://www.spark-marketing.ru/Card/Person/94948", "МБУ СШ ПО ТЕННИСУ ИМ. Б. МАНИОНА Г. ЧЕЛЯБИНСКА")</f>
        <v>МБУ СШ ПО ТЕННИСУ ИМ. Б. МАНИОНА Г. ЧЕЛЯБИНСКА</v>
      </c>
      <c r="B12806" s="24" t="s">
        <v>15149</v>
      </c>
      <c r="C12806" s="25">
        <v>899250</v>
      </c>
      <c r="D12806" s="22" t="s">
        <v>15150</v>
      </c>
      <c r="E12806" s="22" t="s">
        <v>52</v>
      </c>
      <c r="F12806" s="23" t="str">
        <f>HYPERLINK("https://www.spark-marketing.ru/Card/Lot/68519381", "19-72850Э На оказание услуг охраны")</f>
        <v>19-72850Э На оказание услуг охраны</v>
      </c>
      <c r="G12806" s="22" t="s">
        <v>60</v>
      </c>
      <c r="H12806" s="22" t="s">
        <v>1683</v>
      </c>
      <c r="I12806" s="26">
        <v>43530.567361111098</v>
      </c>
      <c r="J12806" s="28" t="s">
        <v>52</v>
      </c>
      <c r="K12806" s="28" t="s">
        <v>52</v>
      </c>
      <c r="L12806" s="28" t="s">
        <v>52</v>
      </c>
      <c r="M12806" s="28" t="s">
        <v>52</v>
      </c>
      <c r="N12806" s="28" t="s">
        <v>52</v>
      </c>
    </row>
    <row r="12807" spans="1:14" hidden="1" outlineLevel="1" x14ac:dyDescent="0.2">
      <c r="A12807" s="23" t="str">
        <f>HYPERLINK("https://www.spark-marketing.ru/Card/Person/94948", "МБУ СШ ПО ТЕННИСУ ИМ. Б. МАНИОНА Г. ЧЕЛЯБИНСКА")</f>
        <v>МБУ СШ ПО ТЕННИСУ ИМ. Б. МАНИОНА Г. ЧЕЛЯБИНСКА</v>
      </c>
      <c r="B12807" s="24" t="s">
        <v>15149</v>
      </c>
      <c r="C12807" s="25">
        <v>899250</v>
      </c>
      <c r="D12807" s="22" t="s">
        <v>15150</v>
      </c>
      <c r="E12807" s="22" t="s">
        <v>52</v>
      </c>
      <c r="F12807" s="23" t="str">
        <f>HYPERLINK("https://www.spark-marketing.ru/Card/Lot/68519381", "19-72850Э На оказание услуг охраны")</f>
        <v>19-72850Э На оказание услуг охраны</v>
      </c>
      <c r="G12807" s="22" t="s">
        <v>60</v>
      </c>
      <c r="H12807" s="22" t="s">
        <v>1683</v>
      </c>
      <c r="I12807" s="26">
        <v>43530.567361111098</v>
      </c>
      <c r="J12807" s="23" t="str">
        <f>HYPERLINK("https://www.spark-marketing.ru/Card/Person/100254", "ООО ЧОО ""ВИКТОРИЯ""")</f>
        <v>ООО ЧОО "ВИКТОРИЯ"</v>
      </c>
      <c r="K12807" s="24" t="s">
        <v>1406</v>
      </c>
      <c r="L12807" s="28" t="s">
        <v>52</v>
      </c>
      <c r="M12807" s="25">
        <v>629475</v>
      </c>
      <c r="N12807" s="27">
        <v>0.3</v>
      </c>
    </row>
    <row r="12808" spans="1:14" ht="12.75" hidden="1" outlineLevel="1" x14ac:dyDescent="0.2">
      <c r="A12808" s="23" t="str">
        <f>HYPERLINK("https://www.spark-marketing.ru/Card/Person/94948", "МБУ СШ ПО ТЕННИСУ ИМ. Б. МАНИОНА Г. ЧЕЛЯБИНСКА")</f>
        <v>МБУ СШ ПО ТЕННИСУ ИМ. Б. МАНИОНА Г. ЧЕЛЯБИНСКА</v>
      </c>
      <c r="B12808" s="24" t="s">
        <v>15149</v>
      </c>
      <c r="C12808" s="25">
        <v>899250</v>
      </c>
      <c r="D12808" s="22" t="s">
        <v>15150</v>
      </c>
      <c r="E12808" s="22" t="s">
        <v>52</v>
      </c>
      <c r="F12808" s="23" t="str">
        <f>HYPERLINK("https://www.spark-marketing.ru/Card/Lot/68519381", "19-72850Э На оказание услуг охраны")</f>
        <v>19-72850Э На оказание услуг охраны</v>
      </c>
      <c r="G12808" s="22" t="s">
        <v>60</v>
      </c>
      <c r="H12808" s="22" t="s">
        <v>1683</v>
      </c>
      <c r="I12808" s="26">
        <v>43530.567361111098</v>
      </c>
      <c r="J12808" s="23" t="str">
        <f>HYPERLINK("https://www.spark-marketing.ru/Card/Person/863715", "ООО ЧОО ""ВИПР-ОХРАНА""")</f>
        <v>ООО ЧОО "ВИПР-ОХРАНА"</v>
      </c>
      <c r="K12808" s="24" t="s">
        <v>9757</v>
      </c>
      <c r="L12808" s="22" t="s">
        <v>10</v>
      </c>
      <c r="M12808" s="25">
        <v>624978.75</v>
      </c>
      <c r="N12808" s="27">
        <v>0.30499999999999999</v>
      </c>
    </row>
    <row r="12809" spans="1:14" x14ac:dyDescent="0.15">
      <c r="A12809" s="23" t="str">
        <f t="shared" ref="A12809:A12814" si="667">HYPERLINK("https://www.spark-marketing.ru/Card/Person/21542", "УПФР В ЗАВОДСКОМ РАЙОНЕ Г. САРАТОВА (МЕЖРАЙОННОЕ)")</f>
        <v>УПФР В ЗАВОДСКОМ РАЙОНЕ Г. САРАТОВА (МЕЖРАЙОННОЕ)</v>
      </c>
      <c r="B12809" s="24" t="s">
        <v>15151</v>
      </c>
      <c r="C12809" s="25">
        <v>55000</v>
      </c>
      <c r="D12809" s="22" t="s">
        <v>15152</v>
      </c>
      <c r="E12809" s="22" t="s">
        <v>103</v>
      </c>
      <c r="F12809" s="23" t="str">
        <f t="shared" ref="F12809:F12814" si="668">HYPERLINK("https://www.spark-marketing.ru/Card/Lot/68518428", "Оказание услуг по техническому обслуживанию систем видеонаблюдения для нужд государственного учреждения - Управления Пенсионного фонда Российской Федерации в Заводском районе г. Саратова (межрайонного)")</f>
        <v>Оказание услуг по техническому обслуживанию систем видеонаблюдения для нужд государственного учреждения - Управления Пенсионного фонда Российской Федерации в Заводском районе г. Саратова (межрайонного)</v>
      </c>
      <c r="G12809" s="22" t="s">
        <v>80</v>
      </c>
      <c r="H12809" s="22" t="s">
        <v>81</v>
      </c>
      <c r="I12809" s="26">
        <v>43530.502777777801</v>
      </c>
      <c r="J12809" s="28" t="s">
        <v>52</v>
      </c>
      <c r="K12809" s="28" t="s">
        <v>52</v>
      </c>
      <c r="L12809" s="28" t="s">
        <v>52</v>
      </c>
      <c r="M12809" s="28" t="s">
        <v>52</v>
      </c>
      <c r="N12809" s="28" t="s">
        <v>52</v>
      </c>
    </row>
    <row r="12810" spans="1:14" hidden="1" outlineLevel="1" x14ac:dyDescent="0.2">
      <c r="A12810" s="23" t="str">
        <f t="shared" si="667"/>
        <v>УПФР В ЗАВОДСКОМ РАЙОНЕ Г. САРАТОВА (МЕЖРАЙОННОЕ)</v>
      </c>
      <c r="B12810" s="24" t="s">
        <v>15151</v>
      </c>
      <c r="C12810" s="25">
        <v>55000</v>
      </c>
      <c r="D12810" s="22" t="s">
        <v>15152</v>
      </c>
      <c r="E12810" s="22" t="s">
        <v>103</v>
      </c>
      <c r="F12810" s="23" t="str">
        <f t="shared" si="668"/>
        <v>Оказание услуг по техническому обслуживанию систем видеонаблюдения для нужд государственного учреждения - Управления Пенсионного фонда Российской Федерации в Заводском районе г. Саратова (межрайонного)</v>
      </c>
      <c r="G12810" s="22" t="s">
        <v>80</v>
      </c>
      <c r="H12810" s="22" t="s">
        <v>81</v>
      </c>
      <c r="I12810" s="26">
        <v>43530.502777777801</v>
      </c>
      <c r="J12810" s="23" t="str">
        <f>HYPERLINK("https://www.spark-marketing.ru/Card/Person/74710", "ООО ""АВЕРС-ВИДЕО""")</f>
        <v>ООО "АВЕРС-ВИДЕО"</v>
      </c>
      <c r="K12810" s="24" t="s">
        <v>2555</v>
      </c>
      <c r="L12810" s="28" t="s">
        <v>52</v>
      </c>
      <c r="M12810" s="25">
        <v>11688.32</v>
      </c>
      <c r="N12810" s="27">
        <v>0.78748509090909091</v>
      </c>
    </row>
    <row r="12811" spans="1:14" hidden="1" outlineLevel="1" x14ac:dyDescent="0.2">
      <c r="A12811" s="23" t="str">
        <f t="shared" si="667"/>
        <v>УПФР В ЗАВОДСКОМ РАЙОНЕ Г. САРАТОВА (МЕЖРАЙОННОЕ)</v>
      </c>
      <c r="B12811" s="24" t="s">
        <v>15151</v>
      </c>
      <c r="C12811" s="25">
        <v>55000</v>
      </c>
      <c r="D12811" s="22" t="s">
        <v>15152</v>
      </c>
      <c r="E12811" s="22" t="s">
        <v>103</v>
      </c>
      <c r="F12811" s="23" t="str">
        <f t="shared" si="668"/>
        <v>Оказание услуг по техническому обслуживанию систем видеонаблюдения для нужд государственного учреждения - Управления Пенсионного фонда Российской Федерации в Заводском районе г. Саратова (межрайонного)</v>
      </c>
      <c r="G12811" s="22" t="s">
        <v>80</v>
      </c>
      <c r="H12811" s="22" t="s">
        <v>81</v>
      </c>
      <c r="I12811" s="26">
        <v>43530.502777777801</v>
      </c>
      <c r="J12811" s="23" t="str">
        <f>HYPERLINK("https://www.spark-marketing.ru/Card/Person/14845", "ООО ""ВИЗА-СПЕЦСЕРВИС""")</f>
        <v>ООО "ВИЗА-СПЕЦСЕРВИС"</v>
      </c>
      <c r="K12811" s="24" t="s">
        <v>12296</v>
      </c>
      <c r="L12811" s="28" t="s">
        <v>52</v>
      </c>
      <c r="M12811" s="25">
        <v>22500</v>
      </c>
      <c r="N12811" s="27">
        <v>0.59090909090909094</v>
      </c>
    </row>
    <row r="12812" spans="1:14" ht="12.75" hidden="1" outlineLevel="1" x14ac:dyDescent="0.2">
      <c r="A12812" s="23" t="str">
        <f t="shared" si="667"/>
        <v>УПФР В ЗАВОДСКОМ РАЙОНЕ Г. САРАТОВА (МЕЖРАЙОННОЕ)</v>
      </c>
      <c r="B12812" s="24" t="s">
        <v>15151</v>
      </c>
      <c r="C12812" s="25">
        <v>55000</v>
      </c>
      <c r="D12812" s="22" t="s">
        <v>15152</v>
      </c>
      <c r="E12812" s="22" t="s">
        <v>103</v>
      </c>
      <c r="F12812" s="23" t="str">
        <f t="shared" si="668"/>
        <v>Оказание услуг по техническому обслуживанию систем видеонаблюдения для нужд государственного учреждения - Управления Пенсионного фонда Российской Федерации в Заводском районе г. Саратова (межрайонного)</v>
      </c>
      <c r="G12812" s="22" t="s">
        <v>80</v>
      </c>
      <c r="H12812" s="22" t="s">
        <v>81</v>
      </c>
      <c r="I12812" s="26">
        <v>43530.502777777801</v>
      </c>
      <c r="J12812" s="23" t="str">
        <f>HYPERLINK("https://www.spark-marketing.ru/Card/Person/6384413", "Иванов Александр Витальевич")</f>
        <v>Иванов Александр Витальевич</v>
      </c>
      <c r="K12812" s="24" t="s">
        <v>15153</v>
      </c>
      <c r="L12812" s="22" t="s">
        <v>10</v>
      </c>
      <c r="M12812" s="25">
        <v>7879</v>
      </c>
      <c r="N12812" s="27">
        <v>0.85674545454545459</v>
      </c>
    </row>
    <row r="12813" spans="1:14" hidden="1" outlineLevel="1" x14ac:dyDescent="0.2">
      <c r="A12813" s="23" t="str">
        <f t="shared" si="667"/>
        <v>УПФР В ЗАВОДСКОМ РАЙОНЕ Г. САРАТОВА (МЕЖРАЙОННОЕ)</v>
      </c>
      <c r="B12813" s="24" t="s">
        <v>15151</v>
      </c>
      <c r="C12813" s="25">
        <v>55000</v>
      </c>
      <c r="D12813" s="22" t="s">
        <v>15152</v>
      </c>
      <c r="E12813" s="22" t="s">
        <v>103</v>
      </c>
      <c r="F12813" s="23" t="str">
        <f t="shared" si="668"/>
        <v>Оказание услуг по техническому обслуживанию систем видеонаблюдения для нужд государственного учреждения - Управления Пенсионного фонда Российской Федерации в Заводском районе г. Саратова (межрайонного)</v>
      </c>
      <c r="G12813" s="22" t="s">
        <v>80</v>
      </c>
      <c r="H12813" s="22" t="s">
        <v>81</v>
      </c>
      <c r="I12813" s="26">
        <v>43530.502777777801</v>
      </c>
      <c r="J12813" s="23" t="str">
        <f>HYPERLINK("https://www.spark-marketing.ru/Card/Person/6498866", "Ковтун Михаил Геннадьевич")</f>
        <v>Ковтун Михаил Геннадьевич</v>
      </c>
      <c r="K12813" s="24" t="s">
        <v>13292</v>
      </c>
      <c r="L12813" s="28" t="s">
        <v>52</v>
      </c>
      <c r="M12813" s="25">
        <v>48844.23</v>
      </c>
      <c r="N12813" s="27">
        <v>0.1119230909090909</v>
      </c>
    </row>
    <row r="12814" spans="1:14" hidden="1" outlineLevel="1" x14ac:dyDescent="0.2">
      <c r="A12814" s="23" t="str">
        <f t="shared" si="667"/>
        <v>УПФР В ЗАВОДСКОМ РАЙОНЕ Г. САРАТОВА (МЕЖРАЙОННОЕ)</v>
      </c>
      <c r="B12814" s="24" t="s">
        <v>15151</v>
      </c>
      <c r="C12814" s="25">
        <v>55000</v>
      </c>
      <c r="D12814" s="22" t="s">
        <v>15152</v>
      </c>
      <c r="E12814" s="22" t="s">
        <v>103</v>
      </c>
      <c r="F12814" s="23" t="str">
        <f t="shared" si="668"/>
        <v>Оказание услуг по техническому обслуживанию систем видеонаблюдения для нужд государственного учреждения - Управления Пенсионного фонда Российской Федерации в Заводском районе г. Саратова (межрайонного)</v>
      </c>
      <c r="G12814" s="22" t="s">
        <v>80</v>
      </c>
      <c r="H12814" s="22" t="s">
        <v>81</v>
      </c>
      <c r="I12814" s="26">
        <v>43530.502777777801</v>
      </c>
      <c r="J12814" s="23" t="str">
        <f>HYPERLINK("https://www.spark-marketing.ru/Card/Person/4928835", "Гурский Юрий Анатольевич")</f>
        <v>Гурский Юрий Анатольевич</v>
      </c>
      <c r="K12814" s="24" t="s">
        <v>4284</v>
      </c>
      <c r="L12814" s="28" t="s">
        <v>52</v>
      </c>
      <c r="M12814" s="25">
        <v>8154</v>
      </c>
      <c r="N12814" s="27">
        <v>0.85174545454545458</v>
      </c>
    </row>
    <row r="12815" spans="1:14" x14ac:dyDescent="0.15">
      <c r="A12815" s="23" t="str">
        <f>HYPERLINK("https://www.spark-marketing.ru/Card/Person/1000603", "ГБУ ""СШ № 3 БЕЛГОРОДСКОЙ ОБЛАСТИ ИМ. Б.В. ПИЛКИНА""")</f>
        <v>ГБУ "СШ № 3 БЕЛГОРОДСКОЙ ОБЛАСТИ ИМ. Б.В. ПИЛКИНА"</v>
      </c>
      <c r="B12815" s="24" t="s">
        <v>15154</v>
      </c>
      <c r="C12815" s="25">
        <v>10000</v>
      </c>
      <c r="D12815" s="22" t="s">
        <v>15155</v>
      </c>
      <c r="E12815" s="22" t="s">
        <v>103</v>
      </c>
      <c r="F12815" s="23" t="str">
        <f>HYPERLINK("https://www.spark-marketing.ru/Card/Lot/68519841", "Техническое обслуживание комплексов(16в/к) ситем видеонаблюдений")</f>
        <v>Техническое обслуживание комплексов(16в/к) ситем видеонаблюдений</v>
      </c>
      <c r="G12815" s="22" t="s">
        <v>176</v>
      </c>
      <c r="H12815" s="22" t="s">
        <v>318</v>
      </c>
      <c r="I12815" s="26">
        <v>43530.53125</v>
      </c>
      <c r="J12815" s="28" t="s">
        <v>52</v>
      </c>
      <c r="K12815" s="28" t="s">
        <v>52</v>
      </c>
      <c r="L12815" s="28" t="s">
        <v>52</v>
      </c>
      <c r="M12815" s="28" t="s">
        <v>52</v>
      </c>
      <c r="N12815" s="28" t="s">
        <v>52</v>
      </c>
    </row>
    <row r="12816" spans="1:14" x14ac:dyDescent="0.2">
      <c r="A12816" s="23" t="str">
        <f>HYPERLINK("https://www.spark-marketing.ru/Card/Person/123293", "ЛОГП ""ЛЕНФАРМ""")</f>
        <v>ЛОГП "ЛЕНФАРМ"</v>
      </c>
      <c r="B12816" s="24" t="s">
        <v>8623</v>
      </c>
      <c r="C12816" s="25">
        <v>289395.8</v>
      </c>
      <c r="D12816" s="22" t="s">
        <v>15156</v>
      </c>
      <c r="E12816" s="22" t="s">
        <v>144</v>
      </c>
      <c r="F12816" s="23" t="str">
        <f>HYPERLINK("https://www.spark-marketing.ru/Card/Lot/68519088", "Централизованная охрана и экстренный вызов наряда вневедомственной охраны, где размещен объект ЛОГП «Ленфарм», расположенный по адресу: Ленинградская область, Выборгский р-н, ул., п. Рощино, Социалистическая, д.7, пом.1")</f>
        <v>Централизованная охрана и экстренный вызов наряда вневедомственной охраны, где размещен объект ЛОГП «Ленфарм», расположенный по адресу: Ленинградская область, Выборгский р-н, ул., п. Рощино, Социалистическая, д.7, пом.1</v>
      </c>
      <c r="G12816" s="22" t="s">
        <v>861</v>
      </c>
      <c r="H12816" s="22" t="s">
        <v>861</v>
      </c>
      <c r="I12816" s="26">
        <v>43530.504317129598</v>
      </c>
      <c r="J12816" s="23" t="str">
        <f>HYPERLINK("https://www.spark-marketing.ru/Card/Person/4347044", "ФГКУ ""УВО ВНГ РОССИИ ПО Г. СПБ И ЛО""")</f>
        <v>ФГКУ "УВО ВНГ РОССИИ ПО Г. СПБ И ЛО"</v>
      </c>
      <c r="K12816" s="24" t="s">
        <v>8969</v>
      </c>
      <c r="L12816" s="28" t="s">
        <v>52</v>
      </c>
      <c r="M12816" s="25">
        <v>289395.8</v>
      </c>
      <c r="N12816" s="27">
        <v>0</v>
      </c>
    </row>
    <row r="12817" spans="1:14" x14ac:dyDescent="0.15">
      <c r="A12817" s="23" t="str">
        <f>HYPERLINK("https://www.spark-marketing.ru/Card/Person/359364", "МУП ""ВОДОКАНАЛ""")</f>
        <v>МУП "ВОДОКАНАЛ"</v>
      </c>
      <c r="B12817" s="24" t="s">
        <v>15157</v>
      </c>
      <c r="C12817" s="25">
        <v>308523.36</v>
      </c>
      <c r="D12817" s="22" t="s">
        <v>15158</v>
      </c>
      <c r="E12817" s="22" t="s">
        <v>370</v>
      </c>
      <c r="F12817" s="23" t="str">
        <f>HYPERLINK("https://www.spark-marketing.ru/Card/Lot/68516846", "Услуги по техническому обслуживанию охранной сигнализации объектов МУП ""Водоканал"" городского округа Ликино-Дулёво")</f>
        <v>Услуги по техническому обслуживанию охранной сигнализации объектов МУП "Водоканал" городского округа Ликино-Дулёво</v>
      </c>
      <c r="G12817" s="22" t="s">
        <v>50</v>
      </c>
      <c r="H12817" s="22" t="s">
        <v>50</v>
      </c>
      <c r="I12817" s="26">
        <v>43530.469537037003</v>
      </c>
      <c r="J12817" s="28" t="s">
        <v>52</v>
      </c>
      <c r="K12817" s="28" t="s">
        <v>52</v>
      </c>
      <c r="L12817" s="28" t="s">
        <v>52</v>
      </c>
      <c r="M12817" s="28" t="s">
        <v>52</v>
      </c>
      <c r="N12817" s="28" t="s">
        <v>52</v>
      </c>
    </row>
    <row r="12818" spans="1:14" hidden="1" outlineLevel="1" x14ac:dyDescent="0.2">
      <c r="A12818" s="23" t="str">
        <f>HYPERLINK("https://www.spark-marketing.ru/Card/Person/359364", "МУП ""ВОДОКАНАЛ""")</f>
        <v>МУП "ВОДОКАНАЛ"</v>
      </c>
      <c r="B12818" s="24" t="s">
        <v>15157</v>
      </c>
      <c r="C12818" s="28" t="s">
        <v>52</v>
      </c>
      <c r="D12818" s="22" t="s">
        <v>15158</v>
      </c>
      <c r="E12818" s="22" t="s">
        <v>370</v>
      </c>
      <c r="F12818" s="23" t="str">
        <f>HYPERLINK("https://www.spark-marketing.ru/Card/Lot/68516846", "Услуги по техническому обслуживанию охранной сигнализации объектов МУП ""Водоканал"" городского округа Ликино-Дулёво")</f>
        <v>Услуги по техническому обслуживанию охранной сигнализации объектов МУП "Водоканал" городского округа Ликино-Дулёво</v>
      </c>
      <c r="G12818" s="22" t="s">
        <v>50</v>
      </c>
      <c r="H12818" s="22" t="s">
        <v>50</v>
      </c>
      <c r="I12818" s="26">
        <v>43530.469537037003</v>
      </c>
      <c r="J12818" s="23" t="str">
        <f>HYPERLINK("https://www.spark-marketing.ru/Card/Person/10487", "ФГУП ""ОХРАНА"" РОСГВАРДИИ")</f>
        <v>ФГУП "ОХРАНА" РОСГВАРДИИ</v>
      </c>
      <c r="K12818" s="24" t="s">
        <v>779</v>
      </c>
      <c r="L12818" s="28" t="s">
        <v>52</v>
      </c>
      <c r="M12818" s="25">
        <v>216000</v>
      </c>
      <c r="N12818" s="27">
        <v>0.29989093856620774</v>
      </c>
    </row>
    <row r="12819" spans="1:14" hidden="1" outlineLevel="1" x14ac:dyDescent="0.2">
      <c r="A12819" s="23" t="str">
        <f>HYPERLINK("https://www.spark-marketing.ru/Card/Person/359364", "МУП ""ВОДОКАНАЛ""")</f>
        <v>МУП "ВОДОКАНАЛ"</v>
      </c>
      <c r="B12819" s="24" t="s">
        <v>15157</v>
      </c>
      <c r="C12819" s="28" t="s">
        <v>52</v>
      </c>
      <c r="D12819" s="22" t="s">
        <v>15158</v>
      </c>
      <c r="E12819" s="22" t="s">
        <v>370</v>
      </c>
      <c r="F12819" s="23" t="str">
        <f>HYPERLINK("https://www.spark-marketing.ru/Card/Lot/68516846", "Услуги по техническому обслуживанию охранной сигнализации объектов МУП ""Водоканал"" городского округа Ликино-Дулёво")</f>
        <v>Услуги по техническому обслуживанию охранной сигнализации объектов МУП "Водоканал" городского округа Ликино-Дулёво</v>
      </c>
      <c r="G12819" s="22" t="s">
        <v>50</v>
      </c>
      <c r="H12819" s="22" t="s">
        <v>50</v>
      </c>
      <c r="I12819" s="26">
        <v>43530.469537037003</v>
      </c>
      <c r="J12819" s="23" t="str">
        <f>HYPERLINK("https://www.spark-marketing.ru/Card/Person/65028", "ООО ""ИМПУЛЬС М""")</f>
        <v>ООО "ИМПУЛЬС М"</v>
      </c>
      <c r="K12819" s="24" t="s">
        <v>7268</v>
      </c>
      <c r="L12819" s="28" t="s">
        <v>52</v>
      </c>
      <c r="M12819" s="25">
        <v>200000</v>
      </c>
      <c r="N12819" s="27">
        <v>0.35175086904278496</v>
      </c>
    </row>
    <row r="12820" spans="1:14" hidden="1" outlineLevel="1" x14ac:dyDescent="0.2">
      <c r="A12820" s="23" t="str">
        <f>HYPERLINK("https://www.spark-marketing.ru/Card/Person/359364", "МУП ""ВОДОКАНАЛ""")</f>
        <v>МУП "ВОДОКАНАЛ"</v>
      </c>
      <c r="B12820" s="24" t="s">
        <v>15157</v>
      </c>
      <c r="C12820" s="28" t="s">
        <v>52</v>
      </c>
      <c r="D12820" s="22" t="s">
        <v>15158</v>
      </c>
      <c r="E12820" s="22" t="s">
        <v>370</v>
      </c>
      <c r="F12820" s="23" t="str">
        <f>HYPERLINK("https://www.spark-marketing.ru/Card/Lot/68516846", "Услуги по техническому обслуживанию охранной сигнализации объектов МУП ""Водоканал"" городского округа Ликино-Дулёво")</f>
        <v>Услуги по техническому обслуживанию охранной сигнализации объектов МУП "Водоканал" городского округа Ликино-Дулёво</v>
      </c>
      <c r="G12820" s="22" t="s">
        <v>50</v>
      </c>
      <c r="H12820" s="22" t="s">
        <v>50</v>
      </c>
      <c r="I12820" s="26">
        <v>43530.469537037003</v>
      </c>
      <c r="J12820" s="23" t="str">
        <f>HYPERLINK("https://www.spark-marketing.ru/Card/Person/417341", "ООО ""ЧОО ""МОСКОВСКИЙ ДОМ: ОХРАНА-СЕРВИС""")</f>
        <v>ООО "ЧОО "МОСКОВСКИЙ ДОМ: ОХРАНА-СЕРВИС"</v>
      </c>
      <c r="K12820" s="24" t="s">
        <v>1493</v>
      </c>
      <c r="L12820" s="22" t="s">
        <v>10</v>
      </c>
      <c r="M12820" s="25">
        <v>149000</v>
      </c>
      <c r="N12820" s="27">
        <v>0.51705439743687476</v>
      </c>
    </row>
    <row r="12821" spans="1:14" x14ac:dyDescent="0.15">
      <c r="A12821" s="23" t="str">
        <f>HYPERLINK("https://www.spark-marketing.ru/Card/Person/4343465", "ГКУ ""АМУРУПРАДОР""")</f>
        <v>ГКУ "АМУРУПРАДОР"</v>
      </c>
      <c r="B12821" s="24" t="s">
        <v>11771</v>
      </c>
      <c r="C12821" s="28" t="s">
        <v>52</v>
      </c>
      <c r="D12821" s="22" t="s">
        <v>15159</v>
      </c>
      <c r="E12821" s="22" t="s">
        <v>52</v>
      </c>
      <c r="F12821" s="23" t="str">
        <f>HYPERLINK("https://www.spark-marketing.ru/Card/Lot/68515157", "выполнение работ, непосредственно связанных с обеспечением транспортной безопасности на объектах транспортной инфраструктуры ГКУ «Амурупрадор»")</f>
        <v>выполнение работ, непосредственно связанных с обеспечением транспортной безопасности на объектах транспортной инфраструктуры ГКУ «Амурупрадор»</v>
      </c>
      <c r="G12821" s="22" t="s">
        <v>230</v>
      </c>
      <c r="H12821" s="22" t="s">
        <v>231</v>
      </c>
      <c r="I12821" s="26">
        <v>43530.465277777803</v>
      </c>
      <c r="J12821" s="28" t="s">
        <v>52</v>
      </c>
      <c r="K12821" s="28" t="s">
        <v>52</v>
      </c>
      <c r="L12821" s="28" t="s">
        <v>52</v>
      </c>
      <c r="M12821" s="28" t="s">
        <v>52</v>
      </c>
      <c r="N12821" s="28" t="s">
        <v>52</v>
      </c>
    </row>
    <row r="12822" spans="1:14" x14ac:dyDescent="0.15">
      <c r="A12822" s="23" t="str">
        <f>HYPERLINK("https://www.spark-marketing.ru/Card/Person/60155", "МБДОУ ДЕТСКИЙ САД №51")</f>
        <v>МБДОУ ДЕТСКИЙ САД №51</v>
      </c>
      <c r="B12822" s="24" t="s">
        <v>15086</v>
      </c>
      <c r="C12822" s="25">
        <v>60420</v>
      </c>
      <c r="D12822" s="22" t="s">
        <v>15160</v>
      </c>
      <c r="E12822" s="22" t="s">
        <v>107</v>
      </c>
      <c r="F12822" s="23" t="str">
        <f>HYPERLINK("https://www.spark-marketing.ru/Card/Lot/68533397", "Оказание услуг по техническому обслуживанию комплекса технических средств охраны (КТС)")</f>
        <v>Оказание услуг по техническому обслуживанию комплекса технических средств охраны (КТС)</v>
      </c>
      <c r="G12822" s="22" t="s">
        <v>50</v>
      </c>
      <c r="H12822" s="22" t="s">
        <v>2332</v>
      </c>
      <c r="I12822" s="26">
        <v>43530.4927314815</v>
      </c>
      <c r="J12822" s="28" t="s">
        <v>52</v>
      </c>
      <c r="K12822" s="28" t="s">
        <v>52</v>
      </c>
      <c r="L12822" s="28" t="s">
        <v>52</v>
      </c>
      <c r="M12822" s="28" t="s">
        <v>52</v>
      </c>
      <c r="N12822" s="28" t="s">
        <v>52</v>
      </c>
    </row>
    <row r="12823" spans="1:14" x14ac:dyDescent="0.2">
      <c r="A12823" s="23" t="str">
        <f>HYPERLINK("https://www.spark-marketing.ru/Card/Person/78666", "ГУП МО ""МОБТИ""")</f>
        <v>ГУП МО "МОБТИ"</v>
      </c>
      <c r="B12823" s="24" t="s">
        <v>3213</v>
      </c>
      <c r="C12823" s="25">
        <v>70244.67</v>
      </c>
      <c r="D12823" s="22" t="s">
        <v>15161</v>
      </c>
      <c r="E12823" s="22" t="s">
        <v>789</v>
      </c>
      <c r="F12823" s="23" t="str">
        <f>HYPERLINK("https://www.spark-marketing.ru/Card/Lot/68516555", "Заключение государственного контракта с Администрацией городского округа Кашира на содержание помещений и территории, прилегающей к зданию, за охрану и осуществление внутриобъектового и пропускного режимов общего имущества здания, в котором часть пло...")</f>
        <v>Заключение государственного контракта с Администрацией городского округа Кашира на содержание помещений и территории, прилегающей к зданию, за охрану и осуществление внутриобъектового и пропускного режимов общего имущества здания, в котором часть пло...</v>
      </c>
      <c r="G12823" s="22" t="s">
        <v>50</v>
      </c>
      <c r="H12823" s="22" t="s">
        <v>7421</v>
      </c>
      <c r="I12823" s="26">
        <v>43530.4550115741</v>
      </c>
      <c r="J12823" s="23" t="str">
        <f>HYPERLINK("https://www.spark-marketing.ru/Card/Person/56264", "АДМИНИСТРАЦИЯ ГОРОДСКОГО ОКРУГА КАШИРА")</f>
        <v>АДМИНИСТРАЦИЯ ГОРОДСКОГО ОКРУГА КАШИРА</v>
      </c>
      <c r="K12823" s="24" t="s">
        <v>15162</v>
      </c>
      <c r="L12823" s="28" t="s">
        <v>52</v>
      </c>
      <c r="M12823" s="25">
        <v>70244.67</v>
      </c>
      <c r="N12823" s="27">
        <v>0</v>
      </c>
    </row>
    <row r="12824" spans="1:14" x14ac:dyDescent="0.15">
      <c r="A12824" s="23" t="str">
        <f>HYPERLINK("https://www.spark-marketing.ru/Card/Person/60990", "ИРКУТСКАЯ ТАМОЖНЯ")</f>
        <v>ИРКУТСКАЯ ТАМОЖНЯ</v>
      </c>
      <c r="B12824" s="24" t="s">
        <v>10531</v>
      </c>
      <c r="C12824" s="25">
        <v>114955.74</v>
      </c>
      <c r="D12824" s="22" t="s">
        <v>15163</v>
      </c>
      <c r="E12824" s="22" t="s">
        <v>68</v>
      </c>
      <c r="F12824" s="23" t="str">
        <f>HYPERLINK("https://www.spark-marketing.ru/Card/Lot/68509958", "оказание услуг по охране объекта Иркутской таможни")</f>
        <v>оказание услуг по охране объекта Иркутской таможни</v>
      </c>
      <c r="G12824" s="22" t="s">
        <v>281</v>
      </c>
      <c r="H12824" s="22" t="s">
        <v>2008</v>
      </c>
      <c r="I12824" s="26">
        <v>43530.427083333299</v>
      </c>
      <c r="J12824" s="28" t="s">
        <v>52</v>
      </c>
      <c r="K12824" s="28" t="s">
        <v>52</v>
      </c>
      <c r="L12824" s="28" t="s">
        <v>52</v>
      </c>
      <c r="M12824" s="28" t="s">
        <v>52</v>
      </c>
      <c r="N12824" s="28" t="s">
        <v>52</v>
      </c>
    </row>
    <row r="12825" spans="1:14" hidden="1" outlineLevel="1" x14ac:dyDescent="0.2">
      <c r="A12825" s="23" t="str">
        <f>HYPERLINK("https://www.spark-marketing.ru/Card/Person/60990", "ИРКУТСКАЯ ТАМОЖНЯ")</f>
        <v>ИРКУТСКАЯ ТАМОЖНЯ</v>
      </c>
      <c r="B12825" s="24" t="s">
        <v>10531</v>
      </c>
      <c r="C12825" s="25">
        <v>114955.74</v>
      </c>
      <c r="D12825" s="22" t="s">
        <v>15163</v>
      </c>
      <c r="E12825" s="22" t="s">
        <v>68</v>
      </c>
      <c r="F12825" s="23" t="str">
        <f>HYPERLINK("https://www.spark-marketing.ru/Card/Lot/68509958", "оказание услуг по охране объекта Иркутской таможни")</f>
        <v>оказание услуг по охране объекта Иркутской таможни</v>
      </c>
      <c r="G12825" s="22" t="s">
        <v>281</v>
      </c>
      <c r="H12825" s="22" t="s">
        <v>2008</v>
      </c>
      <c r="I12825" s="26">
        <v>43530.427083333299</v>
      </c>
      <c r="J12825" s="23" t="str">
        <f>HYPERLINK("https://www.spark-marketing.ru/Card/Person/4393154", "ФГКУ ""УВО ВНГ РОССИИ ПО ИРКУТСКОЙ ОБЛАСТИ""")</f>
        <v>ФГКУ "УВО ВНГ РОССИИ ПО ИРКУТСКОЙ ОБЛАСТИ"</v>
      </c>
      <c r="K12825" s="24" t="s">
        <v>9037</v>
      </c>
      <c r="L12825" s="28" t="s">
        <v>52</v>
      </c>
      <c r="M12825" s="25">
        <v>90814.98</v>
      </c>
      <c r="N12825" s="27">
        <v>0.21000047496540841</v>
      </c>
    </row>
    <row r="12826" spans="1:14" ht="12.75" hidden="1" outlineLevel="1" x14ac:dyDescent="0.2">
      <c r="A12826" s="23" t="str">
        <f>HYPERLINK("https://www.spark-marketing.ru/Card/Person/60990", "ИРКУТСКАЯ ТАМОЖНЯ")</f>
        <v>ИРКУТСКАЯ ТАМОЖНЯ</v>
      </c>
      <c r="B12826" s="24" t="s">
        <v>10531</v>
      </c>
      <c r="C12826" s="25">
        <v>114955.74</v>
      </c>
      <c r="D12826" s="22" t="s">
        <v>15163</v>
      </c>
      <c r="E12826" s="22" t="s">
        <v>68</v>
      </c>
      <c r="F12826" s="23" t="str">
        <f>HYPERLINK("https://www.spark-marketing.ru/Card/Lot/68509958", "оказание услуг по охране объекта Иркутской таможни")</f>
        <v>оказание услуг по охране объекта Иркутской таможни</v>
      </c>
      <c r="G12826" s="22" t="s">
        <v>281</v>
      </c>
      <c r="H12826" s="22" t="s">
        <v>2008</v>
      </c>
      <c r="I12826" s="26">
        <v>43530.427083333299</v>
      </c>
      <c r="J12826" s="23" t="str">
        <f>HYPERLINK("https://www.spark-marketing.ru/Card/Person/10487", "ФГУП ""ОХРАНА"" РОСГВАРДИИ")</f>
        <v>ФГУП "ОХРАНА" РОСГВАРДИИ</v>
      </c>
      <c r="K12826" s="24" t="s">
        <v>779</v>
      </c>
      <c r="L12826" s="22" t="s">
        <v>10</v>
      </c>
      <c r="M12826" s="25">
        <v>90240.2</v>
      </c>
      <c r="N12826" s="27">
        <v>0.21500048627410862</v>
      </c>
    </row>
    <row r="12827" spans="1:14" x14ac:dyDescent="0.15">
      <c r="A12827" s="23" t="str">
        <f>HYPERLINK("https://www.spark-marketing.ru/Card/Person/4343465", "ГКУ ""АМУРУПРАДОР""")</f>
        <v>ГКУ "АМУРУПРАДОР"</v>
      </c>
      <c r="B12827" s="24" t="s">
        <v>11771</v>
      </c>
      <c r="C12827" s="28" t="s">
        <v>52</v>
      </c>
      <c r="D12827" s="22" t="s">
        <v>15164</v>
      </c>
      <c r="E12827" s="22" t="s">
        <v>52</v>
      </c>
      <c r="F12827" s="23" t="str">
        <f>HYPERLINK("https://www.spark-marketing.ru/Card/Lot/68515045", "выполнение работ, непосредственно связанных с обеспечением транспортной безопасности на объектах транспортной инфраструктуры ГКУ «Амурупрадор»")</f>
        <v>выполнение работ, непосредственно связанных с обеспечением транспортной безопасности на объектах транспортной инфраструктуры ГКУ «Амурупрадор»</v>
      </c>
      <c r="G12827" s="22" t="s">
        <v>230</v>
      </c>
      <c r="H12827" s="22" t="s">
        <v>231</v>
      </c>
      <c r="I12827" s="26">
        <v>43530.457638888904</v>
      </c>
      <c r="J12827" s="28" t="s">
        <v>52</v>
      </c>
      <c r="K12827" s="28" t="s">
        <v>52</v>
      </c>
      <c r="L12827" s="28" t="s">
        <v>52</v>
      </c>
      <c r="M12827" s="28" t="s">
        <v>52</v>
      </c>
      <c r="N12827" s="28" t="s">
        <v>52</v>
      </c>
    </row>
    <row r="12828" spans="1:14" x14ac:dyDescent="0.15">
      <c r="A12828" s="23" t="str">
        <f>HYPERLINK("https://www.spark-marketing.ru/Card/Person/53337", "ГБУ ДВС ИМ. А.А. ЯБЛОЧКИНОЙ")</f>
        <v>ГБУ ДВС ИМ. А.А. ЯБЛОЧКИНОЙ</v>
      </c>
      <c r="B12828" s="24" t="s">
        <v>15165</v>
      </c>
      <c r="C12828" s="25">
        <v>401083.2</v>
      </c>
      <c r="D12828" s="22" t="s">
        <v>15166</v>
      </c>
      <c r="E12828" s="22" t="s">
        <v>103</v>
      </c>
      <c r="F12828" s="23" t="str">
        <f>HYPERLINK("https://www.spark-marketing.ru/Card/Lot/68517453", "Техническое обслуживание палатной сигнализации в 2019-2021 годах")</f>
        <v>Техническое обслуживание палатной сигнализации в 2019-2021 годах</v>
      </c>
      <c r="G12828" s="22" t="s">
        <v>55</v>
      </c>
      <c r="H12828" s="22" t="s">
        <v>55</v>
      </c>
      <c r="I12828" s="26">
        <v>43530.451388888898</v>
      </c>
      <c r="J12828" s="28" t="s">
        <v>52</v>
      </c>
      <c r="K12828" s="28" t="s">
        <v>52</v>
      </c>
      <c r="L12828" s="28" t="s">
        <v>52</v>
      </c>
      <c r="M12828" s="28" t="s">
        <v>52</v>
      </c>
      <c r="N12828" s="28" t="s">
        <v>52</v>
      </c>
    </row>
    <row r="12829" spans="1:14" ht="12.75" hidden="1" outlineLevel="1" x14ac:dyDescent="0.2">
      <c r="A12829" s="23" t="str">
        <f>HYPERLINK("https://www.spark-marketing.ru/Card/Person/53337", "ГБУ ДВС ИМ. А.А. ЯБЛОЧКИНОЙ")</f>
        <v>ГБУ ДВС ИМ. А.А. ЯБЛОЧКИНОЙ</v>
      </c>
      <c r="B12829" s="24" t="s">
        <v>15165</v>
      </c>
      <c r="C12829" s="25">
        <v>401083.2</v>
      </c>
      <c r="D12829" s="22" t="s">
        <v>15166</v>
      </c>
      <c r="E12829" s="22" t="s">
        <v>103</v>
      </c>
      <c r="F12829" s="23" t="str">
        <f>HYPERLINK("https://www.spark-marketing.ru/Card/Lot/68517453", "Техническое обслуживание палатной сигнализации в 2019-2021 годах")</f>
        <v>Техническое обслуживание палатной сигнализации в 2019-2021 годах</v>
      </c>
      <c r="G12829" s="22" t="s">
        <v>55</v>
      </c>
      <c r="H12829" s="22" t="s">
        <v>55</v>
      </c>
      <c r="I12829" s="26">
        <v>43530.451388888898</v>
      </c>
      <c r="J12829" s="23" t="str">
        <f>HYPERLINK("https://www.spark-marketing.ru/Card/Person/5969968", "ООО ""АРТДИЗАЙНПРО""")</f>
        <v>ООО "АРТДИЗАЙНПРО"</v>
      </c>
      <c r="K12829" s="24" t="s">
        <v>8545</v>
      </c>
      <c r="L12829" s="22" t="s">
        <v>10</v>
      </c>
      <c r="M12829" s="25">
        <v>338915.18</v>
      </c>
      <c r="N12829" s="27">
        <v>0.15500030916278718</v>
      </c>
    </row>
    <row r="12830" spans="1:14" hidden="1" outlineLevel="1" x14ac:dyDescent="0.2">
      <c r="A12830" s="23" t="str">
        <f>HYPERLINK("https://www.spark-marketing.ru/Card/Person/53337", "ГБУ ДВС ИМ. А.А. ЯБЛОЧКИНОЙ")</f>
        <v>ГБУ ДВС ИМ. А.А. ЯБЛОЧКИНОЙ</v>
      </c>
      <c r="B12830" s="24" t="s">
        <v>15165</v>
      </c>
      <c r="C12830" s="25">
        <v>401083.2</v>
      </c>
      <c r="D12830" s="22" t="s">
        <v>15166</v>
      </c>
      <c r="E12830" s="22" t="s">
        <v>103</v>
      </c>
      <c r="F12830" s="23" t="str">
        <f>HYPERLINK("https://www.spark-marketing.ru/Card/Lot/68517453", "Техническое обслуживание палатной сигнализации в 2019-2021 годах")</f>
        <v>Техническое обслуживание палатной сигнализации в 2019-2021 годах</v>
      </c>
      <c r="G12830" s="22" t="s">
        <v>55</v>
      </c>
      <c r="H12830" s="22" t="s">
        <v>55</v>
      </c>
      <c r="I12830" s="26">
        <v>43530.451388888898</v>
      </c>
      <c r="J12830" s="23" t="str">
        <f>HYPERLINK("https://www.spark-marketing.ru/Card/Person/138436", "ООО ""СИСТЕМЫ БЕЗОПАСНОСТИ""")</f>
        <v>ООО "СИСТЕМЫ БЕЗОПАСНОСТИ"</v>
      </c>
      <c r="K12830" s="24" t="s">
        <v>15167</v>
      </c>
      <c r="L12830" s="28" t="s">
        <v>52</v>
      </c>
      <c r="M12830" s="25">
        <v>340920.6</v>
      </c>
      <c r="N12830" s="27">
        <v>0.15000029918979405</v>
      </c>
    </row>
    <row r="12831" spans="1:14" x14ac:dyDescent="0.15">
      <c r="A12831" s="23" t="str">
        <f>HYPERLINK("https://www.spark-marketing.ru/Card/Person/4348589", "ПАО ""ТАТНЕФТЬ"" ИМ. В.Д. ШАШИНА")</f>
        <v>ПАО "ТАТНЕФТЬ" ИМ. В.Д. ШАШИНА</v>
      </c>
      <c r="B12831" s="24" t="s">
        <v>13000</v>
      </c>
      <c r="C12831" s="25">
        <v>0</v>
      </c>
      <c r="D12831" s="22" t="s">
        <v>15168</v>
      </c>
      <c r="E12831" s="22" t="s">
        <v>766</v>
      </c>
      <c r="F12831" s="23" t="str">
        <f>HYPERLINK("https://www.spark-marketing.ru/Card/Lot/68521419", "Физическая охрана имущества ООО «Татнефть-Актив», Республика Алтай, ГБР")</f>
        <v>Физическая охрана имущества ООО «Татнефть-Актив», Республика Алтай, ГБР</v>
      </c>
      <c r="G12831" s="22" t="s">
        <v>204</v>
      </c>
      <c r="H12831" s="22" t="s">
        <v>308</v>
      </c>
      <c r="I12831" s="26">
        <v>43530.454872685201</v>
      </c>
      <c r="J12831" s="28" t="s">
        <v>52</v>
      </c>
      <c r="K12831" s="28" t="s">
        <v>52</v>
      </c>
      <c r="L12831" s="28" t="s">
        <v>52</v>
      </c>
      <c r="M12831" s="28" t="s">
        <v>52</v>
      </c>
      <c r="N12831" s="28" t="s">
        <v>52</v>
      </c>
    </row>
    <row r="12832" spans="1:14" x14ac:dyDescent="0.15">
      <c r="A12832" s="23" t="str">
        <f>HYPERLINK("https://www.spark-marketing.ru/Card/Person/34280", "БОЛЬНИЦА НЦЧ РАН")</f>
        <v>БОЛЬНИЦА НЦЧ РАН</v>
      </c>
      <c r="B12832" s="24" t="s">
        <v>15169</v>
      </c>
      <c r="C12832" s="25">
        <v>54000</v>
      </c>
      <c r="D12832" s="22" t="s">
        <v>15170</v>
      </c>
      <c r="E12832" s="22" t="s">
        <v>68</v>
      </c>
      <c r="F12832" s="23" t="str">
        <f>HYPERLINK("https://www.spark-marketing.ru/Card/Lot/68516420", "Оказание охранных услуг с использованием технических средств тревожной сигнализации")</f>
        <v>Оказание охранных услуг с использованием технических средств тревожной сигнализации</v>
      </c>
      <c r="G12832" s="22" t="s">
        <v>50</v>
      </c>
      <c r="H12832" s="22" t="s">
        <v>2545</v>
      </c>
      <c r="I12832" s="26">
        <v>43530.399305555598</v>
      </c>
      <c r="J12832" s="28" t="s">
        <v>52</v>
      </c>
      <c r="K12832" s="28" t="s">
        <v>52</v>
      </c>
      <c r="L12832" s="28" t="s">
        <v>52</v>
      </c>
      <c r="M12832" s="28" t="s">
        <v>52</v>
      </c>
      <c r="N12832" s="28" t="s">
        <v>52</v>
      </c>
    </row>
    <row r="12833" spans="1:14" hidden="1" outlineLevel="1" x14ac:dyDescent="0.2">
      <c r="A12833" s="23" t="str">
        <f>HYPERLINK("https://www.spark-marketing.ru/Card/Person/34280", "БОЛЬНИЦА НЦЧ РАН")</f>
        <v>БОЛЬНИЦА НЦЧ РАН</v>
      </c>
      <c r="B12833" s="24" t="s">
        <v>15169</v>
      </c>
      <c r="C12833" s="25">
        <v>54000</v>
      </c>
      <c r="D12833" s="22" t="s">
        <v>15170</v>
      </c>
      <c r="E12833" s="22" t="s">
        <v>68</v>
      </c>
      <c r="F12833" s="23" t="str">
        <f>HYPERLINK("https://www.spark-marketing.ru/Card/Lot/68516420", "Оказание охранных услуг с использованием технических средств тревожной сигнализации")</f>
        <v>Оказание охранных услуг с использованием технических средств тревожной сигнализации</v>
      </c>
      <c r="G12833" s="22" t="s">
        <v>50</v>
      </c>
      <c r="H12833" s="22" t="s">
        <v>2545</v>
      </c>
      <c r="I12833" s="26">
        <v>43530.399305555598</v>
      </c>
      <c r="J12833" s="23" t="str">
        <f>HYPERLINK("https://www.spark-marketing.ru/Card/Person/10487", "ФГУП ""ОХРАНА"" РОСГВАРДИИ")</f>
        <v>ФГУП "ОХРАНА" РОСГВАРДИИ</v>
      </c>
      <c r="K12833" s="24" t="s">
        <v>779</v>
      </c>
      <c r="L12833" s="28" t="s">
        <v>52</v>
      </c>
      <c r="M12833" s="25">
        <v>39690</v>
      </c>
      <c r="N12833" s="27">
        <v>0.26500000000000001</v>
      </c>
    </row>
    <row r="12834" spans="1:14" ht="12.75" hidden="1" outlineLevel="1" x14ac:dyDescent="0.2">
      <c r="A12834" s="23" t="str">
        <f>HYPERLINK("https://www.spark-marketing.ru/Card/Person/34280", "БОЛЬНИЦА НЦЧ РАН")</f>
        <v>БОЛЬНИЦА НЦЧ РАН</v>
      </c>
      <c r="B12834" s="24" t="s">
        <v>15169</v>
      </c>
      <c r="C12834" s="25">
        <v>54000</v>
      </c>
      <c r="D12834" s="22" t="s">
        <v>15170</v>
      </c>
      <c r="E12834" s="22" t="s">
        <v>68</v>
      </c>
      <c r="F12834" s="23" t="str">
        <f>HYPERLINK("https://www.spark-marketing.ru/Card/Lot/68516420", "Оказание охранных услуг с использованием технических средств тревожной сигнализации")</f>
        <v>Оказание охранных услуг с использованием технических средств тревожной сигнализации</v>
      </c>
      <c r="G12834" s="22" t="s">
        <v>50</v>
      </c>
      <c r="H12834" s="22" t="s">
        <v>2545</v>
      </c>
      <c r="I12834" s="26">
        <v>43530.399305555598</v>
      </c>
      <c r="J12834" s="23" t="str">
        <f>HYPERLINK("https://www.spark-marketing.ru/Card/Person/713540", "ООО ЧОП ""ЭГИДА""")</f>
        <v>ООО ЧОП "ЭГИДА"</v>
      </c>
      <c r="K12834" s="24" t="s">
        <v>15171</v>
      </c>
      <c r="L12834" s="22" t="s">
        <v>10</v>
      </c>
      <c r="M12834" s="25">
        <v>36990</v>
      </c>
      <c r="N12834" s="27">
        <v>0.315</v>
      </c>
    </row>
    <row r="12835" spans="1:14" x14ac:dyDescent="0.15">
      <c r="A12835" s="23" t="str">
        <f>HYPERLINK("https://www.spark-marketing.ru/Card/Person/19791", "ДЕПАРТАМЕНТ ОБРАЗОВАНИЯ БЕЛГОРОДСКОЙ ОБЛАСТИ")</f>
        <v>ДЕПАРТАМЕНТ ОБРАЗОВАНИЯ БЕЛГОРОДСКОЙ ОБЛАСТИ</v>
      </c>
      <c r="B12835" s="24" t="s">
        <v>15172</v>
      </c>
      <c r="C12835" s="25">
        <v>576288</v>
      </c>
      <c r="D12835" s="22" t="s">
        <v>15173</v>
      </c>
      <c r="E12835" s="22" t="s">
        <v>52</v>
      </c>
      <c r="F12835" s="23" t="str">
        <f>HYPERLINK("https://www.spark-marketing.ru/Card/Lot/68517935", "Оказание услуг по круглосуточной охране помещений и территории в 2019 году")</f>
        <v>Оказание услуг по круглосуточной охране помещений и территории в 2019 году</v>
      </c>
      <c r="G12835" s="22" t="s">
        <v>176</v>
      </c>
      <c r="H12835" s="22" t="s">
        <v>318</v>
      </c>
      <c r="I12835" s="26">
        <v>43530.413194444402</v>
      </c>
      <c r="J12835" s="28" t="s">
        <v>52</v>
      </c>
      <c r="K12835" s="28" t="s">
        <v>52</v>
      </c>
      <c r="L12835" s="28" t="s">
        <v>52</v>
      </c>
      <c r="M12835" s="28" t="s">
        <v>52</v>
      </c>
      <c r="N12835" s="28" t="s">
        <v>52</v>
      </c>
    </row>
    <row r="12836" spans="1:14" ht="12.75" hidden="1" outlineLevel="1" x14ac:dyDescent="0.2">
      <c r="A12836" s="23" t="str">
        <f>HYPERLINK("https://www.spark-marketing.ru/Card/Person/19791", "ДЕПАРТАМЕНТ ОБРАЗОВАНИЯ БЕЛГОРОДСКОЙ ОБЛАСТИ")</f>
        <v>ДЕПАРТАМЕНТ ОБРАЗОВАНИЯ БЕЛГОРОДСКОЙ ОБЛАСТИ</v>
      </c>
      <c r="B12836" s="24" t="s">
        <v>15172</v>
      </c>
      <c r="C12836" s="25">
        <v>576288</v>
      </c>
      <c r="D12836" s="22" t="s">
        <v>15173</v>
      </c>
      <c r="E12836" s="22" t="s">
        <v>52</v>
      </c>
      <c r="F12836" s="23" t="str">
        <f>HYPERLINK("https://www.spark-marketing.ru/Card/Lot/68517935", "Оказание услуг по круглосуточной охране помещений и территории в 2019 году")</f>
        <v>Оказание услуг по круглосуточной охране помещений и территории в 2019 году</v>
      </c>
      <c r="G12836" s="22" t="s">
        <v>176</v>
      </c>
      <c r="H12836" s="22" t="s">
        <v>318</v>
      </c>
      <c r="I12836" s="26">
        <v>43530.413194444402</v>
      </c>
      <c r="J12836" s="23" t="str">
        <f>HYPERLINK("https://www.spark-marketing.ru/Card/Person/487813", "ООО ""ЧОО ""КЕДР+""")</f>
        <v>ООО "ЧОО "КЕДР+"</v>
      </c>
      <c r="K12836" s="24" t="s">
        <v>15174</v>
      </c>
      <c r="L12836" s="22" t="s">
        <v>10</v>
      </c>
      <c r="M12836" s="25">
        <v>570525.12</v>
      </c>
      <c r="N12836" s="27">
        <v>0.01</v>
      </c>
    </row>
    <row r="12837" spans="1:14" hidden="1" outlineLevel="1" x14ac:dyDescent="0.2">
      <c r="A12837" s="23" t="str">
        <f>HYPERLINK("https://www.spark-marketing.ru/Card/Person/19791", "ДЕПАРТАМЕНТ ОБРАЗОВАНИЯ БЕЛГОРОДСКОЙ ОБЛАСТИ")</f>
        <v>ДЕПАРТАМЕНТ ОБРАЗОВАНИЯ БЕЛГОРОДСКОЙ ОБЛАСТИ</v>
      </c>
      <c r="B12837" s="24" t="s">
        <v>15172</v>
      </c>
      <c r="C12837" s="25">
        <v>576288</v>
      </c>
      <c r="D12837" s="22" t="s">
        <v>15173</v>
      </c>
      <c r="E12837" s="22" t="s">
        <v>52</v>
      </c>
      <c r="F12837" s="23" t="str">
        <f>HYPERLINK("https://www.spark-marketing.ru/Card/Lot/68517935", "Оказание услуг по круглосуточной охране помещений и территории в 2019 году")</f>
        <v>Оказание услуг по круглосуточной охране помещений и территории в 2019 году</v>
      </c>
      <c r="G12837" s="22" t="s">
        <v>176</v>
      </c>
      <c r="H12837" s="22" t="s">
        <v>318</v>
      </c>
      <c r="I12837" s="26">
        <v>43530.413194444402</v>
      </c>
      <c r="J12837" s="23" t="str">
        <f>HYPERLINK("https://www.spark-marketing.ru/Card/Person/6464535", "ООО ""ЧОО ""ПАТРИОТ""")</f>
        <v>ООО "ЧОО "ПАТРИОТ"</v>
      </c>
      <c r="K12837" s="24" t="s">
        <v>15175</v>
      </c>
      <c r="L12837" s="28" t="s">
        <v>52</v>
      </c>
      <c r="M12837" s="25">
        <v>570525.12</v>
      </c>
      <c r="N12837" s="27">
        <v>0.01</v>
      </c>
    </row>
    <row r="12838" spans="1:14" hidden="1" outlineLevel="1" x14ac:dyDescent="0.2">
      <c r="A12838" s="23" t="str">
        <f>HYPERLINK("https://www.spark-marketing.ru/Card/Person/19791", "ДЕПАРТАМЕНТ ОБРАЗОВАНИЯ БЕЛГОРОДСКОЙ ОБЛАСТИ")</f>
        <v>ДЕПАРТАМЕНТ ОБРАЗОВАНИЯ БЕЛГОРОДСКОЙ ОБЛАСТИ</v>
      </c>
      <c r="B12838" s="24" t="s">
        <v>15172</v>
      </c>
      <c r="C12838" s="25">
        <v>576288</v>
      </c>
      <c r="D12838" s="22" t="s">
        <v>15173</v>
      </c>
      <c r="E12838" s="22" t="s">
        <v>52</v>
      </c>
      <c r="F12838" s="23" t="str">
        <f>HYPERLINK("https://www.spark-marketing.ru/Card/Lot/68517935", "Оказание услуг по круглосуточной охране помещений и территории в 2019 году")</f>
        <v>Оказание услуг по круглосуточной охране помещений и территории в 2019 году</v>
      </c>
      <c r="G12838" s="22" t="s">
        <v>176</v>
      </c>
      <c r="H12838" s="22" t="s">
        <v>318</v>
      </c>
      <c r="I12838" s="26">
        <v>43530.413194444402</v>
      </c>
      <c r="J12838" s="23" t="str">
        <f>HYPERLINK("https://www.spark-marketing.ru/Card/Person/486525", "ООО ЧОП ""ЛИГА 2""")</f>
        <v>ООО ЧОП "ЛИГА 2"</v>
      </c>
      <c r="K12838" s="24" t="s">
        <v>13396</v>
      </c>
      <c r="L12838" s="28" t="s">
        <v>52</v>
      </c>
      <c r="M12838" s="25">
        <v>570525.12</v>
      </c>
      <c r="N12838" s="27">
        <v>0.01</v>
      </c>
    </row>
    <row r="12839" spans="1:14" x14ac:dyDescent="0.15">
      <c r="A12839" s="23" t="str">
        <f>HYPERLINK("https://www.spark-marketing.ru/Card/Person/101903", "ГБУ ДКБ №2 Г. ГРОЗНОГО")</f>
        <v>ГБУ ДКБ №2 Г. ГРОЗНОГО</v>
      </c>
      <c r="B12839" s="24" t="s">
        <v>14865</v>
      </c>
      <c r="C12839" s="25">
        <v>176663.48</v>
      </c>
      <c r="D12839" s="22" t="s">
        <v>15176</v>
      </c>
      <c r="E12839" s="22" t="s">
        <v>68</v>
      </c>
      <c r="F12839" s="23" t="str">
        <f>HYPERLINK("https://www.spark-marketing.ru/Card/Lot/68514421", "Оказание услуг по охране объекта посредством ПЦО")</f>
        <v>Оказание услуг по охране объекта посредством ПЦО</v>
      </c>
      <c r="G12839" s="22" t="s">
        <v>724</v>
      </c>
      <c r="H12839" s="22" t="s">
        <v>5711</v>
      </c>
      <c r="I12839" s="26">
        <v>43530.388888888898</v>
      </c>
      <c r="J12839" s="28" t="s">
        <v>52</v>
      </c>
      <c r="K12839" s="28" t="s">
        <v>52</v>
      </c>
      <c r="L12839" s="28" t="s">
        <v>52</v>
      </c>
      <c r="M12839" s="28" t="s">
        <v>52</v>
      </c>
      <c r="N12839" s="28" t="s">
        <v>52</v>
      </c>
    </row>
    <row r="12840" spans="1:14" x14ac:dyDescent="0.15">
      <c r="A12840" s="23" t="str">
        <f>HYPERLINK("https://www.spark-marketing.ru/Card/Person/85898", "ФГУ ""УЭНКВ""")</f>
        <v>ФГУ "УЭНКВ"</v>
      </c>
      <c r="B12840" s="24" t="s">
        <v>13167</v>
      </c>
      <c r="C12840" s="25">
        <v>210372</v>
      </c>
      <c r="D12840" s="22" t="s">
        <v>15177</v>
      </c>
      <c r="E12840" s="22" t="s">
        <v>349</v>
      </c>
      <c r="F12840" s="23" t="str">
        <f>HYPERLINK("https://www.spark-marketing.ru/Card/Lot/68515858", "Выполнение работ по техническому обслуживанию видеонаблюдения")</f>
        <v>Выполнение работ по техническому обслуживанию видеонаблюдения</v>
      </c>
      <c r="G12840" s="22" t="s">
        <v>204</v>
      </c>
      <c r="H12840" s="22" t="s">
        <v>4395</v>
      </c>
      <c r="I12840" s="26">
        <v>43530.411111111098</v>
      </c>
      <c r="J12840" s="28" t="s">
        <v>52</v>
      </c>
      <c r="K12840" s="28" t="s">
        <v>52</v>
      </c>
      <c r="L12840" s="28" t="s">
        <v>52</v>
      </c>
      <c r="M12840" s="28" t="s">
        <v>52</v>
      </c>
      <c r="N12840" s="28" t="s">
        <v>52</v>
      </c>
    </row>
    <row r="12841" spans="1:14" x14ac:dyDescent="0.15">
      <c r="A12841" s="23" t="str">
        <f>HYPERLINK("https://www.spark-marketing.ru/Card/Person/5385", "ДЕПАРТАМЕНТ ПО КООРДИНАЦИИ ПРАВООХРАНИТЕЛЬНОЙ ДЕЯТЕЛЬНОСТИ ПРИМОРСКОГО КРАЯ")</f>
        <v>ДЕПАРТАМЕНТ ПО КООРДИНАЦИИ ПРАВООХРАНИТЕЛЬНОЙ ДЕЯТЕЛЬНОСТИ ПРИМОРСКОГО КРАЯ</v>
      </c>
      <c r="B12841" s="24" t="s">
        <v>15178</v>
      </c>
      <c r="C12841" s="25">
        <v>736170.66</v>
      </c>
      <c r="D12841" s="22" t="s">
        <v>15179</v>
      </c>
      <c r="E12841" s="22" t="s">
        <v>68</v>
      </c>
      <c r="F12841" s="23" t="str">
        <f>HYPERLINK("https://www.spark-marketing.ru/Card/Lot/68508068", "Оказание услуг охраны имущества и объектов путем обеспечения оперативного реагирования на сообщения о срабатывании тревожной сигнализации на подключенных к пультам централизованного наблюдения объектах, где размещаются судебные участки мировых судей ...")</f>
        <v>Оказание услуг охраны имущества и объектов путем обеспечения оперативного реагирования на сообщения о срабатывании тревожной сигнализации на подключенных к пультам централизованного наблюдения объектах, где размещаются судебные участки мировых судей ...</v>
      </c>
      <c r="G12841" s="22" t="s">
        <v>409</v>
      </c>
      <c r="H12841" s="22" t="s">
        <v>409</v>
      </c>
      <c r="I12841" s="26">
        <v>43530.399305555598</v>
      </c>
      <c r="J12841" s="23" t="str">
        <f>HYPERLINK("https://www.spark-marketing.ru/Card/Person/24928", "ФГКУ ""УВО ВНГ РОССИИ ПО ПРИМОРСКОМУ КРАЮ""")</f>
        <v>ФГКУ "УВО ВНГ РОССИИ ПО ПРИМОРСКОМУ КРАЮ"</v>
      </c>
      <c r="K12841" s="24" t="s">
        <v>6165</v>
      </c>
      <c r="L12841" s="22" t="s">
        <v>10</v>
      </c>
      <c r="M12841" s="28" t="s">
        <v>52</v>
      </c>
      <c r="N12841" s="28" t="s">
        <v>52</v>
      </c>
    </row>
    <row r="12842" spans="1:14" x14ac:dyDescent="0.15">
      <c r="A12842" s="23" t="str">
        <f>HYPERLINK("https://www.spark-marketing.ru/Card/Person/9754", "ГБПОУ МО ""КРАСНОГОРСКИЙ КОЛЛЕДЖ""")</f>
        <v>ГБПОУ МО "КРАСНОГОРСКИЙ КОЛЛЕДЖ"</v>
      </c>
      <c r="B12842" s="24" t="s">
        <v>15180</v>
      </c>
      <c r="C12842" s="25">
        <v>42905.96</v>
      </c>
      <c r="D12842" s="22" t="s">
        <v>15181</v>
      </c>
      <c r="E12842" s="22" t="s">
        <v>59</v>
      </c>
      <c r="F12842" s="23" t="str">
        <f>HYPERLINK("https://www.spark-marketing.ru/Card/Lot/68534568", "Работы по установке систем охранной (противовзломной) сигнализации")</f>
        <v>Работы по установке систем охранной (противовзломной) сигнализации</v>
      </c>
      <c r="G12842" s="22" t="s">
        <v>50</v>
      </c>
      <c r="H12842" s="22" t="s">
        <v>7113</v>
      </c>
      <c r="I12842" s="26">
        <v>43530.326122685197</v>
      </c>
      <c r="J12842" s="28" t="s">
        <v>52</v>
      </c>
      <c r="K12842" s="28" t="s">
        <v>52</v>
      </c>
      <c r="L12842" s="28" t="s">
        <v>52</v>
      </c>
      <c r="M12842" s="28" t="s">
        <v>52</v>
      </c>
      <c r="N12842" s="28" t="s">
        <v>52</v>
      </c>
    </row>
    <row r="12843" spans="1:14" x14ac:dyDescent="0.15">
      <c r="A12843" s="23" t="str">
        <f>HYPERLINK("https://www.spark-marketing.ru/Card/Person/6450322", "ЗАКАЗЧИК РП БЕЛАРУСЬ")</f>
        <v>ЗАКАЗЧИК РП БЕЛАРУСЬ</v>
      </c>
      <c r="B12843" s="28" t="s">
        <v>52</v>
      </c>
      <c r="C12843" s="28" t="s">
        <v>52</v>
      </c>
      <c r="D12843" s="22" t="s">
        <v>15182</v>
      </c>
      <c r="E12843" s="22" t="s">
        <v>53</v>
      </c>
      <c r="F12843" s="23" t="str">
        <f>HYPERLINK("https://www.spark-marketing.ru/Card/Lot/68529541", "Оснащение ручными средствами тревожной сигнализации (тревожной кнопкой) с последующим контролем и обслуживанием в учебно- спортивных учреждениях")</f>
        <v>Оснащение ручными средствами тревожной сигнализации (тревожной кнопкой) с последующим контролем и обслуживанием в учебно- спортивных учреждениях</v>
      </c>
      <c r="G12843" s="22" t="s">
        <v>52</v>
      </c>
      <c r="H12843" s="22" t="s">
        <v>52</v>
      </c>
      <c r="I12843" s="26">
        <v>43530</v>
      </c>
      <c r="J12843" s="28" t="s">
        <v>52</v>
      </c>
      <c r="K12843" s="28" t="s">
        <v>52</v>
      </c>
      <c r="L12843" s="28" t="s">
        <v>52</v>
      </c>
      <c r="M12843" s="28" t="s">
        <v>52</v>
      </c>
      <c r="N12843" s="28" t="s">
        <v>52</v>
      </c>
    </row>
    <row r="12844" spans="1:14" x14ac:dyDescent="0.15">
      <c r="A12844" s="23" t="str">
        <f>HYPERLINK("https://www.spark-marketing.ru/Card/Person/6364639", "АО АЛДАНЗОЛОТО ГРК")</f>
        <v>АО АЛДАНЗОЛОТО ГРК</v>
      </c>
      <c r="B12844" s="28" t="s">
        <v>52</v>
      </c>
      <c r="C12844" s="28" t="s">
        <v>52</v>
      </c>
      <c r="D12844" s="22" t="s">
        <v>15183</v>
      </c>
      <c r="E12844" s="22" t="s">
        <v>53</v>
      </c>
      <c r="F12844" s="23" t="str">
        <f>HYPERLINK("https://www.spark-marketing.ru/Card/Lot/67365549", "Оснащение интегрированной системой инженерно-технических средств охраны (ИС ИТСО) объекта КПиХГ (повторная публикация)")</f>
        <v>Оснащение интегрированной системой инженерно-технических средств охраны (ИС ИТСО) объекта КПиХГ (повторная публикация)</v>
      </c>
      <c r="G12844" s="22" t="s">
        <v>52</v>
      </c>
      <c r="H12844" s="22" t="s">
        <v>52</v>
      </c>
      <c r="I12844" s="26">
        <v>43487</v>
      </c>
      <c r="J12844" s="28" t="s">
        <v>52</v>
      </c>
      <c r="K12844" s="28" t="s">
        <v>52</v>
      </c>
      <c r="L12844" s="28" t="s">
        <v>52</v>
      </c>
      <c r="M12844" s="28" t="s">
        <v>52</v>
      </c>
      <c r="N12844" s="28" t="s">
        <v>52</v>
      </c>
    </row>
    <row r="12845" spans="1:14" x14ac:dyDescent="0.15">
      <c r="A12845" s="23" t="str">
        <f>HYPERLINK("https://www.spark-marketing.ru/Card/Person/6450322", "ЗАКАЗЧИК РП БЕЛАРУСЬ")</f>
        <v>ЗАКАЗЧИК РП БЕЛАРУСЬ</v>
      </c>
      <c r="B12845" s="28" t="s">
        <v>52</v>
      </c>
      <c r="C12845" s="28" t="s">
        <v>52</v>
      </c>
      <c r="D12845" s="22" t="s">
        <v>15182</v>
      </c>
      <c r="E12845" s="22" t="s">
        <v>53</v>
      </c>
      <c r="F12845" s="23" t="str">
        <f>HYPERLINK("https://www.spark-marketing.ru/Card/Lot/68529540", "Оснащение ручными средствами тревожной сигнализации (тревожной кнопкой) с последующим контролем и обслуживанием в учреждениях дошкольного образования")</f>
        <v>Оснащение ручными средствами тревожной сигнализации (тревожной кнопкой) с последующим контролем и обслуживанием в учреждениях дошкольного образования</v>
      </c>
      <c r="G12845" s="22" t="s">
        <v>52</v>
      </c>
      <c r="H12845" s="22" t="s">
        <v>52</v>
      </c>
      <c r="I12845" s="26">
        <v>43530</v>
      </c>
      <c r="J12845" s="28" t="s">
        <v>52</v>
      </c>
      <c r="K12845" s="28" t="s">
        <v>52</v>
      </c>
      <c r="L12845" s="28" t="s">
        <v>52</v>
      </c>
      <c r="M12845" s="28" t="s">
        <v>52</v>
      </c>
      <c r="N12845" s="28" t="s">
        <v>52</v>
      </c>
    </row>
    <row r="12846" spans="1:14" x14ac:dyDescent="0.15">
      <c r="A12846" s="23" t="str">
        <f t="shared" ref="A12846:A12852" si="669">HYPERLINK("https://www.spark-marketing.ru/Card/Person/103043", "ФГУ ЭВОС")</f>
        <v>ФГУ ЭВОС</v>
      </c>
      <c r="B12846" s="24" t="s">
        <v>15184</v>
      </c>
      <c r="C12846" s="25">
        <v>1816288</v>
      </c>
      <c r="D12846" s="22" t="s">
        <v>15185</v>
      </c>
      <c r="E12846" s="22" t="s">
        <v>68</v>
      </c>
      <c r="F12846" s="23" t="str">
        <f t="shared" ref="F12846:F12852" si="670">HYPERLINK("https://www.spark-marketing.ru/Card/Lot/68506940", "Оказание услуг по охране гидротехнических сооружений и объектов Слакского водохранилища")</f>
        <v>Оказание услуг по охране гидротехнических сооружений и объектов Слакского водохранилища</v>
      </c>
      <c r="G12846" s="22" t="s">
        <v>100</v>
      </c>
      <c r="H12846" s="22" t="s">
        <v>100</v>
      </c>
      <c r="I12846" s="26">
        <v>43529.954166666699</v>
      </c>
      <c r="J12846" s="28" t="s">
        <v>52</v>
      </c>
      <c r="K12846" s="28" t="s">
        <v>52</v>
      </c>
      <c r="L12846" s="28" t="s">
        <v>52</v>
      </c>
      <c r="M12846" s="28" t="s">
        <v>52</v>
      </c>
      <c r="N12846" s="28" t="s">
        <v>52</v>
      </c>
    </row>
    <row r="12847" spans="1:14" hidden="1" outlineLevel="1" x14ac:dyDescent="0.2">
      <c r="A12847" s="23" t="str">
        <f t="shared" si="669"/>
        <v>ФГУ ЭВОС</v>
      </c>
      <c r="B12847" s="24" t="s">
        <v>15184</v>
      </c>
      <c r="C12847" s="25">
        <v>1816288</v>
      </c>
      <c r="D12847" s="22" t="s">
        <v>15185</v>
      </c>
      <c r="E12847" s="22" t="s">
        <v>68</v>
      </c>
      <c r="F12847" s="23" t="str">
        <f t="shared" si="670"/>
        <v>Оказание услуг по охране гидротехнических сооружений и объектов Слакского водохранилища</v>
      </c>
      <c r="G12847" s="22" t="s">
        <v>100</v>
      </c>
      <c r="H12847" s="22" t="s">
        <v>100</v>
      </c>
      <c r="I12847" s="26">
        <v>43529.954166666699</v>
      </c>
      <c r="J12847" s="23" t="str">
        <f>HYPERLINK("https://www.spark-marketing.ru/Card/Person/6176446", "ООО ЧОО ""АРКТИКА""")</f>
        <v>ООО ЧОО "АРКТИКА"</v>
      </c>
      <c r="K12847" s="24" t="s">
        <v>15186</v>
      </c>
      <c r="L12847" s="28" t="s">
        <v>52</v>
      </c>
      <c r="M12847" s="25">
        <v>626619.36</v>
      </c>
      <c r="N12847" s="27">
        <v>0.65500000000000003</v>
      </c>
    </row>
    <row r="12848" spans="1:14" ht="12.75" hidden="1" outlineLevel="1" x14ac:dyDescent="0.2">
      <c r="A12848" s="23" t="str">
        <f t="shared" si="669"/>
        <v>ФГУ ЭВОС</v>
      </c>
      <c r="B12848" s="24" t="s">
        <v>15184</v>
      </c>
      <c r="C12848" s="25">
        <v>1816288</v>
      </c>
      <c r="D12848" s="22" t="s">
        <v>15185</v>
      </c>
      <c r="E12848" s="22" t="s">
        <v>68</v>
      </c>
      <c r="F12848" s="23" t="str">
        <f t="shared" si="670"/>
        <v>Оказание услуг по охране гидротехнических сооружений и объектов Слакского водохранилища</v>
      </c>
      <c r="G12848" s="22" t="s">
        <v>100</v>
      </c>
      <c r="H12848" s="22" t="s">
        <v>100</v>
      </c>
      <c r="I12848" s="26">
        <v>43529.954166666699</v>
      </c>
      <c r="J12848" s="23" t="str">
        <f>HYPERLINK("https://www.spark-marketing.ru/Card/Person/6490690", "ООО ЧОО ""ЛИОН""")</f>
        <v>ООО ЧОО "ЛИОН"</v>
      </c>
      <c r="K12848" s="24" t="s">
        <v>8995</v>
      </c>
      <c r="L12848" s="22" t="s">
        <v>10</v>
      </c>
      <c r="M12848" s="25">
        <v>635700.80000000005</v>
      </c>
      <c r="N12848" s="27">
        <v>0.65</v>
      </c>
    </row>
    <row r="12849" spans="1:14" hidden="1" outlineLevel="1" x14ac:dyDescent="0.2">
      <c r="A12849" s="23" t="str">
        <f t="shared" si="669"/>
        <v>ФГУ ЭВОС</v>
      </c>
      <c r="B12849" s="24" t="s">
        <v>15184</v>
      </c>
      <c r="C12849" s="25">
        <v>1816288</v>
      </c>
      <c r="D12849" s="22" t="s">
        <v>15185</v>
      </c>
      <c r="E12849" s="22" t="s">
        <v>68</v>
      </c>
      <c r="F12849" s="23" t="str">
        <f t="shared" si="670"/>
        <v>Оказание услуг по охране гидротехнических сооружений и объектов Слакского водохранилища</v>
      </c>
      <c r="G12849" s="22" t="s">
        <v>100</v>
      </c>
      <c r="H12849" s="22" t="s">
        <v>100</v>
      </c>
      <c r="I12849" s="26">
        <v>43529.954166666699</v>
      </c>
      <c r="J12849" s="23" t="str">
        <f>HYPERLINK("https://www.spark-marketing.ru/Card/Person/89096", "ООО ""ЧОО ""АК ЙОРТ""")</f>
        <v>ООО "ЧОО "АК ЙОРТ"</v>
      </c>
      <c r="K12849" s="24" t="s">
        <v>15187</v>
      </c>
      <c r="L12849" s="28" t="s">
        <v>52</v>
      </c>
      <c r="M12849" s="25">
        <v>1425786.08</v>
      </c>
      <c r="N12849" s="27">
        <v>0.215</v>
      </c>
    </row>
    <row r="12850" spans="1:14" hidden="1" outlineLevel="1" x14ac:dyDescent="0.2">
      <c r="A12850" s="23" t="str">
        <f t="shared" si="669"/>
        <v>ФГУ ЭВОС</v>
      </c>
      <c r="B12850" s="24" t="s">
        <v>15184</v>
      </c>
      <c r="C12850" s="25">
        <v>1816288</v>
      </c>
      <c r="D12850" s="22" t="s">
        <v>15185</v>
      </c>
      <c r="E12850" s="22" t="s">
        <v>68</v>
      </c>
      <c r="F12850" s="23" t="str">
        <f t="shared" si="670"/>
        <v>Оказание услуг по охране гидротехнических сооружений и объектов Слакского водохранилища</v>
      </c>
      <c r="G12850" s="22" t="s">
        <v>100</v>
      </c>
      <c r="H12850" s="22" t="s">
        <v>100</v>
      </c>
      <c r="I12850" s="26">
        <v>43529.954166666699</v>
      </c>
      <c r="J12850" s="23" t="str">
        <f>HYPERLINK("https://www.spark-marketing.ru/Card/Person/235240", "ООО ""ЧОП ""РЫЦАРЬ""")</f>
        <v>ООО "ЧОП "РЫЦАРЬ"</v>
      </c>
      <c r="K12850" s="24" t="s">
        <v>15188</v>
      </c>
      <c r="L12850" s="28" t="s">
        <v>52</v>
      </c>
      <c r="M12850" s="25">
        <v>1098854.24</v>
      </c>
      <c r="N12850" s="27">
        <v>0.39500000000000002</v>
      </c>
    </row>
    <row r="12851" spans="1:14" hidden="1" outlineLevel="1" x14ac:dyDescent="0.2">
      <c r="A12851" s="23" t="str">
        <f t="shared" si="669"/>
        <v>ФГУ ЭВОС</v>
      </c>
      <c r="B12851" s="24" t="s">
        <v>15184</v>
      </c>
      <c r="C12851" s="25">
        <v>1816288</v>
      </c>
      <c r="D12851" s="22" t="s">
        <v>15185</v>
      </c>
      <c r="E12851" s="22" t="s">
        <v>68</v>
      </c>
      <c r="F12851" s="23" t="str">
        <f t="shared" si="670"/>
        <v>Оказание услуг по охране гидротехнических сооружений и объектов Слакского водохранилища</v>
      </c>
      <c r="G12851" s="22" t="s">
        <v>100</v>
      </c>
      <c r="H12851" s="22" t="s">
        <v>100</v>
      </c>
      <c r="I12851" s="26">
        <v>43529.954166666699</v>
      </c>
      <c r="J12851" s="23" t="str">
        <f>HYPERLINK("https://www.spark-marketing.ru/Card/Person/180126", "ООО ""ОП ""БЕРКУТ""")</f>
        <v>ООО "ОП "БЕРКУТ"</v>
      </c>
      <c r="K12851" s="24" t="s">
        <v>15189</v>
      </c>
      <c r="L12851" s="28" t="s">
        <v>52</v>
      </c>
      <c r="M12851" s="25">
        <v>717433.76</v>
      </c>
      <c r="N12851" s="27">
        <v>0.60499999999999998</v>
      </c>
    </row>
    <row r="12852" spans="1:14" hidden="1" outlineLevel="1" x14ac:dyDescent="0.2">
      <c r="A12852" s="23" t="str">
        <f t="shared" si="669"/>
        <v>ФГУ ЭВОС</v>
      </c>
      <c r="B12852" s="24" t="s">
        <v>15184</v>
      </c>
      <c r="C12852" s="25">
        <v>1816288</v>
      </c>
      <c r="D12852" s="22" t="s">
        <v>15185</v>
      </c>
      <c r="E12852" s="22" t="s">
        <v>68</v>
      </c>
      <c r="F12852" s="23" t="str">
        <f t="shared" si="670"/>
        <v>Оказание услуг по охране гидротехнических сооружений и объектов Слакского водохранилища</v>
      </c>
      <c r="G12852" s="22" t="s">
        <v>100</v>
      </c>
      <c r="H12852" s="22" t="s">
        <v>100</v>
      </c>
      <c r="I12852" s="26">
        <v>43529.954166666699</v>
      </c>
      <c r="J12852" s="23" t="str">
        <f>HYPERLINK("https://www.spark-marketing.ru/Card/Person/5967223", "ООО ЧОО ""АЛЬТЕРНАТИВА""")</f>
        <v>ООО ЧОО "АЛЬТЕРНАТИВА"</v>
      </c>
      <c r="K12852" s="24" t="s">
        <v>8993</v>
      </c>
      <c r="L12852" s="28" t="s">
        <v>52</v>
      </c>
      <c r="M12852" s="25">
        <v>716616</v>
      </c>
      <c r="N12852" s="27">
        <v>0.60545023696682465</v>
      </c>
    </row>
    <row r="12853" spans="1:14" x14ac:dyDescent="0.15">
      <c r="A12853" s="23" t="str">
        <f>HYPERLINK("https://www.spark-marketing.ru/Card/Person/91837", "ГКУСО МО ""СТУПИНСКИЙ СРЦН ""АЛЬБАТРОС""")</f>
        <v>ГКУСО МО "СТУПИНСКИЙ СРЦН "АЛЬБАТРОС"</v>
      </c>
      <c r="B12853" s="24" t="s">
        <v>15190</v>
      </c>
      <c r="C12853" s="25">
        <v>14289.68</v>
      </c>
      <c r="D12853" s="22" t="s">
        <v>15191</v>
      </c>
      <c r="E12853" s="22" t="s">
        <v>59</v>
      </c>
      <c r="F12853" s="23" t="str">
        <f>HYPERLINK("https://www.spark-marketing.ru/Card/Lot/68534562", "Работы по монтажу тревожной кнопки")</f>
        <v>Работы по монтажу тревожной кнопки</v>
      </c>
      <c r="G12853" s="22" t="s">
        <v>50</v>
      </c>
      <c r="H12853" s="22" t="s">
        <v>1880</v>
      </c>
      <c r="I12853" s="26">
        <v>43529.846423611103</v>
      </c>
      <c r="J12853" s="28" t="s">
        <v>52</v>
      </c>
      <c r="K12853" s="28" t="s">
        <v>52</v>
      </c>
      <c r="L12853" s="28" t="s">
        <v>52</v>
      </c>
      <c r="M12853" s="28" t="s">
        <v>52</v>
      </c>
      <c r="N12853" s="28" t="s">
        <v>52</v>
      </c>
    </row>
    <row r="12854" spans="1:14" x14ac:dyDescent="0.15">
      <c r="A12854" s="23" t="str">
        <f>HYPERLINK("https://www.spark-marketing.ru/Card/Person/72569", "ГБУЗ ""ККДПБ""")</f>
        <v>ГБУЗ "ККДПБ"</v>
      </c>
      <c r="B12854" s="24" t="s">
        <v>12341</v>
      </c>
      <c r="C12854" s="25">
        <v>298333.33</v>
      </c>
      <c r="D12854" s="22" t="s">
        <v>15192</v>
      </c>
      <c r="E12854" s="22" t="s">
        <v>84</v>
      </c>
      <c r="F12854" s="23" t="str">
        <f>HYPERLINK("https://www.spark-marketing.ru/Card/Lot/68480008", "Услуги по установке системы видеонаблюдения")</f>
        <v>Услуги по установке системы видеонаблюдения</v>
      </c>
      <c r="G12854" s="22" t="s">
        <v>409</v>
      </c>
      <c r="H12854" s="22" t="s">
        <v>878</v>
      </c>
      <c r="I12854" s="26">
        <v>43529.798611111102</v>
      </c>
      <c r="J12854" s="28" t="s">
        <v>52</v>
      </c>
      <c r="K12854" s="28" t="s">
        <v>52</v>
      </c>
      <c r="L12854" s="28" t="s">
        <v>52</v>
      </c>
      <c r="M12854" s="28" t="s">
        <v>52</v>
      </c>
      <c r="N12854" s="28" t="s">
        <v>52</v>
      </c>
    </row>
    <row r="12855" spans="1:14" x14ac:dyDescent="0.15">
      <c r="A12855" s="23" t="str">
        <f t="shared" ref="A12855:A12862" si="671">HYPERLINK("https://www.spark-marketing.ru/Card/Person/2049543", "ФКУ ""ГУ ""ВО МИНФИНА РОССИИ""")</f>
        <v>ФКУ "ГУ "ВО МИНФИНА РОССИИ"</v>
      </c>
      <c r="B12855" s="24" t="s">
        <v>15193</v>
      </c>
      <c r="C12855" s="25">
        <v>200000</v>
      </c>
      <c r="D12855" s="22" t="s">
        <v>15194</v>
      </c>
      <c r="E12855" s="22" t="s">
        <v>107</v>
      </c>
      <c r="F12855" s="23" t="str">
        <f t="shared" ref="F12855:F12862" si="672">HYPERLINK("https://www.spark-marketing.ru/Card/Lot/68490561", "Техническое обслуживание системы видеонаблюдения и СКУД")</f>
        <v>Техническое обслуживание системы видеонаблюдения и СКУД</v>
      </c>
      <c r="G12855" s="22" t="s">
        <v>55</v>
      </c>
      <c r="H12855" s="22" t="s">
        <v>55</v>
      </c>
      <c r="I12855" s="26">
        <v>43529.736111111102</v>
      </c>
      <c r="J12855" s="28" t="s">
        <v>52</v>
      </c>
      <c r="K12855" s="28" t="s">
        <v>52</v>
      </c>
      <c r="L12855" s="28" t="s">
        <v>52</v>
      </c>
      <c r="M12855" s="28" t="s">
        <v>52</v>
      </c>
      <c r="N12855" s="28" t="s">
        <v>52</v>
      </c>
    </row>
    <row r="12856" spans="1:14" hidden="1" outlineLevel="1" x14ac:dyDescent="0.2">
      <c r="A12856" s="23" t="str">
        <f t="shared" si="671"/>
        <v>ФКУ "ГУ "ВО МИНФИНА РОССИИ"</v>
      </c>
      <c r="B12856" s="24" t="s">
        <v>15193</v>
      </c>
      <c r="C12856" s="25">
        <v>200000</v>
      </c>
      <c r="D12856" s="22" t="s">
        <v>15194</v>
      </c>
      <c r="E12856" s="22" t="s">
        <v>107</v>
      </c>
      <c r="F12856" s="23" t="str">
        <f t="shared" si="672"/>
        <v>Техническое обслуживание системы видеонаблюдения и СКУД</v>
      </c>
      <c r="G12856" s="22" t="s">
        <v>55</v>
      </c>
      <c r="H12856" s="22" t="s">
        <v>55</v>
      </c>
      <c r="I12856" s="26">
        <v>43529.736111111102</v>
      </c>
      <c r="J12856" s="23" t="str">
        <f>HYPERLINK("https://www.spark-marketing.ru/Card/Person/138497", "ООО ""ПТС""")</f>
        <v>ООО "ПТС"</v>
      </c>
      <c r="K12856" s="24" t="s">
        <v>9590</v>
      </c>
      <c r="L12856" s="28" t="s">
        <v>52</v>
      </c>
      <c r="M12856" s="25">
        <v>108000</v>
      </c>
      <c r="N12856" s="27">
        <v>0.46</v>
      </c>
    </row>
    <row r="12857" spans="1:14" hidden="1" outlineLevel="1" x14ac:dyDescent="0.2">
      <c r="A12857" s="23" t="str">
        <f t="shared" si="671"/>
        <v>ФКУ "ГУ "ВО МИНФИНА РОССИИ"</v>
      </c>
      <c r="B12857" s="24" t="s">
        <v>15193</v>
      </c>
      <c r="C12857" s="25">
        <v>200000</v>
      </c>
      <c r="D12857" s="22" t="s">
        <v>15194</v>
      </c>
      <c r="E12857" s="22" t="s">
        <v>107</v>
      </c>
      <c r="F12857" s="23" t="str">
        <f t="shared" si="672"/>
        <v>Техническое обслуживание системы видеонаблюдения и СКУД</v>
      </c>
      <c r="G12857" s="22" t="s">
        <v>55</v>
      </c>
      <c r="H12857" s="22" t="s">
        <v>55</v>
      </c>
      <c r="I12857" s="26">
        <v>43529.736111111102</v>
      </c>
      <c r="J12857" s="23" t="str">
        <f>HYPERLINK("https://www.spark-marketing.ru/Card/Person/6458260", "ООО ""АККОРД""")</f>
        <v>ООО "АККОРД"</v>
      </c>
      <c r="K12857" s="24" t="s">
        <v>1674</v>
      </c>
      <c r="L12857" s="28" t="s">
        <v>52</v>
      </c>
      <c r="M12857" s="25">
        <v>56000</v>
      </c>
      <c r="N12857" s="27">
        <v>0.72</v>
      </c>
    </row>
    <row r="12858" spans="1:14" hidden="1" outlineLevel="1" x14ac:dyDescent="0.2">
      <c r="A12858" s="23" t="str">
        <f t="shared" si="671"/>
        <v>ФКУ "ГУ "ВО МИНФИНА РОССИИ"</v>
      </c>
      <c r="B12858" s="24" t="s">
        <v>15193</v>
      </c>
      <c r="C12858" s="25">
        <v>200000</v>
      </c>
      <c r="D12858" s="22" t="s">
        <v>15194</v>
      </c>
      <c r="E12858" s="22" t="s">
        <v>107</v>
      </c>
      <c r="F12858" s="23" t="str">
        <f t="shared" si="672"/>
        <v>Техническое обслуживание системы видеонаблюдения и СКУД</v>
      </c>
      <c r="G12858" s="22" t="s">
        <v>55</v>
      </c>
      <c r="H12858" s="22" t="s">
        <v>55</v>
      </c>
      <c r="I12858" s="26">
        <v>43529.736111111102</v>
      </c>
      <c r="J12858" s="23" t="str">
        <f>HYPERLINK("https://www.spark-marketing.ru/Card/Person/6264257", "ООО ""СИНИЦА""")</f>
        <v>ООО "СИНИЦА"</v>
      </c>
      <c r="K12858" s="24" t="s">
        <v>13340</v>
      </c>
      <c r="L12858" s="28" t="s">
        <v>52</v>
      </c>
      <c r="M12858" s="25">
        <v>120000</v>
      </c>
      <c r="N12858" s="27">
        <v>0.4</v>
      </c>
    </row>
    <row r="12859" spans="1:14" ht="12.75" hidden="1" outlineLevel="1" x14ac:dyDescent="0.2">
      <c r="A12859" s="23" t="str">
        <f t="shared" si="671"/>
        <v>ФКУ "ГУ "ВО МИНФИНА РОССИИ"</v>
      </c>
      <c r="B12859" s="24" t="s">
        <v>15193</v>
      </c>
      <c r="C12859" s="25">
        <v>200000</v>
      </c>
      <c r="D12859" s="22" t="s">
        <v>15194</v>
      </c>
      <c r="E12859" s="22" t="s">
        <v>107</v>
      </c>
      <c r="F12859" s="23" t="str">
        <f t="shared" si="672"/>
        <v>Техническое обслуживание системы видеонаблюдения и СКУД</v>
      </c>
      <c r="G12859" s="22" t="s">
        <v>55</v>
      </c>
      <c r="H12859" s="22" t="s">
        <v>55</v>
      </c>
      <c r="I12859" s="26">
        <v>43529.736111111102</v>
      </c>
      <c r="J12859" s="23" t="str">
        <f>HYPERLINK("https://www.spark-marketing.ru/Card/Person/14846", "ООО ""ФЭЗЕРА""")</f>
        <v>ООО "ФЭЗЕРА"</v>
      </c>
      <c r="K12859" s="24" t="s">
        <v>1216</v>
      </c>
      <c r="L12859" s="22" t="s">
        <v>10</v>
      </c>
      <c r="M12859" s="25">
        <v>55000</v>
      </c>
      <c r="N12859" s="27">
        <v>0.72499999999999998</v>
      </c>
    </row>
    <row r="12860" spans="1:14" hidden="1" outlineLevel="1" x14ac:dyDescent="0.2">
      <c r="A12860" s="23" t="str">
        <f t="shared" si="671"/>
        <v>ФКУ "ГУ "ВО МИНФИНА РОССИИ"</v>
      </c>
      <c r="B12860" s="24" t="s">
        <v>15193</v>
      </c>
      <c r="C12860" s="25">
        <v>200000</v>
      </c>
      <c r="D12860" s="22" t="s">
        <v>15194</v>
      </c>
      <c r="E12860" s="22" t="s">
        <v>107</v>
      </c>
      <c r="F12860" s="23" t="str">
        <f t="shared" si="672"/>
        <v>Техническое обслуживание системы видеонаблюдения и СКУД</v>
      </c>
      <c r="G12860" s="22" t="s">
        <v>55</v>
      </c>
      <c r="H12860" s="22" t="s">
        <v>55</v>
      </c>
      <c r="I12860" s="26">
        <v>43529.736111111102</v>
      </c>
      <c r="J12860" s="23" t="str">
        <f>HYPERLINK("https://www.spark-marketing.ru/Card/Person/10921", "ООО ""АЙТИ ФОРТ""")</f>
        <v>ООО "АЙТИ ФОРТ"</v>
      </c>
      <c r="K12860" s="24" t="s">
        <v>8546</v>
      </c>
      <c r="L12860" s="28" t="s">
        <v>52</v>
      </c>
      <c r="M12860" s="25">
        <v>160000</v>
      </c>
      <c r="N12860" s="27">
        <v>0.2</v>
      </c>
    </row>
    <row r="12861" spans="1:14" hidden="1" outlineLevel="1" x14ac:dyDescent="0.2">
      <c r="A12861" s="23" t="str">
        <f t="shared" si="671"/>
        <v>ФКУ "ГУ "ВО МИНФИНА РОССИИ"</v>
      </c>
      <c r="B12861" s="24" t="s">
        <v>15193</v>
      </c>
      <c r="C12861" s="25">
        <v>200000</v>
      </c>
      <c r="D12861" s="22" t="s">
        <v>15194</v>
      </c>
      <c r="E12861" s="22" t="s">
        <v>107</v>
      </c>
      <c r="F12861" s="23" t="str">
        <f t="shared" si="672"/>
        <v>Техническое обслуживание системы видеонаблюдения и СКУД</v>
      </c>
      <c r="G12861" s="22" t="s">
        <v>55</v>
      </c>
      <c r="H12861" s="22" t="s">
        <v>55</v>
      </c>
      <c r="I12861" s="26">
        <v>43529.736111111102</v>
      </c>
      <c r="J12861" s="23" t="str">
        <f>HYPERLINK("https://www.spark-marketing.ru/Card/Person/65028", "ООО ""ИМПУЛЬС М""")</f>
        <v>ООО "ИМПУЛЬС М"</v>
      </c>
      <c r="K12861" s="24" t="s">
        <v>7268</v>
      </c>
      <c r="L12861" s="28" t="s">
        <v>52</v>
      </c>
      <c r="M12861" s="25">
        <v>110000</v>
      </c>
      <c r="N12861" s="27">
        <v>0.45</v>
      </c>
    </row>
    <row r="12862" spans="1:14" hidden="1" outlineLevel="1" x14ac:dyDescent="0.2">
      <c r="A12862" s="23" t="str">
        <f t="shared" si="671"/>
        <v>ФКУ "ГУ "ВО МИНФИНА РОССИИ"</v>
      </c>
      <c r="B12862" s="24" t="s">
        <v>15193</v>
      </c>
      <c r="C12862" s="25">
        <v>200000</v>
      </c>
      <c r="D12862" s="22" t="s">
        <v>15194</v>
      </c>
      <c r="E12862" s="22" t="s">
        <v>107</v>
      </c>
      <c r="F12862" s="23" t="str">
        <f t="shared" si="672"/>
        <v>Техническое обслуживание системы видеонаблюдения и СКУД</v>
      </c>
      <c r="G12862" s="22" t="s">
        <v>55</v>
      </c>
      <c r="H12862" s="22" t="s">
        <v>55</v>
      </c>
      <c r="I12862" s="26">
        <v>43529.736111111102</v>
      </c>
      <c r="J12862" s="23" t="str">
        <f>HYPERLINK("https://www.spark-marketing.ru/Card/Person/6445825", "Судариков Михаил Геннадьевич")</f>
        <v>Судариков Михаил Геннадьевич</v>
      </c>
      <c r="K12862" s="24" t="s">
        <v>1219</v>
      </c>
      <c r="L12862" s="28" t="s">
        <v>52</v>
      </c>
      <c r="M12862" s="25">
        <v>70000</v>
      </c>
      <c r="N12862" s="27">
        <v>0.65</v>
      </c>
    </row>
    <row r="12863" spans="1:14" x14ac:dyDescent="0.15">
      <c r="A12863" s="23" t="str">
        <f>HYPERLINK("https://www.spark-marketing.ru/Card/Person/65058", "ФКП ""АЭРОПОРТЫ ЧУКОТКИ""")</f>
        <v>ФКП "АЭРОПОРТЫ ЧУКОТКИ"</v>
      </c>
      <c r="B12863" s="24" t="s">
        <v>13051</v>
      </c>
      <c r="C12863" s="25">
        <v>143985.60000000001</v>
      </c>
      <c r="D12863" s="22" t="s">
        <v>15195</v>
      </c>
      <c r="E12863" s="22" t="s">
        <v>68</v>
      </c>
      <c r="F12863" s="23" t="str">
        <f>HYPERLINK("https://www.spark-marketing.ru/Card/Lot/68463991", "Оказание охранных услуг АУП (Угольные Копи)")</f>
        <v>Оказание охранных услуг АУП (Угольные Копи)</v>
      </c>
      <c r="G12863" s="22" t="s">
        <v>1544</v>
      </c>
      <c r="H12863" s="22" t="s">
        <v>1544</v>
      </c>
      <c r="I12863" s="26">
        <v>43529.730555555601</v>
      </c>
      <c r="J12863" s="28" t="s">
        <v>52</v>
      </c>
      <c r="K12863" s="28" t="s">
        <v>52</v>
      </c>
      <c r="L12863" s="28" t="s">
        <v>52</v>
      </c>
      <c r="M12863" s="28" t="s">
        <v>52</v>
      </c>
      <c r="N12863" s="28" t="s">
        <v>52</v>
      </c>
    </row>
    <row r="12864" spans="1:14" x14ac:dyDescent="0.15">
      <c r="A12864" s="23" t="str">
        <f>HYPERLINK("https://www.spark-marketing.ru/Card/Person/998886", "ГБПОУ СО ""АЛАПАЕВСКИЙ МНОГОПРОФИЛЬНЫЙ ТЕХНИКУМ""")</f>
        <v>ГБПОУ СО "АЛАПАЕВСКИЙ МНОГОПРОФИЛЬНЫЙ ТЕХНИКУМ"</v>
      </c>
      <c r="B12864" s="24" t="s">
        <v>15196</v>
      </c>
      <c r="C12864" s="25">
        <v>1612416</v>
      </c>
      <c r="D12864" s="22" t="s">
        <v>15197</v>
      </c>
      <c r="E12864" s="22" t="s">
        <v>52</v>
      </c>
      <c r="F12864" s="23" t="str">
        <f>HYPERLINK("https://www.spark-marketing.ru/Card/Lot/68485767", "Услуги по организации и обеспечению охраны объектов и имущества ГБПОУ СО «Алапаевский многопрофильный техникум»")</f>
        <v>Услуги по организации и обеспечению охраны объектов и имущества ГБПОУ СО «Алапаевский многопрофильный техникум»</v>
      </c>
      <c r="G12864" s="22" t="s">
        <v>72</v>
      </c>
      <c r="H12864" s="22" t="s">
        <v>15198</v>
      </c>
      <c r="I12864" s="26">
        <v>43529.736111111102</v>
      </c>
      <c r="J12864" s="28" t="s">
        <v>52</v>
      </c>
      <c r="K12864" s="28" t="s">
        <v>52</v>
      </c>
      <c r="L12864" s="28" t="s">
        <v>52</v>
      </c>
      <c r="M12864" s="28" t="s">
        <v>52</v>
      </c>
      <c r="N12864" s="28" t="s">
        <v>52</v>
      </c>
    </row>
    <row r="12865" spans="1:14" ht="12.75" hidden="1" outlineLevel="1" x14ac:dyDescent="0.2">
      <c r="A12865" s="23" t="str">
        <f>HYPERLINK("https://www.spark-marketing.ru/Card/Person/998886", "ГБПОУ СО ""АЛАПАЕВСКИЙ МНОГОПРОФИЛЬНЫЙ ТЕХНИКУМ""")</f>
        <v>ГБПОУ СО "АЛАПАЕВСКИЙ МНОГОПРОФИЛЬНЫЙ ТЕХНИКУМ"</v>
      </c>
      <c r="B12865" s="24" t="s">
        <v>15196</v>
      </c>
      <c r="C12865" s="25">
        <v>1612416</v>
      </c>
      <c r="D12865" s="22" t="s">
        <v>15197</v>
      </c>
      <c r="E12865" s="22" t="s">
        <v>52</v>
      </c>
      <c r="F12865" s="23" t="str">
        <f>HYPERLINK("https://www.spark-marketing.ru/Card/Lot/68485767", "Услуги по организации и обеспечению охраны объектов и имущества ГБПОУ СО «Алапаевский многопрофильный техникум»")</f>
        <v>Услуги по организации и обеспечению охраны объектов и имущества ГБПОУ СО «Алапаевский многопрофильный техникум»</v>
      </c>
      <c r="G12865" s="22" t="s">
        <v>72</v>
      </c>
      <c r="H12865" s="22" t="s">
        <v>15198</v>
      </c>
      <c r="I12865" s="26">
        <v>43529.736111111102</v>
      </c>
      <c r="J12865" s="23" t="str">
        <f>HYPERLINK("https://www.spark-marketing.ru/Card/Person/4496304", "ООО ""ЧОП ""АЛЬФА-ЩИТ-БМП""")</f>
        <v>ООО "ЧОП "АЛЬФА-ЩИТ-БМП"</v>
      </c>
      <c r="K12865" s="24" t="s">
        <v>4058</v>
      </c>
      <c r="L12865" s="22" t="s">
        <v>10</v>
      </c>
      <c r="M12865" s="25">
        <v>1015822.08</v>
      </c>
      <c r="N12865" s="27">
        <v>0.37</v>
      </c>
    </row>
    <row r="12866" spans="1:14" hidden="1" outlineLevel="1" x14ac:dyDescent="0.2">
      <c r="A12866" s="23" t="str">
        <f>HYPERLINK("https://www.spark-marketing.ru/Card/Person/998886", "ГБПОУ СО ""АЛАПАЕВСКИЙ МНОГОПРОФИЛЬНЫЙ ТЕХНИКУМ""")</f>
        <v>ГБПОУ СО "АЛАПАЕВСКИЙ МНОГОПРОФИЛЬНЫЙ ТЕХНИКУМ"</v>
      </c>
      <c r="B12866" s="24" t="s">
        <v>15196</v>
      </c>
      <c r="C12866" s="25">
        <v>1612416</v>
      </c>
      <c r="D12866" s="22" t="s">
        <v>15197</v>
      </c>
      <c r="E12866" s="22" t="s">
        <v>52</v>
      </c>
      <c r="F12866" s="23" t="str">
        <f>HYPERLINK("https://www.spark-marketing.ru/Card/Lot/68485767", "Услуги по организации и обеспечению охраны объектов и имущества ГБПОУ СО «Алапаевский многопрофильный техникум»")</f>
        <v>Услуги по организации и обеспечению охраны объектов и имущества ГБПОУ СО «Алапаевский многопрофильный техникум»</v>
      </c>
      <c r="G12866" s="22" t="s">
        <v>72</v>
      </c>
      <c r="H12866" s="22" t="s">
        <v>15198</v>
      </c>
      <c r="I12866" s="26">
        <v>43529.736111111102</v>
      </c>
      <c r="J12866" s="23" t="str">
        <f>HYPERLINK("https://www.spark-marketing.ru/Card/Person/77479", "ООО ЧОП ""СООПР ""РЫСЬ-Е""")</f>
        <v>ООО ЧОП "СООПР "РЫСЬ-Е"</v>
      </c>
      <c r="K12866" s="24" t="s">
        <v>10087</v>
      </c>
      <c r="L12866" s="28" t="s">
        <v>52</v>
      </c>
      <c r="M12866" s="25">
        <v>1185125.76</v>
      </c>
      <c r="N12866" s="27">
        <v>0.26500000000000001</v>
      </c>
    </row>
    <row r="12867" spans="1:14" hidden="1" outlineLevel="1" x14ac:dyDescent="0.2">
      <c r="A12867" s="23" t="str">
        <f>HYPERLINK("https://www.spark-marketing.ru/Card/Person/998886", "ГБПОУ СО ""АЛАПАЕВСКИЙ МНОГОПРОФИЛЬНЫЙ ТЕХНИКУМ""")</f>
        <v>ГБПОУ СО "АЛАПАЕВСКИЙ МНОГОПРОФИЛЬНЫЙ ТЕХНИКУМ"</v>
      </c>
      <c r="B12867" s="24" t="s">
        <v>15196</v>
      </c>
      <c r="C12867" s="25">
        <v>1612416</v>
      </c>
      <c r="D12867" s="22" t="s">
        <v>15197</v>
      </c>
      <c r="E12867" s="22" t="s">
        <v>52</v>
      </c>
      <c r="F12867" s="23" t="str">
        <f>HYPERLINK("https://www.spark-marketing.ru/Card/Lot/68485767", "Услуги по организации и обеспечению охраны объектов и имущества ГБПОУ СО «Алапаевский многопрофильный техникум»")</f>
        <v>Услуги по организации и обеспечению охраны объектов и имущества ГБПОУ СО «Алапаевский многопрофильный техникум»</v>
      </c>
      <c r="G12867" s="22" t="s">
        <v>72</v>
      </c>
      <c r="H12867" s="22" t="s">
        <v>15198</v>
      </c>
      <c r="I12867" s="26">
        <v>43529.736111111102</v>
      </c>
      <c r="J12867" s="23" t="str">
        <f>HYPERLINK("https://www.spark-marketing.ru/Card/Person/805797", "ООО ЧОП ""ГЮРЗА""")</f>
        <v>ООО ЧОП "ГЮРЗА"</v>
      </c>
      <c r="K12867" s="24" t="s">
        <v>10085</v>
      </c>
      <c r="L12867" s="28" t="s">
        <v>52</v>
      </c>
      <c r="M12867" s="25">
        <v>1096442.8799999999</v>
      </c>
      <c r="N12867" s="27">
        <v>0.32</v>
      </c>
    </row>
    <row r="12868" spans="1:14" x14ac:dyDescent="0.15">
      <c r="A12868" s="23" t="str">
        <f>HYPERLINK("https://www.spark-marketing.ru/Card/Person/4376262", "УПФР В ЯГОДНИНСКОМ РАЙОНЕ МАГАДАНСКОЙ ОБЛАСТИ")</f>
        <v>УПФР В ЯГОДНИНСКОМ РАЙОНЕ МАГАДАНСКОЙ ОБЛАСТИ</v>
      </c>
      <c r="B12868" s="24" t="s">
        <v>15199</v>
      </c>
      <c r="C12868" s="25">
        <v>474663</v>
      </c>
      <c r="D12868" s="22" t="s">
        <v>15200</v>
      </c>
      <c r="E12868" s="22" t="s">
        <v>68</v>
      </c>
      <c r="F12868" s="23" t="str">
        <f>HYPERLINK("https://www.spark-marketing.ru/Card/Lot/68473686", "Услуги охраны помещения и имущества УПФР в Ягоднинском районе Магаданской области путем централизованной охраны при помощи технических средств (ТСО), установленных на охраняемом объекте, подключенных на пульт централизованного наблюдения (ПЦН)")</f>
        <v>Услуги охраны помещения и имущества УПФР в Ягоднинском районе Магаданской области путем централизованной охраны при помощи технических средств (ТСО), установленных на охраняемом объекте, подключенных на пульт централизованного наблюдения (ПЦН)</v>
      </c>
      <c r="G12868" s="22" t="s">
        <v>808</v>
      </c>
      <c r="H12868" s="22" t="s">
        <v>15201</v>
      </c>
      <c r="I12868" s="26">
        <v>43529.740277777797</v>
      </c>
      <c r="J12868" s="23" t="str">
        <f>HYPERLINK("https://www.spark-marketing.ru/Card/Person/1274508", "ФГКУ ""ОВО ВНГ РОССИИ ПО МАГАДАНСКОЙ ОБЛАСТИ""")</f>
        <v>ФГКУ "ОВО ВНГ РОССИИ ПО МАГАДАНСКОЙ ОБЛАСТИ"</v>
      </c>
      <c r="K12868" s="24" t="s">
        <v>1390</v>
      </c>
      <c r="L12868" s="22" t="s">
        <v>10</v>
      </c>
      <c r="M12868" s="28" t="s">
        <v>52</v>
      </c>
      <c r="N12868" s="28" t="s">
        <v>52</v>
      </c>
    </row>
    <row r="12869" spans="1:14" x14ac:dyDescent="0.15">
      <c r="A12869" s="23" t="str">
        <f>HYPERLINK("https://www.spark-marketing.ru/Card/Person/265483", "МЕЖРАЙОННАЯ ИФНС РОССИИ № 3 ПО КАМЧАТСКОМУ КРАЮ")</f>
        <v>МЕЖРАЙОННАЯ ИФНС РОССИИ № 3 ПО КАМЧАТСКОМУ КРАЮ</v>
      </c>
      <c r="B12869" s="24" t="s">
        <v>15202</v>
      </c>
      <c r="C12869" s="25">
        <v>51000</v>
      </c>
      <c r="D12869" s="22" t="s">
        <v>15203</v>
      </c>
      <c r="E12869" s="22" t="s">
        <v>68</v>
      </c>
      <c r="F12869" s="23" t="str">
        <f>HYPERLINK("https://www.spark-marketing.ru/Card/Lot/68462464", "Оказание услуг экстренного вызова наряда полиции с использованием кнопки тревожной сигнализации")</f>
        <v>Оказание услуг экстренного вызова наряда полиции с использованием кнопки тревожной сигнализации</v>
      </c>
      <c r="G12869" s="22" t="s">
        <v>1141</v>
      </c>
      <c r="H12869" s="22" t="s">
        <v>1141</v>
      </c>
      <c r="I12869" s="26">
        <v>43529.714583333298</v>
      </c>
      <c r="J12869" s="28" t="s">
        <v>52</v>
      </c>
      <c r="K12869" s="28" t="s">
        <v>52</v>
      </c>
      <c r="L12869" s="28" t="s">
        <v>52</v>
      </c>
      <c r="M12869" s="28" t="s">
        <v>52</v>
      </c>
      <c r="N12869" s="28" t="s">
        <v>52</v>
      </c>
    </row>
    <row r="12870" spans="1:14" x14ac:dyDescent="0.15">
      <c r="A12870" s="23" t="str">
        <f>HYPERLINK("https://www.spark-marketing.ru/Card/Person/156907", "АДМИНИСТРАЦИЯ ВЕРХНЕЛООСКОГО СЕЛЬСКОГО ОКРУГА ГОРОДА СОЧИ")</f>
        <v>АДМИНИСТРАЦИЯ ВЕРХНЕЛООСКОГО СЕЛЬСКОГО ОКРУГА ГОРОДА СОЧИ</v>
      </c>
      <c r="B12870" s="24" t="s">
        <v>15204</v>
      </c>
      <c r="C12870" s="25">
        <v>598650.48</v>
      </c>
      <c r="D12870" s="22" t="s">
        <v>15205</v>
      </c>
      <c r="E12870" s="22" t="s">
        <v>68</v>
      </c>
      <c r="F12870" s="23" t="str">
        <f>HYPERLINK("https://www.spark-marketing.ru/Card/Lot/68490752", "Оказание охранных услуг в 2019 году")</f>
        <v>Оказание охранных услуг в 2019 году</v>
      </c>
      <c r="G12870" s="22" t="s">
        <v>132</v>
      </c>
      <c r="H12870" s="22" t="s">
        <v>132</v>
      </c>
      <c r="I12870" s="26">
        <v>43529.715277777803</v>
      </c>
      <c r="J12870" s="28" t="s">
        <v>52</v>
      </c>
      <c r="K12870" s="28" t="s">
        <v>52</v>
      </c>
      <c r="L12870" s="28" t="s">
        <v>52</v>
      </c>
      <c r="M12870" s="28" t="s">
        <v>52</v>
      </c>
      <c r="N12870" s="28" t="s">
        <v>52</v>
      </c>
    </row>
    <row r="12871" spans="1:14" hidden="1" outlineLevel="1" x14ac:dyDescent="0.2">
      <c r="A12871" s="23" t="str">
        <f>HYPERLINK("https://www.spark-marketing.ru/Card/Person/156907", "АДМИНИСТРАЦИЯ ВЕРХНЕЛООСКОГО СЕЛЬСКОГО ОКРУГА ГОРОДА СОЧИ")</f>
        <v>АДМИНИСТРАЦИЯ ВЕРХНЕЛООСКОГО СЕЛЬСКОГО ОКРУГА ГОРОДА СОЧИ</v>
      </c>
      <c r="B12871" s="24" t="s">
        <v>15204</v>
      </c>
      <c r="C12871" s="25">
        <v>598650.48</v>
      </c>
      <c r="D12871" s="22" t="s">
        <v>15205</v>
      </c>
      <c r="E12871" s="22" t="s">
        <v>68</v>
      </c>
      <c r="F12871" s="23" t="str">
        <f>HYPERLINK("https://www.spark-marketing.ru/Card/Lot/68490752", "Оказание охранных услуг в 2019 году")</f>
        <v>Оказание охранных услуг в 2019 году</v>
      </c>
      <c r="G12871" s="22" t="s">
        <v>132</v>
      </c>
      <c r="H12871" s="22" t="s">
        <v>132</v>
      </c>
      <c r="I12871" s="26">
        <v>43529.715277777803</v>
      </c>
      <c r="J12871" s="23" t="str">
        <f>HYPERLINK("https://www.spark-marketing.ru/Card/Person/446759", "ООО ""С-Т-Б""")</f>
        <v>ООО "С-Т-Б"</v>
      </c>
      <c r="K12871" s="24" t="s">
        <v>15206</v>
      </c>
      <c r="L12871" s="28" t="s">
        <v>52</v>
      </c>
      <c r="M12871" s="25">
        <v>563717.88</v>
      </c>
      <c r="N12871" s="27">
        <v>5.8352245871413987E-2</v>
      </c>
    </row>
    <row r="12872" spans="1:14" hidden="1" outlineLevel="1" x14ac:dyDescent="0.2">
      <c r="A12872" s="23" t="str">
        <f>HYPERLINK("https://www.spark-marketing.ru/Card/Person/156907", "АДМИНИСТРАЦИЯ ВЕРХНЕЛООСКОГО СЕЛЬСКОГО ОКРУГА ГОРОДА СОЧИ")</f>
        <v>АДМИНИСТРАЦИЯ ВЕРХНЕЛООСКОГО СЕЛЬСКОГО ОКРУГА ГОРОДА СОЧИ</v>
      </c>
      <c r="B12872" s="24" t="s">
        <v>15204</v>
      </c>
      <c r="C12872" s="25">
        <v>598650.48</v>
      </c>
      <c r="D12872" s="22" t="s">
        <v>15205</v>
      </c>
      <c r="E12872" s="22" t="s">
        <v>68</v>
      </c>
      <c r="F12872" s="23" t="str">
        <f>HYPERLINK("https://www.spark-marketing.ru/Card/Lot/68490752", "Оказание охранных услуг в 2019 году")</f>
        <v>Оказание охранных услуг в 2019 году</v>
      </c>
      <c r="G12872" s="22" t="s">
        <v>132</v>
      </c>
      <c r="H12872" s="22" t="s">
        <v>132</v>
      </c>
      <c r="I12872" s="26">
        <v>43529.715277777803</v>
      </c>
      <c r="J12872" s="23" t="str">
        <f>HYPERLINK("https://www.spark-marketing.ru/Card/Person/133649", "ООО ЧОО ""ОХРАННОЕ ОБЪЕДИНЕНИЕ МИР""")</f>
        <v>ООО ЧОО "ОХРАННОЕ ОБЪЕДИНЕНИЕ МИР"</v>
      </c>
      <c r="K12872" s="24" t="s">
        <v>2934</v>
      </c>
      <c r="L12872" s="28" t="s">
        <v>52</v>
      </c>
      <c r="M12872" s="25">
        <v>426027.92</v>
      </c>
      <c r="N12872" s="27">
        <v>0.28835282985156879</v>
      </c>
    </row>
    <row r="12873" spans="1:14" ht="12.75" hidden="1" outlineLevel="1" x14ac:dyDescent="0.2">
      <c r="A12873" s="23" t="str">
        <f>HYPERLINK("https://www.spark-marketing.ru/Card/Person/156907", "АДМИНИСТРАЦИЯ ВЕРХНЕЛООСКОГО СЕЛЬСКОГО ОКРУГА ГОРОДА СОЧИ")</f>
        <v>АДМИНИСТРАЦИЯ ВЕРХНЕЛООСКОГО СЕЛЬСКОГО ОКРУГА ГОРОДА СОЧИ</v>
      </c>
      <c r="B12873" s="24" t="s">
        <v>15204</v>
      </c>
      <c r="C12873" s="25">
        <v>598650.48</v>
      </c>
      <c r="D12873" s="22" t="s">
        <v>15205</v>
      </c>
      <c r="E12873" s="22" t="s">
        <v>68</v>
      </c>
      <c r="F12873" s="23" t="str">
        <f>HYPERLINK("https://www.spark-marketing.ru/Card/Lot/68490752", "Оказание охранных услуг в 2019 году")</f>
        <v>Оказание охранных услуг в 2019 году</v>
      </c>
      <c r="G12873" s="22" t="s">
        <v>132</v>
      </c>
      <c r="H12873" s="22" t="s">
        <v>132</v>
      </c>
      <c r="I12873" s="26">
        <v>43529.715277777803</v>
      </c>
      <c r="J12873" s="23" t="str">
        <f>HYPERLINK("https://www.spark-marketing.ru/Card/Person/461410", "ООО ""ОСА ""СКОРПИОН""")</f>
        <v>ООО "ОСА "СКОРПИОН"</v>
      </c>
      <c r="K12873" s="24" t="s">
        <v>6843</v>
      </c>
      <c r="L12873" s="22" t="s">
        <v>10</v>
      </c>
      <c r="M12873" s="25">
        <v>423034.66</v>
      </c>
      <c r="N12873" s="27">
        <v>0.29335284254678956</v>
      </c>
    </row>
    <row r="12874" spans="1:14" x14ac:dyDescent="0.15">
      <c r="A12874" s="23" t="str">
        <f>HYPERLINK("https://www.spark-marketing.ru/Card/Person/1029134", "МБУ КОШЕЛЕВСКИЙ ДК")</f>
        <v>МБУ КОШЕЛЕВСКИЙ ДК</v>
      </c>
      <c r="B12874" s="24" t="s">
        <v>15207</v>
      </c>
      <c r="C12874" s="25">
        <v>34404</v>
      </c>
      <c r="D12874" s="22" t="s">
        <v>15208</v>
      </c>
      <c r="E12874" s="22" t="s">
        <v>234</v>
      </c>
      <c r="F12874" s="23" t="str">
        <f>HYPERLINK("https://www.spark-marketing.ru/Card/Lot/68534423", "Техническое обслуживание системы аналогового видеонаблюдения и видеорегистрации")</f>
        <v>Техническое обслуживание системы аналогового видеонаблюдения и видеорегистрации</v>
      </c>
      <c r="G12874" s="22" t="s">
        <v>50</v>
      </c>
      <c r="H12874" s="22" t="s">
        <v>5042</v>
      </c>
      <c r="I12874" s="26">
        <v>43529.732222222199</v>
      </c>
      <c r="J12874" s="28" t="s">
        <v>52</v>
      </c>
      <c r="K12874" s="28" t="s">
        <v>52</v>
      </c>
      <c r="L12874" s="28" t="s">
        <v>52</v>
      </c>
      <c r="M12874" s="28" t="s">
        <v>52</v>
      </c>
      <c r="N12874" s="28" t="s">
        <v>52</v>
      </c>
    </row>
    <row r="12875" spans="1:14" x14ac:dyDescent="0.15">
      <c r="A12875" s="23" t="str">
        <f>HYPERLINK("https://www.spark-marketing.ru/Card/Person/926266", "ГОСУДАРСТВЕННЫЙ МУЗЕЙ-ЗАПОВЕДНИК ""ХЕРСОНЕС ТАВРИЧЕСКИЙ""")</f>
        <v>ГОСУДАРСТВЕННЫЙ МУЗЕЙ-ЗАПОВЕДНИК "ХЕРСОНЕС ТАВРИЧЕСКИЙ"</v>
      </c>
      <c r="B12875" s="24" t="s">
        <v>12075</v>
      </c>
      <c r="C12875" s="25">
        <v>2513287.7999999998</v>
      </c>
      <c r="D12875" s="22" t="s">
        <v>15209</v>
      </c>
      <c r="E12875" s="22" t="s">
        <v>68</v>
      </c>
      <c r="F12875" s="23" t="str">
        <f>HYPERLINK("https://www.spark-marketing.ru/Card/Lot/68490385", "Услуги охраны объектов военизированными подразделениями")</f>
        <v>Услуги охраны объектов военизированными подразделениями</v>
      </c>
      <c r="G12875" s="22" t="s">
        <v>714</v>
      </c>
      <c r="H12875" s="22" t="s">
        <v>714</v>
      </c>
      <c r="I12875" s="26">
        <v>43529.743055555598</v>
      </c>
      <c r="J12875" s="23" t="str">
        <f>HYPERLINK("https://www.spark-marketing.ru/Card/Person/6117665", "ФЛ ФГУП ОХРАНА ФЕДЕРАЛЬНОЙ СЛУЖБЫ ВОЙСК НАЦИОНАЛЬНОЙ ГВАРДИИ РФ ПО Г СЕВАСТОПОЛЮ")</f>
        <v>ФЛ ФГУП ОХРАНА ФЕДЕРАЛЬНОЙ СЛУЖБЫ ВОЙСК НАЦИОНАЛЬНОЙ ГВАРДИИ РФ ПО Г СЕВАСТОПОЛЮ</v>
      </c>
      <c r="K12875" s="24" t="s">
        <v>779</v>
      </c>
      <c r="L12875" s="22" t="s">
        <v>10</v>
      </c>
      <c r="M12875" s="28" t="s">
        <v>52</v>
      </c>
      <c r="N12875" s="28" t="s">
        <v>52</v>
      </c>
    </row>
    <row r="12876" spans="1:14" x14ac:dyDescent="0.15">
      <c r="A12876" s="23" t="str">
        <f>HYPERLINK("https://www.spark-marketing.ru/Card/Person/6275", "УПРАВЛЕНИЕ СУДЕБНОГО ДЕПАРТАМЕНТА В СВЕРДЛОВСКОЙ ОБЛАСТИ")</f>
        <v>УПРАВЛЕНИЕ СУДЕБНОГО ДЕПАРТАМЕНТА В СВЕРДЛОВСКОЙ ОБЛАСТИ</v>
      </c>
      <c r="B12876" s="24" t="s">
        <v>1175</v>
      </c>
      <c r="C12876" s="25">
        <v>11218292.880000001</v>
      </c>
      <c r="D12876" s="22" t="s">
        <v>15210</v>
      </c>
      <c r="E12876" s="22" t="s">
        <v>68</v>
      </c>
      <c r="F12876" s="23" t="str">
        <f>HYPERLINK("https://www.spark-marketing.ru/Card/Lot/68484199", "Оказание услуг по охране объектов подразделениями вневедомственной охраны")</f>
        <v>Оказание услуг по охране объектов подразделениями вневедомственной охраны</v>
      </c>
      <c r="G12876" s="22" t="s">
        <v>72</v>
      </c>
      <c r="H12876" s="22" t="s">
        <v>72</v>
      </c>
      <c r="I12876" s="26">
        <v>43529.677777777797</v>
      </c>
      <c r="J12876" s="28" t="s">
        <v>52</v>
      </c>
      <c r="K12876" s="28" t="s">
        <v>52</v>
      </c>
      <c r="L12876" s="28" t="s">
        <v>52</v>
      </c>
      <c r="M12876" s="28" t="s">
        <v>52</v>
      </c>
      <c r="N12876" s="28" t="s">
        <v>52</v>
      </c>
    </row>
    <row r="12877" spans="1:14" x14ac:dyDescent="0.15">
      <c r="A12877" s="23" t="str">
        <f>HYPERLINK("https://www.spark-marketing.ru/Card/Person/1300220", "МА ДОУ Д/С №5 ""ЗВЕЗДОЧКА""")</f>
        <v>МА ДОУ Д/С №5 "ЗВЕЗДОЧКА"</v>
      </c>
      <c r="B12877" s="24" t="s">
        <v>15211</v>
      </c>
      <c r="C12877" s="25">
        <v>679551.6</v>
      </c>
      <c r="D12877" s="22" t="s">
        <v>15212</v>
      </c>
      <c r="E12877" s="22" t="s">
        <v>144</v>
      </c>
      <c r="F12877" s="23" t="str">
        <f>HYPERLINK("https://www.spark-marketing.ru/Card/Lot/68486369", "Охранные услуги ЧОП")</f>
        <v>Охранные услуги ЧОП</v>
      </c>
      <c r="G12877" s="22" t="s">
        <v>50</v>
      </c>
      <c r="H12877" s="22" t="s">
        <v>50</v>
      </c>
      <c r="I12877" s="26">
        <v>43529.693969907399</v>
      </c>
      <c r="J12877" s="28" t="s">
        <v>52</v>
      </c>
      <c r="K12877" s="28" t="s">
        <v>52</v>
      </c>
      <c r="L12877" s="28" t="s">
        <v>52</v>
      </c>
      <c r="M12877" s="28" t="s">
        <v>52</v>
      </c>
      <c r="N12877" s="28" t="s">
        <v>52</v>
      </c>
    </row>
    <row r="12878" spans="1:14" hidden="1" outlineLevel="1" x14ac:dyDescent="0.2">
      <c r="A12878" s="23" t="str">
        <f>HYPERLINK("https://www.spark-marketing.ru/Card/Person/1300220", "МА ДОУ Д/С №5 ""ЗВЕЗДОЧКА""")</f>
        <v>МА ДОУ Д/С №5 "ЗВЕЗДОЧКА"</v>
      </c>
      <c r="B12878" s="24" t="s">
        <v>15211</v>
      </c>
      <c r="C12878" s="28" t="s">
        <v>52</v>
      </c>
      <c r="D12878" s="22" t="s">
        <v>15212</v>
      </c>
      <c r="E12878" s="22" t="s">
        <v>144</v>
      </c>
      <c r="F12878" s="23" t="str">
        <f>HYPERLINK("https://www.spark-marketing.ru/Card/Lot/68486369", "Охранные услуги ЧОП")</f>
        <v>Охранные услуги ЧОП</v>
      </c>
      <c r="G12878" s="22" t="s">
        <v>50</v>
      </c>
      <c r="H12878" s="22" t="s">
        <v>50</v>
      </c>
      <c r="I12878" s="26">
        <v>43529.693969907399</v>
      </c>
      <c r="J12878" s="23" t="str">
        <f>HYPERLINK("https://www.spark-marketing.ru/Card/Person/2573816", "ООО ЧОО ""ЛИОН""")</f>
        <v>ООО ЧОО "ЛИОН"</v>
      </c>
      <c r="K12878" s="24" t="s">
        <v>6583</v>
      </c>
      <c r="L12878" s="22" t="s">
        <v>10</v>
      </c>
      <c r="M12878" s="25">
        <v>458696.88</v>
      </c>
      <c r="N12878" s="27">
        <v>0.32500066220136925</v>
      </c>
    </row>
    <row r="12879" spans="1:14" hidden="1" outlineLevel="1" x14ac:dyDescent="0.2">
      <c r="A12879" s="23" t="str">
        <f>HYPERLINK("https://www.spark-marketing.ru/Card/Person/1300220", "МА ДОУ Д/С №5 ""ЗВЕЗДОЧКА""")</f>
        <v>МА ДОУ Д/С №5 "ЗВЕЗДОЧКА"</v>
      </c>
      <c r="B12879" s="24" t="s">
        <v>15211</v>
      </c>
      <c r="C12879" s="28" t="s">
        <v>52</v>
      </c>
      <c r="D12879" s="22" t="s">
        <v>15212</v>
      </c>
      <c r="E12879" s="22" t="s">
        <v>144</v>
      </c>
      <c r="F12879" s="23" t="str">
        <f>HYPERLINK("https://www.spark-marketing.ru/Card/Lot/68486369", "Охранные услуги ЧОП")</f>
        <v>Охранные услуги ЧОП</v>
      </c>
      <c r="G12879" s="22" t="s">
        <v>50</v>
      </c>
      <c r="H12879" s="22" t="s">
        <v>50</v>
      </c>
      <c r="I12879" s="26">
        <v>43529.693969907399</v>
      </c>
      <c r="J12879" s="23" t="str">
        <f>HYPERLINK("https://www.spark-marketing.ru/Card/Person/74474", "ООО ЧОО ""ОЛИМП""")</f>
        <v>ООО ЧОО "ОЛИМП"</v>
      </c>
      <c r="K12879" s="24" t="s">
        <v>15213</v>
      </c>
      <c r="L12879" s="28" t="s">
        <v>52</v>
      </c>
      <c r="M12879" s="25">
        <v>462094.64</v>
      </c>
      <c r="N12879" s="27">
        <v>0.32000065925825205</v>
      </c>
    </row>
    <row r="12880" spans="1:14" hidden="1" outlineLevel="1" x14ac:dyDescent="0.2">
      <c r="A12880" s="23" t="str">
        <f>HYPERLINK("https://www.spark-marketing.ru/Card/Person/1300220", "МА ДОУ Д/С №5 ""ЗВЕЗДОЧКА""")</f>
        <v>МА ДОУ Д/С №5 "ЗВЕЗДОЧКА"</v>
      </c>
      <c r="B12880" s="24" t="s">
        <v>15211</v>
      </c>
      <c r="C12880" s="28" t="s">
        <v>52</v>
      </c>
      <c r="D12880" s="22" t="s">
        <v>15212</v>
      </c>
      <c r="E12880" s="22" t="s">
        <v>144</v>
      </c>
      <c r="F12880" s="23" t="str">
        <f>HYPERLINK("https://www.spark-marketing.ru/Card/Lot/68486369", "Охранные услуги ЧОП")</f>
        <v>Охранные услуги ЧОП</v>
      </c>
      <c r="G12880" s="22" t="s">
        <v>50</v>
      </c>
      <c r="H12880" s="22" t="s">
        <v>50</v>
      </c>
      <c r="I12880" s="26">
        <v>43529.693969907399</v>
      </c>
      <c r="J12880" s="23" t="str">
        <f>HYPERLINK("https://www.spark-marketing.ru/Card/Person/61838", "ООО ЧОП ""АССГАРД""")</f>
        <v>ООО ЧОП "АССГАРД"</v>
      </c>
      <c r="K12880" s="24" t="s">
        <v>15214</v>
      </c>
      <c r="L12880" s="28" t="s">
        <v>52</v>
      </c>
      <c r="M12880" s="25">
        <v>492674.48</v>
      </c>
      <c r="N12880" s="27">
        <v>0.27500063277019726</v>
      </c>
    </row>
    <row r="12881" spans="1:14" x14ac:dyDescent="0.15">
      <c r="A12881" s="23" t="str">
        <f>HYPERLINK("https://www.spark-marketing.ru/Card/Person/154785", "МУ ""ЛИКМ""")</f>
        <v>МУ "ЛИКМ"</v>
      </c>
      <c r="B12881" s="24" t="s">
        <v>15215</v>
      </c>
      <c r="C12881" s="25">
        <v>48000</v>
      </c>
      <c r="D12881" s="22" t="s">
        <v>15216</v>
      </c>
      <c r="E12881" s="22" t="s">
        <v>183</v>
      </c>
      <c r="F12881" s="23" t="str">
        <f>HYPERLINK("https://www.spark-marketing.ru/Card/Lot/68534371", "Услуги по обслуживанию системы видеонаблюдения")</f>
        <v>Услуги по обслуживанию системы видеонаблюдения</v>
      </c>
      <c r="G12881" s="22" t="s">
        <v>50</v>
      </c>
      <c r="H12881" s="22" t="s">
        <v>15217</v>
      </c>
      <c r="I12881" s="26">
        <v>43529.6804050926</v>
      </c>
      <c r="J12881" s="28" t="s">
        <v>52</v>
      </c>
      <c r="K12881" s="28" t="s">
        <v>52</v>
      </c>
      <c r="L12881" s="28" t="s">
        <v>52</v>
      </c>
      <c r="M12881" s="28" t="s">
        <v>52</v>
      </c>
      <c r="N12881" s="28" t="s">
        <v>52</v>
      </c>
    </row>
    <row r="12882" spans="1:14" ht="12.75" x14ac:dyDescent="0.2">
      <c r="A12882" s="23" t="str">
        <f>HYPERLINK("https://www.spark-marketing.ru/Card/Person/289542", "ФГКУ ""УВО ВНГ РОССИИ ПО КЕМЕРОВСКОЙ ОБЛАСТИ""")</f>
        <v>ФГКУ "УВО ВНГ РОССИИ ПО КЕМЕРОВСКОЙ ОБЛАСТИ"</v>
      </c>
      <c r="B12882" s="24" t="s">
        <v>1760</v>
      </c>
      <c r="C12882" s="25">
        <v>227399.94</v>
      </c>
      <c r="D12882" s="22" t="s">
        <v>15218</v>
      </c>
      <c r="E12882" s="22" t="s">
        <v>591</v>
      </c>
      <c r="F12882" s="23" t="str">
        <f>HYPERLINK("https://www.spark-marketing.ru/Card/Lot/68480051", "Оказание услуг по размещению оборудования систем передачи извещений в целях организации охраны объектов, квартир и мест хранения имущества граждан")</f>
        <v>Оказание услуг по размещению оборудования систем передачи извещений в целях организации охраны объектов, квартир и мест хранения имущества граждан</v>
      </c>
      <c r="G12882" s="22" t="s">
        <v>367</v>
      </c>
      <c r="H12882" s="22" t="s">
        <v>15219</v>
      </c>
      <c r="I12882" s="26">
        <v>43529.689583333296</v>
      </c>
      <c r="J12882" s="23" t="str">
        <f>HYPERLINK("https://www.spark-marketing.ru/Card/Person/269711", "ПАО ""РУТЕЛЕКОМ""")</f>
        <v>ПАО "РУТЕЛЕКОМ"</v>
      </c>
      <c r="K12882" s="24" t="s">
        <v>15220</v>
      </c>
      <c r="L12882" s="22" t="s">
        <v>10</v>
      </c>
      <c r="M12882" s="25">
        <v>226800</v>
      </c>
      <c r="N12882" s="27">
        <v>2.6382592713085147E-3</v>
      </c>
    </row>
    <row r="12883" spans="1:14" x14ac:dyDescent="0.15">
      <c r="A12883" s="23" t="str">
        <f>HYPERLINK("https://www.spark-marketing.ru/Card/Person/29642", "ФГБОУ ВО ИВГМА МИНЗДРАВА РОССИИ")</f>
        <v>ФГБОУ ВО ИВГМА МИНЗДРАВА РОССИИ</v>
      </c>
      <c r="B12883" s="24" t="s">
        <v>15221</v>
      </c>
      <c r="C12883" s="25">
        <v>1958400</v>
      </c>
      <c r="D12883" s="22" t="s">
        <v>15222</v>
      </c>
      <c r="E12883" s="22" t="s">
        <v>68</v>
      </c>
      <c r="F12883" s="23" t="str">
        <f>HYPERLINK("https://www.spark-marketing.ru/Card/Lot/68487674", "Оказание услуг охранной организацией по осуществлению пропускного режима и поддержанию общественного порядка на объектах клиники ФГБОУ ВО ИвГМА Минздрава России")</f>
        <v>Оказание услуг охранной организацией по осуществлению пропускного режима и поддержанию общественного порядка на объектах клиники ФГБОУ ВО ИвГМА Минздрава России</v>
      </c>
      <c r="G12883" s="22" t="s">
        <v>340</v>
      </c>
      <c r="H12883" s="22" t="s">
        <v>340</v>
      </c>
      <c r="I12883" s="26">
        <v>43529.670833333301</v>
      </c>
      <c r="J12883" s="28" t="s">
        <v>52</v>
      </c>
      <c r="K12883" s="28" t="s">
        <v>52</v>
      </c>
      <c r="L12883" s="28" t="s">
        <v>52</v>
      </c>
      <c r="M12883" s="28" t="s">
        <v>52</v>
      </c>
      <c r="N12883" s="28" t="s">
        <v>52</v>
      </c>
    </row>
    <row r="12884" spans="1:14" ht="12.75" hidden="1" outlineLevel="1" x14ac:dyDescent="0.2">
      <c r="A12884" s="23" t="str">
        <f>HYPERLINK("https://www.spark-marketing.ru/Card/Person/29642", "ФГБОУ ВО ИВГМА МИНЗДРАВА РОССИИ")</f>
        <v>ФГБОУ ВО ИВГМА МИНЗДРАВА РОССИИ</v>
      </c>
      <c r="B12884" s="24" t="s">
        <v>15221</v>
      </c>
      <c r="C12884" s="25">
        <v>1958400</v>
      </c>
      <c r="D12884" s="22" t="s">
        <v>15222</v>
      </c>
      <c r="E12884" s="22" t="s">
        <v>68</v>
      </c>
      <c r="F12884" s="23" t="str">
        <f>HYPERLINK("https://www.spark-marketing.ru/Card/Lot/68487674", "Оказание услуг охранной организацией по осуществлению пропускного режима и поддержанию общественного порядка на объектах клиники ФГБОУ ВО ИвГМА Минздрава России")</f>
        <v>Оказание услуг охранной организацией по осуществлению пропускного режима и поддержанию общественного порядка на объектах клиники ФГБОУ ВО ИвГМА Минздрава России</v>
      </c>
      <c r="G12884" s="22" t="s">
        <v>340</v>
      </c>
      <c r="H12884" s="22" t="s">
        <v>340</v>
      </c>
      <c r="I12884" s="26">
        <v>43529.670833333301</v>
      </c>
      <c r="J12884" s="23" t="str">
        <f>HYPERLINK("https://www.spark-marketing.ru/Card/Person/346803", "ООО ""СБ КРАНЭКС""")</f>
        <v>ООО "СБ КРАНЭКС"</v>
      </c>
      <c r="K12884" s="24" t="s">
        <v>1972</v>
      </c>
      <c r="L12884" s="22" t="s">
        <v>10</v>
      </c>
      <c r="M12884" s="25">
        <v>1141897.8400000001</v>
      </c>
      <c r="N12884" s="27">
        <v>0.4169230800653595</v>
      </c>
    </row>
    <row r="12885" spans="1:14" hidden="1" outlineLevel="1" x14ac:dyDescent="0.2">
      <c r="A12885" s="23" t="str">
        <f>HYPERLINK("https://www.spark-marketing.ru/Card/Person/29642", "ФГБОУ ВО ИВГМА МИНЗДРАВА РОССИИ")</f>
        <v>ФГБОУ ВО ИВГМА МИНЗДРАВА РОССИИ</v>
      </c>
      <c r="B12885" s="24" t="s">
        <v>15221</v>
      </c>
      <c r="C12885" s="25">
        <v>1958400</v>
      </c>
      <c r="D12885" s="22" t="s">
        <v>15222</v>
      </c>
      <c r="E12885" s="22" t="s">
        <v>68</v>
      </c>
      <c r="F12885" s="23" t="str">
        <f>HYPERLINK("https://www.spark-marketing.ru/Card/Lot/68487674", "Оказание услуг охранной организацией по осуществлению пропускного режима и поддержанию общественного порядка на объектах клиники ФГБОУ ВО ИвГМА Минздрава России")</f>
        <v>Оказание услуг охранной организацией по осуществлению пропускного режима и поддержанию общественного порядка на объектах клиники ФГБОУ ВО ИвГМА Минздрава России</v>
      </c>
      <c r="G12885" s="22" t="s">
        <v>340</v>
      </c>
      <c r="H12885" s="22" t="s">
        <v>340</v>
      </c>
      <c r="I12885" s="26">
        <v>43529.670833333301</v>
      </c>
      <c r="J12885" s="23" t="str">
        <f>HYPERLINK("https://www.spark-marketing.ru/Card/Person/1182535", "ООО ОП ""СПЕЦ-ЧК""")</f>
        <v>ООО ОП "СПЕЦ-ЧК"</v>
      </c>
      <c r="K12885" s="24" t="s">
        <v>15223</v>
      </c>
      <c r="L12885" s="28" t="s">
        <v>52</v>
      </c>
      <c r="M12885" s="25">
        <v>1100296.33</v>
      </c>
      <c r="N12885" s="27">
        <v>0.43816568116830068</v>
      </c>
    </row>
    <row r="12886" spans="1:14" x14ac:dyDescent="0.15">
      <c r="A12886" s="23" t="str">
        <f>HYPERLINK("https://www.spark-marketing.ru/Card/Person/114321", "ГБУ КК ""ЦОП ПО ПРЫЖКАМ НА БАТУТЕ""")</f>
        <v>ГБУ КК "ЦОП ПО ПРЫЖКАМ НА БАТУТЕ"</v>
      </c>
      <c r="B12886" s="24" t="s">
        <v>12507</v>
      </c>
      <c r="C12886" s="25">
        <v>437870.16</v>
      </c>
      <c r="D12886" s="22" t="s">
        <v>15224</v>
      </c>
      <c r="E12886" s="22" t="s">
        <v>68</v>
      </c>
      <c r="F12886" s="23" t="str">
        <f>HYPERLINK("https://www.spark-marketing.ru/Card/Lot/68486718", "Оказание услуги по охране объекта заказчика")</f>
        <v>Оказание услуги по охране объекта заказчика</v>
      </c>
      <c r="G12886" s="22" t="s">
        <v>132</v>
      </c>
      <c r="H12886" s="22" t="s">
        <v>132</v>
      </c>
      <c r="I12886" s="26">
        <v>43529.654861111099</v>
      </c>
      <c r="J12886" s="28" t="s">
        <v>52</v>
      </c>
      <c r="K12886" s="28" t="s">
        <v>52</v>
      </c>
      <c r="L12886" s="28" t="s">
        <v>52</v>
      </c>
      <c r="M12886" s="28" t="s">
        <v>52</v>
      </c>
      <c r="N12886" s="28" t="s">
        <v>52</v>
      </c>
    </row>
    <row r="12887" spans="1:14" ht="12.75" hidden="1" outlineLevel="1" x14ac:dyDescent="0.2">
      <c r="A12887" s="23" t="str">
        <f>HYPERLINK("https://www.spark-marketing.ru/Card/Person/114321", "ГБУ КК ""ЦОП ПО ПРЫЖКАМ НА БАТУТЕ""")</f>
        <v>ГБУ КК "ЦОП ПО ПРЫЖКАМ НА БАТУТЕ"</v>
      </c>
      <c r="B12887" s="24" t="s">
        <v>12507</v>
      </c>
      <c r="C12887" s="25">
        <v>437870.16</v>
      </c>
      <c r="D12887" s="22" t="s">
        <v>15224</v>
      </c>
      <c r="E12887" s="22" t="s">
        <v>68</v>
      </c>
      <c r="F12887" s="23" t="str">
        <f>HYPERLINK("https://www.spark-marketing.ru/Card/Lot/68486718", "Оказание услуги по охране объекта заказчика")</f>
        <v>Оказание услуги по охране объекта заказчика</v>
      </c>
      <c r="G12887" s="22" t="s">
        <v>132</v>
      </c>
      <c r="H12887" s="22" t="s">
        <v>132</v>
      </c>
      <c r="I12887" s="26">
        <v>43529.654861111099</v>
      </c>
      <c r="J12887" s="23" t="str">
        <f>HYPERLINK("https://www.spark-marketing.ru/Card/Person/152942", "ООО ""ОП ""ЛИДЕР ЮГ""")</f>
        <v>ООО "ОП "ЛИДЕР ЮГ"</v>
      </c>
      <c r="K12887" s="24" t="s">
        <v>11638</v>
      </c>
      <c r="L12887" s="22" t="s">
        <v>10</v>
      </c>
      <c r="M12887" s="25">
        <v>210177.76</v>
      </c>
      <c r="N12887" s="27">
        <v>0.5199998099893357</v>
      </c>
    </row>
    <row r="12888" spans="1:14" hidden="1" outlineLevel="1" x14ac:dyDescent="0.2">
      <c r="A12888" s="23" t="str">
        <f>HYPERLINK("https://www.spark-marketing.ru/Card/Person/114321", "ГБУ КК ""ЦОП ПО ПРЫЖКАМ НА БАТУТЕ""")</f>
        <v>ГБУ КК "ЦОП ПО ПРЫЖКАМ НА БАТУТЕ"</v>
      </c>
      <c r="B12888" s="24" t="s">
        <v>12507</v>
      </c>
      <c r="C12888" s="25">
        <v>437870.16</v>
      </c>
      <c r="D12888" s="22" t="s">
        <v>15224</v>
      </c>
      <c r="E12888" s="22" t="s">
        <v>68</v>
      </c>
      <c r="F12888" s="23" t="str">
        <f>HYPERLINK("https://www.spark-marketing.ru/Card/Lot/68486718", "Оказание услуги по охране объекта заказчика")</f>
        <v>Оказание услуги по охране объекта заказчика</v>
      </c>
      <c r="G12888" s="22" t="s">
        <v>132</v>
      </c>
      <c r="H12888" s="22" t="s">
        <v>132</v>
      </c>
      <c r="I12888" s="26">
        <v>43529.654861111099</v>
      </c>
      <c r="J12888" s="23" t="str">
        <f>HYPERLINK("https://www.spark-marketing.ru/Card/Person/461410", "ООО ""ОСА ""СКОРПИОН""")</f>
        <v>ООО "ОСА "СКОРПИОН"</v>
      </c>
      <c r="K12888" s="24" t="s">
        <v>6843</v>
      </c>
      <c r="L12888" s="28" t="s">
        <v>52</v>
      </c>
      <c r="M12888" s="25">
        <v>212367.11</v>
      </c>
      <c r="N12888" s="27">
        <v>0.51499981181636123</v>
      </c>
    </row>
    <row r="12889" spans="1:14" x14ac:dyDescent="0.15">
      <c r="A12889" s="23" t="str">
        <f>HYPERLINK("https://www.spark-marketing.ru/Card/Person/29642", "ФГБОУ ВО ИВГМА МИНЗДРАВА РОССИИ")</f>
        <v>ФГБОУ ВО ИВГМА МИНЗДРАВА РОССИИ</v>
      </c>
      <c r="B12889" s="24" t="s">
        <v>15221</v>
      </c>
      <c r="C12889" s="25">
        <v>2279999.9700000002</v>
      </c>
      <c r="D12889" s="22" t="s">
        <v>15225</v>
      </c>
      <c r="E12889" s="22" t="s">
        <v>68</v>
      </c>
      <c r="F12889" s="23" t="str">
        <f>HYPERLINK("https://www.spark-marketing.ru/Card/Lot/68487521", "Оказание услуг охранной организацией по осуществлению пропускного режима и поддержанию общественного порядка в общежитиях и главном здании ФГБОУ ВО ИвГМА Минздрава России")</f>
        <v>Оказание услуг охранной организацией по осуществлению пропускного режима и поддержанию общественного порядка в общежитиях и главном здании ФГБОУ ВО ИвГМА Минздрава России</v>
      </c>
      <c r="G12889" s="22" t="s">
        <v>340</v>
      </c>
      <c r="H12889" s="22" t="s">
        <v>340</v>
      </c>
      <c r="I12889" s="26">
        <v>43529.657638888901</v>
      </c>
      <c r="J12889" s="28" t="s">
        <v>52</v>
      </c>
      <c r="K12889" s="28" t="s">
        <v>52</v>
      </c>
      <c r="L12889" s="28" t="s">
        <v>52</v>
      </c>
      <c r="M12889" s="28" t="s">
        <v>52</v>
      </c>
      <c r="N12889" s="28" t="s">
        <v>52</v>
      </c>
    </row>
    <row r="12890" spans="1:14" ht="12.75" hidden="1" outlineLevel="1" x14ac:dyDescent="0.2">
      <c r="A12890" s="23" t="str">
        <f>HYPERLINK("https://www.spark-marketing.ru/Card/Person/29642", "ФГБОУ ВО ИВГМА МИНЗДРАВА РОССИИ")</f>
        <v>ФГБОУ ВО ИВГМА МИНЗДРАВА РОССИИ</v>
      </c>
      <c r="B12890" s="24" t="s">
        <v>15221</v>
      </c>
      <c r="C12890" s="25">
        <v>2279999.9700000002</v>
      </c>
      <c r="D12890" s="22" t="s">
        <v>15225</v>
      </c>
      <c r="E12890" s="22" t="s">
        <v>68</v>
      </c>
      <c r="F12890" s="23" t="str">
        <f>HYPERLINK("https://www.spark-marketing.ru/Card/Lot/68487521", "Оказание услуг охранной организацией по осуществлению пропускного режима и поддержанию общественного порядка в общежитиях и главном здании ФГБОУ ВО ИвГМА Минздрава России")</f>
        <v>Оказание услуг охранной организацией по осуществлению пропускного режима и поддержанию общественного порядка в общежитиях и главном здании ФГБОУ ВО ИвГМА Минздрава России</v>
      </c>
      <c r="G12890" s="22" t="s">
        <v>340</v>
      </c>
      <c r="H12890" s="22" t="s">
        <v>340</v>
      </c>
      <c r="I12890" s="26">
        <v>43529.657638888901</v>
      </c>
      <c r="J12890" s="23" t="str">
        <f>HYPERLINK("https://www.spark-marketing.ru/Card/Person/579141", "ООО ЧОП ""БАРС-37""")</f>
        <v>ООО ЧОП "БАРС-37"</v>
      </c>
      <c r="K12890" s="24" t="s">
        <v>15226</v>
      </c>
      <c r="L12890" s="22" t="s">
        <v>10</v>
      </c>
      <c r="M12890" s="25">
        <v>1745481.61</v>
      </c>
      <c r="N12890" s="27">
        <v>0.23443788027769141</v>
      </c>
    </row>
    <row r="12891" spans="1:14" hidden="1" outlineLevel="1" x14ac:dyDescent="0.2">
      <c r="A12891" s="23" t="str">
        <f>HYPERLINK("https://www.spark-marketing.ru/Card/Person/29642", "ФГБОУ ВО ИВГМА МИНЗДРАВА РОССИИ")</f>
        <v>ФГБОУ ВО ИВГМА МИНЗДРАВА РОССИИ</v>
      </c>
      <c r="B12891" s="24" t="s">
        <v>15221</v>
      </c>
      <c r="C12891" s="25">
        <v>2279999.9700000002</v>
      </c>
      <c r="D12891" s="22" t="s">
        <v>15225</v>
      </c>
      <c r="E12891" s="22" t="s">
        <v>68</v>
      </c>
      <c r="F12891" s="23" t="str">
        <f>HYPERLINK("https://www.spark-marketing.ru/Card/Lot/68487521", "Оказание услуг охранной организацией по осуществлению пропускного режима и поддержанию общественного порядка в общежитиях и главном здании ФГБОУ ВО ИвГМА Минздрава России")</f>
        <v>Оказание услуг охранной организацией по осуществлению пропускного режима и поддержанию общественного порядка в общежитиях и главном здании ФГБОУ ВО ИвГМА Минздрава России</v>
      </c>
      <c r="G12891" s="22" t="s">
        <v>340</v>
      </c>
      <c r="H12891" s="22" t="s">
        <v>340</v>
      </c>
      <c r="I12891" s="26">
        <v>43529.657638888901</v>
      </c>
      <c r="J12891" s="23" t="str">
        <f>HYPERLINK("https://www.spark-marketing.ru/Card/Person/1182535", "ООО ОП ""СПЕЦ-ЧК""")</f>
        <v>ООО ОП "СПЕЦ-ЧК"</v>
      </c>
      <c r="K12891" s="24" t="s">
        <v>15223</v>
      </c>
      <c r="L12891" s="28" t="s">
        <v>52</v>
      </c>
      <c r="M12891" s="25">
        <v>1756881.61</v>
      </c>
      <c r="N12891" s="27">
        <v>0.22943788021190192</v>
      </c>
    </row>
    <row r="12892" spans="1:14" x14ac:dyDescent="0.15">
      <c r="A12892" s="23" t="s">
        <v>121</v>
      </c>
      <c r="B12892" s="28" t="s">
        <v>52</v>
      </c>
      <c r="C12892" s="25">
        <v>125010</v>
      </c>
      <c r="D12892" s="22" t="s">
        <v>15227</v>
      </c>
      <c r="E12892" s="22" t="s">
        <v>107</v>
      </c>
      <c r="F12892" s="23" t="str">
        <f t="shared" ref="F12892:F12901" si="673">HYPERLINK("https://www.spark-marketing.ru/Card/Lot/68485201", "Право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f>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892" s="22" t="s">
        <v>52</v>
      </c>
      <c r="H12892" s="22" t="s">
        <v>52</v>
      </c>
      <c r="I12892" s="26">
        <v>43529.6340277778</v>
      </c>
      <c r="J12892" s="28" t="s">
        <v>52</v>
      </c>
      <c r="K12892" s="28" t="s">
        <v>52</v>
      </c>
      <c r="L12892" s="28" t="s">
        <v>52</v>
      </c>
      <c r="M12892" s="28" t="s">
        <v>52</v>
      </c>
      <c r="N12892" s="28" t="s">
        <v>52</v>
      </c>
    </row>
    <row r="12893" spans="1:14" hidden="1" outlineLevel="1" x14ac:dyDescent="0.15">
      <c r="A12893" s="23" t="str">
        <f>HYPERLINK("https://www.spark-marketing.ru/Card/Person/148287", "МАДОУ ""ДЕТСКИЙ САД ОБЩЕРАЗВИВАЮЩЕГО ВИДА №49"" НМР РТ")</f>
        <v>МАДОУ "ДЕТСКИЙ САД ОБЩЕРАЗВИВАЮЩЕГО ВИДА №49" НМР РТ</v>
      </c>
      <c r="B12893" s="24" t="s">
        <v>15228</v>
      </c>
      <c r="C12893" s="25">
        <v>29070</v>
      </c>
      <c r="D12893" s="22" t="s">
        <v>15227</v>
      </c>
      <c r="E12893" s="22" t="s">
        <v>107</v>
      </c>
      <c r="F12893" s="23" t="str">
        <f t="shared" si="673"/>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893" s="22" t="s">
        <v>204</v>
      </c>
      <c r="H12893" s="22" t="s">
        <v>824</v>
      </c>
      <c r="I12893" s="26">
        <v>43529.6340277778</v>
      </c>
      <c r="J12893" s="28" t="s">
        <v>52</v>
      </c>
      <c r="K12893" s="28" t="s">
        <v>52</v>
      </c>
      <c r="L12893" s="28" t="s">
        <v>52</v>
      </c>
      <c r="M12893" s="28" t="s">
        <v>52</v>
      </c>
      <c r="N12893" s="28" t="s">
        <v>52</v>
      </c>
    </row>
    <row r="12894" spans="1:14" hidden="1" outlineLevel="1" x14ac:dyDescent="0.15">
      <c r="A12894" s="23" t="str">
        <f>HYPERLINK("https://www.spark-marketing.ru/Card/Person/152379", "МБДОУ ""ДЕТСКИЙ САД ОБЩЕРАЗВИВАЮЩЕГО ВИДА № 8"" НМР РТ")</f>
        <v>МБДОУ "ДЕТСКИЙ САД ОБЩЕРАЗВИВАЮЩЕГО ВИДА № 8" НМР РТ</v>
      </c>
      <c r="B12894" s="24" t="s">
        <v>15229</v>
      </c>
      <c r="C12894" s="25">
        <v>29070</v>
      </c>
      <c r="D12894" s="22" t="s">
        <v>15227</v>
      </c>
      <c r="E12894" s="22" t="s">
        <v>107</v>
      </c>
      <c r="F12894" s="23" t="str">
        <f t="shared" si="673"/>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894" s="22" t="s">
        <v>204</v>
      </c>
      <c r="H12894" s="22" t="s">
        <v>824</v>
      </c>
      <c r="I12894" s="26">
        <v>43529.6340277778</v>
      </c>
      <c r="J12894" s="28" t="s">
        <v>52</v>
      </c>
      <c r="K12894" s="28" t="s">
        <v>52</v>
      </c>
      <c r="L12894" s="28" t="s">
        <v>52</v>
      </c>
      <c r="M12894" s="28" t="s">
        <v>52</v>
      </c>
      <c r="N12894" s="28" t="s">
        <v>52</v>
      </c>
    </row>
    <row r="12895" spans="1:14" hidden="1" outlineLevel="1" x14ac:dyDescent="0.15">
      <c r="A12895" s="23" t="str">
        <f>HYPERLINK("https://www.spark-marketing.ru/Card/Person/152383", "МАДОУ ""ДЕТСКИЙ САД ОБЩЕРАЗВИВАЮЩЕГО ВИДА №44"" НМР РТ")</f>
        <v>МАДОУ "ДЕТСКИЙ САД ОБЩЕРАЗВИВАЮЩЕГО ВИДА №44" НМР РТ</v>
      </c>
      <c r="B12895" s="24" t="s">
        <v>15230</v>
      </c>
      <c r="C12895" s="25">
        <v>29700</v>
      </c>
      <c r="D12895" s="22" t="s">
        <v>15227</v>
      </c>
      <c r="E12895" s="22" t="s">
        <v>107</v>
      </c>
      <c r="F12895" s="23" t="str">
        <f t="shared" si="673"/>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895" s="22" t="s">
        <v>204</v>
      </c>
      <c r="H12895" s="22" t="s">
        <v>824</v>
      </c>
      <c r="I12895" s="26">
        <v>43529.6340277778</v>
      </c>
      <c r="J12895" s="28" t="s">
        <v>52</v>
      </c>
      <c r="K12895" s="28" t="s">
        <v>52</v>
      </c>
      <c r="L12895" s="28" t="s">
        <v>52</v>
      </c>
      <c r="M12895" s="28" t="s">
        <v>52</v>
      </c>
      <c r="N12895" s="28" t="s">
        <v>52</v>
      </c>
    </row>
    <row r="12896" spans="1:14" hidden="1" outlineLevel="1" x14ac:dyDescent="0.15">
      <c r="A12896" s="23" t="str">
        <f>HYPERLINK("https://www.spark-marketing.ru/Card/Person/152479", "МБДОУ ""ДЕТСКИЙ САД КОМБИНИРОВАННОГО ВИДА № 63"" НМР РТ")</f>
        <v>МБДОУ "ДЕТСКИЙ САД КОМБИНИРОВАННОГО ВИДА № 63" НМР РТ</v>
      </c>
      <c r="B12896" s="24" t="s">
        <v>15231</v>
      </c>
      <c r="C12896" s="25">
        <v>37170</v>
      </c>
      <c r="D12896" s="22" t="s">
        <v>15227</v>
      </c>
      <c r="E12896" s="22" t="s">
        <v>107</v>
      </c>
      <c r="F12896" s="23" t="str">
        <f t="shared" si="673"/>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896" s="22" t="s">
        <v>204</v>
      </c>
      <c r="H12896" s="22" t="s">
        <v>824</v>
      </c>
      <c r="I12896" s="26">
        <v>43529.6340277778</v>
      </c>
      <c r="J12896" s="28" t="s">
        <v>52</v>
      </c>
      <c r="K12896" s="28" t="s">
        <v>52</v>
      </c>
      <c r="L12896" s="28" t="s">
        <v>52</v>
      </c>
      <c r="M12896" s="28" t="s">
        <v>52</v>
      </c>
      <c r="N12896" s="28" t="s">
        <v>52</v>
      </c>
    </row>
    <row r="12897" spans="1:14" hidden="1" outlineLevel="1" x14ac:dyDescent="0.2">
      <c r="A12897" s="28" t="s">
        <v>52</v>
      </c>
      <c r="B12897" s="28" t="s">
        <v>52</v>
      </c>
      <c r="C12897" s="28" t="s">
        <v>52</v>
      </c>
      <c r="D12897" s="22" t="s">
        <v>15227</v>
      </c>
      <c r="E12897" s="22" t="s">
        <v>107</v>
      </c>
      <c r="F12897" s="23" t="str">
        <f t="shared" si="673"/>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897" s="22" t="s">
        <v>52</v>
      </c>
      <c r="H12897" s="22" t="s">
        <v>52</v>
      </c>
      <c r="I12897" s="26">
        <v>43529.6340277778</v>
      </c>
      <c r="J12897" s="23" t="str">
        <f>HYPERLINK("https://www.spark-marketing.ru/Card/Person/138713", "Хакимзянов Рустам Миннерафикович")</f>
        <v>Хакимзянов Рустам Миннерафикович</v>
      </c>
      <c r="K12897" s="24" t="s">
        <v>3470</v>
      </c>
      <c r="L12897" s="28" t="s">
        <v>52</v>
      </c>
      <c r="M12897" s="25">
        <v>11235</v>
      </c>
      <c r="N12897" s="27">
        <v>0.910127189824814</v>
      </c>
    </row>
    <row r="12898" spans="1:14" hidden="1" outlineLevel="1" x14ac:dyDescent="0.2">
      <c r="A12898" s="28" t="s">
        <v>52</v>
      </c>
      <c r="B12898" s="28" t="s">
        <v>52</v>
      </c>
      <c r="C12898" s="28" t="s">
        <v>52</v>
      </c>
      <c r="D12898" s="22" t="s">
        <v>15227</v>
      </c>
      <c r="E12898" s="22" t="s">
        <v>107</v>
      </c>
      <c r="F12898" s="23" t="str">
        <f t="shared" si="673"/>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898" s="22" t="s">
        <v>52</v>
      </c>
      <c r="H12898" s="22" t="s">
        <v>52</v>
      </c>
      <c r="I12898" s="26">
        <v>43529.6340277778</v>
      </c>
      <c r="J12898" s="23" t="str">
        <f>HYPERLINK("https://www.spark-marketing.ru/Card/Person/124260", "ООО ""АРГУС""")</f>
        <v>ООО "АРГУС"</v>
      </c>
      <c r="K12898" s="24" t="s">
        <v>9766</v>
      </c>
      <c r="L12898" s="28" t="s">
        <v>52</v>
      </c>
      <c r="M12898" s="25">
        <v>78130.3</v>
      </c>
      <c r="N12898" s="27">
        <v>0.37500759939204864</v>
      </c>
    </row>
    <row r="12899" spans="1:14" hidden="1" outlineLevel="1" x14ac:dyDescent="0.2">
      <c r="A12899" s="28" t="s">
        <v>52</v>
      </c>
      <c r="B12899" s="28" t="s">
        <v>52</v>
      </c>
      <c r="C12899" s="28" t="s">
        <v>52</v>
      </c>
      <c r="D12899" s="22" t="s">
        <v>15227</v>
      </c>
      <c r="E12899" s="22" t="s">
        <v>107</v>
      </c>
      <c r="F12899" s="23" t="str">
        <f t="shared" si="673"/>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899" s="22" t="s">
        <v>52</v>
      </c>
      <c r="H12899" s="22" t="s">
        <v>52</v>
      </c>
      <c r="I12899" s="26">
        <v>43529.6340277778</v>
      </c>
      <c r="J12899" s="23" t="str">
        <f>HYPERLINK("https://www.spark-marketing.ru/Card/Person/34725", "ООО ""КОМПЬЮСЕРВИС - НК""")</f>
        <v>ООО "КОМПЬЮСЕРВИС - НК"</v>
      </c>
      <c r="K12899" s="24" t="s">
        <v>3468</v>
      </c>
      <c r="L12899" s="22" t="s">
        <v>10</v>
      </c>
      <c r="M12899" s="25">
        <v>10609</v>
      </c>
      <c r="N12899" s="27">
        <v>0.91513478921686264</v>
      </c>
    </row>
    <row r="12900" spans="1:14" hidden="1" outlineLevel="1" x14ac:dyDescent="0.2">
      <c r="A12900" s="28" t="s">
        <v>52</v>
      </c>
      <c r="B12900" s="28" t="s">
        <v>52</v>
      </c>
      <c r="C12900" s="28" t="s">
        <v>52</v>
      </c>
      <c r="D12900" s="22" t="s">
        <v>15227</v>
      </c>
      <c r="E12900" s="22" t="s">
        <v>107</v>
      </c>
      <c r="F12900" s="23" t="str">
        <f t="shared" si="673"/>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900" s="22" t="s">
        <v>52</v>
      </c>
      <c r="H12900" s="22" t="s">
        <v>52</v>
      </c>
      <c r="I12900" s="26">
        <v>43529.6340277778</v>
      </c>
      <c r="J12900" s="23" t="str">
        <f>HYPERLINK("https://www.spark-marketing.ru/Card/Person/367317", "ООО ""ЕВРОСТИЛЬ - СЕРВИС""")</f>
        <v>ООО "ЕВРОСТИЛЬ - СЕРВИС"</v>
      </c>
      <c r="K12900" s="24" t="s">
        <v>10494</v>
      </c>
      <c r="L12900" s="28" t="s">
        <v>52</v>
      </c>
      <c r="M12900" s="25">
        <v>121883.8</v>
      </c>
      <c r="N12900" s="27">
        <v>2.5007599392048635E-2</v>
      </c>
    </row>
    <row r="12901" spans="1:14" hidden="1" outlineLevel="1" x14ac:dyDescent="0.2">
      <c r="A12901" s="28" t="s">
        <v>52</v>
      </c>
      <c r="B12901" s="28" t="s">
        <v>52</v>
      </c>
      <c r="C12901" s="28" t="s">
        <v>52</v>
      </c>
      <c r="D12901" s="22" t="s">
        <v>15227</v>
      </c>
      <c r="E12901" s="22" t="s">
        <v>107</v>
      </c>
      <c r="F12901" s="23" t="str">
        <f t="shared" si="673"/>
        <v>Право заключения муниципального контракта на оказание услуг по техническому обслуживанию системы видеонаблюдения на объектах ДОУ г. Нижнекамска (СМП и СОНО)</v>
      </c>
      <c r="G12901" s="22" t="s">
        <v>52</v>
      </c>
      <c r="H12901" s="22" t="s">
        <v>52</v>
      </c>
      <c r="I12901" s="26">
        <v>43529.6340277778</v>
      </c>
      <c r="J12901" s="23" t="str">
        <f>HYPERLINK("https://www.spark-marketing.ru/Card/Person/400993", "ООО ""РИТМ-ЗАЩИТА""")</f>
        <v>ООО "РИТМ-ЗАЩИТА"</v>
      </c>
      <c r="K12901" s="24" t="s">
        <v>10493</v>
      </c>
      <c r="L12901" s="28" t="s">
        <v>52</v>
      </c>
      <c r="M12901" s="25">
        <v>13112.95</v>
      </c>
      <c r="N12901" s="27">
        <v>0.89510479161667067</v>
      </c>
    </row>
    <row r="12902" spans="1:14" x14ac:dyDescent="0.15">
      <c r="A12902" s="23" t="str">
        <f>HYPERLINK("https://www.spark-marketing.ru/Card/Person/136062", "ОГКОУ ""КИНЕШЕМСКАЯ ШКОЛА-ИНТЕРНАТ""")</f>
        <v>ОГКОУ "КИНЕШЕМСКАЯ ШКОЛА-ИНТЕРНАТ"</v>
      </c>
      <c r="B12902" s="24" t="s">
        <v>15232</v>
      </c>
      <c r="C12902" s="25">
        <v>360000</v>
      </c>
      <c r="D12902" s="22" t="s">
        <v>15233</v>
      </c>
      <c r="E12902" s="22" t="s">
        <v>52</v>
      </c>
      <c r="F12902" s="23" t="str">
        <f>HYPERLINK("https://www.spark-marketing.ru/Card/Lot/68485984", "Оказание услуг физической охраны")</f>
        <v>Оказание услуг физической охраны</v>
      </c>
      <c r="G12902" s="22" t="s">
        <v>340</v>
      </c>
      <c r="H12902" s="22" t="s">
        <v>2755</v>
      </c>
      <c r="I12902" s="26">
        <v>43529.648611111101</v>
      </c>
      <c r="J12902" s="28" t="s">
        <v>52</v>
      </c>
      <c r="K12902" s="28" t="s">
        <v>52</v>
      </c>
      <c r="L12902" s="28" t="s">
        <v>52</v>
      </c>
      <c r="M12902" s="28" t="s">
        <v>52</v>
      </c>
      <c r="N12902" s="28" t="s">
        <v>52</v>
      </c>
    </row>
    <row r="12903" spans="1:14" hidden="1" outlineLevel="1" x14ac:dyDescent="0.2">
      <c r="A12903" s="23" t="str">
        <f>HYPERLINK("https://www.spark-marketing.ru/Card/Person/136062", "ОГКОУ ""КИНЕШЕМСКАЯ ШКОЛА-ИНТЕРНАТ""")</f>
        <v>ОГКОУ "КИНЕШЕМСКАЯ ШКОЛА-ИНТЕРНАТ"</v>
      </c>
      <c r="B12903" s="24" t="s">
        <v>15232</v>
      </c>
      <c r="C12903" s="25">
        <v>360000</v>
      </c>
      <c r="D12903" s="22" t="s">
        <v>15233</v>
      </c>
      <c r="E12903" s="22" t="s">
        <v>52</v>
      </c>
      <c r="F12903" s="23" t="str">
        <f>HYPERLINK("https://www.spark-marketing.ru/Card/Lot/68485984", "Оказание услуг физической охраны")</f>
        <v>Оказание услуг физической охраны</v>
      </c>
      <c r="G12903" s="22" t="s">
        <v>340</v>
      </c>
      <c r="H12903" s="22" t="s">
        <v>2755</v>
      </c>
      <c r="I12903" s="26">
        <v>43529.648611111101</v>
      </c>
      <c r="J12903" s="23" t="str">
        <f>HYPERLINK("https://www.spark-marketing.ru/Card/Person/288128", "ООО ОП ""МЕДВЕДЬ""")</f>
        <v>ООО ОП "МЕДВЕДЬ"</v>
      </c>
      <c r="K12903" s="24" t="s">
        <v>5495</v>
      </c>
      <c r="L12903" s="28" t="s">
        <v>52</v>
      </c>
      <c r="M12903" s="25">
        <v>360000</v>
      </c>
      <c r="N12903" s="27">
        <v>0</v>
      </c>
    </row>
    <row r="12904" spans="1:14" ht="12.75" hidden="1" outlineLevel="1" x14ac:dyDescent="0.2">
      <c r="A12904" s="23" t="str">
        <f>HYPERLINK("https://www.spark-marketing.ru/Card/Person/136062", "ОГКОУ ""КИНЕШЕМСКАЯ ШКОЛА-ИНТЕРНАТ""")</f>
        <v>ОГКОУ "КИНЕШЕМСКАЯ ШКОЛА-ИНТЕРНАТ"</v>
      </c>
      <c r="B12904" s="24" t="s">
        <v>15232</v>
      </c>
      <c r="C12904" s="25">
        <v>360000</v>
      </c>
      <c r="D12904" s="22" t="s">
        <v>15233</v>
      </c>
      <c r="E12904" s="22" t="s">
        <v>52</v>
      </c>
      <c r="F12904" s="23" t="str">
        <f>HYPERLINK("https://www.spark-marketing.ru/Card/Lot/68485984", "Оказание услуг физической охраны")</f>
        <v>Оказание услуг физической охраны</v>
      </c>
      <c r="G12904" s="22" t="s">
        <v>340</v>
      </c>
      <c r="H12904" s="22" t="s">
        <v>2755</v>
      </c>
      <c r="I12904" s="26">
        <v>43529.648611111101</v>
      </c>
      <c r="J12904" s="23" t="str">
        <f>HYPERLINK("https://www.spark-marketing.ru/Card/Person/37310", "ООО ""ОХРАННОЕ АГЕНТСТВО ""КРИСТАЛЛ""")</f>
        <v>ООО "ОХРАННОЕ АГЕНТСТВО "КРИСТАЛЛ"</v>
      </c>
      <c r="K12904" s="24" t="s">
        <v>6378</v>
      </c>
      <c r="L12904" s="22" t="s">
        <v>10</v>
      </c>
      <c r="M12904" s="25">
        <v>348000</v>
      </c>
      <c r="N12904" s="27">
        <v>3.3333333333333333E-2</v>
      </c>
    </row>
    <row r="12905" spans="1:14" hidden="1" outlineLevel="1" x14ac:dyDescent="0.2">
      <c r="A12905" s="23" t="str">
        <f>HYPERLINK("https://www.spark-marketing.ru/Card/Person/136062", "ОГКОУ ""КИНЕШЕМСКАЯ ШКОЛА-ИНТЕРНАТ""")</f>
        <v>ОГКОУ "КИНЕШЕМСКАЯ ШКОЛА-ИНТЕРНАТ"</v>
      </c>
      <c r="B12905" s="24" t="s">
        <v>15232</v>
      </c>
      <c r="C12905" s="25">
        <v>360000</v>
      </c>
      <c r="D12905" s="22" t="s">
        <v>15233</v>
      </c>
      <c r="E12905" s="22" t="s">
        <v>52</v>
      </c>
      <c r="F12905" s="23" t="str">
        <f>HYPERLINK("https://www.spark-marketing.ru/Card/Lot/68485984", "Оказание услуг физической охраны")</f>
        <v>Оказание услуг физической охраны</v>
      </c>
      <c r="G12905" s="22" t="s">
        <v>340</v>
      </c>
      <c r="H12905" s="22" t="s">
        <v>2755</v>
      </c>
      <c r="I12905" s="26">
        <v>43529.648611111101</v>
      </c>
      <c r="J12905" s="23" t="str">
        <f>HYPERLINK("https://www.spark-marketing.ru/Card/Person/310040", "ООО ""ВЕТЕРАН-2000-СБ""")</f>
        <v>ООО "ВЕТЕРАН-2000-СБ"</v>
      </c>
      <c r="K12905" s="24" t="s">
        <v>5496</v>
      </c>
      <c r="L12905" s="28" t="s">
        <v>52</v>
      </c>
      <c r="M12905" s="25">
        <v>360000</v>
      </c>
      <c r="N12905" s="27">
        <v>0</v>
      </c>
    </row>
    <row r="12906" spans="1:14" ht="12.75" x14ac:dyDescent="0.2">
      <c r="A12906" s="23" t="str">
        <f>HYPERLINK("https://www.spark-marketing.ru/Card/Person/2097942", "АО ""КОНЦЕРН РОСЭНЕРГОАТОМ""")</f>
        <v>АО "КОНЦЕРН РОСЭНЕРГОАТОМ"</v>
      </c>
      <c r="B12906" s="24" t="s">
        <v>211</v>
      </c>
      <c r="C12906" s="25">
        <v>5940000</v>
      </c>
      <c r="D12906" s="22" t="s">
        <v>15234</v>
      </c>
      <c r="E12906" s="22" t="s">
        <v>2777</v>
      </c>
      <c r="F12906" s="23" t="str">
        <f>HYPERLINK("https://www.spark-marketing.ru/Card/Lot/68482111", "Право заключения договора на Оказание услуг по техническому обслуживанию автоматизированной системы ""Система управления доступом и охранной сигнализации ""Фарватер-Д""")</f>
        <v>Право заключения договора на Оказание услуг по техническому обслуживанию автоматизированной системы "Система управления доступом и охранной сигнализации "Фарватер-Д"</v>
      </c>
      <c r="G12906" s="22" t="s">
        <v>55</v>
      </c>
      <c r="H12906" s="22" t="s">
        <v>55</v>
      </c>
      <c r="I12906" s="26">
        <v>43529.641666666699</v>
      </c>
      <c r="J12906" s="23" t="str">
        <f>HYPERLINK("https://www.spark-marketing.ru/Card/Person/47650", "ЗАО ""КОМПАНИЯ БЕЗОПАСНОСТЬ""")</f>
        <v>ЗАО "КОМПАНИЯ БЕЗОПАСНОСТЬ"</v>
      </c>
      <c r="K12906" s="24" t="s">
        <v>15235</v>
      </c>
      <c r="L12906" s="22" t="s">
        <v>10</v>
      </c>
      <c r="M12906" s="25">
        <v>5933822.4000000004</v>
      </c>
      <c r="N12906" s="27">
        <v>1.0399999999999999E-3</v>
      </c>
    </row>
    <row r="12907" spans="1:14" x14ac:dyDescent="0.15">
      <c r="A12907" s="23" t="str">
        <f>HYPERLINK("https://www.spark-marketing.ru/Card/Person/140145", "МЕЖМУНИЦИПАЛЬНЫЙ ОТДЕЛ МВД РОССИИ ""КУНГУРСКИЙ""")</f>
        <v>МЕЖМУНИЦИПАЛЬНЫЙ ОТДЕЛ МВД РОССИИ "КУНГУРСКИЙ"</v>
      </c>
      <c r="B12907" s="24" t="s">
        <v>15236</v>
      </c>
      <c r="C12907" s="25">
        <v>2016</v>
      </c>
      <c r="D12907" s="22" t="s">
        <v>15237</v>
      </c>
      <c r="E12907" s="22" t="s">
        <v>68</v>
      </c>
      <c r="F12907" s="23" t="str">
        <f>HYPERLINK("https://www.spark-marketing.ru/Card/Lot/68480394", "Оказание услуг охраны(Березовка)")</f>
        <v>Оказание услуг охраны(Березовка)</v>
      </c>
      <c r="G12907" s="22" t="s">
        <v>391</v>
      </c>
      <c r="H12907" s="22" t="s">
        <v>8198</v>
      </c>
      <c r="I12907" s="26">
        <v>43529.647916666698</v>
      </c>
      <c r="J12907" s="28" t="s">
        <v>52</v>
      </c>
      <c r="K12907" s="28" t="s">
        <v>52</v>
      </c>
      <c r="L12907" s="28" t="s">
        <v>52</v>
      </c>
      <c r="M12907" s="28" t="s">
        <v>52</v>
      </c>
      <c r="N12907" s="28" t="s">
        <v>52</v>
      </c>
    </row>
    <row r="12908" spans="1:14" x14ac:dyDescent="0.15">
      <c r="A12908" s="23" t="str">
        <f>HYPERLINK("https://www.spark-marketing.ru/Card/Person/16469", "ГБУЗ СО ""ПТД""")</f>
        <v>ГБУЗ СО "ПТД"</v>
      </c>
      <c r="B12908" s="24" t="s">
        <v>14854</v>
      </c>
      <c r="C12908" s="25">
        <v>38500</v>
      </c>
      <c r="D12908" s="22" t="s">
        <v>15238</v>
      </c>
      <c r="E12908" s="22" t="s">
        <v>68</v>
      </c>
      <c r="F12908" s="23" t="str">
        <f>HYPERLINK("https://www.spark-marketing.ru/Card/Lot/68482133", "Оказание услуг по охране объекта для ГБУЗ СО «ПТД» по адресу г.Полевской , ул. К. Маркса 23 в 2019г.")</f>
        <v>Оказание услуг по охране объекта для ГБУЗ СО «ПТД» по адресу г.Полевской , ул. К. Маркса 23 в 2019г.</v>
      </c>
      <c r="G12908" s="22" t="s">
        <v>72</v>
      </c>
      <c r="H12908" s="22" t="s">
        <v>2519</v>
      </c>
      <c r="I12908" s="26">
        <v>43529.625</v>
      </c>
      <c r="J12908" s="28" t="s">
        <v>52</v>
      </c>
      <c r="K12908" s="28" t="s">
        <v>52</v>
      </c>
      <c r="L12908" s="28" t="s">
        <v>52</v>
      </c>
      <c r="M12908" s="28" t="s">
        <v>52</v>
      </c>
      <c r="N12908" s="28" t="s">
        <v>52</v>
      </c>
    </row>
    <row r="12909" spans="1:14" ht="12.75" hidden="1" outlineLevel="1" x14ac:dyDescent="0.2">
      <c r="A12909" s="23" t="str">
        <f>HYPERLINK("https://www.spark-marketing.ru/Card/Person/16469", "ГБУЗ СО ""ПТД""")</f>
        <v>ГБУЗ СО "ПТД"</v>
      </c>
      <c r="B12909" s="24" t="s">
        <v>14854</v>
      </c>
      <c r="C12909" s="25">
        <v>38500</v>
      </c>
      <c r="D12909" s="22" t="s">
        <v>15238</v>
      </c>
      <c r="E12909" s="22" t="s">
        <v>68</v>
      </c>
      <c r="F12909" s="23" t="str">
        <f>HYPERLINK("https://www.spark-marketing.ru/Card/Lot/68482133", "Оказание услуг по охране объекта для ГБУЗ СО «ПТД» по адресу г.Полевской , ул. К. Маркса 23 в 2019г.")</f>
        <v>Оказание услуг по охране объекта для ГБУЗ СО «ПТД» по адресу г.Полевской , ул. К. Маркса 23 в 2019г.</v>
      </c>
      <c r="G12909" s="22" t="s">
        <v>72</v>
      </c>
      <c r="H12909" s="22" t="s">
        <v>2519</v>
      </c>
      <c r="I12909" s="26">
        <v>43529.625</v>
      </c>
      <c r="J12909" s="23" t="str">
        <f>HYPERLINK("https://www.spark-marketing.ru/Card/Person/90143", "ООО ЧОП ""АКБ ""ЩИТ И МЕЧ""")</f>
        <v>ООО ЧОП "АКБ "ЩИТ И МЕЧ"</v>
      </c>
      <c r="K12909" s="24" t="s">
        <v>15239</v>
      </c>
      <c r="L12909" s="22" t="s">
        <v>10</v>
      </c>
      <c r="M12909" s="25">
        <v>35420</v>
      </c>
      <c r="N12909" s="27">
        <v>0.08</v>
      </c>
    </row>
    <row r="12910" spans="1:14" hidden="1" outlineLevel="1" x14ac:dyDescent="0.2">
      <c r="A12910" s="23" t="str">
        <f>HYPERLINK("https://www.spark-marketing.ru/Card/Person/16469", "ГБУЗ СО ""ПТД""")</f>
        <v>ГБУЗ СО "ПТД"</v>
      </c>
      <c r="B12910" s="24" t="s">
        <v>14854</v>
      </c>
      <c r="C12910" s="25">
        <v>38500</v>
      </c>
      <c r="D12910" s="22" t="s">
        <v>15238</v>
      </c>
      <c r="E12910" s="22" t="s">
        <v>68</v>
      </c>
      <c r="F12910" s="23" t="str">
        <f>HYPERLINK("https://www.spark-marketing.ru/Card/Lot/68482133", "Оказание услуг по охране объекта для ГБУЗ СО «ПТД» по адресу г.Полевской , ул. К. Маркса 23 в 2019г.")</f>
        <v>Оказание услуг по охране объекта для ГБУЗ СО «ПТД» по адресу г.Полевской , ул. К. Маркса 23 в 2019г.</v>
      </c>
      <c r="G12910" s="22" t="s">
        <v>72</v>
      </c>
      <c r="H12910" s="22" t="s">
        <v>2519</v>
      </c>
      <c r="I12910" s="26">
        <v>43529.625</v>
      </c>
      <c r="J12910" s="23" t="str">
        <f>HYPERLINK("https://www.spark-marketing.ru/Card/Person/808361", "ООО ЧОО ""ЛАНЦЕЛОТ""")</f>
        <v>ООО ЧОО "ЛАНЦЕЛОТ"</v>
      </c>
      <c r="K12910" s="24" t="s">
        <v>2338</v>
      </c>
      <c r="L12910" s="28" t="s">
        <v>52</v>
      </c>
      <c r="M12910" s="25">
        <v>37345</v>
      </c>
      <c r="N12910" s="27">
        <v>0.03</v>
      </c>
    </row>
    <row r="12911" spans="1:14" x14ac:dyDescent="0.15">
      <c r="A12911" s="23" t="str">
        <f>HYPERLINK("https://www.spark-marketing.ru/Card/Person/61942", "ГБПОУ РО ""РБМК""")</f>
        <v>ГБПОУ РО "РБМК"</v>
      </c>
      <c r="B12911" s="24" t="s">
        <v>7721</v>
      </c>
      <c r="C12911" s="25">
        <v>198430.21</v>
      </c>
      <c r="D12911" s="22" t="s">
        <v>15240</v>
      </c>
      <c r="E12911" s="22" t="s">
        <v>1261</v>
      </c>
      <c r="F12911" s="23" t="str">
        <f>HYPERLINK("https://www.spark-marketing.ru/Card/Lot/68480783", "Выполнение комплекса работ по монтажу и пусконаладочным работам системы контроля доступа в помещение ГБПОУ РО ""РБМК"" по адресу: г.Ростов-на-Дону ул.14-я линия 63 по антитеррористическим мероприятиям в рамках реализации ГПРО ""Обеспечение общественн...")</f>
        <v>Выполнение комплекса работ по монтажу и пусконаладочным работам системы контроля доступа в помещение ГБПОУ РО "РБМК" по адресу: г.Ростов-на-Дону ул.14-я линия 63 по антитеррористическим мероприятиям в рамках реализации ГПРО "Обеспечение общественн...</v>
      </c>
      <c r="G12911" s="22" t="s">
        <v>402</v>
      </c>
      <c r="H12911" s="22" t="s">
        <v>403</v>
      </c>
      <c r="I12911" s="26">
        <v>43529.620833333298</v>
      </c>
      <c r="J12911" s="28" t="s">
        <v>52</v>
      </c>
      <c r="K12911" s="28" t="s">
        <v>52</v>
      </c>
      <c r="L12911" s="28" t="s">
        <v>52</v>
      </c>
      <c r="M12911" s="28" t="s">
        <v>52</v>
      </c>
      <c r="N12911" s="28" t="s">
        <v>52</v>
      </c>
    </row>
    <row r="12912" spans="1:14" x14ac:dyDescent="0.15">
      <c r="A12912" s="23" t="str">
        <f>HYPERLINK("https://www.spark-marketing.ru/Card/Person/61942", "ГБПОУ РО ""РБМК""")</f>
        <v>ГБПОУ РО "РБМК"</v>
      </c>
      <c r="B12912" s="24" t="s">
        <v>7721</v>
      </c>
      <c r="C12912" s="25">
        <v>195207.26</v>
      </c>
      <c r="D12912" s="22" t="s">
        <v>15241</v>
      </c>
      <c r="E12912" s="22" t="s">
        <v>1261</v>
      </c>
      <c r="F12912" s="23" t="str">
        <f>HYPERLINK("https://www.spark-marketing.ru/Card/Lot/68480687", "Выполнение комплекса работ по монтажу и пусконаладочным работам системы контроля доступа в помещение ГБПОУ РО ""РБМК"" по адресу: г.Ростов-на-Дону ул. Тракторная 50а по антитеррористическим мероприятиям в рамках реализации ГПРО ""Обеспечение обществе...")</f>
        <v>Выполнение комплекса работ по монтажу и пусконаладочным работам системы контроля доступа в помещение ГБПОУ РО "РБМК" по адресу: г.Ростов-на-Дону ул. Тракторная 50а по антитеррористическим мероприятиям в рамках реализации ГПРО "Обеспечение обществе...</v>
      </c>
      <c r="G12912" s="22" t="s">
        <v>402</v>
      </c>
      <c r="H12912" s="22" t="s">
        <v>403</v>
      </c>
      <c r="I12912" s="26">
        <v>43529.623611111099</v>
      </c>
      <c r="J12912" s="28" t="s">
        <v>52</v>
      </c>
      <c r="K12912" s="28" t="s">
        <v>52</v>
      </c>
      <c r="L12912" s="28" t="s">
        <v>52</v>
      </c>
      <c r="M12912" s="28" t="s">
        <v>52</v>
      </c>
      <c r="N12912" s="28" t="s">
        <v>52</v>
      </c>
    </row>
    <row r="12913" spans="1:14" x14ac:dyDescent="0.15">
      <c r="A12913" s="23" t="str">
        <f>HYPERLINK("https://www.spark-marketing.ru/Card/Person/61942", "ГБПОУ РО ""РБМК""")</f>
        <v>ГБПОУ РО "РБМК"</v>
      </c>
      <c r="B12913" s="24" t="s">
        <v>7721</v>
      </c>
      <c r="C12913" s="25">
        <v>195461.82</v>
      </c>
      <c r="D12913" s="22" t="s">
        <v>15242</v>
      </c>
      <c r="E12913" s="22" t="s">
        <v>1261</v>
      </c>
      <c r="F12913" s="23" t="str">
        <f>HYPERLINK("https://www.spark-marketing.ru/Card/Lot/68480774", "Выполнение комплекса работ по монтажу и пусконаладочным работам системы контроля доступа в помещение ГБПОУ РО ""РБМК"" по адресу: г.Ростов-на-Дону ул. Пушкинская 173б по антитеррористическим мероприятиям в рамках реализации ГПРО ""Обеспечение обществ...")</f>
        <v>Выполнение комплекса работ по монтажу и пусконаладочным работам системы контроля доступа в помещение ГБПОУ РО "РБМК" по адресу: г.Ростов-на-Дону ул. Пушкинская 173б по антитеррористическим мероприятиям в рамках реализации ГПРО "Обеспечение обществ...</v>
      </c>
      <c r="G12913" s="22" t="s">
        <v>402</v>
      </c>
      <c r="H12913" s="22" t="s">
        <v>403</v>
      </c>
      <c r="I12913" s="26">
        <v>43529.619444444397</v>
      </c>
      <c r="J12913" s="28" t="s">
        <v>52</v>
      </c>
      <c r="K12913" s="28" t="s">
        <v>52</v>
      </c>
      <c r="L12913" s="28" t="s">
        <v>52</v>
      </c>
      <c r="M12913" s="28" t="s">
        <v>52</v>
      </c>
      <c r="N12913" s="28" t="s">
        <v>52</v>
      </c>
    </row>
    <row r="12914" spans="1:14" x14ac:dyDescent="0.15">
      <c r="A12914" s="23" t="str">
        <f>HYPERLINK("https://www.spark-marketing.ru/Card/Person/133460", "ГБУЗ НСО ""КАРГАТСКАЯ ЦЕНТРАЛЬНАЯ РАЙОННАЯ БОЛЬНИЦА""")</f>
        <v>ГБУЗ НСО "КАРГАТСКАЯ ЦЕНТРАЛЬНАЯ РАЙОННАЯ БОЛЬНИЦА"</v>
      </c>
      <c r="B12914" s="24" t="s">
        <v>15243</v>
      </c>
      <c r="C12914" s="25">
        <v>55500.03</v>
      </c>
      <c r="D12914" s="22" t="s">
        <v>15244</v>
      </c>
      <c r="E12914" s="22" t="s">
        <v>68</v>
      </c>
      <c r="F12914" s="23" t="str">
        <f>HYPERLINK("https://www.spark-marketing.ru/Card/Lot/68472009", "экстренный вызов группы быстрого реагирования")</f>
        <v>экстренный вызов группы быстрого реагирования</v>
      </c>
      <c r="G12914" s="22" t="s">
        <v>209</v>
      </c>
      <c r="H12914" s="22" t="s">
        <v>15245</v>
      </c>
      <c r="I12914" s="26">
        <v>43529.586805555598</v>
      </c>
      <c r="J12914" s="28" t="s">
        <v>52</v>
      </c>
      <c r="K12914" s="28" t="s">
        <v>52</v>
      </c>
      <c r="L12914" s="28" t="s">
        <v>52</v>
      </c>
      <c r="M12914" s="28" t="s">
        <v>52</v>
      </c>
      <c r="N12914" s="28" t="s">
        <v>52</v>
      </c>
    </row>
    <row r="12915" spans="1:14" ht="12.75" hidden="1" outlineLevel="1" x14ac:dyDescent="0.2">
      <c r="A12915" s="23" t="str">
        <f>HYPERLINK("https://www.spark-marketing.ru/Card/Person/133460", "ГБУЗ НСО ""КАРГАТСКАЯ ЦЕНТРАЛЬНАЯ РАЙОННАЯ БОЛЬНИЦА""")</f>
        <v>ГБУЗ НСО "КАРГАТСКАЯ ЦЕНТРАЛЬНАЯ РАЙОННАЯ БОЛЬНИЦА"</v>
      </c>
      <c r="B12915" s="24" t="s">
        <v>15243</v>
      </c>
      <c r="C12915" s="25">
        <v>55500.03</v>
      </c>
      <c r="D12915" s="22" t="s">
        <v>15244</v>
      </c>
      <c r="E12915" s="22" t="s">
        <v>68</v>
      </c>
      <c r="F12915" s="23" t="str">
        <f>HYPERLINK("https://www.spark-marketing.ru/Card/Lot/68472009", "экстренный вызов группы быстрого реагирования")</f>
        <v>экстренный вызов группы быстрого реагирования</v>
      </c>
      <c r="G12915" s="22" t="s">
        <v>209</v>
      </c>
      <c r="H12915" s="22" t="s">
        <v>15245</v>
      </c>
      <c r="I12915" s="26">
        <v>43529.586805555598</v>
      </c>
      <c r="J12915" s="23" t="str">
        <f>HYPERLINK("https://www.spark-marketing.ru/Card/Person/10487", "ФГУП ""ОХРАНА"" РОСГВАРДИИ")</f>
        <v>ФГУП "ОХРАНА" РОСГВАРДИИ</v>
      </c>
      <c r="K12915" s="24" t="s">
        <v>779</v>
      </c>
      <c r="L12915" s="22" t="s">
        <v>10</v>
      </c>
      <c r="M12915" s="25">
        <v>8878.9500000000007</v>
      </c>
      <c r="N12915" s="27">
        <v>0.84001900539513219</v>
      </c>
    </row>
    <row r="12916" spans="1:14" hidden="1" outlineLevel="1" x14ac:dyDescent="0.2">
      <c r="A12916" s="23" t="str">
        <f>HYPERLINK("https://www.spark-marketing.ru/Card/Person/133460", "ГБУЗ НСО ""КАРГАТСКАЯ ЦЕНТРАЛЬНАЯ РАЙОННАЯ БОЛЬНИЦА""")</f>
        <v>ГБУЗ НСО "КАРГАТСКАЯ ЦЕНТРАЛЬНАЯ РАЙОННАЯ БОЛЬНИЦА"</v>
      </c>
      <c r="B12916" s="24" t="s">
        <v>15243</v>
      </c>
      <c r="C12916" s="25">
        <v>55500.03</v>
      </c>
      <c r="D12916" s="22" t="s">
        <v>15244</v>
      </c>
      <c r="E12916" s="22" t="s">
        <v>68</v>
      </c>
      <c r="F12916" s="23" t="str">
        <f>HYPERLINK("https://www.spark-marketing.ru/Card/Lot/68472009", "экстренный вызов группы быстрого реагирования")</f>
        <v>экстренный вызов группы быстрого реагирования</v>
      </c>
      <c r="G12916" s="22" t="s">
        <v>209</v>
      </c>
      <c r="H12916" s="22" t="s">
        <v>15245</v>
      </c>
      <c r="I12916" s="26">
        <v>43529.586805555598</v>
      </c>
      <c r="J12916" s="23" t="str">
        <f>HYPERLINK("https://www.spark-marketing.ru/Card/Person/722617", "ООО ЧОО ""ГБС""")</f>
        <v>ООО ЧОО "ГБС"</v>
      </c>
      <c r="K12916" s="24" t="s">
        <v>15246</v>
      </c>
      <c r="L12916" s="28" t="s">
        <v>52</v>
      </c>
      <c r="M12916" s="25">
        <v>9156.4599999999991</v>
      </c>
      <c r="N12916" s="27">
        <v>0.83501882791775073</v>
      </c>
    </row>
    <row r="12917" spans="1:14" x14ac:dyDescent="0.2">
      <c r="A12917" s="23" t="str">
        <f>HYPERLINK("https://www.spark-marketing.ru/Card/Person/4368395", "ОАО "" ВЛАДМОРРЫБПОРТ""")</f>
        <v>ОАО " ВЛАДМОРРЫБПОРТ"</v>
      </c>
      <c r="B12917" s="24" t="s">
        <v>15247</v>
      </c>
      <c r="C12917" s="25">
        <v>1800000</v>
      </c>
      <c r="D12917" s="22" t="s">
        <v>15248</v>
      </c>
      <c r="E12917" s="22" t="s">
        <v>1923</v>
      </c>
      <c r="F12917" s="23" t="str">
        <f>HYPERLINK("https://www.spark-marketing.ru/Card/Lot/68460668", "Выполнение работ для ОАО «Владморрыбпорт» по оказанию услуг по подготовке к сертификации технических средств обеспечения транспортной безопасности необходимой в соответствии с требованиями Федерального Закона РФ от 09.02.2007г. № 16- ФЗ «О транспортн...")</f>
        <v>Выполнение работ для ОАО «Владморрыбпорт» по оказанию услуг по подготовке к сертификации технических средств обеспечения транспортной безопасности необходимой в соответствии с требованиями Федерального Закона РФ от 09.02.2007г. № 16- ФЗ «О транспортн...</v>
      </c>
      <c r="G12917" s="22" t="s">
        <v>409</v>
      </c>
      <c r="H12917" s="22" t="s">
        <v>409</v>
      </c>
      <c r="I12917" s="26">
        <v>43529.563194444403</v>
      </c>
      <c r="J12917" s="23" t="str">
        <f>HYPERLINK("https://www.spark-marketing.ru/Card/Person/4442075", "ООО ""ВОДНЫЙ ЭКСПЕРТ""")</f>
        <v>ООО "ВОДНЫЙ ЭКСПЕРТ"</v>
      </c>
      <c r="K12917" s="24" t="s">
        <v>10961</v>
      </c>
      <c r="L12917" s="28" t="s">
        <v>52</v>
      </c>
      <c r="M12917" s="25">
        <v>1800000</v>
      </c>
      <c r="N12917" s="27">
        <v>0</v>
      </c>
    </row>
    <row r="12918" spans="1:14" x14ac:dyDescent="0.15">
      <c r="A12918" s="23" t="str">
        <f>HYPERLINK("https://www.spark-marketing.ru/Card/Person/4352437", "МБОУДО ""ДОЛ ""БЕРЕЗКА"" Г. ЧЕБОКСАРЫ")</f>
        <v>МБОУДО "ДОЛ "БЕРЕЗКА" Г. ЧЕБОКСАРЫ</v>
      </c>
      <c r="B12918" s="24" t="s">
        <v>10767</v>
      </c>
      <c r="C12918" s="25">
        <v>209220</v>
      </c>
      <c r="D12918" s="22" t="s">
        <v>15249</v>
      </c>
      <c r="E12918" s="22" t="s">
        <v>5799</v>
      </c>
      <c r="F12918" s="23" t="str">
        <f>HYPERLINK("https://www.spark-marketing.ru/Card/Lot/68472460", "Оказание услуг по охране объекта МБОУДО ""ДОЛ""Березка"" г. Чебоксары")</f>
        <v>Оказание услуг по охране объекта МБОУДО "ДОЛ"Березка" г. Чебоксары</v>
      </c>
      <c r="G12918" s="22" t="s">
        <v>1137</v>
      </c>
      <c r="H12918" s="22" t="s">
        <v>1138</v>
      </c>
      <c r="I12918" s="26">
        <v>43529.554861111101</v>
      </c>
      <c r="J12918" s="28" t="s">
        <v>52</v>
      </c>
      <c r="K12918" s="28" t="s">
        <v>52</v>
      </c>
      <c r="L12918" s="28" t="s">
        <v>52</v>
      </c>
      <c r="M12918" s="28" t="s">
        <v>52</v>
      </c>
      <c r="N12918" s="28" t="s">
        <v>52</v>
      </c>
    </row>
    <row r="12919" spans="1:14" x14ac:dyDescent="0.15">
      <c r="A12919" s="23" t="str">
        <f>HYPERLINK("https://www.spark-marketing.ru/Card/Person/5898166", "ПАО ПАО НК РОСНЕФТЬ СМОЛЕНСКНЕФТЕПРОДУКТ")</f>
        <v>ПАО ПАО НК РОСНЕФТЬ СМОЛЕНСКНЕФТЕПРОДУКТ</v>
      </c>
      <c r="B12919" s="28" t="s">
        <v>52</v>
      </c>
      <c r="C12919" s="28" t="s">
        <v>52</v>
      </c>
      <c r="D12919" s="22" t="s">
        <v>15250</v>
      </c>
      <c r="E12919" s="22" t="s">
        <v>15251</v>
      </c>
      <c r="F12919" s="23" t="str">
        <f>HYPERLINK("https://www.spark-marketing.ru/Card/Lot/68483657", "Оказание услуг по обслуживанию инженерно-технических средств охраны ПАО ""НК ""Роснефть""-Смоленскнефтепродукт""")</f>
        <v>Оказание услуг по обслуживанию инженерно-технических средств охраны ПАО "НК "Роснефть"-Смоленскнефтепродукт"</v>
      </c>
      <c r="G12919" s="22" t="s">
        <v>52</v>
      </c>
      <c r="H12919" s="22" t="s">
        <v>52</v>
      </c>
      <c r="I12919" s="26">
        <v>43529.545833333301</v>
      </c>
      <c r="J12919" s="28" t="s">
        <v>52</v>
      </c>
      <c r="K12919" s="28" t="s">
        <v>52</v>
      </c>
      <c r="L12919" s="28" t="s">
        <v>52</v>
      </c>
      <c r="M12919" s="28" t="s">
        <v>52</v>
      </c>
      <c r="N12919" s="28" t="s">
        <v>52</v>
      </c>
    </row>
    <row r="12920" spans="1:14" ht="12.75" x14ac:dyDescent="0.2">
      <c r="A12920" s="23" t="str">
        <f>HYPERLINK("https://www.spark-marketing.ru/Card/Person/3647", "ГАУ РС (Я) ""РБ№1-НЦМ""")</f>
        <v>ГАУ РС (Я) "РБ№1-НЦМ"</v>
      </c>
      <c r="B12920" s="24" t="s">
        <v>15252</v>
      </c>
      <c r="C12920" s="25">
        <v>525105.19999999995</v>
      </c>
      <c r="D12920" s="22" t="s">
        <v>15253</v>
      </c>
      <c r="E12920" s="22" t="s">
        <v>7701</v>
      </c>
      <c r="F12920" s="23" t="str">
        <f>HYPERLINK("https://www.spark-marketing.ru/Card/Lot/68461139", "Поставка системы видеонаблюдения с установкой")</f>
        <v>Поставка системы видеонаблюдения с установкой</v>
      </c>
      <c r="G12920" s="22" t="s">
        <v>424</v>
      </c>
      <c r="H12920" s="22" t="s">
        <v>424</v>
      </c>
      <c r="I12920" s="26">
        <v>43529.564328703702</v>
      </c>
      <c r="J12920" s="23" t="str">
        <f>HYPERLINK("https://www.spark-marketing.ru/Card/Person/4543539", "ООО ""ТМК ""ПЕРИМЕТР""")</f>
        <v>ООО "ТМК "ПЕРИМЕТР"</v>
      </c>
      <c r="K12920" s="24" t="s">
        <v>5858</v>
      </c>
      <c r="L12920" s="22" t="s">
        <v>10</v>
      </c>
      <c r="M12920" s="25">
        <v>525105.19999999995</v>
      </c>
      <c r="N12920" s="27">
        <v>0</v>
      </c>
    </row>
    <row r="12921" spans="1:14" x14ac:dyDescent="0.15">
      <c r="A12921" s="23" t="str">
        <f>HYPERLINK("https://www.spark-marketing.ru/Card/Person/1065280", "ОГБПОУ ИКПП")</f>
        <v>ОГБПОУ ИКПП</v>
      </c>
      <c r="B12921" s="24" t="s">
        <v>15254</v>
      </c>
      <c r="C12921" s="25">
        <v>706050</v>
      </c>
      <c r="D12921" s="22" t="s">
        <v>15255</v>
      </c>
      <c r="E12921" s="22" t="s">
        <v>52</v>
      </c>
      <c r="F12921" s="23" t="str">
        <f>HYPERLINK("https://www.spark-marketing.ru/Card/Lot/68480763", "Оказание услуг по охране здания и территории ОГБПОУ Ивановского колледжа пищевой промышленности")</f>
        <v>Оказание услуг по охране здания и территории ОГБПОУ Ивановского колледжа пищевой промышленности</v>
      </c>
      <c r="G12921" s="22" t="s">
        <v>340</v>
      </c>
      <c r="H12921" s="22" t="s">
        <v>1030</v>
      </c>
      <c r="I12921" s="26">
        <v>43529.546527777798</v>
      </c>
      <c r="J12921" s="28" t="s">
        <v>52</v>
      </c>
      <c r="K12921" s="28" t="s">
        <v>52</v>
      </c>
      <c r="L12921" s="28" t="s">
        <v>52</v>
      </c>
      <c r="M12921" s="28" t="s">
        <v>52</v>
      </c>
      <c r="N12921" s="28" t="s">
        <v>52</v>
      </c>
    </row>
    <row r="12922" spans="1:14" hidden="1" outlineLevel="1" x14ac:dyDescent="0.2">
      <c r="A12922" s="23" t="str">
        <f>HYPERLINK("https://www.spark-marketing.ru/Card/Person/1065280", "ОГБПОУ ИКПП")</f>
        <v>ОГБПОУ ИКПП</v>
      </c>
      <c r="B12922" s="24" t="s">
        <v>15254</v>
      </c>
      <c r="C12922" s="25">
        <v>706050</v>
      </c>
      <c r="D12922" s="22" t="s">
        <v>15255</v>
      </c>
      <c r="E12922" s="22" t="s">
        <v>52</v>
      </c>
      <c r="F12922" s="23" t="str">
        <f>HYPERLINK("https://www.spark-marketing.ru/Card/Lot/68480763", "Оказание услуг по охране здания и территории ОГБПОУ Ивановского колледжа пищевой промышленности")</f>
        <v>Оказание услуг по охране здания и территории ОГБПОУ Ивановского колледжа пищевой промышленности</v>
      </c>
      <c r="G12922" s="22" t="s">
        <v>340</v>
      </c>
      <c r="H12922" s="22" t="s">
        <v>1030</v>
      </c>
      <c r="I12922" s="26">
        <v>43529.546527777798</v>
      </c>
      <c r="J12922" s="23" t="str">
        <f>HYPERLINK("https://www.spark-marketing.ru/Card/Person/1530340", "ООО ЧОП ""КЕДР""")</f>
        <v>ООО ЧОП "КЕДР"</v>
      </c>
      <c r="K12922" s="24" t="s">
        <v>7233</v>
      </c>
      <c r="L12922" s="28" t="s">
        <v>52</v>
      </c>
      <c r="M12922" s="25">
        <v>529537.5</v>
      </c>
      <c r="N12922" s="27">
        <v>0.25</v>
      </c>
    </row>
    <row r="12923" spans="1:14" ht="12.75" hidden="1" outlineLevel="1" x14ac:dyDescent="0.2">
      <c r="A12923" s="23" t="str">
        <f>HYPERLINK("https://www.spark-marketing.ru/Card/Person/1065280", "ОГБПОУ ИКПП")</f>
        <v>ОГБПОУ ИКПП</v>
      </c>
      <c r="B12923" s="24" t="s">
        <v>15254</v>
      </c>
      <c r="C12923" s="25">
        <v>706050</v>
      </c>
      <c r="D12923" s="22" t="s">
        <v>15255</v>
      </c>
      <c r="E12923" s="22" t="s">
        <v>52</v>
      </c>
      <c r="F12923" s="23" t="str">
        <f>HYPERLINK("https://www.spark-marketing.ru/Card/Lot/68480763", "Оказание услуг по охране здания и территории ОГБПОУ Ивановского колледжа пищевой промышленности")</f>
        <v>Оказание услуг по охране здания и территории ОГБПОУ Ивановского колледжа пищевой промышленности</v>
      </c>
      <c r="G12923" s="22" t="s">
        <v>340</v>
      </c>
      <c r="H12923" s="22" t="s">
        <v>1030</v>
      </c>
      <c r="I12923" s="26">
        <v>43529.546527777798</v>
      </c>
      <c r="J12923" s="23" t="str">
        <f>HYPERLINK("https://www.spark-marketing.ru/Card/Person/304790", "ООО ""ОХРАННОЕ АГЕНТСТВО ""ВИКО""")</f>
        <v>ООО "ОХРАННОЕ АГЕНТСТВО "ВИКО"</v>
      </c>
      <c r="K12923" s="24" t="s">
        <v>15256</v>
      </c>
      <c r="L12923" s="22" t="s">
        <v>10</v>
      </c>
      <c r="M12923" s="25">
        <v>526007.25</v>
      </c>
      <c r="N12923" s="27">
        <v>0.255</v>
      </c>
    </row>
    <row r="12924" spans="1:14" x14ac:dyDescent="0.15">
      <c r="A12924" s="23" t="str">
        <f>HYPERLINK("https://www.spark-marketing.ru/Card/Person/5856284", "МБУ ""ЦЕНТР РФКС""")</f>
        <v>МБУ "ЦЕНТР РФКС"</v>
      </c>
      <c r="B12924" s="24" t="s">
        <v>15257</v>
      </c>
      <c r="C12924" s="25">
        <v>150000</v>
      </c>
      <c r="D12924" s="22" t="s">
        <v>15258</v>
      </c>
      <c r="E12924" s="22" t="s">
        <v>103</v>
      </c>
      <c r="F12924" s="23" t="str">
        <f>HYPERLINK("https://www.spark-marketing.ru/Card/Lot/68535023", "Обслуживание системы видеонаблюдения для нужд МБУ ""Центр развития физической культуры и спорта"" городского округа Кашира")</f>
        <v>Обслуживание системы видеонаблюдения для нужд МБУ "Центр развития физической культуры и спорта" городского округа Кашира</v>
      </c>
      <c r="G12924" s="22" t="s">
        <v>50</v>
      </c>
      <c r="H12924" s="22" t="s">
        <v>2283</v>
      </c>
      <c r="I12924" s="26">
        <v>43529.502789351798</v>
      </c>
      <c r="J12924" s="28" t="s">
        <v>52</v>
      </c>
      <c r="K12924" s="28" t="s">
        <v>52</v>
      </c>
      <c r="L12924" s="28" t="s">
        <v>52</v>
      </c>
      <c r="M12924" s="28" t="s">
        <v>52</v>
      </c>
      <c r="N12924" s="28" t="s">
        <v>52</v>
      </c>
    </row>
    <row r="12925" spans="1:14" x14ac:dyDescent="0.15">
      <c r="A12925" s="23" t="str">
        <f>HYPERLINK("https://www.spark-marketing.ru/Card/Person/1781282", "ООО ""ГАЛЕРЕЯ-АЛЕКС""")</f>
        <v>ООО "ГАЛЕРЕЯ-АЛЕКС"</v>
      </c>
      <c r="B12925" s="24" t="s">
        <v>10079</v>
      </c>
      <c r="C12925" s="25">
        <v>0</v>
      </c>
      <c r="D12925" s="22" t="s">
        <v>15259</v>
      </c>
      <c r="E12925" s="22" t="s">
        <v>208</v>
      </c>
      <c r="F12925" s="23" t="str">
        <f>HYPERLINK("https://www.spark-marketing.ru/Card/Lot/68479748", "Организация физической охраны объектов по адресам, указанным в ТЗ.")</f>
        <v>Организация физической охраны объектов по адресам, указанным в ТЗ.</v>
      </c>
      <c r="G12925" s="22" t="s">
        <v>55</v>
      </c>
      <c r="H12925" s="22" t="s">
        <v>55</v>
      </c>
      <c r="I12925" s="26">
        <v>43529.538217592599</v>
      </c>
      <c r="J12925" s="28" t="s">
        <v>52</v>
      </c>
      <c r="K12925" s="28" t="s">
        <v>52</v>
      </c>
      <c r="L12925" s="28" t="s">
        <v>52</v>
      </c>
      <c r="M12925" s="28" t="s">
        <v>52</v>
      </c>
      <c r="N12925" s="28" t="s">
        <v>52</v>
      </c>
    </row>
    <row r="12926" spans="1:14" x14ac:dyDescent="0.15">
      <c r="A12926" s="23" t="str">
        <f>HYPERLINK("https://www.spark-marketing.ru/Card/Person/87423", "МБОУ НАРО-ФОМИНСКАЯ СОШ №9")</f>
        <v>МБОУ НАРО-ФОМИНСКАЯ СОШ №9</v>
      </c>
      <c r="B12926" s="24" t="s">
        <v>11553</v>
      </c>
      <c r="C12926" s="25">
        <v>1030000</v>
      </c>
      <c r="D12926" s="22" t="s">
        <v>15260</v>
      </c>
      <c r="E12926" s="22" t="s">
        <v>194</v>
      </c>
      <c r="F12926" s="23" t="str">
        <f>HYPERLINK("https://www.spark-marketing.ru/Card/Lot/68478335", "Приобретение и установка средств видеотрансляции и видеопротоколирования в пункты проведения экзаменов ГИА")</f>
        <v>Приобретение и установка средств видеотрансляции и видеопротоколирования в пункты проведения экзаменов ГИА</v>
      </c>
      <c r="G12926" s="22" t="s">
        <v>50</v>
      </c>
      <c r="H12926" s="22" t="s">
        <v>2332</v>
      </c>
      <c r="I12926" s="26">
        <v>43529.503472222197</v>
      </c>
      <c r="J12926" s="28" t="s">
        <v>52</v>
      </c>
      <c r="K12926" s="28" t="s">
        <v>52</v>
      </c>
      <c r="L12926" s="28" t="s">
        <v>52</v>
      </c>
      <c r="M12926" s="28" t="s">
        <v>52</v>
      </c>
      <c r="N12926" s="28" t="s">
        <v>52</v>
      </c>
    </row>
    <row r="12927" spans="1:14" ht="12.75" hidden="1" outlineLevel="1" x14ac:dyDescent="0.2">
      <c r="A12927" s="23" t="str">
        <f>HYPERLINK("https://www.spark-marketing.ru/Card/Person/87423", "МБОУ НАРО-ФОМИНСКАЯ СОШ №9")</f>
        <v>МБОУ НАРО-ФОМИНСКАЯ СОШ №9</v>
      </c>
      <c r="B12927" s="24" t="s">
        <v>11553</v>
      </c>
      <c r="C12927" s="25">
        <v>1030000</v>
      </c>
      <c r="D12927" s="22" t="s">
        <v>15260</v>
      </c>
      <c r="E12927" s="22" t="s">
        <v>194</v>
      </c>
      <c r="F12927" s="23" t="str">
        <f>HYPERLINK("https://www.spark-marketing.ru/Card/Lot/68478335", "Приобретение и установка средств видеотрансляции и видеопротоколирования в пункты проведения экзаменов ГИА")</f>
        <v>Приобретение и установка средств видеотрансляции и видеопротоколирования в пункты проведения экзаменов ГИА</v>
      </c>
      <c r="G12927" s="22" t="s">
        <v>50</v>
      </c>
      <c r="H12927" s="22" t="s">
        <v>2332</v>
      </c>
      <c r="I12927" s="26">
        <v>43529.503472222197</v>
      </c>
      <c r="J12927" s="23" t="str">
        <f>HYPERLINK("https://www.spark-marketing.ru/Card/Person/4856010", "ООО ""СФЕРА БЕЗОПАСНОСТИ""")</f>
        <v>ООО "СФЕРА БЕЗОПАСНОСТИ"</v>
      </c>
      <c r="K12927" s="24" t="s">
        <v>13278</v>
      </c>
      <c r="L12927" s="22" t="s">
        <v>10</v>
      </c>
      <c r="M12927" s="25">
        <v>1019700</v>
      </c>
      <c r="N12927" s="27">
        <v>0.01</v>
      </c>
    </row>
    <row r="12928" spans="1:14" hidden="1" outlineLevel="1" x14ac:dyDescent="0.2">
      <c r="A12928" s="23" t="str">
        <f>HYPERLINK("https://www.spark-marketing.ru/Card/Person/87423", "МБОУ НАРО-ФОМИНСКАЯ СОШ №9")</f>
        <v>МБОУ НАРО-ФОМИНСКАЯ СОШ №9</v>
      </c>
      <c r="B12928" s="24" t="s">
        <v>11553</v>
      </c>
      <c r="C12928" s="25">
        <v>1030000</v>
      </c>
      <c r="D12928" s="22" t="s">
        <v>15260</v>
      </c>
      <c r="E12928" s="22" t="s">
        <v>194</v>
      </c>
      <c r="F12928" s="23" t="str">
        <f>HYPERLINK("https://www.spark-marketing.ru/Card/Lot/68478335", "Приобретение и установка средств видеотрансляции и видеопротоколирования в пункты проведения экзаменов ГИА")</f>
        <v>Приобретение и установка средств видеотрансляции и видеопротоколирования в пункты проведения экзаменов ГИА</v>
      </c>
      <c r="G12928" s="22" t="s">
        <v>50</v>
      </c>
      <c r="H12928" s="22" t="s">
        <v>2332</v>
      </c>
      <c r="I12928" s="26">
        <v>43529.503472222197</v>
      </c>
      <c r="J12928" s="23" t="str">
        <f>HYPERLINK("https://www.spark-marketing.ru/Card/Person/76451", "ООО ""БИС""")</f>
        <v>ООО "БИС"</v>
      </c>
      <c r="K12928" s="24" t="s">
        <v>6528</v>
      </c>
      <c r="L12928" s="28" t="s">
        <v>52</v>
      </c>
      <c r="M12928" s="25">
        <v>1024850</v>
      </c>
      <c r="N12928" s="27">
        <v>5.0000000000000001E-3</v>
      </c>
    </row>
    <row r="12929" spans="1:14" x14ac:dyDescent="0.15">
      <c r="A12929" s="23" t="str">
        <f>HYPERLINK("https://www.spark-marketing.ru/Card/Person/59993", "УСД В КАРАЧАЕВО-ЧЕРКЕССКОЙ РЕСПУБЛИКЕ")</f>
        <v>УСД В КАРАЧАЕВО-ЧЕРКЕССКОЙ РЕСПУБЛИКЕ</v>
      </c>
      <c r="B12929" s="24" t="s">
        <v>9653</v>
      </c>
      <c r="C12929" s="25">
        <v>32156.82</v>
      </c>
      <c r="D12929" s="22" t="s">
        <v>15261</v>
      </c>
      <c r="E12929" s="22" t="s">
        <v>68</v>
      </c>
      <c r="F12929" s="23" t="str">
        <f>HYPERLINK("https://www.spark-marketing.ru/Card/Lot/68475128", "Техническая охрана имущества Управления судебного департамента")</f>
        <v>Техническая охрана имущества Управления судебного департамента</v>
      </c>
      <c r="G12929" s="22" t="s">
        <v>3936</v>
      </c>
      <c r="H12929" s="22" t="s">
        <v>3936</v>
      </c>
      <c r="I12929" s="26">
        <v>43529.458333333299</v>
      </c>
      <c r="J12929" s="23" t="str">
        <f>HYPERLINK("https://www.spark-marketing.ru/Card/Person/4350371", "ФГКУ ""УВО ВНГ РОССИИ ПО КЧР""")</f>
        <v>ФГКУ "УВО ВНГ РОССИИ ПО КЧР"</v>
      </c>
      <c r="K12929" s="24" t="s">
        <v>15262</v>
      </c>
      <c r="L12929" s="22" t="s">
        <v>10</v>
      </c>
      <c r="M12929" s="28" t="s">
        <v>52</v>
      </c>
      <c r="N12929" s="28" t="s">
        <v>52</v>
      </c>
    </row>
    <row r="12930" spans="1:14" x14ac:dyDescent="0.15">
      <c r="A12930" s="23" t="str">
        <f>HYPERLINK("https://www.spark-marketing.ru/Card/Person/3479", "ФГБУ ""ФЦССХ"" МИНЗДРАВА РОССИИ (Г. КРАСНОЯРСК)")</f>
        <v>ФГБУ "ФЦССХ" МИНЗДРАВА РОССИИ (Г. КРАСНОЯРСК)</v>
      </c>
      <c r="B12930" s="24" t="s">
        <v>13049</v>
      </c>
      <c r="C12930" s="25">
        <v>400000</v>
      </c>
      <c r="D12930" s="22" t="s">
        <v>15263</v>
      </c>
      <c r="E12930" s="22" t="s">
        <v>208</v>
      </c>
      <c r="F12930" s="23" t="str">
        <f>HYPERLINK("https://www.spark-marketing.ru/Card/Lot/68461986", "На право заключения контракта на поставку комплектующих для системы  палатной сигнализации Ackermann clino, имеющейся у Заказчика")</f>
        <v>На право заключения контракта на поставку комплектующих для системы  палатной сигнализации Ackermann clino, имеющейся у Заказчика</v>
      </c>
      <c r="G12930" s="22" t="s">
        <v>640</v>
      </c>
      <c r="H12930" s="22" t="s">
        <v>640</v>
      </c>
      <c r="I12930" s="26">
        <v>43529.475694444402</v>
      </c>
      <c r="J12930" s="28" t="s">
        <v>52</v>
      </c>
      <c r="K12930" s="28" t="s">
        <v>52</v>
      </c>
      <c r="L12930" s="28" t="s">
        <v>52</v>
      </c>
      <c r="M12930" s="28" t="s">
        <v>52</v>
      </c>
      <c r="N12930" s="28" t="s">
        <v>52</v>
      </c>
    </row>
    <row r="12931" spans="1:14" x14ac:dyDescent="0.15">
      <c r="A12931" s="23" t="str">
        <f>HYPERLINK("https://www.spark-marketing.ru/Card/Person/7448", "ПРОКУРАТУРА МУРМАНСКОЙ ОБЛАСТИ")</f>
        <v>ПРОКУРАТУРА МУРМАНСКОЙ ОБЛАСТИ</v>
      </c>
      <c r="B12931" s="24" t="s">
        <v>13726</v>
      </c>
      <c r="C12931" s="25">
        <v>368505.38</v>
      </c>
      <c r="D12931" s="22" t="s">
        <v>15264</v>
      </c>
      <c r="E12931" s="22" t="s">
        <v>7738</v>
      </c>
      <c r="F12931" s="23" t="str">
        <f>HYPERLINK("https://www.spark-marketing.ru/Card/Lot/68476086", "Услуги по пультовой охране подразделений прокуратуры в г.Муранске")</f>
        <v>Услуги по пультовой охране подразделений прокуратуры в г.Муранске</v>
      </c>
      <c r="G12931" s="22" t="s">
        <v>190</v>
      </c>
      <c r="H12931" s="22" t="s">
        <v>190</v>
      </c>
      <c r="I12931" s="26">
        <v>43529.458333333299</v>
      </c>
      <c r="J12931" s="28" t="s">
        <v>52</v>
      </c>
      <c r="K12931" s="28" t="s">
        <v>52</v>
      </c>
      <c r="L12931" s="28" t="s">
        <v>52</v>
      </c>
      <c r="M12931" s="28" t="s">
        <v>52</v>
      </c>
      <c r="N12931" s="28" t="s">
        <v>52</v>
      </c>
    </row>
    <row r="12932" spans="1:14" x14ac:dyDescent="0.15">
      <c r="A12932" s="23" t="str">
        <f>HYPERLINK("https://www.spark-marketing.ru/Card/Person/59993", "УСД В КАРАЧАЕВО-ЧЕРКЕССКОЙ РЕСПУБЛИКЕ")</f>
        <v>УСД В КАРАЧАЕВО-ЧЕРКЕССКОЙ РЕСПУБЛИКЕ</v>
      </c>
      <c r="B12932" s="24" t="s">
        <v>9653</v>
      </c>
      <c r="C12932" s="25">
        <v>430715.6</v>
      </c>
      <c r="D12932" s="22" t="s">
        <v>15265</v>
      </c>
      <c r="E12932" s="22" t="s">
        <v>68</v>
      </c>
      <c r="F12932" s="23" t="str">
        <f>HYPERLINK("https://www.spark-marketing.ru/Card/Lot/68477235", "Техническая охрана имущества судов общей юрисдикции")</f>
        <v>Техническая охрана имущества судов общей юрисдикции</v>
      </c>
      <c r="G12932" s="22" t="s">
        <v>3936</v>
      </c>
      <c r="H12932" s="22" t="s">
        <v>3936</v>
      </c>
      <c r="I12932" s="26">
        <v>43529.458333333299</v>
      </c>
      <c r="J12932" s="23" t="str">
        <f>HYPERLINK("https://www.spark-marketing.ru/Card/Person/4350371", "ФГКУ ""УВО ВНГ РОССИИ ПО КЧР""")</f>
        <v>ФГКУ "УВО ВНГ РОССИИ ПО КЧР"</v>
      </c>
      <c r="K12932" s="24" t="s">
        <v>15262</v>
      </c>
      <c r="L12932" s="22" t="s">
        <v>10</v>
      </c>
      <c r="M12932" s="28" t="s">
        <v>52</v>
      </c>
      <c r="N12932" s="28" t="s">
        <v>52</v>
      </c>
    </row>
    <row r="12933" spans="1:14" x14ac:dyDescent="0.15">
      <c r="A12933" s="23" t="str">
        <f>HYPERLINK("https://www.spark-marketing.ru/Card/Person/1084536", "МБУК ""КДЦ ""БОРОДИНО""")</f>
        <v>МБУК "КДЦ "БОРОДИНО"</v>
      </c>
      <c r="B12933" s="24" t="s">
        <v>15266</v>
      </c>
      <c r="C12933" s="25">
        <v>11962.2</v>
      </c>
      <c r="D12933" s="22" t="s">
        <v>15267</v>
      </c>
      <c r="E12933" s="22" t="s">
        <v>294</v>
      </c>
      <c r="F12933" s="23" t="str">
        <f>HYPERLINK("https://www.spark-marketing.ru/Card/Lot/68535013", "ТО системы видеонаблюдения")</f>
        <v>ТО системы видеонаблюдения</v>
      </c>
      <c r="G12933" s="22" t="s">
        <v>50</v>
      </c>
      <c r="H12933" s="22" t="s">
        <v>323</v>
      </c>
      <c r="I12933" s="26">
        <v>43529.482337963003</v>
      </c>
      <c r="J12933" s="28" t="s">
        <v>52</v>
      </c>
      <c r="K12933" s="28" t="s">
        <v>52</v>
      </c>
      <c r="L12933" s="28" t="s">
        <v>52</v>
      </c>
      <c r="M12933" s="28" t="s">
        <v>52</v>
      </c>
      <c r="N12933" s="28" t="s">
        <v>52</v>
      </c>
    </row>
    <row r="12934" spans="1:14" x14ac:dyDescent="0.15">
      <c r="A12934" s="23" t="str">
        <f>HYPERLINK("https://www.spark-marketing.ru/Card/Person/1760550", "МОУ ДМИТРОВСКАЯ ВЕЧЕРНЯЯ (СМЕННАЯ) ОБЩЕОБРАЗОВАТЕЛЬНАЯ ШКОЛА")</f>
        <v>МОУ ДМИТРОВСКАЯ ВЕЧЕРНЯЯ (СМЕННАЯ) ОБЩЕОБРАЗОВАТЕЛЬНАЯ ШКОЛА</v>
      </c>
      <c r="B12934" s="24" t="s">
        <v>15268</v>
      </c>
      <c r="C12934" s="25">
        <v>23100</v>
      </c>
      <c r="D12934" s="22" t="s">
        <v>15269</v>
      </c>
      <c r="E12934" s="22" t="s">
        <v>103</v>
      </c>
      <c r="F12934" s="23" t="str">
        <f>HYPERLINK("https://www.spark-marketing.ru/Card/Lot/68535015", "Оказание услуг по обслуживанию системы видеонаблюдения")</f>
        <v>Оказание услуг по обслуживанию системы видеонаблюдения</v>
      </c>
      <c r="G12934" s="22" t="s">
        <v>50</v>
      </c>
      <c r="H12934" s="22" t="s">
        <v>504</v>
      </c>
      <c r="I12934" s="26">
        <v>43529.482372685197</v>
      </c>
      <c r="J12934" s="28" t="s">
        <v>52</v>
      </c>
      <c r="K12934" s="28" t="s">
        <v>52</v>
      </c>
      <c r="L12934" s="28" t="s">
        <v>52</v>
      </c>
      <c r="M12934" s="28" t="s">
        <v>52</v>
      </c>
      <c r="N12934" s="28" t="s">
        <v>52</v>
      </c>
    </row>
    <row r="12935" spans="1:14" x14ac:dyDescent="0.15">
      <c r="A12935" s="23" t="str">
        <f>HYPERLINK("https://www.spark-marketing.ru/Card/Person/4347827", "ФГБНУ ""ФНЦ ПИЩЕВЫХ СИСТЕМ ИМ. В.М. ГОРБАТОВА"" РАН")</f>
        <v>ФГБНУ "ФНЦ ПИЩЕВЫХ СИСТЕМ ИМ. В.М. ГОРБАТОВА" РАН</v>
      </c>
      <c r="B12935" s="24" t="s">
        <v>15270</v>
      </c>
      <c r="C12935" s="25">
        <v>1854000</v>
      </c>
      <c r="D12935" s="22" t="s">
        <v>15271</v>
      </c>
      <c r="E12935" s="22" t="s">
        <v>144</v>
      </c>
      <c r="F12935" s="23" t="str">
        <f>HYPERLINK("https://www.spark-marketing.ru/Card/Lot/68470779", "Оказание охранных услуг для нужд ВНИИЗ - филиала ФГБНУ «ФНЦ пищевых систем им. В.М. Горбатова» РАН")</f>
        <v>Оказание охранных услуг для нужд ВНИИЗ - филиала ФГБНУ «ФНЦ пищевых систем им. В.М. Горбатова» РАН</v>
      </c>
      <c r="G12935" s="22" t="s">
        <v>55</v>
      </c>
      <c r="H12935" s="22" t="s">
        <v>55</v>
      </c>
      <c r="I12935" s="26">
        <v>43529.480335648099</v>
      </c>
      <c r="J12935" s="23" t="str">
        <f>HYPERLINK("https://www.spark-marketing.ru/Card/Person/1381731", "ООО ""ЧОП ""СКОРПИОН - Х""")</f>
        <v>ООО "ЧОП "СКОРПИОН - Х"</v>
      </c>
      <c r="K12935" s="24" t="s">
        <v>15272</v>
      </c>
      <c r="L12935" s="22" t="s">
        <v>10</v>
      </c>
      <c r="M12935" s="28" t="s">
        <v>52</v>
      </c>
      <c r="N12935" s="28" t="s">
        <v>52</v>
      </c>
    </row>
    <row r="12936" spans="1:14" x14ac:dyDescent="0.15">
      <c r="A12936" s="23" t="str">
        <f>HYPERLINK("https://www.spark-marketing.ru/Card/Person/7448", "ПРОКУРАТУРА МУРМАНСКОЙ ОБЛАСТИ")</f>
        <v>ПРОКУРАТУРА МУРМАНСКОЙ ОБЛАСТИ</v>
      </c>
      <c r="B12936" s="24" t="s">
        <v>13726</v>
      </c>
      <c r="C12936" s="25">
        <v>168266.16</v>
      </c>
      <c r="D12936" s="22" t="s">
        <v>15273</v>
      </c>
      <c r="E12936" s="22" t="s">
        <v>7738</v>
      </c>
      <c r="F12936" s="23" t="str">
        <f>HYPERLINK("https://www.spark-marketing.ru/Card/Lot/68475816", "Услуги по пультовой охране в пр-ре по надзору за ИУ")</f>
        <v>Услуги по пультовой охране в пр-ре по надзору за ИУ</v>
      </c>
      <c r="G12936" s="22" t="s">
        <v>190</v>
      </c>
      <c r="H12936" s="22" t="s">
        <v>190</v>
      </c>
      <c r="I12936" s="26">
        <v>43529.470833333296</v>
      </c>
      <c r="J12936" s="28" t="s">
        <v>52</v>
      </c>
      <c r="K12936" s="28" t="s">
        <v>52</v>
      </c>
      <c r="L12936" s="28" t="s">
        <v>52</v>
      </c>
      <c r="M12936" s="28" t="s">
        <v>52</v>
      </c>
      <c r="N12936" s="28" t="s">
        <v>52</v>
      </c>
    </row>
    <row r="12937" spans="1:14" x14ac:dyDescent="0.15">
      <c r="A12937" s="23" t="str">
        <f>HYPERLINK("https://www.spark-marketing.ru/Card/Person/4349514", "МИНСЕЛЬХОЗПРОД УР")</f>
        <v>МИНСЕЛЬХОЗПРОД УР</v>
      </c>
      <c r="B12937" s="24" t="s">
        <v>15274</v>
      </c>
      <c r="C12937" s="25">
        <v>183456</v>
      </c>
      <c r="D12937" s="22" t="s">
        <v>15275</v>
      </c>
      <c r="E12937" s="22" t="s">
        <v>52</v>
      </c>
      <c r="F12937" s="23" t="str">
        <f>HYPERLINK("https://www.spark-marketing.ru/Card/Lot/68468940", "№ зз-05234-19 Услуги по охране гаража Министерства сельского хозяйства и продовольствия Удмуртской Республики")</f>
        <v>№ зз-05234-19 Услуги по охране гаража Министерства сельского хозяйства и продовольствия Удмуртской Республики</v>
      </c>
      <c r="G12937" s="22" t="s">
        <v>96</v>
      </c>
      <c r="H12937" s="22" t="s">
        <v>1342</v>
      </c>
      <c r="I12937" s="26">
        <v>43529.425000000003</v>
      </c>
      <c r="J12937" s="28" t="s">
        <v>52</v>
      </c>
      <c r="K12937" s="28" t="s">
        <v>52</v>
      </c>
      <c r="L12937" s="28" t="s">
        <v>52</v>
      </c>
      <c r="M12937" s="28" t="s">
        <v>52</v>
      </c>
      <c r="N12937" s="28" t="s">
        <v>52</v>
      </c>
    </row>
    <row r="12938" spans="1:14" hidden="1" outlineLevel="1" x14ac:dyDescent="0.2">
      <c r="A12938" s="23" t="str">
        <f>HYPERLINK("https://www.spark-marketing.ru/Card/Person/4349514", "МИНСЕЛЬХОЗПРОД УР")</f>
        <v>МИНСЕЛЬХОЗПРОД УР</v>
      </c>
      <c r="B12938" s="24" t="s">
        <v>15274</v>
      </c>
      <c r="C12938" s="25">
        <v>183456</v>
      </c>
      <c r="D12938" s="22" t="s">
        <v>15275</v>
      </c>
      <c r="E12938" s="22" t="s">
        <v>52</v>
      </c>
      <c r="F12938" s="23" t="str">
        <f>HYPERLINK("https://www.spark-marketing.ru/Card/Lot/68468940", "№ зз-05234-19 Услуги по охране гаража Министерства сельского хозяйства и продовольствия Удмуртской Республики")</f>
        <v>№ зз-05234-19 Услуги по охране гаража Министерства сельского хозяйства и продовольствия Удмуртской Республики</v>
      </c>
      <c r="G12938" s="22" t="s">
        <v>96</v>
      </c>
      <c r="H12938" s="22" t="s">
        <v>1342</v>
      </c>
      <c r="I12938" s="26">
        <v>43529.425000000003</v>
      </c>
      <c r="J12938" s="23" t="str">
        <f>HYPERLINK("https://www.spark-marketing.ru/Card/Person/38100", "ООО ЧОО ""ВСС-ПЕРМЬ""")</f>
        <v>ООО ЧОО "ВСС-ПЕРМЬ"</v>
      </c>
      <c r="K12938" s="24" t="s">
        <v>13537</v>
      </c>
      <c r="L12938" s="28" t="s">
        <v>52</v>
      </c>
      <c r="M12938" s="25">
        <v>155937.60000000001</v>
      </c>
      <c r="N12938" s="27">
        <v>0.15</v>
      </c>
    </row>
    <row r="12939" spans="1:14" ht="12.75" hidden="1" outlineLevel="1" x14ac:dyDescent="0.2">
      <c r="A12939" s="23" t="str">
        <f>HYPERLINK("https://www.spark-marketing.ru/Card/Person/4349514", "МИНСЕЛЬХОЗПРОД УР")</f>
        <v>МИНСЕЛЬХОЗПРОД УР</v>
      </c>
      <c r="B12939" s="24" t="s">
        <v>15274</v>
      </c>
      <c r="C12939" s="25">
        <v>183456</v>
      </c>
      <c r="D12939" s="22" t="s">
        <v>15275</v>
      </c>
      <c r="E12939" s="22" t="s">
        <v>52</v>
      </c>
      <c r="F12939" s="23" t="str">
        <f>HYPERLINK("https://www.spark-marketing.ru/Card/Lot/68468940", "№ зз-05234-19 Услуги по охране гаража Министерства сельского хозяйства и продовольствия Удмуртской Республики")</f>
        <v>№ зз-05234-19 Услуги по охране гаража Министерства сельского хозяйства и продовольствия Удмуртской Республики</v>
      </c>
      <c r="G12939" s="22" t="s">
        <v>96</v>
      </c>
      <c r="H12939" s="22" t="s">
        <v>1342</v>
      </c>
      <c r="I12939" s="26">
        <v>43529.425000000003</v>
      </c>
      <c r="J12939" s="23" t="str">
        <f>HYPERLINK("https://www.spark-marketing.ru/Card/Person/5787415", "ООО ""ЧОО ""ФЕНИКС""")</f>
        <v>ООО "ЧОО "ФЕНИКС"</v>
      </c>
      <c r="K12939" s="24" t="s">
        <v>15276</v>
      </c>
      <c r="L12939" s="22" t="s">
        <v>10</v>
      </c>
      <c r="M12939" s="25">
        <v>110073.56</v>
      </c>
      <c r="N12939" s="27">
        <v>0.40000021803593233</v>
      </c>
    </row>
    <row r="12940" spans="1:14" hidden="1" outlineLevel="1" x14ac:dyDescent="0.2">
      <c r="A12940" s="23" t="str">
        <f>HYPERLINK("https://www.spark-marketing.ru/Card/Person/4349514", "МИНСЕЛЬХОЗПРОД УР")</f>
        <v>МИНСЕЛЬХОЗПРОД УР</v>
      </c>
      <c r="B12940" s="24" t="s">
        <v>15274</v>
      </c>
      <c r="C12940" s="25">
        <v>183456</v>
      </c>
      <c r="D12940" s="22" t="s">
        <v>15275</v>
      </c>
      <c r="E12940" s="22" t="s">
        <v>52</v>
      </c>
      <c r="F12940" s="23" t="str">
        <f>HYPERLINK("https://www.spark-marketing.ru/Card/Lot/68468940", "№ зз-05234-19 Услуги по охране гаража Министерства сельского хозяйства и продовольствия Удмуртской Республики")</f>
        <v>№ зз-05234-19 Услуги по охране гаража Министерства сельского хозяйства и продовольствия Удмуртской Республики</v>
      </c>
      <c r="G12940" s="22" t="s">
        <v>96</v>
      </c>
      <c r="H12940" s="22" t="s">
        <v>1342</v>
      </c>
      <c r="I12940" s="26">
        <v>43529.425000000003</v>
      </c>
      <c r="J12940" s="23" t="str">
        <f>HYPERLINK("https://www.spark-marketing.ru/Card/Person/4349896", "ООО ""ОП ""ДЕЛОХРАНИТЕЛЬ""")</f>
        <v>ООО "ОП "ДЕЛОХРАНИТЕЛЬ"</v>
      </c>
      <c r="K12940" s="24" t="s">
        <v>9730</v>
      </c>
      <c r="L12940" s="28" t="s">
        <v>52</v>
      </c>
      <c r="M12940" s="25">
        <v>141960</v>
      </c>
      <c r="N12940" s="27">
        <v>0.22619047619047619</v>
      </c>
    </row>
    <row r="12941" spans="1:14" hidden="1" outlineLevel="1" x14ac:dyDescent="0.2">
      <c r="A12941" s="23" t="str">
        <f>HYPERLINK("https://www.spark-marketing.ru/Card/Person/4349514", "МИНСЕЛЬХОЗПРОД УР")</f>
        <v>МИНСЕЛЬХОЗПРОД УР</v>
      </c>
      <c r="B12941" s="24" t="s">
        <v>15274</v>
      </c>
      <c r="C12941" s="25">
        <v>183456</v>
      </c>
      <c r="D12941" s="22" t="s">
        <v>15275</v>
      </c>
      <c r="E12941" s="22" t="s">
        <v>52</v>
      </c>
      <c r="F12941" s="23" t="str">
        <f>HYPERLINK("https://www.spark-marketing.ru/Card/Lot/68468940", "№ зз-05234-19 Услуги по охране гаража Министерства сельского хозяйства и продовольствия Удмуртской Республики")</f>
        <v>№ зз-05234-19 Услуги по охране гаража Министерства сельского хозяйства и продовольствия Удмуртской Республики</v>
      </c>
      <c r="G12941" s="22" t="s">
        <v>96</v>
      </c>
      <c r="H12941" s="22" t="s">
        <v>1342</v>
      </c>
      <c r="I12941" s="26">
        <v>43529.425000000003</v>
      </c>
      <c r="J12941" s="23" t="str">
        <f>HYPERLINK("https://www.spark-marketing.ru/Card/Person/210995", "ООО ЧОО АГЕНТСТВО РЕГИОНАЛЬНОЙ БЕЗОПАСНОСТИ")</f>
        <v>ООО ЧОО АГЕНТСТВО РЕГИОНАЛЬНОЙ БЕЗОПАСНОСТИ</v>
      </c>
      <c r="K12941" s="24" t="s">
        <v>14022</v>
      </c>
      <c r="L12941" s="28" t="s">
        <v>52</v>
      </c>
      <c r="M12941" s="25">
        <v>110990.84</v>
      </c>
      <c r="N12941" s="27">
        <v>0.39500021803593233</v>
      </c>
    </row>
    <row r="12942" spans="1:14" x14ac:dyDescent="0.2">
      <c r="A12942" s="23" t="str">
        <f>HYPERLINK("https://www.spark-marketing.ru/Card/Person/303971", "ФБУ ""ТЕСТ-С.-ПЕТЕРБУРГ""")</f>
        <v>ФБУ "ТЕСТ-С.-ПЕТЕРБУРГ"</v>
      </c>
      <c r="B12942" s="24" t="s">
        <v>8952</v>
      </c>
      <c r="C12942" s="25">
        <v>291600</v>
      </c>
      <c r="D12942" s="22" t="s">
        <v>15277</v>
      </c>
      <c r="E12942" s="22" t="s">
        <v>996</v>
      </c>
      <c r="F12942" s="23" t="str">
        <f>HYPERLINK("https://www.spark-marketing.ru/Card/Lot/68467550", "Работы по установке системы видеонаблюдения в помещении первого этажа для организации зоны приема приборов и оборудования в поверку и выдачи их из поверки по адресу: г. Санкт-Петербург, ул. Курляндская, д. 1, лит. А")</f>
        <v>Работы по установке системы видеонаблюдения в помещении первого этажа для организации зоны приема приборов и оборудования в поверку и выдачи их из поверки по адресу: г. Санкт-Петербург, ул. Курляндская, д. 1, лит. А</v>
      </c>
      <c r="G12942" s="22" t="s">
        <v>89</v>
      </c>
      <c r="H12942" s="22" t="s">
        <v>89</v>
      </c>
      <c r="I12942" s="26">
        <v>43529.430706018502</v>
      </c>
      <c r="J12942" s="23" t="str">
        <f>HYPERLINK("https://www.spark-marketing.ru/Card/Person/577601", "ООО ""СТЭЛС""")</f>
        <v>ООО "СТЭЛС"</v>
      </c>
      <c r="K12942" s="24" t="s">
        <v>15278</v>
      </c>
      <c r="L12942" s="28" t="s">
        <v>52</v>
      </c>
      <c r="M12942" s="25">
        <v>291600</v>
      </c>
      <c r="N12942" s="27">
        <v>0</v>
      </c>
    </row>
    <row r="12943" spans="1:14" x14ac:dyDescent="0.15">
      <c r="A12943" s="23" t="str">
        <f>HYPERLINK("https://www.spark-marketing.ru/Card/Person/34310", "БУ ""БЕЛОЯРСКИЙ ПОЛИТЕХНИЧЕСКИЙ КОЛЛЕДЖ""")</f>
        <v>БУ "БЕЛОЯРСКИЙ ПОЛИТЕХНИЧЕСКИЙ КОЛЛЕДЖ"</v>
      </c>
      <c r="B12943" s="24" t="s">
        <v>15279</v>
      </c>
      <c r="C12943" s="25">
        <v>1703520</v>
      </c>
      <c r="D12943" s="22" t="s">
        <v>15280</v>
      </c>
      <c r="E12943" s="22" t="s">
        <v>68</v>
      </c>
      <c r="F12943" s="23" t="str">
        <f>HYPERLINK("https://www.spark-marketing.ru/Card/Lot/68463198", "Оказание услуг по физической охране объектов")</f>
        <v>Оказание услуг по физической охране объектов</v>
      </c>
      <c r="G12943" s="22" t="s">
        <v>119</v>
      </c>
      <c r="H12943" s="22" t="s">
        <v>8298</v>
      </c>
      <c r="I12943" s="26">
        <v>43529.434027777803</v>
      </c>
      <c r="J12943" s="28" t="s">
        <v>52</v>
      </c>
      <c r="K12943" s="28" t="s">
        <v>52</v>
      </c>
      <c r="L12943" s="28" t="s">
        <v>52</v>
      </c>
      <c r="M12943" s="28" t="s">
        <v>52</v>
      </c>
      <c r="N12943" s="28" t="s">
        <v>52</v>
      </c>
    </row>
    <row r="12944" spans="1:14" hidden="1" outlineLevel="1" x14ac:dyDescent="0.2">
      <c r="A12944" s="23" t="str">
        <f>HYPERLINK("https://www.spark-marketing.ru/Card/Person/34310", "БУ ""БЕЛОЯРСКИЙ ПОЛИТЕХНИЧЕСКИЙ КОЛЛЕДЖ""")</f>
        <v>БУ "БЕЛОЯРСКИЙ ПОЛИТЕХНИЧЕСКИЙ КОЛЛЕДЖ"</v>
      </c>
      <c r="B12944" s="24" t="s">
        <v>15279</v>
      </c>
      <c r="C12944" s="25">
        <v>1703520</v>
      </c>
      <c r="D12944" s="22" t="s">
        <v>15280</v>
      </c>
      <c r="E12944" s="22" t="s">
        <v>68</v>
      </c>
      <c r="F12944" s="23" t="str">
        <f>HYPERLINK("https://www.spark-marketing.ru/Card/Lot/68463198", "Оказание услуг по физической охране объектов")</f>
        <v>Оказание услуг по физической охране объектов</v>
      </c>
      <c r="G12944" s="22" t="s">
        <v>119</v>
      </c>
      <c r="H12944" s="22" t="s">
        <v>8298</v>
      </c>
      <c r="I12944" s="26">
        <v>43529.434027777803</v>
      </c>
      <c r="J12944" s="23" t="str">
        <f>HYPERLINK("https://www.spark-marketing.ru/Card/Person/656687", "ООО ""ЧОП ""АКСА""")</f>
        <v>ООО "ЧОП "АКСА"</v>
      </c>
      <c r="K12944" s="24" t="s">
        <v>15281</v>
      </c>
      <c r="L12944" s="28" t="s">
        <v>52</v>
      </c>
      <c r="M12944" s="25">
        <v>1626861.6</v>
      </c>
      <c r="N12944" s="27">
        <v>4.4999999999999998E-2</v>
      </c>
    </row>
    <row r="12945" spans="1:14" ht="12.75" hidden="1" outlineLevel="1" x14ac:dyDescent="0.2">
      <c r="A12945" s="23" t="str">
        <f>HYPERLINK("https://www.spark-marketing.ru/Card/Person/34310", "БУ ""БЕЛОЯРСКИЙ ПОЛИТЕХНИЧЕСКИЙ КОЛЛЕДЖ""")</f>
        <v>БУ "БЕЛОЯРСКИЙ ПОЛИТЕХНИЧЕСКИЙ КОЛЛЕДЖ"</v>
      </c>
      <c r="B12945" s="24" t="s">
        <v>15279</v>
      </c>
      <c r="C12945" s="25">
        <v>1703520</v>
      </c>
      <c r="D12945" s="22" t="s">
        <v>15280</v>
      </c>
      <c r="E12945" s="22" t="s">
        <v>68</v>
      </c>
      <c r="F12945" s="23" t="str">
        <f>HYPERLINK("https://www.spark-marketing.ru/Card/Lot/68463198", "Оказание услуг по физической охране объектов")</f>
        <v>Оказание услуг по физической охране объектов</v>
      </c>
      <c r="G12945" s="22" t="s">
        <v>119</v>
      </c>
      <c r="H12945" s="22" t="s">
        <v>8298</v>
      </c>
      <c r="I12945" s="26">
        <v>43529.434027777803</v>
      </c>
      <c r="J12945" s="23" t="str">
        <f>HYPERLINK("https://www.spark-marketing.ru/Card/Person/94355", "ООО ЧОО ""ЦЕНТУРИОН+""")</f>
        <v>ООО ЧОО "ЦЕНТУРИОН+"</v>
      </c>
      <c r="K12945" s="24" t="s">
        <v>15282</v>
      </c>
      <c r="L12945" s="22" t="s">
        <v>10</v>
      </c>
      <c r="M12945" s="25">
        <v>1379851.2</v>
      </c>
      <c r="N12945" s="27">
        <v>0.19</v>
      </c>
    </row>
    <row r="12946" spans="1:14" hidden="1" outlineLevel="1" x14ac:dyDescent="0.2">
      <c r="A12946" s="23" t="str">
        <f>HYPERLINK("https://www.spark-marketing.ru/Card/Person/34310", "БУ ""БЕЛОЯРСКИЙ ПОЛИТЕХНИЧЕСКИЙ КОЛЛЕДЖ""")</f>
        <v>БУ "БЕЛОЯРСКИЙ ПОЛИТЕХНИЧЕСКИЙ КОЛЛЕДЖ"</v>
      </c>
      <c r="B12946" s="24" t="s">
        <v>15279</v>
      </c>
      <c r="C12946" s="25">
        <v>1703520</v>
      </c>
      <c r="D12946" s="22" t="s">
        <v>15280</v>
      </c>
      <c r="E12946" s="22" t="s">
        <v>68</v>
      </c>
      <c r="F12946" s="23" t="str">
        <f>HYPERLINK("https://www.spark-marketing.ru/Card/Lot/68463198", "Оказание услуг по физической охране объектов")</f>
        <v>Оказание услуг по физической охране объектов</v>
      </c>
      <c r="G12946" s="22" t="s">
        <v>119</v>
      </c>
      <c r="H12946" s="22" t="s">
        <v>8298</v>
      </c>
      <c r="I12946" s="26">
        <v>43529.434027777803</v>
      </c>
      <c r="J12946" s="23" t="str">
        <f>HYPERLINK("https://www.spark-marketing.ru/Card/Person/4515429", "ООО ЧОП ""АНТЕЙ - СБ""")</f>
        <v>ООО ЧОП "АНТЕЙ - СБ"</v>
      </c>
      <c r="K12946" s="24" t="s">
        <v>13258</v>
      </c>
      <c r="L12946" s="28" t="s">
        <v>52</v>
      </c>
      <c r="M12946" s="25">
        <v>1388368.8</v>
      </c>
      <c r="N12946" s="27">
        <v>0.185</v>
      </c>
    </row>
    <row r="12947" spans="1:14" x14ac:dyDescent="0.15">
      <c r="A12947" s="23" t="str">
        <f>HYPERLINK("https://www.spark-marketing.ru/Card/Person/1044526", "МСУ ""ОЛИМП""")</f>
        <v>МСУ "ОЛИМП"</v>
      </c>
      <c r="B12947" s="24" t="s">
        <v>15283</v>
      </c>
      <c r="C12947" s="25">
        <v>85000</v>
      </c>
      <c r="D12947" s="22" t="s">
        <v>15284</v>
      </c>
      <c r="E12947" s="22" t="s">
        <v>298</v>
      </c>
      <c r="F12947" s="23" t="str">
        <f>HYPERLINK("https://www.spark-marketing.ru/Card/Lot/68534889", "Установка системы видеонаблюдения")</f>
        <v>Установка системы видеонаблюдения</v>
      </c>
      <c r="G12947" s="22" t="s">
        <v>50</v>
      </c>
      <c r="H12947" s="22" t="s">
        <v>5168</v>
      </c>
      <c r="I12947" s="26">
        <v>43529.450983796298</v>
      </c>
      <c r="J12947" s="28" t="s">
        <v>52</v>
      </c>
      <c r="K12947" s="28" t="s">
        <v>52</v>
      </c>
      <c r="L12947" s="28" t="s">
        <v>52</v>
      </c>
      <c r="M12947" s="28" t="s">
        <v>52</v>
      </c>
      <c r="N12947" s="28" t="s">
        <v>52</v>
      </c>
    </row>
    <row r="12948" spans="1:14" x14ac:dyDescent="0.15">
      <c r="A12948" s="23" t="str">
        <f>HYPERLINK("https://www.spark-marketing.ru/Card/Person/728", "ФГУ ""ВЕРХНЕ-ВОЛЖСКВОДХОЗ""")</f>
        <v>ФГУ "ВЕРХНЕ-ВОЛЖСКВОДХОЗ"</v>
      </c>
      <c r="B12948" s="24" t="s">
        <v>15285</v>
      </c>
      <c r="C12948" s="25">
        <v>114116.67</v>
      </c>
      <c r="D12948" s="22" t="s">
        <v>15286</v>
      </c>
      <c r="E12948" s="22" t="s">
        <v>487</v>
      </c>
      <c r="F12948" s="23" t="str">
        <f>HYPERLINK("https://www.spark-marketing.ru/Card/Lot/68476272", "Поставка блок-контейнера для охраны")</f>
        <v>Поставка блок-контейнера для охраны</v>
      </c>
      <c r="G12948" s="22" t="s">
        <v>340</v>
      </c>
      <c r="H12948" s="22" t="s">
        <v>15287</v>
      </c>
      <c r="I12948" s="26">
        <v>43529.451388888898</v>
      </c>
      <c r="J12948" s="28" t="s">
        <v>52</v>
      </c>
      <c r="K12948" s="28" t="s">
        <v>52</v>
      </c>
      <c r="L12948" s="28" t="s">
        <v>52</v>
      </c>
      <c r="M12948" s="28" t="s">
        <v>52</v>
      </c>
      <c r="N12948" s="28" t="s">
        <v>52</v>
      </c>
    </row>
    <row r="12949" spans="1:14" ht="12.75" hidden="1" outlineLevel="1" x14ac:dyDescent="0.2">
      <c r="A12949" s="23" t="str">
        <f>HYPERLINK("https://www.spark-marketing.ru/Card/Person/728", "ФГУ ""ВЕРХНЕ-ВОЛЖСКВОДХОЗ""")</f>
        <v>ФГУ "ВЕРХНЕ-ВОЛЖСКВОДХОЗ"</v>
      </c>
      <c r="B12949" s="24" t="s">
        <v>15285</v>
      </c>
      <c r="C12949" s="25">
        <v>114116.67</v>
      </c>
      <c r="D12949" s="22" t="s">
        <v>15286</v>
      </c>
      <c r="E12949" s="22" t="s">
        <v>487</v>
      </c>
      <c r="F12949" s="23" t="str">
        <f>HYPERLINK("https://www.spark-marketing.ru/Card/Lot/68476272", "Поставка блок-контейнера для охраны")</f>
        <v>Поставка блок-контейнера для охраны</v>
      </c>
      <c r="G12949" s="22" t="s">
        <v>340</v>
      </c>
      <c r="H12949" s="22" t="s">
        <v>15287</v>
      </c>
      <c r="I12949" s="26">
        <v>43529.451388888898</v>
      </c>
      <c r="J12949" s="23" t="str">
        <f>HYPERLINK("https://www.spark-marketing.ru/Card/Person/6171206", "ООО ""ДЕТИНЕЦ ПРОИЗВОДСТВО""")</f>
        <v>ООО "ДЕТИНЕЦ ПРОИЗВОДСТВО"</v>
      </c>
      <c r="K12949" s="24" t="s">
        <v>15288</v>
      </c>
      <c r="L12949" s="22" t="s">
        <v>10</v>
      </c>
      <c r="M12949" s="25">
        <v>110700</v>
      </c>
      <c r="N12949" s="27">
        <v>2.9940148095804059E-2</v>
      </c>
    </row>
    <row r="12950" spans="1:14" hidden="1" outlineLevel="1" x14ac:dyDescent="0.2">
      <c r="A12950" s="23" t="str">
        <f>HYPERLINK("https://www.spark-marketing.ru/Card/Person/728", "ФГУ ""ВЕРХНЕ-ВОЛЖСКВОДХОЗ""")</f>
        <v>ФГУ "ВЕРХНЕ-ВОЛЖСКВОДХОЗ"</v>
      </c>
      <c r="B12950" s="24" t="s">
        <v>15285</v>
      </c>
      <c r="C12950" s="25">
        <v>114116.67</v>
      </c>
      <c r="D12950" s="22" t="s">
        <v>15286</v>
      </c>
      <c r="E12950" s="22" t="s">
        <v>487</v>
      </c>
      <c r="F12950" s="23" t="str">
        <f>HYPERLINK("https://www.spark-marketing.ru/Card/Lot/68476272", "Поставка блок-контейнера для охраны")</f>
        <v>Поставка блок-контейнера для охраны</v>
      </c>
      <c r="G12950" s="22" t="s">
        <v>340</v>
      </c>
      <c r="H12950" s="22" t="s">
        <v>15287</v>
      </c>
      <c r="I12950" s="26">
        <v>43529.451388888898</v>
      </c>
      <c r="J12950" s="23" t="str">
        <f>HYPERLINK("https://www.spark-marketing.ru/Card/Person/2149744", "ООО ""СТК СОЮЗ""")</f>
        <v>ООО "СТК СОЮЗ"</v>
      </c>
      <c r="K12950" s="24" t="s">
        <v>15289</v>
      </c>
      <c r="L12950" s="28" t="s">
        <v>52</v>
      </c>
      <c r="M12950" s="25">
        <v>113000</v>
      </c>
      <c r="N12950" s="27">
        <v>9.7853363579571678E-3</v>
      </c>
    </row>
    <row r="12951" spans="1:14" x14ac:dyDescent="0.15">
      <c r="A12951" s="23" t="str">
        <f>HYPERLINK("https://www.spark-marketing.ru/Card/Person/4359420", "АО ""ГАЗПРОМ ОРГЭНЕРГОГАЗ""")</f>
        <v>АО "ГАЗПРОМ ОРГЭНЕРГОГАЗ"</v>
      </c>
      <c r="B12951" s="24" t="s">
        <v>15290</v>
      </c>
      <c r="C12951" s="25">
        <v>217596</v>
      </c>
      <c r="D12951" s="22" t="s">
        <v>15291</v>
      </c>
      <c r="E12951" s="22" t="s">
        <v>53</v>
      </c>
      <c r="F12951" s="23" t="str">
        <f>HYPERLINK("https://www.spark-marketing.ru/Card/Lot/69645066", "Предоставление услуги пультовой охраны 2-х объектов су ""волгооргэнергогаз"" с использованием гбр")</f>
        <v>Предоставление услуги пультовой охраны 2-х объектов су "волгооргэнергогаз" с использованием гбр</v>
      </c>
      <c r="G12951" s="22" t="s">
        <v>55</v>
      </c>
      <c r="H12951" s="22" t="s">
        <v>55</v>
      </c>
      <c r="I12951" s="26">
        <v>43529.420833333301</v>
      </c>
      <c r="J12951" s="28" t="s">
        <v>52</v>
      </c>
      <c r="K12951" s="28" t="s">
        <v>52</v>
      </c>
      <c r="L12951" s="28" t="s">
        <v>52</v>
      </c>
      <c r="M12951" s="28" t="s">
        <v>52</v>
      </c>
      <c r="N12951" s="28" t="s">
        <v>52</v>
      </c>
    </row>
    <row r="12952" spans="1:14" x14ac:dyDescent="0.15">
      <c r="A12952" s="23" t="str">
        <f>HYPERLINK("https://www.spark-marketing.ru/Card/Person/1027153", "МБДОУ № 40")</f>
        <v>МБДОУ № 40</v>
      </c>
      <c r="B12952" s="24" t="s">
        <v>15292</v>
      </c>
      <c r="C12952" s="25">
        <v>8400</v>
      </c>
      <c r="D12952" s="22" t="s">
        <v>15293</v>
      </c>
      <c r="E12952" s="22" t="s">
        <v>107</v>
      </c>
      <c r="F12952" s="23" t="str">
        <f>HYPERLINK("https://www.spark-marketing.ru/Card/Lot/68534875", "на обслуживание системы видеонаблюдения")</f>
        <v>на обслуживание системы видеонаблюдения</v>
      </c>
      <c r="G12952" s="22" t="s">
        <v>50</v>
      </c>
      <c r="H12952" s="22" t="s">
        <v>265</v>
      </c>
      <c r="I12952" s="26">
        <v>43529.440416666701</v>
      </c>
      <c r="J12952" s="28" t="s">
        <v>52</v>
      </c>
      <c r="K12952" s="28" t="s">
        <v>52</v>
      </c>
      <c r="L12952" s="28" t="s">
        <v>52</v>
      </c>
      <c r="M12952" s="28" t="s">
        <v>52</v>
      </c>
      <c r="N12952" s="28" t="s">
        <v>52</v>
      </c>
    </row>
    <row r="12953" spans="1:14" x14ac:dyDescent="0.15">
      <c r="A12953" s="23" t="str">
        <f>HYPERLINK("https://www.spark-marketing.ru/Card/Person/56696", "ГБУ НАО ""НЕНЕЦКИЙ РЕГИОНАЛЬНЫЙ ЦЕНТР РАЗВИТИЯ ОБРАЗОВАНИЯ"", ГБУ НАО ""НРЦРО""")</f>
        <v>ГБУ НАО "НЕНЕЦКИЙ РЕГИОНАЛЬНЫЙ ЦЕНТР РАЗВИТИЯ ОБРАЗОВАНИЯ", ГБУ НАО "НРЦРО"</v>
      </c>
      <c r="B12953" s="24" t="s">
        <v>14749</v>
      </c>
      <c r="C12953" s="25">
        <v>226502</v>
      </c>
      <c r="D12953" s="22" t="s">
        <v>15294</v>
      </c>
      <c r="E12953" s="22" t="s">
        <v>52</v>
      </c>
      <c r="F12953" s="23" t="str">
        <f>HYPERLINK("https://www.spark-marketing.ru/Card/Lot/68469298", "Поставка ручных и арочных металлодетекторов для обеспечения пропускного режима при проведении ГИА")</f>
        <v>Поставка ручных и арочных металлодетекторов для обеспечения пропускного режима при проведении ГИА</v>
      </c>
      <c r="G12953" s="22" t="s">
        <v>1014</v>
      </c>
      <c r="H12953" s="22" t="s">
        <v>1015</v>
      </c>
      <c r="I12953" s="26">
        <v>43529.385416666701</v>
      </c>
      <c r="J12953" s="28" t="s">
        <v>52</v>
      </c>
      <c r="K12953" s="28" t="s">
        <v>52</v>
      </c>
      <c r="L12953" s="28" t="s">
        <v>52</v>
      </c>
      <c r="M12953" s="28" t="s">
        <v>52</v>
      </c>
      <c r="N12953" s="28" t="s">
        <v>52</v>
      </c>
    </row>
    <row r="12954" spans="1:14" hidden="1" outlineLevel="1" x14ac:dyDescent="0.2">
      <c r="A12954" s="23" t="str">
        <f>HYPERLINK("https://www.spark-marketing.ru/Card/Person/56696", "ГБУ НАО ""НЕНЕЦКИЙ РЕГИОНАЛЬНЫЙ ЦЕНТР РАЗВИТИЯ ОБРАЗОВАНИЯ"", ГБУ НАО ""НРЦРО""")</f>
        <v>ГБУ НАО "НЕНЕЦКИЙ РЕГИОНАЛЬНЫЙ ЦЕНТР РАЗВИТИЯ ОБРАЗОВАНИЯ", ГБУ НАО "НРЦРО"</v>
      </c>
      <c r="B12954" s="24" t="s">
        <v>14749</v>
      </c>
      <c r="C12954" s="25">
        <v>226502</v>
      </c>
      <c r="D12954" s="22" t="s">
        <v>15294</v>
      </c>
      <c r="E12954" s="22" t="s">
        <v>52</v>
      </c>
      <c r="F12954" s="23" t="str">
        <f>HYPERLINK("https://www.spark-marketing.ru/Card/Lot/68469298", "Поставка ручных и арочных металлодетекторов для обеспечения пропускного режима при проведении ГИА")</f>
        <v>Поставка ручных и арочных металлодетекторов для обеспечения пропускного режима при проведении ГИА</v>
      </c>
      <c r="G12954" s="22" t="s">
        <v>1014</v>
      </c>
      <c r="H12954" s="22" t="s">
        <v>1015</v>
      </c>
      <c r="I12954" s="26">
        <v>43529.385416666701</v>
      </c>
      <c r="J12954" s="23" t="str">
        <f>HYPERLINK("https://www.spark-marketing.ru/Card/Person/68741", "ООО ""ГК ""ИРА-ПРОМ""")</f>
        <v>ООО "ГК "ИРА-ПРОМ"</v>
      </c>
      <c r="K12954" s="24" t="s">
        <v>15295</v>
      </c>
      <c r="L12954" s="28" t="s">
        <v>52</v>
      </c>
      <c r="M12954" s="25">
        <v>203851.8</v>
      </c>
      <c r="N12954" s="27">
        <v>0.1</v>
      </c>
    </row>
    <row r="12955" spans="1:14" hidden="1" outlineLevel="1" x14ac:dyDescent="0.2">
      <c r="A12955" s="23" t="str">
        <f>HYPERLINK("https://www.spark-marketing.ru/Card/Person/56696", "ГБУ НАО ""НЕНЕЦКИЙ РЕГИОНАЛЬНЫЙ ЦЕНТР РАЗВИТИЯ ОБРАЗОВАНИЯ"", ГБУ НАО ""НРЦРО""")</f>
        <v>ГБУ НАО "НЕНЕЦКИЙ РЕГИОНАЛЬНЫЙ ЦЕНТР РАЗВИТИЯ ОБРАЗОВАНИЯ", ГБУ НАО "НРЦРО"</v>
      </c>
      <c r="B12955" s="24" t="s">
        <v>14749</v>
      </c>
      <c r="C12955" s="25">
        <v>226502</v>
      </c>
      <c r="D12955" s="22" t="s">
        <v>15294</v>
      </c>
      <c r="E12955" s="22" t="s">
        <v>52</v>
      </c>
      <c r="F12955" s="23" t="str">
        <f>HYPERLINK("https://www.spark-marketing.ru/Card/Lot/68469298", "Поставка ручных и арочных металлодетекторов для обеспечения пропускного режима при проведении ГИА")</f>
        <v>Поставка ручных и арочных металлодетекторов для обеспечения пропускного режима при проведении ГИА</v>
      </c>
      <c r="G12955" s="22" t="s">
        <v>1014</v>
      </c>
      <c r="H12955" s="22" t="s">
        <v>1015</v>
      </c>
      <c r="I12955" s="26">
        <v>43529.385416666701</v>
      </c>
      <c r="J12955" s="23" t="str">
        <f>HYPERLINK("https://www.spark-marketing.ru/Card/Person/6493571", "ООО ""АНТИГАН""")</f>
        <v>ООО "АНТИГАН"</v>
      </c>
      <c r="K12955" s="24" t="s">
        <v>6048</v>
      </c>
      <c r="L12955" s="28" t="s">
        <v>52</v>
      </c>
      <c r="M12955" s="25">
        <v>211779.37</v>
      </c>
      <c r="N12955" s="27">
        <v>6.5000000000000002E-2</v>
      </c>
    </row>
    <row r="12956" spans="1:14" ht="12.75" hidden="1" outlineLevel="1" x14ac:dyDescent="0.2">
      <c r="A12956" s="23" t="str">
        <f>HYPERLINK("https://www.spark-marketing.ru/Card/Person/56696", "ГБУ НАО ""НЕНЕЦКИЙ РЕГИОНАЛЬНЫЙ ЦЕНТР РАЗВИТИЯ ОБРАЗОВАНИЯ"", ГБУ НАО ""НРЦРО""")</f>
        <v>ГБУ НАО "НЕНЕЦКИЙ РЕГИОНАЛЬНЫЙ ЦЕНТР РАЗВИТИЯ ОБРАЗОВАНИЯ", ГБУ НАО "НРЦРО"</v>
      </c>
      <c r="B12956" s="24" t="s">
        <v>14749</v>
      </c>
      <c r="C12956" s="25">
        <v>226502</v>
      </c>
      <c r="D12956" s="22" t="s">
        <v>15294</v>
      </c>
      <c r="E12956" s="22" t="s">
        <v>52</v>
      </c>
      <c r="F12956" s="23" t="str">
        <f>HYPERLINK("https://www.spark-marketing.ru/Card/Lot/68469298", "Поставка ручных и арочных металлодетекторов для обеспечения пропускного режима при проведении ГИА")</f>
        <v>Поставка ручных и арочных металлодетекторов для обеспечения пропускного режима при проведении ГИА</v>
      </c>
      <c r="G12956" s="22" t="s">
        <v>1014</v>
      </c>
      <c r="H12956" s="22" t="s">
        <v>1015</v>
      </c>
      <c r="I12956" s="26">
        <v>43529.385416666701</v>
      </c>
      <c r="J12956" s="23" t="str">
        <f>HYPERLINK("https://www.spark-marketing.ru/Card/Person/6275089", "ООО ""А1""")</f>
        <v>ООО "А1"</v>
      </c>
      <c r="K12956" s="24" t="s">
        <v>15296</v>
      </c>
      <c r="L12956" s="22" t="s">
        <v>10</v>
      </c>
      <c r="M12956" s="25">
        <v>203851.8</v>
      </c>
      <c r="N12956" s="27">
        <v>0.1</v>
      </c>
    </row>
    <row r="12957" spans="1:14" x14ac:dyDescent="0.15">
      <c r="A12957" s="23" t="str">
        <f>HYPERLINK("https://www.spark-marketing.ru/Card/Person/15188", "ФКУ ""ГБ МСЭ ПО СТАВРОПОЛЬСКОМУ КРАЮ"" МИНТРУДА РОССИИ")</f>
        <v>ФКУ "ГБ МСЭ ПО СТАВРОПОЛЬСКОМУ КРАЮ" МИНТРУДА РОССИИ</v>
      </c>
      <c r="B12957" s="24" t="s">
        <v>15297</v>
      </c>
      <c r="C12957" s="25">
        <v>11358719.859999999</v>
      </c>
      <c r="D12957" s="22" t="s">
        <v>15298</v>
      </c>
      <c r="E12957" s="22" t="s">
        <v>59</v>
      </c>
      <c r="F12957" s="23" t="str">
        <f>HYPERLINK("https://www.spark-marketing.ru/Card/Lot/68470720", "Выполнение работ по установке системы видеонаблюдения")</f>
        <v>Выполнение работ по установке системы видеонаблюдения</v>
      </c>
      <c r="G12957" s="22" t="s">
        <v>258</v>
      </c>
      <c r="H12957" s="22" t="s">
        <v>258</v>
      </c>
      <c r="I12957" s="26">
        <v>43529.392361111102</v>
      </c>
      <c r="J12957" s="23" t="str">
        <f>HYPERLINK("https://www.spark-marketing.ru/Card/Person/6252408", "ООО ""СЕВЕР""")</f>
        <v>ООО "СЕВЕР"</v>
      </c>
      <c r="K12957" s="24" t="s">
        <v>15299</v>
      </c>
      <c r="L12957" s="28" t="s">
        <v>52</v>
      </c>
      <c r="M12957" s="28" t="s">
        <v>52</v>
      </c>
      <c r="N12957" s="28" t="s">
        <v>52</v>
      </c>
    </row>
    <row r="12958" spans="1:14" ht="12.75" hidden="1" outlineLevel="1" x14ac:dyDescent="0.2">
      <c r="A12958" s="23" t="str">
        <f>HYPERLINK("https://www.spark-marketing.ru/Card/Person/15188", "ФКУ ""ГБ МСЭ ПО СТАВРОПОЛЬСКОМУ КРАЮ"" МИНТРУДА РОССИИ")</f>
        <v>ФКУ "ГБ МСЭ ПО СТАВРОПОЛЬСКОМУ КРАЮ" МИНТРУДА РОССИИ</v>
      </c>
      <c r="B12958" s="24" t="s">
        <v>15297</v>
      </c>
      <c r="C12958" s="25">
        <v>11358719.859999999</v>
      </c>
      <c r="D12958" s="22" t="s">
        <v>15298</v>
      </c>
      <c r="E12958" s="22" t="s">
        <v>59</v>
      </c>
      <c r="F12958" s="23" t="str">
        <f>HYPERLINK("https://www.spark-marketing.ru/Card/Lot/68470720", "Выполнение работ по установке системы видеонаблюдения")</f>
        <v>Выполнение работ по установке системы видеонаблюдения</v>
      </c>
      <c r="G12958" s="22" t="s">
        <v>258</v>
      </c>
      <c r="H12958" s="22" t="s">
        <v>258</v>
      </c>
      <c r="I12958" s="26">
        <v>43529.392361111102</v>
      </c>
      <c r="J12958" s="23" t="str">
        <f>HYPERLINK("https://www.spark-marketing.ru/Card/Person/6252408", "ООО ""СЕВЕР""")</f>
        <v>ООО "СЕВЕР"</v>
      </c>
      <c r="K12958" s="24" t="s">
        <v>15299</v>
      </c>
      <c r="L12958" s="22" t="s">
        <v>10</v>
      </c>
      <c r="M12958" s="25">
        <v>11301926</v>
      </c>
      <c r="N12958" s="27">
        <v>5.0000229515300325E-3</v>
      </c>
    </row>
    <row r="12959" spans="1:14" x14ac:dyDescent="0.15">
      <c r="A12959" s="23" t="str">
        <f>HYPERLINK("https://www.spark-marketing.ru/Card/Person/128097", "МБОУ ""ШКОЛА № 25""")</f>
        <v>МБОУ "ШКОЛА № 25"</v>
      </c>
      <c r="B12959" s="24" t="s">
        <v>10280</v>
      </c>
      <c r="C12959" s="25">
        <v>200000</v>
      </c>
      <c r="D12959" s="22" t="s">
        <v>15300</v>
      </c>
      <c r="E12959" s="22" t="s">
        <v>84</v>
      </c>
      <c r="F12959" s="23" t="str">
        <f>HYPERLINK("https://www.spark-marketing.ru/Card/Lot/68534939", "Установка видеонаблюдения")</f>
        <v>Установка видеонаблюдения</v>
      </c>
      <c r="G12959" s="22" t="s">
        <v>50</v>
      </c>
      <c r="H12959" s="22" t="s">
        <v>432</v>
      </c>
      <c r="I12959" s="26">
        <v>43529.409560185202</v>
      </c>
      <c r="J12959" s="28" t="s">
        <v>52</v>
      </c>
      <c r="K12959" s="28" t="s">
        <v>52</v>
      </c>
      <c r="L12959" s="28" t="s">
        <v>52</v>
      </c>
      <c r="M12959" s="28" t="s">
        <v>52</v>
      </c>
      <c r="N12959" s="28" t="s">
        <v>52</v>
      </c>
    </row>
    <row r="12960" spans="1:14" x14ac:dyDescent="0.15">
      <c r="A12960" s="23" t="str">
        <f>HYPERLINK("https://www.spark-marketing.ru/Card/Person/4343928", "ФГБОУ ВО КУБАНСКИЙ ГАУ")</f>
        <v>ФГБОУ ВО КУБАНСКИЙ ГАУ</v>
      </c>
      <c r="B12960" s="24" t="s">
        <v>1428</v>
      </c>
      <c r="C12960" s="25">
        <v>613793.76</v>
      </c>
      <c r="D12960" s="22" t="s">
        <v>15301</v>
      </c>
      <c r="E12960" s="22" t="s">
        <v>144</v>
      </c>
      <c r="F12960" s="23" t="str">
        <f>HYPERLINK("https://www.spark-marketing.ru/Card/Lot/68464149", "Услуги охранные")</f>
        <v>Услуги охранные</v>
      </c>
      <c r="G12960" s="22" t="s">
        <v>132</v>
      </c>
      <c r="H12960" s="22" t="s">
        <v>132</v>
      </c>
      <c r="I12960" s="26">
        <v>43529.398055555597</v>
      </c>
      <c r="J12960" s="28" t="s">
        <v>52</v>
      </c>
      <c r="K12960" s="28" t="s">
        <v>52</v>
      </c>
      <c r="L12960" s="28" t="s">
        <v>52</v>
      </c>
      <c r="M12960" s="28" t="s">
        <v>52</v>
      </c>
      <c r="N12960" s="28" t="s">
        <v>52</v>
      </c>
    </row>
    <row r="12961" spans="1:14" x14ac:dyDescent="0.15">
      <c r="A12961" s="23" t="str">
        <f>HYPERLINK("https://www.spark-marketing.ru/Card/Person/4359420", "АО ""ГАЗПРОМ ОРГЭНЕРГОГАЗ""")</f>
        <v>АО "ГАЗПРОМ ОРГЭНЕРГОГАЗ"</v>
      </c>
      <c r="B12961" s="24" t="s">
        <v>15290</v>
      </c>
      <c r="C12961" s="25">
        <v>217596</v>
      </c>
      <c r="D12961" s="22" t="s">
        <v>15302</v>
      </c>
      <c r="E12961" s="22" t="s">
        <v>53</v>
      </c>
      <c r="F12961" s="23" t="str">
        <f>HYPERLINK("https://www.spark-marketing.ru/Card/Lot/69644961", "Предоставление услуг системы контроля управлением доступа (скуд) по нижне-волжской наб, 16г для нужд су ""волгооргэнергогаз""")</f>
        <v>Предоставление услуг системы контроля управлением доступа (скуд) по нижне-волжской наб, 16г для нужд су "волгооргэнергогаз"</v>
      </c>
      <c r="G12961" s="22" t="s">
        <v>55</v>
      </c>
      <c r="H12961" s="22" t="s">
        <v>55</v>
      </c>
      <c r="I12961" s="26">
        <v>43529.405555555597</v>
      </c>
      <c r="J12961" s="28" t="s">
        <v>52</v>
      </c>
      <c r="K12961" s="28" t="s">
        <v>52</v>
      </c>
      <c r="L12961" s="28" t="s">
        <v>52</v>
      </c>
      <c r="M12961" s="28" t="s">
        <v>52</v>
      </c>
      <c r="N12961" s="28" t="s">
        <v>52</v>
      </c>
    </row>
    <row r="12962" spans="1:14" x14ac:dyDescent="0.15">
      <c r="A12962" s="23" t="str">
        <f>HYPERLINK("https://www.spark-marketing.ru/Card/Person/1016359", "МБУ ЦЕНТР ""УСПЕХ""")</f>
        <v>МБУ ЦЕНТР "УСПЕХ"</v>
      </c>
      <c r="B12962" s="24" t="s">
        <v>15303</v>
      </c>
      <c r="C12962" s="25">
        <v>10000</v>
      </c>
      <c r="D12962" s="22" t="s">
        <v>15304</v>
      </c>
      <c r="E12962" s="22" t="s">
        <v>491</v>
      </c>
      <c r="F12962" s="23" t="str">
        <f>HYPERLINK("https://www.spark-marketing.ru/Card/Lot/68464578", "техническое обслуживание систем видеонаблюдения")</f>
        <v>техническое обслуживание систем видеонаблюдения</v>
      </c>
      <c r="G12962" s="22" t="s">
        <v>402</v>
      </c>
      <c r="H12962" s="22" t="s">
        <v>4435</v>
      </c>
      <c r="I12962" s="26">
        <v>43529.411805555603</v>
      </c>
      <c r="J12962" s="28" t="s">
        <v>52</v>
      </c>
      <c r="K12962" s="28" t="s">
        <v>52</v>
      </c>
      <c r="L12962" s="28" t="s">
        <v>52</v>
      </c>
      <c r="M12962" s="28" t="s">
        <v>52</v>
      </c>
      <c r="N12962" s="28" t="s">
        <v>52</v>
      </c>
    </row>
    <row r="12963" spans="1:14" x14ac:dyDescent="0.15">
      <c r="A12963" s="23" t="str">
        <f>HYPERLINK("https://www.spark-marketing.ru/Card/Person/282838", "ГКУЗ МЦМР ""РЕЗЕРВ""")</f>
        <v>ГКУЗ МЦМР "РЕЗЕРВ"</v>
      </c>
      <c r="B12963" s="24" t="s">
        <v>15305</v>
      </c>
      <c r="C12963" s="25">
        <v>368640</v>
      </c>
      <c r="D12963" s="22" t="s">
        <v>15306</v>
      </c>
      <c r="E12963" s="22" t="s">
        <v>68</v>
      </c>
      <c r="F12963" s="23" t="str">
        <f>HYPERLINK("https://www.spark-marketing.ru/Card/Lot/68465279", "Обеспечение военизированной охраны на объектах")</f>
        <v>Обеспечение военизированной охраны на объектах</v>
      </c>
      <c r="G12963" s="22" t="s">
        <v>514</v>
      </c>
      <c r="H12963" s="22" t="s">
        <v>2167</v>
      </c>
      <c r="I12963" s="26">
        <v>43529.380555555603</v>
      </c>
      <c r="J12963" s="28" t="s">
        <v>52</v>
      </c>
      <c r="K12963" s="28" t="s">
        <v>52</v>
      </c>
      <c r="L12963" s="28" t="s">
        <v>52</v>
      </c>
      <c r="M12963" s="28" t="s">
        <v>52</v>
      </c>
      <c r="N12963" s="28" t="s">
        <v>52</v>
      </c>
    </row>
    <row r="12964" spans="1:14" x14ac:dyDescent="0.15">
      <c r="A12964" s="23" t="str">
        <f>HYPERLINK("https://www.spark-marketing.ru/Card/Person/4379377", "МУ ""КЦСОН"" ОРДЖОНИКИДЗЕВСКОГО РАЙОНА Г. МАГНИТОГОРСКА")</f>
        <v>МУ "КЦСОН" ОРДЖОНИКИДЗЕВСКОГО РАЙОНА Г. МАГНИТОГОРСКА</v>
      </c>
      <c r="B12964" s="24" t="s">
        <v>8978</v>
      </c>
      <c r="C12964" s="28" t="s">
        <v>52</v>
      </c>
      <c r="D12964" s="22" t="s">
        <v>15307</v>
      </c>
      <c r="E12964" s="22" t="s">
        <v>107</v>
      </c>
      <c r="F12964" s="23" t="str">
        <f>HYPERLINK("https://www.spark-marketing.ru/Card/Lot/68462977", "Услуги по техническому обслуживанию системы видеонаблюдения")</f>
        <v>Услуги по техническому обслуживанию системы видеонаблюдения</v>
      </c>
      <c r="G12964" s="22" t="s">
        <v>60</v>
      </c>
      <c r="H12964" s="22" t="s">
        <v>221</v>
      </c>
      <c r="I12964" s="26">
        <v>43529.358333333301</v>
      </c>
      <c r="J12964" s="28" t="s">
        <v>52</v>
      </c>
      <c r="K12964" s="28" t="s">
        <v>52</v>
      </c>
      <c r="L12964" s="28" t="s">
        <v>52</v>
      </c>
      <c r="M12964" s="28" t="s">
        <v>52</v>
      </c>
      <c r="N12964" s="28" t="s">
        <v>52</v>
      </c>
    </row>
    <row r="12965" spans="1:14" x14ac:dyDescent="0.15">
      <c r="A12965" s="23" t="str">
        <f>HYPERLINK("https://www.spark-marketing.ru/Card/Person/138142", "ГАУЗ ""ДЕТСКАЯ ГОРОДСКАЯ ПОЛИКЛИНИКА № 10""")</f>
        <v>ГАУЗ "ДЕТСКАЯ ГОРОДСКАЯ ПОЛИКЛИНИКА № 10"</v>
      </c>
      <c r="B12965" s="24" t="s">
        <v>15308</v>
      </c>
      <c r="C12965" s="25">
        <v>134748.35999999999</v>
      </c>
      <c r="D12965" s="22" t="s">
        <v>15309</v>
      </c>
      <c r="E12965" s="22" t="s">
        <v>107</v>
      </c>
      <c r="F12965" s="23" t="str">
        <f>HYPERLINK("https://www.spark-marketing.ru/Card/Lot/68468766", "Техническое обслуживание технических средств охраны")</f>
        <v>Техническое обслуживание технических средств охраны</v>
      </c>
      <c r="G12965" s="22" t="s">
        <v>204</v>
      </c>
      <c r="H12965" s="22" t="s">
        <v>303</v>
      </c>
      <c r="I12965" s="26">
        <v>43529.370833333298</v>
      </c>
      <c r="J12965" s="28" t="s">
        <v>52</v>
      </c>
      <c r="K12965" s="28" t="s">
        <v>52</v>
      </c>
      <c r="L12965" s="28" t="s">
        <v>52</v>
      </c>
      <c r="M12965" s="28" t="s">
        <v>52</v>
      </c>
      <c r="N12965" s="28" t="s">
        <v>52</v>
      </c>
    </row>
    <row r="12966" spans="1:14" x14ac:dyDescent="0.15">
      <c r="A12966" s="23" t="str">
        <f>HYPERLINK("https://www.spark-marketing.ru/Card/Person/1020936", "БОУ ДО Г. ОМСКА ""ДЮСШ № 19""")</f>
        <v>БОУ ДО Г. ОМСКА "ДЮСШ № 19"</v>
      </c>
      <c r="B12966" s="24" t="s">
        <v>15310</v>
      </c>
      <c r="C12966" s="25">
        <v>12000</v>
      </c>
      <c r="D12966" s="22" t="s">
        <v>15311</v>
      </c>
      <c r="E12966" s="22" t="s">
        <v>68</v>
      </c>
      <c r="F12966" s="23" t="str">
        <f>HYPERLINK("https://www.spark-marketing.ru/Card/Lot/68462978", "Оказание услуг по охране объекта")</f>
        <v>Оказание услуг по охране объекта</v>
      </c>
      <c r="G12966" s="22" t="s">
        <v>521</v>
      </c>
      <c r="H12966" s="22" t="s">
        <v>522</v>
      </c>
      <c r="I12966" s="26">
        <v>43529.358333333301</v>
      </c>
      <c r="J12966" s="28" t="s">
        <v>52</v>
      </c>
      <c r="K12966" s="28" t="s">
        <v>52</v>
      </c>
      <c r="L12966" s="28" t="s">
        <v>52</v>
      </c>
      <c r="M12966" s="28" t="s">
        <v>52</v>
      </c>
      <c r="N12966" s="28" t="s">
        <v>52</v>
      </c>
    </row>
    <row r="12967" spans="1:14" x14ac:dyDescent="0.15">
      <c r="A12967" s="23" t="str">
        <f>HYPERLINK("https://www.spark-marketing.ru/Card/Person/1013632", "МБУ ФОК ""ПЛАМЯ""")</f>
        <v>МБУ ФОК "ПЛАМЯ"</v>
      </c>
      <c r="B12967" s="24" t="s">
        <v>15312</v>
      </c>
      <c r="C12967" s="25">
        <v>38586</v>
      </c>
      <c r="D12967" s="22" t="s">
        <v>15313</v>
      </c>
      <c r="E12967" s="22" t="s">
        <v>9844</v>
      </c>
      <c r="F12967" s="23" t="str">
        <f>HYPERLINK("https://www.spark-marketing.ru/Card/Lot/68464079", "Установка видеонаблюдения на объекте")</f>
        <v>Установка видеонаблюдения на объекте</v>
      </c>
      <c r="G12967" s="22" t="s">
        <v>629</v>
      </c>
      <c r="H12967" s="22" t="s">
        <v>1603</v>
      </c>
      <c r="I12967" s="26">
        <v>43529.355555555601</v>
      </c>
      <c r="J12967" s="28" t="s">
        <v>52</v>
      </c>
      <c r="K12967" s="28" t="s">
        <v>52</v>
      </c>
      <c r="L12967" s="28" t="s">
        <v>52</v>
      </c>
      <c r="M12967" s="28" t="s">
        <v>52</v>
      </c>
      <c r="N12967" s="28" t="s">
        <v>52</v>
      </c>
    </row>
    <row r="12968" spans="1:14" hidden="1" outlineLevel="1" x14ac:dyDescent="0.2">
      <c r="A12968" s="23" t="str">
        <f>HYPERLINK("https://www.spark-marketing.ru/Card/Person/1013632", "МБУ ФОК ""ПЛАМЯ""")</f>
        <v>МБУ ФОК "ПЛАМЯ"</v>
      </c>
      <c r="B12968" s="24" t="s">
        <v>15312</v>
      </c>
      <c r="C12968" s="25">
        <v>38586</v>
      </c>
      <c r="D12968" s="22" t="s">
        <v>15313</v>
      </c>
      <c r="E12968" s="22" t="s">
        <v>9844</v>
      </c>
      <c r="F12968" s="23" t="str">
        <f>HYPERLINK("https://www.spark-marketing.ru/Card/Lot/68464079", "Установка видеонаблюдения на объекте")</f>
        <v>Установка видеонаблюдения на объекте</v>
      </c>
      <c r="G12968" s="22" t="s">
        <v>629</v>
      </c>
      <c r="H12968" s="22" t="s">
        <v>1603</v>
      </c>
      <c r="I12968" s="26">
        <v>43529.355555555601</v>
      </c>
      <c r="J12968" s="23" t="str">
        <f>HYPERLINK("https://www.spark-marketing.ru/Card/Person/6493589", "Тен Анастасия Сергеевна")</f>
        <v>Тен Анастасия Сергеевна</v>
      </c>
      <c r="K12968" s="24" t="s">
        <v>13930</v>
      </c>
      <c r="L12968" s="28" t="s">
        <v>52</v>
      </c>
      <c r="M12968" s="25">
        <v>16913.12</v>
      </c>
      <c r="N12968" s="27">
        <v>0.56167729228217489</v>
      </c>
    </row>
    <row r="12969" spans="1:14" hidden="1" outlineLevel="1" x14ac:dyDescent="0.2">
      <c r="A12969" s="23" t="str">
        <f>HYPERLINK("https://www.spark-marketing.ru/Card/Person/1013632", "МБУ ФОК ""ПЛАМЯ""")</f>
        <v>МБУ ФОК "ПЛАМЯ"</v>
      </c>
      <c r="B12969" s="24" t="s">
        <v>15312</v>
      </c>
      <c r="C12969" s="25">
        <v>38586</v>
      </c>
      <c r="D12969" s="22" t="s">
        <v>15313</v>
      </c>
      <c r="E12969" s="22" t="s">
        <v>9844</v>
      </c>
      <c r="F12969" s="23" t="str">
        <f>HYPERLINK("https://www.spark-marketing.ru/Card/Lot/68464079", "Установка видеонаблюдения на объекте")</f>
        <v>Установка видеонаблюдения на объекте</v>
      </c>
      <c r="G12969" s="22" t="s">
        <v>629</v>
      </c>
      <c r="H12969" s="22" t="s">
        <v>1603</v>
      </c>
      <c r="I12969" s="26">
        <v>43529.355555555601</v>
      </c>
      <c r="J12969" s="23" t="str">
        <f>HYPERLINK("https://www.spark-marketing.ru/Card/Person/700418", "Халилов Марат Ильдарович")</f>
        <v>Халилов Марат Ильдарович</v>
      </c>
      <c r="K12969" s="24" t="s">
        <v>15314</v>
      </c>
      <c r="L12969" s="28" t="s">
        <v>52</v>
      </c>
      <c r="M12969" s="25">
        <v>20500</v>
      </c>
      <c r="N12969" s="27">
        <v>0.46871922458922927</v>
      </c>
    </row>
    <row r="12970" spans="1:14" hidden="1" outlineLevel="1" x14ac:dyDescent="0.2">
      <c r="A12970" s="23" t="str">
        <f>HYPERLINK("https://www.spark-marketing.ru/Card/Person/1013632", "МБУ ФОК ""ПЛАМЯ""")</f>
        <v>МБУ ФОК "ПЛАМЯ"</v>
      </c>
      <c r="B12970" s="24" t="s">
        <v>15312</v>
      </c>
      <c r="C12970" s="25">
        <v>38586</v>
      </c>
      <c r="D12970" s="22" t="s">
        <v>15313</v>
      </c>
      <c r="E12970" s="22" t="s">
        <v>9844</v>
      </c>
      <c r="F12970" s="23" t="str">
        <f>HYPERLINK("https://www.spark-marketing.ru/Card/Lot/68464079", "Установка видеонаблюдения на объекте")</f>
        <v>Установка видеонаблюдения на объекте</v>
      </c>
      <c r="G12970" s="22" t="s">
        <v>629</v>
      </c>
      <c r="H12970" s="22" t="s">
        <v>1603</v>
      </c>
      <c r="I12970" s="26">
        <v>43529.355555555601</v>
      </c>
      <c r="J12970" s="23" t="str">
        <f>HYPERLINK("https://www.spark-marketing.ru/Card/Person/18883", "ООО ""БЭКСТР""")</f>
        <v>ООО "БЭКСТР"</v>
      </c>
      <c r="K12970" s="24" t="s">
        <v>9050</v>
      </c>
      <c r="L12970" s="28" t="s">
        <v>52</v>
      </c>
      <c r="M12970" s="25">
        <v>37428.42</v>
      </c>
      <c r="N12970" s="27">
        <v>0.03</v>
      </c>
    </row>
    <row r="12971" spans="1:14" ht="12.75" hidden="1" outlineLevel="1" x14ac:dyDescent="0.2">
      <c r="A12971" s="23" t="str">
        <f>HYPERLINK("https://www.spark-marketing.ru/Card/Person/1013632", "МБУ ФОК ""ПЛАМЯ""")</f>
        <v>МБУ ФОК "ПЛАМЯ"</v>
      </c>
      <c r="B12971" s="24" t="s">
        <v>15312</v>
      </c>
      <c r="C12971" s="25">
        <v>38586</v>
      </c>
      <c r="D12971" s="22" t="s">
        <v>15313</v>
      </c>
      <c r="E12971" s="22" t="s">
        <v>9844</v>
      </c>
      <c r="F12971" s="23" t="str">
        <f>HYPERLINK("https://www.spark-marketing.ru/Card/Lot/68464079", "Установка видеонаблюдения на объекте")</f>
        <v>Установка видеонаблюдения на объекте</v>
      </c>
      <c r="G12971" s="22" t="s">
        <v>629</v>
      </c>
      <c r="H12971" s="22" t="s">
        <v>1603</v>
      </c>
      <c r="I12971" s="26">
        <v>43529.355555555601</v>
      </c>
      <c r="J12971" s="23" t="str">
        <f>HYPERLINK("https://www.spark-marketing.ru/Card/Person/6450956", "ООО ""ВАЙЛЕС""")</f>
        <v>ООО "ВАЙЛЕС"</v>
      </c>
      <c r="K12971" s="24" t="s">
        <v>15315</v>
      </c>
      <c r="L12971" s="22" t="s">
        <v>10</v>
      </c>
      <c r="M12971" s="25">
        <v>16720.189999999999</v>
      </c>
      <c r="N12971" s="27">
        <v>0.56667729228217489</v>
      </c>
    </row>
    <row r="12972" spans="1:14" x14ac:dyDescent="0.15">
      <c r="A12972" s="23" t="str">
        <f>HYPERLINK("https://www.spark-marketing.ru/Card/Person/1309183", "ГАУССО НСО ""КПИ""")</f>
        <v>ГАУССО НСО "КПИ"</v>
      </c>
      <c r="B12972" s="24" t="s">
        <v>11188</v>
      </c>
      <c r="C12972" s="25">
        <v>84000</v>
      </c>
      <c r="D12972" s="22" t="s">
        <v>15316</v>
      </c>
      <c r="E12972" s="22" t="s">
        <v>59</v>
      </c>
      <c r="F12972" s="23" t="str">
        <f>HYPERLINK("https://www.spark-marketing.ru/Card/Lot/68460515", "обслуживание системы видеонаблюдения")</f>
        <v>обслуживание системы видеонаблюдения</v>
      </c>
      <c r="G12972" s="22" t="s">
        <v>209</v>
      </c>
      <c r="H12972" s="22" t="s">
        <v>11190</v>
      </c>
      <c r="I12972" s="26">
        <v>43529.254166666702</v>
      </c>
      <c r="J12972" s="28" t="s">
        <v>52</v>
      </c>
      <c r="K12972" s="28" t="s">
        <v>52</v>
      </c>
      <c r="L12972" s="28" t="s">
        <v>52</v>
      </c>
      <c r="M12972" s="28" t="s">
        <v>52</v>
      </c>
      <c r="N12972" s="28" t="s">
        <v>52</v>
      </c>
    </row>
    <row r="12973" spans="1:14" x14ac:dyDescent="0.15">
      <c r="A12973" s="23" t="str">
        <f>HYPERLINK("https://www.spark-marketing.ru/Card/Person/653698", "ПАО ""ППГХО""")</f>
        <v>ПАО "ППГХО"</v>
      </c>
      <c r="B12973" s="24" t="s">
        <v>9108</v>
      </c>
      <c r="C12973" s="28" t="s">
        <v>52</v>
      </c>
      <c r="D12973" s="22" t="s">
        <v>15317</v>
      </c>
      <c r="E12973" s="22" t="s">
        <v>4127</v>
      </c>
      <c r="F12973" s="23" t="str">
        <f>HYPERLINK("https://www.spark-marketing.ru/Card/Lot/70422262", "Оказание услуг по обеспечению пропускного и внутриобъектового режимов на не категорированных объектах ПАО «ППГХО»")</f>
        <v>Оказание услуг по обеспечению пропускного и внутриобъектового режимов на не категорированных объектах ПАО «ППГХО»</v>
      </c>
      <c r="G12973" s="22" t="s">
        <v>473</v>
      </c>
      <c r="H12973" s="22" t="s">
        <v>9111</v>
      </c>
      <c r="I12973" s="26">
        <v>43529.167719907397</v>
      </c>
      <c r="J12973" s="28" t="s">
        <v>52</v>
      </c>
      <c r="K12973" s="28" t="s">
        <v>52</v>
      </c>
      <c r="L12973" s="28" t="s">
        <v>52</v>
      </c>
      <c r="M12973" s="28" t="s">
        <v>52</v>
      </c>
      <c r="N12973" s="28" t="s">
        <v>52</v>
      </c>
    </row>
    <row r="12974" spans="1:14" x14ac:dyDescent="0.15">
      <c r="A12974" s="23" t="str">
        <f>HYPERLINK("https://www.spark-marketing.ru/Card/Person/27769", "АО ""ДВЗ ""ЗВЕЗДА""")</f>
        <v>АО "ДВЗ "ЗВЕЗДА"</v>
      </c>
      <c r="B12974" s="24" t="s">
        <v>2468</v>
      </c>
      <c r="C12974" s="25">
        <v>1504800</v>
      </c>
      <c r="D12974" s="22" t="s">
        <v>15318</v>
      </c>
      <c r="E12974" s="22" t="s">
        <v>53</v>
      </c>
      <c r="F12974" s="23" t="str">
        <f>HYPERLINK("https://www.spark-marketing.ru/Card/Lot/68464646", "Номер закупки 39/19-ЗП. Оказание услуг по физической охране объекта базы отдыха «Березовая падь»")</f>
        <v>Номер закупки 39/19-ЗП. Оказание услуг по физической охране объекта базы отдыха «Березовая падь»</v>
      </c>
      <c r="G12974" s="22" t="s">
        <v>409</v>
      </c>
      <c r="H12974" s="22" t="s">
        <v>2470</v>
      </c>
      <c r="I12974" s="26">
        <v>43529.194444444402</v>
      </c>
      <c r="J12974" s="28" t="s">
        <v>52</v>
      </c>
      <c r="K12974" s="28" t="s">
        <v>52</v>
      </c>
      <c r="L12974" s="28" t="s">
        <v>52</v>
      </c>
      <c r="M12974" s="28" t="s">
        <v>52</v>
      </c>
      <c r="N12974" s="28" t="s">
        <v>52</v>
      </c>
    </row>
    <row r="12975" spans="1:14" x14ac:dyDescent="0.15">
      <c r="A12975" s="23" t="str">
        <f>HYPERLINK("https://www.spark-marketing.ru/Card/Person/6450322", "ЗАКАЗЧИК РП БЕЛАРУСЬ")</f>
        <v>ЗАКАЗЧИК РП БЕЛАРУСЬ</v>
      </c>
      <c r="B12975" s="28" t="s">
        <v>52</v>
      </c>
      <c r="C12975" s="25">
        <v>4241899.2</v>
      </c>
      <c r="D12975" s="22" t="s">
        <v>15319</v>
      </c>
      <c r="E12975" s="22" t="s">
        <v>53</v>
      </c>
      <c r="F12975" s="23" t="str">
        <f>HYPERLINK("https://www.spark-marketing.ru/Card/Lot/68476637", "Приборы по каналам связи GSM 3G и Ethernet 8-и шлейфные (работа в составе СПИ АСОС «Алеся»)")</f>
        <v>Приборы по каналам связи GSM 3G и Ethernet 8-и шлейфные (работа в составе СПИ АСОС «Алеся»)</v>
      </c>
      <c r="G12975" s="22" t="s">
        <v>52</v>
      </c>
      <c r="H12975" s="22" t="s">
        <v>52</v>
      </c>
      <c r="I12975" s="26">
        <v>43529</v>
      </c>
      <c r="J12975" s="28" t="s">
        <v>52</v>
      </c>
      <c r="K12975" s="28" t="s">
        <v>52</v>
      </c>
      <c r="L12975" s="28" t="s">
        <v>52</v>
      </c>
      <c r="M12975" s="28" t="s">
        <v>52</v>
      </c>
      <c r="N12975" s="28" t="s">
        <v>52</v>
      </c>
    </row>
    <row r="12976" spans="1:14" x14ac:dyDescent="0.15">
      <c r="A12976" s="23" t="str">
        <f>HYPERLINK("https://www.spark-marketing.ru/Card/Person/6450322", "ЗАКАЗЧИК РП БЕЛАРУСЬ")</f>
        <v>ЗАКАЗЧИК РП БЕЛАРУСЬ</v>
      </c>
      <c r="B12976" s="28" t="s">
        <v>52</v>
      </c>
      <c r="C12976" s="25">
        <v>829936.8</v>
      </c>
      <c r="D12976" s="22" t="s">
        <v>15319</v>
      </c>
      <c r="E12976" s="22" t="s">
        <v>53</v>
      </c>
      <c r="F12976" s="23" t="str">
        <f>HYPERLINK("https://www.spark-marketing.ru/Card/Lot/68476508", "Приборы по каналам связи GSM 3G и Ethernet 4-х шлейфные (работа в составе СПИ АСОС «Алеся»)")</f>
        <v>Приборы по каналам связи GSM 3G и Ethernet 4-х шлейфные (работа в составе СПИ АСОС «Алеся»)</v>
      </c>
      <c r="G12976" s="22" t="s">
        <v>52</v>
      </c>
      <c r="H12976" s="22" t="s">
        <v>52</v>
      </c>
      <c r="I12976" s="26">
        <v>43529</v>
      </c>
      <c r="J12976" s="28" t="s">
        <v>52</v>
      </c>
      <c r="K12976" s="28" t="s">
        <v>52</v>
      </c>
      <c r="L12976" s="28" t="s">
        <v>52</v>
      </c>
      <c r="M12976" s="28" t="s">
        <v>52</v>
      </c>
      <c r="N12976" s="28" t="s">
        <v>52</v>
      </c>
    </row>
    <row r="12977" spans="1:14" x14ac:dyDescent="0.15">
      <c r="A12977" s="23" t="str">
        <f>HYPERLINK("https://www.spark-marketing.ru/Card/Person/6450322", "ЗАКАЗЧИК РП БЕЛАРУСЬ")</f>
        <v>ЗАКАЗЧИК РП БЕЛАРУСЬ</v>
      </c>
      <c r="B12977" s="28" t="s">
        <v>52</v>
      </c>
      <c r="C12977" s="25">
        <v>2246977.04</v>
      </c>
      <c r="D12977" s="22" t="s">
        <v>15319</v>
      </c>
      <c r="E12977" s="22" t="s">
        <v>53</v>
      </c>
      <c r="F12977" s="23" t="str">
        <f>HYPERLINK("https://www.spark-marketing.ru/Card/Lot/68476507", "Приборы по каналам связи GSM 3G в комплекте с модулем GSM 8-и шлейфный (работа в составе АСОС ""Алеся"")")</f>
        <v>Приборы по каналам связи GSM 3G в комплекте с модулем GSM 8-и шлейфный (работа в составе АСОС "Алеся")</v>
      </c>
      <c r="G12977" s="22" t="s">
        <v>52</v>
      </c>
      <c r="H12977" s="22" t="s">
        <v>52</v>
      </c>
      <c r="I12977" s="26">
        <v>43529</v>
      </c>
      <c r="J12977" s="28" t="s">
        <v>52</v>
      </c>
      <c r="K12977" s="28" t="s">
        <v>52</v>
      </c>
      <c r="L12977" s="28" t="s">
        <v>52</v>
      </c>
      <c r="M12977" s="28" t="s">
        <v>52</v>
      </c>
      <c r="N12977" s="28" t="s">
        <v>52</v>
      </c>
    </row>
    <row r="12978" spans="1:14" x14ac:dyDescent="0.15">
      <c r="A12978" s="23" t="str">
        <f>HYPERLINK("https://www.spark-marketing.ru/Card/Person/1761899", "АО ""ИЦ ""БУРЕВЕСТНИК""")</f>
        <v>АО "ИЦ "БУРЕВЕСТНИК"</v>
      </c>
      <c r="B12978" s="24" t="s">
        <v>12588</v>
      </c>
      <c r="C12978" s="25">
        <v>6021000</v>
      </c>
      <c r="D12978" s="22" t="s">
        <v>15320</v>
      </c>
      <c r="E12978" s="22" t="s">
        <v>53</v>
      </c>
      <c r="F12978" s="23" t="str">
        <f>HYPERLINK("https://www.spark-marketing.ru/Card/Lot/68507793", "Физическая охрана объекта")</f>
        <v>Физическая охрана объекта</v>
      </c>
      <c r="G12978" s="22" t="s">
        <v>89</v>
      </c>
      <c r="H12978" s="22" t="s">
        <v>89</v>
      </c>
      <c r="I12978" s="26">
        <v>43529</v>
      </c>
      <c r="J12978" s="28" t="s">
        <v>52</v>
      </c>
      <c r="K12978" s="28" t="s">
        <v>52</v>
      </c>
      <c r="L12978" s="28" t="s">
        <v>52</v>
      </c>
      <c r="M12978" s="28" t="s">
        <v>52</v>
      </c>
      <c r="N12978" s="28" t="s">
        <v>52</v>
      </c>
    </row>
    <row r="12979" spans="1:14" x14ac:dyDescent="0.15">
      <c r="A12979" s="23" t="str">
        <f>HYPERLINK("https://www.spark-marketing.ru/Card/Person/6450322", "ЗАКАЗЧИК РП БЕЛАРУСЬ")</f>
        <v>ЗАКАЗЧИК РП БЕЛАРУСЬ</v>
      </c>
      <c r="B12979" s="28" t="s">
        <v>52</v>
      </c>
      <c r="C12979" s="25">
        <v>3356633.28</v>
      </c>
      <c r="D12979" s="22" t="s">
        <v>15319</v>
      </c>
      <c r="E12979" s="22" t="s">
        <v>53</v>
      </c>
      <c r="F12979" s="23" t="str">
        <f>HYPERLINK("https://www.spark-marketing.ru/Card/Lot/68476506", "Приборы по каналам связи GSM 3G в комплекте с модулем GSM 4-х шлейфный (работа в составе АСОС ""Алеся"")")</f>
        <v>Приборы по каналам связи GSM 3G в комплекте с модулем GSM 4-х шлейфный (работа в составе АСОС "Алеся")</v>
      </c>
      <c r="G12979" s="22" t="s">
        <v>52</v>
      </c>
      <c r="H12979" s="22" t="s">
        <v>52</v>
      </c>
      <c r="I12979" s="26">
        <v>43529</v>
      </c>
      <c r="J12979" s="28" t="s">
        <v>52</v>
      </c>
      <c r="K12979" s="28" t="s">
        <v>52</v>
      </c>
      <c r="L12979" s="28" t="s">
        <v>52</v>
      </c>
      <c r="M12979" s="28" t="s">
        <v>52</v>
      </c>
      <c r="N12979" s="28" t="s">
        <v>52</v>
      </c>
    </row>
    <row r="12980" spans="1:14" x14ac:dyDescent="0.15">
      <c r="A12980" s="23" t="str">
        <f>HYPERLINK("https://www.spark-marketing.ru/Card/Person/130109", "ПАО БАНК ""ФК ОТКРЫТИЕ""")</f>
        <v>ПАО БАНК "ФК ОТКРЫТИЕ"</v>
      </c>
      <c r="B12980" s="24" t="s">
        <v>693</v>
      </c>
      <c r="C12980" s="25">
        <v>0</v>
      </c>
      <c r="D12980" s="22" t="s">
        <v>15321</v>
      </c>
      <c r="E12980" s="22" t="s">
        <v>53</v>
      </c>
      <c r="F12980" s="23" t="str">
        <f>HYPERLINK("https://www.spark-marketing.ru/Card/Lot/68473404", "ПАО Банк «ФК Открытие» приглашает к участию в процедуре запроса ценовой информации на оказание услуг по физической охране объекта Заказчика в Калужской области. Ценовую информацию, в соответствии с данным запросом, необходимо предоставить в соответст...")</f>
        <v>ПАО Банк «ФК Открытие» приглашает к участию в процедуре запроса ценовой информации на оказание услуг по физической охране объекта Заказчика в Калужской области. Ценовую информацию, в соответствии с данным запросом, необходимо предоставить в соответст...</v>
      </c>
      <c r="G12980" s="22" t="s">
        <v>55</v>
      </c>
      <c r="H12980" s="22" t="s">
        <v>55</v>
      </c>
      <c r="I12980" s="26">
        <v>43529</v>
      </c>
      <c r="J12980" s="28" t="s">
        <v>52</v>
      </c>
      <c r="K12980" s="28" t="s">
        <v>52</v>
      </c>
      <c r="L12980" s="28" t="s">
        <v>52</v>
      </c>
      <c r="M12980" s="28" t="s">
        <v>52</v>
      </c>
      <c r="N12980" s="28" t="s">
        <v>52</v>
      </c>
    </row>
    <row r="12981" spans="1:14" x14ac:dyDescent="0.2">
      <c r="A12981" s="23" t="str">
        <f>HYPERLINK("https://www.spark-marketing.ru/Card/Person/657406", "АУ ""ЮГРАМЕГАСПОРТ""")</f>
        <v>АУ "ЮГРАМЕГАСПОРТ"</v>
      </c>
      <c r="B12981" s="24" t="s">
        <v>15322</v>
      </c>
      <c r="C12981" s="25">
        <v>4715053.5599999996</v>
      </c>
      <c r="D12981" s="22" t="s">
        <v>15323</v>
      </c>
      <c r="E12981" s="22" t="s">
        <v>144</v>
      </c>
      <c r="F12981" s="23" t="str">
        <f>HYPERLINK("https://www.spark-marketing.ru/Card/Lot/68451358", "Оказание услуг по охране объектов Автономного учреждения Ханты-Мансийского автономного округа - Югры «ЮграМегаСпорт»")</f>
        <v>Оказание услуг по охране объектов Автономного учреждения Ханты-Мансийского автономного округа - Югры «ЮграМегаСпорт»</v>
      </c>
      <c r="G12981" s="22" t="s">
        <v>119</v>
      </c>
      <c r="H12981" s="22" t="s">
        <v>119</v>
      </c>
      <c r="I12981" s="26">
        <v>43528.748796296299</v>
      </c>
      <c r="J12981" s="23" t="str">
        <f>HYPERLINK("https://www.spark-marketing.ru/Card/Person/131932", "ООО ""ЧОП ЕРМАК""")</f>
        <v>ООО "ЧОП ЕРМАК"</v>
      </c>
      <c r="K12981" s="24" t="s">
        <v>9734</v>
      </c>
      <c r="L12981" s="28" t="s">
        <v>52</v>
      </c>
      <c r="M12981" s="25">
        <v>4715053.5599999996</v>
      </c>
      <c r="N12981" s="27">
        <v>0</v>
      </c>
    </row>
    <row r="12982" spans="1:14" x14ac:dyDescent="0.15">
      <c r="A12982" s="23" t="str">
        <f>HYPERLINK("https://www.spark-marketing.ru/Card/Person/103043", "ФГУ ЭВОС")</f>
        <v>ФГУ ЭВОС</v>
      </c>
      <c r="B12982" s="24" t="s">
        <v>15184</v>
      </c>
      <c r="C12982" s="25">
        <v>2922057</v>
      </c>
      <c r="D12982" s="22" t="s">
        <v>15324</v>
      </c>
      <c r="E12982" s="22" t="s">
        <v>68</v>
      </c>
      <c r="F12982" s="23" t="str">
        <f>HYPERLINK("https://www.spark-marketing.ru/Card/Lot/68448172", "Оказание услуг по охране объектов и сооружений инженерных защит Янгузнаратовской и Янзигитовской сельхознизин Нижнекамского водохранилища")</f>
        <v>Оказание услуг по охране объектов и сооружений инженерных защит Янгузнаратовской и Янзигитовской сельхознизин Нижнекамского водохранилища</v>
      </c>
      <c r="G12982" s="22" t="s">
        <v>100</v>
      </c>
      <c r="H12982" s="22" t="s">
        <v>100</v>
      </c>
      <c r="I12982" s="26">
        <v>43528.711111111101</v>
      </c>
      <c r="J12982" s="23" t="str">
        <f>HYPERLINK("https://www.spark-marketing.ru/Card/Person/291120", "ООО ЧОО ""КАЗАЧЬЯ ОХРАНА ЯГУАР""")</f>
        <v>ООО ЧОО "КАЗАЧЬЯ ОХРАНА ЯГУАР"</v>
      </c>
      <c r="K12982" s="24" t="s">
        <v>9636</v>
      </c>
      <c r="L12982" s="28" t="s">
        <v>52</v>
      </c>
      <c r="M12982" s="28" t="s">
        <v>52</v>
      </c>
      <c r="N12982" s="28" t="s">
        <v>52</v>
      </c>
    </row>
    <row r="12983" spans="1:14" ht="12.75" hidden="1" outlineLevel="1" x14ac:dyDescent="0.2">
      <c r="A12983" s="23" t="str">
        <f>HYPERLINK("https://www.spark-marketing.ru/Card/Person/103043", "ФГУ ЭВОС")</f>
        <v>ФГУ ЭВОС</v>
      </c>
      <c r="B12983" s="24" t="s">
        <v>15184</v>
      </c>
      <c r="C12983" s="25">
        <v>2922057</v>
      </c>
      <c r="D12983" s="22" t="s">
        <v>15324</v>
      </c>
      <c r="E12983" s="22" t="s">
        <v>68</v>
      </c>
      <c r="F12983" s="23" t="str">
        <f>HYPERLINK("https://www.spark-marketing.ru/Card/Lot/68448172", "Оказание услуг по охране объектов и сооружений инженерных защит Янгузнаратовской и Янзигитовской сельхознизин Нижнекамского водохранилища")</f>
        <v>Оказание услуг по охране объектов и сооружений инженерных защит Янгузнаратовской и Янзигитовской сельхознизин Нижнекамского водохранилища</v>
      </c>
      <c r="G12983" s="22" t="s">
        <v>100</v>
      </c>
      <c r="H12983" s="22" t="s">
        <v>100</v>
      </c>
      <c r="I12983" s="26">
        <v>43528.711111111101</v>
      </c>
      <c r="J12983" s="23" t="str">
        <f>HYPERLINK("https://www.spark-marketing.ru/Card/Person/291120", "ООО ЧОО ""КАЗАЧЬЯ ОХРАНА ЯГУАР""")</f>
        <v>ООО ЧОО "КАЗАЧЬЯ ОХРАНА ЯГУАР"</v>
      </c>
      <c r="K12983" s="24" t="s">
        <v>9636</v>
      </c>
      <c r="L12983" s="22" t="s">
        <v>10</v>
      </c>
      <c r="M12983" s="25">
        <v>2907446.71</v>
      </c>
      <c r="N12983" s="27">
        <v>5.0000017111233629E-3</v>
      </c>
    </row>
    <row r="12984" spans="1:14" x14ac:dyDescent="0.15">
      <c r="A12984" s="23" t="str">
        <f t="shared" ref="A12984:A12990" si="674">HYPERLINK("https://www.spark-marketing.ru/Card/Person/53593", "ГБУ РО САНАТОРИЙ ""СТЕПНОЙ""")</f>
        <v>ГБУ РО САНАТОРИЙ "СТЕПНОЙ"</v>
      </c>
      <c r="B12984" s="24" t="s">
        <v>15325</v>
      </c>
      <c r="C12984" s="25">
        <v>246100</v>
      </c>
      <c r="D12984" s="22" t="s">
        <v>15326</v>
      </c>
      <c r="E12984" s="22" t="s">
        <v>766</v>
      </c>
      <c r="F12984" s="23" t="str">
        <f t="shared" ref="F12984:F12990" si="675">HYPERLINK("https://www.spark-marketing.ru/Card/Lot/68454106", "установка видеонаблюдения")</f>
        <v>установка видеонаблюдения</v>
      </c>
      <c r="G12984" s="22" t="s">
        <v>402</v>
      </c>
      <c r="H12984" s="22" t="s">
        <v>402</v>
      </c>
      <c r="I12984" s="26">
        <v>43528.735416666699</v>
      </c>
      <c r="J12984" s="28" t="s">
        <v>52</v>
      </c>
      <c r="K12984" s="28" t="s">
        <v>52</v>
      </c>
      <c r="L12984" s="28" t="s">
        <v>52</v>
      </c>
      <c r="M12984" s="28" t="s">
        <v>52</v>
      </c>
      <c r="N12984" s="28" t="s">
        <v>52</v>
      </c>
    </row>
    <row r="12985" spans="1:14" hidden="1" outlineLevel="1" x14ac:dyDescent="0.2">
      <c r="A12985" s="23" t="str">
        <f t="shared" si="674"/>
        <v>ГБУ РО САНАТОРИЙ "СТЕПНОЙ"</v>
      </c>
      <c r="B12985" s="24" t="s">
        <v>15325</v>
      </c>
      <c r="C12985" s="25">
        <v>246100</v>
      </c>
      <c r="D12985" s="22" t="s">
        <v>15326</v>
      </c>
      <c r="E12985" s="22" t="s">
        <v>766</v>
      </c>
      <c r="F12985" s="23" t="str">
        <f t="shared" si="675"/>
        <v>установка видеонаблюдения</v>
      </c>
      <c r="G12985" s="22" t="s">
        <v>402</v>
      </c>
      <c r="H12985" s="22" t="s">
        <v>402</v>
      </c>
      <c r="I12985" s="26">
        <v>43528.735416666699</v>
      </c>
      <c r="J12985" s="23" t="str">
        <f>HYPERLINK("https://www.spark-marketing.ru/Card/Person/1440415", "ООО ""СТРОЙПРОМРЕСУРС""")</f>
        <v>ООО "СТРОЙПРОМРЕСУРС"</v>
      </c>
      <c r="K12985" s="24" t="s">
        <v>15327</v>
      </c>
      <c r="L12985" s="28" t="s">
        <v>52</v>
      </c>
      <c r="M12985" s="25">
        <v>210000</v>
      </c>
      <c r="N12985" s="27">
        <v>0.14668833807395368</v>
      </c>
    </row>
    <row r="12986" spans="1:14" hidden="1" outlineLevel="1" x14ac:dyDescent="0.2">
      <c r="A12986" s="23" t="str">
        <f t="shared" si="674"/>
        <v>ГБУ РО САНАТОРИЙ "СТЕПНОЙ"</v>
      </c>
      <c r="B12986" s="24" t="s">
        <v>15325</v>
      </c>
      <c r="C12986" s="25">
        <v>246100</v>
      </c>
      <c r="D12986" s="22" t="s">
        <v>15326</v>
      </c>
      <c r="E12986" s="22" t="s">
        <v>766</v>
      </c>
      <c r="F12986" s="23" t="str">
        <f t="shared" si="675"/>
        <v>установка видеонаблюдения</v>
      </c>
      <c r="G12986" s="22" t="s">
        <v>402</v>
      </c>
      <c r="H12986" s="22" t="s">
        <v>402</v>
      </c>
      <c r="I12986" s="26">
        <v>43528.735416666699</v>
      </c>
      <c r="J12986" s="23" t="str">
        <f>HYPERLINK("https://www.spark-marketing.ru/Card/Person/6170060", "Кудря Анастасия Евгеньевна")</f>
        <v>Кудря Анастасия Евгеньевна</v>
      </c>
      <c r="K12986" s="24" t="s">
        <v>12269</v>
      </c>
      <c r="L12986" s="28" t="s">
        <v>52</v>
      </c>
      <c r="M12986" s="25">
        <v>207539</v>
      </c>
      <c r="N12986" s="27">
        <v>0.15668833807395369</v>
      </c>
    </row>
    <row r="12987" spans="1:14" ht="12.75" hidden="1" outlineLevel="1" x14ac:dyDescent="0.2">
      <c r="A12987" s="23" t="str">
        <f t="shared" si="674"/>
        <v>ГБУ РО САНАТОРИЙ "СТЕПНОЙ"</v>
      </c>
      <c r="B12987" s="24" t="s">
        <v>15325</v>
      </c>
      <c r="C12987" s="25">
        <v>246100</v>
      </c>
      <c r="D12987" s="22" t="s">
        <v>15326</v>
      </c>
      <c r="E12987" s="22" t="s">
        <v>766</v>
      </c>
      <c r="F12987" s="23" t="str">
        <f t="shared" si="675"/>
        <v>установка видеонаблюдения</v>
      </c>
      <c r="G12987" s="22" t="s">
        <v>402</v>
      </c>
      <c r="H12987" s="22" t="s">
        <v>402</v>
      </c>
      <c r="I12987" s="26">
        <v>43528.735416666699</v>
      </c>
      <c r="J12987" s="23" t="str">
        <f>HYPERLINK("https://www.spark-marketing.ru/Card/Person/6349963", "Тирацуян Евгений Ованесович")</f>
        <v>Тирацуян Евгений Ованесович</v>
      </c>
      <c r="K12987" s="24" t="s">
        <v>1488</v>
      </c>
      <c r="L12987" s="22" t="s">
        <v>10</v>
      </c>
      <c r="M12987" s="25">
        <v>135973</v>
      </c>
      <c r="N12987" s="27">
        <v>0.44748882568061765</v>
      </c>
    </row>
    <row r="12988" spans="1:14" hidden="1" outlineLevel="1" x14ac:dyDescent="0.2">
      <c r="A12988" s="23" t="str">
        <f t="shared" si="674"/>
        <v>ГБУ РО САНАТОРИЙ "СТЕПНОЙ"</v>
      </c>
      <c r="B12988" s="24" t="s">
        <v>15325</v>
      </c>
      <c r="C12988" s="25">
        <v>246100</v>
      </c>
      <c r="D12988" s="22" t="s">
        <v>15326</v>
      </c>
      <c r="E12988" s="22" t="s">
        <v>766</v>
      </c>
      <c r="F12988" s="23" t="str">
        <f t="shared" si="675"/>
        <v>установка видеонаблюдения</v>
      </c>
      <c r="G12988" s="22" t="s">
        <v>402</v>
      </c>
      <c r="H12988" s="22" t="s">
        <v>402</v>
      </c>
      <c r="I12988" s="26">
        <v>43528.735416666699</v>
      </c>
      <c r="J12988" s="23" t="str">
        <f>HYPERLINK("https://www.spark-marketing.ru/Card/Person/306288", "ООО ""ГЕФЕСТ""")</f>
        <v>ООО "ГЕФЕСТ"</v>
      </c>
      <c r="K12988" s="24" t="s">
        <v>6140</v>
      </c>
      <c r="L12988" s="28" t="s">
        <v>52</v>
      </c>
      <c r="M12988" s="25">
        <v>160678</v>
      </c>
      <c r="N12988" s="27">
        <v>0.34710280373831776</v>
      </c>
    </row>
    <row r="12989" spans="1:14" hidden="1" outlineLevel="1" x14ac:dyDescent="0.2">
      <c r="A12989" s="23" t="str">
        <f t="shared" si="674"/>
        <v>ГБУ РО САНАТОРИЙ "СТЕПНОЙ"</v>
      </c>
      <c r="B12989" s="24" t="s">
        <v>15325</v>
      </c>
      <c r="C12989" s="25">
        <v>246100</v>
      </c>
      <c r="D12989" s="22" t="s">
        <v>15326</v>
      </c>
      <c r="E12989" s="22" t="s">
        <v>766</v>
      </c>
      <c r="F12989" s="23" t="str">
        <f t="shared" si="675"/>
        <v>установка видеонаблюдения</v>
      </c>
      <c r="G12989" s="22" t="s">
        <v>402</v>
      </c>
      <c r="H12989" s="22" t="s">
        <v>402</v>
      </c>
      <c r="I12989" s="26">
        <v>43528.735416666699</v>
      </c>
      <c r="J12989" s="23" t="str">
        <f>HYPERLINK("https://www.spark-marketing.ru/Card/Person/4715617", "Стромова Юлия Михайловна")</f>
        <v>Стромова Юлия Михайловна</v>
      </c>
      <c r="K12989" s="24" t="s">
        <v>3887</v>
      </c>
      <c r="L12989" s="28" t="s">
        <v>52</v>
      </c>
      <c r="M12989" s="25">
        <v>137203.5</v>
      </c>
      <c r="N12989" s="27">
        <v>0.44248882568061765</v>
      </c>
    </row>
    <row r="12990" spans="1:14" hidden="1" outlineLevel="1" x14ac:dyDescent="0.2">
      <c r="A12990" s="23" t="str">
        <f t="shared" si="674"/>
        <v>ГБУ РО САНАТОРИЙ "СТЕПНОЙ"</v>
      </c>
      <c r="B12990" s="24" t="s">
        <v>15325</v>
      </c>
      <c r="C12990" s="25">
        <v>246100</v>
      </c>
      <c r="D12990" s="22" t="s">
        <v>15326</v>
      </c>
      <c r="E12990" s="22" t="s">
        <v>766</v>
      </c>
      <c r="F12990" s="23" t="str">
        <f t="shared" si="675"/>
        <v>установка видеонаблюдения</v>
      </c>
      <c r="G12990" s="22" t="s">
        <v>402</v>
      </c>
      <c r="H12990" s="22" t="s">
        <v>402</v>
      </c>
      <c r="I12990" s="26">
        <v>43528.735416666699</v>
      </c>
      <c r="J12990" s="23" t="str">
        <f>HYPERLINK("https://www.spark-marketing.ru/Card/Person/470113", "ООО ""АЛАРМ СЕРВИС""")</f>
        <v>ООО "АЛАРМ СЕРВИС"</v>
      </c>
      <c r="K12990" s="24" t="s">
        <v>6025</v>
      </c>
      <c r="L12990" s="28" t="s">
        <v>52</v>
      </c>
      <c r="M12990" s="25">
        <v>246099</v>
      </c>
      <c r="N12990" s="27">
        <v>4.0633888663145067E-6</v>
      </c>
    </row>
    <row r="12991" spans="1:14" x14ac:dyDescent="0.15">
      <c r="A12991" s="23" t="str">
        <f>HYPERLINK("https://www.spark-marketing.ru/Card/Person/1027996", "МОУ СОШ № 1")</f>
        <v>МОУ СОШ № 1</v>
      </c>
      <c r="B12991" s="24" t="s">
        <v>15328</v>
      </c>
      <c r="C12991" s="25">
        <v>537825</v>
      </c>
      <c r="D12991" s="22" t="s">
        <v>15329</v>
      </c>
      <c r="E12991" s="22" t="s">
        <v>3770</v>
      </c>
      <c r="F12991" s="23" t="str">
        <f>HYPERLINK("https://www.spark-marketing.ru/Card/Lot/68453930", "Поставка, установка и ввод в эксплуатацию средств видеотрансляции и видеопротоколировнаия в пункте приема экзаменов 1001 для нужд МОУ СОШ №1")</f>
        <v>Поставка, установка и ввод в эксплуатацию средств видеотрансляции и видеопротоколировнаия в пункте приема экзаменов 1001 для нужд МОУ СОШ №1</v>
      </c>
      <c r="G12991" s="22" t="s">
        <v>50</v>
      </c>
      <c r="H12991" s="22" t="s">
        <v>3526</v>
      </c>
      <c r="I12991" s="26">
        <v>43528.725694444402</v>
      </c>
      <c r="J12991" s="28" t="s">
        <v>52</v>
      </c>
      <c r="K12991" s="28" t="s">
        <v>52</v>
      </c>
      <c r="L12991" s="28" t="s">
        <v>52</v>
      </c>
      <c r="M12991" s="28" t="s">
        <v>52</v>
      </c>
      <c r="N12991" s="28" t="s">
        <v>52</v>
      </c>
    </row>
    <row r="12992" spans="1:14" hidden="1" outlineLevel="1" x14ac:dyDescent="0.2">
      <c r="A12992" s="23" t="str">
        <f>HYPERLINK("https://www.spark-marketing.ru/Card/Person/1027996", "МОУ СОШ № 1")</f>
        <v>МОУ СОШ № 1</v>
      </c>
      <c r="B12992" s="24" t="s">
        <v>15328</v>
      </c>
      <c r="C12992" s="25">
        <v>537825</v>
      </c>
      <c r="D12992" s="22" t="s">
        <v>15329</v>
      </c>
      <c r="E12992" s="22" t="s">
        <v>3770</v>
      </c>
      <c r="F12992" s="23" t="str">
        <f>HYPERLINK("https://www.spark-marketing.ru/Card/Lot/68453930", "Поставка, установка и ввод в эксплуатацию средств видеотрансляции и видеопротоколировнаия в пункте приема экзаменов 1001 для нужд МОУ СОШ №1")</f>
        <v>Поставка, установка и ввод в эксплуатацию средств видеотрансляции и видеопротоколировнаия в пункте приема экзаменов 1001 для нужд МОУ СОШ №1</v>
      </c>
      <c r="G12992" s="22" t="s">
        <v>50</v>
      </c>
      <c r="H12992" s="22" t="s">
        <v>3526</v>
      </c>
      <c r="I12992" s="26">
        <v>43528.725694444402</v>
      </c>
      <c r="J12992" s="23" t="str">
        <f>HYPERLINK("https://www.spark-marketing.ru/Card/Person/76451", "ООО ""БИС""")</f>
        <v>ООО "БИС"</v>
      </c>
      <c r="K12992" s="24" t="s">
        <v>6528</v>
      </c>
      <c r="L12992" s="28" t="s">
        <v>52</v>
      </c>
      <c r="M12992" s="25">
        <v>532446.74</v>
      </c>
      <c r="N12992" s="27">
        <v>1.0000018593408636E-2</v>
      </c>
    </row>
    <row r="12993" spans="1:14" ht="12.75" hidden="1" outlineLevel="1" x14ac:dyDescent="0.2">
      <c r="A12993" s="23" t="str">
        <f>HYPERLINK("https://www.spark-marketing.ru/Card/Person/1027996", "МОУ СОШ № 1")</f>
        <v>МОУ СОШ № 1</v>
      </c>
      <c r="B12993" s="24" t="s">
        <v>15328</v>
      </c>
      <c r="C12993" s="25">
        <v>537825</v>
      </c>
      <c r="D12993" s="22" t="s">
        <v>15329</v>
      </c>
      <c r="E12993" s="22" t="s">
        <v>3770</v>
      </c>
      <c r="F12993" s="23" t="str">
        <f>HYPERLINK("https://www.spark-marketing.ru/Card/Lot/68453930", "Поставка, установка и ввод в эксплуатацию средств видеотрансляции и видеопротоколировнаия в пункте приема экзаменов 1001 для нужд МОУ СОШ №1")</f>
        <v>Поставка, установка и ввод в эксплуатацию средств видеотрансляции и видеопротоколировнаия в пункте приема экзаменов 1001 для нужд МОУ СОШ №1</v>
      </c>
      <c r="G12993" s="22" t="s">
        <v>50</v>
      </c>
      <c r="H12993" s="22" t="s">
        <v>3526</v>
      </c>
      <c r="I12993" s="26">
        <v>43528.725694444402</v>
      </c>
      <c r="J12993" s="23" t="str">
        <f>HYPERLINK("https://www.spark-marketing.ru/Card/Person/4856010", "ООО ""СФЕРА БЕЗОПАСНОСТИ""")</f>
        <v>ООО "СФЕРА БЕЗОПАСНОСТИ"</v>
      </c>
      <c r="K12993" s="24" t="s">
        <v>13278</v>
      </c>
      <c r="L12993" s="22" t="s">
        <v>10</v>
      </c>
      <c r="M12993" s="25">
        <v>529757.61</v>
      </c>
      <c r="N12993" s="27">
        <v>1.5000027890112955E-2</v>
      </c>
    </row>
    <row r="12994" spans="1:14" x14ac:dyDescent="0.15">
      <c r="A12994" s="23" t="str">
        <f>HYPERLINK("https://www.spark-marketing.ru/Card/Person/28385", "НИЦ ""КУРЧАТОВСКИЙ ИНСТИТУТ"" - ИФВЭ")</f>
        <v>НИЦ "КУРЧАТОВСКИЙ ИНСТИТУТ" - ИФВЭ</v>
      </c>
      <c r="B12994" s="24" t="s">
        <v>15330</v>
      </c>
      <c r="C12994" s="25">
        <v>821364</v>
      </c>
      <c r="D12994" s="22" t="s">
        <v>15331</v>
      </c>
      <c r="E12994" s="22" t="s">
        <v>68</v>
      </c>
      <c r="F12994" s="23" t="str">
        <f>HYPERLINK("https://www.spark-marketing.ru/Card/Lot/68452719", "Оказание услуг профессиональной горноспасательной службы на незавершенном строительством сооружении 1002 Ускорительного-накопительного комплекса (УНК) НИЦ""Курчатовский институт""-ИФВЭ")</f>
        <v>Оказание услуг профессиональной горноспасательной службы на незавершенном строительством сооружении 1002 Ускорительного-накопительного комплекса (УНК) НИЦ"Курчатовский институт"-ИФВЭ</v>
      </c>
      <c r="G12994" s="22" t="s">
        <v>50</v>
      </c>
      <c r="H12994" s="22" t="s">
        <v>50</v>
      </c>
      <c r="I12994" s="26">
        <v>43528.715277777803</v>
      </c>
      <c r="J12994" s="28" t="s">
        <v>52</v>
      </c>
      <c r="K12994" s="28" t="s">
        <v>52</v>
      </c>
      <c r="L12994" s="28" t="s">
        <v>52</v>
      </c>
      <c r="M12994" s="28" t="s">
        <v>52</v>
      </c>
      <c r="N12994" s="28" t="s">
        <v>52</v>
      </c>
    </row>
    <row r="12995" spans="1:14" x14ac:dyDescent="0.15">
      <c r="A12995" s="23" t="str">
        <f>HYPERLINK("https://www.spark-marketing.ru/Card/Person/4857963", "ООО ""ПТВС""")</f>
        <v>ООО "ПТВС"</v>
      </c>
      <c r="B12995" s="24" t="s">
        <v>15332</v>
      </c>
      <c r="C12995" s="25">
        <v>1028851</v>
      </c>
      <c r="D12995" s="22" t="s">
        <v>15333</v>
      </c>
      <c r="E12995" s="22" t="s">
        <v>15334</v>
      </c>
      <c r="F12995" s="23" t="str">
        <f>HYPERLINK("https://www.spark-marketing.ru/Card/Lot/68438350", "Техническое обслуживание видеонаблюдения в МО ООО ""ПТВС""")</f>
        <v>Техническое обслуживание видеонаблюдения в МО ООО "ПТВС"</v>
      </c>
      <c r="G12995" s="22" t="s">
        <v>424</v>
      </c>
      <c r="H12995" s="22" t="s">
        <v>425</v>
      </c>
      <c r="I12995" s="26">
        <v>43528.710682870398</v>
      </c>
      <c r="J12995" s="28" t="s">
        <v>52</v>
      </c>
      <c r="K12995" s="28" t="s">
        <v>52</v>
      </c>
      <c r="L12995" s="28" t="s">
        <v>52</v>
      </c>
      <c r="M12995" s="28" t="s">
        <v>52</v>
      </c>
      <c r="N12995" s="28" t="s">
        <v>52</v>
      </c>
    </row>
    <row r="12996" spans="1:14" hidden="1" outlineLevel="1" x14ac:dyDescent="0.15">
      <c r="A12996" s="23" t="str">
        <f>HYPERLINK("https://www.spark-marketing.ru/Card/Person/4857963", "ООО ""ПТВС""")</f>
        <v>ООО "ПТВС"</v>
      </c>
      <c r="B12996" s="24" t="s">
        <v>15332</v>
      </c>
      <c r="C12996" s="28" t="s">
        <v>52</v>
      </c>
      <c r="D12996" s="22" t="s">
        <v>15333</v>
      </c>
      <c r="E12996" s="22" t="s">
        <v>15334</v>
      </c>
      <c r="F12996" s="23" t="str">
        <f>HYPERLINK("https://www.spark-marketing.ru/Card/Lot/68438350", "Техническое обслуживание видеонаблюдения в МО ООО ""ПТВС""")</f>
        <v>Техническое обслуживание видеонаблюдения в МО ООО "ПТВС"</v>
      </c>
      <c r="G12996" s="22" t="s">
        <v>424</v>
      </c>
      <c r="H12996" s="22" t="s">
        <v>425</v>
      </c>
      <c r="I12996" s="26">
        <v>43528.710682870398</v>
      </c>
      <c r="J12996" s="23" t="str">
        <f>HYPERLINK("https://www.spark-marketing.ru/Card/Person/5853361", "ООО ""НОВА""")</f>
        <v>ООО "НОВА"</v>
      </c>
      <c r="K12996" s="24" t="s">
        <v>6361</v>
      </c>
      <c r="L12996" s="28" t="s">
        <v>52</v>
      </c>
      <c r="M12996" s="28" t="s">
        <v>52</v>
      </c>
      <c r="N12996" s="28" t="s">
        <v>52</v>
      </c>
    </row>
    <row r="12997" spans="1:14" hidden="1" outlineLevel="1" x14ac:dyDescent="0.15">
      <c r="A12997" s="23" t="str">
        <f>HYPERLINK("https://www.spark-marketing.ru/Card/Person/4857963", "ООО ""ПТВС""")</f>
        <v>ООО "ПТВС"</v>
      </c>
      <c r="B12997" s="24" t="s">
        <v>15332</v>
      </c>
      <c r="C12997" s="28" t="s">
        <v>52</v>
      </c>
      <c r="D12997" s="22" t="s">
        <v>15333</v>
      </c>
      <c r="E12997" s="22" t="s">
        <v>15334</v>
      </c>
      <c r="F12997" s="23" t="str">
        <f>HYPERLINK("https://www.spark-marketing.ru/Card/Lot/68438350", "Техническое обслуживание видеонаблюдения в МО ООО ""ПТВС""")</f>
        <v>Техническое обслуживание видеонаблюдения в МО ООО "ПТВС"</v>
      </c>
      <c r="G12997" s="22" t="s">
        <v>424</v>
      </c>
      <c r="H12997" s="22" t="s">
        <v>425</v>
      </c>
      <c r="I12997" s="26">
        <v>43528.710682870398</v>
      </c>
      <c r="J12997" s="23" t="str">
        <f>HYPERLINK("https://www.spark-marketing.ru/Card/Person/1307145", "ООО ""СВЯЗЬРЕМСТРОЙ""")</f>
        <v>ООО "СВЯЗЬРЕМСТРОЙ"</v>
      </c>
      <c r="K12997" s="24" t="s">
        <v>15335</v>
      </c>
      <c r="L12997" s="28" t="s">
        <v>52</v>
      </c>
      <c r="M12997" s="28" t="s">
        <v>52</v>
      </c>
      <c r="N12997" s="28" t="s">
        <v>52</v>
      </c>
    </row>
    <row r="12998" spans="1:14" x14ac:dyDescent="0.15">
      <c r="A12998" s="23" t="str">
        <f>HYPERLINK("https://www.spark-marketing.ru/Card/Person/4350490", "МБУ ""ВОИС""")</f>
        <v>МБУ "ВОИС"</v>
      </c>
      <c r="B12998" s="24" t="s">
        <v>2079</v>
      </c>
      <c r="C12998" s="25">
        <v>2731236</v>
      </c>
      <c r="D12998" s="22" t="s">
        <v>15336</v>
      </c>
      <c r="E12998" s="22" t="s">
        <v>68</v>
      </c>
      <c r="F12998" s="23" t="str">
        <f>HYPERLINK("https://www.spark-marketing.ru/Card/Lot/68448090", "Охрана имущества МБУ ВОИС")</f>
        <v>Охрана имущества МБУ ВОИС</v>
      </c>
      <c r="G12998" s="22" t="s">
        <v>72</v>
      </c>
      <c r="H12998" s="22" t="s">
        <v>949</v>
      </c>
      <c r="I12998" s="26">
        <v>43528.7097222222</v>
      </c>
      <c r="J12998" s="23" t="str">
        <f>HYPERLINK("https://www.spark-marketing.ru/Card/Person/58845", "ООО ЧОП ""АГЕНТСТВО БИЗНЕС-БЕЗОПАСНОСТЬ""")</f>
        <v>ООО ЧОП "АГЕНТСТВО БИЗНЕС-БЕЗОПАСНОСТЬ"</v>
      </c>
      <c r="K12998" s="24" t="s">
        <v>1177</v>
      </c>
      <c r="L12998" s="28" t="s">
        <v>52</v>
      </c>
      <c r="M12998" s="28" t="s">
        <v>52</v>
      </c>
      <c r="N12998" s="28" t="s">
        <v>52</v>
      </c>
    </row>
    <row r="12999" spans="1:14" ht="12.75" hidden="1" outlineLevel="1" x14ac:dyDescent="0.2">
      <c r="A12999" s="23" t="str">
        <f>HYPERLINK("https://www.spark-marketing.ru/Card/Person/4350490", "МБУ ""ВОИС""")</f>
        <v>МБУ "ВОИС"</v>
      </c>
      <c r="B12999" s="24" t="s">
        <v>2079</v>
      </c>
      <c r="C12999" s="25">
        <v>2731236</v>
      </c>
      <c r="D12999" s="22" t="s">
        <v>15336</v>
      </c>
      <c r="E12999" s="22" t="s">
        <v>68</v>
      </c>
      <c r="F12999" s="23" t="str">
        <f>HYPERLINK("https://www.spark-marketing.ru/Card/Lot/68448090", "Охрана имущества МБУ ВОИС")</f>
        <v>Охрана имущества МБУ ВОИС</v>
      </c>
      <c r="G12999" s="22" t="s">
        <v>72</v>
      </c>
      <c r="H12999" s="22" t="s">
        <v>949</v>
      </c>
      <c r="I12999" s="26">
        <v>43528.7097222222</v>
      </c>
      <c r="J12999" s="23" t="str">
        <f>HYPERLINK("https://www.spark-marketing.ru/Card/Person/58845", "ООО ЧОП ""АГЕНТСТВО БИЗНЕС-БЕЗОПАСНОСТЬ""")</f>
        <v>ООО ЧОП "АГЕНТСТВО БИЗНЕС-БЕЗОПАСНОСТЬ"</v>
      </c>
      <c r="K12999" s="24" t="s">
        <v>1177</v>
      </c>
      <c r="L12999" s="22" t="s">
        <v>10</v>
      </c>
      <c r="M12999" s="25">
        <v>2717579.82</v>
      </c>
      <c r="N12999" s="27">
        <v>5.0000000000000001E-3</v>
      </c>
    </row>
    <row r="13000" spans="1:14" x14ac:dyDescent="0.15">
      <c r="A13000" s="23" t="str">
        <f>HYPERLINK("https://www.spark-marketing.ru/Card/Person/261497", "ОГБУ ""ЦЕНТР КАДАСТРОВОЙ ОЦЕНКИ""")</f>
        <v>ОГБУ "ЦЕНТР КАДАСТРОВОЙ ОЦЕНКИ"</v>
      </c>
      <c r="B13000" s="24" t="s">
        <v>15337</v>
      </c>
      <c r="C13000" s="25">
        <v>273900</v>
      </c>
      <c r="D13000" s="22" t="s">
        <v>15338</v>
      </c>
      <c r="E13000" s="22" t="s">
        <v>52</v>
      </c>
      <c r="F13000" s="23" t="str">
        <f>HYPERLINK("https://www.spark-marketing.ru/Card/Lot/68453437", "Оказание услуг охраны")</f>
        <v>Оказание услуг охраны</v>
      </c>
      <c r="G13000" s="22" t="s">
        <v>176</v>
      </c>
      <c r="H13000" s="22" t="s">
        <v>572</v>
      </c>
      <c r="I13000" s="26">
        <v>43528.719444444403</v>
      </c>
      <c r="J13000" s="28" t="s">
        <v>52</v>
      </c>
      <c r="K13000" s="28" t="s">
        <v>52</v>
      </c>
      <c r="L13000" s="28" t="s">
        <v>52</v>
      </c>
      <c r="M13000" s="28" t="s">
        <v>52</v>
      </c>
      <c r="N13000" s="28" t="s">
        <v>52</v>
      </c>
    </row>
    <row r="13001" spans="1:14" hidden="1" outlineLevel="1" x14ac:dyDescent="0.2">
      <c r="A13001" s="23" t="str">
        <f>HYPERLINK("https://www.spark-marketing.ru/Card/Person/261497", "ОГБУ ""ЦЕНТР КАДАСТРОВОЙ ОЦЕНКИ""")</f>
        <v>ОГБУ "ЦЕНТР КАДАСТРОВОЙ ОЦЕНКИ"</v>
      </c>
      <c r="B13001" s="24" t="s">
        <v>15337</v>
      </c>
      <c r="C13001" s="25">
        <v>273900</v>
      </c>
      <c r="D13001" s="22" t="s">
        <v>15338</v>
      </c>
      <c r="E13001" s="22" t="s">
        <v>52</v>
      </c>
      <c r="F13001" s="23" t="str">
        <f>HYPERLINK("https://www.spark-marketing.ru/Card/Lot/68453437", "Оказание услуг охраны")</f>
        <v>Оказание услуг охраны</v>
      </c>
      <c r="G13001" s="22" t="s">
        <v>176</v>
      </c>
      <c r="H13001" s="22" t="s">
        <v>572</v>
      </c>
      <c r="I13001" s="26">
        <v>43528.719444444403</v>
      </c>
      <c r="J13001" s="23" t="str">
        <f>HYPERLINK("https://www.spark-marketing.ru/Card/Person/486525", "ООО ЧОП ""ЛИГА 2""")</f>
        <v>ООО ЧОП "ЛИГА 2"</v>
      </c>
      <c r="K13001" s="24" t="s">
        <v>13396</v>
      </c>
      <c r="L13001" s="28" t="s">
        <v>52</v>
      </c>
      <c r="M13001" s="25">
        <v>259000</v>
      </c>
      <c r="N13001" s="27">
        <v>5.439941584519898E-2</v>
      </c>
    </row>
    <row r="13002" spans="1:14" ht="12.75" hidden="1" outlineLevel="1" x14ac:dyDescent="0.2">
      <c r="A13002" s="23" t="str">
        <f>HYPERLINK("https://www.spark-marketing.ru/Card/Person/261497", "ОГБУ ""ЦЕНТР КАДАСТРОВОЙ ОЦЕНКИ""")</f>
        <v>ОГБУ "ЦЕНТР КАДАСТРОВОЙ ОЦЕНКИ"</v>
      </c>
      <c r="B13002" s="24" t="s">
        <v>15337</v>
      </c>
      <c r="C13002" s="25">
        <v>273900</v>
      </c>
      <c r="D13002" s="22" t="s">
        <v>15338</v>
      </c>
      <c r="E13002" s="22" t="s">
        <v>52</v>
      </c>
      <c r="F13002" s="23" t="str">
        <f>HYPERLINK("https://www.spark-marketing.ru/Card/Lot/68453437", "Оказание услуг охраны")</f>
        <v>Оказание услуг охраны</v>
      </c>
      <c r="G13002" s="22" t="s">
        <v>176</v>
      </c>
      <c r="H13002" s="22" t="s">
        <v>572</v>
      </c>
      <c r="I13002" s="26">
        <v>43528.719444444403</v>
      </c>
      <c r="J13002" s="23" t="str">
        <f>HYPERLINK("https://www.spark-marketing.ru/Card/Person/134126", "ООО ""ЧОО ""ОХРАННАЯ СЛУЖБА БЕЗОПАСНОСТИ""")</f>
        <v>ООО "ЧОО "ОХРАННАЯ СЛУЖБА БЕЗОПАСНОСТИ"</v>
      </c>
      <c r="K13002" s="24" t="s">
        <v>13705</v>
      </c>
      <c r="L13002" s="22" t="s">
        <v>10</v>
      </c>
      <c r="M13002" s="25">
        <v>259000</v>
      </c>
      <c r="N13002" s="27">
        <v>5.439941584519898E-2</v>
      </c>
    </row>
    <row r="13003" spans="1:14" x14ac:dyDescent="0.15">
      <c r="A13003" s="23" t="str">
        <f t="shared" ref="A13003:A13025" si="676">HYPERLINK("https://www.spark-marketing.ru/Card/Person/1752716", "ООО ""СК ЭКОСТРОЙ""")</f>
        <v>ООО "СК ЭКОСТРОЙ"</v>
      </c>
      <c r="B13003" s="24" t="s">
        <v>3305</v>
      </c>
      <c r="C13003" s="25">
        <v>0</v>
      </c>
      <c r="D13003" s="22" t="s">
        <v>15339</v>
      </c>
      <c r="E13003" s="22" t="s">
        <v>53</v>
      </c>
      <c r="F13003" s="23" t="str">
        <f>HYPERLINK("https://www.spark-marketing.ru/Card/Lot/68458904", "Ограничитель инпульсных перенапряжений")</f>
        <v>Ограничитель инпульсных перенапряжений</v>
      </c>
      <c r="G13003" s="22" t="s">
        <v>204</v>
      </c>
      <c r="H13003" s="22" t="s">
        <v>303</v>
      </c>
      <c r="I13003" s="26">
        <v>43528.701111111099</v>
      </c>
      <c r="J13003" s="28" t="s">
        <v>52</v>
      </c>
      <c r="K13003" s="28" t="s">
        <v>52</v>
      </c>
      <c r="L13003" s="28" t="s">
        <v>52</v>
      </c>
      <c r="M13003" s="28" t="s">
        <v>52</v>
      </c>
      <c r="N13003" s="28" t="s">
        <v>52</v>
      </c>
    </row>
    <row r="13004" spans="1:14" x14ac:dyDescent="0.15">
      <c r="A13004" s="23" t="str">
        <f t="shared" si="676"/>
        <v>ООО "СК ЭКОСТРОЙ"</v>
      </c>
      <c r="B13004" s="24" t="s">
        <v>3305</v>
      </c>
      <c r="C13004" s="25">
        <v>0</v>
      </c>
      <c r="D13004" s="22" t="s">
        <v>15339</v>
      </c>
      <c r="E13004" s="22" t="s">
        <v>53</v>
      </c>
      <c r="F13004" s="23" t="str">
        <f>HYPERLINK("https://www.spark-marketing.ru/Card/Lot/68458940", "Кронштейн 510 мм")</f>
        <v>Кронштейн 510 мм</v>
      </c>
      <c r="G13004" s="22" t="s">
        <v>204</v>
      </c>
      <c r="H13004" s="22" t="s">
        <v>303</v>
      </c>
      <c r="I13004" s="26">
        <v>43528.701111111099</v>
      </c>
      <c r="J13004" s="28" t="s">
        <v>52</v>
      </c>
      <c r="K13004" s="28" t="s">
        <v>52</v>
      </c>
      <c r="L13004" s="28" t="s">
        <v>52</v>
      </c>
      <c r="M13004" s="28" t="s">
        <v>52</v>
      </c>
      <c r="N13004" s="28" t="s">
        <v>52</v>
      </c>
    </row>
    <row r="13005" spans="1:14" x14ac:dyDescent="0.15">
      <c r="A13005" s="23" t="str">
        <f t="shared" si="676"/>
        <v>ООО "СК ЭКОСТРОЙ"</v>
      </c>
      <c r="B13005" s="24" t="s">
        <v>3305</v>
      </c>
      <c r="C13005" s="25">
        <v>0</v>
      </c>
      <c r="D13005" s="22" t="s">
        <v>15339</v>
      </c>
      <c r="E13005" s="22" t="s">
        <v>53</v>
      </c>
      <c r="F13005" s="23" t="str">
        <f>HYPERLINK("https://www.spark-marketing.ru/Card/Lot/68458942", "Труба полиэтиленовая d=100 мм")</f>
        <v>Труба полиэтиленовая d=100 мм</v>
      </c>
      <c r="G13005" s="22" t="s">
        <v>204</v>
      </c>
      <c r="H13005" s="22" t="s">
        <v>303</v>
      </c>
      <c r="I13005" s="26">
        <v>43528.701111111099</v>
      </c>
      <c r="J13005" s="28" t="s">
        <v>52</v>
      </c>
      <c r="K13005" s="28" t="s">
        <v>52</v>
      </c>
      <c r="L13005" s="28" t="s">
        <v>52</v>
      </c>
      <c r="M13005" s="28" t="s">
        <v>52</v>
      </c>
      <c r="N13005" s="28" t="s">
        <v>52</v>
      </c>
    </row>
    <row r="13006" spans="1:14" x14ac:dyDescent="0.15">
      <c r="A13006" s="23" t="str">
        <f t="shared" si="676"/>
        <v>ООО "СК ЭКОСТРОЙ"</v>
      </c>
      <c r="B13006" s="24" t="s">
        <v>3305</v>
      </c>
      <c r="C13006" s="25">
        <v>0</v>
      </c>
      <c r="D13006" s="22" t="s">
        <v>15340</v>
      </c>
      <c r="E13006" s="22" t="s">
        <v>53</v>
      </c>
      <c r="F13006" s="23" t="str">
        <f>HYPERLINK("https://www.spark-marketing.ru/Card/Lot/68458966", "Контактор модульный Iном-20А на напряжение 380 В")</f>
        <v>Контактор модульный Iном-20А на напряжение 380 В</v>
      </c>
      <c r="G13006" s="22" t="s">
        <v>204</v>
      </c>
      <c r="H13006" s="22" t="s">
        <v>303</v>
      </c>
      <c r="I13006" s="26">
        <v>43528.703506944403</v>
      </c>
      <c r="J13006" s="28" t="s">
        <v>52</v>
      </c>
      <c r="K13006" s="28" t="s">
        <v>52</v>
      </c>
      <c r="L13006" s="28" t="s">
        <v>52</v>
      </c>
      <c r="M13006" s="28" t="s">
        <v>52</v>
      </c>
      <c r="N13006" s="28" t="s">
        <v>52</v>
      </c>
    </row>
    <row r="13007" spans="1:14" x14ac:dyDescent="0.15">
      <c r="A13007" s="23" t="str">
        <f t="shared" si="676"/>
        <v>ООО "СК ЭКОСТРОЙ"</v>
      </c>
      <c r="B13007" s="24" t="s">
        <v>3305</v>
      </c>
      <c r="C13007" s="25">
        <v>0</v>
      </c>
      <c r="D13007" s="22" t="s">
        <v>15340</v>
      </c>
      <c r="E13007" s="22" t="s">
        <v>53</v>
      </c>
      <c r="F13007" s="23" t="str">
        <f>HYPERLINK("https://www.spark-marketing.ru/Card/Lot/68459887", "Коробка распределительная для открытого монтажа IP66 из УФ-стабилизированного термопласта. Разм.285х201х120 мм. В составе: - Автоматический выключатель однофазный I ном=10 А, хар-ка В (ВА 47-29 1 Р 10 А, ИЕК, 2 шт); - сжим ответвительный 4-10 мм/1,0-...")</f>
        <v>Коробка распределительная для открытого монтажа IP66 из УФ-стабилизированного термопласта. Разм.285х201х120 мм. В составе: - Автоматический выключатель однофазный I ном=10 А, хар-ка В (ВА 47-29 1 Р 10 А, ИЕК, 2 шт); - сжим ответвительный 4-10 мм/1,0-...</v>
      </c>
      <c r="G13007" s="22" t="s">
        <v>204</v>
      </c>
      <c r="H13007" s="22" t="s">
        <v>303</v>
      </c>
      <c r="I13007" s="26">
        <v>43528.703506944403</v>
      </c>
      <c r="J13007" s="28" t="s">
        <v>52</v>
      </c>
      <c r="K13007" s="28" t="s">
        <v>52</v>
      </c>
      <c r="L13007" s="28" t="s">
        <v>52</v>
      </c>
      <c r="M13007" s="28" t="s">
        <v>52</v>
      </c>
      <c r="N13007" s="28" t="s">
        <v>52</v>
      </c>
    </row>
    <row r="13008" spans="1:14" x14ac:dyDescent="0.15">
      <c r="A13008" s="23" t="str">
        <f t="shared" si="676"/>
        <v>ООО "СК ЭКОСТРОЙ"</v>
      </c>
      <c r="B13008" s="24" t="s">
        <v>3305</v>
      </c>
      <c r="C13008" s="25">
        <v>0</v>
      </c>
      <c r="D13008" s="22" t="s">
        <v>15340</v>
      </c>
      <c r="E13008" s="22" t="s">
        <v>53</v>
      </c>
      <c r="F13008" s="23" t="str">
        <f>HYPERLINK("https://www.spark-marketing.ru/Card/Lot/68459895", "Угловая секция 90град. 85х100")</f>
        <v>Угловая секция 90град. 85х100</v>
      </c>
      <c r="G13008" s="22" t="s">
        <v>204</v>
      </c>
      <c r="H13008" s="22" t="s">
        <v>303</v>
      </c>
      <c r="I13008" s="26">
        <v>43528.703506944403</v>
      </c>
      <c r="J13008" s="28" t="s">
        <v>52</v>
      </c>
      <c r="K13008" s="28" t="s">
        <v>52</v>
      </c>
      <c r="L13008" s="28" t="s">
        <v>52</v>
      </c>
      <c r="M13008" s="28" t="s">
        <v>52</v>
      </c>
      <c r="N13008" s="28" t="s">
        <v>52</v>
      </c>
    </row>
    <row r="13009" spans="1:14" x14ac:dyDescent="0.15">
      <c r="A13009" s="23" t="str">
        <f t="shared" si="676"/>
        <v>ООО "СК ЭКОСТРОЙ"</v>
      </c>
      <c r="B13009" s="24" t="s">
        <v>3305</v>
      </c>
      <c r="C13009" s="25">
        <v>0</v>
      </c>
      <c r="D13009" s="22" t="s">
        <v>15340</v>
      </c>
      <c r="E13009" s="22" t="s">
        <v>53</v>
      </c>
      <c r="F13009" s="23" t="str">
        <f>HYPERLINK("https://www.spark-marketing.ru/Card/Lot/68459993", "Насадка для забивания стержней заземления")</f>
        <v>Насадка для забивания стержней заземления</v>
      </c>
      <c r="G13009" s="22" t="s">
        <v>204</v>
      </c>
      <c r="H13009" s="22" t="s">
        <v>303</v>
      </c>
      <c r="I13009" s="26">
        <v>43528.703506944403</v>
      </c>
      <c r="J13009" s="28" t="s">
        <v>52</v>
      </c>
      <c r="K13009" s="28" t="s">
        <v>52</v>
      </c>
      <c r="L13009" s="28" t="s">
        <v>52</v>
      </c>
      <c r="M13009" s="28" t="s">
        <v>52</v>
      </c>
      <c r="N13009" s="28" t="s">
        <v>52</v>
      </c>
    </row>
    <row r="13010" spans="1:14" x14ac:dyDescent="0.15">
      <c r="A13010" s="23" t="str">
        <f t="shared" si="676"/>
        <v>ООО "СК ЭКОСТРОЙ"</v>
      </c>
      <c r="B13010" s="24" t="s">
        <v>3305</v>
      </c>
      <c r="C13010" s="25">
        <v>0</v>
      </c>
      <c r="D13010" s="22" t="s">
        <v>15340</v>
      </c>
      <c r="E13010" s="22" t="s">
        <v>53</v>
      </c>
      <c r="F13010" s="23" t="str">
        <f>HYPERLINK("https://www.spark-marketing.ru/Card/Lot/68459995", "Заземляющий проводник гибкий медный с обжимными клеммами")</f>
        <v>Заземляющий проводник гибкий медный с обжимными клеммами</v>
      </c>
      <c r="G13010" s="22" t="s">
        <v>204</v>
      </c>
      <c r="H13010" s="22" t="s">
        <v>303</v>
      </c>
      <c r="I13010" s="26">
        <v>43528.703506944403</v>
      </c>
      <c r="J13010" s="28" t="s">
        <v>52</v>
      </c>
      <c r="K13010" s="28" t="s">
        <v>52</v>
      </c>
      <c r="L13010" s="28" t="s">
        <v>52</v>
      </c>
      <c r="M13010" s="28" t="s">
        <v>52</v>
      </c>
      <c r="N13010" s="28" t="s">
        <v>52</v>
      </c>
    </row>
    <row r="13011" spans="1:14" x14ac:dyDescent="0.15">
      <c r="A13011" s="23" t="str">
        <f t="shared" si="676"/>
        <v>ООО "СК ЭКОСТРОЙ"</v>
      </c>
      <c r="B13011" s="24" t="s">
        <v>3305</v>
      </c>
      <c r="C13011" s="25">
        <v>0</v>
      </c>
      <c r="D13011" s="22" t="s">
        <v>15341</v>
      </c>
      <c r="E13011" s="22" t="s">
        <v>53</v>
      </c>
      <c r="F13011" s="23" t="str">
        <f>HYPERLINK("https://www.spark-marketing.ru/Card/Lot/68459236", "Кронштейн регулируемый разм. 200х355х75 мм")</f>
        <v>Кронштейн регулируемый разм. 200х355х75 мм</v>
      </c>
      <c r="G13011" s="22" t="s">
        <v>204</v>
      </c>
      <c r="H13011" s="22" t="s">
        <v>303</v>
      </c>
      <c r="I13011" s="26">
        <v>43528.697812500002</v>
      </c>
      <c r="J13011" s="28" t="s">
        <v>52</v>
      </c>
      <c r="K13011" s="28" t="s">
        <v>52</v>
      </c>
      <c r="L13011" s="28" t="s">
        <v>52</v>
      </c>
      <c r="M13011" s="28" t="s">
        <v>52</v>
      </c>
      <c r="N13011" s="28" t="s">
        <v>52</v>
      </c>
    </row>
    <row r="13012" spans="1:14" x14ac:dyDescent="0.15">
      <c r="A13012" s="23" t="str">
        <f t="shared" si="676"/>
        <v>ООО "СК ЭКОСТРОЙ"</v>
      </c>
      <c r="B13012" s="24" t="s">
        <v>3305</v>
      </c>
      <c r="C13012" s="25">
        <v>0</v>
      </c>
      <c r="D13012" s="22" t="s">
        <v>15341</v>
      </c>
      <c r="E13012" s="22" t="s">
        <v>53</v>
      </c>
      <c r="F13012" s="23" t="str">
        <f>HYPERLINK("https://www.spark-marketing.ru/Card/Lot/68459320", "Разделительная полочка 85х3000")</f>
        <v>Разделительная полочка 85х3000</v>
      </c>
      <c r="G13012" s="22" t="s">
        <v>204</v>
      </c>
      <c r="H13012" s="22" t="s">
        <v>303</v>
      </c>
      <c r="I13012" s="26">
        <v>43528.697812500002</v>
      </c>
      <c r="J13012" s="28" t="s">
        <v>52</v>
      </c>
      <c r="K13012" s="28" t="s">
        <v>52</v>
      </c>
      <c r="L13012" s="28" t="s">
        <v>52</v>
      </c>
      <c r="M13012" s="28" t="s">
        <v>52</v>
      </c>
      <c r="N13012" s="28" t="s">
        <v>52</v>
      </c>
    </row>
    <row r="13013" spans="1:14" x14ac:dyDescent="0.15">
      <c r="A13013" s="23" t="str">
        <f t="shared" si="676"/>
        <v>ООО "СК ЭКОСТРОЙ"</v>
      </c>
      <c r="B13013" s="24" t="s">
        <v>3305</v>
      </c>
      <c r="C13013" s="25">
        <v>0</v>
      </c>
      <c r="D13013" s="22" t="s">
        <v>15341</v>
      </c>
      <c r="E13013" s="22" t="s">
        <v>53</v>
      </c>
      <c r="F13013" s="23" t="str">
        <f>HYPERLINK("https://www.spark-marketing.ru/Card/Lot/68459326", "Угловая секция 90° 85х100")</f>
        <v>Угловая секция 90° 85х100</v>
      </c>
      <c r="G13013" s="22" t="s">
        <v>204</v>
      </c>
      <c r="H13013" s="22" t="s">
        <v>303</v>
      </c>
      <c r="I13013" s="26">
        <v>43528.697812500002</v>
      </c>
      <c r="J13013" s="28" t="s">
        <v>52</v>
      </c>
      <c r="K13013" s="28" t="s">
        <v>52</v>
      </c>
      <c r="L13013" s="28" t="s">
        <v>52</v>
      </c>
      <c r="M13013" s="28" t="s">
        <v>52</v>
      </c>
      <c r="N13013" s="28" t="s">
        <v>52</v>
      </c>
    </row>
    <row r="13014" spans="1:14" x14ac:dyDescent="0.15">
      <c r="A13014" s="23" t="str">
        <f t="shared" si="676"/>
        <v>ООО "СК ЭКОСТРОЙ"</v>
      </c>
      <c r="B13014" s="24" t="s">
        <v>3305</v>
      </c>
      <c r="C13014" s="25">
        <v>0</v>
      </c>
      <c r="D13014" s="22" t="s">
        <v>15341</v>
      </c>
      <c r="E13014" s="22" t="s">
        <v>53</v>
      </c>
      <c r="F13014" s="23" t="str">
        <f>HYPERLINK("https://www.spark-marketing.ru/Card/Lot/68459342", "Болт М8")</f>
        <v>Болт М8</v>
      </c>
      <c r="G13014" s="22" t="s">
        <v>204</v>
      </c>
      <c r="H13014" s="22" t="s">
        <v>303</v>
      </c>
      <c r="I13014" s="26">
        <v>43528.697812500002</v>
      </c>
      <c r="J13014" s="28" t="s">
        <v>52</v>
      </c>
      <c r="K13014" s="28" t="s">
        <v>52</v>
      </c>
      <c r="L13014" s="28" t="s">
        <v>52</v>
      </c>
      <c r="M13014" s="28" t="s">
        <v>52</v>
      </c>
      <c r="N13014" s="28" t="s">
        <v>52</v>
      </c>
    </row>
    <row r="13015" spans="1:14" x14ac:dyDescent="0.15">
      <c r="A13015" s="23" t="str">
        <f t="shared" si="676"/>
        <v>ООО "СК ЭКОСТРОЙ"</v>
      </c>
      <c r="B13015" s="24" t="s">
        <v>3305</v>
      </c>
      <c r="C13015" s="25">
        <v>0</v>
      </c>
      <c r="D13015" s="22" t="s">
        <v>15341</v>
      </c>
      <c r="E13015" s="22" t="s">
        <v>53</v>
      </c>
      <c r="F13015" s="23" t="str">
        <f>HYPERLINK("https://www.spark-marketing.ru/Card/Lot/68459414", "Стержень заземления 1,5 м")</f>
        <v>Стержень заземления 1,5 м</v>
      </c>
      <c r="G13015" s="22" t="s">
        <v>204</v>
      </c>
      <c r="H13015" s="22" t="s">
        <v>303</v>
      </c>
      <c r="I13015" s="26">
        <v>43528.697812500002</v>
      </c>
      <c r="J13015" s="28" t="s">
        <v>52</v>
      </c>
      <c r="K13015" s="28" t="s">
        <v>52</v>
      </c>
      <c r="L13015" s="28" t="s">
        <v>52</v>
      </c>
      <c r="M13015" s="28" t="s">
        <v>52</v>
      </c>
      <c r="N13015" s="28" t="s">
        <v>52</v>
      </c>
    </row>
    <row r="13016" spans="1:14" x14ac:dyDescent="0.15">
      <c r="A13016" s="23" t="str">
        <f t="shared" si="676"/>
        <v>ООО "СК ЭКОСТРОЙ"</v>
      </c>
      <c r="B13016" s="24" t="s">
        <v>3305</v>
      </c>
      <c r="C13016" s="25">
        <v>0</v>
      </c>
      <c r="D13016" s="22" t="s">
        <v>15341</v>
      </c>
      <c r="E13016" s="22" t="s">
        <v>53</v>
      </c>
      <c r="F13016" s="23" t="str">
        <f>HYPERLINK("https://www.spark-marketing.ru/Card/Lot/68459415", "Наконечник стержня заземления")</f>
        <v>Наконечник стержня заземления</v>
      </c>
      <c r="G13016" s="22" t="s">
        <v>204</v>
      </c>
      <c r="H13016" s="22" t="s">
        <v>303</v>
      </c>
      <c r="I13016" s="26">
        <v>43528.697812500002</v>
      </c>
      <c r="J13016" s="28" t="s">
        <v>52</v>
      </c>
      <c r="K13016" s="28" t="s">
        <v>52</v>
      </c>
      <c r="L13016" s="28" t="s">
        <v>52</v>
      </c>
      <c r="M13016" s="28" t="s">
        <v>52</v>
      </c>
      <c r="N13016" s="28" t="s">
        <v>52</v>
      </c>
    </row>
    <row r="13017" spans="1:14" x14ac:dyDescent="0.15">
      <c r="A13017" s="23" t="str">
        <f t="shared" si="676"/>
        <v>ООО "СК ЭКОСТРОЙ"</v>
      </c>
      <c r="B13017" s="24" t="s">
        <v>3305</v>
      </c>
      <c r="C13017" s="25">
        <v>0</v>
      </c>
      <c r="D13017" s="22" t="s">
        <v>15339</v>
      </c>
      <c r="E13017" s="22" t="s">
        <v>53</v>
      </c>
      <c r="F13017" s="23" t="str">
        <f>HYPERLINK("https://www.spark-marketing.ru/Card/Lot/68458950", "Стержень заземления 1,5 м")</f>
        <v>Стержень заземления 1,5 м</v>
      </c>
      <c r="G13017" s="22" t="s">
        <v>204</v>
      </c>
      <c r="H13017" s="22" t="s">
        <v>303</v>
      </c>
      <c r="I13017" s="26">
        <v>43528.701111111099</v>
      </c>
      <c r="J13017" s="28" t="s">
        <v>52</v>
      </c>
      <c r="K13017" s="28" t="s">
        <v>52</v>
      </c>
      <c r="L13017" s="28" t="s">
        <v>52</v>
      </c>
      <c r="M13017" s="28" t="s">
        <v>52</v>
      </c>
      <c r="N13017" s="28" t="s">
        <v>52</v>
      </c>
    </row>
    <row r="13018" spans="1:14" x14ac:dyDescent="0.15">
      <c r="A13018" s="23" t="str">
        <f t="shared" si="676"/>
        <v>ООО "СК ЭКОСТРОЙ"</v>
      </c>
      <c r="B13018" s="24" t="s">
        <v>3305</v>
      </c>
      <c r="C13018" s="25">
        <v>0</v>
      </c>
      <c r="D13018" s="22" t="s">
        <v>15339</v>
      </c>
      <c r="E13018" s="22" t="s">
        <v>53</v>
      </c>
      <c r="F13018" s="23" t="str">
        <f>HYPERLINK("https://www.spark-marketing.ru/Card/Lot/68458956", "Извещатель охранный (датчик открытия двери)")</f>
        <v>Извещатель охранный (датчик открытия двери)</v>
      </c>
      <c r="G13018" s="22" t="s">
        <v>204</v>
      </c>
      <c r="H13018" s="22" t="s">
        <v>303</v>
      </c>
      <c r="I13018" s="26">
        <v>43528.701111111099</v>
      </c>
      <c r="J13018" s="28" t="s">
        <v>52</v>
      </c>
      <c r="K13018" s="28" t="s">
        <v>52</v>
      </c>
      <c r="L13018" s="28" t="s">
        <v>52</v>
      </c>
      <c r="M13018" s="28" t="s">
        <v>52</v>
      </c>
      <c r="N13018" s="28" t="s">
        <v>52</v>
      </c>
    </row>
    <row r="13019" spans="1:14" x14ac:dyDescent="0.15">
      <c r="A13019" s="23" t="str">
        <f t="shared" si="676"/>
        <v>ООО "СК ЭКОСТРОЙ"</v>
      </c>
      <c r="B13019" s="24" t="s">
        <v>3305</v>
      </c>
      <c r="C13019" s="25">
        <v>0</v>
      </c>
      <c r="D13019" s="22" t="s">
        <v>15340</v>
      </c>
      <c r="E13019" s="22" t="s">
        <v>53</v>
      </c>
      <c r="F13019" s="23" t="str">
        <f>HYPERLINK("https://www.spark-marketing.ru/Card/Lot/68459902", "Соединитель кабельного листового лотка 60х100")</f>
        <v>Соединитель кабельного листового лотка 60х100</v>
      </c>
      <c r="G13019" s="22" t="s">
        <v>204</v>
      </c>
      <c r="H13019" s="22" t="s">
        <v>303</v>
      </c>
      <c r="I13019" s="26">
        <v>43528.703506944403</v>
      </c>
      <c r="J13019" s="28" t="s">
        <v>52</v>
      </c>
      <c r="K13019" s="28" t="s">
        <v>52</v>
      </c>
      <c r="L13019" s="28" t="s">
        <v>52</v>
      </c>
      <c r="M13019" s="28" t="s">
        <v>52</v>
      </c>
      <c r="N13019" s="28" t="s">
        <v>52</v>
      </c>
    </row>
    <row r="13020" spans="1:14" x14ac:dyDescent="0.15">
      <c r="A13020" s="23" t="str">
        <f t="shared" si="676"/>
        <v>ООО "СК ЭКОСТРОЙ"</v>
      </c>
      <c r="B13020" s="24" t="s">
        <v>3305</v>
      </c>
      <c r="C13020" s="25">
        <v>0</v>
      </c>
      <c r="D13020" s="22" t="s">
        <v>15339</v>
      </c>
      <c r="E13020" s="22" t="s">
        <v>53</v>
      </c>
      <c r="F13020" s="23" t="str">
        <f>HYPERLINK("https://www.spark-marketing.ru/Card/Lot/68458924", "Коробка распределительная для открытого монтажа IP66 из УФ-стабилизированного термопласта. Разм.285х201х120 мм. В составе: - Автоматический выключатель однофазный I ном=6 А, хар-ка В (ВА 47-29 1 Р 6 А, ИЕК, 2 шт); - сжим ответвительный 4-10 мм/1,0-1,...")</f>
        <v>Коробка распределительная для открытого монтажа IP66 из УФ-стабилизированного термопласта. Разм.285х201х120 мм. В составе: - Автоматический выключатель однофазный I ном=6 А, хар-ка В (ВА 47-29 1 Р 6 А, ИЕК, 2 шт); - сжим ответвительный 4-10 мм/1,0-1,...</v>
      </c>
      <c r="G13020" s="22" t="s">
        <v>204</v>
      </c>
      <c r="H13020" s="22" t="s">
        <v>303</v>
      </c>
      <c r="I13020" s="26">
        <v>43528.701111111099</v>
      </c>
      <c r="J13020" s="28" t="s">
        <v>52</v>
      </c>
      <c r="K13020" s="28" t="s">
        <v>52</v>
      </c>
      <c r="L13020" s="28" t="s">
        <v>52</v>
      </c>
      <c r="M13020" s="28" t="s">
        <v>52</v>
      </c>
      <c r="N13020" s="28" t="s">
        <v>52</v>
      </c>
    </row>
    <row r="13021" spans="1:14" x14ac:dyDescent="0.15">
      <c r="A13021" s="23" t="str">
        <f t="shared" si="676"/>
        <v>ООО "СК ЭКОСТРОЙ"</v>
      </c>
      <c r="B13021" s="24" t="s">
        <v>3305</v>
      </c>
      <c r="C13021" s="25">
        <v>0</v>
      </c>
      <c r="D13021" s="22" t="s">
        <v>15339</v>
      </c>
      <c r="E13021" s="22" t="s">
        <v>53</v>
      </c>
      <c r="F13021" s="23" t="str">
        <f>HYPERLINK("https://www.spark-marketing.ru/Card/Lot/68458941", "Анкерный болт BZ-U, M8х75мм, сталь, G")</f>
        <v>Анкерный болт BZ-U, M8х75мм, сталь, G</v>
      </c>
      <c r="G13021" s="22" t="s">
        <v>204</v>
      </c>
      <c r="H13021" s="22" t="s">
        <v>303</v>
      </c>
      <c r="I13021" s="26">
        <v>43528.701111111099</v>
      </c>
      <c r="J13021" s="28" t="s">
        <v>52</v>
      </c>
      <c r="K13021" s="28" t="s">
        <v>52</v>
      </c>
      <c r="L13021" s="28" t="s">
        <v>52</v>
      </c>
      <c r="M13021" s="28" t="s">
        <v>52</v>
      </c>
      <c r="N13021" s="28" t="s">
        <v>52</v>
      </c>
    </row>
    <row r="13022" spans="1:14" x14ac:dyDescent="0.15">
      <c r="A13022" s="23" t="str">
        <f t="shared" si="676"/>
        <v>ООО "СК ЭКОСТРОЙ"</v>
      </c>
      <c r="B13022" s="24" t="s">
        <v>3305</v>
      </c>
      <c r="C13022" s="25">
        <v>0</v>
      </c>
      <c r="D13022" s="22" t="s">
        <v>15340</v>
      </c>
      <c r="E13022" s="22" t="s">
        <v>53</v>
      </c>
      <c r="F13022" s="23" t="str">
        <f>HYPERLINK("https://www.spark-marketing.ru/Card/Lot/68459889", "Болт с плоской головкой М6х12 мм")</f>
        <v>Болт с плоской головкой М6х12 мм</v>
      </c>
      <c r="G13022" s="22" t="s">
        <v>204</v>
      </c>
      <c r="H13022" s="22" t="s">
        <v>303</v>
      </c>
      <c r="I13022" s="26">
        <v>43528.703506944403</v>
      </c>
      <c r="J13022" s="28" t="s">
        <v>52</v>
      </c>
      <c r="K13022" s="28" t="s">
        <v>52</v>
      </c>
      <c r="L13022" s="28" t="s">
        <v>52</v>
      </c>
      <c r="M13022" s="28" t="s">
        <v>52</v>
      </c>
      <c r="N13022" s="28" t="s">
        <v>52</v>
      </c>
    </row>
    <row r="13023" spans="1:14" x14ac:dyDescent="0.15">
      <c r="A13023" s="23" t="str">
        <f t="shared" si="676"/>
        <v>ООО "СК ЭКОСТРОЙ"</v>
      </c>
      <c r="B13023" s="24" t="s">
        <v>3305</v>
      </c>
      <c r="C13023" s="25">
        <v>0</v>
      </c>
      <c r="D13023" s="22" t="s">
        <v>15340</v>
      </c>
      <c r="E13023" s="22" t="s">
        <v>53</v>
      </c>
      <c r="F13023" s="23" t="str">
        <f>HYPERLINK("https://www.spark-marketing.ru/Card/Lot/68459897", "Кронштейн 510 мм")</f>
        <v>Кронштейн 510 мм</v>
      </c>
      <c r="G13023" s="22" t="s">
        <v>204</v>
      </c>
      <c r="H13023" s="22" t="s">
        <v>303</v>
      </c>
      <c r="I13023" s="26">
        <v>43528.703506944403</v>
      </c>
      <c r="J13023" s="28" t="s">
        <v>52</v>
      </c>
      <c r="K13023" s="28" t="s">
        <v>52</v>
      </c>
      <c r="L13023" s="28" t="s">
        <v>52</v>
      </c>
      <c r="M13023" s="28" t="s">
        <v>52</v>
      </c>
      <c r="N13023" s="28" t="s">
        <v>52</v>
      </c>
    </row>
    <row r="13024" spans="1:14" x14ac:dyDescent="0.15">
      <c r="A13024" s="23" t="str">
        <f t="shared" si="676"/>
        <v>ООО "СК ЭКОСТРОЙ"</v>
      </c>
      <c r="B13024" s="24" t="s">
        <v>3305</v>
      </c>
      <c r="C13024" s="25">
        <v>0</v>
      </c>
      <c r="D13024" s="22" t="s">
        <v>15340</v>
      </c>
      <c r="E13024" s="22" t="s">
        <v>53</v>
      </c>
      <c r="F13024" s="23" t="str">
        <f>HYPERLINK("https://www.spark-marketing.ru/Card/Lot/68459983", "Шайба М8")</f>
        <v>Шайба М8</v>
      </c>
      <c r="G13024" s="22" t="s">
        <v>204</v>
      </c>
      <c r="H13024" s="22" t="s">
        <v>303</v>
      </c>
      <c r="I13024" s="26">
        <v>43528.703506944403</v>
      </c>
      <c r="J13024" s="28" t="s">
        <v>52</v>
      </c>
      <c r="K13024" s="28" t="s">
        <v>52</v>
      </c>
      <c r="L13024" s="28" t="s">
        <v>52</v>
      </c>
      <c r="M13024" s="28" t="s">
        <v>52</v>
      </c>
      <c r="N13024" s="28" t="s">
        <v>52</v>
      </c>
    </row>
    <row r="13025" spans="1:14" x14ac:dyDescent="0.15">
      <c r="A13025" s="23" t="str">
        <f t="shared" si="676"/>
        <v>ООО "СК ЭКОСТРОЙ"</v>
      </c>
      <c r="B13025" s="24" t="s">
        <v>3305</v>
      </c>
      <c r="C13025" s="25">
        <v>0</v>
      </c>
      <c r="D13025" s="22" t="s">
        <v>15340</v>
      </c>
      <c r="E13025" s="22" t="s">
        <v>53</v>
      </c>
      <c r="F13025" s="23" t="str">
        <f>HYPERLINK("https://www.spark-marketing.ru/Card/Lot/68459990", "Соединитель стержня заземления и проволоки")</f>
        <v>Соединитель стержня заземления и проволоки</v>
      </c>
      <c r="G13025" s="22" t="s">
        <v>204</v>
      </c>
      <c r="H13025" s="22" t="s">
        <v>303</v>
      </c>
      <c r="I13025" s="26">
        <v>43528.703506944403</v>
      </c>
      <c r="J13025" s="28" t="s">
        <v>52</v>
      </c>
      <c r="K13025" s="28" t="s">
        <v>52</v>
      </c>
      <c r="L13025" s="28" t="s">
        <v>52</v>
      </c>
      <c r="M13025" s="28" t="s">
        <v>52</v>
      </c>
      <c r="N13025" s="28" t="s">
        <v>52</v>
      </c>
    </row>
    <row r="13026" spans="1:14" x14ac:dyDescent="0.15">
      <c r="A13026" s="23" t="str">
        <f>HYPERLINK("https://www.spark-marketing.ru/Card/Person/18481", "ФГУП ""РОСРАО""")</f>
        <v>ФГУП "РОСРАО"</v>
      </c>
      <c r="B13026" s="24" t="s">
        <v>1615</v>
      </c>
      <c r="C13026" s="28" t="s">
        <v>52</v>
      </c>
      <c r="D13026" s="22" t="s">
        <v>15342</v>
      </c>
      <c r="E13026" s="22" t="s">
        <v>11325</v>
      </c>
      <c r="F13026" s="23" t="str">
        <f>HYPERLINK("https://www.spark-marketing.ru/Card/Lot/68455767", "Оказание услуг для сопровождения процедуры закрепления объектов за ФГУП «РосРАО»")</f>
        <v>Оказание услуг для сопровождения процедуры закрепления объектов за ФГУП «РосРАО»</v>
      </c>
      <c r="G13026" s="22" t="s">
        <v>55</v>
      </c>
      <c r="H13026" s="22" t="s">
        <v>55</v>
      </c>
      <c r="I13026" s="26">
        <v>43528.708067129599</v>
      </c>
      <c r="J13026" s="28" t="s">
        <v>52</v>
      </c>
      <c r="K13026" s="28" t="s">
        <v>52</v>
      </c>
      <c r="L13026" s="28" t="s">
        <v>52</v>
      </c>
      <c r="M13026" s="28" t="s">
        <v>52</v>
      </c>
      <c r="N13026" s="28" t="s">
        <v>52</v>
      </c>
    </row>
    <row r="13027" spans="1:14" x14ac:dyDescent="0.15">
      <c r="A13027" s="23" t="str">
        <f t="shared" ref="A13027:A13064" si="677">HYPERLINK("https://www.spark-marketing.ru/Card/Person/1752716", "ООО ""СК ЭКОСТРОЙ""")</f>
        <v>ООО "СК ЭКОСТРОЙ"</v>
      </c>
      <c r="B13027" s="24" t="s">
        <v>3305</v>
      </c>
      <c r="C13027" s="25">
        <v>0</v>
      </c>
      <c r="D13027" s="22" t="s">
        <v>15340</v>
      </c>
      <c r="E13027" s="22" t="s">
        <v>53</v>
      </c>
      <c r="F13027" s="23" t="str">
        <f>HYPERLINK("https://www.spark-marketing.ru/Card/Lot/68458974", "Зажим наборный ЗНИ-2,5 мм2(JXB24A) серый")</f>
        <v>Зажим наборный ЗНИ-2,5 мм2(JXB24A) серый</v>
      </c>
      <c r="G13027" s="22" t="s">
        <v>204</v>
      </c>
      <c r="H13027" s="22" t="s">
        <v>303</v>
      </c>
      <c r="I13027" s="26">
        <v>43528.703506944403</v>
      </c>
      <c r="J13027" s="28" t="s">
        <v>52</v>
      </c>
      <c r="K13027" s="28" t="s">
        <v>52</v>
      </c>
      <c r="L13027" s="28" t="s">
        <v>52</v>
      </c>
      <c r="M13027" s="28" t="s">
        <v>52</v>
      </c>
      <c r="N13027" s="28" t="s">
        <v>52</v>
      </c>
    </row>
    <row r="13028" spans="1:14" x14ac:dyDescent="0.15">
      <c r="A13028" s="23" t="str">
        <f t="shared" si="677"/>
        <v>ООО "СК ЭКОСТРОЙ"</v>
      </c>
      <c r="B13028" s="24" t="s">
        <v>3305</v>
      </c>
      <c r="C13028" s="25">
        <v>0</v>
      </c>
      <c r="D13028" s="22" t="s">
        <v>15341</v>
      </c>
      <c r="E13028" s="22" t="s">
        <v>53</v>
      </c>
      <c r="F13028" s="23" t="str">
        <f>HYPERLINK("https://www.spark-marketing.ru/Card/Lot/68459315", "Болт с прямоугольной головкой М10х30 мм")</f>
        <v>Болт с прямоугольной головкой М10х30 мм</v>
      </c>
      <c r="G13028" s="22" t="s">
        <v>204</v>
      </c>
      <c r="H13028" s="22" t="s">
        <v>303</v>
      </c>
      <c r="I13028" s="26">
        <v>43528.697812500002</v>
      </c>
      <c r="J13028" s="28" t="s">
        <v>52</v>
      </c>
      <c r="K13028" s="28" t="s">
        <v>52</v>
      </c>
      <c r="L13028" s="28" t="s">
        <v>52</v>
      </c>
      <c r="M13028" s="28" t="s">
        <v>52</v>
      </c>
      <c r="N13028" s="28" t="s">
        <v>52</v>
      </c>
    </row>
    <row r="13029" spans="1:14" x14ac:dyDescent="0.15">
      <c r="A13029" s="23" t="str">
        <f t="shared" si="677"/>
        <v>ООО "СК ЭКОСТРОЙ"</v>
      </c>
      <c r="B13029" s="24" t="s">
        <v>3305</v>
      </c>
      <c r="C13029" s="25">
        <v>0</v>
      </c>
      <c r="D13029" s="22" t="s">
        <v>15341</v>
      </c>
      <c r="E13029" s="22" t="s">
        <v>53</v>
      </c>
      <c r="F13029" s="23" t="str">
        <f>HYPERLINK("https://www.spark-marketing.ru/Card/Lot/68459319", "Крышка кабельного листового лотка 10х3000")</f>
        <v>Крышка кабельного листового лотка 10х3000</v>
      </c>
      <c r="G13029" s="22" t="s">
        <v>204</v>
      </c>
      <c r="H13029" s="22" t="s">
        <v>303</v>
      </c>
      <c r="I13029" s="26">
        <v>43528.697812500002</v>
      </c>
      <c r="J13029" s="28" t="s">
        <v>52</v>
      </c>
      <c r="K13029" s="28" t="s">
        <v>52</v>
      </c>
      <c r="L13029" s="28" t="s">
        <v>52</v>
      </c>
      <c r="M13029" s="28" t="s">
        <v>52</v>
      </c>
      <c r="N13029" s="28" t="s">
        <v>52</v>
      </c>
    </row>
    <row r="13030" spans="1:14" x14ac:dyDescent="0.15">
      <c r="A13030" s="23" t="str">
        <f t="shared" si="677"/>
        <v>ООО "СК ЭКОСТРОЙ"</v>
      </c>
      <c r="B13030" s="24" t="s">
        <v>3305</v>
      </c>
      <c r="C13030" s="25">
        <v>0</v>
      </c>
      <c r="D13030" s="22" t="s">
        <v>15341</v>
      </c>
      <c r="E13030" s="22" t="s">
        <v>53</v>
      </c>
      <c r="F13030" s="23" t="str">
        <f>HYPERLINK("https://www.spark-marketing.ru/Card/Lot/68459335", "Анкерный болт BZ-U, M8х75мм, сталь, G")</f>
        <v>Анкерный болт BZ-U, M8х75мм, сталь, G</v>
      </c>
      <c r="G13030" s="22" t="s">
        <v>204</v>
      </c>
      <c r="H13030" s="22" t="s">
        <v>303</v>
      </c>
      <c r="I13030" s="26">
        <v>43528.697812500002</v>
      </c>
      <c r="J13030" s="28" t="s">
        <v>52</v>
      </c>
      <c r="K13030" s="28" t="s">
        <v>52</v>
      </c>
      <c r="L13030" s="28" t="s">
        <v>52</v>
      </c>
      <c r="M13030" s="28" t="s">
        <v>52</v>
      </c>
      <c r="N13030" s="28" t="s">
        <v>52</v>
      </c>
    </row>
    <row r="13031" spans="1:14" x14ac:dyDescent="0.15">
      <c r="A13031" s="23" t="str">
        <f t="shared" si="677"/>
        <v>ООО "СК ЭКОСТРОЙ"</v>
      </c>
      <c r="B13031" s="24" t="s">
        <v>3305</v>
      </c>
      <c r="C13031" s="25">
        <v>0</v>
      </c>
      <c r="D13031" s="22" t="s">
        <v>15341</v>
      </c>
      <c r="E13031" s="22" t="s">
        <v>53</v>
      </c>
      <c r="F13031" s="23" t="str">
        <f>HYPERLINK("https://www.spark-marketing.ru/Card/Lot/68459345", "Соединитель полосы крестовой")</f>
        <v>Соединитель полосы крестовой</v>
      </c>
      <c r="G13031" s="22" t="s">
        <v>204</v>
      </c>
      <c r="H13031" s="22" t="s">
        <v>303</v>
      </c>
      <c r="I13031" s="26">
        <v>43528.697812500002</v>
      </c>
      <c r="J13031" s="28" t="s">
        <v>52</v>
      </c>
      <c r="K13031" s="28" t="s">
        <v>52</v>
      </c>
      <c r="L13031" s="28" t="s">
        <v>52</v>
      </c>
      <c r="M13031" s="28" t="s">
        <v>52</v>
      </c>
      <c r="N13031" s="28" t="s">
        <v>52</v>
      </c>
    </row>
    <row r="13032" spans="1:14" x14ac:dyDescent="0.15">
      <c r="A13032" s="23" t="str">
        <f t="shared" si="677"/>
        <v>ООО "СК ЭКОСТРОЙ"</v>
      </c>
      <c r="B13032" s="24" t="s">
        <v>3305</v>
      </c>
      <c r="C13032" s="25">
        <v>0</v>
      </c>
      <c r="D13032" s="22" t="s">
        <v>15341</v>
      </c>
      <c r="E13032" s="22" t="s">
        <v>53</v>
      </c>
      <c r="F13032" s="23" t="str">
        <f>HYPERLINK("https://www.spark-marketing.ru/Card/Lot/68459418", "Заземляющий проводник гибкий сечением 16 мм с обжимными клеммами")</f>
        <v>Заземляющий проводник гибкий сечением 16 мм с обжимными клеммами</v>
      </c>
      <c r="G13032" s="22" t="s">
        <v>204</v>
      </c>
      <c r="H13032" s="22" t="s">
        <v>303</v>
      </c>
      <c r="I13032" s="26">
        <v>43528.697812500002</v>
      </c>
      <c r="J13032" s="28" t="s">
        <v>52</v>
      </c>
      <c r="K13032" s="28" t="s">
        <v>52</v>
      </c>
      <c r="L13032" s="28" t="s">
        <v>52</v>
      </c>
      <c r="M13032" s="28" t="s">
        <v>52</v>
      </c>
      <c r="N13032" s="28" t="s">
        <v>52</v>
      </c>
    </row>
    <row r="13033" spans="1:14" x14ac:dyDescent="0.15">
      <c r="A13033" s="23" t="str">
        <f t="shared" si="677"/>
        <v>ООО "СК ЭКОСТРОЙ"</v>
      </c>
      <c r="B13033" s="24" t="s">
        <v>3305</v>
      </c>
      <c r="C13033" s="25">
        <v>0</v>
      </c>
      <c r="D13033" s="22" t="s">
        <v>15340</v>
      </c>
      <c r="E13033" s="22" t="s">
        <v>53</v>
      </c>
      <c r="F13033" s="23" t="str">
        <f>HYPERLINK("https://www.spark-marketing.ru/Card/Lot/68459894", "Разделительная полочка 85х3000")</f>
        <v>Разделительная полочка 85х3000</v>
      </c>
      <c r="G13033" s="22" t="s">
        <v>204</v>
      </c>
      <c r="H13033" s="22" t="s">
        <v>303</v>
      </c>
      <c r="I13033" s="26">
        <v>43528.703506944403</v>
      </c>
      <c r="J13033" s="28" t="s">
        <v>52</v>
      </c>
      <c r="K13033" s="28" t="s">
        <v>52</v>
      </c>
      <c r="L13033" s="28" t="s">
        <v>52</v>
      </c>
      <c r="M13033" s="28" t="s">
        <v>52</v>
      </c>
      <c r="N13033" s="28" t="s">
        <v>52</v>
      </c>
    </row>
    <row r="13034" spans="1:14" x14ac:dyDescent="0.15">
      <c r="A13034" s="23" t="str">
        <f t="shared" si="677"/>
        <v>ООО "СК ЭКОСТРОЙ"</v>
      </c>
      <c r="B13034" s="24" t="s">
        <v>3305</v>
      </c>
      <c r="C13034" s="25">
        <v>0</v>
      </c>
      <c r="D13034" s="22" t="s">
        <v>15339</v>
      </c>
      <c r="E13034" s="22" t="s">
        <v>53</v>
      </c>
      <c r="F13034" s="23" t="str">
        <f>HYPERLINK("https://www.spark-marketing.ru/Card/Lot/68458927", "Гайка скользящая М10")</f>
        <v>Гайка скользящая М10</v>
      </c>
      <c r="G13034" s="22" t="s">
        <v>204</v>
      </c>
      <c r="H13034" s="22" t="s">
        <v>303</v>
      </c>
      <c r="I13034" s="26">
        <v>43528.701111111099</v>
      </c>
      <c r="J13034" s="28" t="s">
        <v>52</v>
      </c>
      <c r="K13034" s="28" t="s">
        <v>52</v>
      </c>
      <c r="L13034" s="28" t="s">
        <v>52</v>
      </c>
      <c r="M13034" s="28" t="s">
        <v>52</v>
      </c>
      <c r="N13034" s="28" t="s">
        <v>52</v>
      </c>
    </row>
    <row r="13035" spans="1:14" x14ac:dyDescent="0.15">
      <c r="A13035" s="23" t="str">
        <f t="shared" si="677"/>
        <v>ООО "СК ЭКОСТРОЙ"</v>
      </c>
      <c r="B13035" s="24" t="s">
        <v>3305</v>
      </c>
      <c r="C13035" s="25">
        <v>0</v>
      </c>
      <c r="D13035" s="22" t="s">
        <v>15339</v>
      </c>
      <c r="E13035" s="22" t="s">
        <v>53</v>
      </c>
      <c r="F13035" s="23" t="str">
        <f>HYPERLINK("https://www.spark-marketing.ru/Card/Lot/68458954", "Заземляющий проводник гибкий сечением 16 мм с обжимными клеммами")</f>
        <v>Заземляющий проводник гибкий сечением 16 мм с обжимными клеммами</v>
      </c>
      <c r="G13035" s="22" t="s">
        <v>204</v>
      </c>
      <c r="H13035" s="22" t="s">
        <v>303</v>
      </c>
      <c r="I13035" s="26">
        <v>43528.701111111099</v>
      </c>
      <c r="J13035" s="28" t="s">
        <v>52</v>
      </c>
      <c r="K13035" s="28" t="s">
        <v>52</v>
      </c>
      <c r="L13035" s="28" t="s">
        <v>52</v>
      </c>
      <c r="M13035" s="28" t="s">
        <v>52</v>
      </c>
      <c r="N13035" s="28" t="s">
        <v>52</v>
      </c>
    </row>
    <row r="13036" spans="1:14" x14ac:dyDescent="0.15">
      <c r="A13036" s="23" t="str">
        <f t="shared" si="677"/>
        <v>ООО "СК ЭКОСТРОЙ"</v>
      </c>
      <c r="B13036" s="24" t="s">
        <v>3305</v>
      </c>
      <c r="C13036" s="25">
        <v>0</v>
      </c>
      <c r="D13036" s="22" t="s">
        <v>15339</v>
      </c>
      <c r="E13036" s="22" t="s">
        <v>53</v>
      </c>
      <c r="F13036" s="23" t="str">
        <f>HYPERLINK("https://www.spark-marketing.ru/Card/Lot/68458955", "Устройство контроля доступа и наличия напряжения")</f>
        <v>Устройство контроля доступа и наличия напряжения</v>
      </c>
      <c r="G13036" s="22" t="s">
        <v>204</v>
      </c>
      <c r="H13036" s="22" t="s">
        <v>303</v>
      </c>
      <c r="I13036" s="26">
        <v>43528.701111111099</v>
      </c>
      <c r="J13036" s="28" t="s">
        <v>52</v>
      </c>
      <c r="K13036" s="28" t="s">
        <v>52</v>
      </c>
      <c r="L13036" s="28" t="s">
        <v>52</v>
      </c>
      <c r="M13036" s="28" t="s">
        <v>52</v>
      </c>
      <c r="N13036" s="28" t="s">
        <v>52</v>
      </c>
    </row>
    <row r="13037" spans="1:14" x14ac:dyDescent="0.15">
      <c r="A13037" s="23" t="str">
        <f t="shared" si="677"/>
        <v>ООО "СК ЭКОСТРОЙ"</v>
      </c>
      <c r="B13037" s="24" t="s">
        <v>3305</v>
      </c>
      <c r="C13037" s="25">
        <v>0</v>
      </c>
      <c r="D13037" s="22" t="s">
        <v>15340</v>
      </c>
      <c r="E13037" s="22" t="s">
        <v>53</v>
      </c>
      <c r="F13037" s="23" t="str">
        <f>HYPERLINK("https://www.spark-marketing.ru/Card/Lot/68458961", "Ограничитель инпульсных перенапряжений 380 В")</f>
        <v>Ограничитель инпульсных перенапряжений 380 В</v>
      </c>
      <c r="G13037" s="22" t="s">
        <v>204</v>
      </c>
      <c r="H13037" s="22" t="s">
        <v>303</v>
      </c>
      <c r="I13037" s="26">
        <v>43528.703506944403</v>
      </c>
      <c r="J13037" s="28" t="s">
        <v>52</v>
      </c>
      <c r="K13037" s="28" t="s">
        <v>52</v>
      </c>
      <c r="L13037" s="28" t="s">
        <v>52</v>
      </c>
      <c r="M13037" s="28" t="s">
        <v>52</v>
      </c>
      <c r="N13037" s="28" t="s">
        <v>52</v>
      </c>
    </row>
    <row r="13038" spans="1:14" x14ac:dyDescent="0.15">
      <c r="A13038" s="23" t="str">
        <f t="shared" si="677"/>
        <v>ООО "СК ЭКОСТРОЙ"</v>
      </c>
      <c r="B13038" s="24" t="s">
        <v>3305</v>
      </c>
      <c r="C13038" s="25">
        <v>0</v>
      </c>
      <c r="D13038" s="22" t="s">
        <v>15340</v>
      </c>
      <c r="E13038" s="22" t="s">
        <v>53</v>
      </c>
      <c r="F13038" s="23" t="str">
        <f>HYPERLINK("https://www.spark-marketing.ru/Card/Lot/68459996", "Устройство контроля доступа и наличия напряжения")</f>
        <v>Устройство контроля доступа и наличия напряжения</v>
      </c>
      <c r="G13038" s="22" t="s">
        <v>204</v>
      </c>
      <c r="H13038" s="22" t="s">
        <v>303</v>
      </c>
      <c r="I13038" s="26">
        <v>43528.703506944403</v>
      </c>
      <c r="J13038" s="28" t="s">
        <v>52</v>
      </c>
      <c r="K13038" s="28" t="s">
        <v>52</v>
      </c>
      <c r="L13038" s="28" t="s">
        <v>52</v>
      </c>
      <c r="M13038" s="28" t="s">
        <v>52</v>
      </c>
      <c r="N13038" s="28" t="s">
        <v>52</v>
      </c>
    </row>
    <row r="13039" spans="1:14" x14ac:dyDescent="0.15">
      <c r="A13039" s="23" t="str">
        <f t="shared" si="677"/>
        <v>ООО "СК ЭКОСТРОЙ"</v>
      </c>
      <c r="B13039" s="24" t="s">
        <v>3305</v>
      </c>
      <c r="C13039" s="25">
        <v>0</v>
      </c>
      <c r="D13039" s="22" t="s">
        <v>15340</v>
      </c>
      <c r="E13039" s="22" t="s">
        <v>53</v>
      </c>
      <c r="F13039" s="23" t="str">
        <f>HYPERLINK("https://www.spark-marketing.ru/Card/Lot/68459987", "Труба полиэтиленовая d=100 мм")</f>
        <v>Труба полиэтиленовая d=100 мм</v>
      </c>
      <c r="G13039" s="22" t="s">
        <v>204</v>
      </c>
      <c r="H13039" s="22" t="s">
        <v>303</v>
      </c>
      <c r="I13039" s="26">
        <v>43528.703506944403</v>
      </c>
      <c r="J13039" s="28" t="s">
        <v>52</v>
      </c>
      <c r="K13039" s="28" t="s">
        <v>52</v>
      </c>
      <c r="L13039" s="28" t="s">
        <v>52</v>
      </c>
      <c r="M13039" s="28" t="s">
        <v>52</v>
      </c>
      <c r="N13039" s="28" t="s">
        <v>52</v>
      </c>
    </row>
    <row r="13040" spans="1:14" x14ac:dyDescent="0.15">
      <c r="A13040" s="23" t="str">
        <f t="shared" si="677"/>
        <v>ООО "СК ЭКОСТРОЙ"</v>
      </c>
      <c r="B13040" s="24" t="s">
        <v>3305</v>
      </c>
      <c r="C13040" s="25">
        <v>0</v>
      </c>
      <c r="D13040" s="22" t="s">
        <v>15339</v>
      </c>
      <c r="E13040" s="22" t="s">
        <v>53</v>
      </c>
      <c r="F13040" s="23" t="str">
        <f>HYPERLINK("https://www.spark-marketing.ru/Card/Lot/68458914", "Кнопка управления ""I-O"" сдвоенная с подсветкой (20 шт)")</f>
        <v>Кнопка управления "I-O" сдвоенная с подсветкой (20 шт)</v>
      </c>
      <c r="G13040" s="22" t="s">
        <v>204</v>
      </c>
      <c r="H13040" s="22" t="s">
        <v>303</v>
      </c>
      <c r="I13040" s="26">
        <v>43528.701111111099</v>
      </c>
      <c r="J13040" s="28" t="s">
        <v>52</v>
      </c>
      <c r="K13040" s="28" t="s">
        <v>52</v>
      </c>
      <c r="L13040" s="28" t="s">
        <v>52</v>
      </c>
      <c r="M13040" s="28" t="s">
        <v>52</v>
      </c>
      <c r="N13040" s="28" t="s">
        <v>52</v>
      </c>
    </row>
    <row r="13041" spans="1:14" x14ac:dyDescent="0.15">
      <c r="A13041" s="23" t="str">
        <f t="shared" si="677"/>
        <v>ООО "СК ЭКОСТРОЙ"</v>
      </c>
      <c r="B13041" s="24" t="s">
        <v>3305</v>
      </c>
      <c r="C13041" s="25">
        <v>0</v>
      </c>
      <c r="D13041" s="22" t="s">
        <v>15339</v>
      </c>
      <c r="E13041" s="22" t="s">
        <v>53</v>
      </c>
      <c r="F13041" s="23" t="str">
        <f>HYPERLINK("https://www.spark-marketing.ru/Card/Lot/68458936", "Угловая секция 90° 85х100")</f>
        <v>Угловая секция 90° 85х100</v>
      </c>
      <c r="G13041" s="22" t="s">
        <v>204</v>
      </c>
      <c r="H13041" s="22" t="s">
        <v>303</v>
      </c>
      <c r="I13041" s="26">
        <v>43528.701111111099</v>
      </c>
      <c r="J13041" s="28" t="s">
        <v>52</v>
      </c>
      <c r="K13041" s="28" t="s">
        <v>52</v>
      </c>
      <c r="L13041" s="28" t="s">
        <v>52</v>
      </c>
      <c r="M13041" s="28" t="s">
        <v>52</v>
      </c>
      <c r="N13041" s="28" t="s">
        <v>52</v>
      </c>
    </row>
    <row r="13042" spans="1:14" x14ac:dyDescent="0.15">
      <c r="A13042" s="23" t="str">
        <f t="shared" si="677"/>
        <v>ООО "СК ЭКОСТРОЙ"</v>
      </c>
      <c r="B13042" s="24" t="s">
        <v>3305</v>
      </c>
      <c r="C13042" s="25">
        <v>0</v>
      </c>
      <c r="D13042" s="22" t="s">
        <v>15339</v>
      </c>
      <c r="E13042" s="22" t="s">
        <v>53</v>
      </c>
      <c r="F13042" s="23" t="str">
        <f>HYPERLINK("https://www.spark-marketing.ru/Card/Lot/68458938", "Т-образное/крестовое соединение 85х100")</f>
        <v>Т-образное/крестовое соединение 85х100</v>
      </c>
      <c r="G13042" s="22" t="s">
        <v>204</v>
      </c>
      <c r="H13042" s="22" t="s">
        <v>303</v>
      </c>
      <c r="I13042" s="26">
        <v>43528.701111111099</v>
      </c>
      <c r="J13042" s="28" t="s">
        <v>52</v>
      </c>
      <c r="K13042" s="28" t="s">
        <v>52</v>
      </c>
      <c r="L13042" s="28" t="s">
        <v>52</v>
      </c>
      <c r="M13042" s="28" t="s">
        <v>52</v>
      </c>
      <c r="N13042" s="28" t="s">
        <v>52</v>
      </c>
    </row>
    <row r="13043" spans="1:14" x14ac:dyDescent="0.15">
      <c r="A13043" s="23" t="str">
        <f t="shared" si="677"/>
        <v>ООО "СК ЭКОСТРОЙ"</v>
      </c>
      <c r="B13043" s="24" t="s">
        <v>3305</v>
      </c>
      <c r="C13043" s="25">
        <v>0</v>
      </c>
      <c r="D13043" s="22" t="s">
        <v>15339</v>
      </c>
      <c r="E13043" s="22" t="s">
        <v>53</v>
      </c>
      <c r="F13043" s="23" t="str">
        <f>HYPERLINK("https://www.spark-marketing.ru/Card/Lot/68458947", "Полоса из оцинк.стали 40х4")</f>
        <v>Полоса из оцинк.стали 40х4</v>
      </c>
      <c r="G13043" s="22" t="s">
        <v>204</v>
      </c>
      <c r="H13043" s="22" t="s">
        <v>303</v>
      </c>
      <c r="I13043" s="26">
        <v>43528.701111111099</v>
      </c>
      <c r="J13043" s="28" t="s">
        <v>52</v>
      </c>
      <c r="K13043" s="28" t="s">
        <v>52</v>
      </c>
      <c r="L13043" s="28" t="s">
        <v>52</v>
      </c>
      <c r="M13043" s="28" t="s">
        <v>52</v>
      </c>
      <c r="N13043" s="28" t="s">
        <v>52</v>
      </c>
    </row>
    <row r="13044" spans="1:14" x14ac:dyDescent="0.15">
      <c r="A13044" s="23" t="str">
        <f t="shared" si="677"/>
        <v>ООО "СК ЭКОСТРОЙ"</v>
      </c>
      <c r="B13044" s="24" t="s">
        <v>3305</v>
      </c>
      <c r="C13044" s="25">
        <v>0</v>
      </c>
      <c r="D13044" s="22" t="s">
        <v>15339</v>
      </c>
      <c r="E13044" s="22" t="s">
        <v>53</v>
      </c>
      <c r="F13044" s="23" t="str">
        <f>HYPERLINK("https://www.spark-marketing.ru/Card/Lot/68458949", "Соединитель стержня заземления и проволоки")</f>
        <v>Соединитель стержня заземления и проволоки</v>
      </c>
      <c r="G13044" s="22" t="s">
        <v>204</v>
      </c>
      <c r="H13044" s="22" t="s">
        <v>303</v>
      </c>
      <c r="I13044" s="26">
        <v>43528.701111111099</v>
      </c>
      <c r="J13044" s="28" t="s">
        <v>52</v>
      </c>
      <c r="K13044" s="28" t="s">
        <v>52</v>
      </c>
      <c r="L13044" s="28" t="s">
        <v>52</v>
      </c>
      <c r="M13044" s="28" t="s">
        <v>52</v>
      </c>
      <c r="N13044" s="28" t="s">
        <v>52</v>
      </c>
    </row>
    <row r="13045" spans="1:14" x14ac:dyDescent="0.15">
      <c r="A13045" s="23" t="str">
        <f t="shared" si="677"/>
        <v>ООО "СК ЭКОСТРОЙ"</v>
      </c>
      <c r="B13045" s="24" t="s">
        <v>3305</v>
      </c>
      <c r="C13045" s="25">
        <v>0</v>
      </c>
      <c r="D13045" s="22" t="s">
        <v>15340</v>
      </c>
      <c r="E13045" s="22" t="s">
        <v>53</v>
      </c>
      <c r="F13045" s="23" t="str">
        <f>HYPERLINK("https://www.spark-marketing.ru/Card/Lot/68458964", "Автоматический выключатель трехфазный I ном=25 А, хар-ка В")</f>
        <v>Автоматический выключатель трехфазный I ном=25 А, хар-ка В</v>
      </c>
      <c r="G13045" s="22" t="s">
        <v>204</v>
      </c>
      <c r="H13045" s="22" t="s">
        <v>303</v>
      </c>
      <c r="I13045" s="26">
        <v>43528.703506944403</v>
      </c>
      <c r="J13045" s="28" t="s">
        <v>52</v>
      </c>
      <c r="K13045" s="28" t="s">
        <v>52</v>
      </c>
      <c r="L13045" s="28" t="s">
        <v>52</v>
      </c>
      <c r="M13045" s="28" t="s">
        <v>52</v>
      </c>
      <c r="N13045" s="28" t="s">
        <v>52</v>
      </c>
    </row>
    <row r="13046" spans="1:14" x14ac:dyDescent="0.15">
      <c r="A13046" s="23" t="str">
        <f t="shared" si="677"/>
        <v>ООО "СК ЭКОСТРОЙ"</v>
      </c>
      <c r="B13046" s="24" t="s">
        <v>3305</v>
      </c>
      <c r="C13046" s="25">
        <v>0</v>
      </c>
      <c r="D13046" s="22" t="s">
        <v>15340</v>
      </c>
      <c r="E13046" s="22" t="s">
        <v>53</v>
      </c>
      <c r="F13046" s="23" t="str">
        <f>HYPERLINK("https://www.spark-marketing.ru/Card/Lot/68458969", "Зажим наборный ЗНИ-2,5 мм2 (JXB24A) серый (50 шт)")</f>
        <v>Зажим наборный ЗНИ-2,5 мм2 (JXB24A) серый (50 шт)</v>
      </c>
      <c r="G13046" s="22" t="s">
        <v>204</v>
      </c>
      <c r="H13046" s="22" t="s">
        <v>303</v>
      </c>
      <c r="I13046" s="26">
        <v>43528.703506944403</v>
      </c>
      <c r="J13046" s="28" t="s">
        <v>52</v>
      </c>
      <c r="K13046" s="28" t="s">
        <v>52</v>
      </c>
      <c r="L13046" s="28" t="s">
        <v>52</v>
      </c>
      <c r="M13046" s="28" t="s">
        <v>52</v>
      </c>
      <c r="N13046" s="28" t="s">
        <v>52</v>
      </c>
    </row>
    <row r="13047" spans="1:14" x14ac:dyDescent="0.15">
      <c r="A13047" s="23" t="str">
        <f t="shared" si="677"/>
        <v>ООО "СК ЭКОСТРОЙ"</v>
      </c>
      <c r="B13047" s="24" t="s">
        <v>3305</v>
      </c>
      <c r="C13047" s="25">
        <v>0</v>
      </c>
      <c r="D13047" s="22" t="s">
        <v>15341</v>
      </c>
      <c r="E13047" s="22" t="s">
        <v>53</v>
      </c>
      <c r="F13047" s="23" t="str">
        <f>HYPERLINK("https://www.spark-marketing.ru/Card/Lot/68459238", "Кабель силовой с медными жилами с изоляцией из ПВХ-пластиката с бронепокровом из стальной оцинкованной ленты, сеч. 5х4,0 мм2")</f>
        <v>Кабель силовой с медными жилами с изоляцией из ПВХ-пластиката с бронепокровом из стальной оцинкованной ленты, сеч. 5х4,0 мм2</v>
      </c>
      <c r="G13047" s="22" t="s">
        <v>204</v>
      </c>
      <c r="H13047" s="22" t="s">
        <v>303</v>
      </c>
      <c r="I13047" s="26">
        <v>43528.697812500002</v>
      </c>
      <c r="J13047" s="28" t="s">
        <v>52</v>
      </c>
      <c r="K13047" s="28" t="s">
        <v>52</v>
      </c>
      <c r="L13047" s="28" t="s">
        <v>52</v>
      </c>
      <c r="M13047" s="28" t="s">
        <v>52</v>
      </c>
      <c r="N13047" s="28" t="s">
        <v>52</v>
      </c>
    </row>
    <row r="13048" spans="1:14" x14ac:dyDescent="0.15">
      <c r="A13048" s="23" t="str">
        <f t="shared" si="677"/>
        <v>ООО "СК ЭКОСТРОЙ"</v>
      </c>
      <c r="B13048" s="24" t="s">
        <v>3305</v>
      </c>
      <c r="C13048" s="25">
        <v>0</v>
      </c>
      <c r="D13048" s="22" t="s">
        <v>15341</v>
      </c>
      <c r="E13048" s="22" t="s">
        <v>53</v>
      </c>
      <c r="F13048" s="23" t="str">
        <f>HYPERLINK("https://www.spark-marketing.ru/Card/Lot/68459240", "Кабель контрольный с медными жилами с оболочкой и изоляцией из ПВХ-пластиката пониженной горючести, сечением 7х1,0 мм2")</f>
        <v>Кабель контрольный с медными жилами с оболочкой и изоляцией из ПВХ-пластиката пониженной горючести, сечением 7х1,0 мм2</v>
      </c>
      <c r="G13048" s="22" t="s">
        <v>204</v>
      </c>
      <c r="H13048" s="22" t="s">
        <v>303</v>
      </c>
      <c r="I13048" s="26">
        <v>43528.697812500002</v>
      </c>
      <c r="J13048" s="28" t="s">
        <v>52</v>
      </c>
      <c r="K13048" s="28" t="s">
        <v>52</v>
      </c>
      <c r="L13048" s="28" t="s">
        <v>52</v>
      </c>
      <c r="M13048" s="28" t="s">
        <v>52</v>
      </c>
      <c r="N13048" s="28" t="s">
        <v>52</v>
      </c>
    </row>
    <row r="13049" spans="1:14" x14ac:dyDescent="0.15">
      <c r="A13049" s="23" t="str">
        <f t="shared" si="677"/>
        <v>ООО "СК ЭКОСТРОЙ"</v>
      </c>
      <c r="B13049" s="24" t="s">
        <v>3305</v>
      </c>
      <c r="C13049" s="25">
        <v>0</v>
      </c>
      <c r="D13049" s="22" t="s">
        <v>15341</v>
      </c>
      <c r="E13049" s="22" t="s">
        <v>53</v>
      </c>
      <c r="F13049" s="23" t="str">
        <f>HYPERLINK("https://www.spark-marketing.ru/Card/Lot/68459241", "Кабель контрольный с медными жилами с оболочкой и изоляцией из ПВХ-пластиката пониженной горючести, сечением 10х1,0 мм2")</f>
        <v>Кабель контрольный с медными жилами с оболочкой и изоляцией из ПВХ-пластиката пониженной горючести, сечением 10х1,0 мм2</v>
      </c>
      <c r="G13049" s="22" t="s">
        <v>204</v>
      </c>
      <c r="H13049" s="22" t="s">
        <v>303</v>
      </c>
      <c r="I13049" s="26">
        <v>43528.697812500002</v>
      </c>
      <c r="J13049" s="28" t="s">
        <v>52</v>
      </c>
      <c r="K13049" s="28" t="s">
        <v>52</v>
      </c>
      <c r="L13049" s="28" t="s">
        <v>52</v>
      </c>
      <c r="M13049" s="28" t="s">
        <v>52</v>
      </c>
      <c r="N13049" s="28" t="s">
        <v>52</v>
      </c>
    </row>
    <row r="13050" spans="1:14" x14ac:dyDescent="0.15">
      <c r="A13050" s="23" t="str">
        <f t="shared" si="677"/>
        <v>ООО "СК ЭКОСТРОЙ"</v>
      </c>
      <c r="B13050" s="24" t="s">
        <v>3305</v>
      </c>
      <c r="C13050" s="25">
        <v>0</v>
      </c>
      <c r="D13050" s="22" t="s">
        <v>15341</v>
      </c>
      <c r="E13050" s="22" t="s">
        <v>53</v>
      </c>
      <c r="F13050" s="23" t="str">
        <f>HYPERLINK("https://www.spark-marketing.ru/Card/Lot/68459318", "Кабельный листовой лоток перфорированный 85х100х3000")</f>
        <v>Кабельный листовой лоток перфорированный 85х100х3000</v>
      </c>
      <c r="G13050" s="22" t="s">
        <v>204</v>
      </c>
      <c r="H13050" s="22" t="s">
        <v>303</v>
      </c>
      <c r="I13050" s="26">
        <v>43528.697812500002</v>
      </c>
      <c r="J13050" s="28" t="s">
        <v>52</v>
      </c>
      <c r="K13050" s="28" t="s">
        <v>52</v>
      </c>
      <c r="L13050" s="28" t="s">
        <v>52</v>
      </c>
      <c r="M13050" s="28" t="s">
        <v>52</v>
      </c>
      <c r="N13050" s="28" t="s">
        <v>52</v>
      </c>
    </row>
    <row r="13051" spans="1:14" x14ac:dyDescent="0.15">
      <c r="A13051" s="23" t="str">
        <f t="shared" si="677"/>
        <v>ООО "СК ЭКОСТРОЙ"</v>
      </c>
      <c r="B13051" s="24" t="s">
        <v>3305</v>
      </c>
      <c r="C13051" s="25">
        <v>0</v>
      </c>
      <c r="D13051" s="22" t="s">
        <v>15341</v>
      </c>
      <c r="E13051" s="22" t="s">
        <v>53</v>
      </c>
      <c r="F13051" s="23" t="str">
        <f>HYPERLINK("https://www.spark-marketing.ru/Card/Lot/68459324", "Кронштейн 110 мм")</f>
        <v>Кронштейн 110 мм</v>
      </c>
      <c r="G13051" s="22" t="s">
        <v>204</v>
      </c>
      <c r="H13051" s="22" t="s">
        <v>303</v>
      </c>
      <c r="I13051" s="26">
        <v>43528.697812500002</v>
      </c>
      <c r="J13051" s="28" t="s">
        <v>52</v>
      </c>
      <c r="K13051" s="28" t="s">
        <v>52</v>
      </c>
      <c r="L13051" s="28" t="s">
        <v>52</v>
      </c>
      <c r="M13051" s="28" t="s">
        <v>52</v>
      </c>
      <c r="N13051" s="28" t="s">
        <v>52</v>
      </c>
    </row>
    <row r="13052" spans="1:14" x14ac:dyDescent="0.15">
      <c r="A13052" s="23" t="str">
        <f t="shared" si="677"/>
        <v>ООО "СК ЭКОСТРОЙ"</v>
      </c>
      <c r="B13052" s="24" t="s">
        <v>3305</v>
      </c>
      <c r="C13052" s="25">
        <v>0</v>
      </c>
      <c r="D13052" s="22" t="s">
        <v>15341</v>
      </c>
      <c r="E13052" s="22" t="s">
        <v>53</v>
      </c>
      <c r="F13052" s="23" t="str">
        <f>HYPERLINK("https://www.spark-marketing.ru/Card/Lot/68459334", "Кронштейн 510 мм")</f>
        <v>Кронштейн 510 мм</v>
      </c>
      <c r="G13052" s="22" t="s">
        <v>204</v>
      </c>
      <c r="H13052" s="22" t="s">
        <v>303</v>
      </c>
      <c r="I13052" s="26">
        <v>43528.697812500002</v>
      </c>
      <c r="J13052" s="28" t="s">
        <v>52</v>
      </c>
      <c r="K13052" s="28" t="s">
        <v>52</v>
      </c>
      <c r="L13052" s="28" t="s">
        <v>52</v>
      </c>
      <c r="M13052" s="28" t="s">
        <v>52</v>
      </c>
      <c r="N13052" s="28" t="s">
        <v>52</v>
      </c>
    </row>
    <row r="13053" spans="1:14" x14ac:dyDescent="0.15">
      <c r="A13053" s="23" t="str">
        <f t="shared" si="677"/>
        <v>ООО "СК ЭКОСТРОЙ"</v>
      </c>
      <c r="B13053" s="24" t="s">
        <v>3305</v>
      </c>
      <c r="C13053" s="25">
        <v>0</v>
      </c>
      <c r="D13053" s="22" t="s">
        <v>15340</v>
      </c>
      <c r="E13053" s="22" t="s">
        <v>53</v>
      </c>
      <c r="F13053" s="23" t="str">
        <f>HYPERLINK("https://www.spark-marketing.ru/Card/Lot/68459991", "Стержень заземления 1,5 м")</f>
        <v>Стержень заземления 1,5 м</v>
      </c>
      <c r="G13053" s="22" t="s">
        <v>204</v>
      </c>
      <c r="H13053" s="22" t="s">
        <v>303</v>
      </c>
      <c r="I13053" s="26">
        <v>43528.703506944403</v>
      </c>
      <c r="J13053" s="28" t="s">
        <v>52</v>
      </c>
      <c r="K13053" s="28" t="s">
        <v>52</v>
      </c>
      <c r="L13053" s="28" t="s">
        <v>52</v>
      </c>
      <c r="M13053" s="28" t="s">
        <v>52</v>
      </c>
      <c r="N13053" s="28" t="s">
        <v>52</v>
      </c>
    </row>
    <row r="13054" spans="1:14" x14ac:dyDescent="0.15">
      <c r="A13054" s="23" t="str">
        <f t="shared" si="677"/>
        <v>ООО "СК ЭКОСТРОЙ"</v>
      </c>
      <c r="B13054" s="24" t="s">
        <v>3305</v>
      </c>
      <c r="C13054" s="25">
        <v>0</v>
      </c>
      <c r="D13054" s="22" t="s">
        <v>15341</v>
      </c>
      <c r="E13054" s="22" t="s">
        <v>53</v>
      </c>
      <c r="F13054" s="23" t="str">
        <f>HYPERLINK("https://www.spark-marketing.ru/Card/Lot/68459228", "Контактор модульный Iном-20А на напряжение 380 В")</f>
        <v>Контактор модульный Iном-20А на напряжение 380 В</v>
      </c>
      <c r="G13054" s="22" t="s">
        <v>204</v>
      </c>
      <c r="H13054" s="22" t="s">
        <v>303</v>
      </c>
      <c r="I13054" s="26">
        <v>43528.697812500002</v>
      </c>
      <c r="J13054" s="28" t="s">
        <v>52</v>
      </c>
      <c r="K13054" s="28" t="s">
        <v>52</v>
      </c>
      <c r="L13054" s="28" t="s">
        <v>52</v>
      </c>
      <c r="M13054" s="28" t="s">
        <v>52</v>
      </c>
      <c r="N13054" s="28" t="s">
        <v>52</v>
      </c>
    </row>
    <row r="13055" spans="1:14" x14ac:dyDescent="0.15">
      <c r="A13055" s="23" t="str">
        <f t="shared" si="677"/>
        <v>ООО "СК ЭКОСТРОЙ"</v>
      </c>
      <c r="B13055" s="24" t="s">
        <v>3305</v>
      </c>
      <c r="C13055" s="25">
        <v>0</v>
      </c>
      <c r="D13055" s="22" t="s">
        <v>15341</v>
      </c>
      <c r="E13055" s="22" t="s">
        <v>53</v>
      </c>
      <c r="F13055" s="23" t="str">
        <f>HYPERLINK("https://www.spark-marketing.ru/Card/Lot/68459330", "Вертикальный угол 90° внешний 85х100")</f>
        <v>Вертикальный угол 90° внешний 85х100</v>
      </c>
      <c r="G13055" s="22" t="s">
        <v>204</v>
      </c>
      <c r="H13055" s="22" t="s">
        <v>303</v>
      </c>
      <c r="I13055" s="26">
        <v>43528.697812500002</v>
      </c>
      <c r="J13055" s="28" t="s">
        <v>52</v>
      </c>
      <c r="K13055" s="28" t="s">
        <v>52</v>
      </c>
      <c r="L13055" s="28" t="s">
        <v>52</v>
      </c>
      <c r="M13055" s="28" t="s">
        <v>52</v>
      </c>
      <c r="N13055" s="28" t="s">
        <v>52</v>
      </c>
    </row>
    <row r="13056" spans="1:14" x14ac:dyDescent="0.15">
      <c r="A13056" s="23" t="str">
        <f t="shared" si="677"/>
        <v>ООО "СК ЭКОСТРОЙ"</v>
      </c>
      <c r="B13056" s="24" t="s">
        <v>3305</v>
      </c>
      <c r="C13056" s="25">
        <v>0</v>
      </c>
      <c r="D13056" s="22" t="s">
        <v>15341</v>
      </c>
      <c r="E13056" s="22" t="s">
        <v>53</v>
      </c>
      <c r="F13056" s="23" t="str">
        <f>HYPERLINK("https://www.spark-marketing.ru/Card/Lot/68459333", "Крышка Т-образного соединения 100 мм")</f>
        <v>Крышка Т-образного соединения 100 мм</v>
      </c>
      <c r="G13056" s="22" t="s">
        <v>204</v>
      </c>
      <c r="H13056" s="22" t="s">
        <v>303</v>
      </c>
      <c r="I13056" s="26">
        <v>43528.697812500002</v>
      </c>
      <c r="J13056" s="28" t="s">
        <v>52</v>
      </c>
      <c r="K13056" s="28" t="s">
        <v>52</v>
      </c>
      <c r="L13056" s="28" t="s">
        <v>52</v>
      </c>
      <c r="M13056" s="28" t="s">
        <v>52</v>
      </c>
      <c r="N13056" s="28" t="s">
        <v>52</v>
      </c>
    </row>
    <row r="13057" spans="1:14" x14ac:dyDescent="0.15">
      <c r="A13057" s="23" t="str">
        <f t="shared" si="677"/>
        <v>ООО "СК ЭКОСТРОЙ"</v>
      </c>
      <c r="B13057" s="24" t="s">
        <v>3305</v>
      </c>
      <c r="C13057" s="25">
        <v>0</v>
      </c>
      <c r="D13057" s="22" t="s">
        <v>15341</v>
      </c>
      <c r="E13057" s="22" t="s">
        <v>53</v>
      </c>
      <c r="F13057" s="23" t="str">
        <f>HYPERLINK("https://www.spark-marketing.ru/Card/Lot/68459340", "Труба гофрированная с протяжкой d=20 мм")</f>
        <v>Труба гофрированная с протяжкой d=20 мм</v>
      </c>
      <c r="G13057" s="22" t="s">
        <v>204</v>
      </c>
      <c r="H13057" s="22" t="s">
        <v>303</v>
      </c>
      <c r="I13057" s="26">
        <v>43528.697812500002</v>
      </c>
      <c r="J13057" s="28" t="s">
        <v>52</v>
      </c>
      <c r="K13057" s="28" t="s">
        <v>52</v>
      </c>
      <c r="L13057" s="28" t="s">
        <v>52</v>
      </c>
      <c r="M13057" s="28" t="s">
        <v>52</v>
      </c>
      <c r="N13057" s="28" t="s">
        <v>52</v>
      </c>
    </row>
    <row r="13058" spans="1:14" x14ac:dyDescent="0.15">
      <c r="A13058" s="23" t="str">
        <f t="shared" si="677"/>
        <v>ООО "СК ЭКОСТРОЙ"</v>
      </c>
      <c r="B13058" s="24" t="s">
        <v>3305</v>
      </c>
      <c r="C13058" s="25">
        <v>0</v>
      </c>
      <c r="D13058" s="22" t="s">
        <v>15341</v>
      </c>
      <c r="E13058" s="22" t="s">
        <v>53</v>
      </c>
      <c r="F13058" s="23" t="str">
        <f>HYPERLINK("https://www.spark-marketing.ru/Card/Lot/68459421", "Кабель контрольный для систем охранной сигнализации негорючий сечением 1х2х0,5 мм")</f>
        <v>Кабель контрольный для систем охранной сигнализации негорючий сечением 1х2х0,5 мм</v>
      </c>
      <c r="G13058" s="22" t="s">
        <v>204</v>
      </c>
      <c r="H13058" s="22" t="s">
        <v>303</v>
      </c>
      <c r="I13058" s="26">
        <v>43528.697812500002</v>
      </c>
      <c r="J13058" s="28" t="s">
        <v>52</v>
      </c>
      <c r="K13058" s="28" t="s">
        <v>52</v>
      </c>
      <c r="L13058" s="28" t="s">
        <v>52</v>
      </c>
      <c r="M13058" s="28" t="s">
        <v>52</v>
      </c>
      <c r="N13058" s="28" t="s">
        <v>52</v>
      </c>
    </row>
    <row r="13059" spans="1:14" x14ac:dyDescent="0.15">
      <c r="A13059" s="23" t="str">
        <f t="shared" si="677"/>
        <v>ООО "СК ЭКОСТРОЙ"</v>
      </c>
      <c r="B13059" s="24" t="s">
        <v>3305</v>
      </c>
      <c r="C13059" s="25">
        <v>0</v>
      </c>
      <c r="D13059" s="22" t="s">
        <v>15340</v>
      </c>
      <c r="E13059" s="22" t="s">
        <v>53</v>
      </c>
      <c r="F13059" s="23" t="str">
        <f>HYPERLINK("https://www.spark-marketing.ru/Card/Lot/68459910", "Крышка внешнего вертикального угла 90градус.100мм.")</f>
        <v>Крышка внешнего вертикального угла 90градус.100мм.</v>
      </c>
      <c r="G13059" s="22" t="s">
        <v>204</v>
      </c>
      <c r="H13059" s="22" t="s">
        <v>303</v>
      </c>
      <c r="I13059" s="26">
        <v>43528.703506944403</v>
      </c>
      <c r="J13059" s="28" t="s">
        <v>52</v>
      </c>
      <c r="K13059" s="28" t="s">
        <v>52</v>
      </c>
      <c r="L13059" s="28" t="s">
        <v>52</v>
      </c>
      <c r="M13059" s="28" t="s">
        <v>52</v>
      </c>
      <c r="N13059" s="28" t="s">
        <v>52</v>
      </c>
    </row>
    <row r="13060" spans="1:14" x14ac:dyDescent="0.15">
      <c r="A13060" s="23" t="str">
        <f t="shared" si="677"/>
        <v>ООО "СК ЭКОСТРОЙ"</v>
      </c>
      <c r="B13060" s="24" t="s">
        <v>3305</v>
      </c>
      <c r="C13060" s="25">
        <v>0</v>
      </c>
      <c r="D13060" s="22" t="s">
        <v>15339</v>
      </c>
      <c r="E13060" s="22" t="s">
        <v>53</v>
      </c>
      <c r="F13060" s="23" t="str">
        <f>HYPERLINK("https://www.spark-marketing.ru/Card/Lot/68458903", "Автоматический выключатель трехфазный I ном=40 А, хар-ка В")</f>
        <v>Автоматический выключатель трехфазный I ном=40 А, хар-ка В</v>
      </c>
      <c r="G13060" s="22" t="s">
        <v>204</v>
      </c>
      <c r="H13060" s="22" t="s">
        <v>303</v>
      </c>
      <c r="I13060" s="26">
        <v>43528.701111111099</v>
      </c>
      <c r="J13060" s="28" t="s">
        <v>52</v>
      </c>
      <c r="K13060" s="28" t="s">
        <v>52</v>
      </c>
      <c r="L13060" s="28" t="s">
        <v>52</v>
      </c>
      <c r="M13060" s="28" t="s">
        <v>52</v>
      </c>
      <c r="N13060" s="28" t="s">
        <v>52</v>
      </c>
    </row>
    <row r="13061" spans="1:14" x14ac:dyDescent="0.15">
      <c r="A13061" s="23" t="str">
        <f t="shared" si="677"/>
        <v>ООО "СК ЭКОСТРОЙ"</v>
      </c>
      <c r="B13061" s="24" t="s">
        <v>3305</v>
      </c>
      <c r="C13061" s="25">
        <v>0</v>
      </c>
      <c r="D13061" s="22" t="s">
        <v>15339</v>
      </c>
      <c r="E13061" s="22" t="s">
        <v>53</v>
      </c>
      <c r="F13061" s="23" t="str">
        <f>HYPERLINK("https://www.spark-marketing.ru/Card/Lot/68458905", "Автоматический выключатель трехфазный I ном=10А, хар-ка В")</f>
        <v>Автоматический выключатель трехфазный I ном=10А, хар-ка В</v>
      </c>
      <c r="G13061" s="22" t="s">
        <v>204</v>
      </c>
      <c r="H13061" s="22" t="s">
        <v>303</v>
      </c>
      <c r="I13061" s="26">
        <v>43528.701111111099</v>
      </c>
      <c r="J13061" s="28" t="s">
        <v>52</v>
      </c>
      <c r="K13061" s="28" t="s">
        <v>52</v>
      </c>
      <c r="L13061" s="28" t="s">
        <v>52</v>
      </c>
      <c r="M13061" s="28" t="s">
        <v>52</v>
      </c>
      <c r="N13061" s="28" t="s">
        <v>52</v>
      </c>
    </row>
    <row r="13062" spans="1:14" x14ac:dyDescent="0.15">
      <c r="A13062" s="23" t="str">
        <f t="shared" si="677"/>
        <v>ООО "СК ЭКОСТРОЙ"</v>
      </c>
      <c r="B13062" s="24" t="s">
        <v>3305</v>
      </c>
      <c r="C13062" s="25">
        <v>0</v>
      </c>
      <c r="D13062" s="22" t="s">
        <v>15339</v>
      </c>
      <c r="E13062" s="22" t="s">
        <v>53</v>
      </c>
      <c r="F13062" s="23" t="str">
        <f>HYPERLINK("https://www.spark-marketing.ru/Card/Lot/68458921", "Кабель силовой с медными жилами с ПВХ-оболочкой и изоляцией, не распространяющий горение, сечением 3х1,5 мм2")</f>
        <v>Кабель силовой с медными жилами с ПВХ-оболочкой и изоляцией, не распространяющий горение, сечением 3х1,5 мм2</v>
      </c>
      <c r="G13062" s="22" t="s">
        <v>204</v>
      </c>
      <c r="H13062" s="22" t="s">
        <v>303</v>
      </c>
      <c r="I13062" s="26">
        <v>43528.701111111099</v>
      </c>
      <c r="J13062" s="28" t="s">
        <v>52</v>
      </c>
      <c r="K13062" s="28" t="s">
        <v>52</v>
      </c>
      <c r="L13062" s="28" t="s">
        <v>52</v>
      </c>
      <c r="M13062" s="28" t="s">
        <v>52</v>
      </c>
      <c r="N13062" s="28" t="s">
        <v>52</v>
      </c>
    </row>
    <row r="13063" spans="1:14" x14ac:dyDescent="0.15">
      <c r="A13063" s="23" t="str">
        <f t="shared" si="677"/>
        <v>ООО "СК ЭКОСТРОЙ"</v>
      </c>
      <c r="B13063" s="24" t="s">
        <v>3305</v>
      </c>
      <c r="C13063" s="25">
        <v>0</v>
      </c>
      <c r="D13063" s="22" t="s">
        <v>15339</v>
      </c>
      <c r="E13063" s="22" t="s">
        <v>53</v>
      </c>
      <c r="F13063" s="23" t="str">
        <f>HYPERLINK("https://www.spark-marketing.ru/Card/Lot/68458928", "Кабельный листовой лоток перфорированный 85х100х3000")</f>
        <v>Кабельный листовой лоток перфорированный 85х100х3000</v>
      </c>
      <c r="G13063" s="22" t="s">
        <v>204</v>
      </c>
      <c r="H13063" s="22" t="s">
        <v>303</v>
      </c>
      <c r="I13063" s="26">
        <v>43528.701111111099</v>
      </c>
      <c r="J13063" s="28" t="s">
        <v>52</v>
      </c>
      <c r="K13063" s="28" t="s">
        <v>52</v>
      </c>
      <c r="L13063" s="28" t="s">
        <v>52</v>
      </c>
      <c r="M13063" s="28" t="s">
        <v>52</v>
      </c>
      <c r="N13063" s="28" t="s">
        <v>52</v>
      </c>
    </row>
    <row r="13064" spans="1:14" x14ac:dyDescent="0.15">
      <c r="A13064" s="23" t="str">
        <f t="shared" si="677"/>
        <v>ООО "СК ЭКОСТРОЙ"</v>
      </c>
      <c r="B13064" s="24" t="s">
        <v>3305</v>
      </c>
      <c r="C13064" s="25">
        <v>0</v>
      </c>
      <c r="D13064" s="22" t="s">
        <v>15340</v>
      </c>
      <c r="E13064" s="22" t="s">
        <v>53</v>
      </c>
      <c r="F13064" s="23" t="str">
        <f>HYPERLINK("https://www.spark-marketing.ru/Card/Lot/68458963", "Автоматический выключатель трехфазный I ном=10 А, хар-ка В")</f>
        <v>Автоматический выключатель трехфазный I ном=10 А, хар-ка В</v>
      </c>
      <c r="G13064" s="22" t="s">
        <v>204</v>
      </c>
      <c r="H13064" s="22" t="s">
        <v>303</v>
      </c>
      <c r="I13064" s="26">
        <v>43528.703506944403</v>
      </c>
      <c r="J13064" s="28" t="s">
        <v>52</v>
      </c>
      <c r="K13064" s="28" t="s">
        <v>52</v>
      </c>
      <c r="L13064" s="28" t="s">
        <v>52</v>
      </c>
      <c r="M13064" s="28" t="s">
        <v>52</v>
      </c>
      <c r="N13064" s="28" t="s">
        <v>52</v>
      </c>
    </row>
    <row r="13065" spans="1:14" x14ac:dyDescent="0.15">
      <c r="A13065" s="23" t="str">
        <f>HYPERLINK("https://www.spark-marketing.ru/Card/Person/51009", "ВОСЕМНАДЦАТЫЙ АРБИТРАЖНЫЙ АПЕЛЛЯЦИОННЫЙ СУД")</f>
        <v>ВОСЕМНАДЦАТЫЙ АРБИТРАЖНЫЙ АПЕЛЛЯЦИОННЫЙ СУД</v>
      </c>
      <c r="B13065" s="24" t="s">
        <v>4669</v>
      </c>
      <c r="C13065" s="25">
        <v>1259200</v>
      </c>
      <c r="D13065" s="22" t="s">
        <v>15343</v>
      </c>
      <c r="E13065" s="22" t="s">
        <v>68</v>
      </c>
      <c r="F13065" s="23" t="str">
        <f>HYPERLINK("https://www.spark-marketing.ru/Card/Lot/68447685", "военизированная охрана объектов суда")</f>
        <v>военизированная охрана объектов суда</v>
      </c>
      <c r="G13065" s="22" t="s">
        <v>60</v>
      </c>
      <c r="H13065" s="22" t="s">
        <v>1683</v>
      </c>
      <c r="I13065" s="26">
        <v>43528.677083333299</v>
      </c>
      <c r="J13065" s="28" t="s">
        <v>52</v>
      </c>
      <c r="K13065" s="28" t="s">
        <v>52</v>
      </c>
      <c r="L13065" s="28" t="s">
        <v>52</v>
      </c>
      <c r="M13065" s="28" t="s">
        <v>52</v>
      </c>
      <c r="N13065" s="28" t="s">
        <v>52</v>
      </c>
    </row>
    <row r="13066" spans="1:14" x14ac:dyDescent="0.15">
      <c r="A13066" s="23" t="str">
        <f>HYPERLINK("https://www.spark-marketing.ru/Card/Person/4348528", "АО ИК ""АСЭ""")</f>
        <v>АО ИК "АСЭ"</v>
      </c>
      <c r="B13066" s="24" t="s">
        <v>62</v>
      </c>
      <c r="C13066" s="28" t="s">
        <v>52</v>
      </c>
      <c r="D13066" s="22" t="s">
        <v>15344</v>
      </c>
      <c r="E13066" s="22" t="s">
        <v>53</v>
      </c>
      <c r="F13066" s="23" t="str">
        <f>HYPERLINK("https://www.spark-marketing.ru/Card/Lot/68455355", "Договор на оказание услуг по охране объекта: Малоярославецкий изыскательский филиал АО «Атомэнергопроект», расположенный по адресу: Калужская область, г. Малоярославец, ул. Мирная, дом 25 (1200097)")</f>
        <v>Договор на оказание услуг по охране объекта: Малоярославецкий изыскательский филиал АО «Атомэнергопроект», расположенный по адресу: Калужская область, г. Малоярославец, ул. Мирная, дом 25 (1200097)</v>
      </c>
      <c r="G13066" s="22" t="s">
        <v>64</v>
      </c>
      <c r="H13066" s="22" t="s">
        <v>65</v>
      </c>
      <c r="I13066" s="26">
        <v>43528.704872685201</v>
      </c>
      <c r="J13066" s="28" t="s">
        <v>52</v>
      </c>
      <c r="K13066" s="28" t="s">
        <v>52</v>
      </c>
      <c r="L13066" s="28" t="s">
        <v>52</v>
      </c>
      <c r="M13066" s="28" t="s">
        <v>52</v>
      </c>
      <c r="N13066" s="28" t="s">
        <v>52</v>
      </c>
    </row>
    <row r="13067" spans="1:14" x14ac:dyDescent="0.15">
      <c r="A13067" s="23" t="str">
        <f>HYPERLINK("https://www.spark-marketing.ru/Card/Person/1752716", "ООО ""СК ЭКОСТРОЙ""")</f>
        <v>ООО "СК ЭКОСТРОЙ"</v>
      </c>
      <c r="B13067" s="24" t="s">
        <v>3305</v>
      </c>
      <c r="C13067" s="25">
        <v>0</v>
      </c>
      <c r="D13067" s="22" t="s">
        <v>15340</v>
      </c>
      <c r="E13067" s="22" t="s">
        <v>53</v>
      </c>
      <c r="F13067" s="23" t="str">
        <f>HYPERLINK("https://www.spark-marketing.ru/Card/Lot/68459915", "Гайка шестигранная М8")</f>
        <v>Гайка шестигранная М8</v>
      </c>
      <c r="G13067" s="22" t="s">
        <v>204</v>
      </c>
      <c r="H13067" s="22" t="s">
        <v>303</v>
      </c>
      <c r="I13067" s="26">
        <v>43528.703506944403</v>
      </c>
      <c r="J13067" s="28" t="s">
        <v>52</v>
      </c>
      <c r="K13067" s="28" t="s">
        <v>52</v>
      </c>
      <c r="L13067" s="28" t="s">
        <v>52</v>
      </c>
      <c r="M13067" s="28" t="s">
        <v>52</v>
      </c>
      <c r="N13067" s="28" t="s">
        <v>52</v>
      </c>
    </row>
    <row r="13068" spans="1:14" x14ac:dyDescent="0.15">
      <c r="A13068" s="23" t="str">
        <f>HYPERLINK("https://www.spark-marketing.ru/Card/Person/1752716", "ООО ""СК ЭКОСТРОЙ""")</f>
        <v>ООО "СК ЭКОСТРОЙ"</v>
      </c>
      <c r="B13068" s="24" t="s">
        <v>3305</v>
      </c>
      <c r="C13068" s="25">
        <v>0</v>
      </c>
      <c r="D13068" s="22" t="s">
        <v>15340</v>
      </c>
      <c r="E13068" s="22" t="s">
        <v>53</v>
      </c>
      <c r="F13068" s="23" t="str">
        <f>HYPERLINK("https://www.spark-marketing.ru/Card/Lot/68459997", "Извещатель охранный (датчик открытия двери)")</f>
        <v>Извещатель охранный (датчик открытия двери)</v>
      </c>
      <c r="G13068" s="22" t="s">
        <v>204</v>
      </c>
      <c r="H13068" s="22" t="s">
        <v>303</v>
      </c>
      <c r="I13068" s="26">
        <v>43528.703506944403</v>
      </c>
      <c r="J13068" s="28" t="s">
        <v>52</v>
      </c>
      <c r="K13068" s="28" t="s">
        <v>52</v>
      </c>
      <c r="L13068" s="28" t="s">
        <v>52</v>
      </c>
      <c r="M13068" s="28" t="s">
        <v>52</v>
      </c>
      <c r="N13068" s="28" t="s">
        <v>52</v>
      </c>
    </row>
    <row r="13069" spans="1:14" x14ac:dyDescent="0.15">
      <c r="A13069" s="23" t="str">
        <f>HYPERLINK("https://www.spark-marketing.ru/Card/Person/1752716", "ООО ""СК ЭКОСТРОЙ""")</f>
        <v>ООО "СК ЭКОСТРОЙ"</v>
      </c>
      <c r="B13069" s="24" t="s">
        <v>3305</v>
      </c>
      <c r="C13069" s="25">
        <v>0</v>
      </c>
      <c r="D13069" s="22" t="s">
        <v>15341</v>
      </c>
      <c r="E13069" s="22" t="s">
        <v>53</v>
      </c>
      <c r="F13069" s="23" t="str">
        <f>HYPERLINK("https://www.spark-marketing.ru/Card/Lot/68459233", "Зажим наборный ЗНИ-2,5 мм2(JXB24A) серый (50 шт)")</f>
        <v>Зажим наборный ЗНИ-2,5 мм2(JXB24A) серый (50 шт)</v>
      </c>
      <c r="G13069" s="22" t="s">
        <v>204</v>
      </c>
      <c r="H13069" s="22" t="s">
        <v>303</v>
      </c>
      <c r="I13069" s="26">
        <v>43528.697812500002</v>
      </c>
      <c r="J13069" s="28" t="s">
        <v>52</v>
      </c>
      <c r="K13069" s="28" t="s">
        <v>52</v>
      </c>
      <c r="L13069" s="28" t="s">
        <v>52</v>
      </c>
      <c r="M13069" s="28" t="s">
        <v>52</v>
      </c>
      <c r="N13069" s="28" t="s">
        <v>52</v>
      </c>
    </row>
    <row r="13070" spans="1:14" x14ac:dyDescent="0.15">
      <c r="A13070" s="23" t="str">
        <f>HYPERLINK("https://www.spark-marketing.ru/Card/Person/87162", "ФГБОУ ВО ""ИГХТУ"", ИГХТУ")</f>
        <v>ФГБОУ ВО "ИГХТУ", ИГХТУ</v>
      </c>
      <c r="B13070" s="24" t="s">
        <v>2656</v>
      </c>
      <c r="C13070" s="25">
        <v>2118138</v>
      </c>
      <c r="D13070" s="22" t="s">
        <v>15345</v>
      </c>
      <c r="E13070" s="22" t="s">
        <v>68</v>
      </c>
      <c r="F13070" s="23" t="str">
        <f>HYPERLINK("https://www.spark-marketing.ru/Card/Lot/68453659", "Оказание охранных услуг на объектах ФГБОУ ВО ""ИГХТУ""")</f>
        <v>Оказание охранных услуг на объектах ФГБОУ ВО "ИГХТУ"</v>
      </c>
      <c r="G13070" s="22" t="s">
        <v>340</v>
      </c>
      <c r="H13070" s="22" t="s">
        <v>340</v>
      </c>
      <c r="I13070" s="26">
        <v>43528.704166666699</v>
      </c>
      <c r="J13070" s="28" t="s">
        <v>52</v>
      </c>
      <c r="K13070" s="28" t="s">
        <v>52</v>
      </c>
      <c r="L13070" s="28" t="s">
        <v>52</v>
      </c>
      <c r="M13070" s="28" t="s">
        <v>52</v>
      </c>
      <c r="N13070" s="28" t="s">
        <v>52</v>
      </c>
    </row>
    <row r="13071" spans="1:14" hidden="1" outlineLevel="1" x14ac:dyDescent="0.2">
      <c r="A13071" s="23" t="str">
        <f>HYPERLINK("https://www.spark-marketing.ru/Card/Person/87162", "ФГБОУ ВО ""ИГХТУ"", ИГХТУ")</f>
        <v>ФГБОУ ВО "ИГХТУ", ИГХТУ</v>
      </c>
      <c r="B13071" s="24" t="s">
        <v>2656</v>
      </c>
      <c r="C13071" s="25">
        <v>2118138</v>
      </c>
      <c r="D13071" s="22" t="s">
        <v>15345</v>
      </c>
      <c r="E13071" s="22" t="s">
        <v>68</v>
      </c>
      <c r="F13071" s="23" t="str">
        <f>HYPERLINK("https://www.spark-marketing.ru/Card/Lot/68453659", "Оказание охранных услуг на объектах ФГБОУ ВО ""ИГХТУ""")</f>
        <v>Оказание охранных услуг на объектах ФГБОУ ВО "ИГХТУ"</v>
      </c>
      <c r="G13071" s="22" t="s">
        <v>340</v>
      </c>
      <c r="H13071" s="22" t="s">
        <v>340</v>
      </c>
      <c r="I13071" s="26">
        <v>43528.704166666699</v>
      </c>
      <c r="J13071" s="23" t="str">
        <f>HYPERLINK("https://www.spark-marketing.ru/Card/Person/605999", "ООО ""ЧОП ""РИНГ-ИВАНОВО""")</f>
        <v>ООО "ЧОП "РИНГ-ИВАНОВО"</v>
      </c>
      <c r="K13071" s="24" t="s">
        <v>15346</v>
      </c>
      <c r="L13071" s="28" t="s">
        <v>52</v>
      </c>
      <c r="M13071" s="25">
        <v>1821598.68</v>
      </c>
      <c r="N13071" s="27">
        <v>0.14000000000000001</v>
      </c>
    </row>
    <row r="13072" spans="1:14" ht="12.75" hidden="1" outlineLevel="1" x14ac:dyDescent="0.2">
      <c r="A13072" s="23" t="str">
        <f>HYPERLINK("https://www.spark-marketing.ru/Card/Person/87162", "ФГБОУ ВО ""ИГХТУ"", ИГХТУ")</f>
        <v>ФГБОУ ВО "ИГХТУ", ИГХТУ</v>
      </c>
      <c r="B13072" s="24" t="s">
        <v>2656</v>
      </c>
      <c r="C13072" s="25">
        <v>2118138</v>
      </c>
      <c r="D13072" s="22" t="s">
        <v>15345</v>
      </c>
      <c r="E13072" s="22" t="s">
        <v>68</v>
      </c>
      <c r="F13072" s="23" t="str">
        <f>HYPERLINK("https://www.spark-marketing.ru/Card/Lot/68453659", "Оказание охранных услуг на объектах ФГБОУ ВО ""ИГХТУ""")</f>
        <v>Оказание охранных услуг на объектах ФГБОУ ВО "ИГХТУ"</v>
      </c>
      <c r="G13072" s="22" t="s">
        <v>340</v>
      </c>
      <c r="H13072" s="22" t="s">
        <v>340</v>
      </c>
      <c r="I13072" s="26">
        <v>43528.704166666699</v>
      </c>
      <c r="J13072" s="23" t="str">
        <f>HYPERLINK("https://www.spark-marketing.ru/Card/Person/588835", "ООО ОП ""СБ-93""")</f>
        <v>ООО ОП "СБ-93"</v>
      </c>
      <c r="K13072" s="24" t="s">
        <v>2658</v>
      </c>
      <c r="L13072" s="22" t="s">
        <v>10</v>
      </c>
      <c r="M13072" s="25">
        <v>1811007.99</v>
      </c>
      <c r="N13072" s="27">
        <v>0.14499999999999999</v>
      </c>
    </row>
    <row r="13073" spans="1:14" x14ac:dyDescent="0.15">
      <c r="A13073" s="23" t="str">
        <f t="shared" ref="A13073:A13120" si="678">HYPERLINK("https://www.spark-marketing.ru/Card/Person/1752716", "ООО ""СК ЭКОСТРОЙ""")</f>
        <v>ООО "СК ЭКОСТРОЙ"</v>
      </c>
      <c r="B13073" s="24" t="s">
        <v>3305</v>
      </c>
      <c r="C13073" s="25">
        <v>0</v>
      </c>
      <c r="D13073" s="22" t="s">
        <v>15339</v>
      </c>
      <c r="E13073" s="22" t="s">
        <v>53</v>
      </c>
      <c r="F13073" s="23" t="str">
        <f>HYPERLINK("https://www.spark-marketing.ru/Card/Lot/68458915", "Зажим наборный ЗНИ-2,5 мм2(JXB24A) серый (50 шт)")</f>
        <v>Зажим наборный ЗНИ-2,5 мм2(JXB24A) серый (50 шт)</v>
      </c>
      <c r="G13073" s="22" t="s">
        <v>204</v>
      </c>
      <c r="H13073" s="22" t="s">
        <v>303</v>
      </c>
      <c r="I13073" s="26">
        <v>43528.701111111099</v>
      </c>
      <c r="J13073" s="28" t="s">
        <v>52</v>
      </c>
      <c r="K13073" s="28" t="s">
        <v>52</v>
      </c>
      <c r="L13073" s="28" t="s">
        <v>52</v>
      </c>
      <c r="M13073" s="28" t="s">
        <v>52</v>
      </c>
      <c r="N13073" s="28" t="s">
        <v>52</v>
      </c>
    </row>
    <row r="13074" spans="1:14" x14ac:dyDescent="0.15">
      <c r="A13074" s="23" t="str">
        <f t="shared" si="678"/>
        <v>ООО "СК ЭКОСТРОЙ"</v>
      </c>
      <c r="B13074" s="24" t="s">
        <v>3305</v>
      </c>
      <c r="C13074" s="25">
        <v>0</v>
      </c>
      <c r="D13074" s="22" t="s">
        <v>15341</v>
      </c>
      <c r="E13074" s="22" t="s">
        <v>53</v>
      </c>
      <c r="F13074" s="23" t="str">
        <f>HYPERLINK("https://www.spark-marketing.ru/Card/Lot/68459338", "Шайба М8")</f>
        <v>Шайба М8</v>
      </c>
      <c r="G13074" s="22" t="s">
        <v>204</v>
      </c>
      <c r="H13074" s="22" t="s">
        <v>303</v>
      </c>
      <c r="I13074" s="26">
        <v>43528.697812500002</v>
      </c>
      <c r="J13074" s="28" t="s">
        <v>52</v>
      </c>
      <c r="K13074" s="28" t="s">
        <v>52</v>
      </c>
      <c r="L13074" s="28" t="s">
        <v>52</v>
      </c>
      <c r="M13074" s="28" t="s">
        <v>52</v>
      </c>
      <c r="N13074" s="28" t="s">
        <v>52</v>
      </c>
    </row>
    <row r="13075" spans="1:14" x14ac:dyDescent="0.15">
      <c r="A13075" s="23" t="str">
        <f t="shared" si="678"/>
        <v>ООО "СК ЭКОСТРОЙ"</v>
      </c>
      <c r="B13075" s="24" t="s">
        <v>3305</v>
      </c>
      <c r="C13075" s="25">
        <v>0</v>
      </c>
      <c r="D13075" s="22" t="s">
        <v>15340</v>
      </c>
      <c r="E13075" s="22" t="s">
        <v>53</v>
      </c>
      <c r="F13075" s="23" t="str">
        <f>HYPERLINK("https://www.spark-marketing.ru/Card/Lot/68459891", "Кабельный листовой лоток перфорированный 85х100х3000")</f>
        <v>Кабельный листовой лоток перфорированный 85х100х3000</v>
      </c>
      <c r="G13075" s="22" t="s">
        <v>204</v>
      </c>
      <c r="H13075" s="22" t="s">
        <v>303</v>
      </c>
      <c r="I13075" s="26">
        <v>43528.703506944403</v>
      </c>
      <c r="J13075" s="28" t="s">
        <v>52</v>
      </c>
      <c r="K13075" s="28" t="s">
        <v>52</v>
      </c>
      <c r="L13075" s="28" t="s">
        <v>52</v>
      </c>
      <c r="M13075" s="28" t="s">
        <v>52</v>
      </c>
      <c r="N13075" s="28" t="s">
        <v>52</v>
      </c>
    </row>
    <row r="13076" spans="1:14" x14ac:dyDescent="0.15">
      <c r="A13076" s="23" t="str">
        <f t="shared" si="678"/>
        <v>ООО "СК ЭКОСТРОЙ"</v>
      </c>
      <c r="B13076" s="24" t="s">
        <v>3305</v>
      </c>
      <c r="C13076" s="25">
        <v>0</v>
      </c>
      <c r="D13076" s="22" t="s">
        <v>15340</v>
      </c>
      <c r="E13076" s="22" t="s">
        <v>53</v>
      </c>
      <c r="F13076" s="23" t="str">
        <f>HYPERLINK("https://www.spark-marketing.ru/Card/Lot/68459906", "Болт с плоской головкой М10х25")</f>
        <v>Болт с плоской головкой М10х25</v>
      </c>
      <c r="G13076" s="22" t="s">
        <v>204</v>
      </c>
      <c r="H13076" s="22" t="s">
        <v>303</v>
      </c>
      <c r="I13076" s="26">
        <v>43528.703506944403</v>
      </c>
      <c r="J13076" s="28" t="s">
        <v>52</v>
      </c>
      <c r="K13076" s="28" t="s">
        <v>52</v>
      </c>
      <c r="L13076" s="28" t="s">
        <v>52</v>
      </c>
      <c r="M13076" s="28" t="s">
        <v>52</v>
      </c>
      <c r="N13076" s="28" t="s">
        <v>52</v>
      </c>
    </row>
    <row r="13077" spans="1:14" x14ac:dyDescent="0.15">
      <c r="A13077" s="23" t="str">
        <f t="shared" si="678"/>
        <v>ООО "СК ЭКОСТРОЙ"</v>
      </c>
      <c r="B13077" s="24" t="s">
        <v>3305</v>
      </c>
      <c r="C13077" s="25">
        <v>0</v>
      </c>
      <c r="D13077" s="22" t="s">
        <v>15339</v>
      </c>
      <c r="E13077" s="22" t="s">
        <v>53</v>
      </c>
      <c r="F13077" s="23" t="str">
        <f>HYPERLINK("https://www.spark-marketing.ru/Card/Lot/68458916", "Зажим наборный ЗНИ-10 мм2 (JXB70A) серый (20 шт)")</f>
        <v>Зажим наборный ЗНИ-10 мм2 (JXB70A) серый (20 шт)</v>
      </c>
      <c r="G13077" s="22" t="s">
        <v>204</v>
      </c>
      <c r="H13077" s="22" t="s">
        <v>303</v>
      </c>
      <c r="I13077" s="26">
        <v>43528.701111111099</v>
      </c>
      <c r="J13077" s="28" t="s">
        <v>52</v>
      </c>
      <c r="K13077" s="28" t="s">
        <v>52</v>
      </c>
      <c r="L13077" s="28" t="s">
        <v>52</v>
      </c>
      <c r="M13077" s="28" t="s">
        <v>52</v>
      </c>
      <c r="N13077" s="28" t="s">
        <v>52</v>
      </c>
    </row>
    <row r="13078" spans="1:14" x14ac:dyDescent="0.15">
      <c r="A13078" s="23" t="str">
        <f t="shared" si="678"/>
        <v>ООО "СК ЭКОСТРОЙ"</v>
      </c>
      <c r="B13078" s="24" t="s">
        <v>3305</v>
      </c>
      <c r="C13078" s="25">
        <v>0</v>
      </c>
      <c r="D13078" s="22" t="s">
        <v>15339</v>
      </c>
      <c r="E13078" s="22" t="s">
        <v>53</v>
      </c>
      <c r="F13078" s="23" t="str">
        <f>HYPERLINK("https://www.spark-marketing.ru/Card/Lot/68458929", "Крышка кабельного листового лотка 10х3000")</f>
        <v>Крышка кабельного листового лотка 10х3000</v>
      </c>
      <c r="G13078" s="22" t="s">
        <v>204</v>
      </c>
      <c r="H13078" s="22" t="s">
        <v>303</v>
      </c>
      <c r="I13078" s="26">
        <v>43528.701111111099</v>
      </c>
      <c r="J13078" s="28" t="s">
        <v>52</v>
      </c>
      <c r="K13078" s="28" t="s">
        <v>52</v>
      </c>
      <c r="L13078" s="28" t="s">
        <v>52</v>
      </c>
      <c r="M13078" s="28" t="s">
        <v>52</v>
      </c>
      <c r="N13078" s="28" t="s">
        <v>52</v>
      </c>
    </row>
    <row r="13079" spans="1:14" x14ac:dyDescent="0.15">
      <c r="A13079" s="23" t="str">
        <f t="shared" si="678"/>
        <v>ООО "СК ЭКОСТРОЙ"</v>
      </c>
      <c r="B13079" s="24" t="s">
        <v>3305</v>
      </c>
      <c r="C13079" s="25">
        <v>0</v>
      </c>
      <c r="D13079" s="22" t="s">
        <v>15339</v>
      </c>
      <c r="E13079" s="22" t="s">
        <v>53</v>
      </c>
      <c r="F13079" s="23" t="str">
        <f>HYPERLINK("https://www.spark-marketing.ru/Card/Lot/68458934", "Кронштейн 110 мм")</f>
        <v>Кронштейн 110 мм</v>
      </c>
      <c r="G13079" s="22" t="s">
        <v>204</v>
      </c>
      <c r="H13079" s="22" t="s">
        <v>303</v>
      </c>
      <c r="I13079" s="26">
        <v>43528.701111111099</v>
      </c>
      <c r="J13079" s="28" t="s">
        <v>52</v>
      </c>
      <c r="K13079" s="28" t="s">
        <v>52</v>
      </c>
      <c r="L13079" s="28" t="s">
        <v>52</v>
      </c>
      <c r="M13079" s="28" t="s">
        <v>52</v>
      </c>
      <c r="N13079" s="28" t="s">
        <v>52</v>
      </c>
    </row>
    <row r="13080" spans="1:14" x14ac:dyDescent="0.15">
      <c r="A13080" s="23" t="str">
        <f t="shared" si="678"/>
        <v>ООО "СК ЭКОСТРОЙ"</v>
      </c>
      <c r="B13080" s="24" t="s">
        <v>3305</v>
      </c>
      <c r="C13080" s="25">
        <v>0</v>
      </c>
      <c r="D13080" s="22" t="s">
        <v>15340</v>
      </c>
      <c r="E13080" s="22" t="s">
        <v>53</v>
      </c>
      <c r="F13080" s="23" t="str">
        <f>HYPERLINK("https://www.spark-marketing.ru/Card/Lot/68458960", "Автоматический выключатель трехфазный I ном=40 А, хар-ка В")</f>
        <v>Автоматический выключатель трехфазный I ном=40 А, хар-ка В</v>
      </c>
      <c r="G13080" s="22" t="s">
        <v>204</v>
      </c>
      <c r="H13080" s="22" t="s">
        <v>303</v>
      </c>
      <c r="I13080" s="26">
        <v>43528.703506944403</v>
      </c>
      <c r="J13080" s="28" t="s">
        <v>52</v>
      </c>
      <c r="K13080" s="28" t="s">
        <v>52</v>
      </c>
      <c r="L13080" s="28" t="s">
        <v>52</v>
      </c>
      <c r="M13080" s="28" t="s">
        <v>52</v>
      </c>
      <c r="N13080" s="28" t="s">
        <v>52</v>
      </c>
    </row>
    <row r="13081" spans="1:14" x14ac:dyDescent="0.15">
      <c r="A13081" s="23" t="str">
        <f t="shared" si="678"/>
        <v>ООО "СК ЭКОСТРОЙ"</v>
      </c>
      <c r="B13081" s="24" t="s">
        <v>3305</v>
      </c>
      <c r="C13081" s="25">
        <v>0</v>
      </c>
      <c r="D13081" s="22" t="s">
        <v>15340</v>
      </c>
      <c r="E13081" s="22" t="s">
        <v>53</v>
      </c>
      <c r="F13081" s="23" t="str">
        <f>HYPERLINK("https://www.spark-marketing.ru/Card/Lot/68458981", "Кабель силовой с медными жилами с ПВХ-оболочкой и изоляцией, не распространяющий горение, сечением 5х10,0 мм2")</f>
        <v>Кабель силовой с медными жилами с ПВХ-оболочкой и изоляцией, не распространяющий горение, сечением 5х10,0 мм2</v>
      </c>
      <c r="G13081" s="22" t="s">
        <v>204</v>
      </c>
      <c r="H13081" s="22" t="s">
        <v>303</v>
      </c>
      <c r="I13081" s="26">
        <v>43528.703506944403</v>
      </c>
      <c r="J13081" s="28" t="s">
        <v>52</v>
      </c>
      <c r="K13081" s="28" t="s">
        <v>52</v>
      </c>
      <c r="L13081" s="28" t="s">
        <v>52</v>
      </c>
      <c r="M13081" s="28" t="s">
        <v>52</v>
      </c>
      <c r="N13081" s="28" t="s">
        <v>52</v>
      </c>
    </row>
    <row r="13082" spans="1:14" x14ac:dyDescent="0.15">
      <c r="A13082" s="23" t="str">
        <f t="shared" si="678"/>
        <v>ООО "СК ЭКОСТРОЙ"</v>
      </c>
      <c r="B13082" s="24" t="s">
        <v>3305</v>
      </c>
      <c r="C13082" s="25">
        <v>0</v>
      </c>
      <c r="D13082" s="22" t="s">
        <v>15341</v>
      </c>
      <c r="E13082" s="22" t="s">
        <v>53</v>
      </c>
      <c r="F13082" s="23" t="str">
        <f>HYPERLINK("https://www.spark-marketing.ru/Card/Lot/68459234", "Зажим наборный ЗНИ-10 мм2 (JXB70A) серый (20 шт)")</f>
        <v>Зажим наборный ЗНИ-10 мм2 (JXB70A) серый (20 шт)</v>
      </c>
      <c r="G13082" s="22" t="s">
        <v>204</v>
      </c>
      <c r="H13082" s="22" t="s">
        <v>303</v>
      </c>
      <c r="I13082" s="26">
        <v>43528.697812500002</v>
      </c>
      <c r="J13082" s="28" t="s">
        <v>52</v>
      </c>
      <c r="K13082" s="28" t="s">
        <v>52</v>
      </c>
      <c r="L13082" s="28" t="s">
        <v>52</v>
      </c>
      <c r="M13082" s="28" t="s">
        <v>52</v>
      </c>
      <c r="N13082" s="28" t="s">
        <v>52</v>
      </c>
    </row>
    <row r="13083" spans="1:14" x14ac:dyDescent="0.15">
      <c r="A13083" s="23" t="str">
        <f t="shared" si="678"/>
        <v>ООО "СК ЭКОСТРОЙ"</v>
      </c>
      <c r="B13083" s="24" t="s">
        <v>3305</v>
      </c>
      <c r="C13083" s="25">
        <v>0</v>
      </c>
      <c r="D13083" s="22" t="s">
        <v>15340</v>
      </c>
      <c r="E13083" s="22" t="s">
        <v>53</v>
      </c>
      <c r="F13083" s="23" t="str">
        <f>HYPERLINK("https://www.spark-marketing.ru/Card/Lot/68459907", "U-образная профильная рейка 50х50х500 мм")</f>
        <v>U-образная профильная рейка 50х50х500 мм</v>
      </c>
      <c r="G13083" s="22" t="s">
        <v>204</v>
      </c>
      <c r="H13083" s="22" t="s">
        <v>303</v>
      </c>
      <c r="I13083" s="26">
        <v>43528.703506944403</v>
      </c>
      <c r="J13083" s="28" t="s">
        <v>52</v>
      </c>
      <c r="K13083" s="28" t="s">
        <v>52</v>
      </c>
      <c r="L13083" s="28" t="s">
        <v>52</v>
      </c>
      <c r="M13083" s="28" t="s">
        <v>52</v>
      </c>
      <c r="N13083" s="28" t="s">
        <v>52</v>
      </c>
    </row>
    <row r="13084" spans="1:14" x14ac:dyDescent="0.15">
      <c r="A13084" s="23" t="str">
        <f t="shared" si="678"/>
        <v>ООО "СК ЭКОСТРОЙ"</v>
      </c>
      <c r="B13084" s="24" t="s">
        <v>3305</v>
      </c>
      <c r="C13084" s="25">
        <v>0</v>
      </c>
      <c r="D13084" s="22" t="s">
        <v>15340</v>
      </c>
      <c r="E13084" s="22" t="s">
        <v>53</v>
      </c>
      <c r="F13084" s="23" t="str">
        <f>HYPERLINK("https://www.spark-marketing.ru/Card/Lot/68459911", "Т-образное/крестовое соединение 85х100")</f>
        <v>Т-образное/крестовое соединение 85х100</v>
      </c>
      <c r="G13084" s="22" t="s">
        <v>204</v>
      </c>
      <c r="H13084" s="22" t="s">
        <v>303</v>
      </c>
      <c r="I13084" s="26">
        <v>43528.703506944403</v>
      </c>
      <c r="J13084" s="28" t="s">
        <v>52</v>
      </c>
      <c r="K13084" s="28" t="s">
        <v>52</v>
      </c>
      <c r="L13084" s="28" t="s">
        <v>52</v>
      </c>
      <c r="M13084" s="28" t="s">
        <v>52</v>
      </c>
      <c r="N13084" s="28" t="s">
        <v>52</v>
      </c>
    </row>
    <row r="13085" spans="1:14" x14ac:dyDescent="0.15">
      <c r="A13085" s="23" t="str">
        <f t="shared" si="678"/>
        <v>ООО "СК ЭКОСТРОЙ"</v>
      </c>
      <c r="B13085" s="24" t="s">
        <v>3305</v>
      </c>
      <c r="C13085" s="25">
        <v>0</v>
      </c>
      <c r="D13085" s="22" t="s">
        <v>15339</v>
      </c>
      <c r="E13085" s="22" t="s">
        <v>53</v>
      </c>
      <c r="F13085" s="23" t="str">
        <f>HYPERLINK("https://www.spark-marketing.ru/Card/Lot/68458902", "Блок автоматического резерва")</f>
        <v>Блок автоматического резерва</v>
      </c>
      <c r="G13085" s="22" t="s">
        <v>204</v>
      </c>
      <c r="H13085" s="22" t="s">
        <v>303</v>
      </c>
      <c r="I13085" s="26">
        <v>43528.701111111099</v>
      </c>
      <c r="J13085" s="28" t="s">
        <v>52</v>
      </c>
      <c r="K13085" s="28" t="s">
        <v>52</v>
      </c>
      <c r="L13085" s="28" t="s">
        <v>52</v>
      </c>
      <c r="M13085" s="28" t="s">
        <v>52</v>
      </c>
      <c r="N13085" s="28" t="s">
        <v>52</v>
      </c>
    </row>
    <row r="13086" spans="1:14" x14ac:dyDescent="0.15">
      <c r="A13086" s="23" t="str">
        <f t="shared" si="678"/>
        <v>ООО "СК ЭКОСТРОЙ"</v>
      </c>
      <c r="B13086" s="24" t="s">
        <v>3305</v>
      </c>
      <c r="C13086" s="25">
        <v>0</v>
      </c>
      <c r="D13086" s="22" t="s">
        <v>15339</v>
      </c>
      <c r="E13086" s="22" t="s">
        <v>53</v>
      </c>
      <c r="F13086" s="23" t="str">
        <f>HYPERLINK("https://www.spark-marketing.ru/Card/Lot/68458926", "Болт с прямоугольной головкой М10х30 мм")</f>
        <v>Болт с прямоугольной головкой М10х30 мм</v>
      </c>
      <c r="G13086" s="22" t="s">
        <v>204</v>
      </c>
      <c r="H13086" s="22" t="s">
        <v>303</v>
      </c>
      <c r="I13086" s="26">
        <v>43528.701111111099</v>
      </c>
      <c r="J13086" s="28" t="s">
        <v>52</v>
      </c>
      <c r="K13086" s="28" t="s">
        <v>52</v>
      </c>
      <c r="L13086" s="28" t="s">
        <v>52</v>
      </c>
      <c r="M13086" s="28" t="s">
        <v>52</v>
      </c>
      <c r="N13086" s="28" t="s">
        <v>52</v>
      </c>
    </row>
    <row r="13087" spans="1:14" x14ac:dyDescent="0.15">
      <c r="A13087" s="23" t="str">
        <f t="shared" si="678"/>
        <v>ООО "СК ЭКОСТРОЙ"</v>
      </c>
      <c r="B13087" s="24" t="s">
        <v>3305</v>
      </c>
      <c r="C13087" s="25">
        <v>0</v>
      </c>
      <c r="D13087" s="22" t="s">
        <v>15340</v>
      </c>
      <c r="E13087" s="22" t="s">
        <v>53</v>
      </c>
      <c r="F13087" s="23" t="str">
        <f>HYPERLINK("https://www.spark-marketing.ru/Card/Lot/68458967", "Фотореле U=380В в комплекте с кабелем 20 м для фотоэлемента")</f>
        <v>Фотореле U=380В в комплекте с кабелем 20 м для фотоэлемента</v>
      </c>
      <c r="G13087" s="22" t="s">
        <v>204</v>
      </c>
      <c r="H13087" s="22" t="s">
        <v>303</v>
      </c>
      <c r="I13087" s="26">
        <v>43528.703506944403</v>
      </c>
      <c r="J13087" s="28" t="s">
        <v>52</v>
      </c>
      <c r="K13087" s="28" t="s">
        <v>52</v>
      </c>
      <c r="L13087" s="28" t="s">
        <v>52</v>
      </c>
      <c r="M13087" s="28" t="s">
        <v>52</v>
      </c>
      <c r="N13087" s="28" t="s">
        <v>52</v>
      </c>
    </row>
    <row r="13088" spans="1:14" x14ac:dyDescent="0.15">
      <c r="A13088" s="23" t="str">
        <f t="shared" si="678"/>
        <v>ООО "СК ЭКОСТРОЙ"</v>
      </c>
      <c r="B13088" s="24" t="s">
        <v>3305</v>
      </c>
      <c r="C13088" s="25">
        <v>0</v>
      </c>
      <c r="D13088" s="22" t="s">
        <v>15341</v>
      </c>
      <c r="E13088" s="22" t="s">
        <v>53</v>
      </c>
      <c r="F13088" s="23" t="str">
        <f>HYPERLINK("https://www.spark-marketing.ru/Card/Lot/68459328", "Вертикальный угол 90° внутренний 85х100")</f>
        <v>Вертикальный угол 90° внутренний 85х100</v>
      </c>
      <c r="G13088" s="22" t="s">
        <v>204</v>
      </c>
      <c r="H13088" s="22" t="s">
        <v>303</v>
      </c>
      <c r="I13088" s="26">
        <v>43528.697812500002</v>
      </c>
      <c r="J13088" s="28" t="s">
        <v>52</v>
      </c>
      <c r="K13088" s="28" t="s">
        <v>52</v>
      </c>
      <c r="L13088" s="28" t="s">
        <v>52</v>
      </c>
      <c r="M13088" s="28" t="s">
        <v>52</v>
      </c>
      <c r="N13088" s="28" t="s">
        <v>52</v>
      </c>
    </row>
    <row r="13089" spans="1:14" x14ac:dyDescent="0.15">
      <c r="A13089" s="23" t="str">
        <f t="shared" si="678"/>
        <v>ООО "СК ЭКОСТРОЙ"</v>
      </c>
      <c r="B13089" s="24" t="s">
        <v>3305</v>
      </c>
      <c r="C13089" s="25">
        <v>0</v>
      </c>
      <c r="D13089" s="22" t="s">
        <v>15341</v>
      </c>
      <c r="E13089" s="22" t="s">
        <v>53</v>
      </c>
      <c r="F13089" s="23" t="str">
        <f>HYPERLINK("https://www.spark-marketing.ru/Card/Lot/68459329", "Крышка внутреннего вертикального угла 90° 100мм")</f>
        <v>Крышка внутреннего вертикального угла 90° 100мм</v>
      </c>
      <c r="G13089" s="22" t="s">
        <v>204</v>
      </c>
      <c r="H13089" s="22" t="s">
        <v>303</v>
      </c>
      <c r="I13089" s="26">
        <v>43528.697812500002</v>
      </c>
      <c r="J13089" s="28" t="s">
        <v>52</v>
      </c>
      <c r="K13089" s="28" t="s">
        <v>52</v>
      </c>
      <c r="L13089" s="28" t="s">
        <v>52</v>
      </c>
      <c r="M13089" s="28" t="s">
        <v>52</v>
      </c>
      <c r="N13089" s="28" t="s">
        <v>52</v>
      </c>
    </row>
    <row r="13090" spans="1:14" x14ac:dyDescent="0.15">
      <c r="A13090" s="23" t="str">
        <f t="shared" si="678"/>
        <v>ООО "СК ЭКОСТРОЙ"</v>
      </c>
      <c r="B13090" s="24" t="s">
        <v>3305</v>
      </c>
      <c r="C13090" s="25">
        <v>0</v>
      </c>
      <c r="D13090" s="22" t="s">
        <v>15341</v>
      </c>
      <c r="E13090" s="22" t="s">
        <v>53</v>
      </c>
      <c r="F13090" s="23" t="str">
        <f>HYPERLINK("https://www.spark-marketing.ru/Card/Lot/68459344", "Полоса из оцинк.стали 40х4")</f>
        <v>Полоса из оцинк.стали 40х4</v>
      </c>
      <c r="G13090" s="22" t="s">
        <v>204</v>
      </c>
      <c r="H13090" s="22" t="s">
        <v>303</v>
      </c>
      <c r="I13090" s="26">
        <v>43528.697812500002</v>
      </c>
      <c r="J13090" s="28" t="s">
        <v>52</v>
      </c>
      <c r="K13090" s="28" t="s">
        <v>52</v>
      </c>
      <c r="L13090" s="28" t="s">
        <v>52</v>
      </c>
      <c r="M13090" s="28" t="s">
        <v>52</v>
      </c>
      <c r="N13090" s="28" t="s">
        <v>52</v>
      </c>
    </row>
    <row r="13091" spans="1:14" x14ac:dyDescent="0.15">
      <c r="A13091" s="23" t="str">
        <f t="shared" si="678"/>
        <v>ООО "СК ЭКОСТРОЙ"</v>
      </c>
      <c r="B13091" s="24" t="s">
        <v>3305</v>
      </c>
      <c r="C13091" s="25">
        <v>0</v>
      </c>
      <c r="D13091" s="22" t="s">
        <v>15341</v>
      </c>
      <c r="E13091" s="22" t="s">
        <v>53</v>
      </c>
      <c r="F13091" s="23" t="str">
        <f>HYPERLINK("https://www.spark-marketing.ru/Card/Lot/68459346", "Соединитель стержня заземления и проволоки")</f>
        <v>Соединитель стержня заземления и проволоки</v>
      </c>
      <c r="G13091" s="22" t="s">
        <v>204</v>
      </c>
      <c r="H13091" s="22" t="s">
        <v>303</v>
      </c>
      <c r="I13091" s="26">
        <v>43528.697812500002</v>
      </c>
      <c r="J13091" s="28" t="s">
        <v>52</v>
      </c>
      <c r="K13091" s="28" t="s">
        <v>52</v>
      </c>
      <c r="L13091" s="28" t="s">
        <v>52</v>
      </c>
      <c r="M13091" s="28" t="s">
        <v>52</v>
      </c>
      <c r="N13091" s="28" t="s">
        <v>52</v>
      </c>
    </row>
    <row r="13092" spans="1:14" x14ac:dyDescent="0.15">
      <c r="A13092" s="23" t="str">
        <f t="shared" si="678"/>
        <v>ООО "СК ЭКОСТРОЙ"</v>
      </c>
      <c r="B13092" s="24" t="s">
        <v>3305</v>
      </c>
      <c r="C13092" s="25">
        <v>0</v>
      </c>
      <c r="D13092" s="22" t="s">
        <v>15341</v>
      </c>
      <c r="E13092" s="22" t="s">
        <v>53</v>
      </c>
      <c r="F13092" s="23" t="str">
        <f>HYPERLINK("https://www.spark-marketing.ru/Card/Lot/68459420", "Извещатель охранный (датчик открытия двери)")</f>
        <v>Извещатель охранный (датчик открытия двери)</v>
      </c>
      <c r="G13092" s="22" t="s">
        <v>204</v>
      </c>
      <c r="H13092" s="22" t="s">
        <v>303</v>
      </c>
      <c r="I13092" s="26">
        <v>43528.697812500002</v>
      </c>
      <c r="J13092" s="28" t="s">
        <v>52</v>
      </c>
      <c r="K13092" s="28" t="s">
        <v>52</v>
      </c>
      <c r="L13092" s="28" t="s">
        <v>52</v>
      </c>
      <c r="M13092" s="28" t="s">
        <v>52</v>
      </c>
      <c r="N13092" s="28" t="s">
        <v>52</v>
      </c>
    </row>
    <row r="13093" spans="1:14" x14ac:dyDescent="0.15">
      <c r="A13093" s="23" t="str">
        <f t="shared" si="678"/>
        <v>ООО "СК ЭКОСТРОЙ"</v>
      </c>
      <c r="B13093" s="24" t="s">
        <v>3305</v>
      </c>
      <c r="C13093" s="25">
        <v>0</v>
      </c>
      <c r="D13093" s="22" t="s">
        <v>15340</v>
      </c>
      <c r="E13093" s="22" t="s">
        <v>53</v>
      </c>
      <c r="F13093" s="23" t="str">
        <f>HYPERLINK("https://www.spark-marketing.ru/Card/Lot/68459892", "Соединитель кабельного листового лотка угловой 85х200")</f>
        <v>Соединитель кабельного листового лотка угловой 85х200</v>
      </c>
      <c r="G13093" s="22" t="s">
        <v>204</v>
      </c>
      <c r="H13093" s="22" t="s">
        <v>303</v>
      </c>
      <c r="I13093" s="26">
        <v>43528.703506944403</v>
      </c>
      <c r="J13093" s="28" t="s">
        <v>52</v>
      </c>
      <c r="K13093" s="28" t="s">
        <v>52</v>
      </c>
      <c r="L13093" s="28" t="s">
        <v>52</v>
      </c>
      <c r="M13093" s="28" t="s">
        <v>52</v>
      </c>
      <c r="N13093" s="28" t="s">
        <v>52</v>
      </c>
    </row>
    <row r="13094" spans="1:14" x14ac:dyDescent="0.15">
      <c r="A13094" s="23" t="str">
        <f t="shared" si="678"/>
        <v>ООО "СК ЭКОСТРОЙ"</v>
      </c>
      <c r="B13094" s="24" t="s">
        <v>3305</v>
      </c>
      <c r="C13094" s="25">
        <v>0</v>
      </c>
      <c r="D13094" s="22" t="s">
        <v>15340</v>
      </c>
      <c r="E13094" s="22" t="s">
        <v>53</v>
      </c>
      <c r="F13094" s="23" t="str">
        <f>HYPERLINK("https://www.spark-marketing.ru/Card/Lot/68459908", "Крепежный уголок 60х60х40 мм")</f>
        <v>Крепежный уголок 60х60х40 мм</v>
      </c>
      <c r="G13094" s="22" t="s">
        <v>204</v>
      </c>
      <c r="H13094" s="22" t="s">
        <v>303</v>
      </c>
      <c r="I13094" s="26">
        <v>43528.703506944403</v>
      </c>
      <c r="J13094" s="28" t="s">
        <v>52</v>
      </c>
      <c r="K13094" s="28" t="s">
        <v>52</v>
      </c>
      <c r="L13094" s="28" t="s">
        <v>52</v>
      </c>
      <c r="M13094" s="28" t="s">
        <v>52</v>
      </c>
      <c r="N13094" s="28" t="s">
        <v>52</v>
      </c>
    </row>
    <row r="13095" spans="1:14" x14ac:dyDescent="0.15">
      <c r="A13095" s="23" t="str">
        <f t="shared" si="678"/>
        <v>ООО "СК ЭКОСТРОЙ"</v>
      </c>
      <c r="B13095" s="24" t="s">
        <v>3305</v>
      </c>
      <c r="C13095" s="25">
        <v>0</v>
      </c>
      <c r="D13095" s="22" t="s">
        <v>15340</v>
      </c>
      <c r="E13095" s="22" t="s">
        <v>53</v>
      </c>
      <c r="F13095" s="23" t="str">
        <f>HYPERLINK("https://www.spark-marketing.ru/Card/Lot/68459986", "Анкерный болт BZ-U, M 10х90 мм, сталь, G")</f>
        <v>Анкерный болт BZ-U, M 10х90 мм, сталь, G</v>
      </c>
      <c r="G13095" s="22" t="s">
        <v>204</v>
      </c>
      <c r="H13095" s="22" t="s">
        <v>303</v>
      </c>
      <c r="I13095" s="26">
        <v>43528.703506944403</v>
      </c>
      <c r="J13095" s="28" t="s">
        <v>52</v>
      </c>
      <c r="K13095" s="28" t="s">
        <v>52</v>
      </c>
      <c r="L13095" s="28" t="s">
        <v>52</v>
      </c>
      <c r="M13095" s="28" t="s">
        <v>52</v>
      </c>
      <c r="N13095" s="28" t="s">
        <v>52</v>
      </c>
    </row>
    <row r="13096" spans="1:14" x14ac:dyDescent="0.15">
      <c r="A13096" s="23" t="str">
        <f t="shared" si="678"/>
        <v>ООО "СК ЭКОСТРОЙ"</v>
      </c>
      <c r="B13096" s="24" t="s">
        <v>3305</v>
      </c>
      <c r="C13096" s="25">
        <v>0</v>
      </c>
      <c r="D13096" s="22" t="s">
        <v>15340</v>
      </c>
      <c r="E13096" s="22" t="s">
        <v>53</v>
      </c>
      <c r="F13096" s="23" t="str">
        <f>HYPERLINK("https://www.spark-marketing.ru/Card/Lot/68458976", "Зажим наборный ЗНИ-10 мм2(JXB70А) серый")</f>
        <v>Зажим наборный ЗНИ-10 мм2(JXB70А) серый</v>
      </c>
      <c r="G13096" s="22" t="s">
        <v>204</v>
      </c>
      <c r="H13096" s="22" t="s">
        <v>303</v>
      </c>
      <c r="I13096" s="26">
        <v>43528.703506944403</v>
      </c>
      <c r="J13096" s="28" t="s">
        <v>52</v>
      </c>
      <c r="K13096" s="28" t="s">
        <v>52</v>
      </c>
      <c r="L13096" s="28" t="s">
        <v>52</v>
      </c>
      <c r="M13096" s="28" t="s">
        <v>52</v>
      </c>
      <c r="N13096" s="28" t="s">
        <v>52</v>
      </c>
    </row>
    <row r="13097" spans="1:14" x14ac:dyDescent="0.15">
      <c r="A13097" s="23" t="str">
        <f t="shared" si="678"/>
        <v>ООО "СК ЭКОСТРОЙ"</v>
      </c>
      <c r="B13097" s="24" t="s">
        <v>3305</v>
      </c>
      <c r="C13097" s="25">
        <v>0</v>
      </c>
      <c r="D13097" s="22" t="s">
        <v>15341</v>
      </c>
      <c r="E13097" s="22" t="s">
        <v>53</v>
      </c>
      <c r="F13097" s="23" t="str">
        <f>HYPERLINK("https://www.spark-marketing.ru/Card/Lot/68459337", "Шестигранная гайка М8")</f>
        <v>Шестигранная гайка М8</v>
      </c>
      <c r="G13097" s="22" t="s">
        <v>204</v>
      </c>
      <c r="H13097" s="22" t="s">
        <v>303</v>
      </c>
      <c r="I13097" s="26">
        <v>43528.697812500002</v>
      </c>
      <c r="J13097" s="28" t="s">
        <v>52</v>
      </c>
      <c r="K13097" s="28" t="s">
        <v>52</v>
      </c>
      <c r="L13097" s="28" t="s">
        <v>52</v>
      </c>
      <c r="M13097" s="28" t="s">
        <v>52</v>
      </c>
      <c r="N13097" s="28" t="s">
        <v>52</v>
      </c>
    </row>
    <row r="13098" spans="1:14" x14ac:dyDescent="0.15">
      <c r="A13098" s="23" t="str">
        <f t="shared" si="678"/>
        <v>ООО "СК ЭКОСТРОЙ"</v>
      </c>
      <c r="B13098" s="24" t="s">
        <v>3305</v>
      </c>
      <c r="C13098" s="25">
        <v>0</v>
      </c>
      <c r="D13098" s="22" t="s">
        <v>15341</v>
      </c>
      <c r="E13098" s="22" t="s">
        <v>53</v>
      </c>
      <c r="F13098" s="23" t="str">
        <f>HYPERLINK("https://www.spark-marketing.ru/Card/Lot/68459341", "Сталь полосовая 40х5 мм")</f>
        <v>Сталь полосовая 40х5 мм</v>
      </c>
      <c r="G13098" s="22" t="s">
        <v>204</v>
      </c>
      <c r="H13098" s="22" t="s">
        <v>303</v>
      </c>
      <c r="I13098" s="26">
        <v>43528.697812500002</v>
      </c>
      <c r="J13098" s="28" t="s">
        <v>52</v>
      </c>
      <c r="K13098" s="28" t="s">
        <v>52</v>
      </c>
      <c r="L13098" s="28" t="s">
        <v>52</v>
      </c>
      <c r="M13098" s="28" t="s">
        <v>52</v>
      </c>
      <c r="N13098" s="28" t="s">
        <v>52</v>
      </c>
    </row>
    <row r="13099" spans="1:14" x14ac:dyDescent="0.15">
      <c r="A13099" s="23" t="str">
        <f t="shared" si="678"/>
        <v>ООО "СК ЭКОСТРОЙ"</v>
      </c>
      <c r="B13099" s="24" t="s">
        <v>3305</v>
      </c>
      <c r="C13099" s="25">
        <v>0</v>
      </c>
      <c r="D13099" s="22" t="s">
        <v>15339</v>
      </c>
      <c r="E13099" s="22" t="s">
        <v>53</v>
      </c>
      <c r="F13099" s="23" t="str">
        <f>HYPERLINK("https://www.spark-marketing.ru/Card/Lot/68458939", "Крышка Т-образного соединения 100 мм")</f>
        <v>Крышка Т-образного соединения 100 мм</v>
      </c>
      <c r="G13099" s="22" t="s">
        <v>204</v>
      </c>
      <c r="H13099" s="22" t="s">
        <v>303</v>
      </c>
      <c r="I13099" s="26">
        <v>43528.701111111099</v>
      </c>
      <c r="J13099" s="28" t="s">
        <v>52</v>
      </c>
      <c r="K13099" s="28" t="s">
        <v>52</v>
      </c>
      <c r="L13099" s="28" t="s">
        <v>52</v>
      </c>
      <c r="M13099" s="28" t="s">
        <v>52</v>
      </c>
      <c r="N13099" s="28" t="s">
        <v>52</v>
      </c>
    </row>
    <row r="13100" spans="1:14" x14ac:dyDescent="0.15">
      <c r="A13100" s="23" t="str">
        <f t="shared" si="678"/>
        <v>ООО "СК ЭКОСТРОЙ"</v>
      </c>
      <c r="B13100" s="24" t="s">
        <v>3305</v>
      </c>
      <c r="C13100" s="25">
        <v>0</v>
      </c>
      <c r="D13100" s="22" t="s">
        <v>15339</v>
      </c>
      <c r="E13100" s="22" t="s">
        <v>53</v>
      </c>
      <c r="F13100" s="23" t="str">
        <f>HYPERLINK("https://www.spark-marketing.ru/Card/Lot/68458948", "Соединитель полосы крестовой")</f>
        <v>Соединитель полосы крестовой</v>
      </c>
      <c r="G13100" s="22" t="s">
        <v>204</v>
      </c>
      <c r="H13100" s="22" t="s">
        <v>303</v>
      </c>
      <c r="I13100" s="26">
        <v>43528.701111111099</v>
      </c>
      <c r="J13100" s="28" t="s">
        <v>52</v>
      </c>
      <c r="K13100" s="28" t="s">
        <v>52</v>
      </c>
      <c r="L13100" s="28" t="s">
        <v>52</v>
      </c>
      <c r="M13100" s="28" t="s">
        <v>52</v>
      </c>
      <c r="N13100" s="28" t="s">
        <v>52</v>
      </c>
    </row>
    <row r="13101" spans="1:14" x14ac:dyDescent="0.15">
      <c r="A13101" s="23" t="str">
        <f t="shared" si="678"/>
        <v>ООО "СК ЭКОСТРОЙ"</v>
      </c>
      <c r="B13101" s="24" t="s">
        <v>3305</v>
      </c>
      <c r="C13101" s="25">
        <v>0</v>
      </c>
      <c r="D13101" s="22" t="s">
        <v>15340</v>
      </c>
      <c r="E13101" s="22" t="s">
        <v>53</v>
      </c>
      <c r="F13101" s="23" t="str">
        <f>HYPERLINK("https://www.spark-marketing.ru/Card/Lot/68459890", "Анкерный болт BZ-U, M8х75мм, сталь, G")</f>
        <v>Анкерный болт BZ-U, M8х75мм, сталь, G</v>
      </c>
      <c r="G13101" s="22" t="s">
        <v>204</v>
      </c>
      <c r="H13101" s="22" t="s">
        <v>303</v>
      </c>
      <c r="I13101" s="26">
        <v>43528.703506944403</v>
      </c>
      <c r="J13101" s="28" t="s">
        <v>52</v>
      </c>
      <c r="K13101" s="28" t="s">
        <v>52</v>
      </c>
      <c r="L13101" s="28" t="s">
        <v>52</v>
      </c>
      <c r="M13101" s="28" t="s">
        <v>52</v>
      </c>
      <c r="N13101" s="28" t="s">
        <v>52</v>
      </c>
    </row>
    <row r="13102" spans="1:14" x14ac:dyDescent="0.15">
      <c r="A13102" s="23" t="str">
        <f t="shared" si="678"/>
        <v>ООО "СК ЭКОСТРОЙ"</v>
      </c>
      <c r="B13102" s="24" t="s">
        <v>3305</v>
      </c>
      <c r="C13102" s="25">
        <v>0</v>
      </c>
      <c r="D13102" s="22" t="s">
        <v>15340</v>
      </c>
      <c r="E13102" s="22" t="s">
        <v>53</v>
      </c>
      <c r="F13102" s="23" t="str">
        <f>HYPERLINK("https://www.spark-marketing.ru/Card/Lot/68459898", "Шарнирный соединитель кабельного листового лотка 85х270")</f>
        <v>Шарнирный соединитель кабельного листового лотка 85х270</v>
      </c>
      <c r="G13102" s="22" t="s">
        <v>204</v>
      </c>
      <c r="H13102" s="22" t="s">
        <v>303</v>
      </c>
      <c r="I13102" s="26">
        <v>43528.703506944403</v>
      </c>
      <c r="J13102" s="28" t="s">
        <v>52</v>
      </c>
      <c r="K13102" s="28" t="s">
        <v>52</v>
      </c>
      <c r="L13102" s="28" t="s">
        <v>52</v>
      </c>
      <c r="M13102" s="28" t="s">
        <v>52</v>
      </c>
      <c r="N13102" s="28" t="s">
        <v>52</v>
      </c>
    </row>
    <row r="13103" spans="1:14" x14ac:dyDescent="0.15">
      <c r="A13103" s="23" t="str">
        <f t="shared" si="678"/>
        <v>ООО "СК ЭКОСТРОЙ"</v>
      </c>
      <c r="B13103" s="24" t="s">
        <v>3305</v>
      </c>
      <c r="C13103" s="25">
        <v>0</v>
      </c>
      <c r="D13103" s="22" t="s">
        <v>15340</v>
      </c>
      <c r="E13103" s="22" t="s">
        <v>53</v>
      </c>
      <c r="F13103" s="23" t="str">
        <f>HYPERLINK("https://www.spark-marketing.ru/Card/Lot/68459912", "Крышка Т-образного соединения 100 мм")</f>
        <v>Крышка Т-образного соединения 100 мм</v>
      </c>
      <c r="G13103" s="22" t="s">
        <v>204</v>
      </c>
      <c r="H13103" s="22" t="s">
        <v>303</v>
      </c>
      <c r="I13103" s="26">
        <v>43528.703506944403</v>
      </c>
      <c r="J13103" s="28" t="s">
        <v>52</v>
      </c>
      <c r="K13103" s="28" t="s">
        <v>52</v>
      </c>
      <c r="L13103" s="28" t="s">
        <v>52</v>
      </c>
      <c r="M13103" s="28" t="s">
        <v>52</v>
      </c>
      <c r="N13103" s="28" t="s">
        <v>52</v>
      </c>
    </row>
    <row r="13104" spans="1:14" x14ac:dyDescent="0.15">
      <c r="A13104" s="23" t="str">
        <f t="shared" si="678"/>
        <v>ООО "СК ЭКОСТРОЙ"</v>
      </c>
      <c r="B13104" s="24" t="s">
        <v>3305</v>
      </c>
      <c r="C13104" s="25">
        <v>0</v>
      </c>
      <c r="D13104" s="22" t="s">
        <v>15339</v>
      </c>
      <c r="E13104" s="22" t="s">
        <v>53</v>
      </c>
      <c r="F13104" s="23" t="str">
        <f>HYPERLINK("https://www.spark-marketing.ru/Card/Lot/68458937", "Крышка угловой секции 90° 100 мм")</f>
        <v>Крышка угловой секции 90° 100 мм</v>
      </c>
      <c r="G13104" s="22" t="s">
        <v>204</v>
      </c>
      <c r="H13104" s="22" t="s">
        <v>303</v>
      </c>
      <c r="I13104" s="26">
        <v>43528.701111111099</v>
      </c>
      <c r="J13104" s="28" t="s">
        <v>52</v>
      </c>
      <c r="K13104" s="28" t="s">
        <v>52</v>
      </c>
      <c r="L13104" s="28" t="s">
        <v>52</v>
      </c>
      <c r="M13104" s="28" t="s">
        <v>52</v>
      </c>
      <c r="N13104" s="28" t="s">
        <v>52</v>
      </c>
    </row>
    <row r="13105" spans="1:14" x14ac:dyDescent="0.15">
      <c r="A13105" s="23" t="str">
        <f t="shared" si="678"/>
        <v>ООО "СК ЭКОСТРОЙ"</v>
      </c>
      <c r="B13105" s="24" t="s">
        <v>3305</v>
      </c>
      <c r="C13105" s="25">
        <v>0</v>
      </c>
      <c r="D13105" s="22" t="s">
        <v>15339</v>
      </c>
      <c r="E13105" s="22" t="s">
        <v>53</v>
      </c>
      <c r="F13105" s="23" t="str">
        <f>HYPERLINK("https://www.spark-marketing.ru/Card/Lot/68458957", "Кабель контрольный для систем охранной сигнализации негорючий сечением 1х2х0,5 мм")</f>
        <v>Кабель контрольный для систем охранной сигнализации негорючий сечением 1х2х0,5 мм</v>
      </c>
      <c r="G13105" s="22" t="s">
        <v>204</v>
      </c>
      <c r="H13105" s="22" t="s">
        <v>303</v>
      </c>
      <c r="I13105" s="26">
        <v>43528.701111111099</v>
      </c>
      <c r="J13105" s="28" t="s">
        <v>52</v>
      </c>
      <c r="K13105" s="28" t="s">
        <v>52</v>
      </c>
      <c r="L13105" s="28" t="s">
        <v>52</v>
      </c>
      <c r="M13105" s="28" t="s">
        <v>52</v>
      </c>
      <c r="N13105" s="28" t="s">
        <v>52</v>
      </c>
    </row>
    <row r="13106" spans="1:14" x14ac:dyDescent="0.15">
      <c r="A13106" s="23" t="str">
        <f t="shared" si="678"/>
        <v>ООО "СК ЭКОСТРОЙ"</v>
      </c>
      <c r="B13106" s="24" t="s">
        <v>3305</v>
      </c>
      <c r="C13106" s="25">
        <v>0</v>
      </c>
      <c r="D13106" s="22" t="s">
        <v>15341</v>
      </c>
      <c r="E13106" s="22" t="s">
        <v>53</v>
      </c>
      <c r="F13106" s="23" t="str">
        <f>HYPERLINK("https://www.spark-marketing.ru/Card/Lot/68459223", "Автоматический выключатель трехфазный I ном=10А, хар-ка В")</f>
        <v>Автоматический выключатель трехфазный I ном=10А, хар-ка В</v>
      </c>
      <c r="G13106" s="22" t="s">
        <v>204</v>
      </c>
      <c r="H13106" s="22" t="s">
        <v>303</v>
      </c>
      <c r="I13106" s="26">
        <v>43528.697812500002</v>
      </c>
      <c r="J13106" s="28" t="s">
        <v>52</v>
      </c>
      <c r="K13106" s="28" t="s">
        <v>52</v>
      </c>
      <c r="L13106" s="28" t="s">
        <v>52</v>
      </c>
      <c r="M13106" s="28" t="s">
        <v>52</v>
      </c>
      <c r="N13106" s="28" t="s">
        <v>52</v>
      </c>
    </row>
    <row r="13107" spans="1:14" x14ac:dyDescent="0.15">
      <c r="A13107" s="23" t="str">
        <f t="shared" si="678"/>
        <v>ООО "СК ЭКОСТРОЙ"</v>
      </c>
      <c r="B13107" s="24" t="s">
        <v>3305</v>
      </c>
      <c r="C13107" s="25">
        <v>0</v>
      </c>
      <c r="D13107" s="22" t="s">
        <v>15341</v>
      </c>
      <c r="E13107" s="22" t="s">
        <v>53</v>
      </c>
      <c r="F13107" s="23" t="str">
        <f>HYPERLINK("https://www.spark-marketing.ru/Card/Lot/68459331", "Крышка внешнего вертикального угла 90° 100 мм")</f>
        <v>Крышка внешнего вертикального угла 90° 100 мм</v>
      </c>
      <c r="G13107" s="22" t="s">
        <v>204</v>
      </c>
      <c r="H13107" s="22" t="s">
        <v>303</v>
      </c>
      <c r="I13107" s="26">
        <v>43528.697812500002</v>
      </c>
      <c r="J13107" s="28" t="s">
        <v>52</v>
      </c>
      <c r="K13107" s="28" t="s">
        <v>52</v>
      </c>
      <c r="L13107" s="28" t="s">
        <v>52</v>
      </c>
      <c r="M13107" s="28" t="s">
        <v>52</v>
      </c>
      <c r="N13107" s="28" t="s">
        <v>52</v>
      </c>
    </row>
    <row r="13108" spans="1:14" x14ac:dyDescent="0.15">
      <c r="A13108" s="23" t="str">
        <f t="shared" si="678"/>
        <v>ООО "СК ЭКОСТРОЙ"</v>
      </c>
      <c r="B13108" s="24" t="s">
        <v>3305</v>
      </c>
      <c r="C13108" s="25">
        <v>0</v>
      </c>
      <c r="D13108" s="22" t="s">
        <v>15340</v>
      </c>
      <c r="E13108" s="22" t="s">
        <v>53</v>
      </c>
      <c r="F13108" s="23" t="str">
        <f>HYPERLINK("https://www.spark-marketing.ru/Card/Lot/68459913", "Уголок стальной 125х125х8 мм")</f>
        <v>Уголок стальной 125х125х8 мм</v>
      </c>
      <c r="G13108" s="22" t="s">
        <v>204</v>
      </c>
      <c r="H13108" s="22" t="s">
        <v>303</v>
      </c>
      <c r="I13108" s="26">
        <v>43528.703506944403</v>
      </c>
      <c r="J13108" s="28" t="s">
        <v>52</v>
      </c>
      <c r="K13108" s="28" t="s">
        <v>52</v>
      </c>
      <c r="L13108" s="28" t="s">
        <v>52</v>
      </c>
      <c r="M13108" s="28" t="s">
        <v>52</v>
      </c>
      <c r="N13108" s="28" t="s">
        <v>52</v>
      </c>
    </row>
    <row r="13109" spans="1:14" x14ac:dyDescent="0.15">
      <c r="A13109" s="23" t="str">
        <f t="shared" si="678"/>
        <v>ООО "СК ЭКОСТРОЙ"</v>
      </c>
      <c r="B13109" s="24" t="s">
        <v>3305</v>
      </c>
      <c r="C13109" s="25">
        <v>0</v>
      </c>
      <c r="D13109" s="22" t="s">
        <v>15339</v>
      </c>
      <c r="E13109" s="22" t="s">
        <v>53</v>
      </c>
      <c r="F13109" s="23" t="str">
        <f>HYPERLINK("https://www.spark-marketing.ru/Card/Lot/68458925", "Монтажная рейка 200х41х21")</f>
        <v>Монтажная рейка 200х41х21</v>
      </c>
      <c r="G13109" s="22" t="s">
        <v>204</v>
      </c>
      <c r="H13109" s="22" t="s">
        <v>303</v>
      </c>
      <c r="I13109" s="26">
        <v>43528.701111111099</v>
      </c>
      <c r="J13109" s="28" t="s">
        <v>52</v>
      </c>
      <c r="K13109" s="28" t="s">
        <v>52</v>
      </c>
      <c r="L13109" s="28" t="s">
        <v>52</v>
      </c>
      <c r="M13109" s="28" t="s">
        <v>52</v>
      </c>
      <c r="N13109" s="28" t="s">
        <v>52</v>
      </c>
    </row>
    <row r="13110" spans="1:14" x14ac:dyDescent="0.15">
      <c r="A13110" s="23" t="str">
        <f t="shared" si="678"/>
        <v>ООО "СК ЭКОСТРОЙ"</v>
      </c>
      <c r="B13110" s="24" t="s">
        <v>3305</v>
      </c>
      <c r="C13110" s="25">
        <v>0</v>
      </c>
      <c r="D13110" s="22" t="s">
        <v>15340</v>
      </c>
      <c r="E13110" s="22" t="s">
        <v>53</v>
      </c>
      <c r="F13110" s="23" t="str">
        <f>HYPERLINK("https://www.spark-marketing.ru/Card/Lot/68458975", "Заглушка для ЗНИ-10мм2 (JXB70A) серый")</f>
        <v>Заглушка для ЗНИ-10мм2 (JXB70A) серый</v>
      </c>
      <c r="G13110" s="22" t="s">
        <v>204</v>
      </c>
      <c r="H13110" s="22" t="s">
        <v>303</v>
      </c>
      <c r="I13110" s="26">
        <v>43528.703506944403</v>
      </c>
      <c r="J13110" s="28" t="s">
        <v>52</v>
      </c>
      <c r="K13110" s="28" t="s">
        <v>52</v>
      </c>
      <c r="L13110" s="28" t="s">
        <v>52</v>
      </c>
      <c r="M13110" s="28" t="s">
        <v>52</v>
      </c>
      <c r="N13110" s="28" t="s">
        <v>52</v>
      </c>
    </row>
    <row r="13111" spans="1:14" x14ac:dyDescent="0.15">
      <c r="A13111" s="23" t="str">
        <f t="shared" si="678"/>
        <v>ООО "СК ЭКОСТРОЙ"</v>
      </c>
      <c r="B13111" s="24" t="s">
        <v>3305</v>
      </c>
      <c r="C13111" s="25">
        <v>0</v>
      </c>
      <c r="D13111" s="22" t="s">
        <v>15340</v>
      </c>
      <c r="E13111" s="22" t="s">
        <v>53</v>
      </c>
      <c r="F13111" s="23" t="str">
        <f>HYPERLINK("https://www.spark-marketing.ru/Card/Lot/68458980", "Кронштейн накладной 1-рожк. Регулируемый разм.200х355х75 мм")</f>
        <v>Кронштейн накладной 1-рожк. Регулируемый разм.200х355х75 мм</v>
      </c>
      <c r="G13111" s="22" t="s">
        <v>204</v>
      </c>
      <c r="H13111" s="22" t="s">
        <v>303</v>
      </c>
      <c r="I13111" s="26">
        <v>43528.703506944403</v>
      </c>
      <c r="J13111" s="28" t="s">
        <v>52</v>
      </c>
      <c r="K13111" s="28" t="s">
        <v>52</v>
      </c>
      <c r="L13111" s="28" t="s">
        <v>52</v>
      </c>
      <c r="M13111" s="28" t="s">
        <v>52</v>
      </c>
      <c r="N13111" s="28" t="s">
        <v>52</v>
      </c>
    </row>
    <row r="13112" spans="1:14" x14ac:dyDescent="0.15">
      <c r="A13112" s="23" t="str">
        <f t="shared" si="678"/>
        <v>ООО "СК ЭКОСТРОЙ"</v>
      </c>
      <c r="B13112" s="24" t="s">
        <v>3305</v>
      </c>
      <c r="C13112" s="25">
        <v>0</v>
      </c>
      <c r="D13112" s="22" t="s">
        <v>15341</v>
      </c>
      <c r="E13112" s="22" t="s">
        <v>53</v>
      </c>
      <c r="F13112" s="23" t="str">
        <f>HYPERLINK("https://www.spark-marketing.ru/Card/Lot/68459227", "Контактор модульный Iном-9А на напряжение 380 В")</f>
        <v>Контактор модульный Iном-9А на напряжение 380 В</v>
      </c>
      <c r="G13112" s="22" t="s">
        <v>204</v>
      </c>
      <c r="H13112" s="22" t="s">
        <v>303</v>
      </c>
      <c r="I13112" s="26">
        <v>43528.697812500002</v>
      </c>
      <c r="J13112" s="28" t="s">
        <v>52</v>
      </c>
      <c r="K13112" s="28" t="s">
        <v>52</v>
      </c>
      <c r="L13112" s="28" t="s">
        <v>52</v>
      </c>
      <c r="M13112" s="28" t="s">
        <v>52</v>
      </c>
      <c r="N13112" s="28" t="s">
        <v>52</v>
      </c>
    </row>
    <row r="13113" spans="1:14" x14ac:dyDescent="0.15">
      <c r="A13113" s="23" t="str">
        <f t="shared" si="678"/>
        <v>ООО "СК ЭКОСТРОЙ"</v>
      </c>
      <c r="B13113" s="24" t="s">
        <v>3305</v>
      </c>
      <c r="C13113" s="25">
        <v>0</v>
      </c>
      <c r="D13113" s="22" t="s">
        <v>15340</v>
      </c>
      <c r="E13113" s="22" t="s">
        <v>53</v>
      </c>
      <c r="F13113" s="23" t="str">
        <f>HYPERLINK("https://www.spark-marketing.ru/Card/Lot/68459899", "U-образная профильная рейка 50х50х6000 мм")</f>
        <v>U-образная профильная рейка 50х50х6000 мм</v>
      </c>
      <c r="G13113" s="22" t="s">
        <v>204</v>
      </c>
      <c r="H13113" s="22" t="s">
        <v>303</v>
      </c>
      <c r="I13113" s="26">
        <v>43528.703506944403</v>
      </c>
      <c r="J13113" s="28" t="s">
        <v>52</v>
      </c>
      <c r="K13113" s="28" t="s">
        <v>52</v>
      </c>
      <c r="L13113" s="28" t="s">
        <v>52</v>
      </c>
      <c r="M13113" s="28" t="s">
        <v>52</v>
      </c>
      <c r="N13113" s="28" t="s">
        <v>52</v>
      </c>
    </row>
    <row r="13114" spans="1:14" x14ac:dyDescent="0.15">
      <c r="A13114" s="23" t="str">
        <f t="shared" si="678"/>
        <v>ООО "СК ЭКОСТРОЙ"</v>
      </c>
      <c r="B13114" s="24" t="s">
        <v>3305</v>
      </c>
      <c r="C13114" s="25">
        <v>0</v>
      </c>
      <c r="D13114" s="22" t="s">
        <v>15340</v>
      </c>
      <c r="E13114" s="22" t="s">
        <v>53</v>
      </c>
      <c r="F13114" s="23" t="str">
        <f>HYPERLINK("https://www.spark-marketing.ru/Card/Lot/68459904", "Соединитель кабельного листового лотка угловой 60х200")</f>
        <v>Соединитель кабельного листового лотка угловой 60х200</v>
      </c>
      <c r="G13114" s="22" t="s">
        <v>204</v>
      </c>
      <c r="H13114" s="22" t="s">
        <v>303</v>
      </c>
      <c r="I13114" s="26">
        <v>43528.703506944403</v>
      </c>
      <c r="J13114" s="28" t="s">
        <v>52</v>
      </c>
      <c r="K13114" s="28" t="s">
        <v>52</v>
      </c>
      <c r="L13114" s="28" t="s">
        <v>52</v>
      </c>
      <c r="M13114" s="28" t="s">
        <v>52</v>
      </c>
      <c r="N13114" s="28" t="s">
        <v>52</v>
      </c>
    </row>
    <row r="13115" spans="1:14" x14ac:dyDescent="0.15">
      <c r="A13115" s="23" t="str">
        <f t="shared" si="678"/>
        <v>ООО "СК ЭКОСТРОЙ"</v>
      </c>
      <c r="B13115" s="24" t="s">
        <v>3305</v>
      </c>
      <c r="C13115" s="25">
        <v>0</v>
      </c>
      <c r="D13115" s="22" t="s">
        <v>15340</v>
      </c>
      <c r="E13115" s="22" t="s">
        <v>53</v>
      </c>
      <c r="F13115" s="23" t="str">
        <f>HYPERLINK("https://www.spark-marketing.ru/Card/Lot/68459988", "Полоса из оцинк.стали 40х4мм")</f>
        <v>Полоса из оцинк.стали 40х4мм</v>
      </c>
      <c r="G13115" s="22" t="s">
        <v>204</v>
      </c>
      <c r="H13115" s="22" t="s">
        <v>303</v>
      </c>
      <c r="I13115" s="26">
        <v>43528.703506944403</v>
      </c>
      <c r="J13115" s="28" t="s">
        <v>52</v>
      </c>
      <c r="K13115" s="28" t="s">
        <v>52</v>
      </c>
      <c r="L13115" s="28" t="s">
        <v>52</v>
      </c>
      <c r="M13115" s="28" t="s">
        <v>52</v>
      </c>
      <c r="N13115" s="28" t="s">
        <v>52</v>
      </c>
    </row>
    <row r="13116" spans="1:14" x14ac:dyDescent="0.15">
      <c r="A13116" s="23" t="str">
        <f t="shared" si="678"/>
        <v>ООО "СК ЭКОСТРОЙ"</v>
      </c>
      <c r="B13116" s="24" t="s">
        <v>3305</v>
      </c>
      <c r="C13116" s="25">
        <v>0</v>
      </c>
      <c r="D13116" s="22" t="s">
        <v>15339</v>
      </c>
      <c r="E13116" s="22" t="s">
        <v>53</v>
      </c>
      <c r="F13116" s="23" t="str">
        <f>HYPERLINK("https://www.spark-marketing.ru/Card/Lot/68458918", "Кронштейн регулируемый разм. 200х355х75 мм")</f>
        <v>Кронштейн регулируемый разм. 200х355х75 мм</v>
      </c>
      <c r="G13116" s="22" t="s">
        <v>204</v>
      </c>
      <c r="H13116" s="22" t="s">
        <v>303</v>
      </c>
      <c r="I13116" s="26">
        <v>43528.701111111099</v>
      </c>
      <c r="J13116" s="28" t="s">
        <v>52</v>
      </c>
      <c r="K13116" s="28" t="s">
        <v>52</v>
      </c>
      <c r="L13116" s="28" t="s">
        <v>52</v>
      </c>
      <c r="M13116" s="28" t="s">
        <v>52</v>
      </c>
      <c r="N13116" s="28" t="s">
        <v>52</v>
      </c>
    </row>
    <row r="13117" spans="1:14" x14ac:dyDescent="0.15">
      <c r="A13117" s="23" t="str">
        <f t="shared" si="678"/>
        <v>ООО "СК ЭКОСТРОЙ"</v>
      </c>
      <c r="B13117" s="24" t="s">
        <v>3305</v>
      </c>
      <c r="C13117" s="25">
        <v>0</v>
      </c>
      <c r="D13117" s="22" t="s">
        <v>15340</v>
      </c>
      <c r="E13117" s="22" t="s">
        <v>53</v>
      </c>
      <c r="F13117" s="23" t="str">
        <f>HYPERLINK("https://www.spark-marketing.ru/Card/Lot/68458959", "Блок автоматического резерва")</f>
        <v>Блок автоматического резерва</v>
      </c>
      <c r="G13117" s="22" t="s">
        <v>204</v>
      </c>
      <c r="H13117" s="22" t="s">
        <v>303</v>
      </c>
      <c r="I13117" s="26">
        <v>43528.703506944403</v>
      </c>
      <c r="J13117" s="28" t="s">
        <v>52</v>
      </c>
      <c r="K13117" s="28" t="s">
        <v>52</v>
      </c>
      <c r="L13117" s="28" t="s">
        <v>52</v>
      </c>
      <c r="M13117" s="28" t="s">
        <v>52</v>
      </c>
      <c r="N13117" s="28" t="s">
        <v>52</v>
      </c>
    </row>
    <row r="13118" spans="1:14" x14ac:dyDescent="0.15">
      <c r="A13118" s="23" t="str">
        <f t="shared" si="678"/>
        <v>ООО "СК ЭКОСТРОЙ"</v>
      </c>
      <c r="B13118" s="24" t="s">
        <v>3305</v>
      </c>
      <c r="C13118" s="25">
        <v>0</v>
      </c>
      <c r="D13118" s="22" t="s">
        <v>15341</v>
      </c>
      <c r="E13118" s="22" t="s">
        <v>53</v>
      </c>
      <c r="F13118" s="23" t="str">
        <f>HYPERLINK("https://www.spark-marketing.ru/Card/Lot/68459316", "Гайка скользящая М10")</f>
        <v>Гайка скользящая М10</v>
      </c>
      <c r="G13118" s="22" t="s">
        <v>204</v>
      </c>
      <c r="H13118" s="22" t="s">
        <v>303</v>
      </c>
      <c r="I13118" s="26">
        <v>43528.697812500002</v>
      </c>
      <c r="J13118" s="28" t="s">
        <v>52</v>
      </c>
      <c r="K13118" s="28" t="s">
        <v>52</v>
      </c>
      <c r="L13118" s="28" t="s">
        <v>52</v>
      </c>
      <c r="M13118" s="28" t="s">
        <v>52</v>
      </c>
      <c r="N13118" s="28" t="s">
        <v>52</v>
      </c>
    </row>
    <row r="13119" spans="1:14" x14ac:dyDescent="0.15">
      <c r="A13119" s="23" t="str">
        <f t="shared" si="678"/>
        <v>ООО "СК ЭКОСТРОЙ"</v>
      </c>
      <c r="B13119" s="24" t="s">
        <v>3305</v>
      </c>
      <c r="C13119" s="25">
        <v>0</v>
      </c>
      <c r="D13119" s="22" t="s">
        <v>15340</v>
      </c>
      <c r="E13119" s="22" t="s">
        <v>53</v>
      </c>
      <c r="F13119" s="23" t="str">
        <f>HYPERLINK("https://www.spark-marketing.ru/Card/Lot/68459901", "Крышка кабельного листового лотка 50х3000")</f>
        <v>Крышка кабельного листового лотка 50х3000</v>
      </c>
      <c r="G13119" s="22" t="s">
        <v>204</v>
      </c>
      <c r="H13119" s="22" t="s">
        <v>303</v>
      </c>
      <c r="I13119" s="26">
        <v>43528.703506944403</v>
      </c>
      <c r="J13119" s="28" t="s">
        <v>52</v>
      </c>
      <c r="K13119" s="28" t="s">
        <v>52</v>
      </c>
      <c r="L13119" s="28" t="s">
        <v>52</v>
      </c>
      <c r="M13119" s="28" t="s">
        <v>52</v>
      </c>
      <c r="N13119" s="28" t="s">
        <v>52</v>
      </c>
    </row>
    <row r="13120" spans="1:14" x14ac:dyDescent="0.15">
      <c r="A13120" s="23" t="str">
        <f t="shared" si="678"/>
        <v>ООО "СК ЭКОСТРОЙ"</v>
      </c>
      <c r="B13120" s="24" t="s">
        <v>3305</v>
      </c>
      <c r="C13120" s="25">
        <v>0</v>
      </c>
      <c r="D13120" s="22" t="s">
        <v>15340</v>
      </c>
      <c r="E13120" s="22" t="s">
        <v>53</v>
      </c>
      <c r="F13120" s="23" t="str">
        <f>HYPERLINK("https://www.spark-marketing.ru/Card/Lot/68459984", "U-образная профильная рейка 70х50х6000")</f>
        <v>U-образная профильная рейка 70х50х6000</v>
      </c>
      <c r="G13120" s="22" t="s">
        <v>204</v>
      </c>
      <c r="H13120" s="22" t="s">
        <v>303</v>
      </c>
      <c r="I13120" s="26">
        <v>43528.703506944403</v>
      </c>
      <c r="J13120" s="28" t="s">
        <v>52</v>
      </c>
      <c r="K13120" s="28" t="s">
        <v>52</v>
      </c>
      <c r="L13120" s="28" t="s">
        <v>52</v>
      </c>
      <c r="M13120" s="28" t="s">
        <v>52</v>
      </c>
      <c r="N13120" s="28" t="s">
        <v>52</v>
      </c>
    </row>
    <row r="13121" spans="1:14" x14ac:dyDescent="0.15">
      <c r="A13121" s="23" t="str">
        <f>HYPERLINK("https://www.spark-marketing.ru/Card/Person/53737", "ПРОКУРАТУРА ВОЛОГОДСКОЙ ОБЛАСТИ")</f>
        <v>ПРОКУРАТУРА ВОЛОГОДСКОЙ ОБЛАСТИ</v>
      </c>
      <c r="B13121" s="24" t="s">
        <v>15347</v>
      </c>
      <c r="C13121" s="25">
        <v>430749</v>
      </c>
      <c r="D13121" s="22" t="s">
        <v>15348</v>
      </c>
      <c r="E13121" s="22" t="s">
        <v>183</v>
      </c>
      <c r="F13121" s="23" t="str">
        <f>HYPERLINK("https://www.spark-marketing.ru/Card/Lot/68452668", "Оказание услуг по охране объектов (постовая охрана)")</f>
        <v>Оказание услуг по охране объектов (постовая охрана)</v>
      </c>
      <c r="G13121" s="22" t="s">
        <v>902</v>
      </c>
      <c r="H13121" s="22" t="s">
        <v>902</v>
      </c>
      <c r="I13121" s="26">
        <v>43528.699305555601</v>
      </c>
      <c r="J13121" s="23" t="str">
        <f>HYPERLINK("https://www.spark-marketing.ru/Card/Person/4422859", "Филиал ФГУП ""ОХРАНА"" РОСГВАРДИИ по Вологодской области")</f>
        <v>Филиал ФГУП "ОХРАНА" РОСГВАРДИИ по Вологодской области</v>
      </c>
      <c r="K13121" s="24" t="s">
        <v>779</v>
      </c>
      <c r="L13121" s="22" t="s">
        <v>10</v>
      </c>
      <c r="M13121" s="28" t="s">
        <v>52</v>
      </c>
      <c r="N13121" s="28" t="s">
        <v>52</v>
      </c>
    </row>
    <row r="13122" spans="1:14" x14ac:dyDescent="0.15">
      <c r="A13122" s="23" t="str">
        <f t="shared" ref="A13122:A13142" si="679">HYPERLINK("https://www.spark-marketing.ru/Card/Person/1752716", "ООО ""СК ЭКОСТРОЙ""")</f>
        <v>ООО "СК ЭКОСТРОЙ"</v>
      </c>
      <c r="B13122" s="24" t="s">
        <v>3305</v>
      </c>
      <c r="C13122" s="25">
        <v>0</v>
      </c>
      <c r="D13122" s="22" t="s">
        <v>15339</v>
      </c>
      <c r="E13122" s="22" t="s">
        <v>53</v>
      </c>
      <c r="F13122" s="23" t="str">
        <f>HYPERLINK("https://www.spark-marketing.ru/Card/Lot/68458908", "Реле контроля напряжения трехфазный 320-460 В АС")</f>
        <v>Реле контроля напряжения трехфазный 320-460 В АС</v>
      </c>
      <c r="G13122" s="22" t="s">
        <v>204</v>
      </c>
      <c r="H13122" s="22" t="s">
        <v>303</v>
      </c>
      <c r="I13122" s="26">
        <v>43528.701111111099</v>
      </c>
      <c r="J13122" s="28" t="s">
        <v>52</v>
      </c>
      <c r="K13122" s="28" t="s">
        <v>52</v>
      </c>
      <c r="L13122" s="28" t="s">
        <v>52</v>
      </c>
      <c r="M13122" s="28" t="s">
        <v>52</v>
      </c>
      <c r="N13122" s="28" t="s">
        <v>52</v>
      </c>
    </row>
    <row r="13123" spans="1:14" x14ac:dyDescent="0.15">
      <c r="A13123" s="23" t="str">
        <f t="shared" si="679"/>
        <v>ООО "СК ЭКОСТРОЙ"</v>
      </c>
      <c r="B13123" s="24" t="s">
        <v>3305</v>
      </c>
      <c r="C13123" s="25">
        <v>0</v>
      </c>
      <c r="D13123" s="22" t="s">
        <v>15339</v>
      </c>
      <c r="E13123" s="22" t="s">
        <v>53</v>
      </c>
      <c r="F13123" s="23" t="str">
        <f>HYPERLINK("https://www.spark-marketing.ru/Card/Lot/68458922", "Кабель контрольный с медными жилами с оболочкой и изоляцией из ПВХ-пластиката пониженной горючести, сечением 7х1,0 мм2")</f>
        <v>Кабель контрольный с медными жилами с оболочкой и изоляцией из ПВХ-пластиката пониженной горючести, сечением 7х1,0 мм2</v>
      </c>
      <c r="G13123" s="22" t="s">
        <v>204</v>
      </c>
      <c r="H13123" s="22" t="s">
        <v>303</v>
      </c>
      <c r="I13123" s="26">
        <v>43528.701111111099</v>
      </c>
      <c r="J13123" s="28" t="s">
        <v>52</v>
      </c>
      <c r="K13123" s="28" t="s">
        <v>52</v>
      </c>
      <c r="L13123" s="28" t="s">
        <v>52</v>
      </c>
      <c r="M13123" s="28" t="s">
        <v>52</v>
      </c>
      <c r="N13123" s="28" t="s">
        <v>52</v>
      </c>
    </row>
    <row r="13124" spans="1:14" x14ac:dyDescent="0.15">
      <c r="A13124" s="23" t="str">
        <f t="shared" si="679"/>
        <v>ООО "СК ЭКОСТРОЙ"</v>
      </c>
      <c r="B13124" s="24" t="s">
        <v>3305</v>
      </c>
      <c r="C13124" s="25">
        <v>0</v>
      </c>
      <c r="D13124" s="22" t="s">
        <v>15339</v>
      </c>
      <c r="E13124" s="22" t="s">
        <v>53</v>
      </c>
      <c r="F13124" s="23" t="str">
        <f>HYPERLINK("https://www.spark-marketing.ru/Card/Lot/68458945", "Болт М8")</f>
        <v>Болт М8</v>
      </c>
      <c r="G13124" s="22" t="s">
        <v>204</v>
      </c>
      <c r="H13124" s="22" t="s">
        <v>303</v>
      </c>
      <c r="I13124" s="26">
        <v>43528.701111111099</v>
      </c>
      <c r="J13124" s="28" t="s">
        <v>52</v>
      </c>
      <c r="K13124" s="28" t="s">
        <v>52</v>
      </c>
      <c r="L13124" s="28" t="s">
        <v>52</v>
      </c>
      <c r="M13124" s="28" t="s">
        <v>52</v>
      </c>
      <c r="N13124" s="28" t="s">
        <v>52</v>
      </c>
    </row>
    <row r="13125" spans="1:14" x14ac:dyDescent="0.15">
      <c r="A13125" s="23" t="str">
        <f t="shared" si="679"/>
        <v>ООО "СК ЭКОСТРОЙ"</v>
      </c>
      <c r="B13125" s="24" t="s">
        <v>3305</v>
      </c>
      <c r="C13125" s="25">
        <v>0</v>
      </c>
      <c r="D13125" s="22" t="s">
        <v>15339</v>
      </c>
      <c r="E13125" s="22" t="s">
        <v>53</v>
      </c>
      <c r="F13125" s="23" t="str">
        <f>HYPERLINK("https://www.spark-marketing.ru/Card/Lot/68458952", "Насадка для забивания стержней заземления")</f>
        <v>Насадка для забивания стержней заземления</v>
      </c>
      <c r="G13125" s="22" t="s">
        <v>204</v>
      </c>
      <c r="H13125" s="22" t="s">
        <v>303</v>
      </c>
      <c r="I13125" s="26">
        <v>43528.701111111099</v>
      </c>
      <c r="J13125" s="28" t="s">
        <v>52</v>
      </c>
      <c r="K13125" s="28" t="s">
        <v>52</v>
      </c>
      <c r="L13125" s="28" t="s">
        <v>52</v>
      </c>
      <c r="M13125" s="28" t="s">
        <v>52</v>
      </c>
      <c r="N13125" s="28" t="s">
        <v>52</v>
      </c>
    </row>
    <row r="13126" spans="1:14" x14ac:dyDescent="0.15">
      <c r="A13126" s="23" t="str">
        <f t="shared" si="679"/>
        <v>ООО "СК ЭКОСТРОЙ"</v>
      </c>
      <c r="B13126" s="24" t="s">
        <v>3305</v>
      </c>
      <c r="C13126" s="25">
        <v>0</v>
      </c>
      <c r="D13126" s="22" t="s">
        <v>15340</v>
      </c>
      <c r="E13126" s="22" t="s">
        <v>53</v>
      </c>
      <c r="F13126" s="23" t="str">
        <f>HYPERLINK("https://www.spark-marketing.ru/Card/Lot/68458965", "Контактор модульный Iном-9А на напряжение 380 В")</f>
        <v>Контактор модульный Iном-9А на напряжение 380 В</v>
      </c>
      <c r="G13126" s="22" t="s">
        <v>204</v>
      </c>
      <c r="H13126" s="22" t="s">
        <v>303</v>
      </c>
      <c r="I13126" s="26">
        <v>43528.703506944403</v>
      </c>
      <c r="J13126" s="28" t="s">
        <v>52</v>
      </c>
      <c r="K13126" s="28" t="s">
        <v>52</v>
      </c>
      <c r="L13126" s="28" t="s">
        <v>52</v>
      </c>
      <c r="M13126" s="28" t="s">
        <v>52</v>
      </c>
      <c r="N13126" s="28" t="s">
        <v>52</v>
      </c>
    </row>
    <row r="13127" spans="1:14" x14ac:dyDescent="0.15">
      <c r="A13127" s="23" t="str">
        <f t="shared" si="679"/>
        <v>ООО "СК ЭКОСТРОЙ"</v>
      </c>
      <c r="B13127" s="24" t="s">
        <v>3305</v>
      </c>
      <c r="C13127" s="25">
        <v>0</v>
      </c>
      <c r="D13127" s="22" t="s">
        <v>15341</v>
      </c>
      <c r="E13127" s="22" t="s">
        <v>53</v>
      </c>
      <c r="F13127" s="23" t="str">
        <f>HYPERLINK("https://www.spark-marketing.ru/Card/Lot/68459224", "Автоматический выключатель трехфазный I ном=25 А, хар-ка В")</f>
        <v>Автоматический выключатель трехфазный I ном=25 А, хар-ка В</v>
      </c>
      <c r="G13127" s="22" t="s">
        <v>204</v>
      </c>
      <c r="H13127" s="22" t="s">
        <v>303</v>
      </c>
      <c r="I13127" s="26">
        <v>43528.697812500002</v>
      </c>
      <c r="J13127" s="28" t="s">
        <v>52</v>
      </c>
      <c r="K13127" s="28" t="s">
        <v>52</v>
      </c>
      <c r="L13127" s="28" t="s">
        <v>52</v>
      </c>
      <c r="M13127" s="28" t="s">
        <v>52</v>
      </c>
      <c r="N13127" s="28" t="s">
        <v>52</v>
      </c>
    </row>
    <row r="13128" spans="1:14" x14ac:dyDescent="0.15">
      <c r="A13128" s="23" t="str">
        <f t="shared" si="679"/>
        <v>ООО "СК ЭКОСТРОЙ"</v>
      </c>
      <c r="B13128" s="24" t="s">
        <v>3305</v>
      </c>
      <c r="C13128" s="25">
        <v>0</v>
      </c>
      <c r="D13128" s="22" t="s">
        <v>15341</v>
      </c>
      <c r="E13128" s="22" t="s">
        <v>53</v>
      </c>
      <c r="F13128" s="23" t="str">
        <f>HYPERLINK("https://www.spark-marketing.ru/Card/Lot/68459314", "Монтажная рейка 200х41х21")</f>
        <v>Монтажная рейка 200х41х21</v>
      </c>
      <c r="G13128" s="22" t="s">
        <v>204</v>
      </c>
      <c r="H13128" s="22" t="s">
        <v>303</v>
      </c>
      <c r="I13128" s="26">
        <v>43528.697812500002</v>
      </c>
      <c r="J13128" s="28" t="s">
        <v>52</v>
      </c>
      <c r="K13128" s="28" t="s">
        <v>52</v>
      </c>
      <c r="L13128" s="28" t="s">
        <v>52</v>
      </c>
      <c r="M13128" s="28" t="s">
        <v>52</v>
      </c>
      <c r="N13128" s="28" t="s">
        <v>52</v>
      </c>
    </row>
    <row r="13129" spans="1:14" x14ac:dyDescent="0.15">
      <c r="A13129" s="23" t="str">
        <f t="shared" si="679"/>
        <v>ООО "СК ЭКОСТРОЙ"</v>
      </c>
      <c r="B13129" s="24" t="s">
        <v>3305</v>
      </c>
      <c r="C13129" s="25">
        <v>0</v>
      </c>
      <c r="D13129" s="22" t="s">
        <v>15341</v>
      </c>
      <c r="E13129" s="22" t="s">
        <v>53</v>
      </c>
      <c r="F13129" s="23" t="str">
        <f>HYPERLINK("https://www.spark-marketing.ru/Card/Lot/68459322", "Шарнирный соединитель кабельного листового лотка 85х270")</f>
        <v>Шарнирный соединитель кабельного листового лотка 85х270</v>
      </c>
      <c r="G13129" s="22" t="s">
        <v>204</v>
      </c>
      <c r="H13129" s="22" t="s">
        <v>303</v>
      </c>
      <c r="I13129" s="26">
        <v>43528.697812500002</v>
      </c>
      <c r="J13129" s="28" t="s">
        <v>52</v>
      </c>
      <c r="K13129" s="28" t="s">
        <v>52</v>
      </c>
      <c r="L13129" s="28" t="s">
        <v>52</v>
      </c>
      <c r="M13129" s="28" t="s">
        <v>52</v>
      </c>
      <c r="N13129" s="28" t="s">
        <v>52</v>
      </c>
    </row>
    <row r="13130" spans="1:14" x14ac:dyDescent="0.15">
      <c r="A13130" s="23" t="str">
        <f t="shared" si="679"/>
        <v>ООО "СК ЭКОСТРОЙ"</v>
      </c>
      <c r="B13130" s="24" t="s">
        <v>3305</v>
      </c>
      <c r="C13130" s="25">
        <v>0</v>
      </c>
      <c r="D13130" s="22" t="s">
        <v>15341</v>
      </c>
      <c r="E13130" s="22" t="s">
        <v>53</v>
      </c>
      <c r="F13130" s="23" t="str">
        <f>HYPERLINK("https://www.spark-marketing.ru/Card/Lot/68459343", "Гайка М8")</f>
        <v>Гайка М8</v>
      </c>
      <c r="G13130" s="22" t="s">
        <v>204</v>
      </c>
      <c r="H13130" s="22" t="s">
        <v>303</v>
      </c>
      <c r="I13130" s="26">
        <v>43528.697812500002</v>
      </c>
      <c r="J13130" s="28" t="s">
        <v>52</v>
      </c>
      <c r="K13130" s="28" t="s">
        <v>52</v>
      </c>
      <c r="L13130" s="28" t="s">
        <v>52</v>
      </c>
      <c r="M13130" s="28" t="s">
        <v>52</v>
      </c>
      <c r="N13130" s="28" t="s">
        <v>52</v>
      </c>
    </row>
    <row r="13131" spans="1:14" x14ac:dyDescent="0.15">
      <c r="A13131" s="23" t="str">
        <f t="shared" si="679"/>
        <v>ООО "СК ЭКОСТРОЙ"</v>
      </c>
      <c r="B13131" s="24" t="s">
        <v>3305</v>
      </c>
      <c r="C13131" s="25">
        <v>0</v>
      </c>
      <c r="D13131" s="22" t="s">
        <v>15340</v>
      </c>
      <c r="E13131" s="22" t="s">
        <v>53</v>
      </c>
      <c r="F13131" s="23" t="str">
        <f>HYPERLINK("https://www.spark-marketing.ru/Card/Lot/68459900", "Кабельный листовой лоток перфорированный 60х50х3000")</f>
        <v>Кабельный листовой лоток перфорированный 60х50х3000</v>
      </c>
      <c r="G13131" s="22" t="s">
        <v>204</v>
      </c>
      <c r="H13131" s="22" t="s">
        <v>303</v>
      </c>
      <c r="I13131" s="26">
        <v>43528.703506944403</v>
      </c>
      <c r="J13131" s="28" t="s">
        <v>52</v>
      </c>
      <c r="K13131" s="28" t="s">
        <v>52</v>
      </c>
      <c r="L13131" s="28" t="s">
        <v>52</v>
      </c>
      <c r="M13131" s="28" t="s">
        <v>52</v>
      </c>
      <c r="N13131" s="28" t="s">
        <v>52</v>
      </c>
    </row>
    <row r="13132" spans="1:14" x14ac:dyDescent="0.15">
      <c r="A13132" s="23" t="str">
        <f t="shared" si="679"/>
        <v>ООО "СК ЭКОСТРОЙ"</v>
      </c>
      <c r="B13132" s="24" t="s">
        <v>3305</v>
      </c>
      <c r="C13132" s="25">
        <v>0</v>
      </c>
      <c r="D13132" s="22" t="s">
        <v>15339</v>
      </c>
      <c r="E13132" s="22" t="s">
        <v>53</v>
      </c>
      <c r="F13132" s="23" t="str">
        <f>HYPERLINK("https://www.spark-marketing.ru/Card/Lot/68458910", "Контактор модульный Iном-20А на напряжение 380 В")</f>
        <v>Контактор модульный Iном-20А на напряжение 380 В</v>
      </c>
      <c r="G13132" s="22" t="s">
        <v>204</v>
      </c>
      <c r="H13132" s="22" t="s">
        <v>303</v>
      </c>
      <c r="I13132" s="26">
        <v>43528.701111111099</v>
      </c>
      <c r="J13132" s="28" t="s">
        <v>52</v>
      </c>
      <c r="K13132" s="28" t="s">
        <v>52</v>
      </c>
      <c r="L13132" s="28" t="s">
        <v>52</v>
      </c>
      <c r="M13132" s="28" t="s">
        <v>52</v>
      </c>
      <c r="N13132" s="28" t="s">
        <v>52</v>
      </c>
    </row>
    <row r="13133" spans="1:14" x14ac:dyDescent="0.15">
      <c r="A13133" s="23" t="str">
        <f t="shared" si="679"/>
        <v>ООО "СК ЭКОСТРОЙ"</v>
      </c>
      <c r="B13133" s="24" t="s">
        <v>3305</v>
      </c>
      <c r="C13133" s="25">
        <v>0</v>
      </c>
      <c r="D13133" s="22" t="s">
        <v>15339</v>
      </c>
      <c r="E13133" s="22" t="s">
        <v>53</v>
      </c>
      <c r="F13133" s="23" t="str">
        <f>HYPERLINK("https://www.spark-marketing.ru/Card/Lot/68458919", "Кабель силовой с медными жилами с ПВХ-оболочкой и изоляцией, не распространяющий горение, сечением 5х6,0 мм2")</f>
        <v>Кабель силовой с медными жилами с ПВХ-оболочкой и изоляцией, не распространяющий горение, сечением 5х6,0 мм2</v>
      </c>
      <c r="G13133" s="22" t="s">
        <v>204</v>
      </c>
      <c r="H13133" s="22" t="s">
        <v>303</v>
      </c>
      <c r="I13133" s="26">
        <v>43528.701111111099</v>
      </c>
      <c r="J13133" s="28" t="s">
        <v>52</v>
      </c>
      <c r="K13133" s="28" t="s">
        <v>52</v>
      </c>
      <c r="L13133" s="28" t="s">
        <v>52</v>
      </c>
      <c r="M13133" s="28" t="s">
        <v>52</v>
      </c>
      <c r="N13133" s="28" t="s">
        <v>52</v>
      </c>
    </row>
    <row r="13134" spans="1:14" x14ac:dyDescent="0.15">
      <c r="A13134" s="23" t="str">
        <f t="shared" si="679"/>
        <v>ООО "СК ЭКОСТРОЙ"</v>
      </c>
      <c r="B13134" s="24" t="s">
        <v>3305</v>
      </c>
      <c r="C13134" s="25">
        <v>0</v>
      </c>
      <c r="D13134" s="22" t="s">
        <v>15339</v>
      </c>
      <c r="E13134" s="22" t="s">
        <v>53</v>
      </c>
      <c r="F13134" s="23" t="str">
        <f>HYPERLINK("https://www.spark-marketing.ru/Card/Lot/68458932", "Шарнирный соединитель кабельного листового лотка 85х270")</f>
        <v>Шарнирный соединитель кабельного листового лотка 85х270</v>
      </c>
      <c r="G13134" s="22" t="s">
        <v>204</v>
      </c>
      <c r="H13134" s="22" t="s">
        <v>303</v>
      </c>
      <c r="I13134" s="26">
        <v>43528.701111111099</v>
      </c>
      <c r="J13134" s="28" t="s">
        <v>52</v>
      </c>
      <c r="K13134" s="28" t="s">
        <v>52</v>
      </c>
      <c r="L13134" s="28" t="s">
        <v>52</v>
      </c>
      <c r="M13134" s="28" t="s">
        <v>52</v>
      </c>
      <c r="N13134" s="28" t="s">
        <v>52</v>
      </c>
    </row>
    <row r="13135" spans="1:14" x14ac:dyDescent="0.15">
      <c r="A13135" s="23" t="str">
        <f t="shared" si="679"/>
        <v>ООО "СК ЭКОСТРОЙ"</v>
      </c>
      <c r="B13135" s="24" t="s">
        <v>3305</v>
      </c>
      <c r="C13135" s="25">
        <v>0</v>
      </c>
      <c r="D13135" s="22" t="s">
        <v>15339</v>
      </c>
      <c r="E13135" s="22" t="s">
        <v>53</v>
      </c>
      <c r="F13135" s="23" t="str">
        <f>HYPERLINK("https://www.spark-marketing.ru/Card/Lot/68458933", "Болт с плоской головкой М6х12")</f>
        <v>Болт с плоской головкой М6х12</v>
      </c>
      <c r="G13135" s="22" t="s">
        <v>204</v>
      </c>
      <c r="H13135" s="22" t="s">
        <v>303</v>
      </c>
      <c r="I13135" s="26">
        <v>43528.701111111099</v>
      </c>
      <c r="J13135" s="28" t="s">
        <v>52</v>
      </c>
      <c r="K13135" s="28" t="s">
        <v>52</v>
      </c>
      <c r="L13135" s="28" t="s">
        <v>52</v>
      </c>
      <c r="M13135" s="28" t="s">
        <v>52</v>
      </c>
      <c r="N13135" s="28" t="s">
        <v>52</v>
      </c>
    </row>
    <row r="13136" spans="1:14" x14ac:dyDescent="0.15">
      <c r="A13136" s="23" t="str">
        <f t="shared" si="679"/>
        <v>ООО "СК ЭКОСТРОЙ"</v>
      </c>
      <c r="B13136" s="24" t="s">
        <v>3305</v>
      </c>
      <c r="C13136" s="25">
        <v>0</v>
      </c>
      <c r="D13136" s="22" t="s">
        <v>15339</v>
      </c>
      <c r="E13136" s="22" t="s">
        <v>53</v>
      </c>
      <c r="F13136" s="23" t="str">
        <f>HYPERLINK("https://www.spark-marketing.ru/Card/Lot/68458943", "Труба гофрированная с протяжкой d=20 мм")</f>
        <v>Труба гофрированная с протяжкой d=20 мм</v>
      </c>
      <c r="G13136" s="22" t="s">
        <v>204</v>
      </c>
      <c r="H13136" s="22" t="s">
        <v>303</v>
      </c>
      <c r="I13136" s="26">
        <v>43528.701111111099</v>
      </c>
      <c r="J13136" s="28" t="s">
        <v>52</v>
      </c>
      <c r="K13136" s="28" t="s">
        <v>52</v>
      </c>
      <c r="L13136" s="28" t="s">
        <v>52</v>
      </c>
      <c r="M13136" s="28" t="s">
        <v>52</v>
      </c>
      <c r="N13136" s="28" t="s">
        <v>52</v>
      </c>
    </row>
    <row r="13137" spans="1:14" x14ac:dyDescent="0.15">
      <c r="A13137" s="23" t="str">
        <f t="shared" si="679"/>
        <v>ООО "СК ЭКОСТРОЙ"</v>
      </c>
      <c r="B13137" s="24" t="s">
        <v>3305</v>
      </c>
      <c r="C13137" s="25">
        <v>0</v>
      </c>
      <c r="D13137" s="22" t="s">
        <v>15339</v>
      </c>
      <c r="E13137" s="22" t="s">
        <v>53</v>
      </c>
      <c r="F13137" s="23" t="str">
        <f>HYPERLINK("https://www.spark-marketing.ru/Card/Lot/68458951", "Наконечник стержня заземления")</f>
        <v>Наконечник стержня заземления</v>
      </c>
      <c r="G13137" s="22" t="s">
        <v>204</v>
      </c>
      <c r="H13137" s="22" t="s">
        <v>303</v>
      </c>
      <c r="I13137" s="26">
        <v>43528.701111111099</v>
      </c>
      <c r="J13137" s="28" t="s">
        <v>52</v>
      </c>
      <c r="K13137" s="28" t="s">
        <v>52</v>
      </c>
      <c r="L13137" s="28" t="s">
        <v>52</v>
      </c>
      <c r="M13137" s="28" t="s">
        <v>52</v>
      </c>
      <c r="N13137" s="28" t="s">
        <v>52</v>
      </c>
    </row>
    <row r="13138" spans="1:14" x14ac:dyDescent="0.15">
      <c r="A13138" s="23" t="str">
        <f t="shared" si="679"/>
        <v>ООО "СК ЭКОСТРОЙ"</v>
      </c>
      <c r="B13138" s="24" t="s">
        <v>3305</v>
      </c>
      <c r="C13138" s="25">
        <v>0</v>
      </c>
      <c r="D13138" s="22" t="s">
        <v>15340</v>
      </c>
      <c r="E13138" s="22" t="s">
        <v>53</v>
      </c>
      <c r="F13138" s="23" t="str">
        <f>HYPERLINK("https://www.spark-marketing.ru/Card/Lot/68458962", "Автоматический выключатель однофазный I ном=3А, хар-ка В")</f>
        <v>Автоматический выключатель однофазный I ном=3А, хар-ка В</v>
      </c>
      <c r="G13138" s="22" t="s">
        <v>204</v>
      </c>
      <c r="H13138" s="22" t="s">
        <v>303</v>
      </c>
      <c r="I13138" s="26">
        <v>43528.703506944403</v>
      </c>
      <c r="J13138" s="28" t="s">
        <v>52</v>
      </c>
      <c r="K13138" s="28" t="s">
        <v>52</v>
      </c>
      <c r="L13138" s="28" t="s">
        <v>52</v>
      </c>
      <c r="M13138" s="28" t="s">
        <v>52</v>
      </c>
      <c r="N13138" s="28" t="s">
        <v>52</v>
      </c>
    </row>
    <row r="13139" spans="1:14" x14ac:dyDescent="0.15">
      <c r="A13139" s="23" t="str">
        <f t="shared" si="679"/>
        <v>ООО "СК ЭКОСТРОЙ"</v>
      </c>
      <c r="B13139" s="24" t="s">
        <v>3305</v>
      </c>
      <c r="C13139" s="25">
        <v>0</v>
      </c>
      <c r="D13139" s="22" t="s">
        <v>15340</v>
      </c>
      <c r="E13139" s="22" t="s">
        <v>53</v>
      </c>
      <c r="F13139" s="23" t="str">
        <f>HYPERLINK("https://www.spark-marketing.ru/Card/Lot/68459998", "Кабель контрольный для систем охранной сигнализации негорючий сечением 1х2х0,5 мм")</f>
        <v>Кабель контрольный для систем охранной сигнализации негорючий сечением 1х2х0,5 мм</v>
      </c>
      <c r="G13139" s="22" t="s">
        <v>204</v>
      </c>
      <c r="H13139" s="22" t="s">
        <v>303</v>
      </c>
      <c r="I13139" s="26">
        <v>43528.703506944403</v>
      </c>
      <c r="J13139" s="28" t="s">
        <v>52</v>
      </c>
      <c r="K13139" s="28" t="s">
        <v>52</v>
      </c>
      <c r="L13139" s="28" t="s">
        <v>52</v>
      </c>
      <c r="M13139" s="28" t="s">
        <v>52</v>
      </c>
      <c r="N13139" s="28" t="s">
        <v>52</v>
      </c>
    </row>
    <row r="13140" spans="1:14" x14ac:dyDescent="0.15">
      <c r="A13140" s="23" t="str">
        <f t="shared" si="679"/>
        <v>ООО "СК ЭКОСТРОЙ"</v>
      </c>
      <c r="B13140" s="24" t="s">
        <v>3305</v>
      </c>
      <c r="C13140" s="25">
        <v>0</v>
      </c>
      <c r="D13140" s="22" t="s">
        <v>15341</v>
      </c>
      <c r="E13140" s="22" t="s">
        <v>53</v>
      </c>
      <c r="F13140" s="23" t="str">
        <f>HYPERLINK("https://www.spark-marketing.ru/Card/Lot/68459226", "Реле контроля напряжения трехфазный 320-460 В АС")</f>
        <v>Реле контроля напряжения трехфазный 320-460 В АС</v>
      </c>
      <c r="G13140" s="22" t="s">
        <v>204</v>
      </c>
      <c r="H13140" s="22" t="s">
        <v>303</v>
      </c>
      <c r="I13140" s="26">
        <v>43528.697812500002</v>
      </c>
      <c r="J13140" s="28" t="s">
        <v>52</v>
      </c>
      <c r="K13140" s="28" t="s">
        <v>52</v>
      </c>
      <c r="L13140" s="28" t="s">
        <v>52</v>
      </c>
      <c r="M13140" s="28" t="s">
        <v>52</v>
      </c>
      <c r="N13140" s="28" t="s">
        <v>52</v>
      </c>
    </row>
    <row r="13141" spans="1:14" x14ac:dyDescent="0.15">
      <c r="A13141" s="23" t="str">
        <f t="shared" si="679"/>
        <v>ООО "СК ЭКОСТРОЙ"</v>
      </c>
      <c r="B13141" s="24" t="s">
        <v>3305</v>
      </c>
      <c r="C13141" s="25">
        <v>0</v>
      </c>
      <c r="D13141" s="22" t="s">
        <v>15341</v>
      </c>
      <c r="E13141" s="22" t="s">
        <v>53</v>
      </c>
      <c r="F13141" s="23" t="str">
        <f>HYPERLINK("https://www.spark-marketing.ru/Card/Lot/68459416", "Насадка для забивания стержней заземления")</f>
        <v>Насадка для забивания стержней заземления</v>
      </c>
      <c r="G13141" s="22" t="s">
        <v>204</v>
      </c>
      <c r="H13141" s="22" t="s">
        <v>303</v>
      </c>
      <c r="I13141" s="26">
        <v>43528.697812500002</v>
      </c>
      <c r="J13141" s="28" t="s">
        <v>52</v>
      </c>
      <c r="K13141" s="28" t="s">
        <v>52</v>
      </c>
      <c r="L13141" s="28" t="s">
        <v>52</v>
      </c>
      <c r="M13141" s="28" t="s">
        <v>52</v>
      </c>
      <c r="N13141" s="28" t="s">
        <v>52</v>
      </c>
    </row>
    <row r="13142" spans="1:14" x14ac:dyDescent="0.15">
      <c r="A13142" s="23" t="str">
        <f t="shared" si="679"/>
        <v>ООО "СК ЭКОСТРОЙ"</v>
      </c>
      <c r="B13142" s="24" t="s">
        <v>3305</v>
      </c>
      <c r="C13142" s="25">
        <v>0</v>
      </c>
      <c r="D13142" s="22" t="s">
        <v>15340</v>
      </c>
      <c r="E13142" s="22" t="s">
        <v>53</v>
      </c>
      <c r="F13142" s="23" t="str">
        <f>HYPERLINK("https://www.spark-marketing.ru/Card/Lot/68459905", "Кронштейн 410 мм")</f>
        <v>Кронштейн 410 мм</v>
      </c>
      <c r="G13142" s="22" t="s">
        <v>204</v>
      </c>
      <c r="H13142" s="22" t="s">
        <v>303</v>
      </c>
      <c r="I13142" s="26">
        <v>43528.703506944403</v>
      </c>
      <c r="J13142" s="28" t="s">
        <v>52</v>
      </c>
      <c r="K13142" s="28" t="s">
        <v>52</v>
      </c>
      <c r="L13142" s="28" t="s">
        <v>52</v>
      </c>
      <c r="M13142" s="28" t="s">
        <v>52</v>
      </c>
      <c r="N13142" s="28" t="s">
        <v>52</v>
      </c>
    </row>
    <row r="13143" spans="1:14" x14ac:dyDescent="0.2">
      <c r="A13143" s="23" t="str">
        <f>HYPERLINK("https://www.spark-marketing.ru/Card/Person/100055", "ГБУЗ ""РНД""")</f>
        <v>ГБУЗ "РНД"</v>
      </c>
      <c r="B13143" s="24" t="s">
        <v>15349</v>
      </c>
      <c r="C13143" s="25">
        <v>136152</v>
      </c>
      <c r="D13143" s="22" t="s">
        <v>15350</v>
      </c>
      <c r="E13143" s="22" t="s">
        <v>144</v>
      </c>
      <c r="F13143" s="23" t="str">
        <f>HYPERLINK("https://www.spark-marketing.ru/Card/Lot/68450369", "Услуги по физической охране объекта")</f>
        <v>Услуги по физической охране объекта</v>
      </c>
      <c r="G13143" s="22" t="s">
        <v>435</v>
      </c>
      <c r="H13143" s="22" t="s">
        <v>435</v>
      </c>
      <c r="I13143" s="26">
        <v>43528.674652777801</v>
      </c>
      <c r="J13143" s="23" t="str">
        <f>HYPERLINK("https://www.spark-marketing.ru/Card/Person/114794", "ООО ОХРАННАЯ ОРГАНИЗАЦИЯ ""РУСЬ""")</f>
        <v>ООО ОХРАННАЯ ОРГАНИЗАЦИЯ "РУСЬ"</v>
      </c>
      <c r="K13143" s="24" t="s">
        <v>13798</v>
      </c>
      <c r="L13143" s="28" t="s">
        <v>52</v>
      </c>
      <c r="M13143" s="25">
        <v>136152</v>
      </c>
      <c r="N13143" s="27">
        <v>0</v>
      </c>
    </row>
    <row r="13144" spans="1:14" x14ac:dyDescent="0.15">
      <c r="A13144" s="23" t="str">
        <f t="shared" ref="A13144:A13191" si="680">HYPERLINK("https://www.spark-marketing.ru/Card/Person/1752716", "ООО ""СК ЭКОСТРОЙ""")</f>
        <v>ООО "СК ЭКОСТРОЙ"</v>
      </c>
      <c r="B13144" s="24" t="s">
        <v>3305</v>
      </c>
      <c r="C13144" s="25">
        <v>0</v>
      </c>
      <c r="D13144" s="22" t="s">
        <v>15339</v>
      </c>
      <c r="E13144" s="22" t="s">
        <v>53</v>
      </c>
      <c r="F13144" s="23" t="str">
        <f>HYPERLINK("https://www.spark-marketing.ru/Card/Lot/68458923", "Кабель контрольный с медными жилами с оболочкой и изоляцией из ПВХ-пластиката пониженной горючести, сечением 10х1,0 мм2")</f>
        <v>Кабель контрольный с медными жилами с оболочкой и изоляцией из ПВХ-пластиката пониженной горючести, сечением 10х1,0 мм2</v>
      </c>
      <c r="G13144" s="22" t="s">
        <v>204</v>
      </c>
      <c r="H13144" s="22" t="s">
        <v>303</v>
      </c>
      <c r="I13144" s="26">
        <v>43528.701111111099</v>
      </c>
      <c r="J13144" s="28" t="s">
        <v>52</v>
      </c>
      <c r="K13144" s="28" t="s">
        <v>52</v>
      </c>
      <c r="L13144" s="28" t="s">
        <v>52</v>
      </c>
      <c r="M13144" s="28" t="s">
        <v>52</v>
      </c>
      <c r="N13144" s="28" t="s">
        <v>52</v>
      </c>
    </row>
    <row r="13145" spans="1:14" x14ac:dyDescent="0.15">
      <c r="A13145" s="23" t="str">
        <f t="shared" si="680"/>
        <v>ООО "СК ЭКОСТРОЙ"</v>
      </c>
      <c r="B13145" s="24" t="s">
        <v>3305</v>
      </c>
      <c r="C13145" s="25">
        <v>0</v>
      </c>
      <c r="D13145" s="22" t="s">
        <v>15341</v>
      </c>
      <c r="E13145" s="22" t="s">
        <v>53</v>
      </c>
      <c r="F13145" s="23" t="str">
        <f>HYPERLINK("https://www.spark-marketing.ru/Card/Lot/68459221", "Автоматический выключатель трехфазный I ном=40 А, хар-ка В")</f>
        <v>Автоматический выключатель трехфазный I ном=40 А, хар-ка В</v>
      </c>
      <c r="G13145" s="22" t="s">
        <v>204</v>
      </c>
      <c r="H13145" s="22" t="s">
        <v>303</v>
      </c>
      <c r="I13145" s="26">
        <v>43528.697812500002</v>
      </c>
      <c r="J13145" s="28" t="s">
        <v>52</v>
      </c>
      <c r="K13145" s="28" t="s">
        <v>52</v>
      </c>
      <c r="L13145" s="28" t="s">
        <v>52</v>
      </c>
      <c r="M13145" s="28" t="s">
        <v>52</v>
      </c>
      <c r="N13145" s="28" t="s">
        <v>52</v>
      </c>
    </row>
    <row r="13146" spans="1:14" x14ac:dyDescent="0.15">
      <c r="A13146" s="23" t="str">
        <f t="shared" si="680"/>
        <v>ООО "СК ЭКОСТРОЙ"</v>
      </c>
      <c r="B13146" s="24" t="s">
        <v>3305</v>
      </c>
      <c r="C13146" s="25">
        <v>0</v>
      </c>
      <c r="D13146" s="22" t="s">
        <v>15340</v>
      </c>
      <c r="E13146" s="22" t="s">
        <v>53</v>
      </c>
      <c r="F13146" s="23" t="str">
        <f>HYPERLINK("https://www.spark-marketing.ru/Card/Lot/68459884", "Кабель силовой с медными жилами с изоляцией из ПВХ-пластиката с бронепокровом из стальной оцинкованной ленты, сеч. 5х4,0 мм2")</f>
        <v>Кабель силовой с медными жилами с изоляцией из ПВХ-пластиката с бронепокровом из стальной оцинкованной ленты, сеч. 5х4,0 мм2</v>
      </c>
      <c r="G13146" s="22" t="s">
        <v>204</v>
      </c>
      <c r="H13146" s="22" t="s">
        <v>303</v>
      </c>
      <c r="I13146" s="26">
        <v>43528.703506944403</v>
      </c>
      <c r="J13146" s="28" t="s">
        <v>52</v>
      </c>
      <c r="K13146" s="28" t="s">
        <v>52</v>
      </c>
      <c r="L13146" s="28" t="s">
        <v>52</v>
      </c>
      <c r="M13146" s="28" t="s">
        <v>52</v>
      </c>
      <c r="N13146" s="28" t="s">
        <v>52</v>
      </c>
    </row>
    <row r="13147" spans="1:14" x14ac:dyDescent="0.15">
      <c r="A13147" s="23" t="str">
        <f t="shared" si="680"/>
        <v>ООО "СК ЭКОСТРОЙ"</v>
      </c>
      <c r="B13147" s="24" t="s">
        <v>3305</v>
      </c>
      <c r="C13147" s="25">
        <v>0</v>
      </c>
      <c r="D13147" s="22" t="s">
        <v>15340</v>
      </c>
      <c r="E13147" s="22" t="s">
        <v>53</v>
      </c>
      <c r="F13147" s="23" t="str">
        <f>HYPERLINK("https://www.spark-marketing.ru/Card/Lot/68459896", "Крышка угловой секции 90° 100 мм")</f>
        <v>Крышка угловой секции 90° 100 мм</v>
      </c>
      <c r="G13147" s="22" t="s">
        <v>204</v>
      </c>
      <c r="H13147" s="22" t="s">
        <v>303</v>
      </c>
      <c r="I13147" s="26">
        <v>43528.703506944403</v>
      </c>
      <c r="J13147" s="28" t="s">
        <v>52</v>
      </c>
      <c r="K13147" s="28" t="s">
        <v>52</v>
      </c>
      <c r="L13147" s="28" t="s">
        <v>52</v>
      </c>
      <c r="M13147" s="28" t="s">
        <v>52</v>
      </c>
      <c r="N13147" s="28" t="s">
        <v>52</v>
      </c>
    </row>
    <row r="13148" spans="1:14" x14ac:dyDescent="0.15">
      <c r="A13148" s="23" t="str">
        <f t="shared" si="680"/>
        <v>ООО "СК ЭКОСТРОЙ"</v>
      </c>
      <c r="B13148" s="24" t="s">
        <v>3305</v>
      </c>
      <c r="C13148" s="25">
        <v>0</v>
      </c>
      <c r="D13148" s="22" t="s">
        <v>15341</v>
      </c>
      <c r="E13148" s="22" t="s">
        <v>53</v>
      </c>
      <c r="F13148" s="23" t="str">
        <f>HYPERLINK("https://www.spark-marketing.ru/Card/Lot/68459317", "Стержень резьбовой М8х1000 мм")</f>
        <v>Стержень резьбовой М8х1000 мм</v>
      </c>
      <c r="G13148" s="22" t="s">
        <v>204</v>
      </c>
      <c r="H13148" s="22" t="s">
        <v>303</v>
      </c>
      <c r="I13148" s="26">
        <v>43528.697812500002</v>
      </c>
      <c r="J13148" s="28" t="s">
        <v>52</v>
      </c>
      <c r="K13148" s="28" t="s">
        <v>52</v>
      </c>
      <c r="L13148" s="28" t="s">
        <v>52</v>
      </c>
      <c r="M13148" s="28" t="s">
        <v>52</v>
      </c>
      <c r="N13148" s="28" t="s">
        <v>52</v>
      </c>
    </row>
    <row r="13149" spans="1:14" x14ac:dyDescent="0.15">
      <c r="A13149" s="23" t="str">
        <f t="shared" si="680"/>
        <v>ООО "СК ЭКОСТРОЙ"</v>
      </c>
      <c r="B13149" s="24" t="s">
        <v>3305</v>
      </c>
      <c r="C13149" s="25">
        <v>0</v>
      </c>
      <c r="D13149" s="22" t="s">
        <v>15341</v>
      </c>
      <c r="E13149" s="22" t="s">
        <v>53</v>
      </c>
      <c r="F13149" s="23" t="str">
        <f>HYPERLINK("https://www.spark-marketing.ru/Card/Lot/68459325", "Комплект Болт+Шайба+Гайка М10х120")</f>
        <v>Комплект Болт+Шайба+Гайка М10х120</v>
      </c>
      <c r="G13149" s="22" t="s">
        <v>204</v>
      </c>
      <c r="H13149" s="22" t="s">
        <v>303</v>
      </c>
      <c r="I13149" s="26">
        <v>43528.697812500002</v>
      </c>
      <c r="J13149" s="28" t="s">
        <v>52</v>
      </c>
      <c r="K13149" s="28" t="s">
        <v>52</v>
      </c>
      <c r="L13149" s="28" t="s">
        <v>52</v>
      </c>
      <c r="M13149" s="28" t="s">
        <v>52</v>
      </c>
      <c r="N13149" s="28" t="s">
        <v>52</v>
      </c>
    </row>
    <row r="13150" spans="1:14" x14ac:dyDescent="0.15">
      <c r="A13150" s="23" t="str">
        <f t="shared" si="680"/>
        <v>ООО "СК ЭКОСТРОЙ"</v>
      </c>
      <c r="B13150" s="24" t="s">
        <v>3305</v>
      </c>
      <c r="C13150" s="25">
        <v>0</v>
      </c>
      <c r="D13150" s="22" t="s">
        <v>15341</v>
      </c>
      <c r="E13150" s="22" t="s">
        <v>53</v>
      </c>
      <c r="F13150" s="23" t="str">
        <f>HYPERLINK("https://www.spark-marketing.ru/Card/Lot/68459332", "Т-образное/крестовое соединение 85х100")</f>
        <v>Т-образное/крестовое соединение 85х100</v>
      </c>
      <c r="G13150" s="22" t="s">
        <v>204</v>
      </c>
      <c r="H13150" s="22" t="s">
        <v>303</v>
      </c>
      <c r="I13150" s="26">
        <v>43528.697812500002</v>
      </c>
      <c r="J13150" s="28" t="s">
        <v>52</v>
      </c>
      <c r="K13150" s="28" t="s">
        <v>52</v>
      </c>
      <c r="L13150" s="28" t="s">
        <v>52</v>
      </c>
      <c r="M13150" s="28" t="s">
        <v>52</v>
      </c>
      <c r="N13150" s="28" t="s">
        <v>52</v>
      </c>
    </row>
    <row r="13151" spans="1:14" x14ac:dyDescent="0.15">
      <c r="A13151" s="23" t="str">
        <f t="shared" si="680"/>
        <v>ООО "СК ЭКОСТРОЙ"</v>
      </c>
      <c r="B13151" s="24" t="s">
        <v>3305</v>
      </c>
      <c r="C13151" s="25">
        <v>0</v>
      </c>
      <c r="D13151" s="22" t="s">
        <v>15341</v>
      </c>
      <c r="E13151" s="22" t="s">
        <v>53</v>
      </c>
      <c r="F13151" s="23" t="str">
        <f>HYPERLINK("https://www.spark-marketing.ru/Card/Lot/68459336", "Забивной анкер E, M8х40, сталь, G")</f>
        <v>Забивной анкер E, M8х40, сталь, G</v>
      </c>
      <c r="G13151" s="22" t="s">
        <v>204</v>
      </c>
      <c r="H13151" s="22" t="s">
        <v>303</v>
      </c>
      <c r="I13151" s="26">
        <v>43528.697812500002</v>
      </c>
      <c r="J13151" s="28" t="s">
        <v>52</v>
      </c>
      <c r="K13151" s="28" t="s">
        <v>52</v>
      </c>
      <c r="L13151" s="28" t="s">
        <v>52</v>
      </c>
      <c r="M13151" s="28" t="s">
        <v>52</v>
      </c>
      <c r="N13151" s="28" t="s">
        <v>52</v>
      </c>
    </row>
    <row r="13152" spans="1:14" x14ac:dyDescent="0.15">
      <c r="A13152" s="23" t="str">
        <f t="shared" si="680"/>
        <v>ООО "СК ЭКОСТРОЙ"</v>
      </c>
      <c r="B13152" s="24" t="s">
        <v>3305</v>
      </c>
      <c r="C13152" s="25">
        <v>0</v>
      </c>
      <c r="D13152" s="22" t="s">
        <v>15340</v>
      </c>
      <c r="E13152" s="22" t="s">
        <v>53</v>
      </c>
      <c r="F13152" s="23" t="str">
        <f>HYPERLINK("https://www.spark-marketing.ru/Card/Lot/68459893", "Крышка кабельного листового лотка 100х3000")</f>
        <v>Крышка кабельного листового лотка 100х3000</v>
      </c>
      <c r="G13152" s="22" t="s">
        <v>204</v>
      </c>
      <c r="H13152" s="22" t="s">
        <v>303</v>
      </c>
      <c r="I13152" s="26">
        <v>43528.703506944403</v>
      </c>
      <c r="J13152" s="28" t="s">
        <v>52</v>
      </c>
      <c r="K13152" s="28" t="s">
        <v>52</v>
      </c>
      <c r="L13152" s="28" t="s">
        <v>52</v>
      </c>
      <c r="M13152" s="28" t="s">
        <v>52</v>
      </c>
      <c r="N13152" s="28" t="s">
        <v>52</v>
      </c>
    </row>
    <row r="13153" spans="1:14" x14ac:dyDescent="0.15">
      <c r="A13153" s="23" t="str">
        <f t="shared" si="680"/>
        <v>ООО "СК ЭКОСТРОЙ"</v>
      </c>
      <c r="B13153" s="24" t="s">
        <v>3305</v>
      </c>
      <c r="C13153" s="25">
        <v>0</v>
      </c>
      <c r="D13153" s="22" t="s">
        <v>15340</v>
      </c>
      <c r="E13153" s="22" t="s">
        <v>53</v>
      </c>
      <c r="F13153" s="23" t="str">
        <f>HYPERLINK("https://www.spark-marketing.ru/Card/Lot/68459985", "Траверса для профиля US 7")</f>
        <v>Траверса для профиля US 7</v>
      </c>
      <c r="G13153" s="22" t="s">
        <v>204</v>
      </c>
      <c r="H13153" s="22" t="s">
        <v>303</v>
      </c>
      <c r="I13153" s="26">
        <v>43528.703506944403</v>
      </c>
      <c r="J13153" s="28" t="s">
        <v>52</v>
      </c>
      <c r="K13153" s="28" t="s">
        <v>52</v>
      </c>
      <c r="L13153" s="28" t="s">
        <v>52</v>
      </c>
      <c r="M13153" s="28" t="s">
        <v>52</v>
      </c>
      <c r="N13153" s="28" t="s">
        <v>52</v>
      </c>
    </row>
    <row r="13154" spans="1:14" x14ac:dyDescent="0.15">
      <c r="A13154" s="23" t="str">
        <f t="shared" si="680"/>
        <v>ООО "СК ЭКОСТРОЙ"</v>
      </c>
      <c r="B13154" s="24" t="s">
        <v>3305</v>
      </c>
      <c r="C13154" s="25">
        <v>0</v>
      </c>
      <c r="D13154" s="22" t="s">
        <v>15340</v>
      </c>
      <c r="E13154" s="22" t="s">
        <v>53</v>
      </c>
      <c r="F13154" s="23" t="str">
        <f>HYPERLINK("https://www.spark-marketing.ru/Card/Lot/68459994", "Болт с плоской головкой М 8-35")</f>
        <v>Болт с плоской головкой М 8-35</v>
      </c>
      <c r="G13154" s="22" t="s">
        <v>204</v>
      </c>
      <c r="H13154" s="22" t="s">
        <v>303</v>
      </c>
      <c r="I13154" s="26">
        <v>43528.703506944403</v>
      </c>
      <c r="J13154" s="28" t="s">
        <v>52</v>
      </c>
      <c r="K13154" s="28" t="s">
        <v>52</v>
      </c>
      <c r="L13154" s="28" t="s">
        <v>52</v>
      </c>
      <c r="M13154" s="28" t="s">
        <v>52</v>
      </c>
      <c r="N13154" s="28" t="s">
        <v>52</v>
      </c>
    </row>
    <row r="13155" spans="1:14" x14ac:dyDescent="0.15">
      <c r="A13155" s="23" t="str">
        <f t="shared" si="680"/>
        <v>ООО "СК ЭКОСТРОЙ"</v>
      </c>
      <c r="B13155" s="24" t="s">
        <v>3305</v>
      </c>
      <c r="C13155" s="25">
        <v>0</v>
      </c>
      <c r="D13155" s="22" t="s">
        <v>15340</v>
      </c>
      <c r="E13155" s="22" t="s">
        <v>53</v>
      </c>
      <c r="F13155" s="23" t="str">
        <f>HYPERLINK("https://www.spark-marketing.ru/Card/Lot/68459888", "Кронштейн 110 мм")</f>
        <v>Кронштейн 110 мм</v>
      </c>
      <c r="G13155" s="22" t="s">
        <v>204</v>
      </c>
      <c r="H13155" s="22" t="s">
        <v>303</v>
      </c>
      <c r="I13155" s="26">
        <v>43528.703506944403</v>
      </c>
      <c r="J13155" s="28" t="s">
        <v>52</v>
      </c>
      <c r="K13155" s="28" t="s">
        <v>52</v>
      </c>
      <c r="L13155" s="28" t="s">
        <v>52</v>
      </c>
      <c r="M13155" s="28" t="s">
        <v>52</v>
      </c>
      <c r="N13155" s="28" t="s">
        <v>52</v>
      </c>
    </row>
    <row r="13156" spans="1:14" x14ac:dyDescent="0.15">
      <c r="A13156" s="23" t="str">
        <f t="shared" si="680"/>
        <v>ООО "СК ЭКОСТРОЙ"</v>
      </c>
      <c r="B13156" s="24" t="s">
        <v>3305</v>
      </c>
      <c r="C13156" s="25">
        <v>0</v>
      </c>
      <c r="D13156" s="22" t="s">
        <v>15340</v>
      </c>
      <c r="E13156" s="22" t="s">
        <v>53</v>
      </c>
      <c r="F13156" s="23" t="str">
        <f>HYPERLINK("https://www.spark-marketing.ru/Card/Lot/68459903", "Шарнирный соединитель кабельного листового лотка 60х260")</f>
        <v>Шарнирный соединитель кабельного листового лотка 60х260</v>
      </c>
      <c r="G13156" s="22" t="s">
        <v>204</v>
      </c>
      <c r="H13156" s="22" t="s">
        <v>303</v>
      </c>
      <c r="I13156" s="26">
        <v>43528.703506944403</v>
      </c>
      <c r="J13156" s="28" t="s">
        <v>52</v>
      </c>
      <c r="K13156" s="28" t="s">
        <v>52</v>
      </c>
      <c r="L13156" s="28" t="s">
        <v>52</v>
      </c>
      <c r="M13156" s="28" t="s">
        <v>52</v>
      </c>
      <c r="N13156" s="28" t="s">
        <v>52</v>
      </c>
    </row>
    <row r="13157" spans="1:14" x14ac:dyDescent="0.15">
      <c r="A13157" s="23" t="str">
        <f t="shared" si="680"/>
        <v>ООО "СК ЭКОСТРОЙ"</v>
      </c>
      <c r="B13157" s="24" t="s">
        <v>3305</v>
      </c>
      <c r="C13157" s="25">
        <v>0</v>
      </c>
      <c r="D13157" s="22" t="s">
        <v>15340</v>
      </c>
      <c r="E13157" s="22" t="s">
        <v>53</v>
      </c>
      <c r="F13157" s="23" t="str">
        <f>HYPERLINK("https://www.spark-marketing.ru/Card/Lot/68459914", "Стержень резьбовой М8х1000 мм")</f>
        <v>Стержень резьбовой М8х1000 мм</v>
      </c>
      <c r="G13157" s="22" t="s">
        <v>204</v>
      </c>
      <c r="H13157" s="22" t="s">
        <v>303</v>
      </c>
      <c r="I13157" s="26">
        <v>43528.703506944403</v>
      </c>
      <c r="J13157" s="28" t="s">
        <v>52</v>
      </c>
      <c r="K13157" s="28" t="s">
        <v>52</v>
      </c>
      <c r="L13157" s="28" t="s">
        <v>52</v>
      </c>
      <c r="M13157" s="28" t="s">
        <v>52</v>
      </c>
      <c r="N13157" s="28" t="s">
        <v>52</v>
      </c>
    </row>
    <row r="13158" spans="1:14" x14ac:dyDescent="0.15">
      <c r="A13158" s="23" t="str">
        <f t="shared" si="680"/>
        <v>ООО "СК ЭКОСТРОЙ"</v>
      </c>
      <c r="B13158" s="24" t="s">
        <v>3305</v>
      </c>
      <c r="C13158" s="25">
        <v>0</v>
      </c>
      <c r="D13158" s="22" t="s">
        <v>15339</v>
      </c>
      <c r="E13158" s="22" t="s">
        <v>53</v>
      </c>
      <c r="F13158" s="23" t="str">
        <f>HYPERLINK("https://www.spark-marketing.ru/Card/Lot/68458909", "Контактор модульный Iном-9А на напряжение 380 В")</f>
        <v>Контактор модульный Iном-9А на напряжение 380 В</v>
      </c>
      <c r="G13158" s="22" t="s">
        <v>204</v>
      </c>
      <c r="H13158" s="22" t="s">
        <v>303</v>
      </c>
      <c r="I13158" s="26">
        <v>43528.701111111099</v>
      </c>
      <c r="J13158" s="28" t="s">
        <v>52</v>
      </c>
      <c r="K13158" s="28" t="s">
        <v>52</v>
      </c>
      <c r="L13158" s="28" t="s">
        <v>52</v>
      </c>
      <c r="M13158" s="28" t="s">
        <v>52</v>
      </c>
      <c r="N13158" s="28" t="s">
        <v>52</v>
      </c>
    </row>
    <row r="13159" spans="1:14" x14ac:dyDescent="0.15">
      <c r="A13159" s="23" t="str">
        <f t="shared" si="680"/>
        <v>ООО "СК ЭКОСТРОЙ"</v>
      </c>
      <c r="B13159" s="24" t="s">
        <v>3305</v>
      </c>
      <c r="C13159" s="25">
        <v>0</v>
      </c>
      <c r="D13159" s="22" t="s">
        <v>15339</v>
      </c>
      <c r="E13159" s="22" t="s">
        <v>53</v>
      </c>
      <c r="F13159" s="23" t="str">
        <f>HYPERLINK("https://www.spark-marketing.ru/Card/Lot/68458930", "Разделительная полочка 85х3000")</f>
        <v>Разделительная полочка 85х3000</v>
      </c>
      <c r="G13159" s="22" t="s">
        <v>204</v>
      </c>
      <c r="H13159" s="22" t="s">
        <v>303</v>
      </c>
      <c r="I13159" s="26">
        <v>43528.701111111099</v>
      </c>
      <c r="J13159" s="28" t="s">
        <v>52</v>
      </c>
      <c r="K13159" s="28" t="s">
        <v>52</v>
      </c>
      <c r="L13159" s="28" t="s">
        <v>52</v>
      </c>
      <c r="M13159" s="28" t="s">
        <v>52</v>
      </c>
      <c r="N13159" s="28" t="s">
        <v>52</v>
      </c>
    </row>
    <row r="13160" spans="1:14" x14ac:dyDescent="0.15">
      <c r="A13160" s="23" t="str">
        <f t="shared" si="680"/>
        <v>ООО "СК ЭКОСТРОЙ"</v>
      </c>
      <c r="B13160" s="24" t="s">
        <v>3305</v>
      </c>
      <c r="C13160" s="25">
        <v>0</v>
      </c>
      <c r="D13160" s="22" t="s">
        <v>15339</v>
      </c>
      <c r="E13160" s="22" t="s">
        <v>53</v>
      </c>
      <c r="F13160" s="23" t="str">
        <f>HYPERLINK("https://www.spark-marketing.ru/Card/Lot/68458944", "Сталь полосовая 40х5 мм")</f>
        <v>Сталь полосовая 40х5 мм</v>
      </c>
      <c r="G13160" s="22" t="s">
        <v>204</v>
      </c>
      <c r="H13160" s="22" t="s">
        <v>303</v>
      </c>
      <c r="I13160" s="26">
        <v>43528.701111111099</v>
      </c>
      <c r="J13160" s="28" t="s">
        <v>52</v>
      </c>
      <c r="K13160" s="28" t="s">
        <v>52</v>
      </c>
      <c r="L13160" s="28" t="s">
        <v>52</v>
      </c>
      <c r="M13160" s="28" t="s">
        <v>52</v>
      </c>
      <c r="N13160" s="28" t="s">
        <v>52</v>
      </c>
    </row>
    <row r="13161" spans="1:14" x14ac:dyDescent="0.15">
      <c r="A13161" s="23" t="str">
        <f t="shared" si="680"/>
        <v>ООО "СК ЭКОСТРОЙ"</v>
      </c>
      <c r="B13161" s="24" t="s">
        <v>3305</v>
      </c>
      <c r="C13161" s="25">
        <v>0</v>
      </c>
      <c r="D13161" s="22" t="s">
        <v>15339</v>
      </c>
      <c r="E13161" s="22" t="s">
        <v>53</v>
      </c>
      <c r="F13161" s="23" t="str">
        <f>HYPERLINK("https://www.spark-marketing.ru/Card/Lot/68458946", "Гайка М8")</f>
        <v>Гайка М8</v>
      </c>
      <c r="G13161" s="22" t="s">
        <v>204</v>
      </c>
      <c r="H13161" s="22" t="s">
        <v>303</v>
      </c>
      <c r="I13161" s="26">
        <v>43528.701111111099</v>
      </c>
      <c r="J13161" s="28" t="s">
        <v>52</v>
      </c>
      <c r="K13161" s="28" t="s">
        <v>52</v>
      </c>
      <c r="L13161" s="28" t="s">
        <v>52</v>
      </c>
      <c r="M13161" s="28" t="s">
        <v>52</v>
      </c>
      <c r="N13161" s="28" t="s">
        <v>52</v>
      </c>
    </row>
    <row r="13162" spans="1:14" x14ac:dyDescent="0.15">
      <c r="A13162" s="23" t="str">
        <f t="shared" si="680"/>
        <v>ООО "СК ЭКОСТРОЙ"</v>
      </c>
      <c r="B13162" s="24" t="s">
        <v>3305</v>
      </c>
      <c r="C13162" s="25">
        <v>0</v>
      </c>
      <c r="D13162" s="22" t="s">
        <v>15340</v>
      </c>
      <c r="E13162" s="22" t="s">
        <v>53</v>
      </c>
      <c r="F13162" s="23" t="str">
        <f>HYPERLINK("https://www.spark-marketing.ru/Card/Lot/68458971", "Реле контроля напряжения трехфазный 320-460В АС")</f>
        <v>Реле контроля напряжения трехфазный 320-460В АС</v>
      </c>
      <c r="G13162" s="22" t="s">
        <v>204</v>
      </c>
      <c r="H13162" s="22" t="s">
        <v>303</v>
      </c>
      <c r="I13162" s="26">
        <v>43528.703506944403</v>
      </c>
      <c r="J13162" s="28" t="s">
        <v>52</v>
      </c>
      <c r="K13162" s="28" t="s">
        <v>52</v>
      </c>
      <c r="L13162" s="28" t="s">
        <v>52</v>
      </c>
      <c r="M13162" s="28" t="s">
        <v>52</v>
      </c>
      <c r="N13162" s="28" t="s">
        <v>52</v>
      </c>
    </row>
    <row r="13163" spans="1:14" x14ac:dyDescent="0.15">
      <c r="A13163" s="23" t="str">
        <f t="shared" si="680"/>
        <v>ООО "СК ЭКОСТРОЙ"</v>
      </c>
      <c r="B13163" s="24" t="s">
        <v>3305</v>
      </c>
      <c r="C13163" s="25">
        <v>0</v>
      </c>
      <c r="D13163" s="22" t="s">
        <v>15340</v>
      </c>
      <c r="E13163" s="22" t="s">
        <v>53</v>
      </c>
      <c r="F13163" s="23" t="str">
        <f>HYPERLINK("https://www.spark-marketing.ru/Card/Lot/68458972", "Корпус металлический навесной серии ""Гарант"" IP65 с монтажной панелью, разм. 650х500х220 мм. В составе: - Кабел-канал перфорированный 25х60 мм, шаг перф-ции-10 мм (серия RL6, ИЕК, 3 м); - ограничитель на дин-рейку (металл) (ИЕК, 8 шт); - дин.рейка ...")</f>
        <v>Корпус металлический навесной серии "Гарант" IP65 с монтажной панелью, разм. 650х500х220 мм. В составе: - Кабел-канал перфорированный 25х60 мм, шаг перф-ции-10 мм (серия RL6, ИЕК, 3 м); - ограничитель на дин-рейку (металл) (ИЕК, 8 шт); - дин.рейка ...</v>
      </c>
      <c r="G13163" s="22" t="s">
        <v>204</v>
      </c>
      <c r="H13163" s="22" t="s">
        <v>303</v>
      </c>
      <c r="I13163" s="26">
        <v>43528.703506944403</v>
      </c>
      <c r="J13163" s="28" t="s">
        <v>52</v>
      </c>
      <c r="K13163" s="28" t="s">
        <v>52</v>
      </c>
      <c r="L13163" s="28" t="s">
        <v>52</v>
      </c>
      <c r="M13163" s="28" t="s">
        <v>52</v>
      </c>
      <c r="N13163" s="28" t="s">
        <v>52</v>
      </c>
    </row>
    <row r="13164" spans="1:14" x14ac:dyDescent="0.15">
      <c r="A13164" s="23" t="str">
        <f t="shared" si="680"/>
        <v>ООО "СК ЭКОСТРОЙ"</v>
      </c>
      <c r="B13164" s="24" t="s">
        <v>3305</v>
      </c>
      <c r="C13164" s="25">
        <v>0</v>
      </c>
      <c r="D13164" s="22" t="s">
        <v>15341</v>
      </c>
      <c r="E13164" s="22" t="s">
        <v>53</v>
      </c>
      <c r="F13164" s="23" t="str">
        <f>HYPERLINK("https://www.spark-marketing.ru/Card/Lot/68459225", "Автоматический выключатель однофазный I ном=3 А, хар-ка В")</f>
        <v>Автоматический выключатель однофазный I ном=3 А, хар-ка В</v>
      </c>
      <c r="G13164" s="22" t="s">
        <v>204</v>
      </c>
      <c r="H13164" s="22" t="s">
        <v>303</v>
      </c>
      <c r="I13164" s="26">
        <v>43528.697812500002</v>
      </c>
      <c r="J13164" s="28" t="s">
        <v>52</v>
      </c>
      <c r="K13164" s="28" t="s">
        <v>52</v>
      </c>
      <c r="L13164" s="28" t="s">
        <v>52</v>
      </c>
      <c r="M13164" s="28" t="s">
        <v>52</v>
      </c>
      <c r="N13164" s="28" t="s">
        <v>52</v>
      </c>
    </row>
    <row r="13165" spans="1:14" x14ac:dyDescent="0.15">
      <c r="A13165" s="23" t="str">
        <f t="shared" si="680"/>
        <v>ООО "СК ЭКОСТРОЙ"</v>
      </c>
      <c r="B13165" s="24" t="s">
        <v>3305</v>
      </c>
      <c r="C13165" s="25">
        <v>0</v>
      </c>
      <c r="D13165" s="22" t="s">
        <v>15339</v>
      </c>
      <c r="E13165" s="22" t="s">
        <v>53</v>
      </c>
      <c r="F13165" s="23" t="str">
        <f>HYPERLINK("https://www.spark-marketing.ru/Card/Lot/68458953", "Болт с плоской головкой М 8-35")</f>
        <v>Болт с плоской головкой М 8-35</v>
      </c>
      <c r="G13165" s="22" t="s">
        <v>204</v>
      </c>
      <c r="H13165" s="22" t="s">
        <v>303</v>
      </c>
      <c r="I13165" s="26">
        <v>43528.701111111099</v>
      </c>
      <c r="J13165" s="28" t="s">
        <v>52</v>
      </c>
      <c r="K13165" s="28" t="s">
        <v>52</v>
      </c>
      <c r="L13165" s="28" t="s">
        <v>52</v>
      </c>
      <c r="M13165" s="28" t="s">
        <v>52</v>
      </c>
      <c r="N13165" s="28" t="s">
        <v>52</v>
      </c>
    </row>
    <row r="13166" spans="1:14" x14ac:dyDescent="0.15">
      <c r="A13166" s="23" t="str">
        <f t="shared" si="680"/>
        <v>ООО "СК ЭКОСТРОЙ"</v>
      </c>
      <c r="B13166" s="24" t="s">
        <v>3305</v>
      </c>
      <c r="C13166" s="25">
        <v>0</v>
      </c>
      <c r="D13166" s="22" t="s">
        <v>15340</v>
      </c>
      <c r="E13166" s="22" t="s">
        <v>53</v>
      </c>
      <c r="F13166" s="23" t="str">
        <f>HYPERLINK("https://www.spark-marketing.ru/Card/Lot/68458973", "Кнопка управления 22М двойная +LED 220 В зеленый I-Красный 0 1НО+1 НЗ")</f>
        <v>Кнопка управления 22М двойная +LED 220 В зеленый I-Красный 0 1НО+1 НЗ</v>
      </c>
      <c r="G13166" s="22" t="s">
        <v>204</v>
      </c>
      <c r="H13166" s="22" t="s">
        <v>303</v>
      </c>
      <c r="I13166" s="26">
        <v>43528.703506944403</v>
      </c>
      <c r="J13166" s="28" t="s">
        <v>52</v>
      </c>
      <c r="K13166" s="28" t="s">
        <v>52</v>
      </c>
      <c r="L13166" s="28" t="s">
        <v>52</v>
      </c>
      <c r="M13166" s="28" t="s">
        <v>52</v>
      </c>
      <c r="N13166" s="28" t="s">
        <v>52</v>
      </c>
    </row>
    <row r="13167" spans="1:14" x14ac:dyDescent="0.15">
      <c r="A13167" s="23" t="str">
        <f t="shared" si="680"/>
        <v>ООО "СК ЭКОСТРОЙ"</v>
      </c>
      <c r="B13167" s="24" t="s">
        <v>3305</v>
      </c>
      <c r="C13167" s="25">
        <v>0</v>
      </c>
      <c r="D13167" s="22" t="s">
        <v>15341</v>
      </c>
      <c r="E13167" s="22" t="s">
        <v>53</v>
      </c>
      <c r="F13167" s="23" t="str">
        <f>HYPERLINK("https://www.spark-marketing.ru/Card/Lot/68459220", "Блок автоматического резерва")</f>
        <v>Блок автоматического резерва</v>
      </c>
      <c r="G13167" s="22" t="s">
        <v>204</v>
      </c>
      <c r="H13167" s="22" t="s">
        <v>303</v>
      </c>
      <c r="I13167" s="26">
        <v>43528.697812500002</v>
      </c>
      <c r="J13167" s="28" t="s">
        <v>52</v>
      </c>
      <c r="K13167" s="28" t="s">
        <v>52</v>
      </c>
      <c r="L13167" s="28" t="s">
        <v>52</v>
      </c>
      <c r="M13167" s="28" t="s">
        <v>52</v>
      </c>
      <c r="N13167" s="28" t="s">
        <v>52</v>
      </c>
    </row>
    <row r="13168" spans="1:14" x14ac:dyDescent="0.15">
      <c r="A13168" s="23" t="str">
        <f t="shared" si="680"/>
        <v>ООО "СК ЭКОСТРОЙ"</v>
      </c>
      <c r="B13168" s="24" t="s">
        <v>3305</v>
      </c>
      <c r="C13168" s="25">
        <v>0</v>
      </c>
      <c r="D13168" s="22" t="s">
        <v>15341</v>
      </c>
      <c r="E13168" s="22" t="s">
        <v>53</v>
      </c>
      <c r="F13168" s="23" t="str">
        <f>HYPERLINK("https://www.spark-marketing.ru/Card/Lot/68459222", "Ограничитель инпульсных перенапряжений")</f>
        <v>Ограничитель инпульсных перенапряжений</v>
      </c>
      <c r="G13168" s="22" t="s">
        <v>204</v>
      </c>
      <c r="H13168" s="22" t="s">
        <v>303</v>
      </c>
      <c r="I13168" s="26">
        <v>43528.697812500002</v>
      </c>
      <c r="J13168" s="28" t="s">
        <v>52</v>
      </c>
      <c r="K13168" s="28" t="s">
        <v>52</v>
      </c>
      <c r="L13168" s="28" t="s">
        <v>52</v>
      </c>
      <c r="M13168" s="28" t="s">
        <v>52</v>
      </c>
      <c r="N13168" s="28" t="s">
        <v>52</v>
      </c>
    </row>
    <row r="13169" spans="1:14" x14ac:dyDescent="0.15">
      <c r="A13169" s="23" t="str">
        <f t="shared" si="680"/>
        <v>ООО "СК ЭКОСТРОЙ"</v>
      </c>
      <c r="B13169" s="24" t="s">
        <v>3305</v>
      </c>
      <c r="C13169" s="25">
        <v>0</v>
      </c>
      <c r="D13169" s="22" t="s">
        <v>15341</v>
      </c>
      <c r="E13169" s="22" t="s">
        <v>53</v>
      </c>
      <c r="F13169" s="23" t="str">
        <f>HYPERLINK("https://www.spark-marketing.ru/Card/Lot/68459232", "Кнопка управления ""I-O"" сдвоенная с подсветкой (20 шт)")</f>
        <v>Кнопка управления "I-O" сдвоенная с подсветкой (20 шт)</v>
      </c>
      <c r="G13169" s="22" t="s">
        <v>204</v>
      </c>
      <c r="H13169" s="22" t="s">
        <v>303</v>
      </c>
      <c r="I13169" s="26">
        <v>43528.697812500002</v>
      </c>
      <c r="J13169" s="28" t="s">
        <v>52</v>
      </c>
      <c r="K13169" s="28" t="s">
        <v>52</v>
      </c>
      <c r="L13169" s="28" t="s">
        <v>52</v>
      </c>
      <c r="M13169" s="28" t="s">
        <v>52</v>
      </c>
      <c r="N13169" s="28" t="s">
        <v>52</v>
      </c>
    </row>
    <row r="13170" spans="1:14" x14ac:dyDescent="0.15">
      <c r="A13170" s="23" t="str">
        <f t="shared" si="680"/>
        <v>ООО "СК ЭКОСТРОЙ"</v>
      </c>
      <c r="B13170" s="24" t="s">
        <v>3305</v>
      </c>
      <c r="C13170" s="25">
        <v>0</v>
      </c>
      <c r="D13170" s="22" t="s">
        <v>15341</v>
      </c>
      <c r="E13170" s="22" t="s">
        <v>53</v>
      </c>
      <c r="F13170" s="23" t="str">
        <f>HYPERLINK("https://www.spark-marketing.ru/Card/Lot/68459239", "Кабель силовой с медными жилами с ПВХ-оболочкой и изоляцией, не распространяющий горение, сечением 3х1,5 мм2")</f>
        <v>Кабель силовой с медными жилами с ПВХ-оболочкой и изоляцией, не распространяющий горение, сечением 3х1,5 мм2</v>
      </c>
      <c r="G13170" s="22" t="s">
        <v>204</v>
      </c>
      <c r="H13170" s="22" t="s">
        <v>303</v>
      </c>
      <c r="I13170" s="26">
        <v>43528.697812500002</v>
      </c>
      <c r="J13170" s="28" t="s">
        <v>52</v>
      </c>
      <c r="K13170" s="28" t="s">
        <v>52</v>
      </c>
      <c r="L13170" s="28" t="s">
        <v>52</v>
      </c>
      <c r="M13170" s="28" t="s">
        <v>52</v>
      </c>
      <c r="N13170" s="28" t="s">
        <v>52</v>
      </c>
    </row>
    <row r="13171" spans="1:14" x14ac:dyDescent="0.15">
      <c r="A13171" s="23" t="str">
        <f t="shared" si="680"/>
        <v>ООО "СК ЭКОСТРОЙ"</v>
      </c>
      <c r="B13171" s="24" t="s">
        <v>3305</v>
      </c>
      <c r="C13171" s="25">
        <v>0</v>
      </c>
      <c r="D13171" s="22" t="s">
        <v>15341</v>
      </c>
      <c r="E13171" s="22" t="s">
        <v>53</v>
      </c>
      <c r="F13171" s="23" t="str">
        <f>HYPERLINK("https://www.spark-marketing.ru/Card/Lot/68459321", "Соединитель кабельного листового лотка угловой 85х200")</f>
        <v>Соединитель кабельного листового лотка угловой 85х200</v>
      </c>
      <c r="G13171" s="22" t="s">
        <v>204</v>
      </c>
      <c r="H13171" s="22" t="s">
        <v>303</v>
      </c>
      <c r="I13171" s="26">
        <v>43528.697812500002</v>
      </c>
      <c r="J13171" s="28" t="s">
        <v>52</v>
      </c>
      <c r="K13171" s="28" t="s">
        <v>52</v>
      </c>
      <c r="L13171" s="28" t="s">
        <v>52</v>
      </c>
      <c r="M13171" s="28" t="s">
        <v>52</v>
      </c>
      <c r="N13171" s="28" t="s">
        <v>52</v>
      </c>
    </row>
    <row r="13172" spans="1:14" x14ac:dyDescent="0.15">
      <c r="A13172" s="23" t="str">
        <f t="shared" si="680"/>
        <v>ООО "СК ЭКОСТРОЙ"</v>
      </c>
      <c r="B13172" s="24" t="s">
        <v>3305</v>
      </c>
      <c r="C13172" s="25">
        <v>0</v>
      </c>
      <c r="D13172" s="22" t="s">
        <v>15341</v>
      </c>
      <c r="E13172" s="22" t="s">
        <v>53</v>
      </c>
      <c r="F13172" s="23" t="str">
        <f>HYPERLINK("https://www.spark-marketing.ru/Card/Lot/68459417", "Болт с плоской головкой М 8-35")</f>
        <v>Болт с плоской головкой М 8-35</v>
      </c>
      <c r="G13172" s="22" t="s">
        <v>204</v>
      </c>
      <c r="H13172" s="22" t="s">
        <v>303</v>
      </c>
      <c r="I13172" s="26">
        <v>43528.697812500002</v>
      </c>
      <c r="J13172" s="28" t="s">
        <v>52</v>
      </c>
      <c r="K13172" s="28" t="s">
        <v>52</v>
      </c>
      <c r="L13172" s="28" t="s">
        <v>52</v>
      </c>
      <c r="M13172" s="28" t="s">
        <v>52</v>
      </c>
      <c r="N13172" s="28" t="s">
        <v>52</v>
      </c>
    </row>
    <row r="13173" spans="1:14" x14ac:dyDescent="0.15">
      <c r="A13173" s="23" t="str">
        <f t="shared" si="680"/>
        <v>ООО "СК ЭКОСТРОЙ"</v>
      </c>
      <c r="B13173" s="24" t="s">
        <v>3305</v>
      </c>
      <c r="C13173" s="25">
        <v>0</v>
      </c>
      <c r="D13173" s="22" t="s">
        <v>15340</v>
      </c>
      <c r="E13173" s="22" t="s">
        <v>53</v>
      </c>
      <c r="F13173" s="23" t="str">
        <f>HYPERLINK("https://www.spark-marketing.ru/Card/Lot/68459885", "Кабель силовой с медными жилами с ПВХ-оболочкой и изоляцией, не распространяющий горение, сечением 3х1,5 мм2")</f>
        <v>Кабель силовой с медными жилами с ПВХ-оболочкой и изоляцией, не распространяющий горение, сечением 3х1,5 мм2</v>
      </c>
      <c r="G13173" s="22" t="s">
        <v>204</v>
      </c>
      <c r="H13173" s="22" t="s">
        <v>303</v>
      </c>
      <c r="I13173" s="26">
        <v>43528.703506944403</v>
      </c>
      <c r="J13173" s="28" t="s">
        <v>52</v>
      </c>
      <c r="K13173" s="28" t="s">
        <v>52</v>
      </c>
      <c r="L13173" s="28" t="s">
        <v>52</v>
      </c>
      <c r="M13173" s="28" t="s">
        <v>52</v>
      </c>
      <c r="N13173" s="28" t="s">
        <v>52</v>
      </c>
    </row>
    <row r="13174" spans="1:14" x14ac:dyDescent="0.15">
      <c r="A13174" s="23" t="str">
        <f t="shared" si="680"/>
        <v>ООО "СК ЭКОСТРОЙ"</v>
      </c>
      <c r="B13174" s="24" t="s">
        <v>3305</v>
      </c>
      <c r="C13174" s="25">
        <v>0</v>
      </c>
      <c r="D13174" s="22" t="s">
        <v>15340</v>
      </c>
      <c r="E13174" s="22" t="s">
        <v>53</v>
      </c>
      <c r="F13174" s="23" t="str">
        <f>HYPERLINK("https://www.spark-marketing.ru/Card/Lot/68459909", "Вертикальный угол 90градус.внешний 85х100")</f>
        <v>Вертикальный угол 90градус.внешний 85х100</v>
      </c>
      <c r="G13174" s="22" t="s">
        <v>204</v>
      </c>
      <c r="H13174" s="22" t="s">
        <v>303</v>
      </c>
      <c r="I13174" s="26">
        <v>43528.703506944403</v>
      </c>
      <c r="J13174" s="28" t="s">
        <v>52</v>
      </c>
      <c r="K13174" s="28" t="s">
        <v>52</v>
      </c>
      <c r="L13174" s="28" t="s">
        <v>52</v>
      </c>
      <c r="M13174" s="28" t="s">
        <v>52</v>
      </c>
      <c r="N13174" s="28" t="s">
        <v>52</v>
      </c>
    </row>
    <row r="13175" spans="1:14" x14ac:dyDescent="0.15">
      <c r="A13175" s="23" t="str">
        <f t="shared" si="680"/>
        <v>ООО "СК ЭКОСТРОЙ"</v>
      </c>
      <c r="B13175" s="24" t="s">
        <v>3305</v>
      </c>
      <c r="C13175" s="25">
        <v>0</v>
      </c>
      <c r="D13175" s="22" t="s">
        <v>15340</v>
      </c>
      <c r="E13175" s="22" t="s">
        <v>53</v>
      </c>
      <c r="F13175" s="23" t="str">
        <f>HYPERLINK("https://www.spark-marketing.ru/Card/Lot/68459989", "Соединитель полосы крестовой")</f>
        <v>Соединитель полосы крестовой</v>
      </c>
      <c r="G13175" s="22" t="s">
        <v>204</v>
      </c>
      <c r="H13175" s="22" t="s">
        <v>303</v>
      </c>
      <c r="I13175" s="26">
        <v>43528.703506944403</v>
      </c>
      <c r="J13175" s="28" t="s">
        <v>52</v>
      </c>
      <c r="K13175" s="28" t="s">
        <v>52</v>
      </c>
      <c r="L13175" s="28" t="s">
        <v>52</v>
      </c>
      <c r="M13175" s="28" t="s">
        <v>52</v>
      </c>
      <c r="N13175" s="28" t="s">
        <v>52</v>
      </c>
    </row>
    <row r="13176" spans="1:14" x14ac:dyDescent="0.15">
      <c r="A13176" s="23" t="str">
        <f t="shared" si="680"/>
        <v>ООО "СК ЭКОСТРОЙ"</v>
      </c>
      <c r="B13176" s="24" t="s">
        <v>3305</v>
      </c>
      <c r="C13176" s="25">
        <v>0</v>
      </c>
      <c r="D13176" s="22" t="s">
        <v>15339</v>
      </c>
      <c r="E13176" s="22" t="s">
        <v>53</v>
      </c>
      <c r="F13176" s="23" t="str">
        <f>HYPERLINK("https://www.spark-marketing.ru/Card/Lot/68458906", "Автоматический выключатель трехфазный I ном=25 А, хар-ка В")</f>
        <v>Автоматический выключатель трехфазный I ном=25 А, хар-ка В</v>
      </c>
      <c r="G13176" s="22" t="s">
        <v>204</v>
      </c>
      <c r="H13176" s="22" t="s">
        <v>303</v>
      </c>
      <c r="I13176" s="26">
        <v>43528.701111111099</v>
      </c>
      <c r="J13176" s="28" t="s">
        <v>52</v>
      </c>
      <c r="K13176" s="28" t="s">
        <v>52</v>
      </c>
      <c r="L13176" s="28" t="s">
        <v>52</v>
      </c>
      <c r="M13176" s="28" t="s">
        <v>52</v>
      </c>
      <c r="N13176" s="28" t="s">
        <v>52</v>
      </c>
    </row>
    <row r="13177" spans="1:14" x14ac:dyDescent="0.15">
      <c r="A13177" s="23" t="str">
        <f t="shared" si="680"/>
        <v>ООО "СК ЭКОСТРОЙ"</v>
      </c>
      <c r="B13177" s="24" t="s">
        <v>3305</v>
      </c>
      <c r="C13177" s="25">
        <v>0</v>
      </c>
      <c r="D13177" s="22" t="s">
        <v>15339</v>
      </c>
      <c r="E13177" s="22" t="s">
        <v>53</v>
      </c>
      <c r="F13177" s="23" t="str">
        <f>HYPERLINK("https://www.spark-marketing.ru/Card/Lot/68458920", "Кабель силовой с медными жилами с изоляцией из ПВХ-пластиката с бронепокровом из стальной оцинкованной ленты, сеч. 5х4,0 мм2")</f>
        <v>Кабель силовой с медными жилами с изоляцией из ПВХ-пластиката с бронепокровом из стальной оцинкованной ленты, сеч. 5х4,0 мм2</v>
      </c>
      <c r="G13177" s="22" t="s">
        <v>204</v>
      </c>
      <c r="H13177" s="22" t="s">
        <v>303</v>
      </c>
      <c r="I13177" s="26">
        <v>43528.701111111099</v>
      </c>
      <c r="J13177" s="28" t="s">
        <v>52</v>
      </c>
      <c r="K13177" s="28" t="s">
        <v>52</v>
      </c>
      <c r="L13177" s="28" t="s">
        <v>52</v>
      </c>
      <c r="M13177" s="28" t="s">
        <v>52</v>
      </c>
      <c r="N13177" s="28" t="s">
        <v>52</v>
      </c>
    </row>
    <row r="13178" spans="1:14" x14ac:dyDescent="0.15">
      <c r="A13178" s="23" t="str">
        <f t="shared" si="680"/>
        <v>ООО "СК ЭКОСТРОЙ"</v>
      </c>
      <c r="B13178" s="24" t="s">
        <v>3305</v>
      </c>
      <c r="C13178" s="25">
        <v>0</v>
      </c>
      <c r="D13178" s="22" t="s">
        <v>15339</v>
      </c>
      <c r="E13178" s="22" t="s">
        <v>53</v>
      </c>
      <c r="F13178" s="23" t="str">
        <f>HYPERLINK("https://www.spark-marketing.ru/Card/Lot/68458931", "Соединитель кабельного листового лотка угловой 85х200")</f>
        <v>Соединитель кабельного листового лотка угловой 85х200</v>
      </c>
      <c r="G13178" s="22" t="s">
        <v>204</v>
      </c>
      <c r="H13178" s="22" t="s">
        <v>303</v>
      </c>
      <c r="I13178" s="26">
        <v>43528.701111111099</v>
      </c>
      <c r="J13178" s="28" t="s">
        <v>52</v>
      </c>
      <c r="K13178" s="28" t="s">
        <v>52</v>
      </c>
      <c r="L13178" s="28" t="s">
        <v>52</v>
      </c>
      <c r="M13178" s="28" t="s">
        <v>52</v>
      </c>
      <c r="N13178" s="28" t="s">
        <v>52</v>
      </c>
    </row>
    <row r="13179" spans="1:14" x14ac:dyDescent="0.15">
      <c r="A13179" s="23" t="str">
        <f t="shared" si="680"/>
        <v>ООО "СК ЭКОСТРОЙ"</v>
      </c>
      <c r="B13179" s="24" t="s">
        <v>3305</v>
      </c>
      <c r="C13179" s="25">
        <v>0</v>
      </c>
      <c r="D13179" s="22" t="s">
        <v>15341</v>
      </c>
      <c r="E13179" s="22" t="s">
        <v>53</v>
      </c>
      <c r="F13179" s="23" t="str">
        <f>HYPERLINK("https://www.spark-marketing.ru/Card/Lot/68459339", "Труба полиэтиленовая d=100 мм")</f>
        <v>Труба полиэтиленовая d=100 мм</v>
      </c>
      <c r="G13179" s="22" t="s">
        <v>204</v>
      </c>
      <c r="H13179" s="22" t="s">
        <v>303</v>
      </c>
      <c r="I13179" s="26">
        <v>43528.697812500002</v>
      </c>
      <c r="J13179" s="28" t="s">
        <v>52</v>
      </c>
      <c r="K13179" s="28" t="s">
        <v>52</v>
      </c>
      <c r="L13179" s="28" t="s">
        <v>52</v>
      </c>
      <c r="M13179" s="28" t="s">
        <v>52</v>
      </c>
      <c r="N13179" s="28" t="s">
        <v>52</v>
      </c>
    </row>
    <row r="13180" spans="1:14" x14ac:dyDescent="0.15">
      <c r="A13180" s="23" t="str">
        <f t="shared" si="680"/>
        <v>ООО "СК ЭКОСТРОЙ"</v>
      </c>
      <c r="B13180" s="24" t="s">
        <v>3305</v>
      </c>
      <c r="C13180" s="25">
        <v>0</v>
      </c>
      <c r="D13180" s="22" t="s">
        <v>15341</v>
      </c>
      <c r="E13180" s="22" t="s">
        <v>53</v>
      </c>
      <c r="F13180" s="23" t="str">
        <f>HYPERLINK("https://www.spark-marketing.ru/Card/Lot/68459419", "Устройство контроля доступа и наличия напряжения")</f>
        <v>Устройство контроля доступа и наличия напряжения</v>
      </c>
      <c r="G13180" s="22" t="s">
        <v>204</v>
      </c>
      <c r="H13180" s="22" t="s">
        <v>303</v>
      </c>
      <c r="I13180" s="26">
        <v>43528.697812500002</v>
      </c>
      <c r="J13180" s="28" t="s">
        <v>52</v>
      </c>
      <c r="K13180" s="28" t="s">
        <v>52</v>
      </c>
      <c r="L13180" s="28" t="s">
        <v>52</v>
      </c>
      <c r="M13180" s="28" t="s">
        <v>52</v>
      </c>
      <c r="N13180" s="28" t="s">
        <v>52</v>
      </c>
    </row>
    <row r="13181" spans="1:14" x14ac:dyDescent="0.15">
      <c r="A13181" s="23" t="str">
        <f t="shared" si="680"/>
        <v>ООО "СК ЭКОСТРОЙ"</v>
      </c>
      <c r="B13181" s="24" t="s">
        <v>3305</v>
      </c>
      <c r="C13181" s="25">
        <v>0</v>
      </c>
      <c r="D13181" s="22" t="s">
        <v>15341</v>
      </c>
      <c r="E13181" s="22" t="s">
        <v>53</v>
      </c>
      <c r="F13181" s="23" t="str">
        <f>HYPERLINK("https://www.spark-marketing.ru/Card/Lot/68459313", "Коробка распределительная для открытого монтажа IP66 из УФ-стабилизированного термопласта. Разм.285х201х120 мм. В составе: - Автоматический выключатель однофазный I ном=10 А, хар-ка В (ВА 47-29 1 Р 10 А, ИЕК, 2 шт); - сжим ответвительный 4-10 мм/1,0-...")</f>
        <v>Коробка распределительная для открытого монтажа IP66 из УФ-стабилизированного термопласта. Разм.285х201х120 мм. В составе: - Автоматический выключатель однофазный I ном=10 А, хар-ка В (ВА 47-29 1 Р 10 А, ИЕК, 2 шт); - сжим ответвительный 4-10 мм/1,0-...</v>
      </c>
      <c r="G13181" s="22" t="s">
        <v>204</v>
      </c>
      <c r="H13181" s="22" t="s">
        <v>303</v>
      </c>
      <c r="I13181" s="26">
        <v>43528.697812500002</v>
      </c>
      <c r="J13181" s="28" t="s">
        <v>52</v>
      </c>
      <c r="K13181" s="28" t="s">
        <v>52</v>
      </c>
      <c r="L13181" s="28" t="s">
        <v>52</v>
      </c>
      <c r="M13181" s="28" t="s">
        <v>52</v>
      </c>
      <c r="N13181" s="28" t="s">
        <v>52</v>
      </c>
    </row>
    <row r="13182" spans="1:14" x14ac:dyDescent="0.15">
      <c r="A13182" s="23" t="str">
        <f t="shared" si="680"/>
        <v>ООО "СК ЭКОСТРОЙ"</v>
      </c>
      <c r="B13182" s="24" t="s">
        <v>3305</v>
      </c>
      <c r="C13182" s="25">
        <v>0</v>
      </c>
      <c r="D13182" s="22" t="s">
        <v>15340</v>
      </c>
      <c r="E13182" s="22" t="s">
        <v>53</v>
      </c>
      <c r="F13182" s="23" t="str">
        <f>HYPERLINK("https://www.spark-marketing.ru/Card/Lot/68458970", "Заглушка для ЗНИ-10мм2 (JXB70A) серый (20шт)")</f>
        <v>Заглушка для ЗНИ-10мм2 (JXB70A) серый (20шт)</v>
      </c>
      <c r="G13182" s="22" t="s">
        <v>204</v>
      </c>
      <c r="H13182" s="22" t="s">
        <v>303</v>
      </c>
      <c r="I13182" s="26">
        <v>43528.703506944403</v>
      </c>
      <c r="J13182" s="28" t="s">
        <v>52</v>
      </c>
      <c r="K13182" s="28" t="s">
        <v>52</v>
      </c>
      <c r="L13182" s="28" t="s">
        <v>52</v>
      </c>
      <c r="M13182" s="28" t="s">
        <v>52</v>
      </c>
      <c r="N13182" s="28" t="s">
        <v>52</v>
      </c>
    </row>
    <row r="13183" spans="1:14" x14ac:dyDescent="0.15">
      <c r="A13183" s="23" t="str">
        <f t="shared" si="680"/>
        <v>ООО "СК ЭКОСТРОЙ"</v>
      </c>
      <c r="B13183" s="24" t="s">
        <v>3305</v>
      </c>
      <c r="C13183" s="25">
        <v>0</v>
      </c>
      <c r="D13183" s="22" t="s">
        <v>15339</v>
      </c>
      <c r="E13183" s="22" t="s">
        <v>53</v>
      </c>
      <c r="F13183" s="23" t="str">
        <f>HYPERLINK("https://www.spark-marketing.ru/Card/Lot/68458907", "Автоматический выключатель однофазный I ном=3 А, хар-ка В")</f>
        <v>Автоматический выключатель однофазный I ном=3 А, хар-ка В</v>
      </c>
      <c r="G13183" s="22" t="s">
        <v>204</v>
      </c>
      <c r="H13183" s="22" t="s">
        <v>303</v>
      </c>
      <c r="I13183" s="26">
        <v>43528.701111111099</v>
      </c>
      <c r="J13183" s="28" t="s">
        <v>52</v>
      </c>
      <c r="K13183" s="28" t="s">
        <v>52</v>
      </c>
      <c r="L13183" s="28" t="s">
        <v>52</v>
      </c>
      <c r="M13183" s="28" t="s">
        <v>52</v>
      </c>
      <c r="N13183" s="28" t="s">
        <v>52</v>
      </c>
    </row>
    <row r="13184" spans="1:14" x14ac:dyDescent="0.15">
      <c r="A13184" s="23" t="str">
        <f t="shared" si="680"/>
        <v>ООО "СК ЭКОСТРОЙ"</v>
      </c>
      <c r="B13184" s="24" t="s">
        <v>3305</v>
      </c>
      <c r="C13184" s="25">
        <v>0</v>
      </c>
      <c r="D13184" s="22" t="s">
        <v>15339</v>
      </c>
      <c r="E13184" s="22" t="s">
        <v>53</v>
      </c>
      <c r="F13184" s="23" t="str">
        <f>HYPERLINK("https://www.spark-marketing.ru/Card/Lot/68458911", "Фотореле U=380В в комплекте с кабелем 30 м для фотоэлемента")</f>
        <v>Фотореле U=380В в комплекте с кабелем 30 м для фотоэлемента</v>
      </c>
      <c r="G13184" s="22" t="s">
        <v>204</v>
      </c>
      <c r="H13184" s="22" t="s">
        <v>303</v>
      </c>
      <c r="I13184" s="26">
        <v>43528.701111111099</v>
      </c>
      <c r="J13184" s="28" t="s">
        <v>52</v>
      </c>
      <c r="K13184" s="28" t="s">
        <v>52</v>
      </c>
      <c r="L13184" s="28" t="s">
        <v>52</v>
      </c>
      <c r="M13184" s="28" t="s">
        <v>52</v>
      </c>
      <c r="N13184" s="28" t="s">
        <v>52</v>
      </c>
    </row>
    <row r="13185" spans="1:14" x14ac:dyDescent="0.15">
      <c r="A13185" s="23" t="str">
        <f t="shared" si="680"/>
        <v>ООО "СК ЭКОСТРОЙ"</v>
      </c>
      <c r="B13185" s="24" t="s">
        <v>3305</v>
      </c>
      <c r="C13185" s="25">
        <v>0</v>
      </c>
      <c r="D13185" s="22" t="s">
        <v>15339</v>
      </c>
      <c r="E13185" s="22" t="s">
        <v>53</v>
      </c>
      <c r="F13185" s="23" t="str">
        <f>HYPERLINK("https://www.spark-marketing.ru/Card/Lot/68458935", "Комплект Болт+Шайба+Гайка М10х120")</f>
        <v>Комплект Болт+Шайба+Гайка М10х120</v>
      </c>
      <c r="G13185" s="22" t="s">
        <v>204</v>
      </c>
      <c r="H13185" s="22" t="s">
        <v>303</v>
      </c>
      <c r="I13185" s="26">
        <v>43528.701111111099</v>
      </c>
      <c r="J13185" s="28" t="s">
        <v>52</v>
      </c>
      <c r="K13185" s="28" t="s">
        <v>52</v>
      </c>
      <c r="L13185" s="28" t="s">
        <v>52</v>
      </c>
      <c r="M13185" s="28" t="s">
        <v>52</v>
      </c>
      <c r="N13185" s="28" t="s">
        <v>52</v>
      </c>
    </row>
    <row r="13186" spans="1:14" x14ac:dyDescent="0.15">
      <c r="A13186" s="23" t="str">
        <f t="shared" si="680"/>
        <v>ООО "СК ЭКОСТРОЙ"</v>
      </c>
      <c r="B13186" s="24" t="s">
        <v>3305</v>
      </c>
      <c r="C13186" s="25">
        <v>0</v>
      </c>
      <c r="D13186" s="22" t="s">
        <v>15341</v>
      </c>
      <c r="E13186" s="22" t="s">
        <v>53</v>
      </c>
      <c r="F13186" s="23" t="str">
        <f>HYPERLINK("https://www.spark-marketing.ru/Card/Lot/68459229", "Фотореле U=380В в комплекте с кабелем 5 м для фотоэлемента")</f>
        <v>Фотореле U=380В в комплекте с кабелем 5 м для фотоэлемента</v>
      </c>
      <c r="G13186" s="22" t="s">
        <v>204</v>
      </c>
      <c r="H13186" s="22" t="s">
        <v>303</v>
      </c>
      <c r="I13186" s="26">
        <v>43528.697812500002</v>
      </c>
      <c r="J13186" s="28" t="s">
        <v>52</v>
      </c>
      <c r="K13186" s="28" t="s">
        <v>52</v>
      </c>
      <c r="L13186" s="28" t="s">
        <v>52</v>
      </c>
      <c r="M13186" s="28" t="s">
        <v>52</v>
      </c>
      <c r="N13186" s="28" t="s">
        <v>52</v>
      </c>
    </row>
    <row r="13187" spans="1:14" x14ac:dyDescent="0.15">
      <c r="A13187" s="23" t="str">
        <f t="shared" si="680"/>
        <v>ООО "СК ЭКОСТРОЙ"</v>
      </c>
      <c r="B13187" s="24" t="s">
        <v>3305</v>
      </c>
      <c r="C13187" s="25">
        <v>0</v>
      </c>
      <c r="D13187" s="22" t="s">
        <v>15341</v>
      </c>
      <c r="E13187" s="22" t="s">
        <v>53</v>
      </c>
      <c r="F13187" s="23" t="str">
        <f>HYPERLINK("https://www.spark-marketing.ru/Card/Lot/68459237", "Кабель силовой с медными жилами с ПВХ-оболочкой и изоляцией, не распространяющий горение, сечением 5х10,0 мм2")</f>
        <v>Кабель силовой с медными жилами с ПВХ-оболочкой и изоляцией, не распространяющий горение, сечением 5х10,0 мм2</v>
      </c>
      <c r="G13187" s="22" t="s">
        <v>204</v>
      </c>
      <c r="H13187" s="22" t="s">
        <v>303</v>
      </c>
      <c r="I13187" s="26">
        <v>43528.697812500002</v>
      </c>
      <c r="J13187" s="28" t="s">
        <v>52</v>
      </c>
      <c r="K13187" s="28" t="s">
        <v>52</v>
      </c>
      <c r="L13187" s="28" t="s">
        <v>52</v>
      </c>
      <c r="M13187" s="28" t="s">
        <v>52</v>
      </c>
      <c r="N13187" s="28" t="s">
        <v>52</v>
      </c>
    </row>
    <row r="13188" spans="1:14" x14ac:dyDescent="0.15">
      <c r="A13188" s="23" t="str">
        <f t="shared" si="680"/>
        <v>ООО "СК ЭКОСТРОЙ"</v>
      </c>
      <c r="B13188" s="24" t="s">
        <v>3305</v>
      </c>
      <c r="C13188" s="25">
        <v>0</v>
      </c>
      <c r="D13188" s="22" t="s">
        <v>15341</v>
      </c>
      <c r="E13188" s="22" t="s">
        <v>53</v>
      </c>
      <c r="F13188" s="23" t="str">
        <f>HYPERLINK("https://www.spark-marketing.ru/Card/Lot/68459323", "Болт с плоской головкой М6х12")</f>
        <v>Болт с плоской головкой М6х12</v>
      </c>
      <c r="G13188" s="22" t="s">
        <v>204</v>
      </c>
      <c r="H13188" s="22" t="s">
        <v>303</v>
      </c>
      <c r="I13188" s="26">
        <v>43528.697812500002</v>
      </c>
      <c r="J13188" s="28" t="s">
        <v>52</v>
      </c>
      <c r="K13188" s="28" t="s">
        <v>52</v>
      </c>
      <c r="L13188" s="28" t="s">
        <v>52</v>
      </c>
      <c r="M13188" s="28" t="s">
        <v>52</v>
      </c>
      <c r="N13188" s="28" t="s">
        <v>52</v>
      </c>
    </row>
    <row r="13189" spans="1:14" x14ac:dyDescent="0.15">
      <c r="A13189" s="23" t="str">
        <f t="shared" si="680"/>
        <v>ООО "СК ЭКОСТРОЙ"</v>
      </c>
      <c r="B13189" s="24" t="s">
        <v>3305</v>
      </c>
      <c r="C13189" s="25">
        <v>0</v>
      </c>
      <c r="D13189" s="22" t="s">
        <v>15341</v>
      </c>
      <c r="E13189" s="22" t="s">
        <v>53</v>
      </c>
      <c r="F13189" s="23" t="str">
        <f>HYPERLINK("https://www.spark-marketing.ru/Card/Lot/68459327", "Крышка угловой секции 90° 100 мм")</f>
        <v>Крышка угловой секции 90° 100 мм</v>
      </c>
      <c r="G13189" s="22" t="s">
        <v>204</v>
      </c>
      <c r="H13189" s="22" t="s">
        <v>303</v>
      </c>
      <c r="I13189" s="26">
        <v>43528.697812500002</v>
      </c>
      <c r="J13189" s="28" t="s">
        <v>52</v>
      </c>
      <c r="K13189" s="28" t="s">
        <v>52</v>
      </c>
      <c r="L13189" s="28" t="s">
        <v>52</v>
      </c>
      <c r="M13189" s="28" t="s">
        <v>52</v>
      </c>
      <c r="N13189" s="28" t="s">
        <v>52</v>
      </c>
    </row>
    <row r="13190" spans="1:14" x14ac:dyDescent="0.15">
      <c r="A13190" s="23" t="str">
        <f t="shared" si="680"/>
        <v>ООО "СК ЭКОСТРОЙ"</v>
      </c>
      <c r="B13190" s="24" t="s">
        <v>3305</v>
      </c>
      <c r="C13190" s="25">
        <v>0</v>
      </c>
      <c r="D13190" s="22" t="s">
        <v>15340</v>
      </c>
      <c r="E13190" s="22" t="s">
        <v>53</v>
      </c>
      <c r="F13190" s="23" t="str">
        <f>HYPERLINK("https://www.spark-marketing.ru/Card/Lot/68459886", "Кабель контрольный с медными жилами с оболочкой и изоляцией из ПВХ-пластиката пониженной горючести, сечением 10х1,0 мм2")</f>
        <v>Кабель контрольный с медными жилами с оболочкой и изоляцией из ПВХ-пластиката пониженной горючести, сечением 10х1,0 мм2</v>
      </c>
      <c r="G13190" s="22" t="s">
        <v>204</v>
      </c>
      <c r="H13190" s="22" t="s">
        <v>303</v>
      </c>
      <c r="I13190" s="26">
        <v>43528.703506944403</v>
      </c>
      <c r="J13190" s="28" t="s">
        <v>52</v>
      </c>
      <c r="K13190" s="28" t="s">
        <v>52</v>
      </c>
      <c r="L13190" s="28" t="s">
        <v>52</v>
      </c>
      <c r="M13190" s="28" t="s">
        <v>52</v>
      </c>
      <c r="N13190" s="28" t="s">
        <v>52</v>
      </c>
    </row>
    <row r="13191" spans="1:14" x14ac:dyDescent="0.15">
      <c r="A13191" s="23" t="str">
        <f t="shared" si="680"/>
        <v>ООО "СК ЭКОСТРОЙ"</v>
      </c>
      <c r="B13191" s="24" t="s">
        <v>3305</v>
      </c>
      <c r="C13191" s="25">
        <v>0</v>
      </c>
      <c r="D13191" s="22" t="s">
        <v>15340</v>
      </c>
      <c r="E13191" s="22" t="s">
        <v>53</v>
      </c>
      <c r="F13191" s="23" t="str">
        <f>HYPERLINK("https://www.spark-marketing.ru/Card/Lot/68459992", "Наконечник стержня заземления")</f>
        <v>Наконечник стержня заземления</v>
      </c>
      <c r="G13191" s="22" t="s">
        <v>204</v>
      </c>
      <c r="H13191" s="22" t="s">
        <v>303</v>
      </c>
      <c r="I13191" s="26">
        <v>43528.703506944403</v>
      </c>
      <c r="J13191" s="28" t="s">
        <v>52</v>
      </c>
      <c r="K13191" s="28" t="s">
        <v>52</v>
      </c>
      <c r="L13191" s="28" t="s">
        <v>52</v>
      </c>
      <c r="M13191" s="28" t="s">
        <v>52</v>
      </c>
      <c r="N13191" s="28" t="s">
        <v>52</v>
      </c>
    </row>
    <row r="13192" spans="1:14" x14ac:dyDescent="0.15">
      <c r="A13192" s="23" t="str">
        <f>HYPERLINK("https://www.spark-marketing.ru/Card/Person/638813", "МУП ""ТО УТВИВ №1"" МО СР")</f>
        <v>МУП "ТО УТВИВ №1" МО СР</v>
      </c>
      <c r="B13192" s="24" t="s">
        <v>15351</v>
      </c>
      <c r="C13192" s="25">
        <v>75500</v>
      </c>
      <c r="D13192" s="22" t="s">
        <v>15352</v>
      </c>
      <c r="E13192" s="22" t="s">
        <v>68</v>
      </c>
      <c r="F13192" s="23" t="str">
        <f>HYPERLINK("https://www.spark-marketing.ru/Card/Lot/68448350", "Оказание охранных услуг с использованием пульта централизованного наблюдения здания административно-бытового комплекса находящегося в п.г.т. Белый Яр ул. Совхозная 33а")</f>
        <v>Оказание охранных услуг с использованием пульта централизованного наблюдения здания административно-бытового комплекса находящегося в п.г.т. Белый Яр ул. Совхозная 33а</v>
      </c>
      <c r="G13192" s="22" t="s">
        <v>119</v>
      </c>
      <c r="H13192" s="22" t="s">
        <v>416</v>
      </c>
      <c r="I13192" s="26">
        <v>43528.657638888901</v>
      </c>
      <c r="J13192" s="28" t="s">
        <v>52</v>
      </c>
      <c r="K13192" s="28" t="s">
        <v>52</v>
      </c>
      <c r="L13192" s="28" t="s">
        <v>52</v>
      </c>
      <c r="M13192" s="28" t="s">
        <v>52</v>
      </c>
      <c r="N13192" s="28" t="s">
        <v>52</v>
      </c>
    </row>
    <row r="13193" spans="1:14" x14ac:dyDescent="0.15">
      <c r="A13193" s="23" t="str">
        <f>HYPERLINK("https://www.spark-marketing.ru/Card/Person/784514", "ФГБОУ ВО РОСТГМУ МИНЗДРАВА РОССИИ")</f>
        <v>ФГБОУ ВО РОСТГМУ МИНЗДРАВА РОССИИ</v>
      </c>
      <c r="B13193" s="24" t="s">
        <v>15353</v>
      </c>
      <c r="C13193" s="25">
        <v>317423.40000000002</v>
      </c>
      <c r="D13193" s="22" t="s">
        <v>15354</v>
      </c>
      <c r="E13193" s="22" t="s">
        <v>68</v>
      </c>
      <c r="F13193" s="23" t="str">
        <f>HYPERLINK("https://www.spark-marketing.ru/Card/Lot/68450669", "Оказание услуг по обеспечению охраны объектов с помощью комплекса технических средств охранной сигнализации, подключенных к ПЦО")</f>
        <v>Оказание услуг по обеспечению охраны объектов с помощью комплекса технических средств охранной сигнализации, подключенных к ПЦО</v>
      </c>
      <c r="G13193" s="22" t="s">
        <v>402</v>
      </c>
      <c r="H13193" s="22" t="s">
        <v>403</v>
      </c>
      <c r="I13193" s="26">
        <v>43528.645138888904</v>
      </c>
      <c r="J13193" s="28" t="s">
        <v>52</v>
      </c>
      <c r="K13193" s="28" t="s">
        <v>52</v>
      </c>
      <c r="L13193" s="28" t="s">
        <v>52</v>
      </c>
      <c r="M13193" s="28" t="s">
        <v>52</v>
      </c>
      <c r="N13193" s="28" t="s">
        <v>52</v>
      </c>
    </row>
    <row r="13194" spans="1:14" x14ac:dyDescent="0.2">
      <c r="A13194" s="23" t="str">
        <f>HYPERLINK("https://www.spark-marketing.ru/Card/Person/128923", "ГБУ ПО СШОР ВОДНЫХ ВИДОВ СПОРТА")</f>
        <v>ГБУ ПО СШОР ВОДНЫХ ВИДОВ СПОРТА</v>
      </c>
      <c r="B13194" s="24" t="s">
        <v>15355</v>
      </c>
      <c r="C13194" s="25">
        <v>115000</v>
      </c>
      <c r="D13194" s="22" t="s">
        <v>15356</v>
      </c>
      <c r="E13194" s="22" t="s">
        <v>9565</v>
      </c>
      <c r="F13194" s="23" t="str">
        <f>HYPERLINK("https://www.spark-marketing.ru/Card/Lot/68448788", "Техническое обслуживание системы охранной сигнализации, системы контроля и управления доступом и системы видеонаблюдения")</f>
        <v>Техническое обслуживание системы охранной сигнализации, системы контроля и управления доступом и системы видеонаблюдения</v>
      </c>
      <c r="G13194" s="22" t="s">
        <v>514</v>
      </c>
      <c r="H13194" s="22" t="s">
        <v>514</v>
      </c>
      <c r="I13194" s="26">
        <v>43528.6347453704</v>
      </c>
      <c r="J13194" s="23" t="str">
        <f>HYPERLINK("https://www.spark-marketing.ru/Card/Person/4632447", "Крылов Виктор Анатольевич")</f>
        <v>Крылов Виктор Анатольевич</v>
      </c>
      <c r="K13194" s="24" t="s">
        <v>15357</v>
      </c>
      <c r="L13194" s="28" t="s">
        <v>52</v>
      </c>
      <c r="M13194" s="25">
        <v>115000</v>
      </c>
      <c r="N13194" s="27">
        <v>0</v>
      </c>
    </row>
    <row r="13195" spans="1:14" x14ac:dyDescent="0.15">
      <c r="A13195" s="23" t="str">
        <f>HYPERLINK("https://www.spark-marketing.ru/Card/Person/4348805", "АО ""ИНТЕР РАО-ЭЛЕКТРОГЕНЕРАЦИЯ""")</f>
        <v>АО "ИНТЕР РАО-ЭЛЕКТРОГЕНЕРАЦИЯ"</v>
      </c>
      <c r="B13195" s="24" t="s">
        <v>11062</v>
      </c>
      <c r="C13195" s="25">
        <v>6863572.2999999998</v>
      </c>
      <c r="D13195" s="22" t="s">
        <v>15358</v>
      </c>
      <c r="E13195" s="22" t="s">
        <v>15359</v>
      </c>
      <c r="F13195" s="23" t="str">
        <f>HYPERLINK("https://www.spark-marketing.ru/Card/Lot/68449282", "Охрана некатегорированных объектов для Каширской ГРЭС")</f>
        <v>Охрана некатегорированных объектов для Каширской ГРЭС</v>
      </c>
      <c r="G13195" s="22" t="s">
        <v>55</v>
      </c>
      <c r="H13195" s="22" t="s">
        <v>55</v>
      </c>
      <c r="I13195" s="26">
        <v>43528.662962962997</v>
      </c>
      <c r="J13195" s="28" t="s">
        <v>52</v>
      </c>
      <c r="K13195" s="28" t="s">
        <v>52</v>
      </c>
      <c r="L13195" s="28" t="s">
        <v>52</v>
      </c>
      <c r="M13195" s="28" t="s">
        <v>52</v>
      </c>
      <c r="N13195" s="28" t="s">
        <v>52</v>
      </c>
    </row>
    <row r="13196" spans="1:14" hidden="1" outlineLevel="1" x14ac:dyDescent="0.2">
      <c r="A13196" s="23" t="str">
        <f>HYPERLINK("https://www.spark-marketing.ru/Card/Person/4348805", "АО ""ИНТЕР РАО-ЭЛЕКТРОГЕНЕРАЦИЯ""")</f>
        <v>АО "ИНТЕР РАО-ЭЛЕКТРОГЕНЕРАЦИЯ"</v>
      </c>
      <c r="B13196" s="24" t="s">
        <v>11062</v>
      </c>
      <c r="C13196" s="28" t="s">
        <v>52</v>
      </c>
      <c r="D13196" s="22" t="s">
        <v>15358</v>
      </c>
      <c r="E13196" s="22" t="s">
        <v>15359</v>
      </c>
      <c r="F13196" s="23" t="str">
        <f>HYPERLINK("https://www.spark-marketing.ru/Card/Lot/68449282", "Охрана некатегорированных объектов для Каширской ГРЭС")</f>
        <v>Охрана некатегорированных объектов для Каширской ГРЭС</v>
      </c>
      <c r="G13196" s="22" t="s">
        <v>55</v>
      </c>
      <c r="H13196" s="22" t="s">
        <v>55</v>
      </c>
      <c r="I13196" s="26">
        <v>43528.662962962997</v>
      </c>
      <c r="J13196" s="23" t="str">
        <f>HYPERLINK("https://www.spark-marketing.ru/Card/Person/67257", "ООО ""ЧОО ""ГРАНИТ""")</f>
        <v>ООО "ЧОО "ГРАНИТ"</v>
      </c>
      <c r="K13196" s="24" t="s">
        <v>15360</v>
      </c>
      <c r="L13196" s="22" t="s">
        <v>10</v>
      </c>
      <c r="M13196" s="25">
        <v>6807600</v>
      </c>
      <c r="N13196" s="27">
        <v>8.1549807525157121E-3</v>
      </c>
    </row>
    <row r="13197" spans="1:14" hidden="1" outlineLevel="1" x14ac:dyDescent="0.2">
      <c r="A13197" s="23" t="str">
        <f>HYPERLINK("https://www.spark-marketing.ru/Card/Person/4348805", "АО ""ИНТЕР РАО-ЭЛЕКТРОГЕНЕРАЦИЯ""")</f>
        <v>АО "ИНТЕР РАО-ЭЛЕКТРОГЕНЕРАЦИЯ"</v>
      </c>
      <c r="B13197" s="24" t="s">
        <v>11062</v>
      </c>
      <c r="C13197" s="28" t="s">
        <v>52</v>
      </c>
      <c r="D13197" s="22" t="s">
        <v>15358</v>
      </c>
      <c r="E13197" s="22" t="s">
        <v>15359</v>
      </c>
      <c r="F13197" s="23" t="str">
        <f>HYPERLINK("https://www.spark-marketing.ru/Card/Lot/68449282", "Охрана некатегорированных объектов для Каширской ГРЭС")</f>
        <v>Охрана некатегорированных объектов для Каширской ГРЭС</v>
      </c>
      <c r="G13197" s="22" t="s">
        <v>55</v>
      </c>
      <c r="H13197" s="22" t="s">
        <v>55</v>
      </c>
      <c r="I13197" s="26">
        <v>43528.662962962997</v>
      </c>
      <c r="J13197" s="23" t="str">
        <f>HYPERLINK("https://www.spark-marketing.ru/Card/Person/245562", "ООО ЧОО ""КАРАТ""")</f>
        <v>ООО ЧОО "КАРАТ"</v>
      </c>
      <c r="K13197" s="24" t="s">
        <v>10537</v>
      </c>
      <c r="L13197" s="28" t="s">
        <v>52</v>
      </c>
      <c r="M13197" s="25">
        <v>6860000</v>
      </c>
      <c r="N13197" s="27">
        <v>5.2047240764113462E-4</v>
      </c>
    </row>
    <row r="13198" spans="1:14" hidden="1" outlineLevel="1" x14ac:dyDescent="0.2">
      <c r="A13198" s="23" t="str">
        <f>HYPERLINK("https://www.spark-marketing.ru/Card/Person/4348805", "АО ""ИНТЕР РАО-ЭЛЕКТРОГЕНЕРАЦИЯ""")</f>
        <v>АО "ИНТЕР РАО-ЭЛЕКТРОГЕНЕРАЦИЯ"</v>
      </c>
      <c r="B13198" s="24" t="s">
        <v>11062</v>
      </c>
      <c r="C13198" s="28" t="s">
        <v>52</v>
      </c>
      <c r="D13198" s="22" t="s">
        <v>15358</v>
      </c>
      <c r="E13198" s="22" t="s">
        <v>15359</v>
      </c>
      <c r="F13198" s="23" t="str">
        <f>HYPERLINK("https://www.spark-marketing.ru/Card/Lot/68449282", "Охрана некатегорированных объектов для Каширской ГРЭС")</f>
        <v>Охрана некатегорированных объектов для Каширской ГРЭС</v>
      </c>
      <c r="G13198" s="22" t="s">
        <v>55</v>
      </c>
      <c r="H13198" s="22" t="s">
        <v>55</v>
      </c>
      <c r="I13198" s="26">
        <v>43528.662962962997</v>
      </c>
      <c r="J13198" s="23" t="str">
        <f>HYPERLINK("https://www.spark-marketing.ru/Card/Person/37473", "ООО ЧОП ""ФАБ""")</f>
        <v>ООО ЧОП "ФАБ"</v>
      </c>
      <c r="K13198" s="24" t="s">
        <v>15361</v>
      </c>
      <c r="L13198" s="28" t="s">
        <v>52</v>
      </c>
      <c r="M13198" s="25">
        <v>6850000</v>
      </c>
      <c r="N13198" s="27">
        <v>1.9774396490294128E-3</v>
      </c>
    </row>
    <row r="13199" spans="1:14" hidden="1" outlineLevel="1" x14ac:dyDescent="0.15">
      <c r="A13199" s="23" t="str">
        <f>HYPERLINK("https://www.spark-marketing.ru/Card/Person/4348805", "АО ""ИНТЕР РАО-ЭЛЕКТРОГЕНЕРАЦИЯ""")</f>
        <v>АО "ИНТЕР РАО-ЭЛЕКТРОГЕНЕРАЦИЯ"</v>
      </c>
      <c r="B13199" s="24" t="s">
        <v>11062</v>
      </c>
      <c r="C13199" s="28" t="s">
        <v>52</v>
      </c>
      <c r="D13199" s="22" t="s">
        <v>15358</v>
      </c>
      <c r="E13199" s="22" t="s">
        <v>15359</v>
      </c>
      <c r="F13199" s="23" t="str">
        <f>HYPERLINK("https://www.spark-marketing.ru/Card/Lot/68449282", "Охрана некатегорированных объектов для Каширской ГРЭС")</f>
        <v>Охрана некатегорированных объектов для Каширской ГРЭС</v>
      </c>
      <c r="G13199" s="22" t="s">
        <v>55</v>
      </c>
      <c r="H13199" s="22" t="s">
        <v>55</v>
      </c>
      <c r="I13199" s="26">
        <v>43528.662962962997</v>
      </c>
      <c r="J13199" s="23" t="str">
        <f>HYPERLINK("https://www.spark-marketing.ru/Card/Person/102334", "ООО ЧОО ""ТРУВОРЪ""")</f>
        <v>ООО ЧОО "ТРУВОРЪ"</v>
      </c>
      <c r="K13199" s="24" t="s">
        <v>15362</v>
      </c>
      <c r="L13199" s="28" t="s">
        <v>52</v>
      </c>
      <c r="M13199" s="28" t="s">
        <v>52</v>
      </c>
      <c r="N13199" s="28" t="s">
        <v>52</v>
      </c>
    </row>
    <row r="13200" spans="1:14" x14ac:dyDescent="0.15">
      <c r="A13200" s="23" t="str">
        <f>HYPERLINK("https://www.spark-marketing.ru/Card/Person/91827", "МДОУ ДЕТСКИЙ САД № 39")</f>
        <v>МДОУ ДЕТСКИЙ САД № 39</v>
      </c>
      <c r="B13200" s="24" t="s">
        <v>15363</v>
      </c>
      <c r="C13200" s="25">
        <v>22000</v>
      </c>
      <c r="D13200" s="22" t="s">
        <v>15364</v>
      </c>
      <c r="E13200" s="22" t="s">
        <v>107</v>
      </c>
      <c r="F13200" s="23" t="str">
        <f>HYPERLINK("https://www.spark-marketing.ru/Card/Lot/68535898", "Техническое обслуживание системы видеонаблюдения")</f>
        <v>Техническое обслуживание системы видеонаблюдения</v>
      </c>
      <c r="G13200" s="22" t="s">
        <v>50</v>
      </c>
      <c r="H13200" s="22" t="s">
        <v>15365</v>
      </c>
      <c r="I13200" s="26">
        <v>43528.627928240698</v>
      </c>
      <c r="J13200" s="28" t="s">
        <v>52</v>
      </c>
      <c r="K13200" s="28" t="s">
        <v>52</v>
      </c>
      <c r="L13200" s="28" t="s">
        <v>52</v>
      </c>
      <c r="M13200" s="28" t="s">
        <v>52</v>
      </c>
      <c r="N13200" s="28" t="s">
        <v>52</v>
      </c>
    </row>
    <row r="13201" spans="1:14" x14ac:dyDescent="0.15">
      <c r="A13201" s="23" t="str">
        <f>HYPERLINK("https://www.spark-marketing.ru/Card/Person/4118", "МКУ ""СХО"" АДМИНИСТРАЦИИ ГОРОДА МИЧУРИНСКА")</f>
        <v>МКУ "СХО" АДМИНИСТРАЦИИ ГОРОДА МИЧУРИНСКА</v>
      </c>
      <c r="B13201" s="24" t="s">
        <v>15366</v>
      </c>
      <c r="C13201" s="25">
        <v>299659</v>
      </c>
      <c r="D13201" s="22" t="s">
        <v>15367</v>
      </c>
      <c r="E13201" s="22" t="s">
        <v>103</v>
      </c>
      <c r="F13201" s="23" t="str">
        <f>HYPERLINK("https://www.spark-marketing.ru/Card/Lot/68448391", "Обслуживание системы видеонаблюдения АПК ""Безопасный город"" в городе Мичуринск")</f>
        <v>Обслуживание системы видеонаблюдения АПК "Безопасный город" в городе Мичуринск</v>
      </c>
      <c r="G13201" s="22" t="s">
        <v>1319</v>
      </c>
      <c r="H13201" s="22" t="s">
        <v>15368</v>
      </c>
      <c r="I13201" s="26">
        <v>43528.627777777801</v>
      </c>
      <c r="J13201" s="28" t="s">
        <v>52</v>
      </c>
      <c r="K13201" s="28" t="s">
        <v>52</v>
      </c>
      <c r="L13201" s="28" t="s">
        <v>52</v>
      </c>
      <c r="M13201" s="28" t="s">
        <v>52</v>
      </c>
      <c r="N13201" s="28" t="s">
        <v>52</v>
      </c>
    </row>
    <row r="13202" spans="1:14" x14ac:dyDescent="0.15">
      <c r="A13202" s="23" t="str">
        <f t="shared" ref="A13202:A13208" si="681">HYPERLINK("https://www.spark-marketing.ru/Card/Person/378953", "МКУ ""СЕРВИС-ЦЕНТР""")</f>
        <v>МКУ "СЕРВИС-ЦЕНТР"</v>
      </c>
      <c r="B13202" s="24" t="s">
        <v>15369</v>
      </c>
      <c r="C13202" s="25">
        <v>249000</v>
      </c>
      <c r="D13202" s="22" t="s">
        <v>15370</v>
      </c>
      <c r="E13202" s="22" t="s">
        <v>107</v>
      </c>
      <c r="F13202" s="23" t="str">
        <f t="shared" ref="F13202:F13208" si="682">HYPERLINK("https://www.spark-marketing.ru/Card/Lot/68452674", "Оказание услуг по техническому обслуживанию охранной сигнализации объектов администрации Пушкинского муниципального район")</f>
        <v>Оказание услуг по техническому обслуживанию охранной сигнализации объектов администрации Пушкинского муниципального район</v>
      </c>
      <c r="G13202" s="22" t="s">
        <v>50</v>
      </c>
      <c r="H13202" s="22" t="s">
        <v>76</v>
      </c>
      <c r="I13202" s="26">
        <v>43528.663194444402</v>
      </c>
      <c r="J13202" s="28" t="s">
        <v>52</v>
      </c>
      <c r="K13202" s="28" t="s">
        <v>52</v>
      </c>
      <c r="L13202" s="28" t="s">
        <v>52</v>
      </c>
      <c r="M13202" s="28" t="s">
        <v>52</v>
      </c>
      <c r="N13202" s="28" t="s">
        <v>52</v>
      </c>
    </row>
    <row r="13203" spans="1:14" ht="12.75" hidden="1" outlineLevel="1" x14ac:dyDescent="0.2">
      <c r="A13203" s="23" t="str">
        <f t="shared" si="681"/>
        <v>МКУ "СЕРВИС-ЦЕНТР"</v>
      </c>
      <c r="B13203" s="24" t="s">
        <v>15369</v>
      </c>
      <c r="C13203" s="25">
        <v>249000</v>
      </c>
      <c r="D13203" s="22" t="s">
        <v>15370</v>
      </c>
      <c r="E13203" s="22" t="s">
        <v>107</v>
      </c>
      <c r="F13203" s="23" t="str">
        <f t="shared" si="682"/>
        <v>Оказание услуг по техническому обслуживанию охранной сигнализации объектов администрации Пушкинского муниципального район</v>
      </c>
      <c r="G13203" s="22" t="s">
        <v>50</v>
      </c>
      <c r="H13203" s="22" t="s">
        <v>76</v>
      </c>
      <c r="I13203" s="26">
        <v>43528.663194444402</v>
      </c>
      <c r="J13203" s="23" t="str">
        <f>HYPERLINK("https://www.spark-marketing.ru/Card/Person/700139", "ООО ЧОО ""ПОСАД СБ ПУШКИНО""")</f>
        <v>ООО ЧОО "ПОСАД СБ ПУШКИНО"</v>
      </c>
      <c r="K13203" s="24" t="s">
        <v>15371</v>
      </c>
      <c r="L13203" s="22" t="s">
        <v>10</v>
      </c>
      <c r="M13203" s="25">
        <v>96785</v>
      </c>
      <c r="N13203" s="27">
        <v>0.61130522088353412</v>
      </c>
    </row>
    <row r="13204" spans="1:14" hidden="1" outlineLevel="1" x14ac:dyDescent="0.2">
      <c r="A13204" s="23" t="str">
        <f t="shared" si="681"/>
        <v>МКУ "СЕРВИС-ЦЕНТР"</v>
      </c>
      <c r="B13204" s="24" t="s">
        <v>15369</v>
      </c>
      <c r="C13204" s="25">
        <v>249000</v>
      </c>
      <c r="D13204" s="22" t="s">
        <v>15370</v>
      </c>
      <c r="E13204" s="22" t="s">
        <v>107</v>
      </c>
      <c r="F13204" s="23" t="str">
        <f t="shared" si="682"/>
        <v>Оказание услуг по техническому обслуживанию охранной сигнализации объектов администрации Пушкинского муниципального район</v>
      </c>
      <c r="G13204" s="22" t="s">
        <v>50</v>
      </c>
      <c r="H13204" s="22" t="s">
        <v>76</v>
      </c>
      <c r="I13204" s="26">
        <v>43528.663194444402</v>
      </c>
      <c r="J13204" s="23" t="str">
        <f>HYPERLINK("https://www.spark-marketing.ru/Card/Person/711271", "ООО ""СИБ""")</f>
        <v>ООО "СИБ"</v>
      </c>
      <c r="K13204" s="24" t="s">
        <v>1741</v>
      </c>
      <c r="L13204" s="28" t="s">
        <v>52</v>
      </c>
      <c r="M13204" s="25">
        <v>98030</v>
      </c>
      <c r="N13204" s="27">
        <v>0.60630522088353411</v>
      </c>
    </row>
    <row r="13205" spans="1:14" hidden="1" outlineLevel="1" x14ac:dyDescent="0.2">
      <c r="A13205" s="23" t="str">
        <f t="shared" si="681"/>
        <v>МКУ "СЕРВИС-ЦЕНТР"</v>
      </c>
      <c r="B13205" s="24" t="s">
        <v>15369</v>
      </c>
      <c r="C13205" s="25">
        <v>249000</v>
      </c>
      <c r="D13205" s="22" t="s">
        <v>15370</v>
      </c>
      <c r="E13205" s="22" t="s">
        <v>107</v>
      </c>
      <c r="F13205" s="23" t="str">
        <f t="shared" si="682"/>
        <v>Оказание услуг по техническому обслуживанию охранной сигнализации объектов администрации Пушкинского муниципального район</v>
      </c>
      <c r="G13205" s="22" t="s">
        <v>50</v>
      </c>
      <c r="H13205" s="22" t="s">
        <v>76</v>
      </c>
      <c r="I13205" s="26">
        <v>43528.663194444402</v>
      </c>
      <c r="J13205" s="23" t="str">
        <f>HYPERLINK("https://www.spark-marketing.ru/Card/Person/102518", "ООО ""ЧОП ""Т-СИСТЕМЫ ОХРАНЫ""")</f>
        <v>ООО "ЧОП "Т-СИСТЕМЫ ОХРАНЫ"</v>
      </c>
      <c r="K13205" s="24" t="s">
        <v>8044</v>
      </c>
      <c r="L13205" s="28" t="s">
        <v>52</v>
      </c>
      <c r="M13205" s="25">
        <v>180000</v>
      </c>
      <c r="N13205" s="27">
        <v>0.27710843373493976</v>
      </c>
    </row>
    <row r="13206" spans="1:14" hidden="1" outlineLevel="1" x14ac:dyDescent="0.2">
      <c r="A13206" s="23" t="str">
        <f t="shared" si="681"/>
        <v>МКУ "СЕРВИС-ЦЕНТР"</v>
      </c>
      <c r="B13206" s="24" t="s">
        <v>15369</v>
      </c>
      <c r="C13206" s="25">
        <v>249000</v>
      </c>
      <c r="D13206" s="22" t="s">
        <v>15370</v>
      </c>
      <c r="E13206" s="22" t="s">
        <v>107</v>
      </c>
      <c r="F13206" s="23" t="str">
        <f t="shared" si="682"/>
        <v>Оказание услуг по техническому обслуживанию охранной сигнализации объектов администрации Пушкинского муниципального район</v>
      </c>
      <c r="G13206" s="22" t="s">
        <v>50</v>
      </c>
      <c r="H13206" s="22" t="s">
        <v>76</v>
      </c>
      <c r="I13206" s="26">
        <v>43528.663194444402</v>
      </c>
      <c r="J13206" s="23" t="str">
        <f>HYPERLINK("https://www.spark-marketing.ru/Card/Person/60875", "ООО ЧОП ""ГОЛДЕКС""")</f>
        <v>ООО ЧОП "ГОЛДЕКС"</v>
      </c>
      <c r="K13206" s="24" t="s">
        <v>1378</v>
      </c>
      <c r="L13206" s="28" t="s">
        <v>52</v>
      </c>
      <c r="M13206" s="25">
        <v>230000</v>
      </c>
      <c r="N13206" s="27">
        <v>7.6305220883534142E-2</v>
      </c>
    </row>
    <row r="13207" spans="1:14" hidden="1" outlineLevel="1" x14ac:dyDescent="0.2">
      <c r="A13207" s="23" t="str">
        <f t="shared" si="681"/>
        <v>МКУ "СЕРВИС-ЦЕНТР"</v>
      </c>
      <c r="B13207" s="24" t="s">
        <v>15369</v>
      </c>
      <c r="C13207" s="25">
        <v>249000</v>
      </c>
      <c r="D13207" s="22" t="s">
        <v>15370</v>
      </c>
      <c r="E13207" s="22" t="s">
        <v>107</v>
      </c>
      <c r="F13207" s="23" t="str">
        <f t="shared" si="682"/>
        <v>Оказание услуг по техническому обслуживанию охранной сигнализации объектов администрации Пушкинского муниципального район</v>
      </c>
      <c r="G13207" s="22" t="s">
        <v>50</v>
      </c>
      <c r="H13207" s="22" t="s">
        <v>76</v>
      </c>
      <c r="I13207" s="26">
        <v>43528.663194444402</v>
      </c>
      <c r="J13207" s="23" t="str">
        <f>HYPERLINK("https://www.spark-marketing.ru/Card/Person/4772588", "ООО ""СИСТЕМНЫЕ РЕШЕНИЯ""")</f>
        <v>ООО "СИСТЕМНЫЕ РЕШЕНИЯ"</v>
      </c>
      <c r="K13207" s="24" t="s">
        <v>15372</v>
      </c>
      <c r="L13207" s="28" t="s">
        <v>52</v>
      </c>
      <c r="M13207" s="25">
        <v>152810</v>
      </c>
      <c r="N13207" s="27">
        <v>0.38630522088353414</v>
      </c>
    </row>
    <row r="13208" spans="1:14" hidden="1" outlineLevel="1" x14ac:dyDescent="0.2">
      <c r="A13208" s="23" t="str">
        <f t="shared" si="681"/>
        <v>МКУ "СЕРВИС-ЦЕНТР"</v>
      </c>
      <c r="B13208" s="24" t="s">
        <v>15369</v>
      </c>
      <c r="C13208" s="25">
        <v>249000</v>
      </c>
      <c r="D13208" s="22" t="s">
        <v>15370</v>
      </c>
      <c r="E13208" s="22" t="s">
        <v>107</v>
      </c>
      <c r="F13208" s="23" t="str">
        <f t="shared" si="682"/>
        <v>Оказание услуг по техническому обслуживанию охранной сигнализации объектов администрации Пушкинского муниципального район</v>
      </c>
      <c r="G13208" s="22" t="s">
        <v>50</v>
      </c>
      <c r="H13208" s="22" t="s">
        <v>76</v>
      </c>
      <c r="I13208" s="26">
        <v>43528.663194444402</v>
      </c>
      <c r="J13208" s="23" t="str">
        <f>HYPERLINK("https://www.spark-marketing.ru/Card/Person/6218389", "ООО ""АСУС""")</f>
        <v>ООО "АСУС"</v>
      </c>
      <c r="K13208" s="24" t="s">
        <v>13561</v>
      </c>
      <c r="L13208" s="28" t="s">
        <v>52</v>
      </c>
      <c r="M13208" s="25">
        <v>96785</v>
      </c>
      <c r="N13208" s="27">
        <v>0.61130522088353412</v>
      </c>
    </row>
    <row r="13209" spans="1:14" x14ac:dyDescent="0.15">
      <c r="A13209" s="23" t="str">
        <f>HYPERLINK("https://www.spark-marketing.ru/Card/Person/4348528", "АО ИК ""АСЭ""")</f>
        <v>АО ИК "АСЭ"</v>
      </c>
      <c r="B13209" s="24" t="s">
        <v>62</v>
      </c>
      <c r="C13209" s="25">
        <v>0</v>
      </c>
      <c r="D13209" s="22" t="s">
        <v>15373</v>
      </c>
      <c r="E13209" s="22" t="s">
        <v>53</v>
      </c>
      <c r="F13209" s="23" t="str">
        <f>HYPERLINK("https://www.spark-marketing.ru/Card/Lot/68456618", "мониторинг цен в электронной форме на Договор на оказание услуг по охране объекта: Малоярославецкий изыскательский филиал АО «Атомэнергопроект», расположенный по адресу: Калужская область, г. Малоярославец, ул. Мирная, дом 25")</f>
        <v>мониторинг цен в электронной форме на Договор на оказание услуг по охране объекта: Малоярославецкий изыскательский филиал АО «Атомэнергопроект», расположенный по адресу: Калужская область, г. Малоярославец, ул. Мирная, дом 25</v>
      </c>
      <c r="G13209" s="22" t="s">
        <v>64</v>
      </c>
      <c r="H13209" s="22" t="s">
        <v>65</v>
      </c>
      <c r="I13209" s="26">
        <v>43528.663020833301</v>
      </c>
      <c r="J13209" s="28" t="s">
        <v>52</v>
      </c>
      <c r="K13209" s="28" t="s">
        <v>52</v>
      </c>
      <c r="L13209" s="28" t="s">
        <v>52</v>
      </c>
      <c r="M13209" s="28" t="s">
        <v>52</v>
      </c>
      <c r="N13209" s="28" t="s">
        <v>52</v>
      </c>
    </row>
    <row r="13210" spans="1:14" x14ac:dyDescent="0.15">
      <c r="A13210" s="23" t="str">
        <f>HYPERLINK("https://www.spark-marketing.ru/Card/Person/30599", "ГБУ РО ""ПНД""")</f>
        <v>ГБУ РО "ПНД"</v>
      </c>
      <c r="B13210" s="24" t="s">
        <v>13622</v>
      </c>
      <c r="C13210" s="25">
        <v>47333.35</v>
      </c>
      <c r="D13210" s="22" t="s">
        <v>15374</v>
      </c>
      <c r="E13210" s="22" t="s">
        <v>107</v>
      </c>
      <c r="F13210" s="23" t="str">
        <f>HYPERLINK("https://www.spark-marketing.ru/Card/Lot/68451447", "Оказание  услуг  по  техническому обслуживанию системы видеонаблюдения,  системы контроля и управления доступом для нужд Красносулинского  филиала ГБУ РО «ПНД» в 2019 году")</f>
        <v>Оказание  услуг  по  техническому обслуживанию системы видеонаблюдения,  системы контроля и управления доступом для нужд Красносулинского  филиала ГБУ РО «ПНД» в 2019 году</v>
      </c>
      <c r="G13210" s="22" t="s">
        <v>402</v>
      </c>
      <c r="H13210" s="22" t="s">
        <v>10454</v>
      </c>
      <c r="I13210" s="26">
        <v>43528.641666666699</v>
      </c>
      <c r="J13210" s="28" t="s">
        <v>52</v>
      </c>
      <c r="K13210" s="28" t="s">
        <v>52</v>
      </c>
      <c r="L13210" s="28" t="s">
        <v>52</v>
      </c>
      <c r="M13210" s="28" t="s">
        <v>52</v>
      </c>
      <c r="N13210" s="28" t="s">
        <v>52</v>
      </c>
    </row>
    <row r="13211" spans="1:14" hidden="1" outlineLevel="1" x14ac:dyDescent="0.2">
      <c r="A13211" s="23" t="str">
        <f>HYPERLINK("https://www.spark-marketing.ru/Card/Person/30599", "ГБУ РО ""ПНД""")</f>
        <v>ГБУ РО "ПНД"</v>
      </c>
      <c r="B13211" s="24" t="s">
        <v>13622</v>
      </c>
      <c r="C13211" s="25">
        <v>47333.35</v>
      </c>
      <c r="D13211" s="22" t="s">
        <v>15374</v>
      </c>
      <c r="E13211" s="22" t="s">
        <v>107</v>
      </c>
      <c r="F13211" s="23" t="str">
        <f>HYPERLINK("https://www.spark-marketing.ru/Card/Lot/68451447", "Оказание  услуг  по  техническому обслуживанию системы видеонаблюдения,  системы контроля и управления доступом для нужд Красносулинского  филиала ГБУ РО «ПНД» в 2019 году")</f>
        <v>Оказание  услуг  по  техническому обслуживанию системы видеонаблюдения,  системы контроля и управления доступом для нужд Красносулинского  филиала ГБУ РО «ПНД» в 2019 году</v>
      </c>
      <c r="G13211" s="22" t="s">
        <v>402</v>
      </c>
      <c r="H13211" s="22" t="s">
        <v>10454</v>
      </c>
      <c r="I13211" s="26">
        <v>43528.641666666699</v>
      </c>
      <c r="J13211" s="23" t="str">
        <f>HYPERLINK("https://www.spark-marketing.ru/Card/Person/6170060", "Кудря Анастасия Евгеньевна")</f>
        <v>Кудря Анастасия Евгеньевна</v>
      </c>
      <c r="K13211" s="24" t="s">
        <v>12269</v>
      </c>
      <c r="L13211" s="28" t="s">
        <v>52</v>
      </c>
      <c r="M13211" s="25">
        <v>20376.72</v>
      </c>
      <c r="N13211" s="27">
        <v>0.56950606707532847</v>
      </c>
    </row>
    <row r="13212" spans="1:14" hidden="1" outlineLevel="1" x14ac:dyDescent="0.2">
      <c r="A13212" s="23" t="str">
        <f>HYPERLINK("https://www.spark-marketing.ru/Card/Person/30599", "ГБУ РО ""ПНД""")</f>
        <v>ГБУ РО "ПНД"</v>
      </c>
      <c r="B13212" s="24" t="s">
        <v>13622</v>
      </c>
      <c r="C13212" s="25">
        <v>47333.35</v>
      </c>
      <c r="D13212" s="22" t="s">
        <v>15374</v>
      </c>
      <c r="E13212" s="22" t="s">
        <v>107</v>
      </c>
      <c r="F13212" s="23" t="str">
        <f>HYPERLINK("https://www.spark-marketing.ru/Card/Lot/68451447", "Оказание  услуг  по  техническому обслуживанию системы видеонаблюдения,  системы контроля и управления доступом для нужд Красносулинского  филиала ГБУ РО «ПНД» в 2019 году")</f>
        <v>Оказание  услуг  по  техническому обслуживанию системы видеонаблюдения,  системы контроля и управления доступом для нужд Красносулинского  филиала ГБУ РО «ПНД» в 2019 году</v>
      </c>
      <c r="G13212" s="22" t="s">
        <v>402</v>
      </c>
      <c r="H13212" s="22" t="s">
        <v>10454</v>
      </c>
      <c r="I13212" s="26">
        <v>43528.641666666699</v>
      </c>
      <c r="J13212" s="23" t="str">
        <f>HYPERLINK("https://www.spark-marketing.ru/Card/Person/6050736", "Дроняева Екатерина Сергеевна")</f>
        <v>Дроняева Екатерина Сергеевна</v>
      </c>
      <c r="K13212" s="24" t="s">
        <v>15375</v>
      </c>
      <c r="L13212" s="28" t="s">
        <v>52</v>
      </c>
      <c r="M13212" s="25">
        <v>21836.73</v>
      </c>
      <c r="N13212" s="27">
        <v>0.53866079624619856</v>
      </c>
    </row>
    <row r="13213" spans="1:14" hidden="1" outlineLevel="1" x14ac:dyDescent="0.2">
      <c r="A13213" s="23" t="str">
        <f>HYPERLINK("https://www.spark-marketing.ru/Card/Person/30599", "ГБУ РО ""ПНД""")</f>
        <v>ГБУ РО "ПНД"</v>
      </c>
      <c r="B13213" s="24" t="s">
        <v>13622</v>
      </c>
      <c r="C13213" s="25">
        <v>47333.35</v>
      </c>
      <c r="D13213" s="22" t="s">
        <v>15374</v>
      </c>
      <c r="E13213" s="22" t="s">
        <v>107</v>
      </c>
      <c r="F13213" s="23" t="str">
        <f>HYPERLINK("https://www.spark-marketing.ru/Card/Lot/68451447", "Оказание  услуг  по  техническому обслуживанию системы видеонаблюдения,  системы контроля и управления доступом для нужд Красносулинского  филиала ГБУ РО «ПНД» в 2019 году")</f>
        <v>Оказание  услуг  по  техническому обслуживанию системы видеонаблюдения,  системы контроля и управления доступом для нужд Красносулинского  филиала ГБУ РО «ПНД» в 2019 году</v>
      </c>
      <c r="G13213" s="22" t="s">
        <v>402</v>
      </c>
      <c r="H13213" s="22" t="s">
        <v>10454</v>
      </c>
      <c r="I13213" s="26">
        <v>43528.641666666699</v>
      </c>
      <c r="J13213" s="23" t="str">
        <f>HYPERLINK("https://www.spark-marketing.ru/Card/Person/384360", "Губарева Маргарита Николаевна")</f>
        <v>Губарева Маргарита Николаевна</v>
      </c>
      <c r="K13213" s="24" t="s">
        <v>1489</v>
      </c>
      <c r="L13213" s="28" t="s">
        <v>52</v>
      </c>
      <c r="M13213" s="25">
        <v>26583.38</v>
      </c>
      <c r="N13213" s="27">
        <v>0.43837949352834737</v>
      </c>
    </row>
    <row r="13214" spans="1:14" ht="12.75" hidden="1" outlineLevel="1" x14ac:dyDescent="0.2">
      <c r="A13214" s="23" t="str">
        <f>HYPERLINK("https://www.spark-marketing.ru/Card/Person/30599", "ГБУ РО ""ПНД""")</f>
        <v>ГБУ РО "ПНД"</v>
      </c>
      <c r="B13214" s="24" t="s">
        <v>13622</v>
      </c>
      <c r="C13214" s="25">
        <v>47333.35</v>
      </c>
      <c r="D13214" s="22" t="s">
        <v>15374</v>
      </c>
      <c r="E13214" s="22" t="s">
        <v>107</v>
      </c>
      <c r="F13214" s="23" t="str">
        <f>HYPERLINK("https://www.spark-marketing.ru/Card/Lot/68451447", "Оказание  услуг  по  техническому обслуживанию системы видеонаблюдения,  системы контроля и управления доступом для нужд Красносулинского  филиала ГБУ РО «ПНД» в 2019 году")</f>
        <v>Оказание  услуг  по  техническому обслуживанию системы видеонаблюдения,  системы контроля и управления доступом для нужд Красносулинского  филиала ГБУ РО «ПНД» в 2019 году</v>
      </c>
      <c r="G13214" s="22" t="s">
        <v>402</v>
      </c>
      <c r="H13214" s="22" t="s">
        <v>10454</v>
      </c>
      <c r="I13214" s="26">
        <v>43528.641666666699</v>
      </c>
      <c r="J13214" s="23" t="str">
        <f>HYPERLINK("https://www.spark-marketing.ru/Card/Person/425632", "Пегушин Дмитрий Александрович")</f>
        <v>Пегушин Дмитрий Александрович</v>
      </c>
      <c r="K13214" s="24" t="s">
        <v>13625</v>
      </c>
      <c r="L13214" s="22" t="s">
        <v>10</v>
      </c>
      <c r="M13214" s="25">
        <v>20126.72</v>
      </c>
      <c r="N13214" s="27">
        <v>0.57478775535642412</v>
      </c>
    </row>
    <row r="13215" spans="1:14" x14ac:dyDescent="0.15">
      <c r="A13215" s="23" t="str">
        <f>HYPERLINK("https://www.spark-marketing.ru/Card/Person/812109", "МБУ ""СШ № 10"" Г. ЧЕБОКСАРЫ")</f>
        <v>МБУ "СШ № 10" Г. ЧЕБОКСАРЫ</v>
      </c>
      <c r="B13215" s="24" t="s">
        <v>15376</v>
      </c>
      <c r="C13215" s="25">
        <v>15000</v>
      </c>
      <c r="D13215" s="22" t="s">
        <v>15377</v>
      </c>
      <c r="E13215" s="22" t="s">
        <v>68</v>
      </c>
      <c r="F13215" s="23" t="str">
        <f>HYPERLINK("https://www.spark-marketing.ru/Card/Lot/68446361", "оказание услуг по техническому обслуживанию средств тревожной сигнализации")</f>
        <v>оказание услуг по техническому обслуживанию средств тревожной сигнализации</v>
      </c>
      <c r="G13215" s="22" t="s">
        <v>1137</v>
      </c>
      <c r="H13215" s="22" t="s">
        <v>1138</v>
      </c>
      <c r="I13215" s="26">
        <v>43528.612500000003</v>
      </c>
      <c r="J13215" s="28" t="s">
        <v>52</v>
      </c>
      <c r="K13215" s="28" t="s">
        <v>52</v>
      </c>
      <c r="L13215" s="28" t="s">
        <v>52</v>
      </c>
      <c r="M13215" s="28" t="s">
        <v>52</v>
      </c>
      <c r="N13215" s="28" t="s">
        <v>52</v>
      </c>
    </row>
    <row r="13216" spans="1:14" x14ac:dyDescent="0.15">
      <c r="A13216" s="23" t="str">
        <f>HYPERLINK("https://www.spark-marketing.ru/Card/Person/51324", "СПБ ГБУК МДК ЦПКИО ИМ. С.М. КИРОВА")</f>
        <v>СПБ ГБУК МДК ЦПКИО ИМ. С.М. КИРОВА</v>
      </c>
      <c r="B13216" s="24" t="s">
        <v>15378</v>
      </c>
      <c r="C13216" s="25">
        <v>157500</v>
      </c>
      <c r="D13216" s="22" t="s">
        <v>15379</v>
      </c>
      <c r="E13216" s="22" t="s">
        <v>144</v>
      </c>
      <c r="F13216" s="23" t="str">
        <f>HYPERLINK("https://www.spark-marketing.ru/Card/Lot/68444923", "Оказание услуг: охрана территории Елагина острова с обеспечением контрольно-пропускного режима на Елагиных мостах в период проведения мероприятия Народные гуляния ""Шуми, Масленица!""")</f>
        <v>Оказание услуг: охрана территории Елагина острова с обеспечением контрольно-пропускного режима на Елагиных мостах в период проведения мероприятия Народные гуляния "Шуми, Масленица!"</v>
      </c>
      <c r="G13216" s="22" t="s">
        <v>89</v>
      </c>
      <c r="H13216" s="22" t="s">
        <v>89</v>
      </c>
      <c r="I13216" s="26">
        <v>43528.590173611097</v>
      </c>
      <c r="J13216" s="28" t="s">
        <v>52</v>
      </c>
      <c r="K13216" s="28" t="s">
        <v>52</v>
      </c>
      <c r="L13216" s="28" t="s">
        <v>52</v>
      </c>
      <c r="M13216" s="28" t="s">
        <v>52</v>
      </c>
      <c r="N13216" s="28" t="s">
        <v>52</v>
      </c>
    </row>
    <row r="13217" spans="1:14" x14ac:dyDescent="0.15">
      <c r="A13217" s="23" t="str">
        <f>HYPERLINK("https://www.spark-marketing.ru/Card/Person/19020", "ГБУЗ ""ДГП № 10 ДЗМ""")</f>
        <v>ГБУЗ "ДГП № 10 ДЗМ"</v>
      </c>
      <c r="B13217" s="24" t="s">
        <v>15380</v>
      </c>
      <c r="C13217" s="25">
        <v>384365.25</v>
      </c>
      <c r="D13217" s="22" t="s">
        <v>15381</v>
      </c>
      <c r="E13217" s="22" t="s">
        <v>103</v>
      </c>
      <c r="F13217" s="23" t="str">
        <f>HYPERLINK("https://www.spark-marketing.ru/Card/Lot/68447105", "Аукцион в электронной форме на право заключения контракта на оказание услуг по техническому обслуживанию средств сигнализации в ГБУЗ ""ДГП №10 ДЗМ"" в 2019 году")</f>
        <v>Аукцион в электронной форме на право заключения контракта на оказание услуг по техническому обслуживанию средств сигнализации в ГБУЗ "ДГП №10 ДЗМ" в 2019 году</v>
      </c>
      <c r="G13217" s="22" t="s">
        <v>55</v>
      </c>
      <c r="H13217" s="22" t="s">
        <v>55</v>
      </c>
      <c r="I13217" s="26">
        <v>43528.59375</v>
      </c>
      <c r="J13217" s="28" t="s">
        <v>52</v>
      </c>
      <c r="K13217" s="28" t="s">
        <v>52</v>
      </c>
      <c r="L13217" s="28" t="s">
        <v>52</v>
      </c>
      <c r="M13217" s="28" t="s">
        <v>52</v>
      </c>
      <c r="N13217" s="28" t="s">
        <v>52</v>
      </c>
    </row>
    <row r="13218" spans="1:14" hidden="1" outlineLevel="1" x14ac:dyDescent="0.2">
      <c r="A13218" s="23" t="str">
        <f>HYPERLINK("https://www.spark-marketing.ru/Card/Person/19020", "ГБУЗ ""ДГП № 10 ДЗМ""")</f>
        <v>ГБУЗ "ДГП № 10 ДЗМ"</v>
      </c>
      <c r="B13218" s="24" t="s">
        <v>15380</v>
      </c>
      <c r="C13218" s="25">
        <v>384365.25</v>
      </c>
      <c r="D13218" s="22" t="s">
        <v>15381</v>
      </c>
      <c r="E13218" s="22" t="s">
        <v>103</v>
      </c>
      <c r="F13218" s="23" t="str">
        <f>HYPERLINK("https://www.spark-marketing.ru/Card/Lot/68447105", "Аукцион в электронной форме на право заключения контракта на оказание услуг по техническому обслуживанию средств сигнализации в ГБУЗ ""ДГП №10 ДЗМ"" в 2019 году")</f>
        <v>Аукцион в электронной форме на право заключения контракта на оказание услуг по техническому обслуживанию средств сигнализации в ГБУЗ "ДГП №10 ДЗМ" в 2019 году</v>
      </c>
      <c r="G13218" s="22" t="s">
        <v>55</v>
      </c>
      <c r="H13218" s="22" t="s">
        <v>55</v>
      </c>
      <c r="I13218" s="26">
        <v>43528.59375</v>
      </c>
      <c r="J13218" s="23" t="str">
        <f>HYPERLINK("https://www.spark-marketing.ru/Card/Person/5921742", "ООО ""КСБ""")</f>
        <v>ООО "КСБ"</v>
      </c>
      <c r="K13218" s="24" t="s">
        <v>1739</v>
      </c>
      <c r="L13218" s="28" t="s">
        <v>52</v>
      </c>
      <c r="M13218" s="25">
        <v>213322.7</v>
      </c>
      <c r="N13218" s="27">
        <v>0.44500003577326513</v>
      </c>
    </row>
    <row r="13219" spans="1:14" ht="12.75" hidden="1" outlineLevel="1" x14ac:dyDescent="0.2">
      <c r="A13219" s="23" t="str">
        <f>HYPERLINK("https://www.spark-marketing.ru/Card/Person/19020", "ГБУЗ ""ДГП № 10 ДЗМ""")</f>
        <v>ГБУЗ "ДГП № 10 ДЗМ"</v>
      </c>
      <c r="B13219" s="24" t="s">
        <v>15380</v>
      </c>
      <c r="C13219" s="25">
        <v>384365.25</v>
      </c>
      <c r="D13219" s="22" t="s">
        <v>15381</v>
      </c>
      <c r="E13219" s="22" t="s">
        <v>103</v>
      </c>
      <c r="F13219" s="23" t="str">
        <f>HYPERLINK("https://www.spark-marketing.ru/Card/Lot/68447105", "Аукцион в электронной форме на право заключения контракта на оказание услуг по техническому обслуживанию средств сигнализации в ГБУЗ ""ДГП №10 ДЗМ"" в 2019 году")</f>
        <v>Аукцион в электронной форме на право заключения контракта на оказание услуг по техническому обслуживанию средств сигнализации в ГБУЗ "ДГП №10 ДЗМ" в 2019 году</v>
      </c>
      <c r="G13219" s="22" t="s">
        <v>55</v>
      </c>
      <c r="H13219" s="22" t="s">
        <v>55</v>
      </c>
      <c r="I13219" s="26">
        <v>43528.59375</v>
      </c>
      <c r="J13219" s="23" t="str">
        <f>HYPERLINK("https://www.spark-marketing.ru/Card/Person/5970672", "ООО ""ИНЖЕНЕРНЫЕ ТЕХНОЛОГИИ ЗАЩИТЫ""")</f>
        <v>ООО "ИНЖЕНЕРНЫЕ ТЕХНОЛОГИИ ЗАЩИТЫ"</v>
      </c>
      <c r="K13219" s="24" t="s">
        <v>1750</v>
      </c>
      <c r="L13219" s="22" t="s">
        <v>10</v>
      </c>
      <c r="M13219" s="25">
        <v>78794.720000000001</v>
      </c>
      <c r="N13219" s="27">
        <v>0.79500040651437665</v>
      </c>
    </row>
    <row r="13220" spans="1:14" hidden="1" outlineLevel="1" x14ac:dyDescent="0.2">
      <c r="A13220" s="23" t="str">
        <f>HYPERLINK("https://www.spark-marketing.ru/Card/Person/19020", "ГБУЗ ""ДГП № 10 ДЗМ""")</f>
        <v>ГБУЗ "ДГП № 10 ДЗМ"</v>
      </c>
      <c r="B13220" s="24" t="s">
        <v>15380</v>
      </c>
      <c r="C13220" s="25">
        <v>384365.25</v>
      </c>
      <c r="D13220" s="22" t="s">
        <v>15381</v>
      </c>
      <c r="E13220" s="22" t="s">
        <v>103</v>
      </c>
      <c r="F13220" s="23" t="str">
        <f>HYPERLINK("https://www.spark-marketing.ru/Card/Lot/68447105", "Аукцион в электронной форме на право заключения контракта на оказание услуг по техническому обслуживанию средств сигнализации в ГБУЗ ""ДГП №10 ДЗМ"" в 2019 году")</f>
        <v>Аукцион в электронной форме на право заключения контракта на оказание услуг по техническому обслуживанию средств сигнализации в ГБУЗ "ДГП №10 ДЗМ" в 2019 году</v>
      </c>
      <c r="G13220" s="22" t="s">
        <v>55</v>
      </c>
      <c r="H13220" s="22" t="s">
        <v>55</v>
      </c>
      <c r="I13220" s="26">
        <v>43528.59375</v>
      </c>
      <c r="J13220" s="23" t="str">
        <f>HYPERLINK("https://www.spark-marketing.ru/Card/Person/6429041", "Бойцов Александр Александрович")</f>
        <v>Бойцов Александр Александрович</v>
      </c>
      <c r="K13220" s="24" t="s">
        <v>15382</v>
      </c>
      <c r="L13220" s="28" t="s">
        <v>52</v>
      </c>
      <c r="M13220" s="25">
        <v>80716.55</v>
      </c>
      <c r="N13220" s="27">
        <v>0.79000039675803158</v>
      </c>
    </row>
    <row r="13221" spans="1:14" hidden="1" outlineLevel="1" x14ac:dyDescent="0.2">
      <c r="A13221" s="23" t="str">
        <f>HYPERLINK("https://www.spark-marketing.ru/Card/Person/19020", "ГБУЗ ""ДГП № 10 ДЗМ""")</f>
        <v>ГБУЗ "ДГП № 10 ДЗМ"</v>
      </c>
      <c r="B13221" s="24" t="s">
        <v>15380</v>
      </c>
      <c r="C13221" s="25">
        <v>384365.25</v>
      </c>
      <c r="D13221" s="22" t="s">
        <v>15381</v>
      </c>
      <c r="E13221" s="22" t="s">
        <v>103</v>
      </c>
      <c r="F13221" s="23" t="str">
        <f>HYPERLINK("https://www.spark-marketing.ru/Card/Lot/68447105", "Аукцион в электронной форме на право заключения контракта на оказание услуг по техническому обслуживанию средств сигнализации в ГБУЗ ""ДГП №10 ДЗМ"" в 2019 году")</f>
        <v>Аукцион в электронной форме на право заключения контракта на оказание услуг по техническому обслуживанию средств сигнализации в ГБУЗ "ДГП №10 ДЗМ" в 2019 году</v>
      </c>
      <c r="G13221" s="22" t="s">
        <v>55</v>
      </c>
      <c r="H13221" s="22" t="s">
        <v>55</v>
      </c>
      <c r="I13221" s="26">
        <v>43528.59375</v>
      </c>
      <c r="J13221" s="23" t="str">
        <f>HYPERLINK("https://www.spark-marketing.ru/Card/Person/4875503", "ООО ""СЕРВИС ЭМ""")</f>
        <v>ООО "СЕРВИС ЭМ"</v>
      </c>
      <c r="K13221" s="24" t="s">
        <v>15383</v>
      </c>
      <c r="L13221" s="28" t="s">
        <v>52</v>
      </c>
      <c r="M13221" s="25">
        <v>88403.87</v>
      </c>
      <c r="N13221" s="27">
        <v>0.77000035773265141</v>
      </c>
    </row>
    <row r="13222" spans="1:14" x14ac:dyDescent="0.15">
      <c r="A13222" s="23" t="str">
        <f>HYPERLINK("https://www.spark-marketing.ru/Card/Person/1025834", "ГБПОУ КК ""КМЕДК""")</f>
        <v>ГБПОУ КК "КМЕДК"</v>
      </c>
      <c r="B13222" s="24" t="s">
        <v>15384</v>
      </c>
      <c r="C13222" s="25">
        <v>2112000</v>
      </c>
      <c r="D13222" s="22" t="s">
        <v>15385</v>
      </c>
      <c r="E13222" s="22" t="s">
        <v>68</v>
      </c>
      <c r="F13222" s="23" t="str">
        <f>HYPERLINK("https://www.spark-marketing.ru/Card/Lot/68429821", "Оказание охранных услуг по обеспечению комплекса мер, направленных на охрану, защиту имущества, обеспечения внутри объектового и пропускного режимов, сохранность жизни и здоровья людей в условиях возникновения ЧС природного и техногенного характера")</f>
        <v>Оказание охранных услуг по обеспечению комплекса мер, направленных на охрану, защиту имущества, обеспечения внутри объектового и пропускного режимов, сохранность жизни и здоровья людей в условиях возникновения ЧС природного и техногенного характера</v>
      </c>
      <c r="G13222" s="22" t="s">
        <v>1141</v>
      </c>
      <c r="H13222" s="22" t="s">
        <v>1141</v>
      </c>
      <c r="I13222" s="26">
        <v>43528.605555555601</v>
      </c>
      <c r="J13222" s="23" t="str">
        <f>HYPERLINK("https://www.spark-marketing.ru/Card/Person/5899526", "ООО ЧОО ""ЩИТ""")</f>
        <v>ООО ЧОО "ЩИТ"</v>
      </c>
      <c r="K13222" s="24" t="s">
        <v>15386</v>
      </c>
      <c r="L13222" s="22" t="s">
        <v>10</v>
      </c>
      <c r="M13222" s="28" t="s">
        <v>52</v>
      </c>
      <c r="N13222" s="28" t="s">
        <v>52</v>
      </c>
    </row>
    <row r="13223" spans="1:14" x14ac:dyDescent="0.15">
      <c r="A13223" s="23" t="str">
        <f>HYPERLINK("https://www.spark-marketing.ru/Card/Person/61280", "МБОУ ""КОСМОДЕМЬЯНСКАЯ СОШ""")</f>
        <v>МБОУ "КОСМОДЕМЬЯНСКАЯ СОШ"</v>
      </c>
      <c r="B13223" s="24" t="s">
        <v>15387</v>
      </c>
      <c r="C13223" s="25">
        <v>18000</v>
      </c>
      <c r="D13223" s="22" t="s">
        <v>15388</v>
      </c>
      <c r="E13223" s="22" t="s">
        <v>103</v>
      </c>
      <c r="F13223" s="23" t="str">
        <f>HYPERLINK("https://www.spark-marketing.ru/Card/Lot/68535770", "Оказание услуг по техническому обслуживанию систем видеонаблюдения")</f>
        <v>Оказание услуг по техническому обслуживанию систем видеонаблюдения</v>
      </c>
      <c r="G13223" s="22" t="s">
        <v>50</v>
      </c>
      <c r="H13223" s="22" t="s">
        <v>1207</v>
      </c>
      <c r="I13223" s="26">
        <v>43528.607407407399</v>
      </c>
      <c r="J13223" s="28" t="s">
        <v>52</v>
      </c>
      <c r="K13223" s="28" t="s">
        <v>52</v>
      </c>
      <c r="L13223" s="28" t="s">
        <v>52</v>
      </c>
      <c r="M13223" s="28" t="s">
        <v>52</v>
      </c>
      <c r="N13223" s="28" t="s">
        <v>52</v>
      </c>
    </row>
    <row r="13224" spans="1:14" x14ac:dyDescent="0.15">
      <c r="A13224" s="23" t="str">
        <f>HYPERLINK("https://www.spark-marketing.ru/Card/Person/104496", "ГБУЗ ""ЩЕРБИНОВСКАЯ ЦРБ"" МЗ КК")</f>
        <v>ГБУЗ "ЩЕРБИНОВСКАЯ ЦРБ" МЗ КК</v>
      </c>
      <c r="B13224" s="24" t="s">
        <v>15389</v>
      </c>
      <c r="C13224" s="25">
        <v>45000</v>
      </c>
      <c r="D13224" s="22" t="s">
        <v>15390</v>
      </c>
      <c r="E13224" s="22" t="s">
        <v>349</v>
      </c>
      <c r="F13224" s="23" t="str">
        <f>HYPERLINK("https://www.spark-marketing.ru/Card/Lot/68447281", "Оказание услуг по техническому обслуживанию средств видеонаблюдения")</f>
        <v>Оказание услуг по техническому обслуживанию средств видеонаблюдения</v>
      </c>
      <c r="G13224" s="22" t="s">
        <v>132</v>
      </c>
      <c r="H13224" s="22" t="s">
        <v>15391</v>
      </c>
      <c r="I13224" s="26">
        <v>43528.588194444397</v>
      </c>
      <c r="J13224" s="28" t="s">
        <v>52</v>
      </c>
      <c r="K13224" s="28" t="s">
        <v>52</v>
      </c>
      <c r="L13224" s="28" t="s">
        <v>52</v>
      </c>
      <c r="M13224" s="28" t="s">
        <v>52</v>
      </c>
      <c r="N13224" s="28" t="s">
        <v>52</v>
      </c>
    </row>
    <row r="13225" spans="1:14" hidden="1" outlineLevel="1" x14ac:dyDescent="0.2">
      <c r="A13225" s="23" t="str">
        <f>HYPERLINK("https://www.spark-marketing.ru/Card/Person/104496", "ГБУЗ ""ЩЕРБИНОВСКАЯ ЦРБ"" МЗ КК")</f>
        <v>ГБУЗ "ЩЕРБИНОВСКАЯ ЦРБ" МЗ КК</v>
      </c>
      <c r="B13225" s="24" t="s">
        <v>15389</v>
      </c>
      <c r="C13225" s="25">
        <v>45000</v>
      </c>
      <c r="D13225" s="22" t="s">
        <v>15390</v>
      </c>
      <c r="E13225" s="22" t="s">
        <v>349</v>
      </c>
      <c r="F13225" s="23" t="str">
        <f>HYPERLINK("https://www.spark-marketing.ru/Card/Lot/68447281", "Оказание услуг по техническому обслуживанию средств видеонаблюдения")</f>
        <v>Оказание услуг по техническому обслуживанию средств видеонаблюдения</v>
      </c>
      <c r="G13225" s="22" t="s">
        <v>132</v>
      </c>
      <c r="H13225" s="22" t="s">
        <v>15391</v>
      </c>
      <c r="I13225" s="26">
        <v>43528.588194444397</v>
      </c>
      <c r="J13225" s="23" t="str">
        <f>HYPERLINK("https://www.spark-marketing.ru/Card/Person/447409", "ООО ""ПАНТЕРА - СБ""")</f>
        <v>ООО "ПАНТЕРА - СБ"</v>
      </c>
      <c r="K13225" s="24" t="s">
        <v>13175</v>
      </c>
      <c r="L13225" s="28" t="s">
        <v>52</v>
      </c>
      <c r="M13225" s="25">
        <v>22275</v>
      </c>
      <c r="N13225" s="27">
        <v>0.505</v>
      </c>
    </row>
    <row r="13226" spans="1:14" hidden="1" outlineLevel="1" x14ac:dyDescent="0.2">
      <c r="A13226" s="23" t="str">
        <f>HYPERLINK("https://www.spark-marketing.ru/Card/Person/104496", "ГБУЗ ""ЩЕРБИНОВСКАЯ ЦРБ"" МЗ КК")</f>
        <v>ГБУЗ "ЩЕРБИНОВСКАЯ ЦРБ" МЗ КК</v>
      </c>
      <c r="B13226" s="24" t="s">
        <v>15389</v>
      </c>
      <c r="C13226" s="25">
        <v>45000</v>
      </c>
      <c r="D13226" s="22" t="s">
        <v>15390</v>
      </c>
      <c r="E13226" s="22" t="s">
        <v>349</v>
      </c>
      <c r="F13226" s="23" t="str">
        <f>HYPERLINK("https://www.spark-marketing.ru/Card/Lot/68447281", "Оказание услуг по техническому обслуживанию средств видеонаблюдения")</f>
        <v>Оказание услуг по техническому обслуживанию средств видеонаблюдения</v>
      </c>
      <c r="G13226" s="22" t="s">
        <v>132</v>
      </c>
      <c r="H13226" s="22" t="s">
        <v>15391</v>
      </c>
      <c r="I13226" s="26">
        <v>43528.588194444397</v>
      </c>
      <c r="J13226" s="23" t="str">
        <f>HYPERLINK("https://www.spark-marketing.ru/Card/Person/6170060", "Кудря Анастасия Евгеньевна")</f>
        <v>Кудря Анастасия Евгеньевна</v>
      </c>
      <c r="K13226" s="24" t="s">
        <v>12269</v>
      </c>
      <c r="L13226" s="28" t="s">
        <v>52</v>
      </c>
      <c r="M13226" s="25">
        <v>38700</v>
      </c>
      <c r="N13226" s="27">
        <v>0.14000000000000001</v>
      </c>
    </row>
    <row r="13227" spans="1:14" ht="12.75" hidden="1" outlineLevel="1" x14ac:dyDescent="0.2">
      <c r="A13227" s="23" t="str">
        <f>HYPERLINK("https://www.spark-marketing.ru/Card/Person/104496", "ГБУЗ ""ЩЕРБИНОВСКАЯ ЦРБ"" МЗ КК")</f>
        <v>ГБУЗ "ЩЕРБИНОВСКАЯ ЦРБ" МЗ КК</v>
      </c>
      <c r="B13227" s="24" t="s">
        <v>15389</v>
      </c>
      <c r="C13227" s="25">
        <v>45000</v>
      </c>
      <c r="D13227" s="22" t="s">
        <v>15390</v>
      </c>
      <c r="E13227" s="22" t="s">
        <v>349</v>
      </c>
      <c r="F13227" s="23" t="str">
        <f>HYPERLINK("https://www.spark-marketing.ru/Card/Lot/68447281", "Оказание услуг по техническому обслуживанию средств видеонаблюдения")</f>
        <v>Оказание услуг по техническому обслуживанию средств видеонаблюдения</v>
      </c>
      <c r="G13227" s="22" t="s">
        <v>132</v>
      </c>
      <c r="H13227" s="22" t="s">
        <v>15391</v>
      </c>
      <c r="I13227" s="26">
        <v>43528.588194444397</v>
      </c>
      <c r="J13227" s="23" t="str">
        <f>HYPERLINK("https://www.spark-marketing.ru/Card/Person/6499715", "ООО ""ДЕ ГРУПП""")</f>
        <v>ООО "ДЕ ГРУПП"</v>
      </c>
      <c r="K13227" s="24" t="s">
        <v>14758</v>
      </c>
      <c r="L13227" s="22" t="s">
        <v>10</v>
      </c>
      <c r="M13227" s="25">
        <v>22050</v>
      </c>
      <c r="N13227" s="27">
        <v>0.51</v>
      </c>
    </row>
    <row r="13228" spans="1:14" hidden="1" outlineLevel="1" x14ac:dyDescent="0.2">
      <c r="A13228" s="23" t="str">
        <f>HYPERLINK("https://www.spark-marketing.ru/Card/Person/104496", "ГБУЗ ""ЩЕРБИНОВСКАЯ ЦРБ"" МЗ КК")</f>
        <v>ГБУЗ "ЩЕРБИНОВСКАЯ ЦРБ" МЗ КК</v>
      </c>
      <c r="B13228" s="24" t="s">
        <v>15389</v>
      </c>
      <c r="C13228" s="25">
        <v>45000</v>
      </c>
      <c r="D13228" s="22" t="s">
        <v>15390</v>
      </c>
      <c r="E13228" s="22" t="s">
        <v>349</v>
      </c>
      <c r="F13228" s="23" t="str">
        <f>HYPERLINK("https://www.spark-marketing.ru/Card/Lot/68447281", "Оказание услуг по техническому обслуживанию средств видеонаблюдения")</f>
        <v>Оказание услуг по техническому обслуживанию средств видеонаблюдения</v>
      </c>
      <c r="G13228" s="22" t="s">
        <v>132</v>
      </c>
      <c r="H13228" s="22" t="s">
        <v>15391</v>
      </c>
      <c r="I13228" s="26">
        <v>43528.588194444397</v>
      </c>
      <c r="J13228" s="23" t="str">
        <f>HYPERLINK("https://www.spark-marketing.ru/Card/Person/5917463", "Сафонов Андрей Александрович")</f>
        <v>Сафонов Андрей Александрович</v>
      </c>
      <c r="K13228" s="24" t="s">
        <v>15392</v>
      </c>
      <c r="L13228" s="28" t="s">
        <v>52</v>
      </c>
      <c r="M13228" s="25">
        <v>40500</v>
      </c>
      <c r="N13228" s="27">
        <v>0.1</v>
      </c>
    </row>
    <row r="13229" spans="1:14" x14ac:dyDescent="0.15">
      <c r="A13229" s="23" t="str">
        <f>HYPERLINK("https://www.spark-marketing.ru/Card/Person/1403900", "МАОУ ""ОСОШ № 1"" Г.ПЕРМИ")</f>
        <v>МАОУ "ОСОШ № 1" Г.ПЕРМИ</v>
      </c>
      <c r="B13229" s="24" t="s">
        <v>15393</v>
      </c>
      <c r="C13229" s="25">
        <v>129185.02</v>
      </c>
      <c r="D13229" s="22" t="s">
        <v>15394</v>
      </c>
      <c r="E13229" s="22" t="s">
        <v>49</v>
      </c>
      <c r="F13229" s="23" t="str">
        <f>HYPERLINK("https://www.spark-marketing.ru/Card/Lot/68443644", "Выполнение работ по установке охранной сигнализации")</f>
        <v>Выполнение работ по установке охранной сигнализации</v>
      </c>
      <c r="G13229" s="22" t="s">
        <v>391</v>
      </c>
      <c r="H13229" s="22" t="s">
        <v>391</v>
      </c>
      <c r="I13229" s="26">
        <v>43528.609143518501</v>
      </c>
      <c r="J13229" s="28" t="s">
        <v>52</v>
      </c>
      <c r="K13229" s="28" t="s">
        <v>52</v>
      </c>
      <c r="L13229" s="28" t="s">
        <v>52</v>
      </c>
      <c r="M13229" s="28" t="s">
        <v>52</v>
      </c>
      <c r="N13229" s="28" t="s">
        <v>52</v>
      </c>
    </row>
    <row r="13230" spans="1:14" x14ac:dyDescent="0.15">
      <c r="A13230" s="23" t="str">
        <f>HYPERLINK("https://www.spark-marketing.ru/Card/Person/938063", "ГУПС ""СЕВАВТОТРАНС""")</f>
        <v>ГУПС "СЕВАВТОТРАНС"</v>
      </c>
      <c r="B13230" s="24" t="s">
        <v>3912</v>
      </c>
      <c r="C13230" s="25">
        <v>2601360.41</v>
      </c>
      <c r="D13230" s="22" t="s">
        <v>15395</v>
      </c>
      <c r="E13230" s="22" t="s">
        <v>84</v>
      </c>
      <c r="F13230" s="23" t="str">
        <f>HYPERLINK("https://www.spark-marketing.ru/Card/Lot/68445863", "Реализация мероприятий по транспортной безопасности (строительно-монтажные работы, ограждения.Строительно-монтажные работы, системы контроля управления доступом Автовокзал)")</f>
        <v>Реализация мероприятий по транспортной безопасности (строительно-монтажные работы, ограждения.Строительно-монтажные работы, системы контроля управления доступом Автовокзал)</v>
      </c>
      <c r="G13230" s="22" t="s">
        <v>714</v>
      </c>
      <c r="H13230" s="22" t="s">
        <v>714</v>
      </c>
      <c r="I13230" s="26">
        <v>43528.554166666698</v>
      </c>
      <c r="J13230" s="28" t="s">
        <v>52</v>
      </c>
      <c r="K13230" s="28" t="s">
        <v>52</v>
      </c>
      <c r="L13230" s="28" t="s">
        <v>52</v>
      </c>
      <c r="M13230" s="28" t="s">
        <v>52</v>
      </c>
      <c r="N13230" s="28" t="s">
        <v>52</v>
      </c>
    </row>
    <row r="13231" spans="1:14" hidden="1" outlineLevel="1" x14ac:dyDescent="0.2">
      <c r="A13231" s="23" t="str">
        <f>HYPERLINK("https://www.spark-marketing.ru/Card/Person/938063", "ГУПС ""СЕВАВТОТРАНС""")</f>
        <v>ГУПС "СЕВАВТОТРАНС"</v>
      </c>
      <c r="B13231" s="24" t="s">
        <v>3912</v>
      </c>
      <c r="C13231" s="25">
        <v>2601360.41</v>
      </c>
      <c r="D13231" s="22" t="s">
        <v>15395</v>
      </c>
      <c r="E13231" s="22" t="s">
        <v>84</v>
      </c>
      <c r="F13231" s="23" t="str">
        <f>HYPERLINK("https://www.spark-marketing.ru/Card/Lot/68445863", "Реализация мероприятий по транспортной безопасности (строительно-монтажные работы, ограждения.Строительно-монтажные работы, системы контроля управления доступом Автовокзал)")</f>
        <v>Реализация мероприятий по транспортной безопасности (строительно-монтажные работы, ограждения.Строительно-монтажные работы, системы контроля управления доступом Автовокзал)</v>
      </c>
      <c r="G13231" s="22" t="s">
        <v>714</v>
      </c>
      <c r="H13231" s="22" t="s">
        <v>714</v>
      </c>
      <c r="I13231" s="26">
        <v>43528.554166666698</v>
      </c>
      <c r="J13231" s="23" t="str">
        <f>HYPERLINK("https://www.spark-marketing.ru/Card/Person/5950116", "ООО ""АСБ""")</f>
        <v>ООО "АСБ"</v>
      </c>
      <c r="K13231" s="24" t="s">
        <v>11384</v>
      </c>
      <c r="L13231" s="28" t="s">
        <v>52</v>
      </c>
      <c r="M13231" s="25">
        <v>2353237.83</v>
      </c>
      <c r="N13231" s="27">
        <v>9.5381854450533446E-2</v>
      </c>
    </row>
    <row r="13232" spans="1:14" hidden="1" outlineLevel="1" x14ac:dyDescent="0.2">
      <c r="A13232" s="23" t="str">
        <f>HYPERLINK("https://www.spark-marketing.ru/Card/Person/938063", "ГУПС ""СЕВАВТОТРАНС""")</f>
        <v>ГУПС "СЕВАВТОТРАНС"</v>
      </c>
      <c r="B13232" s="24" t="s">
        <v>3912</v>
      </c>
      <c r="C13232" s="25">
        <v>2601360.41</v>
      </c>
      <c r="D13232" s="22" t="s">
        <v>15395</v>
      </c>
      <c r="E13232" s="22" t="s">
        <v>84</v>
      </c>
      <c r="F13232" s="23" t="str">
        <f>HYPERLINK("https://www.spark-marketing.ru/Card/Lot/68445863", "Реализация мероприятий по транспортной безопасности (строительно-монтажные работы, ограждения.Строительно-монтажные работы, системы контроля управления доступом Автовокзал)")</f>
        <v>Реализация мероприятий по транспортной безопасности (строительно-монтажные работы, ограждения.Строительно-монтажные работы, системы контроля управления доступом Автовокзал)</v>
      </c>
      <c r="G13232" s="22" t="s">
        <v>714</v>
      </c>
      <c r="H13232" s="22" t="s">
        <v>714</v>
      </c>
      <c r="I13232" s="26">
        <v>43528.554166666698</v>
      </c>
      <c r="J13232" s="23" t="str">
        <f>HYPERLINK("https://www.spark-marketing.ru/Card/Person/4936922", "ООО ""ПАЛИСАД ЮГ""")</f>
        <v>ООО "ПАЛИСАД ЮГ"</v>
      </c>
      <c r="K13232" s="24" t="s">
        <v>15396</v>
      </c>
      <c r="L13232" s="28" t="s">
        <v>52</v>
      </c>
      <c r="M13232" s="25">
        <v>2457292.31</v>
      </c>
      <c r="N13232" s="27">
        <v>5.538183000178741E-2</v>
      </c>
    </row>
    <row r="13233" spans="1:14" ht="12.75" hidden="1" outlineLevel="1" x14ac:dyDescent="0.2">
      <c r="A13233" s="23" t="str">
        <f>HYPERLINK("https://www.spark-marketing.ru/Card/Person/938063", "ГУПС ""СЕВАВТОТРАНС""")</f>
        <v>ГУПС "СЕВАВТОТРАНС"</v>
      </c>
      <c r="B13233" s="24" t="s">
        <v>3912</v>
      </c>
      <c r="C13233" s="25">
        <v>2601360.41</v>
      </c>
      <c r="D13233" s="22" t="s">
        <v>15395</v>
      </c>
      <c r="E13233" s="22" t="s">
        <v>84</v>
      </c>
      <c r="F13233" s="23" t="str">
        <f>HYPERLINK("https://www.spark-marketing.ru/Card/Lot/68445863", "Реализация мероприятий по транспортной безопасности (строительно-монтажные работы, ограждения.Строительно-монтажные работы, системы контроля управления доступом Автовокзал)")</f>
        <v>Реализация мероприятий по транспортной безопасности (строительно-монтажные работы, ограждения.Строительно-монтажные работы, системы контроля управления доступом Автовокзал)</v>
      </c>
      <c r="G13233" s="22" t="s">
        <v>714</v>
      </c>
      <c r="H13233" s="22" t="s">
        <v>714</v>
      </c>
      <c r="I13233" s="26">
        <v>43528.554166666698</v>
      </c>
      <c r="J13233" s="23" t="str">
        <f>HYPERLINK("https://www.spark-marketing.ru/Card/Person/6449698", "ООО ""ЦЕНТР ТЕХНОЛОГИЙ""")</f>
        <v>ООО "ЦЕНТР ТЕХНОЛОГИЙ"</v>
      </c>
      <c r="K13233" s="24" t="s">
        <v>15397</v>
      </c>
      <c r="L13233" s="22" t="s">
        <v>10</v>
      </c>
      <c r="M13233" s="25">
        <v>2027972.76</v>
      </c>
      <c r="N13233" s="27">
        <v>0.22041838101164921</v>
      </c>
    </row>
    <row r="13234" spans="1:14" hidden="1" outlineLevel="1" x14ac:dyDescent="0.2">
      <c r="A13234" s="23" t="str">
        <f>HYPERLINK("https://www.spark-marketing.ru/Card/Person/938063", "ГУПС ""СЕВАВТОТРАНС""")</f>
        <v>ГУПС "СЕВАВТОТРАНС"</v>
      </c>
      <c r="B13234" s="24" t="s">
        <v>3912</v>
      </c>
      <c r="C13234" s="25">
        <v>2601360.41</v>
      </c>
      <c r="D13234" s="22" t="s">
        <v>15395</v>
      </c>
      <c r="E13234" s="22" t="s">
        <v>84</v>
      </c>
      <c r="F13234" s="23" t="str">
        <f>HYPERLINK("https://www.spark-marketing.ru/Card/Lot/68445863", "Реализация мероприятий по транспортной безопасности (строительно-монтажные работы, ограждения.Строительно-монтажные работы, системы контроля управления доступом Автовокзал)")</f>
        <v>Реализация мероприятий по транспортной безопасности (строительно-монтажные работы, ограждения.Строительно-монтажные работы, системы контроля управления доступом Автовокзал)</v>
      </c>
      <c r="G13234" s="22" t="s">
        <v>714</v>
      </c>
      <c r="H13234" s="22" t="s">
        <v>714</v>
      </c>
      <c r="I13234" s="26">
        <v>43528.554166666698</v>
      </c>
      <c r="J13234" s="23" t="str">
        <f>HYPERLINK("https://www.spark-marketing.ru/Card/Person/4715617", "Стромова Юлия Михайловна")</f>
        <v>Стромова Юлия Михайловна</v>
      </c>
      <c r="K13234" s="24" t="s">
        <v>3887</v>
      </c>
      <c r="L13234" s="28" t="s">
        <v>52</v>
      </c>
      <c r="M13234" s="25">
        <v>2040979.57</v>
      </c>
      <c r="N13234" s="27">
        <v>0.21541837795555596</v>
      </c>
    </row>
    <row r="13235" spans="1:14" x14ac:dyDescent="0.2">
      <c r="A13235" s="23" t="str">
        <f>HYPERLINK("https://www.spark-marketing.ru/Card/Person/4415390", "МАОУ ДО ЦДО ""СПЕКТР""")</f>
        <v>МАОУ ДО ЦДО "СПЕКТР"</v>
      </c>
      <c r="B13235" s="24" t="s">
        <v>15398</v>
      </c>
      <c r="C13235" s="25">
        <v>106200</v>
      </c>
      <c r="D13235" s="22" t="s">
        <v>15399</v>
      </c>
      <c r="E13235" s="22" t="s">
        <v>144</v>
      </c>
      <c r="F13235" s="23" t="str">
        <f>HYPERLINK("https://www.spark-marketing.ru/Card/Lot/68440944", "Оказание услуг по охране объекта и обеспечению внутри объектового и пропускного режима")</f>
        <v>Оказание услуг по охране объекта и обеспечению внутри объектового и пропускного режима</v>
      </c>
      <c r="G13235" s="22" t="s">
        <v>72</v>
      </c>
      <c r="H13235" s="22" t="s">
        <v>72</v>
      </c>
      <c r="I13235" s="26">
        <v>43528.578344907401</v>
      </c>
      <c r="J13235" s="23" t="str">
        <f>HYPERLINK("https://www.spark-marketing.ru/Card/Person/4357441", "ООО ""ЧОП ""ДЖЕБ""")</f>
        <v>ООО "ЧОП "ДЖЕБ"</v>
      </c>
      <c r="K13235" s="24" t="s">
        <v>15400</v>
      </c>
      <c r="L13235" s="28" t="s">
        <v>52</v>
      </c>
      <c r="M13235" s="25">
        <v>106200</v>
      </c>
      <c r="N13235" s="27">
        <v>0</v>
      </c>
    </row>
    <row r="13236" spans="1:14" x14ac:dyDescent="0.15">
      <c r="A13236" s="23" t="str">
        <f>HYPERLINK("https://www.spark-marketing.ru/Card/Person/4364295", "АО ""ГАЗПРОМНЕФТЬ-ОНПЗ""")</f>
        <v>АО "ГАЗПРОМНЕФТЬ-ОНПЗ"</v>
      </c>
      <c r="B13236" s="24" t="s">
        <v>15401</v>
      </c>
      <c r="C13236" s="28" t="s">
        <v>52</v>
      </c>
      <c r="D13236" s="22" t="s">
        <v>15402</v>
      </c>
      <c r="E13236" s="22" t="s">
        <v>53</v>
      </c>
      <c r="F13236" s="23" t="str">
        <f>HYPERLINK("https://www.spark-marketing.ru/Card/Lot/68442288", "Расчистка охранных зон основной, вспомогательных территорий и межцеховых трубопроводов АО «Газпромнефть-ОНПЗ»")</f>
        <v>Расчистка охранных зон основной, вспомогательных территорий и межцеховых трубопроводов АО «Газпромнефть-ОНПЗ»</v>
      </c>
      <c r="G13236" s="22" t="s">
        <v>521</v>
      </c>
      <c r="H13236" s="22" t="s">
        <v>522</v>
      </c>
      <c r="I13236" s="26">
        <v>43528.541666666701</v>
      </c>
      <c r="J13236" s="28" t="s">
        <v>52</v>
      </c>
      <c r="K13236" s="28" t="s">
        <v>52</v>
      </c>
      <c r="L13236" s="28" t="s">
        <v>52</v>
      </c>
      <c r="M13236" s="28" t="s">
        <v>52</v>
      </c>
      <c r="N13236" s="28" t="s">
        <v>52</v>
      </c>
    </row>
    <row r="13237" spans="1:14" x14ac:dyDescent="0.15">
      <c r="A13237" s="23" t="str">
        <f>HYPERLINK("https://www.spark-marketing.ru/Card/Person/15296", "ФКУЗ ""САНАТОРИЙ ""ИЗУМРУДНЫЙ"" МВД РОССИИ""")</f>
        <v>ФКУЗ "САНАТОРИЙ "ИЗУМРУДНЫЙ" МВД РОССИИ"</v>
      </c>
      <c r="B13237" s="24" t="s">
        <v>15403</v>
      </c>
      <c r="C13237" s="25">
        <v>5481.72</v>
      </c>
      <c r="D13237" s="22" t="s">
        <v>15404</v>
      </c>
      <c r="E13237" s="22" t="s">
        <v>53</v>
      </c>
      <c r="F13237" s="23" t="str">
        <f>HYPERLINK("https://www.spark-marketing.ru/Card/Lot/70797726", "Услуги по техническому обслуживанию средств охраны")</f>
        <v>Услуги по техническому обслуживанию средств охраны</v>
      </c>
      <c r="G13237" s="22" t="s">
        <v>1053</v>
      </c>
      <c r="H13237" s="22" t="s">
        <v>5997</v>
      </c>
      <c r="I13237" s="26">
        <v>43528.513321759303</v>
      </c>
      <c r="J13237" s="28" t="s">
        <v>52</v>
      </c>
      <c r="K13237" s="28" t="s">
        <v>52</v>
      </c>
      <c r="L13237" s="28" t="s">
        <v>52</v>
      </c>
      <c r="M13237" s="28" t="s">
        <v>52</v>
      </c>
      <c r="N13237" s="28" t="s">
        <v>52</v>
      </c>
    </row>
    <row r="13238" spans="1:14" x14ac:dyDescent="0.15">
      <c r="A13238" s="23" t="str">
        <f>HYPERLINK("https://www.spark-marketing.ru/Card/Person/4366022", "АСУСОН ТО ""ЛЕСНОВСКИЙ ПСИХОНЕВРОЛОГИЧЕСКИЙ ИНТЕРНАТ""")</f>
        <v>АСУСОН ТО "ЛЕСНОВСКИЙ ПСИХОНЕВРОЛОГИЧЕСКИЙ ИНТЕРНАТ"</v>
      </c>
      <c r="B13238" s="24" t="s">
        <v>10307</v>
      </c>
      <c r="C13238" s="25">
        <v>499514</v>
      </c>
      <c r="D13238" s="22" t="s">
        <v>15405</v>
      </c>
      <c r="E13238" s="22" t="s">
        <v>396</v>
      </c>
      <c r="F13238" s="23" t="str">
        <f>HYPERLINK("https://www.spark-marketing.ru/Card/Lot/68438016", "Выполнение работ по монтажу систем видеонаблюдения в зданиях столовой и корпуса №5 АСУСОН ТО ""Лесновский психоневрологический интернат""")</f>
        <v>Выполнение работ по монтажу систем видеонаблюдения в зданиях столовой и корпуса №5 АСУСОН ТО "Лесновский психоневрологический интернат"</v>
      </c>
      <c r="G13238" s="22" t="s">
        <v>893</v>
      </c>
      <c r="H13238" s="22" t="s">
        <v>893</v>
      </c>
      <c r="I13238" s="26">
        <v>43528.504317129598</v>
      </c>
      <c r="J13238" s="28" t="s">
        <v>52</v>
      </c>
      <c r="K13238" s="28" t="s">
        <v>52</v>
      </c>
      <c r="L13238" s="28" t="s">
        <v>52</v>
      </c>
      <c r="M13238" s="28" t="s">
        <v>52</v>
      </c>
      <c r="N13238" s="28" t="s">
        <v>52</v>
      </c>
    </row>
    <row r="13239" spans="1:14" hidden="1" outlineLevel="1" x14ac:dyDescent="0.2">
      <c r="A13239" s="23" t="str">
        <f>HYPERLINK("https://www.spark-marketing.ru/Card/Person/4366022", "АСУСОН ТО ""ЛЕСНОВСКИЙ ПСИХОНЕВРОЛОГИЧЕСКИЙ ИНТЕРНАТ""")</f>
        <v>АСУСОН ТО "ЛЕСНОВСКИЙ ПСИХОНЕВРОЛОГИЧЕСКИЙ ИНТЕРНАТ"</v>
      </c>
      <c r="B13239" s="24" t="s">
        <v>10307</v>
      </c>
      <c r="C13239" s="28" t="s">
        <v>52</v>
      </c>
      <c r="D13239" s="22" t="s">
        <v>15405</v>
      </c>
      <c r="E13239" s="22" t="s">
        <v>396</v>
      </c>
      <c r="F13239" s="23" t="str">
        <f>HYPERLINK("https://www.spark-marketing.ru/Card/Lot/68438016", "Выполнение работ по монтажу систем видеонаблюдения в зданиях столовой и корпуса №5 АСУСОН ТО ""Лесновский психоневрологический интернат""")</f>
        <v>Выполнение работ по монтажу систем видеонаблюдения в зданиях столовой и корпуса №5 АСУСОН ТО "Лесновский психоневрологический интернат"</v>
      </c>
      <c r="G13239" s="22" t="s">
        <v>893</v>
      </c>
      <c r="H13239" s="22" t="s">
        <v>893</v>
      </c>
      <c r="I13239" s="26">
        <v>43528.504317129598</v>
      </c>
      <c r="J13239" s="23" t="str">
        <f>HYPERLINK("https://www.spark-marketing.ru/Card/Person/6448085", "ООО ""ЯЛУТОРОВСКПОЖСЕРВИС""")</f>
        <v>ООО "ЯЛУТОРОВСКПОЖСЕРВИС"</v>
      </c>
      <c r="K13239" s="24" t="s">
        <v>10309</v>
      </c>
      <c r="L13239" s="22" t="s">
        <v>10</v>
      </c>
      <c r="M13239" s="25">
        <v>499514</v>
      </c>
      <c r="N13239" s="27">
        <v>0</v>
      </c>
    </row>
    <row r="13240" spans="1:14" hidden="1" outlineLevel="1" x14ac:dyDescent="0.2">
      <c r="A13240" s="23" t="str">
        <f>HYPERLINK("https://www.spark-marketing.ru/Card/Person/4366022", "АСУСОН ТО ""ЛЕСНОВСКИЙ ПСИХОНЕВРОЛОГИЧЕСКИЙ ИНТЕРНАТ""")</f>
        <v>АСУСОН ТО "ЛЕСНОВСКИЙ ПСИХОНЕВРОЛОГИЧЕСКИЙ ИНТЕРНАТ"</v>
      </c>
      <c r="B13240" s="24" t="s">
        <v>10307</v>
      </c>
      <c r="C13240" s="28" t="s">
        <v>52</v>
      </c>
      <c r="D13240" s="22" t="s">
        <v>15405</v>
      </c>
      <c r="E13240" s="22" t="s">
        <v>396</v>
      </c>
      <c r="F13240" s="23" t="str">
        <f>HYPERLINK("https://www.spark-marketing.ru/Card/Lot/68438016", "Выполнение работ по монтажу систем видеонаблюдения в зданиях столовой и корпуса №5 АСУСОН ТО ""Лесновский психоневрологический интернат""")</f>
        <v>Выполнение работ по монтажу систем видеонаблюдения в зданиях столовой и корпуса №5 АСУСОН ТО "Лесновский психоневрологический интернат"</v>
      </c>
      <c r="G13240" s="22" t="s">
        <v>893</v>
      </c>
      <c r="H13240" s="22" t="s">
        <v>893</v>
      </c>
      <c r="I13240" s="26">
        <v>43528.504317129598</v>
      </c>
      <c r="J13240" s="23" t="str">
        <f>HYPERLINK("https://www.spark-marketing.ru/Card/Person/5769537", "ООО ""АПЕКС""")</f>
        <v>ООО "АПЕКС"</v>
      </c>
      <c r="K13240" s="24" t="s">
        <v>10310</v>
      </c>
      <c r="L13240" s="28" t="s">
        <v>52</v>
      </c>
      <c r="M13240" s="25">
        <v>580900</v>
      </c>
      <c r="N13240" s="27">
        <v>-0.16293036831800511</v>
      </c>
    </row>
    <row r="13241" spans="1:14" hidden="1" outlineLevel="1" x14ac:dyDescent="0.2">
      <c r="A13241" s="23" t="str">
        <f>HYPERLINK("https://www.spark-marketing.ru/Card/Person/4366022", "АСУСОН ТО ""ЛЕСНОВСКИЙ ПСИХОНЕВРОЛОГИЧЕСКИЙ ИНТЕРНАТ""")</f>
        <v>АСУСОН ТО "ЛЕСНОВСКИЙ ПСИХОНЕВРОЛОГИЧЕСКИЙ ИНТЕРНАТ"</v>
      </c>
      <c r="B13241" s="24" t="s">
        <v>10307</v>
      </c>
      <c r="C13241" s="28" t="s">
        <v>52</v>
      </c>
      <c r="D13241" s="22" t="s">
        <v>15405</v>
      </c>
      <c r="E13241" s="22" t="s">
        <v>396</v>
      </c>
      <c r="F13241" s="23" t="str">
        <f>HYPERLINK("https://www.spark-marketing.ru/Card/Lot/68438016", "Выполнение работ по монтажу систем видеонаблюдения в зданиях столовой и корпуса №5 АСУСОН ТО ""Лесновский психоневрологический интернат""")</f>
        <v>Выполнение работ по монтажу систем видеонаблюдения в зданиях столовой и корпуса №5 АСУСОН ТО "Лесновский психоневрологический интернат"</v>
      </c>
      <c r="G13241" s="22" t="s">
        <v>893</v>
      </c>
      <c r="H13241" s="22" t="s">
        <v>893</v>
      </c>
      <c r="I13241" s="26">
        <v>43528.504317129598</v>
      </c>
      <c r="J13241" s="23" t="str">
        <f>HYPERLINK("https://www.spark-marketing.ru/Card/Person/1960314", "ООО ""СИСТЕМЫ БЕЗОПАСНОСТИ""")</f>
        <v>ООО "СИСТЕМЫ БЕЗОПАСНОСТИ"</v>
      </c>
      <c r="K13241" s="24" t="s">
        <v>10311</v>
      </c>
      <c r="L13241" s="28" t="s">
        <v>52</v>
      </c>
      <c r="M13241" s="25">
        <v>554960</v>
      </c>
      <c r="N13241" s="27">
        <v>-0.11099989189492186</v>
      </c>
    </row>
    <row r="13242" spans="1:14" x14ac:dyDescent="0.15">
      <c r="A13242" s="23" t="str">
        <f>HYPERLINK("https://www.spark-marketing.ru/Card/Person/124063", "МКУ ""АДЦ""")</f>
        <v>МКУ "АДЦ"</v>
      </c>
      <c r="B13242" s="24" t="s">
        <v>12644</v>
      </c>
      <c r="C13242" s="25">
        <v>155040</v>
      </c>
      <c r="D13242" s="22" t="s">
        <v>15406</v>
      </c>
      <c r="E13242" s="22" t="s">
        <v>68</v>
      </c>
      <c r="F13242" s="23" t="str">
        <f>HYPERLINK("https://www.spark-marketing.ru/Card/Lot/68429765", "Оказание услуг защиты объекта транспортной инфраструктуры от актов незаконного вмешательства для нужд МКУ ""Автоматизированный диспетчерский центр""")</f>
        <v>Оказание услуг защиты объекта транспортной инфраструктуры от актов незаконного вмешательства для нужд МКУ "Автоматизированный диспетчерский центр"</v>
      </c>
      <c r="G13242" s="22" t="s">
        <v>409</v>
      </c>
      <c r="H13242" s="22" t="s">
        <v>878</v>
      </c>
      <c r="I13242" s="26">
        <v>43528.516666666699</v>
      </c>
      <c r="J13242" s="28" t="s">
        <v>52</v>
      </c>
      <c r="K13242" s="28" t="s">
        <v>52</v>
      </c>
      <c r="L13242" s="28" t="s">
        <v>52</v>
      </c>
      <c r="M13242" s="28" t="s">
        <v>52</v>
      </c>
      <c r="N13242" s="28" t="s">
        <v>52</v>
      </c>
    </row>
    <row r="13243" spans="1:14" ht="12.75" hidden="1" outlineLevel="1" x14ac:dyDescent="0.2">
      <c r="A13243" s="23" t="str">
        <f>HYPERLINK("https://www.spark-marketing.ru/Card/Person/124063", "МКУ ""АДЦ""")</f>
        <v>МКУ "АДЦ"</v>
      </c>
      <c r="B13243" s="24" t="s">
        <v>12644</v>
      </c>
      <c r="C13243" s="25">
        <v>155040</v>
      </c>
      <c r="D13243" s="22" t="s">
        <v>15406</v>
      </c>
      <c r="E13243" s="22" t="s">
        <v>68</v>
      </c>
      <c r="F13243" s="23" t="str">
        <f>HYPERLINK("https://www.spark-marketing.ru/Card/Lot/68429765", "Оказание услуг защиты объекта транспортной инфраструктуры от актов незаконного вмешательства для нужд МКУ ""Автоматизированный диспетчерский центр""")</f>
        <v>Оказание услуг защиты объекта транспортной инфраструктуры от актов незаконного вмешательства для нужд МКУ "Автоматизированный диспетчерский центр"</v>
      </c>
      <c r="G13243" s="22" t="s">
        <v>409</v>
      </c>
      <c r="H13243" s="22" t="s">
        <v>878</v>
      </c>
      <c r="I13243" s="26">
        <v>43528.516666666699</v>
      </c>
      <c r="J13243" s="23" t="str">
        <f>HYPERLINK("https://www.spark-marketing.ru/Card/Person/6285750", "ООО ""ДВ ТРАНСПОРТНАЯ БЕЗОПАСНОСТЬ""")</f>
        <v>ООО "ДВ ТРАНСПОРТНАЯ БЕЗОПАСНОСТЬ"</v>
      </c>
      <c r="K13243" s="24" t="s">
        <v>12646</v>
      </c>
      <c r="L13243" s="22" t="s">
        <v>10</v>
      </c>
      <c r="M13243" s="25">
        <v>154836</v>
      </c>
      <c r="N13243" s="27">
        <v>1.3157894736842105E-3</v>
      </c>
    </row>
    <row r="13244" spans="1:14" hidden="1" outlineLevel="1" x14ac:dyDescent="0.2">
      <c r="A13244" s="23" t="str">
        <f>HYPERLINK("https://www.spark-marketing.ru/Card/Person/124063", "МКУ ""АДЦ""")</f>
        <v>МКУ "АДЦ"</v>
      </c>
      <c r="B13244" s="24" t="s">
        <v>12644</v>
      </c>
      <c r="C13244" s="25">
        <v>155040</v>
      </c>
      <c r="D13244" s="22" t="s">
        <v>15406</v>
      </c>
      <c r="E13244" s="22" t="s">
        <v>68</v>
      </c>
      <c r="F13244" s="23" t="str">
        <f>HYPERLINK("https://www.spark-marketing.ru/Card/Lot/68429765", "Оказание услуг защиты объекта транспортной инфраструктуры от актов незаконного вмешательства для нужд МКУ ""Автоматизированный диспетчерский центр""")</f>
        <v>Оказание услуг защиты объекта транспортной инфраструктуры от актов незаконного вмешательства для нужд МКУ "Автоматизированный диспетчерский центр"</v>
      </c>
      <c r="G13244" s="22" t="s">
        <v>409</v>
      </c>
      <c r="H13244" s="22" t="s">
        <v>878</v>
      </c>
      <c r="I13244" s="26">
        <v>43528.516666666699</v>
      </c>
      <c r="J13244" s="23" t="str">
        <f>HYPERLINK("https://www.spark-marketing.ru/Card/Person/470688", "ООО ""ОА ""РЕАЛ СЕКЬЮРИТИ ДВ""")</f>
        <v>ООО "ОА "РЕАЛ СЕКЬЮРИТИ ДВ"</v>
      </c>
      <c r="K13244" s="24" t="s">
        <v>12647</v>
      </c>
      <c r="L13244" s="28" t="s">
        <v>52</v>
      </c>
      <c r="M13244" s="25">
        <v>155040</v>
      </c>
      <c r="N13244" s="27">
        <v>0</v>
      </c>
    </row>
    <row r="13245" spans="1:14" x14ac:dyDescent="0.15">
      <c r="A13245" s="23" t="str">
        <f>HYPERLINK("https://www.spark-marketing.ru/Card/Person/4353137", "ПАО ""МОСЭНЕРГО""")</f>
        <v>ПАО "МОСЭНЕРГО"</v>
      </c>
      <c r="B13245" s="24" t="s">
        <v>11322</v>
      </c>
      <c r="C13245" s="25">
        <v>1100000</v>
      </c>
      <c r="D13245" s="22" t="s">
        <v>15407</v>
      </c>
      <c r="E13245" s="22" t="s">
        <v>15408</v>
      </c>
      <c r="F13245" s="23" t="str">
        <f>HYPERLINK("https://www.spark-marketing.ru/Card/Lot/68442781", "Выполнение работ по инженерно- технологическому сопровождению по объекту ""Реконструкция градирни №6""")</f>
        <v>Выполнение работ по инженерно- технологическому сопровождению по объекту "Реконструкция градирни №6"</v>
      </c>
      <c r="G13245" s="22" t="s">
        <v>55</v>
      </c>
      <c r="H13245" s="22" t="s">
        <v>55</v>
      </c>
      <c r="I13245" s="26">
        <v>43528.534490740698</v>
      </c>
      <c r="J13245" s="28" t="s">
        <v>52</v>
      </c>
      <c r="K13245" s="28" t="s">
        <v>52</v>
      </c>
      <c r="L13245" s="28" t="s">
        <v>52</v>
      </c>
      <c r="M13245" s="28" t="s">
        <v>52</v>
      </c>
      <c r="N13245" s="28" t="s">
        <v>52</v>
      </c>
    </row>
    <row r="13246" spans="1:14" x14ac:dyDescent="0.15">
      <c r="A13246" s="23" t="str">
        <f>HYPERLINK("https://www.spark-marketing.ru/Card/Person/359996", "ОКУ "" ГРЯЗИНСКИЙ РАЙОННЫЙ ЦЗН""")</f>
        <v>ОКУ " ГРЯЗИНСКИЙ РАЙОННЫЙ ЦЗН"</v>
      </c>
      <c r="B13246" s="24" t="s">
        <v>15409</v>
      </c>
      <c r="C13246" s="25">
        <v>303819.52000000002</v>
      </c>
      <c r="D13246" s="22" t="s">
        <v>15410</v>
      </c>
      <c r="E13246" s="22" t="s">
        <v>52</v>
      </c>
      <c r="F13246" s="23" t="str">
        <f>HYPERLINK("https://www.spark-marketing.ru/Card/Lot/68444349", "Оказание услуг по физической охране объектов")</f>
        <v>Оказание услуг по физической охране объектов</v>
      </c>
      <c r="G13246" s="22" t="s">
        <v>629</v>
      </c>
      <c r="H13246" s="22" t="s">
        <v>629</v>
      </c>
      <c r="I13246" s="26">
        <v>43528.504861111098</v>
      </c>
      <c r="J13246" s="28" t="s">
        <v>52</v>
      </c>
      <c r="K13246" s="28" t="s">
        <v>52</v>
      </c>
      <c r="L13246" s="28" t="s">
        <v>52</v>
      </c>
      <c r="M13246" s="28" t="s">
        <v>52</v>
      </c>
      <c r="N13246" s="28" t="s">
        <v>52</v>
      </c>
    </row>
    <row r="13247" spans="1:14" ht="12.75" hidden="1" outlineLevel="1" x14ac:dyDescent="0.2">
      <c r="A13247" s="23" t="str">
        <f>HYPERLINK("https://www.spark-marketing.ru/Card/Person/359996", "ОКУ "" ГРЯЗИНСКИЙ РАЙОННЫЙ ЦЗН""")</f>
        <v>ОКУ " ГРЯЗИНСКИЙ РАЙОННЫЙ ЦЗН"</v>
      </c>
      <c r="B13247" s="24" t="s">
        <v>15409</v>
      </c>
      <c r="C13247" s="25">
        <v>303819.52000000002</v>
      </c>
      <c r="D13247" s="22" t="s">
        <v>15410</v>
      </c>
      <c r="E13247" s="22" t="s">
        <v>52</v>
      </c>
      <c r="F13247" s="23" t="str">
        <f>HYPERLINK("https://www.spark-marketing.ru/Card/Lot/68444349", "Оказание услуг по физической охране объектов")</f>
        <v>Оказание услуг по физической охране объектов</v>
      </c>
      <c r="G13247" s="22" t="s">
        <v>629</v>
      </c>
      <c r="H13247" s="22" t="s">
        <v>629</v>
      </c>
      <c r="I13247" s="26">
        <v>43528.504861111098</v>
      </c>
      <c r="J13247" s="23" t="str">
        <f>HYPERLINK("https://www.spark-marketing.ru/Card/Person/1292267", "ООО ЧОО ""ПЕРСЕЙ А""")</f>
        <v>ООО ЧОО "ПЕРСЕЙ А"</v>
      </c>
      <c r="K13247" s="24" t="s">
        <v>5056</v>
      </c>
      <c r="L13247" s="22" t="s">
        <v>10</v>
      </c>
      <c r="M13247" s="25">
        <v>300781.32</v>
      </c>
      <c r="N13247" s="27">
        <v>1.0000015798853214E-2</v>
      </c>
    </row>
    <row r="13248" spans="1:14" hidden="1" outlineLevel="1" x14ac:dyDescent="0.2">
      <c r="A13248" s="23" t="str">
        <f>HYPERLINK("https://www.spark-marketing.ru/Card/Person/359996", "ОКУ "" ГРЯЗИНСКИЙ РАЙОННЫЙ ЦЗН""")</f>
        <v>ОКУ " ГРЯЗИНСКИЙ РАЙОННЫЙ ЦЗН"</v>
      </c>
      <c r="B13248" s="24" t="s">
        <v>15409</v>
      </c>
      <c r="C13248" s="25">
        <v>303819.52000000002</v>
      </c>
      <c r="D13248" s="22" t="s">
        <v>15410</v>
      </c>
      <c r="E13248" s="22" t="s">
        <v>52</v>
      </c>
      <c r="F13248" s="23" t="str">
        <f>HYPERLINK("https://www.spark-marketing.ru/Card/Lot/68444349", "Оказание услуг по физической охране объектов")</f>
        <v>Оказание услуг по физической охране объектов</v>
      </c>
      <c r="G13248" s="22" t="s">
        <v>629</v>
      </c>
      <c r="H13248" s="22" t="s">
        <v>629</v>
      </c>
      <c r="I13248" s="26">
        <v>43528.504861111098</v>
      </c>
      <c r="J13248" s="23" t="str">
        <f>HYPERLINK("https://www.spark-marketing.ru/Card/Person/701525", "ООО ЧОО ""ПАНТЕРА Л""")</f>
        <v>ООО ЧОО "ПАНТЕРА Л"</v>
      </c>
      <c r="K13248" s="24" t="s">
        <v>5055</v>
      </c>
      <c r="L13248" s="28" t="s">
        <v>52</v>
      </c>
      <c r="M13248" s="25">
        <v>300781.32</v>
      </c>
      <c r="N13248" s="27">
        <v>1.0000015798853214E-2</v>
      </c>
    </row>
    <row r="13249" spans="1:14" hidden="1" outlineLevel="1" x14ac:dyDescent="0.2">
      <c r="A13249" s="23" t="str">
        <f>HYPERLINK("https://www.spark-marketing.ru/Card/Person/359996", "ОКУ "" ГРЯЗИНСКИЙ РАЙОННЫЙ ЦЗН""")</f>
        <v>ОКУ " ГРЯЗИНСКИЙ РАЙОННЫЙ ЦЗН"</v>
      </c>
      <c r="B13249" s="24" t="s">
        <v>15409</v>
      </c>
      <c r="C13249" s="25">
        <v>303819.52000000002</v>
      </c>
      <c r="D13249" s="22" t="s">
        <v>15410</v>
      </c>
      <c r="E13249" s="22" t="s">
        <v>52</v>
      </c>
      <c r="F13249" s="23" t="str">
        <f>HYPERLINK("https://www.spark-marketing.ru/Card/Lot/68444349", "Оказание услуг по физической охране объектов")</f>
        <v>Оказание услуг по физической охране объектов</v>
      </c>
      <c r="G13249" s="22" t="s">
        <v>629</v>
      </c>
      <c r="H13249" s="22" t="s">
        <v>629</v>
      </c>
      <c r="I13249" s="26">
        <v>43528.504861111098</v>
      </c>
      <c r="J13249" s="23" t="str">
        <f>HYPERLINK("https://www.spark-marketing.ru/Card/Person/422204", "ООО ""ЧОП ""РУССКИЙ МЕДВЕДЬ М""")</f>
        <v>ООО "ЧОП "РУССКИЙ МЕДВЕДЬ М"</v>
      </c>
      <c r="K13249" s="24" t="s">
        <v>15411</v>
      </c>
      <c r="L13249" s="28" t="s">
        <v>52</v>
      </c>
      <c r="M13249" s="25">
        <v>303819.52000000002</v>
      </c>
      <c r="N13249" s="27">
        <v>0</v>
      </c>
    </row>
    <row r="13250" spans="1:14" hidden="1" outlineLevel="1" x14ac:dyDescent="0.2">
      <c r="A13250" s="23" t="str">
        <f>HYPERLINK("https://www.spark-marketing.ru/Card/Person/359996", "ОКУ "" ГРЯЗИНСКИЙ РАЙОННЫЙ ЦЗН""")</f>
        <v>ОКУ " ГРЯЗИНСКИЙ РАЙОННЫЙ ЦЗН"</v>
      </c>
      <c r="B13250" s="24" t="s">
        <v>15409</v>
      </c>
      <c r="C13250" s="25">
        <v>303819.52000000002</v>
      </c>
      <c r="D13250" s="22" t="s">
        <v>15410</v>
      </c>
      <c r="E13250" s="22" t="s">
        <v>52</v>
      </c>
      <c r="F13250" s="23" t="str">
        <f>HYPERLINK("https://www.spark-marketing.ru/Card/Lot/68444349", "Оказание услуг по физической охране объектов")</f>
        <v>Оказание услуг по физической охране объектов</v>
      </c>
      <c r="G13250" s="22" t="s">
        <v>629</v>
      </c>
      <c r="H13250" s="22" t="s">
        <v>629</v>
      </c>
      <c r="I13250" s="26">
        <v>43528.504861111098</v>
      </c>
      <c r="J13250" s="23" t="str">
        <f>HYPERLINK("https://www.spark-marketing.ru/Card/Person/124217", "ООО ""ЧОП""РУСИЧ""")</f>
        <v>ООО "ЧОП"РУСИЧ"</v>
      </c>
      <c r="K13250" s="24" t="s">
        <v>1607</v>
      </c>
      <c r="L13250" s="28" t="s">
        <v>52</v>
      </c>
      <c r="M13250" s="25">
        <v>300781.32</v>
      </c>
      <c r="N13250" s="27">
        <v>1.0000015798853214E-2</v>
      </c>
    </row>
    <row r="13251" spans="1:14" x14ac:dyDescent="0.15">
      <c r="A13251" s="23" t="str">
        <f>HYPERLINK("https://www.spark-marketing.ru/Card/Person/78260", "МОУ ШКОЛА № 13 С УИОП")</f>
        <v>МОУ ШКОЛА № 13 С УИОП</v>
      </c>
      <c r="B13251" s="24" t="s">
        <v>14587</v>
      </c>
      <c r="C13251" s="25">
        <v>49950</v>
      </c>
      <c r="D13251" s="22" t="s">
        <v>15412</v>
      </c>
      <c r="E13251" s="22" t="s">
        <v>294</v>
      </c>
      <c r="F13251" s="23" t="str">
        <f>HYPERLINK("https://www.spark-marketing.ru/Card/Lot/68536089", "Оказание услуг по техническому обслуживанию оборудования, входящего в систему видеонаблюдения в период проведения ЕГЭ")</f>
        <v>Оказание услуг по техническому обслуживанию оборудования, входящего в систему видеонаблюдения в период проведения ЕГЭ</v>
      </c>
      <c r="G13251" s="22" t="s">
        <v>50</v>
      </c>
      <c r="H13251" s="22" t="s">
        <v>6661</v>
      </c>
      <c r="I13251" s="26">
        <v>43528.523599537002</v>
      </c>
      <c r="J13251" s="28" t="s">
        <v>52</v>
      </c>
      <c r="K13251" s="28" t="s">
        <v>52</v>
      </c>
      <c r="L13251" s="28" t="s">
        <v>52</v>
      </c>
      <c r="M13251" s="28" t="s">
        <v>52</v>
      </c>
      <c r="N13251" s="28" t="s">
        <v>52</v>
      </c>
    </row>
    <row r="13252" spans="1:14" x14ac:dyDescent="0.2">
      <c r="A13252" s="23" t="str">
        <f>HYPERLINK("https://www.spark-marketing.ru/Card/Person/1766366", "МАУ ГОЩ ""МФЦ ГОРОДСКОГО ОКРУГА ЩЁЛКОВО""")</f>
        <v>МАУ ГОЩ "МФЦ ГОРОДСКОГО ОКРУГА ЩЁЛКОВО"</v>
      </c>
      <c r="B13252" s="24" t="s">
        <v>9283</v>
      </c>
      <c r="C13252" s="25">
        <v>8553.52</v>
      </c>
      <c r="D13252" s="22" t="s">
        <v>15413</v>
      </c>
      <c r="E13252" s="22" t="s">
        <v>9285</v>
      </c>
      <c r="F13252" s="23" t="str">
        <f>HYPERLINK("https://www.spark-marketing.ru/Card/Lot/68442682", "Возмещение эксплуатационных расходов по коммунальным и охранным услугам")</f>
        <v>Возмещение эксплуатационных расходов по коммунальным и охранным услугам</v>
      </c>
      <c r="G13252" s="22" t="s">
        <v>50</v>
      </c>
      <c r="H13252" s="22" t="s">
        <v>458</v>
      </c>
      <c r="I13252" s="26">
        <v>43528.539675925902</v>
      </c>
      <c r="J13252" s="23" t="str">
        <f>HYPERLINK("https://www.spark-marketing.ru/Card/Person/78666", "ГУП МО ""МОБТИ""")</f>
        <v>ГУП МО "МОБТИ"</v>
      </c>
      <c r="K13252" s="24" t="s">
        <v>3213</v>
      </c>
      <c r="L13252" s="28" t="s">
        <v>52</v>
      </c>
      <c r="M13252" s="25">
        <v>8553.52</v>
      </c>
      <c r="N13252" s="27">
        <v>0</v>
      </c>
    </row>
    <row r="13253" spans="1:14" x14ac:dyDescent="0.15">
      <c r="A13253" s="23" t="str">
        <f>HYPERLINK("https://www.spark-marketing.ru/Card/Person/26647", "УСД ВО ВЛАДИМИРСКОЙ ОБЛАСТИ")</f>
        <v>УСД ВО ВЛАДИМИРСКОЙ ОБЛАСТИ</v>
      </c>
      <c r="B13253" s="24" t="s">
        <v>8226</v>
      </c>
      <c r="C13253" s="25">
        <v>77973.179999999993</v>
      </c>
      <c r="D13253" s="22" t="s">
        <v>15414</v>
      </c>
      <c r="E13253" s="22" t="s">
        <v>68</v>
      </c>
      <c r="F13253" s="23" t="str">
        <f>HYPERLINK("https://www.spark-marketing.ru/Card/Lot/68444641", "Закупка услуг для обеспечения государственных нужд ""услуги охраны зданий и помещений Управления Судебного департамента с помощью охранной сигнализации (ПЦН) и кнопки тревожной сигнализации (КТС)""")</f>
        <v>Закупка услуг для обеспечения государственных нужд "услуги охраны зданий и помещений Управления Судебного департамента с помощью охранной сигнализации (ПЦН) и кнопки тревожной сигнализации (КТС)"</v>
      </c>
      <c r="G13253" s="22" t="s">
        <v>145</v>
      </c>
      <c r="H13253" s="22" t="s">
        <v>145</v>
      </c>
      <c r="I13253" s="26">
        <v>43528.499305555597</v>
      </c>
      <c r="J13253" s="23" t="str">
        <f>HYPERLINK("https://www.spark-marketing.ru/Card/Person/25843", "ФГКУ ""УВО ВНГ РОССИИ ПО ВЛАДИМИРСКОЙ ОБЛАСТИ""")</f>
        <v>ФГКУ "УВО ВНГ РОССИИ ПО ВЛАДИМИРСКОЙ ОБЛАСТИ"</v>
      </c>
      <c r="K13253" s="24" t="s">
        <v>3022</v>
      </c>
      <c r="L13253" s="22" t="s">
        <v>10</v>
      </c>
      <c r="M13253" s="28" t="s">
        <v>52</v>
      </c>
      <c r="N13253" s="28" t="s">
        <v>52</v>
      </c>
    </row>
    <row r="13254" spans="1:14" x14ac:dyDescent="0.15">
      <c r="A13254" s="23" t="str">
        <f>HYPERLINK("https://www.spark-marketing.ru/Card/Person/106926", "КГБУЗ ""ПАРТИЗАНСКАЯ ЦРБ""")</f>
        <v>КГБУЗ "ПАРТИЗАНСКАЯ ЦРБ"</v>
      </c>
      <c r="B13254" s="24" t="s">
        <v>15415</v>
      </c>
      <c r="C13254" s="25">
        <v>376894.92</v>
      </c>
      <c r="D13254" s="22" t="s">
        <v>15416</v>
      </c>
      <c r="E13254" s="22" t="s">
        <v>52</v>
      </c>
      <c r="F13254" s="23" t="str">
        <f>HYPERLINK("https://www.spark-marketing.ru/Card/Lot/68429161", "оказание услуг по экстренному вызову наряда вневедомственной охраны войск национальной гвардии на охраняемый объект по сигналу тревога")</f>
        <v>оказание услуг по экстренному вызову наряда вневедомственной охраны войск национальной гвардии на охраняемый объект по сигналу тревога</v>
      </c>
      <c r="G13254" s="22" t="s">
        <v>409</v>
      </c>
      <c r="H13254" s="22" t="s">
        <v>15417</v>
      </c>
      <c r="I13254" s="26">
        <v>43528.495138888902</v>
      </c>
      <c r="J13254" s="28" t="s">
        <v>52</v>
      </c>
      <c r="K13254" s="28" t="s">
        <v>52</v>
      </c>
      <c r="L13254" s="28" t="s">
        <v>52</v>
      </c>
      <c r="M13254" s="28" t="s">
        <v>52</v>
      </c>
      <c r="N13254" s="28" t="s">
        <v>52</v>
      </c>
    </row>
    <row r="13255" spans="1:14" ht="12.75" x14ac:dyDescent="0.2">
      <c r="A13255" s="23" t="str">
        <f>HYPERLINK("https://www.spark-marketing.ru/Card/Person/4361010", "МАУ ""УСК ""ФОРУМ""")</f>
        <v>МАУ "УСК "ФОРУМ"</v>
      </c>
      <c r="B13255" s="24" t="s">
        <v>15418</v>
      </c>
      <c r="C13255" s="25">
        <v>40000</v>
      </c>
      <c r="D13255" s="22" t="s">
        <v>15419</v>
      </c>
      <c r="E13255" s="22" t="s">
        <v>144</v>
      </c>
      <c r="F13255" s="23" t="str">
        <f>HYPERLINK("https://www.spark-marketing.ru/Card/Lot/68435787", "Оказание услуг по обеспечению порядка на скейтпарке круглосуточно с привлечением группы ГБР")</f>
        <v>Оказание услуг по обеспечению порядка на скейтпарке круглосуточно с привлечением группы ГБР</v>
      </c>
      <c r="G13255" s="22" t="s">
        <v>80</v>
      </c>
      <c r="H13255" s="22" t="s">
        <v>80</v>
      </c>
      <c r="I13255" s="26">
        <v>43528.405902777798</v>
      </c>
      <c r="J13255" s="23" t="str">
        <f>HYPERLINK("https://www.spark-marketing.ru/Card/Person/508415", "ООО ""ЧОП ""БОЕВОЕ СОДРУЖЕСТВО""")</f>
        <v>ООО "ЧОП "БОЕВОЕ СОДРУЖЕСТВО"</v>
      </c>
      <c r="K13255" s="24" t="s">
        <v>11242</v>
      </c>
      <c r="L13255" s="22" t="s">
        <v>10</v>
      </c>
      <c r="M13255" s="25">
        <v>36000</v>
      </c>
      <c r="N13255" s="27">
        <v>0.1</v>
      </c>
    </row>
    <row r="13256" spans="1:14" x14ac:dyDescent="0.15">
      <c r="A13256" s="23" t="str">
        <f>HYPERLINK("https://www.spark-marketing.ru/Card/Person/1056814", "ГБДОУ НАО ""ДЕТСКИЙ САД ""РОМАШКА""")</f>
        <v>ГБДОУ НАО "ДЕТСКИЙ САД "РОМАШКА"</v>
      </c>
      <c r="B13256" s="24" t="s">
        <v>13325</v>
      </c>
      <c r="C13256" s="25">
        <v>20000</v>
      </c>
      <c r="D13256" s="22" t="s">
        <v>15420</v>
      </c>
      <c r="E13256" s="22" t="s">
        <v>59</v>
      </c>
      <c r="F13256" s="23" t="str">
        <f>HYPERLINK("https://www.spark-marketing.ru/Card/Lot/68434736", "Кнопка тревожной сигнализации")</f>
        <v>Кнопка тревожной сигнализации</v>
      </c>
      <c r="G13256" s="22" t="s">
        <v>1014</v>
      </c>
      <c r="H13256" s="22" t="s">
        <v>1015</v>
      </c>
      <c r="I13256" s="26">
        <v>43528.404861111099</v>
      </c>
      <c r="J13256" s="28" t="s">
        <v>52</v>
      </c>
      <c r="K13256" s="28" t="s">
        <v>52</v>
      </c>
      <c r="L13256" s="28" t="s">
        <v>52</v>
      </c>
      <c r="M13256" s="28" t="s">
        <v>52</v>
      </c>
      <c r="N13256" s="28" t="s">
        <v>52</v>
      </c>
    </row>
    <row r="13257" spans="1:14" x14ac:dyDescent="0.15">
      <c r="A13257" s="23" t="str">
        <f>HYPERLINK("https://www.spark-marketing.ru/Card/Person/1777639", "МАДОУ Д/С №12 ""БЕРЁЗКА""")</f>
        <v>МАДОУ Д/С №12 "БЕРЁЗКА"</v>
      </c>
      <c r="B13257" s="24" t="s">
        <v>15421</v>
      </c>
      <c r="C13257" s="25">
        <v>46200</v>
      </c>
      <c r="D13257" s="22" t="s">
        <v>15422</v>
      </c>
      <c r="E13257" s="22" t="s">
        <v>294</v>
      </c>
      <c r="F13257" s="23" t="str">
        <f>HYPERLINK("https://www.spark-marketing.ru/Card/Lot/68535480", "Услуги по техническому обслуживанию системы видеонаблюдения")</f>
        <v>Услуги по техническому обслуживанию системы видеонаблюдения</v>
      </c>
      <c r="G13257" s="22" t="s">
        <v>50</v>
      </c>
      <c r="H13257" s="22" t="s">
        <v>4782</v>
      </c>
      <c r="I13257" s="26">
        <v>43528.388888888898</v>
      </c>
      <c r="J13257" s="28" t="s">
        <v>52</v>
      </c>
      <c r="K13257" s="28" t="s">
        <v>52</v>
      </c>
      <c r="L13257" s="28" t="s">
        <v>52</v>
      </c>
      <c r="M13257" s="28" t="s">
        <v>52</v>
      </c>
      <c r="N13257" s="28" t="s">
        <v>52</v>
      </c>
    </row>
    <row r="13258" spans="1:14" x14ac:dyDescent="0.15">
      <c r="A13258" s="23" t="str">
        <f>HYPERLINK("https://www.spark-marketing.ru/Card/Person/84778", "УФНС РОССИИ ПО НОВОСИБИРСКОЙ ОБЛАСТИ")</f>
        <v>УФНС РОССИИ ПО НОВОСИБИРСКОЙ ОБЛАСТИ</v>
      </c>
      <c r="B13258" s="24" t="s">
        <v>8811</v>
      </c>
      <c r="C13258" s="25">
        <v>98934</v>
      </c>
      <c r="D13258" s="22" t="s">
        <v>15423</v>
      </c>
      <c r="E13258" s="22" t="s">
        <v>53</v>
      </c>
      <c r="F13258" s="23" t="str">
        <f>HYPERLINK("https://www.spark-marketing.ru/Card/Lot/70805506", "Оказание услуг по техническому обслуживанию комплекса технических средств охраны на объекта УФНС России по Новосибирской области")</f>
        <v>Оказание услуг по техническому обслуживанию комплекса технических средств охраны на объекта УФНС России по Новосибирской области</v>
      </c>
      <c r="G13258" s="22" t="s">
        <v>209</v>
      </c>
      <c r="H13258" s="22" t="s">
        <v>210</v>
      </c>
      <c r="I13258" s="26">
        <v>43528.362222222197</v>
      </c>
      <c r="J13258" s="28" t="s">
        <v>52</v>
      </c>
      <c r="K13258" s="28" t="s">
        <v>52</v>
      </c>
      <c r="L13258" s="28" t="s">
        <v>52</v>
      </c>
      <c r="M13258" s="28" t="s">
        <v>52</v>
      </c>
      <c r="N13258" s="28" t="s">
        <v>52</v>
      </c>
    </row>
    <row r="13259" spans="1:14" x14ac:dyDescent="0.15">
      <c r="A13259" s="23" t="str">
        <f t="shared" ref="A13259:A13266" si="683">HYPERLINK("https://www.spark-marketing.ru/Card/Person/50870", "КУ ""ДЕЗ ПО ГХ"" ГОРОДА РАДУЖНЫЙ")</f>
        <v>КУ "ДЕЗ ПО ГХ" ГОРОДА РАДУЖНЫЙ</v>
      </c>
      <c r="B13259" s="24" t="s">
        <v>3169</v>
      </c>
      <c r="C13259" s="25">
        <v>747099.99</v>
      </c>
      <c r="D13259" s="22" t="s">
        <v>15424</v>
      </c>
      <c r="E13259" s="22" t="s">
        <v>59</v>
      </c>
      <c r="F13259" s="23" t="str">
        <f t="shared" ref="F13259:F13266" si="684">HYPERLINK("https://www.spark-marketing.ru/Card/Lot/68430500", "Установка видеокамер для системы видеонаблюдения АПК «Безопасный город» города Радужный")</f>
        <v>Установка видеокамер для системы видеонаблюдения АПК «Безопасный город» города Радужный</v>
      </c>
      <c r="G13259" s="22" t="s">
        <v>119</v>
      </c>
      <c r="H13259" s="22" t="s">
        <v>3171</v>
      </c>
      <c r="I13259" s="26">
        <v>43528.364583333299</v>
      </c>
      <c r="J13259" s="28" t="s">
        <v>52</v>
      </c>
      <c r="K13259" s="28" t="s">
        <v>52</v>
      </c>
      <c r="L13259" s="28" t="s">
        <v>52</v>
      </c>
      <c r="M13259" s="28" t="s">
        <v>52</v>
      </c>
      <c r="N13259" s="28" t="s">
        <v>52</v>
      </c>
    </row>
    <row r="13260" spans="1:14" hidden="1" outlineLevel="1" x14ac:dyDescent="0.2">
      <c r="A13260" s="23" t="str">
        <f t="shared" si="683"/>
        <v>КУ "ДЕЗ ПО ГХ" ГОРОДА РАДУЖНЫЙ</v>
      </c>
      <c r="B13260" s="24" t="s">
        <v>3169</v>
      </c>
      <c r="C13260" s="25">
        <v>747099.99</v>
      </c>
      <c r="D13260" s="22" t="s">
        <v>15424</v>
      </c>
      <c r="E13260" s="22" t="s">
        <v>59</v>
      </c>
      <c r="F13260" s="23" t="str">
        <f t="shared" si="684"/>
        <v>Установка видеокамер для системы видеонаблюдения АПК «Безопасный город» города Радужный</v>
      </c>
      <c r="G13260" s="22" t="s">
        <v>119</v>
      </c>
      <c r="H13260" s="22" t="s">
        <v>3171</v>
      </c>
      <c r="I13260" s="26">
        <v>43528.364583333299</v>
      </c>
      <c r="J13260" s="23" t="str">
        <f>HYPERLINK("https://www.spark-marketing.ru/Card/Person/1655578", "ООО ""НЭС""")</f>
        <v>ООО "НЭС"</v>
      </c>
      <c r="K13260" s="24" t="s">
        <v>15425</v>
      </c>
      <c r="L13260" s="28" t="s">
        <v>52</v>
      </c>
      <c r="M13260" s="25">
        <v>683596.49</v>
      </c>
      <c r="N13260" s="27">
        <v>8.5000001137732581E-2</v>
      </c>
    </row>
    <row r="13261" spans="1:14" hidden="1" outlineLevel="1" x14ac:dyDescent="0.2">
      <c r="A13261" s="23" t="str">
        <f t="shared" si="683"/>
        <v>КУ "ДЕЗ ПО ГХ" ГОРОДА РАДУЖНЫЙ</v>
      </c>
      <c r="B13261" s="24" t="s">
        <v>3169</v>
      </c>
      <c r="C13261" s="25">
        <v>747099.99</v>
      </c>
      <c r="D13261" s="22" t="s">
        <v>15424</v>
      </c>
      <c r="E13261" s="22" t="s">
        <v>59</v>
      </c>
      <c r="F13261" s="23" t="str">
        <f t="shared" si="684"/>
        <v>Установка видеокамер для системы видеонаблюдения АПК «Безопасный город» города Радужный</v>
      </c>
      <c r="G13261" s="22" t="s">
        <v>119</v>
      </c>
      <c r="H13261" s="22" t="s">
        <v>3171</v>
      </c>
      <c r="I13261" s="26">
        <v>43528.364583333299</v>
      </c>
      <c r="J13261" s="23" t="str">
        <f>HYPERLINK("https://www.spark-marketing.ru/Card/Person/6506896", "РЕВИНА СВЕТЛАНА ВЛАДИМИРОВНА")</f>
        <v>РЕВИНА СВЕТЛАНА ВЛАДИМИРОВНА</v>
      </c>
      <c r="K13261" s="24" t="s">
        <v>15426</v>
      </c>
      <c r="L13261" s="28" t="s">
        <v>52</v>
      </c>
      <c r="M13261" s="25">
        <v>735893.49</v>
      </c>
      <c r="N13261" s="27">
        <v>1.5000000200776338E-2</v>
      </c>
    </row>
    <row r="13262" spans="1:14" hidden="1" outlineLevel="1" x14ac:dyDescent="0.2">
      <c r="A13262" s="23" t="str">
        <f t="shared" si="683"/>
        <v>КУ "ДЕЗ ПО ГХ" ГОРОДА РАДУЖНЫЙ</v>
      </c>
      <c r="B13262" s="24" t="s">
        <v>3169</v>
      </c>
      <c r="C13262" s="25">
        <v>747099.99</v>
      </c>
      <c r="D13262" s="22" t="s">
        <v>15424</v>
      </c>
      <c r="E13262" s="22" t="s">
        <v>59</v>
      </c>
      <c r="F13262" s="23" t="str">
        <f t="shared" si="684"/>
        <v>Установка видеокамер для системы видеонаблюдения АПК «Безопасный город» города Радужный</v>
      </c>
      <c r="G13262" s="22" t="s">
        <v>119</v>
      </c>
      <c r="H13262" s="22" t="s">
        <v>3171</v>
      </c>
      <c r="I13262" s="26">
        <v>43528.364583333299</v>
      </c>
      <c r="J13262" s="23" t="str">
        <f>HYPERLINK("https://www.spark-marketing.ru/Card/Person/931604", "Пирч Сергей Владимирович")</f>
        <v>Пирч Сергей Владимирович</v>
      </c>
      <c r="K13262" s="24" t="s">
        <v>15427</v>
      </c>
      <c r="L13262" s="28" t="s">
        <v>52</v>
      </c>
      <c r="M13262" s="25">
        <v>562911.11</v>
      </c>
      <c r="N13262" s="27">
        <v>0.24653845866066737</v>
      </c>
    </row>
    <row r="13263" spans="1:14" ht="12.75" hidden="1" outlineLevel="1" x14ac:dyDescent="0.2">
      <c r="A13263" s="23" t="str">
        <f t="shared" si="683"/>
        <v>КУ "ДЕЗ ПО ГХ" ГОРОДА РАДУЖНЫЙ</v>
      </c>
      <c r="B13263" s="24" t="s">
        <v>3169</v>
      </c>
      <c r="C13263" s="25">
        <v>747099.99</v>
      </c>
      <c r="D13263" s="22" t="s">
        <v>15424</v>
      </c>
      <c r="E13263" s="22" t="s">
        <v>59</v>
      </c>
      <c r="F13263" s="23" t="str">
        <f t="shared" si="684"/>
        <v>Установка видеокамер для системы видеонаблюдения АПК «Безопасный город» города Радужный</v>
      </c>
      <c r="G13263" s="22" t="s">
        <v>119</v>
      </c>
      <c r="H13263" s="22" t="s">
        <v>3171</v>
      </c>
      <c r="I13263" s="26">
        <v>43528.364583333299</v>
      </c>
      <c r="J13263" s="23" t="str">
        <f>HYPERLINK("https://www.spark-marketing.ru/Card/Person/5853123", "Ершов Андрей Алексеевич")</f>
        <v>Ершов Андрей Алексеевич</v>
      </c>
      <c r="K13263" s="24" t="s">
        <v>1063</v>
      </c>
      <c r="L13263" s="22" t="s">
        <v>10</v>
      </c>
      <c r="M13263" s="25">
        <v>543000</v>
      </c>
      <c r="N13263" s="27">
        <v>0.27318965698286252</v>
      </c>
    </row>
    <row r="13264" spans="1:14" hidden="1" outlineLevel="1" x14ac:dyDescent="0.2">
      <c r="A13264" s="23" t="str">
        <f t="shared" si="683"/>
        <v>КУ "ДЕЗ ПО ГХ" ГОРОДА РАДУЖНЫЙ</v>
      </c>
      <c r="B13264" s="24" t="s">
        <v>3169</v>
      </c>
      <c r="C13264" s="25">
        <v>747099.99</v>
      </c>
      <c r="D13264" s="22" t="s">
        <v>15424</v>
      </c>
      <c r="E13264" s="22" t="s">
        <v>59</v>
      </c>
      <c r="F13264" s="23" t="str">
        <f t="shared" si="684"/>
        <v>Установка видеокамер для системы видеонаблюдения АПК «Безопасный город» города Радужный</v>
      </c>
      <c r="G13264" s="22" t="s">
        <v>119</v>
      </c>
      <c r="H13264" s="22" t="s">
        <v>3171</v>
      </c>
      <c r="I13264" s="26">
        <v>43528.364583333299</v>
      </c>
      <c r="J13264" s="23" t="str">
        <f>HYPERLINK("https://www.spark-marketing.ru/Card/Person/5771695", "ООО ""ЮГРА-АЛЬЯНС""")</f>
        <v>ООО "ЮГРА-АЛЬЯНС"</v>
      </c>
      <c r="K13264" s="24" t="s">
        <v>15428</v>
      </c>
      <c r="L13264" s="28" t="s">
        <v>52</v>
      </c>
      <c r="M13264" s="25">
        <v>747099</v>
      </c>
      <c r="N13264" s="27">
        <v>1.3251238298102507E-6</v>
      </c>
    </row>
    <row r="13265" spans="1:14" hidden="1" outlineLevel="1" x14ac:dyDescent="0.2">
      <c r="A13265" s="23" t="str">
        <f t="shared" si="683"/>
        <v>КУ "ДЕЗ ПО ГХ" ГОРОДА РАДУЖНЫЙ</v>
      </c>
      <c r="B13265" s="24" t="s">
        <v>3169</v>
      </c>
      <c r="C13265" s="25">
        <v>747099.99</v>
      </c>
      <c r="D13265" s="22" t="s">
        <v>15424</v>
      </c>
      <c r="E13265" s="22" t="s">
        <v>59</v>
      </c>
      <c r="F13265" s="23" t="str">
        <f t="shared" si="684"/>
        <v>Установка видеокамер для системы видеонаблюдения АПК «Безопасный город» города Радужный</v>
      </c>
      <c r="G13265" s="22" t="s">
        <v>119</v>
      </c>
      <c r="H13265" s="22" t="s">
        <v>3171</v>
      </c>
      <c r="I13265" s="26">
        <v>43528.364583333299</v>
      </c>
      <c r="J13265" s="23" t="str">
        <f>HYPERLINK("https://www.spark-marketing.ru/Card/Person/5874147", "ООО ""УНИВЕРСАЛ-ЛИДЕР""")</f>
        <v>ООО "УНИВЕРСАЛ-ЛИДЕР"</v>
      </c>
      <c r="K13265" s="24" t="s">
        <v>15429</v>
      </c>
      <c r="L13265" s="28" t="s">
        <v>52</v>
      </c>
      <c r="M13265" s="25">
        <v>547200</v>
      </c>
      <c r="N13265" s="27">
        <v>0.26756791952306141</v>
      </c>
    </row>
    <row r="13266" spans="1:14" hidden="1" outlineLevel="1" x14ac:dyDescent="0.2">
      <c r="A13266" s="23" t="str">
        <f t="shared" si="683"/>
        <v>КУ "ДЕЗ ПО ГХ" ГОРОДА РАДУЖНЫЙ</v>
      </c>
      <c r="B13266" s="24" t="s">
        <v>3169</v>
      </c>
      <c r="C13266" s="25">
        <v>747099.99</v>
      </c>
      <c r="D13266" s="22" t="s">
        <v>15424</v>
      </c>
      <c r="E13266" s="22" t="s">
        <v>59</v>
      </c>
      <c r="F13266" s="23" t="str">
        <f t="shared" si="684"/>
        <v>Установка видеокамер для системы видеонаблюдения АПК «Безопасный город» города Радужный</v>
      </c>
      <c r="G13266" s="22" t="s">
        <v>119</v>
      </c>
      <c r="H13266" s="22" t="s">
        <v>3171</v>
      </c>
      <c r="I13266" s="26">
        <v>43528.364583333299</v>
      </c>
      <c r="J13266" s="23" t="str">
        <f>HYPERLINK("https://www.spark-marketing.ru/Card/Person/5854539", "ООО ""СИТИОМ""")</f>
        <v>ООО "СИТИОМ"</v>
      </c>
      <c r="K13266" s="24" t="s">
        <v>7204</v>
      </c>
      <c r="L13266" s="28" t="s">
        <v>52</v>
      </c>
      <c r="M13266" s="25">
        <v>732157.99</v>
      </c>
      <c r="N13266" s="27">
        <v>2.0000000267701785E-2</v>
      </c>
    </row>
    <row r="13267" spans="1:14" x14ac:dyDescent="0.15">
      <c r="A13267" s="23" t="str">
        <f>HYPERLINK("https://www.spark-marketing.ru/Card/Person/6450322", "ЗАКАЗЧИК РП БЕЛАРУСЬ")</f>
        <v>ЗАКАЗЧИК РП БЕЛАРУСЬ</v>
      </c>
      <c r="B13267" s="28" t="s">
        <v>52</v>
      </c>
      <c r="C13267" s="25">
        <v>666642.47</v>
      </c>
      <c r="D13267" s="22" t="s">
        <v>15430</v>
      </c>
      <c r="E13267" s="22" t="s">
        <v>53</v>
      </c>
      <c r="F13267" s="23" t="str">
        <f>HYPERLINK("https://www.spark-marketing.ru/Card/Lot/68446050", "Устройство доступа для наружной установки антивандальное")</f>
        <v>Устройство доступа для наружной установки антивандальное</v>
      </c>
      <c r="G13267" s="22" t="s">
        <v>52</v>
      </c>
      <c r="H13267" s="22" t="s">
        <v>52</v>
      </c>
      <c r="I13267" s="26">
        <v>43528</v>
      </c>
      <c r="J13267" s="28" t="s">
        <v>52</v>
      </c>
      <c r="K13267" s="28" t="s">
        <v>52</v>
      </c>
      <c r="L13267" s="28" t="s">
        <v>52</v>
      </c>
      <c r="M13267" s="28" t="s">
        <v>52</v>
      </c>
      <c r="N13267" s="28" t="s">
        <v>52</v>
      </c>
    </row>
    <row r="13268" spans="1:14" x14ac:dyDescent="0.15">
      <c r="A13268" s="23" t="str">
        <f>HYPERLINK("https://www.spark-marketing.ru/Card/Person/4284211", "ПАО ""ГРУППА ЧЕРКИЗОВО""")</f>
        <v>ПАО "ГРУППА ЧЕРКИЗОВО"</v>
      </c>
      <c r="B13268" s="24" t="s">
        <v>2281</v>
      </c>
      <c r="C13268" s="28" t="s">
        <v>52</v>
      </c>
      <c r="D13268" s="22" t="s">
        <v>15431</v>
      </c>
      <c r="E13268" s="22" t="s">
        <v>53</v>
      </c>
      <c r="F13268" s="23" t="str">
        <f>HYPERLINK("https://www.spark-marketing.ru/Card/Lot/68449928", "Тендер на закупку Пост охраны (блок-контейнер БК-6) для ООО ЧЕРКИЗОВО-РАСТЕНИЕВОДСТВО в г. Липецк (id363943)")</f>
        <v>Тендер на закупку Пост охраны (блок-контейнер БК-6) для ООО ЧЕРКИЗОВО-РАСТЕНИЕВОДСТВО в г. Липецк (id363943)</v>
      </c>
      <c r="G13268" s="22" t="s">
        <v>50</v>
      </c>
      <c r="H13268" s="22" t="s">
        <v>2283</v>
      </c>
      <c r="I13268" s="26">
        <v>43528</v>
      </c>
      <c r="J13268" s="28" t="s">
        <v>52</v>
      </c>
      <c r="K13268" s="28" t="s">
        <v>52</v>
      </c>
      <c r="L13268" s="28" t="s">
        <v>52</v>
      </c>
      <c r="M13268" s="28" t="s">
        <v>52</v>
      </c>
      <c r="N13268" s="28" t="s">
        <v>52</v>
      </c>
    </row>
    <row r="13269" spans="1:14" x14ac:dyDescent="0.15">
      <c r="A13269" s="23" t="str">
        <f>HYPERLINK("https://www.spark-marketing.ru/Card/Person/30987", "МБУ ДО ""ЦЕНТР СОДЕЙСТВИЯ СЕМЕЙНОМУ УСТРОЙСТВУ ДЕТЕЙ, ПОДГОТОВКИ И СОПРОВОЖДЕНИЯ ЗАМЕЩАЮЩИХ СЕМЕЙ"" ИМ.ТАЛАЛИХИНА")</f>
        <v>МБУ ДО "ЦЕНТР СОДЕЙСТВИЯ СЕМЕЙНОМУ УСТРОЙСТВУ ДЕТЕЙ, ПОДГОТОВКИ И СОПРОВОЖДЕНИЯ ЗАМЕЩАЮЩИХ СЕМЕЙ" ИМ.ТАЛАЛИХИНА</v>
      </c>
      <c r="B13269" s="24" t="s">
        <v>15432</v>
      </c>
      <c r="C13269" s="25">
        <v>22000</v>
      </c>
      <c r="D13269" s="22" t="s">
        <v>15433</v>
      </c>
      <c r="E13269" s="22" t="s">
        <v>103</v>
      </c>
      <c r="F13269" s="23" t="str">
        <f>HYPERLINK("https://www.spark-marketing.ru/Card/Lot/68536067", "Оказание услуг по техническому обслуживанию системы видеонаблюдения")</f>
        <v>Оказание услуг по техническому обслуживанию системы видеонаблюдения</v>
      </c>
      <c r="G13269" s="22" t="s">
        <v>50</v>
      </c>
      <c r="H13269" s="22" t="s">
        <v>4782</v>
      </c>
      <c r="I13269" s="26">
        <v>43527.6173263889</v>
      </c>
      <c r="J13269" s="28" t="s">
        <v>52</v>
      </c>
      <c r="K13269" s="28" t="s">
        <v>52</v>
      </c>
      <c r="L13269" s="28" t="s">
        <v>52</v>
      </c>
      <c r="M13269" s="28" t="s">
        <v>52</v>
      </c>
      <c r="N13269" s="28" t="s">
        <v>52</v>
      </c>
    </row>
    <row r="13270" spans="1:14" x14ac:dyDescent="0.15">
      <c r="A13270" s="23" t="str">
        <f>HYPERLINK("https://www.spark-marketing.ru/Card/Person/4352663", "МДОУ ""Д/С №60 О.В"" Г.МАГНИТОГОРСКА")</f>
        <v>МДОУ "Д/С №60 О.В" Г.МАГНИТОГОРСКА</v>
      </c>
      <c r="B13270" s="24" t="s">
        <v>15434</v>
      </c>
      <c r="C13270" s="28" t="s">
        <v>52</v>
      </c>
      <c r="D13270" s="22" t="s">
        <v>15435</v>
      </c>
      <c r="E13270" s="22" t="s">
        <v>208</v>
      </c>
      <c r="F13270" s="23" t="str">
        <f>HYPERLINK("https://www.spark-marketing.ru/Card/Lot/68426526", "Оказание услуги по охране объектов и имущества на объектах Заказчика с помощью технических средств охраны (тревожная кнопка) с принятием соответствующих мер реагирования на их сигнальную информацию")</f>
        <v>Оказание услуги по охране объектов и имущества на объектах Заказчика с помощью технических средств охраны (тревожная кнопка) с принятием соответствующих мер реагирования на их сигнальную информацию</v>
      </c>
      <c r="G13270" s="22" t="s">
        <v>60</v>
      </c>
      <c r="H13270" s="22" t="s">
        <v>221</v>
      </c>
      <c r="I13270" s="26">
        <v>43526.541666666701</v>
      </c>
      <c r="J13270" s="28" t="s">
        <v>52</v>
      </c>
      <c r="K13270" s="28" t="s">
        <v>52</v>
      </c>
      <c r="L13270" s="28" t="s">
        <v>52</v>
      </c>
      <c r="M13270" s="28" t="s">
        <v>52</v>
      </c>
      <c r="N13270" s="28" t="s">
        <v>52</v>
      </c>
    </row>
    <row r="13271" spans="1:14" x14ac:dyDescent="0.15">
      <c r="A13271" s="23" t="str">
        <f>HYPERLINK("https://www.spark-marketing.ru/Card/Person/4906977", "МОУ КОСТИНСКАЯ ОСНОВНАЯ ОБЩЕОБРАЗОВАТЕЛЬНАЯ ШКОЛА")</f>
        <v>МОУ КОСТИНСКАЯ ОСНОВНАЯ ОБЩЕОБРАЗОВАТЕЛЬНАЯ ШКОЛА</v>
      </c>
      <c r="B13271" s="24" t="s">
        <v>15436</v>
      </c>
      <c r="C13271" s="25">
        <v>16000</v>
      </c>
      <c r="D13271" s="22" t="s">
        <v>15437</v>
      </c>
      <c r="E13271" s="22" t="s">
        <v>59</v>
      </c>
      <c r="F13271" s="23" t="str">
        <f>HYPERLINK("https://www.spark-marketing.ru/Card/Lot/68535800", "Работы по монтажу и пуско-наладке системы тревожной сигнализации с подключением на ПЦО Дмитровского ОВО")</f>
        <v>Работы по монтажу и пуско-наладке системы тревожной сигнализации с подключением на ПЦО Дмитровского ОВО</v>
      </c>
      <c r="G13271" s="22" t="s">
        <v>50</v>
      </c>
      <c r="H13271" s="22" t="s">
        <v>504</v>
      </c>
      <c r="I13271" s="26">
        <v>43525.898460648103</v>
      </c>
      <c r="J13271" s="28" t="s">
        <v>52</v>
      </c>
      <c r="K13271" s="28" t="s">
        <v>52</v>
      </c>
      <c r="L13271" s="28" t="s">
        <v>52</v>
      </c>
      <c r="M13271" s="28" t="s">
        <v>52</v>
      </c>
      <c r="N13271" s="28" t="s">
        <v>52</v>
      </c>
    </row>
    <row r="13272" spans="1:14" x14ac:dyDescent="0.15">
      <c r="A13272" s="23" t="str">
        <f>HYPERLINK("https://www.spark-marketing.ru/Card/Person/4349673", "МДОУ ""Ц.Р.Р. - Д/С № 113"" Г. МАГНИТОГОРСКА")</f>
        <v>МДОУ "Ц.Р.Р. - Д/С № 113" Г. МАГНИТОГОРСКА</v>
      </c>
      <c r="B13272" s="24" t="s">
        <v>15438</v>
      </c>
      <c r="C13272" s="28" t="s">
        <v>52</v>
      </c>
      <c r="D13272" s="22" t="s">
        <v>15439</v>
      </c>
      <c r="E13272" s="22" t="s">
        <v>208</v>
      </c>
      <c r="F13272" s="23" t="str">
        <f>HYPERLINK("https://www.spark-marketing.ru/Card/Lot/68421780", "Оказание услуги по охране объектов и имущества на объектах Заказчика с помощью технических средств охраны (тревожная кнопка) с принятием соответствующих мер реагирования на их сигнальную информацию")</f>
        <v>Оказание услуги по охране объектов и имущества на объектах Заказчика с помощью технических средств охраны (тревожная кнопка) с принятием соответствующих мер реагирования на их сигнальную информацию</v>
      </c>
      <c r="G13272" s="22" t="s">
        <v>60</v>
      </c>
      <c r="H13272" s="22" t="s">
        <v>221</v>
      </c>
      <c r="I13272" s="26">
        <v>43525.802083333299</v>
      </c>
      <c r="J13272" s="28" t="s">
        <v>52</v>
      </c>
      <c r="K13272" s="28" t="s">
        <v>52</v>
      </c>
      <c r="L13272" s="28" t="s">
        <v>52</v>
      </c>
      <c r="M13272" s="28" t="s">
        <v>52</v>
      </c>
      <c r="N13272" s="28" t="s">
        <v>52</v>
      </c>
    </row>
    <row r="13273" spans="1:14" x14ac:dyDescent="0.15">
      <c r="A13273" s="23" t="str">
        <f>HYPERLINK("https://www.spark-marketing.ru/Card/Person/4347689", "МАОУ СОШ № 2 ИМЕНИ Н.А. ТИМОФЕЕВА Г.О. БРОННИЦЫ")</f>
        <v>МАОУ СОШ № 2 ИМЕНИ Н.А. ТИМОФЕЕВА Г.О. БРОННИЦЫ</v>
      </c>
      <c r="B13273" s="24" t="s">
        <v>15440</v>
      </c>
      <c r="C13273" s="25">
        <v>121600</v>
      </c>
      <c r="D13273" s="22" t="s">
        <v>15441</v>
      </c>
      <c r="E13273" s="22" t="s">
        <v>84</v>
      </c>
      <c r="F13273" s="23" t="str">
        <f>HYPERLINK("https://www.spark-marketing.ru/Card/Lot/68535718", "Работы по установке видео оборудования для системы видеопротоколирования и видеотрансляции в рамках проведения ЕГЭ")</f>
        <v>Работы по установке видео оборудования для системы видеопротоколирования и видеотрансляции в рамках проведения ЕГЭ</v>
      </c>
      <c r="G13273" s="22" t="s">
        <v>50</v>
      </c>
      <c r="H13273" s="22" t="s">
        <v>15442</v>
      </c>
      <c r="I13273" s="26">
        <v>43525.752592592602</v>
      </c>
      <c r="J13273" s="28" t="s">
        <v>52</v>
      </c>
      <c r="K13273" s="28" t="s">
        <v>52</v>
      </c>
      <c r="L13273" s="28" t="s">
        <v>52</v>
      </c>
      <c r="M13273" s="28" t="s">
        <v>52</v>
      </c>
      <c r="N13273" s="28" t="s">
        <v>52</v>
      </c>
    </row>
    <row r="13274" spans="1:14" x14ac:dyDescent="0.15">
      <c r="A13274" s="23" t="str">
        <f>HYPERLINK("https://www.spark-marketing.ru/Card/Person/1752614", "МАУК ""ПАРКИ КРАСНОГОРСКА""")</f>
        <v>МАУК "ПАРКИ КРАСНОГОРСКА"</v>
      </c>
      <c r="B13274" s="24" t="s">
        <v>15443</v>
      </c>
      <c r="C13274" s="25">
        <v>154908</v>
      </c>
      <c r="D13274" s="22" t="s">
        <v>15444</v>
      </c>
      <c r="E13274" s="22" t="s">
        <v>144</v>
      </c>
      <c r="F13274" s="23" t="str">
        <f>HYPERLINK("https://www.spark-marketing.ru/Card/Lot/68420717", "Оказание охранных услуг по реагированию на тревожные сообщения")</f>
        <v>Оказание охранных услуг по реагированию на тревожные сообщения</v>
      </c>
      <c r="G13274" s="22" t="s">
        <v>50</v>
      </c>
      <c r="H13274" s="22" t="s">
        <v>267</v>
      </c>
      <c r="I13274" s="26">
        <v>43525.711921296301</v>
      </c>
      <c r="J13274" s="28" t="s">
        <v>52</v>
      </c>
      <c r="K13274" s="28" t="s">
        <v>52</v>
      </c>
      <c r="L13274" s="28" t="s">
        <v>52</v>
      </c>
      <c r="M13274" s="28" t="s">
        <v>52</v>
      </c>
      <c r="N13274" s="28" t="s">
        <v>52</v>
      </c>
    </row>
    <row r="13275" spans="1:14" x14ac:dyDescent="0.15">
      <c r="A13275" s="23" t="str">
        <f>HYPERLINK("https://www.spark-marketing.ru/Card/Person/1026013", "МБДОУ ""ДС № 6 ""ЯБЛОНЬКА""")</f>
        <v>МБДОУ "ДС № 6 "ЯБЛОНЬКА"</v>
      </c>
      <c r="B13275" s="24" t="s">
        <v>15445</v>
      </c>
      <c r="C13275" s="25">
        <v>10394.280000000001</v>
      </c>
      <c r="D13275" s="22" t="s">
        <v>15446</v>
      </c>
      <c r="E13275" s="22" t="s">
        <v>107</v>
      </c>
      <c r="F13275" s="23" t="str">
        <f>HYPERLINK("https://www.spark-marketing.ru/Card/Lot/68535661", "Оказание услуг по техническому обслуживанию средств охраны")</f>
        <v>Оказание услуг по техническому обслуживанию средств охраны</v>
      </c>
      <c r="G13275" s="22" t="s">
        <v>50</v>
      </c>
      <c r="H13275" s="22" t="s">
        <v>15072</v>
      </c>
      <c r="I13275" s="26">
        <v>43525.742256944402</v>
      </c>
      <c r="J13275" s="28" t="s">
        <v>52</v>
      </c>
      <c r="K13275" s="28" t="s">
        <v>52</v>
      </c>
      <c r="L13275" s="28" t="s">
        <v>52</v>
      </c>
      <c r="M13275" s="28" t="s">
        <v>52</v>
      </c>
      <c r="N13275" s="28" t="s">
        <v>52</v>
      </c>
    </row>
    <row r="13276" spans="1:14" x14ac:dyDescent="0.15">
      <c r="A13276" s="23" t="str">
        <f>HYPERLINK("https://www.spark-marketing.ru/Card/Person/1777589", "МАДОУ Д/С №6 ""ЗВЕЗДОЧКА""")</f>
        <v>МАДОУ Д/С №6 "ЗВЕЗДОЧКА"</v>
      </c>
      <c r="B13276" s="24" t="s">
        <v>15447</v>
      </c>
      <c r="C13276" s="25">
        <v>16000</v>
      </c>
      <c r="D13276" s="22" t="s">
        <v>15448</v>
      </c>
      <c r="E13276" s="22" t="s">
        <v>103</v>
      </c>
      <c r="F13276" s="23" t="str">
        <f>HYPERLINK("https://www.spark-marketing.ru/Card/Lot/68535578", "Оказание услуги по техническому обслуживанию системы доступа (домофон) и системы видеонаблюдения")</f>
        <v>Оказание услуги по техническому обслуживанию системы доступа (домофон) и системы видеонаблюдения</v>
      </c>
      <c r="G13276" s="22" t="s">
        <v>50</v>
      </c>
      <c r="H13276" s="22" t="s">
        <v>4782</v>
      </c>
      <c r="I13276" s="26">
        <v>43525.712141203701</v>
      </c>
      <c r="J13276" s="28" t="s">
        <v>52</v>
      </c>
      <c r="K13276" s="28" t="s">
        <v>52</v>
      </c>
      <c r="L13276" s="28" t="s">
        <v>52</v>
      </c>
      <c r="M13276" s="28" t="s">
        <v>52</v>
      </c>
      <c r="N13276" s="28" t="s">
        <v>52</v>
      </c>
    </row>
    <row r="13277" spans="1:14" x14ac:dyDescent="0.15">
      <c r="A13277" s="23" t="str">
        <f t="shared" ref="A13277:A13284" si="685">HYPERLINK("https://www.spark-marketing.ru/Card/Person/85151", "ГКУСО ""СТАВРОПОЛЬСКИЙ ПРИЮТ ""РОСИНКА""")</f>
        <v>ГКУСО "СТАВРОПОЛЬСКИЙ ПРИЮТ "РОСИНКА"</v>
      </c>
      <c r="B13277" s="24" t="s">
        <v>15449</v>
      </c>
      <c r="C13277" s="25">
        <v>76988.899999999994</v>
      </c>
      <c r="D13277" s="22" t="s">
        <v>15450</v>
      </c>
      <c r="E13277" s="22" t="s">
        <v>349</v>
      </c>
      <c r="F13277" s="23" t="str">
        <f t="shared" ref="F13277:F13284" si="686">HYPERLINK("https://www.spark-marketing.ru/Card/Lot/68419939", "Техническое обслуживание систем контроля доступа и видеонаблюдения")</f>
        <v>Техническое обслуживание систем контроля доступа и видеонаблюдения</v>
      </c>
      <c r="G13277" s="22" t="s">
        <v>258</v>
      </c>
      <c r="H13277" s="22" t="s">
        <v>546</v>
      </c>
      <c r="I13277" s="26">
        <v>43525.711111111101</v>
      </c>
      <c r="J13277" s="28" t="s">
        <v>52</v>
      </c>
      <c r="K13277" s="28" t="s">
        <v>52</v>
      </c>
      <c r="L13277" s="28" t="s">
        <v>52</v>
      </c>
      <c r="M13277" s="28" t="s">
        <v>52</v>
      </c>
      <c r="N13277" s="28" t="s">
        <v>52</v>
      </c>
    </row>
    <row r="13278" spans="1:14" hidden="1" outlineLevel="1" x14ac:dyDescent="0.2">
      <c r="A13278" s="23" t="str">
        <f t="shared" si="685"/>
        <v>ГКУСО "СТАВРОПОЛЬСКИЙ ПРИЮТ "РОСИНКА"</v>
      </c>
      <c r="B13278" s="24" t="s">
        <v>15449</v>
      </c>
      <c r="C13278" s="25">
        <v>76988.899999999994</v>
      </c>
      <c r="D13278" s="22" t="s">
        <v>15450</v>
      </c>
      <c r="E13278" s="22" t="s">
        <v>349</v>
      </c>
      <c r="F13278" s="23" t="str">
        <f t="shared" si="686"/>
        <v>Техническое обслуживание систем контроля доступа и видеонаблюдения</v>
      </c>
      <c r="G13278" s="22" t="s">
        <v>258</v>
      </c>
      <c r="H13278" s="22" t="s">
        <v>546</v>
      </c>
      <c r="I13278" s="26">
        <v>43525.711111111101</v>
      </c>
      <c r="J13278" s="23" t="str">
        <f>HYPERLINK("https://www.spark-marketing.ru/Card/Person/4357025", "ООО ФИРМА ""ЛУЧ-СТ""")</f>
        <v>ООО ФИРМА "ЛУЧ-СТ"</v>
      </c>
      <c r="K13278" s="24" t="s">
        <v>15451</v>
      </c>
      <c r="L13278" s="28" t="s">
        <v>52</v>
      </c>
      <c r="M13278" s="25">
        <v>60051.41</v>
      </c>
      <c r="N13278" s="27">
        <v>0.21999911675579206</v>
      </c>
    </row>
    <row r="13279" spans="1:14" hidden="1" outlineLevel="1" x14ac:dyDescent="0.2">
      <c r="A13279" s="23" t="str">
        <f t="shared" si="685"/>
        <v>ГКУСО "СТАВРОПОЛЬСКИЙ ПРИЮТ "РОСИНКА"</v>
      </c>
      <c r="B13279" s="24" t="s">
        <v>15449</v>
      </c>
      <c r="C13279" s="25">
        <v>76988.899999999994</v>
      </c>
      <c r="D13279" s="22" t="s">
        <v>15450</v>
      </c>
      <c r="E13279" s="22" t="s">
        <v>349</v>
      </c>
      <c r="F13279" s="23" t="str">
        <f t="shared" si="686"/>
        <v>Техническое обслуживание систем контроля доступа и видеонаблюдения</v>
      </c>
      <c r="G13279" s="22" t="s">
        <v>258</v>
      </c>
      <c r="H13279" s="22" t="s">
        <v>546</v>
      </c>
      <c r="I13279" s="26">
        <v>43525.711111111101</v>
      </c>
      <c r="J13279" s="23" t="str">
        <f>HYPERLINK("https://www.spark-marketing.ru/Card/Person/4393479", "Соколов Александр Игоревич")</f>
        <v>Соколов Александр Игоревич</v>
      </c>
      <c r="K13279" s="24" t="s">
        <v>2734</v>
      </c>
      <c r="L13279" s="28" t="s">
        <v>52</v>
      </c>
      <c r="M13279" s="25">
        <v>14700.06</v>
      </c>
      <c r="N13279" s="27">
        <v>0.80906260512879125</v>
      </c>
    </row>
    <row r="13280" spans="1:14" ht="12.75" hidden="1" outlineLevel="1" x14ac:dyDescent="0.2">
      <c r="A13280" s="23" t="str">
        <f t="shared" si="685"/>
        <v>ГКУСО "СТАВРОПОЛЬСКИЙ ПРИЮТ "РОСИНКА"</v>
      </c>
      <c r="B13280" s="24" t="s">
        <v>15449</v>
      </c>
      <c r="C13280" s="25">
        <v>76988.899999999994</v>
      </c>
      <c r="D13280" s="22" t="s">
        <v>15450</v>
      </c>
      <c r="E13280" s="22" t="s">
        <v>349</v>
      </c>
      <c r="F13280" s="23" t="str">
        <f t="shared" si="686"/>
        <v>Техническое обслуживание систем контроля доступа и видеонаблюдения</v>
      </c>
      <c r="G13280" s="22" t="s">
        <v>258</v>
      </c>
      <c r="H13280" s="22" t="s">
        <v>546</v>
      </c>
      <c r="I13280" s="26">
        <v>43525.711111111101</v>
      </c>
      <c r="J13280" s="23" t="str">
        <f>HYPERLINK("https://www.spark-marketing.ru/Card/Person/1212080", "ООО ""СВЕРЧОК""")</f>
        <v>ООО "СВЕРЧОК"</v>
      </c>
      <c r="K13280" s="24" t="s">
        <v>15452</v>
      </c>
      <c r="L13280" s="22" t="s">
        <v>10</v>
      </c>
      <c r="M13280" s="25">
        <v>14315</v>
      </c>
      <c r="N13280" s="27">
        <v>0.81406410534505624</v>
      </c>
    </row>
    <row r="13281" spans="1:14" hidden="1" outlineLevel="1" x14ac:dyDescent="0.2">
      <c r="A13281" s="23" t="str">
        <f t="shared" si="685"/>
        <v>ГКУСО "СТАВРОПОЛЬСКИЙ ПРИЮТ "РОСИНКА"</v>
      </c>
      <c r="B13281" s="24" t="s">
        <v>15449</v>
      </c>
      <c r="C13281" s="25">
        <v>76988.899999999994</v>
      </c>
      <c r="D13281" s="22" t="s">
        <v>15450</v>
      </c>
      <c r="E13281" s="22" t="s">
        <v>349</v>
      </c>
      <c r="F13281" s="23" t="str">
        <f t="shared" si="686"/>
        <v>Техническое обслуживание систем контроля доступа и видеонаблюдения</v>
      </c>
      <c r="G13281" s="22" t="s">
        <v>258</v>
      </c>
      <c r="H13281" s="22" t="s">
        <v>546</v>
      </c>
      <c r="I13281" s="26">
        <v>43525.711111111101</v>
      </c>
      <c r="J13281" s="23" t="str">
        <f>HYPERLINK("https://www.spark-marketing.ru/Card/Person/470476", "Пятенко Андрей Анатольевич")</f>
        <v>Пятенко Андрей Анатольевич</v>
      </c>
      <c r="K13281" s="24" t="s">
        <v>2735</v>
      </c>
      <c r="L13281" s="28" t="s">
        <v>52</v>
      </c>
      <c r="M13281" s="25">
        <v>17010.560000000001</v>
      </c>
      <c r="N13281" s="27">
        <v>0.77905178538724418</v>
      </c>
    </row>
    <row r="13282" spans="1:14" hidden="1" outlineLevel="1" x14ac:dyDescent="0.2">
      <c r="A13282" s="23" t="str">
        <f t="shared" si="685"/>
        <v>ГКУСО "СТАВРОПОЛЬСКИЙ ПРИЮТ "РОСИНКА"</v>
      </c>
      <c r="B13282" s="24" t="s">
        <v>15449</v>
      </c>
      <c r="C13282" s="25">
        <v>76988.899999999994</v>
      </c>
      <c r="D13282" s="22" t="s">
        <v>15450</v>
      </c>
      <c r="E13282" s="22" t="s">
        <v>349</v>
      </c>
      <c r="F13282" s="23" t="str">
        <f t="shared" si="686"/>
        <v>Техническое обслуживание систем контроля доступа и видеонаблюдения</v>
      </c>
      <c r="G13282" s="22" t="s">
        <v>258</v>
      </c>
      <c r="H13282" s="22" t="s">
        <v>546</v>
      </c>
      <c r="I13282" s="26">
        <v>43525.711111111101</v>
      </c>
      <c r="J13282" s="23" t="str">
        <f>HYPERLINK("https://www.spark-marketing.ru/Card/Person/4855810", "ООО ГРУППА КОМПАНИЙ ""ПАРТНЕР ПРОЕКТ""")</f>
        <v>ООО ГРУППА КОМПАНИЙ "ПАРТНЕР ПРОЕКТ"</v>
      </c>
      <c r="K13282" s="24" t="s">
        <v>14372</v>
      </c>
      <c r="L13282" s="28" t="s">
        <v>52</v>
      </c>
      <c r="M13282" s="25">
        <v>39685.120000000003</v>
      </c>
      <c r="N13282" s="27">
        <v>0.48453452380797751</v>
      </c>
    </row>
    <row r="13283" spans="1:14" hidden="1" outlineLevel="1" x14ac:dyDescent="0.2">
      <c r="A13283" s="23" t="str">
        <f t="shared" si="685"/>
        <v>ГКУСО "СТАВРОПОЛЬСКИЙ ПРИЮТ "РОСИНКА"</v>
      </c>
      <c r="B13283" s="24" t="s">
        <v>15449</v>
      </c>
      <c r="C13283" s="25">
        <v>76988.899999999994</v>
      </c>
      <c r="D13283" s="22" t="s">
        <v>15450</v>
      </c>
      <c r="E13283" s="22" t="s">
        <v>349</v>
      </c>
      <c r="F13283" s="23" t="str">
        <f t="shared" si="686"/>
        <v>Техническое обслуживание систем контроля доступа и видеонаблюдения</v>
      </c>
      <c r="G13283" s="22" t="s">
        <v>258</v>
      </c>
      <c r="H13283" s="22" t="s">
        <v>546</v>
      </c>
      <c r="I13283" s="26">
        <v>43525.711111111101</v>
      </c>
      <c r="J13283" s="23" t="str">
        <f>HYPERLINK("https://www.spark-marketing.ru/Card/Person/6458260", "ООО ""АККОРД""")</f>
        <v>ООО "АККОРД"</v>
      </c>
      <c r="K13283" s="24" t="s">
        <v>1674</v>
      </c>
      <c r="L13283" s="28" t="s">
        <v>52</v>
      </c>
      <c r="M13283" s="25">
        <v>50000</v>
      </c>
      <c r="N13283" s="27">
        <v>0.35055572946229913</v>
      </c>
    </row>
    <row r="13284" spans="1:14" hidden="1" outlineLevel="1" x14ac:dyDescent="0.2">
      <c r="A13284" s="23" t="str">
        <f t="shared" si="685"/>
        <v>ГКУСО "СТАВРОПОЛЬСКИЙ ПРИЮТ "РОСИНКА"</v>
      </c>
      <c r="B13284" s="24" t="s">
        <v>15449</v>
      </c>
      <c r="C13284" s="25">
        <v>76988.899999999994</v>
      </c>
      <c r="D13284" s="22" t="s">
        <v>15450</v>
      </c>
      <c r="E13284" s="22" t="s">
        <v>349</v>
      </c>
      <c r="F13284" s="23" t="str">
        <f t="shared" si="686"/>
        <v>Техническое обслуживание систем контроля доступа и видеонаблюдения</v>
      </c>
      <c r="G13284" s="22" t="s">
        <v>258</v>
      </c>
      <c r="H13284" s="22" t="s">
        <v>546</v>
      </c>
      <c r="I13284" s="26">
        <v>43525.711111111101</v>
      </c>
      <c r="J13284" s="23" t="str">
        <f>HYPERLINK("https://www.spark-marketing.ru/Card/Person/470113", "ООО ""АЛАРМ СЕРВИС""")</f>
        <v>ООО "АЛАРМ СЕРВИС"</v>
      </c>
      <c r="K13284" s="24" t="s">
        <v>6025</v>
      </c>
      <c r="L13284" s="28" t="s">
        <v>52</v>
      </c>
      <c r="M13284" s="25">
        <v>38915</v>
      </c>
      <c r="N13284" s="27">
        <v>0.4945375242405074</v>
      </c>
    </row>
    <row r="13285" spans="1:14" x14ac:dyDescent="0.15">
      <c r="A13285" s="23" t="str">
        <f>HYPERLINK("https://www.spark-marketing.ru/Card/Person/169936", "АО ""СМП-НЕФТЕГАЗ""")</f>
        <v>АО "СМП-НЕФТЕГАЗ"</v>
      </c>
      <c r="B13285" s="24" t="s">
        <v>3952</v>
      </c>
      <c r="C13285" s="25">
        <v>0</v>
      </c>
      <c r="D13285" s="22" t="s">
        <v>15453</v>
      </c>
      <c r="E13285" s="22" t="s">
        <v>208</v>
      </c>
      <c r="F13285" s="23" t="str">
        <f>HYPERLINK("https://www.spark-marketing.ru/Card/Lot/68422351", "Лазерный пульт для обслуживания радиоустройств системы Астра-Zитадель, входит в комплект поставки Астра-Z-812М")</f>
        <v>Лазерный пульт для обслуживания радиоустройств системы Астра-Zитадель, входит в комплект поставки Астра-Z-812М</v>
      </c>
      <c r="G13285" s="22" t="s">
        <v>204</v>
      </c>
      <c r="H13285" s="22" t="s">
        <v>308</v>
      </c>
      <c r="I13285" s="26">
        <v>43525.704872685201</v>
      </c>
      <c r="J13285" s="28" t="s">
        <v>52</v>
      </c>
      <c r="K13285" s="28" t="s">
        <v>52</v>
      </c>
      <c r="L13285" s="28" t="s">
        <v>52</v>
      </c>
      <c r="M13285" s="28" t="s">
        <v>52</v>
      </c>
      <c r="N13285" s="28" t="s">
        <v>52</v>
      </c>
    </row>
    <row r="13286" spans="1:14" x14ac:dyDescent="0.15">
      <c r="A13286" s="23" t="str">
        <f>HYPERLINK("https://www.spark-marketing.ru/Card/Person/4347606", "ГБУ КО ""ШКОЛА-ИНТЕРНАТ""")</f>
        <v>ГБУ КО "ШКОЛА-ИНТЕРНАТ"</v>
      </c>
      <c r="B13286" s="24" t="s">
        <v>15454</v>
      </c>
      <c r="C13286" s="25">
        <v>60000</v>
      </c>
      <c r="D13286" s="22" t="s">
        <v>15455</v>
      </c>
      <c r="E13286" s="22" t="s">
        <v>294</v>
      </c>
      <c r="F13286" s="23" t="str">
        <f>HYPERLINK("https://www.spark-marketing.ru/Card/Lot/68420693", "техническое обслуживание системы видеонаблюдения")</f>
        <v>техническое обслуживание системы видеонаблюдения</v>
      </c>
      <c r="G13286" s="22" t="s">
        <v>247</v>
      </c>
      <c r="H13286" s="22" t="s">
        <v>576</v>
      </c>
      <c r="I13286" s="26">
        <v>43525.682638888902</v>
      </c>
      <c r="J13286" s="28" t="s">
        <v>52</v>
      </c>
      <c r="K13286" s="28" t="s">
        <v>52</v>
      </c>
      <c r="L13286" s="28" t="s">
        <v>52</v>
      </c>
      <c r="M13286" s="28" t="s">
        <v>52</v>
      </c>
      <c r="N13286" s="28" t="s">
        <v>52</v>
      </c>
    </row>
    <row r="13287" spans="1:14" x14ac:dyDescent="0.15">
      <c r="A13287" s="23" t="str">
        <f>HYPERLINK("https://www.spark-marketing.ru/Card/Person/4347087", "ГБУЗ ""РОДИЛЬНЫЙ ДОМ № 3 Г. МАГНИТОГОРСК""")</f>
        <v>ГБУЗ "РОДИЛЬНЫЙ ДОМ № 3 Г. МАГНИТОГОРСК"</v>
      </c>
      <c r="B13287" s="24" t="s">
        <v>15456</v>
      </c>
      <c r="C13287" s="25">
        <v>15622</v>
      </c>
      <c r="D13287" s="22" t="s">
        <v>15457</v>
      </c>
      <c r="E13287" s="22" t="s">
        <v>68</v>
      </c>
      <c r="F13287" s="23" t="str">
        <f>HYPERLINK("https://www.spark-marketing.ru/Card/Lot/68412854", "Оказание услуг по охранной деятельности (охрана объектов и (или) имущества (в том числе при его транспортировке), находящихся в собственности, во владении, в пользовании, хозяйственном ведении, оперативном управлении или доверительном управлении) для...")</f>
        <v>Оказание услуг по охранной деятельности (охрана объектов и (или) имущества (в том числе при его транспортировке), находящихся в собственности, во владении, в пользовании, хозяйственном ведении, оперативном управлении или доверительном управлении) для...</v>
      </c>
      <c r="G13287" s="22" t="s">
        <v>60</v>
      </c>
      <c r="H13287" s="22" t="s">
        <v>221</v>
      </c>
      <c r="I13287" s="26">
        <v>43525.672916666699</v>
      </c>
      <c r="J13287" s="28" t="s">
        <v>52</v>
      </c>
      <c r="K13287" s="28" t="s">
        <v>52</v>
      </c>
      <c r="L13287" s="28" t="s">
        <v>52</v>
      </c>
      <c r="M13287" s="28" t="s">
        <v>52</v>
      </c>
      <c r="N13287" s="28" t="s">
        <v>52</v>
      </c>
    </row>
    <row r="13288" spans="1:14" hidden="1" outlineLevel="1" x14ac:dyDescent="0.2">
      <c r="A13288" s="23" t="str">
        <f>HYPERLINK("https://www.spark-marketing.ru/Card/Person/4347087", "ГБУЗ ""РОДИЛЬНЫЙ ДОМ № 3 Г. МАГНИТОГОРСК""")</f>
        <v>ГБУЗ "РОДИЛЬНЫЙ ДОМ № 3 Г. МАГНИТОГОРСК"</v>
      </c>
      <c r="B13288" s="24" t="s">
        <v>15456</v>
      </c>
      <c r="C13288" s="25">
        <v>15622</v>
      </c>
      <c r="D13288" s="22" t="s">
        <v>15457</v>
      </c>
      <c r="E13288" s="22" t="s">
        <v>68</v>
      </c>
      <c r="F13288" s="23" t="str">
        <f>HYPERLINK("https://www.spark-marketing.ru/Card/Lot/68412854", "Оказание услуг по охранной деятельности (охрана объектов и (или) имущества (в том числе при его транспортировке), находящихся в собственности, во владении, в пользовании, хозяйственном ведении, оперативном управлении или доверительном управлении) для...")</f>
        <v>Оказание услуг по охранной деятельности (охрана объектов и (или) имущества (в том числе при его транспортировке), находящихся в собственности, во владении, в пользовании, хозяйственном ведении, оперативном управлении или доверительном управлении) для...</v>
      </c>
      <c r="G13288" s="22" t="s">
        <v>60</v>
      </c>
      <c r="H13288" s="22" t="s">
        <v>221</v>
      </c>
      <c r="I13288" s="26">
        <v>43525.672916666699</v>
      </c>
      <c r="J13288" s="23" t="str">
        <f>HYPERLINK("https://www.spark-marketing.ru/Card/Person/534247", "ООО ЧОО ""ВАРЯГ-1""")</f>
        <v>ООО ЧОО "ВАРЯГ-1"</v>
      </c>
      <c r="K13288" s="24" t="s">
        <v>3231</v>
      </c>
      <c r="L13288" s="28" t="s">
        <v>52</v>
      </c>
      <c r="M13288" s="25">
        <v>15000</v>
      </c>
      <c r="N13288" s="27">
        <v>3.9815644603763925E-2</v>
      </c>
    </row>
    <row r="13289" spans="1:14" ht="12.75" hidden="1" outlineLevel="1" x14ac:dyDescent="0.2">
      <c r="A13289" s="23" t="str">
        <f>HYPERLINK("https://www.spark-marketing.ru/Card/Person/4347087", "ГБУЗ ""РОДИЛЬНЫЙ ДОМ № 3 Г. МАГНИТОГОРСК""")</f>
        <v>ГБУЗ "РОДИЛЬНЫЙ ДОМ № 3 Г. МАГНИТОГОРСК"</v>
      </c>
      <c r="B13289" s="24" t="s">
        <v>15456</v>
      </c>
      <c r="C13289" s="25">
        <v>15622</v>
      </c>
      <c r="D13289" s="22" t="s">
        <v>15457</v>
      </c>
      <c r="E13289" s="22" t="s">
        <v>68</v>
      </c>
      <c r="F13289" s="23" t="str">
        <f>HYPERLINK("https://www.spark-marketing.ru/Card/Lot/68412854", "Оказание услуг по охранной деятельности (охрана объектов и (или) имущества (в том числе при его транспортировке), находящихся в собственности, во владении, в пользовании, хозяйственном ведении, оперативном управлении или доверительном управлении) для...")</f>
        <v>Оказание услуг по охранной деятельности (охрана объектов и (или) имущества (в том числе при его транспортировке), находящихся в собственности, во владении, в пользовании, хозяйственном ведении, оперативном управлении или доверительном управлении) для...</v>
      </c>
      <c r="G13289" s="22" t="s">
        <v>60</v>
      </c>
      <c r="H13289" s="22" t="s">
        <v>221</v>
      </c>
      <c r="I13289" s="26">
        <v>43525.672916666699</v>
      </c>
      <c r="J13289" s="23" t="str">
        <f>HYPERLINK("https://www.spark-marketing.ru/Card/Person/4359995", "ООО ""ОХРАННОЕ ПРЕДПРИЯТИЕ ""КАСКАД-С""")</f>
        <v>ООО "ОХРАННОЕ ПРЕДПРИЯТИЕ "КАСКАД-С"</v>
      </c>
      <c r="K13289" s="24" t="s">
        <v>15458</v>
      </c>
      <c r="L13289" s="22" t="s">
        <v>10</v>
      </c>
      <c r="M13289" s="25">
        <v>14922</v>
      </c>
      <c r="N13289" s="27">
        <v>4.4808603251824349E-2</v>
      </c>
    </row>
    <row r="13290" spans="1:14" x14ac:dyDescent="0.15">
      <c r="A13290" s="23" t="str">
        <f>HYPERLINK("https://www.spark-marketing.ru/Card/Person/55086", "ГСУ СК РОССИИ ПО Г. САНКТ-ПЕТЕРБУРГУ")</f>
        <v>ГСУ СК РОССИИ ПО Г. САНКТ-ПЕТЕРБУРГУ</v>
      </c>
      <c r="B13290" s="24" t="s">
        <v>15459</v>
      </c>
      <c r="C13290" s="25">
        <v>13392182.4</v>
      </c>
      <c r="D13290" s="22" t="s">
        <v>15460</v>
      </c>
      <c r="E13290" s="22" t="s">
        <v>68</v>
      </c>
      <c r="F13290" s="23" t="str">
        <f>HYPERLINK("https://www.spark-marketing.ru/Card/Lot/68418383", "Оказание услуг по физической охране объектов")</f>
        <v>Оказание услуг по физической охране объектов</v>
      </c>
      <c r="G13290" s="22" t="s">
        <v>89</v>
      </c>
      <c r="H13290" s="22" t="s">
        <v>89</v>
      </c>
      <c r="I13290" s="26">
        <v>43525.676388888904</v>
      </c>
      <c r="J13290" s="23" t="str">
        <f>HYPERLINK("https://www.spark-marketing.ru/Card/Person/10487", "ФГУП ""ОХРАНА"" РОСГВАРДИИ")</f>
        <v>ФГУП "ОХРАНА" РОСГВАРДИИ</v>
      </c>
      <c r="K13290" s="24" t="s">
        <v>779</v>
      </c>
      <c r="L13290" s="22" t="s">
        <v>10</v>
      </c>
      <c r="M13290" s="28" t="s">
        <v>52</v>
      </c>
      <c r="N13290" s="28" t="s">
        <v>52</v>
      </c>
    </row>
    <row r="13291" spans="1:14" x14ac:dyDescent="0.15">
      <c r="A13291" s="23" t="str">
        <f>HYPERLINK("https://www.spark-marketing.ru/Card/Person/46271", "ГБУЗ ""ЭНДОКРИНОЛОГИЧЕСКИЙ ДИСПАНСЕР ДЗМ""")</f>
        <v>ГБУЗ "ЭНДОКРИНОЛОГИЧЕСКИЙ ДИСПАНСЕР ДЗМ"</v>
      </c>
      <c r="B13291" s="24" t="s">
        <v>2948</v>
      </c>
      <c r="C13291" s="25">
        <v>227583.82</v>
      </c>
      <c r="D13291" s="22" t="s">
        <v>15461</v>
      </c>
      <c r="E13291" s="22" t="s">
        <v>103</v>
      </c>
      <c r="F13291" s="23" t="str">
        <f>HYPERLINK("https://www.spark-marketing.ru/Card/Lot/68415451", "Аукцион в электронной форме на выполнение работ по техническому обслуживанию системы видеонаблюдения ГБУЗ «Эндокринологический диспансер ДЗМ» в 2019 г.")</f>
        <v>Аукцион в электронной форме на выполнение работ по техническому обслуживанию системы видеонаблюдения ГБУЗ «Эндокринологический диспансер ДЗМ» в 2019 г.</v>
      </c>
      <c r="G13291" s="22" t="s">
        <v>55</v>
      </c>
      <c r="H13291" s="22" t="s">
        <v>55</v>
      </c>
      <c r="I13291" s="26">
        <v>43525.640972222202</v>
      </c>
      <c r="J13291" s="28" t="s">
        <v>52</v>
      </c>
      <c r="K13291" s="28" t="s">
        <v>52</v>
      </c>
      <c r="L13291" s="28" t="s">
        <v>52</v>
      </c>
      <c r="M13291" s="28" t="s">
        <v>52</v>
      </c>
      <c r="N13291" s="28" t="s">
        <v>52</v>
      </c>
    </row>
    <row r="13292" spans="1:14" hidden="1" outlineLevel="1" x14ac:dyDescent="0.2">
      <c r="A13292" s="23" t="str">
        <f>HYPERLINK("https://www.spark-marketing.ru/Card/Person/46271", "ГБУЗ ""ЭНДОКРИНОЛОГИЧЕСКИЙ ДИСПАНСЕР ДЗМ""")</f>
        <v>ГБУЗ "ЭНДОКРИНОЛОГИЧЕСКИЙ ДИСПАНСЕР ДЗМ"</v>
      </c>
      <c r="B13292" s="24" t="s">
        <v>2948</v>
      </c>
      <c r="C13292" s="25">
        <v>227583.82</v>
      </c>
      <c r="D13292" s="22" t="s">
        <v>15461</v>
      </c>
      <c r="E13292" s="22" t="s">
        <v>103</v>
      </c>
      <c r="F13292" s="23" t="str">
        <f>HYPERLINK("https://www.spark-marketing.ru/Card/Lot/68415451", "Аукцион в электронной форме на выполнение работ по техническому обслуживанию системы видеонаблюдения ГБУЗ «Эндокринологический диспансер ДЗМ» в 2019 г.")</f>
        <v>Аукцион в электронной форме на выполнение работ по техническому обслуживанию системы видеонаблюдения ГБУЗ «Эндокринологический диспансер ДЗМ» в 2019 г.</v>
      </c>
      <c r="G13292" s="22" t="s">
        <v>55</v>
      </c>
      <c r="H13292" s="22" t="s">
        <v>55</v>
      </c>
      <c r="I13292" s="26">
        <v>43525.640972222202</v>
      </c>
      <c r="J13292" s="23" t="str">
        <f>HYPERLINK("https://www.spark-marketing.ru/Card/Person/619853", "ООО ""КОБРА ГАРАНТ""")</f>
        <v>ООО "КОБРА ГАРАНТ"</v>
      </c>
      <c r="K13292" s="24" t="s">
        <v>15462</v>
      </c>
      <c r="L13292" s="28" t="s">
        <v>52</v>
      </c>
      <c r="M13292" s="25">
        <v>95585.11</v>
      </c>
      <c r="N13292" s="27">
        <v>0.58000041479222908</v>
      </c>
    </row>
    <row r="13293" spans="1:14" ht="12.75" hidden="1" outlineLevel="1" x14ac:dyDescent="0.2">
      <c r="A13293" s="23" t="str">
        <f>HYPERLINK("https://www.spark-marketing.ru/Card/Person/46271", "ГБУЗ ""ЭНДОКРИНОЛОГИЧЕСКИЙ ДИСПАНСЕР ДЗМ""")</f>
        <v>ГБУЗ "ЭНДОКРИНОЛОГИЧЕСКИЙ ДИСПАНСЕР ДЗМ"</v>
      </c>
      <c r="B13293" s="24" t="s">
        <v>2948</v>
      </c>
      <c r="C13293" s="25">
        <v>227583.82</v>
      </c>
      <c r="D13293" s="22" t="s">
        <v>15461</v>
      </c>
      <c r="E13293" s="22" t="s">
        <v>103</v>
      </c>
      <c r="F13293" s="23" t="str">
        <f>HYPERLINK("https://www.spark-marketing.ru/Card/Lot/68415451", "Аукцион в электронной форме на выполнение работ по техническому обслуживанию системы видеонаблюдения ГБУЗ «Эндокринологический диспансер ДЗМ» в 2019 г.")</f>
        <v>Аукцион в электронной форме на выполнение работ по техническому обслуживанию системы видеонаблюдения ГБУЗ «Эндокринологический диспансер ДЗМ» в 2019 г.</v>
      </c>
      <c r="G13293" s="22" t="s">
        <v>55</v>
      </c>
      <c r="H13293" s="22" t="s">
        <v>55</v>
      </c>
      <c r="I13293" s="26">
        <v>43525.640972222202</v>
      </c>
      <c r="J13293" s="23" t="str">
        <f>HYPERLINK("https://www.spark-marketing.ru/Card/Person/235185", "АО ""ВИДЕОФОН МВ""")</f>
        <v>АО "ВИДЕОФОН МВ"</v>
      </c>
      <c r="K13293" s="24" t="s">
        <v>15463</v>
      </c>
      <c r="L13293" s="22" t="s">
        <v>10</v>
      </c>
      <c r="M13293" s="25">
        <v>94447.19</v>
      </c>
      <c r="N13293" s="27">
        <v>0.58500041874681596</v>
      </c>
    </row>
    <row r="13294" spans="1:14" hidden="1" outlineLevel="1" x14ac:dyDescent="0.2">
      <c r="A13294" s="23" t="str">
        <f>HYPERLINK("https://www.spark-marketing.ru/Card/Person/46271", "ГБУЗ ""ЭНДОКРИНОЛОГИЧЕСКИЙ ДИСПАНСЕР ДЗМ""")</f>
        <v>ГБУЗ "ЭНДОКРИНОЛОГИЧЕСКИЙ ДИСПАНСЕР ДЗМ"</v>
      </c>
      <c r="B13294" s="24" t="s">
        <v>2948</v>
      </c>
      <c r="C13294" s="25">
        <v>227583.82</v>
      </c>
      <c r="D13294" s="22" t="s">
        <v>15461</v>
      </c>
      <c r="E13294" s="22" t="s">
        <v>103</v>
      </c>
      <c r="F13294" s="23" t="str">
        <f>HYPERLINK("https://www.spark-marketing.ru/Card/Lot/68415451", "Аукцион в электронной форме на выполнение работ по техническому обслуживанию системы видеонаблюдения ГБУЗ «Эндокринологический диспансер ДЗМ» в 2019 г.")</f>
        <v>Аукцион в электронной форме на выполнение работ по техническому обслуживанию системы видеонаблюдения ГБУЗ «Эндокринологический диспансер ДЗМ» в 2019 г.</v>
      </c>
      <c r="G13294" s="22" t="s">
        <v>55</v>
      </c>
      <c r="H13294" s="22" t="s">
        <v>55</v>
      </c>
      <c r="I13294" s="26">
        <v>43525.640972222202</v>
      </c>
      <c r="J13294" s="23" t="str">
        <f>HYPERLINK("https://www.spark-marketing.ru/Card/Person/10921", "ООО ""АЙТИ ФОРТ""")</f>
        <v>ООО "АЙТИ ФОРТ"</v>
      </c>
      <c r="K13294" s="24" t="s">
        <v>8546</v>
      </c>
      <c r="L13294" s="28" t="s">
        <v>52</v>
      </c>
      <c r="M13294" s="25">
        <v>225307.98</v>
      </c>
      <c r="N13294" s="27">
        <v>1.0000007909173859E-2</v>
      </c>
    </row>
    <row r="13295" spans="1:14" hidden="1" outlineLevel="1" x14ac:dyDescent="0.2">
      <c r="A13295" s="23" t="str">
        <f>HYPERLINK("https://www.spark-marketing.ru/Card/Person/46271", "ГБУЗ ""ЭНДОКРИНОЛОГИЧЕСКИЙ ДИСПАНСЕР ДЗМ""")</f>
        <v>ГБУЗ "ЭНДОКРИНОЛОГИЧЕСКИЙ ДИСПАНСЕР ДЗМ"</v>
      </c>
      <c r="B13295" s="24" t="s">
        <v>2948</v>
      </c>
      <c r="C13295" s="25">
        <v>227583.82</v>
      </c>
      <c r="D13295" s="22" t="s">
        <v>15461</v>
      </c>
      <c r="E13295" s="22" t="s">
        <v>103</v>
      </c>
      <c r="F13295" s="23" t="str">
        <f>HYPERLINK("https://www.spark-marketing.ru/Card/Lot/68415451", "Аукцион в электронной форме на выполнение работ по техническому обслуживанию системы видеонаблюдения ГБУЗ «Эндокринологический диспансер ДЗМ» в 2019 г.")</f>
        <v>Аукцион в электронной форме на выполнение работ по техническому обслуживанию системы видеонаблюдения ГБУЗ «Эндокринологический диспансер ДЗМ» в 2019 г.</v>
      </c>
      <c r="G13295" s="22" t="s">
        <v>55</v>
      </c>
      <c r="H13295" s="22" t="s">
        <v>55</v>
      </c>
      <c r="I13295" s="26">
        <v>43525.640972222202</v>
      </c>
      <c r="J13295" s="23" t="str">
        <f>HYPERLINK("https://www.spark-marketing.ru/Card/Person/6264257", "ООО ""СИНИЦА""")</f>
        <v>ООО "СИНИЦА"</v>
      </c>
      <c r="K13295" s="24" t="s">
        <v>13340</v>
      </c>
      <c r="L13295" s="28" t="s">
        <v>52</v>
      </c>
      <c r="M13295" s="25">
        <v>124033.11</v>
      </c>
      <c r="N13295" s="27">
        <v>0.45500031592755585</v>
      </c>
    </row>
    <row r="13296" spans="1:14" x14ac:dyDescent="0.15">
      <c r="A13296" s="23" t="str">
        <f>HYPERLINK("https://www.spark-marketing.ru/Card/Person/131508", "МБДОУ ДЕТСКИЙ САД № 24 КОМБИНИРОВАННОГО ВИДА")</f>
        <v>МБДОУ ДЕТСКИЙ САД № 24 КОМБИНИРОВАННОГО ВИДА</v>
      </c>
      <c r="B13296" s="24" t="s">
        <v>15464</v>
      </c>
      <c r="C13296" s="25">
        <v>46800</v>
      </c>
      <c r="D13296" s="22" t="s">
        <v>15465</v>
      </c>
      <c r="E13296" s="22" t="s">
        <v>107</v>
      </c>
      <c r="F13296" s="23" t="str">
        <f>HYPERLINK("https://www.spark-marketing.ru/Card/Lot/68535804", "Закупка 2019 году услуги по техническому обслуживанию (содержанию) систем охранной (противовзломной) сигнализации КТС для нужд МБДОУ детский сад №24")</f>
        <v>Закупка 2019 году услуги по техническому обслуживанию (содержанию) систем охранной (противовзломной) сигнализации КТС для нужд МБДОУ детский сад №24</v>
      </c>
      <c r="G13296" s="22" t="s">
        <v>50</v>
      </c>
      <c r="H13296" s="22" t="s">
        <v>1045</v>
      </c>
      <c r="I13296" s="26">
        <v>43525.627615740697</v>
      </c>
      <c r="J13296" s="28" t="s">
        <v>52</v>
      </c>
      <c r="K13296" s="28" t="s">
        <v>52</v>
      </c>
      <c r="L13296" s="28" t="s">
        <v>52</v>
      </c>
      <c r="M13296" s="28" t="s">
        <v>52</v>
      </c>
      <c r="N13296" s="28" t="s">
        <v>52</v>
      </c>
    </row>
    <row r="13297" spans="1:14" x14ac:dyDescent="0.15">
      <c r="A13297" s="23" t="str">
        <f>HYPERLINK("https://www.spark-marketing.ru/Card/Person/10788", "АДМИНИСТРАЦИЯ МУНИЦИПАЛЬНОГО ОБРАЗОВАНИЯ ЕЙСКИЙ РАЙОН")</f>
        <v>АДМИНИСТРАЦИЯ МУНИЦИПАЛЬНОГО ОБРАЗОВАНИЯ ЕЙСКИЙ РАЙОН</v>
      </c>
      <c r="B13297" s="24" t="s">
        <v>15466</v>
      </c>
      <c r="C13297" s="25">
        <v>172500</v>
      </c>
      <c r="D13297" s="22" t="s">
        <v>15467</v>
      </c>
      <c r="E13297" s="22" t="s">
        <v>298</v>
      </c>
      <c r="F13297" s="23" t="str">
        <f>HYPERLINK("https://www.spark-marketing.ru/Card/Lot/68416366", "Услуги по техническому обслуживанию и дополнительному сопровождению Единой системы учета объектов и неналоговых доходов (ЕСУОНД)")</f>
        <v>Услуги по техническому обслуживанию и дополнительному сопровождению Единой системы учета объектов и неналоговых доходов (ЕСУОНД)</v>
      </c>
      <c r="G13297" s="22" t="s">
        <v>132</v>
      </c>
      <c r="H13297" s="22" t="s">
        <v>15074</v>
      </c>
      <c r="I13297" s="26">
        <v>43525.6652777778</v>
      </c>
      <c r="J13297" s="23" t="str">
        <f>HYPERLINK("https://www.spark-marketing.ru/Card/Person/117262", "ООО ""ЦИТ БАРС""")</f>
        <v>ООО "ЦИТ БАРС"</v>
      </c>
      <c r="K13297" s="24" t="s">
        <v>5121</v>
      </c>
      <c r="L13297" s="22" t="s">
        <v>10</v>
      </c>
      <c r="M13297" s="28" t="s">
        <v>52</v>
      </c>
      <c r="N13297" s="28" t="s">
        <v>52</v>
      </c>
    </row>
    <row r="13298" spans="1:14" x14ac:dyDescent="0.15">
      <c r="A13298" s="23" t="str">
        <f>HYPERLINK("https://www.spark-marketing.ru/Card/Person/4348646", "ООО ""БЕЛОЯРСКАЯ АЭС- АВТО""")</f>
        <v>ООО "БЕЛОЯРСКАЯ АЭС- АВТО"</v>
      </c>
      <c r="B13298" s="24" t="s">
        <v>4642</v>
      </c>
      <c r="C13298" s="25">
        <v>576000</v>
      </c>
      <c r="D13298" s="22" t="s">
        <v>15468</v>
      </c>
      <c r="E13298" s="22" t="s">
        <v>2577</v>
      </c>
      <c r="F13298" s="23" t="str">
        <f>HYPERLINK("https://www.spark-marketing.ru/Card/Lot/68411693", "Право заключения договора на Оказание услуг по разработке планов обеспечения транспортной безопасности транспортных средств для ООО ""Белоярская АЭС-Авто""")</f>
        <v>Право заключения договора на Оказание услуг по разработке планов обеспечения транспортной безопасности транспортных средств для ООО "Белоярская АЭС-Авто"</v>
      </c>
      <c r="G13298" s="22" t="s">
        <v>72</v>
      </c>
      <c r="H13298" s="22" t="s">
        <v>846</v>
      </c>
      <c r="I13298" s="26">
        <v>43525.665474537003</v>
      </c>
      <c r="J13298" s="28" t="s">
        <v>52</v>
      </c>
      <c r="K13298" s="28" t="s">
        <v>52</v>
      </c>
      <c r="L13298" s="28" t="s">
        <v>52</v>
      </c>
      <c r="M13298" s="28" t="s">
        <v>52</v>
      </c>
      <c r="N13298" s="28" t="s">
        <v>52</v>
      </c>
    </row>
    <row r="13299" spans="1:14" hidden="1" outlineLevel="1" x14ac:dyDescent="0.15">
      <c r="A13299" s="23" t="str">
        <f>HYPERLINK("https://www.spark-marketing.ru/Card/Person/4348646", "ООО ""БЕЛОЯРСКАЯ АЭС- АВТО""")</f>
        <v>ООО "БЕЛОЯРСКАЯ АЭС- АВТО"</v>
      </c>
      <c r="B13299" s="24" t="s">
        <v>4642</v>
      </c>
      <c r="C13299" s="28" t="s">
        <v>52</v>
      </c>
      <c r="D13299" s="22" t="s">
        <v>15468</v>
      </c>
      <c r="E13299" s="22" t="s">
        <v>2577</v>
      </c>
      <c r="F13299" s="23" t="str">
        <f>HYPERLINK("https://www.spark-marketing.ru/Card/Lot/68411693", "Право заключения договора на Оказание услуг по разработке планов обеспечения транспортной безопасности транспортных средств для ООО ""Белоярская АЭС-Авто""")</f>
        <v>Право заключения договора на Оказание услуг по разработке планов обеспечения транспортной безопасности транспортных средств для ООО "Белоярская АЭС-Авто"</v>
      </c>
      <c r="G13299" s="22" t="s">
        <v>72</v>
      </c>
      <c r="H13299" s="22" t="s">
        <v>846</v>
      </c>
      <c r="I13299" s="26">
        <v>43525.665474537003</v>
      </c>
      <c r="J13299" s="23" t="str">
        <f>HYPERLINK("https://www.spark-marketing.ru/Card/Person/6524779", "ЗАЯВКА 6519")</f>
        <v>ЗАЯВКА 6519</v>
      </c>
      <c r="K13299" s="28" t="s">
        <v>52</v>
      </c>
      <c r="L13299" s="28" t="s">
        <v>52</v>
      </c>
      <c r="M13299" s="28" t="s">
        <v>52</v>
      </c>
      <c r="N13299" s="28" t="s">
        <v>52</v>
      </c>
    </row>
    <row r="13300" spans="1:14" hidden="1" outlineLevel="1" x14ac:dyDescent="0.2">
      <c r="A13300" s="23" t="str">
        <f>HYPERLINK("https://www.spark-marketing.ru/Card/Person/4348646", "ООО ""БЕЛОЯРСКАЯ АЭС- АВТО""")</f>
        <v>ООО "БЕЛОЯРСКАЯ АЭС- АВТО"</v>
      </c>
      <c r="B13300" s="24" t="s">
        <v>4642</v>
      </c>
      <c r="C13300" s="28" t="s">
        <v>52</v>
      </c>
      <c r="D13300" s="22" t="s">
        <v>15468</v>
      </c>
      <c r="E13300" s="22" t="s">
        <v>2577</v>
      </c>
      <c r="F13300" s="23" t="str">
        <f>HYPERLINK("https://www.spark-marketing.ru/Card/Lot/68411693", "Право заключения договора на Оказание услуг по разработке планов обеспечения транспортной безопасности транспортных средств для ООО ""Белоярская АЭС-Авто""")</f>
        <v>Право заключения договора на Оказание услуг по разработке планов обеспечения транспортной безопасности транспортных средств для ООО "Белоярская АЭС-Авто"</v>
      </c>
      <c r="G13300" s="22" t="s">
        <v>72</v>
      </c>
      <c r="H13300" s="22" t="s">
        <v>846</v>
      </c>
      <c r="I13300" s="26">
        <v>43525.665474537003</v>
      </c>
      <c r="J13300" s="23" t="str">
        <f>HYPERLINK("https://www.spark-marketing.ru/Card/Person/81571", "ООО ""СО ""АНТИТЕРРОР""")</f>
        <v>ООО "СО "АНТИТЕРРОР"</v>
      </c>
      <c r="K13300" s="24" t="s">
        <v>3384</v>
      </c>
      <c r="L13300" s="22" t="s">
        <v>10</v>
      </c>
      <c r="M13300" s="25">
        <v>285000</v>
      </c>
      <c r="N13300" s="27">
        <v>0.50520833333333337</v>
      </c>
    </row>
    <row r="13301" spans="1:14" hidden="1" outlineLevel="1" x14ac:dyDescent="0.2">
      <c r="A13301" s="23" t="str">
        <f>HYPERLINK("https://www.spark-marketing.ru/Card/Person/4348646", "ООО ""БЕЛОЯРСКАЯ АЭС- АВТО""")</f>
        <v>ООО "БЕЛОЯРСКАЯ АЭС- АВТО"</v>
      </c>
      <c r="B13301" s="24" t="s">
        <v>4642</v>
      </c>
      <c r="C13301" s="28" t="s">
        <v>52</v>
      </c>
      <c r="D13301" s="22" t="s">
        <v>15468</v>
      </c>
      <c r="E13301" s="22" t="s">
        <v>2577</v>
      </c>
      <c r="F13301" s="23" t="str">
        <f>HYPERLINK("https://www.spark-marketing.ru/Card/Lot/68411693", "Право заключения договора на Оказание услуг по разработке планов обеспечения транспортной безопасности транспортных средств для ООО ""Белоярская АЭС-Авто""")</f>
        <v>Право заключения договора на Оказание услуг по разработке планов обеспечения транспортной безопасности транспортных средств для ООО "Белоярская АЭС-Авто"</v>
      </c>
      <c r="G13301" s="22" t="s">
        <v>72</v>
      </c>
      <c r="H13301" s="22" t="s">
        <v>846</v>
      </c>
      <c r="I13301" s="26">
        <v>43525.665474537003</v>
      </c>
      <c r="J13301" s="23" t="str">
        <f>HYPERLINK("https://www.spark-marketing.ru/Card/Person/1668697", "ООО ""КСБ-КРЫМ""")</f>
        <v>ООО "КСБ-КРЫМ"</v>
      </c>
      <c r="K13301" s="24" t="s">
        <v>14038</v>
      </c>
      <c r="L13301" s="28" t="s">
        <v>52</v>
      </c>
      <c r="M13301" s="25">
        <v>400000</v>
      </c>
      <c r="N13301" s="27">
        <v>0.30555555555555558</v>
      </c>
    </row>
    <row r="13302" spans="1:14" x14ac:dyDescent="0.15">
      <c r="A13302" s="23" t="str">
        <f>HYPERLINK("https://www.spark-marketing.ru/Card/Person/4348563", "АО ""ОТЭК""")</f>
        <v>АО "ОТЭК"</v>
      </c>
      <c r="B13302" s="24" t="s">
        <v>11312</v>
      </c>
      <c r="C13302" s="28" t="s">
        <v>52</v>
      </c>
      <c r="D13302" s="22" t="s">
        <v>15469</v>
      </c>
      <c r="E13302" s="22" t="s">
        <v>53</v>
      </c>
      <c r="F13302" s="23" t="str">
        <f>HYPERLINK("https://www.spark-marketing.ru/Card/Lot/68419039", "Услуга по охране объекта (здание по адресу ул.Строителей 3А, Новоуральск) (для нужд Филиала АО ""ОТЭК"" в г. Новоуральске) (1198731)")</f>
        <v>Услуга по охране объекта (здание по адресу ул.Строителей 3А, Новоуральск) (для нужд Филиала АО "ОТЭК" в г. Новоуральске) (1198731)</v>
      </c>
      <c r="G13302" s="22" t="s">
        <v>55</v>
      </c>
      <c r="H13302" s="22" t="s">
        <v>55</v>
      </c>
      <c r="I13302" s="26">
        <v>43525.621539351901</v>
      </c>
      <c r="J13302" s="28" t="s">
        <v>52</v>
      </c>
      <c r="K13302" s="28" t="s">
        <v>52</v>
      </c>
      <c r="L13302" s="28" t="s">
        <v>52</v>
      </c>
      <c r="M13302" s="28" t="s">
        <v>52</v>
      </c>
      <c r="N13302" s="28" t="s">
        <v>52</v>
      </c>
    </row>
    <row r="13303" spans="1:14" x14ac:dyDescent="0.15">
      <c r="A13303" s="23" t="str">
        <f>HYPERLINK("https://www.spark-marketing.ru/Card/Person/4280626", "МБУ ""ЗЕЛЕНСТРОЙ""")</f>
        <v>МБУ "ЗЕЛЕНСТРОЙ"</v>
      </c>
      <c r="B13303" s="24" t="s">
        <v>15470</v>
      </c>
      <c r="C13303" s="25">
        <v>6426</v>
      </c>
      <c r="D13303" s="22" t="s">
        <v>15471</v>
      </c>
      <c r="E13303" s="22" t="s">
        <v>585</v>
      </c>
      <c r="F13303" s="23" t="str">
        <f>HYPERLINK("https://www.spark-marketing.ru/Card/Lot/68412226", "Проверка технического состояния транспортных средств Заказчика (в том числе его частей, предметов его дополнительного оборудования) на предмет его соответствия обязательным требованиям безопасности транспортных средств")</f>
        <v>Проверка технического состояния транспортных средств Заказчика (в том числе его частей, предметов его дополнительного оборудования) на предмет его соответствия обязательным требованиям безопасности транспортных средств</v>
      </c>
      <c r="G13303" s="22" t="s">
        <v>1053</v>
      </c>
      <c r="H13303" s="22" t="s">
        <v>3247</v>
      </c>
      <c r="I13303" s="26">
        <v>43525.585416666698</v>
      </c>
      <c r="J13303" s="28" t="s">
        <v>52</v>
      </c>
      <c r="K13303" s="28" t="s">
        <v>52</v>
      </c>
      <c r="L13303" s="28" t="s">
        <v>52</v>
      </c>
      <c r="M13303" s="28" t="s">
        <v>52</v>
      </c>
      <c r="N13303" s="28" t="s">
        <v>52</v>
      </c>
    </row>
    <row r="13304" spans="1:14" x14ac:dyDescent="0.15">
      <c r="A13304" s="23" t="str">
        <f>HYPERLINK("https://www.spark-marketing.ru/Card/Person/4348563", "АО ""ОТЭК""")</f>
        <v>АО "ОТЭК"</v>
      </c>
      <c r="B13304" s="24" t="s">
        <v>11312</v>
      </c>
      <c r="C13304" s="25">
        <v>0</v>
      </c>
      <c r="D13304" s="22" t="s">
        <v>15472</v>
      </c>
      <c r="E13304" s="22" t="s">
        <v>53</v>
      </c>
      <c r="F13304" s="23" t="str">
        <f>HYPERLINK("https://www.spark-marketing.ru/Card/Lot/68414170", "мониторинг цен в электронной форме на Услуга по охране объекта (здание по адресу ул.Строителей 3А, Новоуральск) (для нужд Филиала АО ""ОТЭК"" в г. Новоуральске)")</f>
        <v>мониторинг цен в электронной форме на Услуга по охране объекта (здание по адресу ул.Строителей 3А, Новоуральск) (для нужд Филиала АО "ОТЭК" в г. Новоуральске)</v>
      </c>
      <c r="G13304" s="22" t="s">
        <v>55</v>
      </c>
      <c r="H13304" s="22" t="s">
        <v>55</v>
      </c>
      <c r="I13304" s="26">
        <v>43525.5568055556</v>
      </c>
      <c r="J13304" s="28" t="s">
        <v>52</v>
      </c>
      <c r="K13304" s="28" t="s">
        <v>52</v>
      </c>
      <c r="L13304" s="28" t="s">
        <v>52</v>
      </c>
      <c r="M13304" s="28" t="s">
        <v>52</v>
      </c>
      <c r="N13304" s="28" t="s">
        <v>52</v>
      </c>
    </row>
    <row r="13305" spans="1:14" x14ac:dyDescent="0.15">
      <c r="A13305" s="23" t="str">
        <f>HYPERLINK("https://www.spark-marketing.ru/Card/Person/10694", "УПРАВЛЕНИЕ ЗАГС МОСКВЫ")</f>
        <v>УПРАВЛЕНИЕ ЗАГС МОСКВЫ</v>
      </c>
      <c r="B13305" s="24" t="s">
        <v>15473</v>
      </c>
      <c r="C13305" s="25">
        <v>127458</v>
      </c>
      <c r="D13305" s="22" t="s">
        <v>15474</v>
      </c>
      <c r="E13305" s="22" t="s">
        <v>103</v>
      </c>
      <c r="F13305" s="23" t="str">
        <f>HYPERLINK("https://www.spark-marketing.ru/Card/Lot/68411900", "Оказание услуг по централизованной охране в 2019 году (Управление ЗАГС Москвы)")</f>
        <v>Оказание услуг по централизованной охране в 2019 году (Управление ЗАГС Москвы)</v>
      </c>
      <c r="G13305" s="22" t="s">
        <v>55</v>
      </c>
      <c r="H13305" s="22" t="s">
        <v>55</v>
      </c>
      <c r="I13305" s="26">
        <v>43525.558333333298</v>
      </c>
      <c r="J13305" s="28" t="s">
        <v>52</v>
      </c>
      <c r="K13305" s="28" t="s">
        <v>52</v>
      </c>
      <c r="L13305" s="28" t="s">
        <v>52</v>
      </c>
      <c r="M13305" s="28" t="s">
        <v>52</v>
      </c>
      <c r="N13305" s="28" t="s">
        <v>52</v>
      </c>
    </row>
    <row r="13306" spans="1:14" x14ac:dyDescent="0.15">
      <c r="A13306" s="23" t="str">
        <f>HYPERLINK("https://www.spark-marketing.ru/Card/Person/1004648", "МБДОУ ""ДЕТСКИЙ САД ""ОЛЬХА""")</f>
        <v>МБДОУ "ДЕТСКИЙ САД "ОЛЬХА"</v>
      </c>
      <c r="B13306" s="24" t="s">
        <v>15475</v>
      </c>
      <c r="C13306" s="25">
        <v>5800</v>
      </c>
      <c r="D13306" s="22" t="s">
        <v>15476</v>
      </c>
      <c r="E13306" s="22" t="s">
        <v>294</v>
      </c>
      <c r="F13306" s="23" t="str">
        <f>HYPERLINK("https://www.spark-marketing.ru/Card/Lot/68409799", "техническое обслуживание системы видеонаблюдения")</f>
        <v>техническое обслуживание системы видеонаблюдения</v>
      </c>
      <c r="G13306" s="22" t="s">
        <v>176</v>
      </c>
      <c r="H13306" s="22" t="s">
        <v>6394</v>
      </c>
      <c r="I13306" s="26">
        <v>43525.569444444402</v>
      </c>
      <c r="J13306" s="28" t="s">
        <v>52</v>
      </c>
      <c r="K13306" s="28" t="s">
        <v>52</v>
      </c>
      <c r="L13306" s="28" t="s">
        <v>52</v>
      </c>
      <c r="M13306" s="28" t="s">
        <v>52</v>
      </c>
      <c r="N13306" s="28" t="s">
        <v>52</v>
      </c>
    </row>
    <row r="13307" spans="1:14" x14ac:dyDescent="0.15">
      <c r="A13307" s="23" t="str">
        <f>HYPERLINK("https://www.spark-marketing.ru/Card/Person/1777671", "МДОУ №9 ""ЦВЕТИК-СЕМИЦВЕТИК""")</f>
        <v>МДОУ №9 "ЦВЕТИК-СЕМИЦВЕТИК"</v>
      </c>
      <c r="B13307" s="24" t="s">
        <v>4051</v>
      </c>
      <c r="C13307" s="25">
        <v>15800</v>
      </c>
      <c r="D13307" s="22" t="s">
        <v>15477</v>
      </c>
      <c r="E13307" s="22" t="s">
        <v>59</v>
      </c>
      <c r="F13307" s="23" t="str">
        <f>HYPERLINK("https://www.spark-marketing.ru/Card/Lot/68538020", "Работы по установке и подключению оконечного устройства")</f>
        <v>Работы по установке и подключению оконечного устройства</v>
      </c>
      <c r="G13307" s="22" t="s">
        <v>50</v>
      </c>
      <c r="H13307" s="22" t="s">
        <v>504</v>
      </c>
      <c r="I13307" s="26">
        <v>43525.544386574104</v>
      </c>
      <c r="J13307" s="28" t="s">
        <v>52</v>
      </c>
      <c r="K13307" s="28" t="s">
        <v>52</v>
      </c>
      <c r="L13307" s="28" t="s">
        <v>52</v>
      </c>
      <c r="M13307" s="28" t="s">
        <v>52</v>
      </c>
      <c r="N13307" s="28" t="s">
        <v>52</v>
      </c>
    </row>
    <row r="13308" spans="1:14" x14ac:dyDescent="0.15">
      <c r="A13308" s="23" t="str">
        <f>HYPERLINK("https://www.spark-marketing.ru/Card/Person/2943", "ФКУЗ ""ЦП № 1 МВД РОССИИ""")</f>
        <v>ФКУЗ "ЦП № 1 МВД РОССИИ"</v>
      </c>
      <c r="B13308" s="24" t="s">
        <v>7657</v>
      </c>
      <c r="C13308" s="25">
        <v>4759922.8</v>
      </c>
      <c r="D13308" s="22" t="s">
        <v>15478</v>
      </c>
      <c r="E13308" s="22" t="s">
        <v>68</v>
      </c>
      <c r="F13308" s="23" t="str">
        <f>HYPERLINK("https://www.spark-marketing.ru/Card/Lot/68412040", "Охрана объектов военизированными подразделениями")</f>
        <v>Охрана объектов военизированными подразделениями</v>
      </c>
      <c r="G13308" s="22" t="s">
        <v>55</v>
      </c>
      <c r="H13308" s="22" t="s">
        <v>55</v>
      </c>
      <c r="I13308" s="26">
        <v>43525.545138888898</v>
      </c>
      <c r="J13308" s="28" t="s">
        <v>52</v>
      </c>
      <c r="K13308" s="28" t="s">
        <v>52</v>
      </c>
      <c r="L13308" s="28" t="s">
        <v>52</v>
      </c>
      <c r="M13308" s="28" t="s">
        <v>52</v>
      </c>
      <c r="N13308" s="28" t="s">
        <v>52</v>
      </c>
    </row>
    <row r="13309" spans="1:14" x14ac:dyDescent="0.15">
      <c r="A13309" s="23" t="str">
        <f>HYPERLINK("https://www.spark-marketing.ru/Card/Person/1720326", "ООО ""ГАЗПРОМ ТРАНССЕРВИС""")</f>
        <v>ООО "ГАЗПРОМ ТРАНССЕРВИС"</v>
      </c>
      <c r="B13309" s="24" t="s">
        <v>15479</v>
      </c>
      <c r="C13309" s="25">
        <v>2397786</v>
      </c>
      <c r="D13309" s="22" t="s">
        <v>15480</v>
      </c>
      <c r="E13309" s="22" t="s">
        <v>144</v>
      </c>
      <c r="F13309" s="23" t="str">
        <f>HYPERLINK("https://www.spark-marketing.ru/Card/Lot/68408644", "Оказание услуг по осуществлению пропускного режима в целях обеспечения транспортной безопасности")</f>
        <v>Оказание услуг по осуществлению пропускного режима в целях обеспечения транспортной безопасности</v>
      </c>
      <c r="G13309" s="22" t="s">
        <v>89</v>
      </c>
      <c r="H13309" s="22" t="s">
        <v>89</v>
      </c>
      <c r="I13309" s="26">
        <v>43525.544479166703</v>
      </c>
      <c r="J13309" s="28" t="s">
        <v>52</v>
      </c>
      <c r="K13309" s="28" t="s">
        <v>52</v>
      </c>
      <c r="L13309" s="28" t="s">
        <v>52</v>
      </c>
      <c r="M13309" s="28" t="s">
        <v>52</v>
      </c>
      <c r="N13309" s="28" t="s">
        <v>52</v>
      </c>
    </row>
    <row r="13310" spans="1:14" ht="12.75" x14ac:dyDescent="0.2">
      <c r="A13310" s="23" t="str">
        <f>HYPERLINK("https://www.spark-marketing.ru/Card/Person/294455", "АО ""КУЗНЕЦКАЯ ТЭЦ""")</f>
        <v>АО "КУЗНЕЦКАЯ ТЭЦ"</v>
      </c>
      <c r="B13310" s="24" t="s">
        <v>15481</v>
      </c>
      <c r="C13310" s="25">
        <v>670176</v>
      </c>
      <c r="D13310" s="22" t="s">
        <v>15482</v>
      </c>
      <c r="E13310" s="22" t="s">
        <v>10181</v>
      </c>
      <c r="F13310" s="23" t="str">
        <f>HYPERLINK("https://www.spark-marketing.ru/Card/Lot/68400986", "Техническое обслуживание систем видеонаблюдения и системы контроля доступа")</f>
        <v>Техническое обслуживание систем видеонаблюдения и системы контроля доступа</v>
      </c>
      <c r="G13310" s="22" t="s">
        <v>367</v>
      </c>
      <c r="H13310" s="22" t="s">
        <v>881</v>
      </c>
      <c r="I13310" s="26">
        <v>43525.562291666698</v>
      </c>
      <c r="J13310" s="23" t="str">
        <f>HYPERLINK("https://www.spark-marketing.ru/Card/Person/21354", "ООО ""АЙТИ-СЕРВИС-НК""")</f>
        <v>ООО "АЙТИ-СЕРВИС-НК"</v>
      </c>
      <c r="K13310" s="24" t="s">
        <v>15483</v>
      </c>
      <c r="L13310" s="22" t="s">
        <v>10</v>
      </c>
      <c r="M13310" s="25">
        <v>360000</v>
      </c>
      <c r="N13310" s="27">
        <v>0.46282767511817791</v>
      </c>
    </row>
    <row r="13311" spans="1:14" x14ac:dyDescent="0.15">
      <c r="A13311" s="23" t="str">
        <f>HYPERLINK("https://www.spark-marketing.ru/Card/Person/6369478", "ГЛАВНОЕ УПРАВЛЕНИЕ РОСГВАРДИИ ПО Г. МОСКВЕ")</f>
        <v>ГЛАВНОЕ УПРАВЛЕНИЕ РОСГВАРДИИ ПО Г. МОСКВЕ</v>
      </c>
      <c r="B13311" s="24" t="s">
        <v>15484</v>
      </c>
      <c r="C13311" s="25">
        <v>1112529.57</v>
      </c>
      <c r="D13311" s="22" t="s">
        <v>15485</v>
      </c>
      <c r="E13311" s="22" t="s">
        <v>15486</v>
      </c>
      <c r="F13311" s="23" t="str">
        <f>HYPERLINK("https://www.spark-marketing.ru/Card/Lot/68409769", "выполнение работ по техническому обслуживанию мобильного комплекса технических средств, предназначенного для сбора, приема, регистрации и передачи оперативной видеозвуковой информации с места дислокации (подвижной пункт управления Центра авиации МВД ...")</f>
        <v>выполнение работ по техническому обслуживанию мобильного комплекса технических средств, предназначенного для сбора, приема, регистрации и передачи оперативной видеозвуковой информации с места дислокации (подвижной пункт управления Центра авиации МВД ...</v>
      </c>
      <c r="G13311" s="22" t="s">
        <v>55</v>
      </c>
      <c r="H13311" s="22" t="s">
        <v>55</v>
      </c>
      <c r="I13311" s="26">
        <v>43525.540972222203</v>
      </c>
      <c r="J13311" s="23" t="str">
        <f>HYPERLINK("https://www.spark-marketing.ru/Card/Person/533373", "ЗАО ""МНИТИ""")</f>
        <v>ЗАО "МНИТИ"</v>
      </c>
      <c r="K13311" s="24" t="s">
        <v>15487</v>
      </c>
      <c r="L13311" s="28" t="s">
        <v>52</v>
      </c>
      <c r="M13311" s="28" t="s">
        <v>52</v>
      </c>
      <c r="N13311" s="28" t="s">
        <v>52</v>
      </c>
    </row>
    <row r="13312" spans="1:14" ht="12.75" hidden="1" outlineLevel="1" x14ac:dyDescent="0.2">
      <c r="A13312" s="23" t="str">
        <f>HYPERLINK("https://www.spark-marketing.ru/Card/Person/6369478", "ГЛАВНОЕ УПРАВЛЕНИЕ РОСГВАРДИИ ПО Г. МОСКВЕ")</f>
        <v>ГЛАВНОЕ УПРАВЛЕНИЕ РОСГВАРДИИ ПО Г. МОСКВЕ</v>
      </c>
      <c r="B13312" s="24" t="s">
        <v>15484</v>
      </c>
      <c r="C13312" s="25">
        <v>1112529.57</v>
      </c>
      <c r="D13312" s="22" t="s">
        <v>15485</v>
      </c>
      <c r="E13312" s="22" t="s">
        <v>15486</v>
      </c>
      <c r="F13312" s="23" t="str">
        <f>HYPERLINK("https://www.spark-marketing.ru/Card/Lot/68409769", "выполнение работ по техническому обслуживанию мобильного комплекса технических средств, предназначенного для сбора, приема, регистрации и передачи оперативной видеозвуковой информации с места дислокации (подвижной пункт управления Центра авиации МВД ...")</f>
        <v>выполнение работ по техническому обслуживанию мобильного комплекса технических средств, предназначенного для сбора, приема, регистрации и передачи оперативной видеозвуковой информации с места дислокации (подвижной пункт управления Центра авиации МВД ...</v>
      </c>
      <c r="G13312" s="22" t="s">
        <v>55</v>
      </c>
      <c r="H13312" s="22" t="s">
        <v>55</v>
      </c>
      <c r="I13312" s="26">
        <v>43525.540972222203</v>
      </c>
      <c r="J13312" s="23" t="str">
        <f>HYPERLINK("https://www.spark-marketing.ru/Card/Person/533373", "ЗАО ""МНИТИ""")</f>
        <v>ЗАО "МНИТИ"</v>
      </c>
      <c r="K13312" s="24" t="s">
        <v>15487</v>
      </c>
      <c r="L13312" s="22" t="s">
        <v>10</v>
      </c>
      <c r="M13312" s="25">
        <v>1106966.92</v>
      </c>
      <c r="N13312" s="27">
        <v>5.0000019325329038E-3</v>
      </c>
    </row>
    <row r="13313" spans="1:14" x14ac:dyDescent="0.15">
      <c r="A13313" s="23" t="str">
        <f>HYPERLINK("https://www.spark-marketing.ru/Card/Person/147212", "МБОУДО ""ДООЦ ""БРИГАНТИНА"" Г. ЧЕБОКСАРЫ")</f>
        <v>МБОУДО "ДООЦ "БРИГАНТИНА" Г. ЧЕБОКСАРЫ</v>
      </c>
      <c r="B13313" s="24" t="s">
        <v>15488</v>
      </c>
      <c r="C13313" s="25">
        <v>218730</v>
      </c>
      <c r="D13313" s="22" t="s">
        <v>15489</v>
      </c>
      <c r="E13313" s="22" t="s">
        <v>68</v>
      </c>
      <c r="F13313" s="23" t="str">
        <f>HYPERLINK("https://www.spark-marketing.ru/Card/Lot/68406332", "охранные услуги в соответствии положениями Закона РФ от 11.03.1992г. № 2487-1 «О частной детективной и охранной деятельности в Российской Федерации»")</f>
        <v>охранные услуги в соответствии положениями Закона РФ от 11.03.1992г. № 2487-1 «О частной детективной и охранной деятельности в Российской Федерации»</v>
      </c>
      <c r="G13313" s="22" t="s">
        <v>1137</v>
      </c>
      <c r="H13313" s="22" t="s">
        <v>1138</v>
      </c>
      <c r="I13313" s="26">
        <v>43525.533333333296</v>
      </c>
      <c r="J13313" s="28" t="s">
        <v>52</v>
      </c>
      <c r="K13313" s="28" t="s">
        <v>52</v>
      </c>
      <c r="L13313" s="28" t="s">
        <v>52</v>
      </c>
      <c r="M13313" s="28" t="s">
        <v>52</v>
      </c>
      <c r="N13313" s="28" t="s">
        <v>52</v>
      </c>
    </row>
    <row r="13314" spans="1:14" x14ac:dyDescent="0.15">
      <c r="A13314" s="23" t="str">
        <f>HYPERLINK("https://www.spark-marketing.ru/Card/Person/1763893", "МАДОУ ""ДЕТСКИЙ САД № 29 КОМБИНИРОВАННОГО ВИДА""")</f>
        <v>МАДОУ "ДЕТСКИЙ САД № 29 КОМБИНИРОВАННОГО ВИДА"</v>
      </c>
      <c r="B13314" s="24" t="s">
        <v>15490</v>
      </c>
      <c r="C13314" s="25">
        <v>1324290</v>
      </c>
      <c r="D13314" s="22" t="s">
        <v>15491</v>
      </c>
      <c r="E13314" s="22" t="s">
        <v>49</v>
      </c>
      <c r="F13314" s="23" t="str">
        <f>HYPERLINK("https://www.spark-marketing.ru/Card/Lot/68396088", "Оказание услуг по установке системы видеонаблюдения")</f>
        <v>Оказание услуг по установке системы видеонаблюдения</v>
      </c>
      <c r="G13314" s="22" t="s">
        <v>1141</v>
      </c>
      <c r="H13314" s="22" t="s">
        <v>1141</v>
      </c>
      <c r="I13314" s="26">
        <v>43525.505902777797</v>
      </c>
      <c r="J13314" s="28" t="s">
        <v>52</v>
      </c>
      <c r="K13314" s="28" t="s">
        <v>52</v>
      </c>
      <c r="L13314" s="28" t="s">
        <v>52</v>
      </c>
      <c r="M13314" s="28" t="s">
        <v>52</v>
      </c>
      <c r="N13314" s="28" t="s">
        <v>52</v>
      </c>
    </row>
    <row r="13315" spans="1:14" hidden="1" outlineLevel="1" x14ac:dyDescent="0.2">
      <c r="A13315" s="23" t="str">
        <f>HYPERLINK("https://www.spark-marketing.ru/Card/Person/1763893", "МАДОУ ""ДЕТСКИЙ САД № 29 КОМБИНИРОВАННОГО ВИДА""")</f>
        <v>МАДОУ "ДЕТСКИЙ САД № 29 КОМБИНИРОВАННОГО ВИДА"</v>
      </c>
      <c r="B13315" s="24" t="s">
        <v>15490</v>
      </c>
      <c r="C13315" s="28" t="s">
        <v>52</v>
      </c>
      <c r="D13315" s="22" t="s">
        <v>15491</v>
      </c>
      <c r="E13315" s="22" t="s">
        <v>49</v>
      </c>
      <c r="F13315" s="23" t="str">
        <f>HYPERLINK("https://www.spark-marketing.ru/Card/Lot/68396088", "Оказание услуг по установке системы видеонаблюдения")</f>
        <v>Оказание услуг по установке системы видеонаблюдения</v>
      </c>
      <c r="G13315" s="22" t="s">
        <v>1141</v>
      </c>
      <c r="H13315" s="22" t="s">
        <v>1141</v>
      </c>
      <c r="I13315" s="26">
        <v>43525.505902777797</v>
      </c>
      <c r="J13315" s="23" t="str">
        <f>HYPERLINK("https://www.spark-marketing.ru/Card/Person/616280", "ООО СК ""ТЕРРИТОРИЯ БЕЗОПАСНОСТИ""")</f>
        <v>ООО СК "ТЕРРИТОРИЯ БЕЗОПАСНОСТИ"</v>
      </c>
      <c r="K13315" s="24" t="s">
        <v>15492</v>
      </c>
      <c r="L13315" s="28" t="s">
        <v>52</v>
      </c>
      <c r="M13315" s="25">
        <v>1203097.25</v>
      </c>
      <c r="N13315" s="27">
        <v>9.1515264783393363E-2</v>
      </c>
    </row>
    <row r="13316" spans="1:14" hidden="1" outlineLevel="1" x14ac:dyDescent="0.2">
      <c r="A13316" s="23" t="str">
        <f>HYPERLINK("https://www.spark-marketing.ru/Card/Person/1763893", "МАДОУ ""ДЕТСКИЙ САД № 29 КОМБИНИРОВАННОГО ВИДА""")</f>
        <v>МАДОУ "ДЕТСКИЙ САД № 29 КОМБИНИРОВАННОГО ВИДА"</v>
      </c>
      <c r="B13316" s="24" t="s">
        <v>15490</v>
      </c>
      <c r="C13316" s="28" t="s">
        <v>52</v>
      </c>
      <c r="D13316" s="22" t="s">
        <v>15491</v>
      </c>
      <c r="E13316" s="22" t="s">
        <v>49</v>
      </c>
      <c r="F13316" s="23" t="str">
        <f>HYPERLINK("https://www.spark-marketing.ru/Card/Lot/68396088", "Оказание услуг по установке системы видеонаблюдения")</f>
        <v>Оказание услуг по установке системы видеонаблюдения</v>
      </c>
      <c r="G13316" s="22" t="s">
        <v>1141</v>
      </c>
      <c r="H13316" s="22" t="s">
        <v>1141</v>
      </c>
      <c r="I13316" s="26">
        <v>43525.505902777797</v>
      </c>
      <c r="J13316" s="23" t="str">
        <f>HYPERLINK("https://www.spark-marketing.ru/Card/Person/4878495", "Денисов Максим Васильевич")</f>
        <v>Денисов Максим Васильевич</v>
      </c>
      <c r="K13316" s="24" t="s">
        <v>7273</v>
      </c>
      <c r="L13316" s="28" t="s">
        <v>52</v>
      </c>
      <c r="M13316" s="25">
        <v>888888</v>
      </c>
      <c r="N13316" s="27">
        <v>0.32878146025417393</v>
      </c>
    </row>
    <row r="13317" spans="1:14" x14ac:dyDescent="0.15">
      <c r="A13317" s="23" t="str">
        <f>HYPERLINK("https://www.spark-marketing.ru/Card/Person/6251520", "ГОСУДАРСТВЕННЫЙ МЕМОРИАЛЬНЫЙ МУЗЕЙ Б.Ш.ОКУДЖАВЫ")</f>
        <v>ГОСУДАРСТВЕННЫЙ МЕМОРИАЛЬНЫЙ МУЗЕЙ Б.Ш.ОКУДЖАВЫ</v>
      </c>
      <c r="B13317" s="24" t="s">
        <v>15493</v>
      </c>
      <c r="C13317" s="25">
        <v>172747.2</v>
      </c>
      <c r="D13317" s="22" t="s">
        <v>15494</v>
      </c>
      <c r="E13317" s="22" t="s">
        <v>11359</v>
      </c>
      <c r="F13317" s="23" t="str">
        <f>HYPERLINK("https://www.spark-marketing.ru/Card/Lot/68409704", "пультовая охрана помещений музея")</f>
        <v>пультовая охрана помещений музея</v>
      </c>
      <c r="G13317" s="22" t="s">
        <v>55</v>
      </c>
      <c r="H13317" s="22" t="s">
        <v>55</v>
      </c>
      <c r="I13317" s="26">
        <v>43525.540972222203</v>
      </c>
      <c r="J13317" s="28" t="s">
        <v>52</v>
      </c>
      <c r="K13317" s="28" t="s">
        <v>52</v>
      </c>
      <c r="L13317" s="28" t="s">
        <v>52</v>
      </c>
      <c r="M13317" s="28" t="s">
        <v>52</v>
      </c>
      <c r="N13317" s="28" t="s">
        <v>52</v>
      </c>
    </row>
    <row r="13318" spans="1:14" x14ac:dyDescent="0.15">
      <c r="A13318" s="23" t="str">
        <f>HYPERLINK("https://www.spark-marketing.ru/Card/Person/137323", "СЕВЕРНЫЙ ФЛОТСКИЙ ВОЕННЫЙ СУД")</f>
        <v>СЕВЕРНЫЙ ФЛОТСКИЙ ВОЕННЫЙ СУД</v>
      </c>
      <c r="B13318" s="24" t="s">
        <v>9723</v>
      </c>
      <c r="C13318" s="25">
        <v>995193</v>
      </c>
      <c r="D13318" s="22" t="s">
        <v>15495</v>
      </c>
      <c r="E13318" s="22" t="s">
        <v>68</v>
      </c>
      <c r="F13318" s="23" t="str">
        <f>HYPERLINK("https://www.spark-marketing.ru/Card/Lot/68409255", "Оказание услуг по охране объектов, занимаемых Северным флотским военным судом")</f>
        <v>Оказание услуг по охране объектов, занимаемых Северным флотским военным судом</v>
      </c>
      <c r="G13318" s="22" t="s">
        <v>190</v>
      </c>
      <c r="H13318" s="22" t="s">
        <v>9725</v>
      </c>
      <c r="I13318" s="26">
        <v>43525.506249999999</v>
      </c>
      <c r="J13318" s="28" t="s">
        <v>52</v>
      </c>
      <c r="K13318" s="28" t="s">
        <v>52</v>
      </c>
      <c r="L13318" s="28" t="s">
        <v>52</v>
      </c>
      <c r="M13318" s="28" t="s">
        <v>52</v>
      </c>
      <c r="N13318" s="28" t="s">
        <v>52</v>
      </c>
    </row>
    <row r="13319" spans="1:14" ht="12.75" hidden="1" outlineLevel="1" x14ac:dyDescent="0.2">
      <c r="A13319" s="23" t="str">
        <f>HYPERLINK("https://www.spark-marketing.ru/Card/Person/137323", "СЕВЕРНЫЙ ФЛОТСКИЙ ВОЕННЫЙ СУД")</f>
        <v>СЕВЕРНЫЙ ФЛОТСКИЙ ВОЕННЫЙ СУД</v>
      </c>
      <c r="B13319" s="24" t="s">
        <v>9723</v>
      </c>
      <c r="C13319" s="25">
        <v>995193</v>
      </c>
      <c r="D13319" s="22" t="s">
        <v>15495</v>
      </c>
      <c r="E13319" s="22" t="s">
        <v>68</v>
      </c>
      <c r="F13319" s="23" t="str">
        <f>HYPERLINK("https://www.spark-marketing.ru/Card/Lot/68409255", "Оказание услуг по охране объектов, занимаемых Северным флотским военным судом")</f>
        <v>Оказание услуг по охране объектов, занимаемых Северным флотским военным судом</v>
      </c>
      <c r="G13319" s="22" t="s">
        <v>190</v>
      </c>
      <c r="H13319" s="22" t="s">
        <v>9725</v>
      </c>
      <c r="I13319" s="26">
        <v>43525.506249999999</v>
      </c>
      <c r="J13319" s="23" t="str">
        <f>HYPERLINK("https://www.spark-marketing.ru/Card/Person/107173", "ФГУП ""УВО МИНТРАНСА РОССИИ""")</f>
        <v>ФГУП "УВО МИНТРАНСА РОССИИ"</v>
      </c>
      <c r="K13319" s="24" t="s">
        <v>1472</v>
      </c>
      <c r="L13319" s="22" t="s">
        <v>10</v>
      </c>
      <c r="M13319" s="25">
        <v>873946.61</v>
      </c>
      <c r="N13319" s="27">
        <v>0.1218320365999359</v>
      </c>
    </row>
    <row r="13320" spans="1:14" hidden="1" outlineLevel="1" x14ac:dyDescent="0.2">
      <c r="A13320" s="23" t="str">
        <f>HYPERLINK("https://www.spark-marketing.ru/Card/Person/137323", "СЕВЕРНЫЙ ФЛОТСКИЙ ВОЕННЫЙ СУД")</f>
        <v>СЕВЕРНЫЙ ФЛОТСКИЙ ВОЕННЫЙ СУД</v>
      </c>
      <c r="B13320" s="24" t="s">
        <v>9723</v>
      </c>
      <c r="C13320" s="25">
        <v>995193</v>
      </c>
      <c r="D13320" s="22" t="s">
        <v>15495</v>
      </c>
      <c r="E13320" s="22" t="s">
        <v>68</v>
      </c>
      <c r="F13320" s="23" t="str">
        <f>HYPERLINK("https://www.spark-marketing.ru/Card/Lot/68409255", "Оказание услуг по охране объектов, занимаемых Северным флотским военным судом")</f>
        <v>Оказание услуг по охране объектов, занимаемых Северным флотским военным судом</v>
      </c>
      <c r="G13320" s="22" t="s">
        <v>190</v>
      </c>
      <c r="H13320" s="22" t="s">
        <v>9725</v>
      </c>
      <c r="I13320" s="26">
        <v>43525.506249999999</v>
      </c>
      <c r="J13320" s="23" t="str">
        <f>HYPERLINK("https://www.spark-marketing.ru/Card/Person/4898553", "ФЛ ФГУП ОХРАНА РОСГВАРДИИ ПО МУРМАНСКОЙ ОБЛ")</f>
        <v>ФЛ ФГУП ОХРАНА РОСГВАРДИИ ПО МУРМАНСКОЙ ОБЛ</v>
      </c>
      <c r="K13320" s="24" t="s">
        <v>779</v>
      </c>
      <c r="L13320" s="28" t="s">
        <v>52</v>
      </c>
      <c r="M13320" s="25">
        <v>878922.58</v>
      </c>
      <c r="N13320" s="27">
        <v>0.1168320315757848</v>
      </c>
    </row>
    <row r="13321" spans="1:14" x14ac:dyDescent="0.15">
      <c r="A13321" s="23" t="str">
        <f>HYPERLINK("https://www.spark-marketing.ru/Card/Person/4348484", "ОАО ""МРСК УРАЛА""")</f>
        <v>ОАО "МРСК УРАЛА"</v>
      </c>
      <c r="B13321" s="24" t="s">
        <v>3612</v>
      </c>
      <c r="C13321" s="25">
        <v>1152000</v>
      </c>
      <c r="D13321" s="22" t="s">
        <v>15496</v>
      </c>
      <c r="E13321" s="22" t="s">
        <v>165</v>
      </c>
      <c r="F13321" s="23" t="str">
        <f>HYPERLINK("https://www.spark-marketing.ru/Card/Lot/68403333", "Услуги по техническому обслуживанию системы видеонаблюдения строительных площадок")</f>
        <v>Услуги по техническому обслуживанию системы видеонаблюдения строительных площадок</v>
      </c>
      <c r="G13321" s="22" t="s">
        <v>72</v>
      </c>
      <c r="H13321" s="22" t="s">
        <v>949</v>
      </c>
      <c r="I13321" s="26">
        <v>43525.539432870399</v>
      </c>
      <c r="J13321" s="28" t="s">
        <v>52</v>
      </c>
      <c r="K13321" s="28" t="s">
        <v>52</v>
      </c>
      <c r="L13321" s="28" t="s">
        <v>52</v>
      </c>
      <c r="M13321" s="28" t="s">
        <v>52</v>
      </c>
      <c r="N13321" s="28" t="s">
        <v>52</v>
      </c>
    </row>
    <row r="13322" spans="1:14" hidden="1" outlineLevel="1" x14ac:dyDescent="0.2">
      <c r="A13322" s="23" t="str">
        <f>HYPERLINK("https://www.spark-marketing.ru/Card/Person/4348484", "ОАО ""МРСК УРАЛА""")</f>
        <v>ОАО "МРСК УРАЛА"</v>
      </c>
      <c r="B13322" s="24" t="s">
        <v>3612</v>
      </c>
      <c r="C13322" s="28" t="s">
        <v>52</v>
      </c>
      <c r="D13322" s="22" t="s">
        <v>15496</v>
      </c>
      <c r="E13322" s="22" t="s">
        <v>165</v>
      </c>
      <c r="F13322" s="23" t="str">
        <f>HYPERLINK("https://www.spark-marketing.ru/Card/Lot/68403333", "Услуги по техническому обслуживанию системы видеонаблюдения строительных площадок")</f>
        <v>Услуги по техническому обслуживанию системы видеонаблюдения строительных площадок</v>
      </c>
      <c r="G13322" s="22" t="s">
        <v>72</v>
      </c>
      <c r="H13322" s="22" t="s">
        <v>949</v>
      </c>
      <c r="I13322" s="26">
        <v>43525.539432870399</v>
      </c>
      <c r="J13322" s="23" t="str">
        <f>HYPERLINK("https://www.spark-marketing.ru/Card/Person/12148", "ООО ""МТЦ КРИСТАЛЛ""")</f>
        <v>ООО "МТЦ КРИСТАЛЛ"</v>
      </c>
      <c r="K13322" s="24" t="s">
        <v>15497</v>
      </c>
      <c r="L13322" s="28" t="s">
        <v>52</v>
      </c>
      <c r="M13322" s="25">
        <v>0</v>
      </c>
      <c r="N13322" s="27">
        <v>1</v>
      </c>
    </row>
    <row r="13323" spans="1:14" hidden="1" outlineLevel="1" x14ac:dyDescent="0.2">
      <c r="A13323" s="23" t="str">
        <f>HYPERLINK("https://www.spark-marketing.ru/Card/Person/4348484", "ОАО ""МРСК УРАЛА""")</f>
        <v>ОАО "МРСК УРАЛА"</v>
      </c>
      <c r="B13323" s="24" t="s">
        <v>3612</v>
      </c>
      <c r="C13323" s="28" t="s">
        <v>52</v>
      </c>
      <c r="D13323" s="22" t="s">
        <v>15496</v>
      </c>
      <c r="E13323" s="22" t="s">
        <v>165</v>
      </c>
      <c r="F13323" s="23" t="str">
        <f>HYPERLINK("https://www.spark-marketing.ru/Card/Lot/68403333", "Услуги по техническому обслуживанию системы видеонаблюдения строительных площадок")</f>
        <v>Услуги по техническому обслуживанию системы видеонаблюдения строительных площадок</v>
      </c>
      <c r="G13323" s="22" t="s">
        <v>72</v>
      </c>
      <c r="H13323" s="22" t="s">
        <v>949</v>
      </c>
      <c r="I13323" s="26">
        <v>43525.539432870399</v>
      </c>
      <c r="J13323" s="23" t="str">
        <f>HYPERLINK("https://www.spark-marketing.ru/Card/Person/1518384", "ООО ""УРАЛЭНЕРГОТЕЛ""")</f>
        <v>ООО "УРАЛЭНЕРГОТЕЛ"</v>
      </c>
      <c r="K13323" s="24" t="s">
        <v>15498</v>
      </c>
      <c r="L13323" s="28" t="s">
        <v>52</v>
      </c>
      <c r="M13323" s="25">
        <v>1152000</v>
      </c>
      <c r="N13323" s="27">
        <v>0</v>
      </c>
    </row>
    <row r="13324" spans="1:14" x14ac:dyDescent="0.15">
      <c r="A13324" s="23" t="str">
        <f>HYPERLINK("https://www.spark-marketing.ru/Card/Person/4862096", "УПФР В МАКУШИНСКОМ РАЙОНЕ КУРГАНСКОЙ ОБЛАСТИ (МЕЖРАЙОННОЕ)")</f>
        <v>УПФР В МАКУШИНСКОМ РАЙОНЕ КУРГАНСКОЙ ОБЛАСТИ (МЕЖРАЙОННОЕ)</v>
      </c>
      <c r="B13324" s="24" t="s">
        <v>15499</v>
      </c>
      <c r="C13324" s="25">
        <v>59541.04</v>
      </c>
      <c r="D13324" s="22" t="s">
        <v>15500</v>
      </c>
      <c r="E13324" s="22" t="s">
        <v>68</v>
      </c>
      <c r="F13324" s="23" t="str">
        <f>HYPERLINK("https://www.spark-marketing.ru/Card/Lot/68402477", "охрана объектов с. Мокроусово")</f>
        <v>охрана объектов с. Мокроусово</v>
      </c>
      <c r="G13324" s="22" t="s">
        <v>626</v>
      </c>
      <c r="H13324" s="22" t="s">
        <v>626</v>
      </c>
      <c r="I13324" s="26">
        <v>43525.477083333302</v>
      </c>
      <c r="J13324" s="28" t="s">
        <v>52</v>
      </c>
      <c r="K13324" s="28" t="s">
        <v>52</v>
      </c>
      <c r="L13324" s="28" t="s">
        <v>52</v>
      </c>
      <c r="M13324" s="28" t="s">
        <v>52</v>
      </c>
      <c r="N13324" s="28" t="s">
        <v>52</v>
      </c>
    </row>
    <row r="13325" spans="1:14" x14ac:dyDescent="0.15">
      <c r="A13325" s="23" t="str">
        <f>HYPERLINK("https://www.spark-marketing.ru/Card/Person/4862096", "УПФР В МАКУШИНСКОМ РАЙОНЕ КУРГАНСКОЙ ОБЛАСТИ (МЕЖРАЙОННОЕ)")</f>
        <v>УПФР В МАКУШИНСКОМ РАЙОНЕ КУРГАНСКОЙ ОБЛАСТИ (МЕЖРАЙОННОЕ)</v>
      </c>
      <c r="B13325" s="24" t="s">
        <v>15499</v>
      </c>
      <c r="C13325" s="25">
        <v>32901.120000000003</v>
      </c>
      <c r="D13325" s="22" t="s">
        <v>15501</v>
      </c>
      <c r="E13325" s="22" t="s">
        <v>68</v>
      </c>
      <c r="F13325" s="23" t="str">
        <f>HYPERLINK("https://www.spark-marketing.ru/Card/Lot/68402476", "охрана объектов с. Частоозерье")</f>
        <v>охрана объектов с. Частоозерье</v>
      </c>
      <c r="G13325" s="22" t="s">
        <v>626</v>
      </c>
      <c r="H13325" s="22" t="s">
        <v>626</v>
      </c>
      <c r="I13325" s="26">
        <v>43525.477083333302</v>
      </c>
      <c r="J13325" s="28" t="s">
        <v>52</v>
      </c>
      <c r="K13325" s="28" t="s">
        <v>52</v>
      </c>
      <c r="L13325" s="28" t="s">
        <v>52</v>
      </c>
      <c r="M13325" s="28" t="s">
        <v>52</v>
      </c>
      <c r="N13325" s="28" t="s">
        <v>52</v>
      </c>
    </row>
    <row r="13326" spans="1:14" x14ac:dyDescent="0.15">
      <c r="A13326" s="23" t="str">
        <f>HYPERLINK("https://www.spark-marketing.ru/Card/Person/1320082", "ГАУ СО ""МИХАЙЛОВСКИЙ ПНИ""")</f>
        <v>ГАУ СО "МИХАЙЛОВСКИЙ ПНИ"</v>
      </c>
      <c r="B13326" s="24" t="s">
        <v>13606</v>
      </c>
      <c r="C13326" s="25">
        <v>72000</v>
      </c>
      <c r="D13326" s="22" t="s">
        <v>15502</v>
      </c>
      <c r="E13326" s="22" t="s">
        <v>9565</v>
      </c>
      <c r="F13326" s="23" t="str">
        <f>HYPERLINK("https://www.spark-marketing.ru/Card/Lot/68400468", "Техническое обслуживание системы видеонаблюдения на ГАУ СО «Михайловский ПНИ»")</f>
        <v>Техническое обслуживание системы видеонаблюдения на ГАУ СО «Михайловский ПНИ»</v>
      </c>
      <c r="G13326" s="22" t="s">
        <v>80</v>
      </c>
      <c r="H13326" s="22" t="s">
        <v>13608</v>
      </c>
      <c r="I13326" s="26">
        <v>43525.462847222203</v>
      </c>
      <c r="J13326" s="28" t="s">
        <v>52</v>
      </c>
      <c r="K13326" s="28" t="s">
        <v>52</v>
      </c>
      <c r="L13326" s="28" t="s">
        <v>52</v>
      </c>
      <c r="M13326" s="28" t="s">
        <v>52</v>
      </c>
      <c r="N13326" s="28" t="s">
        <v>52</v>
      </c>
    </row>
    <row r="13327" spans="1:14" hidden="1" outlineLevel="1" x14ac:dyDescent="0.15">
      <c r="A13327" s="23" t="str">
        <f>HYPERLINK("https://www.spark-marketing.ru/Card/Person/1320082", "ГАУ СО ""МИХАЙЛОВСКИЙ ПНИ""")</f>
        <v>ГАУ СО "МИХАЙЛОВСКИЙ ПНИ"</v>
      </c>
      <c r="B13327" s="24" t="s">
        <v>13606</v>
      </c>
      <c r="C13327" s="28" t="s">
        <v>52</v>
      </c>
      <c r="D13327" s="22" t="s">
        <v>15502</v>
      </c>
      <c r="E13327" s="22" t="s">
        <v>9565</v>
      </c>
      <c r="F13327" s="23" t="str">
        <f>HYPERLINK("https://www.spark-marketing.ru/Card/Lot/68400468", "Техническое обслуживание системы видеонаблюдения на ГАУ СО «Михайловский ПНИ»")</f>
        <v>Техническое обслуживание системы видеонаблюдения на ГАУ СО «Михайловский ПНИ»</v>
      </c>
      <c r="G13327" s="22" t="s">
        <v>80</v>
      </c>
      <c r="H13327" s="22" t="s">
        <v>13608</v>
      </c>
      <c r="I13327" s="26">
        <v>43525.462847222203</v>
      </c>
      <c r="J13327" s="23" t="str">
        <f>HYPERLINK("https://www.spark-marketing.ru/Card/Person/802605", "Пашков Артем Дмитриевич")</f>
        <v>Пашков Артем Дмитриевич</v>
      </c>
      <c r="K13327" s="24" t="s">
        <v>15503</v>
      </c>
      <c r="L13327" s="28" t="s">
        <v>52</v>
      </c>
      <c r="M13327" s="28" t="s">
        <v>52</v>
      </c>
      <c r="N13327" s="28" t="s">
        <v>52</v>
      </c>
    </row>
    <row r="13328" spans="1:14" hidden="1" outlineLevel="1" x14ac:dyDescent="0.15">
      <c r="A13328" s="23" t="str">
        <f>HYPERLINK("https://www.spark-marketing.ru/Card/Person/1320082", "ГАУ СО ""МИХАЙЛОВСКИЙ ПНИ""")</f>
        <v>ГАУ СО "МИХАЙЛОВСКИЙ ПНИ"</v>
      </c>
      <c r="B13328" s="24" t="s">
        <v>13606</v>
      </c>
      <c r="C13328" s="28" t="s">
        <v>52</v>
      </c>
      <c r="D13328" s="22" t="s">
        <v>15502</v>
      </c>
      <c r="E13328" s="22" t="s">
        <v>9565</v>
      </c>
      <c r="F13328" s="23" t="str">
        <f>HYPERLINK("https://www.spark-marketing.ru/Card/Lot/68400468", "Техническое обслуживание системы видеонаблюдения на ГАУ СО «Михайловский ПНИ»")</f>
        <v>Техническое обслуживание системы видеонаблюдения на ГАУ СО «Михайловский ПНИ»</v>
      </c>
      <c r="G13328" s="22" t="s">
        <v>80</v>
      </c>
      <c r="H13328" s="22" t="s">
        <v>13608</v>
      </c>
      <c r="I13328" s="26">
        <v>43525.462847222203</v>
      </c>
      <c r="J13328" s="23" t="str">
        <f>HYPERLINK("https://www.spark-marketing.ru/Card/Person/5789541", "ООО ""СБ-ПЛЮС""")</f>
        <v>ООО "СБ-ПЛЮС"</v>
      </c>
      <c r="K13328" s="24" t="s">
        <v>4674</v>
      </c>
      <c r="L13328" s="28" t="s">
        <v>52</v>
      </c>
      <c r="M13328" s="28" t="s">
        <v>52</v>
      </c>
      <c r="N13328" s="28" t="s">
        <v>52</v>
      </c>
    </row>
    <row r="13329" spans="1:14" hidden="1" outlineLevel="1" x14ac:dyDescent="0.15">
      <c r="A13329" s="23" t="str">
        <f>HYPERLINK("https://www.spark-marketing.ru/Card/Person/1320082", "ГАУ СО ""МИХАЙЛОВСКИЙ ПНИ""")</f>
        <v>ГАУ СО "МИХАЙЛОВСКИЙ ПНИ"</v>
      </c>
      <c r="B13329" s="24" t="s">
        <v>13606</v>
      </c>
      <c r="C13329" s="28" t="s">
        <v>52</v>
      </c>
      <c r="D13329" s="22" t="s">
        <v>15502</v>
      </c>
      <c r="E13329" s="22" t="s">
        <v>9565</v>
      </c>
      <c r="F13329" s="23" t="str">
        <f>HYPERLINK("https://www.spark-marketing.ru/Card/Lot/68400468", "Техническое обслуживание системы видеонаблюдения на ГАУ СО «Михайловский ПНИ»")</f>
        <v>Техническое обслуживание системы видеонаблюдения на ГАУ СО «Михайловский ПНИ»</v>
      </c>
      <c r="G13329" s="22" t="s">
        <v>80</v>
      </c>
      <c r="H13329" s="22" t="s">
        <v>13608</v>
      </c>
      <c r="I13329" s="26">
        <v>43525.462847222203</v>
      </c>
      <c r="J13329" s="23" t="str">
        <f>HYPERLINK("https://www.spark-marketing.ru/Card/Person/29623", "ООО ЧОО ""РАДОН-СБ""")</f>
        <v>ООО ЧОО "РАДОН-СБ"</v>
      </c>
      <c r="K13329" s="24" t="s">
        <v>13610</v>
      </c>
      <c r="L13329" s="28" t="s">
        <v>52</v>
      </c>
      <c r="M13329" s="28" t="s">
        <v>52</v>
      </c>
      <c r="N13329" s="28" t="s">
        <v>52</v>
      </c>
    </row>
    <row r="13330" spans="1:14" ht="12.75" x14ac:dyDescent="0.2">
      <c r="A13330" s="23" t="str">
        <f>HYPERLINK("https://www.spark-marketing.ru/Card/Person/4352638", "ФНЦ ""ВНИТИП"" РАН")</f>
        <v>ФНЦ "ВНИТИП" РАН</v>
      </c>
      <c r="B13330" s="24" t="s">
        <v>2200</v>
      </c>
      <c r="C13330" s="25">
        <v>600000</v>
      </c>
      <c r="D13330" s="22" t="s">
        <v>15504</v>
      </c>
      <c r="E13330" s="22" t="s">
        <v>789</v>
      </c>
      <c r="F13330" s="23" t="str">
        <f>HYPERLINK("https://www.spark-marketing.ru/Card/Lot/68405985", "на оказание услуг по обеспечению безопасности частных лиц и имущества для нужд «Всероссийский научно-исследовательский институт птицеперерабатывающей промышленности» (ВНИИПП) - филиала Федерального государственного бюджетного научного учреждения Феде...")</f>
        <v>на оказание услуг по обеспечению безопасности частных лиц и имущества для нужд «Всероссийский научно-исследовательский институт птицеперерабатывающей промышленности» (ВНИИПП) - филиала Федерального государственного бюджетного научного учреждения Феде...</v>
      </c>
      <c r="G13330" s="22" t="s">
        <v>50</v>
      </c>
      <c r="H13330" s="22" t="s">
        <v>326</v>
      </c>
      <c r="I13330" s="26">
        <v>43525.490196759303</v>
      </c>
      <c r="J13330" s="23" t="str">
        <f>HYPERLINK("https://www.spark-marketing.ru/Card/Person/85276", "ООО ЧОО ""ВИЗИР""")</f>
        <v>ООО ЧОО "ВИЗИР"</v>
      </c>
      <c r="K13330" s="24" t="s">
        <v>15505</v>
      </c>
      <c r="L13330" s="22" t="s">
        <v>10</v>
      </c>
      <c r="M13330" s="25">
        <v>0</v>
      </c>
      <c r="N13330" s="27">
        <v>1</v>
      </c>
    </row>
    <row r="13331" spans="1:14" x14ac:dyDescent="0.15">
      <c r="A13331" s="23" t="str">
        <f>HYPERLINK("https://www.spark-marketing.ru/Card/Person/76168", "ГБУЗ СО ""ГБ Г.ВЕРХНИЙ ТАГИЛ""")</f>
        <v>ГБУЗ СО "ГБ Г.ВЕРХНИЙ ТАГИЛ"</v>
      </c>
      <c r="B13331" s="24" t="s">
        <v>12350</v>
      </c>
      <c r="C13331" s="25">
        <v>66089.3</v>
      </c>
      <c r="D13331" s="22" t="s">
        <v>15506</v>
      </c>
      <c r="E13331" s="22" t="s">
        <v>68</v>
      </c>
      <c r="F13331" s="23" t="str">
        <f>HYPERLINK("https://www.spark-marketing.ru/Card/Lot/68399669", "Охранные услуги (Стоматология)")</f>
        <v>Охранные услуги (Стоматология)</v>
      </c>
      <c r="G13331" s="22" t="s">
        <v>72</v>
      </c>
      <c r="H13331" s="22" t="s">
        <v>7807</v>
      </c>
      <c r="I13331" s="26">
        <v>43525.438888888901</v>
      </c>
      <c r="J13331" s="28" t="s">
        <v>52</v>
      </c>
      <c r="K13331" s="28" t="s">
        <v>52</v>
      </c>
      <c r="L13331" s="28" t="s">
        <v>52</v>
      </c>
      <c r="M13331" s="28" t="s">
        <v>52</v>
      </c>
      <c r="N13331" s="28" t="s">
        <v>52</v>
      </c>
    </row>
    <row r="13332" spans="1:14" x14ac:dyDescent="0.15">
      <c r="A13332" s="23" t="str">
        <f>HYPERLINK("https://www.spark-marketing.ru/Card/Person/1760268", "МАУ Г.О. САМАРА ""АГЕНТСТВО СОЦИАЛЬНО-ЗНАЧИМЫХ КУЛЬТУРНЫХ И СПОРТИВНЫХ МЕРОПРИЯТИЙ""")</f>
        <v>МАУ Г.О. САМАРА "АГЕНТСТВО СОЦИАЛЬНО-ЗНАЧИМЫХ КУЛЬТУРНЫХ И СПОРТИВНЫХ МЕРОПРИЯТИЙ"</v>
      </c>
      <c r="B13332" s="24" t="s">
        <v>15507</v>
      </c>
      <c r="C13332" s="25">
        <v>260832</v>
      </c>
      <c r="D13332" s="22" t="s">
        <v>15508</v>
      </c>
      <c r="E13332" s="22" t="s">
        <v>11650</v>
      </c>
      <c r="F13332" s="23" t="str">
        <f>HYPERLINK("https://www.spark-marketing.ru/Card/Lot/68400461", "Услуги по охране объектов и имущества, расположенных на территории проекта «В гостях у Самарского Деда мороза»")</f>
        <v>Услуги по охране объектов и имущества, расположенных на территории проекта «В гостях у Самарского Деда мороза»</v>
      </c>
      <c r="G13332" s="22" t="s">
        <v>760</v>
      </c>
      <c r="H13332" s="22" t="s">
        <v>760</v>
      </c>
      <c r="I13332" s="26">
        <v>43525.456238425897</v>
      </c>
      <c r="J13332" s="28" t="s">
        <v>52</v>
      </c>
      <c r="K13332" s="28" t="s">
        <v>52</v>
      </c>
      <c r="L13332" s="28" t="s">
        <v>52</v>
      </c>
      <c r="M13332" s="28" t="s">
        <v>52</v>
      </c>
      <c r="N13332" s="28" t="s">
        <v>52</v>
      </c>
    </row>
    <row r="13333" spans="1:14" x14ac:dyDescent="0.15">
      <c r="A13333" s="23" t="str">
        <f>HYPERLINK("https://www.spark-marketing.ru/Card/Person/24581", "АДМИНИСТРАЦИЯ ГОРОДСКОГО ПОСЕЛЕНИЯ МЕНДЕЛЕЕВО")</f>
        <v>АДМИНИСТРАЦИЯ ГОРОДСКОГО ПОСЕЛЕНИЯ МЕНДЕЛЕЕВО</v>
      </c>
      <c r="B13333" s="24" t="s">
        <v>15509</v>
      </c>
      <c r="C13333" s="25">
        <v>99600</v>
      </c>
      <c r="D13333" s="22" t="s">
        <v>15510</v>
      </c>
      <c r="E13333" s="22" t="s">
        <v>103</v>
      </c>
      <c r="F13333" s="23" t="str">
        <f>HYPERLINK("https://www.spark-marketing.ru/Card/Lot/68539055", "Оказание услуг по техническому обслуживанию систем видеонаблюдения")</f>
        <v>Оказание услуг по техническому обслуживанию систем видеонаблюдения</v>
      </c>
      <c r="G13333" s="22" t="s">
        <v>50</v>
      </c>
      <c r="H13333" s="22" t="s">
        <v>265</v>
      </c>
      <c r="I13333" s="26">
        <v>43525.419293981497</v>
      </c>
      <c r="J13333" s="28" t="s">
        <v>52</v>
      </c>
      <c r="K13333" s="28" t="s">
        <v>52</v>
      </c>
      <c r="L13333" s="28" t="s">
        <v>52</v>
      </c>
      <c r="M13333" s="28" t="s">
        <v>52</v>
      </c>
      <c r="N13333" s="28" t="s">
        <v>52</v>
      </c>
    </row>
    <row r="13334" spans="1:14" x14ac:dyDescent="0.15">
      <c r="A13334" s="23" t="str">
        <f>HYPERLINK("https://www.spark-marketing.ru/Card/Person/68634", "АДМИНИСТРАЦИЯ МУНИЦИПАЛЬНОГО ОБРАЗОВАНИЯ ""ГОРОД ПОКРОВСК"" ХАНГАЛАССКОГО УЛУСА РЕСПУБЛИКИ САХА (ЯКУТИЯ)")</f>
        <v>АДМИНИСТРАЦИЯ МУНИЦИПАЛЬНОГО ОБРАЗОВАНИЯ "ГОРОД ПОКРОВСК" ХАНГАЛАССКОГО УЛУСА РЕСПУБЛИКИ САХА (ЯКУТИЯ)</v>
      </c>
      <c r="B13334" s="24" t="s">
        <v>15511</v>
      </c>
      <c r="C13334" s="25">
        <v>400000</v>
      </c>
      <c r="D13334" s="22" t="s">
        <v>15512</v>
      </c>
      <c r="E13334" s="22" t="s">
        <v>59</v>
      </c>
      <c r="F13334" s="23" t="str">
        <f>HYPERLINK("https://www.spark-marketing.ru/Card/Lot/68393909", "Техническое обслуживание сетей уличного освещения в г. Покровске")</f>
        <v>Техническое обслуживание сетей уличного освещения в г. Покровске</v>
      </c>
      <c r="G13334" s="22" t="s">
        <v>424</v>
      </c>
      <c r="H13334" s="22" t="s">
        <v>15513</v>
      </c>
      <c r="I13334" s="26">
        <v>43525.438888888901</v>
      </c>
      <c r="J13334" s="23" t="str">
        <f>HYPERLINK("https://www.spark-marketing.ru/Card/Person/244178", "МУП УК ""ПКС""")</f>
        <v>МУП УК "ПКС"</v>
      </c>
      <c r="K13334" s="24" t="s">
        <v>15514</v>
      </c>
      <c r="L13334" s="28" t="s">
        <v>52</v>
      </c>
      <c r="M13334" s="28" t="s">
        <v>52</v>
      </c>
      <c r="N13334" s="28" t="s">
        <v>52</v>
      </c>
    </row>
    <row r="13335" spans="1:14" hidden="1" outlineLevel="1" x14ac:dyDescent="0.15">
      <c r="A13335" s="23" t="str">
        <f>HYPERLINK("https://www.spark-marketing.ru/Card/Person/68634", "АДМИНИСТРАЦИЯ МУНИЦИПАЛЬНОГО ОБРАЗОВАНИЯ ""ГОРОД ПОКРОВСК"" ХАНГАЛАССКОГО УЛУСА РЕСПУБЛИКИ САХА (ЯКУТИЯ)")</f>
        <v>АДМИНИСТРАЦИЯ МУНИЦИПАЛЬНОГО ОБРАЗОВАНИЯ "ГОРОД ПОКРОВСК" ХАНГАЛАССКОГО УЛУСА РЕСПУБЛИКИ САХА (ЯКУТИЯ)</v>
      </c>
      <c r="B13335" s="24" t="s">
        <v>15511</v>
      </c>
      <c r="C13335" s="25">
        <v>400000</v>
      </c>
      <c r="D13335" s="22" t="s">
        <v>15512</v>
      </c>
      <c r="E13335" s="22" t="s">
        <v>59</v>
      </c>
      <c r="F13335" s="23" t="str">
        <f>HYPERLINK("https://www.spark-marketing.ru/Card/Lot/68393909", "Техническое обслуживание сетей уличного освещения в г. Покровске")</f>
        <v>Техническое обслуживание сетей уличного освещения в г. Покровске</v>
      </c>
      <c r="G13335" s="22" t="s">
        <v>424</v>
      </c>
      <c r="H13335" s="22" t="s">
        <v>15513</v>
      </c>
      <c r="I13335" s="26">
        <v>43525.438888888901</v>
      </c>
      <c r="J13335" s="23" t="str">
        <f>HYPERLINK("https://www.spark-marketing.ru/Card/Person/244178", "МУП УК ""ПКС""")</f>
        <v>МУП УК "ПКС"</v>
      </c>
      <c r="K13335" s="24" t="s">
        <v>15514</v>
      </c>
      <c r="L13335" s="22" t="s">
        <v>10</v>
      </c>
      <c r="M13335" s="28" t="s">
        <v>52</v>
      </c>
      <c r="N13335" s="28" t="s">
        <v>52</v>
      </c>
    </row>
    <row r="13336" spans="1:14" x14ac:dyDescent="0.15">
      <c r="A13336" s="23" t="str">
        <f>HYPERLINK("https://www.spark-marketing.ru/Card/Person/127333", "МБДОУ ЦРР-ДЕТСКИЙ САД №34 ""РЯБИНУШКА"" ГОЩ")</f>
        <v>МБДОУ ЦРР-ДЕТСКИЙ САД №34 "РЯБИНУШКА" ГОЩ</v>
      </c>
      <c r="B13336" s="24" t="s">
        <v>15515</v>
      </c>
      <c r="C13336" s="25">
        <v>10160</v>
      </c>
      <c r="D13336" s="22" t="s">
        <v>15516</v>
      </c>
      <c r="E13336" s="22" t="s">
        <v>298</v>
      </c>
      <c r="F13336" s="23" t="str">
        <f>HYPERLINK("https://www.spark-marketing.ru/Card/Lot/68538593", "Оказание услуг по по техническому обслуживанию видеооборудования")</f>
        <v>Оказание услуг по по техническому обслуживанию видеооборудования</v>
      </c>
      <c r="G13336" s="22" t="s">
        <v>50</v>
      </c>
      <c r="H13336" s="22" t="s">
        <v>458</v>
      </c>
      <c r="I13336" s="26">
        <v>43525.451099537</v>
      </c>
      <c r="J13336" s="28" t="s">
        <v>52</v>
      </c>
      <c r="K13336" s="28" t="s">
        <v>52</v>
      </c>
      <c r="L13336" s="28" t="s">
        <v>52</v>
      </c>
      <c r="M13336" s="28" t="s">
        <v>52</v>
      </c>
      <c r="N13336" s="28" t="s">
        <v>52</v>
      </c>
    </row>
    <row r="13337" spans="1:14" x14ac:dyDescent="0.15">
      <c r="A13337" s="23" t="str">
        <f>HYPERLINK("https://www.spark-marketing.ru/Card/Person/8914", "ОКУ ЦЗН Г.ЧЕЛЯБИНСКА")</f>
        <v>ОКУ ЦЗН Г.ЧЕЛЯБИНСКА</v>
      </c>
      <c r="B13337" s="24" t="s">
        <v>15517</v>
      </c>
      <c r="C13337" s="25">
        <v>16147.5</v>
      </c>
      <c r="D13337" s="22" t="s">
        <v>15518</v>
      </c>
      <c r="E13337" s="22" t="s">
        <v>585</v>
      </c>
      <c r="F13337" s="23" t="str">
        <f>HYPERLINK("https://www.spark-marketing.ru/Card/Lot/68401197", "Оказание услуг по техническому обслуживанию охранной сигнализации «Тревога»")</f>
        <v>Оказание услуг по техническому обслуживанию охранной сигнализации «Тревога»</v>
      </c>
      <c r="G13337" s="22" t="s">
        <v>60</v>
      </c>
      <c r="H13337" s="22" t="s">
        <v>1683</v>
      </c>
      <c r="I13337" s="26">
        <v>43525.454861111102</v>
      </c>
      <c r="J13337" s="23" t="str">
        <f>HYPERLINK("https://www.spark-marketing.ru/Card/Person/85112", "ООО ЧОП ""ЯГУАР""")</f>
        <v>ООО ЧОП "ЯГУАР"</v>
      </c>
      <c r="K13337" s="24" t="s">
        <v>8217</v>
      </c>
      <c r="L13337" s="22" t="s">
        <v>10</v>
      </c>
      <c r="M13337" s="28" t="s">
        <v>52</v>
      </c>
      <c r="N13337" s="28" t="s">
        <v>52</v>
      </c>
    </row>
    <row r="13338" spans="1:14" x14ac:dyDescent="0.15">
      <c r="A13338" s="23" t="str">
        <f>HYPERLINK("https://www.spark-marketing.ru/Card/Person/76168", "ГБУЗ СО ""ГБ Г.ВЕРХНИЙ ТАГИЛ""")</f>
        <v>ГБУЗ СО "ГБ Г.ВЕРХНИЙ ТАГИЛ"</v>
      </c>
      <c r="B13338" s="24" t="s">
        <v>12350</v>
      </c>
      <c r="C13338" s="25">
        <v>113296</v>
      </c>
      <c r="D13338" s="22" t="s">
        <v>15519</v>
      </c>
      <c r="E13338" s="22" t="s">
        <v>68</v>
      </c>
      <c r="F13338" s="23" t="str">
        <f>HYPERLINK("https://www.spark-marketing.ru/Card/Lot/68399638", "Охранные услуги (Комната хранения медикаментов)")</f>
        <v>Охранные услуги (Комната хранения медикаментов)</v>
      </c>
      <c r="G13338" s="22" t="s">
        <v>72</v>
      </c>
      <c r="H13338" s="22" t="s">
        <v>7807</v>
      </c>
      <c r="I13338" s="26">
        <v>43525.438888888901</v>
      </c>
      <c r="J13338" s="28" t="s">
        <v>52</v>
      </c>
      <c r="K13338" s="28" t="s">
        <v>52</v>
      </c>
      <c r="L13338" s="28" t="s">
        <v>52</v>
      </c>
      <c r="M13338" s="28" t="s">
        <v>52</v>
      </c>
      <c r="N13338" s="28" t="s">
        <v>52</v>
      </c>
    </row>
    <row r="13339" spans="1:14" x14ac:dyDescent="0.15">
      <c r="A13339" s="23" t="str">
        <f>HYPERLINK("https://www.spark-marketing.ru/Card/Person/6160579", "ГКУ ""КПДО ЧР""")</f>
        <v>ГКУ "КПДО ЧР"</v>
      </c>
      <c r="B13339" s="24" t="s">
        <v>14547</v>
      </c>
      <c r="C13339" s="25">
        <v>1560150</v>
      </c>
      <c r="D13339" s="22" t="s">
        <v>15520</v>
      </c>
      <c r="E13339" s="22" t="s">
        <v>68</v>
      </c>
      <c r="F13339" s="23" t="str">
        <f>HYPERLINK("https://www.spark-marketing.ru/Card/Lot/68406952", "Оказание услуг по круглосуточной охране административного здания")</f>
        <v>Оказание услуг по круглосуточной охране административного здания</v>
      </c>
      <c r="G13339" s="22" t="s">
        <v>724</v>
      </c>
      <c r="H13339" s="22" t="s">
        <v>724</v>
      </c>
      <c r="I13339" s="26">
        <v>43525.429861111101</v>
      </c>
      <c r="J13339" s="28" t="s">
        <v>52</v>
      </c>
      <c r="K13339" s="28" t="s">
        <v>52</v>
      </c>
      <c r="L13339" s="28" t="s">
        <v>52</v>
      </c>
      <c r="M13339" s="28" t="s">
        <v>52</v>
      </c>
      <c r="N13339" s="28" t="s">
        <v>52</v>
      </c>
    </row>
    <row r="13340" spans="1:14" x14ac:dyDescent="0.15">
      <c r="A13340" s="23" t="str">
        <f>HYPERLINK("https://www.spark-marketing.ru/Card/Person/137784", "УПРАВЛЕНИЕ ПО ОБЕСПЕЧЕНИЮ ДЕЯТЕЛЬНОСТИ МИРОВЫХ СУДЕЙ В РЕСПУБЛИКЕ БУРЯТИЯ")</f>
        <v>УПРАВЛЕНИЕ ПО ОБЕСПЕЧЕНИЮ ДЕЯТЕЛЬНОСТИ МИРОВЫХ СУДЕЙ В РЕСПУБЛИКЕ БУРЯТИЯ</v>
      </c>
      <c r="B13340" s="24" t="s">
        <v>15521</v>
      </c>
      <c r="C13340" s="25">
        <v>1283970</v>
      </c>
      <c r="D13340" s="22" t="s">
        <v>15522</v>
      </c>
      <c r="E13340" s="22" t="s">
        <v>14766</v>
      </c>
      <c r="F13340" s="23" t="str">
        <f>HYPERLINK("https://www.spark-marketing.ru/Card/Lot/68394639", "Поставка, установка и монтаж систем видеонаблюдения для нужд судебных участков мировых судей Республики Бурятия")</f>
        <v>Поставка, установка и монтаж систем видеонаблюдения для нужд судебных участков мировых судей Республики Бурятия</v>
      </c>
      <c r="G13340" s="22" t="s">
        <v>354</v>
      </c>
      <c r="H13340" s="22" t="s">
        <v>355</v>
      </c>
      <c r="I13340" s="26">
        <v>43525.447916666701</v>
      </c>
      <c r="J13340" s="23" t="str">
        <f>HYPERLINK("https://www.spark-marketing.ru/Card/Person/24762", "ООО ""ДЖЭЙАЙТИ""")</f>
        <v>ООО "ДЖЭЙАЙТИ"</v>
      </c>
      <c r="K13340" s="24" t="s">
        <v>15523</v>
      </c>
      <c r="L13340" s="28" t="s">
        <v>52</v>
      </c>
      <c r="M13340" s="28" t="s">
        <v>52</v>
      </c>
      <c r="N13340" s="28" t="s">
        <v>52</v>
      </c>
    </row>
    <row r="13341" spans="1:14" ht="12.75" hidden="1" outlineLevel="1" x14ac:dyDescent="0.2">
      <c r="A13341" s="23" t="str">
        <f>HYPERLINK("https://www.spark-marketing.ru/Card/Person/137784", "УПРАВЛЕНИЕ ПО ОБЕСПЕЧЕНИЮ ДЕЯТЕЛЬНОСТИ МИРОВЫХ СУДЕЙ В РЕСПУБЛИКЕ БУРЯТИЯ")</f>
        <v>УПРАВЛЕНИЕ ПО ОБЕСПЕЧЕНИЮ ДЕЯТЕЛЬНОСТИ МИРОВЫХ СУДЕЙ В РЕСПУБЛИКЕ БУРЯТИЯ</v>
      </c>
      <c r="B13341" s="24" t="s">
        <v>15521</v>
      </c>
      <c r="C13341" s="25">
        <v>1283970</v>
      </c>
      <c r="D13341" s="22" t="s">
        <v>15522</v>
      </c>
      <c r="E13341" s="22" t="s">
        <v>14766</v>
      </c>
      <c r="F13341" s="23" t="str">
        <f>HYPERLINK("https://www.spark-marketing.ru/Card/Lot/68394639", "Поставка, установка и монтаж систем видеонаблюдения для нужд судебных участков мировых судей Республики Бурятия")</f>
        <v>Поставка, установка и монтаж систем видеонаблюдения для нужд судебных участков мировых судей Республики Бурятия</v>
      </c>
      <c r="G13341" s="22" t="s">
        <v>354</v>
      </c>
      <c r="H13341" s="22" t="s">
        <v>355</v>
      </c>
      <c r="I13341" s="26">
        <v>43525.447916666701</v>
      </c>
      <c r="J13341" s="23" t="str">
        <f>HYPERLINK("https://www.spark-marketing.ru/Card/Person/24762", "ООО ""ДЖЭЙАЙТИ""")</f>
        <v>ООО "ДЖЭЙАЙТИ"</v>
      </c>
      <c r="K13341" s="24" t="s">
        <v>15523</v>
      </c>
      <c r="L13341" s="22" t="s">
        <v>10</v>
      </c>
      <c r="M13341" s="25">
        <v>1277550</v>
      </c>
      <c r="N13341" s="27">
        <v>5.0001168251594666E-3</v>
      </c>
    </row>
    <row r="13342" spans="1:14" x14ac:dyDescent="0.15">
      <c r="A13342" s="23" t="str">
        <f>HYPERLINK("https://www.spark-marketing.ru/Card/Person/1079379", "БУ ""РАДУЖНИНСКИЙ РЕАБИЛИТАЦИОННЫЙ ЦЕНТР""")</f>
        <v>БУ "РАДУЖНИНСКИЙ РЕАБИЛИТАЦИОННЫЙ ЦЕНТР"</v>
      </c>
      <c r="B13342" s="24" t="s">
        <v>15524</v>
      </c>
      <c r="C13342" s="28" t="s">
        <v>52</v>
      </c>
      <c r="D13342" s="22" t="s">
        <v>15525</v>
      </c>
      <c r="E13342" s="22" t="s">
        <v>52</v>
      </c>
      <c r="F13342" s="23" t="str">
        <f>HYPERLINK("https://www.spark-marketing.ru/Card/Lot/68399533", "Оказание охранных услуг с использованием средств тревожной сигнализации")</f>
        <v>Оказание охранных услуг с использованием средств тревожной сигнализации</v>
      </c>
      <c r="G13342" s="22" t="s">
        <v>119</v>
      </c>
      <c r="H13342" s="22" t="s">
        <v>3171</v>
      </c>
      <c r="I13342" s="26">
        <v>43525.414583333302</v>
      </c>
      <c r="J13342" s="28" t="s">
        <v>52</v>
      </c>
      <c r="K13342" s="28" t="s">
        <v>52</v>
      </c>
      <c r="L13342" s="28" t="s">
        <v>52</v>
      </c>
      <c r="M13342" s="28" t="s">
        <v>52</v>
      </c>
      <c r="N13342" s="28" t="s">
        <v>52</v>
      </c>
    </row>
    <row r="13343" spans="1:14" x14ac:dyDescent="0.15">
      <c r="A13343" s="23" t="str">
        <f>HYPERLINK("https://www.spark-marketing.ru/Card/Person/64936", "ГБУЗ ВО ""ГП №1 Г.ВЛАДИМИРА""")</f>
        <v>ГБУЗ ВО "ГП №1 Г.ВЛАДИМИРА"</v>
      </c>
      <c r="B13343" s="24" t="s">
        <v>15526</v>
      </c>
      <c r="C13343" s="25">
        <v>27279</v>
      </c>
      <c r="D13343" s="22" t="s">
        <v>15527</v>
      </c>
      <c r="E13343" s="22" t="s">
        <v>68</v>
      </c>
      <c r="F13343" s="23" t="str">
        <f>HYPERLINK("https://www.spark-marketing.ru/Card/Lot/68402358", "Оказание услуг по охране (централизованная охрана объекта комнаты с наркосодержащими препаратами в здании поликлиники ГБУЗ ВО ""ГП №1 г. Владимира"")")</f>
        <v>Оказание услуг по охране (централизованная охрана объекта комнаты с наркосодержащими препаратами в здании поликлиники ГБУЗ ВО "ГП №1 г. Владимира")</v>
      </c>
      <c r="G13343" s="22" t="s">
        <v>145</v>
      </c>
      <c r="H13343" s="22" t="s">
        <v>146</v>
      </c>
      <c r="I13343" s="26">
        <v>43525.388888888898</v>
      </c>
      <c r="J13343" s="28" t="s">
        <v>52</v>
      </c>
      <c r="K13343" s="28" t="s">
        <v>52</v>
      </c>
      <c r="L13343" s="28" t="s">
        <v>52</v>
      </c>
      <c r="M13343" s="28" t="s">
        <v>52</v>
      </c>
      <c r="N13343" s="28" t="s">
        <v>52</v>
      </c>
    </row>
    <row r="13344" spans="1:14" ht="12.75" hidden="1" outlineLevel="1" x14ac:dyDescent="0.2">
      <c r="A13344" s="23" t="str">
        <f>HYPERLINK("https://www.spark-marketing.ru/Card/Person/64936", "ГБУЗ ВО ""ГП №1 Г.ВЛАДИМИРА""")</f>
        <v>ГБУЗ ВО "ГП №1 Г.ВЛАДИМИРА"</v>
      </c>
      <c r="B13344" s="24" t="s">
        <v>15526</v>
      </c>
      <c r="C13344" s="25">
        <v>27279</v>
      </c>
      <c r="D13344" s="22" t="s">
        <v>15527</v>
      </c>
      <c r="E13344" s="22" t="s">
        <v>68</v>
      </c>
      <c r="F13344" s="23" t="str">
        <f>HYPERLINK("https://www.spark-marketing.ru/Card/Lot/68402358", "Оказание услуг по охране (централизованная охрана объекта комнаты с наркосодержащими препаратами в здании поликлиники ГБУЗ ВО ""ГП №1 г. Владимира"")")</f>
        <v>Оказание услуг по охране (централизованная охрана объекта комнаты с наркосодержащими препаратами в здании поликлиники ГБУЗ ВО "ГП №1 г. Владимира")</v>
      </c>
      <c r="G13344" s="22" t="s">
        <v>145</v>
      </c>
      <c r="H13344" s="22" t="s">
        <v>146</v>
      </c>
      <c r="I13344" s="26">
        <v>43525.388888888898</v>
      </c>
      <c r="J13344" s="23" t="str">
        <f>HYPERLINK("https://www.spark-marketing.ru/Card/Person/4896067", "ООО ЧОП ""ОХРАНА И БЕЗОПАСНОСТЬ""")</f>
        <v>ООО ЧОП "ОХРАНА И БЕЗОПАСНОСТЬ"</v>
      </c>
      <c r="K13344" s="24" t="s">
        <v>15528</v>
      </c>
      <c r="L13344" s="22" t="s">
        <v>10</v>
      </c>
      <c r="M13344" s="25">
        <v>27142.6</v>
      </c>
      <c r="N13344" s="27">
        <v>5.0001832911763626E-3</v>
      </c>
    </row>
    <row r="13345" spans="1:14" hidden="1" outlineLevel="1" x14ac:dyDescent="0.2">
      <c r="A13345" s="23" t="str">
        <f>HYPERLINK("https://www.spark-marketing.ru/Card/Person/64936", "ГБУЗ ВО ""ГП №1 Г.ВЛАДИМИРА""")</f>
        <v>ГБУЗ ВО "ГП №1 Г.ВЛАДИМИРА"</v>
      </c>
      <c r="B13345" s="24" t="s">
        <v>15526</v>
      </c>
      <c r="C13345" s="25">
        <v>27279</v>
      </c>
      <c r="D13345" s="22" t="s">
        <v>15527</v>
      </c>
      <c r="E13345" s="22" t="s">
        <v>68</v>
      </c>
      <c r="F13345" s="23" t="str">
        <f>HYPERLINK("https://www.spark-marketing.ru/Card/Lot/68402358", "Оказание услуг по охране (централизованная охрана объекта комнаты с наркосодержащими препаратами в здании поликлиники ГБУЗ ВО ""ГП №1 г. Владимира"")")</f>
        <v>Оказание услуг по охране (централизованная охрана объекта комнаты с наркосодержащими препаратами в здании поликлиники ГБУЗ ВО "ГП №1 г. Владимира")</v>
      </c>
      <c r="G13345" s="22" t="s">
        <v>145</v>
      </c>
      <c r="H13345" s="22" t="s">
        <v>146</v>
      </c>
      <c r="I13345" s="26">
        <v>43525.388888888898</v>
      </c>
      <c r="J13345" s="23" t="str">
        <f>HYPERLINK("https://www.spark-marketing.ru/Card/Person/71574", "ООО ЧОП ""ФОРПОСТ""")</f>
        <v>ООО ЧОП "ФОРПОСТ"</v>
      </c>
      <c r="K13345" s="24" t="s">
        <v>10517</v>
      </c>
      <c r="L13345" s="28" t="s">
        <v>52</v>
      </c>
      <c r="M13345" s="25">
        <v>27142.6</v>
      </c>
      <c r="N13345" s="27">
        <v>5.0001832911763626E-3</v>
      </c>
    </row>
    <row r="13346" spans="1:14" hidden="1" outlineLevel="1" x14ac:dyDescent="0.2">
      <c r="A13346" s="23" t="str">
        <f>HYPERLINK("https://www.spark-marketing.ru/Card/Person/64936", "ГБУЗ ВО ""ГП №1 Г.ВЛАДИМИРА""")</f>
        <v>ГБУЗ ВО "ГП №1 Г.ВЛАДИМИРА"</v>
      </c>
      <c r="B13346" s="24" t="s">
        <v>15526</v>
      </c>
      <c r="C13346" s="25">
        <v>27279</v>
      </c>
      <c r="D13346" s="22" t="s">
        <v>15527</v>
      </c>
      <c r="E13346" s="22" t="s">
        <v>68</v>
      </c>
      <c r="F13346" s="23" t="str">
        <f>HYPERLINK("https://www.spark-marketing.ru/Card/Lot/68402358", "Оказание услуг по охране (централизованная охрана объекта комнаты с наркосодержащими препаратами в здании поликлиники ГБУЗ ВО ""ГП №1 г. Владимира"")")</f>
        <v>Оказание услуг по охране (централизованная охрана объекта комнаты с наркосодержащими препаратами в здании поликлиники ГБУЗ ВО "ГП №1 г. Владимира")</v>
      </c>
      <c r="G13346" s="22" t="s">
        <v>145</v>
      </c>
      <c r="H13346" s="22" t="s">
        <v>146</v>
      </c>
      <c r="I13346" s="26">
        <v>43525.388888888898</v>
      </c>
      <c r="J13346" s="23" t="str">
        <f>HYPERLINK("https://www.spark-marketing.ru/Card/Person/118987", "ООО ЧОО ""ЦЕЗАРЬ""")</f>
        <v>ООО ЧОО "ЦЕЗАРЬ"</v>
      </c>
      <c r="K13346" s="24" t="s">
        <v>15529</v>
      </c>
      <c r="L13346" s="28" t="s">
        <v>52</v>
      </c>
      <c r="M13346" s="25">
        <v>27142.6</v>
      </c>
      <c r="N13346" s="27">
        <v>5.0001832911763626E-3</v>
      </c>
    </row>
    <row r="13347" spans="1:14" x14ac:dyDescent="0.15">
      <c r="A13347" s="23" t="str">
        <f>HYPERLINK("https://www.spark-marketing.ru/Card/Person/4346339", "МИНСПОРТ РД")</f>
        <v>МИНСПОРТ РД</v>
      </c>
      <c r="B13347" s="24" t="s">
        <v>15530</v>
      </c>
      <c r="C13347" s="25">
        <v>976000</v>
      </c>
      <c r="D13347" s="22" t="s">
        <v>15531</v>
      </c>
      <c r="E13347" s="22" t="s">
        <v>52</v>
      </c>
      <c r="F13347" s="23" t="str">
        <f>HYPERLINK("https://www.spark-marketing.ru/Card/Lot/68402298", "Услуги охраны административного здания")</f>
        <v>Услуги охраны административного здания</v>
      </c>
      <c r="G13347" s="22" t="s">
        <v>595</v>
      </c>
      <c r="H13347" s="22" t="s">
        <v>595</v>
      </c>
      <c r="I13347" s="26">
        <v>43525.393750000003</v>
      </c>
      <c r="J13347" s="28" t="s">
        <v>52</v>
      </c>
      <c r="K13347" s="28" t="s">
        <v>52</v>
      </c>
      <c r="L13347" s="28" t="s">
        <v>52</v>
      </c>
      <c r="M13347" s="28" t="s">
        <v>52</v>
      </c>
      <c r="N13347" s="28" t="s">
        <v>52</v>
      </c>
    </row>
    <row r="13348" spans="1:14" ht="12.75" hidden="1" outlineLevel="1" x14ac:dyDescent="0.2">
      <c r="A13348" s="23" t="str">
        <f>HYPERLINK("https://www.spark-marketing.ru/Card/Person/4346339", "МИНСПОРТ РД")</f>
        <v>МИНСПОРТ РД</v>
      </c>
      <c r="B13348" s="24" t="s">
        <v>15530</v>
      </c>
      <c r="C13348" s="25">
        <v>976000</v>
      </c>
      <c r="D13348" s="22" t="s">
        <v>15531</v>
      </c>
      <c r="E13348" s="22" t="s">
        <v>52</v>
      </c>
      <c r="F13348" s="23" t="str">
        <f>HYPERLINK("https://www.spark-marketing.ru/Card/Lot/68402298", "Услуги охраны административного здания")</f>
        <v>Услуги охраны административного здания</v>
      </c>
      <c r="G13348" s="22" t="s">
        <v>595</v>
      </c>
      <c r="H13348" s="22" t="s">
        <v>595</v>
      </c>
      <c r="I13348" s="26">
        <v>43525.393750000003</v>
      </c>
      <c r="J13348" s="23" t="str">
        <f>HYPERLINK("https://www.spark-marketing.ru/Card/Person/2574379", "ООО ЧОО ""СИГМА""")</f>
        <v>ООО ЧОО "СИГМА"</v>
      </c>
      <c r="K13348" s="24" t="s">
        <v>14306</v>
      </c>
      <c r="L13348" s="22" t="s">
        <v>10</v>
      </c>
      <c r="M13348" s="25">
        <v>429440</v>
      </c>
      <c r="N13348" s="27">
        <v>0.56000000000000005</v>
      </c>
    </row>
    <row r="13349" spans="1:14" hidden="1" outlineLevel="1" x14ac:dyDescent="0.2">
      <c r="A13349" s="23" t="str">
        <f>HYPERLINK("https://www.spark-marketing.ru/Card/Person/4346339", "МИНСПОРТ РД")</f>
        <v>МИНСПОРТ РД</v>
      </c>
      <c r="B13349" s="24" t="s">
        <v>15530</v>
      </c>
      <c r="C13349" s="25">
        <v>976000</v>
      </c>
      <c r="D13349" s="22" t="s">
        <v>15531</v>
      </c>
      <c r="E13349" s="22" t="s">
        <v>52</v>
      </c>
      <c r="F13349" s="23" t="str">
        <f>HYPERLINK("https://www.spark-marketing.ru/Card/Lot/68402298", "Услуги охраны административного здания")</f>
        <v>Услуги охраны административного здания</v>
      </c>
      <c r="G13349" s="22" t="s">
        <v>595</v>
      </c>
      <c r="H13349" s="22" t="s">
        <v>595</v>
      </c>
      <c r="I13349" s="26">
        <v>43525.393750000003</v>
      </c>
      <c r="J13349" s="23" t="str">
        <f>HYPERLINK("https://www.spark-marketing.ru/Card/Person/4880107", "ООО ЧОО ""АЛЬФА-М""")</f>
        <v>ООО ЧОО "АЛЬФА-М"</v>
      </c>
      <c r="K13349" s="24" t="s">
        <v>5735</v>
      </c>
      <c r="L13349" s="28" t="s">
        <v>52</v>
      </c>
      <c r="M13349" s="25">
        <v>434320</v>
      </c>
      <c r="N13349" s="27">
        <v>0.55500000000000005</v>
      </c>
    </row>
    <row r="13350" spans="1:14" hidden="1" outlineLevel="1" x14ac:dyDescent="0.2">
      <c r="A13350" s="23" t="str">
        <f>HYPERLINK("https://www.spark-marketing.ru/Card/Person/4346339", "МИНСПОРТ РД")</f>
        <v>МИНСПОРТ РД</v>
      </c>
      <c r="B13350" s="24" t="s">
        <v>15530</v>
      </c>
      <c r="C13350" s="25">
        <v>976000</v>
      </c>
      <c r="D13350" s="22" t="s">
        <v>15531</v>
      </c>
      <c r="E13350" s="22" t="s">
        <v>52</v>
      </c>
      <c r="F13350" s="23" t="str">
        <f>HYPERLINK("https://www.spark-marketing.ru/Card/Lot/68402298", "Услуги охраны административного здания")</f>
        <v>Услуги охраны административного здания</v>
      </c>
      <c r="G13350" s="22" t="s">
        <v>595</v>
      </c>
      <c r="H13350" s="22" t="s">
        <v>595</v>
      </c>
      <c r="I13350" s="26">
        <v>43525.393750000003</v>
      </c>
      <c r="J13350" s="23" t="str">
        <f>HYPERLINK("https://www.spark-marketing.ru/Card/Person/6473929", "ООО ЧОО ""СМЕРШ""")</f>
        <v>ООО ЧОО "СМЕРШ"</v>
      </c>
      <c r="K13350" s="24" t="s">
        <v>15532</v>
      </c>
      <c r="L13350" s="28" t="s">
        <v>52</v>
      </c>
      <c r="M13350" s="25">
        <v>444080</v>
      </c>
      <c r="N13350" s="27">
        <v>0.54500000000000004</v>
      </c>
    </row>
    <row r="13351" spans="1:14" x14ac:dyDescent="0.15">
      <c r="A13351" s="23" t="str">
        <f>HYPERLINK("https://www.spark-marketing.ru/Card/Person/1076686", "ГБПОУ РО ""ТМПТ""")</f>
        <v>ГБПОУ РО "ТМПТ"</v>
      </c>
      <c r="B13351" s="24" t="s">
        <v>15533</v>
      </c>
      <c r="C13351" s="25">
        <v>37500</v>
      </c>
      <c r="D13351" s="22" t="s">
        <v>15534</v>
      </c>
      <c r="E13351" s="22" t="s">
        <v>1130</v>
      </c>
      <c r="F13351" s="23" t="str">
        <f>HYPERLINK("https://www.spark-marketing.ru/Card/Lot/68402229", "Обслуживание Видеонаблюдения")</f>
        <v>Обслуживание Видеонаблюдения</v>
      </c>
      <c r="G13351" s="22" t="s">
        <v>402</v>
      </c>
      <c r="H13351" s="22" t="s">
        <v>4516</v>
      </c>
      <c r="I13351" s="26">
        <v>43525.408333333296</v>
      </c>
      <c r="J13351" s="23" t="str">
        <f>HYPERLINK("https://www.spark-marketing.ru/Card/Person/792610", "ООО ""СПБ""")</f>
        <v>ООО "СПБ"</v>
      </c>
      <c r="K13351" s="24" t="s">
        <v>15535</v>
      </c>
      <c r="L13351" s="22" t="s">
        <v>10</v>
      </c>
      <c r="M13351" s="28" t="s">
        <v>52</v>
      </c>
      <c r="N13351" s="28" t="s">
        <v>52</v>
      </c>
    </row>
    <row r="13352" spans="1:14" x14ac:dyDescent="0.15">
      <c r="A13352" s="23" t="str">
        <f>HYPERLINK("https://www.spark-marketing.ru/Card/Person/64164", "СУ СК РОССИИ ПО РЕСПУБЛИКЕ БУРЯТИЯ")</f>
        <v>СУ СК РОССИИ ПО РЕСПУБЛИКЕ БУРЯТИЯ</v>
      </c>
      <c r="B13352" s="24" t="s">
        <v>15536</v>
      </c>
      <c r="C13352" s="25">
        <v>62250</v>
      </c>
      <c r="D13352" s="22" t="s">
        <v>15537</v>
      </c>
      <c r="E13352" s="22" t="s">
        <v>1013</v>
      </c>
      <c r="F13352" s="23" t="str">
        <f>HYPERLINK("https://www.spark-marketing.ru/Card/Lot/68390916", "Техническое обслуживание видеонаблюдения для нужд Следственного управления Следственного комитета Российской Федерации по Республике Бурятия")</f>
        <v>Техническое обслуживание видеонаблюдения для нужд Следственного управления Следственного комитета Российской Федерации по Республике Бурятия</v>
      </c>
      <c r="G13352" s="22" t="s">
        <v>354</v>
      </c>
      <c r="H13352" s="22" t="s">
        <v>354</v>
      </c>
      <c r="I13352" s="26">
        <v>43525.363888888904</v>
      </c>
      <c r="J13352" s="23" t="str">
        <f>HYPERLINK("https://www.spark-marketing.ru/Card/Person/92104", "ООО ""РЕГИОН-СЕРВИС""")</f>
        <v>ООО "РЕГИОН-СЕРВИС"</v>
      </c>
      <c r="K13352" s="24" t="s">
        <v>15538</v>
      </c>
      <c r="L13352" s="22" t="s">
        <v>10</v>
      </c>
      <c r="M13352" s="28" t="s">
        <v>52</v>
      </c>
      <c r="N13352" s="28" t="s">
        <v>52</v>
      </c>
    </row>
    <row r="13353" spans="1:14" x14ac:dyDescent="0.15">
      <c r="A13353" s="23" t="str">
        <f>HYPERLINK("https://www.spark-marketing.ru/Card/Person/34410", "ФЛ САСОВСКОЕ ЛЕТНОЕ УЧИЛИЩЕ ГРАЖДАНСКОЙ АВИАЦИИ")</f>
        <v>ФЛ САСОВСКОЕ ЛЕТНОЕ УЧИЛИЩЕ ГРАЖДАНСКОЙ АВИАЦИИ</v>
      </c>
      <c r="B13353" s="24" t="s">
        <v>15539</v>
      </c>
      <c r="C13353" s="25">
        <v>100000</v>
      </c>
      <c r="D13353" s="22" t="s">
        <v>15540</v>
      </c>
      <c r="E13353" s="22" t="s">
        <v>103</v>
      </c>
      <c r="F13353" s="23" t="str">
        <f>HYPERLINK("https://www.spark-marketing.ru/Card/Lot/68400015", "Оказание услуг по обслуживанию систем видеонаблюдения")</f>
        <v>Оказание услуг по обслуживанию систем видеонаблюдения</v>
      </c>
      <c r="G13353" s="22" t="s">
        <v>186</v>
      </c>
      <c r="H13353" s="22" t="s">
        <v>5410</v>
      </c>
      <c r="I13353" s="26">
        <v>43525.368750000001</v>
      </c>
      <c r="J13353" s="28" t="s">
        <v>52</v>
      </c>
      <c r="K13353" s="28" t="s">
        <v>52</v>
      </c>
      <c r="L13353" s="28" t="s">
        <v>52</v>
      </c>
      <c r="M13353" s="28" t="s">
        <v>52</v>
      </c>
      <c r="N13353" s="28" t="s">
        <v>52</v>
      </c>
    </row>
    <row r="13354" spans="1:14" ht="12.75" hidden="1" outlineLevel="1" x14ac:dyDescent="0.2">
      <c r="A13354" s="23" t="str">
        <f>HYPERLINK("https://www.spark-marketing.ru/Card/Person/34410", "ФЛ САСОВСКОЕ ЛЕТНОЕ УЧИЛИЩЕ ГРАЖДАНСКОЙ АВИАЦИИ")</f>
        <v>ФЛ САСОВСКОЕ ЛЕТНОЕ УЧИЛИЩЕ ГРАЖДАНСКОЙ АВИАЦИИ</v>
      </c>
      <c r="B13354" s="24" t="s">
        <v>15539</v>
      </c>
      <c r="C13354" s="25">
        <v>100000</v>
      </c>
      <c r="D13354" s="22" t="s">
        <v>15540</v>
      </c>
      <c r="E13354" s="22" t="s">
        <v>103</v>
      </c>
      <c r="F13354" s="23" t="str">
        <f>HYPERLINK("https://www.spark-marketing.ru/Card/Lot/68400015", "Оказание услуг по обслуживанию систем видеонаблюдения")</f>
        <v>Оказание услуг по обслуживанию систем видеонаблюдения</v>
      </c>
      <c r="G13354" s="22" t="s">
        <v>186</v>
      </c>
      <c r="H13354" s="22" t="s">
        <v>5410</v>
      </c>
      <c r="I13354" s="26">
        <v>43525.368750000001</v>
      </c>
      <c r="J13354" s="23" t="str">
        <f>HYPERLINK("https://www.spark-marketing.ru/Card/Person/94371", "ООО ""НПО ""РАТИБОР-С""")</f>
        <v>ООО "НПО "РАТИБОР-С"</v>
      </c>
      <c r="K13354" s="24" t="s">
        <v>15541</v>
      </c>
      <c r="L13354" s="22" t="s">
        <v>10</v>
      </c>
      <c r="M13354" s="25">
        <v>97500</v>
      </c>
      <c r="N13354" s="27">
        <v>2.5000000000000001E-2</v>
      </c>
    </row>
    <row r="13355" spans="1:14" hidden="1" outlineLevel="1" x14ac:dyDescent="0.2">
      <c r="A13355" s="23" t="str">
        <f>HYPERLINK("https://www.spark-marketing.ru/Card/Person/34410", "ФЛ САСОВСКОЕ ЛЕТНОЕ УЧИЛИЩЕ ГРАЖДАНСКОЙ АВИАЦИИ")</f>
        <v>ФЛ САСОВСКОЕ ЛЕТНОЕ УЧИЛИЩЕ ГРАЖДАНСКОЙ АВИАЦИИ</v>
      </c>
      <c r="B13355" s="24" t="s">
        <v>15539</v>
      </c>
      <c r="C13355" s="25">
        <v>100000</v>
      </c>
      <c r="D13355" s="22" t="s">
        <v>15540</v>
      </c>
      <c r="E13355" s="22" t="s">
        <v>103</v>
      </c>
      <c r="F13355" s="23" t="str">
        <f>HYPERLINK("https://www.spark-marketing.ru/Card/Lot/68400015", "Оказание услуг по обслуживанию систем видеонаблюдения")</f>
        <v>Оказание услуг по обслуживанию систем видеонаблюдения</v>
      </c>
      <c r="G13355" s="22" t="s">
        <v>186</v>
      </c>
      <c r="H13355" s="22" t="s">
        <v>5410</v>
      </c>
      <c r="I13355" s="26">
        <v>43525.368750000001</v>
      </c>
      <c r="J13355" s="23" t="str">
        <f>HYPERLINK("https://www.spark-marketing.ru/Card/Person/4413455", "ООО ""ЦЕНТР БЕЗОПАСНОСТИ""")</f>
        <v>ООО "ЦЕНТР БЕЗОПАСНОСТИ"</v>
      </c>
      <c r="K13355" s="24" t="s">
        <v>3709</v>
      </c>
      <c r="L13355" s="28" t="s">
        <v>52</v>
      </c>
      <c r="M13355" s="25">
        <v>98000</v>
      </c>
      <c r="N13355" s="27">
        <v>0.02</v>
      </c>
    </row>
    <row r="13356" spans="1:14" hidden="1" outlineLevel="1" x14ac:dyDescent="0.2">
      <c r="A13356" s="23" t="str">
        <f>HYPERLINK("https://www.spark-marketing.ru/Card/Person/34410", "ФЛ САСОВСКОЕ ЛЕТНОЕ УЧИЛИЩЕ ГРАЖДАНСКОЙ АВИАЦИИ")</f>
        <v>ФЛ САСОВСКОЕ ЛЕТНОЕ УЧИЛИЩЕ ГРАЖДАНСКОЙ АВИАЦИИ</v>
      </c>
      <c r="B13356" s="24" t="s">
        <v>15539</v>
      </c>
      <c r="C13356" s="25">
        <v>100000</v>
      </c>
      <c r="D13356" s="22" t="s">
        <v>15540</v>
      </c>
      <c r="E13356" s="22" t="s">
        <v>103</v>
      </c>
      <c r="F13356" s="23" t="str">
        <f>HYPERLINK("https://www.spark-marketing.ru/Card/Lot/68400015", "Оказание услуг по обслуживанию систем видеонаблюдения")</f>
        <v>Оказание услуг по обслуживанию систем видеонаблюдения</v>
      </c>
      <c r="G13356" s="22" t="s">
        <v>186</v>
      </c>
      <c r="H13356" s="22" t="s">
        <v>5410</v>
      </c>
      <c r="I13356" s="26">
        <v>43525.368750000001</v>
      </c>
      <c r="J13356" s="23" t="str">
        <f>HYPERLINK("https://www.spark-marketing.ru/Card/Person/121969", "РГО ООО ""ВДПО""")</f>
        <v>РГО ООО "ВДПО"</v>
      </c>
      <c r="K13356" s="24" t="s">
        <v>8323</v>
      </c>
      <c r="L13356" s="28" t="s">
        <v>52</v>
      </c>
      <c r="M13356" s="25">
        <v>99500</v>
      </c>
      <c r="N13356" s="27">
        <v>5.0000000000000001E-3</v>
      </c>
    </row>
    <row r="13357" spans="1:14" x14ac:dyDescent="0.15">
      <c r="A13357" s="23" t="str">
        <f>HYPERLINK("https://www.spark-marketing.ru/Card/Person/151568", "БДОУ Г. ОМСКА ""ДЕТСКИЙ САД № 279""")</f>
        <v>БДОУ Г. ОМСКА "ДЕТСКИЙ САД № 279"</v>
      </c>
      <c r="B13357" s="24" t="s">
        <v>15542</v>
      </c>
      <c r="C13357" s="25">
        <v>12000</v>
      </c>
      <c r="D13357" s="22" t="s">
        <v>15543</v>
      </c>
      <c r="E13357" s="22" t="s">
        <v>491</v>
      </c>
      <c r="F13357" s="23" t="str">
        <f>HYPERLINK("https://www.spark-marketing.ru/Card/Lot/68396024", "Охрана имущества")</f>
        <v>Охрана имущества</v>
      </c>
      <c r="G13357" s="22" t="s">
        <v>521</v>
      </c>
      <c r="H13357" s="22" t="s">
        <v>522</v>
      </c>
      <c r="I13357" s="26">
        <v>43525.313194444403</v>
      </c>
      <c r="J13357" s="28" t="s">
        <v>52</v>
      </c>
      <c r="K13357" s="28" t="s">
        <v>52</v>
      </c>
      <c r="L13357" s="28" t="s">
        <v>52</v>
      </c>
      <c r="M13357" s="28" t="s">
        <v>52</v>
      </c>
      <c r="N13357" s="28" t="s">
        <v>52</v>
      </c>
    </row>
    <row r="13358" spans="1:14" x14ac:dyDescent="0.15">
      <c r="A13358" s="23" t="str">
        <f>HYPERLINK("https://www.spark-marketing.ru/Card/Person/6450322", "ЗАКАЗЧИК РП БЕЛАРУСЬ")</f>
        <v>ЗАКАЗЧИК РП БЕЛАРУСЬ</v>
      </c>
      <c r="B13358" s="28" t="s">
        <v>52</v>
      </c>
      <c r="C13358" s="28" t="s">
        <v>52</v>
      </c>
      <c r="D13358" s="22" t="s">
        <v>15544</v>
      </c>
      <c r="E13358" s="22" t="s">
        <v>53</v>
      </c>
      <c r="F13358" s="23" t="str">
        <f>HYPERLINK("https://www.spark-marketing.ru/Card/Lot/68410277", "Выбор подрядной организации по установке и выносу системы сигнализации на пульты КПП охраны в количестве 206 секторов")</f>
        <v>Выбор подрядной организации по установке и выносу системы сигнализации на пульты КПП охраны в количестве 206 секторов</v>
      </c>
      <c r="G13358" s="22" t="s">
        <v>52</v>
      </c>
      <c r="H13358" s="22" t="s">
        <v>52</v>
      </c>
      <c r="I13358" s="26">
        <v>43525</v>
      </c>
      <c r="J13358" s="28" t="s">
        <v>52</v>
      </c>
      <c r="K13358" s="28" t="s">
        <v>52</v>
      </c>
      <c r="L13358" s="28" t="s">
        <v>52</v>
      </c>
      <c r="M13358" s="28" t="s">
        <v>52</v>
      </c>
      <c r="N13358" s="28" t="s">
        <v>52</v>
      </c>
    </row>
    <row r="13359" spans="1:14" x14ac:dyDescent="0.15">
      <c r="A13359" s="23" t="str">
        <f>HYPERLINK("https://www.spark-marketing.ru/Card/Person/64814", "АО ""ВОЕНТЕЛЕКОМ""")</f>
        <v>АО "ВОЕНТЕЛЕКОМ"</v>
      </c>
      <c r="B13359" s="24" t="s">
        <v>10731</v>
      </c>
      <c r="C13359" s="25">
        <v>14048745.49</v>
      </c>
      <c r="D13359" s="22" t="s">
        <v>15545</v>
      </c>
      <c r="E13359" s="22" t="s">
        <v>363</v>
      </c>
      <c r="F13359" s="23" t="str">
        <f>HYPERLINK("https://www.spark-marketing.ru/Card/Lot/67155633", "Услуги охраны")</f>
        <v>Услуги охраны</v>
      </c>
      <c r="G13359" s="22" t="s">
        <v>50</v>
      </c>
      <c r="H13359" s="22" t="s">
        <v>50</v>
      </c>
      <c r="I13359" s="26">
        <v>43476.561122685198</v>
      </c>
      <c r="J13359" s="28" t="s">
        <v>52</v>
      </c>
      <c r="K13359" s="28" t="s">
        <v>52</v>
      </c>
      <c r="L13359" s="28" t="s">
        <v>52</v>
      </c>
      <c r="M13359" s="28" t="s">
        <v>52</v>
      </c>
      <c r="N13359" s="28" t="s">
        <v>52</v>
      </c>
    </row>
    <row r="13360" spans="1:14" hidden="1" outlineLevel="1" x14ac:dyDescent="0.2">
      <c r="A13360" s="23" t="str">
        <f>HYPERLINK("https://www.spark-marketing.ru/Card/Person/64814", "АО ""ВОЕНТЕЛЕКОМ""")</f>
        <v>АО "ВОЕНТЕЛЕКОМ"</v>
      </c>
      <c r="B13360" s="24" t="s">
        <v>10731</v>
      </c>
      <c r="C13360" s="28" t="s">
        <v>52</v>
      </c>
      <c r="D13360" s="22" t="s">
        <v>15545</v>
      </c>
      <c r="E13360" s="22" t="s">
        <v>363</v>
      </c>
      <c r="F13360" s="23" t="str">
        <f>HYPERLINK("https://www.spark-marketing.ru/Card/Lot/67155633", "Услуги охраны")</f>
        <v>Услуги охраны</v>
      </c>
      <c r="G13360" s="22" t="s">
        <v>50</v>
      </c>
      <c r="H13360" s="22" t="s">
        <v>50</v>
      </c>
      <c r="I13360" s="26">
        <v>43476.561122685198</v>
      </c>
      <c r="J13360" s="23" t="str">
        <f>HYPERLINK("https://www.spark-marketing.ru/Card/Person/73891", "ООО ЧОО ""ЭЛИТ-ОХРАНА""")</f>
        <v>ООО ЧОО "ЭЛИТ-ОХРАНА"</v>
      </c>
      <c r="K13360" s="24" t="s">
        <v>15546</v>
      </c>
      <c r="L13360" s="22" t="s">
        <v>10</v>
      </c>
      <c r="M13360" s="25">
        <v>8808400</v>
      </c>
      <c r="N13360" s="27">
        <v>0.37301163251410002</v>
      </c>
    </row>
    <row r="13361" spans="1:14" hidden="1" outlineLevel="1" x14ac:dyDescent="0.2">
      <c r="A13361" s="23" t="str">
        <f>HYPERLINK("https://www.spark-marketing.ru/Card/Person/64814", "АО ""ВОЕНТЕЛЕКОМ""")</f>
        <v>АО "ВОЕНТЕЛЕКОМ"</v>
      </c>
      <c r="B13361" s="24" t="s">
        <v>10731</v>
      </c>
      <c r="C13361" s="28" t="s">
        <v>52</v>
      </c>
      <c r="D13361" s="22" t="s">
        <v>15545</v>
      </c>
      <c r="E13361" s="22" t="s">
        <v>363</v>
      </c>
      <c r="F13361" s="23" t="str">
        <f>HYPERLINK("https://www.spark-marketing.ru/Card/Lot/67155633", "Услуги охраны")</f>
        <v>Услуги охраны</v>
      </c>
      <c r="G13361" s="22" t="s">
        <v>50</v>
      </c>
      <c r="H13361" s="22" t="s">
        <v>50</v>
      </c>
      <c r="I13361" s="26">
        <v>43476.561122685198</v>
      </c>
      <c r="J13361" s="23" t="str">
        <f>HYPERLINK("https://www.spark-marketing.ru/Card/Person/1638667", "ООО ЧОП ""ЕРМАК-09""")</f>
        <v>ООО ЧОП "ЕРМАК-09"</v>
      </c>
      <c r="K13361" s="24" t="s">
        <v>7466</v>
      </c>
      <c r="L13361" s="28" t="s">
        <v>52</v>
      </c>
      <c r="M13361" s="25">
        <v>9509756.2699999996</v>
      </c>
      <c r="N13361" s="27">
        <v>0.32308857920665485</v>
      </c>
    </row>
    <row r="13362" spans="1:14" x14ac:dyDescent="0.15">
      <c r="A13362" s="23" t="str">
        <f>HYPERLINK("https://www.spark-marketing.ru/Card/Person/1904395", "ООО ""УК ""ТАТСПЕЦТРАНСПОРТ""")</f>
        <v>ООО "УК "ТАТСПЕЦТРАНСПОРТ"</v>
      </c>
      <c r="B13362" s="24" t="s">
        <v>14509</v>
      </c>
      <c r="C13362" s="28" t="s">
        <v>52</v>
      </c>
      <c r="D13362" s="22" t="s">
        <v>15547</v>
      </c>
      <c r="E13362" s="22" t="s">
        <v>53</v>
      </c>
      <c r="F13362" s="23" t="str">
        <f>HYPERLINK("https://www.spark-marketing.ru/Card/Lot/68690618", "Оказание услуг по установке технических средств охраны (0/166)")</f>
        <v>Оказание услуг по установке технических средств охраны (0/166)</v>
      </c>
      <c r="G13362" s="22" t="s">
        <v>204</v>
      </c>
      <c r="H13362" s="22" t="s">
        <v>308</v>
      </c>
      <c r="I13362" s="26">
        <v>43525</v>
      </c>
      <c r="J13362" s="28" t="s">
        <v>52</v>
      </c>
      <c r="K13362" s="28" t="s">
        <v>52</v>
      </c>
      <c r="L13362" s="28" t="s">
        <v>52</v>
      </c>
      <c r="M13362" s="28" t="s">
        <v>52</v>
      </c>
      <c r="N13362" s="28" t="s">
        <v>52</v>
      </c>
    </row>
    <row r="13363" spans="1:14" x14ac:dyDescent="0.15">
      <c r="A13363" s="23" t="str">
        <f>HYPERLINK("https://www.spark-marketing.ru/Card/Person/1904395", "ООО ""УК ""ТАТСПЕЦТРАНСПОРТ""")</f>
        <v>ООО "УК "ТАТСПЕЦТРАНСПОРТ"</v>
      </c>
      <c r="B13363" s="24" t="s">
        <v>14509</v>
      </c>
      <c r="C13363" s="28" t="s">
        <v>52</v>
      </c>
      <c r="D13363" s="22" t="s">
        <v>15548</v>
      </c>
      <c r="E13363" s="22" t="s">
        <v>53</v>
      </c>
      <c r="F13363" s="23" t="str">
        <f>HYPERLINK("https://www.spark-marketing.ru/Card/Lot/68404245", "Оказание услуг по установке технических средств охраны (0/166)")</f>
        <v>Оказание услуг по установке технических средств охраны (0/166)</v>
      </c>
      <c r="G13363" s="22" t="s">
        <v>204</v>
      </c>
      <c r="H13363" s="22" t="s">
        <v>308</v>
      </c>
      <c r="I13363" s="26">
        <v>43525</v>
      </c>
      <c r="J13363" s="28" t="s">
        <v>52</v>
      </c>
      <c r="K13363" s="28" t="s">
        <v>52</v>
      </c>
      <c r="L13363" s="28" t="s">
        <v>52</v>
      </c>
      <c r="M13363" s="28" t="s">
        <v>52</v>
      </c>
      <c r="N13363" s="28" t="s">
        <v>52</v>
      </c>
    </row>
    <row r="13364" spans="1:14" x14ac:dyDescent="0.15">
      <c r="A13364" s="23" t="str">
        <f>HYPERLINK("https://www.spark-marketing.ru/Card/Person/148532", "МАДОУ ""ДЕТСКИЙ САД КОМБИНИРОВАННОГО ВИДА С ГРУППАМИ ДЛЯ ДЕТЕЙ С НАРУШЕНИЯМИ РЕЧИ №41"" НМР РТ")</f>
        <v>МАДОУ "ДЕТСКИЙ САД КОМБИНИРОВАННОГО ВИДА С ГРУППАМИ ДЛЯ ДЕТЕЙ С НАРУШЕНИЯМИ РЕЧИ №41" НМР РТ</v>
      </c>
      <c r="B13364" s="24" t="s">
        <v>15122</v>
      </c>
      <c r="C13364" s="25">
        <v>3425</v>
      </c>
      <c r="D13364" s="22" t="s">
        <v>15549</v>
      </c>
      <c r="E13364" s="22" t="s">
        <v>53</v>
      </c>
      <c r="F13364" s="23" t="str">
        <f>HYPERLINK("https://www.spark-marketing.ru/Card/Lot/73690586", "Техническое обслуживание системы видеонаблюдения")</f>
        <v>Техническое обслуживание системы видеонаблюдения</v>
      </c>
      <c r="G13364" s="22" t="s">
        <v>204</v>
      </c>
      <c r="H13364" s="22" t="s">
        <v>824</v>
      </c>
      <c r="I13364" s="26">
        <v>43525.345833333296</v>
      </c>
      <c r="J13364" s="28" t="s">
        <v>52</v>
      </c>
      <c r="K13364" s="28" t="s">
        <v>52</v>
      </c>
      <c r="L13364" s="28" t="s">
        <v>52</v>
      </c>
      <c r="M13364" s="28" t="s">
        <v>52</v>
      </c>
      <c r="N13364" s="28" t="s">
        <v>52</v>
      </c>
    </row>
    <row r="13365" spans="1:14" x14ac:dyDescent="0.15">
      <c r="A13365" s="23" t="str">
        <f>HYPERLINK("https://www.spark-marketing.ru/Card/Person/6450322", "ЗАКАЗЧИК РП БЕЛАРУСЬ")</f>
        <v>ЗАКАЗЧИК РП БЕЛАРУСЬ</v>
      </c>
      <c r="B13365" s="28" t="s">
        <v>52</v>
      </c>
      <c r="C13365" s="25">
        <v>26198.02</v>
      </c>
      <c r="D13365" s="22" t="s">
        <v>15550</v>
      </c>
      <c r="E13365" s="22" t="s">
        <v>53</v>
      </c>
      <c r="F13365" s="23" t="str">
        <f>HYPERLINK("https://www.spark-marketing.ru/Card/Lot/68409960", "Выбор подрядной организации для выполнения гидрогеологического обоснования возможности уменьшения размеров первого пояса зоны санитарной охраны водозаборной скважины и разработки проекта зоны санитарной охраны водозаборной скважины по объекту: «Газос...")</f>
        <v>Выбор подрядной организации для выполнения гидрогеологического обоснования возможности уменьшения размеров первого пояса зоны санитарной охраны водозаборной скважины и разработки проекта зоны санитарной охраны водозаборной скважины по объекту: «Газос...</v>
      </c>
      <c r="G13365" s="22" t="s">
        <v>52</v>
      </c>
      <c r="H13365" s="22" t="s">
        <v>52</v>
      </c>
      <c r="I13365" s="26">
        <v>43525</v>
      </c>
      <c r="J13365" s="28" t="s">
        <v>52</v>
      </c>
      <c r="K13365" s="28" t="s">
        <v>52</v>
      </c>
      <c r="L13365" s="28" t="s">
        <v>52</v>
      </c>
      <c r="M13365" s="28" t="s">
        <v>52</v>
      </c>
      <c r="N13365" s="28" t="s">
        <v>52</v>
      </c>
    </row>
    <row r="13366" spans="1:14" x14ac:dyDescent="0.15">
      <c r="A13366" s="23" t="str">
        <f>HYPERLINK("https://www.spark-marketing.ru/Card/Person/4346756", "МОСКОВСКИЙ ГОСУДАРСТВЕННЫЙ УНИВЕРСИТЕТ ИМЕНИ М.В.ЛОМОНОСОВА, МГУ ИМЕНИ М.В.ЛОМОНОСОВА, МОСКОВСКИЙ УНИВЕРСИТЕТ ИЛИ МГУ")</f>
        <v>МОСКОВСКИЙ ГОСУДАРСТВЕННЫЙ УНИВЕРСИТЕТ ИМЕНИ М.В.ЛОМОНОСОВА, МГУ ИМЕНИ М.В.ЛОМОНОСОВА, МОСКОВСКИЙ УНИВЕРСИТЕТ ИЛИ МГУ</v>
      </c>
      <c r="B13366" s="24" t="s">
        <v>15551</v>
      </c>
      <c r="C13366" s="25">
        <v>166698.81</v>
      </c>
      <c r="D13366" s="22" t="s">
        <v>15552</v>
      </c>
      <c r="E13366" s="22" t="s">
        <v>137</v>
      </c>
      <c r="F13366" s="23" t="str">
        <f>HYPERLINK("https://www.spark-marketing.ru/Card/Lot/68390577", "Оказание услуг по обслуживанию системы видеонаблюдения в 2019 году на территории Ботанического сада МГУ имени М.В.Ломоносова (9 мес)")</f>
        <v>Оказание услуг по обслуживанию системы видеонаблюдения в 2019 году на территории Ботанического сада МГУ имени М.В.Ломоносова (9 мес)</v>
      </c>
      <c r="G13366" s="22" t="s">
        <v>55</v>
      </c>
      <c r="H13366" s="22" t="s">
        <v>55</v>
      </c>
      <c r="I13366" s="26">
        <v>43524.912928240701</v>
      </c>
      <c r="J13366" s="28" t="s">
        <v>52</v>
      </c>
      <c r="K13366" s="28" t="s">
        <v>52</v>
      </c>
      <c r="L13366" s="28" t="s">
        <v>52</v>
      </c>
      <c r="M13366" s="28" t="s">
        <v>52</v>
      </c>
      <c r="N13366" s="28" t="s">
        <v>52</v>
      </c>
    </row>
    <row r="13367" spans="1:14" hidden="1" outlineLevel="1" x14ac:dyDescent="0.2">
      <c r="A13367" s="23" t="str">
        <f>HYPERLINK("https://www.spark-marketing.ru/Card/Person/4346756", "МОСКОВСКИЙ ГОСУДАРСТВЕННЫЙ УНИВЕРСИТЕТ ИМЕНИ М.В.ЛОМОНОСОВА, МГУ ИМЕНИ М.В.ЛОМОНОСОВА, МОСКОВСКИЙ УНИВЕРСИТЕТ ИЛИ МГУ")</f>
        <v>МОСКОВСКИЙ ГОСУДАРСТВЕННЫЙ УНИВЕРСИТЕТ ИМЕНИ М.В.ЛОМОНОСОВА, МГУ ИМЕНИ М.В.ЛОМОНОСОВА, МОСКОВСКИЙ УНИВЕРСИТЕТ ИЛИ МГУ</v>
      </c>
      <c r="B13367" s="24" t="s">
        <v>15551</v>
      </c>
      <c r="C13367" s="28" t="s">
        <v>52</v>
      </c>
      <c r="D13367" s="22" t="s">
        <v>15552</v>
      </c>
      <c r="E13367" s="22" t="s">
        <v>137</v>
      </c>
      <c r="F13367" s="23" t="str">
        <f>HYPERLINK("https://www.spark-marketing.ru/Card/Lot/68390577", "Оказание услуг по обслуживанию системы видеонаблюдения в 2019 году на территории Ботанического сада МГУ имени М.В.Ломоносова (9 мес)")</f>
        <v>Оказание услуг по обслуживанию системы видеонаблюдения в 2019 году на территории Ботанического сада МГУ имени М.В.Ломоносова (9 мес)</v>
      </c>
      <c r="G13367" s="22" t="s">
        <v>55</v>
      </c>
      <c r="H13367" s="22" t="s">
        <v>55</v>
      </c>
      <c r="I13367" s="26">
        <v>43524.912928240701</v>
      </c>
      <c r="J13367" s="23" t="str">
        <f>HYPERLINK("https://www.spark-marketing.ru/Card/Person/6251078", "ООО ""КБ""")</f>
        <v>ООО "КБ"</v>
      </c>
      <c r="K13367" s="24" t="s">
        <v>10248</v>
      </c>
      <c r="L13367" s="28" t="s">
        <v>52</v>
      </c>
      <c r="M13367" s="25">
        <v>70000</v>
      </c>
      <c r="N13367" s="27">
        <v>0.58008098558112087</v>
      </c>
    </row>
    <row r="13368" spans="1:14" hidden="1" outlineLevel="1" x14ac:dyDescent="0.2">
      <c r="A13368" s="23" t="str">
        <f>HYPERLINK("https://www.spark-marketing.ru/Card/Person/4346756", "МОСКОВСКИЙ ГОСУДАРСТВЕННЫЙ УНИВЕРСИТЕТ ИМЕНИ М.В.ЛОМОНОСОВА, МГУ ИМЕНИ М.В.ЛОМОНОСОВА, МОСКОВСКИЙ УНИВЕРСИТЕТ ИЛИ МГУ")</f>
        <v>МОСКОВСКИЙ ГОСУДАРСТВЕННЫЙ УНИВЕРСИТЕТ ИМЕНИ М.В.ЛОМОНОСОВА, МГУ ИМЕНИ М.В.ЛОМОНОСОВА, МОСКОВСКИЙ УНИВЕРСИТЕТ ИЛИ МГУ</v>
      </c>
      <c r="B13368" s="24" t="s">
        <v>15551</v>
      </c>
      <c r="C13368" s="28" t="s">
        <v>52</v>
      </c>
      <c r="D13368" s="22" t="s">
        <v>15552</v>
      </c>
      <c r="E13368" s="22" t="s">
        <v>137</v>
      </c>
      <c r="F13368" s="23" t="str">
        <f>HYPERLINK("https://www.spark-marketing.ru/Card/Lot/68390577", "Оказание услуг по обслуживанию системы видеонаблюдения в 2019 году на территории Ботанического сада МГУ имени М.В.Ломоносова (9 мес)")</f>
        <v>Оказание услуг по обслуживанию системы видеонаблюдения в 2019 году на территории Ботанического сада МГУ имени М.В.Ломоносова (9 мес)</v>
      </c>
      <c r="G13368" s="22" t="s">
        <v>55</v>
      </c>
      <c r="H13368" s="22" t="s">
        <v>55</v>
      </c>
      <c r="I13368" s="26">
        <v>43524.912928240701</v>
      </c>
      <c r="J13368" s="23" t="str">
        <f>HYPERLINK("https://www.spark-marketing.ru/Card/Person/138497", "ООО ""ПТС""")</f>
        <v>ООО "ПТС"</v>
      </c>
      <c r="K13368" s="24" t="s">
        <v>9590</v>
      </c>
      <c r="L13368" s="28" t="s">
        <v>52</v>
      </c>
      <c r="M13368" s="25">
        <v>119189.68</v>
      </c>
      <c r="N13368" s="27">
        <v>0.28499981493569149</v>
      </c>
    </row>
    <row r="13369" spans="1:14" hidden="1" outlineLevel="1" x14ac:dyDescent="0.2">
      <c r="A13369" s="23" t="str">
        <f>HYPERLINK("https://www.spark-marketing.ru/Card/Person/4346756", "МОСКОВСКИЙ ГОСУДАРСТВЕННЫЙ УНИВЕРСИТЕТ ИМЕНИ М.В.ЛОМОНОСОВА, МГУ ИМЕНИ М.В.ЛОМОНОСОВА, МОСКОВСКИЙ УНИВЕРСИТЕТ ИЛИ МГУ")</f>
        <v>МОСКОВСКИЙ ГОСУДАРСТВЕННЫЙ УНИВЕРСИТЕТ ИМЕНИ М.В.ЛОМОНОСОВА, МГУ ИМЕНИ М.В.ЛОМОНОСОВА, МОСКОВСКИЙ УНИВЕРСИТЕТ ИЛИ МГУ</v>
      </c>
      <c r="B13369" s="24" t="s">
        <v>15551</v>
      </c>
      <c r="C13369" s="28" t="s">
        <v>52</v>
      </c>
      <c r="D13369" s="22" t="s">
        <v>15552</v>
      </c>
      <c r="E13369" s="22" t="s">
        <v>137</v>
      </c>
      <c r="F13369" s="23" t="str">
        <f>HYPERLINK("https://www.spark-marketing.ru/Card/Lot/68390577", "Оказание услуг по обслуживанию системы видеонаблюдения в 2019 году на территории Ботанического сада МГУ имени М.В.Ломоносова (9 мес)")</f>
        <v>Оказание услуг по обслуживанию системы видеонаблюдения в 2019 году на территории Ботанического сада МГУ имени М.В.Ломоносова (9 мес)</v>
      </c>
      <c r="G13369" s="22" t="s">
        <v>55</v>
      </c>
      <c r="H13369" s="22" t="s">
        <v>55</v>
      </c>
      <c r="I13369" s="26">
        <v>43524.912928240701</v>
      </c>
      <c r="J13369" s="23" t="str">
        <f>HYPERLINK("https://www.spark-marketing.ru/Card/Person/1396142", "ООО ""ФБ""")</f>
        <v>ООО "ФБ"</v>
      </c>
      <c r="K13369" s="24" t="s">
        <v>15553</v>
      </c>
      <c r="L13369" s="28" t="s">
        <v>52</v>
      </c>
      <c r="M13369" s="25">
        <v>74181.06</v>
      </c>
      <c r="N13369" s="27">
        <v>0.55499946280360368</v>
      </c>
    </row>
    <row r="13370" spans="1:14" x14ac:dyDescent="0.2">
      <c r="A13370" s="23" t="str">
        <f>HYPERLINK("https://www.spark-marketing.ru/Card/Person/82051", "АО ""МВЗ ИМ. М. Л. МИЛЯ""")</f>
        <v>АО "МВЗ ИМ. М. Л. МИЛЯ"</v>
      </c>
      <c r="B13370" s="24" t="s">
        <v>15554</v>
      </c>
      <c r="C13370" s="25">
        <v>6824715.3399999999</v>
      </c>
      <c r="D13370" s="22" t="s">
        <v>15555</v>
      </c>
      <c r="E13370" s="22" t="s">
        <v>1919</v>
      </c>
      <c r="F13370" s="23" t="str">
        <f>HYPERLINK("https://www.spark-marketing.ru/Card/Lot/68388182", "1601-2019-00532. Выполнение работ по доработке системы видеорегистрации бортовой СВР-Б-01 для адаптации к установке на вертолет Ми-8АМТШ-ВН")</f>
        <v>1601-2019-00532. Выполнение работ по доработке системы видеорегистрации бортовой СВР-Б-01 для адаптации к установке на вертолет Ми-8АМТШ-ВН</v>
      </c>
      <c r="G13370" s="22" t="s">
        <v>50</v>
      </c>
      <c r="H13370" s="22" t="s">
        <v>5291</v>
      </c>
      <c r="I13370" s="26">
        <v>43524.809074074103</v>
      </c>
      <c r="J13370" s="28" t="s">
        <v>52</v>
      </c>
      <c r="K13370" s="28" t="s">
        <v>52</v>
      </c>
      <c r="L13370" s="28" t="s">
        <v>52</v>
      </c>
      <c r="M13370" s="25">
        <v>6824715.3399999999</v>
      </c>
      <c r="N13370" s="27">
        <v>0</v>
      </c>
    </row>
    <row r="13371" spans="1:14" x14ac:dyDescent="0.15">
      <c r="A13371" s="23" t="str">
        <f>HYPERLINK("https://www.spark-marketing.ru/Card/Person/127006", "ФГУП ""ВЕДОМСТВЕННАЯ ОХРАНА"" МИНЭНЕРГО РОССИИ")</f>
        <v>ФГУП "ВЕДОМСТВЕННАЯ ОХРАНА" МИНЭНЕРГО РОССИИ</v>
      </c>
      <c r="B13371" s="24" t="s">
        <v>11469</v>
      </c>
      <c r="C13371" s="25">
        <v>1535584.2</v>
      </c>
      <c r="D13371" s="22" t="s">
        <v>15556</v>
      </c>
      <c r="E13371" s="22" t="s">
        <v>144</v>
      </c>
      <c r="F13371" s="23" t="str">
        <f>HYPERLINK("https://www.spark-marketing.ru/Card/Lot/68387673", "Охранные услуги")</f>
        <v>Охранные услуги</v>
      </c>
      <c r="G13371" s="22" t="s">
        <v>89</v>
      </c>
      <c r="H13371" s="22" t="s">
        <v>89</v>
      </c>
      <c r="I13371" s="26">
        <v>43524.804930555598</v>
      </c>
      <c r="J13371" s="28" t="s">
        <v>52</v>
      </c>
      <c r="K13371" s="28" t="s">
        <v>52</v>
      </c>
      <c r="L13371" s="28" t="s">
        <v>52</v>
      </c>
      <c r="M13371" s="28" t="s">
        <v>52</v>
      </c>
      <c r="N13371" s="28" t="s">
        <v>52</v>
      </c>
    </row>
    <row r="13372" spans="1:14" x14ac:dyDescent="0.15">
      <c r="A13372" s="23" t="str">
        <f>HYPERLINK("https://www.spark-marketing.ru/Card/Person/127006", "ФГУП ""ВЕДОМСТВЕННАЯ ОХРАНА"" МИНЭНЕРГО РОССИИ")</f>
        <v>ФГУП "ВЕДОМСТВЕННАЯ ОХРАНА" МИНЭНЕРГО РОССИИ</v>
      </c>
      <c r="B13372" s="24" t="s">
        <v>11469</v>
      </c>
      <c r="C13372" s="25">
        <v>966490.8</v>
      </c>
      <c r="D13372" s="22" t="s">
        <v>15557</v>
      </c>
      <c r="E13372" s="22" t="s">
        <v>144</v>
      </c>
      <c r="F13372" s="23" t="str">
        <f>HYPERLINK("https://www.spark-marketing.ru/Card/Lot/68387671", "Охранные услуги")</f>
        <v>Охранные услуги</v>
      </c>
      <c r="G13372" s="22" t="s">
        <v>138</v>
      </c>
      <c r="H13372" s="22" t="s">
        <v>138</v>
      </c>
      <c r="I13372" s="26">
        <v>43524.804699074099</v>
      </c>
      <c r="J13372" s="28" t="s">
        <v>52</v>
      </c>
      <c r="K13372" s="28" t="s">
        <v>52</v>
      </c>
      <c r="L13372" s="28" t="s">
        <v>52</v>
      </c>
      <c r="M13372" s="28" t="s">
        <v>52</v>
      </c>
      <c r="N13372" s="28" t="s">
        <v>52</v>
      </c>
    </row>
    <row r="13373" spans="1:14" x14ac:dyDescent="0.2">
      <c r="A13373" s="23" t="str">
        <f>HYPERLINK("https://www.spark-marketing.ru/Card/Person/1082166", "ГАУЗ МО ""ПБ № 22""")</f>
        <v>ГАУЗ МО "ПБ № 22"</v>
      </c>
      <c r="B13373" s="24" t="s">
        <v>15558</v>
      </c>
      <c r="C13373" s="25">
        <v>209360.4</v>
      </c>
      <c r="D13373" s="22" t="s">
        <v>15559</v>
      </c>
      <c r="E13373" s="22" t="s">
        <v>8413</v>
      </c>
      <c r="F13373" s="23" t="str">
        <f>HYPERLINK("https://www.spark-marketing.ru/Card/Lot/68378006", "Оказание охранных услуг в здании, оборудованном комплексом технических средств охраны для нужд ГАУЗ МО ""ПБ №22"" в 2019 году")</f>
        <v>Оказание охранных услуг в здании, оборудованном комплексом технических средств охраны для нужд ГАУЗ МО "ПБ №22" в 2019 году</v>
      </c>
      <c r="G13373" s="22" t="s">
        <v>50</v>
      </c>
      <c r="H13373" s="22" t="s">
        <v>938</v>
      </c>
      <c r="I13373" s="26">
        <v>43524.710277777798</v>
      </c>
      <c r="J13373" s="23" t="str">
        <f>HYPERLINK("https://www.spark-marketing.ru/Card/Person/2125932", "Химкинский ОВО - филиал ФГКУ «УВО ВНГ России по Московской области»")</f>
        <v>Химкинский ОВО - филиал ФГКУ «УВО ВНГ России по Московской области»</v>
      </c>
      <c r="K13373" s="24" t="s">
        <v>9566</v>
      </c>
      <c r="L13373" s="28" t="s">
        <v>52</v>
      </c>
      <c r="M13373" s="25">
        <v>209360.4</v>
      </c>
      <c r="N13373" s="27">
        <v>0</v>
      </c>
    </row>
    <row r="13374" spans="1:14" x14ac:dyDescent="0.15">
      <c r="A13374" s="23" t="str">
        <f>HYPERLINK("https://www.spark-marketing.ru/Card/Person/642309", "УПФР В ЛЯМБИРСКОМ МУНИЦИПАЛЬНОМ РАЙОНЕ РЕСПУБЛИКИ МОРДОВИЯ (МЕЖРАЙОННОЕ)")</f>
        <v>УПФР В ЛЯМБИРСКОМ МУНИЦИПАЛЬНОМ РАЙОНЕ РЕСПУБЛИКИ МОРДОВИЯ (МЕЖРАЙОННОЕ)</v>
      </c>
      <c r="B13374" s="24" t="s">
        <v>15560</v>
      </c>
      <c r="C13374" s="25">
        <v>225600</v>
      </c>
      <c r="D13374" s="22" t="s">
        <v>15561</v>
      </c>
      <c r="E13374" s="22" t="s">
        <v>59</v>
      </c>
      <c r="F13374" s="23" t="str">
        <f>HYPERLINK("https://www.spark-marketing.ru/Card/Lot/68381262", "Создание системы аудио-и видеоконтроля зоны приема граждан первого этажа здания Управления")</f>
        <v>Создание системы аудио-и видеоконтроля зоны приема граждан первого этажа здания Управления</v>
      </c>
      <c r="G13374" s="22" t="s">
        <v>331</v>
      </c>
      <c r="H13374" s="22" t="s">
        <v>15562</v>
      </c>
      <c r="I13374" s="26">
        <v>43524.729166666701</v>
      </c>
      <c r="J13374" s="28" t="s">
        <v>52</v>
      </c>
      <c r="K13374" s="28" t="s">
        <v>52</v>
      </c>
      <c r="L13374" s="28" t="s">
        <v>52</v>
      </c>
      <c r="M13374" s="28" t="s">
        <v>52</v>
      </c>
      <c r="N13374" s="28" t="s">
        <v>52</v>
      </c>
    </row>
    <row r="13375" spans="1:14" hidden="1" outlineLevel="1" x14ac:dyDescent="0.2">
      <c r="A13375" s="23" t="str">
        <f>HYPERLINK("https://www.spark-marketing.ru/Card/Person/642309", "УПФР В ЛЯМБИРСКОМ МУНИЦИПАЛЬНОМ РАЙОНЕ РЕСПУБЛИКИ МОРДОВИЯ (МЕЖРАЙОННОЕ)")</f>
        <v>УПФР В ЛЯМБИРСКОМ МУНИЦИПАЛЬНОМ РАЙОНЕ РЕСПУБЛИКИ МОРДОВИЯ (МЕЖРАЙОННОЕ)</v>
      </c>
      <c r="B13375" s="24" t="s">
        <v>15560</v>
      </c>
      <c r="C13375" s="25">
        <v>225600</v>
      </c>
      <c r="D13375" s="22" t="s">
        <v>15561</v>
      </c>
      <c r="E13375" s="22" t="s">
        <v>59</v>
      </c>
      <c r="F13375" s="23" t="str">
        <f>HYPERLINK("https://www.spark-marketing.ru/Card/Lot/68381262", "Создание системы аудио-и видеоконтроля зоны приема граждан первого этажа здания Управления")</f>
        <v>Создание системы аудио-и видеоконтроля зоны приема граждан первого этажа здания Управления</v>
      </c>
      <c r="G13375" s="22" t="s">
        <v>331</v>
      </c>
      <c r="H13375" s="22" t="s">
        <v>15562</v>
      </c>
      <c r="I13375" s="26">
        <v>43524.729166666701</v>
      </c>
      <c r="J13375" s="23" t="str">
        <f>HYPERLINK("https://www.spark-marketing.ru/Card/Person/133967", "ООО ""СТКОМ""")</f>
        <v>ООО "СТКОМ"</v>
      </c>
      <c r="K13375" s="24" t="s">
        <v>15563</v>
      </c>
      <c r="L13375" s="28" t="s">
        <v>52</v>
      </c>
      <c r="M13375" s="25">
        <v>191760</v>
      </c>
      <c r="N13375" s="27">
        <v>0.15</v>
      </c>
    </row>
    <row r="13376" spans="1:14" ht="12.75" hidden="1" outlineLevel="1" x14ac:dyDescent="0.2">
      <c r="A13376" s="23" t="str">
        <f>HYPERLINK("https://www.spark-marketing.ru/Card/Person/642309", "УПФР В ЛЯМБИРСКОМ МУНИЦИПАЛЬНОМ РАЙОНЕ РЕСПУБЛИКИ МОРДОВИЯ (МЕЖРАЙОННОЕ)")</f>
        <v>УПФР В ЛЯМБИРСКОМ МУНИЦИПАЛЬНОМ РАЙОНЕ РЕСПУБЛИКИ МОРДОВИЯ (МЕЖРАЙОННОЕ)</v>
      </c>
      <c r="B13376" s="24" t="s">
        <v>15560</v>
      </c>
      <c r="C13376" s="25">
        <v>225600</v>
      </c>
      <c r="D13376" s="22" t="s">
        <v>15561</v>
      </c>
      <c r="E13376" s="22" t="s">
        <v>59</v>
      </c>
      <c r="F13376" s="23" t="str">
        <f>HYPERLINK("https://www.spark-marketing.ru/Card/Lot/68381262", "Создание системы аудио-и видеоконтроля зоны приема граждан первого этажа здания Управления")</f>
        <v>Создание системы аудио-и видеоконтроля зоны приема граждан первого этажа здания Управления</v>
      </c>
      <c r="G13376" s="22" t="s">
        <v>331</v>
      </c>
      <c r="H13376" s="22" t="s">
        <v>15562</v>
      </c>
      <c r="I13376" s="26">
        <v>43524.729166666701</v>
      </c>
      <c r="J13376" s="23" t="str">
        <f>HYPERLINK("https://www.spark-marketing.ru/Card/Person/149051", "Лопаткин Андрей Николаевич")</f>
        <v>Лопаткин Андрей Николаевич</v>
      </c>
      <c r="K13376" s="24" t="s">
        <v>2127</v>
      </c>
      <c r="L13376" s="22" t="s">
        <v>10</v>
      </c>
      <c r="M13376" s="25">
        <v>190632</v>
      </c>
      <c r="N13376" s="27">
        <v>0.155</v>
      </c>
    </row>
    <row r="13377" spans="1:14" x14ac:dyDescent="0.15">
      <c r="A13377" s="23" t="str">
        <f>HYPERLINK("https://www.spark-marketing.ru/Card/Person/641791", "УПФР В Г. КРАСНОКАМЕНСКЕ ЗАБАЙКАЛЬСКОГО КРАЯ (МЕЖРАЙОННОЕ)")</f>
        <v>УПФР В Г. КРАСНОКАМЕНСКЕ ЗАБАЙКАЛЬСКОГО КРАЯ (МЕЖРАЙОННОЕ)</v>
      </c>
      <c r="B13377" s="24" t="s">
        <v>11329</v>
      </c>
      <c r="C13377" s="25">
        <v>4800</v>
      </c>
      <c r="D13377" s="22" t="s">
        <v>15564</v>
      </c>
      <c r="E13377" s="22" t="s">
        <v>234</v>
      </c>
      <c r="F13377" s="23" t="str">
        <f>HYPERLINK("https://www.spark-marketing.ru/Card/Lot/68365857", "Оказание услуг по техническому обслуживанию систем видеонаблюдения в здании Клиентской службы (на правах отдела) (в Нерчинско-Заводском районе)")</f>
        <v>Оказание услуг по техническому обслуживанию систем видеонаблюдения в здании Клиентской службы (на правах отдела) (в Нерчинско-Заводском районе)</v>
      </c>
      <c r="G13377" s="22" t="s">
        <v>473</v>
      </c>
      <c r="H13377" s="22" t="s">
        <v>473</v>
      </c>
      <c r="I13377" s="26">
        <v>43524.730555555601</v>
      </c>
      <c r="J13377" s="28" t="s">
        <v>52</v>
      </c>
      <c r="K13377" s="28" t="s">
        <v>52</v>
      </c>
      <c r="L13377" s="28" t="s">
        <v>52</v>
      </c>
      <c r="M13377" s="28" t="s">
        <v>52</v>
      </c>
      <c r="N13377" s="28" t="s">
        <v>52</v>
      </c>
    </row>
    <row r="13378" spans="1:14" x14ac:dyDescent="0.15">
      <c r="A13378" s="23" t="str">
        <f>HYPERLINK("https://www.spark-marketing.ru/Card/Person/77228", "ГБУ ""РЦМКО""")</f>
        <v>ГБУ "РЦМКО"</v>
      </c>
      <c r="B13378" s="24" t="s">
        <v>15565</v>
      </c>
      <c r="C13378" s="25">
        <v>56600</v>
      </c>
      <c r="D13378" s="22" t="s">
        <v>15566</v>
      </c>
      <c r="E13378" s="22" t="s">
        <v>208</v>
      </c>
      <c r="F13378" s="23" t="str">
        <f>HYPERLINK("https://www.spark-marketing.ru/Card/Lot/68383728", "Услуги на выезд группы быстрого реагирования по срабатыванию кнопки тревожной сигнализации")</f>
        <v>Услуги на выезд группы быстрого реагирования по срабатыванию кнопки тревожной сигнализации</v>
      </c>
      <c r="G13378" s="22" t="s">
        <v>204</v>
      </c>
      <c r="H13378" s="22" t="s">
        <v>303</v>
      </c>
      <c r="I13378" s="26">
        <v>43524.724305555603</v>
      </c>
      <c r="J13378" s="23" t="str">
        <f>HYPERLINK("https://www.spark-marketing.ru/Card/Person/4353887", "ООО ""ЧОО""КАРЕ""")</f>
        <v>ООО "ЧОО"КАРЕ"</v>
      </c>
      <c r="K13378" s="24" t="s">
        <v>15567</v>
      </c>
      <c r="L13378" s="28" t="s">
        <v>52</v>
      </c>
      <c r="M13378" s="28" t="s">
        <v>52</v>
      </c>
      <c r="N13378" s="28" t="s">
        <v>52</v>
      </c>
    </row>
    <row r="13379" spans="1:14" ht="12.75" hidden="1" outlineLevel="1" x14ac:dyDescent="0.2">
      <c r="A13379" s="23" t="str">
        <f>HYPERLINK("https://www.spark-marketing.ru/Card/Person/77228", "ГБУ ""РЦМКО""")</f>
        <v>ГБУ "РЦМКО"</v>
      </c>
      <c r="B13379" s="24" t="s">
        <v>15565</v>
      </c>
      <c r="C13379" s="25">
        <v>56600</v>
      </c>
      <c r="D13379" s="22" t="s">
        <v>15566</v>
      </c>
      <c r="E13379" s="22" t="s">
        <v>208</v>
      </c>
      <c r="F13379" s="23" t="str">
        <f>HYPERLINK("https://www.spark-marketing.ru/Card/Lot/68383728", "Услуги на выезд группы быстрого реагирования по срабатыванию кнопки тревожной сигнализации")</f>
        <v>Услуги на выезд группы быстрого реагирования по срабатыванию кнопки тревожной сигнализации</v>
      </c>
      <c r="G13379" s="22" t="s">
        <v>204</v>
      </c>
      <c r="H13379" s="22" t="s">
        <v>303</v>
      </c>
      <c r="I13379" s="26">
        <v>43524.724305555603</v>
      </c>
      <c r="J13379" s="23" t="str">
        <f>HYPERLINK("https://www.spark-marketing.ru/Card/Person/4353887", "ООО ""ЧОО""КАРЕ""")</f>
        <v>ООО "ЧОО"КАРЕ"</v>
      </c>
      <c r="K13379" s="24" t="s">
        <v>15567</v>
      </c>
      <c r="L13379" s="22" t="s">
        <v>10</v>
      </c>
      <c r="M13379" s="25">
        <v>56317</v>
      </c>
      <c r="N13379" s="27">
        <v>5.0000000000000001E-3</v>
      </c>
    </row>
    <row r="13380" spans="1:14" x14ac:dyDescent="0.15">
      <c r="A13380" s="23" t="str">
        <f t="shared" ref="A13380:A13390" si="687">HYPERLINK("https://www.spark-marketing.ru/Card/Person/25805", "ГБУЗ ЛО ""ТОСНЕНСКАЯ КМБ""")</f>
        <v>ГБУЗ ЛО "ТОСНЕНСКАЯ КМБ"</v>
      </c>
      <c r="B13380" s="24" t="s">
        <v>15568</v>
      </c>
      <c r="C13380" s="25">
        <v>309600</v>
      </c>
      <c r="D13380" s="22" t="s">
        <v>15569</v>
      </c>
      <c r="E13380" s="22" t="s">
        <v>103</v>
      </c>
      <c r="F13380" s="23" t="str">
        <f t="shared" ref="F13380:F13390" si="688">HYPERLINK("https://www.spark-marketing.ru/Card/Lot/68381053", "Оказание услуг по техническому обслуживанию системы видеонаблюдения")</f>
        <v>Оказание услуг по техническому обслуживанию системы видеонаблюдения</v>
      </c>
      <c r="G13380" s="22" t="s">
        <v>861</v>
      </c>
      <c r="H13380" s="22" t="s">
        <v>11350</v>
      </c>
      <c r="I13380" s="26">
        <v>43524.715277777803</v>
      </c>
      <c r="J13380" s="28" t="s">
        <v>52</v>
      </c>
      <c r="K13380" s="28" t="s">
        <v>52</v>
      </c>
      <c r="L13380" s="28" t="s">
        <v>52</v>
      </c>
      <c r="M13380" s="28" t="s">
        <v>52</v>
      </c>
      <c r="N13380" s="28" t="s">
        <v>52</v>
      </c>
    </row>
    <row r="13381" spans="1:14" hidden="1" outlineLevel="1" x14ac:dyDescent="0.2">
      <c r="A13381" s="23" t="str">
        <f t="shared" si="687"/>
        <v>ГБУЗ ЛО "ТОСНЕНСКАЯ КМБ"</v>
      </c>
      <c r="B13381" s="24" t="s">
        <v>15568</v>
      </c>
      <c r="C13381" s="25">
        <v>309600</v>
      </c>
      <c r="D13381" s="22" t="s">
        <v>15569</v>
      </c>
      <c r="E13381" s="22" t="s">
        <v>103</v>
      </c>
      <c r="F13381" s="23" t="str">
        <f t="shared" si="688"/>
        <v>Оказание услуг по техническому обслуживанию системы видеонаблюдения</v>
      </c>
      <c r="G13381" s="22" t="s">
        <v>861</v>
      </c>
      <c r="H13381" s="22" t="s">
        <v>11350</v>
      </c>
      <c r="I13381" s="26">
        <v>43524.715277777803</v>
      </c>
      <c r="J13381" s="23" t="str">
        <f>HYPERLINK("https://www.spark-marketing.ru/Card/Person/683478", "ООО ""АЛОДИС""")</f>
        <v>ООО "АЛОДИС"</v>
      </c>
      <c r="K13381" s="24" t="s">
        <v>15570</v>
      </c>
      <c r="L13381" s="28" t="s">
        <v>52</v>
      </c>
      <c r="M13381" s="25">
        <v>77133.789999999994</v>
      </c>
      <c r="N13381" s="27">
        <v>0.75085985142118861</v>
      </c>
    </row>
    <row r="13382" spans="1:14" hidden="1" outlineLevel="1" x14ac:dyDescent="0.2">
      <c r="A13382" s="23" t="str">
        <f t="shared" si="687"/>
        <v>ГБУЗ ЛО "ТОСНЕНСКАЯ КМБ"</v>
      </c>
      <c r="B13382" s="24" t="s">
        <v>15568</v>
      </c>
      <c r="C13382" s="25">
        <v>309600</v>
      </c>
      <c r="D13382" s="22" t="s">
        <v>15569</v>
      </c>
      <c r="E13382" s="22" t="s">
        <v>103</v>
      </c>
      <c r="F13382" s="23" t="str">
        <f t="shared" si="688"/>
        <v>Оказание услуг по техническому обслуживанию системы видеонаблюдения</v>
      </c>
      <c r="G13382" s="22" t="s">
        <v>861</v>
      </c>
      <c r="H13382" s="22" t="s">
        <v>11350</v>
      </c>
      <c r="I13382" s="26">
        <v>43524.715277777803</v>
      </c>
      <c r="J13382" s="23" t="str">
        <f>HYPERLINK("https://www.spark-marketing.ru/Card/Person/148606", "ООО ""СИТИРИТ-СТРОЙ""")</f>
        <v>ООО "СИТИРИТ-СТРОЙ"</v>
      </c>
      <c r="K13382" s="24" t="s">
        <v>15571</v>
      </c>
      <c r="L13382" s="28" t="s">
        <v>52</v>
      </c>
      <c r="M13382" s="25">
        <v>72489.789999999994</v>
      </c>
      <c r="N13382" s="27">
        <v>0.76585985142118862</v>
      </c>
    </row>
    <row r="13383" spans="1:14" hidden="1" outlineLevel="1" x14ac:dyDescent="0.2">
      <c r="A13383" s="23" t="str">
        <f t="shared" si="687"/>
        <v>ГБУЗ ЛО "ТОСНЕНСКАЯ КМБ"</v>
      </c>
      <c r="B13383" s="24" t="s">
        <v>15568</v>
      </c>
      <c r="C13383" s="25">
        <v>309600</v>
      </c>
      <c r="D13383" s="22" t="s">
        <v>15569</v>
      </c>
      <c r="E13383" s="22" t="s">
        <v>103</v>
      </c>
      <c r="F13383" s="23" t="str">
        <f t="shared" si="688"/>
        <v>Оказание услуг по техническому обслуживанию системы видеонаблюдения</v>
      </c>
      <c r="G13383" s="22" t="s">
        <v>861</v>
      </c>
      <c r="H13383" s="22" t="s">
        <v>11350</v>
      </c>
      <c r="I13383" s="26">
        <v>43524.715277777803</v>
      </c>
      <c r="J13383" s="23" t="str">
        <f>HYPERLINK("https://www.spark-marketing.ru/Card/Person/143913", "ООО ""ТЕОЛА-ТОСНО""")</f>
        <v>ООО "ТЕОЛА-ТОСНО"</v>
      </c>
      <c r="K13383" s="24" t="s">
        <v>15572</v>
      </c>
      <c r="L13383" s="28" t="s">
        <v>52</v>
      </c>
      <c r="M13383" s="25">
        <v>92824.46</v>
      </c>
      <c r="N13383" s="27">
        <v>0.70017939276485786</v>
      </c>
    </row>
    <row r="13384" spans="1:14" hidden="1" outlineLevel="1" x14ac:dyDescent="0.2">
      <c r="A13384" s="23" t="str">
        <f t="shared" si="687"/>
        <v>ГБУЗ ЛО "ТОСНЕНСКАЯ КМБ"</v>
      </c>
      <c r="B13384" s="24" t="s">
        <v>15568</v>
      </c>
      <c r="C13384" s="25">
        <v>309600</v>
      </c>
      <c r="D13384" s="22" t="s">
        <v>15569</v>
      </c>
      <c r="E13384" s="22" t="s">
        <v>103</v>
      </c>
      <c r="F13384" s="23" t="str">
        <f t="shared" si="688"/>
        <v>Оказание услуг по техническому обслуживанию системы видеонаблюдения</v>
      </c>
      <c r="G13384" s="22" t="s">
        <v>861</v>
      </c>
      <c r="H13384" s="22" t="s">
        <v>11350</v>
      </c>
      <c r="I13384" s="26">
        <v>43524.715277777803</v>
      </c>
      <c r="J13384" s="23" t="str">
        <f>HYPERLINK("https://www.spark-marketing.ru/Card/Person/420485", "ООО ""КОВЧЕГ""")</f>
        <v>ООО "КОВЧЕГ"</v>
      </c>
      <c r="K13384" s="24" t="s">
        <v>15573</v>
      </c>
      <c r="L13384" s="28" t="s">
        <v>52</v>
      </c>
      <c r="M13384" s="25">
        <v>56560.959999999999</v>
      </c>
      <c r="N13384" s="27">
        <v>0.81730956072351424</v>
      </c>
    </row>
    <row r="13385" spans="1:14" hidden="1" outlineLevel="1" x14ac:dyDescent="0.2">
      <c r="A13385" s="23" t="str">
        <f t="shared" si="687"/>
        <v>ГБУЗ ЛО "ТОСНЕНСКАЯ КМБ"</v>
      </c>
      <c r="B13385" s="24" t="s">
        <v>15568</v>
      </c>
      <c r="C13385" s="25">
        <v>309600</v>
      </c>
      <c r="D13385" s="22" t="s">
        <v>15569</v>
      </c>
      <c r="E13385" s="22" t="s">
        <v>103</v>
      </c>
      <c r="F13385" s="23" t="str">
        <f t="shared" si="688"/>
        <v>Оказание услуг по техническому обслуживанию системы видеонаблюдения</v>
      </c>
      <c r="G13385" s="22" t="s">
        <v>861</v>
      </c>
      <c r="H13385" s="22" t="s">
        <v>11350</v>
      </c>
      <c r="I13385" s="26">
        <v>43524.715277777803</v>
      </c>
      <c r="J13385" s="23" t="str">
        <f>HYPERLINK("https://www.spark-marketing.ru/Card/Person/6293291", "Данвальд Наталья Викторовна")</f>
        <v>Данвальд Наталья Викторовна</v>
      </c>
      <c r="K13385" s="24" t="s">
        <v>10041</v>
      </c>
      <c r="L13385" s="28" t="s">
        <v>52</v>
      </c>
      <c r="M13385" s="25">
        <v>306504</v>
      </c>
      <c r="N13385" s="27">
        <v>0.01</v>
      </c>
    </row>
    <row r="13386" spans="1:14" hidden="1" outlineLevel="1" x14ac:dyDescent="0.2">
      <c r="A13386" s="23" t="str">
        <f t="shared" si="687"/>
        <v>ГБУЗ ЛО "ТОСНЕНСКАЯ КМБ"</v>
      </c>
      <c r="B13386" s="24" t="s">
        <v>15568</v>
      </c>
      <c r="C13386" s="25">
        <v>309600</v>
      </c>
      <c r="D13386" s="22" t="s">
        <v>15569</v>
      </c>
      <c r="E13386" s="22" t="s">
        <v>103</v>
      </c>
      <c r="F13386" s="23" t="str">
        <f t="shared" si="688"/>
        <v>Оказание услуг по техническому обслуживанию системы видеонаблюдения</v>
      </c>
      <c r="G13386" s="22" t="s">
        <v>861</v>
      </c>
      <c r="H13386" s="22" t="s">
        <v>11350</v>
      </c>
      <c r="I13386" s="26">
        <v>43524.715277777803</v>
      </c>
      <c r="J13386" s="23" t="str">
        <f>HYPERLINK("https://www.spark-marketing.ru/Card/Person/5893952", "ООО ""ВОКРУГ БЕЗОПАСНОСТИ""")</f>
        <v>ООО "ВОКРУГ БЕЗОПАСНОСТИ"</v>
      </c>
      <c r="K13386" s="24" t="s">
        <v>1368</v>
      </c>
      <c r="L13386" s="28" t="s">
        <v>52</v>
      </c>
      <c r="M13386" s="25">
        <v>126285.08</v>
      </c>
      <c r="N13386" s="27">
        <v>0.59210245478036172</v>
      </c>
    </row>
    <row r="13387" spans="1:14" hidden="1" outlineLevel="1" x14ac:dyDescent="0.2">
      <c r="A13387" s="23" t="str">
        <f t="shared" si="687"/>
        <v>ГБУЗ ЛО "ТОСНЕНСКАЯ КМБ"</v>
      </c>
      <c r="B13387" s="24" t="s">
        <v>15568</v>
      </c>
      <c r="C13387" s="25">
        <v>309600</v>
      </c>
      <c r="D13387" s="22" t="s">
        <v>15569</v>
      </c>
      <c r="E13387" s="22" t="s">
        <v>103</v>
      </c>
      <c r="F13387" s="23" t="str">
        <f t="shared" si="688"/>
        <v>Оказание услуг по техническому обслуживанию системы видеонаблюдения</v>
      </c>
      <c r="G13387" s="22" t="s">
        <v>861</v>
      </c>
      <c r="H13387" s="22" t="s">
        <v>11350</v>
      </c>
      <c r="I13387" s="26">
        <v>43524.715277777803</v>
      </c>
      <c r="J13387" s="23" t="str">
        <f>HYPERLINK("https://www.spark-marketing.ru/Card/Person/4883520", "Петров Георгий Владимирович")</f>
        <v>Петров Георгий Владимирович</v>
      </c>
      <c r="K13387" s="24" t="s">
        <v>15574</v>
      </c>
      <c r="L13387" s="28" t="s">
        <v>52</v>
      </c>
      <c r="M13387" s="25">
        <v>123711.19</v>
      </c>
      <c r="N13387" s="27">
        <v>0.60041605297157619</v>
      </c>
    </row>
    <row r="13388" spans="1:14" ht="12.75" hidden="1" outlineLevel="1" x14ac:dyDescent="0.2">
      <c r="A13388" s="23" t="str">
        <f t="shared" si="687"/>
        <v>ГБУЗ ЛО "ТОСНЕНСКАЯ КМБ"</v>
      </c>
      <c r="B13388" s="24" t="s">
        <v>15568</v>
      </c>
      <c r="C13388" s="25">
        <v>309600</v>
      </c>
      <c r="D13388" s="22" t="s">
        <v>15569</v>
      </c>
      <c r="E13388" s="22" t="s">
        <v>103</v>
      </c>
      <c r="F13388" s="23" t="str">
        <f t="shared" si="688"/>
        <v>Оказание услуг по техническому обслуживанию системы видеонаблюдения</v>
      </c>
      <c r="G13388" s="22" t="s">
        <v>861</v>
      </c>
      <c r="H13388" s="22" t="s">
        <v>11350</v>
      </c>
      <c r="I13388" s="26">
        <v>43524.715277777803</v>
      </c>
      <c r="J13388" s="23" t="str">
        <f>HYPERLINK("https://www.spark-marketing.ru/Card/Person/6453949", "Алексеев Кирилл Анатольевич")</f>
        <v>Алексеев Кирилл Анатольевич</v>
      </c>
      <c r="K13388" s="24" t="s">
        <v>15575</v>
      </c>
      <c r="L13388" s="22" t="s">
        <v>10</v>
      </c>
      <c r="M13388" s="25">
        <v>55012.959999999999</v>
      </c>
      <c r="N13388" s="27">
        <v>0.82230956072351424</v>
      </c>
    </row>
    <row r="13389" spans="1:14" hidden="1" outlineLevel="1" x14ac:dyDescent="0.2">
      <c r="A13389" s="23" t="str">
        <f t="shared" si="687"/>
        <v>ГБУЗ ЛО "ТОСНЕНСКАЯ КМБ"</v>
      </c>
      <c r="B13389" s="24" t="s">
        <v>15568</v>
      </c>
      <c r="C13389" s="25">
        <v>309600</v>
      </c>
      <c r="D13389" s="22" t="s">
        <v>15569</v>
      </c>
      <c r="E13389" s="22" t="s">
        <v>103</v>
      </c>
      <c r="F13389" s="23" t="str">
        <f t="shared" si="688"/>
        <v>Оказание услуг по техническому обслуживанию системы видеонаблюдения</v>
      </c>
      <c r="G13389" s="22" t="s">
        <v>861</v>
      </c>
      <c r="H13389" s="22" t="s">
        <v>11350</v>
      </c>
      <c r="I13389" s="26">
        <v>43524.715277777803</v>
      </c>
      <c r="J13389" s="23" t="str">
        <f>HYPERLINK("https://www.spark-marketing.ru/Card/Person/132600", "ООО ""АСПЕКТ""")</f>
        <v>ООО "АСПЕКТ"</v>
      </c>
      <c r="K13389" s="24" t="s">
        <v>10038</v>
      </c>
      <c r="L13389" s="28" t="s">
        <v>52</v>
      </c>
      <c r="M13389" s="25">
        <v>286654.21999999997</v>
      </c>
      <c r="N13389" s="27">
        <v>7.4114276485788111E-2</v>
      </c>
    </row>
    <row r="13390" spans="1:14" hidden="1" outlineLevel="1" x14ac:dyDescent="0.2">
      <c r="A13390" s="23" t="str">
        <f t="shared" si="687"/>
        <v>ГБУЗ ЛО "ТОСНЕНСКАЯ КМБ"</v>
      </c>
      <c r="B13390" s="24" t="s">
        <v>15568</v>
      </c>
      <c r="C13390" s="25">
        <v>309600</v>
      </c>
      <c r="D13390" s="22" t="s">
        <v>15569</v>
      </c>
      <c r="E13390" s="22" t="s">
        <v>103</v>
      </c>
      <c r="F13390" s="23" t="str">
        <f t="shared" si="688"/>
        <v>Оказание услуг по техническому обслуживанию системы видеонаблюдения</v>
      </c>
      <c r="G13390" s="22" t="s">
        <v>861</v>
      </c>
      <c r="H13390" s="22" t="s">
        <v>11350</v>
      </c>
      <c r="I13390" s="26">
        <v>43524.715277777803</v>
      </c>
      <c r="J13390" s="23" t="str">
        <f>HYPERLINK("https://www.spark-marketing.ru/Card/Person/6264257", "ООО ""СИНИЦА""")</f>
        <v>ООО "СИНИЦА"</v>
      </c>
      <c r="K13390" s="24" t="s">
        <v>13340</v>
      </c>
      <c r="L13390" s="28" t="s">
        <v>52</v>
      </c>
      <c r="M13390" s="25">
        <v>211049.53</v>
      </c>
      <c r="N13390" s="27">
        <v>0.31831547157622742</v>
      </c>
    </row>
    <row r="13391" spans="1:14" ht="12.75" x14ac:dyDescent="0.2">
      <c r="A13391" s="23" t="str">
        <f>HYPERLINK("https://www.spark-marketing.ru/Card/Person/583746", "ФГБОУ ВО ""ЧЕЧЕНСКИЙ ГОСУДАРСТВЕННЫЙ УНИВЕРСИТЕТ""")</f>
        <v>ФГБОУ ВО "ЧЕЧЕНСКИЙ ГОСУДАРСТВЕННЫЙ УНИВЕРСИТЕТ"</v>
      </c>
      <c r="B13391" s="24" t="s">
        <v>15576</v>
      </c>
      <c r="C13391" s="25">
        <v>9927076.3399999999</v>
      </c>
      <c r="D13391" s="22" t="s">
        <v>15577</v>
      </c>
      <c r="E13391" s="22" t="s">
        <v>144</v>
      </c>
      <c r="F13391" s="23" t="str">
        <f>HYPERLINK("https://www.spark-marketing.ru/Card/Lot/68377870", "Оказание услуги по охране объектов ФГБОУ ВО «Чеченский государственный университет»")</f>
        <v>Оказание услуги по охране объектов ФГБОУ ВО «Чеченский государственный университет»</v>
      </c>
      <c r="G13391" s="22" t="s">
        <v>724</v>
      </c>
      <c r="H13391" s="22" t="s">
        <v>724</v>
      </c>
      <c r="I13391" s="26">
        <v>43524.710520833301</v>
      </c>
      <c r="J13391" s="23" t="str">
        <f>HYPERLINK("https://www.spark-marketing.ru/Card/Person/1784074", "ФГКУ ""УВО ВНГ РОССИИ ПО ЧЕЧЕНСКОЙ РЕСПУБЛИКЕ""")</f>
        <v>ФГКУ "УВО ВНГ РОССИИ ПО ЧЕЧЕНСКОЙ РЕСПУБЛИКЕ"</v>
      </c>
      <c r="K13391" s="24" t="s">
        <v>1617</v>
      </c>
      <c r="L13391" s="22" t="s">
        <v>10</v>
      </c>
      <c r="M13391" s="25">
        <v>9927076.2899999991</v>
      </c>
      <c r="N13391" s="27">
        <v>5.0367296762422195E-9</v>
      </c>
    </row>
    <row r="13392" spans="1:14" x14ac:dyDescent="0.15">
      <c r="A13392" s="23" t="str">
        <f>HYPERLINK("https://www.spark-marketing.ru/Card/Person/112904", "МОУ СОШ №3 Г. ТАЛДОМА")</f>
        <v>МОУ СОШ №3 Г. ТАЛДОМА</v>
      </c>
      <c r="B13392" s="24" t="s">
        <v>7850</v>
      </c>
      <c r="C13392" s="25">
        <v>54050</v>
      </c>
      <c r="D13392" s="22" t="s">
        <v>15578</v>
      </c>
      <c r="E13392" s="22" t="s">
        <v>84</v>
      </c>
      <c r="F13392" s="23" t="str">
        <f>HYPERLINK("https://www.spark-marketing.ru/Card/Lot/68537781", "Установка домофона и камеры видеонаблюдения для нужд МОУ СОШ №3 г.Талдома")</f>
        <v>Установка домофона и камеры видеонаблюдения для нужд МОУ СОШ №3 г.Талдома</v>
      </c>
      <c r="G13392" s="22" t="s">
        <v>50</v>
      </c>
      <c r="H13392" s="22" t="s">
        <v>50</v>
      </c>
      <c r="I13392" s="26">
        <v>43524.722037036998</v>
      </c>
      <c r="J13392" s="28" t="s">
        <v>52</v>
      </c>
      <c r="K13392" s="28" t="s">
        <v>52</v>
      </c>
      <c r="L13392" s="28" t="s">
        <v>52</v>
      </c>
      <c r="M13392" s="28" t="s">
        <v>52</v>
      </c>
      <c r="N13392" s="28" t="s">
        <v>52</v>
      </c>
    </row>
    <row r="13393" spans="1:14" x14ac:dyDescent="0.15">
      <c r="A13393" s="23" t="str">
        <f>HYPERLINK("https://www.spark-marketing.ru/Card/Person/55899", "ГБУЗ ""УСТЬ-ЛАБИНСКАЯ ЦРБ"" МЗ КК")</f>
        <v>ГБУЗ "УСТЬ-ЛАБИНСКАЯ ЦРБ" МЗ КК</v>
      </c>
      <c r="B13393" s="24" t="s">
        <v>15579</v>
      </c>
      <c r="C13393" s="25">
        <v>236782.8</v>
      </c>
      <c r="D13393" s="22" t="s">
        <v>15580</v>
      </c>
      <c r="E13393" s="22" t="s">
        <v>68</v>
      </c>
      <c r="F13393" s="23" t="str">
        <f>HYPERLINK("https://www.spark-marketing.ru/Card/Lot/68381402", "Оказание охранных услуг")</f>
        <v>Оказание охранных услуг</v>
      </c>
      <c r="G13393" s="22" t="s">
        <v>132</v>
      </c>
      <c r="H13393" s="22" t="s">
        <v>3810</v>
      </c>
      <c r="I13393" s="26">
        <v>43524.711111111101</v>
      </c>
      <c r="J13393" s="28" t="s">
        <v>52</v>
      </c>
      <c r="K13393" s="28" t="s">
        <v>52</v>
      </c>
      <c r="L13393" s="28" t="s">
        <v>52</v>
      </c>
      <c r="M13393" s="28" t="s">
        <v>52</v>
      </c>
      <c r="N13393" s="28" t="s">
        <v>52</v>
      </c>
    </row>
    <row r="13394" spans="1:14" x14ac:dyDescent="0.15">
      <c r="A13394" s="23" t="str">
        <f>HYPERLINK("https://www.spark-marketing.ru/Card/Person/19126", "АДМИНИСТРАЦИЯ ПОСЕЛЕНИЯ МАРУШКИНСКОЕ")</f>
        <v>АДМИНИСТРАЦИЯ ПОСЕЛЕНИЯ МАРУШКИНСКОЕ</v>
      </c>
      <c r="B13394" s="24" t="s">
        <v>15581</v>
      </c>
      <c r="C13394" s="25">
        <v>6568960</v>
      </c>
      <c r="D13394" s="22" t="s">
        <v>15582</v>
      </c>
      <c r="E13394" s="22" t="s">
        <v>208</v>
      </c>
      <c r="F13394" s="23" t="str">
        <f>HYPERLINK("https://www.spark-marketing.ru/Card/Lot/68384065", "Выполнение работ по установке  системы видеонаблюдения на территории поселения Марушкинское (среди субъектов малого предпринимательства или социально ориентированных некоммерческих организаций)")</f>
        <v>Выполнение работ по установке  системы видеонаблюдения на территории поселения Марушкинское (среди субъектов малого предпринимательства или социально ориентированных некоммерческих организаций)</v>
      </c>
      <c r="G13394" s="22" t="s">
        <v>55</v>
      </c>
      <c r="H13394" s="22" t="s">
        <v>55</v>
      </c>
      <c r="I13394" s="26">
        <v>43524.733333333301</v>
      </c>
      <c r="J13394" s="23" t="str">
        <f>HYPERLINK("https://www.spark-marketing.ru/Card/Person/5791294", "ООО ""К-ОПТИК""")</f>
        <v>ООО "К-ОПТИК"</v>
      </c>
      <c r="K13394" s="24" t="s">
        <v>5738</v>
      </c>
      <c r="L13394" s="22" t="s">
        <v>10</v>
      </c>
      <c r="M13394" s="28" t="s">
        <v>52</v>
      </c>
      <c r="N13394" s="28" t="s">
        <v>52</v>
      </c>
    </row>
    <row r="13395" spans="1:14" x14ac:dyDescent="0.15">
      <c r="A13395" s="23" t="str">
        <f>HYPERLINK("https://www.spark-marketing.ru/Card/Person/641791", "УПФР В Г. КРАСНОКАМЕНСКЕ ЗАБАЙКАЛЬСКОГО КРАЯ (МЕЖРАЙОННОЕ)")</f>
        <v>УПФР В Г. КРАСНОКАМЕНСКЕ ЗАБАЙКАЛЬСКОГО КРАЯ (МЕЖРАЙОННОЕ)</v>
      </c>
      <c r="B13395" s="24" t="s">
        <v>11329</v>
      </c>
      <c r="C13395" s="25">
        <v>4800</v>
      </c>
      <c r="D13395" s="22" t="s">
        <v>15583</v>
      </c>
      <c r="E13395" s="22" t="s">
        <v>234</v>
      </c>
      <c r="F13395" s="23" t="str">
        <f>HYPERLINK("https://www.spark-marketing.ru/Card/Lot/68365856", "Оказание услуг по техническому обслуживанию систем видеонаблюдения в здании УПФР в г. Краснокаменске Забайкальского края  (межрайонное)")</f>
        <v>Оказание услуг по техническому обслуживанию систем видеонаблюдения в здании УПФР в г. Краснокаменске Забайкальского края  (межрайонное)</v>
      </c>
      <c r="G13395" s="22" t="s">
        <v>473</v>
      </c>
      <c r="H13395" s="22" t="s">
        <v>473</v>
      </c>
      <c r="I13395" s="26">
        <v>43524.733333333301</v>
      </c>
      <c r="J13395" s="28" t="s">
        <v>52</v>
      </c>
      <c r="K13395" s="28" t="s">
        <v>52</v>
      </c>
      <c r="L13395" s="28" t="s">
        <v>52</v>
      </c>
      <c r="M13395" s="28" t="s">
        <v>52</v>
      </c>
      <c r="N13395" s="28" t="s">
        <v>52</v>
      </c>
    </row>
    <row r="13396" spans="1:14" x14ac:dyDescent="0.15">
      <c r="A13396" s="23" t="str">
        <f>HYPERLINK("https://www.spark-marketing.ru/Card/Person/90543", "АДМИНИСТРАЦИЯ ТОРОПЕЦКОГО РАЙОНА")</f>
        <v>АДМИНИСТРАЦИЯ ТОРОПЕЦКОГО РАЙОНА</v>
      </c>
      <c r="B13396" s="24" t="s">
        <v>4352</v>
      </c>
      <c r="C13396" s="25">
        <v>310900</v>
      </c>
      <c r="D13396" s="22" t="s">
        <v>15584</v>
      </c>
      <c r="E13396" s="22" t="s">
        <v>68</v>
      </c>
      <c r="F13396" s="23" t="str">
        <f>HYPERLINK("https://www.spark-marketing.ru/Card/Lot/68384717", "Оказание услуг по предупреждению и ликвидации болезней животных, их лечению, отлову и содержанию безнадзорных животных, защите населения от болезней, общих для человека и животных на территории Торопецкого района")</f>
        <v>Оказание услуг по предупреждению и ликвидации болезней животных, их лечению, отлову и содержанию безнадзорных животных, защите населения от болезней, общих для человека и животных на территории Торопецкого района</v>
      </c>
      <c r="G13396" s="22" t="s">
        <v>251</v>
      </c>
      <c r="H13396" s="22" t="s">
        <v>251</v>
      </c>
      <c r="I13396" s="26">
        <v>43524.744444444397</v>
      </c>
      <c r="J13396" s="28" t="s">
        <v>52</v>
      </c>
      <c r="K13396" s="28" t="s">
        <v>52</v>
      </c>
      <c r="L13396" s="28" t="s">
        <v>52</v>
      </c>
      <c r="M13396" s="28" t="s">
        <v>52</v>
      </c>
      <c r="N13396" s="28" t="s">
        <v>52</v>
      </c>
    </row>
    <row r="13397" spans="1:14" x14ac:dyDescent="0.15">
      <c r="A13397" s="23" t="str">
        <f t="shared" ref="A13397:A13407" si="689">HYPERLINK("https://www.spark-marketing.ru/Card/Person/13700", "СПБ ГБУЗ ""ГОРОДСКАЯ ПОЛИКЛИНИКА № 100 НЕВСКОГО РАЙОНА САНКТ-ПЕТЕРБУРГА""")</f>
        <v>СПБ ГБУЗ "ГОРОДСКАЯ ПОЛИКЛИНИКА № 100 НЕВСКОГО РАЙОНА САНКТ-ПЕТЕРБУРГА"</v>
      </c>
      <c r="B13397" s="24" t="s">
        <v>15585</v>
      </c>
      <c r="C13397" s="25">
        <v>2450747.1800000002</v>
      </c>
      <c r="D13397" s="22" t="s">
        <v>15586</v>
      </c>
      <c r="E13397" s="22" t="s">
        <v>59</v>
      </c>
      <c r="F13397" s="23" t="str">
        <f t="shared" ref="F13397:F13407" si="690">HYPERLINK("https://www.spark-marketing.ru/Card/Lot/68383371", "Установка системы видеонаблюдения по адресу: Искровский пр., д.10")</f>
        <v>Установка системы видеонаблюдения по адресу: Искровский пр., д.10</v>
      </c>
      <c r="G13397" s="22" t="s">
        <v>89</v>
      </c>
      <c r="H13397" s="22" t="s">
        <v>89</v>
      </c>
      <c r="I13397" s="26">
        <v>43524.721527777801</v>
      </c>
      <c r="J13397" s="28" t="s">
        <v>52</v>
      </c>
      <c r="K13397" s="28" t="s">
        <v>52</v>
      </c>
      <c r="L13397" s="28" t="s">
        <v>52</v>
      </c>
      <c r="M13397" s="28" t="s">
        <v>52</v>
      </c>
      <c r="N13397" s="28" t="s">
        <v>52</v>
      </c>
    </row>
    <row r="13398" spans="1:14" hidden="1" outlineLevel="1" x14ac:dyDescent="0.2">
      <c r="A13398" s="23" t="str">
        <f t="shared" si="689"/>
        <v>СПБ ГБУЗ "ГОРОДСКАЯ ПОЛИКЛИНИКА № 100 НЕВСКОГО РАЙОНА САНКТ-ПЕТЕРБУРГА"</v>
      </c>
      <c r="B13398" s="24" t="s">
        <v>15585</v>
      </c>
      <c r="C13398" s="25">
        <v>2450747.1800000002</v>
      </c>
      <c r="D13398" s="22" t="s">
        <v>15586</v>
      </c>
      <c r="E13398" s="22" t="s">
        <v>59</v>
      </c>
      <c r="F13398" s="23" t="str">
        <f t="shared" si="690"/>
        <v>Установка системы видеонаблюдения по адресу: Искровский пр., д.10</v>
      </c>
      <c r="G13398" s="22" t="s">
        <v>89</v>
      </c>
      <c r="H13398" s="22" t="s">
        <v>89</v>
      </c>
      <c r="I13398" s="26">
        <v>43524.721527777801</v>
      </c>
      <c r="J13398" s="23" t="str">
        <f>HYPERLINK("https://www.spark-marketing.ru/Card/Person/450990", "ООО ""СЕЙГАЛ""")</f>
        <v>ООО "СЕЙГАЛ"</v>
      </c>
      <c r="K13398" s="24" t="s">
        <v>11235</v>
      </c>
      <c r="L13398" s="28" t="s">
        <v>52</v>
      </c>
      <c r="M13398" s="25">
        <v>2242433.64</v>
      </c>
      <c r="N13398" s="27">
        <v>8.5000012118753104E-2</v>
      </c>
    </row>
    <row r="13399" spans="1:14" hidden="1" outlineLevel="1" x14ac:dyDescent="0.2">
      <c r="A13399" s="23" t="str">
        <f t="shared" si="689"/>
        <v>СПБ ГБУЗ "ГОРОДСКАЯ ПОЛИКЛИНИКА № 100 НЕВСКОГО РАЙОНА САНКТ-ПЕТЕРБУРГА"</v>
      </c>
      <c r="B13399" s="24" t="s">
        <v>15585</v>
      </c>
      <c r="C13399" s="25">
        <v>2450747.1800000002</v>
      </c>
      <c r="D13399" s="22" t="s">
        <v>15586</v>
      </c>
      <c r="E13399" s="22" t="s">
        <v>59</v>
      </c>
      <c r="F13399" s="23" t="str">
        <f t="shared" si="690"/>
        <v>Установка системы видеонаблюдения по адресу: Искровский пр., д.10</v>
      </c>
      <c r="G13399" s="22" t="s">
        <v>89</v>
      </c>
      <c r="H13399" s="22" t="s">
        <v>89</v>
      </c>
      <c r="I13399" s="26">
        <v>43524.721527777801</v>
      </c>
      <c r="J13399" s="23" t="str">
        <f>HYPERLINK("https://www.spark-marketing.ru/Card/Person/4259767", "ООО ""ИНТЕРКОМ""")</f>
        <v>ООО "ИНТЕРКОМ"</v>
      </c>
      <c r="K13399" s="24" t="s">
        <v>15587</v>
      </c>
      <c r="L13399" s="28" t="s">
        <v>52</v>
      </c>
      <c r="M13399" s="25">
        <v>2230179.9</v>
      </c>
      <c r="N13399" s="27">
        <v>9.0000013791712283E-2</v>
      </c>
    </row>
    <row r="13400" spans="1:14" hidden="1" outlineLevel="1" x14ac:dyDescent="0.2">
      <c r="A13400" s="23" t="str">
        <f t="shared" si="689"/>
        <v>СПБ ГБУЗ "ГОРОДСКАЯ ПОЛИКЛИНИКА № 100 НЕВСКОГО РАЙОНА САНКТ-ПЕТЕРБУРГА"</v>
      </c>
      <c r="B13400" s="24" t="s">
        <v>15585</v>
      </c>
      <c r="C13400" s="25">
        <v>2450747.1800000002</v>
      </c>
      <c r="D13400" s="22" t="s">
        <v>15586</v>
      </c>
      <c r="E13400" s="22" t="s">
        <v>59</v>
      </c>
      <c r="F13400" s="23" t="str">
        <f t="shared" si="690"/>
        <v>Установка системы видеонаблюдения по адресу: Искровский пр., д.10</v>
      </c>
      <c r="G13400" s="22" t="s">
        <v>89</v>
      </c>
      <c r="H13400" s="22" t="s">
        <v>89</v>
      </c>
      <c r="I13400" s="26">
        <v>43524.721527777801</v>
      </c>
      <c r="J13400" s="23" t="str">
        <f>HYPERLINK("https://www.spark-marketing.ru/Card/Person/2156878", "ООО ""КОМПА""")</f>
        <v>ООО "КОМПА"</v>
      </c>
      <c r="K13400" s="24" t="s">
        <v>15588</v>
      </c>
      <c r="L13400" s="28" t="s">
        <v>52</v>
      </c>
      <c r="M13400" s="25">
        <v>1476393.84</v>
      </c>
      <c r="N13400" s="27">
        <v>0.39757399210799049</v>
      </c>
    </row>
    <row r="13401" spans="1:14" hidden="1" outlineLevel="1" x14ac:dyDescent="0.2">
      <c r="A13401" s="23" t="str">
        <f t="shared" si="689"/>
        <v>СПБ ГБУЗ "ГОРОДСКАЯ ПОЛИКЛИНИКА № 100 НЕВСКОГО РАЙОНА САНКТ-ПЕТЕРБУРГА"</v>
      </c>
      <c r="B13401" s="24" t="s">
        <v>15585</v>
      </c>
      <c r="C13401" s="25">
        <v>2450747.1800000002</v>
      </c>
      <c r="D13401" s="22" t="s">
        <v>15586</v>
      </c>
      <c r="E13401" s="22" t="s">
        <v>59</v>
      </c>
      <c r="F13401" s="23" t="str">
        <f t="shared" si="690"/>
        <v>Установка системы видеонаблюдения по адресу: Искровский пр., д.10</v>
      </c>
      <c r="G13401" s="22" t="s">
        <v>89</v>
      </c>
      <c r="H13401" s="22" t="s">
        <v>89</v>
      </c>
      <c r="I13401" s="26">
        <v>43524.721527777801</v>
      </c>
      <c r="J13401" s="23" t="str">
        <f>HYPERLINK("https://www.spark-marketing.ru/Card/Person/4881995", "ООО ""ЛУЧ""")</f>
        <v>ООО "ЛУЧ"</v>
      </c>
      <c r="K13401" s="24" t="s">
        <v>15589</v>
      </c>
      <c r="L13401" s="28" t="s">
        <v>52</v>
      </c>
      <c r="M13401" s="25">
        <v>2192766.15</v>
      </c>
      <c r="N13401" s="27">
        <v>0.10526627638514716</v>
      </c>
    </row>
    <row r="13402" spans="1:14" hidden="1" outlineLevel="1" x14ac:dyDescent="0.2">
      <c r="A13402" s="23" t="str">
        <f t="shared" si="689"/>
        <v>СПБ ГБУЗ "ГОРОДСКАЯ ПОЛИКЛИНИКА № 100 НЕВСКОГО РАЙОНА САНКТ-ПЕТЕРБУРГА"</v>
      </c>
      <c r="B13402" s="24" t="s">
        <v>15585</v>
      </c>
      <c r="C13402" s="25">
        <v>2450747.1800000002</v>
      </c>
      <c r="D13402" s="22" t="s">
        <v>15586</v>
      </c>
      <c r="E13402" s="22" t="s">
        <v>59</v>
      </c>
      <c r="F13402" s="23" t="str">
        <f t="shared" si="690"/>
        <v>Установка системы видеонаблюдения по адресу: Искровский пр., д.10</v>
      </c>
      <c r="G13402" s="22" t="s">
        <v>89</v>
      </c>
      <c r="H13402" s="22" t="s">
        <v>89</v>
      </c>
      <c r="I13402" s="26">
        <v>43524.721527777801</v>
      </c>
      <c r="J13402" s="23" t="str">
        <f>HYPERLINK("https://www.spark-marketing.ru/Card/Person/92529", "ООО ""МТ-КОМ""")</f>
        <v>ООО "МТ-КОМ"</v>
      </c>
      <c r="K13402" s="24" t="s">
        <v>14792</v>
      </c>
      <c r="L13402" s="28" t="s">
        <v>52</v>
      </c>
      <c r="M13402" s="25">
        <v>2205672.46</v>
      </c>
      <c r="N13402" s="27">
        <v>0.10000000081607766</v>
      </c>
    </row>
    <row r="13403" spans="1:14" hidden="1" outlineLevel="1" x14ac:dyDescent="0.2">
      <c r="A13403" s="23" t="str">
        <f t="shared" si="689"/>
        <v>СПБ ГБУЗ "ГОРОДСКАЯ ПОЛИКЛИНИКА № 100 НЕВСКОГО РАЙОНА САНКТ-ПЕТЕРБУРГА"</v>
      </c>
      <c r="B13403" s="24" t="s">
        <v>15585</v>
      </c>
      <c r="C13403" s="25">
        <v>2450747.1800000002</v>
      </c>
      <c r="D13403" s="22" t="s">
        <v>15586</v>
      </c>
      <c r="E13403" s="22" t="s">
        <v>59</v>
      </c>
      <c r="F13403" s="23" t="str">
        <f t="shared" si="690"/>
        <v>Установка системы видеонаблюдения по адресу: Искровский пр., д.10</v>
      </c>
      <c r="G13403" s="22" t="s">
        <v>89</v>
      </c>
      <c r="H13403" s="22" t="s">
        <v>89</v>
      </c>
      <c r="I13403" s="26">
        <v>43524.721527777801</v>
      </c>
      <c r="J13403" s="23" t="str">
        <f>HYPERLINK("https://www.spark-marketing.ru/Card/Person/1548969", "ООО ""ОМЕГА""")</f>
        <v>ООО "ОМЕГА"</v>
      </c>
      <c r="K13403" s="24" t="s">
        <v>1352</v>
      </c>
      <c r="L13403" s="28" t="s">
        <v>52</v>
      </c>
      <c r="M13403" s="25">
        <v>1439632.62</v>
      </c>
      <c r="N13403" s="27">
        <v>0.41257399712686804</v>
      </c>
    </row>
    <row r="13404" spans="1:14" hidden="1" outlineLevel="1" x14ac:dyDescent="0.2">
      <c r="A13404" s="23" t="str">
        <f t="shared" si="689"/>
        <v>СПБ ГБУЗ "ГОРОДСКАЯ ПОЛИКЛИНИКА № 100 НЕВСКОГО РАЙОНА САНКТ-ПЕТЕРБУРГА"</v>
      </c>
      <c r="B13404" s="24" t="s">
        <v>15585</v>
      </c>
      <c r="C13404" s="25">
        <v>2450747.1800000002</v>
      </c>
      <c r="D13404" s="22" t="s">
        <v>15586</v>
      </c>
      <c r="E13404" s="22" t="s">
        <v>59</v>
      </c>
      <c r="F13404" s="23" t="str">
        <f t="shared" si="690"/>
        <v>Установка системы видеонаблюдения по адресу: Искровский пр., д.10</v>
      </c>
      <c r="G13404" s="22" t="s">
        <v>89</v>
      </c>
      <c r="H13404" s="22" t="s">
        <v>89</v>
      </c>
      <c r="I13404" s="26">
        <v>43524.721527777801</v>
      </c>
      <c r="J13404" s="23" t="str">
        <f>HYPERLINK("https://www.spark-marketing.ru/Card/Person/6044412", "ООО ""КСБ АМАТЕК""")</f>
        <v>ООО "КСБ АМАТЕК"</v>
      </c>
      <c r="K13404" s="24" t="s">
        <v>15590</v>
      </c>
      <c r="L13404" s="28" t="s">
        <v>52</v>
      </c>
      <c r="M13404" s="25">
        <v>2230179.9</v>
      </c>
      <c r="N13404" s="27">
        <v>9.0000013791712283E-2</v>
      </c>
    </row>
    <row r="13405" spans="1:14" hidden="1" outlineLevel="1" x14ac:dyDescent="0.2">
      <c r="A13405" s="23" t="str">
        <f t="shared" si="689"/>
        <v>СПБ ГБУЗ "ГОРОДСКАЯ ПОЛИКЛИНИКА № 100 НЕВСКОГО РАЙОНА САНКТ-ПЕТЕРБУРГА"</v>
      </c>
      <c r="B13405" s="24" t="s">
        <v>15585</v>
      </c>
      <c r="C13405" s="25">
        <v>2450747.1800000002</v>
      </c>
      <c r="D13405" s="22" t="s">
        <v>15586</v>
      </c>
      <c r="E13405" s="22" t="s">
        <v>59</v>
      </c>
      <c r="F13405" s="23" t="str">
        <f t="shared" si="690"/>
        <v>Установка системы видеонаблюдения по адресу: Искровский пр., д.10</v>
      </c>
      <c r="G13405" s="22" t="s">
        <v>89</v>
      </c>
      <c r="H13405" s="22" t="s">
        <v>89</v>
      </c>
      <c r="I13405" s="26">
        <v>43524.721527777801</v>
      </c>
      <c r="J13405" s="23" t="str">
        <f>HYPERLINK("https://www.spark-marketing.ru/Card/Person/2576628", "ООО ""АЛЬТЕРА""")</f>
        <v>ООО "АЛЬТЕРА"</v>
      </c>
      <c r="K13405" s="24" t="s">
        <v>1718</v>
      </c>
      <c r="L13405" s="28" t="s">
        <v>52</v>
      </c>
      <c r="M13405" s="25">
        <v>2100000</v>
      </c>
      <c r="N13405" s="27">
        <v>0.14311846724230445</v>
      </c>
    </row>
    <row r="13406" spans="1:14" hidden="1" outlineLevel="1" x14ac:dyDescent="0.2">
      <c r="A13406" s="23" t="str">
        <f t="shared" si="689"/>
        <v>СПБ ГБУЗ "ГОРОДСКАЯ ПОЛИКЛИНИКА № 100 НЕВСКОГО РАЙОНА САНКТ-ПЕТЕРБУРГА"</v>
      </c>
      <c r="B13406" s="24" t="s">
        <v>15585</v>
      </c>
      <c r="C13406" s="25">
        <v>2450747.1800000002</v>
      </c>
      <c r="D13406" s="22" t="s">
        <v>15586</v>
      </c>
      <c r="E13406" s="22" t="s">
        <v>59</v>
      </c>
      <c r="F13406" s="23" t="str">
        <f t="shared" si="690"/>
        <v>Установка системы видеонаблюдения по адресу: Искровский пр., д.10</v>
      </c>
      <c r="G13406" s="22" t="s">
        <v>89</v>
      </c>
      <c r="H13406" s="22" t="s">
        <v>89</v>
      </c>
      <c r="I13406" s="26">
        <v>43524.721527777801</v>
      </c>
      <c r="J13406" s="23" t="str">
        <f>HYPERLINK("https://www.spark-marketing.ru/Card/Person/888873", "ООО ""МИКРОН""")</f>
        <v>ООО "МИКРОН"</v>
      </c>
      <c r="K13406" s="24" t="s">
        <v>14875</v>
      </c>
      <c r="L13406" s="28" t="s">
        <v>52</v>
      </c>
      <c r="M13406" s="25">
        <v>2303702.34</v>
      </c>
      <c r="N13406" s="27">
        <v>6.0000003753957191E-2</v>
      </c>
    </row>
    <row r="13407" spans="1:14" ht="12.75" hidden="1" outlineLevel="1" x14ac:dyDescent="0.2">
      <c r="A13407" s="23" t="str">
        <f t="shared" si="689"/>
        <v>СПБ ГБУЗ "ГОРОДСКАЯ ПОЛИКЛИНИКА № 100 НЕВСКОГО РАЙОНА САНКТ-ПЕТЕРБУРГА"</v>
      </c>
      <c r="B13407" s="24" t="s">
        <v>15585</v>
      </c>
      <c r="C13407" s="25">
        <v>2450747.1800000002</v>
      </c>
      <c r="D13407" s="22" t="s">
        <v>15586</v>
      </c>
      <c r="E13407" s="22" t="s">
        <v>59</v>
      </c>
      <c r="F13407" s="23" t="str">
        <f t="shared" si="690"/>
        <v>Установка системы видеонаблюдения по адресу: Искровский пр., д.10</v>
      </c>
      <c r="G13407" s="22" t="s">
        <v>89</v>
      </c>
      <c r="H13407" s="22" t="s">
        <v>89</v>
      </c>
      <c r="I13407" s="26">
        <v>43524.721527777801</v>
      </c>
      <c r="J13407" s="23" t="str">
        <f>HYPERLINK("https://www.spark-marketing.ru/Card/Person/6410700", "Бадаев Олег Валерьевич")</f>
        <v>Бадаев Олег Валерьевич</v>
      </c>
      <c r="K13407" s="24" t="s">
        <v>11582</v>
      </c>
      <c r="L13407" s="22" t="s">
        <v>10</v>
      </c>
      <c r="M13407" s="25">
        <v>1427378.88</v>
      </c>
      <c r="N13407" s="27">
        <v>0.41757399879982726</v>
      </c>
    </row>
    <row r="13408" spans="1:14" x14ac:dyDescent="0.15">
      <c r="A13408" s="23" t="str">
        <f>HYPERLINK("https://www.spark-marketing.ru/Card/Person/641791", "УПФР В Г. КРАСНОКАМЕНСКЕ ЗАБАЙКАЛЬСКОГО КРАЯ (МЕЖРАЙОННОЕ)")</f>
        <v>УПФР В Г. КРАСНОКАМЕНСКЕ ЗАБАЙКАЛЬСКОГО КРАЯ (МЕЖРАЙОННОЕ)</v>
      </c>
      <c r="B13408" s="24" t="s">
        <v>11329</v>
      </c>
      <c r="C13408" s="25">
        <v>4800</v>
      </c>
      <c r="D13408" s="22" t="s">
        <v>15591</v>
      </c>
      <c r="E13408" s="22" t="s">
        <v>234</v>
      </c>
      <c r="F13408" s="23" t="str">
        <f>HYPERLINK("https://www.spark-marketing.ru/Card/Lot/68365858", "Оказание услуг по техническому обслуживанию систем видеонаблюдения в здании Клиентской службы) (на правах отдела) (в г. Борзя и Борзинском районе)")</f>
        <v>Оказание услуг по техническому обслуживанию систем видеонаблюдения в здании Клиентской службы) (на правах отдела) (в г. Борзя и Борзинском районе)</v>
      </c>
      <c r="G13408" s="22" t="s">
        <v>473</v>
      </c>
      <c r="H13408" s="22" t="s">
        <v>473</v>
      </c>
      <c r="I13408" s="26">
        <v>43524.732638888898</v>
      </c>
      <c r="J13408" s="23" t="str">
        <f>HYPERLINK("https://www.spark-marketing.ru/Card/Person/661736", "ООО ЧОП ""ЛИДЕР""")</f>
        <v>ООО ЧОП "ЛИДЕР"</v>
      </c>
      <c r="K13408" s="24" t="s">
        <v>15592</v>
      </c>
      <c r="L13408" s="22" t="s">
        <v>10</v>
      </c>
      <c r="M13408" s="28" t="s">
        <v>52</v>
      </c>
      <c r="N13408" s="28" t="s">
        <v>52</v>
      </c>
    </row>
    <row r="13409" spans="1:14" x14ac:dyDescent="0.15">
      <c r="A13409" s="23" t="str">
        <f>HYPERLINK("https://www.spark-marketing.ru/Card/Person/641791", "УПФР В Г. КРАСНОКАМЕНСКЕ ЗАБАЙКАЛЬСКОГО КРАЯ (МЕЖРАЙОННОЕ)")</f>
        <v>УПФР В Г. КРАСНОКАМЕНСКЕ ЗАБАЙКАЛЬСКОГО КРАЯ (МЕЖРАЙОННОЕ)</v>
      </c>
      <c r="B13409" s="24" t="s">
        <v>11329</v>
      </c>
      <c r="C13409" s="25">
        <v>4800</v>
      </c>
      <c r="D13409" s="22" t="s">
        <v>15593</v>
      </c>
      <c r="E13409" s="22" t="s">
        <v>234</v>
      </c>
      <c r="F13409" s="23" t="str">
        <f>HYPERLINK("https://www.spark-marketing.ru/Card/Lot/68365855", "Оказание услуг по техническому обслуживанию систем видеонаблюдения в здании Клиентской службы (на правах отдела) (в Приаргунском районе)")</f>
        <v>Оказание услуг по техническому обслуживанию систем видеонаблюдения в здании Клиентской службы (на правах отдела) (в Приаргунском районе)</v>
      </c>
      <c r="G13409" s="22" t="s">
        <v>473</v>
      </c>
      <c r="H13409" s="22" t="s">
        <v>473</v>
      </c>
      <c r="I13409" s="26">
        <v>43524.729166666701</v>
      </c>
      <c r="J13409" s="28" t="s">
        <v>52</v>
      </c>
      <c r="K13409" s="28" t="s">
        <v>52</v>
      </c>
      <c r="L13409" s="28" t="s">
        <v>52</v>
      </c>
      <c r="M13409" s="28" t="s">
        <v>52</v>
      </c>
      <c r="N13409" s="28" t="s">
        <v>52</v>
      </c>
    </row>
    <row r="13410" spans="1:14" x14ac:dyDescent="0.2">
      <c r="A13410" s="23" t="str">
        <f>HYPERLINK("https://www.spark-marketing.ru/Card/Person/359675", "МУП ВКХ ""ВОДОКАНАЛ""")</f>
        <v>МУП ВКХ "ВОДОКАНАЛ"</v>
      </c>
      <c r="B13410" s="24" t="s">
        <v>15594</v>
      </c>
      <c r="C13410" s="25">
        <v>380884.8</v>
      </c>
      <c r="D13410" s="22" t="s">
        <v>15595</v>
      </c>
      <c r="E13410" s="22" t="s">
        <v>144</v>
      </c>
      <c r="F13410" s="23" t="str">
        <f>HYPERLINK("https://www.spark-marketing.ru/Card/Lot/68381991", "Оказание охранных услуг")</f>
        <v>Оказание охранных услуг</v>
      </c>
      <c r="G13410" s="22" t="s">
        <v>50</v>
      </c>
      <c r="H13410" s="22" t="s">
        <v>9386</v>
      </c>
      <c r="I13410" s="26">
        <v>43524.741932870398</v>
      </c>
      <c r="J13410" s="23" t="str">
        <f>HYPERLINK("https://www.spark-marketing.ru/Card/Person/4368305", "ФГКУ ""УВО ВНГ РОССИИ ПО МОСКОВСКОЙ ОБЛАСТИ""")</f>
        <v>ФГКУ "УВО ВНГ РОССИИ ПО МОСКОВСКОЙ ОБЛАСТИ"</v>
      </c>
      <c r="K13410" s="24" t="s">
        <v>9566</v>
      </c>
      <c r="L13410" s="28" t="s">
        <v>52</v>
      </c>
      <c r="M13410" s="25">
        <v>380884.8</v>
      </c>
      <c r="N13410" s="27">
        <v>0</v>
      </c>
    </row>
    <row r="13411" spans="1:14" x14ac:dyDescent="0.15">
      <c r="A13411" s="23" t="str">
        <f>HYPERLINK("https://www.spark-marketing.ru/Card/Person/14984", "ГБУ ""КАРГАПОЛЬСКАЯ ЦРБ ИМ. Н.А. РОКИНОЙ""")</f>
        <v>ГБУ "КАРГАПОЛЬСКАЯ ЦРБ ИМ. Н.А. РОКИНОЙ"</v>
      </c>
      <c r="B13411" s="24" t="s">
        <v>13224</v>
      </c>
      <c r="C13411" s="25">
        <v>75000</v>
      </c>
      <c r="D13411" s="22" t="s">
        <v>15596</v>
      </c>
      <c r="E13411" s="22" t="s">
        <v>68</v>
      </c>
      <c r="F13411" s="23" t="str">
        <f>HYPERLINK("https://www.spark-marketing.ru/Card/Lot/68378534", "Оказание услуг по охране объекта в р.п.Красный Октябрь, ул.Чкалова,23.")</f>
        <v>Оказание услуг по охране объекта в р.п.Красный Октябрь, ул.Чкалова,23.</v>
      </c>
      <c r="G13411" s="22" t="s">
        <v>626</v>
      </c>
      <c r="H13411" s="22" t="s">
        <v>13226</v>
      </c>
      <c r="I13411" s="26">
        <v>43524.692361111098</v>
      </c>
      <c r="J13411" s="23" t="str">
        <f>HYPERLINK("https://www.spark-marketing.ru/Card/Person/58449", "ООО ""ЧОП ""ДОЗОР""")</f>
        <v>ООО "ЧОП "ДОЗОР"</v>
      </c>
      <c r="K13411" s="24" t="s">
        <v>13228</v>
      </c>
      <c r="L13411" s="28" t="s">
        <v>52</v>
      </c>
      <c r="M13411" s="28" t="s">
        <v>52</v>
      </c>
      <c r="N13411" s="28" t="s">
        <v>52</v>
      </c>
    </row>
    <row r="13412" spans="1:14" ht="12.75" hidden="1" outlineLevel="1" x14ac:dyDescent="0.2">
      <c r="A13412" s="23" t="str">
        <f>HYPERLINK("https://www.spark-marketing.ru/Card/Person/14984", "ГБУ ""КАРГАПОЛЬСКАЯ ЦРБ ИМ. Н.А. РОКИНОЙ""")</f>
        <v>ГБУ "КАРГАПОЛЬСКАЯ ЦРБ ИМ. Н.А. РОКИНОЙ"</v>
      </c>
      <c r="B13412" s="24" t="s">
        <v>13224</v>
      </c>
      <c r="C13412" s="25">
        <v>75000</v>
      </c>
      <c r="D13412" s="22" t="s">
        <v>15596</v>
      </c>
      <c r="E13412" s="22" t="s">
        <v>68</v>
      </c>
      <c r="F13412" s="23" t="str">
        <f>HYPERLINK("https://www.spark-marketing.ru/Card/Lot/68378534", "Оказание услуг по охране объекта в р.п.Красный Октябрь, ул.Чкалова,23.")</f>
        <v>Оказание услуг по охране объекта в р.п.Красный Октябрь, ул.Чкалова,23.</v>
      </c>
      <c r="G13412" s="22" t="s">
        <v>626</v>
      </c>
      <c r="H13412" s="22" t="s">
        <v>13226</v>
      </c>
      <c r="I13412" s="26">
        <v>43524.692361111098</v>
      </c>
      <c r="J13412" s="23" t="str">
        <f>HYPERLINK("https://www.spark-marketing.ru/Card/Person/58449", "ООО ""ЧОП ""ДОЗОР""")</f>
        <v>ООО "ЧОП "ДОЗОР"</v>
      </c>
      <c r="K13412" s="24" t="s">
        <v>13228</v>
      </c>
      <c r="L13412" s="22" t="s">
        <v>10</v>
      </c>
      <c r="M13412" s="25">
        <v>74625</v>
      </c>
      <c r="N13412" s="27">
        <v>5.0000000000000001E-3</v>
      </c>
    </row>
    <row r="13413" spans="1:14" x14ac:dyDescent="0.15">
      <c r="A13413" s="23" t="str">
        <f>HYPERLINK("https://www.spark-marketing.ru/Card/Person/4924823", "СРЕДНЕРУССКИЙ БАНК ПАО СБЕРБАНК")</f>
        <v>СРЕДНЕРУССКИЙ БАНК ПАО СБЕРБАНК</v>
      </c>
      <c r="B13413" s="28" t="s">
        <v>52</v>
      </c>
      <c r="C13413" s="25">
        <v>3563657.34</v>
      </c>
      <c r="D13413" s="22" t="s">
        <v>15597</v>
      </c>
      <c r="E13413" s="22" t="s">
        <v>53</v>
      </c>
      <c r="F13413" s="23" t="str">
        <f>HYPERLINK("https://www.spark-marketing.ru/Card/Lot/68387725", "Оказание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Костромского Головного отделения")</f>
        <v>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Костромского Головного отделения</v>
      </c>
      <c r="G13413" s="22" t="s">
        <v>52</v>
      </c>
      <c r="H13413" s="22" t="s">
        <v>52</v>
      </c>
      <c r="I13413" s="26">
        <v>43524.702777777798</v>
      </c>
      <c r="J13413" s="28" t="s">
        <v>52</v>
      </c>
      <c r="K13413" s="28" t="s">
        <v>52</v>
      </c>
      <c r="L13413" s="28" t="s">
        <v>52</v>
      </c>
      <c r="M13413" s="28" t="s">
        <v>52</v>
      </c>
      <c r="N13413" s="28" t="s">
        <v>52</v>
      </c>
    </row>
    <row r="13414" spans="1:14" x14ac:dyDescent="0.15">
      <c r="A13414" s="23" t="str">
        <f>HYPERLINK("https://www.spark-marketing.ru/Card/Person/4924823", "СРЕДНЕРУССКИЙ БАНК ПАО СБЕРБАНК")</f>
        <v>СРЕДНЕРУССКИЙ БАНК ПАО СБЕРБАНК</v>
      </c>
      <c r="B13414" s="28" t="s">
        <v>52</v>
      </c>
      <c r="C13414" s="25">
        <v>3662343.24</v>
      </c>
      <c r="D13414" s="22" t="s">
        <v>15597</v>
      </c>
      <c r="E13414" s="22" t="s">
        <v>53</v>
      </c>
      <c r="F13414" s="23" t="str">
        <f>HYPERLINK("https://www.spark-marketing.ru/Card/Lot/68387724", "Оказание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Ивановского Головного отделения")</f>
        <v>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Ивановского Головного отделения</v>
      </c>
      <c r="G13414" s="22" t="s">
        <v>52</v>
      </c>
      <c r="H13414" s="22" t="s">
        <v>52</v>
      </c>
      <c r="I13414" s="26">
        <v>43524.702777777798</v>
      </c>
      <c r="J13414" s="28" t="s">
        <v>52</v>
      </c>
      <c r="K13414" s="28" t="s">
        <v>52</v>
      </c>
      <c r="L13414" s="28" t="s">
        <v>52</v>
      </c>
      <c r="M13414" s="28" t="s">
        <v>52</v>
      </c>
      <c r="N13414" s="28" t="s">
        <v>52</v>
      </c>
    </row>
    <row r="13415" spans="1:14" x14ac:dyDescent="0.15">
      <c r="A13415" s="23" t="str">
        <f>HYPERLINK("https://www.spark-marketing.ru/Card/Person/4924823", "СРЕДНЕРУССКИЙ БАНК ПАО СБЕРБАНК")</f>
        <v>СРЕДНЕРУССКИЙ БАНК ПАО СБЕРБАНК</v>
      </c>
      <c r="B13415" s="28" t="s">
        <v>52</v>
      </c>
      <c r="C13415" s="25">
        <v>5000085.38</v>
      </c>
      <c r="D13415" s="22" t="s">
        <v>15597</v>
      </c>
      <c r="E13415" s="22" t="s">
        <v>53</v>
      </c>
      <c r="F13415" s="23" t="str">
        <f>HYPERLINK("https://www.spark-marketing.ru/Card/Lot/68387721", "Оказание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Брянского Головного отделения")</f>
        <v>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Брянского Головного отделения</v>
      </c>
      <c r="G13415" s="22" t="s">
        <v>52</v>
      </c>
      <c r="H13415" s="22" t="s">
        <v>52</v>
      </c>
      <c r="I13415" s="26">
        <v>43524.702777777798</v>
      </c>
      <c r="J13415" s="28" t="s">
        <v>52</v>
      </c>
      <c r="K13415" s="28" t="s">
        <v>52</v>
      </c>
      <c r="L13415" s="28" t="s">
        <v>52</v>
      </c>
      <c r="M13415" s="28" t="s">
        <v>52</v>
      </c>
      <c r="N13415" s="28" t="s">
        <v>52</v>
      </c>
    </row>
    <row r="13416" spans="1:14" ht="12.75" x14ac:dyDescent="0.2">
      <c r="A13416" s="23" t="str">
        <f>HYPERLINK("https://www.spark-marketing.ru/Card/Person/29477", "ФГБУ ""НИИ ЦПК ИМЕНИ Ю.А.ГАГАРИНА""")</f>
        <v>ФГБУ "НИИ ЦПК ИМЕНИ Ю.А.ГАГАРИНА"</v>
      </c>
      <c r="B13416" s="24" t="s">
        <v>15598</v>
      </c>
      <c r="C13416" s="25">
        <v>4000000</v>
      </c>
      <c r="D13416" s="22" t="s">
        <v>15599</v>
      </c>
      <c r="E13416" s="22" t="s">
        <v>370</v>
      </c>
      <c r="F13416" s="23" t="str">
        <f>HYPERLINK("https://www.spark-marketing.ru/Card/Lot/68396494", "Выполнение работ по техническому обслуживанию инженерно-технических средств охраны комплексной системы безопасности ФГБУ ""НИИ ЦПК имени Ю.А.Гагарина""")</f>
        <v>Выполнение работ по техническому обслуживанию инженерно-технических средств охраны комплексной системы безопасности ФГБУ "НИИ ЦПК имени Ю.А.Гагарина"</v>
      </c>
      <c r="G13416" s="22" t="s">
        <v>50</v>
      </c>
      <c r="H13416" s="22" t="s">
        <v>6069</v>
      </c>
      <c r="I13416" s="26">
        <v>43524.682245370401</v>
      </c>
      <c r="J13416" s="23" t="str">
        <f>HYPERLINK("https://www.spark-marketing.ru/Card/Person/677164", "ООО ""СЭБ""")</f>
        <v>ООО "СЭБ"</v>
      </c>
      <c r="K13416" s="24" t="s">
        <v>15600</v>
      </c>
      <c r="L13416" s="22" t="s">
        <v>10</v>
      </c>
      <c r="M13416" s="25">
        <v>3880020</v>
      </c>
      <c r="N13416" s="27">
        <v>2.9995000000000001E-2</v>
      </c>
    </row>
    <row r="13417" spans="1:14" x14ac:dyDescent="0.15">
      <c r="A13417" s="23" t="str">
        <f>HYPERLINK("https://www.spark-marketing.ru/Card/Person/4924823", "СРЕДНЕРУССКИЙ БАНК ПАО СБЕРБАНК")</f>
        <v>СРЕДНЕРУССКИЙ БАНК ПАО СБЕРБАНК</v>
      </c>
      <c r="B13417" s="28" t="s">
        <v>52</v>
      </c>
      <c r="C13417" s="25">
        <v>4407970</v>
      </c>
      <c r="D13417" s="22" t="s">
        <v>15597</v>
      </c>
      <c r="E13417" s="22" t="s">
        <v>53</v>
      </c>
      <c r="F13417" s="23" t="str">
        <f>HYPERLINK("https://www.spark-marketing.ru/Card/Lot/68387720", "Оказание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Тверского Головного отделения")</f>
        <v>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Тверского Головного отделения</v>
      </c>
      <c r="G13417" s="22" t="s">
        <v>52</v>
      </c>
      <c r="H13417" s="22" t="s">
        <v>52</v>
      </c>
      <c r="I13417" s="26">
        <v>43524.702777777798</v>
      </c>
      <c r="J13417" s="28" t="s">
        <v>52</v>
      </c>
      <c r="K13417" s="28" t="s">
        <v>52</v>
      </c>
      <c r="L13417" s="28" t="s">
        <v>52</v>
      </c>
      <c r="M13417" s="28" t="s">
        <v>52</v>
      </c>
      <c r="N13417" s="28" t="s">
        <v>52</v>
      </c>
    </row>
    <row r="13418" spans="1:14" x14ac:dyDescent="0.15">
      <c r="A13418" s="23" t="str">
        <f>HYPERLINK("https://www.spark-marketing.ru/Card/Person/4924823", "СРЕДНЕРУССКИЙ БАНК ПАО СБЕРБАНК")</f>
        <v>СРЕДНЕРУССКИЙ БАНК ПАО СБЕРБАНК</v>
      </c>
      <c r="B13418" s="28" t="s">
        <v>52</v>
      </c>
      <c r="C13418" s="25">
        <v>4276388.8099999996</v>
      </c>
      <c r="D13418" s="22" t="s">
        <v>15597</v>
      </c>
      <c r="E13418" s="22" t="s">
        <v>53</v>
      </c>
      <c r="F13418" s="23" t="str">
        <f>HYPERLINK("https://www.spark-marketing.ru/Card/Lot/68387722", "Оказание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Калужского Головного отделения")</f>
        <v>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Калужского Головного отделения</v>
      </c>
      <c r="G13418" s="22" t="s">
        <v>52</v>
      </c>
      <c r="H13418" s="22" t="s">
        <v>52</v>
      </c>
      <c r="I13418" s="26">
        <v>43524.702777777798</v>
      </c>
      <c r="J13418" s="28" t="s">
        <v>52</v>
      </c>
      <c r="K13418" s="28" t="s">
        <v>52</v>
      </c>
      <c r="L13418" s="28" t="s">
        <v>52</v>
      </c>
      <c r="M13418" s="28" t="s">
        <v>52</v>
      </c>
      <c r="N13418" s="28" t="s">
        <v>52</v>
      </c>
    </row>
    <row r="13419" spans="1:14" x14ac:dyDescent="0.15">
      <c r="A13419" s="23" t="str">
        <f>HYPERLINK("https://www.spark-marketing.ru/Card/Person/59412", "КОГБУЗ ""КОНД""")</f>
        <v>КОГБУЗ "КОНД"</v>
      </c>
      <c r="B13419" s="24" t="s">
        <v>15601</v>
      </c>
      <c r="C13419" s="25">
        <v>24558.080000000002</v>
      </c>
      <c r="D13419" s="22" t="s">
        <v>15602</v>
      </c>
      <c r="E13419" s="22" t="s">
        <v>68</v>
      </c>
      <c r="F13419" s="23" t="str">
        <f>HYPERLINK("https://www.spark-marketing.ru/Card/Lot/68380927", "Централизованная охрана объектов и обособленных помещений.")</f>
        <v>Централизованная охрана объектов и обособленных помещений.</v>
      </c>
      <c r="G13419" s="22" t="s">
        <v>556</v>
      </c>
      <c r="H13419" s="22" t="s">
        <v>557</v>
      </c>
      <c r="I13419" s="26">
        <v>43524.688194444403</v>
      </c>
      <c r="J13419" s="28" t="s">
        <v>52</v>
      </c>
      <c r="K13419" s="28" t="s">
        <v>52</v>
      </c>
      <c r="L13419" s="28" t="s">
        <v>52</v>
      </c>
      <c r="M13419" s="28" t="s">
        <v>52</v>
      </c>
      <c r="N13419" s="28" t="s">
        <v>52</v>
      </c>
    </row>
    <row r="13420" spans="1:14" x14ac:dyDescent="0.15">
      <c r="A13420" s="23" t="str">
        <f>HYPERLINK("https://www.spark-marketing.ru/Card/Person/5133", "ОПФР ПО СТАВРОПОЛЬСКОМУ КРАЮ")</f>
        <v>ОПФР ПО СТАВРОПОЛЬСКОМУ КРАЮ</v>
      </c>
      <c r="B13420" s="24" t="s">
        <v>15603</v>
      </c>
      <c r="C13420" s="25">
        <v>312200</v>
      </c>
      <c r="D13420" s="22" t="s">
        <v>15604</v>
      </c>
      <c r="E13420" s="22" t="s">
        <v>59</v>
      </c>
      <c r="F13420" s="23" t="str">
        <f>HYPERLINK("https://www.spark-marketing.ru/Card/Lot/68381158", "Создание системы видеонаблюдения")</f>
        <v>Создание системы видеонаблюдения</v>
      </c>
      <c r="G13420" s="22" t="s">
        <v>258</v>
      </c>
      <c r="H13420" s="22" t="s">
        <v>5386</v>
      </c>
      <c r="I13420" s="26">
        <v>43524.672222222202</v>
      </c>
      <c r="J13420" s="28" t="s">
        <v>52</v>
      </c>
      <c r="K13420" s="28" t="s">
        <v>52</v>
      </c>
      <c r="L13420" s="28" t="s">
        <v>52</v>
      </c>
      <c r="M13420" s="28" t="s">
        <v>52</v>
      </c>
      <c r="N13420" s="28" t="s">
        <v>52</v>
      </c>
    </row>
    <row r="13421" spans="1:14" hidden="1" outlineLevel="1" x14ac:dyDescent="0.2">
      <c r="A13421" s="23" t="str">
        <f>HYPERLINK("https://www.spark-marketing.ru/Card/Person/5133", "ОПФР ПО СТАВРОПОЛЬСКОМУ КРАЮ")</f>
        <v>ОПФР ПО СТАВРОПОЛЬСКОМУ КРАЮ</v>
      </c>
      <c r="B13421" s="24" t="s">
        <v>15603</v>
      </c>
      <c r="C13421" s="25">
        <v>312200</v>
      </c>
      <c r="D13421" s="22" t="s">
        <v>15604</v>
      </c>
      <c r="E13421" s="22" t="s">
        <v>59</v>
      </c>
      <c r="F13421" s="23" t="str">
        <f>HYPERLINK("https://www.spark-marketing.ru/Card/Lot/68381158", "Создание системы видеонаблюдения")</f>
        <v>Создание системы видеонаблюдения</v>
      </c>
      <c r="G13421" s="22" t="s">
        <v>258</v>
      </c>
      <c r="H13421" s="22" t="s">
        <v>5386</v>
      </c>
      <c r="I13421" s="26">
        <v>43524.672222222202</v>
      </c>
      <c r="J13421" s="23" t="str">
        <f>HYPERLINK("https://www.spark-marketing.ru/Card/Person/470113", "ООО ""АЛАРМ СЕРВИС""")</f>
        <v>ООО "АЛАРМ СЕРВИС"</v>
      </c>
      <c r="K13421" s="24" t="s">
        <v>6025</v>
      </c>
      <c r="L13421" s="28" t="s">
        <v>52</v>
      </c>
      <c r="M13421" s="25">
        <v>260634</v>
      </c>
      <c r="N13421" s="27">
        <v>0.16516976297245356</v>
      </c>
    </row>
    <row r="13422" spans="1:14" hidden="1" outlineLevel="1" x14ac:dyDescent="0.2">
      <c r="A13422" s="23" t="str">
        <f>HYPERLINK("https://www.spark-marketing.ru/Card/Person/5133", "ОПФР ПО СТАВРОПОЛЬСКОМУ КРАЮ")</f>
        <v>ОПФР ПО СТАВРОПОЛЬСКОМУ КРАЮ</v>
      </c>
      <c r="B13422" s="24" t="s">
        <v>15603</v>
      </c>
      <c r="C13422" s="25">
        <v>312200</v>
      </c>
      <c r="D13422" s="22" t="s">
        <v>15604</v>
      </c>
      <c r="E13422" s="22" t="s">
        <v>59</v>
      </c>
      <c r="F13422" s="23" t="str">
        <f>HYPERLINK("https://www.spark-marketing.ru/Card/Lot/68381158", "Создание системы видеонаблюдения")</f>
        <v>Создание системы видеонаблюдения</v>
      </c>
      <c r="G13422" s="22" t="s">
        <v>258</v>
      </c>
      <c r="H13422" s="22" t="s">
        <v>5386</v>
      </c>
      <c r="I13422" s="26">
        <v>43524.672222222202</v>
      </c>
      <c r="J13422" s="23" t="str">
        <f>HYPERLINK("https://www.spark-marketing.ru/Card/Person/6453096", "ООО ""РИМАРТ ПЛЮС""")</f>
        <v>ООО "РИМАРТ ПЛЮС"</v>
      </c>
      <c r="K13422" s="24" t="s">
        <v>15605</v>
      </c>
      <c r="L13422" s="28" t="s">
        <v>52</v>
      </c>
      <c r="M13422" s="25">
        <v>249707</v>
      </c>
      <c r="N13422" s="27">
        <v>0.20016976297245356</v>
      </c>
    </row>
    <row r="13423" spans="1:14" hidden="1" outlineLevel="1" x14ac:dyDescent="0.2">
      <c r="A13423" s="23" t="str">
        <f>HYPERLINK("https://www.spark-marketing.ru/Card/Person/5133", "ОПФР ПО СТАВРОПОЛЬСКОМУ КРАЮ")</f>
        <v>ОПФР ПО СТАВРОПОЛЬСКОМУ КРАЮ</v>
      </c>
      <c r="B13423" s="24" t="s">
        <v>15603</v>
      </c>
      <c r="C13423" s="25">
        <v>312200</v>
      </c>
      <c r="D13423" s="22" t="s">
        <v>15604</v>
      </c>
      <c r="E13423" s="22" t="s">
        <v>59</v>
      </c>
      <c r="F13423" s="23" t="str">
        <f>HYPERLINK("https://www.spark-marketing.ru/Card/Lot/68381158", "Создание системы видеонаблюдения")</f>
        <v>Создание системы видеонаблюдения</v>
      </c>
      <c r="G13423" s="22" t="s">
        <v>258</v>
      </c>
      <c r="H13423" s="22" t="s">
        <v>5386</v>
      </c>
      <c r="I13423" s="26">
        <v>43524.672222222202</v>
      </c>
      <c r="J13423" s="23" t="str">
        <f>HYPERLINK("https://www.spark-marketing.ru/Card/Person/470476", "Пятенко Андрей Анатольевич")</f>
        <v>Пятенко Андрей Анатольевич</v>
      </c>
      <c r="K13423" s="24" t="s">
        <v>2735</v>
      </c>
      <c r="L13423" s="28" t="s">
        <v>52</v>
      </c>
      <c r="M13423" s="25">
        <v>270000</v>
      </c>
      <c r="N13423" s="27">
        <v>0.13516976297245356</v>
      </c>
    </row>
    <row r="13424" spans="1:14" ht="12.75" hidden="1" outlineLevel="1" x14ac:dyDescent="0.2">
      <c r="A13424" s="23" t="str">
        <f>HYPERLINK("https://www.spark-marketing.ru/Card/Person/5133", "ОПФР ПО СТАВРОПОЛЬСКОМУ КРАЮ")</f>
        <v>ОПФР ПО СТАВРОПОЛЬСКОМУ КРАЮ</v>
      </c>
      <c r="B13424" s="24" t="s">
        <v>15603</v>
      </c>
      <c r="C13424" s="25">
        <v>312200</v>
      </c>
      <c r="D13424" s="22" t="s">
        <v>15604</v>
      </c>
      <c r="E13424" s="22" t="s">
        <v>59</v>
      </c>
      <c r="F13424" s="23" t="str">
        <f>HYPERLINK("https://www.spark-marketing.ru/Card/Lot/68381158", "Создание системы видеонаблюдения")</f>
        <v>Создание системы видеонаблюдения</v>
      </c>
      <c r="G13424" s="22" t="s">
        <v>258</v>
      </c>
      <c r="H13424" s="22" t="s">
        <v>5386</v>
      </c>
      <c r="I13424" s="26">
        <v>43524.672222222202</v>
      </c>
      <c r="J13424" s="23" t="str">
        <f>HYPERLINK("https://www.spark-marketing.ru/Card/Person/4393479", "Соколов Александр Игоревич")</f>
        <v>Соколов Александр Игоревич</v>
      </c>
      <c r="K13424" s="24" t="s">
        <v>2734</v>
      </c>
      <c r="L13424" s="22" t="s">
        <v>10</v>
      </c>
      <c r="M13424" s="25">
        <v>248146</v>
      </c>
      <c r="N13424" s="27">
        <v>0.20516976297245357</v>
      </c>
    </row>
    <row r="13425" spans="1:14" x14ac:dyDescent="0.15">
      <c r="A13425" s="23" t="str">
        <f>HYPERLINK("https://www.spark-marketing.ru/Card/Person/4924823", "СРЕДНЕРУССКИЙ БАНК ПАО СБЕРБАНК")</f>
        <v>СРЕДНЕРУССКИЙ БАНК ПАО СБЕРБАНК</v>
      </c>
      <c r="B13425" s="28" t="s">
        <v>52</v>
      </c>
      <c r="C13425" s="25">
        <v>43680000</v>
      </c>
      <c r="D13425" s="22" t="s">
        <v>15597</v>
      </c>
      <c r="E13425" s="22" t="s">
        <v>53</v>
      </c>
      <c r="F13425" s="23" t="str">
        <f>HYPERLINK("https://www.spark-marketing.ru/Card/Lot/68387719", "Оказание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Восточного, Западного, Северного, Южного Головных отделений ...")</f>
        <v>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Восточного, Западного, Северного, Южного Головных отделений ...</v>
      </c>
      <c r="G13425" s="22" t="s">
        <v>52</v>
      </c>
      <c r="H13425" s="22" t="s">
        <v>52</v>
      </c>
      <c r="I13425" s="26">
        <v>43524.702777777798</v>
      </c>
      <c r="J13425" s="28" t="s">
        <v>52</v>
      </c>
      <c r="K13425" s="28" t="s">
        <v>52</v>
      </c>
      <c r="L13425" s="28" t="s">
        <v>52</v>
      </c>
      <c r="M13425" s="28" t="s">
        <v>52</v>
      </c>
      <c r="N13425" s="28" t="s">
        <v>52</v>
      </c>
    </row>
    <row r="13426" spans="1:14" x14ac:dyDescent="0.15">
      <c r="A13426" s="23" t="str">
        <f>HYPERLINK("https://www.spark-marketing.ru/Card/Person/63510", "ГБУЗ НСО ""ДГКБ № 1""")</f>
        <v>ГБУЗ НСО "ДГКБ № 1"</v>
      </c>
      <c r="B13426" s="24" t="s">
        <v>15606</v>
      </c>
      <c r="C13426" s="25">
        <v>138152.16</v>
      </c>
      <c r="D13426" s="22" t="s">
        <v>15607</v>
      </c>
      <c r="E13426" s="22" t="s">
        <v>68</v>
      </c>
      <c r="F13426" s="23" t="str">
        <f>HYPERLINK("https://www.spark-marketing.ru/Card/Lot/68369205", "Об экстренном вызове охраны на объект, в случае срабатывания средств тревожной сигнализации")</f>
        <v>Об экстренном вызове охраны на объект, в случае срабатывания средств тревожной сигнализации</v>
      </c>
      <c r="G13426" s="22" t="s">
        <v>209</v>
      </c>
      <c r="H13426" s="22" t="s">
        <v>210</v>
      </c>
      <c r="I13426" s="26">
        <v>43524.686111111099</v>
      </c>
      <c r="J13426" s="28" t="s">
        <v>52</v>
      </c>
      <c r="K13426" s="28" t="s">
        <v>52</v>
      </c>
      <c r="L13426" s="28" t="s">
        <v>52</v>
      </c>
      <c r="M13426" s="28" t="s">
        <v>52</v>
      </c>
      <c r="N13426" s="28" t="s">
        <v>52</v>
      </c>
    </row>
    <row r="13427" spans="1:14" x14ac:dyDescent="0.15">
      <c r="A13427" s="23" t="str">
        <f>HYPERLINK("https://www.spark-marketing.ru/Card/Person/4924823", "СРЕДНЕРУССКИЙ БАНК ПАО СБЕРБАНК")</f>
        <v>СРЕДНЕРУССКИЙ БАНК ПАО СБЕРБАНК</v>
      </c>
      <c r="B13427" s="28" t="s">
        <v>52</v>
      </c>
      <c r="C13427" s="25">
        <v>4188668.01</v>
      </c>
      <c r="D13427" s="22" t="s">
        <v>15597</v>
      </c>
      <c r="E13427" s="22" t="s">
        <v>53</v>
      </c>
      <c r="F13427" s="23" t="str">
        <f>HYPERLINK("https://www.spark-marketing.ru/Card/Lot/68387726", "Оказание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Ярославского Головного отделения")</f>
        <v>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Ярославского Головного отделения</v>
      </c>
      <c r="G13427" s="22" t="s">
        <v>52</v>
      </c>
      <c r="H13427" s="22" t="s">
        <v>52</v>
      </c>
      <c r="I13427" s="26">
        <v>43524.702777777798</v>
      </c>
      <c r="J13427" s="28" t="s">
        <v>52</v>
      </c>
      <c r="K13427" s="28" t="s">
        <v>52</v>
      </c>
      <c r="L13427" s="28" t="s">
        <v>52</v>
      </c>
      <c r="M13427" s="28" t="s">
        <v>52</v>
      </c>
      <c r="N13427" s="28" t="s">
        <v>52</v>
      </c>
    </row>
    <row r="13428" spans="1:14" x14ac:dyDescent="0.15">
      <c r="A13428" s="23" t="str">
        <f>HYPERLINK("https://www.spark-marketing.ru/Card/Person/4349554", "КГБУЗ ""КДЦ""")</f>
        <v>КГБУЗ "КДЦ"</v>
      </c>
      <c r="B13428" s="24" t="s">
        <v>15608</v>
      </c>
      <c r="C13428" s="25">
        <v>34800</v>
      </c>
      <c r="D13428" s="22" t="s">
        <v>15609</v>
      </c>
      <c r="E13428" s="22" t="s">
        <v>103</v>
      </c>
      <c r="F13428" s="23" t="str">
        <f>HYPERLINK("https://www.spark-marketing.ru/Card/Lot/68357364", "Оказание услуг по техническому обслуживанию систем охранной сигнализации")</f>
        <v>Оказание услуг по техническому обслуживанию систем охранной сигнализации</v>
      </c>
      <c r="G13428" s="22" t="s">
        <v>138</v>
      </c>
      <c r="H13428" s="22" t="s">
        <v>255</v>
      </c>
      <c r="I13428" s="26">
        <v>43524.690972222197</v>
      </c>
      <c r="J13428" s="28" t="s">
        <v>52</v>
      </c>
      <c r="K13428" s="28" t="s">
        <v>52</v>
      </c>
      <c r="L13428" s="28" t="s">
        <v>52</v>
      </c>
      <c r="M13428" s="28" t="s">
        <v>52</v>
      </c>
      <c r="N13428" s="28" t="s">
        <v>52</v>
      </c>
    </row>
    <row r="13429" spans="1:14" ht="12.75" hidden="1" outlineLevel="1" x14ac:dyDescent="0.2">
      <c r="A13429" s="23" t="str">
        <f>HYPERLINK("https://www.spark-marketing.ru/Card/Person/4349554", "КГБУЗ ""КДЦ""")</f>
        <v>КГБУЗ "КДЦ"</v>
      </c>
      <c r="B13429" s="24" t="s">
        <v>15608</v>
      </c>
      <c r="C13429" s="25">
        <v>34800</v>
      </c>
      <c r="D13429" s="22" t="s">
        <v>15609</v>
      </c>
      <c r="E13429" s="22" t="s">
        <v>103</v>
      </c>
      <c r="F13429" s="23" t="str">
        <f>HYPERLINK("https://www.spark-marketing.ru/Card/Lot/68357364", "Оказание услуг по техническому обслуживанию систем охранной сигнализации")</f>
        <v>Оказание услуг по техническому обслуживанию систем охранной сигнализации</v>
      </c>
      <c r="G13429" s="22" t="s">
        <v>138</v>
      </c>
      <c r="H13429" s="22" t="s">
        <v>255</v>
      </c>
      <c r="I13429" s="26">
        <v>43524.690972222197</v>
      </c>
      <c r="J13429" s="23" t="str">
        <f>HYPERLINK("https://www.spark-marketing.ru/Card/Person/190384", "ООО ""ТСК "" АЗИМУТ""")</f>
        <v>ООО "ТСК " АЗИМУТ"</v>
      </c>
      <c r="K13429" s="24" t="s">
        <v>2697</v>
      </c>
      <c r="L13429" s="22" t="s">
        <v>10</v>
      </c>
      <c r="M13429" s="25">
        <v>25500</v>
      </c>
      <c r="N13429" s="27">
        <v>0.26724137931034481</v>
      </c>
    </row>
    <row r="13430" spans="1:14" hidden="1" outlineLevel="1" x14ac:dyDescent="0.2">
      <c r="A13430" s="23" t="str">
        <f>HYPERLINK("https://www.spark-marketing.ru/Card/Person/4349554", "КГБУЗ ""КДЦ""")</f>
        <v>КГБУЗ "КДЦ"</v>
      </c>
      <c r="B13430" s="24" t="s">
        <v>15608</v>
      </c>
      <c r="C13430" s="25">
        <v>34800</v>
      </c>
      <c r="D13430" s="22" t="s">
        <v>15609</v>
      </c>
      <c r="E13430" s="22" t="s">
        <v>103</v>
      </c>
      <c r="F13430" s="23" t="str">
        <f>HYPERLINK("https://www.spark-marketing.ru/Card/Lot/68357364", "Оказание услуг по техническому обслуживанию систем охранной сигнализации")</f>
        <v>Оказание услуг по техническому обслуживанию систем охранной сигнализации</v>
      </c>
      <c r="G13430" s="22" t="s">
        <v>138</v>
      </c>
      <c r="H13430" s="22" t="s">
        <v>255</v>
      </c>
      <c r="I13430" s="26">
        <v>43524.690972222197</v>
      </c>
      <c r="J13430" s="23" t="str">
        <f>HYPERLINK("https://www.spark-marketing.ru/Card/Person/473820", "ООО ""ИЗОТОП ДВ""")</f>
        <v>ООО "ИЗОТОП ДВ"</v>
      </c>
      <c r="K13430" s="24" t="s">
        <v>6510</v>
      </c>
      <c r="L13430" s="28" t="s">
        <v>52</v>
      </c>
      <c r="M13430" s="25">
        <v>30042</v>
      </c>
      <c r="N13430" s="27">
        <v>0.1367241379310345</v>
      </c>
    </row>
    <row r="13431" spans="1:14" hidden="1" outlineLevel="1" x14ac:dyDescent="0.2">
      <c r="A13431" s="23" t="str">
        <f>HYPERLINK("https://www.spark-marketing.ru/Card/Person/4349554", "КГБУЗ ""КДЦ""")</f>
        <v>КГБУЗ "КДЦ"</v>
      </c>
      <c r="B13431" s="24" t="s">
        <v>15608</v>
      </c>
      <c r="C13431" s="25">
        <v>34800</v>
      </c>
      <c r="D13431" s="22" t="s">
        <v>15609</v>
      </c>
      <c r="E13431" s="22" t="s">
        <v>103</v>
      </c>
      <c r="F13431" s="23" t="str">
        <f>HYPERLINK("https://www.spark-marketing.ru/Card/Lot/68357364", "Оказание услуг по техническому обслуживанию систем охранной сигнализации")</f>
        <v>Оказание услуг по техническому обслуживанию систем охранной сигнализации</v>
      </c>
      <c r="G13431" s="22" t="s">
        <v>138</v>
      </c>
      <c r="H13431" s="22" t="s">
        <v>255</v>
      </c>
      <c r="I13431" s="26">
        <v>43524.690972222197</v>
      </c>
      <c r="J13431" s="23" t="str">
        <f>HYPERLINK("https://www.spark-marketing.ru/Card/Person/153332", "ООО ""СПЕЦ ПЛЮС""")</f>
        <v>ООО "СПЕЦ ПЛЮС"</v>
      </c>
      <c r="K13431" s="24" t="s">
        <v>1651</v>
      </c>
      <c r="L13431" s="28" t="s">
        <v>52</v>
      </c>
      <c r="M13431" s="25">
        <v>26150</v>
      </c>
      <c r="N13431" s="27">
        <v>0.24856321839080459</v>
      </c>
    </row>
    <row r="13432" spans="1:14" x14ac:dyDescent="0.15">
      <c r="A13432" s="23" t="str">
        <f>HYPERLINK("https://www.spark-marketing.ru/Card/Person/4924823", "СРЕДНЕРУССКИЙ БАНК ПАО СБЕРБАНК")</f>
        <v>СРЕДНЕРУССКИЙ БАНК ПАО СБЕРБАНК</v>
      </c>
      <c r="B13432" s="28" t="s">
        <v>52</v>
      </c>
      <c r="C13432" s="25">
        <v>3190843.96</v>
      </c>
      <c r="D13432" s="22" t="s">
        <v>15597</v>
      </c>
      <c r="E13432" s="22" t="s">
        <v>53</v>
      </c>
      <c r="F13432" s="23" t="str">
        <f>HYPERLINK("https://www.spark-marketing.ru/Card/Lot/68387727", "Оказание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Смоленского Головного отделения")</f>
        <v>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Смоленского Головного отделения</v>
      </c>
      <c r="G13432" s="22" t="s">
        <v>52</v>
      </c>
      <c r="H13432" s="22" t="s">
        <v>52</v>
      </c>
      <c r="I13432" s="26">
        <v>43524.702777777798</v>
      </c>
      <c r="J13432" s="28" t="s">
        <v>52</v>
      </c>
      <c r="K13432" s="28" t="s">
        <v>52</v>
      </c>
      <c r="L13432" s="28" t="s">
        <v>52</v>
      </c>
      <c r="M13432" s="28" t="s">
        <v>52</v>
      </c>
      <c r="N13432" s="28" t="s">
        <v>52</v>
      </c>
    </row>
    <row r="13433" spans="1:14" x14ac:dyDescent="0.15">
      <c r="A13433" s="23" t="str">
        <f>HYPERLINK("https://www.spark-marketing.ru/Card/Person/4924823", "СРЕДНЕРУССКИЙ БАНК ПАО СБЕРБАНК")</f>
        <v>СРЕДНЕРУССКИЙ БАНК ПАО СБЕРБАНК</v>
      </c>
      <c r="B13433" s="28" t="s">
        <v>52</v>
      </c>
      <c r="C13433" s="25">
        <v>4407970</v>
      </c>
      <c r="D13433" s="22" t="s">
        <v>15597</v>
      </c>
      <c r="E13433" s="22" t="s">
        <v>53</v>
      </c>
      <c r="F13433" s="23" t="str">
        <f>HYPERLINK("https://www.spark-marketing.ru/Card/Lot/68387723", "Оказание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Рязанского Головного отделения")</f>
        <v>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Рязанского Головного отделения</v>
      </c>
      <c r="G13433" s="22" t="s">
        <v>52</v>
      </c>
      <c r="H13433" s="22" t="s">
        <v>52</v>
      </c>
      <c r="I13433" s="26">
        <v>43524.702777777798</v>
      </c>
      <c r="J13433" s="28" t="s">
        <v>52</v>
      </c>
      <c r="K13433" s="28" t="s">
        <v>52</v>
      </c>
      <c r="L13433" s="28" t="s">
        <v>52</v>
      </c>
      <c r="M13433" s="28" t="s">
        <v>52</v>
      </c>
      <c r="N13433" s="28" t="s">
        <v>52</v>
      </c>
    </row>
    <row r="13434" spans="1:14" x14ac:dyDescent="0.15">
      <c r="A13434" s="23" t="str">
        <f>HYPERLINK("https://www.spark-marketing.ru/Card/Person/4924823", "СРЕДНЕРУССКИЙ БАНК ПАО СБЕРБАНК")</f>
        <v>СРЕДНЕРУССКИЙ БАНК ПАО СБЕРБАНК</v>
      </c>
      <c r="B13434" s="28" t="s">
        <v>52</v>
      </c>
      <c r="C13434" s="25">
        <v>5318073.26</v>
      </c>
      <c r="D13434" s="22" t="s">
        <v>15597</v>
      </c>
      <c r="E13434" s="22" t="s">
        <v>53</v>
      </c>
      <c r="F13434" s="23" t="str">
        <f>HYPERLINK("https://www.spark-marketing.ru/Card/Lot/68387728", "Оказание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Тульского Головного отделения")</f>
        <v>Оказание услуг по охране объектов банка с помощью реагирования на тревожные извещения, поступающие от операторов Центра мониторинга Среднерусского банка для нужд ПАО Сбербанк, на территории Тульского Головного отделения</v>
      </c>
      <c r="G13434" s="22" t="s">
        <v>52</v>
      </c>
      <c r="H13434" s="22" t="s">
        <v>52</v>
      </c>
      <c r="I13434" s="26">
        <v>43524.702777777798</v>
      </c>
      <c r="J13434" s="28" t="s">
        <v>52</v>
      </c>
      <c r="K13434" s="28" t="s">
        <v>52</v>
      </c>
      <c r="L13434" s="28" t="s">
        <v>52</v>
      </c>
      <c r="M13434" s="28" t="s">
        <v>52</v>
      </c>
      <c r="N13434" s="28" t="s">
        <v>52</v>
      </c>
    </row>
    <row r="13435" spans="1:14" x14ac:dyDescent="0.15">
      <c r="A13435" s="23" t="str">
        <f>HYPERLINK("https://www.spark-marketing.ru/Card/Person/1044273", "МБОУ ""ШАХОВСКАЯ СОШ № 1""")</f>
        <v>МБОУ "ШАХОВСКАЯ СОШ № 1"</v>
      </c>
      <c r="B13435" s="24" t="s">
        <v>15610</v>
      </c>
      <c r="C13435" s="25">
        <v>36000</v>
      </c>
      <c r="D13435" s="22" t="s">
        <v>15611</v>
      </c>
      <c r="E13435" s="22" t="s">
        <v>298</v>
      </c>
      <c r="F13435" s="23" t="str">
        <f>HYPERLINK("https://www.spark-marketing.ru/Card/Lot/68537505", "Оказание услуг по техническому сопровождению системы видеотрансляции и видеопротоколирования в ППЭ")</f>
        <v>Оказание услуг по техническому сопровождению системы видеотрансляции и видеопротоколирования в ППЭ</v>
      </c>
      <c r="G13435" s="22" t="s">
        <v>50</v>
      </c>
      <c r="H13435" s="22" t="s">
        <v>1172</v>
      </c>
      <c r="I13435" s="26">
        <v>43524.64875</v>
      </c>
      <c r="J13435" s="28" t="s">
        <v>52</v>
      </c>
      <c r="K13435" s="28" t="s">
        <v>52</v>
      </c>
      <c r="L13435" s="28" t="s">
        <v>52</v>
      </c>
      <c r="M13435" s="28" t="s">
        <v>52</v>
      </c>
      <c r="N13435" s="28" t="s">
        <v>52</v>
      </c>
    </row>
    <row r="13436" spans="1:14" x14ac:dyDescent="0.15">
      <c r="A13436" s="23" t="str">
        <f>HYPERLINK("https://www.spark-marketing.ru/Card/Person/111040", "ГБДОУ ДЕТСКИЙ САД № 29 ПЕТРОДВОРЦОВОГО РАЙОНА СПБ")</f>
        <v>ГБДОУ ДЕТСКИЙ САД № 29 ПЕТРОДВОРЦОВОГО РАЙОНА СПБ</v>
      </c>
      <c r="B13436" s="24" t="s">
        <v>15612</v>
      </c>
      <c r="C13436" s="25">
        <v>760762.8</v>
      </c>
      <c r="D13436" s="22" t="s">
        <v>15613</v>
      </c>
      <c r="E13436" s="22" t="s">
        <v>84</v>
      </c>
      <c r="F13436" s="23" t="str">
        <f>HYPERLINK("https://www.spark-marketing.ru/Card/Lot/68382531", "Выполнение работ по установке системы видеонаблюдения")</f>
        <v>Выполнение работ по установке системы видеонаблюдения</v>
      </c>
      <c r="G13436" s="22" t="s">
        <v>89</v>
      </c>
      <c r="H13436" s="22" t="s">
        <v>89</v>
      </c>
      <c r="I13436" s="26">
        <v>43524.629861111098</v>
      </c>
      <c r="J13436" s="28" t="s">
        <v>52</v>
      </c>
      <c r="K13436" s="28" t="s">
        <v>52</v>
      </c>
      <c r="L13436" s="28" t="s">
        <v>52</v>
      </c>
      <c r="M13436" s="28" t="s">
        <v>52</v>
      </c>
      <c r="N13436" s="28" t="s">
        <v>52</v>
      </c>
    </row>
    <row r="13437" spans="1:14" ht="12.75" hidden="1" outlineLevel="1" x14ac:dyDescent="0.2">
      <c r="A13437" s="23" t="str">
        <f>HYPERLINK("https://www.spark-marketing.ru/Card/Person/111040", "ГБДОУ ДЕТСКИЙ САД № 29 ПЕТРОДВОРЦОВОГО РАЙОНА СПБ")</f>
        <v>ГБДОУ ДЕТСКИЙ САД № 29 ПЕТРОДВОРЦОВОГО РАЙОНА СПБ</v>
      </c>
      <c r="B13437" s="24" t="s">
        <v>15612</v>
      </c>
      <c r="C13437" s="25">
        <v>760762.8</v>
      </c>
      <c r="D13437" s="22" t="s">
        <v>15613</v>
      </c>
      <c r="E13437" s="22" t="s">
        <v>84</v>
      </c>
      <c r="F13437" s="23" t="str">
        <f>HYPERLINK("https://www.spark-marketing.ru/Card/Lot/68382531", "Выполнение работ по установке системы видеонаблюдения")</f>
        <v>Выполнение работ по установке системы видеонаблюдения</v>
      </c>
      <c r="G13437" s="22" t="s">
        <v>89</v>
      </c>
      <c r="H13437" s="22" t="s">
        <v>89</v>
      </c>
      <c r="I13437" s="26">
        <v>43524.629861111098</v>
      </c>
      <c r="J13437" s="23" t="str">
        <f>HYPERLINK("https://www.spark-marketing.ru/Card/Person/4751684", "ООО ""СЕРВИСКОМ""")</f>
        <v>ООО "СЕРВИСКОМ"</v>
      </c>
      <c r="K13437" s="24" t="s">
        <v>15614</v>
      </c>
      <c r="L13437" s="22" t="s">
        <v>10</v>
      </c>
      <c r="M13437" s="25">
        <v>718920.85</v>
      </c>
      <c r="N13437" s="27">
        <v>5.4999994742119356E-2</v>
      </c>
    </row>
    <row r="13438" spans="1:14" hidden="1" outlineLevel="1" x14ac:dyDescent="0.2">
      <c r="A13438" s="23" t="str">
        <f>HYPERLINK("https://www.spark-marketing.ru/Card/Person/111040", "ГБДОУ ДЕТСКИЙ САД № 29 ПЕТРОДВОРЦОВОГО РАЙОНА СПБ")</f>
        <v>ГБДОУ ДЕТСКИЙ САД № 29 ПЕТРОДВОРЦОВОГО РАЙОНА СПБ</v>
      </c>
      <c r="B13438" s="24" t="s">
        <v>15612</v>
      </c>
      <c r="C13438" s="25">
        <v>760762.8</v>
      </c>
      <c r="D13438" s="22" t="s">
        <v>15613</v>
      </c>
      <c r="E13438" s="22" t="s">
        <v>84</v>
      </c>
      <c r="F13438" s="23" t="str">
        <f>HYPERLINK("https://www.spark-marketing.ru/Card/Lot/68382531", "Выполнение работ по установке системы видеонаблюдения")</f>
        <v>Выполнение работ по установке системы видеонаблюдения</v>
      </c>
      <c r="G13438" s="22" t="s">
        <v>89</v>
      </c>
      <c r="H13438" s="22" t="s">
        <v>89</v>
      </c>
      <c r="I13438" s="26">
        <v>43524.629861111098</v>
      </c>
      <c r="J13438" s="23" t="str">
        <f>HYPERLINK("https://www.spark-marketing.ru/Card/Person/1548824", "ООО ""БЕЛЫЙ НОСОРОГ""")</f>
        <v>ООО "БЕЛЫЙ НОСОРОГ"</v>
      </c>
      <c r="K13438" s="24" t="s">
        <v>15615</v>
      </c>
      <c r="L13438" s="28" t="s">
        <v>52</v>
      </c>
      <c r="M13438" s="25">
        <v>756958.99</v>
      </c>
      <c r="N13438" s="27">
        <v>4.9999947421193571E-3</v>
      </c>
    </row>
    <row r="13439" spans="1:14" x14ac:dyDescent="0.15">
      <c r="A13439" s="23" t="str">
        <f>HYPERLINK("https://www.spark-marketing.ru/Card/Person/971733", "КГАУК ""ЦКС""")</f>
        <v>КГАУК "ЦКС"</v>
      </c>
      <c r="B13439" s="24" t="s">
        <v>8820</v>
      </c>
      <c r="C13439" s="25">
        <v>443260</v>
      </c>
      <c r="D13439" s="22" t="s">
        <v>15616</v>
      </c>
      <c r="E13439" s="22" t="s">
        <v>5214</v>
      </c>
      <c r="F13439" s="23" t="str">
        <f>HYPERLINK("https://www.spark-marketing.ru/Card/Lot/68364657", "Оказание услуг по предоставлению и техническому обслуживанию видеопроекционного оборудования в рамках проведения концерта, посвященного Международному женскому дню 8 Марта.")</f>
        <v>Оказание услуг по предоставлению и техническому обслуживанию видеопроекционного оборудования в рамках проведения концерта, посвященного Международному женскому дню 8 Марта.</v>
      </c>
      <c r="G13439" s="22" t="s">
        <v>640</v>
      </c>
      <c r="H13439" s="22" t="s">
        <v>640</v>
      </c>
      <c r="I13439" s="26">
        <v>43524.650034722203</v>
      </c>
      <c r="J13439" s="28" t="s">
        <v>52</v>
      </c>
      <c r="K13439" s="28" t="s">
        <v>52</v>
      </c>
      <c r="L13439" s="28" t="s">
        <v>52</v>
      </c>
      <c r="M13439" s="28" t="s">
        <v>52</v>
      </c>
      <c r="N13439" s="28" t="s">
        <v>52</v>
      </c>
    </row>
    <row r="13440" spans="1:14" x14ac:dyDescent="0.15">
      <c r="A13440" s="23" t="str">
        <f>HYPERLINK("https://www.spark-marketing.ru/Card/Person/82699", "МБДОУ ""ДЕТСКИЙ САД № 16""")</f>
        <v>МБДОУ "ДЕТСКИЙ САД № 16"</v>
      </c>
      <c r="B13440" s="24" t="s">
        <v>15617</v>
      </c>
      <c r="C13440" s="25">
        <v>50000</v>
      </c>
      <c r="D13440" s="22" t="s">
        <v>15618</v>
      </c>
      <c r="E13440" s="22" t="s">
        <v>107</v>
      </c>
      <c r="F13440" s="23" t="str">
        <f>HYPERLINK("https://www.spark-marketing.ru/Card/Lot/68537431", "Установка видеодомофона и кодового замка на калитку.")</f>
        <v>Установка видеодомофона и кодового замка на калитку.</v>
      </c>
      <c r="G13440" s="22" t="s">
        <v>50</v>
      </c>
      <c r="H13440" s="22" t="s">
        <v>432</v>
      </c>
      <c r="I13440" s="26">
        <v>43524.638182870403</v>
      </c>
      <c r="J13440" s="28" t="s">
        <v>52</v>
      </c>
      <c r="K13440" s="28" t="s">
        <v>52</v>
      </c>
      <c r="L13440" s="28" t="s">
        <v>52</v>
      </c>
      <c r="M13440" s="28" t="s">
        <v>52</v>
      </c>
      <c r="N13440" s="28" t="s">
        <v>52</v>
      </c>
    </row>
    <row r="13441" spans="1:14" x14ac:dyDescent="0.15">
      <c r="A13441" s="23" t="str">
        <f>HYPERLINK("https://www.spark-marketing.ru/Card/Person/70493", "МУК ДК ИМ. ВОРОВСКОГО")</f>
        <v>МУК ДК ИМ. ВОРОВСКОГО</v>
      </c>
      <c r="B13441" s="24" t="s">
        <v>15619</v>
      </c>
      <c r="C13441" s="25">
        <v>60000</v>
      </c>
      <c r="D13441" s="22" t="s">
        <v>15620</v>
      </c>
      <c r="E13441" s="22" t="s">
        <v>298</v>
      </c>
      <c r="F13441" s="23" t="str">
        <f>HYPERLINK("https://www.spark-marketing.ru/Card/Lot/68378783", "Техническое обслуживание системы видеонаблюдения")</f>
        <v>Техническое обслуживание системы видеонаблюдения</v>
      </c>
      <c r="G13441" s="22" t="s">
        <v>50</v>
      </c>
      <c r="H13441" s="22" t="s">
        <v>244</v>
      </c>
      <c r="I13441" s="26">
        <v>43524.661111111098</v>
      </c>
      <c r="J13441" s="28" t="s">
        <v>52</v>
      </c>
      <c r="K13441" s="28" t="s">
        <v>52</v>
      </c>
      <c r="L13441" s="28" t="s">
        <v>52</v>
      </c>
      <c r="M13441" s="28" t="s">
        <v>52</v>
      </c>
      <c r="N13441" s="28" t="s">
        <v>52</v>
      </c>
    </row>
    <row r="13442" spans="1:14" ht="12.75" hidden="1" outlineLevel="1" x14ac:dyDescent="0.2">
      <c r="A13442" s="23" t="str">
        <f>HYPERLINK("https://www.spark-marketing.ru/Card/Person/70493", "МУК ДК ИМ. ВОРОВСКОГО")</f>
        <v>МУК ДК ИМ. ВОРОВСКОГО</v>
      </c>
      <c r="B13442" s="24" t="s">
        <v>15619</v>
      </c>
      <c r="C13442" s="25">
        <v>60000</v>
      </c>
      <c r="D13442" s="22" t="s">
        <v>15620</v>
      </c>
      <c r="E13442" s="22" t="s">
        <v>298</v>
      </c>
      <c r="F13442" s="23" t="str">
        <f>HYPERLINK("https://www.spark-marketing.ru/Card/Lot/68378783", "Техническое обслуживание системы видеонаблюдения")</f>
        <v>Техническое обслуживание системы видеонаблюдения</v>
      </c>
      <c r="G13442" s="22" t="s">
        <v>50</v>
      </c>
      <c r="H13442" s="22" t="s">
        <v>244</v>
      </c>
      <c r="I13442" s="26">
        <v>43524.661111111098</v>
      </c>
      <c r="J13442" s="23" t="str">
        <f>HYPERLINK("https://www.spark-marketing.ru/Card/Person/6503414", "ООО ""МОСПОЖСЕРВИС""")</f>
        <v>ООО "МОСПОЖСЕРВИС"</v>
      </c>
      <c r="K13442" s="24" t="s">
        <v>3876</v>
      </c>
      <c r="L13442" s="22" t="s">
        <v>10</v>
      </c>
      <c r="M13442" s="25">
        <v>35400</v>
      </c>
      <c r="N13442" s="27">
        <v>0.41</v>
      </c>
    </row>
    <row r="13443" spans="1:14" hidden="1" outlineLevel="1" x14ac:dyDescent="0.2">
      <c r="A13443" s="23" t="str">
        <f>HYPERLINK("https://www.spark-marketing.ru/Card/Person/70493", "МУК ДК ИМ. ВОРОВСКОГО")</f>
        <v>МУК ДК ИМ. ВОРОВСКОГО</v>
      </c>
      <c r="B13443" s="24" t="s">
        <v>15619</v>
      </c>
      <c r="C13443" s="25">
        <v>60000</v>
      </c>
      <c r="D13443" s="22" t="s">
        <v>15620</v>
      </c>
      <c r="E13443" s="22" t="s">
        <v>298</v>
      </c>
      <c r="F13443" s="23" t="str">
        <f>HYPERLINK("https://www.spark-marketing.ru/Card/Lot/68378783", "Техническое обслуживание системы видеонаблюдения")</f>
        <v>Техническое обслуживание системы видеонаблюдения</v>
      </c>
      <c r="G13443" s="22" t="s">
        <v>50</v>
      </c>
      <c r="H13443" s="22" t="s">
        <v>244</v>
      </c>
      <c r="I13443" s="26">
        <v>43524.661111111098</v>
      </c>
      <c r="J13443" s="23" t="str">
        <f>HYPERLINK("https://www.spark-marketing.ru/Card/Person/703283", "ООО ""АЛЕКС МАСТЕР""")</f>
        <v>ООО "АЛЕКС МАСТЕР"</v>
      </c>
      <c r="K13443" s="24" t="s">
        <v>15621</v>
      </c>
      <c r="L13443" s="28" t="s">
        <v>52</v>
      </c>
      <c r="M13443" s="25">
        <v>45000</v>
      </c>
      <c r="N13443" s="27">
        <v>0.25</v>
      </c>
    </row>
    <row r="13444" spans="1:14" hidden="1" outlineLevel="1" x14ac:dyDescent="0.2">
      <c r="A13444" s="23" t="str">
        <f>HYPERLINK("https://www.spark-marketing.ru/Card/Person/70493", "МУК ДК ИМ. ВОРОВСКОГО")</f>
        <v>МУК ДК ИМ. ВОРОВСКОГО</v>
      </c>
      <c r="B13444" s="24" t="s">
        <v>15619</v>
      </c>
      <c r="C13444" s="25">
        <v>60000</v>
      </c>
      <c r="D13444" s="22" t="s">
        <v>15620</v>
      </c>
      <c r="E13444" s="22" t="s">
        <v>298</v>
      </c>
      <c r="F13444" s="23" t="str">
        <f>HYPERLINK("https://www.spark-marketing.ru/Card/Lot/68378783", "Техническое обслуживание системы видеонаблюдения")</f>
        <v>Техническое обслуживание системы видеонаблюдения</v>
      </c>
      <c r="G13444" s="22" t="s">
        <v>50</v>
      </c>
      <c r="H13444" s="22" t="s">
        <v>244</v>
      </c>
      <c r="I13444" s="26">
        <v>43524.661111111098</v>
      </c>
      <c r="J13444" s="23" t="str">
        <f>HYPERLINK("https://www.spark-marketing.ru/Card/Person/699561", "ООО ""ТЕО-БЕЗОПАСНОСТЬ""")</f>
        <v>ООО "ТЕО-БЕЗОПАСНОСТЬ"</v>
      </c>
      <c r="K13444" s="24" t="s">
        <v>10575</v>
      </c>
      <c r="L13444" s="28" t="s">
        <v>52</v>
      </c>
      <c r="M13444" s="25">
        <v>35700</v>
      </c>
      <c r="N13444" s="27">
        <v>0.40500000000000003</v>
      </c>
    </row>
    <row r="13445" spans="1:14" hidden="1" outlineLevel="1" x14ac:dyDescent="0.2">
      <c r="A13445" s="23" t="str">
        <f>HYPERLINK("https://www.spark-marketing.ru/Card/Person/70493", "МУК ДК ИМ. ВОРОВСКОГО")</f>
        <v>МУК ДК ИМ. ВОРОВСКОГО</v>
      </c>
      <c r="B13445" s="24" t="s">
        <v>15619</v>
      </c>
      <c r="C13445" s="25">
        <v>60000</v>
      </c>
      <c r="D13445" s="22" t="s">
        <v>15620</v>
      </c>
      <c r="E13445" s="22" t="s">
        <v>298</v>
      </c>
      <c r="F13445" s="23" t="str">
        <f>HYPERLINK("https://www.spark-marketing.ru/Card/Lot/68378783", "Техническое обслуживание системы видеонаблюдения")</f>
        <v>Техническое обслуживание системы видеонаблюдения</v>
      </c>
      <c r="G13445" s="22" t="s">
        <v>50</v>
      </c>
      <c r="H13445" s="22" t="s">
        <v>244</v>
      </c>
      <c r="I13445" s="26">
        <v>43524.661111111098</v>
      </c>
      <c r="J13445" s="23" t="str">
        <f>HYPERLINK("https://www.spark-marketing.ru/Card/Person/6445825", "Судариков Михаил Геннадьевич")</f>
        <v>Судариков Михаил Геннадьевич</v>
      </c>
      <c r="K13445" s="24" t="s">
        <v>1219</v>
      </c>
      <c r="L13445" s="28" t="s">
        <v>52</v>
      </c>
      <c r="M13445" s="25">
        <v>59999.99</v>
      </c>
      <c r="N13445" s="27">
        <v>1.6666666666666668E-7</v>
      </c>
    </row>
    <row r="13446" spans="1:14" x14ac:dyDescent="0.15">
      <c r="A13446" s="23" t="str">
        <f t="shared" ref="A13446:A13451" si="691">HYPERLINK("https://www.spark-marketing.ru/Card/Person/91936", "ОТДЕЛ ОБРАЗОВАНИЯ КИРОВСКОЙ РАЙОННОЙ АДМИНИСТРАЦИИ")</f>
        <v>ОТДЕЛ ОБРАЗОВАНИЯ КИРОВСКОЙ РАЙОННОЙ АДМИНИСТРАЦИИ</v>
      </c>
      <c r="B13446" s="24" t="s">
        <v>15622</v>
      </c>
      <c r="C13446" s="25">
        <v>2703621.6</v>
      </c>
      <c r="D13446" s="22" t="s">
        <v>15623</v>
      </c>
      <c r="E13446" s="22" t="s">
        <v>59</v>
      </c>
      <c r="F13446" s="23" t="str">
        <f t="shared" ref="F13446:F13451" si="692">HYPERLINK("https://www.spark-marketing.ru/Card/Lot/68379916", "Выполнение работ по установке системы контроля доступа и видеонаблюдения (Реестровый номер: 199Э-14/19сб)")</f>
        <v>Выполнение работ по установке системы контроля доступа и видеонаблюдения (Реестровый номер: 199Э-14/19сб)</v>
      </c>
      <c r="G13446" s="22" t="s">
        <v>658</v>
      </c>
      <c r="H13446" s="22" t="s">
        <v>658</v>
      </c>
      <c r="I13446" s="26">
        <v>43524.629166666702</v>
      </c>
      <c r="J13446" s="28" t="s">
        <v>52</v>
      </c>
      <c r="K13446" s="28" t="s">
        <v>52</v>
      </c>
      <c r="L13446" s="28" t="s">
        <v>52</v>
      </c>
      <c r="M13446" s="28" t="s">
        <v>52</v>
      </c>
      <c r="N13446" s="28" t="s">
        <v>52</v>
      </c>
    </row>
    <row r="13447" spans="1:14" hidden="1" outlineLevel="1" x14ac:dyDescent="0.2">
      <c r="A13447" s="23" t="str">
        <f t="shared" si="691"/>
        <v>ОТДЕЛ ОБРАЗОВАНИЯ КИРОВСКОЙ РАЙОННОЙ АДМИНИСТРАЦИИ</v>
      </c>
      <c r="B13447" s="24" t="s">
        <v>15622</v>
      </c>
      <c r="C13447" s="25">
        <v>2703621.6</v>
      </c>
      <c r="D13447" s="22" t="s">
        <v>15623</v>
      </c>
      <c r="E13447" s="22" t="s">
        <v>59</v>
      </c>
      <c r="F13447" s="23" t="str">
        <f t="shared" si="692"/>
        <v>Выполнение работ по установке системы контроля доступа и видеонаблюдения (Реестровый номер: 199Э-14/19сб)</v>
      </c>
      <c r="G13447" s="22" t="s">
        <v>658</v>
      </c>
      <c r="H13447" s="22" t="s">
        <v>658</v>
      </c>
      <c r="I13447" s="26">
        <v>43524.629166666702</v>
      </c>
      <c r="J13447" s="23" t="str">
        <f>HYPERLINK("https://www.spark-marketing.ru/Card/Person/6260794", "ООО ""МОБИЛЬ СВЯЗЬ""")</f>
        <v>ООО "МОБИЛЬ СВЯЗЬ"</v>
      </c>
      <c r="K13447" s="24" t="s">
        <v>6775</v>
      </c>
      <c r="L13447" s="28" t="s">
        <v>52</v>
      </c>
      <c r="M13447" s="25">
        <v>1950000</v>
      </c>
      <c r="N13447" s="27">
        <v>0.27874522085487113</v>
      </c>
    </row>
    <row r="13448" spans="1:14" hidden="1" outlineLevel="1" x14ac:dyDescent="0.2">
      <c r="A13448" s="23" t="str">
        <f t="shared" si="691"/>
        <v>ОТДЕЛ ОБРАЗОВАНИЯ КИРОВСКОЙ РАЙОННОЙ АДМИНИСТРАЦИИ</v>
      </c>
      <c r="B13448" s="24" t="s">
        <v>15622</v>
      </c>
      <c r="C13448" s="25">
        <v>2703621.6</v>
      </c>
      <c r="D13448" s="22" t="s">
        <v>15623</v>
      </c>
      <c r="E13448" s="22" t="s">
        <v>59</v>
      </c>
      <c r="F13448" s="23" t="str">
        <f t="shared" si="692"/>
        <v>Выполнение работ по установке системы контроля доступа и видеонаблюдения (Реестровый номер: 199Э-14/19сб)</v>
      </c>
      <c r="G13448" s="22" t="s">
        <v>658</v>
      </c>
      <c r="H13448" s="22" t="s">
        <v>658</v>
      </c>
      <c r="I13448" s="26">
        <v>43524.629166666702</v>
      </c>
      <c r="J13448" s="23" t="str">
        <f>HYPERLINK("https://www.spark-marketing.ru/Card/Person/5873710", "Быков Анатолий Юрьевич")</f>
        <v>Быков Анатолий Юрьевич</v>
      </c>
      <c r="K13448" s="24" t="s">
        <v>15624</v>
      </c>
      <c r="L13448" s="28" t="s">
        <v>52</v>
      </c>
      <c r="M13448" s="25">
        <v>2392705.09</v>
      </c>
      <c r="N13448" s="27">
        <v>0.11500000961673039</v>
      </c>
    </row>
    <row r="13449" spans="1:14" ht="12.75" hidden="1" outlineLevel="1" x14ac:dyDescent="0.2">
      <c r="A13449" s="23" t="str">
        <f t="shared" si="691"/>
        <v>ОТДЕЛ ОБРАЗОВАНИЯ КИРОВСКОЙ РАЙОННОЙ АДМИНИСТРАЦИИ</v>
      </c>
      <c r="B13449" s="24" t="s">
        <v>15622</v>
      </c>
      <c r="C13449" s="25">
        <v>2703621.6</v>
      </c>
      <c r="D13449" s="22" t="s">
        <v>15623</v>
      </c>
      <c r="E13449" s="22" t="s">
        <v>59</v>
      </c>
      <c r="F13449" s="23" t="str">
        <f t="shared" si="692"/>
        <v>Выполнение работ по установке системы контроля доступа и видеонаблюдения (Реестровый номер: 199Э-14/19сб)</v>
      </c>
      <c r="G13449" s="22" t="s">
        <v>658</v>
      </c>
      <c r="H13449" s="22" t="s">
        <v>658</v>
      </c>
      <c r="I13449" s="26">
        <v>43524.629166666702</v>
      </c>
      <c r="J13449" s="23" t="str">
        <f>HYPERLINK("https://www.spark-marketing.ru/Card/Person/304414", "ООО ""ВЗГЛЯД""")</f>
        <v>ООО "ВЗГЛЯД"</v>
      </c>
      <c r="K13449" s="24" t="s">
        <v>3265</v>
      </c>
      <c r="L13449" s="22" t="s">
        <v>10</v>
      </c>
      <c r="M13449" s="25">
        <v>1936481.89</v>
      </c>
      <c r="N13449" s="27">
        <v>0.28374522159461962</v>
      </c>
    </row>
    <row r="13450" spans="1:14" hidden="1" outlineLevel="1" x14ac:dyDescent="0.2">
      <c r="A13450" s="23" t="str">
        <f t="shared" si="691"/>
        <v>ОТДЕЛ ОБРАЗОВАНИЯ КИРОВСКОЙ РАЙОННОЙ АДМИНИСТРАЦИИ</v>
      </c>
      <c r="B13450" s="24" t="s">
        <v>15622</v>
      </c>
      <c r="C13450" s="25">
        <v>2703621.6</v>
      </c>
      <c r="D13450" s="22" t="s">
        <v>15623</v>
      </c>
      <c r="E13450" s="22" t="s">
        <v>59</v>
      </c>
      <c r="F13450" s="23" t="str">
        <f t="shared" si="692"/>
        <v>Выполнение работ по установке системы контроля доступа и видеонаблюдения (Реестровый номер: 199Э-14/19сб)</v>
      </c>
      <c r="G13450" s="22" t="s">
        <v>658</v>
      </c>
      <c r="H13450" s="22" t="s">
        <v>658</v>
      </c>
      <c r="I13450" s="26">
        <v>43524.629166666702</v>
      </c>
      <c r="J13450" s="23" t="str">
        <f>HYPERLINK("https://www.spark-marketing.ru/Card/Person/282437", "ООО ""АПГРЕЙД СЕРВИС""")</f>
        <v>ООО "АПГРЕЙД СЕРВИС"</v>
      </c>
      <c r="K13450" s="24" t="s">
        <v>5653</v>
      </c>
      <c r="L13450" s="28" t="s">
        <v>52</v>
      </c>
      <c r="M13450" s="25">
        <v>2271042.1</v>
      </c>
      <c r="N13450" s="27">
        <v>0.16000001627446681</v>
      </c>
    </row>
    <row r="13451" spans="1:14" hidden="1" outlineLevel="1" x14ac:dyDescent="0.2">
      <c r="A13451" s="23" t="str">
        <f t="shared" si="691"/>
        <v>ОТДЕЛ ОБРАЗОВАНИЯ КИРОВСКОЙ РАЙОННОЙ АДМИНИСТРАЦИИ</v>
      </c>
      <c r="B13451" s="24" t="s">
        <v>15622</v>
      </c>
      <c r="C13451" s="25">
        <v>2703621.6</v>
      </c>
      <c r="D13451" s="22" t="s">
        <v>15623</v>
      </c>
      <c r="E13451" s="22" t="s">
        <v>59</v>
      </c>
      <c r="F13451" s="23" t="str">
        <f t="shared" si="692"/>
        <v>Выполнение работ по установке системы контроля доступа и видеонаблюдения (Реестровый номер: 199Э-14/19сб)</v>
      </c>
      <c r="G13451" s="22" t="s">
        <v>658</v>
      </c>
      <c r="H13451" s="22" t="s">
        <v>658</v>
      </c>
      <c r="I13451" s="26">
        <v>43524.629166666702</v>
      </c>
      <c r="J13451" s="23" t="str">
        <f>HYPERLINK("https://www.spark-marketing.ru/Card/Person/6501773", "Шагалина Альфия Узбековна")</f>
        <v>Шагалина Альфия Узбековна</v>
      </c>
      <c r="K13451" s="24" t="s">
        <v>14019</v>
      </c>
      <c r="L13451" s="28" t="s">
        <v>52</v>
      </c>
      <c r="M13451" s="25">
        <v>2608994.83</v>
      </c>
      <c r="N13451" s="27">
        <v>3.5000005178239438E-2</v>
      </c>
    </row>
    <row r="13452" spans="1:14" x14ac:dyDescent="0.15">
      <c r="A13452" s="23" t="str">
        <f t="shared" ref="A13452:A13457" si="693">HYPERLINK("https://www.spark-marketing.ru/Card/Person/61400", "ГБУЗ ""ДС № 29 ДЗМ""")</f>
        <v>ГБУЗ "ДС № 29 ДЗМ"</v>
      </c>
      <c r="B13452" s="24" t="s">
        <v>15625</v>
      </c>
      <c r="C13452" s="25">
        <v>167831.03</v>
      </c>
      <c r="D13452" s="22" t="s">
        <v>15626</v>
      </c>
      <c r="E13452" s="22" t="s">
        <v>349</v>
      </c>
      <c r="F13452" s="23" t="str">
        <f t="shared" ref="F13452:F13457" si="694">HYPERLINK("https://www.spark-marketing.ru/Card/Lot/68379038", "Техническое обслуживание систем видеонаблюдения на объекте ГБУЗ ""ДС №29 ДЗМ""")</f>
        <v>Техническое обслуживание систем видеонаблюдения на объекте ГБУЗ "ДС №29 ДЗМ"</v>
      </c>
      <c r="G13452" s="22" t="s">
        <v>55</v>
      </c>
      <c r="H13452" s="22" t="s">
        <v>55</v>
      </c>
      <c r="I13452" s="26">
        <v>43524.612500000003</v>
      </c>
      <c r="J13452" s="28" t="s">
        <v>52</v>
      </c>
      <c r="K13452" s="28" t="s">
        <v>52</v>
      </c>
      <c r="L13452" s="28" t="s">
        <v>52</v>
      </c>
      <c r="M13452" s="28" t="s">
        <v>52</v>
      </c>
      <c r="N13452" s="28" t="s">
        <v>52</v>
      </c>
    </row>
    <row r="13453" spans="1:14" ht="12.75" hidden="1" outlineLevel="1" x14ac:dyDescent="0.2">
      <c r="A13453" s="23" t="str">
        <f t="shared" si="693"/>
        <v>ГБУЗ "ДС № 29 ДЗМ"</v>
      </c>
      <c r="B13453" s="24" t="s">
        <v>15625</v>
      </c>
      <c r="C13453" s="25">
        <v>167831.03</v>
      </c>
      <c r="D13453" s="22" t="s">
        <v>15626</v>
      </c>
      <c r="E13453" s="22" t="s">
        <v>349</v>
      </c>
      <c r="F13453" s="23" t="str">
        <f t="shared" si="694"/>
        <v>Техническое обслуживание систем видеонаблюдения на объекте ГБУЗ "ДС №29 ДЗМ"</v>
      </c>
      <c r="G13453" s="22" t="s">
        <v>55</v>
      </c>
      <c r="H13453" s="22" t="s">
        <v>55</v>
      </c>
      <c r="I13453" s="26">
        <v>43524.612500000003</v>
      </c>
      <c r="J13453" s="23" t="str">
        <f>HYPERLINK("https://www.spark-marketing.ru/Card/Person/6445825", "Судариков Михаил Геннадьевич")</f>
        <v>Судариков Михаил Геннадьевич</v>
      </c>
      <c r="K13453" s="24" t="s">
        <v>1219</v>
      </c>
      <c r="L13453" s="22" t="s">
        <v>10</v>
      </c>
      <c r="M13453" s="25">
        <v>11608.4</v>
      </c>
      <c r="N13453" s="27">
        <v>0.93083281440863463</v>
      </c>
    </row>
    <row r="13454" spans="1:14" hidden="1" outlineLevel="1" x14ac:dyDescent="0.2">
      <c r="A13454" s="23" t="str">
        <f t="shared" si="693"/>
        <v>ГБУЗ "ДС № 29 ДЗМ"</v>
      </c>
      <c r="B13454" s="24" t="s">
        <v>15625</v>
      </c>
      <c r="C13454" s="25">
        <v>167831.03</v>
      </c>
      <c r="D13454" s="22" t="s">
        <v>15626</v>
      </c>
      <c r="E13454" s="22" t="s">
        <v>349</v>
      </c>
      <c r="F13454" s="23" t="str">
        <f t="shared" si="694"/>
        <v>Техническое обслуживание систем видеонаблюдения на объекте ГБУЗ "ДС №29 ДЗМ"</v>
      </c>
      <c r="G13454" s="22" t="s">
        <v>55</v>
      </c>
      <c r="H13454" s="22" t="s">
        <v>55</v>
      </c>
      <c r="I13454" s="26">
        <v>43524.612500000003</v>
      </c>
      <c r="J13454" s="23" t="str">
        <f>HYPERLINK("https://www.spark-marketing.ru/Card/Person/148987", "ООО ""СПЕЦСИСТЕМА""")</f>
        <v>ООО "СПЕЦСИСТЕМА"</v>
      </c>
      <c r="K13454" s="24" t="s">
        <v>15627</v>
      </c>
      <c r="L13454" s="28" t="s">
        <v>52</v>
      </c>
      <c r="M13454" s="25">
        <v>12447.56</v>
      </c>
      <c r="N13454" s="27">
        <v>0.92583278551052206</v>
      </c>
    </row>
    <row r="13455" spans="1:14" hidden="1" outlineLevel="1" x14ac:dyDescent="0.2">
      <c r="A13455" s="23" t="str">
        <f t="shared" si="693"/>
        <v>ГБУЗ "ДС № 29 ДЗМ"</v>
      </c>
      <c r="B13455" s="24" t="s">
        <v>15625</v>
      </c>
      <c r="C13455" s="25">
        <v>167831.03</v>
      </c>
      <c r="D13455" s="22" t="s">
        <v>15626</v>
      </c>
      <c r="E13455" s="22" t="s">
        <v>349</v>
      </c>
      <c r="F13455" s="23" t="str">
        <f t="shared" si="694"/>
        <v>Техническое обслуживание систем видеонаблюдения на объекте ГБУЗ "ДС №29 ДЗМ"</v>
      </c>
      <c r="G13455" s="22" t="s">
        <v>55</v>
      </c>
      <c r="H13455" s="22" t="s">
        <v>55</v>
      </c>
      <c r="I13455" s="26">
        <v>43524.612500000003</v>
      </c>
      <c r="J13455" s="23" t="str">
        <f>HYPERLINK("https://www.spark-marketing.ru/Card/Person/6462474", "ООО ""ФАВОР""")</f>
        <v>ООО "ФАВОР"</v>
      </c>
      <c r="K13455" s="24" t="s">
        <v>2058</v>
      </c>
      <c r="L13455" s="28" t="s">
        <v>52</v>
      </c>
      <c r="M13455" s="25">
        <v>123355</v>
      </c>
      <c r="N13455" s="27">
        <v>0.26500480870551768</v>
      </c>
    </row>
    <row r="13456" spans="1:14" hidden="1" outlineLevel="1" x14ac:dyDescent="0.2">
      <c r="A13456" s="23" t="str">
        <f t="shared" si="693"/>
        <v>ГБУЗ "ДС № 29 ДЗМ"</v>
      </c>
      <c r="B13456" s="24" t="s">
        <v>15625</v>
      </c>
      <c r="C13456" s="25">
        <v>167831.03</v>
      </c>
      <c r="D13456" s="22" t="s">
        <v>15626</v>
      </c>
      <c r="E13456" s="22" t="s">
        <v>349</v>
      </c>
      <c r="F13456" s="23" t="str">
        <f t="shared" si="694"/>
        <v>Техническое обслуживание систем видеонаблюдения на объекте ГБУЗ "ДС №29 ДЗМ"</v>
      </c>
      <c r="G13456" s="22" t="s">
        <v>55</v>
      </c>
      <c r="H13456" s="22" t="s">
        <v>55</v>
      </c>
      <c r="I13456" s="26">
        <v>43524.612500000003</v>
      </c>
      <c r="J13456" s="23" t="str">
        <f>HYPERLINK("https://www.spark-marketing.ru/Card/Person/65028", "ООО ""ИМПУЛЬС М""")</f>
        <v>ООО "ИМПУЛЬС М"</v>
      </c>
      <c r="K13456" s="24" t="s">
        <v>7268</v>
      </c>
      <c r="L13456" s="28" t="s">
        <v>52</v>
      </c>
      <c r="M13456" s="25">
        <v>71327.28</v>
      </c>
      <c r="N13456" s="27">
        <v>0.57500540871375216</v>
      </c>
    </row>
    <row r="13457" spans="1:14" hidden="1" outlineLevel="1" x14ac:dyDescent="0.2">
      <c r="A13457" s="23" t="str">
        <f t="shared" si="693"/>
        <v>ГБУЗ "ДС № 29 ДЗМ"</v>
      </c>
      <c r="B13457" s="24" t="s">
        <v>15625</v>
      </c>
      <c r="C13457" s="25">
        <v>167831.03</v>
      </c>
      <c r="D13457" s="22" t="s">
        <v>15626</v>
      </c>
      <c r="E13457" s="22" t="s">
        <v>349</v>
      </c>
      <c r="F13457" s="23" t="str">
        <f t="shared" si="694"/>
        <v>Техническое обслуживание систем видеонаблюдения на объекте ГБУЗ "ДС №29 ДЗМ"</v>
      </c>
      <c r="G13457" s="22" t="s">
        <v>55</v>
      </c>
      <c r="H13457" s="22" t="s">
        <v>55</v>
      </c>
      <c r="I13457" s="26">
        <v>43524.612500000003</v>
      </c>
      <c r="J13457" s="23" t="str">
        <f>HYPERLINK("https://www.spark-marketing.ru/Card/Person/6401037", "ООО ""ДЖОЙН ИТ""")</f>
        <v>ООО "ДЖОЙН ИТ"</v>
      </c>
      <c r="K13457" s="24" t="s">
        <v>15628</v>
      </c>
      <c r="L13457" s="28" t="s">
        <v>52</v>
      </c>
      <c r="M13457" s="25">
        <v>102376.1</v>
      </c>
      <c r="N13457" s="27">
        <v>0.39000493532095942</v>
      </c>
    </row>
    <row r="13458" spans="1:14" x14ac:dyDescent="0.15">
      <c r="A13458" s="23" t="str">
        <f>HYPERLINK("https://www.spark-marketing.ru/Card/Person/642539", "УПФР В ЧАМЗИНСКОМ МУНИЦИПАЛЬНОМ РАЙОНЕ РЕСПУБЛИКИ МОРДОВИЯ (МЕЖРАЙОННОЕ)")</f>
        <v>УПФР В ЧАМЗИНСКОМ МУНИЦИПАЛЬНОМ РАЙОНЕ РЕСПУБЛИКИ МОРДОВИЯ (МЕЖРАЙОННОЕ)</v>
      </c>
      <c r="B13458" s="24" t="s">
        <v>15629</v>
      </c>
      <c r="C13458" s="25">
        <v>225600</v>
      </c>
      <c r="D13458" s="22" t="s">
        <v>15630</v>
      </c>
      <c r="E13458" s="22" t="s">
        <v>59</v>
      </c>
      <c r="F13458" s="23" t="str">
        <f>HYPERLINK("https://www.spark-marketing.ru/Card/Lot/68376638", "Создание системы аудио-видеоконтроля зон приема граждан в здании УПФР в Чамзинском муниципальном районе Республики Мордовия (межрайонное)")</f>
        <v>Создание системы аудио-видеоконтроля зон приема граждан в здании УПФР в Чамзинском муниципальном районе Республики Мордовия (межрайонное)</v>
      </c>
      <c r="G13458" s="22" t="s">
        <v>331</v>
      </c>
      <c r="H13458" s="22" t="s">
        <v>15631</v>
      </c>
      <c r="I13458" s="26">
        <v>43524.595833333296</v>
      </c>
      <c r="J13458" s="28" t="s">
        <v>52</v>
      </c>
      <c r="K13458" s="28" t="s">
        <v>52</v>
      </c>
      <c r="L13458" s="28" t="s">
        <v>52</v>
      </c>
      <c r="M13458" s="28" t="s">
        <v>52</v>
      </c>
      <c r="N13458" s="28" t="s">
        <v>52</v>
      </c>
    </row>
    <row r="13459" spans="1:14" hidden="1" outlineLevel="1" x14ac:dyDescent="0.2">
      <c r="A13459" s="23" t="str">
        <f>HYPERLINK("https://www.spark-marketing.ru/Card/Person/642539", "УПФР В ЧАМЗИНСКОМ МУНИЦИПАЛЬНОМ РАЙОНЕ РЕСПУБЛИКИ МОРДОВИЯ (МЕЖРАЙОННОЕ)")</f>
        <v>УПФР В ЧАМЗИНСКОМ МУНИЦИПАЛЬНОМ РАЙОНЕ РЕСПУБЛИКИ МОРДОВИЯ (МЕЖРАЙОННОЕ)</v>
      </c>
      <c r="B13459" s="24" t="s">
        <v>15629</v>
      </c>
      <c r="C13459" s="25">
        <v>225600</v>
      </c>
      <c r="D13459" s="22" t="s">
        <v>15630</v>
      </c>
      <c r="E13459" s="22" t="s">
        <v>59</v>
      </c>
      <c r="F13459" s="23" t="str">
        <f>HYPERLINK("https://www.spark-marketing.ru/Card/Lot/68376638", "Создание системы аудио-видеоконтроля зон приема граждан в здании УПФР в Чамзинском муниципальном районе Республики Мордовия (межрайонное)")</f>
        <v>Создание системы аудио-видеоконтроля зон приема граждан в здании УПФР в Чамзинском муниципальном районе Республики Мордовия (межрайонное)</v>
      </c>
      <c r="G13459" s="22" t="s">
        <v>331</v>
      </c>
      <c r="H13459" s="22" t="s">
        <v>15631</v>
      </c>
      <c r="I13459" s="26">
        <v>43524.595833333296</v>
      </c>
      <c r="J13459" s="23" t="str">
        <f>HYPERLINK("https://www.spark-marketing.ru/Card/Person/133967", "ООО ""СТКОМ""")</f>
        <v>ООО "СТКОМ"</v>
      </c>
      <c r="K13459" s="24" t="s">
        <v>15563</v>
      </c>
      <c r="L13459" s="28" t="s">
        <v>52</v>
      </c>
      <c r="M13459" s="25">
        <v>180480</v>
      </c>
      <c r="N13459" s="27">
        <v>0.2</v>
      </c>
    </row>
    <row r="13460" spans="1:14" ht="12.75" hidden="1" outlineLevel="1" x14ac:dyDescent="0.2">
      <c r="A13460" s="23" t="str">
        <f>HYPERLINK("https://www.spark-marketing.ru/Card/Person/642539", "УПФР В ЧАМЗИНСКОМ МУНИЦИПАЛЬНОМ РАЙОНЕ РЕСПУБЛИКИ МОРДОВИЯ (МЕЖРАЙОННОЕ)")</f>
        <v>УПФР В ЧАМЗИНСКОМ МУНИЦИПАЛЬНОМ РАЙОНЕ РЕСПУБЛИКИ МОРДОВИЯ (МЕЖРАЙОННОЕ)</v>
      </c>
      <c r="B13460" s="24" t="s">
        <v>15629</v>
      </c>
      <c r="C13460" s="25">
        <v>225600</v>
      </c>
      <c r="D13460" s="22" t="s">
        <v>15630</v>
      </c>
      <c r="E13460" s="22" t="s">
        <v>59</v>
      </c>
      <c r="F13460" s="23" t="str">
        <f>HYPERLINK("https://www.spark-marketing.ru/Card/Lot/68376638", "Создание системы аудио-видеоконтроля зон приема граждан в здании УПФР в Чамзинском муниципальном районе Республики Мордовия (межрайонное)")</f>
        <v>Создание системы аудио-видеоконтроля зон приема граждан в здании УПФР в Чамзинском муниципальном районе Республики Мордовия (межрайонное)</v>
      </c>
      <c r="G13460" s="22" t="s">
        <v>331</v>
      </c>
      <c r="H13460" s="22" t="s">
        <v>15631</v>
      </c>
      <c r="I13460" s="26">
        <v>43524.595833333296</v>
      </c>
      <c r="J13460" s="23" t="str">
        <f>HYPERLINK("https://www.spark-marketing.ru/Card/Person/149051", "Лопаткин Андрей Николаевич")</f>
        <v>Лопаткин Андрей Николаевич</v>
      </c>
      <c r="K13460" s="24" t="s">
        <v>2127</v>
      </c>
      <c r="L13460" s="22" t="s">
        <v>10</v>
      </c>
      <c r="M13460" s="25">
        <v>179352</v>
      </c>
      <c r="N13460" s="27">
        <v>0.20499999999999999</v>
      </c>
    </row>
    <row r="13461" spans="1:14" x14ac:dyDescent="0.15">
      <c r="A13461" s="23" t="str">
        <f>HYPERLINK("https://www.spark-marketing.ru/Card/Person/6441008", "ГБУЗ ПК ""ДКБ №13""")</f>
        <v>ГБУЗ ПК "ДКБ №13"</v>
      </c>
      <c r="B13461" s="24" t="s">
        <v>15632</v>
      </c>
      <c r="C13461" s="25">
        <v>12838.56</v>
      </c>
      <c r="D13461" s="22" t="s">
        <v>15633</v>
      </c>
      <c r="E13461" s="22" t="s">
        <v>103</v>
      </c>
      <c r="F13461" s="23" t="str">
        <f>HYPERLINK("https://www.spark-marketing.ru/Card/Lot/68369907", "Оказание услуг по техническому обслуживанию тревожной сигнализации и охранной сигнализации")</f>
        <v>Оказание услуг по техническому обслуживанию тревожной сигнализации и охранной сигнализации</v>
      </c>
      <c r="G13461" s="22" t="s">
        <v>391</v>
      </c>
      <c r="H13461" s="22" t="s">
        <v>391</v>
      </c>
      <c r="I13461" s="26">
        <v>43524.6159722222</v>
      </c>
      <c r="J13461" s="28" t="s">
        <v>52</v>
      </c>
      <c r="K13461" s="28" t="s">
        <v>52</v>
      </c>
      <c r="L13461" s="28" t="s">
        <v>52</v>
      </c>
      <c r="M13461" s="28" t="s">
        <v>52</v>
      </c>
      <c r="N13461" s="28" t="s">
        <v>52</v>
      </c>
    </row>
    <row r="13462" spans="1:14" x14ac:dyDescent="0.15">
      <c r="A13462" s="23" t="str">
        <f>HYPERLINK("https://www.spark-marketing.ru/Card/Person/18978", "ТУ РОСИМУЩЕСТВА В НИЖЕГОРОДСКОЙ ОБЛАСТИ")</f>
        <v>ТУ РОСИМУЩЕСТВА В НИЖЕГОРОДСКОЙ ОБЛАСТИ</v>
      </c>
      <c r="B13462" s="24" t="s">
        <v>13114</v>
      </c>
      <c r="C13462" s="25">
        <v>724500</v>
      </c>
      <c r="D13462" s="22" t="s">
        <v>15634</v>
      </c>
      <c r="E13462" s="22" t="s">
        <v>68</v>
      </c>
      <c r="F13462" s="23" t="str">
        <f>HYPERLINK("https://www.spark-marketing.ru/Card/Lot/68375690", "На оказание услуг по обеспечению пропускного режима в служебные помещения 7, 8 этажей Территориального управления Федерального агентства по управлению государственным имуществом в Нижегородской области по адресу: Нижний Новгород, ул. Площадь Максима ...")</f>
        <v>На оказание услуг по обеспечению пропускного режима в служебные помещения 7, 8 этажей Территориального управления Федерального агентства по управлению государственным имуществом в Нижегородской области по адресу: Нижний Новгород, ул. Площадь Максима ...</v>
      </c>
      <c r="G13462" s="22" t="s">
        <v>64</v>
      </c>
      <c r="H13462" s="22" t="s">
        <v>65</v>
      </c>
      <c r="I13462" s="26">
        <v>43524.617361111101</v>
      </c>
      <c r="J13462" s="28" t="s">
        <v>52</v>
      </c>
      <c r="K13462" s="28" t="s">
        <v>52</v>
      </c>
      <c r="L13462" s="28" t="s">
        <v>52</v>
      </c>
      <c r="M13462" s="28" t="s">
        <v>52</v>
      </c>
      <c r="N13462" s="28" t="s">
        <v>52</v>
      </c>
    </row>
    <row r="13463" spans="1:14" hidden="1" outlineLevel="1" x14ac:dyDescent="0.2">
      <c r="A13463" s="23" t="str">
        <f>HYPERLINK("https://www.spark-marketing.ru/Card/Person/18978", "ТУ РОСИМУЩЕСТВА В НИЖЕГОРОДСКОЙ ОБЛАСТИ")</f>
        <v>ТУ РОСИМУЩЕСТВА В НИЖЕГОРОДСКОЙ ОБЛАСТИ</v>
      </c>
      <c r="B13463" s="24" t="s">
        <v>13114</v>
      </c>
      <c r="C13463" s="25">
        <v>724500</v>
      </c>
      <c r="D13463" s="22" t="s">
        <v>15634</v>
      </c>
      <c r="E13463" s="22" t="s">
        <v>68</v>
      </c>
      <c r="F13463" s="23" t="str">
        <f>HYPERLINK("https://www.spark-marketing.ru/Card/Lot/68375690", "На оказание услуг по обеспечению пропускного режима в служебные помещения 7, 8 этажей Территориального управления Федерального агентства по управлению государственным имуществом в Нижегородской области по адресу: Нижний Новгород, ул. Площадь Максима ...")</f>
        <v>На оказание услуг по обеспечению пропускного режима в служебные помещения 7, 8 этажей Территориального управления Федерального агентства по управлению государственным имуществом в Нижегородской области по адресу: Нижний Новгород, ул. Площадь Максима ...</v>
      </c>
      <c r="G13463" s="22" t="s">
        <v>64</v>
      </c>
      <c r="H13463" s="22" t="s">
        <v>65</v>
      </c>
      <c r="I13463" s="26">
        <v>43524.617361111101</v>
      </c>
      <c r="J13463" s="23" t="str">
        <f>HYPERLINK("https://www.spark-marketing.ru/Card/Person/111401", "ООО ЧОО ""С БЕЗОПАСНОСТЬ""")</f>
        <v>ООО ЧОО "С БЕЗОПАСНОСТЬ"</v>
      </c>
      <c r="K13463" s="24" t="s">
        <v>15635</v>
      </c>
      <c r="L13463" s="28" t="s">
        <v>52</v>
      </c>
      <c r="M13463" s="25">
        <v>629165</v>
      </c>
      <c r="N13463" s="27">
        <v>0.13158730158730159</v>
      </c>
    </row>
    <row r="13464" spans="1:14" ht="12.75" hidden="1" outlineLevel="1" x14ac:dyDescent="0.2">
      <c r="A13464" s="23" t="str">
        <f>HYPERLINK("https://www.spark-marketing.ru/Card/Person/18978", "ТУ РОСИМУЩЕСТВА В НИЖЕГОРОДСКОЙ ОБЛАСТИ")</f>
        <v>ТУ РОСИМУЩЕСТВА В НИЖЕГОРОДСКОЙ ОБЛАСТИ</v>
      </c>
      <c r="B13464" s="24" t="s">
        <v>13114</v>
      </c>
      <c r="C13464" s="25">
        <v>724500</v>
      </c>
      <c r="D13464" s="22" t="s">
        <v>15634</v>
      </c>
      <c r="E13464" s="22" t="s">
        <v>68</v>
      </c>
      <c r="F13464" s="23" t="str">
        <f>HYPERLINK("https://www.spark-marketing.ru/Card/Lot/68375690", "На оказание услуг по обеспечению пропускного режима в служебные помещения 7, 8 этажей Территориального управления Федерального агентства по управлению государственным имуществом в Нижегородской области по адресу: Нижний Новгород, ул. Площадь Максима ...")</f>
        <v>На оказание услуг по обеспечению пропускного режима в служебные помещения 7, 8 этажей Территориального управления Федерального агентства по управлению государственным имуществом в Нижегородской области по адресу: Нижний Новгород, ул. Площадь Максима ...</v>
      </c>
      <c r="G13464" s="22" t="s">
        <v>64</v>
      </c>
      <c r="H13464" s="22" t="s">
        <v>65</v>
      </c>
      <c r="I13464" s="26">
        <v>43524.617361111101</v>
      </c>
      <c r="J13464" s="23" t="str">
        <f>HYPERLINK("https://www.spark-marketing.ru/Card/Person/526990", "ООО ""ЧОО ""СКАЛА-НН""")</f>
        <v>ООО "ЧОО "СКАЛА-НН"</v>
      </c>
      <c r="K13464" s="24" t="s">
        <v>10632</v>
      </c>
      <c r="L13464" s="22" t="s">
        <v>10</v>
      </c>
      <c r="M13464" s="25">
        <v>625542.5</v>
      </c>
      <c r="N13464" s="27">
        <v>0.13658730158730159</v>
      </c>
    </row>
    <row r="13465" spans="1:14" hidden="1" outlineLevel="1" x14ac:dyDescent="0.2">
      <c r="A13465" s="23" t="str">
        <f>HYPERLINK("https://www.spark-marketing.ru/Card/Person/18978", "ТУ РОСИМУЩЕСТВА В НИЖЕГОРОДСКОЙ ОБЛАСТИ")</f>
        <v>ТУ РОСИМУЩЕСТВА В НИЖЕГОРОДСКОЙ ОБЛАСТИ</v>
      </c>
      <c r="B13465" s="24" t="s">
        <v>13114</v>
      </c>
      <c r="C13465" s="25">
        <v>724500</v>
      </c>
      <c r="D13465" s="22" t="s">
        <v>15634</v>
      </c>
      <c r="E13465" s="22" t="s">
        <v>68</v>
      </c>
      <c r="F13465" s="23" t="str">
        <f>HYPERLINK("https://www.spark-marketing.ru/Card/Lot/68375690", "На оказание услуг по обеспечению пропускного режима в служебные помещения 7, 8 этажей Территориального управления Федерального агентства по управлению государственным имуществом в Нижегородской области по адресу: Нижний Новгород, ул. Площадь Максима ...")</f>
        <v>На оказание услуг по обеспечению пропускного режима в служебные помещения 7, 8 этажей Территориального управления Федерального агентства по управлению государственным имуществом в Нижегородской области по адресу: Нижний Новгород, ул. Площадь Максима ...</v>
      </c>
      <c r="G13465" s="22" t="s">
        <v>64</v>
      </c>
      <c r="H13465" s="22" t="s">
        <v>65</v>
      </c>
      <c r="I13465" s="26">
        <v>43524.617361111101</v>
      </c>
      <c r="J13465" s="23" t="str">
        <f>HYPERLINK("https://www.spark-marketing.ru/Card/Person/38100", "ООО ЧОО ""ВСС-ПЕРМЬ""")</f>
        <v>ООО ЧОО "ВСС-ПЕРМЬ"</v>
      </c>
      <c r="K13465" s="24" t="s">
        <v>13537</v>
      </c>
      <c r="L13465" s="28" t="s">
        <v>52</v>
      </c>
      <c r="M13465" s="25">
        <v>695520</v>
      </c>
      <c r="N13465" s="27">
        <v>0.04</v>
      </c>
    </row>
    <row r="13466" spans="1:14" x14ac:dyDescent="0.15">
      <c r="A13466" s="23" t="str">
        <f>HYPERLINK("https://www.spark-marketing.ru/Card/Person/147484", "МБОУ ""ЛУХОВИЦКАЯ СРЕДНЯЯ ОБЩЕОБРАЗОВАТЕЛЬНАЯ ШКОЛА № 2""")</f>
        <v>МБОУ "ЛУХОВИЦКАЯ СРЕДНЯЯ ОБЩЕОБРАЗОВАТЕЛЬНАЯ ШКОЛА № 2"</v>
      </c>
      <c r="B13466" s="24" t="s">
        <v>15636</v>
      </c>
      <c r="C13466" s="25">
        <v>91000</v>
      </c>
      <c r="D13466" s="22" t="s">
        <v>15637</v>
      </c>
      <c r="E13466" s="22" t="s">
        <v>298</v>
      </c>
      <c r="F13466" s="23" t="str">
        <f>HYPERLINK("https://www.spark-marketing.ru/Card/Lot/68538515", "обслуживание систем видеонаблюдения")</f>
        <v>обслуживание систем видеонаблюдения</v>
      </c>
      <c r="G13466" s="22" t="s">
        <v>50</v>
      </c>
      <c r="H13466" s="22" t="s">
        <v>195</v>
      </c>
      <c r="I13466" s="26">
        <v>43524.606956018499</v>
      </c>
      <c r="J13466" s="28" t="s">
        <v>52</v>
      </c>
      <c r="K13466" s="28" t="s">
        <v>52</v>
      </c>
      <c r="L13466" s="28" t="s">
        <v>52</v>
      </c>
      <c r="M13466" s="28" t="s">
        <v>52</v>
      </c>
      <c r="N13466" s="28" t="s">
        <v>52</v>
      </c>
    </row>
    <row r="13467" spans="1:14" x14ac:dyDescent="0.15">
      <c r="A13467" s="23" t="str">
        <f>HYPERLINK("https://www.spark-marketing.ru/Card/Person/53580", "СУ СК РОССИИ ПО ЛЕНИНГРАДСКОЙ ОБЛАСТИ")</f>
        <v>СУ СК РОССИИ ПО ЛЕНИНГРАДСКОЙ ОБЛАСТИ</v>
      </c>
      <c r="B13467" s="24" t="s">
        <v>15638</v>
      </c>
      <c r="C13467" s="25">
        <v>467400</v>
      </c>
      <c r="D13467" s="22" t="s">
        <v>15639</v>
      </c>
      <c r="E13467" s="22" t="s">
        <v>298</v>
      </c>
      <c r="F13467" s="23" t="str">
        <f>HYPERLINK("https://www.spark-marketing.ru/Card/Lot/68376658", "Закупка работ по техническому обслуживанию локально-вычислительной сети и системы видеоконференцсвязи")</f>
        <v>Закупка работ по техническому обслуживанию локально-вычислительной сети и системы видеоконференцсвязи</v>
      </c>
      <c r="G13467" s="22" t="s">
        <v>861</v>
      </c>
      <c r="H13467" s="22" t="s">
        <v>861</v>
      </c>
      <c r="I13467" s="26">
        <v>43524.585416666698</v>
      </c>
      <c r="J13467" s="23" t="str">
        <f>HYPERLINK("https://www.spark-marketing.ru/Card/Person/56565", "ООО ""АНТАРЕС""")</f>
        <v>ООО "АНТАРЕС"</v>
      </c>
      <c r="K13467" s="24" t="s">
        <v>15640</v>
      </c>
      <c r="L13467" s="28" t="s">
        <v>52</v>
      </c>
      <c r="M13467" s="28" t="s">
        <v>52</v>
      </c>
      <c r="N13467" s="28" t="s">
        <v>52</v>
      </c>
    </row>
    <row r="13468" spans="1:14" ht="12.75" hidden="1" outlineLevel="1" x14ac:dyDescent="0.2">
      <c r="A13468" s="23" t="str">
        <f>HYPERLINK("https://www.spark-marketing.ru/Card/Person/53580", "СУ СК РОССИИ ПО ЛЕНИНГРАДСКОЙ ОБЛАСТИ")</f>
        <v>СУ СК РОССИИ ПО ЛЕНИНГРАДСКОЙ ОБЛАСТИ</v>
      </c>
      <c r="B13468" s="24" t="s">
        <v>15638</v>
      </c>
      <c r="C13468" s="25">
        <v>467400</v>
      </c>
      <c r="D13468" s="22" t="s">
        <v>15639</v>
      </c>
      <c r="E13468" s="22" t="s">
        <v>298</v>
      </c>
      <c r="F13468" s="23" t="str">
        <f>HYPERLINK("https://www.spark-marketing.ru/Card/Lot/68376658", "Закупка работ по техническому обслуживанию локально-вычислительной сети и системы видеоконференцсвязи")</f>
        <v>Закупка работ по техническому обслуживанию локально-вычислительной сети и системы видеоконференцсвязи</v>
      </c>
      <c r="G13468" s="22" t="s">
        <v>861</v>
      </c>
      <c r="H13468" s="22" t="s">
        <v>861</v>
      </c>
      <c r="I13468" s="26">
        <v>43524.585416666698</v>
      </c>
      <c r="J13468" s="23" t="str">
        <f>HYPERLINK("https://www.spark-marketing.ru/Card/Person/56565", "ООО ""АНТАРЕС""")</f>
        <v>ООО "АНТАРЕС"</v>
      </c>
      <c r="K13468" s="24" t="s">
        <v>15640</v>
      </c>
      <c r="L13468" s="22" t="s">
        <v>10</v>
      </c>
      <c r="M13468" s="25">
        <v>465063</v>
      </c>
      <c r="N13468" s="27">
        <v>5.0000000000000001E-3</v>
      </c>
    </row>
    <row r="13469" spans="1:14" ht="12.75" x14ac:dyDescent="0.2">
      <c r="A13469" s="23" t="str">
        <f>HYPERLINK("https://www.spark-marketing.ru/Card/Person/19606", "ГБУ ""УПРАВЛЕНИЕ ДОМАМИ АДМИНИСТРАЦИИ БРЯНСКОЙ ОБЛАСТИ""")</f>
        <v>ГБУ "УПРАВЛЕНИЕ ДОМАМИ АДМИНИСТРАЦИИ БРЯНСКОЙ ОБЛАСТИ"</v>
      </c>
      <c r="B13469" s="24" t="s">
        <v>15641</v>
      </c>
      <c r="C13469" s="25">
        <v>192000</v>
      </c>
      <c r="D13469" s="22" t="s">
        <v>15642</v>
      </c>
      <c r="E13469" s="22" t="s">
        <v>68</v>
      </c>
      <c r="F13469" s="23" t="str">
        <f>HYPERLINK("https://www.spark-marketing.ru/Card/Lot/68379403", "Оказание услуг по охране объектов путем контроля над техническими средствами тревожной сигнализации для нужд ГБУ ""Управление домами администрации Брянской области""")</f>
        <v>Оказание услуг по охране объектов путем контроля над техническими средствами тревожной сигнализации для нужд ГБУ "Управление домами администрации Брянской области"</v>
      </c>
      <c r="G13469" s="22" t="s">
        <v>215</v>
      </c>
      <c r="H13469" s="22" t="s">
        <v>406</v>
      </c>
      <c r="I13469" s="26">
        <v>43524.618055555598</v>
      </c>
      <c r="J13469" s="23" t="str">
        <f>HYPERLINK("https://www.spark-marketing.ru/Card/Person/4370861", "ООО ""ЧОП ""ПРЕМЬЕР""")</f>
        <v>ООО "ЧОП "ПРЕМЬЕР"</v>
      </c>
      <c r="K13469" s="24" t="s">
        <v>12639</v>
      </c>
      <c r="L13469" s="22" t="s">
        <v>10</v>
      </c>
      <c r="M13469" s="25">
        <v>98000</v>
      </c>
      <c r="N13469" s="27">
        <v>0.48958333333333331</v>
      </c>
    </row>
    <row r="13470" spans="1:14" x14ac:dyDescent="0.2">
      <c r="A13470" s="23" t="str">
        <f>HYPERLINK("https://www.spark-marketing.ru/Card/Person/33555", "ГБУ ""ЖИЛИЩНИК РАЙОНА ТВЕРСКОЙ""")</f>
        <v>ГБУ "ЖИЛИЩНИК РАЙОНА ТВЕРСКОЙ"</v>
      </c>
      <c r="B13470" s="24" t="s">
        <v>10367</v>
      </c>
      <c r="C13470" s="25">
        <v>77966.399999999994</v>
      </c>
      <c r="D13470" s="22" t="s">
        <v>15643</v>
      </c>
      <c r="E13470" s="22" t="s">
        <v>533</v>
      </c>
      <c r="F13470" s="23" t="str">
        <f>HYPERLINK("https://www.spark-marketing.ru/Card/Lot/68390261", "Пультовая охрана объекта по адресу: ул. Складочная, вл.5А (на 2019 год)")</f>
        <v>Пультовая охрана объекта по адресу: ул. Складочная, вл.5А (на 2019 год)</v>
      </c>
      <c r="G13470" s="22" t="s">
        <v>55</v>
      </c>
      <c r="H13470" s="22" t="s">
        <v>55</v>
      </c>
      <c r="I13470" s="26">
        <v>43524.546087962997</v>
      </c>
      <c r="J13470" s="28" t="s">
        <v>52</v>
      </c>
      <c r="K13470" s="28" t="s">
        <v>52</v>
      </c>
      <c r="L13470" s="28" t="s">
        <v>52</v>
      </c>
      <c r="M13470" s="25">
        <v>77966.399999999994</v>
      </c>
      <c r="N13470" s="27">
        <v>0</v>
      </c>
    </row>
    <row r="13471" spans="1:14" x14ac:dyDescent="0.15">
      <c r="A13471" s="23" t="str">
        <f>HYPERLINK("https://www.spark-marketing.ru/Card/Person/108664", "ИФР РАН")</f>
        <v>ИФР РАН</v>
      </c>
      <c r="B13471" s="24" t="s">
        <v>776</v>
      </c>
      <c r="C13471" s="25">
        <v>168678.28</v>
      </c>
      <c r="D13471" s="22" t="s">
        <v>15644</v>
      </c>
      <c r="E13471" s="22" t="s">
        <v>6487</v>
      </c>
      <c r="F13471" s="23" t="str">
        <f>HYPERLINK("https://www.spark-marketing.ru/Card/Lot/68390513", "Выполнение работ по техническому обслуживанию за состоянием КИПиА, технологической защиты и сигнализации двух водогрейных котлов «КВА-1,86» с газовыми горелками, щитов управления оборудованием, щитов сигнализации и регулирования котельной, системы хи...")</f>
        <v>Выполнение работ по техническому обслуживанию за состоянием КИПиА, технологической защиты и сигнализации двух водогрейных котлов «КВА-1,86» с газовыми горелками, щитов управления оборудованием, щитов сигнализации и регулирования котельной, системы хи...</v>
      </c>
      <c r="G13471" s="22" t="s">
        <v>55</v>
      </c>
      <c r="H13471" s="22" t="s">
        <v>55</v>
      </c>
      <c r="I13471" s="26">
        <v>43524.576388888898</v>
      </c>
      <c r="J13471" s="28" t="s">
        <v>52</v>
      </c>
      <c r="K13471" s="28" t="s">
        <v>52</v>
      </c>
      <c r="L13471" s="28" t="s">
        <v>52</v>
      </c>
      <c r="M13471" s="28" t="s">
        <v>52</v>
      </c>
      <c r="N13471" s="28" t="s">
        <v>52</v>
      </c>
    </row>
    <row r="13472" spans="1:14" x14ac:dyDescent="0.15">
      <c r="A13472" s="23" t="str">
        <f>HYPERLINK("https://www.spark-marketing.ru/Card/Person/78692", "УПРАВЛЕНИЕ РОСПОТРЕБНАДЗОРА ПО АЛТАЙСКОМУ КРАЮ")</f>
        <v>УПРАВЛЕНИЕ РОСПОТРЕБНАДЗОРА ПО АЛТАЙСКОМУ КРАЮ</v>
      </c>
      <c r="B13472" s="24" t="s">
        <v>15645</v>
      </c>
      <c r="C13472" s="25">
        <v>122000</v>
      </c>
      <c r="D13472" s="22" t="s">
        <v>15646</v>
      </c>
      <c r="E13472" s="22" t="s">
        <v>107</v>
      </c>
      <c r="F13472" s="23" t="str">
        <f>HYPERLINK("https://www.spark-marketing.ru/Card/Lot/68358864", "Услуги по техническому обслуживанию системы контроля и управления доступом, видеонаблюдения и записи телефонных разговоров")</f>
        <v>Услуги по техническому обслуживанию системы контроля и управления доступом, видеонаблюдения и записи телефонных разговоров</v>
      </c>
      <c r="G13472" s="22" t="s">
        <v>428</v>
      </c>
      <c r="H13472" s="22" t="s">
        <v>428</v>
      </c>
      <c r="I13472" s="26">
        <v>43524.552777777797</v>
      </c>
      <c r="J13472" s="28" t="s">
        <v>52</v>
      </c>
      <c r="K13472" s="28" t="s">
        <v>52</v>
      </c>
      <c r="L13472" s="28" t="s">
        <v>52</v>
      </c>
      <c r="M13472" s="28" t="s">
        <v>52</v>
      </c>
      <c r="N13472" s="28" t="s">
        <v>52</v>
      </c>
    </row>
    <row r="13473" spans="1:14" hidden="1" outlineLevel="1" x14ac:dyDescent="0.2">
      <c r="A13473" s="23" t="str">
        <f>HYPERLINK("https://www.spark-marketing.ru/Card/Person/78692", "УПРАВЛЕНИЕ РОСПОТРЕБНАДЗОРА ПО АЛТАЙСКОМУ КРАЮ")</f>
        <v>УПРАВЛЕНИЕ РОСПОТРЕБНАДЗОРА ПО АЛТАЙСКОМУ КРАЮ</v>
      </c>
      <c r="B13473" s="24" t="s">
        <v>15645</v>
      </c>
      <c r="C13473" s="25">
        <v>122000</v>
      </c>
      <c r="D13473" s="22" t="s">
        <v>15646</v>
      </c>
      <c r="E13473" s="22" t="s">
        <v>107</v>
      </c>
      <c r="F13473" s="23" t="str">
        <f>HYPERLINK("https://www.spark-marketing.ru/Card/Lot/68358864", "Услуги по техническому обслуживанию системы контроля и управления доступом, видеонаблюдения и записи телефонных разговоров")</f>
        <v>Услуги по техническому обслуживанию системы контроля и управления доступом, видеонаблюдения и записи телефонных разговоров</v>
      </c>
      <c r="G13473" s="22" t="s">
        <v>428</v>
      </c>
      <c r="H13473" s="22" t="s">
        <v>428</v>
      </c>
      <c r="I13473" s="26">
        <v>43524.552777777797</v>
      </c>
      <c r="J13473" s="23" t="str">
        <f>HYPERLINK("https://www.spark-marketing.ru/Card/Person/106748", "ООО ""РЕЗУЛЬТАТ""")</f>
        <v>ООО "РЕЗУЛЬТАТ"</v>
      </c>
      <c r="K13473" s="24" t="s">
        <v>2655</v>
      </c>
      <c r="L13473" s="28" t="s">
        <v>52</v>
      </c>
      <c r="M13473" s="25">
        <v>22577</v>
      </c>
      <c r="N13473" s="27">
        <v>0.81494262295081965</v>
      </c>
    </row>
    <row r="13474" spans="1:14" hidden="1" outlineLevel="1" x14ac:dyDescent="0.2">
      <c r="A13474" s="23" t="str">
        <f>HYPERLINK("https://www.spark-marketing.ru/Card/Person/78692", "УПРАВЛЕНИЕ РОСПОТРЕБНАДЗОРА ПО АЛТАЙСКОМУ КРАЮ")</f>
        <v>УПРАВЛЕНИЕ РОСПОТРЕБНАДЗОРА ПО АЛТАЙСКОМУ КРАЮ</v>
      </c>
      <c r="B13474" s="24" t="s">
        <v>15645</v>
      </c>
      <c r="C13474" s="25">
        <v>122000</v>
      </c>
      <c r="D13474" s="22" t="s">
        <v>15646</v>
      </c>
      <c r="E13474" s="22" t="s">
        <v>107</v>
      </c>
      <c r="F13474" s="23" t="str">
        <f>HYPERLINK("https://www.spark-marketing.ru/Card/Lot/68358864", "Услуги по техническому обслуживанию системы контроля и управления доступом, видеонаблюдения и записи телефонных разговоров")</f>
        <v>Услуги по техническому обслуживанию системы контроля и управления доступом, видеонаблюдения и записи телефонных разговоров</v>
      </c>
      <c r="G13474" s="22" t="s">
        <v>428</v>
      </c>
      <c r="H13474" s="22" t="s">
        <v>428</v>
      </c>
      <c r="I13474" s="26">
        <v>43524.552777777797</v>
      </c>
      <c r="J13474" s="23" t="str">
        <f>HYPERLINK("https://www.spark-marketing.ru/Card/Person/6499927", "ООО ""ПРОФСБ""")</f>
        <v>ООО "ПРОФСБ"</v>
      </c>
      <c r="K13474" s="24" t="s">
        <v>3199</v>
      </c>
      <c r="L13474" s="28" t="s">
        <v>52</v>
      </c>
      <c r="M13474" s="25">
        <v>51891</v>
      </c>
      <c r="N13474" s="27">
        <v>0.57466393442622954</v>
      </c>
    </row>
    <row r="13475" spans="1:14" hidden="1" outlineLevel="1" x14ac:dyDescent="0.2">
      <c r="A13475" s="23" t="str">
        <f>HYPERLINK("https://www.spark-marketing.ru/Card/Person/78692", "УПРАВЛЕНИЕ РОСПОТРЕБНАДЗОРА ПО АЛТАЙСКОМУ КРАЮ")</f>
        <v>УПРАВЛЕНИЕ РОСПОТРЕБНАДЗОРА ПО АЛТАЙСКОМУ КРАЮ</v>
      </c>
      <c r="B13475" s="24" t="s">
        <v>15645</v>
      </c>
      <c r="C13475" s="25">
        <v>122000</v>
      </c>
      <c r="D13475" s="22" t="s">
        <v>15646</v>
      </c>
      <c r="E13475" s="22" t="s">
        <v>107</v>
      </c>
      <c r="F13475" s="23" t="str">
        <f>HYPERLINK("https://www.spark-marketing.ru/Card/Lot/68358864", "Услуги по техническому обслуживанию системы контроля и управления доступом, видеонаблюдения и записи телефонных разговоров")</f>
        <v>Услуги по техническому обслуживанию системы контроля и управления доступом, видеонаблюдения и записи телефонных разговоров</v>
      </c>
      <c r="G13475" s="22" t="s">
        <v>428</v>
      </c>
      <c r="H13475" s="22" t="s">
        <v>428</v>
      </c>
      <c r="I13475" s="26">
        <v>43524.552777777797</v>
      </c>
      <c r="J13475" s="23" t="str">
        <f>HYPERLINK("https://www.spark-marketing.ru/Card/Person/126199", "ООО "" СВС""")</f>
        <v>ООО " СВС"</v>
      </c>
      <c r="K13475" s="24" t="s">
        <v>2365</v>
      </c>
      <c r="L13475" s="28" t="s">
        <v>52</v>
      </c>
      <c r="M13475" s="25">
        <v>62042.99</v>
      </c>
      <c r="N13475" s="27">
        <v>0.49145090163934424</v>
      </c>
    </row>
    <row r="13476" spans="1:14" ht="12.75" hidden="1" outlineLevel="1" x14ac:dyDescent="0.2">
      <c r="A13476" s="23" t="str">
        <f>HYPERLINK("https://www.spark-marketing.ru/Card/Person/78692", "УПРАВЛЕНИЕ РОСПОТРЕБНАДЗОРА ПО АЛТАЙСКОМУ КРАЮ")</f>
        <v>УПРАВЛЕНИЕ РОСПОТРЕБНАДЗОРА ПО АЛТАЙСКОМУ КРАЮ</v>
      </c>
      <c r="B13476" s="24" t="s">
        <v>15645</v>
      </c>
      <c r="C13476" s="25">
        <v>122000</v>
      </c>
      <c r="D13476" s="22" t="s">
        <v>15646</v>
      </c>
      <c r="E13476" s="22" t="s">
        <v>107</v>
      </c>
      <c r="F13476" s="23" t="str">
        <f>HYPERLINK("https://www.spark-marketing.ru/Card/Lot/68358864", "Услуги по техническому обслуживанию системы контроля и управления доступом, видеонаблюдения и записи телефонных разговоров")</f>
        <v>Услуги по техническому обслуживанию системы контроля и управления доступом, видеонаблюдения и записи телефонных разговоров</v>
      </c>
      <c r="G13476" s="22" t="s">
        <v>428</v>
      </c>
      <c r="H13476" s="22" t="s">
        <v>428</v>
      </c>
      <c r="I13476" s="26">
        <v>43524.552777777797</v>
      </c>
      <c r="J13476" s="23" t="str">
        <f>HYPERLINK("https://www.spark-marketing.ru/Card/Person/183968", """ ВИДЕОТЕХНОЛОГИИ "" ООО")</f>
        <v>" ВИДЕОТЕХНОЛОГИИ " ООО</v>
      </c>
      <c r="K13476" s="24" t="s">
        <v>14356</v>
      </c>
      <c r="L13476" s="22" t="s">
        <v>10</v>
      </c>
      <c r="M13476" s="25">
        <v>21967</v>
      </c>
      <c r="N13476" s="27">
        <v>0.81994262295081966</v>
      </c>
    </row>
    <row r="13477" spans="1:14" x14ac:dyDescent="0.15">
      <c r="A13477" s="23" t="str">
        <f>HYPERLINK("https://www.spark-marketing.ru/Card/Person/113506", "МБУ ""ФСК ""КУПАВНА""")</f>
        <v>МБУ "ФСК "КУПАВНА"</v>
      </c>
      <c r="B13477" s="24" t="s">
        <v>13105</v>
      </c>
      <c r="C13477" s="25">
        <v>107520</v>
      </c>
      <c r="D13477" s="22" t="s">
        <v>15647</v>
      </c>
      <c r="E13477" s="22" t="s">
        <v>294</v>
      </c>
      <c r="F13477" s="23" t="str">
        <f>HYPERLINK("https://www.spark-marketing.ru/Card/Lot/68536970", "Техническое обслуживание системы видеонаблюдения")</f>
        <v>Техническое обслуживание системы видеонаблюдения</v>
      </c>
      <c r="G13477" s="22" t="s">
        <v>50</v>
      </c>
      <c r="H13477" s="22" t="s">
        <v>5744</v>
      </c>
      <c r="I13477" s="26">
        <v>43524.533831018503</v>
      </c>
      <c r="J13477" s="28" t="s">
        <v>52</v>
      </c>
      <c r="K13477" s="28" t="s">
        <v>52</v>
      </c>
      <c r="L13477" s="28" t="s">
        <v>52</v>
      </c>
      <c r="M13477" s="28" t="s">
        <v>52</v>
      </c>
      <c r="N13477" s="28" t="s">
        <v>52</v>
      </c>
    </row>
    <row r="13478" spans="1:14" x14ac:dyDescent="0.15">
      <c r="A13478" s="23" t="str">
        <f>HYPERLINK("https://www.spark-marketing.ru/Card/Person/30611", "МАУ СШОР № 1")</f>
        <v>МАУ СШОР № 1</v>
      </c>
      <c r="B13478" s="24" t="s">
        <v>15648</v>
      </c>
      <c r="C13478" s="25">
        <v>507925.8</v>
      </c>
      <c r="D13478" s="22" t="s">
        <v>15649</v>
      </c>
      <c r="E13478" s="22" t="s">
        <v>49</v>
      </c>
      <c r="F13478" s="23" t="str">
        <f>HYPERLINK("https://www.spark-marketing.ru/Card/Lot/68393592", "Выполнение работ по установке системы охранной сигнализации на объекте МАУ СШОР № 1, город Мончегорск, проспект Кирова, д.10")</f>
        <v>Выполнение работ по установке системы охранной сигнализации на объекте МАУ СШОР № 1, город Мончегорск, проспект Кирова, д.10</v>
      </c>
      <c r="G13478" s="22" t="s">
        <v>190</v>
      </c>
      <c r="H13478" s="22" t="s">
        <v>190</v>
      </c>
      <c r="I13478" s="26">
        <v>43524.501365740703</v>
      </c>
      <c r="J13478" s="28" t="s">
        <v>52</v>
      </c>
      <c r="K13478" s="28" t="s">
        <v>52</v>
      </c>
      <c r="L13478" s="28" t="s">
        <v>52</v>
      </c>
      <c r="M13478" s="28" t="s">
        <v>52</v>
      </c>
      <c r="N13478" s="28" t="s">
        <v>52</v>
      </c>
    </row>
    <row r="13479" spans="1:14" hidden="1" outlineLevel="1" x14ac:dyDescent="0.2">
      <c r="A13479" s="23" t="str">
        <f>HYPERLINK("https://www.spark-marketing.ru/Card/Person/30611", "МАУ СШОР № 1")</f>
        <v>МАУ СШОР № 1</v>
      </c>
      <c r="B13479" s="24" t="s">
        <v>15648</v>
      </c>
      <c r="C13479" s="28" t="s">
        <v>52</v>
      </c>
      <c r="D13479" s="22" t="s">
        <v>15649</v>
      </c>
      <c r="E13479" s="22" t="s">
        <v>49</v>
      </c>
      <c r="F13479" s="23" t="str">
        <f>HYPERLINK("https://www.spark-marketing.ru/Card/Lot/68393592", "Выполнение работ по установке системы охранной сигнализации на объекте МАУ СШОР № 1, город Мончегорск, проспект Кирова, д.10")</f>
        <v>Выполнение работ по установке системы охранной сигнализации на объекте МАУ СШОР № 1, город Мончегорск, проспект Кирова, д.10</v>
      </c>
      <c r="G13479" s="22" t="s">
        <v>190</v>
      </c>
      <c r="H13479" s="22" t="s">
        <v>190</v>
      </c>
      <c r="I13479" s="26">
        <v>43524.501365740703</v>
      </c>
      <c r="J13479" s="23" t="str">
        <f>HYPERLINK("https://www.spark-marketing.ru/Card/Person/400335", "ООО ""ИТФ-ПЛЮС""")</f>
        <v>ООО "ИТФ-ПЛЮС"</v>
      </c>
      <c r="K13479" s="24" t="s">
        <v>15650</v>
      </c>
      <c r="L13479" s="22" t="s">
        <v>10</v>
      </c>
      <c r="M13479" s="25">
        <v>407000</v>
      </c>
      <c r="N13479" s="27">
        <v>0.19870185763353623</v>
      </c>
    </row>
    <row r="13480" spans="1:14" hidden="1" outlineLevel="1" x14ac:dyDescent="0.2">
      <c r="A13480" s="23" t="str">
        <f>HYPERLINK("https://www.spark-marketing.ru/Card/Person/30611", "МАУ СШОР № 1")</f>
        <v>МАУ СШОР № 1</v>
      </c>
      <c r="B13480" s="24" t="s">
        <v>15648</v>
      </c>
      <c r="C13480" s="28" t="s">
        <v>52</v>
      </c>
      <c r="D13480" s="22" t="s">
        <v>15649</v>
      </c>
      <c r="E13480" s="22" t="s">
        <v>49</v>
      </c>
      <c r="F13480" s="23" t="str">
        <f>HYPERLINK("https://www.spark-marketing.ru/Card/Lot/68393592", "Выполнение работ по установке системы охранной сигнализации на объекте МАУ СШОР № 1, город Мончегорск, проспект Кирова, д.10")</f>
        <v>Выполнение работ по установке системы охранной сигнализации на объекте МАУ СШОР № 1, город Мончегорск, проспект Кирова, д.10</v>
      </c>
      <c r="G13480" s="22" t="s">
        <v>190</v>
      </c>
      <c r="H13480" s="22" t="s">
        <v>190</v>
      </c>
      <c r="I13480" s="26">
        <v>43524.501365740703</v>
      </c>
      <c r="J13480" s="23" t="str">
        <f>HYPERLINK("https://www.spark-marketing.ru/Card/Person/70314", "ООО ""ПРОТИВОПОЖАРНЫЕ СИСТЕМЫ""")</f>
        <v>ООО "ПРОТИВОПОЖАРНЫЕ СИСТЕМЫ"</v>
      </c>
      <c r="K13480" s="24" t="s">
        <v>4065</v>
      </c>
      <c r="L13480" s="28" t="s">
        <v>52</v>
      </c>
      <c r="M13480" s="25">
        <v>488000</v>
      </c>
      <c r="N13480" s="27">
        <v>3.9229745762077849E-2</v>
      </c>
    </row>
    <row r="13481" spans="1:14" ht="12.75" x14ac:dyDescent="0.2">
      <c r="A13481" s="23" t="str">
        <f>HYPERLINK("https://www.spark-marketing.ru/Card/Person/4348359", "АО ""СВЯЗЬТРАНСНЕФТЬ""")</f>
        <v>АО "СВЯЗЬТРАНСНЕФТЬ"</v>
      </c>
      <c r="B13481" s="24" t="s">
        <v>15651</v>
      </c>
      <c r="C13481" s="25">
        <v>801556.84</v>
      </c>
      <c r="D13481" s="22" t="s">
        <v>15652</v>
      </c>
      <c r="E13481" s="22" t="s">
        <v>15653</v>
      </c>
      <c r="F13481" s="23" t="str">
        <f>HYPERLINK("https://www.spark-marketing.ru/Card/Lot/68362185", "Материалы для обслуживания инженерно-технических средств охраны")</f>
        <v>Материалы для обслуживания инженерно-технических средств охраны</v>
      </c>
      <c r="G13481" s="22" t="s">
        <v>55</v>
      </c>
      <c r="H13481" s="22" t="s">
        <v>55</v>
      </c>
      <c r="I13481" s="26">
        <v>43524.510937500003</v>
      </c>
      <c r="J13481" s="23" t="str">
        <f>HYPERLINK("https://www.spark-marketing.ru/Card/Person/6355516", "ООО ""ВЫМПЕЛ-6""")</f>
        <v>ООО "ВЫМПЕЛ-6"</v>
      </c>
      <c r="K13481" s="24" t="s">
        <v>15654</v>
      </c>
      <c r="L13481" s="22" t="s">
        <v>10</v>
      </c>
      <c r="M13481" s="25">
        <v>696350.4</v>
      </c>
      <c r="N13481" s="27">
        <v>0.13125262582750838</v>
      </c>
    </row>
    <row r="13482" spans="1:14" x14ac:dyDescent="0.15">
      <c r="A13482" s="23" t="str">
        <f>HYPERLINK("https://www.spark-marketing.ru/Card/Person/30611", "МАУ СШОР № 1")</f>
        <v>МАУ СШОР № 1</v>
      </c>
      <c r="B13482" s="24" t="s">
        <v>15648</v>
      </c>
      <c r="C13482" s="25">
        <v>482973.2</v>
      </c>
      <c r="D13482" s="22" t="s">
        <v>15655</v>
      </c>
      <c r="E13482" s="22" t="s">
        <v>49</v>
      </c>
      <c r="F13482" s="23" t="str">
        <f>HYPERLINK("https://www.spark-marketing.ru/Card/Lot/68362109", "Выполнение работ по установке системы охранной сигнализации на объекте МАУ СШОР № 1 город Мончегорск, Ленинградская набережная, д.4")</f>
        <v>Выполнение работ по установке системы охранной сигнализации на объекте МАУ СШОР № 1 город Мончегорск, Ленинградская набережная, д.4</v>
      </c>
      <c r="G13482" s="22" t="s">
        <v>190</v>
      </c>
      <c r="H13482" s="22" t="s">
        <v>190</v>
      </c>
      <c r="I13482" s="26">
        <v>43524.507824074099</v>
      </c>
      <c r="J13482" s="28" t="s">
        <v>52</v>
      </c>
      <c r="K13482" s="28" t="s">
        <v>52</v>
      </c>
      <c r="L13482" s="28" t="s">
        <v>52</v>
      </c>
      <c r="M13482" s="28" t="s">
        <v>52</v>
      </c>
      <c r="N13482" s="28" t="s">
        <v>52</v>
      </c>
    </row>
    <row r="13483" spans="1:14" hidden="1" outlineLevel="1" x14ac:dyDescent="0.2">
      <c r="A13483" s="23" t="str">
        <f>HYPERLINK("https://www.spark-marketing.ru/Card/Person/30611", "МАУ СШОР № 1")</f>
        <v>МАУ СШОР № 1</v>
      </c>
      <c r="B13483" s="24" t="s">
        <v>15648</v>
      </c>
      <c r="C13483" s="28" t="s">
        <v>52</v>
      </c>
      <c r="D13483" s="22" t="s">
        <v>15655</v>
      </c>
      <c r="E13483" s="22" t="s">
        <v>49</v>
      </c>
      <c r="F13483" s="23" t="str">
        <f>HYPERLINK("https://www.spark-marketing.ru/Card/Lot/68362109", "Выполнение работ по установке системы охранной сигнализации на объекте МАУ СШОР № 1 город Мончегорск, Ленинградская набережная, д.4")</f>
        <v>Выполнение работ по установке системы охранной сигнализации на объекте МАУ СШОР № 1 город Мончегорск, Ленинградская набережная, д.4</v>
      </c>
      <c r="G13483" s="22" t="s">
        <v>190</v>
      </c>
      <c r="H13483" s="22" t="s">
        <v>190</v>
      </c>
      <c r="I13483" s="26">
        <v>43524.507824074099</v>
      </c>
      <c r="J13483" s="23" t="str">
        <f>HYPERLINK("https://www.spark-marketing.ru/Card/Person/400335", "ООО ""ИТФ-ПЛЮС""")</f>
        <v>ООО "ИТФ-ПЛЮС"</v>
      </c>
      <c r="K13483" s="24" t="s">
        <v>15650</v>
      </c>
      <c r="L13483" s="28" t="s">
        <v>52</v>
      </c>
      <c r="M13483" s="25">
        <v>359000</v>
      </c>
      <c r="N13483" s="27">
        <v>0.25668753462925065</v>
      </c>
    </row>
    <row r="13484" spans="1:14" hidden="1" outlineLevel="1" x14ac:dyDescent="0.2">
      <c r="A13484" s="23" t="str">
        <f>HYPERLINK("https://www.spark-marketing.ru/Card/Person/30611", "МАУ СШОР № 1")</f>
        <v>МАУ СШОР № 1</v>
      </c>
      <c r="B13484" s="24" t="s">
        <v>15648</v>
      </c>
      <c r="C13484" s="28" t="s">
        <v>52</v>
      </c>
      <c r="D13484" s="22" t="s">
        <v>15655</v>
      </c>
      <c r="E13484" s="22" t="s">
        <v>49</v>
      </c>
      <c r="F13484" s="23" t="str">
        <f>HYPERLINK("https://www.spark-marketing.ru/Card/Lot/68362109", "Выполнение работ по установке системы охранной сигнализации на объекте МАУ СШОР № 1 город Мончегорск, Ленинградская набережная, д.4")</f>
        <v>Выполнение работ по установке системы охранной сигнализации на объекте МАУ СШОР № 1 город Мончегорск, Ленинградская набережная, д.4</v>
      </c>
      <c r="G13484" s="22" t="s">
        <v>190</v>
      </c>
      <c r="H13484" s="22" t="s">
        <v>190</v>
      </c>
      <c r="I13484" s="26">
        <v>43524.507824074099</v>
      </c>
      <c r="J13484" s="23" t="str">
        <f>HYPERLINK("https://www.spark-marketing.ru/Card/Person/382915", "ООО ""АВТОМАТИКА""")</f>
        <v>ООО "АВТОМАТИКА"</v>
      </c>
      <c r="K13484" s="24" t="s">
        <v>15656</v>
      </c>
      <c r="L13484" s="22" t="s">
        <v>10</v>
      </c>
      <c r="M13484" s="25">
        <v>326152.69</v>
      </c>
      <c r="N13484" s="27">
        <v>0.32469816130584472</v>
      </c>
    </row>
    <row r="13485" spans="1:14" x14ac:dyDescent="0.15">
      <c r="A13485" s="23" t="str">
        <f>HYPERLINK("https://www.spark-marketing.ru/Card/Person/62771", "ГБУЗ КО ""ПРБ""")</f>
        <v>ГБУЗ КО "ПРБ"</v>
      </c>
      <c r="B13485" s="24" t="s">
        <v>15657</v>
      </c>
      <c r="C13485" s="25">
        <v>280369.2</v>
      </c>
      <c r="D13485" s="22" t="s">
        <v>15658</v>
      </c>
      <c r="E13485" s="22" t="s">
        <v>68</v>
      </c>
      <c r="F13485" s="23" t="str">
        <f>HYPERLINK("https://www.spark-marketing.ru/Card/Lot/68360237", "Оказание охранных услуг")</f>
        <v>Оказание охранных услуг</v>
      </c>
      <c r="G13485" s="22" t="s">
        <v>367</v>
      </c>
      <c r="H13485" s="22" t="s">
        <v>367</v>
      </c>
      <c r="I13485" s="26">
        <v>43524.471527777801</v>
      </c>
      <c r="J13485" s="28" t="s">
        <v>52</v>
      </c>
      <c r="K13485" s="28" t="s">
        <v>52</v>
      </c>
      <c r="L13485" s="28" t="s">
        <v>52</v>
      </c>
      <c r="M13485" s="28" t="s">
        <v>52</v>
      </c>
      <c r="N13485" s="28" t="s">
        <v>52</v>
      </c>
    </row>
    <row r="13486" spans="1:14" x14ac:dyDescent="0.15">
      <c r="A13486" s="23" t="str">
        <f>HYPERLINK("https://www.spark-marketing.ru/Card/Person/104489", "ГУСО ""ЭКСПЛУАТАЦИЯ И ОБСЛУЖИВАНИЕ ЗДАНИЙ""")</f>
        <v>ГУСО "ЭКСПЛУАТАЦИЯ И ОБСЛУЖИВАНИЕ ЗДАНИЙ"</v>
      </c>
      <c r="B13486" s="24" t="s">
        <v>1632</v>
      </c>
      <c r="C13486" s="25">
        <v>598200</v>
      </c>
      <c r="D13486" s="22" t="s">
        <v>15659</v>
      </c>
      <c r="E13486" s="22" t="s">
        <v>1634</v>
      </c>
      <c r="F13486" s="23" t="str">
        <f>HYPERLINK("https://www.spark-marketing.ru/Card/Lot/68365915", "Оказание услуг по техническому обеспечению и техническому обслуживанию звуковой, световой и видео аппаратурой торжественных мероприятий")</f>
        <v>Оказание услуг по техническому обеспечению и техническому обслуживанию звуковой, световой и видео аппаратурой торжественных мероприятий</v>
      </c>
      <c r="G13486" s="22" t="s">
        <v>80</v>
      </c>
      <c r="H13486" s="22" t="s">
        <v>81</v>
      </c>
      <c r="I13486" s="26">
        <v>43524.498611111099</v>
      </c>
      <c r="J13486" s="28" t="s">
        <v>52</v>
      </c>
      <c r="K13486" s="28" t="s">
        <v>52</v>
      </c>
      <c r="L13486" s="28" t="s">
        <v>52</v>
      </c>
      <c r="M13486" s="28" t="s">
        <v>52</v>
      </c>
      <c r="N13486" s="28" t="s">
        <v>52</v>
      </c>
    </row>
    <row r="13487" spans="1:14" ht="12.75" hidden="1" outlineLevel="1" x14ac:dyDescent="0.2">
      <c r="A13487" s="23" t="str">
        <f>HYPERLINK("https://www.spark-marketing.ru/Card/Person/104489", "ГУСО ""ЭКСПЛУАТАЦИЯ И ОБСЛУЖИВАНИЕ ЗДАНИЙ""")</f>
        <v>ГУСО "ЭКСПЛУАТАЦИЯ И ОБСЛУЖИВАНИЕ ЗДАНИЙ"</v>
      </c>
      <c r="B13487" s="24" t="s">
        <v>1632</v>
      </c>
      <c r="C13487" s="25">
        <v>598200</v>
      </c>
      <c r="D13487" s="22" t="s">
        <v>15659</v>
      </c>
      <c r="E13487" s="22" t="s">
        <v>1634</v>
      </c>
      <c r="F13487" s="23" t="str">
        <f>HYPERLINK("https://www.spark-marketing.ru/Card/Lot/68365915", "Оказание услуг по техническому обеспечению и техническому обслуживанию звуковой, световой и видео аппаратурой торжественных мероприятий")</f>
        <v>Оказание услуг по техническому обеспечению и техническому обслуживанию звуковой, световой и видео аппаратурой торжественных мероприятий</v>
      </c>
      <c r="G13487" s="22" t="s">
        <v>80</v>
      </c>
      <c r="H13487" s="22" t="s">
        <v>81</v>
      </c>
      <c r="I13487" s="26">
        <v>43524.498611111099</v>
      </c>
      <c r="J13487" s="23" t="str">
        <f>HYPERLINK("https://www.spark-marketing.ru/Card/Person/545770", "Обычев Олег Владимирович")</f>
        <v>Обычев Олег Владимирович</v>
      </c>
      <c r="K13487" s="24" t="s">
        <v>1635</v>
      </c>
      <c r="L13487" s="22" t="s">
        <v>10</v>
      </c>
      <c r="M13487" s="25">
        <v>248253</v>
      </c>
      <c r="N13487" s="27">
        <v>0.58499999999999996</v>
      </c>
    </row>
    <row r="13488" spans="1:14" hidden="1" outlineLevel="1" x14ac:dyDescent="0.2">
      <c r="A13488" s="23" t="str">
        <f>HYPERLINK("https://www.spark-marketing.ru/Card/Person/104489", "ГУСО ""ЭКСПЛУАТАЦИЯ И ОБСЛУЖИВАНИЕ ЗДАНИЙ""")</f>
        <v>ГУСО "ЭКСПЛУАТАЦИЯ И ОБСЛУЖИВАНИЕ ЗДАНИЙ"</v>
      </c>
      <c r="B13488" s="24" t="s">
        <v>1632</v>
      </c>
      <c r="C13488" s="25">
        <v>598200</v>
      </c>
      <c r="D13488" s="22" t="s">
        <v>15659</v>
      </c>
      <c r="E13488" s="22" t="s">
        <v>1634</v>
      </c>
      <c r="F13488" s="23" t="str">
        <f>HYPERLINK("https://www.spark-marketing.ru/Card/Lot/68365915", "Оказание услуг по техническому обеспечению и техническому обслуживанию звуковой, световой и видео аппаратурой торжественных мероприятий")</f>
        <v>Оказание услуг по техническому обеспечению и техническому обслуживанию звуковой, световой и видео аппаратурой торжественных мероприятий</v>
      </c>
      <c r="G13488" s="22" t="s">
        <v>80</v>
      </c>
      <c r="H13488" s="22" t="s">
        <v>81</v>
      </c>
      <c r="I13488" s="26">
        <v>43524.498611111099</v>
      </c>
      <c r="J13488" s="23" t="str">
        <f>HYPERLINK("https://www.spark-marketing.ru/Card/Person/535557", "Рабкин Илья Игоревич")</f>
        <v>Рабкин Илья Игоревич</v>
      </c>
      <c r="K13488" s="24" t="s">
        <v>15660</v>
      </c>
      <c r="L13488" s="28" t="s">
        <v>52</v>
      </c>
      <c r="M13488" s="25">
        <v>332001</v>
      </c>
      <c r="N13488" s="27">
        <v>0.44500000000000001</v>
      </c>
    </row>
    <row r="13489" spans="1:14" hidden="1" outlineLevel="1" x14ac:dyDescent="0.2">
      <c r="A13489" s="23" t="str">
        <f>HYPERLINK("https://www.spark-marketing.ru/Card/Person/104489", "ГУСО ""ЭКСПЛУАТАЦИЯ И ОБСЛУЖИВАНИЕ ЗДАНИЙ""")</f>
        <v>ГУСО "ЭКСПЛУАТАЦИЯ И ОБСЛУЖИВАНИЕ ЗДАНИЙ"</v>
      </c>
      <c r="B13489" s="24" t="s">
        <v>1632</v>
      </c>
      <c r="C13489" s="25">
        <v>598200</v>
      </c>
      <c r="D13489" s="22" t="s">
        <v>15659</v>
      </c>
      <c r="E13489" s="22" t="s">
        <v>1634</v>
      </c>
      <c r="F13489" s="23" t="str">
        <f>HYPERLINK("https://www.spark-marketing.ru/Card/Lot/68365915", "Оказание услуг по техническому обеспечению и техническому обслуживанию звуковой, световой и видео аппаратурой торжественных мероприятий")</f>
        <v>Оказание услуг по техническому обеспечению и техническому обслуживанию звуковой, световой и видео аппаратурой торжественных мероприятий</v>
      </c>
      <c r="G13489" s="22" t="s">
        <v>80</v>
      </c>
      <c r="H13489" s="22" t="s">
        <v>81</v>
      </c>
      <c r="I13489" s="26">
        <v>43524.498611111099</v>
      </c>
      <c r="J13489" s="23" t="str">
        <f>HYPERLINK("https://www.spark-marketing.ru/Card/Person/600862", "ООО ""ШОУ СИСТЕМЫ""")</f>
        <v>ООО "ШОУ СИСТЕМЫ"</v>
      </c>
      <c r="K13489" s="24" t="s">
        <v>15661</v>
      </c>
      <c r="L13489" s="28" t="s">
        <v>52</v>
      </c>
      <c r="M13489" s="25">
        <v>251244</v>
      </c>
      <c r="N13489" s="27">
        <v>0.57999999999999996</v>
      </c>
    </row>
    <row r="13490" spans="1:14" x14ac:dyDescent="0.15">
      <c r="A13490" s="23" t="str">
        <f>HYPERLINK("https://www.spark-marketing.ru/Card/Person/4378958", "АДМИНИСТРАЦИЯ ГОРОДА БАХЧИСАРАЯ")</f>
        <v>АДМИНИСТРАЦИЯ ГОРОДА БАХЧИСАРАЯ</v>
      </c>
      <c r="B13490" s="24" t="s">
        <v>15662</v>
      </c>
      <c r="C13490" s="25">
        <v>3800000</v>
      </c>
      <c r="D13490" s="22" t="s">
        <v>15663</v>
      </c>
      <c r="E13490" s="22" t="s">
        <v>84</v>
      </c>
      <c r="F13490" s="23" t="str">
        <f>HYPERLINK("https://www.spark-marketing.ru/Card/Lot/68366274", "Установка специализированного оборудования систем видеонаблюдения для реализации муниципальной программы ""Безопасный город""")</f>
        <v>Установка специализированного оборудования систем видеонаблюдения для реализации муниципальной программы "Безопасный город"</v>
      </c>
      <c r="G13490" s="22" t="s">
        <v>1053</v>
      </c>
      <c r="H13490" s="22" t="s">
        <v>1053</v>
      </c>
      <c r="I13490" s="26">
        <v>43524.480555555601</v>
      </c>
      <c r="J13490" s="28" t="s">
        <v>52</v>
      </c>
      <c r="K13490" s="28" t="s">
        <v>52</v>
      </c>
      <c r="L13490" s="28" t="s">
        <v>52</v>
      </c>
      <c r="M13490" s="28" t="s">
        <v>52</v>
      </c>
      <c r="N13490" s="28" t="s">
        <v>52</v>
      </c>
    </row>
    <row r="13491" spans="1:14" ht="12.75" hidden="1" outlineLevel="1" x14ac:dyDescent="0.2">
      <c r="A13491" s="23" t="str">
        <f>HYPERLINK("https://www.spark-marketing.ru/Card/Person/4378958", "АДМИНИСТРАЦИЯ ГОРОДА БАХЧИСАРАЯ")</f>
        <v>АДМИНИСТРАЦИЯ ГОРОДА БАХЧИСАРАЯ</v>
      </c>
      <c r="B13491" s="24" t="s">
        <v>15662</v>
      </c>
      <c r="C13491" s="25">
        <v>3800000</v>
      </c>
      <c r="D13491" s="22" t="s">
        <v>15663</v>
      </c>
      <c r="E13491" s="22" t="s">
        <v>84</v>
      </c>
      <c r="F13491" s="23" t="str">
        <f>HYPERLINK("https://www.spark-marketing.ru/Card/Lot/68366274", "Установка специализированного оборудования систем видеонаблюдения для реализации муниципальной программы ""Безопасный город""")</f>
        <v>Установка специализированного оборудования систем видеонаблюдения для реализации муниципальной программы "Безопасный город"</v>
      </c>
      <c r="G13491" s="22" t="s">
        <v>1053</v>
      </c>
      <c r="H13491" s="22" t="s">
        <v>1053</v>
      </c>
      <c r="I13491" s="26">
        <v>43524.480555555601</v>
      </c>
      <c r="J13491" s="23" t="str">
        <f>HYPERLINK("https://www.spark-marketing.ru/Card/Person/53700", "ООО ""ЗЕОНИТ""")</f>
        <v>ООО "ЗЕОНИТ"</v>
      </c>
      <c r="K13491" s="24" t="s">
        <v>15664</v>
      </c>
      <c r="L13491" s="22" t="s">
        <v>10</v>
      </c>
      <c r="M13491" s="25">
        <v>3762000</v>
      </c>
      <c r="N13491" s="27">
        <v>0.01</v>
      </c>
    </row>
    <row r="13492" spans="1:14" hidden="1" outlineLevel="1" x14ac:dyDescent="0.2">
      <c r="A13492" s="23" t="str">
        <f>HYPERLINK("https://www.spark-marketing.ru/Card/Person/4378958", "АДМИНИСТРАЦИЯ ГОРОДА БАХЧИСАРАЯ")</f>
        <v>АДМИНИСТРАЦИЯ ГОРОДА БАХЧИСАРАЯ</v>
      </c>
      <c r="B13492" s="24" t="s">
        <v>15662</v>
      </c>
      <c r="C13492" s="25">
        <v>3800000</v>
      </c>
      <c r="D13492" s="22" t="s">
        <v>15663</v>
      </c>
      <c r="E13492" s="22" t="s">
        <v>84</v>
      </c>
      <c r="F13492" s="23" t="str">
        <f>HYPERLINK("https://www.spark-marketing.ru/Card/Lot/68366274", "Установка специализированного оборудования систем видеонаблюдения для реализации муниципальной программы ""Безопасный город""")</f>
        <v>Установка специализированного оборудования систем видеонаблюдения для реализации муниципальной программы "Безопасный город"</v>
      </c>
      <c r="G13492" s="22" t="s">
        <v>1053</v>
      </c>
      <c r="H13492" s="22" t="s">
        <v>1053</v>
      </c>
      <c r="I13492" s="26">
        <v>43524.480555555601</v>
      </c>
      <c r="J13492" s="23" t="str">
        <f>HYPERLINK("https://www.spark-marketing.ru/Card/Person/502038", "ООО ""ЭКОЛОГИСТИК""")</f>
        <v>ООО "ЭКОЛОГИСТИК"</v>
      </c>
      <c r="K13492" s="24" t="s">
        <v>15665</v>
      </c>
      <c r="L13492" s="28" t="s">
        <v>52</v>
      </c>
      <c r="M13492" s="25">
        <v>3781000</v>
      </c>
      <c r="N13492" s="27">
        <v>5.0000000000000001E-3</v>
      </c>
    </row>
    <row r="13493" spans="1:14" x14ac:dyDescent="0.15">
      <c r="A13493" s="23" t="str">
        <f>HYPERLINK("https://www.spark-marketing.ru/Card/Person/1761832", "ОАО ""РЫНОЧНЫЙ КОМПЛЕКС ""ЦАРИЦЫНСКИЙ""")</f>
        <v>ОАО "РЫНОЧНЫЙ КОМПЛЕКС "ЦАРИЦЫНСКИЙ"</v>
      </c>
      <c r="B13493" s="24" t="s">
        <v>613</v>
      </c>
      <c r="C13493" s="25">
        <v>299916</v>
      </c>
      <c r="D13493" s="22" t="s">
        <v>15666</v>
      </c>
      <c r="E13493" s="22" t="s">
        <v>615</v>
      </c>
      <c r="F13493" s="23" t="str">
        <f>HYPERLINK("https://www.spark-marketing.ru/Card/Lot/68359082", "оказание услуг по охране объекта")</f>
        <v>оказание услуг по охране объекта</v>
      </c>
      <c r="G13493" s="22" t="s">
        <v>55</v>
      </c>
      <c r="H13493" s="22" t="s">
        <v>55</v>
      </c>
      <c r="I13493" s="26">
        <v>43524.460856481499</v>
      </c>
      <c r="J13493" s="28" t="s">
        <v>52</v>
      </c>
      <c r="K13493" s="28" t="s">
        <v>52</v>
      </c>
      <c r="L13493" s="28" t="s">
        <v>52</v>
      </c>
      <c r="M13493" s="28" t="s">
        <v>52</v>
      </c>
      <c r="N13493" s="28" t="s">
        <v>52</v>
      </c>
    </row>
    <row r="13494" spans="1:14" x14ac:dyDescent="0.15">
      <c r="A13494" s="23" t="str">
        <f>HYPERLINK("https://www.spark-marketing.ru/Card/Person/1343914", "АО ""АТОМЭНЕРГОРЕМОНТ""")</f>
        <v>АО "АТОМЭНЕРГОРЕМОНТ"</v>
      </c>
      <c r="B13494" s="24" t="s">
        <v>10791</v>
      </c>
      <c r="C13494" s="25">
        <v>3911618.83</v>
      </c>
      <c r="D13494" s="22" t="s">
        <v>15667</v>
      </c>
      <c r="E13494" s="22" t="s">
        <v>1242</v>
      </c>
      <c r="F13494" s="23" t="str">
        <f>HYPERLINK("https://www.spark-marketing.ru/Card/Lot/68360289", "Право заключения договора на охрану объектов НВАЭР")</f>
        <v>Право заключения договора на охрану объектов НВАЭР</v>
      </c>
      <c r="G13494" s="22" t="s">
        <v>55</v>
      </c>
      <c r="H13494" s="22" t="s">
        <v>55</v>
      </c>
      <c r="I13494" s="26">
        <v>43524.437037037002</v>
      </c>
      <c r="J13494" s="28" t="s">
        <v>52</v>
      </c>
      <c r="K13494" s="28" t="s">
        <v>52</v>
      </c>
      <c r="L13494" s="28" t="s">
        <v>52</v>
      </c>
      <c r="M13494" s="28" t="s">
        <v>52</v>
      </c>
      <c r="N13494" s="28" t="s">
        <v>52</v>
      </c>
    </row>
    <row r="13495" spans="1:14" hidden="1" outlineLevel="1" x14ac:dyDescent="0.2">
      <c r="A13495" s="23" t="str">
        <f>HYPERLINK("https://www.spark-marketing.ru/Card/Person/1343914", "АО ""АТОМЭНЕРГОРЕМОНТ""")</f>
        <v>АО "АТОМЭНЕРГОРЕМОНТ"</v>
      </c>
      <c r="B13495" s="24" t="s">
        <v>10791</v>
      </c>
      <c r="C13495" s="28" t="s">
        <v>52</v>
      </c>
      <c r="D13495" s="22" t="s">
        <v>15667</v>
      </c>
      <c r="E13495" s="22" t="s">
        <v>1242</v>
      </c>
      <c r="F13495" s="23" t="str">
        <f>HYPERLINK("https://www.spark-marketing.ru/Card/Lot/68360289", "Право заключения договора на охрану объектов НВАЭР")</f>
        <v>Право заключения договора на охрану объектов НВАЭР</v>
      </c>
      <c r="G13495" s="22" t="s">
        <v>55</v>
      </c>
      <c r="H13495" s="22" t="s">
        <v>55</v>
      </c>
      <c r="I13495" s="26">
        <v>43524.437037037002</v>
      </c>
      <c r="J13495" s="23" t="str">
        <f>HYPERLINK("https://www.spark-marketing.ru/Card/Person/519528", "ООО ЧОО ""СКИФ-РЕГИОН""")</f>
        <v>ООО ЧОО "СКИФ-РЕГИОН"</v>
      </c>
      <c r="K13495" s="24" t="s">
        <v>15668</v>
      </c>
      <c r="L13495" s="28" t="s">
        <v>52</v>
      </c>
      <c r="M13495" s="25">
        <v>2920936.95</v>
      </c>
      <c r="N13495" s="27">
        <v>0.25326646666132346</v>
      </c>
    </row>
    <row r="13496" spans="1:14" hidden="1" outlineLevel="1" x14ac:dyDescent="0.2">
      <c r="A13496" s="23" t="str">
        <f>HYPERLINK("https://www.spark-marketing.ru/Card/Person/1343914", "АО ""АТОМЭНЕРГОРЕМОНТ""")</f>
        <v>АО "АТОМЭНЕРГОРЕМОНТ"</v>
      </c>
      <c r="B13496" s="24" t="s">
        <v>10791</v>
      </c>
      <c r="C13496" s="28" t="s">
        <v>52</v>
      </c>
      <c r="D13496" s="22" t="s">
        <v>15667</v>
      </c>
      <c r="E13496" s="22" t="s">
        <v>1242</v>
      </c>
      <c r="F13496" s="23" t="str">
        <f>HYPERLINK("https://www.spark-marketing.ru/Card/Lot/68360289", "Право заключения договора на охрану объектов НВАЭР")</f>
        <v>Право заключения договора на охрану объектов НВАЭР</v>
      </c>
      <c r="G13496" s="22" t="s">
        <v>55</v>
      </c>
      <c r="H13496" s="22" t="s">
        <v>55</v>
      </c>
      <c r="I13496" s="26">
        <v>43524.437037037002</v>
      </c>
      <c r="J13496" s="23" t="str">
        <f>HYPERLINK("https://www.spark-marketing.ru/Card/Person/1717072", "ООО ЧОП ""ОХРАННОЕ АГЕНТСТВО ""ЭСКАРП-НВ 1""")</f>
        <v>ООО ЧОП "ОХРАННОЕ АГЕНТСТВО "ЭСКАРП-НВ 1"</v>
      </c>
      <c r="K13496" s="24" t="s">
        <v>15669</v>
      </c>
      <c r="L13496" s="28" t="s">
        <v>52</v>
      </c>
      <c r="M13496" s="25">
        <v>3052800</v>
      </c>
      <c r="N13496" s="27">
        <v>0.21955585841169498</v>
      </c>
    </row>
    <row r="13497" spans="1:14" x14ac:dyDescent="0.15">
      <c r="A13497" s="23" t="str">
        <f>HYPERLINK("https://www.spark-marketing.ru/Card/Person/1042487", "МБДОУ ""ДС № 4 ""ЛЕСНАЯ СКАЗКА""")</f>
        <v>МБДОУ "ДС № 4 "ЛЕСНАЯ СКАЗКА"</v>
      </c>
      <c r="B13497" s="24" t="s">
        <v>15670</v>
      </c>
      <c r="C13497" s="25">
        <v>10394.280000000001</v>
      </c>
      <c r="D13497" s="22" t="s">
        <v>15671</v>
      </c>
      <c r="E13497" s="22" t="s">
        <v>107</v>
      </c>
      <c r="F13497" s="23" t="str">
        <f>HYPERLINK("https://www.spark-marketing.ru/Card/Lot/68540215", "Оказание услуг по техническому обслуживанию комплекса технических средств охраны")</f>
        <v>Оказание услуг по техническому обслуживанию комплекса технических средств охраны</v>
      </c>
      <c r="G13497" s="22" t="s">
        <v>50</v>
      </c>
      <c r="H13497" s="22" t="s">
        <v>1172</v>
      </c>
      <c r="I13497" s="26">
        <v>43524.440671296303</v>
      </c>
      <c r="J13497" s="28" t="s">
        <v>52</v>
      </c>
      <c r="K13497" s="28" t="s">
        <v>52</v>
      </c>
      <c r="L13497" s="28" t="s">
        <v>52</v>
      </c>
      <c r="M13497" s="28" t="s">
        <v>52</v>
      </c>
      <c r="N13497" s="28" t="s">
        <v>52</v>
      </c>
    </row>
    <row r="13498" spans="1:14" x14ac:dyDescent="0.15">
      <c r="A13498" s="23" t="str">
        <f>HYPERLINK("https://www.spark-marketing.ru/Card/Person/4434968", "НВАЭР ФЛ АО АЭР")</f>
        <v>НВАЭР ФЛ АО АЭР</v>
      </c>
      <c r="B13498" s="24" t="s">
        <v>10791</v>
      </c>
      <c r="C13498" s="25">
        <v>3911618.83</v>
      </c>
      <c r="D13498" s="22" t="s">
        <v>15672</v>
      </c>
      <c r="E13498" s="22" t="s">
        <v>68</v>
      </c>
      <c r="F13498" s="23" t="str">
        <f>HYPERLINK("https://www.spark-marketing.ru/Card/Lot/68366819", "Охрана объектов НВАЭР")</f>
        <v>Охрана объектов НВАЭР</v>
      </c>
      <c r="G13498" s="22" t="s">
        <v>52</v>
      </c>
      <c r="H13498" s="22" t="s">
        <v>52</v>
      </c>
      <c r="I13498" s="26">
        <v>43524.454884259299</v>
      </c>
      <c r="J13498" s="28" t="s">
        <v>52</v>
      </c>
      <c r="K13498" s="28" t="s">
        <v>52</v>
      </c>
      <c r="L13498" s="28" t="s">
        <v>52</v>
      </c>
      <c r="M13498" s="28" t="s">
        <v>52</v>
      </c>
      <c r="N13498" s="28" t="s">
        <v>52</v>
      </c>
    </row>
    <row r="13499" spans="1:14" x14ac:dyDescent="0.15">
      <c r="A13499" s="23" t="str">
        <f>HYPERLINK("https://www.spark-marketing.ru/Card/Person/27213", "БУ ""ХАНТЫ-МАНСИЙСКАЯ РАЙОННАЯ БОЛЬНИЦА""")</f>
        <v>БУ "ХАНТЫ-МАНСИЙСКАЯ РАЙОННАЯ БОЛЬНИЦА"</v>
      </c>
      <c r="B13499" s="24" t="s">
        <v>8079</v>
      </c>
      <c r="C13499" s="25">
        <v>300000</v>
      </c>
      <c r="D13499" s="22" t="s">
        <v>15673</v>
      </c>
      <c r="E13499" s="22" t="s">
        <v>68</v>
      </c>
      <c r="F13499" s="23" t="str">
        <f>HYPERLINK("https://www.spark-marketing.ru/Card/Lot/68360190", "Услуги охраны с использованием пульта централизованного наблюдения")</f>
        <v>Услуги охраны с использованием пульта централизованного наблюдения</v>
      </c>
      <c r="G13499" s="22" t="s">
        <v>119</v>
      </c>
      <c r="H13499" s="22" t="s">
        <v>2563</v>
      </c>
      <c r="I13499" s="26">
        <v>43524.443749999999</v>
      </c>
      <c r="J13499" s="23" t="str">
        <f>HYPERLINK("https://www.spark-marketing.ru/Card/Person/91607", "ООО ""ЧОО ""ЛЕГИОН""")</f>
        <v>ООО "ЧОО "ЛЕГИОН"</v>
      </c>
      <c r="K13499" s="24" t="s">
        <v>15674</v>
      </c>
      <c r="L13499" s="22" t="s">
        <v>10</v>
      </c>
      <c r="M13499" s="28" t="s">
        <v>52</v>
      </c>
      <c r="N13499" s="28" t="s">
        <v>52</v>
      </c>
    </row>
    <row r="13500" spans="1:14" x14ac:dyDescent="0.15">
      <c r="A13500" s="23" t="str">
        <f>HYPERLINK("https://www.spark-marketing.ru/Card/Person/666553", "ФГП ВО ЖДТ РОССИИ")</f>
        <v>ФГП ВО ЖДТ РОССИИ</v>
      </c>
      <c r="B13500" s="24" t="s">
        <v>1269</v>
      </c>
      <c r="C13500" s="25">
        <v>199198.56</v>
      </c>
      <c r="D13500" s="22" t="s">
        <v>15675</v>
      </c>
      <c r="E13500" s="22" t="s">
        <v>144</v>
      </c>
      <c r="F13500" s="23" t="str">
        <f>HYPERLINK("https://www.spark-marketing.ru/Card/Lot/68360836", "Оказание услуг по централизованной охране объекта СК ст. Южно-Сахалинск для нужд Сахалинского отряда филиала ФГП ВО ЖДТ России на Дальневосточной железной дороге")</f>
        <v>Оказание услуг по централизованной охране объекта СК ст. Южно-Сахалинск для нужд Сахалинского отряда филиала ФГП ВО ЖДТ России на Дальневосточной железной дороге</v>
      </c>
      <c r="G13500" s="22" t="s">
        <v>55</v>
      </c>
      <c r="H13500" s="22" t="s">
        <v>55</v>
      </c>
      <c r="I13500" s="26">
        <v>43524.4273032407</v>
      </c>
      <c r="J13500" s="28" t="s">
        <v>52</v>
      </c>
      <c r="K13500" s="28" t="s">
        <v>52</v>
      </c>
      <c r="L13500" s="28" t="s">
        <v>52</v>
      </c>
      <c r="M13500" s="28" t="s">
        <v>52</v>
      </c>
      <c r="N13500" s="28" t="s">
        <v>52</v>
      </c>
    </row>
    <row r="13501" spans="1:14" x14ac:dyDescent="0.15">
      <c r="A13501" s="23" t="str">
        <f>HYPERLINK("https://www.spark-marketing.ru/Card/Person/1055393", "ГБУЗ ДЕТСКИЙ САНАТОРИЙ ""ПРОМЕТЕЙ""")</f>
        <v>ГБУЗ ДЕТСКИЙ САНАТОРИЙ "ПРОМЕТЕЙ"</v>
      </c>
      <c r="B13501" s="24" t="s">
        <v>15676</v>
      </c>
      <c r="C13501" s="25">
        <v>678159.99</v>
      </c>
      <c r="D13501" s="22" t="s">
        <v>15677</v>
      </c>
      <c r="E13501" s="22" t="s">
        <v>52</v>
      </c>
      <c r="F13501" s="23" t="str">
        <f>HYPERLINK("https://www.spark-marketing.ru/Card/Lot/68356652", "Оказание услуг по охране объекта")</f>
        <v>Оказание услуг по охране объекта</v>
      </c>
      <c r="G13501" s="22" t="s">
        <v>251</v>
      </c>
      <c r="H13501" s="22" t="s">
        <v>15678</v>
      </c>
      <c r="I13501" s="26">
        <v>43524.384722222203</v>
      </c>
      <c r="J13501" s="28" t="s">
        <v>52</v>
      </c>
      <c r="K13501" s="28" t="s">
        <v>52</v>
      </c>
      <c r="L13501" s="28" t="s">
        <v>52</v>
      </c>
      <c r="M13501" s="28" t="s">
        <v>52</v>
      </c>
      <c r="N13501" s="28" t="s">
        <v>52</v>
      </c>
    </row>
    <row r="13502" spans="1:14" hidden="1" outlineLevel="1" x14ac:dyDescent="0.2">
      <c r="A13502" s="23" t="str">
        <f>HYPERLINK("https://www.spark-marketing.ru/Card/Person/1055393", "ГБУЗ ДЕТСКИЙ САНАТОРИЙ ""ПРОМЕТЕЙ""")</f>
        <v>ГБУЗ ДЕТСКИЙ САНАТОРИЙ "ПРОМЕТЕЙ"</v>
      </c>
      <c r="B13502" s="24" t="s">
        <v>15676</v>
      </c>
      <c r="C13502" s="25">
        <v>678159.99</v>
      </c>
      <c r="D13502" s="22" t="s">
        <v>15677</v>
      </c>
      <c r="E13502" s="22" t="s">
        <v>52</v>
      </c>
      <c r="F13502" s="23" t="str">
        <f>HYPERLINK("https://www.spark-marketing.ru/Card/Lot/68356652", "Оказание услуг по охране объекта")</f>
        <v>Оказание услуг по охране объекта</v>
      </c>
      <c r="G13502" s="22" t="s">
        <v>251</v>
      </c>
      <c r="H13502" s="22" t="s">
        <v>15678</v>
      </c>
      <c r="I13502" s="26">
        <v>43524.384722222203</v>
      </c>
      <c r="J13502" s="23" t="str">
        <f>HYPERLINK("https://www.spark-marketing.ru/Card/Person/148913", "ООО ЧОО ""ПРАЙД""")</f>
        <v>ООО ЧОО "ПРАЙД"</v>
      </c>
      <c r="K13502" s="24" t="s">
        <v>15679</v>
      </c>
      <c r="L13502" s="28" t="s">
        <v>52</v>
      </c>
      <c r="M13502" s="25">
        <v>406895.99</v>
      </c>
      <c r="N13502" s="27">
        <v>0.40000000589831319</v>
      </c>
    </row>
    <row r="13503" spans="1:14" ht="12.75" hidden="1" outlineLevel="1" x14ac:dyDescent="0.2">
      <c r="A13503" s="23" t="str">
        <f>HYPERLINK("https://www.spark-marketing.ru/Card/Person/1055393", "ГБУЗ ДЕТСКИЙ САНАТОРИЙ ""ПРОМЕТЕЙ""")</f>
        <v>ГБУЗ ДЕТСКИЙ САНАТОРИЙ "ПРОМЕТЕЙ"</v>
      </c>
      <c r="B13503" s="24" t="s">
        <v>15676</v>
      </c>
      <c r="C13503" s="25">
        <v>678159.99</v>
      </c>
      <c r="D13503" s="22" t="s">
        <v>15677</v>
      </c>
      <c r="E13503" s="22" t="s">
        <v>52</v>
      </c>
      <c r="F13503" s="23" t="str">
        <f>HYPERLINK("https://www.spark-marketing.ru/Card/Lot/68356652", "Оказание услуг по охране объекта")</f>
        <v>Оказание услуг по охране объекта</v>
      </c>
      <c r="G13503" s="22" t="s">
        <v>251</v>
      </c>
      <c r="H13503" s="22" t="s">
        <v>15678</v>
      </c>
      <c r="I13503" s="26">
        <v>43524.384722222203</v>
      </c>
      <c r="J13503" s="23" t="str">
        <f>HYPERLINK("https://www.spark-marketing.ru/Card/Person/102284", "ООО ЧОО ""БАГИРА-КА""")</f>
        <v>ООО ЧОО "БАГИРА-КА"</v>
      </c>
      <c r="K13503" s="24" t="s">
        <v>15680</v>
      </c>
      <c r="L13503" s="22" t="s">
        <v>10</v>
      </c>
      <c r="M13503" s="25">
        <v>403505.19</v>
      </c>
      <c r="N13503" s="27">
        <v>0.40500000597204211</v>
      </c>
    </row>
    <row r="13504" spans="1:14" x14ac:dyDescent="0.15">
      <c r="A13504" s="23" t="str">
        <f>HYPERLINK("https://www.spark-marketing.ru/Card/Person/143522", "КЕМЕРОВСКАЯ ТАМОЖНЯ")</f>
        <v>КЕМЕРОВСКАЯ ТАМОЖНЯ</v>
      </c>
      <c r="B13504" s="24" t="s">
        <v>2841</v>
      </c>
      <c r="C13504" s="25">
        <v>193152</v>
      </c>
      <c r="D13504" s="22" t="s">
        <v>15681</v>
      </c>
      <c r="E13504" s="22" t="s">
        <v>68</v>
      </c>
      <c r="F13504" s="23" t="str">
        <f>HYPERLINK("https://www.spark-marketing.ru/Card/Lot/68352569", "Охрана объектов Кемеровской таможни с использованием технических средств охраны")</f>
        <v>Охрана объектов Кемеровской таможни с использованием технических средств охраны</v>
      </c>
      <c r="G13504" s="22" t="s">
        <v>367</v>
      </c>
      <c r="H13504" s="22" t="s">
        <v>5300</v>
      </c>
      <c r="I13504" s="26">
        <v>43524.394444444399</v>
      </c>
      <c r="J13504" s="23" t="str">
        <f>HYPERLINK("https://www.spark-marketing.ru/Card/Person/10487", "ФГУП ""ОХРАНА"" РОСГВАРДИИ")</f>
        <v>ФГУП "ОХРАНА" РОСГВАРДИИ</v>
      </c>
      <c r="K13504" s="24" t="s">
        <v>779</v>
      </c>
      <c r="L13504" s="22" t="s">
        <v>10</v>
      </c>
      <c r="M13504" s="28" t="s">
        <v>52</v>
      </c>
      <c r="N13504" s="28" t="s">
        <v>52</v>
      </c>
    </row>
    <row r="13505" spans="1:14" x14ac:dyDescent="0.15">
      <c r="A13505" s="23" t="str">
        <f>HYPERLINK("https://www.spark-marketing.ru/Card/Person/4224", "ГКУ НСО ""НОВОСИБОБЛФАРМ""")</f>
        <v>ГКУ НСО "НОВОСИБОБЛФАРМ"</v>
      </c>
      <c r="B13505" s="24" t="s">
        <v>10815</v>
      </c>
      <c r="C13505" s="25">
        <v>194824.35</v>
      </c>
      <c r="D13505" s="22" t="s">
        <v>15682</v>
      </c>
      <c r="E13505" s="22" t="s">
        <v>68</v>
      </c>
      <c r="F13505" s="23" t="str">
        <f>HYPERLINK("https://www.spark-marketing.ru/Card/Lot/68358840", "Оказание услуг централизованной пультовой охраны объекта (комнаты хранения наркотических средств, психотропных веществ 1-й и 2-й категории) с выездом группы немедленного реагирования при срабатывании тревожной и охранной сигнализации")</f>
        <v>Оказание услуг централизованной пультовой охраны объекта (комнаты хранения наркотических средств, психотропных веществ 1-й и 2-й категории) с выездом группы немедленного реагирования при срабатывании тревожной и охранной сигнализации</v>
      </c>
      <c r="G13505" s="22" t="s">
        <v>209</v>
      </c>
      <c r="H13505" s="22" t="s">
        <v>210</v>
      </c>
      <c r="I13505" s="26">
        <v>43524.405555555597</v>
      </c>
      <c r="J13505" s="28" t="s">
        <v>52</v>
      </c>
      <c r="K13505" s="28" t="s">
        <v>52</v>
      </c>
      <c r="L13505" s="28" t="s">
        <v>52</v>
      </c>
      <c r="M13505" s="28" t="s">
        <v>52</v>
      </c>
      <c r="N13505" s="28" t="s">
        <v>52</v>
      </c>
    </row>
    <row r="13506" spans="1:14" x14ac:dyDescent="0.15">
      <c r="A13506" s="23" t="str">
        <f>HYPERLINK("https://www.spark-marketing.ru/Card/Person/27666", "СПБ ГБПОУ ""АКАДЕМИЯ ""ЛОКОН""")</f>
        <v>СПБ ГБПОУ "АКАДЕМИЯ "ЛОКОН"</v>
      </c>
      <c r="B13506" s="24" t="s">
        <v>15683</v>
      </c>
      <c r="C13506" s="25">
        <v>164805</v>
      </c>
      <c r="D13506" s="22" t="s">
        <v>15684</v>
      </c>
      <c r="E13506" s="22" t="s">
        <v>10304</v>
      </c>
      <c r="F13506" s="23" t="str">
        <f>HYPERLINK("https://www.spark-marketing.ru/Card/Lot/68358903", "Поставка электротоваров для нужд СПб ГБПОУ «Академия «ЛОКОН» в 2019 году")</f>
        <v>Поставка электротоваров для нужд СПб ГБПОУ «Академия «ЛОКОН» в 2019 году</v>
      </c>
      <c r="G13506" s="22" t="s">
        <v>89</v>
      </c>
      <c r="H13506" s="22" t="s">
        <v>89</v>
      </c>
      <c r="I13506" s="26">
        <v>43524.40625</v>
      </c>
      <c r="J13506" s="28" t="s">
        <v>52</v>
      </c>
      <c r="K13506" s="28" t="s">
        <v>52</v>
      </c>
      <c r="L13506" s="28" t="s">
        <v>52</v>
      </c>
      <c r="M13506" s="28" t="s">
        <v>52</v>
      </c>
      <c r="N13506" s="28" t="s">
        <v>52</v>
      </c>
    </row>
    <row r="13507" spans="1:14" hidden="1" outlineLevel="1" x14ac:dyDescent="0.2">
      <c r="A13507" s="23" t="str">
        <f>HYPERLINK("https://www.spark-marketing.ru/Card/Person/27666", "СПБ ГБПОУ ""АКАДЕМИЯ ""ЛОКОН""")</f>
        <v>СПБ ГБПОУ "АКАДЕМИЯ "ЛОКОН"</v>
      </c>
      <c r="B13507" s="24" t="s">
        <v>15683</v>
      </c>
      <c r="C13507" s="25">
        <v>164805</v>
      </c>
      <c r="D13507" s="22" t="s">
        <v>15684</v>
      </c>
      <c r="E13507" s="22" t="s">
        <v>10304</v>
      </c>
      <c r="F13507" s="23" t="str">
        <f>HYPERLINK("https://www.spark-marketing.ru/Card/Lot/68358903", "Поставка электротоваров для нужд СПб ГБПОУ «Академия «ЛОКОН» в 2019 году")</f>
        <v>Поставка электротоваров для нужд СПб ГБПОУ «Академия «ЛОКОН» в 2019 году</v>
      </c>
      <c r="G13507" s="22" t="s">
        <v>89</v>
      </c>
      <c r="H13507" s="22" t="s">
        <v>89</v>
      </c>
      <c r="I13507" s="26">
        <v>43524.40625</v>
      </c>
      <c r="J13507" s="23" t="str">
        <f>HYPERLINK("https://www.spark-marketing.ru/Card/Person/6448042", "Иванов Герман Иванович")</f>
        <v>Иванов Герман Иванович</v>
      </c>
      <c r="K13507" s="24" t="s">
        <v>15685</v>
      </c>
      <c r="L13507" s="28" t="s">
        <v>52</v>
      </c>
      <c r="M13507" s="25">
        <v>120301.98</v>
      </c>
      <c r="N13507" s="27">
        <v>0.27003440429598619</v>
      </c>
    </row>
    <row r="13508" spans="1:14" ht="12.75" hidden="1" outlineLevel="1" x14ac:dyDescent="0.2">
      <c r="A13508" s="23" t="str">
        <f>HYPERLINK("https://www.spark-marketing.ru/Card/Person/27666", "СПБ ГБПОУ ""АКАДЕМИЯ ""ЛОКОН""")</f>
        <v>СПБ ГБПОУ "АКАДЕМИЯ "ЛОКОН"</v>
      </c>
      <c r="B13508" s="24" t="s">
        <v>15683</v>
      </c>
      <c r="C13508" s="25">
        <v>164805</v>
      </c>
      <c r="D13508" s="22" t="s">
        <v>15684</v>
      </c>
      <c r="E13508" s="22" t="s">
        <v>10304</v>
      </c>
      <c r="F13508" s="23" t="str">
        <f>HYPERLINK("https://www.spark-marketing.ru/Card/Lot/68358903", "Поставка электротоваров для нужд СПб ГБПОУ «Академия «ЛОКОН» в 2019 году")</f>
        <v>Поставка электротоваров для нужд СПб ГБПОУ «Академия «ЛОКОН» в 2019 году</v>
      </c>
      <c r="G13508" s="22" t="s">
        <v>89</v>
      </c>
      <c r="H13508" s="22" t="s">
        <v>89</v>
      </c>
      <c r="I13508" s="26">
        <v>43524.40625</v>
      </c>
      <c r="J13508" s="23" t="str">
        <f>HYPERLINK("https://www.spark-marketing.ru/Card/Person/394427", "Ефимова Ольга Васильевна")</f>
        <v>Ефимова Ольга Васильевна</v>
      </c>
      <c r="K13508" s="24" t="s">
        <v>15686</v>
      </c>
      <c r="L13508" s="22" t="s">
        <v>10</v>
      </c>
      <c r="M13508" s="25">
        <v>89175.97</v>
      </c>
      <c r="N13508" s="27">
        <v>0.4589000940505446</v>
      </c>
    </row>
    <row r="13509" spans="1:14" hidden="1" outlineLevel="1" x14ac:dyDescent="0.2">
      <c r="A13509" s="23" t="str">
        <f>HYPERLINK("https://www.spark-marketing.ru/Card/Person/27666", "СПБ ГБПОУ ""АКАДЕМИЯ ""ЛОКОН""")</f>
        <v>СПБ ГБПОУ "АКАДЕМИЯ "ЛОКОН"</v>
      </c>
      <c r="B13509" s="24" t="s">
        <v>15683</v>
      </c>
      <c r="C13509" s="25">
        <v>164805</v>
      </c>
      <c r="D13509" s="22" t="s">
        <v>15684</v>
      </c>
      <c r="E13509" s="22" t="s">
        <v>10304</v>
      </c>
      <c r="F13509" s="23" t="str">
        <f>HYPERLINK("https://www.spark-marketing.ru/Card/Lot/68358903", "Поставка электротоваров для нужд СПб ГБПОУ «Академия «ЛОКОН» в 2019 году")</f>
        <v>Поставка электротоваров для нужд СПб ГБПОУ «Академия «ЛОКОН» в 2019 году</v>
      </c>
      <c r="G13509" s="22" t="s">
        <v>89</v>
      </c>
      <c r="H13509" s="22" t="s">
        <v>89</v>
      </c>
      <c r="I13509" s="26">
        <v>43524.40625</v>
      </c>
      <c r="J13509" s="23" t="str">
        <f>HYPERLINK("https://www.spark-marketing.ru/Card/Person/195529", "ООО ""АЛЬЯНС""")</f>
        <v>ООО "АЛЬЯНС"</v>
      </c>
      <c r="K13509" s="24" t="s">
        <v>15687</v>
      </c>
      <c r="L13509" s="28" t="s">
        <v>52</v>
      </c>
      <c r="M13509" s="25">
        <v>99701.23</v>
      </c>
      <c r="N13509" s="27">
        <v>0.3950351627681199</v>
      </c>
    </row>
    <row r="13510" spans="1:14" hidden="1" outlineLevel="1" x14ac:dyDescent="0.2">
      <c r="A13510" s="23" t="str">
        <f>HYPERLINK("https://www.spark-marketing.ru/Card/Person/27666", "СПБ ГБПОУ ""АКАДЕМИЯ ""ЛОКОН""")</f>
        <v>СПБ ГБПОУ "АКАДЕМИЯ "ЛОКОН"</v>
      </c>
      <c r="B13510" s="24" t="s">
        <v>15683</v>
      </c>
      <c r="C13510" s="25">
        <v>164805</v>
      </c>
      <c r="D13510" s="22" t="s">
        <v>15684</v>
      </c>
      <c r="E13510" s="22" t="s">
        <v>10304</v>
      </c>
      <c r="F13510" s="23" t="str">
        <f>HYPERLINK("https://www.spark-marketing.ru/Card/Lot/68358903", "Поставка электротоваров для нужд СПб ГБПОУ «Академия «ЛОКОН» в 2019 году")</f>
        <v>Поставка электротоваров для нужд СПб ГБПОУ «Академия «ЛОКОН» в 2019 году</v>
      </c>
      <c r="G13510" s="22" t="s">
        <v>89</v>
      </c>
      <c r="H13510" s="22" t="s">
        <v>89</v>
      </c>
      <c r="I13510" s="26">
        <v>43524.40625</v>
      </c>
      <c r="J13510" s="23" t="str">
        <f>HYPERLINK("https://www.spark-marketing.ru/Card/Person/6470234", "ООО ""СИОН""")</f>
        <v>ООО "СИОН"</v>
      </c>
      <c r="K13510" s="24" t="s">
        <v>15688</v>
      </c>
      <c r="L13510" s="28" t="s">
        <v>52</v>
      </c>
      <c r="M13510" s="25">
        <v>90000</v>
      </c>
      <c r="N13510" s="27">
        <v>0.45390006371165925</v>
      </c>
    </row>
    <row r="13511" spans="1:14" x14ac:dyDescent="0.15">
      <c r="A13511" s="23" t="str">
        <f>HYPERLINK("https://www.spark-marketing.ru/Card/Person/6057404", "ООО ТАТНЕФТЬ УРС Г АЛЬМЕТЬЕВСК")</f>
        <v>ООО ТАТНЕФТЬ УРС Г АЛЬМЕТЬЕВСК</v>
      </c>
      <c r="B13511" s="28" t="s">
        <v>52</v>
      </c>
      <c r="C13511" s="28" t="s">
        <v>52</v>
      </c>
      <c r="D13511" s="22" t="s">
        <v>15689</v>
      </c>
      <c r="E13511" s="22" t="s">
        <v>53</v>
      </c>
      <c r="F13511" s="23" t="str">
        <f>HYPERLINK("https://www.spark-marketing.ru/Card/Lot/69774799", "Оказание услуг по охране объектов ООО ""Татнефть-УРС"" в Джалильском филиале (63)")</f>
        <v>Оказание услуг по охране объектов ООО "Татнефть-УРС" в Джалильском филиале (63)</v>
      </c>
      <c r="G13511" s="22" t="s">
        <v>204</v>
      </c>
      <c r="H13511" s="22" t="s">
        <v>15690</v>
      </c>
      <c r="I13511" s="26">
        <v>43524</v>
      </c>
      <c r="J13511" s="28" t="s">
        <v>52</v>
      </c>
      <c r="K13511" s="28" t="s">
        <v>52</v>
      </c>
      <c r="L13511" s="28" t="s">
        <v>52</v>
      </c>
      <c r="M13511" s="28" t="s">
        <v>52</v>
      </c>
      <c r="N13511" s="28" t="s">
        <v>52</v>
      </c>
    </row>
    <row r="13512" spans="1:14" x14ac:dyDescent="0.15">
      <c r="A13512" s="23" t="str">
        <f>HYPERLINK("https://www.spark-marketing.ru/Card/Person/6057404", "ООО ТАТНЕФТЬ УРС Г АЛЬМЕТЬЕВСК")</f>
        <v>ООО ТАТНЕФТЬ УРС Г АЛЬМЕТЬЕВСК</v>
      </c>
      <c r="B13512" s="28" t="s">
        <v>52</v>
      </c>
      <c r="C13512" s="28" t="s">
        <v>52</v>
      </c>
      <c r="D13512" s="22" t="s">
        <v>15691</v>
      </c>
      <c r="E13512" s="22" t="s">
        <v>53</v>
      </c>
      <c r="F13512" s="23" t="str">
        <f>HYPERLINK("https://www.spark-marketing.ru/Card/Lot/68360959", "Оказание услуг по охране объектов ООО ""Татнефть-УРС"" в Джалильском филиале (63)")</f>
        <v>Оказание услуг по охране объектов ООО "Татнефть-УРС" в Джалильском филиале (63)</v>
      </c>
      <c r="G13512" s="22" t="s">
        <v>52</v>
      </c>
      <c r="H13512" s="22" t="s">
        <v>52</v>
      </c>
      <c r="I13512" s="26">
        <v>43524</v>
      </c>
      <c r="J13512" s="28" t="s">
        <v>52</v>
      </c>
      <c r="K13512" s="28" t="s">
        <v>52</v>
      </c>
      <c r="L13512" s="28" t="s">
        <v>52</v>
      </c>
      <c r="M13512" s="28" t="s">
        <v>52</v>
      </c>
      <c r="N13512" s="28" t="s">
        <v>52</v>
      </c>
    </row>
    <row r="13513" spans="1:14" x14ac:dyDescent="0.15">
      <c r="A13513" s="23" t="str">
        <f>HYPERLINK("https://www.spark-marketing.ru/Card/Person/91349", "ФИЦ ХФ РАН")</f>
        <v>ФИЦ ХФ РАН</v>
      </c>
      <c r="B13513" s="24" t="s">
        <v>15692</v>
      </c>
      <c r="C13513" s="25">
        <v>901287.93</v>
      </c>
      <c r="D13513" s="22" t="s">
        <v>15693</v>
      </c>
      <c r="E13513" s="22" t="s">
        <v>144</v>
      </c>
      <c r="F13513" s="23" t="str">
        <f>HYPERLINK("https://www.spark-marketing.ru/Card/Lot/68349742", "Оказание услуг по военизированной охране объекта")</f>
        <v>Оказание услуг по военизированной охране объекта</v>
      </c>
      <c r="G13513" s="22" t="s">
        <v>55</v>
      </c>
      <c r="H13513" s="22" t="s">
        <v>55</v>
      </c>
      <c r="I13513" s="26">
        <v>43523.888009259303</v>
      </c>
      <c r="J13513" s="28" t="s">
        <v>52</v>
      </c>
      <c r="K13513" s="28" t="s">
        <v>52</v>
      </c>
      <c r="L13513" s="28" t="s">
        <v>52</v>
      </c>
      <c r="M13513" s="28" t="s">
        <v>52</v>
      </c>
      <c r="N13513" s="28" t="s">
        <v>52</v>
      </c>
    </row>
    <row r="13514" spans="1:14" x14ac:dyDescent="0.2">
      <c r="A13514" s="23" t="str">
        <f>HYPERLINK("https://www.spark-marketing.ru/Card/Person/1760693", "МАУ ДО ХШ")</f>
        <v>МАУ ДО ХШ</v>
      </c>
      <c r="B13514" s="24" t="s">
        <v>15694</v>
      </c>
      <c r="C13514" s="25">
        <v>154908</v>
      </c>
      <c r="D13514" s="22" t="s">
        <v>15695</v>
      </c>
      <c r="E13514" s="22" t="s">
        <v>15696</v>
      </c>
      <c r="F13514" s="23" t="str">
        <f>HYPERLINK("https://www.spark-marketing.ru/Card/Lot/68349867", "Оказание охранных услуг в помещениях, оборудованных комплексом технических средст охраны (КТС)")</f>
        <v>Оказание охранных услуг в помещениях, оборудованных комплексом технических средст охраны (КТС)</v>
      </c>
      <c r="G13514" s="22" t="s">
        <v>50</v>
      </c>
      <c r="H13514" s="22" t="s">
        <v>432</v>
      </c>
      <c r="I13514" s="26">
        <v>43523.899814814802</v>
      </c>
      <c r="J13514" s="23" t="str">
        <f>HYPERLINK("https://www.spark-marketing.ru/Card/Person/4420658", "Балашихинский ОВО-фл ФГКУ УВО ГУ МВД России по МО")</f>
        <v>Балашихинский ОВО-фл ФГКУ УВО ГУ МВД России по МО</v>
      </c>
      <c r="K13514" s="24" t="s">
        <v>9566</v>
      </c>
      <c r="L13514" s="28" t="s">
        <v>52</v>
      </c>
      <c r="M13514" s="25">
        <v>154908</v>
      </c>
      <c r="N13514" s="27">
        <v>0</v>
      </c>
    </row>
    <row r="13515" spans="1:14" x14ac:dyDescent="0.15">
      <c r="A13515" s="23" t="str">
        <f>HYPERLINK("https://www.spark-marketing.ru/Card/Person/25432", "ГБУЗ ""ЦРБ"" Г.О. ПРОХЛАДНЫЙ И ПРОХЛАДНЕНСКОГО МУНИЦИПАЛЬНОГО РАЙОНА")</f>
        <v>ГБУЗ "ЦРБ" Г.О. ПРОХЛАДНЫЙ И ПРОХЛАДНЕНСКОГО МУНИЦИПАЛЬНОГО РАЙОНА</v>
      </c>
      <c r="B13515" s="24" t="s">
        <v>15697</v>
      </c>
      <c r="C13515" s="25">
        <v>102433.68</v>
      </c>
      <c r="D13515" s="22" t="s">
        <v>15698</v>
      </c>
      <c r="E13515" s="22" t="s">
        <v>68</v>
      </c>
      <c r="F13515" s="23" t="str">
        <f>HYPERLINK("https://www.spark-marketing.ru/Card/Lot/68349302", "Оказание услуг по охране объекта")</f>
        <v>Оказание услуг по охране объекта</v>
      </c>
      <c r="G13515" s="22" t="s">
        <v>110</v>
      </c>
      <c r="H13515" s="22" t="s">
        <v>15699</v>
      </c>
      <c r="I13515" s="26">
        <v>43523.815277777801</v>
      </c>
      <c r="J13515" s="28" t="s">
        <v>52</v>
      </c>
      <c r="K13515" s="28" t="s">
        <v>52</v>
      </c>
      <c r="L13515" s="28" t="s">
        <v>52</v>
      </c>
      <c r="M13515" s="28" t="s">
        <v>52</v>
      </c>
      <c r="N13515" s="28" t="s">
        <v>52</v>
      </c>
    </row>
    <row r="13516" spans="1:14" ht="12.75" x14ac:dyDescent="0.2">
      <c r="A13516" s="23" t="str">
        <f>HYPERLINK("https://www.spark-marketing.ru/Card/Person/1737325", "ООО ""СФП""")</f>
        <v>ООО "СФП"</v>
      </c>
      <c r="B13516" s="24" t="s">
        <v>15700</v>
      </c>
      <c r="C13516" s="25">
        <v>120000</v>
      </c>
      <c r="D13516" s="22" t="s">
        <v>15701</v>
      </c>
      <c r="E13516" s="22" t="s">
        <v>144</v>
      </c>
      <c r="F13516" s="23" t="str">
        <f>HYPERLINK("https://www.spark-marketing.ru/Card/Lot/68348976", "Оказание услуг по защите транспортных средств (буксиров) АО ""СФП"" от АНВ подразделением транспортной безопасности")</f>
        <v>Оказание услуг по защите транспортных средств (буксиров) АО "СФП" от АНВ подразделением транспортной безопасности</v>
      </c>
      <c r="G13516" s="22" t="s">
        <v>861</v>
      </c>
      <c r="H13516" s="22" t="s">
        <v>2792</v>
      </c>
      <c r="I13516" s="26">
        <v>43523.820798611101</v>
      </c>
      <c r="J13516" s="23" t="str">
        <f>HYPERLINK("https://www.spark-marketing.ru/Card/Person/6504373", "ООО ""БАЛТИК ЭСКОРТ ТБ""")</f>
        <v>ООО "БАЛТИК ЭСКОРТ ТБ"</v>
      </c>
      <c r="K13516" s="24" t="s">
        <v>12958</v>
      </c>
      <c r="L13516" s="22" t="s">
        <v>10</v>
      </c>
      <c r="M13516" s="25">
        <v>120000</v>
      </c>
      <c r="N13516" s="27">
        <v>0</v>
      </c>
    </row>
    <row r="13517" spans="1:14" x14ac:dyDescent="0.15">
      <c r="A13517" s="23" t="str">
        <f>HYPERLINK("https://www.spark-marketing.ru/Card/Person/25432", "ГБУЗ ""ЦРБ"" Г.О. ПРОХЛАДНЫЙ И ПРОХЛАДНЕНСКОГО МУНИЦИПАЛЬНОГО РАЙОНА")</f>
        <v>ГБУЗ "ЦРБ" Г.О. ПРОХЛАДНЫЙ И ПРОХЛАДНЕНСКОГО МУНИЦИПАЛЬНОГО РАЙОНА</v>
      </c>
      <c r="B13517" s="24" t="s">
        <v>15697</v>
      </c>
      <c r="C13517" s="25">
        <v>14664</v>
      </c>
      <c r="D13517" s="22" t="s">
        <v>15702</v>
      </c>
      <c r="E13517" s="22" t="s">
        <v>68</v>
      </c>
      <c r="F13517" s="23" t="str">
        <f>HYPERLINK("https://www.spark-marketing.ru/Card/Lot/68348541", "Оказание услуг по охране объекта")</f>
        <v>Оказание услуг по охране объекта</v>
      </c>
      <c r="G13517" s="22" t="s">
        <v>110</v>
      </c>
      <c r="H13517" s="22" t="s">
        <v>15699</v>
      </c>
      <c r="I13517" s="26">
        <v>43523.783333333296</v>
      </c>
      <c r="J13517" s="28" t="s">
        <v>52</v>
      </c>
      <c r="K13517" s="28" t="s">
        <v>52</v>
      </c>
      <c r="L13517" s="28" t="s">
        <v>52</v>
      </c>
      <c r="M13517" s="28" t="s">
        <v>52</v>
      </c>
      <c r="N13517" s="28" t="s">
        <v>52</v>
      </c>
    </row>
    <row r="13518" spans="1:14" x14ac:dyDescent="0.15">
      <c r="A13518" s="23" t="str">
        <f>HYPERLINK("https://www.spark-marketing.ru/Card/Person/4346644", "ИРКУТСКИЙ ОБЛАСТНОЙ СУД")</f>
        <v>ИРКУТСКИЙ ОБЛАСТНОЙ СУД</v>
      </c>
      <c r="B13518" s="24" t="s">
        <v>15703</v>
      </c>
      <c r="C13518" s="25">
        <v>24418.799999999999</v>
      </c>
      <c r="D13518" s="22" t="s">
        <v>15704</v>
      </c>
      <c r="E13518" s="22" t="s">
        <v>68</v>
      </c>
      <c r="F13518" s="23" t="str">
        <f>HYPERLINK("https://www.spark-marketing.ru/Card/Lot/68302220", "Услуги охраны здания Иркутского областного суда с помощью кнопок тревожной сигнализации (г. Братск)")</f>
        <v>Услуги охраны здания Иркутского областного суда с помощью кнопок тревожной сигнализации (г. Братск)</v>
      </c>
      <c r="G13518" s="22" t="s">
        <v>281</v>
      </c>
      <c r="H13518" s="22" t="s">
        <v>281</v>
      </c>
      <c r="I13518" s="26">
        <v>43523.771527777797</v>
      </c>
      <c r="J13518" s="28" t="s">
        <v>52</v>
      </c>
      <c r="K13518" s="28" t="s">
        <v>52</v>
      </c>
      <c r="L13518" s="28" t="s">
        <v>52</v>
      </c>
      <c r="M13518" s="28" t="s">
        <v>52</v>
      </c>
      <c r="N13518" s="28" t="s">
        <v>52</v>
      </c>
    </row>
    <row r="13519" spans="1:14" x14ac:dyDescent="0.15">
      <c r="A13519" s="23" t="str">
        <f>HYPERLINK("https://www.spark-marketing.ru/Card/Person/4350925", "УД ГС РК")</f>
        <v>УД ГС РК</v>
      </c>
      <c r="B13519" s="24" t="s">
        <v>15705</v>
      </c>
      <c r="C13519" s="25">
        <v>1686300</v>
      </c>
      <c r="D13519" s="22" t="s">
        <v>15706</v>
      </c>
      <c r="E13519" s="22" t="s">
        <v>68</v>
      </c>
      <c r="F13519" s="23" t="str">
        <f>HYPERLINK("https://www.spark-marketing.ru/Card/Lot/68341905", "Услуги по военизированной охране объекта недвижимости - автовъезд во внутренний двор административного здания Государственного Совета Республики Крым")</f>
        <v>Услуги по военизированной охране объекта недвижимости - автовъезд во внутренний двор административного здания Государственного Совета Республики Крым</v>
      </c>
      <c r="G13519" s="22" t="s">
        <v>1053</v>
      </c>
      <c r="H13519" s="22" t="s">
        <v>3239</v>
      </c>
      <c r="I13519" s="26">
        <v>43523.754861111098</v>
      </c>
      <c r="J13519" s="28" t="s">
        <v>52</v>
      </c>
      <c r="K13519" s="28" t="s">
        <v>52</v>
      </c>
      <c r="L13519" s="28" t="s">
        <v>52</v>
      </c>
      <c r="M13519" s="28" t="s">
        <v>52</v>
      </c>
      <c r="N13519" s="28" t="s">
        <v>52</v>
      </c>
    </row>
    <row r="13520" spans="1:14" x14ac:dyDescent="0.15">
      <c r="A13520" s="23" t="str">
        <f>HYPERLINK("https://www.spark-marketing.ru/Card/Person/25432", "ГБУЗ ""ЦРБ"" Г.О. ПРОХЛАДНЫЙ И ПРОХЛАДНЕНСКОГО МУНИЦИПАЛЬНОГО РАЙОНА")</f>
        <v>ГБУЗ "ЦРБ" Г.О. ПРОХЛАДНЫЙ И ПРОХЛАДНЕНСКОГО МУНИЦИПАЛЬНОГО РАЙОНА</v>
      </c>
      <c r="B13520" s="24" t="s">
        <v>15697</v>
      </c>
      <c r="C13520" s="25">
        <v>21090.720000000001</v>
      </c>
      <c r="D13520" s="22" t="s">
        <v>15707</v>
      </c>
      <c r="E13520" s="22" t="s">
        <v>68</v>
      </c>
      <c r="F13520" s="23" t="str">
        <f>HYPERLINK("https://www.spark-marketing.ru/Card/Lot/68349137", "Оказание услуг по охране объекта")</f>
        <v>Оказание услуг по охране объекта</v>
      </c>
      <c r="G13520" s="22" t="s">
        <v>110</v>
      </c>
      <c r="H13520" s="22" t="s">
        <v>15699</v>
      </c>
      <c r="I13520" s="26">
        <v>43523.780555555597</v>
      </c>
      <c r="J13520" s="28" t="s">
        <v>52</v>
      </c>
      <c r="K13520" s="28" t="s">
        <v>52</v>
      </c>
      <c r="L13520" s="28" t="s">
        <v>52</v>
      </c>
      <c r="M13520" s="28" t="s">
        <v>52</v>
      </c>
      <c r="N13520" s="28" t="s">
        <v>52</v>
      </c>
    </row>
    <row r="13521" spans="1:14" x14ac:dyDescent="0.15">
      <c r="A13521" s="23" t="str">
        <f>HYPERLINK("https://www.spark-marketing.ru/Card/Person/124853", "ГБУ МЦ ""СЭЛЭТ""")</f>
        <v>ГБУ МЦ "СЭЛЭТ"</v>
      </c>
      <c r="B13521" s="24" t="s">
        <v>15708</v>
      </c>
      <c r="C13521" s="25">
        <v>39159</v>
      </c>
      <c r="D13521" s="22" t="s">
        <v>15709</v>
      </c>
      <c r="E13521" s="22" t="s">
        <v>68</v>
      </c>
      <c r="F13521" s="23" t="str">
        <f>HYPERLINK("https://www.spark-marketing.ru/Card/Lot/68339499", "Услуги централизованной охраны с помощью кнопки тревожной сигнализации в ДОЛ ""Дубок""")</f>
        <v>Услуги централизованной охраны с помощью кнопки тревожной сигнализации в ДОЛ "Дубок"</v>
      </c>
      <c r="G13521" s="22" t="s">
        <v>204</v>
      </c>
      <c r="H13521" s="22" t="s">
        <v>5881</v>
      </c>
      <c r="I13521" s="26">
        <v>43523.724305555603</v>
      </c>
      <c r="J13521" s="28" t="s">
        <v>52</v>
      </c>
      <c r="K13521" s="28" t="s">
        <v>52</v>
      </c>
      <c r="L13521" s="28" t="s">
        <v>52</v>
      </c>
      <c r="M13521" s="28" t="s">
        <v>52</v>
      </c>
      <c r="N13521" s="28" t="s">
        <v>52</v>
      </c>
    </row>
    <row r="13522" spans="1:14" x14ac:dyDescent="0.15">
      <c r="A13522" s="23" t="str">
        <f>HYPERLINK("https://www.spark-marketing.ru/Card/Person/127214", "УПРАВЛЕНИЕ РОССЕЛЬХОЗНАДЗОРА ПО ВЛАДИМИРСКОЙ ОБЛАСТИ")</f>
        <v>УПРАВЛЕНИЕ РОССЕЛЬХОЗНАДЗОРА ПО ВЛАДИМИРСКОЙ ОБЛАСТИ</v>
      </c>
      <c r="B13522" s="24" t="s">
        <v>5854</v>
      </c>
      <c r="C13522" s="25">
        <v>59936</v>
      </c>
      <c r="D13522" s="22" t="s">
        <v>15710</v>
      </c>
      <c r="E13522" s="22" t="s">
        <v>68</v>
      </c>
      <c r="F13522" s="23" t="str">
        <f>HYPERLINK("https://www.spark-marketing.ru/Card/Lot/68340781", "Услуги по централизованной охране объекта и реагированию на сигналы «Тревога»")</f>
        <v>Услуги по централизованной охране объекта и реагированию на сигналы «Тревога»</v>
      </c>
      <c r="G13522" s="22" t="s">
        <v>145</v>
      </c>
      <c r="H13522" s="22" t="s">
        <v>5844</v>
      </c>
      <c r="I13522" s="26">
        <v>43523.716666666704</v>
      </c>
      <c r="J13522" s="28" t="s">
        <v>52</v>
      </c>
      <c r="K13522" s="28" t="s">
        <v>52</v>
      </c>
      <c r="L13522" s="28" t="s">
        <v>52</v>
      </c>
      <c r="M13522" s="28" t="s">
        <v>52</v>
      </c>
      <c r="N13522" s="28" t="s">
        <v>52</v>
      </c>
    </row>
    <row r="13523" spans="1:14" x14ac:dyDescent="0.15">
      <c r="A13523" s="23" t="str">
        <f>HYPERLINK("https://www.spark-marketing.ru/Card/Person/93622", "ГБУЗ МО ""СТУПИНСКИЙ ПНД""")</f>
        <v>ГБУЗ МО "СТУПИНСКИЙ ПНД"</v>
      </c>
      <c r="B13523" s="24" t="s">
        <v>15711</v>
      </c>
      <c r="C13523" s="25">
        <v>20000</v>
      </c>
      <c r="D13523" s="22" t="s">
        <v>15712</v>
      </c>
      <c r="E13523" s="22" t="s">
        <v>15713</v>
      </c>
      <c r="F13523" s="23" t="str">
        <f>HYPERLINK("https://www.spark-marketing.ru/Card/Lot/68339122", "Оказание услуг по техническому обслуживанию комплекса технических средств охраны")</f>
        <v>Оказание услуг по техническому обслуживанию комплекса технических средств охраны</v>
      </c>
      <c r="G13523" s="22" t="s">
        <v>50</v>
      </c>
      <c r="H13523" s="22" t="s">
        <v>50</v>
      </c>
      <c r="I13523" s="26">
        <v>43523.712789351899</v>
      </c>
      <c r="J13523" s="28" t="s">
        <v>52</v>
      </c>
      <c r="K13523" s="28" t="s">
        <v>52</v>
      </c>
      <c r="L13523" s="28" t="s">
        <v>52</v>
      </c>
      <c r="M13523" s="28" t="s">
        <v>52</v>
      </c>
      <c r="N13523" s="28" t="s">
        <v>52</v>
      </c>
    </row>
    <row r="13524" spans="1:14" hidden="1" outlineLevel="1" x14ac:dyDescent="0.15">
      <c r="A13524" s="23" t="str">
        <f>HYPERLINK("https://www.spark-marketing.ru/Card/Person/93622", "ГБУЗ МО ""СТУПИНСКИЙ ПНД""")</f>
        <v>ГБУЗ МО "СТУПИНСКИЙ ПНД"</v>
      </c>
      <c r="B13524" s="24" t="s">
        <v>15711</v>
      </c>
      <c r="C13524" s="28" t="s">
        <v>52</v>
      </c>
      <c r="D13524" s="22" t="s">
        <v>15712</v>
      </c>
      <c r="E13524" s="22" t="s">
        <v>15713</v>
      </c>
      <c r="F13524" s="23" t="str">
        <f>HYPERLINK("https://www.spark-marketing.ru/Card/Lot/68339122", "Оказание услуг по техническому обслуживанию комплекса технических средств охраны")</f>
        <v>Оказание услуг по техническому обслуживанию комплекса технических средств охраны</v>
      </c>
      <c r="G13524" s="22" t="s">
        <v>50</v>
      </c>
      <c r="H13524" s="22" t="s">
        <v>50</v>
      </c>
      <c r="I13524" s="26">
        <v>43523.712789351899</v>
      </c>
      <c r="J13524" s="23" t="str">
        <f>HYPERLINK("https://www.spark-marketing.ru/Card/Person/65028", "ООО ""ИМПУЛЬС М""")</f>
        <v>ООО "ИМПУЛЬС М"</v>
      </c>
      <c r="K13524" s="24" t="s">
        <v>7268</v>
      </c>
      <c r="L13524" s="28" t="s">
        <v>52</v>
      </c>
      <c r="M13524" s="28" t="s">
        <v>52</v>
      </c>
      <c r="N13524" s="28" t="s">
        <v>52</v>
      </c>
    </row>
    <row r="13525" spans="1:14" hidden="1" outlineLevel="1" x14ac:dyDescent="0.15">
      <c r="A13525" s="23" t="str">
        <f>HYPERLINK("https://www.spark-marketing.ru/Card/Person/93622", "ГБУЗ МО ""СТУПИНСКИЙ ПНД""")</f>
        <v>ГБУЗ МО "СТУПИНСКИЙ ПНД"</v>
      </c>
      <c r="B13525" s="24" t="s">
        <v>15711</v>
      </c>
      <c r="C13525" s="28" t="s">
        <v>52</v>
      </c>
      <c r="D13525" s="22" t="s">
        <v>15712</v>
      </c>
      <c r="E13525" s="22" t="s">
        <v>15713</v>
      </c>
      <c r="F13525" s="23" t="str">
        <f>HYPERLINK("https://www.spark-marketing.ru/Card/Lot/68339122", "Оказание услуг по техническому обслуживанию комплекса технических средств охраны")</f>
        <v>Оказание услуг по техническому обслуживанию комплекса технических средств охраны</v>
      </c>
      <c r="G13525" s="22" t="s">
        <v>50</v>
      </c>
      <c r="H13525" s="22" t="s">
        <v>50</v>
      </c>
      <c r="I13525" s="26">
        <v>43523.712789351899</v>
      </c>
      <c r="J13525" s="23" t="str">
        <f>HYPERLINK("https://www.spark-marketing.ru/Card/Person/10487", "ФГУП ""ОХРАНА"" РОСГВАРДИИ")</f>
        <v>ФГУП "ОХРАНА" РОСГВАРДИИ</v>
      </c>
      <c r="K13525" s="24" t="s">
        <v>779</v>
      </c>
      <c r="L13525" s="28" t="s">
        <v>52</v>
      </c>
      <c r="M13525" s="28" t="s">
        <v>52</v>
      </c>
      <c r="N13525" s="28" t="s">
        <v>52</v>
      </c>
    </row>
    <row r="13526" spans="1:14" x14ac:dyDescent="0.15">
      <c r="A13526" s="23" t="str">
        <f t="shared" ref="A13526:A13531" si="695">HYPERLINK("https://www.spark-marketing.ru/Card/Person/17095", "ГБУЗ ""ДГП № 133 ДЗМ""")</f>
        <v>ГБУЗ "ДГП № 133 ДЗМ"</v>
      </c>
      <c r="B13526" s="24" t="s">
        <v>15714</v>
      </c>
      <c r="C13526" s="25">
        <v>168374.3</v>
      </c>
      <c r="D13526" s="22" t="s">
        <v>15715</v>
      </c>
      <c r="E13526" s="22" t="s">
        <v>84</v>
      </c>
      <c r="F13526" s="23" t="str">
        <f t="shared" ref="F13526:F13531" si="696">HYPERLINK("https://www.spark-marketing.ru/Card/Lot/68341192", "Выполнение работ по установке (монтажу) системы видеонаблюдения для ГБУЗ «ДГП № 133 ДЗМ»")</f>
        <v>Выполнение работ по установке (монтажу) системы видеонаблюдения для ГБУЗ «ДГП № 133 ДЗМ»</v>
      </c>
      <c r="G13526" s="22" t="s">
        <v>55</v>
      </c>
      <c r="H13526" s="22" t="s">
        <v>55</v>
      </c>
      <c r="I13526" s="26">
        <v>43523.715277777803</v>
      </c>
      <c r="J13526" s="28" t="s">
        <v>52</v>
      </c>
      <c r="K13526" s="28" t="s">
        <v>52</v>
      </c>
      <c r="L13526" s="28" t="s">
        <v>52</v>
      </c>
      <c r="M13526" s="28" t="s">
        <v>52</v>
      </c>
      <c r="N13526" s="28" t="s">
        <v>52</v>
      </c>
    </row>
    <row r="13527" spans="1:14" hidden="1" outlineLevel="1" x14ac:dyDescent="0.2">
      <c r="A13527" s="23" t="str">
        <f t="shared" si="695"/>
        <v>ГБУЗ "ДГП № 133 ДЗМ"</v>
      </c>
      <c r="B13527" s="24" t="s">
        <v>15714</v>
      </c>
      <c r="C13527" s="25">
        <v>168374.3</v>
      </c>
      <c r="D13527" s="22" t="s">
        <v>15715</v>
      </c>
      <c r="E13527" s="22" t="s">
        <v>84</v>
      </c>
      <c r="F13527" s="23" t="str">
        <f t="shared" si="696"/>
        <v>Выполнение работ по установке (монтажу) системы видеонаблюдения для ГБУЗ «ДГП № 133 ДЗМ»</v>
      </c>
      <c r="G13527" s="22" t="s">
        <v>55</v>
      </c>
      <c r="H13527" s="22" t="s">
        <v>55</v>
      </c>
      <c r="I13527" s="26">
        <v>43523.715277777803</v>
      </c>
      <c r="J13527" s="23" t="str">
        <f>HYPERLINK("https://www.spark-marketing.ru/Card/Person/10921", "ООО ""АЙТИ ФОРТ""")</f>
        <v>ООО "АЙТИ ФОРТ"</v>
      </c>
      <c r="K13527" s="24" t="s">
        <v>8546</v>
      </c>
      <c r="L13527" s="28" t="s">
        <v>52</v>
      </c>
      <c r="M13527" s="25">
        <v>148174</v>
      </c>
      <c r="N13527" s="27">
        <v>0.11997258488973674</v>
      </c>
    </row>
    <row r="13528" spans="1:14" hidden="1" outlineLevel="1" x14ac:dyDescent="0.2">
      <c r="A13528" s="23" t="str">
        <f t="shared" si="695"/>
        <v>ГБУЗ "ДГП № 133 ДЗМ"</v>
      </c>
      <c r="B13528" s="24" t="s">
        <v>15714</v>
      </c>
      <c r="C13528" s="25">
        <v>168374.3</v>
      </c>
      <c r="D13528" s="22" t="s">
        <v>15715</v>
      </c>
      <c r="E13528" s="22" t="s">
        <v>84</v>
      </c>
      <c r="F13528" s="23" t="str">
        <f t="shared" si="696"/>
        <v>Выполнение работ по установке (монтажу) системы видеонаблюдения для ГБУЗ «ДГП № 133 ДЗМ»</v>
      </c>
      <c r="G13528" s="22" t="s">
        <v>55</v>
      </c>
      <c r="H13528" s="22" t="s">
        <v>55</v>
      </c>
      <c r="I13528" s="26">
        <v>43523.715277777803</v>
      </c>
      <c r="J13528" s="23" t="str">
        <f>HYPERLINK("https://www.spark-marketing.ru/Card/Person/6472074", "Жариков Алексей Александрович")</f>
        <v>Жариков Алексей Александрович</v>
      </c>
      <c r="K13528" s="24" t="s">
        <v>15716</v>
      </c>
      <c r="L13528" s="28" t="s">
        <v>52</v>
      </c>
      <c r="M13528" s="25">
        <v>84111.38</v>
      </c>
      <c r="N13528" s="27">
        <v>0.50045000929476768</v>
      </c>
    </row>
    <row r="13529" spans="1:14" ht="12.75" hidden="1" outlineLevel="1" x14ac:dyDescent="0.2">
      <c r="A13529" s="23" t="str">
        <f t="shared" si="695"/>
        <v>ГБУЗ "ДГП № 133 ДЗМ"</v>
      </c>
      <c r="B13529" s="24" t="s">
        <v>15714</v>
      </c>
      <c r="C13529" s="25">
        <v>168374.3</v>
      </c>
      <c r="D13529" s="22" t="s">
        <v>15715</v>
      </c>
      <c r="E13529" s="22" t="s">
        <v>84</v>
      </c>
      <c r="F13529" s="23" t="str">
        <f t="shared" si="696"/>
        <v>Выполнение работ по установке (монтажу) системы видеонаблюдения для ГБУЗ «ДГП № 133 ДЗМ»</v>
      </c>
      <c r="G13529" s="22" t="s">
        <v>55</v>
      </c>
      <c r="H13529" s="22" t="s">
        <v>55</v>
      </c>
      <c r="I13529" s="26">
        <v>43523.715277777803</v>
      </c>
      <c r="J13529" s="23" t="str">
        <f>HYPERLINK("https://www.spark-marketing.ru/Card/Person/6450275", "Сальников Денис Сергеевич")</f>
        <v>Сальников Денис Сергеевич</v>
      </c>
      <c r="K13529" s="24" t="s">
        <v>15717</v>
      </c>
      <c r="L13529" s="22" t="s">
        <v>10</v>
      </c>
      <c r="M13529" s="25">
        <v>75000</v>
      </c>
      <c r="N13529" s="27">
        <v>0.55456384970865502</v>
      </c>
    </row>
    <row r="13530" spans="1:14" hidden="1" outlineLevel="1" x14ac:dyDescent="0.2">
      <c r="A13530" s="23" t="str">
        <f t="shared" si="695"/>
        <v>ГБУЗ "ДГП № 133 ДЗМ"</v>
      </c>
      <c r="B13530" s="24" t="s">
        <v>15714</v>
      </c>
      <c r="C13530" s="25">
        <v>168374.3</v>
      </c>
      <c r="D13530" s="22" t="s">
        <v>15715</v>
      </c>
      <c r="E13530" s="22" t="s">
        <v>84</v>
      </c>
      <c r="F13530" s="23" t="str">
        <f t="shared" si="696"/>
        <v>Выполнение работ по установке (монтажу) системы видеонаблюдения для ГБУЗ «ДГП № 133 ДЗМ»</v>
      </c>
      <c r="G13530" s="22" t="s">
        <v>55</v>
      </c>
      <c r="H13530" s="22" t="s">
        <v>55</v>
      </c>
      <c r="I13530" s="26">
        <v>43523.715277777803</v>
      </c>
      <c r="J13530" s="23" t="str">
        <f>HYPERLINK("https://www.spark-marketing.ru/Card/Person/6393489", "ООО ""АКВИНЖИНИРИНГ""")</f>
        <v>ООО "АКВИНЖИНИРИНГ"</v>
      </c>
      <c r="K13530" s="24" t="s">
        <v>15718</v>
      </c>
      <c r="L13530" s="28" t="s">
        <v>52</v>
      </c>
      <c r="M13530" s="25">
        <v>127055.67</v>
      </c>
      <c r="N13530" s="27">
        <v>0.24539748643349965</v>
      </c>
    </row>
    <row r="13531" spans="1:14" hidden="1" outlineLevel="1" x14ac:dyDescent="0.2">
      <c r="A13531" s="23" t="str">
        <f t="shared" si="695"/>
        <v>ГБУЗ "ДГП № 133 ДЗМ"</v>
      </c>
      <c r="B13531" s="24" t="s">
        <v>15714</v>
      </c>
      <c r="C13531" s="25">
        <v>168374.3</v>
      </c>
      <c r="D13531" s="22" t="s">
        <v>15715</v>
      </c>
      <c r="E13531" s="22" t="s">
        <v>84</v>
      </c>
      <c r="F13531" s="23" t="str">
        <f t="shared" si="696"/>
        <v>Выполнение работ по установке (монтажу) системы видеонаблюдения для ГБУЗ «ДГП № 133 ДЗМ»</v>
      </c>
      <c r="G13531" s="22" t="s">
        <v>55</v>
      </c>
      <c r="H13531" s="22" t="s">
        <v>55</v>
      </c>
      <c r="I13531" s="26">
        <v>43523.715277777803</v>
      </c>
      <c r="J13531" s="23" t="str">
        <f>HYPERLINK("https://www.spark-marketing.ru/Card/Person/4954405", "ООО ""АНГАРЕЙОН-СБ""")</f>
        <v>ООО "АНГАРЕЙОН-СБ"</v>
      </c>
      <c r="K13531" s="24" t="s">
        <v>3508</v>
      </c>
      <c r="L13531" s="28" t="s">
        <v>52</v>
      </c>
      <c r="M13531" s="25">
        <v>76158.13</v>
      </c>
      <c r="N13531" s="27">
        <v>0.54768554345882947</v>
      </c>
    </row>
    <row r="13532" spans="1:14" x14ac:dyDescent="0.2">
      <c r="A13532" s="23" t="str">
        <f>HYPERLINK("https://www.spark-marketing.ru/Card/Person/4367188", "МАОУ СОШ № 69 ГОРОДА ТЮМЕНИ")</f>
        <v>МАОУ СОШ № 69 ГОРОДА ТЮМЕНИ</v>
      </c>
      <c r="B13532" s="24" t="s">
        <v>15719</v>
      </c>
      <c r="C13532" s="25">
        <v>1109200</v>
      </c>
      <c r="D13532" s="22" t="s">
        <v>15720</v>
      </c>
      <c r="E13532" s="22" t="s">
        <v>363</v>
      </c>
      <c r="F13532" s="23" t="str">
        <f>HYPERLINK("https://www.spark-marketing.ru/Card/Lot/68311501", "Оказание охранных услуг")</f>
        <v>Оказание охранных услуг</v>
      </c>
      <c r="G13532" s="22" t="s">
        <v>893</v>
      </c>
      <c r="H13532" s="22" t="s">
        <v>893</v>
      </c>
      <c r="I13532" s="26">
        <v>43523.744942129597</v>
      </c>
      <c r="J13532" s="23" t="str">
        <f>HYPERLINK("https://www.spark-marketing.ru/Card/Person/4361940", "ООО ""ЧОО ""НИМАК""")</f>
        <v>ООО "ЧОО "НИМАК"</v>
      </c>
      <c r="K13532" s="24" t="s">
        <v>15721</v>
      </c>
      <c r="L13532" s="28" t="s">
        <v>52</v>
      </c>
      <c r="M13532" s="25">
        <v>1109200</v>
      </c>
      <c r="N13532" s="27">
        <v>0</v>
      </c>
    </row>
    <row r="13533" spans="1:14" x14ac:dyDescent="0.15">
      <c r="A13533" s="23" t="str">
        <f>HYPERLINK("https://www.spark-marketing.ru/Card/Person/4348813", "АО ""РЖДСТРОЙ""")</f>
        <v>АО "РЖДСТРОЙ"</v>
      </c>
      <c r="B13533" s="24" t="s">
        <v>975</v>
      </c>
      <c r="C13533" s="25">
        <v>328800</v>
      </c>
      <c r="D13533" s="22" t="s">
        <v>15722</v>
      </c>
      <c r="E13533" s="22" t="s">
        <v>15723</v>
      </c>
      <c r="F13533" s="23" t="str">
        <f>HYPERLINK("https://www.spark-marketing.ru/Card/Lot/68309930", "Запрос котировок в электронной форме № 2516 на право заключения договора на поставку и техническое обслуживание видеонаблюдения на производственную базу ЭМП-1 расположенную по адресу: г.Москва ул. Егорьевская 15 для нужд ЭМП-1 СМТ 3 - филиала АО «РЖД...")</f>
        <v>Запрос котировок в электронной форме № 2516 на право заключения договора на поставку и техническое обслуживание видеонаблюдения на производственную базу ЭМП-1 расположенную по адресу: г.Москва ул. Егорьевская 15 для нужд ЭМП-1 СМТ 3 - филиала АО «РЖД...</v>
      </c>
      <c r="G13533" s="22" t="s">
        <v>55</v>
      </c>
      <c r="H13533" s="22" t="s">
        <v>55</v>
      </c>
      <c r="I13533" s="26">
        <v>43523.7006944444</v>
      </c>
      <c r="J13533" s="28" t="s">
        <v>52</v>
      </c>
      <c r="K13533" s="28" t="s">
        <v>52</v>
      </c>
      <c r="L13533" s="28" t="s">
        <v>52</v>
      </c>
      <c r="M13533" s="28" t="s">
        <v>52</v>
      </c>
      <c r="N13533" s="28" t="s">
        <v>52</v>
      </c>
    </row>
    <row r="13534" spans="1:14" x14ac:dyDescent="0.2">
      <c r="A13534" s="23" t="str">
        <f>HYPERLINK("https://www.spark-marketing.ru/Card/Person/426546", "ЛО ГУП ""НЕДВИЖИМОСТЬ""")</f>
        <v>ЛО ГУП "НЕДВИЖИМОСТЬ"</v>
      </c>
      <c r="B13534" s="24" t="s">
        <v>7521</v>
      </c>
      <c r="C13534" s="25">
        <v>5260000</v>
      </c>
      <c r="D13534" s="22" t="s">
        <v>15724</v>
      </c>
      <c r="E13534" s="22" t="s">
        <v>144</v>
      </c>
      <c r="F13534" s="23" t="str">
        <f>HYPERLINK("https://www.spark-marketing.ru/Card/Lot/68338850", "Оказание услуг по обеспечению пропускного режима и охране объекта по адресу: Ленинградская область, Приозерский район, вблизи деревни Ягодное.")</f>
        <v>Оказание услуг по обеспечению пропускного режима и охране объекта по адресу: Ленинградская область, Приозерский район, вблизи деревни Ягодное.</v>
      </c>
      <c r="G13534" s="22" t="s">
        <v>861</v>
      </c>
      <c r="H13534" s="22" t="s">
        <v>861</v>
      </c>
      <c r="I13534" s="26">
        <v>43523.7032638889</v>
      </c>
      <c r="J13534" s="23" t="str">
        <f>HYPERLINK("https://www.spark-marketing.ru/Card/Person/236884", "ООО ""ЧОО ""ОСС""")</f>
        <v>ООО "ЧОО "ОСС"</v>
      </c>
      <c r="K13534" s="24" t="s">
        <v>15725</v>
      </c>
      <c r="L13534" s="28" t="s">
        <v>52</v>
      </c>
      <c r="M13534" s="25">
        <v>4701600</v>
      </c>
      <c r="N13534" s="27">
        <v>0.10615969581749049</v>
      </c>
    </row>
    <row r="13535" spans="1:14" x14ac:dyDescent="0.15">
      <c r="A13535" s="23" t="str">
        <f>HYPERLINK("https://www.spark-marketing.ru/Card/Person/66339", "ФГКУ ""САНАТОРИЙ ""ЕВПАТОРИЯ""")</f>
        <v>ФГКУ "САНАТОРИЙ "ЕВПАТОРИЯ"</v>
      </c>
      <c r="B13535" s="24" t="s">
        <v>15726</v>
      </c>
      <c r="C13535" s="25">
        <v>97807.67</v>
      </c>
      <c r="D13535" s="22" t="s">
        <v>15727</v>
      </c>
      <c r="E13535" s="22" t="s">
        <v>107</v>
      </c>
      <c r="F13535" s="23" t="str">
        <f>HYPERLINK("https://www.spark-marketing.ru/Card/Lot/68340502", "Техническое обслуживание автоматических систем охранной сигнализации")</f>
        <v>Техническое обслуживание автоматических систем охранной сигнализации</v>
      </c>
      <c r="G13535" s="22" t="s">
        <v>1053</v>
      </c>
      <c r="H13535" s="22" t="s">
        <v>5997</v>
      </c>
      <c r="I13535" s="26">
        <v>43523.703472222202</v>
      </c>
      <c r="J13535" s="28" t="s">
        <v>52</v>
      </c>
      <c r="K13535" s="28" t="s">
        <v>52</v>
      </c>
      <c r="L13535" s="28" t="s">
        <v>52</v>
      </c>
      <c r="M13535" s="28" t="s">
        <v>52</v>
      </c>
      <c r="N13535" s="28" t="s">
        <v>52</v>
      </c>
    </row>
    <row r="13536" spans="1:14" x14ac:dyDescent="0.15">
      <c r="A13536" s="23" t="str">
        <f>HYPERLINK("https://www.spark-marketing.ru/Card/Person/795840", "МБУ ""СШОР ПО ГРЕКО-РИМСКОЙ БОРЬБЕ Г. ЮЖНО-САХАЛИНСКА""")</f>
        <v>МБУ "СШОР ПО ГРЕКО-РИМСКОЙ БОРЬБЕ Г. ЮЖНО-САХАЛИНСКА"</v>
      </c>
      <c r="B13536" s="24" t="s">
        <v>15728</v>
      </c>
      <c r="C13536" s="25">
        <v>2520000</v>
      </c>
      <c r="D13536" s="22" t="s">
        <v>15729</v>
      </c>
      <c r="E13536" s="22" t="s">
        <v>52</v>
      </c>
      <c r="F13536" s="23" t="str">
        <f>HYPERLINK("https://www.spark-marketing.ru/Card/Lot/68288050", "Услуги физической охраны")</f>
        <v>Услуги физической охраны</v>
      </c>
      <c r="G13536" s="22" t="s">
        <v>69</v>
      </c>
      <c r="H13536" s="22" t="s">
        <v>973</v>
      </c>
      <c r="I13536" s="26">
        <v>43523.690277777801</v>
      </c>
      <c r="J13536" s="28" t="s">
        <v>52</v>
      </c>
      <c r="K13536" s="28" t="s">
        <v>52</v>
      </c>
      <c r="L13536" s="28" t="s">
        <v>52</v>
      </c>
      <c r="M13536" s="28" t="s">
        <v>52</v>
      </c>
      <c r="N13536" s="28" t="s">
        <v>52</v>
      </c>
    </row>
    <row r="13537" spans="1:14" hidden="1" outlineLevel="1" x14ac:dyDescent="0.2">
      <c r="A13537" s="23" t="str">
        <f>HYPERLINK("https://www.spark-marketing.ru/Card/Person/795840", "МБУ ""СШОР ПО ГРЕКО-РИМСКОЙ БОРЬБЕ Г. ЮЖНО-САХАЛИНСКА""")</f>
        <v>МБУ "СШОР ПО ГРЕКО-РИМСКОЙ БОРЬБЕ Г. ЮЖНО-САХАЛИНСКА"</v>
      </c>
      <c r="B13537" s="24" t="s">
        <v>15728</v>
      </c>
      <c r="C13537" s="25">
        <v>2520000</v>
      </c>
      <c r="D13537" s="22" t="s">
        <v>15729</v>
      </c>
      <c r="E13537" s="22" t="s">
        <v>52</v>
      </c>
      <c r="F13537" s="23" t="str">
        <f>HYPERLINK("https://www.spark-marketing.ru/Card/Lot/68288050", "Услуги физической охраны")</f>
        <v>Услуги физической охраны</v>
      </c>
      <c r="G13537" s="22" t="s">
        <v>69</v>
      </c>
      <c r="H13537" s="22" t="s">
        <v>973</v>
      </c>
      <c r="I13537" s="26">
        <v>43523.690277777801</v>
      </c>
      <c r="J13537" s="23" t="str">
        <f>HYPERLINK("https://www.spark-marketing.ru/Card/Person/56174", "ООО ЧОП ""ФИНЭКО-РОСА-1""")</f>
        <v>ООО ЧОП "ФИНЭКО-РОСА-1"</v>
      </c>
      <c r="K13537" s="24" t="s">
        <v>13411</v>
      </c>
      <c r="L13537" s="28" t="s">
        <v>52</v>
      </c>
      <c r="M13537" s="25">
        <v>2091600</v>
      </c>
      <c r="N13537" s="27">
        <v>0.17</v>
      </c>
    </row>
    <row r="13538" spans="1:14" hidden="1" outlineLevel="1" x14ac:dyDescent="0.2">
      <c r="A13538" s="23" t="str">
        <f>HYPERLINK("https://www.spark-marketing.ru/Card/Person/795840", "МБУ ""СШОР ПО ГРЕКО-РИМСКОЙ БОРЬБЕ Г. ЮЖНО-САХАЛИНСКА""")</f>
        <v>МБУ "СШОР ПО ГРЕКО-РИМСКОЙ БОРЬБЕ Г. ЮЖНО-САХАЛИНСКА"</v>
      </c>
      <c r="B13538" s="24" t="s">
        <v>15728</v>
      </c>
      <c r="C13538" s="25">
        <v>2520000</v>
      </c>
      <c r="D13538" s="22" t="s">
        <v>15729</v>
      </c>
      <c r="E13538" s="22" t="s">
        <v>52</v>
      </c>
      <c r="F13538" s="23" t="str">
        <f>HYPERLINK("https://www.spark-marketing.ru/Card/Lot/68288050", "Услуги физической охраны")</f>
        <v>Услуги физической охраны</v>
      </c>
      <c r="G13538" s="22" t="s">
        <v>69</v>
      </c>
      <c r="H13538" s="22" t="s">
        <v>973</v>
      </c>
      <c r="I13538" s="26">
        <v>43523.690277777801</v>
      </c>
      <c r="J13538" s="23" t="str">
        <f>HYPERLINK("https://www.spark-marketing.ru/Card/Person/2593395", "ООО ЧОП ""ИРБИС-Т""")</f>
        <v>ООО ЧОП "ИРБИС-Т"</v>
      </c>
      <c r="K13538" s="24" t="s">
        <v>7697</v>
      </c>
      <c r="L13538" s="28" t="s">
        <v>52</v>
      </c>
      <c r="M13538" s="25">
        <v>1827000</v>
      </c>
      <c r="N13538" s="27">
        <v>0.27500000000000002</v>
      </c>
    </row>
    <row r="13539" spans="1:14" hidden="1" outlineLevel="1" x14ac:dyDescent="0.2">
      <c r="A13539" s="23" t="str">
        <f>HYPERLINK("https://www.spark-marketing.ru/Card/Person/795840", "МБУ ""СШОР ПО ГРЕКО-РИМСКОЙ БОРЬБЕ Г. ЮЖНО-САХАЛИНСКА""")</f>
        <v>МБУ "СШОР ПО ГРЕКО-РИМСКОЙ БОРЬБЕ Г. ЮЖНО-САХАЛИНСКА"</v>
      </c>
      <c r="B13539" s="24" t="s">
        <v>15728</v>
      </c>
      <c r="C13539" s="25">
        <v>2520000</v>
      </c>
      <c r="D13539" s="22" t="s">
        <v>15729</v>
      </c>
      <c r="E13539" s="22" t="s">
        <v>52</v>
      </c>
      <c r="F13539" s="23" t="str">
        <f>HYPERLINK("https://www.spark-marketing.ru/Card/Lot/68288050", "Услуги физической охраны")</f>
        <v>Услуги физической охраны</v>
      </c>
      <c r="G13539" s="22" t="s">
        <v>69</v>
      </c>
      <c r="H13539" s="22" t="s">
        <v>973</v>
      </c>
      <c r="I13539" s="26">
        <v>43523.690277777801</v>
      </c>
      <c r="J13539" s="23" t="str">
        <f>HYPERLINK("https://www.spark-marketing.ru/Card/Person/2451357", "ООО ЧОП ""ВИХРЬ""")</f>
        <v>ООО ЧОП "ВИХРЬ"</v>
      </c>
      <c r="K13539" s="24" t="s">
        <v>13412</v>
      </c>
      <c r="L13539" s="28" t="s">
        <v>52</v>
      </c>
      <c r="M13539" s="25">
        <v>1826999</v>
      </c>
      <c r="N13539" s="27">
        <v>0.27500039682539684</v>
      </c>
    </row>
    <row r="13540" spans="1:14" ht="12.75" hidden="1" outlineLevel="1" x14ac:dyDescent="0.2">
      <c r="A13540" s="23" t="str">
        <f>HYPERLINK("https://www.spark-marketing.ru/Card/Person/795840", "МБУ ""СШОР ПО ГРЕКО-РИМСКОЙ БОРЬБЕ Г. ЮЖНО-САХАЛИНСКА""")</f>
        <v>МБУ "СШОР ПО ГРЕКО-РИМСКОЙ БОРЬБЕ Г. ЮЖНО-САХАЛИНСКА"</v>
      </c>
      <c r="B13540" s="24" t="s">
        <v>15728</v>
      </c>
      <c r="C13540" s="25">
        <v>2520000</v>
      </c>
      <c r="D13540" s="22" t="s">
        <v>15729</v>
      </c>
      <c r="E13540" s="22" t="s">
        <v>52</v>
      </c>
      <c r="F13540" s="23" t="str">
        <f>HYPERLINK("https://www.spark-marketing.ru/Card/Lot/68288050", "Услуги физической охраны")</f>
        <v>Услуги физической охраны</v>
      </c>
      <c r="G13540" s="22" t="s">
        <v>69</v>
      </c>
      <c r="H13540" s="22" t="s">
        <v>973</v>
      </c>
      <c r="I13540" s="26">
        <v>43523.690277777801</v>
      </c>
      <c r="J13540" s="23" t="str">
        <f>HYPERLINK("https://www.spark-marketing.ru/Card/Person/180904", "ООО ОА ""РУСИЧ-2005""")</f>
        <v>ООО ОА "РУСИЧ-2005"</v>
      </c>
      <c r="K13540" s="24" t="s">
        <v>3019</v>
      </c>
      <c r="L13540" s="22" t="s">
        <v>10</v>
      </c>
      <c r="M13540" s="25">
        <v>1701000</v>
      </c>
      <c r="N13540" s="27">
        <v>0.32500000000000001</v>
      </c>
    </row>
    <row r="13541" spans="1:14" x14ac:dyDescent="0.15">
      <c r="A13541" s="23" t="str">
        <f>HYPERLINK("https://www.spark-marketing.ru/Card/Person/7448", "ПРОКУРАТУРА МУРМАНСКОЙ ОБЛАСТИ")</f>
        <v>ПРОКУРАТУРА МУРМАНСКОЙ ОБЛАСТИ</v>
      </c>
      <c r="B13541" s="24" t="s">
        <v>13726</v>
      </c>
      <c r="C13541" s="25">
        <v>112147.02</v>
      </c>
      <c r="D13541" s="22" t="s">
        <v>15730</v>
      </c>
      <c r="E13541" s="22" t="s">
        <v>7738</v>
      </c>
      <c r="F13541" s="23" t="str">
        <f>HYPERLINK("https://www.spark-marketing.ru/Card/Lot/68337845", "Услуги по пультовой охране в пр-ре г.  Кандалакша")</f>
        <v>Услуги по пультовой охране в пр-ре г.  Кандалакша</v>
      </c>
      <c r="G13541" s="22" t="s">
        <v>190</v>
      </c>
      <c r="H13541" s="22" t="s">
        <v>190</v>
      </c>
      <c r="I13541" s="26">
        <v>43523.679166666698</v>
      </c>
      <c r="J13541" s="28" t="s">
        <v>52</v>
      </c>
      <c r="K13541" s="28" t="s">
        <v>52</v>
      </c>
      <c r="L13541" s="28" t="s">
        <v>52</v>
      </c>
      <c r="M13541" s="28" t="s">
        <v>52</v>
      </c>
      <c r="N13541" s="28" t="s">
        <v>52</v>
      </c>
    </row>
    <row r="13542" spans="1:14" x14ac:dyDescent="0.15">
      <c r="A13542" s="23" t="str">
        <f>HYPERLINK("https://www.spark-marketing.ru/Card/Person/52778", "НОВОСИБИРСКСТАТ")</f>
        <v>НОВОСИБИРСКСТАТ</v>
      </c>
      <c r="B13542" s="24" t="s">
        <v>11551</v>
      </c>
      <c r="C13542" s="25">
        <v>71623.56</v>
      </c>
      <c r="D13542" s="22" t="s">
        <v>15731</v>
      </c>
      <c r="E13542" s="22" t="s">
        <v>68</v>
      </c>
      <c r="F13542" s="23" t="str">
        <f>HYPERLINK("https://www.spark-marketing.ru/Card/Lot/68299936", "Осуществление закупки у единственного исполнителя на право заключения государственного контракта об экстренном вызове вневедомственной охраны на объект в случае срабатывания тревожной сигнализации")</f>
        <v>Осуществление закупки у единственного исполнителя на право заключения государственного контракта об экстренном вызове вневедомственной охраны на объект в случае срабатывания тревожной сигнализации</v>
      </c>
      <c r="G13542" s="22" t="s">
        <v>209</v>
      </c>
      <c r="H13542" s="22" t="s">
        <v>210</v>
      </c>
      <c r="I13542" s="26">
        <v>43523.672222222202</v>
      </c>
      <c r="J13542" s="28" t="s">
        <v>52</v>
      </c>
      <c r="K13542" s="28" t="s">
        <v>52</v>
      </c>
      <c r="L13542" s="28" t="s">
        <v>52</v>
      </c>
      <c r="M13542" s="28" t="s">
        <v>52</v>
      </c>
      <c r="N13542" s="28" t="s">
        <v>52</v>
      </c>
    </row>
    <row r="13543" spans="1:14" x14ac:dyDescent="0.15">
      <c r="A13543" s="23" t="str">
        <f t="shared" ref="A13543:A13553" si="697">HYPERLINK("https://www.spark-marketing.ru/Card/Person/37828", "ГБУЗ НД")</f>
        <v>ГБУЗ НД</v>
      </c>
      <c r="B13543" s="24" t="s">
        <v>15732</v>
      </c>
      <c r="C13543" s="25">
        <v>109500</v>
      </c>
      <c r="D13543" s="22" t="s">
        <v>15733</v>
      </c>
      <c r="E13543" s="22" t="s">
        <v>107</v>
      </c>
      <c r="F13543" s="23" t="str">
        <f t="shared" ref="F13543:F13553" si="698">HYPERLINK("https://www.spark-marketing.ru/Card/Lot/68341090", "Техническое обслуживание систем видеонаблюдения")</f>
        <v>Техническое обслуживание систем видеонаблюдения</v>
      </c>
      <c r="G13543" s="22" t="s">
        <v>132</v>
      </c>
      <c r="H13543" s="22" t="s">
        <v>132</v>
      </c>
      <c r="I13543" s="26">
        <v>43523.707638888904</v>
      </c>
      <c r="J13543" s="28" t="s">
        <v>52</v>
      </c>
      <c r="K13543" s="28" t="s">
        <v>52</v>
      </c>
      <c r="L13543" s="28" t="s">
        <v>52</v>
      </c>
      <c r="M13543" s="28" t="s">
        <v>52</v>
      </c>
      <c r="N13543" s="28" t="s">
        <v>52</v>
      </c>
    </row>
    <row r="13544" spans="1:14" hidden="1" outlineLevel="1" x14ac:dyDescent="0.2">
      <c r="A13544" s="23" t="str">
        <f t="shared" si="697"/>
        <v>ГБУЗ НД</v>
      </c>
      <c r="B13544" s="24" t="s">
        <v>15732</v>
      </c>
      <c r="C13544" s="25">
        <v>109500</v>
      </c>
      <c r="D13544" s="22" t="s">
        <v>15733</v>
      </c>
      <c r="E13544" s="22" t="s">
        <v>107</v>
      </c>
      <c r="F13544" s="23" t="str">
        <f t="shared" si="698"/>
        <v>Техническое обслуживание систем видеонаблюдения</v>
      </c>
      <c r="G13544" s="22" t="s">
        <v>132</v>
      </c>
      <c r="H13544" s="22" t="s">
        <v>132</v>
      </c>
      <c r="I13544" s="26">
        <v>43523.707638888904</v>
      </c>
      <c r="J13544" s="23" t="str">
        <f>HYPERLINK("https://www.spark-marketing.ru/Card/Person/448052", "ООО ""ГРИФОН-ИНЖИНИРИНГ""")</f>
        <v>ООО "ГРИФОН-ИНЖИНИРИНГ"</v>
      </c>
      <c r="K13544" s="24" t="s">
        <v>14759</v>
      </c>
      <c r="L13544" s="28" t="s">
        <v>52</v>
      </c>
      <c r="M13544" s="25">
        <v>40405</v>
      </c>
      <c r="N13544" s="27">
        <v>0.63100456621004564</v>
      </c>
    </row>
    <row r="13545" spans="1:14" hidden="1" outlineLevel="1" x14ac:dyDescent="0.2">
      <c r="A13545" s="23" t="str">
        <f t="shared" si="697"/>
        <v>ГБУЗ НД</v>
      </c>
      <c r="B13545" s="24" t="s">
        <v>15732</v>
      </c>
      <c r="C13545" s="25">
        <v>109500</v>
      </c>
      <c r="D13545" s="22" t="s">
        <v>15733</v>
      </c>
      <c r="E13545" s="22" t="s">
        <v>107</v>
      </c>
      <c r="F13545" s="23" t="str">
        <f t="shared" si="698"/>
        <v>Техническое обслуживание систем видеонаблюдения</v>
      </c>
      <c r="G13545" s="22" t="s">
        <v>132</v>
      </c>
      <c r="H13545" s="22" t="s">
        <v>132</v>
      </c>
      <c r="I13545" s="26">
        <v>43523.707638888904</v>
      </c>
      <c r="J13545" s="23" t="str">
        <f>HYPERLINK("https://www.spark-marketing.ru/Card/Person/6499715", "ООО ""ДЕ ГРУПП""")</f>
        <v>ООО "ДЕ ГРУПП"</v>
      </c>
      <c r="K13545" s="24" t="s">
        <v>14758</v>
      </c>
      <c r="L13545" s="28" t="s">
        <v>52</v>
      </c>
      <c r="M13545" s="25">
        <v>20788.5</v>
      </c>
      <c r="N13545" s="27">
        <v>0.81015068493150688</v>
      </c>
    </row>
    <row r="13546" spans="1:14" ht="12.75" hidden="1" outlineLevel="1" x14ac:dyDescent="0.2">
      <c r="A13546" s="23" t="str">
        <f t="shared" si="697"/>
        <v>ГБУЗ НД</v>
      </c>
      <c r="B13546" s="24" t="s">
        <v>15732</v>
      </c>
      <c r="C13546" s="25">
        <v>109500</v>
      </c>
      <c r="D13546" s="22" t="s">
        <v>15733</v>
      </c>
      <c r="E13546" s="22" t="s">
        <v>107</v>
      </c>
      <c r="F13546" s="23" t="str">
        <f t="shared" si="698"/>
        <v>Техническое обслуживание систем видеонаблюдения</v>
      </c>
      <c r="G13546" s="22" t="s">
        <v>132</v>
      </c>
      <c r="H13546" s="22" t="s">
        <v>132</v>
      </c>
      <c r="I13546" s="26">
        <v>43523.707638888904</v>
      </c>
      <c r="J13546" s="23" t="str">
        <f>HYPERLINK("https://www.spark-marketing.ru/Card/Person/450084", "ООО ""ПБ""")</f>
        <v>ООО "ПБ"</v>
      </c>
      <c r="K13546" s="24" t="s">
        <v>15734</v>
      </c>
      <c r="L13546" s="22" t="s">
        <v>10</v>
      </c>
      <c r="M13546" s="25">
        <v>17614</v>
      </c>
      <c r="N13546" s="27">
        <v>0.83914155251141553</v>
      </c>
    </row>
    <row r="13547" spans="1:14" hidden="1" outlineLevel="1" x14ac:dyDescent="0.2">
      <c r="A13547" s="23" t="str">
        <f t="shared" si="697"/>
        <v>ГБУЗ НД</v>
      </c>
      <c r="B13547" s="24" t="s">
        <v>15732</v>
      </c>
      <c r="C13547" s="25">
        <v>109500</v>
      </c>
      <c r="D13547" s="22" t="s">
        <v>15733</v>
      </c>
      <c r="E13547" s="22" t="s">
        <v>107</v>
      </c>
      <c r="F13547" s="23" t="str">
        <f t="shared" si="698"/>
        <v>Техническое обслуживание систем видеонаблюдения</v>
      </c>
      <c r="G13547" s="22" t="s">
        <v>132</v>
      </c>
      <c r="H13547" s="22" t="s">
        <v>132</v>
      </c>
      <c r="I13547" s="26">
        <v>43523.707638888904</v>
      </c>
      <c r="J13547" s="23" t="str">
        <f>HYPERLINK("https://www.spark-marketing.ru/Card/Person/6508409", "Валуйских Андрей Владимирович")</f>
        <v>Валуйских Андрей Владимирович</v>
      </c>
      <c r="K13547" s="24" t="s">
        <v>15735</v>
      </c>
      <c r="L13547" s="28" t="s">
        <v>52</v>
      </c>
      <c r="M13547" s="25">
        <v>30815.5</v>
      </c>
      <c r="N13547" s="27">
        <v>0.71857990867579913</v>
      </c>
    </row>
    <row r="13548" spans="1:14" hidden="1" outlineLevel="1" x14ac:dyDescent="0.2">
      <c r="A13548" s="23" t="str">
        <f t="shared" si="697"/>
        <v>ГБУЗ НД</v>
      </c>
      <c r="B13548" s="24" t="s">
        <v>15732</v>
      </c>
      <c r="C13548" s="25">
        <v>109500</v>
      </c>
      <c r="D13548" s="22" t="s">
        <v>15733</v>
      </c>
      <c r="E13548" s="22" t="s">
        <v>107</v>
      </c>
      <c r="F13548" s="23" t="str">
        <f t="shared" si="698"/>
        <v>Техническое обслуживание систем видеонаблюдения</v>
      </c>
      <c r="G13548" s="22" t="s">
        <v>132</v>
      </c>
      <c r="H13548" s="22" t="s">
        <v>132</v>
      </c>
      <c r="I13548" s="26">
        <v>43523.707638888904</v>
      </c>
      <c r="J13548" s="23" t="str">
        <f>HYPERLINK("https://www.spark-marketing.ru/Card/Person/5826836", "Радченко Максим Сергеевич")</f>
        <v>Радченко Максим Сергеевич</v>
      </c>
      <c r="K13548" s="24" t="s">
        <v>10687</v>
      </c>
      <c r="L13548" s="28" t="s">
        <v>52</v>
      </c>
      <c r="M13548" s="25">
        <v>18161.5</v>
      </c>
      <c r="N13548" s="27">
        <v>0.83414155251141553</v>
      </c>
    </row>
    <row r="13549" spans="1:14" hidden="1" outlineLevel="1" x14ac:dyDescent="0.2">
      <c r="A13549" s="23" t="str">
        <f t="shared" si="697"/>
        <v>ГБУЗ НД</v>
      </c>
      <c r="B13549" s="24" t="s">
        <v>15732</v>
      </c>
      <c r="C13549" s="25">
        <v>109500</v>
      </c>
      <c r="D13549" s="22" t="s">
        <v>15733</v>
      </c>
      <c r="E13549" s="22" t="s">
        <v>107</v>
      </c>
      <c r="F13549" s="23" t="str">
        <f t="shared" si="698"/>
        <v>Техническое обслуживание систем видеонаблюдения</v>
      </c>
      <c r="G13549" s="22" t="s">
        <v>132</v>
      </c>
      <c r="H13549" s="22" t="s">
        <v>132</v>
      </c>
      <c r="I13549" s="26">
        <v>43523.707638888904</v>
      </c>
      <c r="J13549" s="23" t="str">
        <f>HYPERLINK("https://www.spark-marketing.ru/Card/Person/6499046", "Олененко Дмитрий Александрович")</f>
        <v>Олененко Дмитрий Александрович</v>
      </c>
      <c r="K13549" s="24" t="s">
        <v>11965</v>
      </c>
      <c r="L13549" s="28" t="s">
        <v>52</v>
      </c>
      <c r="M13549" s="25">
        <v>50000</v>
      </c>
      <c r="N13549" s="27">
        <v>0.54337899543378998</v>
      </c>
    </row>
    <row r="13550" spans="1:14" hidden="1" outlineLevel="1" x14ac:dyDescent="0.2">
      <c r="A13550" s="23" t="str">
        <f t="shared" si="697"/>
        <v>ГБУЗ НД</v>
      </c>
      <c r="B13550" s="24" t="s">
        <v>15732</v>
      </c>
      <c r="C13550" s="25">
        <v>109500</v>
      </c>
      <c r="D13550" s="22" t="s">
        <v>15733</v>
      </c>
      <c r="E13550" s="22" t="s">
        <v>107</v>
      </c>
      <c r="F13550" s="23" t="str">
        <f t="shared" si="698"/>
        <v>Техническое обслуживание систем видеонаблюдения</v>
      </c>
      <c r="G13550" s="22" t="s">
        <v>132</v>
      </c>
      <c r="H13550" s="22" t="s">
        <v>132</v>
      </c>
      <c r="I13550" s="26">
        <v>43523.707638888904</v>
      </c>
      <c r="J13550" s="23" t="str">
        <f>HYPERLINK("https://www.spark-marketing.ru/Card/Person/5917463", "Сафонов Андрей Александрович")</f>
        <v>Сафонов Андрей Александрович</v>
      </c>
      <c r="K13550" s="24" t="s">
        <v>15392</v>
      </c>
      <c r="L13550" s="28" t="s">
        <v>52</v>
      </c>
      <c r="M13550" s="25">
        <v>70000</v>
      </c>
      <c r="N13550" s="27">
        <v>0.36073059360730592</v>
      </c>
    </row>
    <row r="13551" spans="1:14" hidden="1" outlineLevel="1" x14ac:dyDescent="0.2">
      <c r="A13551" s="23" t="str">
        <f t="shared" si="697"/>
        <v>ГБУЗ НД</v>
      </c>
      <c r="B13551" s="24" t="s">
        <v>15732</v>
      </c>
      <c r="C13551" s="25">
        <v>109500</v>
      </c>
      <c r="D13551" s="22" t="s">
        <v>15733</v>
      </c>
      <c r="E13551" s="22" t="s">
        <v>107</v>
      </c>
      <c r="F13551" s="23" t="str">
        <f t="shared" si="698"/>
        <v>Техническое обслуживание систем видеонаблюдения</v>
      </c>
      <c r="G13551" s="22" t="s">
        <v>132</v>
      </c>
      <c r="H13551" s="22" t="s">
        <v>132</v>
      </c>
      <c r="I13551" s="26">
        <v>43523.707638888904</v>
      </c>
      <c r="J13551" s="23" t="str">
        <f>HYPERLINK("https://www.spark-marketing.ru/Card/Person/4882826", "ООО ""ЦВ ИТР""")</f>
        <v>ООО "ЦВ ИТР"</v>
      </c>
      <c r="K13551" s="24" t="s">
        <v>15051</v>
      </c>
      <c r="L13551" s="28" t="s">
        <v>52</v>
      </c>
      <c r="M13551" s="25">
        <v>55955</v>
      </c>
      <c r="N13551" s="27">
        <v>0.48899543378995436</v>
      </c>
    </row>
    <row r="13552" spans="1:14" hidden="1" outlineLevel="1" x14ac:dyDescent="0.2">
      <c r="A13552" s="23" t="str">
        <f t="shared" si="697"/>
        <v>ГБУЗ НД</v>
      </c>
      <c r="B13552" s="24" t="s">
        <v>15732</v>
      </c>
      <c r="C13552" s="25">
        <v>109500</v>
      </c>
      <c r="D13552" s="22" t="s">
        <v>15733</v>
      </c>
      <c r="E13552" s="22" t="s">
        <v>107</v>
      </c>
      <c r="F13552" s="23" t="str">
        <f t="shared" si="698"/>
        <v>Техническое обслуживание систем видеонаблюдения</v>
      </c>
      <c r="G13552" s="22" t="s">
        <v>132</v>
      </c>
      <c r="H13552" s="22" t="s">
        <v>132</v>
      </c>
      <c r="I13552" s="26">
        <v>43523.707638888904</v>
      </c>
      <c r="J13552" s="23" t="str">
        <f>HYPERLINK("https://www.spark-marketing.ru/Card/Person/453308", "Завгородний Василий Васильевич")</f>
        <v>Завгородний Василий Васильевич</v>
      </c>
      <c r="K13552" s="24" t="s">
        <v>15736</v>
      </c>
      <c r="L13552" s="28" t="s">
        <v>52</v>
      </c>
      <c r="M13552" s="25">
        <v>45000</v>
      </c>
      <c r="N13552" s="27">
        <v>0.58904109589041098</v>
      </c>
    </row>
    <row r="13553" spans="1:14" hidden="1" outlineLevel="1" x14ac:dyDescent="0.2">
      <c r="A13553" s="23" t="str">
        <f t="shared" si="697"/>
        <v>ГБУЗ НД</v>
      </c>
      <c r="B13553" s="24" t="s">
        <v>15732</v>
      </c>
      <c r="C13553" s="25">
        <v>109500</v>
      </c>
      <c r="D13553" s="22" t="s">
        <v>15733</v>
      </c>
      <c r="E13553" s="22" t="s">
        <v>107</v>
      </c>
      <c r="F13553" s="23" t="str">
        <f t="shared" si="698"/>
        <v>Техническое обслуживание систем видеонаблюдения</v>
      </c>
      <c r="G13553" s="22" t="s">
        <v>132</v>
      </c>
      <c r="H13553" s="22" t="s">
        <v>132</v>
      </c>
      <c r="I13553" s="26">
        <v>43523.707638888904</v>
      </c>
      <c r="J13553" s="23" t="str">
        <f>HYPERLINK("https://www.spark-marketing.ru/Card/Person/86953", "ООО ""НПО КУБАНЬ""")</f>
        <v>ООО "НПО КУБАНЬ"</v>
      </c>
      <c r="K13553" s="24" t="s">
        <v>15737</v>
      </c>
      <c r="L13553" s="28" t="s">
        <v>52</v>
      </c>
      <c r="M13553" s="25">
        <v>46000</v>
      </c>
      <c r="N13553" s="27">
        <v>0.57990867579908678</v>
      </c>
    </row>
    <row r="13554" spans="1:14" x14ac:dyDescent="0.15">
      <c r="A13554" s="23" t="str">
        <f>HYPERLINK("https://www.spark-marketing.ru/Card/Person/127230", "ГБУ РО НД")</f>
        <v>ГБУ РО НД</v>
      </c>
      <c r="B13554" s="24" t="s">
        <v>15738</v>
      </c>
      <c r="C13554" s="25">
        <v>40000</v>
      </c>
      <c r="D13554" s="22" t="s">
        <v>15739</v>
      </c>
      <c r="E13554" s="22" t="s">
        <v>194</v>
      </c>
      <c r="F13554" s="23" t="str">
        <f>HYPERLINK("https://www.spark-marketing.ru/Card/Lot/68339377", "Приобретение оборудования для нужд Таганрогского филиала  ГБУ РО НД для проведения антитеррористических мероприятий в рамках программы ""Обеспечение общественного порядка и профилактики нарушений""")</f>
        <v>Приобретение оборудования для нужд Таганрогского филиала  ГБУ РО НД для проведения антитеррористических мероприятий в рамках программы "Обеспечение общественного порядка и профилактики нарушений"</v>
      </c>
      <c r="G13554" s="22" t="s">
        <v>402</v>
      </c>
      <c r="H13554" s="22" t="s">
        <v>5520</v>
      </c>
      <c r="I13554" s="26">
        <v>43523.667361111096</v>
      </c>
      <c r="J13554" s="28" t="s">
        <v>52</v>
      </c>
      <c r="K13554" s="28" t="s">
        <v>52</v>
      </c>
      <c r="L13554" s="28" t="s">
        <v>52</v>
      </c>
      <c r="M13554" s="28" t="s">
        <v>52</v>
      </c>
      <c r="N13554" s="28" t="s">
        <v>52</v>
      </c>
    </row>
    <row r="13555" spans="1:14" hidden="1" outlineLevel="1" x14ac:dyDescent="0.2">
      <c r="A13555" s="23" t="str">
        <f>HYPERLINK("https://www.spark-marketing.ru/Card/Person/127230", "ГБУ РО НД")</f>
        <v>ГБУ РО НД</v>
      </c>
      <c r="B13555" s="24" t="s">
        <v>15738</v>
      </c>
      <c r="C13555" s="25">
        <v>40000</v>
      </c>
      <c r="D13555" s="22" t="s">
        <v>15739</v>
      </c>
      <c r="E13555" s="22" t="s">
        <v>194</v>
      </c>
      <c r="F13555" s="23" t="str">
        <f>HYPERLINK("https://www.spark-marketing.ru/Card/Lot/68339377", "Приобретение оборудования для нужд Таганрогского филиала  ГБУ РО НД для проведения антитеррористических мероприятий в рамках программы ""Обеспечение общественного порядка и профилактики нарушений""")</f>
        <v>Приобретение оборудования для нужд Таганрогского филиала  ГБУ РО НД для проведения антитеррористических мероприятий в рамках программы "Обеспечение общественного порядка и профилактики нарушений"</v>
      </c>
      <c r="G13555" s="22" t="s">
        <v>402</v>
      </c>
      <c r="H13555" s="22" t="s">
        <v>5520</v>
      </c>
      <c r="I13555" s="26">
        <v>43523.667361111096</v>
      </c>
      <c r="J13555" s="23" t="str">
        <f>HYPERLINK("https://www.spark-marketing.ru/Card/Person/4022052", "ООО ""ПРОТОНТЕХНОЛОДЖИ""")</f>
        <v>ООО "ПРОТОНТЕХНОЛОДЖИ"</v>
      </c>
      <c r="K13555" s="24" t="s">
        <v>13811</v>
      </c>
      <c r="L13555" s="28" t="s">
        <v>52</v>
      </c>
      <c r="M13555" s="25">
        <v>23000</v>
      </c>
      <c r="N13555" s="27">
        <v>0.42499999999999999</v>
      </c>
    </row>
    <row r="13556" spans="1:14" ht="12.75" hidden="1" outlineLevel="1" x14ac:dyDescent="0.2">
      <c r="A13556" s="23" t="str">
        <f>HYPERLINK("https://www.spark-marketing.ru/Card/Person/127230", "ГБУ РО НД")</f>
        <v>ГБУ РО НД</v>
      </c>
      <c r="B13556" s="24" t="s">
        <v>15738</v>
      </c>
      <c r="C13556" s="25">
        <v>40000</v>
      </c>
      <c r="D13556" s="22" t="s">
        <v>15739</v>
      </c>
      <c r="E13556" s="22" t="s">
        <v>194</v>
      </c>
      <c r="F13556" s="23" t="str">
        <f>HYPERLINK("https://www.spark-marketing.ru/Card/Lot/68339377", "Приобретение оборудования для нужд Таганрогского филиала  ГБУ РО НД для проведения антитеррористических мероприятий в рамках программы ""Обеспечение общественного порядка и профилактики нарушений""")</f>
        <v>Приобретение оборудования для нужд Таганрогского филиала  ГБУ РО НД для проведения антитеррористических мероприятий в рамках программы "Обеспечение общественного порядка и профилактики нарушений"</v>
      </c>
      <c r="G13556" s="22" t="s">
        <v>402</v>
      </c>
      <c r="H13556" s="22" t="s">
        <v>5520</v>
      </c>
      <c r="I13556" s="26">
        <v>43523.667361111096</v>
      </c>
      <c r="J13556" s="23" t="str">
        <f>HYPERLINK("https://www.spark-marketing.ru/Card/Person/2049234", "Нигогосов Вартан Аркадиевич")</f>
        <v>Нигогосов Вартан Аркадиевич</v>
      </c>
      <c r="K13556" s="24" t="s">
        <v>15740</v>
      </c>
      <c r="L13556" s="22" t="s">
        <v>10</v>
      </c>
      <c r="M13556" s="25">
        <v>22800</v>
      </c>
      <c r="N13556" s="27">
        <v>0.43</v>
      </c>
    </row>
    <row r="13557" spans="1:14" hidden="1" outlineLevel="1" x14ac:dyDescent="0.2">
      <c r="A13557" s="23" t="str">
        <f>HYPERLINK("https://www.spark-marketing.ru/Card/Person/127230", "ГБУ РО НД")</f>
        <v>ГБУ РО НД</v>
      </c>
      <c r="B13557" s="24" t="s">
        <v>15738</v>
      </c>
      <c r="C13557" s="25">
        <v>40000</v>
      </c>
      <c r="D13557" s="22" t="s">
        <v>15739</v>
      </c>
      <c r="E13557" s="22" t="s">
        <v>194</v>
      </c>
      <c r="F13557" s="23" t="str">
        <f>HYPERLINK("https://www.spark-marketing.ru/Card/Lot/68339377", "Приобретение оборудования для нужд Таганрогского филиала  ГБУ РО НД для проведения антитеррористических мероприятий в рамках программы ""Обеспечение общественного порядка и профилактики нарушений""")</f>
        <v>Приобретение оборудования для нужд Таганрогского филиала  ГБУ РО НД для проведения антитеррористических мероприятий в рамках программы "Обеспечение общественного порядка и профилактики нарушений"</v>
      </c>
      <c r="G13557" s="22" t="s">
        <v>402</v>
      </c>
      <c r="H13557" s="22" t="s">
        <v>5520</v>
      </c>
      <c r="I13557" s="26">
        <v>43523.667361111096</v>
      </c>
      <c r="J13557" s="23" t="str">
        <f>HYPERLINK("https://www.spark-marketing.ru/Card/Person/343131", "ООО ""ЩИТ""")</f>
        <v>ООО "ЩИТ"</v>
      </c>
      <c r="K13557" s="24" t="s">
        <v>1798</v>
      </c>
      <c r="L13557" s="28" t="s">
        <v>52</v>
      </c>
      <c r="M13557" s="25">
        <v>39999.99</v>
      </c>
      <c r="N13557" s="27">
        <v>2.4999999999999999E-7</v>
      </c>
    </row>
    <row r="13558" spans="1:14" x14ac:dyDescent="0.15">
      <c r="A13558" s="23" t="str">
        <f>HYPERLINK("https://www.spark-marketing.ru/Card/Person/10952", "УСД В ЧУВАШСКОЙ РЕСПУБЛИКЕ - ЧУВАШИИ")</f>
        <v>УСД В ЧУВАШСКОЙ РЕСПУБЛИКЕ - ЧУВАШИИ</v>
      </c>
      <c r="B13558" s="24" t="s">
        <v>15741</v>
      </c>
      <c r="C13558" s="25">
        <v>202051.56</v>
      </c>
      <c r="D13558" s="22" t="s">
        <v>15742</v>
      </c>
      <c r="E13558" s="22" t="s">
        <v>68</v>
      </c>
      <c r="F13558" s="23" t="str">
        <f>HYPERLINK("https://www.spark-marketing.ru/Card/Lot/68337941", "Оказание услуг по осуществлению пропускного и внутриобъектового режимов и охране имущества в здании Дома Юстиции для нужд районных судов")</f>
        <v>Оказание услуг по осуществлению пропускного и внутриобъектового режимов и охране имущества в здании Дома Юстиции для нужд районных судов</v>
      </c>
      <c r="G13558" s="22" t="s">
        <v>1137</v>
      </c>
      <c r="H13558" s="22" t="s">
        <v>1137</v>
      </c>
      <c r="I13558" s="26">
        <v>43523.672916666699</v>
      </c>
      <c r="J13558" s="23" t="str">
        <f>HYPERLINK("https://www.spark-marketing.ru/Card/Person/10487", "ФГУП ""ОХРАНА"" РОСГВАРДИИ")</f>
        <v>ФГУП "ОХРАНА" РОСГВАРДИИ</v>
      </c>
      <c r="K13558" s="24" t="s">
        <v>779</v>
      </c>
      <c r="L13558" s="22" t="s">
        <v>10</v>
      </c>
      <c r="M13558" s="28" t="s">
        <v>52</v>
      </c>
      <c r="N13558" s="28" t="s">
        <v>52</v>
      </c>
    </row>
    <row r="13559" spans="1:14" x14ac:dyDescent="0.15">
      <c r="A13559" s="23" t="str">
        <f>HYPERLINK("https://www.spark-marketing.ru/Card/Person/8518", "ГУ ""ПТО УД ЯНАО""")</f>
        <v>ГУ "ПТО УД ЯНАО"</v>
      </c>
      <c r="B13559" s="24" t="s">
        <v>15743</v>
      </c>
      <c r="C13559" s="25">
        <v>3720138.68</v>
      </c>
      <c r="D13559" s="22" t="s">
        <v>15744</v>
      </c>
      <c r="E13559" s="22" t="s">
        <v>68</v>
      </c>
      <c r="F13559" s="23" t="str">
        <f>HYPERLINK("https://www.spark-marketing.ru/Card/Lot/68307293", "Оказание услуг по охране объектов посредством охранной и тревожной сигнализации")</f>
        <v>Оказание услуг по охране объектов посредством охранной и тревожной сигнализации</v>
      </c>
      <c r="G13559" s="22" t="s">
        <v>311</v>
      </c>
      <c r="H13559" s="22" t="s">
        <v>312</v>
      </c>
      <c r="I13559" s="26">
        <v>43523.661111111098</v>
      </c>
      <c r="J13559" s="28" t="s">
        <v>52</v>
      </c>
      <c r="K13559" s="28" t="s">
        <v>52</v>
      </c>
      <c r="L13559" s="28" t="s">
        <v>52</v>
      </c>
      <c r="M13559" s="28" t="s">
        <v>52</v>
      </c>
      <c r="N13559" s="28" t="s">
        <v>52</v>
      </c>
    </row>
    <row r="13560" spans="1:14" hidden="1" outlineLevel="1" x14ac:dyDescent="0.2">
      <c r="A13560" s="23" t="str">
        <f>HYPERLINK("https://www.spark-marketing.ru/Card/Person/8518", "ГУ ""ПТО УД ЯНАО""")</f>
        <v>ГУ "ПТО УД ЯНАО"</v>
      </c>
      <c r="B13560" s="24" t="s">
        <v>15743</v>
      </c>
      <c r="C13560" s="25">
        <v>3720138.68</v>
      </c>
      <c r="D13560" s="22" t="s">
        <v>15744</v>
      </c>
      <c r="E13560" s="22" t="s">
        <v>68</v>
      </c>
      <c r="F13560" s="23" t="str">
        <f>HYPERLINK("https://www.spark-marketing.ru/Card/Lot/68307293", "Оказание услуг по охране объектов посредством охранной и тревожной сигнализации")</f>
        <v>Оказание услуг по охране объектов посредством охранной и тревожной сигнализации</v>
      </c>
      <c r="G13560" s="22" t="s">
        <v>311</v>
      </c>
      <c r="H13560" s="22" t="s">
        <v>312</v>
      </c>
      <c r="I13560" s="26">
        <v>43523.661111111098</v>
      </c>
      <c r="J13560" s="23" t="str">
        <f>HYPERLINK("https://www.spark-marketing.ru/Card/Person/7103", "ФГКУ ""УВО ВНГ РОССИИ ПО ЯМАЛО-НЕНЕЦКОМУ АВТОНОМНОМУ ОКРУГУ""")</f>
        <v>ФГКУ "УВО ВНГ РОССИИ ПО ЯМАЛО-НЕНЕЦКОМУ АВТОНОМНОМУ ОКРУГУ"</v>
      </c>
      <c r="K13560" s="24" t="s">
        <v>4783</v>
      </c>
      <c r="L13560" s="28" t="s">
        <v>52</v>
      </c>
      <c r="M13560" s="25">
        <v>3459367.56</v>
      </c>
      <c r="N13560" s="27">
        <v>7.009715024924823E-2</v>
      </c>
    </row>
    <row r="13561" spans="1:14" ht="12.75" hidden="1" outlineLevel="1" x14ac:dyDescent="0.2">
      <c r="A13561" s="23" t="str">
        <f>HYPERLINK("https://www.spark-marketing.ru/Card/Person/8518", "ГУ ""ПТО УД ЯНАО""")</f>
        <v>ГУ "ПТО УД ЯНАО"</v>
      </c>
      <c r="B13561" s="24" t="s">
        <v>15743</v>
      </c>
      <c r="C13561" s="25">
        <v>3720138.68</v>
      </c>
      <c r="D13561" s="22" t="s">
        <v>15744</v>
      </c>
      <c r="E13561" s="22" t="s">
        <v>68</v>
      </c>
      <c r="F13561" s="23" t="str">
        <f>HYPERLINK("https://www.spark-marketing.ru/Card/Lot/68307293", "Оказание услуг по охране объектов посредством охранной и тревожной сигнализации")</f>
        <v>Оказание услуг по охране объектов посредством охранной и тревожной сигнализации</v>
      </c>
      <c r="G13561" s="22" t="s">
        <v>311</v>
      </c>
      <c r="H13561" s="22" t="s">
        <v>312</v>
      </c>
      <c r="I13561" s="26">
        <v>43523.661111111098</v>
      </c>
      <c r="J13561" s="23" t="str">
        <f>HYPERLINK("https://www.spark-marketing.ru/Card/Person/973489", "ООО ЧОО ""РАТНИК""")</f>
        <v>ООО ЧОО "РАТНИК"</v>
      </c>
      <c r="K13561" s="24" t="s">
        <v>3685</v>
      </c>
      <c r="L13561" s="22" t="s">
        <v>10</v>
      </c>
      <c r="M13561" s="25">
        <v>3440766.87</v>
      </c>
      <c r="N13561" s="27">
        <v>7.5097149335303814E-2</v>
      </c>
    </row>
    <row r="13562" spans="1:14" x14ac:dyDescent="0.15">
      <c r="A13562" s="23" t="str">
        <f>HYPERLINK("https://www.spark-marketing.ru/Card/Person/1082071", "МБОУ ГИМНАЗИЯ №2")</f>
        <v>МБОУ ГИМНАЗИЯ №2</v>
      </c>
      <c r="B13562" s="24" t="s">
        <v>15745</v>
      </c>
      <c r="C13562" s="25">
        <v>700000</v>
      </c>
      <c r="D13562" s="22" t="s">
        <v>15746</v>
      </c>
      <c r="E13562" s="22" t="s">
        <v>194</v>
      </c>
      <c r="F13562" s="23" t="str">
        <f>HYPERLINK("https://www.spark-marketing.ru/Card/Lot/68311161", "Приобретение и установка средств видеотрансляции и видеопротоколирования в пункты проведения экзаменов ГИА МБОУ Гимназии №2 городского округа Краснознаменск Московской области.")</f>
        <v>Приобретение и установка средств видеотрансляции и видеопротоколирования в пункты проведения экзаменов ГИА МБОУ Гимназии №2 городского округа Краснознаменск Московской области.</v>
      </c>
      <c r="G13562" s="22" t="s">
        <v>50</v>
      </c>
      <c r="H13562" s="22" t="s">
        <v>9386</v>
      </c>
      <c r="I13562" s="26">
        <v>43523.6472222222</v>
      </c>
      <c r="J13562" s="28" t="s">
        <v>52</v>
      </c>
      <c r="K13562" s="28" t="s">
        <v>52</v>
      </c>
      <c r="L13562" s="28" t="s">
        <v>52</v>
      </c>
      <c r="M13562" s="28" t="s">
        <v>52</v>
      </c>
      <c r="N13562" s="28" t="s">
        <v>52</v>
      </c>
    </row>
    <row r="13563" spans="1:14" hidden="1" outlineLevel="1" x14ac:dyDescent="0.2">
      <c r="A13563" s="23" t="str">
        <f>HYPERLINK("https://www.spark-marketing.ru/Card/Person/1082071", "МБОУ ГИМНАЗИЯ №2")</f>
        <v>МБОУ ГИМНАЗИЯ №2</v>
      </c>
      <c r="B13563" s="24" t="s">
        <v>15745</v>
      </c>
      <c r="C13563" s="25">
        <v>700000</v>
      </c>
      <c r="D13563" s="22" t="s">
        <v>15746</v>
      </c>
      <c r="E13563" s="22" t="s">
        <v>194</v>
      </c>
      <c r="F13563" s="23" t="str">
        <f>HYPERLINK("https://www.spark-marketing.ru/Card/Lot/68311161", "Приобретение и установка средств видеотрансляции и видеопротоколирования в пункты проведения экзаменов ГИА МБОУ Гимназии №2 городского округа Краснознаменск Московской области.")</f>
        <v>Приобретение и установка средств видеотрансляции и видеопротоколирования в пункты проведения экзаменов ГИА МБОУ Гимназии №2 городского округа Краснознаменск Московской области.</v>
      </c>
      <c r="G13563" s="22" t="s">
        <v>50</v>
      </c>
      <c r="H13563" s="22" t="s">
        <v>9386</v>
      </c>
      <c r="I13563" s="26">
        <v>43523.6472222222</v>
      </c>
      <c r="J13563" s="23" t="str">
        <f>HYPERLINK("https://www.spark-marketing.ru/Card/Person/76451", "ООО ""БИС""")</f>
        <v>ООО "БИС"</v>
      </c>
      <c r="K13563" s="24" t="s">
        <v>6528</v>
      </c>
      <c r="L13563" s="28" t="s">
        <v>52</v>
      </c>
      <c r="M13563" s="25">
        <v>689500</v>
      </c>
      <c r="N13563" s="27">
        <v>1.4999999999999999E-2</v>
      </c>
    </row>
    <row r="13564" spans="1:14" ht="12.75" hidden="1" outlineLevel="1" x14ac:dyDescent="0.2">
      <c r="A13564" s="23" t="str">
        <f>HYPERLINK("https://www.spark-marketing.ru/Card/Person/1082071", "МБОУ ГИМНАЗИЯ №2")</f>
        <v>МБОУ ГИМНАЗИЯ №2</v>
      </c>
      <c r="B13564" s="24" t="s">
        <v>15745</v>
      </c>
      <c r="C13564" s="25">
        <v>700000</v>
      </c>
      <c r="D13564" s="22" t="s">
        <v>15746</v>
      </c>
      <c r="E13564" s="22" t="s">
        <v>194</v>
      </c>
      <c r="F13564" s="23" t="str">
        <f>HYPERLINK("https://www.spark-marketing.ru/Card/Lot/68311161", "Приобретение и установка средств видеотрансляции и видеопротоколирования в пункты проведения экзаменов ГИА МБОУ Гимназии №2 городского округа Краснознаменск Московской области.")</f>
        <v>Приобретение и установка средств видеотрансляции и видеопротоколирования в пункты проведения экзаменов ГИА МБОУ Гимназии №2 городского округа Краснознаменск Московской области.</v>
      </c>
      <c r="G13564" s="22" t="s">
        <v>50</v>
      </c>
      <c r="H13564" s="22" t="s">
        <v>9386</v>
      </c>
      <c r="I13564" s="26">
        <v>43523.6472222222</v>
      </c>
      <c r="J13564" s="23" t="str">
        <f>HYPERLINK("https://www.spark-marketing.ru/Card/Person/4856010", "ООО ""СФЕРА БЕЗОПАСНОСТИ""")</f>
        <v>ООО "СФЕРА БЕЗОПАСНОСТИ"</v>
      </c>
      <c r="K13564" s="24" t="s">
        <v>13278</v>
      </c>
      <c r="L13564" s="22" t="s">
        <v>10</v>
      </c>
      <c r="M13564" s="25">
        <v>686000</v>
      </c>
      <c r="N13564" s="27">
        <v>0.02</v>
      </c>
    </row>
    <row r="13565" spans="1:14" x14ac:dyDescent="0.15">
      <c r="A13565" s="23" t="str">
        <f>HYPERLINK("https://www.spark-marketing.ru/Card/Person/149714", "УПРАВЛЕНИЕ РОСПОТРЕБНАДЗОРА ПО ТОМСКОЙ ОБЛАСТИ")</f>
        <v>УПРАВЛЕНИЕ РОСПОТРЕБНАДЗОРА ПО ТОМСКОЙ ОБЛАСТИ</v>
      </c>
      <c r="B13565" s="24" t="s">
        <v>15747</v>
      </c>
      <c r="C13565" s="25">
        <v>647460.72</v>
      </c>
      <c r="D13565" s="22" t="s">
        <v>15748</v>
      </c>
      <c r="E13565" s="22" t="s">
        <v>68</v>
      </c>
      <c r="F13565" s="23" t="str">
        <f>HYPERLINK("https://www.spark-marketing.ru/Card/Lot/68297020", "Оказание услуг по физической охране объекта")</f>
        <v>Оказание услуг по физической охране объекта</v>
      </c>
      <c r="G13565" s="22" t="s">
        <v>150</v>
      </c>
      <c r="H13565" s="22" t="s">
        <v>1656</v>
      </c>
      <c r="I13565" s="26">
        <v>43523.628472222197</v>
      </c>
      <c r="J13565" s="28" t="s">
        <v>52</v>
      </c>
      <c r="K13565" s="28" t="s">
        <v>52</v>
      </c>
      <c r="L13565" s="28" t="s">
        <v>52</v>
      </c>
      <c r="M13565" s="28" t="s">
        <v>52</v>
      </c>
      <c r="N13565" s="28" t="s">
        <v>52</v>
      </c>
    </row>
    <row r="13566" spans="1:14" hidden="1" outlineLevel="1" x14ac:dyDescent="0.15">
      <c r="A13566" s="23" t="str">
        <f>HYPERLINK("https://www.spark-marketing.ru/Card/Person/149714", "УПРАВЛЕНИЕ РОСПОТРЕБНАДЗОРА ПО ТОМСКОЙ ОБЛАСТИ")</f>
        <v>УПРАВЛЕНИЕ РОСПОТРЕБНАДЗОРА ПО ТОМСКОЙ ОБЛАСТИ</v>
      </c>
      <c r="B13566" s="24" t="s">
        <v>15747</v>
      </c>
      <c r="C13566" s="25">
        <v>647460.72</v>
      </c>
      <c r="D13566" s="22" t="s">
        <v>15748</v>
      </c>
      <c r="E13566" s="22" t="s">
        <v>68</v>
      </c>
      <c r="F13566" s="23" t="str">
        <f>HYPERLINK("https://www.spark-marketing.ru/Card/Lot/68297020", "Оказание услуг по физической охране объекта")</f>
        <v>Оказание услуг по физической охране объекта</v>
      </c>
      <c r="G13566" s="22" t="s">
        <v>150</v>
      </c>
      <c r="H13566" s="22" t="s">
        <v>1656</v>
      </c>
      <c r="I13566" s="26">
        <v>43523.628472222197</v>
      </c>
      <c r="J13566" s="23" t="str">
        <f>HYPERLINK("https://www.spark-marketing.ru/Card/Person/2583181", "ООО ""ЧОП ""БАСТИОН""")</f>
        <v>ООО "ЧОП "БАСТИОН"</v>
      </c>
      <c r="K13566" s="24" t="s">
        <v>15749</v>
      </c>
      <c r="L13566" s="28" t="s">
        <v>52</v>
      </c>
      <c r="M13566" s="28" t="s">
        <v>52</v>
      </c>
      <c r="N13566" s="28" t="s">
        <v>52</v>
      </c>
    </row>
    <row r="13567" spans="1:14" hidden="1" outlineLevel="1" x14ac:dyDescent="0.15">
      <c r="A13567" s="23" t="str">
        <f>HYPERLINK("https://www.spark-marketing.ru/Card/Person/149714", "УПРАВЛЕНИЕ РОСПОТРЕБНАДЗОРА ПО ТОМСКОЙ ОБЛАСТИ")</f>
        <v>УПРАВЛЕНИЕ РОСПОТРЕБНАДЗОРА ПО ТОМСКОЙ ОБЛАСТИ</v>
      </c>
      <c r="B13567" s="24" t="s">
        <v>15747</v>
      </c>
      <c r="C13567" s="25">
        <v>647460.72</v>
      </c>
      <c r="D13567" s="22" t="s">
        <v>15748</v>
      </c>
      <c r="E13567" s="22" t="s">
        <v>68</v>
      </c>
      <c r="F13567" s="23" t="str">
        <f>HYPERLINK("https://www.spark-marketing.ru/Card/Lot/68297020", "Оказание услуг по физической охране объекта")</f>
        <v>Оказание услуг по физической охране объекта</v>
      </c>
      <c r="G13567" s="22" t="s">
        <v>150</v>
      </c>
      <c r="H13567" s="22" t="s">
        <v>1656</v>
      </c>
      <c r="I13567" s="26">
        <v>43523.628472222197</v>
      </c>
      <c r="J13567" s="23" t="str">
        <f>HYPERLINK("https://www.spark-marketing.ru/Card/Person/87686", "ООО ОА ""ПЕРЕСВЕТ""")</f>
        <v>ООО ОА "ПЕРЕСВЕТ"</v>
      </c>
      <c r="K13567" s="24" t="s">
        <v>2992</v>
      </c>
      <c r="L13567" s="28" t="s">
        <v>52</v>
      </c>
      <c r="M13567" s="28" t="s">
        <v>52</v>
      </c>
      <c r="N13567" s="28" t="s">
        <v>52</v>
      </c>
    </row>
    <row r="13568" spans="1:14" x14ac:dyDescent="0.2">
      <c r="A13568" s="23" t="str">
        <f>HYPERLINK("https://www.spark-marketing.ru/Card/Person/4358306", "ПАО ""ФОРТУМ""")</f>
        <v>ПАО "ФОРТУМ"</v>
      </c>
      <c r="B13568" s="24" t="s">
        <v>15750</v>
      </c>
      <c r="C13568" s="25">
        <v>1560800</v>
      </c>
      <c r="D13568" s="22" t="s">
        <v>15751</v>
      </c>
      <c r="E13568" s="22" t="s">
        <v>867</v>
      </c>
      <c r="F13568" s="23" t="str">
        <f>HYPERLINK("https://www.spark-marketing.ru/Card/Lot/68310101", "Техническое обслуживание системы видеофиксации действий персонала для ТТЭЦ-2 филиала Энергосистема ""Западная Сибирь"" ПАО ""Фортум"" в 2019 г. - 2021 г")</f>
        <v>Техническое обслуживание системы видеофиксации действий персонала для ТТЭЦ-2 филиала Энергосистема "Западная Сибирь" ПАО "Фортум" в 2019 г. - 2021 г</v>
      </c>
      <c r="G13568" s="22" t="s">
        <v>893</v>
      </c>
      <c r="H13568" s="22" t="s">
        <v>893</v>
      </c>
      <c r="I13568" s="26">
        <v>43523.658437500002</v>
      </c>
      <c r="J13568" s="23" t="str">
        <f>HYPERLINK("https://www.spark-marketing.ru/Card/Person/55623", "ООО ""ПОЖСТРОЙЗАЩИТА""")</f>
        <v>ООО "ПОЖСТРОЙЗАЩИТА"</v>
      </c>
      <c r="K13568" s="24" t="s">
        <v>15752</v>
      </c>
      <c r="L13568" s="28" t="s">
        <v>52</v>
      </c>
      <c r="M13568" s="25">
        <v>1550933</v>
      </c>
      <c r="N13568" s="27">
        <v>6.3217580727831877E-3</v>
      </c>
    </row>
    <row r="13569" spans="1:14" x14ac:dyDescent="0.15">
      <c r="A13569" s="23" t="str">
        <f>HYPERLINK("https://www.spark-marketing.ru/Card/Person/163291", "КУ ""УПРАВЛЕНИЕ ПО ДЕЛАМ ГО И ЧС"" ГОРОДА НОВОЧЕБОКСАРСКА")</f>
        <v>КУ "УПРАВЛЕНИЕ ПО ДЕЛАМ ГО И ЧС" ГОРОДА НОВОЧЕБОКСАРСКА</v>
      </c>
      <c r="B13569" s="24" t="s">
        <v>15753</v>
      </c>
      <c r="C13569" s="25">
        <v>332000</v>
      </c>
      <c r="D13569" s="22" t="s">
        <v>15754</v>
      </c>
      <c r="E13569" s="22" t="s">
        <v>107</v>
      </c>
      <c r="F13569" s="23" t="str">
        <f>HYPERLINK("https://www.spark-marketing.ru/Card/Lot/68311046", "Оказание услуг по техническому обслуживанию систем видеонаблюдения АПК ""Безопасный город"" г. Новочебоксарска")</f>
        <v>Оказание услуг по техническому обслуживанию систем видеонаблюдения АПК "Безопасный город" г. Новочебоксарска</v>
      </c>
      <c r="G13569" s="22" t="s">
        <v>1137</v>
      </c>
      <c r="H13569" s="22" t="s">
        <v>1137</v>
      </c>
      <c r="I13569" s="26">
        <v>43523.645138888904</v>
      </c>
      <c r="J13569" s="28" t="s">
        <v>52</v>
      </c>
      <c r="K13569" s="28" t="s">
        <v>52</v>
      </c>
      <c r="L13569" s="28" t="s">
        <v>52</v>
      </c>
      <c r="M13569" s="28" t="s">
        <v>52</v>
      </c>
      <c r="N13569" s="28" t="s">
        <v>52</v>
      </c>
    </row>
    <row r="13570" spans="1:14" ht="12.75" hidden="1" outlineLevel="1" x14ac:dyDescent="0.2">
      <c r="A13570" s="23" t="str">
        <f>HYPERLINK("https://www.spark-marketing.ru/Card/Person/163291", "КУ ""УПРАВЛЕНИЕ ПО ДЕЛАМ ГО И ЧС"" ГОРОДА НОВОЧЕБОКСАРСКА")</f>
        <v>КУ "УПРАВЛЕНИЕ ПО ДЕЛАМ ГО И ЧС" ГОРОДА НОВОЧЕБОКСАРСКА</v>
      </c>
      <c r="B13570" s="24" t="s">
        <v>15753</v>
      </c>
      <c r="C13570" s="25">
        <v>332000</v>
      </c>
      <c r="D13570" s="22" t="s">
        <v>15754</v>
      </c>
      <c r="E13570" s="22" t="s">
        <v>107</v>
      </c>
      <c r="F13570" s="23" t="str">
        <f>HYPERLINK("https://www.spark-marketing.ru/Card/Lot/68311046", "Оказание услуг по техническому обслуживанию систем видеонаблюдения АПК ""Безопасный город"" г. Новочебоксарска")</f>
        <v>Оказание услуг по техническому обслуживанию систем видеонаблюдения АПК "Безопасный город" г. Новочебоксарска</v>
      </c>
      <c r="G13570" s="22" t="s">
        <v>1137</v>
      </c>
      <c r="H13570" s="22" t="s">
        <v>1137</v>
      </c>
      <c r="I13570" s="26">
        <v>43523.645138888904</v>
      </c>
      <c r="J13570" s="23" t="str">
        <f>HYPERLINK("https://www.spark-marketing.ru/Card/Person/831068", "ООО ""НКТВ""")</f>
        <v>ООО "НКТВ"</v>
      </c>
      <c r="K13570" s="24" t="s">
        <v>15755</v>
      </c>
      <c r="L13570" s="22" t="s">
        <v>10</v>
      </c>
      <c r="M13570" s="25">
        <v>300460</v>
      </c>
      <c r="N13570" s="27">
        <v>9.5000000000000001E-2</v>
      </c>
    </row>
    <row r="13571" spans="1:14" hidden="1" outlineLevel="1" x14ac:dyDescent="0.2">
      <c r="A13571" s="23" t="str">
        <f>HYPERLINK("https://www.spark-marketing.ru/Card/Person/163291", "КУ ""УПРАВЛЕНИЕ ПО ДЕЛАМ ГО И ЧС"" ГОРОДА НОВОЧЕБОКСАРСКА")</f>
        <v>КУ "УПРАВЛЕНИЕ ПО ДЕЛАМ ГО И ЧС" ГОРОДА НОВОЧЕБОКСАРСКА</v>
      </c>
      <c r="B13571" s="24" t="s">
        <v>15753</v>
      </c>
      <c r="C13571" s="25">
        <v>332000</v>
      </c>
      <c r="D13571" s="22" t="s">
        <v>15754</v>
      </c>
      <c r="E13571" s="22" t="s">
        <v>107</v>
      </c>
      <c r="F13571" s="23" t="str">
        <f>HYPERLINK("https://www.spark-marketing.ru/Card/Lot/68311046", "Оказание услуг по техническому обслуживанию систем видеонаблюдения АПК ""Безопасный город"" г. Новочебоксарска")</f>
        <v>Оказание услуг по техническому обслуживанию систем видеонаблюдения АПК "Безопасный город" г. Новочебоксарска</v>
      </c>
      <c r="G13571" s="22" t="s">
        <v>1137</v>
      </c>
      <c r="H13571" s="22" t="s">
        <v>1137</v>
      </c>
      <c r="I13571" s="26">
        <v>43523.645138888904</v>
      </c>
      <c r="J13571" s="23" t="str">
        <f>HYPERLINK("https://www.spark-marketing.ru/Card/Person/151394", "ООО ""ИНФОЛИНК""")</f>
        <v>ООО "ИНФОЛИНК"</v>
      </c>
      <c r="K13571" s="24" t="s">
        <v>15756</v>
      </c>
      <c r="L13571" s="28" t="s">
        <v>52</v>
      </c>
      <c r="M13571" s="25">
        <v>302120</v>
      </c>
      <c r="N13571" s="27">
        <v>0.09</v>
      </c>
    </row>
    <row r="13572" spans="1:14" x14ac:dyDescent="0.15">
      <c r="A13572" s="23" t="str">
        <f>HYPERLINK("https://www.spark-marketing.ru/Card/Person/5791", "ВИТИМСКАЯ ПОСЕЛКОВАЯ АДМИНИСТРАЦИЯ")</f>
        <v>ВИТИМСКАЯ ПОСЕЛКОВАЯ АДМИНИСТРАЦИЯ</v>
      </c>
      <c r="B13572" s="24" t="s">
        <v>15757</v>
      </c>
      <c r="C13572" s="25">
        <v>468837</v>
      </c>
      <c r="D13572" s="22" t="s">
        <v>15758</v>
      </c>
      <c r="E13572" s="22" t="s">
        <v>59</v>
      </c>
      <c r="F13572" s="23" t="str">
        <f>HYPERLINK("https://www.spark-marketing.ru/Card/Lot/68289720", "Оказание услуг по техническому обслуживанию уличного освещения")</f>
        <v>Оказание услуг по техническому обслуживанию уличного освещения</v>
      </c>
      <c r="G13572" s="22" t="s">
        <v>424</v>
      </c>
      <c r="H13572" s="22" t="s">
        <v>11645</v>
      </c>
      <c r="I13572" s="26">
        <v>43523.6340277778</v>
      </c>
      <c r="J13572" s="23" t="str">
        <f>HYPERLINK("https://www.spark-marketing.ru/Card/Person/209267", "Ревенский Эдуард Константинович")</f>
        <v>Ревенский Эдуард Константинович</v>
      </c>
      <c r="K13572" s="24" t="s">
        <v>15759</v>
      </c>
      <c r="L13572" s="22" t="s">
        <v>10</v>
      </c>
      <c r="M13572" s="28" t="s">
        <v>52</v>
      </c>
      <c r="N13572" s="28" t="s">
        <v>52</v>
      </c>
    </row>
    <row r="13573" spans="1:14" x14ac:dyDescent="0.15">
      <c r="A13573" s="23" t="str">
        <f>HYPERLINK("https://www.spark-marketing.ru/Card/Person/1769728", "МАУК "" ТЕАТР НАТАЛЬИ БОНДАРЕВОЙ """)</f>
        <v>МАУК " ТЕАТР НАТАЛЬИ БОНДАРЕВОЙ "</v>
      </c>
      <c r="B13573" s="24" t="s">
        <v>15760</v>
      </c>
      <c r="C13573" s="25">
        <v>41061.839999999997</v>
      </c>
      <c r="D13573" s="22" t="s">
        <v>15761</v>
      </c>
      <c r="E13573" s="22" t="s">
        <v>2026</v>
      </c>
      <c r="F13573" s="23" t="str">
        <f>HYPERLINK("https://www.spark-marketing.ru/Card/Lot/68306865", "Оказание услуг в 2019 году по техническому обслуживанию средств охраны для нужд МАУК ""Театр Натальи Бондаревой""")</f>
        <v>Оказание услуг в 2019 году по техническому обслуживанию средств охраны для нужд МАУК "Театр Натальи Бондаревой"</v>
      </c>
      <c r="G13573" s="22" t="s">
        <v>50</v>
      </c>
      <c r="H13573" s="22" t="s">
        <v>1045</v>
      </c>
      <c r="I13573" s="26">
        <v>43523.652210648099</v>
      </c>
      <c r="J13573" s="28" t="s">
        <v>52</v>
      </c>
      <c r="K13573" s="28" t="s">
        <v>52</v>
      </c>
      <c r="L13573" s="28" t="s">
        <v>52</v>
      </c>
      <c r="M13573" s="28" t="s">
        <v>52</v>
      </c>
      <c r="N13573" s="28" t="s">
        <v>52</v>
      </c>
    </row>
    <row r="13574" spans="1:14" x14ac:dyDescent="0.15">
      <c r="A13574" s="23" t="str">
        <f>HYPERLINK("https://www.spark-marketing.ru/Card/Person/154570", "МБУ ""БЛАГОУСТРОЙСТВО ПАВЛОВСКИЙ ПОСАД""")</f>
        <v>МБУ "БЛАГОУСТРОЙСТВО ПАВЛОВСКИЙ ПОСАД"</v>
      </c>
      <c r="B13574" s="24" t="s">
        <v>13344</v>
      </c>
      <c r="C13574" s="25">
        <v>85320</v>
      </c>
      <c r="D13574" s="22" t="s">
        <v>15762</v>
      </c>
      <c r="E13574" s="22" t="s">
        <v>294</v>
      </c>
      <c r="F13574" s="23" t="str">
        <f>HYPERLINK("https://www.spark-marketing.ru/Card/Lot/68539539", "Оказание услуг по монтажу и абонентскому обслуживанию системы видеонаблюдения")</f>
        <v>Оказание услуг по монтажу и абонентскому обслуживанию системы видеонаблюдения</v>
      </c>
      <c r="G13574" s="22" t="s">
        <v>50</v>
      </c>
      <c r="H13574" s="22" t="s">
        <v>7257</v>
      </c>
      <c r="I13574" s="26">
        <v>43523.596215277801</v>
      </c>
      <c r="J13574" s="28" t="s">
        <v>52</v>
      </c>
      <c r="K13574" s="28" t="s">
        <v>52</v>
      </c>
      <c r="L13574" s="28" t="s">
        <v>52</v>
      </c>
      <c r="M13574" s="28" t="s">
        <v>52</v>
      </c>
      <c r="N13574" s="28" t="s">
        <v>52</v>
      </c>
    </row>
    <row r="13575" spans="1:14" x14ac:dyDescent="0.15">
      <c r="A13575" s="23" t="str">
        <f>HYPERLINK("https://www.spark-marketing.ru/Card/Person/115685", "ИФНС РОССИИ ПО ПЕРВОМАЙСКОМУ РАЙОНУ Г. ВЛАДИВОСТОКА")</f>
        <v>ИФНС РОССИИ ПО ПЕРВОМАЙСКОМУ РАЙОНУ Г. ВЛАДИВОСТОКА</v>
      </c>
      <c r="B13575" s="24" t="s">
        <v>15763</v>
      </c>
      <c r="C13575" s="25">
        <v>220500</v>
      </c>
      <c r="D13575" s="22" t="s">
        <v>15764</v>
      </c>
      <c r="E13575" s="22" t="s">
        <v>68</v>
      </c>
      <c r="F13575" s="23" t="str">
        <f>HYPERLINK("https://www.spark-marketing.ru/Card/Lot/68284910", "Оказание услуг централизованной пультовой охраны с помощью КТС (кнопка тревожной сигнализации) и ПЦН (пульт централизованного наблюдения) для объектов Инспекции федеральной налоговой службы по Первомайскому району г. Владивостока")</f>
        <v>Оказание услуг централизованной пультовой охраны с помощью КТС (кнопка тревожной сигнализации) и ПЦН (пульт централизованного наблюдения) для объектов Инспекции федеральной налоговой службы по Первомайскому району г. Владивостока</v>
      </c>
      <c r="G13575" s="22" t="s">
        <v>409</v>
      </c>
      <c r="H13575" s="22" t="s">
        <v>878</v>
      </c>
      <c r="I13575" s="26">
        <v>43523.592361111099</v>
      </c>
      <c r="J13575" s="28" t="s">
        <v>52</v>
      </c>
      <c r="K13575" s="28" t="s">
        <v>52</v>
      </c>
      <c r="L13575" s="28" t="s">
        <v>52</v>
      </c>
      <c r="M13575" s="28" t="s">
        <v>52</v>
      </c>
      <c r="N13575" s="28" t="s">
        <v>52</v>
      </c>
    </row>
    <row r="13576" spans="1:14" ht="12.75" hidden="1" outlineLevel="1" x14ac:dyDescent="0.2">
      <c r="A13576" s="23" t="str">
        <f>HYPERLINK("https://www.spark-marketing.ru/Card/Person/115685", "ИФНС РОССИИ ПО ПЕРВОМАЙСКОМУ РАЙОНУ Г. ВЛАДИВОСТОКА")</f>
        <v>ИФНС РОССИИ ПО ПЕРВОМАЙСКОМУ РАЙОНУ Г. ВЛАДИВОСТОКА</v>
      </c>
      <c r="B13576" s="24" t="s">
        <v>15763</v>
      </c>
      <c r="C13576" s="25">
        <v>220500</v>
      </c>
      <c r="D13576" s="22" t="s">
        <v>15764</v>
      </c>
      <c r="E13576" s="22" t="s">
        <v>68</v>
      </c>
      <c r="F13576" s="23" t="str">
        <f>HYPERLINK("https://www.spark-marketing.ru/Card/Lot/68284910", "Оказание услуг централизованной пультовой охраны с помощью КТС (кнопка тревожной сигнализации) и ПЦН (пульт централизованного наблюдения) для объектов Инспекции федеральной налоговой службы по Первомайскому району г. Владивостока")</f>
        <v>Оказание услуг централизованной пультовой охраны с помощью КТС (кнопка тревожной сигнализации) и ПЦН (пульт централизованного наблюдения) для объектов Инспекции федеральной налоговой службы по Первомайскому району г. Владивостока</v>
      </c>
      <c r="G13576" s="22" t="s">
        <v>409</v>
      </c>
      <c r="H13576" s="22" t="s">
        <v>878</v>
      </c>
      <c r="I13576" s="26">
        <v>43523.592361111099</v>
      </c>
      <c r="J13576" s="23" t="str">
        <f>HYPERLINK("https://www.spark-marketing.ru/Card/Person/4348045", "ООО ОА ""ГЕПАРД-СЕКЬЮРИТИ""")</f>
        <v>ООО ОА "ГЕПАРД-СЕКЬЮРИТИ"</v>
      </c>
      <c r="K13576" s="24" t="s">
        <v>15765</v>
      </c>
      <c r="L13576" s="22" t="s">
        <v>10</v>
      </c>
      <c r="M13576" s="25">
        <v>130590</v>
      </c>
      <c r="N13576" s="27">
        <v>0.40775510204081633</v>
      </c>
    </row>
    <row r="13577" spans="1:14" hidden="1" outlineLevel="1" x14ac:dyDescent="0.2">
      <c r="A13577" s="23" t="str">
        <f>HYPERLINK("https://www.spark-marketing.ru/Card/Person/115685", "ИФНС РОССИИ ПО ПЕРВОМАЙСКОМУ РАЙОНУ Г. ВЛАДИВОСТОКА")</f>
        <v>ИФНС РОССИИ ПО ПЕРВОМАЙСКОМУ РАЙОНУ Г. ВЛАДИВОСТОКА</v>
      </c>
      <c r="B13577" s="24" t="s">
        <v>15763</v>
      </c>
      <c r="C13577" s="25">
        <v>220500</v>
      </c>
      <c r="D13577" s="22" t="s">
        <v>15764</v>
      </c>
      <c r="E13577" s="22" t="s">
        <v>68</v>
      </c>
      <c r="F13577" s="23" t="str">
        <f>HYPERLINK("https://www.spark-marketing.ru/Card/Lot/68284910", "Оказание услуг централизованной пультовой охраны с помощью КТС (кнопка тревожной сигнализации) и ПЦН (пульт централизованного наблюдения) для объектов Инспекции федеральной налоговой службы по Первомайскому району г. Владивостока")</f>
        <v>Оказание услуг централизованной пультовой охраны с помощью КТС (кнопка тревожной сигнализации) и ПЦН (пульт централизованного наблюдения) для объектов Инспекции федеральной налоговой службы по Первомайскому району г. Владивостока</v>
      </c>
      <c r="G13577" s="22" t="s">
        <v>409</v>
      </c>
      <c r="H13577" s="22" t="s">
        <v>878</v>
      </c>
      <c r="I13577" s="26">
        <v>43523.592361111099</v>
      </c>
      <c r="J13577" s="23" t="str">
        <f>HYPERLINK("https://www.spark-marketing.ru/Card/Person/91730", "ООО ""ЧОП ""СОЮЗ""")</f>
        <v>ООО "ЧОП "СОЮЗ"</v>
      </c>
      <c r="K13577" s="24" t="s">
        <v>3743</v>
      </c>
      <c r="L13577" s="28" t="s">
        <v>52</v>
      </c>
      <c r="M13577" s="25">
        <v>131692.5</v>
      </c>
      <c r="N13577" s="27">
        <v>0.40275510204081633</v>
      </c>
    </row>
    <row r="13578" spans="1:14" x14ac:dyDescent="0.15">
      <c r="A13578" s="23" t="str">
        <f>HYPERLINK("https://www.spark-marketing.ru/Card/Person/822253", "ГКУ РС(Я) ""ТОМПОНСКОЕ УСЗНИТ""")</f>
        <v>ГКУ РС(Я) "ТОМПОНСКОЕ УСЗНИТ"</v>
      </c>
      <c r="B13578" s="24" t="s">
        <v>15766</v>
      </c>
      <c r="C13578" s="25">
        <v>182382.36</v>
      </c>
      <c r="D13578" s="22" t="s">
        <v>15767</v>
      </c>
      <c r="E13578" s="22" t="s">
        <v>52</v>
      </c>
      <c r="F13578" s="23" t="str">
        <f>HYPERLINK("https://www.spark-marketing.ru/Card/Lot/68287398", "услуги охраны")</f>
        <v>услуги охраны</v>
      </c>
      <c r="G13578" s="22" t="s">
        <v>424</v>
      </c>
      <c r="H13578" s="22" t="s">
        <v>15135</v>
      </c>
      <c r="I13578" s="26">
        <v>43523.598611111098</v>
      </c>
      <c r="J13578" s="28" t="s">
        <v>52</v>
      </c>
      <c r="K13578" s="28" t="s">
        <v>52</v>
      </c>
      <c r="L13578" s="28" t="s">
        <v>52</v>
      </c>
      <c r="M13578" s="28" t="s">
        <v>52</v>
      </c>
      <c r="N13578" s="28" t="s">
        <v>52</v>
      </c>
    </row>
    <row r="13579" spans="1:14" x14ac:dyDescent="0.15">
      <c r="A13579" s="23" t="str">
        <f>HYPERLINK("https://www.spark-marketing.ru/Card/Person/60574", "БУЗ ВО ""БУТУРЛИНОВСКАЯ РБ""")</f>
        <v>БУЗ ВО "БУТУРЛИНОВСКАЯ РБ"</v>
      </c>
      <c r="B13579" s="24" t="s">
        <v>11302</v>
      </c>
      <c r="C13579" s="25">
        <v>310080.02</v>
      </c>
      <c r="D13579" s="22" t="s">
        <v>15768</v>
      </c>
      <c r="E13579" s="22" t="s">
        <v>52</v>
      </c>
      <c r="F13579" s="23" t="str">
        <f>HYPERLINK("https://www.spark-marketing.ru/Card/Lot/68309470", "Охрана объекта путем мониторинга за состоянием средств сигнализации")</f>
        <v>Охрана объекта путем мониторинга за состоянием средств сигнализации</v>
      </c>
      <c r="G13579" s="22" t="s">
        <v>552</v>
      </c>
      <c r="H13579" s="22" t="s">
        <v>11304</v>
      </c>
      <c r="I13579" s="26">
        <v>43523.615277777797</v>
      </c>
      <c r="J13579" s="28" t="s">
        <v>52</v>
      </c>
      <c r="K13579" s="28" t="s">
        <v>52</v>
      </c>
      <c r="L13579" s="28" t="s">
        <v>52</v>
      </c>
      <c r="M13579" s="28" t="s">
        <v>52</v>
      </c>
      <c r="N13579" s="28" t="s">
        <v>52</v>
      </c>
    </row>
    <row r="13580" spans="1:14" x14ac:dyDescent="0.15">
      <c r="A13580" s="23" t="str">
        <f>HYPERLINK("https://www.spark-marketing.ru/Card/Person/82279", "МЕЖРАЙОННАЯ ИФНС РОССИИ № 12 ПО ТЮМЕНСКОЙ ОБЛАСТИ")</f>
        <v>МЕЖРАЙОННАЯ ИФНС РОССИИ № 12 ПО ТЮМЕНСКОЙ ОБЛАСТИ</v>
      </c>
      <c r="B13580" s="24" t="s">
        <v>15769</v>
      </c>
      <c r="C13580" s="25">
        <v>295110</v>
      </c>
      <c r="D13580" s="22" t="s">
        <v>15770</v>
      </c>
      <c r="E13580" s="22" t="s">
        <v>68</v>
      </c>
      <c r="F13580" s="23" t="str">
        <f>HYPERLINK("https://www.spark-marketing.ru/Card/Lot/68303368", "Оказание услуг физической охраны на объектах")</f>
        <v>Оказание услуг физической охраны на объектах</v>
      </c>
      <c r="G13580" s="22" t="s">
        <v>893</v>
      </c>
      <c r="H13580" s="22" t="s">
        <v>2222</v>
      </c>
      <c r="I13580" s="26">
        <v>43523.598611111098</v>
      </c>
      <c r="J13580" s="28" t="s">
        <v>52</v>
      </c>
      <c r="K13580" s="28" t="s">
        <v>52</v>
      </c>
      <c r="L13580" s="28" t="s">
        <v>52</v>
      </c>
      <c r="M13580" s="28" t="s">
        <v>52</v>
      </c>
      <c r="N13580" s="28" t="s">
        <v>52</v>
      </c>
    </row>
    <row r="13581" spans="1:14" hidden="1" outlineLevel="1" x14ac:dyDescent="0.2">
      <c r="A13581" s="23" t="str">
        <f>HYPERLINK("https://www.spark-marketing.ru/Card/Person/82279", "МЕЖРАЙОННАЯ ИФНС РОССИИ № 12 ПО ТЮМЕНСКОЙ ОБЛАСТИ")</f>
        <v>МЕЖРАЙОННАЯ ИФНС РОССИИ № 12 ПО ТЮМЕНСКОЙ ОБЛАСТИ</v>
      </c>
      <c r="B13581" s="24" t="s">
        <v>15769</v>
      </c>
      <c r="C13581" s="25">
        <v>295110</v>
      </c>
      <c r="D13581" s="22" t="s">
        <v>15770</v>
      </c>
      <c r="E13581" s="22" t="s">
        <v>68</v>
      </c>
      <c r="F13581" s="23" t="str">
        <f>HYPERLINK("https://www.spark-marketing.ru/Card/Lot/68303368", "Оказание услуг физической охраны на объектах")</f>
        <v>Оказание услуг физической охраны на объектах</v>
      </c>
      <c r="G13581" s="22" t="s">
        <v>893</v>
      </c>
      <c r="H13581" s="22" t="s">
        <v>2222</v>
      </c>
      <c r="I13581" s="26">
        <v>43523.598611111098</v>
      </c>
      <c r="J13581" s="23" t="str">
        <f>HYPERLINK("https://www.spark-marketing.ru/Card/Person/546686", "ООО ЧОО ""ЗАЩИТНИК""")</f>
        <v>ООО ЧОО "ЗАЩИТНИК"</v>
      </c>
      <c r="K13581" s="24" t="s">
        <v>2223</v>
      </c>
      <c r="L13581" s="28" t="s">
        <v>52</v>
      </c>
      <c r="M13581" s="25">
        <v>244941.3</v>
      </c>
      <c r="N13581" s="27">
        <v>0.17</v>
      </c>
    </row>
    <row r="13582" spans="1:14" ht="12.75" hidden="1" outlineLevel="1" x14ac:dyDescent="0.2">
      <c r="A13582" s="23" t="str">
        <f>HYPERLINK("https://www.spark-marketing.ru/Card/Person/82279", "МЕЖРАЙОННАЯ ИФНС РОССИИ № 12 ПО ТЮМЕНСКОЙ ОБЛАСТИ")</f>
        <v>МЕЖРАЙОННАЯ ИФНС РОССИИ № 12 ПО ТЮМЕНСКОЙ ОБЛАСТИ</v>
      </c>
      <c r="B13582" s="24" t="s">
        <v>15769</v>
      </c>
      <c r="C13582" s="25">
        <v>295110</v>
      </c>
      <c r="D13582" s="22" t="s">
        <v>15770</v>
      </c>
      <c r="E13582" s="22" t="s">
        <v>68</v>
      </c>
      <c r="F13582" s="23" t="str">
        <f>HYPERLINK("https://www.spark-marketing.ru/Card/Lot/68303368", "Оказание услуг физической охраны на объектах")</f>
        <v>Оказание услуг физической охраны на объектах</v>
      </c>
      <c r="G13582" s="22" t="s">
        <v>893</v>
      </c>
      <c r="H13582" s="22" t="s">
        <v>2222</v>
      </c>
      <c r="I13582" s="26">
        <v>43523.598611111098</v>
      </c>
      <c r="J13582" s="23" t="str">
        <f>HYPERLINK("https://www.spark-marketing.ru/Card/Person/63886", "ООО ""ЧОП ""ПУТИНА""")</f>
        <v>ООО "ЧОП "ПУТИНА"</v>
      </c>
      <c r="K13582" s="24" t="s">
        <v>14886</v>
      </c>
      <c r="L13582" s="22" t="s">
        <v>10</v>
      </c>
      <c r="M13582" s="25">
        <v>230185.8</v>
      </c>
      <c r="N13582" s="27">
        <v>0.22</v>
      </c>
    </row>
    <row r="13583" spans="1:14" x14ac:dyDescent="0.15">
      <c r="A13583" s="23" t="str">
        <f t="shared" ref="A13583:A13588" si="699">HYPERLINK("https://www.spark-marketing.ru/Card/Person/1011129", "ОКУ ""ЧАПЛЫГИНСКОЕ ЛЕСНИЧЕСТВО""")</f>
        <v>ОКУ "ЧАПЛЫГИНСКОЕ ЛЕСНИЧЕСТВО"</v>
      </c>
      <c r="B13583" s="24" t="s">
        <v>15771</v>
      </c>
      <c r="C13583" s="25">
        <v>60000</v>
      </c>
      <c r="D13583" s="22" t="s">
        <v>15772</v>
      </c>
      <c r="E13583" s="22" t="s">
        <v>3281</v>
      </c>
      <c r="F13583" s="23" t="str">
        <f t="shared" ref="F13583:F13588" si="700">HYPERLINK("https://www.spark-marketing.ru/Card/Lot/68310363", "Поставка обуви для сотрудников лесной охраны")</f>
        <v>Поставка обуви для сотрудников лесной охраны</v>
      </c>
      <c r="G13583" s="22" t="s">
        <v>629</v>
      </c>
      <c r="H13583" s="22" t="s">
        <v>629</v>
      </c>
      <c r="I13583" s="26">
        <v>43523.610416666699</v>
      </c>
      <c r="J13583" s="28" t="s">
        <v>52</v>
      </c>
      <c r="K13583" s="28" t="s">
        <v>52</v>
      </c>
      <c r="L13583" s="28" t="s">
        <v>52</v>
      </c>
      <c r="M13583" s="28" t="s">
        <v>52</v>
      </c>
      <c r="N13583" s="28" t="s">
        <v>52</v>
      </c>
    </row>
    <row r="13584" spans="1:14" hidden="1" outlineLevel="1" x14ac:dyDescent="0.2">
      <c r="A13584" s="23" t="str">
        <f t="shared" si="699"/>
        <v>ОКУ "ЧАПЛЫГИНСКОЕ ЛЕСНИЧЕСТВО"</v>
      </c>
      <c r="B13584" s="24" t="s">
        <v>15771</v>
      </c>
      <c r="C13584" s="25">
        <v>60000</v>
      </c>
      <c r="D13584" s="22" t="s">
        <v>15772</v>
      </c>
      <c r="E13584" s="22" t="s">
        <v>3281</v>
      </c>
      <c r="F13584" s="23" t="str">
        <f t="shared" si="700"/>
        <v>Поставка обуви для сотрудников лесной охраны</v>
      </c>
      <c r="G13584" s="22" t="s">
        <v>629</v>
      </c>
      <c r="H13584" s="22" t="s">
        <v>629</v>
      </c>
      <c r="I13584" s="26">
        <v>43523.610416666699</v>
      </c>
      <c r="J13584" s="23" t="str">
        <f>HYPERLINK("https://www.spark-marketing.ru/Card/Person/4360950", "ООО ""ФАБРИКА ОБУВИ""")</f>
        <v>ООО "ФАБРИКА ОБУВИ"</v>
      </c>
      <c r="K13584" s="24" t="s">
        <v>15773</v>
      </c>
      <c r="L13584" s="28" t="s">
        <v>52</v>
      </c>
      <c r="M13584" s="25">
        <v>43000.22</v>
      </c>
      <c r="N13584" s="27">
        <v>0.28332966666666665</v>
      </c>
    </row>
    <row r="13585" spans="1:14" hidden="1" outlineLevel="1" x14ac:dyDescent="0.2">
      <c r="A13585" s="23" t="str">
        <f t="shared" si="699"/>
        <v>ОКУ "ЧАПЛЫГИНСКОЕ ЛЕСНИЧЕСТВО"</v>
      </c>
      <c r="B13585" s="24" t="s">
        <v>15771</v>
      </c>
      <c r="C13585" s="25">
        <v>60000</v>
      </c>
      <c r="D13585" s="22" t="s">
        <v>15772</v>
      </c>
      <c r="E13585" s="22" t="s">
        <v>3281</v>
      </c>
      <c r="F13585" s="23" t="str">
        <f t="shared" si="700"/>
        <v>Поставка обуви для сотрудников лесной охраны</v>
      </c>
      <c r="G13585" s="22" t="s">
        <v>629</v>
      </c>
      <c r="H13585" s="22" t="s">
        <v>629</v>
      </c>
      <c r="I13585" s="26">
        <v>43523.610416666699</v>
      </c>
      <c r="J13585" s="23" t="str">
        <f>HYPERLINK("https://www.spark-marketing.ru/Card/Person/6443766", "ООО ""АВАНГАРД""")</f>
        <v>ООО "АВАНГАРД"</v>
      </c>
      <c r="K13585" s="24" t="s">
        <v>3282</v>
      </c>
      <c r="L13585" s="28" t="s">
        <v>52</v>
      </c>
      <c r="M13585" s="25">
        <v>29300</v>
      </c>
      <c r="N13585" s="27">
        <v>0.51166666666666671</v>
      </c>
    </row>
    <row r="13586" spans="1:14" hidden="1" outlineLevel="1" x14ac:dyDescent="0.2">
      <c r="A13586" s="23" t="str">
        <f t="shared" si="699"/>
        <v>ОКУ "ЧАПЛЫГИНСКОЕ ЛЕСНИЧЕСТВО"</v>
      </c>
      <c r="B13586" s="24" t="s">
        <v>15771</v>
      </c>
      <c r="C13586" s="25">
        <v>60000</v>
      </c>
      <c r="D13586" s="22" t="s">
        <v>15772</v>
      </c>
      <c r="E13586" s="22" t="s">
        <v>3281</v>
      </c>
      <c r="F13586" s="23" t="str">
        <f t="shared" si="700"/>
        <v>Поставка обуви для сотрудников лесной охраны</v>
      </c>
      <c r="G13586" s="22" t="s">
        <v>629</v>
      </c>
      <c r="H13586" s="22" t="s">
        <v>629</v>
      </c>
      <c r="I13586" s="26">
        <v>43523.610416666699</v>
      </c>
      <c r="J13586" s="23" t="str">
        <f>HYPERLINK("https://www.spark-marketing.ru/Card/Person/6065530", "Бурнашева Диана Вадимовна")</f>
        <v>Бурнашева Диана Вадимовна</v>
      </c>
      <c r="K13586" s="24" t="s">
        <v>15774</v>
      </c>
      <c r="L13586" s="28" t="s">
        <v>52</v>
      </c>
      <c r="M13586" s="25">
        <v>48700.22</v>
      </c>
      <c r="N13586" s="27">
        <v>0.18832966666666667</v>
      </c>
    </row>
    <row r="13587" spans="1:14" ht="12.75" hidden="1" outlineLevel="1" x14ac:dyDescent="0.2">
      <c r="A13587" s="23" t="str">
        <f t="shared" si="699"/>
        <v>ОКУ "ЧАПЛЫГИНСКОЕ ЛЕСНИЧЕСТВО"</v>
      </c>
      <c r="B13587" s="24" t="s">
        <v>15771</v>
      </c>
      <c r="C13587" s="25">
        <v>60000</v>
      </c>
      <c r="D13587" s="22" t="s">
        <v>15772</v>
      </c>
      <c r="E13587" s="22" t="s">
        <v>3281</v>
      </c>
      <c r="F13587" s="23" t="str">
        <f t="shared" si="700"/>
        <v>Поставка обуви для сотрудников лесной охраны</v>
      </c>
      <c r="G13587" s="22" t="s">
        <v>629</v>
      </c>
      <c r="H13587" s="22" t="s">
        <v>629</v>
      </c>
      <c r="I13587" s="26">
        <v>43523.610416666699</v>
      </c>
      <c r="J13587" s="23" t="str">
        <f>HYPERLINK("https://www.spark-marketing.ru/Card/Person/624418", "ООО ""ТДК ""СИРИУС""")</f>
        <v>ООО "ТДК "СИРИУС"</v>
      </c>
      <c r="K13587" s="24" t="s">
        <v>15775</v>
      </c>
      <c r="L13587" s="22" t="s">
        <v>10</v>
      </c>
      <c r="M13587" s="25">
        <v>27800</v>
      </c>
      <c r="N13587" s="27">
        <v>0.53666666666666663</v>
      </c>
    </row>
    <row r="13588" spans="1:14" hidden="1" outlineLevel="1" x14ac:dyDescent="0.2">
      <c r="A13588" s="23" t="str">
        <f t="shared" si="699"/>
        <v>ОКУ "ЧАПЛЫГИНСКОЕ ЛЕСНИЧЕСТВО"</v>
      </c>
      <c r="B13588" s="24" t="s">
        <v>15771</v>
      </c>
      <c r="C13588" s="25">
        <v>60000</v>
      </c>
      <c r="D13588" s="22" t="s">
        <v>15772</v>
      </c>
      <c r="E13588" s="22" t="s">
        <v>3281</v>
      </c>
      <c r="F13588" s="23" t="str">
        <f t="shared" si="700"/>
        <v>Поставка обуви для сотрудников лесной охраны</v>
      </c>
      <c r="G13588" s="22" t="s">
        <v>629</v>
      </c>
      <c r="H13588" s="22" t="s">
        <v>629</v>
      </c>
      <c r="I13588" s="26">
        <v>43523.610416666699</v>
      </c>
      <c r="J13588" s="23" t="str">
        <f>HYPERLINK("https://www.spark-marketing.ru/Card/Person/6364280", "Терехов Андрей Николаевич")</f>
        <v>Терехов Андрей Николаевич</v>
      </c>
      <c r="K13588" s="24" t="s">
        <v>15776</v>
      </c>
      <c r="L13588" s="28" t="s">
        <v>52</v>
      </c>
      <c r="M13588" s="25">
        <v>28100</v>
      </c>
      <c r="N13588" s="27">
        <v>0.53166666666666662</v>
      </c>
    </row>
    <row r="13589" spans="1:14" x14ac:dyDescent="0.15">
      <c r="A13589" s="23" t="str">
        <f>HYPERLINK("https://www.spark-marketing.ru/Card/Person/116214", "ЧЕЛЯБИНСКИЙ ПСИХОНЕВРОЛОГИЧЕСКИЙ ИНТЕРНАТ")</f>
        <v>ЧЕЛЯБИНСКИЙ ПСИХОНЕВРОЛОГИЧЕСКИЙ ИНТЕРНАТ</v>
      </c>
      <c r="B13589" s="24" t="s">
        <v>2951</v>
      </c>
      <c r="C13589" s="25">
        <v>303357.59999999998</v>
      </c>
      <c r="D13589" s="22" t="s">
        <v>15777</v>
      </c>
      <c r="E13589" s="22" t="s">
        <v>68</v>
      </c>
      <c r="F13589" s="23" t="str">
        <f>HYPERLINK("https://www.spark-marketing.ru/Card/Lot/68303763", "Охранные услуги")</f>
        <v>Охранные услуги</v>
      </c>
      <c r="G13589" s="22" t="s">
        <v>60</v>
      </c>
      <c r="H13589" s="22" t="s">
        <v>1683</v>
      </c>
      <c r="I13589" s="26">
        <v>43523.608333333301</v>
      </c>
      <c r="J13589" s="28" t="s">
        <v>52</v>
      </c>
      <c r="K13589" s="28" t="s">
        <v>52</v>
      </c>
      <c r="L13589" s="28" t="s">
        <v>52</v>
      </c>
      <c r="M13589" s="28" t="s">
        <v>52</v>
      </c>
      <c r="N13589" s="28" t="s">
        <v>52</v>
      </c>
    </row>
    <row r="13590" spans="1:14" ht="12.75" hidden="1" outlineLevel="1" x14ac:dyDescent="0.2">
      <c r="A13590" s="23" t="str">
        <f>HYPERLINK("https://www.spark-marketing.ru/Card/Person/116214", "ЧЕЛЯБИНСКИЙ ПСИХОНЕВРОЛОГИЧЕСКИЙ ИНТЕРНАТ")</f>
        <v>ЧЕЛЯБИНСКИЙ ПСИХОНЕВРОЛОГИЧЕСКИЙ ИНТЕРНАТ</v>
      </c>
      <c r="B13590" s="24" t="s">
        <v>2951</v>
      </c>
      <c r="C13590" s="25">
        <v>303357.59999999998</v>
      </c>
      <c r="D13590" s="22" t="s">
        <v>15777</v>
      </c>
      <c r="E13590" s="22" t="s">
        <v>68</v>
      </c>
      <c r="F13590" s="23" t="str">
        <f>HYPERLINK("https://www.spark-marketing.ru/Card/Lot/68303763", "Охранные услуги")</f>
        <v>Охранные услуги</v>
      </c>
      <c r="G13590" s="22" t="s">
        <v>60</v>
      </c>
      <c r="H13590" s="22" t="s">
        <v>1683</v>
      </c>
      <c r="I13590" s="26">
        <v>43523.608333333301</v>
      </c>
      <c r="J13590" s="23" t="str">
        <f>HYPERLINK("https://www.spark-marketing.ru/Card/Person/115070", "ХКО ""КАШИРИНСКИЙ""")</f>
        <v>ХКО "КАШИРИНСКИЙ"</v>
      </c>
      <c r="K13590" s="24" t="s">
        <v>10763</v>
      </c>
      <c r="L13590" s="22" t="s">
        <v>10</v>
      </c>
      <c r="M13590" s="25">
        <v>168363.35</v>
      </c>
      <c r="N13590" s="27">
        <v>0.4450003889798706</v>
      </c>
    </row>
    <row r="13591" spans="1:14" hidden="1" outlineLevel="1" x14ac:dyDescent="0.2">
      <c r="A13591" s="23" t="str">
        <f>HYPERLINK("https://www.spark-marketing.ru/Card/Person/116214", "ЧЕЛЯБИНСКИЙ ПСИХОНЕВРОЛОГИЧЕСКИЙ ИНТЕРНАТ")</f>
        <v>ЧЕЛЯБИНСКИЙ ПСИХОНЕВРОЛОГИЧЕСКИЙ ИНТЕРНАТ</v>
      </c>
      <c r="B13591" s="24" t="s">
        <v>2951</v>
      </c>
      <c r="C13591" s="25">
        <v>303357.59999999998</v>
      </c>
      <c r="D13591" s="22" t="s">
        <v>15777</v>
      </c>
      <c r="E13591" s="22" t="s">
        <v>68</v>
      </c>
      <c r="F13591" s="23" t="str">
        <f>HYPERLINK("https://www.spark-marketing.ru/Card/Lot/68303763", "Охранные услуги")</f>
        <v>Охранные услуги</v>
      </c>
      <c r="G13591" s="22" t="s">
        <v>60</v>
      </c>
      <c r="H13591" s="22" t="s">
        <v>1683</v>
      </c>
      <c r="I13591" s="26">
        <v>43523.608333333301</v>
      </c>
      <c r="J13591" s="23" t="str">
        <f>HYPERLINK("https://www.spark-marketing.ru/Card/Person/100254", "ООО ЧОО ""ВИКТОРИЯ""")</f>
        <v>ООО ЧОО "ВИКТОРИЯ"</v>
      </c>
      <c r="K13591" s="24" t="s">
        <v>1406</v>
      </c>
      <c r="L13591" s="28" t="s">
        <v>52</v>
      </c>
      <c r="M13591" s="25">
        <v>169880.14</v>
      </c>
      <c r="N13591" s="27">
        <v>0.44000038238699146</v>
      </c>
    </row>
    <row r="13592" spans="1:14" hidden="1" outlineLevel="1" x14ac:dyDescent="0.2">
      <c r="A13592" s="23" t="str">
        <f>HYPERLINK("https://www.spark-marketing.ru/Card/Person/116214", "ЧЕЛЯБИНСКИЙ ПСИХОНЕВРОЛОГИЧЕСКИЙ ИНТЕРНАТ")</f>
        <v>ЧЕЛЯБИНСКИЙ ПСИХОНЕВРОЛОГИЧЕСКИЙ ИНТЕРНАТ</v>
      </c>
      <c r="B13592" s="24" t="s">
        <v>2951</v>
      </c>
      <c r="C13592" s="25">
        <v>303357.59999999998</v>
      </c>
      <c r="D13592" s="22" t="s">
        <v>15777</v>
      </c>
      <c r="E13592" s="22" t="s">
        <v>68</v>
      </c>
      <c r="F13592" s="23" t="str">
        <f>HYPERLINK("https://www.spark-marketing.ru/Card/Lot/68303763", "Охранные услуги")</f>
        <v>Охранные услуги</v>
      </c>
      <c r="G13592" s="22" t="s">
        <v>60</v>
      </c>
      <c r="H13592" s="22" t="s">
        <v>1683</v>
      </c>
      <c r="I13592" s="26">
        <v>43523.608333333301</v>
      </c>
      <c r="J13592" s="23" t="str">
        <f>HYPERLINK("https://www.spark-marketing.ru/Card/Person/857018", "ООО ЧОП ""ФАГОТ""")</f>
        <v>ООО ЧОП "ФАГОТ"</v>
      </c>
      <c r="K13592" s="24" t="s">
        <v>2953</v>
      </c>
      <c r="L13592" s="28" t="s">
        <v>52</v>
      </c>
      <c r="M13592" s="25">
        <v>224484.58</v>
      </c>
      <c r="N13592" s="27">
        <v>0.26000014504334157</v>
      </c>
    </row>
    <row r="13593" spans="1:14" x14ac:dyDescent="0.15">
      <c r="A13593" s="23" t="s">
        <v>121</v>
      </c>
      <c r="B13593" s="28" t="s">
        <v>52</v>
      </c>
      <c r="C13593" s="25">
        <v>2573745.79</v>
      </c>
      <c r="D13593" s="22" t="s">
        <v>15778</v>
      </c>
      <c r="E13593" s="22" t="s">
        <v>52</v>
      </c>
      <c r="F13593" s="23" t="str">
        <f t="shared" ref="F13593:F13603" si="701">HYPERLINK("https://www.spark-marketing.ru/Card/Lot/68300144", "Услуги частных охранных служб")</f>
        <v>Услуги частных охранных служб</v>
      </c>
      <c r="G13593" s="22" t="s">
        <v>52</v>
      </c>
      <c r="H13593" s="22" t="s">
        <v>52</v>
      </c>
      <c r="I13593" s="26">
        <v>43523.604861111096</v>
      </c>
      <c r="J13593" s="28" t="s">
        <v>52</v>
      </c>
      <c r="K13593" s="28" t="s">
        <v>52</v>
      </c>
      <c r="L13593" s="28" t="s">
        <v>52</v>
      </c>
      <c r="M13593" s="28" t="s">
        <v>52</v>
      </c>
      <c r="N13593" s="28" t="s">
        <v>52</v>
      </c>
    </row>
    <row r="13594" spans="1:14" hidden="1" outlineLevel="1" x14ac:dyDescent="0.15">
      <c r="A13594" s="23" t="str">
        <f>HYPERLINK("https://www.spark-marketing.ru/Card/Person/1012348", "МБДОУ №1 ""СОЛНЫШКО""")</f>
        <v>МБДОУ №1 "СОЛНЫШКО"</v>
      </c>
      <c r="B13594" s="24" t="s">
        <v>15779</v>
      </c>
      <c r="C13594" s="25">
        <v>367677.97</v>
      </c>
      <c r="D13594" s="22" t="s">
        <v>15778</v>
      </c>
      <c r="E13594" s="22" t="s">
        <v>52</v>
      </c>
      <c r="F13594" s="23" t="str">
        <f t="shared" si="701"/>
        <v>Услуги частных охранных служб</v>
      </c>
      <c r="G13594" s="22" t="s">
        <v>72</v>
      </c>
      <c r="H13594" s="22" t="s">
        <v>5321</v>
      </c>
      <c r="I13594" s="26">
        <v>43523.604861111096</v>
      </c>
      <c r="J13594" s="28" t="s">
        <v>52</v>
      </c>
      <c r="K13594" s="28" t="s">
        <v>52</v>
      </c>
      <c r="L13594" s="28" t="s">
        <v>52</v>
      </c>
      <c r="M13594" s="28" t="s">
        <v>52</v>
      </c>
      <c r="N13594" s="28" t="s">
        <v>52</v>
      </c>
    </row>
    <row r="13595" spans="1:14" hidden="1" outlineLevel="1" x14ac:dyDescent="0.15">
      <c r="A13595" s="23" t="str">
        <f>HYPERLINK("https://www.spark-marketing.ru/Card/Person/1024685", "МБДОУ ""ДЕТСКИЙ САД № 7 ""МИШУТКА""")</f>
        <v>МБДОУ "ДЕТСКИЙ САД № 7 "МИШУТКА"</v>
      </c>
      <c r="B13595" s="24" t="s">
        <v>15780</v>
      </c>
      <c r="C13595" s="25">
        <v>367677.97</v>
      </c>
      <c r="D13595" s="22" t="s">
        <v>15778</v>
      </c>
      <c r="E13595" s="22" t="s">
        <v>52</v>
      </c>
      <c r="F13595" s="23" t="str">
        <f t="shared" si="701"/>
        <v>Услуги частных охранных служб</v>
      </c>
      <c r="G13595" s="22" t="s">
        <v>72</v>
      </c>
      <c r="H13595" s="22" t="s">
        <v>5321</v>
      </c>
      <c r="I13595" s="26">
        <v>43523.604861111096</v>
      </c>
      <c r="J13595" s="28" t="s">
        <v>52</v>
      </c>
      <c r="K13595" s="28" t="s">
        <v>52</v>
      </c>
      <c r="L13595" s="28" t="s">
        <v>52</v>
      </c>
      <c r="M13595" s="28" t="s">
        <v>52</v>
      </c>
      <c r="N13595" s="28" t="s">
        <v>52</v>
      </c>
    </row>
    <row r="13596" spans="1:14" hidden="1" outlineLevel="1" x14ac:dyDescent="0.15">
      <c r="A13596" s="23" t="str">
        <f>HYPERLINK("https://www.spark-marketing.ru/Card/Person/1025833", "МБДОУ № 22 ""РОДНИЧОК""")</f>
        <v>МБДОУ № 22 "РОДНИЧОК"</v>
      </c>
      <c r="B13596" s="24" t="s">
        <v>15781</v>
      </c>
      <c r="C13596" s="25">
        <v>367677.97</v>
      </c>
      <c r="D13596" s="22" t="s">
        <v>15778</v>
      </c>
      <c r="E13596" s="22" t="s">
        <v>52</v>
      </c>
      <c r="F13596" s="23" t="str">
        <f t="shared" si="701"/>
        <v>Услуги частных охранных служб</v>
      </c>
      <c r="G13596" s="22" t="s">
        <v>72</v>
      </c>
      <c r="H13596" s="22" t="s">
        <v>5321</v>
      </c>
      <c r="I13596" s="26">
        <v>43523.604861111096</v>
      </c>
      <c r="J13596" s="28" t="s">
        <v>52</v>
      </c>
      <c r="K13596" s="28" t="s">
        <v>52</v>
      </c>
      <c r="L13596" s="28" t="s">
        <v>52</v>
      </c>
      <c r="M13596" s="28" t="s">
        <v>52</v>
      </c>
      <c r="N13596" s="28" t="s">
        <v>52</v>
      </c>
    </row>
    <row r="13597" spans="1:14" hidden="1" outlineLevel="1" x14ac:dyDescent="0.15">
      <c r="A13597" s="23" t="str">
        <f>HYPERLINK("https://www.spark-marketing.ru/Card/Person/1026368", "ДЕТСКИЙ САД № 6")</f>
        <v>ДЕТСКИЙ САД № 6</v>
      </c>
      <c r="B13597" s="24" t="s">
        <v>15782</v>
      </c>
      <c r="C13597" s="25">
        <v>367677.97</v>
      </c>
      <c r="D13597" s="22" t="s">
        <v>15778</v>
      </c>
      <c r="E13597" s="22" t="s">
        <v>52</v>
      </c>
      <c r="F13597" s="23" t="str">
        <f t="shared" si="701"/>
        <v>Услуги частных охранных служб</v>
      </c>
      <c r="G13597" s="22" t="s">
        <v>72</v>
      </c>
      <c r="H13597" s="22" t="s">
        <v>5321</v>
      </c>
      <c r="I13597" s="26">
        <v>43523.604861111096</v>
      </c>
      <c r="J13597" s="28" t="s">
        <v>52</v>
      </c>
      <c r="K13597" s="28" t="s">
        <v>52</v>
      </c>
      <c r="L13597" s="28" t="s">
        <v>52</v>
      </c>
      <c r="M13597" s="28" t="s">
        <v>52</v>
      </c>
      <c r="N13597" s="28" t="s">
        <v>52</v>
      </c>
    </row>
    <row r="13598" spans="1:14" hidden="1" outlineLevel="1" x14ac:dyDescent="0.15">
      <c r="A13598" s="23" t="str">
        <f>HYPERLINK("https://www.spark-marketing.ru/Card/Person/4350814", "МБДОУ № 20 ""КОРАБЛИК""")</f>
        <v>МБДОУ № 20 "КОРАБЛИК"</v>
      </c>
      <c r="B13598" s="24" t="s">
        <v>15783</v>
      </c>
      <c r="C13598" s="25">
        <v>367677.97</v>
      </c>
      <c r="D13598" s="22" t="s">
        <v>15778</v>
      </c>
      <c r="E13598" s="22" t="s">
        <v>52</v>
      </c>
      <c r="F13598" s="23" t="str">
        <f t="shared" si="701"/>
        <v>Услуги частных охранных служб</v>
      </c>
      <c r="G13598" s="22" t="s">
        <v>72</v>
      </c>
      <c r="H13598" s="22" t="s">
        <v>5321</v>
      </c>
      <c r="I13598" s="26">
        <v>43523.604861111096</v>
      </c>
      <c r="J13598" s="28" t="s">
        <v>52</v>
      </c>
      <c r="K13598" s="28" t="s">
        <v>52</v>
      </c>
      <c r="L13598" s="28" t="s">
        <v>52</v>
      </c>
      <c r="M13598" s="28" t="s">
        <v>52</v>
      </c>
      <c r="N13598" s="28" t="s">
        <v>52</v>
      </c>
    </row>
    <row r="13599" spans="1:14" hidden="1" outlineLevel="1" x14ac:dyDescent="0.15">
      <c r="A13599" s="23" t="str">
        <f>HYPERLINK("https://www.spark-marketing.ru/Card/Person/4374839", "ДЕТСКИЙ САД №42")</f>
        <v>ДЕТСКИЙ САД №42</v>
      </c>
      <c r="B13599" s="24" t="s">
        <v>15784</v>
      </c>
      <c r="C13599" s="25">
        <v>367677.97</v>
      </c>
      <c r="D13599" s="22" t="s">
        <v>15778</v>
      </c>
      <c r="E13599" s="22" t="s">
        <v>52</v>
      </c>
      <c r="F13599" s="23" t="str">
        <f t="shared" si="701"/>
        <v>Услуги частных охранных служб</v>
      </c>
      <c r="G13599" s="22" t="s">
        <v>72</v>
      </c>
      <c r="H13599" s="22" t="s">
        <v>5321</v>
      </c>
      <c r="I13599" s="26">
        <v>43523.604861111096</v>
      </c>
      <c r="J13599" s="28" t="s">
        <v>52</v>
      </c>
      <c r="K13599" s="28" t="s">
        <v>52</v>
      </c>
      <c r="L13599" s="28" t="s">
        <v>52</v>
      </c>
      <c r="M13599" s="28" t="s">
        <v>52</v>
      </c>
      <c r="N13599" s="28" t="s">
        <v>52</v>
      </c>
    </row>
    <row r="13600" spans="1:14" hidden="1" outlineLevel="1" x14ac:dyDescent="0.15">
      <c r="A13600" s="23" t="str">
        <f>HYPERLINK("https://www.spark-marketing.ru/Card/Person/4414288", "МБДОУ ""ДЕТСКИЙ САД №41 ""ПЕТУШОК""")</f>
        <v>МБДОУ "ДЕТСКИЙ САД №41 "ПЕТУШОК"</v>
      </c>
      <c r="B13600" s="24" t="s">
        <v>15785</v>
      </c>
      <c r="C13600" s="25">
        <v>367677.97</v>
      </c>
      <c r="D13600" s="22" t="s">
        <v>15778</v>
      </c>
      <c r="E13600" s="22" t="s">
        <v>52</v>
      </c>
      <c r="F13600" s="23" t="str">
        <f t="shared" si="701"/>
        <v>Услуги частных охранных служб</v>
      </c>
      <c r="G13600" s="22" t="s">
        <v>72</v>
      </c>
      <c r="H13600" s="22" t="s">
        <v>5321</v>
      </c>
      <c r="I13600" s="26">
        <v>43523.604861111096</v>
      </c>
      <c r="J13600" s="28" t="s">
        <v>52</v>
      </c>
      <c r="K13600" s="28" t="s">
        <v>52</v>
      </c>
      <c r="L13600" s="28" t="s">
        <v>52</v>
      </c>
      <c r="M13600" s="28" t="s">
        <v>52</v>
      </c>
      <c r="N13600" s="28" t="s">
        <v>52</v>
      </c>
    </row>
    <row r="13601" spans="1:14" hidden="1" outlineLevel="1" x14ac:dyDescent="0.2">
      <c r="A13601" s="28" t="s">
        <v>52</v>
      </c>
      <c r="B13601" s="28" t="s">
        <v>52</v>
      </c>
      <c r="C13601" s="28" t="s">
        <v>52</v>
      </c>
      <c r="D13601" s="22" t="s">
        <v>15778</v>
      </c>
      <c r="E13601" s="22" t="s">
        <v>52</v>
      </c>
      <c r="F13601" s="23" t="str">
        <f t="shared" si="701"/>
        <v>Услуги частных охранных служб</v>
      </c>
      <c r="G13601" s="22" t="s">
        <v>52</v>
      </c>
      <c r="H13601" s="22" t="s">
        <v>52</v>
      </c>
      <c r="I13601" s="26">
        <v>43523.604861111096</v>
      </c>
      <c r="J13601" s="23" t="str">
        <f>HYPERLINK("https://www.spark-marketing.ru/Card/Person/4496304", "ООО ""ЧОП ""АЛЬФА-ЩИТ-БМП""")</f>
        <v>ООО "ЧОП "АЛЬФА-ЩИТ-БМП"</v>
      </c>
      <c r="K13601" s="24" t="s">
        <v>4058</v>
      </c>
      <c r="L13601" s="28" t="s">
        <v>52</v>
      </c>
      <c r="M13601" s="25">
        <v>2296116.2799999998</v>
      </c>
      <c r="N13601" s="27">
        <v>0.10786982579192485</v>
      </c>
    </row>
    <row r="13602" spans="1:14" hidden="1" outlineLevel="1" x14ac:dyDescent="0.2">
      <c r="A13602" s="28" t="s">
        <v>52</v>
      </c>
      <c r="B13602" s="28" t="s">
        <v>52</v>
      </c>
      <c r="C13602" s="28" t="s">
        <v>52</v>
      </c>
      <c r="D13602" s="22" t="s">
        <v>15778</v>
      </c>
      <c r="E13602" s="22" t="s">
        <v>52</v>
      </c>
      <c r="F13602" s="23" t="str">
        <f t="shared" si="701"/>
        <v>Услуги частных охранных служб</v>
      </c>
      <c r="G13602" s="22" t="s">
        <v>52</v>
      </c>
      <c r="H13602" s="22" t="s">
        <v>52</v>
      </c>
      <c r="I13602" s="26">
        <v>43523.604861111096</v>
      </c>
      <c r="J13602" s="23" t="str">
        <f>HYPERLINK("https://www.spark-marketing.ru/Card/Person/565263", "ООО ЧОП ""ГРАНИТ""")</f>
        <v>ООО ЧОП "ГРАНИТ"</v>
      </c>
      <c r="K13602" s="24" t="s">
        <v>15786</v>
      </c>
      <c r="L13602" s="22" t="s">
        <v>10</v>
      </c>
      <c r="M13602" s="25">
        <v>2217761.71</v>
      </c>
      <c r="N13602" s="27">
        <v>0.13831361332697897</v>
      </c>
    </row>
    <row r="13603" spans="1:14" hidden="1" outlineLevel="1" x14ac:dyDescent="0.2">
      <c r="A13603" s="28" t="s">
        <v>52</v>
      </c>
      <c r="B13603" s="28" t="s">
        <v>52</v>
      </c>
      <c r="C13603" s="28" t="s">
        <v>52</v>
      </c>
      <c r="D13603" s="22" t="s">
        <v>15778</v>
      </c>
      <c r="E13603" s="22" t="s">
        <v>52</v>
      </c>
      <c r="F13603" s="23" t="str">
        <f t="shared" si="701"/>
        <v>Услуги частных охранных служб</v>
      </c>
      <c r="G13603" s="22" t="s">
        <v>52</v>
      </c>
      <c r="H13603" s="22" t="s">
        <v>52</v>
      </c>
      <c r="I13603" s="26">
        <v>43523.604861111096</v>
      </c>
      <c r="J13603" s="23" t="str">
        <f>HYPERLINK("https://www.spark-marketing.ru/Card/Person/63999", "ООО ЧОП ""МАНГУСТ-НТ""")</f>
        <v>ООО ЧОП "МАНГУСТ-НТ"</v>
      </c>
      <c r="K13603" s="24" t="s">
        <v>15787</v>
      </c>
      <c r="L13603" s="28" t="s">
        <v>52</v>
      </c>
      <c r="M13603" s="25">
        <v>2230630.44</v>
      </c>
      <c r="N13603" s="27">
        <v>0.13331361291901325</v>
      </c>
    </row>
    <row r="13604" spans="1:14" x14ac:dyDescent="0.15">
      <c r="A13604" s="23" t="str">
        <f t="shared" ref="A13604:A13609" si="702">HYPERLINK("https://www.spark-marketing.ru/Card/Person/90885", "ГБДОУ ДЕТСКИЙ САД № 107 МОСКОВСКОГО РАЙОНА САНКТ-ПЕТЕРБУРГА")</f>
        <v>ГБДОУ ДЕТСКИЙ САД № 107 МОСКОВСКОГО РАЙОНА САНКТ-ПЕТЕРБУРГА</v>
      </c>
      <c r="B13604" s="24" t="s">
        <v>15788</v>
      </c>
      <c r="C13604" s="25">
        <v>198880</v>
      </c>
      <c r="D13604" s="22" t="s">
        <v>15789</v>
      </c>
      <c r="E13604" s="22" t="s">
        <v>487</v>
      </c>
      <c r="F13604" s="23" t="str">
        <f t="shared" ref="F13604:F13609" si="703">HYPERLINK("https://www.spark-marketing.ru/Card/Lot/68306662", "Поставка блок-контейнера (будка охраны) для ГБДОУ детский сад № 107 Московского района Санкт-Петербурга в 2019 году")</f>
        <v>Поставка блок-контейнера (будка охраны) для ГБДОУ детский сад № 107 Московского района Санкт-Петербурга в 2019 году</v>
      </c>
      <c r="G13604" s="22" t="s">
        <v>89</v>
      </c>
      <c r="H13604" s="22" t="s">
        <v>89</v>
      </c>
      <c r="I13604" s="26">
        <v>43523.559027777803</v>
      </c>
      <c r="J13604" s="28" t="s">
        <v>52</v>
      </c>
      <c r="K13604" s="28" t="s">
        <v>52</v>
      </c>
      <c r="L13604" s="28" t="s">
        <v>52</v>
      </c>
      <c r="M13604" s="28" t="s">
        <v>52</v>
      </c>
      <c r="N13604" s="28" t="s">
        <v>52</v>
      </c>
    </row>
    <row r="13605" spans="1:14" hidden="1" outlineLevel="1" x14ac:dyDescent="0.2">
      <c r="A13605" s="23" t="str">
        <f t="shared" si="702"/>
        <v>ГБДОУ ДЕТСКИЙ САД № 107 МОСКОВСКОГО РАЙОНА САНКТ-ПЕТЕРБУРГА</v>
      </c>
      <c r="B13605" s="24" t="s">
        <v>15788</v>
      </c>
      <c r="C13605" s="25">
        <v>198880</v>
      </c>
      <c r="D13605" s="22" t="s">
        <v>15789</v>
      </c>
      <c r="E13605" s="22" t="s">
        <v>487</v>
      </c>
      <c r="F13605" s="23" t="str">
        <f t="shared" si="703"/>
        <v>Поставка блок-контейнера (будка охраны) для ГБДОУ детский сад № 107 Московского района Санкт-Петербурга в 2019 году</v>
      </c>
      <c r="G13605" s="22" t="s">
        <v>89</v>
      </c>
      <c r="H13605" s="22" t="s">
        <v>89</v>
      </c>
      <c r="I13605" s="26">
        <v>43523.559027777803</v>
      </c>
      <c r="J13605" s="23" t="str">
        <f>HYPERLINK("https://www.spark-marketing.ru/Card/Person/411796", "ООО ""СПЕЦСТАЛЬКОНСТРУКЦИЯ""")</f>
        <v>ООО "СПЕЦСТАЛЬКОНСТРУКЦИЯ"</v>
      </c>
      <c r="K13605" s="24" t="s">
        <v>2770</v>
      </c>
      <c r="L13605" s="28" t="s">
        <v>52</v>
      </c>
      <c r="M13605" s="25">
        <v>163000</v>
      </c>
      <c r="N13605" s="27">
        <v>0.18041029766693484</v>
      </c>
    </row>
    <row r="13606" spans="1:14" hidden="1" outlineLevel="1" x14ac:dyDescent="0.2">
      <c r="A13606" s="23" t="str">
        <f t="shared" si="702"/>
        <v>ГБДОУ ДЕТСКИЙ САД № 107 МОСКОВСКОГО РАЙОНА САНКТ-ПЕТЕРБУРГА</v>
      </c>
      <c r="B13606" s="24" t="s">
        <v>15788</v>
      </c>
      <c r="C13606" s="25">
        <v>198880</v>
      </c>
      <c r="D13606" s="22" t="s">
        <v>15789</v>
      </c>
      <c r="E13606" s="22" t="s">
        <v>487</v>
      </c>
      <c r="F13606" s="23" t="str">
        <f t="shared" si="703"/>
        <v>Поставка блок-контейнера (будка охраны) для ГБДОУ детский сад № 107 Московского района Санкт-Петербурга в 2019 году</v>
      </c>
      <c r="G13606" s="22" t="s">
        <v>89</v>
      </c>
      <c r="H13606" s="22" t="s">
        <v>89</v>
      </c>
      <c r="I13606" s="26">
        <v>43523.559027777803</v>
      </c>
      <c r="J13606" s="23" t="str">
        <f>HYPERLINK("https://www.spark-marketing.ru/Card/Person/1927710", "Трушков Сергей Анатольевич")</f>
        <v>Трушков Сергей Анатольевич</v>
      </c>
      <c r="K13606" s="24" t="s">
        <v>15790</v>
      </c>
      <c r="L13606" s="28" t="s">
        <v>52</v>
      </c>
      <c r="M13606" s="25">
        <v>125000</v>
      </c>
      <c r="N13606" s="27">
        <v>0.37148028962188256</v>
      </c>
    </row>
    <row r="13607" spans="1:14" hidden="1" outlineLevel="1" x14ac:dyDescent="0.2">
      <c r="A13607" s="23" t="str">
        <f t="shared" si="702"/>
        <v>ГБДОУ ДЕТСКИЙ САД № 107 МОСКОВСКОГО РАЙОНА САНКТ-ПЕТЕРБУРГА</v>
      </c>
      <c r="B13607" s="24" t="s">
        <v>15788</v>
      </c>
      <c r="C13607" s="25">
        <v>198880</v>
      </c>
      <c r="D13607" s="22" t="s">
        <v>15789</v>
      </c>
      <c r="E13607" s="22" t="s">
        <v>487</v>
      </c>
      <c r="F13607" s="23" t="str">
        <f t="shared" si="703"/>
        <v>Поставка блок-контейнера (будка охраны) для ГБДОУ детский сад № 107 Московского района Санкт-Петербурга в 2019 году</v>
      </c>
      <c r="G13607" s="22" t="s">
        <v>89</v>
      </c>
      <c r="H13607" s="22" t="s">
        <v>89</v>
      </c>
      <c r="I13607" s="26">
        <v>43523.559027777803</v>
      </c>
      <c r="J13607" s="23" t="str">
        <f>HYPERLINK("https://www.spark-marketing.ru/Card/Person/6063325", "Беспамятнов Артем Игоревич")</f>
        <v>Беспамятнов Артем Игоревич</v>
      </c>
      <c r="K13607" s="24" t="s">
        <v>7668</v>
      </c>
      <c r="L13607" s="28" t="s">
        <v>52</v>
      </c>
      <c r="M13607" s="25">
        <v>154050.4</v>
      </c>
      <c r="N13607" s="27">
        <v>0.22541029766693482</v>
      </c>
    </row>
    <row r="13608" spans="1:14" hidden="1" outlineLevel="1" x14ac:dyDescent="0.2">
      <c r="A13608" s="23" t="str">
        <f t="shared" si="702"/>
        <v>ГБДОУ ДЕТСКИЙ САД № 107 МОСКОВСКОГО РАЙОНА САНКТ-ПЕТЕРБУРГА</v>
      </c>
      <c r="B13608" s="24" t="s">
        <v>15788</v>
      </c>
      <c r="C13608" s="25">
        <v>198880</v>
      </c>
      <c r="D13608" s="22" t="s">
        <v>15789</v>
      </c>
      <c r="E13608" s="22" t="s">
        <v>487</v>
      </c>
      <c r="F13608" s="23" t="str">
        <f t="shared" si="703"/>
        <v>Поставка блок-контейнера (будка охраны) для ГБДОУ детский сад № 107 Московского района Санкт-Петербурга в 2019 году</v>
      </c>
      <c r="G13608" s="22" t="s">
        <v>89</v>
      </c>
      <c r="H13608" s="22" t="s">
        <v>89</v>
      </c>
      <c r="I13608" s="26">
        <v>43523.559027777803</v>
      </c>
      <c r="J13608" s="23" t="str">
        <f>HYPERLINK("https://www.spark-marketing.ru/Card/Person/4359038", "ООО ""ТД ""ДИАКОМ""")</f>
        <v>ООО "ТД "ДИАКОМ"</v>
      </c>
      <c r="K13608" s="24" t="s">
        <v>7577</v>
      </c>
      <c r="L13608" s="28" t="s">
        <v>52</v>
      </c>
      <c r="M13608" s="25">
        <v>185952.8</v>
      </c>
      <c r="N13608" s="27">
        <v>6.5000000000000002E-2</v>
      </c>
    </row>
    <row r="13609" spans="1:14" ht="12.75" hidden="1" outlineLevel="1" x14ac:dyDescent="0.2">
      <c r="A13609" s="23" t="str">
        <f t="shared" si="702"/>
        <v>ГБДОУ ДЕТСКИЙ САД № 107 МОСКОВСКОГО РАЙОНА САНКТ-ПЕТЕРБУРГА</v>
      </c>
      <c r="B13609" s="24" t="s">
        <v>15788</v>
      </c>
      <c r="C13609" s="25">
        <v>198880</v>
      </c>
      <c r="D13609" s="22" t="s">
        <v>15789</v>
      </c>
      <c r="E13609" s="22" t="s">
        <v>487</v>
      </c>
      <c r="F13609" s="23" t="str">
        <f t="shared" si="703"/>
        <v>Поставка блок-контейнера (будка охраны) для ГБДОУ детский сад № 107 Московского района Санкт-Петербурга в 2019 году</v>
      </c>
      <c r="G13609" s="22" t="s">
        <v>89</v>
      </c>
      <c r="H13609" s="22" t="s">
        <v>89</v>
      </c>
      <c r="I13609" s="26">
        <v>43523.559027777803</v>
      </c>
      <c r="J13609" s="23" t="str">
        <f>HYPERLINK("https://www.spark-marketing.ru/Card/Person/6171206", "ООО ""ДЕТИНЕЦ ПРОИЗВОДСТВО""")</f>
        <v>ООО "ДЕТИНЕЦ ПРОИЗВОДСТВО"</v>
      </c>
      <c r="K13609" s="24" t="s">
        <v>15288</v>
      </c>
      <c r="L13609" s="22" t="s">
        <v>10</v>
      </c>
      <c r="M13609" s="25">
        <v>124005.6</v>
      </c>
      <c r="N13609" s="27">
        <v>0.37648028962188257</v>
      </c>
    </row>
    <row r="13610" spans="1:14" x14ac:dyDescent="0.15">
      <c r="A13610" s="23" t="str">
        <f>HYPERLINK("https://www.spark-marketing.ru/Card/Person/122438", "ФКУ ЦИТОВ УФСИН РОССИИ ПО КАЛИНИНГРАДСКОЙ ОБЛАСТИ")</f>
        <v>ФКУ ЦИТОВ УФСИН РОССИИ ПО КАЛИНИНГРАДСКОЙ ОБЛАСТИ</v>
      </c>
      <c r="B13610" s="24" t="s">
        <v>15791</v>
      </c>
      <c r="C13610" s="25">
        <v>39500</v>
      </c>
      <c r="D13610" s="22" t="s">
        <v>15792</v>
      </c>
      <c r="E13610" s="22" t="s">
        <v>53</v>
      </c>
      <c r="F13610" s="23" t="str">
        <f>HYPERLINK("https://www.spark-marketing.ru/Card/Lot/70797615", "Поставка инструментов, необходимых для проведения технического обслуживания технических средств охраны и надзора для учреждений УФСИН России по Калининградской области")</f>
        <v>Поставка инструментов, необходимых для проведения технического обслуживания технических средств охраны и надзора для учреждений УФСИН России по Калининградской области</v>
      </c>
      <c r="G13610" s="22" t="s">
        <v>247</v>
      </c>
      <c r="H13610" s="22" t="s">
        <v>576</v>
      </c>
      <c r="I13610" s="26">
        <v>43523.551064814797</v>
      </c>
      <c r="J13610" s="28" t="s">
        <v>52</v>
      </c>
      <c r="K13610" s="28" t="s">
        <v>52</v>
      </c>
      <c r="L13610" s="28" t="s">
        <v>52</v>
      </c>
      <c r="M13610" s="28" t="s">
        <v>52</v>
      </c>
      <c r="N13610" s="28" t="s">
        <v>52</v>
      </c>
    </row>
    <row r="13611" spans="1:14" x14ac:dyDescent="0.15">
      <c r="A13611" s="23" t="str">
        <f>HYPERLINK("https://www.spark-marketing.ru/Card/Person/122438", "ФКУ ЦИТОВ УФСИН РОССИИ ПО КАЛИНИНГРАДСКОЙ ОБЛАСТИ")</f>
        <v>ФКУ ЦИТОВ УФСИН РОССИИ ПО КАЛИНИНГРАДСКОЙ ОБЛАСТИ</v>
      </c>
      <c r="B13611" s="24" t="s">
        <v>15791</v>
      </c>
      <c r="C13611" s="25">
        <v>50600</v>
      </c>
      <c r="D13611" s="22" t="s">
        <v>15793</v>
      </c>
      <c r="E13611" s="22" t="s">
        <v>53</v>
      </c>
      <c r="F13611" s="23" t="str">
        <f>HYPERLINK("https://www.spark-marketing.ru/Card/Lot/70797540", "Поставка инструментов, необходимых для проведения технического обслуживания технических средств охраны и надзора для учреждений УФСИН России по Калининградской области")</f>
        <v>Поставка инструментов, необходимых для проведения технического обслуживания технических средств охраны и надзора для учреждений УФСИН России по Калининградской области</v>
      </c>
      <c r="G13611" s="22" t="s">
        <v>247</v>
      </c>
      <c r="H13611" s="22" t="s">
        <v>576</v>
      </c>
      <c r="I13611" s="26">
        <v>43523.544050925899</v>
      </c>
      <c r="J13611" s="28" t="s">
        <v>52</v>
      </c>
      <c r="K13611" s="28" t="s">
        <v>52</v>
      </c>
      <c r="L13611" s="28" t="s">
        <v>52</v>
      </c>
      <c r="M13611" s="28" t="s">
        <v>52</v>
      </c>
      <c r="N13611" s="28" t="s">
        <v>52</v>
      </c>
    </row>
    <row r="13612" spans="1:14" x14ac:dyDescent="0.15">
      <c r="A13612" s="23" t="str">
        <f>HYPERLINK("https://www.spark-marketing.ru/Card/Person/4344034", "ПУ ФСБ РОССИИ ПО РЕСПУБЛИКЕ СЕВЕРНАЯ ОСЕТИЯ - АЛАНИЯ")</f>
        <v>ПУ ФСБ РОССИИ ПО РЕСПУБЛИКЕ СЕВЕРНАЯ ОСЕТИЯ - АЛАНИЯ</v>
      </c>
      <c r="B13612" s="24" t="s">
        <v>15794</v>
      </c>
      <c r="C13612" s="25">
        <v>1000000</v>
      </c>
      <c r="D13612" s="22" t="s">
        <v>15795</v>
      </c>
      <c r="E13612" s="22" t="s">
        <v>208</v>
      </c>
      <c r="F13612" s="23" t="str">
        <f>HYPERLINK("https://www.spark-marketing.ru/Card/Lot/68305787", "Поставка ЗИП к комплексу инженерно-технических средств охраны и защиты объектов Управления")</f>
        <v>Поставка ЗИП к комплексу инженерно-технических средств охраны и защиты объектов Управления</v>
      </c>
      <c r="G13612" s="22" t="s">
        <v>833</v>
      </c>
      <c r="H13612" s="22" t="s">
        <v>833</v>
      </c>
      <c r="I13612" s="26">
        <v>43523.565972222197</v>
      </c>
      <c r="J13612" s="28" t="s">
        <v>52</v>
      </c>
      <c r="K13612" s="28" t="s">
        <v>52</v>
      </c>
      <c r="L13612" s="28" t="s">
        <v>52</v>
      </c>
      <c r="M13612" s="28" t="s">
        <v>52</v>
      </c>
      <c r="N13612" s="28" t="s">
        <v>52</v>
      </c>
    </row>
    <row r="13613" spans="1:14" x14ac:dyDescent="0.15">
      <c r="A13613" s="23" t="str">
        <f t="shared" ref="A13613:A13618" si="704">HYPERLINK("https://www.spark-marketing.ru/Card/Person/128223", "ТОСП Подольское УСЗН МСР МО")</f>
        <v>ТОСП Подольское УСЗН МСР МО</v>
      </c>
      <c r="B13613" s="24" t="s">
        <v>9585</v>
      </c>
      <c r="C13613" s="25">
        <v>42000</v>
      </c>
      <c r="D13613" s="22" t="s">
        <v>15796</v>
      </c>
      <c r="E13613" s="22" t="s">
        <v>103</v>
      </c>
      <c r="F13613" s="23" t="str">
        <f t="shared" ref="F13613:F13618" si="705">HYPERLINK("https://www.spark-marketing.ru/Card/Lot/68302885", "Услуги по техническому обслуживанию системы видеонаблюдения")</f>
        <v>Услуги по техническому обслуживанию системы видеонаблюдения</v>
      </c>
      <c r="G13613" s="22" t="s">
        <v>50</v>
      </c>
      <c r="H13613" s="22" t="s">
        <v>938</v>
      </c>
      <c r="I13613" s="26">
        <v>43523.577777777798</v>
      </c>
      <c r="J13613" s="28" t="s">
        <v>52</v>
      </c>
      <c r="K13613" s="28" t="s">
        <v>52</v>
      </c>
      <c r="L13613" s="28" t="s">
        <v>52</v>
      </c>
      <c r="M13613" s="28" t="s">
        <v>52</v>
      </c>
      <c r="N13613" s="28" t="s">
        <v>52</v>
      </c>
    </row>
    <row r="13614" spans="1:14" ht="12.75" hidden="1" outlineLevel="1" x14ac:dyDescent="0.2">
      <c r="A13614" s="23" t="str">
        <f t="shared" si="704"/>
        <v>ТОСП Подольское УСЗН МСР МО</v>
      </c>
      <c r="B13614" s="24" t="s">
        <v>9585</v>
      </c>
      <c r="C13614" s="25">
        <v>42000</v>
      </c>
      <c r="D13614" s="22" t="s">
        <v>15796</v>
      </c>
      <c r="E13614" s="22" t="s">
        <v>103</v>
      </c>
      <c r="F13614" s="23" t="str">
        <f t="shared" si="705"/>
        <v>Услуги по техническому обслуживанию системы видеонаблюдения</v>
      </c>
      <c r="G13614" s="22" t="s">
        <v>50</v>
      </c>
      <c r="H13614" s="22" t="s">
        <v>938</v>
      </c>
      <c r="I13614" s="26">
        <v>43523.577777777798</v>
      </c>
      <c r="J13614" s="23" t="str">
        <f>HYPERLINK("https://www.spark-marketing.ru/Card/Person/4425125", "Кузнецова Юлия Владимировна")</f>
        <v>Кузнецова Юлия Владимировна</v>
      </c>
      <c r="K13614" s="24" t="s">
        <v>15797</v>
      </c>
      <c r="L13614" s="22" t="s">
        <v>10</v>
      </c>
      <c r="M13614" s="25">
        <v>14700</v>
      </c>
      <c r="N13614" s="27">
        <v>0.65</v>
      </c>
    </row>
    <row r="13615" spans="1:14" hidden="1" outlineLevel="1" x14ac:dyDescent="0.2">
      <c r="A13615" s="23" t="str">
        <f t="shared" si="704"/>
        <v>ТОСП Подольское УСЗН МСР МО</v>
      </c>
      <c r="B13615" s="24" t="s">
        <v>9585</v>
      </c>
      <c r="C13615" s="25">
        <v>42000</v>
      </c>
      <c r="D13615" s="22" t="s">
        <v>15796</v>
      </c>
      <c r="E13615" s="22" t="s">
        <v>103</v>
      </c>
      <c r="F13615" s="23" t="str">
        <f t="shared" si="705"/>
        <v>Услуги по техническому обслуживанию системы видеонаблюдения</v>
      </c>
      <c r="G13615" s="22" t="s">
        <v>50</v>
      </c>
      <c r="H13615" s="22" t="s">
        <v>938</v>
      </c>
      <c r="I13615" s="26">
        <v>43523.577777777798</v>
      </c>
      <c r="J13615" s="23" t="str">
        <f>HYPERLINK("https://www.spark-marketing.ru/Card/Person/6399646", "Заика Олег Иванович")</f>
        <v>Заика Олег Иванович</v>
      </c>
      <c r="K13615" s="24" t="s">
        <v>3506</v>
      </c>
      <c r="L13615" s="28" t="s">
        <v>52</v>
      </c>
      <c r="M13615" s="25">
        <v>14800</v>
      </c>
      <c r="N13615" s="27">
        <v>0.64761904761904765</v>
      </c>
    </row>
    <row r="13616" spans="1:14" hidden="1" outlineLevel="1" x14ac:dyDescent="0.2">
      <c r="A13616" s="23" t="str">
        <f t="shared" si="704"/>
        <v>ТОСП Подольское УСЗН МСР МО</v>
      </c>
      <c r="B13616" s="24" t="s">
        <v>9585</v>
      </c>
      <c r="C13616" s="25">
        <v>42000</v>
      </c>
      <c r="D13616" s="22" t="s">
        <v>15796</v>
      </c>
      <c r="E13616" s="22" t="s">
        <v>103</v>
      </c>
      <c r="F13616" s="23" t="str">
        <f t="shared" si="705"/>
        <v>Услуги по техническому обслуживанию системы видеонаблюдения</v>
      </c>
      <c r="G13616" s="22" t="s">
        <v>50</v>
      </c>
      <c r="H13616" s="22" t="s">
        <v>938</v>
      </c>
      <c r="I13616" s="26">
        <v>43523.577777777798</v>
      </c>
      <c r="J13616" s="23" t="str">
        <f>HYPERLINK("https://www.spark-marketing.ru/Card/Person/84001", "Агаподченко Василий Иванович")</f>
        <v>Агаподченко Василий Иванович</v>
      </c>
      <c r="K13616" s="24" t="s">
        <v>15798</v>
      </c>
      <c r="L13616" s="28" t="s">
        <v>52</v>
      </c>
      <c r="M13616" s="25">
        <v>30000</v>
      </c>
      <c r="N13616" s="27">
        <v>0.2857142857142857</v>
      </c>
    </row>
    <row r="13617" spans="1:14" hidden="1" outlineLevel="1" x14ac:dyDescent="0.2">
      <c r="A13617" s="23" t="str">
        <f t="shared" si="704"/>
        <v>ТОСП Подольское УСЗН МСР МО</v>
      </c>
      <c r="B13617" s="24" t="s">
        <v>9585</v>
      </c>
      <c r="C13617" s="25">
        <v>42000</v>
      </c>
      <c r="D13617" s="22" t="s">
        <v>15796</v>
      </c>
      <c r="E13617" s="22" t="s">
        <v>103</v>
      </c>
      <c r="F13617" s="23" t="str">
        <f t="shared" si="705"/>
        <v>Услуги по техническому обслуживанию системы видеонаблюдения</v>
      </c>
      <c r="G13617" s="22" t="s">
        <v>50</v>
      </c>
      <c r="H13617" s="22" t="s">
        <v>938</v>
      </c>
      <c r="I13617" s="26">
        <v>43523.577777777798</v>
      </c>
      <c r="J13617" s="23" t="str">
        <f>HYPERLINK("https://www.spark-marketing.ru/Card/Person/234912", "ООО ""БУМЕРАНГ-СЕРВИС""")</f>
        <v>ООО "БУМЕРАНГ-СЕРВИС"</v>
      </c>
      <c r="K13617" s="24" t="s">
        <v>15799</v>
      </c>
      <c r="L13617" s="28" t="s">
        <v>52</v>
      </c>
      <c r="M13617" s="25">
        <v>31500</v>
      </c>
      <c r="N13617" s="27">
        <v>0.25</v>
      </c>
    </row>
    <row r="13618" spans="1:14" hidden="1" outlineLevel="1" x14ac:dyDescent="0.2">
      <c r="A13618" s="23" t="str">
        <f t="shared" si="704"/>
        <v>ТОСП Подольское УСЗН МСР МО</v>
      </c>
      <c r="B13618" s="24" t="s">
        <v>9585</v>
      </c>
      <c r="C13618" s="25">
        <v>42000</v>
      </c>
      <c r="D13618" s="22" t="s">
        <v>15796</v>
      </c>
      <c r="E13618" s="22" t="s">
        <v>103</v>
      </c>
      <c r="F13618" s="23" t="str">
        <f t="shared" si="705"/>
        <v>Услуги по техническому обслуживанию системы видеонаблюдения</v>
      </c>
      <c r="G13618" s="22" t="s">
        <v>50</v>
      </c>
      <c r="H13618" s="22" t="s">
        <v>938</v>
      </c>
      <c r="I13618" s="26">
        <v>43523.577777777798</v>
      </c>
      <c r="J13618" s="23" t="str">
        <f>HYPERLINK("https://www.spark-marketing.ru/Card/Person/65028", "ООО ""ИМПУЛЬС М""")</f>
        <v>ООО "ИМПУЛЬС М"</v>
      </c>
      <c r="K13618" s="24" t="s">
        <v>7268</v>
      </c>
      <c r="L13618" s="28" t="s">
        <v>52</v>
      </c>
      <c r="M13618" s="25">
        <v>39900</v>
      </c>
      <c r="N13618" s="27">
        <v>0.05</v>
      </c>
    </row>
    <row r="13619" spans="1:14" x14ac:dyDescent="0.15">
      <c r="A13619" s="23" t="str">
        <f>HYPERLINK("https://www.spark-marketing.ru/Card/Person/122438", "ФКУ ЦИТОВ УФСИН РОССИИ ПО КАЛИНИНГРАДСКОЙ ОБЛАСТИ")</f>
        <v>ФКУ ЦИТОВ УФСИН РОССИИ ПО КАЛИНИНГРАДСКОЙ ОБЛАСТИ</v>
      </c>
      <c r="B13619" s="24" t="s">
        <v>15791</v>
      </c>
      <c r="C13619" s="25">
        <v>50000</v>
      </c>
      <c r="D13619" s="22" t="s">
        <v>15800</v>
      </c>
      <c r="E13619" s="22" t="s">
        <v>53</v>
      </c>
      <c r="F13619" s="23" t="str">
        <f>HYPERLINK("https://www.spark-marketing.ru/Card/Lot/70797532", "Поставка инструментов, необходимых для проведения технического обслуживания технических средств охраны и надзора для учреждений УФСИН России по Калининградской области")</f>
        <v>Поставка инструментов, необходимых для проведения технического обслуживания технических средств охраны и надзора для учреждений УФСИН России по Калининградской области</v>
      </c>
      <c r="G13619" s="22" t="s">
        <v>247</v>
      </c>
      <c r="H13619" s="22" t="s">
        <v>576</v>
      </c>
      <c r="I13619" s="26">
        <v>43523.536909722199</v>
      </c>
      <c r="J13619" s="28" t="s">
        <v>52</v>
      </c>
      <c r="K13619" s="28" t="s">
        <v>52</v>
      </c>
      <c r="L13619" s="28" t="s">
        <v>52</v>
      </c>
      <c r="M13619" s="28" t="s">
        <v>52</v>
      </c>
      <c r="N13619" s="28" t="s">
        <v>52</v>
      </c>
    </row>
    <row r="13620" spans="1:14" x14ac:dyDescent="0.15">
      <c r="A13620" s="23" t="str">
        <f>HYPERLINK("https://www.spark-marketing.ru/Card/Person/122438", "ФКУ ЦИТОВ УФСИН РОССИИ ПО КАЛИНИНГРАДСКОЙ ОБЛАСТИ")</f>
        <v>ФКУ ЦИТОВ УФСИН РОССИИ ПО КАЛИНИНГРАДСКОЙ ОБЛАСТИ</v>
      </c>
      <c r="B13620" s="24" t="s">
        <v>15791</v>
      </c>
      <c r="C13620" s="25">
        <v>30000</v>
      </c>
      <c r="D13620" s="22" t="s">
        <v>15801</v>
      </c>
      <c r="E13620" s="22" t="s">
        <v>53</v>
      </c>
      <c r="F13620" s="23" t="str">
        <f>HYPERLINK("https://www.spark-marketing.ru/Card/Lot/70797537", "Поставка инструментов, необходимых для проведения технического обслуживания технических средств охраны и надзора для учреждений УФСИН России по Калининградской области")</f>
        <v>Поставка инструментов, необходимых для проведения технического обслуживания технических средств охраны и надзора для учреждений УФСИН России по Калининградской области</v>
      </c>
      <c r="G13620" s="22" t="s">
        <v>247</v>
      </c>
      <c r="H13620" s="22" t="s">
        <v>576</v>
      </c>
      <c r="I13620" s="26">
        <v>43523.540173611102</v>
      </c>
      <c r="J13620" s="28" t="s">
        <v>52</v>
      </c>
      <c r="K13620" s="28" t="s">
        <v>52</v>
      </c>
      <c r="L13620" s="28" t="s">
        <v>52</v>
      </c>
      <c r="M13620" s="28" t="s">
        <v>52</v>
      </c>
      <c r="N13620" s="28" t="s">
        <v>52</v>
      </c>
    </row>
    <row r="13621" spans="1:14" x14ac:dyDescent="0.15">
      <c r="A13621" s="23" t="str">
        <f>HYPERLINK("https://www.spark-marketing.ru/Card/Person/997828", "МБОУ ""СРЕДНЯЯ ОБЩЕОБРАЗОВАТЕЛЬНАЯ ГОРОДИЩЕНСКАЯ ШКОЛА С УГЛУБЛЕННЫМ ИЗУЧЕНИЕМ ОТДЕЛЬНЫХ ПРЕДМЕТОВ""")</f>
        <v>МБОУ "СРЕДНЯЯ ОБЩЕОБРАЗОВАТЕЛЬНАЯ ГОРОДИЩЕНСКАЯ ШКОЛА С УГЛУБЛЕННЫМ ИЗУЧЕНИЕМ ОТДЕЛЬНЫХ ПРЕДМЕТОВ"</v>
      </c>
      <c r="B13621" s="24" t="s">
        <v>15802</v>
      </c>
      <c r="C13621" s="25">
        <v>22135</v>
      </c>
      <c r="D13621" s="22" t="s">
        <v>15803</v>
      </c>
      <c r="E13621" s="22" t="s">
        <v>194</v>
      </c>
      <c r="F13621" s="23" t="str">
        <f>HYPERLINK("https://www.spark-marketing.ru/Card/Lot/68296884", "Поставка и установка камер уличного видеонаблюдения")</f>
        <v>Поставка и установка камер уличного видеонаблюдения</v>
      </c>
      <c r="G13621" s="22" t="s">
        <v>176</v>
      </c>
      <c r="H13621" s="22" t="s">
        <v>15804</v>
      </c>
      <c r="I13621" s="26">
        <v>43523.529861111099</v>
      </c>
      <c r="J13621" s="28" t="s">
        <v>52</v>
      </c>
      <c r="K13621" s="28" t="s">
        <v>52</v>
      </c>
      <c r="L13621" s="28" t="s">
        <v>52</v>
      </c>
      <c r="M13621" s="28" t="s">
        <v>52</v>
      </c>
      <c r="N13621" s="28" t="s">
        <v>52</v>
      </c>
    </row>
    <row r="13622" spans="1:14" x14ac:dyDescent="0.15">
      <c r="A13622" s="23" t="str">
        <f>HYPERLINK("https://www.spark-marketing.ru/Card/Person/2300", "МКУ ГОРОДА КОСТРОМЫ ""ДОРОЖНОЕ ХОЗЯЙСТВО""")</f>
        <v>МКУ ГОРОДА КОСТРОМЫ "ДОРОЖНОЕ ХОЗЯЙСТВО"</v>
      </c>
      <c r="B13622" s="24" t="s">
        <v>15805</v>
      </c>
      <c r="C13622" s="25">
        <v>18684</v>
      </c>
      <c r="D13622" s="22" t="s">
        <v>15806</v>
      </c>
      <c r="E13622" s="22" t="s">
        <v>1622</v>
      </c>
      <c r="F13622" s="23" t="str">
        <f>HYPERLINK("https://www.spark-marketing.ru/Card/Lot/68296881", "Поставка информационных дорожных знаков")</f>
        <v>Поставка информационных дорожных знаков</v>
      </c>
      <c r="G13622" s="22" t="s">
        <v>1104</v>
      </c>
      <c r="H13622" s="22" t="s">
        <v>1105</v>
      </c>
      <c r="I13622" s="26">
        <v>43523.529166666704</v>
      </c>
      <c r="J13622" s="28" t="s">
        <v>52</v>
      </c>
      <c r="K13622" s="28" t="s">
        <v>52</v>
      </c>
      <c r="L13622" s="28" t="s">
        <v>52</v>
      </c>
      <c r="M13622" s="28" t="s">
        <v>52</v>
      </c>
      <c r="N13622" s="28" t="s">
        <v>52</v>
      </c>
    </row>
    <row r="13623" spans="1:14" x14ac:dyDescent="0.15">
      <c r="A13623" s="23" t="str">
        <f>HYPERLINK("https://www.spark-marketing.ru/Card/Person/813013", "МЕЖРАЙОННАЯ ИФНС РОССИИ № 4 ПО РЕСПУБЛИКЕ СЕВЕРНАЯ ОСЕТИЯ-АЛАНИЯ")</f>
        <v>МЕЖРАЙОННАЯ ИФНС РОССИИ № 4 ПО РЕСПУБЛИКЕ СЕВЕРНАЯ ОСЕТИЯ-АЛАНИЯ</v>
      </c>
      <c r="B13623" s="24" t="s">
        <v>15807</v>
      </c>
      <c r="C13623" s="25">
        <v>90939.24</v>
      </c>
      <c r="D13623" s="22" t="s">
        <v>15808</v>
      </c>
      <c r="E13623" s="22" t="s">
        <v>53</v>
      </c>
      <c r="F13623" s="23" t="str">
        <f>HYPERLINK("https://www.spark-marketing.ru/Card/Lot/70797524", "охранные услуги")</f>
        <v>охранные услуги</v>
      </c>
      <c r="G13623" s="22" t="s">
        <v>833</v>
      </c>
      <c r="H13623" s="22" t="s">
        <v>15809</v>
      </c>
      <c r="I13623" s="26">
        <v>43523.523194444402</v>
      </c>
      <c r="J13623" s="28" t="s">
        <v>52</v>
      </c>
      <c r="K13623" s="28" t="s">
        <v>52</v>
      </c>
      <c r="L13623" s="28" t="s">
        <v>52</v>
      </c>
      <c r="M13623" s="28" t="s">
        <v>52</v>
      </c>
      <c r="N13623" s="28" t="s">
        <v>52</v>
      </c>
    </row>
    <row r="13624" spans="1:14" ht="12.75" x14ac:dyDescent="0.2">
      <c r="A13624" s="23" t="str">
        <f>HYPERLINK("https://www.spark-marketing.ru/Card/Person/1031044", "ГБУ ТО ""ОБЪЕДИНЕНИЕ АВ И АС""")</f>
        <v>ГБУ ТО "ОБЪЕДИНЕНИЕ АВ И АС"</v>
      </c>
      <c r="B13624" s="24" t="s">
        <v>15810</v>
      </c>
      <c r="C13624" s="25">
        <v>622372.86</v>
      </c>
      <c r="D13624" s="22" t="s">
        <v>15811</v>
      </c>
      <c r="E13624" s="22" t="s">
        <v>370</v>
      </c>
      <c r="F13624" s="23" t="str">
        <f>HYPERLINK("https://www.spark-marketing.ru/Card/Lot/68290267", "Оказание услуг по осуществлению организационно-технических мероприятий планово-предупредительного характера и поддержанию комплекса технических средств охраны ГБУ ТО ""Объединение АВ и АС""")</f>
        <v>Оказание услуг по осуществлению организационно-технических мероприятий планово-предупредительного характера и поддержанию комплекса технических средств охраны ГБУ ТО "Объединение АВ и АС"</v>
      </c>
      <c r="G13624" s="22" t="s">
        <v>893</v>
      </c>
      <c r="H13624" s="22" t="s">
        <v>894</v>
      </c>
      <c r="I13624" s="26">
        <v>43523.467407407399</v>
      </c>
      <c r="J13624" s="23" t="str">
        <f>HYPERLINK("https://www.spark-marketing.ru/Card/Person/66564", "ООО ""ССС ""ГАРАНТИЯ""")</f>
        <v>ООО "ССС "ГАРАНТИЯ"</v>
      </c>
      <c r="K13624" s="24" t="s">
        <v>15812</v>
      </c>
      <c r="L13624" s="22" t="s">
        <v>10</v>
      </c>
      <c r="M13624" s="25">
        <v>270000</v>
      </c>
      <c r="N13624" s="27">
        <v>0.56617645570213326</v>
      </c>
    </row>
    <row r="13625" spans="1:14" x14ac:dyDescent="0.15">
      <c r="A13625" s="23" t="str">
        <f t="shared" ref="A13625:A13630" si="706">HYPERLINK("https://www.spark-marketing.ru/Card/Person/996400", "МУ ""ЦЕНТР""")</f>
        <v>МУ "ЦЕНТР"</v>
      </c>
      <c r="B13625" s="24" t="s">
        <v>15813</v>
      </c>
      <c r="C13625" s="25">
        <v>44250.03</v>
      </c>
      <c r="D13625" s="22" t="s">
        <v>15814</v>
      </c>
      <c r="E13625" s="22" t="s">
        <v>107</v>
      </c>
      <c r="F13625" s="23" t="str">
        <f t="shared" ref="F13625:F13630" si="707">HYPERLINK("https://www.spark-marketing.ru/Card/Lot/68290649", "Оказание услуг по техническому обслуживанию системы видеонаблюдения")</f>
        <v>Оказание услуг по техническому обслуживанию системы видеонаблюдения</v>
      </c>
      <c r="G13625" s="22" t="s">
        <v>60</v>
      </c>
      <c r="H13625" s="22" t="s">
        <v>5529</v>
      </c>
      <c r="I13625" s="26">
        <v>43523.498611111099</v>
      </c>
      <c r="J13625" s="28" t="s">
        <v>52</v>
      </c>
      <c r="K13625" s="28" t="s">
        <v>52</v>
      </c>
      <c r="L13625" s="28" t="s">
        <v>52</v>
      </c>
      <c r="M13625" s="28" t="s">
        <v>52</v>
      </c>
      <c r="N13625" s="28" t="s">
        <v>52</v>
      </c>
    </row>
    <row r="13626" spans="1:14" hidden="1" outlineLevel="1" x14ac:dyDescent="0.2">
      <c r="A13626" s="23" t="str">
        <f t="shared" si="706"/>
        <v>МУ "ЦЕНТР"</v>
      </c>
      <c r="B13626" s="24" t="s">
        <v>15813</v>
      </c>
      <c r="C13626" s="25">
        <v>44250.03</v>
      </c>
      <c r="D13626" s="22" t="s">
        <v>15814</v>
      </c>
      <c r="E13626" s="22" t="s">
        <v>107</v>
      </c>
      <c r="F13626" s="23" t="str">
        <f t="shared" si="707"/>
        <v>Оказание услуг по техническому обслуживанию системы видеонаблюдения</v>
      </c>
      <c r="G13626" s="22" t="s">
        <v>60</v>
      </c>
      <c r="H13626" s="22" t="s">
        <v>5529</v>
      </c>
      <c r="I13626" s="26">
        <v>43523.498611111099</v>
      </c>
      <c r="J13626" s="23" t="str">
        <f>HYPERLINK("https://www.spark-marketing.ru/Card/Person/5951124", "ООО ""АЛЬТА СБ""")</f>
        <v>ООО "АЛЬТА СБ"</v>
      </c>
      <c r="K13626" s="24" t="s">
        <v>15815</v>
      </c>
      <c r="L13626" s="28" t="s">
        <v>52</v>
      </c>
      <c r="M13626" s="25">
        <v>9000.0499999999993</v>
      </c>
      <c r="N13626" s="27">
        <v>0.79660917744010573</v>
      </c>
    </row>
    <row r="13627" spans="1:14" hidden="1" outlineLevel="1" x14ac:dyDescent="0.2">
      <c r="A13627" s="23" t="str">
        <f t="shared" si="706"/>
        <v>МУ "ЦЕНТР"</v>
      </c>
      <c r="B13627" s="24" t="s">
        <v>15813</v>
      </c>
      <c r="C13627" s="25">
        <v>44250.03</v>
      </c>
      <c r="D13627" s="22" t="s">
        <v>15814</v>
      </c>
      <c r="E13627" s="22" t="s">
        <v>107</v>
      </c>
      <c r="F13627" s="23" t="str">
        <f t="shared" si="707"/>
        <v>Оказание услуг по техническому обслуживанию системы видеонаблюдения</v>
      </c>
      <c r="G13627" s="22" t="s">
        <v>60</v>
      </c>
      <c r="H13627" s="22" t="s">
        <v>5529</v>
      </c>
      <c r="I13627" s="26">
        <v>43523.498611111099</v>
      </c>
      <c r="J13627" s="23" t="str">
        <f>HYPERLINK("https://www.spark-marketing.ru/Card/Person/6049626", "ООО ""ХОЛДАН""")</f>
        <v>ООО "ХОЛДАН"</v>
      </c>
      <c r="K13627" s="24" t="s">
        <v>3416</v>
      </c>
      <c r="L13627" s="28" t="s">
        <v>52</v>
      </c>
      <c r="M13627" s="25">
        <v>20151.990000000002</v>
      </c>
      <c r="N13627" s="27">
        <v>0.54458810536399638</v>
      </c>
    </row>
    <row r="13628" spans="1:14" ht="12.75" hidden="1" outlineLevel="1" x14ac:dyDescent="0.2">
      <c r="A13628" s="23" t="str">
        <f t="shared" si="706"/>
        <v>МУ "ЦЕНТР"</v>
      </c>
      <c r="B13628" s="24" t="s">
        <v>15813</v>
      </c>
      <c r="C13628" s="25">
        <v>44250.03</v>
      </c>
      <c r="D13628" s="22" t="s">
        <v>15814</v>
      </c>
      <c r="E13628" s="22" t="s">
        <v>107</v>
      </c>
      <c r="F13628" s="23" t="str">
        <f t="shared" si="707"/>
        <v>Оказание услуг по техническому обслуживанию системы видеонаблюдения</v>
      </c>
      <c r="G13628" s="22" t="s">
        <v>60</v>
      </c>
      <c r="H13628" s="22" t="s">
        <v>5529</v>
      </c>
      <c r="I13628" s="26">
        <v>43523.498611111099</v>
      </c>
      <c r="J13628" s="23" t="str">
        <f>HYPERLINK("https://www.spark-marketing.ru/Card/Person/4707357", "Бритнер Андрей Владимирович")</f>
        <v>Бритнер Андрей Владимирович</v>
      </c>
      <c r="K13628" s="24" t="s">
        <v>3409</v>
      </c>
      <c r="L13628" s="22" t="s">
        <v>10</v>
      </c>
      <c r="M13628" s="25">
        <v>8778.7900000000009</v>
      </c>
      <c r="N13628" s="27">
        <v>0.80160940003882486</v>
      </c>
    </row>
    <row r="13629" spans="1:14" hidden="1" outlineLevel="1" x14ac:dyDescent="0.2">
      <c r="A13629" s="23" t="str">
        <f t="shared" si="706"/>
        <v>МУ "ЦЕНТР"</v>
      </c>
      <c r="B13629" s="24" t="s">
        <v>15813</v>
      </c>
      <c r="C13629" s="25">
        <v>44250.03</v>
      </c>
      <c r="D13629" s="22" t="s">
        <v>15814</v>
      </c>
      <c r="E13629" s="22" t="s">
        <v>107</v>
      </c>
      <c r="F13629" s="23" t="str">
        <f t="shared" si="707"/>
        <v>Оказание услуг по техническому обслуживанию системы видеонаблюдения</v>
      </c>
      <c r="G13629" s="22" t="s">
        <v>60</v>
      </c>
      <c r="H13629" s="22" t="s">
        <v>5529</v>
      </c>
      <c r="I13629" s="26">
        <v>43523.498611111099</v>
      </c>
      <c r="J13629" s="23" t="str">
        <f>HYPERLINK("https://www.spark-marketing.ru/Card/Person/1521187", "ООО ""ВИДЛОК""")</f>
        <v>ООО "ВИДЛОК"</v>
      </c>
      <c r="K13629" s="24" t="s">
        <v>15816</v>
      </c>
      <c r="L13629" s="28" t="s">
        <v>52</v>
      </c>
      <c r="M13629" s="25">
        <v>20151.990000000002</v>
      </c>
      <c r="N13629" s="27">
        <v>0.54458810536399638</v>
      </c>
    </row>
    <row r="13630" spans="1:14" hidden="1" outlineLevel="1" x14ac:dyDescent="0.2">
      <c r="A13630" s="23" t="str">
        <f t="shared" si="706"/>
        <v>МУ "ЦЕНТР"</v>
      </c>
      <c r="B13630" s="24" t="s">
        <v>15813</v>
      </c>
      <c r="C13630" s="25">
        <v>44250.03</v>
      </c>
      <c r="D13630" s="22" t="s">
        <v>15814</v>
      </c>
      <c r="E13630" s="22" t="s">
        <v>107</v>
      </c>
      <c r="F13630" s="23" t="str">
        <f t="shared" si="707"/>
        <v>Оказание услуг по техническому обслуживанию системы видеонаблюдения</v>
      </c>
      <c r="G13630" s="22" t="s">
        <v>60</v>
      </c>
      <c r="H13630" s="22" t="s">
        <v>5529</v>
      </c>
      <c r="I13630" s="26">
        <v>43523.498611111099</v>
      </c>
      <c r="J13630" s="23" t="str">
        <f>HYPERLINK("https://www.spark-marketing.ru/Card/Person/6223189", "ООО ""ОМЕГА-ТЕХНОСЕРВИС""")</f>
        <v>ООО "ОМЕГА-ТЕХНОСЕРВИС"</v>
      </c>
      <c r="K13630" s="24" t="s">
        <v>13719</v>
      </c>
      <c r="L13630" s="28" t="s">
        <v>52</v>
      </c>
      <c r="M13630" s="25">
        <v>13778.74</v>
      </c>
      <c r="N13630" s="27">
        <v>0.68861625630536294</v>
      </c>
    </row>
    <row r="13631" spans="1:14" x14ac:dyDescent="0.15">
      <c r="A13631" s="23" t="str">
        <f>HYPERLINK("https://www.spark-marketing.ru/Card/Person/72028", "АДМИНИСТРАЦИЯ ГОРОДА ПЕРЕСВЕТ")</f>
        <v>АДМИНИСТРАЦИЯ ГОРОДА ПЕРЕСВЕТ</v>
      </c>
      <c r="B13631" s="24" t="s">
        <v>15817</v>
      </c>
      <c r="C13631" s="25">
        <v>60000</v>
      </c>
      <c r="D13631" s="22" t="s">
        <v>15818</v>
      </c>
      <c r="E13631" s="22" t="s">
        <v>84</v>
      </c>
      <c r="F13631" s="23" t="str">
        <f>HYPERLINK("https://www.spark-marketing.ru/Card/Lot/68537373", "Выполнение работ по монтажу, настройке и установке системы видеонаблюдения")</f>
        <v>Выполнение работ по монтажу, настройке и установке системы видеонаблюдения</v>
      </c>
      <c r="G13631" s="22" t="s">
        <v>50</v>
      </c>
      <c r="H13631" s="22" t="s">
        <v>326</v>
      </c>
      <c r="I13631" s="26">
        <v>43523.482511574097</v>
      </c>
      <c r="J13631" s="28" t="s">
        <v>52</v>
      </c>
      <c r="K13631" s="28" t="s">
        <v>52</v>
      </c>
      <c r="L13631" s="28" t="s">
        <v>52</v>
      </c>
      <c r="M13631" s="28" t="s">
        <v>52</v>
      </c>
      <c r="N13631" s="28" t="s">
        <v>52</v>
      </c>
    </row>
    <row r="13632" spans="1:14" x14ac:dyDescent="0.15">
      <c r="A13632" s="23" t="str">
        <f>HYPERLINK("https://www.spark-marketing.ru/Card/Person/1083180", "МБДОУ Д/С №11")</f>
        <v>МБДОУ Д/С №11</v>
      </c>
      <c r="B13632" s="24" t="s">
        <v>15819</v>
      </c>
      <c r="C13632" s="25">
        <v>22764</v>
      </c>
      <c r="D13632" s="22" t="s">
        <v>15820</v>
      </c>
      <c r="E13632" s="22" t="s">
        <v>107</v>
      </c>
      <c r="F13632" s="23" t="str">
        <f>HYPERLINK("https://www.spark-marketing.ru/Card/Lot/68537371", "Оказание услуг по периодическому техническому обслуживанию и проведению регламентных работ по системе тревожной сигнализации")</f>
        <v>Оказание услуг по периодическому техническому обслуживанию и проведению регламентных работ по системе тревожной сигнализации</v>
      </c>
      <c r="G13632" s="22" t="s">
        <v>50</v>
      </c>
      <c r="H13632" s="22" t="s">
        <v>432</v>
      </c>
      <c r="I13632" s="26">
        <v>43523.482499999998</v>
      </c>
      <c r="J13632" s="28" t="s">
        <v>52</v>
      </c>
      <c r="K13632" s="28" t="s">
        <v>52</v>
      </c>
      <c r="L13632" s="28" t="s">
        <v>52</v>
      </c>
      <c r="M13632" s="28" t="s">
        <v>52</v>
      </c>
      <c r="N13632" s="28" t="s">
        <v>52</v>
      </c>
    </row>
    <row r="13633" spans="1:14" x14ac:dyDescent="0.15">
      <c r="A13633" s="23" t="str">
        <f>HYPERLINK("https://www.spark-marketing.ru/Card/Person/38438", "МКУ ""УПРАВЛЕНИЕ ПО ДЕЛАМ АДМИНИСТРАЦИИ РАЙОНА""")</f>
        <v>МКУ "УПРАВЛЕНИЕ ПО ДЕЛАМ АДМИНИСТРАЦИИ РАЙОНА"</v>
      </c>
      <c r="B13633" s="24" t="s">
        <v>15821</v>
      </c>
      <c r="C13633" s="25">
        <v>1020369.12</v>
      </c>
      <c r="D13633" s="22" t="s">
        <v>15822</v>
      </c>
      <c r="E13633" s="22" t="s">
        <v>52</v>
      </c>
      <c r="F13633" s="23" t="str">
        <f>HYPERLINK("https://www.spark-marketing.ru/Card/Lot/68292187", "Услуги частных охранных служб")</f>
        <v>Услуги частных охранных служб</v>
      </c>
      <c r="G13633" s="22" t="s">
        <v>119</v>
      </c>
      <c r="H13633" s="22" t="s">
        <v>120</v>
      </c>
      <c r="I13633" s="26">
        <v>43523.460416666698</v>
      </c>
      <c r="J13633" s="28" t="s">
        <v>52</v>
      </c>
      <c r="K13633" s="28" t="s">
        <v>52</v>
      </c>
      <c r="L13633" s="28" t="s">
        <v>52</v>
      </c>
      <c r="M13633" s="28" t="s">
        <v>52</v>
      </c>
      <c r="N13633" s="28" t="s">
        <v>52</v>
      </c>
    </row>
    <row r="13634" spans="1:14" hidden="1" outlineLevel="1" x14ac:dyDescent="0.2">
      <c r="A13634" s="23" t="str">
        <f>HYPERLINK("https://www.spark-marketing.ru/Card/Person/38438", "МКУ ""УПРАВЛЕНИЕ ПО ДЕЛАМ АДМИНИСТРАЦИИ РАЙОНА""")</f>
        <v>МКУ "УПРАВЛЕНИЕ ПО ДЕЛАМ АДМИНИСТРАЦИИ РАЙОНА"</v>
      </c>
      <c r="B13634" s="24" t="s">
        <v>15821</v>
      </c>
      <c r="C13634" s="25">
        <v>1020369.12</v>
      </c>
      <c r="D13634" s="22" t="s">
        <v>15822</v>
      </c>
      <c r="E13634" s="22" t="s">
        <v>52</v>
      </c>
      <c r="F13634" s="23" t="str">
        <f>HYPERLINK("https://www.spark-marketing.ru/Card/Lot/68292187", "Услуги частных охранных служб")</f>
        <v>Услуги частных охранных служб</v>
      </c>
      <c r="G13634" s="22" t="s">
        <v>119</v>
      </c>
      <c r="H13634" s="22" t="s">
        <v>120</v>
      </c>
      <c r="I13634" s="26">
        <v>43523.460416666698</v>
      </c>
      <c r="J13634" s="23" t="str">
        <f>HYPERLINK("https://www.spark-marketing.ru/Card/Person/931933", "ООО ЧОО ""ПОЛЮС""")</f>
        <v>ООО ЧОО "ПОЛЮС"</v>
      </c>
      <c r="K13634" s="24" t="s">
        <v>15823</v>
      </c>
      <c r="L13634" s="28" t="s">
        <v>52</v>
      </c>
      <c r="M13634" s="25">
        <v>607119.27</v>
      </c>
      <c r="N13634" s="27">
        <v>0.40500034928536449</v>
      </c>
    </row>
    <row r="13635" spans="1:14" hidden="1" outlineLevel="1" x14ac:dyDescent="0.2">
      <c r="A13635" s="23" t="str">
        <f>HYPERLINK("https://www.spark-marketing.ru/Card/Person/38438", "МКУ ""УПРАВЛЕНИЕ ПО ДЕЛАМ АДМИНИСТРАЦИИ РАЙОНА""")</f>
        <v>МКУ "УПРАВЛЕНИЕ ПО ДЕЛАМ АДМИНИСТРАЦИИ РАЙОНА"</v>
      </c>
      <c r="B13635" s="24" t="s">
        <v>15821</v>
      </c>
      <c r="C13635" s="25">
        <v>1020369.12</v>
      </c>
      <c r="D13635" s="22" t="s">
        <v>15822</v>
      </c>
      <c r="E13635" s="22" t="s">
        <v>52</v>
      </c>
      <c r="F13635" s="23" t="str">
        <f>HYPERLINK("https://www.spark-marketing.ru/Card/Lot/68292187", "Услуги частных охранных служб")</f>
        <v>Услуги частных охранных служб</v>
      </c>
      <c r="G13635" s="22" t="s">
        <v>119</v>
      </c>
      <c r="H13635" s="22" t="s">
        <v>120</v>
      </c>
      <c r="I13635" s="26">
        <v>43523.460416666698</v>
      </c>
      <c r="J13635" s="23" t="str">
        <f>HYPERLINK("https://www.spark-marketing.ru/Card/Person/1604", "ООО ЧОО ""КРЫМ""")</f>
        <v>ООО ЧОО "КРЫМ"</v>
      </c>
      <c r="K13635" s="24" t="s">
        <v>14307</v>
      </c>
      <c r="L13635" s="28" t="s">
        <v>52</v>
      </c>
      <c r="M13635" s="25">
        <v>979554.32</v>
      </c>
      <c r="N13635" s="27">
        <v>4.0000034497319953E-2</v>
      </c>
    </row>
    <row r="13636" spans="1:14" ht="12.75" hidden="1" outlineLevel="1" x14ac:dyDescent="0.2">
      <c r="A13636" s="23" t="str">
        <f>HYPERLINK("https://www.spark-marketing.ru/Card/Person/38438", "МКУ ""УПРАВЛЕНИЕ ПО ДЕЛАМ АДМИНИСТРАЦИИ РАЙОНА""")</f>
        <v>МКУ "УПРАВЛЕНИЕ ПО ДЕЛАМ АДМИНИСТРАЦИИ РАЙОНА"</v>
      </c>
      <c r="B13636" s="24" t="s">
        <v>15821</v>
      </c>
      <c r="C13636" s="25">
        <v>1020369.12</v>
      </c>
      <c r="D13636" s="22" t="s">
        <v>15822</v>
      </c>
      <c r="E13636" s="22" t="s">
        <v>52</v>
      </c>
      <c r="F13636" s="23" t="str">
        <f>HYPERLINK("https://www.spark-marketing.ru/Card/Lot/68292187", "Услуги частных охранных служб")</f>
        <v>Услуги частных охранных служб</v>
      </c>
      <c r="G13636" s="22" t="s">
        <v>119</v>
      </c>
      <c r="H13636" s="22" t="s">
        <v>120</v>
      </c>
      <c r="I13636" s="26">
        <v>43523.460416666698</v>
      </c>
      <c r="J13636" s="23" t="str">
        <f>HYPERLINK("https://www.spark-marketing.ru/Card/Person/2512349", "ООО ЧОП ""ТАЙПАН""")</f>
        <v>ООО ЧОП "ТАЙПАН"</v>
      </c>
      <c r="K13636" s="24" t="s">
        <v>13257</v>
      </c>
      <c r="L13636" s="22" t="s">
        <v>10</v>
      </c>
      <c r="M13636" s="25">
        <v>602017.42000000004</v>
      </c>
      <c r="N13636" s="27">
        <v>0.41000035359752951</v>
      </c>
    </row>
    <row r="13637" spans="1:14" x14ac:dyDescent="0.15">
      <c r="A13637" s="23" t="str">
        <f>HYPERLINK("https://www.spark-marketing.ru/Card/Person/83845", "МДОУ ЦРР №22")</f>
        <v>МДОУ ЦРР №22</v>
      </c>
      <c r="B13637" s="24" t="s">
        <v>7111</v>
      </c>
      <c r="C13637" s="25">
        <v>38478</v>
      </c>
      <c r="D13637" s="22" t="s">
        <v>15824</v>
      </c>
      <c r="E13637" s="22" t="s">
        <v>103</v>
      </c>
      <c r="F13637" s="23" t="str">
        <f>HYPERLINK("https://www.spark-marketing.ru/Card/Lot/68539398", "услуги по техническому обслуживанию системы видеонаблюдения")</f>
        <v>услуги по техническому обслуживанию системы видеонаблюдения</v>
      </c>
      <c r="G13637" s="22" t="s">
        <v>50</v>
      </c>
      <c r="H13637" s="22" t="s">
        <v>7113</v>
      </c>
      <c r="I13637" s="26">
        <v>43523.4197569444</v>
      </c>
      <c r="J13637" s="28" t="s">
        <v>52</v>
      </c>
      <c r="K13637" s="28" t="s">
        <v>52</v>
      </c>
      <c r="L13637" s="28" t="s">
        <v>52</v>
      </c>
      <c r="M13637" s="28" t="s">
        <v>52</v>
      </c>
      <c r="N13637" s="28" t="s">
        <v>52</v>
      </c>
    </row>
    <row r="13638" spans="1:14" x14ac:dyDescent="0.15">
      <c r="A13638" s="23" t="str">
        <f>HYPERLINK("https://www.spark-marketing.ru/Card/Person/99959", "ГБОУ ШКОЛА № 420 САНКТ-ПЕТЕРБУРГА")</f>
        <v>ГБОУ ШКОЛА № 420 САНКТ-ПЕТЕРБУРГА</v>
      </c>
      <c r="B13638" s="24" t="s">
        <v>15825</v>
      </c>
      <c r="C13638" s="25">
        <v>561411</v>
      </c>
      <c r="D13638" s="22" t="s">
        <v>15826</v>
      </c>
      <c r="E13638" s="22" t="s">
        <v>68</v>
      </c>
      <c r="F13638" s="23" t="str">
        <f>HYPERLINK("https://www.spark-marketing.ru/Card/Lot/68293639", "Оказание услуг по организации и обеспечению охраны объекта и имущества, а также обеспечение внутриобъектового и пропускного режима на объекте, в отношении которого установлены обязательные для выполнения требования к антитеррористической защищенности...")</f>
        <v>Оказание услуг по организации и обеспечению охраны объекта и имущества, а также обеспечение внутриобъектового и пропускного режима на объекте, в отношении которого установлены обязательные для выполнения требования к антитеррористической защищенности...</v>
      </c>
      <c r="G13638" s="22" t="s">
        <v>89</v>
      </c>
      <c r="H13638" s="22" t="s">
        <v>89</v>
      </c>
      <c r="I13638" s="26">
        <v>43523.444444444402</v>
      </c>
      <c r="J13638" s="23" t="str">
        <f>HYPERLINK("https://www.spark-marketing.ru/Card/Person/27570", "ООО ""ОО ""ИНСАР""")</f>
        <v>ООО "ОО "ИНСАР"</v>
      </c>
      <c r="K13638" s="24" t="s">
        <v>6890</v>
      </c>
      <c r="L13638" s="28" t="s">
        <v>52</v>
      </c>
      <c r="M13638" s="28" t="s">
        <v>52</v>
      </c>
      <c r="N13638" s="28" t="s">
        <v>52</v>
      </c>
    </row>
    <row r="13639" spans="1:14" ht="12.75" hidden="1" outlineLevel="1" x14ac:dyDescent="0.2">
      <c r="A13639" s="23" t="str">
        <f>HYPERLINK("https://www.spark-marketing.ru/Card/Person/99959", "ГБОУ ШКОЛА № 420 САНКТ-ПЕТЕРБУРГА")</f>
        <v>ГБОУ ШКОЛА № 420 САНКТ-ПЕТЕРБУРГА</v>
      </c>
      <c r="B13639" s="24" t="s">
        <v>15825</v>
      </c>
      <c r="C13639" s="25">
        <v>561411</v>
      </c>
      <c r="D13639" s="22" t="s">
        <v>15826</v>
      </c>
      <c r="E13639" s="22" t="s">
        <v>68</v>
      </c>
      <c r="F13639" s="23" t="str">
        <f>HYPERLINK("https://www.spark-marketing.ru/Card/Lot/68293639", "Оказание услуг по организации и обеспечению охраны объекта и имущества, а также обеспечение внутриобъектового и пропускного режима на объекте, в отношении которого установлены обязательные для выполнения требования к антитеррористической защищенности...")</f>
        <v>Оказание услуг по организации и обеспечению охраны объекта и имущества, а также обеспечение внутриобъектового и пропускного режима на объекте, в отношении которого установлены обязательные для выполнения требования к антитеррористической защищенности...</v>
      </c>
      <c r="G13639" s="22" t="s">
        <v>89</v>
      </c>
      <c r="H13639" s="22" t="s">
        <v>89</v>
      </c>
      <c r="I13639" s="26">
        <v>43523.444444444402</v>
      </c>
      <c r="J13639" s="23" t="str">
        <f>HYPERLINK("https://www.spark-marketing.ru/Card/Person/27570", "ООО ""ОО ""ИНСАР""")</f>
        <v>ООО "ОО "ИНСАР"</v>
      </c>
      <c r="K13639" s="24" t="s">
        <v>6890</v>
      </c>
      <c r="L13639" s="22" t="s">
        <v>10</v>
      </c>
      <c r="M13639" s="25">
        <v>558603.93999999994</v>
      </c>
      <c r="N13639" s="27">
        <v>5.0000089061311591E-3</v>
      </c>
    </row>
    <row r="13640" spans="1:14" x14ac:dyDescent="0.15">
      <c r="A13640" s="23" t="str">
        <f>HYPERLINK("https://www.spark-marketing.ru/Card/Person/13397", "ГБУЗ НО ""ГОРОДСКАЯ БОЛЬНИЦА № 33""")</f>
        <v>ГБУЗ НО "ГОРОДСКАЯ БОЛЬНИЦА № 33"</v>
      </c>
      <c r="B13640" s="24" t="s">
        <v>10786</v>
      </c>
      <c r="C13640" s="25">
        <v>257541.12</v>
      </c>
      <c r="D13640" s="22" t="s">
        <v>15827</v>
      </c>
      <c r="E13640" s="22" t="s">
        <v>68</v>
      </c>
      <c r="F13640" s="23" t="str">
        <f>HYPERLINK("https://www.spark-marketing.ru/Card/Lot/68296231", "Оказание охранных услуг")</f>
        <v>Оказание охранных услуг</v>
      </c>
      <c r="G13640" s="22" t="s">
        <v>64</v>
      </c>
      <c r="H13640" s="22" t="s">
        <v>64</v>
      </c>
      <c r="I13640" s="26">
        <v>43523.4506944444</v>
      </c>
      <c r="J13640" s="28" t="s">
        <v>52</v>
      </c>
      <c r="K13640" s="28" t="s">
        <v>52</v>
      </c>
      <c r="L13640" s="28" t="s">
        <v>52</v>
      </c>
      <c r="M13640" s="28" t="s">
        <v>52</v>
      </c>
      <c r="N13640" s="28" t="s">
        <v>52</v>
      </c>
    </row>
    <row r="13641" spans="1:14" x14ac:dyDescent="0.15">
      <c r="A13641" s="23" t="str">
        <f>HYPERLINK("https://www.spark-marketing.ru/Card/Person/1035811", "ФКУ ""ГБ МСЭ ПО КОСТРОМСКОЙ ОБЛАСТИ"" МИНТРУДА РОССИИ.""")</f>
        <v>ФКУ "ГБ МСЭ ПО КОСТРОМСКОЙ ОБЛАСТИ" МИНТРУДА РОССИИ."</v>
      </c>
      <c r="B13641" s="24" t="s">
        <v>15828</v>
      </c>
      <c r="C13641" s="25">
        <v>27600</v>
      </c>
      <c r="D13641" s="22" t="s">
        <v>15829</v>
      </c>
      <c r="E13641" s="22" t="s">
        <v>53</v>
      </c>
      <c r="F13641" s="23" t="str">
        <f>HYPERLINK("https://www.spark-marketing.ru/Card/Lot/70797786", "Оказание услуг, связанных с централизованным наблюдением за объектом о состоянии технических средств охраны за объектом")</f>
        <v>Оказание услуг, связанных с централизованным наблюдением за объектом о состоянии технических средств охраны за объектом</v>
      </c>
      <c r="G13641" s="22" t="s">
        <v>1104</v>
      </c>
      <c r="H13641" s="22" t="s">
        <v>1105</v>
      </c>
      <c r="I13641" s="26">
        <v>43523.419537037</v>
      </c>
      <c r="J13641" s="28" t="s">
        <v>52</v>
      </c>
      <c r="K13641" s="28" t="s">
        <v>52</v>
      </c>
      <c r="L13641" s="28" t="s">
        <v>52</v>
      </c>
      <c r="M13641" s="28" t="s">
        <v>52</v>
      </c>
      <c r="N13641" s="28" t="s">
        <v>52</v>
      </c>
    </row>
    <row r="13642" spans="1:14" x14ac:dyDescent="0.15">
      <c r="A13642" s="23" t="str">
        <f>HYPERLINK("https://www.spark-marketing.ru/Card/Person/1004345", "ГУК ТО ""ТУЛЬСКИЙ ОБЛАСТНОЙ ЭКЗОТАРИУМ""")</f>
        <v>ГУК ТО "ТУЛЬСКИЙ ОБЛАСТНОЙ ЭКЗОТАРИУМ"</v>
      </c>
      <c r="B13642" s="24" t="s">
        <v>15830</v>
      </c>
      <c r="C13642" s="25">
        <v>710208</v>
      </c>
      <c r="D13642" s="22" t="s">
        <v>15831</v>
      </c>
      <c r="E13642" s="22" t="s">
        <v>52</v>
      </c>
      <c r="F13642" s="23" t="str">
        <f>HYPERLINK("https://www.spark-marketing.ru/Card/Lot/68291966", "Оказание охранных услуг")</f>
        <v>Оказание охранных услуг</v>
      </c>
      <c r="G13642" s="22" t="s">
        <v>818</v>
      </c>
      <c r="H13642" s="22" t="s">
        <v>819</v>
      </c>
      <c r="I13642" s="26">
        <v>43523.420833333301</v>
      </c>
      <c r="J13642" s="23" t="str">
        <f>HYPERLINK("https://www.spark-marketing.ru/Card/Person/245902", "ООО ЧОО ""ПАРТНЕР""")</f>
        <v>ООО ЧОО "ПАРТНЕР"</v>
      </c>
      <c r="K13642" s="24" t="s">
        <v>15832</v>
      </c>
      <c r="L13642" s="22" t="s">
        <v>10</v>
      </c>
      <c r="M13642" s="28" t="s">
        <v>52</v>
      </c>
      <c r="N13642" s="28" t="s">
        <v>52</v>
      </c>
    </row>
    <row r="13643" spans="1:14" x14ac:dyDescent="0.15">
      <c r="A13643" s="23" t="str">
        <f>HYPERLINK("https://www.spark-marketing.ru/Card/Person/148129", "МОУ СОШ № 4 С УГЛ. ИЗУЧЕНИЕМ ОТД. ПРЕДМ. Г. ФРЯЗИНО МО")</f>
        <v>МОУ СОШ № 4 С УГЛ. ИЗУЧЕНИЕМ ОТД. ПРЕДМ. Г. ФРЯЗИНО МО</v>
      </c>
      <c r="B13643" s="24" t="s">
        <v>15833</v>
      </c>
      <c r="C13643" s="25">
        <v>29700</v>
      </c>
      <c r="D13643" s="22" t="s">
        <v>15834</v>
      </c>
      <c r="E13643" s="22" t="s">
        <v>103</v>
      </c>
      <c r="F13643" s="23" t="str">
        <f>HYPERLINK("https://www.spark-marketing.ru/Card/Lot/68538778", "Оказание услуг по обслуживанию системы видеонаблюдения в МОУ СОШ № 4 с УИОП города Фрязино")</f>
        <v>Оказание услуг по обслуживанию системы видеонаблюдения в МОУ СОШ № 4 с УИОП города Фрязино</v>
      </c>
      <c r="G13643" s="22" t="s">
        <v>50</v>
      </c>
      <c r="H13643" s="22" t="s">
        <v>10990</v>
      </c>
      <c r="I13643" s="26">
        <v>43523.440694444398</v>
      </c>
      <c r="J13643" s="28" t="s">
        <v>52</v>
      </c>
      <c r="K13643" s="28" t="s">
        <v>52</v>
      </c>
      <c r="L13643" s="28" t="s">
        <v>52</v>
      </c>
      <c r="M13643" s="28" t="s">
        <v>52</v>
      </c>
      <c r="N13643" s="28" t="s">
        <v>52</v>
      </c>
    </row>
    <row r="13644" spans="1:14" x14ac:dyDescent="0.15">
      <c r="A13644" s="23" t="str">
        <f>HYPERLINK("https://www.spark-marketing.ru/Card/Person/178649", "КМТО ""ПРЕМЬЕРА""")</f>
        <v>КМТО "ПРЕМЬЕРА"</v>
      </c>
      <c r="B13644" s="24" t="s">
        <v>10105</v>
      </c>
      <c r="C13644" s="25">
        <v>288303</v>
      </c>
      <c r="D13644" s="22" t="s">
        <v>15835</v>
      </c>
      <c r="E13644" s="22" t="s">
        <v>144</v>
      </c>
      <c r="F13644" s="23" t="str">
        <f>HYPERLINK("https://www.spark-marketing.ru/Card/Lot/68287704", "Услуги по контролю над состоянием комплекса объектовой приемопередающей аппаратуры по оповещению служб, осуществляющих реагирование на сигналы «Тревога» и услуги по техническому обслуживанию средств охраны")</f>
        <v>Услуги по контролю над состоянием комплекса объектовой приемопередающей аппаратуры по оповещению служб, осуществляющих реагирование на сигналы «Тревога» и услуги по техническому обслуживанию средств охраны</v>
      </c>
      <c r="G13644" s="22" t="s">
        <v>132</v>
      </c>
      <c r="H13644" s="22" t="s">
        <v>132</v>
      </c>
      <c r="I13644" s="26">
        <v>43523.392500000002</v>
      </c>
      <c r="J13644" s="28" t="s">
        <v>52</v>
      </c>
      <c r="K13644" s="28" t="s">
        <v>52</v>
      </c>
      <c r="L13644" s="28" t="s">
        <v>52</v>
      </c>
      <c r="M13644" s="28" t="s">
        <v>52</v>
      </c>
      <c r="N13644" s="28" t="s">
        <v>52</v>
      </c>
    </row>
    <row r="13645" spans="1:14" x14ac:dyDescent="0.15">
      <c r="A13645" s="23" t="str">
        <f>HYPERLINK("https://www.spark-marketing.ru/Card/Person/153242", "МБУ ТАЛДОМСКИЙ ЦДК ТАЛДОМСКОГО ГОРОДСКОГО ОКРУГА МО")</f>
        <v>МБУ ТАЛДОМСКИЙ ЦДК ТАЛДОМСКОГО ГОРОДСКОГО ОКРУГА МО</v>
      </c>
      <c r="B13645" s="24" t="s">
        <v>15836</v>
      </c>
      <c r="C13645" s="25">
        <v>9000</v>
      </c>
      <c r="D13645" s="22" t="s">
        <v>15837</v>
      </c>
      <c r="E13645" s="22" t="s">
        <v>294</v>
      </c>
      <c r="F13645" s="23" t="str">
        <f>HYPERLINK("https://www.spark-marketing.ru/Card/Lot/68539309", "Обслуживание видеокамеры подключенной к системе ЕДДС для нужд МБУ Талдомский ЦДК")</f>
        <v>Обслуживание видеокамеры подключенной к системе ЕДДС для нужд МБУ Талдомский ЦДК</v>
      </c>
      <c r="G13645" s="22" t="s">
        <v>50</v>
      </c>
      <c r="H13645" s="22" t="s">
        <v>5042</v>
      </c>
      <c r="I13645" s="26">
        <v>43523.398738425902</v>
      </c>
      <c r="J13645" s="28" t="s">
        <v>52</v>
      </c>
      <c r="K13645" s="28" t="s">
        <v>52</v>
      </c>
      <c r="L13645" s="28" t="s">
        <v>52</v>
      </c>
      <c r="M13645" s="28" t="s">
        <v>52</v>
      </c>
      <c r="N13645" s="28" t="s">
        <v>52</v>
      </c>
    </row>
    <row r="13646" spans="1:14" x14ac:dyDescent="0.15">
      <c r="A13646" s="23" t="str">
        <f>HYPERLINK("https://www.spark-marketing.ru/Card/Person/30611", "МАУ СШОР № 1")</f>
        <v>МАУ СШОР № 1</v>
      </c>
      <c r="B13646" s="24" t="s">
        <v>15648</v>
      </c>
      <c r="C13646" s="25">
        <v>482973.2</v>
      </c>
      <c r="D13646" s="22" t="s">
        <v>15838</v>
      </c>
      <c r="E13646" s="22" t="s">
        <v>49</v>
      </c>
      <c r="F13646" s="23" t="str">
        <f>HYPERLINK("https://www.spark-marketing.ru/Card/Lot/68287688", "Выполнение работ по установке системы охранной сигнализации объекте МАУ СШОР № 1, город Мончегорск, Ленинградская набережная, д.4")</f>
        <v>Выполнение работ по установке системы охранной сигнализации объекте МАУ СШОР № 1, город Мончегорск, Ленинградская набережная, д.4</v>
      </c>
      <c r="G13646" s="22" t="s">
        <v>190</v>
      </c>
      <c r="H13646" s="22" t="s">
        <v>190</v>
      </c>
      <c r="I13646" s="26">
        <v>43523.389664351896</v>
      </c>
      <c r="J13646" s="28" t="s">
        <v>52</v>
      </c>
      <c r="K13646" s="28" t="s">
        <v>52</v>
      </c>
      <c r="L13646" s="28" t="s">
        <v>52</v>
      </c>
      <c r="M13646" s="28" t="s">
        <v>52</v>
      </c>
      <c r="N13646" s="28" t="s">
        <v>52</v>
      </c>
    </row>
    <row r="13647" spans="1:14" x14ac:dyDescent="0.15">
      <c r="A13647" s="23" t="str">
        <f>HYPERLINK("https://www.spark-marketing.ru/Card/Person/671200", "ГБУК ЯНАО ""ОДР""")</f>
        <v>ГБУК ЯНАО "ОДР"</v>
      </c>
      <c r="B13647" s="24" t="s">
        <v>15839</v>
      </c>
      <c r="C13647" s="25">
        <v>77400</v>
      </c>
      <c r="D13647" s="22" t="s">
        <v>15840</v>
      </c>
      <c r="E13647" s="22" t="s">
        <v>103</v>
      </c>
      <c r="F13647" s="23" t="str">
        <f>HYPERLINK("https://www.spark-marketing.ru/Card/Lot/68285702", "Оказание услуг по техническому обслуживанию видеонаблюдения")</f>
        <v>Оказание услуг по техническому обслуживанию видеонаблюдения</v>
      </c>
      <c r="G13647" s="22" t="s">
        <v>311</v>
      </c>
      <c r="H13647" s="22" t="s">
        <v>312</v>
      </c>
      <c r="I13647" s="26">
        <v>43523.397916666698</v>
      </c>
      <c r="J13647" s="28" t="s">
        <v>52</v>
      </c>
      <c r="K13647" s="28" t="s">
        <v>52</v>
      </c>
      <c r="L13647" s="28" t="s">
        <v>52</v>
      </c>
      <c r="M13647" s="28" t="s">
        <v>52</v>
      </c>
      <c r="N13647" s="28" t="s">
        <v>52</v>
      </c>
    </row>
    <row r="13648" spans="1:14" hidden="1" outlineLevel="1" x14ac:dyDescent="0.2">
      <c r="A13648" s="23" t="str">
        <f>HYPERLINK("https://www.spark-marketing.ru/Card/Person/671200", "ГБУК ЯНАО ""ОДР""")</f>
        <v>ГБУК ЯНАО "ОДР"</v>
      </c>
      <c r="B13648" s="24" t="s">
        <v>15839</v>
      </c>
      <c r="C13648" s="25">
        <v>77400</v>
      </c>
      <c r="D13648" s="22" t="s">
        <v>15840</v>
      </c>
      <c r="E13648" s="22" t="s">
        <v>103</v>
      </c>
      <c r="F13648" s="23" t="str">
        <f>HYPERLINK("https://www.spark-marketing.ru/Card/Lot/68285702", "Оказание услуг по техническому обслуживанию видеонаблюдения")</f>
        <v>Оказание услуг по техническому обслуживанию видеонаблюдения</v>
      </c>
      <c r="G13648" s="22" t="s">
        <v>311</v>
      </c>
      <c r="H13648" s="22" t="s">
        <v>312</v>
      </c>
      <c r="I13648" s="26">
        <v>43523.397916666698</v>
      </c>
      <c r="J13648" s="23" t="str">
        <f>HYPERLINK("https://www.spark-marketing.ru/Card/Person/6218803", "ООО ""СПСУ""")</f>
        <v>ООО "СПСУ"</v>
      </c>
      <c r="K13648" s="24" t="s">
        <v>11252</v>
      </c>
      <c r="L13648" s="28" t="s">
        <v>52</v>
      </c>
      <c r="M13648" s="25">
        <v>35267.379999999997</v>
      </c>
      <c r="N13648" s="27">
        <v>0.5443490956072351</v>
      </c>
    </row>
    <row r="13649" spans="1:14" ht="12.75" hidden="1" outlineLevel="1" x14ac:dyDescent="0.2">
      <c r="A13649" s="23" t="str">
        <f>HYPERLINK("https://www.spark-marketing.ru/Card/Person/671200", "ГБУК ЯНАО ""ОДР""")</f>
        <v>ГБУК ЯНАО "ОДР"</v>
      </c>
      <c r="B13649" s="24" t="s">
        <v>15839</v>
      </c>
      <c r="C13649" s="25">
        <v>77400</v>
      </c>
      <c r="D13649" s="22" t="s">
        <v>15840</v>
      </c>
      <c r="E13649" s="22" t="s">
        <v>103</v>
      </c>
      <c r="F13649" s="23" t="str">
        <f>HYPERLINK("https://www.spark-marketing.ru/Card/Lot/68285702", "Оказание услуг по техническому обслуживанию видеонаблюдения")</f>
        <v>Оказание услуг по техническому обслуживанию видеонаблюдения</v>
      </c>
      <c r="G13649" s="22" t="s">
        <v>311</v>
      </c>
      <c r="H13649" s="22" t="s">
        <v>312</v>
      </c>
      <c r="I13649" s="26">
        <v>43523.397916666698</v>
      </c>
      <c r="J13649" s="23" t="str">
        <f>HYPERLINK("https://www.spark-marketing.ru/Card/Person/6306955", "ООО ""КБ 89""")</f>
        <v>ООО "КБ 89"</v>
      </c>
      <c r="K13649" s="24" t="s">
        <v>14188</v>
      </c>
      <c r="L13649" s="22" t="s">
        <v>10</v>
      </c>
      <c r="M13649" s="25">
        <v>35267.379999999997</v>
      </c>
      <c r="N13649" s="27">
        <v>0.5443490956072351</v>
      </c>
    </row>
    <row r="13650" spans="1:14" hidden="1" outlineLevel="1" x14ac:dyDescent="0.2">
      <c r="A13650" s="23" t="str">
        <f>HYPERLINK("https://www.spark-marketing.ru/Card/Person/671200", "ГБУК ЯНАО ""ОДР""")</f>
        <v>ГБУК ЯНАО "ОДР"</v>
      </c>
      <c r="B13650" s="24" t="s">
        <v>15839</v>
      </c>
      <c r="C13650" s="25">
        <v>77400</v>
      </c>
      <c r="D13650" s="22" t="s">
        <v>15840</v>
      </c>
      <c r="E13650" s="22" t="s">
        <v>103</v>
      </c>
      <c r="F13650" s="23" t="str">
        <f>HYPERLINK("https://www.spark-marketing.ru/Card/Lot/68285702", "Оказание услуг по техническому обслуживанию видеонаблюдения")</f>
        <v>Оказание услуг по техническому обслуживанию видеонаблюдения</v>
      </c>
      <c r="G13650" s="22" t="s">
        <v>311</v>
      </c>
      <c r="H13650" s="22" t="s">
        <v>312</v>
      </c>
      <c r="I13650" s="26">
        <v>43523.397916666698</v>
      </c>
      <c r="J13650" s="23" t="str">
        <f>HYPERLINK("https://www.spark-marketing.ru/Card/Person/650636", "Заварский Сергей Юрьевич")</f>
        <v>Заварский Сергей Юрьевич</v>
      </c>
      <c r="K13650" s="24" t="s">
        <v>15841</v>
      </c>
      <c r="L13650" s="28" t="s">
        <v>52</v>
      </c>
      <c r="M13650" s="25">
        <v>56889</v>
      </c>
      <c r="N13650" s="27">
        <v>0.26500000000000001</v>
      </c>
    </row>
    <row r="13651" spans="1:14" x14ac:dyDescent="0.15">
      <c r="A13651" s="23" t="str">
        <f>HYPERLINK("https://www.spark-marketing.ru/Card/Person/53358", "ГБУЗ СО ""ТАВДИНСКАЯ ЦРБ""")</f>
        <v>ГБУЗ СО "ТАВДИНСКАЯ ЦРБ"</v>
      </c>
      <c r="B13651" s="24" t="s">
        <v>15842</v>
      </c>
      <c r="C13651" s="25">
        <v>20000</v>
      </c>
      <c r="D13651" s="22" t="s">
        <v>15843</v>
      </c>
      <c r="E13651" s="22" t="s">
        <v>208</v>
      </c>
      <c r="F13651" s="23" t="str">
        <f>HYPERLINK("https://www.spark-marketing.ru/Card/Lot/68285717", "Обслуживание тревожной сигнализации.")</f>
        <v>Обслуживание тревожной сигнализации.</v>
      </c>
      <c r="G13651" s="22" t="s">
        <v>72</v>
      </c>
      <c r="H13651" s="22" t="s">
        <v>15844</v>
      </c>
      <c r="I13651" s="26">
        <v>43523.382638888899</v>
      </c>
      <c r="J13651" s="23" t="str">
        <f>HYPERLINK("https://www.spark-marketing.ru/Card/Person/4537654", "ООО ""МАСШТАБ""")</f>
        <v>ООО "МАСШТАБ"</v>
      </c>
      <c r="K13651" s="24" t="s">
        <v>15845</v>
      </c>
      <c r="L13651" s="22" t="s">
        <v>10</v>
      </c>
      <c r="M13651" s="28" t="s">
        <v>52</v>
      </c>
      <c r="N13651" s="28" t="s">
        <v>52</v>
      </c>
    </row>
    <row r="13652" spans="1:14" x14ac:dyDescent="0.2">
      <c r="A13652" s="23" t="str">
        <f>HYPERLINK("https://www.spark-marketing.ru/Card/Person/666553", "ФГП ВО ЖДТ РОССИИ")</f>
        <v>ФГП ВО ЖДТ РОССИИ</v>
      </c>
      <c r="B13652" s="24" t="s">
        <v>1269</v>
      </c>
      <c r="C13652" s="25">
        <v>102182.52</v>
      </c>
      <c r="D13652" s="22" t="s">
        <v>15846</v>
      </c>
      <c r="E13652" s="22" t="s">
        <v>789</v>
      </c>
      <c r="F13652" s="23" t="str">
        <f>HYPERLINK("https://www.spark-marketing.ru/Card/Lot/68287589", "Техническое обслуживание комплекса технических средств охраны для нужд Сибирского отряда ВО филиала ФГП ВО ЖДТ России на Свердловской железной дороге")</f>
        <v>Техническое обслуживание комплекса технических средств охраны для нужд Сибирского отряда ВО филиала ФГП ВО ЖДТ России на Свердловской железной дороге</v>
      </c>
      <c r="G13652" s="22" t="s">
        <v>893</v>
      </c>
      <c r="H13652" s="22" t="s">
        <v>893</v>
      </c>
      <c r="I13652" s="26">
        <v>43523.375995370399</v>
      </c>
      <c r="J13652" s="23" t="str">
        <f>HYPERLINK("https://www.spark-marketing.ru/Card/Person/4891472", "ФЛ ФГУП ОХРАНА РОСГВАРДИИ ПО ХАНТЫ МАНСИЙСКОМУ АВТОНОМНОМУ ОКРУГУ ЮГРЕ")</f>
        <v>ФЛ ФГУП ОХРАНА РОСГВАРДИИ ПО ХАНТЫ МАНСИЙСКОМУ АВТОНОМНОМУ ОКРУГУ ЮГРЕ</v>
      </c>
      <c r="K13652" s="24" t="s">
        <v>779</v>
      </c>
      <c r="L13652" s="28" t="s">
        <v>52</v>
      </c>
      <c r="M13652" s="25">
        <v>102182.52</v>
      </c>
      <c r="N13652" s="27">
        <v>0</v>
      </c>
    </row>
    <row r="13653" spans="1:14" x14ac:dyDescent="0.15">
      <c r="A13653" s="23" t="str">
        <f>HYPERLINK("https://www.spark-marketing.ru/Card/Person/30611", "МАУ СШОР № 1")</f>
        <v>МАУ СШОР № 1</v>
      </c>
      <c r="B13653" s="24" t="s">
        <v>15648</v>
      </c>
      <c r="C13653" s="25">
        <v>507925.8</v>
      </c>
      <c r="D13653" s="22" t="s">
        <v>15847</v>
      </c>
      <c r="E13653" s="22" t="s">
        <v>49</v>
      </c>
      <c r="F13653" s="23" t="str">
        <f>HYPERLINK("https://www.spark-marketing.ru/Card/Lot/68287665", "Выполнение работ по установке системы охранной сигнализации объекте МАУ СШОР № 1 город Мончегорск, проспект Кирова, д.10")</f>
        <v>Выполнение работ по установке системы охранной сигнализации объекте МАУ СШОР № 1 город Мончегорск, проспект Кирова, д.10</v>
      </c>
      <c r="G13653" s="22" t="s">
        <v>190</v>
      </c>
      <c r="H13653" s="22" t="s">
        <v>190</v>
      </c>
      <c r="I13653" s="26">
        <v>43523.385370370401</v>
      </c>
      <c r="J13653" s="28" t="s">
        <v>52</v>
      </c>
      <c r="K13653" s="28" t="s">
        <v>52</v>
      </c>
      <c r="L13653" s="28" t="s">
        <v>52</v>
      </c>
      <c r="M13653" s="28" t="s">
        <v>52</v>
      </c>
      <c r="N13653" s="28" t="s">
        <v>52</v>
      </c>
    </row>
    <row r="13654" spans="1:14" x14ac:dyDescent="0.15">
      <c r="A13654" s="23" t="str">
        <f t="shared" ref="A13654:A13664" si="708">HYPERLINK("https://www.spark-marketing.ru/Card/Person/4346793", "ГКУ ""МФЦ В Г. СЕВАСТОПОЛЬ""")</f>
        <v>ГКУ "МФЦ В Г. СЕВАСТОПОЛЬ"</v>
      </c>
      <c r="B13654" s="24" t="s">
        <v>15848</v>
      </c>
      <c r="C13654" s="25">
        <v>128865</v>
      </c>
      <c r="D13654" s="22" t="s">
        <v>15849</v>
      </c>
      <c r="E13654" s="22" t="s">
        <v>103</v>
      </c>
      <c r="F13654" s="23" t="str">
        <f t="shared" ref="F13654:F13664" si="709">HYPERLINK("https://www.spark-marketing.ru/Card/Lot/68290122", "На оказание услуг по техническому обслуживанию системы видеонаблюдения")</f>
        <v>На оказание услуг по техническому обслуживанию системы видеонаблюдения</v>
      </c>
      <c r="G13654" s="22" t="s">
        <v>714</v>
      </c>
      <c r="H13654" s="22" t="s">
        <v>714</v>
      </c>
      <c r="I13654" s="26">
        <v>43523.402083333298</v>
      </c>
      <c r="J13654" s="28" t="s">
        <v>52</v>
      </c>
      <c r="K13654" s="28" t="s">
        <v>52</v>
      </c>
      <c r="L13654" s="28" t="s">
        <v>52</v>
      </c>
      <c r="M13654" s="28" t="s">
        <v>52</v>
      </c>
      <c r="N13654" s="28" t="s">
        <v>52</v>
      </c>
    </row>
    <row r="13655" spans="1:14" hidden="1" outlineLevel="1" x14ac:dyDescent="0.2">
      <c r="A13655" s="23" t="str">
        <f t="shared" si="708"/>
        <v>ГКУ "МФЦ В Г. СЕВАСТОПОЛЬ"</v>
      </c>
      <c r="B13655" s="24" t="s">
        <v>15848</v>
      </c>
      <c r="C13655" s="25">
        <v>128865</v>
      </c>
      <c r="D13655" s="22" t="s">
        <v>15849</v>
      </c>
      <c r="E13655" s="22" t="s">
        <v>103</v>
      </c>
      <c r="F13655" s="23" t="str">
        <f t="shared" si="709"/>
        <v>На оказание услуг по техническому обслуживанию системы видеонаблюдения</v>
      </c>
      <c r="G13655" s="22" t="s">
        <v>714</v>
      </c>
      <c r="H13655" s="22" t="s">
        <v>714</v>
      </c>
      <c r="I13655" s="26">
        <v>43523.402083333298</v>
      </c>
      <c r="J13655" s="23" t="str">
        <f>HYPERLINK("https://www.spark-marketing.ru/Card/Person/5890056", "Луговой Богдан Юрьевич")</f>
        <v>Луговой Богдан Юрьевич</v>
      </c>
      <c r="K13655" s="24" t="s">
        <v>14567</v>
      </c>
      <c r="L13655" s="28" t="s">
        <v>52</v>
      </c>
      <c r="M13655" s="25">
        <v>34355.67</v>
      </c>
      <c r="N13655" s="27">
        <v>0.7333979746246071</v>
      </c>
    </row>
    <row r="13656" spans="1:14" hidden="1" outlineLevel="1" x14ac:dyDescent="0.2">
      <c r="A13656" s="23" t="str">
        <f t="shared" si="708"/>
        <v>ГКУ "МФЦ В Г. СЕВАСТОПОЛЬ"</v>
      </c>
      <c r="B13656" s="24" t="s">
        <v>15848</v>
      </c>
      <c r="C13656" s="25">
        <v>128865</v>
      </c>
      <c r="D13656" s="22" t="s">
        <v>15849</v>
      </c>
      <c r="E13656" s="22" t="s">
        <v>103</v>
      </c>
      <c r="F13656" s="23" t="str">
        <f t="shared" si="709"/>
        <v>На оказание услуг по техническому обслуживанию системы видеонаблюдения</v>
      </c>
      <c r="G13656" s="22" t="s">
        <v>714</v>
      </c>
      <c r="H13656" s="22" t="s">
        <v>714</v>
      </c>
      <c r="I13656" s="26">
        <v>43523.402083333298</v>
      </c>
      <c r="J13656" s="23" t="str">
        <f>HYPERLINK("https://www.spark-marketing.ru/Card/Person/5358959", "Белов Александр Александрович")</f>
        <v>Белов Александр Александрович</v>
      </c>
      <c r="K13656" s="24" t="s">
        <v>15850</v>
      </c>
      <c r="L13656" s="28" t="s">
        <v>52</v>
      </c>
      <c r="M13656" s="25">
        <v>29845.360000000001</v>
      </c>
      <c r="N13656" s="27">
        <v>0.7683982462266713</v>
      </c>
    </row>
    <row r="13657" spans="1:14" hidden="1" outlineLevel="1" x14ac:dyDescent="0.2">
      <c r="A13657" s="23" t="str">
        <f t="shared" si="708"/>
        <v>ГКУ "МФЦ В Г. СЕВАСТОПОЛЬ"</v>
      </c>
      <c r="B13657" s="24" t="s">
        <v>15848</v>
      </c>
      <c r="C13657" s="25">
        <v>128865</v>
      </c>
      <c r="D13657" s="22" t="s">
        <v>15849</v>
      </c>
      <c r="E13657" s="22" t="s">
        <v>103</v>
      </c>
      <c r="F13657" s="23" t="str">
        <f t="shared" si="709"/>
        <v>На оказание услуг по техническому обслуживанию системы видеонаблюдения</v>
      </c>
      <c r="G13657" s="22" t="s">
        <v>714</v>
      </c>
      <c r="H13657" s="22" t="s">
        <v>714</v>
      </c>
      <c r="I13657" s="26">
        <v>43523.402083333298</v>
      </c>
      <c r="J13657" s="23" t="str">
        <f>HYPERLINK("https://www.spark-marketing.ru/Card/Person/6407786", "Педченко Алена Ивановна")</f>
        <v>Педченко Алена Ивановна</v>
      </c>
      <c r="K13657" s="24" t="s">
        <v>13524</v>
      </c>
      <c r="L13657" s="28" t="s">
        <v>52</v>
      </c>
      <c r="M13657" s="25">
        <v>102000</v>
      </c>
      <c r="N13657" s="27">
        <v>0.20847398440228146</v>
      </c>
    </row>
    <row r="13658" spans="1:14" ht="12.75" hidden="1" outlineLevel="1" x14ac:dyDescent="0.2">
      <c r="A13658" s="23" t="str">
        <f t="shared" si="708"/>
        <v>ГКУ "МФЦ В Г. СЕВАСТОПОЛЬ"</v>
      </c>
      <c r="B13658" s="24" t="s">
        <v>15848</v>
      </c>
      <c r="C13658" s="25">
        <v>128865</v>
      </c>
      <c r="D13658" s="22" t="s">
        <v>15849</v>
      </c>
      <c r="E13658" s="22" t="s">
        <v>103</v>
      </c>
      <c r="F13658" s="23" t="str">
        <f t="shared" si="709"/>
        <v>На оказание услуг по техническому обслуживанию системы видеонаблюдения</v>
      </c>
      <c r="G13658" s="22" t="s">
        <v>714</v>
      </c>
      <c r="H13658" s="22" t="s">
        <v>714</v>
      </c>
      <c r="I13658" s="26">
        <v>43523.402083333298</v>
      </c>
      <c r="J13658" s="23" t="str">
        <f>HYPERLINK("https://www.spark-marketing.ru/Card/Person/147825", "Коротченко Александр Александрович")</f>
        <v>Коротченко Александр Александрович</v>
      </c>
      <c r="K13658" s="24" t="s">
        <v>15851</v>
      </c>
      <c r="L13658" s="22" t="s">
        <v>10</v>
      </c>
      <c r="M13658" s="25">
        <v>28556.7</v>
      </c>
      <c r="N13658" s="27">
        <v>0.77839832382726104</v>
      </c>
    </row>
    <row r="13659" spans="1:14" hidden="1" outlineLevel="1" x14ac:dyDescent="0.2">
      <c r="A13659" s="23" t="str">
        <f t="shared" si="708"/>
        <v>ГКУ "МФЦ В Г. СЕВАСТОПОЛЬ"</v>
      </c>
      <c r="B13659" s="24" t="s">
        <v>15848</v>
      </c>
      <c r="C13659" s="25">
        <v>128865</v>
      </c>
      <c r="D13659" s="22" t="s">
        <v>15849</v>
      </c>
      <c r="E13659" s="22" t="s">
        <v>103</v>
      </c>
      <c r="F13659" s="23" t="str">
        <f t="shared" si="709"/>
        <v>На оказание услуг по техническому обслуживанию системы видеонаблюдения</v>
      </c>
      <c r="G13659" s="22" t="s">
        <v>714</v>
      </c>
      <c r="H13659" s="22" t="s">
        <v>714</v>
      </c>
      <c r="I13659" s="26">
        <v>43523.402083333298</v>
      </c>
      <c r="J13659" s="23" t="str">
        <f>HYPERLINK("https://www.spark-marketing.ru/Card/Person/6469288", "ООО ""ИНЖЕНЕРНЫЕ РЕШЕНИЯ""")</f>
        <v>ООО "ИНЖЕНЕРНЫЕ РЕШЕНИЯ"</v>
      </c>
      <c r="K13659" s="24" t="s">
        <v>13518</v>
      </c>
      <c r="L13659" s="28" t="s">
        <v>52</v>
      </c>
      <c r="M13659" s="25">
        <v>65721.06</v>
      </c>
      <c r="N13659" s="27">
        <v>0.49000069840530786</v>
      </c>
    </row>
    <row r="13660" spans="1:14" hidden="1" outlineLevel="1" x14ac:dyDescent="0.2">
      <c r="A13660" s="23" t="str">
        <f t="shared" si="708"/>
        <v>ГКУ "МФЦ В Г. СЕВАСТОПОЛЬ"</v>
      </c>
      <c r="B13660" s="24" t="s">
        <v>15848</v>
      </c>
      <c r="C13660" s="25">
        <v>128865</v>
      </c>
      <c r="D13660" s="22" t="s">
        <v>15849</v>
      </c>
      <c r="E13660" s="22" t="s">
        <v>103</v>
      </c>
      <c r="F13660" s="23" t="str">
        <f t="shared" si="709"/>
        <v>На оказание услуг по техническому обслуживанию системы видеонаблюдения</v>
      </c>
      <c r="G13660" s="22" t="s">
        <v>714</v>
      </c>
      <c r="H13660" s="22" t="s">
        <v>714</v>
      </c>
      <c r="I13660" s="26">
        <v>43523.402083333298</v>
      </c>
      <c r="J13660" s="23" t="str">
        <f>HYPERLINK("https://www.spark-marketing.ru/Card/Person/1663779", "ООО ""ТАВРИДА-СБ""")</f>
        <v>ООО "ТАВРИДА-СБ"</v>
      </c>
      <c r="K13660" s="24" t="s">
        <v>13517</v>
      </c>
      <c r="L13660" s="28" t="s">
        <v>52</v>
      </c>
      <c r="M13660" s="25">
        <v>29201.03</v>
      </c>
      <c r="N13660" s="27">
        <v>0.77339828502696617</v>
      </c>
    </row>
    <row r="13661" spans="1:14" hidden="1" outlineLevel="1" x14ac:dyDescent="0.2">
      <c r="A13661" s="23" t="str">
        <f t="shared" si="708"/>
        <v>ГКУ "МФЦ В Г. СЕВАСТОПОЛЬ"</v>
      </c>
      <c r="B13661" s="24" t="s">
        <v>15848</v>
      </c>
      <c r="C13661" s="25">
        <v>128865</v>
      </c>
      <c r="D13661" s="22" t="s">
        <v>15849</v>
      </c>
      <c r="E13661" s="22" t="s">
        <v>103</v>
      </c>
      <c r="F13661" s="23" t="str">
        <f t="shared" si="709"/>
        <v>На оказание услуг по техническому обслуживанию системы видеонаблюдения</v>
      </c>
      <c r="G13661" s="22" t="s">
        <v>714</v>
      </c>
      <c r="H13661" s="22" t="s">
        <v>714</v>
      </c>
      <c r="I13661" s="26">
        <v>43523.402083333298</v>
      </c>
      <c r="J13661" s="23" t="str">
        <f>HYPERLINK("https://www.spark-marketing.ru/Card/Person/943554", "ООО ""ОМЕГА ТЕХНИКС""")</f>
        <v>ООО "ОМЕГА ТЕХНИКС"</v>
      </c>
      <c r="K13661" s="24" t="s">
        <v>13516</v>
      </c>
      <c r="L13661" s="28" t="s">
        <v>52</v>
      </c>
      <c r="M13661" s="25">
        <v>103091.95</v>
      </c>
      <c r="N13661" s="27">
        <v>0.20000038800294881</v>
      </c>
    </row>
    <row r="13662" spans="1:14" hidden="1" outlineLevel="1" x14ac:dyDescent="0.2">
      <c r="A13662" s="23" t="str">
        <f t="shared" si="708"/>
        <v>ГКУ "МФЦ В Г. СЕВАСТОПОЛЬ"</v>
      </c>
      <c r="B13662" s="24" t="s">
        <v>15848</v>
      </c>
      <c r="C13662" s="25">
        <v>128865</v>
      </c>
      <c r="D13662" s="22" t="s">
        <v>15849</v>
      </c>
      <c r="E13662" s="22" t="s">
        <v>103</v>
      </c>
      <c r="F13662" s="23" t="str">
        <f t="shared" si="709"/>
        <v>На оказание услуг по техническому обслуживанию системы видеонаблюдения</v>
      </c>
      <c r="G13662" s="22" t="s">
        <v>714</v>
      </c>
      <c r="H13662" s="22" t="s">
        <v>714</v>
      </c>
      <c r="I13662" s="26">
        <v>43523.402083333298</v>
      </c>
      <c r="J13662" s="23" t="str">
        <f>HYPERLINK("https://www.spark-marketing.ru/Card/Person/4855004", "Бакши Игорь Анатольевич")</f>
        <v>Бакши Игорь Анатольевич</v>
      </c>
      <c r="K13662" s="24" t="s">
        <v>10078</v>
      </c>
      <c r="L13662" s="28" t="s">
        <v>52</v>
      </c>
      <c r="M13662" s="25">
        <v>73452.97</v>
      </c>
      <c r="N13662" s="27">
        <v>0.43000062080471813</v>
      </c>
    </row>
    <row r="13663" spans="1:14" hidden="1" outlineLevel="1" x14ac:dyDescent="0.2">
      <c r="A13663" s="23" t="str">
        <f t="shared" si="708"/>
        <v>ГКУ "МФЦ В Г. СЕВАСТОПОЛЬ"</v>
      </c>
      <c r="B13663" s="24" t="s">
        <v>15848</v>
      </c>
      <c r="C13663" s="25">
        <v>128865</v>
      </c>
      <c r="D13663" s="22" t="s">
        <v>15849</v>
      </c>
      <c r="E13663" s="22" t="s">
        <v>103</v>
      </c>
      <c r="F13663" s="23" t="str">
        <f t="shared" si="709"/>
        <v>На оказание услуг по техническому обслуживанию системы видеонаблюдения</v>
      </c>
      <c r="G13663" s="22" t="s">
        <v>714</v>
      </c>
      <c r="H13663" s="22" t="s">
        <v>714</v>
      </c>
      <c r="I13663" s="26">
        <v>43523.402083333298</v>
      </c>
      <c r="J13663" s="23" t="str">
        <f>HYPERLINK("https://www.spark-marketing.ru/Card/Person/509131", "ООО ""СПЕКТР ЭЛЕКТРОНИКА""")</f>
        <v>ООО "СПЕКТР ЭЛЕКТРОНИКА"</v>
      </c>
      <c r="K13663" s="24" t="s">
        <v>13597</v>
      </c>
      <c r="L13663" s="28" t="s">
        <v>52</v>
      </c>
      <c r="M13663" s="25">
        <v>45000</v>
      </c>
      <c r="N13663" s="27">
        <v>0.65079734605983008</v>
      </c>
    </row>
    <row r="13664" spans="1:14" hidden="1" outlineLevel="1" x14ac:dyDescent="0.2">
      <c r="A13664" s="23" t="str">
        <f t="shared" si="708"/>
        <v>ГКУ "МФЦ В Г. СЕВАСТОПОЛЬ"</v>
      </c>
      <c r="B13664" s="24" t="s">
        <v>15848</v>
      </c>
      <c r="C13664" s="25">
        <v>128865</v>
      </c>
      <c r="D13664" s="22" t="s">
        <v>15849</v>
      </c>
      <c r="E13664" s="22" t="s">
        <v>103</v>
      </c>
      <c r="F13664" s="23" t="str">
        <f t="shared" si="709"/>
        <v>На оказание услуг по техническому обслуживанию системы видеонаблюдения</v>
      </c>
      <c r="G13664" s="22" t="s">
        <v>714</v>
      </c>
      <c r="H13664" s="22" t="s">
        <v>714</v>
      </c>
      <c r="I13664" s="26">
        <v>43523.402083333298</v>
      </c>
      <c r="J13664" s="23" t="str">
        <f>HYPERLINK("https://www.spark-marketing.ru/Card/Person/934169", "ООО ""СЕВСТАР ИТ""")</f>
        <v>ООО "СЕВСТАР ИТ"</v>
      </c>
      <c r="K13664" s="24" t="s">
        <v>13520</v>
      </c>
      <c r="L13664" s="28" t="s">
        <v>52</v>
      </c>
      <c r="M13664" s="25">
        <v>30489.69</v>
      </c>
      <c r="N13664" s="27">
        <v>0.76339820742637643</v>
      </c>
    </row>
    <row r="13665" spans="1:14" x14ac:dyDescent="0.15">
      <c r="A13665" s="23" t="str">
        <f>HYPERLINK("https://www.spark-marketing.ru/Card/Person/653585", "ИЗБИРАТЕЛЬНАЯ КОМИССИЯ ЗАБАЙКАЛЬСКОГО КРАЯ")</f>
        <v>ИЗБИРАТЕЛЬНАЯ КОМИССИЯ ЗАБАЙКАЛЬСКОГО КРАЯ</v>
      </c>
      <c r="B13665" s="24" t="s">
        <v>15852</v>
      </c>
      <c r="C13665" s="25">
        <v>20400</v>
      </c>
      <c r="D13665" s="22" t="s">
        <v>15853</v>
      </c>
      <c r="E13665" s="22" t="s">
        <v>84</v>
      </c>
      <c r="F13665" s="23" t="str">
        <f>HYPERLINK("https://www.spark-marketing.ru/Card/Lot/68285989", "Товары, работы или услуги на сумму, не превышающие 100 тыс. руб. (п.4 ч.1 ст.93 44-ФЗ) вид расходов 244")</f>
        <v>Товары, работы или услуги на сумму, не превышающие 100 тыс. руб. (п.4 ч.1 ст.93 44-ФЗ) вид расходов 244</v>
      </c>
      <c r="G13665" s="22" t="s">
        <v>473</v>
      </c>
      <c r="H13665" s="22" t="s">
        <v>476</v>
      </c>
      <c r="I13665" s="26">
        <v>43523.359027777798</v>
      </c>
      <c r="J13665" s="28" t="s">
        <v>52</v>
      </c>
      <c r="K13665" s="28" t="s">
        <v>52</v>
      </c>
      <c r="L13665" s="28" t="s">
        <v>52</v>
      </c>
      <c r="M13665" s="28" t="s">
        <v>52</v>
      </c>
      <c r="N13665" s="28" t="s">
        <v>52</v>
      </c>
    </row>
    <row r="13666" spans="1:14" x14ac:dyDescent="0.15">
      <c r="A13666" s="23" t="str">
        <f>HYPERLINK("https://www.spark-marketing.ru/Card/Person/1085628", "ГБУЗ КО ""ОБЛАСТНОЙ МЕДИЦИНСКИЙ ЦЕНТР ""РЕЗЕРВ""")</f>
        <v>ГБУЗ КО "ОБЛАСТНОЙ МЕДИЦИНСКИЙ ЦЕНТР "РЕЗЕРВ"</v>
      </c>
      <c r="B13666" s="24" t="s">
        <v>15854</v>
      </c>
      <c r="C13666" s="25">
        <v>63756</v>
      </c>
      <c r="D13666" s="22" t="s">
        <v>15855</v>
      </c>
      <c r="E13666" s="22" t="s">
        <v>68</v>
      </c>
      <c r="F13666" s="23" t="str">
        <f>HYPERLINK("https://www.spark-marketing.ru/Card/Lot/68283863", "Оказание услуг по охране объектов")</f>
        <v>Оказание услуг по охране объектов</v>
      </c>
      <c r="G13666" s="22" t="s">
        <v>367</v>
      </c>
      <c r="H13666" s="22" t="s">
        <v>15856</v>
      </c>
      <c r="I13666" s="26">
        <v>43523.347916666702</v>
      </c>
      <c r="J13666" s="28" t="s">
        <v>52</v>
      </c>
      <c r="K13666" s="28" t="s">
        <v>52</v>
      </c>
      <c r="L13666" s="28" t="s">
        <v>52</v>
      </c>
      <c r="M13666" s="28" t="s">
        <v>52</v>
      </c>
      <c r="N13666" s="28" t="s">
        <v>52</v>
      </c>
    </row>
    <row r="13667" spans="1:14" x14ac:dyDescent="0.15">
      <c r="A13667" s="23" t="str">
        <f>HYPERLINK("https://www.spark-marketing.ru/Card/Person/4930053", "ООО ""ССК ""ЗВЕЗДА""")</f>
        <v>ООО "ССК "ЗВЕЗДА"</v>
      </c>
      <c r="B13667" s="24" t="s">
        <v>15857</v>
      </c>
      <c r="C13667" s="25">
        <v>283824000</v>
      </c>
      <c r="D13667" s="22" t="s">
        <v>15858</v>
      </c>
      <c r="E13667" s="22" t="s">
        <v>53</v>
      </c>
      <c r="F13667" s="23" t="str">
        <f>HYPERLINK("https://www.spark-marketing.ru/Card/Lot/68308179", "Номер закупки 2528133. Оказание услуг по физической охране объектов»., согласно техническому заданию № 27/19-ЗП")</f>
        <v>Номер закупки 2528133. Оказание услуг по физической охране объектов»., согласно техническому заданию № 27/19-ЗП</v>
      </c>
      <c r="G13667" s="22" t="s">
        <v>409</v>
      </c>
      <c r="H13667" s="22" t="s">
        <v>2470</v>
      </c>
      <c r="I13667" s="26">
        <v>43523.374305555597</v>
      </c>
      <c r="J13667" s="28" t="s">
        <v>52</v>
      </c>
      <c r="K13667" s="28" t="s">
        <v>52</v>
      </c>
      <c r="L13667" s="28" t="s">
        <v>52</v>
      </c>
      <c r="M13667" s="28" t="s">
        <v>52</v>
      </c>
      <c r="N13667" s="28" t="s">
        <v>52</v>
      </c>
    </row>
    <row r="13668" spans="1:14" x14ac:dyDescent="0.15">
      <c r="A13668" s="23" t="str">
        <f>HYPERLINK("https://www.spark-marketing.ru/Card/Person/113010", "АО ""НИКИМТ-АТОМСТРОЙ""")</f>
        <v>АО "НИКИМТ-АТОМСТРОЙ"</v>
      </c>
      <c r="B13668" s="24" t="s">
        <v>1701</v>
      </c>
      <c r="C13668" s="25">
        <v>0</v>
      </c>
      <c r="D13668" s="22" t="s">
        <v>15859</v>
      </c>
      <c r="E13668" s="22" t="s">
        <v>53</v>
      </c>
      <c r="F13668" s="23" t="str">
        <f>HYPERLINK("https://www.spark-marketing.ru/Card/Lot/68350037", "мониторинг цен в электронной форме на Оказание услуг по пультовой охране склада Филиала АО «НИКИМТ-Атомстрой» дирекция на САЭС")</f>
        <v>мониторинг цен в электронной форме на Оказание услуг по пультовой охране склада Филиала АО «НИКИМТ-Атомстрой» дирекция на САЭС</v>
      </c>
      <c r="G13668" s="22" t="s">
        <v>55</v>
      </c>
      <c r="H13668" s="22" t="s">
        <v>55</v>
      </c>
      <c r="I13668" s="26">
        <v>43523.362175925897</v>
      </c>
      <c r="J13668" s="28" t="s">
        <v>52</v>
      </c>
      <c r="K13668" s="28" t="s">
        <v>52</v>
      </c>
      <c r="L13668" s="28" t="s">
        <v>52</v>
      </c>
      <c r="M13668" s="28" t="s">
        <v>52</v>
      </c>
      <c r="N13668" s="28" t="s">
        <v>52</v>
      </c>
    </row>
    <row r="13669" spans="1:14" x14ac:dyDescent="0.15">
      <c r="A13669" s="23" t="str">
        <f>HYPERLINK("https://www.spark-marketing.ru/Card/Person/1085628", "ГБУЗ КО ""ОБЛАСТНОЙ МЕДИЦИНСКИЙ ЦЕНТР ""РЕЗЕРВ""")</f>
        <v>ГБУЗ КО "ОБЛАСТНОЙ МЕДИЦИНСКИЙ ЦЕНТР "РЕЗЕРВ"</v>
      </c>
      <c r="B13669" s="24" t="s">
        <v>15854</v>
      </c>
      <c r="C13669" s="25">
        <v>97236</v>
      </c>
      <c r="D13669" s="22" t="s">
        <v>15860</v>
      </c>
      <c r="E13669" s="22" t="s">
        <v>68</v>
      </c>
      <c r="F13669" s="23" t="str">
        <f>HYPERLINK("https://www.spark-marketing.ru/Card/Lot/68283988", "Оказание услуг по охране объектов")</f>
        <v>Оказание услуг по охране объектов</v>
      </c>
      <c r="G13669" s="22" t="s">
        <v>367</v>
      </c>
      <c r="H13669" s="22" t="s">
        <v>15856</v>
      </c>
      <c r="I13669" s="26">
        <v>43523.352083333302</v>
      </c>
      <c r="J13669" s="28" t="s">
        <v>52</v>
      </c>
      <c r="K13669" s="28" t="s">
        <v>52</v>
      </c>
      <c r="L13669" s="28" t="s">
        <v>52</v>
      </c>
      <c r="M13669" s="28" t="s">
        <v>52</v>
      </c>
      <c r="N13669" s="28" t="s">
        <v>52</v>
      </c>
    </row>
    <row r="13670" spans="1:14" x14ac:dyDescent="0.15">
      <c r="A13670" s="23" t="str">
        <f>HYPERLINK("https://www.spark-marketing.ru/Card/Person/666553", "ФГП ВО ЖДТ РОССИИ")</f>
        <v>ФГП ВО ЖДТ РОССИИ</v>
      </c>
      <c r="B13670" s="24" t="s">
        <v>1269</v>
      </c>
      <c r="C13670" s="25">
        <v>99796.44</v>
      </c>
      <c r="D13670" s="22" t="s">
        <v>15861</v>
      </c>
      <c r="E13670" s="22" t="s">
        <v>789</v>
      </c>
      <c r="F13670" s="23" t="str">
        <f>HYPERLINK("https://www.spark-marketing.ru/Card/Lot/68287279", "Техническое обслуживание комплекса технических средств охраны для нужд Сибирского отряда ВО филиала ФГП ВО ЖДТ России на Свердловской железной дороге")</f>
        <v>Техническое обслуживание комплекса технических средств охраны для нужд Сибирского отряда ВО филиала ФГП ВО ЖДТ России на Свердловской железной дороге</v>
      </c>
      <c r="G13670" s="22" t="s">
        <v>893</v>
      </c>
      <c r="H13670" s="22" t="s">
        <v>893</v>
      </c>
      <c r="I13670" s="26">
        <v>43523.365034722199</v>
      </c>
      <c r="J13670" s="28" t="s">
        <v>52</v>
      </c>
      <c r="K13670" s="28" t="s">
        <v>52</v>
      </c>
      <c r="L13670" s="28" t="s">
        <v>52</v>
      </c>
      <c r="M13670" s="28" t="s">
        <v>52</v>
      </c>
      <c r="N13670" s="28" t="s">
        <v>52</v>
      </c>
    </row>
    <row r="13671" spans="1:14" x14ac:dyDescent="0.15">
      <c r="A13671" s="23" t="str">
        <f>HYPERLINK("https://www.spark-marketing.ru/Card/Person/113010", "АО ""НИКИМТ-АТОМСТРОЙ""")</f>
        <v>АО "НИКИМТ-АТОМСТРОЙ"</v>
      </c>
      <c r="B13671" s="24" t="s">
        <v>1701</v>
      </c>
      <c r="C13671" s="28" t="s">
        <v>52</v>
      </c>
      <c r="D13671" s="22" t="s">
        <v>15862</v>
      </c>
      <c r="E13671" s="22" t="s">
        <v>53</v>
      </c>
      <c r="F13671" s="23" t="str">
        <f>HYPERLINK("https://www.spark-marketing.ru/Card/Lot/68293327", "Оказание услуг по пультовой охране склада Филиала АО «НИКИМТ-Атомстрой» дирекция на САЭС (1196030)")</f>
        <v>Оказание услуг по пультовой охране склада Филиала АО «НИКИМТ-Атомстрой» дирекция на САЭС (1196030)</v>
      </c>
      <c r="G13671" s="22" t="s">
        <v>55</v>
      </c>
      <c r="H13671" s="22" t="s">
        <v>55</v>
      </c>
      <c r="I13671" s="26">
        <v>43523.371539351901</v>
      </c>
      <c r="J13671" s="28" t="s">
        <v>52</v>
      </c>
      <c r="K13671" s="28" t="s">
        <v>52</v>
      </c>
      <c r="L13671" s="28" t="s">
        <v>52</v>
      </c>
      <c r="M13671" s="28" t="s">
        <v>52</v>
      </c>
      <c r="N13671" s="28" t="s">
        <v>52</v>
      </c>
    </row>
    <row r="13672" spans="1:14" x14ac:dyDescent="0.2">
      <c r="A13672" s="23" t="str">
        <f>HYPERLINK("https://www.spark-marketing.ru/Card/Person/170630", "КОМИТЕТ ПО ЛЕСНОМУ ХОЗЯЙСТВУ РЕСПУБЛИКИ ДАГЕСТАН")</f>
        <v>КОМИТЕТ ПО ЛЕСНОМУ ХОЗЯЙСТВУ РЕСПУБЛИКИ ДАГЕСТАН</v>
      </c>
      <c r="B13672" s="24" t="s">
        <v>15863</v>
      </c>
      <c r="C13672" s="25">
        <v>52034.400000000001</v>
      </c>
      <c r="D13672" s="22" t="s">
        <v>15864</v>
      </c>
      <c r="E13672" s="22" t="s">
        <v>53</v>
      </c>
      <c r="F13672" s="23" t="str">
        <f>HYPERLINK("https://www.spark-marketing.ru/Card/Lot/73687106", "Услуга по охране объектов посредством комплекса технических средств охраны и осуществление экстренного выезда наряда полиции")</f>
        <v>Услуга по охране объектов посредством комплекса технических средств охраны и осуществление экстренного выезда наряда полиции</v>
      </c>
      <c r="G13672" s="22" t="s">
        <v>595</v>
      </c>
      <c r="H13672" s="22" t="s">
        <v>3766</v>
      </c>
      <c r="I13672" s="26">
        <v>43523.000694444403</v>
      </c>
      <c r="J13672" s="28" t="s">
        <v>52</v>
      </c>
      <c r="K13672" s="28" t="s">
        <v>52</v>
      </c>
      <c r="L13672" s="28" t="s">
        <v>52</v>
      </c>
      <c r="M13672" s="25">
        <v>52000</v>
      </c>
      <c r="N13672" s="27">
        <v>6.6110111772212229E-4</v>
      </c>
    </row>
    <row r="13673" spans="1:14" x14ac:dyDescent="0.15">
      <c r="A13673" s="23" t="str">
        <f>HYPERLINK("https://www.spark-marketing.ru/Card/Person/766032", "Филиал АО ""АЭМ-технологии"" ""Петрозаводскмаш"" в г.Петрозаводск")</f>
        <v>Филиал АО "АЭМ-технологии" "Петрозаводскмаш" в г.Петрозаводск</v>
      </c>
      <c r="B13673" s="24" t="s">
        <v>15865</v>
      </c>
      <c r="C13673" s="25">
        <v>739440</v>
      </c>
      <c r="D13673" s="22" t="s">
        <v>15866</v>
      </c>
      <c r="E13673" s="22" t="s">
        <v>53</v>
      </c>
      <c r="F13673" s="23" t="str">
        <f>HYPERLINK("https://www.spark-marketing.ru/Card/Lot/68288550", "Право заключения договора на оказание услуг по техническому обслуживанию технических средств охраны")</f>
        <v>Право заключения договора на оказание услуг по техническому обслуживанию технических средств охраны</v>
      </c>
      <c r="G13673" s="22" t="s">
        <v>89</v>
      </c>
      <c r="H13673" s="22" t="s">
        <v>89</v>
      </c>
      <c r="I13673" s="26">
        <v>43523</v>
      </c>
      <c r="J13673" s="28" t="s">
        <v>52</v>
      </c>
      <c r="K13673" s="28" t="s">
        <v>52</v>
      </c>
      <c r="L13673" s="28" t="s">
        <v>52</v>
      </c>
      <c r="M13673" s="28" t="s">
        <v>52</v>
      </c>
      <c r="N13673" s="28" t="s">
        <v>52</v>
      </c>
    </row>
    <row r="13674" spans="1:14" x14ac:dyDescent="0.15">
      <c r="A13674" s="23" t="str">
        <f>HYPERLINK("https://www.spark-marketing.ru/Card/Person/4692465", "ЧАСТНОЕ УЧРЕЖДЕНИЕ РМС")</f>
        <v>ЧАСТНОЕ УЧРЕЖДЕНИЕ РМС</v>
      </c>
      <c r="B13674" s="24" t="s">
        <v>15867</v>
      </c>
      <c r="C13674" s="28" t="s">
        <v>52</v>
      </c>
      <c r="D13674" s="22" t="s">
        <v>15868</v>
      </c>
      <c r="E13674" s="22" t="s">
        <v>53</v>
      </c>
      <c r="F13674" s="23" t="str">
        <f>HYPERLINK("https://www.spark-marketing.ru/Card/Lot/68280562", "Услуги по установке охранной сигнализации для нужд частного учреждения РМС (1195893)")</f>
        <v>Услуги по установке охранной сигнализации для нужд частного учреждения РМС (1195893)</v>
      </c>
      <c r="G13674" s="22" t="s">
        <v>55</v>
      </c>
      <c r="H13674" s="22" t="s">
        <v>55</v>
      </c>
      <c r="I13674" s="26">
        <v>43522.871550925898</v>
      </c>
      <c r="J13674" s="28" t="s">
        <v>52</v>
      </c>
      <c r="K13674" s="28" t="s">
        <v>52</v>
      </c>
      <c r="L13674" s="28" t="s">
        <v>52</v>
      </c>
      <c r="M13674" s="28" t="s">
        <v>52</v>
      </c>
      <c r="N13674" s="28" t="s">
        <v>52</v>
      </c>
    </row>
    <row r="13675" spans="1:14" x14ac:dyDescent="0.15">
      <c r="A13675" s="23" t="str">
        <f>HYPERLINK("https://www.spark-marketing.ru/Card/Person/4692465", "ЧАСТНОЕ УЧРЕЖДЕНИЕ РМС")</f>
        <v>ЧАСТНОЕ УЧРЕЖДЕНИЕ РМС</v>
      </c>
      <c r="B13675" s="24" t="s">
        <v>15867</v>
      </c>
      <c r="C13675" s="25">
        <v>0</v>
      </c>
      <c r="D13675" s="22" t="s">
        <v>15869</v>
      </c>
      <c r="E13675" s="22" t="s">
        <v>53</v>
      </c>
      <c r="F13675" s="23" t="str">
        <f>HYPERLINK("https://www.spark-marketing.ru/Card/Lot/68280918", "мониторинг цен в электронной форме на Услуги по установке охранной сигнализации для нужд частного учреждения РМС")</f>
        <v>мониторинг цен в электронной форме на Услуги по установке охранной сигнализации для нужд частного учреждения РМС</v>
      </c>
      <c r="G13675" s="22" t="s">
        <v>55</v>
      </c>
      <c r="H13675" s="22" t="s">
        <v>55</v>
      </c>
      <c r="I13675" s="26">
        <v>43522.798981481501</v>
      </c>
      <c r="J13675" s="28" t="s">
        <v>52</v>
      </c>
      <c r="K13675" s="28" t="s">
        <v>52</v>
      </c>
      <c r="L13675" s="28" t="s">
        <v>52</v>
      </c>
      <c r="M13675" s="28" t="s">
        <v>52</v>
      </c>
      <c r="N13675" s="28" t="s">
        <v>52</v>
      </c>
    </row>
    <row r="13676" spans="1:14" x14ac:dyDescent="0.15">
      <c r="A13676" s="23" t="str">
        <f>HYPERLINK("https://www.spark-marketing.ru/Card/Person/4692465", "ЧАСТНОЕ УЧРЕЖДЕНИЕ РМС")</f>
        <v>ЧАСТНОЕ УЧРЕЖДЕНИЕ РМС</v>
      </c>
      <c r="B13676" s="24" t="s">
        <v>15867</v>
      </c>
      <c r="C13676" s="28" t="s">
        <v>52</v>
      </c>
      <c r="D13676" s="22" t="s">
        <v>15870</v>
      </c>
      <c r="E13676" s="22" t="s">
        <v>208</v>
      </c>
      <c r="F13676" s="23" t="str">
        <f>HYPERLINK("https://www.spark-marketing.ru/Card/Lot/68279252", "Услуги по установке охранной сигнализации для нужд частного учреждения РМС")</f>
        <v>Услуги по установке охранной сигнализации для нужд частного учреждения РМС</v>
      </c>
      <c r="G13676" s="22" t="s">
        <v>55</v>
      </c>
      <c r="H13676" s="22" t="s">
        <v>55</v>
      </c>
      <c r="I13676" s="26">
        <v>43522.799386574101</v>
      </c>
      <c r="J13676" s="28" t="s">
        <v>52</v>
      </c>
      <c r="K13676" s="28" t="s">
        <v>52</v>
      </c>
      <c r="L13676" s="28" t="s">
        <v>52</v>
      </c>
      <c r="M13676" s="28" t="s">
        <v>52</v>
      </c>
      <c r="N13676" s="28" t="s">
        <v>52</v>
      </c>
    </row>
    <row r="13677" spans="1:14" x14ac:dyDescent="0.15">
      <c r="A13677" s="23" t="str">
        <f>HYPERLINK("https://www.spark-marketing.ru/Card/Person/34007", "ГБУЗ СК ""ГОРОДСКАЯ ПОЛИКЛИНИКА № 1"" Г. НЕВИННОМЫССКА")</f>
        <v>ГБУЗ СК "ГОРОДСКАЯ ПОЛИКЛИНИКА № 1" Г. НЕВИННОМЫССКА</v>
      </c>
      <c r="B13677" s="24" t="s">
        <v>15871</v>
      </c>
      <c r="C13677" s="25">
        <v>400956</v>
      </c>
      <c r="D13677" s="22" t="s">
        <v>15872</v>
      </c>
      <c r="E13677" s="22" t="s">
        <v>49</v>
      </c>
      <c r="F13677" s="23" t="str">
        <f>HYPERLINK("https://www.spark-marketing.ru/Card/Lot/68278916", "Выполнение электромонтажных работ, связанных с установкой приборов (монтаж видеокамер) в кожно-венерологическом диспансерном отделении (ул. Революционная, 18).")</f>
        <v>Выполнение электромонтажных работ, связанных с установкой приборов (монтаж видеокамер) в кожно-венерологическом диспансерном отделении (ул. Революционная, 18).</v>
      </c>
      <c r="G13677" s="22" t="s">
        <v>258</v>
      </c>
      <c r="H13677" s="22" t="s">
        <v>258</v>
      </c>
      <c r="I13677" s="26">
        <v>43522.807465277801</v>
      </c>
      <c r="J13677" s="28" t="s">
        <v>52</v>
      </c>
      <c r="K13677" s="28" t="s">
        <v>52</v>
      </c>
      <c r="L13677" s="28" t="s">
        <v>52</v>
      </c>
      <c r="M13677" s="28" t="s">
        <v>52</v>
      </c>
      <c r="N13677" s="28" t="s">
        <v>52</v>
      </c>
    </row>
    <row r="13678" spans="1:14" x14ac:dyDescent="0.15">
      <c r="A13678" s="23" t="str">
        <f>HYPERLINK("https://www.spark-marketing.ru/Card/Person/66442", "ГКУ ЦЗН Г. УФЫ")</f>
        <v>ГКУ ЦЗН Г. УФЫ</v>
      </c>
      <c r="B13678" s="24" t="s">
        <v>15873</v>
      </c>
      <c r="C13678" s="25">
        <v>308420</v>
      </c>
      <c r="D13678" s="22" t="s">
        <v>15874</v>
      </c>
      <c r="E13678" s="22" t="s">
        <v>52</v>
      </c>
      <c r="F13678" s="23" t="str">
        <f>HYPERLINK("https://www.spark-marketing.ru/Card/Lot/68272977", "Услуги по охране объектов постами физической охраны")</f>
        <v>Услуги по охране объектов постами физической охраны</v>
      </c>
      <c r="G13678" s="22" t="s">
        <v>100</v>
      </c>
      <c r="H13678" s="22" t="s">
        <v>373</v>
      </c>
      <c r="I13678" s="26">
        <v>43522.769444444399</v>
      </c>
      <c r="J13678" s="28" t="s">
        <v>52</v>
      </c>
      <c r="K13678" s="28" t="s">
        <v>52</v>
      </c>
      <c r="L13678" s="28" t="s">
        <v>52</v>
      </c>
      <c r="M13678" s="28" t="s">
        <v>52</v>
      </c>
      <c r="N13678" s="28" t="s">
        <v>52</v>
      </c>
    </row>
    <row r="13679" spans="1:14" hidden="1" outlineLevel="1" x14ac:dyDescent="0.2">
      <c r="A13679" s="23" t="str">
        <f>HYPERLINK("https://www.spark-marketing.ru/Card/Person/66442", "ГКУ ЦЗН Г. УФЫ")</f>
        <v>ГКУ ЦЗН Г. УФЫ</v>
      </c>
      <c r="B13679" s="24" t="s">
        <v>15873</v>
      </c>
      <c r="C13679" s="25">
        <v>308420</v>
      </c>
      <c r="D13679" s="22" t="s">
        <v>15874</v>
      </c>
      <c r="E13679" s="22" t="s">
        <v>52</v>
      </c>
      <c r="F13679" s="23" t="str">
        <f>HYPERLINK("https://www.spark-marketing.ru/Card/Lot/68272977", "Услуги по охране объектов постами физической охраны")</f>
        <v>Услуги по охране объектов постами физической охраны</v>
      </c>
      <c r="G13679" s="22" t="s">
        <v>100</v>
      </c>
      <c r="H13679" s="22" t="s">
        <v>373</v>
      </c>
      <c r="I13679" s="26">
        <v>43522.769444444399</v>
      </c>
      <c r="J13679" s="23" t="str">
        <f>HYPERLINK("https://www.spark-marketing.ru/Card/Person/288624", "ООО ЧОП ""ДАН""")</f>
        <v>ООО ЧОП "ДАН"</v>
      </c>
      <c r="K13679" s="24" t="s">
        <v>5453</v>
      </c>
      <c r="L13679" s="28" t="s">
        <v>52</v>
      </c>
      <c r="M13679" s="25">
        <v>286830.59999999998</v>
      </c>
      <c r="N13679" s="27">
        <v>7.0000000000000007E-2</v>
      </c>
    </row>
    <row r="13680" spans="1:14" ht="12.75" hidden="1" outlineLevel="1" x14ac:dyDescent="0.2">
      <c r="A13680" s="23" t="str">
        <f>HYPERLINK("https://www.spark-marketing.ru/Card/Person/66442", "ГКУ ЦЗН Г. УФЫ")</f>
        <v>ГКУ ЦЗН Г. УФЫ</v>
      </c>
      <c r="B13680" s="24" t="s">
        <v>15873</v>
      </c>
      <c r="C13680" s="25">
        <v>308420</v>
      </c>
      <c r="D13680" s="22" t="s">
        <v>15874</v>
      </c>
      <c r="E13680" s="22" t="s">
        <v>52</v>
      </c>
      <c r="F13680" s="23" t="str">
        <f>HYPERLINK("https://www.spark-marketing.ru/Card/Lot/68272977", "Услуги по охране объектов постами физической охраны")</f>
        <v>Услуги по охране объектов постами физической охраны</v>
      </c>
      <c r="G13680" s="22" t="s">
        <v>100</v>
      </c>
      <c r="H13680" s="22" t="s">
        <v>373</v>
      </c>
      <c r="I13680" s="26">
        <v>43522.769444444399</v>
      </c>
      <c r="J13680" s="23" t="str">
        <f>HYPERLINK("https://www.spark-marketing.ru/Card/Person/6155608", "ООО ЧОО ""ПАНТЕРА""")</f>
        <v>ООО ЧОО "ПАНТЕРА"</v>
      </c>
      <c r="K13680" s="24" t="s">
        <v>15875</v>
      </c>
      <c r="L13680" s="22" t="s">
        <v>10</v>
      </c>
      <c r="M13680" s="25">
        <v>285288.5</v>
      </c>
      <c r="N13680" s="27">
        <v>7.4999999999999997E-2</v>
      </c>
    </row>
    <row r="13681" spans="1:14" x14ac:dyDescent="0.15">
      <c r="A13681" s="23" t="str">
        <f>HYPERLINK("https://www.spark-marketing.ru/Card/Person/1085835", "МОУ ""СОШ В П. МИХАЙЛОВО""")</f>
        <v>МОУ "СОШ В П. МИХАЙЛОВО"</v>
      </c>
      <c r="B13681" s="24" t="s">
        <v>15876</v>
      </c>
      <c r="C13681" s="25">
        <v>400000</v>
      </c>
      <c r="D13681" s="22" t="s">
        <v>15877</v>
      </c>
      <c r="E13681" s="22" t="s">
        <v>52</v>
      </c>
      <c r="F13681" s="23" t="str">
        <f>HYPERLINK("https://www.spark-marketing.ru/Card/Lot/68279304", "Оказание услуг по физической охране зданий и территории МОУ «СОШ в п. МИХАЙЛОВО» в 2019 году")</f>
        <v>Оказание услуг по физической охране зданий и территории МОУ «СОШ в п. МИХАЙЛОВО» в 2019 году</v>
      </c>
      <c r="G13681" s="22" t="s">
        <v>247</v>
      </c>
      <c r="H13681" s="22" t="s">
        <v>15878</v>
      </c>
      <c r="I13681" s="26">
        <v>43522.758333333302</v>
      </c>
      <c r="J13681" s="28" t="s">
        <v>52</v>
      </c>
      <c r="K13681" s="28" t="s">
        <v>52</v>
      </c>
      <c r="L13681" s="28" t="s">
        <v>52</v>
      </c>
      <c r="M13681" s="28" t="s">
        <v>52</v>
      </c>
      <c r="N13681" s="28" t="s">
        <v>52</v>
      </c>
    </row>
    <row r="13682" spans="1:14" hidden="1" outlineLevel="1" x14ac:dyDescent="0.2">
      <c r="A13682" s="23" t="str">
        <f>HYPERLINK("https://www.spark-marketing.ru/Card/Person/1085835", "МОУ ""СОШ В П. МИХАЙЛОВО""")</f>
        <v>МОУ "СОШ В П. МИХАЙЛОВО"</v>
      </c>
      <c r="B13682" s="24" t="s">
        <v>15876</v>
      </c>
      <c r="C13682" s="25">
        <v>400000</v>
      </c>
      <c r="D13682" s="22" t="s">
        <v>15877</v>
      </c>
      <c r="E13682" s="22" t="s">
        <v>52</v>
      </c>
      <c r="F13682" s="23" t="str">
        <f>HYPERLINK("https://www.spark-marketing.ru/Card/Lot/68279304", "Оказание услуг по физической охране зданий и территории МОУ «СОШ в п. МИХАЙЛОВО» в 2019 году")</f>
        <v>Оказание услуг по физической охране зданий и территории МОУ «СОШ в п. МИХАЙЛОВО» в 2019 году</v>
      </c>
      <c r="G13682" s="22" t="s">
        <v>247</v>
      </c>
      <c r="H13682" s="22" t="s">
        <v>15878</v>
      </c>
      <c r="I13682" s="26">
        <v>43522.758333333302</v>
      </c>
      <c r="J13682" s="23" t="str">
        <f>HYPERLINK("https://www.spark-marketing.ru/Card/Person/63306", "ООО ОП ""ЗЕРО""")</f>
        <v>ООО ОП "ЗЕРО"</v>
      </c>
      <c r="K13682" s="24" t="s">
        <v>15879</v>
      </c>
      <c r="L13682" s="28" t="s">
        <v>52</v>
      </c>
      <c r="M13682" s="25">
        <v>368000</v>
      </c>
      <c r="N13682" s="27">
        <v>0.08</v>
      </c>
    </row>
    <row r="13683" spans="1:14" ht="12.75" hidden="1" outlineLevel="1" x14ac:dyDescent="0.2">
      <c r="A13683" s="23" t="str">
        <f>HYPERLINK("https://www.spark-marketing.ru/Card/Person/1085835", "МОУ ""СОШ В П. МИХАЙЛОВО""")</f>
        <v>МОУ "СОШ В П. МИХАЙЛОВО"</v>
      </c>
      <c r="B13683" s="24" t="s">
        <v>15876</v>
      </c>
      <c r="C13683" s="25">
        <v>400000</v>
      </c>
      <c r="D13683" s="22" t="s">
        <v>15877</v>
      </c>
      <c r="E13683" s="22" t="s">
        <v>52</v>
      </c>
      <c r="F13683" s="23" t="str">
        <f>HYPERLINK("https://www.spark-marketing.ru/Card/Lot/68279304", "Оказание услуг по физической охране зданий и территории МОУ «СОШ в п. МИХАЙЛОВО» в 2019 году")</f>
        <v>Оказание услуг по физической охране зданий и территории МОУ «СОШ в п. МИХАЙЛОВО» в 2019 году</v>
      </c>
      <c r="G13683" s="22" t="s">
        <v>247</v>
      </c>
      <c r="H13683" s="22" t="s">
        <v>15878</v>
      </c>
      <c r="I13683" s="26">
        <v>43522.758333333302</v>
      </c>
      <c r="J13683" s="23" t="str">
        <f>HYPERLINK("https://www.spark-marketing.ru/Card/Person/583053", "ООО ""ЧОП ТРОИЦКИЙ""")</f>
        <v>ООО "ЧОП ТРОИЦКИЙ"</v>
      </c>
      <c r="K13683" s="24" t="s">
        <v>15880</v>
      </c>
      <c r="L13683" s="22" t="s">
        <v>10</v>
      </c>
      <c r="M13683" s="25">
        <v>366000</v>
      </c>
      <c r="N13683" s="27">
        <v>8.5000000000000006E-2</v>
      </c>
    </row>
    <row r="13684" spans="1:14" x14ac:dyDescent="0.2">
      <c r="A13684" s="23" t="str">
        <f>HYPERLINK("https://www.spark-marketing.ru/Card/Person/79110", "ГАПОУ МО ""ГУБЕРНСКИЙ КОЛЛЕДЖ""")</f>
        <v>ГАПОУ МО "ГУБЕРНСКИЙ КОЛЛЕДЖ"</v>
      </c>
      <c r="B13684" s="24" t="s">
        <v>15881</v>
      </c>
      <c r="C13684" s="25">
        <v>1150000</v>
      </c>
      <c r="D13684" s="22" t="s">
        <v>15882</v>
      </c>
      <c r="E13684" s="22" t="s">
        <v>49</v>
      </c>
      <c r="F13684" s="23" t="str">
        <f>HYPERLINK("https://www.spark-marketing.ru/Card/Lot/68275845", "Установка системы видеонаблюдения в корпусах ГАПОУ МО """"Губернский колледж""""")</f>
        <v>Установка системы видеонаблюдения в корпусах ГАПОУ МО ""Губернский колледж""</v>
      </c>
      <c r="G13684" s="22" t="s">
        <v>50</v>
      </c>
      <c r="H13684" s="22" t="s">
        <v>50</v>
      </c>
      <c r="I13684" s="26">
        <v>43522.754166666702</v>
      </c>
      <c r="J13684" s="23" t="str">
        <f>HYPERLINK("https://www.spark-marketing.ru/Card/Person/6505936", "Петухов Никита Евгеньевич")</f>
        <v>Петухов Никита Евгеньевич</v>
      </c>
      <c r="K13684" s="24" t="s">
        <v>15883</v>
      </c>
      <c r="L13684" s="28" t="s">
        <v>52</v>
      </c>
      <c r="M13684" s="25">
        <v>913997</v>
      </c>
      <c r="N13684" s="27">
        <v>0.20522000000000001</v>
      </c>
    </row>
    <row r="13685" spans="1:14" x14ac:dyDescent="0.2">
      <c r="A13685" s="23" t="str">
        <f>HYPERLINK("https://www.spark-marketing.ru/Card/Person/4350519", "ФГБОУ ВО ""МГТУ ИМ. Г. И. НОСОВА"", ФГБОУ ВО ""МАГНИТОГОРСКИЙ ГОСУДАРСТВЕННЫЙ ТЕХНИЧЕСКИЙ УНИВЕРСИТЕТ ИМ. Г. И. НОСОВА"", МАГНИТОГОРСКИЙ ГОСУДАРСТВЕННЫЙ ТЕХНИЧЕСКИЙ УНИВЕРСИТЕТ ИМ. Г. И. НОСОВА, МГТУ ИМ. Г. И. НОСОВА")</f>
        <v>ФГБОУ ВО "МГТУ ИМ. Г. И. НОСОВА", ФГБОУ ВО "МАГНИТОГОРСКИЙ ГОСУДАРСТВЕННЫЙ ТЕХНИЧЕСКИЙ УНИВЕРСИТЕТ ИМ. Г. И. НОСОВА", МАГНИТОГОРСКИЙ ГОСУДАРСТВЕННЫЙ ТЕХНИЧЕСКИЙ УНИВЕРСИТЕТ ИМ. Г. И. НОСОВА, МГТУ ИМ. Г. И. НОСОВА</v>
      </c>
      <c r="B13685" s="24" t="s">
        <v>2959</v>
      </c>
      <c r="C13685" s="25">
        <v>193440</v>
      </c>
      <c r="D13685" s="22" t="s">
        <v>15884</v>
      </c>
      <c r="E13685" s="22" t="s">
        <v>144</v>
      </c>
      <c r="F13685" s="23" t="str">
        <f>HYPERLINK("https://www.spark-marketing.ru/Card/Lot/68268560", "Оказание услуг по физической охране объекта")</f>
        <v>Оказание услуг по физической охране объекта</v>
      </c>
      <c r="G13685" s="22" t="s">
        <v>60</v>
      </c>
      <c r="H13685" s="22" t="s">
        <v>60</v>
      </c>
      <c r="I13685" s="26">
        <v>43522.746493055602</v>
      </c>
      <c r="J13685" s="23" t="str">
        <f>HYPERLINK("https://www.spark-marketing.ru/Card/Person/4435056", "ООО ЧОП ""ФОРМУЛА БЕЗОПАСНОСТИ""")</f>
        <v>ООО ЧОП "ФОРМУЛА БЕЗОПАСНОСТИ"</v>
      </c>
      <c r="K13685" s="24" t="s">
        <v>15885</v>
      </c>
      <c r="L13685" s="28" t="s">
        <v>52</v>
      </c>
      <c r="M13685" s="25">
        <v>193440</v>
      </c>
      <c r="N13685" s="27">
        <v>0</v>
      </c>
    </row>
    <row r="13686" spans="1:14" x14ac:dyDescent="0.15">
      <c r="A13686" s="23" t="str">
        <f>HYPERLINK("https://www.spark-marketing.ru/Card/Person/4355140", "ГБУ ""ТПНИ""")</f>
        <v>ГБУ "ТПНИ"</v>
      </c>
      <c r="B13686" s="24" t="s">
        <v>417</v>
      </c>
      <c r="C13686" s="25">
        <v>198000</v>
      </c>
      <c r="D13686" s="22" t="s">
        <v>15886</v>
      </c>
      <c r="E13686" s="22" t="s">
        <v>107</v>
      </c>
      <c r="F13686" s="23" t="str">
        <f>HYPERLINK("https://www.spark-marketing.ru/Card/Lot/68251769", "Техническое обслуживание системы видеонаблюдения")</f>
        <v>Техническое обслуживание системы видеонаблюдения</v>
      </c>
      <c r="G13686" s="22" t="s">
        <v>69</v>
      </c>
      <c r="H13686" s="22" t="s">
        <v>419</v>
      </c>
      <c r="I13686" s="26">
        <v>43522.71875</v>
      </c>
      <c r="J13686" s="28" t="s">
        <v>52</v>
      </c>
      <c r="K13686" s="28" t="s">
        <v>52</v>
      </c>
      <c r="L13686" s="28" t="s">
        <v>52</v>
      </c>
      <c r="M13686" s="28" t="s">
        <v>52</v>
      </c>
      <c r="N13686" s="28" t="s">
        <v>52</v>
      </c>
    </row>
    <row r="13687" spans="1:14" ht="12.75" hidden="1" outlineLevel="1" x14ac:dyDescent="0.2">
      <c r="A13687" s="23" t="str">
        <f>HYPERLINK("https://www.spark-marketing.ru/Card/Person/4355140", "ГБУ ""ТПНИ""")</f>
        <v>ГБУ "ТПНИ"</v>
      </c>
      <c r="B13687" s="24" t="s">
        <v>417</v>
      </c>
      <c r="C13687" s="25">
        <v>198000</v>
      </c>
      <c r="D13687" s="22" t="s">
        <v>15886</v>
      </c>
      <c r="E13687" s="22" t="s">
        <v>107</v>
      </c>
      <c r="F13687" s="23" t="str">
        <f>HYPERLINK("https://www.spark-marketing.ru/Card/Lot/68251769", "Техническое обслуживание системы видеонаблюдения")</f>
        <v>Техническое обслуживание системы видеонаблюдения</v>
      </c>
      <c r="G13687" s="22" t="s">
        <v>69</v>
      </c>
      <c r="H13687" s="22" t="s">
        <v>419</v>
      </c>
      <c r="I13687" s="26">
        <v>43522.71875</v>
      </c>
      <c r="J13687" s="23" t="str">
        <f>HYPERLINK("https://www.spark-marketing.ru/Card/Person/539484", "ООО ""СТРОЙМАСТЕР-САХАЛИН""")</f>
        <v>ООО "СТРОЙМАСТЕР-САХАЛИН"</v>
      </c>
      <c r="K13687" s="24" t="s">
        <v>15887</v>
      </c>
      <c r="L13687" s="22" t="s">
        <v>10</v>
      </c>
      <c r="M13687" s="25">
        <v>119790</v>
      </c>
      <c r="N13687" s="27">
        <v>0.39500000000000002</v>
      </c>
    </row>
    <row r="13688" spans="1:14" hidden="1" outlineLevel="1" x14ac:dyDescent="0.2">
      <c r="A13688" s="23" t="str">
        <f>HYPERLINK("https://www.spark-marketing.ru/Card/Person/4355140", "ГБУ ""ТПНИ""")</f>
        <v>ГБУ "ТПНИ"</v>
      </c>
      <c r="B13688" s="24" t="s">
        <v>417</v>
      </c>
      <c r="C13688" s="25">
        <v>198000</v>
      </c>
      <c r="D13688" s="22" t="s">
        <v>15886</v>
      </c>
      <c r="E13688" s="22" t="s">
        <v>107</v>
      </c>
      <c r="F13688" s="23" t="str">
        <f>HYPERLINK("https://www.spark-marketing.ru/Card/Lot/68251769", "Техническое обслуживание системы видеонаблюдения")</f>
        <v>Техническое обслуживание системы видеонаблюдения</v>
      </c>
      <c r="G13688" s="22" t="s">
        <v>69</v>
      </c>
      <c r="H13688" s="22" t="s">
        <v>419</v>
      </c>
      <c r="I13688" s="26">
        <v>43522.71875</v>
      </c>
      <c r="J13688" s="23" t="str">
        <f>HYPERLINK("https://www.spark-marketing.ru/Card/Person/105223", "ООО ""САХНОВАТОР""")</f>
        <v>ООО "САХНОВАТОР"</v>
      </c>
      <c r="K13688" s="24" t="s">
        <v>15888</v>
      </c>
      <c r="L13688" s="28" t="s">
        <v>52</v>
      </c>
      <c r="M13688" s="25">
        <v>120780</v>
      </c>
      <c r="N13688" s="27">
        <v>0.39</v>
      </c>
    </row>
    <row r="13689" spans="1:14" hidden="1" outlineLevel="1" x14ac:dyDescent="0.2">
      <c r="A13689" s="23" t="str">
        <f>HYPERLINK("https://www.spark-marketing.ru/Card/Person/4355140", "ГБУ ""ТПНИ""")</f>
        <v>ГБУ "ТПНИ"</v>
      </c>
      <c r="B13689" s="24" t="s">
        <v>417</v>
      </c>
      <c r="C13689" s="25">
        <v>198000</v>
      </c>
      <c r="D13689" s="22" t="s">
        <v>15886</v>
      </c>
      <c r="E13689" s="22" t="s">
        <v>107</v>
      </c>
      <c r="F13689" s="23" t="str">
        <f>HYPERLINK("https://www.spark-marketing.ru/Card/Lot/68251769", "Техническое обслуживание системы видеонаблюдения")</f>
        <v>Техническое обслуживание системы видеонаблюдения</v>
      </c>
      <c r="G13689" s="22" t="s">
        <v>69</v>
      </c>
      <c r="H13689" s="22" t="s">
        <v>419</v>
      </c>
      <c r="I13689" s="26">
        <v>43522.71875</v>
      </c>
      <c r="J13689" s="23" t="str">
        <f>HYPERLINK("https://www.spark-marketing.ru/Card/Person/134905", "ООО ""АРИЭЛЬ""")</f>
        <v>ООО "АРИЭЛЬ"</v>
      </c>
      <c r="K13689" s="24" t="s">
        <v>13758</v>
      </c>
      <c r="L13689" s="28" t="s">
        <v>52</v>
      </c>
      <c r="M13689" s="25">
        <v>124740</v>
      </c>
      <c r="N13689" s="27">
        <v>0.37</v>
      </c>
    </row>
    <row r="13690" spans="1:14" x14ac:dyDescent="0.15">
      <c r="A13690" s="23" t="str">
        <f>HYPERLINK("https://www.spark-marketing.ru/Card/Person/134543", "МЕЖРАЙОННАЯ ИФНС РОССИИ № 2 ПО ПЕНЗЕНСКОЙ ОБЛАСТИ")</f>
        <v>МЕЖРАЙОННАЯ ИФНС РОССИИ № 2 ПО ПЕНЗЕНСКОЙ ОБЛАСТИ</v>
      </c>
      <c r="B13690" s="24" t="s">
        <v>15889</v>
      </c>
      <c r="C13690" s="25">
        <v>393291.72</v>
      </c>
      <c r="D13690" s="22" t="s">
        <v>15890</v>
      </c>
      <c r="E13690" s="22" t="s">
        <v>68</v>
      </c>
      <c r="F13690" s="23" t="str">
        <f>HYPERLINK("https://www.spark-marketing.ru/Card/Lot/68274633", "Оказание услуг по охране и обеспечению пропускного и внутриобъектового режимов административного здания инспекции")</f>
        <v>Оказание услуг по охране и обеспечению пропускного и внутриобъектового режимов административного здания инспекции</v>
      </c>
      <c r="G13690" s="22" t="s">
        <v>514</v>
      </c>
      <c r="H13690" s="22" t="s">
        <v>514</v>
      </c>
      <c r="I13690" s="26">
        <v>43522.720138888901</v>
      </c>
      <c r="J13690" s="28" t="s">
        <v>52</v>
      </c>
      <c r="K13690" s="28" t="s">
        <v>52</v>
      </c>
      <c r="L13690" s="28" t="s">
        <v>52</v>
      </c>
      <c r="M13690" s="28" t="s">
        <v>52</v>
      </c>
      <c r="N13690" s="28" t="s">
        <v>52</v>
      </c>
    </row>
    <row r="13691" spans="1:14" ht="12.75" hidden="1" outlineLevel="1" x14ac:dyDescent="0.2">
      <c r="A13691" s="23" t="str">
        <f>HYPERLINK("https://www.spark-marketing.ru/Card/Person/134543", "МЕЖРАЙОННАЯ ИФНС РОССИИ № 2 ПО ПЕНЗЕНСКОЙ ОБЛАСТИ")</f>
        <v>МЕЖРАЙОННАЯ ИФНС РОССИИ № 2 ПО ПЕНЗЕНСКОЙ ОБЛАСТИ</v>
      </c>
      <c r="B13691" s="24" t="s">
        <v>15889</v>
      </c>
      <c r="C13691" s="25">
        <v>393291.72</v>
      </c>
      <c r="D13691" s="22" t="s">
        <v>15890</v>
      </c>
      <c r="E13691" s="22" t="s">
        <v>68</v>
      </c>
      <c r="F13691" s="23" t="str">
        <f>HYPERLINK("https://www.spark-marketing.ru/Card/Lot/68274633", "Оказание услуг по охране и обеспечению пропускного и внутриобъектового режимов административного здания инспекции")</f>
        <v>Оказание услуг по охране и обеспечению пропускного и внутриобъектового режимов административного здания инспекции</v>
      </c>
      <c r="G13691" s="22" t="s">
        <v>514</v>
      </c>
      <c r="H13691" s="22" t="s">
        <v>514</v>
      </c>
      <c r="I13691" s="26">
        <v>43522.720138888901</v>
      </c>
      <c r="J13691" s="23" t="str">
        <f>HYPERLINK("https://www.spark-marketing.ru/Card/Person/5950268", "ООО ЧОО ""ПРОФЕССИОНАЛ""")</f>
        <v>ООО ЧОО "ПРОФЕССИОНАЛ"</v>
      </c>
      <c r="K13691" s="24" t="s">
        <v>15891</v>
      </c>
      <c r="L13691" s="22" t="s">
        <v>10</v>
      </c>
      <c r="M13691" s="25">
        <v>254100.62</v>
      </c>
      <c r="N13691" s="27">
        <v>0.35391312077457415</v>
      </c>
    </row>
    <row r="13692" spans="1:14" hidden="1" outlineLevel="1" x14ac:dyDescent="0.2">
      <c r="A13692" s="23" t="str">
        <f>HYPERLINK("https://www.spark-marketing.ru/Card/Person/134543", "МЕЖРАЙОННАЯ ИФНС РОССИИ № 2 ПО ПЕНЗЕНСКОЙ ОБЛАСТИ")</f>
        <v>МЕЖРАЙОННАЯ ИФНС РОССИИ № 2 ПО ПЕНЗЕНСКОЙ ОБЛАСТИ</v>
      </c>
      <c r="B13692" s="24" t="s">
        <v>15889</v>
      </c>
      <c r="C13692" s="25">
        <v>393291.72</v>
      </c>
      <c r="D13692" s="22" t="s">
        <v>15890</v>
      </c>
      <c r="E13692" s="22" t="s">
        <v>68</v>
      </c>
      <c r="F13692" s="23" t="str">
        <f>HYPERLINK("https://www.spark-marketing.ru/Card/Lot/68274633", "Оказание услуг по охране и обеспечению пропускного и внутриобъектового режимов административного здания инспекции")</f>
        <v>Оказание услуг по охране и обеспечению пропускного и внутриобъектового режимов административного здания инспекции</v>
      </c>
      <c r="G13692" s="22" t="s">
        <v>514</v>
      </c>
      <c r="H13692" s="22" t="s">
        <v>514</v>
      </c>
      <c r="I13692" s="26">
        <v>43522.720138888901</v>
      </c>
      <c r="J13692" s="23" t="str">
        <f>HYPERLINK("https://www.spark-marketing.ru/Card/Person/768111", "ООО ЧОП "" ПЕНЗА-ОХРАНА""")</f>
        <v>ООО ЧОП " ПЕНЗА-ОХРАНА"</v>
      </c>
      <c r="K13692" s="24" t="s">
        <v>15892</v>
      </c>
      <c r="L13692" s="28" t="s">
        <v>52</v>
      </c>
      <c r="M13692" s="25">
        <v>256067.08</v>
      </c>
      <c r="N13692" s="27">
        <v>0.3489131172148755</v>
      </c>
    </row>
    <row r="13693" spans="1:14" hidden="1" outlineLevel="1" x14ac:dyDescent="0.2">
      <c r="A13693" s="23" t="str">
        <f>HYPERLINK("https://www.spark-marketing.ru/Card/Person/134543", "МЕЖРАЙОННАЯ ИФНС РОССИИ № 2 ПО ПЕНЗЕНСКОЙ ОБЛАСТИ")</f>
        <v>МЕЖРАЙОННАЯ ИФНС РОССИИ № 2 ПО ПЕНЗЕНСКОЙ ОБЛАСТИ</v>
      </c>
      <c r="B13693" s="24" t="s">
        <v>15889</v>
      </c>
      <c r="C13693" s="25">
        <v>393291.72</v>
      </c>
      <c r="D13693" s="22" t="s">
        <v>15890</v>
      </c>
      <c r="E13693" s="22" t="s">
        <v>68</v>
      </c>
      <c r="F13693" s="23" t="str">
        <f>HYPERLINK("https://www.spark-marketing.ru/Card/Lot/68274633", "Оказание услуг по охране и обеспечению пропускного и внутриобъектового режимов административного здания инспекции")</f>
        <v>Оказание услуг по охране и обеспечению пропускного и внутриобъектового режимов административного здания инспекции</v>
      </c>
      <c r="G13693" s="22" t="s">
        <v>514</v>
      </c>
      <c r="H13693" s="22" t="s">
        <v>514</v>
      </c>
      <c r="I13693" s="26">
        <v>43522.720138888901</v>
      </c>
      <c r="J13693" s="23" t="str">
        <f>HYPERLINK("https://www.spark-marketing.ru/Card/Person/4492237", "ООО ЧОО ""КАЗАЧИЙ""")</f>
        <v>ООО ЧОО "КАЗАЧИЙ"</v>
      </c>
      <c r="K13693" s="24" t="s">
        <v>15893</v>
      </c>
      <c r="L13693" s="28" t="s">
        <v>52</v>
      </c>
      <c r="M13693" s="25">
        <v>391325.26</v>
      </c>
      <c r="N13693" s="27">
        <v>5.0000035596986375E-3</v>
      </c>
    </row>
    <row r="13694" spans="1:14" x14ac:dyDescent="0.15">
      <c r="A13694" s="23" t="str">
        <f>HYPERLINK("https://www.spark-marketing.ru/Card/Person/1030331", "ГКУСО МО ""ЭЛЕКТРОСТАЛЬСКИЙ СРЦН ""ДОВЕРИЕ""")</f>
        <v>ГКУСО МО "ЭЛЕКТРОСТАЛЬСКИЙ СРЦН "ДОВЕРИЕ"</v>
      </c>
      <c r="B13694" s="24" t="s">
        <v>15894</v>
      </c>
      <c r="C13694" s="25">
        <v>43200</v>
      </c>
      <c r="D13694" s="22" t="s">
        <v>15895</v>
      </c>
      <c r="E13694" s="22" t="s">
        <v>107</v>
      </c>
      <c r="F13694" s="23" t="str">
        <f>HYPERLINK("https://www.spark-marketing.ru/Card/Lot/68540092", "Услуги по техническому обслуживанию (содержанию) систем охранной (противовзломной) сигнализации")</f>
        <v>Услуги по техническому обслуживанию (содержанию) систем охранной (противовзломной) сигнализации</v>
      </c>
      <c r="G13694" s="22" t="s">
        <v>50</v>
      </c>
      <c r="H13694" s="22" t="s">
        <v>747</v>
      </c>
      <c r="I13694" s="26">
        <v>43522.711168981499</v>
      </c>
      <c r="J13694" s="28" t="s">
        <v>52</v>
      </c>
      <c r="K13694" s="28" t="s">
        <v>52</v>
      </c>
      <c r="L13694" s="28" t="s">
        <v>52</v>
      </c>
      <c r="M13694" s="28" t="s">
        <v>52</v>
      </c>
      <c r="N13694" s="28" t="s">
        <v>52</v>
      </c>
    </row>
    <row r="13695" spans="1:14" x14ac:dyDescent="0.15">
      <c r="A13695" s="23" t="str">
        <f t="shared" ref="A13695:A13700" si="710">HYPERLINK("https://www.spark-marketing.ru/Card/Person/66325", "ГБУЗ РКГВВ")</f>
        <v>ГБУЗ РКГВВ</v>
      </c>
      <c r="B13695" s="24" t="s">
        <v>15896</v>
      </c>
      <c r="C13695" s="25">
        <v>120000</v>
      </c>
      <c r="D13695" s="22" t="s">
        <v>15897</v>
      </c>
      <c r="E13695" s="22" t="s">
        <v>194</v>
      </c>
      <c r="F13695" s="23" t="str">
        <f t="shared" ref="F13695:F13700" si="711">HYPERLINK("https://www.spark-marketing.ru/Card/Lot/68272536", "Оказание услуг по обслуживанию системы видеонаблюдения в помещениях ГБУЗ РКГВВ")</f>
        <v>Оказание услуг по обслуживанию системы видеонаблюдения в помещениях ГБУЗ РКГВВ</v>
      </c>
      <c r="G13695" s="22" t="s">
        <v>100</v>
      </c>
      <c r="H13695" s="22" t="s">
        <v>373</v>
      </c>
      <c r="I13695" s="26">
        <v>43522.740277777797</v>
      </c>
      <c r="J13695" s="28" t="s">
        <v>52</v>
      </c>
      <c r="K13695" s="28" t="s">
        <v>52</v>
      </c>
      <c r="L13695" s="28" t="s">
        <v>52</v>
      </c>
      <c r="M13695" s="28" t="s">
        <v>52</v>
      </c>
      <c r="N13695" s="28" t="s">
        <v>52</v>
      </c>
    </row>
    <row r="13696" spans="1:14" ht="12.75" hidden="1" outlineLevel="1" x14ac:dyDescent="0.2">
      <c r="A13696" s="23" t="str">
        <f t="shared" si="710"/>
        <v>ГБУЗ РКГВВ</v>
      </c>
      <c r="B13696" s="24" t="s">
        <v>15896</v>
      </c>
      <c r="C13696" s="25">
        <v>120000</v>
      </c>
      <c r="D13696" s="22" t="s">
        <v>15897</v>
      </c>
      <c r="E13696" s="22" t="s">
        <v>194</v>
      </c>
      <c r="F13696" s="23" t="str">
        <f t="shared" si="711"/>
        <v>Оказание услуг по обслуживанию системы видеонаблюдения в помещениях ГБУЗ РКГВВ</v>
      </c>
      <c r="G13696" s="22" t="s">
        <v>100</v>
      </c>
      <c r="H13696" s="22" t="s">
        <v>373</v>
      </c>
      <c r="I13696" s="26">
        <v>43522.740277777797</v>
      </c>
      <c r="J13696" s="23" t="str">
        <f>HYPERLINK("https://www.spark-marketing.ru/Card/Person/4381257", "ООО ""БАШКИРСКИЙ ПТУС""")</f>
        <v>ООО "БАШКИРСКИЙ ПТУС"</v>
      </c>
      <c r="K13696" s="24" t="s">
        <v>7189</v>
      </c>
      <c r="L13696" s="22" t="s">
        <v>10</v>
      </c>
      <c r="M13696" s="25">
        <v>27000</v>
      </c>
      <c r="N13696" s="27">
        <v>0.77500000000000002</v>
      </c>
    </row>
    <row r="13697" spans="1:14" hidden="1" outlineLevel="1" x14ac:dyDescent="0.2">
      <c r="A13697" s="23" t="str">
        <f t="shared" si="710"/>
        <v>ГБУЗ РКГВВ</v>
      </c>
      <c r="B13697" s="24" t="s">
        <v>15896</v>
      </c>
      <c r="C13697" s="25">
        <v>120000</v>
      </c>
      <c r="D13697" s="22" t="s">
        <v>15897</v>
      </c>
      <c r="E13697" s="22" t="s">
        <v>194</v>
      </c>
      <c r="F13697" s="23" t="str">
        <f t="shared" si="711"/>
        <v>Оказание услуг по обслуживанию системы видеонаблюдения в помещениях ГБУЗ РКГВВ</v>
      </c>
      <c r="G13697" s="22" t="s">
        <v>100</v>
      </c>
      <c r="H13697" s="22" t="s">
        <v>373</v>
      </c>
      <c r="I13697" s="26">
        <v>43522.740277777797</v>
      </c>
      <c r="J13697" s="23" t="str">
        <f>HYPERLINK("https://www.spark-marketing.ru/Card/Person/992921", "ООО ""АР-СЕРВИС""")</f>
        <v>ООО "АР-СЕРВИС"</v>
      </c>
      <c r="K13697" s="24" t="s">
        <v>15898</v>
      </c>
      <c r="L13697" s="28" t="s">
        <v>52</v>
      </c>
      <c r="M13697" s="25">
        <v>27600</v>
      </c>
      <c r="N13697" s="27">
        <v>0.77</v>
      </c>
    </row>
    <row r="13698" spans="1:14" hidden="1" outlineLevel="1" x14ac:dyDescent="0.2">
      <c r="A13698" s="23" t="str">
        <f t="shared" si="710"/>
        <v>ГБУЗ РКГВВ</v>
      </c>
      <c r="B13698" s="24" t="s">
        <v>15896</v>
      </c>
      <c r="C13698" s="25">
        <v>120000</v>
      </c>
      <c r="D13698" s="22" t="s">
        <v>15897</v>
      </c>
      <c r="E13698" s="22" t="s">
        <v>194</v>
      </c>
      <c r="F13698" s="23" t="str">
        <f t="shared" si="711"/>
        <v>Оказание услуг по обслуживанию системы видеонаблюдения в помещениях ГБУЗ РКГВВ</v>
      </c>
      <c r="G13698" s="22" t="s">
        <v>100</v>
      </c>
      <c r="H13698" s="22" t="s">
        <v>373</v>
      </c>
      <c r="I13698" s="26">
        <v>43522.740277777797</v>
      </c>
      <c r="J13698" s="23" t="str">
        <f>HYPERLINK("https://www.spark-marketing.ru/Card/Person/160016", "ООО ""ТОТЕМ РИТЕЙЛ""")</f>
        <v>ООО "ТОТЕМ РИТЕЙЛ"</v>
      </c>
      <c r="K13698" s="24" t="s">
        <v>15899</v>
      </c>
      <c r="L13698" s="28" t="s">
        <v>52</v>
      </c>
      <c r="M13698" s="25">
        <v>95400</v>
      </c>
      <c r="N13698" s="27">
        <v>0.20499999999999999</v>
      </c>
    </row>
    <row r="13699" spans="1:14" hidden="1" outlineLevel="1" x14ac:dyDescent="0.2">
      <c r="A13699" s="23" t="str">
        <f t="shared" si="710"/>
        <v>ГБУЗ РКГВВ</v>
      </c>
      <c r="B13699" s="24" t="s">
        <v>15896</v>
      </c>
      <c r="C13699" s="25">
        <v>120000</v>
      </c>
      <c r="D13699" s="22" t="s">
        <v>15897</v>
      </c>
      <c r="E13699" s="22" t="s">
        <v>194</v>
      </c>
      <c r="F13699" s="23" t="str">
        <f t="shared" si="711"/>
        <v>Оказание услуг по обслуживанию системы видеонаблюдения в помещениях ГБУЗ РКГВВ</v>
      </c>
      <c r="G13699" s="22" t="s">
        <v>100</v>
      </c>
      <c r="H13699" s="22" t="s">
        <v>373</v>
      </c>
      <c r="I13699" s="26">
        <v>43522.740277777797</v>
      </c>
      <c r="J13699" s="23" t="str">
        <f>HYPERLINK("https://www.spark-marketing.ru/Card/Person/306053", "ООО ""КЛИМОТЕК""")</f>
        <v>ООО "КЛИМОТЕК"</v>
      </c>
      <c r="K13699" s="24" t="s">
        <v>15900</v>
      </c>
      <c r="L13699" s="28" t="s">
        <v>52</v>
      </c>
      <c r="M13699" s="25">
        <v>54000</v>
      </c>
      <c r="N13699" s="27">
        <v>0.55000000000000004</v>
      </c>
    </row>
    <row r="13700" spans="1:14" hidden="1" outlineLevel="1" x14ac:dyDescent="0.2">
      <c r="A13700" s="23" t="str">
        <f t="shared" si="710"/>
        <v>ГБУЗ РКГВВ</v>
      </c>
      <c r="B13700" s="24" t="s">
        <v>15896</v>
      </c>
      <c r="C13700" s="25">
        <v>120000</v>
      </c>
      <c r="D13700" s="22" t="s">
        <v>15897</v>
      </c>
      <c r="E13700" s="22" t="s">
        <v>194</v>
      </c>
      <c r="F13700" s="23" t="str">
        <f t="shared" si="711"/>
        <v>Оказание услуг по обслуживанию системы видеонаблюдения в помещениях ГБУЗ РКГВВ</v>
      </c>
      <c r="G13700" s="22" t="s">
        <v>100</v>
      </c>
      <c r="H13700" s="22" t="s">
        <v>373</v>
      </c>
      <c r="I13700" s="26">
        <v>43522.740277777797</v>
      </c>
      <c r="J13700" s="23" t="str">
        <f>HYPERLINK("https://www.spark-marketing.ru/Card/Person/6215246", "ООО ""АЛЬФА-РЕНЕССАНС""")</f>
        <v>ООО "АЛЬФА-РЕНЕССАНС"</v>
      </c>
      <c r="K13700" s="24" t="s">
        <v>10921</v>
      </c>
      <c r="L13700" s="28" t="s">
        <v>52</v>
      </c>
      <c r="M13700" s="25">
        <v>51600</v>
      </c>
      <c r="N13700" s="27">
        <v>0.56999999999999995</v>
      </c>
    </row>
    <row r="13701" spans="1:14" x14ac:dyDescent="0.15">
      <c r="A13701" s="23" t="str">
        <f t="shared" ref="A13701:A13711" si="712">HYPERLINK("https://www.spark-marketing.ru/Card/Person/32507", "ГБУЗ ""ГП № 19 ДЗМ""")</f>
        <v>ГБУЗ "ГП № 19 ДЗМ"</v>
      </c>
      <c r="B13701" s="24" t="s">
        <v>347</v>
      </c>
      <c r="C13701" s="25">
        <v>191739.1</v>
      </c>
      <c r="D13701" s="22" t="s">
        <v>15901</v>
      </c>
      <c r="E13701" s="22" t="s">
        <v>5034</v>
      </c>
      <c r="F13701" s="23" t="str">
        <f t="shared" ref="F13701:F13711" si="713">HYPERLINK("https://www.spark-marketing.ru/Card/Lot/68275465", "Выполнение работ по техническому обслуживанию системы видеонаблюдения ГБУЗ «ГП № 19 ДЗМ» в 2019 году")</f>
        <v>Выполнение работ по техническому обслуживанию системы видеонаблюдения ГБУЗ «ГП № 19 ДЗМ» в 2019 году</v>
      </c>
      <c r="G13701" s="22" t="s">
        <v>55</v>
      </c>
      <c r="H13701" s="22" t="s">
        <v>55</v>
      </c>
      <c r="I13701" s="26">
        <v>43522.732638888898</v>
      </c>
      <c r="J13701" s="28" t="s">
        <v>52</v>
      </c>
      <c r="K13701" s="28" t="s">
        <v>52</v>
      </c>
      <c r="L13701" s="28" t="s">
        <v>52</v>
      </c>
      <c r="M13701" s="28" t="s">
        <v>52</v>
      </c>
      <c r="N13701" s="28" t="s">
        <v>52</v>
      </c>
    </row>
    <row r="13702" spans="1:14" hidden="1" outlineLevel="1" x14ac:dyDescent="0.2">
      <c r="A13702" s="23" t="str">
        <f t="shared" si="712"/>
        <v>ГБУЗ "ГП № 19 ДЗМ"</v>
      </c>
      <c r="B13702" s="24" t="s">
        <v>347</v>
      </c>
      <c r="C13702" s="25">
        <v>191739.1</v>
      </c>
      <c r="D13702" s="22" t="s">
        <v>15901</v>
      </c>
      <c r="E13702" s="22" t="s">
        <v>5034</v>
      </c>
      <c r="F13702" s="23" t="str">
        <f t="shared" si="713"/>
        <v>Выполнение работ по техническому обслуживанию системы видеонаблюдения ГБУЗ «ГП № 19 ДЗМ» в 2019 году</v>
      </c>
      <c r="G13702" s="22" t="s">
        <v>55</v>
      </c>
      <c r="H13702" s="22" t="s">
        <v>55</v>
      </c>
      <c r="I13702" s="26">
        <v>43522.732638888898</v>
      </c>
      <c r="J13702" s="23" t="str">
        <f>HYPERLINK("https://www.spark-marketing.ru/Card/Person/120550", "Панин Владимир Александрович")</f>
        <v>Панин Владимир Александрович</v>
      </c>
      <c r="K13702" s="24" t="s">
        <v>15902</v>
      </c>
      <c r="L13702" s="28" t="s">
        <v>52</v>
      </c>
      <c r="M13702" s="25">
        <v>99999</v>
      </c>
      <c r="N13702" s="27">
        <v>0.47846318252250064</v>
      </c>
    </row>
    <row r="13703" spans="1:14" hidden="1" outlineLevel="1" x14ac:dyDescent="0.2">
      <c r="A13703" s="23" t="str">
        <f t="shared" si="712"/>
        <v>ГБУЗ "ГП № 19 ДЗМ"</v>
      </c>
      <c r="B13703" s="24" t="s">
        <v>347</v>
      </c>
      <c r="C13703" s="25">
        <v>191739.1</v>
      </c>
      <c r="D13703" s="22" t="s">
        <v>15901</v>
      </c>
      <c r="E13703" s="22" t="s">
        <v>5034</v>
      </c>
      <c r="F13703" s="23" t="str">
        <f t="shared" si="713"/>
        <v>Выполнение работ по техническому обслуживанию системы видеонаблюдения ГБУЗ «ГП № 19 ДЗМ» в 2019 году</v>
      </c>
      <c r="G13703" s="22" t="s">
        <v>55</v>
      </c>
      <c r="H13703" s="22" t="s">
        <v>55</v>
      </c>
      <c r="I13703" s="26">
        <v>43522.732638888898</v>
      </c>
      <c r="J13703" s="23" t="str">
        <f>HYPERLINK("https://www.spark-marketing.ru/Card/Person/4875503", "ООО ""СЕРВИС ЭМ""")</f>
        <v>ООО "СЕРВИС ЭМ"</v>
      </c>
      <c r="K13703" s="24" t="s">
        <v>15383</v>
      </c>
      <c r="L13703" s="28" t="s">
        <v>52</v>
      </c>
      <c r="M13703" s="25">
        <v>90000</v>
      </c>
      <c r="N13703" s="27">
        <v>0.53061217039195452</v>
      </c>
    </row>
    <row r="13704" spans="1:14" ht="12.75" hidden="1" outlineLevel="1" x14ac:dyDescent="0.2">
      <c r="A13704" s="23" t="str">
        <f t="shared" si="712"/>
        <v>ГБУЗ "ГП № 19 ДЗМ"</v>
      </c>
      <c r="B13704" s="24" t="s">
        <v>347</v>
      </c>
      <c r="C13704" s="25">
        <v>191739.1</v>
      </c>
      <c r="D13704" s="22" t="s">
        <v>15901</v>
      </c>
      <c r="E13704" s="22" t="s">
        <v>5034</v>
      </c>
      <c r="F13704" s="23" t="str">
        <f t="shared" si="713"/>
        <v>Выполнение работ по техническому обслуживанию системы видеонаблюдения ГБУЗ «ГП № 19 ДЗМ» в 2019 году</v>
      </c>
      <c r="G13704" s="22" t="s">
        <v>55</v>
      </c>
      <c r="H13704" s="22" t="s">
        <v>55</v>
      </c>
      <c r="I13704" s="26">
        <v>43522.732638888898</v>
      </c>
      <c r="J13704" s="23" t="str">
        <f>HYPERLINK("https://www.spark-marketing.ru/Card/Person/6364371", "ООО ""ЛТБ""")</f>
        <v>ООО "ЛТБ"</v>
      </c>
      <c r="K13704" s="24" t="s">
        <v>8538</v>
      </c>
      <c r="L13704" s="22" t="s">
        <v>10</v>
      </c>
      <c r="M13704" s="25">
        <v>30247.8</v>
      </c>
      <c r="N13704" s="27">
        <v>0.8422450089731307</v>
      </c>
    </row>
    <row r="13705" spans="1:14" hidden="1" outlineLevel="1" x14ac:dyDescent="0.2">
      <c r="A13705" s="23" t="str">
        <f t="shared" si="712"/>
        <v>ГБУЗ "ГП № 19 ДЗМ"</v>
      </c>
      <c r="B13705" s="24" t="s">
        <v>347</v>
      </c>
      <c r="C13705" s="25">
        <v>191739.1</v>
      </c>
      <c r="D13705" s="22" t="s">
        <v>15901</v>
      </c>
      <c r="E13705" s="22" t="s">
        <v>5034</v>
      </c>
      <c r="F13705" s="23" t="str">
        <f t="shared" si="713"/>
        <v>Выполнение работ по техническому обслуживанию системы видеонаблюдения ГБУЗ «ГП № 19 ДЗМ» в 2019 году</v>
      </c>
      <c r="G13705" s="22" t="s">
        <v>55</v>
      </c>
      <c r="H13705" s="22" t="s">
        <v>55</v>
      </c>
      <c r="I13705" s="26">
        <v>43522.732638888898</v>
      </c>
      <c r="J13705" s="23" t="str">
        <f>HYPERLINK("https://www.spark-marketing.ru/Card/Person/5827083", "Горожанкин Владимир Викторович")</f>
        <v>Горожанкин Владимир Викторович</v>
      </c>
      <c r="K13705" s="24" t="s">
        <v>15903</v>
      </c>
      <c r="L13705" s="28" t="s">
        <v>52</v>
      </c>
      <c r="M13705" s="25">
        <v>101621.66</v>
      </c>
      <c r="N13705" s="27">
        <v>0.47000032857148072</v>
      </c>
    </row>
    <row r="13706" spans="1:14" hidden="1" outlineLevel="1" x14ac:dyDescent="0.2">
      <c r="A13706" s="23" t="str">
        <f t="shared" si="712"/>
        <v>ГБУЗ "ГП № 19 ДЗМ"</v>
      </c>
      <c r="B13706" s="24" t="s">
        <v>347</v>
      </c>
      <c r="C13706" s="25">
        <v>191739.1</v>
      </c>
      <c r="D13706" s="22" t="s">
        <v>15901</v>
      </c>
      <c r="E13706" s="22" t="s">
        <v>5034</v>
      </c>
      <c r="F13706" s="23" t="str">
        <f t="shared" si="713"/>
        <v>Выполнение работ по техническому обслуживанию системы видеонаблюдения ГБУЗ «ГП № 19 ДЗМ» в 2019 году</v>
      </c>
      <c r="G13706" s="22" t="s">
        <v>55</v>
      </c>
      <c r="H13706" s="22" t="s">
        <v>55</v>
      </c>
      <c r="I13706" s="26">
        <v>43522.732638888898</v>
      </c>
      <c r="J13706" s="23" t="str">
        <f>HYPERLINK("https://www.spark-marketing.ru/Card/Person/6286702", "ООО ""ГК ЭТЕРНИС""")</f>
        <v>ООО "ГК ЭТЕРНИС"</v>
      </c>
      <c r="K13706" s="24" t="s">
        <v>15904</v>
      </c>
      <c r="L13706" s="28" t="s">
        <v>52</v>
      </c>
      <c r="M13706" s="25">
        <v>100000</v>
      </c>
      <c r="N13706" s="27">
        <v>0.47845796710217164</v>
      </c>
    </row>
    <row r="13707" spans="1:14" hidden="1" outlineLevel="1" x14ac:dyDescent="0.2">
      <c r="A13707" s="23" t="str">
        <f t="shared" si="712"/>
        <v>ГБУЗ "ГП № 19 ДЗМ"</v>
      </c>
      <c r="B13707" s="24" t="s">
        <v>347</v>
      </c>
      <c r="C13707" s="25">
        <v>191739.1</v>
      </c>
      <c r="D13707" s="22" t="s">
        <v>15901</v>
      </c>
      <c r="E13707" s="22" t="s">
        <v>5034</v>
      </c>
      <c r="F13707" s="23" t="str">
        <f t="shared" si="713"/>
        <v>Выполнение работ по техническому обслуживанию системы видеонаблюдения ГБУЗ «ГП № 19 ДЗМ» в 2019 году</v>
      </c>
      <c r="G13707" s="22" t="s">
        <v>55</v>
      </c>
      <c r="H13707" s="22" t="s">
        <v>55</v>
      </c>
      <c r="I13707" s="26">
        <v>43522.732638888898</v>
      </c>
      <c r="J13707" s="23" t="str">
        <f>HYPERLINK("https://www.spark-marketing.ru/Card/Person/5854368", "ООО ""КОНСУЛЬТАНТ""")</f>
        <v>ООО "КОНСУЛЬТАНТ"</v>
      </c>
      <c r="K13707" s="24" t="s">
        <v>15905</v>
      </c>
      <c r="L13707" s="28" t="s">
        <v>52</v>
      </c>
      <c r="M13707" s="25">
        <v>189821.7</v>
      </c>
      <c r="N13707" s="27">
        <v>1.0000046938782961E-2</v>
      </c>
    </row>
    <row r="13708" spans="1:14" hidden="1" outlineLevel="1" x14ac:dyDescent="0.2">
      <c r="A13708" s="23" t="str">
        <f t="shared" si="712"/>
        <v>ГБУЗ "ГП № 19 ДЗМ"</v>
      </c>
      <c r="B13708" s="24" t="s">
        <v>347</v>
      </c>
      <c r="C13708" s="25">
        <v>191739.1</v>
      </c>
      <c r="D13708" s="22" t="s">
        <v>15901</v>
      </c>
      <c r="E13708" s="22" t="s">
        <v>5034</v>
      </c>
      <c r="F13708" s="23" t="str">
        <f t="shared" si="713"/>
        <v>Выполнение работ по техническому обслуживанию системы видеонаблюдения ГБУЗ «ГП № 19 ДЗМ» в 2019 году</v>
      </c>
      <c r="G13708" s="22" t="s">
        <v>55</v>
      </c>
      <c r="H13708" s="22" t="s">
        <v>55</v>
      </c>
      <c r="I13708" s="26">
        <v>43522.732638888898</v>
      </c>
      <c r="J13708" s="23" t="str">
        <f>HYPERLINK("https://www.spark-marketing.ru/Card/Person/645639", "ООО ""АКВО""")</f>
        <v>ООО "АКВО"</v>
      </c>
      <c r="K13708" s="24" t="s">
        <v>15906</v>
      </c>
      <c r="L13708" s="28" t="s">
        <v>52</v>
      </c>
      <c r="M13708" s="25">
        <v>32165.200000000001</v>
      </c>
      <c r="N13708" s="27">
        <v>0.83224496203434772</v>
      </c>
    </row>
    <row r="13709" spans="1:14" hidden="1" outlineLevel="1" x14ac:dyDescent="0.2">
      <c r="A13709" s="23" t="str">
        <f t="shared" si="712"/>
        <v>ГБУЗ "ГП № 19 ДЗМ"</v>
      </c>
      <c r="B13709" s="24" t="s">
        <v>347</v>
      </c>
      <c r="C13709" s="25">
        <v>191739.1</v>
      </c>
      <c r="D13709" s="22" t="s">
        <v>15901</v>
      </c>
      <c r="E13709" s="22" t="s">
        <v>5034</v>
      </c>
      <c r="F13709" s="23" t="str">
        <f t="shared" si="713"/>
        <v>Выполнение работ по техническому обслуживанию системы видеонаблюдения ГБУЗ «ГП № 19 ДЗМ» в 2019 году</v>
      </c>
      <c r="G13709" s="22" t="s">
        <v>55</v>
      </c>
      <c r="H13709" s="22" t="s">
        <v>55</v>
      </c>
      <c r="I13709" s="26">
        <v>43522.732638888898</v>
      </c>
      <c r="J13709" s="23" t="str">
        <f>HYPERLINK("https://www.spark-marketing.ru/Card/Person/14846", "ООО ""ФЭЗЕРА""")</f>
        <v>ООО "ФЭЗЕРА"</v>
      </c>
      <c r="K13709" s="24" t="s">
        <v>1216</v>
      </c>
      <c r="L13709" s="28" t="s">
        <v>52</v>
      </c>
      <c r="M13709" s="25">
        <v>63273.82</v>
      </c>
      <c r="N13709" s="27">
        <v>0.67000043287988731</v>
      </c>
    </row>
    <row r="13710" spans="1:14" hidden="1" outlineLevel="1" x14ac:dyDescent="0.2">
      <c r="A13710" s="23" t="str">
        <f t="shared" si="712"/>
        <v>ГБУЗ "ГП № 19 ДЗМ"</v>
      </c>
      <c r="B13710" s="24" t="s">
        <v>347</v>
      </c>
      <c r="C13710" s="25">
        <v>191739.1</v>
      </c>
      <c r="D13710" s="22" t="s">
        <v>15901</v>
      </c>
      <c r="E13710" s="22" t="s">
        <v>5034</v>
      </c>
      <c r="F13710" s="23" t="str">
        <f t="shared" si="713"/>
        <v>Выполнение работ по техническому обслуживанию системы видеонаблюдения ГБУЗ «ГП № 19 ДЗМ» в 2019 году</v>
      </c>
      <c r="G13710" s="22" t="s">
        <v>55</v>
      </c>
      <c r="H13710" s="22" t="s">
        <v>55</v>
      </c>
      <c r="I13710" s="26">
        <v>43522.732638888898</v>
      </c>
      <c r="J13710" s="23" t="str">
        <f>HYPERLINK("https://www.spark-marketing.ru/Card/Person/5885640", "ООО ""ПОЖСПЕЦСВЯЗЬ""")</f>
        <v>ООО "ПОЖСПЕЦСВЯЗЬ"</v>
      </c>
      <c r="K13710" s="24" t="s">
        <v>4809</v>
      </c>
      <c r="L13710" s="28" t="s">
        <v>52</v>
      </c>
      <c r="M13710" s="25">
        <v>62315.12</v>
      </c>
      <c r="N13710" s="27">
        <v>0.67500045634927874</v>
      </c>
    </row>
    <row r="13711" spans="1:14" hidden="1" outlineLevel="1" x14ac:dyDescent="0.2">
      <c r="A13711" s="23" t="str">
        <f t="shared" si="712"/>
        <v>ГБУЗ "ГП № 19 ДЗМ"</v>
      </c>
      <c r="B13711" s="24" t="s">
        <v>347</v>
      </c>
      <c r="C13711" s="25">
        <v>191739.1</v>
      </c>
      <c r="D13711" s="22" t="s">
        <v>15901</v>
      </c>
      <c r="E13711" s="22" t="s">
        <v>5034</v>
      </c>
      <c r="F13711" s="23" t="str">
        <f t="shared" si="713"/>
        <v>Выполнение работ по техническому обслуживанию системы видеонаблюдения ГБУЗ «ГП № 19 ДЗМ» в 2019 году</v>
      </c>
      <c r="G13711" s="22" t="s">
        <v>55</v>
      </c>
      <c r="H13711" s="22" t="s">
        <v>55</v>
      </c>
      <c r="I13711" s="26">
        <v>43522.732638888898</v>
      </c>
      <c r="J13711" s="23" t="str">
        <f>HYPERLINK("https://www.spark-marketing.ru/Card/Person/6445825", "Судариков Михаил Геннадьевич")</f>
        <v>Судариков Михаил Геннадьевич</v>
      </c>
      <c r="K13711" s="24" t="s">
        <v>1219</v>
      </c>
      <c r="L13711" s="28" t="s">
        <v>52</v>
      </c>
      <c r="M13711" s="25">
        <v>31206.5</v>
      </c>
      <c r="N13711" s="27">
        <v>0.83724498550373916</v>
      </c>
    </row>
    <row r="13712" spans="1:14" x14ac:dyDescent="0.15">
      <c r="A13712" s="23" t="str">
        <f>HYPERLINK("https://www.spark-marketing.ru/Card/Person/1038218", "МБОУ СОШ № 43 Г.БРЯНСКА")</f>
        <v>МБОУ СОШ № 43 Г.БРЯНСКА</v>
      </c>
      <c r="B13712" s="24" t="s">
        <v>3972</v>
      </c>
      <c r="C13712" s="25">
        <v>62400</v>
      </c>
      <c r="D13712" s="22" t="s">
        <v>15907</v>
      </c>
      <c r="E13712" s="22" t="s">
        <v>68</v>
      </c>
      <c r="F13712" s="23" t="str">
        <f>HYPERLINK("https://www.spark-marketing.ru/Card/Lot/68274288", "услуги по обеспечению охраны объекта")</f>
        <v>услуги по обеспечению охраны объекта</v>
      </c>
      <c r="G13712" s="22" t="s">
        <v>215</v>
      </c>
      <c r="H13712" s="22" t="s">
        <v>406</v>
      </c>
      <c r="I13712" s="26">
        <v>43522.741666666698</v>
      </c>
      <c r="J13712" s="28" t="s">
        <v>52</v>
      </c>
      <c r="K13712" s="28" t="s">
        <v>52</v>
      </c>
      <c r="L13712" s="28" t="s">
        <v>52</v>
      </c>
      <c r="M13712" s="28" t="s">
        <v>52</v>
      </c>
      <c r="N13712" s="28" t="s">
        <v>52</v>
      </c>
    </row>
    <row r="13713" spans="1:14" x14ac:dyDescent="0.15">
      <c r="A13713" s="23" t="str">
        <f>HYPERLINK("https://www.spark-marketing.ru/Card/Person/20226", "МТУ РОСИМУЩЕСТВА ВО ВЛАДИМИРСКОЙ, ИВАНОВСКОЙ, КОСТРОМСКОЙ И ЯРОСЛАВСКОЙ ОБЛАСТЯХ")</f>
        <v>МТУ РОСИМУЩЕСТВА ВО ВЛАДИМИРСКОЙ, ИВАНОВСКОЙ, КОСТРОМСКОЙ И ЯРОСЛАВСКОЙ ОБЛАСТЯХ</v>
      </c>
      <c r="B13713" s="24" t="s">
        <v>15908</v>
      </c>
      <c r="C13713" s="25">
        <v>105730.56</v>
      </c>
      <c r="D13713" s="22" t="s">
        <v>15909</v>
      </c>
      <c r="E13713" s="22" t="s">
        <v>183</v>
      </c>
      <c r="F13713" s="23" t="str">
        <f>HYPERLINK("https://www.spark-marketing.ru/Card/Lot/68275989", "Оказание услуг по обслуживанию комплекса технических средств  охраны, установленного на объекте Государственного заказчика")</f>
        <v>Оказание услуг по обслуживанию комплекса технических средств  охраны, установленного на объекте Государственного заказчика</v>
      </c>
      <c r="G13713" s="22" t="s">
        <v>1104</v>
      </c>
      <c r="H13713" s="22" t="s">
        <v>1105</v>
      </c>
      <c r="I13713" s="26">
        <v>43522.711805555598</v>
      </c>
      <c r="J13713" s="28" t="s">
        <v>52</v>
      </c>
      <c r="K13713" s="28" t="s">
        <v>52</v>
      </c>
      <c r="L13713" s="28" t="s">
        <v>52</v>
      </c>
      <c r="M13713" s="28" t="s">
        <v>52</v>
      </c>
      <c r="N13713" s="28" t="s">
        <v>52</v>
      </c>
    </row>
    <row r="13714" spans="1:14" x14ac:dyDescent="0.15">
      <c r="A13714" s="23" t="str">
        <f>HYPERLINK("https://www.spark-marketing.ru/Card/Person/4347246", "ГБУЗ ""ДГП № 1 Г. МАГНИТОГОРСК""")</f>
        <v>ГБУЗ "ДГП № 1 Г. МАГНИТОГОРСК"</v>
      </c>
      <c r="B13714" s="24" t="s">
        <v>219</v>
      </c>
      <c r="C13714" s="25">
        <v>36495</v>
      </c>
      <c r="D13714" s="22" t="s">
        <v>15910</v>
      </c>
      <c r="E13714" s="22" t="s">
        <v>68</v>
      </c>
      <c r="F13714" s="23" t="str">
        <f>HYPERLINK("https://www.spark-marketing.ru/Card/Lot/68268722", "Услуги по охране объектов  с помощью ПЦН")</f>
        <v>Услуги по охране объектов  с помощью ПЦН</v>
      </c>
      <c r="G13714" s="22" t="s">
        <v>60</v>
      </c>
      <c r="H13714" s="22" t="s">
        <v>221</v>
      </c>
      <c r="I13714" s="26">
        <v>43522.724999999999</v>
      </c>
      <c r="J13714" s="28" t="s">
        <v>52</v>
      </c>
      <c r="K13714" s="28" t="s">
        <v>52</v>
      </c>
      <c r="L13714" s="28" t="s">
        <v>52</v>
      </c>
      <c r="M13714" s="28" t="s">
        <v>52</v>
      </c>
      <c r="N13714" s="28" t="s">
        <v>52</v>
      </c>
    </row>
    <row r="13715" spans="1:14" hidden="1" outlineLevel="1" x14ac:dyDescent="0.2">
      <c r="A13715" s="23" t="str">
        <f>HYPERLINK("https://www.spark-marketing.ru/Card/Person/4347246", "ГБУЗ ""ДГП № 1 Г. МАГНИТОГОРСК""")</f>
        <v>ГБУЗ "ДГП № 1 Г. МАГНИТОГОРСК"</v>
      </c>
      <c r="B13715" s="24" t="s">
        <v>219</v>
      </c>
      <c r="C13715" s="25">
        <v>36495</v>
      </c>
      <c r="D13715" s="22" t="s">
        <v>15910</v>
      </c>
      <c r="E13715" s="22" t="s">
        <v>68</v>
      </c>
      <c r="F13715" s="23" t="str">
        <f>HYPERLINK("https://www.spark-marketing.ru/Card/Lot/68268722", "Услуги по охране объектов  с помощью ПЦН")</f>
        <v>Услуги по охране объектов  с помощью ПЦН</v>
      </c>
      <c r="G13715" s="22" t="s">
        <v>60</v>
      </c>
      <c r="H13715" s="22" t="s">
        <v>221</v>
      </c>
      <c r="I13715" s="26">
        <v>43522.724999999999</v>
      </c>
      <c r="J13715" s="23" t="str">
        <f>HYPERLINK("https://www.spark-marketing.ru/Card/Person/4435056", "ООО ЧОП ""ФОРМУЛА БЕЗОПАСНОСТИ""")</f>
        <v>ООО ЧОП "ФОРМУЛА БЕЗОПАСНОСТИ"</v>
      </c>
      <c r="K13715" s="24" t="s">
        <v>15885</v>
      </c>
      <c r="L13715" s="28" t="s">
        <v>52</v>
      </c>
      <c r="M13715" s="25">
        <v>35947.53</v>
      </c>
      <c r="N13715" s="27">
        <v>1.5001233045622689E-2</v>
      </c>
    </row>
    <row r="13716" spans="1:14" ht="12.75" hidden="1" outlineLevel="1" x14ac:dyDescent="0.2">
      <c r="A13716" s="23" t="str">
        <f>HYPERLINK("https://www.spark-marketing.ru/Card/Person/4347246", "ГБУЗ ""ДГП № 1 Г. МАГНИТОГОРСК""")</f>
        <v>ГБУЗ "ДГП № 1 Г. МАГНИТОГОРСК"</v>
      </c>
      <c r="B13716" s="24" t="s">
        <v>219</v>
      </c>
      <c r="C13716" s="25">
        <v>36495</v>
      </c>
      <c r="D13716" s="22" t="s">
        <v>15910</v>
      </c>
      <c r="E13716" s="22" t="s">
        <v>68</v>
      </c>
      <c r="F13716" s="23" t="str">
        <f>HYPERLINK("https://www.spark-marketing.ru/Card/Lot/68268722", "Услуги по охране объектов  с помощью ПЦН")</f>
        <v>Услуги по охране объектов  с помощью ПЦН</v>
      </c>
      <c r="G13716" s="22" t="s">
        <v>60</v>
      </c>
      <c r="H13716" s="22" t="s">
        <v>221</v>
      </c>
      <c r="I13716" s="26">
        <v>43522.724999999999</v>
      </c>
      <c r="J13716" s="23" t="str">
        <f>HYPERLINK("https://www.spark-marketing.ru/Card/Person/647116", "ООО ЧОП ""СОВРЕМЕННЫЕ ОХРАННЫЕ ТЕХНОЛОГИИ""")</f>
        <v>ООО ЧОП "СОВРЕМЕННЫЕ ОХРАННЫЕ ТЕХНОЛОГИИ"</v>
      </c>
      <c r="K13716" s="24" t="s">
        <v>15911</v>
      </c>
      <c r="L13716" s="22" t="s">
        <v>10</v>
      </c>
      <c r="M13716" s="25">
        <v>35947.53</v>
      </c>
      <c r="N13716" s="27">
        <v>1.5001233045622689E-2</v>
      </c>
    </row>
    <row r="13717" spans="1:14" hidden="1" outlineLevel="1" x14ac:dyDescent="0.2">
      <c r="A13717" s="23" t="str">
        <f>HYPERLINK("https://www.spark-marketing.ru/Card/Person/4347246", "ГБУЗ ""ДГП № 1 Г. МАГНИТОГОРСК""")</f>
        <v>ГБУЗ "ДГП № 1 Г. МАГНИТОГОРСК"</v>
      </c>
      <c r="B13717" s="24" t="s">
        <v>219</v>
      </c>
      <c r="C13717" s="25">
        <v>36495</v>
      </c>
      <c r="D13717" s="22" t="s">
        <v>15910</v>
      </c>
      <c r="E13717" s="22" t="s">
        <v>68</v>
      </c>
      <c r="F13717" s="23" t="str">
        <f>HYPERLINK("https://www.spark-marketing.ru/Card/Lot/68268722", "Услуги по охране объектов  с помощью ПЦН")</f>
        <v>Услуги по охране объектов  с помощью ПЦН</v>
      </c>
      <c r="G13717" s="22" t="s">
        <v>60</v>
      </c>
      <c r="H13717" s="22" t="s">
        <v>221</v>
      </c>
      <c r="I13717" s="26">
        <v>43522.724999999999</v>
      </c>
      <c r="J13717" s="23" t="str">
        <f>HYPERLINK("https://www.spark-marketing.ru/Card/Person/4368875", "ООО ""ОХРАННОЕ ПРЕДПРИЯТИЕ ""ПРАВО РОСТА""")</f>
        <v>ООО "ОХРАННОЕ ПРЕДПРИЯТИЕ "ПРАВО РОСТА"</v>
      </c>
      <c r="K13717" s="24" t="s">
        <v>15912</v>
      </c>
      <c r="L13717" s="28" t="s">
        <v>52</v>
      </c>
      <c r="M13717" s="25">
        <v>35947.53</v>
      </c>
      <c r="N13717" s="27">
        <v>1.5001233045622689E-2</v>
      </c>
    </row>
    <row r="13718" spans="1:14" x14ac:dyDescent="0.15">
      <c r="A13718" s="23" t="str">
        <f>HYPERLINK("https://www.spark-marketing.ru/Card/Person/1008457", "МБОУ СОШ № 42 Г. БРЯНСКА")</f>
        <v>МБОУ СОШ № 42 Г. БРЯНСКА</v>
      </c>
      <c r="B13718" s="24" t="s">
        <v>3984</v>
      </c>
      <c r="C13718" s="25">
        <v>68400</v>
      </c>
      <c r="D13718" s="22" t="s">
        <v>15913</v>
      </c>
      <c r="E13718" s="22" t="s">
        <v>68</v>
      </c>
      <c r="F13718" s="23" t="str">
        <f>HYPERLINK("https://www.spark-marketing.ru/Card/Lot/68274281", "услуги по обеспечению охраны объекта")</f>
        <v>услуги по обеспечению охраны объекта</v>
      </c>
      <c r="G13718" s="22" t="s">
        <v>215</v>
      </c>
      <c r="H13718" s="22" t="s">
        <v>406</v>
      </c>
      <c r="I13718" s="26">
        <v>43522.7319444444</v>
      </c>
      <c r="J13718" s="28" t="s">
        <v>52</v>
      </c>
      <c r="K13718" s="28" t="s">
        <v>52</v>
      </c>
      <c r="L13718" s="28" t="s">
        <v>52</v>
      </c>
      <c r="M13718" s="28" t="s">
        <v>52</v>
      </c>
      <c r="N13718" s="28" t="s">
        <v>52</v>
      </c>
    </row>
    <row r="13719" spans="1:14" x14ac:dyDescent="0.15">
      <c r="A13719" s="23" t="str">
        <f t="shared" ref="A13719:A13724" si="714">HYPERLINK("https://www.spark-marketing.ru/Card/Person/6441545", "МБОУ ""СОШ № 39""")</f>
        <v>МБОУ "СОШ № 39"</v>
      </c>
      <c r="B13719" s="24" t="s">
        <v>15914</v>
      </c>
      <c r="C13719" s="25">
        <v>80233.3</v>
      </c>
      <c r="D13719" s="22" t="s">
        <v>15915</v>
      </c>
      <c r="E13719" s="22" t="s">
        <v>103</v>
      </c>
      <c r="F13719" s="23" t="str">
        <f t="shared" ref="F13719:F13724" si="715">HYPERLINK("https://www.spark-marketing.ru/Card/Lot/68275187", "оказание услуг по техническому обслуживанию системы видеонаблюдения для нужд МБОУ «Средняя общеобразовательная школа №39»")</f>
        <v>оказание услуг по техническому обслуживанию системы видеонаблюдения для нужд МБОУ «Средняя общеобразовательная школа №39»</v>
      </c>
      <c r="G13719" s="22" t="s">
        <v>204</v>
      </c>
      <c r="H13719" s="22" t="s">
        <v>1945</v>
      </c>
      <c r="I13719" s="26">
        <v>43522.711111111101</v>
      </c>
      <c r="J13719" s="28" t="s">
        <v>52</v>
      </c>
      <c r="K13719" s="28" t="s">
        <v>52</v>
      </c>
      <c r="L13719" s="28" t="s">
        <v>52</v>
      </c>
      <c r="M13719" s="28" t="s">
        <v>52</v>
      </c>
      <c r="N13719" s="28" t="s">
        <v>52</v>
      </c>
    </row>
    <row r="13720" spans="1:14" hidden="1" outlineLevel="1" x14ac:dyDescent="0.2">
      <c r="A13720" s="23" t="str">
        <f t="shared" si="714"/>
        <v>МБОУ "СОШ № 39"</v>
      </c>
      <c r="B13720" s="24" t="s">
        <v>15914</v>
      </c>
      <c r="C13720" s="25">
        <v>80233.3</v>
      </c>
      <c r="D13720" s="22" t="s">
        <v>15915</v>
      </c>
      <c r="E13720" s="22" t="s">
        <v>103</v>
      </c>
      <c r="F13720" s="23" t="str">
        <f t="shared" si="715"/>
        <v>оказание услуг по техническому обслуживанию системы видеонаблюдения для нужд МБОУ «Средняя общеобразовательная школа №39»</v>
      </c>
      <c r="G13720" s="22" t="s">
        <v>204</v>
      </c>
      <c r="H13720" s="22" t="s">
        <v>1945</v>
      </c>
      <c r="I13720" s="26">
        <v>43522.711111111101</v>
      </c>
      <c r="J13720" s="23" t="str">
        <f>HYPERLINK("https://www.spark-marketing.ru/Card/Person/5908924", "ООО ""ИНВЕСТСПЕЦСТРОЙ""")</f>
        <v>ООО "ИНВЕСТСПЕЦСТРОЙ"</v>
      </c>
      <c r="K13720" s="24" t="s">
        <v>14922</v>
      </c>
      <c r="L13720" s="28" t="s">
        <v>52</v>
      </c>
      <c r="M13720" s="25">
        <v>35355</v>
      </c>
      <c r="N13720" s="27">
        <v>0.55934755269944025</v>
      </c>
    </row>
    <row r="13721" spans="1:14" hidden="1" outlineLevel="1" x14ac:dyDescent="0.2">
      <c r="A13721" s="23" t="str">
        <f t="shared" si="714"/>
        <v>МБОУ "СОШ № 39"</v>
      </c>
      <c r="B13721" s="24" t="s">
        <v>15914</v>
      </c>
      <c r="C13721" s="25">
        <v>80233.3</v>
      </c>
      <c r="D13721" s="22" t="s">
        <v>15915</v>
      </c>
      <c r="E13721" s="22" t="s">
        <v>103</v>
      </c>
      <c r="F13721" s="23" t="str">
        <f t="shared" si="715"/>
        <v>оказание услуг по техническому обслуживанию системы видеонаблюдения для нужд МБОУ «Средняя общеобразовательная школа №39»</v>
      </c>
      <c r="G13721" s="22" t="s">
        <v>204</v>
      </c>
      <c r="H13721" s="22" t="s">
        <v>1945</v>
      </c>
      <c r="I13721" s="26">
        <v>43522.711111111101</v>
      </c>
      <c r="J13721" s="23" t="str">
        <f>HYPERLINK("https://www.spark-marketing.ru/Card/Person/368240", "ООО ""ТЕХНО-ХОЛДИНГ""")</f>
        <v>ООО "ТЕХНО-ХОЛДИНГ"</v>
      </c>
      <c r="K13721" s="24" t="s">
        <v>8207</v>
      </c>
      <c r="L13721" s="28" t="s">
        <v>52</v>
      </c>
      <c r="M13721" s="25">
        <v>50294.98</v>
      </c>
      <c r="N13721" s="27">
        <v>0.37314082806016952</v>
      </c>
    </row>
    <row r="13722" spans="1:14" ht="12.75" hidden="1" outlineLevel="1" x14ac:dyDescent="0.2">
      <c r="A13722" s="23" t="str">
        <f t="shared" si="714"/>
        <v>МБОУ "СОШ № 39"</v>
      </c>
      <c r="B13722" s="24" t="s">
        <v>15914</v>
      </c>
      <c r="C13722" s="25">
        <v>80233.3</v>
      </c>
      <c r="D13722" s="22" t="s">
        <v>15915</v>
      </c>
      <c r="E13722" s="22" t="s">
        <v>103</v>
      </c>
      <c r="F13722" s="23" t="str">
        <f t="shared" si="715"/>
        <v>оказание услуг по техническому обслуживанию системы видеонаблюдения для нужд МБОУ «Средняя общеобразовательная школа №39»</v>
      </c>
      <c r="G13722" s="22" t="s">
        <v>204</v>
      </c>
      <c r="H13722" s="22" t="s">
        <v>1945</v>
      </c>
      <c r="I13722" s="26">
        <v>43522.711111111101</v>
      </c>
      <c r="J13722" s="23" t="str">
        <f>HYPERLINK("https://www.spark-marketing.ru/Card/Person/34725", "ООО ""КОМПЬЮСЕРВИС - НК""")</f>
        <v>ООО "КОМПЬЮСЕРВИС - НК"</v>
      </c>
      <c r="K13722" s="24" t="s">
        <v>3468</v>
      </c>
      <c r="L13722" s="22" t="s">
        <v>10</v>
      </c>
      <c r="M13722" s="25">
        <v>22598</v>
      </c>
      <c r="N13722" s="27">
        <v>0.71834637239151322</v>
      </c>
    </row>
    <row r="13723" spans="1:14" hidden="1" outlineLevel="1" x14ac:dyDescent="0.2">
      <c r="A13723" s="23" t="str">
        <f t="shared" si="714"/>
        <v>МБОУ "СОШ № 39"</v>
      </c>
      <c r="B13723" s="24" t="s">
        <v>15914</v>
      </c>
      <c r="C13723" s="25">
        <v>80233.3</v>
      </c>
      <c r="D13723" s="22" t="s">
        <v>15915</v>
      </c>
      <c r="E13723" s="22" t="s">
        <v>103</v>
      </c>
      <c r="F13723" s="23" t="str">
        <f t="shared" si="715"/>
        <v>оказание услуг по техническому обслуживанию системы видеонаблюдения для нужд МБОУ «Средняя общеобразовательная школа №39»</v>
      </c>
      <c r="G13723" s="22" t="s">
        <v>204</v>
      </c>
      <c r="H13723" s="22" t="s">
        <v>1945</v>
      </c>
      <c r="I13723" s="26">
        <v>43522.711111111101</v>
      </c>
      <c r="J13723" s="23" t="str">
        <f>HYPERLINK("https://www.spark-marketing.ru/Card/Person/6231629", "Алаев Михаил Николаевич")</f>
        <v>Алаев Михаил Николаевич</v>
      </c>
      <c r="K13723" s="24" t="s">
        <v>15916</v>
      </c>
      <c r="L13723" s="28" t="s">
        <v>52</v>
      </c>
      <c r="M13723" s="25">
        <v>23000</v>
      </c>
      <c r="N13723" s="27">
        <v>0.71333598393684416</v>
      </c>
    </row>
    <row r="13724" spans="1:14" hidden="1" outlineLevel="1" x14ac:dyDescent="0.2">
      <c r="A13724" s="23" t="str">
        <f t="shared" si="714"/>
        <v>МБОУ "СОШ № 39"</v>
      </c>
      <c r="B13724" s="24" t="s">
        <v>15914</v>
      </c>
      <c r="C13724" s="25">
        <v>80233.3</v>
      </c>
      <c r="D13724" s="22" t="s">
        <v>15915</v>
      </c>
      <c r="E13724" s="22" t="s">
        <v>103</v>
      </c>
      <c r="F13724" s="23" t="str">
        <f t="shared" si="715"/>
        <v>оказание услуг по техническому обслуживанию системы видеонаблюдения для нужд МБОУ «Средняя общеобразовательная школа №39»</v>
      </c>
      <c r="G13724" s="22" t="s">
        <v>204</v>
      </c>
      <c r="H13724" s="22" t="s">
        <v>1945</v>
      </c>
      <c r="I13724" s="26">
        <v>43522.711111111101</v>
      </c>
      <c r="J13724" s="23" t="str">
        <f>HYPERLINK("https://www.spark-marketing.ru/Card/Person/6395225", "ООО ""ПЛАНЕТ ЭКСПРЕСС""")</f>
        <v>ООО "ПЛАНЕТ ЭКСПРЕСС"</v>
      </c>
      <c r="K13724" s="24" t="s">
        <v>15917</v>
      </c>
      <c r="L13724" s="28" t="s">
        <v>52</v>
      </c>
      <c r="M13724" s="25">
        <v>39772.83</v>
      </c>
      <c r="N13724" s="27">
        <v>0.50428525313055805</v>
      </c>
    </row>
    <row r="13725" spans="1:14" x14ac:dyDescent="0.15">
      <c r="A13725" s="23" t="str">
        <f>HYPERLINK("https://www.spark-marketing.ru/Card/Person/4345935", "ДЕПАРТАМЕНТ СМОЛЕНСКОЙ ОБЛАСТИ ПО ЗДРАВООХРАНЕНИЮ")</f>
        <v>ДЕПАРТАМЕНТ СМОЛЕНСКОЙ ОБЛАСТИ ПО ЗДРАВООХРАНЕНИЮ</v>
      </c>
      <c r="B13725" s="24" t="s">
        <v>1449</v>
      </c>
      <c r="C13725" s="25">
        <v>10225332.939999999</v>
      </c>
      <c r="D13725" s="22" t="s">
        <v>15918</v>
      </c>
      <c r="E13725" s="22" t="s">
        <v>53</v>
      </c>
      <c r="F13725" s="23" t="str">
        <f>HYPERLINK("https://www.spark-marketing.ru/Card/Lot/68274564", "№0313 - аэф/т Поставка лекарственных препаратов (Инсулин гларгин)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f>
        <v>№0313 - аэф/т Поставка лекарственных препаратов (Инсулин гларгин)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v>
      </c>
      <c r="G13725" s="22" t="s">
        <v>956</v>
      </c>
      <c r="H13725" s="22" t="s">
        <v>1451</v>
      </c>
      <c r="I13725" s="26">
        <v>43522.701388888898</v>
      </c>
      <c r="J13725" s="23" t="str">
        <f>HYPERLINK("https://www.spark-marketing.ru/Card/Person/503084", "ООО ""ФАРМ-ИННОВАЦИИ""")</f>
        <v>ООО "ФАРМ-ИННОВАЦИИ"</v>
      </c>
      <c r="K13725" s="24" t="s">
        <v>2054</v>
      </c>
      <c r="L13725" s="22" t="s">
        <v>10</v>
      </c>
      <c r="M13725" s="28" t="s">
        <v>52</v>
      </c>
      <c r="N13725" s="28" t="s">
        <v>52</v>
      </c>
    </row>
    <row r="13726" spans="1:14" x14ac:dyDescent="0.15">
      <c r="A13726" s="23" t="str">
        <f>HYPERLINK("https://www.spark-marketing.ru/Card/Person/85338", "ГКУ РК ""ДИРЕКЦИЯ ПО СОДЕРЖАНИЮ КАЗЕННОГО ИМУЩЕСТВА РК""")</f>
        <v>ГКУ РК "ДИРЕКЦИЯ ПО СОДЕРЖАНИЮ КАЗЕННОГО ИМУЩЕСТВА РК"</v>
      </c>
      <c r="B13726" s="24" t="s">
        <v>939</v>
      </c>
      <c r="C13726" s="25">
        <v>1122000</v>
      </c>
      <c r="D13726" s="22" t="s">
        <v>15919</v>
      </c>
      <c r="E13726" s="22" t="s">
        <v>52</v>
      </c>
      <c r="F13726" s="23" t="str">
        <f>HYPERLINK("https://www.spark-marketing.ru/Card/Lot/68273172", "Услуги частных охранных служб")</f>
        <v>Услуги частных охранных служб</v>
      </c>
      <c r="G13726" s="22" t="s">
        <v>538</v>
      </c>
      <c r="H13726" s="22" t="s">
        <v>538</v>
      </c>
      <c r="I13726" s="26">
        <v>43522.672916666699</v>
      </c>
      <c r="J13726" s="28" t="s">
        <v>52</v>
      </c>
      <c r="K13726" s="28" t="s">
        <v>52</v>
      </c>
      <c r="L13726" s="28" t="s">
        <v>52</v>
      </c>
      <c r="M13726" s="28" t="s">
        <v>52</v>
      </c>
      <c r="N13726" s="28" t="s">
        <v>52</v>
      </c>
    </row>
    <row r="13727" spans="1:14" hidden="1" outlineLevel="1" x14ac:dyDescent="0.2">
      <c r="A13727" s="23" t="str">
        <f>HYPERLINK("https://www.spark-marketing.ru/Card/Person/85338", "ГКУ РК ""ДИРЕКЦИЯ ПО СОДЕРЖАНИЮ КАЗЕННОГО ИМУЩЕСТВА РК""")</f>
        <v>ГКУ РК "ДИРЕКЦИЯ ПО СОДЕРЖАНИЮ КАЗЕННОГО ИМУЩЕСТВА РК"</v>
      </c>
      <c r="B13727" s="24" t="s">
        <v>939</v>
      </c>
      <c r="C13727" s="25">
        <v>1122000</v>
      </c>
      <c r="D13727" s="22" t="s">
        <v>15919</v>
      </c>
      <c r="E13727" s="22" t="s">
        <v>52</v>
      </c>
      <c r="F13727" s="23" t="str">
        <f>HYPERLINK("https://www.spark-marketing.ru/Card/Lot/68273172", "Услуги частных охранных служб")</f>
        <v>Услуги частных охранных служб</v>
      </c>
      <c r="G13727" s="22" t="s">
        <v>538</v>
      </c>
      <c r="H13727" s="22" t="s">
        <v>538</v>
      </c>
      <c r="I13727" s="26">
        <v>43522.672916666699</v>
      </c>
      <c r="J13727" s="23" t="str">
        <f>HYPERLINK("https://www.spark-marketing.ru/Card/Person/766997", "ООО ""ЧОП ""ГРАНИТ-С""")</f>
        <v>ООО "ЧОП "ГРАНИТ-С"</v>
      </c>
      <c r="K13727" s="24" t="s">
        <v>15920</v>
      </c>
      <c r="L13727" s="28" t="s">
        <v>52</v>
      </c>
      <c r="M13727" s="25">
        <v>673200</v>
      </c>
      <c r="N13727" s="27">
        <v>0.4</v>
      </c>
    </row>
    <row r="13728" spans="1:14" ht="12.75" hidden="1" outlineLevel="1" x14ac:dyDescent="0.2">
      <c r="A13728" s="23" t="str">
        <f>HYPERLINK("https://www.spark-marketing.ru/Card/Person/85338", "ГКУ РК ""ДИРЕКЦИЯ ПО СОДЕРЖАНИЮ КАЗЕННОГО ИМУЩЕСТВА РК""")</f>
        <v>ГКУ РК "ДИРЕКЦИЯ ПО СОДЕРЖАНИЮ КАЗЕННОГО ИМУЩЕСТВА РК"</v>
      </c>
      <c r="B13728" s="24" t="s">
        <v>939</v>
      </c>
      <c r="C13728" s="25">
        <v>1122000</v>
      </c>
      <c r="D13728" s="22" t="s">
        <v>15919</v>
      </c>
      <c r="E13728" s="22" t="s">
        <v>52</v>
      </c>
      <c r="F13728" s="23" t="str">
        <f>HYPERLINK("https://www.spark-marketing.ru/Card/Lot/68273172", "Услуги частных охранных служб")</f>
        <v>Услуги частных охранных служб</v>
      </c>
      <c r="G13728" s="22" t="s">
        <v>538</v>
      </c>
      <c r="H13728" s="22" t="s">
        <v>538</v>
      </c>
      <c r="I13728" s="26">
        <v>43522.672916666699</v>
      </c>
      <c r="J13728" s="23" t="str">
        <f>HYPERLINK("https://www.spark-marketing.ru/Card/Person/103181", "ООО ЧОП ""МОНОЛИТ-2""")</f>
        <v>ООО ЧОП "МОНОЛИТ-2"</v>
      </c>
      <c r="K13728" s="24" t="s">
        <v>941</v>
      </c>
      <c r="L13728" s="22" t="s">
        <v>10</v>
      </c>
      <c r="M13728" s="25">
        <v>667590</v>
      </c>
      <c r="N13728" s="27">
        <v>0.40500000000000003</v>
      </c>
    </row>
    <row r="13729" spans="1:14" hidden="1" outlineLevel="1" x14ac:dyDescent="0.2">
      <c r="A13729" s="23" t="str">
        <f>HYPERLINK("https://www.spark-marketing.ru/Card/Person/85338", "ГКУ РК ""ДИРЕКЦИЯ ПО СОДЕРЖАНИЮ КАЗЕННОГО ИМУЩЕСТВА РК""")</f>
        <v>ГКУ РК "ДИРЕКЦИЯ ПО СОДЕРЖАНИЮ КАЗЕННОГО ИМУЩЕСТВА РК"</v>
      </c>
      <c r="B13729" s="24" t="s">
        <v>939</v>
      </c>
      <c r="C13729" s="25">
        <v>1122000</v>
      </c>
      <c r="D13729" s="22" t="s">
        <v>15919</v>
      </c>
      <c r="E13729" s="22" t="s">
        <v>52</v>
      </c>
      <c r="F13729" s="23" t="str">
        <f>HYPERLINK("https://www.spark-marketing.ru/Card/Lot/68273172", "Услуги частных охранных служб")</f>
        <v>Услуги частных охранных служб</v>
      </c>
      <c r="G13729" s="22" t="s">
        <v>538</v>
      </c>
      <c r="H13729" s="22" t="s">
        <v>538</v>
      </c>
      <c r="I13729" s="26">
        <v>43522.672916666699</v>
      </c>
      <c r="J13729" s="23" t="str">
        <f>HYPERLINK("https://www.spark-marketing.ru/Card/Person/279659", "ООО ЧОО ""ГК КОНФИДЕНТ""")</f>
        <v>ООО ЧОО "ГК КОНФИДЕНТ"</v>
      </c>
      <c r="K13729" s="24" t="s">
        <v>15921</v>
      </c>
      <c r="L13729" s="28" t="s">
        <v>52</v>
      </c>
      <c r="M13729" s="25">
        <v>1060290</v>
      </c>
      <c r="N13729" s="27">
        <v>5.5E-2</v>
      </c>
    </row>
    <row r="13730" spans="1:14" x14ac:dyDescent="0.15">
      <c r="A13730" s="23" t="str">
        <f>HYPERLINK("https://www.spark-marketing.ru/Card/Person/4345935", "ДЕПАРТАМЕНТ СМОЛЕНСКОЙ ОБЛАСТИ ПО ЗДРАВООХРАНЕНИЮ")</f>
        <v>ДЕПАРТАМЕНТ СМОЛЕНСКОЙ ОБЛАСТИ ПО ЗДРАВООХРАНЕНИЮ</v>
      </c>
      <c r="B13730" s="24" t="s">
        <v>1449</v>
      </c>
      <c r="C13730" s="25">
        <v>9544086</v>
      </c>
      <c r="D13730" s="22" t="s">
        <v>15922</v>
      </c>
      <c r="E13730" s="22" t="s">
        <v>53</v>
      </c>
      <c r="F13730" s="23" t="str">
        <f>HYPERLINK("https://www.spark-marketing.ru/Card/Lot/68274566", "№0315 - аэф/т для обеспечения на территории Смоленской области граждан, в соответствии с абзацем 2 п.4 Порядка обеспечения отдельных групп населения Смоленской области лекарственными средствами, отпускаемыми по рецептам врачей бесплатно, утвержденног...")</f>
        <v>№0315 - аэф/т для обеспечения на территории Смоленской области граждан, в соответствии с абзацем 2 п.4 Порядка обеспечения отдельных групп населения Смоленской области лекарственными средствами, отпускаемыми по рецептам врачей бесплатно, утвержденног...</v>
      </c>
      <c r="G13730" s="22" t="s">
        <v>956</v>
      </c>
      <c r="H13730" s="22" t="s">
        <v>1451</v>
      </c>
      <c r="I13730" s="26">
        <v>43522.7006944444</v>
      </c>
      <c r="J13730" s="28" t="s">
        <v>52</v>
      </c>
      <c r="K13730" s="28" t="s">
        <v>52</v>
      </c>
      <c r="L13730" s="28" t="s">
        <v>52</v>
      </c>
      <c r="M13730" s="28" t="s">
        <v>52</v>
      </c>
      <c r="N13730" s="28" t="s">
        <v>52</v>
      </c>
    </row>
    <row r="13731" spans="1:14" x14ac:dyDescent="0.15">
      <c r="A13731" s="23" t="str">
        <f>HYPERLINK("https://www.spark-marketing.ru/Card/Person/1039801", "МБОУ ""СОШ № 15 ИМ.ГЕРОЯ СОВЕТСКОГО СОЮЗА В.Т.ЧВАНОВА"" Г.БРЯНСКА")</f>
        <v>МБОУ "СОШ № 15 ИМ.ГЕРОЯ СОВЕТСКОГО СОЮЗА В.Т.ЧВАНОВА" Г.БРЯНСКА</v>
      </c>
      <c r="B13731" s="24" t="s">
        <v>3992</v>
      </c>
      <c r="C13731" s="25">
        <v>61200</v>
      </c>
      <c r="D13731" s="22" t="s">
        <v>15923</v>
      </c>
      <c r="E13731" s="22" t="s">
        <v>68</v>
      </c>
      <c r="F13731" s="23" t="str">
        <f>HYPERLINK("https://www.spark-marketing.ru/Card/Lot/68266802", "услуги по обеспечению охраны объекта")</f>
        <v>услуги по обеспечению охраны объекта</v>
      </c>
      <c r="G13731" s="22" t="s">
        <v>215</v>
      </c>
      <c r="H13731" s="22" t="s">
        <v>406</v>
      </c>
      <c r="I13731" s="26">
        <v>43522.6694444444</v>
      </c>
      <c r="J13731" s="28" t="s">
        <v>52</v>
      </c>
      <c r="K13731" s="28" t="s">
        <v>52</v>
      </c>
      <c r="L13731" s="28" t="s">
        <v>52</v>
      </c>
      <c r="M13731" s="28" t="s">
        <v>52</v>
      </c>
      <c r="N13731" s="28" t="s">
        <v>52</v>
      </c>
    </row>
    <row r="13732" spans="1:14" x14ac:dyDescent="0.15">
      <c r="A13732" s="23" t="str">
        <f>HYPERLINK("https://www.spark-marketing.ru/Card/Person/1038448", "МБОУ СОШ №32 Г.БРЯНСКА")</f>
        <v>МБОУ СОШ №32 Г.БРЯНСКА</v>
      </c>
      <c r="B13732" s="24" t="s">
        <v>3990</v>
      </c>
      <c r="C13732" s="25">
        <v>68400</v>
      </c>
      <c r="D13732" s="22" t="s">
        <v>15924</v>
      </c>
      <c r="E13732" s="22" t="s">
        <v>68</v>
      </c>
      <c r="F13732" s="23" t="str">
        <f>HYPERLINK("https://www.spark-marketing.ru/Card/Lot/68268900", "услуги по обеспечению охраны объекта")</f>
        <v>услуги по обеспечению охраны объекта</v>
      </c>
      <c r="G13732" s="22" t="s">
        <v>215</v>
      </c>
      <c r="H13732" s="22" t="s">
        <v>406</v>
      </c>
      <c r="I13732" s="26">
        <v>43522.706250000003</v>
      </c>
      <c r="J13732" s="28" t="s">
        <v>52</v>
      </c>
      <c r="K13732" s="28" t="s">
        <v>52</v>
      </c>
      <c r="L13732" s="28" t="s">
        <v>52</v>
      </c>
      <c r="M13732" s="28" t="s">
        <v>52</v>
      </c>
      <c r="N13732" s="28" t="s">
        <v>52</v>
      </c>
    </row>
    <row r="13733" spans="1:14" x14ac:dyDescent="0.15">
      <c r="A13733" s="23" t="str">
        <f>HYPERLINK("https://www.spark-marketing.ru/Card/Person/1038805", "МБОУ СОШ № 22 Г. БРЯНСКА")</f>
        <v>МБОУ СОШ № 22 Г. БРЯНСКА</v>
      </c>
      <c r="B13733" s="24" t="s">
        <v>3988</v>
      </c>
      <c r="C13733" s="25">
        <v>66000</v>
      </c>
      <c r="D13733" s="22" t="s">
        <v>15925</v>
      </c>
      <c r="E13733" s="22" t="s">
        <v>68</v>
      </c>
      <c r="F13733" s="23" t="str">
        <f>HYPERLINK("https://www.spark-marketing.ru/Card/Lot/68266938", "услуги по обеспечению охраны объекта")</f>
        <v>услуги по обеспечению охраны объекта</v>
      </c>
      <c r="G13733" s="22" t="s">
        <v>215</v>
      </c>
      <c r="H13733" s="22" t="s">
        <v>406</v>
      </c>
      <c r="I13733" s="26">
        <v>43522.682638888902</v>
      </c>
      <c r="J13733" s="28" t="s">
        <v>52</v>
      </c>
      <c r="K13733" s="28" t="s">
        <v>52</v>
      </c>
      <c r="L13733" s="28" t="s">
        <v>52</v>
      </c>
      <c r="M13733" s="28" t="s">
        <v>52</v>
      </c>
      <c r="N13733" s="28" t="s">
        <v>52</v>
      </c>
    </row>
    <row r="13734" spans="1:14" x14ac:dyDescent="0.15">
      <c r="A13734" s="23" t="str">
        <f>HYPERLINK("https://www.spark-marketing.ru/Card/Person/4345935", "ДЕПАРТАМЕНТ СМОЛЕНСКОЙ ОБЛАСТИ ПО ЗДРАВООХРАНЕНИЮ")</f>
        <v>ДЕПАРТАМЕНТ СМОЛЕНСКОЙ ОБЛАСТИ ПО ЗДРАВООХРАНЕНИЮ</v>
      </c>
      <c r="B13734" s="24" t="s">
        <v>1449</v>
      </c>
      <c r="C13734" s="25">
        <v>12199860.75</v>
      </c>
      <c r="D13734" s="22" t="s">
        <v>15926</v>
      </c>
      <c r="E13734" s="22" t="s">
        <v>53</v>
      </c>
      <c r="F13734" s="23" t="str">
        <f>HYPERLINK("https://www.spark-marketing.ru/Card/Lot/68274563", "№0314 - аэф/т Поставка лекарственных препаратов (Инсулин аспарт)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f>
        <v>№0314 - аэф/т Поставка лекарственных препаратов (Инсулин аспарт)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v>
      </c>
      <c r="G13734" s="22" t="s">
        <v>956</v>
      </c>
      <c r="H13734" s="22" t="s">
        <v>1451</v>
      </c>
      <c r="I13734" s="26">
        <v>43522.7006944444</v>
      </c>
      <c r="J13734" s="23" t="str">
        <f>HYPERLINK("https://www.spark-marketing.ru/Card/Person/4345909", "ООО ""БСС""")</f>
        <v>ООО "БСС"</v>
      </c>
      <c r="K13734" s="24" t="s">
        <v>15927</v>
      </c>
      <c r="L13734" s="22" t="s">
        <v>10</v>
      </c>
      <c r="M13734" s="28" t="s">
        <v>52</v>
      </c>
      <c r="N13734" s="28" t="s">
        <v>52</v>
      </c>
    </row>
    <row r="13735" spans="1:14" x14ac:dyDescent="0.15">
      <c r="A13735" s="23" t="str">
        <f>HYPERLINK("https://www.spark-marketing.ru/Card/Person/4345970", "ФГУП ""ГХК""")</f>
        <v>ФГУП "ГХК"</v>
      </c>
      <c r="B13735" s="24" t="s">
        <v>10299</v>
      </c>
      <c r="C13735" s="25">
        <v>1840250</v>
      </c>
      <c r="D13735" s="22" t="s">
        <v>15928</v>
      </c>
      <c r="E13735" s="22" t="s">
        <v>533</v>
      </c>
      <c r="F13735" s="23" t="str">
        <f>HYPERLINK("https://www.spark-marketing.ru/Card/Lot/68257408", "Поставка комплекта изделий для установки и подключения видеонаблюдения (лот 9110-С)")</f>
        <v>Поставка комплекта изделий для установки и подключения видеонаблюдения (лот 9110-С)</v>
      </c>
      <c r="G13735" s="22" t="s">
        <v>640</v>
      </c>
      <c r="H13735" s="22" t="s">
        <v>4700</v>
      </c>
      <c r="I13735" s="26">
        <v>43522.684166666702</v>
      </c>
      <c r="J13735" s="28" t="s">
        <v>52</v>
      </c>
      <c r="K13735" s="28" t="s">
        <v>52</v>
      </c>
      <c r="L13735" s="28" t="s">
        <v>52</v>
      </c>
      <c r="M13735" s="28" t="s">
        <v>52</v>
      </c>
      <c r="N13735" s="28" t="s">
        <v>52</v>
      </c>
    </row>
    <row r="13736" spans="1:14" x14ac:dyDescent="0.15">
      <c r="A13736" s="23" t="str">
        <f>HYPERLINK("https://www.spark-marketing.ru/Card/Person/93515", "МБОУ АНГЕЛОВСКАЯ СОШ")</f>
        <v>МБОУ АНГЕЛОВСКАЯ СОШ</v>
      </c>
      <c r="B13736" s="24" t="s">
        <v>15929</v>
      </c>
      <c r="C13736" s="25">
        <v>15000</v>
      </c>
      <c r="D13736" s="22" t="s">
        <v>15930</v>
      </c>
      <c r="E13736" s="22" t="s">
        <v>107</v>
      </c>
      <c r="F13736" s="23" t="str">
        <f>HYPERLINK("https://www.spark-marketing.ru/Card/Lot/68538077", "Услуги по замене видеодомофона для нужд МБОУ Ангеловская СОШ")</f>
        <v>Услуги по замене видеодомофона для нужд МБОУ Ангеловская СОШ</v>
      </c>
      <c r="G13736" s="22" t="s">
        <v>50</v>
      </c>
      <c r="H13736" s="22" t="s">
        <v>51</v>
      </c>
      <c r="I13736" s="26">
        <v>43522.690520833297</v>
      </c>
      <c r="J13736" s="28" t="s">
        <v>52</v>
      </c>
      <c r="K13736" s="28" t="s">
        <v>52</v>
      </c>
      <c r="L13736" s="28" t="s">
        <v>52</v>
      </c>
      <c r="M13736" s="28" t="s">
        <v>52</v>
      </c>
      <c r="N13736" s="28" t="s">
        <v>52</v>
      </c>
    </row>
    <row r="13737" spans="1:14" x14ac:dyDescent="0.15">
      <c r="A13737" s="23" t="str">
        <f>HYPERLINK("https://www.spark-marketing.ru/Card/Person/4345935", "ДЕПАРТАМЕНТ СМОЛЕНСКОЙ ОБЛАСТИ ПО ЗДРАВООХРАНЕНИЮ")</f>
        <v>ДЕПАРТАМЕНТ СМОЛЕНСКОЙ ОБЛАСТИ ПО ЗДРАВООХРАНЕНИЮ</v>
      </c>
      <c r="B13737" s="24" t="s">
        <v>1449</v>
      </c>
      <c r="C13737" s="25">
        <v>131790</v>
      </c>
      <c r="D13737" s="22" t="s">
        <v>15931</v>
      </c>
      <c r="E13737" s="22" t="s">
        <v>53</v>
      </c>
      <c r="F13737" s="23" t="str">
        <f>HYPERLINK("https://www.spark-marketing.ru/Card/Lot/68273298", "№0462 - аэф/т Поставка лекарственных препаратов (Тамоксифен)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f>
        <v>№0462 - аэф/т Поставка лекарственных препаратов (Тамоксифен)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v>
      </c>
      <c r="G13737" s="22" t="s">
        <v>956</v>
      </c>
      <c r="H13737" s="22" t="s">
        <v>1451</v>
      </c>
      <c r="I13737" s="26">
        <v>43522.702083333301</v>
      </c>
      <c r="J13737" s="23" t="str">
        <f>HYPERLINK("https://www.spark-marketing.ru/Card/Person/503084", "ООО ""ФАРМ-ИННОВАЦИИ""")</f>
        <v>ООО "ФАРМ-ИННОВАЦИИ"</v>
      </c>
      <c r="K13737" s="24" t="s">
        <v>2054</v>
      </c>
      <c r="L13737" s="22" t="s">
        <v>10</v>
      </c>
      <c r="M13737" s="28" t="s">
        <v>52</v>
      </c>
      <c r="N13737" s="28" t="s">
        <v>52</v>
      </c>
    </row>
    <row r="13738" spans="1:14" x14ac:dyDescent="0.15">
      <c r="A13738" s="23" t="str">
        <f t="shared" ref="A13738:A13747" si="716">HYPERLINK("https://www.spark-marketing.ru/Card/Person/22110", "ФГБОУ ВО ""МГТУ ""СТАНКИН""")</f>
        <v>ФГБОУ ВО "МГТУ "СТАНКИН"</v>
      </c>
      <c r="B13738" s="24" t="s">
        <v>15932</v>
      </c>
      <c r="C13738" s="25">
        <v>271600</v>
      </c>
      <c r="D13738" s="22" t="s">
        <v>15933</v>
      </c>
      <c r="E13738" s="22" t="s">
        <v>1647</v>
      </c>
      <c r="F13738" s="23" t="str">
        <f t="shared" ref="F13738:F13747" si="717">HYPERLINK("https://www.spark-marketing.ru/Card/Lot/68274182", "Оказание услуг по техническому обслуживанию системы охранного видеонаблюдения")</f>
        <v>Оказание услуг по техническому обслуживанию системы охранного видеонаблюдения</v>
      </c>
      <c r="G13738" s="22" t="s">
        <v>55</v>
      </c>
      <c r="H13738" s="22" t="s">
        <v>55</v>
      </c>
      <c r="I13738" s="26">
        <v>43522.689583333296</v>
      </c>
      <c r="J13738" s="28" t="s">
        <v>52</v>
      </c>
      <c r="K13738" s="28" t="s">
        <v>52</v>
      </c>
      <c r="L13738" s="28" t="s">
        <v>52</v>
      </c>
      <c r="M13738" s="28" t="s">
        <v>52</v>
      </c>
      <c r="N13738" s="28" t="s">
        <v>52</v>
      </c>
    </row>
    <row r="13739" spans="1:14" hidden="1" outlineLevel="1" x14ac:dyDescent="0.2">
      <c r="A13739" s="23" t="str">
        <f t="shared" si="716"/>
        <v>ФГБОУ ВО "МГТУ "СТАНКИН"</v>
      </c>
      <c r="B13739" s="24" t="s">
        <v>15932</v>
      </c>
      <c r="C13739" s="25">
        <v>271600</v>
      </c>
      <c r="D13739" s="22" t="s">
        <v>15933</v>
      </c>
      <c r="E13739" s="22" t="s">
        <v>1647</v>
      </c>
      <c r="F13739" s="23" t="str">
        <f t="shared" si="717"/>
        <v>Оказание услуг по техническому обслуживанию системы охранного видеонаблюдения</v>
      </c>
      <c r="G13739" s="22" t="s">
        <v>55</v>
      </c>
      <c r="H13739" s="22" t="s">
        <v>55</v>
      </c>
      <c r="I13739" s="26">
        <v>43522.689583333296</v>
      </c>
      <c r="J13739" s="23" t="str">
        <f>HYPERLINK("https://www.spark-marketing.ru/Card/Person/14846", "ООО ""ФЭЗЕРА""")</f>
        <v>ООО "ФЭЗЕРА"</v>
      </c>
      <c r="K13739" s="24" t="s">
        <v>1216</v>
      </c>
      <c r="L13739" s="28" t="s">
        <v>52</v>
      </c>
      <c r="M13739" s="25">
        <v>82838</v>
      </c>
      <c r="N13739" s="27">
        <v>0.69499999999999995</v>
      </c>
    </row>
    <row r="13740" spans="1:14" hidden="1" outlineLevel="1" x14ac:dyDescent="0.2">
      <c r="A13740" s="23" t="str">
        <f t="shared" si="716"/>
        <v>ФГБОУ ВО "МГТУ "СТАНКИН"</v>
      </c>
      <c r="B13740" s="24" t="s">
        <v>15932</v>
      </c>
      <c r="C13740" s="25">
        <v>271600</v>
      </c>
      <c r="D13740" s="22" t="s">
        <v>15933</v>
      </c>
      <c r="E13740" s="22" t="s">
        <v>1647</v>
      </c>
      <c r="F13740" s="23" t="str">
        <f t="shared" si="717"/>
        <v>Оказание услуг по техническому обслуживанию системы охранного видеонаблюдения</v>
      </c>
      <c r="G13740" s="22" t="s">
        <v>55</v>
      </c>
      <c r="H13740" s="22" t="s">
        <v>55</v>
      </c>
      <c r="I13740" s="26">
        <v>43522.689583333296</v>
      </c>
      <c r="J13740" s="23" t="str">
        <f>HYPERLINK("https://www.spark-marketing.ru/Card/Person/5897456", "ООО ""ПРОФСТРОЙ""")</f>
        <v>ООО "ПРОФСТРОЙ"</v>
      </c>
      <c r="K13740" s="24" t="s">
        <v>15934</v>
      </c>
      <c r="L13740" s="28" t="s">
        <v>52</v>
      </c>
      <c r="M13740" s="25">
        <v>40740</v>
      </c>
      <c r="N13740" s="27">
        <v>0.85</v>
      </c>
    </row>
    <row r="13741" spans="1:14" hidden="1" outlineLevel="1" x14ac:dyDescent="0.2">
      <c r="A13741" s="23" t="str">
        <f t="shared" si="716"/>
        <v>ФГБОУ ВО "МГТУ "СТАНКИН"</v>
      </c>
      <c r="B13741" s="24" t="s">
        <v>15932</v>
      </c>
      <c r="C13741" s="25">
        <v>271600</v>
      </c>
      <c r="D13741" s="22" t="s">
        <v>15933</v>
      </c>
      <c r="E13741" s="22" t="s">
        <v>1647</v>
      </c>
      <c r="F13741" s="23" t="str">
        <f t="shared" si="717"/>
        <v>Оказание услуг по техническому обслуживанию системы охранного видеонаблюдения</v>
      </c>
      <c r="G13741" s="22" t="s">
        <v>55</v>
      </c>
      <c r="H13741" s="22" t="s">
        <v>55</v>
      </c>
      <c r="I13741" s="26">
        <v>43522.689583333296</v>
      </c>
      <c r="J13741" s="23" t="str">
        <f>HYPERLINK("https://www.spark-marketing.ru/Card/Person/6503414", "ООО ""МОСПОЖСЕРВИС""")</f>
        <v>ООО "МОСПОЖСЕРВИС"</v>
      </c>
      <c r="K13741" s="24" t="s">
        <v>3876</v>
      </c>
      <c r="L13741" s="28" t="s">
        <v>52</v>
      </c>
      <c r="M13741" s="25">
        <v>143948</v>
      </c>
      <c r="N13741" s="27">
        <v>0.47</v>
      </c>
    </row>
    <row r="13742" spans="1:14" ht="12.75" hidden="1" outlineLevel="1" x14ac:dyDescent="0.2">
      <c r="A13742" s="23" t="str">
        <f t="shared" si="716"/>
        <v>ФГБОУ ВО "МГТУ "СТАНКИН"</v>
      </c>
      <c r="B13742" s="24" t="s">
        <v>15932</v>
      </c>
      <c r="C13742" s="25">
        <v>271600</v>
      </c>
      <c r="D13742" s="22" t="s">
        <v>15933</v>
      </c>
      <c r="E13742" s="22" t="s">
        <v>1647</v>
      </c>
      <c r="F13742" s="23" t="str">
        <f t="shared" si="717"/>
        <v>Оказание услуг по техническому обслуживанию системы охранного видеонаблюдения</v>
      </c>
      <c r="G13742" s="22" t="s">
        <v>55</v>
      </c>
      <c r="H13742" s="22" t="s">
        <v>55</v>
      </c>
      <c r="I13742" s="26">
        <v>43522.689583333296</v>
      </c>
      <c r="J13742" s="23" t="str">
        <f>HYPERLINK("https://www.spark-marketing.ru/Card/Person/6364371", "ООО ""ЛТБ""")</f>
        <v>ООО "ЛТБ"</v>
      </c>
      <c r="K13742" s="24" t="s">
        <v>8538</v>
      </c>
      <c r="L13742" s="22" t="s">
        <v>10</v>
      </c>
      <c r="M13742" s="25">
        <v>39382</v>
      </c>
      <c r="N13742" s="27">
        <v>0.85499999999999998</v>
      </c>
    </row>
    <row r="13743" spans="1:14" hidden="1" outlineLevel="1" x14ac:dyDescent="0.2">
      <c r="A13743" s="23" t="str">
        <f t="shared" si="716"/>
        <v>ФГБОУ ВО "МГТУ "СТАНКИН"</v>
      </c>
      <c r="B13743" s="24" t="s">
        <v>15932</v>
      </c>
      <c r="C13743" s="25">
        <v>271600</v>
      </c>
      <c r="D13743" s="22" t="s">
        <v>15933</v>
      </c>
      <c r="E13743" s="22" t="s">
        <v>1647</v>
      </c>
      <c r="F13743" s="23" t="str">
        <f t="shared" si="717"/>
        <v>Оказание услуг по техническому обслуживанию системы охранного видеонаблюдения</v>
      </c>
      <c r="G13743" s="22" t="s">
        <v>55</v>
      </c>
      <c r="H13743" s="22" t="s">
        <v>55</v>
      </c>
      <c r="I13743" s="26">
        <v>43522.689583333296</v>
      </c>
      <c r="J13743" s="23" t="str">
        <f>HYPERLINK("https://www.spark-marketing.ru/Card/Person/4772588", "ООО ""СИСТЕМНЫЕ РЕШЕНИЯ""")</f>
        <v>ООО "СИСТЕМНЫЕ РЕШЕНИЯ"</v>
      </c>
      <c r="K13743" s="24" t="s">
        <v>15372</v>
      </c>
      <c r="L13743" s="28" t="s">
        <v>52</v>
      </c>
      <c r="M13743" s="25">
        <v>142590</v>
      </c>
      <c r="N13743" s="27">
        <v>0.47499999999999998</v>
      </c>
    </row>
    <row r="13744" spans="1:14" hidden="1" outlineLevel="1" x14ac:dyDescent="0.2">
      <c r="A13744" s="23" t="str">
        <f t="shared" si="716"/>
        <v>ФГБОУ ВО "МГТУ "СТАНКИН"</v>
      </c>
      <c r="B13744" s="24" t="s">
        <v>15932</v>
      </c>
      <c r="C13744" s="25">
        <v>271600</v>
      </c>
      <c r="D13744" s="22" t="s">
        <v>15933</v>
      </c>
      <c r="E13744" s="22" t="s">
        <v>1647</v>
      </c>
      <c r="F13744" s="23" t="str">
        <f t="shared" si="717"/>
        <v>Оказание услуг по техническому обслуживанию системы охранного видеонаблюдения</v>
      </c>
      <c r="G13744" s="22" t="s">
        <v>55</v>
      </c>
      <c r="H13744" s="22" t="s">
        <v>55</v>
      </c>
      <c r="I13744" s="26">
        <v>43522.689583333296</v>
      </c>
      <c r="J13744" s="23" t="str">
        <f>HYPERLINK("https://www.spark-marketing.ru/Card/Person/6503414", "ООО ""МОСПОЖСЕРВИС""")</f>
        <v>ООО "МОСПОЖСЕРВИС"</v>
      </c>
      <c r="K13744" s="24" t="s">
        <v>3876</v>
      </c>
      <c r="L13744" s="28" t="s">
        <v>52</v>
      </c>
      <c r="M13744" s="25">
        <v>175182</v>
      </c>
      <c r="N13744" s="27">
        <v>0.35499999999999998</v>
      </c>
    </row>
    <row r="13745" spans="1:14" hidden="1" outlineLevel="1" x14ac:dyDescent="0.2">
      <c r="A13745" s="23" t="str">
        <f t="shared" si="716"/>
        <v>ФГБОУ ВО "МГТУ "СТАНКИН"</v>
      </c>
      <c r="B13745" s="24" t="s">
        <v>15932</v>
      </c>
      <c r="C13745" s="25">
        <v>271600</v>
      </c>
      <c r="D13745" s="22" t="s">
        <v>15933</v>
      </c>
      <c r="E13745" s="22" t="s">
        <v>1647</v>
      </c>
      <c r="F13745" s="23" t="str">
        <f t="shared" si="717"/>
        <v>Оказание услуг по техническому обслуживанию системы охранного видеонаблюдения</v>
      </c>
      <c r="G13745" s="22" t="s">
        <v>55</v>
      </c>
      <c r="H13745" s="22" t="s">
        <v>55</v>
      </c>
      <c r="I13745" s="26">
        <v>43522.689583333296</v>
      </c>
      <c r="J13745" s="23" t="str">
        <f>HYPERLINK("https://www.spark-marketing.ru/Card/Person/6503414", "ООО ""МОСПОЖСЕРВИС""")</f>
        <v>ООО "МОСПОЖСЕРВИС"</v>
      </c>
      <c r="K13745" s="24" t="s">
        <v>3876</v>
      </c>
      <c r="L13745" s="28" t="s">
        <v>52</v>
      </c>
      <c r="M13745" s="25">
        <v>210002</v>
      </c>
      <c r="N13745" s="27">
        <v>0.22679675994108983</v>
      </c>
    </row>
    <row r="13746" spans="1:14" hidden="1" outlineLevel="1" x14ac:dyDescent="0.2">
      <c r="A13746" s="23" t="str">
        <f t="shared" si="716"/>
        <v>ФГБОУ ВО "МГТУ "СТАНКИН"</v>
      </c>
      <c r="B13746" s="24" t="s">
        <v>15932</v>
      </c>
      <c r="C13746" s="25">
        <v>271600</v>
      </c>
      <c r="D13746" s="22" t="s">
        <v>15933</v>
      </c>
      <c r="E13746" s="22" t="s">
        <v>1647</v>
      </c>
      <c r="F13746" s="23" t="str">
        <f t="shared" si="717"/>
        <v>Оказание услуг по техническому обслуживанию системы охранного видеонаблюдения</v>
      </c>
      <c r="G13746" s="22" t="s">
        <v>55</v>
      </c>
      <c r="H13746" s="22" t="s">
        <v>55</v>
      </c>
      <c r="I13746" s="26">
        <v>43522.689583333296</v>
      </c>
      <c r="J13746" s="23" t="str">
        <f>HYPERLINK("https://www.spark-marketing.ru/Card/Person/6503414", "ООО ""МОСПОЖСЕРВИС""")</f>
        <v>ООО "МОСПОЖСЕРВИС"</v>
      </c>
      <c r="K13746" s="24" t="s">
        <v>3876</v>
      </c>
      <c r="L13746" s="28" t="s">
        <v>52</v>
      </c>
      <c r="M13746" s="25">
        <v>268884</v>
      </c>
      <c r="N13746" s="27">
        <v>0.01</v>
      </c>
    </row>
    <row r="13747" spans="1:14" hidden="1" outlineLevel="1" x14ac:dyDescent="0.2">
      <c r="A13747" s="23" t="str">
        <f t="shared" si="716"/>
        <v>ФГБОУ ВО "МГТУ "СТАНКИН"</v>
      </c>
      <c r="B13747" s="24" t="s">
        <v>15932</v>
      </c>
      <c r="C13747" s="25">
        <v>271600</v>
      </c>
      <c r="D13747" s="22" t="s">
        <v>15933</v>
      </c>
      <c r="E13747" s="22" t="s">
        <v>1647</v>
      </c>
      <c r="F13747" s="23" t="str">
        <f t="shared" si="717"/>
        <v>Оказание услуг по техническому обслуживанию системы охранного видеонаблюдения</v>
      </c>
      <c r="G13747" s="22" t="s">
        <v>55</v>
      </c>
      <c r="H13747" s="22" t="s">
        <v>55</v>
      </c>
      <c r="I13747" s="26">
        <v>43522.689583333296</v>
      </c>
      <c r="J13747" s="23" t="str">
        <f>HYPERLINK("https://www.spark-marketing.ru/Card/Person/6503414", "ООО ""МОСПОЖСЕРВИС""")</f>
        <v>ООО "МОСПОЖСЕРВИС"</v>
      </c>
      <c r="K13747" s="24" t="s">
        <v>3876</v>
      </c>
      <c r="L13747" s="28" t="s">
        <v>52</v>
      </c>
      <c r="M13747" s="25">
        <v>199000</v>
      </c>
      <c r="N13747" s="27">
        <v>0.26730486008836524</v>
      </c>
    </row>
    <row r="13748" spans="1:14" x14ac:dyDescent="0.15">
      <c r="A13748" s="23" t="str">
        <f>HYPERLINK("https://www.spark-marketing.ru/Card/Person/21274", "ФГКУ КОМБИНАТ ""ВОЛЬНЫЙ"" РОСРЕЗЕРВА")</f>
        <v>ФГКУ КОМБИНАТ "ВОЛЬНЫЙ" РОСРЕЗЕРВА</v>
      </c>
      <c r="B13748" s="24" t="s">
        <v>12423</v>
      </c>
      <c r="C13748" s="25">
        <v>67675.59</v>
      </c>
      <c r="D13748" s="22" t="s">
        <v>15935</v>
      </c>
      <c r="E13748" s="22" t="s">
        <v>68</v>
      </c>
      <c r="F13748" s="23" t="str">
        <f>HYPERLINK("https://www.spark-marketing.ru/Card/Lot/68261548", "Оказание охранных услуг")</f>
        <v>Оказание охранных услуг</v>
      </c>
      <c r="G13748" s="22" t="s">
        <v>384</v>
      </c>
      <c r="H13748" s="22" t="s">
        <v>384</v>
      </c>
      <c r="I13748" s="26">
        <v>43522.643750000003</v>
      </c>
      <c r="J13748" s="28" t="s">
        <v>52</v>
      </c>
      <c r="K13748" s="28" t="s">
        <v>52</v>
      </c>
      <c r="L13748" s="28" t="s">
        <v>52</v>
      </c>
      <c r="M13748" s="28" t="s">
        <v>52</v>
      </c>
      <c r="N13748" s="28" t="s">
        <v>52</v>
      </c>
    </row>
    <row r="13749" spans="1:14" x14ac:dyDescent="0.15">
      <c r="A13749" s="23" t="str">
        <f t="shared" ref="A13749:A13754" si="718">HYPERLINK("https://www.spark-marketing.ru/Card/Person/1395", "ФКУЗ ""САНАТОРИЙ ""СОСНОВЫЙ"" МВД РОССИИ""")</f>
        <v>ФКУЗ "САНАТОРИЙ "СОСНОВЫЙ" МВД РОССИИ"</v>
      </c>
      <c r="B13749" s="24" t="s">
        <v>15936</v>
      </c>
      <c r="C13749" s="25">
        <v>877800</v>
      </c>
      <c r="D13749" s="22" t="s">
        <v>15937</v>
      </c>
      <c r="E13749" s="22" t="s">
        <v>103</v>
      </c>
      <c r="F13749" s="23" t="str">
        <f t="shared" ref="F13749:F13754" si="719">HYPERLINK("https://www.spark-marketing.ru/Card/Lot/68267764", "ТО видеонаблюдения")</f>
        <v>ТО видеонаблюдения</v>
      </c>
      <c r="G13749" s="22" t="s">
        <v>132</v>
      </c>
      <c r="H13749" s="22" t="s">
        <v>15938</v>
      </c>
      <c r="I13749" s="26">
        <v>43522.634722222203</v>
      </c>
      <c r="J13749" s="28" t="s">
        <v>52</v>
      </c>
      <c r="K13749" s="28" t="s">
        <v>52</v>
      </c>
      <c r="L13749" s="28" t="s">
        <v>52</v>
      </c>
      <c r="M13749" s="28" t="s">
        <v>52</v>
      </c>
      <c r="N13749" s="28" t="s">
        <v>52</v>
      </c>
    </row>
    <row r="13750" spans="1:14" hidden="1" outlineLevel="1" x14ac:dyDescent="0.2">
      <c r="A13750" s="23" t="str">
        <f t="shared" si="718"/>
        <v>ФКУЗ "САНАТОРИЙ "СОСНОВЫЙ" МВД РОССИИ"</v>
      </c>
      <c r="B13750" s="24" t="s">
        <v>15936</v>
      </c>
      <c r="C13750" s="25">
        <v>877800</v>
      </c>
      <c r="D13750" s="22" t="s">
        <v>15937</v>
      </c>
      <c r="E13750" s="22" t="s">
        <v>103</v>
      </c>
      <c r="F13750" s="23" t="str">
        <f t="shared" si="719"/>
        <v>ТО видеонаблюдения</v>
      </c>
      <c r="G13750" s="22" t="s">
        <v>132</v>
      </c>
      <c r="H13750" s="22" t="s">
        <v>15938</v>
      </c>
      <c r="I13750" s="26">
        <v>43522.634722222203</v>
      </c>
      <c r="J13750" s="23" t="str">
        <f>HYPERLINK("https://www.spark-marketing.ru/Card/Person/451753", "ООО ""БАЙРУ""")</f>
        <v>ООО "БАЙРУ"</v>
      </c>
      <c r="K13750" s="24" t="s">
        <v>15939</v>
      </c>
      <c r="L13750" s="28" t="s">
        <v>52</v>
      </c>
      <c r="M13750" s="25">
        <v>184800</v>
      </c>
      <c r="N13750" s="27">
        <v>0.78947368421052633</v>
      </c>
    </row>
    <row r="13751" spans="1:14" ht="12.75" hidden="1" outlineLevel="1" x14ac:dyDescent="0.2">
      <c r="A13751" s="23" t="str">
        <f t="shared" si="718"/>
        <v>ФКУЗ "САНАТОРИЙ "СОСНОВЫЙ" МВД РОССИИ"</v>
      </c>
      <c r="B13751" s="24" t="s">
        <v>15936</v>
      </c>
      <c r="C13751" s="25">
        <v>877800</v>
      </c>
      <c r="D13751" s="22" t="s">
        <v>15937</v>
      </c>
      <c r="E13751" s="22" t="s">
        <v>103</v>
      </c>
      <c r="F13751" s="23" t="str">
        <f t="shared" si="719"/>
        <v>ТО видеонаблюдения</v>
      </c>
      <c r="G13751" s="22" t="s">
        <v>132</v>
      </c>
      <c r="H13751" s="22" t="s">
        <v>15938</v>
      </c>
      <c r="I13751" s="26">
        <v>43522.634722222203</v>
      </c>
      <c r="J13751" s="23" t="str">
        <f>HYPERLINK("https://www.spark-marketing.ru/Card/Person/71443", "ООО ""ПОЖСЕРВИС""")</f>
        <v>ООО "ПОЖСЕРВИС"</v>
      </c>
      <c r="K13751" s="24" t="s">
        <v>15940</v>
      </c>
      <c r="L13751" s="22" t="s">
        <v>10</v>
      </c>
      <c r="M13751" s="25">
        <v>100947</v>
      </c>
      <c r="N13751" s="27">
        <v>0.88500000000000001</v>
      </c>
    </row>
    <row r="13752" spans="1:14" hidden="1" outlineLevel="1" x14ac:dyDescent="0.2">
      <c r="A13752" s="23" t="str">
        <f t="shared" si="718"/>
        <v>ФКУЗ "САНАТОРИЙ "СОСНОВЫЙ" МВД РОССИИ"</v>
      </c>
      <c r="B13752" s="24" t="s">
        <v>15936</v>
      </c>
      <c r="C13752" s="25">
        <v>877800</v>
      </c>
      <c r="D13752" s="22" t="s">
        <v>15937</v>
      </c>
      <c r="E13752" s="22" t="s">
        <v>103</v>
      </c>
      <c r="F13752" s="23" t="str">
        <f t="shared" si="719"/>
        <v>ТО видеонаблюдения</v>
      </c>
      <c r="G13752" s="22" t="s">
        <v>132</v>
      </c>
      <c r="H13752" s="22" t="s">
        <v>15938</v>
      </c>
      <c r="I13752" s="26">
        <v>43522.634722222203</v>
      </c>
      <c r="J13752" s="23" t="str">
        <f>HYPERLINK("https://www.spark-marketing.ru/Card/Person/6219965", "ООО ""ДОЗОР""")</f>
        <v>ООО "ДОЗОР"</v>
      </c>
      <c r="K13752" s="24" t="s">
        <v>7952</v>
      </c>
      <c r="L13752" s="28" t="s">
        <v>52</v>
      </c>
      <c r="M13752" s="25">
        <v>105336</v>
      </c>
      <c r="N13752" s="27">
        <v>0.88</v>
      </c>
    </row>
    <row r="13753" spans="1:14" hidden="1" outlineLevel="1" x14ac:dyDescent="0.2">
      <c r="A13753" s="23" t="str">
        <f t="shared" si="718"/>
        <v>ФКУЗ "САНАТОРИЙ "СОСНОВЫЙ" МВД РОССИИ"</v>
      </c>
      <c r="B13753" s="24" t="s">
        <v>15936</v>
      </c>
      <c r="C13753" s="25">
        <v>877800</v>
      </c>
      <c r="D13753" s="22" t="s">
        <v>15937</v>
      </c>
      <c r="E13753" s="22" t="s">
        <v>103</v>
      </c>
      <c r="F13753" s="23" t="str">
        <f t="shared" si="719"/>
        <v>ТО видеонаблюдения</v>
      </c>
      <c r="G13753" s="22" t="s">
        <v>132</v>
      </c>
      <c r="H13753" s="22" t="s">
        <v>15938</v>
      </c>
      <c r="I13753" s="26">
        <v>43522.634722222203</v>
      </c>
      <c r="J13753" s="23" t="str">
        <f>HYPERLINK("https://www.spark-marketing.ru/Card/Person/447255", "Юнга Владимир Алексеевич")</f>
        <v>Юнга Владимир Алексеевич</v>
      </c>
      <c r="K13753" s="24" t="s">
        <v>15941</v>
      </c>
      <c r="L13753" s="28" t="s">
        <v>52</v>
      </c>
      <c r="M13753" s="25">
        <v>320397</v>
      </c>
      <c r="N13753" s="27">
        <v>0.63500000000000001</v>
      </c>
    </row>
    <row r="13754" spans="1:14" hidden="1" outlineLevel="1" x14ac:dyDescent="0.2">
      <c r="A13754" s="23" t="str">
        <f t="shared" si="718"/>
        <v>ФКУЗ "САНАТОРИЙ "СОСНОВЫЙ" МВД РОССИИ"</v>
      </c>
      <c r="B13754" s="24" t="s">
        <v>15936</v>
      </c>
      <c r="C13754" s="25">
        <v>877800</v>
      </c>
      <c r="D13754" s="22" t="s">
        <v>15937</v>
      </c>
      <c r="E13754" s="22" t="s">
        <v>103</v>
      </c>
      <c r="F13754" s="23" t="str">
        <f t="shared" si="719"/>
        <v>ТО видеонаблюдения</v>
      </c>
      <c r="G13754" s="22" t="s">
        <v>132</v>
      </c>
      <c r="H13754" s="22" t="s">
        <v>15938</v>
      </c>
      <c r="I13754" s="26">
        <v>43522.634722222203</v>
      </c>
      <c r="J13754" s="23" t="str">
        <f>HYPERLINK("https://www.spark-marketing.ru/Card/Person/90663", "ООО ""ИДЕАЛ-ТРЕЙД""")</f>
        <v>ООО "ИДЕАЛ-ТРЕЙД"</v>
      </c>
      <c r="K13754" s="24" t="s">
        <v>15942</v>
      </c>
      <c r="L13754" s="28" t="s">
        <v>52</v>
      </c>
      <c r="M13754" s="25">
        <v>768075</v>
      </c>
      <c r="N13754" s="27">
        <v>0.125</v>
      </c>
    </row>
    <row r="13755" spans="1:14" x14ac:dyDescent="0.15">
      <c r="A13755" s="23" t="str">
        <f>HYPERLINK("https://www.spark-marketing.ru/Card/Person/1038270", "МБОУ ""ШКОЛА КОРРЕКЦИИ И РАЗВИТИЯ VIII ВИДА №44"" Г. БРЯНСКА")</f>
        <v>МБОУ "ШКОЛА КОРРЕКЦИИ И РАЗВИТИЯ VIII ВИДА №44" Г. БРЯНСКА</v>
      </c>
      <c r="B13755" s="24" t="s">
        <v>3965</v>
      </c>
      <c r="C13755" s="25">
        <v>62400</v>
      </c>
      <c r="D13755" s="22" t="s">
        <v>15943</v>
      </c>
      <c r="E13755" s="22" t="s">
        <v>68</v>
      </c>
      <c r="F13755" s="23" t="str">
        <f>HYPERLINK("https://www.spark-marketing.ru/Card/Lot/68265778", "услуги по обеспечению охраны объекта")</f>
        <v>услуги по обеспечению охраны объекта</v>
      </c>
      <c r="G13755" s="22" t="s">
        <v>215</v>
      </c>
      <c r="H13755" s="22" t="s">
        <v>406</v>
      </c>
      <c r="I13755" s="26">
        <v>43522.658333333296</v>
      </c>
      <c r="J13755" s="28" t="s">
        <v>52</v>
      </c>
      <c r="K13755" s="28" t="s">
        <v>52</v>
      </c>
      <c r="L13755" s="28" t="s">
        <v>52</v>
      </c>
      <c r="M13755" s="28" t="s">
        <v>52</v>
      </c>
      <c r="N13755" s="28" t="s">
        <v>52</v>
      </c>
    </row>
    <row r="13756" spans="1:14" x14ac:dyDescent="0.15">
      <c r="A13756" s="23" t="str">
        <f t="shared" ref="A13756:A13762" si="720">HYPERLINK("https://www.spark-marketing.ru/Card/Person/1022439", "РАМЕНСКАЯ ДШИ №2")</f>
        <v>РАМЕНСКАЯ ДШИ №2</v>
      </c>
      <c r="B13756" s="24" t="s">
        <v>15944</v>
      </c>
      <c r="C13756" s="25">
        <v>20000</v>
      </c>
      <c r="D13756" s="22" t="s">
        <v>15945</v>
      </c>
      <c r="E13756" s="22" t="s">
        <v>103</v>
      </c>
      <c r="F13756" s="23" t="str">
        <f t="shared" ref="F13756:F13762" si="721">HYPERLINK("https://www.spark-marketing.ru/Card/Lot/68270134", "Оказание услуг по техническому обслуживанию системы видеонаблюдения в 2019 г")</f>
        <v>Оказание услуг по техническому обслуживанию системы видеонаблюдения в 2019 г</v>
      </c>
      <c r="G13756" s="22" t="s">
        <v>50</v>
      </c>
      <c r="H13756" s="22" t="s">
        <v>244</v>
      </c>
      <c r="I13756" s="26">
        <v>43522.649305555598</v>
      </c>
      <c r="J13756" s="28" t="s">
        <v>52</v>
      </c>
      <c r="K13756" s="28" t="s">
        <v>52</v>
      </c>
      <c r="L13756" s="28" t="s">
        <v>52</v>
      </c>
      <c r="M13756" s="28" t="s">
        <v>52</v>
      </c>
      <c r="N13756" s="28" t="s">
        <v>52</v>
      </c>
    </row>
    <row r="13757" spans="1:14" hidden="1" outlineLevel="1" x14ac:dyDescent="0.2">
      <c r="A13757" s="23" t="str">
        <f t="shared" si="720"/>
        <v>РАМЕНСКАЯ ДШИ №2</v>
      </c>
      <c r="B13757" s="24" t="s">
        <v>15944</v>
      </c>
      <c r="C13757" s="25">
        <v>20000</v>
      </c>
      <c r="D13757" s="22" t="s">
        <v>15945</v>
      </c>
      <c r="E13757" s="22" t="s">
        <v>103</v>
      </c>
      <c r="F13757" s="23" t="str">
        <f t="shared" si="721"/>
        <v>Оказание услуг по техническому обслуживанию системы видеонаблюдения в 2019 г</v>
      </c>
      <c r="G13757" s="22" t="s">
        <v>50</v>
      </c>
      <c r="H13757" s="22" t="s">
        <v>244</v>
      </c>
      <c r="I13757" s="26">
        <v>43522.649305555598</v>
      </c>
      <c r="J13757" s="23" t="str">
        <f>HYPERLINK("https://www.spark-marketing.ru/Card/Person/6459700", "ООО ""РЕМОНТНИК СЕРВИС""")</f>
        <v>ООО "РЕМОНТНИК СЕРВИС"</v>
      </c>
      <c r="K13757" s="24" t="s">
        <v>15946</v>
      </c>
      <c r="L13757" s="28" t="s">
        <v>52</v>
      </c>
      <c r="M13757" s="25">
        <v>19000</v>
      </c>
      <c r="N13757" s="27">
        <v>0.05</v>
      </c>
    </row>
    <row r="13758" spans="1:14" hidden="1" outlineLevel="1" x14ac:dyDescent="0.2">
      <c r="A13758" s="23" t="str">
        <f t="shared" si="720"/>
        <v>РАМЕНСКАЯ ДШИ №2</v>
      </c>
      <c r="B13758" s="24" t="s">
        <v>15944</v>
      </c>
      <c r="C13758" s="25">
        <v>20000</v>
      </c>
      <c r="D13758" s="22" t="s">
        <v>15945</v>
      </c>
      <c r="E13758" s="22" t="s">
        <v>103</v>
      </c>
      <c r="F13758" s="23" t="str">
        <f t="shared" si="721"/>
        <v>Оказание услуг по техническому обслуживанию системы видеонаблюдения в 2019 г</v>
      </c>
      <c r="G13758" s="22" t="s">
        <v>50</v>
      </c>
      <c r="H13758" s="22" t="s">
        <v>244</v>
      </c>
      <c r="I13758" s="26">
        <v>43522.649305555598</v>
      </c>
      <c r="J13758" s="23" t="str">
        <f>HYPERLINK("https://www.spark-marketing.ru/Card/Person/703283", "ООО ""АЛЕКС МАСТЕР""")</f>
        <v>ООО "АЛЕКС МАСТЕР"</v>
      </c>
      <c r="K13758" s="24" t="s">
        <v>15621</v>
      </c>
      <c r="L13758" s="28" t="s">
        <v>52</v>
      </c>
      <c r="M13758" s="25">
        <v>19990</v>
      </c>
      <c r="N13758" s="27">
        <v>5.0000000000000001E-4</v>
      </c>
    </row>
    <row r="13759" spans="1:14" hidden="1" outlineLevel="1" x14ac:dyDescent="0.2">
      <c r="A13759" s="23" t="str">
        <f t="shared" si="720"/>
        <v>РАМЕНСКАЯ ДШИ №2</v>
      </c>
      <c r="B13759" s="24" t="s">
        <v>15944</v>
      </c>
      <c r="C13759" s="25">
        <v>20000</v>
      </c>
      <c r="D13759" s="22" t="s">
        <v>15945</v>
      </c>
      <c r="E13759" s="22" t="s">
        <v>103</v>
      </c>
      <c r="F13759" s="23" t="str">
        <f t="shared" si="721"/>
        <v>Оказание услуг по техническому обслуживанию системы видеонаблюдения в 2019 г</v>
      </c>
      <c r="G13759" s="22" t="s">
        <v>50</v>
      </c>
      <c r="H13759" s="22" t="s">
        <v>244</v>
      </c>
      <c r="I13759" s="26">
        <v>43522.649305555598</v>
      </c>
      <c r="J13759" s="23" t="str">
        <f>HYPERLINK("https://www.spark-marketing.ru/Card/Person/707029", "ООО ""МЕДТЕХЦЕНТР""")</f>
        <v>ООО "МЕДТЕХЦЕНТР"</v>
      </c>
      <c r="K13759" s="24" t="s">
        <v>15947</v>
      </c>
      <c r="L13759" s="28" t="s">
        <v>52</v>
      </c>
      <c r="M13759" s="25">
        <v>19000</v>
      </c>
      <c r="N13759" s="27">
        <v>0.05</v>
      </c>
    </row>
    <row r="13760" spans="1:14" hidden="1" outlineLevel="1" x14ac:dyDescent="0.2">
      <c r="A13760" s="23" t="str">
        <f t="shared" si="720"/>
        <v>РАМЕНСКАЯ ДШИ №2</v>
      </c>
      <c r="B13760" s="24" t="s">
        <v>15944</v>
      </c>
      <c r="C13760" s="25">
        <v>20000</v>
      </c>
      <c r="D13760" s="22" t="s">
        <v>15945</v>
      </c>
      <c r="E13760" s="22" t="s">
        <v>103</v>
      </c>
      <c r="F13760" s="23" t="str">
        <f t="shared" si="721"/>
        <v>Оказание услуг по техническому обслуживанию системы видеонаблюдения в 2019 г</v>
      </c>
      <c r="G13760" s="22" t="s">
        <v>50</v>
      </c>
      <c r="H13760" s="22" t="s">
        <v>244</v>
      </c>
      <c r="I13760" s="26">
        <v>43522.649305555598</v>
      </c>
      <c r="J13760" s="23" t="str">
        <f>HYPERLINK("https://www.spark-marketing.ru/Card/Person/4768257", "ООО ""АЛАРМ""")</f>
        <v>ООО "АЛАРМ"</v>
      </c>
      <c r="K13760" s="24" t="s">
        <v>12073</v>
      </c>
      <c r="L13760" s="28" t="s">
        <v>52</v>
      </c>
      <c r="M13760" s="25">
        <v>18000</v>
      </c>
      <c r="N13760" s="27">
        <v>0.1</v>
      </c>
    </row>
    <row r="13761" spans="1:14" ht="12.75" hidden="1" outlineLevel="1" x14ac:dyDescent="0.2">
      <c r="A13761" s="23" t="str">
        <f t="shared" si="720"/>
        <v>РАМЕНСКАЯ ДШИ №2</v>
      </c>
      <c r="B13761" s="24" t="s">
        <v>15944</v>
      </c>
      <c r="C13761" s="25">
        <v>20000</v>
      </c>
      <c r="D13761" s="22" t="s">
        <v>15945</v>
      </c>
      <c r="E13761" s="22" t="s">
        <v>103</v>
      </c>
      <c r="F13761" s="23" t="str">
        <f t="shared" si="721"/>
        <v>Оказание услуг по техническому обслуживанию системы видеонаблюдения в 2019 г</v>
      </c>
      <c r="G13761" s="22" t="s">
        <v>50</v>
      </c>
      <c r="H13761" s="22" t="s">
        <v>244</v>
      </c>
      <c r="I13761" s="26">
        <v>43522.649305555598</v>
      </c>
      <c r="J13761" s="23" t="str">
        <f>HYPERLINK("https://www.spark-marketing.ru/Card/Person/65028", "ООО ""ИМПУЛЬС М""")</f>
        <v>ООО "ИМПУЛЬС М"</v>
      </c>
      <c r="K13761" s="24" t="s">
        <v>7268</v>
      </c>
      <c r="L13761" s="22" t="s">
        <v>10</v>
      </c>
      <c r="M13761" s="25">
        <v>15000</v>
      </c>
      <c r="N13761" s="27">
        <v>0.25</v>
      </c>
    </row>
    <row r="13762" spans="1:14" hidden="1" outlineLevel="1" x14ac:dyDescent="0.2">
      <c r="A13762" s="23" t="str">
        <f t="shared" si="720"/>
        <v>РАМЕНСКАЯ ДШИ №2</v>
      </c>
      <c r="B13762" s="24" t="s">
        <v>15944</v>
      </c>
      <c r="C13762" s="25">
        <v>20000</v>
      </c>
      <c r="D13762" s="22" t="s">
        <v>15945</v>
      </c>
      <c r="E13762" s="22" t="s">
        <v>103</v>
      </c>
      <c r="F13762" s="23" t="str">
        <f t="shared" si="721"/>
        <v>Оказание услуг по техническому обслуживанию системы видеонаблюдения в 2019 г</v>
      </c>
      <c r="G13762" s="22" t="s">
        <v>50</v>
      </c>
      <c r="H13762" s="22" t="s">
        <v>244</v>
      </c>
      <c r="I13762" s="26">
        <v>43522.649305555598</v>
      </c>
      <c r="J13762" s="23" t="str">
        <f>HYPERLINK("https://www.spark-marketing.ru/Card/Person/1281054", "ООО ЧОО ""ОХРАНА""")</f>
        <v>ООО ЧОО "ОХРАНА"</v>
      </c>
      <c r="K13762" s="24" t="s">
        <v>14499</v>
      </c>
      <c r="L13762" s="28" t="s">
        <v>52</v>
      </c>
      <c r="M13762" s="25">
        <v>20000</v>
      </c>
      <c r="N13762" s="27">
        <v>0</v>
      </c>
    </row>
    <row r="13763" spans="1:14" x14ac:dyDescent="0.15">
      <c r="A13763" s="23" t="str">
        <f>HYPERLINK("https://www.spark-marketing.ru/Card/Person/1038454", "МБОУ СОШ №13 ИМЕНИ ГЕРОЯ СОВЕТСКОГО СОЮЗА И.Б.КАТУНИНА Г. БРЯНСКА")</f>
        <v>МБОУ СОШ №13 ИМЕНИ ГЕРОЯ СОВЕТСКОГО СОЮЗА И.Б.КАТУНИНА Г. БРЯНСКА</v>
      </c>
      <c r="B13763" s="24" t="s">
        <v>3963</v>
      </c>
      <c r="C13763" s="25">
        <v>67200</v>
      </c>
      <c r="D13763" s="22" t="s">
        <v>15948</v>
      </c>
      <c r="E13763" s="22" t="s">
        <v>68</v>
      </c>
      <c r="F13763" s="23" t="str">
        <f>HYPERLINK("https://www.spark-marketing.ru/Card/Lot/68262508", "услуги по охране объекта")</f>
        <v>услуги по охране объекта</v>
      </c>
      <c r="G13763" s="22" t="s">
        <v>215</v>
      </c>
      <c r="H13763" s="22" t="s">
        <v>406</v>
      </c>
      <c r="I13763" s="26">
        <v>43522.642361111102</v>
      </c>
      <c r="J13763" s="28" t="s">
        <v>52</v>
      </c>
      <c r="K13763" s="28" t="s">
        <v>52</v>
      </c>
      <c r="L13763" s="28" t="s">
        <v>52</v>
      </c>
      <c r="M13763" s="28" t="s">
        <v>52</v>
      </c>
      <c r="N13763" s="28" t="s">
        <v>52</v>
      </c>
    </row>
    <row r="13764" spans="1:14" x14ac:dyDescent="0.15">
      <c r="A13764" s="23" t="str">
        <f>HYPERLINK("https://www.spark-marketing.ru/Card/Person/1044119", "МБУК ""КАШИРСКИЙ КРАЕВЕДЧЕСКИЙ МУЗЕЙ""")</f>
        <v>МБУК "КАШИРСКИЙ КРАЕВЕДЧЕСКИЙ МУЗЕЙ"</v>
      </c>
      <c r="B13764" s="24" t="s">
        <v>15007</v>
      </c>
      <c r="C13764" s="25">
        <v>72000</v>
      </c>
      <c r="D13764" s="22" t="s">
        <v>15949</v>
      </c>
      <c r="E13764" s="22" t="s">
        <v>103</v>
      </c>
      <c r="F13764" s="23" t="str">
        <f>HYPERLINK("https://www.spark-marketing.ru/Card/Lot/68539744", "Оказание услуг по обслуживанию системы видеонаблюдения")</f>
        <v>Оказание услуг по обслуживанию системы видеонаблюдения</v>
      </c>
      <c r="G13764" s="22" t="s">
        <v>50</v>
      </c>
      <c r="H13764" s="22" t="s">
        <v>2283</v>
      </c>
      <c r="I13764" s="26">
        <v>43522.586261574099</v>
      </c>
      <c r="J13764" s="28" t="s">
        <v>52</v>
      </c>
      <c r="K13764" s="28" t="s">
        <v>52</v>
      </c>
      <c r="L13764" s="28" t="s">
        <v>52</v>
      </c>
      <c r="M13764" s="28" t="s">
        <v>52</v>
      </c>
      <c r="N13764" s="28" t="s">
        <v>52</v>
      </c>
    </row>
    <row r="13765" spans="1:14" x14ac:dyDescent="0.15">
      <c r="A13765" s="23" t="str">
        <f t="shared" ref="A13765:A13772" si="722">HYPERLINK("https://www.spark-marketing.ru/Card/Person/5951331", "ГБУЗ ПК ""ГБ Г. СОЛИКАМСК""")</f>
        <v>ГБУЗ ПК "ГБ Г. СОЛИКАМСК"</v>
      </c>
      <c r="B13765" s="24" t="s">
        <v>448</v>
      </c>
      <c r="C13765" s="25">
        <v>191500</v>
      </c>
      <c r="D13765" s="22" t="s">
        <v>15950</v>
      </c>
      <c r="E13765" s="22" t="s">
        <v>103</v>
      </c>
      <c r="F13765" s="23" t="str">
        <f t="shared" ref="F13765:F13772" si="723">HYPERLINK("https://www.spark-marketing.ru/Card/Lot/68262852", "Оказание услуг по техническому обслуживанию палатной сигнализации")</f>
        <v>Оказание услуг по техническому обслуживанию палатной сигнализации</v>
      </c>
      <c r="G13765" s="22" t="s">
        <v>391</v>
      </c>
      <c r="H13765" s="22" t="s">
        <v>391</v>
      </c>
      <c r="I13765" s="26">
        <v>43522.607638888898</v>
      </c>
      <c r="J13765" s="28" t="s">
        <v>52</v>
      </c>
      <c r="K13765" s="28" t="s">
        <v>52</v>
      </c>
      <c r="L13765" s="28" t="s">
        <v>52</v>
      </c>
      <c r="M13765" s="28" t="s">
        <v>52</v>
      </c>
      <c r="N13765" s="28" t="s">
        <v>52</v>
      </c>
    </row>
    <row r="13766" spans="1:14" hidden="1" outlineLevel="1" x14ac:dyDescent="0.2">
      <c r="A13766" s="23" t="str">
        <f t="shared" si="722"/>
        <v>ГБУЗ ПК "ГБ Г. СОЛИКАМСК"</v>
      </c>
      <c r="B13766" s="24" t="s">
        <v>448</v>
      </c>
      <c r="C13766" s="25">
        <v>191500</v>
      </c>
      <c r="D13766" s="22" t="s">
        <v>15950</v>
      </c>
      <c r="E13766" s="22" t="s">
        <v>103</v>
      </c>
      <c r="F13766" s="23" t="str">
        <f t="shared" si="723"/>
        <v>Оказание услуг по техническому обслуживанию палатной сигнализации</v>
      </c>
      <c r="G13766" s="22" t="s">
        <v>391</v>
      </c>
      <c r="H13766" s="22" t="s">
        <v>391</v>
      </c>
      <c r="I13766" s="26">
        <v>43522.607638888898</v>
      </c>
      <c r="J13766" s="23" t="str">
        <f>HYPERLINK("https://www.spark-marketing.ru/Card/Person/420274", "Уфимцев Андрей Александрович")</f>
        <v>Уфимцев Андрей Александрович</v>
      </c>
      <c r="K13766" s="24" t="s">
        <v>14853</v>
      </c>
      <c r="L13766" s="28" t="s">
        <v>52</v>
      </c>
      <c r="M13766" s="25">
        <v>130000</v>
      </c>
      <c r="N13766" s="27">
        <v>0.32114882506527415</v>
      </c>
    </row>
    <row r="13767" spans="1:14" hidden="1" outlineLevel="1" x14ac:dyDescent="0.2">
      <c r="A13767" s="23" t="str">
        <f t="shared" si="722"/>
        <v>ГБУЗ ПК "ГБ Г. СОЛИКАМСК"</v>
      </c>
      <c r="B13767" s="24" t="s">
        <v>448</v>
      </c>
      <c r="C13767" s="25">
        <v>191500</v>
      </c>
      <c r="D13767" s="22" t="s">
        <v>15950</v>
      </c>
      <c r="E13767" s="22" t="s">
        <v>103</v>
      </c>
      <c r="F13767" s="23" t="str">
        <f t="shared" si="723"/>
        <v>Оказание услуг по техническому обслуживанию палатной сигнализации</v>
      </c>
      <c r="G13767" s="22" t="s">
        <v>391</v>
      </c>
      <c r="H13767" s="22" t="s">
        <v>391</v>
      </c>
      <c r="I13767" s="26">
        <v>43522.607638888898</v>
      </c>
      <c r="J13767" s="23" t="str">
        <f>HYPERLINK("https://www.spark-marketing.ru/Card/Person/6457300", "ООО НПФ ""СБ""")</f>
        <v>ООО НПФ "СБ"</v>
      </c>
      <c r="K13767" s="24" t="s">
        <v>10799</v>
      </c>
      <c r="L13767" s="28" t="s">
        <v>52</v>
      </c>
      <c r="M13767" s="25">
        <v>143935</v>
      </c>
      <c r="N13767" s="27">
        <v>0.24838120104438643</v>
      </c>
    </row>
    <row r="13768" spans="1:14" hidden="1" outlineLevel="1" x14ac:dyDescent="0.2">
      <c r="A13768" s="23" t="str">
        <f t="shared" si="722"/>
        <v>ГБУЗ ПК "ГБ Г. СОЛИКАМСК"</v>
      </c>
      <c r="B13768" s="24" t="s">
        <v>448</v>
      </c>
      <c r="C13768" s="25">
        <v>191500</v>
      </c>
      <c r="D13768" s="22" t="s">
        <v>15950</v>
      </c>
      <c r="E13768" s="22" t="s">
        <v>103</v>
      </c>
      <c r="F13768" s="23" t="str">
        <f t="shared" si="723"/>
        <v>Оказание услуг по техническому обслуживанию палатной сигнализации</v>
      </c>
      <c r="G13768" s="22" t="s">
        <v>391</v>
      </c>
      <c r="H13768" s="22" t="s">
        <v>391</v>
      </c>
      <c r="I13768" s="26">
        <v>43522.607638888898</v>
      </c>
      <c r="J13768" s="23" t="str">
        <f>HYPERLINK("https://www.spark-marketing.ru/Card/Person/753747", "ООО ""СКУД""")</f>
        <v>ООО "СКУД"</v>
      </c>
      <c r="K13768" s="24" t="s">
        <v>1612</v>
      </c>
      <c r="L13768" s="28" t="s">
        <v>52</v>
      </c>
      <c r="M13768" s="25">
        <v>166508.68</v>
      </c>
      <c r="N13768" s="27">
        <v>0.13050297650130549</v>
      </c>
    </row>
    <row r="13769" spans="1:14" hidden="1" outlineLevel="1" x14ac:dyDescent="0.2">
      <c r="A13769" s="23" t="str">
        <f t="shared" si="722"/>
        <v>ГБУЗ ПК "ГБ Г. СОЛИКАМСК"</v>
      </c>
      <c r="B13769" s="24" t="s">
        <v>448</v>
      </c>
      <c r="C13769" s="25">
        <v>191500</v>
      </c>
      <c r="D13769" s="22" t="s">
        <v>15950</v>
      </c>
      <c r="E13769" s="22" t="s">
        <v>103</v>
      </c>
      <c r="F13769" s="23" t="str">
        <f t="shared" si="723"/>
        <v>Оказание услуг по техническому обслуживанию палатной сигнализации</v>
      </c>
      <c r="G13769" s="22" t="s">
        <v>391</v>
      </c>
      <c r="H13769" s="22" t="s">
        <v>391</v>
      </c>
      <c r="I13769" s="26">
        <v>43522.607638888898</v>
      </c>
      <c r="J13769" s="23" t="str">
        <f>HYPERLINK("https://www.spark-marketing.ru/Card/Person/784174", "ООО ""БРАНД""")</f>
        <v>ООО "БРАНД"</v>
      </c>
      <c r="K13769" s="24" t="s">
        <v>14852</v>
      </c>
      <c r="L13769" s="28" t="s">
        <v>52</v>
      </c>
      <c r="M13769" s="25">
        <v>111974.9</v>
      </c>
      <c r="N13769" s="27">
        <v>0.41527467362924281</v>
      </c>
    </row>
    <row r="13770" spans="1:14" ht="12.75" hidden="1" outlineLevel="1" x14ac:dyDescent="0.2">
      <c r="A13770" s="23" t="str">
        <f t="shared" si="722"/>
        <v>ГБУЗ ПК "ГБ Г. СОЛИКАМСК"</v>
      </c>
      <c r="B13770" s="24" t="s">
        <v>448</v>
      </c>
      <c r="C13770" s="25">
        <v>191500</v>
      </c>
      <c r="D13770" s="22" t="s">
        <v>15950</v>
      </c>
      <c r="E13770" s="22" t="s">
        <v>103</v>
      </c>
      <c r="F13770" s="23" t="str">
        <f t="shared" si="723"/>
        <v>Оказание услуг по техническому обслуживанию палатной сигнализации</v>
      </c>
      <c r="G13770" s="22" t="s">
        <v>391</v>
      </c>
      <c r="H13770" s="22" t="s">
        <v>391</v>
      </c>
      <c r="I13770" s="26">
        <v>43522.607638888898</v>
      </c>
      <c r="J13770" s="23" t="str">
        <f>HYPERLINK("https://www.spark-marketing.ru/Card/Person/270808", "Шуматов Юрий Геннадьевич")</f>
        <v>Шуматов Юрий Геннадьевич</v>
      </c>
      <c r="K13770" s="24" t="s">
        <v>15951</v>
      </c>
      <c r="L13770" s="22" t="s">
        <v>10</v>
      </c>
      <c r="M13770" s="25">
        <v>97612.4</v>
      </c>
      <c r="N13770" s="27">
        <v>0.49027467362924282</v>
      </c>
    </row>
    <row r="13771" spans="1:14" hidden="1" outlineLevel="1" x14ac:dyDescent="0.2">
      <c r="A13771" s="23" t="str">
        <f t="shared" si="722"/>
        <v>ГБУЗ ПК "ГБ Г. СОЛИКАМСК"</v>
      </c>
      <c r="B13771" s="24" t="s">
        <v>448</v>
      </c>
      <c r="C13771" s="25">
        <v>191500</v>
      </c>
      <c r="D13771" s="22" t="s">
        <v>15950</v>
      </c>
      <c r="E13771" s="22" t="s">
        <v>103</v>
      </c>
      <c r="F13771" s="23" t="str">
        <f t="shared" si="723"/>
        <v>Оказание услуг по техническому обслуживанию палатной сигнализации</v>
      </c>
      <c r="G13771" s="22" t="s">
        <v>391</v>
      </c>
      <c r="H13771" s="22" t="s">
        <v>391</v>
      </c>
      <c r="I13771" s="26">
        <v>43522.607638888898</v>
      </c>
      <c r="J13771" s="23" t="str">
        <f>HYPERLINK("https://www.spark-marketing.ru/Card/Person/130488", "Сычев Владимир Евгеньевич")</f>
        <v>Сычев Владимир Евгеньевич</v>
      </c>
      <c r="K13771" s="24" t="s">
        <v>14274</v>
      </c>
      <c r="L13771" s="28" t="s">
        <v>52</v>
      </c>
      <c r="M13771" s="25">
        <v>98569.9</v>
      </c>
      <c r="N13771" s="27">
        <v>0.48527467362924281</v>
      </c>
    </row>
    <row r="13772" spans="1:14" hidden="1" outlineLevel="1" x14ac:dyDescent="0.2">
      <c r="A13772" s="23" t="str">
        <f t="shared" si="722"/>
        <v>ГБУЗ ПК "ГБ Г. СОЛИКАМСК"</v>
      </c>
      <c r="B13772" s="24" t="s">
        <v>448</v>
      </c>
      <c r="C13772" s="25">
        <v>191500</v>
      </c>
      <c r="D13772" s="22" t="s">
        <v>15950</v>
      </c>
      <c r="E13772" s="22" t="s">
        <v>103</v>
      </c>
      <c r="F13772" s="23" t="str">
        <f t="shared" si="723"/>
        <v>Оказание услуг по техническому обслуживанию палатной сигнализации</v>
      </c>
      <c r="G13772" s="22" t="s">
        <v>391</v>
      </c>
      <c r="H13772" s="22" t="s">
        <v>391</v>
      </c>
      <c r="I13772" s="26">
        <v>43522.607638888898</v>
      </c>
      <c r="J13772" s="23" t="str">
        <f>HYPERLINK("https://www.spark-marketing.ru/Card/Person/6267191", "Главатских Юрий Николаевич")</f>
        <v>Главатских Юрий Николаевич</v>
      </c>
      <c r="K13772" s="24" t="s">
        <v>15952</v>
      </c>
      <c r="L13772" s="28" t="s">
        <v>52</v>
      </c>
      <c r="M13772" s="25">
        <v>130530</v>
      </c>
      <c r="N13772" s="27">
        <v>0.31838120104438644</v>
      </c>
    </row>
    <row r="13773" spans="1:14" x14ac:dyDescent="0.15">
      <c r="A13773" s="23" t="str">
        <f>HYPERLINK("https://www.spark-marketing.ru/Card/Person/1044119", "МБУК ""КАШИРСКИЙ КРАЕВЕДЧЕСКИЙ МУЗЕЙ""")</f>
        <v>МБУК "КАШИРСКИЙ КРАЕВЕДЧЕСКИЙ МУЗЕЙ"</v>
      </c>
      <c r="B13773" s="24" t="s">
        <v>15007</v>
      </c>
      <c r="C13773" s="25">
        <v>343444.08</v>
      </c>
      <c r="D13773" s="22" t="s">
        <v>15953</v>
      </c>
      <c r="E13773" s="22" t="s">
        <v>107</v>
      </c>
      <c r="F13773" s="23" t="str">
        <f>HYPERLINK("https://www.spark-marketing.ru/Card/Lot/68539814", "Услуга по оказанию охранных услуг")</f>
        <v>Услуга по оказанию охранных услуг</v>
      </c>
      <c r="G13773" s="22" t="s">
        <v>50</v>
      </c>
      <c r="H13773" s="22" t="s">
        <v>2283</v>
      </c>
      <c r="I13773" s="26">
        <v>43522.596921296303</v>
      </c>
      <c r="J13773" s="28" t="s">
        <v>52</v>
      </c>
      <c r="K13773" s="28" t="s">
        <v>52</v>
      </c>
      <c r="L13773" s="28" t="s">
        <v>52</v>
      </c>
      <c r="M13773" s="28" t="s">
        <v>52</v>
      </c>
      <c r="N13773" s="28" t="s">
        <v>52</v>
      </c>
    </row>
    <row r="13774" spans="1:14" x14ac:dyDescent="0.15">
      <c r="A13774" s="23" t="str">
        <f>HYPERLINK("https://www.spark-marketing.ru/Card/Person/1037626", "МБОУ СОШ №53 Г.БРЯНСКА")</f>
        <v>МБОУ СОШ №53 Г.БРЯНСКА</v>
      </c>
      <c r="B13774" s="24" t="s">
        <v>3956</v>
      </c>
      <c r="C13774" s="25">
        <v>64800</v>
      </c>
      <c r="D13774" s="22" t="s">
        <v>15954</v>
      </c>
      <c r="E13774" s="22" t="s">
        <v>68</v>
      </c>
      <c r="F13774" s="23" t="str">
        <f>HYPERLINK("https://www.spark-marketing.ru/Card/Lot/68262231", "Услуги по обеспечению охраны объекта")</f>
        <v>Услуги по обеспечению охраны объекта</v>
      </c>
      <c r="G13774" s="22" t="s">
        <v>215</v>
      </c>
      <c r="H13774" s="22" t="s">
        <v>406</v>
      </c>
      <c r="I13774" s="26">
        <v>43522.623611111099</v>
      </c>
      <c r="J13774" s="28" t="s">
        <v>52</v>
      </c>
      <c r="K13774" s="28" t="s">
        <v>52</v>
      </c>
      <c r="L13774" s="28" t="s">
        <v>52</v>
      </c>
      <c r="M13774" s="28" t="s">
        <v>52</v>
      </c>
      <c r="N13774" s="28" t="s">
        <v>52</v>
      </c>
    </row>
    <row r="13775" spans="1:14" x14ac:dyDescent="0.2">
      <c r="A13775" s="23" t="str">
        <f>HYPERLINK("https://www.spark-marketing.ru/Card/Person/4350519", "ФГБОУ ВО ""МГТУ ИМ. Г. И. НОСОВА"", ФГБОУ ВО ""МАГНИТОГОРСКИЙ ГОСУДАРСТВЕННЫЙ ТЕХНИЧЕСКИЙ УНИВЕРСИТЕТ ИМ. Г. И. НОСОВА"", МАГНИТОГОРСКИЙ ГОСУДАРСТВЕННЫЙ ТЕХНИЧЕСКИЙ УНИВЕРСИТЕТ ИМ. Г. И. НОСОВА, МГТУ ИМ. Г. И. НОСОВА")</f>
        <v>ФГБОУ ВО "МГТУ ИМ. Г. И. НОСОВА", ФГБОУ ВО "МАГНИТОГОРСКИЙ ГОСУДАРСТВЕННЫЙ ТЕХНИЧЕСКИЙ УНИВЕРСИТЕТ ИМ. Г. И. НОСОВА", МАГНИТОГОРСКИЙ ГОСУДАРСТВЕННЫЙ ТЕХНИЧЕСКИЙ УНИВЕРСИТЕТ ИМ. Г. И. НОСОВА, МГТУ ИМ. Г. И. НОСОВА</v>
      </c>
      <c r="B13775" s="24" t="s">
        <v>2959</v>
      </c>
      <c r="C13775" s="25">
        <v>133919.51999999999</v>
      </c>
      <c r="D13775" s="22" t="s">
        <v>15955</v>
      </c>
      <c r="E13775" s="22" t="s">
        <v>144</v>
      </c>
      <c r="F13775" s="23" t="str">
        <f>HYPERLINK("https://www.spark-marketing.ru/Card/Lot/68256377", "Оказание услуг по централизованной охране имущества заказчика с помощью средств охранной и тревожной сигнализации")</f>
        <v>Оказание услуг по централизованной охране имущества заказчика с помощью средств охранной и тревожной сигнализации</v>
      </c>
      <c r="G13775" s="22" t="s">
        <v>60</v>
      </c>
      <c r="H13775" s="22" t="s">
        <v>60</v>
      </c>
      <c r="I13775" s="26">
        <v>43522.5864814815</v>
      </c>
      <c r="J13775" s="23" t="str">
        <f>HYPERLINK("https://www.spark-marketing.ru/Card/Person/1533636", "ФГКУ ""УВО ВНГ РОССИИ ПО ЧЕЛЯБИНСКОЙ ОБЛАСТИ""")</f>
        <v>ФГКУ "УВО ВНГ РОССИИ ПО ЧЕЛЯБИНСКОЙ ОБЛАСТИ"</v>
      </c>
      <c r="K13775" s="24" t="s">
        <v>8553</v>
      </c>
      <c r="L13775" s="28" t="s">
        <v>52</v>
      </c>
      <c r="M13775" s="25">
        <v>133919.51999999999</v>
      </c>
      <c r="N13775" s="27">
        <v>0</v>
      </c>
    </row>
    <row r="13776" spans="1:14" x14ac:dyDescent="0.15">
      <c r="A13776" s="23" t="str">
        <f>HYPERLINK("https://www.spark-marketing.ru/Card/Person/1049689", "ГБДОУ НАО «ЦРР - ДС «РАДУГА»")</f>
        <v>ГБДОУ НАО «ЦРР - ДС «РАДУГА»</v>
      </c>
      <c r="B13776" s="24" t="s">
        <v>15956</v>
      </c>
      <c r="C13776" s="25">
        <v>48000</v>
      </c>
      <c r="D13776" s="22" t="s">
        <v>15957</v>
      </c>
      <c r="E13776" s="22" t="s">
        <v>59</v>
      </c>
      <c r="F13776" s="23" t="str">
        <f>HYPERLINK("https://www.spark-marketing.ru/Card/Lot/68259202", "установка охранной сигнализации")</f>
        <v>установка охранной сигнализации</v>
      </c>
      <c r="G13776" s="22" t="s">
        <v>1014</v>
      </c>
      <c r="H13776" s="22" t="s">
        <v>1015</v>
      </c>
      <c r="I13776" s="26">
        <v>43522.590277777803</v>
      </c>
      <c r="J13776" s="28" t="s">
        <v>52</v>
      </c>
      <c r="K13776" s="28" t="s">
        <v>52</v>
      </c>
      <c r="L13776" s="28" t="s">
        <v>52</v>
      </c>
      <c r="M13776" s="28" t="s">
        <v>52</v>
      </c>
      <c r="N13776" s="28" t="s">
        <v>52</v>
      </c>
    </row>
    <row r="13777" spans="1:14" x14ac:dyDescent="0.15">
      <c r="A13777" s="23" t="str">
        <f>HYPERLINK("https://www.spark-marketing.ru/Card/Person/82916", "МБДОУ ""ДЕТСКИЙ САД № 7""")</f>
        <v>МБДОУ "ДЕТСКИЙ САД № 7"</v>
      </c>
      <c r="B13777" s="24" t="s">
        <v>15958</v>
      </c>
      <c r="C13777" s="25">
        <v>11663</v>
      </c>
      <c r="D13777" s="22" t="s">
        <v>15959</v>
      </c>
      <c r="E13777" s="22" t="s">
        <v>107</v>
      </c>
      <c r="F13777" s="23" t="str">
        <f>HYPERLINK("https://www.spark-marketing.ru/Card/Lot/68539822", "Тех.обслуживание охраны на объекте")</f>
        <v>Тех.обслуживание охраны на объекте</v>
      </c>
      <c r="G13777" s="22" t="s">
        <v>50</v>
      </c>
      <c r="H13777" s="22" t="s">
        <v>432</v>
      </c>
      <c r="I13777" s="26">
        <v>43522.597245370402</v>
      </c>
      <c r="J13777" s="28" t="s">
        <v>52</v>
      </c>
      <c r="K13777" s="28" t="s">
        <v>52</v>
      </c>
      <c r="L13777" s="28" t="s">
        <v>52</v>
      </c>
      <c r="M13777" s="28" t="s">
        <v>52</v>
      </c>
      <c r="N13777" s="28" t="s">
        <v>52</v>
      </c>
    </row>
    <row r="13778" spans="1:14" x14ac:dyDescent="0.15">
      <c r="A13778" s="23" t="str">
        <f>HYPERLINK("https://www.spark-marketing.ru/Card/Person/1002562", "МБУК ""ДОМ КУЛЬТУРЫ""")</f>
        <v>МБУК "ДОМ КУЛЬТУРЫ"</v>
      </c>
      <c r="B13778" s="24" t="s">
        <v>15960</v>
      </c>
      <c r="C13778" s="25">
        <v>495000</v>
      </c>
      <c r="D13778" s="22" t="s">
        <v>15961</v>
      </c>
      <c r="E13778" s="22" t="s">
        <v>52</v>
      </c>
      <c r="F13778" s="23" t="str">
        <f>HYPERLINK("https://www.spark-marketing.ru/Card/Lot/68260932", "Услуги частных охранных служб.")</f>
        <v>Услуги частных охранных служб.</v>
      </c>
      <c r="G13778" s="22" t="s">
        <v>391</v>
      </c>
      <c r="H13778" s="22" t="s">
        <v>391</v>
      </c>
      <c r="I13778" s="26">
        <v>43522.612500000003</v>
      </c>
      <c r="J13778" s="23" t="str">
        <f>HYPERLINK("https://www.spark-marketing.ru/Card/Person/94227", "ООО ""КАПИТАЛ СК""")</f>
        <v>ООО "КАПИТАЛ СК"</v>
      </c>
      <c r="K13778" s="24" t="s">
        <v>11890</v>
      </c>
      <c r="L13778" s="28" t="s">
        <v>52</v>
      </c>
      <c r="M13778" s="28" t="s">
        <v>52</v>
      </c>
      <c r="N13778" s="28" t="s">
        <v>52</v>
      </c>
    </row>
    <row r="13779" spans="1:14" ht="12.75" hidden="1" outlineLevel="1" x14ac:dyDescent="0.2">
      <c r="A13779" s="23" t="str">
        <f>HYPERLINK("https://www.spark-marketing.ru/Card/Person/1002562", "МБУК ""ДОМ КУЛЬТУРЫ""")</f>
        <v>МБУК "ДОМ КУЛЬТУРЫ"</v>
      </c>
      <c r="B13779" s="24" t="s">
        <v>15960</v>
      </c>
      <c r="C13779" s="25">
        <v>495000</v>
      </c>
      <c r="D13779" s="22" t="s">
        <v>15961</v>
      </c>
      <c r="E13779" s="22" t="s">
        <v>52</v>
      </c>
      <c r="F13779" s="23" t="str">
        <f>HYPERLINK("https://www.spark-marketing.ru/Card/Lot/68260932", "Услуги частных охранных служб.")</f>
        <v>Услуги частных охранных служб.</v>
      </c>
      <c r="G13779" s="22" t="s">
        <v>391</v>
      </c>
      <c r="H13779" s="22" t="s">
        <v>391</v>
      </c>
      <c r="I13779" s="26">
        <v>43522.612500000003</v>
      </c>
      <c r="J13779" s="23" t="str">
        <f>HYPERLINK("https://www.spark-marketing.ru/Card/Person/94227", "ООО ""КАПИТАЛ СК""")</f>
        <v>ООО "КАПИТАЛ СК"</v>
      </c>
      <c r="K13779" s="24" t="s">
        <v>11890</v>
      </c>
      <c r="L13779" s="22" t="s">
        <v>10</v>
      </c>
      <c r="M13779" s="25">
        <v>492525</v>
      </c>
      <c r="N13779" s="27">
        <v>5.0000000000000001E-3</v>
      </c>
    </row>
    <row r="13780" spans="1:14" x14ac:dyDescent="0.15">
      <c r="A13780" s="23" t="str">
        <f>HYPERLINK("https://www.spark-marketing.ru/Card/Person/27863", "ГБУЗ ""РКПТД""")</f>
        <v>ГБУЗ "РКПТД"</v>
      </c>
      <c r="B13780" s="24" t="s">
        <v>6617</v>
      </c>
      <c r="C13780" s="25">
        <v>210600</v>
      </c>
      <c r="D13780" s="22" t="s">
        <v>15962</v>
      </c>
      <c r="E13780" s="22" t="s">
        <v>103</v>
      </c>
      <c r="F13780" s="23" t="str">
        <f>HYPERLINK("https://www.spark-marketing.ru/Card/Lot/68251701", "Оказание услуг по монтажу тахографов, замене блоков средств криптографической защиты информации (СКЗИ) с последующей активацией, калибровкой и поверкой установленных и активированных тахографов на транспортных средствах, замена карты предприятия")</f>
        <v>Оказание услуг по монтажу тахографов, замене блоков средств криптографической защиты информации (СКЗИ) с последующей активацией, калибровкой и поверкой установленных и активированных тахографов на транспортных средствах, замена карты предприятия</v>
      </c>
      <c r="G13780" s="22" t="s">
        <v>354</v>
      </c>
      <c r="H13780" s="22" t="s">
        <v>355</v>
      </c>
      <c r="I13780" s="26">
        <v>43522.595833333296</v>
      </c>
      <c r="J13780" s="28" t="s">
        <v>52</v>
      </c>
      <c r="K13780" s="28" t="s">
        <v>52</v>
      </c>
      <c r="L13780" s="28" t="s">
        <v>52</v>
      </c>
      <c r="M13780" s="28" t="s">
        <v>52</v>
      </c>
      <c r="N13780" s="28" t="s">
        <v>52</v>
      </c>
    </row>
    <row r="13781" spans="1:14" hidden="1" outlineLevel="1" x14ac:dyDescent="0.2">
      <c r="A13781" s="23" t="str">
        <f>HYPERLINK("https://www.spark-marketing.ru/Card/Person/27863", "ГБУЗ ""РКПТД""")</f>
        <v>ГБУЗ "РКПТД"</v>
      </c>
      <c r="B13781" s="24" t="s">
        <v>6617</v>
      </c>
      <c r="C13781" s="25">
        <v>210600</v>
      </c>
      <c r="D13781" s="22" t="s">
        <v>15962</v>
      </c>
      <c r="E13781" s="22" t="s">
        <v>103</v>
      </c>
      <c r="F13781" s="23" t="str">
        <f>HYPERLINK("https://www.spark-marketing.ru/Card/Lot/68251701", "Оказание услуг по монтажу тахографов, замене блоков средств криптографической защиты информации (СКЗИ) с последующей активацией, калибровкой и поверкой установленных и активированных тахографов на транспортных средствах, замена карты предприятия")</f>
        <v>Оказание услуг по монтажу тахографов, замене блоков средств криптографической защиты информации (СКЗИ) с последующей активацией, калибровкой и поверкой установленных и активированных тахографов на транспортных средствах, замена карты предприятия</v>
      </c>
      <c r="G13781" s="22" t="s">
        <v>354</v>
      </c>
      <c r="H13781" s="22" t="s">
        <v>355</v>
      </c>
      <c r="I13781" s="26">
        <v>43522.595833333296</v>
      </c>
      <c r="J13781" s="23" t="str">
        <f>HYPERLINK("https://www.spark-marketing.ru/Card/Person/582420", "ОАО ""АВТОКОЛОННА № 1946""")</f>
        <v>ОАО "АВТОКОЛОННА № 1946"</v>
      </c>
      <c r="K13781" s="24" t="s">
        <v>15963</v>
      </c>
      <c r="L13781" s="28" t="s">
        <v>52</v>
      </c>
      <c r="M13781" s="25">
        <v>180063</v>
      </c>
      <c r="N13781" s="27">
        <v>0.14499999999999999</v>
      </c>
    </row>
    <row r="13782" spans="1:14" ht="12.75" hidden="1" outlineLevel="1" x14ac:dyDescent="0.2">
      <c r="A13782" s="23" t="str">
        <f>HYPERLINK("https://www.spark-marketing.ru/Card/Person/27863", "ГБУЗ ""РКПТД""")</f>
        <v>ГБУЗ "РКПТД"</v>
      </c>
      <c r="B13782" s="24" t="s">
        <v>6617</v>
      </c>
      <c r="C13782" s="25">
        <v>210600</v>
      </c>
      <c r="D13782" s="22" t="s">
        <v>15962</v>
      </c>
      <c r="E13782" s="22" t="s">
        <v>103</v>
      </c>
      <c r="F13782" s="23" t="str">
        <f>HYPERLINK("https://www.spark-marketing.ru/Card/Lot/68251701", "Оказание услуг по монтажу тахографов, замене блоков средств криптографической защиты информации (СКЗИ) с последующей активацией, калибровкой и поверкой установленных и активированных тахографов на транспортных средствах, замена карты предприятия")</f>
        <v>Оказание услуг по монтажу тахографов, замене блоков средств криптографической защиты информации (СКЗИ) с последующей активацией, калибровкой и поверкой установленных и активированных тахографов на транспортных средствах, замена карты предприятия</v>
      </c>
      <c r="G13782" s="22" t="s">
        <v>354</v>
      </c>
      <c r="H13782" s="22" t="s">
        <v>355</v>
      </c>
      <c r="I13782" s="26">
        <v>43522.595833333296</v>
      </c>
      <c r="J13782" s="23" t="str">
        <f>HYPERLINK("https://www.spark-marketing.ru/Card/Person/6295828", "ООО ""АВГ""")</f>
        <v>ООО "АВГ"</v>
      </c>
      <c r="K13782" s="24" t="s">
        <v>15964</v>
      </c>
      <c r="L13782" s="22" t="s">
        <v>10</v>
      </c>
      <c r="M13782" s="25">
        <v>169533</v>
      </c>
      <c r="N13782" s="27">
        <v>0.19500000000000001</v>
      </c>
    </row>
    <row r="13783" spans="1:14" hidden="1" outlineLevel="1" x14ac:dyDescent="0.2">
      <c r="A13783" s="23" t="str">
        <f>HYPERLINK("https://www.spark-marketing.ru/Card/Person/27863", "ГБУЗ ""РКПТД""")</f>
        <v>ГБУЗ "РКПТД"</v>
      </c>
      <c r="B13783" s="24" t="s">
        <v>6617</v>
      </c>
      <c r="C13783" s="25">
        <v>210600</v>
      </c>
      <c r="D13783" s="22" t="s">
        <v>15962</v>
      </c>
      <c r="E13783" s="22" t="s">
        <v>103</v>
      </c>
      <c r="F13783" s="23" t="str">
        <f>HYPERLINK("https://www.spark-marketing.ru/Card/Lot/68251701", "Оказание услуг по монтажу тахографов, замене блоков средств криптографической защиты информации (СКЗИ) с последующей активацией, калибровкой и поверкой установленных и активированных тахографов на транспортных средствах, замена карты предприятия")</f>
        <v>Оказание услуг по монтажу тахографов, замене блоков средств криптографической защиты информации (СКЗИ) с последующей активацией, калибровкой и поверкой установленных и активированных тахографов на транспортных средствах, замена карты предприятия</v>
      </c>
      <c r="G13783" s="22" t="s">
        <v>354</v>
      </c>
      <c r="H13783" s="22" t="s">
        <v>355</v>
      </c>
      <c r="I13783" s="26">
        <v>43522.595833333296</v>
      </c>
      <c r="J13783" s="23" t="str">
        <f>HYPERLINK("https://www.spark-marketing.ru/Card/Person/1890620", "ООО «БАТ»")</f>
        <v>ООО «БАТ»</v>
      </c>
      <c r="K13783" s="24" t="s">
        <v>15965</v>
      </c>
      <c r="L13783" s="28" t="s">
        <v>52</v>
      </c>
      <c r="M13783" s="25">
        <v>170586</v>
      </c>
      <c r="N13783" s="27">
        <v>0.19</v>
      </c>
    </row>
    <row r="13784" spans="1:14" hidden="1" outlineLevel="1" x14ac:dyDescent="0.2">
      <c r="A13784" s="23" t="str">
        <f>HYPERLINK("https://www.spark-marketing.ru/Card/Person/27863", "ГБУЗ ""РКПТД""")</f>
        <v>ГБУЗ "РКПТД"</v>
      </c>
      <c r="B13784" s="24" t="s">
        <v>6617</v>
      </c>
      <c r="C13784" s="25">
        <v>210600</v>
      </c>
      <c r="D13784" s="22" t="s">
        <v>15962</v>
      </c>
      <c r="E13784" s="22" t="s">
        <v>103</v>
      </c>
      <c r="F13784" s="23" t="str">
        <f>HYPERLINK("https://www.spark-marketing.ru/Card/Lot/68251701", "Оказание услуг по монтажу тахографов, замене блоков средств криптографической защиты информации (СКЗИ) с последующей активацией, калибровкой и поверкой установленных и активированных тахографов на транспортных средствах, замена карты предприятия")</f>
        <v>Оказание услуг по монтажу тахографов, замене блоков средств криптографической защиты информации (СКЗИ) с последующей активацией, калибровкой и поверкой установленных и активированных тахографов на транспортных средствах, замена карты предприятия</v>
      </c>
      <c r="G13784" s="22" t="s">
        <v>354</v>
      </c>
      <c r="H13784" s="22" t="s">
        <v>355</v>
      </c>
      <c r="I13784" s="26">
        <v>43522.595833333296</v>
      </c>
      <c r="J13784" s="23" t="str">
        <f>HYPERLINK("https://www.spark-marketing.ru/Card/Person/1848069", "ООО ""ТОРГОВЫЙ ДОМ ЧИСТОДЕЛ""")</f>
        <v>ООО "ТОРГОВЫЙ ДОМ ЧИСТОДЕЛ"</v>
      </c>
      <c r="K13784" s="24" t="s">
        <v>15966</v>
      </c>
      <c r="L13784" s="28" t="s">
        <v>52</v>
      </c>
      <c r="M13784" s="25">
        <v>174756</v>
      </c>
      <c r="N13784" s="27">
        <v>0.17019943019943021</v>
      </c>
    </row>
    <row r="13785" spans="1:14" x14ac:dyDescent="0.15">
      <c r="A13785" s="23" t="str">
        <f>HYPERLINK("https://www.spark-marketing.ru/Card/Person/10490", "СПБ ГБУЗ ""ГОРОДСКАЯ ПОЛИКЛИНИКА № 112""")</f>
        <v>СПБ ГБУЗ "ГОРОДСКАЯ ПОЛИКЛИНИКА № 112"</v>
      </c>
      <c r="B13785" s="24" t="s">
        <v>15967</v>
      </c>
      <c r="C13785" s="25">
        <v>1670333.46</v>
      </c>
      <c r="D13785" s="22" t="s">
        <v>15968</v>
      </c>
      <c r="E13785" s="22" t="s">
        <v>59</v>
      </c>
      <c r="F13785" s="23" t="str">
        <f>HYPERLINK("https://www.spark-marketing.ru/Card/Lot/68262993", "Выполнение работ по установке охранно-тревожной сигнализации в зданиях Санкт-Петербургского государственного бюджетного учреждения здравоохранения ""Городская поликлиника №112"" по адресам: ул.Академика Байков, д.25 корп.1 лит.А; пр.Науки, д.71 корп....")</f>
        <v>Выполнение работ по установке охранно-тревожной сигнализации в зданиях Санкт-Петербургского государственного бюджетного учреждения здравоохранения "Городская поликлиника №112" по адресам: ул.Академика Байков, д.25 корп.1 лит.А; пр.Науки, д.71 корп....</v>
      </c>
      <c r="G13785" s="22" t="s">
        <v>89</v>
      </c>
      <c r="H13785" s="22" t="s">
        <v>89</v>
      </c>
      <c r="I13785" s="26">
        <v>43522.565972222197</v>
      </c>
      <c r="J13785" s="28" t="s">
        <v>52</v>
      </c>
      <c r="K13785" s="28" t="s">
        <v>52</v>
      </c>
      <c r="L13785" s="28" t="s">
        <v>52</v>
      </c>
      <c r="M13785" s="28" t="s">
        <v>52</v>
      </c>
      <c r="N13785" s="28" t="s">
        <v>52</v>
      </c>
    </row>
    <row r="13786" spans="1:14" ht="12.75" hidden="1" outlineLevel="1" x14ac:dyDescent="0.2">
      <c r="A13786" s="23" t="str">
        <f>HYPERLINK("https://www.spark-marketing.ru/Card/Person/10490", "СПБ ГБУЗ ""ГОРОДСКАЯ ПОЛИКЛИНИКА № 112""")</f>
        <v>СПБ ГБУЗ "ГОРОДСКАЯ ПОЛИКЛИНИКА № 112"</v>
      </c>
      <c r="B13786" s="24" t="s">
        <v>15967</v>
      </c>
      <c r="C13786" s="25">
        <v>1670333.46</v>
      </c>
      <c r="D13786" s="22" t="s">
        <v>15968</v>
      </c>
      <c r="E13786" s="22" t="s">
        <v>59</v>
      </c>
      <c r="F13786" s="23" t="str">
        <f>HYPERLINK("https://www.spark-marketing.ru/Card/Lot/68262993", "Выполнение работ по установке охранно-тревожной сигнализации в зданиях Санкт-Петербургского государственного бюджетного учреждения здравоохранения ""Городская поликлиника №112"" по адресам: ул.Академика Байков, д.25 корп.1 лит.А; пр.Науки, д.71 корп....")</f>
        <v>Выполнение работ по установке охранно-тревожной сигнализации в зданиях Санкт-Петербургского государственного бюджетного учреждения здравоохранения "Городская поликлиника №112" по адресам: ул.Академика Байков, д.25 корп.1 лит.А; пр.Науки, д.71 корп....</v>
      </c>
      <c r="G13786" s="22" t="s">
        <v>89</v>
      </c>
      <c r="H13786" s="22" t="s">
        <v>89</v>
      </c>
      <c r="I13786" s="26">
        <v>43522.565972222197</v>
      </c>
      <c r="J13786" s="23" t="str">
        <f>HYPERLINK("https://www.spark-marketing.ru/Card/Person/4369207", "ООО ""СПЕЦМОНТАЖЗАЩИТА""")</f>
        <v>ООО "СПЕЦМОНТАЖЗАЩИТА"</v>
      </c>
      <c r="K13786" s="24" t="s">
        <v>15969</v>
      </c>
      <c r="L13786" s="22" t="s">
        <v>10</v>
      </c>
      <c r="M13786" s="25">
        <v>1636926.78</v>
      </c>
      <c r="N13786" s="27">
        <v>2.0000006465774805E-2</v>
      </c>
    </row>
    <row r="13787" spans="1:14" hidden="1" outlineLevel="1" x14ac:dyDescent="0.2">
      <c r="A13787" s="23" t="str">
        <f>HYPERLINK("https://www.spark-marketing.ru/Card/Person/10490", "СПБ ГБУЗ ""ГОРОДСКАЯ ПОЛИКЛИНИКА № 112""")</f>
        <v>СПБ ГБУЗ "ГОРОДСКАЯ ПОЛИКЛИНИКА № 112"</v>
      </c>
      <c r="B13787" s="24" t="s">
        <v>15967</v>
      </c>
      <c r="C13787" s="25">
        <v>1670333.46</v>
      </c>
      <c r="D13787" s="22" t="s">
        <v>15968</v>
      </c>
      <c r="E13787" s="22" t="s">
        <v>59</v>
      </c>
      <c r="F13787" s="23" t="str">
        <f>HYPERLINK("https://www.spark-marketing.ru/Card/Lot/68262993", "Выполнение работ по установке охранно-тревожной сигнализации в зданиях Санкт-Петербургского государственного бюджетного учреждения здравоохранения ""Городская поликлиника №112"" по адресам: ул.Академика Байков, д.25 корп.1 лит.А; пр.Науки, д.71 корп....")</f>
        <v>Выполнение работ по установке охранно-тревожной сигнализации в зданиях Санкт-Петербургского государственного бюджетного учреждения здравоохранения "Городская поликлиника №112" по адресам: ул.Академика Байков, д.25 корп.1 лит.А; пр.Науки, д.71 корп....</v>
      </c>
      <c r="G13787" s="22" t="s">
        <v>89</v>
      </c>
      <c r="H13787" s="22" t="s">
        <v>89</v>
      </c>
      <c r="I13787" s="26">
        <v>43522.565972222197</v>
      </c>
      <c r="J13787" s="23" t="str">
        <f>HYPERLINK("https://www.spark-marketing.ru/Card/Person/4431575", "ООО ""ТАМП""")</f>
        <v>ООО "ТАМП"</v>
      </c>
      <c r="K13787" s="24" t="s">
        <v>15970</v>
      </c>
      <c r="L13787" s="28" t="s">
        <v>52</v>
      </c>
      <c r="M13787" s="25">
        <v>1645278.45</v>
      </c>
      <c r="N13787" s="27">
        <v>1.5000004849331103E-2</v>
      </c>
    </row>
    <row r="13788" spans="1:14" x14ac:dyDescent="0.15">
      <c r="A13788" s="23" t="str">
        <f t="shared" ref="A13788:A13795" si="724">HYPERLINK("https://www.spark-marketing.ru/Card/Person/30318", "МКОУ СОШ № 2")</f>
        <v>МКОУ СОШ № 2</v>
      </c>
      <c r="B13788" s="24" t="s">
        <v>15971</v>
      </c>
      <c r="C13788" s="25">
        <v>480000</v>
      </c>
      <c r="D13788" s="22" t="s">
        <v>15972</v>
      </c>
      <c r="E13788" s="22" t="s">
        <v>59</v>
      </c>
      <c r="F13788" s="23" t="str">
        <f t="shared" ref="F13788:F13795" si="725">HYPERLINK("https://www.spark-marketing.ru/Card/Lot/68262569", "Выполнение работ по установке (монтажу) системы видеонаблюдения")</f>
        <v>Выполнение работ по установке (монтажу) системы видеонаблюдения</v>
      </c>
      <c r="G13788" s="22" t="s">
        <v>258</v>
      </c>
      <c r="H13788" s="22" t="s">
        <v>3129</v>
      </c>
      <c r="I13788" s="26">
        <v>43522.5625</v>
      </c>
      <c r="J13788" s="28" t="s">
        <v>52</v>
      </c>
      <c r="K13788" s="28" t="s">
        <v>52</v>
      </c>
      <c r="L13788" s="28" t="s">
        <v>52</v>
      </c>
      <c r="M13788" s="28" t="s">
        <v>52</v>
      </c>
      <c r="N13788" s="28" t="s">
        <v>52</v>
      </c>
    </row>
    <row r="13789" spans="1:14" ht="12.75" hidden="1" outlineLevel="1" x14ac:dyDescent="0.2">
      <c r="A13789" s="23" t="str">
        <f t="shared" si="724"/>
        <v>МКОУ СОШ № 2</v>
      </c>
      <c r="B13789" s="24" t="s">
        <v>15971</v>
      </c>
      <c r="C13789" s="25">
        <v>480000</v>
      </c>
      <c r="D13789" s="22" t="s">
        <v>15972</v>
      </c>
      <c r="E13789" s="22" t="s">
        <v>59</v>
      </c>
      <c r="F13789" s="23" t="str">
        <f t="shared" si="725"/>
        <v>Выполнение работ по установке (монтажу) системы видеонаблюдения</v>
      </c>
      <c r="G13789" s="22" t="s">
        <v>258</v>
      </c>
      <c r="H13789" s="22" t="s">
        <v>3129</v>
      </c>
      <c r="I13789" s="26">
        <v>43522.5625</v>
      </c>
      <c r="J13789" s="23" t="str">
        <f>HYPERLINK("https://www.spark-marketing.ru/Card/Person/6236853", "Бармашов Иван Александрович")</f>
        <v>Бармашов Иван Александрович</v>
      </c>
      <c r="K13789" s="24" t="s">
        <v>3257</v>
      </c>
      <c r="L13789" s="22" t="s">
        <v>10</v>
      </c>
      <c r="M13789" s="25">
        <v>173600</v>
      </c>
      <c r="N13789" s="27">
        <v>0.63833333333333331</v>
      </c>
    </row>
    <row r="13790" spans="1:14" hidden="1" outlineLevel="1" x14ac:dyDescent="0.2">
      <c r="A13790" s="23" t="str">
        <f t="shared" si="724"/>
        <v>МКОУ СОШ № 2</v>
      </c>
      <c r="B13790" s="24" t="s">
        <v>15971</v>
      </c>
      <c r="C13790" s="25">
        <v>480000</v>
      </c>
      <c r="D13790" s="22" t="s">
        <v>15972</v>
      </c>
      <c r="E13790" s="22" t="s">
        <v>59</v>
      </c>
      <c r="F13790" s="23" t="str">
        <f t="shared" si="725"/>
        <v>Выполнение работ по установке (монтажу) системы видеонаблюдения</v>
      </c>
      <c r="G13790" s="22" t="s">
        <v>258</v>
      </c>
      <c r="H13790" s="22" t="s">
        <v>3129</v>
      </c>
      <c r="I13790" s="26">
        <v>43522.5625</v>
      </c>
      <c r="J13790" s="23" t="str">
        <f>HYPERLINK("https://www.spark-marketing.ru/Card/Person/6142617", "ООО ""АВРОРА СБ""")</f>
        <v>ООО "АВРОРА СБ"</v>
      </c>
      <c r="K13790" s="24" t="s">
        <v>9674</v>
      </c>
      <c r="L13790" s="28" t="s">
        <v>52</v>
      </c>
      <c r="M13790" s="25">
        <v>411200</v>
      </c>
      <c r="N13790" s="27">
        <v>0.14333333333333334</v>
      </c>
    </row>
    <row r="13791" spans="1:14" hidden="1" outlineLevel="1" x14ac:dyDescent="0.2">
      <c r="A13791" s="23" t="str">
        <f t="shared" si="724"/>
        <v>МКОУ СОШ № 2</v>
      </c>
      <c r="B13791" s="24" t="s">
        <v>15971</v>
      </c>
      <c r="C13791" s="25">
        <v>480000</v>
      </c>
      <c r="D13791" s="22" t="s">
        <v>15972</v>
      </c>
      <c r="E13791" s="22" t="s">
        <v>59</v>
      </c>
      <c r="F13791" s="23" t="str">
        <f t="shared" si="725"/>
        <v>Выполнение работ по установке (монтажу) системы видеонаблюдения</v>
      </c>
      <c r="G13791" s="22" t="s">
        <v>258</v>
      </c>
      <c r="H13791" s="22" t="s">
        <v>3129</v>
      </c>
      <c r="I13791" s="26">
        <v>43522.5625</v>
      </c>
      <c r="J13791" s="23" t="str">
        <f>HYPERLINK("https://www.spark-marketing.ru/Card/Person/5954375", "Михальков Юрий Николаевич")</f>
        <v>Михальков Юрий Николаевич</v>
      </c>
      <c r="K13791" s="24" t="s">
        <v>14375</v>
      </c>
      <c r="L13791" s="28" t="s">
        <v>52</v>
      </c>
      <c r="M13791" s="25">
        <v>305600</v>
      </c>
      <c r="N13791" s="27">
        <v>0.36333333333333334</v>
      </c>
    </row>
    <row r="13792" spans="1:14" hidden="1" outlineLevel="1" x14ac:dyDescent="0.2">
      <c r="A13792" s="23" t="str">
        <f t="shared" si="724"/>
        <v>МКОУ СОШ № 2</v>
      </c>
      <c r="B13792" s="24" t="s">
        <v>15971</v>
      </c>
      <c r="C13792" s="25">
        <v>480000</v>
      </c>
      <c r="D13792" s="22" t="s">
        <v>15972</v>
      </c>
      <c r="E13792" s="22" t="s">
        <v>59</v>
      </c>
      <c r="F13792" s="23" t="str">
        <f t="shared" si="725"/>
        <v>Выполнение работ по установке (монтажу) системы видеонаблюдения</v>
      </c>
      <c r="G13792" s="22" t="s">
        <v>258</v>
      </c>
      <c r="H13792" s="22" t="s">
        <v>3129</v>
      </c>
      <c r="I13792" s="26">
        <v>43522.5625</v>
      </c>
      <c r="J13792" s="23" t="str">
        <f>HYPERLINK("https://www.spark-marketing.ru/Card/Person/54834", "ООО ""СЕТИ БЕЗОПАСНОСТИ""")</f>
        <v>ООО "СЕТИ БЕЗОПАСНОСТИ"</v>
      </c>
      <c r="K13792" s="24" t="s">
        <v>1985</v>
      </c>
      <c r="L13792" s="28" t="s">
        <v>52</v>
      </c>
      <c r="M13792" s="25">
        <v>475200</v>
      </c>
      <c r="N13792" s="27">
        <v>0.01</v>
      </c>
    </row>
    <row r="13793" spans="1:14" hidden="1" outlineLevel="1" x14ac:dyDescent="0.2">
      <c r="A13793" s="23" t="str">
        <f t="shared" si="724"/>
        <v>МКОУ СОШ № 2</v>
      </c>
      <c r="B13793" s="24" t="s">
        <v>15971</v>
      </c>
      <c r="C13793" s="25">
        <v>480000</v>
      </c>
      <c r="D13793" s="22" t="s">
        <v>15972</v>
      </c>
      <c r="E13793" s="22" t="s">
        <v>59</v>
      </c>
      <c r="F13793" s="23" t="str">
        <f t="shared" si="725"/>
        <v>Выполнение работ по установке (монтажу) системы видеонаблюдения</v>
      </c>
      <c r="G13793" s="22" t="s">
        <v>258</v>
      </c>
      <c r="H13793" s="22" t="s">
        <v>3129</v>
      </c>
      <c r="I13793" s="26">
        <v>43522.5625</v>
      </c>
      <c r="J13793" s="23" t="str">
        <f>HYPERLINK("https://www.spark-marketing.ru/Card/Person/246752", "ООО ""ТЕЛЕКОМСЕРВИС""")</f>
        <v>ООО "ТЕЛЕКОМСЕРВИС"</v>
      </c>
      <c r="K13793" s="24" t="s">
        <v>15973</v>
      </c>
      <c r="L13793" s="28" t="s">
        <v>52</v>
      </c>
      <c r="M13793" s="25">
        <v>382400</v>
      </c>
      <c r="N13793" s="27">
        <v>0.20333333333333334</v>
      </c>
    </row>
    <row r="13794" spans="1:14" hidden="1" outlineLevel="1" x14ac:dyDescent="0.2">
      <c r="A13794" s="23" t="str">
        <f t="shared" si="724"/>
        <v>МКОУ СОШ № 2</v>
      </c>
      <c r="B13794" s="24" t="s">
        <v>15971</v>
      </c>
      <c r="C13794" s="25">
        <v>480000</v>
      </c>
      <c r="D13794" s="22" t="s">
        <v>15972</v>
      </c>
      <c r="E13794" s="22" t="s">
        <v>59</v>
      </c>
      <c r="F13794" s="23" t="str">
        <f t="shared" si="725"/>
        <v>Выполнение работ по установке (монтажу) системы видеонаблюдения</v>
      </c>
      <c r="G13794" s="22" t="s">
        <v>258</v>
      </c>
      <c r="H13794" s="22" t="s">
        <v>3129</v>
      </c>
      <c r="I13794" s="26">
        <v>43522.5625</v>
      </c>
      <c r="J13794" s="23" t="str">
        <f>HYPERLINK("https://www.spark-marketing.ru/Card/Person/470113", "ООО ""АЛАРМ СЕРВИС""")</f>
        <v>ООО "АЛАРМ СЕРВИС"</v>
      </c>
      <c r="K13794" s="24" t="s">
        <v>6025</v>
      </c>
      <c r="L13794" s="28" t="s">
        <v>52</v>
      </c>
      <c r="M13794" s="25">
        <v>475200</v>
      </c>
      <c r="N13794" s="27">
        <v>0.01</v>
      </c>
    </row>
    <row r="13795" spans="1:14" hidden="1" outlineLevel="1" x14ac:dyDescent="0.2">
      <c r="A13795" s="23" t="str">
        <f t="shared" si="724"/>
        <v>МКОУ СОШ № 2</v>
      </c>
      <c r="B13795" s="24" t="s">
        <v>15971</v>
      </c>
      <c r="C13795" s="25">
        <v>480000</v>
      </c>
      <c r="D13795" s="22" t="s">
        <v>15972</v>
      </c>
      <c r="E13795" s="22" t="s">
        <v>59</v>
      </c>
      <c r="F13795" s="23" t="str">
        <f t="shared" si="725"/>
        <v>Выполнение работ по установке (монтажу) системы видеонаблюдения</v>
      </c>
      <c r="G13795" s="22" t="s">
        <v>258</v>
      </c>
      <c r="H13795" s="22" t="s">
        <v>3129</v>
      </c>
      <c r="I13795" s="26">
        <v>43522.5625</v>
      </c>
      <c r="J13795" s="23" t="str">
        <f>HYPERLINK("https://www.spark-marketing.ru/Card/Person/148291", "Нартов Сергей Владимирович")</f>
        <v>Нартов Сергей Владимирович</v>
      </c>
      <c r="K13795" s="24" t="s">
        <v>9626</v>
      </c>
      <c r="L13795" s="28" t="s">
        <v>52</v>
      </c>
      <c r="M13795" s="25">
        <v>176000</v>
      </c>
      <c r="N13795" s="27">
        <v>0.6333333333333333</v>
      </c>
    </row>
    <row r="13796" spans="1:14" x14ac:dyDescent="0.15">
      <c r="A13796" s="23" t="str">
        <f>HYPERLINK("https://www.spark-marketing.ru/Card/Person/1008975", "МБОУ ""ГИМНАЗИЯ №5"" Г.БРЯНСКА")</f>
        <v>МБОУ "ГИМНАЗИЯ №5" Г.БРЯНСКА</v>
      </c>
      <c r="B13796" s="24" t="s">
        <v>3999</v>
      </c>
      <c r="C13796" s="25">
        <v>67200</v>
      </c>
      <c r="D13796" s="22" t="s">
        <v>15974</v>
      </c>
      <c r="E13796" s="22" t="s">
        <v>68</v>
      </c>
      <c r="F13796" s="23" t="str">
        <f>HYPERLINK("https://www.spark-marketing.ru/Card/Lot/68254572", "Услуги по обеспечению охраны объекта")</f>
        <v>Услуги по обеспечению охраны объекта</v>
      </c>
      <c r="G13796" s="22" t="s">
        <v>215</v>
      </c>
      <c r="H13796" s="22" t="s">
        <v>406</v>
      </c>
      <c r="I13796" s="26">
        <v>43522.531944444403</v>
      </c>
      <c r="J13796" s="28" t="s">
        <v>52</v>
      </c>
      <c r="K13796" s="28" t="s">
        <v>52</v>
      </c>
      <c r="L13796" s="28" t="s">
        <v>52</v>
      </c>
      <c r="M13796" s="28" t="s">
        <v>52</v>
      </c>
      <c r="N13796" s="28" t="s">
        <v>52</v>
      </c>
    </row>
    <row r="13797" spans="1:14" x14ac:dyDescent="0.15">
      <c r="A13797" s="23" t="s">
        <v>121</v>
      </c>
      <c r="B13797" s="28" t="s">
        <v>52</v>
      </c>
      <c r="C13797" s="25">
        <v>1624386</v>
      </c>
      <c r="D13797" s="22" t="s">
        <v>15975</v>
      </c>
      <c r="E13797" s="22" t="s">
        <v>84</v>
      </c>
      <c r="F13797" s="23" t="str">
        <f>HYPERLINK("https://www.spark-marketing.ru/Card/Lot/68258287", "Оказание услуг по установке системы видеонаблюдения с выполнением пуско-наладочных работ в ППЭ, задействованных при проведении ЕГЭ.")</f>
        <v>Оказание услуг по установке системы видеонаблюдения с выполнением пуско-наладочных работ в ППЭ, задействованных при проведении ЕГЭ.</v>
      </c>
      <c r="G13797" s="22" t="s">
        <v>52</v>
      </c>
      <c r="H13797" s="22" t="s">
        <v>52</v>
      </c>
      <c r="I13797" s="26">
        <v>43522.507638888899</v>
      </c>
      <c r="J13797" s="23" t="str">
        <f>HYPERLINK("https://www.spark-marketing.ru/Card/Person/150456", "ЗАО ""НАУЧНО-ПРОИЗВОДСТВЕННО-КОММЕРЧЕСКАЯ ФИРМА ""МАВР""")</f>
        <v>ЗАО "НАУЧНО-ПРОИЗВОДСТВЕННО-КОММЕРЧЕСКАЯ ФИРМА "МАВР"</v>
      </c>
      <c r="K13797" s="24" t="s">
        <v>15976</v>
      </c>
      <c r="L13797" s="28" t="s">
        <v>52</v>
      </c>
      <c r="M13797" s="28" t="s">
        <v>52</v>
      </c>
      <c r="N13797" s="28" t="s">
        <v>52</v>
      </c>
    </row>
    <row r="13798" spans="1:14" hidden="1" outlineLevel="1" x14ac:dyDescent="0.15">
      <c r="A13798" s="23" t="str">
        <f>HYPERLINK("https://www.spark-marketing.ru/Card/Person/78260", "МОУ ШКОЛА № 13 С УИОП")</f>
        <v>МОУ ШКОЛА № 13 С УИОП</v>
      </c>
      <c r="B13798" s="24" t="s">
        <v>14587</v>
      </c>
      <c r="C13798" s="25">
        <v>546090</v>
      </c>
      <c r="D13798" s="22" t="s">
        <v>15975</v>
      </c>
      <c r="E13798" s="22" t="s">
        <v>84</v>
      </c>
      <c r="F13798" s="23" t="str">
        <f>HYPERLINK("https://www.spark-marketing.ru/Card/Lot/68258287", "Оказание услуг по установке системы видеонаблюдения с выполнением пуско-наладочных работ в ППЭ, задействованных при проведении ЕГЭ.")</f>
        <v>Оказание услуг по установке системы видеонаблюдения с выполнением пуско-наладочных работ в ППЭ, задействованных при проведении ЕГЭ.</v>
      </c>
      <c r="G13798" s="22" t="s">
        <v>50</v>
      </c>
      <c r="H13798" s="22" t="s">
        <v>6661</v>
      </c>
      <c r="I13798" s="26">
        <v>43522.507638888899</v>
      </c>
      <c r="J13798" s="23" t="str">
        <f>HYPERLINK("https://www.spark-marketing.ru/Card/Person/150456", "ЗАО ""НАУЧНО-ПРОИЗВОДСТВЕННО-КОММЕРЧЕСКАЯ ФИРМА ""МАВР""")</f>
        <v>ЗАО "НАУЧНО-ПРОИЗВОДСТВЕННО-КОММЕРЧЕСКАЯ ФИРМА "МАВР"</v>
      </c>
      <c r="K13798" s="24" t="s">
        <v>15976</v>
      </c>
      <c r="L13798" s="28" t="s">
        <v>52</v>
      </c>
      <c r="M13798" s="28" t="s">
        <v>52</v>
      </c>
      <c r="N13798" s="28" t="s">
        <v>52</v>
      </c>
    </row>
    <row r="13799" spans="1:14" hidden="1" outlineLevel="1" x14ac:dyDescent="0.15">
      <c r="A13799" s="23" t="str">
        <f>HYPERLINK("https://www.spark-marketing.ru/Card/Person/78262", "МОУ СРЕДНЯЯ ШКОЛА № 10")</f>
        <v>МОУ СРЕДНЯЯ ШКОЛА № 10</v>
      </c>
      <c r="B13799" s="24" t="s">
        <v>15977</v>
      </c>
      <c r="C13799" s="25">
        <v>504330</v>
      </c>
      <c r="D13799" s="22" t="s">
        <v>15975</v>
      </c>
      <c r="E13799" s="22" t="s">
        <v>84</v>
      </c>
      <c r="F13799" s="23" t="str">
        <f>HYPERLINK("https://www.spark-marketing.ru/Card/Lot/68258287", "Оказание услуг по установке системы видеонаблюдения с выполнением пуско-наладочных работ в ППЭ, задействованных при проведении ЕГЭ.")</f>
        <v>Оказание услуг по установке системы видеонаблюдения с выполнением пуско-наладочных работ в ППЭ, задействованных при проведении ЕГЭ.</v>
      </c>
      <c r="G13799" s="22" t="s">
        <v>50</v>
      </c>
      <c r="H13799" s="22" t="s">
        <v>6661</v>
      </c>
      <c r="I13799" s="26">
        <v>43522.507638888899</v>
      </c>
      <c r="J13799" s="23" t="str">
        <f>HYPERLINK("https://www.spark-marketing.ru/Card/Person/150456", "ЗАО ""НАУЧНО-ПРОИЗВОДСТВЕННО-КОММЕРЧЕСКАЯ ФИРМА ""МАВР""")</f>
        <v>ЗАО "НАУЧНО-ПРОИЗВОДСТВЕННО-КОММЕРЧЕСКАЯ ФИРМА "МАВР"</v>
      </c>
      <c r="K13799" s="24" t="s">
        <v>15976</v>
      </c>
      <c r="L13799" s="28" t="s">
        <v>52</v>
      </c>
      <c r="M13799" s="28" t="s">
        <v>52</v>
      </c>
      <c r="N13799" s="28" t="s">
        <v>52</v>
      </c>
    </row>
    <row r="13800" spans="1:14" hidden="1" outlineLevel="1" x14ac:dyDescent="0.15">
      <c r="A13800" s="23" t="str">
        <f>HYPERLINK("https://www.spark-marketing.ru/Card/Person/78274", "МОУ ЛИЦЕЙ № 14")</f>
        <v>МОУ ЛИЦЕЙ № 14</v>
      </c>
      <c r="B13800" s="24" t="s">
        <v>15978</v>
      </c>
      <c r="C13800" s="25">
        <v>573966</v>
      </c>
      <c r="D13800" s="22" t="s">
        <v>15975</v>
      </c>
      <c r="E13800" s="22" t="s">
        <v>84</v>
      </c>
      <c r="F13800" s="23" t="str">
        <f>HYPERLINK("https://www.spark-marketing.ru/Card/Lot/68258287", "Оказание услуг по установке системы видеонаблюдения с выполнением пуско-наладочных работ в ППЭ, задействованных при проведении ЕГЭ.")</f>
        <v>Оказание услуг по установке системы видеонаблюдения с выполнением пуско-наладочных работ в ППЭ, задействованных при проведении ЕГЭ.</v>
      </c>
      <c r="G13800" s="22" t="s">
        <v>50</v>
      </c>
      <c r="H13800" s="22" t="s">
        <v>6661</v>
      </c>
      <c r="I13800" s="26">
        <v>43522.507638888899</v>
      </c>
      <c r="J13800" s="23" t="str">
        <f>HYPERLINK("https://www.spark-marketing.ru/Card/Person/150456", "ЗАО ""НАУЧНО-ПРОИЗВОДСТВЕННО-КОММЕРЧЕСКАЯ ФИРМА ""МАВР""")</f>
        <v>ЗАО "НАУЧНО-ПРОИЗВОДСТВЕННО-КОММЕРЧЕСКАЯ ФИРМА "МАВР"</v>
      </c>
      <c r="K13800" s="24" t="s">
        <v>15976</v>
      </c>
      <c r="L13800" s="28" t="s">
        <v>52</v>
      </c>
      <c r="M13800" s="28" t="s">
        <v>52</v>
      </c>
      <c r="N13800" s="28" t="s">
        <v>52</v>
      </c>
    </row>
    <row r="13801" spans="1:14" hidden="1" outlineLevel="1" x14ac:dyDescent="0.2">
      <c r="A13801" s="28" t="s">
        <v>52</v>
      </c>
      <c r="B13801" s="28" t="s">
        <v>52</v>
      </c>
      <c r="C13801" s="28" t="s">
        <v>52</v>
      </c>
      <c r="D13801" s="22" t="s">
        <v>15975</v>
      </c>
      <c r="E13801" s="22" t="s">
        <v>84</v>
      </c>
      <c r="F13801" s="23" t="str">
        <f>HYPERLINK("https://www.spark-marketing.ru/Card/Lot/68258287", "Оказание услуг по установке системы видеонаблюдения с выполнением пуско-наладочных работ в ППЭ, задействованных при проведении ЕГЭ.")</f>
        <v>Оказание услуг по установке системы видеонаблюдения с выполнением пуско-наладочных работ в ППЭ, задействованных при проведении ЕГЭ.</v>
      </c>
      <c r="G13801" s="22" t="s">
        <v>52</v>
      </c>
      <c r="H13801" s="22" t="s">
        <v>52</v>
      </c>
      <c r="I13801" s="26">
        <v>43522.507638888899</v>
      </c>
      <c r="J13801" s="23" t="str">
        <f>HYPERLINK("https://www.spark-marketing.ru/Card/Person/150456", "ЗАО ""НАУЧНО-ПРОИЗВОДСТВЕННО-КОММЕРЧЕСКАЯ ФИРМА ""МАВР""")</f>
        <v>ЗАО "НАУЧНО-ПРОИЗВОДСТВЕННО-КОММЕРЧЕСКАЯ ФИРМА "МАВР"</v>
      </c>
      <c r="K13801" s="24" t="s">
        <v>15976</v>
      </c>
      <c r="L13801" s="22" t="s">
        <v>10</v>
      </c>
      <c r="M13801" s="25">
        <v>1616264</v>
      </c>
      <c r="N13801" s="27">
        <v>5.0000430932056793E-3</v>
      </c>
    </row>
    <row r="13802" spans="1:14" x14ac:dyDescent="0.15">
      <c r="A13802" s="23" t="str">
        <f t="shared" ref="A13802:A13807" si="726">HYPERLINK("https://www.spark-marketing.ru/Card/Person/5262", "МУЗЕЙ-ЗАПОВЕДНИК ""КИЖИ""")</f>
        <v>МУЗЕЙ-ЗАПОВЕДНИК "КИЖИ"</v>
      </c>
      <c r="B13802" s="24" t="s">
        <v>15979</v>
      </c>
      <c r="C13802" s="25">
        <v>3020912</v>
      </c>
      <c r="D13802" s="22" t="s">
        <v>15980</v>
      </c>
      <c r="E13802" s="22" t="s">
        <v>68</v>
      </c>
      <c r="F13802" s="23" t="str">
        <f t="shared" ref="F13802:F13807" si="727">HYPERLINK("https://www.spark-marketing.ru/Card/Lot/68259683", "Оказание услуг по осуществлению защиты объекта транспортной инфраструктуры от актов незаконного вмешательства")</f>
        <v>Оказание услуг по осуществлению защиты объекта транспортной инфраструктуры от актов незаконного вмешательства</v>
      </c>
      <c r="G13802" s="22" t="s">
        <v>435</v>
      </c>
      <c r="H13802" s="22" t="s">
        <v>435</v>
      </c>
      <c r="I13802" s="26">
        <v>43522.514583333301</v>
      </c>
      <c r="J13802" s="28" t="s">
        <v>52</v>
      </c>
      <c r="K13802" s="28" t="s">
        <v>52</v>
      </c>
      <c r="L13802" s="28" t="s">
        <v>52</v>
      </c>
      <c r="M13802" s="28" t="s">
        <v>52</v>
      </c>
      <c r="N13802" s="28" t="s">
        <v>52</v>
      </c>
    </row>
    <row r="13803" spans="1:14" hidden="1" outlineLevel="1" x14ac:dyDescent="0.2">
      <c r="A13803" s="23" t="str">
        <f t="shared" si="726"/>
        <v>МУЗЕЙ-ЗАПОВЕДНИК "КИЖИ"</v>
      </c>
      <c r="B13803" s="24" t="s">
        <v>15979</v>
      </c>
      <c r="C13803" s="25">
        <v>3020912</v>
      </c>
      <c r="D13803" s="22" t="s">
        <v>15980</v>
      </c>
      <c r="E13803" s="22" t="s">
        <v>68</v>
      </c>
      <c r="F13803" s="23" t="str">
        <f t="shared" si="727"/>
        <v>Оказание услуг по осуществлению защиты объекта транспортной инфраструктуры от актов незаконного вмешательства</v>
      </c>
      <c r="G13803" s="22" t="s">
        <v>435</v>
      </c>
      <c r="H13803" s="22" t="s">
        <v>435</v>
      </c>
      <c r="I13803" s="26">
        <v>43522.514583333301</v>
      </c>
      <c r="J13803" s="23" t="str">
        <f>HYPERLINK("https://www.spark-marketing.ru/Card/Person/6501781", "ООО ""ПТБ ""КАСКАД""")</f>
        <v>ООО "ПТБ "КАСКАД"</v>
      </c>
      <c r="K13803" s="24" t="s">
        <v>15981</v>
      </c>
      <c r="L13803" s="28" t="s">
        <v>52</v>
      </c>
      <c r="M13803" s="25">
        <v>2778881.54</v>
      </c>
      <c r="N13803" s="27">
        <v>8.0118341745803914E-2</v>
      </c>
    </row>
    <row r="13804" spans="1:14" ht="12.75" hidden="1" outlineLevel="1" x14ac:dyDescent="0.2">
      <c r="A13804" s="23" t="str">
        <f t="shared" si="726"/>
        <v>МУЗЕЙ-ЗАПОВЕДНИК "КИЖИ"</v>
      </c>
      <c r="B13804" s="24" t="s">
        <v>15979</v>
      </c>
      <c r="C13804" s="25">
        <v>3020912</v>
      </c>
      <c r="D13804" s="22" t="s">
        <v>15980</v>
      </c>
      <c r="E13804" s="22" t="s">
        <v>68</v>
      </c>
      <c r="F13804" s="23" t="str">
        <f t="shared" si="727"/>
        <v>Оказание услуг по осуществлению защиты объекта транспортной инфраструктуры от актов незаконного вмешательства</v>
      </c>
      <c r="G13804" s="22" t="s">
        <v>435</v>
      </c>
      <c r="H13804" s="22" t="s">
        <v>435</v>
      </c>
      <c r="I13804" s="26">
        <v>43522.514583333301</v>
      </c>
      <c r="J13804" s="23" t="str">
        <f>HYPERLINK("https://www.spark-marketing.ru/Card/Person/6471144", "ООО ""ФИОРД""")</f>
        <v>ООО "ФИОРД"</v>
      </c>
      <c r="K13804" s="24" t="s">
        <v>15982</v>
      </c>
      <c r="L13804" s="22" t="s">
        <v>10</v>
      </c>
      <c r="M13804" s="25">
        <v>1428529.26</v>
      </c>
      <c r="N13804" s="27">
        <v>0.52711986976118475</v>
      </c>
    </row>
    <row r="13805" spans="1:14" hidden="1" outlineLevel="1" x14ac:dyDescent="0.2">
      <c r="A13805" s="23" t="str">
        <f t="shared" si="726"/>
        <v>МУЗЕЙ-ЗАПОВЕДНИК "КИЖИ"</v>
      </c>
      <c r="B13805" s="24" t="s">
        <v>15979</v>
      </c>
      <c r="C13805" s="25">
        <v>3020912</v>
      </c>
      <c r="D13805" s="22" t="s">
        <v>15980</v>
      </c>
      <c r="E13805" s="22" t="s">
        <v>68</v>
      </c>
      <c r="F13805" s="23" t="str">
        <f t="shared" si="727"/>
        <v>Оказание услуг по осуществлению защиты объекта транспортной инфраструктуры от актов незаконного вмешательства</v>
      </c>
      <c r="G13805" s="22" t="s">
        <v>435</v>
      </c>
      <c r="H13805" s="22" t="s">
        <v>435</v>
      </c>
      <c r="I13805" s="26">
        <v>43522.514583333301</v>
      </c>
      <c r="J13805" s="23" t="str">
        <f>HYPERLINK("https://www.spark-marketing.ru/Card/Person/6468423", "ООО ""БЕЗОПАСНОСТЬ""")</f>
        <v>ООО "БЕЗОПАСНОСТЬ"</v>
      </c>
      <c r="K13805" s="24" t="s">
        <v>15983</v>
      </c>
      <c r="L13805" s="28" t="s">
        <v>52</v>
      </c>
      <c r="M13805" s="25">
        <v>2492967.41</v>
      </c>
      <c r="N13805" s="27">
        <v>0.17476331319813354</v>
      </c>
    </row>
    <row r="13806" spans="1:14" hidden="1" outlineLevel="1" x14ac:dyDescent="0.2">
      <c r="A13806" s="23" t="str">
        <f t="shared" si="726"/>
        <v>МУЗЕЙ-ЗАПОВЕДНИК "КИЖИ"</v>
      </c>
      <c r="B13806" s="24" t="s">
        <v>15979</v>
      </c>
      <c r="C13806" s="25">
        <v>3020912</v>
      </c>
      <c r="D13806" s="22" t="s">
        <v>15980</v>
      </c>
      <c r="E13806" s="22" t="s">
        <v>68</v>
      </c>
      <c r="F13806" s="23" t="str">
        <f t="shared" si="727"/>
        <v>Оказание услуг по осуществлению защиты объекта транспортной инфраструктуры от актов незаконного вмешательства</v>
      </c>
      <c r="G13806" s="22" t="s">
        <v>435</v>
      </c>
      <c r="H13806" s="22" t="s">
        <v>435</v>
      </c>
      <c r="I13806" s="26">
        <v>43522.514583333301</v>
      </c>
      <c r="J13806" s="23" t="str">
        <f>HYPERLINK("https://www.spark-marketing.ru/Card/Person/5794931", "ООО ПТБ ""АРСЕНАЛ""")</f>
        <v>ООО ПТБ "АРСЕНАЛ"</v>
      </c>
      <c r="K13806" s="24" t="s">
        <v>15984</v>
      </c>
      <c r="L13806" s="28" t="s">
        <v>52</v>
      </c>
      <c r="M13806" s="25">
        <v>1454895.21</v>
      </c>
      <c r="N13806" s="27">
        <v>0.51839205842474056</v>
      </c>
    </row>
    <row r="13807" spans="1:14" hidden="1" outlineLevel="1" x14ac:dyDescent="0.2">
      <c r="A13807" s="23" t="str">
        <f t="shared" si="726"/>
        <v>МУЗЕЙ-ЗАПОВЕДНИК "КИЖИ"</v>
      </c>
      <c r="B13807" s="24" t="s">
        <v>15979</v>
      </c>
      <c r="C13807" s="25">
        <v>3020912</v>
      </c>
      <c r="D13807" s="22" t="s">
        <v>15980</v>
      </c>
      <c r="E13807" s="22" t="s">
        <v>68</v>
      </c>
      <c r="F13807" s="23" t="str">
        <f t="shared" si="727"/>
        <v>Оказание услуг по осуществлению защиты объекта транспортной инфраструктуры от актов незаконного вмешательства</v>
      </c>
      <c r="G13807" s="22" t="s">
        <v>435</v>
      </c>
      <c r="H13807" s="22" t="s">
        <v>435</v>
      </c>
      <c r="I13807" s="26">
        <v>43522.514583333301</v>
      </c>
      <c r="J13807" s="23" t="str">
        <f>HYPERLINK("https://www.spark-marketing.ru/Card/Person/1789856", "Северо-Западный ФЛ ФГУП ""УВО Минтранса России""")</f>
        <v>Северо-Западный ФЛ ФГУП "УВО Минтранса России"</v>
      </c>
      <c r="K13807" s="24" t="s">
        <v>1472</v>
      </c>
      <c r="L13807" s="28" t="s">
        <v>52</v>
      </c>
      <c r="M13807" s="25">
        <v>2266667.14</v>
      </c>
      <c r="N13807" s="27">
        <v>0.24967455523365129</v>
      </c>
    </row>
    <row r="13808" spans="1:14" x14ac:dyDescent="0.15">
      <c r="A13808" s="23" t="str">
        <f>HYPERLINK("https://www.spark-marketing.ru/Card/Person/64043", "ГБУЗ МО ""ПБ № 28""")</f>
        <v>ГБУЗ МО "ПБ № 28"</v>
      </c>
      <c r="B13808" s="24" t="s">
        <v>11370</v>
      </c>
      <c r="C13808" s="25">
        <v>38400</v>
      </c>
      <c r="D13808" s="22" t="s">
        <v>15985</v>
      </c>
      <c r="E13808" s="22" t="s">
        <v>107</v>
      </c>
      <c r="F13808" s="23" t="str">
        <f>HYPERLINK("https://www.spark-marketing.ru/Card/Lot/68536943", "Оказание услуг по техническому обслуживанию системы охранной и тевожной сигнализации (Восточная, д.6)")</f>
        <v>Оказание услуг по техническому обслуживанию системы охранной и тевожной сигнализации (Восточная, д.6)</v>
      </c>
      <c r="G13808" s="22" t="s">
        <v>50</v>
      </c>
      <c r="H13808" s="22" t="s">
        <v>7421</v>
      </c>
      <c r="I13808" s="26">
        <v>43522.462453703702</v>
      </c>
      <c r="J13808" s="28" t="s">
        <v>52</v>
      </c>
      <c r="K13808" s="28" t="s">
        <v>52</v>
      </c>
      <c r="L13808" s="28" t="s">
        <v>52</v>
      </c>
      <c r="M13808" s="28" t="s">
        <v>52</v>
      </c>
      <c r="N13808" s="28" t="s">
        <v>52</v>
      </c>
    </row>
    <row r="13809" spans="1:14" x14ac:dyDescent="0.15">
      <c r="A13809" s="23" t="str">
        <f>HYPERLINK("https://www.spark-marketing.ru/Card/Person/92360", "ГКУСО МО ""ДОЛГОПРУДНЕНСКИЙ СРЦН ""ПОЛЕТ""")</f>
        <v>ГКУСО МО "ДОЛГОПРУДНЕНСКИЙ СРЦН "ПОЛЕТ"</v>
      </c>
      <c r="B13809" s="24" t="s">
        <v>15986</v>
      </c>
      <c r="C13809" s="25">
        <v>10461.459999999999</v>
      </c>
      <c r="D13809" s="22" t="s">
        <v>15987</v>
      </c>
      <c r="E13809" s="22" t="s">
        <v>59</v>
      </c>
      <c r="F13809" s="23" t="str">
        <f>HYPERLINK("https://www.spark-marketing.ru/Card/Lot/68536796", "Установка радиоканальных выносных пультов тревожной сигнализации")</f>
        <v>Установка радиоканальных выносных пультов тревожной сигнализации</v>
      </c>
      <c r="G13809" s="22" t="s">
        <v>50</v>
      </c>
      <c r="H13809" s="22" t="s">
        <v>3866</v>
      </c>
      <c r="I13809" s="26">
        <v>43522.471388888902</v>
      </c>
      <c r="J13809" s="28" t="s">
        <v>52</v>
      </c>
      <c r="K13809" s="28" t="s">
        <v>52</v>
      </c>
      <c r="L13809" s="28" t="s">
        <v>52</v>
      </c>
      <c r="M13809" s="28" t="s">
        <v>52</v>
      </c>
      <c r="N13809" s="28" t="s">
        <v>52</v>
      </c>
    </row>
    <row r="13810" spans="1:14" x14ac:dyDescent="0.15">
      <c r="A13810" s="23" t="str">
        <f>HYPERLINK("https://www.spark-marketing.ru/Card/Person/1039551", "МБОУ ""ГИМНАЗИЯ № 2"" Г. БРЯНСКА")</f>
        <v>МБОУ "ГИМНАЗИЯ № 2" Г. БРЯНСКА</v>
      </c>
      <c r="B13810" s="24" t="s">
        <v>3954</v>
      </c>
      <c r="C13810" s="25">
        <v>66000</v>
      </c>
      <c r="D13810" s="22" t="s">
        <v>15988</v>
      </c>
      <c r="E13810" s="22" t="s">
        <v>68</v>
      </c>
      <c r="F13810" s="23" t="str">
        <f>HYPERLINK("https://www.spark-marketing.ru/Card/Lot/68246781", "Услуги по обеспечению охраны объекта")</f>
        <v>Услуги по обеспечению охраны объекта</v>
      </c>
      <c r="G13810" s="22" t="s">
        <v>215</v>
      </c>
      <c r="H13810" s="22" t="s">
        <v>406</v>
      </c>
      <c r="I13810" s="26">
        <v>43522.430555555598</v>
      </c>
      <c r="J13810" s="28" t="s">
        <v>52</v>
      </c>
      <c r="K13810" s="28" t="s">
        <v>52</v>
      </c>
      <c r="L13810" s="28" t="s">
        <v>52</v>
      </c>
      <c r="M13810" s="28" t="s">
        <v>52</v>
      </c>
      <c r="N13810" s="28" t="s">
        <v>52</v>
      </c>
    </row>
    <row r="13811" spans="1:14" x14ac:dyDescent="0.15">
      <c r="A13811" s="23" t="str">
        <f>HYPERLINK("https://www.spark-marketing.ru/Card/Person/9356", "ГБУЗ ГКБ ИМ.С.П.БОТКИНА ДЗМ")</f>
        <v>ГБУЗ ГКБ ИМ.С.П.БОТКИНА ДЗМ</v>
      </c>
      <c r="B13811" s="24" t="s">
        <v>15989</v>
      </c>
      <c r="C13811" s="25">
        <v>9500000</v>
      </c>
      <c r="D13811" s="22" t="s">
        <v>15990</v>
      </c>
      <c r="E13811" s="22" t="s">
        <v>3069</v>
      </c>
      <c r="F13811" s="23" t="str">
        <f>HYPERLINK("https://www.spark-marketing.ru/Card/Lot/68254967", "Аукцион в электронной форме на поставку, установку и ввод в эксплуатацию рабочего места врача - оториноларинголога в рамках реализации Государственной программы города Москвы «Развитие здравоохранения города Москвы (Столичное здравоохранение)» (ПСЗ20...")</f>
        <v>Аукцион в электронной форме на поставку, установку и ввод в эксплуатацию рабочего места врача - оториноларинголога в рамках реализации Государственной программы города Москвы «Развитие здравоохранения города Москвы (Столичное здравоохранение)» (ПСЗ20...</v>
      </c>
      <c r="G13811" s="22" t="s">
        <v>55</v>
      </c>
      <c r="H13811" s="22" t="s">
        <v>55</v>
      </c>
      <c r="I13811" s="26">
        <v>43522.420138888898</v>
      </c>
      <c r="J13811" s="28" t="s">
        <v>52</v>
      </c>
      <c r="K13811" s="28" t="s">
        <v>52</v>
      </c>
      <c r="L13811" s="28" t="s">
        <v>52</v>
      </c>
      <c r="M13811" s="28" t="s">
        <v>52</v>
      </c>
      <c r="N13811" s="28" t="s">
        <v>52</v>
      </c>
    </row>
    <row r="13812" spans="1:14" ht="12.75" hidden="1" outlineLevel="1" x14ac:dyDescent="0.2">
      <c r="A13812" s="23" t="str">
        <f>HYPERLINK("https://www.spark-marketing.ru/Card/Person/9356", "ГБУЗ ГКБ ИМ.С.П.БОТКИНА ДЗМ")</f>
        <v>ГБУЗ ГКБ ИМ.С.П.БОТКИНА ДЗМ</v>
      </c>
      <c r="B13812" s="24" t="s">
        <v>15989</v>
      </c>
      <c r="C13812" s="25">
        <v>9500000</v>
      </c>
      <c r="D13812" s="22" t="s">
        <v>15990</v>
      </c>
      <c r="E13812" s="22" t="s">
        <v>3069</v>
      </c>
      <c r="F13812" s="23" t="str">
        <f>HYPERLINK("https://www.spark-marketing.ru/Card/Lot/68254967", "Аукцион в электронной форме на поставку, установку и ввод в эксплуатацию рабочего места врача - оториноларинголога в рамках реализации Государственной программы города Москвы «Развитие здравоохранения города Москвы (Столичное здравоохранение)» (ПСЗ20...")</f>
        <v>Аукцион в электронной форме на поставку, установку и ввод в эксплуатацию рабочего места врача - оториноларинголога в рамках реализации Государственной программы города Москвы «Развитие здравоохранения города Москвы (Столичное здравоохранение)» (ПСЗ20...</v>
      </c>
      <c r="G13812" s="22" t="s">
        <v>55</v>
      </c>
      <c r="H13812" s="22" t="s">
        <v>55</v>
      </c>
      <c r="I13812" s="26">
        <v>43522.420138888898</v>
      </c>
      <c r="J13812" s="23" t="str">
        <f>HYPERLINK("https://www.spark-marketing.ru/Card/Person/5785234", "ООО ""СМФ""")</f>
        <v>ООО "СМФ"</v>
      </c>
      <c r="K13812" s="24" t="s">
        <v>15991</v>
      </c>
      <c r="L13812" s="22" t="s">
        <v>10</v>
      </c>
      <c r="M13812" s="25">
        <v>9310000</v>
      </c>
      <c r="N13812" s="27">
        <v>0.02</v>
      </c>
    </row>
    <row r="13813" spans="1:14" hidden="1" outlineLevel="1" x14ac:dyDescent="0.2">
      <c r="A13813" s="23" t="str">
        <f>HYPERLINK("https://www.spark-marketing.ru/Card/Person/9356", "ГБУЗ ГКБ ИМ.С.П.БОТКИНА ДЗМ")</f>
        <v>ГБУЗ ГКБ ИМ.С.П.БОТКИНА ДЗМ</v>
      </c>
      <c r="B13813" s="24" t="s">
        <v>15989</v>
      </c>
      <c r="C13813" s="25">
        <v>9500000</v>
      </c>
      <c r="D13813" s="22" t="s">
        <v>15990</v>
      </c>
      <c r="E13813" s="22" t="s">
        <v>3069</v>
      </c>
      <c r="F13813" s="23" t="str">
        <f>HYPERLINK("https://www.spark-marketing.ru/Card/Lot/68254967", "Аукцион в электронной форме на поставку, установку и ввод в эксплуатацию рабочего места врача - оториноларинголога в рамках реализации Государственной программы города Москвы «Развитие здравоохранения города Москвы (Столичное здравоохранение)» (ПСЗ20...")</f>
        <v>Аукцион в электронной форме на поставку, установку и ввод в эксплуатацию рабочего места врача - оториноларинголога в рамках реализации Государственной программы города Москвы «Развитие здравоохранения города Москвы (Столичное здравоохранение)» (ПСЗ20...</v>
      </c>
      <c r="G13813" s="22" t="s">
        <v>55</v>
      </c>
      <c r="H13813" s="22" t="s">
        <v>55</v>
      </c>
      <c r="I13813" s="26">
        <v>43522.420138888898</v>
      </c>
      <c r="J13813" s="23" t="str">
        <f>HYPERLINK("https://www.spark-marketing.ru/Card/Person/6437493", "ООО ""ПРАЙД МЕДИКАЛ""")</f>
        <v>ООО "ПРАЙД МЕДИКАЛ"</v>
      </c>
      <c r="K13813" s="24" t="s">
        <v>3071</v>
      </c>
      <c r="L13813" s="28" t="s">
        <v>52</v>
      </c>
      <c r="M13813" s="25">
        <v>9405000</v>
      </c>
      <c r="N13813" s="27">
        <v>0.01</v>
      </c>
    </row>
    <row r="13814" spans="1:14" x14ac:dyDescent="0.15">
      <c r="A13814" s="23" t="str">
        <f>HYPERLINK("https://www.spark-marketing.ru/Card/Person/4343465", "ГКУ ""АМУРУПРАДОР""")</f>
        <v>ГКУ "АМУРУПРАДОР"</v>
      </c>
      <c r="B13814" s="24" t="s">
        <v>11771</v>
      </c>
      <c r="C13814" s="28" t="s">
        <v>52</v>
      </c>
      <c r="D13814" s="22" t="s">
        <v>15992</v>
      </c>
      <c r="E13814" s="22" t="s">
        <v>585</v>
      </c>
      <c r="F13814" s="23" t="str">
        <f>HYPERLINK("https://www.spark-marketing.ru/Card/Lot/68247751", "оказание услуг по проверке технического состояния транспортных средств Государственного заказчика (в том числе их частей, предметов их дополнительного оборудования) на предмет их соответствия обязательным требованиям безопасности транспортных средств...")</f>
        <v>оказание услуг по проверке технического состояния транспортных средств Государственного заказчика (в том числе их частей, предметов их дополнительного оборудования) на предмет их соответствия обязательным требованиям безопасности транспортных средств...</v>
      </c>
      <c r="G13814" s="22" t="s">
        <v>230</v>
      </c>
      <c r="H13814" s="22" t="s">
        <v>231</v>
      </c>
      <c r="I13814" s="26">
        <v>43522.45</v>
      </c>
      <c r="J13814" s="28" t="s">
        <v>52</v>
      </c>
      <c r="K13814" s="28" t="s">
        <v>52</v>
      </c>
      <c r="L13814" s="28" t="s">
        <v>52</v>
      </c>
      <c r="M13814" s="28" t="s">
        <v>52</v>
      </c>
      <c r="N13814" s="28" t="s">
        <v>52</v>
      </c>
    </row>
    <row r="13815" spans="1:14" x14ac:dyDescent="0.15">
      <c r="A13815" s="23" t="str">
        <f>HYPERLINK("https://www.spark-marketing.ru/Card/Person/37216", "СПБ ГБУ СОН ЦСПСИД")</f>
        <v>СПБ ГБУ СОН ЦСПСИД</v>
      </c>
      <c r="B13815" s="24" t="s">
        <v>15993</v>
      </c>
      <c r="C13815" s="25">
        <v>8773.31</v>
      </c>
      <c r="D13815" s="22" t="s">
        <v>15994</v>
      </c>
      <c r="E13815" s="22" t="s">
        <v>585</v>
      </c>
      <c r="F13815" s="23" t="str">
        <f>HYPERLINK("https://www.spark-marketing.ru/Card/Lot/68255224", "Оказание услуг по осуществлению проверки технического состояния транспортных средств марки FORD TRANSIT BUS, VOLKSWAGEN JETTA, ГАЗ-322132, FORD TRANSIT VAN базовая модель 22432G-02, Fiat DUСATO (в том числе их частей, предметов дополнительного оборуд...")</f>
        <v>Оказание услуг по осуществлению проверки технического состояния транспортных средств марки FORD TRANSIT BUS, VOLKSWAGEN JETTA, ГАЗ-322132, FORD TRANSIT VAN базовая модель 22432G-02, Fiat DUСATO (в том числе их частей, предметов дополнительного оборуд...</v>
      </c>
      <c r="G13815" s="22" t="s">
        <v>89</v>
      </c>
      <c r="H13815" s="22" t="s">
        <v>89</v>
      </c>
      <c r="I13815" s="26">
        <v>43522.453472222202</v>
      </c>
      <c r="J13815" s="23" t="str">
        <f>HYPERLINK("https://www.spark-marketing.ru/Card/Person/1628273", "ООО""АВТОПОЧТА""")</f>
        <v>ООО"АВТОПОЧТА"</v>
      </c>
      <c r="K13815" s="24" t="s">
        <v>15995</v>
      </c>
      <c r="L13815" s="22" t="s">
        <v>10</v>
      </c>
      <c r="M13815" s="28" t="s">
        <v>52</v>
      </c>
      <c r="N13815" s="28" t="s">
        <v>52</v>
      </c>
    </row>
    <row r="13816" spans="1:14" x14ac:dyDescent="0.15">
      <c r="A13816" s="23" t="str">
        <f>HYPERLINK("https://www.spark-marketing.ru/Card/Person/8277", "ДЕПАРТАМЕНТ ПРИРОДНЫХ РЕСУРСОВ И ОХРАНЫ ОКРУЖАЮЩЕЙ СРЕДЫ ТОМСКОЙ ОБЛАСТИ")</f>
        <v>ДЕПАРТАМЕНТ ПРИРОДНЫХ РЕСУРСОВ И ОХРАНЫ ОКРУЖАЮЩЕЙ СРЕДЫ ТОМСКОЙ ОБЛАСТИ</v>
      </c>
      <c r="B13816" s="24" t="s">
        <v>15996</v>
      </c>
      <c r="C13816" s="25">
        <v>938559.21</v>
      </c>
      <c r="D13816" s="22" t="s">
        <v>15997</v>
      </c>
      <c r="E13816" s="22" t="s">
        <v>208</v>
      </c>
      <c r="F13816" s="23" t="str">
        <f>HYPERLINK("https://www.spark-marketing.ru/Card/Lot/68242899", "Поставка, установка и ввод в эксплуатацию комплекта оборудования для проведения групповой видеоконференцсвязи")</f>
        <v>Поставка, установка и ввод в эксплуатацию комплекта оборудования для проведения групповой видеоконференцсвязи</v>
      </c>
      <c r="G13816" s="22" t="s">
        <v>150</v>
      </c>
      <c r="H13816" s="22" t="s">
        <v>1656</v>
      </c>
      <c r="I13816" s="26">
        <v>43522.452777777798</v>
      </c>
      <c r="J13816" s="28" t="s">
        <v>52</v>
      </c>
      <c r="K13816" s="28" t="s">
        <v>52</v>
      </c>
      <c r="L13816" s="28" t="s">
        <v>52</v>
      </c>
      <c r="M13816" s="28" t="s">
        <v>52</v>
      </c>
      <c r="N13816" s="28" t="s">
        <v>52</v>
      </c>
    </row>
    <row r="13817" spans="1:14" hidden="1" outlineLevel="1" x14ac:dyDescent="0.2">
      <c r="A13817" s="23" t="str">
        <f>HYPERLINK("https://www.spark-marketing.ru/Card/Person/8277", "ДЕПАРТАМЕНТ ПРИРОДНЫХ РЕСУРСОВ И ОХРАНЫ ОКРУЖАЮЩЕЙ СРЕДЫ ТОМСКОЙ ОБЛАСТИ")</f>
        <v>ДЕПАРТАМЕНТ ПРИРОДНЫХ РЕСУРСОВ И ОХРАНЫ ОКРУЖАЮЩЕЙ СРЕДЫ ТОМСКОЙ ОБЛАСТИ</v>
      </c>
      <c r="B13817" s="24" t="s">
        <v>15996</v>
      </c>
      <c r="C13817" s="25">
        <v>938559.21</v>
      </c>
      <c r="D13817" s="22" t="s">
        <v>15997</v>
      </c>
      <c r="E13817" s="22" t="s">
        <v>208</v>
      </c>
      <c r="F13817" s="23" t="str">
        <f>HYPERLINK("https://www.spark-marketing.ru/Card/Lot/68242899", "Поставка, установка и ввод в эксплуатацию комплекта оборудования для проведения групповой видеоконференцсвязи")</f>
        <v>Поставка, установка и ввод в эксплуатацию комплекта оборудования для проведения групповой видеоконференцсвязи</v>
      </c>
      <c r="G13817" s="22" t="s">
        <v>150</v>
      </c>
      <c r="H13817" s="22" t="s">
        <v>1656</v>
      </c>
      <c r="I13817" s="26">
        <v>43522.452777777798</v>
      </c>
      <c r="J13817" s="23" t="str">
        <f>HYPERLINK("https://www.spark-marketing.ru/Card/Person/183028", "ООО ""ИНТАНТ-СЕРВИС""")</f>
        <v>ООО "ИНТАНТ-СЕРВИС"</v>
      </c>
      <c r="K13817" s="24" t="s">
        <v>15998</v>
      </c>
      <c r="L13817" s="28" t="s">
        <v>52</v>
      </c>
      <c r="M13817" s="25">
        <v>687465</v>
      </c>
      <c r="N13817" s="27">
        <v>0.26753156042227744</v>
      </c>
    </row>
    <row r="13818" spans="1:14" hidden="1" outlineLevel="1" x14ac:dyDescent="0.2">
      <c r="A13818" s="23" t="str">
        <f>HYPERLINK("https://www.spark-marketing.ru/Card/Person/8277", "ДЕПАРТАМЕНТ ПРИРОДНЫХ РЕСУРСОВ И ОХРАНЫ ОКРУЖАЮЩЕЙ СРЕДЫ ТОМСКОЙ ОБЛАСТИ")</f>
        <v>ДЕПАРТАМЕНТ ПРИРОДНЫХ РЕСУРСОВ И ОХРАНЫ ОКРУЖАЮЩЕЙ СРЕДЫ ТОМСКОЙ ОБЛАСТИ</v>
      </c>
      <c r="B13818" s="24" t="s">
        <v>15996</v>
      </c>
      <c r="C13818" s="25">
        <v>938559.21</v>
      </c>
      <c r="D13818" s="22" t="s">
        <v>15997</v>
      </c>
      <c r="E13818" s="22" t="s">
        <v>208</v>
      </c>
      <c r="F13818" s="23" t="str">
        <f>HYPERLINK("https://www.spark-marketing.ru/Card/Lot/68242899", "Поставка, установка и ввод в эксплуатацию комплекта оборудования для проведения групповой видеоконференцсвязи")</f>
        <v>Поставка, установка и ввод в эксплуатацию комплекта оборудования для проведения групповой видеоконференцсвязи</v>
      </c>
      <c r="G13818" s="22" t="s">
        <v>150</v>
      </c>
      <c r="H13818" s="22" t="s">
        <v>1656</v>
      </c>
      <c r="I13818" s="26">
        <v>43522.452777777798</v>
      </c>
      <c r="J13818" s="23" t="str">
        <f>HYPERLINK("https://www.spark-marketing.ru/Card/Person/4856580", "ООО ""КОМПСТАР-СЕРВИС""")</f>
        <v>ООО "КОМПСТАР-СЕРВИС"</v>
      </c>
      <c r="K13818" s="24" t="s">
        <v>13426</v>
      </c>
      <c r="L13818" s="28" t="s">
        <v>52</v>
      </c>
      <c r="M13818" s="25">
        <v>760000</v>
      </c>
      <c r="N13818" s="27">
        <v>0.19024821033933489</v>
      </c>
    </row>
    <row r="13819" spans="1:14" ht="12.75" hidden="1" outlineLevel="1" x14ac:dyDescent="0.2">
      <c r="A13819" s="23" t="str">
        <f>HYPERLINK("https://www.spark-marketing.ru/Card/Person/8277", "ДЕПАРТАМЕНТ ПРИРОДНЫХ РЕСУРСОВ И ОХРАНЫ ОКРУЖАЮЩЕЙ СРЕДЫ ТОМСКОЙ ОБЛАСТИ")</f>
        <v>ДЕПАРТАМЕНТ ПРИРОДНЫХ РЕСУРСОВ И ОХРАНЫ ОКРУЖАЮЩЕЙ СРЕДЫ ТОМСКОЙ ОБЛАСТИ</v>
      </c>
      <c r="B13819" s="24" t="s">
        <v>15996</v>
      </c>
      <c r="C13819" s="25">
        <v>938559.21</v>
      </c>
      <c r="D13819" s="22" t="s">
        <v>15997</v>
      </c>
      <c r="E13819" s="22" t="s">
        <v>208</v>
      </c>
      <c r="F13819" s="23" t="str">
        <f>HYPERLINK("https://www.spark-marketing.ru/Card/Lot/68242899", "Поставка, установка и ввод в эксплуатацию комплекта оборудования для проведения групповой видеоконференцсвязи")</f>
        <v>Поставка, установка и ввод в эксплуатацию комплекта оборудования для проведения групповой видеоконференцсвязи</v>
      </c>
      <c r="G13819" s="22" t="s">
        <v>150</v>
      </c>
      <c r="H13819" s="22" t="s">
        <v>1656</v>
      </c>
      <c r="I13819" s="26">
        <v>43522.452777777798</v>
      </c>
      <c r="J13819" s="23" t="str">
        <f>HYPERLINK("https://www.spark-marketing.ru/Card/Person/154947", "ООО ""ОРЕНСКАНЕР""")</f>
        <v>ООО "ОРЕНСКАНЕР"</v>
      </c>
      <c r="K13819" s="24" t="s">
        <v>15999</v>
      </c>
      <c r="L13819" s="22" t="s">
        <v>10</v>
      </c>
      <c r="M13819" s="25">
        <v>682772.2</v>
      </c>
      <c r="N13819" s="27">
        <v>0.27253156463085582</v>
      </c>
    </row>
    <row r="13820" spans="1:14" x14ac:dyDescent="0.15">
      <c r="A13820" s="23" t="str">
        <f>HYPERLINK("https://www.spark-marketing.ru/Card/Person/15218", "ГБУЗ ""ДГП № 28 ДЗМ""")</f>
        <v>ГБУЗ "ДГП № 28 ДЗМ"</v>
      </c>
      <c r="B13820" s="24" t="s">
        <v>4215</v>
      </c>
      <c r="C13820" s="25">
        <v>227800.97</v>
      </c>
      <c r="D13820" s="22" t="s">
        <v>16000</v>
      </c>
      <c r="E13820" s="22" t="s">
        <v>5034</v>
      </c>
      <c r="F13820" s="23" t="str">
        <f>HYPERLINK("https://www.spark-marketing.ru/Card/Lot/68255176", "Оказание услуг по техническому обслуживанию системы видеонаблюдения.")</f>
        <v>Оказание услуг по техническому обслуживанию системы видеонаблюдения.</v>
      </c>
      <c r="G13820" s="22" t="s">
        <v>55</v>
      </c>
      <c r="H13820" s="22" t="s">
        <v>55</v>
      </c>
      <c r="I13820" s="26">
        <v>43522.4194444444</v>
      </c>
      <c r="J13820" s="28" t="s">
        <v>52</v>
      </c>
      <c r="K13820" s="28" t="s">
        <v>52</v>
      </c>
      <c r="L13820" s="28" t="s">
        <v>52</v>
      </c>
      <c r="M13820" s="28" t="s">
        <v>52</v>
      </c>
      <c r="N13820" s="28" t="s">
        <v>52</v>
      </c>
    </row>
    <row r="13821" spans="1:14" ht="12.75" hidden="1" outlineLevel="1" x14ac:dyDescent="0.2">
      <c r="A13821" s="23" t="str">
        <f>HYPERLINK("https://www.spark-marketing.ru/Card/Person/15218", "ГБУЗ ""ДГП № 28 ДЗМ""")</f>
        <v>ГБУЗ "ДГП № 28 ДЗМ"</v>
      </c>
      <c r="B13821" s="24" t="s">
        <v>4215</v>
      </c>
      <c r="C13821" s="25">
        <v>227800.97</v>
      </c>
      <c r="D13821" s="22" t="s">
        <v>16000</v>
      </c>
      <c r="E13821" s="22" t="s">
        <v>5034</v>
      </c>
      <c r="F13821" s="23" t="str">
        <f>HYPERLINK("https://www.spark-marketing.ru/Card/Lot/68255176", "Оказание услуг по техническому обслуживанию системы видеонаблюдения.")</f>
        <v>Оказание услуг по техническому обслуживанию системы видеонаблюдения.</v>
      </c>
      <c r="G13821" s="22" t="s">
        <v>55</v>
      </c>
      <c r="H13821" s="22" t="s">
        <v>55</v>
      </c>
      <c r="I13821" s="26">
        <v>43522.4194444444</v>
      </c>
      <c r="J13821" s="23" t="str">
        <f>HYPERLINK("https://www.spark-marketing.ru/Card/Person/5885640", "ООО ""ПОЖСПЕЦСВЯЗЬ""")</f>
        <v>ООО "ПОЖСПЕЦСВЯЗЬ"</v>
      </c>
      <c r="K13821" s="24" t="s">
        <v>4809</v>
      </c>
      <c r="L13821" s="22" t="s">
        <v>10</v>
      </c>
      <c r="M13821" s="25">
        <v>88000</v>
      </c>
      <c r="N13821" s="27">
        <v>0.61369786967983497</v>
      </c>
    </row>
    <row r="13822" spans="1:14" hidden="1" outlineLevel="1" x14ac:dyDescent="0.2">
      <c r="A13822" s="23" t="str">
        <f>HYPERLINK("https://www.spark-marketing.ru/Card/Person/15218", "ГБУЗ ""ДГП № 28 ДЗМ""")</f>
        <v>ГБУЗ "ДГП № 28 ДЗМ"</v>
      </c>
      <c r="B13822" s="24" t="s">
        <v>4215</v>
      </c>
      <c r="C13822" s="25">
        <v>227800.97</v>
      </c>
      <c r="D13822" s="22" t="s">
        <v>16000</v>
      </c>
      <c r="E13822" s="22" t="s">
        <v>5034</v>
      </c>
      <c r="F13822" s="23" t="str">
        <f>HYPERLINK("https://www.spark-marketing.ru/Card/Lot/68255176", "Оказание услуг по техническому обслуживанию системы видеонаблюдения.")</f>
        <v>Оказание услуг по техническому обслуживанию системы видеонаблюдения.</v>
      </c>
      <c r="G13822" s="22" t="s">
        <v>55</v>
      </c>
      <c r="H13822" s="22" t="s">
        <v>55</v>
      </c>
      <c r="I13822" s="26">
        <v>43522.4194444444</v>
      </c>
      <c r="J13822" s="23" t="str">
        <f>HYPERLINK("https://www.spark-marketing.ru/Card/Person/1750232", "ООО ""АЗБУКА СИСТЕМ БЕЗОПАСНОСТИ""")</f>
        <v>ООО "АЗБУКА СИСТЕМ БЕЗОПАСНОСТИ"</v>
      </c>
      <c r="K13822" s="24" t="s">
        <v>3162</v>
      </c>
      <c r="L13822" s="28" t="s">
        <v>52</v>
      </c>
      <c r="M13822" s="25">
        <v>224861</v>
      </c>
      <c r="N13822" s="27">
        <v>1.2905871296333813E-2</v>
      </c>
    </row>
    <row r="13823" spans="1:14" hidden="1" outlineLevel="1" x14ac:dyDescent="0.2">
      <c r="A13823" s="23" t="str">
        <f>HYPERLINK("https://www.spark-marketing.ru/Card/Person/15218", "ГБУЗ ""ДГП № 28 ДЗМ""")</f>
        <v>ГБУЗ "ДГП № 28 ДЗМ"</v>
      </c>
      <c r="B13823" s="24" t="s">
        <v>4215</v>
      </c>
      <c r="C13823" s="25">
        <v>227800.97</v>
      </c>
      <c r="D13823" s="22" t="s">
        <v>16000</v>
      </c>
      <c r="E13823" s="22" t="s">
        <v>5034</v>
      </c>
      <c r="F13823" s="23" t="str">
        <f>HYPERLINK("https://www.spark-marketing.ru/Card/Lot/68255176", "Оказание услуг по техническому обслуживанию системы видеонаблюдения.")</f>
        <v>Оказание услуг по техническому обслуживанию системы видеонаблюдения.</v>
      </c>
      <c r="G13823" s="22" t="s">
        <v>55</v>
      </c>
      <c r="H13823" s="22" t="s">
        <v>55</v>
      </c>
      <c r="I13823" s="26">
        <v>43522.4194444444</v>
      </c>
      <c r="J13823" s="23" t="str">
        <f>HYPERLINK("https://www.spark-marketing.ru/Card/Person/127226", "ООО ""ОБС""")</f>
        <v>ООО "ОБС"</v>
      </c>
      <c r="K13823" s="24" t="s">
        <v>11096</v>
      </c>
      <c r="L13823" s="28" t="s">
        <v>52</v>
      </c>
      <c r="M13823" s="25">
        <v>89748.94</v>
      </c>
      <c r="N13823" s="27">
        <v>0.60602037822753785</v>
      </c>
    </row>
    <row r="13824" spans="1:14" hidden="1" outlineLevel="1" x14ac:dyDescent="0.2">
      <c r="A13824" s="23" t="str">
        <f>HYPERLINK("https://www.spark-marketing.ru/Card/Person/15218", "ГБУЗ ""ДГП № 28 ДЗМ""")</f>
        <v>ГБУЗ "ДГП № 28 ДЗМ"</v>
      </c>
      <c r="B13824" s="24" t="s">
        <v>4215</v>
      </c>
      <c r="C13824" s="25">
        <v>227800.97</v>
      </c>
      <c r="D13824" s="22" t="s">
        <v>16000</v>
      </c>
      <c r="E13824" s="22" t="s">
        <v>5034</v>
      </c>
      <c r="F13824" s="23" t="str">
        <f>HYPERLINK("https://www.spark-marketing.ru/Card/Lot/68255176", "Оказание услуг по техническому обслуживанию системы видеонаблюдения.")</f>
        <v>Оказание услуг по техническому обслуживанию системы видеонаблюдения.</v>
      </c>
      <c r="G13824" s="22" t="s">
        <v>55</v>
      </c>
      <c r="H13824" s="22" t="s">
        <v>55</v>
      </c>
      <c r="I13824" s="26">
        <v>43522.4194444444</v>
      </c>
      <c r="J13824" s="23" t="str">
        <f>HYPERLINK("https://www.spark-marketing.ru/Card/Person/65028", "ООО ""ИМПУЛЬС М""")</f>
        <v>ООО "ИМПУЛЬС М"</v>
      </c>
      <c r="K13824" s="24" t="s">
        <v>7268</v>
      </c>
      <c r="L13824" s="28" t="s">
        <v>52</v>
      </c>
      <c r="M13824" s="25">
        <v>177700</v>
      </c>
      <c r="N13824" s="27">
        <v>0.21993308456939406</v>
      </c>
    </row>
    <row r="13825" spans="1:14" x14ac:dyDescent="0.15">
      <c r="A13825" s="23" t="str">
        <f t="shared" ref="A13825:A13833" si="728">HYPERLINK("https://www.spark-marketing.ru/Card/Person/92526", "ГБДОУ ДЕТСКИЙ САД № 39 МОСКОВСКОГО РАЙОНА САНКТ-ПЕТЕРБУРГА")</f>
        <v>ГБДОУ ДЕТСКИЙ САД № 39 МОСКОВСКОГО РАЙОНА САНКТ-ПЕТЕРБУРГА</v>
      </c>
      <c r="B13825" s="24" t="s">
        <v>16001</v>
      </c>
      <c r="C13825" s="25">
        <v>367548</v>
      </c>
      <c r="D13825" s="22" t="s">
        <v>16002</v>
      </c>
      <c r="E13825" s="22" t="s">
        <v>59</v>
      </c>
      <c r="F13825" s="23" t="str">
        <f t="shared" ref="F13825:F13833" si="729">HYPERLINK("https://www.spark-marketing.ru/Card/Lot/68255150", "Выполнение работ по установке системы охранной сигнализациив ГБДОУ детский сад №39 Московского района Санкт-Петербурга в 2019 году")</f>
        <v>Выполнение работ по установке системы охранной сигнализациив ГБДОУ детский сад №39 Московского района Санкт-Петербурга в 2019 году</v>
      </c>
      <c r="G13825" s="22" t="s">
        <v>89</v>
      </c>
      <c r="H13825" s="22" t="s">
        <v>89</v>
      </c>
      <c r="I13825" s="26">
        <v>43522.431944444397</v>
      </c>
      <c r="J13825" s="28" t="s">
        <v>52</v>
      </c>
      <c r="K13825" s="28" t="s">
        <v>52</v>
      </c>
      <c r="L13825" s="28" t="s">
        <v>52</v>
      </c>
      <c r="M13825" s="28" t="s">
        <v>52</v>
      </c>
      <c r="N13825" s="28" t="s">
        <v>52</v>
      </c>
    </row>
    <row r="13826" spans="1:14" ht="12.75" hidden="1" outlineLevel="1" x14ac:dyDescent="0.2">
      <c r="A13826" s="23" t="str">
        <f t="shared" si="728"/>
        <v>ГБДОУ ДЕТСКИЙ САД № 39 МОСКОВСКОГО РАЙОНА САНКТ-ПЕТЕРБУРГА</v>
      </c>
      <c r="B13826" s="24" t="s">
        <v>16001</v>
      </c>
      <c r="C13826" s="25">
        <v>367548</v>
      </c>
      <c r="D13826" s="22" t="s">
        <v>16002</v>
      </c>
      <c r="E13826" s="22" t="s">
        <v>59</v>
      </c>
      <c r="F13826" s="23" t="str">
        <f t="shared" si="729"/>
        <v>Выполнение работ по установке системы охранной сигнализациив ГБДОУ детский сад №39 Московского района Санкт-Петербурга в 2019 году</v>
      </c>
      <c r="G13826" s="22" t="s">
        <v>89</v>
      </c>
      <c r="H13826" s="22" t="s">
        <v>89</v>
      </c>
      <c r="I13826" s="26">
        <v>43522.431944444397</v>
      </c>
      <c r="J13826" s="23" t="str">
        <f>HYPERLINK("https://www.spark-marketing.ru/Card/Person/5930161", "ООО ""ЛИГА ПРОФИ""")</f>
        <v>ООО "ЛИГА ПРОФИ"</v>
      </c>
      <c r="K13826" s="24" t="s">
        <v>16003</v>
      </c>
      <c r="L13826" s="22" t="s">
        <v>10</v>
      </c>
      <c r="M13826" s="25">
        <v>142011.54999999999</v>
      </c>
      <c r="N13826" s="27">
        <v>0.61362447897961625</v>
      </c>
    </row>
    <row r="13827" spans="1:14" hidden="1" outlineLevel="1" x14ac:dyDescent="0.2">
      <c r="A13827" s="23" t="str">
        <f t="shared" si="728"/>
        <v>ГБДОУ ДЕТСКИЙ САД № 39 МОСКОВСКОГО РАЙОНА САНКТ-ПЕТЕРБУРГА</v>
      </c>
      <c r="B13827" s="24" t="s">
        <v>16001</v>
      </c>
      <c r="C13827" s="25">
        <v>367548</v>
      </c>
      <c r="D13827" s="22" t="s">
        <v>16002</v>
      </c>
      <c r="E13827" s="22" t="s">
        <v>59</v>
      </c>
      <c r="F13827" s="23" t="str">
        <f t="shared" si="729"/>
        <v>Выполнение работ по установке системы охранной сигнализациив ГБДОУ детский сад №39 Московского района Санкт-Петербурга в 2019 году</v>
      </c>
      <c r="G13827" s="22" t="s">
        <v>89</v>
      </c>
      <c r="H13827" s="22" t="s">
        <v>89</v>
      </c>
      <c r="I13827" s="26">
        <v>43522.431944444397</v>
      </c>
      <c r="J13827" s="23" t="str">
        <f>HYPERLINK("https://www.spark-marketing.ru/Card/Person/6491705", "ООО ""КОВЧЕГ""")</f>
        <v>ООО "КОВЧЕГ"</v>
      </c>
      <c r="K13827" s="24" t="s">
        <v>8252</v>
      </c>
      <c r="L13827" s="28" t="s">
        <v>52</v>
      </c>
      <c r="M13827" s="25">
        <v>171806.86</v>
      </c>
      <c r="N13827" s="27">
        <v>0.53255939360301241</v>
      </c>
    </row>
    <row r="13828" spans="1:14" hidden="1" outlineLevel="1" x14ac:dyDescent="0.2">
      <c r="A13828" s="23" t="str">
        <f t="shared" si="728"/>
        <v>ГБДОУ ДЕТСКИЙ САД № 39 МОСКОВСКОГО РАЙОНА САНКТ-ПЕТЕРБУРГА</v>
      </c>
      <c r="B13828" s="24" t="s">
        <v>16001</v>
      </c>
      <c r="C13828" s="25">
        <v>367548</v>
      </c>
      <c r="D13828" s="22" t="s">
        <v>16002</v>
      </c>
      <c r="E13828" s="22" t="s">
        <v>59</v>
      </c>
      <c r="F13828" s="23" t="str">
        <f t="shared" si="729"/>
        <v>Выполнение работ по установке системы охранной сигнализациив ГБДОУ детский сад №39 Московского района Санкт-Петербурга в 2019 году</v>
      </c>
      <c r="G13828" s="22" t="s">
        <v>89</v>
      </c>
      <c r="H13828" s="22" t="s">
        <v>89</v>
      </c>
      <c r="I13828" s="26">
        <v>43522.431944444397</v>
      </c>
      <c r="J13828" s="23" t="str">
        <f>HYPERLINK("https://www.spark-marketing.ru/Card/Person/397860", "ООО ""РАТИБОР СПЕЦСИСТЕМЫ""")</f>
        <v>ООО "РАТИБОР СПЕЦСИСТЕМЫ"</v>
      </c>
      <c r="K13828" s="24" t="s">
        <v>2767</v>
      </c>
      <c r="L13828" s="28" t="s">
        <v>52</v>
      </c>
      <c r="M13828" s="25">
        <v>195376.77</v>
      </c>
      <c r="N13828" s="27">
        <v>0.46843195990727743</v>
      </c>
    </row>
    <row r="13829" spans="1:14" hidden="1" outlineLevel="1" x14ac:dyDescent="0.2">
      <c r="A13829" s="23" t="str">
        <f t="shared" si="728"/>
        <v>ГБДОУ ДЕТСКИЙ САД № 39 МОСКОВСКОГО РАЙОНА САНКТ-ПЕТЕРБУРГА</v>
      </c>
      <c r="B13829" s="24" t="s">
        <v>16001</v>
      </c>
      <c r="C13829" s="25">
        <v>367548</v>
      </c>
      <c r="D13829" s="22" t="s">
        <v>16002</v>
      </c>
      <c r="E13829" s="22" t="s">
        <v>59</v>
      </c>
      <c r="F13829" s="23" t="str">
        <f t="shared" si="729"/>
        <v>Выполнение работ по установке системы охранной сигнализациив ГБДОУ детский сад №39 Московского района Санкт-Петербурга в 2019 году</v>
      </c>
      <c r="G13829" s="22" t="s">
        <v>89</v>
      </c>
      <c r="H13829" s="22" t="s">
        <v>89</v>
      </c>
      <c r="I13829" s="26">
        <v>43522.431944444397</v>
      </c>
      <c r="J13829" s="23" t="str">
        <f>HYPERLINK("https://www.spark-marketing.ru/Card/Person/77865", "ООО ""АВАНГАРД""")</f>
        <v>ООО "АВАНГАРД"</v>
      </c>
      <c r="K13829" s="24" t="s">
        <v>16004</v>
      </c>
      <c r="L13829" s="28" t="s">
        <v>52</v>
      </c>
      <c r="M13829" s="25">
        <v>244995.75</v>
      </c>
      <c r="N13829" s="27">
        <v>0.33343195990727742</v>
      </c>
    </row>
    <row r="13830" spans="1:14" hidden="1" outlineLevel="1" x14ac:dyDescent="0.2">
      <c r="A13830" s="23" t="str">
        <f t="shared" si="728"/>
        <v>ГБДОУ ДЕТСКИЙ САД № 39 МОСКОВСКОГО РАЙОНА САНКТ-ПЕТЕРБУРГА</v>
      </c>
      <c r="B13830" s="24" t="s">
        <v>16001</v>
      </c>
      <c r="C13830" s="25">
        <v>367548</v>
      </c>
      <c r="D13830" s="22" t="s">
        <v>16002</v>
      </c>
      <c r="E13830" s="22" t="s">
        <v>59</v>
      </c>
      <c r="F13830" s="23" t="str">
        <f t="shared" si="729"/>
        <v>Выполнение работ по установке системы охранной сигнализациив ГБДОУ детский сад №39 Московского района Санкт-Петербурга в 2019 году</v>
      </c>
      <c r="G13830" s="22" t="s">
        <v>89</v>
      </c>
      <c r="H13830" s="22" t="s">
        <v>89</v>
      </c>
      <c r="I13830" s="26">
        <v>43522.431944444397</v>
      </c>
      <c r="J13830" s="23" t="str">
        <f>HYPERLINK("https://www.spark-marketing.ru/Card/Person/94345", "ООО ""СТРОЙСЕРВИСПРОЕКТ""")</f>
        <v>ООО "СТРОЙСЕРВИСПРОЕКТ"</v>
      </c>
      <c r="K13830" s="24" t="s">
        <v>1285</v>
      </c>
      <c r="L13830" s="28" t="s">
        <v>52</v>
      </c>
      <c r="M13830" s="25">
        <v>168017.24</v>
      </c>
      <c r="N13830" s="27">
        <v>0.54286993807611528</v>
      </c>
    </row>
    <row r="13831" spans="1:14" hidden="1" outlineLevel="1" x14ac:dyDescent="0.2">
      <c r="A13831" s="23" t="str">
        <f t="shared" si="728"/>
        <v>ГБДОУ ДЕТСКИЙ САД № 39 МОСКОВСКОГО РАЙОНА САНКТ-ПЕТЕРБУРГА</v>
      </c>
      <c r="B13831" s="24" t="s">
        <v>16001</v>
      </c>
      <c r="C13831" s="25">
        <v>367548</v>
      </c>
      <c r="D13831" s="22" t="s">
        <v>16002</v>
      </c>
      <c r="E13831" s="22" t="s">
        <v>59</v>
      </c>
      <c r="F13831" s="23" t="str">
        <f t="shared" si="729"/>
        <v>Выполнение работ по установке системы охранной сигнализациив ГБДОУ детский сад №39 Московского района Санкт-Петербурга в 2019 году</v>
      </c>
      <c r="G13831" s="22" t="s">
        <v>89</v>
      </c>
      <c r="H13831" s="22" t="s">
        <v>89</v>
      </c>
      <c r="I13831" s="26">
        <v>43522.431944444397</v>
      </c>
      <c r="J13831" s="23" t="str">
        <f>HYPERLINK("https://www.spark-marketing.ru/Card/Person/546131", "ООО ""ИНФОТЕХ""")</f>
        <v>ООО "ИНФОТЕХ"</v>
      </c>
      <c r="K13831" s="24" t="s">
        <v>16005</v>
      </c>
      <c r="L13831" s="28" t="s">
        <v>52</v>
      </c>
      <c r="M13831" s="25">
        <v>299551.62</v>
      </c>
      <c r="N13831" s="27">
        <v>0.185</v>
      </c>
    </row>
    <row r="13832" spans="1:14" hidden="1" outlineLevel="1" x14ac:dyDescent="0.2">
      <c r="A13832" s="23" t="str">
        <f t="shared" si="728"/>
        <v>ГБДОУ ДЕТСКИЙ САД № 39 МОСКОВСКОГО РАЙОНА САНКТ-ПЕТЕРБУРГА</v>
      </c>
      <c r="B13832" s="24" t="s">
        <v>16001</v>
      </c>
      <c r="C13832" s="25">
        <v>367548</v>
      </c>
      <c r="D13832" s="22" t="s">
        <v>16002</v>
      </c>
      <c r="E13832" s="22" t="s">
        <v>59</v>
      </c>
      <c r="F13832" s="23" t="str">
        <f t="shared" si="729"/>
        <v>Выполнение работ по установке системы охранной сигнализациив ГБДОУ детский сад №39 Московского района Санкт-Петербурга в 2019 году</v>
      </c>
      <c r="G13832" s="22" t="s">
        <v>89</v>
      </c>
      <c r="H13832" s="22" t="s">
        <v>89</v>
      </c>
      <c r="I13832" s="26">
        <v>43522.431944444397</v>
      </c>
      <c r="J13832" s="23" t="str">
        <f>HYPERLINK("https://www.spark-marketing.ru/Card/Person/6404725", "ООО ""ТОРГОВАЯ КОМПАНИЯ ГЕРМЕС""")</f>
        <v>ООО "ТОРГОВАЯ КОМПАНИЯ ГЕРМЕС"</v>
      </c>
      <c r="K13832" s="24" t="s">
        <v>16006</v>
      </c>
      <c r="L13832" s="28" t="s">
        <v>52</v>
      </c>
      <c r="M13832" s="25">
        <v>185709.61</v>
      </c>
      <c r="N13832" s="27">
        <v>0.49473372185401637</v>
      </c>
    </row>
    <row r="13833" spans="1:14" hidden="1" outlineLevel="1" x14ac:dyDescent="0.2">
      <c r="A13833" s="23" t="str">
        <f t="shared" si="728"/>
        <v>ГБДОУ ДЕТСКИЙ САД № 39 МОСКОВСКОГО РАЙОНА САНКТ-ПЕТЕРБУРГА</v>
      </c>
      <c r="B13833" s="24" t="s">
        <v>16001</v>
      </c>
      <c r="C13833" s="25">
        <v>367548</v>
      </c>
      <c r="D13833" s="22" t="s">
        <v>16002</v>
      </c>
      <c r="E13833" s="22" t="s">
        <v>59</v>
      </c>
      <c r="F13833" s="23" t="str">
        <f t="shared" si="729"/>
        <v>Выполнение работ по установке системы охранной сигнализациив ГБДОУ детский сад №39 Московского района Санкт-Петербурга в 2019 году</v>
      </c>
      <c r="G13833" s="22" t="s">
        <v>89</v>
      </c>
      <c r="H13833" s="22" t="s">
        <v>89</v>
      </c>
      <c r="I13833" s="26">
        <v>43522.431944444397</v>
      </c>
      <c r="J13833" s="23" t="str">
        <f>HYPERLINK("https://www.spark-marketing.ru/Card/Person/6344204", "ООО ""ПРОМТЭК""")</f>
        <v>ООО "ПРОМТЭК"</v>
      </c>
      <c r="K13833" s="24" t="s">
        <v>16007</v>
      </c>
      <c r="L13833" s="28" t="s">
        <v>52</v>
      </c>
      <c r="M13833" s="25">
        <v>143849.28</v>
      </c>
      <c r="N13833" s="27">
        <v>0.60862450618694697</v>
      </c>
    </row>
    <row r="13834" spans="1:14" x14ac:dyDescent="0.15">
      <c r="A13834" s="23" t="str">
        <f>HYPERLINK("https://www.spark-marketing.ru/Card/Person/1005354", "МБОУ ""ВЯЗОВСКАЯ СОШ""")</f>
        <v>МБОУ "ВЯЗОВСКАЯ СОШ"</v>
      </c>
      <c r="B13834" s="24" t="s">
        <v>16008</v>
      </c>
      <c r="C13834" s="25">
        <v>6100</v>
      </c>
      <c r="D13834" s="22" t="s">
        <v>16009</v>
      </c>
      <c r="E13834" s="22" t="s">
        <v>294</v>
      </c>
      <c r="F13834" s="23" t="str">
        <f>HYPERLINK("https://www.spark-marketing.ru/Card/Lot/68246841", "техническое обслуживание системы видеонаблюдения")</f>
        <v>техническое обслуживание системы видеонаблюдения</v>
      </c>
      <c r="G13834" s="22" t="s">
        <v>176</v>
      </c>
      <c r="H13834" s="22" t="s">
        <v>6394</v>
      </c>
      <c r="I13834" s="26">
        <v>43522.435416666704</v>
      </c>
      <c r="J13834" s="28" t="s">
        <v>52</v>
      </c>
      <c r="K13834" s="28" t="s">
        <v>52</v>
      </c>
      <c r="L13834" s="28" t="s">
        <v>52</v>
      </c>
      <c r="M13834" s="28" t="s">
        <v>52</v>
      </c>
      <c r="N13834" s="28" t="s">
        <v>52</v>
      </c>
    </row>
    <row r="13835" spans="1:14" x14ac:dyDescent="0.15">
      <c r="A13835" s="23" t="str">
        <f>HYPERLINK("https://www.spark-marketing.ru/Card/Person/9509", "ГБУЗ ""ОКБ № 3""")</f>
        <v>ГБУЗ "ОКБ № 3"</v>
      </c>
      <c r="B13835" s="24" t="s">
        <v>16010</v>
      </c>
      <c r="C13835" s="25">
        <v>307199.96999999997</v>
      </c>
      <c r="D13835" s="22" t="s">
        <v>16011</v>
      </c>
      <c r="E13835" s="22" t="s">
        <v>103</v>
      </c>
      <c r="F13835" s="23" t="str">
        <f>HYPERLINK("https://www.spark-marketing.ru/Card/Lot/68245297", "Оказание услуг по эксплуатационному обслуживанию технических средств охраны (ТСО, СКУД, СВН).")</f>
        <v>Оказание услуг по эксплуатационному обслуживанию технических средств охраны (ТСО, СКУД, СВН).</v>
      </c>
      <c r="G13835" s="22" t="s">
        <v>60</v>
      </c>
      <c r="H13835" s="22" t="s">
        <v>60</v>
      </c>
      <c r="I13835" s="26">
        <v>43522.413888888899</v>
      </c>
      <c r="J13835" s="28" t="s">
        <v>52</v>
      </c>
      <c r="K13835" s="28" t="s">
        <v>52</v>
      </c>
      <c r="L13835" s="28" t="s">
        <v>52</v>
      </c>
      <c r="M13835" s="28" t="s">
        <v>52</v>
      </c>
      <c r="N13835" s="28" t="s">
        <v>52</v>
      </c>
    </row>
    <row r="13836" spans="1:14" hidden="1" outlineLevel="1" x14ac:dyDescent="0.2">
      <c r="A13836" s="23" t="str">
        <f>HYPERLINK("https://www.spark-marketing.ru/Card/Person/9509", "ГБУЗ ""ОКБ № 3""")</f>
        <v>ГБУЗ "ОКБ № 3"</v>
      </c>
      <c r="B13836" s="24" t="s">
        <v>16010</v>
      </c>
      <c r="C13836" s="25">
        <v>307199.96999999997</v>
      </c>
      <c r="D13836" s="22" t="s">
        <v>16011</v>
      </c>
      <c r="E13836" s="22" t="s">
        <v>103</v>
      </c>
      <c r="F13836" s="23" t="str">
        <f>HYPERLINK("https://www.spark-marketing.ru/Card/Lot/68245297", "Оказание услуг по эксплуатационному обслуживанию технических средств охраны (ТСО, СКУД, СВН).")</f>
        <v>Оказание услуг по эксплуатационному обслуживанию технических средств охраны (ТСО, СКУД, СВН).</v>
      </c>
      <c r="G13836" s="22" t="s">
        <v>60</v>
      </c>
      <c r="H13836" s="22" t="s">
        <v>60</v>
      </c>
      <c r="I13836" s="26">
        <v>43522.413888888899</v>
      </c>
      <c r="J13836" s="23" t="str">
        <f>HYPERLINK("https://www.spark-marketing.ru/Card/Person/857206", "Никулин Дмитрий Евгеньевич")</f>
        <v>Никулин Дмитрий Евгеньевич</v>
      </c>
      <c r="K13836" s="24" t="s">
        <v>7779</v>
      </c>
      <c r="L13836" s="28" t="s">
        <v>52</v>
      </c>
      <c r="M13836" s="25">
        <v>122879.97</v>
      </c>
      <c r="N13836" s="27">
        <v>0.60000005859375571</v>
      </c>
    </row>
    <row r="13837" spans="1:14" hidden="1" outlineLevel="1" x14ac:dyDescent="0.2">
      <c r="A13837" s="23" t="str">
        <f>HYPERLINK("https://www.spark-marketing.ru/Card/Person/9509", "ГБУЗ ""ОКБ № 3""")</f>
        <v>ГБУЗ "ОКБ № 3"</v>
      </c>
      <c r="B13837" s="24" t="s">
        <v>16010</v>
      </c>
      <c r="C13837" s="25">
        <v>307199.96999999997</v>
      </c>
      <c r="D13837" s="22" t="s">
        <v>16011</v>
      </c>
      <c r="E13837" s="22" t="s">
        <v>103</v>
      </c>
      <c r="F13837" s="23" t="str">
        <f>HYPERLINK("https://www.spark-marketing.ru/Card/Lot/68245297", "Оказание услуг по эксплуатационному обслуживанию технических средств охраны (ТСО, СКУД, СВН).")</f>
        <v>Оказание услуг по эксплуатационному обслуживанию технических средств охраны (ТСО, СКУД, СВН).</v>
      </c>
      <c r="G13837" s="22" t="s">
        <v>60</v>
      </c>
      <c r="H13837" s="22" t="s">
        <v>60</v>
      </c>
      <c r="I13837" s="26">
        <v>43522.413888888899</v>
      </c>
      <c r="J13837" s="23" t="str">
        <f>HYPERLINK("https://www.spark-marketing.ru/Card/Person/4355868", "АО ""АЛИАС""")</f>
        <v>АО "АЛИАС"</v>
      </c>
      <c r="K13837" s="24" t="s">
        <v>16012</v>
      </c>
      <c r="L13837" s="28" t="s">
        <v>52</v>
      </c>
      <c r="M13837" s="25">
        <v>304127.96999999997</v>
      </c>
      <c r="N13837" s="27">
        <v>1.0000000976562595E-2</v>
      </c>
    </row>
    <row r="13838" spans="1:14" ht="12.75" hidden="1" outlineLevel="1" x14ac:dyDescent="0.2">
      <c r="A13838" s="23" t="str">
        <f>HYPERLINK("https://www.spark-marketing.ru/Card/Person/9509", "ГБУЗ ""ОКБ № 3""")</f>
        <v>ГБУЗ "ОКБ № 3"</v>
      </c>
      <c r="B13838" s="24" t="s">
        <v>16010</v>
      </c>
      <c r="C13838" s="25">
        <v>307199.96999999997</v>
      </c>
      <c r="D13838" s="22" t="s">
        <v>16011</v>
      </c>
      <c r="E13838" s="22" t="s">
        <v>103</v>
      </c>
      <c r="F13838" s="23" t="str">
        <f>HYPERLINK("https://www.spark-marketing.ru/Card/Lot/68245297", "Оказание услуг по эксплуатационному обслуживанию технических средств охраны (ТСО, СКУД, СВН).")</f>
        <v>Оказание услуг по эксплуатационному обслуживанию технических средств охраны (ТСО, СКУД, СВН).</v>
      </c>
      <c r="G13838" s="22" t="s">
        <v>60</v>
      </c>
      <c r="H13838" s="22" t="s">
        <v>60</v>
      </c>
      <c r="I13838" s="26">
        <v>43522.413888888899</v>
      </c>
      <c r="J13838" s="23" t="str">
        <f>HYPERLINK("https://www.spark-marketing.ru/Card/Person/46472", "ООО ""БТБ""")</f>
        <v>ООО "БТБ"</v>
      </c>
      <c r="K13838" s="24" t="s">
        <v>13718</v>
      </c>
      <c r="L13838" s="22" t="s">
        <v>10</v>
      </c>
      <c r="M13838" s="25">
        <v>121343.97</v>
      </c>
      <c r="N13838" s="27">
        <v>0.60500005908203702</v>
      </c>
    </row>
    <row r="13839" spans="1:14" x14ac:dyDescent="0.15">
      <c r="A13839" s="23" t="str">
        <f>HYPERLINK("https://www.spark-marketing.ru/Card/Person/1761560", "АОУ ШКОЛА № 6")</f>
        <v>АОУ ШКОЛА № 6</v>
      </c>
      <c r="B13839" s="24" t="s">
        <v>16013</v>
      </c>
      <c r="C13839" s="25">
        <v>18147.599999999999</v>
      </c>
      <c r="D13839" s="22" t="s">
        <v>16014</v>
      </c>
      <c r="E13839" s="22" t="s">
        <v>107</v>
      </c>
      <c r="F13839" s="23" t="str">
        <f>HYPERLINK("https://www.spark-marketing.ru/Card/Lot/68538975", "Услуги по техническому обслуживанию (содержанию) систем охранной (противовзломной) сигнализации (КТС)")</f>
        <v>Услуги по техническому обслуживанию (содержанию) систем охранной (противовзломной) сигнализации (КТС)</v>
      </c>
      <c r="G13839" s="22" t="s">
        <v>50</v>
      </c>
      <c r="H13839" s="22" t="s">
        <v>3866</v>
      </c>
      <c r="I13839" s="26">
        <v>43522.377488425896</v>
      </c>
      <c r="J13839" s="28" t="s">
        <v>52</v>
      </c>
      <c r="K13839" s="28" t="s">
        <v>52</v>
      </c>
      <c r="L13839" s="28" t="s">
        <v>52</v>
      </c>
      <c r="M13839" s="28" t="s">
        <v>52</v>
      </c>
      <c r="N13839" s="28" t="s">
        <v>52</v>
      </c>
    </row>
    <row r="13840" spans="1:14" x14ac:dyDescent="0.15">
      <c r="A13840" s="23" t="str">
        <f>HYPERLINK("https://www.spark-marketing.ru/Card/Person/303107", "ОБУЗ ЛЕЖНЕВСКАЯ ЦРБ")</f>
        <v>ОБУЗ ЛЕЖНЕВСКАЯ ЦРБ</v>
      </c>
      <c r="B13840" s="24" t="s">
        <v>16015</v>
      </c>
      <c r="C13840" s="25">
        <v>150000</v>
      </c>
      <c r="D13840" s="22" t="s">
        <v>16016</v>
      </c>
      <c r="E13840" s="22" t="s">
        <v>52</v>
      </c>
      <c r="F13840" s="23" t="str">
        <f>HYPERLINK("https://www.spark-marketing.ru/Card/Lot/68249206", "Оказание услуг по охране объектов, подключенных на пульт централизованного наблюдения")</f>
        <v>Оказание услуг по охране объектов, подключенных на пульт централизованного наблюдения</v>
      </c>
      <c r="G13840" s="22" t="s">
        <v>340</v>
      </c>
      <c r="H13840" s="22" t="s">
        <v>16017</v>
      </c>
      <c r="I13840" s="26">
        <v>43522.3659722222</v>
      </c>
      <c r="J13840" s="28" t="s">
        <v>52</v>
      </c>
      <c r="K13840" s="28" t="s">
        <v>52</v>
      </c>
      <c r="L13840" s="28" t="s">
        <v>52</v>
      </c>
      <c r="M13840" s="28" t="s">
        <v>52</v>
      </c>
      <c r="N13840" s="28" t="s">
        <v>52</v>
      </c>
    </row>
    <row r="13841" spans="1:14" hidden="1" outlineLevel="1" x14ac:dyDescent="0.2">
      <c r="A13841" s="23" t="str">
        <f>HYPERLINK("https://www.spark-marketing.ru/Card/Person/303107", "ОБУЗ ЛЕЖНЕВСКАЯ ЦРБ")</f>
        <v>ОБУЗ ЛЕЖНЕВСКАЯ ЦРБ</v>
      </c>
      <c r="B13841" s="24" t="s">
        <v>16015</v>
      </c>
      <c r="C13841" s="25">
        <v>150000</v>
      </c>
      <c r="D13841" s="22" t="s">
        <v>16016</v>
      </c>
      <c r="E13841" s="22" t="s">
        <v>52</v>
      </c>
      <c r="F13841" s="23" t="str">
        <f>HYPERLINK("https://www.spark-marketing.ru/Card/Lot/68249206", "Оказание услуг по охране объектов, подключенных на пульт централизованного наблюдения")</f>
        <v>Оказание услуг по охране объектов, подключенных на пульт централизованного наблюдения</v>
      </c>
      <c r="G13841" s="22" t="s">
        <v>340</v>
      </c>
      <c r="H13841" s="22" t="s">
        <v>16017</v>
      </c>
      <c r="I13841" s="26">
        <v>43522.3659722222</v>
      </c>
      <c r="J13841" s="23" t="str">
        <f>HYPERLINK("https://www.spark-marketing.ru/Card/Person/587084", "ООО ""ОП ""ВУЛКАН-2""")</f>
        <v>ООО "ОП "ВУЛКАН-2"</v>
      </c>
      <c r="K13841" s="24" t="s">
        <v>16018</v>
      </c>
      <c r="L13841" s="28" t="s">
        <v>52</v>
      </c>
      <c r="M13841" s="25">
        <v>150000</v>
      </c>
      <c r="N13841" s="27">
        <v>0</v>
      </c>
    </row>
    <row r="13842" spans="1:14" ht="12.75" hidden="1" outlineLevel="1" x14ac:dyDescent="0.2">
      <c r="A13842" s="23" t="str">
        <f>HYPERLINK("https://www.spark-marketing.ru/Card/Person/303107", "ОБУЗ ЛЕЖНЕВСКАЯ ЦРБ")</f>
        <v>ОБУЗ ЛЕЖНЕВСКАЯ ЦРБ</v>
      </c>
      <c r="B13842" s="24" t="s">
        <v>16015</v>
      </c>
      <c r="C13842" s="25">
        <v>150000</v>
      </c>
      <c r="D13842" s="22" t="s">
        <v>16016</v>
      </c>
      <c r="E13842" s="22" t="s">
        <v>52</v>
      </c>
      <c r="F13842" s="23" t="str">
        <f>HYPERLINK("https://www.spark-marketing.ru/Card/Lot/68249206", "Оказание услуг по охране объектов, подключенных на пульт централизованного наблюдения")</f>
        <v>Оказание услуг по охране объектов, подключенных на пульт централизованного наблюдения</v>
      </c>
      <c r="G13842" s="22" t="s">
        <v>340</v>
      </c>
      <c r="H13842" s="22" t="s">
        <v>16017</v>
      </c>
      <c r="I13842" s="26">
        <v>43522.3659722222</v>
      </c>
      <c r="J13842" s="23" t="str">
        <f>HYPERLINK("https://www.spark-marketing.ru/Card/Person/579882", "ООО ""ОП ""АСТРА-1""")</f>
        <v>ООО "ОП "АСТРА-1"</v>
      </c>
      <c r="K13842" s="24" t="s">
        <v>16019</v>
      </c>
      <c r="L13842" s="22" t="s">
        <v>10</v>
      </c>
      <c r="M13842" s="25">
        <v>149400</v>
      </c>
      <c r="N13842" s="27">
        <v>4.0000000000000001E-3</v>
      </c>
    </row>
    <row r="13843" spans="1:14" x14ac:dyDescent="0.15">
      <c r="A13843" s="23" t="str">
        <f>HYPERLINK("https://www.spark-marketing.ru/Card/Person/113777", "МБОУ СОШ № 16")</f>
        <v>МБОУ СОШ № 16</v>
      </c>
      <c r="B13843" s="24" t="s">
        <v>16020</v>
      </c>
      <c r="C13843" s="25">
        <v>144500</v>
      </c>
      <c r="D13843" s="22" t="s">
        <v>16021</v>
      </c>
      <c r="E13843" s="22" t="s">
        <v>16022</v>
      </c>
      <c r="F13843" s="23" t="str">
        <f>HYPERLINK("https://www.spark-marketing.ru/Card/Lot/68537247", "Оказание услуг по установке камер системы видеонаблюдения в ППЭ МБОУ СОШ №16")</f>
        <v>Оказание услуг по установке камер системы видеонаблюдения в ППЭ МБОУ СОШ №16</v>
      </c>
      <c r="G13843" s="22" t="s">
        <v>50</v>
      </c>
      <c r="H13843" s="22" t="s">
        <v>5744</v>
      </c>
      <c r="I13843" s="26">
        <v>43522.210856481499</v>
      </c>
      <c r="J13843" s="28" t="s">
        <v>52</v>
      </c>
      <c r="K13843" s="28" t="s">
        <v>52</v>
      </c>
      <c r="L13843" s="28" t="s">
        <v>52</v>
      </c>
      <c r="M13843" s="28" t="s">
        <v>52</v>
      </c>
      <c r="N13843" s="28" t="s">
        <v>52</v>
      </c>
    </row>
    <row r="13844" spans="1:14" x14ac:dyDescent="0.15">
      <c r="A13844" s="23" t="str">
        <f t="shared" ref="A13844:A13849" si="730">HYPERLINK("https://www.spark-marketing.ru/Card/Person/6450322", "ЗАКАЗЧИК РП БЕЛАРУСЬ")</f>
        <v>ЗАКАЗЧИК РП БЕЛАРУСЬ</v>
      </c>
      <c r="B13844" s="28" t="s">
        <v>52</v>
      </c>
      <c r="C13844" s="25">
        <v>10694.565000000001</v>
      </c>
      <c r="D13844" s="22" t="s">
        <v>16023</v>
      </c>
      <c r="E13844" s="22" t="s">
        <v>53</v>
      </c>
      <c r="F13844" s="23" t="str">
        <f>HYPERLINK("https://www.spark-marketing.ru/Card/Lot/68270535", "Прибор приемно-контрольный")</f>
        <v>Прибор приемно-контрольный</v>
      </c>
      <c r="G13844" s="22" t="s">
        <v>52</v>
      </c>
      <c r="H13844" s="22" t="s">
        <v>52</v>
      </c>
      <c r="I13844" s="26">
        <v>43522</v>
      </c>
      <c r="J13844" s="28" t="s">
        <v>52</v>
      </c>
      <c r="K13844" s="28" t="s">
        <v>52</v>
      </c>
      <c r="L13844" s="28" t="s">
        <v>52</v>
      </c>
      <c r="M13844" s="28" t="s">
        <v>52</v>
      </c>
      <c r="N13844" s="28" t="s">
        <v>52</v>
      </c>
    </row>
    <row r="13845" spans="1:14" x14ac:dyDescent="0.15">
      <c r="A13845" s="23" t="str">
        <f t="shared" si="730"/>
        <v>ЗАКАЗЧИК РП БЕЛАРУСЬ</v>
      </c>
      <c r="B13845" s="28" t="s">
        <v>52</v>
      </c>
      <c r="C13845" s="28" t="s">
        <v>52</v>
      </c>
      <c r="D13845" s="22" t="s">
        <v>16023</v>
      </c>
      <c r="E13845" s="22" t="s">
        <v>53</v>
      </c>
      <c r="F13845" s="23" t="str">
        <f>HYPERLINK("https://www.spark-marketing.ru/Card/Lot/68270533", "Ключ электронный")</f>
        <v>Ключ электронный</v>
      </c>
      <c r="G13845" s="22" t="s">
        <v>52</v>
      </c>
      <c r="H13845" s="22" t="s">
        <v>52</v>
      </c>
      <c r="I13845" s="26">
        <v>43522</v>
      </c>
      <c r="J13845" s="28" t="s">
        <v>52</v>
      </c>
      <c r="K13845" s="28" t="s">
        <v>52</v>
      </c>
      <c r="L13845" s="28" t="s">
        <v>52</v>
      </c>
      <c r="M13845" s="28" t="s">
        <v>52</v>
      </c>
      <c r="N13845" s="28" t="s">
        <v>52</v>
      </c>
    </row>
    <row r="13846" spans="1:14" x14ac:dyDescent="0.15">
      <c r="A13846" s="23" t="str">
        <f t="shared" si="730"/>
        <v>ЗАКАЗЧИК РП БЕЛАРУСЬ</v>
      </c>
      <c r="B13846" s="28" t="s">
        <v>52</v>
      </c>
      <c r="C13846" s="28" t="s">
        <v>52</v>
      </c>
      <c r="D13846" s="22" t="s">
        <v>16023</v>
      </c>
      <c r="E13846" s="22" t="s">
        <v>53</v>
      </c>
      <c r="F13846" s="23" t="str">
        <f>HYPERLINK("https://www.spark-marketing.ru/Card/Lot/68270534", "Тревожная кнопка")</f>
        <v>Тревожная кнопка</v>
      </c>
      <c r="G13846" s="22" t="s">
        <v>52</v>
      </c>
      <c r="H13846" s="22" t="s">
        <v>52</v>
      </c>
      <c r="I13846" s="26">
        <v>43522</v>
      </c>
      <c r="J13846" s="28" t="s">
        <v>52</v>
      </c>
      <c r="K13846" s="28" t="s">
        <v>52</v>
      </c>
      <c r="L13846" s="28" t="s">
        <v>52</v>
      </c>
      <c r="M13846" s="28" t="s">
        <v>52</v>
      </c>
      <c r="N13846" s="28" t="s">
        <v>52</v>
      </c>
    </row>
    <row r="13847" spans="1:14" x14ac:dyDescent="0.15">
      <c r="A13847" s="23" t="str">
        <f t="shared" si="730"/>
        <v>ЗАКАЗЧИК РП БЕЛАРУСЬ</v>
      </c>
      <c r="B13847" s="28" t="s">
        <v>52</v>
      </c>
      <c r="C13847" s="25">
        <v>25666.955999999998</v>
      </c>
      <c r="D13847" s="22" t="s">
        <v>16023</v>
      </c>
      <c r="E13847" s="22" t="s">
        <v>53</v>
      </c>
      <c r="F13847" s="23" t="str">
        <f>HYPERLINK("https://www.spark-marketing.ru/Card/Lot/68270532", "Устройство доступа")</f>
        <v>Устройство доступа</v>
      </c>
      <c r="G13847" s="22" t="s">
        <v>52</v>
      </c>
      <c r="H13847" s="22" t="s">
        <v>52</v>
      </c>
      <c r="I13847" s="26">
        <v>43522</v>
      </c>
      <c r="J13847" s="28" t="s">
        <v>52</v>
      </c>
      <c r="K13847" s="28" t="s">
        <v>52</v>
      </c>
      <c r="L13847" s="28" t="s">
        <v>52</v>
      </c>
      <c r="M13847" s="28" t="s">
        <v>52</v>
      </c>
      <c r="N13847" s="28" t="s">
        <v>52</v>
      </c>
    </row>
    <row r="13848" spans="1:14" x14ac:dyDescent="0.15">
      <c r="A13848" s="23" t="str">
        <f t="shared" si="730"/>
        <v>ЗАКАЗЧИК РП БЕЛАРУСЬ</v>
      </c>
      <c r="B13848" s="28" t="s">
        <v>52</v>
      </c>
      <c r="C13848" s="25">
        <v>70584.129000000001</v>
      </c>
      <c r="D13848" s="22" t="s">
        <v>16023</v>
      </c>
      <c r="E13848" s="22" t="s">
        <v>53</v>
      </c>
      <c r="F13848" s="23" t="str">
        <f>HYPERLINK("https://www.spark-marketing.ru/Card/Lot/68270531", "Устройство радиоприемное")</f>
        <v>Устройство радиоприемное</v>
      </c>
      <c r="G13848" s="22" t="s">
        <v>52</v>
      </c>
      <c r="H13848" s="22" t="s">
        <v>52</v>
      </c>
      <c r="I13848" s="26">
        <v>43522</v>
      </c>
      <c r="J13848" s="28" t="s">
        <v>52</v>
      </c>
      <c r="K13848" s="28" t="s">
        <v>52</v>
      </c>
      <c r="L13848" s="28" t="s">
        <v>52</v>
      </c>
      <c r="M13848" s="28" t="s">
        <v>52</v>
      </c>
      <c r="N13848" s="28" t="s">
        <v>52</v>
      </c>
    </row>
    <row r="13849" spans="1:14" x14ac:dyDescent="0.15">
      <c r="A13849" s="23" t="str">
        <f t="shared" si="730"/>
        <v>ЗАКАЗЧИК РП БЕЛАРУСЬ</v>
      </c>
      <c r="B13849" s="28" t="s">
        <v>52</v>
      </c>
      <c r="C13849" s="25">
        <v>2444.4720000000002</v>
      </c>
      <c r="D13849" s="22" t="s">
        <v>16023</v>
      </c>
      <c r="E13849" s="22" t="s">
        <v>53</v>
      </c>
      <c r="F13849" s="23" t="str">
        <f>HYPERLINK("https://www.spark-marketing.ru/Card/Lot/68270536", "Блок бесперебойного питания")</f>
        <v>Блок бесперебойного питания</v>
      </c>
      <c r="G13849" s="22" t="s">
        <v>52</v>
      </c>
      <c r="H13849" s="22" t="s">
        <v>52</v>
      </c>
      <c r="I13849" s="26">
        <v>43522</v>
      </c>
      <c r="J13849" s="28" t="s">
        <v>52</v>
      </c>
      <c r="K13849" s="28" t="s">
        <v>52</v>
      </c>
      <c r="L13849" s="28" t="s">
        <v>52</v>
      </c>
      <c r="M13849" s="28" t="s">
        <v>52</v>
      </c>
      <c r="N13849" s="28" t="s">
        <v>52</v>
      </c>
    </row>
    <row r="13850" spans="1:14" x14ac:dyDescent="0.15">
      <c r="A13850" s="23" t="str">
        <f>HYPERLINK("https://www.spark-marketing.ru/Card/Person/766032", "Филиал АО ""АЭМ-технологии"" ""Петрозаводскмаш"" в г.Петрозаводск")</f>
        <v>Филиал АО "АЭМ-технологии" "Петрозаводскмаш" в г.Петрозаводск</v>
      </c>
      <c r="B13850" s="24" t="s">
        <v>15865</v>
      </c>
      <c r="C13850" s="25">
        <v>276204702.95999998</v>
      </c>
      <c r="D13850" s="22" t="s">
        <v>16024</v>
      </c>
      <c r="E13850" s="22" t="s">
        <v>53</v>
      </c>
      <c r="F13850" s="23" t="str">
        <f>HYPERLINK("https://www.spark-marketing.ru/Card/Lot/68280455", "Право заключения договора на оказание охранных услуг")</f>
        <v>Право заключения договора на оказание охранных услуг</v>
      </c>
      <c r="G13850" s="22" t="s">
        <v>89</v>
      </c>
      <c r="H13850" s="22" t="s">
        <v>89</v>
      </c>
      <c r="I13850" s="26">
        <v>43522</v>
      </c>
      <c r="J13850" s="28" t="s">
        <v>52</v>
      </c>
      <c r="K13850" s="28" t="s">
        <v>52</v>
      </c>
      <c r="L13850" s="28" t="s">
        <v>52</v>
      </c>
      <c r="M13850" s="28" t="s">
        <v>52</v>
      </c>
      <c r="N13850" s="28" t="s">
        <v>52</v>
      </c>
    </row>
    <row r="13851" spans="1:14" x14ac:dyDescent="0.15">
      <c r="A13851" s="23" t="str">
        <f>HYPERLINK("https://www.spark-marketing.ru/Card/Person/6450322", "ЗАКАЗЧИК РП БЕЛАРУСЬ")</f>
        <v>ЗАКАЗЧИК РП БЕЛАРУСЬ</v>
      </c>
      <c r="B13851" s="28" t="s">
        <v>52</v>
      </c>
      <c r="C13851" s="25">
        <v>352920.64500000002</v>
      </c>
      <c r="D13851" s="22" t="s">
        <v>16023</v>
      </c>
      <c r="E13851" s="22" t="s">
        <v>53</v>
      </c>
      <c r="F13851" s="23" t="str">
        <f>HYPERLINK("https://www.spark-marketing.ru/Card/Lot/68270530", "Прибор приемно-контрольный")</f>
        <v>Прибор приемно-контрольный</v>
      </c>
      <c r="G13851" s="22" t="s">
        <v>52</v>
      </c>
      <c r="H13851" s="22" t="s">
        <v>52</v>
      </c>
      <c r="I13851" s="26">
        <v>43522</v>
      </c>
      <c r="J13851" s="28" t="s">
        <v>52</v>
      </c>
      <c r="K13851" s="28" t="s">
        <v>52</v>
      </c>
      <c r="L13851" s="28" t="s">
        <v>52</v>
      </c>
      <c r="M13851" s="28" t="s">
        <v>52</v>
      </c>
      <c r="N13851" s="28" t="s">
        <v>52</v>
      </c>
    </row>
    <row r="13852" spans="1:14" x14ac:dyDescent="0.15">
      <c r="A13852" s="23" t="str">
        <f>HYPERLINK("https://www.spark-marketing.ru/Card/Person/4547", "ПУ ФСБ РОССИИ ПО ОМСКОЙ ОБЛАСТИ")</f>
        <v>ПУ ФСБ РОССИИ ПО ОМСКОЙ ОБЛАСТИ</v>
      </c>
      <c r="B13852" s="24" t="s">
        <v>16025</v>
      </c>
      <c r="C13852" s="25">
        <v>436170</v>
      </c>
      <c r="D13852" s="22" t="s">
        <v>16026</v>
      </c>
      <c r="E13852" s="22" t="s">
        <v>16027</v>
      </c>
      <c r="F13852" s="23" t="str">
        <f>HYPERLINK("https://www.spark-marketing.ru/Card/Lot/68233805", "Закупка ЗИП к комплексам инженерно-технических средств охраны и защиты объектов Управления")</f>
        <v>Закупка ЗИП к комплексам инженерно-технических средств охраны и защиты объектов Управления</v>
      </c>
      <c r="G13852" s="22" t="s">
        <v>521</v>
      </c>
      <c r="H13852" s="22" t="s">
        <v>522</v>
      </c>
      <c r="I13852" s="26">
        <v>43521.8215277778</v>
      </c>
      <c r="J13852" s="28" t="s">
        <v>52</v>
      </c>
      <c r="K13852" s="28" t="s">
        <v>52</v>
      </c>
      <c r="L13852" s="28" t="s">
        <v>52</v>
      </c>
      <c r="M13852" s="28" t="s">
        <v>52</v>
      </c>
      <c r="N13852" s="28" t="s">
        <v>52</v>
      </c>
    </row>
    <row r="13853" spans="1:14" x14ac:dyDescent="0.15">
      <c r="A13853" s="23" t="str">
        <f t="shared" ref="A13853:A13868" si="731">HYPERLINK("https://www.spark-marketing.ru/Card/Person/16317", "ФГБОУ ВО ""МГТУ"", МГТУ, МАЙКОПСКИЙ ГОСУДАРСТВЕННЫЙ ТЕХНОЛОГИЧЕСКИЙ УНИВЕРСИТЕТ")</f>
        <v>ФГБОУ ВО "МГТУ", МГТУ, МАЙКОПСКИЙ ГОСУДАРСТВЕННЫЙ ТЕХНОЛОГИЧЕСКИЙ УНИВЕРСИТЕТ</v>
      </c>
      <c r="B13853" s="24" t="s">
        <v>1545</v>
      </c>
      <c r="C13853" s="25">
        <v>451910.9</v>
      </c>
      <c r="D13853" s="22" t="s">
        <v>16028</v>
      </c>
      <c r="E13853" s="22" t="s">
        <v>49</v>
      </c>
      <c r="F13853" s="23" t="str">
        <f t="shared" ref="F13853:F13860" si="732">HYPERLINK("https://www.spark-marketing.ru/Card/Lot/68237613", "Выполнение работ по установке системы видеонаблюдения на объекте ФГБОУ ВО «МГТУ»")</f>
        <v>Выполнение работ по установке системы видеонаблюдения на объекте ФГБОУ ВО «МГТУ»</v>
      </c>
      <c r="G13853" s="22" t="s">
        <v>1547</v>
      </c>
      <c r="H13853" s="22" t="s">
        <v>1547</v>
      </c>
      <c r="I13853" s="26">
        <v>43521.771284722199</v>
      </c>
      <c r="J13853" s="28" t="s">
        <v>52</v>
      </c>
      <c r="K13853" s="28" t="s">
        <v>52</v>
      </c>
      <c r="L13853" s="28" t="s">
        <v>52</v>
      </c>
      <c r="M13853" s="28" t="s">
        <v>52</v>
      </c>
      <c r="N13853" s="28" t="s">
        <v>52</v>
      </c>
    </row>
    <row r="13854" spans="1:14" hidden="1" outlineLevel="1" x14ac:dyDescent="0.15">
      <c r="A13854" s="23" t="str">
        <f t="shared" si="731"/>
        <v>ФГБОУ ВО "МГТУ", МГТУ, МАЙКОПСКИЙ ГОСУДАРСТВЕННЫЙ ТЕХНОЛОГИЧЕСКИЙ УНИВЕРСИТЕТ</v>
      </c>
      <c r="B13854" s="24" t="s">
        <v>1545</v>
      </c>
      <c r="C13854" s="28" t="s">
        <v>52</v>
      </c>
      <c r="D13854" s="22" t="s">
        <v>16028</v>
      </c>
      <c r="E13854" s="22" t="s">
        <v>49</v>
      </c>
      <c r="F13854" s="23" t="str">
        <f t="shared" si="732"/>
        <v>Выполнение работ по установке системы видеонаблюдения на объекте ФГБОУ ВО «МГТУ»</v>
      </c>
      <c r="G13854" s="22" t="s">
        <v>1547</v>
      </c>
      <c r="H13854" s="22" t="s">
        <v>1547</v>
      </c>
      <c r="I13854" s="26">
        <v>43521.771284722199</v>
      </c>
      <c r="J13854" s="23" t="str">
        <f>HYPERLINK("https://www.spark-marketing.ru/Card/Person/152934", "ООО ""СП-ХОЛДИНГ""")</f>
        <v>ООО "СП-ХОЛДИНГ"</v>
      </c>
      <c r="K13854" s="24" t="s">
        <v>10686</v>
      </c>
      <c r="L13854" s="28" t="s">
        <v>52</v>
      </c>
      <c r="M13854" s="28" t="s">
        <v>52</v>
      </c>
      <c r="N13854" s="28" t="s">
        <v>52</v>
      </c>
    </row>
    <row r="13855" spans="1:14" hidden="1" outlineLevel="1" x14ac:dyDescent="0.15">
      <c r="A13855" s="23" t="str">
        <f t="shared" si="731"/>
        <v>ФГБОУ ВО "МГТУ", МГТУ, МАЙКОПСКИЙ ГОСУДАРСТВЕННЫЙ ТЕХНОЛОГИЧЕСКИЙ УНИВЕРСИТЕТ</v>
      </c>
      <c r="B13855" s="24" t="s">
        <v>1545</v>
      </c>
      <c r="C13855" s="28" t="s">
        <v>52</v>
      </c>
      <c r="D13855" s="22" t="s">
        <v>16028</v>
      </c>
      <c r="E13855" s="22" t="s">
        <v>49</v>
      </c>
      <c r="F13855" s="23" t="str">
        <f t="shared" si="732"/>
        <v>Выполнение работ по установке системы видеонаблюдения на объекте ФГБОУ ВО «МГТУ»</v>
      </c>
      <c r="G13855" s="22" t="s">
        <v>1547</v>
      </c>
      <c r="H13855" s="22" t="s">
        <v>1547</v>
      </c>
      <c r="I13855" s="26">
        <v>43521.771284722199</v>
      </c>
      <c r="J13855" s="23" t="str">
        <f>HYPERLINK("https://www.spark-marketing.ru/Card/Person/509131", "ООО ""СПЕКТР ЭЛЕКТРОНИКА""")</f>
        <v>ООО "СПЕКТР ЭЛЕКТРОНИКА"</v>
      </c>
      <c r="K13855" s="24" t="s">
        <v>13597</v>
      </c>
      <c r="L13855" s="28" t="s">
        <v>52</v>
      </c>
      <c r="M13855" s="28" t="s">
        <v>52</v>
      </c>
      <c r="N13855" s="28" t="s">
        <v>52</v>
      </c>
    </row>
    <row r="13856" spans="1:14" hidden="1" outlineLevel="1" x14ac:dyDescent="0.15">
      <c r="A13856" s="23" t="str">
        <f t="shared" si="731"/>
        <v>ФГБОУ ВО "МГТУ", МГТУ, МАЙКОПСКИЙ ГОСУДАРСТВЕННЫЙ ТЕХНОЛОГИЧЕСКИЙ УНИВЕРСИТЕТ</v>
      </c>
      <c r="B13856" s="24" t="s">
        <v>1545</v>
      </c>
      <c r="C13856" s="28" t="s">
        <v>52</v>
      </c>
      <c r="D13856" s="22" t="s">
        <v>16028</v>
      </c>
      <c r="E13856" s="22" t="s">
        <v>49</v>
      </c>
      <c r="F13856" s="23" t="str">
        <f t="shared" si="732"/>
        <v>Выполнение работ по установке системы видеонаблюдения на объекте ФГБОУ ВО «МГТУ»</v>
      </c>
      <c r="G13856" s="22" t="s">
        <v>1547</v>
      </c>
      <c r="H13856" s="22" t="s">
        <v>1547</v>
      </c>
      <c r="I13856" s="26">
        <v>43521.771284722199</v>
      </c>
      <c r="J13856" s="23" t="str">
        <f>HYPERLINK("https://www.spark-marketing.ru/Card/Person/6380488", "ООО ""СПМ - 01""")</f>
        <v>ООО "СПМ - 01"</v>
      </c>
      <c r="K13856" s="24" t="s">
        <v>16029</v>
      </c>
      <c r="L13856" s="28" t="s">
        <v>52</v>
      </c>
      <c r="M13856" s="28" t="s">
        <v>52</v>
      </c>
      <c r="N13856" s="28" t="s">
        <v>52</v>
      </c>
    </row>
    <row r="13857" spans="1:14" hidden="1" outlineLevel="1" x14ac:dyDescent="0.15">
      <c r="A13857" s="23" t="str">
        <f t="shared" si="731"/>
        <v>ФГБОУ ВО "МГТУ", МГТУ, МАЙКОПСКИЙ ГОСУДАРСТВЕННЫЙ ТЕХНОЛОГИЧЕСКИЙ УНИВЕРСИТЕТ</v>
      </c>
      <c r="B13857" s="24" t="s">
        <v>1545</v>
      </c>
      <c r="C13857" s="28" t="s">
        <v>52</v>
      </c>
      <c r="D13857" s="22" t="s">
        <v>16028</v>
      </c>
      <c r="E13857" s="22" t="s">
        <v>49</v>
      </c>
      <c r="F13857" s="23" t="str">
        <f t="shared" si="732"/>
        <v>Выполнение работ по установке системы видеонаблюдения на объекте ФГБОУ ВО «МГТУ»</v>
      </c>
      <c r="G13857" s="22" t="s">
        <v>1547</v>
      </c>
      <c r="H13857" s="22" t="s">
        <v>1547</v>
      </c>
      <c r="I13857" s="26">
        <v>43521.771284722199</v>
      </c>
      <c r="J13857" s="23" t="str">
        <f>HYPERLINK("https://www.spark-marketing.ru/Card/Person/6231424", "ООО ""ПРЕСТИЖ""")</f>
        <v>ООО "ПРЕСТИЖ"</v>
      </c>
      <c r="K13857" s="24" t="s">
        <v>16030</v>
      </c>
      <c r="L13857" s="28" t="s">
        <v>52</v>
      </c>
      <c r="M13857" s="28" t="s">
        <v>52</v>
      </c>
      <c r="N13857" s="28" t="s">
        <v>52</v>
      </c>
    </row>
    <row r="13858" spans="1:14" hidden="1" outlineLevel="1" x14ac:dyDescent="0.15">
      <c r="A13858" s="23" t="str">
        <f t="shared" si="731"/>
        <v>ФГБОУ ВО "МГТУ", МГТУ, МАЙКОПСКИЙ ГОСУДАРСТВЕННЫЙ ТЕХНОЛОГИЧЕСКИЙ УНИВЕРСИТЕТ</v>
      </c>
      <c r="B13858" s="24" t="s">
        <v>1545</v>
      </c>
      <c r="C13858" s="28" t="s">
        <v>52</v>
      </c>
      <c r="D13858" s="22" t="s">
        <v>16028</v>
      </c>
      <c r="E13858" s="22" t="s">
        <v>49</v>
      </c>
      <c r="F13858" s="23" t="str">
        <f t="shared" si="732"/>
        <v>Выполнение работ по установке системы видеонаблюдения на объекте ФГБОУ ВО «МГТУ»</v>
      </c>
      <c r="G13858" s="22" t="s">
        <v>1547</v>
      </c>
      <c r="H13858" s="22" t="s">
        <v>1547</v>
      </c>
      <c r="I13858" s="26">
        <v>43521.771284722199</v>
      </c>
      <c r="J13858" s="23" t="str">
        <f>HYPERLINK("https://www.spark-marketing.ru/Card/Person/47132", "ООО""СТРАТУС""")</f>
        <v>ООО"СТРАТУС"</v>
      </c>
      <c r="K13858" s="24" t="s">
        <v>8023</v>
      </c>
      <c r="L13858" s="28" t="s">
        <v>52</v>
      </c>
      <c r="M13858" s="28" t="s">
        <v>52</v>
      </c>
      <c r="N13858" s="28" t="s">
        <v>52</v>
      </c>
    </row>
    <row r="13859" spans="1:14" hidden="1" outlineLevel="1" x14ac:dyDescent="0.2">
      <c r="A13859" s="23" t="str">
        <f t="shared" si="731"/>
        <v>ФГБОУ ВО "МГТУ", МГТУ, МАЙКОПСКИЙ ГОСУДАРСТВЕННЫЙ ТЕХНОЛОГИЧЕСКИЙ УНИВЕРСИТЕТ</v>
      </c>
      <c r="B13859" s="24" t="s">
        <v>1545</v>
      </c>
      <c r="C13859" s="28" t="s">
        <v>52</v>
      </c>
      <c r="D13859" s="22" t="s">
        <v>16028</v>
      </c>
      <c r="E13859" s="22" t="s">
        <v>49</v>
      </c>
      <c r="F13859" s="23" t="str">
        <f t="shared" si="732"/>
        <v>Выполнение работ по установке системы видеонаблюдения на объекте ФГБОУ ВО «МГТУ»</v>
      </c>
      <c r="G13859" s="22" t="s">
        <v>1547</v>
      </c>
      <c r="H13859" s="22" t="s">
        <v>1547</v>
      </c>
      <c r="I13859" s="26">
        <v>43521.771284722199</v>
      </c>
      <c r="J13859" s="23" t="str">
        <f>HYPERLINK("https://www.spark-marketing.ru/Card/Person/651054", "ООО ЧОА ""ЦИТАДЕЛЬ""")</f>
        <v>ООО ЧОА "ЦИТАДЕЛЬ"</v>
      </c>
      <c r="K13859" s="24" t="s">
        <v>16031</v>
      </c>
      <c r="L13859" s="28" t="s">
        <v>52</v>
      </c>
      <c r="M13859" s="25">
        <v>415910</v>
      </c>
      <c r="N13859" s="27">
        <v>7.9663712470754738E-2</v>
      </c>
    </row>
    <row r="13860" spans="1:14" hidden="1" outlineLevel="1" x14ac:dyDescent="0.2">
      <c r="A13860" s="23" t="str">
        <f t="shared" si="731"/>
        <v>ФГБОУ ВО "МГТУ", МГТУ, МАЙКОПСКИЙ ГОСУДАРСТВЕННЫЙ ТЕХНОЛОГИЧЕСКИЙ УНИВЕРСИТЕТ</v>
      </c>
      <c r="B13860" s="24" t="s">
        <v>1545</v>
      </c>
      <c r="C13860" s="28" t="s">
        <v>52</v>
      </c>
      <c r="D13860" s="22" t="s">
        <v>16028</v>
      </c>
      <c r="E13860" s="22" t="s">
        <v>49</v>
      </c>
      <c r="F13860" s="23" t="str">
        <f t="shared" si="732"/>
        <v>Выполнение работ по установке системы видеонаблюдения на объекте ФГБОУ ВО «МГТУ»</v>
      </c>
      <c r="G13860" s="22" t="s">
        <v>1547</v>
      </c>
      <c r="H13860" s="22" t="s">
        <v>1547</v>
      </c>
      <c r="I13860" s="26">
        <v>43521.771284722199</v>
      </c>
      <c r="J13860" s="23" t="str">
        <f>HYPERLINK("https://www.spark-marketing.ru/Card/Person/100013", "Сергиенко Сергей Сергеевич")</f>
        <v>Сергиенко Сергей Сергеевич</v>
      </c>
      <c r="K13860" s="24" t="s">
        <v>8101</v>
      </c>
      <c r="L13860" s="22" t="s">
        <v>10</v>
      </c>
      <c r="M13860" s="25">
        <v>333000</v>
      </c>
      <c r="N13860" s="27">
        <v>0.26312908141848318</v>
      </c>
    </row>
    <row r="13861" spans="1:14" x14ac:dyDescent="0.15">
      <c r="A13861" s="23" t="str">
        <f t="shared" si="731"/>
        <v>ФГБОУ ВО "МГТУ", МГТУ, МАЙКОПСКИЙ ГОСУДАРСТВЕННЫЙ ТЕХНОЛОГИЧЕСКИЙ УНИВЕРСИТЕТ</v>
      </c>
      <c r="B13861" s="24" t="s">
        <v>1545</v>
      </c>
      <c r="C13861" s="25">
        <v>1174227.24</v>
      </c>
      <c r="D13861" s="22" t="s">
        <v>16032</v>
      </c>
      <c r="E13861" s="22" t="s">
        <v>49</v>
      </c>
      <c r="F13861" s="23" t="str">
        <f t="shared" ref="F13861:F13868" si="733">HYPERLINK("https://www.spark-marketing.ru/Card/Lot/68235850", "Выполнение работ по установке системы видеонаблюдения на объекте ФГБОУ ВО «МГТУ»")</f>
        <v>Выполнение работ по установке системы видеонаблюдения на объекте ФГБОУ ВО «МГТУ»</v>
      </c>
      <c r="G13861" s="22" t="s">
        <v>1547</v>
      </c>
      <c r="H13861" s="22" t="s">
        <v>1547</v>
      </c>
      <c r="I13861" s="26">
        <v>43521.763078703698</v>
      </c>
      <c r="J13861" s="28" t="s">
        <v>52</v>
      </c>
      <c r="K13861" s="28" t="s">
        <v>52</v>
      </c>
      <c r="L13861" s="28" t="s">
        <v>52</v>
      </c>
      <c r="M13861" s="28" t="s">
        <v>52</v>
      </c>
      <c r="N13861" s="28" t="s">
        <v>52</v>
      </c>
    </row>
    <row r="13862" spans="1:14" hidden="1" outlineLevel="1" x14ac:dyDescent="0.15">
      <c r="A13862" s="23" t="str">
        <f t="shared" si="731"/>
        <v>ФГБОУ ВО "МГТУ", МГТУ, МАЙКОПСКИЙ ГОСУДАРСТВЕННЫЙ ТЕХНОЛОГИЧЕСКИЙ УНИВЕРСИТЕТ</v>
      </c>
      <c r="B13862" s="24" t="s">
        <v>1545</v>
      </c>
      <c r="C13862" s="28" t="s">
        <v>52</v>
      </c>
      <c r="D13862" s="22" t="s">
        <v>16032</v>
      </c>
      <c r="E13862" s="22" t="s">
        <v>49</v>
      </c>
      <c r="F13862" s="23" t="str">
        <f t="shared" si="733"/>
        <v>Выполнение работ по установке системы видеонаблюдения на объекте ФГБОУ ВО «МГТУ»</v>
      </c>
      <c r="G13862" s="22" t="s">
        <v>1547</v>
      </c>
      <c r="H13862" s="22" t="s">
        <v>1547</v>
      </c>
      <c r="I13862" s="26">
        <v>43521.763078703698</v>
      </c>
      <c r="J13862" s="23" t="str">
        <f>HYPERLINK("https://www.spark-marketing.ru/Card/Person/6380488", "ООО ""СПМ - 01""")</f>
        <v>ООО "СПМ - 01"</v>
      </c>
      <c r="K13862" s="24" t="s">
        <v>16029</v>
      </c>
      <c r="L13862" s="28" t="s">
        <v>52</v>
      </c>
      <c r="M13862" s="28" t="s">
        <v>52</v>
      </c>
      <c r="N13862" s="28" t="s">
        <v>52</v>
      </c>
    </row>
    <row r="13863" spans="1:14" hidden="1" outlineLevel="1" x14ac:dyDescent="0.15">
      <c r="A13863" s="23" t="str">
        <f t="shared" si="731"/>
        <v>ФГБОУ ВО "МГТУ", МГТУ, МАЙКОПСКИЙ ГОСУДАРСТВЕННЫЙ ТЕХНОЛОГИЧЕСКИЙ УНИВЕРСИТЕТ</v>
      </c>
      <c r="B13863" s="24" t="s">
        <v>1545</v>
      </c>
      <c r="C13863" s="28" t="s">
        <v>52</v>
      </c>
      <c r="D13863" s="22" t="s">
        <v>16032</v>
      </c>
      <c r="E13863" s="22" t="s">
        <v>49</v>
      </c>
      <c r="F13863" s="23" t="str">
        <f t="shared" si="733"/>
        <v>Выполнение работ по установке системы видеонаблюдения на объекте ФГБОУ ВО «МГТУ»</v>
      </c>
      <c r="G13863" s="22" t="s">
        <v>1547</v>
      </c>
      <c r="H13863" s="22" t="s">
        <v>1547</v>
      </c>
      <c r="I13863" s="26">
        <v>43521.763078703698</v>
      </c>
      <c r="J13863" s="23" t="str">
        <f>HYPERLINK("https://www.spark-marketing.ru/Card/Person/509131", "ООО ""СПЕКТР ЭЛЕКТРОНИКА""")</f>
        <v>ООО "СПЕКТР ЭЛЕКТРОНИКА"</v>
      </c>
      <c r="K13863" s="24" t="s">
        <v>13597</v>
      </c>
      <c r="L13863" s="28" t="s">
        <v>52</v>
      </c>
      <c r="M13863" s="28" t="s">
        <v>52</v>
      </c>
      <c r="N13863" s="28" t="s">
        <v>52</v>
      </c>
    </row>
    <row r="13864" spans="1:14" hidden="1" outlineLevel="1" x14ac:dyDescent="0.2">
      <c r="A13864" s="23" t="str">
        <f t="shared" si="731"/>
        <v>ФГБОУ ВО "МГТУ", МГТУ, МАЙКОПСКИЙ ГОСУДАРСТВЕННЫЙ ТЕХНОЛОГИЧЕСКИЙ УНИВЕРСИТЕТ</v>
      </c>
      <c r="B13864" s="24" t="s">
        <v>1545</v>
      </c>
      <c r="C13864" s="28" t="s">
        <v>52</v>
      </c>
      <c r="D13864" s="22" t="s">
        <v>16032</v>
      </c>
      <c r="E13864" s="22" t="s">
        <v>49</v>
      </c>
      <c r="F13864" s="23" t="str">
        <f t="shared" si="733"/>
        <v>Выполнение работ по установке системы видеонаблюдения на объекте ФГБОУ ВО «МГТУ»</v>
      </c>
      <c r="G13864" s="22" t="s">
        <v>1547</v>
      </c>
      <c r="H13864" s="22" t="s">
        <v>1547</v>
      </c>
      <c r="I13864" s="26">
        <v>43521.763078703698</v>
      </c>
      <c r="J13864" s="23" t="str">
        <f>HYPERLINK("https://www.spark-marketing.ru/Card/Person/651054", "ООО ЧОА ""ЦИТАДЕЛЬ""")</f>
        <v>ООО ЧОА "ЦИТАДЕЛЬ"</v>
      </c>
      <c r="K13864" s="24" t="s">
        <v>16031</v>
      </c>
      <c r="L13864" s="28" t="s">
        <v>52</v>
      </c>
      <c r="M13864" s="25">
        <v>974224</v>
      </c>
      <c r="N13864" s="27">
        <v>0.17032754239290174</v>
      </c>
    </row>
    <row r="13865" spans="1:14" hidden="1" outlineLevel="1" x14ac:dyDescent="0.2">
      <c r="A13865" s="23" t="str">
        <f t="shared" si="731"/>
        <v>ФГБОУ ВО "МГТУ", МГТУ, МАЙКОПСКИЙ ГОСУДАРСТВЕННЫЙ ТЕХНОЛОГИЧЕСКИЙ УНИВЕРСИТЕТ</v>
      </c>
      <c r="B13865" s="24" t="s">
        <v>1545</v>
      </c>
      <c r="C13865" s="28" t="s">
        <v>52</v>
      </c>
      <c r="D13865" s="22" t="s">
        <v>16032</v>
      </c>
      <c r="E13865" s="22" t="s">
        <v>49</v>
      </c>
      <c r="F13865" s="23" t="str">
        <f t="shared" si="733"/>
        <v>Выполнение работ по установке системы видеонаблюдения на объекте ФГБОУ ВО «МГТУ»</v>
      </c>
      <c r="G13865" s="22" t="s">
        <v>1547</v>
      </c>
      <c r="H13865" s="22" t="s">
        <v>1547</v>
      </c>
      <c r="I13865" s="26">
        <v>43521.763078703698</v>
      </c>
      <c r="J13865" s="23" t="str">
        <f>HYPERLINK("https://www.spark-marketing.ru/Card/Person/100013", "Сергиенко Сергей Сергеевич")</f>
        <v>Сергиенко Сергей Сергеевич</v>
      </c>
      <c r="K13865" s="24" t="s">
        <v>8101</v>
      </c>
      <c r="L13865" s="28" t="s">
        <v>52</v>
      </c>
      <c r="M13865" s="25">
        <v>877000</v>
      </c>
      <c r="N13865" s="27">
        <v>0.25312582596874522</v>
      </c>
    </row>
    <row r="13866" spans="1:14" hidden="1" outlineLevel="1" x14ac:dyDescent="0.2">
      <c r="A13866" s="23" t="str">
        <f t="shared" si="731"/>
        <v>ФГБОУ ВО "МГТУ", МГТУ, МАЙКОПСКИЙ ГОСУДАРСТВЕННЫЙ ТЕХНОЛОГИЧЕСКИЙ УНИВЕРСИТЕТ</v>
      </c>
      <c r="B13866" s="24" t="s">
        <v>1545</v>
      </c>
      <c r="C13866" s="28" t="s">
        <v>52</v>
      </c>
      <c r="D13866" s="22" t="s">
        <v>16032</v>
      </c>
      <c r="E13866" s="22" t="s">
        <v>49</v>
      </c>
      <c r="F13866" s="23" t="str">
        <f t="shared" si="733"/>
        <v>Выполнение работ по установке системы видеонаблюдения на объекте ФГБОУ ВО «МГТУ»</v>
      </c>
      <c r="G13866" s="22" t="s">
        <v>1547</v>
      </c>
      <c r="H13866" s="22" t="s">
        <v>1547</v>
      </c>
      <c r="I13866" s="26">
        <v>43521.763078703698</v>
      </c>
      <c r="J13866" s="23" t="str">
        <f>HYPERLINK("https://www.spark-marketing.ru/Card/Person/47132", "ООО""СТРАТУС""")</f>
        <v>ООО"СТРАТУС"</v>
      </c>
      <c r="K13866" s="24" t="s">
        <v>8023</v>
      </c>
      <c r="L13866" s="22" t="s">
        <v>10</v>
      </c>
      <c r="M13866" s="25">
        <v>645700</v>
      </c>
      <c r="N13866" s="27">
        <v>0.45010643766022668</v>
      </c>
    </row>
    <row r="13867" spans="1:14" hidden="1" outlineLevel="1" x14ac:dyDescent="0.2">
      <c r="A13867" s="23" t="str">
        <f t="shared" si="731"/>
        <v>ФГБОУ ВО "МГТУ", МГТУ, МАЙКОПСКИЙ ГОСУДАРСТВЕННЫЙ ТЕХНОЛОГИЧЕСКИЙ УНИВЕРСИТЕТ</v>
      </c>
      <c r="B13867" s="24" t="s">
        <v>1545</v>
      </c>
      <c r="C13867" s="28" t="s">
        <v>52</v>
      </c>
      <c r="D13867" s="22" t="s">
        <v>16032</v>
      </c>
      <c r="E13867" s="22" t="s">
        <v>49</v>
      </c>
      <c r="F13867" s="23" t="str">
        <f t="shared" si="733"/>
        <v>Выполнение работ по установке системы видеонаблюдения на объекте ФГБОУ ВО «МГТУ»</v>
      </c>
      <c r="G13867" s="22" t="s">
        <v>1547</v>
      </c>
      <c r="H13867" s="22" t="s">
        <v>1547</v>
      </c>
      <c r="I13867" s="26">
        <v>43521.763078703698</v>
      </c>
      <c r="J13867" s="23" t="str">
        <f>HYPERLINK("https://www.spark-marketing.ru/Card/Person/6231424", "ООО ""ПРЕСТИЖ""")</f>
        <v>ООО "ПРЕСТИЖ"</v>
      </c>
      <c r="K13867" s="24" t="s">
        <v>16030</v>
      </c>
      <c r="L13867" s="28" t="s">
        <v>52</v>
      </c>
      <c r="M13867" s="25">
        <v>874700</v>
      </c>
      <c r="N13867" s="27">
        <v>0.25508456097475646</v>
      </c>
    </row>
    <row r="13868" spans="1:14" hidden="1" outlineLevel="1" x14ac:dyDescent="0.2">
      <c r="A13868" s="23" t="str">
        <f t="shared" si="731"/>
        <v>ФГБОУ ВО "МГТУ", МГТУ, МАЙКОПСКИЙ ГОСУДАРСТВЕННЫЙ ТЕХНОЛОГИЧЕСКИЙ УНИВЕРСИТЕТ</v>
      </c>
      <c r="B13868" s="24" t="s">
        <v>1545</v>
      </c>
      <c r="C13868" s="28" t="s">
        <v>52</v>
      </c>
      <c r="D13868" s="22" t="s">
        <v>16032</v>
      </c>
      <c r="E13868" s="22" t="s">
        <v>49</v>
      </c>
      <c r="F13868" s="23" t="str">
        <f t="shared" si="733"/>
        <v>Выполнение работ по установке системы видеонаблюдения на объекте ФГБОУ ВО «МГТУ»</v>
      </c>
      <c r="G13868" s="22" t="s">
        <v>1547</v>
      </c>
      <c r="H13868" s="22" t="s">
        <v>1547</v>
      </c>
      <c r="I13868" s="26">
        <v>43521.763078703698</v>
      </c>
      <c r="J13868" s="23" t="str">
        <f>HYPERLINK("https://www.spark-marketing.ru/Card/Person/152934", "ООО ""СП-ХОЛДИНГ""")</f>
        <v>ООО "СП-ХОЛДИНГ"</v>
      </c>
      <c r="K13868" s="24" t="s">
        <v>10686</v>
      </c>
      <c r="L13868" s="28" t="s">
        <v>52</v>
      </c>
      <c r="M13868" s="25">
        <v>970000</v>
      </c>
      <c r="N13868" s="27">
        <v>0.17392480181263723</v>
      </c>
    </row>
    <row r="13869" spans="1:14" x14ac:dyDescent="0.15">
      <c r="A13869" s="23" t="str">
        <f>HYPERLINK("https://www.spark-marketing.ru/Card/Person/51795", "УМВД РОССИИ ПО ОДИНЦОВСКОМУ ГОРОДСКОМУ ОКРУГУ")</f>
        <v>УМВД РОССИИ ПО ОДИНЦОВСКОМУ ГОРОДСКОМУ ОКРУГУ</v>
      </c>
      <c r="B13869" s="24" t="s">
        <v>16033</v>
      </c>
      <c r="C13869" s="25">
        <v>13072.7</v>
      </c>
      <c r="D13869" s="22" t="s">
        <v>16034</v>
      </c>
      <c r="E13869" s="22" t="s">
        <v>208</v>
      </c>
      <c r="F13869" s="23" t="str">
        <f>HYPERLINK("https://www.spark-marketing.ru/Card/Lot/68237182", "техническое обслуживание  комплекса технических средств охраны")</f>
        <v>техническое обслуживание  комплекса технических средств охраны</v>
      </c>
      <c r="G13869" s="22" t="s">
        <v>50</v>
      </c>
      <c r="H13869" s="22" t="s">
        <v>1045</v>
      </c>
      <c r="I13869" s="26">
        <v>43521.753472222197</v>
      </c>
      <c r="J13869" s="28" t="s">
        <v>52</v>
      </c>
      <c r="K13869" s="28" t="s">
        <v>52</v>
      </c>
      <c r="L13869" s="28" t="s">
        <v>52</v>
      </c>
      <c r="M13869" s="28" t="s">
        <v>52</v>
      </c>
      <c r="N13869" s="28" t="s">
        <v>52</v>
      </c>
    </row>
    <row r="13870" spans="1:14" x14ac:dyDescent="0.15">
      <c r="A13870" s="23" t="str">
        <f>HYPERLINK("https://www.spark-marketing.ru/Card/Person/51795", "УМВД РОССИИ ПО ОДИНЦОВСКОМУ ГОРОДСКОМУ ОКРУГУ")</f>
        <v>УМВД РОССИИ ПО ОДИНЦОВСКОМУ ГОРОДСКОМУ ОКРУГУ</v>
      </c>
      <c r="B13870" s="24" t="s">
        <v>16033</v>
      </c>
      <c r="C13870" s="25">
        <v>27532.09</v>
      </c>
      <c r="D13870" s="22" t="s">
        <v>16035</v>
      </c>
      <c r="E13870" s="22" t="s">
        <v>208</v>
      </c>
      <c r="F13870" s="23" t="str">
        <f>HYPERLINK("https://www.spark-marketing.ru/Card/Lot/68235982", "техническое обслуживание  комплекса технических средств охраны")</f>
        <v>техническое обслуживание  комплекса технических средств охраны</v>
      </c>
      <c r="G13870" s="22" t="s">
        <v>50</v>
      </c>
      <c r="H13870" s="22" t="s">
        <v>1045</v>
      </c>
      <c r="I13870" s="26">
        <v>43521.757638888899</v>
      </c>
      <c r="J13870" s="28" t="s">
        <v>52</v>
      </c>
      <c r="K13870" s="28" t="s">
        <v>52</v>
      </c>
      <c r="L13870" s="28" t="s">
        <v>52</v>
      </c>
      <c r="M13870" s="28" t="s">
        <v>52</v>
      </c>
      <c r="N13870" s="28" t="s">
        <v>52</v>
      </c>
    </row>
    <row r="13871" spans="1:14" x14ac:dyDescent="0.15">
      <c r="A13871" s="23" t="str">
        <f>HYPERLINK("https://www.spark-marketing.ru/Card/Person/51795", "УМВД РОССИИ ПО ОДИНЦОВСКОМУ ГОРОДСКОМУ ОКРУГУ")</f>
        <v>УМВД РОССИИ ПО ОДИНЦОВСКОМУ ГОРОДСКОМУ ОКРУГУ</v>
      </c>
      <c r="B13871" s="24" t="s">
        <v>16033</v>
      </c>
      <c r="C13871" s="25">
        <v>79954.92</v>
      </c>
      <c r="D13871" s="22" t="s">
        <v>16036</v>
      </c>
      <c r="E13871" s="22" t="s">
        <v>208</v>
      </c>
      <c r="F13871" s="23" t="str">
        <f>HYPERLINK("https://www.spark-marketing.ru/Card/Lot/68237187", "техническое обслуживание  комплекса технических средств охраны")</f>
        <v>техническое обслуживание  комплекса технических средств охраны</v>
      </c>
      <c r="G13871" s="22" t="s">
        <v>50</v>
      </c>
      <c r="H13871" s="22" t="s">
        <v>1045</v>
      </c>
      <c r="I13871" s="26">
        <v>43521.743750000001</v>
      </c>
      <c r="J13871" s="28" t="s">
        <v>52</v>
      </c>
      <c r="K13871" s="28" t="s">
        <v>52</v>
      </c>
      <c r="L13871" s="28" t="s">
        <v>52</v>
      </c>
      <c r="M13871" s="28" t="s">
        <v>52</v>
      </c>
      <c r="N13871" s="28" t="s">
        <v>52</v>
      </c>
    </row>
    <row r="13872" spans="1:14" x14ac:dyDescent="0.15">
      <c r="A13872" s="23" t="str">
        <f>HYPERLINK("https://www.spark-marketing.ru/Card/Person/1007757", "ОГБУЗ ""ЦМП Г. СТАРОГО ОСКОЛА""")</f>
        <v>ОГБУЗ "ЦМП Г. СТАРОГО ОСКОЛА"</v>
      </c>
      <c r="B13872" s="24" t="s">
        <v>16037</v>
      </c>
      <c r="C13872" s="25">
        <v>386248.5</v>
      </c>
      <c r="D13872" s="22" t="s">
        <v>16038</v>
      </c>
      <c r="E13872" s="22" t="s">
        <v>52</v>
      </c>
      <c r="F13872" s="23" t="str">
        <f>HYPERLINK("https://www.spark-marketing.ru/Card/Lot/68233722", "Оказание услуг по охране помещений и территории на 2019 год")</f>
        <v>Оказание услуг по охране помещений и территории на 2019 год</v>
      </c>
      <c r="G13872" s="22" t="s">
        <v>176</v>
      </c>
      <c r="H13872" s="22" t="s">
        <v>5140</v>
      </c>
      <c r="I13872" s="26">
        <v>43521.724305555603</v>
      </c>
      <c r="J13872" s="23" t="str">
        <f>HYPERLINK("https://www.spark-marketing.ru/Card/Person/301954", "ООО ЧОП ""СКИФ+""")</f>
        <v>ООО ЧОП "СКИФ+"</v>
      </c>
      <c r="K13872" s="24" t="s">
        <v>16039</v>
      </c>
      <c r="L13872" s="28" t="s">
        <v>52</v>
      </c>
      <c r="M13872" s="28" t="s">
        <v>52</v>
      </c>
      <c r="N13872" s="28" t="s">
        <v>52</v>
      </c>
    </row>
    <row r="13873" spans="1:14" hidden="1" outlineLevel="1" x14ac:dyDescent="0.2">
      <c r="A13873" s="23" t="str">
        <f>HYPERLINK("https://www.spark-marketing.ru/Card/Person/1007757", "ОГБУЗ ""ЦМП Г. СТАРОГО ОСКОЛА""")</f>
        <v>ОГБУЗ "ЦМП Г. СТАРОГО ОСКОЛА"</v>
      </c>
      <c r="B13873" s="24" t="s">
        <v>16037</v>
      </c>
      <c r="C13873" s="25">
        <v>386248.5</v>
      </c>
      <c r="D13873" s="22" t="s">
        <v>16038</v>
      </c>
      <c r="E13873" s="22" t="s">
        <v>52</v>
      </c>
      <c r="F13873" s="23" t="str">
        <f>HYPERLINK("https://www.spark-marketing.ru/Card/Lot/68233722", "Оказание услуг по охране помещений и территории на 2019 год")</f>
        <v>Оказание услуг по охране помещений и территории на 2019 год</v>
      </c>
      <c r="G13873" s="22" t="s">
        <v>176</v>
      </c>
      <c r="H13873" s="22" t="s">
        <v>5140</v>
      </c>
      <c r="I13873" s="26">
        <v>43521.724305555603</v>
      </c>
      <c r="J13873" s="23" t="str">
        <f>HYPERLINK("https://www.spark-marketing.ru/Card/Person/301954", "ООО ЧОП ""СКИФ+""")</f>
        <v>ООО ЧОП "СКИФ+"</v>
      </c>
      <c r="K13873" s="24" t="s">
        <v>16039</v>
      </c>
      <c r="L13873" s="28" t="s">
        <v>52</v>
      </c>
      <c r="M13873" s="25">
        <v>360855</v>
      </c>
      <c r="N13873" s="27">
        <v>6.5743944636678195E-2</v>
      </c>
    </row>
    <row r="13874" spans="1:14" x14ac:dyDescent="0.15">
      <c r="A13874" s="23" t="str">
        <f>HYPERLINK("https://www.spark-marketing.ru/Card/Person/90210", "АДМИНИСТРАЦИЯ СВЕЧИНСКОГО РАЙОНА КИРОВСКОЙ ОБЛАСТИ")</f>
        <v>АДМИНИСТРАЦИЯ СВЕЧИНСКОГО РАЙОНА КИРОВСКОЙ ОБЛАСТИ</v>
      </c>
      <c r="B13874" s="24" t="s">
        <v>16040</v>
      </c>
      <c r="C13874" s="25">
        <v>118507.2</v>
      </c>
      <c r="D13874" s="22" t="s">
        <v>16041</v>
      </c>
      <c r="E13874" s="22" t="s">
        <v>5267</v>
      </c>
      <c r="F13874" s="23" t="str">
        <f>HYPERLINK("https://www.spark-marketing.ru/Card/Lot/68235253", "Оказание услуг по охране объектов с помощью технических средств охраны")</f>
        <v>Оказание услуг по охране объектов с помощью технических средств охраны</v>
      </c>
      <c r="G13874" s="22" t="s">
        <v>556</v>
      </c>
      <c r="H13874" s="22" t="s">
        <v>16042</v>
      </c>
      <c r="I13874" s="26">
        <v>43521.708333333299</v>
      </c>
      <c r="J13874" s="23" t="str">
        <f>HYPERLINK("https://www.spark-marketing.ru/Card/Person/4384568", "ФГКУ ""УВО ВНГ РОССИИ ПО КИРОВСКОЙ ОБЛАСТИ""")</f>
        <v>ФГКУ "УВО ВНГ РОССИИ ПО КИРОВСКОЙ ОБЛАСТИ"</v>
      </c>
      <c r="K13874" s="24" t="s">
        <v>12833</v>
      </c>
      <c r="L13874" s="22" t="s">
        <v>10</v>
      </c>
      <c r="M13874" s="28" t="s">
        <v>52</v>
      </c>
      <c r="N13874" s="28" t="s">
        <v>52</v>
      </c>
    </row>
    <row r="13875" spans="1:14" x14ac:dyDescent="0.15">
      <c r="A13875" s="23" t="str">
        <f>HYPERLINK("https://www.spark-marketing.ru/Card/Person/367562", "УПРАВЛЕНИЕ МИНЮСТА РОССИИ ПО КОСТРОМСКОЙ ОБЛАСТИ")</f>
        <v>УПРАВЛЕНИЕ МИНЮСТА РОССИИ ПО КОСТРОМСКОЙ ОБЛАСТИ</v>
      </c>
      <c r="B13875" s="24" t="s">
        <v>16043</v>
      </c>
      <c r="C13875" s="25">
        <v>89837.16</v>
      </c>
      <c r="D13875" s="22" t="s">
        <v>16044</v>
      </c>
      <c r="E13875" s="22" t="s">
        <v>53</v>
      </c>
      <c r="F13875" s="23" t="str">
        <f>HYPERLINK("https://www.spark-marketing.ru/Card/Lot/70797302", "охрана объектов, подключенных на пульт централизованного наблюдения")</f>
        <v>охрана объектов, подключенных на пульт централизованного наблюдения</v>
      </c>
      <c r="G13875" s="22" t="s">
        <v>1104</v>
      </c>
      <c r="H13875" s="22" t="s">
        <v>1105</v>
      </c>
      <c r="I13875" s="26">
        <v>43521.737604166701</v>
      </c>
      <c r="J13875" s="28" t="s">
        <v>52</v>
      </c>
      <c r="K13875" s="28" t="s">
        <v>52</v>
      </c>
      <c r="L13875" s="28" t="s">
        <v>52</v>
      </c>
      <c r="M13875" s="28" t="s">
        <v>52</v>
      </c>
      <c r="N13875" s="28" t="s">
        <v>52</v>
      </c>
    </row>
    <row r="13876" spans="1:14" x14ac:dyDescent="0.15">
      <c r="A13876" s="23" t="str">
        <f>HYPERLINK("https://www.spark-marketing.ru/Card/Person/35155", "УПРАВЛЕНИЕ РОСРЕЕСТРА ПО ЛЕНИНГРАДСКОЙ ОБЛАСТИ")</f>
        <v>УПРАВЛЕНИЕ РОСРЕЕСТРА ПО ЛЕНИНГРАДСКОЙ ОБЛАСТИ</v>
      </c>
      <c r="B13876" s="24" t="s">
        <v>16045</v>
      </c>
      <c r="C13876" s="25">
        <v>1034400</v>
      </c>
      <c r="D13876" s="22" t="s">
        <v>16046</v>
      </c>
      <c r="E13876" s="22" t="s">
        <v>68</v>
      </c>
      <c r="F13876" s="23" t="str">
        <f>HYPERLINK("https://www.spark-marketing.ru/Card/Lot/68233821", "Охрана объектов с помощью технических средств (централизованная охрана)")</f>
        <v>Охрана объектов с помощью технических средств (централизованная охрана)</v>
      </c>
      <c r="G13876" s="22" t="s">
        <v>861</v>
      </c>
      <c r="H13876" s="22" t="s">
        <v>861</v>
      </c>
      <c r="I13876" s="26">
        <v>43521.718055555597</v>
      </c>
      <c r="J13876" s="23" t="str">
        <f>HYPERLINK("https://www.spark-marketing.ru/Card/Person/575104", "ООО ""ОП ""ЛЕГИОН""")</f>
        <v>ООО "ОП "ЛЕГИОН"</v>
      </c>
      <c r="K13876" s="24" t="s">
        <v>16047</v>
      </c>
      <c r="L13876" s="22" t="s">
        <v>10</v>
      </c>
      <c r="M13876" s="28" t="s">
        <v>52</v>
      </c>
      <c r="N13876" s="28" t="s">
        <v>52</v>
      </c>
    </row>
    <row r="13877" spans="1:14" x14ac:dyDescent="0.15">
      <c r="A13877" s="23" t="str">
        <f>HYPERLINK("https://www.spark-marketing.ru/Card/Person/1337493", "МБУ НОВОНИКОЛЬСКИЙ ДК")</f>
        <v>МБУ НОВОНИКОЛЬСКИЙ ДК</v>
      </c>
      <c r="B13877" s="24" t="s">
        <v>16048</v>
      </c>
      <c r="C13877" s="25">
        <v>18000</v>
      </c>
      <c r="D13877" s="22" t="s">
        <v>16049</v>
      </c>
      <c r="E13877" s="22" t="s">
        <v>103</v>
      </c>
      <c r="F13877" s="23" t="str">
        <f>HYPERLINK("https://www.spark-marketing.ru/Card/Lot/68537047", "Техническое обслуживание системы видеонаблюдения для нужд МБУ Новоникольский ДК")</f>
        <v>Техническое обслуживание системы видеонаблюдения для нужд МБУ Новоникольский ДК</v>
      </c>
      <c r="G13877" s="22" t="s">
        <v>50</v>
      </c>
      <c r="H13877" s="22" t="s">
        <v>50</v>
      </c>
      <c r="I13877" s="26">
        <v>43521.722303240698</v>
      </c>
      <c r="J13877" s="28" t="s">
        <v>52</v>
      </c>
      <c r="K13877" s="28" t="s">
        <v>52</v>
      </c>
      <c r="L13877" s="28" t="s">
        <v>52</v>
      </c>
      <c r="M13877" s="28" t="s">
        <v>52</v>
      </c>
      <c r="N13877" s="28" t="s">
        <v>52</v>
      </c>
    </row>
    <row r="13878" spans="1:14" x14ac:dyDescent="0.2">
      <c r="A13878" s="23" t="str">
        <f>HYPERLINK("https://www.spark-marketing.ru/Card/Person/83891", "ОГБУЗ ""САНАТОРИЙ ДЛЯ ДЕТЕЙ С РОДИТЕЛЯМИ""")</f>
        <v>ОГБУЗ "САНАТОРИЙ ДЛЯ ДЕТЕЙ С РОДИТЕЛЯМИ"</v>
      </c>
      <c r="B13878" s="24" t="s">
        <v>16050</v>
      </c>
      <c r="C13878" s="25">
        <v>1019592</v>
      </c>
      <c r="D13878" s="22" t="s">
        <v>16051</v>
      </c>
      <c r="E13878" s="22" t="s">
        <v>52</v>
      </c>
      <c r="F13878" s="23" t="str">
        <f>HYPERLINK("https://www.spark-marketing.ru/Card/Lot/68235292", "Оказание услуг по охране объекта ОГБУЗ «Санаторий для детей с родителями» в 2019 году")</f>
        <v>Оказание услуг по охране объекта ОГБУЗ «Санаторий для детей с родителями» в 2019 году</v>
      </c>
      <c r="G13878" s="22" t="s">
        <v>176</v>
      </c>
      <c r="H13878" s="22" t="s">
        <v>318</v>
      </c>
      <c r="I13878" s="26">
        <v>43521.724305555603</v>
      </c>
      <c r="J13878" s="23" t="str">
        <f>HYPERLINK("https://www.spark-marketing.ru/Card/Person/487813", "ООО ""ЧОО ""КЕДР+""")</f>
        <v>ООО "ЧОО "КЕДР+"</v>
      </c>
      <c r="K13878" s="24" t="s">
        <v>15174</v>
      </c>
      <c r="L13878" s="28" t="s">
        <v>52</v>
      </c>
      <c r="M13878" s="25">
        <v>1011360</v>
      </c>
      <c r="N13878" s="27">
        <v>8.0738177623990767E-3</v>
      </c>
    </row>
    <row r="13879" spans="1:14" x14ac:dyDescent="0.15">
      <c r="A13879" s="23" t="str">
        <f>HYPERLINK("https://www.spark-marketing.ru/Card/Person/1070727", "МБДОУ ДС № 3 ""КРАСНАЯ ШАПОЧКА""")</f>
        <v>МБДОУ ДС № 3 "КРАСНАЯ ШАПОЧКА"</v>
      </c>
      <c r="B13879" s="24" t="s">
        <v>16052</v>
      </c>
      <c r="C13879" s="25">
        <v>7700</v>
      </c>
      <c r="D13879" s="22" t="s">
        <v>16053</v>
      </c>
      <c r="E13879" s="22" t="s">
        <v>103</v>
      </c>
      <c r="F13879" s="23" t="str">
        <f>HYPERLINK("https://www.spark-marketing.ru/Card/Lot/68227425", "Техническое обслуживание системы видеонаблюдения")</f>
        <v>Техническое обслуживание системы видеонаблюдения</v>
      </c>
      <c r="G13879" s="22" t="s">
        <v>402</v>
      </c>
      <c r="H13879" s="22" t="s">
        <v>631</v>
      </c>
      <c r="I13879" s="26">
        <v>43521.681944444397</v>
      </c>
      <c r="J13879" s="28" t="s">
        <v>52</v>
      </c>
      <c r="K13879" s="28" t="s">
        <v>52</v>
      </c>
      <c r="L13879" s="28" t="s">
        <v>52</v>
      </c>
      <c r="M13879" s="28" t="s">
        <v>52</v>
      </c>
      <c r="N13879" s="28" t="s">
        <v>52</v>
      </c>
    </row>
    <row r="13880" spans="1:14" x14ac:dyDescent="0.15">
      <c r="A13880" s="23" t="str">
        <f>HYPERLINK("https://www.spark-marketing.ru/Card/Person/4705230", "МБУ ""О/З КБ""")</f>
        <v>МБУ "О/З КБ"</v>
      </c>
      <c r="B13880" s="24" t="s">
        <v>16054</v>
      </c>
      <c r="C13880" s="25">
        <v>56000</v>
      </c>
      <c r="D13880" s="22" t="s">
        <v>16055</v>
      </c>
      <c r="E13880" s="22" t="s">
        <v>103</v>
      </c>
      <c r="F13880" s="23" t="str">
        <f>HYPERLINK("https://www.spark-marketing.ru/Card/Lot/68537688", "Оказание услуг по обслуживанию системы видеонаблюдения производственных территории МБУ ""О/З КБ"", по адресу Г. Орехово-Зуево, Малодубненское ш. , д. 4")</f>
        <v>Оказание услуг по обслуживанию системы видеонаблюдения производственных территории МБУ "О/З КБ", по адресу Г. Орехово-Зуево, Малодубненское ш. , д. 4</v>
      </c>
      <c r="G13880" s="22" t="s">
        <v>50</v>
      </c>
      <c r="H13880" s="22" t="s">
        <v>104</v>
      </c>
      <c r="I13880" s="26">
        <v>43521.680474537003</v>
      </c>
      <c r="J13880" s="28" t="s">
        <v>52</v>
      </c>
      <c r="K13880" s="28" t="s">
        <v>52</v>
      </c>
      <c r="L13880" s="28" t="s">
        <v>52</v>
      </c>
      <c r="M13880" s="28" t="s">
        <v>52</v>
      </c>
      <c r="N13880" s="28" t="s">
        <v>52</v>
      </c>
    </row>
    <row r="13881" spans="1:14" x14ac:dyDescent="0.15">
      <c r="A13881" s="23" t="str">
        <f>HYPERLINK("https://www.spark-marketing.ru/Card/Person/367790", "МУП ""НОВГОРОДСКИЙ ВОДОКАНАЛ""")</f>
        <v>МУП "НОВГОРОДСКИЙ ВОДОКАНАЛ"</v>
      </c>
      <c r="B13881" s="24" t="s">
        <v>16056</v>
      </c>
      <c r="C13881" s="25">
        <v>10637268</v>
      </c>
      <c r="D13881" s="22" t="s">
        <v>16057</v>
      </c>
      <c r="E13881" s="22" t="s">
        <v>144</v>
      </c>
      <c r="F13881" s="23" t="str">
        <f>HYPERLINK("https://www.spark-marketing.ru/Card/Lot/68230055", "Оказание услуг по физической охране имущества МУП «Новгородский водоканал» (объекты, на которые частная охранная деятельность не распространяется)")</f>
        <v>Оказание услуг по физической охране имущества МУП «Новгородский водоканал» (объекты, на которые частная охранная деятельность не распространяется)</v>
      </c>
      <c r="G13881" s="22" t="s">
        <v>959</v>
      </c>
      <c r="H13881" s="22" t="s">
        <v>959</v>
      </c>
      <c r="I13881" s="26">
        <v>43521.691122685203</v>
      </c>
      <c r="J13881" s="28" t="s">
        <v>52</v>
      </c>
      <c r="K13881" s="28" t="s">
        <v>52</v>
      </c>
      <c r="L13881" s="28" t="s">
        <v>52</v>
      </c>
      <c r="M13881" s="28" t="s">
        <v>52</v>
      </c>
      <c r="N13881" s="28" t="s">
        <v>52</v>
      </c>
    </row>
    <row r="13882" spans="1:14" x14ac:dyDescent="0.15">
      <c r="A13882" s="23" t="str">
        <f>HYPERLINK("https://www.spark-marketing.ru/Card/Person/16098", "АДМИНИСТРАЦИЯ МО ""КОНОШСКОЕ""")</f>
        <v>АДМИНИСТРАЦИЯ МО "КОНОШСКОЕ"</v>
      </c>
      <c r="B13882" s="24" t="s">
        <v>16058</v>
      </c>
      <c r="C13882" s="25">
        <v>57721.71</v>
      </c>
      <c r="D13882" s="22" t="s">
        <v>16059</v>
      </c>
      <c r="E13882" s="22" t="s">
        <v>68</v>
      </c>
      <c r="F13882" s="23" t="str">
        <f>HYPERLINK("https://www.spark-marketing.ru/Card/Lot/68235201", "Оказание услуг по охране объектов при помощи пульта централизованного наблюдения")</f>
        <v>Оказание услуг по охране объектов при помощи пульта централизованного наблюдения</v>
      </c>
      <c r="G13882" s="22" t="s">
        <v>674</v>
      </c>
      <c r="H13882" s="22" t="s">
        <v>16060</v>
      </c>
      <c r="I13882" s="26">
        <v>43521.698611111096</v>
      </c>
      <c r="J13882" s="23" t="str">
        <f>HYPERLINK("https://www.spark-marketing.ru/Card/Person/4898493", "ФЛ ФГУП ОХРАНА ФЕДЕРАЛЬНОЙ СЛУЖБЫ ВОЙСК НАЦИОНАЛЬНОЙ ГВАРДИИ РФ ПО АРХАНГЕЛЬСКОЙ ОБЛ")</f>
        <v>ФЛ ФГУП ОХРАНА ФЕДЕРАЛЬНОЙ СЛУЖБЫ ВОЙСК НАЦИОНАЛЬНОЙ ГВАРДИИ РФ ПО АРХАНГЕЛЬСКОЙ ОБЛ</v>
      </c>
      <c r="K13882" s="24" t="s">
        <v>779</v>
      </c>
      <c r="L13882" s="22" t="s">
        <v>10</v>
      </c>
      <c r="M13882" s="28" t="s">
        <v>52</v>
      </c>
      <c r="N13882" s="28" t="s">
        <v>52</v>
      </c>
    </row>
    <row r="13883" spans="1:14" x14ac:dyDescent="0.15">
      <c r="A13883" s="23" t="str">
        <f>HYPERLINK("https://www.spark-marketing.ru/Card/Person/4372671", "МБУ ДО ""ДШИ П. МАСЛОВА ПРИСТАНЬ""")</f>
        <v>МБУ ДО "ДШИ П. МАСЛОВА ПРИСТАНЬ"</v>
      </c>
      <c r="B13883" s="24" t="s">
        <v>16061</v>
      </c>
      <c r="C13883" s="25">
        <v>9500</v>
      </c>
      <c r="D13883" s="22" t="s">
        <v>16062</v>
      </c>
      <c r="E13883" s="22" t="s">
        <v>103</v>
      </c>
      <c r="F13883" s="23" t="str">
        <f>HYPERLINK("https://www.spark-marketing.ru/Card/Lot/68227323", "Оказание услуг по техническому обслуживанию системы видеонаблюдения")</f>
        <v>Оказание услуг по техническому обслуживанию системы видеонаблюдения</v>
      </c>
      <c r="G13883" s="22" t="s">
        <v>176</v>
      </c>
      <c r="H13883" s="22" t="s">
        <v>572</v>
      </c>
      <c r="I13883" s="26">
        <v>43521.672222222202</v>
      </c>
      <c r="J13883" s="28" t="s">
        <v>52</v>
      </c>
      <c r="K13883" s="28" t="s">
        <v>52</v>
      </c>
      <c r="L13883" s="28" t="s">
        <v>52</v>
      </c>
      <c r="M13883" s="28" t="s">
        <v>52</v>
      </c>
      <c r="N13883" s="28" t="s">
        <v>52</v>
      </c>
    </row>
    <row r="13884" spans="1:14" x14ac:dyDescent="0.15">
      <c r="A13884" s="23" t="str">
        <f>HYPERLINK("https://www.spark-marketing.ru/Card/Person/4348805", "АО ""ИНТЕР РАО-ЭЛЕКТРОГЕНЕРАЦИЯ""")</f>
        <v>АО "ИНТЕР РАО-ЭЛЕКТРОГЕНЕРАЦИЯ"</v>
      </c>
      <c r="B13884" s="24" t="s">
        <v>11062</v>
      </c>
      <c r="C13884" s="25">
        <v>2710903.32</v>
      </c>
      <c r="D13884" s="22" t="s">
        <v>16063</v>
      </c>
      <c r="E13884" s="22" t="s">
        <v>370</v>
      </c>
      <c r="F13884" s="23" t="str">
        <f>HYPERLINK("https://www.spark-marketing.ru/Card/Lot/68231724", "Годовое обслуживание комплекса инженерно-технических средств охраны (ИТСО) для Талаховской ТЭС")</f>
        <v>Годовое обслуживание комплекса инженерно-технических средств охраны (ИТСО) для Талаховской ТЭС</v>
      </c>
      <c r="G13884" s="22" t="s">
        <v>55</v>
      </c>
      <c r="H13884" s="22" t="s">
        <v>55</v>
      </c>
      <c r="I13884" s="26">
        <v>43521.684826388897</v>
      </c>
      <c r="J13884" s="28" t="s">
        <v>52</v>
      </c>
      <c r="K13884" s="28" t="s">
        <v>52</v>
      </c>
      <c r="L13884" s="28" t="s">
        <v>52</v>
      </c>
      <c r="M13884" s="28" t="s">
        <v>52</v>
      </c>
      <c r="N13884" s="28" t="s">
        <v>52</v>
      </c>
    </row>
    <row r="13885" spans="1:14" hidden="1" outlineLevel="1" x14ac:dyDescent="0.2">
      <c r="A13885" s="23" t="str">
        <f>HYPERLINK("https://www.spark-marketing.ru/Card/Person/4348805", "АО ""ИНТЕР РАО-ЭЛЕКТРОГЕНЕРАЦИЯ""")</f>
        <v>АО "ИНТЕР РАО-ЭЛЕКТРОГЕНЕРАЦИЯ"</v>
      </c>
      <c r="B13885" s="24" t="s">
        <v>11062</v>
      </c>
      <c r="C13885" s="28" t="s">
        <v>52</v>
      </c>
      <c r="D13885" s="22" t="s">
        <v>16063</v>
      </c>
      <c r="E13885" s="22" t="s">
        <v>370</v>
      </c>
      <c r="F13885" s="23" t="str">
        <f>HYPERLINK("https://www.spark-marketing.ru/Card/Lot/68231724", "Годовое обслуживание комплекса инженерно-технических средств охраны (ИТСО) для Талаховской ТЭС")</f>
        <v>Годовое обслуживание комплекса инженерно-технических средств охраны (ИТСО) для Талаховской ТЭС</v>
      </c>
      <c r="G13885" s="22" t="s">
        <v>55</v>
      </c>
      <c r="H13885" s="22" t="s">
        <v>55</v>
      </c>
      <c r="I13885" s="26">
        <v>43521.684826388897</v>
      </c>
      <c r="J13885" s="23" t="str">
        <f>HYPERLINK("https://www.spark-marketing.ru/Card/Person/154667", "ООО ""АЛЬПАРИ""")</f>
        <v>ООО "АЛЬПАРИ"</v>
      </c>
      <c r="K13885" s="24" t="s">
        <v>16064</v>
      </c>
      <c r="L13885" s="22" t="s">
        <v>10</v>
      </c>
      <c r="M13885" s="25">
        <v>2400000</v>
      </c>
      <c r="N13885" s="27">
        <v>0.11468624414093823</v>
      </c>
    </row>
    <row r="13886" spans="1:14" hidden="1" outlineLevel="1" x14ac:dyDescent="0.2">
      <c r="A13886" s="23" t="str">
        <f>HYPERLINK("https://www.spark-marketing.ru/Card/Person/4348805", "АО ""ИНТЕР РАО-ЭЛЕКТРОГЕНЕРАЦИЯ""")</f>
        <v>АО "ИНТЕР РАО-ЭЛЕКТРОГЕНЕРАЦИЯ"</v>
      </c>
      <c r="B13886" s="24" t="s">
        <v>11062</v>
      </c>
      <c r="C13886" s="28" t="s">
        <v>52</v>
      </c>
      <c r="D13886" s="22" t="s">
        <v>16063</v>
      </c>
      <c r="E13886" s="22" t="s">
        <v>370</v>
      </c>
      <c r="F13886" s="23" t="str">
        <f>HYPERLINK("https://www.spark-marketing.ru/Card/Lot/68231724", "Годовое обслуживание комплекса инженерно-технических средств охраны (ИТСО) для Талаховской ТЭС")</f>
        <v>Годовое обслуживание комплекса инженерно-технических средств охраны (ИТСО) для Талаховской ТЭС</v>
      </c>
      <c r="G13886" s="22" t="s">
        <v>55</v>
      </c>
      <c r="H13886" s="22" t="s">
        <v>55</v>
      </c>
      <c r="I13886" s="26">
        <v>43521.684826388897</v>
      </c>
      <c r="J13886" s="23" t="str">
        <f>HYPERLINK("https://www.spark-marketing.ru/Card/Person/63572", "ЗАО ""ИНТЕХ""")</f>
        <v>ЗАО "ИНТЕХ"</v>
      </c>
      <c r="K13886" s="24" t="s">
        <v>2493</v>
      </c>
      <c r="L13886" s="28" t="s">
        <v>52</v>
      </c>
      <c r="M13886" s="25">
        <v>2450400</v>
      </c>
      <c r="N13886" s="27">
        <v>9.6094655267897941E-2</v>
      </c>
    </row>
    <row r="13887" spans="1:14" hidden="1" outlineLevel="1" x14ac:dyDescent="0.15">
      <c r="A13887" s="23" t="str">
        <f>HYPERLINK("https://www.spark-marketing.ru/Card/Person/4348805", "АО ""ИНТЕР РАО-ЭЛЕКТРОГЕНЕРАЦИЯ""")</f>
        <v>АО "ИНТЕР РАО-ЭЛЕКТРОГЕНЕРАЦИЯ"</v>
      </c>
      <c r="B13887" s="24" t="s">
        <v>11062</v>
      </c>
      <c r="C13887" s="28" t="s">
        <v>52</v>
      </c>
      <c r="D13887" s="22" t="s">
        <v>16063</v>
      </c>
      <c r="E13887" s="22" t="s">
        <v>370</v>
      </c>
      <c r="F13887" s="23" t="str">
        <f>HYPERLINK("https://www.spark-marketing.ru/Card/Lot/68231724", "Годовое обслуживание комплекса инженерно-технических средств охраны (ИТСО) для Талаховской ТЭС")</f>
        <v>Годовое обслуживание комплекса инженерно-технических средств охраны (ИТСО) для Талаховской ТЭС</v>
      </c>
      <c r="G13887" s="22" t="s">
        <v>55</v>
      </c>
      <c r="H13887" s="22" t="s">
        <v>55</v>
      </c>
      <c r="I13887" s="26">
        <v>43521.684826388897</v>
      </c>
      <c r="J13887" s="23" t="str">
        <f>HYPERLINK("https://www.spark-marketing.ru/Card/Person/93911", "ООО ""ЭНЕРГОСЕТЬ""")</f>
        <v>ООО "ЭНЕРГОСЕТЬ"</v>
      </c>
      <c r="K13887" s="24" t="s">
        <v>16065</v>
      </c>
      <c r="L13887" s="28" t="s">
        <v>52</v>
      </c>
      <c r="M13887" s="28" t="s">
        <v>52</v>
      </c>
      <c r="N13887" s="28" t="s">
        <v>52</v>
      </c>
    </row>
    <row r="13888" spans="1:14" hidden="1" outlineLevel="1" x14ac:dyDescent="0.15">
      <c r="A13888" s="23" t="str">
        <f>HYPERLINK("https://www.spark-marketing.ru/Card/Person/4348805", "АО ""ИНТЕР РАО-ЭЛЕКТРОГЕНЕРАЦИЯ""")</f>
        <v>АО "ИНТЕР РАО-ЭЛЕКТРОГЕНЕРАЦИЯ"</v>
      </c>
      <c r="B13888" s="24" t="s">
        <v>11062</v>
      </c>
      <c r="C13888" s="28" t="s">
        <v>52</v>
      </c>
      <c r="D13888" s="22" t="s">
        <v>16063</v>
      </c>
      <c r="E13888" s="22" t="s">
        <v>370</v>
      </c>
      <c r="F13888" s="23" t="str">
        <f>HYPERLINK("https://www.spark-marketing.ru/Card/Lot/68231724", "Годовое обслуживание комплекса инженерно-технических средств охраны (ИТСО) для Талаховской ТЭС")</f>
        <v>Годовое обслуживание комплекса инженерно-технических средств охраны (ИТСО) для Талаховской ТЭС</v>
      </c>
      <c r="G13888" s="22" t="s">
        <v>55</v>
      </c>
      <c r="H13888" s="22" t="s">
        <v>55</v>
      </c>
      <c r="I13888" s="26">
        <v>43521.684826388897</v>
      </c>
      <c r="J13888" s="23" t="str">
        <f>HYPERLINK("https://www.spark-marketing.ru/Card/Person/122774", "ООО ПМЦ ""СТАРТ-7""")</f>
        <v>ООО ПМЦ "СТАРТ-7"</v>
      </c>
      <c r="K13888" s="24" t="s">
        <v>16066</v>
      </c>
      <c r="L13888" s="28" t="s">
        <v>52</v>
      </c>
      <c r="M13888" s="28" t="s">
        <v>52</v>
      </c>
      <c r="N13888" s="28" t="s">
        <v>52</v>
      </c>
    </row>
    <row r="13889" spans="1:14" x14ac:dyDescent="0.15">
      <c r="A13889" s="23" t="str">
        <f>HYPERLINK("https://www.spark-marketing.ru/Card/Person/4355948", "ВЕРХОВНЫЙ СУД РИ")</f>
        <v>ВЕРХОВНЫЙ СУД РИ</v>
      </c>
      <c r="B13889" s="24" t="s">
        <v>1454</v>
      </c>
      <c r="C13889" s="25">
        <v>5352676.9800000004</v>
      </c>
      <c r="D13889" s="22" t="s">
        <v>16067</v>
      </c>
      <c r="E13889" s="22" t="s">
        <v>7738</v>
      </c>
      <c r="F13889" s="23" t="str">
        <f>HYPERLINK("https://www.spark-marketing.ru/Card/Lot/68231462", "Оказание услуг охраны имущества суда при его транспортировке")</f>
        <v>Оказание услуг охраны имущества суда при его транспортировке</v>
      </c>
      <c r="G13889" s="22" t="s">
        <v>648</v>
      </c>
      <c r="H13889" s="22" t="s">
        <v>1456</v>
      </c>
      <c r="I13889" s="26">
        <v>43521.691666666702</v>
      </c>
      <c r="J13889" s="23" t="str">
        <f>HYPERLINK("https://www.spark-marketing.ru/Card/Person/10487", "ФГУП ""ОХРАНА"" РОСГВАРДИИ")</f>
        <v>ФГУП "ОХРАНА" РОСГВАРДИИ</v>
      </c>
      <c r="K13889" s="24" t="s">
        <v>779</v>
      </c>
      <c r="L13889" s="22" t="s">
        <v>10</v>
      </c>
      <c r="M13889" s="28" t="s">
        <v>52</v>
      </c>
      <c r="N13889" s="28" t="s">
        <v>52</v>
      </c>
    </row>
    <row r="13890" spans="1:14" x14ac:dyDescent="0.15">
      <c r="A13890" s="23" t="str">
        <f>HYPERLINK("https://www.spark-marketing.ru/Card/Person/367562", "УПРАВЛЕНИЕ МИНЮСТА РОССИИ ПО КОСТРОМСКОЙ ОБЛАСТИ")</f>
        <v>УПРАВЛЕНИЕ МИНЮСТА РОССИИ ПО КОСТРОМСКОЙ ОБЛАСТИ</v>
      </c>
      <c r="B13890" s="24" t="s">
        <v>16043</v>
      </c>
      <c r="C13890" s="25">
        <v>37800</v>
      </c>
      <c r="D13890" s="22" t="s">
        <v>16068</v>
      </c>
      <c r="E13890" s="22" t="s">
        <v>53</v>
      </c>
      <c r="F13890" s="23" t="str">
        <f>HYPERLINK("https://www.spark-marketing.ru/Card/Lot/70797215", "техническое обслуживание комплекса технических средств охраны на объектах")</f>
        <v>техническое обслуживание комплекса технических средств охраны на объектах</v>
      </c>
      <c r="G13890" s="22" t="s">
        <v>1104</v>
      </c>
      <c r="H13890" s="22" t="s">
        <v>1105</v>
      </c>
      <c r="I13890" s="26">
        <v>43521.674143518503</v>
      </c>
      <c r="J13890" s="28" t="s">
        <v>52</v>
      </c>
      <c r="K13890" s="28" t="s">
        <v>52</v>
      </c>
      <c r="L13890" s="28" t="s">
        <v>52</v>
      </c>
      <c r="M13890" s="28" t="s">
        <v>52</v>
      </c>
      <c r="N13890" s="28" t="s">
        <v>52</v>
      </c>
    </row>
    <row r="13891" spans="1:14" x14ac:dyDescent="0.15">
      <c r="A13891" s="23" t="str">
        <f>HYPERLINK("https://www.spark-marketing.ru/Card/Person/4343740", "МИНЗДРАВ РОССИИ")</f>
        <v>МИНЗДРАВ РОССИИ</v>
      </c>
      <c r="B13891" s="24" t="s">
        <v>1666</v>
      </c>
      <c r="C13891" s="25">
        <v>999715554</v>
      </c>
      <c r="D13891" s="22" t="s">
        <v>16069</v>
      </c>
      <c r="E13891" s="22" t="s">
        <v>53</v>
      </c>
      <c r="F13891" s="23" t="str">
        <f>HYPERLINK("https://www.spark-marketing.ru/Card/Lot/68232797", "Экулизумаб, концентрат для приготовления раствора для инфузий, 10 мг/мл, 30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f>
        <v>Экулизумаб, концентрат для приготовления раствора для инфузий, 10 мг/мл, 30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v>
      </c>
      <c r="G13891" s="22" t="s">
        <v>428</v>
      </c>
      <c r="H13891" s="22" t="s">
        <v>429</v>
      </c>
      <c r="I13891" s="26">
        <v>43521.689583333296</v>
      </c>
      <c r="J13891" s="23" t="str">
        <f>HYPERLINK("https://www.spark-marketing.ru/Card/Person/50996", "ООО ""БИОТЭК""")</f>
        <v>ООО "БИОТЭК"</v>
      </c>
      <c r="K13891" s="24" t="s">
        <v>3462</v>
      </c>
      <c r="L13891" s="28" t="s">
        <v>52</v>
      </c>
      <c r="M13891" s="28" t="s">
        <v>52</v>
      </c>
      <c r="N13891" s="28" t="s">
        <v>52</v>
      </c>
    </row>
    <row r="13892" spans="1:14" ht="12.75" hidden="1" outlineLevel="1" x14ac:dyDescent="0.2">
      <c r="A13892" s="23" t="str">
        <f>HYPERLINK("https://www.spark-marketing.ru/Card/Person/4343740", "МИНЗДРАВ РОССИИ")</f>
        <v>МИНЗДРАВ РОССИИ</v>
      </c>
      <c r="B13892" s="24" t="s">
        <v>1666</v>
      </c>
      <c r="C13892" s="25">
        <v>999715554</v>
      </c>
      <c r="D13892" s="22" t="s">
        <v>16069</v>
      </c>
      <c r="E13892" s="22" t="s">
        <v>53</v>
      </c>
      <c r="F13892" s="23" t="str">
        <f>HYPERLINK("https://www.spark-marketing.ru/Card/Lot/68232797", "Экулизумаб, концентрат для приготовления раствора для инфузий, 10 мг/мл, 30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f>
        <v>Экулизумаб, концентрат для приготовления раствора для инфузий, 10 мг/мл, 30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v>
      </c>
      <c r="G13892" s="22" t="s">
        <v>428</v>
      </c>
      <c r="H13892" s="22" t="s">
        <v>429</v>
      </c>
      <c r="I13892" s="26">
        <v>43521.689583333296</v>
      </c>
      <c r="J13892" s="23" t="str">
        <f>HYPERLINK("https://www.spark-marketing.ru/Card/Person/50996", "ООО ""БИОТЭК""")</f>
        <v>ООО "БИОТЭК"</v>
      </c>
      <c r="K13892" s="24" t="s">
        <v>3462</v>
      </c>
      <c r="L13892" s="22" t="s">
        <v>10</v>
      </c>
      <c r="M13892" s="25">
        <v>994716976.23000002</v>
      </c>
      <c r="N13892" s="27">
        <v>5.0000000000000001E-3</v>
      </c>
    </row>
    <row r="13893" spans="1:14" x14ac:dyDescent="0.15">
      <c r="A13893" s="23" t="str">
        <f>HYPERLINK("https://www.spark-marketing.ru/Card/Person/261878", "БРЯНСКИЙ ГОРОДСКОЙ СОВЕТ НАРОДНЫХ ДЕПУТАТОВ")</f>
        <v>БРЯНСКИЙ ГОРОДСКОЙ СОВЕТ НАРОДНЫХ ДЕПУТАТОВ</v>
      </c>
      <c r="B13893" s="24" t="s">
        <v>16070</v>
      </c>
      <c r="C13893" s="25">
        <v>10000</v>
      </c>
      <c r="D13893" s="22" t="s">
        <v>16071</v>
      </c>
      <c r="E13893" s="22" t="s">
        <v>234</v>
      </c>
      <c r="F13893" s="23" t="str">
        <f>HYPERLINK("https://www.spark-marketing.ru/Card/Lot/68229108", "Оказание услуг по техническому обслуживанию систем видеонаблюдения")</f>
        <v>Оказание услуг по техническому обслуживанию систем видеонаблюдения</v>
      </c>
      <c r="G13893" s="22" t="s">
        <v>215</v>
      </c>
      <c r="H13893" s="22" t="s">
        <v>215</v>
      </c>
      <c r="I13893" s="26">
        <v>43521.663194444402</v>
      </c>
      <c r="J13893" s="28" t="s">
        <v>52</v>
      </c>
      <c r="K13893" s="28" t="s">
        <v>52</v>
      </c>
      <c r="L13893" s="28" t="s">
        <v>52</v>
      </c>
      <c r="M13893" s="28" t="s">
        <v>52</v>
      </c>
      <c r="N13893" s="28" t="s">
        <v>52</v>
      </c>
    </row>
    <row r="13894" spans="1:14" hidden="1" outlineLevel="1" x14ac:dyDescent="0.2">
      <c r="A13894" s="23" t="str">
        <f>HYPERLINK("https://www.spark-marketing.ru/Card/Person/261878", "БРЯНСКИЙ ГОРОДСКОЙ СОВЕТ НАРОДНЫХ ДЕПУТАТОВ")</f>
        <v>БРЯНСКИЙ ГОРОДСКОЙ СОВЕТ НАРОДНЫХ ДЕПУТАТОВ</v>
      </c>
      <c r="B13894" s="24" t="s">
        <v>16070</v>
      </c>
      <c r="C13894" s="25">
        <v>10000</v>
      </c>
      <c r="D13894" s="22" t="s">
        <v>16071</v>
      </c>
      <c r="E13894" s="22" t="s">
        <v>234</v>
      </c>
      <c r="F13894" s="23" t="str">
        <f>HYPERLINK("https://www.spark-marketing.ru/Card/Lot/68229108", "Оказание услуг по техническому обслуживанию систем видеонаблюдения")</f>
        <v>Оказание услуг по техническому обслуживанию систем видеонаблюдения</v>
      </c>
      <c r="G13894" s="22" t="s">
        <v>215</v>
      </c>
      <c r="H13894" s="22" t="s">
        <v>215</v>
      </c>
      <c r="I13894" s="26">
        <v>43521.663194444402</v>
      </c>
      <c r="J13894" s="23" t="str">
        <f>HYPERLINK("https://www.spark-marketing.ru/Card/Person/116994", "ООО ""СИСТЕМЫ БЕЗОПАСНОСТИ-СЕРВИС ПЛЮС""")</f>
        <v>ООО "СИСТЕМЫ БЕЗОПАСНОСТИ-СЕРВИС ПЛЮС"</v>
      </c>
      <c r="K13894" s="24" t="s">
        <v>16072</v>
      </c>
      <c r="L13894" s="28" t="s">
        <v>52</v>
      </c>
      <c r="M13894" s="25">
        <v>9800</v>
      </c>
      <c r="N13894" s="27">
        <v>0.02</v>
      </c>
    </row>
    <row r="13895" spans="1:14" ht="12.75" hidden="1" outlineLevel="1" x14ac:dyDescent="0.2">
      <c r="A13895" s="23" t="str">
        <f>HYPERLINK("https://www.spark-marketing.ru/Card/Person/261878", "БРЯНСКИЙ ГОРОДСКОЙ СОВЕТ НАРОДНЫХ ДЕПУТАТОВ")</f>
        <v>БРЯНСКИЙ ГОРОДСКОЙ СОВЕТ НАРОДНЫХ ДЕПУТАТОВ</v>
      </c>
      <c r="B13895" s="24" t="s">
        <v>16070</v>
      </c>
      <c r="C13895" s="25">
        <v>10000</v>
      </c>
      <c r="D13895" s="22" t="s">
        <v>16071</v>
      </c>
      <c r="E13895" s="22" t="s">
        <v>234</v>
      </c>
      <c r="F13895" s="23" t="str">
        <f>HYPERLINK("https://www.spark-marketing.ru/Card/Lot/68229108", "Оказание услуг по техническому обслуживанию систем видеонаблюдения")</f>
        <v>Оказание услуг по техническому обслуживанию систем видеонаблюдения</v>
      </c>
      <c r="G13895" s="22" t="s">
        <v>215</v>
      </c>
      <c r="H13895" s="22" t="s">
        <v>215</v>
      </c>
      <c r="I13895" s="26">
        <v>43521.663194444402</v>
      </c>
      <c r="J13895" s="23" t="str">
        <f>HYPERLINK("https://www.spark-marketing.ru/Card/Person/4354520", "ООО ""ТЕХНОСЕРВИС""")</f>
        <v>ООО "ТЕХНОСЕРВИС"</v>
      </c>
      <c r="K13895" s="24" t="s">
        <v>16073</v>
      </c>
      <c r="L13895" s="22" t="s">
        <v>10</v>
      </c>
      <c r="M13895" s="25">
        <v>9700</v>
      </c>
      <c r="N13895" s="27">
        <v>0.03</v>
      </c>
    </row>
    <row r="13896" spans="1:14" x14ac:dyDescent="0.15">
      <c r="A13896" s="23" t="str">
        <f>HYPERLINK("https://www.spark-marketing.ru/Card/Person/92360", "ГКУСО МО ""ДОЛГОПРУДНЕНСКИЙ СРЦН ""ПОЛЕТ""")</f>
        <v>ГКУСО МО "ДОЛГОПРУДНЕНСКИЙ СРЦН "ПОЛЕТ"</v>
      </c>
      <c r="B13896" s="24" t="s">
        <v>15986</v>
      </c>
      <c r="C13896" s="25">
        <v>26941.62</v>
      </c>
      <c r="D13896" s="22" t="s">
        <v>16074</v>
      </c>
      <c r="E13896" s="22" t="s">
        <v>59</v>
      </c>
      <c r="F13896" s="23" t="str">
        <f>HYPERLINK("https://www.spark-marketing.ru/Card/Lot/68537734", "Установка видеодомофона")</f>
        <v>Установка видеодомофона</v>
      </c>
      <c r="G13896" s="22" t="s">
        <v>50</v>
      </c>
      <c r="H13896" s="22" t="s">
        <v>3866</v>
      </c>
      <c r="I13896" s="26">
        <v>43521.628703703696</v>
      </c>
      <c r="J13896" s="28" t="s">
        <v>52</v>
      </c>
      <c r="K13896" s="28" t="s">
        <v>52</v>
      </c>
      <c r="L13896" s="28" t="s">
        <v>52</v>
      </c>
      <c r="M13896" s="28" t="s">
        <v>52</v>
      </c>
      <c r="N13896" s="28" t="s">
        <v>52</v>
      </c>
    </row>
    <row r="13897" spans="1:14" x14ac:dyDescent="0.15">
      <c r="A13897" s="23" t="str">
        <f>HYPERLINK("https://www.spark-marketing.ru/Card/Person/998430", "МБУДО ДШИ Г. ШЕБЕКИНО")</f>
        <v>МБУДО ДШИ Г. ШЕБЕКИНО</v>
      </c>
      <c r="B13897" s="24" t="s">
        <v>16075</v>
      </c>
      <c r="C13897" s="25">
        <v>25000</v>
      </c>
      <c r="D13897" s="22" t="s">
        <v>16076</v>
      </c>
      <c r="E13897" s="22" t="s">
        <v>107</v>
      </c>
      <c r="F13897" s="23" t="str">
        <f>HYPERLINK("https://www.spark-marketing.ru/Card/Lot/68223112", "Оказание услуг по техническому обслуживанию системы видеонаблюдения")</f>
        <v>Оказание услуг по техническому обслуживанию системы видеонаблюдения</v>
      </c>
      <c r="G13897" s="22" t="s">
        <v>176</v>
      </c>
      <c r="H13897" s="22" t="s">
        <v>13545</v>
      </c>
      <c r="I13897" s="26">
        <v>43521.642361111102</v>
      </c>
      <c r="J13897" s="28" t="s">
        <v>52</v>
      </c>
      <c r="K13897" s="28" t="s">
        <v>52</v>
      </c>
      <c r="L13897" s="28" t="s">
        <v>52</v>
      </c>
      <c r="M13897" s="28" t="s">
        <v>52</v>
      </c>
      <c r="N13897" s="28" t="s">
        <v>52</v>
      </c>
    </row>
    <row r="13898" spans="1:14" x14ac:dyDescent="0.15">
      <c r="A13898" s="23" t="str">
        <f t="shared" ref="A13898:A13905" si="734">HYPERLINK("https://www.spark-marketing.ru/Card/Person/108471", "КОМИТЕТ ИМУЩЕСТВЕННЫХ ОТНОШЕНИЙ И ТЕРРИТОРИАЛЬНОГО ПЛАНИРОВАНИЯ АДМИНИСТРАЦИИ МУНИЦИПАЛЬНОГО ОБРАЗОВАНИЯ КАНДАЛАКШСКИЙ РАЙОН")</f>
        <v>КОМИТЕТ ИМУЩЕСТВЕННЫХ ОТНОШЕНИЙ И ТЕРРИТОРИАЛЬНОГО ПЛАНИРОВАНИЯ АДМИНИСТРАЦИИ МУНИЦИПАЛЬНОГО ОБРАЗОВАНИЯ КАНДАЛАКШСКИЙ РАЙОН</v>
      </c>
      <c r="B13898" s="24" t="s">
        <v>16077</v>
      </c>
      <c r="C13898" s="25">
        <v>135000</v>
      </c>
      <c r="D13898" s="22" t="s">
        <v>16078</v>
      </c>
      <c r="E13898" s="22" t="s">
        <v>52</v>
      </c>
      <c r="F13898" s="23" t="str">
        <f>HYPERLINK("https://www.spark-marketing.ru/Card/Lot/68228976", "Охрана имущества, находящегося в собственности муниципального образования Кандалакшский район")</f>
        <v>Охрана имущества, находящегося в собственности муниципального образования Кандалакшский район</v>
      </c>
      <c r="G13898" s="22" t="s">
        <v>190</v>
      </c>
      <c r="H13898" s="22" t="s">
        <v>2866</v>
      </c>
      <c r="I13898" s="26">
        <v>43521.649305555598</v>
      </c>
      <c r="J13898" s="28" t="s">
        <v>52</v>
      </c>
      <c r="K13898" s="28" t="s">
        <v>52</v>
      </c>
      <c r="L13898" s="28" t="s">
        <v>52</v>
      </c>
      <c r="M13898" s="28" t="s">
        <v>52</v>
      </c>
      <c r="N13898" s="28" t="s">
        <v>52</v>
      </c>
    </row>
    <row r="13899" spans="1:14" hidden="1" outlineLevel="1" x14ac:dyDescent="0.2">
      <c r="A13899" s="23" t="str">
        <f t="shared" si="734"/>
        <v>КОМИТЕТ ИМУЩЕСТВЕННЫХ ОТНОШЕНИЙ И ТЕРРИТОРИАЛЬНОГО ПЛАНИРОВАНИЯ АДМИНИСТРАЦИИ МУНИЦИПАЛЬНОГО ОБРАЗОВАНИЯ КАНДАЛАКШСКИЙ РАЙОН</v>
      </c>
      <c r="B13899" s="24" t="s">
        <v>16077</v>
      </c>
      <c r="C13899" s="25">
        <v>135000</v>
      </c>
      <c r="D13899" s="22" t="s">
        <v>16078</v>
      </c>
      <c r="E13899" s="22" t="s">
        <v>52</v>
      </c>
      <c r="F13899" s="23" t="str">
        <f>HYPERLINK("https://www.spark-marketing.ru/Card/Lot/68228976", "Охрана имущества, находящегося в собственности муниципального образования Кандалакшский район")</f>
        <v>Охрана имущества, находящегося в собственности муниципального образования Кандалакшский район</v>
      </c>
      <c r="G13899" s="22" t="s">
        <v>190</v>
      </c>
      <c r="H13899" s="22" t="s">
        <v>2866</v>
      </c>
      <c r="I13899" s="26">
        <v>43521.649305555598</v>
      </c>
      <c r="J13899" s="23" t="str">
        <f>HYPERLINK("https://www.spark-marketing.ru/Card/Person/719858", "ООО ЧОО ""ОХРАНА-СЕРВИС""")</f>
        <v>ООО ЧОО "ОХРАНА-СЕРВИС"</v>
      </c>
      <c r="K13899" s="24" t="s">
        <v>16079</v>
      </c>
      <c r="L13899" s="28" t="s">
        <v>52</v>
      </c>
      <c r="M13899" s="25">
        <v>123900</v>
      </c>
      <c r="N13899" s="27">
        <v>8.2222222222222224E-2</v>
      </c>
    </row>
    <row r="13900" spans="1:14" ht="12.75" hidden="1" outlineLevel="1" x14ac:dyDescent="0.2">
      <c r="A13900" s="23" t="str">
        <f t="shared" si="734"/>
        <v>КОМИТЕТ ИМУЩЕСТВЕННЫХ ОТНОШЕНИЙ И ТЕРРИТОРИАЛЬНОГО ПЛАНИРОВАНИЯ АДМИНИСТРАЦИИ МУНИЦИПАЛЬНОГО ОБРАЗОВАНИЯ КАНДАЛАКШСКИЙ РАЙОН</v>
      </c>
      <c r="B13900" s="24" t="s">
        <v>16077</v>
      </c>
      <c r="C13900" s="25">
        <v>135000</v>
      </c>
      <c r="D13900" s="22" t="s">
        <v>16078</v>
      </c>
      <c r="E13900" s="22" t="s">
        <v>52</v>
      </c>
      <c r="F13900" s="23" t="str">
        <f>HYPERLINK("https://www.spark-marketing.ru/Card/Lot/68228976", "Охрана имущества, находящегося в собственности муниципального образования Кандалакшский район")</f>
        <v>Охрана имущества, находящегося в собственности муниципального образования Кандалакшский район</v>
      </c>
      <c r="G13900" s="22" t="s">
        <v>190</v>
      </c>
      <c r="H13900" s="22" t="s">
        <v>2866</v>
      </c>
      <c r="I13900" s="26">
        <v>43521.649305555598</v>
      </c>
      <c r="J13900" s="23" t="str">
        <f>HYPERLINK("https://www.spark-marketing.ru/Card/Person/399292", "ООО ""ВЫМПЕЛ""")</f>
        <v>ООО "ВЫМПЕЛ"</v>
      </c>
      <c r="K13900" s="24" t="s">
        <v>16080</v>
      </c>
      <c r="L13900" s="22" t="s">
        <v>10</v>
      </c>
      <c r="M13900" s="25">
        <v>74325</v>
      </c>
      <c r="N13900" s="27">
        <v>0.44944444444444442</v>
      </c>
    </row>
    <row r="13901" spans="1:14" hidden="1" outlineLevel="1" x14ac:dyDescent="0.2">
      <c r="A13901" s="23" t="str">
        <f t="shared" si="734"/>
        <v>КОМИТЕТ ИМУЩЕСТВЕННЫХ ОТНОШЕНИЙ И ТЕРРИТОРИАЛЬНОГО ПЛАНИРОВАНИЯ АДМИНИСТРАЦИИ МУНИЦИПАЛЬНОГО ОБРАЗОВАНИЯ КАНДАЛАКШСКИЙ РАЙОН</v>
      </c>
      <c r="B13901" s="24" t="s">
        <v>16077</v>
      </c>
      <c r="C13901" s="25">
        <v>135000</v>
      </c>
      <c r="D13901" s="22" t="s">
        <v>16078</v>
      </c>
      <c r="E13901" s="22" t="s">
        <v>52</v>
      </c>
      <c r="F13901" s="23" t="str">
        <f>HYPERLINK("https://www.spark-marketing.ru/Card/Lot/68228976", "Охрана имущества, находящегося в собственности муниципального образования Кандалакшский район")</f>
        <v>Охрана имущества, находящегося в собственности муниципального образования Кандалакшский район</v>
      </c>
      <c r="G13901" s="22" t="s">
        <v>190</v>
      </c>
      <c r="H13901" s="22" t="s">
        <v>2866</v>
      </c>
      <c r="I13901" s="26">
        <v>43521.649305555598</v>
      </c>
      <c r="J13901" s="23" t="str">
        <f>HYPERLINK("https://www.spark-marketing.ru/Card/Person/65635", "ООО ""ЧОП ""БАСТИОН""")</f>
        <v>ООО "ЧОП "БАСТИОН"</v>
      </c>
      <c r="K13901" s="24" t="s">
        <v>16081</v>
      </c>
      <c r="L13901" s="28" t="s">
        <v>52</v>
      </c>
      <c r="M13901" s="25">
        <v>75000</v>
      </c>
      <c r="N13901" s="27">
        <v>0.44444444444444442</v>
      </c>
    </row>
    <row r="13902" spans="1:14" x14ac:dyDescent="0.15">
      <c r="A13902" s="23" t="str">
        <f t="shared" si="734"/>
        <v>КОМИТЕТ ИМУЩЕСТВЕННЫХ ОТНОШЕНИЙ И ТЕРРИТОРИАЛЬНОГО ПЛАНИРОВАНИЯ АДМИНИСТРАЦИИ МУНИЦИПАЛЬНОГО ОБРАЗОВАНИЯ КАНДАЛАКШСКИЙ РАЙОН</v>
      </c>
      <c r="B13902" s="24" t="s">
        <v>16077</v>
      </c>
      <c r="C13902" s="25">
        <v>150000</v>
      </c>
      <c r="D13902" s="22" t="s">
        <v>16082</v>
      </c>
      <c r="E13902" s="22" t="s">
        <v>52</v>
      </c>
      <c r="F13902" s="23" t="str">
        <f>HYPERLINK("https://www.spark-marketing.ru/Card/Lot/68231292", "Охрана имущества, находящегося в собственности муниципального образования Кандалакшский район")</f>
        <v>Охрана имущества, находящегося в собственности муниципального образования Кандалакшский район</v>
      </c>
      <c r="G13902" s="22" t="s">
        <v>190</v>
      </c>
      <c r="H13902" s="22" t="s">
        <v>2866</v>
      </c>
      <c r="I13902" s="26">
        <v>43521.65</v>
      </c>
      <c r="J13902" s="28" t="s">
        <v>52</v>
      </c>
      <c r="K13902" s="28" t="s">
        <v>52</v>
      </c>
      <c r="L13902" s="28" t="s">
        <v>52</v>
      </c>
      <c r="M13902" s="28" t="s">
        <v>52</v>
      </c>
      <c r="N13902" s="28" t="s">
        <v>52</v>
      </c>
    </row>
    <row r="13903" spans="1:14" ht="12.75" hidden="1" outlineLevel="1" x14ac:dyDescent="0.2">
      <c r="A13903" s="23" t="str">
        <f t="shared" si="734"/>
        <v>КОМИТЕТ ИМУЩЕСТВЕННЫХ ОТНОШЕНИЙ И ТЕРРИТОРИАЛЬНОГО ПЛАНИРОВАНИЯ АДМИНИСТРАЦИИ МУНИЦИПАЛЬНОГО ОБРАЗОВАНИЯ КАНДАЛАКШСКИЙ РАЙОН</v>
      </c>
      <c r="B13903" s="24" t="s">
        <v>16077</v>
      </c>
      <c r="C13903" s="25">
        <v>150000</v>
      </c>
      <c r="D13903" s="22" t="s">
        <v>16082</v>
      </c>
      <c r="E13903" s="22" t="s">
        <v>52</v>
      </c>
      <c r="F13903" s="23" t="str">
        <f>HYPERLINK("https://www.spark-marketing.ru/Card/Lot/68231292", "Охрана имущества, находящегося в собственности муниципального образования Кандалакшский район")</f>
        <v>Охрана имущества, находящегося в собственности муниципального образования Кандалакшский район</v>
      </c>
      <c r="G13903" s="22" t="s">
        <v>190</v>
      </c>
      <c r="H13903" s="22" t="s">
        <v>2866</v>
      </c>
      <c r="I13903" s="26">
        <v>43521.65</v>
      </c>
      <c r="J13903" s="23" t="str">
        <f>HYPERLINK("https://www.spark-marketing.ru/Card/Person/399292", "ООО ""ВЫМПЕЛ""")</f>
        <v>ООО "ВЫМПЕЛ"</v>
      </c>
      <c r="K13903" s="24" t="s">
        <v>16080</v>
      </c>
      <c r="L13903" s="22" t="s">
        <v>10</v>
      </c>
      <c r="M13903" s="25">
        <v>133500</v>
      </c>
      <c r="N13903" s="27">
        <v>0.11</v>
      </c>
    </row>
    <row r="13904" spans="1:14" hidden="1" outlineLevel="1" x14ac:dyDescent="0.2">
      <c r="A13904" s="23" t="str">
        <f t="shared" si="734"/>
        <v>КОМИТЕТ ИМУЩЕСТВЕННЫХ ОТНОШЕНИЙ И ТЕРРИТОРИАЛЬНОГО ПЛАНИРОВАНИЯ АДМИНИСТРАЦИИ МУНИЦИПАЛЬНОГО ОБРАЗОВАНИЯ КАНДАЛАКШСКИЙ РАЙОН</v>
      </c>
      <c r="B13904" s="24" t="s">
        <v>16077</v>
      </c>
      <c r="C13904" s="25">
        <v>150000</v>
      </c>
      <c r="D13904" s="22" t="s">
        <v>16082</v>
      </c>
      <c r="E13904" s="22" t="s">
        <v>52</v>
      </c>
      <c r="F13904" s="23" t="str">
        <f>HYPERLINK("https://www.spark-marketing.ru/Card/Lot/68231292", "Охрана имущества, находящегося в собственности муниципального образования Кандалакшский район")</f>
        <v>Охрана имущества, находящегося в собственности муниципального образования Кандалакшский район</v>
      </c>
      <c r="G13904" s="22" t="s">
        <v>190</v>
      </c>
      <c r="H13904" s="22" t="s">
        <v>2866</v>
      </c>
      <c r="I13904" s="26">
        <v>43521.65</v>
      </c>
      <c r="J13904" s="23" t="str">
        <f>HYPERLINK("https://www.spark-marketing.ru/Card/Person/719858", "ООО ЧОО ""ОХРАНА-СЕРВИС""")</f>
        <v>ООО ЧОО "ОХРАНА-СЕРВИС"</v>
      </c>
      <c r="K13904" s="24" t="s">
        <v>16079</v>
      </c>
      <c r="L13904" s="28" t="s">
        <v>52</v>
      </c>
      <c r="M13904" s="25">
        <v>141000</v>
      </c>
      <c r="N13904" s="27">
        <v>0.06</v>
      </c>
    </row>
    <row r="13905" spans="1:14" x14ac:dyDescent="0.15">
      <c r="A13905" s="23" t="str">
        <f t="shared" si="734"/>
        <v>КОМИТЕТ ИМУЩЕСТВЕННЫХ ОТНОШЕНИЙ И ТЕРРИТОРИАЛЬНОГО ПЛАНИРОВАНИЯ АДМИНИСТРАЦИИ МУНИЦИПАЛЬНОГО ОБРАЗОВАНИЯ КАНДАЛАКШСКИЙ РАЙОН</v>
      </c>
      <c r="B13905" s="24" t="s">
        <v>16077</v>
      </c>
      <c r="C13905" s="25">
        <v>270000</v>
      </c>
      <c r="D13905" s="22" t="s">
        <v>16083</v>
      </c>
      <c r="E13905" s="22" t="s">
        <v>52</v>
      </c>
      <c r="F13905" s="23" t="str">
        <f>HYPERLINK("https://www.spark-marketing.ru/Card/Lot/68229663", "Охрана имущества, находящегося в собственности муниципального образования Кандалакшский район")</f>
        <v>Охрана имущества, находящегося в собственности муниципального образования Кандалакшский район</v>
      </c>
      <c r="G13905" s="22" t="s">
        <v>190</v>
      </c>
      <c r="H13905" s="22" t="s">
        <v>2866</v>
      </c>
      <c r="I13905" s="26">
        <v>43521.649305555598</v>
      </c>
      <c r="J13905" s="23" t="str">
        <f>HYPERLINK("https://www.spark-marketing.ru/Card/Person/74587", "ООО ОХРАННОЕ ПРЕДПРИЯТИЕ ""СТРАЙК""")</f>
        <v>ООО ОХРАННОЕ ПРЕДПРИЯТИЕ "СТРАЙК"</v>
      </c>
      <c r="K13905" s="24" t="s">
        <v>16084</v>
      </c>
      <c r="L13905" s="22" t="s">
        <v>10</v>
      </c>
      <c r="M13905" s="28" t="s">
        <v>52</v>
      </c>
      <c r="N13905" s="28" t="s">
        <v>52</v>
      </c>
    </row>
    <row r="13906" spans="1:14" x14ac:dyDescent="0.15">
      <c r="A13906" s="23" t="str">
        <f>HYPERLINK("https://www.spark-marketing.ru/Card/Person/1083071", "МКУ ""ЦКОД""")</f>
        <v>МКУ "ЦКОД"</v>
      </c>
      <c r="B13906" s="24" t="s">
        <v>16085</v>
      </c>
      <c r="C13906" s="25">
        <v>17666.7</v>
      </c>
      <c r="D13906" s="22" t="s">
        <v>16086</v>
      </c>
      <c r="E13906" s="22" t="s">
        <v>234</v>
      </c>
      <c r="F13906" s="23" t="str">
        <f>HYPERLINK("https://www.spark-marketing.ru/Card/Lot/68231063", "Техническое обслуживание домофона,  системы видеонаблюдения, системы контроля доступа на территорию и в служебные помещения")</f>
        <v>Техническое обслуживание домофона,  системы видеонаблюдения, системы контроля доступа на территорию и в служебные помещения</v>
      </c>
      <c r="G13906" s="22" t="s">
        <v>902</v>
      </c>
      <c r="H13906" s="22" t="s">
        <v>902</v>
      </c>
      <c r="I13906" s="26">
        <v>43521.643750000003</v>
      </c>
      <c r="J13906" s="23" t="str">
        <f>HYPERLINK("https://www.spark-marketing.ru/Card/Person/6064918", "Клишевский Алексей Анатольевич")</f>
        <v>Клишевский Алексей Анатольевич</v>
      </c>
      <c r="K13906" s="24" t="s">
        <v>16087</v>
      </c>
      <c r="L13906" s="22" t="s">
        <v>10</v>
      </c>
      <c r="M13906" s="28" t="s">
        <v>52</v>
      </c>
      <c r="N13906" s="28" t="s">
        <v>52</v>
      </c>
    </row>
    <row r="13907" spans="1:14" x14ac:dyDescent="0.15">
      <c r="A13907" s="23" t="str">
        <f>HYPERLINK("https://www.spark-marketing.ru/Card/Person/108471", "КОМИТЕТ ИМУЩЕСТВЕННЫХ ОТНОШЕНИЙ И ТЕРРИТОРИАЛЬНОГО ПЛАНИРОВАНИЯ АДМИНИСТРАЦИИ МУНИЦИПАЛЬНОГО ОБРАЗОВАНИЯ КАНДАЛАКШСКИЙ РАЙОН")</f>
        <v>КОМИТЕТ ИМУЩЕСТВЕННЫХ ОТНОШЕНИЙ И ТЕРРИТОРИАЛЬНОГО ПЛАНИРОВАНИЯ АДМИНИСТРАЦИИ МУНИЦИПАЛЬНОГО ОБРАЗОВАНИЯ КАНДАЛАКШСКИЙ РАЙОН</v>
      </c>
      <c r="B13907" s="24" t="s">
        <v>16077</v>
      </c>
      <c r="C13907" s="25">
        <v>270000</v>
      </c>
      <c r="D13907" s="22" t="s">
        <v>16088</v>
      </c>
      <c r="E13907" s="22" t="s">
        <v>52</v>
      </c>
      <c r="F13907" s="23" t="str">
        <f>HYPERLINK("https://www.spark-marketing.ru/Card/Lot/68229662", "Охрана имущества, находящегося в собственности муниципального образования Кандалакшский район")</f>
        <v>Охрана имущества, находящегося в собственности муниципального образования Кандалакшский район</v>
      </c>
      <c r="G13907" s="22" t="s">
        <v>190</v>
      </c>
      <c r="H13907" s="22" t="s">
        <v>2866</v>
      </c>
      <c r="I13907" s="26">
        <v>43521.65</v>
      </c>
      <c r="J13907" s="28" t="s">
        <v>52</v>
      </c>
      <c r="K13907" s="28" t="s">
        <v>52</v>
      </c>
      <c r="L13907" s="28" t="s">
        <v>52</v>
      </c>
      <c r="M13907" s="28" t="s">
        <v>52</v>
      </c>
      <c r="N13907" s="28" t="s">
        <v>52</v>
      </c>
    </row>
    <row r="13908" spans="1:14" hidden="1" outlineLevel="1" x14ac:dyDescent="0.2">
      <c r="A13908" s="23" t="str">
        <f>HYPERLINK("https://www.spark-marketing.ru/Card/Person/108471", "КОМИТЕТ ИМУЩЕСТВЕННЫХ ОТНОШЕНИЙ И ТЕРРИТОРИАЛЬНОГО ПЛАНИРОВАНИЯ АДМИНИСТРАЦИИ МУНИЦИПАЛЬНОГО ОБРАЗОВАНИЯ КАНДАЛАКШСКИЙ РАЙОН")</f>
        <v>КОМИТЕТ ИМУЩЕСТВЕННЫХ ОТНОШЕНИЙ И ТЕРРИТОРИАЛЬНОГО ПЛАНИРОВАНИЯ АДМИНИСТРАЦИИ МУНИЦИПАЛЬНОГО ОБРАЗОВАНИЯ КАНДАЛАКШСКИЙ РАЙОН</v>
      </c>
      <c r="B13908" s="24" t="s">
        <v>16077</v>
      </c>
      <c r="C13908" s="25">
        <v>270000</v>
      </c>
      <c r="D13908" s="22" t="s">
        <v>16088</v>
      </c>
      <c r="E13908" s="22" t="s">
        <v>52</v>
      </c>
      <c r="F13908" s="23" t="str">
        <f>HYPERLINK("https://www.spark-marketing.ru/Card/Lot/68229662", "Охрана имущества, находящегося в собственности муниципального образования Кандалакшский район")</f>
        <v>Охрана имущества, находящегося в собственности муниципального образования Кандалакшский район</v>
      </c>
      <c r="G13908" s="22" t="s">
        <v>190</v>
      </c>
      <c r="H13908" s="22" t="s">
        <v>2866</v>
      </c>
      <c r="I13908" s="26">
        <v>43521.65</v>
      </c>
      <c r="J13908" s="23" t="str">
        <f>HYPERLINK("https://www.spark-marketing.ru/Card/Person/5927646", "ООО ЧОО ""ГРУМАНТ-КВ""")</f>
        <v>ООО ЧОО "ГРУМАНТ-КВ"</v>
      </c>
      <c r="K13908" s="24" t="s">
        <v>16089</v>
      </c>
      <c r="L13908" s="28" t="s">
        <v>52</v>
      </c>
      <c r="M13908" s="25">
        <v>231150</v>
      </c>
      <c r="N13908" s="27">
        <v>0.1438888888888889</v>
      </c>
    </row>
    <row r="13909" spans="1:14" ht="12.75" hidden="1" outlineLevel="1" x14ac:dyDescent="0.2">
      <c r="A13909" s="23" t="str">
        <f>HYPERLINK("https://www.spark-marketing.ru/Card/Person/108471", "КОМИТЕТ ИМУЩЕСТВЕННЫХ ОТНОШЕНИЙ И ТЕРРИТОРИАЛЬНОГО ПЛАНИРОВАНИЯ АДМИНИСТРАЦИИ МУНИЦИПАЛЬНОГО ОБРАЗОВАНИЯ КАНДАЛАКШСКИЙ РАЙОН")</f>
        <v>КОМИТЕТ ИМУЩЕСТВЕННЫХ ОТНОШЕНИЙ И ТЕРРИТОРИАЛЬНОГО ПЛАНИРОВАНИЯ АДМИНИСТРАЦИИ МУНИЦИПАЛЬНОГО ОБРАЗОВАНИЯ КАНДАЛАКШСКИЙ РАЙОН</v>
      </c>
      <c r="B13909" s="24" t="s">
        <v>16077</v>
      </c>
      <c r="C13909" s="25">
        <v>270000</v>
      </c>
      <c r="D13909" s="22" t="s">
        <v>16088</v>
      </c>
      <c r="E13909" s="22" t="s">
        <v>52</v>
      </c>
      <c r="F13909" s="23" t="str">
        <f>HYPERLINK("https://www.spark-marketing.ru/Card/Lot/68229662", "Охрана имущества, находящегося в собственности муниципального образования Кандалакшский район")</f>
        <v>Охрана имущества, находящегося в собственности муниципального образования Кандалакшский район</v>
      </c>
      <c r="G13909" s="22" t="s">
        <v>190</v>
      </c>
      <c r="H13909" s="22" t="s">
        <v>2866</v>
      </c>
      <c r="I13909" s="26">
        <v>43521.65</v>
      </c>
      <c r="J13909" s="23" t="str">
        <f>HYPERLINK("https://www.spark-marketing.ru/Card/Person/74587", "ООО ОХРАННОЕ ПРЕДПРИЯТИЕ ""СТРАЙК""")</f>
        <v>ООО ОХРАННОЕ ПРЕДПРИЯТИЕ "СТРАЙК"</v>
      </c>
      <c r="K13909" s="24" t="s">
        <v>16084</v>
      </c>
      <c r="L13909" s="22" t="s">
        <v>10</v>
      </c>
      <c r="M13909" s="25">
        <v>228000</v>
      </c>
      <c r="N13909" s="27">
        <v>0.15555555555555556</v>
      </c>
    </row>
    <row r="13910" spans="1:14" x14ac:dyDescent="0.15">
      <c r="A13910" s="23" t="str">
        <f>HYPERLINK("https://www.spark-marketing.ru/Card/Person/52487", "ГБУ РО ""ОКЦФП""")</f>
        <v>ГБУ РО "ОКЦФП"</v>
      </c>
      <c r="B13910" s="24" t="s">
        <v>9644</v>
      </c>
      <c r="C13910" s="25">
        <v>95896.74</v>
      </c>
      <c r="D13910" s="22" t="s">
        <v>16090</v>
      </c>
      <c r="E13910" s="22" t="s">
        <v>1013</v>
      </c>
      <c r="F13910" s="23" t="str">
        <f>HYPERLINK("https://www.spark-marketing.ru/Card/Lot/68231434", "Услуги по охране (тревожная сигнализация и охранная сигнализация) на 9 месяцев с 01.04.2019г. по 31.12.2019г. для нужд Цимлянского филиала ГБУ РО ""ОКЦФП""")</f>
        <v>Услуги по охране (тревожная сигнализация и охранная сигнализация) на 9 месяцев с 01.04.2019г. по 31.12.2019г. для нужд Цимлянского филиала ГБУ РО "ОКЦФП"</v>
      </c>
      <c r="G13910" s="22" t="s">
        <v>402</v>
      </c>
      <c r="H13910" s="22" t="s">
        <v>402</v>
      </c>
      <c r="I13910" s="26">
        <v>43521.658333333296</v>
      </c>
      <c r="J13910" s="28" t="s">
        <v>52</v>
      </c>
      <c r="K13910" s="28" t="s">
        <v>52</v>
      </c>
      <c r="L13910" s="28" t="s">
        <v>52</v>
      </c>
      <c r="M13910" s="28" t="s">
        <v>52</v>
      </c>
      <c r="N13910" s="28" t="s">
        <v>52</v>
      </c>
    </row>
    <row r="13911" spans="1:14" hidden="1" outlineLevel="1" x14ac:dyDescent="0.2">
      <c r="A13911" s="23" t="str">
        <f>HYPERLINK("https://www.spark-marketing.ru/Card/Person/52487", "ГБУ РО ""ОКЦФП""")</f>
        <v>ГБУ РО "ОКЦФП"</v>
      </c>
      <c r="B13911" s="24" t="s">
        <v>9644</v>
      </c>
      <c r="C13911" s="25">
        <v>95896.74</v>
      </c>
      <c r="D13911" s="22" t="s">
        <v>16090</v>
      </c>
      <c r="E13911" s="22" t="s">
        <v>1013</v>
      </c>
      <c r="F13911" s="23" t="str">
        <f>HYPERLINK("https://www.spark-marketing.ru/Card/Lot/68231434", "Услуги по охране (тревожная сигнализация и охранная сигнализация) на 9 месяцев с 01.04.2019г. по 31.12.2019г. для нужд Цимлянского филиала ГБУ РО ""ОКЦФП""")</f>
        <v>Услуги по охране (тревожная сигнализация и охранная сигнализация) на 9 месяцев с 01.04.2019г. по 31.12.2019г. для нужд Цимлянского филиала ГБУ РО "ОКЦФП"</v>
      </c>
      <c r="G13911" s="22" t="s">
        <v>402</v>
      </c>
      <c r="H13911" s="22" t="s">
        <v>402</v>
      </c>
      <c r="I13911" s="26">
        <v>43521.658333333296</v>
      </c>
      <c r="J13911" s="23" t="str">
        <f>HYPERLINK("https://www.spark-marketing.ru/Card/Person/780015", "ООО ""ЧОП"" СПЕЦОХРАНА ЮГ 1""")</f>
        <v>ООО "ЧОП" СПЕЦОХРАНА ЮГ 1"</v>
      </c>
      <c r="K13911" s="24" t="s">
        <v>16091</v>
      </c>
      <c r="L13911" s="28" t="s">
        <v>52</v>
      </c>
      <c r="M13911" s="25">
        <v>72401.73</v>
      </c>
      <c r="N13911" s="27">
        <v>0.24500321908753103</v>
      </c>
    </row>
    <row r="13912" spans="1:14" ht="12.75" hidden="1" outlineLevel="1" x14ac:dyDescent="0.2">
      <c r="A13912" s="23" t="str">
        <f>HYPERLINK("https://www.spark-marketing.ru/Card/Person/52487", "ГБУ РО ""ОКЦФП""")</f>
        <v>ГБУ РО "ОКЦФП"</v>
      </c>
      <c r="B13912" s="24" t="s">
        <v>9644</v>
      </c>
      <c r="C13912" s="25">
        <v>95896.74</v>
      </c>
      <c r="D13912" s="22" t="s">
        <v>16090</v>
      </c>
      <c r="E13912" s="22" t="s">
        <v>1013</v>
      </c>
      <c r="F13912" s="23" t="str">
        <f>HYPERLINK("https://www.spark-marketing.ru/Card/Lot/68231434", "Услуги по охране (тревожная сигнализация и охранная сигнализация) на 9 месяцев с 01.04.2019г. по 31.12.2019г. для нужд Цимлянского филиала ГБУ РО ""ОКЦФП""")</f>
        <v>Услуги по охране (тревожная сигнализация и охранная сигнализация) на 9 месяцев с 01.04.2019г. по 31.12.2019г. для нужд Цимлянского филиала ГБУ РО "ОКЦФП"</v>
      </c>
      <c r="G13912" s="22" t="s">
        <v>402</v>
      </c>
      <c r="H13912" s="22" t="s">
        <v>402</v>
      </c>
      <c r="I13912" s="26">
        <v>43521.658333333296</v>
      </c>
      <c r="J13912" s="23" t="str">
        <f>HYPERLINK("https://www.spark-marketing.ru/Card/Person/364086", "ФГКУ ""УВО ВНГ РОССИИ ПО РОСТОВСКОЙ ОБЛАСТИ""")</f>
        <v>ФГКУ "УВО ВНГ РОССИИ ПО РОСТОВСКОЙ ОБЛАСТИ"</v>
      </c>
      <c r="K13912" s="24" t="s">
        <v>16092</v>
      </c>
      <c r="L13912" s="22" t="s">
        <v>10</v>
      </c>
      <c r="M13912" s="25">
        <v>71922.240000000005</v>
      </c>
      <c r="N13912" s="27">
        <v>0.25000328478319495</v>
      </c>
    </row>
    <row r="13913" spans="1:14" x14ac:dyDescent="0.15">
      <c r="A13913" s="23" t="str">
        <f>HYPERLINK("https://www.spark-marketing.ru/Card/Person/78970", "ФКУЗ МСЧ-58 ФСИН РОССИИ")</f>
        <v>ФКУЗ МСЧ-58 ФСИН РОССИИ</v>
      </c>
      <c r="B13913" s="24" t="s">
        <v>16093</v>
      </c>
      <c r="C13913" s="25">
        <v>29693.4</v>
      </c>
      <c r="D13913" s="22" t="s">
        <v>16094</v>
      </c>
      <c r="E13913" s="22" t="s">
        <v>53</v>
      </c>
      <c r="F13913" s="23" t="str">
        <f>HYPERLINK("https://www.spark-marketing.ru/Card/Lot/70797205", "Услуги по техническому обслуживанию комплекса технических средств охраны")</f>
        <v>Услуги по техническому обслуживанию комплекса технических средств охраны</v>
      </c>
      <c r="G13913" s="22" t="s">
        <v>514</v>
      </c>
      <c r="H13913" s="22" t="s">
        <v>2167</v>
      </c>
      <c r="I13913" s="26">
        <v>43521.633298611101</v>
      </c>
      <c r="J13913" s="28" t="s">
        <v>52</v>
      </c>
      <c r="K13913" s="28" t="s">
        <v>52</v>
      </c>
      <c r="L13913" s="28" t="s">
        <v>52</v>
      </c>
      <c r="M13913" s="28" t="s">
        <v>52</v>
      </c>
      <c r="N13913" s="28" t="s">
        <v>52</v>
      </c>
    </row>
    <row r="13914" spans="1:14" x14ac:dyDescent="0.15">
      <c r="A13914" s="23" t="str">
        <f>HYPERLINK("https://www.spark-marketing.ru/Card/Person/65532", "ГБУЗ ""РОДИЛЬНЫЙ ДОМ № 2 Г. МАГНИТОГОРСК""")</f>
        <v>ГБУЗ "РОДИЛЬНЫЙ ДОМ № 2 Г. МАГНИТОГОРСК"</v>
      </c>
      <c r="B13914" s="24" t="s">
        <v>16095</v>
      </c>
      <c r="C13914" s="25">
        <v>20999.88</v>
      </c>
      <c r="D13914" s="22" t="s">
        <v>16096</v>
      </c>
      <c r="E13914" s="22" t="s">
        <v>68</v>
      </c>
      <c r="F13914" s="23" t="str">
        <f>HYPERLINK("https://www.spark-marketing.ru/Card/Lot/68223626", "Оказание услуг по охранной деятельности (охрана объектов и (или) имущества (в том числе при его транспортировке), находящихся в собственности, во владении, в пользовании, хозяйственном ведении, оперативном управлении или доверительном управлении) для...")</f>
        <v>Оказание услуг по охранной деятельности (охрана объектов и (или) имущества (в том числе при его транспортировке), находящихся в собственности, во владении, в пользовании, хозяйственном ведении, оперативном управлении или доверительном управлении) для...</v>
      </c>
      <c r="G13914" s="22" t="s">
        <v>60</v>
      </c>
      <c r="H13914" s="22" t="s">
        <v>221</v>
      </c>
      <c r="I13914" s="26">
        <v>43521.664583333302</v>
      </c>
      <c r="J13914" s="23" t="str">
        <f>HYPERLINK("https://www.spark-marketing.ru/Card/Person/4359995", "ООО ""ОХРАННОЕ ПРЕДПРИЯТИЕ ""КАСКАД-С""")</f>
        <v>ООО "ОХРАННОЕ ПРЕДПРИЯТИЕ "КАСКАД-С"</v>
      </c>
      <c r="K13914" s="24" t="s">
        <v>15458</v>
      </c>
      <c r="L13914" s="22" t="s">
        <v>10</v>
      </c>
      <c r="M13914" s="28" t="s">
        <v>52</v>
      </c>
      <c r="N13914" s="28" t="s">
        <v>52</v>
      </c>
    </row>
    <row r="13915" spans="1:14" x14ac:dyDescent="0.15">
      <c r="A13915" s="23" t="str">
        <f t="shared" ref="A13915:A13921" si="735">HYPERLINK("https://www.spark-marketing.ru/Card/Person/108471", "КОМИТЕТ ИМУЩЕСТВЕННЫХ ОТНОШЕНИЙ И ТЕРРИТОРИАЛЬНОГО ПЛАНИРОВАНИЯ АДМИНИСТРАЦИИ МУНИЦИПАЛЬНОГО ОБРАЗОВАНИЯ КАНДАЛАКШСКИЙ РАЙОН")</f>
        <v>КОМИТЕТ ИМУЩЕСТВЕННЫХ ОТНОШЕНИЙ И ТЕРРИТОРИАЛЬНОГО ПЛАНИРОВАНИЯ АДМИНИСТРАЦИИ МУНИЦИПАЛЬНОГО ОБРАЗОВАНИЯ КАНДАЛАКШСКИЙ РАЙОН</v>
      </c>
      <c r="B13915" s="24" t="s">
        <v>16077</v>
      </c>
      <c r="C13915" s="25">
        <v>186000</v>
      </c>
      <c r="D13915" s="22" t="s">
        <v>16097</v>
      </c>
      <c r="E13915" s="22" t="s">
        <v>52</v>
      </c>
      <c r="F13915" s="23" t="str">
        <f>HYPERLINK("https://www.spark-marketing.ru/Card/Lot/68229048", "Охрана имущества, находящегося в собственности муниципального образования Кандалакшский район")</f>
        <v>Охрана имущества, находящегося в собственности муниципального образования Кандалакшский район</v>
      </c>
      <c r="G13915" s="22" t="s">
        <v>190</v>
      </c>
      <c r="H13915" s="22" t="s">
        <v>2866</v>
      </c>
      <c r="I13915" s="26">
        <v>43521.649305555598</v>
      </c>
      <c r="J13915" s="28" t="s">
        <v>52</v>
      </c>
      <c r="K13915" s="28" t="s">
        <v>52</v>
      </c>
      <c r="L13915" s="28" t="s">
        <v>52</v>
      </c>
      <c r="M13915" s="28" t="s">
        <v>52</v>
      </c>
      <c r="N13915" s="28" t="s">
        <v>52</v>
      </c>
    </row>
    <row r="13916" spans="1:14" ht="12.75" hidden="1" outlineLevel="1" x14ac:dyDescent="0.2">
      <c r="A13916" s="23" t="str">
        <f t="shared" si="735"/>
        <v>КОМИТЕТ ИМУЩЕСТВЕННЫХ ОТНОШЕНИЙ И ТЕРРИТОРИАЛЬНОГО ПЛАНИРОВАНИЯ АДМИНИСТРАЦИИ МУНИЦИПАЛЬНОГО ОБРАЗОВАНИЯ КАНДАЛАКШСКИЙ РАЙОН</v>
      </c>
      <c r="B13916" s="24" t="s">
        <v>16077</v>
      </c>
      <c r="C13916" s="25">
        <v>186000</v>
      </c>
      <c r="D13916" s="22" t="s">
        <v>16097</v>
      </c>
      <c r="E13916" s="22" t="s">
        <v>52</v>
      </c>
      <c r="F13916" s="23" t="str">
        <f>HYPERLINK("https://www.spark-marketing.ru/Card/Lot/68229048", "Охрана имущества, находящегося в собственности муниципального образования Кандалакшский район")</f>
        <v>Охрана имущества, находящегося в собственности муниципального образования Кандалакшский район</v>
      </c>
      <c r="G13916" s="22" t="s">
        <v>190</v>
      </c>
      <c r="H13916" s="22" t="s">
        <v>2866</v>
      </c>
      <c r="I13916" s="26">
        <v>43521.649305555598</v>
      </c>
      <c r="J13916" s="23" t="str">
        <f>HYPERLINK("https://www.spark-marketing.ru/Card/Person/74587", "ООО ОХРАННОЕ ПРЕДПРИЯТИЕ ""СТРАЙК""")</f>
        <v>ООО ОХРАННОЕ ПРЕДПРИЯТИЕ "СТРАЙК"</v>
      </c>
      <c r="K13916" s="24" t="s">
        <v>16084</v>
      </c>
      <c r="L13916" s="22" t="s">
        <v>10</v>
      </c>
      <c r="M13916" s="25">
        <v>160000</v>
      </c>
      <c r="N13916" s="27">
        <v>0.13978494623655913</v>
      </c>
    </row>
    <row r="13917" spans="1:14" hidden="1" outlineLevel="1" x14ac:dyDescent="0.2">
      <c r="A13917" s="23" t="str">
        <f t="shared" si="735"/>
        <v>КОМИТЕТ ИМУЩЕСТВЕННЫХ ОТНОШЕНИЙ И ТЕРРИТОРИАЛЬНОГО ПЛАНИРОВАНИЯ АДМИНИСТРАЦИИ МУНИЦИПАЛЬНОГО ОБРАЗОВАНИЯ КАНДАЛАКШСКИЙ РАЙОН</v>
      </c>
      <c r="B13917" s="24" t="s">
        <v>16077</v>
      </c>
      <c r="C13917" s="25">
        <v>186000</v>
      </c>
      <c r="D13917" s="22" t="s">
        <v>16097</v>
      </c>
      <c r="E13917" s="22" t="s">
        <v>52</v>
      </c>
      <c r="F13917" s="23" t="str">
        <f>HYPERLINK("https://www.spark-marketing.ru/Card/Lot/68229048", "Охрана имущества, находящегося в собственности муниципального образования Кандалакшский район")</f>
        <v>Охрана имущества, находящегося в собственности муниципального образования Кандалакшский район</v>
      </c>
      <c r="G13917" s="22" t="s">
        <v>190</v>
      </c>
      <c r="H13917" s="22" t="s">
        <v>2866</v>
      </c>
      <c r="I13917" s="26">
        <v>43521.649305555598</v>
      </c>
      <c r="J13917" s="23" t="str">
        <f>HYPERLINK("https://www.spark-marketing.ru/Card/Person/719858", "ООО ЧОО ""ОХРАНА-СЕРВИС""")</f>
        <v>ООО ЧОО "ОХРАНА-СЕРВИС"</v>
      </c>
      <c r="K13917" s="24" t="s">
        <v>16079</v>
      </c>
      <c r="L13917" s="28" t="s">
        <v>52</v>
      </c>
      <c r="M13917" s="25">
        <v>165000</v>
      </c>
      <c r="N13917" s="27">
        <v>0.11290322580645161</v>
      </c>
    </row>
    <row r="13918" spans="1:14" x14ac:dyDescent="0.15">
      <c r="A13918" s="23" t="str">
        <f t="shared" si="735"/>
        <v>КОМИТЕТ ИМУЩЕСТВЕННЫХ ОТНОШЕНИЙ И ТЕРРИТОРИАЛЬНОГО ПЛАНИРОВАНИЯ АДМИНИСТРАЦИИ МУНИЦИПАЛЬНОГО ОБРАЗОВАНИЯ КАНДАЛАКШСКИЙ РАЙОН</v>
      </c>
      <c r="B13918" s="24" t="s">
        <v>16077</v>
      </c>
      <c r="C13918" s="25">
        <v>135000</v>
      </c>
      <c r="D13918" s="22" t="s">
        <v>16098</v>
      </c>
      <c r="E13918" s="22" t="s">
        <v>52</v>
      </c>
      <c r="F13918" s="23" t="str">
        <f>HYPERLINK("https://www.spark-marketing.ru/Card/Lot/68228966", "Охрана имущества, находящегося в собственности муниципального образования Кандалакшский район")</f>
        <v>Охрана имущества, находящегося в собственности муниципального образования Кандалакшский район</v>
      </c>
      <c r="G13918" s="22" t="s">
        <v>190</v>
      </c>
      <c r="H13918" s="22" t="s">
        <v>2866</v>
      </c>
      <c r="I13918" s="26">
        <v>43521.649305555598</v>
      </c>
      <c r="J13918" s="28" t="s">
        <v>52</v>
      </c>
      <c r="K13918" s="28" t="s">
        <v>52</v>
      </c>
      <c r="L13918" s="28" t="s">
        <v>52</v>
      </c>
      <c r="M13918" s="28" t="s">
        <v>52</v>
      </c>
      <c r="N13918" s="28" t="s">
        <v>52</v>
      </c>
    </row>
    <row r="13919" spans="1:14" hidden="1" outlineLevel="1" x14ac:dyDescent="0.2">
      <c r="A13919" s="23" t="str">
        <f t="shared" si="735"/>
        <v>КОМИТЕТ ИМУЩЕСТВЕННЫХ ОТНОШЕНИЙ И ТЕРРИТОРИАЛЬНОГО ПЛАНИРОВАНИЯ АДМИНИСТРАЦИИ МУНИЦИПАЛЬНОГО ОБРАЗОВАНИЯ КАНДАЛАКШСКИЙ РАЙОН</v>
      </c>
      <c r="B13919" s="24" t="s">
        <v>16077</v>
      </c>
      <c r="C13919" s="25">
        <v>135000</v>
      </c>
      <c r="D13919" s="22" t="s">
        <v>16098</v>
      </c>
      <c r="E13919" s="22" t="s">
        <v>52</v>
      </c>
      <c r="F13919" s="23" t="str">
        <f>HYPERLINK("https://www.spark-marketing.ru/Card/Lot/68228966", "Охрана имущества, находящегося в собственности муниципального образования Кандалакшский район")</f>
        <v>Охрана имущества, находящегося в собственности муниципального образования Кандалакшский район</v>
      </c>
      <c r="G13919" s="22" t="s">
        <v>190</v>
      </c>
      <c r="H13919" s="22" t="s">
        <v>2866</v>
      </c>
      <c r="I13919" s="26">
        <v>43521.649305555598</v>
      </c>
      <c r="J13919" s="23" t="str">
        <f>HYPERLINK("https://www.spark-marketing.ru/Card/Person/719858", "ООО ЧОО ""ОХРАНА-СЕРВИС""")</f>
        <v>ООО ЧОО "ОХРАНА-СЕРВИС"</v>
      </c>
      <c r="K13919" s="24" t="s">
        <v>16079</v>
      </c>
      <c r="L13919" s="28" t="s">
        <v>52</v>
      </c>
      <c r="M13919" s="25">
        <v>120225</v>
      </c>
      <c r="N13919" s="27">
        <v>0.10944444444444444</v>
      </c>
    </row>
    <row r="13920" spans="1:14" ht="12.75" hidden="1" outlineLevel="1" x14ac:dyDescent="0.2">
      <c r="A13920" s="23" t="str">
        <f t="shared" si="735"/>
        <v>КОМИТЕТ ИМУЩЕСТВЕННЫХ ОТНОШЕНИЙ И ТЕРРИТОРИАЛЬНОГО ПЛАНИРОВАНИЯ АДМИНИСТРАЦИИ МУНИЦИПАЛЬНОГО ОБРАЗОВАНИЯ КАНДАЛАКШСКИЙ РАЙОН</v>
      </c>
      <c r="B13920" s="24" t="s">
        <v>16077</v>
      </c>
      <c r="C13920" s="25">
        <v>135000</v>
      </c>
      <c r="D13920" s="22" t="s">
        <v>16098</v>
      </c>
      <c r="E13920" s="22" t="s">
        <v>52</v>
      </c>
      <c r="F13920" s="23" t="str">
        <f>HYPERLINK("https://www.spark-marketing.ru/Card/Lot/68228966", "Охрана имущества, находящегося в собственности муниципального образования Кандалакшский район")</f>
        <v>Охрана имущества, находящегося в собственности муниципального образования Кандалакшский район</v>
      </c>
      <c r="G13920" s="22" t="s">
        <v>190</v>
      </c>
      <c r="H13920" s="22" t="s">
        <v>2866</v>
      </c>
      <c r="I13920" s="26">
        <v>43521.649305555598</v>
      </c>
      <c r="J13920" s="23" t="str">
        <f>HYPERLINK("https://www.spark-marketing.ru/Card/Person/399292", "ООО ""ВЫМПЕЛ""")</f>
        <v>ООО "ВЫМПЕЛ"</v>
      </c>
      <c r="K13920" s="24" t="s">
        <v>16080</v>
      </c>
      <c r="L13920" s="22" t="s">
        <v>10</v>
      </c>
      <c r="M13920" s="25">
        <v>72825</v>
      </c>
      <c r="N13920" s="27">
        <v>0.46055555555555555</v>
      </c>
    </row>
    <row r="13921" spans="1:14" hidden="1" outlineLevel="1" x14ac:dyDescent="0.2">
      <c r="A13921" s="23" t="str">
        <f t="shared" si="735"/>
        <v>КОМИТЕТ ИМУЩЕСТВЕННЫХ ОТНОШЕНИЙ И ТЕРРИТОРИАЛЬНОГО ПЛАНИРОВАНИЯ АДМИНИСТРАЦИИ МУНИЦИПАЛЬНОГО ОБРАЗОВАНИЯ КАНДАЛАКШСКИЙ РАЙОН</v>
      </c>
      <c r="B13921" s="24" t="s">
        <v>16077</v>
      </c>
      <c r="C13921" s="25">
        <v>135000</v>
      </c>
      <c r="D13921" s="22" t="s">
        <v>16098</v>
      </c>
      <c r="E13921" s="22" t="s">
        <v>52</v>
      </c>
      <c r="F13921" s="23" t="str">
        <f>HYPERLINK("https://www.spark-marketing.ru/Card/Lot/68228966", "Охрана имущества, находящегося в собственности муниципального образования Кандалакшский район")</f>
        <v>Охрана имущества, находящегося в собственности муниципального образования Кандалакшский район</v>
      </c>
      <c r="G13921" s="22" t="s">
        <v>190</v>
      </c>
      <c r="H13921" s="22" t="s">
        <v>2866</v>
      </c>
      <c r="I13921" s="26">
        <v>43521.649305555598</v>
      </c>
      <c r="J13921" s="23" t="str">
        <f>HYPERLINK("https://www.spark-marketing.ru/Card/Person/65635", "ООО ""ЧОП ""БАСТИОН""")</f>
        <v>ООО "ЧОП "БАСТИОН"</v>
      </c>
      <c r="K13921" s="24" t="s">
        <v>16081</v>
      </c>
      <c r="L13921" s="28" t="s">
        <v>52</v>
      </c>
      <c r="M13921" s="25">
        <v>73500</v>
      </c>
      <c r="N13921" s="27">
        <v>0.45555555555555555</v>
      </c>
    </row>
    <row r="13922" spans="1:14" x14ac:dyDescent="0.15">
      <c r="A13922" s="23" t="str">
        <f>HYPERLINK("https://www.spark-marketing.ru/Card/Person/532432", "ФГУП ""ГВСУ №14""")</f>
        <v>ФГУП "ГВСУ №14"</v>
      </c>
      <c r="B13922" s="24" t="s">
        <v>16099</v>
      </c>
      <c r="C13922" s="25">
        <v>14967565</v>
      </c>
      <c r="D13922" s="22" t="s">
        <v>16100</v>
      </c>
      <c r="E13922" s="22" t="s">
        <v>996</v>
      </c>
      <c r="F13922" s="23" t="str">
        <f>HYPERLINK("https://www.spark-marketing.ru/Card/Lot/68223449", "Выполнение подготовительных работ, вертикальной планировки и устройству покрытия проездов периметра площадки 17 на объекте: «Оснащение техническими средствами охраны и физической защиты объектов пл. 17 г. Мирный, Архангельской области»(шифр объекта 5...")</f>
        <v>Выполнение подготовительных работ, вертикальной планировки и устройству покрытия проездов периметра площадки 17 на объекте: «Оснащение техническими средствами охраны и физической защиты объектов пл. 17 г. Мирный, Архангельской области»(шифр объекта 5...</v>
      </c>
      <c r="G13922" s="22" t="s">
        <v>674</v>
      </c>
      <c r="H13922" s="22" t="s">
        <v>674</v>
      </c>
      <c r="I13922" s="26">
        <v>43521.600601851896</v>
      </c>
      <c r="J13922" s="28" t="s">
        <v>52</v>
      </c>
      <c r="K13922" s="28" t="s">
        <v>52</v>
      </c>
      <c r="L13922" s="28" t="s">
        <v>52</v>
      </c>
      <c r="M13922" s="28" t="s">
        <v>52</v>
      </c>
      <c r="N13922" s="28" t="s">
        <v>52</v>
      </c>
    </row>
    <row r="13923" spans="1:14" x14ac:dyDescent="0.15">
      <c r="A13923" s="23" t="str">
        <f>HYPERLINK("https://www.spark-marketing.ru/Card/Person/246572", "МИНТРАНС ПЕРМСКОГО КРАЯ")</f>
        <v>МИНТРАНС ПЕРМСКОГО КРАЯ</v>
      </c>
      <c r="B13923" s="24" t="s">
        <v>16101</v>
      </c>
      <c r="C13923" s="25">
        <v>497250</v>
      </c>
      <c r="D13923" s="22" t="s">
        <v>16102</v>
      </c>
      <c r="E13923" s="22" t="s">
        <v>16103</v>
      </c>
      <c r="F13923" s="23" t="str">
        <f>HYPERLINK("https://www.spark-marketing.ru/Card/Lot/68220827", "УСЛУГИ ПО ИНФОРМИРОВАНИЮ НАСЕЛЕНИЯ ОБ ОРГАНИЗАЦИИ ТРАНСПОРТНОГО ОБСЛУЖИВАНИЯ НАСЕЛЕНИЯ ПУТЕМ РАЗМЕЩЕНИЯ ИНФОРМАЦИОННЫХ МАТЕРИАЛОВ НА ТЕЛЕКАНАЛЕ ПЕРМИ И ПЕРМСКОГО КРАЯ")</f>
        <v>УСЛУГИ ПО ИНФОРМИРОВАНИЮ НАСЕЛЕНИЯ ОБ ОРГАНИЗАЦИИ ТРАНСПОРТНОГО ОБСЛУЖИВАНИЯ НАСЕЛЕНИЯ ПУТЕМ РАЗМЕЩЕНИЯ ИНФОРМАЦИОННЫХ МАТЕРИАЛОВ НА ТЕЛЕКАНАЛЕ ПЕРМИ И ПЕРМСКОГО КРАЯ</v>
      </c>
      <c r="G13923" s="22" t="s">
        <v>391</v>
      </c>
      <c r="H13923" s="22" t="s">
        <v>391</v>
      </c>
      <c r="I13923" s="26">
        <v>43521.585416666698</v>
      </c>
      <c r="J13923" s="23" t="str">
        <f>HYPERLINK("https://www.spark-marketing.ru/Card/Person/791336", "ООО ""ВЕТТА ПЛЮС""")</f>
        <v>ООО "ВЕТТА ПЛЮС"</v>
      </c>
      <c r="K13923" s="24" t="s">
        <v>16104</v>
      </c>
      <c r="L13923" s="22" t="s">
        <v>10</v>
      </c>
      <c r="M13923" s="28" t="s">
        <v>52</v>
      </c>
      <c r="N13923" s="28" t="s">
        <v>52</v>
      </c>
    </row>
    <row r="13924" spans="1:14" x14ac:dyDescent="0.15">
      <c r="A13924" s="23" t="str">
        <f>HYPERLINK("https://www.spark-marketing.ru/Card/Person/77738", "МОУ СОШ №8")</f>
        <v>МОУ СОШ №8</v>
      </c>
      <c r="B13924" s="24" t="s">
        <v>16105</v>
      </c>
      <c r="C13924" s="25">
        <v>726625</v>
      </c>
      <c r="D13924" s="22" t="s">
        <v>16106</v>
      </c>
      <c r="E13924" s="22" t="s">
        <v>16107</v>
      </c>
      <c r="F13924" s="23" t="str">
        <f>HYPERLINK("https://www.spark-marketing.ru/Card/Lot/68228639", "Поставка, установка и ввод в эксплуатацию средств видеотрансляции и видеопротоколирования в пункты проведения экзаменов ГИА общеобразовательных учреждений для нужд МОУ СОШ №8")</f>
        <v>Поставка, установка и ввод в эксплуатацию средств видеотрансляции и видеопротоколирования в пункты проведения экзаменов ГИА общеобразовательных учреждений для нужд МОУ СОШ №8</v>
      </c>
      <c r="G13924" s="22" t="s">
        <v>50</v>
      </c>
      <c r="H13924" s="22" t="s">
        <v>239</v>
      </c>
      <c r="I13924" s="26">
        <v>43521.617361111101</v>
      </c>
      <c r="J13924" s="28" t="s">
        <v>52</v>
      </c>
      <c r="K13924" s="28" t="s">
        <v>52</v>
      </c>
      <c r="L13924" s="28" t="s">
        <v>52</v>
      </c>
      <c r="M13924" s="28" t="s">
        <v>52</v>
      </c>
      <c r="N13924" s="28" t="s">
        <v>52</v>
      </c>
    </row>
    <row r="13925" spans="1:14" ht="12.75" hidden="1" outlineLevel="1" x14ac:dyDescent="0.2">
      <c r="A13925" s="23" t="str">
        <f>HYPERLINK("https://www.spark-marketing.ru/Card/Person/77738", "МОУ СОШ №8")</f>
        <v>МОУ СОШ №8</v>
      </c>
      <c r="B13925" s="24" t="s">
        <v>16105</v>
      </c>
      <c r="C13925" s="25">
        <v>726625</v>
      </c>
      <c r="D13925" s="22" t="s">
        <v>16106</v>
      </c>
      <c r="E13925" s="22" t="s">
        <v>16107</v>
      </c>
      <c r="F13925" s="23" t="str">
        <f>HYPERLINK("https://www.spark-marketing.ru/Card/Lot/68228639", "Поставка, установка и ввод в эксплуатацию средств видеотрансляции и видеопротоколирования в пункты проведения экзаменов ГИА общеобразовательных учреждений для нужд МОУ СОШ №8")</f>
        <v>Поставка, установка и ввод в эксплуатацию средств видеотрансляции и видеопротоколирования в пункты проведения экзаменов ГИА общеобразовательных учреждений для нужд МОУ СОШ №8</v>
      </c>
      <c r="G13925" s="22" t="s">
        <v>50</v>
      </c>
      <c r="H13925" s="22" t="s">
        <v>239</v>
      </c>
      <c r="I13925" s="26">
        <v>43521.617361111101</v>
      </c>
      <c r="J13925" s="23" t="str">
        <f>HYPERLINK("https://www.spark-marketing.ru/Card/Person/4856010", "ООО ""СФЕРА БЕЗОПАСНОСТИ""")</f>
        <v>ООО "СФЕРА БЕЗОПАСНОСТИ"</v>
      </c>
      <c r="K13925" s="24" t="s">
        <v>13278</v>
      </c>
      <c r="L13925" s="22" t="s">
        <v>10</v>
      </c>
      <c r="M13925" s="25">
        <v>719358.74</v>
      </c>
      <c r="N13925" s="27">
        <v>1.000001376225701E-2</v>
      </c>
    </row>
    <row r="13926" spans="1:14" hidden="1" outlineLevel="1" x14ac:dyDescent="0.2">
      <c r="A13926" s="23" t="str">
        <f>HYPERLINK("https://www.spark-marketing.ru/Card/Person/77738", "МОУ СОШ №8")</f>
        <v>МОУ СОШ №8</v>
      </c>
      <c r="B13926" s="24" t="s">
        <v>16105</v>
      </c>
      <c r="C13926" s="25">
        <v>726625</v>
      </c>
      <c r="D13926" s="22" t="s">
        <v>16106</v>
      </c>
      <c r="E13926" s="22" t="s">
        <v>16107</v>
      </c>
      <c r="F13926" s="23" t="str">
        <f>HYPERLINK("https://www.spark-marketing.ru/Card/Lot/68228639", "Поставка, установка и ввод в эксплуатацию средств видеотрансляции и видеопротоколирования в пункты проведения экзаменов ГИА общеобразовательных учреждений для нужд МОУ СОШ №8")</f>
        <v>Поставка, установка и ввод в эксплуатацию средств видеотрансляции и видеопротоколирования в пункты проведения экзаменов ГИА общеобразовательных учреждений для нужд МОУ СОШ №8</v>
      </c>
      <c r="G13926" s="22" t="s">
        <v>50</v>
      </c>
      <c r="H13926" s="22" t="s">
        <v>239</v>
      </c>
      <c r="I13926" s="26">
        <v>43521.617361111101</v>
      </c>
      <c r="J13926" s="23" t="str">
        <f>HYPERLINK("https://www.spark-marketing.ru/Card/Person/76451", "ООО ""БИС""")</f>
        <v>ООО "БИС"</v>
      </c>
      <c r="K13926" s="24" t="s">
        <v>6528</v>
      </c>
      <c r="L13926" s="28" t="s">
        <v>52</v>
      </c>
      <c r="M13926" s="25">
        <v>722991.87</v>
      </c>
      <c r="N13926" s="27">
        <v>5.0000068811285048E-3</v>
      </c>
    </row>
    <row r="13927" spans="1:14" x14ac:dyDescent="0.15">
      <c r="A13927" s="23" t="str">
        <f>HYPERLINK("https://www.spark-marketing.ru/Card/Person/1042563", "ГБУ ВО ""ВОЛГОГРАДСКАЯ ОБЛВЕТЛАБОРАТОРИЯ""")</f>
        <v>ГБУ ВО "ВОЛГОГРАДСКАЯ ОБЛВЕТЛАБОРАТОРИЯ"</v>
      </c>
      <c r="B13927" s="24" t="s">
        <v>16108</v>
      </c>
      <c r="C13927" s="25">
        <v>989999.88</v>
      </c>
      <c r="D13927" s="22" t="s">
        <v>16109</v>
      </c>
      <c r="E13927" s="22" t="s">
        <v>144</v>
      </c>
      <c r="F13927" s="23" t="str">
        <f>HYPERLINK("https://www.spark-marketing.ru/Card/Lot/68219286", "Оказание услуг по охране объектов (физическая охрана)")</f>
        <v>Оказание услуг по охране объектов (физическая охрана)</v>
      </c>
      <c r="G13927" s="22" t="s">
        <v>343</v>
      </c>
      <c r="H13927" s="22" t="s">
        <v>343</v>
      </c>
      <c r="I13927" s="26">
        <v>43521.566793981503</v>
      </c>
      <c r="J13927" s="28" t="s">
        <v>52</v>
      </c>
      <c r="K13927" s="28" t="s">
        <v>52</v>
      </c>
      <c r="L13927" s="28" t="s">
        <v>52</v>
      </c>
      <c r="M13927" s="28" t="s">
        <v>52</v>
      </c>
      <c r="N13927" s="28" t="s">
        <v>52</v>
      </c>
    </row>
    <row r="13928" spans="1:14" x14ac:dyDescent="0.15">
      <c r="A13928" s="23" t="str">
        <f>HYPERLINK("https://www.spark-marketing.ru/Card/Person/147254", "ГКУЗ МО ""КДПНС""")</f>
        <v>ГКУЗ МО "КДПНС"</v>
      </c>
      <c r="B13928" s="24" t="s">
        <v>16110</v>
      </c>
      <c r="C13928" s="25">
        <v>7424.4</v>
      </c>
      <c r="D13928" s="22" t="s">
        <v>16111</v>
      </c>
      <c r="E13928" s="22" t="s">
        <v>508</v>
      </c>
      <c r="F13928" s="23" t="str">
        <f>HYPERLINK("https://www.spark-marketing.ru/Card/Lot/68538054", "Оказание услуг по техническому обслуживанию комплекса технических средств охраны на объектах тревожной кнопки КТС на 2019 год.")</f>
        <v>Оказание услуг по техническому обслуживанию комплекса технических средств охраны на объектах тревожной кнопки КТС на 2019 год.</v>
      </c>
      <c r="G13928" s="22" t="s">
        <v>50</v>
      </c>
      <c r="H13928" s="22" t="s">
        <v>12149</v>
      </c>
      <c r="I13928" s="26">
        <v>43521.576481481497</v>
      </c>
      <c r="J13928" s="28" t="s">
        <v>52</v>
      </c>
      <c r="K13928" s="28" t="s">
        <v>52</v>
      </c>
      <c r="L13928" s="28" t="s">
        <v>52</v>
      </c>
      <c r="M13928" s="28" t="s">
        <v>52</v>
      </c>
      <c r="N13928" s="28" t="s">
        <v>52</v>
      </c>
    </row>
    <row r="13929" spans="1:14" x14ac:dyDescent="0.15">
      <c r="A13929" s="23" t="str">
        <f>HYPERLINK("https://www.spark-marketing.ru/Card/Person/32440", "ГБУЗ НО ""КРАСНОБАКОВСКАЯ ЦЕНТРАЛЬНАЯ РАЙОННАЯ БОЛЬНИЦА""")</f>
        <v>ГБУЗ НО "КРАСНОБАКОВСКАЯ ЦЕНТРАЛЬНАЯ РАЙОННАЯ БОЛЬНИЦА"</v>
      </c>
      <c r="B13929" s="24" t="s">
        <v>14739</v>
      </c>
      <c r="C13929" s="25">
        <v>414973.3</v>
      </c>
      <c r="D13929" s="22" t="s">
        <v>16112</v>
      </c>
      <c r="E13929" s="22" t="s">
        <v>68</v>
      </c>
      <c r="F13929" s="23" t="str">
        <f>HYPERLINK("https://www.spark-marketing.ru/Card/Lot/68221973", "Оказание услуг по пультовой охране")</f>
        <v>Оказание услуг по пультовой охране</v>
      </c>
      <c r="G13929" s="22" t="s">
        <v>64</v>
      </c>
      <c r="H13929" s="22" t="s">
        <v>14741</v>
      </c>
      <c r="I13929" s="26">
        <v>43521.565277777801</v>
      </c>
      <c r="J13929" s="28" t="s">
        <v>52</v>
      </c>
      <c r="K13929" s="28" t="s">
        <v>52</v>
      </c>
      <c r="L13929" s="28" t="s">
        <v>52</v>
      </c>
      <c r="M13929" s="28" t="s">
        <v>52</v>
      </c>
      <c r="N13929" s="28" t="s">
        <v>52</v>
      </c>
    </row>
    <row r="13930" spans="1:14" x14ac:dyDescent="0.15">
      <c r="A13930" s="23" t="str">
        <f>HYPERLINK("https://www.spark-marketing.ru/Card/Person/132904", "МЕЖРАЙОННАЯ ИФНС РОССИИ № 8 ПО ВОРОНЕЖСКОЙ ОБЛАСТИ")</f>
        <v>МЕЖРАЙОННАЯ ИФНС РОССИИ № 8 ПО ВОРОНЕЖСКОЙ ОБЛАСТИ</v>
      </c>
      <c r="B13930" s="24" t="s">
        <v>16113</v>
      </c>
      <c r="C13930" s="25">
        <v>48038.48</v>
      </c>
      <c r="D13930" s="22" t="s">
        <v>16114</v>
      </c>
      <c r="E13930" s="22" t="s">
        <v>5799</v>
      </c>
      <c r="F13930" s="23" t="str">
        <f>HYPERLINK("https://www.spark-marketing.ru/Card/Lot/68223417", "Централизованная охрана объектов")</f>
        <v>Централизованная охрана объектов</v>
      </c>
      <c r="G13930" s="22" t="s">
        <v>552</v>
      </c>
      <c r="H13930" s="22" t="s">
        <v>16115</v>
      </c>
      <c r="I13930" s="26">
        <v>43521.568055555603</v>
      </c>
      <c r="J13930" s="28" t="s">
        <v>52</v>
      </c>
      <c r="K13930" s="28" t="s">
        <v>52</v>
      </c>
      <c r="L13930" s="28" t="s">
        <v>52</v>
      </c>
      <c r="M13930" s="28" t="s">
        <v>52</v>
      </c>
      <c r="N13930" s="28" t="s">
        <v>52</v>
      </c>
    </row>
    <row r="13931" spans="1:14" x14ac:dyDescent="0.15">
      <c r="A13931" s="23" t="str">
        <f>HYPERLINK("https://www.spark-marketing.ru/Card/Person/49340", "ГБУЗ НО ""КОВЕРНИНСКАЯ ЦРБ""")</f>
        <v>ГБУЗ НО "КОВЕРНИНСКАЯ ЦРБ"</v>
      </c>
      <c r="B13931" s="24" t="s">
        <v>16116</v>
      </c>
      <c r="C13931" s="25">
        <v>271998</v>
      </c>
      <c r="D13931" s="22" t="s">
        <v>16117</v>
      </c>
      <c r="E13931" s="22" t="s">
        <v>4116</v>
      </c>
      <c r="F13931" s="23" t="str">
        <f>HYPERLINK("https://www.spark-marketing.ru/Card/Lot/68222736", "Услуги охраны")</f>
        <v>Услуги охраны</v>
      </c>
      <c r="G13931" s="22" t="s">
        <v>64</v>
      </c>
      <c r="H13931" s="22" t="s">
        <v>16118</v>
      </c>
      <c r="I13931" s="26">
        <v>43521.568749999999</v>
      </c>
      <c r="J13931" s="28" t="s">
        <v>52</v>
      </c>
      <c r="K13931" s="28" t="s">
        <v>52</v>
      </c>
      <c r="L13931" s="28" t="s">
        <v>52</v>
      </c>
      <c r="M13931" s="28" t="s">
        <v>52</v>
      </c>
      <c r="N13931" s="28" t="s">
        <v>52</v>
      </c>
    </row>
    <row r="13932" spans="1:14" x14ac:dyDescent="0.15">
      <c r="A13932" s="23" t="str">
        <f>HYPERLINK("https://www.spark-marketing.ru/Card/Person/947870", "МБУК ГДК ""УГОЛЬЩИК""")</f>
        <v>МБУК ГДК "УГОЛЬЩИК"</v>
      </c>
      <c r="B13932" s="24" t="s">
        <v>16119</v>
      </c>
      <c r="C13932" s="25">
        <v>916962</v>
      </c>
      <c r="D13932" s="22" t="s">
        <v>16120</v>
      </c>
      <c r="E13932" s="22" t="s">
        <v>52</v>
      </c>
      <c r="F13932" s="23" t="str">
        <f>HYPERLINK("https://www.spark-marketing.ru/Card/Lot/68209626", "Услуги по охране объекта")</f>
        <v>Услуги по охране объекта</v>
      </c>
      <c r="G13932" s="22" t="s">
        <v>640</v>
      </c>
      <c r="H13932" s="22" t="s">
        <v>11501</v>
      </c>
      <c r="I13932" s="26">
        <v>43521.504166666702</v>
      </c>
      <c r="J13932" s="28" t="s">
        <v>52</v>
      </c>
      <c r="K13932" s="28" t="s">
        <v>52</v>
      </c>
      <c r="L13932" s="28" t="s">
        <v>52</v>
      </c>
      <c r="M13932" s="28" t="s">
        <v>52</v>
      </c>
      <c r="N13932" s="28" t="s">
        <v>52</v>
      </c>
    </row>
    <row r="13933" spans="1:14" hidden="1" outlineLevel="1" x14ac:dyDescent="0.2">
      <c r="A13933" s="23" t="str">
        <f>HYPERLINK("https://www.spark-marketing.ru/Card/Person/947870", "МБУК ГДК ""УГОЛЬЩИК""")</f>
        <v>МБУК ГДК "УГОЛЬЩИК"</v>
      </c>
      <c r="B13933" s="24" t="s">
        <v>16119</v>
      </c>
      <c r="C13933" s="25">
        <v>916962</v>
      </c>
      <c r="D13933" s="22" t="s">
        <v>16120</v>
      </c>
      <c r="E13933" s="22" t="s">
        <v>52</v>
      </c>
      <c r="F13933" s="23" t="str">
        <f>HYPERLINK("https://www.spark-marketing.ru/Card/Lot/68209626", "Услуги по охране объекта")</f>
        <v>Услуги по охране объекта</v>
      </c>
      <c r="G13933" s="22" t="s">
        <v>640</v>
      </c>
      <c r="H13933" s="22" t="s">
        <v>11501</v>
      </c>
      <c r="I13933" s="26">
        <v>43521.504166666702</v>
      </c>
      <c r="J13933" s="23" t="str">
        <f>HYPERLINK("https://www.spark-marketing.ru/Card/Person/472540", "ООО ""МОЛОТ""")</f>
        <v>ООО "МОЛОТ"</v>
      </c>
      <c r="K13933" s="24" t="s">
        <v>4684</v>
      </c>
      <c r="L13933" s="28" t="s">
        <v>52</v>
      </c>
      <c r="M13933" s="25">
        <v>912377.19</v>
      </c>
      <c r="N13933" s="27">
        <v>5.0000000000000001E-3</v>
      </c>
    </row>
    <row r="13934" spans="1:14" ht="12.75" hidden="1" outlineLevel="1" x14ac:dyDescent="0.2">
      <c r="A13934" s="23" t="str">
        <f>HYPERLINK("https://www.spark-marketing.ru/Card/Person/947870", "МБУК ГДК ""УГОЛЬЩИК""")</f>
        <v>МБУК ГДК "УГОЛЬЩИК"</v>
      </c>
      <c r="B13934" s="24" t="s">
        <v>16119</v>
      </c>
      <c r="C13934" s="25">
        <v>916962</v>
      </c>
      <c r="D13934" s="22" t="s">
        <v>16120</v>
      </c>
      <c r="E13934" s="22" t="s">
        <v>52</v>
      </c>
      <c r="F13934" s="23" t="str">
        <f>HYPERLINK("https://www.spark-marketing.ru/Card/Lot/68209626", "Услуги по охране объекта")</f>
        <v>Услуги по охране объекта</v>
      </c>
      <c r="G13934" s="22" t="s">
        <v>640</v>
      </c>
      <c r="H13934" s="22" t="s">
        <v>11501</v>
      </c>
      <c r="I13934" s="26">
        <v>43521.504166666702</v>
      </c>
      <c r="J13934" s="23" t="str">
        <f>HYPERLINK("https://www.spark-marketing.ru/Card/Person/247966", "ООО ГК ""БАСТИОН""")</f>
        <v>ООО ГК "БАСТИОН"</v>
      </c>
      <c r="K13934" s="24" t="s">
        <v>16121</v>
      </c>
      <c r="L13934" s="22" t="s">
        <v>10</v>
      </c>
      <c r="M13934" s="25">
        <v>912377.19</v>
      </c>
      <c r="N13934" s="27">
        <v>5.0000000000000001E-3</v>
      </c>
    </row>
    <row r="13935" spans="1:14" x14ac:dyDescent="0.15">
      <c r="A13935" s="23" t="str">
        <f>HYPERLINK("https://www.spark-marketing.ru/Card/Person/111062", "ГБУЗ ""ЦРБ ИМ. ХАЦУКОВА А.А.""")</f>
        <v>ГБУЗ "ЦРБ ИМ. ХАЦУКОВА А.А."</v>
      </c>
      <c r="B13935" s="24" t="s">
        <v>11357</v>
      </c>
      <c r="C13935" s="25">
        <v>41394.78</v>
      </c>
      <c r="D13935" s="22" t="s">
        <v>16122</v>
      </c>
      <c r="E13935" s="22" t="s">
        <v>11359</v>
      </c>
      <c r="F13935" s="23" t="str">
        <f>HYPERLINK("https://www.spark-marketing.ru/Card/Lot/68221362", "пользование тревожной кнопкой (КТС)")</f>
        <v>пользование тревожной кнопкой (КТС)</v>
      </c>
      <c r="G13935" s="22" t="s">
        <v>110</v>
      </c>
      <c r="H13935" s="22" t="s">
        <v>110</v>
      </c>
      <c r="I13935" s="26">
        <v>43521.532638888901</v>
      </c>
      <c r="J13935" s="28" t="s">
        <v>52</v>
      </c>
      <c r="K13935" s="28" t="s">
        <v>52</v>
      </c>
      <c r="L13935" s="28" t="s">
        <v>52</v>
      </c>
      <c r="M13935" s="28" t="s">
        <v>52</v>
      </c>
      <c r="N13935" s="28" t="s">
        <v>52</v>
      </c>
    </row>
    <row r="13936" spans="1:14" x14ac:dyDescent="0.15">
      <c r="A13936" s="23" t="str">
        <f>HYPERLINK("https://www.spark-marketing.ru/Card/Person/151055", "МБОУ СОШ №3 Г.О. ПУЩИНО")</f>
        <v>МБОУ СОШ №3 Г.О. ПУЩИНО</v>
      </c>
      <c r="B13936" s="24" t="s">
        <v>1966</v>
      </c>
      <c r="C13936" s="25">
        <v>198000</v>
      </c>
      <c r="D13936" s="22" t="s">
        <v>16123</v>
      </c>
      <c r="E13936" s="22" t="s">
        <v>298</v>
      </c>
      <c r="F13936" s="23" t="str">
        <f>HYPERLINK("https://www.spark-marketing.ru/Card/Lot/68539197", "Оказание услуг по техническому обслуживанию системы видеонаблюдения")</f>
        <v>Оказание услуг по техническому обслуживанию системы видеонаблюдения</v>
      </c>
      <c r="G13936" s="22" t="s">
        <v>50</v>
      </c>
      <c r="H13936" s="22" t="s">
        <v>1968</v>
      </c>
      <c r="I13936" s="26">
        <v>43521.524166666699</v>
      </c>
      <c r="J13936" s="28" t="s">
        <v>52</v>
      </c>
      <c r="K13936" s="28" t="s">
        <v>52</v>
      </c>
      <c r="L13936" s="28" t="s">
        <v>52</v>
      </c>
      <c r="M13936" s="28" t="s">
        <v>52</v>
      </c>
      <c r="N13936" s="28" t="s">
        <v>52</v>
      </c>
    </row>
    <row r="13937" spans="1:14" x14ac:dyDescent="0.15">
      <c r="A13937" s="23" t="str">
        <f>HYPERLINK("https://www.spark-marketing.ru/Card/Person/1779708", "МАУ ДО ЦЕНТР ТР И ГО ""ЭТНОС""")</f>
        <v>МАУ ДО ЦЕНТР ТР И ГО "ЭТНОС"</v>
      </c>
      <c r="B13937" s="24" t="s">
        <v>14884</v>
      </c>
      <c r="C13937" s="25">
        <v>630900</v>
      </c>
      <c r="D13937" s="22" t="s">
        <v>16124</v>
      </c>
      <c r="E13937" s="22" t="s">
        <v>363</v>
      </c>
      <c r="F13937" s="23" t="str">
        <f>HYPERLINK("https://www.spark-marketing.ru/Card/Lot/68212579", "Оказание охранных услуг")</f>
        <v>Оказание охранных услуг</v>
      </c>
      <c r="G13937" s="22" t="s">
        <v>893</v>
      </c>
      <c r="H13937" s="22" t="s">
        <v>893</v>
      </c>
      <c r="I13937" s="26">
        <v>43521.5125694444</v>
      </c>
      <c r="J13937" s="23" t="str">
        <f>HYPERLINK("https://www.spark-marketing.ru/Card/Person/63886", "ООО ""ЧОП ""ПУТИНА""")</f>
        <v>ООО "ЧОП "ПУТИНА"</v>
      </c>
      <c r="K13937" s="24" t="s">
        <v>14886</v>
      </c>
      <c r="L13937" s="28" t="s">
        <v>52</v>
      </c>
      <c r="M13937" s="28" t="s">
        <v>52</v>
      </c>
      <c r="N13937" s="28" t="s">
        <v>52</v>
      </c>
    </row>
    <row r="13938" spans="1:14" x14ac:dyDescent="0.15">
      <c r="A13938" s="23" t="str">
        <f>HYPERLINK("https://www.spark-marketing.ru/Card/Person/111062", "ГБУЗ ""ЦРБ ИМ. ХАЦУКОВА А.А.""")</f>
        <v>ГБУЗ "ЦРБ ИМ. ХАЦУКОВА А.А."</v>
      </c>
      <c r="B13938" s="24" t="s">
        <v>11357</v>
      </c>
      <c r="C13938" s="25">
        <v>122585.4</v>
      </c>
      <c r="D13938" s="22" t="s">
        <v>16125</v>
      </c>
      <c r="E13938" s="22" t="s">
        <v>11359</v>
      </c>
      <c r="F13938" s="23" t="str">
        <f>HYPERLINK("https://www.spark-marketing.ru/Card/Lot/68221728", "централизованная охрана объектов")</f>
        <v>централизованная охрана объектов</v>
      </c>
      <c r="G13938" s="22" t="s">
        <v>110</v>
      </c>
      <c r="H13938" s="22" t="s">
        <v>110</v>
      </c>
      <c r="I13938" s="26">
        <v>43521.528472222199</v>
      </c>
      <c r="J13938" s="28" t="s">
        <v>52</v>
      </c>
      <c r="K13938" s="28" t="s">
        <v>52</v>
      </c>
      <c r="L13938" s="28" t="s">
        <v>52</v>
      </c>
      <c r="M13938" s="28" t="s">
        <v>52</v>
      </c>
      <c r="N13938" s="28" t="s">
        <v>52</v>
      </c>
    </row>
    <row r="13939" spans="1:14" x14ac:dyDescent="0.15">
      <c r="A13939" s="23" t="str">
        <f>HYPERLINK("https://www.spark-marketing.ru/Card/Person/1000551", "МБУК ""ЦЕНТРАЛИЗОВАННАЯ БИБЛИОТЕЧНАЯ СИСТЕМА""")</f>
        <v>МБУК "ЦЕНТРАЛИЗОВАННАЯ БИБЛИОТЕЧНАЯ СИСТЕМА"</v>
      </c>
      <c r="B13939" s="24" t="s">
        <v>16126</v>
      </c>
      <c r="C13939" s="25">
        <v>16000</v>
      </c>
      <c r="D13939" s="22" t="s">
        <v>16127</v>
      </c>
      <c r="E13939" s="22" t="s">
        <v>349</v>
      </c>
      <c r="F13939" s="23" t="str">
        <f>HYPERLINK("https://www.spark-marketing.ru/Card/Lot/68216783", "Оказание услуг по техническому обслуживанию системы видеонаблюдения")</f>
        <v>Оказание услуг по техническому обслуживанию системы видеонаблюдения</v>
      </c>
      <c r="G13939" s="22" t="s">
        <v>176</v>
      </c>
      <c r="H13939" s="22" t="s">
        <v>13545</v>
      </c>
      <c r="I13939" s="26">
        <v>43521.529861111099</v>
      </c>
      <c r="J13939" s="28" t="s">
        <v>52</v>
      </c>
      <c r="K13939" s="28" t="s">
        <v>52</v>
      </c>
      <c r="L13939" s="28" t="s">
        <v>52</v>
      </c>
      <c r="M13939" s="28" t="s">
        <v>52</v>
      </c>
      <c r="N13939" s="28" t="s">
        <v>52</v>
      </c>
    </row>
    <row r="13940" spans="1:14" x14ac:dyDescent="0.15">
      <c r="A13940" s="23" t="str">
        <f>HYPERLINK("https://www.spark-marketing.ru/Card/Person/998004", "МБУ ДО ""ДШИ С. НОВАЯ ТАВОЛЖАНКА""")</f>
        <v>МБУ ДО "ДШИ С. НОВАЯ ТАВОЛЖАНКА"</v>
      </c>
      <c r="B13940" s="24" t="s">
        <v>16128</v>
      </c>
      <c r="C13940" s="25">
        <v>11500</v>
      </c>
      <c r="D13940" s="22" t="s">
        <v>16129</v>
      </c>
      <c r="E13940" s="22" t="s">
        <v>103</v>
      </c>
      <c r="F13940" s="23" t="str">
        <f>HYPERLINK("https://www.spark-marketing.ru/Card/Lot/68213909", "Оказание услуг по техническому обслуживанию системы видеонаблюдения")</f>
        <v>Оказание услуг по техническому обслуживанию системы видеонаблюдения</v>
      </c>
      <c r="G13940" s="22" t="s">
        <v>176</v>
      </c>
      <c r="H13940" s="22" t="s">
        <v>572</v>
      </c>
      <c r="I13940" s="26">
        <v>43521.490277777797</v>
      </c>
      <c r="J13940" s="28" t="s">
        <v>52</v>
      </c>
      <c r="K13940" s="28" t="s">
        <v>52</v>
      </c>
      <c r="L13940" s="28" t="s">
        <v>52</v>
      </c>
      <c r="M13940" s="28" t="s">
        <v>52</v>
      </c>
      <c r="N13940" s="28" t="s">
        <v>52</v>
      </c>
    </row>
    <row r="13941" spans="1:14" x14ac:dyDescent="0.15">
      <c r="A13941" s="23" t="str">
        <f>HYPERLINK("https://www.spark-marketing.ru/Card/Person/61266", "МБОУ ""ПОКРОВСКАЯ СОШ""")</f>
        <v>МБОУ "ПОКРОВСКАЯ СОШ"</v>
      </c>
      <c r="B13941" s="24" t="s">
        <v>16130</v>
      </c>
      <c r="C13941" s="25">
        <v>16500</v>
      </c>
      <c r="D13941" s="22" t="s">
        <v>16131</v>
      </c>
      <c r="E13941" s="22" t="s">
        <v>103</v>
      </c>
      <c r="F13941" s="23" t="str">
        <f>HYPERLINK("https://www.spark-marketing.ru/Card/Lot/68540692", "Оказание услуг по техническому обслуживанию системы видеонаблюдения")</f>
        <v>Оказание услуг по техническому обслуживанию системы видеонаблюдения</v>
      </c>
      <c r="G13941" s="22" t="s">
        <v>50</v>
      </c>
      <c r="H13941" s="22" t="s">
        <v>1207</v>
      </c>
      <c r="I13941" s="26">
        <v>43521.471863425897</v>
      </c>
      <c r="J13941" s="28" t="s">
        <v>52</v>
      </c>
      <c r="K13941" s="28" t="s">
        <v>52</v>
      </c>
      <c r="L13941" s="28" t="s">
        <v>52</v>
      </c>
      <c r="M13941" s="28" t="s">
        <v>52</v>
      </c>
      <c r="N13941" s="28" t="s">
        <v>52</v>
      </c>
    </row>
    <row r="13942" spans="1:14" x14ac:dyDescent="0.15">
      <c r="A13942" s="23" t="str">
        <f>HYPERLINK("https://www.spark-marketing.ru/Card/Person/4345482", "ПРАВИТЕЛЬСТВО РОСТОВСКОЙ ОБЛАСТИ")</f>
        <v>ПРАВИТЕЛЬСТВО РОСТОВСКОЙ ОБЛАСТИ</v>
      </c>
      <c r="B13942" s="24" t="s">
        <v>13132</v>
      </c>
      <c r="C13942" s="25">
        <v>150000</v>
      </c>
      <c r="D13942" s="22" t="s">
        <v>16132</v>
      </c>
      <c r="E13942" s="22" t="s">
        <v>13134</v>
      </c>
      <c r="F13942" s="23" t="str">
        <f>HYPERLINK("https://www.spark-marketing.ru/Card/Lot/68216938", "Оказание услуг по реализации специального информационного проекта в рамках реализации подпрограммы «Комплексные меры противодействия злоупотреблению наркотикам и их незаконному обороту» государственной программы Ростовской области «Обеспечение общест...")</f>
        <v>Оказание услуг по реализации специального информационного проекта в рамках реализации подпрограммы «Комплексные меры противодействия злоупотреблению наркотикам и их незаконному обороту» государственной программы Ростовской области «Обеспечение общест...</v>
      </c>
      <c r="G13942" s="22" t="s">
        <v>402</v>
      </c>
      <c r="H13942" s="22" t="s">
        <v>402</v>
      </c>
      <c r="I13942" s="26">
        <v>43521.4597222222</v>
      </c>
      <c r="J13942" s="28" t="s">
        <v>52</v>
      </c>
      <c r="K13942" s="28" t="s">
        <v>52</v>
      </c>
      <c r="L13942" s="28" t="s">
        <v>52</v>
      </c>
      <c r="M13942" s="28" t="s">
        <v>52</v>
      </c>
      <c r="N13942" s="28" t="s">
        <v>52</v>
      </c>
    </row>
    <row r="13943" spans="1:14" hidden="1" outlineLevel="1" x14ac:dyDescent="0.2">
      <c r="A13943" s="23" t="str">
        <f>HYPERLINK("https://www.spark-marketing.ru/Card/Person/4345482", "ПРАВИТЕЛЬСТВО РОСТОВСКОЙ ОБЛАСТИ")</f>
        <v>ПРАВИТЕЛЬСТВО РОСТОВСКОЙ ОБЛАСТИ</v>
      </c>
      <c r="B13943" s="24" t="s">
        <v>13132</v>
      </c>
      <c r="C13943" s="25">
        <v>150000</v>
      </c>
      <c r="D13943" s="22" t="s">
        <v>16132</v>
      </c>
      <c r="E13943" s="22" t="s">
        <v>13134</v>
      </c>
      <c r="F13943" s="23" t="str">
        <f>HYPERLINK("https://www.spark-marketing.ru/Card/Lot/68216938", "Оказание услуг по реализации специального информационного проекта в рамках реализации подпрограммы «Комплексные меры противодействия злоупотреблению наркотикам и их незаконному обороту» государственной программы Ростовской области «Обеспечение общест...")</f>
        <v>Оказание услуг по реализации специального информационного проекта в рамках реализации подпрограммы «Комплексные меры противодействия злоупотреблению наркотикам и их незаконному обороту» государственной программы Ростовской области «Обеспечение общест...</v>
      </c>
      <c r="G13943" s="22" t="s">
        <v>402</v>
      </c>
      <c r="H13943" s="22" t="s">
        <v>402</v>
      </c>
      <c r="I13943" s="26">
        <v>43521.4597222222</v>
      </c>
      <c r="J13943" s="23" t="str">
        <f>HYPERLINK("https://www.spark-marketing.ru/Card/Person/6497423", "Орехова Наталья Александровна")</f>
        <v>Орехова Наталья Александровна</v>
      </c>
      <c r="K13943" s="24" t="s">
        <v>16133</v>
      </c>
      <c r="L13943" s="28" t="s">
        <v>52</v>
      </c>
      <c r="M13943" s="25">
        <v>150000</v>
      </c>
      <c r="N13943" s="27">
        <v>0</v>
      </c>
    </row>
    <row r="13944" spans="1:14" hidden="1" outlineLevel="1" x14ac:dyDescent="0.2">
      <c r="A13944" s="23" t="str">
        <f>HYPERLINK("https://www.spark-marketing.ru/Card/Person/4345482", "ПРАВИТЕЛЬСТВО РОСТОВСКОЙ ОБЛАСТИ")</f>
        <v>ПРАВИТЕЛЬСТВО РОСТОВСКОЙ ОБЛАСТИ</v>
      </c>
      <c r="B13944" s="24" t="s">
        <v>13132</v>
      </c>
      <c r="C13944" s="25">
        <v>150000</v>
      </c>
      <c r="D13944" s="22" t="s">
        <v>16132</v>
      </c>
      <c r="E13944" s="22" t="s">
        <v>13134</v>
      </c>
      <c r="F13944" s="23" t="str">
        <f>HYPERLINK("https://www.spark-marketing.ru/Card/Lot/68216938", "Оказание услуг по реализации специального информационного проекта в рамках реализации подпрограммы «Комплексные меры противодействия злоупотреблению наркотикам и их незаконному обороту» государственной программы Ростовской области «Обеспечение общест...")</f>
        <v>Оказание услуг по реализации специального информационного проекта в рамках реализации подпрограммы «Комплексные меры противодействия злоупотреблению наркотикам и их незаконному обороту» государственной программы Ростовской области «Обеспечение общест...</v>
      </c>
      <c r="G13944" s="22" t="s">
        <v>402</v>
      </c>
      <c r="H13944" s="22" t="s">
        <v>402</v>
      </c>
      <c r="I13944" s="26">
        <v>43521.4597222222</v>
      </c>
      <c r="J13944" s="23" t="str">
        <f>HYPERLINK("https://www.spark-marketing.ru/Card/Person/6262330", "Гусев Александр Александрович")</f>
        <v>Гусев Александр Александрович</v>
      </c>
      <c r="K13944" s="24" t="s">
        <v>16134</v>
      </c>
      <c r="L13944" s="28" t="s">
        <v>52</v>
      </c>
      <c r="M13944" s="25">
        <v>128150</v>
      </c>
      <c r="N13944" s="27">
        <v>0.14566666666666667</v>
      </c>
    </row>
    <row r="13945" spans="1:14" ht="12.75" hidden="1" outlineLevel="1" x14ac:dyDescent="0.2">
      <c r="A13945" s="23" t="str">
        <f>HYPERLINK("https://www.spark-marketing.ru/Card/Person/4345482", "ПРАВИТЕЛЬСТВО РОСТОВСКОЙ ОБЛАСТИ")</f>
        <v>ПРАВИТЕЛЬСТВО РОСТОВСКОЙ ОБЛАСТИ</v>
      </c>
      <c r="B13945" s="24" t="s">
        <v>13132</v>
      </c>
      <c r="C13945" s="25">
        <v>150000</v>
      </c>
      <c r="D13945" s="22" t="s">
        <v>16132</v>
      </c>
      <c r="E13945" s="22" t="s">
        <v>13134</v>
      </c>
      <c r="F13945" s="23" t="str">
        <f>HYPERLINK("https://www.spark-marketing.ru/Card/Lot/68216938", "Оказание услуг по реализации специального информационного проекта в рамках реализации подпрограммы «Комплексные меры противодействия злоупотреблению наркотикам и их незаконному обороту» государственной программы Ростовской области «Обеспечение общест...")</f>
        <v>Оказание услуг по реализации специального информационного проекта в рамках реализации подпрограммы «Комплексные меры противодействия злоупотреблению наркотикам и их незаконному обороту» государственной программы Ростовской области «Обеспечение общест...</v>
      </c>
      <c r="G13945" s="22" t="s">
        <v>402</v>
      </c>
      <c r="H13945" s="22" t="s">
        <v>402</v>
      </c>
      <c r="I13945" s="26">
        <v>43521.4597222222</v>
      </c>
      <c r="J13945" s="23" t="str">
        <f>HYPERLINK("https://www.spark-marketing.ru/Card/Person/6145749", "Зеленская Екатерина Сергеевна")</f>
        <v>Зеленская Екатерина Сергеевна</v>
      </c>
      <c r="K13945" s="24" t="s">
        <v>16135</v>
      </c>
      <c r="L13945" s="22" t="s">
        <v>10</v>
      </c>
      <c r="M13945" s="25">
        <v>100000</v>
      </c>
      <c r="N13945" s="27">
        <v>0.33333333333333331</v>
      </c>
    </row>
    <row r="13946" spans="1:14" x14ac:dyDescent="0.15">
      <c r="A13946" s="23" t="str">
        <f>HYPERLINK("https://www.spark-marketing.ru/Card/Person/111508", "ГКУЗ МО ""ДСУ""")</f>
        <v>ГКУЗ МО "ДСУ"</v>
      </c>
      <c r="B13946" s="24" t="s">
        <v>16136</v>
      </c>
      <c r="C13946" s="25">
        <v>100000</v>
      </c>
      <c r="D13946" s="22" t="s">
        <v>16137</v>
      </c>
      <c r="E13946" s="22" t="s">
        <v>103</v>
      </c>
      <c r="F13946" s="23" t="str">
        <f>HYPERLINK("https://www.spark-marketing.ru/Card/Lot/68539363", "техническое обслуживание видеодомофона")</f>
        <v>техническое обслуживание видеодомофона</v>
      </c>
      <c r="G13946" s="22" t="s">
        <v>50</v>
      </c>
      <c r="H13946" s="22" t="s">
        <v>2691</v>
      </c>
      <c r="I13946" s="26">
        <v>43521.472222222197</v>
      </c>
      <c r="J13946" s="28" t="s">
        <v>52</v>
      </c>
      <c r="K13946" s="28" t="s">
        <v>52</v>
      </c>
      <c r="L13946" s="28" t="s">
        <v>52</v>
      </c>
      <c r="M13946" s="28" t="s">
        <v>52</v>
      </c>
      <c r="N13946" s="28" t="s">
        <v>52</v>
      </c>
    </row>
    <row r="13947" spans="1:14" x14ac:dyDescent="0.15">
      <c r="A13947" s="23" t="str">
        <f>HYPERLINK("https://www.spark-marketing.ru/Card/Person/4345482", "ПРАВИТЕЛЬСТВО РОСТОВСКОЙ ОБЛАСТИ")</f>
        <v>ПРАВИТЕЛЬСТВО РОСТОВСКОЙ ОБЛАСТИ</v>
      </c>
      <c r="B13947" s="24" t="s">
        <v>13132</v>
      </c>
      <c r="C13947" s="25">
        <v>150000</v>
      </c>
      <c r="D13947" s="22" t="s">
        <v>16138</v>
      </c>
      <c r="E13947" s="22" t="s">
        <v>13134</v>
      </c>
      <c r="F13947" s="23" t="str">
        <f>HYPERLINK("https://www.spark-marketing.ru/Card/Lot/68216937", "Оказание услуг по реализации специального информационного проекта в рамках реализации подпрограммы «Комплексные меры противодействия злоупотреблению наркотикам и их незаконному обороту» государственной программы Ростовской области «Обеспечение общест...")</f>
        <v>Оказание услуг по реализации специального информационного проекта в рамках реализации подпрограммы «Комплексные меры противодействия злоупотреблению наркотикам и их незаконному обороту» государственной программы Ростовской области «Обеспечение общест...</v>
      </c>
      <c r="G13947" s="22" t="s">
        <v>402</v>
      </c>
      <c r="H13947" s="22" t="s">
        <v>402</v>
      </c>
      <c r="I13947" s="26">
        <v>43521.4597222222</v>
      </c>
      <c r="J13947" s="28" t="s">
        <v>52</v>
      </c>
      <c r="K13947" s="28" t="s">
        <v>52</v>
      </c>
      <c r="L13947" s="28" t="s">
        <v>52</v>
      </c>
      <c r="M13947" s="28" t="s">
        <v>52</v>
      </c>
      <c r="N13947" s="28" t="s">
        <v>52</v>
      </c>
    </row>
    <row r="13948" spans="1:14" hidden="1" outlineLevel="1" x14ac:dyDescent="0.2">
      <c r="A13948" s="23" t="str">
        <f>HYPERLINK("https://www.spark-marketing.ru/Card/Person/4345482", "ПРАВИТЕЛЬСТВО РОСТОВСКОЙ ОБЛАСТИ")</f>
        <v>ПРАВИТЕЛЬСТВО РОСТОВСКОЙ ОБЛАСТИ</v>
      </c>
      <c r="B13948" s="24" t="s">
        <v>13132</v>
      </c>
      <c r="C13948" s="25">
        <v>150000</v>
      </c>
      <c r="D13948" s="22" t="s">
        <v>16138</v>
      </c>
      <c r="E13948" s="22" t="s">
        <v>13134</v>
      </c>
      <c r="F13948" s="23" t="str">
        <f>HYPERLINK("https://www.spark-marketing.ru/Card/Lot/68216937", "Оказание услуг по реализации специального информационного проекта в рамках реализации подпрограммы «Комплексные меры противодействия злоупотреблению наркотикам и их незаконному обороту» государственной программы Ростовской области «Обеспечение общест...")</f>
        <v>Оказание услуг по реализации специального информационного проекта в рамках реализации подпрограммы «Комплексные меры противодействия злоупотреблению наркотикам и их незаконному обороту» государственной программы Ростовской области «Обеспечение общест...</v>
      </c>
      <c r="G13948" s="22" t="s">
        <v>402</v>
      </c>
      <c r="H13948" s="22" t="s">
        <v>402</v>
      </c>
      <c r="I13948" s="26">
        <v>43521.4597222222</v>
      </c>
      <c r="J13948" s="23" t="str">
        <f>HYPERLINK("https://www.spark-marketing.ru/Card/Person/6497423", "Орехова Наталья Александровна")</f>
        <v>Орехова Наталья Александровна</v>
      </c>
      <c r="K13948" s="24" t="s">
        <v>16133</v>
      </c>
      <c r="L13948" s="28" t="s">
        <v>52</v>
      </c>
      <c r="M13948" s="25">
        <v>150000</v>
      </c>
      <c r="N13948" s="27">
        <v>0</v>
      </c>
    </row>
    <row r="13949" spans="1:14" hidden="1" outlineLevel="1" x14ac:dyDescent="0.2">
      <c r="A13949" s="23" t="str">
        <f>HYPERLINK("https://www.spark-marketing.ru/Card/Person/4345482", "ПРАВИТЕЛЬСТВО РОСТОВСКОЙ ОБЛАСТИ")</f>
        <v>ПРАВИТЕЛЬСТВО РОСТОВСКОЙ ОБЛАСТИ</v>
      </c>
      <c r="B13949" s="24" t="s">
        <v>13132</v>
      </c>
      <c r="C13949" s="25">
        <v>150000</v>
      </c>
      <c r="D13949" s="22" t="s">
        <v>16138</v>
      </c>
      <c r="E13949" s="22" t="s">
        <v>13134</v>
      </c>
      <c r="F13949" s="23" t="str">
        <f>HYPERLINK("https://www.spark-marketing.ru/Card/Lot/68216937", "Оказание услуг по реализации специального информационного проекта в рамках реализации подпрограммы «Комплексные меры противодействия злоупотреблению наркотикам и их незаконному обороту» государственной программы Ростовской области «Обеспечение общест...")</f>
        <v>Оказание услуг по реализации специального информационного проекта в рамках реализации подпрограммы «Комплексные меры противодействия злоупотреблению наркотикам и их незаконному обороту» государственной программы Ростовской области «Обеспечение общест...</v>
      </c>
      <c r="G13949" s="22" t="s">
        <v>402</v>
      </c>
      <c r="H13949" s="22" t="s">
        <v>402</v>
      </c>
      <c r="I13949" s="26">
        <v>43521.4597222222</v>
      </c>
      <c r="J13949" s="23" t="str">
        <f>HYPERLINK("https://www.spark-marketing.ru/Card/Person/6262330", "Гусев Александр Александрович")</f>
        <v>Гусев Александр Александрович</v>
      </c>
      <c r="K13949" s="24" t="s">
        <v>16134</v>
      </c>
      <c r="L13949" s="28" t="s">
        <v>52</v>
      </c>
      <c r="M13949" s="25">
        <v>129150</v>
      </c>
      <c r="N13949" s="27">
        <v>0.13900000000000001</v>
      </c>
    </row>
    <row r="13950" spans="1:14" ht="12.75" hidden="1" outlineLevel="1" x14ac:dyDescent="0.2">
      <c r="A13950" s="23" t="str">
        <f>HYPERLINK("https://www.spark-marketing.ru/Card/Person/4345482", "ПРАВИТЕЛЬСТВО РОСТОВСКОЙ ОБЛАСТИ")</f>
        <v>ПРАВИТЕЛЬСТВО РОСТОВСКОЙ ОБЛАСТИ</v>
      </c>
      <c r="B13950" s="24" t="s">
        <v>13132</v>
      </c>
      <c r="C13950" s="25">
        <v>150000</v>
      </c>
      <c r="D13950" s="22" t="s">
        <v>16138</v>
      </c>
      <c r="E13950" s="22" t="s">
        <v>13134</v>
      </c>
      <c r="F13950" s="23" t="str">
        <f>HYPERLINK("https://www.spark-marketing.ru/Card/Lot/68216937", "Оказание услуг по реализации специального информационного проекта в рамках реализации подпрограммы «Комплексные меры противодействия злоупотреблению наркотикам и их незаконному обороту» государственной программы Ростовской области «Обеспечение общест...")</f>
        <v>Оказание услуг по реализации специального информационного проекта в рамках реализации подпрограммы «Комплексные меры противодействия злоупотреблению наркотикам и их незаконному обороту» государственной программы Ростовской области «Обеспечение общест...</v>
      </c>
      <c r="G13950" s="22" t="s">
        <v>402</v>
      </c>
      <c r="H13950" s="22" t="s">
        <v>402</v>
      </c>
      <c r="I13950" s="26">
        <v>43521.4597222222</v>
      </c>
      <c r="J13950" s="23" t="str">
        <f>HYPERLINK("https://www.spark-marketing.ru/Card/Person/6145749", "Зеленская Екатерина Сергеевна")</f>
        <v>Зеленская Екатерина Сергеевна</v>
      </c>
      <c r="K13950" s="24" t="s">
        <v>16135</v>
      </c>
      <c r="L13950" s="22" t="s">
        <v>10</v>
      </c>
      <c r="M13950" s="25">
        <v>100000</v>
      </c>
      <c r="N13950" s="27">
        <v>0.33333333333333331</v>
      </c>
    </row>
    <row r="13951" spans="1:14" x14ac:dyDescent="0.15">
      <c r="A13951" s="23" t="str">
        <f>HYPERLINK("https://www.spark-marketing.ru/Card/Person/78970", "ФКУЗ МСЧ-58 ФСИН РОССИИ")</f>
        <v>ФКУЗ МСЧ-58 ФСИН РОССИИ</v>
      </c>
      <c r="B13951" s="24" t="s">
        <v>16093</v>
      </c>
      <c r="C13951" s="25">
        <v>89528.639999999999</v>
      </c>
      <c r="D13951" s="22" t="s">
        <v>16139</v>
      </c>
      <c r="E13951" s="22" t="s">
        <v>53</v>
      </c>
      <c r="F13951" s="23" t="str">
        <f>HYPERLINK("https://www.spark-marketing.ru/Card/Lot/70798381", "Оказание услуг по охране имущества")</f>
        <v>Оказание услуг по охране имущества</v>
      </c>
      <c r="G13951" s="22" t="s">
        <v>514</v>
      </c>
      <c r="H13951" s="22" t="s">
        <v>2167</v>
      </c>
      <c r="I13951" s="26">
        <v>43521.477662037003</v>
      </c>
      <c r="J13951" s="28" t="s">
        <v>52</v>
      </c>
      <c r="K13951" s="28" t="s">
        <v>52</v>
      </c>
      <c r="L13951" s="28" t="s">
        <v>52</v>
      </c>
      <c r="M13951" s="28" t="s">
        <v>52</v>
      </c>
      <c r="N13951" s="28" t="s">
        <v>52</v>
      </c>
    </row>
    <row r="13952" spans="1:14" x14ac:dyDescent="0.15">
      <c r="A13952" s="23" t="str">
        <f>HYPERLINK("https://www.spark-marketing.ru/Card/Person/784514", "ФГБОУ ВО РОСТГМУ МИНЗДРАВА РОССИИ")</f>
        <v>ФГБОУ ВО РОСТГМУ МИНЗДРАВА РОССИИ</v>
      </c>
      <c r="B13952" s="24" t="s">
        <v>15353</v>
      </c>
      <c r="C13952" s="25">
        <v>313202.64</v>
      </c>
      <c r="D13952" s="22" t="s">
        <v>16140</v>
      </c>
      <c r="E13952" s="22" t="s">
        <v>68</v>
      </c>
      <c r="F13952" s="23" t="str">
        <f>HYPERLINK("https://www.spark-marketing.ru/Card/Lot/68218088", "Оказание услуг по обеспечению охраны объектов с помощью комплекса технических средств охранной сигнализации, подключенных к ПЦО")</f>
        <v>Оказание услуг по обеспечению охраны объектов с помощью комплекса технических средств охранной сигнализации, подключенных к ПЦО</v>
      </c>
      <c r="G13952" s="22" t="s">
        <v>402</v>
      </c>
      <c r="H13952" s="22" t="s">
        <v>403</v>
      </c>
      <c r="I13952" s="26">
        <v>43521.495138888902</v>
      </c>
      <c r="J13952" s="28" t="s">
        <v>52</v>
      </c>
      <c r="K13952" s="28" t="s">
        <v>52</v>
      </c>
      <c r="L13952" s="28" t="s">
        <v>52</v>
      </c>
      <c r="M13952" s="28" t="s">
        <v>52</v>
      </c>
      <c r="N13952" s="28" t="s">
        <v>52</v>
      </c>
    </row>
    <row r="13953" spans="1:14" x14ac:dyDescent="0.15">
      <c r="A13953" s="23" t="str">
        <f>HYPERLINK("https://www.spark-marketing.ru/Card/Person/1016023", "МКДОУ Д/С № 13")</f>
        <v>МКДОУ Д/С № 13</v>
      </c>
      <c r="B13953" s="24" t="s">
        <v>16141</v>
      </c>
      <c r="C13953" s="25">
        <v>640200</v>
      </c>
      <c r="D13953" s="22" t="s">
        <v>16142</v>
      </c>
      <c r="E13953" s="22" t="s">
        <v>52</v>
      </c>
      <c r="F13953" s="23" t="str">
        <f>HYPERLINK("https://www.spark-marketing.ru/Card/Lot/68209679", "Оказание услуг охраны")</f>
        <v>Оказание услуг охраны</v>
      </c>
      <c r="G13953" s="22" t="s">
        <v>72</v>
      </c>
      <c r="H13953" s="22" t="s">
        <v>15844</v>
      </c>
      <c r="I13953" s="26">
        <v>43521.465277777803</v>
      </c>
      <c r="J13953" s="28" t="s">
        <v>52</v>
      </c>
      <c r="K13953" s="28" t="s">
        <v>52</v>
      </c>
      <c r="L13953" s="28" t="s">
        <v>52</v>
      </c>
      <c r="M13953" s="28" t="s">
        <v>52</v>
      </c>
      <c r="N13953" s="28" t="s">
        <v>52</v>
      </c>
    </row>
    <row r="13954" spans="1:14" hidden="1" outlineLevel="1" x14ac:dyDescent="0.2">
      <c r="A13954" s="23" t="str">
        <f>HYPERLINK("https://www.spark-marketing.ru/Card/Person/1016023", "МКДОУ Д/С № 13")</f>
        <v>МКДОУ Д/С № 13</v>
      </c>
      <c r="B13954" s="24" t="s">
        <v>16141</v>
      </c>
      <c r="C13954" s="25">
        <v>640200</v>
      </c>
      <c r="D13954" s="22" t="s">
        <v>16142</v>
      </c>
      <c r="E13954" s="22" t="s">
        <v>52</v>
      </c>
      <c r="F13954" s="23" t="str">
        <f>HYPERLINK("https://www.spark-marketing.ru/Card/Lot/68209679", "Оказание услуг охраны")</f>
        <v>Оказание услуг охраны</v>
      </c>
      <c r="G13954" s="22" t="s">
        <v>72</v>
      </c>
      <c r="H13954" s="22" t="s">
        <v>15844</v>
      </c>
      <c r="I13954" s="26">
        <v>43521.465277777803</v>
      </c>
      <c r="J13954" s="23" t="str">
        <f>HYPERLINK("https://www.spark-marketing.ru/Card/Person/100254", "ООО ЧОО ""ВИКТОРИЯ""")</f>
        <v>ООО ЧОО "ВИКТОРИЯ"</v>
      </c>
      <c r="K13954" s="24" t="s">
        <v>1406</v>
      </c>
      <c r="L13954" s="28" t="s">
        <v>52</v>
      </c>
      <c r="M13954" s="25">
        <v>565516.32999999996</v>
      </c>
      <c r="N13954" s="27">
        <v>0.11665677913152139</v>
      </c>
    </row>
    <row r="13955" spans="1:14" ht="12.75" hidden="1" outlineLevel="1" x14ac:dyDescent="0.2">
      <c r="A13955" s="23" t="str">
        <f>HYPERLINK("https://www.spark-marketing.ru/Card/Person/1016023", "МКДОУ Д/С № 13")</f>
        <v>МКДОУ Д/С № 13</v>
      </c>
      <c r="B13955" s="24" t="s">
        <v>16141</v>
      </c>
      <c r="C13955" s="25">
        <v>640200</v>
      </c>
      <c r="D13955" s="22" t="s">
        <v>16142</v>
      </c>
      <c r="E13955" s="22" t="s">
        <v>52</v>
      </c>
      <c r="F13955" s="23" t="str">
        <f>HYPERLINK("https://www.spark-marketing.ru/Card/Lot/68209679", "Оказание услуг охраны")</f>
        <v>Оказание услуг охраны</v>
      </c>
      <c r="G13955" s="22" t="s">
        <v>72</v>
      </c>
      <c r="H13955" s="22" t="s">
        <v>15844</v>
      </c>
      <c r="I13955" s="26">
        <v>43521.465277777803</v>
      </c>
      <c r="J13955" s="23" t="str">
        <f>HYPERLINK("https://www.spark-marketing.ru/Card/Person/804344", "ООО ""ЧОП ""ЛИНКОР""")</f>
        <v>ООО "ЧОП "ЛИНКОР"</v>
      </c>
      <c r="K13955" s="24" t="s">
        <v>9514</v>
      </c>
      <c r="L13955" s="22" t="s">
        <v>10</v>
      </c>
      <c r="M13955" s="25">
        <v>560951.59</v>
      </c>
      <c r="N13955" s="27">
        <v>0.12378695720087472</v>
      </c>
    </row>
    <row r="13956" spans="1:14" x14ac:dyDescent="0.15">
      <c r="A13956" s="23" t="str">
        <f>HYPERLINK("https://www.spark-marketing.ru/Card/Person/53742", "ГАУЗ ""ГКБ №16""")</f>
        <v>ГАУЗ "ГКБ №16"</v>
      </c>
      <c r="B13956" s="24" t="s">
        <v>16143</v>
      </c>
      <c r="C13956" s="25">
        <v>39135.79</v>
      </c>
      <c r="D13956" s="22" t="s">
        <v>16144</v>
      </c>
      <c r="E13956" s="22" t="s">
        <v>84</v>
      </c>
      <c r="F13956" s="23" t="str">
        <f>HYPERLINK("https://www.spark-marketing.ru/Card/Lot/68218625", "Монтаж КТС в поликлинических отделениях ГАУЗ ""Городская клиническая больница № 16"" г. Казани")</f>
        <v>Монтаж КТС в поликлинических отделениях ГАУЗ "Городская клиническая больница № 16" г. Казани</v>
      </c>
      <c r="G13956" s="22" t="s">
        <v>204</v>
      </c>
      <c r="H13956" s="22" t="s">
        <v>303</v>
      </c>
      <c r="I13956" s="26">
        <v>43521.465972222199</v>
      </c>
      <c r="J13956" s="23" t="str">
        <f>HYPERLINK("https://www.spark-marketing.ru/Card/Person/10487", "ФГУП ""ОХРАНА"" РОСГВАРДИИ")</f>
        <v>ФГУП "ОХРАНА" РОСГВАРДИИ</v>
      </c>
      <c r="K13956" s="24" t="s">
        <v>779</v>
      </c>
      <c r="L13956" s="28" t="s">
        <v>52</v>
      </c>
      <c r="M13956" s="28" t="s">
        <v>52</v>
      </c>
      <c r="N13956" s="28" t="s">
        <v>52</v>
      </c>
    </row>
    <row r="13957" spans="1:14" ht="12.75" hidden="1" outlineLevel="1" x14ac:dyDescent="0.2">
      <c r="A13957" s="23" t="str">
        <f>HYPERLINK("https://www.spark-marketing.ru/Card/Person/53742", "ГАУЗ ""ГКБ №16""")</f>
        <v>ГАУЗ "ГКБ №16"</v>
      </c>
      <c r="B13957" s="24" t="s">
        <v>16143</v>
      </c>
      <c r="C13957" s="25">
        <v>39135.79</v>
      </c>
      <c r="D13957" s="22" t="s">
        <v>16144</v>
      </c>
      <c r="E13957" s="22" t="s">
        <v>84</v>
      </c>
      <c r="F13957" s="23" t="str">
        <f>HYPERLINK("https://www.spark-marketing.ru/Card/Lot/68218625", "Монтаж КТС в поликлинических отделениях ГАУЗ ""Городская клиническая больница № 16"" г. Казани")</f>
        <v>Монтаж КТС в поликлинических отделениях ГАУЗ "Городская клиническая больница № 16" г. Казани</v>
      </c>
      <c r="G13957" s="22" t="s">
        <v>204</v>
      </c>
      <c r="H13957" s="22" t="s">
        <v>303</v>
      </c>
      <c r="I13957" s="26">
        <v>43521.465972222199</v>
      </c>
      <c r="J13957" s="23" t="str">
        <f>HYPERLINK("https://www.spark-marketing.ru/Card/Person/10487", "ФГУП ""ОХРАНА"" РОСГВАРДИИ")</f>
        <v>ФГУП "ОХРАНА" РОСГВАРДИИ</v>
      </c>
      <c r="K13957" s="24" t="s">
        <v>779</v>
      </c>
      <c r="L13957" s="22" t="s">
        <v>10</v>
      </c>
      <c r="M13957" s="25">
        <v>38940.11</v>
      </c>
      <c r="N13957" s="27">
        <v>5.0000268296615455E-3</v>
      </c>
    </row>
    <row r="13958" spans="1:14" x14ac:dyDescent="0.15">
      <c r="A13958" s="23" t="str">
        <f>HYPERLINK("https://www.spark-marketing.ru/Card/Person/6070262", "МБУ ""ФОК ""КОЛОМЕНСКИЙ""")</f>
        <v>МБУ "ФОК "КОЛОМЕНСКИЙ"</v>
      </c>
      <c r="B13958" s="24" t="s">
        <v>16145</v>
      </c>
      <c r="C13958" s="25">
        <v>50400</v>
      </c>
      <c r="D13958" s="22" t="s">
        <v>16146</v>
      </c>
      <c r="E13958" s="22" t="s">
        <v>103</v>
      </c>
      <c r="F13958" s="23" t="str">
        <f>HYPERLINK("https://www.spark-marketing.ru/Card/Lot/68539628", "Услуги по техническому обслуживанию систем видеонаблюдения")</f>
        <v>Услуги по техническому обслуживанию систем видеонаблюдения</v>
      </c>
      <c r="G13958" s="22" t="s">
        <v>50</v>
      </c>
      <c r="H13958" s="22" t="s">
        <v>682</v>
      </c>
      <c r="I13958" s="26">
        <v>43521.462384259299</v>
      </c>
      <c r="J13958" s="28" t="s">
        <v>52</v>
      </c>
      <c r="K13958" s="28" t="s">
        <v>52</v>
      </c>
      <c r="L13958" s="28" t="s">
        <v>52</v>
      </c>
      <c r="M13958" s="28" t="s">
        <v>52</v>
      </c>
      <c r="N13958" s="28" t="s">
        <v>52</v>
      </c>
    </row>
    <row r="13959" spans="1:14" x14ac:dyDescent="0.15">
      <c r="A13959" s="23" t="str">
        <f>HYPERLINK("https://www.spark-marketing.ru/Card/Person/815651", "ГБПОУ РС(Я) ""НМК""")</f>
        <v>ГБПОУ РС(Я) "НМК"</v>
      </c>
      <c r="B13959" s="24" t="s">
        <v>16147</v>
      </c>
      <c r="C13959" s="25">
        <v>51479.64</v>
      </c>
      <c r="D13959" s="22" t="s">
        <v>16148</v>
      </c>
      <c r="E13959" s="22" t="s">
        <v>52</v>
      </c>
      <c r="F13959" s="23" t="str">
        <f>HYPERLINK("https://www.spark-marketing.ru/Card/Lot/68204309", "Услуги, связанные с обеспечением общественного порядка и безопасности, прочие")</f>
        <v>Услуги, связанные с обеспечением общественного порядка и безопасности, прочие</v>
      </c>
      <c r="G13959" s="22" t="s">
        <v>424</v>
      </c>
      <c r="H13959" s="22" t="s">
        <v>424</v>
      </c>
      <c r="I13959" s="26">
        <v>43521.445833333302</v>
      </c>
      <c r="J13959" s="28" t="s">
        <v>52</v>
      </c>
      <c r="K13959" s="28" t="s">
        <v>52</v>
      </c>
      <c r="L13959" s="28" t="s">
        <v>52</v>
      </c>
      <c r="M13959" s="28" t="s">
        <v>52</v>
      </c>
      <c r="N13959" s="28" t="s">
        <v>52</v>
      </c>
    </row>
    <row r="13960" spans="1:14" x14ac:dyDescent="0.15">
      <c r="A13960" s="23" t="str">
        <f>HYPERLINK("https://www.spark-marketing.ru/Card/Person/5856284", "МБУ ""ЦЕНТР РФКС""")</f>
        <v>МБУ "ЦЕНТР РФКС"</v>
      </c>
      <c r="B13960" s="24" t="s">
        <v>15257</v>
      </c>
      <c r="C13960" s="25">
        <v>54000</v>
      </c>
      <c r="D13960" s="22" t="s">
        <v>16149</v>
      </c>
      <c r="E13960" s="22" t="s">
        <v>103</v>
      </c>
      <c r="F13960" s="23" t="str">
        <f>HYPERLINK("https://www.spark-marketing.ru/Card/Lot/68540639", "Охрана объекта с помощью технических средств охраны (Ледово)")</f>
        <v>Охрана объекта с помощью технических средств охраны (Ледово)</v>
      </c>
      <c r="G13960" s="22" t="s">
        <v>50</v>
      </c>
      <c r="H13960" s="22" t="s">
        <v>2283</v>
      </c>
      <c r="I13960" s="26">
        <v>43521.420891203699</v>
      </c>
      <c r="J13960" s="28" t="s">
        <v>52</v>
      </c>
      <c r="K13960" s="28" t="s">
        <v>52</v>
      </c>
      <c r="L13960" s="28" t="s">
        <v>52</v>
      </c>
      <c r="M13960" s="28" t="s">
        <v>52</v>
      </c>
      <c r="N13960" s="28" t="s">
        <v>52</v>
      </c>
    </row>
    <row r="13961" spans="1:14" x14ac:dyDescent="0.15">
      <c r="A13961" s="23" t="str">
        <f>HYPERLINK("https://www.spark-marketing.ru/Card/Person/815651", "ГБПОУ РС(Я) ""НМК""")</f>
        <v>ГБПОУ РС(Я) "НМК"</v>
      </c>
      <c r="B13961" s="24" t="s">
        <v>16147</v>
      </c>
      <c r="C13961" s="25">
        <v>154438.79999999999</v>
      </c>
      <c r="D13961" s="22" t="s">
        <v>16150</v>
      </c>
      <c r="E13961" s="22" t="s">
        <v>68</v>
      </c>
      <c r="F13961" s="23" t="str">
        <f>HYPERLINK("https://www.spark-marketing.ru/Card/Lot/68204275", "Услуги, связанные с обеспечением общественного порядка и безопасности, прочие")</f>
        <v>Услуги, связанные с обеспечением общественного порядка и безопасности, прочие</v>
      </c>
      <c r="G13961" s="22" t="s">
        <v>424</v>
      </c>
      <c r="H13961" s="22" t="s">
        <v>424</v>
      </c>
      <c r="I13961" s="26">
        <v>43521.445833333302</v>
      </c>
      <c r="J13961" s="28" t="s">
        <v>52</v>
      </c>
      <c r="K13961" s="28" t="s">
        <v>52</v>
      </c>
      <c r="L13961" s="28" t="s">
        <v>52</v>
      </c>
      <c r="M13961" s="28" t="s">
        <v>52</v>
      </c>
      <c r="N13961" s="28" t="s">
        <v>52</v>
      </c>
    </row>
    <row r="13962" spans="1:14" x14ac:dyDescent="0.15">
      <c r="A13962" s="23" t="str">
        <f>HYPERLINK("https://www.spark-marketing.ru/Card/Person/4343804", "ГБУ ""ЦЕЛИННАЯ ЦРБ""")</f>
        <v>ГБУ "ЦЕЛИННАЯ ЦРБ"</v>
      </c>
      <c r="B13962" s="24" t="s">
        <v>16151</v>
      </c>
      <c r="C13962" s="25">
        <v>90472.08</v>
      </c>
      <c r="D13962" s="22" t="s">
        <v>16152</v>
      </c>
      <c r="E13962" s="22" t="s">
        <v>68</v>
      </c>
      <c r="F13962" s="23" t="str">
        <f>HYPERLINK("https://www.spark-marketing.ru/Card/Lot/68207206", "Обеспечение охраны объектов, с помощью пульта централизованного наблюдения")</f>
        <v>Обеспечение охраны объектов, с помощью пульта централизованного наблюдения</v>
      </c>
      <c r="G13962" s="22" t="s">
        <v>626</v>
      </c>
      <c r="H13962" s="22" t="s">
        <v>16153</v>
      </c>
      <c r="I13962" s="26">
        <v>43521.422916666699</v>
      </c>
      <c r="J13962" s="28" t="s">
        <v>52</v>
      </c>
      <c r="K13962" s="28" t="s">
        <v>52</v>
      </c>
      <c r="L13962" s="28" t="s">
        <v>52</v>
      </c>
      <c r="M13962" s="28" t="s">
        <v>52</v>
      </c>
      <c r="N13962" s="28" t="s">
        <v>52</v>
      </c>
    </row>
    <row r="13963" spans="1:14" x14ac:dyDescent="0.15">
      <c r="A13963" s="23" t="str">
        <f>HYPERLINK("https://www.spark-marketing.ru/Card/Person/4347275", "ФГБОУ ВО ВОЛГОГРАДСКИЙ ГАУ")</f>
        <v>ФГБОУ ВО ВОЛГОГРАДСКИЙ ГАУ</v>
      </c>
      <c r="B13963" s="24" t="s">
        <v>16154</v>
      </c>
      <c r="C13963" s="25">
        <v>125000</v>
      </c>
      <c r="D13963" s="22" t="s">
        <v>16155</v>
      </c>
      <c r="E13963" s="22" t="s">
        <v>16156</v>
      </c>
      <c r="F13963" s="23" t="str">
        <f>HYPERLINK("https://www.spark-marketing.ru/Card/Lot/68209845", "Оказание услуг по установке системы видеонаблюдения для учебного ТС")</f>
        <v>Оказание услуг по установке системы видеонаблюдения для учебного ТС</v>
      </c>
      <c r="G13963" s="22" t="s">
        <v>343</v>
      </c>
      <c r="H13963" s="22" t="s">
        <v>343</v>
      </c>
      <c r="I13963" s="26">
        <v>43521.419363425899</v>
      </c>
      <c r="J13963" s="28" t="s">
        <v>52</v>
      </c>
      <c r="K13963" s="28" t="s">
        <v>52</v>
      </c>
      <c r="L13963" s="28" t="s">
        <v>52</v>
      </c>
      <c r="M13963" s="28" t="s">
        <v>52</v>
      </c>
      <c r="N13963" s="28" t="s">
        <v>52</v>
      </c>
    </row>
    <row r="13964" spans="1:14" x14ac:dyDescent="0.15">
      <c r="A13964" s="23" t="str">
        <f>HYPERLINK("https://www.spark-marketing.ru/Card/Person/59370", "ГБУ МО ""МОСОБЛМЕДСЕРВИС""")</f>
        <v>ГБУ МО "МОСОБЛМЕДСЕРВИС"</v>
      </c>
      <c r="B13964" s="24" t="s">
        <v>16157</v>
      </c>
      <c r="C13964" s="25">
        <v>93000</v>
      </c>
      <c r="D13964" s="22" t="s">
        <v>16158</v>
      </c>
      <c r="E13964" s="22" t="s">
        <v>59</v>
      </c>
      <c r="F13964" s="23" t="str">
        <f>HYPERLINK("https://www.spark-marketing.ru/Card/Lot/68540658", "Оказание услуг по установке охранно-тревожной сигнализации в КХНС и ПВ (г. Сергиев Посад ул. Красной армии д. 234 к.6)")</f>
        <v>Оказание услуг по установке охранно-тревожной сигнализации в КХНС и ПВ (г. Сергиев Посад ул. Красной армии д. 234 к.6)</v>
      </c>
      <c r="G13964" s="22" t="s">
        <v>50</v>
      </c>
      <c r="H13964" s="22" t="s">
        <v>50</v>
      </c>
      <c r="I13964" s="26">
        <v>43521.4305902778</v>
      </c>
      <c r="J13964" s="28" t="s">
        <v>52</v>
      </c>
      <c r="K13964" s="28" t="s">
        <v>52</v>
      </c>
      <c r="L13964" s="28" t="s">
        <v>52</v>
      </c>
      <c r="M13964" s="28" t="s">
        <v>52</v>
      </c>
      <c r="N13964" s="28" t="s">
        <v>52</v>
      </c>
    </row>
    <row r="13965" spans="1:14" x14ac:dyDescent="0.15">
      <c r="A13965" s="23" t="str">
        <f>HYPERLINK("https://www.spark-marketing.ru/Card/Person/14160", "СПБ ГКУ ""ДОДД""")</f>
        <v>СПБ ГКУ "ДОДД"</v>
      </c>
      <c r="B13965" s="24" t="s">
        <v>9287</v>
      </c>
      <c r="C13965" s="25">
        <v>15459733.199999999</v>
      </c>
      <c r="D13965" s="22" t="s">
        <v>16159</v>
      </c>
      <c r="E13965" s="22" t="s">
        <v>59</v>
      </c>
      <c r="F13965" s="23" t="str">
        <f>HYPERLINK("https://www.spark-marketing.ru/Card/Lot/68217553", "Выполнение работ по установке устройств звуковой голосовой сигнализации")</f>
        <v>Выполнение работ по установке устройств звуковой голосовой сигнализации</v>
      </c>
      <c r="G13965" s="22" t="s">
        <v>89</v>
      </c>
      <c r="H13965" s="22" t="s">
        <v>89</v>
      </c>
      <c r="I13965" s="26">
        <v>43521.443055555603</v>
      </c>
      <c r="J13965" s="28" t="s">
        <v>52</v>
      </c>
      <c r="K13965" s="28" t="s">
        <v>52</v>
      </c>
      <c r="L13965" s="28" t="s">
        <v>52</v>
      </c>
      <c r="M13965" s="28" t="s">
        <v>52</v>
      </c>
      <c r="N13965" s="28" t="s">
        <v>52</v>
      </c>
    </row>
    <row r="13966" spans="1:14" ht="12.75" hidden="1" outlineLevel="1" x14ac:dyDescent="0.2">
      <c r="A13966" s="23" t="str">
        <f>HYPERLINK("https://www.spark-marketing.ru/Card/Person/14160", "СПБ ГКУ ""ДОДД""")</f>
        <v>СПБ ГКУ "ДОДД"</v>
      </c>
      <c r="B13966" s="24" t="s">
        <v>9287</v>
      </c>
      <c r="C13966" s="25">
        <v>15459733.199999999</v>
      </c>
      <c r="D13966" s="22" t="s">
        <v>16159</v>
      </c>
      <c r="E13966" s="22" t="s">
        <v>59</v>
      </c>
      <c r="F13966" s="23" t="str">
        <f>HYPERLINK("https://www.spark-marketing.ru/Card/Lot/68217553", "Выполнение работ по установке устройств звуковой голосовой сигнализации")</f>
        <v>Выполнение работ по установке устройств звуковой голосовой сигнализации</v>
      </c>
      <c r="G13966" s="22" t="s">
        <v>89</v>
      </c>
      <c r="H13966" s="22" t="s">
        <v>89</v>
      </c>
      <c r="I13966" s="26">
        <v>43521.443055555603</v>
      </c>
      <c r="J13966" s="23" t="str">
        <f>HYPERLINK("https://www.spark-marketing.ru/Card/Person/76641", "ООО ""СК ""ЭКСПЕРТ""")</f>
        <v>ООО "СК "ЭКСПЕРТ"</v>
      </c>
      <c r="K13966" s="24" t="s">
        <v>16160</v>
      </c>
      <c r="L13966" s="22" t="s">
        <v>10</v>
      </c>
      <c r="M13966" s="25">
        <v>15382434.529999999</v>
      </c>
      <c r="N13966" s="27">
        <v>5.0000002587366772E-3</v>
      </c>
    </row>
    <row r="13967" spans="1:14" hidden="1" outlineLevel="1" x14ac:dyDescent="0.2">
      <c r="A13967" s="23" t="str">
        <f>HYPERLINK("https://www.spark-marketing.ru/Card/Person/14160", "СПБ ГКУ ""ДОДД""")</f>
        <v>СПБ ГКУ "ДОДД"</v>
      </c>
      <c r="B13967" s="24" t="s">
        <v>9287</v>
      </c>
      <c r="C13967" s="25">
        <v>15459733.199999999</v>
      </c>
      <c r="D13967" s="22" t="s">
        <v>16159</v>
      </c>
      <c r="E13967" s="22" t="s">
        <v>59</v>
      </c>
      <c r="F13967" s="23" t="str">
        <f>HYPERLINK("https://www.spark-marketing.ru/Card/Lot/68217553", "Выполнение работ по установке устройств звуковой голосовой сигнализации")</f>
        <v>Выполнение работ по установке устройств звуковой голосовой сигнализации</v>
      </c>
      <c r="G13967" s="22" t="s">
        <v>89</v>
      </c>
      <c r="H13967" s="22" t="s">
        <v>89</v>
      </c>
      <c r="I13967" s="26">
        <v>43521.443055555603</v>
      </c>
      <c r="J13967" s="23" t="str">
        <f>HYPERLINK("https://www.spark-marketing.ru/Card/Person/4862654", "ООО ""ДОРКОН""")</f>
        <v>ООО "ДОРКОН"</v>
      </c>
      <c r="K13967" s="24" t="s">
        <v>9289</v>
      </c>
      <c r="L13967" s="28" t="s">
        <v>52</v>
      </c>
      <c r="M13967" s="25">
        <v>15382434.529999999</v>
      </c>
      <c r="N13967" s="27">
        <v>5.0000002587366772E-3</v>
      </c>
    </row>
    <row r="13968" spans="1:14" x14ac:dyDescent="0.15">
      <c r="A13968" s="23" t="str">
        <f>HYPERLINK("https://www.spark-marketing.ru/Card/Person/129055", "ЦПО САМАРСКОЙ ОБЛАСТИ")</f>
        <v>ЦПО САМАРСКОЙ ОБЛАСТИ</v>
      </c>
      <c r="B13968" s="24" t="s">
        <v>16161</v>
      </c>
      <c r="C13968" s="25">
        <v>1056000</v>
      </c>
      <c r="D13968" s="22" t="s">
        <v>16162</v>
      </c>
      <c r="E13968" s="22" t="s">
        <v>52</v>
      </c>
      <c r="F13968" s="23" t="str">
        <f>HYPERLINK("https://www.spark-marketing.ru/Card/Lot/68211133", "Оказание услуг по физической охране объектов для нужд государственного бюджетного учреждения дополнительного профессионального образования Самарской области Центра профессионального образования")</f>
        <v>Оказание услуг по физической охране объектов для нужд государственного бюджетного учреждения дополнительного профессионального образования Самарской области Центра профессионального образования</v>
      </c>
      <c r="G13968" s="22" t="s">
        <v>760</v>
      </c>
      <c r="H13968" s="22" t="s">
        <v>1709</v>
      </c>
      <c r="I13968" s="26">
        <v>43521.4465277778</v>
      </c>
      <c r="J13968" s="28" t="s">
        <v>52</v>
      </c>
      <c r="K13968" s="28" t="s">
        <v>52</v>
      </c>
      <c r="L13968" s="28" t="s">
        <v>52</v>
      </c>
      <c r="M13968" s="28" t="s">
        <v>52</v>
      </c>
      <c r="N13968" s="28" t="s">
        <v>52</v>
      </c>
    </row>
    <row r="13969" spans="1:14" hidden="1" outlineLevel="1" x14ac:dyDescent="0.2">
      <c r="A13969" s="23" t="str">
        <f>HYPERLINK("https://www.spark-marketing.ru/Card/Person/129055", "ЦПО САМАРСКОЙ ОБЛАСТИ")</f>
        <v>ЦПО САМАРСКОЙ ОБЛАСТИ</v>
      </c>
      <c r="B13969" s="24" t="s">
        <v>16161</v>
      </c>
      <c r="C13969" s="25">
        <v>1056000</v>
      </c>
      <c r="D13969" s="22" t="s">
        <v>16162</v>
      </c>
      <c r="E13969" s="22" t="s">
        <v>52</v>
      </c>
      <c r="F13969" s="23" t="str">
        <f>HYPERLINK("https://www.spark-marketing.ru/Card/Lot/68211133", "Оказание услуг по физической охране объектов для нужд государственного бюджетного учреждения дополнительного профессионального образования Самарской области Центра профессионального образования")</f>
        <v>Оказание услуг по физической охране объектов для нужд государственного бюджетного учреждения дополнительного профессионального образования Самарской области Центра профессионального образования</v>
      </c>
      <c r="G13969" s="22" t="s">
        <v>760</v>
      </c>
      <c r="H13969" s="22" t="s">
        <v>1709</v>
      </c>
      <c r="I13969" s="26">
        <v>43521.4465277778</v>
      </c>
      <c r="J13969" s="23" t="str">
        <f>HYPERLINK("https://www.spark-marketing.ru/Card/Person/624664", "ООО ЧОО ""КОНТУР БЕЗОПАСНОСТИ""")</f>
        <v>ООО ЧОО "КОНТУР БЕЗОПАСНОСТИ"</v>
      </c>
      <c r="K13969" s="24" t="s">
        <v>16163</v>
      </c>
      <c r="L13969" s="28" t="s">
        <v>52</v>
      </c>
      <c r="M13969" s="25">
        <v>908160</v>
      </c>
      <c r="N13969" s="27">
        <v>0.14000000000000001</v>
      </c>
    </row>
    <row r="13970" spans="1:14" ht="12.75" hidden="1" outlineLevel="1" x14ac:dyDescent="0.2">
      <c r="A13970" s="23" t="str">
        <f>HYPERLINK("https://www.spark-marketing.ru/Card/Person/129055", "ЦПО САМАРСКОЙ ОБЛАСТИ")</f>
        <v>ЦПО САМАРСКОЙ ОБЛАСТИ</v>
      </c>
      <c r="B13970" s="24" t="s">
        <v>16161</v>
      </c>
      <c r="C13970" s="25">
        <v>1056000</v>
      </c>
      <c r="D13970" s="22" t="s">
        <v>16162</v>
      </c>
      <c r="E13970" s="22" t="s">
        <v>52</v>
      </c>
      <c r="F13970" s="23" t="str">
        <f>HYPERLINK("https://www.spark-marketing.ru/Card/Lot/68211133", "Оказание услуг по физической охране объектов для нужд государственного бюджетного учреждения дополнительного профессионального образования Самарской области Центра профессионального образования")</f>
        <v>Оказание услуг по физической охране объектов для нужд государственного бюджетного учреждения дополнительного профессионального образования Самарской области Центра профессионального образования</v>
      </c>
      <c r="G13970" s="22" t="s">
        <v>760</v>
      </c>
      <c r="H13970" s="22" t="s">
        <v>1709</v>
      </c>
      <c r="I13970" s="26">
        <v>43521.4465277778</v>
      </c>
      <c r="J13970" s="23" t="str">
        <f>HYPERLINK("https://www.spark-marketing.ru/Card/Person/65288", "ООО ""ЧОО ""АЛЬФА""")</f>
        <v>ООО "ЧОО "АЛЬФА"</v>
      </c>
      <c r="K13970" s="24" t="s">
        <v>14904</v>
      </c>
      <c r="L13970" s="22" t="s">
        <v>10</v>
      </c>
      <c r="M13970" s="25">
        <v>902880</v>
      </c>
      <c r="N13970" s="27">
        <v>0.14499999999999999</v>
      </c>
    </row>
    <row r="13971" spans="1:14" hidden="1" outlineLevel="1" x14ac:dyDescent="0.2">
      <c r="A13971" s="23" t="str">
        <f>HYPERLINK("https://www.spark-marketing.ru/Card/Person/129055", "ЦПО САМАРСКОЙ ОБЛАСТИ")</f>
        <v>ЦПО САМАРСКОЙ ОБЛАСТИ</v>
      </c>
      <c r="B13971" s="24" t="s">
        <v>16161</v>
      </c>
      <c r="C13971" s="25">
        <v>1056000</v>
      </c>
      <c r="D13971" s="22" t="s">
        <v>16162</v>
      </c>
      <c r="E13971" s="22" t="s">
        <v>52</v>
      </c>
      <c r="F13971" s="23" t="str">
        <f>HYPERLINK("https://www.spark-marketing.ru/Card/Lot/68211133", "Оказание услуг по физической охране объектов для нужд государственного бюджетного учреждения дополнительного профессионального образования Самарской области Центра профессионального образования")</f>
        <v>Оказание услуг по физической охране объектов для нужд государственного бюджетного учреждения дополнительного профессионального образования Самарской области Центра профессионального образования</v>
      </c>
      <c r="G13971" s="22" t="s">
        <v>760</v>
      </c>
      <c r="H13971" s="22" t="s">
        <v>1709</v>
      </c>
      <c r="I13971" s="26">
        <v>43521.4465277778</v>
      </c>
      <c r="J13971" s="23" t="str">
        <f>HYPERLINK("https://www.spark-marketing.ru/Card/Person/2594455", "ООО ЧОО ""ПРИОРИТЕТ""")</f>
        <v>ООО ЧОО "ПРИОРИТЕТ"</v>
      </c>
      <c r="K13971" s="24" t="s">
        <v>16164</v>
      </c>
      <c r="L13971" s="28" t="s">
        <v>52</v>
      </c>
      <c r="M13971" s="25">
        <v>1040160</v>
      </c>
      <c r="N13971" s="27">
        <v>1.4999999999999999E-2</v>
      </c>
    </row>
    <row r="13972" spans="1:14" x14ac:dyDescent="0.15">
      <c r="A13972" s="23" t="str">
        <f>HYPERLINK("https://www.spark-marketing.ru/Card/Person/73899", "АДМИНИСТРАЦИЯ ОЗЕРНЕНСКОГО ГОРОДСКОГО ПОСЕЛЕНИЯ ДУХОВЩИНСКОГО РАЙОНА СМОЛЕНСКОЙ ОБЛАСТИ")</f>
        <v>АДМИНИСТРАЦИЯ ОЗЕРНЕНСКОГО ГОРОДСКОГО ПОСЕЛЕНИЯ ДУХОВЩИНСКОГО РАЙОНА СМОЛЕНСКОЙ ОБЛАСТИ</v>
      </c>
      <c r="B13972" s="24" t="s">
        <v>16165</v>
      </c>
      <c r="C13972" s="25">
        <v>1</v>
      </c>
      <c r="D13972" s="22" t="s">
        <v>16166</v>
      </c>
      <c r="E13972" s="22" t="s">
        <v>52</v>
      </c>
      <c r="F13972" s="23" t="str">
        <f>HYPERLINK("https://www.spark-marketing.ru/Card/Lot/68216142", "Проведение предварительного отбора в целях оказания гуманитарной помощи либо ликвидации последствий чрезвычайных ситуаций природного или техногенного характера на 2019 год")</f>
        <v>Проведение предварительного отбора в целях оказания гуманитарной помощи либо ликвидации последствий чрезвычайных ситуаций природного или техногенного характера на 2019 год</v>
      </c>
      <c r="G13972" s="22" t="s">
        <v>956</v>
      </c>
      <c r="H13972" s="22" t="s">
        <v>16167</v>
      </c>
      <c r="I13972" s="26">
        <v>43521.443749999999</v>
      </c>
      <c r="J13972" s="23" t="str">
        <f>HYPERLINK("https://www.spark-marketing.ru/Card/Person/838187", "МУП ""ВОДОКАНАЛ""")</f>
        <v>МУП "ВОДОКАНАЛ"</v>
      </c>
      <c r="K13972" s="24" t="s">
        <v>16168</v>
      </c>
      <c r="L13972" s="28" t="s">
        <v>52</v>
      </c>
      <c r="M13972" s="28" t="s">
        <v>52</v>
      </c>
      <c r="N13972" s="28" t="s">
        <v>52</v>
      </c>
    </row>
    <row r="13973" spans="1:14" x14ac:dyDescent="0.15">
      <c r="A13973" s="23" t="str">
        <f>HYPERLINK("https://www.spark-marketing.ru/Card/Person/91749", "МБОУ ВОЛОДАРСКАЯ СОШ")</f>
        <v>МБОУ ВОЛОДАРСКАЯ СОШ</v>
      </c>
      <c r="B13973" s="24" t="s">
        <v>16169</v>
      </c>
      <c r="C13973" s="25">
        <v>116400</v>
      </c>
      <c r="D13973" s="22" t="s">
        <v>16170</v>
      </c>
      <c r="E13973" s="22" t="s">
        <v>294</v>
      </c>
      <c r="F13973" s="23" t="str">
        <f>HYPERLINK("https://www.spark-marketing.ru/Card/Lot/68540808", "Оказание услуг по техническому обслуживанию системы видеонаблюдения")</f>
        <v>Оказание услуг по техническому обслуживанию системы видеонаблюдения</v>
      </c>
      <c r="G13973" s="22" t="s">
        <v>50</v>
      </c>
      <c r="H13973" s="22" t="s">
        <v>2391</v>
      </c>
      <c r="I13973" s="26">
        <v>43521.3999652778</v>
      </c>
      <c r="J13973" s="28" t="s">
        <v>52</v>
      </c>
      <c r="K13973" s="28" t="s">
        <v>52</v>
      </c>
      <c r="L13973" s="28" t="s">
        <v>52</v>
      </c>
      <c r="M13973" s="28" t="s">
        <v>52</v>
      </c>
      <c r="N13973" s="28" t="s">
        <v>52</v>
      </c>
    </row>
    <row r="13974" spans="1:14" x14ac:dyDescent="0.15">
      <c r="A13974" s="23" t="str">
        <f>HYPERLINK("https://www.spark-marketing.ru/Card/Person/27800", "МБУ ""ЧЕБОКСАРЫ-ТЕЛЕКОМ""")</f>
        <v>МБУ "ЧЕБОКСАРЫ-ТЕЛЕКОМ"</v>
      </c>
      <c r="B13974" s="24" t="s">
        <v>16171</v>
      </c>
      <c r="C13974" s="25">
        <v>4000000</v>
      </c>
      <c r="D13974" s="22" t="s">
        <v>16172</v>
      </c>
      <c r="E13974" s="22" t="s">
        <v>234</v>
      </c>
      <c r="F13974" s="23" t="str">
        <f>HYPERLINK("https://www.spark-marketing.ru/Card/Lot/68210189", "Оказание услуги по техническому обслуживанию систем видеонаблюдения АПК ""Безопасный город""")</f>
        <v>Оказание услуги по техническому обслуживанию систем видеонаблюдения АПК "Безопасный город"</v>
      </c>
      <c r="G13974" s="22" t="s">
        <v>1137</v>
      </c>
      <c r="H13974" s="22" t="s">
        <v>1138</v>
      </c>
      <c r="I13974" s="26">
        <v>43521.383333333302</v>
      </c>
      <c r="J13974" s="28" t="s">
        <v>52</v>
      </c>
      <c r="K13974" s="28" t="s">
        <v>52</v>
      </c>
      <c r="L13974" s="28" t="s">
        <v>52</v>
      </c>
      <c r="M13974" s="28" t="s">
        <v>52</v>
      </c>
      <c r="N13974" s="28" t="s">
        <v>52</v>
      </c>
    </row>
    <row r="13975" spans="1:14" ht="12.75" hidden="1" outlineLevel="1" x14ac:dyDescent="0.2">
      <c r="A13975" s="23" t="str">
        <f>HYPERLINK("https://www.spark-marketing.ru/Card/Person/27800", "МБУ ""ЧЕБОКСАРЫ-ТЕЛЕКОМ""")</f>
        <v>МБУ "ЧЕБОКСАРЫ-ТЕЛЕКОМ"</v>
      </c>
      <c r="B13975" s="24" t="s">
        <v>16171</v>
      </c>
      <c r="C13975" s="25">
        <v>4000000</v>
      </c>
      <c r="D13975" s="22" t="s">
        <v>16172</v>
      </c>
      <c r="E13975" s="22" t="s">
        <v>234</v>
      </c>
      <c r="F13975" s="23" t="str">
        <f>HYPERLINK("https://www.spark-marketing.ru/Card/Lot/68210189", "Оказание услуги по техническому обслуживанию систем видеонаблюдения АПК ""Безопасный город""")</f>
        <v>Оказание услуги по техническому обслуживанию систем видеонаблюдения АПК "Безопасный город"</v>
      </c>
      <c r="G13975" s="22" t="s">
        <v>1137</v>
      </c>
      <c r="H13975" s="22" t="s">
        <v>1138</v>
      </c>
      <c r="I13975" s="26">
        <v>43521.383333333302</v>
      </c>
      <c r="J13975" s="23" t="str">
        <f>HYPERLINK("https://www.spark-marketing.ru/Card/Person/153046", "ООО ""ПОБЕДА-СЕРВИС""")</f>
        <v>ООО "ПОБЕДА-СЕРВИС"</v>
      </c>
      <c r="K13975" s="24" t="s">
        <v>16173</v>
      </c>
      <c r="L13975" s="22" t="s">
        <v>10</v>
      </c>
      <c r="M13975" s="25">
        <v>3960000</v>
      </c>
      <c r="N13975" s="27">
        <v>0.01</v>
      </c>
    </row>
    <row r="13976" spans="1:14" hidden="1" outlineLevel="1" x14ac:dyDescent="0.2">
      <c r="A13976" s="23" t="str">
        <f>HYPERLINK("https://www.spark-marketing.ru/Card/Person/27800", "МБУ ""ЧЕБОКСАРЫ-ТЕЛЕКОМ""")</f>
        <v>МБУ "ЧЕБОКСАРЫ-ТЕЛЕКОМ"</v>
      </c>
      <c r="B13976" s="24" t="s">
        <v>16171</v>
      </c>
      <c r="C13976" s="25">
        <v>4000000</v>
      </c>
      <c r="D13976" s="22" t="s">
        <v>16172</v>
      </c>
      <c r="E13976" s="22" t="s">
        <v>234</v>
      </c>
      <c r="F13976" s="23" t="str">
        <f>HYPERLINK("https://www.spark-marketing.ru/Card/Lot/68210189", "Оказание услуги по техническому обслуживанию систем видеонаблюдения АПК ""Безопасный город""")</f>
        <v>Оказание услуги по техническому обслуживанию систем видеонаблюдения АПК "Безопасный город"</v>
      </c>
      <c r="G13976" s="22" t="s">
        <v>1137</v>
      </c>
      <c r="H13976" s="22" t="s">
        <v>1138</v>
      </c>
      <c r="I13976" s="26">
        <v>43521.383333333302</v>
      </c>
      <c r="J13976" s="23" t="str">
        <f>HYPERLINK("https://www.spark-marketing.ru/Card/Person/4456371", "ООО ""ОРИОНЕТ""")</f>
        <v>ООО "ОРИОНЕТ"</v>
      </c>
      <c r="K13976" s="24" t="s">
        <v>16174</v>
      </c>
      <c r="L13976" s="28" t="s">
        <v>52</v>
      </c>
      <c r="M13976" s="25">
        <v>3980000</v>
      </c>
      <c r="N13976" s="27">
        <v>5.0000000000000001E-3</v>
      </c>
    </row>
    <row r="13977" spans="1:14" x14ac:dyDescent="0.15">
      <c r="A13977" s="23" t="str">
        <f t="shared" ref="A13977:A13983" si="736">HYPERLINK("https://www.spark-marketing.ru/Card/Person/67219", "КГБУЗ ""КСПК""")</f>
        <v>КГБУЗ "КСПК"</v>
      </c>
      <c r="B13977" s="24" t="s">
        <v>16175</v>
      </c>
      <c r="C13977" s="25">
        <v>40500</v>
      </c>
      <c r="D13977" s="22" t="s">
        <v>16176</v>
      </c>
      <c r="E13977" s="22" t="s">
        <v>107</v>
      </c>
      <c r="F13977" s="23" t="str">
        <f t="shared" ref="F13977:F13983" si="737">HYPERLINK("https://www.spark-marketing.ru/Card/Lot/68203275", "Оказание услуг по техническому обслуживанию системы видеонаблюдения")</f>
        <v>Оказание услуг по техническому обслуживанию системы видеонаблюдения</v>
      </c>
      <c r="G13977" s="22" t="s">
        <v>138</v>
      </c>
      <c r="H13977" s="22" t="s">
        <v>255</v>
      </c>
      <c r="I13977" s="26">
        <v>43521.4</v>
      </c>
      <c r="J13977" s="28" t="s">
        <v>52</v>
      </c>
      <c r="K13977" s="28" t="s">
        <v>52</v>
      </c>
      <c r="L13977" s="28" t="s">
        <v>52</v>
      </c>
      <c r="M13977" s="28" t="s">
        <v>52</v>
      </c>
      <c r="N13977" s="28" t="s">
        <v>52</v>
      </c>
    </row>
    <row r="13978" spans="1:14" ht="12.75" hidden="1" outlineLevel="1" x14ac:dyDescent="0.2">
      <c r="A13978" s="23" t="str">
        <f t="shared" si="736"/>
        <v>КГБУЗ "КСПК"</v>
      </c>
      <c r="B13978" s="24" t="s">
        <v>16175</v>
      </c>
      <c r="C13978" s="25">
        <v>40500</v>
      </c>
      <c r="D13978" s="22" t="s">
        <v>16176</v>
      </c>
      <c r="E13978" s="22" t="s">
        <v>107</v>
      </c>
      <c r="F13978" s="23" t="str">
        <f t="shared" si="737"/>
        <v>Оказание услуг по техническому обслуживанию системы видеонаблюдения</v>
      </c>
      <c r="G13978" s="22" t="s">
        <v>138</v>
      </c>
      <c r="H13978" s="22" t="s">
        <v>255</v>
      </c>
      <c r="I13978" s="26">
        <v>43521.4</v>
      </c>
      <c r="J13978" s="23" t="str">
        <f>HYPERLINK("https://www.spark-marketing.ru/Card/Person/13168", "ООО ""ЧОО ""БИЗОН - БЕЗОПАСНОСТЬ""")</f>
        <v>ООО "ЧОО "БИЗОН - БЕЗОПАСНОСТЬ"</v>
      </c>
      <c r="K13978" s="24" t="s">
        <v>10144</v>
      </c>
      <c r="L13978" s="22" t="s">
        <v>10</v>
      </c>
      <c r="M13978" s="25">
        <v>7875</v>
      </c>
      <c r="N13978" s="27">
        <v>0.80555555555555558</v>
      </c>
    </row>
    <row r="13979" spans="1:14" hidden="1" outlineLevel="1" x14ac:dyDescent="0.2">
      <c r="A13979" s="23" t="str">
        <f t="shared" si="736"/>
        <v>КГБУЗ "КСПК"</v>
      </c>
      <c r="B13979" s="24" t="s">
        <v>16175</v>
      </c>
      <c r="C13979" s="25">
        <v>40500</v>
      </c>
      <c r="D13979" s="22" t="s">
        <v>16176</v>
      </c>
      <c r="E13979" s="22" t="s">
        <v>107</v>
      </c>
      <c r="F13979" s="23" t="str">
        <f t="shared" si="737"/>
        <v>Оказание услуг по техническому обслуживанию системы видеонаблюдения</v>
      </c>
      <c r="G13979" s="22" t="s">
        <v>138</v>
      </c>
      <c r="H13979" s="22" t="s">
        <v>255</v>
      </c>
      <c r="I13979" s="26">
        <v>43521.4</v>
      </c>
      <c r="J13979" s="23" t="str">
        <f>HYPERLINK("https://www.spark-marketing.ru/Card/Person/190384", "ООО ""ТСК "" АЗИМУТ""")</f>
        <v>ООО "ТСК " АЗИМУТ"</v>
      </c>
      <c r="K13979" s="24" t="s">
        <v>2697</v>
      </c>
      <c r="L13979" s="28" t="s">
        <v>52</v>
      </c>
      <c r="M13979" s="25">
        <v>9000</v>
      </c>
      <c r="N13979" s="27">
        <v>0.77777777777777779</v>
      </c>
    </row>
    <row r="13980" spans="1:14" hidden="1" outlineLevel="1" x14ac:dyDescent="0.2">
      <c r="A13980" s="23" t="str">
        <f t="shared" si="736"/>
        <v>КГБУЗ "КСПК"</v>
      </c>
      <c r="B13980" s="24" t="s">
        <v>16175</v>
      </c>
      <c r="C13980" s="25">
        <v>40500</v>
      </c>
      <c r="D13980" s="22" t="s">
        <v>16176</v>
      </c>
      <c r="E13980" s="22" t="s">
        <v>107</v>
      </c>
      <c r="F13980" s="23" t="str">
        <f t="shared" si="737"/>
        <v>Оказание услуг по техническому обслуживанию системы видеонаблюдения</v>
      </c>
      <c r="G13980" s="22" t="s">
        <v>138</v>
      </c>
      <c r="H13980" s="22" t="s">
        <v>255</v>
      </c>
      <c r="I13980" s="26">
        <v>43521.4</v>
      </c>
      <c r="J13980" s="23" t="str">
        <f>HYPERLINK("https://www.spark-marketing.ru/Card/Person/473820", "ООО ""ИЗОТОП ДВ""")</f>
        <v>ООО "ИЗОТОП ДВ"</v>
      </c>
      <c r="K13980" s="24" t="s">
        <v>6510</v>
      </c>
      <c r="L13980" s="28" t="s">
        <v>52</v>
      </c>
      <c r="M13980" s="25">
        <v>11787</v>
      </c>
      <c r="N13980" s="27">
        <v>0.70896296296296302</v>
      </c>
    </row>
    <row r="13981" spans="1:14" hidden="1" outlineLevel="1" x14ac:dyDescent="0.2">
      <c r="A13981" s="23" t="str">
        <f t="shared" si="736"/>
        <v>КГБУЗ "КСПК"</v>
      </c>
      <c r="B13981" s="24" t="s">
        <v>16175</v>
      </c>
      <c r="C13981" s="25">
        <v>40500</v>
      </c>
      <c r="D13981" s="22" t="s">
        <v>16176</v>
      </c>
      <c r="E13981" s="22" t="s">
        <v>107</v>
      </c>
      <c r="F13981" s="23" t="str">
        <f t="shared" si="737"/>
        <v>Оказание услуг по техническому обслуживанию системы видеонаблюдения</v>
      </c>
      <c r="G13981" s="22" t="s">
        <v>138</v>
      </c>
      <c r="H13981" s="22" t="s">
        <v>255</v>
      </c>
      <c r="I13981" s="26">
        <v>43521.4</v>
      </c>
      <c r="J13981" s="23" t="str">
        <f>HYPERLINK("https://www.spark-marketing.ru/Card/Person/51969", "ООО ""ЧОП ""КОРДОН ХАБАРОВСК""")</f>
        <v>ООО "ЧОП "КОРДОН ХАБАРОВСК"</v>
      </c>
      <c r="K13981" s="24" t="s">
        <v>5610</v>
      </c>
      <c r="L13981" s="28" t="s">
        <v>52</v>
      </c>
      <c r="M13981" s="25">
        <v>15900</v>
      </c>
      <c r="N13981" s="27">
        <v>0.6074074074074074</v>
      </c>
    </row>
    <row r="13982" spans="1:14" hidden="1" outlineLevel="1" x14ac:dyDescent="0.2">
      <c r="A13982" s="23" t="str">
        <f t="shared" si="736"/>
        <v>КГБУЗ "КСПК"</v>
      </c>
      <c r="B13982" s="24" t="s">
        <v>16175</v>
      </c>
      <c r="C13982" s="25">
        <v>40500</v>
      </c>
      <c r="D13982" s="22" t="s">
        <v>16176</v>
      </c>
      <c r="E13982" s="22" t="s">
        <v>107</v>
      </c>
      <c r="F13982" s="23" t="str">
        <f t="shared" si="737"/>
        <v>Оказание услуг по техническому обслуживанию системы видеонаблюдения</v>
      </c>
      <c r="G13982" s="22" t="s">
        <v>138</v>
      </c>
      <c r="H13982" s="22" t="s">
        <v>255</v>
      </c>
      <c r="I13982" s="26">
        <v>43521.4</v>
      </c>
      <c r="J13982" s="23" t="str">
        <f>HYPERLINK("https://www.spark-marketing.ru/Card/Person/1799821", "ООО ""ЧОО ""КЕДР-К""")</f>
        <v>ООО "ЧОО "КЕДР-К"</v>
      </c>
      <c r="K13982" s="24" t="s">
        <v>5612</v>
      </c>
      <c r="L13982" s="28" t="s">
        <v>52</v>
      </c>
      <c r="M13982" s="25">
        <v>20000</v>
      </c>
      <c r="N13982" s="27">
        <v>0.50617283950617287</v>
      </c>
    </row>
    <row r="13983" spans="1:14" hidden="1" outlineLevel="1" x14ac:dyDescent="0.2">
      <c r="A13983" s="23" t="str">
        <f t="shared" si="736"/>
        <v>КГБУЗ "КСПК"</v>
      </c>
      <c r="B13983" s="24" t="s">
        <v>16175</v>
      </c>
      <c r="C13983" s="25">
        <v>40500</v>
      </c>
      <c r="D13983" s="22" t="s">
        <v>16176</v>
      </c>
      <c r="E13983" s="22" t="s">
        <v>107</v>
      </c>
      <c r="F13983" s="23" t="str">
        <f t="shared" si="737"/>
        <v>Оказание услуг по техническому обслуживанию системы видеонаблюдения</v>
      </c>
      <c r="G13983" s="22" t="s">
        <v>138</v>
      </c>
      <c r="H13983" s="22" t="s">
        <v>255</v>
      </c>
      <c r="I13983" s="26">
        <v>43521.4</v>
      </c>
      <c r="J13983" s="23" t="str">
        <f>HYPERLINK("https://www.spark-marketing.ru/Card/Person/6441151", "ООО ""КОМЭН""")</f>
        <v>ООО "КОМЭН"</v>
      </c>
      <c r="K13983" s="24" t="s">
        <v>10601</v>
      </c>
      <c r="L13983" s="28" t="s">
        <v>52</v>
      </c>
      <c r="M13983" s="25">
        <v>20700</v>
      </c>
      <c r="N13983" s="27">
        <v>0.48888888888888887</v>
      </c>
    </row>
    <row r="13984" spans="1:14" x14ac:dyDescent="0.15">
      <c r="A13984" s="23" t="str">
        <f>HYPERLINK("https://www.spark-marketing.ru/Card/Person/114141", "МБОУ БОГОРОДСКАЯ ГИМНАЗИЯ Г. НОГИНСКА")</f>
        <v>МБОУ БОГОРОДСКАЯ ГИМНАЗИЯ Г. НОГИНСКА</v>
      </c>
      <c r="B13984" s="24" t="s">
        <v>16177</v>
      </c>
      <c r="C13984" s="25">
        <v>144500</v>
      </c>
      <c r="D13984" s="22" t="s">
        <v>16178</v>
      </c>
      <c r="E13984" s="22" t="s">
        <v>103</v>
      </c>
      <c r="F13984" s="23" t="str">
        <f>HYPERLINK("https://www.spark-marketing.ru/Card/Lot/68540680", "Приобретение и установка видеокамер для сопровождения системы видеопротоколирования, видеотрансляции в пунктах проведения экзаменов Московской области")</f>
        <v>Приобретение и установка видеокамер для сопровождения системы видеопротоколирования, видеотрансляции в пунктах проведения экзаменов Московской области</v>
      </c>
      <c r="G13984" s="22" t="s">
        <v>50</v>
      </c>
      <c r="H13984" s="22" t="s">
        <v>5744</v>
      </c>
      <c r="I13984" s="26">
        <v>43521.368009259299</v>
      </c>
      <c r="J13984" s="28" t="s">
        <v>52</v>
      </c>
      <c r="K13984" s="28" t="s">
        <v>52</v>
      </c>
      <c r="L13984" s="28" t="s">
        <v>52</v>
      </c>
      <c r="M13984" s="28" t="s">
        <v>52</v>
      </c>
      <c r="N13984" s="28" t="s">
        <v>52</v>
      </c>
    </row>
    <row r="13985" spans="1:14" x14ac:dyDescent="0.15">
      <c r="A13985" s="23" t="str">
        <f t="shared" ref="A13985:A13995" si="738">HYPERLINK("https://www.spark-marketing.ru/Card/Person/46218", "УПРАВЛЕНИЕ ИМУЩЕСТВА И ЖКХ")</f>
        <v>УПРАВЛЕНИЕ ИМУЩЕСТВА И ЖКХ</v>
      </c>
      <c r="B13985" s="24" t="s">
        <v>16179</v>
      </c>
      <c r="C13985" s="25">
        <v>228462</v>
      </c>
      <c r="D13985" s="22" t="s">
        <v>16180</v>
      </c>
      <c r="E13985" s="22" t="s">
        <v>16181</v>
      </c>
      <c r="F13985" s="23" t="str">
        <f t="shared" ref="F13985:F13995" si="739">HYPERLINK("https://www.spark-marketing.ru/Card/Lot/68206943", "«Установка видеонаблюдения ЦК №1 с.Вагай; установка видеонаблюдения ЦК №2 с. Вагай»")</f>
        <v>«Установка видеонаблюдения ЦК №1 с.Вагай; установка видеонаблюдения ЦК №2 с. Вагай»</v>
      </c>
      <c r="G13985" s="22" t="s">
        <v>893</v>
      </c>
      <c r="H13985" s="22" t="s">
        <v>16182</v>
      </c>
      <c r="I13985" s="26">
        <v>43521.350694444402</v>
      </c>
      <c r="J13985" s="28" t="s">
        <v>52</v>
      </c>
      <c r="K13985" s="28" t="s">
        <v>52</v>
      </c>
      <c r="L13985" s="28" t="s">
        <v>52</v>
      </c>
      <c r="M13985" s="28" t="s">
        <v>52</v>
      </c>
      <c r="N13985" s="28" t="s">
        <v>52</v>
      </c>
    </row>
    <row r="13986" spans="1:14" hidden="1" outlineLevel="1" x14ac:dyDescent="0.2">
      <c r="A13986" s="23" t="str">
        <f t="shared" si="738"/>
        <v>УПРАВЛЕНИЕ ИМУЩЕСТВА И ЖКХ</v>
      </c>
      <c r="B13986" s="24" t="s">
        <v>16179</v>
      </c>
      <c r="C13986" s="25">
        <v>228462</v>
      </c>
      <c r="D13986" s="22" t="s">
        <v>16180</v>
      </c>
      <c r="E13986" s="22" t="s">
        <v>16181</v>
      </c>
      <c r="F13986" s="23" t="str">
        <f t="shared" si="739"/>
        <v>«Установка видеонаблюдения ЦК №1 с.Вагай; установка видеонаблюдения ЦК №2 с. Вагай»</v>
      </c>
      <c r="G13986" s="22" t="s">
        <v>893</v>
      </c>
      <c r="H13986" s="22" t="s">
        <v>16182</v>
      </c>
      <c r="I13986" s="26">
        <v>43521.350694444402</v>
      </c>
      <c r="J13986" s="23" t="str">
        <f>HYPERLINK("https://www.spark-marketing.ru/Card/Person/6301431", "Молошник Андрей Степанович")</f>
        <v>Молошник Андрей Степанович</v>
      </c>
      <c r="K13986" s="24" t="s">
        <v>16183</v>
      </c>
      <c r="L13986" s="28" t="s">
        <v>52</v>
      </c>
      <c r="M13986" s="25">
        <v>97700</v>
      </c>
      <c r="N13986" s="27">
        <v>0.57235776628060686</v>
      </c>
    </row>
    <row r="13987" spans="1:14" hidden="1" outlineLevel="1" x14ac:dyDescent="0.2">
      <c r="A13987" s="23" t="str">
        <f t="shared" si="738"/>
        <v>УПРАВЛЕНИЕ ИМУЩЕСТВА И ЖКХ</v>
      </c>
      <c r="B13987" s="24" t="s">
        <v>16179</v>
      </c>
      <c r="C13987" s="25">
        <v>228462</v>
      </c>
      <c r="D13987" s="22" t="s">
        <v>16180</v>
      </c>
      <c r="E13987" s="22" t="s">
        <v>16181</v>
      </c>
      <c r="F13987" s="23" t="str">
        <f t="shared" si="739"/>
        <v>«Установка видеонаблюдения ЦК №1 с.Вагай; установка видеонаблюдения ЦК №2 с. Вагай»</v>
      </c>
      <c r="G13987" s="22" t="s">
        <v>893</v>
      </c>
      <c r="H13987" s="22" t="s">
        <v>16182</v>
      </c>
      <c r="I13987" s="26">
        <v>43521.350694444402</v>
      </c>
      <c r="J13987" s="23" t="str">
        <f>HYPERLINK("https://www.spark-marketing.ru/Card/Person/534308", "ООО ""ЭЛЕКТРОКОМПЛЕКС""")</f>
        <v>ООО "ЭЛЕКТРОКОМПЛЕКС"</v>
      </c>
      <c r="K13987" s="24" t="s">
        <v>16184</v>
      </c>
      <c r="L13987" s="28" t="s">
        <v>52</v>
      </c>
      <c r="M13987" s="25">
        <v>91988.45</v>
      </c>
      <c r="N13987" s="27">
        <v>0.59735776628060688</v>
      </c>
    </row>
    <row r="13988" spans="1:14" hidden="1" outlineLevel="1" x14ac:dyDescent="0.2">
      <c r="A13988" s="23" t="str">
        <f t="shared" si="738"/>
        <v>УПРАВЛЕНИЕ ИМУЩЕСТВА И ЖКХ</v>
      </c>
      <c r="B13988" s="24" t="s">
        <v>16179</v>
      </c>
      <c r="C13988" s="25">
        <v>228462</v>
      </c>
      <c r="D13988" s="22" t="s">
        <v>16180</v>
      </c>
      <c r="E13988" s="22" t="s">
        <v>16181</v>
      </c>
      <c r="F13988" s="23" t="str">
        <f t="shared" si="739"/>
        <v>«Установка видеонаблюдения ЦК №1 с.Вагай; установка видеонаблюдения ЦК №2 с. Вагай»</v>
      </c>
      <c r="G13988" s="22" t="s">
        <v>893</v>
      </c>
      <c r="H13988" s="22" t="s">
        <v>16182</v>
      </c>
      <c r="I13988" s="26">
        <v>43521.350694444402</v>
      </c>
      <c r="J13988" s="23" t="str">
        <f>HYPERLINK("https://www.spark-marketing.ru/Card/Person/6438851", "Береснева Евгения Евгеньевна")</f>
        <v>Береснева Евгения Евгеньевна</v>
      </c>
      <c r="K13988" s="24" t="s">
        <v>16185</v>
      </c>
      <c r="L13988" s="28" t="s">
        <v>52</v>
      </c>
      <c r="M13988" s="25">
        <v>150000</v>
      </c>
      <c r="N13988" s="27">
        <v>0.34343566982692963</v>
      </c>
    </row>
    <row r="13989" spans="1:14" ht="12.75" hidden="1" outlineLevel="1" x14ac:dyDescent="0.2">
      <c r="A13989" s="23" t="str">
        <f t="shared" si="738"/>
        <v>УПРАВЛЕНИЕ ИМУЩЕСТВА И ЖКХ</v>
      </c>
      <c r="B13989" s="24" t="s">
        <v>16179</v>
      </c>
      <c r="C13989" s="25">
        <v>228462</v>
      </c>
      <c r="D13989" s="22" t="s">
        <v>16180</v>
      </c>
      <c r="E13989" s="22" t="s">
        <v>16181</v>
      </c>
      <c r="F13989" s="23" t="str">
        <f t="shared" si="739"/>
        <v>«Установка видеонаблюдения ЦК №1 с.Вагай; установка видеонаблюдения ЦК №2 с. Вагай»</v>
      </c>
      <c r="G13989" s="22" t="s">
        <v>893</v>
      </c>
      <c r="H13989" s="22" t="s">
        <v>16182</v>
      </c>
      <c r="I13989" s="26">
        <v>43521.350694444402</v>
      </c>
      <c r="J13989" s="23" t="str">
        <f>HYPERLINK("https://www.spark-marketing.ru/Card/Person/4707357", "Бритнер Андрей Владимирович")</f>
        <v>Бритнер Андрей Владимирович</v>
      </c>
      <c r="K13989" s="24" t="s">
        <v>3409</v>
      </c>
      <c r="L13989" s="22" t="s">
        <v>10</v>
      </c>
      <c r="M13989" s="25">
        <v>90846.14</v>
      </c>
      <c r="N13989" s="27">
        <v>0.60235776628060689</v>
      </c>
    </row>
    <row r="13990" spans="1:14" hidden="1" outlineLevel="1" x14ac:dyDescent="0.2">
      <c r="A13990" s="23" t="str">
        <f t="shared" si="738"/>
        <v>УПРАВЛЕНИЕ ИМУЩЕСТВА И ЖКХ</v>
      </c>
      <c r="B13990" s="24" t="s">
        <v>16179</v>
      </c>
      <c r="C13990" s="25">
        <v>228462</v>
      </c>
      <c r="D13990" s="22" t="s">
        <v>16180</v>
      </c>
      <c r="E13990" s="22" t="s">
        <v>16181</v>
      </c>
      <c r="F13990" s="23" t="str">
        <f t="shared" si="739"/>
        <v>«Установка видеонаблюдения ЦК №1 с.Вагай; установка видеонаблюдения ЦК №2 с. Вагай»</v>
      </c>
      <c r="G13990" s="22" t="s">
        <v>893</v>
      </c>
      <c r="H13990" s="22" t="s">
        <v>16182</v>
      </c>
      <c r="I13990" s="26">
        <v>43521.350694444402</v>
      </c>
      <c r="J13990" s="23" t="str">
        <f>HYPERLINK("https://www.spark-marketing.ru/Card/Person/6365469", "Долин Михаил Юрьевич")</f>
        <v>Долин Михаил Юрьевич</v>
      </c>
      <c r="K13990" s="24" t="s">
        <v>5512</v>
      </c>
      <c r="L13990" s="28" t="s">
        <v>52</v>
      </c>
      <c r="M13990" s="25">
        <v>122857.69</v>
      </c>
      <c r="N13990" s="27">
        <v>0.46224015372359517</v>
      </c>
    </row>
    <row r="13991" spans="1:14" hidden="1" outlineLevel="1" x14ac:dyDescent="0.2">
      <c r="A13991" s="23" t="str">
        <f t="shared" si="738"/>
        <v>УПРАВЛЕНИЕ ИМУЩЕСТВА И ЖКХ</v>
      </c>
      <c r="B13991" s="24" t="s">
        <v>16179</v>
      </c>
      <c r="C13991" s="25">
        <v>228462</v>
      </c>
      <c r="D13991" s="22" t="s">
        <v>16180</v>
      </c>
      <c r="E13991" s="22" t="s">
        <v>16181</v>
      </c>
      <c r="F13991" s="23" t="str">
        <f t="shared" si="739"/>
        <v>«Установка видеонаблюдения ЦК №1 с.Вагай; установка видеонаблюдения ЦК №2 с. Вагай»</v>
      </c>
      <c r="G13991" s="22" t="s">
        <v>893</v>
      </c>
      <c r="H13991" s="22" t="s">
        <v>16182</v>
      </c>
      <c r="I13991" s="26">
        <v>43521.350694444402</v>
      </c>
      <c r="J13991" s="23" t="str">
        <f>HYPERLINK("https://www.spark-marketing.ru/Card/Person/2141231", "Бабушкин Андрей Семёнович")</f>
        <v>Бабушкин Андрей Семёнович</v>
      </c>
      <c r="K13991" s="24" t="s">
        <v>16186</v>
      </c>
      <c r="L13991" s="28" t="s">
        <v>52</v>
      </c>
      <c r="M13991" s="25">
        <v>221608.14</v>
      </c>
      <c r="N13991" s="27">
        <v>0.03</v>
      </c>
    </row>
    <row r="13992" spans="1:14" hidden="1" outlineLevel="1" x14ac:dyDescent="0.2">
      <c r="A13992" s="23" t="str">
        <f t="shared" si="738"/>
        <v>УПРАВЛЕНИЕ ИМУЩЕСТВА И ЖКХ</v>
      </c>
      <c r="B13992" s="24" t="s">
        <v>16179</v>
      </c>
      <c r="C13992" s="25">
        <v>228462</v>
      </c>
      <c r="D13992" s="22" t="s">
        <v>16180</v>
      </c>
      <c r="E13992" s="22" t="s">
        <v>16181</v>
      </c>
      <c r="F13992" s="23" t="str">
        <f t="shared" si="739"/>
        <v>«Установка видеонаблюдения ЦК №1 с.Вагай; установка видеонаблюдения ЦК №2 с. Вагай»</v>
      </c>
      <c r="G13992" s="22" t="s">
        <v>893</v>
      </c>
      <c r="H13992" s="22" t="s">
        <v>16182</v>
      </c>
      <c r="I13992" s="26">
        <v>43521.350694444402</v>
      </c>
      <c r="J13992" s="23" t="str">
        <f>HYPERLINK("https://www.spark-marketing.ru/Card/Person/1107170", "ООО ""АЛЕМАРКО""")</f>
        <v>ООО "АЛЕМАРКО"</v>
      </c>
      <c r="K13992" s="24" t="s">
        <v>16187</v>
      </c>
      <c r="L13992" s="28" t="s">
        <v>52</v>
      </c>
      <c r="M13992" s="25">
        <v>140000</v>
      </c>
      <c r="N13992" s="27">
        <v>0.38720662517180099</v>
      </c>
    </row>
    <row r="13993" spans="1:14" hidden="1" outlineLevel="1" x14ac:dyDescent="0.2">
      <c r="A13993" s="23" t="str">
        <f t="shared" si="738"/>
        <v>УПРАВЛЕНИЕ ИМУЩЕСТВА И ЖКХ</v>
      </c>
      <c r="B13993" s="24" t="s">
        <v>16179</v>
      </c>
      <c r="C13993" s="25">
        <v>228462</v>
      </c>
      <c r="D13993" s="22" t="s">
        <v>16180</v>
      </c>
      <c r="E13993" s="22" t="s">
        <v>16181</v>
      </c>
      <c r="F13993" s="23" t="str">
        <f t="shared" si="739"/>
        <v>«Установка видеонаблюдения ЦК №1 с.Вагай; установка видеонаблюдения ЦК №2 с. Вагай»</v>
      </c>
      <c r="G13993" s="22" t="s">
        <v>893</v>
      </c>
      <c r="H13993" s="22" t="s">
        <v>16182</v>
      </c>
      <c r="I13993" s="26">
        <v>43521.350694444402</v>
      </c>
      <c r="J13993" s="23" t="str">
        <f>HYPERLINK("https://www.spark-marketing.ru/Card/Person/858422", "ООО ""ДАВИД""")</f>
        <v>ООО "ДАВИД"</v>
      </c>
      <c r="K13993" s="24" t="s">
        <v>16188</v>
      </c>
      <c r="L13993" s="28" t="s">
        <v>52</v>
      </c>
      <c r="M13993" s="25">
        <v>100046.57</v>
      </c>
      <c r="N13993" s="27">
        <v>0.5620866052122454</v>
      </c>
    </row>
    <row r="13994" spans="1:14" hidden="1" outlineLevel="1" x14ac:dyDescent="0.2">
      <c r="A13994" s="23" t="str">
        <f t="shared" si="738"/>
        <v>УПРАВЛЕНИЕ ИМУЩЕСТВА И ЖКХ</v>
      </c>
      <c r="B13994" s="24" t="s">
        <v>16179</v>
      </c>
      <c r="C13994" s="25">
        <v>228462</v>
      </c>
      <c r="D13994" s="22" t="s">
        <v>16180</v>
      </c>
      <c r="E13994" s="22" t="s">
        <v>16181</v>
      </c>
      <c r="F13994" s="23" t="str">
        <f t="shared" si="739"/>
        <v>«Установка видеонаблюдения ЦК №1 с.Вагай; установка видеонаблюдения ЦК №2 с. Вагай»</v>
      </c>
      <c r="G13994" s="22" t="s">
        <v>893</v>
      </c>
      <c r="H13994" s="22" t="s">
        <v>16182</v>
      </c>
      <c r="I13994" s="26">
        <v>43521.350694444402</v>
      </c>
      <c r="J13994" s="23" t="str">
        <f>HYPERLINK("https://www.spark-marketing.ru/Card/Person/6228198", "ООО ""ИНТЕЛЛЕКТ""")</f>
        <v>ООО "ИНТЕЛЛЕКТ"</v>
      </c>
      <c r="K13994" s="24" t="s">
        <v>6604</v>
      </c>
      <c r="L13994" s="28" t="s">
        <v>52</v>
      </c>
      <c r="M13994" s="25">
        <v>162715.38</v>
      </c>
      <c r="N13994" s="27">
        <v>0.28777923680962259</v>
      </c>
    </row>
    <row r="13995" spans="1:14" hidden="1" outlineLevel="1" x14ac:dyDescent="0.2">
      <c r="A13995" s="23" t="str">
        <f t="shared" si="738"/>
        <v>УПРАВЛЕНИЕ ИМУЩЕСТВА И ЖКХ</v>
      </c>
      <c r="B13995" s="24" t="s">
        <v>16179</v>
      </c>
      <c r="C13995" s="25">
        <v>228462</v>
      </c>
      <c r="D13995" s="22" t="s">
        <v>16180</v>
      </c>
      <c r="E13995" s="22" t="s">
        <v>16181</v>
      </c>
      <c r="F13995" s="23" t="str">
        <f t="shared" si="739"/>
        <v>«Установка видеонаблюдения ЦК №1 с.Вагай; установка видеонаблюдения ЦК №2 с. Вагай»</v>
      </c>
      <c r="G13995" s="22" t="s">
        <v>893</v>
      </c>
      <c r="H13995" s="22" t="s">
        <v>16182</v>
      </c>
      <c r="I13995" s="26">
        <v>43521.350694444402</v>
      </c>
      <c r="J13995" s="23" t="str">
        <f>HYPERLINK("https://www.spark-marketing.ru/Card/Person/5853123", "Ершов Андрей Алексеевич")</f>
        <v>Ершов Андрей Алексеевич</v>
      </c>
      <c r="K13995" s="24" t="s">
        <v>1063</v>
      </c>
      <c r="L13995" s="28" t="s">
        <v>52</v>
      </c>
      <c r="M13995" s="25">
        <v>117073.07</v>
      </c>
      <c r="N13995" s="27">
        <v>0.48755998809430012</v>
      </c>
    </row>
    <row r="13996" spans="1:14" x14ac:dyDescent="0.15">
      <c r="A13996" s="23" t="str">
        <f>HYPERLINK("https://www.spark-marketing.ru/Card/Person/1781233", "АО ""ПОЛЮС ЛОГИСТИКА""")</f>
        <v>АО "ПОЛЮС ЛОГИСТИКА"</v>
      </c>
      <c r="B13996" s="24" t="s">
        <v>7311</v>
      </c>
      <c r="C13996" s="28" t="s">
        <v>52</v>
      </c>
      <c r="D13996" s="22" t="s">
        <v>16189</v>
      </c>
      <c r="E13996" s="22" t="s">
        <v>53</v>
      </c>
      <c r="F13996" s="23" t="str">
        <f>HYPERLINK("https://www.spark-marketing.ru/Card/Lot/68238010", "Монтаж оборудования видеонаблюдения для транспртных средств, установка считывателей карт")</f>
        <v>Монтаж оборудования видеонаблюдения для транспртных средств, установка считывателей карт</v>
      </c>
      <c r="G13996" s="22" t="s">
        <v>640</v>
      </c>
      <c r="H13996" s="22" t="s">
        <v>1524</v>
      </c>
      <c r="I13996" s="26">
        <v>43521</v>
      </c>
      <c r="J13996" s="28" t="s">
        <v>52</v>
      </c>
      <c r="K13996" s="28" t="s">
        <v>52</v>
      </c>
      <c r="L13996" s="28" t="s">
        <v>52</v>
      </c>
      <c r="M13996" s="28" t="s">
        <v>52</v>
      </c>
      <c r="N13996" s="28" t="s">
        <v>52</v>
      </c>
    </row>
    <row r="13997" spans="1:14" x14ac:dyDescent="0.15">
      <c r="A13997" s="23" t="str">
        <f>HYPERLINK("https://www.spark-marketing.ru/Card/Person/766033", "АО ""АЭМ-ТЕХНОЛОГИИ""")</f>
        <v>АО "АЭМ-ТЕХНОЛОГИИ"</v>
      </c>
      <c r="B13997" s="24" t="s">
        <v>15865</v>
      </c>
      <c r="C13997" s="25">
        <v>94418940</v>
      </c>
      <c r="D13997" s="22" t="s">
        <v>16190</v>
      </c>
      <c r="E13997" s="22" t="s">
        <v>53</v>
      </c>
      <c r="F13997" s="23" t="str">
        <f>HYPERLINK("https://www.spark-marketing.ru/Card/Lot/68237365", "Право заключения договора на оказание услуг по охране объекта атомной отрасли")</f>
        <v>Право заключения договора на оказание услуг по охране объекта атомной отрасли</v>
      </c>
      <c r="G13997" s="22" t="s">
        <v>89</v>
      </c>
      <c r="H13997" s="22" t="s">
        <v>89</v>
      </c>
      <c r="I13997" s="26">
        <v>43521</v>
      </c>
      <c r="J13997" s="28" t="s">
        <v>52</v>
      </c>
      <c r="K13997" s="28" t="s">
        <v>52</v>
      </c>
      <c r="L13997" s="28" t="s">
        <v>52</v>
      </c>
      <c r="M13997" s="28" t="s">
        <v>52</v>
      </c>
      <c r="N13997" s="28" t="s">
        <v>52</v>
      </c>
    </row>
    <row r="13998" spans="1:14" x14ac:dyDescent="0.15">
      <c r="A13998" s="23" t="str">
        <f>HYPERLINK("https://www.spark-marketing.ru/Card/Person/149363", "МБДОУ ""ДЕТСКИЙ САД ОБЩЕРАЗВИВАЮЩЕГО ВИДА № 19"" НМР РТ")</f>
        <v>МБДОУ "ДЕТСКИЙ САД ОБЩЕРАЗВИВАЮЩЕГО ВИДА № 19" НМР РТ</v>
      </c>
      <c r="B13998" s="24" t="s">
        <v>16191</v>
      </c>
      <c r="C13998" s="25">
        <v>1900</v>
      </c>
      <c r="D13998" s="22" t="s">
        <v>16192</v>
      </c>
      <c r="E13998" s="22" t="s">
        <v>53</v>
      </c>
      <c r="F13998" s="23" t="str">
        <f>HYPERLINK("https://www.spark-marketing.ru/Card/Lot/73688836", "Техническое обслуживание системы видеонаблюдения")</f>
        <v>Техническое обслуживание системы видеонаблюдения</v>
      </c>
      <c r="G13998" s="22" t="s">
        <v>204</v>
      </c>
      <c r="H13998" s="22" t="s">
        <v>824</v>
      </c>
      <c r="I13998" s="26">
        <v>43519.890277777798</v>
      </c>
      <c r="J13998" s="28" t="s">
        <v>52</v>
      </c>
      <c r="K13998" s="28" t="s">
        <v>52</v>
      </c>
      <c r="L13998" s="28" t="s">
        <v>52</v>
      </c>
      <c r="M13998" s="28" t="s">
        <v>52</v>
      </c>
      <c r="N13998" s="28" t="s">
        <v>52</v>
      </c>
    </row>
    <row r="13999" spans="1:14" x14ac:dyDescent="0.15">
      <c r="A13999" s="23" t="str">
        <f>HYPERLINK("https://www.spark-marketing.ru/Card/Person/166433", "ГАУ ""ТЕХНОПАРК ""ЯКУТИЯ""")</f>
        <v>ГАУ "ТЕХНОПАРК "ЯКУТИЯ"</v>
      </c>
      <c r="B13999" s="24" t="s">
        <v>16193</v>
      </c>
      <c r="C13999" s="25">
        <v>257386.67</v>
      </c>
      <c r="D13999" s="22" t="s">
        <v>16194</v>
      </c>
      <c r="E13999" s="22" t="s">
        <v>137</v>
      </c>
      <c r="F13999" s="23" t="str">
        <f>HYPERLINK("https://www.spark-marketing.ru/Card/Lot/68188472", "Оказание услуг по техническому обслуживанию системы видеонаблюдения и системы контроля и управления доступом (СКУД)")</f>
        <v>Оказание услуг по техническому обслуживанию системы видеонаблюдения и системы контроля и управления доступом (СКУД)</v>
      </c>
      <c r="G13999" s="22" t="s">
        <v>424</v>
      </c>
      <c r="H13999" s="22" t="s">
        <v>424</v>
      </c>
      <c r="I13999" s="26">
        <v>43518.796481481499</v>
      </c>
      <c r="J13999" s="28" t="s">
        <v>52</v>
      </c>
      <c r="K13999" s="28" t="s">
        <v>52</v>
      </c>
      <c r="L13999" s="28" t="s">
        <v>52</v>
      </c>
      <c r="M13999" s="28" t="s">
        <v>52</v>
      </c>
      <c r="N13999" s="28" t="s">
        <v>52</v>
      </c>
    </row>
    <row r="14000" spans="1:14" hidden="1" outlineLevel="1" x14ac:dyDescent="0.2">
      <c r="A14000" s="23" t="str">
        <f>HYPERLINK("https://www.spark-marketing.ru/Card/Person/166433", "ГАУ ""ТЕХНОПАРК ""ЯКУТИЯ""")</f>
        <v>ГАУ "ТЕХНОПАРК "ЯКУТИЯ"</v>
      </c>
      <c r="B14000" s="24" t="s">
        <v>16193</v>
      </c>
      <c r="C14000" s="28" t="s">
        <v>52</v>
      </c>
      <c r="D14000" s="22" t="s">
        <v>16194</v>
      </c>
      <c r="E14000" s="22" t="s">
        <v>137</v>
      </c>
      <c r="F14000" s="23" t="str">
        <f>HYPERLINK("https://www.spark-marketing.ru/Card/Lot/68188472", "Оказание услуг по техническому обслуживанию системы видеонаблюдения и системы контроля и управления доступом (СКУД)")</f>
        <v>Оказание услуг по техническому обслуживанию системы видеонаблюдения и системы контроля и управления доступом (СКУД)</v>
      </c>
      <c r="G14000" s="22" t="s">
        <v>424</v>
      </c>
      <c r="H14000" s="22" t="s">
        <v>424</v>
      </c>
      <c r="I14000" s="26">
        <v>43518.796481481499</v>
      </c>
      <c r="J14000" s="23" t="str">
        <f>HYPERLINK("https://www.spark-marketing.ru/Card/Person/5853361", "ООО ""НОВА""")</f>
        <v>ООО "НОВА"</v>
      </c>
      <c r="K14000" s="24" t="s">
        <v>6361</v>
      </c>
      <c r="L14000" s="22" t="s">
        <v>10</v>
      </c>
      <c r="M14000" s="25">
        <v>149000</v>
      </c>
      <c r="N14000" s="27">
        <v>0.42110444181122514</v>
      </c>
    </row>
    <row r="14001" spans="1:14" hidden="1" outlineLevel="1" x14ac:dyDescent="0.2">
      <c r="A14001" s="23" t="str">
        <f>HYPERLINK("https://www.spark-marketing.ru/Card/Person/166433", "ГАУ ""ТЕХНОПАРК ""ЯКУТИЯ""")</f>
        <v>ГАУ "ТЕХНОПАРК "ЯКУТИЯ"</v>
      </c>
      <c r="B14001" s="24" t="s">
        <v>16193</v>
      </c>
      <c r="C14001" s="28" t="s">
        <v>52</v>
      </c>
      <c r="D14001" s="22" t="s">
        <v>16194</v>
      </c>
      <c r="E14001" s="22" t="s">
        <v>137</v>
      </c>
      <c r="F14001" s="23" t="str">
        <f>HYPERLINK("https://www.spark-marketing.ru/Card/Lot/68188472", "Оказание услуг по техническому обслуживанию системы видеонаблюдения и системы контроля и управления доступом (СКУД)")</f>
        <v>Оказание услуг по техническому обслуживанию системы видеонаблюдения и системы контроля и управления доступом (СКУД)</v>
      </c>
      <c r="G14001" s="22" t="s">
        <v>424</v>
      </c>
      <c r="H14001" s="22" t="s">
        <v>424</v>
      </c>
      <c r="I14001" s="26">
        <v>43518.796481481499</v>
      </c>
      <c r="J14001" s="23" t="str">
        <f>HYPERLINK("https://www.spark-marketing.ru/Card/Person/77351", "ООО ""НМК""")</f>
        <v>ООО "НМК"</v>
      </c>
      <c r="K14001" s="24" t="s">
        <v>13540</v>
      </c>
      <c r="L14001" s="28" t="s">
        <v>52</v>
      </c>
      <c r="M14001" s="25">
        <v>195000</v>
      </c>
      <c r="N14001" s="27">
        <v>0.24238500773952279</v>
      </c>
    </row>
    <row r="14002" spans="1:14" hidden="1" outlineLevel="1" x14ac:dyDescent="0.2">
      <c r="A14002" s="23" t="str">
        <f>HYPERLINK("https://www.spark-marketing.ru/Card/Person/166433", "ГАУ ""ТЕХНОПАРК ""ЯКУТИЯ""")</f>
        <v>ГАУ "ТЕХНОПАРК "ЯКУТИЯ"</v>
      </c>
      <c r="B14002" s="24" t="s">
        <v>16193</v>
      </c>
      <c r="C14002" s="28" t="s">
        <v>52</v>
      </c>
      <c r="D14002" s="22" t="s">
        <v>16194</v>
      </c>
      <c r="E14002" s="22" t="s">
        <v>137</v>
      </c>
      <c r="F14002" s="23" t="str">
        <f>HYPERLINK("https://www.spark-marketing.ru/Card/Lot/68188472", "Оказание услуг по техническому обслуживанию системы видеонаблюдения и системы контроля и управления доступом (СКУД)")</f>
        <v>Оказание услуг по техническому обслуживанию системы видеонаблюдения и системы контроля и управления доступом (СКУД)</v>
      </c>
      <c r="G14002" s="22" t="s">
        <v>424</v>
      </c>
      <c r="H14002" s="22" t="s">
        <v>424</v>
      </c>
      <c r="I14002" s="26">
        <v>43518.796481481499</v>
      </c>
      <c r="J14002" s="23" t="str">
        <f>HYPERLINK("https://www.spark-marketing.ru/Card/Person/85457", "ООО ""ФОТОН""")</f>
        <v>ООО "ФОТОН"</v>
      </c>
      <c r="K14002" s="24" t="s">
        <v>16195</v>
      </c>
      <c r="L14002" s="28" t="s">
        <v>52</v>
      </c>
      <c r="M14002" s="25">
        <v>199000</v>
      </c>
      <c r="N14002" s="27">
        <v>0.22684418738546172</v>
      </c>
    </row>
    <row r="14003" spans="1:14" x14ac:dyDescent="0.15">
      <c r="A14003" s="23" t="str">
        <f>HYPERLINK("https://www.spark-marketing.ru/Card/Person/1777915", "МАДОУ Д/С №34 ""СВЕТЛЯЧОК""")</f>
        <v>МАДОУ Д/С №34 "СВЕТЛЯЧОК"</v>
      </c>
      <c r="B14003" s="24" t="s">
        <v>16196</v>
      </c>
      <c r="C14003" s="25">
        <v>55440</v>
      </c>
      <c r="D14003" s="22" t="s">
        <v>16197</v>
      </c>
      <c r="E14003" s="22" t="s">
        <v>103</v>
      </c>
      <c r="F14003" s="23" t="str">
        <f>HYPERLINK("https://www.spark-marketing.ru/Card/Lot/68197628", "Оказание услуги по техническому обслуживанию системы видеонаблюдения и домофона.")</f>
        <v>Оказание услуги по техническому обслуживанию системы видеонаблюдения и домофона.</v>
      </c>
      <c r="G14003" s="22" t="s">
        <v>50</v>
      </c>
      <c r="H14003" s="22" t="s">
        <v>4782</v>
      </c>
      <c r="I14003" s="26">
        <v>43518.670034722199</v>
      </c>
      <c r="J14003" s="28" t="s">
        <v>52</v>
      </c>
      <c r="K14003" s="28" t="s">
        <v>52</v>
      </c>
      <c r="L14003" s="28" t="s">
        <v>52</v>
      </c>
      <c r="M14003" s="28" t="s">
        <v>52</v>
      </c>
      <c r="N14003" s="28" t="s">
        <v>52</v>
      </c>
    </row>
    <row r="14004" spans="1:14" x14ac:dyDescent="0.15">
      <c r="A14004" s="23" t="str">
        <f>HYPERLINK("https://www.spark-marketing.ru/Card/Person/13314", "КГБУЗ ""АБАНСКАЯ РБ""")</f>
        <v>КГБУЗ "АБАНСКАЯ РБ"</v>
      </c>
      <c r="B14004" s="24" t="s">
        <v>16198</v>
      </c>
      <c r="C14004" s="25">
        <v>354600</v>
      </c>
      <c r="D14004" s="22" t="s">
        <v>16199</v>
      </c>
      <c r="E14004" s="22" t="s">
        <v>68</v>
      </c>
      <c r="F14004" s="23" t="str">
        <f>HYPERLINK("https://www.spark-marketing.ru/Card/Lot/68190834", "Услуги по охране объектов КГБУЗ ""Абанская РБ""")</f>
        <v>Услуги по охране объектов КГБУЗ "Абанская РБ"</v>
      </c>
      <c r="G14004" s="22" t="s">
        <v>640</v>
      </c>
      <c r="H14004" s="22" t="s">
        <v>16200</v>
      </c>
      <c r="I14004" s="26">
        <v>43518.704166666699</v>
      </c>
      <c r="J14004" s="28" t="s">
        <v>52</v>
      </c>
      <c r="K14004" s="28" t="s">
        <v>52</v>
      </c>
      <c r="L14004" s="28" t="s">
        <v>52</v>
      </c>
      <c r="M14004" s="28" t="s">
        <v>52</v>
      </c>
      <c r="N14004" s="28" t="s">
        <v>52</v>
      </c>
    </row>
    <row r="14005" spans="1:14" ht="12.75" hidden="1" outlineLevel="1" x14ac:dyDescent="0.2">
      <c r="A14005" s="23" t="str">
        <f>HYPERLINK("https://www.spark-marketing.ru/Card/Person/13314", "КГБУЗ ""АБАНСКАЯ РБ""")</f>
        <v>КГБУЗ "АБАНСКАЯ РБ"</v>
      </c>
      <c r="B14005" s="24" t="s">
        <v>16198</v>
      </c>
      <c r="C14005" s="25">
        <v>354600</v>
      </c>
      <c r="D14005" s="22" t="s">
        <v>16199</v>
      </c>
      <c r="E14005" s="22" t="s">
        <v>68</v>
      </c>
      <c r="F14005" s="23" t="str">
        <f>HYPERLINK("https://www.spark-marketing.ru/Card/Lot/68190834", "Услуги по охране объектов КГБУЗ ""Абанская РБ""")</f>
        <v>Услуги по охране объектов КГБУЗ "Абанская РБ"</v>
      </c>
      <c r="G14005" s="22" t="s">
        <v>640</v>
      </c>
      <c r="H14005" s="22" t="s">
        <v>16200</v>
      </c>
      <c r="I14005" s="26">
        <v>43518.704166666699</v>
      </c>
      <c r="J14005" s="23" t="str">
        <f>HYPERLINK("https://www.spark-marketing.ru/Card/Person/216841", "ООО ЧОО ""ТАМЕРЛАН""")</f>
        <v>ООО ЧОО "ТАМЕРЛАН"</v>
      </c>
      <c r="K14005" s="24" t="s">
        <v>13532</v>
      </c>
      <c r="L14005" s="22" t="s">
        <v>10</v>
      </c>
      <c r="M14005" s="25">
        <v>352827</v>
      </c>
      <c r="N14005" s="27">
        <v>5.0000000000000001E-3</v>
      </c>
    </row>
    <row r="14006" spans="1:14" hidden="1" outlineLevel="1" x14ac:dyDescent="0.2">
      <c r="A14006" s="23" t="str">
        <f>HYPERLINK("https://www.spark-marketing.ru/Card/Person/13314", "КГБУЗ ""АБАНСКАЯ РБ""")</f>
        <v>КГБУЗ "АБАНСКАЯ РБ"</v>
      </c>
      <c r="B14006" s="24" t="s">
        <v>16198</v>
      </c>
      <c r="C14006" s="25">
        <v>354600</v>
      </c>
      <c r="D14006" s="22" t="s">
        <v>16199</v>
      </c>
      <c r="E14006" s="22" t="s">
        <v>68</v>
      </c>
      <c r="F14006" s="23" t="str">
        <f>HYPERLINK("https://www.spark-marketing.ru/Card/Lot/68190834", "Услуги по охране объектов КГБУЗ ""Абанская РБ""")</f>
        <v>Услуги по охране объектов КГБУЗ "Абанская РБ"</v>
      </c>
      <c r="G14006" s="22" t="s">
        <v>640</v>
      </c>
      <c r="H14006" s="22" t="s">
        <v>16200</v>
      </c>
      <c r="I14006" s="26">
        <v>43518.704166666699</v>
      </c>
      <c r="J14006" s="23" t="str">
        <f>HYPERLINK("https://www.spark-marketing.ru/Card/Person/247966", "ООО ГК ""БАСТИОН""")</f>
        <v>ООО ГК "БАСТИОН"</v>
      </c>
      <c r="K14006" s="24" t="s">
        <v>16121</v>
      </c>
      <c r="L14006" s="28" t="s">
        <v>52</v>
      </c>
      <c r="M14006" s="25">
        <v>352827</v>
      </c>
      <c r="N14006" s="27">
        <v>5.0000000000000001E-3</v>
      </c>
    </row>
    <row r="14007" spans="1:14" hidden="1" outlineLevel="1" x14ac:dyDescent="0.2">
      <c r="A14007" s="23" t="str">
        <f>HYPERLINK("https://www.spark-marketing.ru/Card/Person/13314", "КГБУЗ ""АБАНСКАЯ РБ""")</f>
        <v>КГБУЗ "АБАНСКАЯ РБ"</v>
      </c>
      <c r="B14007" s="24" t="s">
        <v>16198</v>
      </c>
      <c r="C14007" s="25">
        <v>354600</v>
      </c>
      <c r="D14007" s="22" t="s">
        <v>16199</v>
      </c>
      <c r="E14007" s="22" t="s">
        <v>68</v>
      </c>
      <c r="F14007" s="23" t="str">
        <f>HYPERLINK("https://www.spark-marketing.ru/Card/Lot/68190834", "Услуги по охране объектов КГБУЗ ""Абанская РБ""")</f>
        <v>Услуги по охране объектов КГБУЗ "Абанская РБ"</v>
      </c>
      <c r="G14007" s="22" t="s">
        <v>640</v>
      </c>
      <c r="H14007" s="22" t="s">
        <v>16200</v>
      </c>
      <c r="I14007" s="26">
        <v>43518.704166666699</v>
      </c>
      <c r="J14007" s="23" t="str">
        <f>HYPERLINK("https://www.spark-marketing.ru/Card/Person/472540", "ООО ""МОЛОТ""")</f>
        <v>ООО "МОЛОТ"</v>
      </c>
      <c r="K14007" s="24" t="s">
        <v>4684</v>
      </c>
      <c r="L14007" s="28" t="s">
        <v>52</v>
      </c>
      <c r="M14007" s="25">
        <v>352827</v>
      </c>
      <c r="N14007" s="27">
        <v>5.0000000000000001E-3</v>
      </c>
    </row>
    <row r="14008" spans="1:14" x14ac:dyDescent="0.15">
      <c r="A14008" s="23" t="str">
        <f>HYPERLINK("https://www.spark-marketing.ru/Card/Person/56696", "ГБУ НАО ""НЕНЕЦКИЙ РЕГИОНАЛЬНЫЙ ЦЕНТР РАЗВИТИЯ ОБРАЗОВАНИЯ"", ГБУ НАО ""НРЦРО""")</f>
        <v>ГБУ НАО "НЕНЕЦКИЙ РЕГИОНАЛЬНЫЙ ЦЕНТР РАЗВИТИЯ ОБРАЗОВАНИЯ", ГБУ НАО "НРЦРО"</v>
      </c>
      <c r="B14008" s="24" t="s">
        <v>14749</v>
      </c>
      <c r="C14008" s="25">
        <v>144000</v>
      </c>
      <c r="D14008" s="22" t="s">
        <v>16201</v>
      </c>
      <c r="E14008" s="22" t="s">
        <v>68</v>
      </c>
      <c r="F14008" s="23" t="str">
        <f>HYPERLINK("https://www.spark-marketing.ru/Card/Lot/68194892", "Охранные услуги с помощью кнопки тревожной сигнализации и услуги по её техническому обслуживанию")</f>
        <v>Охранные услуги с помощью кнопки тревожной сигнализации и услуги по её техническому обслуживанию</v>
      </c>
      <c r="G14008" s="22" t="s">
        <v>1014</v>
      </c>
      <c r="H14008" s="22" t="s">
        <v>1015</v>
      </c>
      <c r="I14008" s="26">
        <v>43518.629861111098</v>
      </c>
      <c r="J14008" s="28" t="s">
        <v>52</v>
      </c>
      <c r="K14008" s="28" t="s">
        <v>52</v>
      </c>
      <c r="L14008" s="28" t="s">
        <v>52</v>
      </c>
      <c r="M14008" s="28" t="s">
        <v>52</v>
      </c>
      <c r="N14008" s="28" t="s">
        <v>52</v>
      </c>
    </row>
    <row r="14009" spans="1:14" ht="12.75" hidden="1" outlineLevel="1" x14ac:dyDescent="0.2">
      <c r="A14009" s="23" t="str">
        <f>HYPERLINK("https://www.spark-marketing.ru/Card/Person/56696", "ГБУ НАО ""НЕНЕЦКИЙ РЕГИОНАЛЬНЫЙ ЦЕНТР РАЗВИТИЯ ОБРАЗОВАНИЯ"", ГБУ НАО ""НРЦРО""")</f>
        <v>ГБУ НАО "НЕНЕЦКИЙ РЕГИОНАЛЬНЫЙ ЦЕНТР РАЗВИТИЯ ОБРАЗОВАНИЯ", ГБУ НАО "НРЦРО"</v>
      </c>
      <c r="B14009" s="24" t="s">
        <v>14749</v>
      </c>
      <c r="C14009" s="25">
        <v>144000</v>
      </c>
      <c r="D14009" s="22" t="s">
        <v>16201</v>
      </c>
      <c r="E14009" s="22" t="s">
        <v>68</v>
      </c>
      <c r="F14009" s="23" t="str">
        <f>HYPERLINK("https://www.spark-marketing.ru/Card/Lot/68194892", "Охранные услуги с помощью кнопки тревожной сигнализации и услуги по её техническому обслуживанию")</f>
        <v>Охранные услуги с помощью кнопки тревожной сигнализации и услуги по её техническому обслуживанию</v>
      </c>
      <c r="G14009" s="22" t="s">
        <v>1014</v>
      </c>
      <c r="H14009" s="22" t="s">
        <v>1015</v>
      </c>
      <c r="I14009" s="26">
        <v>43518.629861111098</v>
      </c>
      <c r="J14009" s="23" t="str">
        <f>HYPERLINK("https://www.spark-marketing.ru/Card/Person/493651", "ООО ""ОП ""СВЯТОГОРЪ""")</f>
        <v>ООО "ОП "СВЯТОГОРЪ"</v>
      </c>
      <c r="K14009" s="24" t="s">
        <v>16202</v>
      </c>
      <c r="L14009" s="22" t="s">
        <v>10</v>
      </c>
      <c r="M14009" s="25">
        <v>31616.09</v>
      </c>
      <c r="N14009" s="27">
        <v>0.78044381944444441</v>
      </c>
    </row>
    <row r="14010" spans="1:14" hidden="1" outlineLevel="1" x14ac:dyDescent="0.2">
      <c r="A14010" s="23" t="str">
        <f>HYPERLINK("https://www.spark-marketing.ru/Card/Person/56696", "ГБУ НАО ""НЕНЕЦКИЙ РЕГИОНАЛЬНЫЙ ЦЕНТР РАЗВИТИЯ ОБРАЗОВАНИЯ"", ГБУ НАО ""НРЦРО""")</f>
        <v>ГБУ НАО "НЕНЕЦКИЙ РЕГИОНАЛЬНЫЙ ЦЕНТР РАЗВИТИЯ ОБРАЗОВАНИЯ", ГБУ НАО "НРЦРО"</v>
      </c>
      <c r="B14010" s="24" t="s">
        <v>14749</v>
      </c>
      <c r="C14010" s="25">
        <v>144000</v>
      </c>
      <c r="D14010" s="22" t="s">
        <v>16201</v>
      </c>
      <c r="E14010" s="22" t="s">
        <v>68</v>
      </c>
      <c r="F14010" s="23" t="str">
        <f>HYPERLINK("https://www.spark-marketing.ru/Card/Lot/68194892", "Охранные услуги с помощью кнопки тревожной сигнализации и услуги по её техническому обслуживанию")</f>
        <v>Охранные услуги с помощью кнопки тревожной сигнализации и услуги по её техническому обслуживанию</v>
      </c>
      <c r="G14010" s="22" t="s">
        <v>1014</v>
      </c>
      <c r="H14010" s="22" t="s">
        <v>1015</v>
      </c>
      <c r="I14010" s="26">
        <v>43518.629861111098</v>
      </c>
      <c r="J14010" s="23" t="str">
        <f>HYPERLINK("https://www.spark-marketing.ru/Card/Person/338832", "ООО ЧОП ""ФОРМУЛА БЕЗОПАСНОСТИ""")</f>
        <v>ООО ЧОП "ФОРМУЛА БЕЗОПАСНОСТИ"</v>
      </c>
      <c r="K14010" s="24" t="s">
        <v>16203</v>
      </c>
      <c r="L14010" s="28" t="s">
        <v>52</v>
      </c>
      <c r="M14010" s="25">
        <v>32336.09</v>
      </c>
      <c r="N14010" s="27">
        <v>0.7754438194444444</v>
      </c>
    </row>
    <row r="14011" spans="1:14" x14ac:dyDescent="0.15">
      <c r="A14011" s="23" t="str">
        <f>HYPERLINK("https://www.spark-marketing.ru/Card/Person/16408", "ФГБУ ДДС ИМ. Н.А. СЕМАШКО МИНЗДРАВА РОССИИ")</f>
        <v>ФГБУ ДДС ИМ. Н.А. СЕМАШКО МИНЗДРАВА РОССИИ</v>
      </c>
      <c r="B14011" s="24" t="s">
        <v>16204</v>
      </c>
      <c r="C14011" s="25">
        <v>582499.9</v>
      </c>
      <c r="D14011" s="22" t="s">
        <v>16205</v>
      </c>
      <c r="E14011" s="22" t="s">
        <v>107</v>
      </c>
      <c r="F14011" s="23" t="str">
        <f>HYPERLINK("https://www.spark-marketing.ru/Card/Lot/68194929", "Техническое обслуживание системы контроля управления доступом и системы видеонаблюдения на объектах ФГБУ ДДС им. Н. А. Семашко Минздрава России")</f>
        <v>Техническое обслуживание системы контроля управления доступом и системы видеонаблюдения на объектах ФГБУ ДДС им. Н. А. Семашко Минздрава России</v>
      </c>
      <c r="G14011" s="22" t="s">
        <v>132</v>
      </c>
      <c r="H14011" s="22" t="s">
        <v>132</v>
      </c>
      <c r="I14011" s="26">
        <v>43518.639583333301</v>
      </c>
      <c r="J14011" s="28" t="s">
        <v>52</v>
      </c>
      <c r="K14011" s="28" t="s">
        <v>52</v>
      </c>
      <c r="L14011" s="28" t="s">
        <v>52</v>
      </c>
      <c r="M14011" s="28" t="s">
        <v>52</v>
      </c>
      <c r="N14011" s="28" t="s">
        <v>52</v>
      </c>
    </row>
    <row r="14012" spans="1:14" ht="12.75" hidden="1" outlineLevel="1" x14ac:dyDescent="0.2">
      <c r="A14012" s="23" t="str">
        <f>HYPERLINK("https://www.spark-marketing.ru/Card/Person/16408", "ФГБУ ДДС ИМ. Н.А. СЕМАШКО МИНЗДРАВА РОССИИ")</f>
        <v>ФГБУ ДДС ИМ. Н.А. СЕМАШКО МИНЗДРАВА РОССИИ</v>
      </c>
      <c r="B14012" s="24" t="s">
        <v>16204</v>
      </c>
      <c r="C14012" s="25">
        <v>582499.9</v>
      </c>
      <c r="D14012" s="22" t="s">
        <v>16205</v>
      </c>
      <c r="E14012" s="22" t="s">
        <v>107</v>
      </c>
      <c r="F14012" s="23" t="str">
        <f>HYPERLINK("https://www.spark-marketing.ru/Card/Lot/68194929", "Техническое обслуживание системы контроля управления доступом и системы видеонаблюдения на объектах ФГБУ ДДС им. Н. А. Семашко Минздрава России")</f>
        <v>Техническое обслуживание системы контроля управления доступом и системы видеонаблюдения на объектах ФГБУ ДДС им. Н. А. Семашко Минздрава России</v>
      </c>
      <c r="G14012" s="22" t="s">
        <v>132</v>
      </c>
      <c r="H14012" s="22" t="s">
        <v>132</v>
      </c>
      <c r="I14012" s="26">
        <v>43518.639583333301</v>
      </c>
      <c r="J14012" s="23" t="str">
        <f>HYPERLINK("https://www.spark-marketing.ru/Card/Person/65396", "ООО ""ЧИСТОГРАД""")</f>
        <v>ООО "ЧИСТОГРАД"</v>
      </c>
      <c r="K14012" s="24" t="s">
        <v>16206</v>
      </c>
      <c r="L14012" s="22" t="s">
        <v>10</v>
      </c>
      <c r="M14012" s="25">
        <v>565024.9</v>
      </c>
      <c r="N14012" s="27">
        <v>3.0000005150215475E-2</v>
      </c>
    </row>
    <row r="14013" spans="1:14" hidden="1" outlineLevel="1" x14ac:dyDescent="0.2">
      <c r="A14013" s="23" t="str">
        <f>HYPERLINK("https://www.spark-marketing.ru/Card/Person/16408", "ФГБУ ДДС ИМ. Н.А. СЕМАШКО МИНЗДРАВА РОССИИ")</f>
        <v>ФГБУ ДДС ИМ. Н.А. СЕМАШКО МИНЗДРАВА РОССИИ</v>
      </c>
      <c r="B14013" s="24" t="s">
        <v>16204</v>
      </c>
      <c r="C14013" s="25">
        <v>582499.9</v>
      </c>
      <c r="D14013" s="22" t="s">
        <v>16205</v>
      </c>
      <c r="E14013" s="22" t="s">
        <v>107</v>
      </c>
      <c r="F14013" s="23" t="str">
        <f>HYPERLINK("https://www.spark-marketing.ru/Card/Lot/68194929", "Техническое обслуживание системы контроля управления доступом и системы видеонаблюдения на объектах ФГБУ ДДС им. Н. А. Семашко Минздрава России")</f>
        <v>Техническое обслуживание системы контроля управления доступом и системы видеонаблюдения на объектах ФГБУ ДДС им. Н. А. Семашко Минздрава России</v>
      </c>
      <c r="G14013" s="22" t="s">
        <v>132</v>
      </c>
      <c r="H14013" s="22" t="s">
        <v>132</v>
      </c>
      <c r="I14013" s="26">
        <v>43518.639583333301</v>
      </c>
      <c r="J14013" s="23" t="str">
        <f>HYPERLINK("https://www.spark-marketing.ru/Card/Person/6505640", "ООО ""ТРАЕКТОРИЯ""")</f>
        <v>ООО "ТРАЕКТОРИЯ"</v>
      </c>
      <c r="K14013" s="24" t="s">
        <v>16207</v>
      </c>
      <c r="L14013" s="28" t="s">
        <v>52</v>
      </c>
      <c r="M14013" s="25">
        <v>567937.4</v>
      </c>
      <c r="N14013" s="27">
        <v>2.500000429184623E-2</v>
      </c>
    </row>
    <row r="14014" spans="1:14" x14ac:dyDescent="0.2">
      <c r="A14014" s="23" t="str">
        <f>HYPERLINK("https://www.spark-marketing.ru/Card/Person/718484", "ГАПОУ МО ""МОНПК""")</f>
        <v>ГАПОУ МО "МОНПК"</v>
      </c>
      <c r="B14014" s="24" t="s">
        <v>14785</v>
      </c>
      <c r="C14014" s="25">
        <v>24789.75</v>
      </c>
      <c r="D14014" s="22" t="s">
        <v>16208</v>
      </c>
      <c r="E14014" s="22" t="s">
        <v>14787</v>
      </c>
      <c r="F14014" s="23" t="str">
        <f>HYPERLINK("https://www.spark-marketing.ru/Card/Lot/68196924", "Поставка тревожных кнопок")</f>
        <v>Поставка тревожных кнопок</v>
      </c>
      <c r="G14014" s="22" t="s">
        <v>190</v>
      </c>
      <c r="H14014" s="22" t="s">
        <v>190</v>
      </c>
      <c r="I14014" s="26">
        <v>43518.658877314803</v>
      </c>
      <c r="J14014" s="28" t="s">
        <v>52</v>
      </c>
      <c r="K14014" s="28" t="s">
        <v>52</v>
      </c>
      <c r="L14014" s="28" t="s">
        <v>52</v>
      </c>
      <c r="M14014" s="25">
        <v>22500</v>
      </c>
      <c r="N14014" s="27">
        <v>9.2366804828608595E-2</v>
      </c>
    </row>
    <row r="14015" spans="1:14" x14ac:dyDescent="0.15">
      <c r="A14015" s="23" t="str">
        <f>HYPERLINK("https://www.spark-marketing.ru/Card/Person/113859", "МБОУ СРЕДНЯЯ ОБЩЕОБРАЗОВАТЕЛЬНАЯ ШКОЛА №14")</f>
        <v>МБОУ СРЕДНЯЯ ОБЩЕОБРАЗОВАТЕЛЬНАЯ ШКОЛА №14</v>
      </c>
      <c r="B14015" s="24" t="s">
        <v>16209</v>
      </c>
      <c r="C14015" s="25">
        <v>116000</v>
      </c>
      <c r="D14015" s="22" t="s">
        <v>16210</v>
      </c>
      <c r="E14015" s="22" t="s">
        <v>3699</v>
      </c>
      <c r="F14015" s="23" t="str">
        <f>HYPERLINK("https://www.spark-marketing.ru/Card/Lot/68195481", "оказание услуг по установке камер системы видеонаблюдения в ППЭ")</f>
        <v>оказание услуг по установке камер системы видеонаблюдения в ППЭ</v>
      </c>
      <c r="G14015" s="22" t="s">
        <v>50</v>
      </c>
      <c r="H14015" s="22" t="s">
        <v>5744</v>
      </c>
      <c r="I14015" s="26">
        <v>43518.649074074099</v>
      </c>
      <c r="J14015" s="28" t="s">
        <v>52</v>
      </c>
      <c r="K14015" s="28" t="s">
        <v>52</v>
      </c>
      <c r="L14015" s="28" t="s">
        <v>52</v>
      </c>
      <c r="M14015" s="28" t="s">
        <v>52</v>
      </c>
      <c r="N14015" s="28" t="s">
        <v>52</v>
      </c>
    </row>
    <row r="14016" spans="1:14" x14ac:dyDescent="0.15">
      <c r="A14016" s="23" t="str">
        <f>HYPERLINK("https://www.spark-marketing.ru/Card/Person/160646", "ОТДЕЛ ГФС РОССИИ В Г. ЙОШКАР-ОЛЕ")</f>
        <v>ОТДЕЛ ГФС РОССИИ В Г. ЙОШКАР-ОЛЕ</v>
      </c>
      <c r="B14016" s="24" t="s">
        <v>10253</v>
      </c>
      <c r="C14016" s="25">
        <v>32925.599999999999</v>
      </c>
      <c r="D14016" s="22" t="s">
        <v>16211</v>
      </c>
      <c r="E14016" s="22" t="s">
        <v>68</v>
      </c>
      <c r="F14016" s="23" t="str">
        <f>HYPERLINK("https://www.spark-marketing.ru/Card/Lot/68197750", "Централизованная охрана объекта")</f>
        <v>Централизованная охрана объекта</v>
      </c>
      <c r="G14016" s="22" t="s">
        <v>2514</v>
      </c>
      <c r="H14016" s="22" t="s">
        <v>4189</v>
      </c>
      <c r="I14016" s="26">
        <v>43518.655555555597</v>
      </c>
      <c r="J14016" s="28" t="s">
        <v>52</v>
      </c>
      <c r="K14016" s="28" t="s">
        <v>52</v>
      </c>
      <c r="L14016" s="28" t="s">
        <v>52</v>
      </c>
      <c r="M14016" s="28" t="s">
        <v>52</v>
      </c>
      <c r="N14016" s="28" t="s">
        <v>52</v>
      </c>
    </row>
    <row r="14017" spans="1:14" x14ac:dyDescent="0.15">
      <c r="A14017" s="23" t="str">
        <f>HYPERLINK("https://www.spark-marketing.ru/Card/Person/78666", "ГУП МО ""МОБТИ""")</f>
        <v>ГУП МО "МОБТИ"</v>
      </c>
      <c r="B14017" s="24" t="s">
        <v>3213</v>
      </c>
      <c r="C14017" s="25">
        <v>116666.76</v>
      </c>
      <c r="D14017" s="22" t="s">
        <v>16212</v>
      </c>
      <c r="E14017" s="22" t="s">
        <v>144</v>
      </c>
      <c r="F14017" s="23" t="str">
        <f>HYPERLINK("https://www.spark-marketing.ru/Card/Lot/68196383", "Запрос котировок в электронной форме на право заключения договора на оказание услуг по охране объекта посредством контроля подключенной к пульту центрального наблюдения системы тревожного оповещения, установленной в Пушкинском отделе Королевского фил...")</f>
        <v>Запрос котировок в электронной форме на право заключения договора на оказание услуг по охране объекта посредством контроля подключенной к пульту центрального наблюдения системы тревожного оповещения, установленной в Пушкинском отделе Королевского фил...</v>
      </c>
      <c r="G14017" s="22" t="s">
        <v>50</v>
      </c>
      <c r="H14017" s="22" t="s">
        <v>50</v>
      </c>
      <c r="I14017" s="26">
        <v>43518.653668981497</v>
      </c>
      <c r="J14017" s="28" t="s">
        <v>52</v>
      </c>
      <c r="K14017" s="28" t="s">
        <v>52</v>
      </c>
      <c r="L14017" s="28" t="s">
        <v>52</v>
      </c>
      <c r="M14017" s="28" t="s">
        <v>52</v>
      </c>
      <c r="N14017" s="28" t="s">
        <v>52</v>
      </c>
    </row>
    <row r="14018" spans="1:14" hidden="1" outlineLevel="1" x14ac:dyDescent="0.2">
      <c r="A14018" s="23" t="str">
        <f>HYPERLINK("https://www.spark-marketing.ru/Card/Person/78666", "ГУП МО ""МОБТИ""")</f>
        <v>ГУП МО "МОБТИ"</v>
      </c>
      <c r="B14018" s="24" t="s">
        <v>3213</v>
      </c>
      <c r="C14018" s="28" t="s">
        <v>52</v>
      </c>
      <c r="D14018" s="22" t="s">
        <v>16212</v>
      </c>
      <c r="E14018" s="22" t="s">
        <v>144</v>
      </c>
      <c r="F14018" s="23" t="str">
        <f>HYPERLINK("https://www.spark-marketing.ru/Card/Lot/68196383", "Запрос котировок в электронной форме на право заключения договора на оказание услуг по охране объекта посредством контроля подключенной к пульту центрального наблюдения системы тревожного оповещения, установленной в Пушкинском отделе Королевского фил...")</f>
        <v>Запрос котировок в электронной форме на право заключения договора на оказание услуг по охране объекта посредством контроля подключенной к пульту центрального наблюдения системы тревожного оповещения, установленной в Пушкинском отделе Королевского фил...</v>
      </c>
      <c r="G14018" s="22" t="s">
        <v>50</v>
      </c>
      <c r="H14018" s="22" t="s">
        <v>50</v>
      </c>
      <c r="I14018" s="26">
        <v>43518.653668981497</v>
      </c>
      <c r="J14018" s="23" t="str">
        <f>HYPERLINK("https://www.spark-marketing.ru/Card/Person/6470401", "ООО ""ЧОП ""ЛДС-ОХРАНА""")</f>
        <v>ООО "ЧОП "ЛДС-ОХРАНА"</v>
      </c>
      <c r="K14018" s="24" t="s">
        <v>16213</v>
      </c>
      <c r="L14018" s="22" t="s">
        <v>10</v>
      </c>
      <c r="M14018" s="25">
        <v>79000</v>
      </c>
      <c r="N14018" s="27">
        <v>0.32285768457099517</v>
      </c>
    </row>
    <row r="14019" spans="1:14" hidden="1" outlineLevel="1" x14ac:dyDescent="0.2">
      <c r="A14019" s="23" t="str">
        <f>HYPERLINK("https://www.spark-marketing.ru/Card/Person/78666", "ГУП МО ""МОБТИ""")</f>
        <v>ГУП МО "МОБТИ"</v>
      </c>
      <c r="B14019" s="24" t="s">
        <v>3213</v>
      </c>
      <c r="C14019" s="28" t="s">
        <v>52</v>
      </c>
      <c r="D14019" s="22" t="s">
        <v>16212</v>
      </c>
      <c r="E14019" s="22" t="s">
        <v>144</v>
      </c>
      <c r="F14019" s="23" t="str">
        <f>HYPERLINK("https://www.spark-marketing.ru/Card/Lot/68196383", "Запрос котировок в электронной форме на право заключения договора на оказание услуг по охране объекта посредством контроля подключенной к пульту центрального наблюдения системы тревожного оповещения, установленной в Пушкинском отделе Королевского фил...")</f>
        <v>Запрос котировок в электронной форме на право заключения договора на оказание услуг по охране объекта посредством контроля подключенной к пульту центрального наблюдения системы тревожного оповещения, установленной в Пушкинском отделе Королевского фил...</v>
      </c>
      <c r="G14019" s="22" t="s">
        <v>50</v>
      </c>
      <c r="H14019" s="22" t="s">
        <v>50</v>
      </c>
      <c r="I14019" s="26">
        <v>43518.653668981497</v>
      </c>
      <c r="J14019" s="23" t="str">
        <f>HYPERLINK("https://www.spark-marketing.ru/Card/Person/397191", "ООО ""ОП ""СПН ЦЕНТР""")</f>
        <v>ООО "ОП "СПН ЦЕНТР"</v>
      </c>
      <c r="K14019" s="24" t="s">
        <v>16214</v>
      </c>
      <c r="L14019" s="28" t="s">
        <v>52</v>
      </c>
      <c r="M14019" s="25">
        <v>3500</v>
      </c>
      <c r="N14019" s="27">
        <v>0.97000002399998075</v>
      </c>
    </row>
    <row r="14020" spans="1:14" hidden="1" outlineLevel="1" x14ac:dyDescent="0.2">
      <c r="A14020" s="23" t="str">
        <f>HYPERLINK("https://www.spark-marketing.ru/Card/Person/78666", "ГУП МО ""МОБТИ""")</f>
        <v>ГУП МО "МОБТИ"</v>
      </c>
      <c r="B14020" s="24" t="s">
        <v>3213</v>
      </c>
      <c r="C14020" s="28" t="s">
        <v>52</v>
      </c>
      <c r="D14020" s="22" t="s">
        <v>16212</v>
      </c>
      <c r="E14020" s="22" t="s">
        <v>144</v>
      </c>
      <c r="F14020" s="23" t="str">
        <f>HYPERLINK("https://www.spark-marketing.ru/Card/Lot/68196383", "Запрос котировок в электронной форме на право заключения договора на оказание услуг по охране объекта посредством контроля подключенной к пульту центрального наблюдения системы тревожного оповещения, установленной в Пушкинском отделе Королевского фил...")</f>
        <v>Запрос котировок в электронной форме на право заключения договора на оказание услуг по охране объекта посредством контроля подключенной к пульту центрального наблюдения системы тревожного оповещения, установленной в Пушкинском отделе Королевского фил...</v>
      </c>
      <c r="G14020" s="22" t="s">
        <v>50</v>
      </c>
      <c r="H14020" s="22" t="s">
        <v>50</v>
      </c>
      <c r="I14020" s="26">
        <v>43518.653668981497</v>
      </c>
      <c r="J14020" s="23" t="str">
        <f>HYPERLINK("https://www.spark-marketing.ru/Card/Person/2573844", "ООО ЧОП ""ЕДИНСТВО""")</f>
        <v>ООО ЧОП "ЕДИНСТВО"</v>
      </c>
      <c r="K14020" s="24" t="s">
        <v>16215</v>
      </c>
      <c r="L14020" s="28" t="s">
        <v>52</v>
      </c>
      <c r="M14020" s="25">
        <v>100800</v>
      </c>
      <c r="N14020" s="27">
        <v>0.13600069119944705</v>
      </c>
    </row>
    <row r="14021" spans="1:14" hidden="1" outlineLevel="1" x14ac:dyDescent="0.2">
      <c r="A14021" s="23" t="str">
        <f>HYPERLINK("https://www.spark-marketing.ru/Card/Person/78666", "ГУП МО ""МОБТИ""")</f>
        <v>ГУП МО "МОБТИ"</v>
      </c>
      <c r="B14021" s="24" t="s">
        <v>3213</v>
      </c>
      <c r="C14021" s="28" t="s">
        <v>52</v>
      </c>
      <c r="D14021" s="22" t="s">
        <v>16212</v>
      </c>
      <c r="E14021" s="22" t="s">
        <v>144</v>
      </c>
      <c r="F14021" s="23" t="str">
        <f>HYPERLINK("https://www.spark-marketing.ru/Card/Lot/68196383", "Запрос котировок в электронной форме на право заключения договора на оказание услуг по охране объекта посредством контроля подключенной к пульту центрального наблюдения системы тревожного оповещения, установленной в Пушкинском отделе Королевского фил...")</f>
        <v>Запрос котировок в электронной форме на право заключения договора на оказание услуг по охране объекта посредством контроля подключенной к пульту центрального наблюдения системы тревожного оповещения, установленной в Пушкинском отделе Королевского фил...</v>
      </c>
      <c r="G14021" s="22" t="s">
        <v>50</v>
      </c>
      <c r="H14021" s="22" t="s">
        <v>50</v>
      </c>
      <c r="I14021" s="26">
        <v>43518.653668981497</v>
      </c>
      <c r="J14021" s="23" t="str">
        <f>HYPERLINK("https://www.spark-marketing.ru/Card/Person/145351", "ООО ЧОП ""АРГО С""")</f>
        <v>ООО ЧОП "АРГО С"</v>
      </c>
      <c r="K14021" s="24" t="s">
        <v>16216</v>
      </c>
      <c r="L14021" s="28" t="s">
        <v>52</v>
      </c>
      <c r="M14021" s="25">
        <v>110000</v>
      </c>
      <c r="N14021" s="27">
        <v>5.7143611427967998E-2</v>
      </c>
    </row>
    <row r="14022" spans="1:14" x14ac:dyDescent="0.15">
      <c r="A14022" s="23" t="str">
        <f>HYPERLINK("https://www.spark-marketing.ru/Card/Person/4346065", "ГКУ ""УПРАВЛЕНИЕ САХАЛИНАВТОДОР""")</f>
        <v>ГКУ "УПРАВЛЕНИЕ САХАЛИНАВТОДОР"</v>
      </c>
      <c r="B14022" s="24" t="s">
        <v>16217</v>
      </c>
      <c r="C14022" s="25">
        <v>4032000</v>
      </c>
      <c r="D14022" s="22" t="s">
        <v>16218</v>
      </c>
      <c r="E14022" s="22" t="s">
        <v>491</v>
      </c>
      <c r="F14022" s="23" t="str">
        <f>HYPERLINK("https://www.spark-marketing.ru/Card/Lot/68174688", "Оказание услуг по разработке планов обеспечения транспортной безопасности объектов транспортной инфраструктуры дорожного хозяйства Сахалинской области")</f>
        <v>Оказание услуг по разработке планов обеспечения транспортной безопасности объектов транспортной инфраструктуры дорожного хозяйства Сахалинской области</v>
      </c>
      <c r="G14022" s="22" t="s">
        <v>69</v>
      </c>
      <c r="H14022" s="22" t="s">
        <v>973</v>
      </c>
      <c r="I14022" s="26">
        <v>43518.6430555556</v>
      </c>
      <c r="J14022" s="28" t="s">
        <v>52</v>
      </c>
      <c r="K14022" s="28" t="s">
        <v>52</v>
      </c>
      <c r="L14022" s="28" t="s">
        <v>52</v>
      </c>
      <c r="M14022" s="28" t="s">
        <v>52</v>
      </c>
      <c r="N14022" s="28" t="s">
        <v>52</v>
      </c>
    </row>
    <row r="14023" spans="1:14" ht="12.75" hidden="1" outlineLevel="1" x14ac:dyDescent="0.2">
      <c r="A14023" s="23" t="str">
        <f>HYPERLINK("https://www.spark-marketing.ru/Card/Person/4346065", "ГКУ ""УПРАВЛЕНИЕ САХАЛИНАВТОДОР""")</f>
        <v>ГКУ "УПРАВЛЕНИЕ САХАЛИНАВТОДОР"</v>
      </c>
      <c r="B14023" s="24" t="s">
        <v>16217</v>
      </c>
      <c r="C14023" s="25">
        <v>4032000</v>
      </c>
      <c r="D14023" s="22" t="s">
        <v>16218</v>
      </c>
      <c r="E14023" s="22" t="s">
        <v>491</v>
      </c>
      <c r="F14023" s="23" t="str">
        <f>HYPERLINK("https://www.spark-marketing.ru/Card/Lot/68174688", "Оказание услуг по разработке планов обеспечения транспортной безопасности объектов транспортной инфраструктуры дорожного хозяйства Сахалинской области")</f>
        <v>Оказание услуг по разработке планов обеспечения транспортной безопасности объектов транспортной инфраструктуры дорожного хозяйства Сахалинской области</v>
      </c>
      <c r="G14023" s="22" t="s">
        <v>69</v>
      </c>
      <c r="H14023" s="22" t="s">
        <v>973</v>
      </c>
      <c r="I14023" s="26">
        <v>43518.6430555556</v>
      </c>
      <c r="J14023" s="23" t="str">
        <f>HYPERLINK("https://www.spark-marketing.ru/Card/Person/2038990", "ООО ""СТБ""")</f>
        <v>ООО "СТБ"</v>
      </c>
      <c r="K14023" s="24" t="s">
        <v>2244</v>
      </c>
      <c r="L14023" s="22" t="s">
        <v>10</v>
      </c>
      <c r="M14023" s="25">
        <v>4032000</v>
      </c>
      <c r="N14023" s="27">
        <v>0</v>
      </c>
    </row>
    <row r="14024" spans="1:14" hidden="1" outlineLevel="1" x14ac:dyDescent="0.2">
      <c r="A14024" s="23" t="str">
        <f>HYPERLINK("https://www.spark-marketing.ru/Card/Person/4346065", "ГКУ ""УПРАВЛЕНИЕ САХАЛИНАВТОДОР""")</f>
        <v>ГКУ "УПРАВЛЕНИЕ САХАЛИНАВТОДОР"</v>
      </c>
      <c r="B14024" s="24" t="s">
        <v>16217</v>
      </c>
      <c r="C14024" s="25">
        <v>4032000</v>
      </c>
      <c r="D14024" s="22" t="s">
        <v>16218</v>
      </c>
      <c r="E14024" s="22" t="s">
        <v>491</v>
      </c>
      <c r="F14024" s="23" t="str">
        <f>HYPERLINK("https://www.spark-marketing.ru/Card/Lot/68174688", "Оказание услуг по разработке планов обеспечения транспортной безопасности объектов транспортной инфраструктуры дорожного хозяйства Сахалинской области")</f>
        <v>Оказание услуг по разработке планов обеспечения транспортной безопасности объектов транспортной инфраструктуры дорожного хозяйства Сахалинской области</v>
      </c>
      <c r="G14024" s="22" t="s">
        <v>69</v>
      </c>
      <c r="H14024" s="22" t="s">
        <v>973</v>
      </c>
      <c r="I14024" s="26">
        <v>43518.6430555556</v>
      </c>
      <c r="J14024" s="23" t="str">
        <f>HYPERLINK("https://www.spark-marketing.ru/Card/Person/2003773", "ООО ""СЗИТЦ""")</f>
        <v>ООО "СЗИТЦ"</v>
      </c>
      <c r="K14024" s="24" t="s">
        <v>6055</v>
      </c>
      <c r="L14024" s="28" t="s">
        <v>52</v>
      </c>
      <c r="M14024" s="25">
        <v>4032000</v>
      </c>
      <c r="N14024" s="27">
        <v>0</v>
      </c>
    </row>
    <row r="14025" spans="1:14" x14ac:dyDescent="0.15">
      <c r="A14025" s="23" t="str">
        <f>HYPERLINK("https://www.spark-marketing.ru/Card/Person/1043163", "МБУДО ДМШ ПОС.ЛЕСНЫЕ ПОЛЯНЫ")</f>
        <v>МБУДО ДМШ ПОС.ЛЕСНЫЕ ПОЛЯНЫ</v>
      </c>
      <c r="B14025" s="24" t="s">
        <v>16219</v>
      </c>
      <c r="C14025" s="25">
        <v>15000</v>
      </c>
      <c r="D14025" s="22" t="s">
        <v>16220</v>
      </c>
      <c r="E14025" s="22" t="s">
        <v>103</v>
      </c>
      <c r="F14025" s="23" t="str">
        <f>HYPERLINK("https://www.spark-marketing.ru/Card/Lot/68189706", "Оказание услуг по обслуживанию комплекса технических средств системы видеонаблюдения")</f>
        <v>Оказание услуг по обслуживанию комплекса технических средств системы видеонаблюдения</v>
      </c>
      <c r="G14025" s="22" t="s">
        <v>50</v>
      </c>
      <c r="H14025" s="22" t="s">
        <v>76</v>
      </c>
      <c r="I14025" s="26">
        <v>43518.586631944403</v>
      </c>
      <c r="J14025" s="28" t="s">
        <v>52</v>
      </c>
      <c r="K14025" s="28" t="s">
        <v>52</v>
      </c>
      <c r="L14025" s="28" t="s">
        <v>52</v>
      </c>
      <c r="M14025" s="28" t="s">
        <v>52</v>
      </c>
      <c r="N14025" s="28" t="s">
        <v>52</v>
      </c>
    </row>
    <row r="14026" spans="1:14" x14ac:dyDescent="0.15">
      <c r="A14026" s="23" t="str">
        <f>HYPERLINK("https://www.spark-marketing.ru/Card/Person/4345935", "ДЕПАРТАМЕНТ СМОЛЕНСКОЙ ОБЛАСТИ ПО ЗДРАВООХРАНЕНИЮ")</f>
        <v>ДЕПАРТАМЕНТ СМОЛЕНСКОЙ ОБЛАСТИ ПО ЗДРАВООХРАНЕНИЮ</v>
      </c>
      <c r="B14026" s="24" t="s">
        <v>1449</v>
      </c>
      <c r="C14026" s="25">
        <v>774115.2</v>
      </c>
      <c r="D14026" s="22" t="s">
        <v>16221</v>
      </c>
      <c r="E14026" s="22" t="s">
        <v>53</v>
      </c>
      <c r="F14026" s="23" t="str">
        <f>HYPERLINK("https://www.spark-marketing.ru/Card/Lot/68194186", "№ 0506-АЭФ/Т Поставка лекарственных препаратов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отпускаемыми по рецепт...")</f>
        <v>№ 0506-АЭФ/Т Поставка лекарственных препаратов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отпускаемыми по рецепт...</v>
      </c>
      <c r="G14026" s="22" t="s">
        <v>956</v>
      </c>
      <c r="H14026" s="22" t="s">
        <v>1451</v>
      </c>
      <c r="I14026" s="26">
        <v>43518.602083333302</v>
      </c>
      <c r="J14026" s="28" t="s">
        <v>52</v>
      </c>
      <c r="K14026" s="28" t="s">
        <v>52</v>
      </c>
      <c r="L14026" s="28" t="s">
        <v>52</v>
      </c>
      <c r="M14026" s="28" t="s">
        <v>52</v>
      </c>
      <c r="N14026" s="28" t="s">
        <v>52</v>
      </c>
    </row>
    <row r="14027" spans="1:14" x14ac:dyDescent="0.15">
      <c r="A14027" s="23" t="str">
        <f>HYPERLINK("https://www.spark-marketing.ru/Card/Person/29503", "АО ""КОНЦЕРН ""СОЗВЕЗДИЕ""")</f>
        <v>АО "КОНЦЕРН "СОЗВЕЗДИЕ"</v>
      </c>
      <c r="B14027" s="24" t="s">
        <v>2299</v>
      </c>
      <c r="C14027" s="25">
        <v>4501450</v>
      </c>
      <c r="D14027" s="22" t="s">
        <v>16222</v>
      </c>
      <c r="E14027" s="22" t="s">
        <v>144</v>
      </c>
      <c r="F14027" s="23" t="str">
        <f>HYPERLINK("https://www.spark-marketing.ru/Card/Lot/68190432", "Оказание услуг, связанных с сопровождением специального груза АО ""Концерн ""Созвездие"" в период его транспортировки в пункты назначения (доставки) на территории РФ на специально оборудованном для этих целей техническом транспорте ФГКУ")</f>
        <v>Оказание услуг, связанных с сопровождением специального груза АО "Концерн "Созвездие" в период его транспортировки в пункты назначения (доставки) на территории РФ на специально оборудованном для этих целей техническом транспорте ФГКУ</v>
      </c>
      <c r="G14027" s="22" t="s">
        <v>552</v>
      </c>
      <c r="H14027" s="22" t="s">
        <v>552</v>
      </c>
      <c r="I14027" s="26">
        <v>43518.587025462999</v>
      </c>
      <c r="J14027" s="28" t="s">
        <v>52</v>
      </c>
      <c r="K14027" s="28" t="s">
        <v>52</v>
      </c>
      <c r="L14027" s="28" t="s">
        <v>52</v>
      </c>
      <c r="M14027" s="28" t="s">
        <v>52</v>
      </c>
      <c r="N14027" s="28" t="s">
        <v>52</v>
      </c>
    </row>
    <row r="14028" spans="1:14" x14ac:dyDescent="0.15">
      <c r="A14028" s="23" t="str">
        <f>HYPERLINK("https://www.spark-marketing.ru/Card/Person/21941", "КАРЕЛЬСКАЯ ТАМОЖНЯ")</f>
        <v>КАРЕЛЬСКАЯ ТАМОЖНЯ</v>
      </c>
      <c r="B14028" s="24" t="s">
        <v>16223</v>
      </c>
      <c r="C14028" s="25">
        <v>43800</v>
      </c>
      <c r="D14028" s="22" t="s">
        <v>16224</v>
      </c>
      <c r="E14028" s="22" t="s">
        <v>68</v>
      </c>
      <c r="F14028" s="23" t="str">
        <f>HYPERLINK("https://www.spark-marketing.ru/Card/Lot/68194549", "Оказание услуг по охране объектов")</f>
        <v>Оказание услуг по охране объектов</v>
      </c>
      <c r="G14028" s="22" t="s">
        <v>435</v>
      </c>
      <c r="H14028" s="22" t="s">
        <v>435</v>
      </c>
      <c r="I14028" s="26">
        <v>43518.6118055556</v>
      </c>
      <c r="J14028" s="28" t="s">
        <v>52</v>
      </c>
      <c r="K14028" s="28" t="s">
        <v>52</v>
      </c>
      <c r="L14028" s="28" t="s">
        <v>52</v>
      </c>
      <c r="M14028" s="28" t="s">
        <v>52</v>
      </c>
      <c r="N14028" s="28" t="s">
        <v>52</v>
      </c>
    </row>
    <row r="14029" spans="1:14" x14ac:dyDescent="0.15">
      <c r="A14029" s="23" t="str">
        <f>HYPERLINK("https://www.spark-marketing.ru/Card/Person/21941", "КАРЕЛЬСКАЯ ТАМОЖНЯ")</f>
        <v>КАРЕЛЬСКАЯ ТАМОЖНЯ</v>
      </c>
      <c r="B14029" s="24" t="s">
        <v>16223</v>
      </c>
      <c r="C14029" s="25">
        <v>67788</v>
      </c>
      <c r="D14029" s="22" t="s">
        <v>16225</v>
      </c>
      <c r="E14029" s="22" t="s">
        <v>68</v>
      </c>
      <c r="F14029" s="23" t="str">
        <f>HYPERLINK("https://www.spark-marketing.ru/Card/Lot/68194367", "Оказание услуг по охране объектов")</f>
        <v>Оказание услуг по охране объектов</v>
      </c>
      <c r="G14029" s="22" t="s">
        <v>435</v>
      </c>
      <c r="H14029" s="22" t="s">
        <v>435</v>
      </c>
      <c r="I14029" s="26">
        <v>43518.611111111102</v>
      </c>
      <c r="J14029" s="28" t="s">
        <v>52</v>
      </c>
      <c r="K14029" s="28" t="s">
        <v>52</v>
      </c>
      <c r="L14029" s="28" t="s">
        <v>52</v>
      </c>
      <c r="M14029" s="28" t="s">
        <v>52</v>
      </c>
      <c r="N14029" s="28" t="s">
        <v>52</v>
      </c>
    </row>
    <row r="14030" spans="1:14" x14ac:dyDescent="0.15">
      <c r="A14030" s="23" t="str">
        <f>HYPERLINK("https://www.spark-marketing.ru/Card/Person/21941", "КАРЕЛЬСКАЯ ТАМОЖНЯ")</f>
        <v>КАРЕЛЬСКАЯ ТАМОЖНЯ</v>
      </c>
      <c r="B14030" s="24" t="s">
        <v>16223</v>
      </c>
      <c r="C14030" s="25">
        <v>367200</v>
      </c>
      <c r="D14030" s="22" t="s">
        <v>16226</v>
      </c>
      <c r="E14030" s="22" t="s">
        <v>68</v>
      </c>
      <c r="F14030" s="23" t="str">
        <f>HYPERLINK("https://www.spark-marketing.ru/Card/Lot/68194749", "Оказание услуг по охране объектов")</f>
        <v>Оказание услуг по охране объектов</v>
      </c>
      <c r="G14030" s="22" t="s">
        <v>435</v>
      </c>
      <c r="H14030" s="22" t="s">
        <v>435</v>
      </c>
      <c r="I14030" s="26">
        <v>43518.613194444399</v>
      </c>
      <c r="J14030" s="28" t="s">
        <v>52</v>
      </c>
      <c r="K14030" s="28" t="s">
        <v>52</v>
      </c>
      <c r="L14030" s="28" t="s">
        <v>52</v>
      </c>
      <c r="M14030" s="28" t="s">
        <v>52</v>
      </c>
      <c r="N14030" s="28" t="s">
        <v>52</v>
      </c>
    </row>
    <row r="14031" spans="1:14" x14ac:dyDescent="0.15">
      <c r="A14031" s="23" t="str">
        <f>HYPERLINK("https://www.spark-marketing.ru/Card/Person/21941", "КАРЕЛЬСКАЯ ТАМОЖНЯ")</f>
        <v>КАРЕЛЬСКАЯ ТАМОЖНЯ</v>
      </c>
      <c r="B14031" s="24" t="s">
        <v>16223</v>
      </c>
      <c r="C14031" s="25">
        <v>187498.56</v>
      </c>
      <c r="D14031" s="22" t="s">
        <v>16227</v>
      </c>
      <c r="E14031" s="22" t="s">
        <v>68</v>
      </c>
      <c r="F14031" s="23" t="str">
        <f>HYPERLINK("https://www.spark-marketing.ru/Card/Lot/68194291", "Оказание услуг по охране объектов")</f>
        <v>Оказание услуг по охране объектов</v>
      </c>
      <c r="G14031" s="22" t="s">
        <v>435</v>
      </c>
      <c r="H14031" s="22" t="s">
        <v>435</v>
      </c>
      <c r="I14031" s="26">
        <v>43518.6118055556</v>
      </c>
      <c r="J14031" s="28" t="s">
        <v>52</v>
      </c>
      <c r="K14031" s="28" t="s">
        <v>52</v>
      </c>
      <c r="L14031" s="28" t="s">
        <v>52</v>
      </c>
      <c r="M14031" s="28" t="s">
        <v>52</v>
      </c>
      <c r="N14031" s="28" t="s">
        <v>52</v>
      </c>
    </row>
    <row r="14032" spans="1:14" x14ac:dyDescent="0.15">
      <c r="A14032" s="23" t="str">
        <f>HYPERLINK("https://www.spark-marketing.ru/Card/Person/72296", "РОСТОВСКИЙ ОБЛАСТНОЙ СУД")</f>
        <v>РОСТОВСКИЙ ОБЛАСТНОЙ СУД</v>
      </c>
      <c r="B14032" s="24" t="s">
        <v>16228</v>
      </c>
      <c r="C14032" s="25">
        <v>3291602.2</v>
      </c>
      <c r="D14032" s="22" t="s">
        <v>16229</v>
      </c>
      <c r="E14032" s="22" t="s">
        <v>68</v>
      </c>
      <c r="F14032" s="23" t="str">
        <f>HYPERLINK("https://www.spark-marketing.ru/Card/Lot/68194457", "Оказание услуг по военизированной охране объектов Ростовского областного суда")</f>
        <v>Оказание услуг по военизированной охране объектов Ростовского областного суда</v>
      </c>
      <c r="G14032" s="22" t="s">
        <v>402</v>
      </c>
      <c r="H14032" s="22" t="s">
        <v>402</v>
      </c>
      <c r="I14032" s="26">
        <v>43518.620833333298</v>
      </c>
      <c r="J14032" s="23" t="str">
        <f>HYPERLINK("https://www.spark-marketing.ru/Card/Person/10487", "ФГУП ""ОХРАНА"" РОСГВАРДИИ")</f>
        <v>ФГУП "ОХРАНА" РОСГВАРДИИ</v>
      </c>
      <c r="K14032" s="24" t="s">
        <v>779</v>
      </c>
      <c r="L14032" s="22" t="s">
        <v>10</v>
      </c>
      <c r="M14032" s="28" t="s">
        <v>52</v>
      </c>
      <c r="N14032" s="28" t="s">
        <v>52</v>
      </c>
    </row>
    <row r="14033" spans="1:14" x14ac:dyDescent="0.15">
      <c r="A14033" s="23" t="str">
        <f>HYPERLINK("https://www.spark-marketing.ru/Card/Person/243504", "МБУЗ АР ""СТОМАТОЛОГИЧЕСКАЯ ПОЛИКЛИНИКА""")</f>
        <v>МБУЗ АР "СТОМАТОЛОГИЧЕСКАЯ ПОЛИКЛИНИКА"</v>
      </c>
      <c r="B14033" s="24" t="s">
        <v>16230</v>
      </c>
      <c r="C14033" s="25">
        <v>627000</v>
      </c>
      <c r="D14033" s="22" t="s">
        <v>16231</v>
      </c>
      <c r="E14033" s="22" t="s">
        <v>68</v>
      </c>
      <c r="F14033" s="23" t="str">
        <f>HYPERLINK("https://www.spark-marketing.ru/Card/Lot/68191085", "охрана здания и общественного порядка МБУЗ АР ""Стоматологическая поликлиника""")</f>
        <v>охрана здания и общественного порядка МБУЗ АР "Стоматологическая поликлиника"</v>
      </c>
      <c r="G14033" s="22" t="s">
        <v>402</v>
      </c>
      <c r="H14033" s="22" t="s">
        <v>6422</v>
      </c>
      <c r="I14033" s="26">
        <v>43518.5493055556</v>
      </c>
      <c r="J14033" s="28" t="s">
        <v>52</v>
      </c>
      <c r="K14033" s="28" t="s">
        <v>52</v>
      </c>
      <c r="L14033" s="28" t="s">
        <v>52</v>
      </c>
      <c r="M14033" s="28" t="s">
        <v>52</v>
      </c>
      <c r="N14033" s="28" t="s">
        <v>52</v>
      </c>
    </row>
    <row r="14034" spans="1:14" hidden="1" outlineLevel="1" x14ac:dyDescent="0.2">
      <c r="A14034" s="23" t="str">
        <f>HYPERLINK("https://www.spark-marketing.ru/Card/Person/243504", "МБУЗ АР ""СТОМАТОЛОГИЧЕСКАЯ ПОЛИКЛИНИКА""")</f>
        <v>МБУЗ АР "СТОМАТОЛОГИЧЕСКАЯ ПОЛИКЛИНИКА"</v>
      </c>
      <c r="B14034" s="24" t="s">
        <v>16230</v>
      </c>
      <c r="C14034" s="25">
        <v>627000</v>
      </c>
      <c r="D14034" s="22" t="s">
        <v>16231</v>
      </c>
      <c r="E14034" s="22" t="s">
        <v>68</v>
      </c>
      <c r="F14034" s="23" t="str">
        <f>HYPERLINK("https://www.spark-marketing.ru/Card/Lot/68191085", "охрана здания и общественного порядка МБУЗ АР ""Стоматологическая поликлиника""")</f>
        <v>охрана здания и общественного порядка МБУЗ АР "Стоматологическая поликлиника"</v>
      </c>
      <c r="G14034" s="22" t="s">
        <v>402</v>
      </c>
      <c r="H14034" s="22" t="s">
        <v>6422</v>
      </c>
      <c r="I14034" s="26">
        <v>43518.5493055556</v>
      </c>
      <c r="J14034" s="23" t="str">
        <f>HYPERLINK("https://www.spark-marketing.ru/Card/Person/791629", "ООО ""ЧОО ""АЛЬЯНС БЕЗОПАСНОСТИ""")</f>
        <v>ООО "ЧОО "АЛЬЯНС БЕЗОПАСНОСТИ"</v>
      </c>
      <c r="K14034" s="24" t="s">
        <v>16232</v>
      </c>
      <c r="L14034" s="28" t="s">
        <v>52</v>
      </c>
      <c r="M14034" s="25">
        <v>586245</v>
      </c>
      <c r="N14034" s="27">
        <v>6.5000000000000002E-2</v>
      </c>
    </row>
    <row r="14035" spans="1:14" hidden="1" outlineLevel="1" x14ac:dyDescent="0.2">
      <c r="A14035" s="23" t="str">
        <f>HYPERLINK("https://www.spark-marketing.ru/Card/Person/243504", "МБУЗ АР ""СТОМАТОЛОГИЧЕСКАЯ ПОЛИКЛИНИКА""")</f>
        <v>МБУЗ АР "СТОМАТОЛОГИЧЕСКАЯ ПОЛИКЛИНИКА"</v>
      </c>
      <c r="B14035" s="24" t="s">
        <v>16230</v>
      </c>
      <c r="C14035" s="25">
        <v>627000</v>
      </c>
      <c r="D14035" s="22" t="s">
        <v>16231</v>
      </c>
      <c r="E14035" s="22" t="s">
        <v>68</v>
      </c>
      <c r="F14035" s="23" t="str">
        <f>HYPERLINK("https://www.spark-marketing.ru/Card/Lot/68191085", "охрана здания и общественного порядка МБУЗ АР ""Стоматологическая поликлиника""")</f>
        <v>охрана здания и общественного порядка МБУЗ АР "Стоматологическая поликлиника"</v>
      </c>
      <c r="G14035" s="22" t="s">
        <v>402</v>
      </c>
      <c r="H14035" s="22" t="s">
        <v>6422</v>
      </c>
      <c r="I14035" s="26">
        <v>43518.5493055556</v>
      </c>
      <c r="J14035" s="23" t="str">
        <f>HYPERLINK("https://www.spark-marketing.ru/Card/Person/66787", "ООО ""ЧОО ""ФОРМУЛА БЕЗОПАСНОСТИ""")</f>
        <v>ООО "ЧОО "ФОРМУЛА БЕЗОПАСНОСТИ"</v>
      </c>
      <c r="K14035" s="24" t="s">
        <v>16233</v>
      </c>
      <c r="L14035" s="28" t="s">
        <v>52</v>
      </c>
      <c r="M14035" s="25">
        <v>520410</v>
      </c>
      <c r="N14035" s="27">
        <v>0.17</v>
      </c>
    </row>
    <row r="14036" spans="1:14" ht="12.75" hidden="1" outlineLevel="1" x14ac:dyDescent="0.2">
      <c r="A14036" s="23" t="str">
        <f>HYPERLINK("https://www.spark-marketing.ru/Card/Person/243504", "МБУЗ АР ""СТОМАТОЛОГИЧЕСКАЯ ПОЛИКЛИНИКА""")</f>
        <v>МБУЗ АР "СТОМАТОЛОГИЧЕСКАЯ ПОЛИКЛИНИКА"</v>
      </c>
      <c r="B14036" s="24" t="s">
        <v>16230</v>
      </c>
      <c r="C14036" s="25">
        <v>627000</v>
      </c>
      <c r="D14036" s="22" t="s">
        <v>16231</v>
      </c>
      <c r="E14036" s="22" t="s">
        <v>68</v>
      </c>
      <c r="F14036" s="23" t="str">
        <f>HYPERLINK("https://www.spark-marketing.ru/Card/Lot/68191085", "охрана здания и общественного порядка МБУЗ АР ""Стоматологическая поликлиника""")</f>
        <v>охрана здания и общественного порядка МБУЗ АР "Стоматологическая поликлиника"</v>
      </c>
      <c r="G14036" s="22" t="s">
        <v>402</v>
      </c>
      <c r="H14036" s="22" t="s">
        <v>6422</v>
      </c>
      <c r="I14036" s="26">
        <v>43518.5493055556</v>
      </c>
      <c r="J14036" s="23" t="str">
        <f>HYPERLINK("https://www.spark-marketing.ru/Card/Person/6380542", "ООО ""ОА ""ФЕНИКС""")</f>
        <v>ООО "ОА "ФЕНИКС"</v>
      </c>
      <c r="K14036" s="24" t="s">
        <v>16234</v>
      </c>
      <c r="L14036" s="22" t="s">
        <v>10</v>
      </c>
      <c r="M14036" s="25">
        <v>492195</v>
      </c>
      <c r="N14036" s="27">
        <v>0.215</v>
      </c>
    </row>
    <row r="14037" spans="1:14" hidden="1" outlineLevel="1" x14ac:dyDescent="0.2">
      <c r="A14037" s="23" t="str">
        <f>HYPERLINK("https://www.spark-marketing.ru/Card/Person/243504", "МБУЗ АР ""СТОМАТОЛОГИЧЕСКАЯ ПОЛИКЛИНИКА""")</f>
        <v>МБУЗ АР "СТОМАТОЛОГИЧЕСКАЯ ПОЛИКЛИНИКА"</v>
      </c>
      <c r="B14037" s="24" t="s">
        <v>16230</v>
      </c>
      <c r="C14037" s="25">
        <v>627000</v>
      </c>
      <c r="D14037" s="22" t="s">
        <v>16231</v>
      </c>
      <c r="E14037" s="22" t="s">
        <v>68</v>
      </c>
      <c r="F14037" s="23" t="str">
        <f>HYPERLINK("https://www.spark-marketing.ru/Card/Lot/68191085", "охрана здания и общественного порядка МБУЗ АР ""Стоматологическая поликлиника""")</f>
        <v>охрана здания и общественного порядка МБУЗ АР "Стоматологическая поликлиника"</v>
      </c>
      <c r="G14037" s="22" t="s">
        <v>402</v>
      </c>
      <c r="H14037" s="22" t="s">
        <v>6422</v>
      </c>
      <c r="I14037" s="26">
        <v>43518.5493055556</v>
      </c>
      <c r="J14037" s="23" t="str">
        <f>HYPERLINK("https://www.spark-marketing.ru/Card/Person/56618", "ООО ЧОО ""ИСКАНДЕР""")</f>
        <v>ООО ЧОО "ИСКАНДЕР"</v>
      </c>
      <c r="K14037" s="24" t="s">
        <v>3814</v>
      </c>
      <c r="L14037" s="28" t="s">
        <v>52</v>
      </c>
      <c r="M14037" s="25">
        <v>495330</v>
      </c>
      <c r="N14037" s="27">
        <v>0.21</v>
      </c>
    </row>
    <row r="14038" spans="1:14" x14ac:dyDescent="0.15">
      <c r="A14038" s="23" t="str">
        <f>HYPERLINK("https://www.spark-marketing.ru/Card/Person/1030526", "МБУ ФСО ""СШОР ПО ЗИМНИМ ВИДАМ СПОРТА""")</f>
        <v>МБУ ФСО "СШОР ПО ЗИМНИМ ВИДАМ СПОРТА"</v>
      </c>
      <c r="B14038" s="24" t="s">
        <v>16235</v>
      </c>
      <c r="C14038" s="25">
        <v>195000</v>
      </c>
      <c r="D14038" s="22" t="s">
        <v>16236</v>
      </c>
      <c r="E14038" s="22" t="s">
        <v>84</v>
      </c>
      <c r="F14038" s="23" t="str">
        <f>HYPERLINK("https://www.spark-marketing.ru/Card/Lot/68186832", "Услуги по установке сисетмы видеонаблюдения с подключением к системе оперативного управления ""Безопасный регион""")</f>
        <v>Услуги по установке сисетмы видеонаблюдения с подключением к системе оперативного управления "Безопасный регион"</v>
      </c>
      <c r="G14038" s="22" t="s">
        <v>50</v>
      </c>
      <c r="H14038" s="22" t="s">
        <v>682</v>
      </c>
      <c r="I14038" s="26">
        <v>43518.544930555603</v>
      </c>
      <c r="J14038" s="28" t="s">
        <v>52</v>
      </c>
      <c r="K14038" s="28" t="s">
        <v>52</v>
      </c>
      <c r="L14038" s="28" t="s">
        <v>52</v>
      </c>
      <c r="M14038" s="28" t="s">
        <v>52</v>
      </c>
      <c r="N14038" s="28" t="s">
        <v>52</v>
      </c>
    </row>
    <row r="14039" spans="1:14" x14ac:dyDescent="0.15">
      <c r="A14039" s="23" t="str">
        <f>HYPERLINK("https://www.spark-marketing.ru/Card/Person/151666", "МБОУ ""СОШ С УИОП № 2""")</f>
        <v>МБОУ "СОШ С УИОП № 2"</v>
      </c>
      <c r="B14039" s="24" t="s">
        <v>16237</v>
      </c>
      <c r="C14039" s="25">
        <v>520716.63</v>
      </c>
      <c r="D14039" s="22" t="s">
        <v>16238</v>
      </c>
      <c r="E14039" s="22" t="s">
        <v>14766</v>
      </c>
      <c r="F14039" s="23" t="str">
        <f>HYPERLINK("https://www.spark-marketing.ru/Card/Lot/68191397", "Поставка, установка и ввод в эксплуатацию оборудования региональной системы видео трансляции и видео протоколирования в пунктах проведения экзаменов для нужд МБОУ «Средняя общеобразовательная школа с углубленным изучением отдельных предметов № 2»")</f>
        <v>Поставка, установка и ввод в эксплуатацию оборудования региональной системы видео трансляции и видео протоколирования в пунктах проведения экзаменов для нужд МБОУ «Средняя общеобразовательная школа с углубленным изучением отдельных предметов № 2»</v>
      </c>
      <c r="G14039" s="22" t="s">
        <v>50</v>
      </c>
      <c r="H14039" s="22" t="s">
        <v>2283</v>
      </c>
      <c r="I14039" s="26">
        <v>43518.577083333301</v>
      </c>
      <c r="J14039" s="28" t="s">
        <v>52</v>
      </c>
      <c r="K14039" s="28" t="s">
        <v>52</v>
      </c>
      <c r="L14039" s="28" t="s">
        <v>52</v>
      </c>
      <c r="M14039" s="28" t="s">
        <v>52</v>
      </c>
      <c r="N14039" s="28" t="s">
        <v>52</v>
      </c>
    </row>
    <row r="14040" spans="1:14" hidden="1" outlineLevel="1" x14ac:dyDescent="0.2">
      <c r="A14040" s="23" t="str">
        <f>HYPERLINK("https://www.spark-marketing.ru/Card/Person/151666", "МБОУ ""СОШ С УИОП № 2""")</f>
        <v>МБОУ "СОШ С УИОП № 2"</v>
      </c>
      <c r="B14040" s="24" t="s">
        <v>16237</v>
      </c>
      <c r="C14040" s="25">
        <v>520716.63</v>
      </c>
      <c r="D14040" s="22" t="s">
        <v>16238</v>
      </c>
      <c r="E14040" s="22" t="s">
        <v>14766</v>
      </c>
      <c r="F14040" s="23" t="str">
        <f>HYPERLINK("https://www.spark-marketing.ru/Card/Lot/68191397", "Поставка, установка и ввод в эксплуатацию оборудования региональной системы видео трансляции и видео протоколирования в пунктах проведения экзаменов для нужд МБОУ «Средняя общеобразовательная школа с углубленным изучением отдельных предметов № 2»")</f>
        <v>Поставка, установка и ввод в эксплуатацию оборудования региональной системы видео трансляции и видео протоколирования в пунктах проведения экзаменов для нужд МБОУ «Средняя общеобразовательная школа с углубленным изучением отдельных предметов № 2»</v>
      </c>
      <c r="G14040" s="22" t="s">
        <v>50</v>
      </c>
      <c r="H14040" s="22" t="s">
        <v>2283</v>
      </c>
      <c r="I14040" s="26">
        <v>43518.577083333301</v>
      </c>
      <c r="J14040" s="23" t="str">
        <f>HYPERLINK("https://www.spark-marketing.ru/Card/Person/76451", "ООО ""БИС""")</f>
        <v>ООО "БИС"</v>
      </c>
      <c r="K14040" s="24" t="s">
        <v>6528</v>
      </c>
      <c r="L14040" s="28" t="s">
        <v>52</v>
      </c>
      <c r="M14040" s="25">
        <v>518113.05</v>
      </c>
      <c r="N14040" s="27">
        <v>4.9999939506445183E-3</v>
      </c>
    </row>
    <row r="14041" spans="1:14" ht="12.75" hidden="1" outlineLevel="1" x14ac:dyDescent="0.2">
      <c r="A14041" s="23" t="str">
        <f>HYPERLINK("https://www.spark-marketing.ru/Card/Person/151666", "МБОУ ""СОШ С УИОП № 2""")</f>
        <v>МБОУ "СОШ С УИОП № 2"</v>
      </c>
      <c r="B14041" s="24" t="s">
        <v>16237</v>
      </c>
      <c r="C14041" s="25">
        <v>520716.63</v>
      </c>
      <c r="D14041" s="22" t="s">
        <v>16238</v>
      </c>
      <c r="E14041" s="22" t="s">
        <v>14766</v>
      </c>
      <c r="F14041" s="23" t="str">
        <f>HYPERLINK("https://www.spark-marketing.ru/Card/Lot/68191397", "Поставка, установка и ввод в эксплуатацию оборудования региональной системы видео трансляции и видео протоколирования в пунктах проведения экзаменов для нужд МБОУ «Средняя общеобразовательная школа с углубленным изучением отдельных предметов № 2»")</f>
        <v>Поставка, установка и ввод в эксплуатацию оборудования региональной системы видео трансляции и видео протоколирования в пунктах проведения экзаменов для нужд МБОУ «Средняя общеобразовательная школа с углубленным изучением отдельных предметов № 2»</v>
      </c>
      <c r="G14041" s="22" t="s">
        <v>50</v>
      </c>
      <c r="H14041" s="22" t="s">
        <v>2283</v>
      </c>
      <c r="I14041" s="26">
        <v>43518.577083333301</v>
      </c>
      <c r="J14041" s="23" t="str">
        <f>HYPERLINK("https://www.spark-marketing.ru/Card/Person/4856010", "ООО ""СФЕРА БЕЗОПАСНОСТИ""")</f>
        <v>ООО "СФЕРА БЕЗОПАСНОСТИ"</v>
      </c>
      <c r="K14041" s="24" t="s">
        <v>13278</v>
      </c>
      <c r="L14041" s="22" t="s">
        <v>10</v>
      </c>
      <c r="M14041" s="25">
        <v>515509.47</v>
      </c>
      <c r="N14041" s="27">
        <v>9.9999879012890366E-3</v>
      </c>
    </row>
    <row r="14042" spans="1:14" x14ac:dyDescent="0.15">
      <c r="A14042" s="23" t="str">
        <f t="shared" ref="A14042:A14051" si="740">HYPERLINK("https://www.spark-marketing.ru/Card/Person/2056351", "МАУК ГОЩ ""ТКЦ""ЩЁЛКОВСКИЙ ТЕАТР""")</f>
        <v>МАУК ГОЩ "ТКЦ"ЩЁЛКОВСКИЙ ТЕАТР"</v>
      </c>
      <c r="B14042" s="24" t="s">
        <v>16239</v>
      </c>
      <c r="C14042" s="25">
        <v>81600</v>
      </c>
      <c r="D14042" s="22" t="s">
        <v>16240</v>
      </c>
      <c r="E14042" s="22" t="s">
        <v>16241</v>
      </c>
      <c r="F14042" s="23" t="str">
        <f t="shared" ref="F14042:F14051" si="741">HYPERLINK("https://www.spark-marketing.ru/Card/Lot/68188070", "оказание услуг по обслуживанию системы видеонаблюдения")</f>
        <v>оказание услуг по обслуживанию системы видеонаблюдения</v>
      </c>
      <c r="G14042" s="22" t="s">
        <v>50</v>
      </c>
      <c r="H14042" s="22" t="s">
        <v>50</v>
      </c>
      <c r="I14042" s="26">
        <v>43518.5468287037</v>
      </c>
      <c r="J14042" s="28" t="s">
        <v>52</v>
      </c>
      <c r="K14042" s="28" t="s">
        <v>52</v>
      </c>
      <c r="L14042" s="28" t="s">
        <v>52</v>
      </c>
      <c r="M14042" s="28" t="s">
        <v>52</v>
      </c>
      <c r="N14042" s="28" t="s">
        <v>52</v>
      </c>
    </row>
    <row r="14043" spans="1:14" hidden="1" outlineLevel="1" x14ac:dyDescent="0.2">
      <c r="A14043" s="23" t="str">
        <f t="shared" si="740"/>
        <v>МАУК ГОЩ "ТКЦ"ЩЁЛКОВСКИЙ ТЕАТР"</v>
      </c>
      <c r="B14043" s="24" t="s">
        <v>16239</v>
      </c>
      <c r="C14043" s="28" t="s">
        <v>52</v>
      </c>
      <c r="D14043" s="22" t="s">
        <v>16240</v>
      </c>
      <c r="E14043" s="22" t="s">
        <v>16241</v>
      </c>
      <c r="F14043" s="23" t="str">
        <f t="shared" si="741"/>
        <v>оказание услуг по обслуживанию системы видеонаблюдения</v>
      </c>
      <c r="G14043" s="22" t="s">
        <v>50</v>
      </c>
      <c r="H14043" s="22" t="s">
        <v>50</v>
      </c>
      <c r="I14043" s="26">
        <v>43518.5468287037</v>
      </c>
      <c r="J14043" s="23" t="str">
        <f>HYPERLINK("https://www.spark-marketing.ru/Card/Person/378912", "ООО ""МИР""")</f>
        <v>ООО "МИР"</v>
      </c>
      <c r="K14043" s="24" t="s">
        <v>16242</v>
      </c>
      <c r="L14043" s="28" t="s">
        <v>52</v>
      </c>
      <c r="M14043" s="25">
        <v>59000</v>
      </c>
      <c r="N14043" s="27">
        <v>0.27696078431372551</v>
      </c>
    </row>
    <row r="14044" spans="1:14" hidden="1" outlineLevel="1" x14ac:dyDescent="0.2">
      <c r="A14044" s="23" t="str">
        <f t="shared" si="740"/>
        <v>МАУК ГОЩ "ТКЦ"ЩЁЛКОВСКИЙ ТЕАТР"</v>
      </c>
      <c r="B14044" s="24" t="s">
        <v>16239</v>
      </c>
      <c r="C14044" s="28" t="s">
        <v>52</v>
      </c>
      <c r="D14044" s="22" t="s">
        <v>16240</v>
      </c>
      <c r="E14044" s="22" t="s">
        <v>16241</v>
      </c>
      <c r="F14044" s="23" t="str">
        <f t="shared" si="741"/>
        <v>оказание услуг по обслуживанию системы видеонаблюдения</v>
      </c>
      <c r="G14044" s="22" t="s">
        <v>50</v>
      </c>
      <c r="H14044" s="22" t="s">
        <v>50</v>
      </c>
      <c r="I14044" s="26">
        <v>43518.5468287037</v>
      </c>
      <c r="J14044" s="23" t="str">
        <f>HYPERLINK("https://www.spark-marketing.ru/Card/Person/244300", "ООО ""СК СЕРВИС""")</f>
        <v>ООО "СК СЕРВИС"</v>
      </c>
      <c r="K14044" s="24" t="s">
        <v>2610</v>
      </c>
      <c r="L14044" s="22" t="s">
        <v>10</v>
      </c>
      <c r="M14044" s="25">
        <v>34400</v>
      </c>
      <c r="N14044" s="27">
        <v>0.57843137254901966</v>
      </c>
    </row>
    <row r="14045" spans="1:14" hidden="1" outlineLevel="1" x14ac:dyDescent="0.2">
      <c r="A14045" s="23" t="str">
        <f t="shared" si="740"/>
        <v>МАУК ГОЩ "ТКЦ"ЩЁЛКОВСКИЙ ТЕАТР"</v>
      </c>
      <c r="B14045" s="24" t="s">
        <v>16239</v>
      </c>
      <c r="C14045" s="28" t="s">
        <v>52</v>
      </c>
      <c r="D14045" s="22" t="s">
        <v>16240</v>
      </c>
      <c r="E14045" s="22" t="s">
        <v>16241</v>
      </c>
      <c r="F14045" s="23" t="str">
        <f t="shared" si="741"/>
        <v>оказание услуг по обслуживанию системы видеонаблюдения</v>
      </c>
      <c r="G14045" s="22" t="s">
        <v>50</v>
      </c>
      <c r="H14045" s="22" t="s">
        <v>50</v>
      </c>
      <c r="I14045" s="26">
        <v>43518.5468287037</v>
      </c>
      <c r="J14045" s="23" t="str">
        <f>HYPERLINK("https://www.spark-marketing.ru/Card/Person/375155", "ООО ""ПОИГ-ЩЕЛКОВО""")</f>
        <v>ООО "ПОИГ-ЩЕЛКОВО"</v>
      </c>
      <c r="K14045" s="24" t="s">
        <v>2611</v>
      </c>
      <c r="L14045" s="28" t="s">
        <v>52</v>
      </c>
      <c r="M14045" s="25">
        <v>49000</v>
      </c>
      <c r="N14045" s="27">
        <v>0.39950980392156865</v>
      </c>
    </row>
    <row r="14046" spans="1:14" hidden="1" outlineLevel="1" x14ac:dyDescent="0.2">
      <c r="A14046" s="23" t="str">
        <f t="shared" si="740"/>
        <v>МАУК ГОЩ "ТКЦ"ЩЁЛКОВСКИЙ ТЕАТР"</v>
      </c>
      <c r="B14046" s="24" t="s">
        <v>16239</v>
      </c>
      <c r="C14046" s="28" t="s">
        <v>52</v>
      </c>
      <c r="D14046" s="22" t="s">
        <v>16240</v>
      </c>
      <c r="E14046" s="22" t="s">
        <v>16241</v>
      </c>
      <c r="F14046" s="23" t="str">
        <f t="shared" si="741"/>
        <v>оказание услуг по обслуживанию системы видеонаблюдения</v>
      </c>
      <c r="G14046" s="22" t="s">
        <v>50</v>
      </c>
      <c r="H14046" s="22" t="s">
        <v>50</v>
      </c>
      <c r="I14046" s="26">
        <v>43518.5468287037</v>
      </c>
      <c r="J14046" s="23" t="str">
        <f>HYPERLINK("https://www.spark-marketing.ru/Card/Person/680814", "ООО ""СИГНАЛ-СЕРВИС""")</f>
        <v>ООО "СИГНАЛ-СЕРВИС"</v>
      </c>
      <c r="K14046" s="24" t="s">
        <v>14534</v>
      </c>
      <c r="L14046" s="28" t="s">
        <v>52</v>
      </c>
      <c r="M14046" s="25">
        <v>50000</v>
      </c>
      <c r="N14046" s="27">
        <v>0.38725490196078433</v>
      </c>
    </row>
    <row r="14047" spans="1:14" hidden="1" outlineLevel="1" x14ac:dyDescent="0.2">
      <c r="A14047" s="23" t="str">
        <f t="shared" si="740"/>
        <v>МАУК ГОЩ "ТКЦ"ЩЁЛКОВСКИЙ ТЕАТР"</v>
      </c>
      <c r="B14047" s="24" t="s">
        <v>16239</v>
      </c>
      <c r="C14047" s="28" t="s">
        <v>52</v>
      </c>
      <c r="D14047" s="22" t="s">
        <v>16240</v>
      </c>
      <c r="E14047" s="22" t="s">
        <v>16241</v>
      </c>
      <c r="F14047" s="23" t="str">
        <f t="shared" si="741"/>
        <v>оказание услуг по обслуживанию системы видеонаблюдения</v>
      </c>
      <c r="G14047" s="22" t="s">
        <v>50</v>
      </c>
      <c r="H14047" s="22" t="s">
        <v>50</v>
      </c>
      <c r="I14047" s="26">
        <v>43518.5468287037</v>
      </c>
      <c r="J14047" s="23" t="str">
        <f>HYPERLINK("https://www.spark-marketing.ru/Card/Person/6112837", "Сухов Максим Владимирович")</f>
        <v>Сухов Максим Владимирович</v>
      </c>
      <c r="K14047" s="24" t="s">
        <v>16243</v>
      </c>
      <c r="L14047" s="28" t="s">
        <v>52</v>
      </c>
      <c r="M14047" s="25">
        <v>60000</v>
      </c>
      <c r="N14047" s="27">
        <v>0.26470588235294118</v>
      </c>
    </row>
    <row r="14048" spans="1:14" hidden="1" outlineLevel="1" x14ac:dyDescent="0.2">
      <c r="A14048" s="23" t="str">
        <f t="shared" si="740"/>
        <v>МАУК ГОЩ "ТКЦ"ЩЁЛКОВСКИЙ ТЕАТР"</v>
      </c>
      <c r="B14048" s="24" t="s">
        <v>16239</v>
      </c>
      <c r="C14048" s="28" t="s">
        <v>52</v>
      </c>
      <c r="D14048" s="22" t="s">
        <v>16240</v>
      </c>
      <c r="E14048" s="22" t="s">
        <v>16241</v>
      </c>
      <c r="F14048" s="23" t="str">
        <f t="shared" si="741"/>
        <v>оказание услуг по обслуживанию системы видеонаблюдения</v>
      </c>
      <c r="G14048" s="22" t="s">
        <v>50</v>
      </c>
      <c r="H14048" s="22" t="s">
        <v>50</v>
      </c>
      <c r="I14048" s="26">
        <v>43518.5468287037</v>
      </c>
      <c r="J14048" s="23" t="str">
        <f>HYPERLINK("https://www.spark-marketing.ru/Card/Person/1750232", "ООО ""АЗБУКА СИСТЕМ БЕЗОПАСНОСТИ""")</f>
        <v>ООО "АЗБУКА СИСТЕМ БЕЗОПАСНОСТИ"</v>
      </c>
      <c r="K14048" s="24" t="s">
        <v>3162</v>
      </c>
      <c r="L14048" s="28" t="s">
        <v>52</v>
      </c>
      <c r="M14048" s="25">
        <v>68900</v>
      </c>
      <c r="N14048" s="27">
        <v>0.15563725490196079</v>
      </c>
    </row>
    <row r="14049" spans="1:14" hidden="1" outlineLevel="1" x14ac:dyDescent="0.2">
      <c r="A14049" s="23" t="str">
        <f t="shared" si="740"/>
        <v>МАУК ГОЩ "ТКЦ"ЩЁЛКОВСКИЙ ТЕАТР"</v>
      </c>
      <c r="B14049" s="24" t="s">
        <v>16239</v>
      </c>
      <c r="C14049" s="28" t="s">
        <v>52</v>
      </c>
      <c r="D14049" s="22" t="s">
        <v>16240</v>
      </c>
      <c r="E14049" s="22" t="s">
        <v>16241</v>
      </c>
      <c r="F14049" s="23" t="str">
        <f t="shared" si="741"/>
        <v>оказание услуг по обслуживанию системы видеонаблюдения</v>
      </c>
      <c r="G14049" s="22" t="s">
        <v>50</v>
      </c>
      <c r="H14049" s="22" t="s">
        <v>50</v>
      </c>
      <c r="I14049" s="26">
        <v>43518.5468287037</v>
      </c>
      <c r="J14049" s="23" t="str">
        <f>HYPERLINK("https://www.spark-marketing.ru/Card/Person/138497", "ООО ""ПТС""")</f>
        <v>ООО "ПТС"</v>
      </c>
      <c r="K14049" s="24" t="s">
        <v>9590</v>
      </c>
      <c r="L14049" s="28" t="s">
        <v>52</v>
      </c>
      <c r="M14049" s="25">
        <v>70000</v>
      </c>
      <c r="N14049" s="27">
        <v>0.14215686274509803</v>
      </c>
    </row>
    <row r="14050" spans="1:14" hidden="1" outlineLevel="1" x14ac:dyDescent="0.2">
      <c r="A14050" s="23" t="str">
        <f t="shared" si="740"/>
        <v>МАУК ГОЩ "ТКЦ"ЩЁЛКОВСКИЙ ТЕАТР"</v>
      </c>
      <c r="B14050" s="24" t="s">
        <v>16239</v>
      </c>
      <c r="C14050" s="28" t="s">
        <v>52</v>
      </c>
      <c r="D14050" s="22" t="s">
        <v>16240</v>
      </c>
      <c r="E14050" s="22" t="s">
        <v>16241</v>
      </c>
      <c r="F14050" s="23" t="str">
        <f t="shared" si="741"/>
        <v>оказание услуг по обслуживанию системы видеонаблюдения</v>
      </c>
      <c r="G14050" s="22" t="s">
        <v>50</v>
      </c>
      <c r="H14050" s="22" t="s">
        <v>50</v>
      </c>
      <c r="I14050" s="26">
        <v>43518.5468287037</v>
      </c>
      <c r="J14050" s="23" t="str">
        <f>HYPERLINK("https://www.spark-marketing.ru/Card/Person/65028", "ООО ""ИМПУЛЬС М""")</f>
        <v>ООО "ИМПУЛЬС М"</v>
      </c>
      <c r="K14050" s="24" t="s">
        <v>7268</v>
      </c>
      <c r="L14050" s="28" t="s">
        <v>52</v>
      </c>
      <c r="M14050" s="25">
        <v>70000</v>
      </c>
      <c r="N14050" s="27">
        <v>0.14215686274509803</v>
      </c>
    </row>
    <row r="14051" spans="1:14" hidden="1" outlineLevel="1" x14ac:dyDescent="0.2">
      <c r="A14051" s="23" t="str">
        <f t="shared" si="740"/>
        <v>МАУК ГОЩ "ТКЦ"ЩЁЛКОВСКИЙ ТЕАТР"</v>
      </c>
      <c r="B14051" s="24" t="s">
        <v>16239</v>
      </c>
      <c r="C14051" s="28" t="s">
        <v>52</v>
      </c>
      <c r="D14051" s="22" t="s">
        <v>16240</v>
      </c>
      <c r="E14051" s="22" t="s">
        <v>16241</v>
      </c>
      <c r="F14051" s="23" t="str">
        <f t="shared" si="741"/>
        <v>оказание услуг по обслуживанию системы видеонаблюдения</v>
      </c>
      <c r="G14051" s="22" t="s">
        <v>50</v>
      </c>
      <c r="H14051" s="22" t="s">
        <v>50</v>
      </c>
      <c r="I14051" s="26">
        <v>43518.5468287037</v>
      </c>
      <c r="J14051" s="23" t="str">
        <f>HYPERLINK("https://www.spark-marketing.ru/Card/Person/1686384", "ООО ""РЕСУРС""")</f>
        <v>ООО "РЕСУРС"</v>
      </c>
      <c r="K14051" s="24" t="s">
        <v>16244</v>
      </c>
      <c r="L14051" s="28" t="s">
        <v>52</v>
      </c>
      <c r="M14051" s="25">
        <v>81600</v>
      </c>
      <c r="N14051" s="27">
        <v>0</v>
      </c>
    </row>
    <row r="14052" spans="1:14" x14ac:dyDescent="0.15">
      <c r="A14052" s="23" t="str">
        <f>HYPERLINK("https://www.spark-marketing.ru/Card/Person/1763172", "МАОУ БАРЫБИНСКАЯ СОШ")</f>
        <v>МАОУ БАРЫБИНСКАЯ СОШ</v>
      </c>
      <c r="B14052" s="24" t="s">
        <v>11714</v>
      </c>
      <c r="C14052" s="25">
        <v>32000</v>
      </c>
      <c r="D14052" s="22" t="s">
        <v>16245</v>
      </c>
      <c r="E14052" s="22" t="s">
        <v>107</v>
      </c>
      <c r="F14052" s="23" t="str">
        <f>HYPERLINK("https://www.spark-marketing.ru/Card/Lot/68189676", "Оказание услуг по техническому обслуживанию (содержанию) систем охранной (противовзломной) сигнализации")</f>
        <v>Оказание услуг по техническому обслуживанию (содержанию) систем охранной (противовзломной) сигнализации</v>
      </c>
      <c r="G14052" s="22" t="s">
        <v>50</v>
      </c>
      <c r="H14052" s="22" t="s">
        <v>4782</v>
      </c>
      <c r="I14052" s="26">
        <v>43518.565567129597</v>
      </c>
      <c r="J14052" s="28" t="s">
        <v>52</v>
      </c>
      <c r="K14052" s="28" t="s">
        <v>52</v>
      </c>
      <c r="L14052" s="28" t="s">
        <v>52</v>
      </c>
      <c r="M14052" s="28" t="s">
        <v>52</v>
      </c>
      <c r="N14052" s="28" t="s">
        <v>52</v>
      </c>
    </row>
    <row r="14053" spans="1:14" x14ac:dyDescent="0.15">
      <c r="A14053" s="23" t="str">
        <f>HYPERLINK("https://www.spark-marketing.ru/Card/Person/1042490", "МОУ ""РАМЕНСКАЯ СОШ""")</f>
        <v>МОУ "РАМЕНСКАЯ СОШ"</v>
      </c>
      <c r="B14053" s="24" t="s">
        <v>11510</v>
      </c>
      <c r="C14053" s="25">
        <v>69600</v>
      </c>
      <c r="D14053" s="22" t="s">
        <v>16246</v>
      </c>
      <c r="E14053" s="22" t="s">
        <v>103</v>
      </c>
      <c r="F14053" s="23" t="str">
        <f>HYPERLINK("https://www.spark-marketing.ru/Card/Lot/68186760", "Оказание услуг по обслуживанию видеонаблюдения школы")</f>
        <v>Оказание услуг по обслуживанию видеонаблюдения школы</v>
      </c>
      <c r="G14053" s="22" t="s">
        <v>50</v>
      </c>
      <c r="H14053" s="22" t="s">
        <v>3526</v>
      </c>
      <c r="I14053" s="26">
        <v>43518.513888888898</v>
      </c>
      <c r="J14053" s="28" t="s">
        <v>52</v>
      </c>
      <c r="K14053" s="28" t="s">
        <v>52</v>
      </c>
      <c r="L14053" s="28" t="s">
        <v>52</v>
      </c>
      <c r="M14053" s="28" t="s">
        <v>52</v>
      </c>
      <c r="N14053" s="28" t="s">
        <v>52</v>
      </c>
    </row>
    <row r="14054" spans="1:14" x14ac:dyDescent="0.15">
      <c r="A14054" s="23" t="str">
        <f>HYPERLINK("https://www.spark-marketing.ru/Card/Person/141918", "МУЗЕЙ-ЗАПОВЕДНИК В.Д. ПОЛЕНОВА")</f>
        <v>МУЗЕЙ-ЗАПОВЕДНИК В.Д. ПОЛЕНОВА</v>
      </c>
      <c r="B14054" s="24" t="s">
        <v>16247</v>
      </c>
      <c r="C14054" s="25">
        <v>1826087.76</v>
      </c>
      <c r="D14054" s="22" t="s">
        <v>16248</v>
      </c>
      <c r="E14054" s="22" t="s">
        <v>68</v>
      </c>
      <c r="F14054" s="23" t="str">
        <f>HYPERLINK("https://www.spark-marketing.ru/Card/Lot/68185879", "Охрана объектов музея стационарными постами полиции - п.6 ч.1 ст.93")</f>
        <v>Охрана объектов музея стационарными постами полиции - п.6 ч.1 ст.93</v>
      </c>
      <c r="G14054" s="22" t="s">
        <v>818</v>
      </c>
      <c r="H14054" s="22" t="s">
        <v>16249</v>
      </c>
      <c r="I14054" s="26">
        <v>43518.469444444403</v>
      </c>
      <c r="J14054" s="28" t="s">
        <v>52</v>
      </c>
      <c r="K14054" s="28" t="s">
        <v>52</v>
      </c>
      <c r="L14054" s="28" t="s">
        <v>52</v>
      </c>
      <c r="M14054" s="28" t="s">
        <v>52</v>
      </c>
      <c r="N14054" s="28" t="s">
        <v>52</v>
      </c>
    </row>
    <row r="14055" spans="1:14" x14ac:dyDescent="0.15">
      <c r="A14055" s="23" t="str">
        <f>HYPERLINK("https://www.spark-marketing.ru/Card/Person/999894", "МБУК ""ЦКР ""РАДУЖНЫЙ""")</f>
        <v>МБУК "ЦКР "РАДУЖНЫЙ"</v>
      </c>
      <c r="B14055" s="24" t="s">
        <v>16250</v>
      </c>
      <c r="C14055" s="25">
        <v>128500</v>
      </c>
      <c r="D14055" s="22" t="s">
        <v>16251</v>
      </c>
      <c r="E14055" s="22" t="s">
        <v>16252</v>
      </c>
      <c r="F14055" s="23" t="str">
        <f>HYPERLINK("https://www.spark-marketing.ru/Card/Lot/68181463", "Работы по установке экрана")</f>
        <v>Работы по установке экрана</v>
      </c>
      <c r="G14055" s="22" t="s">
        <v>176</v>
      </c>
      <c r="H14055" s="22" t="s">
        <v>6560</v>
      </c>
      <c r="I14055" s="26">
        <v>43518.469444444403</v>
      </c>
      <c r="J14055" s="28" t="s">
        <v>52</v>
      </c>
      <c r="K14055" s="28" t="s">
        <v>52</v>
      </c>
      <c r="L14055" s="28" t="s">
        <v>52</v>
      </c>
      <c r="M14055" s="28" t="s">
        <v>52</v>
      </c>
      <c r="N14055" s="28" t="s">
        <v>52</v>
      </c>
    </row>
    <row r="14056" spans="1:14" x14ac:dyDescent="0.15">
      <c r="A14056" s="23" t="str">
        <f>HYPERLINK("https://www.spark-marketing.ru/Card/Person/21855", "ФКУ УПРДОР ""ЮЖНЫЙ БАЙКАЛ""")</f>
        <v>ФКУ УПРДОР "ЮЖНЫЙ БАЙКАЛ"</v>
      </c>
      <c r="B14056" s="24" t="s">
        <v>358</v>
      </c>
      <c r="C14056" s="25">
        <v>13900810.5</v>
      </c>
      <c r="D14056" s="22" t="s">
        <v>16253</v>
      </c>
      <c r="E14056" s="22" t="s">
        <v>68</v>
      </c>
      <c r="F14056" s="23" t="str">
        <f>HYPERLINK("https://www.spark-marketing.ru/Card/Lot/68174318", "Охрана объектов транспортной инфраструктуры дорожного хозяйства на автомобильных дорогах общего пользования федерального значения, в том числе защита объектов транспортной инфраструктуры от противоправных посягательств, а также от актов незаконного в...")</f>
        <v>Охрана объектов транспортной инфраструктуры дорожного хозяйства на автомобильных дорогах общего пользования федерального значения, в том числе защита объектов транспортной инфраструктуры от противоправных посягательств, а также от актов незаконного в...</v>
      </c>
      <c r="G14056" s="22" t="s">
        <v>354</v>
      </c>
      <c r="H14056" s="22" t="s">
        <v>355</v>
      </c>
      <c r="I14056" s="26">
        <v>43518.489583333299</v>
      </c>
      <c r="J14056" s="28" t="s">
        <v>52</v>
      </c>
      <c r="K14056" s="28" t="s">
        <v>52</v>
      </c>
      <c r="L14056" s="28" t="s">
        <v>52</v>
      </c>
      <c r="M14056" s="28" t="s">
        <v>52</v>
      </c>
      <c r="N14056" s="28" t="s">
        <v>52</v>
      </c>
    </row>
    <row r="14057" spans="1:14" x14ac:dyDescent="0.15">
      <c r="A14057" s="23" t="str">
        <f>HYPERLINK("https://www.spark-marketing.ru/Card/Person/4345935", "ДЕПАРТАМЕНТ СМОЛЕНСКОЙ ОБЛАСТИ ПО ЗДРАВООХРАНЕНИЮ")</f>
        <v>ДЕПАРТАМЕНТ СМОЛЕНСКОЙ ОБЛАСТИ ПО ЗДРАВООХРАНЕНИЮ</v>
      </c>
      <c r="B14057" s="24" t="s">
        <v>1449</v>
      </c>
      <c r="C14057" s="25">
        <v>216358.8</v>
      </c>
      <c r="D14057" s="22" t="s">
        <v>16254</v>
      </c>
      <c r="E14057" s="22" t="s">
        <v>53</v>
      </c>
      <c r="F14057" s="23" t="str">
        <f>HYPERLINK("https://www.spark-marketing.ru/Card/Lot/68182945", "(0039-аэф/тк) Поставка лекарственных препаратов (Апремиласт)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f>
        <v>(0039-аэф/тк) Поставка лекарственных препаратов (Апремиласт)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v>
      </c>
      <c r="G14057" s="22" t="s">
        <v>956</v>
      </c>
      <c r="H14057" s="22" t="s">
        <v>1451</v>
      </c>
      <c r="I14057" s="26">
        <v>43518.479861111096</v>
      </c>
      <c r="J14057" s="23" t="str">
        <f>HYPERLINK("https://www.spark-marketing.ru/Card/Person/503084", "ООО ""ФАРМ-ИННОВАЦИИ""")</f>
        <v>ООО "ФАРМ-ИННОВАЦИИ"</v>
      </c>
      <c r="K14057" s="24" t="s">
        <v>2054</v>
      </c>
      <c r="L14057" s="22" t="s">
        <v>10</v>
      </c>
      <c r="M14057" s="28" t="s">
        <v>52</v>
      </c>
      <c r="N14057" s="28" t="s">
        <v>52</v>
      </c>
    </row>
    <row r="14058" spans="1:14" x14ac:dyDescent="0.15">
      <c r="A14058" s="23" t="str">
        <f t="shared" ref="A14058:A14063" si="742">HYPERLINK("https://www.spark-marketing.ru/Card/Person/69327", "МКУ Г.О. САМАРА ""ЦОМСПН""")</f>
        <v>МКУ Г.О. САМАРА "ЦОМСПН"</v>
      </c>
      <c r="B14058" s="24" t="s">
        <v>16255</v>
      </c>
      <c r="C14058" s="25">
        <v>20000</v>
      </c>
      <c r="D14058" s="22" t="s">
        <v>16256</v>
      </c>
      <c r="E14058" s="22" t="s">
        <v>103</v>
      </c>
      <c r="F14058" s="23" t="str">
        <f t="shared" ref="F14058:F14063" si="743">HYPERLINK("https://www.spark-marketing.ru/Card/Lot/68182200", "техническое обслуживание систем видеонаблюдения")</f>
        <v>техническое обслуживание систем видеонаблюдения</v>
      </c>
      <c r="G14058" s="22" t="s">
        <v>760</v>
      </c>
      <c r="H14058" s="22" t="s">
        <v>1709</v>
      </c>
      <c r="I14058" s="26">
        <v>43518.465277777803</v>
      </c>
      <c r="J14058" s="28" t="s">
        <v>52</v>
      </c>
      <c r="K14058" s="28" t="s">
        <v>52</v>
      </c>
      <c r="L14058" s="28" t="s">
        <v>52</v>
      </c>
      <c r="M14058" s="28" t="s">
        <v>52</v>
      </c>
      <c r="N14058" s="28" t="s">
        <v>52</v>
      </c>
    </row>
    <row r="14059" spans="1:14" hidden="1" outlineLevel="1" x14ac:dyDescent="0.2">
      <c r="A14059" s="23" t="str">
        <f t="shared" si="742"/>
        <v>МКУ Г.О. САМАРА "ЦОМСПН"</v>
      </c>
      <c r="B14059" s="24" t="s">
        <v>16255</v>
      </c>
      <c r="C14059" s="25">
        <v>20000</v>
      </c>
      <c r="D14059" s="22" t="s">
        <v>16256</v>
      </c>
      <c r="E14059" s="22" t="s">
        <v>103</v>
      </c>
      <c r="F14059" s="23" t="str">
        <f t="shared" si="743"/>
        <v>техническое обслуживание систем видеонаблюдения</v>
      </c>
      <c r="G14059" s="22" t="s">
        <v>760</v>
      </c>
      <c r="H14059" s="22" t="s">
        <v>1709</v>
      </c>
      <c r="I14059" s="26">
        <v>43518.465277777803</v>
      </c>
      <c r="J14059" s="23" t="str">
        <f>HYPERLINK("https://www.spark-marketing.ru/Card/Person/149755", "ООО ""АСПЕКТ""")</f>
        <v>ООО "АСПЕКТ"</v>
      </c>
      <c r="K14059" s="24" t="s">
        <v>16257</v>
      </c>
      <c r="L14059" s="28" t="s">
        <v>52</v>
      </c>
      <c r="M14059" s="25">
        <v>15376.92</v>
      </c>
      <c r="N14059" s="27">
        <v>0.231154</v>
      </c>
    </row>
    <row r="14060" spans="1:14" hidden="1" outlineLevel="1" x14ac:dyDescent="0.2">
      <c r="A14060" s="23" t="str">
        <f t="shared" si="742"/>
        <v>МКУ Г.О. САМАРА "ЦОМСПН"</v>
      </c>
      <c r="B14060" s="24" t="s">
        <v>16255</v>
      </c>
      <c r="C14060" s="25">
        <v>20000</v>
      </c>
      <c r="D14060" s="22" t="s">
        <v>16256</v>
      </c>
      <c r="E14060" s="22" t="s">
        <v>103</v>
      </c>
      <c r="F14060" s="23" t="str">
        <f t="shared" si="743"/>
        <v>техническое обслуживание систем видеонаблюдения</v>
      </c>
      <c r="G14060" s="22" t="s">
        <v>760</v>
      </c>
      <c r="H14060" s="22" t="s">
        <v>1709</v>
      </c>
      <c r="I14060" s="26">
        <v>43518.465277777803</v>
      </c>
      <c r="J14060" s="23" t="str">
        <f>HYPERLINK("https://www.spark-marketing.ru/Card/Person/53497", "ООО ""АЛЬФА-ПОЖАРНАЯ БЕЗОПАСНОСТЬ""")</f>
        <v>ООО "АЛЬФА-ПОЖАРНАЯ БЕЗОПАСНОСТЬ"</v>
      </c>
      <c r="K14060" s="24" t="s">
        <v>6375</v>
      </c>
      <c r="L14060" s="28" t="s">
        <v>52</v>
      </c>
      <c r="M14060" s="25">
        <v>15047.93</v>
      </c>
      <c r="N14060" s="27">
        <v>0.2476035</v>
      </c>
    </row>
    <row r="14061" spans="1:14" ht="12.75" hidden="1" outlineLevel="1" x14ac:dyDescent="0.2">
      <c r="A14061" s="23" t="str">
        <f t="shared" si="742"/>
        <v>МКУ Г.О. САМАРА "ЦОМСПН"</v>
      </c>
      <c r="B14061" s="24" t="s">
        <v>16255</v>
      </c>
      <c r="C14061" s="25">
        <v>20000</v>
      </c>
      <c r="D14061" s="22" t="s">
        <v>16256</v>
      </c>
      <c r="E14061" s="22" t="s">
        <v>103</v>
      </c>
      <c r="F14061" s="23" t="str">
        <f t="shared" si="743"/>
        <v>техническое обслуживание систем видеонаблюдения</v>
      </c>
      <c r="G14061" s="22" t="s">
        <v>760</v>
      </c>
      <c r="H14061" s="22" t="s">
        <v>1709</v>
      </c>
      <c r="I14061" s="26">
        <v>43518.465277777803</v>
      </c>
      <c r="J14061" s="23" t="str">
        <f>HYPERLINK("https://www.spark-marketing.ru/Card/Person/376325", "ООО ""ВАША БЕЗОПАСНОСТЬ""")</f>
        <v>ООО "ВАША БЕЗОПАСНОСТЬ"</v>
      </c>
      <c r="K14061" s="24" t="s">
        <v>4923</v>
      </c>
      <c r="L14061" s="22" t="s">
        <v>10</v>
      </c>
      <c r="M14061" s="25">
        <v>14947.93</v>
      </c>
      <c r="N14061" s="27">
        <v>0.25260349999999998</v>
      </c>
    </row>
    <row r="14062" spans="1:14" hidden="1" outlineLevel="1" x14ac:dyDescent="0.2">
      <c r="A14062" s="23" t="str">
        <f t="shared" si="742"/>
        <v>МКУ Г.О. САМАРА "ЦОМСПН"</v>
      </c>
      <c r="B14062" s="24" t="s">
        <v>16255</v>
      </c>
      <c r="C14062" s="25">
        <v>20000</v>
      </c>
      <c r="D14062" s="22" t="s">
        <v>16256</v>
      </c>
      <c r="E14062" s="22" t="s">
        <v>103</v>
      </c>
      <c r="F14062" s="23" t="str">
        <f t="shared" si="743"/>
        <v>техническое обслуживание систем видеонаблюдения</v>
      </c>
      <c r="G14062" s="22" t="s">
        <v>760</v>
      </c>
      <c r="H14062" s="22" t="s">
        <v>1709</v>
      </c>
      <c r="I14062" s="26">
        <v>43518.465277777803</v>
      </c>
      <c r="J14062" s="23" t="str">
        <f>HYPERLINK("https://www.spark-marketing.ru/Card/Person/92342", "ООО ""АБ-СЕРВИС""")</f>
        <v>ООО "АБ-СЕРВИС"</v>
      </c>
      <c r="K14062" s="24" t="s">
        <v>16258</v>
      </c>
      <c r="L14062" s="28" t="s">
        <v>52</v>
      </c>
      <c r="M14062" s="25">
        <v>16200</v>
      </c>
      <c r="N14062" s="27">
        <v>0.19</v>
      </c>
    </row>
    <row r="14063" spans="1:14" hidden="1" outlineLevel="1" x14ac:dyDescent="0.2">
      <c r="A14063" s="23" t="str">
        <f t="shared" si="742"/>
        <v>МКУ Г.О. САМАРА "ЦОМСПН"</v>
      </c>
      <c r="B14063" s="24" t="s">
        <v>16255</v>
      </c>
      <c r="C14063" s="25">
        <v>20000</v>
      </c>
      <c r="D14063" s="22" t="s">
        <v>16256</v>
      </c>
      <c r="E14063" s="22" t="s">
        <v>103</v>
      </c>
      <c r="F14063" s="23" t="str">
        <f t="shared" si="743"/>
        <v>техническое обслуживание систем видеонаблюдения</v>
      </c>
      <c r="G14063" s="22" t="s">
        <v>760</v>
      </c>
      <c r="H14063" s="22" t="s">
        <v>1709</v>
      </c>
      <c r="I14063" s="26">
        <v>43518.465277777803</v>
      </c>
      <c r="J14063" s="23" t="str">
        <f>HYPERLINK("https://www.spark-marketing.ru/Card/Person/6170057", "ООО ""ТЕХНОЭРА""")</f>
        <v>ООО "ТЕХНОЭРА"</v>
      </c>
      <c r="K14063" s="24" t="s">
        <v>4930</v>
      </c>
      <c r="L14063" s="28" t="s">
        <v>52</v>
      </c>
      <c r="M14063" s="25">
        <v>19600</v>
      </c>
      <c r="N14063" s="27">
        <v>0.02</v>
      </c>
    </row>
    <row r="14064" spans="1:14" x14ac:dyDescent="0.15">
      <c r="A14064" s="23" t="str">
        <f>HYPERLINK("https://www.spark-marketing.ru/Card/Person/141918", "МУЗЕЙ-ЗАПОВЕДНИК В.Д. ПОЛЕНОВА")</f>
        <v>МУЗЕЙ-ЗАПОВЕДНИК В.Д. ПОЛЕНОВА</v>
      </c>
      <c r="B14064" s="24" t="s">
        <v>16247</v>
      </c>
      <c r="C14064" s="25">
        <v>749155.2</v>
      </c>
      <c r="D14064" s="22" t="s">
        <v>16259</v>
      </c>
      <c r="E14064" s="22" t="s">
        <v>68</v>
      </c>
      <c r="F14064" s="23" t="str">
        <f>HYPERLINK("https://www.spark-marketing.ru/Card/Lot/68184668", "Охрана объектов музея с помощью комплекса технических средств охраны - п.6 ч.1 ст.93")</f>
        <v>Охрана объектов музея с помощью комплекса технических средств охраны - п.6 ч.1 ст.93</v>
      </c>
      <c r="G14064" s="22" t="s">
        <v>818</v>
      </c>
      <c r="H14064" s="22" t="s">
        <v>16249</v>
      </c>
      <c r="I14064" s="26">
        <v>43518.474305555603</v>
      </c>
      <c r="J14064" s="28" t="s">
        <v>52</v>
      </c>
      <c r="K14064" s="28" t="s">
        <v>52</v>
      </c>
      <c r="L14064" s="28" t="s">
        <v>52</v>
      </c>
      <c r="M14064" s="28" t="s">
        <v>52</v>
      </c>
      <c r="N14064" s="28" t="s">
        <v>52</v>
      </c>
    </row>
    <row r="14065" spans="1:14" x14ac:dyDescent="0.15">
      <c r="A14065" s="23" t="str">
        <f>HYPERLINK("https://www.spark-marketing.ru/Card/Person/127667", "ОГБУЗ ""ПОЛИКЛИНИКА №7""")</f>
        <v>ОГБУЗ "ПОЛИКЛИНИКА №7"</v>
      </c>
      <c r="B14065" s="24" t="s">
        <v>16260</v>
      </c>
      <c r="C14065" s="25">
        <v>110637</v>
      </c>
      <c r="D14065" s="22" t="s">
        <v>16261</v>
      </c>
      <c r="E14065" s="22" t="s">
        <v>52</v>
      </c>
      <c r="F14065" s="23" t="str">
        <f>HYPERLINK("https://www.spark-marketing.ru/Card/Lot/68183335", "0059-аэф/у Оказание услуг охраны имущества и реагирования на тревожные сигналы технических средств охраны для нужд ОГБУЗ «Поликлиника № 7» в 2019 году")</f>
        <v>0059-аэф/у Оказание услуг охраны имущества и реагирования на тревожные сигналы технических средств охраны для нужд ОГБУЗ «Поликлиника № 7» в 2019 году</v>
      </c>
      <c r="G14065" s="22" t="s">
        <v>956</v>
      </c>
      <c r="H14065" s="22" t="s">
        <v>1451</v>
      </c>
      <c r="I14065" s="26">
        <v>43518.452777777798</v>
      </c>
      <c r="J14065" s="28" t="s">
        <v>52</v>
      </c>
      <c r="K14065" s="28" t="s">
        <v>52</v>
      </c>
      <c r="L14065" s="28" t="s">
        <v>52</v>
      </c>
      <c r="M14065" s="28" t="s">
        <v>52</v>
      </c>
      <c r="N14065" s="28" t="s">
        <v>52</v>
      </c>
    </row>
    <row r="14066" spans="1:14" hidden="1" outlineLevel="1" x14ac:dyDescent="0.2">
      <c r="A14066" s="23" t="str">
        <f>HYPERLINK("https://www.spark-marketing.ru/Card/Person/127667", "ОГБУЗ ""ПОЛИКЛИНИКА №7""")</f>
        <v>ОГБУЗ "ПОЛИКЛИНИКА №7"</v>
      </c>
      <c r="B14066" s="24" t="s">
        <v>16260</v>
      </c>
      <c r="C14066" s="25">
        <v>110637</v>
      </c>
      <c r="D14066" s="22" t="s">
        <v>16261</v>
      </c>
      <c r="E14066" s="22" t="s">
        <v>52</v>
      </c>
      <c r="F14066" s="23" t="str">
        <f>HYPERLINK("https://www.spark-marketing.ru/Card/Lot/68183335", "0059-аэф/у Оказание услуг охраны имущества и реагирования на тревожные сигналы технических средств охраны для нужд ОГБУЗ «Поликлиника № 7» в 2019 году")</f>
        <v>0059-аэф/у Оказание услуг охраны имущества и реагирования на тревожные сигналы технических средств охраны для нужд ОГБУЗ «Поликлиника № 7» в 2019 году</v>
      </c>
      <c r="G14066" s="22" t="s">
        <v>956</v>
      </c>
      <c r="H14066" s="22" t="s">
        <v>1451</v>
      </c>
      <c r="I14066" s="26">
        <v>43518.452777777798</v>
      </c>
      <c r="J14066" s="23" t="str">
        <f>HYPERLINK("https://www.spark-marketing.ru/Card/Person/138283", "ООО ЧОП ""ОМЕГА""")</f>
        <v>ООО ЧОП "ОМЕГА"</v>
      </c>
      <c r="K14066" s="24" t="s">
        <v>16262</v>
      </c>
      <c r="L14066" s="28" t="s">
        <v>52</v>
      </c>
      <c r="M14066" s="25">
        <v>31531.48</v>
      </c>
      <c r="N14066" s="27">
        <v>0.71500058750689188</v>
      </c>
    </row>
    <row r="14067" spans="1:14" ht="12.75" hidden="1" outlineLevel="1" x14ac:dyDescent="0.2">
      <c r="A14067" s="23" t="str">
        <f>HYPERLINK("https://www.spark-marketing.ru/Card/Person/127667", "ОГБУЗ ""ПОЛИКЛИНИКА №7""")</f>
        <v>ОГБУЗ "ПОЛИКЛИНИКА №7"</v>
      </c>
      <c r="B14067" s="24" t="s">
        <v>16260</v>
      </c>
      <c r="C14067" s="25">
        <v>110637</v>
      </c>
      <c r="D14067" s="22" t="s">
        <v>16261</v>
      </c>
      <c r="E14067" s="22" t="s">
        <v>52</v>
      </c>
      <c r="F14067" s="23" t="str">
        <f>HYPERLINK("https://www.spark-marketing.ru/Card/Lot/68183335", "0059-аэф/у Оказание услуг охраны имущества и реагирования на тревожные сигналы технических средств охраны для нужд ОГБУЗ «Поликлиника № 7» в 2019 году")</f>
        <v>0059-аэф/у Оказание услуг охраны имущества и реагирования на тревожные сигналы технических средств охраны для нужд ОГБУЗ «Поликлиника № 7» в 2019 году</v>
      </c>
      <c r="G14067" s="22" t="s">
        <v>956</v>
      </c>
      <c r="H14067" s="22" t="s">
        <v>1451</v>
      </c>
      <c r="I14067" s="26">
        <v>43518.452777777798</v>
      </c>
      <c r="J14067" s="23" t="str">
        <f>HYPERLINK("https://www.spark-marketing.ru/Card/Person/18325", "ООО ЧОП ""ПЕРЕСВЕТ-СБ""")</f>
        <v>ООО ЧОП "ПЕРЕСВЕТ-СБ"</v>
      </c>
      <c r="K14067" s="24" t="s">
        <v>7965</v>
      </c>
      <c r="L14067" s="22" t="s">
        <v>10</v>
      </c>
      <c r="M14067" s="25">
        <v>20467.68</v>
      </c>
      <c r="N14067" s="27">
        <v>0.81500149136364863</v>
      </c>
    </row>
    <row r="14068" spans="1:14" hidden="1" outlineLevel="1" x14ac:dyDescent="0.2">
      <c r="A14068" s="23" t="str">
        <f>HYPERLINK("https://www.spark-marketing.ru/Card/Person/127667", "ОГБУЗ ""ПОЛИКЛИНИКА №7""")</f>
        <v>ОГБУЗ "ПОЛИКЛИНИКА №7"</v>
      </c>
      <c r="B14068" s="24" t="s">
        <v>16260</v>
      </c>
      <c r="C14068" s="25">
        <v>110637</v>
      </c>
      <c r="D14068" s="22" t="s">
        <v>16261</v>
      </c>
      <c r="E14068" s="22" t="s">
        <v>52</v>
      </c>
      <c r="F14068" s="23" t="str">
        <f>HYPERLINK("https://www.spark-marketing.ru/Card/Lot/68183335", "0059-аэф/у Оказание услуг охраны имущества и реагирования на тревожные сигналы технических средств охраны для нужд ОГБУЗ «Поликлиника № 7» в 2019 году")</f>
        <v>0059-аэф/у Оказание услуг охраны имущества и реагирования на тревожные сигналы технических средств охраны для нужд ОГБУЗ «Поликлиника № 7» в 2019 году</v>
      </c>
      <c r="G14068" s="22" t="s">
        <v>956</v>
      </c>
      <c r="H14068" s="22" t="s">
        <v>1451</v>
      </c>
      <c r="I14068" s="26">
        <v>43518.452777777798</v>
      </c>
      <c r="J14068" s="23" t="str">
        <f>HYPERLINK("https://www.spark-marketing.ru/Card/Person/5915815", "ООО ЧОП ""ФИЛИН""")</f>
        <v>ООО ЧОП "ФИЛИН"</v>
      </c>
      <c r="K14068" s="24" t="s">
        <v>8527</v>
      </c>
      <c r="L14068" s="28" t="s">
        <v>52</v>
      </c>
      <c r="M14068" s="25">
        <v>21020.87</v>
      </c>
      <c r="N14068" s="27">
        <v>0.81000144617081082</v>
      </c>
    </row>
    <row r="14069" spans="1:14" x14ac:dyDescent="0.15">
      <c r="A14069" s="23" t="str">
        <f>HYPERLINK("https://www.spark-marketing.ru/Card/Person/6491644", "ЗАКАЗЧИК С ПЛОЩАДКИ ОТС")</f>
        <v>ЗАКАЗЧИК С ПЛОЩАДКИ ОТС</v>
      </c>
      <c r="B14069" s="28" t="s">
        <v>52</v>
      </c>
      <c r="C14069" s="25">
        <v>36</v>
      </c>
      <c r="D14069" s="22" t="s">
        <v>16263</v>
      </c>
      <c r="E14069" s="22" t="s">
        <v>68</v>
      </c>
      <c r="F14069" s="23" t="str">
        <f>HYPERLINK("https://www.spark-marketing.ru/Card/Lot/68478408", "Предоставление услуг по военизированному сопровождению груза военного назначения по железной дороге: 1. В апреле - мае 2019 военизированное сопровождение 22 бронетранспортеров от ж/д станции ""Арзамас-2"" до морского порта РФ ""Новороссийск"". 2. В н...")</f>
        <v>Предоставление услуг по военизированному сопровождению груза военного назначения по железной дороге: 1. В апреле - мае 2019 военизированное сопровождение 22 бронетранспортеров от ж/д станции "Арзамас-2" до морского порта РФ "Новороссийск". 2. В н...</v>
      </c>
      <c r="G14069" s="22" t="s">
        <v>52</v>
      </c>
      <c r="H14069" s="22" t="s">
        <v>52</v>
      </c>
      <c r="I14069" s="26">
        <v>43518.444490740701</v>
      </c>
      <c r="J14069" s="28" t="s">
        <v>52</v>
      </c>
      <c r="K14069" s="28" t="s">
        <v>52</v>
      </c>
      <c r="L14069" s="28" t="s">
        <v>52</v>
      </c>
      <c r="M14069" s="28" t="s">
        <v>52</v>
      </c>
      <c r="N14069" s="28" t="s">
        <v>52</v>
      </c>
    </row>
    <row r="14070" spans="1:14" x14ac:dyDescent="0.15">
      <c r="A14070" s="23" t="str">
        <f>HYPERLINK("https://www.spark-marketing.ru/Card/Person/22808", "ГБУЗВО ""СЕЛИВАНОВСКАЯ ЦРБ""")</f>
        <v>ГБУЗВО "СЕЛИВАНОВСКАЯ ЦРБ"</v>
      </c>
      <c r="B14070" s="24" t="s">
        <v>16264</v>
      </c>
      <c r="C14070" s="25">
        <v>317554.56</v>
      </c>
      <c r="D14070" s="22" t="s">
        <v>16265</v>
      </c>
      <c r="E14070" s="22" t="s">
        <v>68</v>
      </c>
      <c r="F14070" s="23" t="str">
        <f>HYPERLINK("https://www.spark-marketing.ru/Card/Lot/68183196", "Оказание услуг по централизованной охране объекта и реагированию на сигналы ""Тревога"" с объекта для нужд ГБУЗ ВО ""Селивановская ЦРБ""")</f>
        <v>Оказание услуг по централизованной охране объекта и реагированию на сигналы "Тревога" с объекта для нужд ГБУЗ ВО "Селивановская ЦРБ"</v>
      </c>
      <c r="G14070" s="22" t="s">
        <v>145</v>
      </c>
      <c r="H14070" s="22" t="s">
        <v>16266</v>
      </c>
      <c r="I14070" s="26">
        <v>43518.445833333302</v>
      </c>
      <c r="J14070" s="28" t="s">
        <v>52</v>
      </c>
      <c r="K14070" s="28" t="s">
        <v>52</v>
      </c>
      <c r="L14070" s="28" t="s">
        <v>52</v>
      </c>
      <c r="M14070" s="28" t="s">
        <v>52</v>
      </c>
      <c r="N14070" s="28" t="s">
        <v>52</v>
      </c>
    </row>
    <row r="14071" spans="1:14" x14ac:dyDescent="0.15">
      <c r="A14071" s="23" t="str">
        <f>HYPERLINK("https://www.spark-marketing.ru/Card/Person/25354", "ГБУ ""РДКБ ИМ. Е.П. ГЛИНКИ""")</f>
        <v>ГБУ "РДКБ ИМ. Е.П. ГЛИНКИ"</v>
      </c>
      <c r="B14071" s="24" t="s">
        <v>16267</v>
      </c>
      <c r="C14071" s="25">
        <v>285926.40000000002</v>
      </c>
      <c r="D14071" s="22" t="s">
        <v>16268</v>
      </c>
      <c r="E14071" s="22" t="s">
        <v>52</v>
      </c>
      <c r="F14071" s="23" t="str">
        <f>HYPERLINK("https://www.spark-marketing.ru/Card/Lot/68184344", "Оказание услуг по охране объектов (помещений) больницы посредством ПЦО")</f>
        <v>Оказание услуг по охране объектов (помещений) больницы посредством ПЦО</v>
      </c>
      <c r="G14071" s="22" t="s">
        <v>724</v>
      </c>
      <c r="H14071" s="22" t="s">
        <v>5711</v>
      </c>
      <c r="I14071" s="26">
        <v>43518.456250000003</v>
      </c>
      <c r="J14071" s="28" t="s">
        <v>52</v>
      </c>
      <c r="K14071" s="28" t="s">
        <v>52</v>
      </c>
      <c r="L14071" s="28" t="s">
        <v>52</v>
      </c>
      <c r="M14071" s="28" t="s">
        <v>52</v>
      </c>
      <c r="N14071" s="28" t="s">
        <v>52</v>
      </c>
    </row>
    <row r="14072" spans="1:14" x14ac:dyDescent="0.15">
      <c r="A14072" s="23" t="str">
        <f>HYPERLINK("https://www.spark-marketing.ru/Card/Person/127667", "ОГБУЗ ""ПОЛИКЛИНИКА №7""")</f>
        <v>ОГБУЗ "ПОЛИКЛИНИКА №7"</v>
      </c>
      <c r="B14072" s="24" t="s">
        <v>16260</v>
      </c>
      <c r="C14072" s="25">
        <v>51678</v>
      </c>
      <c r="D14072" s="22" t="s">
        <v>16269</v>
      </c>
      <c r="E14072" s="22" t="s">
        <v>52</v>
      </c>
      <c r="F14072" s="23" t="str">
        <f>HYPERLINK("https://www.spark-marketing.ru/Card/Lot/68183454", "0057-аэф/у Оказание услуг по техническому обслуживанию системы охранной сигнализации для нужд ОГБУЗ «Поликлиника № 7» в 2019 году")</f>
        <v>0057-аэф/у Оказание услуг по техническому обслуживанию системы охранной сигнализации для нужд ОГБУЗ «Поликлиника № 7» в 2019 году</v>
      </c>
      <c r="G14072" s="22" t="s">
        <v>956</v>
      </c>
      <c r="H14072" s="22" t="s">
        <v>1451</v>
      </c>
      <c r="I14072" s="26">
        <v>43518.452777777798</v>
      </c>
      <c r="J14072" s="28" t="s">
        <v>52</v>
      </c>
      <c r="K14072" s="28" t="s">
        <v>52</v>
      </c>
      <c r="L14072" s="28" t="s">
        <v>52</v>
      </c>
      <c r="M14072" s="28" t="s">
        <v>52</v>
      </c>
      <c r="N14072" s="28" t="s">
        <v>52</v>
      </c>
    </row>
    <row r="14073" spans="1:14" hidden="1" outlineLevel="1" x14ac:dyDescent="0.2">
      <c r="A14073" s="23" t="str">
        <f>HYPERLINK("https://www.spark-marketing.ru/Card/Person/127667", "ОГБУЗ ""ПОЛИКЛИНИКА №7""")</f>
        <v>ОГБУЗ "ПОЛИКЛИНИКА №7"</v>
      </c>
      <c r="B14073" s="24" t="s">
        <v>16260</v>
      </c>
      <c r="C14073" s="25">
        <v>51678</v>
      </c>
      <c r="D14073" s="22" t="s">
        <v>16269</v>
      </c>
      <c r="E14073" s="22" t="s">
        <v>52</v>
      </c>
      <c r="F14073" s="23" t="str">
        <f>HYPERLINK("https://www.spark-marketing.ru/Card/Lot/68183454", "0057-аэф/у Оказание услуг по техническому обслуживанию системы охранной сигнализации для нужд ОГБУЗ «Поликлиника № 7» в 2019 году")</f>
        <v>0057-аэф/у Оказание услуг по техническому обслуживанию системы охранной сигнализации для нужд ОГБУЗ «Поликлиника № 7» в 2019 году</v>
      </c>
      <c r="G14073" s="22" t="s">
        <v>956</v>
      </c>
      <c r="H14073" s="22" t="s">
        <v>1451</v>
      </c>
      <c r="I14073" s="26">
        <v>43518.452777777798</v>
      </c>
      <c r="J14073" s="23" t="str">
        <f>HYPERLINK("https://www.spark-marketing.ru/Card/Person/138283", "ООО ЧОП ""ОМЕГА""")</f>
        <v>ООО ЧОП "ОМЕГА"</v>
      </c>
      <c r="K14073" s="24" t="s">
        <v>16262</v>
      </c>
      <c r="L14073" s="28" t="s">
        <v>52</v>
      </c>
      <c r="M14073" s="25">
        <v>12214.74</v>
      </c>
      <c r="N14073" s="27">
        <v>0.76363752467200741</v>
      </c>
    </row>
    <row r="14074" spans="1:14" hidden="1" outlineLevel="1" x14ac:dyDescent="0.2">
      <c r="A14074" s="23" t="str">
        <f>HYPERLINK("https://www.spark-marketing.ru/Card/Person/127667", "ОГБУЗ ""ПОЛИКЛИНИКА №7""")</f>
        <v>ОГБУЗ "ПОЛИКЛИНИКА №7"</v>
      </c>
      <c r="B14074" s="24" t="s">
        <v>16260</v>
      </c>
      <c r="C14074" s="25">
        <v>51678</v>
      </c>
      <c r="D14074" s="22" t="s">
        <v>16269</v>
      </c>
      <c r="E14074" s="22" t="s">
        <v>52</v>
      </c>
      <c r="F14074" s="23" t="str">
        <f>HYPERLINK("https://www.spark-marketing.ru/Card/Lot/68183454", "0057-аэф/у Оказание услуг по техническому обслуживанию системы охранной сигнализации для нужд ОГБУЗ «Поликлиника № 7» в 2019 году")</f>
        <v>0057-аэф/у Оказание услуг по техническому обслуживанию системы охранной сигнализации для нужд ОГБУЗ «Поликлиника № 7» в 2019 году</v>
      </c>
      <c r="G14074" s="22" t="s">
        <v>956</v>
      </c>
      <c r="H14074" s="22" t="s">
        <v>1451</v>
      </c>
      <c r="I14074" s="26">
        <v>43518.452777777798</v>
      </c>
      <c r="J14074" s="23" t="str">
        <f>HYPERLINK("https://www.spark-marketing.ru/Card/Person/536271", "ООО ""ГВАРД-СМ""")</f>
        <v>ООО "ГВАРД-СМ"</v>
      </c>
      <c r="K14074" s="24" t="s">
        <v>16270</v>
      </c>
      <c r="L14074" s="28" t="s">
        <v>52</v>
      </c>
      <c r="M14074" s="25">
        <v>14798.64</v>
      </c>
      <c r="N14074" s="27">
        <v>0.71363752467200747</v>
      </c>
    </row>
    <row r="14075" spans="1:14" ht="12.75" hidden="1" outlineLevel="1" x14ac:dyDescent="0.2">
      <c r="A14075" s="23" t="str">
        <f>HYPERLINK("https://www.spark-marketing.ru/Card/Person/127667", "ОГБУЗ ""ПОЛИКЛИНИКА №7""")</f>
        <v>ОГБУЗ "ПОЛИКЛИНИКА №7"</v>
      </c>
      <c r="B14075" s="24" t="s">
        <v>16260</v>
      </c>
      <c r="C14075" s="25">
        <v>51678</v>
      </c>
      <c r="D14075" s="22" t="s">
        <v>16269</v>
      </c>
      <c r="E14075" s="22" t="s">
        <v>52</v>
      </c>
      <c r="F14075" s="23" t="str">
        <f>HYPERLINK("https://www.spark-marketing.ru/Card/Lot/68183454", "0057-аэф/у Оказание услуг по техническому обслуживанию системы охранной сигнализации для нужд ОГБУЗ «Поликлиника № 7» в 2019 году")</f>
        <v>0057-аэф/у Оказание услуг по техническому обслуживанию системы охранной сигнализации для нужд ОГБУЗ «Поликлиника № 7» в 2019 году</v>
      </c>
      <c r="G14075" s="22" t="s">
        <v>956</v>
      </c>
      <c r="H14075" s="22" t="s">
        <v>1451</v>
      </c>
      <c r="I14075" s="26">
        <v>43518.452777777798</v>
      </c>
      <c r="J14075" s="23" t="str">
        <f>HYPERLINK("https://www.spark-marketing.ru/Card/Person/18325", "ООО ЧОП ""ПЕРЕСВЕТ-СБ""")</f>
        <v>ООО ЧОП "ПЕРЕСВЕТ-СБ"</v>
      </c>
      <c r="K14075" s="24" t="s">
        <v>7965</v>
      </c>
      <c r="L14075" s="22" t="s">
        <v>10</v>
      </c>
      <c r="M14075" s="25">
        <v>11956.35</v>
      </c>
      <c r="N14075" s="27">
        <v>0.76863752467200741</v>
      </c>
    </row>
    <row r="14076" spans="1:14" x14ac:dyDescent="0.15">
      <c r="A14076" s="23" t="str">
        <f>HYPERLINK("https://www.spark-marketing.ru/Card/Person/138180", "МБОУ ""СОШ С УИОП № 7""")</f>
        <v>МБОУ "СОШ С УИОП № 7"</v>
      </c>
      <c r="B14076" s="24" t="s">
        <v>16271</v>
      </c>
      <c r="C14076" s="25">
        <v>776249.95</v>
      </c>
      <c r="D14076" s="22" t="s">
        <v>16272</v>
      </c>
      <c r="E14076" s="22" t="s">
        <v>3238</v>
      </c>
      <c r="F14076" s="23" t="str">
        <f>HYPERLINK("https://www.spark-marketing.ru/Card/Lot/68182501", "Поставка, установка и ввод в эксплуатацию оборудования региональной системы видео трансляции и видео протоколирования в пунктах проведения экзаменов для нужд МБОУ «Средняя общеобразовательная школа с углубленным изучением отдельных предметов № 7»")</f>
        <v>Поставка, установка и ввод в эксплуатацию оборудования региональной системы видео трансляции и видео протоколирования в пунктах проведения экзаменов для нужд МБОУ «Средняя общеобразовательная школа с углубленным изучением отдельных предметов № 7»</v>
      </c>
      <c r="G14076" s="22" t="s">
        <v>50</v>
      </c>
      <c r="H14076" s="22" t="s">
        <v>2283</v>
      </c>
      <c r="I14076" s="26">
        <v>43518.438888888901</v>
      </c>
      <c r="J14076" s="28" t="s">
        <v>52</v>
      </c>
      <c r="K14076" s="28" t="s">
        <v>52</v>
      </c>
      <c r="L14076" s="28" t="s">
        <v>52</v>
      </c>
      <c r="M14076" s="28" t="s">
        <v>52</v>
      </c>
      <c r="N14076" s="28" t="s">
        <v>52</v>
      </c>
    </row>
    <row r="14077" spans="1:14" hidden="1" outlineLevel="1" x14ac:dyDescent="0.2">
      <c r="A14077" s="23" t="str">
        <f>HYPERLINK("https://www.spark-marketing.ru/Card/Person/138180", "МБОУ ""СОШ С УИОП № 7""")</f>
        <v>МБОУ "СОШ С УИОП № 7"</v>
      </c>
      <c r="B14077" s="24" t="s">
        <v>16271</v>
      </c>
      <c r="C14077" s="25">
        <v>776249.95</v>
      </c>
      <c r="D14077" s="22" t="s">
        <v>16272</v>
      </c>
      <c r="E14077" s="22" t="s">
        <v>3238</v>
      </c>
      <c r="F14077" s="23" t="str">
        <f>HYPERLINK("https://www.spark-marketing.ru/Card/Lot/68182501", "Поставка, установка и ввод в эксплуатацию оборудования региональной системы видео трансляции и видео протоколирования в пунктах проведения экзаменов для нужд МБОУ «Средняя общеобразовательная школа с углубленным изучением отдельных предметов № 7»")</f>
        <v>Поставка, установка и ввод в эксплуатацию оборудования региональной системы видео трансляции и видео протоколирования в пунктах проведения экзаменов для нужд МБОУ «Средняя общеобразовательная школа с углубленным изучением отдельных предметов № 7»</v>
      </c>
      <c r="G14077" s="22" t="s">
        <v>50</v>
      </c>
      <c r="H14077" s="22" t="s">
        <v>2283</v>
      </c>
      <c r="I14077" s="26">
        <v>43518.438888888901</v>
      </c>
      <c r="J14077" s="23" t="str">
        <f>HYPERLINK("https://www.spark-marketing.ru/Card/Person/76451", "ООО ""БИС""")</f>
        <v>ООО "БИС"</v>
      </c>
      <c r="K14077" s="24" t="s">
        <v>6528</v>
      </c>
      <c r="L14077" s="28" t="s">
        <v>52</v>
      </c>
      <c r="M14077" s="25">
        <v>772368.7</v>
      </c>
      <c r="N14077" s="27">
        <v>5.000000322061212E-3</v>
      </c>
    </row>
    <row r="14078" spans="1:14" ht="12.75" hidden="1" outlineLevel="1" x14ac:dyDescent="0.2">
      <c r="A14078" s="23" t="str">
        <f>HYPERLINK("https://www.spark-marketing.ru/Card/Person/138180", "МБОУ ""СОШ С УИОП № 7""")</f>
        <v>МБОУ "СОШ С УИОП № 7"</v>
      </c>
      <c r="B14078" s="24" t="s">
        <v>16271</v>
      </c>
      <c r="C14078" s="25">
        <v>776249.95</v>
      </c>
      <c r="D14078" s="22" t="s">
        <v>16272</v>
      </c>
      <c r="E14078" s="22" t="s">
        <v>3238</v>
      </c>
      <c r="F14078" s="23" t="str">
        <f>HYPERLINK("https://www.spark-marketing.ru/Card/Lot/68182501", "Поставка, установка и ввод в эксплуатацию оборудования региональной системы видео трансляции и видео протоколирования в пунктах проведения экзаменов для нужд МБОУ «Средняя общеобразовательная школа с углубленным изучением отдельных предметов № 7»")</f>
        <v>Поставка, установка и ввод в эксплуатацию оборудования региональной системы видео трансляции и видео протоколирования в пунктах проведения экзаменов для нужд МБОУ «Средняя общеобразовательная школа с углубленным изучением отдельных предметов № 7»</v>
      </c>
      <c r="G14078" s="22" t="s">
        <v>50</v>
      </c>
      <c r="H14078" s="22" t="s">
        <v>2283</v>
      </c>
      <c r="I14078" s="26">
        <v>43518.438888888901</v>
      </c>
      <c r="J14078" s="23" t="str">
        <f>HYPERLINK("https://www.spark-marketing.ru/Card/Person/4856010", "ООО ""СФЕРА БЕЗОПАСНОСТИ""")</f>
        <v>ООО "СФЕРА БЕЗОПАСНОСТИ"</v>
      </c>
      <c r="K14078" s="24" t="s">
        <v>13278</v>
      </c>
      <c r="L14078" s="22" t="s">
        <v>10</v>
      </c>
      <c r="M14078" s="25">
        <v>768487.45</v>
      </c>
      <c r="N14078" s="27">
        <v>1.0000000644122424E-2</v>
      </c>
    </row>
    <row r="14079" spans="1:14" x14ac:dyDescent="0.15">
      <c r="A14079" s="23" t="str">
        <f>HYPERLINK("https://www.spark-marketing.ru/Card/Person/4856575", "ГБУЗ МО ""БАЛАШИХИНСКИЙ РД""")</f>
        <v>ГБУЗ МО "БАЛАШИХИНСКИЙ РД"</v>
      </c>
      <c r="B14079" s="24" t="s">
        <v>16273</v>
      </c>
      <c r="C14079" s="25">
        <v>38160</v>
      </c>
      <c r="D14079" s="22" t="s">
        <v>16274</v>
      </c>
      <c r="E14079" s="22" t="s">
        <v>103</v>
      </c>
      <c r="F14079" s="23" t="str">
        <f>HYPERLINK("https://www.spark-marketing.ru/Card/Lot/68180450", "Услуга по ТО системы охранной сигнализации")</f>
        <v>Услуга по ТО системы охранной сигнализации</v>
      </c>
      <c r="G14079" s="22" t="s">
        <v>50</v>
      </c>
      <c r="H14079" s="22" t="s">
        <v>432</v>
      </c>
      <c r="I14079" s="26">
        <v>43518.4514583333</v>
      </c>
      <c r="J14079" s="28" t="s">
        <v>52</v>
      </c>
      <c r="K14079" s="28" t="s">
        <v>52</v>
      </c>
      <c r="L14079" s="28" t="s">
        <v>52</v>
      </c>
      <c r="M14079" s="28" t="s">
        <v>52</v>
      </c>
      <c r="N14079" s="28" t="s">
        <v>52</v>
      </c>
    </row>
    <row r="14080" spans="1:14" x14ac:dyDescent="0.15">
      <c r="A14080" s="23" t="str">
        <f>HYPERLINK("https://www.spark-marketing.ru/Card/Person/1022407", "МБУК ПЫШЛИЦКИЙ ДК")</f>
        <v>МБУК ПЫШЛИЦКИЙ ДК</v>
      </c>
      <c r="B14080" s="24" t="s">
        <v>16275</v>
      </c>
      <c r="C14080" s="25">
        <v>34100</v>
      </c>
      <c r="D14080" s="22" t="s">
        <v>16276</v>
      </c>
      <c r="E14080" s="22" t="s">
        <v>59</v>
      </c>
      <c r="F14080" s="23" t="str">
        <f>HYPERLINK("https://www.spark-marketing.ru/Card/Lot/68181256", "Выполнения работ по установке систем охранной сигнализации")</f>
        <v>Выполнения работ по установке систем охранной сигнализации</v>
      </c>
      <c r="G14080" s="22" t="s">
        <v>50</v>
      </c>
      <c r="H14080" s="22" t="s">
        <v>756</v>
      </c>
      <c r="I14080" s="26">
        <v>43518.441122685203</v>
      </c>
      <c r="J14080" s="28" t="s">
        <v>52</v>
      </c>
      <c r="K14080" s="28" t="s">
        <v>52</v>
      </c>
      <c r="L14080" s="28" t="s">
        <v>52</v>
      </c>
      <c r="M14080" s="28" t="s">
        <v>52</v>
      </c>
      <c r="N14080" s="28" t="s">
        <v>52</v>
      </c>
    </row>
    <row r="14081" spans="1:14" x14ac:dyDescent="0.15">
      <c r="A14081" s="23" t="str">
        <f>HYPERLINK("https://www.spark-marketing.ru/Card/Person/21054", "ГБУЗ ЛО ""ПРИОЗЕРСКАЯ МБ""")</f>
        <v>ГБУЗ ЛО "ПРИОЗЕРСКАЯ МБ"</v>
      </c>
      <c r="B14081" s="24" t="s">
        <v>16277</v>
      </c>
      <c r="C14081" s="25">
        <v>63433.59</v>
      </c>
      <c r="D14081" s="22" t="s">
        <v>16278</v>
      </c>
      <c r="E14081" s="22" t="s">
        <v>68</v>
      </c>
      <c r="F14081" s="23" t="str">
        <f>HYPERLINK("https://www.spark-marketing.ru/Card/Lot/68179685", "Оказание охранных услуг (пультовая охрана), техническое обслуживание охранных систем, и реагирование на тревожные сообщения, поступающие с охраняемого здания")</f>
        <v>Оказание охранных услуг (пультовая охрана), техническое обслуживание охранных систем, и реагирование на тревожные сообщения, поступающие с охраняемого здания</v>
      </c>
      <c r="G14081" s="22" t="s">
        <v>861</v>
      </c>
      <c r="H14081" s="22" t="s">
        <v>16279</v>
      </c>
      <c r="I14081" s="26">
        <v>43518.408333333296</v>
      </c>
      <c r="J14081" s="28" t="s">
        <v>52</v>
      </c>
      <c r="K14081" s="28" t="s">
        <v>52</v>
      </c>
      <c r="L14081" s="28" t="s">
        <v>52</v>
      </c>
      <c r="M14081" s="28" t="s">
        <v>52</v>
      </c>
      <c r="N14081" s="28" t="s">
        <v>52</v>
      </c>
    </row>
    <row r="14082" spans="1:14" x14ac:dyDescent="0.15">
      <c r="A14082" s="23" t="str">
        <f>HYPERLINK("https://www.spark-marketing.ru/Card/Person/21054", "ГБУЗ ЛО ""ПРИОЗЕРСКАЯ МБ""")</f>
        <v>ГБУЗ ЛО "ПРИОЗЕРСКАЯ МБ"</v>
      </c>
      <c r="B14082" s="24" t="s">
        <v>16277</v>
      </c>
      <c r="C14082" s="25">
        <v>83254.2</v>
      </c>
      <c r="D14082" s="22" t="s">
        <v>16280</v>
      </c>
      <c r="E14082" s="22" t="s">
        <v>68</v>
      </c>
      <c r="F14082" s="23" t="str">
        <f>HYPERLINK("https://www.spark-marketing.ru/Card/Lot/68179503", "Оказание охранных услуг (пультовая охрана), техническое обслуживание охранных систем, и реагирование на тревожные сообщения, поступающие с охраняемого здания")</f>
        <v>Оказание охранных услуг (пультовая охрана), техническое обслуживание охранных систем, и реагирование на тревожные сообщения, поступающие с охраняемого здания</v>
      </c>
      <c r="G14082" s="22" t="s">
        <v>861</v>
      </c>
      <c r="H14082" s="22" t="s">
        <v>12988</v>
      </c>
      <c r="I14082" s="26">
        <v>43518.407638888901</v>
      </c>
      <c r="J14082" s="28" t="s">
        <v>52</v>
      </c>
      <c r="K14082" s="28" t="s">
        <v>52</v>
      </c>
      <c r="L14082" s="28" t="s">
        <v>52</v>
      </c>
      <c r="M14082" s="28" t="s">
        <v>52</v>
      </c>
      <c r="N14082" s="28" t="s">
        <v>52</v>
      </c>
    </row>
    <row r="14083" spans="1:14" x14ac:dyDescent="0.15">
      <c r="A14083" s="23" t="str">
        <f>HYPERLINK("https://www.spark-marketing.ru/Card/Person/21054", "ГБУЗ ЛО ""ПРИОЗЕРСКАЯ МБ""")</f>
        <v>ГБУЗ ЛО "ПРИОЗЕРСКАЯ МБ"</v>
      </c>
      <c r="B14083" s="24" t="s">
        <v>16277</v>
      </c>
      <c r="C14083" s="25">
        <v>69658.559999999998</v>
      </c>
      <c r="D14083" s="22" t="s">
        <v>16281</v>
      </c>
      <c r="E14083" s="22" t="s">
        <v>68</v>
      </c>
      <c r="F14083" s="23" t="str">
        <f>HYPERLINK("https://www.spark-marketing.ru/Card/Lot/68179518", "Оказание охранных услуг (пультовая охрана), техническое обслуживание охранных систем, и реагирование на тревожные сообщения, поступающие с охраняемого здания")</f>
        <v>Оказание охранных услуг (пультовая охрана), техническое обслуживание охранных систем, и реагирование на тревожные сообщения, поступающие с охраняемого здания</v>
      </c>
      <c r="G14083" s="22" t="s">
        <v>861</v>
      </c>
      <c r="H14083" s="22" t="s">
        <v>16279</v>
      </c>
      <c r="I14083" s="26">
        <v>43518.407638888901</v>
      </c>
      <c r="J14083" s="28" t="s">
        <v>52</v>
      </c>
      <c r="K14083" s="28" t="s">
        <v>52</v>
      </c>
      <c r="L14083" s="28" t="s">
        <v>52</v>
      </c>
      <c r="M14083" s="28" t="s">
        <v>52</v>
      </c>
      <c r="N14083" s="28" t="s">
        <v>52</v>
      </c>
    </row>
    <row r="14084" spans="1:14" x14ac:dyDescent="0.15">
      <c r="A14084" s="23" t="str">
        <f>HYPERLINK("https://www.spark-marketing.ru/Card/Person/21054", "ГБУЗ ЛО ""ПРИОЗЕРСКАЯ МБ""")</f>
        <v>ГБУЗ ЛО "ПРИОЗЕРСКАЯ МБ"</v>
      </c>
      <c r="B14084" s="24" t="s">
        <v>16277</v>
      </c>
      <c r="C14084" s="25">
        <v>286239.71999999997</v>
      </c>
      <c r="D14084" s="22" t="s">
        <v>16282</v>
      </c>
      <c r="E14084" s="22" t="s">
        <v>68</v>
      </c>
      <c r="F14084" s="23" t="str">
        <f>HYPERLINK("https://www.spark-marketing.ru/Card/Lot/68179724", "Оказание охранных услуг (пультовая охрана), техническое обслуживание охранных систем, и реагирование на тревожные сообщения, поступающие с охраняемого здания")</f>
        <v>Оказание охранных услуг (пультовая охрана), техническое обслуживание охранных систем, и реагирование на тревожные сообщения, поступающие с охраняемого здания</v>
      </c>
      <c r="G14084" s="22" t="s">
        <v>861</v>
      </c>
      <c r="H14084" s="22" t="s">
        <v>16279</v>
      </c>
      <c r="I14084" s="26">
        <v>43518.405555555597</v>
      </c>
      <c r="J14084" s="28" t="s">
        <v>52</v>
      </c>
      <c r="K14084" s="28" t="s">
        <v>52</v>
      </c>
      <c r="L14084" s="28" t="s">
        <v>52</v>
      </c>
      <c r="M14084" s="28" t="s">
        <v>52</v>
      </c>
      <c r="N14084" s="28" t="s">
        <v>52</v>
      </c>
    </row>
    <row r="14085" spans="1:14" x14ac:dyDescent="0.15">
      <c r="A14085" s="23" t="str">
        <f>HYPERLINK("https://www.spark-marketing.ru/Card/Person/21177", "УФССП РОССИИ ПО КАБАРДИНО-БАЛКАРСКОЙ РЕСПУБЛИКЕ")</f>
        <v>УФССП РОССИИ ПО КАБАРДИНО-БАЛКАРСКОЙ РЕСПУБЛИКЕ</v>
      </c>
      <c r="B14085" s="24" t="s">
        <v>16283</v>
      </c>
      <c r="C14085" s="25">
        <v>139986</v>
      </c>
      <c r="D14085" s="22" t="s">
        <v>16284</v>
      </c>
      <c r="E14085" s="22" t="s">
        <v>59</v>
      </c>
      <c r="F14085" s="23" t="str">
        <f>HYPERLINK("https://www.spark-marketing.ru/Card/Lot/68180294", "Оказание услуг по техническому обслуживанию комплекса технических средств охраны для нужд Управления Федеральной службы судебных приставов по Кабардино-Балкарской Республике")</f>
        <v>Оказание услуг по техническому обслуживанию комплекса технических средств охраны для нужд Управления Федеральной службы судебных приставов по Кабардино-Балкарской Республике</v>
      </c>
      <c r="G14085" s="22" t="s">
        <v>110</v>
      </c>
      <c r="H14085" s="22" t="s">
        <v>110</v>
      </c>
      <c r="I14085" s="26">
        <v>43518.400694444397</v>
      </c>
      <c r="J14085" s="28" t="s">
        <v>52</v>
      </c>
      <c r="K14085" s="28" t="s">
        <v>52</v>
      </c>
      <c r="L14085" s="28" t="s">
        <v>52</v>
      </c>
      <c r="M14085" s="28" t="s">
        <v>52</v>
      </c>
      <c r="N14085" s="28" t="s">
        <v>52</v>
      </c>
    </row>
    <row r="14086" spans="1:14" hidden="1" outlineLevel="1" x14ac:dyDescent="0.2">
      <c r="A14086" s="23" t="str">
        <f>HYPERLINK("https://www.spark-marketing.ru/Card/Person/21177", "УФССП РОССИИ ПО КАБАРДИНО-БАЛКАРСКОЙ РЕСПУБЛИКЕ")</f>
        <v>УФССП РОССИИ ПО КАБАРДИНО-БАЛКАРСКОЙ РЕСПУБЛИКЕ</v>
      </c>
      <c r="B14086" s="24" t="s">
        <v>16283</v>
      </c>
      <c r="C14086" s="25">
        <v>139986</v>
      </c>
      <c r="D14086" s="22" t="s">
        <v>16284</v>
      </c>
      <c r="E14086" s="22" t="s">
        <v>59</v>
      </c>
      <c r="F14086" s="23" t="str">
        <f>HYPERLINK("https://www.spark-marketing.ru/Card/Lot/68180294", "Оказание услуг по техническому обслуживанию комплекса технических средств охраны для нужд Управления Федеральной службы судебных приставов по Кабардино-Балкарской Республике")</f>
        <v>Оказание услуг по техническому обслуживанию комплекса технических средств охраны для нужд Управления Федеральной службы судебных приставов по Кабардино-Балкарской Республике</v>
      </c>
      <c r="G14086" s="22" t="s">
        <v>110</v>
      </c>
      <c r="H14086" s="22" t="s">
        <v>110</v>
      </c>
      <c r="I14086" s="26">
        <v>43518.400694444397</v>
      </c>
      <c r="J14086" s="23" t="str">
        <f>HYPERLINK("https://www.spark-marketing.ru/Card/Person/4903934", "ФЛ ФГУП ОХРАНА ФЕДЕРАЛЬНОЙ СЛУЖБЫ ВОЙСК НАЦИОНАЛЬНОЙ ГВАРДИИ РОССИИЙСКОЙ ФЕДЕРАЦИИ ПО КАБАРДИНО БАЛКАРСКОЙ РП")</f>
        <v>ФЛ ФГУП ОХРАНА ФЕДЕРАЛЬНОЙ СЛУЖБЫ ВОЙСК НАЦИОНАЛЬНОЙ ГВАРДИИ РОССИИЙСКОЙ ФЕДЕРАЦИИ ПО КАБАРДИНО БАЛКАРСКОЙ РП</v>
      </c>
      <c r="K14086" s="24" t="s">
        <v>779</v>
      </c>
      <c r="L14086" s="28" t="s">
        <v>52</v>
      </c>
      <c r="M14086" s="25">
        <v>139286.07</v>
      </c>
      <c r="N14086" s="27">
        <v>5.0000000000000001E-3</v>
      </c>
    </row>
    <row r="14087" spans="1:14" ht="12.75" hidden="1" outlineLevel="1" x14ac:dyDescent="0.2">
      <c r="A14087" s="23" t="str">
        <f>HYPERLINK("https://www.spark-marketing.ru/Card/Person/21177", "УФССП РОССИИ ПО КАБАРДИНО-БАЛКАРСКОЙ РЕСПУБЛИКЕ")</f>
        <v>УФССП РОССИИ ПО КАБАРДИНО-БАЛКАРСКОЙ РЕСПУБЛИКЕ</v>
      </c>
      <c r="B14087" s="24" t="s">
        <v>16283</v>
      </c>
      <c r="C14087" s="25">
        <v>139986</v>
      </c>
      <c r="D14087" s="22" t="s">
        <v>16284</v>
      </c>
      <c r="E14087" s="22" t="s">
        <v>59</v>
      </c>
      <c r="F14087" s="23" t="str">
        <f>HYPERLINK("https://www.spark-marketing.ru/Card/Lot/68180294", "Оказание услуг по техническому обслуживанию комплекса технических средств охраны для нужд Управления Федеральной службы судебных приставов по Кабардино-Балкарской Республике")</f>
        <v>Оказание услуг по техническому обслуживанию комплекса технических средств охраны для нужд Управления Федеральной службы судебных приставов по Кабардино-Балкарской Республике</v>
      </c>
      <c r="G14087" s="22" t="s">
        <v>110</v>
      </c>
      <c r="H14087" s="22" t="s">
        <v>110</v>
      </c>
      <c r="I14087" s="26">
        <v>43518.400694444397</v>
      </c>
      <c r="J14087" s="23" t="str">
        <f>HYPERLINK("https://www.spark-marketing.ru/Card/Person/25203", "ООО ""СПАС-СПЕКТР""")</f>
        <v>ООО "СПАС-СПЕКТР"</v>
      </c>
      <c r="K14087" s="24" t="s">
        <v>16285</v>
      </c>
      <c r="L14087" s="22" t="s">
        <v>10</v>
      </c>
      <c r="M14087" s="25">
        <v>138586.14000000001</v>
      </c>
      <c r="N14087" s="27">
        <v>0.01</v>
      </c>
    </row>
    <row r="14088" spans="1:14" x14ac:dyDescent="0.15">
      <c r="A14088" s="23" t="str">
        <f>HYPERLINK("https://www.spark-marketing.ru/Card/Person/21054", "ГБУЗ ЛО ""ПРИОЗЕРСКАЯ МБ""")</f>
        <v>ГБУЗ ЛО "ПРИОЗЕРСКАЯ МБ"</v>
      </c>
      <c r="B14088" s="24" t="s">
        <v>16277</v>
      </c>
      <c r="C14088" s="25">
        <v>43994.879999999997</v>
      </c>
      <c r="D14088" s="22" t="s">
        <v>16286</v>
      </c>
      <c r="E14088" s="22" t="s">
        <v>68</v>
      </c>
      <c r="F14088" s="23" t="str">
        <f>HYPERLINK("https://www.spark-marketing.ru/Card/Lot/68179550", "Оказание охранных услуг (пультовая охрана), техническое обслуживание охранных систем, и реагирование на тревожные сообщения, поступающие с охраняемого здания")</f>
        <v>Оказание охранных услуг (пультовая охрана), техническое обслуживание охранных систем, и реагирование на тревожные сообщения, поступающие с охраняемого здания</v>
      </c>
      <c r="G14088" s="22" t="s">
        <v>861</v>
      </c>
      <c r="H14088" s="22" t="s">
        <v>12988</v>
      </c>
      <c r="I14088" s="26">
        <v>43518.407638888901</v>
      </c>
      <c r="J14088" s="28" t="s">
        <v>52</v>
      </c>
      <c r="K14088" s="28" t="s">
        <v>52</v>
      </c>
      <c r="L14088" s="28" t="s">
        <v>52</v>
      </c>
      <c r="M14088" s="28" t="s">
        <v>52</v>
      </c>
      <c r="N14088" s="28" t="s">
        <v>52</v>
      </c>
    </row>
    <row r="14089" spans="1:14" x14ac:dyDescent="0.15">
      <c r="A14089" s="23" t="str">
        <f>HYPERLINK("https://www.spark-marketing.ru/Card/Person/21054", "ГБУЗ ЛО ""ПРИОЗЕРСКАЯ МБ""")</f>
        <v>ГБУЗ ЛО "ПРИОЗЕРСКАЯ МБ"</v>
      </c>
      <c r="B14089" s="24" t="s">
        <v>16277</v>
      </c>
      <c r="C14089" s="25">
        <v>91503.24</v>
      </c>
      <c r="D14089" s="22" t="s">
        <v>16287</v>
      </c>
      <c r="E14089" s="22" t="s">
        <v>68</v>
      </c>
      <c r="F14089" s="23" t="str">
        <f>HYPERLINK("https://www.spark-marketing.ru/Card/Lot/68179717", "Оказание охранных услуг (пультовая охрана), техническое обслуживание охранных систем, и реагирование на тревожные сообщения, поступающие с охраняемого здания")</f>
        <v>Оказание охранных услуг (пультовая охрана), техническое обслуживание охранных систем, и реагирование на тревожные сообщения, поступающие с охраняемого здания</v>
      </c>
      <c r="G14089" s="22" t="s">
        <v>861</v>
      </c>
      <c r="H14089" s="22" t="s">
        <v>16279</v>
      </c>
      <c r="I14089" s="26">
        <v>43518.406944444403</v>
      </c>
      <c r="J14089" s="28" t="s">
        <v>52</v>
      </c>
      <c r="K14089" s="28" t="s">
        <v>52</v>
      </c>
      <c r="L14089" s="28" t="s">
        <v>52</v>
      </c>
      <c r="M14089" s="28" t="s">
        <v>52</v>
      </c>
      <c r="N14089" s="28" t="s">
        <v>52</v>
      </c>
    </row>
    <row r="14090" spans="1:14" x14ac:dyDescent="0.15">
      <c r="A14090" s="23" t="str">
        <f>HYPERLINK("https://www.spark-marketing.ru/Card/Person/21054", "ГБУЗ ЛО ""ПРИОЗЕРСКАЯ МБ""")</f>
        <v>ГБУЗ ЛО "ПРИОЗЕРСКАЯ МБ"</v>
      </c>
      <c r="B14090" s="24" t="s">
        <v>16277</v>
      </c>
      <c r="C14090" s="25">
        <v>19095</v>
      </c>
      <c r="D14090" s="22" t="s">
        <v>16288</v>
      </c>
      <c r="E14090" s="22" t="s">
        <v>68</v>
      </c>
      <c r="F14090" s="23" t="str">
        <f>HYPERLINK("https://www.spark-marketing.ru/Card/Lot/68182159", "Оказание охранных услуг (пультовая охрана), техническое обслуживание охранных систем, и реагирование на тревожные сообщения, поступающие с охраняемого здания")</f>
        <v>Оказание охранных услуг (пультовая охрана), техническое обслуживание охранных систем, и реагирование на тревожные сообщения, поступающие с охраняемого здания</v>
      </c>
      <c r="G14090" s="22" t="s">
        <v>861</v>
      </c>
      <c r="H14090" s="22" t="s">
        <v>12988</v>
      </c>
      <c r="I14090" s="26">
        <v>43518.404861111099</v>
      </c>
      <c r="J14090" s="28" t="s">
        <v>52</v>
      </c>
      <c r="K14090" s="28" t="s">
        <v>52</v>
      </c>
      <c r="L14090" s="28" t="s">
        <v>52</v>
      </c>
      <c r="M14090" s="28" t="s">
        <v>52</v>
      </c>
      <c r="N14090" s="28" t="s">
        <v>52</v>
      </c>
    </row>
    <row r="14091" spans="1:14" x14ac:dyDescent="0.15">
      <c r="A14091" s="23" t="str">
        <f>HYPERLINK("https://www.spark-marketing.ru/Card/Person/769", "ФКУ ""ЦОКР""")</f>
        <v>ФКУ "ЦОКР"</v>
      </c>
      <c r="B14091" s="24" t="s">
        <v>962</v>
      </c>
      <c r="C14091" s="25">
        <v>30000</v>
      </c>
      <c r="D14091" s="22" t="s">
        <v>16289</v>
      </c>
      <c r="E14091" s="22" t="s">
        <v>103</v>
      </c>
      <c r="F14091" s="23" t="str">
        <f>HYPERLINK("https://www.spark-marketing.ru/Card/Lot/68173603", "Оказание услуг по техническому обслуживанию системы видеонаблюдения на объектах Управления Федерального казначейства по Республике Алтай")</f>
        <v>Оказание услуг по техническому обслуживанию системы видеонаблюдения на объектах Управления Федерального казначейства по Республике Алтай</v>
      </c>
      <c r="G14091" s="22" t="s">
        <v>3000</v>
      </c>
      <c r="H14091" s="22" t="s">
        <v>3000</v>
      </c>
      <c r="I14091" s="26">
        <v>43518.373611111099</v>
      </c>
      <c r="J14091" s="23" t="str">
        <f>HYPERLINK("https://www.spark-marketing.ru/Card/Person/6110154", "ООО ""ЭКВИЛИБРИУМ""")</f>
        <v>ООО "ЭКВИЛИБРИУМ"</v>
      </c>
      <c r="K14091" s="24" t="s">
        <v>16290</v>
      </c>
      <c r="L14091" s="28" t="s">
        <v>52</v>
      </c>
      <c r="M14091" s="28" t="s">
        <v>52</v>
      </c>
      <c r="N14091" s="28" t="s">
        <v>52</v>
      </c>
    </row>
    <row r="14092" spans="1:14" x14ac:dyDescent="0.15">
      <c r="A14092" s="23" t="str">
        <f>HYPERLINK("https://www.spark-marketing.ru/Card/Person/138502", "МБОУ ""ШКОЛА № 2""")</f>
        <v>МБОУ "ШКОЛА № 2"</v>
      </c>
      <c r="B14092" s="24" t="s">
        <v>16291</v>
      </c>
      <c r="C14092" s="25">
        <v>2504800</v>
      </c>
      <c r="D14092" s="22" t="s">
        <v>16292</v>
      </c>
      <c r="E14092" s="22" t="s">
        <v>194</v>
      </c>
      <c r="F14092" s="23" t="str">
        <f>HYPERLINK("https://www.spark-marketing.ru/Card/Lot/68174462", "Поставка и установка системы видеонаблюдения, используемой при организации видеосъёмки и видеозаписи проведения единого государственного экзамена 2019 в режиме реального времени")</f>
        <v>Поставка и установка системы видеонаблюдения, используемой при организации видеосъёмки и видеозаписи проведения единого государственного экзамена 2019 в режиме реального времени</v>
      </c>
      <c r="G14092" s="22" t="s">
        <v>311</v>
      </c>
      <c r="H14092" s="22" t="s">
        <v>13493</v>
      </c>
      <c r="I14092" s="26">
        <v>43518.368055555598</v>
      </c>
      <c r="J14092" s="28" t="s">
        <v>52</v>
      </c>
      <c r="K14092" s="28" t="s">
        <v>52</v>
      </c>
      <c r="L14092" s="28" t="s">
        <v>52</v>
      </c>
      <c r="M14092" s="28" t="s">
        <v>52</v>
      </c>
      <c r="N14092" s="28" t="s">
        <v>52</v>
      </c>
    </row>
    <row r="14093" spans="1:14" ht="12.75" hidden="1" outlineLevel="1" x14ac:dyDescent="0.2">
      <c r="A14093" s="23" t="str">
        <f>HYPERLINK("https://www.spark-marketing.ru/Card/Person/138502", "МБОУ ""ШКОЛА № 2""")</f>
        <v>МБОУ "ШКОЛА № 2"</v>
      </c>
      <c r="B14093" s="24" t="s">
        <v>16291</v>
      </c>
      <c r="C14093" s="25">
        <v>2504800</v>
      </c>
      <c r="D14093" s="22" t="s">
        <v>16292</v>
      </c>
      <c r="E14093" s="22" t="s">
        <v>194</v>
      </c>
      <c r="F14093" s="23" t="str">
        <f>HYPERLINK("https://www.spark-marketing.ru/Card/Lot/68174462", "Поставка и установка системы видеонаблюдения, используемой при организации видеосъёмки и видеозаписи проведения единого государственного экзамена 2019 в режиме реального времени")</f>
        <v>Поставка и установка системы видеонаблюдения, используемой при организации видеосъёмки и видеозаписи проведения единого государственного экзамена 2019 в режиме реального времени</v>
      </c>
      <c r="G14093" s="22" t="s">
        <v>311</v>
      </c>
      <c r="H14093" s="22" t="s">
        <v>13493</v>
      </c>
      <c r="I14093" s="26">
        <v>43518.368055555598</v>
      </c>
      <c r="J14093" s="23" t="str">
        <f>HYPERLINK("https://www.spark-marketing.ru/Card/Person/10991", "ПАО ""РОСТЕЛЕКОМ""")</f>
        <v>ПАО "РОСТЕЛЕКОМ"</v>
      </c>
      <c r="K14093" s="24" t="s">
        <v>607</v>
      </c>
      <c r="L14093" s="22" t="s">
        <v>10</v>
      </c>
      <c r="M14093" s="25">
        <v>1603072</v>
      </c>
      <c r="N14093" s="27">
        <v>0.36</v>
      </c>
    </row>
    <row r="14094" spans="1:14" hidden="1" outlineLevel="1" x14ac:dyDescent="0.2">
      <c r="A14094" s="23" t="str">
        <f>HYPERLINK("https://www.spark-marketing.ru/Card/Person/138502", "МБОУ ""ШКОЛА № 2""")</f>
        <v>МБОУ "ШКОЛА № 2"</v>
      </c>
      <c r="B14094" s="24" t="s">
        <v>16291</v>
      </c>
      <c r="C14094" s="25">
        <v>2504800</v>
      </c>
      <c r="D14094" s="22" t="s">
        <v>16292</v>
      </c>
      <c r="E14094" s="22" t="s">
        <v>194</v>
      </c>
      <c r="F14094" s="23" t="str">
        <f>HYPERLINK("https://www.spark-marketing.ru/Card/Lot/68174462", "Поставка и установка системы видеонаблюдения, используемой при организации видеосъёмки и видеозаписи проведения единого государственного экзамена 2019 в режиме реального времени")</f>
        <v>Поставка и установка системы видеонаблюдения, используемой при организации видеосъёмки и видеозаписи проведения единого государственного экзамена 2019 в режиме реального времени</v>
      </c>
      <c r="G14094" s="22" t="s">
        <v>311</v>
      </c>
      <c r="H14094" s="22" t="s">
        <v>13493</v>
      </c>
      <c r="I14094" s="26">
        <v>43518.368055555598</v>
      </c>
      <c r="J14094" s="23" t="str">
        <f>HYPERLINK("https://www.spark-marketing.ru/Card/Person/5948595", "ООО ТД ""Д-МАРК""")</f>
        <v>ООО ТД "Д-МАРК"</v>
      </c>
      <c r="K14094" s="24" t="s">
        <v>16293</v>
      </c>
      <c r="L14094" s="28" t="s">
        <v>52</v>
      </c>
      <c r="M14094" s="25">
        <v>1615596</v>
      </c>
      <c r="N14094" s="27">
        <v>0.35499999999999998</v>
      </c>
    </row>
    <row r="14095" spans="1:14" hidden="1" outlineLevel="1" x14ac:dyDescent="0.2">
      <c r="A14095" s="23" t="str">
        <f>HYPERLINK("https://www.spark-marketing.ru/Card/Person/138502", "МБОУ ""ШКОЛА № 2""")</f>
        <v>МБОУ "ШКОЛА № 2"</v>
      </c>
      <c r="B14095" s="24" t="s">
        <v>16291</v>
      </c>
      <c r="C14095" s="25">
        <v>2504800</v>
      </c>
      <c r="D14095" s="22" t="s">
        <v>16292</v>
      </c>
      <c r="E14095" s="22" t="s">
        <v>194</v>
      </c>
      <c r="F14095" s="23" t="str">
        <f>HYPERLINK("https://www.spark-marketing.ru/Card/Lot/68174462", "Поставка и установка системы видеонаблюдения, используемой при организации видеосъёмки и видеозаписи проведения единого государственного экзамена 2019 в режиме реального времени")</f>
        <v>Поставка и установка системы видеонаблюдения, используемой при организации видеосъёмки и видеозаписи проведения единого государственного экзамена 2019 в режиме реального времени</v>
      </c>
      <c r="G14095" s="22" t="s">
        <v>311</v>
      </c>
      <c r="H14095" s="22" t="s">
        <v>13493</v>
      </c>
      <c r="I14095" s="26">
        <v>43518.368055555598</v>
      </c>
      <c r="J14095" s="23" t="str">
        <f>HYPERLINK("https://www.spark-marketing.ru/Card/Person/90156", "ООО ""ПАРИТЕТ""")</f>
        <v>ООО "ПАРИТЕТ"</v>
      </c>
      <c r="K14095" s="24" t="s">
        <v>6134</v>
      </c>
      <c r="L14095" s="28" t="s">
        <v>52</v>
      </c>
      <c r="M14095" s="25">
        <v>1815980</v>
      </c>
      <c r="N14095" s="27">
        <v>0.27500000000000002</v>
      </c>
    </row>
    <row r="14096" spans="1:14" hidden="1" outlineLevel="1" x14ac:dyDescent="0.2">
      <c r="A14096" s="23" t="str">
        <f>HYPERLINK("https://www.spark-marketing.ru/Card/Person/138502", "МБОУ ""ШКОЛА № 2""")</f>
        <v>МБОУ "ШКОЛА № 2"</v>
      </c>
      <c r="B14096" s="24" t="s">
        <v>16291</v>
      </c>
      <c r="C14096" s="25">
        <v>2504800</v>
      </c>
      <c r="D14096" s="22" t="s">
        <v>16292</v>
      </c>
      <c r="E14096" s="22" t="s">
        <v>194</v>
      </c>
      <c r="F14096" s="23" t="str">
        <f>HYPERLINK("https://www.spark-marketing.ru/Card/Lot/68174462", "Поставка и установка системы видеонаблюдения, используемой при организации видеосъёмки и видеозаписи проведения единого государственного экзамена 2019 в режиме реального времени")</f>
        <v>Поставка и установка системы видеонаблюдения, используемой при организации видеосъёмки и видеозаписи проведения единого государственного экзамена 2019 в режиме реального времени</v>
      </c>
      <c r="G14096" s="22" t="s">
        <v>311</v>
      </c>
      <c r="H14096" s="22" t="s">
        <v>13493</v>
      </c>
      <c r="I14096" s="26">
        <v>43518.368055555598</v>
      </c>
      <c r="J14096" s="23" t="str">
        <f>HYPERLINK("https://www.spark-marketing.ru/Card/Person/6305548", "ООО ""АККОРД""")</f>
        <v>ООО "АККОРД"</v>
      </c>
      <c r="K14096" s="24" t="s">
        <v>11275</v>
      </c>
      <c r="L14096" s="28" t="s">
        <v>52</v>
      </c>
      <c r="M14096" s="25">
        <v>1790932</v>
      </c>
      <c r="N14096" s="27">
        <v>0.28499999999999998</v>
      </c>
    </row>
    <row r="14097" spans="1:14" x14ac:dyDescent="0.15">
      <c r="A14097" s="23" t="str">
        <f>HYPERLINK("https://www.spark-marketing.ru/Card/Person/286743", "ООО ""КАЛИНИНСКАЯ АЭС-СЕРВИС""")</f>
        <v>ООО "КАЛИНИНСКАЯ АЭС-СЕРВИС"</v>
      </c>
      <c r="B14097" s="24" t="s">
        <v>7733</v>
      </c>
      <c r="C14097" s="25">
        <v>158470.66</v>
      </c>
      <c r="D14097" s="22" t="s">
        <v>16294</v>
      </c>
      <c r="E14097" s="22" t="s">
        <v>1013</v>
      </c>
      <c r="F14097" s="23" t="str">
        <f>HYPERLINK("https://www.spark-marketing.ru/Card/Lot/68181867", "Оказание услуг по охране объектов с использованием кнопки тревожной сигнализации и пульта централизованного наблюдения")</f>
        <v>Оказание услуг по охране объектов с использованием кнопки тревожной сигнализации и пульта централизованного наблюдения</v>
      </c>
      <c r="G14097" s="22" t="s">
        <v>251</v>
      </c>
      <c r="H14097" s="22" t="s">
        <v>4202</v>
      </c>
      <c r="I14097" s="26">
        <v>43518.371539351901</v>
      </c>
      <c r="J14097" s="28" t="s">
        <v>52</v>
      </c>
      <c r="K14097" s="28" t="s">
        <v>52</v>
      </c>
      <c r="L14097" s="28" t="s">
        <v>52</v>
      </c>
      <c r="M14097" s="28" t="s">
        <v>52</v>
      </c>
      <c r="N14097" s="28" t="s">
        <v>52</v>
      </c>
    </row>
    <row r="14098" spans="1:14" ht="12.75" x14ac:dyDescent="0.2">
      <c r="A14098" s="23" t="str">
        <f>HYPERLINK("https://www.spark-marketing.ru/Card/Person/286743", "ООО ""КАЛИНИНСКАЯ АЭС-СЕРВИС""")</f>
        <v>ООО "КАЛИНИНСКАЯ АЭС-СЕРВИС"</v>
      </c>
      <c r="B14098" s="24" t="s">
        <v>7733</v>
      </c>
      <c r="C14098" s="25">
        <v>158470.66</v>
      </c>
      <c r="D14098" s="22" t="s">
        <v>16295</v>
      </c>
      <c r="E14098" s="22" t="s">
        <v>16296</v>
      </c>
      <c r="F14098" s="23" t="str">
        <f>HYPERLINK("https://www.spark-marketing.ru/Card/Lot/68174856", "Право заключения договора на Оказание услуг по охране объектов с использованием кнопки тревожной сигнализации и пульта централизованного наблюдения")</f>
        <v>Право заключения договора на Оказание услуг по охране объектов с использованием кнопки тревожной сигнализации и пульта централизованного наблюдения</v>
      </c>
      <c r="G14098" s="22" t="s">
        <v>251</v>
      </c>
      <c r="H14098" s="22" t="s">
        <v>4202</v>
      </c>
      <c r="I14098" s="26">
        <v>43518.328715277799</v>
      </c>
      <c r="J14098" s="23" t="str">
        <f>HYPERLINK("https://www.spark-marketing.ru/Card/Person/612163", "ООО ЧОП ""ЗАЩИТА""")</f>
        <v>ООО ЧОП "ЗАЩИТА"</v>
      </c>
      <c r="K14098" s="24" t="s">
        <v>16297</v>
      </c>
      <c r="L14098" s="22" t="s">
        <v>10</v>
      </c>
      <c r="M14098" s="25">
        <v>132000</v>
      </c>
      <c r="N14098" s="27">
        <v>0.16703823912893404</v>
      </c>
    </row>
    <row r="14099" spans="1:14" x14ac:dyDescent="0.15">
      <c r="A14099" s="23" t="str">
        <f>HYPERLINK("https://www.spark-marketing.ru/Card/Person/27769", "АО ""ДВЗ ""ЗВЕЗДА""")</f>
        <v>АО "ДВЗ "ЗВЕЗДА"</v>
      </c>
      <c r="B14099" s="24" t="s">
        <v>2468</v>
      </c>
      <c r="C14099" s="25">
        <v>1340640</v>
      </c>
      <c r="D14099" s="22" t="s">
        <v>16298</v>
      </c>
      <c r="E14099" s="22" t="s">
        <v>53</v>
      </c>
      <c r="F14099" s="23" t="str">
        <f>HYPERLINK("https://www.spark-marketing.ru/Card/Lot/68184114", "Номер закупки 32/19-ЗП. Оказание услуг по физической охране объекта «профилакторий «Маяк» согласно Техническому заданию (Блок 7 документации о закупке №32/19-ЗП)")</f>
        <v>Номер закупки 32/19-ЗП. Оказание услуг по физической охране объекта «профилакторий «Маяк» согласно Техническому заданию (Блок 7 документации о закупке №32/19-ЗП)</v>
      </c>
      <c r="G14099" s="22" t="s">
        <v>409</v>
      </c>
      <c r="H14099" s="22" t="s">
        <v>2470</v>
      </c>
      <c r="I14099" s="26">
        <v>43518.2722222222</v>
      </c>
      <c r="J14099" s="28" t="s">
        <v>52</v>
      </c>
      <c r="K14099" s="28" t="s">
        <v>52</v>
      </c>
      <c r="L14099" s="28" t="s">
        <v>52</v>
      </c>
      <c r="M14099" s="28" t="s">
        <v>52</v>
      </c>
      <c r="N14099" s="28" t="s">
        <v>52</v>
      </c>
    </row>
    <row r="14100" spans="1:14" x14ac:dyDescent="0.15">
      <c r="A14100" s="23" t="str">
        <f>HYPERLINK("https://www.spark-marketing.ru/Card/Person/910922", "ООО ""ДОМАШНИЙ ИНТЕРЬЕР""")</f>
        <v>ООО "ДОМАШНИЙ ИНТЕРЬЕР"</v>
      </c>
      <c r="B14100" s="24" t="s">
        <v>13677</v>
      </c>
      <c r="C14100" s="28" t="s">
        <v>52</v>
      </c>
      <c r="D14100" s="22" t="s">
        <v>16299</v>
      </c>
      <c r="E14100" s="22" t="s">
        <v>53</v>
      </c>
      <c r="F14100" s="23" t="str">
        <f>HYPERLINK("https://www.spark-marketing.ru/Card/Lot/68183874", "Процедура выбора компании по оказанию услуг физической охраны в магазине Hoff в г. Волгоград (id362114)")</f>
        <v>Процедура выбора компании по оказанию услуг физической охраны в магазине Hoff в г. Волгоград (id362114)</v>
      </c>
      <c r="G14100" s="22" t="s">
        <v>55</v>
      </c>
      <c r="H14100" s="22" t="s">
        <v>55</v>
      </c>
      <c r="I14100" s="26">
        <v>43518</v>
      </c>
      <c r="J14100" s="28" t="s">
        <v>52</v>
      </c>
      <c r="K14100" s="28" t="s">
        <v>52</v>
      </c>
      <c r="L14100" s="28" t="s">
        <v>52</v>
      </c>
      <c r="M14100" s="28" t="s">
        <v>52</v>
      </c>
      <c r="N14100" s="28" t="s">
        <v>52</v>
      </c>
    </row>
    <row r="14101" spans="1:14" x14ac:dyDescent="0.15">
      <c r="A14101" s="23" t="str">
        <f>HYPERLINK("https://www.spark-marketing.ru/Card/Person/703125", "ООО ""РИЦ""")</f>
        <v>ООО "РИЦ"</v>
      </c>
      <c r="B14101" s="24" t="s">
        <v>4078</v>
      </c>
      <c r="C14101" s="25">
        <v>50482666.670000002</v>
      </c>
      <c r="D14101" s="22" t="s">
        <v>16300</v>
      </c>
      <c r="E14101" s="22" t="s">
        <v>854</v>
      </c>
      <c r="F14101" s="23" t="str">
        <f>HYPERLINK("https://www.spark-marketing.ru/Card/Lot/68169908", "на разработку рабочей документации на место установки периферийного оборудования системы видеонаблюдения")</f>
        <v>на разработку рабочей документации на место установки периферийного оборудования системы видеонаблюдения</v>
      </c>
      <c r="G14101" s="22" t="s">
        <v>55</v>
      </c>
      <c r="H14101" s="22" t="s">
        <v>55</v>
      </c>
      <c r="I14101" s="26">
        <v>43517.8358912037</v>
      </c>
      <c r="J14101" s="28" t="s">
        <v>52</v>
      </c>
      <c r="K14101" s="28" t="s">
        <v>52</v>
      </c>
      <c r="L14101" s="28" t="s">
        <v>52</v>
      </c>
      <c r="M14101" s="28" t="s">
        <v>52</v>
      </c>
      <c r="N14101" s="28" t="s">
        <v>52</v>
      </c>
    </row>
    <row r="14102" spans="1:14" hidden="1" outlineLevel="1" x14ac:dyDescent="0.2">
      <c r="A14102" s="23" t="str">
        <f>HYPERLINK("https://www.spark-marketing.ru/Card/Person/703125", "ООО ""РИЦ""")</f>
        <v>ООО "РИЦ"</v>
      </c>
      <c r="B14102" s="24" t="s">
        <v>4078</v>
      </c>
      <c r="C14102" s="28" t="s">
        <v>52</v>
      </c>
      <c r="D14102" s="22" t="s">
        <v>16300</v>
      </c>
      <c r="E14102" s="22" t="s">
        <v>854</v>
      </c>
      <c r="F14102" s="23" t="str">
        <f>HYPERLINK("https://www.spark-marketing.ru/Card/Lot/68169908", "на разработку рабочей документации на место установки периферийного оборудования системы видеонаблюдения")</f>
        <v>на разработку рабочей документации на место установки периферийного оборудования системы видеонаблюдения</v>
      </c>
      <c r="G14102" s="22" t="s">
        <v>55</v>
      </c>
      <c r="H14102" s="22" t="s">
        <v>55</v>
      </c>
      <c r="I14102" s="26">
        <v>43517.8358912037</v>
      </c>
      <c r="J14102" s="23" t="str">
        <f>HYPERLINK("https://www.spark-marketing.ru/Card/Person/2580012", "ООО ""ТПИ""")</f>
        <v>ООО "ТПИ"</v>
      </c>
      <c r="K14102" s="24" t="s">
        <v>16301</v>
      </c>
      <c r="L14102" s="28" t="s">
        <v>52</v>
      </c>
      <c r="M14102" s="25">
        <v>0</v>
      </c>
      <c r="N14102" s="27">
        <v>1</v>
      </c>
    </row>
    <row r="14103" spans="1:14" hidden="1" outlineLevel="1" x14ac:dyDescent="0.2">
      <c r="A14103" s="23" t="str">
        <f>HYPERLINK("https://www.spark-marketing.ru/Card/Person/703125", "ООО ""РИЦ""")</f>
        <v>ООО "РИЦ"</v>
      </c>
      <c r="B14103" s="24" t="s">
        <v>4078</v>
      </c>
      <c r="C14103" s="28" t="s">
        <v>52</v>
      </c>
      <c r="D14103" s="22" t="s">
        <v>16300</v>
      </c>
      <c r="E14103" s="22" t="s">
        <v>854</v>
      </c>
      <c r="F14103" s="23" t="str">
        <f>HYPERLINK("https://www.spark-marketing.ru/Card/Lot/68169908", "на разработку рабочей документации на место установки периферийного оборудования системы видеонаблюдения")</f>
        <v>на разработку рабочей документации на место установки периферийного оборудования системы видеонаблюдения</v>
      </c>
      <c r="G14103" s="22" t="s">
        <v>55</v>
      </c>
      <c r="H14103" s="22" t="s">
        <v>55</v>
      </c>
      <c r="I14103" s="26">
        <v>43517.8358912037</v>
      </c>
      <c r="J14103" s="23" t="str">
        <f>HYPERLINK("https://www.spark-marketing.ru/Card/Person/6294636", "ООО «ИНОФОНД»")</f>
        <v>ООО «ИНОФОНД»</v>
      </c>
      <c r="K14103" s="24" t="s">
        <v>16302</v>
      </c>
      <c r="L14103" s="28" t="s">
        <v>52</v>
      </c>
      <c r="M14103" s="25">
        <v>46948880</v>
      </c>
      <c r="N14103" s="27">
        <v>7.0000000061407219E-2</v>
      </c>
    </row>
    <row r="14104" spans="1:14" hidden="1" outlineLevel="1" x14ac:dyDescent="0.2">
      <c r="A14104" s="23" t="str">
        <f>HYPERLINK("https://www.spark-marketing.ru/Card/Person/703125", "ООО ""РИЦ""")</f>
        <v>ООО "РИЦ"</v>
      </c>
      <c r="B14104" s="24" t="s">
        <v>4078</v>
      </c>
      <c r="C14104" s="28" t="s">
        <v>52</v>
      </c>
      <c r="D14104" s="22" t="s">
        <v>16300</v>
      </c>
      <c r="E14104" s="22" t="s">
        <v>854</v>
      </c>
      <c r="F14104" s="23" t="str">
        <f>HYPERLINK("https://www.spark-marketing.ru/Card/Lot/68169908", "на разработку рабочей документации на место установки периферийного оборудования системы видеонаблюдения")</f>
        <v>на разработку рабочей документации на место установки периферийного оборудования системы видеонаблюдения</v>
      </c>
      <c r="G14104" s="22" t="s">
        <v>55</v>
      </c>
      <c r="H14104" s="22" t="s">
        <v>55</v>
      </c>
      <c r="I14104" s="26">
        <v>43517.8358912037</v>
      </c>
      <c r="J14104" s="23" t="str">
        <f>HYPERLINK("https://www.spark-marketing.ru/Card/Person/2513844", "ООО ""ПСБ""")</f>
        <v>ООО "ПСБ"</v>
      </c>
      <c r="K14104" s="24" t="s">
        <v>16303</v>
      </c>
      <c r="L14104" s="28" t="s">
        <v>52</v>
      </c>
      <c r="M14104" s="25">
        <v>47958533.32</v>
      </c>
      <c r="N14104" s="27">
        <v>5.000000032684486E-2</v>
      </c>
    </row>
    <row r="14105" spans="1:14" hidden="1" outlineLevel="1" x14ac:dyDescent="0.2">
      <c r="A14105" s="23" t="str">
        <f>HYPERLINK("https://www.spark-marketing.ru/Card/Person/703125", "ООО ""РИЦ""")</f>
        <v>ООО "РИЦ"</v>
      </c>
      <c r="B14105" s="24" t="s">
        <v>4078</v>
      </c>
      <c r="C14105" s="28" t="s">
        <v>52</v>
      </c>
      <c r="D14105" s="22" t="s">
        <v>16300</v>
      </c>
      <c r="E14105" s="22" t="s">
        <v>854</v>
      </c>
      <c r="F14105" s="23" t="str">
        <f>HYPERLINK("https://www.spark-marketing.ru/Card/Lot/68169908", "на разработку рабочей документации на место установки периферийного оборудования системы видеонаблюдения")</f>
        <v>на разработку рабочей документации на место установки периферийного оборудования системы видеонаблюдения</v>
      </c>
      <c r="G14105" s="22" t="s">
        <v>55</v>
      </c>
      <c r="H14105" s="22" t="s">
        <v>55</v>
      </c>
      <c r="I14105" s="26">
        <v>43517.8358912037</v>
      </c>
      <c r="J14105" s="23" t="str">
        <f>HYPERLINK("https://www.spark-marketing.ru/Card/Person/4775551", "ООО ""ПРОЛАЙН""")</f>
        <v>ООО "ПРОЛАЙН"</v>
      </c>
      <c r="K14105" s="24" t="s">
        <v>16304</v>
      </c>
      <c r="L14105" s="22" t="s">
        <v>10</v>
      </c>
      <c r="M14105" s="25">
        <v>18127.87</v>
      </c>
      <c r="N14105" s="27">
        <v>0.99964090902490355</v>
      </c>
    </row>
    <row r="14106" spans="1:14" x14ac:dyDescent="0.15">
      <c r="A14106" s="23" t="str">
        <f>HYPERLINK("https://www.spark-marketing.ru/Card/Person/131145", "ФГУП ""ГРЧЦ""")</f>
        <v>ФГУП "ГРЧЦ"</v>
      </c>
      <c r="B14106" s="24" t="s">
        <v>16305</v>
      </c>
      <c r="C14106" s="25">
        <v>11656195</v>
      </c>
      <c r="D14106" s="22" t="s">
        <v>16306</v>
      </c>
      <c r="E14106" s="22" t="s">
        <v>930</v>
      </c>
      <c r="F14106" s="23" t="str">
        <f>HYPERLINK("https://www.spark-marketing.ru/Card/Lot/68168198", "Оказание услуг по обеспечению постгарантийного обслуживания оборудования видеоконференцсвязи, технического обслуживания мультимедийного комплекса и технического обслуживания технологического оборудования Ситуационного центра")</f>
        <v>Оказание услуг по обеспечению постгарантийного обслуживания оборудования видеоконференцсвязи, технического обслуживания мультимедийного комплекса и технического обслуживания технологического оборудования Ситуационного центра</v>
      </c>
      <c r="G14106" s="22" t="s">
        <v>55</v>
      </c>
      <c r="H14106" s="22" t="s">
        <v>55</v>
      </c>
      <c r="I14106" s="26">
        <v>43517.7509027778</v>
      </c>
      <c r="J14106" s="28" t="s">
        <v>52</v>
      </c>
      <c r="K14106" s="28" t="s">
        <v>52</v>
      </c>
      <c r="L14106" s="28" t="s">
        <v>52</v>
      </c>
      <c r="M14106" s="28" t="s">
        <v>52</v>
      </c>
      <c r="N14106" s="28" t="s">
        <v>52</v>
      </c>
    </row>
    <row r="14107" spans="1:14" hidden="1" outlineLevel="1" x14ac:dyDescent="0.2">
      <c r="A14107" s="23" t="str">
        <f>HYPERLINK("https://www.spark-marketing.ru/Card/Person/131145", "ФГУП ""ГРЧЦ""")</f>
        <v>ФГУП "ГРЧЦ"</v>
      </c>
      <c r="B14107" s="24" t="s">
        <v>16305</v>
      </c>
      <c r="C14107" s="28" t="s">
        <v>52</v>
      </c>
      <c r="D14107" s="22" t="s">
        <v>16306</v>
      </c>
      <c r="E14107" s="22" t="s">
        <v>930</v>
      </c>
      <c r="F14107" s="23" t="str">
        <f>HYPERLINK("https://www.spark-marketing.ru/Card/Lot/68168198", "Оказание услуг по обеспечению постгарантийного обслуживания оборудования видеоконференцсвязи, технического обслуживания мультимедийного комплекса и технического обслуживания технологического оборудования Ситуационного центра")</f>
        <v>Оказание услуг по обеспечению постгарантийного обслуживания оборудования видеоконференцсвязи, технического обслуживания мультимедийного комплекса и технического обслуживания технологического оборудования Ситуационного центра</v>
      </c>
      <c r="G14107" s="22" t="s">
        <v>55</v>
      </c>
      <c r="H14107" s="22" t="s">
        <v>55</v>
      </c>
      <c r="I14107" s="26">
        <v>43517.7509027778</v>
      </c>
      <c r="J14107" s="23" t="str">
        <f>HYPERLINK("https://www.spark-marketing.ru/Card/Person/10495", "АО ""СОФТЛАЙН ТРЕЙД""")</f>
        <v>АО "СОФТЛАЙН ТРЕЙД"</v>
      </c>
      <c r="K14107" s="24" t="s">
        <v>16307</v>
      </c>
      <c r="L14107" s="22" t="s">
        <v>10</v>
      </c>
      <c r="M14107" s="25">
        <v>11615172</v>
      </c>
      <c r="N14107" s="27">
        <v>3.5194160701669799E-3</v>
      </c>
    </row>
    <row r="14108" spans="1:14" hidden="1" outlineLevel="1" x14ac:dyDescent="0.2">
      <c r="A14108" s="23" t="str">
        <f>HYPERLINK("https://www.spark-marketing.ru/Card/Person/131145", "ФГУП ""ГРЧЦ""")</f>
        <v>ФГУП "ГРЧЦ"</v>
      </c>
      <c r="B14108" s="24" t="s">
        <v>16305</v>
      </c>
      <c r="C14108" s="28" t="s">
        <v>52</v>
      </c>
      <c r="D14108" s="22" t="s">
        <v>16306</v>
      </c>
      <c r="E14108" s="22" t="s">
        <v>930</v>
      </c>
      <c r="F14108" s="23" t="str">
        <f>HYPERLINK("https://www.spark-marketing.ru/Card/Lot/68168198", "Оказание услуг по обеспечению постгарантийного обслуживания оборудования видеоконференцсвязи, технического обслуживания мультимедийного комплекса и технического обслуживания технологического оборудования Ситуационного центра")</f>
        <v>Оказание услуг по обеспечению постгарантийного обслуживания оборудования видеоконференцсвязи, технического обслуживания мультимедийного комплекса и технического обслуживания технологического оборудования Ситуационного центра</v>
      </c>
      <c r="G14108" s="22" t="s">
        <v>55</v>
      </c>
      <c r="H14108" s="22" t="s">
        <v>55</v>
      </c>
      <c r="I14108" s="26">
        <v>43517.7509027778</v>
      </c>
      <c r="J14108" s="23" t="str">
        <f>HYPERLINK("https://www.spark-marketing.ru/Card/Person/920908", "ООО ""ЛЕ-ИНТЕГРАЦИЯ""")</f>
        <v>ООО "ЛЕ-ИНТЕГРАЦИЯ"</v>
      </c>
      <c r="K14108" s="24" t="s">
        <v>16308</v>
      </c>
      <c r="L14108" s="28" t="s">
        <v>52</v>
      </c>
      <c r="M14108" s="25">
        <v>11656188</v>
      </c>
      <c r="N14108" s="27">
        <v>6.0053902667208297E-7</v>
      </c>
    </row>
    <row r="14109" spans="1:14" x14ac:dyDescent="0.15">
      <c r="A14109" s="23" t="str">
        <f>HYPERLINK("https://www.spark-marketing.ru/Card/Person/1007224", "ГБУЗ МО ЩВФД")</f>
        <v>ГБУЗ МО ЩВФД</v>
      </c>
      <c r="B14109" s="24" t="s">
        <v>16309</v>
      </c>
      <c r="C14109" s="25">
        <v>13000</v>
      </c>
      <c r="D14109" s="22" t="s">
        <v>16310</v>
      </c>
      <c r="E14109" s="22" t="s">
        <v>107</v>
      </c>
      <c r="F14109" s="23" t="str">
        <f>HYPERLINK("https://www.spark-marketing.ru/Card/Lot/68165570", "Оказание услуг по техническому обслуживанию тревожной кнопки")</f>
        <v>Оказание услуг по техническому обслуживанию тревожной кнопки</v>
      </c>
      <c r="G14109" s="22" t="s">
        <v>50</v>
      </c>
      <c r="H14109" s="22" t="s">
        <v>458</v>
      </c>
      <c r="I14109" s="26">
        <v>43517.753101851798</v>
      </c>
      <c r="J14109" s="28" t="s">
        <v>52</v>
      </c>
      <c r="K14109" s="28" t="s">
        <v>52</v>
      </c>
      <c r="L14109" s="28" t="s">
        <v>52</v>
      </c>
      <c r="M14109" s="28" t="s">
        <v>52</v>
      </c>
      <c r="N14109" s="28" t="s">
        <v>52</v>
      </c>
    </row>
    <row r="14110" spans="1:14" x14ac:dyDescent="0.15">
      <c r="A14110" s="23" t="str">
        <f>HYPERLINK("https://www.spark-marketing.ru/Card/Person/6220818", "МКУ ""ЦОД""")</f>
        <v>МКУ "ЦОД"</v>
      </c>
      <c r="B14110" s="24" t="s">
        <v>16311</v>
      </c>
      <c r="C14110" s="25">
        <v>83620</v>
      </c>
      <c r="D14110" s="22" t="s">
        <v>16312</v>
      </c>
      <c r="E14110" s="22" t="s">
        <v>59</v>
      </c>
      <c r="F14110" s="23" t="str">
        <f>HYPERLINK("https://www.spark-marketing.ru/Card/Lot/68167944", "Оказание услуг по эксплуатационно-техническому обслуживанию систем СКУД, АТС, видеонаблюдения и шлагбаума")</f>
        <v>Оказание услуг по эксплуатационно-техническому обслуживанию систем СКУД, АТС, видеонаблюдения и шлагбаума</v>
      </c>
      <c r="G14110" s="22" t="s">
        <v>50</v>
      </c>
      <c r="H14110" s="22" t="s">
        <v>267</v>
      </c>
      <c r="I14110" s="26">
        <v>43517.7737962963</v>
      </c>
      <c r="J14110" s="28" t="s">
        <v>52</v>
      </c>
      <c r="K14110" s="28" t="s">
        <v>52</v>
      </c>
      <c r="L14110" s="28" t="s">
        <v>52</v>
      </c>
      <c r="M14110" s="28" t="s">
        <v>52</v>
      </c>
      <c r="N14110" s="28" t="s">
        <v>52</v>
      </c>
    </row>
    <row r="14111" spans="1:14" x14ac:dyDescent="0.15">
      <c r="A14111" s="23" t="str">
        <f>HYPERLINK("https://www.spark-marketing.ru/Card/Person/21941", "КАРЕЛЬСКАЯ ТАМОЖНЯ")</f>
        <v>КАРЕЛЬСКАЯ ТАМОЖНЯ</v>
      </c>
      <c r="B14111" s="24" t="s">
        <v>16223</v>
      </c>
      <c r="C14111" s="25">
        <v>84509.04</v>
      </c>
      <c r="D14111" s="22" t="s">
        <v>16313</v>
      </c>
      <c r="E14111" s="22" t="s">
        <v>68</v>
      </c>
      <c r="F14111" s="23" t="str">
        <f>HYPERLINK("https://www.spark-marketing.ru/Card/Lot/68168141", "Оказание услуг по охране объектов")</f>
        <v>Оказание услуг по охране объектов</v>
      </c>
      <c r="G14111" s="22" t="s">
        <v>435</v>
      </c>
      <c r="H14111" s="22" t="s">
        <v>435</v>
      </c>
      <c r="I14111" s="26">
        <v>43517.723611111098</v>
      </c>
      <c r="J14111" s="28" t="s">
        <v>52</v>
      </c>
      <c r="K14111" s="28" t="s">
        <v>52</v>
      </c>
      <c r="L14111" s="28" t="s">
        <v>52</v>
      </c>
      <c r="M14111" s="28" t="s">
        <v>52</v>
      </c>
      <c r="N14111" s="28" t="s">
        <v>52</v>
      </c>
    </row>
    <row r="14112" spans="1:14" x14ac:dyDescent="0.15">
      <c r="A14112" s="23" t="str">
        <f>HYPERLINK("https://www.spark-marketing.ru/Card/Person/4343605", "МИНЮСТ РЕСПУБЛИКИ ТЫВА")</f>
        <v>МИНЮСТ РЕСПУБЛИКИ ТЫВА</v>
      </c>
      <c r="B14112" s="24" t="s">
        <v>16314</v>
      </c>
      <c r="C14112" s="25">
        <v>299614.92</v>
      </c>
      <c r="D14112" s="22" t="s">
        <v>16315</v>
      </c>
      <c r="E14112" s="22" t="s">
        <v>68</v>
      </c>
      <c r="F14112" s="23" t="str">
        <f>HYPERLINK("https://www.spark-marketing.ru/Card/Lot/68163549", "Оказание услуг по мониторингу и охране и осуществлении технического обслуживания технических средств охраны")</f>
        <v>Оказание услуг по мониторингу и охране и осуществлении технического обслуживания технических средств охраны</v>
      </c>
      <c r="G14112" s="22" t="s">
        <v>2193</v>
      </c>
      <c r="H14112" s="22" t="s">
        <v>2194</v>
      </c>
      <c r="I14112" s="26">
        <v>43517.741666666698</v>
      </c>
      <c r="J14112" s="28" t="s">
        <v>52</v>
      </c>
      <c r="K14112" s="28" t="s">
        <v>52</v>
      </c>
      <c r="L14112" s="28" t="s">
        <v>52</v>
      </c>
      <c r="M14112" s="28" t="s">
        <v>52</v>
      </c>
      <c r="N14112" s="28" t="s">
        <v>52</v>
      </c>
    </row>
    <row r="14113" spans="1:14" x14ac:dyDescent="0.2">
      <c r="A14113" s="23" t="str">
        <f>HYPERLINK("https://www.spark-marketing.ru/Card/Person/4346904", "ФГБУ ЦНМВЛ")</f>
        <v>ФГБУ ЦНМВЛ</v>
      </c>
      <c r="B14113" s="24" t="s">
        <v>16316</v>
      </c>
      <c r="C14113" s="25">
        <v>275000</v>
      </c>
      <c r="D14113" s="22" t="s">
        <v>16317</v>
      </c>
      <c r="E14113" s="22" t="s">
        <v>137</v>
      </c>
      <c r="F14113" s="23" t="str">
        <f>HYPERLINK("https://www.spark-marketing.ru/Card/Lot/68167191", "Техническое обслуживание системы видеонаблюдения на объекте Заказчика ФГБУ ЦНМВЛ, расположенном по адресу: г. Калуга, ул. Московская, д. 311")</f>
        <v>Техническое обслуживание системы видеонаблюдения на объекте Заказчика ФГБУ ЦНМВЛ, расположенном по адресу: г. Калуга, ул. Московская, д. 311</v>
      </c>
      <c r="G14113" s="22" t="s">
        <v>658</v>
      </c>
      <c r="H14113" s="22" t="s">
        <v>658</v>
      </c>
      <c r="I14113" s="26">
        <v>43517.732592592598</v>
      </c>
      <c r="J14113" s="23" t="str">
        <f>HYPERLINK("https://www.spark-marketing.ru/Card/Person/5949980", "ООО ""МЕГАПРОМ""")</f>
        <v>ООО "МЕГАПРОМ"</v>
      </c>
      <c r="K14113" s="24" t="s">
        <v>16318</v>
      </c>
      <c r="L14113" s="28" t="s">
        <v>52</v>
      </c>
      <c r="M14113" s="25">
        <v>275000</v>
      </c>
      <c r="N14113" s="27">
        <v>0</v>
      </c>
    </row>
    <row r="14114" spans="1:14" x14ac:dyDescent="0.15">
      <c r="A14114" s="23" t="str">
        <f>HYPERLINK("https://www.spark-marketing.ru/Card/Person/65574", "ГБДОУ ДЕТСКИЙ САД № 17 КОЛПИНСКОГО РАЙОНА СПБ")</f>
        <v>ГБДОУ ДЕТСКИЙ САД № 17 КОЛПИНСКОГО РАЙОНА СПБ</v>
      </c>
      <c r="B14114" s="24" t="s">
        <v>16319</v>
      </c>
      <c r="C14114" s="25">
        <v>505540</v>
      </c>
      <c r="D14114" s="22" t="s">
        <v>16320</v>
      </c>
      <c r="E14114" s="22" t="s">
        <v>68</v>
      </c>
      <c r="F14114" s="23" t="str">
        <f>HYPERLINK("https://www.spark-marketing.ru/Card/Lot/68166417", "Оказание услуг по организации и обеспечению охраны объекта и имущества, а также обеспечение внутриобъектового и пропускного режима на объекте, в отношении которого установлены обязательные для выполнения требования к антитеррористической защищенности...")</f>
        <v>Оказание услуг по организации и обеспечению охраны объекта и имущества, а также обеспечение внутриобъектового и пропускного режима на объекте, в отношении которого установлены обязательные для выполнения требования к антитеррористической защищенности...</v>
      </c>
      <c r="G14114" s="22" t="s">
        <v>89</v>
      </c>
      <c r="H14114" s="22" t="s">
        <v>89</v>
      </c>
      <c r="I14114" s="26">
        <v>43517.724305555603</v>
      </c>
      <c r="J14114" s="28" t="s">
        <v>52</v>
      </c>
      <c r="K14114" s="28" t="s">
        <v>52</v>
      </c>
      <c r="L14114" s="28" t="s">
        <v>52</v>
      </c>
      <c r="M14114" s="28" t="s">
        <v>52</v>
      </c>
      <c r="N14114" s="28" t="s">
        <v>52</v>
      </c>
    </row>
    <row r="14115" spans="1:14" hidden="1" outlineLevel="1" x14ac:dyDescent="0.2">
      <c r="A14115" s="23" t="str">
        <f>HYPERLINK("https://www.spark-marketing.ru/Card/Person/65574", "ГБДОУ ДЕТСКИЙ САД № 17 КОЛПИНСКОГО РАЙОНА СПБ")</f>
        <v>ГБДОУ ДЕТСКИЙ САД № 17 КОЛПИНСКОГО РАЙОНА СПБ</v>
      </c>
      <c r="B14115" s="24" t="s">
        <v>16319</v>
      </c>
      <c r="C14115" s="25">
        <v>505540</v>
      </c>
      <c r="D14115" s="22" t="s">
        <v>16320</v>
      </c>
      <c r="E14115" s="22" t="s">
        <v>68</v>
      </c>
      <c r="F14115" s="23" t="str">
        <f>HYPERLINK("https://www.spark-marketing.ru/Card/Lot/68166417", "Оказание услуг по организации и обеспечению охраны объекта и имущества, а также обеспечение внутриобъектового и пропускного режима на объекте, в отношении которого установлены обязательные для выполнения требования к антитеррористической защищенности...")</f>
        <v>Оказание услуг по организации и обеспечению охраны объекта и имущества, а также обеспечение внутриобъектового и пропускного режима на объекте, в отношении которого установлены обязательные для выполнения требования к антитеррористической защищенности...</v>
      </c>
      <c r="G14115" s="22" t="s">
        <v>89</v>
      </c>
      <c r="H14115" s="22" t="s">
        <v>89</v>
      </c>
      <c r="I14115" s="26">
        <v>43517.724305555603</v>
      </c>
      <c r="J14115" s="23" t="str">
        <f>HYPERLINK("https://www.spark-marketing.ru/Card/Person/1557170", "ООО ""ОП ""ИЖОРА-ЩИТ""")</f>
        <v>ООО "ОП "ИЖОРА-ЩИТ"</v>
      </c>
      <c r="K14115" s="24" t="s">
        <v>16321</v>
      </c>
      <c r="L14115" s="28" t="s">
        <v>52</v>
      </c>
      <c r="M14115" s="25">
        <v>367080</v>
      </c>
      <c r="N14115" s="27">
        <v>0.27388535031847133</v>
      </c>
    </row>
    <row r="14116" spans="1:14" ht="12.75" hidden="1" outlineLevel="1" x14ac:dyDescent="0.2">
      <c r="A14116" s="23" t="str">
        <f>HYPERLINK("https://www.spark-marketing.ru/Card/Person/65574", "ГБДОУ ДЕТСКИЙ САД № 17 КОЛПИНСКОГО РАЙОНА СПБ")</f>
        <v>ГБДОУ ДЕТСКИЙ САД № 17 КОЛПИНСКОГО РАЙОНА СПБ</v>
      </c>
      <c r="B14116" s="24" t="s">
        <v>16319</v>
      </c>
      <c r="C14116" s="25">
        <v>505540</v>
      </c>
      <c r="D14116" s="22" t="s">
        <v>16320</v>
      </c>
      <c r="E14116" s="22" t="s">
        <v>68</v>
      </c>
      <c r="F14116" s="23" t="str">
        <f>HYPERLINK("https://www.spark-marketing.ru/Card/Lot/68166417", "Оказание услуг по организации и обеспечению охраны объекта и имущества, а также обеспечение внутриобъектового и пропускного режима на объекте, в отношении которого установлены обязательные для выполнения требования к антитеррористической защищенности...")</f>
        <v>Оказание услуг по организации и обеспечению охраны объекта и имущества, а также обеспечение внутриобъектового и пропускного режима на объекте, в отношении которого установлены обязательные для выполнения требования к антитеррористической защищенности...</v>
      </c>
      <c r="G14116" s="22" t="s">
        <v>89</v>
      </c>
      <c r="H14116" s="22" t="s">
        <v>89</v>
      </c>
      <c r="I14116" s="26">
        <v>43517.724305555603</v>
      </c>
      <c r="J14116" s="23" t="str">
        <f>HYPERLINK("https://www.spark-marketing.ru/Card/Person/27570", "ООО ""ОО ""ИНСАР""")</f>
        <v>ООО "ОО "ИНСАР"</v>
      </c>
      <c r="K14116" s="24" t="s">
        <v>6890</v>
      </c>
      <c r="L14116" s="22" t="s">
        <v>10</v>
      </c>
      <c r="M14116" s="25">
        <v>364552.3</v>
      </c>
      <c r="N14116" s="27">
        <v>0.27888535031847134</v>
      </c>
    </row>
    <row r="14117" spans="1:14" x14ac:dyDescent="0.15">
      <c r="A14117" s="23" t="str">
        <f>HYPERLINK("https://www.spark-marketing.ru/Card/Person/971733", "КГАУК ""ЦКС""")</f>
        <v>КГАУК "ЦКС"</v>
      </c>
      <c r="B14117" s="24" t="s">
        <v>8820</v>
      </c>
      <c r="C14117" s="25">
        <v>302320</v>
      </c>
      <c r="D14117" s="22" t="s">
        <v>16322</v>
      </c>
      <c r="E14117" s="22" t="s">
        <v>5214</v>
      </c>
      <c r="F14117" s="23" t="str">
        <f>HYPERLINK("https://www.spark-marketing.ru/Card/Lot/68155780", "Оказание услуг по предоставлению и техническому обслуживанию видеопроекционного оборудования в рамках проведения мероприятия «День защитника Отечества».")</f>
        <v>Оказание услуг по предоставлению и техническому обслуживанию видеопроекционного оборудования в рамках проведения мероприятия «День защитника Отечества».</v>
      </c>
      <c r="G14117" s="22" t="s">
        <v>640</v>
      </c>
      <c r="H14117" s="22" t="s">
        <v>640</v>
      </c>
      <c r="I14117" s="26">
        <v>43517.741099537001</v>
      </c>
      <c r="J14117" s="28" t="s">
        <v>52</v>
      </c>
      <c r="K14117" s="28" t="s">
        <v>52</v>
      </c>
      <c r="L14117" s="28" t="s">
        <v>52</v>
      </c>
      <c r="M14117" s="28" t="s">
        <v>52</v>
      </c>
      <c r="N14117" s="28" t="s">
        <v>52</v>
      </c>
    </row>
    <row r="14118" spans="1:14" x14ac:dyDescent="0.15">
      <c r="A14118" s="23" t="str">
        <f>HYPERLINK("https://www.spark-marketing.ru/Card/Person/21941", "КАРЕЛЬСКАЯ ТАМОЖНЯ")</f>
        <v>КАРЕЛЬСКАЯ ТАМОЖНЯ</v>
      </c>
      <c r="B14118" s="24" t="s">
        <v>16223</v>
      </c>
      <c r="C14118" s="25">
        <v>85477.440000000002</v>
      </c>
      <c r="D14118" s="22" t="s">
        <v>16323</v>
      </c>
      <c r="E14118" s="22" t="s">
        <v>68</v>
      </c>
      <c r="F14118" s="23" t="str">
        <f>HYPERLINK("https://www.spark-marketing.ru/Card/Lot/68168140", "Оказание услуг по охране объектов")</f>
        <v>Оказание услуг по охране объектов</v>
      </c>
      <c r="G14118" s="22" t="s">
        <v>435</v>
      </c>
      <c r="H14118" s="22" t="s">
        <v>435</v>
      </c>
      <c r="I14118" s="26">
        <v>43517.723611111098</v>
      </c>
      <c r="J14118" s="28" t="s">
        <v>52</v>
      </c>
      <c r="K14118" s="28" t="s">
        <v>52</v>
      </c>
      <c r="L14118" s="28" t="s">
        <v>52</v>
      </c>
      <c r="M14118" s="28" t="s">
        <v>52</v>
      </c>
      <c r="N14118" s="28" t="s">
        <v>52</v>
      </c>
    </row>
    <row r="14119" spans="1:14" x14ac:dyDescent="0.15">
      <c r="A14119" s="23" t="str">
        <f>HYPERLINK("https://www.spark-marketing.ru/Card/Person/1781229", "ООО ""СОЮЗ СВ. ИОАННА ВОИНА""")</f>
        <v>ООО "СОЮЗ СВ. ИОАННА ВОИНА"</v>
      </c>
      <c r="B14119" s="24" t="s">
        <v>7067</v>
      </c>
      <c r="C14119" s="25">
        <v>145</v>
      </c>
      <c r="D14119" s="22" t="s">
        <v>16324</v>
      </c>
      <c r="E14119" s="22" t="s">
        <v>53</v>
      </c>
      <c r="F14119" s="23" t="str">
        <f>HYPERLINK("https://www.spark-marketing.ru/Card/Lot/68168776", "Оказание охранных услуг за 1 час при режиме работы 13 часов ежедневно (действующие магазины), в пределах Ленинградской области, г. Великий Новгород, Новгородской области.")</f>
        <v>Оказание охранных услуг за 1 час при режиме работы 13 часов ежедневно (действующие магазины), в пределах Ленинградской области, г. Великий Новгород, Новгородской области.</v>
      </c>
      <c r="G14119" s="22" t="s">
        <v>55</v>
      </c>
      <c r="H14119" s="22" t="s">
        <v>55</v>
      </c>
      <c r="I14119" s="26">
        <v>43517.704872685201</v>
      </c>
      <c r="J14119" s="28" t="s">
        <v>52</v>
      </c>
      <c r="K14119" s="28" t="s">
        <v>52</v>
      </c>
      <c r="L14119" s="28" t="s">
        <v>52</v>
      </c>
      <c r="M14119" s="28" t="s">
        <v>52</v>
      </c>
      <c r="N14119" s="28" t="s">
        <v>52</v>
      </c>
    </row>
    <row r="14120" spans="1:14" x14ac:dyDescent="0.15">
      <c r="A14120" s="23" t="str">
        <f>HYPERLINK("https://www.spark-marketing.ru/Card/Person/21941", "КАРЕЛЬСКАЯ ТАМОЖНЯ")</f>
        <v>КАРЕЛЬСКАЯ ТАМОЖНЯ</v>
      </c>
      <c r="B14120" s="24" t="s">
        <v>16223</v>
      </c>
      <c r="C14120" s="25">
        <v>31536</v>
      </c>
      <c r="D14120" s="22" t="s">
        <v>16325</v>
      </c>
      <c r="E14120" s="22" t="s">
        <v>68</v>
      </c>
      <c r="F14120" s="23" t="str">
        <f>HYPERLINK("https://www.spark-marketing.ru/Card/Lot/68165079", "Оказание услуг по охране объектов")</f>
        <v>Оказание услуг по охране объектов</v>
      </c>
      <c r="G14120" s="22" t="s">
        <v>435</v>
      </c>
      <c r="H14120" s="22" t="s">
        <v>435</v>
      </c>
      <c r="I14120" s="26">
        <v>43517.690972222197</v>
      </c>
      <c r="J14120" s="28" t="s">
        <v>52</v>
      </c>
      <c r="K14120" s="28" t="s">
        <v>52</v>
      </c>
      <c r="L14120" s="28" t="s">
        <v>52</v>
      </c>
      <c r="M14120" s="28" t="s">
        <v>52</v>
      </c>
      <c r="N14120" s="28" t="s">
        <v>52</v>
      </c>
    </row>
    <row r="14121" spans="1:14" x14ac:dyDescent="0.15">
      <c r="A14121" s="23" t="str">
        <f>HYPERLINK("https://www.spark-marketing.ru/Card/Person/1781229", "ООО ""СОЮЗ СВ. ИОАННА ВОИНА""")</f>
        <v>ООО "СОЮЗ СВ. ИОАННА ВОИНА"</v>
      </c>
      <c r="B14121" s="24" t="s">
        <v>7067</v>
      </c>
      <c r="C14121" s="25">
        <v>128</v>
      </c>
      <c r="D14121" s="22" t="s">
        <v>16324</v>
      </c>
      <c r="E14121" s="22" t="s">
        <v>53</v>
      </c>
      <c r="F14121" s="23" t="str">
        <f>HYPERLINK("https://www.spark-marketing.ru/Card/Lot/68168782", "Оказание охранных услуг за 1 час при режиме работы 13 часов ежедневно (действующие магазины), в пределах Свердловской области.")</f>
        <v>Оказание охранных услуг за 1 час при режиме работы 13 часов ежедневно (действующие магазины), в пределах Свердловской области.</v>
      </c>
      <c r="G14121" s="22" t="s">
        <v>55</v>
      </c>
      <c r="H14121" s="22" t="s">
        <v>55</v>
      </c>
      <c r="I14121" s="26">
        <v>43517.704872685201</v>
      </c>
      <c r="J14121" s="28" t="s">
        <v>52</v>
      </c>
      <c r="K14121" s="28" t="s">
        <v>52</v>
      </c>
      <c r="L14121" s="28" t="s">
        <v>52</v>
      </c>
      <c r="M14121" s="28" t="s">
        <v>52</v>
      </c>
      <c r="N14121" s="28" t="s">
        <v>52</v>
      </c>
    </row>
    <row r="14122" spans="1:14" x14ac:dyDescent="0.15">
      <c r="A14122" s="23" t="str">
        <f>HYPERLINK("https://www.spark-marketing.ru/Card/Person/55362", "МДОУ ДЕТСКИЙ САД №5 ""ЗОЛОТОЙ КЛЮЧИК""")</f>
        <v>МДОУ ДЕТСКИЙ САД №5 "ЗОЛОТОЙ КЛЮЧИК"</v>
      </c>
      <c r="B14122" s="24" t="s">
        <v>16326</v>
      </c>
      <c r="C14122" s="25">
        <v>60000</v>
      </c>
      <c r="D14122" s="22" t="s">
        <v>16327</v>
      </c>
      <c r="E14122" s="22" t="s">
        <v>294</v>
      </c>
      <c r="F14122" s="23" t="str">
        <f>HYPERLINK("https://www.spark-marketing.ru/Card/Lot/68161197", "Техническое обслуживание системы видеонаблюдения.")</f>
        <v>Техническое обслуживание системы видеонаблюдения.</v>
      </c>
      <c r="G14122" s="22" t="s">
        <v>50</v>
      </c>
      <c r="H14122" s="22" t="s">
        <v>5291</v>
      </c>
      <c r="I14122" s="26">
        <v>43517.691006944398</v>
      </c>
      <c r="J14122" s="28" t="s">
        <v>52</v>
      </c>
      <c r="K14122" s="28" t="s">
        <v>52</v>
      </c>
      <c r="L14122" s="28" t="s">
        <v>52</v>
      </c>
      <c r="M14122" s="28" t="s">
        <v>52</v>
      </c>
      <c r="N14122" s="28" t="s">
        <v>52</v>
      </c>
    </row>
    <row r="14123" spans="1:14" x14ac:dyDescent="0.15">
      <c r="A14123" s="23" t="str">
        <f>HYPERLINK("https://www.spark-marketing.ru/Card/Person/21941", "КАРЕЛЬСКАЯ ТАМОЖНЯ")</f>
        <v>КАРЕЛЬСКАЯ ТАМОЖНЯ</v>
      </c>
      <c r="B14123" s="24" t="s">
        <v>16223</v>
      </c>
      <c r="C14123" s="25">
        <v>21900</v>
      </c>
      <c r="D14123" s="22" t="s">
        <v>16328</v>
      </c>
      <c r="E14123" s="22" t="s">
        <v>68</v>
      </c>
      <c r="F14123" s="23" t="str">
        <f>HYPERLINK("https://www.spark-marketing.ru/Card/Lot/68165371", "Оказание услуг по охране объектов")</f>
        <v>Оказание услуг по охране объектов</v>
      </c>
      <c r="G14123" s="22" t="s">
        <v>435</v>
      </c>
      <c r="H14123" s="22" t="s">
        <v>435</v>
      </c>
      <c r="I14123" s="26">
        <v>43517.689583333296</v>
      </c>
      <c r="J14123" s="28" t="s">
        <v>52</v>
      </c>
      <c r="K14123" s="28" t="s">
        <v>52</v>
      </c>
      <c r="L14123" s="28" t="s">
        <v>52</v>
      </c>
      <c r="M14123" s="28" t="s">
        <v>52</v>
      </c>
      <c r="N14123" s="28" t="s">
        <v>52</v>
      </c>
    </row>
    <row r="14124" spans="1:14" x14ac:dyDescent="0.15">
      <c r="A14124" s="23" t="str">
        <f>HYPERLINK("https://www.spark-marketing.ru/Card/Person/1781229", "ООО ""СОЮЗ СВ. ИОАННА ВОИНА""")</f>
        <v>ООО "СОЮЗ СВ. ИОАННА ВОИНА"</v>
      </c>
      <c r="B14124" s="24" t="s">
        <v>7067</v>
      </c>
      <c r="C14124" s="25">
        <v>128</v>
      </c>
      <c r="D14124" s="22" t="s">
        <v>16324</v>
      </c>
      <c r="E14124" s="22" t="s">
        <v>53</v>
      </c>
      <c r="F14124" s="23" t="str">
        <f>HYPERLINK("https://www.spark-marketing.ru/Card/Lot/68168784", "Оказание охранных услуг за 1 час при режиме работы 24 часа ежедневно (строящиеся магазины), в пределах Свердловской области.")</f>
        <v>Оказание охранных услуг за 1 час при режиме работы 24 часа ежедневно (строящиеся магазины), в пределах Свердловской области.</v>
      </c>
      <c r="G14124" s="22" t="s">
        <v>55</v>
      </c>
      <c r="H14124" s="22" t="s">
        <v>55</v>
      </c>
      <c r="I14124" s="26">
        <v>43517.704872685201</v>
      </c>
      <c r="J14124" s="28" t="s">
        <v>52</v>
      </c>
      <c r="K14124" s="28" t="s">
        <v>52</v>
      </c>
      <c r="L14124" s="28" t="s">
        <v>52</v>
      </c>
      <c r="M14124" s="28" t="s">
        <v>52</v>
      </c>
      <c r="N14124" s="28" t="s">
        <v>52</v>
      </c>
    </row>
    <row r="14125" spans="1:14" x14ac:dyDescent="0.15">
      <c r="A14125" s="23" t="str">
        <f>HYPERLINK("https://www.spark-marketing.ru/Card/Person/8644", "ГКУ ПО ""УПРАВЛЕНИЕ ОД В ЧС""")</f>
        <v>ГКУ ПО "УПРАВЛЕНИЕ ОД В ЧС"</v>
      </c>
      <c r="B14125" s="24" t="s">
        <v>7289</v>
      </c>
      <c r="C14125" s="25">
        <v>675000</v>
      </c>
      <c r="D14125" s="22" t="s">
        <v>16329</v>
      </c>
      <c r="E14125" s="22" t="s">
        <v>107</v>
      </c>
      <c r="F14125" s="23" t="str">
        <f>HYPERLINK("https://www.spark-marketing.ru/Card/Lot/68166287", "Оказание услуг по эксплуатационно-техническому обслуживанию и восстановлению работоспособности системы видеонаблюдения АПК «Безопасный город» (идентификационный номер: 048-А-ГЗ)")</f>
        <v>Оказание услуг по эксплуатационно-техническому обслуживанию и восстановлению работоспособности системы видеонаблюдения АПК «Безопасный город» (идентификационный номер: 048-А-ГЗ)</v>
      </c>
      <c r="G14125" s="22" t="s">
        <v>142</v>
      </c>
      <c r="H14125" s="22" t="s">
        <v>2320</v>
      </c>
      <c r="I14125" s="26">
        <v>43517.706944444399</v>
      </c>
      <c r="J14125" s="28" t="s">
        <v>52</v>
      </c>
      <c r="K14125" s="28" t="s">
        <v>52</v>
      </c>
      <c r="L14125" s="28" t="s">
        <v>52</v>
      </c>
      <c r="M14125" s="28" t="s">
        <v>52</v>
      </c>
      <c r="N14125" s="28" t="s">
        <v>52</v>
      </c>
    </row>
    <row r="14126" spans="1:14" hidden="1" outlineLevel="1" x14ac:dyDescent="0.2">
      <c r="A14126" s="23" t="str">
        <f>HYPERLINK("https://www.spark-marketing.ru/Card/Person/8644", "ГКУ ПО ""УПРАВЛЕНИЕ ОД В ЧС""")</f>
        <v>ГКУ ПО "УПРАВЛЕНИЕ ОД В ЧС"</v>
      </c>
      <c r="B14126" s="24" t="s">
        <v>7289</v>
      </c>
      <c r="C14126" s="25">
        <v>675000</v>
      </c>
      <c r="D14126" s="22" t="s">
        <v>16329</v>
      </c>
      <c r="E14126" s="22" t="s">
        <v>107</v>
      </c>
      <c r="F14126" s="23" t="str">
        <f>HYPERLINK("https://www.spark-marketing.ru/Card/Lot/68166287", "Оказание услуг по эксплуатационно-техническому обслуживанию и восстановлению работоспособности системы видеонаблюдения АПК «Безопасный город» (идентификационный номер: 048-А-ГЗ)")</f>
        <v>Оказание услуг по эксплуатационно-техническому обслуживанию и восстановлению работоспособности системы видеонаблюдения АПК «Безопасный город» (идентификационный номер: 048-А-ГЗ)</v>
      </c>
      <c r="G14126" s="22" t="s">
        <v>142</v>
      </c>
      <c r="H14126" s="22" t="s">
        <v>2320</v>
      </c>
      <c r="I14126" s="26">
        <v>43517.706944444399</v>
      </c>
      <c r="J14126" s="23" t="str">
        <f>HYPERLINK("https://www.spark-marketing.ru/Card/Person/1800316", "ООО ""ПРОМТЕРРА-С""")</f>
        <v>ООО "ПРОМТЕРРА-С"</v>
      </c>
      <c r="K14126" s="24" t="s">
        <v>16330</v>
      </c>
      <c r="L14126" s="28" t="s">
        <v>52</v>
      </c>
      <c r="M14126" s="25">
        <v>675000</v>
      </c>
      <c r="N14126" s="27">
        <v>0</v>
      </c>
    </row>
    <row r="14127" spans="1:14" hidden="1" outlineLevel="1" x14ac:dyDescent="0.2">
      <c r="A14127" s="23" t="str">
        <f>HYPERLINK("https://www.spark-marketing.ru/Card/Person/8644", "ГКУ ПО ""УПРАВЛЕНИЕ ОД В ЧС""")</f>
        <v>ГКУ ПО "УПРАВЛЕНИЕ ОД В ЧС"</v>
      </c>
      <c r="B14127" s="24" t="s">
        <v>7289</v>
      </c>
      <c r="C14127" s="25">
        <v>675000</v>
      </c>
      <c r="D14127" s="22" t="s">
        <v>16329</v>
      </c>
      <c r="E14127" s="22" t="s">
        <v>107</v>
      </c>
      <c r="F14127" s="23" t="str">
        <f>HYPERLINK("https://www.spark-marketing.ru/Card/Lot/68166287", "Оказание услуг по эксплуатационно-техническому обслуживанию и восстановлению работоспособности системы видеонаблюдения АПК «Безопасный город» (идентификационный номер: 048-А-ГЗ)")</f>
        <v>Оказание услуг по эксплуатационно-техническому обслуживанию и восстановлению работоспособности системы видеонаблюдения АПК «Безопасный город» (идентификационный номер: 048-А-ГЗ)</v>
      </c>
      <c r="G14127" s="22" t="s">
        <v>142</v>
      </c>
      <c r="H14127" s="22" t="s">
        <v>2320</v>
      </c>
      <c r="I14127" s="26">
        <v>43517.706944444399</v>
      </c>
      <c r="J14127" s="23" t="str">
        <f>HYPERLINK("https://www.spark-marketing.ru/Card/Person/11882", "ООО ""ИЗБОРСКИЙ ПАРК""")</f>
        <v>ООО "ИЗБОРСКИЙ ПАРК"</v>
      </c>
      <c r="K14127" s="24" t="s">
        <v>13902</v>
      </c>
      <c r="L14127" s="28" t="s">
        <v>52</v>
      </c>
      <c r="M14127" s="25">
        <v>850000</v>
      </c>
      <c r="N14127" s="27">
        <v>-0.25925925925925924</v>
      </c>
    </row>
    <row r="14128" spans="1:14" hidden="1" outlineLevel="1" x14ac:dyDescent="0.2">
      <c r="A14128" s="23" t="str">
        <f>HYPERLINK("https://www.spark-marketing.ru/Card/Person/8644", "ГКУ ПО ""УПРАВЛЕНИЕ ОД В ЧС""")</f>
        <v>ГКУ ПО "УПРАВЛЕНИЕ ОД В ЧС"</v>
      </c>
      <c r="B14128" s="24" t="s">
        <v>7289</v>
      </c>
      <c r="C14128" s="25">
        <v>675000</v>
      </c>
      <c r="D14128" s="22" t="s">
        <v>16329</v>
      </c>
      <c r="E14128" s="22" t="s">
        <v>107</v>
      </c>
      <c r="F14128" s="23" t="str">
        <f>HYPERLINK("https://www.spark-marketing.ru/Card/Lot/68166287", "Оказание услуг по эксплуатационно-техническому обслуживанию и восстановлению работоспособности системы видеонаблюдения АПК «Безопасный город» (идентификационный номер: 048-А-ГЗ)")</f>
        <v>Оказание услуг по эксплуатационно-техническому обслуживанию и восстановлению работоспособности системы видеонаблюдения АПК «Безопасный город» (идентификационный номер: 048-А-ГЗ)</v>
      </c>
      <c r="G14128" s="22" t="s">
        <v>142</v>
      </c>
      <c r="H14128" s="22" t="s">
        <v>2320</v>
      </c>
      <c r="I14128" s="26">
        <v>43517.706944444399</v>
      </c>
      <c r="J14128" s="23" t="str">
        <f>HYPERLINK("https://www.spark-marketing.ru/Card/Person/5790089", "ООО ""СКОРПИОН-ГРУПП""")</f>
        <v>ООО "СКОРПИОН-ГРУПП"</v>
      </c>
      <c r="K14128" s="24" t="s">
        <v>13901</v>
      </c>
      <c r="L14128" s="28" t="s">
        <v>52</v>
      </c>
      <c r="M14128" s="25">
        <v>952270.28</v>
      </c>
      <c r="N14128" s="27">
        <v>-0.41077078518518517</v>
      </c>
    </row>
    <row r="14129" spans="1:14" ht="12.75" hidden="1" outlineLevel="1" x14ac:dyDescent="0.2">
      <c r="A14129" s="23" t="str">
        <f>HYPERLINK("https://www.spark-marketing.ru/Card/Person/8644", "ГКУ ПО ""УПРАВЛЕНИЕ ОД В ЧС""")</f>
        <v>ГКУ ПО "УПРАВЛЕНИЕ ОД В ЧС"</v>
      </c>
      <c r="B14129" s="24" t="s">
        <v>7289</v>
      </c>
      <c r="C14129" s="25">
        <v>675000</v>
      </c>
      <c r="D14129" s="22" t="s">
        <v>16329</v>
      </c>
      <c r="E14129" s="22" t="s">
        <v>107</v>
      </c>
      <c r="F14129" s="23" t="str">
        <f>HYPERLINK("https://www.spark-marketing.ru/Card/Lot/68166287", "Оказание услуг по эксплуатационно-техническому обслуживанию и восстановлению работоспособности системы видеонаблюдения АПК «Безопасный город» (идентификационный номер: 048-А-ГЗ)")</f>
        <v>Оказание услуг по эксплуатационно-техническому обслуживанию и восстановлению работоспособности системы видеонаблюдения АПК «Безопасный город» (идентификационный номер: 048-А-ГЗ)</v>
      </c>
      <c r="G14129" s="22" t="s">
        <v>142</v>
      </c>
      <c r="H14129" s="22" t="s">
        <v>2320</v>
      </c>
      <c r="I14129" s="26">
        <v>43517.706944444399</v>
      </c>
      <c r="J14129" s="23" t="str">
        <f>HYPERLINK("https://www.spark-marketing.ru/Card/Person/614752", "ООО ""ФОРМОЗА-ИТ""")</f>
        <v>ООО "ФОРМОЗА-ИТ"</v>
      </c>
      <c r="K14129" s="24" t="s">
        <v>7291</v>
      </c>
      <c r="L14129" s="22" t="s">
        <v>10</v>
      </c>
      <c r="M14129" s="25">
        <v>675000</v>
      </c>
      <c r="N14129" s="27">
        <v>0</v>
      </c>
    </row>
    <row r="14130" spans="1:14" x14ac:dyDescent="0.15">
      <c r="A14130" s="23" t="str">
        <f>HYPERLINK("https://www.spark-marketing.ru/Card/Person/1781229", "ООО ""СОЮЗ СВ. ИОАННА ВОИНА""")</f>
        <v>ООО "СОЮЗ СВ. ИОАННА ВОИНА"</v>
      </c>
      <c r="B14130" s="24" t="s">
        <v>7067</v>
      </c>
      <c r="C14130" s="25">
        <v>149</v>
      </c>
      <c r="D14130" s="22" t="s">
        <v>16324</v>
      </c>
      <c r="E14130" s="22" t="s">
        <v>53</v>
      </c>
      <c r="F14130" s="23" t="str">
        <f>HYPERLINK("https://www.spark-marketing.ru/Card/Lot/68168774", "Оказание охранных услуг за 1 час при режиме работы 24 часа ежедневно (действующие магазины), в пределах г. Санкт-Петербург.")</f>
        <v>Оказание охранных услуг за 1 час при режиме работы 24 часа ежедневно (действующие магазины), в пределах г. Санкт-Петербург.</v>
      </c>
      <c r="G14130" s="22" t="s">
        <v>55</v>
      </c>
      <c r="H14130" s="22" t="s">
        <v>55</v>
      </c>
      <c r="I14130" s="26">
        <v>43517.704872685201</v>
      </c>
      <c r="J14130" s="28" t="s">
        <v>52</v>
      </c>
      <c r="K14130" s="28" t="s">
        <v>52</v>
      </c>
      <c r="L14130" s="28" t="s">
        <v>52</v>
      </c>
      <c r="M14130" s="28" t="s">
        <v>52</v>
      </c>
      <c r="N14130" s="28" t="s">
        <v>52</v>
      </c>
    </row>
    <row r="14131" spans="1:14" x14ac:dyDescent="0.15">
      <c r="A14131" s="23" t="str">
        <f>HYPERLINK("https://www.spark-marketing.ru/Card/Person/140364", "АДМИНИСТРАЦИЯ СОВЕТСКОГО РАЙОНА ГОРОДА ОРСКА")</f>
        <v>АДМИНИСТРАЦИЯ СОВЕТСКОГО РАЙОНА ГОРОДА ОРСКА</v>
      </c>
      <c r="B14131" s="24" t="s">
        <v>14836</v>
      </c>
      <c r="C14131" s="25">
        <v>690800</v>
      </c>
      <c r="D14131" s="22" t="s">
        <v>16331</v>
      </c>
      <c r="E14131" s="22" t="s">
        <v>68</v>
      </c>
      <c r="F14131" s="23" t="str">
        <f>HYPERLINK("https://www.spark-marketing.ru/Card/Lot/68164684", "Организация мероприятий, направленных на охрану общественного порядка на территории Советского района города Орска и создание условий для деятельности народных дружин")</f>
        <v>Организация мероприятий, направленных на охрану общественного порядка на территории Советского района города Орска и создание условий для деятельности народных дружин</v>
      </c>
      <c r="G14131" s="22" t="s">
        <v>384</v>
      </c>
      <c r="H14131" s="22" t="s">
        <v>10100</v>
      </c>
      <c r="I14131" s="26">
        <v>43517.6694444444</v>
      </c>
      <c r="J14131" s="28" t="s">
        <v>52</v>
      </c>
      <c r="K14131" s="28" t="s">
        <v>52</v>
      </c>
      <c r="L14131" s="28" t="s">
        <v>52</v>
      </c>
      <c r="M14131" s="28" t="s">
        <v>52</v>
      </c>
      <c r="N14131" s="28" t="s">
        <v>52</v>
      </c>
    </row>
    <row r="14132" spans="1:14" x14ac:dyDescent="0.15">
      <c r="A14132" s="23" t="str">
        <f>HYPERLINK("https://www.spark-marketing.ru/Card/Person/1781229", "ООО ""СОЮЗ СВ. ИОАННА ВОИНА""")</f>
        <v>ООО "СОЮЗ СВ. ИОАННА ВОИНА"</v>
      </c>
      <c r="B14132" s="24" t="s">
        <v>7067</v>
      </c>
      <c r="C14132" s="25">
        <v>149</v>
      </c>
      <c r="D14132" s="22" t="s">
        <v>16324</v>
      </c>
      <c r="E14132" s="22" t="s">
        <v>53</v>
      </c>
      <c r="F14132" s="23" t="str">
        <f>HYPERLINK("https://www.spark-marketing.ru/Card/Lot/68168773", "Оказание охранных услуг за 1 час при режиме работы 13 часов ежедневно (действующие магазины), в пределах г. Санкт-Петербург.")</f>
        <v>Оказание охранных услуг за 1 час при режиме работы 13 часов ежедневно (действующие магазины), в пределах г. Санкт-Петербург.</v>
      </c>
      <c r="G14132" s="22" t="s">
        <v>55</v>
      </c>
      <c r="H14132" s="22" t="s">
        <v>55</v>
      </c>
      <c r="I14132" s="26">
        <v>43517.704872685201</v>
      </c>
      <c r="J14132" s="28" t="s">
        <v>52</v>
      </c>
      <c r="K14132" s="28" t="s">
        <v>52</v>
      </c>
      <c r="L14132" s="28" t="s">
        <v>52</v>
      </c>
      <c r="M14132" s="28" t="s">
        <v>52</v>
      </c>
      <c r="N14132" s="28" t="s">
        <v>52</v>
      </c>
    </row>
    <row r="14133" spans="1:14" x14ac:dyDescent="0.15">
      <c r="A14133" s="23" t="str">
        <f>HYPERLINK("https://www.spark-marketing.ru/Card/Person/21941", "КАРЕЛЬСКАЯ ТАМОЖНЯ")</f>
        <v>КАРЕЛЬСКАЯ ТАМОЖНЯ</v>
      </c>
      <c r="B14133" s="24" t="s">
        <v>16223</v>
      </c>
      <c r="C14133" s="25">
        <v>54777.599999999999</v>
      </c>
      <c r="D14133" s="22" t="s">
        <v>16332</v>
      </c>
      <c r="E14133" s="22" t="s">
        <v>68</v>
      </c>
      <c r="F14133" s="23" t="str">
        <f>HYPERLINK("https://www.spark-marketing.ru/Card/Lot/68166363", "Оказание услуг по охране объектов")</f>
        <v>Оказание услуг по охране объектов</v>
      </c>
      <c r="G14133" s="22" t="s">
        <v>435</v>
      </c>
      <c r="H14133" s="22" t="s">
        <v>435</v>
      </c>
      <c r="I14133" s="26">
        <v>43517.689583333296</v>
      </c>
      <c r="J14133" s="28" t="s">
        <v>52</v>
      </c>
      <c r="K14133" s="28" t="s">
        <v>52</v>
      </c>
      <c r="L14133" s="28" t="s">
        <v>52</v>
      </c>
      <c r="M14133" s="28" t="s">
        <v>52</v>
      </c>
      <c r="N14133" s="28" t="s">
        <v>52</v>
      </c>
    </row>
    <row r="14134" spans="1:14" x14ac:dyDescent="0.2">
      <c r="A14134" s="23" t="str">
        <f>HYPERLINK("https://www.spark-marketing.ru/Card/Person/34191", "НГТУ, НОВОСИБИРСКИЙ ГОСУДАРСТВЕННЫЙ ТЕХНИЧЕСКИЙ УНИВЕРСИТЕТ, ФГБОУ ВО ""НОВОСИБИРСКИЙ ГОСУДАРСТВЕННЫЙ ТЕХНИЧЕСКИЙ УНИВЕРСИТЕТ"", ФГБОУ ВО ""НГТУ""")</f>
        <v>НГТУ, НОВОСИБИРСКИЙ ГОСУДАРСТВЕННЫЙ ТЕХНИЧЕСКИЙ УНИВЕРСИТЕТ, ФГБОУ ВО "НОВОСИБИРСКИЙ ГОСУДАРСТВЕННЫЙ ТЕХНИЧЕСКИЙ УНИВЕРСИТЕТ", ФГБОУ ВО "НГТУ"</v>
      </c>
      <c r="B14134" s="24" t="s">
        <v>16333</v>
      </c>
      <c r="C14134" s="25">
        <v>5666667</v>
      </c>
      <c r="D14134" s="22" t="s">
        <v>16334</v>
      </c>
      <c r="E14134" s="22" t="s">
        <v>144</v>
      </c>
      <c r="F14134" s="23" t="str">
        <f>HYPERLINK("https://www.spark-marketing.ru/Card/Lot/68150036", "Оказание услуг по обеспечению общественного порядка, антитеррористической защищенности и безопасности, защиты жизни и здоровья студентов, должностных лиц, работников, посетителей НГТУ и сохранности имущества на объектах и территории ФГБОУ ВО НГТУ")</f>
        <v>Оказание услуг по обеспечению общественного порядка, антитеррористической защищенности и безопасности, защиты жизни и здоровья студентов, должностных лиц, работников, посетителей НГТУ и сохранности имущества на объектах и территории ФГБОУ ВО НГТУ</v>
      </c>
      <c r="G14134" s="22" t="s">
        <v>209</v>
      </c>
      <c r="H14134" s="22" t="s">
        <v>209</v>
      </c>
      <c r="I14134" s="26">
        <v>43517.674293981501</v>
      </c>
      <c r="J14134" s="23" t="str">
        <f>HYPERLINK("https://www.spark-marketing.ru/Card/Person/6497589", "ООО ЧОП АГЕНСТВО БАНКОВСОЙ БЕЗОПАСНОСТИ ПОДРАЗДЕЛЕНИЕ Д")</f>
        <v>ООО ЧОП АГЕНСТВО БАНКОВСОЙ БЕЗОПАСНОСТИ ПОДРАЗДЕЛЕНИЕ Д</v>
      </c>
      <c r="K14134" s="28" t="s">
        <v>52</v>
      </c>
      <c r="L14134" s="28" t="s">
        <v>52</v>
      </c>
      <c r="M14134" s="25">
        <v>5666667</v>
      </c>
      <c r="N14134" s="27">
        <v>0</v>
      </c>
    </row>
    <row r="14135" spans="1:14" x14ac:dyDescent="0.15">
      <c r="A14135" s="23" t="str">
        <f>HYPERLINK("https://www.spark-marketing.ru/Card/Person/1781229", "ООО ""СОЮЗ СВ. ИОАННА ВОИНА""")</f>
        <v>ООО "СОЮЗ СВ. ИОАННА ВОИНА"</v>
      </c>
      <c r="B14135" s="24" t="s">
        <v>7067</v>
      </c>
      <c r="C14135" s="25">
        <v>136</v>
      </c>
      <c r="D14135" s="22" t="s">
        <v>16324</v>
      </c>
      <c r="E14135" s="22" t="s">
        <v>53</v>
      </c>
      <c r="F14135" s="23" t="str">
        <f>HYPERLINK("https://www.spark-marketing.ru/Card/Lot/68168780", "Оказание охранных услуг за 1 час при режиме работы 24 часа ежедневно (действующие магазины), в пределах г. Екатеринбург.")</f>
        <v>Оказание охранных услуг за 1 час при режиме работы 24 часа ежедневно (действующие магазины), в пределах г. Екатеринбург.</v>
      </c>
      <c r="G14135" s="22" t="s">
        <v>55</v>
      </c>
      <c r="H14135" s="22" t="s">
        <v>55</v>
      </c>
      <c r="I14135" s="26">
        <v>43517.704872685201</v>
      </c>
      <c r="J14135" s="28" t="s">
        <v>52</v>
      </c>
      <c r="K14135" s="28" t="s">
        <v>52</v>
      </c>
      <c r="L14135" s="28" t="s">
        <v>52</v>
      </c>
      <c r="M14135" s="28" t="s">
        <v>52</v>
      </c>
      <c r="N14135" s="28" t="s">
        <v>52</v>
      </c>
    </row>
    <row r="14136" spans="1:14" x14ac:dyDescent="0.15">
      <c r="A14136" s="23" t="str">
        <f>HYPERLINK("https://www.spark-marketing.ru/Card/Person/1781229", "ООО ""СОЮЗ СВ. ИОАННА ВОИНА""")</f>
        <v>ООО "СОЮЗ СВ. ИОАННА ВОИНА"</v>
      </c>
      <c r="B14136" s="24" t="s">
        <v>7067</v>
      </c>
      <c r="C14136" s="25">
        <v>145</v>
      </c>
      <c r="D14136" s="22" t="s">
        <v>16324</v>
      </c>
      <c r="E14136" s="22" t="s">
        <v>53</v>
      </c>
      <c r="F14136" s="23" t="str">
        <f>HYPERLINK("https://www.spark-marketing.ru/Card/Lot/68168778", "Оказание охранных услуг за 1 час при режиме работы 24 часа ежедневно (строящиеся магазины), в пределах Ленинградской области, г. Великий Новгород, Новгородской области.")</f>
        <v>Оказание охранных услуг за 1 час при режиме работы 24 часа ежедневно (строящиеся магазины), в пределах Ленинградской области, г. Великий Новгород, Новгородской области.</v>
      </c>
      <c r="G14136" s="22" t="s">
        <v>55</v>
      </c>
      <c r="H14136" s="22" t="s">
        <v>55</v>
      </c>
      <c r="I14136" s="26">
        <v>43517.704872685201</v>
      </c>
      <c r="J14136" s="28" t="s">
        <v>52</v>
      </c>
      <c r="K14136" s="28" t="s">
        <v>52</v>
      </c>
      <c r="L14136" s="28" t="s">
        <v>52</v>
      </c>
      <c r="M14136" s="28" t="s">
        <v>52</v>
      </c>
      <c r="N14136" s="28" t="s">
        <v>52</v>
      </c>
    </row>
    <row r="14137" spans="1:14" x14ac:dyDescent="0.15">
      <c r="A14137" s="23" t="str">
        <f>HYPERLINK("https://www.spark-marketing.ru/Card/Person/1781229", "ООО ""СОЮЗ СВ. ИОАННА ВОИНА""")</f>
        <v>ООО "СОЮЗ СВ. ИОАННА ВОИНА"</v>
      </c>
      <c r="B14137" s="24" t="s">
        <v>7067</v>
      </c>
      <c r="C14137" s="25">
        <v>145</v>
      </c>
      <c r="D14137" s="22" t="s">
        <v>16324</v>
      </c>
      <c r="E14137" s="22" t="s">
        <v>53</v>
      </c>
      <c r="F14137" s="23" t="str">
        <f>HYPERLINK("https://www.spark-marketing.ru/Card/Lot/68168777", "Оказание охранных услуг за 1 час при режиме работы 24 часа ежедневно (действующие магазины), в пределах Ленинградской области, г. Великий Новгород, Новгородской области.")</f>
        <v>Оказание охранных услуг за 1 час при режиме работы 24 часа ежедневно (действующие магазины), в пределах Ленинградской области, г. Великий Новгород, Новгородской области.</v>
      </c>
      <c r="G14137" s="22" t="s">
        <v>55</v>
      </c>
      <c r="H14137" s="22" t="s">
        <v>55</v>
      </c>
      <c r="I14137" s="26">
        <v>43517.704872685201</v>
      </c>
      <c r="J14137" s="28" t="s">
        <v>52</v>
      </c>
      <c r="K14137" s="28" t="s">
        <v>52</v>
      </c>
      <c r="L14137" s="28" t="s">
        <v>52</v>
      </c>
      <c r="M14137" s="28" t="s">
        <v>52</v>
      </c>
      <c r="N14137" s="28" t="s">
        <v>52</v>
      </c>
    </row>
    <row r="14138" spans="1:14" x14ac:dyDescent="0.15">
      <c r="A14138" s="23" t="str">
        <f>HYPERLINK("https://www.spark-marketing.ru/Card/Person/1781229", "ООО ""СОЮЗ СВ. ИОАННА ВОИНА""")</f>
        <v>ООО "СОЮЗ СВ. ИОАННА ВОИНА"</v>
      </c>
      <c r="B14138" s="24" t="s">
        <v>7067</v>
      </c>
      <c r="C14138" s="25">
        <v>136</v>
      </c>
      <c r="D14138" s="22" t="s">
        <v>16324</v>
      </c>
      <c r="E14138" s="22" t="s">
        <v>53</v>
      </c>
      <c r="F14138" s="23" t="str">
        <f>HYPERLINK("https://www.spark-marketing.ru/Card/Lot/68168779", "Оказание охранных услуг за 1 час при режиме работы 13 часов ежедневно (действующие магазины), в пределах г. Екатеринбург.")</f>
        <v>Оказание охранных услуг за 1 час при режиме работы 13 часов ежедневно (действующие магазины), в пределах г. Екатеринбург.</v>
      </c>
      <c r="G14138" s="22" t="s">
        <v>55</v>
      </c>
      <c r="H14138" s="22" t="s">
        <v>55</v>
      </c>
      <c r="I14138" s="26">
        <v>43517.704872685201</v>
      </c>
      <c r="J14138" s="28" t="s">
        <v>52</v>
      </c>
      <c r="K14138" s="28" t="s">
        <v>52</v>
      </c>
      <c r="L14138" s="28" t="s">
        <v>52</v>
      </c>
      <c r="M14138" s="28" t="s">
        <v>52</v>
      </c>
      <c r="N14138" s="28" t="s">
        <v>52</v>
      </c>
    </row>
    <row r="14139" spans="1:14" x14ac:dyDescent="0.15">
      <c r="A14139" s="23" t="str">
        <f>HYPERLINK("https://www.spark-marketing.ru/Card/Person/36512", "ГБУЗ ""ГОРОДСКАЯ БОЛЬНИЦА Г.ПЛАСТ""")</f>
        <v>ГБУЗ "ГОРОДСКАЯ БОЛЬНИЦА Г.ПЛАСТ"</v>
      </c>
      <c r="B14139" s="24" t="s">
        <v>16335</v>
      </c>
      <c r="C14139" s="25">
        <v>184800</v>
      </c>
      <c r="D14139" s="22" t="s">
        <v>16336</v>
      </c>
      <c r="E14139" s="22" t="s">
        <v>234</v>
      </c>
      <c r="F14139" s="23" t="str">
        <f>HYPERLINK("https://www.spark-marketing.ru/Card/Lot/68162519", "Оказание услуг по техническому обслуживанию систем видеонаблюдения")</f>
        <v>Оказание услуг по техническому обслуживанию систем видеонаблюдения</v>
      </c>
      <c r="G14139" s="22" t="s">
        <v>60</v>
      </c>
      <c r="H14139" s="22" t="s">
        <v>60</v>
      </c>
      <c r="I14139" s="26">
        <v>43517.704861111102</v>
      </c>
      <c r="J14139" s="28" t="s">
        <v>52</v>
      </c>
      <c r="K14139" s="28" t="s">
        <v>52</v>
      </c>
      <c r="L14139" s="28" t="s">
        <v>52</v>
      </c>
      <c r="M14139" s="28" t="s">
        <v>52</v>
      </c>
      <c r="N14139" s="28" t="s">
        <v>52</v>
      </c>
    </row>
    <row r="14140" spans="1:14" hidden="1" outlineLevel="1" x14ac:dyDescent="0.2">
      <c r="A14140" s="23" t="str">
        <f>HYPERLINK("https://www.spark-marketing.ru/Card/Person/36512", "ГБУЗ ""ГОРОДСКАЯ БОЛЬНИЦА Г.ПЛАСТ""")</f>
        <v>ГБУЗ "ГОРОДСКАЯ БОЛЬНИЦА Г.ПЛАСТ"</v>
      </c>
      <c r="B14140" s="24" t="s">
        <v>16335</v>
      </c>
      <c r="C14140" s="25">
        <v>184800</v>
      </c>
      <c r="D14140" s="22" t="s">
        <v>16336</v>
      </c>
      <c r="E14140" s="22" t="s">
        <v>234</v>
      </c>
      <c r="F14140" s="23" t="str">
        <f>HYPERLINK("https://www.spark-marketing.ru/Card/Lot/68162519", "Оказание услуг по техническому обслуживанию систем видеонаблюдения")</f>
        <v>Оказание услуг по техническому обслуживанию систем видеонаблюдения</v>
      </c>
      <c r="G14140" s="22" t="s">
        <v>60</v>
      </c>
      <c r="H14140" s="22" t="s">
        <v>60</v>
      </c>
      <c r="I14140" s="26">
        <v>43517.704861111102</v>
      </c>
      <c r="J14140" s="23" t="str">
        <f>HYPERLINK("https://www.spark-marketing.ru/Card/Person/6223189", "ООО ""ОМЕГА-ТЕХНОСЕРВИС""")</f>
        <v>ООО "ОМЕГА-ТЕХНОСЕРВИС"</v>
      </c>
      <c r="K14140" s="24" t="s">
        <v>13719</v>
      </c>
      <c r="L14140" s="28" t="s">
        <v>52</v>
      </c>
      <c r="M14140" s="25">
        <v>40000</v>
      </c>
      <c r="N14140" s="27">
        <v>0.78354978354978355</v>
      </c>
    </row>
    <row r="14141" spans="1:14" ht="12.75" hidden="1" outlineLevel="1" x14ac:dyDescent="0.2">
      <c r="A14141" s="23" t="str">
        <f>HYPERLINK("https://www.spark-marketing.ru/Card/Person/36512", "ГБУЗ ""ГОРОДСКАЯ БОЛЬНИЦА Г.ПЛАСТ""")</f>
        <v>ГБУЗ "ГОРОДСКАЯ БОЛЬНИЦА Г.ПЛАСТ"</v>
      </c>
      <c r="B14141" s="24" t="s">
        <v>16335</v>
      </c>
      <c r="C14141" s="25">
        <v>184800</v>
      </c>
      <c r="D14141" s="22" t="s">
        <v>16336</v>
      </c>
      <c r="E14141" s="22" t="s">
        <v>234</v>
      </c>
      <c r="F14141" s="23" t="str">
        <f>HYPERLINK("https://www.spark-marketing.ru/Card/Lot/68162519", "Оказание услуг по техническому обслуживанию систем видеонаблюдения")</f>
        <v>Оказание услуг по техническому обслуживанию систем видеонаблюдения</v>
      </c>
      <c r="G14141" s="22" t="s">
        <v>60</v>
      </c>
      <c r="H14141" s="22" t="s">
        <v>60</v>
      </c>
      <c r="I14141" s="26">
        <v>43517.704861111102</v>
      </c>
      <c r="J14141" s="23" t="str">
        <f>HYPERLINK("https://www.spark-marketing.ru/Card/Person/6442906", "ООО ""СВОПС""")</f>
        <v>ООО "СВОПС"</v>
      </c>
      <c r="K14141" s="24" t="s">
        <v>16337</v>
      </c>
      <c r="L14141" s="22" t="s">
        <v>10</v>
      </c>
      <c r="M14141" s="25">
        <v>39076</v>
      </c>
      <c r="N14141" s="27">
        <v>0.78854978354978356</v>
      </c>
    </row>
    <row r="14142" spans="1:14" hidden="1" outlineLevel="1" x14ac:dyDescent="0.2">
      <c r="A14142" s="23" t="str">
        <f>HYPERLINK("https://www.spark-marketing.ru/Card/Person/36512", "ГБУЗ ""ГОРОДСКАЯ БОЛЬНИЦА Г.ПЛАСТ""")</f>
        <v>ГБУЗ "ГОРОДСКАЯ БОЛЬНИЦА Г.ПЛАСТ"</v>
      </c>
      <c r="B14142" s="24" t="s">
        <v>16335</v>
      </c>
      <c r="C14142" s="25">
        <v>184800</v>
      </c>
      <c r="D14142" s="22" t="s">
        <v>16336</v>
      </c>
      <c r="E14142" s="22" t="s">
        <v>234</v>
      </c>
      <c r="F14142" s="23" t="str">
        <f>HYPERLINK("https://www.spark-marketing.ru/Card/Lot/68162519", "Оказание услуг по техническому обслуживанию систем видеонаблюдения")</f>
        <v>Оказание услуг по техническому обслуживанию систем видеонаблюдения</v>
      </c>
      <c r="G14142" s="22" t="s">
        <v>60</v>
      </c>
      <c r="H14142" s="22" t="s">
        <v>60</v>
      </c>
      <c r="I14142" s="26">
        <v>43517.704861111102</v>
      </c>
      <c r="J14142" s="23" t="str">
        <f>HYPERLINK("https://www.spark-marketing.ru/Card/Person/857190", "Маликов Михаил Алексеевич")</f>
        <v>Маликов Михаил Алексеевич</v>
      </c>
      <c r="K14142" s="24" t="s">
        <v>16338</v>
      </c>
      <c r="L14142" s="28" t="s">
        <v>52</v>
      </c>
      <c r="M14142" s="25">
        <v>40656</v>
      </c>
      <c r="N14142" s="27">
        <v>0.78</v>
      </c>
    </row>
    <row r="14143" spans="1:14" hidden="1" outlineLevel="1" x14ac:dyDescent="0.2">
      <c r="A14143" s="23" t="str">
        <f>HYPERLINK("https://www.spark-marketing.ru/Card/Person/36512", "ГБУЗ ""ГОРОДСКАЯ БОЛЬНИЦА Г.ПЛАСТ""")</f>
        <v>ГБУЗ "ГОРОДСКАЯ БОЛЬНИЦА Г.ПЛАСТ"</v>
      </c>
      <c r="B14143" s="24" t="s">
        <v>16335</v>
      </c>
      <c r="C14143" s="25">
        <v>184800</v>
      </c>
      <c r="D14143" s="22" t="s">
        <v>16336</v>
      </c>
      <c r="E14143" s="22" t="s">
        <v>234</v>
      </c>
      <c r="F14143" s="23" t="str">
        <f>HYPERLINK("https://www.spark-marketing.ru/Card/Lot/68162519", "Оказание услуг по техническому обслуживанию систем видеонаблюдения")</f>
        <v>Оказание услуг по техническому обслуживанию систем видеонаблюдения</v>
      </c>
      <c r="G14143" s="22" t="s">
        <v>60</v>
      </c>
      <c r="H14143" s="22" t="s">
        <v>60</v>
      </c>
      <c r="I14143" s="26">
        <v>43517.704861111102</v>
      </c>
      <c r="J14143" s="23" t="str">
        <f>HYPERLINK("https://www.spark-marketing.ru/Card/Person/6049626", "ООО ""ХОЛДАН""")</f>
        <v>ООО "ХОЛДАН"</v>
      </c>
      <c r="K14143" s="24" t="s">
        <v>3416</v>
      </c>
      <c r="L14143" s="28" t="s">
        <v>52</v>
      </c>
      <c r="M14143" s="25">
        <v>120000</v>
      </c>
      <c r="N14143" s="27">
        <v>0.35064935064935066</v>
      </c>
    </row>
    <row r="14144" spans="1:14" x14ac:dyDescent="0.15">
      <c r="A14144" s="23" t="str">
        <f>HYPERLINK("https://www.spark-marketing.ru/Card/Person/1781229", "ООО ""СОЮЗ СВ. ИОАННА ВОИНА""")</f>
        <v>ООО "СОЮЗ СВ. ИОАННА ВОИНА"</v>
      </c>
      <c r="B14144" s="24" t="s">
        <v>7067</v>
      </c>
      <c r="C14144" s="25">
        <v>136</v>
      </c>
      <c r="D14144" s="22" t="s">
        <v>16324</v>
      </c>
      <c r="E14144" s="22" t="s">
        <v>53</v>
      </c>
      <c r="F14144" s="23" t="str">
        <f>HYPERLINK("https://www.spark-marketing.ru/Card/Lot/68168781", "Оказание охранных услуг за 1 час при режиме работы 24 часа ежедневно (строящиеся магазины), в пределах г. Екатеринбург.")</f>
        <v>Оказание охранных услуг за 1 час при режиме работы 24 часа ежедневно (строящиеся магазины), в пределах г. Екатеринбург.</v>
      </c>
      <c r="G14144" s="22" t="s">
        <v>55</v>
      </c>
      <c r="H14144" s="22" t="s">
        <v>55</v>
      </c>
      <c r="I14144" s="26">
        <v>43517.704872685201</v>
      </c>
      <c r="J14144" s="28" t="s">
        <v>52</v>
      </c>
      <c r="K14144" s="28" t="s">
        <v>52</v>
      </c>
      <c r="L14144" s="28" t="s">
        <v>52</v>
      </c>
      <c r="M14144" s="28" t="s">
        <v>52</v>
      </c>
      <c r="N14144" s="28" t="s">
        <v>52</v>
      </c>
    </row>
    <row r="14145" spans="1:14" x14ac:dyDescent="0.15">
      <c r="A14145" s="23" t="str">
        <f>HYPERLINK("https://www.spark-marketing.ru/Card/Person/1781229", "ООО ""СОЮЗ СВ. ИОАННА ВОИНА""")</f>
        <v>ООО "СОЮЗ СВ. ИОАННА ВОИНА"</v>
      </c>
      <c r="B14145" s="24" t="s">
        <v>7067</v>
      </c>
      <c r="C14145" s="25">
        <v>128</v>
      </c>
      <c r="D14145" s="22" t="s">
        <v>16324</v>
      </c>
      <c r="E14145" s="22" t="s">
        <v>53</v>
      </c>
      <c r="F14145" s="23" t="str">
        <f>HYPERLINK("https://www.spark-marketing.ru/Card/Lot/68168783", "Оказание охранных услуг за 1 час при режиме работы 24 часа ежедневно (действующие магазины), в пределах Свердловской области.")</f>
        <v>Оказание охранных услуг за 1 час при режиме работы 24 часа ежедневно (действующие магазины), в пределах Свердловской области.</v>
      </c>
      <c r="G14145" s="22" t="s">
        <v>55</v>
      </c>
      <c r="H14145" s="22" t="s">
        <v>55</v>
      </c>
      <c r="I14145" s="26">
        <v>43517.704872685201</v>
      </c>
      <c r="J14145" s="28" t="s">
        <v>52</v>
      </c>
      <c r="K14145" s="28" t="s">
        <v>52</v>
      </c>
      <c r="L14145" s="28" t="s">
        <v>52</v>
      </c>
      <c r="M14145" s="28" t="s">
        <v>52</v>
      </c>
      <c r="N14145" s="28" t="s">
        <v>52</v>
      </c>
    </row>
    <row r="14146" spans="1:14" x14ac:dyDescent="0.15">
      <c r="A14146" s="23" t="str">
        <f>HYPERLINK("https://www.spark-marketing.ru/Card/Person/73009", "УПРАВЛЕНИЕ РОСПОТРЕБНАДЗОРА ПО РОСТОВСКОЙ ОБЛАСТИ")</f>
        <v>УПРАВЛЕНИЕ РОСПОТРЕБНАДЗОРА ПО РОСТОВСКОЙ ОБЛАСТИ</v>
      </c>
      <c r="B14146" s="24" t="s">
        <v>16339</v>
      </c>
      <c r="C14146" s="25">
        <v>135500.01</v>
      </c>
      <c r="D14146" s="22" t="s">
        <v>16340</v>
      </c>
      <c r="E14146" s="22" t="s">
        <v>68</v>
      </c>
      <c r="F14146" s="23" t="str">
        <f>HYPERLINK("https://www.spark-marketing.ru/Card/Lot/68164831", "Услуги по охране объекта")</f>
        <v>Услуги по охране объекта</v>
      </c>
      <c r="G14146" s="22" t="s">
        <v>402</v>
      </c>
      <c r="H14146" s="22" t="s">
        <v>402</v>
      </c>
      <c r="I14146" s="26">
        <v>43517.6694444444</v>
      </c>
      <c r="J14146" s="23" t="str">
        <f>HYPERLINK("https://www.spark-marketing.ru/Card/Person/66787", "ООО ""ЧОО ""ФОРМУЛА БЕЗОПАСНОСТИ""")</f>
        <v>ООО "ЧОО "ФОРМУЛА БЕЗОПАСНОСТИ"</v>
      </c>
      <c r="K14146" s="24" t="s">
        <v>16233</v>
      </c>
      <c r="L14146" s="22" t="s">
        <v>10</v>
      </c>
      <c r="M14146" s="28" t="s">
        <v>52</v>
      </c>
      <c r="N14146" s="28" t="s">
        <v>52</v>
      </c>
    </row>
    <row r="14147" spans="1:14" x14ac:dyDescent="0.15">
      <c r="A14147" s="23" t="str">
        <f>HYPERLINK("https://www.spark-marketing.ru/Card/Person/1781229", "ООО ""СОЮЗ СВ. ИОАННА ВОИНА""")</f>
        <v>ООО "СОЮЗ СВ. ИОАННА ВОИНА"</v>
      </c>
      <c r="B14147" s="24" t="s">
        <v>7067</v>
      </c>
      <c r="C14147" s="25">
        <v>149</v>
      </c>
      <c r="D14147" s="22" t="s">
        <v>16324</v>
      </c>
      <c r="E14147" s="22" t="s">
        <v>53</v>
      </c>
      <c r="F14147" s="23" t="str">
        <f>HYPERLINK("https://www.spark-marketing.ru/Card/Lot/68168775", "Оказание охранных услуг за 1 час при режиме работы 24 часа ежедневно (строящиеся магазины), в пределах г. Санкт-Петербург.")</f>
        <v>Оказание охранных услуг за 1 час при режиме работы 24 часа ежедневно (строящиеся магазины), в пределах г. Санкт-Петербург.</v>
      </c>
      <c r="G14147" s="22" t="s">
        <v>55</v>
      </c>
      <c r="H14147" s="22" t="s">
        <v>55</v>
      </c>
      <c r="I14147" s="26">
        <v>43517.704872685201</v>
      </c>
      <c r="J14147" s="28" t="s">
        <v>52</v>
      </c>
      <c r="K14147" s="28" t="s">
        <v>52</v>
      </c>
      <c r="L14147" s="28" t="s">
        <v>52</v>
      </c>
      <c r="M14147" s="28" t="s">
        <v>52</v>
      </c>
      <c r="N14147" s="28" t="s">
        <v>52</v>
      </c>
    </row>
    <row r="14148" spans="1:14" x14ac:dyDescent="0.15">
      <c r="A14148" s="23" t="str">
        <f>HYPERLINK("https://www.spark-marketing.ru/Card/Person/656", "ФКУ ""ЦХИСО УМВД РОССИИ ПО БРЯНСКОЙ ОБЛАСТИ""")</f>
        <v>ФКУ "ЦХИСО УМВД РОССИИ ПО БРЯНСКОЙ ОБЛАСТИ"</v>
      </c>
      <c r="B14148" s="24" t="s">
        <v>16341</v>
      </c>
      <c r="C14148" s="25">
        <v>240326.43</v>
      </c>
      <c r="D14148" s="22" t="s">
        <v>16342</v>
      </c>
      <c r="E14148" s="22" t="s">
        <v>59</v>
      </c>
      <c r="F14148" s="23" t="str">
        <f>HYPERLINK("https://www.spark-marketing.ru/Card/Lot/68163620", "Услуги по техническому обслуживанию систем охранной сигнализации на объектах УМВД России по Брянской области")</f>
        <v>Услуги по техническому обслуживанию систем охранной сигнализации на объектах УМВД России по Брянской области</v>
      </c>
      <c r="G14148" s="22" t="s">
        <v>215</v>
      </c>
      <c r="H14148" s="22" t="s">
        <v>215</v>
      </c>
      <c r="I14148" s="26">
        <v>43517.660416666702</v>
      </c>
      <c r="J14148" s="23" t="str">
        <f>HYPERLINK("https://www.spark-marketing.ru/Card/Person/502047", "ООО ""МИНИМАРКЕТ""")</f>
        <v>ООО "МИНИМАРКЕТ"</v>
      </c>
      <c r="K14148" s="24" t="s">
        <v>9079</v>
      </c>
      <c r="L14148" s="22" t="s">
        <v>10</v>
      </c>
      <c r="M14148" s="28" t="s">
        <v>52</v>
      </c>
      <c r="N14148" s="28" t="s">
        <v>52</v>
      </c>
    </row>
    <row r="14149" spans="1:14" x14ac:dyDescent="0.15">
      <c r="A14149" s="23" t="str">
        <f>HYPERLINK("https://www.spark-marketing.ru/Card/Person/35203", "ФКУЗ МСЧ-59 ФСИН РОССИИ")</f>
        <v>ФКУЗ МСЧ-59 ФСИН РОССИИ</v>
      </c>
      <c r="B14149" s="24" t="s">
        <v>16343</v>
      </c>
      <c r="C14149" s="25">
        <v>100464</v>
      </c>
      <c r="D14149" s="22" t="s">
        <v>16344</v>
      </c>
      <c r="E14149" s="22" t="s">
        <v>68</v>
      </c>
      <c r="F14149" s="23" t="str">
        <f>HYPERLINK("https://www.spark-marketing.ru/Card/Lot/68163293", "Оказание услуг по охране Объекта")</f>
        <v>Оказание услуг по охране Объекта</v>
      </c>
      <c r="G14149" s="22" t="s">
        <v>391</v>
      </c>
      <c r="H14149" s="22" t="s">
        <v>391</v>
      </c>
      <c r="I14149" s="26">
        <v>43517.636805555601</v>
      </c>
      <c r="J14149" s="28" t="s">
        <v>52</v>
      </c>
      <c r="K14149" s="28" t="s">
        <v>52</v>
      </c>
      <c r="L14149" s="28" t="s">
        <v>52</v>
      </c>
      <c r="M14149" s="28" t="s">
        <v>52</v>
      </c>
      <c r="N14149" s="28" t="s">
        <v>52</v>
      </c>
    </row>
    <row r="14150" spans="1:14" x14ac:dyDescent="0.15">
      <c r="A14150" s="23" t="str">
        <f>HYPERLINK("https://www.spark-marketing.ru/Card/Person/117815", "АДМИНИСТРАЦИЯ ГЛАЗОВСКОГО РАЙОНА")</f>
        <v>АДМИНИСТРАЦИЯ ГЛАЗОВСКОГО РАЙОНА</v>
      </c>
      <c r="B14150" s="24" t="s">
        <v>10736</v>
      </c>
      <c r="C14150" s="25">
        <v>37308</v>
      </c>
      <c r="D14150" s="22" t="s">
        <v>16345</v>
      </c>
      <c r="E14150" s="22" t="s">
        <v>59</v>
      </c>
      <c r="F14150" s="23" t="str">
        <f>HYPERLINK("https://www.spark-marketing.ru/Card/Lot/68160869", "Оказание услуг по содержанию и техническому обслуживанию объектов уличного освещения населенных пунктов муниципального образования ""Качкашурское"" Глазовского района УР.")</f>
        <v>Оказание услуг по содержанию и техническому обслуживанию объектов уличного освещения населенных пунктов муниципального образования "Качкашурское" Глазовского района УР.</v>
      </c>
      <c r="G14150" s="22" t="s">
        <v>96</v>
      </c>
      <c r="H14150" s="22" t="s">
        <v>96</v>
      </c>
      <c r="I14150" s="26">
        <v>43517.6472222222</v>
      </c>
      <c r="J14150" s="23" t="str">
        <f>HYPERLINK("https://www.spark-marketing.ru/Card/Person/53244", "ООО ""СПЕЦЭНЕРГОМОНТАЖ""")</f>
        <v>ООО "СПЕЦЭНЕРГОМОНТАЖ"</v>
      </c>
      <c r="K14150" s="24" t="s">
        <v>10738</v>
      </c>
      <c r="L14150" s="22" t="s">
        <v>10</v>
      </c>
      <c r="M14150" s="28" t="s">
        <v>52</v>
      </c>
      <c r="N14150" s="28" t="s">
        <v>52</v>
      </c>
    </row>
    <row r="14151" spans="1:14" x14ac:dyDescent="0.15">
      <c r="A14151" s="23" t="str">
        <f>HYPERLINK("https://www.spark-marketing.ru/Card/Person/1045346", "МБУК ""ЦБС ИМ. А. БЕЛОГО""")</f>
        <v>МБУК "ЦБС ИМ. А. БЕЛОГО"</v>
      </c>
      <c r="B14151" s="24" t="s">
        <v>16346</v>
      </c>
      <c r="C14151" s="25">
        <v>72000</v>
      </c>
      <c r="D14151" s="22" t="s">
        <v>16347</v>
      </c>
      <c r="E14151" s="22" t="s">
        <v>103</v>
      </c>
      <c r="F14151" s="23" t="str">
        <f>HYPERLINK("https://www.spark-marketing.ru/Card/Lot/68158768", "Услуги по техническому обслуживанию систем видеонаблюдения объекта, расположенного по адресу: г.Балашиха, мкр..Железнодорожный ул.Пролетарская д.8")</f>
        <v>Услуги по техническому обслуживанию систем видеонаблюдения объекта, расположенного по адресу: г.Балашиха, мкр..Железнодорожный ул.Пролетарская д.8</v>
      </c>
      <c r="G14151" s="22" t="s">
        <v>50</v>
      </c>
      <c r="H14151" s="22" t="s">
        <v>432</v>
      </c>
      <c r="I14151" s="26">
        <v>43517.638981481497</v>
      </c>
      <c r="J14151" s="28" t="s">
        <v>52</v>
      </c>
      <c r="K14151" s="28" t="s">
        <v>52</v>
      </c>
      <c r="L14151" s="28" t="s">
        <v>52</v>
      </c>
      <c r="M14151" s="28" t="s">
        <v>52</v>
      </c>
      <c r="N14151" s="28" t="s">
        <v>52</v>
      </c>
    </row>
    <row r="14152" spans="1:14" x14ac:dyDescent="0.15">
      <c r="A14152" s="23" t="str">
        <f>HYPERLINK("https://www.spark-marketing.ru/Card/Person/117815", "АДМИНИСТРАЦИЯ ГЛАЗОВСКОГО РАЙОНА")</f>
        <v>АДМИНИСТРАЦИЯ ГЛАЗОВСКОГО РАЙОНА</v>
      </c>
      <c r="B14152" s="24" t="s">
        <v>10736</v>
      </c>
      <c r="C14152" s="25">
        <v>46844</v>
      </c>
      <c r="D14152" s="22" t="s">
        <v>16348</v>
      </c>
      <c r="E14152" s="22" t="s">
        <v>59</v>
      </c>
      <c r="F14152" s="23" t="str">
        <f>HYPERLINK("https://www.spark-marketing.ru/Card/Lot/68160891", "Оказание услуг по содержанию и техническому обслуживанию объектов уличного освещения населенных пунктов муниципального образования ""Адамское"" Глазовского района УР.")</f>
        <v>Оказание услуг по содержанию и техническому обслуживанию объектов уличного освещения населенных пунктов муниципального образования "Адамское" Глазовского района УР.</v>
      </c>
      <c r="G14152" s="22" t="s">
        <v>96</v>
      </c>
      <c r="H14152" s="22" t="s">
        <v>96</v>
      </c>
      <c r="I14152" s="26">
        <v>43517.6472222222</v>
      </c>
      <c r="J14152" s="28" t="s">
        <v>52</v>
      </c>
      <c r="K14152" s="28" t="s">
        <v>52</v>
      </c>
      <c r="L14152" s="28" t="s">
        <v>52</v>
      </c>
      <c r="M14152" s="28" t="s">
        <v>52</v>
      </c>
      <c r="N14152" s="28" t="s">
        <v>52</v>
      </c>
    </row>
    <row r="14153" spans="1:14" x14ac:dyDescent="0.15">
      <c r="A14153" s="23" t="str">
        <f t="shared" ref="A14153:A14158" si="744">HYPERLINK("https://www.spark-marketing.ru/Card/Person/4349855", "МИНИМУЩЕСТВО ДАГЕСТАНА")</f>
        <v>МИНИМУЩЕСТВО ДАГЕСТАНА</v>
      </c>
      <c r="B14153" s="24" t="s">
        <v>16349</v>
      </c>
      <c r="C14153" s="25">
        <v>1200000</v>
      </c>
      <c r="D14153" s="22" t="s">
        <v>16350</v>
      </c>
      <c r="E14153" s="22" t="s">
        <v>52</v>
      </c>
      <c r="F14153" s="23" t="str">
        <f t="shared" ref="F14153:F14158" si="745">HYPERLINK("https://www.spark-marketing.ru/Card/Lot/68164550", "Оказание услуг по охране аппарата Министерства по земельным и имущественным отношениям Республики Дагестан")</f>
        <v>Оказание услуг по охране аппарата Министерства по земельным и имущественным отношениям Республики Дагестан</v>
      </c>
      <c r="G14153" s="22" t="s">
        <v>595</v>
      </c>
      <c r="H14153" s="22" t="s">
        <v>595</v>
      </c>
      <c r="I14153" s="26">
        <v>43517.583333333299</v>
      </c>
      <c r="J14153" s="28" t="s">
        <v>52</v>
      </c>
      <c r="K14153" s="28" t="s">
        <v>52</v>
      </c>
      <c r="L14153" s="28" t="s">
        <v>52</v>
      </c>
      <c r="M14153" s="28" t="s">
        <v>52</v>
      </c>
      <c r="N14153" s="28" t="s">
        <v>52</v>
      </c>
    </row>
    <row r="14154" spans="1:14" hidden="1" outlineLevel="1" x14ac:dyDescent="0.2">
      <c r="A14154" s="23" t="str">
        <f t="shared" si="744"/>
        <v>МИНИМУЩЕСТВО ДАГЕСТАНА</v>
      </c>
      <c r="B14154" s="24" t="s">
        <v>16349</v>
      </c>
      <c r="C14154" s="25">
        <v>1200000</v>
      </c>
      <c r="D14154" s="22" t="s">
        <v>16350</v>
      </c>
      <c r="E14154" s="22" t="s">
        <v>52</v>
      </c>
      <c r="F14154" s="23" t="str">
        <f t="shared" si="745"/>
        <v>Оказание услуг по охране аппарата Министерства по земельным и имущественным отношениям Республики Дагестан</v>
      </c>
      <c r="G14154" s="22" t="s">
        <v>595</v>
      </c>
      <c r="H14154" s="22" t="s">
        <v>595</v>
      </c>
      <c r="I14154" s="26">
        <v>43517.583333333299</v>
      </c>
      <c r="J14154" s="23" t="str">
        <f>HYPERLINK("https://www.spark-marketing.ru/Card/Person/4680364", "ООО ЧОО ""МУРТАЗЕК""")</f>
        <v>ООО ЧОО "МУРТАЗЕК"</v>
      </c>
      <c r="K14154" s="24" t="s">
        <v>16351</v>
      </c>
      <c r="L14154" s="28" t="s">
        <v>52</v>
      </c>
      <c r="M14154" s="25">
        <v>690000</v>
      </c>
      <c r="N14154" s="27">
        <v>0.42499999999999999</v>
      </c>
    </row>
    <row r="14155" spans="1:14" hidden="1" outlineLevel="1" x14ac:dyDescent="0.2">
      <c r="A14155" s="23" t="str">
        <f t="shared" si="744"/>
        <v>МИНИМУЩЕСТВО ДАГЕСТАНА</v>
      </c>
      <c r="B14155" s="24" t="s">
        <v>16349</v>
      </c>
      <c r="C14155" s="25">
        <v>1200000</v>
      </c>
      <c r="D14155" s="22" t="s">
        <v>16350</v>
      </c>
      <c r="E14155" s="22" t="s">
        <v>52</v>
      </c>
      <c r="F14155" s="23" t="str">
        <f t="shared" si="745"/>
        <v>Оказание услуг по охране аппарата Министерства по земельным и имущественным отношениям Республики Дагестан</v>
      </c>
      <c r="G14155" s="22" t="s">
        <v>595</v>
      </c>
      <c r="H14155" s="22" t="s">
        <v>595</v>
      </c>
      <c r="I14155" s="26">
        <v>43517.583333333299</v>
      </c>
      <c r="J14155" s="23" t="str">
        <f>HYPERLINK("https://www.spark-marketing.ru/Card/Person/128773", "ООО ЧОО ""ВЫМПЕЛ-С""")</f>
        <v>ООО ЧОО "ВЫМПЕЛ-С"</v>
      </c>
      <c r="K14155" s="24" t="s">
        <v>16352</v>
      </c>
      <c r="L14155" s="28" t="s">
        <v>52</v>
      </c>
      <c r="M14155" s="25">
        <v>600000</v>
      </c>
      <c r="N14155" s="27">
        <v>0.5</v>
      </c>
    </row>
    <row r="14156" spans="1:14" hidden="1" outlineLevel="1" x14ac:dyDescent="0.2">
      <c r="A14156" s="23" t="str">
        <f t="shared" si="744"/>
        <v>МИНИМУЩЕСТВО ДАГЕСТАНА</v>
      </c>
      <c r="B14156" s="24" t="s">
        <v>16349</v>
      </c>
      <c r="C14156" s="25">
        <v>1200000</v>
      </c>
      <c r="D14156" s="22" t="s">
        <v>16350</v>
      </c>
      <c r="E14156" s="22" t="s">
        <v>52</v>
      </c>
      <c r="F14156" s="23" t="str">
        <f t="shared" si="745"/>
        <v>Оказание услуг по охране аппарата Министерства по земельным и имущественным отношениям Республики Дагестан</v>
      </c>
      <c r="G14156" s="22" t="s">
        <v>595</v>
      </c>
      <c r="H14156" s="22" t="s">
        <v>595</v>
      </c>
      <c r="I14156" s="26">
        <v>43517.583333333299</v>
      </c>
      <c r="J14156" s="23" t="str">
        <f>HYPERLINK("https://www.spark-marketing.ru/Card/Person/1116651", "ООО ЧОО "" ЧСБ """)</f>
        <v>ООО ЧОО " ЧСБ "</v>
      </c>
      <c r="K14156" s="24" t="s">
        <v>16353</v>
      </c>
      <c r="L14156" s="28" t="s">
        <v>52</v>
      </c>
      <c r="M14156" s="25">
        <v>414000</v>
      </c>
      <c r="N14156" s="27">
        <v>0.65500000000000003</v>
      </c>
    </row>
    <row r="14157" spans="1:14" ht="12.75" hidden="1" outlineLevel="1" x14ac:dyDescent="0.2">
      <c r="A14157" s="23" t="str">
        <f t="shared" si="744"/>
        <v>МИНИМУЩЕСТВО ДАГЕСТАНА</v>
      </c>
      <c r="B14157" s="24" t="s">
        <v>16349</v>
      </c>
      <c r="C14157" s="25">
        <v>1200000</v>
      </c>
      <c r="D14157" s="22" t="s">
        <v>16350</v>
      </c>
      <c r="E14157" s="22" t="s">
        <v>52</v>
      </c>
      <c r="F14157" s="23" t="str">
        <f t="shared" si="745"/>
        <v>Оказание услуг по охране аппарата Министерства по земельным и имущественным отношениям Республики Дагестан</v>
      </c>
      <c r="G14157" s="22" t="s">
        <v>595</v>
      </c>
      <c r="H14157" s="22" t="s">
        <v>595</v>
      </c>
      <c r="I14157" s="26">
        <v>43517.583333333299</v>
      </c>
      <c r="J14157" s="23" t="str">
        <f>HYPERLINK("https://www.spark-marketing.ru/Card/Person/6473929", "ООО ЧОО ""СМЕРШ""")</f>
        <v>ООО ЧОО "СМЕРШ"</v>
      </c>
      <c r="K14157" s="24" t="s">
        <v>15532</v>
      </c>
      <c r="L14157" s="22" t="s">
        <v>10</v>
      </c>
      <c r="M14157" s="25">
        <v>408000</v>
      </c>
      <c r="N14157" s="27">
        <v>0.66</v>
      </c>
    </row>
    <row r="14158" spans="1:14" hidden="1" outlineLevel="1" x14ac:dyDescent="0.2">
      <c r="A14158" s="23" t="str">
        <f t="shared" si="744"/>
        <v>МИНИМУЩЕСТВО ДАГЕСТАНА</v>
      </c>
      <c r="B14158" s="24" t="s">
        <v>16349</v>
      </c>
      <c r="C14158" s="25">
        <v>1200000</v>
      </c>
      <c r="D14158" s="22" t="s">
        <v>16350</v>
      </c>
      <c r="E14158" s="22" t="s">
        <v>52</v>
      </c>
      <c r="F14158" s="23" t="str">
        <f t="shared" si="745"/>
        <v>Оказание услуг по охране аппарата Министерства по земельным и имущественным отношениям Республики Дагестан</v>
      </c>
      <c r="G14158" s="22" t="s">
        <v>595</v>
      </c>
      <c r="H14158" s="22" t="s">
        <v>595</v>
      </c>
      <c r="I14158" s="26">
        <v>43517.583333333299</v>
      </c>
      <c r="J14158" s="23" t="str">
        <f>HYPERLINK("https://www.spark-marketing.ru/Card/Person/2574379", "ООО ЧОО ""СИГМА""")</f>
        <v>ООО ЧОО "СИГМА"</v>
      </c>
      <c r="K14158" s="24" t="s">
        <v>14306</v>
      </c>
      <c r="L14158" s="28" t="s">
        <v>52</v>
      </c>
      <c r="M14158" s="25">
        <v>894000</v>
      </c>
      <c r="N14158" s="27">
        <v>0.255</v>
      </c>
    </row>
    <row r="14159" spans="1:14" x14ac:dyDescent="0.15">
      <c r="A14159" s="23" t="str">
        <f>HYPERLINK("https://www.spark-marketing.ru/Card/Person/145261", "БОУ Г. ОМСКА ""КАЗАЧЬЯ КАДЕТСКАЯ ШКОЛА-ИНТЕРНАТ СРЕДНЕГО ОБЩЕГО ОБРАЗОВАНИЯ ИМ.МАРШАЛА СОВЕТСКОГО СОЮЗА Д. Т. ЯЗОВА""")</f>
        <v>БОУ Г. ОМСКА "КАЗАЧЬЯ КАДЕТСКАЯ ШКОЛА-ИНТЕРНАТ СРЕДНЕГО ОБЩЕГО ОБРАЗОВАНИЯ ИМ.МАРШАЛА СОВЕТСКОГО СОЮЗА Д. Т. ЯЗОВА"</v>
      </c>
      <c r="B14159" s="24" t="s">
        <v>16354</v>
      </c>
      <c r="C14159" s="25">
        <v>24000</v>
      </c>
      <c r="D14159" s="22" t="s">
        <v>16355</v>
      </c>
      <c r="E14159" s="22" t="s">
        <v>208</v>
      </c>
      <c r="F14159" s="23" t="str">
        <f>HYPERLINK("https://www.spark-marketing.ru/Card/Lot/68154454", "Услуги по охране объектов посредством использования тревожной сигнализации (КТС)")</f>
        <v>Услуги по охране объектов посредством использования тревожной сигнализации (КТС)</v>
      </c>
      <c r="G14159" s="22" t="s">
        <v>521</v>
      </c>
      <c r="H14159" s="22" t="s">
        <v>522</v>
      </c>
      <c r="I14159" s="26">
        <v>43517.594444444403</v>
      </c>
      <c r="J14159" s="28" t="s">
        <v>52</v>
      </c>
      <c r="K14159" s="28" t="s">
        <v>52</v>
      </c>
      <c r="L14159" s="28" t="s">
        <v>52</v>
      </c>
      <c r="M14159" s="28" t="s">
        <v>52</v>
      </c>
      <c r="N14159" s="28" t="s">
        <v>52</v>
      </c>
    </row>
    <row r="14160" spans="1:14" x14ac:dyDescent="0.15">
      <c r="A14160" s="23" t="str">
        <f>HYPERLINK("https://www.spark-marketing.ru/Card/Person/1052601", "БДОУ Г. ОМСКА ""ЦЕНТР РАЗВИТИЯ РЕБЕНКА - ДЕТСКИЙ САД № 15""")</f>
        <v>БДОУ Г. ОМСКА "ЦЕНТР РАЗВИТИЯ РЕБЕНКА - ДЕТСКИЙ САД № 15"</v>
      </c>
      <c r="B14160" s="24" t="s">
        <v>10107</v>
      </c>
      <c r="C14160" s="25">
        <v>21600</v>
      </c>
      <c r="D14160" s="22" t="s">
        <v>16356</v>
      </c>
      <c r="E14160" s="22" t="s">
        <v>194</v>
      </c>
      <c r="F14160" s="23" t="str">
        <f>HYPERLINK("https://www.spark-marketing.ru/Card/Lot/68153438", "Услуги по техническому обслуживанию системы видеонаблюдения, сервисное обслуживание системы контроля доступа")</f>
        <v>Услуги по техническому обслуживанию системы видеонаблюдения, сервисное обслуживание системы контроля доступа</v>
      </c>
      <c r="G14160" s="22" t="s">
        <v>521</v>
      </c>
      <c r="H14160" s="22" t="s">
        <v>522</v>
      </c>
      <c r="I14160" s="26">
        <v>43517.566666666702</v>
      </c>
      <c r="J14160" s="28" t="s">
        <v>52</v>
      </c>
      <c r="K14160" s="28" t="s">
        <v>52</v>
      </c>
      <c r="L14160" s="28" t="s">
        <v>52</v>
      </c>
      <c r="M14160" s="28" t="s">
        <v>52</v>
      </c>
      <c r="N14160" s="28" t="s">
        <v>52</v>
      </c>
    </row>
    <row r="14161" spans="1:14" x14ac:dyDescent="0.15">
      <c r="A14161" s="23" t="str">
        <f>HYPERLINK("https://www.spark-marketing.ru/Card/Person/1761924", "АОУ ШКОЛА № 1")</f>
        <v>АОУ ШКОЛА № 1</v>
      </c>
      <c r="B14161" s="24" t="s">
        <v>16357</v>
      </c>
      <c r="C14161" s="25">
        <v>59400</v>
      </c>
      <c r="D14161" s="22" t="s">
        <v>16358</v>
      </c>
      <c r="E14161" s="22" t="s">
        <v>103</v>
      </c>
      <c r="F14161" s="23" t="str">
        <f>HYPERLINK("https://www.spark-marketing.ru/Card/Lot/68150870", "Оказание услуг по техническому обслуживанию (содержанию) видеонаблюдения")</f>
        <v>Оказание услуг по техническому обслуживанию (содержанию) видеонаблюдения</v>
      </c>
      <c r="G14161" s="22" t="s">
        <v>50</v>
      </c>
      <c r="H14161" s="22" t="s">
        <v>50</v>
      </c>
      <c r="I14161" s="26">
        <v>43517.534837963001</v>
      </c>
      <c r="J14161" s="28" t="s">
        <v>52</v>
      </c>
      <c r="K14161" s="28" t="s">
        <v>52</v>
      </c>
      <c r="L14161" s="28" t="s">
        <v>52</v>
      </c>
      <c r="M14161" s="28" t="s">
        <v>52</v>
      </c>
      <c r="N14161" s="28" t="s">
        <v>52</v>
      </c>
    </row>
    <row r="14162" spans="1:14" x14ac:dyDescent="0.15">
      <c r="A14162" s="23" t="str">
        <f>HYPERLINK("https://www.spark-marketing.ru/Card/Person/330026", "Ленинградская АЭС")</f>
        <v>Ленинградская АЭС</v>
      </c>
      <c r="B14162" s="24" t="s">
        <v>211</v>
      </c>
      <c r="C14162" s="25">
        <v>1303134.8</v>
      </c>
      <c r="D14162" s="22" t="s">
        <v>16359</v>
      </c>
      <c r="E14162" s="22" t="s">
        <v>53</v>
      </c>
      <c r="F14162" s="23" t="str">
        <f>HYPERLINK("https://www.spark-marketing.ru/Card/Lot/68170255", "Право заключения договора на Оказание услуг по обеспечению пропускного режима на территорию учебно-тренировочного комплекса (81UYH) Ленинградской АЭС")</f>
        <v>Право заключения договора на Оказание услуг по обеспечению пропускного режима на территорию учебно-тренировочного комплекса (81UYH) Ленинградской АЭС</v>
      </c>
      <c r="G14162" s="22" t="s">
        <v>55</v>
      </c>
      <c r="H14162" s="22" t="s">
        <v>55</v>
      </c>
      <c r="I14162" s="26">
        <v>43517.526909722197</v>
      </c>
      <c r="J14162" s="28" t="s">
        <v>52</v>
      </c>
      <c r="K14162" s="28" t="s">
        <v>52</v>
      </c>
      <c r="L14162" s="28" t="s">
        <v>52</v>
      </c>
      <c r="M14162" s="28" t="s">
        <v>52</v>
      </c>
      <c r="N14162" s="28" t="s">
        <v>52</v>
      </c>
    </row>
    <row r="14163" spans="1:14" x14ac:dyDescent="0.15">
      <c r="A14163" s="23" t="str">
        <f>HYPERLINK("https://www.spark-marketing.ru/Card/Person/6219162", "ГБУЗ МО ""МОССМП""")</f>
        <v>ГБУЗ МО "МОССМП"</v>
      </c>
      <c r="B14163" s="24" t="s">
        <v>16360</v>
      </c>
      <c r="C14163" s="25">
        <v>44571.839999999997</v>
      </c>
      <c r="D14163" s="22" t="s">
        <v>16361</v>
      </c>
      <c r="E14163" s="22" t="s">
        <v>103</v>
      </c>
      <c r="F14163" s="23" t="str">
        <f>HYPERLINK("https://www.spark-marketing.ru/Card/Lot/68150852", "Услуги по техническому обслуживанию системы видеонаблюдения на объекте в 2019 г. для нужд ЮВФ (Егорьевская ПСМП)")</f>
        <v>Услуги по техническому обслуживанию системы видеонаблюдения на объекте в 2019 г. для нужд ЮВФ (Егорьевская ПСМП)</v>
      </c>
      <c r="G14163" s="22" t="s">
        <v>50</v>
      </c>
      <c r="H14163" s="22" t="s">
        <v>3526</v>
      </c>
      <c r="I14163" s="26">
        <v>43517.523900462998</v>
      </c>
      <c r="J14163" s="28" t="s">
        <v>52</v>
      </c>
      <c r="K14163" s="28" t="s">
        <v>52</v>
      </c>
      <c r="L14163" s="28" t="s">
        <v>52</v>
      </c>
      <c r="M14163" s="28" t="s">
        <v>52</v>
      </c>
      <c r="N14163" s="28" t="s">
        <v>52</v>
      </c>
    </row>
    <row r="14164" spans="1:14" x14ac:dyDescent="0.15">
      <c r="A14164" s="23" t="str">
        <f>HYPERLINK("https://www.spark-marketing.ru/Card/Person/1026733", "БУ ДО ГОРОДА ОМСКА ""СДЮСШОР № 21 ИМ. Л. КИСЕЛЕВА""")</f>
        <v>БУ ДО ГОРОДА ОМСКА "СДЮСШОР № 21 ИМ. Л. КИСЕЛЕВА"</v>
      </c>
      <c r="B14164" s="24" t="s">
        <v>16362</v>
      </c>
      <c r="C14164" s="25">
        <v>64800</v>
      </c>
      <c r="D14164" s="22" t="s">
        <v>16363</v>
      </c>
      <c r="E14164" s="22" t="s">
        <v>68</v>
      </c>
      <c r="F14164" s="23" t="str">
        <f>HYPERLINK("https://www.spark-marketing.ru/Card/Lot/68146759", "Оказание услуг по охране объектов посредством использования кнопки тревожной сигнализации")</f>
        <v>Оказание услуг по охране объектов посредством использования кнопки тревожной сигнализации</v>
      </c>
      <c r="G14164" s="22" t="s">
        <v>521</v>
      </c>
      <c r="H14164" s="22" t="s">
        <v>522</v>
      </c>
      <c r="I14164" s="26">
        <v>43517.469444444403</v>
      </c>
      <c r="J14164" s="28" t="s">
        <v>52</v>
      </c>
      <c r="K14164" s="28" t="s">
        <v>52</v>
      </c>
      <c r="L14164" s="28" t="s">
        <v>52</v>
      </c>
      <c r="M14164" s="28" t="s">
        <v>52</v>
      </c>
      <c r="N14164" s="28" t="s">
        <v>52</v>
      </c>
    </row>
    <row r="14165" spans="1:14" x14ac:dyDescent="0.15">
      <c r="A14165" s="23" t="str">
        <f>HYPERLINK("https://www.spark-marketing.ru/Card/Person/92580", "ГКУСО МО ""СЕРЕБРЯНО-ПРУДСКИЙ СРЦН ""ПОДРОСТОК""")</f>
        <v>ГКУСО МО "СЕРЕБРЯНО-ПРУДСКИЙ СРЦН "ПОДРОСТОК"</v>
      </c>
      <c r="B14165" s="24" t="s">
        <v>16364</v>
      </c>
      <c r="C14165" s="25">
        <v>33526.04</v>
      </c>
      <c r="D14165" s="22" t="s">
        <v>16365</v>
      </c>
      <c r="E14165" s="22" t="s">
        <v>59</v>
      </c>
      <c r="F14165" s="23" t="str">
        <f>HYPERLINK("https://www.spark-marketing.ru/Card/Lot/68149504", "Работы по установке видеодомофона")</f>
        <v>Работы по установке видеодомофона</v>
      </c>
      <c r="G14165" s="22" t="s">
        <v>50</v>
      </c>
      <c r="H14165" s="22" t="s">
        <v>16366</v>
      </c>
      <c r="I14165" s="26">
        <v>43517.471817129597</v>
      </c>
      <c r="J14165" s="28" t="s">
        <v>52</v>
      </c>
      <c r="K14165" s="28" t="s">
        <v>52</v>
      </c>
      <c r="L14165" s="28" t="s">
        <v>52</v>
      </c>
      <c r="M14165" s="28" t="s">
        <v>52</v>
      </c>
      <c r="N14165" s="28" t="s">
        <v>52</v>
      </c>
    </row>
    <row r="14166" spans="1:14" x14ac:dyDescent="0.15">
      <c r="A14166" s="23" t="str">
        <f>HYPERLINK("https://www.spark-marketing.ru/Card/Person/4348477", "ООО ИК ""СИБИНТЕК""")</f>
        <v>ООО ИК "СИБИНТЕК"</v>
      </c>
      <c r="B14166" s="24" t="s">
        <v>4789</v>
      </c>
      <c r="C14166" s="28" t="s">
        <v>52</v>
      </c>
      <c r="D14166" s="22" t="s">
        <v>16367</v>
      </c>
      <c r="E14166" s="22" t="s">
        <v>53</v>
      </c>
      <c r="F14166" s="23" t="str">
        <f>HYPERLINK("https://www.spark-marketing.ru/Card/Lot/68148327", "Тендер на оказание охранных услуг на объекте ул. Малая Калужская д.27")</f>
        <v>Тендер на оказание охранных услуг на объекте ул. Малая Калужская д.27</v>
      </c>
      <c r="G14166" s="22" t="s">
        <v>55</v>
      </c>
      <c r="H14166" s="22" t="s">
        <v>55</v>
      </c>
      <c r="I14166" s="26">
        <v>43517.4555555556</v>
      </c>
      <c r="J14166" s="28" t="s">
        <v>52</v>
      </c>
      <c r="K14166" s="28" t="s">
        <v>52</v>
      </c>
      <c r="L14166" s="28" t="s">
        <v>52</v>
      </c>
      <c r="M14166" s="28" t="s">
        <v>52</v>
      </c>
      <c r="N14166" s="28" t="s">
        <v>52</v>
      </c>
    </row>
    <row r="14167" spans="1:14" x14ac:dyDescent="0.15">
      <c r="A14167" s="23" t="str">
        <f>HYPERLINK("https://www.spark-marketing.ru/Card/Person/86246", "АО ""НПП ""КВАНТ""")</f>
        <v>АО "НПП "КВАНТ"</v>
      </c>
      <c r="B14167" s="24" t="s">
        <v>16368</v>
      </c>
      <c r="C14167" s="25">
        <v>192000</v>
      </c>
      <c r="D14167" s="22" t="s">
        <v>16369</v>
      </c>
      <c r="E14167" s="22" t="s">
        <v>144</v>
      </c>
      <c r="F14167" s="23" t="str">
        <f>HYPERLINK("https://www.spark-marketing.ru/Card/Lot/68146520", "Оказание услуг по пультовой охране, техническому обслуживанию комплекса охранно-тревожной сигнализации и обеспечению прибытия мобильных экипажей на объекты по поступившим ""тревожным"" сообщениям")</f>
        <v>Оказание услуг по пультовой охране, техническому обслуживанию комплекса охранно-тревожной сигнализации и обеспечению прибытия мобильных экипажей на объекты по поступившим "тревожным" сообщениям</v>
      </c>
      <c r="G14167" s="22" t="s">
        <v>55</v>
      </c>
      <c r="H14167" s="22" t="s">
        <v>55</v>
      </c>
      <c r="I14167" s="26">
        <v>43517.420439814799</v>
      </c>
      <c r="J14167" s="28" t="s">
        <v>52</v>
      </c>
      <c r="K14167" s="28" t="s">
        <v>52</v>
      </c>
      <c r="L14167" s="28" t="s">
        <v>52</v>
      </c>
      <c r="M14167" s="28" t="s">
        <v>52</v>
      </c>
      <c r="N14167" s="28" t="s">
        <v>52</v>
      </c>
    </row>
    <row r="14168" spans="1:14" hidden="1" outlineLevel="1" x14ac:dyDescent="0.2">
      <c r="A14168" s="23" t="str">
        <f>HYPERLINK("https://www.spark-marketing.ru/Card/Person/86246", "АО ""НПП ""КВАНТ""")</f>
        <v>АО "НПП "КВАНТ"</v>
      </c>
      <c r="B14168" s="24" t="s">
        <v>16368</v>
      </c>
      <c r="C14168" s="28" t="s">
        <v>52</v>
      </c>
      <c r="D14168" s="22" t="s">
        <v>16369</v>
      </c>
      <c r="E14168" s="22" t="s">
        <v>144</v>
      </c>
      <c r="F14168" s="23" t="str">
        <f>HYPERLINK("https://www.spark-marketing.ru/Card/Lot/68146520", "Оказание услуг по пультовой охране, техническому обслуживанию комплекса охранно-тревожной сигнализации и обеспечению прибытия мобильных экипажей на объекты по поступившим ""тревожным"" сообщениям")</f>
        <v>Оказание услуг по пультовой охране, техническому обслуживанию комплекса охранно-тревожной сигнализации и обеспечению прибытия мобильных экипажей на объекты по поступившим "тревожным" сообщениям</v>
      </c>
      <c r="G14168" s="22" t="s">
        <v>55</v>
      </c>
      <c r="H14168" s="22" t="s">
        <v>55</v>
      </c>
      <c r="I14168" s="26">
        <v>43517.420439814799</v>
      </c>
      <c r="J14168" s="23" t="str">
        <f>HYPERLINK("https://www.spark-marketing.ru/Card/Person/10487", "ФГУП ""ОХРАНА"" РОСГВАРДИИ")</f>
        <v>ФГУП "ОХРАНА" РОСГВАРДИИ</v>
      </c>
      <c r="K14168" s="24" t="s">
        <v>779</v>
      </c>
      <c r="L14168" s="22" t="s">
        <v>10</v>
      </c>
      <c r="M14168" s="25">
        <v>134758.32</v>
      </c>
      <c r="N14168" s="27">
        <v>0.29813374999999998</v>
      </c>
    </row>
    <row r="14169" spans="1:14" hidden="1" outlineLevel="1" x14ac:dyDescent="0.2">
      <c r="A14169" s="23" t="str">
        <f>HYPERLINK("https://www.spark-marketing.ru/Card/Person/86246", "АО ""НПП ""КВАНТ""")</f>
        <v>АО "НПП "КВАНТ"</v>
      </c>
      <c r="B14169" s="24" t="s">
        <v>16368</v>
      </c>
      <c r="C14169" s="28" t="s">
        <v>52</v>
      </c>
      <c r="D14169" s="22" t="s">
        <v>16369</v>
      </c>
      <c r="E14169" s="22" t="s">
        <v>144</v>
      </c>
      <c r="F14169" s="23" t="str">
        <f>HYPERLINK("https://www.spark-marketing.ru/Card/Lot/68146520", "Оказание услуг по пультовой охране, техническому обслуживанию комплекса охранно-тревожной сигнализации и обеспечению прибытия мобильных экипажей на объекты по поступившим ""тревожным"" сообщениям")</f>
        <v>Оказание услуг по пультовой охране, техническому обслуживанию комплекса охранно-тревожной сигнализации и обеспечению прибытия мобильных экипажей на объекты по поступившим "тревожным" сообщениям</v>
      </c>
      <c r="G14169" s="22" t="s">
        <v>55</v>
      </c>
      <c r="H14169" s="22" t="s">
        <v>55</v>
      </c>
      <c r="I14169" s="26">
        <v>43517.420439814799</v>
      </c>
      <c r="J14169" s="23" t="str">
        <f>HYPERLINK("https://www.spark-marketing.ru/Card/Person/4567443", "ООО ЧОО ""ОНИКС""")</f>
        <v>ООО ЧОО "ОНИКС"</v>
      </c>
      <c r="K14169" s="24" t="s">
        <v>16370</v>
      </c>
      <c r="L14169" s="28" t="s">
        <v>52</v>
      </c>
      <c r="M14169" s="25">
        <v>144000</v>
      </c>
      <c r="N14169" s="27">
        <v>0.25</v>
      </c>
    </row>
    <row r="14170" spans="1:14" hidden="1" outlineLevel="1" x14ac:dyDescent="0.2">
      <c r="A14170" s="23" t="str">
        <f>HYPERLINK("https://www.spark-marketing.ru/Card/Person/86246", "АО ""НПП ""КВАНТ""")</f>
        <v>АО "НПП "КВАНТ"</v>
      </c>
      <c r="B14170" s="24" t="s">
        <v>16368</v>
      </c>
      <c r="C14170" s="28" t="s">
        <v>52</v>
      </c>
      <c r="D14170" s="22" t="s">
        <v>16369</v>
      </c>
      <c r="E14170" s="22" t="s">
        <v>144</v>
      </c>
      <c r="F14170" s="23" t="str">
        <f>HYPERLINK("https://www.spark-marketing.ru/Card/Lot/68146520", "Оказание услуг по пультовой охране, техническому обслуживанию комплекса охранно-тревожной сигнализации и обеспечению прибытия мобильных экипажей на объекты по поступившим ""тревожным"" сообщениям")</f>
        <v>Оказание услуг по пультовой охране, техническому обслуживанию комплекса охранно-тревожной сигнализации и обеспечению прибытия мобильных экипажей на объекты по поступившим "тревожным" сообщениям</v>
      </c>
      <c r="G14170" s="22" t="s">
        <v>55</v>
      </c>
      <c r="H14170" s="22" t="s">
        <v>55</v>
      </c>
      <c r="I14170" s="26">
        <v>43517.420439814799</v>
      </c>
      <c r="J14170" s="23" t="str">
        <f>HYPERLINK("https://www.spark-marketing.ru/Card/Person/92100", "ООО ЧОО АБ ""РАДОНЕЖ""")</f>
        <v>ООО ЧОО АБ "РАДОНЕЖ"</v>
      </c>
      <c r="K14170" s="24" t="s">
        <v>16371</v>
      </c>
      <c r="L14170" s="28" t="s">
        <v>52</v>
      </c>
      <c r="M14170" s="25">
        <v>152000</v>
      </c>
      <c r="N14170" s="27">
        <v>0.20833333333333334</v>
      </c>
    </row>
    <row r="14171" spans="1:14" hidden="1" outlineLevel="1" x14ac:dyDescent="0.2">
      <c r="A14171" s="23" t="str">
        <f>HYPERLINK("https://www.spark-marketing.ru/Card/Person/86246", "АО ""НПП ""КВАНТ""")</f>
        <v>АО "НПП "КВАНТ"</v>
      </c>
      <c r="B14171" s="24" t="s">
        <v>16368</v>
      </c>
      <c r="C14171" s="28" t="s">
        <v>52</v>
      </c>
      <c r="D14171" s="22" t="s">
        <v>16369</v>
      </c>
      <c r="E14171" s="22" t="s">
        <v>144</v>
      </c>
      <c r="F14171" s="23" t="str">
        <f>HYPERLINK("https://www.spark-marketing.ru/Card/Lot/68146520", "Оказание услуг по пультовой охране, техническому обслуживанию комплекса охранно-тревожной сигнализации и обеспечению прибытия мобильных экипажей на объекты по поступившим ""тревожным"" сообщениям")</f>
        <v>Оказание услуг по пультовой охране, техническому обслуживанию комплекса охранно-тревожной сигнализации и обеспечению прибытия мобильных экипажей на объекты по поступившим "тревожным" сообщениям</v>
      </c>
      <c r="G14171" s="22" t="s">
        <v>55</v>
      </c>
      <c r="H14171" s="22" t="s">
        <v>55</v>
      </c>
      <c r="I14171" s="26">
        <v>43517.420439814799</v>
      </c>
      <c r="J14171" s="23" t="str">
        <f>HYPERLINK("https://www.spark-marketing.ru/Card/Person/1976859", "ООО ЧОО ""ДЕЛЬТА""")</f>
        <v>ООО ЧОО "ДЕЛЬТА"</v>
      </c>
      <c r="K14171" s="24" t="s">
        <v>8928</v>
      </c>
      <c r="L14171" s="28" t="s">
        <v>52</v>
      </c>
      <c r="M14171" s="25">
        <v>119760</v>
      </c>
      <c r="N14171" s="27">
        <v>0.37624999999999997</v>
      </c>
    </row>
    <row r="14172" spans="1:14" x14ac:dyDescent="0.15">
      <c r="A14172" s="23" t="str">
        <f>HYPERLINK("https://www.spark-marketing.ru/Card/Person/213369", "МУП ""МИРНИНСКИЙ МОЛОКОЗАВОД""")</f>
        <v>МУП "МИРНИНСКИЙ МОЛОКОЗАВОД"</v>
      </c>
      <c r="B14172" s="24" t="s">
        <v>16372</v>
      </c>
      <c r="C14172" s="25">
        <v>354180.6</v>
      </c>
      <c r="D14172" s="22" t="s">
        <v>16373</v>
      </c>
      <c r="E14172" s="22" t="s">
        <v>49</v>
      </c>
      <c r="F14172" s="23" t="str">
        <f>HYPERLINK("https://www.spark-marketing.ru/Card/Lot/68137713", "Услуги по эксплуатационному обслуживанию технических средств охраны")</f>
        <v>Услуги по эксплуатационному обслуживанию технических средств охраны</v>
      </c>
      <c r="G14172" s="22" t="s">
        <v>424</v>
      </c>
      <c r="H14172" s="22" t="s">
        <v>424</v>
      </c>
      <c r="I14172" s="26">
        <v>43517.392465277801</v>
      </c>
      <c r="J14172" s="28" t="s">
        <v>52</v>
      </c>
      <c r="K14172" s="28" t="s">
        <v>52</v>
      </c>
      <c r="L14172" s="28" t="s">
        <v>52</v>
      </c>
      <c r="M14172" s="28" t="s">
        <v>52</v>
      </c>
      <c r="N14172" s="28" t="s">
        <v>52</v>
      </c>
    </row>
    <row r="14173" spans="1:14" hidden="1" outlineLevel="1" x14ac:dyDescent="0.2">
      <c r="A14173" s="23" t="str">
        <f>HYPERLINK("https://www.spark-marketing.ru/Card/Person/213369", "МУП ""МИРНИНСКИЙ МОЛОКОЗАВОД""")</f>
        <v>МУП "МИРНИНСКИЙ МОЛОКОЗАВОД"</v>
      </c>
      <c r="B14173" s="24" t="s">
        <v>16372</v>
      </c>
      <c r="C14173" s="28" t="s">
        <v>52</v>
      </c>
      <c r="D14173" s="22" t="s">
        <v>16373</v>
      </c>
      <c r="E14173" s="22" t="s">
        <v>49</v>
      </c>
      <c r="F14173" s="23" t="str">
        <f>HYPERLINK("https://www.spark-marketing.ru/Card/Lot/68137713", "Услуги по эксплуатационному обслуживанию технических средств охраны")</f>
        <v>Услуги по эксплуатационному обслуживанию технических средств охраны</v>
      </c>
      <c r="G14173" s="22" t="s">
        <v>424</v>
      </c>
      <c r="H14173" s="22" t="s">
        <v>424</v>
      </c>
      <c r="I14173" s="26">
        <v>43517.392465277801</v>
      </c>
      <c r="J14173" s="23" t="str">
        <f>HYPERLINK("https://www.spark-marketing.ru/Card/Person/449361", "ООО ""СИСТЕМКОНТРОЛ""")</f>
        <v>ООО "СИСТЕМКОНТРОЛ"</v>
      </c>
      <c r="K14173" s="24" t="s">
        <v>16374</v>
      </c>
      <c r="L14173" s="22" t="s">
        <v>10</v>
      </c>
      <c r="M14173" s="25">
        <v>240000</v>
      </c>
      <c r="N14173" s="27">
        <v>0.32237959956022438</v>
      </c>
    </row>
    <row r="14174" spans="1:14" hidden="1" outlineLevel="1" x14ac:dyDescent="0.2">
      <c r="A14174" s="23" t="str">
        <f>HYPERLINK("https://www.spark-marketing.ru/Card/Person/213369", "МУП ""МИРНИНСКИЙ МОЛОКОЗАВОД""")</f>
        <v>МУП "МИРНИНСКИЙ МОЛОКОЗАВОД"</v>
      </c>
      <c r="B14174" s="24" t="s">
        <v>16372</v>
      </c>
      <c r="C14174" s="28" t="s">
        <v>52</v>
      </c>
      <c r="D14174" s="22" t="s">
        <v>16373</v>
      </c>
      <c r="E14174" s="22" t="s">
        <v>49</v>
      </c>
      <c r="F14174" s="23" t="str">
        <f>HYPERLINK("https://www.spark-marketing.ru/Card/Lot/68137713", "Услуги по эксплуатационному обслуживанию технических средств охраны")</f>
        <v>Услуги по эксплуатационному обслуживанию технических средств охраны</v>
      </c>
      <c r="G14174" s="22" t="s">
        <v>424</v>
      </c>
      <c r="H14174" s="22" t="s">
        <v>424</v>
      </c>
      <c r="I14174" s="26">
        <v>43517.392465277801</v>
      </c>
      <c r="J14174" s="23" t="str">
        <f>HYPERLINK("https://www.spark-marketing.ru/Card/Person/447014", "ООО ЧОП ""ГАЛИАФ""")</f>
        <v>ООО ЧОП "ГАЛИАФ"</v>
      </c>
      <c r="K14174" s="24" t="s">
        <v>9319</v>
      </c>
      <c r="L14174" s="28" t="s">
        <v>52</v>
      </c>
      <c r="M14174" s="25">
        <v>240000</v>
      </c>
      <c r="N14174" s="27">
        <v>0.32237959956022438</v>
      </c>
    </row>
    <row r="14175" spans="1:14" x14ac:dyDescent="0.15">
      <c r="A14175" s="23" t="str">
        <f>HYPERLINK("https://www.spark-marketing.ru/Card/Person/1027294", "МДОУ №20 С. БОРИСОВО")</f>
        <v>МДОУ №20 С. БОРИСОВО</v>
      </c>
      <c r="B14175" s="24" t="s">
        <v>16375</v>
      </c>
      <c r="C14175" s="25">
        <v>25000</v>
      </c>
      <c r="D14175" s="22" t="s">
        <v>16376</v>
      </c>
      <c r="E14175" s="22" t="s">
        <v>103</v>
      </c>
      <c r="F14175" s="23" t="str">
        <f>HYPERLINK("https://www.spark-marketing.ru/Card/Lot/68143937", "Техническое обслуживание систем видеонаблюдения")</f>
        <v>Техническое обслуживание систем видеонаблюдения</v>
      </c>
      <c r="G14175" s="22" t="s">
        <v>50</v>
      </c>
      <c r="H14175" s="22" t="s">
        <v>946</v>
      </c>
      <c r="I14175" s="26">
        <v>43517.409502314797</v>
      </c>
      <c r="J14175" s="28" t="s">
        <v>52</v>
      </c>
      <c r="K14175" s="28" t="s">
        <v>52</v>
      </c>
      <c r="L14175" s="28" t="s">
        <v>52</v>
      </c>
      <c r="M14175" s="28" t="s">
        <v>52</v>
      </c>
      <c r="N14175" s="28" t="s">
        <v>52</v>
      </c>
    </row>
    <row r="14176" spans="1:14" x14ac:dyDescent="0.15">
      <c r="A14176" s="23" t="str">
        <f>HYPERLINK("https://www.spark-marketing.ru/Card/Person/122439", "МБДОУ Д/С № 42 ""РОДНИЧОК""")</f>
        <v>МБДОУ Д/С № 42 "РОДНИЧОК"</v>
      </c>
      <c r="B14176" s="24" t="s">
        <v>16377</v>
      </c>
      <c r="C14176" s="25">
        <v>64400</v>
      </c>
      <c r="D14176" s="22" t="s">
        <v>16378</v>
      </c>
      <c r="E14176" s="22" t="s">
        <v>294</v>
      </c>
      <c r="F14176" s="23" t="str">
        <f>HYPERLINK("https://www.spark-marketing.ru/Card/Lot/68143991", "Оказание услуг по техническому обслуживанию аудио и видеотехники")</f>
        <v>Оказание услуг по техническому обслуживанию аудио и видеотехники</v>
      </c>
      <c r="G14176" s="22" t="s">
        <v>50</v>
      </c>
      <c r="H14176" s="22" t="s">
        <v>2391</v>
      </c>
      <c r="I14176" s="26">
        <v>43517.399027777799</v>
      </c>
      <c r="J14176" s="28" t="s">
        <v>52</v>
      </c>
      <c r="K14176" s="28" t="s">
        <v>52</v>
      </c>
      <c r="L14176" s="28" t="s">
        <v>52</v>
      </c>
      <c r="M14176" s="28" t="s">
        <v>52</v>
      </c>
      <c r="N14176" s="28" t="s">
        <v>52</v>
      </c>
    </row>
    <row r="14177" spans="1:14" x14ac:dyDescent="0.15">
      <c r="A14177" s="23" t="str">
        <f>HYPERLINK("https://www.spark-marketing.ru/Card/Person/5846547", "АЛТАЙКРАЙСТАТ")</f>
        <v>АЛТАЙКРАЙСТАТ</v>
      </c>
      <c r="B14177" s="24" t="s">
        <v>16379</v>
      </c>
      <c r="C14177" s="25">
        <v>500105.6</v>
      </c>
      <c r="D14177" s="22" t="s">
        <v>16380</v>
      </c>
      <c r="E14177" s="22" t="s">
        <v>68</v>
      </c>
      <c r="F14177" s="23" t="str">
        <f>HYPERLINK("https://www.spark-marketing.ru/Card/Lot/68150998", "Оказание комплекса услуг по централизованной охране объектов")</f>
        <v>Оказание комплекса услуг по централизованной охране объектов</v>
      </c>
      <c r="G14177" s="22" t="s">
        <v>428</v>
      </c>
      <c r="H14177" s="22" t="s">
        <v>428</v>
      </c>
      <c r="I14177" s="26">
        <v>43517</v>
      </c>
      <c r="J14177" s="23" t="str">
        <f>HYPERLINK("https://www.spark-marketing.ru/Card/Person/168309", "ФГКУ ""УВО ВНГ РОССИИ ПО АЛТАЙСКОМУ КРАЮ""")</f>
        <v>ФГКУ "УВО ВНГ РОССИИ ПО АЛТАЙСКОМУ КРАЮ"</v>
      </c>
      <c r="K14177" s="24" t="s">
        <v>1393</v>
      </c>
      <c r="L14177" s="22" t="s">
        <v>10</v>
      </c>
      <c r="M14177" s="28" t="s">
        <v>52</v>
      </c>
      <c r="N14177" s="28" t="s">
        <v>52</v>
      </c>
    </row>
    <row r="14178" spans="1:14" x14ac:dyDescent="0.15">
      <c r="A14178" s="23" t="str">
        <f>HYPERLINK("https://www.spark-marketing.ru/Card/Person/18577", "МБУ ""ТЭУ""")</f>
        <v>МБУ "ТЭУ"</v>
      </c>
      <c r="B14178" s="24" t="s">
        <v>16381</v>
      </c>
      <c r="C14178" s="25">
        <v>98000</v>
      </c>
      <c r="D14178" s="22" t="s">
        <v>16382</v>
      </c>
      <c r="E14178" s="22" t="s">
        <v>107</v>
      </c>
      <c r="F14178" s="23" t="str">
        <f>HYPERLINK("https://www.spark-marketing.ru/Card/Lot/68144267", "Техническое обслуживание средств охранной и тревожной сигнализации, установленных на объектах Заказчика")</f>
        <v>Техническое обслуживание средств охранной и тревожной сигнализации, установленных на объектах Заказчика</v>
      </c>
      <c r="G14178" s="22" t="s">
        <v>50</v>
      </c>
      <c r="H14178" s="22" t="s">
        <v>3866</v>
      </c>
      <c r="I14178" s="26">
        <v>43517</v>
      </c>
      <c r="J14178" s="28" t="s">
        <v>52</v>
      </c>
      <c r="K14178" s="28" t="s">
        <v>52</v>
      </c>
      <c r="L14178" s="28" t="s">
        <v>52</v>
      </c>
      <c r="M14178" s="28" t="s">
        <v>52</v>
      </c>
      <c r="N14178" s="28" t="s">
        <v>52</v>
      </c>
    </row>
    <row r="14179" spans="1:14" hidden="1" outlineLevel="1" x14ac:dyDescent="0.2">
      <c r="A14179" s="23" t="str">
        <f>HYPERLINK("https://www.spark-marketing.ru/Card/Person/18577", "МБУ ""ТЭУ""")</f>
        <v>МБУ "ТЭУ"</v>
      </c>
      <c r="B14179" s="24" t="s">
        <v>16381</v>
      </c>
      <c r="C14179" s="25">
        <v>98000</v>
      </c>
      <c r="D14179" s="22" t="s">
        <v>16382</v>
      </c>
      <c r="E14179" s="22" t="s">
        <v>107</v>
      </c>
      <c r="F14179" s="23" t="str">
        <f>HYPERLINK("https://www.spark-marketing.ru/Card/Lot/68144267", "Техническое обслуживание средств охранной и тревожной сигнализации, установленных на объектах Заказчика")</f>
        <v>Техническое обслуживание средств охранной и тревожной сигнализации, установленных на объектах Заказчика</v>
      </c>
      <c r="G14179" s="22" t="s">
        <v>50</v>
      </c>
      <c r="H14179" s="22" t="s">
        <v>3866</v>
      </c>
      <c r="I14179" s="26">
        <v>43517</v>
      </c>
      <c r="J14179" s="23" t="str">
        <f>HYPERLINK("https://www.spark-marketing.ru/Card/Person/623901", "ООО ""СИС""")</f>
        <v>ООО "СИС"</v>
      </c>
      <c r="K14179" s="24" t="s">
        <v>16383</v>
      </c>
      <c r="L14179" s="28" t="s">
        <v>52</v>
      </c>
      <c r="M14179" s="25">
        <v>71000</v>
      </c>
      <c r="N14179" s="27">
        <v>0.27551020408163263</v>
      </c>
    </row>
    <row r="14180" spans="1:14" hidden="1" outlineLevel="1" x14ac:dyDescent="0.2">
      <c r="A14180" s="23" t="str">
        <f>HYPERLINK("https://www.spark-marketing.ru/Card/Person/18577", "МБУ ""ТЭУ""")</f>
        <v>МБУ "ТЭУ"</v>
      </c>
      <c r="B14180" s="24" t="s">
        <v>16381</v>
      </c>
      <c r="C14180" s="25">
        <v>98000</v>
      </c>
      <c r="D14180" s="22" t="s">
        <v>16382</v>
      </c>
      <c r="E14180" s="22" t="s">
        <v>107</v>
      </c>
      <c r="F14180" s="23" t="str">
        <f>HYPERLINK("https://www.spark-marketing.ru/Card/Lot/68144267", "Техническое обслуживание средств охранной и тревожной сигнализации, установленных на объектах Заказчика")</f>
        <v>Техническое обслуживание средств охранной и тревожной сигнализации, установленных на объектах Заказчика</v>
      </c>
      <c r="G14180" s="22" t="s">
        <v>50</v>
      </c>
      <c r="H14180" s="22" t="s">
        <v>3866</v>
      </c>
      <c r="I14180" s="26">
        <v>43517</v>
      </c>
      <c r="J14180" s="23" t="str">
        <f>HYPERLINK("https://www.spark-marketing.ru/Card/Person/65028", "ООО ""ИМПУЛЬС М""")</f>
        <v>ООО "ИМПУЛЬС М"</v>
      </c>
      <c r="K14180" s="24" t="s">
        <v>7268</v>
      </c>
      <c r="L14180" s="28" t="s">
        <v>52</v>
      </c>
      <c r="M14180" s="25">
        <v>88000</v>
      </c>
      <c r="N14180" s="27">
        <v>0.10204081632653061</v>
      </c>
    </row>
    <row r="14181" spans="1:14" ht="12.75" hidden="1" outlineLevel="1" x14ac:dyDescent="0.2">
      <c r="A14181" s="23" t="str">
        <f>HYPERLINK("https://www.spark-marketing.ru/Card/Person/18577", "МБУ ""ТЭУ""")</f>
        <v>МБУ "ТЭУ"</v>
      </c>
      <c r="B14181" s="24" t="s">
        <v>16381</v>
      </c>
      <c r="C14181" s="25">
        <v>98000</v>
      </c>
      <c r="D14181" s="22" t="s">
        <v>16382</v>
      </c>
      <c r="E14181" s="22" t="s">
        <v>107</v>
      </c>
      <c r="F14181" s="23" t="str">
        <f>HYPERLINK("https://www.spark-marketing.ru/Card/Lot/68144267", "Техническое обслуживание средств охранной и тревожной сигнализации, установленных на объектах Заказчика")</f>
        <v>Техническое обслуживание средств охранной и тревожной сигнализации, установленных на объектах Заказчика</v>
      </c>
      <c r="G14181" s="22" t="s">
        <v>50</v>
      </c>
      <c r="H14181" s="22" t="s">
        <v>3866</v>
      </c>
      <c r="I14181" s="26">
        <v>43517</v>
      </c>
      <c r="J14181" s="23" t="str">
        <f>HYPERLINK("https://www.spark-marketing.ru/Card/Person/396187", "ООО ""МОНТАЖ-ЦЕНТР ""ПА""")</f>
        <v>ООО "МОНТАЖ-ЦЕНТР "ПА"</v>
      </c>
      <c r="K14181" s="24" t="s">
        <v>16384</v>
      </c>
      <c r="L14181" s="22" t="s">
        <v>10</v>
      </c>
      <c r="M14181" s="25">
        <v>70510</v>
      </c>
      <c r="N14181" s="27">
        <v>0.28051020408163263</v>
      </c>
    </row>
    <row r="14182" spans="1:14" hidden="1" outlineLevel="1" x14ac:dyDescent="0.2">
      <c r="A14182" s="23" t="str">
        <f>HYPERLINK("https://www.spark-marketing.ru/Card/Person/18577", "МБУ ""ТЭУ""")</f>
        <v>МБУ "ТЭУ"</v>
      </c>
      <c r="B14182" s="24" t="s">
        <v>16381</v>
      </c>
      <c r="C14182" s="25">
        <v>98000</v>
      </c>
      <c r="D14182" s="22" t="s">
        <v>16382</v>
      </c>
      <c r="E14182" s="22" t="s">
        <v>107</v>
      </c>
      <c r="F14182" s="23" t="str">
        <f>HYPERLINK("https://www.spark-marketing.ru/Card/Lot/68144267", "Техническое обслуживание средств охранной и тревожной сигнализации, установленных на объектах Заказчика")</f>
        <v>Техническое обслуживание средств охранной и тревожной сигнализации, установленных на объектах Заказчика</v>
      </c>
      <c r="G14182" s="22" t="s">
        <v>50</v>
      </c>
      <c r="H14182" s="22" t="s">
        <v>3866</v>
      </c>
      <c r="I14182" s="26">
        <v>43517</v>
      </c>
      <c r="J14182" s="23" t="str">
        <f>HYPERLINK("https://www.spark-marketing.ru/Card/Person/6462474", "ООО ""ФАВОР""")</f>
        <v>ООО "ФАВОР"</v>
      </c>
      <c r="K14182" s="24" t="s">
        <v>2058</v>
      </c>
      <c r="L14182" s="28" t="s">
        <v>52</v>
      </c>
      <c r="M14182" s="25">
        <v>79670</v>
      </c>
      <c r="N14182" s="27">
        <v>0.18704081632653061</v>
      </c>
    </row>
    <row r="14183" spans="1:14" x14ac:dyDescent="0.15">
      <c r="A14183" s="23" t="str">
        <f>HYPERLINK("https://www.spark-marketing.ru/Card/Person/13997", "ГБУЗ РК ""КНЯЖПОГОСТСКАЯ ЦРБ""")</f>
        <v>ГБУЗ РК "КНЯЖПОГОСТСКАЯ ЦРБ"</v>
      </c>
      <c r="B14183" s="24" t="s">
        <v>6809</v>
      </c>
      <c r="C14183" s="25">
        <v>76387.199999999997</v>
      </c>
      <c r="D14183" s="22" t="s">
        <v>16385</v>
      </c>
      <c r="E14183" s="22" t="s">
        <v>68</v>
      </c>
      <c r="F14183" s="23" t="str">
        <f>HYPERLINK("https://www.spark-marketing.ru/Card/Lot/68142935", "Оказание услуг по предупреждению и пресечению правонарушений и преступлений с помощью кнопкой тревожной сигнализации")</f>
        <v>Оказание услуг по предупреждению и пресечению правонарушений и преступлений с помощью кнопкой тревожной сигнализации</v>
      </c>
      <c r="G14183" s="22" t="s">
        <v>538</v>
      </c>
      <c r="H14183" s="22" t="s">
        <v>6811</v>
      </c>
      <c r="I14183" s="26">
        <v>43517</v>
      </c>
      <c r="J14183" s="28" t="s">
        <v>52</v>
      </c>
      <c r="K14183" s="28" t="s">
        <v>52</v>
      </c>
      <c r="L14183" s="28" t="s">
        <v>52</v>
      </c>
      <c r="M14183" s="28" t="s">
        <v>52</v>
      </c>
      <c r="N14183" s="28" t="s">
        <v>52</v>
      </c>
    </row>
    <row r="14184" spans="1:14" x14ac:dyDescent="0.15">
      <c r="A14184" s="23" t="str">
        <f t="shared" ref="A14184:A14190" si="746">HYPERLINK("https://www.spark-marketing.ru/Card/Person/775", "НОВОРОССИЙСКАЯ ТАМОЖНЯ")</f>
        <v>НОВОРОССИЙСКАЯ ТАМОЖНЯ</v>
      </c>
      <c r="B14184" s="24" t="s">
        <v>16386</v>
      </c>
      <c r="C14184" s="25">
        <v>185741.33</v>
      </c>
      <c r="D14184" s="22" t="s">
        <v>16387</v>
      </c>
      <c r="E14184" s="22" t="s">
        <v>103</v>
      </c>
      <c r="F14184" s="23" t="str">
        <f t="shared" ref="F14184:F14190" si="747">HYPERLINK("https://www.spark-marketing.ru/Card/Lot/68145520", "выполнение работ по техническому обслуживанию систем видеонаблюдения (оптических приборов) Новороссийской таможни")</f>
        <v>выполнение работ по техническому обслуживанию систем видеонаблюдения (оптических приборов) Новороссийской таможни</v>
      </c>
      <c r="G14184" s="22" t="s">
        <v>132</v>
      </c>
      <c r="H14184" s="22" t="s">
        <v>452</v>
      </c>
      <c r="I14184" s="26">
        <v>43517</v>
      </c>
      <c r="J14184" s="28" t="s">
        <v>52</v>
      </c>
      <c r="K14184" s="28" t="s">
        <v>52</v>
      </c>
      <c r="L14184" s="28" t="s">
        <v>52</v>
      </c>
      <c r="M14184" s="28" t="s">
        <v>52</v>
      </c>
      <c r="N14184" s="28" t="s">
        <v>52</v>
      </c>
    </row>
    <row r="14185" spans="1:14" hidden="1" outlineLevel="1" x14ac:dyDescent="0.2">
      <c r="A14185" s="23" t="str">
        <f t="shared" si="746"/>
        <v>НОВОРОССИЙСКАЯ ТАМОЖНЯ</v>
      </c>
      <c r="B14185" s="24" t="s">
        <v>16386</v>
      </c>
      <c r="C14185" s="25">
        <v>185741.33</v>
      </c>
      <c r="D14185" s="22" t="s">
        <v>16387</v>
      </c>
      <c r="E14185" s="22" t="s">
        <v>103</v>
      </c>
      <c r="F14185" s="23" t="str">
        <f t="shared" si="747"/>
        <v>выполнение работ по техническому обслуживанию систем видеонаблюдения (оптических приборов) Новороссийской таможни</v>
      </c>
      <c r="G14185" s="22" t="s">
        <v>132</v>
      </c>
      <c r="H14185" s="22" t="s">
        <v>452</v>
      </c>
      <c r="I14185" s="26">
        <v>43517</v>
      </c>
      <c r="J14185" s="23" t="str">
        <f>HYPERLINK("https://www.spark-marketing.ru/Card/Person/880983", "ООО ""СГБ""")</f>
        <v>ООО "СГБ"</v>
      </c>
      <c r="K14185" s="24" t="s">
        <v>16388</v>
      </c>
      <c r="L14185" s="28" t="s">
        <v>52</v>
      </c>
      <c r="M14185" s="25">
        <v>60365.78</v>
      </c>
      <c r="N14185" s="27">
        <v>0.67500081968832681</v>
      </c>
    </row>
    <row r="14186" spans="1:14" ht="12.75" hidden="1" outlineLevel="1" x14ac:dyDescent="0.2">
      <c r="A14186" s="23" t="str">
        <f t="shared" si="746"/>
        <v>НОВОРОССИЙСКАЯ ТАМОЖНЯ</v>
      </c>
      <c r="B14186" s="24" t="s">
        <v>16386</v>
      </c>
      <c r="C14186" s="25">
        <v>185741.33</v>
      </c>
      <c r="D14186" s="22" t="s">
        <v>16387</v>
      </c>
      <c r="E14186" s="22" t="s">
        <v>103</v>
      </c>
      <c r="F14186" s="23" t="str">
        <f t="shared" si="747"/>
        <v>выполнение работ по техническому обслуживанию систем видеонаблюдения (оптических приборов) Новороссийской таможни</v>
      </c>
      <c r="G14186" s="22" t="s">
        <v>132</v>
      </c>
      <c r="H14186" s="22" t="s">
        <v>452</v>
      </c>
      <c r="I14186" s="26">
        <v>43517</v>
      </c>
      <c r="J14186" s="23" t="str">
        <f>HYPERLINK("https://www.spark-marketing.ru/Card/Person/449881", "ООО ""МОРПОЖТЕХСЕРВИС""")</f>
        <v>ООО "МОРПОЖТЕХСЕРВИС"</v>
      </c>
      <c r="K14186" s="24" t="s">
        <v>16389</v>
      </c>
      <c r="L14186" s="22" t="s">
        <v>10</v>
      </c>
      <c r="M14186" s="25">
        <v>53864.81</v>
      </c>
      <c r="N14186" s="27">
        <v>0.71000094593917251</v>
      </c>
    </row>
    <row r="14187" spans="1:14" hidden="1" outlineLevel="1" x14ac:dyDescent="0.2">
      <c r="A14187" s="23" t="str">
        <f t="shared" si="746"/>
        <v>НОВОРОССИЙСКАЯ ТАМОЖНЯ</v>
      </c>
      <c r="B14187" s="24" t="s">
        <v>16386</v>
      </c>
      <c r="C14187" s="25">
        <v>185741.33</v>
      </c>
      <c r="D14187" s="22" t="s">
        <v>16387</v>
      </c>
      <c r="E14187" s="22" t="s">
        <v>103</v>
      </c>
      <c r="F14187" s="23" t="str">
        <f t="shared" si="747"/>
        <v>выполнение работ по техническому обслуживанию систем видеонаблюдения (оптических приборов) Новороссийской таможни</v>
      </c>
      <c r="G14187" s="22" t="s">
        <v>132</v>
      </c>
      <c r="H14187" s="22" t="s">
        <v>452</v>
      </c>
      <c r="I14187" s="26">
        <v>43517</v>
      </c>
      <c r="J14187" s="23" t="str">
        <f>HYPERLINK("https://www.spark-marketing.ru/Card/Person/86953", "ООО ""НПО КУБАНЬ""")</f>
        <v>ООО "НПО КУБАНЬ"</v>
      </c>
      <c r="K14187" s="24" t="s">
        <v>15737</v>
      </c>
      <c r="L14187" s="28" t="s">
        <v>52</v>
      </c>
      <c r="M14187" s="25">
        <v>79868.66</v>
      </c>
      <c r="N14187" s="27">
        <v>0.57000060245073081</v>
      </c>
    </row>
    <row r="14188" spans="1:14" hidden="1" outlineLevel="1" x14ac:dyDescent="0.2">
      <c r="A14188" s="23" t="str">
        <f t="shared" si="746"/>
        <v>НОВОРОССИЙСКАЯ ТАМОЖНЯ</v>
      </c>
      <c r="B14188" s="24" t="s">
        <v>16386</v>
      </c>
      <c r="C14188" s="25">
        <v>185741.33</v>
      </c>
      <c r="D14188" s="22" t="s">
        <v>16387</v>
      </c>
      <c r="E14188" s="22" t="s">
        <v>103</v>
      </c>
      <c r="F14188" s="23" t="str">
        <f t="shared" si="747"/>
        <v>выполнение работ по техническому обслуживанию систем видеонаблюдения (оптических приборов) Новороссийской таможни</v>
      </c>
      <c r="G14188" s="22" t="s">
        <v>132</v>
      </c>
      <c r="H14188" s="22" t="s">
        <v>452</v>
      </c>
      <c r="I14188" s="26">
        <v>43517</v>
      </c>
      <c r="J14188" s="23" t="str">
        <f>HYPERLINK("https://www.spark-marketing.ru/Card/Person/4855810", "ООО ГРУППА КОМПАНИЙ ""ПАРТНЕР ПРОЕКТ""")</f>
        <v>ООО ГРУППА КОМПАНИЙ "ПАРТНЕР ПРОЕКТ"</v>
      </c>
      <c r="K14188" s="24" t="s">
        <v>14372</v>
      </c>
      <c r="L14188" s="28" t="s">
        <v>52</v>
      </c>
      <c r="M14188" s="25">
        <v>155093.96</v>
      </c>
      <c r="N14188" s="27">
        <v>0.16500027215267599</v>
      </c>
    </row>
    <row r="14189" spans="1:14" hidden="1" outlineLevel="1" x14ac:dyDescent="0.2">
      <c r="A14189" s="23" t="str">
        <f t="shared" si="746"/>
        <v>НОВОРОССИЙСКАЯ ТАМОЖНЯ</v>
      </c>
      <c r="B14189" s="24" t="s">
        <v>16386</v>
      </c>
      <c r="C14189" s="25">
        <v>185741.33</v>
      </c>
      <c r="D14189" s="22" t="s">
        <v>16387</v>
      </c>
      <c r="E14189" s="22" t="s">
        <v>103</v>
      </c>
      <c r="F14189" s="23" t="str">
        <f t="shared" si="747"/>
        <v>выполнение работ по техническому обслуживанию систем видеонаблюдения (оптических приборов) Новороссийской таможни</v>
      </c>
      <c r="G14189" s="22" t="s">
        <v>132</v>
      </c>
      <c r="H14189" s="22" t="s">
        <v>452</v>
      </c>
      <c r="I14189" s="26">
        <v>43517</v>
      </c>
      <c r="J14189" s="23" t="str">
        <f>HYPERLINK("https://www.spark-marketing.ru/Card/Person/5828018", "Берлад Наталья Альбертовна")</f>
        <v>Берлад Наталья Альбертовна</v>
      </c>
      <c r="K14189" s="24" t="s">
        <v>16390</v>
      </c>
      <c r="L14189" s="28" t="s">
        <v>52</v>
      </c>
      <c r="M14189" s="25">
        <v>58508.36</v>
      </c>
      <c r="N14189" s="27">
        <v>0.68500085575999703</v>
      </c>
    </row>
    <row r="14190" spans="1:14" hidden="1" outlineLevel="1" x14ac:dyDescent="0.2">
      <c r="A14190" s="23" t="str">
        <f t="shared" si="746"/>
        <v>НОВОРОССИЙСКАЯ ТАМОЖНЯ</v>
      </c>
      <c r="B14190" s="24" t="s">
        <v>16386</v>
      </c>
      <c r="C14190" s="25">
        <v>185741.33</v>
      </c>
      <c r="D14190" s="22" t="s">
        <v>16387</v>
      </c>
      <c r="E14190" s="22" t="s">
        <v>103</v>
      </c>
      <c r="F14190" s="23" t="str">
        <f t="shared" si="747"/>
        <v>выполнение работ по техническому обслуживанию систем видеонаблюдения (оптических приборов) Новороссийской таможни</v>
      </c>
      <c r="G14190" s="22" t="s">
        <v>132</v>
      </c>
      <c r="H14190" s="22" t="s">
        <v>452</v>
      </c>
      <c r="I14190" s="26">
        <v>43517</v>
      </c>
      <c r="J14190" s="23" t="str">
        <f>HYPERLINK("https://www.spark-marketing.ru/Card/Person/5826836", "Радченко Максим Сергеевич")</f>
        <v>Радченко Максим Сергеевич</v>
      </c>
      <c r="K14190" s="24" t="s">
        <v>10687</v>
      </c>
      <c r="L14190" s="28" t="s">
        <v>52</v>
      </c>
      <c r="M14190" s="25">
        <v>54793.52</v>
      </c>
      <c r="N14190" s="27">
        <v>0.70500092790333735</v>
      </c>
    </row>
    <row r="14191" spans="1:14" x14ac:dyDescent="0.15">
      <c r="A14191" s="23" t="str">
        <f>HYPERLINK("https://www.spark-marketing.ru/Card/Person/18873", "УСД В КЕМЕРОВСКОЙ ОБЛАСТИ")</f>
        <v>УСД В КЕМЕРОВСКОЙ ОБЛАСТИ</v>
      </c>
      <c r="B14191" s="24" t="s">
        <v>7512</v>
      </c>
      <c r="C14191" s="25">
        <v>7255.5</v>
      </c>
      <c r="D14191" s="22" t="s">
        <v>16391</v>
      </c>
      <c r="E14191" s="22" t="s">
        <v>68</v>
      </c>
      <c r="F14191" s="23" t="str">
        <f>HYPERLINK("https://www.spark-marketing.ru/Card/Lot/68153022", "оказание охранных услуг посредством контроля состояния средств тревожной сигнализации в Управлении Судебного департамента в Кемеровской области")</f>
        <v>оказание охранных услуг посредством контроля состояния средств тревожной сигнализации в Управлении Судебного департамента в Кемеровской области</v>
      </c>
      <c r="G14191" s="22" t="s">
        <v>367</v>
      </c>
      <c r="H14191" s="22" t="s">
        <v>367</v>
      </c>
      <c r="I14191" s="26">
        <v>43517</v>
      </c>
      <c r="J14191" s="28" t="s">
        <v>52</v>
      </c>
      <c r="K14191" s="28" t="s">
        <v>52</v>
      </c>
      <c r="L14191" s="28" t="s">
        <v>52</v>
      </c>
      <c r="M14191" s="28" t="s">
        <v>52</v>
      </c>
      <c r="N14191" s="28" t="s">
        <v>52</v>
      </c>
    </row>
    <row r="14192" spans="1:14" x14ac:dyDescent="0.15">
      <c r="A14192" s="23" t="str">
        <f>HYPERLINK("https://www.spark-marketing.ru/Card/Person/154422", "УПРАВЛЕНИЕ ПО АГЗ И ИМУЩЕСТВЕННЫМ ОТНОШЕНИЯМ АДМИНИСТРАЦИИ РАЙОНА")</f>
        <v>УПРАВЛЕНИЕ ПО АГЗ И ИМУЩЕСТВЕННЫМ ОТНОШЕНИЯМ АДМИНИСТРАЦИИ РАЙОНА</v>
      </c>
      <c r="B14192" s="24" t="s">
        <v>16392</v>
      </c>
      <c r="C14192" s="25">
        <v>514080</v>
      </c>
      <c r="D14192" s="22" t="s">
        <v>16393</v>
      </c>
      <c r="E14192" s="22" t="s">
        <v>68</v>
      </c>
      <c r="F14192" s="23" t="str">
        <f>HYPERLINK("https://www.spark-marketing.ru/Card/Lot/68151006", "Оказание услуг по охране административного здания и прилегающей территории")</f>
        <v>Оказание услуг по охране административного здания и прилегающей территории</v>
      </c>
      <c r="G14192" s="22" t="s">
        <v>640</v>
      </c>
      <c r="H14192" s="22" t="s">
        <v>8198</v>
      </c>
      <c r="I14192" s="26">
        <v>43517</v>
      </c>
      <c r="J14192" s="28" t="s">
        <v>52</v>
      </c>
      <c r="K14192" s="28" t="s">
        <v>52</v>
      </c>
      <c r="L14192" s="28" t="s">
        <v>52</v>
      </c>
      <c r="M14192" s="28" t="s">
        <v>52</v>
      </c>
      <c r="N14192" s="28" t="s">
        <v>52</v>
      </c>
    </row>
    <row r="14193" spans="1:14" hidden="1" outlineLevel="1" x14ac:dyDescent="0.2">
      <c r="A14193" s="23" t="str">
        <f>HYPERLINK("https://www.spark-marketing.ru/Card/Person/154422", "УПРАВЛЕНИЕ ПО АГЗ И ИМУЩЕСТВЕННЫМ ОТНОШЕНИЯМ АДМИНИСТРАЦИИ РАЙОНА")</f>
        <v>УПРАВЛЕНИЕ ПО АГЗ И ИМУЩЕСТВЕННЫМ ОТНОШЕНИЯМ АДМИНИСТРАЦИИ РАЙОНА</v>
      </c>
      <c r="B14193" s="24" t="s">
        <v>16392</v>
      </c>
      <c r="C14193" s="25">
        <v>514080</v>
      </c>
      <c r="D14193" s="22" t="s">
        <v>16393</v>
      </c>
      <c r="E14193" s="22" t="s">
        <v>68</v>
      </c>
      <c r="F14193" s="23" t="str">
        <f>HYPERLINK("https://www.spark-marketing.ru/Card/Lot/68151006", "Оказание услуг по охране административного здания и прилегающей территории")</f>
        <v>Оказание услуг по охране административного здания и прилегающей территории</v>
      </c>
      <c r="G14193" s="22" t="s">
        <v>640</v>
      </c>
      <c r="H14193" s="22" t="s">
        <v>8198</v>
      </c>
      <c r="I14193" s="26">
        <v>43517</v>
      </c>
      <c r="J14193" s="23" t="str">
        <f>HYPERLINK("https://www.spark-marketing.ru/Card/Person/472540", "ООО ""МОЛОТ""")</f>
        <v>ООО "МОЛОТ"</v>
      </c>
      <c r="K14193" s="24" t="s">
        <v>4684</v>
      </c>
      <c r="L14193" s="28" t="s">
        <v>52</v>
      </c>
      <c r="M14193" s="25">
        <v>511509.6</v>
      </c>
      <c r="N14193" s="27">
        <v>5.0000000000000001E-3</v>
      </c>
    </row>
    <row r="14194" spans="1:14" ht="12.75" hidden="1" outlineLevel="1" x14ac:dyDescent="0.2">
      <c r="A14194" s="23" t="str">
        <f>HYPERLINK("https://www.spark-marketing.ru/Card/Person/154422", "УПРАВЛЕНИЕ ПО АГЗ И ИМУЩЕСТВЕННЫМ ОТНОШЕНИЯМ АДМИНИСТРАЦИИ РАЙОНА")</f>
        <v>УПРАВЛЕНИЕ ПО АГЗ И ИМУЩЕСТВЕННЫМ ОТНОШЕНИЯМ АДМИНИСТРАЦИИ РАЙОНА</v>
      </c>
      <c r="B14194" s="24" t="s">
        <v>16392</v>
      </c>
      <c r="C14194" s="25">
        <v>514080</v>
      </c>
      <c r="D14194" s="22" t="s">
        <v>16393</v>
      </c>
      <c r="E14194" s="22" t="s">
        <v>68</v>
      </c>
      <c r="F14194" s="23" t="str">
        <f>HYPERLINK("https://www.spark-marketing.ru/Card/Lot/68151006", "Оказание услуг по охране административного здания и прилегающей территории")</f>
        <v>Оказание услуг по охране административного здания и прилегающей территории</v>
      </c>
      <c r="G14194" s="22" t="s">
        <v>640</v>
      </c>
      <c r="H14194" s="22" t="s">
        <v>8198</v>
      </c>
      <c r="I14194" s="26">
        <v>43517</v>
      </c>
      <c r="J14194" s="23" t="str">
        <f>HYPERLINK("https://www.spark-marketing.ru/Card/Person/448747", "ООО ЧОО ""БАЙКАЛ""")</f>
        <v>ООО ЧОО "БАЙКАЛ"</v>
      </c>
      <c r="K14194" s="24" t="s">
        <v>16394</v>
      </c>
      <c r="L14194" s="22" t="s">
        <v>10</v>
      </c>
      <c r="M14194" s="25">
        <v>511509.6</v>
      </c>
      <c r="N14194" s="27">
        <v>5.0000000000000001E-3</v>
      </c>
    </row>
    <row r="14195" spans="1:14" x14ac:dyDescent="0.15">
      <c r="A14195" s="23" t="str">
        <f>HYPERLINK("https://www.spark-marketing.ru/Card/Person/34713", "ГБПОУ НХТК")</f>
        <v>ГБПОУ НХТК</v>
      </c>
      <c r="B14195" s="24" t="s">
        <v>16395</v>
      </c>
      <c r="C14195" s="25">
        <v>900000</v>
      </c>
      <c r="D14195" s="22" t="s">
        <v>16396</v>
      </c>
      <c r="E14195" s="22" t="s">
        <v>52</v>
      </c>
      <c r="F14195" s="23" t="str">
        <f>HYPERLINK("https://www.spark-marketing.ru/Card/Lot/68152699", "Услуги по физической охране по объектам колледжа")</f>
        <v>Услуги по физической охране по объектам колледжа</v>
      </c>
      <c r="G14195" s="22" t="s">
        <v>258</v>
      </c>
      <c r="H14195" s="22" t="s">
        <v>6945</v>
      </c>
      <c r="I14195" s="26">
        <v>43517</v>
      </c>
      <c r="J14195" s="23" t="str">
        <f>HYPERLINK("https://www.spark-marketing.ru/Card/Person/1229976", "ООО ""ЧОП ""ТИТАН +""")</f>
        <v>ООО "ЧОП "ТИТАН +"</v>
      </c>
      <c r="K14195" s="24" t="s">
        <v>5306</v>
      </c>
      <c r="L14195" s="22" t="s">
        <v>10</v>
      </c>
      <c r="M14195" s="28" t="s">
        <v>52</v>
      </c>
      <c r="N14195" s="28" t="s">
        <v>52</v>
      </c>
    </row>
    <row r="14196" spans="1:14" x14ac:dyDescent="0.15">
      <c r="A14196" s="23" t="str">
        <f>HYPERLINK("https://www.spark-marketing.ru/Card/Person/13997", "ГБУЗ РК ""КНЯЖПОГОСТСКАЯ ЦРБ""")</f>
        <v>ГБУЗ РК "КНЯЖПОГОСТСКАЯ ЦРБ"</v>
      </c>
      <c r="B14196" s="24" t="s">
        <v>6809</v>
      </c>
      <c r="C14196" s="25">
        <v>91147.8</v>
      </c>
      <c r="D14196" s="22" t="s">
        <v>16397</v>
      </c>
      <c r="E14196" s="22" t="s">
        <v>68</v>
      </c>
      <c r="F14196" s="23" t="str">
        <f>HYPERLINK("https://www.spark-marketing.ru/Card/Lot/68142936", "Оказание услуг по охране объектов с помощью пульта централизованного наблюдения")</f>
        <v>Оказание услуг по охране объектов с помощью пульта централизованного наблюдения</v>
      </c>
      <c r="G14196" s="22" t="s">
        <v>538</v>
      </c>
      <c r="H14196" s="22" t="s">
        <v>6811</v>
      </c>
      <c r="I14196" s="26">
        <v>43517</v>
      </c>
      <c r="J14196" s="28" t="s">
        <v>52</v>
      </c>
      <c r="K14196" s="28" t="s">
        <v>52</v>
      </c>
      <c r="L14196" s="28" t="s">
        <v>52</v>
      </c>
      <c r="M14196" s="28" t="s">
        <v>52</v>
      </c>
      <c r="N14196" s="28" t="s">
        <v>52</v>
      </c>
    </row>
    <row r="14197" spans="1:14" x14ac:dyDescent="0.15">
      <c r="A14197" s="23" t="str">
        <f>HYPERLINK("https://www.spark-marketing.ru/Card/Person/148989", "МАДОУ ""ДЕТСКИЙ САД ОБЩЕРАЗВИВАЮЩЕГО ВИДА №66"" НМР РТ")</f>
        <v>МАДОУ "ДЕТСКИЙ САД ОБЩЕРАЗВИВАЮЩЕГО ВИДА №66" НМР РТ</v>
      </c>
      <c r="B14197" s="24" t="s">
        <v>16398</v>
      </c>
      <c r="C14197" s="25">
        <v>4050</v>
      </c>
      <c r="D14197" s="22" t="s">
        <v>16399</v>
      </c>
      <c r="E14197" s="22" t="s">
        <v>53</v>
      </c>
      <c r="F14197" s="23" t="str">
        <f>HYPERLINK("https://www.spark-marketing.ru/Card/Lot/73693960", "Техническое обслуживание системы видеонаблюдения")</f>
        <v>Техническое обслуживание системы видеонаблюдения</v>
      </c>
      <c r="G14197" s="22" t="s">
        <v>204</v>
      </c>
      <c r="H14197" s="22" t="s">
        <v>824</v>
      </c>
      <c r="I14197" s="26">
        <v>43517.574999999997</v>
      </c>
      <c r="J14197" s="28" t="s">
        <v>52</v>
      </c>
      <c r="K14197" s="28" t="s">
        <v>52</v>
      </c>
      <c r="L14197" s="28" t="s">
        <v>52</v>
      </c>
      <c r="M14197" s="28" t="s">
        <v>52</v>
      </c>
      <c r="N14197" s="28" t="s">
        <v>52</v>
      </c>
    </row>
    <row r="14198" spans="1:14" x14ac:dyDescent="0.15">
      <c r="A14198" s="23" t="str">
        <f>HYPERLINK("https://www.spark-marketing.ru/Card/Person/64755", "ГБУЗ КО НРБ")</f>
        <v>ГБУЗ КО НРБ</v>
      </c>
      <c r="B14198" s="24" t="s">
        <v>16400</v>
      </c>
      <c r="C14198" s="25">
        <v>145774.07999999999</v>
      </c>
      <c r="D14198" s="22" t="s">
        <v>16401</v>
      </c>
      <c r="E14198" s="22" t="s">
        <v>68</v>
      </c>
      <c r="F14198" s="23" t="str">
        <f>HYPERLINK("https://www.spark-marketing.ru/Card/Lot/68148840", "Оказание услуг по охране объектов с использованием технических средств охранной сигнализации")</f>
        <v>Оказание услуг по охране объектов с использованием технических средств охранной сигнализации</v>
      </c>
      <c r="G14198" s="22" t="s">
        <v>367</v>
      </c>
      <c r="H14198" s="22" t="s">
        <v>2640</v>
      </c>
      <c r="I14198" s="26">
        <v>43517</v>
      </c>
      <c r="J14198" s="28" t="s">
        <v>52</v>
      </c>
      <c r="K14198" s="28" t="s">
        <v>52</v>
      </c>
      <c r="L14198" s="28" t="s">
        <v>52</v>
      </c>
      <c r="M14198" s="28" t="s">
        <v>52</v>
      </c>
      <c r="N14198" s="28" t="s">
        <v>52</v>
      </c>
    </row>
    <row r="14199" spans="1:14" x14ac:dyDescent="0.15">
      <c r="A14199" s="23" t="str">
        <f>HYPERLINK("https://www.spark-marketing.ru/Card/Person/1055170", "НРБУ ТО ""КУЛЬТУРА""")</f>
        <v>НРБУ ТО "КУЛЬТУРА"</v>
      </c>
      <c r="B14199" s="24" t="s">
        <v>16402</v>
      </c>
      <c r="C14199" s="25">
        <v>37800</v>
      </c>
      <c r="D14199" s="22" t="s">
        <v>16403</v>
      </c>
      <c r="E14199" s="22" t="s">
        <v>103</v>
      </c>
      <c r="F14199" s="23" t="str">
        <f>HYPERLINK("https://www.spark-marketing.ru/Card/Lot/68144697", "оказание услуг по техническому обслуживанию системы видеонаблюдения для ДК ""Ника""")</f>
        <v>оказание услуг по техническому обслуживанию системы видеонаблюдения для ДК "Ника"</v>
      </c>
      <c r="G14199" s="22" t="s">
        <v>119</v>
      </c>
      <c r="H14199" s="22" t="s">
        <v>119</v>
      </c>
      <c r="I14199" s="26">
        <v>43517</v>
      </c>
      <c r="J14199" s="28" t="s">
        <v>52</v>
      </c>
      <c r="K14199" s="28" t="s">
        <v>52</v>
      </c>
      <c r="L14199" s="28" t="s">
        <v>52</v>
      </c>
      <c r="M14199" s="28" t="s">
        <v>52</v>
      </c>
      <c r="N14199" s="28" t="s">
        <v>52</v>
      </c>
    </row>
    <row r="14200" spans="1:14" hidden="1" outlineLevel="1" x14ac:dyDescent="0.2">
      <c r="A14200" s="23" t="str">
        <f>HYPERLINK("https://www.spark-marketing.ru/Card/Person/1055170", "НРБУ ТО ""КУЛЬТУРА""")</f>
        <v>НРБУ ТО "КУЛЬТУРА"</v>
      </c>
      <c r="B14200" s="24" t="s">
        <v>16402</v>
      </c>
      <c r="C14200" s="25">
        <v>37800</v>
      </c>
      <c r="D14200" s="22" t="s">
        <v>16403</v>
      </c>
      <c r="E14200" s="22" t="s">
        <v>103</v>
      </c>
      <c r="F14200" s="23" t="str">
        <f>HYPERLINK("https://www.spark-marketing.ru/Card/Lot/68144697", "оказание услуг по техническому обслуживанию системы видеонаблюдения для ДК ""Ника""")</f>
        <v>оказание услуг по техническому обслуживанию системы видеонаблюдения для ДК "Ника"</v>
      </c>
      <c r="G14200" s="22" t="s">
        <v>119</v>
      </c>
      <c r="H14200" s="22" t="s">
        <v>119</v>
      </c>
      <c r="I14200" s="26">
        <v>43517</v>
      </c>
      <c r="J14200" s="23" t="str">
        <f>HYPERLINK("https://www.spark-marketing.ru/Card/Person/4331145", "Бердяшкин Анатолий Борисович")</f>
        <v>Бердяшкин Анатолий Борисович</v>
      </c>
      <c r="K14200" s="24" t="s">
        <v>9033</v>
      </c>
      <c r="L14200" s="28" t="s">
        <v>52</v>
      </c>
      <c r="M14200" s="25">
        <v>29077.5</v>
      </c>
      <c r="N14200" s="27">
        <v>0.23075396825396827</v>
      </c>
    </row>
    <row r="14201" spans="1:14" ht="12.75" hidden="1" outlineLevel="1" x14ac:dyDescent="0.2">
      <c r="A14201" s="23" t="str">
        <f>HYPERLINK("https://www.spark-marketing.ru/Card/Person/1055170", "НРБУ ТО ""КУЛЬТУРА""")</f>
        <v>НРБУ ТО "КУЛЬТУРА"</v>
      </c>
      <c r="B14201" s="24" t="s">
        <v>16402</v>
      </c>
      <c r="C14201" s="25">
        <v>37800</v>
      </c>
      <c r="D14201" s="22" t="s">
        <v>16403</v>
      </c>
      <c r="E14201" s="22" t="s">
        <v>103</v>
      </c>
      <c r="F14201" s="23" t="str">
        <f>HYPERLINK("https://www.spark-marketing.ru/Card/Lot/68144697", "оказание услуг по техническому обслуживанию системы видеонаблюдения для ДК ""Ника""")</f>
        <v>оказание услуг по техническому обслуживанию системы видеонаблюдения для ДК "Ника"</v>
      </c>
      <c r="G14201" s="22" t="s">
        <v>119</v>
      </c>
      <c r="H14201" s="22" t="s">
        <v>119</v>
      </c>
      <c r="I14201" s="26">
        <v>43517</v>
      </c>
      <c r="J14201" s="23" t="str">
        <f>HYPERLINK("https://www.spark-marketing.ru/Card/Person/68241", "ООО "" БЕТТА""")</f>
        <v>ООО " БЕТТА"</v>
      </c>
      <c r="K14201" s="24" t="s">
        <v>16404</v>
      </c>
      <c r="L14201" s="22" t="s">
        <v>10</v>
      </c>
      <c r="M14201" s="25">
        <v>28888.5</v>
      </c>
      <c r="N14201" s="27">
        <v>0.23575396825396824</v>
      </c>
    </row>
    <row r="14202" spans="1:14" hidden="1" outlineLevel="1" x14ac:dyDescent="0.2">
      <c r="A14202" s="23" t="str">
        <f>HYPERLINK("https://www.spark-marketing.ru/Card/Person/1055170", "НРБУ ТО ""КУЛЬТУРА""")</f>
        <v>НРБУ ТО "КУЛЬТУРА"</v>
      </c>
      <c r="B14202" s="24" t="s">
        <v>16402</v>
      </c>
      <c r="C14202" s="25">
        <v>37800</v>
      </c>
      <c r="D14202" s="22" t="s">
        <v>16403</v>
      </c>
      <c r="E14202" s="22" t="s">
        <v>103</v>
      </c>
      <c r="F14202" s="23" t="str">
        <f>HYPERLINK("https://www.spark-marketing.ru/Card/Lot/68144697", "оказание услуг по техническому обслуживанию системы видеонаблюдения для ДК ""Ника""")</f>
        <v>оказание услуг по техническому обслуживанию системы видеонаблюдения для ДК "Ника"</v>
      </c>
      <c r="G14202" s="22" t="s">
        <v>119</v>
      </c>
      <c r="H14202" s="22" t="s">
        <v>119</v>
      </c>
      <c r="I14202" s="26">
        <v>43517</v>
      </c>
      <c r="J14202" s="23" t="str">
        <f>HYPERLINK("https://www.spark-marketing.ru/Card/Person/6354120", "ООО ЧОП ""ДАНИИЛ""")</f>
        <v>ООО ЧОП "ДАНИИЛ"</v>
      </c>
      <c r="K14202" s="24" t="s">
        <v>16405</v>
      </c>
      <c r="L14202" s="28" t="s">
        <v>52</v>
      </c>
      <c r="M14202" s="25">
        <v>37233</v>
      </c>
      <c r="N14202" s="27">
        <v>1.4999999999999999E-2</v>
      </c>
    </row>
    <row r="14203" spans="1:14" x14ac:dyDescent="0.2">
      <c r="A14203" s="23" t="str">
        <f>HYPERLINK("https://www.spark-marketing.ru/Card/Person/672332", "АО ""ХЗ ""ПЛАНТА""")</f>
        <v>АО "ХЗ "ПЛАНТА"</v>
      </c>
      <c r="B14203" s="24" t="s">
        <v>16406</v>
      </c>
      <c r="C14203" s="25">
        <v>251533.31</v>
      </c>
      <c r="D14203" s="22" t="s">
        <v>16407</v>
      </c>
      <c r="E14203" s="22" t="s">
        <v>2577</v>
      </c>
      <c r="F14203" s="23" t="str">
        <f>HYPERLINK("https://www.spark-marketing.ru/Card/Lot/68136637", "Оказание услуг по разработке планов обеспечения транспортной безопасности транспортных средств")</f>
        <v>Оказание услуг по разработке планов обеспечения транспортной безопасности транспортных средств</v>
      </c>
      <c r="G14203" s="22" t="s">
        <v>72</v>
      </c>
      <c r="H14203" s="22" t="s">
        <v>3332</v>
      </c>
      <c r="I14203" s="26">
        <v>43517.006064814799</v>
      </c>
      <c r="J14203" s="28" t="s">
        <v>52</v>
      </c>
      <c r="K14203" s="28" t="s">
        <v>52</v>
      </c>
      <c r="L14203" s="22" t="s">
        <v>10</v>
      </c>
      <c r="M14203" s="25">
        <v>238000</v>
      </c>
      <c r="N14203" s="27">
        <v>5.380325174427196E-2</v>
      </c>
    </row>
    <row r="14204" spans="1:14" x14ac:dyDescent="0.15">
      <c r="A14204" s="23" t="str">
        <f>HYPERLINK("https://www.spark-marketing.ru/Card/Person/639912", "СУД ЧУКОТСКОГО АВТОНОМНОГО ОКРУГА")</f>
        <v>СУД ЧУКОТСКОГО АВТОНОМНОГО ОКРУГА</v>
      </c>
      <c r="B14204" s="24" t="s">
        <v>16408</v>
      </c>
      <c r="C14204" s="25">
        <v>43893.09</v>
      </c>
      <c r="D14204" s="22" t="s">
        <v>16409</v>
      </c>
      <c r="E14204" s="22" t="s">
        <v>68</v>
      </c>
      <c r="F14204" s="23" t="str">
        <f>HYPERLINK("https://www.spark-marketing.ru/Card/Lot/68140502", "Охрана объекта с помощью тревожной сигнализации")</f>
        <v>Охрана объекта с помощью тревожной сигнализации</v>
      </c>
      <c r="G14204" s="22" t="s">
        <v>1544</v>
      </c>
      <c r="H14204" s="22" t="s">
        <v>8237</v>
      </c>
      <c r="I14204" s="26">
        <v>43517</v>
      </c>
      <c r="J14204" s="28" t="s">
        <v>52</v>
      </c>
      <c r="K14204" s="28" t="s">
        <v>52</v>
      </c>
      <c r="L14204" s="28" t="s">
        <v>52</v>
      </c>
      <c r="M14204" s="28" t="s">
        <v>52</v>
      </c>
      <c r="N14204" s="28" t="s">
        <v>52</v>
      </c>
    </row>
    <row r="14205" spans="1:14" x14ac:dyDescent="0.15">
      <c r="A14205" s="23" t="str">
        <f>HYPERLINK("https://www.spark-marketing.ru/Card/Person/1037240", "БОУ Г. ОМСКА ""СРЕДНЯЯ ОБЩЕОБРАЗОВАТЕЛЬНАЯ ШКОЛА № 120""")</f>
        <v>БОУ Г. ОМСКА "СРЕДНЯЯ ОБЩЕОБРАЗОВАТЕЛЬНАЯ ШКОЛА № 120"</v>
      </c>
      <c r="B14205" s="24" t="s">
        <v>4147</v>
      </c>
      <c r="C14205" s="25">
        <v>48232</v>
      </c>
      <c r="D14205" s="22" t="s">
        <v>16410</v>
      </c>
      <c r="E14205" s="22" t="s">
        <v>68</v>
      </c>
      <c r="F14205" s="23" t="str">
        <f>HYPERLINK("https://www.spark-marketing.ru/Card/Lot/68135733", "Оказание услуг по обеспечению общественного порядка и безопасности")</f>
        <v>Оказание услуг по обеспечению общественного порядка и безопасности</v>
      </c>
      <c r="G14205" s="22" t="s">
        <v>521</v>
      </c>
      <c r="H14205" s="22" t="s">
        <v>522</v>
      </c>
      <c r="I14205" s="26">
        <v>43516.868055555598</v>
      </c>
      <c r="J14205" s="28" t="s">
        <v>52</v>
      </c>
      <c r="K14205" s="28" t="s">
        <v>52</v>
      </c>
      <c r="L14205" s="28" t="s">
        <v>52</v>
      </c>
      <c r="M14205" s="28" t="s">
        <v>52</v>
      </c>
      <c r="N14205" s="28" t="s">
        <v>52</v>
      </c>
    </row>
    <row r="14206" spans="1:14" x14ac:dyDescent="0.15">
      <c r="A14206" s="23" t="str">
        <f>HYPERLINK("https://www.spark-marketing.ru/Card/Person/4349885", "АО ""СИБЭКО""")</f>
        <v>АО "СИБЭКО"</v>
      </c>
      <c r="B14206" s="24" t="s">
        <v>16411</v>
      </c>
      <c r="C14206" s="25">
        <v>0</v>
      </c>
      <c r="D14206" s="22" t="s">
        <v>16412</v>
      </c>
      <c r="E14206" s="22" t="s">
        <v>53</v>
      </c>
      <c r="F14206" s="23" t="str">
        <f>HYPERLINK("https://www.spark-marketing.ru/Card/Lot/68170548", "услуги по сопровождению систем защиты объектов информатизации Общества, аттестованных по требованиям для обработки государственной тайны.")</f>
        <v>услуги по сопровождению систем защиты объектов информатизации Общества, аттестованных по требованиям для обработки государственной тайны.</v>
      </c>
      <c r="G14206" s="22" t="s">
        <v>209</v>
      </c>
      <c r="H14206" s="22" t="s">
        <v>210</v>
      </c>
      <c r="I14206" s="26">
        <v>43516.833333333299</v>
      </c>
      <c r="J14206" s="28" t="s">
        <v>52</v>
      </c>
      <c r="K14206" s="28" t="s">
        <v>52</v>
      </c>
      <c r="L14206" s="28" t="s">
        <v>52</v>
      </c>
      <c r="M14206" s="28" t="s">
        <v>52</v>
      </c>
      <c r="N14206" s="28" t="s">
        <v>52</v>
      </c>
    </row>
    <row r="14207" spans="1:14" x14ac:dyDescent="0.2">
      <c r="A14207" s="23" t="str">
        <f>HYPERLINK("https://www.spark-marketing.ru/Card/Person/1037529", "ГАУ ""АХМАТ АРЕНА""")</f>
        <v>ГАУ "АХМАТ АРЕНА"</v>
      </c>
      <c r="B14207" s="24" t="s">
        <v>8036</v>
      </c>
      <c r="C14207" s="25">
        <v>2800000</v>
      </c>
      <c r="D14207" s="22" t="s">
        <v>16413</v>
      </c>
      <c r="E14207" s="22" t="s">
        <v>144</v>
      </c>
      <c r="F14207" s="23" t="str">
        <f>HYPERLINK("https://www.spark-marketing.ru/Card/Lot/68135568", "Оказание услуги по обеспечению общественного порядка и общественной безопасности при проведении официальных спортивных мероприятий")</f>
        <v>Оказание услуги по обеспечению общественного порядка и общественной безопасности при проведении официальных спортивных мероприятий</v>
      </c>
      <c r="G14207" s="22" t="s">
        <v>724</v>
      </c>
      <c r="H14207" s="22" t="s">
        <v>724</v>
      </c>
      <c r="I14207" s="26">
        <v>43516.865624999999</v>
      </c>
      <c r="J14207" s="23" t="str">
        <f>HYPERLINK("https://www.spark-marketing.ru/Card/Person/5863455", "ООО ""ФАЗЭРЛЭНД""")</f>
        <v>ООО "ФАЗЭРЛЭНД"</v>
      </c>
      <c r="K14207" s="24" t="s">
        <v>16414</v>
      </c>
      <c r="L14207" s="28" t="s">
        <v>52</v>
      </c>
      <c r="M14207" s="25">
        <v>2800000</v>
      </c>
      <c r="N14207" s="27">
        <v>0</v>
      </c>
    </row>
    <row r="14208" spans="1:14" x14ac:dyDescent="0.15">
      <c r="A14208" s="23" t="str">
        <f>HYPERLINK("https://www.spark-marketing.ru/Card/Person/34060", "ОАО ""КОМКОР""")</f>
        <v>ОАО "КОМКОР"</v>
      </c>
      <c r="B14208" s="24" t="s">
        <v>16415</v>
      </c>
      <c r="C14208" s="25">
        <v>0</v>
      </c>
      <c r="D14208" s="22" t="s">
        <v>16416</v>
      </c>
      <c r="E14208" s="22" t="s">
        <v>208</v>
      </c>
      <c r="F14208" s="23" t="str">
        <f>HYPERLINK("https://www.spark-marketing.ru/Card/Lot/68136252", "Лот №1. САО г. Москвы - 1099 шт.")</f>
        <v>Лот №1. САО г. Москвы - 1099 шт.</v>
      </c>
      <c r="G14208" s="22" t="s">
        <v>55</v>
      </c>
      <c r="H14208" s="22" t="s">
        <v>55</v>
      </c>
      <c r="I14208" s="26">
        <v>43516.788217592599</v>
      </c>
      <c r="J14208" s="28" t="s">
        <v>52</v>
      </c>
      <c r="K14208" s="28" t="s">
        <v>52</v>
      </c>
      <c r="L14208" s="28" t="s">
        <v>52</v>
      </c>
      <c r="M14208" s="28" t="s">
        <v>52</v>
      </c>
      <c r="N14208" s="28" t="s">
        <v>52</v>
      </c>
    </row>
    <row r="14209" spans="1:14" x14ac:dyDescent="0.15">
      <c r="A14209" s="23" t="str">
        <f>HYPERLINK("https://www.spark-marketing.ru/Card/Person/1079020", "МАОУ ДОМОДЕДОВСКИЙ ЛИЦЕЙ №3 ИМ. ГЕРОЯ СОВЕТСКОГО СОЮЗА Ю.П.МАКСИМОВА")</f>
        <v>МАОУ ДОМОДЕДОВСКИЙ ЛИЦЕЙ №3 ИМ. ГЕРОЯ СОВЕТСКОГО СОЮЗА Ю.П.МАКСИМОВА</v>
      </c>
      <c r="B14209" s="24" t="s">
        <v>16417</v>
      </c>
      <c r="C14209" s="25">
        <v>16000</v>
      </c>
      <c r="D14209" s="22" t="s">
        <v>16418</v>
      </c>
      <c r="E14209" s="22" t="s">
        <v>103</v>
      </c>
      <c r="F14209" s="23" t="str">
        <f>HYPERLINK("https://www.spark-marketing.ru/Card/Lot/68133228", "Услуги по техническому обслуживанию системы видеонаблюдения и рамки металлодетектора")</f>
        <v>Услуги по техническому обслуживанию системы видеонаблюдения и рамки металлодетектора</v>
      </c>
      <c r="G14209" s="22" t="s">
        <v>50</v>
      </c>
      <c r="H14209" s="22" t="s">
        <v>4782</v>
      </c>
      <c r="I14209" s="26">
        <v>43516.753090277802</v>
      </c>
      <c r="J14209" s="28" t="s">
        <v>52</v>
      </c>
      <c r="K14209" s="28" t="s">
        <v>52</v>
      </c>
      <c r="L14209" s="28" t="s">
        <v>52</v>
      </c>
      <c r="M14209" s="28" t="s">
        <v>52</v>
      </c>
      <c r="N14209" s="28" t="s">
        <v>52</v>
      </c>
    </row>
    <row r="14210" spans="1:14" x14ac:dyDescent="0.15">
      <c r="A14210" s="23" t="str">
        <f>HYPERLINK("https://www.spark-marketing.ru/Card/Person/34060", "ОАО ""КОМКОР""")</f>
        <v>ОАО "КОМКОР"</v>
      </c>
      <c r="B14210" s="24" t="s">
        <v>16415</v>
      </c>
      <c r="C14210" s="25">
        <v>0</v>
      </c>
      <c r="D14210" s="22" t="s">
        <v>16416</v>
      </c>
      <c r="E14210" s="22" t="s">
        <v>208</v>
      </c>
      <c r="F14210" s="23" t="str">
        <f>HYPERLINK("https://www.spark-marketing.ru/Card/Lot/68136253", "Лот №2. ВАО + ЦАО г. Москвы - 1087 шт.")</f>
        <v>Лот №2. ВАО + ЦАО г. Москвы - 1087 шт.</v>
      </c>
      <c r="G14210" s="22" t="s">
        <v>55</v>
      </c>
      <c r="H14210" s="22" t="s">
        <v>55</v>
      </c>
      <c r="I14210" s="26">
        <v>43516.788217592599</v>
      </c>
      <c r="J14210" s="28" t="s">
        <v>52</v>
      </c>
      <c r="K14210" s="28" t="s">
        <v>52</v>
      </c>
      <c r="L14210" s="28" t="s">
        <v>52</v>
      </c>
      <c r="M14210" s="28" t="s">
        <v>52</v>
      </c>
      <c r="N14210" s="28" t="s">
        <v>52</v>
      </c>
    </row>
    <row r="14211" spans="1:14" x14ac:dyDescent="0.15">
      <c r="A14211" s="23" t="str">
        <f>HYPERLINK("https://www.spark-marketing.ru/Card/Person/34060", "ОАО ""КОМКОР""")</f>
        <v>ОАО "КОМКОР"</v>
      </c>
      <c r="B14211" s="24" t="s">
        <v>16415</v>
      </c>
      <c r="C14211" s="25">
        <v>0</v>
      </c>
      <c r="D14211" s="22" t="s">
        <v>16416</v>
      </c>
      <c r="E14211" s="22" t="s">
        <v>208</v>
      </c>
      <c r="F14211" s="23" t="str">
        <f>HYPERLINK("https://www.spark-marketing.ru/Card/Lot/68136254", "Лот №3. ЮВАО + ЮАО г. Москвы - 1345 шт.")</f>
        <v>Лот №3. ЮВАО + ЮАО г. Москвы - 1345 шт.</v>
      </c>
      <c r="G14211" s="22" t="s">
        <v>55</v>
      </c>
      <c r="H14211" s="22" t="s">
        <v>55</v>
      </c>
      <c r="I14211" s="26">
        <v>43516.788217592599</v>
      </c>
      <c r="J14211" s="28" t="s">
        <v>52</v>
      </c>
      <c r="K14211" s="28" t="s">
        <v>52</v>
      </c>
      <c r="L14211" s="28" t="s">
        <v>52</v>
      </c>
      <c r="M14211" s="28" t="s">
        <v>52</v>
      </c>
      <c r="N14211" s="28" t="s">
        <v>52</v>
      </c>
    </row>
    <row r="14212" spans="1:14" x14ac:dyDescent="0.15">
      <c r="A14212" s="23" t="str">
        <f>HYPERLINK("https://www.spark-marketing.ru/Card/Person/1024201", "МОУ ""СОШ № 20""")</f>
        <v>МОУ "СОШ № 20"</v>
      </c>
      <c r="B14212" s="24" t="s">
        <v>11415</v>
      </c>
      <c r="C14212" s="25">
        <v>279000</v>
      </c>
      <c r="D14212" s="22" t="s">
        <v>16419</v>
      </c>
      <c r="E14212" s="22" t="s">
        <v>16420</v>
      </c>
      <c r="F14212" s="23" t="str">
        <f>HYPERLINK("https://www.spark-marketing.ru/Card/Lot/68133016", "Поставка товара и оказание услуг (установка камер для ЕГЭ)")</f>
        <v>Поставка товара и оказание услуг (установка камер для ЕГЭ)</v>
      </c>
      <c r="G14212" s="22" t="s">
        <v>50</v>
      </c>
      <c r="H14212" s="22" t="s">
        <v>747</v>
      </c>
      <c r="I14212" s="26">
        <v>43516.711400462998</v>
      </c>
      <c r="J14212" s="28" t="s">
        <v>52</v>
      </c>
      <c r="K14212" s="28" t="s">
        <v>52</v>
      </c>
      <c r="L14212" s="28" t="s">
        <v>52</v>
      </c>
      <c r="M14212" s="28" t="s">
        <v>52</v>
      </c>
      <c r="N14212" s="28" t="s">
        <v>52</v>
      </c>
    </row>
    <row r="14213" spans="1:14" x14ac:dyDescent="0.15">
      <c r="A14213" s="23" t="str">
        <f>HYPERLINK("https://www.spark-marketing.ru/Card/Person/95245", "ОАО ""РЖД""")</f>
        <v>ОАО "РЖД"</v>
      </c>
      <c r="B14213" s="24" t="s">
        <v>163</v>
      </c>
      <c r="C14213" s="25">
        <v>3799080</v>
      </c>
      <c r="D14213" s="22" t="s">
        <v>16421</v>
      </c>
      <c r="E14213" s="22" t="s">
        <v>867</v>
      </c>
      <c r="F14213" s="23" t="str">
        <f>HYPERLINK("https://www.spark-marketing.ru/Card/Lot/68132932", "На право заключения договора на оказание услуг по сервисному обслуживанию сетевого оборудования и оборудования для видеоконференцсвязи Дирекции тяги")</f>
        <v>На право заключения договора на оказание услуг по сервисному обслуживанию сетевого оборудования и оборудования для видеоконференцсвязи Дирекции тяги</v>
      </c>
      <c r="G14213" s="22" t="s">
        <v>640</v>
      </c>
      <c r="H14213" s="22" t="s">
        <v>640</v>
      </c>
      <c r="I14213" s="26">
        <v>43516.721585648098</v>
      </c>
      <c r="J14213" s="23" t="str">
        <f>HYPERLINK("https://www.spark-marketing.ru/Card/Person/932670", "ООО ""КОРИНФОТЕХ""")</f>
        <v>ООО "КОРИНФОТЕХ"</v>
      </c>
      <c r="K14213" s="24" t="s">
        <v>13195</v>
      </c>
      <c r="L14213" s="28" t="s">
        <v>52</v>
      </c>
      <c r="M14213" s="28" t="s">
        <v>52</v>
      </c>
      <c r="N14213" s="28" t="s">
        <v>52</v>
      </c>
    </row>
    <row r="14214" spans="1:14" hidden="1" outlineLevel="1" x14ac:dyDescent="0.2">
      <c r="A14214" s="23" t="str">
        <f>HYPERLINK("https://www.spark-marketing.ru/Card/Person/95245", "ОАО ""РЖД""")</f>
        <v>ОАО "РЖД"</v>
      </c>
      <c r="B14214" s="24" t="s">
        <v>163</v>
      </c>
      <c r="C14214" s="28" t="s">
        <v>52</v>
      </c>
      <c r="D14214" s="22" t="s">
        <v>16421</v>
      </c>
      <c r="E14214" s="22" t="s">
        <v>867</v>
      </c>
      <c r="F14214" s="23" t="str">
        <f>HYPERLINK("https://www.spark-marketing.ru/Card/Lot/68132932", "На право заключения договора на оказание услуг по сервисному обслуживанию сетевого оборудования и оборудования для видеоконференцсвязи Дирекции тяги")</f>
        <v>На право заключения договора на оказание услуг по сервисному обслуживанию сетевого оборудования и оборудования для видеоконференцсвязи Дирекции тяги</v>
      </c>
      <c r="G14214" s="22" t="s">
        <v>640</v>
      </c>
      <c r="H14214" s="22" t="s">
        <v>640</v>
      </c>
      <c r="I14214" s="26">
        <v>43516.721585648098</v>
      </c>
      <c r="J14214" s="23" t="str">
        <f>HYPERLINK("https://www.spark-marketing.ru/Card/Person/932670", "ООО ""КОРИНФОТЕХ""")</f>
        <v>ООО "КОРИНФОТЕХ"</v>
      </c>
      <c r="K14214" s="24" t="s">
        <v>13195</v>
      </c>
      <c r="L14214" s="22" t="s">
        <v>10</v>
      </c>
      <c r="M14214" s="25">
        <v>3020268.6</v>
      </c>
      <c r="N14214" s="27">
        <v>0.20499999999999999</v>
      </c>
    </row>
    <row r="14215" spans="1:14" x14ac:dyDescent="0.15">
      <c r="A14215" s="23" t="str">
        <f>HYPERLINK("https://www.spark-marketing.ru/Card/Person/131302", "АО ""САХАТРАНСНЕФТЕГАЗ""")</f>
        <v>АО "САХАТРАНСНЕФТЕГАЗ"</v>
      </c>
      <c r="B14215" s="24" t="s">
        <v>16422</v>
      </c>
      <c r="C14215" s="25">
        <v>1081071.6000000001</v>
      </c>
      <c r="D14215" s="22" t="s">
        <v>16423</v>
      </c>
      <c r="E14215" s="22" t="s">
        <v>144</v>
      </c>
      <c r="F14215" s="23" t="str">
        <f>HYPERLINK("https://www.spark-marketing.ru/Card/Lot/68115884", "Оказание услуг по охране объектов с использованием кнопки тревожной сигнализации (КТС) и пульта центрального наблюдения (ПЦН)")</f>
        <v>Оказание услуг по охране объектов с использованием кнопки тревожной сигнализации (КТС) и пульта центрального наблюдения (ПЦН)</v>
      </c>
      <c r="G14215" s="22" t="s">
        <v>424</v>
      </c>
      <c r="H14215" s="22" t="s">
        <v>424</v>
      </c>
      <c r="I14215" s="26">
        <v>43516.673587963</v>
      </c>
      <c r="J14215" s="28" t="s">
        <v>52</v>
      </c>
      <c r="K14215" s="28" t="s">
        <v>52</v>
      </c>
      <c r="L14215" s="28" t="s">
        <v>52</v>
      </c>
      <c r="M14215" s="28" t="s">
        <v>52</v>
      </c>
      <c r="N14215" s="28" t="s">
        <v>52</v>
      </c>
    </row>
    <row r="14216" spans="1:14" hidden="1" outlineLevel="1" x14ac:dyDescent="0.2">
      <c r="A14216" s="23" t="str">
        <f>HYPERLINK("https://www.spark-marketing.ru/Card/Person/131302", "АО ""САХАТРАНСНЕФТЕГАЗ""")</f>
        <v>АО "САХАТРАНСНЕФТЕГАЗ"</v>
      </c>
      <c r="B14216" s="24" t="s">
        <v>16422</v>
      </c>
      <c r="C14216" s="28" t="s">
        <v>52</v>
      </c>
      <c r="D14216" s="22" t="s">
        <v>16423</v>
      </c>
      <c r="E14216" s="22" t="s">
        <v>144</v>
      </c>
      <c r="F14216" s="23" t="str">
        <f>HYPERLINK("https://www.spark-marketing.ru/Card/Lot/68115884", "Оказание услуг по охране объектов с использованием кнопки тревожной сигнализации (КТС) и пульта центрального наблюдения (ПЦН)")</f>
        <v>Оказание услуг по охране объектов с использованием кнопки тревожной сигнализации (КТС) и пульта центрального наблюдения (ПЦН)</v>
      </c>
      <c r="G14216" s="22" t="s">
        <v>424</v>
      </c>
      <c r="H14216" s="22" t="s">
        <v>424</v>
      </c>
      <c r="I14216" s="26">
        <v>43516.673587963</v>
      </c>
      <c r="J14216" s="23" t="str">
        <f>HYPERLINK("https://www.spark-marketing.ru/Card/Person/6499720", "ОВО ПО АЛДАНСКОМУ РН ФФГКУ УВО ВНГ РОССИИ ПО РС")</f>
        <v>ОВО ПО АЛДАНСКОМУ РН ФФГКУ УВО ВНГ РОССИИ ПО РС</v>
      </c>
      <c r="K14216" s="24" t="s">
        <v>5272</v>
      </c>
      <c r="L14216" s="28" t="s">
        <v>52</v>
      </c>
      <c r="M14216" s="25">
        <v>1081071.6000000001</v>
      </c>
      <c r="N14216" s="27">
        <v>0</v>
      </c>
    </row>
    <row r="14217" spans="1:14" hidden="1" outlineLevel="1" x14ac:dyDescent="0.2">
      <c r="A14217" s="23" t="str">
        <f>HYPERLINK("https://www.spark-marketing.ru/Card/Person/131302", "АО ""САХАТРАНСНЕФТЕГАЗ""")</f>
        <v>АО "САХАТРАНСНЕФТЕГАЗ"</v>
      </c>
      <c r="B14217" s="24" t="s">
        <v>16422</v>
      </c>
      <c r="C14217" s="28" t="s">
        <v>52</v>
      </c>
      <c r="D14217" s="22" t="s">
        <v>16423</v>
      </c>
      <c r="E14217" s="22" t="s">
        <v>144</v>
      </c>
      <c r="F14217" s="23" t="str">
        <f>HYPERLINK("https://www.spark-marketing.ru/Card/Lot/68115884", "Оказание услуг по охране объектов с использованием кнопки тревожной сигнализации (КТС) и пульта центрального наблюдения (ПЦН)")</f>
        <v>Оказание услуг по охране объектов с использованием кнопки тревожной сигнализации (КТС) и пульта центрального наблюдения (ПЦН)</v>
      </c>
      <c r="G14217" s="22" t="s">
        <v>424</v>
      </c>
      <c r="H14217" s="22" t="s">
        <v>424</v>
      </c>
      <c r="I14217" s="26">
        <v>43516.673587963</v>
      </c>
      <c r="J14217" s="23" t="str">
        <f>HYPERLINK("https://www.spark-marketing.ru/Card/Person/447014", "ООО ЧОП ""ГАЛИАФ""")</f>
        <v>ООО ЧОП "ГАЛИАФ"</v>
      </c>
      <c r="K14217" s="24" t="s">
        <v>9319</v>
      </c>
      <c r="L14217" s="22" t="s">
        <v>10</v>
      </c>
      <c r="M14217" s="25">
        <v>672000</v>
      </c>
      <c r="N14217" s="27">
        <v>0.3783945485201905</v>
      </c>
    </row>
    <row r="14218" spans="1:14" hidden="1" outlineLevel="1" x14ac:dyDescent="0.2">
      <c r="A14218" s="23" t="str">
        <f>HYPERLINK("https://www.spark-marketing.ru/Card/Person/131302", "АО ""САХАТРАНСНЕФТЕГАЗ""")</f>
        <v>АО "САХАТРАНСНЕФТЕГАЗ"</v>
      </c>
      <c r="B14218" s="24" t="s">
        <v>16422</v>
      </c>
      <c r="C14218" s="28" t="s">
        <v>52</v>
      </c>
      <c r="D14218" s="22" t="s">
        <v>16423</v>
      </c>
      <c r="E14218" s="22" t="s">
        <v>144</v>
      </c>
      <c r="F14218" s="23" t="str">
        <f>HYPERLINK("https://www.spark-marketing.ru/Card/Lot/68115884", "Оказание услуг по охране объектов с использованием кнопки тревожной сигнализации (КТС) и пульта центрального наблюдения (ПЦН)")</f>
        <v>Оказание услуг по охране объектов с использованием кнопки тревожной сигнализации (КТС) и пульта центрального наблюдения (ПЦН)</v>
      </c>
      <c r="G14218" s="22" t="s">
        <v>424</v>
      </c>
      <c r="H14218" s="22" t="s">
        <v>424</v>
      </c>
      <c r="I14218" s="26">
        <v>43516.673587963</v>
      </c>
      <c r="J14218" s="23" t="str">
        <f>HYPERLINK("https://www.spark-marketing.ru/Card/Person/181541", "ООО ЧОП ""ЩИТ И МЕЧ""")</f>
        <v>ООО ЧОП "ЩИТ И МЕЧ"</v>
      </c>
      <c r="K14218" s="24" t="s">
        <v>16424</v>
      </c>
      <c r="L14218" s="28" t="s">
        <v>52</v>
      </c>
      <c r="M14218" s="25">
        <v>756000</v>
      </c>
      <c r="N14218" s="27">
        <v>0.30069386708521434</v>
      </c>
    </row>
    <row r="14219" spans="1:14" x14ac:dyDescent="0.15">
      <c r="A14219" s="23" t="str">
        <f>HYPERLINK("https://www.spark-marketing.ru/Card/Person/4346324", "ПАО ""ФСК ЕЭС""")</f>
        <v>ПАО "ФСК ЕЭС"</v>
      </c>
      <c r="B14219" s="24" t="s">
        <v>361</v>
      </c>
      <c r="C14219" s="25">
        <v>88244659.439999998</v>
      </c>
      <c r="D14219" s="22" t="s">
        <v>16425</v>
      </c>
      <c r="E14219" s="22" t="s">
        <v>363</v>
      </c>
      <c r="F14219" s="23" t="str">
        <f>HYPERLINK("https://www.spark-marketing.ru/Card/Lot/68129379", "Оказание услуг по физической охране объектов ПС 220 кВ Приокского ПМЭС")</f>
        <v>Оказание услуг по физической охране объектов ПС 220 кВ Приокского ПМЭС</v>
      </c>
      <c r="G14219" s="22" t="s">
        <v>55</v>
      </c>
      <c r="H14219" s="22" t="s">
        <v>55</v>
      </c>
      <c r="I14219" s="26">
        <v>43516.657384259299</v>
      </c>
      <c r="J14219" s="28" t="s">
        <v>52</v>
      </c>
      <c r="K14219" s="28" t="s">
        <v>52</v>
      </c>
      <c r="L14219" s="28" t="s">
        <v>52</v>
      </c>
      <c r="M14219" s="28" t="s">
        <v>52</v>
      </c>
      <c r="N14219" s="28" t="s">
        <v>52</v>
      </c>
    </row>
    <row r="14220" spans="1:14" hidden="1" outlineLevel="1" x14ac:dyDescent="0.15">
      <c r="A14220" s="23" t="str">
        <f>HYPERLINK("https://www.spark-marketing.ru/Card/Person/4346324", "ПАО ""ФСК ЕЭС""")</f>
        <v>ПАО "ФСК ЕЭС"</v>
      </c>
      <c r="B14220" s="24" t="s">
        <v>361</v>
      </c>
      <c r="C14220" s="28" t="s">
        <v>52</v>
      </c>
      <c r="D14220" s="22" t="s">
        <v>16425</v>
      </c>
      <c r="E14220" s="22" t="s">
        <v>363</v>
      </c>
      <c r="F14220" s="23" t="str">
        <f>HYPERLINK("https://www.spark-marketing.ru/Card/Lot/68129379", "Оказание услуг по физической охране объектов ПС 220 кВ Приокского ПМЭС")</f>
        <v>Оказание услуг по физической охране объектов ПС 220 кВ Приокского ПМЭС</v>
      </c>
      <c r="G14220" s="22" t="s">
        <v>55</v>
      </c>
      <c r="H14220" s="22" t="s">
        <v>55</v>
      </c>
      <c r="I14220" s="26">
        <v>43516.657384259299</v>
      </c>
      <c r="J14220" s="23" t="str">
        <f>HYPERLINK("https://www.spark-marketing.ru/Card/Person/637923", "ООО ЧОО ""ДИНАМО-Н""")</f>
        <v>ООО ЧОО "ДИНАМО-Н"</v>
      </c>
      <c r="K14220" s="24" t="s">
        <v>12531</v>
      </c>
      <c r="L14220" s="28" t="s">
        <v>52</v>
      </c>
      <c r="M14220" s="28" t="s">
        <v>52</v>
      </c>
      <c r="N14220" s="28" t="s">
        <v>52</v>
      </c>
    </row>
    <row r="14221" spans="1:14" hidden="1" outlineLevel="1" x14ac:dyDescent="0.15">
      <c r="A14221" s="23" t="str">
        <f>HYPERLINK("https://www.spark-marketing.ru/Card/Person/4346324", "ПАО ""ФСК ЕЭС""")</f>
        <v>ПАО "ФСК ЕЭС"</v>
      </c>
      <c r="B14221" s="24" t="s">
        <v>361</v>
      </c>
      <c r="C14221" s="28" t="s">
        <v>52</v>
      </c>
      <c r="D14221" s="22" t="s">
        <v>16425</v>
      </c>
      <c r="E14221" s="22" t="s">
        <v>363</v>
      </c>
      <c r="F14221" s="23" t="str">
        <f>HYPERLINK("https://www.spark-marketing.ru/Card/Lot/68129379", "Оказание услуг по физической охране объектов ПС 220 кВ Приокского ПМЭС")</f>
        <v>Оказание услуг по физической охране объектов ПС 220 кВ Приокского ПМЭС</v>
      </c>
      <c r="G14221" s="22" t="s">
        <v>55</v>
      </c>
      <c r="H14221" s="22" t="s">
        <v>55</v>
      </c>
      <c r="I14221" s="26">
        <v>43516.657384259299</v>
      </c>
      <c r="J14221" s="23" t="str">
        <f>HYPERLINK("https://www.spark-marketing.ru/Card/Person/62742", "ООО ЧОП ""ГЛОБАЛ""")</f>
        <v>ООО ЧОП "ГЛОБАЛ"</v>
      </c>
      <c r="K14221" s="24" t="s">
        <v>16426</v>
      </c>
      <c r="L14221" s="28" t="s">
        <v>52</v>
      </c>
      <c r="M14221" s="28" t="s">
        <v>52</v>
      </c>
      <c r="N14221" s="28" t="s">
        <v>52</v>
      </c>
    </row>
    <row r="14222" spans="1:14" x14ac:dyDescent="0.15">
      <c r="A14222" s="23" t="str">
        <f>HYPERLINK("https://www.spark-marketing.ru/Card/Person/72438", "МБОУ СОШ №14")</f>
        <v>МБОУ СОШ №14</v>
      </c>
      <c r="B14222" s="24" t="s">
        <v>16427</v>
      </c>
      <c r="C14222" s="25">
        <v>11000</v>
      </c>
      <c r="D14222" s="22" t="s">
        <v>16428</v>
      </c>
      <c r="E14222" s="22" t="s">
        <v>103</v>
      </c>
      <c r="F14222" s="23" t="str">
        <f>HYPERLINK("https://www.spark-marketing.ru/Card/Lot/68122905", "Техническое обслуживание систем видеонаблюдения")</f>
        <v>Техническое обслуживание систем видеонаблюдения</v>
      </c>
      <c r="G14222" s="22" t="s">
        <v>402</v>
      </c>
      <c r="H14222" s="22" t="s">
        <v>631</v>
      </c>
      <c r="I14222" s="26">
        <v>43516.594444444403</v>
      </c>
      <c r="J14222" s="28" t="s">
        <v>52</v>
      </c>
      <c r="K14222" s="28" t="s">
        <v>52</v>
      </c>
      <c r="L14222" s="28" t="s">
        <v>52</v>
      </c>
      <c r="M14222" s="28" t="s">
        <v>52</v>
      </c>
      <c r="N14222" s="28" t="s">
        <v>52</v>
      </c>
    </row>
    <row r="14223" spans="1:14" x14ac:dyDescent="0.15">
      <c r="A14223" s="23" t="str">
        <f>HYPERLINK("https://www.spark-marketing.ru/Card/Person/149192", "МОУ КОЛЫЧЕВСКАЯ СОШ")</f>
        <v>МОУ КОЛЫЧЕВСКАЯ СОШ</v>
      </c>
      <c r="B14223" s="24" t="s">
        <v>16429</v>
      </c>
      <c r="C14223" s="25">
        <v>19000</v>
      </c>
      <c r="D14223" s="22" t="s">
        <v>16430</v>
      </c>
      <c r="E14223" s="22" t="s">
        <v>12657</v>
      </c>
      <c r="F14223" s="23" t="str">
        <f>HYPERLINK("https://www.spark-marketing.ru/Card/Lot/68124423", "Поставка и установка видеорегистратора и жесткого диска для замены в системе видеонаблюдения")</f>
        <v>Поставка и установка видеорегистратора и жесткого диска для замены в системе видеонаблюдения</v>
      </c>
      <c r="G14223" s="22" t="s">
        <v>50</v>
      </c>
      <c r="H14223" s="22" t="s">
        <v>946</v>
      </c>
      <c r="I14223" s="26">
        <v>43516.586724537003</v>
      </c>
      <c r="J14223" s="28" t="s">
        <v>52</v>
      </c>
      <c r="K14223" s="28" t="s">
        <v>52</v>
      </c>
      <c r="L14223" s="28" t="s">
        <v>52</v>
      </c>
      <c r="M14223" s="28" t="s">
        <v>52</v>
      </c>
      <c r="N14223" s="28" t="s">
        <v>52</v>
      </c>
    </row>
    <row r="14224" spans="1:14" x14ac:dyDescent="0.15">
      <c r="A14224" s="23" t="str">
        <f>HYPERLINK("https://www.spark-marketing.ru/Card/Person/1026123", "ГКУСОН ""КОМПЛЕКСНЫЙ ЦЕНТР СОЦИАЛЬНОЙ АДАПТАЦИИ ДЛЯ ЛИЦ БЕЗ ОПРЕДЕЛЕННОГО МЕСТА ЖИТЕЛЬСТВА И ЗАНЯТИЙ Г. БРЯНСКА""")</f>
        <v>ГКУСОН "КОМПЛЕКСНЫЙ ЦЕНТР СОЦИАЛЬНОЙ АДАПТАЦИИ ДЛЯ ЛИЦ БЕЗ ОПРЕДЕЛЕННОГО МЕСТА ЖИТЕЛЬСТВА И ЗАНЯТИЙ Г. БРЯНСКА"</v>
      </c>
      <c r="B14224" s="24" t="s">
        <v>10000</v>
      </c>
      <c r="C14224" s="25">
        <v>99000</v>
      </c>
      <c r="D14224" s="22" t="s">
        <v>16431</v>
      </c>
      <c r="E14224" s="22" t="s">
        <v>68</v>
      </c>
      <c r="F14224" s="23" t="str">
        <f>HYPERLINK("https://www.spark-marketing.ru/Card/Lot/68123978", "Услуги по охране объекта")</f>
        <v>Услуги по охране объекта</v>
      </c>
      <c r="G14224" s="22" t="s">
        <v>215</v>
      </c>
      <c r="H14224" s="22" t="s">
        <v>406</v>
      </c>
      <c r="I14224" s="26">
        <v>43516.604861111096</v>
      </c>
      <c r="J14224" s="28" t="s">
        <v>52</v>
      </c>
      <c r="K14224" s="28" t="s">
        <v>52</v>
      </c>
      <c r="L14224" s="28" t="s">
        <v>52</v>
      </c>
      <c r="M14224" s="28" t="s">
        <v>52</v>
      </c>
      <c r="N14224" s="28" t="s">
        <v>52</v>
      </c>
    </row>
    <row r="14225" spans="1:14" x14ac:dyDescent="0.15">
      <c r="A14225" s="23" t="str">
        <f>HYPERLINK("https://www.spark-marketing.ru/Card/Person/4348589", "ПАО ""ТАТНЕФТЬ"" ИМ. В.Д. ШАШИНА")</f>
        <v>ПАО "ТАТНЕФТЬ" ИМ. В.Д. ШАШИНА</v>
      </c>
      <c r="B14225" s="24" t="s">
        <v>13000</v>
      </c>
      <c r="C14225" s="25">
        <v>0</v>
      </c>
      <c r="D14225" s="22" t="s">
        <v>16432</v>
      </c>
      <c r="E14225" s="22" t="s">
        <v>766</v>
      </c>
      <c r="F14225" s="23" t="str">
        <f>HYPERLINK("https://www.spark-marketing.ru/Card/Lot/68131268", "Круглосуточная охрана объектов УСО")</f>
        <v>Круглосуточная охрана объектов УСО</v>
      </c>
      <c r="G14225" s="22" t="s">
        <v>204</v>
      </c>
      <c r="H14225" s="22" t="s">
        <v>16433</v>
      </c>
      <c r="I14225" s="26">
        <v>43516.621550925898</v>
      </c>
      <c r="J14225" s="28" t="s">
        <v>52</v>
      </c>
      <c r="K14225" s="28" t="s">
        <v>52</v>
      </c>
      <c r="L14225" s="28" t="s">
        <v>52</v>
      </c>
      <c r="M14225" s="28" t="s">
        <v>52</v>
      </c>
      <c r="N14225" s="28" t="s">
        <v>52</v>
      </c>
    </row>
    <row r="14226" spans="1:14" x14ac:dyDescent="0.15">
      <c r="A14226" s="23" t="str">
        <f>HYPERLINK("https://www.spark-marketing.ru/Card/Person/4343563", "РТРС")</f>
        <v>РТРС</v>
      </c>
      <c r="B14226" s="24" t="s">
        <v>1414</v>
      </c>
      <c r="C14226" s="25">
        <v>946080</v>
      </c>
      <c r="D14226" s="22" t="s">
        <v>16434</v>
      </c>
      <c r="E14226" s="22" t="s">
        <v>144</v>
      </c>
      <c r="F14226" s="23" t="str">
        <f>HYPERLINK("https://www.spark-marketing.ru/Card/Lot/68127165", "Осуществление охраны объектов путем централизованного наблюдения за техническими средствами охранной сигнализации, установленными на объектах филиала РТРС ""Брянский ОРТПЦ"" и экстренному выезду группы задержания по сигналу ""тревога"", поступившему ...")</f>
        <v>Осуществление охраны объектов путем централизованного наблюдения за техническими средствами охранной сигнализации, установленными на объектах филиала РТРС "Брянский ОРТПЦ" и экстренному выезду группы задержания по сигналу "тревога", поступившему ...</v>
      </c>
      <c r="G14226" s="22" t="s">
        <v>215</v>
      </c>
      <c r="H14226" s="22" t="s">
        <v>215</v>
      </c>
      <c r="I14226" s="26">
        <v>43516.623171296298</v>
      </c>
      <c r="J14226" s="28" t="s">
        <v>52</v>
      </c>
      <c r="K14226" s="28" t="s">
        <v>52</v>
      </c>
      <c r="L14226" s="28" t="s">
        <v>52</v>
      </c>
      <c r="M14226" s="28" t="s">
        <v>52</v>
      </c>
      <c r="N14226" s="28" t="s">
        <v>52</v>
      </c>
    </row>
    <row r="14227" spans="1:14" x14ac:dyDescent="0.15">
      <c r="A14227" s="23" t="str">
        <f>HYPERLINK("https://www.spark-marketing.ru/Card/Person/29588", "БУ ""МЕДИЦИНСКИЙ ИНФОРМАЦИОННО-АНАЛИТИЧЕСКИЙ ЦЕНТР""")</f>
        <v>БУ "МЕДИЦИНСКИЙ ИНФОРМАЦИОННО-АНАЛИТИЧЕСКИЙ ЦЕНТР"</v>
      </c>
      <c r="B14227" s="24" t="s">
        <v>16435</v>
      </c>
      <c r="C14227" s="28" t="s">
        <v>52</v>
      </c>
      <c r="D14227" s="22" t="s">
        <v>16436</v>
      </c>
      <c r="E14227" s="22" t="s">
        <v>52</v>
      </c>
      <c r="F14227" s="23" t="str">
        <f>HYPERLINK("https://www.spark-marketing.ru/Card/Lot/68119870", "Оказание услуг по проверке технического состояния транспортного средства на предмет его соответствия обязательным требованиям безопасности транспортных средств")</f>
        <v>Оказание услуг по проверке технического состояния транспортного средства на предмет его соответствия обязательным требованиям безопасности транспортных средств</v>
      </c>
      <c r="G14227" s="22" t="s">
        <v>119</v>
      </c>
      <c r="H14227" s="22" t="s">
        <v>2563</v>
      </c>
      <c r="I14227" s="26">
        <v>43516.5444444444</v>
      </c>
      <c r="J14227" s="28" t="s">
        <v>52</v>
      </c>
      <c r="K14227" s="28" t="s">
        <v>52</v>
      </c>
      <c r="L14227" s="28" t="s">
        <v>52</v>
      </c>
      <c r="M14227" s="28" t="s">
        <v>52</v>
      </c>
      <c r="N14227" s="28" t="s">
        <v>52</v>
      </c>
    </row>
    <row r="14228" spans="1:14" x14ac:dyDescent="0.15">
      <c r="A14228" s="23" t="str">
        <f>HYPERLINK("https://www.spark-marketing.ru/Card/Person/86749", "МБОУ ЛУНЁВСКАЯ СОШ")</f>
        <v>МБОУ ЛУНЁВСКАЯ СОШ</v>
      </c>
      <c r="B14228" s="24" t="s">
        <v>12675</v>
      </c>
      <c r="C14228" s="25">
        <v>60000</v>
      </c>
      <c r="D14228" s="22" t="s">
        <v>16437</v>
      </c>
      <c r="E14228" s="22" t="s">
        <v>84</v>
      </c>
      <c r="F14228" s="23" t="str">
        <f>HYPERLINK("https://www.spark-marketing.ru/Card/Lot/68121940", "Установка видеонаблюдения для ОГЭ")</f>
        <v>Установка видеонаблюдения для ОГЭ</v>
      </c>
      <c r="G14228" s="22" t="s">
        <v>50</v>
      </c>
      <c r="H14228" s="22" t="s">
        <v>265</v>
      </c>
      <c r="I14228" s="26">
        <v>43516.555104166699</v>
      </c>
      <c r="J14228" s="28" t="s">
        <v>52</v>
      </c>
      <c r="K14228" s="28" t="s">
        <v>52</v>
      </c>
      <c r="L14228" s="28" t="s">
        <v>52</v>
      </c>
      <c r="M14228" s="28" t="s">
        <v>52</v>
      </c>
      <c r="N14228" s="28" t="s">
        <v>52</v>
      </c>
    </row>
    <row r="14229" spans="1:14" x14ac:dyDescent="0.15">
      <c r="A14229" s="23" t="str">
        <f>HYPERLINK("https://www.spark-marketing.ru/Card/Person/4346324", "ПАО ""ФСК ЕЭС""")</f>
        <v>ПАО "ФСК ЕЭС"</v>
      </c>
      <c r="B14229" s="24" t="s">
        <v>361</v>
      </c>
      <c r="C14229" s="25">
        <v>18993289</v>
      </c>
      <c r="D14229" s="22" t="s">
        <v>16438</v>
      </c>
      <c r="E14229" s="22" t="s">
        <v>363</v>
      </c>
      <c r="F14229" s="23" t="str">
        <f>HYPERLINK("https://www.spark-marketing.ru/Card/Lot/68121500", "Охрана 7 объектов в Тверской области (ПС 220кВ Нелидово, Андреаполь, Победа, Алмаз, Бежецк, здание управления Валдайского ПМЭС, площадка для хранения имущества при ПС 220кВ Нелидово)")</f>
        <v>Охрана 7 объектов в Тверской области (ПС 220кВ Нелидово, Андреаполь, Победа, Алмаз, Бежецк, здание управления Валдайского ПМЭС, площадка для хранения имущества при ПС 220кВ Нелидово)</v>
      </c>
      <c r="G14229" s="22" t="s">
        <v>251</v>
      </c>
      <c r="H14229" s="22" t="s">
        <v>251</v>
      </c>
      <c r="I14229" s="26">
        <v>43516.5328703704</v>
      </c>
      <c r="J14229" s="23" t="str">
        <f>HYPERLINK("https://www.spark-marketing.ru/Card/Person/62742", "ООО ЧОП ""ГЛОБАЛ""")</f>
        <v>ООО ЧОП "ГЛОБАЛ"</v>
      </c>
      <c r="K14229" s="24" t="s">
        <v>16426</v>
      </c>
      <c r="L14229" s="28" t="s">
        <v>52</v>
      </c>
      <c r="M14229" s="28" t="s">
        <v>52</v>
      </c>
      <c r="N14229" s="28" t="s">
        <v>52</v>
      </c>
    </row>
    <row r="14230" spans="1:14" x14ac:dyDescent="0.2">
      <c r="A14230" s="23" t="str">
        <f>HYPERLINK("https://www.spark-marketing.ru/Card/Person/4348805", "АО ""ИНТЕР РАО-ЭЛЕКТРОГЕНЕРАЦИЯ""")</f>
        <v>АО "ИНТЕР РАО-ЭЛЕКТРОГЕНЕРАЦИЯ"</v>
      </c>
      <c r="B14230" s="24" t="s">
        <v>11062</v>
      </c>
      <c r="C14230" s="25">
        <v>26714000.039999999</v>
      </c>
      <c r="D14230" s="22" t="s">
        <v>16439</v>
      </c>
      <c r="E14230" s="22" t="s">
        <v>144</v>
      </c>
      <c r="F14230" s="23" t="str">
        <f>HYPERLINK("https://www.spark-marketing.ru/Card/Lot/68119138", "Услуги по вооруженной охране объектов филиала ""Ириклинская ГРЭС"" АО ""Интер РАО - Электрогенерация""")</f>
        <v>Услуги по вооруженной охране объектов филиала "Ириклинская ГРЭС" АО "Интер РАО - Электрогенерация"</v>
      </c>
      <c r="G14230" s="22" t="s">
        <v>384</v>
      </c>
      <c r="H14230" s="22" t="s">
        <v>384</v>
      </c>
      <c r="I14230" s="26">
        <v>43516.5226273148</v>
      </c>
      <c r="J14230" s="23" t="str">
        <f>HYPERLINK("https://www.spark-marketing.ru/Card/Person/127006", "ФГУП ""ВЕДОМСТВЕННАЯ ОХРАНА"" МИНЭНЕРГО РОССИИ")</f>
        <v>ФГУП "ВЕДОМСТВЕННАЯ ОХРАНА" МИНЭНЕРГО РОССИИ</v>
      </c>
      <c r="K14230" s="24" t="s">
        <v>11469</v>
      </c>
      <c r="L14230" s="28" t="s">
        <v>52</v>
      </c>
      <c r="M14230" s="25">
        <v>26714000.039999999</v>
      </c>
      <c r="N14230" s="27">
        <v>0</v>
      </c>
    </row>
    <row r="14231" spans="1:14" x14ac:dyDescent="0.15">
      <c r="A14231" s="23" t="str">
        <f>HYPERLINK("https://www.spark-marketing.ru/Card/Person/1032220", "ГБУ ДО КО ЦТТ, ГБУ ДО ""ЦЕНТР ТЕХНИЧЕСКОГО ТВОРЧЕСТВА"", ЦЕНТР ТЕХНИЧЕСКОГО ТВОРЧЕСТВА")</f>
        <v>ГБУ ДО КО ЦТТ, ГБУ ДО "ЦЕНТР ТЕХНИЧЕСКОГО ТВОРЧЕСТВА", ЦЕНТР ТЕХНИЧЕСКОГО ТВОРЧЕСТВА</v>
      </c>
      <c r="B14231" s="24" t="s">
        <v>16440</v>
      </c>
      <c r="C14231" s="25">
        <v>15816.96</v>
      </c>
      <c r="D14231" s="22" t="s">
        <v>16441</v>
      </c>
      <c r="E14231" s="22" t="s">
        <v>68</v>
      </c>
      <c r="F14231" s="23" t="str">
        <f>HYPERLINK("https://www.spark-marketing.ru/Card/Lot/68117836", "кнопка тревожной сигнализации-КТС")</f>
        <v>кнопка тревожной сигнализации-КТС</v>
      </c>
      <c r="G14231" s="22" t="s">
        <v>1104</v>
      </c>
      <c r="H14231" s="22" t="s">
        <v>1105</v>
      </c>
      <c r="I14231" s="26">
        <v>43516.5090277778</v>
      </c>
      <c r="J14231" s="28" t="s">
        <v>52</v>
      </c>
      <c r="K14231" s="28" t="s">
        <v>52</v>
      </c>
      <c r="L14231" s="28" t="s">
        <v>52</v>
      </c>
      <c r="M14231" s="28" t="s">
        <v>52</v>
      </c>
      <c r="N14231" s="28" t="s">
        <v>52</v>
      </c>
    </row>
    <row r="14232" spans="1:14" x14ac:dyDescent="0.15">
      <c r="A14232" s="23" t="str">
        <f>HYPERLINK("https://www.spark-marketing.ru/Card/Person/1763818", "АОУ ДЕТСКИЙ САД № 8")</f>
        <v>АОУ ДЕТСКИЙ САД № 8</v>
      </c>
      <c r="B14232" s="24" t="s">
        <v>16442</v>
      </c>
      <c r="C14232" s="25">
        <v>47040</v>
      </c>
      <c r="D14232" s="22" t="s">
        <v>16443</v>
      </c>
      <c r="E14232" s="22" t="s">
        <v>107</v>
      </c>
      <c r="F14232" s="23" t="str">
        <f>HYPERLINK("https://www.spark-marketing.ru/Card/Lot/68119674", "Оказание услуг по техническому обслуживанию системы видеонаблюдения")</f>
        <v>Оказание услуг по техническому обслуживанию системы видеонаблюдения</v>
      </c>
      <c r="G14232" s="22" t="s">
        <v>50</v>
      </c>
      <c r="H14232" s="22" t="s">
        <v>3866</v>
      </c>
      <c r="I14232" s="26">
        <v>43516.513761574097</v>
      </c>
      <c r="J14232" s="28" t="s">
        <v>52</v>
      </c>
      <c r="K14232" s="28" t="s">
        <v>52</v>
      </c>
      <c r="L14232" s="28" t="s">
        <v>52</v>
      </c>
      <c r="M14232" s="28" t="s">
        <v>52</v>
      </c>
      <c r="N14232" s="28" t="s">
        <v>52</v>
      </c>
    </row>
    <row r="14233" spans="1:14" x14ac:dyDescent="0.2">
      <c r="A14233" s="23" t="str">
        <f>HYPERLINK("https://www.spark-marketing.ru/Card/Person/104437", "МАОУ СОШ № 1 ЩМР МО")</f>
        <v>МАОУ СОШ № 1 ЩМР МО</v>
      </c>
      <c r="B14233" s="24" t="s">
        <v>14744</v>
      </c>
      <c r="C14233" s="25">
        <v>249850</v>
      </c>
      <c r="D14233" s="22" t="s">
        <v>16444</v>
      </c>
      <c r="E14233" s="22" t="s">
        <v>1149</v>
      </c>
      <c r="F14233" s="23" t="str">
        <f>HYPERLINK("https://www.spark-marketing.ru/Card/Lot/68118590", "Поставка и установка видеопроекторов")</f>
        <v>Поставка и установка видеопроекторов</v>
      </c>
      <c r="G14233" s="22" t="s">
        <v>50</v>
      </c>
      <c r="H14233" s="22" t="s">
        <v>458</v>
      </c>
      <c r="I14233" s="26">
        <v>43516.540497685201</v>
      </c>
      <c r="J14233" s="23" t="str">
        <f>HYPERLINK("https://www.spark-marketing.ru/Card/Person/6438928", "ООО ""АДАРА""")</f>
        <v>ООО "АДАРА"</v>
      </c>
      <c r="K14233" s="24" t="s">
        <v>16445</v>
      </c>
      <c r="L14233" s="28" t="s">
        <v>52</v>
      </c>
      <c r="M14233" s="25">
        <v>249850</v>
      </c>
      <c r="N14233" s="27">
        <v>0</v>
      </c>
    </row>
    <row r="14234" spans="1:14" x14ac:dyDescent="0.15">
      <c r="A14234" s="23" t="str">
        <f>HYPERLINK("https://www.spark-marketing.ru/Card/Person/37956", "ГБУЗ МО ""КЛИМОВСКАЯ ГОРОДСКАЯ БОЛЬНИЦА №2""")</f>
        <v>ГБУЗ МО "КЛИМОВСКАЯ ГОРОДСКАЯ БОЛЬНИЦА №2"</v>
      </c>
      <c r="B14234" s="24" t="s">
        <v>9324</v>
      </c>
      <c r="C14234" s="25">
        <v>85340</v>
      </c>
      <c r="D14234" s="22" t="s">
        <v>16446</v>
      </c>
      <c r="E14234" s="22" t="s">
        <v>3699</v>
      </c>
      <c r="F14234" s="23" t="str">
        <f>HYPERLINK("https://www.spark-marketing.ru/Card/Lot/68117167", "Сопровождение информационой системы мед. организации в части обеспечения регламентных требований (порядка) информационного взаимодействия в ТС ОМС в 1 полугодии 2019 года")</f>
        <v>Сопровождение информационой системы мед. организации в части обеспечения регламентных требований (порядка) информационного взаимодействия в ТС ОМС в 1 полугодии 2019 года</v>
      </c>
      <c r="G14234" s="22" t="s">
        <v>50</v>
      </c>
      <c r="H14234" s="22" t="s">
        <v>569</v>
      </c>
      <c r="I14234" s="26">
        <v>43516.471967592603</v>
      </c>
      <c r="J14234" s="28" t="s">
        <v>52</v>
      </c>
      <c r="K14234" s="28" t="s">
        <v>52</v>
      </c>
      <c r="L14234" s="28" t="s">
        <v>52</v>
      </c>
      <c r="M14234" s="28" t="s">
        <v>52</v>
      </c>
      <c r="N14234" s="28" t="s">
        <v>52</v>
      </c>
    </row>
    <row r="14235" spans="1:14" x14ac:dyDescent="0.15">
      <c r="A14235" s="23" t="str">
        <f>HYPERLINK("https://www.spark-marketing.ru/Card/Person/1017452", "БУ ДО ГОРОДА ОМСКА ""СДЮСШОР № 8 ИМ. В. СОКОЛОВА""")</f>
        <v>БУ ДО ГОРОДА ОМСКА "СДЮСШОР № 8 ИМ. В. СОКОЛОВА"</v>
      </c>
      <c r="B14235" s="24" t="s">
        <v>16447</v>
      </c>
      <c r="C14235" s="25">
        <v>12000</v>
      </c>
      <c r="D14235" s="22" t="s">
        <v>16448</v>
      </c>
      <c r="E14235" s="22" t="s">
        <v>68</v>
      </c>
      <c r="F14235" s="23" t="str">
        <f>HYPERLINK("https://www.spark-marketing.ru/Card/Lot/68115351", "Оказание услуг по охране объектов посредством использования тревожной сигнализации")</f>
        <v>Оказание услуг по охране объектов посредством использования тревожной сигнализации</v>
      </c>
      <c r="G14235" s="22" t="s">
        <v>521</v>
      </c>
      <c r="H14235" s="22" t="s">
        <v>522</v>
      </c>
      <c r="I14235" s="26">
        <v>43516.464583333298</v>
      </c>
      <c r="J14235" s="28" t="s">
        <v>52</v>
      </c>
      <c r="K14235" s="28" t="s">
        <v>52</v>
      </c>
      <c r="L14235" s="28" t="s">
        <v>52</v>
      </c>
      <c r="M14235" s="28" t="s">
        <v>52</v>
      </c>
      <c r="N14235" s="28" t="s">
        <v>52</v>
      </c>
    </row>
    <row r="14236" spans="1:14" x14ac:dyDescent="0.15">
      <c r="A14236" s="23" t="str">
        <f>HYPERLINK("https://www.spark-marketing.ru/Card/Person/998780", "ГУЗ ""НЕРЧИНСКАЯ ЦРБ""")</f>
        <v>ГУЗ "НЕРЧИНСКАЯ ЦРБ"</v>
      </c>
      <c r="B14236" s="24" t="s">
        <v>16449</v>
      </c>
      <c r="C14236" s="25">
        <v>6000</v>
      </c>
      <c r="D14236" s="22" t="s">
        <v>16450</v>
      </c>
      <c r="E14236" s="22" t="s">
        <v>107</v>
      </c>
      <c r="F14236" s="23" t="str">
        <f>HYPERLINK("https://www.spark-marketing.ru/Card/Lot/68116635", "(Особая закупка)Товары, работы или услуги на сумму, не превышающие 100 тыс. руб. (п.4 ч.1 ст.93 44-ФЗ)")</f>
        <v>(Особая закупка)Товары, работы или услуги на сумму, не превышающие 100 тыс. руб. (п.4 ч.1 ст.93 44-ФЗ)</v>
      </c>
      <c r="G14236" s="22" t="s">
        <v>473</v>
      </c>
      <c r="H14236" s="22" t="s">
        <v>16451</v>
      </c>
      <c r="I14236" s="26">
        <v>43516.488888888904</v>
      </c>
      <c r="J14236" s="28" t="s">
        <v>52</v>
      </c>
      <c r="K14236" s="28" t="s">
        <v>52</v>
      </c>
      <c r="L14236" s="28" t="s">
        <v>52</v>
      </c>
      <c r="M14236" s="28" t="s">
        <v>52</v>
      </c>
      <c r="N14236" s="28" t="s">
        <v>52</v>
      </c>
    </row>
    <row r="14237" spans="1:14" x14ac:dyDescent="0.15">
      <c r="A14237" s="23" t="str">
        <f>HYPERLINK("https://www.spark-marketing.ru/Card/Person/997668", "МУ ""КЦ Г. ФРЯЗИНО""")</f>
        <v>МУ "КЦ Г. ФРЯЗИНО"</v>
      </c>
      <c r="B14237" s="24" t="s">
        <v>16452</v>
      </c>
      <c r="C14237" s="25">
        <v>14850</v>
      </c>
      <c r="D14237" s="22" t="s">
        <v>16453</v>
      </c>
      <c r="E14237" s="22" t="s">
        <v>103</v>
      </c>
      <c r="F14237" s="23" t="str">
        <f>HYPERLINK("https://www.spark-marketing.ru/Card/Lot/68114566", "Оказание услуг по техническому обслуживанию систем видеонаблюдения")</f>
        <v>Оказание услуг по техническому обслуживанию систем видеонаблюдения</v>
      </c>
      <c r="G14237" s="22" t="s">
        <v>50</v>
      </c>
      <c r="H14237" s="22" t="s">
        <v>10990</v>
      </c>
      <c r="I14237" s="26">
        <v>43516.4511458333</v>
      </c>
      <c r="J14237" s="28" t="s">
        <v>52</v>
      </c>
      <c r="K14237" s="28" t="s">
        <v>52</v>
      </c>
      <c r="L14237" s="28" t="s">
        <v>52</v>
      </c>
      <c r="M14237" s="28" t="s">
        <v>52</v>
      </c>
      <c r="N14237" s="28" t="s">
        <v>52</v>
      </c>
    </row>
    <row r="14238" spans="1:14" x14ac:dyDescent="0.15">
      <c r="A14238" s="23" t="str">
        <f>HYPERLINK("https://www.spark-marketing.ru/Card/Person/1081045", "МАДОУ №8 ""БЕЛОЧКА""")</f>
        <v>МАДОУ №8 "БЕЛОЧКА"</v>
      </c>
      <c r="B14238" s="24" t="s">
        <v>16454</v>
      </c>
      <c r="C14238" s="25">
        <v>60000</v>
      </c>
      <c r="D14238" s="22" t="s">
        <v>16455</v>
      </c>
      <c r="E14238" s="22" t="s">
        <v>103</v>
      </c>
      <c r="F14238" s="23" t="str">
        <f>HYPERLINK("https://www.spark-marketing.ru/Card/Lot/68114398", "Оказание услуги по техническому обслуживанию домофона и системы видеонаблюдения")</f>
        <v>Оказание услуги по техническому обслуживанию домофона и системы видеонаблюдения</v>
      </c>
      <c r="G14238" s="22" t="s">
        <v>50</v>
      </c>
      <c r="H14238" s="22" t="s">
        <v>4782</v>
      </c>
      <c r="I14238" s="26">
        <v>43516.430428240703</v>
      </c>
      <c r="J14238" s="28" t="s">
        <v>52</v>
      </c>
      <c r="K14238" s="28" t="s">
        <v>52</v>
      </c>
      <c r="L14238" s="28" t="s">
        <v>52</v>
      </c>
      <c r="M14238" s="28" t="s">
        <v>52</v>
      </c>
      <c r="N14238" s="28" t="s">
        <v>52</v>
      </c>
    </row>
    <row r="14239" spans="1:14" x14ac:dyDescent="0.15">
      <c r="A14239" s="23" t="str">
        <f>HYPERLINK("https://www.spark-marketing.ru/Card/Person/57833", "МБОУ АНДРЕЕВСКАЯ СОШ")</f>
        <v>МБОУ АНДРЕЕВСКАЯ СОШ</v>
      </c>
      <c r="B14239" s="24" t="s">
        <v>6200</v>
      </c>
      <c r="C14239" s="25">
        <v>8474.4</v>
      </c>
      <c r="D14239" s="22" t="s">
        <v>16456</v>
      </c>
      <c r="E14239" s="22" t="s">
        <v>107</v>
      </c>
      <c r="F14239" s="23" t="str">
        <f>HYPERLINK("https://www.spark-marketing.ru/Card/Lot/68112424", "обслуживание тревожной кнопки")</f>
        <v>обслуживание тревожной кнопки</v>
      </c>
      <c r="G14239" s="22" t="s">
        <v>50</v>
      </c>
      <c r="H14239" s="22" t="s">
        <v>265</v>
      </c>
      <c r="I14239" s="26">
        <v>43516.3991087963</v>
      </c>
      <c r="J14239" s="28" t="s">
        <v>52</v>
      </c>
      <c r="K14239" s="28" t="s">
        <v>52</v>
      </c>
      <c r="L14239" s="28" t="s">
        <v>52</v>
      </c>
      <c r="M14239" s="28" t="s">
        <v>52</v>
      </c>
      <c r="N14239" s="28" t="s">
        <v>52</v>
      </c>
    </row>
    <row r="14240" spans="1:14" x14ac:dyDescent="0.15">
      <c r="A14240" s="23" t="str">
        <f>HYPERLINK("https://www.spark-marketing.ru/Card/Person/6442881", "МБДОУ ДС № 4 ""СОЛНЕЧНЫЙ""")</f>
        <v>МБДОУ ДС № 4 "СОЛНЕЧНЫЙ"</v>
      </c>
      <c r="B14240" s="24" t="s">
        <v>16457</v>
      </c>
      <c r="C14240" s="25">
        <v>18000</v>
      </c>
      <c r="D14240" s="22" t="s">
        <v>16458</v>
      </c>
      <c r="E14240" s="22" t="s">
        <v>103</v>
      </c>
      <c r="F14240" s="23" t="str">
        <f>HYPERLINK("https://www.spark-marketing.ru/Card/Lot/68109299", "Техническое обслуживание системы видеонаблюдения")</f>
        <v>Техническое обслуживание системы видеонаблюдения</v>
      </c>
      <c r="G14240" s="22" t="s">
        <v>402</v>
      </c>
      <c r="H14240" s="22" t="s">
        <v>631</v>
      </c>
      <c r="I14240" s="26">
        <v>43516.377083333296</v>
      </c>
      <c r="J14240" s="28" t="s">
        <v>52</v>
      </c>
      <c r="K14240" s="28" t="s">
        <v>52</v>
      </c>
      <c r="L14240" s="28" t="s">
        <v>52</v>
      </c>
      <c r="M14240" s="28" t="s">
        <v>52</v>
      </c>
      <c r="N14240" s="28" t="s">
        <v>52</v>
      </c>
    </row>
    <row r="14241" spans="1:14" x14ac:dyDescent="0.15">
      <c r="A14241" s="23" t="str">
        <f>HYPERLINK("https://www.spark-marketing.ru/Card/Person/70026", "МБОУ ПЕТРОВСКАЯ НОШ")</f>
        <v>МБОУ ПЕТРОВСКАЯ НОШ</v>
      </c>
      <c r="B14241" s="24" t="s">
        <v>16459</v>
      </c>
      <c r="C14241" s="25">
        <v>96000</v>
      </c>
      <c r="D14241" s="22" t="s">
        <v>16460</v>
      </c>
      <c r="E14241" s="22" t="s">
        <v>103</v>
      </c>
      <c r="F14241" s="23" t="str">
        <f>HYPERLINK("https://www.spark-marketing.ru/Card/Lot/68112439", "Оказание услуг по техническому обслуживанию систем видеонаблюдения")</f>
        <v>Оказание услуг по техническому обслуживанию систем видеонаблюдения</v>
      </c>
      <c r="G14241" s="22" t="s">
        <v>50</v>
      </c>
      <c r="H14241" s="22" t="s">
        <v>2391</v>
      </c>
      <c r="I14241" s="26">
        <v>43516.409837963001</v>
      </c>
      <c r="J14241" s="28" t="s">
        <v>52</v>
      </c>
      <c r="K14241" s="28" t="s">
        <v>52</v>
      </c>
      <c r="L14241" s="28" t="s">
        <v>52</v>
      </c>
      <c r="M14241" s="28" t="s">
        <v>52</v>
      </c>
      <c r="N14241" s="28" t="s">
        <v>52</v>
      </c>
    </row>
    <row r="14242" spans="1:14" x14ac:dyDescent="0.15">
      <c r="A14242" s="23" t="str">
        <f>HYPERLINK("https://www.spark-marketing.ru/Card/Person/1768136", "МАДОУ Д/С №1 ""ЖЕМЧУЖИНКА""")</f>
        <v>МАДОУ Д/С №1 "ЖЕМЧУЖИНКА"</v>
      </c>
      <c r="B14242" s="24" t="s">
        <v>16461</v>
      </c>
      <c r="C14242" s="25">
        <v>30000</v>
      </c>
      <c r="D14242" s="22" t="s">
        <v>16462</v>
      </c>
      <c r="E14242" s="22" t="s">
        <v>107</v>
      </c>
      <c r="F14242" s="23" t="str">
        <f>HYPERLINK("https://www.spark-marketing.ru/Card/Lot/68107741", "Услуги по техническому обслуживанию (содержанию) систем охранной сигнализации")</f>
        <v>Услуги по техническому обслуживанию (содержанию) систем охранной сигнализации</v>
      </c>
      <c r="G14242" s="22" t="s">
        <v>50</v>
      </c>
      <c r="H14242" s="22" t="s">
        <v>4782</v>
      </c>
      <c r="I14242" s="26">
        <v>43516.294675925899</v>
      </c>
      <c r="J14242" s="28" t="s">
        <v>52</v>
      </c>
      <c r="K14242" s="28" t="s">
        <v>52</v>
      </c>
      <c r="L14242" s="28" t="s">
        <v>52</v>
      </c>
      <c r="M14242" s="28" t="s">
        <v>52</v>
      </c>
      <c r="N14242" s="28" t="s">
        <v>52</v>
      </c>
    </row>
    <row r="14243" spans="1:14" x14ac:dyDescent="0.15">
      <c r="A14243" s="23" t="str">
        <f>HYPERLINK("https://www.spark-marketing.ru/Card/Person/4343740", "МИНЗДРАВ РОССИИ")</f>
        <v>МИНЗДРАВ РОССИИ</v>
      </c>
      <c r="B14243" s="24" t="s">
        <v>1666</v>
      </c>
      <c r="C14243" s="25">
        <v>612188248</v>
      </c>
      <c r="D14243" s="22" t="s">
        <v>16463</v>
      </c>
      <c r="E14243" s="22" t="s">
        <v>53</v>
      </c>
      <c r="F14243" s="23" t="str">
        <f>HYPERLINK("https://www.spark-marketing.ru/Card/Lot/68127855", "Имиглюцераза, лиофилизат для приготовления раствора для инфузий, 400 ЕД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f>
        <v>Имиглюцераза, лиофилизат для приготовления раствора для инфузий, 400 ЕД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v>
      </c>
      <c r="G14243" s="22" t="s">
        <v>428</v>
      </c>
      <c r="H14243" s="22" t="s">
        <v>429</v>
      </c>
      <c r="I14243" s="26">
        <v>43516</v>
      </c>
      <c r="J14243" s="23" t="str">
        <f>HYPERLINK("https://www.spark-marketing.ru/Card/Person/42069", "АО ""ФАРМСТАНДАРТ""")</f>
        <v>АО "ФАРМСТАНДАРТ"</v>
      </c>
      <c r="K14243" s="24" t="s">
        <v>1668</v>
      </c>
      <c r="L14243" s="22" t="s">
        <v>10</v>
      </c>
      <c r="M14243" s="28" t="s">
        <v>52</v>
      </c>
      <c r="N14243" s="28" t="s">
        <v>52</v>
      </c>
    </row>
    <row r="14244" spans="1:14" x14ac:dyDescent="0.15">
      <c r="A14244" s="23" t="str">
        <f>HYPERLINK("https://www.spark-marketing.ru/Card/Person/144619", "ДМС ЗАБАЙКАЛЬСКОГО КРАЯ")</f>
        <v>ДМС ЗАБАЙКАЛЬСКОГО КРАЯ</v>
      </c>
      <c r="B14244" s="24" t="s">
        <v>13997</v>
      </c>
      <c r="C14244" s="25">
        <v>361166.4</v>
      </c>
      <c r="D14244" s="22" t="s">
        <v>16464</v>
      </c>
      <c r="E14244" s="22" t="s">
        <v>68</v>
      </c>
      <c r="F14244" s="23" t="str">
        <f>HYPERLINK("https://www.spark-marketing.ru/Card/Lot/68107156", "Оказание услуг по централизованной охране Объекта (Объектов) Заказчика")</f>
        <v>Оказание услуг по централизованной охране Объекта (Объектов) Заказчика</v>
      </c>
      <c r="G14244" s="22" t="s">
        <v>473</v>
      </c>
      <c r="H14244" s="22" t="s">
        <v>473</v>
      </c>
      <c r="I14244" s="26">
        <v>43516</v>
      </c>
      <c r="J14244" s="28" t="s">
        <v>52</v>
      </c>
      <c r="K14244" s="28" t="s">
        <v>52</v>
      </c>
      <c r="L14244" s="28" t="s">
        <v>52</v>
      </c>
      <c r="M14244" s="28" t="s">
        <v>52</v>
      </c>
      <c r="N14244" s="28" t="s">
        <v>52</v>
      </c>
    </row>
    <row r="14245" spans="1:14" x14ac:dyDescent="0.15">
      <c r="A14245" s="23" t="str">
        <f>HYPERLINK("https://www.spark-marketing.ru/Card/Person/543189", "ОМВД РОССИИ ПО ЖЕРДЕВСКОМУ РАЙОНУ")</f>
        <v>ОМВД РОССИИ ПО ЖЕРДЕВСКОМУ РАЙОНУ</v>
      </c>
      <c r="B14245" s="24" t="s">
        <v>5284</v>
      </c>
      <c r="C14245" s="25">
        <v>38680.5</v>
      </c>
      <c r="D14245" s="22" t="s">
        <v>16465</v>
      </c>
      <c r="E14245" s="22" t="s">
        <v>208</v>
      </c>
      <c r="F14245" s="23" t="str">
        <f>HYPERLINK("https://www.spark-marketing.ru/Card/Lot/68114293", "Оказание услуг по техническому обслуживанию средств охраны ОМВД России по Жердевскому району")</f>
        <v>Оказание услуг по техническому обслуживанию средств охраны ОМВД России по Жердевскому району</v>
      </c>
      <c r="G14245" s="22" t="s">
        <v>1319</v>
      </c>
      <c r="H14245" s="22" t="s">
        <v>1319</v>
      </c>
      <c r="I14245" s="26">
        <v>43516</v>
      </c>
      <c r="J14245" s="23" t="str">
        <f>HYPERLINK("https://www.spark-marketing.ru/Card/Person/246180", "ООО ""ТАЙФУН""")</f>
        <v>ООО "ТАЙФУН"</v>
      </c>
      <c r="K14245" s="24" t="s">
        <v>5286</v>
      </c>
      <c r="L14245" s="22" t="s">
        <v>10</v>
      </c>
      <c r="M14245" s="28" t="s">
        <v>52</v>
      </c>
      <c r="N14245" s="28" t="s">
        <v>52</v>
      </c>
    </row>
    <row r="14246" spans="1:14" x14ac:dyDescent="0.15">
      <c r="A14246" s="23" t="str">
        <f>HYPERLINK("https://www.spark-marketing.ru/Card/Person/144619", "ДМС ЗАБАЙКАЛЬСКОГО КРАЯ")</f>
        <v>ДМС ЗАБАЙКАЛЬСКОГО КРАЯ</v>
      </c>
      <c r="B14246" s="24" t="s">
        <v>13997</v>
      </c>
      <c r="C14246" s="25">
        <v>287307.71999999997</v>
      </c>
      <c r="D14246" s="22" t="s">
        <v>16466</v>
      </c>
      <c r="E14246" s="22" t="s">
        <v>68</v>
      </c>
      <c r="F14246" s="23" t="str">
        <f>HYPERLINK("https://www.spark-marketing.ru/Card/Lot/68107155", "Оказание услуг по техническому обслуживанию комплекса технических средств охраны")</f>
        <v>Оказание услуг по техническому обслуживанию комплекса технических средств охраны</v>
      </c>
      <c r="G14246" s="22" t="s">
        <v>473</v>
      </c>
      <c r="H14246" s="22" t="s">
        <v>473</v>
      </c>
      <c r="I14246" s="26">
        <v>43516</v>
      </c>
      <c r="J14246" s="28" t="s">
        <v>52</v>
      </c>
      <c r="K14246" s="28" t="s">
        <v>52</v>
      </c>
      <c r="L14246" s="28" t="s">
        <v>52</v>
      </c>
      <c r="M14246" s="28" t="s">
        <v>52</v>
      </c>
      <c r="N14246" s="28" t="s">
        <v>52</v>
      </c>
    </row>
    <row r="14247" spans="1:14" x14ac:dyDescent="0.15">
      <c r="A14247" s="23" t="str">
        <f>HYPERLINK("https://www.spark-marketing.ru/Card/Person/4343740", "МИНЗДРАВ РОССИИ")</f>
        <v>МИНЗДРАВ РОССИИ</v>
      </c>
      <c r="B14247" s="24" t="s">
        <v>1666</v>
      </c>
      <c r="C14247" s="25">
        <v>595457205</v>
      </c>
      <c r="D14247" s="22" t="s">
        <v>16467</v>
      </c>
      <c r="E14247" s="22" t="s">
        <v>53</v>
      </c>
      <c r="F14247" s="23" t="str">
        <f>HYPERLINK("https://www.spark-marketing.ru/Card/Lot/68126193", "Мороктоког альфа, лиофилизат для приготовления раствора для внутривенного введения, 1000 МЕ  в рамках реализации постановления Правительства Российской Федерации от 26.11.2018 № 1416 ""О порядке организации обеспечения лекарственными препаратами лиц,...")</f>
        <v>Мороктоког альфа, лиофилизат для приготовления раствора для внутривенного введения, 1000 МЕ  в рамках реализации постановления Правительства Российской Федерации от 26.11.2018 № 1416 "О порядке организации обеспечения лекарственными препаратами лиц,...</v>
      </c>
      <c r="G14247" s="22" t="s">
        <v>428</v>
      </c>
      <c r="H14247" s="22" t="s">
        <v>429</v>
      </c>
      <c r="I14247" s="26">
        <v>43516</v>
      </c>
      <c r="J14247" s="23" t="str">
        <f>HYPERLINK("https://www.spark-marketing.ru/Card/Person/42069", "АО ""ФАРМСТАНДАРТ""")</f>
        <v>АО "ФАРМСТАНДАРТ"</v>
      </c>
      <c r="K14247" s="24" t="s">
        <v>1668</v>
      </c>
      <c r="L14247" s="22" t="s">
        <v>10</v>
      </c>
      <c r="M14247" s="28" t="s">
        <v>52</v>
      </c>
      <c r="N14247" s="28" t="s">
        <v>52</v>
      </c>
    </row>
    <row r="14248" spans="1:14" x14ac:dyDescent="0.15">
      <c r="A14248" s="23" t="str">
        <f>HYPERLINK("https://www.spark-marketing.ru/Card/Person/363531", "ФГКУ КОМБИНАТ ""ТЕХНИКА"" РОСРЕЗЕРВА")</f>
        <v>ФГКУ КОМБИНАТ "ТЕХНИКА" РОСРЕЗЕРВА</v>
      </c>
      <c r="B14248" s="24" t="s">
        <v>13295</v>
      </c>
      <c r="C14248" s="25">
        <v>358600</v>
      </c>
      <c r="D14248" s="22" t="s">
        <v>16468</v>
      </c>
      <c r="E14248" s="22" t="s">
        <v>107</v>
      </c>
      <c r="F14248" s="23" t="str">
        <f>HYPERLINK("https://www.spark-marketing.ru/Card/Lot/68123129", "Техническое обслуживание противопожарной сигнализации и телевизионного охранного наблюдения")</f>
        <v>Техническое обслуживание противопожарной сигнализации и телевизионного охранного наблюдения</v>
      </c>
      <c r="G14248" s="22" t="s">
        <v>209</v>
      </c>
      <c r="H14248" s="22" t="s">
        <v>13297</v>
      </c>
      <c r="I14248" s="26">
        <v>43516</v>
      </c>
      <c r="J14248" s="28" t="s">
        <v>52</v>
      </c>
      <c r="K14248" s="28" t="s">
        <v>52</v>
      </c>
      <c r="L14248" s="28" t="s">
        <v>52</v>
      </c>
      <c r="M14248" s="28" t="s">
        <v>52</v>
      </c>
      <c r="N14248" s="28" t="s">
        <v>52</v>
      </c>
    </row>
    <row r="14249" spans="1:14" ht="12.75" hidden="1" outlineLevel="1" x14ac:dyDescent="0.2">
      <c r="A14249" s="23" t="str">
        <f>HYPERLINK("https://www.spark-marketing.ru/Card/Person/363531", "ФГКУ КОМБИНАТ ""ТЕХНИКА"" РОСРЕЗЕРВА")</f>
        <v>ФГКУ КОМБИНАТ "ТЕХНИКА" РОСРЕЗЕРВА</v>
      </c>
      <c r="B14249" s="24" t="s">
        <v>13295</v>
      </c>
      <c r="C14249" s="25">
        <v>358600</v>
      </c>
      <c r="D14249" s="22" t="s">
        <v>16468</v>
      </c>
      <c r="E14249" s="22" t="s">
        <v>107</v>
      </c>
      <c r="F14249" s="23" t="str">
        <f>HYPERLINK("https://www.spark-marketing.ru/Card/Lot/68123129", "Техническое обслуживание противопожарной сигнализации и телевизионного охранного наблюдения")</f>
        <v>Техническое обслуживание противопожарной сигнализации и телевизионного охранного наблюдения</v>
      </c>
      <c r="G14249" s="22" t="s">
        <v>209</v>
      </c>
      <c r="H14249" s="22" t="s">
        <v>13297</v>
      </c>
      <c r="I14249" s="26">
        <v>43516</v>
      </c>
      <c r="J14249" s="23" t="str">
        <f>HYPERLINK("https://www.spark-marketing.ru/Card/Person/422770", "ООО ""ПОИСК""")</f>
        <v>ООО "ПОИСК"</v>
      </c>
      <c r="K14249" s="24" t="s">
        <v>10892</v>
      </c>
      <c r="L14249" s="22" t="s">
        <v>10</v>
      </c>
      <c r="M14249" s="25">
        <v>251020</v>
      </c>
      <c r="N14249" s="27">
        <v>0.3</v>
      </c>
    </row>
    <row r="14250" spans="1:14" hidden="1" outlineLevel="1" x14ac:dyDescent="0.2">
      <c r="A14250" s="23" t="str">
        <f>HYPERLINK("https://www.spark-marketing.ru/Card/Person/363531", "ФГКУ КОМБИНАТ ""ТЕХНИКА"" РОСРЕЗЕРВА")</f>
        <v>ФГКУ КОМБИНАТ "ТЕХНИКА" РОСРЕЗЕРВА</v>
      </c>
      <c r="B14250" s="24" t="s">
        <v>13295</v>
      </c>
      <c r="C14250" s="25">
        <v>358600</v>
      </c>
      <c r="D14250" s="22" t="s">
        <v>16468</v>
      </c>
      <c r="E14250" s="22" t="s">
        <v>107</v>
      </c>
      <c r="F14250" s="23" t="str">
        <f>HYPERLINK("https://www.spark-marketing.ru/Card/Lot/68123129", "Техническое обслуживание противопожарной сигнализации и телевизионного охранного наблюдения")</f>
        <v>Техническое обслуживание противопожарной сигнализации и телевизионного охранного наблюдения</v>
      </c>
      <c r="G14250" s="22" t="s">
        <v>209</v>
      </c>
      <c r="H14250" s="22" t="s">
        <v>13297</v>
      </c>
      <c r="I14250" s="26">
        <v>43516</v>
      </c>
      <c r="J14250" s="23" t="str">
        <f>HYPERLINK("https://www.spark-marketing.ru/Card/Person/62397", "ООО ""ВИВА""")</f>
        <v>ООО "ВИВА"</v>
      </c>
      <c r="K14250" s="24" t="s">
        <v>16469</v>
      </c>
      <c r="L14250" s="28" t="s">
        <v>52</v>
      </c>
      <c r="M14250" s="25">
        <v>300000</v>
      </c>
      <c r="N14250" s="27">
        <v>0.1634132738427217</v>
      </c>
    </row>
    <row r="14251" spans="1:14" hidden="1" outlineLevel="1" x14ac:dyDescent="0.2">
      <c r="A14251" s="23" t="str">
        <f>HYPERLINK("https://www.spark-marketing.ru/Card/Person/363531", "ФГКУ КОМБИНАТ ""ТЕХНИКА"" РОСРЕЗЕРВА")</f>
        <v>ФГКУ КОМБИНАТ "ТЕХНИКА" РОСРЕЗЕРВА</v>
      </c>
      <c r="B14251" s="24" t="s">
        <v>13295</v>
      </c>
      <c r="C14251" s="25">
        <v>358600</v>
      </c>
      <c r="D14251" s="22" t="s">
        <v>16468</v>
      </c>
      <c r="E14251" s="22" t="s">
        <v>107</v>
      </c>
      <c r="F14251" s="23" t="str">
        <f>HYPERLINK("https://www.spark-marketing.ru/Card/Lot/68123129", "Техническое обслуживание противопожарной сигнализации и телевизионного охранного наблюдения")</f>
        <v>Техническое обслуживание противопожарной сигнализации и телевизионного охранного наблюдения</v>
      </c>
      <c r="G14251" s="22" t="s">
        <v>209</v>
      </c>
      <c r="H14251" s="22" t="s">
        <v>13297</v>
      </c>
      <c r="I14251" s="26">
        <v>43516</v>
      </c>
      <c r="J14251" s="23" t="str">
        <f>HYPERLINK("https://www.spark-marketing.ru/Card/Person/4540236", "ООО ""ЗВЕНО""")</f>
        <v>ООО "ЗВЕНО"</v>
      </c>
      <c r="K14251" s="24" t="s">
        <v>16470</v>
      </c>
      <c r="L14251" s="28" t="s">
        <v>52</v>
      </c>
      <c r="M14251" s="25">
        <v>340000</v>
      </c>
      <c r="N14251" s="27">
        <v>5.1868377021751254E-2</v>
      </c>
    </row>
    <row r="14252" spans="1:14" x14ac:dyDescent="0.15">
      <c r="A14252" s="23" t="str">
        <f>HYPERLINK("https://www.spark-marketing.ru/Card/Person/6450322", "ЗАКАЗЧИК РП БЕЛАРУСЬ")</f>
        <v>ЗАКАЗЧИК РП БЕЛАРУСЬ</v>
      </c>
      <c r="B14252" s="28" t="s">
        <v>52</v>
      </c>
      <c r="C14252" s="25">
        <v>811129.44</v>
      </c>
      <c r="D14252" s="22" t="s">
        <v>16471</v>
      </c>
      <c r="E14252" s="22" t="s">
        <v>53</v>
      </c>
      <c r="F14252" s="23" t="str">
        <f>HYPERLINK("https://www.spark-marketing.ru/Card/Lot/68130571", "Установка тревожной сигнализации в учреждениях подведомственных отделу образования")</f>
        <v>Установка тревожной сигнализации в учреждениях подведомственных отделу образования</v>
      </c>
      <c r="G14252" s="22" t="s">
        <v>52</v>
      </c>
      <c r="H14252" s="22" t="s">
        <v>52</v>
      </c>
      <c r="I14252" s="26">
        <v>43516</v>
      </c>
      <c r="J14252" s="28" t="s">
        <v>52</v>
      </c>
      <c r="K14252" s="28" t="s">
        <v>52</v>
      </c>
      <c r="L14252" s="28" t="s">
        <v>52</v>
      </c>
      <c r="M14252" s="28" t="s">
        <v>52</v>
      </c>
      <c r="N14252" s="28" t="s">
        <v>52</v>
      </c>
    </row>
    <row r="14253" spans="1:14" x14ac:dyDescent="0.15">
      <c r="A14253" s="23" t="str">
        <f>HYPERLINK("https://www.spark-marketing.ru/Card/Person/4343740", "МИНЗДРАВ РОССИИ")</f>
        <v>МИНЗДРАВ РОССИИ</v>
      </c>
      <c r="B14253" s="24" t="s">
        <v>1666</v>
      </c>
      <c r="C14253" s="25">
        <v>526459156.5</v>
      </c>
      <c r="D14253" s="22" t="s">
        <v>16472</v>
      </c>
      <c r="E14253" s="22" t="s">
        <v>53</v>
      </c>
      <c r="F14253" s="23" t="str">
        <f>HYPERLINK("https://www.spark-marketing.ru/Card/Lot/68133028", "Галсульфаза, концентрат для приготовления раствора для инфузий, 1 мг/мл, 5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f>
        <v>Галсульфаза, концентрат для приготовления раствора для инфузий, 1 мг/мл, 5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v>
      </c>
      <c r="G14253" s="22" t="s">
        <v>281</v>
      </c>
      <c r="H14253" s="22" t="s">
        <v>2008</v>
      </c>
      <c r="I14253" s="26">
        <v>43516</v>
      </c>
      <c r="J14253" s="23" t="str">
        <f>HYPERLINK("https://www.spark-marketing.ru/Card/Person/129611", "АО ""ФАРМИМЭКС""")</f>
        <v>АО "ФАРМИМЭКС"</v>
      </c>
      <c r="K14253" s="24" t="s">
        <v>9536</v>
      </c>
      <c r="L14253" s="22" t="s">
        <v>10</v>
      </c>
      <c r="M14253" s="28" t="s">
        <v>52</v>
      </c>
      <c r="N14253" s="28" t="s">
        <v>52</v>
      </c>
    </row>
    <row r="14254" spans="1:14" x14ac:dyDescent="0.15">
      <c r="A14254" s="23" t="str">
        <f>HYPERLINK("https://www.spark-marketing.ru/Card/Person/4343740", "МИНЗДРАВ РОССИИ")</f>
        <v>МИНЗДРАВ РОССИИ</v>
      </c>
      <c r="B14254" s="24" t="s">
        <v>1666</v>
      </c>
      <c r="C14254" s="25">
        <v>14808000</v>
      </c>
      <c r="D14254" s="22" t="s">
        <v>16473</v>
      </c>
      <c r="E14254" s="22" t="s">
        <v>53</v>
      </c>
      <c r="F14254" s="23" t="str">
        <f>HYPERLINK("https://www.spark-marketing.ru/Card/Lot/68127854", "Иматиниб, капсулы и/или таблетки, покрытые оболочкой, и/или плёночной оболочкой, 100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f>
        <v>Иматиниб, капсулы и/или таблетки, покрытые оболочкой, и/или плёночной оболочкой, 100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v>
      </c>
      <c r="G14254" s="22" t="s">
        <v>428</v>
      </c>
      <c r="H14254" s="22" t="s">
        <v>429</v>
      </c>
      <c r="I14254" s="26">
        <v>43516</v>
      </c>
      <c r="J14254" s="28" t="s">
        <v>52</v>
      </c>
      <c r="K14254" s="28" t="s">
        <v>52</v>
      </c>
      <c r="L14254" s="28" t="s">
        <v>52</v>
      </c>
      <c r="M14254" s="28" t="s">
        <v>52</v>
      </c>
      <c r="N14254" s="28" t="s">
        <v>52</v>
      </c>
    </row>
    <row r="14255" spans="1:14" x14ac:dyDescent="0.15">
      <c r="A14255" s="23" t="str">
        <f>HYPERLINK("https://www.spark-marketing.ru/Card/Person/5700", "ГКУ КК ""УПРАВЛЕНИЕ ПБ, ЧС И ГО""")</f>
        <v>ГКУ КК "УПРАВЛЕНИЕ ПБ, ЧС И ГО"</v>
      </c>
      <c r="B14255" s="24" t="s">
        <v>16474</v>
      </c>
      <c r="C14255" s="25">
        <v>148500</v>
      </c>
      <c r="D14255" s="22" t="s">
        <v>16475</v>
      </c>
      <c r="E14255" s="22" t="s">
        <v>103</v>
      </c>
      <c r="F14255" s="23" t="str">
        <f>HYPERLINK("https://www.spark-marketing.ru/Card/Lot/68126482", "Техническое обслуживание системы видеонаблюдения, систем контроля и управления доступом")</f>
        <v>Техническое обслуживание системы видеонаблюдения, систем контроля и управления доступом</v>
      </c>
      <c r="G14255" s="22" t="s">
        <v>132</v>
      </c>
      <c r="H14255" s="22" t="s">
        <v>5049</v>
      </c>
      <c r="I14255" s="26">
        <v>43516</v>
      </c>
      <c r="J14255" s="28" t="s">
        <v>52</v>
      </c>
      <c r="K14255" s="28" t="s">
        <v>52</v>
      </c>
      <c r="L14255" s="28" t="s">
        <v>52</v>
      </c>
      <c r="M14255" s="28" t="s">
        <v>52</v>
      </c>
      <c r="N14255" s="28" t="s">
        <v>52</v>
      </c>
    </row>
    <row r="14256" spans="1:14" x14ac:dyDescent="0.15">
      <c r="A14256" s="23" t="str">
        <f>HYPERLINK("https://www.spark-marketing.ru/Card/Person/10834", "ГКУ КО ""ДИРЕКЦИЯ АВТОДОРОГ КУЗБАССА""")</f>
        <v>ГКУ КО "ДИРЕКЦИЯ АВТОДОРОГ КУЗБАССА"</v>
      </c>
      <c r="B14256" s="24" t="s">
        <v>1499</v>
      </c>
      <c r="C14256" s="25">
        <v>11842456.5</v>
      </c>
      <c r="D14256" s="22" t="s">
        <v>16476</v>
      </c>
      <c r="E14256" s="22" t="s">
        <v>107</v>
      </c>
      <c r="F14256" s="23" t="str">
        <f>HYPERLINK("https://www.spark-marketing.ru/Card/Lot/68103966",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v>
      </c>
      <c r="G14256" s="22" t="s">
        <v>367</v>
      </c>
      <c r="H14256" s="22" t="s">
        <v>881</v>
      </c>
      <c r="I14256" s="26">
        <v>43516</v>
      </c>
      <c r="J14256" s="23" t="str">
        <f>HYPERLINK("https://www.spark-marketing.ru/Card/Person/127397", "ООО ""ИНФОСЕРВИС""")</f>
        <v>ООО "ИНФОСЕРВИС"</v>
      </c>
      <c r="K14256" s="24" t="s">
        <v>1503</v>
      </c>
      <c r="L14256" s="28" t="s">
        <v>52</v>
      </c>
      <c r="M14256" s="28" t="s">
        <v>52</v>
      </c>
      <c r="N14256" s="28" t="s">
        <v>52</v>
      </c>
    </row>
    <row r="14257" spans="1:14" ht="12.75" hidden="1" outlineLevel="1" x14ac:dyDescent="0.2">
      <c r="A14257" s="23" t="str">
        <f>HYPERLINK("https://www.spark-marketing.ru/Card/Person/10834", "ГКУ КО ""ДИРЕКЦИЯ АВТОДОРОГ КУЗБАССА""")</f>
        <v>ГКУ КО "ДИРЕКЦИЯ АВТОДОРОГ КУЗБАССА"</v>
      </c>
      <c r="B14257" s="24" t="s">
        <v>1499</v>
      </c>
      <c r="C14257" s="25">
        <v>11842456.5</v>
      </c>
      <c r="D14257" s="22" t="s">
        <v>16476</v>
      </c>
      <c r="E14257" s="22" t="s">
        <v>107</v>
      </c>
      <c r="F14257" s="23" t="str">
        <f>HYPERLINK("https://www.spark-marketing.ru/Card/Lot/68103966", "Выполнение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f>
        <v>Выполнение работ по содержанию автомобильных дорог: установка стационарных технических средств, работающих в автоматическом режиме и имеющих функции фотосъемки и видеозаписи для фиксации нарушений правил дорожного движения на автомобильной дороге общ...</v>
      </c>
      <c r="G14257" s="22" t="s">
        <v>367</v>
      </c>
      <c r="H14257" s="22" t="s">
        <v>881</v>
      </c>
      <c r="I14257" s="26">
        <v>43516</v>
      </c>
      <c r="J14257" s="23" t="str">
        <f>HYPERLINK("https://www.spark-marketing.ru/Card/Person/127397", "ООО ""ИНФОСЕРВИС""")</f>
        <v>ООО "ИНФОСЕРВИС"</v>
      </c>
      <c r="K14257" s="24" t="s">
        <v>1503</v>
      </c>
      <c r="L14257" s="22" t="s">
        <v>10</v>
      </c>
      <c r="M14257" s="25">
        <v>11783244.210000001</v>
      </c>
      <c r="N14257" s="27">
        <v>5.0000006333145493E-3</v>
      </c>
    </row>
    <row r="14258" spans="1:14" x14ac:dyDescent="0.15">
      <c r="A14258" s="23" t="str">
        <f>HYPERLINK("https://www.spark-marketing.ru/Card/Person/7264", "УПРАВЛЕНИЕ РОСРЕЕСТРА ПО РЕСПУБЛИКЕ БАШКОРТОСТАН")</f>
        <v>УПРАВЛЕНИЕ РОСРЕЕСТРА ПО РЕСПУБЛИКЕ БАШКОРТОСТАН</v>
      </c>
      <c r="B14258" s="24" t="s">
        <v>4843</v>
      </c>
      <c r="C14258" s="25">
        <v>247406.4</v>
      </c>
      <c r="D14258" s="22" t="s">
        <v>16477</v>
      </c>
      <c r="E14258" s="22" t="s">
        <v>68</v>
      </c>
      <c r="F14258" s="23" t="str">
        <f>HYPERLINK("https://www.spark-marketing.ru/Card/Lot/68127372", "Оказание услуг по охране объектов посредством пульта централизованного наблюдения")</f>
        <v>Оказание услуг по охране объектов посредством пульта централизованного наблюдения</v>
      </c>
      <c r="G14258" s="22" t="s">
        <v>100</v>
      </c>
      <c r="H14258" s="22" t="s">
        <v>373</v>
      </c>
      <c r="I14258" s="26">
        <v>43516</v>
      </c>
      <c r="J14258" s="23" t="str">
        <f>HYPERLINK("https://www.spark-marketing.ru/Card/Person/1103784", "ООО ЧОО ""ОХРАНА СЕРВИС 2""")</f>
        <v>ООО ЧОО "ОХРАНА СЕРВИС 2"</v>
      </c>
      <c r="K14258" s="24" t="s">
        <v>16478</v>
      </c>
      <c r="L14258" s="28" t="s">
        <v>52</v>
      </c>
      <c r="M14258" s="28" t="s">
        <v>52</v>
      </c>
      <c r="N14258" s="28" t="s">
        <v>52</v>
      </c>
    </row>
    <row r="14259" spans="1:14" x14ac:dyDescent="0.15">
      <c r="A14259" s="23" t="str">
        <f t="shared" ref="A14259:A14265" si="748">HYPERLINK("https://www.spark-marketing.ru/Card/Person/380459", "МЕЖРАЙОННАЯ ИФНС РОССИИ № 4 ПО ОРЕНБУРГСКОЙ ОБЛАСТИ")</f>
        <v>МЕЖРАЙОННАЯ ИФНС РОССИИ № 4 ПО ОРЕНБУРГСКОЙ ОБЛАСТИ</v>
      </c>
      <c r="B14259" s="24" t="s">
        <v>4960</v>
      </c>
      <c r="C14259" s="25">
        <v>364715</v>
      </c>
      <c r="D14259" s="22" t="s">
        <v>16479</v>
      </c>
      <c r="E14259" s="22" t="s">
        <v>68</v>
      </c>
      <c r="F14259" s="23" t="str">
        <f t="shared" ref="F14259:F14265" si="749">HYPERLINK("https://www.spark-marketing.ru/Card/Lot/68123780", "Услуги по охране и осуществлению внутриобъектового и пропускного режимов, предупреждению преступных и административных правонарушений")</f>
        <v>Услуги по охране и осуществлению внутриобъектового и пропускного режимов, предупреждению преступных и административных правонарушений</v>
      </c>
      <c r="G14259" s="22" t="s">
        <v>384</v>
      </c>
      <c r="H14259" s="22" t="s">
        <v>4962</v>
      </c>
      <c r="I14259" s="26">
        <v>43516</v>
      </c>
      <c r="J14259" s="28" t="s">
        <v>52</v>
      </c>
      <c r="K14259" s="28" t="s">
        <v>52</v>
      </c>
      <c r="L14259" s="28" t="s">
        <v>52</v>
      </c>
      <c r="M14259" s="28" t="s">
        <v>52</v>
      </c>
      <c r="N14259" s="28" t="s">
        <v>52</v>
      </c>
    </row>
    <row r="14260" spans="1:14" hidden="1" outlineLevel="1" x14ac:dyDescent="0.2">
      <c r="A14260" s="23" t="str">
        <f t="shared" si="748"/>
        <v>МЕЖРАЙОННАЯ ИФНС РОССИИ № 4 ПО ОРЕНБУРГСКОЙ ОБЛАСТИ</v>
      </c>
      <c r="B14260" s="24" t="s">
        <v>4960</v>
      </c>
      <c r="C14260" s="25">
        <v>364715</v>
      </c>
      <c r="D14260" s="22" t="s">
        <v>16479</v>
      </c>
      <c r="E14260" s="22" t="s">
        <v>68</v>
      </c>
      <c r="F14260" s="23" t="str">
        <f t="shared" si="749"/>
        <v>Услуги по охране и осуществлению внутриобъектового и пропускного режимов, предупреждению преступных и административных правонарушений</v>
      </c>
      <c r="G14260" s="22" t="s">
        <v>384</v>
      </c>
      <c r="H14260" s="22" t="s">
        <v>4962</v>
      </c>
      <c r="I14260" s="26">
        <v>43516</v>
      </c>
      <c r="J14260" s="23" t="str">
        <f>HYPERLINK("https://www.spark-marketing.ru/Card/Person/405196", "ООО ""ОП ""ЗУБР""")</f>
        <v>ООО "ОП "ЗУБР"</v>
      </c>
      <c r="K14260" s="24" t="s">
        <v>16480</v>
      </c>
      <c r="L14260" s="28" t="s">
        <v>52</v>
      </c>
      <c r="M14260" s="25">
        <v>330067.03000000003</v>
      </c>
      <c r="N14260" s="27">
        <v>9.5000123384012175E-2</v>
      </c>
    </row>
    <row r="14261" spans="1:14" hidden="1" outlineLevel="1" x14ac:dyDescent="0.2">
      <c r="A14261" s="23" t="str">
        <f t="shared" si="748"/>
        <v>МЕЖРАЙОННАЯ ИФНС РОССИИ № 4 ПО ОРЕНБУРГСКОЙ ОБЛАСТИ</v>
      </c>
      <c r="B14261" s="24" t="s">
        <v>4960</v>
      </c>
      <c r="C14261" s="25">
        <v>364715</v>
      </c>
      <c r="D14261" s="22" t="s">
        <v>16479</v>
      </c>
      <c r="E14261" s="22" t="s">
        <v>68</v>
      </c>
      <c r="F14261" s="23" t="str">
        <f t="shared" si="749"/>
        <v>Услуги по охране и осуществлению внутриобъектового и пропускного режимов, предупреждению преступных и административных правонарушений</v>
      </c>
      <c r="G14261" s="22" t="s">
        <v>384</v>
      </c>
      <c r="H14261" s="22" t="s">
        <v>4962</v>
      </c>
      <c r="I14261" s="26">
        <v>43516</v>
      </c>
      <c r="J14261" s="23" t="str">
        <f>HYPERLINK("https://www.spark-marketing.ru/Card/Person/35348", "ООО ""ОП ""БЕРКУТ-1""")</f>
        <v>ООО "ОП "БЕРКУТ-1"</v>
      </c>
      <c r="K14261" s="24" t="s">
        <v>16481</v>
      </c>
      <c r="L14261" s="28" t="s">
        <v>52</v>
      </c>
      <c r="M14261" s="25">
        <v>330067.03000000003</v>
      </c>
      <c r="N14261" s="27">
        <v>9.5000123384012175E-2</v>
      </c>
    </row>
    <row r="14262" spans="1:14" ht="12.75" hidden="1" outlineLevel="1" x14ac:dyDescent="0.2">
      <c r="A14262" s="23" t="str">
        <f t="shared" si="748"/>
        <v>МЕЖРАЙОННАЯ ИФНС РОССИИ № 4 ПО ОРЕНБУРГСКОЙ ОБЛАСТИ</v>
      </c>
      <c r="B14262" s="24" t="s">
        <v>4960</v>
      </c>
      <c r="C14262" s="25">
        <v>364715</v>
      </c>
      <c r="D14262" s="22" t="s">
        <v>16479</v>
      </c>
      <c r="E14262" s="22" t="s">
        <v>68</v>
      </c>
      <c r="F14262" s="23" t="str">
        <f t="shared" si="749"/>
        <v>Услуги по охране и осуществлению внутриобъектового и пропускного режимов, предупреждению преступных и административных правонарушений</v>
      </c>
      <c r="G14262" s="22" t="s">
        <v>384</v>
      </c>
      <c r="H14262" s="22" t="s">
        <v>4962</v>
      </c>
      <c r="I14262" s="26">
        <v>43516</v>
      </c>
      <c r="J14262" s="23" t="str">
        <f>HYPERLINK("https://www.spark-marketing.ru/Card/Person/2594455", "ООО ЧОО ""ПРИОРИТЕТ""")</f>
        <v>ООО ЧОО "ПРИОРИТЕТ"</v>
      </c>
      <c r="K14262" s="24" t="s">
        <v>16164</v>
      </c>
      <c r="L14262" s="22" t="s">
        <v>10</v>
      </c>
      <c r="M14262" s="25">
        <v>330067.03000000003</v>
      </c>
      <c r="N14262" s="27">
        <v>9.5000123384012175E-2</v>
      </c>
    </row>
    <row r="14263" spans="1:14" hidden="1" outlineLevel="1" x14ac:dyDescent="0.2">
      <c r="A14263" s="23" t="str">
        <f t="shared" si="748"/>
        <v>МЕЖРАЙОННАЯ ИФНС РОССИИ № 4 ПО ОРЕНБУРГСКОЙ ОБЛАСТИ</v>
      </c>
      <c r="B14263" s="24" t="s">
        <v>4960</v>
      </c>
      <c r="C14263" s="25">
        <v>364715</v>
      </c>
      <c r="D14263" s="22" t="s">
        <v>16479</v>
      </c>
      <c r="E14263" s="22" t="s">
        <v>68</v>
      </c>
      <c r="F14263" s="23" t="str">
        <f t="shared" si="749"/>
        <v>Услуги по охране и осуществлению внутриобъектового и пропускного режимов, предупреждению преступных и административных правонарушений</v>
      </c>
      <c r="G14263" s="22" t="s">
        <v>384</v>
      </c>
      <c r="H14263" s="22" t="s">
        <v>4962</v>
      </c>
      <c r="I14263" s="26">
        <v>43516</v>
      </c>
      <c r="J14263" s="23" t="str">
        <f>HYPERLINK("https://www.spark-marketing.ru/Card/Person/749562", "ООО ОО ""М-ГРУПП""")</f>
        <v>ООО ОО "М-ГРУПП"</v>
      </c>
      <c r="K14263" s="24" t="s">
        <v>14838</v>
      </c>
      <c r="L14263" s="28" t="s">
        <v>52</v>
      </c>
      <c r="M14263" s="25">
        <v>362891.42</v>
      </c>
      <c r="N14263" s="27">
        <v>5.0000137093346858E-3</v>
      </c>
    </row>
    <row r="14264" spans="1:14" hidden="1" outlineLevel="1" x14ac:dyDescent="0.2">
      <c r="A14264" s="23" t="str">
        <f t="shared" si="748"/>
        <v>МЕЖРАЙОННАЯ ИФНС РОССИИ № 4 ПО ОРЕНБУРГСКОЙ ОБЛАСТИ</v>
      </c>
      <c r="B14264" s="24" t="s">
        <v>4960</v>
      </c>
      <c r="C14264" s="25">
        <v>364715</v>
      </c>
      <c r="D14264" s="22" t="s">
        <v>16479</v>
      </c>
      <c r="E14264" s="22" t="s">
        <v>68</v>
      </c>
      <c r="F14264" s="23" t="str">
        <f t="shared" si="749"/>
        <v>Услуги по охране и осуществлению внутриобъектового и пропускного режимов, предупреждению преступных и административных правонарушений</v>
      </c>
      <c r="G14264" s="22" t="s">
        <v>384</v>
      </c>
      <c r="H14264" s="22" t="s">
        <v>4962</v>
      </c>
      <c r="I14264" s="26">
        <v>43516</v>
      </c>
      <c r="J14264" s="23" t="str">
        <f>HYPERLINK("https://www.spark-marketing.ru/Card/Person/747572", "ООО ОП ""АРМАДА""")</f>
        <v>ООО ОП "АРМАДА"</v>
      </c>
      <c r="K14264" s="24" t="s">
        <v>16482</v>
      </c>
      <c r="L14264" s="28" t="s">
        <v>52</v>
      </c>
      <c r="M14264" s="25">
        <v>351949.94</v>
      </c>
      <c r="N14264" s="27">
        <v>3.5000095965342801E-2</v>
      </c>
    </row>
    <row r="14265" spans="1:14" hidden="1" outlineLevel="1" x14ac:dyDescent="0.2">
      <c r="A14265" s="23" t="str">
        <f t="shared" si="748"/>
        <v>МЕЖРАЙОННАЯ ИФНС РОССИИ № 4 ПО ОРЕНБУРГСКОЙ ОБЛАСТИ</v>
      </c>
      <c r="B14265" s="24" t="s">
        <v>4960</v>
      </c>
      <c r="C14265" s="25">
        <v>364715</v>
      </c>
      <c r="D14265" s="22" t="s">
        <v>16479</v>
      </c>
      <c r="E14265" s="22" t="s">
        <v>68</v>
      </c>
      <c r="F14265" s="23" t="str">
        <f t="shared" si="749"/>
        <v>Услуги по охране и осуществлению внутриобъектового и пропускного режимов, предупреждению преступных и административных правонарушений</v>
      </c>
      <c r="G14265" s="22" t="s">
        <v>384</v>
      </c>
      <c r="H14265" s="22" t="s">
        <v>4962</v>
      </c>
      <c r="I14265" s="26">
        <v>43516</v>
      </c>
      <c r="J14265" s="23" t="str">
        <f>HYPERLINK("https://www.spark-marketing.ru/Card/Person/6408814", "ООО ЧОО ""ЦИТАДЕЛЬ""")</f>
        <v>ООО ЧОО "ЦИТАДЕЛЬ"</v>
      </c>
      <c r="K14265" s="24" t="s">
        <v>16483</v>
      </c>
      <c r="L14265" s="28" t="s">
        <v>52</v>
      </c>
      <c r="M14265" s="25">
        <v>355597.1</v>
      </c>
      <c r="N14265" s="27">
        <v>2.5000068546673429E-2</v>
      </c>
    </row>
    <row r="14266" spans="1:14" x14ac:dyDescent="0.15">
      <c r="A14266" s="23" t="str">
        <f>HYPERLINK("https://www.spark-marketing.ru/Card/Person/4343740", "МИНЗДРАВ РОССИИ")</f>
        <v>МИНЗДРАВ РОССИИ</v>
      </c>
      <c r="B14266" s="24" t="s">
        <v>1666</v>
      </c>
      <c r="C14266" s="25">
        <v>369483980</v>
      </c>
      <c r="D14266" s="22" t="s">
        <v>16484</v>
      </c>
      <c r="E14266" s="22" t="s">
        <v>53</v>
      </c>
      <c r="F14266" s="23" t="str">
        <f>HYPERLINK("https://www.spark-marketing.ru/Card/Lot/68126625", "Мороктоког альфа, лиофилизат для приготовления раствора для внутривенного введения, 500 МЕ  в рамках реализации постановления Правительства Российской Федерации от 26.11.2018 № 1416 ""О порядке организации обеспечения лекарственными препаратами лиц, ...")</f>
        <v>Мороктоког альфа, лиофилизат для приготовления раствора для внутривенного введения, 500 МЕ  в рамках реализации постановления Правительства Российской Федерации от 26.11.2018 № 1416 "О порядке организации обеспечения лекарственными препаратами лиц, ...</v>
      </c>
      <c r="G14266" s="22" t="s">
        <v>428</v>
      </c>
      <c r="H14266" s="22" t="s">
        <v>429</v>
      </c>
      <c r="I14266" s="26">
        <v>43516</v>
      </c>
      <c r="J14266" s="23" t="str">
        <f>HYPERLINK("https://www.spark-marketing.ru/Card/Person/42069", "АО ""ФАРМСТАНДАРТ""")</f>
        <v>АО "ФАРМСТАНДАРТ"</v>
      </c>
      <c r="K14266" s="24" t="s">
        <v>1668</v>
      </c>
      <c r="L14266" s="22" t="s">
        <v>10</v>
      </c>
      <c r="M14266" s="28" t="s">
        <v>52</v>
      </c>
      <c r="N14266" s="28" t="s">
        <v>52</v>
      </c>
    </row>
    <row r="14267" spans="1:14" x14ac:dyDescent="0.15">
      <c r="A14267" s="23" t="str">
        <f>HYPERLINK("https://www.spark-marketing.ru/Card/Person/4371491", "ГБУ ""ДЕТСКАЯ ПОЛИКЛИНИКА №3 Г. ГРОЗНОГО""")</f>
        <v>ГБУ "ДЕТСКАЯ ПОЛИКЛИНИКА №3 Г. ГРОЗНОГО"</v>
      </c>
      <c r="B14267" s="24" t="s">
        <v>16485</v>
      </c>
      <c r="C14267" s="25">
        <v>61490</v>
      </c>
      <c r="D14267" s="22" t="s">
        <v>16486</v>
      </c>
      <c r="E14267" s="22" t="s">
        <v>107</v>
      </c>
      <c r="F14267" s="23" t="str">
        <f>HYPERLINK("https://www.spark-marketing.ru/Card/Lot/68126349", "Техническое обслуживание систем видеонаблюдения")</f>
        <v>Техническое обслуживание систем видеонаблюдения</v>
      </c>
      <c r="G14267" s="22" t="s">
        <v>724</v>
      </c>
      <c r="H14267" s="22" t="s">
        <v>724</v>
      </c>
      <c r="I14267" s="26">
        <v>43516</v>
      </c>
      <c r="J14267" s="28" t="s">
        <v>52</v>
      </c>
      <c r="K14267" s="28" t="s">
        <v>52</v>
      </c>
      <c r="L14267" s="28" t="s">
        <v>52</v>
      </c>
      <c r="M14267" s="28" t="s">
        <v>52</v>
      </c>
      <c r="N14267" s="28" t="s">
        <v>52</v>
      </c>
    </row>
    <row r="14268" spans="1:14" ht="12.75" hidden="1" outlineLevel="1" x14ac:dyDescent="0.2">
      <c r="A14268" s="23" t="str">
        <f>HYPERLINK("https://www.spark-marketing.ru/Card/Person/4371491", "ГБУ ""ДЕТСКАЯ ПОЛИКЛИНИКА №3 Г. ГРОЗНОГО""")</f>
        <v>ГБУ "ДЕТСКАЯ ПОЛИКЛИНИКА №3 Г. ГРОЗНОГО"</v>
      </c>
      <c r="B14268" s="24" t="s">
        <v>16485</v>
      </c>
      <c r="C14268" s="25">
        <v>61490</v>
      </c>
      <c r="D14268" s="22" t="s">
        <v>16486</v>
      </c>
      <c r="E14268" s="22" t="s">
        <v>107</v>
      </c>
      <c r="F14268" s="23" t="str">
        <f>HYPERLINK("https://www.spark-marketing.ru/Card/Lot/68126349", "Техническое обслуживание систем видеонаблюдения")</f>
        <v>Техническое обслуживание систем видеонаблюдения</v>
      </c>
      <c r="G14268" s="22" t="s">
        <v>724</v>
      </c>
      <c r="H14268" s="22" t="s">
        <v>724</v>
      </c>
      <c r="I14268" s="26">
        <v>43516</v>
      </c>
      <c r="J14268" s="23" t="str">
        <f>HYPERLINK("https://www.spark-marketing.ru/Card/Person/4917079", "ООО ""ГРОЗНЫЙ""")</f>
        <v>ООО "ГРОЗНЫЙ"</v>
      </c>
      <c r="K14268" s="24" t="s">
        <v>16487</v>
      </c>
      <c r="L14268" s="22" t="s">
        <v>10</v>
      </c>
      <c r="M14268" s="25">
        <v>60875.1</v>
      </c>
      <c r="N14268" s="27">
        <v>0.01</v>
      </c>
    </row>
    <row r="14269" spans="1:14" hidden="1" outlineLevel="1" x14ac:dyDescent="0.2">
      <c r="A14269" s="23" t="str">
        <f>HYPERLINK("https://www.spark-marketing.ru/Card/Person/4371491", "ГБУ ""ДЕТСКАЯ ПОЛИКЛИНИКА №3 Г. ГРОЗНОГО""")</f>
        <v>ГБУ "ДЕТСКАЯ ПОЛИКЛИНИКА №3 Г. ГРОЗНОГО"</v>
      </c>
      <c r="B14269" s="24" t="s">
        <v>16485</v>
      </c>
      <c r="C14269" s="25">
        <v>61490</v>
      </c>
      <c r="D14269" s="22" t="s">
        <v>16486</v>
      </c>
      <c r="E14269" s="22" t="s">
        <v>107</v>
      </c>
      <c r="F14269" s="23" t="str">
        <f>HYPERLINK("https://www.spark-marketing.ru/Card/Lot/68126349", "Техническое обслуживание систем видеонаблюдения")</f>
        <v>Техническое обслуживание систем видеонаблюдения</v>
      </c>
      <c r="G14269" s="22" t="s">
        <v>724</v>
      </c>
      <c r="H14269" s="22" t="s">
        <v>724</v>
      </c>
      <c r="I14269" s="26">
        <v>43516</v>
      </c>
      <c r="J14269" s="23" t="str">
        <f>HYPERLINK("https://www.spark-marketing.ru/Card/Person/62692", "ООО ""БАСТИОН""")</f>
        <v>ООО "БАСТИОН"</v>
      </c>
      <c r="K14269" s="24" t="s">
        <v>11884</v>
      </c>
      <c r="L14269" s="28" t="s">
        <v>52</v>
      </c>
      <c r="M14269" s="25">
        <v>61182.55</v>
      </c>
      <c r="N14269" s="27">
        <v>5.0000000000000001E-3</v>
      </c>
    </row>
    <row r="14270" spans="1:14" x14ac:dyDescent="0.15">
      <c r="A14270" s="23" t="str">
        <f>HYPERLINK("https://www.spark-marketing.ru/Card/Person/38149", "УФССП РОССИИ ПО ТЮМЕНСКОЙ ОБЛАСТИ")</f>
        <v>УФССП РОССИИ ПО ТЮМЕНСКОЙ ОБЛАСТИ</v>
      </c>
      <c r="B14270" s="24" t="s">
        <v>16488</v>
      </c>
      <c r="C14270" s="25">
        <v>324403.68</v>
      </c>
      <c r="D14270" s="22" t="s">
        <v>16489</v>
      </c>
      <c r="E14270" s="22" t="s">
        <v>52</v>
      </c>
      <c r="F14270" s="23" t="str">
        <f>HYPERLINK("https://www.spark-marketing.ru/Card/Lot/68107006", "оказание услуг по охране имущества с помощью ПЦН с использованием телефонной связи г. Ишим")</f>
        <v>оказание услуг по охране имущества с помощью ПЦН с использованием телефонной связи г. Ишим</v>
      </c>
      <c r="G14270" s="22" t="s">
        <v>893</v>
      </c>
      <c r="H14270" s="22" t="s">
        <v>2222</v>
      </c>
      <c r="I14270" s="26">
        <v>43516</v>
      </c>
      <c r="J14270" s="28" t="s">
        <v>52</v>
      </c>
      <c r="K14270" s="28" t="s">
        <v>52</v>
      </c>
      <c r="L14270" s="28" t="s">
        <v>52</v>
      </c>
      <c r="M14270" s="28" t="s">
        <v>52</v>
      </c>
      <c r="N14270" s="28" t="s">
        <v>52</v>
      </c>
    </row>
    <row r="14271" spans="1:14" x14ac:dyDescent="0.15">
      <c r="A14271" s="23" t="str">
        <f>HYPERLINK("https://www.spark-marketing.ru/Card/Person/4343740", "МИНЗДРАВ РОССИИ")</f>
        <v>МИНЗДРАВ РОССИИ</v>
      </c>
      <c r="B14271" s="24" t="s">
        <v>1666</v>
      </c>
      <c r="C14271" s="25">
        <v>445695880</v>
      </c>
      <c r="D14271" s="22" t="s">
        <v>16490</v>
      </c>
      <c r="E14271" s="22" t="s">
        <v>53</v>
      </c>
      <c r="F14271" s="23" t="str">
        <f>HYPERLINK("https://www.spark-marketing.ru/Card/Lot/68126624", "Мороктоког альфа, лиофилизат для приготовления раствора для внутривенного введения, 2000 МЕ  в рамках реализации постановления Правительства Российской Федерации от 26.11.2018 № 1416 ""О порядке организации обеспечения лекарственными препаратами лиц,...")</f>
        <v>Мороктоког альфа, лиофилизат для приготовления раствора для внутривенного введения, 2000 МЕ  в рамках реализации постановления Правительства Российской Федерации от 26.11.2018 № 1416 "О порядке организации обеспечения лекарственными препаратами лиц,...</v>
      </c>
      <c r="G14271" s="22" t="s">
        <v>674</v>
      </c>
      <c r="H14271" s="22" t="s">
        <v>1905</v>
      </c>
      <c r="I14271" s="26">
        <v>43516</v>
      </c>
      <c r="J14271" s="23" t="str">
        <f>HYPERLINK("https://www.spark-marketing.ru/Card/Person/42069", "АО ""ФАРМСТАНДАРТ""")</f>
        <v>АО "ФАРМСТАНДАРТ"</v>
      </c>
      <c r="K14271" s="24" t="s">
        <v>1668</v>
      </c>
      <c r="L14271" s="22" t="s">
        <v>10</v>
      </c>
      <c r="M14271" s="28" t="s">
        <v>52</v>
      </c>
      <c r="N14271" s="28" t="s">
        <v>52</v>
      </c>
    </row>
    <row r="14272" spans="1:14" x14ac:dyDescent="0.15">
      <c r="A14272" s="23" t="str">
        <f>HYPERLINK("https://www.spark-marketing.ru/Card/Person/101067", "КГБУЗ ""КРАЕВОЙ КОЖНО-ВЕНЕРОЛОГИЧЕСКИЙ ДИСПАНСЕР""")</f>
        <v>КГБУЗ "КРАЕВОЙ КОЖНО-ВЕНЕРОЛОГИЧЕСКИЙ ДИСПАНСЕР"</v>
      </c>
      <c r="B14272" s="24" t="s">
        <v>16491</v>
      </c>
      <c r="C14272" s="25">
        <v>47160</v>
      </c>
      <c r="D14272" s="22" t="s">
        <v>16492</v>
      </c>
      <c r="E14272" s="22" t="s">
        <v>59</v>
      </c>
      <c r="F14272" s="23" t="str">
        <f>HYPERLINK("https://www.spark-marketing.ru/Card/Lot/68122069", "Оказание услуг по техническому обслуживанию средств тревожной сигнализации на 2019 год")</f>
        <v>Оказание услуг по техническому обслуживанию средств тревожной сигнализации на 2019 год</v>
      </c>
      <c r="G14272" s="22" t="s">
        <v>428</v>
      </c>
      <c r="H14272" s="22" t="s">
        <v>429</v>
      </c>
      <c r="I14272" s="26">
        <v>43516</v>
      </c>
      <c r="J14272" s="28" t="s">
        <v>52</v>
      </c>
      <c r="K14272" s="28" t="s">
        <v>52</v>
      </c>
      <c r="L14272" s="28" t="s">
        <v>52</v>
      </c>
      <c r="M14272" s="28" t="s">
        <v>52</v>
      </c>
      <c r="N14272" s="28" t="s">
        <v>52</v>
      </c>
    </row>
    <row r="14273" spans="1:14" hidden="1" outlineLevel="1" x14ac:dyDescent="0.2">
      <c r="A14273" s="23" t="str">
        <f>HYPERLINK("https://www.spark-marketing.ru/Card/Person/101067", "КГБУЗ ""КРАЕВОЙ КОЖНО-ВЕНЕРОЛОГИЧЕСКИЙ ДИСПАНСЕР""")</f>
        <v>КГБУЗ "КРАЕВОЙ КОЖНО-ВЕНЕРОЛОГИЧЕСКИЙ ДИСПАНСЕР"</v>
      </c>
      <c r="B14273" s="24" t="s">
        <v>16491</v>
      </c>
      <c r="C14273" s="25">
        <v>47160</v>
      </c>
      <c r="D14273" s="22" t="s">
        <v>16492</v>
      </c>
      <c r="E14273" s="22" t="s">
        <v>59</v>
      </c>
      <c r="F14273" s="23" t="str">
        <f>HYPERLINK("https://www.spark-marketing.ru/Card/Lot/68122069", "Оказание услуг по техническому обслуживанию средств тревожной сигнализации на 2019 год")</f>
        <v>Оказание услуг по техническому обслуживанию средств тревожной сигнализации на 2019 год</v>
      </c>
      <c r="G14273" s="22" t="s">
        <v>428</v>
      </c>
      <c r="H14273" s="22" t="s">
        <v>429</v>
      </c>
      <c r="I14273" s="26">
        <v>43516</v>
      </c>
      <c r="J14273" s="23" t="str">
        <f>HYPERLINK("https://www.spark-marketing.ru/Card/Person/6500688", "ООО ""ФОРВАРД""")</f>
        <v>ООО "ФОРВАРД"</v>
      </c>
      <c r="K14273" s="24" t="s">
        <v>16493</v>
      </c>
      <c r="L14273" s="28" t="s">
        <v>52</v>
      </c>
      <c r="M14273" s="25">
        <v>20000</v>
      </c>
      <c r="N14273" s="27">
        <v>0.57591178965224765</v>
      </c>
    </row>
    <row r="14274" spans="1:14" hidden="1" outlineLevel="1" x14ac:dyDescent="0.2">
      <c r="A14274" s="23" t="str">
        <f>HYPERLINK("https://www.spark-marketing.ru/Card/Person/101067", "КГБУЗ ""КРАЕВОЙ КОЖНО-ВЕНЕРОЛОГИЧЕСКИЙ ДИСПАНСЕР""")</f>
        <v>КГБУЗ "КРАЕВОЙ КОЖНО-ВЕНЕРОЛОГИЧЕСКИЙ ДИСПАНСЕР"</v>
      </c>
      <c r="B14274" s="24" t="s">
        <v>16491</v>
      </c>
      <c r="C14274" s="25">
        <v>47160</v>
      </c>
      <c r="D14274" s="22" t="s">
        <v>16492</v>
      </c>
      <c r="E14274" s="22" t="s">
        <v>59</v>
      </c>
      <c r="F14274" s="23" t="str">
        <f>HYPERLINK("https://www.spark-marketing.ru/Card/Lot/68122069", "Оказание услуг по техническому обслуживанию средств тревожной сигнализации на 2019 год")</f>
        <v>Оказание услуг по техническому обслуживанию средств тревожной сигнализации на 2019 год</v>
      </c>
      <c r="G14274" s="22" t="s">
        <v>428</v>
      </c>
      <c r="H14274" s="22" t="s">
        <v>429</v>
      </c>
      <c r="I14274" s="26">
        <v>43516</v>
      </c>
      <c r="J14274" s="23" t="str">
        <f>HYPERLINK("https://www.spark-marketing.ru/Card/Person/10487", "ФГУП ""ОХРАНА"" РОСГВАРДИИ")</f>
        <v>ФГУП "ОХРАНА" РОСГВАРДИИ</v>
      </c>
      <c r="K14274" s="24" t="s">
        <v>779</v>
      </c>
      <c r="L14274" s="28" t="s">
        <v>52</v>
      </c>
      <c r="M14274" s="25">
        <v>30000</v>
      </c>
      <c r="N14274" s="27">
        <v>0.36386768447837148</v>
      </c>
    </row>
    <row r="14275" spans="1:14" ht="12.75" hidden="1" outlineLevel="1" x14ac:dyDescent="0.2">
      <c r="A14275" s="23" t="str">
        <f>HYPERLINK("https://www.spark-marketing.ru/Card/Person/101067", "КГБУЗ ""КРАЕВОЙ КОЖНО-ВЕНЕРОЛОГИЧЕСКИЙ ДИСПАНСЕР""")</f>
        <v>КГБУЗ "КРАЕВОЙ КОЖНО-ВЕНЕРОЛОГИЧЕСКИЙ ДИСПАНСЕР"</v>
      </c>
      <c r="B14275" s="24" t="s">
        <v>16491</v>
      </c>
      <c r="C14275" s="25">
        <v>47160</v>
      </c>
      <c r="D14275" s="22" t="s">
        <v>16492</v>
      </c>
      <c r="E14275" s="22" t="s">
        <v>59</v>
      </c>
      <c r="F14275" s="23" t="str">
        <f>HYPERLINK("https://www.spark-marketing.ru/Card/Lot/68122069", "Оказание услуг по техническому обслуживанию средств тревожной сигнализации на 2019 год")</f>
        <v>Оказание услуг по техническому обслуживанию средств тревожной сигнализации на 2019 год</v>
      </c>
      <c r="G14275" s="22" t="s">
        <v>428</v>
      </c>
      <c r="H14275" s="22" t="s">
        <v>429</v>
      </c>
      <c r="I14275" s="26">
        <v>43516</v>
      </c>
      <c r="J14275" s="23" t="str">
        <f>HYPERLINK("https://www.spark-marketing.ru/Card/Person/106748", "ООО ""РЕЗУЛЬТАТ""")</f>
        <v>ООО "РЕЗУЛЬТАТ"</v>
      </c>
      <c r="K14275" s="24" t="s">
        <v>2655</v>
      </c>
      <c r="L14275" s="22" t="s">
        <v>10</v>
      </c>
      <c r="M14275" s="25">
        <v>19795</v>
      </c>
      <c r="N14275" s="27">
        <v>0.58025869380831208</v>
      </c>
    </row>
    <row r="14276" spans="1:14" x14ac:dyDescent="0.15">
      <c r="A14276" s="23" t="str">
        <f>HYPERLINK("https://www.spark-marketing.ru/Card/Person/15996", "УПРАВЛЕНИЕ ОБРАЗОВАНИЯ АДМИНИСТРАЦИИ МО ""БАРГУЗИНСКИЙ РАЙОН""")</f>
        <v>УПРАВЛЕНИЕ ОБРАЗОВАНИЯ АДМИНИСТРАЦИИ МО "БАРГУЗИНСКИЙ РАЙОН"</v>
      </c>
      <c r="B14276" s="24" t="s">
        <v>16494</v>
      </c>
      <c r="C14276" s="25">
        <v>6864000</v>
      </c>
      <c r="D14276" s="22" t="s">
        <v>16495</v>
      </c>
      <c r="E14276" s="22" t="s">
        <v>68</v>
      </c>
      <c r="F14276" s="23" t="str">
        <f>HYPERLINK("https://www.spark-marketing.ru/Card/Lot/68103954", "Услуги, связанные с обеспечением общественного порядка и безопасности, прочие")</f>
        <v>Услуги, связанные с обеспечением общественного порядка и безопасности, прочие</v>
      </c>
      <c r="G14276" s="22" t="s">
        <v>354</v>
      </c>
      <c r="H14276" s="22" t="s">
        <v>16496</v>
      </c>
      <c r="I14276" s="26">
        <v>43516</v>
      </c>
      <c r="J14276" s="28" t="s">
        <v>52</v>
      </c>
      <c r="K14276" s="28" t="s">
        <v>52</v>
      </c>
      <c r="L14276" s="28" t="s">
        <v>52</v>
      </c>
      <c r="M14276" s="28" t="s">
        <v>52</v>
      </c>
      <c r="N14276" s="28" t="s">
        <v>52</v>
      </c>
    </row>
    <row r="14277" spans="1:14" hidden="1" outlineLevel="1" x14ac:dyDescent="0.2">
      <c r="A14277" s="23" t="str">
        <f>HYPERLINK("https://www.spark-marketing.ru/Card/Person/15996", "УПРАВЛЕНИЕ ОБРАЗОВАНИЯ АДМИНИСТРАЦИИ МО ""БАРГУЗИНСКИЙ РАЙОН""")</f>
        <v>УПРАВЛЕНИЕ ОБРАЗОВАНИЯ АДМИНИСТРАЦИИ МО "БАРГУЗИНСКИЙ РАЙОН"</v>
      </c>
      <c r="B14277" s="24" t="s">
        <v>16494</v>
      </c>
      <c r="C14277" s="25">
        <v>6864000</v>
      </c>
      <c r="D14277" s="22" t="s">
        <v>16495</v>
      </c>
      <c r="E14277" s="22" t="s">
        <v>68</v>
      </c>
      <c r="F14277" s="23" t="str">
        <f>HYPERLINK("https://www.spark-marketing.ru/Card/Lot/68103954", "Услуги, связанные с обеспечением общественного порядка и безопасности, прочие")</f>
        <v>Услуги, связанные с обеспечением общественного порядка и безопасности, прочие</v>
      </c>
      <c r="G14277" s="22" t="s">
        <v>354</v>
      </c>
      <c r="H14277" s="22" t="s">
        <v>16496</v>
      </c>
      <c r="I14277" s="26">
        <v>43516</v>
      </c>
      <c r="J14277" s="23" t="str">
        <f>HYPERLINK("https://www.spark-marketing.ru/Card/Person/65470", "ООО ""ЧОО ""ОЛИМП""")</f>
        <v>ООО "ЧОО "ОЛИМП"</v>
      </c>
      <c r="K14277" s="24" t="s">
        <v>14035</v>
      </c>
      <c r="L14277" s="28" t="s">
        <v>52</v>
      </c>
      <c r="M14277" s="25">
        <v>4049760</v>
      </c>
      <c r="N14277" s="27">
        <v>0.41</v>
      </c>
    </row>
    <row r="14278" spans="1:14" ht="12.75" hidden="1" outlineLevel="1" x14ac:dyDescent="0.2">
      <c r="A14278" s="23" t="str">
        <f>HYPERLINK("https://www.spark-marketing.ru/Card/Person/15996", "УПРАВЛЕНИЕ ОБРАЗОВАНИЯ АДМИНИСТРАЦИИ МО ""БАРГУЗИНСКИЙ РАЙОН""")</f>
        <v>УПРАВЛЕНИЕ ОБРАЗОВАНИЯ АДМИНИСТРАЦИИ МО "БАРГУЗИНСКИЙ РАЙОН"</v>
      </c>
      <c r="B14278" s="24" t="s">
        <v>16494</v>
      </c>
      <c r="C14278" s="25">
        <v>6864000</v>
      </c>
      <c r="D14278" s="22" t="s">
        <v>16495</v>
      </c>
      <c r="E14278" s="22" t="s">
        <v>68</v>
      </c>
      <c r="F14278" s="23" t="str">
        <f>HYPERLINK("https://www.spark-marketing.ru/Card/Lot/68103954", "Услуги, связанные с обеспечением общественного порядка и безопасности, прочие")</f>
        <v>Услуги, связанные с обеспечением общественного порядка и безопасности, прочие</v>
      </c>
      <c r="G14278" s="22" t="s">
        <v>354</v>
      </c>
      <c r="H14278" s="22" t="s">
        <v>16496</v>
      </c>
      <c r="I14278" s="26">
        <v>43516</v>
      </c>
      <c r="J14278" s="23" t="str">
        <f>HYPERLINK("https://www.spark-marketing.ru/Card/Person/236189", "ООО ЧОО ""СЕВЕР""")</f>
        <v>ООО ЧОО "СЕВЕР"</v>
      </c>
      <c r="K14278" s="24" t="s">
        <v>16497</v>
      </c>
      <c r="L14278" s="22" t="s">
        <v>10</v>
      </c>
      <c r="M14278" s="25">
        <v>4015440</v>
      </c>
      <c r="N14278" s="27">
        <v>0.41499999999999998</v>
      </c>
    </row>
    <row r="14279" spans="1:14" x14ac:dyDescent="0.15">
      <c r="A14279" s="23" t="str">
        <f>HYPERLINK("https://www.spark-marketing.ru/Card/Person/88541", "ГБУЗ ""ДГБ Г. НОВОРОССИЙСКА"" МЗ КК")</f>
        <v>ГБУЗ "ДГБ Г. НОВОРОССИЙСКА" МЗ КК</v>
      </c>
      <c r="B14279" s="24" t="s">
        <v>16498</v>
      </c>
      <c r="C14279" s="25">
        <v>10510.2</v>
      </c>
      <c r="D14279" s="22" t="s">
        <v>16499</v>
      </c>
      <c r="E14279" s="22" t="s">
        <v>68</v>
      </c>
      <c r="F14279" s="23" t="str">
        <f>HYPERLINK("https://www.spark-marketing.ru/Card/Lot/68123391", "ТО технических средств охраны объекта")</f>
        <v>ТО технических средств охраны объекта</v>
      </c>
      <c r="G14279" s="22" t="s">
        <v>132</v>
      </c>
      <c r="H14279" s="22" t="s">
        <v>452</v>
      </c>
      <c r="I14279" s="26">
        <v>43516</v>
      </c>
      <c r="J14279" s="28" t="s">
        <v>52</v>
      </c>
      <c r="K14279" s="28" t="s">
        <v>52</v>
      </c>
      <c r="L14279" s="28" t="s">
        <v>52</v>
      </c>
      <c r="M14279" s="28" t="s">
        <v>52</v>
      </c>
      <c r="N14279" s="28" t="s">
        <v>52</v>
      </c>
    </row>
    <row r="14280" spans="1:14" x14ac:dyDescent="0.15">
      <c r="A14280" s="23" t="str">
        <f t="shared" ref="A14280:A14290" si="750">HYPERLINK("https://www.spark-marketing.ru/Card/Person/153668", "ТФОМС ВОЛОГОДСКОЙ ОБЛАСТИ")</f>
        <v>ТФОМС ВОЛОГОДСКОЙ ОБЛАСТИ</v>
      </c>
      <c r="B14280" s="24" t="s">
        <v>16500</v>
      </c>
      <c r="C14280" s="25">
        <v>59170</v>
      </c>
      <c r="D14280" s="22" t="s">
        <v>16501</v>
      </c>
      <c r="E14280" s="22" t="s">
        <v>103</v>
      </c>
      <c r="F14280" s="23" t="str">
        <f t="shared" ref="F14280:F14290" si="751">HYPERLINK("https://www.spark-marketing.ru/Card/Lot/68114742", "Оказание услуг по обслуживанию системы видеонаблюдения")</f>
        <v>Оказание услуг по обслуживанию системы видеонаблюдения</v>
      </c>
      <c r="G14280" s="22" t="s">
        <v>902</v>
      </c>
      <c r="H14280" s="22" t="s">
        <v>903</v>
      </c>
      <c r="I14280" s="26">
        <v>43516</v>
      </c>
      <c r="J14280" s="28" t="s">
        <v>52</v>
      </c>
      <c r="K14280" s="28" t="s">
        <v>52</v>
      </c>
      <c r="L14280" s="28" t="s">
        <v>52</v>
      </c>
      <c r="M14280" s="28" t="s">
        <v>52</v>
      </c>
      <c r="N14280" s="28" t="s">
        <v>52</v>
      </c>
    </row>
    <row r="14281" spans="1:14" hidden="1" outlineLevel="1" x14ac:dyDescent="0.2">
      <c r="A14281" s="23" t="str">
        <f t="shared" si="750"/>
        <v>ТФОМС ВОЛОГОДСКОЙ ОБЛАСТИ</v>
      </c>
      <c r="B14281" s="24" t="s">
        <v>16500</v>
      </c>
      <c r="C14281" s="25">
        <v>59170</v>
      </c>
      <c r="D14281" s="22" t="s">
        <v>16501</v>
      </c>
      <c r="E14281" s="22" t="s">
        <v>103</v>
      </c>
      <c r="F14281" s="23" t="str">
        <f t="shared" si="751"/>
        <v>Оказание услуг по обслуживанию системы видеонаблюдения</v>
      </c>
      <c r="G14281" s="22" t="s">
        <v>902</v>
      </c>
      <c r="H14281" s="22" t="s">
        <v>903</v>
      </c>
      <c r="I14281" s="26">
        <v>43516</v>
      </c>
      <c r="J14281" s="23" t="str">
        <f>HYPERLINK("https://www.spark-marketing.ru/Card/Person/518643", "ООО ""ОА ""ТОРНАДО""")</f>
        <v>ООО "ОА "ТОРНАДО"</v>
      </c>
      <c r="K14281" s="24" t="s">
        <v>16502</v>
      </c>
      <c r="L14281" s="28" t="s">
        <v>52</v>
      </c>
      <c r="M14281" s="25">
        <v>57000</v>
      </c>
      <c r="N14281" s="27">
        <v>3.6673990197735339E-2</v>
      </c>
    </row>
    <row r="14282" spans="1:14" hidden="1" outlineLevel="1" x14ac:dyDescent="0.2">
      <c r="A14282" s="23" t="str">
        <f t="shared" si="750"/>
        <v>ТФОМС ВОЛОГОДСКОЙ ОБЛАСТИ</v>
      </c>
      <c r="B14282" s="24" t="s">
        <v>16500</v>
      </c>
      <c r="C14282" s="25">
        <v>59170</v>
      </c>
      <c r="D14282" s="22" t="s">
        <v>16501</v>
      </c>
      <c r="E14282" s="22" t="s">
        <v>103</v>
      </c>
      <c r="F14282" s="23" t="str">
        <f t="shared" si="751"/>
        <v>Оказание услуг по обслуживанию системы видеонаблюдения</v>
      </c>
      <c r="G14282" s="22" t="s">
        <v>902</v>
      </c>
      <c r="H14282" s="22" t="s">
        <v>903</v>
      </c>
      <c r="I14282" s="26">
        <v>43516</v>
      </c>
      <c r="J14282" s="23" t="str">
        <f>HYPERLINK("https://www.spark-marketing.ru/Card/Person/6446375", "Шведко Даниил Игоревич")</f>
        <v>Шведко Даниил Игоревич</v>
      </c>
      <c r="K14282" s="24" t="s">
        <v>1868</v>
      </c>
      <c r="L14282" s="28" t="s">
        <v>52</v>
      </c>
      <c r="M14282" s="25">
        <v>14200</v>
      </c>
      <c r="N14282" s="27">
        <v>0.76001352036504988</v>
      </c>
    </row>
    <row r="14283" spans="1:14" ht="12.75" hidden="1" outlineLevel="1" x14ac:dyDescent="0.2">
      <c r="A14283" s="23" t="str">
        <f t="shared" si="750"/>
        <v>ТФОМС ВОЛОГОДСКОЙ ОБЛАСТИ</v>
      </c>
      <c r="B14283" s="24" t="s">
        <v>16500</v>
      </c>
      <c r="C14283" s="25">
        <v>59170</v>
      </c>
      <c r="D14283" s="22" t="s">
        <v>16501</v>
      </c>
      <c r="E14283" s="22" t="s">
        <v>103</v>
      </c>
      <c r="F14283" s="23" t="str">
        <f t="shared" si="751"/>
        <v>Оказание услуг по обслуживанию системы видеонаблюдения</v>
      </c>
      <c r="G14283" s="22" t="s">
        <v>902</v>
      </c>
      <c r="H14283" s="22" t="s">
        <v>903</v>
      </c>
      <c r="I14283" s="26">
        <v>43516</v>
      </c>
      <c r="J14283" s="23" t="str">
        <f>HYPERLINK("https://www.spark-marketing.ru/Card/Person/328012", "ООО ""ВОЛТЕК ПЛЮС""")</f>
        <v>ООО "ВОЛТЕК ПЛЮС"</v>
      </c>
      <c r="K14283" s="24" t="s">
        <v>16503</v>
      </c>
      <c r="L14283" s="22" t="s">
        <v>10</v>
      </c>
      <c r="M14283" s="25">
        <v>7900</v>
      </c>
      <c r="N14283" s="27">
        <v>0.86648639513266856</v>
      </c>
    </row>
    <row r="14284" spans="1:14" hidden="1" outlineLevel="1" x14ac:dyDescent="0.2">
      <c r="A14284" s="23" t="str">
        <f t="shared" si="750"/>
        <v>ТФОМС ВОЛОГОДСКОЙ ОБЛАСТИ</v>
      </c>
      <c r="B14284" s="24" t="s">
        <v>16500</v>
      </c>
      <c r="C14284" s="25">
        <v>59170</v>
      </c>
      <c r="D14284" s="22" t="s">
        <v>16501</v>
      </c>
      <c r="E14284" s="22" t="s">
        <v>103</v>
      </c>
      <c r="F14284" s="23" t="str">
        <f t="shared" si="751"/>
        <v>Оказание услуг по обслуживанию системы видеонаблюдения</v>
      </c>
      <c r="G14284" s="22" t="s">
        <v>902</v>
      </c>
      <c r="H14284" s="22" t="s">
        <v>903</v>
      </c>
      <c r="I14284" s="26">
        <v>43516</v>
      </c>
      <c r="J14284" s="23" t="str">
        <f>HYPERLINK("https://www.spark-marketing.ru/Card/Person/337189", "ООО ""МОЛНИЯ""")</f>
        <v>ООО "МОЛНИЯ"</v>
      </c>
      <c r="K14284" s="24" t="s">
        <v>16504</v>
      </c>
      <c r="L14284" s="28" t="s">
        <v>52</v>
      </c>
      <c r="M14284" s="25">
        <v>9400</v>
      </c>
      <c r="N14284" s="27">
        <v>0.84113571066418791</v>
      </c>
    </row>
    <row r="14285" spans="1:14" hidden="1" outlineLevel="1" x14ac:dyDescent="0.2">
      <c r="A14285" s="23" t="str">
        <f t="shared" si="750"/>
        <v>ТФОМС ВОЛОГОДСКОЙ ОБЛАСТИ</v>
      </c>
      <c r="B14285" s="24" t="s">
        <v>16500</v>
      </c>
      <c r="C14285" s="25">
        <v>59170</v>
      </c>
      <c r="D14285" s="22" t="s">
        <v>16501</v>
      </c>
      <c r="E14285" s="22" t="s">
        <v>103</v>
      </c>
      <c r="F14285" s="23" t="str">
        <f t="shared" si="751"/>
        <v>Оказание услуг по обслуживанию системы видеонаблюдения</v>
      </c>
      <c r="G14285" s="22" t="s">
        <v>902</v>
      </c>
      <c r="H14285" s="22" t="s">
        <v>903</v>
      </c>
      <c r="I14285" s="26">
        <v>43516</v>
      </c>
      <c r="J14285" s="23" t="str">
        <f>HYPERLINK("https://www.spark-marketing.ru/Card/Person/273521", "ООО ""НОРД-ВЕСТ И К""")</f>
        <v>ООО "НОРД-ВЕСТ И К"</v>
      </c>
      <c r="K14285" s="24" t="s">
        <v>16505</v>
      </c>
      <c r="L14285" s="28" t="s">
        <v>52</v>
      </c>
      <c r="M14285" s="25">
        <v>12000</v>
      </c>
      <c r="N14285" s="27">
        <v>0.79719452425215476</v>
      </c>
    </row>
    <row r="14286" spans="1:14" hidden="1" outlineLevel="1" x14ac:dyDescent="0.2">
      <c r="A14286" s="23" t="str">
        <f t="shared" si="750"/>
        <v>ТФОМС ВОЛОГОДСКОЙ ОБЛАСТИ</v>
      </c>
      <c r="B14286" s="24" t="s">
        <v>16500</v>
      </c>
      <c r="C14286" s="25">
        <v>59170</v>
      </c>
      <c r="D14286" s="22" t="s">
        <v>16501</v>
      </c>
      <c r="E14286" s="22" t="s">
        <v>103</v>
      </c>
      <c r="F14286" s="23" t="str">
        <f t="shared" si="751"/>
        <v>Оказание услуг по обслуживанию системы видеонаблюдения</v>
      </c>
      <c r="G14286" s="22" t="s">
        <v>902</v>
      </c>
      <c r="H14286" s="22" t="s">
        <v>903</v>
      </c>
      <c r="I14286" s="26">
        <v>43516</v>
      </c>
      <c r="J14286" s="23" t="str">
        <f>HYPERLINK("https://www.spark-marketing.ru/Card/Person/6064918", "Клишевский Алексей Анатольевич")</f>
        <v>Клишевский Алексей Анатольевич</v>
      </c>
      <c r="K14286" s="24" t="s">
        <v>16087</v>
      </c>
      <c r="L14286" s="28" t="s">
        <v>52</v>
      </c>
      <c r="M14286" s="25">
        <v>14900</v>
      </c>
      <c r="N14286" s="27">
        <v>0.74818320094642554</v>
      </c>
    </row>
    <row r="14287" spans="1:14" hidden="1" outlineLevel="1" x14ac:dyDescent="0.2">
      <c r="A14287" s="23" t="str">
        <f t="shared" si="750"/>
        <v>ТФОМС ВОЛОГОДСКОЙ ОБЛАСТИ</v>
      </c>
      <c r="B14287" s="24" t="s">
        <v>16500</v>
      </c>
      <c r="C14287" s="25">
        <v>59170</v>
      </c>
      <c r="D14287" s="22" t="s">
        <v>16501</v>
      </c>
      <c r="E14287" s="22" t="s">
        <v>103</v>
      </c>
      <c r="F14287" s="23" t="str">
        <f t="shared" si="751"/>
        <v>Оказание услуг по обслуживанию системы видеонаблюдения</v>
      </c>
      <c r="G14287" s="22" t="s">
        <v>902</v>
      </c>
      <c r="H14287" s="22" t="s">
        <v>903</v>
      </c>
      <c r="I14287" s="26">
        <v>43516</v>
      </c>
      <c r="J14287" s="23" t="str">
        <f>HYPERLINK("https://www.spark-marketing.ru/Card/Person/486126", "ООО ""КВАДРАТ БЕЗ ОПАСНОСТИ""")</f>
        <v>ООО "КВАДРАТ БЕЗ ОПАСНОСТИ"</v>
      </c>
      <c r="K14287" s="24" t="s">
        <v>16506</v>
      </c>
      <c r="L14287" s="28" t="s">
        <v>52</v>
      </c>
      <c r="M14287" s="25">
        <v>15000</v>
      </c>
      <c r="N14287" s="27">
        <v>0.74649315531519356</v>
      </c>
    </row>
    <row r="14288" spans="1:14" hidden="1" outlineLevel="1" x14ac:dyDescent="0.2">
      <c r="A14288" s="23" t="str">
        <f t="shared" si="750"/>
        <v>ТФОМС ВОЛОГОДСКОЙ ОБЛАСТИ</v>
      </c>
      <c r="B14288" s="24" t="s">
        <v>16500</v>
      </c>
      <c r="C14288" s="25">
        <v>59170</v>
      </c>
      <c r="D14288" s="22" t="s">
        <v>16501</v>
      </c>
      <c r="E14288" s="22" t="s">
        <v>103</v>
      </c>
      <c r="F14288" s="23" t="str">
        <f t="shared" si="751"/>
        <v>Оказание услуг по обслуживанию системы видеонаблюдения</v>
      </c>
      <c r="G14288" s="22" t="s">
        <v>902</v>
      </c>
      <c r="H14288" s="22" t="s">
        <v>903</v>
      </c>
      <c r="I14288" s="26">
        <v>43516</v>
      </c>
      <c r="J14288" s="23" t="str">
        <f>HYPERLINK("https://www.spark-marketing.ru/Card/Person/6317719", "Фомичев Павел Викторович")</f>
        <v>Фомичев Павел Викторович</v>
      </c>
      <c r="K14288" s="24" t="s">
        <v>2347</v>
      </c>
      <c r="L14288" s="28" t="s">
        <v>52</v>
      </c>
      <c r="M14288" s="25">
        <v>39750</v>
      </c>
      <c r="N14288" s="27">
        <v>0.3282068615852628</v>
      </c>
    </row>
    <row r="14289" spans="1:14" hidden="1" outlineLevel="1" x14ac:dyDescent="0.2">
      <c r="A14289" s="23" t="str">
        <f t="shared" si="750"/>
        <v>ТФОМС ВОЛОГОДСКОЙ ОБЛАСТИ</v>
      </c>
      <c r="B14289" s="24" t="s">
        <v>16500</v>
      </c>
      <c r="C14289" s="25">
        <v>59170</v>
      </c>
      <c r="D14289" s="22" t="s">
        <v>16501</v>
      </c>
      <c r="E14289" s="22" t="s">
        <v>103</v>
      </c>
      <c r="F14289" s="23" t="str">
        <f t="shared" si="751"/>
        <v>Оказание услуг по обслуживанию системы видеонаблюдения</v>
      </c>
      <c r="G14289" s="22" t="s">
        <v>902</v>
      </c>
      <c r="H14289" s="22" t="s">
        <v>903</v>
      </c>
      <c r="I14289" s="26">
        <v>43516</v>
      </c>
      <c r="J14289" s="23" t="str">
        <f>HYPERLINK("https://www.spark-marketing.ru/Card/Person/265018", "ВОЛОГОДСКОЕ ОБЛАСТНОЕ ОТДЕЛЕНИЕ ВДПО")</f>
        <v>ВОЛОГОДСКОЕ ОБЛАСТНОЕ ОТДЕЛЕНИЕ ВДПО</v>
      </c>
      <c r="K14289" s="24" t="s">
        <v>16507</v>
      </c>
      <c r="L14289" s="28" t="s">
        <v>52</v>
      </c>
      <c r="M14289" s="25">
        <v>48700</v>
      </c>
      <c r="N14289" s="27">
        <v>0.17694777758999494</v>
      </c>
    </row>
    <row r="14290" spans="1:14" hidden="1" outlineLevel="1" x14ac:dyDescent="0.2">
      <c r="A14290" s="23" t="str">
        <f t="shared" si="750"/>
        <v>ТФОМС ВОЛОГОДСКОЙ ОБЛАСТИ</v>
      </c>
      <c r="B14290" s="24" t="s">
        <v>16500</v>
      </c>
      <c r="C14290" s="25">
        <v>59170</v>
      </c>
      <c r="D14290" s="22" t="s">
        <v>16501</v>
      </c>
      <c r="E14290" s="22" t="s">
        <v>103</v>
      </c>
      <c r="F14290" s="23" t="str">
        <f t="shared" si="751"/>
        <v>Оказание услуг по обслуживанию системы видеонаблюдения</v>
      </c>
      <c r="G14290" s="22" t="s">
        <v>902</v>
      </c>
      <c r="H14290" s="22" t="s">
        <v>903</v>
      </c>
      <c r="I14290" s="26">
        <v>43516</v>
      </c>
      <c r="J14290" s="23" t="str">
        <f>HYPERLINK("https://www.spark-marketing.ru/Card/Person/246474", "ООО ""МПБ""")</f>
        <v>ООО "МПБ"</v>
      </c>
      <c r="K14290" s="24" t="s">
        <v>16508</v>
      </c>
      <c r="L14290" s="28" t="s">
        <v>52</v>
      </c>
      <c r="M14290" s="25">
        <v>50000</v>
      </c>
      <c r="N14290" s="27">
        <v>0.15497718438397837</v>
      </c>
    </row>
    <row r="14291" spans="1:14" x14ac:dyDescent="0.15">
      <c r="A14291" s="23" t="str">
        <f>HYPERLINK("https://www.spark-marketing.ru/Card/Person/24197", "МУЗЕЙ-ЗАПОВЕДНИК ""ЩЕЛЫКОВО""")</f>
        <v>МУЗЕЙ-ЗАПОВЕДНИК "ЩЕЛЫКОВО"</v>
      </c>
      <c r="B14291" s="24" t="s">
        <v>16509</v>
      </c>
      <c r="C14291" s="25">
        <v>1047292</v>
      </c>
      <c r="D14291" s="22" t="s">
        <v>16510</v>
      </c>
      <c r="E14291" s="22" t="s">
        <v>68</v>
      </c>
      <c r="F14291" s="23" t="str">
        <f>HYPERLINK("https://www.spark-marketing.ru/Card/Lot/68126294", "охрана объектов")</f>
        <v>охрана объектов</v>
      </c>
      <c r="G14291" s="22" t="s">
        <v>1104</v>
      </c>
      <c r="H14291" s="22" t="s">
        <v>5003</v>
      </c>
      <c r="I14291" s="26">
        <v>43516</v>
      </c>
      <c r="J14291" s="23" t="str">
        <f>HYPERLINK("https://www.spark-marketing.ru/Card/Person/10487", "ФГУП ""ОХРАНА"" РОСГВАРДИИ")</f>
        <v>ФГУП "ОХРАНА" РОСГВАРДИИ</v>
      </c>
      <c r="K14291" s="24" t="s">
        <v>779</v>
      </c>
      <c r="L14291" s="22" t="s">
        <v>10</v>
      </c>
      <c r="M14291" s="28" t="s">
        <v>52</v>
      </c>
      <c r="N14291" s="28" t="s">
        <v>52</v>
      </c>
    </row>
    <row r="14292" spans="1:14" x14ac:dyDescent="0.15">
      <c r="A14292" s="23" t="str">
        <f>HYPERLINK("https://www.spark-marketing.ru/Card/Person/4591455", "ООО ""РСГ - БИЗНЕС СЕРВИС""")</f>
        <v>ООО "РСГ - БИЗНЕС СЕРВИС"</v>
      </c>
      <c r="B14292" s="24" t="s">
        <v>16511</v>
      </c>
      <c r="C14292" s="25">
        <v>12149900</v>
      </c>
      <c r="D14292" s="22" t="s">
        <v>16512</v>
      </c>
      <c r="E14292" s="22" t="s">
        <v>218</v>
      </c>
      <c r="F14292" s="23" t="str">
        <f>HYPERLINK("https://www.spark-marketing.ru/Card/Lot/68136381", "право заключения договора по научно-техническому сопровождению строительства объекта «Многофункциональный жилой комплекс: г. Москва, ул. Бочкова, вл. 11А, корпус №1».")</f>
        <v>право заключения договора по научно-техническому сопровождению строительства объекта «Многофункциональный жилой комплекс: г. Москва, ул. Бочкова, вл. 11А, корпус №1».</v>
      </c>
      <c r="G14292" s="22" t="s">
        <v>55</v>
      </c>
      <c r="H14292" s="22" t="s">
        <v>55</v>
      </c>
      <c r="I14292" s="26">
        <v>43516.742002314801</v>
      </c>
      <c r="J14292" s="28" t="s">
        <v>52</v>
      </c>
      <c r="K14292" s="28" t="s">
        <v>52</v>
      </c>
      <c r="L14292" s="28" t="s">
        <v>52</v>
      </c>
      <c r="M14292" s="28" t="s">
        <v>52</v>
      </c>
      <c r="N14292" s="28" t="s">
        <v>52</v>
      </c>
    </row>
    <row r="14293" spans="1:14" x14ac:dyDescent="0.15">
      <c r="A14293" s="23" t="str">
        <f>HYPERLINK("https://www.spark-marketing.ru/Card/Person/6327", "ГБУЗ ""ТУАПСИНСКАЯ РАЙОННАЯ БОЛЬНИЦА № 3""")</f>
        <v>ГБУЗ "ТУАПСИНСКАЯ РАЙОННАЯ БОЛЬНИЦА № 3"</v>
      </c>
      <c r="B14293" s="24" t="s">
        <v>16513</v>
      </c>
      <c r="C14293" s="25">
        <v>203160.2</v>
      </c>
      <c r="D14293" s="22" t="s">
        <v>16514</v>
      </c>
      <c r="E14293" s="22" t="s">
        <v>68</v>
      </c>
      <c r="F14293" s="23" t="str">
        <f>HYPERLINK("https://www.spark-marketing.ru/Card/Lot/68127787", "Оказание охранных услуг")</f>
        <v>Оказание охранных услуг</v>
      </c>
      <c r="G14293" s="22" t="s">
        <v>132</v>
      </c>
      <c r="H14293" s="22" t="s">
        <v>132</v>
      </c>
      <c r="I14293" s="26">
        <v>43516</v>
      </c>
      <c r="J14293" s="28" t="s">
        <v>52</v>
      </c>
      <c r="K14293" s="28" t="s">
        <v>52</v>
      </c>
      <c r="L14293" s="28" t="s">
        <v>52</v>
      </c>
      <c r="M14293" s="28" t="s">
        <v>52</v>
      </c>
      <c r="N14293" s="28" t="s">
        <v>52</v>
      </c>
    </row>
    <row r="14294" spans="1:14" x14ac:dyDescent="0.15">
      <c r="A14294" s="23" t="str">
        <f>HYPERLINK("https://www.spark-marketing.ru/Card/Person/35497", "ГОБУЗ ""МОКБ ИМ. П.А. БАЯНДИНА""")</f>
        <v>ГОБУЗ "МОКБ ИМ. П.А. БАЯНДИНА"</v>
      </c>
      <c r="B14294" s="24" t="s">
        <v>6103</v>
      </c>
      <c r="C14294" s="25">
        <v>341270.1</v>
      </c>
      <c r="D14294" s="22" t="s">
        <v>16515</v>
      </c>
      <c r="E14294" s="22" t="s">
        <v>68</v>
      </c>
      <c r="F14294" s="23" t="str">
        <f>HYPERLINK("https://www.spark-marketing.ru/Card/Lot/68113660", "Оказание услуг по охране объектов при помощи технических средств охраны")</f>
        <v>Оказание услуг по охране объектов при помощи технических средств охраны</v>
      </c>
      <c r="G14294" s="22" t="s">
        <v>190</v>
      </c>
      <c r="H14294" s="22" t="s">
        <v>191</v>
      </c>
      <c r="I14294" s="26">
        <v>43516</v>
      </c>
      <c r="J14294" s="28" t="s">
        <v>52</v>
      </c>
      <c r="K14294" s="28" t="s">
        <v>52</v>
      </c>
      <c r="L14294" s="28" t="s">
        <v>52</v>
      </c>
      <c r="M14294" s="28" t="s">
        <v>52</v>
      </c>
      <c r="N14294" s="28" t="s">
        <v>52</v>
      </c>
    </row>
    <row r="14295" spans="1:14" x14ac:dyDescent="0.15">
      <c r="A14295" s="23" t="str">
        <f>HYPERLINK("https://www.spark-marketing.ru/Card/Person/86862", "ВОСТОЧНО-СИБИРСКОЕ СУТ СК РОССИИ")</f>
        <v>ВОСТОЧНО-СИБИРСКОЕ СУТ СК РОССИИ</v>
      </c>
      <c r="B14295" s="24" t="s">
        <v>14296</v>
      </c>
      <c r="C14295" s="25">
        <v>146624.88</v>
      </c>
      <c r="D14295" s="22" t="s">
        <v>16516</v>
      </c>
      <c r="E14295" s="22" t="s">
        <v>68</v>
      </c>
      <c r="F14295" s="23" t="str">
        <f>HYPERLINK("https://www.spark-marketing.ru/Card/Lot/68115238", "Охрана объекта путем применения систем централизованного наблюдения (Прочая закупка товаров, работ и услуг)")</f>
        <v>Охрана объекта путем применения систем централизованного наблюдения (Прочая закупка товаров, работ и услуг)</v>
      </c>
      <c r="G14295" s="22" t="s">
        <v>281</v>
      </c>
      <c r="H14295" s="22" t="s">
        <v>282</v>
      </c>
      <c r="I14295" s="26">
        <v>43516</v>
      </c>
      <c r="J14295" s="28" t="s">
        <v>52</v>
      </c>
      <c r="K14295" s="28" t="s">
        <v>52</v>
      </c>
      <c r="L14295" s="28" t="s">
        <v>52</v>
      </c>
      <c r="M14295" s="28" t="s">
        <v>52</v>
      </c>
      <c r="N14295" s="28" t="s">
        <v>52</v>
      </c>
    </row>
    <row r="14296" spans="1:14" x14ac:dyDescent="0.15">
      <c r="A14296" s="23" t="str">
        <f t="shared" ref="A14296:A14302" si="752">HYPERLINK("https://www.spark-marketing.ru/Card/Person/265945", "АДМИНИСТРАЦИЯ ГОРОДСКОГО ПОСЕЛЕНИЯ ПОСЕЛКА СОНКОВО СОНКОВСКОГО РАЙОНА ТВЕРСКОЙ ОБЛАСТИ")</f>
        <v>АДМИНИСТРАЦИЯ ГОРОДСКОГО ПОСЕЛЕНИЯ ПОСЕЛКА СОНКОВО СОНКОВСКОГО РАЙОНА ТВЕРСКОЙ ОБЛАСТИ</v>
      </c>
      <c r="B14296" s="24" t="s">
        <v>16517</v>
      </c>
      <c r="C14296" s="25">
        <v>100000</v>
      </c>
      <c r="D14296" s="22" t="s">
        <v>16518</v>
      </c>
      <c r="E14296" s="22" t="s">
        <v>59</v>
      </c>
      <c r="F14296" s="23" t="str">
        <f t="shared" ref="F14296:F14302" si="753">HYPERLINK("https://www.spark-marketing.ru/Card/Lot/68126119", "Выполнение работ по установке видеокамер (монтаж системы видеонаблюдения)")</f>
        <v>Выполнение работ по установке видеокамер (монтаж системы видеонаблюдения)</v>
      </c>
      <c r="G14296" s="22" t="s">
        <v>251</v>
      </c>
      <c r="H14296" s="22" t="s">
        <v>16519</v>
      </c>
      <c r="I14296" s="26">
        <v>43516</v>
      </c>
      <c r="J14296" s="28" t="s">
        <v>52</v>
      </c>
      <c r="K14296" s="28" t="s">
        <v>52</v>
      </c>
      <c r="L14296" s="28" t="s">
        <v>52</v>
      </c>
      <c r="M14296" s="28" t="s">
        <v>52</v>
      </c>
      <c r="N14296" s="28" t="s">
        <v>52</v>
      </c>
    </row>
    <row r="14297" spans="1:14" hidden="1" outlineLevel="1" x14ac:dyDescent="0.2">
      <c r="A14297" s="23" t="str">
        <f t="shared" si="752"/>
        <v>АДМИНИСТРАЦИЯ ГОРОДСКОГО ПОСЕЛЕНИЯ ПОСЕЛКА СОНКОВО СОНКОВСКОГО РАЙОНА ТВЕРСКОЙ ОБЛАСТИ</v>
      </c>
      <c r="B14297" s="24" t="s">
        <v>16517</v>
      </c>
      <c r="C14297" s="25">
        <v>100000</v>
      </c>
      <c r="D14297" s="22" t="s">
        <v>16518</v>
      </c>
      <c r="E14297" s="22" t="s">
        <v>59</v>
      </c>
      <c r="F14297" s="23" t="str">
        <f t="shared" si="753"/>
        <v>Выполнение работ по установке видеокамер (монтаж системы видеонаблюдения)</v>
      </c>
      <c r="G14297" s="22" t="s">
        <v>251</v>
      </c>
      <c r="H14297" s="22" t="s">
        <v>16519</v>
      </c>
      <c r="I14297" s="26">
        <v>43516</v>
      </c>
      <c r="J14297" s="23" t="str">
        <f>HYPERLINK("https://www.spark-marketing.ru/Card/Person/986836", "ООО ТЦ ""РУБИКОН""")</f>
        <v>ООО ТЦ "РУБИКОН"</v>
      </c>
      <c r="K14297" s="24" t="s">
        <v>5133</v>
      </c>
      <c r="L14297" s="28" t="s">
        <v>52</v>
      </c>
      <c r="M14297" s="25">
        <v>94000</v>
      </c>
      <c r="N14297" s="27">
        <v>0.06</v>
      </c>
    </row>
    <row r="14298" spans="1:14" ht="12.75" hidden="1" outlineLevel="1" x14ac:dyDescent="0.2">
      <c r="A14298" s="23" t="str">
        <f t="shared" si="752"/>
        <v>АДМИНИСТРАЦИЯ ГОРОДСКОГО ПОСЕЛЕНИЯ ПОСЕЛКА СОНКОВО СОНКОВСКОГО РАЙОНА ТВЕРСКОЙ ОБЛАСТИ</v>
      </c>
      <c r="B14298" s="24" t="s">
        <v>16517</v>
      </c>
      <c r="C14298" s="25">
        <v>100000</v>
      </c>
      <c r="D14298" s="22" t="s">
        <v>16518</v>
      </c>
      <c r="E14298" s="22" t="s">
        <v>59</v>
      </c>
      <c r="F14298" s="23" t="str">
        <f t="shared" si="753"/>
        <v>Выполнение работ по установке видеокамер (монтаж системы видеонаблюдения)</v>
      </c>
      <c r="G14298" s="22" t="s">
        <v>251</v>
      </c>
      <c r="H14298" s="22" t="s">
        <v>16519</v>
      </c>
      <c r="I14298" s="26">
        <v>43516</v>
      </c>
      <c r="J14298" s="23" t="str">
        <f>HYPERLINK("https://www.spark-marketing.ru/Card/Person/264812", "ООО ""ЦТБ-КОМИТЕК""")</f>
        <v>ООО "ЦТБ-КОМИТЕК"</v>
      </c>
      <c r="K14298" s="24" t="s">
        <v>10206</v>
      </c>
      <c r="L14298" s="22" t="s">
        <v>10</v>
      </c>
      <c r="M14298" s="25">
        <v>82250</v>
      </c>
      <c r="N14298" s="27">
        <v>0.17749999999999999</v>
      </c>
    </row>
    <row r="14299" spans="1:14" hidden="1" outlineLevel="1" x14ac:dyDescent="0.2">
      <c r="A14299" s="23" t="str">
        <f t="shared" si="752"/>
        <v>АДМИНИСТРАЦИЯ ГОРОДСКОГО ПОСЕЛЕНИЯ ПОСЕЛКА СОНКОВО СОНКОВСКОГО РАЙОНА ТВЕРСКОЙ ОБЛАСТИ</v>
      </c>
      <c r="B14299" s="24" t="s">
        <v>16517</v>
      </c>
      <c r="C14299" s="25">
        <v>100000</v>
      </c>
      <c r="D14299" s="22" t="s">
        <v>16518</v>
      </c>
      <c r="E14299" s="22" t="s">
        <v>59</v>
      </c>
      <c r="F14299" s="23" t="str">
        <f t="shared" si="753"/>
        <v>Выполнение работ по установке видеокамер (монтаж системы видеонаблюдения)</v>
      </c>
      <c r="G14299" s="22" t="s">
        <v>251</v>
      </c>
      <c r="H14299" s="22" t="s">
        <v>16519</v>
      </c>
      <c r="I14299" s="26">
        <v>43516</v>
      </c>
      <c r="J14299" s="23" t="str">
        <f>HYPERLINK("https://www.spark-marketing.ru/Card/Person/4891016", "Пупышев Роман Витальевич")</f>
        <v>Пупышев Роман Витальевич</v>
      </c>
      <c r="K14299" s="24" t="s">
        <v>16520</v>
      </c>
      <c r="L14299" s="28" t="s">
        <v>52</v>
      </c>
      <c r="M14299" s="25">
        <v>89000</v>
      </c>
      <c r="N14299" s="27">
        <v>0.11</v>
      </c>
    </row>
    <row r="14300" spans="1:14" hidden="1" outlineLevel="1" x14ac:dyDescent="0.2">
      <c r="A14300" s="23" t="str">
        <f t="shared" si="752"/>
        <v>АДМИНИСТРАЦИЯ ГОРОДСКОГО ПОСЕЛЕНИЯ ПОСЕЛКА СОНКОВО СОНКОВСКОГО РАЙОНА ТВЕРСКОЙ ОБЛАСТИ</v>
      </c>
      <c r="B14300" s="24" t="s">
        <v>16517</v>
      </c>
      <c r="C14300" s="25">
        <v>100000</v>
      </c>
      <c r="D14300" s="22" t="s">
        <v>16518</v>
      </c>
      <c r="E14300" s="22" t="s">
        <v>59</v>
      </c>
      <c r="F14300" s="23" t="str">
        <f t="shared" si="753"/>
        <v>Выполнение работ по установке видеокамер (монтаж системы видеонаблюдения)</v>
      </c>
      <c r="G14300" s="22" t="s">
        <v>251</v>
      </c>
      <c r="H14300" s="22" t="s">
        <v>16519</v>
      </c>
      <c r="I14300" s="26">
        <v>43516</v>
      </c>
      <c r="J14300" s="23" t="str">
        <f>HYPERLINK("https://www.spark-marketing.ru/Card/Person/6381225", "Волнушкин Илья Александрович")</f>
        <v>Волнушкин Илья Александрович</v>
      </c>
      <c r="K14300" s="24" t="s">
        <v>3910</v>
      </c>
      <c r="L14300" s="28" t="s">
        <v>52</v>
      </c>
      <c r="M14300" s="25">
        <v>89696</v>
      </c>
      <c r="N14300" s="27">
        <v>0.10304000000000001</v>
      </c>
    </row>
    <row r="14301" spans="1:14" hidden="1" outlineLevel="1" x14ac:dyDescent="0.2">
      <c r="A14301" s="23" t="str">
        <f t="shared" si="752"/>
        <v>АДМИНИСТРАЦИЯ ГОРОДСКОГО ПОСЕЛЕНИЯ ПОСЕЛКА СОНКОВО СОНКОВСКОГО РАЙОНА ТВЕРСКОЙ ОБЛАСТИ</v>
      </c>
      <c r="B14301" s="24" t="s">
        <v>16517</v>
      </c>
      <c r="C14301" s="25">
        <v>100000</v>
      </c>
      <c r="D14301" s="22" t="s">
        <v>16518</v>
      </c>
      <c r="E14301" s="22" t="s">
        <v>59</v>
      </c>
      <c r="F14301" s="23" t="str">
        <f t="shared" si="753"/>
        <v>Выполнение работ по установке видеокамер (монтаж системы видеонаблюдения)</v>
      </c>
      <c r="G14301" s="22" t="s">
        <v>251</v>
      </c>
      <c r="H14301" s="22" t="s">
        <v>16519</v>
      </c>
      <c r="I14301" s="26">
        <v>43516</v>
      </c>
      <c r="J14301" s="23" t="str">
        <f>HYPERLINK("https://www.spark-marketing.ru/Card/Person/6402207", "Виноградов Павел Павлович")</f>
        <v>Виноградов Павел Павлович</v>
      </c>
      <c r="K14301" s="24" t="s">
        <v>9935</v>
      </c>
      <c r="L14301" s="28" t="s">
        <v>52</v>
      </c>
      <c r="M14301" s="25">
        <v>97900</v>
      </c>
      <c r="N14301" s="27">
        <v>2.1000000000000001E-2</v>
      </c>
    </row>
    <row r="14302" spans="1:14" hidden="1" outlineLevel="1" x14ac:dyDescent="0.2">
      <c r="A14302" s="23" t="str">
        <f t="shared" si="752"/>
        <v>АДМИНИСТРАЦИЯ ГОРОДСКОГО ПОСЕЛЕНИЯ ПОСЕЛКА СОНКОВО СОНКОВСКОГО РАЙОНА ТВЕРСКОЙ ОБЛАСТИ</v>
      </c>
      <c r="B14302" s="24" t="s">
        <v>16517</v>
      </c>
      <c r="C14302" s="25">
        <v>100000</v>
      </c>
      <c r="D14302" s="22" t="s">
        <v>16518</v>
      </c>
      <c r="E14302" s="22" t="s">
        <v>59</v>
      </c>
      <c r="F14302" s="23" t="str">
        <f t="shared" si="753"/>
        <v>Выполнение работ по установке видеокамер (монтаж системы видеонаблюдения)</v>
      </c>
      <c r="G14302" s="22" t="s">
        <v>251</v>
      </c>
      <c r="H14302" s="22" t="s">
        <v>16519</v>
      </c>
      <c r="I14302" s="26">
        <v>43516</v>
      </c>
      <c r="J14302" s="23" t="str">
        <f>HYPERLINK("https://www.spark-marketing.ru/Card/Person/332643", "ООО ТЕХНИЧЕСКИЙ ЦЕНТР ""УНИВЕРСАЛ""")</f>
        <v>ООО ТЕХНИЧЕСКИЙ ЦЕНТР "УНИВЕРСАЛ"</v>
      </c>
      <c r="K14302" s="24" t="s">
        <v>4241</v>
      </c>
      <c r="L14302" s="28" t="s">
        <v>52</v>
      </c>
      <c r="M14302" s="25">
        <v>99500</v>
      </c>
      <c r="N14302" s="27">
        <v>5.0000000000000001E-3</v>
      </c>
    </row>
    <row r="14303" spans="1:14" x14ac:dyDescent="0.15">
      <c r="A14303" s="23" t="str">
        <f>HYPERLINK("https://www.spark-marketing.ru/Card/Person/38149", "УФССП РОССИИ ПО ТЮМЕНСКОЙ ОБЛАСТИ")</f>
        <v>УФССП РОССИИ ПО ТЮМЕНСКОЙ ОБЛАСТИ</v>
      </c>
      <c r="B14303" s="24" t="s">
        <v>16488</v>
      </c>
      <c r="C14303" s="25">
        <v>115732.8</v>
      </c>
      <c r="D14303" s="22" t="s">
        <v>16521</v>
      </c>
      <c r="E14303" s="22" t="s">
        <v>52</v>
      </c>
      <c r="F14303" s="23" t="str">
        <f>HYPERLINK("https://www.spark-marketing.ru/Card/Lot/68107010", "оказание услуг по охране имущества с помощью пульта централизованного наблюдения с. Омутинское")</f>
        <v>оказание услуг по охране имущества с помощью пульта централизованного наблюдения с. Омутинское</v>
      </c>
      <c r="G14303" s="22" t="s">
        <v>893</v>
      </c>
      <c r="H14303" s="22" t="s">
        <v>16522</v>
      </c>
      <c r="I14303" s="26">
        <v>43516</v>
      </c>
      <c r="J14303" s="28" t="s">
        <v>52</v>
      </c>
      <c r="K14303" s="28" t="s">
        <v>52</v>
      </c>
      <c r="L14303" s="28" t="s">
        <v>52</v>
      </c>
      <c r="M14303" s="28" t="s">
        <v>52</v>
      </c>
      <c r="N14303" s="28" t="s">
        <v>52</v>
      </c>
    </row>
    <row r="14304" spans="1:14" x14ac:dyDescent="0.15">
      <c r="A14304" s="23" t="str">
        <f>HYPERLINK("https://www.spark-marketing.ru/Card/Person/54317", "ФГУП ЦНРПМ")</f>
        <v>ФГУП ЦНРПМ</v>
      </c>
      <c r="B14304" s="24" t="s">
        <v>16523</v>
      </c>
      <c r="C14304" s="25">
        <v>1200000</v>
      </c>
      <c r="D14304" s="22" t="s">
        <v>16524</v>
      </c>
      <c r="E14304" s="22" t="s">
        <v>16525</v>
      </c>
      <c r="F14304" s="23" t="str">
        <f>HYPERLINK("https://www.spark-marketing.ru/Card/Lot/68101768", "Разработка и выдача рекомендаций по прохождению инженерных коммуникаций внутри существующего объема исторической части, с целью максимального сохранения интерьеров здания входящих в предмет охраны по объекту: «Комплексная реконструкция, реставрация и...")</f>
        <v>Разработка и выдача рекомендаций по прохождению инженерных коммуникаций внутри существующего объема исторической части, с целью максимального сохранения интерьеров здания входящих в предмет охраны по объекту: «Комплексная реконструкция, реставрация и...</v>
      </c>
      <c r="G14304" s="22" t="s">
        <v>55</v>
      </c>
      <c r="H14304" s="22" t="s">
        <v>55</v>
      </c>
      <c r="I14304" s="26">
        <v>43515.804722222201</v>
      </c>
      <c r="J14304" s="28" t="s">
        <v>52</v>
      </c>
      <c r="K14304" s="28" t="s">
        <v>52</v>
      </c>
      <c r="L14304" s="28" t="s">
        <v>52</v>
      </c>
      <c r="M14304" s="28" t="s">
        <v>52</v>
      </c>
      <c r="N14304" s="28" t="s">
        <v>52</v>
      </c>
    </row>
    <row r="14305" spans="1:14" x14ac:dyDescent="0.2">
      <c r="A14305" s="23" t="str">
        <f>HYPERLINK("https://www.spark-marketing.ru/Card/Person/107173", "ФГУП ""УВО МИНТРАНСА РОССИИ""")</f>
        <v>ФГУП "УВО МИНТРАНСА РОССИИ"</v>
      </c>
      <c r="B14305" s="24" t="s">
        <v>1472</v>
      </c>
      <c r="C14305" s="25">
        <v>18655906.170000002</v>
      </c>
      <c r="D14305" s="22" t="s">
        <v>16526</v>
      </c>
      <c r="E14305" s="22" t="s">
        <v>144</v>
      </c>
      <c r="F14305" s="23" t="str">
        <f>HYPERLINK("https://www.spark-marketing.ru/Card/Lot/68098855", "Мероприятия по обеспечению транспортной безопасности объектов транспортной инфраструктуры: реализация плана по обеспечению транспортной безопасности на мосту через реку Белая на км 49+554 автомобильной дороги Западный обход г. Уфы")</f>
        <v>Мероприятия по обеспечению транспортной безопасности объектов транспортной инфраструктуры: реализация плана по обеспечению транспортной безопасности на мосту через реку Белая на км 49+554 автомобильной дороги Западный обход г. Уфы</v>
      </c>
      <c r="G14305" s="22" t="s">
        <v>100</v>
      </c>
      <c r="H14305" s="22" t="s">
        <v>100</v>
      </c>
      <c r="I14305" s="26">
        <v>43515.716377314799</v>
      </c>
      <c r="J14305" s="23" t="str">
        <f>HYPERLINK("https://www.spark-marketing.ru/Card/Person/179251", "ООО ""БТР""")</f>
        <v>ООО "БТР"</v>
      </c>
      <c r="K14305" s="24" t="s">
        <v>16527</v>
      </c>
      <c r="L14305" s="28" t="s">
        <v>52</v>
      </c>
      <c r="M14305" s="25">
        <v>18655906.18</v>
      </c>
      <c r="N14305" s="27">
        <v>-5.3602327910936316E-10</v>
      </c>
    </row>
    <row r="14306" spans="1:14" x14ac:dyDescent="0.15">
      <c r="A14306" s="23" t="str">
        <f>HYPERLINK("https://www.spark-marketing.ru/Card/Person/74567", "МБОУ СОШ № 10")</f>
        <v>МБОУ СОШ № 10</v>
      </c>
      <c r="B14306" s="24" t="s">
        <v>16528</v>
      </c>
      <c r="C14306" s="25">
        <v>94000</v>
      </c>
      <c r="D14306" s="22" t="s">
        <v>16529</v>
      </c>
      <c r="E14306" s="22" t="s">
        <v>107</v>
      </c>
      <c r="F14306" s="23" t="str">
        <f>HYPERLINK("https://www.spark-marketing.ru/Card/Lot/68098334", "ТО камер ЕГЭ")</f>
        <v>ТО камер ЕГЭ</v>
      </c>
      <c r="G14306" s="22" t="s">
        <v>50</v>
      </c>
      <c r="H14306" s="22" t="s">
        <v>2088</v>
      </c>
      <c r="I14306" s="26">
        <v>43515.711585648103</v>
      </c>
      <c r="J14306" s="28" t="s">
        <v>52</v>
      </c>
      <c r="K14306" s="28" t="s">
        <v>52</v>
      </c>
      <c r="L14306" s="28" t="s">
        <v>52</v>
      </c>
      <c r="M14306" s="28" t="s">
        <v>52</v>
      </c>
      <c r="N14306" s="28" t="s">
        <v>52</v>
      </c>
    </row>
    <row r="14307" spans="1:14" x14ac:dyDescent="0.15">
      <c r="A14307" s="23" t="str">
        <f>HYPERLINK("https://www.spark-marketing.ru/Card/Person/95245", "ОАО ""РЖД""")</f>
        <v>ОАО "РЖД"</v>
      </c>
      <c r="B14307" s="24" t="s">
        <v>163</v>
      </c>
      <c r="C14307" s="25">
        <v>2399980.7999999998</v>
      </c>
      <c r="D14307" s="22" t="s">
        <v>16530</v>
      </c>
      <c r="E14307" s="22" t="s">
        <v>533</v>
      </c>
      <c r="F14307" s="23" t="str">
        <f>HYPERLINK("https://www.spark-marketing.ru/Card/Lot/68100600", "На право заключения договора поставки систем видеорегистрации и выполнения работ по их установке на высокоскоростные поезда ""Сапсан""")</f>
        <v>На право заключения договора поставки систем видеорегистрации и выполнения работ по их установке на высокоскоростные поезда "Сапсан"</v>
      </c>
      <c r="G14307" s="22" t="s">
        <v>89</v>
      </c>
      <c r="H14307" s="22" t="s">
        <v>89</v>
      </c>
      <c r="I14307" s="26">
        <v>43515.746979166703</v>
      </c>
      <c r="J14307" s="28" t="s">
        <v>52</v>
      </c>
      <c r="K14307" s="28" t="s">
        <v>52</v>
      </c>
      <c r="L14307" s="28" t="s">
        <v>52</v>
      </c>
      <c r="M14307" s="28" t="s">
        <v>52</v>
      </c>
      <c r="N14307" s="28" t="s">
        <v>52</v>
      </c>
    </row>
    <row r="14308" spans="1:14" x14ac:dyDescent="0.15">
      <c r="A14308" s="23" t="str">
        <f>HYPERLINK("https://www.spark-marketing.ru/Card/Person/4360548", "МАУ ЦДО ""ПЕРЕМЕНА""")</f>
        <v>МАУ ЦДО "ПЕРЕМЕНА"</v>
      </c>
      <c r="B14308" s="24" t="s">
        <v>12815</v>
      </c>
      <c r="C14308" s="25">
        <v>25670</v>
      </c>
      <c r="D14308" s="22" t="s">
        <v>16531</v>
      </c>
      <c r="E14308" s="22" t="s">
        <v>4747</v>
      </c>
      <c r="F14308" s="23" t="str">
        <f>HYPERLINK("https://www.spark-marketing.ru/Card/Lot/68098599", "Оказание охранных услуг и установки тревожной кнопки на объекте Заказчика, расположенного по адресу: г. Воронеж, ул. Урицкого 58")</f>
        <v>Оказание охранных услуг и установки тревожной кнопки на объекте Заказчика, расположенного по адресу: г. Воронеж, ул. Урицкого 58</v>
      </c>
      <c r="G14308" s="22" t="s">
        <v>552</v>
      </c>
      <c r="H14308" s="22" t="s">
        <v>552</v>
      </c>
      <c r="I14308" s="26">
        <v>43515.728472222203</v>
      </c>
      <c r="J14308" s="28" t="s">
        <v>52</v>
      </c>
      <c r="K14308" s="28" t="s">
        <v>52</v>
      </c>
      <c r="L14308" s="28" t="s">
        <v>52</v>
      </c>
      <c r="M14308" s="28" t="s">
        <v>52</v>
      </c>
      <c r="N14308" s="28" t="s">
        <v>52</v>
      </c>
    </row>
    <row r="14309" spans="1:14" x14ac:dyDescent="0.15">
      <c r="A14309" s="23" t="str">
        <f>HYPERLINK("https://www.spark-marketing.ru/Card/Person/4346324", "ПАО ""ФСК ЕЭС""")</f>
        <v>ПАО "ФСК ЕЭС"</v>
      </c>
      <c r="B14309" s="24" t="s">
        <v>361</v>
      </c>
      <c r="C14309" s="25">
        <v>25467156.359999999</v>
      </c>
      <c r="D14309" s="22" t="s">
        <v>16532</v>
      </c>
      <c r="E14309" s="22" t="s">
        <v>363</v>
      </c>
      <c r="F14309" s="23" t="str">
        <f>HYPERLINK("https://www.spark-marketing.ru/Card/Lot/68098784", "Охрана объектов Вологодского ПМЭС: здания управления, ПС Сокол, ПС Ростилово, ПС Вологда-Южная, ПС Зашекснинская, ПС Первомайская, РПП-1, РПП-2, склады предприятия.")</f>
        <v>Охрана объектов Вологодского ПМЭС: здания управления, ПС Сокол, ПС Ростилово, ПС Вологда-Южная, ПС Зашекснинская, ПС Первомайская, РПП-1, РПП-2, склады предприятия.</v>
      </c>
      <c r="G14309" s="22" t="s">
        <v>902</v>
      </c>
      <c r="H14309" s="22" t="s">
        <v>902</v>
      </c>
      <c r="I14309" s="26">
        <v>43515.736724536997</v>
      </c>
      <c r="J14309" s="28" t="s">
        <v>52</v>
      </c>
      <c r="K14309" s="28" t="s">
        <v>52</v>
      </c>
      <c r="L14309" s="28" t="s">
        <v>52</v>
      </c>
      <c r="M14309" s="28" t="s">
        <v>52</v>
      </c>
      <c r="N14309" s="28" t="s">
        <v>52</v>
      </c>
    </row>
    <row r="14310" spans="1:14" hidden="1" outlineLevel="1" x14ac:dyDescent="0.15">
      <c r="A14310" s="23" t="str">
        <f>HYPERLINK("https://www.spark-marketing.ru/Card/Person/4346324", "ПАО ""ФСК ЕЭС""")</f>
        <v>ПАО "ФСК ЕЭС"</v>
      </c>
      <c r="B14310" s="24" t="s">
        <v>361</v>
      </c>
      <c r="C14310" s="28" t="s">
        <v>52</v>
      </c>
      <c r="D14310" s="22" t="s">
        <v>16532</v>
      </c>
      <c r="E14310" s="22" t="s">
        <v>363</v>
      </c>
      <c r="F14310" s="23" t="str">
        <f>HYPERLINK("https://www.spark-marketing.ru/Card/Lot/68098784", "Охрана объектов Вологодского ПМЭС: здания управления, ПС Сокол, ПС Ростилово, ПС Вологда-Южная, ПС Зашекснинская, ПС Первомайская, РПП-1, РПП-2, склады предприятия.")</f>
        <v>Охрана объектов Вологодского ПМЭС: здания управления, ПС Сокол, ПС Ростилово, ПС Вологда-Южная, ПС Зашекснинская, ПС Первомайская, РПП-1, РПП-2, склады предприятия.</v>
      </c>
      <c r="G14310" s="22" t="s">
        <v>902</v>
      </c>
      <c r="H14310" s="22" t="s">
        <v>902</v>
      </c>
      <c r="I14310" s="26">
        <v>43515.736724536997</v>
      </c>
      <c r="J14310" s="23" t="str">
        <f>HYPERLINK("https://www.spark-marketing.ru/Card/Person/62742", "ООО ЧОП ""ГЛОБАЛ""")</f>
        <v>ООО ЧОП "ГЛОБАЛ"</v>
      </c>
      <c r="K14310" s="24" t="s">
        <v>16426</v>
      </c>
      <c r="L14310" s="28" t="s">
        <v>52</v>
      </c>
      <c r="M14310" s="28" t="s">
        <v>52</v>
      </c>
      <c r="N14310" s="28" t="s">
        <v>52</v>
      </c>
    </row>
    <row r="14311" spans="1:14" hidden="1" outlineLevel="1" x14ac:dyDescent="0.15">
      <c r="A14311" s="23" t="str">
        <f>HYPERLINK("https://www.spark-marketing.ru/Card/Person/4346324", "ПАО ""ФСК ЕЭС""")</f>
        <v>ПАО "ФСК ЕЭС"</v>
      </c>
      <c r="B14311" s="24" t="s">
        <v>361</v>
      </c>
      <c r="C14311" s="28" t="s">
        <v>52</v>
      </c>
      <c r="D14311" s="22" t="s">
        <v>16532</v>
      </c>
      <c r="E14311" s="22" t="s">
        <v>363</v>
      </c>
      <c r="F14311" s="23" t="str">
        <f>HYPERLINK("https://www.spark-marketing.ru/Card/Lot/68098784", "Охрана объектов Вологодского ПМЭС: здания управления, ПС Сокол, ПС Ростилово, ПС Вологда-Южная, ПС Зашекснинская, ПС Первомайская, РПП-1, РПП-2, склады предприятия.")</f>
        <v>Охрана объектов Вологодского ПМЭС: здания управления, ПС Сокол, ПС Ростилово, ПС Вологда-Южная, ПС Зашекснинская, ПС Первомайская, РПП-1, РПП-2, склады предприятия.</v>
      </c>
      <c r="G14311" s="22" t="s">
        <v>902</v>
      </c>
      <c r="H14311" s="22" t="s">
        <v>902</v>
      </c>
      <c r="I14311" s="26">
        <v>43515.736724536997</v>
      </c>
      <c r="J14311" s="23" t="str">
        <f>HYPERLINK("https://www.spark-marketing.ru/Card/Person/2252527", "ООО ЧОП ""ОХРАННОЕ АГЕНТСТВО ""ЭСКАРП-НВ""")</f>
        <v>ООО ЧОП "ОХРАННОЕ АГЕНТСТВО "ЭСКАРП-НВ"</v>
      </c>
      <c r="K14311" s="24" t="s">
        <v>16533</v>
      </c>
      <c r="L14311" s="28" t="s">
        <v>52</v>
      </c>
      <c r="M14311" s="28" t="s">
        <v>52</v>
      </c>
      <c r="N14311" s="28" t="s">
        <v>52</v>
      </c>
    </row>
    <row r="14312" spans="1:14" x14ac:dyDescent="0.15">
      <c r="A14312" s="23" t="str">
        <f>HYPERLINK("https://www.spark-marketing.ru/Card/Person/88720", "МБОУ ПСОШ № 2 ИМ. М.Ф. ТИХОНОВА")</f>
        <v>МБОУ ПСОШ № 2 ИМ. М.Ф. ТИХОНОВА</v>
      </c>
      <c r="B14312" s="24" t="s">
        <v>16534</v>
      </c>
      <c r="C14312" s="25">
        <v>80000</v>
      </c>
      <c r="D14312" s="22" t="s">
        <v>16535</v>
      </c>
      <c r="E14312" s="22" t="s">
        <v>103</v>
      </c>
      <c r="F14312" s="23" t="str">
        <f>HYPERLINK("https://www.spark-marketing.ru/Card/Lot/68098343", "на выполнение работ по техническому обслуживанию систем видеонаблюдения (внутреннее, наружное), радиотрансляции (внутренняя, наружная), внутришкольной охранной сигнализации, оборудования часофикации")</f>
        <v>на выполнение работ по техническому обслуживанию систем видеонаблюдения (внутреннее, наружное), радиотрансляции (внутренняя, наружная), внутришкольной охранной сигнализации, оборудования часофикации</v>
      </c>
      <c r="G14312" s="22" t="s">
        <v>50</v>
      </c>
      <c r="H14312" s="22" t="s">
        <v>12149</v>
      </c>
      <c r="I14312" s="26">
        <v>43515.711724537003</v>
      </c>
      <c r="J14312" s="28" t="s">
        <v>52</v>
      </c>
      <c r="K14312" s="28" t="s">
        <v>52</v>
      </c>
      <c r="L14312" s="28" t="s">
        <v>52</v>
      </c>
      <c r="M14312" s="28" t="s">
        <v>52</v>
      </c>
      <c r="N14312" s="28" t="s">
        <v>52</v>
      </c>
    </row>
    <row r="14313" spans="1:14" x14ac:dyDescent="0.15">
      <c r="A14313" s="23" t="str">
        <f>HYPERLINK("https://www.spark-marketing.ru/Card/Person/1777901", "МАДОУ Д/С №25 ""БЕЛОСНЕЖКА""")</f>
        <v>МАДОУ Д/С №25 "БЕЛОСНЕЖКА"</v>
      </c>
      <c r="B14313" s="24" t="s">
        <v>16536</v>
      </c>
      <c r="C14313" s="25">
        <v>69367.320000000007</v>
      </c>
      <c r="D14313" s="22" t="s">
        <v>16537</v>
      </c>
      <c r="E14313" s="22" t="s">
        <v>103</v>
      </c>
      <c r="F14313" s="23" t="str">
        <f>HYPERLINK("https://www.spark-marketing.ru/Card/Lot/68098523", "Техническое обслуживание домофона и систем видеонаблюдения")</f>
        <v>Техническое обслуживание домофона и систем видеонаблюдения</v>
      </c>
      <c r="G14313" s="22" t="s">
        <v>50</v>
      </c>
      <c r="H14313" s="22" t="s">
        <v>4782</v>
      </c>
      <c r="I14313" s="26">
        <v>43515.742557870399</v>
      </c>
      <c r="J14313" s="28" t="s">
        <v>52</v>
      </c>
      <c r="K14313" s="28" t="s">
        <v>52</v>
      </c>
      <c r="L14313" s="28" t="s">
        <v>52</v>
      </c>
      <c r="M14313" s="28" t="s">
        <v>52</v>
      </c>
      <c r="N14313" s="28" t="s">
        <v>52</v>
      </c>
    </row>
    <row r="14314" spans="1:14" x14ac:dyDescent="0.15">
      <c r="A14314" s="23" t="str">
        <f>HYPERLINK("https://www.spark-marketing.ru/Card/Person/4348805", "АО ""ИНТЕР РАО-ЭЛЕКТРОГЕНЕРАЦИЯ""")</f>
        <v>АО "ИНТЕР РАО-ЭЛЕКТРОГЕНЕРАЦИЯ"</v>
      </c>
      <c r="B14314" s="24" t="s">
        <v>11062</v>
      </c>
      <c r="C14314" s="25">
        <v>2716000</v>
      </c>
      <c r="D14314" s="22" t="s">
        <v>16538</v>
      </c>
      <c r="E14314" s="22" t="s">
        <v>370</v>
      </c>
      <c r="F14314" s="23" t="str">
        <f>HYPERLINK("https://www.spark-marketing.ru/Card/Lot/68098573", "Годовое обслуживание комплекса инженерно-технических средств охраны (ИТСО) для Калининградской ТЭЦ-2")</f>
        <v>Годовое обслуживание комплекса инженерно-технических средств охраны (ИТСО) для Калининградской ТЭЦ-2</v>
      </c>
      <c r="G14314" s="22" t="s">
        <v>55</v>
      </c>
      <c r="H14314" s="22" t="s">
        <v>55</v>
      </c>
      <c r="I14314" s="26">
        <v>43515.725381944401</v>
      </c>
      <c r="J14314" s="28" t="s">
        <v>52</v>
      </c>
      <c r="K14314" s="28" t="s">
        <v>52</v>
      </c>
      <c r="L14314" s="28" t="s">
        <v>52</v>
      </c>
      <c r="M14314" s="28" t="s">
        <v>52</v>
      </c>
      <c r="N14314" s="28" t="s">
        <v>52</v>
      </c>
    </row>
    <row r="14315" spans="1:14" hidden="1" outlineLevel="1" x14ac:dyDescent="0.15">
      <c r="A14315" s="23" t="str">
        <f>HYPERLINK("https://www.spark-marketing.ru/Card/Person/4348805", "АО ""ИНТЕР РАО-ЭЛЕКТРОГЕНЕРАЦИЯ""")</f>
        <v>АО "ИНТЕР РАО-ЭЛЕКТРОГЕНЕРАЦИЯ"</v>
      </c>
      <c r="B14315" s="24" t="s">
        <v>11062</v>
      </c>
      <c r="C14315" s="28" t="s">
        <v>52</v>
      </c>
      <c r="D14315" s="22" t="s">
        <v>16538</v>
      </c>
      <c r="E14315" s="22" t="s">
        <v>370</v>
      </c>
      <c r="F14315" s="23" t="str">
        <f>HYPERLINK("https://www.spark-marketing.ru/Card/Lot/68098573", "Годовое обслуживание комплекса инженерно-технических средств охраны (ИТСО) для Калининградской ТЭЦ-2")</f>
        <v>Годовое обслуживание комплекса инженерно-технических средств охраны (ИТСО) для Калининградской ТЭЦ-2</v>
      </c>
      <c r="G14315" s="22" t="s">
        <v>55</v>
      </c>
      <c r="H14315" s="22" t="s">
        <v>55</v>
      </c>
      <c r="I14315" s="26">
        <v>43515.725381944401</v>
      </c>
      <c r="J14315" s="23" t="str">
        <f>HYPERLINK("https://www.spark-marketing.ru/Card/Person/122774", "ООО ПМЦ ""СТАРТ-7""")</f>
        <v>ООО ПМЦ "СТАРТ-7"</v>
      </c>
      <c r="K14315" s="24" t="s">
        <v>16066</v>
      </c>
      <c r="L14315" s="28" t="s">
        <v>52</v>
      </c>
      <c r="M14315" s="28" t="s">
        <v>52</v>
      </c>
      <c r="N14315" s="28" t="s">
        <v>52</v>
      </c>
    </row>
    <row r="14316" spans="1:14" hidden="1" outlineLevel="1" x14ac:dyDescent="0.15">
      <c r="A14316" s="23" t="str">
        <f>HYPERLINK("https://www.spark-marketing.ru/Card/Person/4348805", "АО ""ИНТЕР РАО-ЭЛЕКТРОГЕНЕРАЦИЯ""")</f>
        <v>АО "ИНТЕР РАО-ЭЛЕКТРОГЕНЕРАЦИЯ"</v>
      </c>
      <c r="B14316" s="24" t="s">
        <v>11062</v>
      </c>
      <c r="C14316" s="28" t="s">
        <v>52</v>
      </c>
      <c r="D14316" s="22" t="s">
        <v>16538</v>
      </c>
      <c r="E14316" s="22" t="s">
        <v>370</v>
      </c>
      <c r="F14316" s="23" t="str">
        <f>HYPERLINK("https://www.spark-marketing.ru/Card/Lot/68098573", "Годовое обслуживание комплекса инженерно-технических средств охраны (ИТСО) для Калининградской ТЭЦ-2")</f>
        <v>Годовое обслуживание комплекса инженерно-технических средств охраны (ИТСО) для Калининградской ТЭЦ-2</v>
      </c>
      <c r="G14316" s="22" t="s">
        <v>55</v>
      </c>
      <c r="H14316" s="22" t="s">
        <v>55</v>
      </c>
      <c r="I14316" s="26">
        <v>43515.725381944401</v>
      </c>
      <c r="J14316" s="23" t="str">
        <f>HYPERLINK("https://www.spark-marketing.ru/Card/Person/93911", "ООО ""ЭНЕРГОСЕТЬ""")</f>
        <v>ООО "ЭНЕРГОСЕТЬ"</v>
      </c>
      <c r="K14316" s="24" t="s">
        <v>16065</v>
      </c>
      <c r="L14316" s="28" t="s">
        <v>52</v>
      </c>
      <c r="M14316" s="28" t="s">
        <v>52</v>
      </c>
      <c r="N14316" s="28" t="s">
        <v>52</v>
      </c>
    </row>
    <row r="14317" spans="1:14" hidden="1" outlineLevel="1" x14ac:dyDescent="0.2">
      <c r="A14317" s="23" t="str">
        <f>HYPERLINK("https://www.spark-marketing.ru/Card/Person/4348805", "АО ""ИНТЕР РАО-ЭЛЕКТРОГЕНЕРАЦИЯ""")</f>
        <v>АО "ИНТЕР РАО-ЭЛЕКТРОГЕНЕРАЦИЯ"</v>
      </c>
      <c r="B14317" s="24" t="s">
        <v>11062</v>
      </c>
      <c r="C14317" s="28" t="s">
        <v>52</v>
      </c>
      <c r="D14317" s="22" t="s">
        <v>16538</v>
      </c>
      <c r="E14317" s="22" t="s">
        <v>370</v>
      </c>
      <c r="F14317" s="23" t="str">
        <f>HYPERLINK("https://www.spark-marketing.ru/Card/Lot/68098573", "Годовое обслуживание комплекса инженерно-технических средств охраны (ИТСО) для Калининградской ТЭЦ-2")</f>
        <v>Годовое обслуживание комплекса инженерно-технических средств охраны (ИТСО) для Калининградской ТЭЦ-2</v>
      </c>
      <c r="G14317" s="22" t="s">
        <v>55</v>
      </c>
      <c r="H14317" s="22" t="s">
        <v>55</v>
      </c>
      <c r="I14317" s="26">
        <v>43515.725381944401</v>
      </c>
      <c r="J14317" s="23" t="str">
        <f>HYPERLINK("https://www.spark-marketing.ru/Card/Person/154667", "ООО ""АЛЬПАРИ""")</f>
        <v>ООО "АЛЬПАРИ"</v>
      </c>
      <c r="K14317" s="24" t="s">
        <v>16064</v>
      </c>
      <c r="L14317" s="22" t="s">
        <v>10</v>
      </c>
      <c r="M14317" s="25">
        <v>2500000</v>
      </c>
      <c r="N14317" s="27">
        <v>7.9528718703976431E-2</v>
      </c>
    </row>
    <row r="14318" spans="1:14" hidden="1" outlineLevel="1" x14ac:dyDescent="0.2">
      <c r="A14318" s="23" t="str">
        <f>HYPERLINK("https://www.spark-marketing.ru/Card/Person/4348805", "АО ""ИНТЕР РАО-ЭЛЕКТРОГЕНЕРАЦИЯ""")</f>
        <v>АО "ИНТЕР РАО-ЭЛЕКТРОГЕНЕРАЦИЯ"</v>
      </c>
      <c r="B14318" s="24" t="s">
        <v>11062</v>
      </c>
      <c r="C14318" s="28" t="s">
        <v>52</v>
      </c>
      <c r="D14318" s="22" t="s">
        <v>16538</v>
      </c>
      <c r="E14318" s="22" t="s">
        <v>370</v>
      </c>
      <c r="F14318" s="23" t="str">
        <f>HYPERLINK("https://www.spark-marketing.ru/Card/Lot/68098573", "Годовое обслуживание комплекса инженерно-технических средств охраны (ИТСО) для Калининградской ТЭЦ-2")</f>
        <v>Годовое обслуживание комплекса инженерно-технических средств охраны (ИТСО) для Калининградской ТЭЦ-2</v>
      </c>
      <c r="G14318" s="22" t="s">
        <v>55</v>
      </c>
      <c r="H14318" s="22" t="s">
        <v>55</v>
      </c>
      <c r="I14318" s="26">
        <v>43515.725381944401</v>
      </c>
      <c r="J14318" s="23" t="str">
        <f>HYPERLINK("https://www.spark-marketing.ru/Card/Person/63572", "ЗАО ""ИНТЕХ""")</f>
        <v>ЗАО "ИНТЕХ"</v>
      </c>
      <c r="K14318" s="24" t="s">
        <v>2493</v>
      </c>
      <c r="L14318" s="28" t="s">
        <v>52</v>
      </c>
      <c r="M14318" s="25">
        <v>2559900</v>
      </c>
      <c r="N14318" s="27">
        <v>5.7474226804123708E-2</v>
      </c>
    </row>
    <row r="14319" spans="1:14" x14ac:dyDescent="0.15">
      <c r="A14319" s="23" t="str">
        <f>HYPERLINK("https://www.spark-marketing.ru/Card/Person/4353030", "ГБПОУ РО ""ККПТ""")</f>
        <v>ГБПОУ РО "ККПТ"</v>
      </c>
      <c r="B14319" s="24" t="s">
        <v>13432</v>
      </c>
      <c r="C14319" s="25">
        <v>40560</v>
      </c>
      <c r="D14319" s="22" t="s">
        <v>16539</v>
      </c>
      <c r="E14319" s="22" t="s">
        <v>194</v>
      </c>
      <c r="F14319" s="23" t="str">
        <f>HYPERLINK("https://www.spark-marketing.ru/Card/Lot/68094531", "Техническое обслуживание систем видеонаблюдения")</f>
        <v>Техническое обслуживание систем видеонаблюдения</v>
      </c>
      <c r="G14319" s="22" t="s">
        <v>402</v>
      </c>
      <c r="H14319" s="22" t="s">
        <v>10454</v>
      </c>
      <c r="I14319" s="26">
        <v>43515.6743055556</v>
      </c>
      <c r="J14319" s="28" t="s">
        <v>52</v>
      </c>
      <c r="K14319" s="28" t="s">
        <v>52</v>
      </c>
      <c r="L14319" s="28" t="s">
        <v>52</v>
      </c>
      <c r="M14319" s="28" t="s">
        <v>52</v>
      </c>
      <c r="N14319" s="28" t="s">
        <v>52</v>
      </c>
    </row>
    <row r="14320" spans="1:14" x14ac:dyDescent="0.15">
      <c r="A14320" s="23" t="str">
        <f>HYPERLINK("https://www.spark-marketing.ru/Card/Person/1359589", "ОГАУЗ ""ТОКБ""")</f>
        <v>ОГАУЗ "ТОКБ"</v>
      </c>
      <c r="B14320" s="24" t="s">
        <v>1240</v>
      </c>
      <c r="C14320" s="25">
        <v>2902380</v>
      </c>
      <c r="D14320" s="22" t="s">
        <v>16540</v>
      </c>
      <c r="E14320" s="22" t="s">
        <v>144</v>
      </c>
      <c r="F14320" s="23" t="str">
        <f>HYPERLINK("https://www.spark-marketing.ru/Card/Lot/68084199", "Оказание услуг по охране объектов ОГАУЗ «ТОКБ« и прилегающей к ним территории")</f>
        <v>Оказание услуг по охране объектов ОГАУЗ «ТОКБ« и прилегающей к ним территории</v>
      </c>
      <c r="G14320" s="22" t="s">
        <v>150</v>
      </c>
      <c r="H14320" s="22" t="s">
        <v>150</v>
      </c>
      <c r="I14320" s="26">
        <v>43515.678101851903</v>
      </c>
      <c r="J14320" s="28" t="s">
        <v>52</v>
      </c>
      <c r="K14320" s="28" t="s">
        <v>52</v>
      </c>
      <c r="L14320" s="28" t="s">
        <v>52</v>
      </c>
      <c r="M14320" s="28" t="s">
        <v>52</v>
      </c>
      <c r="N14320" s="28" t="s">
        <v>52</v>
      </c>
    </row>
    <row r="14321" spans="1:14" x14ac:dyDescent="0.15">
      <c r="A14321" s="23" t="str">
        <f>HYPERLINK("https://www.spark-marketing.ru/Card/Person/4362267", "АО ""ЛГЭК""")</f>
        <v>АО "ЛГЭК"</v>
      </c>
      <c r="B14321" s="24" t="s">
        <v>13911</v>
      </c>
      <c r="C14321" s="25">
        <v>444000</v>
      </c>
      <c r="D14321" s="22" t="s">
        <v>16541</v>
      </c>
      <c r="E14321" s="22" t="s">
        <v>854</v>
      </c>
      <c r="F14321" s="23" t="str">
        <f>HYPERLINK("https://www.spark-marketing.ru/Card/Lot/68093028", "Выполнение корректировки проекта зоны санитарной охраны по объекту: ""Строительство эксплуатационной скважины № 4 на водозаборе по адресу: г. Липецк, пос. Северный Рудник, владение 24"".")</f>
        <v>Выполнение корректировки проекта зоны санитарной охраны по объекту: "Строительство эксплуатационной скважины № 4 на водозаборе по адресу: г. Липецк, пос. Северный Рудник, владение 24".</v>
      </c>
      <c r="G14321" s="22" t="s">
        <v>629</v>
      </c>
      <c r="H14321" s="22" t="s">
        <v>629</v>
      </c>
      <c r="I14321" s="26">
        <v>43515.649004629602</v>
      </c>
      <c r="J14321" s="28" t="s">
        <v>52</v>
      </c>
      <c r="K14321" s="28" t="s">
        <v>52</v>
      </c>
      <c r="L14321" s="28" t="s">
        <v>52</v>
      </c>
      <c r="M14321" s="28" t="s">
        <v>52</v>
      </c>
      <c r="N14321" s="28" t="s">
        <v>52</v>
      </c>
    </row>
    <row r="14322" spans="1:14" hidden="1" outlineLevel="1" x14ac:dyDescent="0.2">
      <c r="A14322" s="23" t="str">
        <f>HYPERLINK("https://www.spark-marketing.ru/Card/Person/4362267", "АО ""ЛГЭК""")</f>
        <v>АО "ЛГЭК"</v>
      </c>
      <c r="B14322" s="24" t="s">
        <v>13911</v>
      </c>
      <c r="C14322" s="28" t="s">
        <v>52</v>
      </c>
      <c r="D14322" s="22" t="s">
        <v>16541</v>
      </c>
      <c r="E14322" s="22" t="s">
        <v>854</v>
      </c>
      <c r="F14322" s="23" t="str">
        <f>HYPERLINK("https://www.spark-marketing.ru/Card/Lot/68093028", "Выполнение корректировки проекта зоны санитарной охраны по объекту: ""Строительство эксплуатационной скважины № 4 на водозаборе по адресу: г. Липецк, пос. Северный Рудник, владение 24"".")</f>
        <v>Выполнение корректировки проекта зоны санитарной охраны по объекту: "Строительство эксплуатационной скважины № 4 на водозаборе по адресу: г. Липецк, пос. Северный Рудник, владение 24".</v>
      </c>
      <c r="G14322" s="22" t="s">
        <v>629</v>
      </c>
      <c r="H14322" s="22" t="s">
        <v>629</v>
      </c>
      <c r="I14322" s="26">
        <v>43515.649004629602</v>
      </c>
      <c r="J14322" s="23" t="str">
        <f>HYPERLINK("https://www.spark-marketing.ru/Card/Person/4682575", "ООО ""ПРОЕКТ Е4""")</f>
        <v>ООО "ПРОЕКТ Е4"</v>
      </c>
      <c r="K14322" s="24" t="s">
        <v>13913</v>
      </c>
      <c r="L14322" s="28" t="s">
        <v>52</v>
      </c>
      <c r="M14322" s="25">
        <v>270000</v>
      </c>
      <c r="N14322" s="27">
        <v>0.39189189189189189</v>
      </c>
    </row>
    <row r="14323" spans="1:14" hidden="1" outlineLevel="1" x14ac:dyDescent="0.2">
      <c r="A14323" s="23" t="str">
        <f>HYPERLINK("https://www.spark-marketing.ru/Card/Person/4362267", "АО ""ЛГЭК""")</f>
        <v>АО "ЛГЭК"</v>
      </c>
      <c r="B14323" s="24" t="s">
        <v>13911</v>
      </c>
      <c r="C14323" s="28" t="s">
        <v>52</v>
      </c>
      <c r="D14323" s="22" t="s">
        <v>16541</v>
      </c>
      <c r="E14323" s="22" t="s">
        <v>854</v>
      </c>
      <c r="F14323" s="23" t="str">
        <f>HYPERLINK("https://www.spark-marketing.ru/Card/Lot/68093028", "Выполнение корректировки проекта зоны санитарной охраны по объекту: ""Строительство эксплуатационной скважины № 4 на водозаборе по адресу: г. Липецк, пос. Северный Рудник, владение 24"".")</f>
        <v>Выполнение корректировки проекта зоны санитарной охраны по объекту: "Строительство эксплуатационной скважины № 4 на водозаборе по адресу: г. Липецк, пос. Северный Рудник, владение 24".</v>
      </c>
      <c r="G14323" s="22" t="s">
        <v>629</v>
      </c>
      <c r="H14323" s="22" t="s">
        <v>629</v>
      </c>
      <c r="I14323" s="26">
        <v>43515.649004629602</v>
      </c>
      <c r="J14323" s="23" t="str">
        <f>HYPERLINK("https://www.spark-marketing.ru/Card/Person/5963691", "ООО ""РОСЭКО""")</f>
        <v>ООО "РОСЭКО"</v>
      </c>
      <c r="K14323" s="24" t="s">
        <v>16542</v>
      </c>
      <c r="L14323" s="28" t="s">
        <v>52</v>
      </c>
      <c r="M14323" s="25">
        <v>250000</v>
      </c>
      <c r="N14323" s="27">
        <v>0.43693693693693691</v>
      </c>
    </row>
    <row r="14324" spans="1:14" hidden="1" outlineLevel="1" x14ac:dyDescent="0.2">
      <c r="A14324" s="23" t="str">
        <f>HYPERLINK("https://www.spark-marketing.ru/Card/Person/4362267", "АО ""ЛГЭК""")</f>
        <v>АО "ЛГЭК"</v>
      </c>
      <c r="B14324" s="24" t="s">
        <v>13911</v>
      </c>
      <c r="C14324" s="28" t="s">
        <v>52</v>
      </c>
      <c r="D14324" s="22" t="s">
        <v>16541</v>
      </c>
      <c r="E14324" s="22" t="s">
        <v>854</v>
      </c>
      <c r="F14324" s="23" t="str">
        <f>HYPERLINK("https://www.spark-marketing.ru/Card/Lot/68093028", "Выполнение корректировки проекта зоны санитарной охраны по объекту: ""Строительство эксплуатационной скважины № 4 на водозаборе по адресу: г. Липецк, пос. Северный Рудник, владение 24"".")</f>
        <v>Выполнение корректировки проекта зоны санитарной охраны по объекту: "Строительство эксплуатационной скважины № 4 на водозаборе по адресу: г. Липецк, пос. Северный Рудник, владение 24".</v>
      </c>
      <c r="G14324" s="22" t="s">
        <v>629</v>
      </c>
      <c r="H14324" s="22" t="s">
        <v>629</v>
      </c>
      <c r="I14324" s="26">
        <v>43515.649004629602</v>
      </c>
      <c r="J14324" s="23" t="str">
        <f>HYPERLINK("https://www.spark-marketing.ru/Card/Person/479639", "ООО ""РЕГИОНЭКОПРОЕКТ""")</f>
        <v>ООО "РЕГИОНЭКОПРОЕКТ"</v>
      </c>
      <c r="K14324" s="24" t="s">
        <v>16543</v>
      </c>
      <c r="L14324" s="28" t="s">
        <v>52</v>
      </c>
      <c r="M14324" s="25">
        <v>370000</v>
      </c>
      <c r="N14324" s="27">
        <v>0.16666666666666666</v>
      </c>
    </row>
    <row r="14325" spans="1:14" x14ac:dyDescent="0.15">
      <c r="A14325" s="23" t="str">
        <f>HYPERLINK("https://www.spark-marketing.ru/Card/Person/1312965", "МАУ ""КДЦ""")</f>
        <v>МАУ "КДЦ"</v>
      </c>
      <c r="B14325" s="24" t="s">
        <v>16544</v>
      </c>
      <c r="C14325" s="25">
        <v>913680</v>
      </c>
      <c r="D14325" s="22" t="s">
        <v>16545</v>
      </c>
      <c r="E14325" s="22" t="s">
        <v>6967</v>
      </c>
      <c r="F14325" s="23" t="str">
        <f>HYPERLINK("https://www.spark-marketing.ru/Card/Lot/68087801", "Оказание услуг по обеспечению контрольно-пропускного режима")</f>
        <v>Оказание услуг по обеспечению контрольно-пропускного режима</v>
      </c>
      <c r="G14325" s="22" t="s">
        <v>391</v>
      </c>
      <c r="H14325" s="22" t="s">
        <v>16546</v>
      </c>
      <c r="I14325" s="26">
        <v>43515.644039351799</v>
      </c>
      <c r="J14325" s="28" t="s">
        <v>52</v>
      </c>
      <c r="K14325" s="28" t="s">
        <v>52</v>
      </c>
      <c r="L14325" s="28" t="s">
        <v>52</v>
      </c>
      <c r="M14325" s="28" t="s">
        <v>52</v>
      </c>
      <c r="N14325" s="28" t="s">
        <v>52</v>
      </c>
    </row>
    <row r="14326" spans="1:14" x14ac:dyDescent="0.15">
      <c r="A14326" s="23" t="str">
        <f>HYPERLINK("https://www.spark-marketing.ru/Card/Person/60250", "МБДОУ Д/С № 6 ""РОДНИЧОК""")</f>
        <v>МБДОУ Д/С № 6 "РОДНИЧОК"</v>
      </c>
      <c r="B14326" s="24" t="s">
        <v>2955</v>
      </c>
      <c r="C14326" s="25">
        <v>66000</v>
      </c>
      <c r="D14326" s="22" t="s">
        <v>16547</v>
      </c>
      <c r="E14326" s="22" t="s">
        <v>294</v>
      </c>
      <c r="F14326" s="23" t="str">
        <f>HYPERLINK("https://www.spark-marketing.ru/Card/Lot/68092545", "Услуги по техническому обслуживанию аудио и видеотехники")</f>
        <v>Услуги по техническому обслуживанию аудио и видеотехники</v>
      </c>
      <c r="G14326" s="22" t="s">
        <v>50</v>
      </c>
      <c r="H14326" s="22" t="s">
        <v>2957</v>
      </c>
      <c r="I14326" s="26">
        <v>43515.628379629597</v>
      </c>
      <c r="J14326" s="28" t="s">
        <v>52</v>
      </c>
      <c r="K14326" s="28" t="s">
        <v>52</v>
      </c>
      <c r="L14326" s="28" t="s">
        <v>52</v>
      </c>
      <c r="M14326" s="28" t="s">
        <v>52</v>
      </c>
      <c r="N14326" s="28" t="s">
        <v>52</v>
      </c>
    </row>
    <row r="14327" spans="1:14" x14ac:dyDescent="0.15">
      <c r="A14327" s="23" t="str">
        <f>HYPERLINK("https://www.spark-marketing.ru/Card/Person/971733", "КГАУК ""ЦКС""")</f>
        <v>КГАУК "ЦКС"</v>
      </c>
      <c r="B14327" s="24" t="s">
        <v>8820</v>
      </c>
      <c r="C14327" s="25">
        <v>214000</v>
      </c>
      <c r="D14327" s="22" t="s">
        <v>16548</v>
      </c>
      <c r="E14327" s="22" t="s">
        <v>5214</v>
      </c>
      <c r="F14327" s="23" t="str">
        <f>HYPERLINK("https://www.spark-marketing.ru/Card/Lot/68078682", "Оказание услуг по предоставлению и техническому обслуживанию видеопроекционного оборудования в рамках проведения фестиваля народной культуры «Сибирская Масленица».")</f>
        <v>Оказание услуг по предоставлению и техническому обслуживанию видеопроекционного оборудования в рамках проведения фестиваля народной культуры «Сибирская Масленица».</v>
      </c>
      <c r="G14327" s="22" t="s">
        <v>640</v>
      </c>
      <c r="H14327" s="22" t="s">
        <v>640</v>
      </c>
      <c r="I14327" s="26">
        <v>43515.655868055597</v>
      </c>
      <c r="J14327" s="28" t="s">
        <v>52</v>
      </c>
      <c r="K14327" s="28" t="s">
        <v>52</v>
      </c>
      <c r="L14327" s="28" t="s">
        <v>52</v>
      </c>
      <c r="M14327" s="28" t="s">
        <v>52</v>
      </c>
      <c r="N14327" s="28" t="s">
        <v>52</v>
      </c>
    </row>
    <row r="14328" spans="1:14" x14ac:dyDescent="0.2">
      <c r="A14328" s="23" t="str">
        <f>HYPERLINK("https://www.spark-marketing.ru/Card/Person/4347461", "ГБУЗ ""ССМП Г. МАГНИТОГОРСК""")</f>
        <v>ГБУЗ "ССМП Г. МАГНИТОГОРСК"</v>
      </c>
      <c r="B14328" s="24" t="s">
        <v>16549</v>
      </c>
      <c r="C14328" s="25">
        <v>98294.3</v>
      </c>
      <c r="D14328" s="22" t="s">
        <v>16550</v>
      </c>
      <c r="E14328" s="22" t="s">
        <v>16551</v>
      </c>
      <c r="F14328" s="23" t="str">
        <f>HYPERLINK("https://www.spark-marketing.ru/Card/Lot/68085570", "Оказание услуг по установке и настройке системы видеонаблюдения, согласно техническому заданию")</f>
        <v>Оказание услуг по установке и настройке системы видеонаблюдения, согласно техническому заданию</v>
      </c>
      <c r="G14328" s="22" t="s">
        <v>60</v>
      </c>
      <c r="H14328" s="22" t="s">
        <v>60</v>
      </c>
      <c r="I14328" s="26">
        <v>43515.607650462996</v>
      </c>
      <c r="J14328" s="23" t="str">
        <f>HYPERLINK("https://www.spark-marketing.ru/Card/Person/853391", "ООО ""ДОМОФОНОФФ""")</f>
        <v>ООО "ДОМОФОНОФФ"</v>
      </c>
      <c r="K14328" s="24" t="s">
        <v>11340</v>
      </c>
      <c r="L14328" s="28" t="s">
        <v>52</v>
      </c>
      <c r="M14328" s="25">
        <v>82761.62</v>
      </c>
      <c r="N14328" s="27">
        <v>0.15802218439929885</v>
      </c>
    </row>
    <row r="14329" spans="1:14" x14ac:dyDescent="0.15">
      <c r="A14329" s="23" t="str">
        <f>HYPERLINK("https://www.spark-marketing.ru/Card/Person/4348315", "АО ""ГИРЕДМЕТ""")</f>
        <v>АО "ГИРЕДМЕТ"</v>
      </c>
      <c r="B14329" s="24" t="s">
        <v>16552</v>
      </c>
      <c r="C14329" s="25">
        <v>696000</v>
      </c>
      <c r="D14329" s="22" t="s">
        <v>16553</v>
      </c>
      <c r="E14329" s="22" t="s">
        <v>16554</v>
      </c>
      <c r="F14329" s="23" t="str">
        <f>HYPERLINK("https://www.spark-marketing.ru/Card/Lot/68103682", "Оказание услуг по техническому обслуживанию системы видеонаблюдения, охранной сигнализации, системы контроля и управления доступом")</f>
        <v>Оказание услуг по техническому обслуживанию системы видеонаблюдения, охранной сигнализации, системы контроля и управления доступом</v>
      </c>
      <c r="G14329" s="22" t="s">
        <v>55</v>
      </c>
      <c r="H14329" s="22" t="s">
        <v>55</v>
      </c>
      <c r="I14329" s="26">
        <v>43515.558368055601</v>
      </c>
      <c r="J14329" s="28" t="s">
        <v>52</v>
      </c>
      <c r="K14329" s="28" t="s">
        <v>52</v>
      </c>
      <c r="L14329" s="28" t="s">
        <v>52</v>
      </c>
      <c r="M14329" s="28" t="s">
        <v>52</v>
      </c>
      <c r="N14329" s="28" t="s">
        <v>52</v>
      </c>
    </row>
    <row r="14330" spans="1:14" x14ac:dyDescent="0.15">
      <c r="A14330" s="23" t="str">
        <f>HYPERLINK("https://www.spark-marketing.ru/Card/Person/4864023", "МБОУ СОШ № 32")</f>
        <v>МБОУ СОШ № 32</v>
      </c>
      <c r="B14330" s="24" t="s">
        <v>16555</v>
      </c>
      <c r="C14330" s="25">
        <v>99000</v>
      </c>
      <c r="D14330" s="22" t="s">
        <v>16556</v>
      </c>
      <c r="E14330" s="22" t="s">
        <v>294</v>
      </c>
      <c r="F14330" s="23" t="str">
        <f>HYPERLINK("https://www.spark-marketing.ru/Card/Lot/68086694", "ТО системы видеонаблюдения")</f>
        <v>ТО системы видеонаблюдения</v>
      </c>
      <c r="G14330" s="22" t="s">
        <v>50</v>
      </c>
      <c r="H14330" s="22" t="s">
        <v>2088</v>
      </c>
      <c r="I14330" s="26">
        <v>43515.576087963003</v>
      </c>
      <c r="J14330" s="28" t="s">
        <v>52</v>
      </c>
      <c r="K14330" s="28" t="s">
        <v>52</v>
      </c>
      <c r="L14330" s="28" t="s">
        <v>52</v>
      </c>
      <c r="M14330" s="28" t="s">
        <v>52</v>
      </c>
      <c r="N14330" s="28" t="s">
        <v>52</v>
      </c>
    </row>
    <row r="14331" spans="1:14" x14ac:dyDescent="0.15">
      <c r="A14331" s="23" t="str">
        <f>HYPERLINK("https://www.spark-marketing.ru/Card/Person/75710", "МБОУ ОДИНЦОВСКАЯ СОШ №8")</f>
        <v>МБОУ ОДИНЦОВСКАЯ СОШ №8</v>
      </c>
      <c r="B14331" s="24" t="s">
        <v>16557</v>
      </c>
      <c r="C14331" s="25">
        <v>36000</v>
      </c>
      <c r="D14331" s="22" t="s">
        <v>16558</v>
      </c>
      <c r="E14331" s="22" t="s">
        <v>294</v>
      </c>
      <c r="F14331" s="23" t="str">
        <f>HYPERLINK("https://www.spark-marketing.ru/Card/Lot/68079822", "Закупка в 2019 году услуг по обслуживанию видеодомофона для МБОУ Одинцовской СОШ №8")</f>
        <v>Закупка в 2019 году услуг по обслуживанию видеодомофона для МБОУ Одинцовской СОШ №8</v>
      </c>
      <c r="G14331" s="22" t="s">
        <v>50</v>
      </c>
      <c r="H14331" s="22" t="s">
        <v>1045</v>
      </c>
      <c r="I14331" s="26">
        <v>43515.523900462998</v>
      </c>
      <c r="J14331" s="28" t="s">
        <v>52</v>
      </c>
      <c r="K14331" s="28" t="s">
        <v>52</v>
      </c>
      <c r="L14331" s="28" t="s">
        <v>52</v>
      </c>
      <c r="M14331" s="28" t="s">
        <v>52</v>
      </c>
      <c r="N14331" s="28" t="s">
        <v>52</v>
      </c>
    </row>
    <row r="14332" spans="1:14" ht="12.75" x14ac:dyDescent="0.2">
      <c r="A14332" s="23" t="str">
        <f>HYPERLINK("https://www.spark-marketing.ru/Card/Person/193037", "АО ""ГАЗПРОМ ГАЗОРАСПРЕДЕЛЕНИЕ КРАСНОДАР""")</f>
        <v>АО "ГАЗПРОМ ГАЗОРАСПРЕДЕЛЕНИЕ КРАСНОДАР"</v>
      </c>
      <c r="B14332" s="24" t="s">
        <v>11069</v>
      </c>
      <c r="C14332" s="25">
        <v>119520</v>
      </c>
      <c r="D14332" s="22" t="s">
        <v>16559</v>
      </c>
      <c r="E14332" s="22" t="s">
        <v>1840</v>
      </c>
      <c r="F14332" s="23" t="str">
        <f>HYPERLINK("https://www.spark-marketing.ru/Card/Lot/68078909", "работа по техническому обслуживанию системы видеонаблюдения")</f>
        <v>работа по техническому обслуживанию системы видеонаблюдения</v>
      </c>
      <c r="G14332" s="22" t="s">
        <v>132</v>
      </c>
      <c r="H14332" s="22" t="s">
        <v>652</v>
      </c>
      <c r="I14332" s="26">
        <v>43515.482106481497</v>
      </c>
      <c r="J14332" s="23" t="str">
        <f>HYPERLINK("https://www.spark-marketing.ru/Card/Person/187974", "ООО ""ЮГЭЛЕКТРОПРОЕКТ""")</f>
        <v>ООО "ЮГЭЛЕКТРОПРОЕКТ"</v>
      </c>
      <c r="K14332" s="24" t="s">
        <v>14083</v>
      </c>
      <c r="L14332" s="22" t="s">
        <v>10</v>
      </c>
      <c r="M14332" s="25">
        <v>89400</v>
      </c>
      <c r="N14332" s="27">
        <v>0.25200803212851408</v>
      </c>
    </row>
    <row r="14333" spans="1:14" x14ac:dyDescent="0.15">
      <c r="A14333" s="23" t="str">
        <f>HYPERLINK("https://www.spark-marketing.ru/Card/Person/1083756", "МКУ ЦПО")</f>
        <v>МКУ ЦПО</v>
      </c>
      <c r="B14333" s="24" t="s">
        <v>16560</v>
      </c>
      <c r="C14333" s="25">
        <v>110000</v>
      </c>
      <c r="D14333" s="22" t="s">
        <v>16561</v>
      </c>
      <c r="E14333" s="22" t="s">
        <v>103</v>
      </c>
      <c r="F14333" s="23" t="str">
        <f>HYPERLINK("https://www.spark-marketing.ru/Card/Lot/68076886", "Оказание услуг по техническому обслуживанию систем видеонаблюдения")</f>
        <v>Оказание услуг по техническому обслуживанию систем видеонаблюдения</v>
      </c>
      <c r="G14333" s="22" t="s">
        <v>50</v>
      </c>
      <c r="H14333" s="22" t="s">
        <v>9386</v>
      </c>
      <c r="I14333" s="26">
        <v>43515.482245370396</v>
      </c>
      <c r="J14333" s="28" t="s">
        <v>52</v>
      </c>
      <c r="K14333" s="28" t="s">
        <v>52</v>
      </c>
      <c r="L14333" s="28" t="s">
        <v>52</v>
      </c>
      <c r="M14333" s="28" t="s">
        <v>52</v>
      </c>
      <c r="N14333" s="28" t="s">
        <v>52</v>
      </c>
    </row>
    <row r="14334" spans="1:14" x14ac:dyDescent="0.15">
      <c r="A14334" s="23" t="str">
        <f>HYPERLINK("https://www.spark-marketing.ru/Card/Person/59488", "МБОУ ""БОГОРОДСКАЯ ООШ""")</f>
        <v>МБОУ "БОГОРОДСКАЯ ООШ"</v>
      </c>
      <c r="B14334" s="24" t="s">
        <v>16562</v>
      </c>
      <c r="C14334" s="25">
        <v>16500</v>
      </c>
      <c r="D14334" s="22" t="s">
        <v>16563</v>
      </c>
      <c r="E14334" s="22" t="s">
        <v>103</v>
      </c>
      <c r="F14334" s="23" t="str">
        <f>HYPERLINK("https://www.spark-marketing.ru/Card/Lot/68076714", "Оказание услуги по техническому обслуживанию системы видеонаблюдения")</f>
        <v>Оказание услуги по техническому обслуживанию системы видеонаблюдения</v>
      </c>
      <c r="G14334" s="22" t="s">
        <v>50</v>
      </c>
      <c r="H14334" s="22" t="s">
        <v>1207</v>
      </c>
      <c r="I14334" s="26">
        <v>43515.461377314801</v>
      </c>
      <c r="J14334" s="28" t="s">
        <v>52</v>
      </c>
      <c r="K14334" s="28" t="s">
        <v>52</v>
      </c>
      <c r="L14334" s="28" t="s">
        <v>52</v>
      </c>
      <c r="M14334" s="28" t="s">
        <v>52</v>
      </c>
      <c r="N14334" s="28" t="s">
        <v>52</v>
      </c>
    </row>
    <row r="14335" spans="1:14" x14ac:dyDescent="0.15">
      <c r="A14335" s="23" t="str">
        <f>HYPERLINK("https://www.spark-marketing.ru/Card/Person/1012869", "МБУ ДО ""ДМШ № 1""")</f>
        <v>МБУ ДО "ДМШ № 1"</v>
      </c>
      <c r="B14335" s="24" t="s">
        <v>13057</v>
      </c>
      <c r="C14335" s="25">
        <v>19759.2</v>
      </c>
      <c r="D14335" s="22" t="s">
        <v>16564</v>
      </c>
      <c r="E14335" s="22" t="s">
        <v>84</v>
      </c>
      <c r="F14335" s="23" t="str">
        <f>HYPERLINK("https://www.spark-marketing.ru/Card/Lot/68076899", "Услуга по техническому обслуживанию комплекса технических средств охраны на объектах и технологическому обеспечению работоспособности оконечного устройства систем передачи извещений")</f>
        <v>Услуга по техническому обслуживанию комплекса технических средств охраны на объектах и технологическому обеспечению работоспособности оконечного устройства систем передачи извещений</v>
      </c>
      <c r="G14335" s="22" t="s">
        <v>50</v>
      </c>
      <c r="H14335" s="22" t="s">
        <v>946</v>
      </c>
      <c r="I14335" s="26">
        <v>43515.492581018501</v>
      </c>
      <c r="J14335" s="28" t="s">
        <v>52</v>
      </c>
      <c r="K14335" s="28" t="s">
        <v>52</v>
      </c>
      <c r="L14335" s="28" t="s">
        <v>52</v>
      </c>
      <c r="M14335" s="28" t="s">
        <v>52</v>
      </c>
      <c r="N14335" s="28" t="s">
        <v>52</v>
      </c>
    </row>
    <row r="14336" spans="1:14" x14ac:dyDescent="0.15">
      <c r="A14336" s="23" t="str">
        <f>HYPERLINK("https://www.spark-marketing.ru/Card/Person/1753294", "АО ""БЭСК""")</f>
        <v>АО "БЭСК"</v>
      </c>
      <c r="B14336" s="24" t="s">
        <v>16565</v>
      </c>
      <c r="C14336" s="25">
        <v>250000</v>
      </c>
      <c r="D14336" s="22" t="s">
        <v>16566</v>
      </c>
      <c r="E14336" s="22" t="s">
        <v>53</v>
      </c>
      <c r="F14336" s="23" t="str">
        <f>HYPERLINK("https://www.spark-marketing.ru/Card/Lot/68032197", "Техническое обслуживание видеокубов ""Mitsubishi"" ПО НЭС ООО ""Башкирэнерго""")</f>
        <v>Техническое обслуживание видеокубов "Mitsubishi" ПО НЭС ООО "Башкирэнерго"</v>
      </c>
      <c r="G14336" s="22" t="s">
        <v>100</v>
      </c>
      <c r="H14336" s="22" t="s">
        <v>100</v>
      </c>
      <c r="I14336" s="26">
        <v>43514.585416666698</v>
      </c>
      <c r="J14336" s="28" t="s">
        <v>52</v>
      </c>
      <c r="K14336" s="28" t="s">
        <v>52</v>
      </c>
      <c r="L14336" s="28" t="s">
        <v>52</v>
      </c>
      <c r="M14336" s="28" t="s">
        <v>52</v>
      </c>
      <c r="N14336" s="28" t="s">
        <v>52</v>
      </c>
    </row>
    <row r="14337" spans="1:14" x14ac:dyDescent="0.15">
      <c r="A14337" s="23" t="str">
        <f>HYPERLINK("https://www.spark-marketing.ru/Card/Person/59631", "МАУК КВК ""ЗНАМЕНСКОЕ-ГУБАЙЛОВО""")</f>
        <v>МАУК КВК "ЗНАМЕНСКОЕ-ГУБАЙЛОВО"</v>
      </c>
      <c r="B14337" s="24" t="s">
        <v>16567</v>
      </c>
      <c r="C14337" s="25">
        <v>75600</v>
      </c>
      <c r="D14337" s="22" t="s">
        <v>16568</v>
      </c>
      <c r="E14337" s="22" t="s">
        <v>103</v>
      </c>
      <c r="F14337" s="23" t="str">
        <f>HYPERLINK("https://www.spark-marketing.ru/Card/Lot/68061970", "Услуги по техническому обслуживанию системы видеонаблюдения")</f>
        <v>Услуги по техническому обслуживанию системы видеонаблюдения</v>
      </c>
      <c r="G14337" s="22" t="s">
        <v>50</v>
      </c>
      <c r="H14337" s="22" t="s">
        <v>267</v>
      </c>
      <c r="I14337" s="26">
        <v>43515.419687499998</v>
      </c>
      <c r="J14337" s="28" t="s">
        <v>52</v>
      </c>
      <c r="K14337" s="28" t="s">
        <v>52</v>
      </c>
      <c r="L14337" s="28" t="s">
        <v>52</v>
      </c>
      <c r="M14337" s="28" t="s">
        <v>52</v>
      </c>
      <c r="N14337" s="28" t="s">
        <v>52</v>
      </c>
    </row>
    <row r="14338" spans="1:14" x14ac:dyDescent="0.15">
      <c r="A14338" s="23" t="str">
        <f>HYPERLINK("https://www.spark-marketing.ru/Card/Person/113506", "МБУ ""ФСК ""КУПАВНА""")</f>
        <v>МБУ "ФСК "КУПАВНА"</v>
      </c>
      <c r="B14338" s="24" t="s">
        <v>13105</v>
      </c>
      <c r="C14338" s="25">
        <v>107520</v>
      </c>
      <c r="D14338" s="22" t="s">
        <v>16569</v>
      </c>
      <c r="E14338" s="22" t="s">
        <v>294</v>
      </c>
      <c r="F14338" s="23" t="str">
        <f>HYPERLINK("https://www.spark-marketing.ru/Card/Lot/68074280", "Техническое обслуживание системы видеонаблюдения")</f>
        <v>Техническое обслуживание системы видеонаблюдения</v>
      </c>
      <c r="G14338" s="22" t="s">
        <v>50</v>
      </c>
      <c r="H14338" s="22" t="s">
        <v>5744</v>
      </c>
      <c r="I14338" s="26">
        <v>43515.450937499998</v>
      </c>
      <c r="J14338" s="28" t="s">
        <v>52</v>
      </c>
      <c r="K14338" s="28" t="s">
        <v>52</v>
      </c>
      <c r="L14338" s="28" t="s">
        <v>52</v>
      </c>
      <c r="M14338" s="28" t="s">
        <v>52</v>
      </c>
      <c r="N14338" s="28" t="s">
        <v>52</v>
      </c>
    </row>
    <row r="14339" spans="1:14" x14ac:dyDescent="0.15">
      <c r="A14339" s="23" t="str">
        <f>HYPERLINK("https://www.spark-marketing.ru/Card/Person/4453931", "ООО ""РН-СНАБЖЕНИЕ-САМАРА""")</f>
        <v>ООО "РН-СНАБЖЕНИЕ-САМАРА"</v>
      </c>
      <c r="B14339" s="24" t="s">
        <v>16570</v>
      </c>
      <c r="C14339" s="28" t="s">
        <v>52</v>
      </c>
      <c r="D14339" s="22" t="s">
        <v>16571</v>
      </c>
      <c r="E14339" s="22" t="s">
        <v>49</v>
      </c>
      <c r="F14339" s="23" t="str">
        <f>HYPERLINK("https://www.spark-marketing.ru/Card/Lot/68059191", "Техническое обслуживание систем видеонаблюдения")</f>
        <v>Техническое обслуживание систем видеонаблюдения</v>
      </c>
      <c r="G14339" s="22" t="s">
        <v>760</v>
      </c>
      <c r="H14339" s="22" t="s">
        <v>1709</v>
      </c>
      <c r="I14339" s="26">
        <v>43515.335416666698</v>
      </c>
      <c r="J14339" s="28" t="s">
        <v>52</v>
      </c>
      <c r="K14339" s="28" t="s">
        <v>52</v>
      </c>
      <c r="L14339" s="28" t="s">
        <v>52</v>
      </c>
      <c r="M14339" s="28" t="s">
        <v>52</v>
      </c>
      <c r="N14339" s="28" t="s">
        <v>52</v>
      </c>
    </row>
    <row r="14340" spans="1:14" x14ac:dyDescent="0.15">
      <c r="A14340" s="23" t="str">
        <f>HYPERLINK("https://www.spark-marketing.ru/Card/Person/179175", "КГУП ""КАМЧАТСКИЙ ВОДОКАНАЛ""")</f>
        <v>КГУП "КАМЧАТСКИЙ ВОДОКАНАЛ"</v>
      </c>
      <c r="B14340" s="24" t="s">
        <v>16572</v>
      </c>
      <c r="C14340" s="25">
        <v>11929096.48</v>
      </c>
      <c r="D14340" s="22" t="s">
        <v>16573</v>
      </c>
      <c r="E14340" s="22" t="s">
        <v>13077</v>
      </c>
      <c r="F14340" s="23" t="str">
        <f>HYPERLINK("https://www.spark-marketing.ru/Card/Lot/68058150", "Поставка комплекта ограждения зон санитарной охраны объектов КГУП ""Камчатский водоканал""")</f>
        <v>Поставка комплекта ограждения зон санитарной охраны объектов КГУП "Камчатский водоканал"</v>
      </c>
      <c r="G14340" s="22" t="s">
        <v>1141</v>
      </c>
      <c r="H14340" s="22" t="s">
        <v>1141</v>
      </c>
      <c r="I14340" s="26">
        <v>43515</v>
      </c>
      <c r="J14340" s="28" t="s">
        <v>52</v>
      </c>
      <c r="K14340" s="28" t="s">
        <v>52</v>
      </c>
      <c r="L14340" s="28" t="s">
        <v>52</v>
      </c>
      <c r="M14340" s="28" t="s">
        <v>52</v>
      </c>
      <c r="N14340" s="28" t="s">
        <v>52</v>
      </c>
    </row>
    <row r="14341" spans="1:14" hidden="1" outlineLevel="1" x14ac:dyDescent="0.2">
      <c r="A14341" s="23" t="str">
        <f>HYPERLINK("https://www.spark-marketing.ru/Card/Person/179175", "КГУП ""КАМЧАТСКИЙ ВОДОКАНАЛ""")</f>
        <v>КГУП "КАМЧАТСКИЙ ВОДОКАНАЛ"</v>
      </c>
      <c r="B14341" s="24" t="s">
        <v>16572</v>
      </c>
      <c r="C14341" s="25">
        <v>11929096.48</v>
      </c>
      <c r="D14341" s="22" t="s">
        <v>16573</v>
      </c>
      <c r="E14341" s="22" t="s">
        <v>13077</v>
      </c>
      <c r="F14341" s="23" t="str">
        <f>HYPERLINK("https://www.spark-marketing.ru/Card/Lot/68058150", "Поставка комплекта ограждения зон санитарной охраны объектов КГУП ""Камчатский водоканал""")</f>
        <v>Поставка комплекта ограждения зон санитарной охраны объектов КГУП "Камчатский водоканал"</v>
      </c>
      <c r="G14341" s="22" t="s">
        <v>1141</v>
      </c>
      <c r="H14341" s="22" t="s">
        <v>1141</v>
      </c>
      <c r="I14341" s="26">
        <v>43515</v>
      </c>
      <c r="J14341" s="23" t="str">
        <f>HYPERLINK("https://www.spark-marketing.ru/Card/Person/1129799", "Зямбекова Александра Васильевна")</f>
        <v>Зямбекова Александра Васильевна</v>
      </c>
      <c r="K14341" s="24" t="s">
        <v>16574</v>
      </c>
      <c r="L14341" s="28" t="s">
        <v>52</v>
      </c>
      <c r="M14341" s="25">
        <v>10000000</v>
      </c>
      <c r="N14341" s="27">
        <v>0.16171354496413629</v>
      </c>
    </row>
    <row r="14342" spans="1:14" hidden="1" outlineLevel="1" x14ac:dyDescent="0.2">
      <c r="A14342" s="23" t="str">
        <f>HYPERLINK("https://www.spark-marketing.ru/Card/Person/179175", "КГУП ""КАМЧАТСКИЙ ВОДОКАНАЛ""")</f>
        <v>КГУП "КАМЧАТСКИЙ ВОДОКАНАЛ"</v>
      </c>
      <c r="B14342" s="24" t="s">
        <v>16572</v>
      </c>
      <c r="C14342" s="25">
        <v>11929096.48</v>
      </c>
      <c r="D14342" s="22" t="s">
        <v>16573</v>
      </c>
      <c r="E14342" s="22" t="s">
        <v>13077</v>
      </c>
      <c r="F14342" s="23" t="str">
        <f>HYPERLINK("https://www.spark-marketing.ru/Card/Lot/68058150", "Поставка комплекта ограждения зон санитарной охраны объектов КГУП ""Камчатский водоканал""")</f>
        <v>Поставка комплекта ограждения зон санитарной охраны объектов КГУП "Камчатский водоканал"</v>
      </c>
      <c r="G14342" s="22" t="s">
        <v>1141</v>
      </c>
      <c r="H14342" s="22" t="s">
        <v>1141</v>
      </c>
      <c r="I14342" s="26">
        <v>43515</v>
      </c>
      <c r="J14342" s="23" t="str">
        <f>HYPERLINK("https://www.spark-marketing.ru/Card/Person/502119", "ООО ""РУССКАЯ СТРАТЕГИЯ""")</f>
        <v>ООО "РУССКАЯ СТРАТЕГИЯ"</v>
      </c>
      <c r="K14342" s="24" t="s">
        <v>16575</v>
      </c>
      <c r="L14342" s="28" t="s">
        <v>52</v>
      </c>
      <c r="M14342" s="25">
        <v>10255477</v>
      </c>
      <c r="N14342" s="27">
        <v>0.14029725409681656</v>
      </c>
    </row>
    <row r="14343" spans="1:14" hidden="1" outlineLevel="1" x14ac:dyDescent="0.2">
      <c r="A14343" s="23" t="str">
        <f>HYPERLINK("https://www.spark-marketing.ru/Card/Person/179175", "КГУП ""КАМЧАТСКИЙ ВОДОКАНАЛ""")</f>
        <v>КГУП "КАМЧАТСКИЙ ВОДОКАНАЛ"</v>
      </c>
      <c r="B14343" s="24" t="s">
        <v>16572</v>
      </c>
      <c r="C14343" s="25">
        <v>11929096.48</v>
      </c>
      <c r="D14343" s="22" t="s">
        <v>16573</v>
      </c>
      <c r="E14343" s="22" t="s">
        <v>13077</v>
      </c>
      <c r="F14343" s="23" t="str">
        <f>HYPERLINK("https://www.spark-marketing.ru/Card/Lot/68058150", "Поставка комплекта ограждения зон санитарной охраны объектов КГУП ""Камчатский водоканал""")</f>
        <v>Поставка комплекта ограждения зон санитарной охраны объектов КГУП "Камчатский водоканал"</v>
      </c>
      <c r="G14343" s="22" t="s">
        <v>1141</v>
      </c>
      <c r="H14343" s="22" t="s">
        <v>1141</v>
      </c>
      <c r="I14343" s="26">
        <v>43515</v>
      </c>
      <c r="J14343" s="23" t="str">
        <f>HYPERLINK("https://www.spark-marketing.ru/Card/Person/2009430", "ООО ""ПРОСТОРГРУПП""")</f>
        <v>ООО "ПРОСТОРГРУПП"</v>
      </c>
      <c r="K14343" s="24" t="s">
        <v>16576</v>
      </c>
      <c r="L14343" s="28" t="s">
        <v>52</v>
      </c>
      <c r="M14343" s="25">
        <v>9059377.2699999996</v>
      </c>
      <c r="N14343" s="27">
        <v>0.24056467434992193</v>
      </c>
    </row>
    <row r="14344" spans="1:14" ht="12.75" hidden="1" outlineLevel="1" x14ac:dyDescent="0.2">
      <c r="A14344" s="23" t="str">
        <f>HYPERLINK("https://www.spark-marketing.ru/Card/Person/179175", "КГУП ""КАМЧАТСКИЙ ВОДОКАНАЛ""")</f>
        <v>КГУП "КАМЧАТСКИЙ ВОДОКАНАЛ"</v>
      </c>
      <c r="B14344" s="24" t="s">
        <v>16572</v>
      </c>
      <c r="C14344" s="25">
        <v>11929096.48</v>
      </c>
      <c r="D14344" s="22" t="s">
        <v>16573</v>
      </c>
      <c r="E14344" s="22" t="s">
        <v>13077</v>
      </c>
      <c r="F14344" s="23" t="str">
        <f>HYPERLINK("https://www.spark-marketing.ru/Card/Lot/68058150", "Поставка комплекта ограждения зон санитарной охраны объектов КГУП ""Камчатский водоканал""")</f>
        <v>Поставка комплекта ограждения зон санитарной охраны объектов КГУП "Камчатский водоканал"</v>
      </c>
      <c r="G14344" s="22" t="s">
        <v>1141</v>
      </c>
      <c r="H14344" s="22" t="s">
        <v>1141</v>
      </c>
      <c r="I14344" s="26">
        <v>43515</v>
      </c>
      <c r="J14344" s="23" t="str">
        <f>HYPERLINK("https://www.spark-marketing.ru/Card/Person/6218410", "ООО ""А-МЕГА""")</f>
        <v>ООО "А-МЕГА"</v>
      </c>
      <c r="K14344" s="24" t="s">
        <v>16577</v>
      </c>
      <c r="L14344" s="22" t="s">
        <v>10</v>
      </c>
      <c r="M14344" s="25">
        <v>9059377.2699999996</v>
      </c>
      <c r="N14344" s="27">
        <v>0.24056467434992193</v>
      </c>
    </row>
    <row r="14345" spans="1:14" x14ac:dyDescent="0.15">
      <c r="A14345" s="23" t="str">
        <f>HYPERLINK("https://www.spark-marketing.ru/Card/Person/33421", "МИ ФНС РОССИИ ПО КРУПНЕЙШИМ НАЛОГОПЛАТЕЛЬЩИКАМ № 5")</f>
        <v>МИ ФНС РОССИИ ПО КРУПНЕЙШИМ НАЛОГОПЛАТЕЛЬЩИКАМ № 5</v>
      </c>
      <c r="B14345" s="24" t="s">
        <v>6573</v>
      </c>
      <c r="C14345" s="25">
        <v>3000000</v>
      </c>
      <c r="D14345" s="22" t="s">
        <v>16578</v>
      </c>
      <c r="E14345" s="22" t="s">
        <v>68</v>
      </c>
      <c r="F14345" s="23" t="str">
        <f>HYPERLINK("https://www.spark-marketing.ru/Card/Lot/68093989", "Оказание услуг по физической охране зданий")</f>
        <v>Оказание услуг по физической охране зданий</v>
      </c>
      <c r="G14345" s="22" t="s">
        <v>55</v>
      </c>
      <c r="H14345" s="22" t="s">
        <v>55</v>
      </c>
      <c r="I14345" s="26">
        <v>43515</v>
      </c>
      <c r="J14345" s="28" t="s">
        <v>52</v>
      </c>
      <c r="K14345" s="28" t="s">
        <v>52</v>
      </c>
      <c r="L14345" s="28" t="s">
        <v>52</v>
      </c>
      <c r="M14345" s="28" t="s">
        <v>52</v>
      </c>
      <c r="N14345" s="28" t="s">
        <v>52</v>
      </c>
    </row>
    <row r="14346" spans="1:14" hidden="1" outlineLevel="1" x14ac:dyDescent="0.2">
      <c r="A14346" s="23" t="str">
        <f>HYPERLINK("https://www.spark-marketing.ru/Card/Person/33421", "МИ ФНС РОССИИ ПО КРУПНЕЙШИМ НАЛОГОПЛАТЕЛЬЩИКАМ № 5")</f>
        <v>МИ ФНС РОССИИ ПО КРУПНЕЙШИМ НАЛОГОПЛАТЕЛЬЩИКАМ № 5</v>
      </c>
      <c r="B14346" s="24" t="s">
        <v>6573</v>
      </c>
      <c r="C14346" s="25">
        <v>3000000</v>
      </c>
      <c r="D14346" s="22" t="s">
        <v>16578</v>
      </c>
      <c r="E14346" s="22" t="s">
        <v>68</v>
      </c>
      <c r="F14346" s="23" t="str">
        <f>HYPERLINK("https://www.spark-marketing.ru/Card/Lot/68093989", "Оказание услуг по физической охране зданий")</f>
        <v>Оказание услуг по физической охране зданий</v>
      </c>
      <c r="G14346" s="22" t="s">
        <v>55</v>
      </c>
      <c r="H14346" s="22" t="s">
        <v>55</v>
      </c>
      <c r="I14346" s="26">
        <v>43515</v>
      </c>
      <c r="J14346" s="23" t="str">
        <f>HYPERLINK("https://www.spark-marketing.ru/Card/Person/111246", "ООО ЧОП ""АМУЛЕТ""")</f>
        <v>ООО ЧОП "АМУЛЕТ"</v>
      </c>
      <c r="K14346" s="24" t="s">
        <v>16579</v>
      </c>
      <c r="L14346" s="28" t="s">
        <v>52</v>
      </c>
      <c r="M14346" s="25">
        <v>2370000</v>
      </c>
      <c r="N14346" s="27">
        <v>0.21</v>
      </c>
    </row>
    <row r="14347" spans="1:14" hidden="1" outlineLevel="1" x14ac:dyDescent="0.2">
      <c r="A14347" s="23" t="str">
        <f>HYPERLINK("https://www.spark-marketing.ru/Card/Person/33421", "МИ ФНС РОССИИ ПО КРУПНЕЙШИМ НАЛОГОПЛАТЕЛЬЩИКАМ № 5")</f>
        <v>МИ ФНС РОССИИ ПО КРУПНЕЙШИМ НАЛОГОПЛАТЕЛЬЩИКАМ № 5</v>
      </c>
      <c r="B14347" s="24" t="s">
        <v>6573</v>
      </c>
      <c r="C14347" s="25">
        <v>3000000</v>
      </c>
      <c r="D14347" s="22" t="s">
        <v>16578</v>
      </c>
      <c r="E14347" s="22" t="s">
        <v>68</v>
      </c>
      <c r="F14347" s="23" t="str">
        <f>HYPERLINK("https://www.spark-marketing.ru/Card/Lot/68093989", "Оказание услуг по физической охране зданий")</f>
        <v>Оказание услуг по физической охране зданий</v>
      </c>
      <c r="G14347" s="22" t="s">
        <v>55</v>
      </c>
      <c r="H14347" s="22" t="s">
        <v>55</v>
      </c>
      <c r="I14347" s="26">
        <v>43515</v>
      </c>
      <c r="J14347" s="23" t="str">
        <f>HYPERLINK("https://www.spark-marketing.ru/Card/Person/149191", "ООО ЧОО ""СОКОЛ""")</f>
        <v>ООО ЧОО "СОКОЛ"</v>
      </c>
      <c r="K14347" s="24" t="s">
        <v>16580</v>
      </c>
      <c r="L14347" s="28" t="s">
        <v>52</v>
      </c>
      <c r="M14347" s="25">
        <v>1725000</v>
      </c>
      <c r="N14347" s="27">
        <v>0.42499999999999999</v>
      </c>
    </row>
    <row r="14348" spans="1:14" hidden="1" outlineLevel="1" x14ac:dyDescent="0.2">
      <c r="A14348" s="23" t="str">
        <f>HYPERLINK("https://www.spark-marketing.ru/Card/Person/33421", "МИ ФНС РОССИИ ПО КРУПНЕЙШИМ НАЛОГОПЛАТЕЛЬЩИКАМ № 5")</f>
        <v>МИ ФНС РОССИИ ПО КРУПНЕЙШИМ НАЛОГОПЛАТЕЛЬЩИКАМ № 5</v>
      </c>
      <c r="B14348" s="24" t="s">
        <v>6573</v>
      </c>
      <c r="C14348" s="25">
        <v>3000000</v>
      </c>
      <c r="D14348" s="22" t="s">
        <v>16578</v>
      </c>
      <c r="E14348" s="22" t="s">
        <v>68</v>
      </c>
      <c r="F14348" s="23" t="str">
        <f>HYPERLINK("https://www.spark-marketing.ru/Card/Lot/68093989", "Оказание услуг по физической охране зданий")</f>
        <v>Оказание услуг по физической охране зданий</v>
      </c>
      <c r="G14348" s="22" t="s">
        <v>55</v>
      </c>
      <c r="H14348" s="22" t="s">
        <v>55</v>
      </c>
      <c r="I14348" s="26">
        <v>43515</v>
      </c>
      <c r="J14348" s="23" t="str">
        <f>HYPERLINK("https://www.spark-marketing.ru/Card/Person/1935590", "ООО ЧОП ""СИГМА-ПРОФИ""")</f>
        <v>ООО ЧОП "СИГМА-ПРОФИ"</v>
      </c>
      <c r="K14348" s="24" t="s">
        <v>16581</v>
      </c>
      <c r="L14348" s="28" t="s">
        <v>52</v>
      </c>
      <c r="M14348" s="25">
        <v>2985000</v>
      </c>
      <c r="N14348" s="27">
        <v>5.0000000000000001E-3</v>
      </c>
    </row>
    <row r="14349" spans="1:14" ht="12.75" hidden="1" outlineLevel="1" x14ac:dyDescent="0.2">
      <c r="A14349" s="23" t="str">
        <f>HYPERLINK("https://www.spark-marketing.ru/Card/Person/33421", "МИ ФНС РОССИИ ПО КРУПНЕЙШИМ НАЛОГОПЛАТЕЛЬЩИКАМ № 5")</f>
        <v>МИ ФНС РОССИИ ПО КРУПНЕЙШИМ НАЛОГОПЛАТЕЛЬЩИКАМ № 5</v>
      </c>
      <c r="B14349" s="24" t="s">
        <v>6573</v>
      </c>
      <c r="C14349" s="25">
        <v>3000000</v>
      </c>
      <c r="D14349" s="22" t="s">
        <v>16578</v>
      </c>
      <c r="E14349" s="22" t="s">
        <v>68</v>
      </c>
      <c r="F14349" s="23" t="str">
        <f>HYPERLINK("https://www.spark-marketing.ru/Card/Lot/68093989", "Оказание услуг по физической охране зданий")</f>
        <v>Оказание услуг по физической охране зданий</v>
      </c>
      <c r="G14349" s="22" t="s">
        <v>55</v>
      </c>
      <c r="H14349" s="22" t="s">
        <v>55</v>
      </c>
      <c r="I14349" s="26">
        <v>43515</v>
      </c>
      <c r="J14349" s="23" t="str">
        <f>HYPERLINK("https://www.spark-marketing.ru/Card/Person/5871103", "ООО ЧОП ""ОСБ""")</f>
        <v>ООО ЧОП "ОСБ"</v>
      </c>
      <c r="K14349" s="24" t="s">
        <v>6579</v>
      </c>
      <c r="L14349" s="22" t="s">
        <v>10</v>
      </c>
      <c r="M14349" s="25">
        <v>1710000</v>
      </c>
      <c r="N14349" s="27">
        <v>0.43</v>
      </c>
    </row>
    <row r="14350" spans="1:14" x14ac:dyDescent="0.15">
      <c r="A14350" s="23" t="str">
        <f>HYPERLINK("https://www.spark-marketing.ru/Card/Person/132073", "МБОУ ГИМНАЗИЯ № 4")</f>
        <v>МБОУ ГИМНАЗИЯ № 4</v>
      </c>
      <c r="B14350" s="24" t="s">
        <v>16582</v>
      </c>
      <c r="C14350" s="25">
        <v>484500</v>
      </c>
      <c r="D14350" s="22" t="s">
        <v>16583</v>
      </c>
      <c r="E14350" s="22" t="s">
        <v>84</v>
      </c>
      <c r="F14350" s="23" t="str">
        <f>HYPERLINK("https://www.spark-marketing.ru/Card/Lot/68088403", "Оказание услуг по замене и техническому обслуживанию камер системы видеонаблюдения в пунктах приема экзаменов (ППЭ)")</f>
        <v>Оказание услуг по замене и техническому обслуживанию камер системы видеонаблюдения в пунктах приема экзаменов (ППЭ)</v>
      </c>
      <c r="G14350" s="22" t="s">
        <v>50</v>
      </c>
      <c r="H14350" s="22" t="s">
        <v>7244</v>
      </c>
      <c r="I14350" s="26">
        <v>43515</v>
      </c>
      <c r="J14350" s="28" t="s">
        <v>52</v>
      </c>
      <c r="K14350" s="28" t="s">
        <v>52</v>
      </c>
      <c r="L14350" s="28" t="s">
        <v>52</v>
      </c>
      <c r="M14350" s="28" t="s">
        <v>52</v>
      </c>
      <c r="N14350" s="28" t="s">
        <v>52</v>
      </c>
    </row>
    <row r="14351" spans="1:14" ht="12.75" hidden="1" outlineLevel="1" x14ac:dyDescent="0.2">
      <c r="A14351" s="23" t="str">
        <f>HYPERLINK("https://www.spark-marketing.ru/Card/Person/132073", "МБОУ ГИМНАЗИЯ № 4")</f>
        <v>МБОУ ГИМНАЗИЯ № 4</v>
      </c>
      <c r="B14351" s="24" t="s">
        <v>16582</v>
      </c>
      <c r="C14351" s="25">
        <v>484500</v>
      </c>
      <c r="D14351" s="22" t="s">
        <v>16583</v>
      </c>
      <c r="E14351" s="22" t="s">
        <v>84</v>
      </c>
      <c r="F14351" s="23" t="str">
        <f>HYPERLINK("https://www.spark-marketing.ru/Card/Lot/68088403", "Оказание услуг по замене и техническому обслуживанию камер системы видеонаблюдения в пунктах приема экзаменов (ППЭ)")</f>
        <v>Оказание услуг по замене и техническому обслуживанию камер системы видеонаблюдения в пунктах приема экзаменов (ППЭ)</v>
      </c>
      <c r="G14351" s="22" t="s">
        <v>50</v>
      </c>
      <c r="H14351" s="22" t="s">
        <v>7244</v>
      </c>
      <c r="I14351" s="26">
        <v>43515</v>
      </c>
      <c r="J14351" s="23" t="str">
        <f>HYPERLINK("https://www.spark-marketing.ru/Card/Person/4856010", "ООО ""СФЕРА БЕЗОПАСНОСТИ""")</f>
        <v>ООО "СФЕРА БЕЗОПАСНОСТИ"</v>
      </c>
      <c r="K14351" s="24" t="s">
        <v>13278</v>
      </c>
      <c r="L14351" s="22" t="s">
        <v>10</v>
      </c>
      <c r="M14351" s="25">
        <v>479655</v>
      </c>
      <c r="N14351" s="27">
        <v>0.01</v>
      </c>
    </row>
    <row r="14352" spans="1:14" hidden="1" outlineLevel="1" x14ac:dyDescent="0.2">
      <c r="A14352" s="23" t="str">
        <f>HYPERLINK("https://www.spark-marketing.ru/Card/Person/132073", "МБОУ ГИМНАЗИЯ № 4")</f>
        <v>МБОУ ГИМНАЗИЯ № 4</v>
      </c>
      <c r="B14352" s="24" t="s">
        <v>16582</v>
      </c>
      <c r="C14352" s="25">
        <v>484500</v>
      </c>
      <c r="D14352" s="22" t="s">
        <v>16583</v>
      </c>
      <c r="E14352" s="22" t="s">
        <v>84</v>
      </c>
      <c r="F14352" s="23" t="str">
        <f>HYPERLINK("https://www.spark-marketing.ru/Card/Lot/68088403", "Оказание услуг по замене и техническому обслуживанию камер системы видеонаблюдения в пунктах приема экзаменов (ППЭ)")</f>
        <v>Оказание услуг по замене и техническому обслуживанию камер системы видеонаблюдения в пунктах приема экзаменов (ППЭ)</v>
      </c>
      <c r="G14352" s="22" t="s">
        <v>50</v>
      </c>
      <c r="H14352" s="22" t="s">
        <v>7244</v>
      </c>
      <c r="I14352" s="26">
        <v>43515</v>
      </c>
      <c r="J14352" s="23" t="str">
        <f>HYPERLINK("https://www.spark-marketing.ru/Card/Person/76451", "ООО ""БИС""")</f>
        <v>ООО "БИС"</v>
      </c>
      <c r="K14352" s="24" t="s">
        <v>6528</v>
      </c>
      <c r="L14352" s="28" t="s">
        <v>52</v>
      </c>
      <c r="M14352" s="25">
        <v>482077.5</v>
      </c>
      <c r="N14352" s="27">
        <v>5.0000000000000001E-3</v>
      </c>
    </row>
    <row r="14353" spans="1:14" x14ac:dyDescent="0.15">
      <c r="A14353" s="23" t="str">
        <f>HYPERLINK("https://www.spark-marketing.ru/Card/Person/62077", "ГАУЗ КО ""ПРОКОПЬЕВСКАЯ ГБ №1""")</f>
        <v>ГАУЗ КО "ПРОКОПЬЕВСКАЯ ГБ №1"</v>
      </c>
      <c r="B14353" s="24" t="s">
        <v>16584</v>
      </c>
      <c r="C14353" s="25">
        <v>92400</v>
      </c>
      <c r="D14353" s="22" t="s">
        <v>16585</v>
      </c>
      <c r="E14353" s="22" t="s">
        <v>68</v>
      </c>
      <c r="F14353" s="23" t="str">
        <f>HYPERLINK("https://www.spark-marketing.ru/Card/Lot/68083975", "Оказание услуг по охране объектов, оборудованных кнопками тревожной сигнализации")</f>
        <v>Оказание услуг по охране объектов, оборудованных кнопками тревожной сигнализации</v>
      </c>
      <c r="G14353" s="22" t="s">
        <v>367</v>
      </c>
      <c r="H14353" s="22" t="s">
        <v>5300</v>
      </c>
      <c r="I14353" s="26">
        <v>43515</v>
      </c>
      <c r="J14353" s="23" t="str">
        <f>HYPERLINK("https://www.spark-marketing.ru/Card/Person/5939675", "ООО ЧОО ""ВИТЯЗЬ""")</f>
        <v>ООО ЧОО "ВИТЯЗЬ"</v>
      </c>
      <c r="K14353" s="24" t="s">
        <v>13503</v>
      </c>
      <c r="L14353" s="22" t="s">
        <v>10</v>
      </c>
      <c r="M14353" s="28" t="s">
        <v>52</v>
      </c>
      <c r="N14353" s="28" t="s">
        <v>52</v>
      </c>
    </row>
    <row r="14354" spans="1:14" x14ac:dyDescent="0.15">
      <c r="A14354" s="23" t="str">
        <f>HYPERLINK("https://www.spark-marketing.ru/Card/Person/61087", "БУ ОО ""МФЦ""")</f>
        <v>БУ ОО "МФЦ"</v>
      </c>
      <c r="B14354" s="24" t="s">
        <v>8488</v>
      </c>
      <c r="C14354" s="25">
        <v>487600.02</v>
      </c>
      <c r="D14354" s="22" t="s">
        <v>16586</v>
      </c>
      <c r="E14354" s="22" t="s">
        <v>68</v>
      </c>
      <c r="F14354" s="23" t="str">
        <f>HYPERLINK("https://www.spark-marketing.ru/Card/Lot/68074779", "Охрана помещений Многофункционального центра предоставления государственных и муниципальных услуг (далее - МФЦ), имущества находящегося по адресу: г. Орел, ул. Ленина, д. 1, а так же находящегося автомобильного транспорта на прилегающей территории, о...")</f>
        <v>Охрана помещений Многофункционального центра предоставления государственных и муниципальных услуг (далее - МФЦ), имущества находящегося по адресу: г. Орел, ул. Ленина, д. 1, а так же находящегося автомобильного транспорта на прилегающей территории, о...</v>
      </c>
      <c r="G14354" s="22" t="s">
        <v>492</v>
      </c>
      <c r="H14354" s="22" t="s">
        <v>5024</v>
      </c>
      <c r="I14354" s="26">
        <v>43515</v>
      </c>
      <c r="J14354" s="28" t="s">
        <v>52</v>
      </c>
      <c r="K14354" s="28" t="s">
        <v>52</v>
      </c>
      <c r="L14354" s="28" t="s">
        <v>52</v>
      </c>
      <c r="M14354" s="28" t="s">
        <v>52</v>
      </c>
      <c r="N14354" s="28" t="s">
        <v>52</v>
      </c>
    </row>
    <row r="14355" spans="1:14" hidden="1" outlineLevel="1" x14ac:dyDescent="0.2">
      <c r="A14355" s="23" t="str">
        <f>HYPERLINK("https://www.spark-marketing.ru/Card/Person/61087", "БУ ОО ""МФЦ""")</f>
        <v>БУ ОО "МФЦ"</v>
      </c>
      <c r="B14355" s="24" t="s">
        <v>8488</v>
      </c>
      <c r="C14355" s="25">
        <v>487600.02</v>
      </c>
      <c r="D14355" s="22" t="s">
        <v>16586</v>
      </c>
      <c r="E14355" s="22" t="s">
        <v>68</v>
      </c>
      <c r="F14355" s="23" t="str">
        <f>HYPERLINK("https://www.spark-marketing.ru/Card/Lot/68074779", "Охрана помещений Многофункционального центра предоставления государственных и муниципальных услуг (далее - МФЦ), имущества находящегося по адресу: г. Орел, ул. Ленина, д. 1, а так же находящегося автомобильного транспорта на прилегающей территории, о...")</f>
        <v>Охрана помещений Многофункционального центра предоставления государственных и муниципальных услуг (далее - МФЦ), имущества находящегося по адресу: г. Орел, ул. Ленина, д. 1, а так же находящегося автомобильного транспорта на прилегающей территории, о...</v>
      </c>
      <c r="G14355" s="22" t="s">
        <v>492</v>
      </c>
      <c r="H14355" s="22" t="s">
        <v>5024</v>
      </c>
      <c r="I14355" s="26">
        <v>43515</v>
      </c>
      <c r="J14355" s="23" t="str">
        <f>HYPERLINK("https://www.spark-marketing.ru/Card/Person/5857754", "ООО ЧОО ""ЛЕВ""")</f>
        <v>ООО ЧОО "ЛЕВ"</v>
      </c>
      <c r="K14355" s="24" t="s">
        <v>4328</v>
      </c>
      <c r="L14355" s="28" t="s">
        <v>52</v>
      </c>
      <c r="M14355" s="25">
        <v>472968.99</v>
      </c>
      <c r="N14355" s="27">
        <v>3.0006212879154517E-2</v>
      </c>
    </row>
    <row r="14356" spans="1:14" ht="12.75" hidden="1" outlineLevel="1" x14ac:dyDescent="0.2">
      <c r="A14356" s="23" t="str">
        <f>HYPERLINK("https://www.spark-marketing.ru/Card/Person/61087", "БУ ОО ""МФЦ""")</f>
        <v>БУ ОО "МФЦ"</v>
      </c>
      <c r="B14356" s="24" t="s">
        <v>8488</v>
      </c>
      <c r="C14356" s="25">
        <v>487600.02</v>
      </c>
      <c r="D14356" s="22" t="s">
        <v>16586</v>
      </c>
      <c r="E14356" s="22" t="s">
        <v>68</v>
      </c>
      <c r="F14356" s="23" t="str">
        <f>HYPERLINK("https://www.spark-marketing.ru/Card/Lot/68074779", "Охрана помещений Многофункционального центра предоставления государственных и муниципальных услуг (далее - МФЦ), имущества находящегося по адресу: г. Орел, ул. Ленина, д. 1, а так же находящегося автомобильного транспорта на прилегающей территории, о...")</f>
        <v>Охрана помещений Многофункционального центра предоставления государственных и муниципальных услуг (далее - МФЦ), имущества находящегося по адресу: г. Орел, ул. Ленина, д. 1, а так же находящегося автомобильного транспорта на прилегающей территории, о...</v>
      </c>
      <c r="G14356" s="22" t="s">
        <v>492</v>
      </c>
      <c r="H14356" s="22" t="s">
        <v>5024</v>
      </c>
      <c r="I14356" s="26">
        <v>43515</v>
      </c>
      <c r="J14356" s="23" t="str">
        <f>HYPERLINK("https://www.spark-marketing.ru/Card/Person/16862", "ООО ЧОО ""ЕСАУЛ-ОРЕЛ""")</f>
        <v>ООО ЧОО "ЕСАУЛ-ОРЕЛ"</v>
      </c>
      <c r="K14356" s="24" t="s">
        <v>16587</v>
      </c>
      <c r="L14356" s="22" t="s">
        <v>10</v>
      </c>
      <c r="M14356" s="25">
        <v>242620</v>
      </c>
      <c r="N14356" s="27">
        <v>0.50242003681624137</v>
      </c>
    </row>
    <row r="14357" spans="1:14" hidden="1" outlineLevel="1" x14ac:dyDescent="0.2">
      <c r="A14357" s="23" t="str">
        <f>HYPERLINK("https://www.spark-marketing.ru/Card/Person/61087", "БУ ОО ""МФЦ""")</f>
        <v>БУ ОО "МФЦ"</v>
      </c>
      <c r="B14357" s="24" t="s">
        <v>8488</v>
      </c>
      <c r="C14357" s="25">
        <v>487600.02</v>
      </c>
      <c r="D14357" s="22" t="s">
        <v>16586</v>
      </c>
      <c r="E14357" s="22" t="s">
        <v>68</v>
      </c>
      <c r="F14357" s="23" t="str">
        <f>HYPERLINK("https://www.spark-marketing.ru/Card/Lot/68074779", "Охрана помещений Многофункционального центра предоставления государственных и муниципальных услуг (далее - МФЦ), имущества находящегося по адресу: г. Орел, ул. Ленина, д. 1, а так же находящегося автомобильного транспорта на прилегающей территории, о...")</f>
        <v>Охрана помещений Многофункционального центра предоставления государственных и муниципальных услуг (далее - МФЦ), имущества находящегося по адресу: г. Орел, ул. Ленина, д. 1, а так же находящегося автомобильного транспорта на прилегающей территории, о...</v>
      </c>
      <c r="G14357" s="22" t="s">
        <v>492</v>
      </c>
      <c r="H14357" s="22" t="s">
        <v>5024</v>
      </c>
      <c r="I14357" s="26">
        <v>43515</v>
      </c>
      <c r="J14357" s="23" t="str">
        <f>HYPERLINK("https://www.spark-marketing.ru/Card/Person/1404531", "ООО ЧОО ""РУСЬ""")</f>
        <v>ООО ЧОО "РУСЬ"</v>
      </c>
      <c r="K14357" s="24" t="s">
        <v>8490</v>
      </c>
      <c r="L14357" s="28" t="s">
        <v>52</v>
      </c>
      <c r="M14357" s="25">
        <v>264000</v>
      </c>
      <c r="N14357" s="27">
        <v>0.4585726227000565</v>
      </c>
    </row>
    <row r="14358" spans="1:14" x14ac:dyDescent="0.15">
      <c r="A14358" s="23" t="str">
        <f>HYPERLINK("https://www.spark-marketing.ru/Card/Person/4345935", "ДЕПАРТАМЕНТ СМОЛЕНСКОЙ ОБЛАСТИ ПО ЗДРАВООХРАНЕНИЮ")</f>
        <v>ДЕПАРТАМЕНТ СМОЛЕНСКОЙ ОБЛАСТИ ПО ЗДРАВООХРАНЕНИЮ</v>
      </c>
      <c r="B14358" s="24" t="s">
        <v>1449</v>
      </c>
      <c r="C14358" s="25">
        <v>5846850</v>
      </c>
      <c r="D14358" s="22" t="s">
        <v>16588</v>
      </c>
      <c r="E14358" s="22" t="s">
        <v>53</v>
      </c>
      <c r="F14358" s="23" t="str">
        <f>HYPERLINK("https://www.spark-marketing.ru/Card/Lot/68062172", "№0372 - аэф/т Поставка лекарственных препаратов (Инсулин детемир)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f>
        <v>№0372 - аэф/т Поставка лекарственных препаратов (Инсулин детемир)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v>
      </c>
      <c r="G14358" s="22" t="s">
        <v>956</v>
      </c>
      <c r="H14358" s="22" t="s">
        <v>1451</v>
      </c>
      <c r="I14358" s="26">
        <v>43515</v>
      </c>
      <c r="J14358" s="28" t="s">
        <v>52</v>
      </c>
      <c r="K14358" s="28" t="s">
        <v>52</v>
      </c>
      <c r="L14358" s="28" t="s">
        <v>52</v>
      </c>
      <c r="M14358" s="28" t="s">
        <v>52</v>
      </c>
      <c r="N14358" s="28" t="s">
        <v>52</v>
      </c>
    </row>
    <row r="14359" spans="1:14" x14ac:dyDescent="0.15">
      <c r="A14359" s="23" t="str">
        <f>HYPERLINK("https://www.spark-marketing.ru/Card/Person/4343740", "МИНЗДРАВ РОССИИ")</f>
        <v>МИНЗДРАВ РОССИИ</v>
      </c>
      <c r="B14359" s="24" t="s">
        <v>1666</v>
      </c>
      <c r="C14359" s="25">
        <v>915582096</v>
      </c>
      <c r="D14359" s="22" t="s">
        <v>16589</v>
      </c>
      <c r="E14359" s="22" t="s">
        <v>53</v>
      </c>
      <c r="F14359" s="23" t="str">
        <f>HYPERLINK("https://www.spark-marketing.ru/Card/Lot/68099489", "Идурсульфаза, концентрат для приготовления раствора для инфузий, 2 мг/мл, 3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f>
        <v>Идурсульфаза, концентрат для приготовления раствора для инфузий, 2 мг/мл, 3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v>
      </c>
      <c r="G14359" s="22" t="s">
        <v>428</v>
      </c>
      <c r="H14359" s="22" t="s">
        <v>429</v>
      </c>
      <c r="I14359" s="26">
        <v>43515</v>
      </c>
      <c r="J14359" s="23" t="str">
        <f>HYPERLINK("https://www.spark-marketing.ru/Card/Person/129611", "АО ""ФАРМИМЭКС""")</f>
        <v>АО "ФАРМИМЭКС"</v>
      </c>
      <c r="K14359" s="24" t="s">
        <v>9536</v>
      </c>
      <c r="L14359" s="22" t="s">
        <v>10</v>
      </c>
      <c r="M14359" s="28" t="s">
        <v>52</v>
      </c>
      <c r="N14359" s="28" t="s">
        <v>52</v>
      </c>
    </row>
    <row r="14360" spans="1:14" x14ac:dyDescent="0.15">
      <c r="A14360" s="23" t="str">
        <f>HYPERLINK("https://www.spark-marketing.ru/Card/Person/998340", "ОГКУ ЦЗН ГОРОДА СТРЕЖЕВОГО")</f>
        <v>ОГКУ ЦЗН ГОРОДА СТРЕЖЕВОГО</v>
      </c>
      <c r="B14360" s="24" t="s">
        <v>16590</v>
      </c>
      <c r="C14360" s="25">
        <v>100000</v>
      </c>
      <c r="D14360" s="22" t="s">
        <v>16591</v>
      </c>
      <c r="E14360" s="22" t="s">
        <v>68</v>
      </c>
      <c r="F14360" s="23" t="str">
        <f>HYPERLINK("https://www.spark-marketing.ru/Card/Lot/68085534", "оказание услуг по централизованной охране недвижимого имущества расположенного по адресу: Томская область, город Стрежевой, улица Строителей, д.59, пом.216")</f>
        <v>оказание услуг по централизованной охране недвижимого имущества расположенного по адресу: Томская область, город Стрежевой, улица Строителей, д.59, пом.216</v>
      </c>
      <c r="G14360" s="22" t="s">
        <v>150</v>
      </c>
      <c r="H14360" s="22" t="s">
        <v>4855</v>
      </c>
      <c r="I14360" s="26">
        <v>43515</v>
      </c>
      <c r="J14360" s="28" t="s">
        <v>52</v>
      </c>
      <c r="K14360" s="28" t="s">
        <v>52</v>
      </c>
      <c r="L14360" s="28" t="s">
        <v>52</v>
      </c>
      <c r="M14360" s="28" t="s">
        <v>52</v>
      </c>
      <c r="N14360" s="28" t="s">
        <v>52</v>
      </c>
    </row>
    <row r="14361" spans="1:14" ht="12.75" hidden="1" outlineLevel="1" x14ac:dyDescent="0.2">
      <c r="A14361" s="23" t="str">
        <f>HYPERLINK("https://www.spark-marketing.ru/Card/Person/998340", "ОГКУ ЦЗН ГОРОДА СТРЕЖЕВОГО")</f>
        <v>ОГКУ ЦЗН ГОРОДА СТРЕЖЕВОГО</v>
      </c>
      <c r="B14361" s="24" t="s">
        <v>16590</v>
      </c>
      <c r="C14361" s="25">
        <v>100000</v>
      </c>
      <c r="D14361" s="22" t="s">
        <v>16591</v>
      </c>
      <c r="E14361" s="22" t="s">
        <v>68</v>
      </c>
      <c r="F14361" s="23" t="str">
        <f>HYPERLINK("https://www.spark-marketing.ru/Card/Lot/68085534", "оказание услуг по централизованной охране недвижимого имущества расположенного по адресу: Томская область, город Стрежевой, улица Строителей, д.59, пом.216")</f>
        <v>оказание услуг по централизованной охране недвижимого имущества расположенного по адресу: Томская область, город Стрежевой, улица Строителей, д.59, пом.216</v>
      </c>
      <c r="G14361" s="22" t="s">
        <v>150</v>
      </c>
      <c r="H14361" s="22" t="s">
        <v>4855</v>
      </c>
      <c r="I14361" s="26">
        <v>43515</v>
      </c>
      <c r="J14361" s="23" t="str">
        <f>HYPERLINK("https://www.spark-marketing.ru/Card/Person/66466", "ООО ""ЧОП ""АРГУС-ТОМСК""")</f>
        <v>ООО "ЧОП "АРГУС-ТОМСК"</v>
      </c>
      <c r="K14361" s="24" t="s">
        <v>8639</v>
      </c>
      <c r="L14361" s="22" t="s">
        <v>10</v>
      </c>
      <c r="M14361" s="25">
        <v>22500</v>
      </c>
      <c r="N14361" s="27">
        <v>0.77500000000000002</v>
      </c>
    </row>
    <row r="14362" spans="1:14" hidden="1" outlineLevel="1" x14ac:dyDescent="0.2">
      <c r="A14362" s="23" t="str">
        <f>HYPERLINK("https://www.spark-marketing.ru/Card/Person/998340", "ОГКУ ЦЗН ГОРОДА СТРЕЖЕВОГО")</f>
        <v>ОГКУ ЦЗН ГОРОДА СТРЕЖЕВОГО</v>
      </c>
      <c r="B14362" s="24" t="s">
        <v>16590</v>
      </c>
      <c r="C14362" s="25">
        <v>100000</v>
      </c>
      <c r="D14362" s="22" t="s">
        <v>16591</v>
      </c>
      <c r="E14362" s="22" t="s">
        <v>68</v>
      </c>
      <c r="F14362" s="23" t="str">
        <f>HYPERLINK("https://www.spark-marketing.ru/Card/Lot/68085534", "оказание услуг по централизованной охране недвижимого имущества расположенного по адресу: Томская область, город Стрежевой, улица Строителей, д.59, пом.216")</f>
        <v>оказание услуг по централизованной охране недвижимого имущества расположенного по адресу: Томская область, город Стрежевой, улица Строителей, д.59, пом.216</v>
      </c>
      <c r="G14362" s="22" t="s">
        <v>150</v>
      </c>
      <c r="H14362" s="22" t="s">
        <v>4855</v>
      </c>
      <c r="I14362" s="26">
        <v>43515</v>
      </c>
      <c r="J14362" s="23" t="str">
        <f>HYPERLINK("https://www.spark-marketing.ru/Card/Person/690700", "ООО ЧОО ""СМАРТЕХ СЕКЬЮРИТИ""")</f>
        <v>ООО ЧОО "СМАРТЕХ СЕКЬЮРИТИ"</v>
      </c>
      <c r="K14362" s="24" t="s">
        <v>16592</v>
      </c>
      <c r="L14362" s="28" t="s">
        <v>52</v>
      </c>
      <c r="M14362" s="25">
        <v>23000</v>
      </c>
      <c r="N14362" s="27">
        <v>0.77</v>
      </c>
    </row>
    <row r="14363" spans="1:14" x14ac:dyDescent="0.15">
      <c r="A14363" s="23" t="str">
        <f>HYPERLINK("https://www.spark-marketing.ru/Card/Person/13821", "ДЕПАРТАМЕНТ КОНКУРСОВ И АУКЦИОНОВ ИВАНОВСКОЙ ОБЛАСТИ")</f>
        <v>ДЕПАРТАМЕНТ КОНКУРСОВ И АУКЦИОНОВ ИВАНОВСКОЙ ОБЛАСТИ</v>
      </c>
      <c r="B14363" s="24" t="s">
        <v>16593</v>
      </c>
      <c r="C14363" s="25">
        <v>250200</v>
      </c>
      <c r="D14363" s="22" t="s">
        <v>16594</v>
      </c>
      <c r="E14363" s="22" t="s">
        <v>52</v>
      </c>
      <c r="F14363" s="23" t="str">
        <f>HYPERLINK("https://www.spark-marketing.ru/Card/Lot/68091711", "Услуги по осуществлению пропускного режима в здание Департамента конкурсов и аукционов Ивановской области")</f>
        <v>Услуги по осуществлению пропускного режима в здание Департамента конкурсов и аукционов Ивановской области</v>
      </c>
      <c r="G14363" s="22" t="s">
        <v>340</v>
      </c>
      <c r="H14363" s="22" t="s">
        <v>1030</v>
      </c>
      <c r="I14363" s="26">
        <v>43515</v>
      </c>
      <c r="J14363" s="23" t="str">
        <f>HYPERLINK("https://www.spark-marketing.ru/Card/Person/335095", "ООО ОП ""ГЕФЕСТ""")</f>
        <v>ООО ОП "ГЕФЕСТ"</v>
      </c>
      <c r="K14363" s="24" t="s">
        <v>5960</v>
      </c>
      <c r="L14363" s="28" t="s">
        <v>52</v>
      </c>
      <c r="M14363" s="28" t="s">
        <v>52</v>
      </c>
      <c r="N14363" s="28" t="s">
        <v>52</v>
      </c>
    </row>
    <row r="14364" spans="1:14" ht="12.75" hidden="1" outlineLevel="1" x14ac:dyDescent="0.2">
      <c r="A14364" s="23" t="str">
        <f>HYPERLINK("https://www.spark-marketing.ru/Card/Person/13821", "ДЕПАРТАМЕНТ КОНКУРСОВ И АУКЦИОНОВ ИВАНОВСКОЙ ОБЛАСТИ")</f>
        <v>ДЕПАРТАМЕНТ КОНКУРСОВ И АУКЦИОНОВ ИВАНОВСКОЙ ОБЛАСТИ</v>
      </c>
      <c r="B14364" s="24" t="s">
        <v>16593</v>
      </c>
      <c r="C14364" s="25">
        <v>250200</v>
      </c>
      <c r="D14364" s="22" t="s">
        <v>16594</v>
      </c>
      <c r="E14364" s="22" t="s">
        <v>52</v>
      </c>
      <c r="F14364" s="23" t="str">
        <f>HYPERLINK("https://www.spark-marketing.ru/Card/Lot/68091711", "Услуги по осуществлению пропускного режима в здание Департамента конкурсов и аукционов Ивановской области")</f>
        <v>Услуги по осуществлению пропускного режима в здание Департамента конкурсов и аукционов Ивановской области</v>
      </c>
      <c r="G14364" s="22" t="s">
        <v>340</v>
      </c>
      <c r="H14364" s="22" t="s">
        <v>1030</v>
      </c>
      <c r="I14364" s="26">
        <v>43515</v>
      </c>
      <c r="J14364" s="23" t="str">
        <f>HYPERLINK("https://www.spark-marketing.ru/Card/Person/335095", "ООО ОП ""ГЕФЕСТ""")</f>
        <v>ООО ОП "ГЕФЕСТ"</v>
      </c>
      <c r="K14364" s="24" t="s">
        <v>5960</v>
      </c>
      <c r="L14364" s="22" t="s">
        <v>10</v>
      </c>
      <c r="M14364" s="25">
        <v>248949</v>
      </c>
      <c r="N14364" s="27">
        <v>5.0000000000000001E-3</v>
      </c>
    </row>
    <row r="14365" spans="1:14" x14ac:dyDescent="0.15">
      <c r="A14365" s="23" t="str">
        <f>HYPERLINK("https://www.spark-marketing.ru/Card/Person/38138", "ГКУ РС (Я) ""ЦРО МИНЭКОЛОГИИ РС (Я)""")</f>
        <v>ГКУ РС (Я) "ЦРО МИНЭКОЛОГИИ РС (Я)"</v>
      </c>
      <c r="B14365" s="24" t="s">
        <v>16595</v>
      </c>
      <c r="C14365" s="25">
        <v>28274.400000000001</v>
      </c>
      <c r="D14365" s="22" t="s">
        <v>16596</v>
      </c>
      <c r="E14365" s="22" t="s">
        <v>4127</v>
      </c>
      <c r="F14365" s="23" t="str">
        <f>HYPERLINK("https://www.spark-marketing.ru/Card/Lot/68057686", "услуги по содержанию имущества")</f>
        <v>услуги по содержанию имущества</v>
      </c>
      <c r="G14365" s="22" t="s">
        <v>424</v>
      </c>
      <c r="H14365" s="22" t="s">
        <v>1186</v>
      </c>
      <c r="I14365" s="26">
        <v>43515</v>
      </c>
      <c r="J14365" s="28" t="s">
        <v>52</v>
      </c>
      <c r="K14365" s="28" t="s">
        <v>52</v>
      </c>
      <c r="L14365" s="28" t="s">
        <v>52</v>
      </c>
      <c r="M14365" s="28" t="s">
        <v>52</v>
      </c>
      <c r="N14365" s="28" t="s">
        <v>52</v>
      </c>
    </row>
    <row r="14366" spans="1:14" x14ac:dyDescent="0.15">
      <c r="A14366" s="23" t="str">
        <f>HYPERLINK("https://www.spark-marketing.ru/Card/Person/622", "ГБУЗ ""НИИ - ККБ № 1""")</f>
        <v>ГБУЗ "НИИ - ККБ № 1"</v>
      </c>
      <c r="B14366" s="24" t="s">
        <v>16597</v>
      </c>
      <c r="C14366" s="25">
        <v>431218.34</v>
      </c>
      <c r="D14366" s="22" t="s">
        <v>16598</v>
      </c>
      <c r="E14366" s="22" t="s">
        <v>68</v>
      </c>
      <c r="F14366" s="23" t="str">
        <f>HYPERLINK("https://www.spark-marketing.ru/Card/Lot/68077540", "Охранные услуги")</f>
        <v>Охранные услуги</v>
      </c>
      <c r="G14366" s="22" t="s">
        <v>132</v>
      </c>
      <c r="H14366" s="22" t="s">
        <v>652</v>
      </c>
      <c r="I14366" s="26">
        <v>43515</v>
      </c>
      <c r="J14366" s="28" t="s">
        <v>52</v>
      </c>
      <c r="K14366" s="28" t="s">
        <v>52</v>
      </c>
      <c r="L14366" s="28" t="s">
        <v>52</v>
      </c>
      <c r="M14366" s="28" t="s">
        <v>52</v>
      </c>
      <c r="N14366" s="28" t="s">
        <v>52</v>
      </c>
    </row>
    <row r="14367" spans="1:14" x14ac:dyDescent="0.15">
      <c r="A14367" s="23" t="str">
        <f>HYPERLINK("https://www.spark-marketing.ru/Card/Person/4343740", "МИНЗДРАВ РОССИИ")</f>
        <v>МИНЗДРАВ РОССИИ</v>
      </c>
      <c r="B14367" s="24" t="s">
        <v>1666</v>
      </c>
      <c r="C14367" s="25">
        <v>988126081.25</v>
      </c>
      <c r="D14367" s="22" t="s">
        <v>16599</v>
      </c>
      <c r="E14367" s="22" t="s">
        <v>53</v>
      </c>
      <c r="F14367" s="23" t="str">
        <f>HYPERLINK("https://www.spark-marketing.ru/Card/Lot/68097440", "Пэгинтерферон бета-1а, раствор для подкожного введения, 125 мкг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f>
        <v>Пэгинтерферон бета-1а, раствор для подкожного введения, 125 мкг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v>
      </c>
      <c r="G14367" s="22" t="s">
        <v>428</v>
      </c>
      <c r="H14367" s="22" t="s">
        <v>429</v>
      </c>
      <c r="I14367" s="26">
        <v>43515</v>
      </c>
      <c r="J14367" s="23" t="str">
        <f>HYPERLINK("https://www.spark-marketing.ru/Card/Person/42069", "АО ""ФАРМСТАНДАРТ""")</f>
        <v>АО "ФАРМСТАНДАРТ"</v>
      </c>
      <c r="K14367" s="24" t="s">
        <v>1668</v>
      </c>
      <c r="L14367" s="22" t="s">
        <v>10</v>
      </c>
      <c r="M14367" s="28" t="s">
        <v>52</v>
      </c>
      <c r="N14367" s="28" t="s">
        <v>52</v>
      </c>
    </row>
    <row r="14368" spans="1:14" x14ac:dyDescent="0.15">
      <c r="A14368" s="23" t="str">
        <f>HYPERLINK("https://www.spark-marketing.ru/Card/Person/88263", "МБУ ""ФСК ""ФОРТУНА""")</f>
        <v>МБУ "ФСК "ФОРТУНА"</v>
      </c>
      <c r="B14368" s="24" t="s">
        <v>16600</v>
      </c>
      <c r="C14368" s="25">
        <v>106200</v>
      </c>
      <c r="D14368" s="22" t="s">
        <v>16601</v>
      </c>
      <c r="E14368" s="22" t="s">
        <v>103</v>
      </c>
      <c r="F14368" s="23" t="str">
        <f>HYPERLINK("https://www.spark-marketing.ru/Card/Lot/68060746", "оказание услуг по техническому обслуживанию системы видеонаблюдения")</f>
        <v>оказание услуг по техническому обслуживанию системы видеонаблюдения</v>
      </c>
      <c r="G14368" s="22" t="s">
        <v>311</v>
      </c>
      <c r="H14368" s="22" t="s">
        <v>7350</v>
      </c>
      <c r="I14368" s="26">
        <v>43515</v>
      </c>
      <c r="J14368" s="28" t="s">
        <v>52</v>
      </c>
      <c r="K14368" s="28" t="s">
        <v>52</v>
      </c>
      <c r="L14368" s="28" t="s">
        <v>52</v>
      </c>
      <c r="M14368" s="28" t="s">
        <v>52</v>
      </c>
      <c r="N14368" s="28" t="s">
        <v>52</v>
      </c>
    </row>
    <row r="14369" spans="1:14" hidden="1" outlineLevel="1" x14ac:dyDescent="0.2">
      <c r="A14369" s="23" t="str">
        <f>HYPERLINK("https://www.spark-marketing.ru/Card/Person/88263", "МБУ ""ФСК ""ФОРТУНА""")</f>
        <v>МБУ "ФСК "ФОРТУНА"</v>
      </c>
      <c r="B14369" s="24" t="s">
        <v>16600</v>
      </c>
      <c r="C14369" s="25">
        <v>106200</v>
      </c>
      <c r="D14369" s="22" t="s">
        <v>16601</v>
      </c>
      <c r="E14369" s="22" t="s">
        <v>103</v>
      </c>
      <c r="F14369" s="23" t="str">
        <f>HYPERLINK("https://www.spark-marketing.ru/Card/Lot/68060746", "оказание услуг по техническому обслуживанию системы видеонаблюдения")</f>
        <v>оказание услуг по техническому обслуживанию системы видеонаблюдения</v>
      </c>
      <c r="G14369" s="22" t="s">
        <v>311</v>
      </c>
      <c r="H14369" s="22" t="s">
        <v>7350</v>
      </c>
      <c r="I14369" s="26">
        <v>43515</v>
      </c>
      <c r="J14369" s="23" t="str">
        <f>HYPERLINK("https://www.spark-marketing.ru/Card/Person/973950", "ООО ""ЭЛЕКТРОСВЯЗЬМОНТАЖ""")</f>
        <v>ООО "ЭЛЕКТРОСВЯЗЬМОНТАЖ"</v>
      </c>
      <c r="K14369" s="24" t="s">
        <v>7353</v>
      </c>
      <c r="L14369" s="28" t="s">
        <v>52</v>
      </c>
      <c r="M14369" s="25">
        <v>81243</v>
      </c>
      <c r="N14369" s="27">
        <v>0.23499999999999999</v>
      </c>
    </row>
    <row r="14370" spans="1:14" hidden="1" outlineLevel="1" x14ac:dyDescent="0.2">
      <c r="A14370" s="23" t="str">
        <f>HYPERLINK("https://www.spark-marketing.ru/Card/Person/88263", "МБУ ""ФСК ""ФОРТУНА""")</f>
        <v>МБУ "ФСК "ФОРТУНА"</v>
      </c>
      <c r="B14370" s="24" t="s">
        <v>16600</v>
      </c>
      <c r="C14370" s="25">
        <v>106200</v>
      </c>
      <c r="D14370" s="22" t="s">
        <v>16601</v>
      </c>
      <c r="E14370" s="22" t="s">
        <v>103</v>
      </c>
      <c r="F14370" s="23" t="str">
        <f>HYPERLINK("https://www.spark-marketing.ru/Card/Lot/68060746", "оказание услуг по техническому обслуживанию системы видеонаблюдения")</f>
        <v>оказание услуг по техническому обслуживанию системы видеонаблюдения</v>
      </c>
      <c r="G14370" s="22" t="s">
        <v>311</v>
      </c>
      <c r="H14370" s="22" t="s">
        <v>7350</v>
      </c>
      <c r="I14370" s="26">
        <v>43515</v>
      </c>
      <c r="J14370" s="23" t="str">
        <f>HYPERLINK("https://www.spark-marketing.ru/Card/Person/4353746", "ООО ""ЯМАЛПОЖБЕЗОПАСНОСТЬ""")</f>
        <v>ООО "ЯМАЛПОЖБЕЗОПАСНОСТЬ"</v>
      </c>
      <c r="K14370" s="24" t="s">
        <v>7354</v>
      </c>
      <c r="L14370" s="28" t="s">
        <v>52</v>
      </c>
      <c r="M14370" s="25">
        <v>60003</v>
      </c>
      <c r="N14370" s="27">
        <v>0.435</v>
      </c>
    </row>
    <row r="14371" spans="1:14" ht="12.75" hidden="1" outlineLevel="1" x14ac:dyDescent="0.2">
      <c r="A14371" s="23" t="str">
        <f>HYPERLINK("https://www.spark-marketing.ru/Card/Person/88263", "МБУ ""ФСК ""ФОРТУНА""")</f>
        <v>МБУ "ФСК "ФОРТУНА"</v>
      </c>
      <c r="B14371" s="24" t="s">
        <v>16600</v>
      </c>
      <c r="C14371" s="25">
        <v>106200</v>
      </c>
      <c r="D14371" s="22" t="s">
        <v>16601</v>
      </c>
      <c r="E14371" s="22" t="s">
        <v>103</v>
      </c>
      <c r="F14371" s="23" t="str">
        <f>HYPERLINK("https://www.spark-marketing.ru/Card/Lot/68060746", "оказание услуг по техническому обслуживанию системы видеонаблюдения")</f>
        <v>оказание услуг по техническому обслуживанию системы видеонаблюдения</v>
      </c>
      <c r="G14371" s="22" t="s">
        <v>311</v>
      </c>
      <c r="H14371" s="22" t="s">
        <v>7350</v>
      </c>
      <c r="I14371" s="26">
        <v>43515</v>
      </c>
      <c r="J14371" s="23" t="str">
        <f>HYPERLINK("https://www.spark-marketing.ru/Card/Person/569617", "ООО ""АТЛАС""")</f>
        <v>ООО "АТЛАС"</v>
      </c>
      <c r="K14371" s="24" t="s">
        <v>16602</v>
      </c>
      <c r="L14371" s="22" t="s">
        <v>10</v>
      </c>
      <c r="M14371" s="25">
        <v>59472</v>
      </c>
      <c r="N14371" s="27">
        <v>0.44</v>
      </c>
    </row>
    <row r="14372" spans="1:14" x14ac:dyDescent="0.15">
      <c r="A14372" s="23" t="str">
        <f>HYPERLINK("https://www.spark-marketing.ru/Card/Person/116729", "ГБУЗ ""ПСКОВСКАЯ СТАНЦИЯ СКОРОЙ МЕДИЦИНСКОЙ ПОМОЩИ""")</f>
        <v>ГБУЗ "ПСКОВСКАЯ СТАНЦИЯ СКОРОЙ МЕДИЦИНСКОЙ ПОМОЩИ"</v>
      </c>
      <c r="B14372" s="24" t="s">
        <v>16603</v>
      </c>
      <c r="C14372" s="25">
        <v>149024.38</v>
      </c>
      <c r="D14372" s="22" t="s">
        <v>16604</v>
      </c>
      <c r="E14372" s="22" t="s">
        <v>508</v>
      </c>
      <c r="F14372" s="23" t="str">
        <f>HYPERLINK("https://www.spark-marketing.ru/Card/Lot/68063574", "Поставка терминалов Глонасс и комплектующих (идентификационный номер: 400-А-ГЗ-Л)")</f>
        <v>Поставка терминалов Глонасс и комплектующих (идентификационный номер: 400-А-ГЗ-Л)</v>
      </c>
      <c r="G14372" s="22" t="s">
        <v>142</v>
      </c>
      <c r="H14372" s="22" t="s">
        <v>2320</v>
      </c>
      <c r="I14372" s="26">
        <v>43515</v>
      </c>
      <c r="J14372" s="28" t="s">
        <v>52</v>
      </c>
      <c r="K14372" s="28" t="s">
        <v>52</v>
      </c>
      <c r="L14372" s="28" t="s">
        <v>52</v>
      </c>
      <c r="M14372" s="28" t="s">
        <v>52</v>
      </c>
      <c r="N14372" s="28" t="s">
        <v>52</v>
      </c>
    </row>
    <row r="14373" spans="1:14" hidden="1" outlineLevel="1" x14ac:dyDescent="0.2">
      <c r="A14373" s="23" t="str">
        <f>HYPERLINK("https://www.spark-marketing.ru/Card/Person/116729", "ГБУЗ ""ПСКОВСКАЯ СТАНЦИЯ СКОРОЙ МЕДИЦИНСКОЙ ПОМОЩИ""")</f>
        <v>ГБУЗ "ПСКОВСКАЯ СТАНЦИЯ СКОРОЙ МЕДИЦИНСКОЙ ПОМОЩИ"</v>
      </c>
      <c r="B14373" s="24" t="s">
        <v>16603</v>
      </c>
      <c r="C14373" s="25">
        <v>149024.38</v>
      </c>
      <c r="D14373" s="22" t="s">
        <v>16604</v>
      </c>
      <c r="E14373" s="22" t="s">
        <v>508</v>
      </c>
      <c r="F14373" s="23" t="str">
        <f>HYPERLINK("https://www.spark-marketing.ru/Card/Lot/68063574", "Поставка терминалов Глонасс и комплектующих (идентификационный номер: 400-А-ГЗ-Л)")</f>
        <v>Поставка терминалов Глонасс и комплектующих (идентификационный номер: 400-А-ГЗ-Л)</v>
      </c>
      <c r="G14373" s="22" t="s">
        <v>142</v>
      </c>
      <c r="H14373" s="22" t="s">
        <v>2320</v>
      </c>
      <c r="I14373" s="26">
        <v>43515</v>
      </c>
      <c r="J14373" s="23" t="str">
        <f>HYPERLINK("https://www.spark-marketing.ru/Card/Person/5913817", "ООО ""ГИГ""")</f>
        <v>ООО "ГИГ"</v>
      </c>
      <c r="K14373" s="24" t="s">
        <v>3177</v>
      </c>
      <c r="L14373" s="28" t="s">
        <v>52</v>
      </c>
      <c r="M14373" s="25">
        <v>139337.82</v>
      </c>
      <c r="N14373" s="27">
        <v>6.4999834255307753E-2</v>
      </c>
    </row>
    <row r="14374" spans="1:14" ht="12.75" hidden="1" outlineLevel="1" x14ac:dyDescent="0.2">
      <c r="A14374" s="23" t="str">
        <f>HYPERLINK("https://www.spark-marketing.ru/Card/Person/116729", "ГБУЗ ""ПСКОВСКАЯ СТАНЦИЯ СКОРОЙ МЕДИЦИНСКОЙ ПОМОЩИ""")</f>
        <v>ГБУЗ "ПСКОВСКАЯ СТАНЦИЯ СКОРОЙ МЕДИЦИНСКОЙ ПОМОЩИ"</v>
      </c>
      <c r="B14374" s="24" t="s">
        <v>16603</v>
      </c>
      <c r="C14374" s="25">
        <v>149024.38</v>
      </c>
      <c r="D14374" s="22" t="s">
        <v>16604</v>
      </c>
      <c r="E14374" s="22" t="s">
        <v>508</v>
      </c>
      <c r="F14374" s="23" t="str">
        <f>HYPERLINK("https://www.spark-marketing.ru/Card/Lot/68063574", "Поставка терминалов Глонасс и комплектующих (идентификационный номер: 400-А-ГЗ-Л)")</f>
        <v>Поставка терминалов Глонасс и комплектующих (идентификационный номер: 400-А-ГЗ-Л)</v>
      </c>
      <c r="G14374" s="22" t="s">
        <v>142</v>
      </c>
      <c r="H14374" s="22" t="s">
        <v>2320</v>
      </c>
      <c r="I14374" s="26">
        <v>43515</v>
      </c>
      <c r="J14374" s="23" t="str">
        <f>HYPERLINK("https://www.spark-marketing.ru/Card/Person/6426763", "Терентьева Алёна Сергеевна")</f>
        <v>Терентьева Алёна Сергеевна</v>
      </c>
      <c r="K14374" s="24" t="s">
        <v>16605</v>
      </c>
      <c r="L14374" s="22" t="s">
        <v>10</v>
      </c>
      <c r="M14374" s="25">
        <v>138592.70000000001</v>
      </c>
      <c r="N14374" s="27">
        <v>6.9999821505716042E-2</v>
      </c>
    </row>
    <row r="14375" spans="1:14" x14ac:dyDescent="0.15">
      <c r="A14375" s="23" t="str">
        <f>HYPERLINK("https://www.spark-marketing.ru/Card/Person/86874", "УПРАВА РАЙОНА ЯСЕНЕВО ГОРОДА МОСКВЫ")</f>
        <v>УПРАВА РАЙОНА ЯСЕНЕВО ГОРОДА МОСКВЫ</v>
      </c>
      <c r="B14375" s="24" t="s">
        <v>16606</v>
      </c>
      <c r="C14375" s="25">
        <v>100000</v>
      </c>
      <c r="D14375" s="22" t="s">
        <v>16607</v>
      </c>
      <c r="E14375" s="22" t="s">
        <v>103</v>
      </c>
      <c r="F14375" s="23" t="str">
        <f>HYPERLINK("https://www.spark-marketing.ru/Card/Lot/68058762", "Оказание услуг по пультовой охране, мониторингу и реагированию на сигналы тревожной сигнализации в 2019 году")</f>
        <v>Оказание услуг по пультовой охране, мониторингу и реагированию на сигналы тревожной сигнализации в 2019 году</v>
      </c>
      <c r="G14375" s="22" t="s">
        <v>55</v>
      </c>
      <c r="H14375" s="22" t="s">
        <v>55</v>
      </c>
      <c r="I14375" s="26">
        <v>43515</v>
      </c>
      <c r="J14375" s="28" t="s">
        <v>52</v>
      </c>
      <c r="K14375" s="28" t="s">
        <v>52</v>
      </c>
      <c r="L14375" s="28" t="s">
        <v>52</v>
      </c>
      <c r="M14375" s="28" t="s">
        <v>52</v>
      </c>
      <c r="N14375" s="28" t="s">
        <v>52</v>
      </c>
    </row>
    <row r="14376" spans="1:14" hidden="1" outlineLevel="1" x14ac:dyDescent="0.2">
      <c r="A14376" s="23" t="str">
        <f>HYPERLINK("https://www.spark-marketing.ru/Card/Person/86874", "УПРАВА РАЙОНА ЯСЕНЕВО ГОРОДА МОСКВЫ")</f>
        <v>УПРАВА РАЙОНА ЯСЕНЕВО ГОРОДА МОСКВЫ</v>
      </c>
      <c r="B14376" s="24" t="s">
        <v>16606</v>
      </c>
      <c r="C14376" s="25">
        <v>100000</v>
      </c>
      <c r="D14376" s="22" t="s">
        <v>16607</v>
      </c>
      <c r="E14376" s="22" t="s">
        <v>103</v>
      </c>
      <c r="F14376" s="23" t="str">
        <f>HYPERLINK("https://www.spark-marketing.ru/Card/Lot/68058762", "Оказание услуг по пультовой охране, мониторингу и реагированию на сигналы тревожной сигнализации в 2019 году")</f>
        <v>Оказание услуг по пультовой охране, мониторингу и реагированию на сигналы тревожной сигнализации в 2019 году</v>
      </c>
      <c r="G14376" s="22" t="s">
        <v>55</v>
      </c>
      <c r="H14376" s="22" t="s">
        <v>55</v>
      </c>
      <c r="I14376" s="26">
        <v>43515</v>
      </c>
      <c r="J14376" s="23" t="str">
        <f>HYPERLINK("https://www.spark-marketing.ru/Card/Person/110346", "ООО ЧОП ""ГАРАНТ-БЕЗОПАСНОСТЬ""")</f>
        <v>ООО ЧОП "ГАРАНТ-БЕЗОПАСНОСТЬ"</v>
      </c>
      <c r="K14376" s="24" t="s">
        <v>16608</v>
      </c>
      <c r="L14376" s="28" t="s">
        <v>52</v>
      </c>
      <c r="M14376" s="25">
        <v>70000</v>
      </c>
      <c r="N14376" s="27">
        <v>0.3</v>
      </c>
    </row>
    <row r="14377" spans="1:14" hidden="1" outlineLevel="1" x14ac:dyDescent="0.2">
      <c r="A14377" s="23" t="str">
        <f>HYPERLINK("https://www.spark-marketing.ru/Card/Person/86874", "УПРАВА РАЙОНА ЯСЕНЕВО ГОРОДА МОСКВЫ")</f>
        <v>УПРАВА РАЙОНА ЯСЕНЕВО ГОРОДА МОСКВЫ</v>
      </c>
      <c r="B14377" s="24" t="s">
        <v>16606</v>
      </c>
      <c r="C14377" s="25">
        <v>100000</v>
      </c>
      <c r="D14377" s="22" t="s">
        <v>16607</v>
      </c>
      <c r="E14377" s="22" t="s">
        <v>103</v>
      </c>
      <c r="F14377" s="23" t="str">
        <f>HYPERLINK("https://www.spark-marketing.ru/Card/Lot/68058762", "Оказание услуг по пультовой охране, мониторингу и реагированию на сигналы тревожной сигнализации в 2019 году")</f>
        <v>Оказание услуг по пультовой охране, мониторингу и реагированию на сигналы тревожной сигнализации в 2019 году</v>
      </c>
      <c r="G14377" s="22" t="s">
        <v>55</v>
      </c>
      <c r="H14377" s="22" t="s">
        <v>55</v>
      </c>
      <c r="I14377" s="26">
        <v>43515</v>
      </c>
      <c r="J14377" s="23" t="str">
        <f>HYPERLINK("https://www.spark-marketing.ru/Card/Person/4567443", "ООО ЧОО ""ОНИКС""")</f>
        <v>ООО ЧОО "ОНИКС"</v>
      </c>
      <c r="K14377" s="24" t="s">
        <v>16370</v>
      </c>
      <c r="L14377" s="28" t="s">
        <v>52</v>
      </c>
      <c r="M14377" s="25">
        <v>76000</v>
      </c>
      <c r="N14377" s="27">
        <v>0.24</v>
      </c>
    </row>
    <row r="14378" spans="1:14" ht="12.75" hidden="1" outlineLevel="1" x14ac:dyDescent="0.2">
      <c r="A14378" s="23" t="str">
        <f>HYPERLINK("https://www.spark-marketing.ru/Card/Person/86874", "УПРАВА РАЙОНА ЯСЕНЕВО ГОРОДА МОСКВЫ")</f>
        <v>УПРАВА РАЙОНА ЯСЕНЕВО ГОРОДА МОСКВЫ</v>
      </c>
      <c r="B14378" s="24" t="s">
        <v>16606</v>
      </c>
      <c r="C14378" s="25">
        <v>100000</v>
      </c>
      <c r="D14378" s="22" t="s">
        <v>16607</v>
      </c>
      <c r="E14378" s="22" t="s">
        <v>103</v>
      </c>
      <c r="F14378" s="23" t="str">
        <f>HYPERLINK("https://www.spark-marketing.ru/Card/Lot/68058762", "Оказание услуг по пультовой охране, мониторингу и реагированию на сигналы тревожной сигнализации в 2019 году")</f>
        <v>Оказание услуг по пультовой охране, мониторингу и реагированию на сигналы тревожной сигнализации в 2019 году</v>
      </c>
      <c r="G14378" s="22" t="s">
        <v>55</v>
      </c>
      <c r="H14378" s="22" t="s">
        <v>55</v>
      </c>
      <c r="I14378" s="26">
        <v>43515</v>
      </c>
      <c r="J14378" s="23" t="str">
        <f>HYPERLINK("https://www.spark-marketing.ru/Card/Person/1592828", "ООО ЧОП ""АГЕНТСТВО БЕЗОПАСНОСТИ ""ЭСТОК""")</f>
        <v>ООО ЧОП "АГЕНТСТВО БЕЗОПАСНОСТИ "ЭСТОК"</v>
      </c>
      <c r="K14378" s="24" t="s">
        <v>1377</v>
      </c>
      <c r="L14378" s="22" t="s">
        <v>10</v>
      </c>
      <c r="M14378" s="25">
        <v>69500</v>
      </c>
      <c r="N14378" s="27">
        <v>0.30499999999999999</v>
      </c>
    </row>
    <row r="14379" spans="1:14" hidden="1" outlineLevel="1" x14ac:dyDescent="0.2">
      <c r="A14379" s="23" t="str">
        <f>HYPERLINK("https://www.spark-marketing.ru/Card/Person/86874", "УПРАВА РАЙОНА ЯСЕНЕВО ГОРОДА МОСКВЫ")</f>
        <v>УПРАВА РАЙОНА ЯСЕНЕВО ГОРОДА МОСКВЫ</v>
      </c>
      <c r="B14379" s="24" t="s">
        <v>16606</v>
      </c>
      <c r="C14379" s="25">
        <v>100000</v>
      </c>
      <c r="D14379" s="22" t="s">
        <v>16607</v>
      </c>
      <c r="E14379" s="22" t="s">
        <v>103</v>
      </c>
      <c r="F14379" s="23" t="str">
        <f>HYPERLINK("https://www.spark-marketing.ru/Card/Lot/68058762", "Оказание услуг по пультовой охране, мониторингу и реагированию на сигналы тревожной сигнализации в 2019 году")</f>
        <v>Оказание услуг по пультовой охране, мониторингу и реагированию на сигналы тревожной сигнализации в 2019 году</v>
      </c>
      <c r="G14379" s="22" t="s">
        <v>55</v>
      </c>
      <c r="H14379" s="22" t="s">
        <v>55</v>
      </c>
      <c r="I14379" s="26">
        <v>43515</v>
      </c>
      <c r="J14379" s="23" t="str">
        <f>HYPERLINK("https://www.spark-marketing.ru/Card/Person/63144", "ООО""ЧОП""РАДУГА""")</f>
        <v>ООО"ЧОП"РАДУГА"</v>
      </c>
      <c r="K14379" s="24" t="s">
        <v>13376</v>
      </c>
      <c r="L14379" s="28" t="s">
        <v>52</v>
      </c>
      <c r="M14379" s="25">
        <v>97510</v>
      </c>
      <c r="N14379" s="27">
        <v>2.4899999999999999E-2</v>
      </c>
    </row>
    <row r="14380" spans="1:14" x14ac:dyDescent="0.15">
      <c r="A14380" s="23" t="str">
        <f>HYPERLINK("https://www.spark-marketing.ru/Card/Person/4343740", "МИНЗДРАВ РОССИИ")</f>
        <v>МИНЗДРАВ РОССИИ</v>
      </c>
      <c r="B14380" s="24" t="s">
        <v>1666</v>
      </c>
      <c r="C14380" s="25">
        <v>545470750.11000001</v>
      </c>
      <c r="D14380" s="22" t="s">
        <v>16609</v>
      </c>
      <c r="E14380" s="22" t="s">
        <v>53</v>
      </c>
      <c r="F14380" s="23" t="str">
        <f>HYPERLINK("https://www.spark-marketing.ru/Card/Lot/68097460", "Идурсульфаза, концентрат для приготовления раствора для инфузий, 2 мг/мл, 3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f>
        <v>Идурсульфаза, концентрат для приготовления раствора для инфузий, 2 мг/мл, 3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v>
      </c>
      <c r="G14380" s="22" t="s">
        <v>55</v>
      </c>
      <c r="H14380" s="22" t="s">
        <v>55</v>
      </c>
      <c r="I14380" s="26">
        <v>43515</v>
      </c>
      <c r="J14380" s="23" t="str">
        <f>HYPERLINK("https://www.spark-marketing.ru/Card/Person/129611", "АО ""ФАРМИМЭКС""")</f>
        <v>АО "ФАРМИМЭКС"</v>
      </c>
      <c r="K14380" s="24" t="s">
        <v>9536</v>
      </c>
      <c r="L14380" s="22" t="s">
        <v>10</v>
      </c>
      <c r="M14380" s="28" t="s">
        <v>52</v>
      </c>
      <c r="N14380" s="28" t="s">
        <v>52</v>
      </c>
    </row>
    <row r="14381" spans="1:14" x14ac:dyDescent="0.15">
      <c r="A14381" s="23" t="str">
        <f>HYPERLINK("https://www.spark-marketing.ru/Card/Person/1006105", "КУ ЦЗН ОКОНЕШНИКОВСКОГО РАЙОНА")</f>
        <v>КУ ЦЗН ОКОНЕШНИКОВСКОГО РАЙОНА</v>
      </c>
      <c r="B14381" s="24" t="s">
        <v>16610</v>
      </c>
      <c r="C14381" s="25">
        <v>42497.279999999999</v>
      </c>
      <c r="D14381" s="22" t="s">
        <v>16611</v>
      </c>
      <c r="E14381" s="22" t="s">
        <v>68</v>
      </c>
      <c r="F14381" s="23" t="str">
        <f>HYPERLINK("https://www.spark-marketing.ru/Card/Lot/68056676", "Оказание услуги по охране имущества путём наблюдения за средствами охранной сигнализации, установленных с выводом на ПЦО.")</f>
        <v>Оказание услуги по охране имущества путём наблюдения за средствами охранной сигнализации, установленных с выводом на ПЦО.</v>
      </c>
      <c r="G14381" s="22" t="s">
        <v>521</v>
      </c>
      <c r="H14381" s="22" t="s">
        <v>16612</v>
      </c>
      <c r="I14381" s="26">
        <v>43515</v>
      </c>
      <c r="J14381" s="28" t="s">
        <v>52</v>
      </c>
      <c r="K14381" s="28" t="s">
        <v>52</v>
      </c>
      <c r="L14381" s="28" t="s">
        <v>52</v>
      </c>
      <c r="M14381" s="28" t="s">
        <v>52</v>
      </c>
      <c r="N14381" s="28" t="s">
        <v>52</v>
      </c>
    </row>
    <row r="14382" spans="1:14" hidden="1" outlineLevel="1" x14ac:dyDescent="0.15">
      <c r="A14382" s="23" t="str">
        <f>HYPERLINK("https://www.spark-marketing.ru/Card/Person/1006105", "КУ ЦЗН ОКОНЕШНИКОВСКОГО РАЙОНА")</f>
        <v>КУ ЦЗН ОКОНЕШНИКОВСКОГО РАЙОНА</v>
      </c>
      <c r="B14382" s="24" t="s">
        <v>16610</v>
      </c>
      <c r="C14382" s="25">
        <v>42497.279999999999</v>
      </c>
      <c r="D14382" s="22" t="s">
        <v>16611</v>
      </c>
      <c r="E14382" s="22" t="s">
        <v>68</v>
      </c>
      <c r="F14382" s="23" t="str">
        <f>HYPERLINK("https://www.spark-marketing.ru/Card/Lot/68056676", "Оказание услуги по охране имущества путём наблюдения за средствами охранной сигнализации, установленных с выводом на ПЦО.")</f>
        <v>Оказание услуги по охране имущества путём наблюдения за средствами охранной сигнализации, установленных с выводом на ПЦО.</v>
      </c>
      <c r="G14382" s="22" t="s">
        <v>521</v>
      </c>
      <c r="H14382" s="22" t="s">
        <v>16612</v>
      </c>
      <c r="I14382" s="26">
        <v>43515</v>
      </c>
      <c r="J14382" s="23" t="str">
        <f>HYPERLINK("https://www.spark-marketing.ru/Card/Person/10487", "ФГУП ""ОХРАНА"" РОСГВАРДИИ")</f>
        <v>ФГУП "ОХРАНА" РОСГВАРДИИ</v>
      </c>
      <c r="K14382" s="24" t="s">
        <v>779</v>
      </c>
      <c r="L14382" s="28" t="s">
        <v>52</v>
      </c>
      <c r="M14382" s="28" t="s">
        <v>52</v>
      </c>
      <c r="N14382" s="28" t="s">
        <v>52</v>
      </c>
    </row>
    <row r="14383" spans="1:14" ht="12.75" hidden="1" outlineLevel="1" x14ac:dyDescent="0.2">
      <c r="A14383" s="23" t="str">
        <f>HYPERLINK("https://www.spark-marketing.ru/Card/Person/1006105", "КУ ЦЗН ОКОНЕШНИКОВСКОГО РАЙОНА")</f>
        <v>КУ ЦЗН ОКОНЕШНИКОВСКОГО РАЙОНА</v>
      </c>
      <c r="B14383" s="24" t="s">
        <v>16610</v>
      </c>
      <c r="C14383" s="25">
        <v>42497.279999999999</v>
      </c>
      <c r="D14383" s="22" t="s">
        <v>16611</v>
      </c>
      <c r="E14383" s="22" t="s">
        <v>68</v>
      </c>
      <c r="F14383" s="23" t="str">
        <f>HYPERLINK("https://www.spark-marketing.ru/Card/Lot/68056676", "Оказание услуги по охране имущества путём наблюдения за средствами охранной сигнализации, установленных с выводом на ПЦО.")</f>
        <v>Оказание услуги по охране имущества путём наблюдения за средствами охранной сигнализации, установленных с выводом на ПЦО.</v>
      </c>
      <c r="G14383" s="22" t="s">
        <v>521</v>
      </c>
      <c r="H14383" s="22" t="s">
        <v>16612</v>
      </c>
      <c r="I14383" s="26">
        <v>43515</v>
      </c>
      <c r="J14383" s="23" t="str">
        <f>HYPERLINK("https://www.spark-marketing.ru/Card/Person/10487", "ФГУП ""ОХРАНА"" РОСГВАРДИИ")</f>
        <v>ФГУП "ОХРАНА" РОСГВАРДИИ</v>
      </c>
      <c r="K14383" s="24" t="s">
        <v>779</v>
      </c>
      <c r="L14383" s="22" t="s">
        <v>10</v>
      </c>
      <c r="M14383" s="25">
        <v>42497.279999999999</v>
      </c>
      <c r="N14383" s="27">
        <v>0</v>
      </c>
    </row>
    <row r="14384" spans="1:14" x14ac:dyDescent="0.15">
      <c r="A14384" s="23" t="str">
        <f>HYPERLINK("https://www.spark-marketing.ru/Card/Person/4345935", "ДЕПАРТАМЕНТ СМОЛЕНСКОЙ ОБЛАСТИ ПО ЗДРАВООХРАНЕНИЮ")</f>
        <v>ДЕПАРТАМЕНТ СМОЛЕНСКОЙ ОБЛАСТИ ПО ЗДРАВООХРАНЕНИЮ</v>
      </c>
      <c r="B14384" s="24" t="s">
        <v>1449</v>
      </c>
      <c r="C14384" s="25">
        <v>1964592</v>
      </c>
      <c r="D14384" s="22" t="s">
        <v>16613</v>
      </c>
      <c r="E14384" s="22" t="s">
        <v>53</v>
      </c>
      <c r="F14384" s="23" t="str">
        <f>HYPERLINK("https://www.spark-marketing.ru/Card/Lot/68062175", "№0369 - аэф/т Поставка лекарственных препаратов (Алглюкозидаза альфа)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f>
        <v>№0369 - аэф/т Поставка лекарственных препаратов (Алглюкозидаза альфа)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v>
      </c>
      <c r="G14384" s="22" t="s">
        <v>956</v>
      </c>
      <c r="H14384" s="22" t="s">
        <v>1451</v>
      </c>
      <c r="I14384" s="26">
        <v>43515</v>
      </c>
      <c r="J14384" s="23" t="str">
        <f>HYPERLINK("https://www.spark-marketing.ru/Card/Person/2187267", "АО ""САНОФИ РОССИЯ""")</f>
        <v>АО "САНОФИ РОССИЯ"</v>
      </c>
      <c r="K14384" s="24" t="s">
        <v>16614</v>
      </c>
      <c r="L14384" s="22" t="s">
        <v>10</v>
      </c>
      <c r="M14384" s="28" t="s">
        <v>52</v>
      </c>
      <c r="N14384" s="28" t="s">
        <v>52</v>
      </c>
    </row>
    <row r="14385" spans="1:14" x14ac:dyDescent="0.15">
      <c r="A14385" s="23" t="str">
        <f>HYPERLINK("https://www.spark-marketing.ru/Card/Person/256516", "ГАУСО ""КЦСОН ""РЭХЭТ"" МТЗ И СЗ РТ В ЗЕЛЕНОДОЛЬСКОМ МУНИЦИПАЛЬНОМ РАЙОНЕ""")</f>
        <v>ГАУСО "КЦСОН "РЭХЭТ" МТЗ И СЗ РТ В ЗЕЛЕНОДОЛЬСКОМ МУНИЦИПАЛЬНОМ РАЙОНЕ"</v>
      </c>
      <c r="B14385" s="24" t="s">
        <v>16615</v>
      </c>
      <c r="C14385" s="25">
        <v>33300</v>
      </c>
      <c r="D14385" s="22" t="s">
        <v>16616</v>
      </c>
      <c r="E14385" s="22" t="s">
        <v>53</v>
      </c>
      <c r="F14385" s="23" t="str">
        <f>HYPERLINK("https://www.spark-marketing.ru/Card/Lot/73687612", "Техническое обслуживание системы видеонаблюдения")</f>
        <v>Техническое обслуживание системы видеонаблюдения</v>
      </c>
      <c r="G14385" s="22" t="s">
        <v>204</v>
      </c>
      <c r="H14385" s="22" t="s">
        <v>10706</v>
      </c>
      <c r="I14385" s="26">
        <v>43515.000694444403</v>
      </c>
      <c r="J14385" s="28" t="s">
        <v>52</v>
      </c>
      <c r="K14385" s="28" t="s">
        <v>52</v>
      </c>
      <c r="L14385" s="28" t="s">
        <v>52</v>
      </c>
      <c r="M14385" s="28" t="s">
        <v>52</v>
      </c>
      <c r="N14385" s="28" t="s">
        <v>52</v>
      </c>
    </row>
    <row r="14386" spans="1:14" x14ac:dyDescent="0.15">
      <c r="A14386" s="23" t="str">
        <f>HYPERLINK("https://www.spark-marketing.ru/Card/Person/9007", "УСД В РЕСПУБЛИКЕ БАШКОРТОСТАН")</f>
        <v>УСД В РЕСПУБЛИКЕ БАШКОРТОСТАН</v>
      </c>
      <c r="B14386" s="24" t="s">
        <v>16617</v>
      </c>
      <c r="C14386" s="25">
        <v>3876133.8</v>
      </c>
      <c r="D14386" s="22" t="s">
        <v>16618</v>
      </c>
      <c r="E14386" s="22" t="s">
        <v>68</v>
      </c>
      <c r="F14386" s="23" t="str">
        <f>HYPERLINK("https://www.spark-marketing.ru/Card/Lot/68096298", "Оказание охранных услуг")</f>
        <v>Оказание охранных услуг</v>
      </c>
      <c r="G14386" s="22" t="s">
        <v>100</v>
      </c>
      <c r="H14386" s="22" t="s">
        <v>373</v>
      </c>
      <c r="I14386" s="26">
        <v>43515</v>
      </c>
      <c r="J14386" s="28" t="s">
        <v>52</v>
      </c>
      <c r="K14386" s="28" t="s">
        <v>52</v>
      </c>
      <c r="L14386" s="28" t="s">
        <v>52</v>
      </c>
      <c r="M14386" s="28" t="s">
        <v>52</v>
      </c>
      <c r="N14386" s="28" t="s">
        <v>52</v>
      </c>
    </row>
    <row r="14387" spans="1:14" x14ac:dyDescent="0.15">
      <c r="A14387" s="23" t="str">
        <f>HYPERLINK("https://www.spark-marketing.ru/Card/Person/86874", "УПРАВА РАЙОНА ЯСЕНЕВО ГОРОДА МОСКВЫ")</f>
        <v>УПРАВА РАЙОНА ЯСЕНЕВО ГОРОДА МОСКВЫ</v>
      </c>
      <c r="B14387" s="24" t="s">
        <v>16606</v>
      </c>
      <c r="C14387" s="25">
        <v>50000</v>
      </c>
      <c r="D14387" s="22" t="s">
        <v>16619</v>
      </c>
      <c r="E14387" s="22" t="s">
        <v>107</v>
      </c>
      <c r="F14387" s="23" t="str">
        <f>HYPERLINK("https://www.spark-marketing.ru/Card/Lot/68058763", "Оказание услуг по техническому обслуживанию кнопки тревожной сигнализации управы района Ясенево города Москвы в 2019 году")</f>
        <v>Оказание услуг по техническому обслуживанию кнопки тревожной сигнализации управы района Ясенево города Москвы в 2019 году</v>
      </c>
      <c r="G14387" s="22" t="s">
        <v>55</v>
      </c>
      <c r="H14387" s="22" t="s">
        <v>55</v>
      </c>
      <c r="I14387" s="26">
        <v>43515</v>
      </c>
      <c r="J14387" s="28" t="s">
        <v>52</v>
      </c>
      <c r="K14387" s="28" t="s">
        <v>52</v>
      </c>
      <c r="L14387" s="28" t="s">
        <v>52</v>
      </c>
      <c r="M14387" s="28" t="s">
        <v>52</v>
      </c>
      <c r="N14387" s="28" t="s">
        <v>52</v>
      </c>
    </row>
    <row r="14388" spans="1:14" hidden="1" outlineLevel="1" x14ac:dyDescent="0.2">
      <c r="A14388" s="23" t="str">
        <f>HYPERLINK("https://www.spark-marketing.ru/Card/Person/86874", "УПРАВА РАЙОНА ЯСЕНЕВО ГОРОДА МОСКВЫ")</f>
        <v>УПРАВА РАЙОНА ЯСЕНЕВО ГОРОДА МОСКВЫ</v>
      </c>
      <c r="B14388" s="24" t="s">
        <v>16606</v>
      </c>
      <c r="C14388" s="25">
        <v>50000</v>
      </c>
      <c r="D14388" s="22" t="s">
        <v>16619</v>
      </c>
      <c r="E14388" s="22" t="s">
        <v>107</v>
      </c>
      <c r="F14388" s="23" t="str">
        <f>HYPERLINK("https://www.spark-marketing.ru/Card/Lot/68058763", "Оказание услуг по техническому обслуживанию кнопки тревожной сигнализации управы района Ясенево города Москвы в 2019 году")</f>
        <v>Оказание услуг по техническому обслуживанию кнопки тревожной сигнализации управы района Ясенево города Москвы в 2019 году</v>
      </c>
      <c r="G14388" s="22" t="s">
        <v>55</v>
      </c>
      <c r="H14388" s="22" t="s">
        <v>55</v>
      </c>
      <c r="I14388" s="26">
        <v>43515</v>
      </c>
      <c r="J14388" s="23" t="str">
        <f>HYPERLINK("https://www.spark-marketing.ru/Card/Person/4877244", "Емельяненко Сергей Владимирович")</f>
        <v>Емельяненко Сергей Владимирович</v>
      </c>
      <c r="K14388" s="24" t="s">
        <v>16620</v>
      </c>
      <c r="L14388" s="28" t="s">
        <v>52</v>
      </c>
      <c r="M14388" s="25">
        <v>45000</v>
      </c>
      <c r="N14388" s="27">
        <v>0.1</v>
      </c>
    </row>
    <row r="14389" spans="1:14" ht="12.75" hidden="1" outlineLevel="1" x14ac:dyDescent="0.2">
      <c r="A14389" s="23" t="str">
        <f>HYPERLINK("https://www.spark-marketing.ru/Card/Person/86874", "УПРАВА РАЙОНА ЯСЕНЕВО ГОРОДА МОСКВЫ")</f>
        <v>УПРАВА РАЙОНА ЯСЕНЕВО ГОРОДА МОСКВЫ</v>
      </c>
      <c r="B14389" s="24" t="s">
        <v>16606</v>
      </c>
      <c r="C14389" s="25">
        <v>50000</v>
      </c>
      <c r="D14389" s="22" t="s">
        <v>16619</v>
      </c>
      <c r="E14389" s="22" t="s">
        <v>107</v>
      </c>
      <c r="F14389" s="23" t="str">
        <f>HYPERLINK("https://www.spark-marketing.ru/Card/Lot/68058763", "Оказание услуг по техническому обслуживанию кнопки тревожной сигнализации управы района Ясенево города Москвы в 2019 году")</f>
        <v>Оказание услуг по техническому обслуживанию кнопки тревожной сигнализации управы района Ясенево города Москвы в 2019 году</v>
      </c>
      <c r="G14389" s="22" t="s">
        <v>55</v>
      </c>
      <c r="H14389" s="22" t="s">
        <v>55</v>
      </c>
      <c r="I14389" s="26">
        <v>43515</v>
      </c>
      <c r="J14389" s="23" t="str">
        <f>HYPERLINK("https://www.spark-marketing.ru/Card/Person/659803", "ООО ""ЭСТОК-СЕРВИС""")</f>
        <v>ООО "ЭСТОК-СЕРВИС"</v>
      </c>
      <c r="K14389" s="24" t="s">
        <v>13375</v>
      </c>
      <c r="L14389" s="22" t="s">
        <v>10</v>
      </c>
      <c r="M14389" s="25">
        <v>24750</v>
      </c>
      <c r="N14389" s="27">
        <v>0.505</v>
      </c>
    </row>
    <row r="14390" spans="1:14" hidden="1" outlineLevel="1" x14ac:dyDescent="0.2">
      <c r="A14390" s="23" t="str">
        <f>HYPERLINK("https://www.spark-marketing.ru/Card/Person/86874", "УПРАВА РАЙОНА ЯСЕНЕВО ГОРОДА МОСКВЫ")</f>
        <v>УПРАВА РАЙОНА ЯСЕНЕВО ГОРОДА МОСКВЫ</v>
      </c>
      <c r="B14390" s="24" t="s">
        <v>16606</v>
      </c>
      <c r="C14390" s="25">
        <v>50000</v>
      </c>
      <c r="D14390" s="22" t="s">
        <v>16619</v>
      </c>
      <c r="E14390" s="22" t="s">
        <v>107</v>
      </c>
      <c r="F14390" s="23" t="str">
        <f>HYPERLINK("https://www.spark-marketing.ru/Card/Lot/68058763", "Оказание услуг по техническому обслуживанию кнопки тревожной сигнализации управы района Ясенево города Москвы в 2019 году")</f>
        <v>Оказание услуг по техническому обслуживанию кнопки тревожной сигнализации управы района Ясенево города Москвы в 2019 году</v>
      </c>
      <c r="G14390" s="22" t="s">
        <v>55</v>
      </c>
      <c r="H14390" s="22" t="s">
        <v>55</v>
      </c>
      <c r="I14390" s="26">
        <v>43515</v>
      </c>
      <c r="J14390" s="23" t="str">
        <f>HYPERLINK("https://www.spark-marketing.ru/Card/Person/6262263", "ООО ""АЛЫЙ ПАРУС ТЕХНО ПРО""")</f>
        <v>ООО "АЛЫЙ ПАРУС ТЕХНО ПРО"</v>
      </c>
      <c r="K14390" s="24" t="s">
        <v>1749</v>
      </c>
      <c r="L14390" s="28" t="s">
        <v>52</v>
      </c>
      <c r="M14390" s="25">
        <v>49250</v>
      </c>
      <c r="N14390" s="27">
        <v>1.4999999999999999E-2</v>
      </c>
    </row>
    <row r="14391" spans="1:14" hidden="1" outlineLevel="1" x14ac:dyDescent="0.2">
      <c r="A14391" s="23" t="str">
        <f>HYPERLINK("https://www.spark-marketing.ru/Card/Person/86874", "УПРАВА РАЙОНА ЯСЕНЕВО ГОРОДА МОСКВЫ")</f>
        <v>УПРАВА РАЙОНА ЯСЕНЕВО ГОРОДА МОСКВЫ</v>
      </c>
      <c r="B14391" s="24" t="s">
        <v>16606</v>
      </c>
      <c r="C14391" s="25">
        <v>50000</v>
      </c>
      <c r="D14391" s="22" t="s">
        <v>16619</v>
      </c>
      <c r="E14391" s="22" t="s">
        <v>107</v>
      </c>
      <c r="F14391" s="23" t="str">
        <f>HYPERLINK("https://www.spark-marketing.ru/Card/Lot/68058763", "Оказание услуг по техническому обслуживанию кнопки тревожной сигнализации управы района Ясенево города Москвы в 2019 году")</f>
        <v>Оказание услуг по техническому обслуживанию кнопки тревожной сигнализации управы района Ясенево города Москвы в 2019 году</v>
      </c>
      <c r="G14391" s="22" t="s">
        <v>55</v>
      </c>
      <c r="H14391" s="22" t="s">
        <v>55</v>
      </c>
      <c r="I14391" s="26">
        <v>43515</v>
      </c>
      <c r="J14391" s="23" t="str">
        <f>HYPERLINK("https://www.spark-marketing.ru/Card/Person/65028", "ООО ""ИМПУЛЬС М""")</f>
        <v>ООО "ИМПУЛЬС М"</v>
      </c>
      <c r="K14391" s="24" t="s">
        <v>7268</v>
      </c>
      <c r="L14391" s="28" t="s">
        <v>52</v>
      </c>
      <c r="M14391" s="25">
        <v>25000</v>
      </c>
      <c r="N14391" s="27">
        <v>0.5</v>
      </c>
    </row>
    <row r="14392" spans="1:14" x14ac:dyDescent="0.15">
      <c r="A14392" s="23" t="str">
        <f>HYPERLINK("https://www.spark-marketing.ru/Card/Person/234047", "ФКУ ""ОФО МО РФ ПО АЛТАЙСКОМУ КРАЮ И РЕСПУБЛИКЕ АЛТАЙ""")</f>
        <v>ФКУ "ОФО МО РФ ПО АЛТАЙСКОМУ КРАЮ И РЕСПУБЛИКЕ АЛТАЙ"</v>
      </c>
      <c r="B14392" s="24" t="s">
        <v>16621</v>
      </c>
      <c r="C14392" s="25">
        <v>783544.31999999995</v>
      </c>
      <c r="D14392" s="22" t="s">
        <v>16622</v>
      </c>
      <c r="E14392" s="22" t="s">
        <v>68</v>
      </c>
      <c r="F14392" s="23" t="str">
        <f>HYPERLINK("https://www.spark-marketing.ru/Card/Lot/68057918", "Услуги по обеспечению общественного порядка и безопасности (охрана)")</f>
        <v>Услуги по обеспечению общественного порядка и безопасности (охрана)</v>
      </c>
      <c r="G14392" s="22" t="s">
        <v>428</v>
      </c>
      <c r="H14392" s="22" t="s">
        <v>5346</v>
      </c>
      <c r="I14392" s="26">
        <v>43515</v>
      </c>
      <c r="J14392" s="28" t="s">
        <v>52</v>
      </c>
      <c r="K14392" s="28" t="s">
        <v>52</v>
      </c>
      <c r="L14392" s="28" t="s">
        <v>52</v>
      </c>
      <c r="M14392" s="28" t="s">
        <v>52</v>
      </c>
      <c r="N14392" s="28" t="s">
        <v>52</v>
      </c>
    </row>
    <row r="14393" spans="1:14" x14ac:dyDescent="0.15">
      <c r="A14393" s="23" t="str">
        <f>HYPERLINK("https://www.spark-marketing.ru/Card/Person/75061", "ПРОКУРАТУРА ТЮМЕНСКОЙ ОБЛАСТИ")</f>
        <v>ПРОКУРАТУРА ТЮМЕНСКОЙ ОБЛАСТИ</v>
      </c>
      <c r="B14393" s="24" t="s">
        <v>16623</v>
      </c>
      <c r="C14393" s="25">
        <v>514437</v>
      </c>
      <c r="D14393" s="22" t="s">
        <v>16624</v>
      </c>
      <c r="E14393" s="22" t="s">
        <v>68</v>
      </c>
      <c r="F14393" s="23" t="str">
        <f>HYPERLINK("https://www.spark-marketing.ru/Card/Lot/68057234", "Услуги по постовой охране объектов прокуратуры Тюменской области")</f>
        <v>Услуги по постовой охране объектов прокуратуры Тюменской области</v>
      </c>
      <c r="G14393" s="22" t="s">
        <v>893</v>
      </c>
      <c r="H14393" s="22" t="s">
        <v>894</v>
      </c>
      <c r="I14393" s="26">
        <v>43515</v>
      </c>
      <c r="J14393" s="23" t="str">
        <f>HYPERLINK("https://www.spark-marketing.ru/Card/Person/10487", "ФГУП ""ОХРАНА"" РОСГВАРДИИ")</f>
        <v>ФГУП "ОХРАНА" РОСГВАРДИИ</v>
      </c>
      <c r="K14393" s="24" t="s">
        <v>779</v>
      </c>
      <c r="L14393" s="22" t="s">
        <v>10</v>
      </c>
      <c r="M14393" s="28" t="s">
        <v>52</v>
      </c>
      <c r="N14393" s="28" t="s">
        <v>52</v>
      </c>
    </row>
    <row r="14394" spans="1:14" x14ac:dyDescent="0.15">
      <c r="A14394" s="23" t="str">
        <f>HYPERLINK("https://www.spark-marketing.ru/Card/Person/4377745", "ГБОУПО ""СПТК""")</f>
        <v>ГБОУПО "СПТК"</v>
      </c>
      <c r="B14394" s="24" t="s">
        <v>16625</v>
      </c>
      <c r="C14394" s="25">
        <v>72400</v>
      </c>
      <c r="D14394" s="22" t="s">
        <v>16626</v>
      </c>
      <c r="E14394" s="22" t="s">
        <v>68</v>
      </c>
      <c r="F14394" s="23" t="str">
        <f>HYPERLINK("https://www.spark-marketing.ru/Card/Lot/68099610", "на оказание услуг по экстренному выезду наряда полиции")</f>
        <v>на оказание услуг по экстренному выезду наряда полиции</v>
      </c>
      <c r="G14394" s="22" t="s">
        <v>714</v>
      </c>
      <c r="H14394" s="22" t="s">
        <v>714</v>
      </c>
      <c r="I14394" s="26">
        <v>43515</v>
      </c>
      <c r="J14394" s="28" t="s">
        <v>52</v>
      </c>
      <c r="K14394" s="28" t="s">
        <v>52</v>
      </c>
      <c r="L14394" s="28" t="s">
        <v>52</v>
      </c>
      <c r="M14394" s="28" t="s">
        <v>52</v>
      </c>
      <c r="N14394" s="28" t="s">
        <v>52</v>
      </c>
    </row>
    <row r="14395" spans="1:14" x14ac:dyDescent="0.15">
      <c r="A14395" s="23" t="str">
        <f>HYPERLINK("https://www.spark-marketing.ru/Card/Person/37866", "ГУЗ СО ""ПЕТРОВСКАЯ РБ""")</f>
        <v>ГУЗ СО "ПЕТРОВСКАЯ РБ"</v>
      </c>
      <c r="B14395" s="24" t="s">
        <v>16627</v>
      </c>
      <c r="C14395" s="25">
        <v>69767.899999999994</v>
      </c>
      <c r="D14395" s="22" t="s">
        <v>16628</v>
      </c>
      <c r="E14395" s="22" t="s">
        <v>68</v>
      </c>
      <c r="F14395" s="23" t="str">
        <f>HYPERLINK("https://www.spark-marketing.ru/Card/Lot/68100222", "Оказание  услуг по охране имущества с помощью средств тревожной сигнализации по GSM каналу")</f>
        <v>Оказание  услуг по охране имущества с помощью средств тревожной сигнализации по GSM каналу</v>
      </c>
      <c r="G14395" s="22" t="s">
        <v>80</v>
      </c>
      <c r="H14395" s="22" t="s">
        <v>16629</v>
      </c>
      <c r="I14395" s="26">
        <v>43515</v>
      </c>
      <c r="J14395" s="28" t="s">
        <v>52</v>
      </c>
      <c r="K14395" s="28" t="s">
        <v>52</v>
      </c>
      <c r="L14395" s="28" t="s">
        <v>52</v>
      </c>
      <c r="M14395" s="28" t="s">
        <v>52</v>
      </c>
      <c r="N14395" s="28" t="s">
        <v>52</v>
      </c>
    </row>
    <row r="14396" spans="1:14" ht="12.75" hidden="1" outlineLevel="1" x14ac:dyDescent="0.2">
      <c r="A14396" s="23" t="str">
        <f>HYPERLINK("https://www.spark-marketing.ru/Card/Person/37866", "ГУЗ СО ""ПЕТРОВСКАЯ РБ""")</f>
        <v>ГУЗ СО "ПЕТРОВСКАЯ РБ"</v>
      </c>
      <c r="B14396" s="24" t="s">
        <v>16627</v>
      </c>
      <c r="C14396" s="25">
        <v>69767.899999999994</v>
      </c>
      <c r="D14396" s="22" t="s">
        <v>16628</v>
      </c>
      <c r="E14396" s="22" t="s">
        <v>68</v>
      </c>
      <c r="F14396" s="23" t="str">
        <f>HYPERLINK("https://www.spark-marketing.ru/Card/Lot/68100222", "Оказание  услуг по охране имущества с помощью средств тревожной сигнализации по GSM каналу")</f>
        <v>Оказание  услуг по охране имущества с помощью средств тревожной сигнализации по GSM каналу</v>
      </c>
      <c r="G14396" s="22" t="s">
        <v>80</v>
      </c>
      <c r="H14396" s="22" t="s">
        <v>16629</v>
      </c>
      <c r="I14396" s="26">
        <v>43515</v>
      </c>
      <c r="J14396" s="23" t="str">
        <f>HYPERLINK("https://www.spark-marketing.ru/Card/Person/29623", "ООО ЧОО ""РАДОН-СБ""")</f>
        <v>ООО ЧОО "РАДОН-СБ"</v>
      </c>
      <c r="K14396" s="24" t="s">
        <v>13610</v>
      </c>
      <c r="L14396" s="22" t="s">
        <v>10</v>
      </c>
      <c r="M14396" s="25">
        <v>31877</v>
      </c>
      <c r="N14396" s="27">
        <v>0.54309933364770901</v>
      </c>
    </row>
    <row r="14397" spans="1:14" hidden="1" outlineLevel="1" x14ac:dyDescent="0.2">
      <c r="A14397" s="23" t="str">
        <f>HYPERLINK("https://www.spark-marketing.ru/Card/Person/37866", "ГУЗ СО ""ПЕТРОВСКАЯ РБ""")</f>
        <v>ГУЗ СО "ПЕТРОВСКАЯ РБ"</v>
      </c>
      <c r="B14397" s="24" t="s">
        <v>16627</v>
      </c>
      <c r="C14397" s="25">
        <v>69767.899999999994</v>
      </c>
      <c r="D14397" s="22" t="s">
        <v>16628</v>
      </c>
      <c r="E14397" s="22" t="s">
        <v>68</v>
      </c>
      <c r="F14397" s="23" t="str">
        <f>HYPERLINK("https://www.spark-marketing.ru/Card/Lot/68100222", "Оказание  услуг по охране имущества с помощью средств тревожной сигнализации по GSM каналу")</f>
        <v>Оказание  услуг по охране имущества с помощью средств тревожной сигнализации по GSM каналу</v>
      </c>
      <c r="G14397" s="22" t="s">
        <v>80</v>
      </c>
      <c r="H14397" s="22" t="s">
        <v>16629</v>
      </c>
      <c r="I14397" s="26">
        <v>43515</v>
      </c>
      <c r="J14397" s="23" t="str">
        <f>HYPERLINK("https://www.spark-marketing.ru/Card/Person/4346815", "ФГКУ ""УВО ВНГ РОССИИ ПО САРАТОВСКОЙ ОБЛАСТИ""")</f>
        <v>ФГКУ "УВО ВНГ РОССИИ ПО САРАТОВСКОЙ ОБЛАСТИ"</v>
      </c>
      <c r="K14397" s="24" t="s">
        <v>16630</v>
      </c>
      <c r="L14397" s="28" t="s">
        <v>52</v>
      </c>
      <c r="M14397" s="25">
        <v>33819.120000000003</v>
      </c>
      <c r="N14397" s="27">
        <v>0.5152624631098256</v>
      </c>
    </row>
    <row r="14398" spans="1:14" x14ac:dyDescent="0.15">
      <c r="A14398" s="23" t="str">
        <f t="shared" ref="A14398:A14417" si="754">HYPERLINK("https://www.spark-marketing.ru/Card/Person/5855111", "ФГКОУ ""САНКТ-ПЕТЕРБУРГСКИЙ КАДЕТСКИЙ КОРПУС СЛЕДСТВЕННОГО КОМИТЕТА РОССИЙСКОЙ ФЕДЕРАЦИИ""")</f>
        <v>ФГКОУ "САНКТ-ПЕТЕРБУРГСКИЙ КАДЕТСКИЙ КОРПУС СЛЕДСТВЕННОГО КОМИТЕТА РОССИЙСКОЙ ФЕДЕРАЦИИ"</v>
      </c>
      <c r="B14398" s="24" t="s">
        <v>16631</v>
      </c>
      <c r="C14398" s="25">
        <v>239583.3</v>
      </c>
      <c r="D14398" s="22" t="s">
        <v>16632</v>
      </c>
      <c r="E14398" s="22" t="s">
        <v>107</v>
      </c>
      <c r="F14398" s="23" t="str">
        <f t="shared" ref="F14398:F14417" si="755">HYPERLINK("https://www.spark-marketing.ru/Card/Lot/68096460", "Оказание услуг по техническому обслуживанию системы видеонаблюдения и системы контроля и управления доступом в ФГКОУ ""Санкт-Петербургский кадетский корпус Следственного комитета Российской Федерации""")</f>
        <v>Оказание услуг по техническому обслуживанию системы видеонаблюдения и системы контроля и управления доступом в ФГКОУ "Санкт-Петербургский кадетский корпус Следственного комитета Российской Федерации"</v>
      </c>
      <c r="G14398" s="22" t="s">
        <v>89</v>
      </c>
      <c r="H14398" s="22" t="s">
        <v>89</v>
      </c>
      <c r="I14398" s="26">
        <v>43515</v>
      </c>
      <c r="J14398" s="28" t="s">
        <v>52</v>
      </c>
      <c r="K14398" s="28" t="s">
        <v>52</v>
      </c>
      <c r="L14398" s="28" t="s">
        <v>52</v>
      </c>
      <c r="M14398" s="28" t="s">
        <v>52</v>
      </c>
      <c r="N14398" s="28" t="s">
        <v>52</v>
      </c>
    </row>
    <row r="14399" spans="1:14" hidden="1" outlineLevel="1" x14ac:dyDescent="0.2">
      <c r="A14399" s="23" t="str">
        <f t="shared" si="754"/>
        <v>ФГКОУ "САНКТ-ПЕТЕРБУРГСКИЙ КАДЕТСКИЙ КОРПУС СЛЕДСТВЕННОГО КОМИТЕТА РОССИЙСКОЙ ФЕДЕРАЦИИ"</v>
      </c>
      <c r="B14399" s="24" t="s">
        <v>16631</v>
      </c>
      <c r="C14399" s="25">
        <v>239583.3</v>
      </c>
      <c r="D14399" s="22" t="s">
        <v>16632</v>
      </c>
      <c r="E14399" s="22" t="s">
        <v>107</v>
      </c>
      <c r="F14399" s="23" t="str">
        <f t="shared" si="755"/>
        <v>Оказание услуг по техническому обслуживанию системы видеонаблюдения и системы контроля и управления доступом в ФГКОУ "Санкт-Петербургский кадетский корпус Следственного комитета Российской Федерации"</v>
      </c>
      <c r="G14399" s="22" t="s">
        <v>89</v>
      </c>
      <c r="H14399" s="22" t="s">
        <v>89</v>
      </c>
      <c r="I14399" s="26">
        <v>43515</v>
      </c>
      <c r="J14399" s="23" t="str">
        <f>HYPERLINK("https://www.spark-marketing.ru/Card/Person/77865", "ООО ""АВАНГАРД""")</f>
        <v>ООО "АВАНГАРД"</v>
      </c>
      <c r="K14399" s="24" t="s">
        <v>16004</v>
      </c>
      <c r="L14399" s="28" t="s">
        <v>52</v>
      </c>
      <c r="M14399" s="25">
        <v>120000</v>
      </c>
      <c r="N14399" s="27">
        <v>0.49913036509639863</v>
      </c>
    </row>
    <row r="14400" spans="1:14" hidden="1" outlineLevel="1" x14ac:dyDescent="0.2">
      <c r="A14400" s="23" t="str">
        <f t="shared" si="754"/>
        <v>ФГКОУ "САНКТ-ПЕТЕРБУРГСКИЙ КАДЕТСКИЙ КОРПУС СЛЕДСТВЕННОГО КОМИТЕТА РОССИЙСКОЙ ФЕДЕРАЦИИ"</v>
      </c>
      <c r="B14400" s="24" t="s">
        <v>16631</v>
      </c>
      <c r="C14400" s="25">
        <v>239583.3</v>
      </c>
      <c r="D14400" s="22" t="s">
        <v>16632</v>
      </c>
      <c r="E14400" s="22" t="s">
        <v>107</v>
      </c>
      <c r="F14400" s="23" t="str">
        <f t="shared" si="755"/>
        <v>Оказание услуг по техническому обслуживанию системы видеонаблюдения и системы контроля и управления доступом в ФГКОУ "Санкт-Петербургский кадетский корпус Следственного комитета Российской Федерации"</v>
      </c>
      <c r="G14400" s="22" t="s">
        <v>89</v>
      </c>
      <c r="H14400" s="22" t="s">
        <v>89</v>
      </c>
      <c r="I14400" s="26">
        <v>43515</v>
      </c>
      <c r="J14400" s="23" t="str">
        <f>HYPERLINK("https://www.spark-marketing.ru/Card/Person/4648245", "ООО ""ВКС""")</f>
        <v>ООО "ВКС"</v>
      </c>
      <c r="K14400" s="24" t="s">
        <v>16633</v>
      </c>
      <c r="L14400" s="28" t="s">
        <v>52</v>
      </c>
      <c r="M14400" s="25">
        <v>220500</v>
      </c>
      <c r="N14400" s="27">
        <v>7.9652045864632467E-2</v>
      </c>
    </row>
    <row r="14401" spans="1:14" hidden="1" outlineLevel="1" x14ac:dyDescent="0.2">
      <c r="A14401" s="23" t="str">
        <f t="shared" si="754"/>
        <v>ФГКОУ "САНКТ-ПЕТЕРБУРГСКИЙ КАДЕТСКИЙ КОРПУС СЛЕДСТВЕННОГО КОМИТЕТА РОССИЙСКОЙ ФЕДЕРАЦИИ"</v>
      </c>
      <c r="B14401" s="24" t="s">
        <v>16631</v>
      </c>
      <c r="C14401" s="25">
        <v>239583.3</v>
      </c>
      <c r="D14401" s="22" t="s">
        <v>16632</v>
      </c>
      <c r="E14401" s="22" t="s">
        <v>107</v>
      </c>
      <c r="F14401" s="23" t="str">
        <f t="shared" si="755"/>
        <v>Оказание услуг по техническому обслуживанию системы видеонаблюдения и системы контроля и управления доступом в ФГКОУ "Санкт-Петербургский кадетский корпус Следственного комитета Российской Федерации"</v>
      </c>
      <c r="G14401" s="22" t="s">
        <v>89</v>
      </c>
      <c r="H14401" s="22" t="s">
        <v>89</v>
      </c>
      <c r="I14401" s="26">
        <v>43515</v>
      </c>
      <c r="J14401" s="23" t="str">
        <f>HYPERLINK("https://www.spark-marketing.ru/Card/Person/99764", "ООО ""ОП ""СИСТЕМА""")</f>
        <v>ООО "ОП "СИСТЕМА"</v>
      </c>
      <c r="K14401" s="24" t="s">
        <v>1717</v>
      </c>
      <c r="L14401" s="28" t="s">
        <v>52</v>
      </c>
      <c r="M14401" s="25">
        <v>215000</v>
      </c>
      <c r="N14401" s="27">
        <v>0.1026085707977142</v>
      </c>
    </row>
    <row r="14402" spans="1:14" hidden="1" outlineLevel="1" x14ac:dyDescent="0.2">
      <c r="A14402" s="23" t="str">
        <f t="shared" si="754"/>
        <v>ФГКОУ "САНКТ-ПЕТЕРБУРГСКИЙ КАДЕТСКИЙ КОРПУС СЛЕДСТВЕННОГО КОМИТЕТА РОССИЙСКОЙ ФЕДЕРАЦИИ"</v>
      </c>
      <c r="B14402" s="24" t="s">
        <v>16631</v>
      </c>
      <c r="C14402" s="25">
        <v>239583.3</v>
      </c>
      <c r="D14402" s="22" t="s">
        <v>16632</v>
      </c>
      <c r="E14402" s="22" t="s">
        <v>107</v>
      </c>
      <c r="F14402" s="23" t="str">
        <f t="shared" si="755"/>
        <v>Оказание услуг по техническому обслуживанию системы видеонаблюдения и системы контроля и управления доступом в ФГКОУ "Санкт-Петербургский кадетский корпус Следственного комитета Российской Федерации"</v>
      </c>
      <c r="G14402" s="22" t="s">
        <v>89</v>
      </c>
      <c r="H14402" s="22" t="s">
        <v>89</v>
      </c>
      <c r="I14402" s="26">
        <v>43515</v>
      </c>
      <c r="J14402" s="23" t="str">
        <f>HYPERLINK("https://www.spark-marketing.ru/Card/Person/6501341", "Рузавин Марк Олегович")</f>
        <v>Рузавин Марк Олегович</v>
      </c>
      <c r="K14402" s="24" t="s">
        <v>16634</v>
      </c>
      <c r="L14402" s="28" t="s">
        <v>52</v>
      </c>
      <c r="M14402" s="25">
        <v>208500</v>
      </c>
      <c r="N14402" s="27">
        <v>0.12973900935499261</v>
      </c>
    </row>
    <row r="14403" spans="1:14" ht="12.75" hidden="1" outlineLevel="1" x14ac:dyDescent="0.2">
      <c r="A14403" s="23" t="str">
        <f t="shared" si="754"/>
        <v>ФГКОУ "САНКТ-ПЕТЕРБУРГСКИЙ КАДЕТСКИЙ КОРПУС СЛЕДСТВЕННОГО КОМИТЕТА РОССИЙСКОЙ ФЕДЕРАЦИИ"</v>
      </c>
      <c r="B14403" s="24" t="s">
        <v>16631</v>
      </c>
      <c r="C14403" s="25">
        <v>239583.3</v>
      </c>
      <c r="D14403" s="22" t="s">
        <v>16632</v>
      </c>
      <c r="E14403" s="22" t="s">
        <v>107</v>
      </c>
      <c r="F14403" s="23" t="str">
        <f t="shared" si="755"/>
        <v>Оказание услуг по техническому обслуживанию системы видеонаблюдения и системы контроля и управления доступом в ФГКОУ "Санкт-Петербургский кадетский корпус Следственного комитета Российской Федерации"</v>
      </c>
      <c r="G14403" s="22" t="s">
        <v>89</v>
      </c>
      <c r="H14403" s="22" t="s">
        <v>89</v>
      </c>
      <c r="I14403" s="26">
        <v>43515</v>
      </c>
      <c r="J14403" s="23" t="str">
        <f>HYPERLINK("https://www.spark-marketing.ru/Card/Person/6453949", "Алексеев Кирилл Анатольевич")</f>
        <v>Алексеев Кирилл Анатольевич</v>
      </c>
      <c r="K14403" s="24" t="s">
        <v>15575</v>
      </c>
      <c r="L14403" s="22" t="s">
        <v>10</v>
      </c>
      <c r="M14403" s="25">
        <v>71500</v>
      </c>
      <c r="N14403" s="27">
        <v>0.7015651758699375</v>
      </c>
    </row>
    <row r="14404" spans="1:14" hidden="1" outlineLevel="1" x14ac:dyDescent="0.2">
      <c r="A14404" s="23" t="str">
        <f t="shared" si="754"/>
        <v>ФГКОУ "САНКТ-ПЕТЕРБУРГСКИЙ КАДЕТСКИЙ КОРПУС СЛЕДСТВЕННОГО КОМИТЕТА РОССИЙСКОЙ ФЕДЕРАЦИИ"</v>
      </c>
      <c r="B14404" s="24" t="s">
        <v>16631</v>
      </c>
      <c r="C14404" s="25">
        <v>239583.3</v>
      </c>
      <c r="D14404" s="22" t="s">
        <v>16632</v>
      </c>
      <c r="E14404" s="22" t="s">
        <v>107</v>
      </c>
      <c r="F14404" s="23" t="str">
        <f t="shared" si="755"/>
        <v>Оказание услуг по техническому обслуживанию системы видеонаблюдения и системы контроля и управления доступом в ФГКОУ "Санкт-Петербургский кадетский корпус Следственного комитета Российской Федерации"</v>
      </c>
      <c r="G14404" s="22" t="s">
        <v>89</v>
      </c>
      <c r="H14404" s="22" t="s">
        <v>89</v>
      </c>
      <c r="I14404" s="26">
        <v>43515</v>
      </c>
      <c r="J14404" s="23" t="str">
        <f>HYPERLINK("https://www.spark-marketing.ru/Card/Person/94345", "ООО ""СТРОЙСЕРВИСПРОЕКТ""")</f>
        <v>ООО "СТРОЙСЕРВИСПРОЕКТ"</v>
      </c>
      <c r="K14404" s="24" t="s">
        <v>1285</v>
      </c>
      <c r="L14404" s="28" t="s">
        <v>52</v>
      </c>
      <c r="M14404" s="25">
        <v>72000</v>
      </c>
      <c r="N14404" s="27">
        <v>0.69947821905783913</v>
      </c>
    </row>
    <row r="14405" spans="1:14" hidden="1" outlineLevel="1" x14ac:dyDescent="0.2">
      <c r="A14405" s="23" t="str">
        <f t="shared" si="754"/>
        <v>ФГКОУ "САНКТ-ПЕТЕРБУРГСКИЙ КАДЕТСКИЙ КОРПУС СЛЕДСТВЕННОГО КОМИТЕТА РОССИЙСКОЙ ФЕДЕРАЦИИ"</v>
      </c>
      <c r="B14405" s="24" t="s">
        <v>16631</v>
      </c>
      <c r="C14405" s="25">
        <v>239583.3</v>
      </c>
      <c r="D14405" s="22" t="s">
        <v>16632</v>
      </c>
      <c r="E14405" s="22" t="s">
        <v>107</v>
      </c>
      <c r="F14405" s="23" t="str">
        <f t="shared" si="755"/>
        <v>Оказание услуг по техническому обслуживанию системы видеонаблюдения и системы контроля и управления доступом в ФГКОУ "Санкт-Петербургский кадетский корпус Следственного комитета Российской Федерации"</v>
      </c>
      <c r="G14405" s="22" t="s">
        <v>89</v>
      </c>
      <c r="H14405" s="22" t="s">
        <v>89</v>
      </c>
      <c r="I14405" s="26">
        <v>43515</v>
      </c>
      <c r="J14405" s="23" t="str">
        <f>HYPERLINK("https://www.spark-marketing.ru/Card/Person/4864187", "ООО ""СБ СТЭЛС""")</f>
        <v>ООО "СБ СТЭЛС"</v>
      </c>
      <c r="K14405" s="24" t="s">
        <v>7240</v>
      </c>
      <c r="L14405" s="28" t="s">
        <v>52</v>
      </c>
      <c r="M14405" s="25">
        <v>90000</v>
      </c>
      <c r="N14405" s="27">
        <v>0.624347773822299</v>
      </c>
    </row>
    <row r="14406" spans="1:14" hidden="1" outlineLevel="1" x14ac:dyDescent="0.2">
      <c r="A14406" s="23" t="str">
        <f t="shared" si="754"/>
        <v>ФГКОУ "САНКТ-ПЕТЕРБУРГСКИЙ КАДЕТСКИЙ КОРПУС СЛЕДСТВЕННОГО КОМИТЕТА РОССИЙСКОЙ ФЕДЕРАЦИИ"</v>
      </c>
      <c r="B14406" s="24" t="s">
        <v>16631</v>
      </c>
      <c r="C14406" s="25">
        <v>239583.3</v>
      </c>
      <c r="D14406" s="22" t="s">
        <v>16632</v>
      </c>
      <c r="E14406" s="22" t="s">
        <v>107</v>
      </c>
      <c r="F14406" s="23" t="str">
        <f t="shared" si="755"/>
        <v>Оказание услуг по техническому обслуживанию системы видеонаблюдения и системы контроля и управления доступом в ФГКОУ "Санкт-Петербургский кадетский корпус Следственного комитета Российской Федерации"</v>
      </c>
      <c r="G14406" s="22" t="s">
        <v>89</v>
      </c>
      <c r="H14406" s="22" t="s">
        <v>89</v>
      </c>
      <c r="I14406" s="26">
        <v>43515</v>
      </c>
      <c r="J14406" s="23" t="str">
        <f>HYPERLINK("https://www.spark-marketing.ru/Card/Person/683478", "ООО ""АЛОДИС""")</f>
        <v>ООО "АЛОДИС"</v>
      </c>
      <c r="K14406" s="24" t="s">
        <v>15570</v>
      </c>
      <c r="L14406" s="28" t="s">
        <v>52</v>
      </c>
      <c r="M14406" s="25">
        <v>98000</v>
      </c>
      <c r="N14406" s="27">
        <v>0.59095646482872555</v>
      </c>
    </row>
    <row r="14407" spans="1:14" hidden="1" outlineLevel="1" x14ac:dyDescent="0.2">
      <c r="A14407" s="23" t="str">
        <f t="shared" si="754"/>
        <v>ФГКОУ "САНКТ-ПЕТЕРБУРГСКИЙ КАДЕТСКИЙ КОРПУС СЛЕДСТВЕННОГО КОМИТЕТА РОССИЙСКОЙ ФЕДЕРАЦИИ"</v>
      </c>
      <c r="B14407" s="24" t="s">
        <v>16631</v>
      </c>
      <c r="C14407" s="25">
        <v>239583.3</v>
      </c>
      <c r="D14407" s="22" t="s">
        <v>16632</v>
      </c>
      <c r="E14407" s="22" t="s">
        <v>107</v>
      </c>
      <c r="F14407" s="23" t="str">
        <f t="shared" si="755"/>
        <v>Оказание услуг по техническому обслуживанию системы видеонаблюдения и системы контроля и управления доступом в ФГКОУ "Санкт-Петербургский кадетский корпус Следственного комитета Российской Федерации"</v>
      </c>
      <c r="G14407" s="22" t="s">
        <v>89</v>
      </c>
      <c r="H14407" s="22" t="s">
        <v>89</v>
      </c>
      <c r="I14407" s="26">
        <v>43515</v>
      </c>
      <c r="J14407" s="23" t="str">
        <f>HYPERLINK("https://www.spark-marketing.ru/Card/Person/4857651", "ООО ""МИКРОДОМ""")</f>
        <v>ООО "МИКРОДОМ"</v>
      </c>
      <c r="K14407" s="24" t="s">
        <v>11156</v>
      </c>
      <c r="L14407" s="28" t="s">
        <v>52</v>
      </c>
      <c r="M14407" s="25">
        <v>99500</v>
      </c>
      <c r="N14407" s="27">
        <v>0.58469559439243057</v>
      </c>
    </row>
    <row r="14408" spans="1:14" hidden="1" outlineLevel="1" x14ac:dyDescent="0.2">
      <c r="A14408" s="23" t="str">
        <f t="shared" si="754"/>
        <v>ФГКОУ "САНКТ-ПЕТЕРБУРГСКИЙ КАДЕТСКИЙ КОРПУС СЛЕДСТВЕННОГО КОМИТЕТА РОССИЙСКОЙ ФЕДЕРАЦИИ"</v>
      </c>
      <c r="B14408" s="24" t="s">
        <v>16631</v>
      </c>
      <c r="C14408" s="25">
        <v>239583.3</v>
      </c>
      <c r="D14408" s="22" t="s">
        <v>16632</v>
      </c>
      <c r="E14408" s="22" t="s">
        <v>107</v>
      </c>
      <c r="F14408" s="23" t="str">
        <f t="shared" si="755"/>
        <v>Оказание услуг по техническому обслуживанию системы видеонаблюдения и системы контроля и управления доступом в ФГКОУ "Санкт-Петербургский кадетский корпус Следственного комитета Российской Федерации"</v>
      </c>
      <c r="G14408" s="22" t="s">
        <v>89</v>
      </c>
      <c r="H14408" s="22" t="s">
        <v>89</v>
      </c>
      <c r="I14408" s="26">
        <v>43515</v>
      </c>
      <c r="J14408" s="23" t="str">
        <f>HYPERLINK("https://www.spark-marketing.ru/Card/Person/6404725", "ООО ""ТОРГОВАЯ КОМПАНИЯ ГЕРМЕС""")</f>
        <v>ООО "ТОРГОВАЯ КОМПАНИЯ ГЕРМЕС"</v>
      </c>
      <c r="K14408" s="24" t="s">
        <v>16006</v>
      </c>
      <c r="L14408" s="28" t="s">
        <v>52</v>
      </c>
      <c r="M14408" s="25">
        <v>125000</v>
      </c>
      <c r="N14408" s="27">
        <v>0.47826079697541524</v>
      </c>
    </row>
    <row r="14409" spans="1:14" hidden="1" outlineLevel="1" x14ac:dyDescent="0.2">
      <c r="A14409" s="23" t="str">
        <f t="shared" si="754"/>
        <v>ФГКОУ "САНКТ-ПЕТЕРБУРГСКИЙ КАДЕТСКИЙ КОРПУС СЛЕДСТВЕННОГО КОМИТЕТА РОССИЙСКОЙ ФЕДЕРАЦИИ"</v>
      </c>
      <c r="B14409" s="24" t="s">
        <v>16631</v>
      </c>
      <c r="C14409" s="25">
        <v>239583.3</v>
      </c>
      <c r="D14409" s="22" t="s">
        <v>16632</v>
      </c>
      <c r="E14409" s="22" t="s">
        <v>107</v>
      </c>
      <c r="F14409" s="23" t="str">
        <f t="shared" si="755"/>
        <v>Оказание услуг по техническому обслуживанию системы видеонаблюдения и системы контроля и управления доступом в ФГКОУ "Санкт-Петербургский кадетский корпус Следственного комитета Российской Федерации"</v>
      </c>
      <c r="G14409" s="22" t="s">
        <v>89</v>
      </c>
      <c r="H14409" s="22" t="s">
        <v>89</v>
      </c>
      <c r="I14409" s="26">
        <v>43515</v>
      </c>
      <c r="J14409" s="23" t="str">
        <f>HYPERLINK("https://www.spark-marketing.ru/Card/Person/4444931", "ООО ""ВИВАСИТИ""")</f>
        <v>ООО "ВИВАСИТИ"</v>
      </c>
      <c r="K14409" s="24" t="s">
        <v>16635</v>
      </c>
      <c r="L14409" s="28" t="s">
        <v>52</v>
      </c>
      <c r="M14409" s="25">
        <v>127800</v>
      </c>
      <c r="N14409" s="27">
        <v>0.46657383882766451</v>
      </c>
    </row>
    <row r="14410" spans="1:14" hidden="1" outlineLevel="1" x14ac:dyDescent="0.2">
      <c r="A14410" s="23" t="str">
        <f t="shared" si="754"/>
        <v>ФГКОУ "САНКТ-ПЕТЕРБУРГСКИЙ КАДЕТСКИЙ КОРПУС СЛЕДСТВЕННОГО КОМИТЕТА РОССИЙСКОЙ ФЕДЕРАЦИИ"</v>
      </c>
      <c r="B14410" s="24" t="s">
        <v>16631</v>
      </c>
      <c r="C14410" s="25">
        <v>239583.3</v>
      </c>
      <c r="D14410" s="22" t="s">
        <v>16632</v>
      </c>
      <c r="E14410" s="22" t="s">
        <v>107</v>
      </c>
      <c r="F14410" s="23" t="str">
        <f t="shared" si="755"/>
        <v>Оказание услуг по техническому обслуживанию системы видеонаблюдения и системы контроля и управления доступом в ФГКОУ "Санкт-Петербургский кадетский корпус Следственного комитета Российской Федерации"</v>
      </c>
      <c r="G14410" s="22" t="s">
        <v>89</v>
      </c>
      <c r="H14410" s="22" t="s">
        <v>89</v>
      </c>
      <c r="I14410" s="26">
        <v>43515</v>
      </c>
      <c r="J14410" s="23" t="str">
        <f>HYPERLINK("https://www.spark-marketing.ru/Card/Person/148606", "ООО ""СИТИРИТ-СТРОЙ""")</f>
        <v>ООО "СИТИРИТ-СТРОЙ"</v>
      </c>
      <c r="K14410" s="24" t="s">
        <v>15571</v>
      </c>
      <c r="L14410" s="28" t="s">
        <v>52</v>
      </c>
      <c r="M14410" s="25">
        <v>130000</v>
      </c>
      <c r="N14410" s="27">
        <v>0.45739122885443184</v>
      </c>
    </row>
    <row r="14411" spans="1:14" hidden="1" outlineLevel="1" x14ac:dyDescent="0.2">
      <c r="A14411" s="23" t="str">
        <f t="shared" si="754"/>
        <v>ФГКОУ "САНКТ-ПЕТЕРБУРГСКИЙ КАДЕТСКИЙ КОРПУС СЛЕДСТВЕННОГО КОМИТЕТА РОССИЙСКОЙ ФЕДЕРАЦИИ"</v>
      </c>
      <c r="B14411" s="24" t="s">
        <v>16631</v>
      </c>
      <c r="C14411" s="25">
        <v>239583.3</v>
      </c>
      <c r="D14411" s="22" t="s">
        <v>16632</v>
      </c>
      <c r="E14411" s="22" t="s">
        <v>107</v>
      </c>
      <c r="F14411" s="23" t="str">
        <f t="shared" si="755"/>
        <v>Оказание услуг по техническому обслуживанию системы видеонаблюдения и системы контроля и управления доступом в ФГКОУ "Санкт-Петербургский кадетский корпус Следственного комитета Российской Федерации"</v>
      </c>
      <c r="G14411" s="22" t="s">
        <v>89</v>
      </c>
      <c r="H14411" s="22" t="s">
        <v>89</v>
      </c>
      <c r="I14411" s="26">
        <v>43515</v>
      </c>
      <c r="J14411" s="23" t="str">
        <f>HYPERLINK("https://www.spark-marketing.ru/Card/Person/6293291", "Данвальд Наталья Викторовна")</f>
        <v>Данвальд Наталья Викторовна</v>
      </c>
      <c r="K14411" s="24" t="s">
        <v>10041</v>
      </c>
      <c r="L14411" s="28" t="s">
        <v>52</v>
      </c>
      <c r="M14411" s="25">
        <v>148000</v>
      </c>
      <c r="N14411" s="27">
        <v>0.38226078361889165</v>
      </c>
    </row>
    <row r="14412" spans="1:14" hidden="1" outlineLevel="1" x14ac:dyDescent="0.2">
      <c r="A14412" s="23" t="str">
        <f t="shared" si="754"/>
        <v>ФГКОУ "САНКТ-ПЕТЕРБУРГСКИЙ КАДЕТСКИЙ КОРПУС СЛЕДСТВЕННОГО КОМИТЕТА РОССИЙСКОЙ ФЕДЕРАЦИИ"</v>
      </c>
      <c r="B14412" s="24" t="s">
        <v>16631</v>
      </c>
      <c r="C14412" s="25">
        <v>239583.3</v>
      </c>
      <c r="D14412" s="22" t="s">
        <v>16632</v>
      </c>
      <c r="E14412" s="22" t="s">
        <v>107</v>
      </c>
      <c r="F14412" s="23" t="str">
        <f t="shared" si="755"/>
        <v>Оказание услуг по техническому обслуживанию системы видеонаблюдения и системы контроля и управления доступом в ФГКОУ "Санкт-Петербургский кадетский корпус Следственного комитета Российской Федерации"</v>
      </c>
      <c r="G14412" s="22" t="s">
        <v>89</v>
      </c>
      <c r="H14412" s="22" t="s">
        <v>89</v>
      </c>
      <c r="I14412" s="26">
        <v>43515</v>
      </c>
      <c r="J14412" s="23" t="str">
        <f>HYPERLINK("https://www.spark-marketing.ru/Card/Person/888873", "ООО ""МИКРОН""")</f>
        <v>ООО "МИКРОН"</v>
      </c>
      <c r="K14412" s="24" t="s">
        <v>14875</v>
      </c>
      <c r="L14412" s="28" t="s">
        <v>52</v>
      </c>
      <c r="M14412" s="25">
        <v>165000</v>
      </c>
      <c r="N14412" s="27">
        <v>0.31130425200754813</v>
      </c>
    </row>
    <row r="14413" spans="1:14" hidden="1" outlineLevel="1" x14ac:dyDescent="0.2">
      <c r="A14413" s="23" t="str">
        <f t="shared" si="754"/>
        <v>ФГКОУ "САНКТ-ПЕТЕРБУРГСКИЙ КАДЕТСКИЙ КОРПУС СЛЕДСТВЕННОГО КОМИТЕТА РОССИЙСКОЙ ФЕДЕРАЦИИ"</v>
      </c>
      <c r="B14413" s="24" t="s">
        <v>16631</v>
      </c>
      <c r="C14413" s="25">
        <v>239583.3</v>
      </c>
      <c r="D14413" s="22" t="s">
        <v>16632</v>
      </c>
      <c r="E14413" s="22" t="s">
        <v>107</v>
      </c>
      <c r="F14413" s="23" t="str">
        <f t="shared" si="755"/>
        <v>Оказание услуг по техническому обслуживанию системы видеонаблюдения и системы контроля и управления доступом в ФГКОУ "Санкт-Петербургский кадетский корпус Следственного комитета Российской Федерации"</v>
      </c>
      <c r="G14413" s="22" t="s">
        <v>89</v>
      </c>
      <c r="H14413" s="22" t="s">
        <v>89</v>
      </c>
      <c r="I14413" s="26">
        <v>43515</v>
      </c>
      <c r="J14413" s="23" t="str">
        <f>HYPERLINK("https://www.spark-marketing.ru/Card/Person/450990", "ООО ""СЕЙГАЛ""")</f>
        <v>ООО "СЕЙГАЛ"</v>
      </c>
      <c r="K14413" s="24" t="s">
        <v>11235</v>
      </c>
      <c r="L14413" s="28" t="s">
        <v>52</v>
      </c>
      <c r="M14413" s="25">
        <v>165100</v>
      </c>
      <c r="N14413" s="27">
        <v>0.31088686064512844</v>
      </c>
    </row>
    <row r="14414" spans="1:14" hidden="1" outlineLevel="1" x14ac:dyDescent="0.2">
      <c r="A14414" s="23" t="str">
        <f t="shared" si="754"/>
        <v>ФГКОУ "САНКТ-ПЕТЕРБУРГСКИЙ КАДЕТСКИЙ КОРПУС СЛЕДСТВЕННОГО КОМИТЕТА РОССИЙСКОЙ ФЕДЕРАЦИИ"</v>
      </c>
      <c r="B14414" s="24" t="s">
        <v>16631</v>
      </c>
      <c r="C14414" s="25">
        <v>239583.3</v>
      </c>
      <c r="D14414" s="22" t="s">
        <v>16632</v>
      </c>
      <c r="E14414" s="22" t="s">
        <v>107</v>
      </c>
      <c r="F14414" s="23" t="str">
        <f t="shared" si="755"/>
        <v>Оказание услуг по техническому обслуживанию системы видеонаблюдения и системы контроля и управления доступом в ФГКОУ "Санкт-Петербургский кадетский корпус Следственного комитета Российской Федерации"</v>
      </c>
      <c r="G14414" s="22" t="s">
        <v>89</v>
      </c>
      <c r="H14414" s="22" t="s">
        <v>89</v>
      </c>
      <c r="I14414" s="26">
        <v>43515</v>
      </c>
      <c r="J14414" s="23" t="str">
        <f>HYPERLINK("https://www.spark-marketing.ru/Card/Person/5910365", "Сарайский Роман Юрьевич")</f>
        <v>Сарайский Роман Юрьевич</v>
      </c>
      <c r="K14414" s="24" t="s">
        <v>16636</v>
      </c>
      <c r="L14414" s="28" t="s">
        <v>52</v>
      </c>
      <c r="M14414" s="25">
        <v>169362</v>
      </c>
      <c r="N14414" s="27">
        <v>0.29309764077880218</v>
      </c>
    </row>
    <row r="14415" spans="1:14" hidden="1" outlineLevel="1" x14ac:dyDescent="0.2">
      <c r="A14415" s="23" t="str">
        <f t="shared" si="754"/>
        <v>ФГКОУ "САНКТ-ПЕТЕРБУРГСКИЙ КАДЕТСКИЙ КОРПУС СЛЕДСТВЕННОГО КОМИТЕТА РОССИЙСКОЙ ФЕДЕРАЦИИ"</v>
      </c>
      <c r="B14415" s="24" t="s">
        <v>16631</v>
      </c>
      <c r="C14415" s="25">
        <v>239583.3</v>
      </c>
      <c r="D14415" s="22" t="s">
        <v>16632</v>
      </c>
      <c r="E14415" s="22" t="s">
        <v>107</v>
      </c>
      <c r="F14415" s="23" t="str">
        <f t="shared" si="755"/>
        <v>Оказание услуг по техническому обслуживанию системы видеонаблюдения и системы контроля и управления доступом в ФГКОУ "Санкт-Петербургский кадетский корпус Следственного комитета Российской Федерации"</v>
      </c>
      <c r="G14415" s="22" t="s">
        <v>89</v>
      </c>
      <c r="H14415" s="22" t="s">
        <v>89</v>
      </c>
      <c r="I14415" s="26">
        <v>43515</v>
      </c>
      <c r="J14415" s="23" t="str">
        <f>HYPERLINK("https://www.spark-marketing.ru/Card/Person/4881995", "ООО ""ЛУЧ""")</f>
        <v>ООО "ЛУЧ"</v>
      </c>
      <c r="K14415" s="24" t="s">
        <v>15589</v>
      </c>
      <c r="L14415" s="28" t="s">
        <v>52</v>
      </c>
      <c r="M14415" s="25">
        <v>185000</v>
      </c>
      <c r="N14415" s="27">
        <v>0.22782597952361455</v>
      </c>
    </row>
    <row r="14416" spans="1:14" hidden="1" outlineLevel="1" x14ac:dyDescent="0.2">
      <c r="A14416" s="23" t="str">
        <f t="shared" si="754"/>
        <v>ФГКОУ "САНКТ-ПЕТЕРБУРГСКИЙ КАДЕТСКИЙ КОРПУС СЛЕДСТВЕННОГО КОМИТЕТА РОССИЙСКОЙ ФЕДЕРАЦИИ"</v>
      </c>
      <c r="B14416" s="24" t="s">
        <v>16631</v>
      </c>
      <c r="C14416" s="25">
        <v>239583.3</v>
      </c>
      <c r="D14416" s="22" t="s">
        <v>16632</v>
      </c>
      <c r="E14416" s="22" t="s">
        <v>107</v>
      </c>
      <c r="F14416" s="23" t="str">
        <f t="shared" si="755"/>
        <v>Оказание услуг по техническому обслуживанию системы видеонаблюдения и системы контроля и управления доступом в ФГКОУ "Санкт-Петербургский кадетский корпус Следственного комитета Российской Федерации"</v>
      </c>
      <c r="G14416" s="22" t="s">
        <v>89</v>
      </c>
      <c r="H14416" s="22" t="s">
        <v>89</v>
      </c>
      <c r="I14416" s="26">
        <v>43515</v>
      </c>
      <c r="J14416" s="23" t="str">
        <f>HYPERLINK("https://www.spark-marketing.ru/Card/Person/4883520", "Петров Георгий Владимирович")</f>
        <v>Петров Георгий Владимирович</v>
      </c>
      <c r="K14416" s="24" t="s">
        <v>15574</v>
      </c>
      <c r="L14416" s="28" t="s">
        <v>52</v>
      </c>
      <c r="M14416" s="25">
        <v>191000</v>
      </c>
      <c r="N14416" s="27">
        <v>0.20278249777843446</v>
      </c>
    </row>
    <row r="14417" spans="1:14" hidden="1" outlineLevel="1" x14ac:dyDescent="0.2">
      <c r="A14417" s="23" t="str">
        <f t="shared" si="754"/>
        <v>ФГКОУ "САНКТ-ПЕТЕРБУРГСКИЙ КАДЕТСКИЙ КОРПУС СЛЕДСТВЕННОГО КОМИТЕТА РОССИЙСКОЙ ФЕДЕРАЦИИ"</v>
      </c>
      <c r="B14417" s="24" t="s">
        <v>16631</v>
      </c>
      <c r="C14417" s="25">
        <v>239583.3</v>
      </c>
      <c r="D14417" s="22" t="s">
        <v>16632</v>
      </c>
      <c r="E14417" s="22" t="s">
        <v>107</v>
      </c>
      <c r="F14417" s="23" t="str">
        <f t="shared" si="755"/>
        <v>Оказание услуг по техническому обслуживанию системы видеонаблюдения и системы контроля и управления доступом в ФГКОУ "Санкт-Петербургский кадетский корпус Следственного комитета Российской Федерации"</v>
      </c>
      <c r="G14417" s="22" t="s">
        <v>89</v>
      </c>
      <c r="H14417" s="22" t="s">
        <v>89</v>
      </c>
      <c r="I14417" s="26">
        <v>43515</v>
      </c>
      <c r="J14417" s="23" t="str">
        <f>HYPERLINK("https://www.spark-marketing.ru/Card/Person/5864228", "ООО ""СТБ""")</f>
        <v>ООО "СТБ"</v>
      </c>
      <c r="K14417" s="24" t="s">
        <v>16637</v>
      </c>
      <c r="L14417" s="28" t="s">
        <v>52</v>
      </c>
      <c r="M14417" s="25">
        <v>203000</v>
      </c>
      <c r="N14417" s="27">
        <v>0.15269553428807434</v>
      </c>
    </row>
    <row r="14418" spans="1:14" x14ac:dyDescent="0.15">
      <c r="A14418" s="23" t="str">
        <f>HYPERLINK("https://www.spark-marketing.ru/Card/Person/4380602", "ТУ РОСИМУЩЕСТВА В ЧЕЧЕНСКОЙ РЕСПУБЛИКЕ")</f>
        <v>ТУ РОСИМУЩЕСТВА В ЧЕЧЕНСКОЙ РЕСПУБЛИКЕ</v>
      </c>
      <c r="B14418" s="24" t="s">
        <v>16638</v>
      </c>
      <c r="C14418" s="25">
        <v>81000</v>
      </c>
      <c r="D14418" s="22" t="s">
        <v>16639</v>
      </c>
      <c r="E14418" s="22" t="s">
        <v>68</v>
      </c>
      <c r="F14418" s="23" t="str">
        <f>HYPERLINK("https://www.spark-marketing.ru/Card/Lot/68077316", "Охрана объекта ПЦО (административное здание ТУ Росимущества в Чеченской Республике)")</f>
        <v>Охрана объекта ПЦО (административное здание ТУ Росимущества в Чеченской Республике)</v>
      </c>
      <c r="G14418" s="22" t="s">
        <v>724</v>
      </c>
      <c r="H14418" s="22" t="s">
        <v>5711</v>
      </c>
      <c r="I14418" s="26">
        <v>43515</v>
      </c>
      <c r="J14418" s="28" t="s">
        <v>52</v>
      </c>
      <c r="K14418" s="28" t="s">
        <v>52</v>
      </c>
      <c r="L14418" s="28" t="s">
        <v>52</v>
      </c>
      <c r="M14418" s="28" t="s">
        <v>52</v>
      </c>
      <c r="N14418" s="28" t="s">
        <v>52</v>
      </c>
    </row>
    <row r="14419" spans="1:14" x14ac:dyDescent="0.15">
      <c r="A14419" s="23" t="str">
        <f>HYPERLINK("https://www.spark-marketing.ru/Card/Person/65058", "ФКП ""АЭРОПОРТЫ ЧУКОТКИ""")</f>
        <v>ФКП "АЭРОПОРТЫ ЧУКОТКИ"</v>
      </c>
      <c r="B14419" s="24" t="s">
        <v>13051</v>
      </c>
      <c r="C14419" s="25">
        <v>234470.05</v>
      </c>
      <c r="D14419" s="22" t="s">
        <v>16640</v>
      </c>
      <c r="E14419" s="22" t="s">
        <v>68</v>
      </c>
      <c r="F14419" s="23" t="str">
        <f>HYPERLINK("https://www.spark-marketing.ru/Card/Lot/68051419", "Оказание охранных услуг а/п Залив Креста")</f>
        <v>Оказание охранных услуг а/п Залив Креста</v>
      </c>
      <c r="G14419" s="22" t="s">
        <v>1544</v>
      </c>
      <c r="H14419" s="22" t="s">
        <v>1544</v>
      </c>
      <c r="I14419" s="26">
        <v>43515</v>
      </c>
      <c r="J14419" s="28" t="s">
        <v>52</v>
      </c>
      <c r="K14419" s="28" t="s">
        <v>52</v>
      </c>
      <c r="L14419" s="28" t="s">
        <v>52</v>
      </c>
      <c r="M14419" s="28" t="s">
        <v>52</v>
      </c>
      <c r="N14419" s="28" t="s">
        <v>52</v>
      </c>
    </row>
    <row r="14420" spans="1:14" x14ac:dyDescent="0.15">
      <c r="A14420" s="23" t="str">
        <f>HYPERLINK("https://www.spark-marketing.ru/Card/Person/4345935", "ДЕПАРТАМЕНТ СМОЛЕНСКОЙ ОБЛАСТИ ПО ЗДРАВООХРАНЕНИЮ")</f>
        <v>ДЕПАРТАМЕНТ СМОЛЕНСКОЙ ОБЛАСТИ ПО ЗДРАВООХРАНЕНИЮ</v>
      </c>
      <c r="B14420" s="24" t="s">
        <v>1449</v>
      </c>
      <c r="C14420" s="25">
        <v>2572614</v>
      </c>
      <c r="D14420" s="22" t="s">
        <v>16641</v>
      </c>
      <c r="E14420" s="22" t="s">
        <v>53</v>
      </c>
      <c r="F14420" s="23" t="str">
        <f>HYPERLINK("https://www.spark-marketing.ru/Card/Lot/68062174", "№0371 - аэф/т Поставка лекарственных препаратов (Ибрутиниб)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отпускае...")</f>
        <v>№0371 - аэф/т Поставка лекарственных препаратов (Ибрутиниб)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отпускае...</v>
      </c>
      <c r="G14420" s="22" t="s">
        <v>956</v>
      </c>
      <c r="H14420" s="22" t="s">
        <v>1451</v>
      </c>
      <c r="I14420" s="26">
        <v>43515</v>
      </c>
      <c r="J14420" s="28" t="s">
        <v>52</v>
      </c>
      <c r="K14420" s="28" t="s">
        <v>52</v>
      </c>
      <c r="L14420" s="28" t="s">
        <v>52</v>
      </c>
      <c r="M14420" s="28" t="s">
        <v>52</v>
      </c>
      <c r="N14420" s="28" t="s">
        <v>52</v>
      </c>
    </row>
    <row r="14421" spans="1:14" ht="12.75" hidden="1" outlineLevel="1" x14ac:dyDescent="0.2">
      <c r="A14421" s="23" t="str">
        <f>HYPERLINK("https://www.spark-marketing.ru/Card/Person/4345935", "ДЕПАРТАМЕНТ СМОЛЕНСКОЙ ОБЛАСТИ ПО ЗДРАВООХРАНЕНИЮ")</f>
        <v>ДЕПАРТАМЕНТ СМОЛЕНСКОЙ ОБЛАСТИ ПО ЗДРАВООХРАНЕНИЮ</v>
      </c>
      <c r="B14421" s="24" t="s">
        <v>1449</v>
      </c>
      <c r="C14421" s="25">
        <v>2572614</v>
      </c>
      <c r="D14421" s="22" t="s">
        <v>16641</v>
      </c>
      <c r="E14421" s="22" t="s">
        <v>53</v>
      </c>
      <c r="F14421" s="23" t="str">
        <f>HYPERLINK("https://www.spark-marketing.ru/Card/Lot/68062174", "№0371 - аэф/т Поставка лекарственных препаратов (Ибрутиниб)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отпускае...")</f>
        <v>№0371 - аэф/т Поставка лекарственных препаратов (Ибрутиниб)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отпускае...</v>
      </c>
      <c r="G14421" s="22" t="s">
        <v>956</v>
      </c>
      <c r="H14421" s="22" t="s">
        <v>1451</v>
      </c>
      <c r="I14421" s="26">
        <v>43515</v>
      </c>
      <c r="J14421" s="23" t="str">
        <f>HYPERLINK("https://www.spark-marketing.ru/Card/Person/4907096", "ООО ""ПРИБОРФАРМ""")</f>
        <v>ООО "ПРИБОРФАРМ"</v>
      </c>
      <c r="K14421" s="24" t="s">
        <v>2048</v>
      </c>
      <c r="L14421" s="22" t="s">
        <v>10</v>
      </c>
      <c r="M14421" s="25">
        <v>2456846.37</v>
      </c>
      <c r="N14421" s="27">
        <v>4.4999999999999998E-2</v>
      </c>
    </row>
    <row r="14422" spans="1:14" hidden="1" outlineLevel="1" x14ac:dyDescent="0.2">
      <c r="A14422" s="23" t="str">
        <f>HYPERLINK("https://www.spark-marketing.ru/Card/Person/4345935", "ДЕПАРТАМЕНТ СМОЛЕНСКОЙ ОБЛАСТИ ПО ЗДРАВООХРАНЕНИЮ")</f>
        <v>ДЕПАРТАМЕНТ СМОЛЕНСКОЙ ОБЛАСТИ ПО ЗДРАВООХРАНЕНИЮ</v>
      </c>
      <c r="B14422" s="24" t="s">
        <v>1449</v>
      </c>
      <c r="C14422" s="25">
        <v>2572614</v>
      </c>
      <c r="D14422" s="22" t="s">
        <v>16641</v>
      </c>
      <c r="E14422" s="22" t="s">
        <v>53</v>
      </c>
      <c r="F14422" s="23" t="str">
        <f>HYPERLINK("https://www.spark-marketing.ru/Card/Lot/68062174", "№0371 - аэф/т Поставка лекарственных препаратов (Ибрутиниб)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отпускае...")</f>
        <v>№0371 - аэф/т Поставка лекарственных препаратов (Ибрутиниб) для обеспечения на территории Смоленской области граждан, в соответствии с абзацем 2 п. 4 Порядка обеспечения отдельных групп населения Смоленской области лекарственными средствами, отпускае...</v>
      </c>
      <c r="G14422" s="22" t="s">
        <v>956</v>
      </c>
      <c r="H14422" s="22" t="s">
        <v>1451</v>
      </c>
      <c r="I14422" s="26">
        <v>43515</v>
      </c>
      <c r="J14422" s="23" t="str">
        <f>HYPERLINK("https://www.spark-marketing.ru/Card/Person/6492462", "ООО ""ОН.К""")</f>
        <v>ООО "ОН.К"</v>
      </c>
      <c r="K14422" s="24" t="s">
        <v>7139</v>
      </c>
      <c r="L14422" s="28" t="s">
        <v>52</v>
      </c>
      <c r="M14422" s="25">
        <v>2469709.44</v>
      </c>
      <c r="N14422" s="27">
        <v>0.04</v>
      </c>
    </row>
    <row r="14423" spans="1:14" x14ac:dyDescent="0.15">
      <c r="A14423" s="23" t="str">
        <f t="shared" ref="A14423:A14429" si="756">HYPERLINK("https://www.spark-marketing.ru/Card/Person/121048", "МКУ ""МАТТЕХОБЕСПЕЧЕНИЕ""")</f>
        <v>МКУ "МАТТЕХОБЕСПЕЧЕНИЕ"</v>
      </c>
      <c r="B14423" s="24" t="s">
        <v>16642</v>
      </c>
      <c r="C14423" s="25">
        <v>129000</v>
      </c>
      <c r="D14423" s="22" t="s">
        <v>16643</v>
      </c>
      <c r="E14423" s="22" t="s">
        <v>107</v>
      </c>
      <c r="F14423" s="23" t="str">
        <f t="shared" ref="F14423:F14429" si="757">HYPERLINK("https://www.spark-marketing.ru/Card/Lot/68094906", "Техническое обслуживание оборудования  комплексных систем охранного видеонаблюдения.")</f>
        <v>Техническое обслуживание оборудования  комплексных систем охранного видеонаблюдения.</v>
      </c>
      <c r="G14423" s="22" t="s">
        <v>132</v>
      </c>
      <c r="H14423" s="22" t="s">
        <v>11533</v>
      </c>
      <c r="I14423" s="26">
        <v>43515</v>
      </c>
      <c r="J14423" s="28" t="s">
        <v>52</v>
      </c>
      <c r="K14423" s="28" t="s">
        <v>52</v>
      </c>
      <c r="L14423" s="28" t="s">
        <v>52</v>
      </c>
      <c r="M14423" s="28" t="s">
        <v>52</v>
      </c>
      <c r="N14423" s="28" t="s">
        <v>52</v>
      </c>
    </row>
    <row r="14424" spans="1:14" hidden="1" outlineLevel="1" x14ac:dyDescent="0.2">
      <c r="A14424" s="23" t="str">
        <f t="shared" si="756"/>
        <v>МКУ "МАТТЕХОБЕСПЕЧЕНИЕ"</v>
      </c>
      <c r="B14424" s="24" t="s">
        <v>16642</v>
      </c>
      <c r="C14424" s="25">
        <v>129000</v>
      </c>
      <c r="D14424" s="22" t="s">
        <v>16643</v>
      </c>
      <c r="E14424" s="22" t="s">
        <v>107</v>
      </c>
      <c r="F14424" s="23" t="str">
        <f t="shared" si="757"/>
        <v>Техническое обслуживание оборудования  комплексных систем охранного видеонаблюдения.</v>
      </c>
      <c r="G14424" s="22" t="s">
        <v>132</v>
      </c>
      <c r="H14424" s="22" t="s">
        <v>11533</v>
      </c>
      <c r="I14424" s="26">
        <v>43515</v>
      </c>
      <c r="J14424" s="23" t="str">
        <f>HYPERLINK("https://www.spark-marketing.ru/Card/Person/6493989", "ООО ""ЮЖСМИ ИНЖИНИРИНГ ГРУПП""")</f>
        <v>ООО "ЮЖСМИ ИНЖИНИРИНГ ГРУПП"</v>
      </c>
      <c r="K14424" s="24" t="s">
        <v>16644</v>
      </c>
      <c r="L14424" s="28" t="s">
        <v>52</v>
      </c>
      <c r="M14424" s="25">
        <v>64900</v>
      </c>
      <c r="N14424" s="27">
        <v>0.49689922480620152</v>
      </c>
    </row>
    <row r="14425" spans="1:14" hidden="1" outlineLevel="1" x14ac:dyDescent="0.2">
      <c r="A14425" s="23" t="str">
        <f t="shared" si="756"/>
        <v>МКУ "МАТТЕХОБЕСПЕЧЕНИЕ"</v>
      </c>
      <c r="B14425" s="24" t="s">
        <v>16642</v>
      </c>
      <c r="C14425" s="25">
        <v>129000</v>
      </c>
      <c r="D14425" s="22" t="s">
        <v>16643</v>
      </c>
      <c r="E14425" s="22" t="s">
        <v>107</v>
      </c>
      <c r="F14425" s="23" t="str">
        <f t="shared" si="757"/>
        <v>Техническое обслуживание оборудования  комплексных систем охранного видеонаблюдения.</v>
      </c>
      <c r="G14425" s="22" t="s">
        <v>132</v>
      </c>
      <c r="H14425" s="22" t="s">
        <v>11533</v>
      </c>
      <c r="I14425" s="26">
        <v>43515</v>
      </c>
      <c r="J14425" s="23" t="str">
        <f>HYPERLINK("https://www.spark-marketing.ru/Card/Person/6499715", "ООО ""ДЕ ГРУПП""")</f>
        <v>ООО "ДЕ ГРУПП"</v>
      </c>
      <c r="K14425" s="24" t="s">
        <v>14758</v>
      </c>
      <c r="L14425" s="28" t="s">
        <v>52</v>
      </c>
      <c r="M14425" s="25">
        <v>34355</v>
      </c>
      <c r="N14425" s="27">
        <v>0.73368217054263563</v>
      </c>
    </row>
    <row r="14426" spans="1:14" hidden="1" outlineLevel="1" x14ac:dyDescent="0.2">
      <c r="A14426" s="23" t="str">
        <f t="shared" si="756"/>
        <v>МКУ "МАТТЕХОБЕСПЕЧЕНИЕ"</v>
      </c>
      <c r="B14426" s="24" t="s">
        <v>16642</v>
      </c>
      <c r="C14426" s="25">
        <v>129000</v>
      </c>
      <c r="D14426" s="22" t="s">
        <v>16643</v>
      </c>
      <c r="E14426" s="22" t="s">
        <v>107</v>
      </c>
      <c r="F14426" s="23" t="str">
        <f t="shared" si="757"/>
        <v>Техническое обслуживание оборудования  комплексных систем охранного видеонаблюдения.</v>
      </c>
      <c r="G14426" s="22" t="s">
        <v>132</v>
      </c>
      <c r="H14426" s="22" t="s">
        <v>11533</v>
      </c>
      <c r="I14426" s="26">
        <v>43515</v>
      </c>
      <c r="J14426" s="23" t="str">
        <f>HYPERLINK("https://www.spark-marketing.ru/Card/Person/5917463", "Сафонов Андрей Александрович")</f>
        <v>Сафонов Андрей Александрович</v>
      </c>
      <c r="K14426" s="24" t="s">
        <v>15392</v>
      </c>
      <c r="L14426" s="28" t="s">
        <v>52</v>
      </c>
      <c r="M14426" s="25">
        <v>89680</v>
      </c>
      <c r="N14426" s="27">
        <v>0.30480620155038762</v>
      </c>
    </row>
    <row r="14427" spans="1:14" ht="12.75" hidden="1" outlineLevel="1" x14ac:dyDescent="0.2">
      <c r="A14427" s="23" t="str">
        <f t="shared" si="756"/>
        <v>МКУ "МАТТЕХОБЕСПЕЧЕНИЕ"</v>
      </c>
      <c r="B14427" s="24" t="s">
        <v>16642</v>
      </c>
      <c r="C14427" s="25">
        <v>129000</v>
      </c>
      <c r="D14427" s="22" t="s">
        <v>16643</v>
      </c>
      <c r="E14427" s="22" t="s">
        <v>107</v>
      </c>
      <c r="F14427" s="23" t="str">
        <f t="shared" si="757"/>
        <v>Техническое обслуживание оборудования  комплексных систем охранного видеонаблюдения.</v>
      </c>
      <c r="G14427" s="22" t="s">
        <v>132</v>
      </c>
      <c r="H14427" s="22" t="s">
        <v>11533</v>
      </c>
      <c r="I14427" s="26">
        <v>43515</v>
      </c>
      <c r="J14427" s="23" t="str">
        <f>HYPERLINK("https://www.spark-marketing.ru/Card/Person/6454952", "Деулин Константин Викторович")</f>
        <v>Деулин Константин Викторович</v>
      </c>
      <c r="K14427" s="24" t="s">
        <v>14760</v>
      </c>
      <c r="L14427" s="22" t="s">
        <v>10</v>
      </c>
      <c r="M14427" s="25">
        <v>30000</v>
      </c>
      <c r="N14427" s="27">
        <v>0.76744186046511631</v>
      </c>
    </row>
    <row r="14428" spans="1:14" hidden="1" outlineLevel="1" x14ac:dyDescent="0.2">
      <c r="A14428" s="23" t="str">
        <f t="shared" si="756"/>
        <v>МКУ "МАТТЕХОБЕСПЕЧЕНИЕ"</v>
      </c>
      <c r="B14428" s="24" t="s">
        <v>16642</v>
      </c>
      <c r="C14428" s="25">
        <v>129000</v>
      </c>
      <c r="D14428" s="22" t="s">
        <v>16643</v>
      </c>
      <c r="E14428" s="22" t="s">
        <v>107</v>
      </c>
      <c r="F14428" s="23" t="str">
        <f t="shared" si="757"/>
        <v>Техническое обслуживание оборудования  комплексных систем охранного видеонаблюдения.</v>
      </c>
      <c r="G14428" s="22" t="s">
        <v>132</v>
      </c>
      <c r="H14428" s="22" t="s">
        <v>11533</v>
      </c>
      <c r="I14428" s="26">
        <v>43515</v>
      </c>
      <c r="J14428" s="23" t="str">
        <f>HYPERLINK("https://www.spark-marketing.ru/Card/Person/54834", "ООО ""СЕТИ БЕЗОПАСНОСТИ""")</f>
        <v>ООО "СЕТИ БЕЗОПАСНОСТИ"</v>
      </c>
      <c r="K14428" s="24" t="s">
        <v>1985</v>
      </c>
      <c r="L14428" s="28" t="s">
        <v>52</v>
      </c>
      <c r="M14428" s="25">
        <v>104490</v>
      </c>
      <c r="N14428" s="27">
        <v>0.19</v>
      </c>
    </row>
    <row r="14429" spans="1:14" hidden="1" outlineLevel="1" x14ac:dyDescent="0.2">
      <c r="A14429" s="23" t="str">
        <f t="shared" si="756"/>
        <v>МКУ "МАТТЕХОБЕСПЕЧЕНИЕ"</v>
      </c>
      <c r="B14429" s="24" t="s">
        <v>16642</v>
      </c>
      <c r="C14429" s="25">
        <v>129000</v>
      </c>
      <c r="D14429" s="22" t="s">
        <v>16643</v>
      </c>
      <c r="E14429" s="22" t="s">
        <v>107</v>
      </c>
      <c r="F14429" s="23" t="str">
        <f t="shared" si="757"/>
        <v>Техническое обслуживание оборудования  комплексных систем охранного видеонаблюдения.</v>
      </c>
      <c r="G14429" s="22" t="s">
        <v>132</v>
      </c>
      <c r="H14429" s="22" t="s">
        <v>11533</v>
      </c>
      <c r="I14429" s="26">
        <v>43515</v>
      </c>
      <c r="J14429" s="23" t="str">
        <f>HYPERLINK("https://www.spark-marketing.ru/Card/Person/6493590", "Краснов Сергей Викторович")</f>
        <v>Краснов Сергей Викторович</v>
      </c>
      <c r="K14429" s="24" t="s">
        <v>16645</v>
      </c>
      <c r="L14429" s="28" t="s">
        <v>52</v>
      </c>
      <c r="M14429" s="25">
        <v>105135</v>
      </c>
      <c r="N14429" s="27">
        <v>0.185</v>
      </c>
    </row>
    <row r="14430" spans="1:14" x14ac:dyDescent="0.15">
      <c r="A14430" s="23" t="str">
        <f>HYPERLINK("https://www.spark-marketing.ru/Card/Person/3093", "УСД В РЕСПУБЛИКЕ ТЫВА")</f>
        <v>УСД В РЕСПУБЛИКЕ ТЫВА</v>
      </c>
      <c r="B14430" s="24" t="s">
        <v>16646</v>
      </c>
      <c r="C14430" s="25">
        <v>237801.72</v>
      </c>
      <c r="D14430" s="22" t="s">
        <v>16647</v>
      </c>
      <c r="E14430" s="22" t="s">
        <v>68</v>
      </c>
      <c r="F14430" s="23" t="str">
        <f>HYPERLINK("https://www.spark-marketing.ru/Card/Lot/68092689", "Услуги по предупреждению, пресечению правонарушений и преступлений с помощью тревожной сигнализации для обеспечения нужд районных судов Республики Тыва")</f>
        <v>Услуги по предупреждению, пресечению правонарушений и преступлений с помощью тревожной сигнализации для обеспечения нужд районных судов Республики Тыва</v>
      </c>
      <c r="G14430" s="22" t="s">
        <v>2193</v>
      </c>
      <c r="H14430" s="22" t="s">
        <v>2193</v>
      </c>
      <c r="I14430" s="26">
        <v>43515</v>
      </c>
      <c r="J14430" s="28" t="s">
        <v>52</v>
      </c>
      <c r="K14430" s="28" t="s">
        <v>52</v>
      </c>
      <c r="L14430" s="28" t="s">
        <v>52</v>
      </c>
      <c r="M14430" s="28" t="s">
        <v>52</v>
      </c>
      <c r="N14430" s="28" t="s">
        <v>52</v>
      </c>
    </row>
    <row r="14431" spans="1:14" x14ac:dyDescent="0.15">
      <c r="A14431" s="23" t="str">
        <f>HYPERLINK("https://www.spark-marketing.ru/Card/Person/65058", "ФКП ""АЭРОПОРТЫ ЧУКОТКИ""")</f>
        <v>ФКП "АЭРОПОРТЫ ЧУКОТКИ"</v>
      </c>
      <c r="B14431" s="24" t="s">
        <v>13051</v>
      </c>
      <c r="C14431" s="25">
        <v>380313.78</v>
      </c>
      <c r="D14431" s="22" t="s">
        <v>16648</v>
      </c>
      <c r="E14431" s="22" t="s">
        <v>68</v>
      </c>
      <c r="F14431" s="23" t="str">
        <f>HYPERLINK("https://www.spark-marketing.ru/Card/Lot/68051672", "Оказание охранных услуг а/п Беринговский")</f>
        <v>Оказание охранных услуг а/п Беринговский</v>
      </c>
      <c r="G14431" s="22" t="s">
        <v>1544</v>
      </c>
      <c r="H14431" s="22" t="s">
        <v>1544</v>
      </c>
      <c r="I14431" s="26">
        <v>43515</v>
      </c>
      <c r="J14431" s="28" t="s">
        <v>52</v>
      </c>
      <c r="K14431" s="28" t="s">
        <v>52</v>
      </c>
      <c r="L14431" s="28" t="s">
        <v>52</v>
      </c>
      <c r="M14431" s="28" t="s">
        <v>52</v>
      </c>
      <c r="N14431" s="28" t="s">
        <v>52</v>
      </c>
    </row>
    <row r="14432" spans="1:14" x14ac:dyDescent="0.15">
      <c r="A14432" s="23" t="str">
        <f>HYPERLINK("https://www.spark-marketing.ru/Card/Person/109337", "ФГБУ ""АМП ЧЕРНОГО МОРЯ""")</f>
        <v>ФГБУ "АМП ЧЕРНОГО МОРЯ"</v>
      </c>
      <c r="B14432" s="24" t="s">
        <v>16649</v>
      </c>
      <c r="C14432" s="25">
        <v>50000</v>
      </c>
      <c r="D14432" s="22" t="s">
        <v>16650</v>
      </c>
      <c r="E14432" s="22" t="s">
        <v>49</v>
      </c>
      <c r="F14432" s="23" t="str">
        <f>HYPERLINK("https://www.spark-marketing.ru/Card/Lot/68041427", "техническое обслуживание системы видеонаблюдения")</f>
        <v>техническое обслуживание системы видеонаблюдения</v>
      </c>
      <c r="G14432" s="22" t="s">
        <v>132</v>
      </c>
      <c r="H14432" s="22" t="s">
        <v>452</v>
      </c>
      <c r="I14432" s="26">
        <v>43514.700266203698</v>
      </c>
      <c r="J14432" s="23" t="str">
        <f>HYPERLINK("https://www.spark-marketing.ru/Card/Person/447255", "Юнга Владимир Алексеевич")</f>
        <v>Юнга Владимир Алексеевич</v>
      </c>
      <c r="K14432" s="24" t="s">
        <v>15941</v>
      </c>
      <c r="L14432" s="28" t="s">
        <v>52</v>
      </c>
      <c r="M14432" s="28" t="s">
        <v>52</v>
      </c>
      <c r="N14432" s="28" t="s">
        <v>52</v>
      </c>
    </row>
    <row r="14433" spans="1:14" x14ac:dyDescent="0.15">
      <c r="A14433" s="23" t="str">
        <f t="shared" ref="A14433:A14439" si="758">HYPERLINK("https://www.spark-marketing.ru/Card/Person/25565", "ГБУЗ ""ЩГБ ДЗМ""")</f>
        <v>ГБУЗ "ЩГБ ДЗМ"</v>
      </c>
      <c r="B14433" s="24" t="s">
        <v>16651</v>
      </c>
      <c r="C14433" s="25">
        <v>1105011.9099999999</v>
      </c>
      <c r="D14433" s="22" t="s">
        <v>16652</v>
      </c>
      <c r="E14433" s="22" t="s">
        <v>103</v>
      </c>
      <c r="F14433" s="23" t="str">
        <f t="shared" ref="F14433:F14439" si="759">HYPERLINK("https://www.spark-marketing.ru/Card/Lot/68062179", "Аукцион в электронной форме на выполнение работ по техническому обслуживанию систем видеонаблюдения в помещениях объекта ГБУЗ «ЩГБ ДЗМ» в 2019 г.")</f>
        <v>Аукцион в электронной форме на выполнение работ по техническому обслуживанию систем видеонаблюдения в помещениях объекта ГБУЗ «ЩГБ ДЗМ» в 2019 г.</v>
      </c>
      <c r="G14433" s="22" t="s">
        <v>55</v>
      </c>
      <c r="H14433" s="22" t="s">
        <v>55</v>
      </c>
      <c r="I14433" s="26">
        <v>43515</v>
      </c>
      <c r="J14433" s="28" t="s">
        <v>52</v>
      </c>
      <c r="K14433" s="28" t="s">
        <v>52</v>
      </c>
      <c r="L14433" s="28" t="s">
        <v>52</v>
      </c>
      <c r="M14433" s="28" t="s">
        <v>52</v>
      </c>
      <c r="N14433" s="28" t="s">
        <v>52</v>
      </c>
    </row>
    <row r="14434" spans="1:14" hidden="1" outlineLevel="1" x14ac:dyDescent="0.2">
      <c r="A14434" s="23" t="str">
        <f t="shared" si="758"/>
        <v>ГБУЗ "ЩГБ ДЗМ"</v>
      </c>
      <c r="B14434" s="24" t="s">
        <v>16651</v>
      </c>
      <c r="C14434" s="25">
        <v>1105011.9099999999</v>
      </c>
      <c r="D14434" s="22" t="s">
        <v>16652</v>
      </c>
      <c r="E14434" s="22" t="s">
        <v>103</v>
      </c>
      <c r="F14434" s="23" t="str">
        <f t="shared" si="759"/>
        <v>Аукцион в электронной форме на выполнение работ по техническому обслуживанию систем видеонаблюдения в помещениях объекта ГБУЗ «ЩГБ ДЗМ» в 2019 г.</v>
      </c>
      <c r="G14434" s="22" t="s">
        <v>55</v>
      </c>
      <c r="H14434" s="22" t="s">
        <v>55</v>
      </c>
      <c r="I14434" s="26">
        <v>43515</v>
      </c>
      <c r="J14434" s="23" t="str">
        <f>HYPERLINK("https://www.spark-marketing.ru/Card/Person/10921", "ООО ""АЙТИ ФОРТ""")</f>
        <v>ООО "АЙТИ ФОРТ"</v>
      </c>
      <c r="K14434" s="24" t="s">
        <v>8546</v>
      </c>
      <c r="L14434" s="28" t="s">
        <v>52</v>
      </c>
      <c r="M14434" s="25">
        <v>590000</v>
      </c>
      <c r="N14434" s="27">
        <v>0.4660691032732851</v>
      </c>
    </row>
    <row r="14435" spans="1:14" hidden="1" outlineLevel="1" x14ac:dyDescent="0.2">
      <c r="A14435" s="23" t="str">
        <f t="shared" si="758"/>
        <v>ГБУЗ "ЩГБ ДЗМ"</v>
      </c>
      <c r="B14435" s="24" t="s">
        <v>16651</v>
      </c>
      <c r="C14435" s="25">
        <v>1105011.9099999999</v>
      </c>
      <c r="D14435" s="22" t="s">
        <v>16652</v>
      </c>
      <c r="E14435" s="22" t="s">
        <v>103</v>
      </c>
      <c r="F14435" s="23" t="str">
        <f t="shared" si="759"/>
        <v>Аукцион в электронной форме на выполнение работ по техническому обслуживанию систем видеонаблюдения в помещениях объекта ГБУЗ «ЩГБ ДЗМ» в 2019 г.</v>
      </c>
      <c r="G14435" s="22" t="s">
        <v>55</v>
      </c>
      <c r="H14435" s="22" t="s">
        <v>55</v>
      </c>
      <c r="I14435" s="26">
        <v>43515</v>
      </c>
      <c r="J14435" s="23" t="str">
        <f>HYPERLINK("https://www.spark-marketing.ru/Card/Person/6145615", "ООО ""СТИГАЛ""")</f>
        <v>ООО "СТИГАЛ"</v>
      </c>
      <c r="K14435" s="24" t="s">
        <v>16653</v>
      </c>
      <c r="L14435" s="28" t="s">
        <v>52</v>
      </c>
      <c r="M14435" s="25">
        <v>288949.88</v>
      </c>
      <c r="N14435" s="27">
        <v>0.73850971434325985</v>
      </c>
    </row>
    <row r="14436" spans="1:14" hidden="1" outlineLevel="1" x14ac:dyDescent="0.2">
      <c r="A14436" s="23" t="str">
        <f t="shared" si="758"/>
        <v>ГБУЗ "ЩГБ ДЗМ"</v>
      </c>
      <c r="B14436" s="24" t="s">
        <v>16651</v>
      </c>
      <c r="C14436" s="25">
        <v>1105011.9099999999</v>
      </c>
      <c r="D14436" s="22" t="s">
        <v>16652</v>
      </c>
      <c r="E14436" s="22" t="s">
        <v>103</v>
      </c>
      <c r="F14436" s="23" t="str">
        <f t="shared" si="759"/>
        <v>Аукцион в электронной форме на выполнение работ по техническому обслуживанию систем видеонаблюдения в помещениях объекта ГБУЗ «ЩГБ ДЗМ» в 2019 г.</v>
      </c>
      <c r="G14436" s="22" t="s">
        <v>55</v>
      </c>
      <c r="H14436" s="22" t="s">
        <v>55</v>
      </c>
      <c r="I14436" s="26">
        <v>43515</v>
      </c>
      <c r="J14436" s="23" t="str">
        <f>HYPERLINK("https://www.spark-marketing.ru/Card/Person/699561", "ООО ""ТЕО-БЕЗОПАСНОСТЬ""")</f>
        <v>ООО "ТЕО-БЕЗОПАСНОСТЬ"</v>
      </c>
      <c r="K14436" s="24" t="s">
        <v>10575</v>
      </c>
      <c r="L14436" s="28" t="s">
        <v>52</v>
      </c>
      <c r="M14436" s="25">
        <v>800000</v>
      </c>
      <c r="N14436" s="27">
        <v>0.27602590274343741</v>
      </c>
    </row>
    <row r="14437" spans="1:14" hidden="1" outlineLevel="1" x14ac:dyDescent="0.2">
      <c r="A14437" s="23" t="str">
        <f t="shared" si="758"/>
        <v>ГБУЗ "ЩГБ ДЗМ"</v>
      </c>
      <c r="B14437" s="24" t="s">
        <v>16651</v>
      </c>
      <c r="C14437" s="25">
        <v>1105011.9099999999</v>
      </c>
      <c r="D14437" s="22" t="s">
        <v>16652</v>
      </c>
      <c r="E14437" s="22" t="s">
        <v>103</v>
      </c>
      <c r="F14437" s="23" t="str">
        <f t="shared" si="759"/>
        <v>Аукцион в электронной форме на выполнение работ по техническому обслуживанию систем видеонаблюдения в помещениях объекта ГБУЗ «ЩГБ ДЗМ» в 2019 г.</v>
      </c>
      <c r="G14437" s="22" t="s">
        <v>55</v>
      </c>
      <c r="H14437" s="22" t="s">
        <v>55</v>
      </c>
      <c r="I14437" s="26">
        <v>43515</v>
      </c>
      <c r="J14437" s="23" t="str">
        <f>HYPERLINK("https://www.spark-marketing.ru/Card/Person/6445825", "Судариков Михаил Геннадьевич")</f>
        <v>Судариков Михаил Геннадьевич</v>
      </c>
      <c r="K14437" s="24" t="s">
        <v>1219</v>
      </c>
      <c r="L14437" s="28" t="s">
        <v>52</v>
      </c>
      <c r="M14437" s="25">
        <v>200548.92</v>
      </c>
      <c r="N14437" s="27">
        <v>0.81850972085902673</v>
      </c>
    </row>
    <row r="14438" spans="1:14" ht="12.75" hidden="1" outlineLevel="1" x14ac:dyDescent="0.2">
      <c r="A14438" s="23" t="str">
        <f t="shared" si="758"/>
        <v>ГБУЗ "ЩГБ ДЗМ"</v>
      </c>
      <c r="B14438" s="24" t="s">
        <v>16651</v>
      </c>
      <c r="C14438" s="25">
        <v>1105011.9099999999</v>
      </c>
      <c r="D14438" s="22" t="s">
        <v>16652</v>
      </c>
      <c r="E14438" s="22" t="s">
        <v>103</v>
      </c>
      <c r="F14438" s="23" t="str">
        <f t="shared" si="759"/>
        <v>Аукцион в электронной форме на выполнение работ по техническому обслуживанию систем видеонаблюдения в помещениях объекта ГБУЗ «ЩГБ ДЗМ» в 2019 г.</v>
      </c>
      <c r="G14438" s="22" t="s">
        <v>55</v>
      </c>
      <c r="H14438" s="22" t="s">
        <v>55</v>
      </c>
      <c r="I14438" s="26">
        <v>43515</v>
      </c>
      <c r="J14438" s="23" t="str">
        <f>HYPERLINK("https://www.spark-marketing.ru/Card/Person/645037", "Родюк Любовь Николаевна")</f>
        <v>Родюк Любовь Николаевна</v>
      </c>
      <c r="K14438" s="24" t="s">
        <v>16654</v>
      </c>
      <c r="L14438" s="22" t="s">
        <v>10</v>
      </c>
      <c r="M14438" s="25">
        <v>195023.86</v>
      </c>
      <c r="N14438" s="27">
        <v>0.82350972126626221</v>
      </c>
    </row>
    <row r="14439" spans="1:14" hidden="1" outlineLevel="1" x14ac:dyDescent="0.2">
      <c r="A14439" s="23" t="str">
        <f t="shared" si="758"/>
        <v>ГБУЗ "ЩГБ ДЗМ"</v>
      </c>
      <c r="B14439" s="24" t="s">
        <v>16651</v>
      </c>
      <c r="C14439" s="25">
        <v>1105011.9099999999</v>
      </c>
      <c r="D14439" s="22" t="s">
        <v>16652</v>
      </c>
      <c r="E14439" s="22" t="s">
        <v>103</v>
      </c>
      <c r="F14439" s="23" t="str">
        <f t="shared" si="759"/>
        <v>Аукцион в электронной форме на выполнение работ по техническому обслуживанию систем видеонаблюдения в помещениях объекта ГБУЗ «ЩГБ ДЗМ» в 2019 г.</v>
      </c>
      <c r="G14439" s="22" t="s">
        <v>55</v>
      </c>
      <c r="H14439" s="22" t="s">
        <v>55</v>
      </c>
      <c r="I14439" s="26">
        <v>43515</v>
      </c>
      <c r="J14439" s="23" t="str">
        <f>HYPERLINK("https://www.spark-marketing.ru/Card/Person/6218601", "ООО ""ТОИР ИНЖЕНЕРИНГ""")</f>
        <v>ООО "ТОИР ИНЖЕНЕРИНГ"</v>
      </c>
      <c r="K14439" s="24" t="s">
        <v>16655</v>
      </c>
      <c r="L14439" s="28" t="s">
        <v>52</v>
      </c>
      <c r="M14439" s="25">
        <v>294474.94</v>
      </c>
      <c r="N14439" s="27">
        <v>0.73350971393602449</v>
      </c>
    </row>
    <row r="14440" spans="1:14" x14ac:dyDescent="0.15">
      <c r="A14440" s="23" t="str">
        <f>HYPERLINK("https://www.spark-marketing.ru/Card/Person/4343740", "МИНЗДРАВ РОССИИ")</f>
        <v>МИНЗДРАВ РОССИИ</v>
      </c>
      <c r="B14440" s="24" t="s">
        <v>1666</v>
      </c>
      <c r="C14440" s="25">
        <v>70650361.079999998</v>
      </c>
      <c r="D14440" s="22" t="s">
        <v>16656</v>
      </c>
      <c r="E14440" s="22" t="s">
        <v>53</v>
      </c>
      <c r="F14440" s="23" t="str">
        <f>HYPERLINK("https://www.spark-marketing.ru/Card/Lot/68099194", "Идурсульфаза бета, концентрат для приготовления раствора для инфузий, 2 мг/мл, 3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f>
        <v>Идурсульфаза бета, концентрат для приготовления раствора для инфузий, 2 мг/мл, 3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v>
      </c>
      <c r="G14440" s="22" t="s">
        <v>556</v>
      </c>
      <c r="H14440" s="22" t="s">
        <v>557</v>
      </c>
      <c r="I14440" s="26">
        <v>43515</v>
      </c>
      <c r="J14440" s="23" t="str">
        <f>HYPERLINK("https://www.spark-marketing.ru/Card/Person/49894", "ООО ""МЕДИЛОН-ФАРМИМЭКС""")</f>
        <v>ООО "МЕДИЛОН-ФАРМИМЭКС"</v>
      </c>
      <c r="K14440" s="24" t="s">
        <v>16657</v>
      </c>
      <c r="L14440" s="22" t="s">
        <v>10</v>
      </c>
      <c r="M14440" s="28" t="s">
        <v>52</v>
      </c>
      <c r="N14440" s="28" t="s">
        <v>52</v>
      </c>
    </row>
    <row r="14441" spans="1:14" x14ac:dyDescent="0.15">
      <c r="A14441" s="23" t="str">
        <f>HYPERLINK("https://www.spark-marketing.ru/Card/Person/4343740", "МИНЗДРАВ РОССИИ")</f>
        <v>МИНЗДРАВ РОССИИ</v>
      </c>
      <c r="B14441" s="24" t="s">
        <v>1666</v>
      </c>
      <c r="C14441" s="25">
        <v>99157382.400000006</v>
      </c>
      <c r="D14441" s="22" t="s">
        <v>16658</v>
      </c>
      <c r="E14441" s="22" t="s">
        <v>53</v>
      </c>
      <c r="F14441" s="23" t="str">
        <f>HYPERLINK("https://www.spark-marketing.ru/Card/Lot/68099488", "Глатирамера ацетат, раствор для подкожного введения, 40 мг/мл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f>
        <v>Глатирамера ацетат, раствор для подкожного введения, 40 мг/мл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v>
      </c>
      <c r="G14441" s="22" t="s">
        <v>230</v>
      </c>
      <c r="H14441" s="22" t="s">
        <v>231</v>
      </c>
      <c r="I14441" s="26">
        <v>43515</v>
      </c>
      <c r="J14441" s="23" t="str">
        <f>HYPERLINK("https://www.spark-marketing.ru/Card/Person/4345864", "АО ""Р-ФАРМ""")</f>
        <v>АО "Р-ФАРМ"</v>
      </c>
      <c r="K14441" s="24" t="s">
        <v>5343</v>
      </c>
      <c r="L14441" s="22" t="s">
        <v>10</v>
      </c>
      <c r="M14441" s="28" t="s">
        <v>52</v>
      </c>
      <c r="N14441" s="28" t="s">
        <v>52</v>
      </c>
    </row>
    <row r="14442" spans="1:14" x14ac:dyDescent="0.15">
      <c r="A14442" s="23" t="str">
        <f>HYPERLINK("https://www.spark-marketing.ru/Card/Person/9007", "УСД В РЕСПУБЛИКЕ БАШКОРТОСТАН")</f>
        <v>УСД В РЕСПУБЛИКЕ БАШКОРТОСТАН</v>
      </c>
      <c r="B14442" s="24" t="s">
        <v>16617</v>
      </c>
      <c r="C14442" s="25">
        <v>96918.6</v>
      </c>
      <c r="D14442" s="22" t="s">
        <v>16659</v>
      </c>
      <c r="E14442" s="22" t="s">
        <v>68</v>
      </c>
      <c r="F14442" s="23" t="str">
        <f>HYPERLINK("https://www.spark-marketing.ru/Card/Lot/68096300", "Оказание охранных услуг")</f>
        <v>Оказание охранных услуг</v>
      </c>
      <c r="G14442" s="22" t="s">
        <v>100</v>
      </c>
      <c r="H14442" s="22" t="s">
        <v>373</v>
      </c>
      <c r="I14442" s="26">
        <v>43515</v>
      </c>
      <c r="J14442" s="28" t="s">
        <v>52</v>
      </c>
      <c r="K14442" s="28" t="s">
        <v>52</v>
      </c>
      <c r="L14442" s="28" t="s">
        <v>52</v>
      </c>
      <c r="M14442" s="28" t="s">
        <v>52</v>
      </c>
      <c r="N14442" s="28" t="s">
        <v>52</v>
      </c>
    </row>
    <row r="14443" spans="1:14" x14ac:dyDescent="0.15">
      <c r="A14443" s="23" t="str">
        <f>HYPERLINK("https://www.spark-marketing.ru/Card/Person/62829", "КГБУЗ ""АРТЕМОВСКАЯ ГБ № 1""")</f>
        <v>КГБУЗ "АРТЕМОВСКАЯ ГБ № 1"</v>
      </c>
      <c r="B14443" s="24" t="s">
        <v>16660</v>
      </c>
      <c r="C14443" s="25">
        <v>163200</v>
      </c>
      <c r="D14443" s="22" t="s">
        <v>16661</v>
      </c>
      <c r="E14443" s="22" t="s">
        <v>68</v>
      </c>
      <c r="F14443" s="23" t="str">
        <f>HYPERLINK("https://www.spark-marketing.ru/Card/Lot/68055371", "Оказание услуг по охране имущества и тревожному мониторингу КГБУЗ ""Артемовская ГБ № 1""")</f>
        <v>Оказание услуг по охране имущества и тревожному мониторингу КГБУЗ "Артемовская ГБ № 1"</v>
      </c>
      <c r="G14443" s="22" t="s">
        <v>409</v>
      </c>
      <c r="H14443" s="22" t="s">
        <v>3324</v>
      </c>
      <c r="I14443" s="26">
        <v>43515</v>
      </c>
      <c r="J14443" s="28" t="s">
        <v>52</v>
      </c>
      <c r="K14443" s="28" t="s">
        <v>52</v>
      </c>
      <c r="L14443" s="28" t="s">
        <v>52</v>
      </c>
      <c r="M14443" s="28" t="s">
        <v>52</v>
      </c>
      <c r="N14443" s="28" t="s">
        <v>52</v>
      </c>
    </row>
    <row r="14444" spans="1:14" hidden="1" outlineLevel="1" x14ac:dyDescent="0.2">
      <c r="A14444" s="23" t="str">
        <f>HYPERLINK("https://www.spark-marketing.ru/Card/Person/62829", "КГБУЗ ""АРТЕМОВСКАЯ ГБ № 1""")</f>
        <v>КГБУЗ "АРТЕМОВСКАЯ ГБ № 1"</v>
      </c>
      <c r="B14444" s="24" t="s">
        <v>16660</v>
      </c>
      <c r="C14444" s="25">
        <v>163200</v>
      </c>
      <c r="D14444" s="22" t="s">
        <v>16661</v>
      </c>
      <c r="E14444" s="22" t="s">
        <v>68</v>
      </c>
      <c r="F14444" s="23" t="str">
        <f>HYPERLINK("https://www.spark-marketing.ru/Card/Lot/68055371", "Оказание услуг по охране имущества и тревожному мониторингу КГБУЗ ""Артемовская ГБ № 1""")</f>
        <v>Оказание услуг по охране имущества и тревожному мониторингу КГБУЗ "Артемовская ГБ № 1"</v>
      </c>
      <c r="G14444" s="22" t="s">
        <v>409</v>
      </c>
      <c r="H14444" s="22" t="s">
        <v>3324</v>
      </c>
      <c r="I14444" s="26">
        <v>43515</v>
      </c>
      <c r="J14444" s="23" t="str">
        <f>HYPERLINK("https://www.spark-marketing.ru/Card/Person/1211120", "ООО ""ЧОО ""ГРАНИТ-ПК""")</f>
        <v>ООО "ЧОО "ГРАНИТ-ПК"</v>
      </c>
      <c r="K14444" s="24" t="s">
        <v>16662</v>
      </c>
      <c r="L14444" s="28" t="s">
        <v>52</v>
      </c>
      <c r="M14444" s="25">
        <v>151776</v>
      </c>
      <c r="N14444" s="27">
        <v>7.0000000000000007E-2</v>
      </c>
    </row>
    <row r="14445" spans="1:14" ht="12.75" hidden="1" outlineLevel="1" x14ac:dyDescent="0.2">
      <c r="A14445" s="23" t="str">
        <f>HYPERLINK("https://www.spark-marketing.ru/Card/Person/62829", "КГБУЗ ""АРТЕМОВСКАЯ ГБ № 1""")</f>
        <v>КГБУЗ "АРТЕМОВСКАЯ ГБ № 1"</v>
      </c>
      <c r="B14445" s="24" t="s">
        <v>16660</v>
      </c>
      <c r="C14445" s="25">
        <v>163200</v>
      </c>
      <c r="D14445" s="22" t="s">
        <v>16661</v>
      </c>
      <c r="E14445" s="22" t="s">
        <v>68</v>
      </c>
      <c r="F14445" s="23" t="str">
        <f>HYPERLINK("https://www.spark-marketing.ru/Card/Lot/68055371", "Оказание услуг по охране имущества и тревожному мониторингу КГБУЗ ""Артемовская ГБ № 1""")</f>
        <v>Оказание услуг по охране имущества и тревожному мониторингу КГБУЗ "Артемовская ГБ № 1"</v>
      </c>
      <c r="G14445" s="22" t="s">
        <v>409</v>
      </c>
      <c r="H14445" s="22" t="s">
        <v>3324</v>
      </c>
      <c r="I14445" s="26">
        <v>43515</v>
      </c>
      <c r="J14445" s="23" t="str">
        <f>HYPERLINK("https://www.spark-marketing.ru/Card/Person/470554", "ООО ЧОП ""ОХРАННОЕ АГЕНТСТВО ""ФОТОН-СЕКЬЮРИТИ""")</f>
        <v>ООО ЧОП "ОХРАННОЕ АГЕНТСТВО "ФОТОН-СЕКЬЮРИТИ"</v>
      </c>
      <c r="K14445" s="24" t="s">
        <v>16663</v>
      </c>
      <c r="L14445" s="22" t="s">
        <v>10</v>
      </c>
      <c r="M14445" s="25">
        <v>150960</v>
      </c>
      <c r="N14445" s="27">
        <v>7.4999999999999997E-2</v>
      </c>
    </row>
    <row r="14446" spans="1:14" x14ac:dyDescent="0.15">
      <c r="A14446" s="23" t="str">
        <f>HYPERLINK("https://www.spark-marketing.ru/Card/Person/1025248", "МКУ ""АСФ ЗАТО Г. ОСТРОВНОЙ""")</f>
        <v>МКУ "АСФ ЗАТО Г. ОСТРОВНОЙ"</v>
      </c>
      <c r="B14446" s="24" t="s">
        <v>16664</v>
      </c>
      <c r="C14446" s="25">
        <v>297996</v>
      </c>
      <c r="D14446" s="22" t="s">
        <v>16665</v>
      </c>
      <c r="E14446" s="22" t="s">
        <v>103</v>
      </c>
      <c r="F14446" s="23" t="str">
        <f>HYPERLINK("https://www.spark-marketing.ru/Card/Lot/68075501", "Оказание услуг по техническому обслуживанию системы видеонаблюдения «Безопасный город»")</f>
        <v>Оказание услуг по техническому обслуживанию системы видеонаблюдения «Безопасный город»</v>
      </c>
      <c r="G14446" s="22" t="s">
        <v>190</v>
      </c>
      <c r="H14446" s="22" t="s">
        <v>16666</v>
      </c>
      <c r="I14446" s="26">
        <v>43515</v>
      </c>
      <c r="J14446" s="28" t="s">
        <v>52</v>
      </c>
      <c r="K14446" s="28" t="s">
        <v>52</v>
      </c>
      <c r="L14446" s="28" t="s">
        <v>52</v>
      </c>
      <c r="M14446" s="28" t="s">
        <v>52</v>
      </c>
      <c r="N14446" s="28" t="s">
        <v>52</v>
      </c>
    </row>
    <row r="14447" spans="1:14" hidden="1" outlineLevel="1" x14ac:dyDescent="0.2">
      <c r="A14447" s="23" t="str">
        <f>HYPERLINK("https://www.spark-marketing.ru/Card/Person/1025248", "МКУ ""АСФ ЗАТО Г. ОСТРОВНОЙ""")</f>
        <v>МКУ "АСФ ЗАТО Г. ОСТРОВНОЙ"</v>
      </c>
      <c r="B14447" s="24" t="s">
        <v>16664</v>
      </c>
      <c r="C14447" s="25">
        <v>297996</v>
      </c>
      <c r="D14447" s="22" t="s">
        <v>16665</v>
      </c>
      <c r="E14447" s="22" t="s">
        <v>103</v>
      </c>
      <c r="F14447" s="23" t="str">
        <f>HYPERLINK("https://www.spark-marketing.ru/Card/Lot/68075501", "Оказание услуг по техническому обслуживанию системы видеонаблюдения «Безопасный город»")</f>
        <v>Оказание услуг по техническому обслуживанию системы видеонаблюдения «Безопасный город»</v>
      </c>
      <c r="G14447" s="22" t="s">
        <v>190</v>
      </c>
      <c r="H14447" s="22" t="s">
        <v>16666</v>
      </c>
      <c r="I14447" s="26">
        <v>43515</v>
      </c>
      <c r="J14447" s="23" t="str">
        <f>HYPERLINK("https://www.spark-marketing.ru/Card/Person/718509", "ООО ""АКСИОН""")</f>
        <v>ООО "АКСИОН"</v>
      </c>
      <c r="K14447" s="24" t="s">
        <v>16667</v>
      </c>
      <c r="L14447" s="28" t="s">
        <v>52</v>
      </c>
      <c r="M14447" s="25">
        <v>189333.26</v>
      </c>
      <c r="N14447" s="27">
        <v>0.36464496167733795</v>
      </c>
    </row>
    <row r="14448" spans="1:14" ht="12.75" hidden="1" outlineLevel="1" x14ac:dyDescent="0.2">
      <c r="A14448" s="23" t="str">
        <f>HYPERLINK("https://www.spark-marketing.ru/Card/Person/1025248", "МКУ ""АСФ ЗАТО Г. ОСТРОВНОЙ""")</f>
        <v>МКУ "АСФ ЗАТО Г. ОСТРОВНОЙ"</v>
      </c>
      <c r="B14448" s="24" t="s">
        <v>16664</v>
      </c>
      <c r="C14448" s="25">
        <v>297996</v>
      </c>
      <c r="D14448" s="22" t="s">
        <v>16665</v>
      </c>
      <c r="E14448" s="22" t="s">
        <v>103</v>
      </c>
      <c r="F14448" s="23" t="str">
        <f>HYPERLINK("https://www.spark-marketing.ru/Card/Lot/68075501", "Оказание услуг по техническому обслуживанию системы видеонаблюдения «Безопасный город»")</f>
        <v>Оказание услуг по техническому обслуживанию системы видеонаблюдения «Безопасный город»</v>
      </c>
      <c r="G14448" s="22" t="s">
        <v>190</v>
      </c>
      <c r="H14448" s="22" t="s">
        <v>16666</v>
      </c>
      <c r="I14448" s="26">
        <v>43515</v>
      </c>
      <c r="J14448" s="23" t="str">
        <f>HYPERLINK("https://www.spark-marketing.ru/Card/Person/370612", "МУПСИСМИ ""ИНФО-СПУТНИК""")</f>
        <v>МУПСИСМИ "ИНФО-СПУТНИК"</v>
      </c>
      <c r="K14448" s="24" t="s">
        <v>16668</v>
      </c>
      <c r="L14448" s="22" t="s">
        <v>10</v>
      </c>
      <c r="M14448" s="25">
        <v>180543.26</v>
      </c>
      <c r="N14448" s="27">
        <v>0.39414200190606585</v>
      </c>
    </row>
    <row r="14449" spans="1:14" x14ac:dyDescent="0.15">
      <c r="A14449" s="23" t="str">
        <f t="shared" ref="A14449:A14458" si="760">HYPERLINK("https://www.spark-marketing.ru/Card/Person/53754", "МБУЗ РОД-НЕСВЕТАЙСКОГО РАЙОНА ""ЦРБ""")</f>
        <v>МБУЗ РОД-НЕСВЕТАЙСКОГО РАЙОНА "ЦРБ"</v>
      </c>
      <c r="B14449" s="24" t="s">
        <v>1486</v>
      </c>
      <c r="C14449" s="25">
        <v>167874</v>
      </c>
      <c r="D14449" s="22" t="s">
        <v>16669</v>
      </c>
      <c r="E14449" s="22" t="s">
        <v>59</v>
      </c>
      <c r="F14449" s="23" t="str">
        <f t="shared" ref="F14449:F14458" si="761">HYPERLINK("https://www.spark-marketing.ru/Card/Lot/68086309", "Оснащение уличным видеонаблюдением МБУЗ Род-Несветайского района «ЦРБ» по адресу:  346580, Ростовская область, Родионово-Несветаевский район, сл. Родионово-Несветайская, ул. Южная, дом 20")</f>
        <v>Оснащение уличным видеонаблюдением МБУЗ Род-Несветайского района «ЦРБ» по адресу:  346580, Ростовская область, Родионово-Несветаевский район, сл. Родионово-Несветайская, ул. Южная, дом 20</v>
      </c>
      <c r="G14449" s="22" t="s">
        <v>402</v>
      </c>
      <c r="H14449" s="22" t="s">
        <v>402</v>
      </c>
      <c r="I14449" s="26">
        <v>43515</v>
      </c>
      <c r="J14449" s="28" t="s">
        <v>52</v>
      </c>
      <c r="K14449" s="28" t="s">
        <v>52</v>
      </c>
      <c r="L14449" s="28" t="s">
        <v>52</v>
      </c>
      <c r="M14449" s="28" t="s">
        <v>52</v>
      </c>
      <c r="N14449" s="28" t="s">
        <v>52</v>
      </c>
    </row>
    <row r="14450" spans="1:14" hidden="1" outlineLevel="1" x14ac:dyDescent="0.2">
      <c r="A14450" s="23" t="str">
        <f t="shared" si="760"/>
        <v>МБУЗ РОД-НЕСВЕТАЙСКОГО РАЙОНА "ЦРБ"</v>
      </c>
      <c r="B14450" s="24" t="s">
        <v>1486</v>
      </c>
      <c r="C14450" s="25">
        <v>167874</v>
      </c>
      <c r="D14450" s="22" t="s">
        <v>16669</v>
      </c>
      <c r="E14450" s="22" t="s">
        <v>59</v>
      </c>
      <c r="F14450" s="23" t="str">
        <f t="shared" si="761"/>
        <v>Оснащение уличным видеонаблюдением МБУЗ Род-Несветайского района «ЦРБ» по адресу:  346580, Ростовская область, Родионово-Несветаевский район, сл. Родионово-Несветайская, ул. Южная, дом 20</v>
      </c>
      <c r="G14450" s="22" t="s">
        <v>402</v>
      </c>
      <c r="H14450" s="22" t="s">
        <v>402</v>
      </c>
      <c r="I14450" s="26">
        <v>43515</v>
      </c>
      <c r="J14450" s="23" t="str">
        <f>HYPERLINK("https://www.spark-marketing.ru/Card/Person/6503166", "Богославский Александр Николаевич")</f>
        <v>Богославский Александр Николаевич</v>
      </c>
      <c r="K14450" s="24" t="s">
        <v>16670</v>
      </c>
      <c r="L14450" s="28" t="s">
        <v>52</v>
      </c>
      <c r="M14450" s="25">
        <v>148677.15</v>
      </c>
      <c r="N14450" s="27">
        <v>0.11435272883233855</v>
      </c>
    </row>
    <row r="14451" spans="1:14" hidden="1" outlineLevel="1" x14ac:dyDescent="0.2">
      <c r="A14451" s="23" t="str">
        <f t="shared" si="760"/>
        <v>МБУЗ РОД-НЕСВЕТАЙСКОГО РАЙОНА "ЦРБ"</v>
      </c>
      <c r="B14451" s="24" t="s">
        <v>1486</v>
      </c>
      <c r="C14451" s="25">
        <v>167874</v>
      </c>
      <c r="D14451" s="22" t="s">
        <v>16669</v>
      </c>
      <c r="E14451" s="22" t="s">
        <v>59</v>
      </c>
      <c r="F14451" s="23" t="str">
        <f t="shared" si="761"/>
        <v>Оснащение уличным видеонаблюдением МБУЗ Род-Несветайского района «ЦРБ» по адресу:  346580, Ростовская область, Родионово-Несветаевский район, сл. Родионово-Несветайская, ул. Южная, дом 20</v>
      </c>
      <c r="G14451" s="22" t="s">
        <v>402</v>
      </c>
      <c r="H14451" s="22" t="s">
        <v>402</v>
      </c>
      <c r="I14451" s="26">
        <v>43515</v>
      </c>
      <c r="J14451" s="23" t="str">
        <f>HYPERLINK("https://www.spark-marketing.ru/Card/Person/373670", "ООО ""ОПС""")</f>
        <v>ООО "ОПС"</v>
      </c>
      <c r="K14451" s="24" t="s">
        <v>4634</v>
      </c>
      <c r="L14451" s="28" t="s">
        <v>52</v>
      </c>
      <c r="M14451" s="25">
        <v>71569.08</v>
      </c>
      <c r="N14451" s="27">
        <v>0.57367382679867041</v>
      </c>
    </row>
    <row r="14452" spans="1:14" hidden="1" outlineLevel="1" x14ac:dyDescent="0.2">
      <c r="A14452" s="23" t="str">
        <f t="shared" si="760"/>
        <v>МБУЗ РОД-НЕСВЕТАЙСКОГО РАЙОНА "ЦРБ"</v>
      </c>
      <c r="B14452" s="24" t="s">
        <v>1486</v>
      </c>
      <c r="C14452" s="25">
        <v>167874</v>
      </c>
      <c r="D14452" s="22" t="s">
        <v>16669</v>
      </c>
      <c r="E14452" s="22" t="s">
        <v>59</v>
      </c>
      <c r="F14452" s="23" t="str">
        <f t="shared" si="761"/>
        <v>Оснащение уличным видеонаблюдением МБУЗ Род-Несветайского района «ЦРБ» по адресу:  346580, Ростовская область, Родионово-Несветаевский район, сл. Родионово-Несветайская, ул. Южная, дом 20</v>
      </c>
      <c r="G14452" s="22" t="s">
        <v>402</v>
      </c>
      <c r="H14452" s="22" t="s">
        <v>402</v>
      </c>
      <c r="I14452" s="26">
        <v>43515</v>
      </c>
      <c r="J14452" s="23" t="str">
        <f>HYPERLINK("https://www.spark-marketing.ru/Card/Person/6280043", "ООО ""ДСК-ГРАД""")</f>
        <v>ООО "ДСК-ГРАД"</v>
      </c>
      <c r="K14452" s="24" t="s">
        <v>16671</v>
      </c>
      <c r="L14452" s="28" t="s">
        <v>52</v>
      </c>
      <c r="M14452" s="25">
        <v>128321.26</v>
      </c>
      <c r="N14452" s="27">
        <v>0.23560968345306599</v>
      </c>
    </row>
    <row r="14453" spans="1:14" hidden="1" outlineLevel="1" x14ac:dyDescent="0.2">
      <c r="A14453" s="23" t="str">
        <f t="shared" si="760"/>
        <v>МБУЗ РОД-НЕСВЕТАЙСКОГО РАЙОНА "ЦРБ"</v>
      </c>
      <c r="B14453" s="24" t="s">
        <v>1486</v>
      </c>
      <c r="C14453" s="25">
        <v>167874</v>
      </c>
      <c r="D14453" s="22" t="s">
        <v>16669</v>
      </c>
      <c r="E14453" s="22" t="s">
        <v>59</v>
      </c>
      <c r="F14453" s="23" t="str">
        <f t="shared" si="761"/>
        <v>Оснащение уличным видеонаблюдением МБУЗ Род-Несветайского района «ЦРБ» по адресу:  346580, Ростовская область, Родионово-Несветаевский район, сл. Родионово-Несветайская, ул. Южная, дом 20</v>
      </c>
      <c r="G14453" s="22" t="s">
        <v>402</v>
      </c>
      <c r="H14453" s="22" t="s">
        <v>402</v>
      </c>
      <c r="I14453" s="26">
        <v>43515</v>
      </c>
      <c r="J14453" s="23" t="str">
        <f>HYPERLINK("https://www.spark-marketing.ru/Card/Person/6496410", "ООО ""ТСС""")</f>
        <v>ООО "ТСС"</v>
      </c>
      <c r="K14453" s="24" t="s">
        <v>16672</v>
      </c>
      <c r="L14453" s="28" t="s">
        <v>52</v>
      </c>
      <c r="M14453" s="25">
        <v>102248.82</v>
      </c>
      <c r="N14453" s="27">
        <v>0.39091926087422713</v>
      </c>
    </row>
    <row r="14454" spans="1:14" ht="12.75" hidden="1" outlineLevel="1" x14ac:dyDescent="0.2">
      <c r="A14454" s="23" t="str">
        <f t="shared" si="760"/>
        <v>МБУЗ РОД-НЕСВЕТАЙСКОГО РАЙОНА "ЦРБ"</v>
      </c>
      <c r="B14454" s="24" t="s">
        <v>1486</v>
      </c>
      <c r="C14454" s="25">
        <v>167874</v>
      </c>
      <c r="D14454" s="22" t="s">
        <v>16669</v>
      </c>
      <c r="E14454" s="22" t="s">
        <v>59</v>
      </c>
      <c r="F14454" s="23" t="str">
        <f t="shared" si="761"/>
        <v>Оснащение уличным видеонаблюдением МБУЗ Род-Несветайского района «ЦРБ» по адресу:  346580, Ростовская область, Родионово-Несветаевский район, сл. Родионово-Несветайская, ул. Южная, дом 20</v>
      </c>
      <c r="G14454" s="22" t="s">
        <v>402</v>
      </c>
      <c r="H14454" s="22" t="s">
        <v>402</v>
      </c>
      <c r="I14454" s="26">
        <v>43515</v>
      </c>
      <c r="J14454" s="23" t="str">
        <f>HYPERLINK("https://www.spark-marketing.ru/Card/Person/790174", "ООО ""ДОНМОНТАЖ""")</f>
        <v>ООО "ДОНМОНТАЖ"</v>
      </c>
      <c r="K14454" s="24" t="s">
        <v>16673</v>
      </c>
      <c r="L14454" s="22" t="s">
        <v>10</v>
      </c>
      <c r="M14454" s="25">
        <v>69890.34</v>
      </c>
      <c r="N14454" s="27">
        <v>0.58367382679867041</v>
      </c>
    </row>
    <row r="14455" spans="1:14" hidden="1" outlineLevel="1" x14ac:dyDescent="0.2">
      <c r="A14455" s="23" t="str">
        <f t="shared" si="760"/>
        <v>МБУЗ РОД-НЕСВЕТАЙСКОГО РАЙОНА "ЦРБ"</v>
      </c>
      <c r="B14455" s="24" t="s">
        <v>1486</v>
      </c>
      <c r="C14455" s="25">
        <v>167874</v>
      </c>
      <c r="D14455" s="22" t="s">
        <v>16669</v>
      </c>
      <c r="E14455" s="22" t="s">
        <v>59</v>
      </c>
      <c r="F14455" s="23" t="str">
        <f t="shared" si="761"/>
        <v>Оснащение уличным видеонаблюдением МБУЗ Род-Несветайского района «ЦРБ» по адресу:  346580, Ростовская область, Родионово-Несветаевский район, сл. Родионово-Несветайская, ул. Южная, дом 20</v>
      </c>
      <c r="G14455" s="22" t="s">
        <v>402</v>
      </c>
      <c r="H14455" s="22" t="s">
        <v>402</v>
      </c>
      <c r="I14455" s="26">
        <v>43515</v>
      </c>
      <c r="J14455" s="23" t="str">
        <f>HYPERLINK("https://www.spark-marketing.ru/Card/Person/1444717", "Соколов Михаил Львович")</f>
        <v>Соколов Михаил Львович</v>
      </c>
      <c r="K14455" s="24" t="s">
        <v>2839</v>
      </c>
      <c r="L14455" s="28" t="s">
        <v>52</v>
      </c>
      <c r="M14455" s="25">
        <v>130000</v>
      </c>
      <c r="N14455" s="27">
        <v>0.22560968345306598</v>
      </c>
    </row>
    <row r="14456" spans="1:14" hidden="1" outlineLevel="1" x14ac:dyDescent="0.2">
      <c r="A14456" s="23" t="str">
        <f t="shared" si="760"/>
        <v>МБУЗ РОД-НЕСВЕТАЙСКОГО РАЙОНА "ЦРБ"</v>
      </c>
      <c r="B14456" s="24" t="s">
        <v>1486</v>
      </c>
      <c r="C14456" s="25">
        <v>167874</v>
      </c>
      <c r="D14456" s="22" t="s">
        <v>16669</v>
      </c>
      <c r="E14456" s="22" t="s">
        <v>59</v>
      </c>
      <c r="F14456" s="23" t="str">
        <f t="shared" si="761"/>
        <v>Оснащение уличным видеонаблюдением МБУЗ Род-Несветайского района «ЦРБ» по адресу:  346580, Ростовская область, Родионово-Несветаевский район, сл. Родионово-Несветайская, ул. Южная, дом 20</v>
      </c>
      <c r="G14456" s="22" t="s">
        <v>402</v>
      </c>
      <c r="H14456" s="22" t="s">
        <v>402</v>
      </c>
      <c r="I14456" s="26">
        <v>43515</v>
      </c>
      <c r="J14456" s="23" t="str">
        <f>HYPERLINK("https://www.spark-marketing.ru/Card/Person/384360", "Губарева Маргарита Николаевна")</f>
        <v>Губарева Маргарита Николаевна</v>
      </c>
      <c r="K14456" s="24" t="s">
        <v>1489</v>
      </c>
      <c r="L14456" s="28" t="s">
        <v>52</v>
      </c>
      <c r="M14456" s="25">
        <v>70729.710000000006</v>
      </c>
      <c r="N14456" s="27">
        <v>0.57867382679867041</v>
      </c>
    </row>
    <row r="14457" spans="1:14" hidden="1" outlineLevel="1" x14ac:dyDescent="0.2">
      <c r="A14457" s="23" t="str">
        <f t="shared" si="760"/>
        <v>МБУЗ РОД-НЕСВЕТАЙСКОГО РАЙОНА "ЦРБ"</v>
      </c>
      <c r="B14457" s="24" t="s">
        <v>1486</v>
      </c>
      <c r="C14457" s="25">
        <v>167874</v>
      </c>
      <c r="D14457" s="22" t="s">
        <v>16669</v>
      </c>
      <c r="E14457" s="22" t="s">
        <v>59</v>
      </c>
      <c r="F14457" s="23" t="str">
        <f t="shared" si="761"/>
        <v>Оснащение уличным видеонаблюдением МБУЗ Род-Несветайского района «ЦРБ» по адресу:  346580, Ростовская область, Родионово-Несветаевский район, сл. Родионово-Несветайская, ул. Южная, дом 20</v>
      </c>
      <c r="G14457" s="22" t="s">
        <v>402</v>
      </c>
      <c r="H14457" s="22" t="s">
        <v>402</v>
      </c>
      <c r="I14457" s="26">
        <v>43515</v>
      </c>
      <c r="J14457" s="23" t="str">
        <f>HYPERLINK("https://www.spark-marketing.ru/Card/Person/6349963", "Тирацуян Евгений Ованесович")</f>
        <v>Тирацуян Евгений Ованесович</v>
      </c>
      <c r="K14457" s="24" t="s">
        <v>1488</v>
      </c>
      <c r="L14457" s="28" t="s">
        <v>52</v>
      </c>
      <c r="M14457" s="25">
        <v>84999</v>
      </c>
      <c r="N14457" s="27">
        <v>0.49367382679867045</v>
      </c>
    </row>
    <row r="14458" spans="1:14" hidden="1" outlineLevel="1" x14ac:dyDescent="0.2">
      <c r="A14458" s="23" t="str">
        <f t="shared" si="760"/>
        <v>МБУЗ РОД-НЕСВЕТАЙСКОГО РАЙОНА "ЦРБ"</v>
      </c>
      <c r="B14458" s="24" t="s">
        <v>1486</v>
      </c>
      <c r="C14458" s="25">
        <v>167874</v>
      </c>
      <c r="D14458" s="22" t="s">
        <v>16669</v>
      </c>
      <c r="E14458" s="22" t="s">
        <v>59</v>
      </c>
      <c r="F14458" s="23" t="str">
        <f t="shared" si="761"/>
        <v>Оснащение уличным видеонаблюдением МБУЗ Род-Несветайского района «ЦРБ» по адресу:  346580, Ростовская область, Родионово-Несветаевский район, сл. Родионово-Несветайская, ул. Южная, дом 20</v>
      </c>
      <c r="G14458" s="22" t="s">
        <v>402</v>
      </c>
      <c r="H14458" s="22" t="s">
        <v>402</v>
      </c>
      <c r="I14458" s="26">
        <v>43515</v>
      </c>
      <c r="J14458" s="23" t="str">
        <f>HYPERLINK("https://www.spark-marketing.ru/Card/Person/454864", "ООО ""ТЕХНОДАЧА""")</f>
        <v>ООО "ТЕХНОДАЧА"</v>
      </c>
      <c r="K14458" s="24" t="s">
        <v>4319</v>
      </c>
      <c r="L14458" s="28" t="s">
        <v>52</v>
      </c>
      <c r="M14458" s="25">
        <v>114000</v>
      </c>
      <c r="N14458" s="27">
        <v>0.32091926087422712</v>
      </c>
    </row>
    <row r="14459" spans="1:14" x14ac:dyDescent="0.15">
      <c r="A14459" s="23" t="str">
        <f>HYPERLINK("https://www.spark-marketing.ru/Card/Person/61247", "ГБОУ ШКОЛА № 465 САНКТ-ПЕТЕРБУРГА")</f>
        <v>ГБОУ ШКОЛА № 465 САНКТ-ПЕТЕРБУРГА</v>
      </c>
      <c r="B14459" s="24" t="s">
        <v>16674</v>
      </c>
      <c r="C14459" s="25">
        <v>579000</v>
      </c>
      <c r="D14459" s="22" t="s">
        <v>16675</v>
      </c>
      <c r="E14459" s="22" t="s">
        <v>68</v>
      </c>
      <c r="F14459" s="23" t="str">
        <f>HYPERLINK("https://www.spark-marketing.ru/Card/Lot/68094023", "Оказание услуг по организации и обеспечению охраны объекта и имущества, а также обеспечение внутриобъектового и пропускного режима на объекте, в отношении которого установлены обязательные для выполнения требования к антитеррористической защищенности...")</f>
        <v>Оказание услуг по организации и обеспечению охраны объекта и имущества, а также обеспечение внутриобъектового и пропускного режима на объекте, в отношении которого установлены обязательные для выполнения требования к антитеррористической защищенности...</v>
      </c>
      <c r="G14459" s="22" t="s">
        <v>89</v>
      </c>
      <c r="H14459" s="22" t="s">
        <v>89</v>
      </c>
      <c r="I14459" s="26">
        <v>43515</v>
      </c>
      <c r="J14459" s="23" t="str">
        <f>HYPERLINK("https://www.spark-marketing.ru/Card/Person/27570", "ООО ""ОО ""ИНСАР""")</f>
        <v>ООО "ОО "ИНСАР"</v>
      </c>
      <c r="K14459" s="24" t="s">
        <v>6890</v>
      </c>
      <c r="L14459" s="28" t="s">
        <v>52</v>
      </c>
      <c r="M14459" s="28" t="s">
        <v>52</v>
      </c>
      <c r="N14459" s="28" t="s">
        <v>52</v>
      </c>
    </row>
    <row r="14460" spans="1:14" ht="12.75" hidden="1" outlineLevel="1" x14ac:dyDescent="0.2">
      <c r="A14460" s="23" t="str">
        <f>HYPERLINK("https://www.spark-marketing.ru/Card/Person/61247", "ГБОУ ШКОЛА № 465 САНКТ-ПЕТЕРБУРГА")</f>
        <v>ГБОУ ШКОЛА № 465 САНКТ-ПЕТЕРБУРГА</v>
      </c>
      <c r="B14460" s="24" t="s">
        <v>16674</v>
      </c>
      <c r="C14460" s="25">
        <v>579000</v>
      </c>
      <c r="D14460" s="22" t="s">
        <v>16675</v>
      </c>
      <c r="E14460" s="22" t="s">
        <v>68</v>
      </c>
      <c r="F14460" s="23" t="str">
        <f>HYPERLINK("https://www.spark-marketing.ru/Card/Lot/68094023", "Оказание услуг по организации и обеспечению охраны объекта и имущества, а также обеспечение внутриобъектового и пропускного режима на объекте, в отношении которого установлены обязательные для выполнения требования к антитеррористической защищенности...")</f>
        <v>Оказание услуг по организации и обеспечению охраны объекта и имущества, а также обеспечение внутриобъектового и пропускного режима на объекте, в отношении которого установлены обязательные для выполнения требования к антитеррористической защищенности...</v>
      </c>
      <c r="G14460" s="22" t="s">
        <v>89</v>
      </c>
      <c r="H14460" s="22" t="s">
        <v>89</v>
      </c>
      <c r="I14460" s="26">
        <v>43515</v>
      </c>
      <c r="J14460" s="23" t="str">
        <f>HYPERLINK("https://www.spark-marketing.ru/Card/Person/27570", "ООО ""ОО ""ИНСАР""")</f>
        <v>ООО "ОО "ИНСАР"</v>
      </c>
      <c r="K14460" s="24" t="s">
        <v>6890</v>
      </c>
      <c r="L14460" s="22" t="s">
        <v>10</v>
      </c>
      <c r="M14460" s="25">
        <v>576104.80000000005</v>
      </c>
      <c r="N14460" s="27">
        <v>5.0003454231433509E-3</v>
      </c>
    </row>
    <row r="14461" spans="1:14" x14ac:dyDescent="0.15">
      <c r="A14461" s="23" t="str">
        <f>HYPERLINK("https://www.spark-marketing.ru/Card/Person/18873", "УСД В КЕМЕРОВСКОЙ ОБЛАСТИ")</f>
        <v>УСД В КЕМЕРОВСКОЙ ОБЛАСТИ</v>
      </c>
      <c r="B14461" s="24" t="s">
        <v>7512</v>
      </c>
      <c r="C14461" s="25">
        <v>1596047.1</v>
      </c>
      <c r="D14461" s="22" t="s">
        <v>16676</v>
      </c>
      <c r="E14461" s="22" t="s">
        <v>68</v>
      </c>
      <c r="F14461" s="23" t="str">
        <f>HYPERLINK("https://www.spark-marketing.ru/Card/Lot/68075475", "Оказание охранных услуг с использованием технических средств охранной сигнализации в районных, городских судах Кемеровской области")</f>
        <v>Оказание охранных услуг с использованием технических средств охранной сигнализации в районных, городских судах Кемеровской области</v>
      </c>
      <c r="G14461" s="22" t="s">
        <v>367</v>
      </c>
      <c r="H14461" s="22" t="s">
        <v>367</v>
      </c>
      <c r="I14461" s="26">
        <v>43515</v>
      </c>
      <c r="J14461" s="28" t="s">
        <v>52</v>
      </c>
      <c r="K14461" s="28" t="s">
        <v>52</v>
      </c>
      <c r="L14461" s="28" t="s">
        <v>52</v>
      </c>
      <c r="M14461" s="28" t="s">
        <v>52</v>
      </c>
      <c r="N14461" s="28" t="s">
        <v>52</v>
      </c>
    </row>
    <row r="14462" spans="1:14" x14ac:dyDescent="0.15">
      <c r="A14462" s="23" t="str">
        <f>HYPERLINK("https://www.spark-marketing.ru/Card/Person/6563", "ФГБУ ""ЦЕНТР ГЕОДЕЗИИ, КАРТОГРАФИИ И ИПД""")</f>
        <v>ФГБУ "ЦЕНТР ГЕОДЕЗИИ, КАРТОГРАФИИ И ИПД"</v>
      </c>
      <c r="B14462" s="24" t="s">
        <v>6871</v>
      </c>
      <c r="C14462" s="25">
        <v>2363592.96</v>
      </c>
      <c r="D14462" s="22" t="s">
        <v>16677</v>
      </c>
      <c r="E14462" s="22" t="s">
        <v>68</v>
      </c>
      <c r="F14462" s="23" t="str">
        <f>HYPERLINK("https://www.spark-marketing.ru/Card/Lot/68096123", "На оказание услуг по охране имущества и осуществлению внутриобъектового режима в помещениях ФГБУ ""Центр геодезии, картографии и ИПД"", по адресам: г. Москва, ул. Онежская, д.26, стр.1-5 и Волгоградский проспект д.45, стр.1")</f>
        <v>На оказание услуг по охране имущества и осуществлению внутриобъектового режима в помещениях ФГБУ "Центр геодезии, картографии и ИПД", по адресам: г. Москва, ул. Онежская, д.26, стр.1-5 и Волгоградский проспект д.45, стр.1</v>
      </c>
      <c r="G14462" s="22" t="s">
        <v>55</v>
      </c>
      <c r="H14462" s="22" t="s">
        <v>55</v>
      </c>
      <c r="I14462" s="26">
        <v>43515</v>
      </c>
      <c r="J14462" s="28" t="s">
        <v>52</v>
      </c>
      <c r="K14462" s="28" t="s">
        <v>52</v>
      </c>
      <c r="L14462" s="28" t="s">
        <v>52</v>
      </c>
      <c r="M14462" s="28" t="s">
        <v>52</v>
      </c>
      <c r="N14462" s="28" t="s">
        <v>52</v>
      </c>
    </row>
    <row r="14463" spans="1:14" x14ac:dyDescent="0.15">
      <c r="A14463" s="23" t="str">
        <f>HYPERLINK("https://www.spark-marketing.ru/Card/Person/1056641", "МБДОУ ДЕТСКИЙ САД ""СОЛНЫШКО""")</f>
        <v>МБДОУ ДЕТСКИЙ САД "СОЛНЫШКО"</v>
      </c>
      <c r="B14463" s="24" t="s">
        <v>16678</v>
      </c>
      <c r="C14463" s="25">
        <v>4521</v>
      </c>
      <c r="D14463" s="22" t="s">
        <v>16679</v>
      </c>
      <c r="E14463" s="22" t="s">
        <v>103</v>
      </c>
      <c r="F14463" s="23" t="str">
        <f>HYPERLINK("https://www.spark-marketing.ru/Card/Lot/68064557", "оказание услуг по техническому обслуживанию тревожной кнопки")</f>
        <v>оказание услуг по техническому обслуживанию тревожной кнопки</v>
      </c>
      <c r="G14463" s="22" t="s">
        <v>311</v>
      </c>
      <c r="H14463" s="22" t="s">
        <v>16680</v>
      </c>
      <c r="I14463" s="26">
        <v>43515</v>
      </c>
      <c r="J14463" s="28" t="s">
        <v>52</v>
      </c>
      <c r="K14463" s="28" t="s">
        <v>52</v>
      </c>
      <c r="L14463" s="28" t="s">
        <v>52</v>
      </c>
      <c r="M14463" s="28" t="s">
        <v>52</v>
      </c>
      <c r="N14463" s="28" t="s">
        <v>52</v>
      </c>
    </row>
    <row r="14464" spans="1:14" ht="12.75" hidden="1" outlineLevel="1" x14ac:dyDescent="0.2">
      <c r="A14464" s="23" t="str">
        <f>HYPERLINK("https://www.spark-marketing.ru/Card/Person/1056641", "МБДОУ ДЕТСКИЙ САД ""СОЛНЫШКО""")</f>
        <v>МБДОУ ДЕТСКИЙ САД "СОЛНЫШКО"</v>
      </c>
      <c r="B14464" s="24" t="s">
        <v>16678</v>
      </c>
      <c r="C14464" s="25">
        <v>4521</v>
      </c>
      <c r="D14464" s="22" t="s">
        <v>16679</v>
      </c>
      <c r="E14464" s="22" t="s">
        <v>103</v>
      </c>
      <c r="F14464" s="23" t="str">
        <f>HYPERLINK("https://www.spark-marketing.ru/Card/Lot/68064557", "оказание услуг по техническому обслуживанию тревожной кнопки")</f>
        <v>оказание услуг по техническому обслуживанию тревожной кнопки</v>
      </c>
      <c r="G14464" s="22" t="s">
        <v>311</v>
      </c>
      <c r="H14464" s="22" t="s">
        <v>16680</v>
      </c>
      <c r="I14464" s="26">
        <v>43515</v>
      </c>
      <c r="J14464" s="23" t="str">
        <f>HYPERLINK("https://www.spark-marketing.ru/Card/Person/6496363", "ООО ""РОЩА""")</f>
        <v>ООО "РОЩА"</v>
      </c>
      <c r="K14464" s="24" t="s">
        <v>16681</v>
      </c>
      <c r="L14464" s="22" t="s">
        <v>10</v>
      </c>
      <c r="M14464" s="25">
        <v>4021</v>
      </c>
      <c r="N14464" s="27">
        <v>0.11059500110595001</v>
      </c>
    </row>
    <row r="14465" spans="1:14" hidden="1" outlineLevel="1" x14ac:dyDescent="0.2">
      <c r="A14465" s="23" t="str">
        <f>HYPERLINK("https://www.spark-marketing.ru/Card/Person/1056641", "МБДОУ ДЕТСКИЙ САД ""СОЛНЫШКО""")</f>
        <v>МБДОУ ДЕТСКИЙ САД "СОЛНЫШКО"</v>
      </c>
      <c r="B14465" s="24" t="s">
        <v>16678</v>
      </c>
      <c r="C14465" s="25">
        <v>4521</v>
      </c>
      <c r="D14465" s="22" t="s">
        <v>16679</v>
      </c>
      <c r="E14465" s="22" t="s">
        <v>103</v>
      </c>
      <c r="F14465" s="23" t="str">
        <f>HYPERLINK("https://www.spark-marketing.ru/Card/Lot/68064557", "оказание услуг по техническому обслуживанию тревожной кнопки")</f>
        <v>оказание услуг по техническому обслуживанию тревожной кнопки</v>
      </c>
      <c r="G14465" s="22" t="s">
        <v>311</v>
      </c>
      <c r="H14465" s="22" t="s">
        <v>16680</v>
      </c>
      <c r="I14465" s="26">
        <v>43515</v>
      </c>
      <c r="J14465" s="23" t="str">
        <f>HYPERLINK("https://www.spark-marketing.ru/Card/Person/4880752", "Козлов Михаил Анатольевич")</f>
        <v>Козлов Михаил Анатольевич</v>
      </c>
      <c r="K14465" s="24" t="s">
        <v>16682</v>
      </c>
      <c r="L14465" s="28" t="s">
        <v>52</v>
      </c>
      <c r="M14465" s="25">
        <v>4121</v>
      </c>
      <c r="N14465" s="27">
        <v>8.8476000884760014E-2</v>
      </c>
    </row>
    <row r="14466" spans="1:14" x14ac:dyDescent="0.15">
      <c r="A14466" s="23" t="str">
        <f>HYPERLINK("https://www.spark-marketing.ru/Card/Person/998813", "МЕЖРАЙОННАЯ ИФНС РОССИИ № 5 ПО КАЛУЖСКОЙ ОБЛАСТИ")</f>
        <v>МЕЖРАЙОННАЯ ИФНС РОССИИ № 5 ПО КАЛУЖСКОЙ ОБЛАСТИ</v>
      </c>
      <c r="B14466" s="24" t="s">
        <v>16683</v>
      </c>
      <c r="C14466" s="25">
        <v>17426.509999999998</v>
      </c>
      <c r="D14466" s="22" t="s">
        <v>16684</v>
      </c>
      <c r="E14466" s="22" t="s">
        <v>183</v>
      </c>
      <c r="F14466" s="23" t="str">
        <f>HYPERLINK("https://www.spark-marketing.ru/Card/Lot/68089855", "услуги по охране объектов, подключенных на пульт централизованного наблюдения")</f>
        <v>услуги по охране объектов, подключенных на пульт централизованного наблюдения</v>
      </c>
      <c r="G14466" s="22" t="s">
        <v>658</v>
      </c>
      <c r="H14466" s="22" t="s">
        <v>658</v>
      </c>
      <c r="I14466" s="26">
        <v>43515</v>
      </c>
      <c r="J14466" s="28" t="s">
        <v>52</v>
      </c>
      <c r="K14466" s="28" t="s">
        <v>52</v>
      </c>
      <c r="L14466" s="28" t="s">
        <v>52</v>
      </c>
      <c r="M14466" s="28" t="s">
        <v>52</v>
      </c>
      <c r="N14466" s="28" t="s">
        <v>52</v>
      </c>
    </row>
    <row r="14467" spans="1:14" x14ac:dyDescent="0.15">
      <c r="A14467" s="23" t="str">
        <f>HYPERLINK("https://www.spark-marketing.ru/Card/Person/115570", "ГБУЗ РК ""ТРОИЦКО-ПЕЧОРСКАЯ ЦРБ""")</f>
        <v>ГБУЗ РК "ТРОИЦКО-ПЕЧОРСКАЯ ЦРБ"</v>
      </c>
      <c r="B14467" s="24" t="s">
        <v>16685</v>
      </c>
      <c r="C14467" s="25">
        <v>30000</v>
      </c>
      <c r="D14467" s="22" t="s">
        <v>16686</v>
      </c>
      <c r="E14467" s="22" t="s">
        <v>68</v>
      </c>
      <c r="F14467" s="23" t="str">
        <f>HYPERLINK("https://www.spark-marketing.ru/Card/Lot/68087196", "оказание услуг по охране имущества при его транспортировке")</f>
        <v>оказание услуг по охране имущества при его транспортировке</v>
      </c>
      <c r="G14467" s="22" t="s">
        <v>538</v>
      </c>
      <c r="H14467" s="22" t="s">
        <v>16687</v>
      </c>
      <c r="I14467" s="26">
        <v>43515</v>
      </c>
      <c r="J14467" s="28" t="s">
        <v>52</v>
      </c>
      <c r="K14467" s="28" t="s">
        <v>52</v>
      </c>
      <c r="L14467" s="28" t="s">
        <v>52</v>
      </c>
      <c r="M14467" s="28" t="s">
        <v>52</v>
      </c>
      <c r="N14467" s="28" t="s">
        <v>52</v>
      </c>
    </row>
    <row r="14468" spans="1:14" x14ac:dyDescent="0.15">
      <c r="A14468" s="23" t="str">
        <f>HYPERLINK("https://www.spark-marketing.ru/Card/Person/4345935", "ДЕПАРТАМЕНТ СМОЛЕНСКОЙ ОБЛАСТИ ПО ЗДРАВООХРАНЕНИЮ")</f>
        <v>ДЕПАРТАМЕНТ СМОЛЕНСКОЙ ОБЛАСТИ ПО ЗДРАВООХРАНЕНИЮ</v>
      </c>
      <c r="B14468" s="24" t="s">
        <v>1449</v>
      </c>
      <c r="C14468" s="25">
        <v>2203810.56</v>
      </c>
      <c r="D14468" s="22" t="s">
        <v>16688</v>
      </c>
      <c r="E14468" s="22" t="s">
        <v>53</v>
      </c>
      <c r="F14468" s="23" t="str">
        <f>HYPERLINK("https://www.spark-marketing.ru/Card/Lot/68062173", "№0370 - аэф/т Поставка лекарственных препаратов (Тофацитиниб)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f>
        <v>№0370 - аэф/т Поставка лекарственных препаратов (Тофацитиниб)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v>
      </c>
      <c r="G14468" s="22" t="s">
        <v>956</v>
      </c>
      <c r="H14468" s="22" t="s">
        <v>1451</v>
      </c>
      <c r="I14468" s="26">
        <v>43515</v>
      </c>
      <c r="J14468" s="23" t="str">
        <f>HYPERLINK("https://www.spark-marketing.ru/Card/Person/18931", "ООО ""ЮНИЛЕК""")</f>
        <v>ООО "ЮНИЛЕК"</v>
      </c>
      <c r="K14468" s="24" t="s">
        <v>7158</v>
      </c>
      <c r="L14468" s="22" t="s">
        <v>10</v>
      </c>
      <c r="M14468" s="28" t="s">
        <v>52</v>
      </c>
      <c r="N14468" s="28" t="s">
        <v>52</v>
      </c>
    </row>
    <row r="14469" spans="1:14" x14ac:dyDescent="0.15">
      <c r="A14469" s="23" t="str">
        <f>HYPERLINK("https://www.spark-marketing.ru/Card/Person/41262", "ГКУ ""МИАЦ""")</f>
        <v>ГКУ "МИАЦ"</v>
      </c>
      <c r="B14469" s="24" t="s">
        <v>16689</v>
      </c>
      <c r="C14469" s="25">
        <v>594000</v>
      </c>
      <c r="D14469" s="22" t="s">
        <v>16690</v>
      </c>
      <c r="E14469" s="22" t="s">
        <v>52</v>
      </c>
      <c r="F14469" s="23" t="str">
        <f>HYPERLINK("https://www.spark-marketing.ru/Card/Lot/68058221", "Оказание услуг охраны объекта по адресу: г. Курган, ул. Красина, 52")</f>
        <v>Оказание услуг охраны объекта по адресу: г. Курган, ул. Красина, 52</v>
      </c>
      <c r="G14469" s="22" t="s">
        <v>626</v>
      </c>
      <c r="H14469" s="22" t="s">
        <v>1508</v>
      </c>
      <c r="I14469" s="26">
        <v>43515</v>
      </c>
      <c r="J14469" s="28" t="s">
        <v>52</v>
      </c>
      <c r="K14469" s="28" t="s">
        <v>52</v>
      </c>
      <c r="L14469" s="28" t="s">
        <v>52</v>
      </c>
      <c r="M14469" s="28" t="s">
        <v>52</v>
      </c>
      <c r="N14469" s="28" t="s">
        <v>52</v>
      </c>
    </row>
    <row r="14470" spans="1:14" ht="12.75" hidden="1" outlineLevel="1" x14ac:dyDescent="0.2">
      <c r="A14470" s="23" t="str">
        <f>HYPERLINK("https://www.spark-marketing.ru/Card/Person/41262", "ГКУ ""МИАЦ""")</f>
        <v>ГКУ "МИАЦ"</v>
      </c>
      <c r="B14470" s="24" t="s">
        <v>16689</v>
      </c>
      <c r="C14470" s="25">
        <v>594000</v>
      </c>
      <c r="D14470" s="22" t="s">
        <v>16690</v>
      </c>
      <c r="E14470" s="22" t="s">
        <v>52</v>
      </c>
      <c r="F14470" s="23" t="str">
        <f>HYPERLINK("https://www.spark-marketing.ru/Card/Lot/68058221", "Оказание услуг охраны объекта по адресу: г. Курган, ул. Красина, 52")</f>
        <v>Оказание услуг охраны объекта по адресу: г. Курган, ул. Красина, 52</v>
      </c>
      <c r="G14470" s="22" t="s">
        <v>626</v>
      </c>
      <c r="H14470" s="22" t="s">
        <v>1508</v>
      </c>
      <c r="I14470" s="26">
        <v>43515</v>
      </c>
      <c r="J14470" s="23" t="str">
        <f>HYPERLINK("https://www.spark-marketing.ru/Card/Person/58449", "ООО ""ЧОП ""ДОЗОР""")</f>
        <v>ООО "ЧОП "ДОЗОР"</v>
      </c>
      <c r="K14470" s="24" t="s">
        <v>13228</v>
      </c>
      <c r="L14470" s="22" t="s">
        <v>10</v>
      </c>
      <c r="M14470" s="25">
        <v>552090</v>
      </c>
      <c r="N14470" s="27">
        <v>7.0555555555555552E-2</v>
      </c>
    </row>
    <row r="14471" spans="1:14" hidden="1" outlineLevel="1" x14ac:dyDescent="0.2">
      <c r="A14471" s="23" t="str">
        <f>HYPERLINK("https://www.spark-marketing.ru/Card/Person/41262", "ГКУ ""МИАЦ""")</f>
        <v>ГКУ "МИАЦ"</v>
      </c>
      <c r="B14471" s="24" t="s">
        <v>16689</v>
      </c>
      <c r="C14471" s="25">
        <v>594000</v>
      </c>
      <c r="D14471" s="22" t="s">
        <v>16690</v>
      </c>
      <c r="E14471" s="22" t="s">
        <v>52</v>
      </c>
      <c r="F14471" s="23" t="str">
        <f>HYPERLINK("https://www.spark-marketing.ru/Card/Lot/68058221", "Оказание услуг охраны объекта по адресу: г. Курган, ул. Красина, 52")</f>
        <v>Оказание услуг охраны объекта по адресу: г. Курган, ул. Красина, 52</v>
      </c>
      <c r="G14471" s="22" t="s">
        <v>626</v>
      </c>
      <c r="H14471" s="22" t="s">
        <v>1508</v>
      </c>
      <c r="I14471" s="26">
        <v>43515</v>
      </c>
      <c r="J14471" s="23" t="str">
        <f>HYPERLINK("https://www.spark-marketing.ru/Card/Person/534247", "ООО ЧОО ""ВАРЯГ-1""")</f>
        <v>ООО ЧОО "ВАРЯГ-1"</v>
      </c>
      <c r="K14471" s="24" t="s">
        <v>3231</v>
      </c>
      <c r="L14471" s="28" t="s">
        <v>52</v>
      </c>
      <c r="M14471" s="25">
        <v>561000</v>
      </c>
      <c r="N14471" s="27">
        <v>5.5555555555555552E-2</v>
      </c>
    </row>
    <row r="14472" spans="1:14" hidden="1" outlineLevel="1" x14ac:dyDescent="0.2">
      <c r="A14472" s="23" t="str">
        <f>HYPERLINK("https://www.spark-marketing.ru/Card/Person/41262", "ГКУ ""МИАЦ""")</f>
        <v>ГКУ "МИАЦ"</v>
      </c>
      <c r="B14472" s="24" t="s">
        <v>16689</v>
      </c>
      <c r="C14472" s="25">
        <v>594000</v>
      </c>
      <c r="D14472" s="22" t="s">
        <v>16690</v>
      </c>
      <c r="E14472" s="22" t="s">
        <v>52</v>
      </c>
      <c r="F14472" s="23" t="str">
        <f>HYPERLINK("https://www.spark-marketing.ru/Card/Lot/68058221", "Оказание услуг охраны объекта по адресу: г. Курган, ул. Красина, 52")</f>
        <v>Оказание услуг охраны объекта по адресу: г. Курган, ул. Красина, 52</v>
      </c>
      <c r="G14472" s="22" t="s">
        <v>626</v>
      </c>
      <c r="H14472" s="22" t="s">
        <v>1508</v>
      </c>
      <c r="I14472" s="26">
        <v>43515</v>
      </c>
      <c r="J14472" s="23" t="str">
        <f>HYPERLINK("https://www.spark-marketing.ru/Card/Person/6499627", "ООО ""ЧОО ""СКАЛА""")</f>
        <v>ООО "ЧОО "СКАЛА"</v>
      </c>
      <c r="K14472" s="24" t="s">
        <v>16691</v>
      </c>
      <c r="L14472" s="28" t="s">
        <v>52</v>
      </c>
      <c r="M14472" s="25">
        <v>558030</v>
      </c>
      <c r="N14472" s="27">
        <v>6.0555555555555557E-2</v>
      </c>
    </row>
    <row r="14473" spans="1:14" hidden="1" outlineLevel="1" x14ac:dyDescent="0.2">
      <c r="A14473" s="23" t="str">
        <f>HYPERLINK("https://www.spark-marketing.ru/Card/Person/41262", "ГКУ ""МИАЦ""")</f>
        <v>ГКУ "МИАЦ"</v>
      </c>
      <c r="B14473" s="24" t="s">
        <v>16689</v>
      </c>
      <c r="C14473" s="25">
        <v>594000</v>
      </c>
      <c r="D14473" s="22" t="s">
        <v>16690</v>
      </c>
      <c r="E14473" s="22" t="s">
        <v>52</v>
      </c>
      <c r="F14473" s="23" t="str">
        <f>HYPERLINK("https://www.spark-marketing.ru/Card/Lot/68058221", "Оказание услуг охраны объекта по адресу: г. Курган, ул. Красина, 52")</f>
        <v>Оказание услуг охраны объекта по адресу: г. Курган, ул. Красина, 52</v>
      </c>
      <c r="G14473" s="22" t="s">
        <v>626</v>
      </c>
      <c r="H14473" s="22" t="s">
        <v>1508</v>
      </c>
      <c r="I14473" s="26">
        <v>43515</v>
      </c>
      <c r="J14473" s="23" t="str">
        <f>HYPERLINK("https://www.spark-marketing.ru/Card/Person/4960066", "ООО ЧОО ""КОНТУР""")</f>
        <v>ООО ЧОО "КОНТУР"</v>
      </c>
      <c r="K14473" s="24" t="s">
        <v>16692</v>
      </c>
      <c r="L14473" s="28" t="s">
        <v>52</v>
      </c>
      <c r="M14473" s="25">
        <v>552090</v>
      </c>
      <c r="N14473" s="27">
        <v>7.0555555555555552E-2</v>
      </c>
    </row>
    <row r="14474" spans="1:14" x14ac:dyDescent="0.15">
      <c r="A14474" s="23" t="str">
        <f>HYPERLINK("https://www.spark-marketing.ru/Card/Person/6563", "ФГБУ ""ЦЕНТР ГЕОДЕЗИИ, КАРТОГРАФИИ И ИПД""")</f>
        <v>ФГБУ "ЦЕНТР ГЕОДЕЗИИ, КАРТОГРАФИИ И ИПД"</v>
      </c>
      <c r="B14474" s="24" t="s">
        <v>6871</v>
      </c>
      <c r="C14474" s="25">
        <v>66338.399999999994</v>
      </c>
      <c r="D14474" s="22" t="s">
        <v>16693</v>
      </c>
      <c r="E14474" s="22" t="s">
        <v>68</v>
      </c>
      <c r="F14474" s="23" t="str">
        <f>HYPERLINK("https://www.spark-marketing.ru/Card/Lot/68096124", "оказание услуг по охране имущества посредством тревожной сигнализации  в здании ФГБУ «Центр геодезии, картографии и ИПД» по адресу: г. Иркутск,  ул.Вьюжная, д.2 лит.А")</f>
        <v>оказание услуг по охране имущества посредством тревожной сигнализации  в здании ФГБУ «Центр геодезии, картографии и ИПД» по адресу: г. Иркутск,  ул.Вьюжная, д.2 лит.А</v>
      </c>
      <c r="G14474" s="22" t="s">
        <v>281</v>
      </c>
      <c r="H14474" s="22" t="s">
        <v>281</v>
      </c>
      <c r="I14474" s="26">
        <v>43515</v>
      </c>
      <c r="J14474" s="28" t="s">
        <v>52</v>
      </c>
      <c r="K14474" s="28" t="s">
        <v>52</v>
      </c>
      <c r="L14474" s="28" t="s">
        <v>52</v>
      </c>
      <c r="M14474" s="28" t="s">
        <v>52</v>
      </c>
      <c r="N14474" s="28" t="s">
        <v>52</v>
      </c>
    </row>
    <row r="14475" spans="1:14" x14ac:dyDescent="0.15">
      <c r="A14475" s="23" t="str">
        <f>HYPERLINK("https://www.spark-marketing.ru/Card/Person/18873", "УСД В КЕМЕРОВСКОЙ ОБЛАСТИ")</f>
        <v>УСД В КЕМЕРОВСКОЙ ОБЛАСТИ</v>
      </c>
      <c r="B14475" s="24" t="s">
        <v>7512</v>
      </c>
      <c r="C14475" s="25">
        <v>549678.36</v>
      </c>
      <c r="D14475" s="22" t="s">
        <v>16694</v>
      </c>
      <c r="E14475" s="22" t="s">
        <v>68</v>
      </c>
      <c r="F14475" s="23" t="str">
        <f>HYPERLINK("https://www.spark-marketing.ru/Card/Lot/68075474", "Оказание охранных услуг посредством контроля состояния средств тревожной сигнализации в районных, городских судах Кемеровской области")</f>
        <v>Оказание охранных услуг посредством контроля состояния средств тревожной сигнализации в районных, городских судах Кемеровской области</v>
      </c>
      <c r="G14475" s="22" t="s">
        <v>367</v>
      </c>
      <c r="H14475" s="22" t="s">
        <v>367</v>
      </c>
      <c r="I14475" s="26">
        <v>43515</v>
      </c>
      <c r="J14475" s="28" t="s">
        <v>52</v>
      </c>
      <c r="K14475" s="28" t="s">
        <v>52</v>
      </c>
      <c r="L14475" s="28" t="s">
        <v>52</v>
      </c>
      <c r="M14475" s="28" t="s">
        <v>52</v>
      </c>
      <c r="N14475" s="28" t="s">
        <v>52</v>
      </c>
    </row>
    <row r="14476" spans="1:14" x14ac:dyDescent="0.15">
      <c r="A14476" s="23" t="str">
        <f>HYPERLINK("https://www.spark-marketing.ru/Card/Person/998813", "МЕЖРАЙОННАЯ ИФНС РОССИИ № 5 ПО КАЛУЖСКОЙ ОБЛАСТИ")</f>
        <v>МЕЖРАЙОННАЯ ИФНС РОССИИ № 5 ПО КАЛУЖСКОЙ ОБЛАСТИ</v>
      </c>
      <c r="B14476" s="24" t="s">
        <v>16683</v>
      </c>
      <c r="C14476" s="25">
        <v>39155.519999999997</v>
      </c>
      <c r="D14476" s="22" t="s">
        <v>16695</v>
      </c>
      <c r="E14476" s="22" t="s">
        <v>183</v>
      </c>
      <c r="F14476" s="23" t="str">
        <f>HYPERLINK("https://www.spark-marketing.ru/Card/Lot/68089849", "услуги по охране объектов, подключенных на пульт централизованного наблюдения")</f>
        <v>услуги по охране объектов, подключенных на пульт централизованного наблюдения</v>
      </c>
      <c r="G14476" s="22" t="s">
        <v>658</v>
      </c>
      <c r="H14476" s="22" t="s">
        <v>16696</v>
      </c>
      <c r="I14476" s="26">
        <v>43515</v>
      </c>
      <c r="J14476" s="28" t="s">
        <v>52</v>
      </c>
      <c r="K14476" s="28" t="s">
        <v>52</v>
      </c>
      <c r="L14476" s="28" t="s">
        <v>52</v>
      </c>
      <c r="M14476" s="28" t="s">
        <v>52</v>
      </c>
      <c r="N14476" s="28" t="s">
        <v>52</v>
      </c>
    </row>
    <row r="14477" spans="1:14" x14ac:dyDescent="0.15">
      <c r="A14477" s="23" t="str">
        <f>HYPERLINK("https://www.spark-marketing.ru/Card/Person/6450322", "ЗАКАЗЧИК РП БЕЛАРУСЬ")</f>
        <v>ЗАКАЗЧИК РП БЕЛАРУСЬ</v>
      </c>
      <c r="B14477" s="28" t="s">
        <v>52</v>
      </c>
      <c r="C14477" s="25">
        <v>767210</v>
      </c>
      <c r="D14477" s="22" t="s">
        <v>16697</v>
      </c>
      <c r="E14477" s="22" t="s">
        <v>53</v>
      </c>
      <c r="F14477" s="23" t="str">
        <f>HYPERLINK("https://www.spark-marketing.ru/Card/Lot/68088773", "Комплект оборудования для системы видеонаблюдения с установкой, подключением и настройкой оборудования")</f>
        <v>Комплект оборудования для системы видеонаблюдения с установкой, подключением и настройкой оборудования</v>
      </c>
      <c r="G14477" s="22" t="s">
        <v>52</v>
      </c>
      <c r="H14477" s="22" t="s">
        <v>52</v>
      </c>
      <c r="I14477" s="26">
        <v>43515</v>
      </c>
      <c r="J14477" s="28" t="s">
        <v>52</v>
      </c>
      <c r="K14477" s="28" t="s">
        <v>52</v>
      </c>
      <c r="L14477" s="28" t="s">
        <v>52</v>
      </c>
      <c r="M14477" s="28" t="s">
        <v>52</v>
      </c>
      <c r="N14477" s="28" t="s">
        <v>52</v>
      </c>
    </row>
    <row r="14478" spans="1:14" x14ac:dyDescent="0.15">
      <c r="A14478" s="23" t="str">
        <f t="shared" ref="A14478:A14486" si="762">HYPERLINK("https://www.spark-marketing.ru/Card/Person/1083054", "ОКУ УМТО")</f>
        <v>ОКУ УМТО</v>
      </c>
      <c r="B14478" s="24" t="s">
        <v>16698</v>
      </c>
      <c r="C14478" s="25">
        <v>966676.8</v>
      </c>
      <c r="D14478" s="22" t="s">
        <v>16699</v>
      </c>
      <c r="E14478" s="22" t="s">
        <v>59</v>
      </c>
      <c r="F14478" s="23" t="str">
        <f t="shared" ref="F14478:F14486" si="763">HYPERLINK("https://www.spark-marketing.ru/Card/Lot/68096741", "№ 19 - ЭА - 1: работы по установке систем видеонаблюдения в помещениях мировых судей судебных участков г.Липецка")</f>
        <v>№ 19 - ЭА - 1: работы по установке систем видеонаблюдения в помещениях мировых судей судебных участков г.Липецка</v>
      </c>
      <c r="G14478" s="22" t="s">
        <v>629</v>
      </c>
      <c r="H14478" s="22" t="s">
        <v>629</v>
      </c>
      <c r="I14478" s="26">
        <v>43515</v>
      </c>
      <c r="J14478" s="28" t="s">
        <v>52</v>
      </c>
      <c r="K14478" s="28" t="s">
        <v>52</v>
      </c>
      <c r="L14478" s="28" t="s">
        <v>52</v>
      </c>
      <c r="M14478" s="28" t="s">
        <v>52</v>
      </c>
      <c r="N14478" s="28" t="s">
        <v>52</v>
      </c>
    </row>
    <row r="14479" spans="1:14" ht="12.75" hidden="1" outlineLevel="1" x14ac:dyDescent="0.2">
      <c r="A14479" s="23" t="str">
        <f t="shared" si="762"/>
        <v>ОКУ УМТО</v>
      </c>
      <c r="B14479" s="24" t="s">
        <v>16698</v>
      </c>
      <c r="C14479" s="25">
        <v>966676.8</v>
      </c>
      <c r="D14479" s="22" t="s">
        <v>16699</v>
      </c>
      <c r="E14479" s="22" t="s">
        <v>59</v>
      </c>
      <c r="F14479" s="23" t="str">
        <f t="shared" si="763"/>
        <v>№ 19 - ЭА - 1: работы по установке систем видеонаблюдения в помещениях мировых судей судебных участков г.Липецка</v>
      </c>
      <c r="G14479" s="22" t="s">
        <v>629</v>
      </c>
      <c r="H14479" s="22" t="s">
        <v>629</v>
      </c>
      <c r="I14479" s="26">
        <v>43515</v>
      </c>
      <c r="J14479" s="23" t="str">
        <f>HYPERLINK("https://www.spark-marketing.ru/Card/Person/150793", "ООО ""ПЕЛЕН""")</f>
        <v>ООО "ПЕЛЕН"</v>
      </c>
      <c r="K14479" s="24" t="s">
        <v>3054</v>
      </c>
      <c r="L14479" s="22" t="s">
        <v>10</v>
      </c>
      <c r="M14479" s="25">
        <v>721031.89</v>
      </c>
      <c r="N14479" s="27">
        <v>0.25411276033520203</v>
      </c>
    </row>
    <row r="14480" spans="1:14" hidden="1" outlineLevel="1" x14ac:dyDescent="0.2">
      <c r="A14480" s="23" t="str">
        <f t="shared" si="762"/>
        <v>ОКУ УМТО</v>
      </c>
      <c r="B14480" s="24" t="s">
        <v>16698</v>
      </c>
      <c r="C14480" s="25">
        <v>966676.8</v>
      </c>
      <c r="D14480" s="22" t="s">
        <v>16699</v>
      </c>
      <c r="E14480" s="22" t="s">
        <v>59</v>
      </c>
      <c r="F14480" s="23" t="str">
        <f t="shared" si="763"/>
        <v>№ 19 - ЭА - 1: работы по установке систем видеонаблюдения в помещениях мировых судей судебных участков г.Липецка</v>
      </c>
      <c r="G14480" s="22" t="s">
        <v>629</v>
      </c>
      <c r="H14480" s="22" t="s">
        <v>629</v>
      </c>
      <c r="I14480" s="26">
        <v>43515</v>
      </c>
      <c r="J14480" s="23" t="str">
        <f>HYPERLINK("https://www.spark-marketing.ru/Card/Person/411425", "Сазыкин Алексей Сергеевич")</f>
        <v>Сазыкин Алексей Сергеевич</v>
      </c>
      <c r="K14480" s="24" t="s">
        <v>16700</v>
      </c>
      <c r="L14480" s="28" t="s">
        <v>52</v>
      </c>
      <c r="M14480" s="25">
        <v>725865.26</v>
      </c>
      <c r="N14480" s="27">
        <v>0.2491127748178088</v>
      </c>
    </row>
    <row r="14481" spans="1:14" hidden="1" outlineLevel="1" x14ac:dyDescent="0.2">
      <c r="A14481" s="23" t="str">
        <f t="shared" si="762"/>
        <v>ОКУ УМТО</v>
      </c>
      <c r="B14481" s="24" t="s">
        <v>16698</v>
      </c>
      <c r="C14481" s="25">
        <v>966676.8</v>
      </c>
      <c r="D14481" s="22" t="s">
        <v>16699</v>
      </c>
      <c r="E14481" s="22" t="s">
        <v>59</v>
      </c>
      <c r="F14481" s="23" t="str">
        <f t="shared" si="763"/>
        <v>№ 19 - ЭА - 1: работы по установке систем видеонаблюдения в помещениях мировых судей судебных участков г.Липецка</v>
      </c>
      <c r="G14481" s="22" t="s">
        <v>629</v>
      </c>
      <c r="H14481" s="22" t="s">
        <v>629</v>
      </c>
      <c r="I14481" s="26">
        <v>43515</v>
      </c>
      <c r="J14481" s="23" t="str">
        <f>HYPERLINK("https://www.spark-marketing.ru/Card/Person/116858", "ООО ""ТЕХНОСТРОЙ""")</f>
        <v>ООО "ТЕХНОСТРОЙ"</v>
      </c>
      <c r="K14481" s="24" t="s">
        <v>16701</v>
      </c>
      <c r="L14481" s="28" t="s">
        <v>52</v>
      </c>
      <c r="M14481" s="25">
        <v>749831.98</v>
      </c>
      <c r="N14481" s="27">
        <v>0.22431987609509196</v>
      </c>
    </row>
    <row r="14482" spans="1:14" hidden="1" outlineLevel="1" x14ac:dyDescent="0.2">
      <c r="A14482" s="23" t="str">
        <f t="shared" si="762"/>
        <v>ОКУ УМТО</v>
      </c>
      <c r="B14482" s="24" t="s">
        <v>16698</v>
      </c>
      <c r="C14482" s="25">
        <v>966676.8</v>
      </c>
      <c r="D14482" s="22" t="s">
        <v>16699</v>
      </c>
      <c r="E14482" s="22" t="s">
        <v>59</v>
      </c>
      <c r="F14482" s="23" t="str">
        <f t="shared" si="763"/>
        <v>№ 19 - ЭА - 1: работы по установке систем видеонаблюдения в помещениях мировых судей судебных участков г.Липецка</v>
      </c>
      <c r="G14482" s="22" t="s">
        <v>629</v>
      </c>
      <c r="H14482" s="22" t="s">
        <v>629</v>
      </c>
      <c r="I14482" s="26">
        <v>43515</v>
      </c>
      <c r="J14482" s="23" t="str">
        <f>HYPERLINK("https://www.spark-marketing.ru/Card/Person/525336", "ООО ""АЙТЕК""")</f>
        <v>ООО "АЙТЕК"</v>
      </c>
      <c r="K14482" s="24" t="s">
        <v>16702</v>
      </c>
      <c r="L14482" s="28" t="s">
        <v>52</v>
      </c>
      <c r="M14482" s="25">
        <v>918343</v>
      </c>
      <c r="N14482" s="27">
        <v>4.9999958621123421E-2</v>
      </c>
    </row>
    <row r="14483" spans="1:14" hidden="1" outlineLevel="1" x14ac:dyDescent="0.2">
      <c r="A14483" s="23" t="str">
        <f t="shared" si="762"/>
        <v>ОКУ УМТО</v>
      </c>
      <c r="B14483" s="24" t="s">
        <v>16698</v>
      </c>
      <c r="C14483" s="25">
        <v>966676.8</v>
      </c>
      <c r="D14483" s="22" t="s">
        <v>16699</v>
      </c>
      <c r="E14483" s="22" t="s">
        <v>59</v>
      </c>
      <c r="F14483" s="23" t="str">
        <f t="shared" si="763"/>
        <v>№ 19 - ЭА - 1: работы по установке систем видеонаблюдения в помещениях мировых судей судебных участков г.Липецка</v>
      </c>
      <c r="G14483" s="22" t="s">
        <v>629</v>
      </c>
      <c r="H14483" s="22" t="s">
        <v>629</v>
      </c>
      <c r="I14483" s="26">
        <v>43515</v>
      </c>
      <c r="J14483" s="23" t="str">
        <f>HYPERLINK("https://www.spark-marketing.ru/Card/Person/6442942", "Астахова Виктория Сергеевна")</f>
        <v>Астахова Виктория Сергеевна</v>
      </c>
      <c r="K14483" s="24" t="s">
        <v>16703</v>
      </c>
      <c r="L14483" s="28" t="s">
        <v>52</v>
      </c>
      <c r="M14483" s="25">
        <v>783665.64</v>
      </c>
      <c r="N14483" s="27">
        <v>0.18931990506030558</v>
      </c>
    </row>
    <row r="14484" spans="1:14" hidden="1" outlineLevel="1" x14ac:dyDescent="0.2">
      <c r="A14484" s="23" t="str">
        <f t="shared" si="762"/>
        <v>ОКУ УМТО</v>
      </c>
      <c r="B14484" s="24" t="s">
        <v>16698</v>
      </c>
      <c r="C14484" s="25">
        <v>966676.8</v>
      </c>
      <c r="D14484" s="22" t="s">
        <v>16699</v>
      </c>
      <c r="E14484" s="22" t="s">
        <v>59</v>
      </c>
      <c r="F14484" s="23" t="str">
        <f t="shared" si="763"/>
        <v>№ 19 - ЭА - 1: работы по установке систем видеонаблюдения в помещениях мировых судей судебных участков г.Липецка</v>
      </c>
      <c r="G14484" s="22" t="s">
        <v>629</v>
      </c>
      <c r="H14484" s="22" t="s">
        <v>629</v>
      </c>
      <c r="I14484" s="26">
        <v>43515</v>
      </c>
      <c r="J14484" s="23" t="str">
        <f>HYPERLINK("https://www.spark-marketing.ru/Card/Person/6075534", "Виноградов Константин Владимирович")</f>
        <v>Виноградов Константин Владимирович</v>
      </c>
      <c r="K14484" s="24" t="s">
        <v>16704</v>
      </c>
      <c r="L14484" s="28" t="s">
        <v>52</v>
      </c>
      <c r="M14484" s="25">
        <v>759498.74</v>
      </c>
      <c r="N14484" s="27">
        <v>0.2143198843708673</v>
      </c>
    </row>
    <row r="14485" spans="1:14" hidden="1" outlineLevel="1" x14ac:dyDescent="0.2">
      <c r="A14485" s="23" t="str">
        <f t="shared" si="762"/>
        <v>ОКУ УМТО</v>
      </c>
      <c r="B14485" s="24" t="s">
        <v>16698</v>
      </c>
      <c r="C14485" s="25">
        <v>966676.8</v>
      </c>
      <c r="D14485" s="22" t="s">
        <v>16699</v>
      </c>
      <c r="E14485" s="22" t="s">
        <v>59</v>
      </c>
      <c r="F14485" s="23" t="str">
        <f t="shared" si="763"/>
        <v>№ 19 - ЭА - 1: работы по установке систем видеонаблюдения в помещениях мировых судей судебных участков г.Липецка</v>
      </c>
      <c r="G14485" s="22" t="s">
        <v>629</v>
      </c>
      <c r="H14485" s="22" t="s">
        <v>629</v>
      </c>
      <c r="I14485" s="26">
        <v>43515</v>
      </c>
      <c r="J14485" s="23" t="str">
        <f>HYPERLINK("https://www.spark-marketing.ru/Card/Person/6493589", "Тен Анастасия Сергеевна")</f>
        <v>Тен Анастасия Сергеевна</v>
      </c>
      <c r="K14485" s="24" t="s">
        <v>13930</v>
      </c>
      <c r="L14485" s="28" t="s">
        <v>52</v>
      </c>
      <c r="M14485" s="25">
        <v>769165.5</v>
      </c>
      <c r="N14485" s="27">
        <v>0.2043198926466426</v>
      </c>
    </row>
    <row r="14486" spans="1:14" hidden="1" outlineLevel="1" x14ac:dyDescent="0.2">
      <c r="A14486" s="23" t="str">
        <f t="shared" si="762"/>
        <v>ОКУ УМТО</v>
      </c>
      <c r="B14486" s="24" t="s">
        <v>16698</v>
      </c>
      <c r="C14486" s="25">
        <v>966676.8</v>
      </c>
      <c r="D14486" s="22" t="s">
        <v>16699</v>
      </c>
      <c r="E14486" s="22" t="s">
        <v>59</v>
      </c>
      <c r="F14486" s="23" t="str">
        <f t="shared" si="763"/>
        <v>№ 19 - ЭА - 1: работы по установке систем видеонаблюдения в помещениях мировых судей судебных участков г.Липецка</v>
      </c>
      <c r="G14486" s="22" t="s">
        <v>629</v>
      </c>
      <c r="H14486" s="22" t="s">
        <v>629</v>
      </c>
      <c r="I14486" s="26">
        <v>43515</v>
      </c>
      <c r="J14486" s="23" t="str">
        <f>HYPERLINK("https://www.spark-marketing.ru/Card/Person/6450956", "ООО ""ВАЙЛЕС""")</f>
        <v>ООО "ВАЙЛЕС"</v>
      </c>
      <c r="K14486" s="24" t="s">
        <v>15315</v>
      </c>
      <c r="L14486" s="28" t="s">
        <v>52</v>
      </c>
      <c r="M14486" s="25">
        <v>937676.52</v>
      </c>
      <c r="N14486" s="27">
        <v>2.999997517267405E-2</v>
      </c>
    </row>
    <row r="14487" spans="1:14" x14ac:dyDescent="0.15">
      <c r="A14487" s="23" t="str">
        <f>HYPERLINK("https://www.spark-marketing.ru/Card/Person/27427", "УФСБ РОССИИ ПО ВОЛОГОДСКОЙ ОБЛАСТИ")</f>
        <v>УФСБ РОССИИ ПО ВОЛОГОДСКОЙ ОБЛАСТИ</v>
      </c>
      <c r="B14487" s="24" t="s">
        <v>16705</v>
      </c>
      <c r="C14487" s="25">
        <v>159715.20000000001</v>
      </c>
      <c r="D14487" s="22" t="s">
        <v>16706</v>
      </c>
      <c r="E14487" s="22" t="s">
        <v>68</v>
      </c>
      <c r="F14487" s="23" t="str">
        <f>HYPERLINK("https://www.spark-marketing.ru/Card/Lot/68063582", "Оказание услуг по централизованной охране объектов")</f>
        <v>Оказание услуг по централизованной охране объектов</v>
      </c>
      <c r="G14487" s="22" t="s">
        <v>902</v>
      </c>
      <c r="H14487" s="22" t="s">
        <v>903</v>
      </c>
      <c r="I14487" s="26">
        <v>43515</v>
      </c>
      <c r="J14487" s="28" t="s">
        <v>52</v>
      </c>
      <c r="K14487" s="28" t="s">
        <v>52</v>
      </c>
      <c r="L14487" s="28" t="s">
        <v>52</v>
      </c>
      <c r="M14487" s="28" t="s">
        <v>52</v>
      </c>
      <c r="N14487" s="28" t="s">
        <v>52</v>
      </c>
    </row>
    <row r="14488" spans="1:14" x14ac:dyDescent="0.15">
      <c r="A14488" s="23" t="str">
        <f>HYPERLINK("https://www.spark-marketing.ru/Card/Person/4378085", "УПРАВЛЕНИЕ РОСРЕЕСТРА ПО ЧЕЧЕНСКОЙ РЕСПУБЛИКЕ")</f>
        <v>УПРАВЛЕНИЕ РОСРЕЕСТРА ПО ЧЕЧЕНСКОЙ РЕСПУБЛИКЕ</v>
      </c>
      <c r="B14488" s="24" t="s">
        <v>9551</v>
      </c>
      <c r="C14488" s="25">
        <v>1116780</v>
      </c>
      <c r="D14488" s="22" t="s">
        <v>16707</v>
      </c>
      <c r="E14488" s="22" t="s">
        <v>68</v>
      </c>
      <c r="F14488" s="23" t="str">
        <f>HYPERLINK("https://www.spark-marketing.ru/Card/Lot/68077044", "Оплата услуг военизированной охраны")</f>
        <v>Оплата услуг военизированной охраны</v>
      </c>
      <c r="G14488" s="22" t="s">
        <v>724</v>
      </c>
      <c r="H14488" s="22" t="s">
        <v>5711</v>
      </c>
      <c r="I14488" s="26">
        <v>43515</v>
      </c>
      <c r="J14488" s="28" t="s">
        <v>52</v>
      </c>
      <c r="K14488" s="28" t="s">
        <v>52</v>
      </c>
      <c r="L14488" s="28" t="s">
        <v>52</v>
      </c>
      <c r="M14488" s="28" t="s">
        <v>52</v>
      </c>
      <c r="N14488" s="28" t="s">
        <v>52</v>
      </c>
    </row>
    <row r="14489" spans="1:14" x14ac:dyDescent="0.15">
      <c r="A14489" s="23" t="str">
        <f>HYPERLINK("https://www.spark-marketing.ru/Card/Person/65058", "ФКП ""АЭРОПОРТЫ ЧУКОТКИ""")</f>
        <v>ФКП "АЭРОПОРТЫ ЧУКОТКИ"</v>
      </c>
      <c r="B14489" s="24" t="s">
        <v>13051</v>
      </c>
      <c r="C14489" s="25">
        <v>164954.25</v>
      </c>
      <c r="D14489" s="22" t="s">
        <v>16708</v>
      </c>
      <c r="E14489" s="22" t="s">
        <v>68</v>
      </c>
      <c r="F14489" s="23" t="str">
        <f>HYPERLINK("https://www.spark-marketing.ru/Card/Lot/68051673", "Оказание охранных услуг а/п Провидения")</f>
        <v>Оказание охранных услуг а/п Провидения</v>
      </c>
      <c r="G14489" s="22" t="s">
        <v>1544</v>
      </c>
      <c r="H14489" s="22" t="s">
        <v>1544</v>
      </c>
      <c r="I14489" s="26">
        <v>43515</v>
      </c>
      <c r="J14489" s="28" t="s">
        <v>52</v>
      </c>
      <c r="K14489" s="28" t="s">
        <v>52</v>
      </c>
      <c r="L14489" s="28" t="s">
        <v>52</v>
      </c>
      <c r="M14489" s="28" t="s">
        <v>52</v>
      </c>
      <c r="N14489" s="28" t="s">
        <v>52</v>
      </c>
    </row>
    <row r="14490" spans="1:14" x14ac:dyDescent="0.2">
      <c r="A14490" s="23" t="str">
        <f>HYPERLINK("https://www.spark-marketing.ru/Card/Person/6217827", "АДМИНИСТРАЦИЯ БГО СК")</f>
        <v>АДМИНИСТРАЦИЯ БГО СК</v>
      </c>
      <c r="B14490" s="24" t="s">
        <v>16709</v>
      </c>
      <c r="C14490" s="25">
        <v>45369.07</v>
      </c>
      <c r="D14490" s="22" t="s">
        <v>16710</v>
      </c>
      <c r="E14490" s="22" t="s">
        <v>218</v>
      </c>
      <c r="F14490" s="23" t="str">
        <f>HYPERLINK("https://www.spark-marketing.ru/Card/Lot/68074566", "Оказание услуг по техническому надзору и техническому сопровождению работ по объекту: обустройство спортивного стадиона улица Красная б/н, село Мирное")</f>
        <v>Оказание услуг по техническому надзору и техническому сопровождению работ по объекту: обустройство спортивного стадиона улица Красная б/н, село Мирное</v>
      </c>
      <c r="G14490" s="22" t="s">
        <v>258</v>
      </c>
      <c r="H14490" s="22" t="s">
        <v>1814</v>
      </c>
      <c r="I14490" s="26">
        <v>43515</v>
      </c>
      <c r="J14490" s="23" t="str">
        <f>HYPERLINK("https://www.spark-marketing.ru/Card/Person/15763", "ООО ""СТРОЙДОРКОНТРОЛЬ""")</f>
        <v>ООО "СТРОЙДОРКОНТРОЛЬ"</v>
      </c>
      <c r="K14490" s="24" t="s">
        <v>16711</v>
      </c>
      <c r="L14490" s="28" t="s">
        <v>52</v>
      </c>
      <c r="M14490" s="25">
        <v>43000</v>
      </c>
      <c r="N14490" s="27">
        <v>5.2217733358872025E-2</v>
      </c>
    </row>
    <row r="14491" spans="1:14" x14ac:dyDescent="0.2">
      <c r="A14491" s="23" t="str">
        <f>HYPERLINK("https://www.spark-marketing.ru/Card/Person/203677", "УСЗН В МО ""КИЗЛЯРСКИЙ РАЙОН""")</f>
        <v>УСЗН В МО "КИЗЛЯРСКИЙ РАЙОН"</v>
      </c>
      <c r="B14491" s="24" t="s">
        <v>16712</v>
      </c>
      <c r="C14491" s="25">
        <v>68856.479999999996</v>
      </c>
      <c r="D14491" s="22" t="s">
        <v>16713</v>
      </c>
      <c r="E14491" s="22" t="s">
        <v>53</v>
      </c>
      <c r="F14491" s="23" t="str">
        <f>HYPERLINK("https://www.spark-marketing.ru/Card/Lot/73687645", "Услуга по охране объектов посредством комплекса технических средств охраны и осуществление экстренного выезда наряда полиции")</f>
        <v>Услуга по охране объектов посредством комплекса технических средств охраны и осуществление экстренного выезда наряда полиции</v>
      </c>
      <c r="G14491" s="22" t="s">
        <v>595</v>
      </c>
      <c r="H14491" s="22" t="s">
        <v>16714</v>
      </c>
      <c r="I14491" s="26">
        <v>43515.668749999997</v>
      </c>
      <c r="J14491" s="28" t="s">
        <v>52</v>
      </c>
      <c r="K14491" s="28" t="s">
        <v>52</v>
      </c>
      <c r="L14491" s="28" t="s">
        <v>52</v>
      </c>
      <c r="M14491" s="25">
        <v>68856.479999999996</v>
      </c>
      <c r="N14491" s="27">
        <v>0</v>
      </c>
    </row>
    <row r="14492" spans="1:14" x14ac:dyDescent="0.15">
      <c r="A14492" s="23" t="str">
        <f>HYPERLINK("https://www.spark-marketing.ru/Card/Person/7653", "БУ ""ФЕДОРОВСКАЯ ГОРОДСКАЯ БОЛЬНИЦА""")</f>
        <v>БУ "ФЕДОРОВСКАЯ ГОРОДСКАЯ БОЛЬНИЦА"</v>
      </c>
      <c r="B14492" s="24" t="s">
        <v>413</v>
      </c>
      <c r="C14492" s="25">
        <v>289379.96999999997</v>
      </c>
      <c r="D14492" s="22" t="s">
        <v>16715</v>
      </c>
      <c r="E14492" s="22" t="s">
        <v>103</v>
      </c>
      <c r="F14492" s="23" t="str">
        <f>HYPERLINK("https://www.spark-marketing.ru/Card/Lot/68096696", "Оказание услуг по техническому обслуживанию эндоскопического оборудования")</f>
        <v>Оказание услуг по техническому обслуживанию эндоскопического оборудования</v>
      </c>
      <c r="G14492" s="22" t="s">
        <v>119</v>
      </c>
      <c r="H14492" s="22" t="s">
        <v>416</v>
      </c>
      <c r="I14492" s="26">
        <v>43515</v>
      </c>
      <c r="J14492" s="23" t="str">
        <f>HYPERLINK("https://www.spark-marketing.ru/Card/Person/362345", "ООО ""ЭНДОМЕД""")</f>
        <v>ООО "ЭНДОМЕД"</v>
      </c>
      <c r="K14492" s="24" t="s">
        <v>16716</v>
      </c>
      <c r="L14492" s="22" t="s">
        <v>10</v>
      </c>
      <c r="M14492" s="28" t="s">
        <v>52</v>
      </c>
      <c r="N14492" s="28" t="s">
        <v>52</v>
      </c>
    </row>
    <row r="14493" spans="1:14" x14ac:dyDescent="0.15">
      <c r="A14493" s="23" t="str">
        <f>HYPERLINK("https://www.spark-marketing.ru/Card/Person/998813", "МЕЖРАЙОННАЯ ИФНС РОССИИ № 5 ПО КАЛУЖСКОЙ ОБЛАСТИ")</f>
        <v>МЕЖРАЙОННАЯ ИФНС РОССИИ № 5 ПО КАЛУЖСКОЙ ОБЛАСТИ</v>
      </c>
      <c r="B14493" s="24" t="s">
        <v>16683</v>
      </c>
      <c r="C14493" s="25">
        <v>38782</v>
      </c>
      <c r="D14493" s="22" t="s">
        <v>16717</v>
      </c>
      <c r="E14493" s="22" t="s">
        <v>183</v>
      </c>
      <c r="F14493" s="23" t="str">
        <f>HYPERLINK("https://www.spark-marketing.ru/Card/Lot/68089850", "услуги по охране объектов, подключенных на пульт централизованного наблюдения")</f>
        <v>услуги по охране объектов, подключенных на пульт централизованного наблюдения</v>
      </c>
      <c r="G14493" s="22" t="s">
        <v>658</v>
      </c>
      <c r="H14493" s="22" t="s">
        <v>658</v>
      </c>
      <c r="I14493" s="26">
        <v>43515</v>
      </c>
      <c r="J14493" s="28" t="s">
        <v>52</v>
      </c>
      <c r="K14493" s="28" t="s">
        <v>52</v>
      </c>
      <c r="L14493" s="28" t="s">
        <v>52</v>
      </c>
      <c r="M14493" s="28" t="s">
        <v>52</v>
      </c>
      <c r="N14493" s="28" t="s">
        <v>52</v>
      </c>
    </row>
    <row r="14494" spans="1:14" x14ac:dyDescent="0.15">
      <c r="A14494" s="23" t="str">
        <f>HYPERLINK("https://www.spark-marketing.ru/Card/Person/320611", "МП ОПАТП")</f>
        <v>МП ОПАТП</v>
      </c>
      <c r="B14494" s="24" t="s">
        <v>16718</v>
      </c>
      <c r="C14494" s="25">
        <v>93600</v>
      </c>
      <c r="D14494" s="22" t="s">
        <v>16719</v>
      </c>
      <c r="E14494" s="22" t="s">
        <v>68</v>
      </c>
      <c r="F14494" s="23" t="str">
        <f>HYPERLINK("https://www.spark-marketing.ru/Card/Lot/68091813", "Оказание услуг по мониторингу и техническому обслуживанию системы охранно- тревожной сигнализации")</f>
        <v>Оказание услуг по мониторингу и техническому обслуживанию системы охранно- тревожной сигнализации</v>
      </c>
      <c r="G14494" s="22" t="s">
        <v>658</v>
      </c>
      <c r="H14494" s="22" t="s">
        <v>659</v>
      </c>
      <c r="I14494" s="26">
        <v>43515</v>
      </c>
      <c r="J14494" s="23" t="str">
        <f>HYPERLINK("https://www.spark-marketing.ru/Card/Person/340592", "ООО ЧОП ""СГС ГРУПП""")</f>
        <v>ООО ЧОП "СГС ГРУПП"</v>
      </c>
      <c r="K14494" s="24" t="s">
        <v>16720</v>
      </c>
      <c r="L14494" s="28" t="s">
        <v>52</v>
      </c>
      <c r="M14494" s="28" t="s">
        <v>52</v>
      </c>
      <c r="N14494" s="28" t="s">
        <v>52</v>
      </c>
    </row>
    <row r="14495" spans="1:14" ht="12.75" hidden="1" outlineLevel="1" x14ac:dyDescent="0.2">
      <c r="A14495" s="23" t="str">
        <f>HYPERLINK("https://www.spark-marketing.ru/Card/Person/320611", "МП ОПАТП")</f>
        <v>МП ОПАТП</v>
      </c>
      <c r="B14495" s="24" t="s">
        <v>16718</v>
      </c>
      <c r="C14495" s="25">
        <v>93600</v>
      </c>
      <c r="D14495" s="22" t="s">
        <v>16719</v>
      </c>
      <c r="E14495" s="22" t="s">
        <v>68</v>
      </c>
      <c r="F14495" s="23" t="str">
        <f>HYPERLINK("https://www.spark-marketing.ru/Card/Lot/68091813", "Оказание услуг по мониторингу и техническому обслуживанию системы охранно- тревожной сигнализации")</f>
        <v>Оказание услуг по мониторингу и техническому обслуживанию системы охранно- тревожной сигнализации</v>
      </c>
      <c r="G14495" s="22" t="s">
        <v>658</v>
      </c>
      <c r="H14495" s="22" t="s">
        <v>659</v>
      </c>
      <c r="I14495" s="26">
        <v>43515</v>
      </c>
      <c r="J14495" s="23" t="str">
        <f>HYPERLINK("https://www.spark-marketing.ru/Card/Person/340592", "ООО ЧОП ""СГС ГРУПП""")</f>
        <v>ООО ЧОП "СГС ГРУПП"</v>
      </c>
      <c r="K14495" s="24" t="s">
        <v>16720</v>
      </c>
      <c r="L14495" s="22" t="s">
        <v>10</v>
      </c>
      <c r="M14495" s="25">
        <v>93132</v>
      </c>
      <c r="N14495" s="27">
        <v>5.0000000000000001E-3</v>
      </c>
    </row>
    <row r="14496" spans="1:14" x14ac:dyDescent="0.15">
      <c r="A14496" s="23" t="str">
        <f>HYPERLINK("https://www.spark-marketing.ru/Card/Person/9007", "УСД В РЕСПУБЛИКЕ БАШКОРТОСТАН")</f>
        <v>УСД В РЕСПУБЛИКЕ БАШКОРТОСТАН</v>
      </c>
      <c r="B14496" s="24" t="s">
        <v>16617</v>
      </c>
      <c r="C14496" s="25">
        <v>56491.199999999997</v>
      </c>
      <c r="D14496" s="22" t="s">
        <v>16721</v>
      </c>
      <c r="E14496" s="22" t="s">
        <v>68</v>
      </c>
      <c r="F14496" s="23" t="str">
        <f>HYPERLINK("https://www.spark-marketing.ru/Card/Lot/68096297", "Оказание охранных услуг")</f>
        <v>Оказание охранных услуг</v>
      </c>
      <c r="G14496" s="22" t="s">
        <v>100</v>
      </c>
      <c r="H14496" s="22" t="s">
        <v>373</v>
      </c>
      <c r="I14496" s="26">
        <v>43515</v>
      </c>
      <c r="J14496" s="28" t="s">
        <v>52</v>
      </c>
      <c r="K14496" s="28" t="s">
        <v>52</v>
      </c>
      <c r="L14496" s="28" t="s">
        <v>52</v>
      </c>
      <c r="M14496" s="28" t="s">
        <v>52</v>
      </c>
      <c r="N14496" s="28" t="s">
        <v>52</v>
      </c>
    </row>
    <row r="14497" spans="1:14" x14ac:dyDescent="0.15">
      <c r="A14497" s="23" t="str">
        <f>HYPERLINK("https://www.spark-marketing.ru/Card/Person/41262", "ГКУ ""МИАЦ""")</f>
        <v>ГКУ "МИАЦ"</v>
      </c>
      <c r="B14497" s="24" t="s">
        <v>16689</v>
      </c>
      <c r="C14497" s="25">
        <v>140760</v>
      </c>
      <c r="D14497" s="22" t="s">
        <v>16722</v>
      </c>
      <c r="E14497" s="22" t="s">
        <v>52</v>
      </c>
      <c r="F14497" s="23" t="str">
        <f>HYPERLINK("https://www.spark-marketing.ru/Card/Lot/68058225", "Оказание услуг охраны объекта по адресу: г. Курган, ул. Пролетарская, 61")</f>
        <v>Оказание услуг охраны объекта по адресу: г. Курган, ул. Пролетарская, 61</v>
      </c>
      <c r="G14497" s="22" t="s">
        <v>626</v>
      </c>
      <c r="H14497" s="22" t="s">
        <v>1508</v>
      </c>
      <c r="I14497" s="26">
        <v>43515</v>
      </c>
      <c r="J14497" s="28" t="s">
        <v>52</v>
      </c>
      <c r="K14497" s="28" t="s">
        <v>52</v>
      </c>
      <c r="L14497" s="28" t="s">
        <v>52</v>
      </c>
      <c r="M14497" s="28" t="s">
        <v>52</v>
      </c>
      <c r="N14497" s="28" t="s">
        <v>52</v>
      </c>
    </row>
    <row r="14498" spans="1:14" hidden="1" outlineLevel="1" x14ac:dyDescent="0.2">
      <c r="A14498" s="23" t="str">
        <f>HYPERLINK("https://www.spark-marketing.ru/Card/Person/41262", "ГКУ ""МИАЦ""")</f>
        <v>ГКУ "МИАЦ"</v>
      </c>
      <c r="B14498" s="24" t="s">
        <v>16689</v>
      </c>
      <c r="C14498" s="25">
        <v>140760</v>
      </c>
      <c r="D14498" s="22" t="s">
        <v>16722</v>
      </c>
      <c r="E14498" s="22" t="s">
        <v>52</v>
      </c>
      <c r="F14498" s="23" t="str">
        <f>HYPERLINK("https://www.spark-marketing.ru/Card/Lot/68058225", "Оказание услуг охраны объекта по адресу: г. Курган, ул. Пролетарская, 61")</f>
        <v>Оказание услуг охраны объекта по адресу: г. Курган, ул. Пролетарская, 61</v>
      </c>
      <c r="G14498" s="22" t="s">
        <v>626</v>
      </c>
      <c r="H14498" s="22" t="s">
        <v>1508</v>
      </c>
      <c r="I14498" s="26">
        <v>43515</v>
      </c>
      <c r="J14498" s="23" t="str">
        <f>HYPERLINK("https://www.spark-marketing.ru/Card/Person/534247", "ООО ЧОО ""ВАРЯГ-1""")</f>
        <v>ООО ЧОО "ВАРЯГ-1"</v>
      </c>
      <c r="K14498" s="24" t="s">
        <v>3231</v>
      </c>
      <c r="L14498" s="28" t="s">
        <v>52</v>
      </c>
      <c r="M14498" s="25">
        <v>140056.20000000001</v>
      </c>
      <c r="N14498" s="27">
        <v>5.0000000000000001E-3</v>
      </c>
    </row>
    <row r="14499" spans="1:14" hidden="1" outlineLevel="1" x14ac:dyDescent="0.2">
      <c r="A14499" s="23" t="str">
        <f>HYPERLINK("https://www.spark-marketing.ru/Card/Person/41262", "ГКУ ""МИАЦ""")</f>
        <v>ГКУ "МИАЦ"</v>
      </c>
      <c r="B14499" s="24" t="s">
        <v>16689</v>
      </c>
      <c r="C14499" s="25">
        <v>140760</v>
      </c>
      <c r="D14499" s="22" t="s">
        <v>16722</v>
      </c>
      <c r="E14499" s="22" t="s">
        <v>52</v>
      </c>
      <c r="F14499" s="23" t="str">
        <f>HYPERLINK("https://www.spark-marketing.ru/Card/Lot/68058225", "Оказание услуг охраны объекта по адресу: г. Курган, ул. Пролетарская, 61")</f>
        <v>Оказание услуг охраны объекта по адресу: г. Курган, ул. Пролетарская, 61</v>
      </c>
      <c r="G14499" s="22" t="s">
        <v>626</v>
      </c>
      <c r="H14499" s="22" t="s">
        <v>1508</v>
      </c>
      <c r="I14499" s="26">
        <v>43515</v>
      </c>
      <c r="J14499" s="23" t="str">
        <f>HYPERLINK("https://www.spark-marketing.ru/Card/Person/6499627", "ООО ""ЧОО ""СКАЛА""")</f>
        <v>ООО "ЧОО "СКАЛА"</v>
      </c>
      <c r="K14499" s="24" t="s">
        <v>16691</v>
      </c>
      <c r="L14499" s="28" t="s">
        <v>52</v>
      </c>
      <c r="M14499" s="25">
        <v>138648.6</v>
      </c>
      <c r="N14499" s="27">
        <v>1.4999999999999999E-2</v>
      </c>
    </row>
    <row r="14500" spans="1:14" ht="12.75" hidden="1" outlineLevel="1" x14ac:dyDescent="0.2">
      <c r="A14500" s="23" t="str">
        <f>HYPERLINK("https://www.spark-marketing.ru/Card/Person/41262", "ГКУ ""МИАЦ""")</f>
        <v>ГКУ "МИАЦ"</v>
      </c>
      <c r="B14500" s="24" t="s">
        <v>16689</v>
      </c>
      <c r="C14500" s="25">
        <v>140760</v>
      </c>
      <c r="D14500" s="22" t="s">
        <v>16722</v>
      </c>
      <c r="E14500" s="22" t="s">
        <v>52</v>
      </c>
      <c r="F14500" s="23" t="str">
        <f>HYPERLINK("https://www.spark-marketing.ru/Card/Lot/68058225", "Оказание услуг охраны объекта по адресу: г. Курган, ул. Пролетарская, 61")</f>
        <v>Оказание услуг охраны объекта по адресу: г. Курган, ул. Пролетарская, 61</v>
      </c>
      <c r="G14500" s="22" t="s">
        <v>626</v>
      </c>
      <c r="H14500" s="22" t="s">
        <v>1508</v>
      </c>
      <c r="I14500" s="26">
        <v>43515</v>
      </c>
      <c r="J14500" s="23" t="str">
        <f>HYPERLINK("https://www.spark-marketing.ru/Card/Person/58449", "ООО ""ЧОП ""ДОЗОР""")</f>
        <v>ООО "ЧОП "ДОЗОР"</v>
      </c>
      <c r="K14500" s="24" t="s">
        <v>13228</v>
      </c>
      <c r="L14500" s="22" t="s">
        <v>10</v>
      </c>
      <c r="M14500" s="25">
        <v>137944.79999999999</v>
      </c>
      <c r="N14500" s="27">
        <v>0.02</v>
      </c>
    </row>
    <row r="14501" spans="1:14" x14ac:dyDescent="0.15">
      <c r="A14501" s="23" t="str">
        <f>HYPERLINK("https://www.spark-marketing.ru/Card/Person/37866", "ГУЗ СО ""ПЕТРОВСКАЯ РБ""")</f>
        <v>ГУЗ СО "ПЕТРОВСКАЯ РБ"</v>
      </c>
      <c r="B14501" s="24" t="s">
        <v>16627</v>
      </c>
      <c r="C14501" s="25">
        <v>69767.899999999994</v>
      </c>
      <c r="D14501" s="22" t="s">
        <v>16723</v>
      </c>
      <c r="E14501" s="22" t="s">
        <v>68</v>
      </c>
      <c r="F14501" s="23" t="str">
        <f>HYPERLINK("https://www.spark-marketing.ru/Card/Lot/68100219", "Оказание услуг по охране имущества с помощью средств тревожной сигнализации")</f>
        <v>Оказание услуг по охране имущества с помощью средств тревожной сигнализации</v>
      </c>
      <c r="G14501" s="22" t="s">
        <v>80</v>
      </c>
      <c r="H14501" s="22" t="s">
        <v>16629</v>
      </c>
      <c r="I14501" s="26">
        <v>43515</v>
      </c>
      <c r="J14501" s="28" t="s">
        <v>52</v>
      </c>
      <c r="K14501" s="28" t="s">
        <v>52</v>
      </c>
      <c r="L14501" s="28" t="s">
        <v>52</v>
      </c>
      <c r="M14501" s="28" t="s">
        <v>52</v>
      </c>
      <c r="N14501" s="28" t="s">
        <v>52</v>
      </c>
    </row>
    <row r="14502" spans="1:14" ht="12.75" hidden="1" outlineLevel="1" x14ac:dyDescent="0.2">
      <c r="A14502" s="23" t="str">
        <f>HYPERLINK("https://www.spark-marketing.ru/Card/Person/37866", "ГУЗ СО ""ПЕТРОВСКАЯ РБ""")</f>
        <v>ГУЗ СО "ПЕТРОВСКАЯ РБ"</v>
      </c>
      <c r="B14502" s="24" t="s">
        <v>16627</v>
      </c>
      <c r="C14502" s="25">
        <v>69767.899999999994</v>
      </c>
      <c r="D14502" s="22" t="s">
        <v>16723</v>
      </c>
      <c r="E14502" s="22" t="s">
        <v>68</v>
      </c>
      <c r="F14502" s="23" t="str">
        <f>HYPERLINK("https://www.spark-marketing.ru/Card/Lot/68100219", "Оказание услуг по охране имущества с помощью средств тревожной сигнализации")</f>
        <v>Оказание услуг по охране имущества с помощью средств тревожной сигнализации</v>
      </c>
      <c r="G14502" s="22" t="s">
        <v>80</v>
      </c>
      <c r="H14502" s="22" t="s">
        <v>16629</v>
      </c>
      <c r="I14502" s="26">
        <v>43515</v>
      </c>
      <c r="J14502" s="23" t="str">
        <f>HYPERLINK("https://www.spark-marketing.ru/Card/Person/29623", "ООО ЧОО ""РАДОН-СБ""")</f>
        <v>ООО ЧОО "РАДОН-СБ"</v>
      </c>
      <c r="K14502" s="24" t="s">
        <v>13610</v>
      </c>
      <c r="L14502" s="22" t="s">
        <v>10</v>
      </c>
      <c r="M14502" s="25">
        <v>23900</v>
      </c>
      <c r="N14502" s="27">
        <v>0.65743558283967274</v>
      </c>
    </row>
    <row r="14503" spans="1:14" hidden="1" outlineLevel="1" x14ac:dyDescent="0.2">
      <c r="A14503" s="23" t="str">
        <f>HYPERLINK("https://www.spark-marketing.ru/Card/Person/37866", "ГУЗ СО ""ПЕТРОВСКАЯ РБ""")</f>
        <v>ГУЗ СО "ПЕТРОВСКАЯ РБ"</v>
      </c>
      <c r="B14503" s="24" t="s">
        <v>16627</v>
      </c>
      <c r="C14503" s="25">
        <v>69767.899999999994</v>
      </c>
      <c r="D14503" s="22" t="s">
        <v>16723</v>
      </c>
      <c r="E14503" s="22" t="s">
        <v>68</v>
      </c>
      <c r="F14503" s="23" t="str">
        <f>HYPERLINK("https://www.spark-marketing.ru/Card/Lot/68100219", "Оказание услуг по охране имущества с помощью средств тревожной сигнализации")</f>
        <v>Оказание услуг по охране имущества с помощью средств тревожной сигнализации</v>
      </c>
      <c r="G14503" s="22" t="s">
        <v>80</v>
      </c>
      <c r="H14503" s="22" t="s">
        <v>16629</v>
      </c>
      <c r="I14503" s="26">
        <v>43515</v>
      </c>
      <c r="J14503" s="23" t="str">
        <f>HYPERLINK("https://www.spark-marketing.ru/Card/Person/4346815", "ФГКУ ""УВО ВНГ РОССИИ ПО САРАТОВСКОЙ ОБЛАСТИ""")</f>
        <v>ФГКУ "УВО ВНГ РОССИИ ПО САРАТОВСКОЙ ОБЛАСТИ"</v>
      </c>
      <c r="K14503" s="24" t="s">
        <v>16630</v>
      </c>
      <c r="L14503" s="28" t="s">
        <v>52</v>
      </c>
      <c r="M14503" s="25">
        <v>51885.36</v>
      </c>
      <c r="N14503" s="27">
        <v>0.25631472353331547</v>
      </c>
    </row>
    <row r="14504" spans="1:14" x14ac:dyDescent="0.15">
      <c r="A14504" s="23" t="str">
        <f>HYPERLINK("https://www.spark-marketing.ru/Card/Person/4858274", "ООО ""СБ ДЕВЕЛОПМЕНТ""")</f>
        <v>ООО "СБ ДЕВЕЛОПМЕНТ"</v>
      </c>
      <c r="B14504" s="24" t="s">
        <v>5869</v>
      </c>
      <c r="C14504" s="25">
        <v>35000000</v>
      </c>
      <c r="D14504" s="22" t="s">
        <v>16724</v>
      </c>
      <c r="E14504" s="22" t="s">
        <v>53</v>
      </c>
      <c r="F14504" s="23" t="str">
        <f>HYPERLINK("https://www.spark-marketing.ru/Card/Lot/68050543", "Выбор поставщика услуг на внедрение BIM технологии в рамках сопровождения Заказчика по объекту Технопарк ПАО Сбербанк в инновационном центре «Сколково»")</f>
        <v>Выбор поставщика услуг на внедрение BIM технологии в рамках сопровождения Заказчика по объекту Технопарк ПАО Сбербанк в инновационном центре «Сколково»</v>
      </c>
      <c r="G14504" s="22" t="s">
        <v>55</v>
      </c>
      <c r="H14504" s="22" t="s">
        <v>55</v>
      </c>
      <c r="I14504" s="26">
        <v>43514.9152777778</v>
      </c>
      <c r="J14504" s="28" t="s">
        <v>52</v>
      </c>
      <c r="K14504" s="28" t="s">
        <v>52</v>
      </c>
      <c r="L14504" s="28" t="s">
        <v>52</v>
      </c>
      <c r="M14504" s="28" t="s">
        <v>52</v>
      </c>
      <c r="N14504" s="28" t="s">
        <v>52</v>
      </c>
    </row>
    <row r="14505" spans="1:14" x14ac:dyDescent="0.15">
      <c r="A14505" s="23" t="str">
        <f>HYPERLINK("https://www.spark-marketing.ru/Card/Person/5898151", "ООО ""УДС-ГРУПП""")</f>
        <v>ООО "УДС-ГРУПП"</v>
      </c>
      <c r="B14505" s="24" t="s">
        <v>16725</v>
      </c>
      <c r="C14505" s="28" t="s">
        <v>52</v>
      </c>
      <c r="D14505" s="22" t="s">
        <v>16726</v>
      </c>
      <c r="E14505" s="22" t="s">
        <v>53</v>
      </c>
      <c r="F14505" s="23" t="str">
        <f>HYPERLINK("https://www.spark-marketing.ru/Card/Lot/68045019", "Выполнение работ по установке видеонаблюдения на строительной площадке.")</f>
        <v>Выполнение работ по установке видеонаблюдения на строительной площадке.</v>
      </c>
      <c r="G14505" s="22" t="s">
        <v>96</v>
      </c>
      <c r="H14505" s="22" t="s">
        <v>1342</v>
      </c>
      <c r="I14505" s="26">
        <v>43514.812824074099</v>
      </c>
      <c r="J14505" s="28" t="s">
        <v>52</v>
      </c>
      <c r="K14505" s="28" t="s">
        <v>52</v>
      </c>
      <c r="L14505" s="28" t="s">
        <v>52</v>
      </c>
      <c r="M14505" s="28" t="s">
        <v>52</v>
      </c>
      <c r="N14505" s="28" t="s">
        <v>52</v>
      </c>
    </row>
    <row r="14506" spans="1:14" x14ac:dyDescent="0.15">
      <c r="A14506" s="23" t="str">
        <f>HYPERLINK("https://www.spark-marketing.ru/Card/Person/31367", "ФГБУН ИТ ФМБА РОССИИ")</f>
        <v>ФГБУН ИТ ФМБА РОССИИ</v>
      </c>
      <c r="B14506" s="24" t="s">
        <v>16727</v>
      </c>
      <c r="C14506" s="25">
        <v>450000</v>
      </c>
      <c r="D14506" s="22" t="s">
        <v>16728</v>
      </c>
      <c r="E14506" s="22" t="s">
        <v>16729</v>
      </c>
      <c r="F14506" s="23" t="str">
        <f>HYPERLINK("https://www.spark-marketing.ru/Card/Lot/68045229", "Оказание услуг по юридическому сопровождению строящегося объекта")</f>
        <v>Оказание услуг по юридическому сопровождению строящегося объекта</v>
      </c>
      <c r="G14506" s="22" t="s">
        <v>89</v>
      </c>
      <c r="H14506" s="22" t="s">
        <v>89</v>
      </c>
      <c r="I14506" s="26">
        <v>43514.765069444402</v>
      </c>
      <c r="J14506" s="28" t="s">
        <v>52</v>
      </c>
      <c r="K14506" s="28" t="s">
        <v>52</v>
      </c>
      <c r="L14506" s="28" t="s">
        <v>52</v>
      </c>
      <c r="M14506" s="28" t="s">
        <v>52</v>
      </c>
      <c r="N14506" s="28" t="s">
        <v>52</v>
      </c>
    </row>
    <row r="14507" spans="1:14" x14ac:dyDescent="0.15">
      <c r="A14507" s="23" t="str">
        <f>HYPERLINK("https://www.spark-marketing.ru/Card/Person/237677", "МБДОУ ""ДЕТСКИЙ САД № 3""")</f>
        <v>МБДОУ "ДЕТСКИЙ САД № 3"</v>
      </c>
      <c r="B14507" s="24" t="s">
        <v>16730</v>
      </c>
      <c r="C14507" s="25">
        <v>40000</v>
      </c>
      <c r="D14507" s="22" t="s">
        <v>16731</v>
      </c>
      <c r="E14507" s="22" t="s">
        <v>107</v>
      </c>
      <c r="F14507" s="23" t="str">
        <f>HYPERLINK("https://www.spark-marketing.ru/Card/Lot/68042758", "Услуги по техническому обслуживанию (содержанию) систем охранной (противовзломной) сигнализации")</f>
        <v>Услуги по техническому обслуживанию (содержанию) систем охранной (противовзломной) сигнализации</v>
      </c>
      <c r="G14507" s="22" t="s">
        <v>50</v>
      </c>
      <c r="H14507" s="22" t="s">
        <v>432</v>
      </c>
      <c r="I14507" s="26">
        <v>43514.742743055598</v>
      </c>
      <c r="J14507" s="28" t="s">
        <v>52</v>
      </c>
      <c r="K14507" s="28" t="s">
        <v>52</v>
      </c>
      <c r="L14507" s="28" t="s">
        <v>52</v>
      </c>
      <c r="M14507" s="28" t="s">
        <v>52</v>
      </c>
      <c r="N14507" s="28" t="s">
        <v>52</v>
      </c>
    </row>
    <row r="14508" spans="1:14" x14ac:dyDescent="0.15">
      <c r="A14508" s="23" t="str">
        <f>HYPERLINK("https://www.spark-marketing.ru/Card/Person/1039078", "МБОУ СОШ № 24")</f>
        <v>МБОУ СОШ № 24</v>
      </c>
      <c r="B14508" s="24" t="s">
        <v>16732</v>
      </c>
      <c r="C14508" s="25">
        <v>9000</v>
      </c>
      <c r="D14508" s="22" t="s">
        <v>16733</v>
      </c>
      <c r="E14508" s="22" t="s">
        <v>491</v>
      </c>
      <c r="F14508" s="23" t="str">
        <f>HYPERLINK("https://www.spark-marketing.ru/Card/Lot/68036284", "техническое обслуживание систем видеонаблюдения")</f>
        <v>техническое обслуживание систем видеонаблюдения</v>
      </c>
      <c r="G14508" s="22" t="s">
        <v>402</v>
      </c>
      <c r="H14508" s="22" t="s">
        <v>4435</v>
      </c>
      <c r="I14508" s="26">
        <v>43514.675000000003</v>
      </c>
      <c r="J14508" s="28" t="s">
        <v>52</v>
      </c>
      <c r="K14508" s="28" t="s">
        <v>52</v>
      </c>
      <c r="L14508" s="28" t="s">
        <v>52</v>
      </c>
      <c r="M14508" s="28" t="s">
        <v>52</v>
      </c>
      <c r="N14508" s="28" t="s">
        <v>52</v>
      </c>
    </row>
    <row r="14509" spans="1:14" x14ac:dyDescent="0.15">
      <c r="A14509" s="23" t="str">
        <f>HYPERLINK("https://www.spark-marketing.ru/Card/Person/62735", "ГКУСО МО ""ШАХОВСКОЙ СРЦН ""КОЛПИЦА""")</f>
        <v>ГКУСО МО "ШАХОВСКОЙ СРЦН "КОЛПИЦА"</v>
      </c>
      <c r="B14509" s="24" t="s">
        <v>16734</v>
      </c>
      <c r="C14509" s="25">
        <v>58771.6</v>
      </c>
      <c r="D14509" s="22" t="s">
        <v>16735</v>
      </c>
      <c r="E14509" s="22" t="s">
        <v>59</v>
      </c>
      <c r="F14509" s="23" t="str">
        <f>HYPERLINK("https://www.spark-marketing.ru/Card/Lot/68039959", "Работы по замене кнопок тревожной сигнализации")</f>
        <v>Работы по замене кнопок тревожной сигнализации</v>
      </c>
      <c r="G14509" s="22" t="s">
        <v>50</v>
      </c>
      <c r="H14509" s="22" t="s">
        <v>1172</v>
      </c>
      <c r="I14509" s="26">
        <v>43514.690729166701</v>
      </c>
      <c r="J14509" s="28" t="s">
        <v>52</v>
      </c>
      <c r="K14509" s="28" t="s">
        <v>52</v>
      </c>
      <c r="L14509" s="28" t="s">
        <v>52</v>
      </c>
      <c r="M14509" s="28" t="s">
        <v>52</v>
      </c>
      <c r="N14509" s="28" t="s">
        <v>52</v>
      </c>
    </row>
    <row r="14510" spans="1:14" x14ac:dyDescent="0.15">
      <c r="A14510" s="23" t="str">
        <f>HYPERLINK("https://www.spark-marketing.ru/Card/Person/6266", "АДМИНИСТРАЦИЯ Г.О. ПРОТВИНО")</f>
        <v>АДМИНИСТРАЦИЯ Г.О. ПРОТВИНО</v>
      </c>
      <c r="B14510" s="24" t="s">
        <v>16736</v>
      </c>
      <c r="C14510" s="25">
        <v>85200</v>
      </c>
      <c r="D14510" s="22" t="s">
        <v>16737</v>
      </c>
      <c r="E14510" s="22" t="s">
        <v>103</v>
      </c>
      <c r="F14510" s="23" t="str">
        <f>HYPERLINK("https://www.spark-marketing.ru/Card/Lot/68039993", "Обслуживание систем видеонаблюдения, стоящих на балансе в Администрации города")</f>
        <v>Обслуживание систем видеонаблюдения, стоящих на балансе в Администрации города</v>
      </c>
      <c r="G14510" s="22" t="s">
        <v>50</v>
      </c>
      <c r="H14510" s="22" t="s">
        <v>1386</v>
      </c>
      <c r="I14510" s="26">
        <v>43514.701805555596</v>
      </c>
      <c r="J14510" s="28" t="s">
        <v>52</v>
      </c>
      <c r="K14510" s="28" t="s">
        <v>52</v>
      </c>
      <c r="L14510" s="28" t="s">
        <v>52</v>
      </c>
      <c r="M14510" s="28" t="s">
        <v>52</v>
      </c>
      <c r="N14510" s="28" t="s">
        <v>52</v>
      </c>
    </row>
    <row r="14511" spans="1:14" x14ac:dyDescent="0.15">
      <c r="A14511" s="23" t="str">
        <f>HYPERLINK("https://www.spark-marketing.ru/Card/Person/78274", "МОУ ЛИЦЕЙ № 14")</f>
        <v>МОУ ЛИЦЕЙ № 14</v>
      </c>
      <c r="B14511" s="24" t="s">
        <v>15978</v>
      </c>
      <c r="C14511" s="25">
        <v>49950</v>
      </c>
      <c r="D14511" s="22" t="s">
        <v>16738</v>
      </c>
      <c r="E14511" s="22" t="s">
        <v>294</v>
      </c>
      <c r="F14511" s="23" t="str">
        <f>HYPERLINK("https://www.spark-marketing.ru/Card/Lot/68039931", "Оказание услуг по техническому обслуживанию оборудования, входящего в систему видеонаблюдения, при подготовке и проведении ЕГЭ в ППЭ")</f>
        <v>Оказание услуг по техническому обслуживанию оборудования, входящего в систему видеонаблюдения, при подготовке и проведении ЕГЭ в ППЭ</v>
      </c>
      <c r="G14511" s="22" t="s">
        <v>50</v>
      </c>
      <c r="H14511" s="22" t="s">
        <v>6661</v>
      </c>
      <c r="I14511" s="26">
        <v>43514.670162037</v>
      </c>
      <c r="J14511" s="28" t="s">
        <v>52</v>
      </c>
      <c r="K14511" s="28" t="s">
        <v>52</v>
      </c>
      <c r="L14511" s="28" t="s">
        <v>52</v>
      </c>
      <c r="M14511" s="28" t="s">
        <v>52</v>
      </c>
      <c r="N14511" s="28" t="s">
        <v>52</v>
      </c>
    </row>
    <row r="14512" spans="1:14" x14ac:dyDescent="0.15">
      <c r="A14512" s="23" t="str">
        <f>HYPERLINK("https://www.spark-marketing.ru/Card/Person/89998", "МБОУ СОШ № 7")</f>
        <v>МБОУ СОШ № 7</v>
      </c>
      <c r="B14512" s="24" t="s">
        <v>16739</v>
      </c>
      <c r="C14512" s="25">
        <v>8100</v>
      </c>
      <c r="D14512" s="22" t="s">
        <v>16740</v>
      </c>
      <c r="E14512" s="22" t="s">
        <v>491</v>
      </c>
      <c r="F14512" s="23" t="str">
        <f>HYPERLINK("https://www.spark-marketing.ru/Card/Lot/68036395", "техническое обслуживание систем видеонаблюдения")</f>
        <v>техническое обслуживание систем видеонаблюдения</v>
      </c>
      <c r="G14512" s="22" t="s">
        <v>402</v>
      </c>
      <c r="H14512" s="22" t="s">
        <v>4435</v>
      </c>
      <c r="I14512" s="26">
        <v>43514.668055555601</v>
      </c>
      <c r="J14512" s="28" t="s">
        <v>52</v>
      </c>
      <c r="K14512" s="28" t="s">
        <v>52</v>
      </c>
      <c r="L14512" s="28" t="s">
        <v>52</v>
      </c>
      <c r="M14512" s="28" t="s">
        <v>52</v>
      </c>
      <c r="N14512" s="28" t="s">
        <v>52</v>
      </c>
    </row>
    <row r="14513" spans="1:14" x14ac:dyDescent="0.2">
      <c r="A14513" s="23" t="str">
        <f>HYPERLINK("https://www.spark-marketing.ru/Card/Person/212821", "ООО ""ТАТНЕФТЬАВИАСЕРВИС""")</f>
        <v>ООО "ТАТНЕФТЬАВИАСЕРВИС"</v>
      </c>
      <c r="B14513" s="24" t="s">
        <v>16741</v>
      </c>
      <c r="C14513" s="25">
        <v>3120000</v>
      </c>
      <c r="D14513" s="22" t="s">
        <v>16742</v>
      </c>
      <c r="E14513" s="22" t="s">
        <v>4271</v>
      </c>
      <c r="F14513" s="23" t="str">
        <f>HYPERLINK("https://www.spark-marketing.ru/Card/Lot/68038161", "Оказание услуг по обеспечению транспортной безопасности на объекте ООО «Татнефтьавиасервис")</f>
        <v>Оказание услуг по обеспечению транспортной безопасности на объекте ООО «Татнефтьавиасервис</v>
      </c>
      <c r="G14513" s="22" t="s">
        <v>204</v>
      </c>
      <c r="H14513" s="22" t="s">
        <v>16743</v>
      </c>
      <c r="I14513" s="26">
        <v>43514.6421527778</v>
      </c>
      <c r="J14513" s="23" t="str">
        <f>HYPERLINK("https://www.spark-marketing.ru/Card/Person/181556", "ООО ""ЧОП ""ШАНС""")</f>
        <v>ООО "ЧОП "ШАНС"</v>
      </c>
      <c r="K14513" s="24" t="s">
        <v>16744</v>
      </c>
      <c r="L14513" s="28" t="s">
        <v>52</v>
      </c>
      <c r="M14513" s="25">
        <v>3000000</v>
      </c>
      <c r="N14513" s="27">
        <v>3.8461538461538464E-2</v>
      </c>
    </row>
    <row r="14514" spans="1:14" x14ac:dyDescent="0.2">
      <c r="A14514" s="23" t="str">
        <f>HYPERLINK("https://www.spark-marketing.ru/Card/Person/1744524", "АО ""КЦТЛ""")</f>
        <v>АО "КЦТЛ"</v>
      </c>
      <c r="B14514" s="24" t="s">
        <v>5228</v>
      </c>
      <c r="C14514" s="25">
        <v>550000</v>
      </c>
      <c r="D14514" s="22" t="s">
        <v>16745</v>
      </c>
      <c r="E14514" s="22" t="s">
        <v>6797</v>
      </c>
      <c r="F14514" s="23" t="str">
        <f>HYPERLINK("https://www.spark-marketing.ru/Card/Lot/68033395", "Выполнение работ по установке системы видеонаблюдения на причалах СВ1, СВ2, СВ3 и СВ7 с оконечным выведением видеосигнала в место постоянной дислокации 3 опк кпп «Санкт-Петербург морской порт грузовой»")</f>
        <v>Выполнение работ по установке системы видеонаблюдения на причалах СВ1, СВ2, СВ3 и СВ7 с оконечным выведением видеосигнала в место постоянной дислокации 3 опк кпп «Санкт-Петербург морской порт грузовой»</v>
      </c>
      <c r="G14514" s="22" t="s">
        <v>89</v>
      </c>
      <c r="H14514" s="22" t="s">
        <v>89</v>
      </c>
      <c r="I14514" s="26">
        <v>43514.580613425896</v>
      </c>
      <c r="J14514" s="23" t="str">
        <f>HYPERLINK("https://www.spark-marketing.ru/Card/Person/206492", "ООО ""СОН""")</f>
        <v>ООО "СОН"</v>
      </c>
      <c r="K14514" s="24" t="s">
        <v>16746</v>
      </c>
      <c r="L14514" s="28" t="s">
        <v>52</v>
      </c>
      <c r="M14514" s="25">
        <v>513800</v>
      </c>
      <c r="N14514" s="27">
        <v>6.5818181818181817E-2</v>
      </c>
    </row>
    <row r="14515" spans="1:14" x14ac:dyDescent="0.15">
      <c r="A14515" s="23" t="str">
        <f>HYPERLINK("https://www.spark-marketing.ru/Card/Person/1766898", "МАДОУ Д/С №11 ""РЯБИНКА""")</f>
        <v>МАДОУ Д/С №11 "РЯБИНКА"</v>
      </c>
      <c r="B14515" s="24" t="s">
        <v>16747</v>
      </c>
      <c r="C14515" s="25">
        <v>72000</v>
      </c>
      <c r="D14515" s="22" t="s">
        <v>16748</v>
      </c>
      <c r="E14515" s="22" t="s">
        <v>103</v>
      </c>
      <c r="F14515" s="23" t="str">
        <f>HYPERLINK("https://www.spark-marketing.ru/Card/Lot/68028494", "Техническое обслуживание системы видеонаблюдения")</f>
        <v>Техническое обслуживание системы видеонаблюдения</v>
      </c>
      <c r="G14515" s="22" t="s">
        <v>50</v>
      </c>
      <c r="H14515" s="22" t="s">
        <v>4782</v>
      </c>
      <c r="I14515" s="26">
        <v>43514.5446296296</v>
      </c>
      <c r="J14515" s="28" t="s">
        <v>52</v>
      </c>
      <c r="K14515" s="28" t="s">
        <v>52</v>
      </c>
      <c r="L14515" s="28" t="s">
        <v>52</v>
      </c>
      <c r="M14515" s="28" t="s">
        <v>52</v>
      </c>
      <c r="N14515" s="28" t="s">
        <v>52</v>
      </c>
    </row>
    <row r="14516" spans="1:14" x14ac:dyDescent="0.15">
      <c r="A14516" s="23" t="str">
        <f>HYPERLINK("https://www.spark-marketing.ru/Card/Person/1763172", "МАОУ БАРЫБИНСКАЯ СОШ")</f>
        <v>МАОУ БАРЫБИНСКАЯ СОШ</v>
      </c>
      <c r="B14516" s="24" t="s">
        <v>11714</v>
      </c>
      <c r="C14516" s="25">
        <v>15280</v>
      </c>
      <c r="D14516" s="22" t="s">
        <v>16749</v>
      </c>
      <c r="E14516" s="22" t="s">
        <v>107</v>
      </c>
      <c r="F14516" s="23" t="str">
        <f>HYPERLINK("https://www.spark-marketing.ru/Card/Lot/68028539", "Оказание услуги по техническому обслуживанию тревожной сигнализации")</f>
        <v>Оказание услуги по техническому обслуживанию тревожной сигнализации</v>
      </c>
      <c r="G14516" s="22" t="s">
        <v>50</v>
      </c>
      <c r="H14516" s="22" t="s">
        <v>4782</v>
      </c>
      <c r="I14516" s="26">
        <v>43514.565509259301</v>
      </c>
      <c r="J14516" s="28" t="s">
        <v>52</v>
      </c>
      <c r="K14516" s="28" t="s">
        <v>52</v>
      </c>
      <c r="L14516" s="28" t="s">
        <v>52</v>
      </c>
      <c r="M14516" s="28" t="s">
        <v>52</v>
      </c>
      <c r="N14516" s="28" t="s">
        <v>52</v>
      </c>
    </row>
    <row r="14517" spans="1:14" x14ac:dyDescent="0.15">
      <c r="A14517" s="23" t="str">
        <f>HYPERLINK("https://www.spark-marketing.ru/Card/Person/1029508", "МУК ""ОДК""")</f>
        <v>МУК "ОДК"</v>
      </c>
      <c r="B14517" s="24" t="s">
        <v>16750</v>
      </c>
      <c r="C14517" s="25">
        <v>9000</v>
      </c>
      <c r="D14517" s="22" t="s">
        <v>16751</v>
      </c>
      <c r="E14517" s="22" t="s">
        <v>107</v>
      </c>
      <c r="F14517" s="23" t="str">
        <f>HYPERLINK("https://www.spark-marketing.ru/Card/Lot/68028365", "Оказание услуг по техническому обслуживанию тревожной сигнализации")</f>
        <v>Оказание услуг по техническому обслуживанию тревожной сигнализации</v>
      </c>
      <c r="G14517" s="22" t="s">
        <v>50</v>
      </c>
      <c r="H14517" s="22" t="s">
        <v>104</v>
      </c>
      <c r="I14517" s="26">
        <v>43514.557106481501</v>
      </c>
      <c r="J14517" s="28" t="s">
        <v>52</v>
      </c>
      <c r="K14517" s="28" t="s">
        <v>52</v>
      </c>
      <c r="L14517" s="28" t="s">
        <v>52</v>
      </c>
      <c r="M14517" s="28" t="s">
        <v>52</v>
      </c>
      <c r="N14517" s="28" t="s">
        <v>52</v>
      </c>
    </row>
    <row r="14518" spans="1:14" x14ac:dyDescent="0.15">
      <c r="A14518" s="23" t="str">
        <f>HYPERLINK("https://www.spark-marketing.ru/Card/Person/4712183", "АОУ ШКОЛА № 16")</f>
        <v>АОУ ШКОЛА № 16</v>
      </c>
      <c r="B14518" s="24" t="s">
        <v>16752</v>
      </c>
      <c r="C14518" s="25">
        <v>82500</v>
      </c>
      <c r="D14518" s="22" t="s">
        <v>16753</v>
      </c>
      <c r="E14518" s="22" t="s">
        <v>294</v>
      </c>
      <c r="F14518" s="23" t="str">
        <f>HYPERLINK("https://www.spark-marketing.ru/Card/Lot/68025402", "Услуги по техническому обслуживанию аудио и видеотехники 2019 год")</f>
        <v>Услуги по техническому обслуживанию аудио и видеотехники 2019 год</v>
      </c>
      <c r="G14518" s="22" t="s">
        <v>50</v>
      </c>
      <c r="H14518" s="22" t="s">
        <v>3866</v>
      </c>
      <c r="I14518" s="26">
        <v>43514.534421296303</v>
      </c>
      <c r="J14518" s="28" t="s">
        <v>52</v>
      </c>
      <c r="K14518" s="28" t="s">
        <v>52</v>
      </c>
      <c r="L14518" s="28" t="s">
        <v>52</v>
      </c>
      <c r="M14518" s="28" t="s">
        <v>52</v>
      </c>
      <c r="N14518" s="28" t="s">
        <v>52</v>
      </c>
    </row>
    <row r="14519" spans="1:14" x14ac:dyDescent="0.15">
      <c r="A14519" s="23" t="str">
        <f>HYPERLINK("https://www.spark-marketing.ru/Card/Person/4348584", "АО ""АТОМ-ОХРАНА""")</f>
        <v>АО "АТОМ-ОХРАНА"</v>
      </c>
      <c r="B14519" s="24" t="s">
        <v>1036</v>
      </c>
      <c r="C14519" s="28" t="s">
        <v>52</v>
      </c>
      <c r="D14519" s="22" t="s">
        <v>16754</v>
      </c>
      <c r="E14519" s="22" t="s">
        <v>53</v>
      </c>
      <c r="F14519" s="23" t="str">
        <f>HYPERLINK("https://www.spark-marketing.ru/Card/Lot/68034649", "мониторинг цен на оказание услуг по мойке транспортных средств для нужд АУП и отряда № 501 (г. Новоуральск) МУВО № 5 ФГУП ""Атом-охрана"" (1189209)")</f>
        <v>мониторинг цен на оказание услуг по мойке транспортных средств для нужд АУП и отряда № 501 (г. Новоуральск) МУВО № 5 ФГУП "Атом-охрана" (1189209)</v>
      </c>
      <c r="G14519" s="22" t="s">
        <v>55</v>
      </c>
      <c r="H14519" s="22" t="s">
        <v>55</v>
      </c>
      <c r="I14519" s="26">
        <v>43514.5382060185</v>
      </c>
      <c r="J14519" s="28" t="s">
        <v>52</v>
      </c>
      <c r="K14519" s="28" t="s">
        <v>52</v>
      </c>
      <c r="L14519" s="28" t="s">
        <v>52</v>
      </c>
      <c r="M14519" s="28" t="s">
        <v>52</v>
      </c>
      <c r="N14519" s="28" t="s">
        <v>52</v>
      </c>
    </row>
    <row r="14520" spans="1:14" x14ac:dyDescent="0.15">
      <c r="A14520" s="23" t="str">
        <f>HYPERLINK("https://www.spark-marketing.ru/Card/Person/109671", "БДОУ Г. ОМСКА ""ДЕТСКИЙ САД № 210""")</f>
        <v>БДОУ Г. ОМСКА "ДЕТСКИЙ САД № 210"</v>
      </c>
      <c r="B14520" s="24" t="s">
        <v>16755</v>
      </c>
      <c r="C14520" s="25">
        <v>12000</v>
      </c>
      <c r="D14520" s="22" t="s">
        <v>16756</v>
      </c>
      <c r="E14520" s="22" t="s">
        <v>68</v>
      </c>
      <c r="F14520" s="23" t="str">
        <f>HYPERLINK("https://www.spark-marketing.ru/Card/Lot/68023891", "Оказание услуг по охране объекта посредством передачи тревожных сообщений по каналу GSM в БДОУ г. Омска «Детский сад № 210»")</f>
        <v>Оказание услуг по охране объекта посредством передачи тревожных сообщений по каналу GSM в БДОУ г. Омска «Детский сад № 210»</v>
      </c>
      <c r="G14520" s="22" t="s">
        <v>521</v>
      </c>
      <c r="H14520" s="22" t="s">
        <v>522</v>
      </c>
      <c r="I14520" s="26">
        <v>43514.520833333299</v>
      </c>
      <c r="J14520" s="28" t="s">
        <v>52</v>
      </c>
      <c r="K14520" s="28" t="s">
        <v>52</v>
      </c>
      <c r="L14520" s="28" t="s">
        <v>52</v>
      </c>
      <c r="M14520" s="28" t="s">
        <v>52</v>
      </c>
      <c r="N14520" s="28" t="s">
        <v>52</v>
      </c>
    </row>
    <row r="14521" spans="1:14" x14ac:dyDescent="0.15">
      <c r="A14521" s="23" t="str">
        <f>HYPERLINK("https://www.spark-marketing.ru/Card/Person/61291", "МБОУ ""Тучковская СОШ №3""")</f>
        <v>МБОУ "Тучковская СОШ №3"</v>
      </c>
      <c r="B14521" s="24" t="s">
        <v>1205</v>
      </c>
      <c r="C14521" s="25">
        <v>16500</v>
      </c>
      <c r="D14521" s="22" t="s">
        <v>16757</v>
      </c>
      <c r="E14521" s="22" t="s">
        <v>103</v>
      </c>
      <c r="F14521" s="23" t="str">
        <f>HYPERLINK("https://www.spark-marketing.ru/Card/Lot/68025518", "Оказание услуг по техническому обслуживанию исправных и работоспособных установок видеонаблюдения")</f>
        <v>Оказание услуг по техническому обслуживанию исправных и работоспособных установок видеонаблюдения</v>
      </c>
      <c r="G14521" s="22" t="s">
        <v>50</v>
      </c>
      <c r="H14521" s="22" t="s">
        <v>1207</v>
      </c>
      <c r="I14521" s="26">
        <v>43514.5237962963</v>
      </c>
      <c r="J14521" s="28" t="s">
        <v>52</v>
      </c>
      <c r="K14521" s="28" t="s">
        <v>52</v>
      </c>
      <c r="L14521" s="28" t="s">
        <v>52</v>
      </c>
      <c r="M14521" s="28" t="s">
        <v>52</v>
      </c>
      <c r="N14521" s="28" t="s">
        <v>52</v>
      </c>
    </row>
    <row r="14522" spans="1:14" x14ac:dyDescent="0.15">
      <c r="A14522" s="23" t="str">
        <f>HYPERLINK("https://www.spark-marketing.ru/Card/Person/4348584", "АО ""АТОМ-ОХРАНА""")</f>
        <v>АО "АТОМ-ОХРАНА"</v>
      </c>
      <c r="B14522" s="24" t="s">
        <v>1036</v>
      </c>
      <c r="C14522" s="25">
        <v>0</v>
      </c>
      <c r="D14522" s="22" t="s">
        <v>16758</v>
      </c>
      <c r="E14522" s="22" t="s">
        <v>53</v>
      </c>
      <c r="F14522" s="23" t="str">
        <f>HYPERLINK("https://www.spark-marketing.ru/Card/Lot/68050618", "мониторинг цен в электронной форме на мониторинг цен на оказание услуг по мойке транспортных средств для нужд АУП и отряда № 501 (г. Новоуральск) МУВО № 5 ФГУП ""Атом-охрана""")</f>
        <v>мониторинг цен в электронной форме на мониторинг цен на оказание услуг по мойке транспортных средств для нужд АУП и отряда № 501 (г. Новоуральск) МУВО № 5 ФГУП "Атом-охрана"</v>
      </c>
      <c r="G14522" s="22" t="s">
        <v>55</v>
      </c>
      <c r="H14522" s="22" t="s">
        <v>55</v>
      </c>
      <c r="I14522" s="26">
        <v>43514.489224536999</v>
      </c>
      <c r="J14522" s="28" t="s">
        <v>52</v>
      </c>
      <c r="K14522" s="28" t="s">
        <v>52</v>
      </c>
      <c r="L14522" s="28" t="s">
        <v>52</v>
      </c>
      <c r="M14522" s="28" t="s">
        <v>52</v>
      </c>
      <c r="N14522" s="28" t="s">
        <v>52</v>
      </c>
    </row>
    <row r="14523" spans="1:14" x14ac:dyDescent="0.15">
      <c r="A14523" s="23" t="str">
        <f>HYPERLINK("https://www.spark-marketing.ru/Card/Person/1025662", "МБУ ""СК ""МИХНЕВО""")</f>
        <v>МБУ "СК "МИХНЕВО"</v>
      </c>
      <c r="B14523" s="24" t="s">
        <v>16759</v>
      </c>
      <c r="C14523" s="25">
        <v>96000</v>
      </c>
      <c r="D14523" s="22" t="s">
        <v>16760</v>
      </c>
      <c r="E14523" s="22" t="s">
        <v>103</v>
      </c>
      <c r="F14523" s="23" t="str">
        <f>HYPERLINK("https://www.spark-marketing.ru/Card/Lot/68021429", "Оказание услуг по техническому обслуживанию системы видеонаблюдения")</f>
        <v>Оказание услуг по техническому обслуживанию системы видеонаблюдения</v>
      </c>
      <c r="G14523" s="22" t="s">
        <v>50</v>
      </c>
      <c r="H14523" s="22" t="s">
        <v>5791</v>
      </c>
      <c r="I14523" s="26">
        <v>43514.493252314802</v>
      </c>
      <c r="J14523" s="28" t="s">
        <v>52</v>
      </c>
      <c r="K14523" s="28" t="s">
        <v>52</v>
      </c>
      <c r="L14523" s="28" t="s">
        <v>52</v>
      </c>
      <c r="M14523" s="28" t="s">
        <v>52</v>
      </c>
      <c r="N14523" s="28" t="s">
        <v>52</v>
      </c>
    </row>
    <row r="14524" spans="1:14" x14ac:dyDescent="0.15">
      <c r="A14524" s="23" t="str">
        <f>HYPERLINK("https://www.spark-marketing.ru/Card/Person/61935", "МБОУ ""ТСОШ №2""")</f>
        <v>МБОУ "ТСОШ №2"</v>
      </c>
      <c r="B14524" s="24" t="s">
        <v>16761</v>
      </c>
      <c r="C14524" s="25">
        <v>16500</v>
      </c>
      <c r="D14524" s="22" t="s">
        <v>16762</v>
      </c>
      <c r="E14524" s="22" t="s">
        <v>103</v>
      </c>
      <c r="F14524" s="23" t="str">
        <f>HYPERLINK("https://www.spark-marketing.ru/Card/Lot/68021289", "Оказание услуг по техническому обслуживанию системы видеонаблюдения в учреждении")</f>
        <v>Оказание услуг по техническому обслуживанию системы видеонаблюдения в учреждении</v>
      </c>
      <c r="G14524" s="22" t="s">
        <v>50</v>
      </c>
      <c r="H14524" s="22" t="s">
        <v>1207</v>
      </c>
      <c r="I14524" s="26">
        <v>43514.471932870401</v>
      </c>
      <c r="J14524" s="28" t="s">
        <v>52</v>
      </c>
      <c r="K14524" s="28" t="s">
        <v>52</v>
      </c>
      <c r="L14524" s="28" t="s">
        <v>52</v>
      </c>
      <c r="M14524" s="28" t="s">
        <v>52</v>
      </c>
      <c r="N14524" s="28" t="s">
        <v>52</v>
      </c>
    </row>
    <row r="14525" spans="1:14" x14ac:dyDescent="0.15">
      <c r="A14525" s="23" t="str">
        <f>HYPERLINK("https://www.spark-marketing.ru/Card/Person/149780", "ГКУ ""КЦСЗН"" ЗАБАЙКАЛЬСКОГО КРАЯ")</f>
        <v>ГКУ "КЦСЗН" ЗАБАЙКАЛЬСКОГО КРАЯ</v>
      </c>
      <c r="B14525" s="24" t="s">
        <v>16763</v>
      </c>
      <c r="C14525" s="25">
        <v>48000</v>
      </c>
      <c r="D14525" s="22" t="s">
        <v>16764</v>
      </c>
      <c r="E14525" s="22" t="s">
        <v>68</v>
      </c>
      <c r="F14525" s="23" t="str">
        <f>HYPERLINK("https://www.spark-marketing.ru/Card/Lot/68016957", "Осуществление закупки товара, работы или услуги на сумму, не превышающую ста тысяч рублей")</f>
        <v>Осуществление закупки товара, работы или услуги на сумму, не превышающую ста тысяч рублей</v>
      </c>
      <c r="G14525" s="22" t="s">
        <v>473</v>
      </c>
      <c r="H14525" s="22" t="s">
        <v>476</v>
      </c>
      <c r="I14525" s="26">
        <v>43514.465972222199</v>
      </c>
      <c r="J14525" s="28" t="s">
        <v>52</v>
      </c>
      <c r="K14525" s="28" t="s">
        <v>52</v>
      </c>
      <c r="L14525" s="28" t="s">
        <v>52</v>
      </c>
      <c r="M14525" s="28" t="s">
        <v>52</v>
      </c>
      <c r="N14525" s="28" t="s">
        <v>52</v>
      </c>
    </row>
    <row r="14526" spans="1:14" x14ac:dyDescent="0.15">
      <c r="A14526" s="23" t="str">
        <f>HYPERLINK("https://www.spark-marketing.ru/Card/Person/61867", "МБОУ ""Колюбакинская СОШ""")</f>
        <v>МБОУ "Колюбакинская СОШ"</v>
      </c>
      <c r="B14526" s="24" t="s">
        <v>16765</v>
      </c>
      <c r="C14526" s="25">
        <v>16500</v>
      </c>
      <c r="D14526" s="22" t="s">
        <v>16766</v>
      </c>
      <c r="E14526" s="22" t="s">
        <v>103</v>
      </c>
      <c r="F14526" s="23" t="str">
        <f>HYPERLINK("https://www.spark-marketing.ru/Card/Lot/68016798", "Оказание услуг на техническое обслуживание систем видеонаблюдения")</f>
        <v>Оказание услуг на техническое обслуживание систем видеонаблюдения</v>
      </c>
      <c r="G14526" s="22" t="s">
        <v>50</v>
      </c>
      <c r="H14526" s="22" t="s">
        <v>3869</v>
      </c>
      <c r="I14526" s="26">
        <v>43514.440532407403</v>
      </c>
      <c r="J14526" s="28" t="s">
        <v>52</v>
      </c>
      <c r="K14526" s="28" t="s">
        <v>52</v>
      </c>
      <c r="L14526" s="28" t="s">
        <v>52</v>
      </c>
      <c r="M14526" s="28" t="s">
        <v>52</v>
      </c>
      <c r="N14526" s="28" t="s">
        <v>52</v>
      </c>
    </row>
    <row r="14527" spans="1:14" x14ac:dyDescent="0.15">
      <c r="A14527" s="23" t="str">
        <f>HYPERLINK("https://www.spark-marketing.ru/Card/Person/61436", "МБОУ ""Нестеровский лицей""")</f>
        <v>МБОУ "Нестеровский лицей"</v>
      </c>
      <c r="B14527" s="24" t="s">
        <v>16767</v>
      </c>
      <c r="C14527" s="25">
        <v>16500</v>
      </c>
      <c r="D14527" s="22" t="s">
        <v>16768</v>
      </c>
      <c r="E14527" s="22" t="s">
        <v>103</v>
      </c>
      <c r="F14527" s="23" t="str">
        <f>HYPERLINK("https://www.spark-marketing.ru/Card/Lot/68016812", "Оказание услуг на обслуживание системы видеонаблюдения")</f>
        <v>Оказание услуг на обслуживание системы видеонаблюдения</v>
      </c>
      <c r="G14527" s="22" t="s">
        <v>50</v>
      </c>
      <c r="H14527" s="22" t="s">
        <v>1207</v>
      </c>
      <c r="I14527" s="26">
        <v>43514.440671296303</v>
      </c>
      <c r="J14527" s="28" t="s">
        <v>52</v>
      </c>
      <c r="K14527" s="28" t="s">
        <v>52</v>
      </c>
      <c r="L14527" s="28" t="s">
        <v>52</v>
      </c>
      <c r="M14527" s="28" t="s">
        <v>52</v>
      </c>
      <c r="N14527" s="28" t="s">
        <v>52</v>
      </c>
    </row>
    <row r="14528" spans="1:14" x14ac:dyDescent="0.15">
      <c r="A14528" s="23" t="str">
        <f>HYPERLINK("https://www.spark-marketing.ru/Card/Person/29477", "ФГБУ ""НИИ ЦПК ИМЕНИ Ю.А.ГАГАРИНА""")</f>
        <v>ФГБУ "НИИ ЦПК ИМЕНИ Ю.А.ГАГАРИНА"</v>
      </c>
      <c r="B14528" s="24" t="s">
        <v>15598</v>
      </c>
      <c r="C14528" s="25">
        <v>4000000</v>
      </c>
      <c r="D14528" s="22" t="s">
        <v>16769</v>
      </c>
      <c r="E14528" s="22" t="s">
        <v>370</v>
      </c>
      <c r="F14528" s="23" t="str">
        <f>HYPERLINK("https://www.spark-marketing.ru/Card/Lot/68017046", "Выполнение работ по техническому обслуживанию инженерно-технических средств охраны комплексной системы безопасности ФГБУ ""НИИ ЦПК имени Ю.А.Гагарина""")</f>
        <v>Выполнение работ по техническому обслуживанию инженерно-технических средств охраны комплексной системы безопасности ФГБУ "НИИ ЦПК имени Ю.А.Гагарина"</v>
      </c>
      <c r="G14528" s="22" t="s">
        <v>50</v>
      </c>
      <c r="H14528" s="22" t="s">
        <v>6069</v>
      </c>
      <c r="I14528" s="26">
        <v>43514.444120370397</v>
      </c>
      <c r="J14528" s="28" t="s">
        <v>52</v>
      </c>
      <c r="K14528" s="28" t="s">
        <v>52</v>
      </c>
      <c r="L14528" s="28" t="s">
        <v>52</v>
      </c>
      <c r="M14528" s="28" t="s">
        <v>52</v>
      </c>
      <c r="N14528" s="28" t="s">
        <v>52</v>
      </c>
    </row>
    <row r="14529" spans="1:14" x14ac:dyDescent="0.15">
      <c r="A14529" s="23" t="str">
        <f>HYPERLINK("https://www.spark-marketing.ru/Card/Person/50785", "МБОУ КАЛИНОВСКАЯ СОШ")</f>
        <v>МБОУ КАЛИНОВСКАЯ СОШ</v>
      </c>
      <c r="B14529" s="24" t="s">
        <v>16770</v>
      </c>
      <c r="C14529" s="25">
        <v>48000</v>
      </c>
      <c r="D14529" s="22" t="s">
        <v>16771</v>
      </c>
      <c r="E14529" s="22" t="s">
        <v>103</v>
      </c>
      <c r="F14529" s="23" t="str">
        <f>HYPERLINK("https://www.spark-marketing.ru/Card/Lot/68016751", "Оказание услуги по техническому обслуживанию видеонаблюдения")</f>
        <v>Оказание услуги по техническому обслуживанию видеонаблюдения</v>
      </c>
      <c r="G14529" s="22" t="s">
        <v>50</v>
      </c>
      <c r="H14529" s="22" t="s">
        <v>2391</v>
      </c>
      <c r="I14529" s="26">
        <v>43514.430023148103</v>
      </c>
      <c r="J14529" s="28" t="s">
        <v>52</v>
      </c>
      <c r="K14529" s="28" t="s">
        <v>52</v>
      </c>
      <c r="L14529" s="28" t="s">
        <v>52</v>
      </c>
      <c r="M14529" s="28" t="s">
        <v>52</v>
      </c>
      <c r="N14529" s="28" t="s">
        <v>52</v>
      </c>
    </row>
    <row r="14530" spans="1:14" x14ac:dyDescent="0.15">
      <c r="A14530" s="23" t="str">
        <f>HYPERLINK("https://www.spark-marketing.ru/Card/Person/115634", "МБОУ ""ВИДНОВСКАЯ СОШ № 4""")</f>
        <v>МБОУ "ВИДНОВСКАЯ СОШ № 4"</v>
      </c>
      <c r="B14530" s="24" t="s">
        <v>16772</v>
      </c>
      <c r="C14530" s="25">
        <v>21600</v>
      </c>
      <c r="D14530" s="22" t="s">
        <v>16773</v>
      </c>
      <c r="E14530" s="22" t="s">
        <v>107</v>
      </c>
      <c r="F14530" s="23" t="str">
        <f>HYPERLINK("https://www.spark-marketing.ru/Card/Lot/68016821", "Оказание услуг по техническому обслуживанию системы комплекса технических средств охраны")</f>
        <v>Оказание услуг по техническому обслуживанию системы комплекса технических средств охраны</v>
      </c>
      <c r="G14530" s="22" t="s">
        <v>50</v>
      </c>
      <c r="H14530" s="22" t="s">
        <v>2391</v>
      </c>
      <c r="I14530" s="26">
        <v>43514.4510069444</v>
      </c>
      <c r="J14530" s="28" t="s">
        <v>52</v>
      </c>
      <c r="K14530" s="28" t="s">
        <v>52</v>
      </c>
      <c r="L14530" s="28" t="s">
        <v>52</v>
      </c>
      <c r="M14530" s="28" t="s">
        <v>52</v>
      </c>
      <c r="N14530" s="28" t="s">
        <v>52</v>
      </c>
    </row>
    <row r="14531" spans="1:14" x14ac:dyDescent="0.15">
      <c r="A14531" s="23" t="str">
        <f>HYPERLINK("https://www.spark-marketing.ru/Card/Person/150292", "МБДОУ № 117")</f>
        <v>МБДОУ № 117</v>
      </c>
      <c r="B14531" s="24" t="s">
        <v>16774</v>
      </c>
      <c r="C14531" s="25">
        <v>48000</v>
      </c>
      <c r="D14531" s="22" t="s">
        <v>16775</v>
      </c>
      <c r="E14531" s="22" t="s">
        <v>107</v>
      </c>
      <c r="F14531" s="23" t="str">
        <f>HYPERLINK("https://www.spark-marketing.ru/Card/Lot/68015127", "Техническое обслуживание системы видеонаблюдения, установленной на объектах Заказчика")</f>
        <v>Техническое обслуживание системы видеонаблюдения, установленной на объектах Заказчика</v>
      </c>
      <c r="G14531" s="22" t="s">
        <v>402</v>
      </c>
      <c r="H14531" s="22" t="s">
        <v>403</v>
      </c>
      <c r="I14531" s="26">
        <v>43514.440972222197</v>
      </c>
      <c r="J14531" s="28" t="s">
        <v>52</v>
      </c>
      <c r="K14531" s="28" t="s">
        <v>52</v>
      </c>
      <c r="L14531" s="28" t="s">
        <v>52</v>
      </c>
      <c r="M14531" s="28" t="s">
        <v>52</v>
      </c>
      <c r="N14531" s="28" t="s">
        <v>52</v>
      </c>
    </row>
    <row r="14532" spans="1:14" x14ac:dyDescent="0.15">
      <c r="A14532" s="23" t="str">
        <f>HYPERLINK("https://www.spark-marketing.ru/Card/Person/61861", "МБОУ ""ДОРОХОВСКАЯ СОШ""")</f>
        <v>МБОУ "ДОРОХОВСКАЯ СОШ"</v>
      </c>
      <c r="B14532" s="24" t="s">
        <v>7823</v>
      </c>
      <c r="C14532" s="25">
        <v>16500</v>
      </c>
      <c r="D14532" s="22" t="s">
        <v>16776</v>
      </c>
      <c r="E14532" s="22" t="s">
        <v>103</v>
      </c>
      <c r="F14532" s="23" t="str">
        <f>HYPERLINK("https://www.spark-marketing.ru/Card/Lot/68016796", "Оказание услуг по техническому обслуживанию системы видеонаблюдения")</f>
        <v>Оказание услуг по техническому обслуживанию системы видеонаблюдения</v>
      </c>
      <c r="G14532" s="22" t="s">
        <v>50</v>
      </c>
      <c r="H14532" s="22" t="s">
        <v>1207</v>
      </c>
      <c r="I14532" s="26">
        <v>43514.440520833297</v>
      </c>
      <c r="J14532" s="28" t="s">
        <v>52</v>
      </c>
      <c r="K14532" s="28" t="s">
        <v>52</v>
      </c>
      <c r="L14532" s="28" t="s">
        <v>52</v>
      </c>
      <c r="M14532" s="28" t="s">
        <v>52</v>
      </c>
      <c r="N14532" s="28" t="s">
        <v>52</v>
      </c>
    </row>
    <row r="14533" spans="1:14" x14ac:dyDescent="0.15">
      <c r="A14533" s="23" t="str">
        <f>HYPERLINK("https://www.spark-marketing.ru/Card/Person/622143", "ПАО ""ЮЖНЫЙ КУЗБАСС""")</f>
        <v>ПАО "ЮЖНЫЙ КУЗБАСС"</v>
      </c>
      <c r="B14533" s="24" t="s">
        <v>16777</v>
      </c>
      <c r="C14533" s="25">
        <v>0</v>
      </c>
      <c r="D14533" s="22" t="s">
        <v>16778</v>
      </c>
      <c r="E14533" s="22" t="s">
        <v>9190</v>
      </c>
      <c r="F14533" s="23" t="str">
        <f>HYPERLINK("https://www.spark-marketing.ru/Card/Lot/68026430", "КНОПКА ТРЕВОЖНАЯ С2000-КТ АДРЕСНАЯ")</f>
        <v>КНОПКА ТРЕВОЖНАЯ С2000-КТ АДРЕСНАЯ</v>
      </c>
      <c r="G14533" s="22" t="s">
        <v>367</v>
      </c>
      <c r="H14533" s="22" t="s">
        <v>16779</v>
      </c>
      <c r="I14533" s="26">
        <v>43514.454872685201</v>
      </c>
      <c r="J14533" s="28" t="s">
        <v>52</v>
      </c>
      <c r="K14533" s="28" t="s">
        <v>52</v>
      </c>
      <c r="L14533" s="28" t="s">
        <v>52</v>
      </c>
      <c r="M14533" s="28" t="s">
        <v>52</v>
      </c>
      <c r="N14533" s="28" t="s">
        <v>52</v>
      </c>
    </row>
    <row r="14534" spans="1:14" x14ac:dyDescent="0.15">
      <c r="A14534" s="23" t="str">
        <f t="shared" ref="A14534:A14540" si="764">HYPERLINK("https://www.spark-marketing.ru/Card/Person/1361344", "МАУДО ЦЕНТР ""РОМАНТИК""")</f>
        <v>МАУДО ЦЕНТР "РОМАНТИК"</v>
      </c>
      <c r="B14534" s="24" t="s">
        <v>16780</v>
      </c>
      <c r="C14534" s="25">
        <v>81333.33</v>
      </c>
      <c r="D14534" s="22" t="s">
        <v>16781</v>
      </c>
      <c r="E14534" s="22" t="s">
        <v>137</v>
      </c>
      <c r="F14534" s="23" t="str">
        <f t="shared" ref="F14534:F14540" si="765">HYPERLINK("https://www.spark-marketing.ru/Card/Lot/68013854", "Выполнение работ по техническому обслуживанию систем видеонаблюдения")</f>
        <v>Выполнение работ по техническому обслуживанию систем видеонаблюдения</v>
      </c>
      <c r="G14534" s="22" t="s">
        <v>50</v>
      </c>
      <c r="H14534" s="22" t="s">
        <v>50</v>
      </c>
      <c r="I14534" s="26">
        <v>43514.391898148097</v>
      </c>
      <c r="J14534" s="28" t="s">
        <v>52</v>
      </c>
      <c r="K14534" s="28" t="s">
        <v>52</v>
      </c>
      <c r="L14534" s="28" t="s">
        <v>52</v>
      </c>
      <c r="M14534" s="28" t="s">
        <v>52</v>
      </c>
      <c r="N14534" s="28" t="s">
        <v>52</v>
      </c>
    </row>
    <row r="14535" spans="1:14" hidden="1" outlineLevel="1" x14ac:dyDescent="0.2">
      <c r="A14535" s="23" t="str">
        <f t="shared" si="764"/>
        <v>МАУДО ЦЕНТР "РОМАНТИК"</v>
      </c>
      <c r="B14535" s="24" t="s">
        <v>16780</v>
      </c>
      <c r="C14535" s="28" t="s">
        <v>52</v>
      </c>
      <c r="D14535" s="22" t="s">
        <v>16781</v>
      </c>
      <c r="E14535" s="22" t="s">
        <v>137</v>
      </c>
      <c r="F14535" s="23" t="str">
        <f t="shared" si="765"/>
        <v>Выполнение работ по техническому обслуживанию систем видеонаблюдения</v>
      </c>
      <c r="G14535" s="22" t="s">
        <v>50</v>
      </c>
      <c r="H14535" s="22" t="s">
        <v>50</v>
      </c>
      <c r="I14535" s="26">
        <v>43514.391898148097</v>
      </c>
      <c r="J14535" s="23" t="str">
        <f>HYPERLINK("https://www.spark-marketing.ru/Card/Person/6462474", "ООО ""ФАВОР""")</f>
        <v>ООО "ФАВОР"</v>
      </c>
      <c r="K14535" s="24" t="s">
        <v>2058</v>
      </c>
      <c r="L14535" s="22" t="s">
        <v>10</v>
      </c>
      <c r="M14535" s="25">
        <v>50000</v>
      </c>
      <c r="N14535" s="27">
        <v>0.38524587644450314</v>
      </c>
    </row>
    <row r="14536" spans="1:14" hidden="1" outlineLevel="1" x14ac:dyDescent="0.2">
      <c r="A14536" s="23" t="str">
        <f t="shared" si="764"/>
        <v>МАУДО ЦЕНТР "РОМАНТИК"</v>
      </c>
      <c r="B14536" s="24" t="s">
        <v>16780</v>
      </c>
      <c r="C14536" s="28" t="s">
        <v>52</v>
      </c>
      <c r="D14536" s="22" t="s">
        <v>16781</v>
      </c>
      <c r="E14536" s="22" t="s">
        <v>137</v>
      </c>
      <c r="F14536" s="23" t="str">
        <f t="shared" si="765"/>
        <v>Выполнение работ по техническому обслуживанию систем видеонаблюдения</v>
      </c>
      <c r="G14536" s="22" t="s">
        <v>50</v>
      </c>
      <c r="H14536" s="22" t="s">
        <v>50</v>
      </c>
      <c r="I14536" s="26">
        <v>43514.391898148097</v>
      </c>
      <c r="J14536" s="23" t="str">
        <f>HYPERLINK("https://www.spark-marketing.ru/Card/Person/1750232", "ООО ""АЗБУКА СИСТЕМ БЕЗОПАСНОСТИ""")</f>
        <v>ООО "АЗБУКА СИСТЕМ БЕЗОПАСНОСТИ"</v>
      </c>
      <c r="K14536" s="24" t="s">
        <v>3162</v>
      </c>
      <c r="L14536" s="28" t="s">
        <v>52</v>
      </c>
      <c r="M14536" s="25">
        <v>68900</v>
      </c>
      <c r="N14536" s="27">
        <v>0.15286881774052533</v>
      </c>
    </row>
    <row r="14537" spans="1:14" hidden="1" outlineLevel="1" x14ac:dyDescent="0.2">
      <c r="A14537" s="23" t="str">
        <f t="shared" si="764"/>
        <v>МАУДО ЦЕНТР "РОМАНТИК"</v>
      </c>
      <c r="B14537" s="24" t="s">
        <v>16780</v>
      </c>
      <c r="C14537" s="28" t="s">
        <v>52</v>
      </c>
      <c r="D14537" s="22" t="s">
        <v>16781</v>
      </c>
      <c r="E14537" s="22" t="s">
        <v>137</v>
      </c>
      <c r="F14537" s="23" t="str">
        <f t="shared" si="765"/>
        <v>Выполнение работ по техническому обслуживанию систем видеонаблюдения</v>
      </c>
      <c r="G14537" s="22" t="s">
        <v>50</v>
      </c>
      <c r="H14537" s="22" t="s">
        <v>50</v>
      </c>
      <c r="I14537" s="26">
        <v>43514.391898148097</v>
      </c>
      <c r="J14537" s="23" t="str">
        <f>HYPERLINK("https://www.spark-marketing.ru/Card/Person/65028", "ООО ""ИМПУЛЬС М""")</f>
        <v>ООО "ИМПУЛЬС М"</v>
      </c>
      <c r="K14537" s="24" t="s">
        <v>7268</v>
      </c>
      <c r="L14537" s="28" t="s">
        <v>52</v>
      </c>
      <c r="M14537" s="25">
        <v>70000</v>
      </c>
      <c r="N14537" s="27">
        <v>0.1393442270223044</v>
      </c>
    </row>
    <row r="14538" spans="1:14" hidden="1" outlineLevel="1" x14ac:dyDescent="0.2">
      <c r="A14538" s="23" t="str">
        <f t="shared" si="764"/>
        <v>МАУДО ЦЕНТР "РОМАНТИК"</v>
      </c>
      <c r="B14538" s="24" t="s">
        <v>16780</v>
      </c>
      <c r="C14538" s="28" t="s">
        <v>52</v>
      </c>
      <c r="D14538" s="22" t="s">
        <v>16781</v>
      </c>
      <c r="E14538" s="22" t="s">
        <v>137</v>
      </c>
      <c r="F14538" s="23" t="str">
        <f t="shared" si="765"/>
        <v>Выполнение работ по техническому обслуживанию систем видеонаблюдения</v>
      </c>
      <c r="G14538" s="22" t="s">
        <v>50</v>
      </c>
      <c r="H14538" s="22" t="s">
        <v>50</v>
      </c>
      <c r="I14538" s="26">
        <v>43514.391898148097</v>
      </c>
      <c r="J14538" s="23" t="str">
        <f>HYPERLINK("https://www.spark-marketing.ru/Card/Person/378912", "ООО ""МИР""")</f>
        <v>ООО "МИР"</v>
      </c>
      <c r="K14538" s="24" t="s">
        <v>16242</v>
      </c>
      <c r="L14538" s="28" t="s">
        <v>52</v>
      </c>
      <c r="M14538" s="25">
        <v>70000</v>
      </c>
      <c r="N14538" s="27">
        <v>0.1393442270223044</v>
      </c>
    </row>
    <row r="14539" spans="1:14" hidden="1" outlineLevel="1" x14ac:dyDescent="0.2">
      <c r="A14539" s="23" t="str">
        <f t="shared" si="764"/>
        <v>МАУДО ЦЕНТР "РОМАНТИК"</v>
      </c>
      <c r="B14539" s="24" t="s">
        <v>16780</v>
      </c>
      <c r="C14539" s="28" t="s">
        <v>52</v>
      </c>
      <c r="D14539" s="22" t="s">
        <v>16781</v>
      </c>
      <c r="E14539" s="22" t="s">
        <v>137</v>
      </c>
      <c r="F14539" s="23" t="str">
        <f t="shared" si="765"/>
        <v>Выполнение работ по техническому обслуживанию систем видеонаблюдения</v>
      </c>
      <c r="G14539" s="22" t="s">
        <v>50</v>
      </c>
      <c r="H14539" s="22" t="s">
        <v>50</v>
      </c>
      <c r="I14539" s="26">
        <v>43514.391898148097</v>
      </c>
      <c r="J14539" s="23" t="str">
        <f>HYPERLINK("https://www.spark-marketing.ru/Card/Person/375155", "ООО ""ПОИГ-ЩЕЛКОВО""")</f>
        <v>ООО "ПОИГ-ЩЕЛКОВО"</v>
      </c>
      <c r="K14539" s="24" t="s">
        <v>2611</v>
      </c>
      <c r="L14539" s="28" t="s">
        <v>52</v>
      </c>
      <c r="M14539" s="25">
        <v>75000</v>
      </c>
      <c r="N14539" s="27">
        <v>7.7868814666754702E-2</v>
      </c>
    </row>
    <row r="14540" spans="1:14" hidden="1" outlineLevel="1" x14ac:dyDescent="0.2">
      <c r="A14540" s="23" t="str">
        <f t="shared" si="764"/>
        <v>МАУДО ЦЕНТР "РОМАНТИК"</v>
      </c>
      <c r="B14540" s="24" t="s">
        <v>16780</v>
      </c>
      <c r="C14540" s="28" t="s">
        <v>52</v>
      </c>
      <c r="D14540" s="22" t="s">
        <v>16781</v>
      </c>
      <c r="E14540" s="22" t="s">
        <v>137</v>
      </c>
      <c r="F14540" s="23" t="str">
        <f t="shared" si="765"/>
        <v>Выполнение работ по техническому обслуживанию систем видеонаблюдения</v>
      </c>
      <c r="G14540" s="22" t="s">
        <v>50</v>
      </c>
      <c r="H14540" s="22" t="s">
        <v>50</v>
      </c>
      <c r="I14540" s="26">
        <v>43514.391898148097</v>
      </c>
      <c r="J14540" s="23" t="str">
        <f>HYPERLINK("https://www.spark-marketing.ru/Card/Person/1686384", "ООО ""РЕСУРС""")</f>
        <v>ООО "РЕСУРС"</v>
      </c>
      <c r="K14540" s="24" t="s">
        <v>16244</v>
      </c>
      <c r="L14540" s="28" t="s">
        <v>52</v>
      </c>
      <c r="M14540" s="25">
        <v>80000</v>
      </c>
      <c r="N14540" s="27">
        <v>1.6393402311205011E-2</v>
      </c>
    </row>
    <row r="14541" spans="1:14" x14ac:dyDescent="0.15">
      <c r="A14541" s="23" t="str">
        <f>HYPERLINK("https://www.spark-marketing.ru/Card/Person/1022228", "МОУ ""УШАКОВСКАЯ СОШ""")</f>
        <v>МОУ "УШАКОВСКАЯ СОШ"</v>
      </c>
      <c r="B14541" s="24" t="s">
        <v>16782</v>
      </c>
      <c r="C14541" s="25">
        <v>19548</v>
      </c>
      <c r="D14541" s="22" t="s">
        <v>16783</v>
      </c>
      <c r="E14541" s="22" t="s">
        <v>59</v>
      </c>
      <c r="F14541" s="23" t="str">
        <f>HYPERLINK("https://www.spark-marketing.ru/Card/Lot/68013762", "Монтаж КТС")</f>
        <v>Монтаж КТС</v>
      </c>
      <c r="G14541" s="22" t="s">
        <v>50</v>
      </c>
      <c r="H14541" s="22" t="s">
        <v>5168</v>
      </c>
      <c r="I14541" s="26">
        <v>43514.388449074097</v>
      </c>
      <c r="J14541" s="28" t="s">
        <v>52</v>
      </c>
      <c r="K14541" s="28" t="s">
        <v>52</v>
      </c>
      <c r="L14541" s="28" t="s">
        <v>52</v>
      </c>
      <c r="M14541" s="28" t="s">
        <v>52</v>
      </c>
      <c r="N14541" s="28" t="s">
        <v>52</v>
      </c>
    </row>
    <row r="14542" spans="1:14" x14ac:dyDescent="0.15">
      <c r="A14542" s="23" t="str">
        <f>HYPERLINK("https://www.spark-marketing.ru/Card/Person/146035", "БОУ Г.ОМСКА ""СРЕДНЯЯ ОБЩЕОБРАЗОВАТЕЛЬНАЯ ШКОЛА № 77""")</f>
        <v>БОУ Г.ОМСКА "СРЕДНЯЯ ОБЩЕОБРАЗОВАТЕЛЬНАЯ ШКОЛА № 77"</v>
      </c>
      <c r="B14542" s="24" t="s">
        <v>16784</v>
      </c>
      <c r="C14542" s="25">
        <v>42674.400000000001</v>
      </c>
      <c r="D14542" s="22" t="s">
        <v>16785</v>
      </c>
      <c r="E14542" s="22" t="s">
        <v>68</v>
      </c>
      <c r="F14542" s="23" t="str">
        <f>HYPERLINK("https://www.spark-marketing.ru/Card/Lot/68012106", "Услуги по техническому обслуживанию исправных и работоспособных установок охранной сигнализации")</f>
        <v>Услуги по техническому обслуживанию исправных и работоспособных установок охранной сигнализации</v>
      </c>
      <c r="G14542" s="22" t="s">
        <v>521</v>
      </c>
      <c r="H14542" s="22" t="s">
        <v>522</v>
      </c>
      <c r="I14542" s="26">
        <v>43514.379861111098</v>
      </c>
      <c r="J14542" s="28" t="s">
        <v>52</v>
      </c>
      <c r="K14542" s="28" t="s">
        <v>52</v>
      </c>
      <c r="L14542" s="28" t="s">
        <v>52</v>
      </c>
      <c r="M14542" s="28" t="s">
        <v>52</v>
      </c>
      <c r="N14542" s="28" t="s">
        <v>52</v>
      </c>
    </row>
    <row r="14543" spans="1:14" x14ac:dyDescent="0.15">
      <c r="A14543" s="23" t="str">
        <f>HYPERLINK("https://www.spark-marketing.ru/Card/Person/115634", "МБОУ ""ВИДНОВСКАЯ СОШ № 4""")</f>
        <v>МБОУ "ВИДНОВСКАЯ СОШ № 4"</v>
      </c>
      <c r="B14543" s="24" t="s">
        <v>16772</v>
      </c>
      <c r="C14543" s="25">
        <v>97200</v>
      </c>
      <c r="D14543" s="22" t="s">
        <v>16786</v>
      </c>
      <c r="E14543" s="22" t="s">
        <v>294</v>
      </c>
      <c r="F14543" s="23" t="str">
        <f>HYPERLINK("https://www.spark-marketing.ru/Card/Lot/68013691", "Оказание услуг по техническому обслуживанию системы видеонаблюдения")</f>
        <v>Оказание услуг по техническому обслуживанию системы видеонаблюдения</v>
      </c>
      <c r="G14543" s="22" t="s">
        <v>50</v>
      </c>
      <c r="H14543" s="22" t="s">
        <v>2391</v>
      </c>
      <c r="I14543" s="26">
        <v>43514.399467592601</v>
      </c>
      <c r="J14543" s="28" t="s">
        <v>52</v>
      </c>
      <c r="K14543" s="28" t="s">
        <v>52</v>
      </c>
      <c r="L14543" s="28" t="s">
        <v>52</v>
      </c>
      <c r="M14543" s="28" t="s">
        <v>52</v>
      </c>
      <c r="N14543" s="28" t="s">
        <v>52</v>
      </c>
    </row>
    <row r="14544" spans="1:14" x14ac:dyDescent="0.15">
      <c r="A14544" s="23" t="str">
        <f>HYPERLINK("https://www.spark-marketing.ru/Card/Person/71036", "УЛЬЯНОВСКИЙ ЛО МВД РОССИИ НА ТРАНСПОРТЕ")</f>
        <v>УЛЬЯНОВСКИЙ ЛО МВД РОССИИ НА ТРАНСПОРТЕ</v>
      </c>
      <c r="B14544" s="24" t="s">
        <v>16787</v>
      </c>
      <c r="C14544" s="25">
        <v>14290.08</v>
      </c>
      <c r="D14544" s="22" t="s">
        <v>16788</v>
      </c>
      <c r="E14544" s="22" t="s">
        <v>53</v>
      </c>
      <c r="F14544" s="23" t="str">
        <f>HYPERLINK("https://www.spark-marketing.ru/Card/Lot/70798228", "Услуги по техническому обслуживанию средств охраны установленных в здании")</f>
        <v>Услуги по техническому обслуживанию средств охраны установленных в здании</v>
      </c>
      <c r="G14544" s="22" t="s">
        <v>446</v>
      </c>
      <c r="H14544" s="22" t="s">
        <v>3996</v>
      </c>
      <c r="I14544" s="26">
        <v>43514.415613425903</v>
      </c>
      <c r="J14544" s="28" t="s">
        <v>52</v>
      </c>
      <c r="K14544" s="28" t="s">
        <v>52</v>
      </c>
      <c r="L14544" s="28" t="s">
        <v>52</v>
      </c>
      <c r="M14544" s="28" t="s">
        <v>52</v>
      </c>
      <c r="N14544" s="28" t="s">
        <v>52</v>
      </c>
    </row>
    <row r="14545" spans="1:14" x14ac:dyDescent="0.15">
      <c r="A14545" s="23" t="str">
        <f>HYPERLINK("https://www.spark-marketing.ru/Card/Person/18577", "МБУ ""ТЭУ""")</f>
        <v>МБУ "ТЭУ"</v>
      </c>
      <c r="B14545" s="24" t="s">
        <v>16381</v>
      </c>
      <c r="C14545" s="25">
        <v>66780</v>
      </c>
      <c r="D14545" s="22" t="s">
        <v>16789</v>
      </c>
      <c r="E14545" s="22" t="s">
        <v>103</v>
      </c>
      <c r="F14545" s="23" t="str">
        <f>HYPERLINK("https://www.spark-marketing.ru/Card/Lot/68013697", "Услуги по техническому обслуживанию системы видеонаблюдения")</f>
        <v>Услуги по техническому обслуживанию системы видеонаблюдения</v>
      </c>
      <c r="G14545" s="22" t="s">
        <v>50</v>
      </c>
      <c r="H14545" s="22" t="s">
        <v>3866</v>
      </c>
      <c r="I14545" s="26">
        <v>43514.409386574102</v>
      </c>
      <c r="J14545" s="28" t="s">
        <v>52</v>
      </c>
      <c r="K14545" s="28" t="s">
        <v>52</v>
      </c>
      <c r="L14545" s="28" t="s">
        <v>52</v>
      </c>
      <c r="M14545" s="28" t="s">
        <v>52</v>
      </c>
      <c r="N14545" s="28" t="s">
        <v>52</v>
      </c>
    </row>
    <row r="14546" spans="1:14" x14ac:dyDescent="0.15">
      <c r="A14546" s="23" t="str">
        <f>HYPERLINK("https://www.spark-marketing.ru/Card/Person/194329", "ДЕПАРТАМЕНТ РОСГИДРОМЕТА ПО ДФО")</f>
        <v>ДЕПАРТАМЕНТ РОСГИДРОМЕТА ПО ДФО</v>
      </c>
      <c r="B14546" s="24" t="s">
        <v>16790</v>
      </c>
      <c r="C14546" s="25">
        <v>86328</v>
      </c>
      <c r="D14546" s="22" t="s">
        <v>16791</v>
      </c>
      <c r="E14546" s="22" t="s">
        <v>53</v>
      </c>
      <c r="F14546" s="23" t="str">
        <f>HYPERLINK("https://www.spark-marketing.ru/Card/Lot/70799046", "Услуги пультовой охраны")</f>
        <v>Услуги пультовой охраны</v>
      </c>
      <c r="G14546" s="22" t="s">
        <v>138</v>
      </c>
      <c r="H14546" s="22" t="s">
        <v>255</v>
      </c>
      <c r="I14546" s="26">
        <v>43514.208657407398</v>
      </c>
      <c r="J14546" s="28" t="s">
        <v>52</v>
      </c>
      <c r="K14546" s="28" t="s">
        <v>52</v>
      </c>
      <c r="L14546" s="28" t="s">
        <v>52</v>
      </c>
      <c r="M14546" s="28" t="s">
        <v>52</v>
      </c>
      <c r="N14546" s="28" t="s">
        <v>52</v>
      </c>
    </row>
    <row r="14547" spans="1:14" x14ac:dyDescent="0.15">
      <c r="A14547" s="23" t="str">
        <f>HYPERLINK("https://www.spark-marketing.ru/Card/Person/194329", "ДЕПАРТАМЕНТ РОСГИДРОМЕТА ПО ДФО")</f>
        <v>ДЕПАРТАМЕНТ РОСГИДРОМЕТА ПО ДФО</v>
      </c>
      <c r="B14547" s="24" t="s">
        <v>16790</v>
      </c>
      <c r="C14547" s="25">
        <v>25562.639999999999</v>
      </c>
      <c r="D14547" s="22" t="s">
        <v>16792</v>
      </c>
      <c r="E14547" s="22" t="s">
        <v>53</v>
      </c>
      <c r="F14547" s="23" t="str">
        <f>HYPERLINK("https://www.spark-marketing.ru/Card/Lot/70799045", "Услуги по ТО комплекса технических средств охраны")</f>
        <v>Услуги по ТО комплекса технических средств охраны</v>
      </c>
      <c r="G14547" s="22" t="s">
        <v>138</v>
      </c>
      <c r="H14547" s="22" t="s">
        <v>255</v>
      </c>
      <c r="I14547" s="26">
        <v>43514.205532407403</v>
      </c>
      <c r="J14547" s="28" t="s">
        <v>52</v>
      </c>
      <c r="K14547" s="28" t="s">
        <v>52</v>
      </c>
      <c r="L14547" s="28" t="s">
        <v>52</v>
      </c>
      <c r="M14547" s="28" t="s">
        <v>52</v>
      </c>
      <c r="N14547" s="28" t="s">
        <v>52</v>
      </c>
    </row>
    <row r="14548" spans="1:14" x14ac:dyDescent="0.15">
      <c r="A14548" s="23" t="str">
        <f>HYPERLINK("https://www.spark-marketing.ru/Card/Person/31569", "КГБУЗ ""КГП № 14""")</f>
        <v>КГБУЗ "КГП № 14"</v>
      </c>
      <c r="B14548" s="24" t="s">
        <v>16793</v>
      </c>
      <c r="C14548" s="25">
        <v>5185800</v>
      </c>
      <c r="D14548" s="22" t="s">
        <v>16794</v>
      </c>
      <c r="E14548" s="22" t="s">
        <v>68</v>
      </c>
      <c r="F14548" s="23" t="str">
        <f>HYPERLINK("https://www.spark-marketing.ru/Card/Lot/68029119", "ЭА 35182/18 «Оказание услуг физической (постовой) охраны объектов недвижимости»")</f>
        <v>ЭА 35182/18 «Оказание услуг физической (постовой) охраны объектов недвижимости»</v>
      </c>
      <c r="G14548" s="22" t="s">
        <v>640</v>
      </c>
      <c r="H14548" s="22" t="s">
        <v>1524</v>
      </c>
      <c r="I14548" s="26">
        <v>43514</v>
      </c>
      <c r="J14548" s="28" t="s">
        <v>52</v>
      </c>
      <c r="K14548" s="28" t="s">
        <v>52</v>
      </c>
      <c r="L14548" s="28" t="s">
        <v>52</v>
      </c>
      <c r="M14548" s="28" t="s">
        <v>52</v>
      </c>
      <c r="N14548" s="28" t="s">
        <v>52</v>
      </c>
    </row>
    <row r="14549" spans="1:14" hidden="1" outlineLevel="1" x14ac:dyDescent="0.2">
      <c r="A14549" s="23" t="str">
        <f>HYPERLINK("https://www.spark-marketing.ru/Card/Person/31569", "КГБУЗ ""КГП № 14""")</f>
        <v>КГБУЗ "КГП № 14"</v>
      </c>
      <c r="B14549" s="24" t="s">
        <v>16793</v>
      </c>
      <c r="C14549" s="25">
        <v>5185800</v>
      </c>
      <c r="D14549" s="22" t="s">
        <v>16794</v>
      </c>
      <c r="E14549" s="22" t="s">
        <v>68</v>
      </c>
      <c r="F14549" s="23" t="str">
        <f>HYPERLINK("https://www.spark-marketing.ru/Card/Lot/68029119", "ЭА 35182/18 «Оказание услуг физической (постовой) охраны объектов недвижимости»")</f>
        <v>ЭА 35182/18 «Оказание услуг физической (постовой) охраны объектов недвижимости»</v>
      </c>
      <c r="G14549" s="22" t="s">
        <v>640</v>
      </c>
      <c r="H14549" s="22" t="s">
        <v>1524</v>
      </c>
      <c r="I14549" s="26">
        <v>43514</v>
      </c>
      <c r="J14549" s="23" t="str">
        <f>HYPERLINK("https://www.spark-marketing.ru/Card/Person/472540", "ООО ""МОЛОТ""")</f>
        <v>ООО "МОЛОТ"</v>
      </c>
      <c r="K14549" s="24" t="s">
        <v>4684</v>
      </c>
      <c r="L14549" s="28" t="s">
        <v>52</v>
      </c>
      <c r="M14549" s="25">
        <v>5159871</v>
      </c>
      <c r="N14549" s="27">
        <v>5.0000000000000001E-3</v>
      </c>
    </row>
    <row r="14550" spans="1:14" hidden="1" outlineLevel="1" x14ac:dyDescent="0.2">
      <c r="A14550" s="23" t="str">
        <f>HYPERLINK("https://www.spark-marketing.ru/Card/Person/31569", "КГБУЗ ""КГП № 14""")</f>
        <v>КГБУЗ "КГП № 14"</v>
      </c>
      <c r="B14550" s="24" t="s">
        <v>16793</v>
      </c>
      <c r="C14550" s="25">
        <v>5185800</v>
      </c>
      <c r="D14550" s="22" t="s">
        <v>16794</v>
      </c>
      <c r="E14550" s="22" t="s">
        <v>68</v>
      </c>
      <c r="F14550" s="23" t="str">
        <f>HYPERLINK("https://www.spark-marketing.ru/Card/Lot/68029119", "ЭА 35182/18 «Оказание услуг физической (постовой) охраны объектов недвижимости»")</f>
        <v>ЭА 35182/18 «Оказание услуг физической (постовой) охраны объектов недвижимости»</v>
      </c>
      <c r="G14550" s="22" t="s">
        <v>640</v>
      </c>
      <c r="H14550" s="22" t="s">
        <v>1524</v>
      </c>
      <c r="I14550" s="26">
        <v>43514</v>
      </c>
      <c r="J14550" s="23" t="str">
        <f>HYPERLINK("https://www.spark-marketing.ru/Card/Person/13236", "ООО ЧОО ""ИЛИР""")</f>
        <v>ООО ЧОО "ИЛИР"</v>
      </c>
      <c r="K14550" s="24" t="s">
        <v>3686</v>
      </c>
      <c r="L14550" s="28" t="s">
        <v>52</v>
      </c>
      <c r="M14550" s="25">
        <v>5000000</v>
      </c>
      <c r="N14550" s="27">
        <v>3.5828608893516911E-2</v>
      </c>
    </row>
    <row r="14551" spans="1:14" hidden="1" outlineLevel="1" x14ac:dyDescent="0.2">
      <c r="A14551" s="23" t="str">
        <f>HYPERLINK("https://www.spark-marketing.ru/Card/Person/31569", "КГБУЗ ""КГП № 14""")</f>
        <v>КГБУЗ "КГП № 14"</v>
      </c>
      <c r="B14551" s="24" t="s">
        <v>16793</v>
      </c>
      <c r="C14551" s="25">
        <v>5185800</v>
      </c>
      <c r="D14551" s="22" t="s">
        <v>16794</v>
      </c>
      <c r="E14551" s="22" t="s">
        <v>68</v>
      </c>
      <c r="F14551" s="23" t="str">
        <f>HYPERLINK("https://www.spark-marketing.ru/Card/Lot/68029119", "ЭА 35182/18 «Оказание услуг физической (постовой) охраны объектов недвижимости»")</f>
        <v>ЭА 35182/18 «Оказание услуг физической (постовой) охраны объектов недвижимости»</v>
      </c>
      <c r="G14551" s="22" t="s">
        <v>640</v>
      </c>
      <c r="H14551" s="22" t="s">
        <v>1524</v>
      </c>
      <c r="I14551" s="26">
        <v>43514</v>
      </c>
      <c r="J14551" s="23" t="str">
        <f>HYPERLINK("https://www.spark-marketing.ru/Card/Person/4877052", "ООО АГЕНТСТВО ОХРАНЫ ""АРСЕНАЛ""")</f>
        <v>ООО АГЕНТСТВО ОХРАНЫ "АРСЕНАЛ"</v>
      </c>
      <c r="K14551" s="24" t="s">
        <v>5987</v>
      </c>
      <c r="L14551" s="28" t="s">
        <v>52</v>
      </c>
      <c r="M14551" s="25">
        <v>2748474</v>
      </c>
      <c r="N14551" s="27">
        <v>0.47</v>
      </c>
    </row>
    <row r="14552" spans="1:14" ht="12.75" hidden="1" outlineLevel="1" x14ac:dyDescent="0.2">
      <c r="A14552" s="23" t="str">
        <f>HYPERLINK("https://www.spark-marketing.ru/Card/Person/31569", "КГБУЗ ""КГП № 14""")</f>
        <v>КГБУЗ "КГП № 14"</v>
      </c>
      <c r="B14552" s="24" t="s">
        <v>16793</v>
      </c>
      <c r="C14552" s="25">
        <v>5185800</v>
      </c>
      <c r="D14552" s="22" t="s">
        <v>16794</v>
      </c>
      <c r="E14552" s="22" t="s">
        <v>68</v>
      </c>
      <c r="F14552" s="23" t="str">
        <f>HYPERLINK("https://www.spark-marketing.ru/Card/Lot/68029119", "ЭА 35182/18 «Оказание услуг физической (постовой) охраны объектов недвижимости»")</f>
        <v>ЭА 35182/18 «Оказание услуг физической (постовой) охраны объектов недвижимости»</v>
      </c>
      <c r="G14552" s="22" t="s">
        <v>640</v>
      </c>
      <c r="H14552" s="22" t="s">
        <v>1524</v>
      </c>
      <c r="I14552" s="26">
        <v>43514</v>
      </c>
      <c r="J14552" s="23" t="str">
        <f>HYPERLINK("https://www.spark-marketing.ru/Card/Person/448747", "ООО ЧОО ""БАЙКАЛ""")</f>
        <v>ООО ЧОО "БАЙКАЛ"</v>
      </c>
      <c r="K14552" s="24" t="s">
        <v>16394</v>
      </c>
      <c r="L14552" s="22" t="s">
        <v>10</v>
      </c>
      <c r="M14552" s="25">
        <v>2722545</v>
      </c>
      <c r="N14552" s="27">
        <v>0.47499999999999998</v>
      </c>
    </row>
    <row r="14553" spans="1:14" x14ac:dyDescent="0.15">
      <c r="A14553" s="23" t="str">
        <f>HYPERLINK("https://www.spark-marketing.ru/Card/Person/105800", "МЕЖРАЙОННАЯ ИФНС РОССИИ № 2 ПО МАГАДАНСКОЙ ОБЛАСТИ")</f>
        <v>МЕЖРАЙОННАЯ ИФНС РОССИИ № 2 ПО МАГАДАНСКОЙ ОБЛАСТИ</v>
      </c>
      <c r="B14553" s="24" t="s">
        <v>16795</v>
      </c>
      <c r="C14553" s="25">
        <v>272840.75</v>
      </c>
      <c r="D14553" s="22" t="s">
        <v>16796</v>
      </c>
      <c r="E14553" s="22" t="s">
        <v>68</v>
      </c>
      <c r="F14553" s="23" t="str">
        <f>HYPERLINK("https://www.spark-marketing.ru/Card/Lot/68016544", "Услуги охраны")</f>
        <v>Услуги охраны</v>
      </c>
      <c r="G14553" s="22" t="s">
        <v>808</v>
      </c>
      <c r="H14553" s="22" t="s">
        <v>16797</v>
      </c>
      <c r="I14553" s="26">
        <v>43514</v>
      </c>
      <c r="J14553" s="28" t="s">
        <v>52</v>
      </c>
      <c r="K14553" s="28" t="s">
        <v>52</v>
      </c>
      <c r="L14553" s="28" t="s">
        <v>52</v>
      </c>
      <c r="M14553" s="28" t="s">
        <v>52</v>
      </c>
      <c r="N14553" s="28" t="s">
        <v>52</v>
      </c>
    </row>
    <row r="14554" spans="1:14" x14ac:dyDescent="0.15">
      <c r="A14554" s="23" t="str">
        <f>HYPERLINK("https://www.spark-marketing.ru/Card/Person/49390", "БУЗ ВО «ВОКЦПИБС»")</f>
        <v>БУЗ ВО «ВОКЦПИБС»</v>
      </c>
      <c r="B14554" s="24" t="s">
        <v>16798</v>
      </c>
      <c r="C14554" s="25">
        <v>324000</v>
      </c>
      <c r="D14554" s="22" t="s">
        <v>16799</v>
      </c>
      <c r="E14554" s="22" t="s">
        <v>52</v>
      </c>
      <c r="F14554" s="23" t="str">
        <f>HYPERLINK("https://www.spark-marketing.ru/Card/Lot/68029969", "Оказание услуг по физической охране зданий (служебных помещений) и прилегающих территорий")</f>
        <v>Оказание услуг по физической охране зданий (служебных помещений) и прилегающих территорий</v>
      </c>
      <c r="G14554" s="22" t="s">
        <v>552</v>
      </c>
      <c r="H14554" s="22" t="s">
        <v>886</v>
      </c>
      <c r="I14554" s="26">
        <v>43514</v>
      </c>
      <c r="J14554" s="28" t="s">
        <v>52</v>
      </c>
      <c r="K14554" s="28" t="s">
        <v>52</v>
      </c>
      <c r="L14554" s="28" t="s">
        <v>52</v>
      </c>
      <c r="M14554" s="28" t="s">
        <v>52</v>
      </c>
      <c r="N14554" s="28" t="s">
        <v>52</v>
      </c>
    </row>
    <row r="14555" spans="1:14" ht="12.75" hidden="1" outlineLevel="1" x14ac:dyDescent="0.2">
      <c r="A14555" s="23" t="str">
        <f>HYPERLINK("https://www.spark-marketing.ru/Card/Person/49390", "БУЗ ВО «ВОКЦПИБС»")</f>
        <v>БУЗ ВО «ВОКЦПИБС»</v>
      </c>
      <c r="B14555" s="24" t="s">
        <v>16798</v>
      </c>
      <c r="C14555" s="25">
        <v>324000</v>
      </c>
      <c r="D14555" s="22" t="s">
        <v>16799</v>
      </c>
      <c r="E14555" s="22" t="s">
        <v>52</v>
      </c>
      <c r="F14555" s="23" t="str">
        <f>HYPERLINK("https://www.spark-marketing.ru/Card/Lot/68029969", "Оказание услуг по физической охране зданий (служебных помещений) и прилегающих территорий")</f>
        <v>Оказание услуг по физической охране зданий (служебных помещений) и прилегающих территорий</v>
      </c>
      <c r="G14555" s="22" t="s">
        <v>552</v>
      </c>
      <c r="H14555" s="22" t="s">
        <v>886</v>
      </c>
      <c r="I14555" s="26">
        <v>43514</v>
      </c>
      <c r="J14555" s="23" t="str">
        <f>HYPERLINK("https://www.spark-marketing.ru/Card/Person/263242", "ООО ЧОО ""ДОЗОР""")</f>
        <v>ООО ЧОО "ДОЗОР"</v>
      </c>
      <c r="K14555" s="24" t="s">
        <v>8957</v>
      </c>
      <c r="L14555" s="22" t="s">
        <v>10</v>
      </c>
      <c r="M14555" s="25">
        <v>323568</v>
      </c>
      <c r="N14555" s="27">
        <v>1.3333333333333333E-3</v>
      </c>
    </row>
    <row r="14556" spans="1:14" hidden="1" outlineLevel="1" x14ac:dyDescent="0.2">
      <c r="A14556" s="23" t="str">
        <f>HYPERLINK("https://www.spark-marketing.ru/Card/Person/49390", "БУЗ ВО «ВОКЦПИБС»")</f>
        <v>БУЗ ВО «ВОКЦПИБС»</v>
      </c>
      <c r="B14556" s="24" t="s">
        <v>16798</v>
      </c>
      <c r="C14556" s="25">
        <v>324000</v>
      </c>
      <c r="D14556" s="22" t="s">
        <v>16799</v>
      </c>
      <c r="E14556" s="22" t="s">
        <v>52</v>
      </c>
      <c r="F14556" s="23" t="str">
        <f>HYPERLINK("https://www.spark-marketing.ru/Card/Lot/68029969", "Оказание услуг по физической охране зданий (служебных помещений) и прилегающих территорий")</f>
        <v>Оказание услуг по физической охране зданий (служебных помещений) и прилегающих территорий</v>
      </c>
      <c r="G14556" s="22" t="s">
        <v>552</v>
      </c>
      <c r="H14556" s="22" t="s">
        <v>886</v>
      </c>
      <c r="I14556" s="26">
        <v>43514</v>
      </c>
      <c r="J14556" s="23" t="str">
        <f>HYPERLINK("https://www.spark-marketing.ru/Card/Person/264337", "ООО ЧОО ""КОБРА""")</f>
        <v>ООО ЧОО "КОБРА"</v>
      </c>
      <c r="K14556" s="24" t="s">
        <v>16800</v>
      </c>
      <c r="L14556" s="28" t="s">
        <v>52</v>
      </c>
      <c r="M14556" s="25">
        <v>323913</v>
      </c>
      <c r="N14556" s="27">
        <v>2.6851851851851852E-4</v>
      </c>
    </row>
    <row r="14557" spans="1:14" x14ac:dyDescent="0.15">
      <c r="A14557" s="23" t="str">
        <f>HYPERLINK("https://www.spark-marketing.ru/Card/Person/4358423", "ООО ""АЛАБУГА-ВОЛОКНО""")</f>
        <v>ООО "АЛАБУГА-ВОЛОКНО"</v>
      </c>
      <c r="B14557" s="24" t="s">
        <v>16801</v>
      </c>
      <c r="C14557" s="25">
        <v>196000</v>
      </c>
      <c r="D14557" s="22" t="s">
        <v>16802</v>
      </c>
      <c r="E14557" s="22" t="s">
        <v>53</v>
      </c>
      <c r="F14557" s="23" t="str">
        <f>HYPERLINK("https://www.spark-marketing.ru/Card/Lot/68028449", "Право заключения договора на Выполнение работ по техническому обслуживанию систем видеонаблюдения (СВН) и системы контроля удаленного доступа (СКУД)")</f>
        <v>Право заключения договора на Выполнение работ по техническому обслуживанию систем видеонаблюдения (СВН) и системы контроля удаленного доступа (СКУД)</v>
      </c>
      <c r="G14557" s="22" t="s">
        <v>204</v>
      </c>
      <c r="H14557" s="22" t="s">
        <v>1779</v>
      </c>
      <c r="I14557" s="26">
        <v>43514</v>
      </c>
      <c r="J14557" s="28" t="s">
        <v>52</v>
      </c>
      <c r="K14557" s="28" t="s">
        <v>52</v>
      </c>
      <c r="L14557" s="28" t="s">
        <v>52</v>
      </c>
      <c r="M14557" s="28" t="s">
        <v>52</v>
      </c>
      <c r="N14557" s="28" t="s">
        <v>52</v>
      </c>
    </row>
    <row r="14558" spans="1:14" x14ac:dyDescent="0.15">
      <c r="A14558" s="23" t="str">
        <f>HYPERLINK("https://www.spark-marketing.ru/Card/Person/4343740", "МИНЗДРАВ РОССИИ")</f>
        <v>МИНЗДРАВ РОССИИ</v>
      </c>
      <c r="B14558" s="24" t="s">
        <v>1666</v>
      </c>
      <c r="C14558" s="25">
        <v>798699501.60000002</v>
      </c>
      <c r="D14558" s="22" t="s">
        <v>16803</v>
      </c>
      <c r="E14558" s="22" t="s">
        <v>53</v>
      </c>
      <c r="F14558" s="23" t="str">
        <f>HYPERLINK("https://www.spark-marketing.ru/Card/Lot/68029834", "Натализумаб, концентрат для приготовления раствора для инфузий, 20 мг/мл, 15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f>
        <v>Натализумаб, концентрат для приготовления раствора для инфузий, 20 мг/мл, 15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v>
      </c>
      <c r="G14558" s="22" t="s">
        <v>565</v>
      </c>
      <c r="H14558" s="22" t="s">
        <v>566</v>
      </c>
      <c r="I14558" s="26">
        <v>43514</v>
      </c>
      <c r="J14558" s="23" t="str">
        <f>HYPERLINK("https://www.spark-marketing.ru/Card/Person/42069", "АО ""ФАРМСТАНДАРТ""")</f>
        <v>АО "ФАРМСТАНДАРТ"</v>
      </c>
      <c r="K14558" s="24" t="s">
        <v>1668</v>
      </c>
      <c r="L14558" s="22" t="s">
        <v>10</v>
      </c>
      <c r="M14558" s="28" t="s">
        <v>52</v>
      </c>
      <c r="N14558" s="28" t="s">
        <v>52</v>
      </c>
    </row>
    <row r="14559" spans="1:14" x14ac:dyDescent="0.15">
      <c r="A14559" s="23" t="str">
        <f t="shared" ref="A14559:A14564" si="766">HYPERLINK("https://www.spark-marketing.ru/Card/Person/4473", "ГКУ НСО ""ФИ НСО""")</f>
        <v>ГКУ НСО "ФИ НСО"</v>
      </c>
      <c r="B14559" s="24" t="s">
        <v>16804</v>
      </c>
      <c r="C14559" s="25">
        <v>29866.639999999999</v>
      </c>
      <c r="D14559" s="22" t="s">
        <v>16805</v>
      </c>
      <c r="E14559" s="22" t="s">
        <v>591</v>
      </c>
      <c r="F14559" s="23" t="str">
        <f>HYPERLINK("https://www.spark-marketing.ru/Card/Lot/68014851", "Оказание услуг по проведению экспертизы оказанных охранных услуг на объекте по адресу: г.Новосибирск, ул.Светофорная, 5.")</f>
        <v>Оказание услуг по проведению экспертизы оказанных охранных услуг на объекте по адресу: г.Новосибирск, ул.Светофорная, 5.</v>
      </c>
      <c r="G14559" s="22" t="s">
        <v>209</v>
      </c>
      <c r="H14559" s="22" t="s">
        <v>210</v>
      </c>
      <c r="I14559" s="26">
        <v>43514</v>
      </c>
      <c r="J14559" s="28" t="s">
        <v>52</v>
      </c>
      <c r="K14559" s="28" t="s">
        <v>52</v>
      </c>
      <c r="L14559" s="28" t="s">
        <v>52</v>
      </c>
      <c r="M14559" s="28" t="s">
        <v>52</v>
      </c>
      <c r="N14559" s="28" t="s">
        <v>52</v>
      </c>
    </row>
    <row r="14560" spans="1:14" ht="12.75" hidden="1" outlineLevel="1" x14ac:dyDescent="0.2">
      <c r="A14560" s="23" t="str">
        <f t="shared" si="766"/>
        <v>ГКУ НСО "ФИ НСО"</v>
      </c>
      <c r="B14560" s="24" t="s">
        <v>16804</v>
      </c>
      <c r="C14560" s="25">
        <v>29866.639999999999</v>
      </c>
      <c r="D14560" s="22" t="s">
        <v>16805</v>
      </c>
      <c r="E14560" s="22" t="s">
        <v>591</v>
      </c>
      <c r="F14560" s="23" t="str">
        <f>HYPERLINK("https://www.spark-marketing.ru/Card/Lot/68014851", "Оказание услуг по проведению экспертизы оказанных охранных услуг на объекте по адресу: г.Новосибирск, ул.Светофорная, 5.")</f>
        <v>Оказание услуг по проведению экспертизы оказанных охранных услуг на объекте по адресу: г.Новосибирск, ул.Светофорная, 5.</v>
      </c>
      <c r="G14560" s="22" t="s">
        <v>209</v>
      </c>
      <c r="H14560" s="22" t="s">
        <v>210</v>
      </c>
      <c r="I14560" s="26">
        <v>43514</v>
      </c>
      <c r="J14560" s="23" t="str">
        <f>HYPERLINK("https://www.spark-marketing.ru/Card/Person/6501774", "РООООР ФКЦ РОС В НОВОСИБИРСКОЙ ОБЛАСТИ")</f>
        <v>РООООР ФКЦ РОС В НОВОСИБИРСКОЙ ОБЛАСТИ</v>
      </c>
      <c r="K14560" s="24" t="s">
        <v>16806</v>
      </c>
      <c r="L14560" s="22" t="s">
        <v>10</v>
      </c>
      <c r="M14560" s="25">
        <v>29567.96</v>
      </c>
      <c r="N14560" s="27">
        <v>1.0000455357549426E-2</v>
      </c>
    </row>
    <row r="14561" spans="1:14" hidden="1" outlineLevel="1" x14ac:dyDescent="0.2">
      <c r="A14561" s="23" t="str">
        <f t="shared" si="766"/>
        <v>ГКУ НСО "ФИ НСО"</v>
      </c>
      <c r="B14561" s="24" t="s">
        <v>16804</v>
      </c>
      <c r="C14561" s="25">
        <v>29866.639999999999</v>
      </c>
      <c r="D14561" s="22" t="s">
        <v>16805</v>
      </c>
      <c r="E14561" s="22" t="s">
        <v>591</v>
      </c>
      <c r="F14561" s="23" t="str">
        <f>HYPERLINK("https://www.spark-marketing.ru/Card/Lot/68014851", "Оказание услуг по проведению экспертизы оказанных охранных услуг на объекте по адресу: г.Новосибирск, ул.Светофорная, 5.")</f>
        <v>Оказание услуг по проведению экспертизы оказанных охранных услуг на объекте по адресу: г.Новосибирск, ул.Светофорная, 5.</v>
      </c>
      <c r="G14561" s="22" t="s">
        <v>209</v>
      </c>
      <c r="H14561" s="22" t="s">
        <v>210</v>
      </c>
      <c r="I14561" s="26">
        <v>43514</v>
      </c>
      <c r="J14561" s="23" t="str">
        <f>HYPERLINK("https://www.spark-marketing.ru/Card/Person/115641", "ООО ЧОП ""ЛУННЫЙ СВЕТ""")</f>
        <v>ООО ЧОП "ЛУННЫЙ СВЕТ"</v>
      </c>
      <c r="K14561" s="24" t="s">
        <v>16807</v>
      </c>
      <c r="L14561" s="28" t="s">
        <v>52</v>
      </c>
      <c r="M14561" s="25">
        <v>29717.3</v>
      </c>
      <c r="N14561" s="27">
        <v>5.000227678774713E-3</v>
      </c>
    </row>
    <row r="14562" spans="1:14" x14ac:dyDescent="0.15">
      <c r="A14562" s="23" t="str">
        <f t="shared" si="766"/>
        <v>ГКУ НСО "ФИ НСО"</v>
      </c>
      <c r="B14562" s="24" t="s">
        <v>16804</v>
      </c>
      <c r="C14562" s="25">
        <v>44000</v>
      </c>
      <c r="D14562" s="22" t="s">
        <v>16808</v>
      </c>
      <c r="E14562" s="22" t="s">
        <v>591</v>
      </c>
      <c r="F14562" s="23" t="str">
        <f>HYPERLINK("https://www.spark-marketing.ru/Card/Lot/68008651", "Оказание услуг по проведению экспертизы оказанных охранных услуг на объекте по адресу: НСО, г.Барабинск, территория ПУ-82")</f>
        <v>Оказание услуг по проведению экспертизы оказанных охранных услуг на объекте по адресу: НСО, г.Барабинск, территория ПУ-82</v>
      </c>
      <c r="G14562" s="22" t="s">
        <v>209</v>
      </c>
      <c r="H14562" s="22" t="s">
        <v>16809</v>
      </c>
      <c r="I14562" s="26">
        <v>43514</v>
      </c>
      <c r="J14562" s="28" t="s">
        <v>52</v>
      </c>
      <c r="K14562" s="28" t="s">
        <v>52</v>
      </c>
      <c r="L14562" s="28" t="s">
        <v>52</v>
      </c>
      <c r="M14562" s="28" t="s">
        <v>52</v>
      </c>
      <c r="N14562" s="28" t="s">
        <v>52</v>
      </c>
    </row>
    <row r="14563" spans="1:14" ht="12.75" hidden="1" outlineLevel="1" x14ac:dyDescent="0.2">
      <c r="A14563" s="23" t="str">
        <f t="shared" si="766"/>
        <v>ГКУ НСО "ФИ НСО"</v>
      </c>
      <c r="B14563" s="24" t="s">
        <v>16804</v>
      </c>
      <c r="C14563" s="25">
        <v>44000</v>
      </c>
      <c r="D14563" s="22" t="s">
        <v>16808</v>
      </c>
      <c r="E14563" s="22" t="s">
        <v>591</v>
      </c>
      <c r="F14563" s="23" t="str">
        <f>HYPERLINK("https://www.spark-marketing.ru/Card/Lot/68008651", "Оказание услуг по проведению экспертизы оказанных охранных услуг на объекте по адресу: НСО, г.Барабинск, территория ПУ-82")</f>
        <v>Оказание услуг по проведению экспертизы оказанных охранных услуг на объекте по адресу: НСО, г.Барабинск, территория ПУ-82</v>
      </c>
      <c r="G14563" s="22" t="s">
        <v>209</v>
      </c>
      <c r="H14563" s="22" t="s">
        <v>16809</v>
      </c>
      <c r="I14563" s="26">
        <v>43514</v>
      </c>
      <c r="J14563" s="23" t="str">
        <f>HYPERLINK("https://www.spark-marketing.ru/Card/Person/6501774", "РООООР ФКЦ РОС В НОВОСИБИРСКОЙ ОБЛАСТИ")</f>
        <v>РООООР ФКЦ РОС В НОВОСИБИРСКОЙ ОБЛАСТИ</v>
      </c>
      <c r="K14563" s="24" t="s">
        <v>16806</v>
      </c>
      <c r="L14563" s="22" t="s">
        <v>10</v>
      </c>
      <c r="M14563" s="25">
        <v>43560</v>
      </c>
      <c r="N14563" s="27">
        <v>0.01</v>
      </c>
    </row>
    <row r="14564" spans="1:14" hidden="1" outlineLevel="1" x14ac:dyDescent="0.2">
      <c r="A14564" s="23" t="str">
        <f t="shared" si="766"/>
        <v>ГКУ НСО "ФИ НСО"</v>
      </c>
      <c r="B14564" s="24" t="s">
        <v>16804</v>
      </c>
      <c r="C14564" s="25">
        <v>44000</v>
      </c>
      <c r="D14564" s="22" t="s">
        <v>16808</v>
      </c>
      <c r="E14564" s="22" t="s">
        <v>591</v>
      </c>
      <c r="F14564" s="23" t="str">
        <f>HYPERLINK("https://www.spark-marketing.ru/Card/Lot/68008651", "Оказание услуг по проведению экспертизы оказанных охранных услуг на объекте по адресу: НСО, г.Барабинск, территория ПУ-82")</f>
        <v>Оказание услуг по проведению экспертизы оказанных охранных услуг на объекте по адресу: НСО, г.Барабинск, территория ПУ-82</v>
      </c>
      <c r="G14564" s="22" t="s">
        <v>209</v>
      </c>
      <c r="H14564" s="22" t="s">
        <v>16809</v>
      </c>
      <c r="I14564" s="26">
        <v>43514</v>
      </c>
      <c r="J14564" s="23" t="str">
        <f>HYPERLINK("https://www.spark-marketing.ru/Card/Person/115641", "ООО ЧОП ""ЛУННЫЙ СВЕТ""")</f>
        <v>ООО ЧОП "ЛУННЫЙ СВЕТ"</v>
      </c>
      <c r="K14564" s="24" t="s">
        <v>16807</v>
      </c>
      <c r="L14564" s="28" t="s">
        <v>52</v>
      </c>
      <c r="M14564" s="25">
        <v>43780</v>
      </c>
      <c r="N14564" s="27">
        <v>5.0000000000000001E-3</v>
      </c>
    </row>
    <row r="14565" spans="1:14" x14ac:dyDescent="0.15">
      <c r="A14565" s="23" t="str">
        <f>HYPERLINK("https://www.spark-marketing.ru/Card/Person/4349081", "ГКУ РК ""СЛУЖБА АВТОМОБИЛЬНЫХ ДОРОГ РЕСПУБЛИКИ КРЫМ""")</f>
        <v>ГКУ РК "СЛУЖБА АВТОМОБИЛЬНЫХ ДОРОГ РЕСПУБЛИКИ КРЫМ"</v>
      </c>
      <c r="B14565" s="24" t="s">
        <v>16810</v>
      </c>
      <c r="C14565" s="25">
        <v>67770000</v>
      </c>
      <c r="D14565" s="22" t="s">
        <v>16811</v>
      </c>
      <c r="E14565" s="22" t="s">
        <v>68</v>
      </c>
      <c r="F14565" s="23" t="str">
        <f>HYPERLINK("https://www.spark-marketing.ru/Card/Lot/68024181", "Оказание услуг по охране объектов транспортной инфраструктуры и проведению досмотровых мероприятий на временной площадке зоны досмотра на автомобильном подходе в г. Керчь к транспортному переходу через Керченский пролив")</f>
        <v>Оказание услуг по охране объектов транспортной инфраструктуры и проведению досмотровых мероприятий на временной площадке зоны досмотра на автомобильном подходе в г. Керчь к транспортному переходу через Керченский пролив</v>
      </c>
      <c r="G14565" s="22" t="s">
        <v>1053</v>
      </c>
      <c r="H14565" s="22" t="s">
        <v>1053</v>
      </c>
      <c r="I14565" s="26">
        <v>43514</v>
      </c>
      <c r="J14565" s="28" t="s">
        <v>52</v>
      </c>
      <c r="K14565" s="28" t="s">
        <v>52</v>
      </c>
      <c r="L14565" s="28" t="s">
        <v>52</v>
      </c>
      <c r="M14565" s="28" t="s">
        <v>52</v>
      </c>
      <c r="N14565" s="28" t="s">
        <v>52</v>
      </c>
    </row>
    <row r="14566" spans="1:14" x14ac:dyDescent="0.15">
      <c r="A14566" s="23" t="str">
        <f>HYPERLINK("https://www.spark-marketing.ru/Card/Person/4527082", "КУ ""ЦЕНТР СПИД""")</f>
        <v>КУ "ЦЕНТР СПИД"</v>
      </c>
      <c r="B14566" s="24" t="s">
        <v>16812</v>
      </c>
      <c r="C14566" s="25">
        <v>35166.699999999997</v>
      </c>
      <c r="D14566" s="22" t="s">
        <v>16813</v>
      </c>
      <c r="E14566" s="22" t="s">
        <v>103</v>
      </c>
      <c r="F14566" s="23" t="str">
        <f>HYPERLINK("https://www.spark-marketing.ru/Card/Lot/68035946", "Оказание услуг по техническому обслуживанию системы видеонаблюдения филиала КУ ""Центр СПИД"" в г. Нижневартовске")</f>
        <v>Оказание услуг по техническому обслуживанию системы видеонаблюдения филиала КУ "Центр СПИД" в г. Нижневартовске</v>
      </c>
      <c r="G14566" s="22" t="s">
        <v>119</v>
      </c>
      <c r="H14566" s="22" t="s">
        <v>2563</v>
      </c>
      <c r="I14566" s="26">
        <v>43514</v>
      </c>
      <c r="J14566" s="28" t="s">
        <v>52</v>
      </c>
      <c r="K14566" s="28" t="s">
        <v>52</v>
      </c>
      <c r="L14566" s="28" t="s">
        <v>52</v>
      </c>
      <c r="M14566" s="28" t="s">
        <v>52</v>
      </c>
      <c r="N14566" s="28" t="s">
        <v>52</v>
      </c>
    </row>
    <row r="14567" spans="1:14" hidden="1" outlineLevel="1" x14ac:dyDescent="0.2">
      <c r="A14567" s="23" t="str">
        <f>HYPERLINK("https://www.spark-marketing.ru/Card/Person/4527082", "КУ ""ЦЕНТР СПИД""")</f>
        <v>КУ "ЦЕНТР СПИД"</v>
      </c>
      <c r="B14567" s="24" t="s">
        <v>16812</v>
      </c>
      <c r="C14567" s="25">
        <v>35166.699999999997</v>
      </c>
      <c r="D14567" s="22" t="s">
        <v>16813</v>
      </c>
      <c r="E14567" s="22" t="s">
        <v>103</v>
      </c>
      <c r="F14567" s="23" t="str">
        <f>HYPERLINK("https://www.spark-marketing.ru/Card/Lot/68035946", "Оказание услуг по техническому обслуживанию системы видеонаблюдения филиала КУ ""Центр СПИД"" в г. Нижневартовске")</f>
        <v>Оказание услуг по техническому обслуживанию системы видеонаблюдения филиала КУ "Центр СПИД" в г. Нижневартовске</v>
      </c>
      <c r="G14567" s="22" t="s">
        <v>119</v>
      </c>
      <c r="H14567" s="22" t="s">
        <v>2563</v>
      </c>
      <c r="I14567" s="26">
        <v>43514</v>
      </c>
      <c r="J14567" s="23" t="str">
        <f>HYPERLINK("https://www.spark-marketing.ru/Card/Person/936505", "ООО ""ЕТЦ""")</f>
        <v>ООО "ЕТЦ"</v>
      </c>
      <c r="K14567" s="24" t="s">
        <v>16814</v>
      </c>
      <c r="L14567" s="28" t="s">
        <v>52</v>
      </c>
      <c r="M14567" s="25">
        <v>30500</v>
      </c>
      <c r="N14567" s="27">
        <v>0.13270224388412902</v>
      </c>
    </row>
    <row r="14568" spans="1:14" ht="12.75" hidden="1" outlineLevel="1" x14ac:dyDescent="0.2">
      <c r="A14568" s="23" t="str">
        <f>HYPERLINK("https://www.spark-marketing.ru/Card/Person/4527082", "КУ ""ЦЕНТР СПИД""")</f>
        <v>КУ "ЦЕНТР СПИД"</v>
      </c>
      <c r="B14568" s="24" t="s">
        <v>16812</v>
      </c>
      <c r="C14568" s="25">
        <v>35166.699999999997</v>
      </c>
      <c r="D14568" s="22" t="s">
        <v>16813</v>
      </c>
      <c r="E14568" s="22" t="s">
        <v>103</v>
      </c>
      <c r="F14568" s="23" t="str">
        <f>HYPERLINK("https://www.spark-marketing.ru/Card/Lot/68035946", "Оказание услуг по техническому обслуживанию системы видеонаблюдения филиала КУ ""Центр СПИД"" в г. Нижневартовске")</f>
        <v>Оказание услуг по техническому обслуживанию системы видеонаблюдения филиала КУ "Центр СПИД" в г. Нижневартовске</v>
      </c>
      <c r="G14568" s="22" t="s">
        <v>119</v>
      </c>
      <c r="H14568" s="22" t="s">
        <v>2563</v>
      </c>
      <c r="I14568" s="26">
        <v>43514</v>
      </c>
      <c r="J14568" s="23" t="str">
        <f>HYPERLINK("https://www.spark-marketing.ru/Card/Person/92953", "ООО ""СЭА""")</f>
        <v>ООО "СЭА"</v>
      </c>
      <c r="K14568" s="24" t="s">
        <v>16815</v>
      </c>
      <c r="L14568" s="22" t="s">
        <v>10</v>
      </c>
      <c r="M14568" s="25">
        <v>30000</v>
      </c>
      <c r="N14568" s="27">
        <v>0.14692023988602854</v>
      </c>
    </row>
    <row r="14569" spans="1:14" hidden="1" outlineLevel="1" x14ac:dyDescent="0.2">
      <c r="A14569" s="23" t="str">
        <f>HYPERLINK("https://www.spark-marketing.ru/Card/Person/4527082", "КУ ""ЦЕНТР СПИД""")</f>
        <v>КУ "ЦЕНТР СПИД"</v>
      </c>
      <c r="B14569" s="24" t="s">
        <v>16812</v>
      </c>
      <c r="C14569" s="25">
        <v>35166.699999999997</v>
      </c>
      <c r="D14569" s="22" t="s">
        <v>16813</v>
      </c>
      <c r="E14569" s="22" t="s">
        <v>103</v>
      </c>
      <c r="F14569" s="23" t="str">
        <f>HYPERLINK("https://www.spark-marketing.ru/Card/Lot/68035946", "Оказание услуг по техническому обслуживанию системы видеонаблюдения филиала КУ ""Центр СПИД"" в г. Нижневартовске")</f>
        <v>Оказание услуг по техническому обслуживанию системы видеонаблюдения филиала КУ "Центр СПИД" в г. Нижневартовске</v>
      </c>
      <c r="G14569" s="22" t="s">
        <v>119</v>
      </c>
      <c r="H14569" s="22" t="s">
        <v>2563</v>
      </c>
      <c r="I14569" s="26">
        <v>43514</v>
      </c>
      <c r="J14569" s="23" t="str">
        <f>HYPERLINK("https://www.spark-marketing.ru/Card/Person/5874147", "ООО ""УНИВЕРСАЛ-ЛИДЕР""")</f>
        <v>ООО "УНИВЕРСАЛ-ЛИДЕР"</v>
      </c>
      <c r="K14569" s="24" t="s">
        <v>15429</v>
      </c>
      <c r="L14569" s="28" t="s">
        <v>52</v>
      </c>
      <c r="M14569" s="25">
        <v>34600</v>
      </c>
      <c r="N14569" s="27">
        <v>1.6114676668552919E-2</v>
      </c>
    </row>
    <row r="14570" spans="1:14" x14ac:dyDescent="0.15">
      <c r="A14570" s="23" t="str">
        <f>HYPERLINK("https://www.spark-marketing.ru/Card/Person/1025790", "МБУ ДО ДЮСШ ""РИНГСТАР""")</f>
        <v>МБУ ДО ДЮСШ "РИНГСТАР"</v>
      </c>
      <c r="B14570" s="24" t="s">
        <v>16816</v>
      </c>
      <c r="C14570" s="25">
        <v>30316.92</v>
      </c>
      <c r="D14570" s="22" t="s">
        <v>16817</v>
      </c>
      <c r="E14570" s="22" t="s">
        <v>68</v>
      </c>
      <c r="F14570" s="23" t="str">
        <f>HYPERLINK("https://www.spark-marketing.ru/Card/Lot/68008378", "Оказание услуг по охране объектов путем реагирования на срабатывание тревожной сигнализации")</f>
        <v>Оказание услуг по охране объектов путем реагирования на срабатывание тревожной сигнализации</v>
      </c>
      <c r="G14570" s="22" t="s">
        <v>446</v>
      </c>
      <c r="H14570" s="22" t="s">
        <v>3996</v>
      </c>
      <c r="I14570" s="26">
        <v>43514</v>
      </c>
      <c r="J14570" s="28" t="s">
        <v>52</v>
      </c>
      <c r="K14570" s="28" t="s">
        <v>52</v>
      </c>
      <c r="L14570" s="28" t="s">
        <v>52</v>
      </c>
      <c r="M14570" s="28" t="s">
        <v>52</v>
      </c>
      <c r="N14570" s="28" t="s">
        <v>52</v>
      </c>
    </row>
    <row r="14571" spans="1:14" x14ac:dyDescent="0.15">
      <c r="A14571" s="23" t="str">
        <f>HYPERLINK("https://www.spark-marketing.ru/Card/Person/92001", "ГКУ ""ЦЕНТР МТО"" ЗАБАЙКАЛЬСКОГО КРАЯ")</f>
        <v>ГКУ "ЦЕНТР МТО" ЗАБАЙКАЛЬСКОГО КРАЯ</v>
      </c>
      <c r="B14571" s="24" t="s">
        <v>11537</v>
      </c>
      <c r="C14571" s="25">
        <v>4971912</v>
      </c>
      <c r="D14571" s="22" t="s">
        <v>16818</v>
      </c>
      <c r="E14571" s="22" t="s">
        <v>68</v>
      </c>
      <c r="F14571" s="23" t="str">
        <f>HYPERLINK("https://www.spark-marketing.ru/Card/Lot/68008431", "Оказание услуг охраны объектов Заказчика (654-ЭА)")</f>
        <v>Оказание услуг охраны объектов Заказчика (654-ЭА)</v>
      </c>
      <c r="G14571" s="22" t="s">
        <v>473</v>
      </c>
      <c r="H14571" s="22" t="s">
        <v>476</v>
      </c>
      <c r="I14571" s="26">
        <v>43514</v>
      </c>
      <c r="J14571" s="28" t="s">
        <v>52</v>
      </c>
      <c r="K14571" s="28" t="s">
        <v>52</v>
      </c>
      <c r="L14571" s="28" t="s">
        <v>52</v>
      </c>
      <c r="M14571" s="28" t="s">
        <v>52</v>
      </c>
      <c r="N14571" s="28" t="s">
        <v>52</v>
      </c>
    </row>
    <row r="14572" spans="1:14" ht="12.75" hidden="1" outlineLevel="1" x14ac:dyDescent="0.2">
      <c r="A14572" s="23" t="str">
        <f>HYPERLINK("https://www.spark-marketing.ru/Card/Person/92001", "ГКУ ""ЦЕНТР МТО"" ЗАБАЙКАЛЬСКОГО КРАЯ")</f>
        <v>ГКУ "ЦЕНТР МТО" ЗАБАЙКАЛЬСКОГО КРАЯ</v>
      </c>
      <c r="B14572" s="24" t="s">
        <v>11537</v>
      </c>
      <c r="C14572" s="25">
        <v>4971912</v>
      </c>
      <c r="D14572" s="22" t="s">
        <v>16818</v>
      </c>
      <c r="E14572" s="22" t="s">
        <v>68</v>
      </c>
      <c r="F14572" s="23" t="str">
        <f>HYPERLINK("https://www.spark-marketing.ru/Card/Lot/68008431", "Оказание услуг охраны объектов Заказчика (654-ЭА)")</f>
        <v>Оказание услуг охраны объектов Заказчика (654-ЭА)</v>
      </c>
      <c r="G14572" s="22" t="s">
        <v>473</v>
      </c>
      <c r="H14572" s="22" t="s">
        <v>476</v>
      </c>
      <c r="I14572" s="26">
        <v>43514</v>
      </c>
      <c r="J14572" s="23" t="str">
        <f>HYPERLINK("https://www.spark-marketing.ru/Card/Person/4427912", "ООО ЧОО ""АРКАН""")</f>
        <v>ООО ЧОО "АРКАН"</v>
      </c>
      <c r="K14572" s="24" t="s">
        <v>16819</v>
      </c>
      <c r="L14572" s="22" t="s">
        <v>10</v>
      </c>
      <c r="M14572" s="25">
        <v>3057725.88</v>
      </c>
      <c r="N14572" s="27">
        <v>0.38500000000000001</v>
      </c>
    </row>
    <row r="14573" spans="1:14" hidden="1" outlineLevel="1" x14ac:dyDescent="0.2">
      <c r="A14573" s="23" t="str">
        <f>HYPERLINK("https://www.spark-marketing.ru/Card/Person/92001", "ГКУ ""ЦЕНТР МТО"" ЗАБАЙКАЛЬСКОГО КРАЯ")</f>
        <v>ГКУ "ЦЕНТР МТО" ЗАБАЙКАЛЬСКОГО КРАЯ</v>
      </c>
      <c r="B14573" s="24" t="s">
        <v>11537</v>
      </c>
      <c r="C14573" s="25">
        <v>4971912</v>
      </c>
      <c r="D14573" s="22" t="s">
        <v>16818</v>
      </c>
      <c r="E14573" s="22" t="s">
        <v>68</v>
      </c>
      <c r="F14573" s="23" t="str">
        <f>HYPERLINK("https://www.spark-marketing.ru/Card/Lot/68008431", "Оказание услуг охраны объектов Заказчика (654-ЭА)")</f>
        <v>Оказание услуг охраны объектов Заказчика (654-ЭА)</v>
      </c>
      <c r="G14573" s="22" t="s">
        <v>473</v>
      </c>
      <c r="H14573" s="22" t="s">
        <v>476</v>
      </c>
      <c r="I14573" s="26">
        <v>43514</v>
      </c>
      <c r="J14573" s="23" t="str">
        <f>HYPERLINK("https://www.spark-marketing.ru/Card/Person/972942", "ООО ЧОП ""ПРИНЦИП""")</f>
        <v>ООО ЧОП "ПРИНЦИП"</v>
      </c>
      <c r="K14573" s="24" t="s">
        <v>16820</v>
      </c>
      <c r="L14573" s="28" t="s">
        <v>52</v>
      </c>
      <c r="M14573" s="25">
        <v>3082585.44</v>
      </c>
      <c r="N14573" s="27">
        <v>0.38</v>
      </c>
    </row>
    <row r="14574" spans="1:14" x14ac:dyDescent="0.15">
      <c r="A14574" s="23" t="str">
        <f>HYPERLINK("https://www.spark-marketing.ru/Card/Person/18375", "МКУ ""УЗЧС"" НГО")</f>
        <v>МКУ "УЗЧС" НГО</v>
      </c>
      <c r="B14574" s="24" t="s">
        <v>16821</v>
      </c>
      <c r="C14574" s="25">
        <v>241712</v>
      </c>
      <c r="D14574" s="22" t="s">
        <v>16822</v>
      </c>
      <c r="E14574" s="22" t="s">
        <v>103</v>
      </c>
      <c r="F14574" s="23" t="str">
        <f>HYPERLINK("https://www.spark-marketing.ru/Card/Lot/68010883", "Техническое обслуживание систем видеонаблюдения")</f>
        <v>Техническое обслуживание систем видеонаблюдения</v>
      </c>
      <c r="G14574" s="22" t="s">
        <v>72</v>
      </c>
      <c r="H14574" s="22" t="s">
        <v>2527</v>
      </c>
      <c r="I14574" s="26">
        <v>43514</v>
      </c>
      <c r="J14574" s="28" t="s">
        <v>52</v>
      </c>
      <c r="K14574" s="28" t="s">
        <v>52</v>
      </c>
      <c r="L14574" s="28" t="s">
        <v>52</v>
      </c>
      <c r="M14574" s="28" t="s">
        <v>52</v>
      </c>
      <c r="N14574" s="28" t="s">
        <v>52</v>
      </c>
    </row>
    <row r="14575" spans="1:14" ht="12.75" hidden="1" outlineLevel="1" x14ac:dyDescent="0.2">
      <c r="A14575" s="23" t="str">
        <f>HYPERLINK("https://www.spark-marketing.ru/Card/Person/18375", "МКУ ""УЗЧС"" НГО")</f>
        <v>МКУ "УЗЧС" НГО</v>
      </c>
      <c r="B14575" s="24" t="s">
        <v>16821</v>
      </c>
      <c r="C14575" s="25">
        <v>241712</v>
      </c>
      <c r="D14575" s="22" t="s">
        <v>16822</v>
      </c>
      <c r="E14575" s="22" t="s">
        <v>103</v>
      </c>
      <c r="F14575" s="23" t="str">
        <f>HYPERLINK("https://www.spark-marketing.ru/Card/Lot/68010883", "Техническое обслуживание систем видеонаблюдения")</f>
        <v>Техническое обслуживание систем видеонаблюдения</v>
      </c>
      <c r="G14575" s="22" t="s">
        <v>72</v>
      </c>
      <c r="H14575" s="22" t="s">
        <v>2527</v>
      </c>
      <c r="I14575" s="26">
        <v>43514</v>
      </c>
      <c r="J14575" s="23" t="str">
        <f>HYPERLINK("https://www.spark-marketing.ru/Card/Person/9647", "Стулов Михаил Борисович")</f>
        <v>Стулов Михаил Борисович</v>
      </c>
      <c r="K14575" s="24" t="s">
        <v>16823</v>
      </c>
      <c r="L14575" s="22" t="s">
        <v>10</v>
      </c>
      <c r="M14575" s="25">
        <v>238086.32</v>
      </c>
      <c r="N14575" s="27">
        <v>1.4999999999999999E-2</v>
      </c>
    </row>
    <row r="14576" spans="1:14" hidden="1" outlineLevel="1" x14ac:dyDescent="0.2">
      <c r="A14576" s="23" t="str">
        <f>HYPERLINK("https://www.spark-marketing.ru/Card/Person/18375", "МКУ ""УЗЧС"" НГО")</f>
        <v>МКУ "УЗЧС" НГО</v>
      </c>
      <c r="B14576" s="24" t="s">
        <v>16821</v>
      </c>
      <c r="C14576" s="25">
        <v>241712</v>
      </c>
      <c r="D14576" s="22" t="s">
        <v>16822</v>
      </c>
      <c r="E14576" s="22" t="s">
        <v>103</v>
      </c>
      <c r="F14576" s="23" t="str">
        <f>HYPERLINK("https://www.spark-marketing.ru/Card/Lot/68010883", "Техническое обслуживание систем видеонаблюдения")</f>
        <v>Техническое обслуживание систем видеонаблюдения</v>
      </c>
      <c r="G14576" s="22" t="s">
        <v>72</v>
      </c>
      <c r="H14576" s="22" t="s">
        <v>2527</v>
      </c>
      <c r="I14576" s="26">
        <v>43514</v>
      </c>
      <c r="J14576" s="23" t="str">
        <f>HYPERLINK("https://www.spark-marketing.ru/Card/Person/807746", "ООО ""ЛИНКОР""")</f>
        <v>ООО "ЛИНКОР"</v>
      </c>
      <c r="K14576" s="24" t="s">
        <v>16824</v>
      </c>
      <c r="L14576" s="28" t="s">
        <v>52</v>
      </c>
      <c r="M14576" s="25">
        <v>239294.88</v>
      </c>
      <c r="N14576" s="27">
        <v>0.01</v>
      </c>
    </row>
    <row r="14577" spans="1:14" x14ac:dyDescent="0.15">
      <c r="A14577" s="23" t="str">
        <f>HYPERLINK("https://www.spark-marketing.ru/Card/Person/4473", "ГКУ НСО ""ФИ НСО""")</f>
        <v>ГКУ НСО "ФИ НСО"</v>
      </c>
      <c r="B14577" s="24" t="s">
        <v>16804</v>
      </c>
      <c r="C14577" s="25">
        <v>11199.99</v>
      </c>
      <c r="D14577" s="22" t="s">
        <v>16825</v>
      </c>
      <c r="E14577" s="22" t="s">
        <v>591</v>
      </c>
      <c r="F14577" s="23" t="str">
        <f>HYPERLINK("https://www.spark-marketing.ru/Card/Lot/68010901", "Оказание услуг по проведению экспертизы оказанных охранных услуг на объекте по адресу: г. Новосибирск, ул. Аксенова, 50")</f>
        <v>Оказание услуг по проведению экспертизы оказанных охранных услуг на объекте по адресу: г. Новосибирск, ул. Аксенова, 50</v>
      </c>
      <c r="G14577" s="22" t="s">
        <v>209</v>
      </c>
      <c r="H14577" s="22" t="s">
        <v>210</v>
      </c>
      <c r="I14577" s="26">
        <v>43514</v>
      </c>
      <c r="J14577" s="28" t="s">
        <v>52</v>
      </c>
      <c r="K14577" s="28" t="s">
        <v>52</v>
      </c>
      <c r="L14577" s="28" t="s">
        <v>52</v>
      </c>
      <c r="M14577" s="28" t="s">
        <v>52</v>
      </c>
      <c r="N14577" s="28" t="s">
        <v>52</v>
      </c>
    </row>
    <row r="14578" spans="1:14" x14ac:dyDescent="0.15">
      <c r="A14578" s="23" t="str">
        <f>HYPERLINK("https://www.spark-marketing.ru/Card/Person/4473", "ГКУ НСО ""ФИ НСО""")</f>
        <v>ГКУ НСО "ФИ НСО"</v>
      </c>
      <c r="B14578" s="24" t="s">
        <v>16804</v>
      </c>
      <c r="C14578" s="25">
        <v>37333.300000000003</v>
      </c>
      <c r="D14578" s="22" t="s">
        <v>16826</v>
      </c>
      <c r="E14578" s="22" t="s">
        <v>591</v>
      </c>
      <c r="F14578" s="23" t="str">
        <f>HYPERLINK("https://www.spark-marketing.ru/Card/Lot/68015009", "Оказание услуг по проведению экспертизы оказанных охранных услуг на объекте по адресу: Новосибирск, Аэропорт, 7")</f>
        <v>Оказание услуг по проведению экспертизы оказанных охранных услуг на объекте по адресу: Новосибирск, Аэропорт, 7</v>
      </c>
      <c r="G14578" s="22" t="s">
        <v>209</v>
      </c>
      <c r="H14578" s="22" t="s">
        <v>210</v>
      </c>
      <c r="I14578" s="26">
        <v>43514</v>
      </c>
      <c r="J14578" s="28" t="s">
        <v>52</v>
      </c>
      <c r="K14578" s="28" t="s">
        <v>52</v>
      </c>
      <c r="L14578" s="28" t="s">
        <v>52</v>
      </c>
      <c r="M14578" s="28" t="s">
        <v>52</v>
      </c>
      <c r="N14578" s="28" t="s">
        <v>52</v>
      </c>
    </row>
    <row r="14579" spans="1:14" ht="12.75" hidden="1" outlineLevel="1" x14ac:dyDescent="0.2">
      <c r="A14579" s="23" t="str">
        <f>HYPERLINK("https://www.spark-marketing.ru/Card/Person/4473", "ГКУ НСО ""ФИ НСО""")</f>
        <v>ГКУ НСО "ФИ НСО"</v>
      </c>
      <c r="B14579" s="24" t="s">
        <v>16804</v>
      </c>
      <c r="C14579" s="25">
        <v>37333.300000000003</v>
      </c>
      <c r="D14579" s="22" t="s">
        <v>16826</v>
      </c>
      <c r="E14579" s="22" t="s">
        <v>591</v>
      </c>
      <c r="F14579" s="23" t="str">
        <f>HYPERLINK("https://www.spark-marketing.ru/Card/Lot/68015009", "Оказание услуг по проведению экспертизы оказанных охранных услуг на объекте по адресу: Новосибирск, Аэропорт, 7")</f>
        <v>Оказание услуг по проведению экспертизы оказанных охранных услуг на объекте по адресу: Новосибирск, Аэропорт, 7</v>
      </c>
      <c r="G14579" s="22" t="s">
        <v>209</v>
      </c>
      <c r="H14579" s="22" t="s">
        <v>210</v>
      </c>
      <c r="I14579" s="26">
        <v>43514</v>
      </c>
      <c r="J14579" s="23" t="str">
        <f>HYPERLINK("https://www.spark-marketing.ru/Card/Person/6501774", "РООООР ФКЦ РОС В НОВОСИБИРСКОЙ ОБЛАСТИ")</f>
        <v>РООООР ФКЦ РОС В НОВОСИБИРСКОЙ ОБЛАСТИ</v>
      </c>
      <c r="K14579" s="24" t="s">
        <v>16806</v>
      </c>
      <c r="L14579" s="22" t="s">
        <v>10</v>
      </c>
      <c r="M14579" s="25">
        <v>36959.96</v>
      </c>
      <c r="N14579" s="27">
        <v>1.0000187500167412E-2</v>
      </c>
    </row>
    <row r="14580" spans="1:14" hidden="1" outlineLevel="1" x14ac:dyDescent="0.2">
      <c r="A14580" s="23" t="str">
        <f>HYPERLINK("https://www.spark-marketing.ru/Card/Person/4473", "ГКУ НСО ""ФИ НСО""")</f>
        <v>ГКУ НСО "ФИ НСО"</v>
      </c>
      <c r="B14580" s="24" t="s">
        <v>16804</v>
      </c>
      <c r="C14580" s="25">
        <v>37333.300000000003</v>
      </c>
      <c r="D14580" s="22" t="s">
        <v>16826</v>
      </c>
      <c r="E14580" s="22" t="s">
        <v>591</v>
      </c>
      <c r="F14580" s="23" t="str">
        <f>HYPERLINK("https://www.spark-marketing.ru/Card/Lot/68015009", "Оказание услуг по проведению экспертизы оказанных охранных услуг на объекте по адресу: Новосибирск, Аэропорт, 7")</f>
        <v>Оказание услуг по проведению экспертизы оказанных охранных услуг на объекте по адресу: Новосибирск, Аэропорт, 7</v>
      </c>
      <c r="G14580" s="22" t="s">
        <v>209</v>
      </c>
      <c r="H14580" s="22" t="s">
        <v>210</v>
      </c>
      <c r="I14580" s="26">
        <v>43514</v>
      </c>
      <c r="J14580" s="23" t="str">
        <f>HYPERLINK("https://www.spark-marketing.ru/Card/Person/115641", "ООО ЧОП ""ЛУННЫЙ СВЕТ""")</f>
        <v>ООО ЧОП "ЛУННЫЙ СВЕТ"</v>
      </c>
      <c r="K14580" s="24" t="s">
        <v>16807</v>
      </c>
      <c r="L14580" s="28" t="s">
        <v>52</v>
      </c>
      <c r="M14580" s="25">
        <v>37146.629999999997</v>
      </c>
      <c r="N14580" s="27">
        <v>5.0000937500837058E-3</v>
      </c>
    </row>
    <row r="14581" spans="1:14" x14ac:dyDescent="0.15">
      <c r="A14581" s="23" t="str">
        <f>HYPERLINK("https://www.spark-marketing.ru/Card/Person/4343740", "МИНЗДРАВ РОССИИ")</f>
        <v>МИНЗДРАВ РОССИИ</v>
      </c>
      <c r="B14581" s="24" t="s">
        <v>1666</v>
      </c>
      <c r="C14581" s="25">
        <v>798699501.60000002</v>
      </c>
      <c r="D14581" s="22" t="s">
        <v>16827</v>
      </c>
      <c r="E14581" s="22" t="s">
        <v>53</v>
      </c>
      <c r="F14581" s="23" t="str">
        <f>HYPERLINK("https://www.spark-marketing.ru/Card/Lot/68031170", "Натализумаб, концентрат для приготовления раствора для инфузий, 20 мг/мл, 15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f>
        <v>Натализумаб, концентрат для приготовления раствора для инфузий, 20 мг/мл, 15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v>
      </c>
      <c r="G14581" s="22" t="s">
        <v>428</v>
      </c>
      <c r="H14581" s="22" t="s">
        <v>429</v>
      </c>
      <c r="I14581" s="26">
        <v>43514</v>
      </c>
      <c r="J14581" s="23" t="str">
        <f>HYPERLINK("https://www.spark-marketing.ru/Card/Person/42069", "АО ""ФАРМСТАНДАРТ""")</f>
        <v>АО "ФАРМСТАНДАРТ"</v>
      </c>
      <c r="K14581" s="24" t="s">
        <v>1668</v>
      </c>
      <c r="L14581" s="22" t="s">
        <v>10</v>
      </c>
      <c r="M14581" s="28" t="s">
        <v>52</v>
      </c>
      <c r="N14581" s="28" t="s">
        <v>52</v>
      </c>
    </row>
    <row r="14582" spans="1:14" x14ac:dyDescent="0.15">
      <c r="A14582" s="23" t="str">
        <f>HYPERLINK("https://www.spark-marketing.ru/Card/Person/92001", "ГКУ ""ЦЕНТР МТО"" ЗАБАЙКАЛЬСКОГО КРАЯ")</f>
        <v>ГКУ "ЦЕНТР МТО" ЗАБАЙКАЛЬСКОГО КРАЯ</v>
      </c>
      <c r="B14582" s="24" t="s">
        <v>11537</v>
      </c>
      <c r="C14582" s="25">
        <v>7392000</v>
      </c>
      <c r="D14582" s="22" t="s">
        <v>16828</v>
      </c>
      <c r="E14582" s="22" t="s">
        <v>68</v>
      </c>
      <c r="F14582" s="23" t="str">
        <f>HYPERLINK("https://www.spark-marketing.ru/Card/Lot/68008429", "Оказание услуг охраны объектов Заказчика (660-ЭА)")</f>
        <v>Оказание услуг охраны объектов Заказчика (660-ЭА)</v>
      </c>
      <c r="G14582" s="22" t="s">
        <v>473</v>
      </c>
      <c r="H14582" s="22" t="s">
        <v>476</v>
      </c>
      <c r="I14582" s="26">
        <v>43514</v>
      </c>
      <c r="J14582" s="28" t="s">
        <v>52</v>
      </c>
      <c r="K14582" s="28" t="s">
        <v>52</v>
      </c>
      <c r="L14582" s="28" t="s">
        <v>52</v>
      </c>
      <c r="M14582" s="28" t="s">
        <v>52</v>
      </c>
      <c r="N14582" s="28" t="s">
        <v>52</v>
      </c>
    </row>
    <row r="14583" spans="1:14" hidden="1" outlineLevel="1" x14ac:dyDescent="0.2">
      <c r="A14583" s="23" t="str">
        <f>HYPERLINK("https://www.spark-marketing.ru/Card/Person/92001", "ГКУ ""ЦЕНТР МТО"" ЗАБАЙКАЛЬСКОГО КРАЯ")</f>
        <v>ГКУ "ЦЕНТР МТО" ЗАБАЙКАЛЬСКОГО КРАЯ</v>
      </c>
      <c r="B14583" s="24" t="s">
        <v>11537</v>
      </c>
      <c r="C14583" s="25">
        <v>7392000</v>
      </c>
      <c r="D14583" s="22" t="s">
        <v>16828</v>
      </c>
      <c r="E14583" s="22" t="s">
        <v>68</v>
      </c>
      <c r="F14583" s="23" t="str">
        <f>HYPERLINK("https://www.spark-marketing.ru/Card/Lot/68008429", "Оказание услуг охраны объектов Заказчика (660-ЭА)")</f>
        <v>Оказание услуг охраны объектов Заказчика (660-ЭА)</v>
      </c>
      <c r="G14583" s="22" t="s">
        <v>473</v>
      </c>
      <c r="H14583" s="22" t="s">
        <v>476</v>
      </c>
      <c r="I14583" s="26">
        <v>43514</v>
      </c>
      <c r="J14583" s="23" t="str">
        <f>HYPERLINK("https://www.spark-marketing.ru/Card/Person/87870", "ООО ЧОО ""ЧОП ХРАНИТЕЛЬ 2""")</f>
        <v>ООО ЧОО "ЧОП ХРАНИТЕЛЬ 2"</v>
      </c>
      <c r="K14583" s="24" t="s">
        <v>16829</v>
      </c>
      <c r="L14583" s="28" t="s">
        <v>52</v>
      </c>
      <c r="M14583" s="25">
        <v>4324320</v>
      </c>
      <c r="N14583" s="27">
        <v>0.41499999999999998</v>
      </c>
    </row>
    <row r="14584" spans="1:14" ht="12.75" hidden="1" outlineLevel="1" x14ac:dyDescent="0.2">
      <c r="A14584" s="23" t="str">
        <f>HYPERLINK("https://www.spark-marketing.ru/Card/Person/92001", "ГКУ ""ЦЕНТР МТО"" ЗАБАЙКАЛЬСКОГО КРАЯ")</f>
        <v>ГКУ "ЦЕНТР МТО" ЗАБАЙКАЛЬСКОГО КРАЯ</v>
      </c>
      <c r="B14584" s="24" t="s">
        <v>11537</v>
      </c>
      <c r="C14584" s="25">
        <v>7392000</v>
      </c>
      <c r="D14584" s="22" t="s">
        <v>16828</v>
      </c>
      <c r="E14584" s="22" t="s">
        <v>68</v>
      </c>
      <c r="F14584" s="23" t="str">
        <f>HYPERLINK("https://www.spark-marketing.ru/Card/Lot/68008429", "Оказание услуг охраны объектов Заказчика (660-ЭА)")</f>
        <v>Оказание услуг охраны объектов Заказчика (660-ЭА)</v>
      </c>
      <c r="G14584" s="22" t="s">
        <v>473</v>
      </c>
      <c r="H14584" s="22" t="s">
        <v>476</v>
      </c>
      <c r="I14584" s="26">
        <v>43514</v>
      </c>
      <c r="J14584" s="23" t="str">
        <f>HYPERLINK("https://www.spark-marketing.ru/Card/Person/642940", "ООО ЧОО ""АЛЬБАТРОС""")</f>
        <v>ООО ЧОО "АЛЬБАТРОС"</v>
      </c>
      <c r="K14584" s="24" t="s">
        <v>16830</v>
      </c>
      <c r="L14584" s="22" t="s">
        <v>10</v>
      </c>
      <c r="M14584" s="25">
        <v>4139520</v>
      </c>
      <c r="N14584" s="27">
        <v>0.44</v>
      </c>
    </row>
    <row r="14585" spans="1:14" hidden="1" outlineLevel="1" x14ac:dyDescent="0.2">
      <c r="A14585" s="23" t="str">
        <f>HYPERLINK("https://www.spark-marketing.ru/Card/Person/92001", "ГКУ ""ЦЕНТР МТО"" ЗАБАЙКАЛЬСКОГО КРАЯ")</f>
        <v>ГКУ "ЦЕНТР МТО" ЗАБАЙКАЛЬСКОГО КРАЯ</v>
      </c>
      <c r="B14585" s="24" t="s">
        <v>11537</v>
      </c>
      <c r="C14585" s="25">
        <v>7392000</v>
      </c>
      <c r="D14585" s="22" t="s">
        <v>16828</v>
      </c>
      <c r="E14585" s="22" t="s">
        <v>68</v>
      </c>
      <c r="F14585" s="23" t="str">
        <f>HYPERLINK("https://www.spark-marketing.ru/Card/Lot/68008429", "Оказание услуг охраны объектов Заказчика (660-ЭА)")</f>
        <v>Оказание услуг охраны объектов Заказчика (660-ЭА)</v>
      </c>
      <c r="G14585" s="22" t="s">
        <v>473</v>
      </c>
      <c r="H14585" s="22" t="s">
        <v>476</v>
      </c>
      <c r="I14585" s="26">
        <v>43514</v>
      </c>
      <c r="J14585" s="23" t="str">
        <f>HYPERLINK("https://www.spark-marketing.ru/Card/Person/972942", "ООО ЧОП ""ПРИНЦИП""")</f>
        <v>ООО ЧОП "ПРИНЦИП"</v>
      </c>
      <c r="K14585" s="24" t="s">
        <v>16820</v>
      </c>
      <c r="L14585" s="28" t="s">
        <v>52</v>
      </c>
      <c r="M14585" s="25">
        <v>4176480</v>
      </c>
      <c r="N14585" s="27">
        <v>0.435</v>
      </c>
    </row>
    <row r="14586" spans="1:14" hidden="1" outlineLevel="1" x14ac:dyDescent="0.2">
      <c r="A14586" s="23" t="str">
        <f>HYPERLINK("https://www.spark-marketing.ru/Card/Person/92001", "ГКУ ""ЦЕНТР МТО"" ЗАБАЙКАЛЬСКОГО КРАЯ")</f>
        <v>ГКУ "ЦЕНТР МТО" ЗАБАЙКАЛЬСКОГО КРАЯ</v>
      </c>
      <c r="B14586" s="24" t="s">
        <v>11537</v>
      </c>
      <c r="C14586" s="25">
        <v>7392000</v>
      </c>
      <c r="D14586" s="22" t="s">
        <v>16828</v>
      </c>
      <c r="E14586" s="22" t="s">
        <v>68</v>
      </c>
      <c r="F14586" s="23" t="str">
        <f>HYPERLINK("https://www.spark-marketing.ru/Card/Lot/68008429", "Оказание услуг охраны объектов Заказчика (660-ЭА)")</f>
        <v>Оказание услуг охраны объектов Заказчика (660-ЭА)</v>
      </c>
      <c r="G14586" s="22" t="s">
        <v>473</v>
      </c>
      <c r="H14586" s="22" t="s">
        <v>476</v>
      </c>
      <c r="I14586" s="26">
        <v>43514</v>
      </c>
      <c r="J14586" s="23" t="str">
        <f>HYPERLINK("https://www.spark-marketing.ru/Card/Person/2455148", "ООО ЧОП ""БРЕСТ ПЛЮС""")</f>
        <v>ООО ЧОП "БРЕСТ ПЛЮС"</v>
      </c>
      <c r="K14586" s="24" t="s">
        <v>16831</v>
      </c>
      <c r="L14586" s="28" t="s">
        <v>52</v>
      </c>
      <c r="M14586" s="25">
        <v>6578880</v>
      </c>
      <c r="N14586" s="27">
        <v>0.11</v>
      </c>
    </row>
    <row r="14587" spans="1:14" x14ac:dyDescent="0.15">
      <c r="A14587" s="23" t="str">
        <f>HYPERLINK("https://www.spark-marketing.ru/Card/Person/4473", "ГКУ НСО ""ФИ НСО""")</f>
        <v>ГКУ НСО "ФИ НСО"</v>
      </c>
      <c r="B14587" s="24" t="s">
        <v>16804</v>
      </c>
      <c r="C14587" s="25">
        <v>11199.99</v>
      </c>
      <c r="D14587" s="22" t="s">
        <v>16832</v>
      </c>
      <c r="E14587" s="22" t="s">
        <v>591</v>
      </c>
      <c r="F14587" s="23" t="str">
        <f>HYPERLINK("https://www.spark-marketing.ru/Card/Lot/68010899", "Оказание услуг по проведению экспертизы оказанных охранных услуг на объекте по адресу: г.Новосибирск, ул. Семьи Шамшиных, д.56.")</f>
        <v>Оказание услуг по проведению экспертизы оказанных охранных услуг на объекте по адресу: г.Новосибирск, ул. Семьи Шамшиных, д.56.</v>
      </c>
      <c r="G14587" s="22" t="s">
        <v>209</v>
      </c>
      <c r="H14587" s="22" t="s">
        <v>210</v>
      </c>
      <c r="I14587" s="26">
        <v>43514</v>
      </c>
      <c r="J14587" s="28" t="s">
        <v>52</v>
      </c>
      <c r="K14587" s="28" t="s">
        <v>52</v>
      </c>
      <c r="L14587" s="28" t="s">
        <v>52</v>
      </c>
      <c r="M14587" s="28" t="s">
        <v>52</v>
      </c>
      <c r="N14587" s="28" t="s">
        <v>52</v>
      </c>
    </row>
    <row r="14588" spans="1:14" hidden="1" outlineLevel="1" x14ac:dyDescent="0.2">
      <c r="A14588" s="23" t="str">
        <f>HYPERLINK("https://www.spark-marketing.ru/Card/Person/4473", "ГКУ НСО ""ФИ НСО""")</f>
        <v>ГКУ НСО "ФИ НСО"</v>
      </c>
      <c r="B14588" s="24" t="s">
        <v>16804</v>
      </c>
      <c r="C14588" s="25">
        <v>11199.99</v>
      </c>
      <c r="D14588" s="22" t="s">
        <v>16832</v>
      </c>
      <c r="E14588" s="22" t="s">
        <v>591</v>
      </c>
      <c r="F14588" s="23" t="str">
        <f>HYPERLINK("https://www.spark-marketing.ru/Card/Lot/68010899", "Оказание услуг по проведению экспертизы оказанных охранных услуг на объекте по адресу: г.Новосибирск, ул. Семьи Шамшиных, д.56.")</f>
        <v>Оказание услуг по проведению экспертизы оказанных охранных услуг на объекте по адресу: г.Новосибирск, ул. Семьи Шамшиных, д.56.</v>
      </c>
      <c r="G14588" s="22" t="s">
        <v>209</v>
      </c>
      <c r="H14588" s="22" t="s">
        <v>210</v>
      </c>
      <c r="I14588" s="26">
        <v>43514</v>
      </c>
      <c r="J14588" s="23" t="str">
        <f>HYPERLINK("https://www.spark-marketing.ru/Card/Person/115641", "ООО ЧОП ""ЛУННЫЙ СВЕТ""")</f>
        <v>ООО ЧОП "ЛУННЫЙ СВЕТ"</v>
      </c>
      <c r="K14588" s="24" t="s">
        <v>16807</v>
      </c>
      <c r="L14588" s="28" t="s">
        <v>52</v>
      </c>
      <c r="M14588" s="25">
        <v>11099.99</v>
      </c>
      <c r="N14588" s="27">
        <v>8.9285794005173214E-3</v>
      </c>
    </row>
    <row r="14589" spans="1:14" ht="12.75" hidden="1" outlineLevel="1" x14ac:dyDescent="0.2">
      <c r="A14589" s="23" t="str">
        <f>HYPERLINK("https://www.spark-marketing.ru/Card/Person/4473", "ГКУ НСО ""ФИ НСО""")</f>
        <v>ГКУ НСО "ФИ НСО"</v>
      </c>
      <c r="B14589" s="24" t="s">
        <v>16804</v>
      </c>
      <c r="C14589" s="25">
        <v>11199.99</v>
      </c>
      <c r="D14589" s="22" t="s">
        <v>16832</v>
      </c>
      <c r="E14589" s="22" t="s">
        <v>591</v>
      </c>
      <c r="F14589" s="23" t="str">
        <f>HYPERLINK("https://www.spark-marketing.ru/Card/Lot/68010899", "Оказание услуг по проведению экспертизы оказанных охранных услуг на объекте по адресу: г.Новосибирск, ул. Семьи Шамшиных, д.56.")</f>
        <v>Оказание услуг по проведению экспертизы оказанных охранных услуг на объекте по адресу: г.Новосибирск, ул. Семьи Шамшиных, д.56.</v>
      </c>
      <c r="G14589" s="22" t="s">
        <v>209</v>
      </c>
      <c r="H14589" s="22" t="s">
        <v>210</v>
      </c>
      <c r="I14589" s="26">
        <v>43514</v>
      </c>
      <c r="J14589" s="23" t="str">
        <f>HYPERLINK("https://www.spark-marketing.ru/Card/Person/6501774", "РООООР ФКЦ РОС В НОВОСИБИРСКОЙ ОБЛАСТИ")</f>
        <v>РООООР ФКЦ РОС В НОВОСИБИРСКОЙ ОБЛАСТИ</v>
      </c>
      <c r="K14589" s="24" t="s">
        <v>16806</v>
      </c>
      <c r="L14589" s="22" t="s">
        <v>10</v>
      </c>
      <c r="M14589" s="25">
        <v>10999.99</v>
      </c>
      <c r="N14589" s="27">
        <v>1.7857158801034643E-2</v>
      </c>
    </row>
    <row r="14590" spans="1:14" x14ac:dyDescent="0.15">
      <c r="A14590" s="23" t="str">
        <f>HYPERLINK("https://www.spark-marketing.ru/Card/Person/4346808", "МКУ ""УГХ"" НГО")</f>
        <v>МКУ "УГХ" НГО</v>
      </c>
      <c r="B14590" s="24" t="s">
        <v>16833</v>
      </c>
      <c r="C14590" s="25">
        <v>691196</v>
      </c>
      <c r="D14590" s="22" t="s">
        <v>16834</v>
      </c>
      <c r="E14590" s="22" t="s">
        <v>52</v>
      </c>
      <c r="F14590" s="23" t="str">
        <f>HYPERLINK("https://www.spark-marketing.ru/Card/Lot/68028056", "Услуги по охране памятников ВОВ")</f>
        <v>Услуги по охране памятников ВОВ</v>
      </c>
      <c r="G14590" s="22" t="s">
        <v>72</v>
      </c>
      <c r="H14590" s="22" t="s">
        <v>2527</v>
      </c>
      <c r="I14590" s="26">
        <v>43514</v>
      </c>
      <c r="J14590" s="28" t="s">
        <v>52</v>
      </c>
      <c r="K14590" s="28" t="s">
        <v>52</v>
      </c>
      <c r="L14590" s="28" t="s">
        <v>52</v>
      </c>
      <c r="M14590" s="28" t="s">
        <v>52</v>
      </c>
      <c r="N14590" s="28" t="s">
        <v>52</v>
      </c>
    </row>
    <row r="14591" spans="1:14" hidden="1" outlineLevel="1" x14ac:dyDescent="0.2">
      <c r="A14591" s="23" t="str">
        <f>HYPERLINK("https://www.spark-marketing.ru/Card/Person/4346808", "МКУ ""УГХ"" НГО")</f>
        <v>МКУ "УГХ" НГО</v>
      </c>
      <c r="B14591" s="24" t="s">
        <v>16833</v>
      </c>
      <c r="C14591" s="25">
        <v>691196</v>
      </c>
      <c r="D14591" s="22" t="s">
        <v>16834</v>
      </c>
      <c r="E14591" s="22" t="s">
        <v>52</v>
      </c>
      <c r="F14591" s="23" t="str">
        <f>HYPERLINK("https://www.spark-marketing.ru/Card/Lot/68028056", "Услуги по охране памятников ВОВ")</f>
        <v>Услуги по охране памятников ВОВ</v>
      </c>
      <c r="G14591" s="22" t="s">
        <v>72</v>
      </c>
      <c r="H14591" s="22" t="s">
        <v>2527</v>
      </c>
      <c r="I14591" s="26">
        <v>43514</v>
      </c>
      <c r="J14591" s="23" t="str">
        <f>HYPERLINK("https://www.spark-marketing.ru/Card/Person/4350535", "ООО ЧОО ""СОВА-Н""")</f>
        <v>ООО ЧОО "СОВА-Н"</v>
      </c>
      <c r="K14591" s="24" t="s">
        <v>16835</v>
      </c>
      <c r="L14591" s="28" t="s">
        <v>52</v>
      </c>
      <c r="M14591" s="25">
        <v>642000</v>
      </c>
      <c r="N14591" s="27">
        <v>7.117518041192368E-2</v>
      </c>
    </row>
    <row r="14592" spans="1:14" ht="12.75" hidden="1" outlineLevel="1" x14ac:dyDescent="0.2">
      <c r="A14592" s="23" t="str">
        <f>HYPERLINK("https://www.spark-marketing.ru/Card/Person/4346808", "МКУ ""УГХ"" НГО")</f>
        <v>МКУ "УГХ" НГО</v>
      </c>
      <c r="B14592" s="24" t="s">
        <v>16833</v>
      </c>
      <c r="C14592" s="25">
        <v>691196</v>
      </c>
      <c r="D14592" s="22" t="s">
        <v>16834</v>
      </c>
      <c r="E14592" s="22" t="s">
        <v>52</v>
      </c>
      <c r="F14592" s="23" t="str">
        <f>HYPERLINK("https://www.spark-marketing.ru/Card/Lot/68028056", "Услуги по охране памятников ВОВ")</f>
        <v>Услуги по охране памятников ВОВ</v>
      </c>
      <c r="G14592" s="22" t="s">
        <v>72</v>
      </c>
      <c r="H14592" s="22" t="s">
        <v>2527</v>
      </c>
      <c r="I14592" s="26">
        <v>43514</v>
      </c>
      <c r="J14592" s="23" t="str">
        <f>HYPERLINK("https://www.spark-marketing.ru/Card/Person/4432659", "ООО ""ЧОО ""ОХРАНА РЕГИОН-УРАЛ Н""")</f>
        <v>ООО "ЧОО "ОХРАНА РЕГИОН-УРАЛ Н"</v>
      </c>
      <c r="K14592" s="24" t="s">
        <v>16836</v>
      </c>
      <c r="L14592" s="22" t="s">
        <v>10</v>
      </c>
      <c r="M14592" s="25">
        <v>639356.30000000005</v>
      </c>
      <c r="N14592" s="27">
        <v>7.4999999999999997E-2</v>
      </c>
    </row>
    <row r="14593" spans="1:14" hidden="1" outlineLevel="1" x14ac:dyDescent="0.2">
      <c r="A14593" s="23" t="str">
        <f>HYPERLINK("https://www.spark-marketing.ru/Card/Person/4346808", "МКУ ""УГХ"" НГО")</f>
        <v>МКУ "УГХ" НГО</v>
      </c>
      <c r="B14593" s="24" t="s">
        <v>16833</v>
      </c>
      <c r="C14593" s="25">
        <v>691196</v>
      </c>
      <c r="D14593" s="22" t="s">
        <v>16834</v>
      </c>
      <c r="E14593" s="22" t="s">
        <v>52</v>
      </c>
      <c r="F14593" s="23" t="str">
        <f>HYPERLINK("https://www.spark-marketing.ru/Card/Lot/68028056", "Услуги по охране памятников ВОВ")</f>
        <v>Услуги по охране памятников ВОВ</v>
      </c>
      <c r="G14593" s="22" t="s">
        <v>72</v>
      </c>
      <c r="H14593" s="22" t="s">
        <v>2527</v>
      </c>
      <c r="I14593" s="26">
        <v>43514</v>
      </c>
      <c r="J14593" s="23" t="str">
        <f>HYPERLINK("https://www.spark-marketing.ru/Card/Person/4496022", "ООО ЧОП ""БРИГАДА""")</f>
        <v>ООО ЧОП "БРИГАДА"</v>
      </c>
      <c r="K14593" s="24" t="s">
        <v>12292</v>
      </c>
      <c r="L14593" s="28" t="s">
        <v>52</v>
      </c>
      <c r="M14593" s="25">
        <v>642812.28</v>
      </c>
      <c r="N14593" s="27">
        <v>7.0000000000000007E-2</v>
      </c>
    </row>
    <row r="14594" spans="1:14" x14ac:dyDescent="0.15">
      <c r="A14594" s="23" t="str">
        <f>HYPERLINK("https://www.spark-marketing.ru/Card/Person/4348", "ГУЗ ""ЛИПЕЦКАЯ ГБ СМП № 1""")</f>
        <v>ГУЗ "ЛИПЕЦКАЯ ГБ СМП № 1"</v>
      </c>
      <c r="B14594" s="24" t="s">
        <v>16837</v>
      </c>
      <c r="C14594" s="25">
        <v>52876.67</v>
      </c>
      <c r="D14594" s="22" t="s">
        <v>16838</v>
      </c>
      <c r="E14594" s="22" t="s">
        <v>52</v>
      </c>
      <c r="F14594" s="23" t="str">
        <f>HYPERLINK("https://www.spark-marketing.ru/Card/Lot/68035236", "Услуги по техническому обслуживанию комплекса средств охраны и тревожной сигнализации")</f>
        <v>Услуги по техническому обслуживанию комплекса средств охраны и тревожной сигнализации</v>
      </c>
      <c r="G14594" s="22" t="s">
        <v>629</v>
      </c>
      <c r="H14594" s="22" t="s">
        <v>629</v>
      </c>
      <c r="I14594" s="26">
        <v>43514</v>
      </c>
      <c r="J14594" s="28" t="s">
        <v>52</v>
      </c>
      <c r="K14594" s="28" t="s">
        <v>52</v>
      </c>
      <c r="L14594" s="28" t="s">
        <v>52</v>
      </c>
      <c r="M14594" s="28" t="s">
        <v>52</v>
      </c>
      <c r="N14594" s="28" t="s">
        <v>52</v>
      </c>
    </row>
    <row r="14595" spans="1:14" x14ac:dyDescent="0.15">
      <c r="A14595" s="23" t="str">
        <f>HYPERLINK("https://www.spark-marketing.ru/Card/Person/20509", "УПРАВЛЕНИЕ РОСПОТРЕБНАДЗОРА ПО ЧЕЛЯБИНСКОЙ ОБЛАСТИ")</f>
        <v>УПРАВЛЕНИЕ РОСПОТРЕБНАДЗОРА ПО ЧЕЛЯБИНСКОЙ ОБЛАСТИ</v>
      </c>
      <c r="B14595" s="24" t="s">
        <v>16839</v>
      </c>
      <c r="C14595" s="25">
        <v>17500</v>
      </c>
      <c r="D14595" s="22" t="s">
        <v>16840</v>
      </c>
      <c r="E14595" s="22" t="s">
        <v>349</v>
      </c>
      <c r="F14595" s="23" t="str">
        <f>HYPERLINK("https://www.spark-marketing.ru/Card/Lot/68010845", "Оказание услуг по техническому обслуживанию охранной сигнализации на объекте территориального отдела Управления Федеральной службы по надзору в сфере защиты прав потребителей и благополучия человека по Челябинской области в Саткинском, Ашинском и Кат...")</f>
        <v>Оказание услуг по техническому обслуживанию охранной сигнализации на объекте территориального отдела Управления Федеральной службы по надзору в сфере защиты прав потребителей и благополучия человека по Челябинской области в Саткинском, Ашинском и Кат...</v>
      </c>
      <c r="G14595" s="22" t="s">
        <v>60</v>
      </c>
      <c r="H14595" s="22" t="s">
        <v>60</v>
      </c>
      <c r="I14595" s="26">
        <v>43514</v>
      </c>
      <c r="J14595" s="28" t="s">
        <v>52</v>
      </c>
      <c r="K14595" s="28" t="s">
        <v>52</v>
      </c>
      <c r="L14595" s="28" t="s">
        <v>52</v>
      </c>
      <c r="M14595" s="28" t="s">
        <v>52</v>
      </c>
      <c r="N14595" s="28" t="s">
        <v>52</v>
      </c>
    </row>
    <row r="14596" spans="1:14" hidden="1" outlineLevel="1" x14ac:dyDescent="0.2">
      <c r="A14596" s="23" t="str">
        <f>HYPERLINK("https://www.spark-marketing.ru/Card/Person/20509", "УПРАВЛЕНИЕ РОСПОТРЕБНАДЗОРА ПО ЧЕЛЯБИНСКОЙ ОБЛАСТИ")</f>
        <v>УПРАВЛЕНИЕ РОСПОТРЕБНАДЗОРА ПО ЧЕЛЯБИНСКОЙ ОБЛАСТИ</v>
      </c>
      <c r="B14596" s="24" t="s">
        <v>16839</v>
      </c>
      <c r="C14596" s="25">
        <v>17500</v>
      </c>
      <c r="D14596" s="22" t="s">
        <v>16840</v>
      </c>
      <c r="E14596" s="22" t="s">
        <v>349</v>
      </c>
      <c r="F14596" s="23" t="str">
        <f>HYPERLINK("https://www.spark-marketing.ru/Card/Lot/68010845", "Оказание услуг по техническому обслуживанию охранной сигнализации на объекте территориального отдела Управления Федеральной службы по надзору в сфере защиты прав потребителей и благополучия человека по Челябинской области в Саткинском, Ашинском и Кат...")</f>
        <v>Оказание услуг по техническому обслуживанию охранной сигнализации на объекте территориального отдела Управления Федеральной службы по надзору в сфере защиты прав потребителей и благополучия человека по Челябинской области в Саткинском, Ашинском и Кат...</v>
      </c>
      <c r="G14596" s="22" t="s">
        <v>60</v>
      </c>
      <c r="H14596" s="22" t="s">
        <v>60</v>
      </c>
      <c r="I14596" s="26">
        <v>43514</v>
      </c>
      <c r="J14596" s="23" t="str">
        <f>HYPERLINK("https://www.spark-marketing.ru/Card/Person/4537993", "ООО ""ОХРАННЫЕ СИСТЕМЫ""")</f>
        <v>ООО "ОХРАННЫЕ СИСТЕМЫ"</v>
      </c>
      <c r="K14596" s="24" t="s">
        <v>16841</v>
      </c>
      <c r="L14596" s="28" t="s">
        <v>52</v>
      </c>
      <c r="M14596" s="25">
        <v>8725</v>
      </c>
      <c r="N14596" s="27">
        <v>0.50142857142857145</v>
      </c>
    </row>
    <row r="14597" spans="1:14" ht="12.75" hidden="1" outlineLevel="1" x14ac:dyDescent="0.2">
      <c r="A14597" s="23" t="str">
        <f>HYPERLINK("https://www.spark-marketing.ru/Card/Person/20509", "УПРАВЛЕНИЕ РОСПОТРЕБНАДЗОРА ПО ЧЕЛЯБИНСКОЙ ОБЛАСТИ")</f>
        <v>УПРАВЛЕНИЕ РОСПОТРЕБНАДЗОРА ПО ЧЕЛЯБИНСКОЙ ОБЛАСТИ</v>
      </c>
      <c r="B14597" s="24" t="s">
        <v>16839</v>
      </c>
      <c r="C14597" s="25">
        <v>17500</v>
      </c>
      <c r="D14597" s="22" t="s">
        <v>16840</v>
      </c>
      <c r="E14597" s="22" t="s">
        <v>349</v>
      </c>
      <c r="F14597" s="23" t="str">
        <f>HYPERLINK("https://www.spark-marketing.ru/Card/Lot/68010845", "Оказание услуг по техническому обслуживанию охранной сигнализации на объекте территориального отдела Управления Федеральной службы по надзору в сфере защиты прав потребителей и благополучия человека по Челябинской области в Саткинском, Ашинском и Кат...")</f>
        <v>Оказание услуг по техническому обслуживанию охранной сигнализации на объекте территориального отдела Управления Федеральной службы по надзору в сфере защиты прав потребителей и благополучия человека по Челябинской области в Саткинском, Ашинском и Кат...</v>
      </c>
      <c r="G14597" s="22" t="s">
        <v>60</v>
      </c>
      <c r="H14597" s="22" t="s">
        <v>60</v>
      </c>
      <c r="I14597" s="26">
        <v>43514</v>
      </c>
      <c r="J14597" s="23" t="str">
        <f>HYPERLINK("https://www.spark-marketing.ru/Card/Person/10487", "ФГУП ""ОХРАНА"" РОСГВАРДИИ")</f>
        <v>ФГУП "ОХРАНА" РОСГВАРДИИ</v>
      </c>
      <c r="K14597" s="24" t="s">
        <v>779</v>
      </c>
      <c r="L14597" s="22" t="s">
        <v>10</v>
      </c>
      <c r="M14597" s="25">
        <v>7850</v>
      </c>
      <c r="N14597" s="27">
        <v>0.55142857142857138</v>
      </c>
    </row>
    <row r="14598" spans="1:14" x14ac:dyDescent="0.15">
      <c r="A14598" s="23" t="str">
        <f>HYPERLINK("https://www.spark-marketing.ru/Card/Person/1277", "СУ СК РОССИИ ПО РЕСПУБЛИКЕ БАШКОРТОСТАН")</f>
        <v>СУ СК РОССИИ ПО РЕСПУБЛИКЕ БАШКОРТОСТАН</v>
      </c>
      <c r="B14598" s="24" t="s">
        <v>6184</v>
      </c>
      <c r="C14598" s="25">
        <v>39960</v>
      </c>
      <c r="D14598" s="22" t="s">
        <v>16842</v>
      </c>
      <c r="E14598" s="22" t="s">
        <v>68</v>
      </c>
      <c r="F14598" s="23" t="str">
        <f>HYPERLINK("https://www.spark-marketing.ru/Card/Lot/68013119", "Оказание услуг по охране")</f>
        <v>Оказание услуг по охране</v>
      </c>
      <c r="G14598" s="22" t="s">
        <v>100</v>
      </c>
      <c r="H14598" s="22" t="s">
        <v>100</v>
      </c>
      <c r="I14598" s="26">
        <v>43514</v>
      </c>
      <c r="J14598" s="28" t="s">
        <v>52</v>
      </c>
      <c r="K14598" s="28" t="s">
        <v>52</v>
      </c>
      <c r="L14598" s="28" t="s">
        <v>52</v>
      </c>
      <c r="M14598" s="28" t="s">
        <v>52</v>
      </c>
      <c r="N14598" s="28" t="s">
        <v>52</v>
      </c>
    </row>
    <row r="14599" spans="1:14" x14ac:dyDescent="0.15">
      <c r="A14599" s="23" t="str">
        <f>HYPERLINK("https://www.spark-marketing.ru/Card/Person/86638", "ОГБУЗ ""БОЛЬШЕТРОИЦКАЯ РАЙОННАЯ БОЛЬНИЦА""")</f>
        <v>ОГБУЗ "БОЛЬШЕТРОИЦКАЯ РАЙОННАЯ БОЛЬНИЦА"</v>
      </c>
      <c r="B14599" s="24" t="s">
        <v>16843</v>
      </c>
      <c r="C14599" s="25">
        <v>572220</v>
      </c>
      <c r="D14599" s="22" t="s">
        <v>16844</v>
      </c>
      <c r="E14599" s="22" t="s">
        <v>52</v>
      </c>
      <c r="F14599" s="23" t="str">
        <f>HYPERLINK("https://www.spark-marketing.ru/Card/Lot/68046383", "Оказание услуг по круглосуточной охране помещений и территорий на 2019 год")</f>
        <v>Оказание услуг по круглосуточной охране помещений и территорий на 2019 год</v>
      </c>
      <c r="G14599" s="22" t="s">
        <v>176</v>
      </c>
      <c r="H14599" s="22" t="s">
        <v>572</v>
      </c>
      <c r="I14599" s="26">
        <v>43514</v>
      </c>
      <c r="J14599" s="23" t="str">
        <f>HYPERLINK("https://www.spark-marketing.ru/Card/Person/105977", "ООО ""ЧОО ""ВИТЯЗЬ""")</f>
        <v>ООО "ЧОО "ВИТЯЗЬ"</v>
      </c>
      <c r="K14599" s="24" t="s">
        <v>16845</v>
      </c>
      <c r="L14599" s="28" t="s">
        <v>52</v>
      </c>
      <c r="M14599" s="28" t="s">
        <v>52</v>
      </c>
      <c r="N14599" s="28" t="s">
        <v>52</v>
      </c>
    </row>
    <row r="14600" spans="1:14" hidden="1" outlineLevel="1" x14ac:dyDescent="0.2">
      <c r="A14600" s="23" t="str">
        <f>HYPERLINK("https://www.spark-marketing.ru/Card/Person/86638", "ОГБУЗ ""БОЛЬШЕТРОИЦКАЯ РАЙОННАЯ БОЛЬНИЦА""")</f>
        <v>ОГБУЗ "БОЛЬШЕТРОИЦКАЯ РАЙОННАЯ БОЛЬНИЦА"</v>
      </c>
      <c r="B14600" s="24" t="s">
        <v>16843</v>
      </c>
      <c r="C14600" s="25">
        <v>572220</v>
      </c>
      <c r="D14600" s="22" t="s">
        <v>16844</v>
      </c>
      <c r="E14600" s="22" t="s">
        <v>52</v>
      </c>
      <c r="F14600" s="23" t="str">
        <f>HYPERLINK("https://www.spark-marketing.ru/Card/Lot/68046383", "Оказание услуг по круглосуточной охране помещений и территорий на 2019 год")</f>
        <v>Оказание услуг по круглосуточной охране помещений и территорий на 2019 год</v>
      </c>
      <c r="G14600" s="22" t="s">
        <v>176</v>
      </c>
      <c r="H14600" s="22" t="s">
        <v>572</v>
      </c>
      <c r="I14600" s="26">
        <v>43514</v>
      </c>
      <c r="J14600" s="23" t="str">
        <f>HYPERLINK("https://www.spark-marketing.ru/Card/Person/105977", "ООО ""ЧОО ""ВИТЯЗЬ""")</f>
        <v>ООО "ЧОО "ВИТЯЗЬ"</v>
      </c>
      <c r="K14600" s="24" t="s">
        <v>16845</v>
      </c>
      <c r="L14600" s="28" t="s">
        <v>52</v>
      </c>
      <c r="M14600" s="25">
        <v>572220</v>
      </c>
      <c r="N14600" s="27">
        <v>0</v>
      </c>
    </row>
    <row r="14601" spans="1:14" x14ac:dyDescent="0.15">
      <c r="A14601" s="23" t="str">
        <f>HYPERLINK("https://www.spark-marketing.ru/Card/Person/28653", "ЦЕНТРАЛЬНОЕ МТУ РОСАВИАЦИИ")</f>
        <v>ЦЕНТРАЛЬНОЕ МТУ РОСАВИАЦИИ</v>
      </c>
      <c r="B14601" s="24" t="s">
        <v>16846</v>
      </c>
      <c r="C14601" s="25">
        <v>90000</v>
      </c>
      <c r="D14601" s="22" t="s">
        <v>16847</v>
      </c>
      <c r="E14601" s="22" t="s">
        <v>68</v>
      </c>
      <c r="F14601" s="23" t="str">
        <f>HYPERLINK("https://www.spark-marketing.ru/Card/Lot/68012753", "Оказание услуг по осуществлению пультовой охраны")</f>
        <v>Оказание услуг по осуществлению пультовой охраны</v>
      </c>
      <c r="G14601" s="22" t="s">
        <v>50</v>
      </c>
      <c r="H14601" s="22" t="s">
        <v>5291</v>
      </c>
      <c r="I14601" s="26">
        <v>43514</v>
      </c>
      <c r="J14601" s="23" t="str">
        <f>HYPERLINK("https://www.spark-marketing.ru/Card/Person/6470401", "ООО ""ЧОП ""ЛДС-ОХРАНА""")</f>
        <v>ООО "ЧОП "ЛДС-ОХРАНА"</v>
      </c>
      <c r="K14601" s="24" t="s">
        <v>16213</v>
      </c>
      <c r="L14601" s="22" t="s">
        <v>10</v>
      </c>
      <c r="M14601" s="28" t="s">
        <v>52</v>
      </c>
      <c r="N14601" s="28" t="s">
        <v>52</v>
      </c>
    </row>
    <row r="14602" spans="1:14" x14ac:dyDescent="0.15">
      <c r="A14602" s="23" t="str">
        <f>HYPERLINK("https://www.spark-marketing.ru/Card/Person/73162", "ПРИВОЛЖСКОЕ СУТ СК РОССИИ")</f>
        <v>ПРИВОЛЖСКОЕ СУТ СК РОССИИ</v>
      </c>
      <c r="B14602" s="24" t="s">
        <v>10820</v>
      </c>
      <c r="C14602" s="25">
        <v>55294.32</v>
      </c>
      <c r="D14602" s="22" t="s">
        <v>16848</v>
      </c>
      <c r="E14602" s="22" t="s">
        <v>68</v>
      </c>
      <c r="F14602" s="23" t="str">
        <f>HYPERLINK("https://www.spark-marketing.ru/Card/Lot/68037332", "Централизованная охрана объекта с помощью технических средств охраны (г. Киров)")</f>
        <v>Централизованная охрана объекта с помощью технических средств охраны (г. Киров)</v>
      </c>
      <c r="G14602" s="22" t="s">
        <v>556</v>
      </c>
      <c r="H14602" s="22" t="s">
        <v>557</v>
      </c>
      <c r="I14602" s="26">
        <v>43514</v>
      </c>
      <c r="J14602" s="28" t="s">
        <v>52</v>
      </c>
      <c r="K14602" s="28" t="s">
        <v>52</v>
      </c>
      <c r="L14602" s="28" t="s">
        <v>52</v>
      </c>
      <c r="M14602" s="28" t="s">
        <v>52</v>
      </c>
      <c r="N14602" s="28" t="s">
        <v>52</v>
      </c>
    </row>
    <row r="14603" spans="1:14" x14ac:dyDescent="0.15">
      <c r="A14603" s="23" t="str">
        <f>HYPERLINK("https://www.spark-marketing.ru/Card/Person/8420", "ГСУ СК РОССИИ ПО КРАСНОЯРСКОМУ КРАЮ")</f>
        <v>ГСУ СК РОССИИ ПО КРАСНОЯРСКОМУ КРАЮ</v>
      </c>
      <c r="B14603" s="24" t="s">
        <v>16849</v>
      </c>
      <c r="C14603" s="25">
        <v>671744</v>
      </c>
      <c r="D14603" s="22" t="s">
        <v>16850</v>
      </c>
      <c r="E14603" s="22" t="s">
        <v>68</v>
      </c>
      <c r="F14603" s="23" t="str">
        <f>HYPERLINK("https://www.spark-marketing.ru/Card/Lot/68012500", "Оказание услуг на охрану объектов ГСУ СК России по Красноярскому краю по централизованному наблюдению за объектами")</f>
        <v>Оказание услуг на охрану объектов ГСУ СК России по Красноярскому краю по централизованному наблюдению за объектами</v>
      </c>
      <c r="G14603" s="22" t="s">
        <v>640</v>
      </c>
      <c r="H14603" s="22" t="s">
        <v>640</v>
      </c>
      <c r="I14603" s="26">
        <v>43514</v>
      </c>
      <c r="J14603" s="23" t="str">
        <f>HYPERLINK("https://www.spark-marketing.ru/Card/Person/4355740", "ФГКУ ""УВО ВНГ РОССИИ ПО КРАСНОЯРСКОМУ КРАЮ""")</f>
        <v>ФГКУ "УВО ВНГ РОССИИ ПО КРАСНОЯРСКОМУ КРАЮ"</v>
      </c>
      <c r="K14603" s="24" t="s">
        <v>14806</v>
      </c>
      <c r="L14603" s="22" t="s">
        <v>10</v>
      </c>
      <c r="M14603" s="28" t="s">
        <v>52</v>
      </c>
      <c r="N14603" s="28" t="s">
        <v>52</v>
      </c>
    </row>
    <row r="14604" spans="1:14" x14ac:dyDescent="0.15">
      <c r="A14604" s="23" t="str">
        <f>HYPERLINK("https://www.spark-marketing.ru/Card/Person/57210", "МИНИСТЕРСТВО ТРАНСПОРТА КРАЯ")</f>
        <v>МИНИСТЕРСТВО ТРАНСПОРТА КРАЯ</v>
      </c>
      <c r="B14604" s="24" t="s">
        <v>2489</v>
      </c>
      <c r="C14604" s="25">
        <v>21912268.100000001</v>
      </c>
      <c r="D14604" s="22" t="s">
        <v>16851</v>
      </c>
      <c r="E14604" s="22" t="s">
        <v>68</v>
      </c>
      <c r="F14604" s="23" t="str">
        <f>HYPERLINK("https://www.spark-marketing.ru/Card/Lot/68044555", "Охрана объектов: ""Автомобильная транспортная развязка в двух уровнях на пересечении ул. Гагарина и ул. Донской (в составе объекта: эстакада № 1, эстакада № 2); Автомобильная транспортная развязка в двух уровнях на пересечении ул. Транспортной со съе...")</f>
        <v>Охрана объектов: "Автомобильная транспортная развязка в двух уровнях на пересечении ул. Гагарина и ул. Донской (в составе объекта: эстакада № 1, эстакада № 2); Автомобильная транспортная развязка в двух уровнях на пересечении ул. Транспортной со съе...</v>
      </c>
      <c r="G14604" s="22" t="s">
        <v>132</v>
      </c>
      <c r="H14604" s="22" t="s">
        <v>652</v>
      </c>
      <c r="I14604" s="26">
        <v>43514</v>
      </c>
      <c r="J14604" s="28" t="s">
        <v>52</v>
      </c>
      <c r="K14604" s="28" t="s">
        <v>52</v>
      </c>
      <c r="L14604" s="28" t="s">
        <v>52</v>
      </c>
      <c r="M14604" s="28" t="s">
        <v>52</v>
      </c>
      <c r="N14604" s="28" t="s">
        <v>52</v>
      </c>
    </row>
    <row r="14605" spans="1:14" x14ac:dyDescent="0.15">
      <c r="A14605" s="23" t="str">
        <f>HYPERLINK("https://www.spark-marketing.ru/Card/Person/20509", "УПРАВЛЕНИЕ РОСПОТРЕБНАДЗОРА ПО ЧЕЛЯБИНСКОЙ ОБЛАСТИ")</f>
        <v>УПРАВЛЕНИЕ РОСПОТРЕБНАДЗОРА ПО ЧЕЛЯБИНСКОЙ ОБЛАСТИ</v>
      </c>
      <c r="B14605" s="24" t="s">
        <v>16839</v>
      </c>
      <c r="C14605" s="25">
        <v>17500</v>
      </c>
      <c r="D14605" s="22" t="s">
        <v>16852</v>
      </c>
      <c r="E14605" s="22" t="s">
        <v>349</v>
      </c>
      <c r="F14605" s="23" t="str">
        <f>HYPERLINK("https://www.spark-marketing.ru/Card/Lot/68010815", "Оказание услуг по техническому обслуживанию охранной сигнализации на объекте территориального отдела Управления Федеральной службы по надзору в сфере защиты прав потребителей и благополучия человека по Челябинской области в городе Коркино и городе Ем...")</f>
        <v>Оказание услуг по техническому обслуживанию охранной сигнализации на объекте территориального отдела Управления Федеральной службы по надзору в сфере защиты прав потребителей и благополучия человека по Челябинской области в городе Коркино и городе Ем...</v>
      </c>
      <c r="G14605" s="22" t="s">
        <v>60</v>
      </c>
      <c r="H14605" s="22" t="s">
        <v>60</v>
      </c>
      <c r="I14605" s="26">
        <v>43514</v>
      </c>
      <c r="J14605" s="28" t="s">
        <v>52</v>
      </c>
      <c r="K14605" s="28" t="s">
        <v>52</v>
      </c>
      <c r="L14605" s="28" t="s">
        <v>52</v>
      </c>
      <c r="M14605" s="28" t="s">
        <v>52</v>
      </c>
      <c r="N14605" s="28" t="s">
        <v>52</v>
      </c>
    </row>
    <row r="14606" spans="1:14" ht="12.75" hidden="1" outlineLevel="1" x14ac:dyDescent="0.2">
      <c r="A14606" s="23" t="str">
        <f>HYPERLINK("https://www.spark-marketing.ru/Card/Person/20509", "УПРАВЛЕНИЕ РОСПОТРЕБНАДЗОРА ПО ЧЕЛЯБИНСКОЙ ОБЛАСТИ")</f>
        <v>УПРАВЛЕНИЕ РОСПОТРЕБНАДЗОРА ПО ЧЕЛЯБИНСКОЙ ОБЛАСТИ</v>
      </c>
      <c r="B14606" s="24" t="s">
        <v>16839</v>
      </c>
      <c r="C14606" s="25">
        <v>17500</v>
      </c>
      <c r="D14606" s="22" t="s">
        <v>16852</v>
      </c>
      <c r="E14606" s="22" t="s">
        <v>349</v>
      </c>
      <c r="F14606" s="23" t="str">
        <f>HYPERLINK("https://www.spark-marketing.ru/Card/Lot/68010815", "Оказание услуг по техническому обслуживанию охранной сигнализации на объекте территориального отдела Управления Федеральной службы по надзору в сфере защиты прав потребителей и благополучия человека по Челябинской области в городе Коркино и городе Ем...")</f>
        <v>Оказание услуг по техническому обслуживанию охранной сигнализации на объекте территориального отдела Управления Федеральной службы по надзору в сфере защиты прав потребителей и благополучия человека по Челябинской области в городе Коркино и городе Ем...</v>
      </c>
      <c r="G14606" s="22" t="s">
        <v>60</v>
      </c>
      <c r="H14606" s="22" t="s">
        <v>60</v>
      </c>
      <c r="I14606" s="26">
        <v>43514</v>
      </c>
      <c r="J14606" s="23" t="str">
        <f>HYPERLINK("https://www.spark-marketing.ru/Card/Person/10487", "ФГУП ""ОХРАНА"" РОСГВАРДИИ")</f>
        <v>ФГУП "ОХРАНА" РОСГВАРДИИ</v>
      </c>
      <c r="K14606" s="24" t="s">
        <v>779</v>
      </c>
      <c r="L14606" s="22" t="s">
        <v>10</v>
      </c>
      <c r="M14606" s="25">
        <v>14875</v>
      </c>
      <c r="N14606" s="27">
        <v>0.15</v>
      </c>
    </row>
    <row r="14607" spans="1:14" hidden="1" outlineLevel="1" x14ac:dyDescent="0.2">
      <c r="A14607" s="23" t="str">
        <f>HYPERLINK("https://www.spark-marketing.ru/Card/Person/20509", "УПРАВЛЕНИЕ РОСПОТРЕБНАДЗОРА ПО ЧЕЛЯБИНСКОЙ ОБЛАСТИ")</f>
        <v>УПРАВЛЕНИЕ РОСПОТРЕБНАДЗОРА ПО ЧЕЛЯБИНСКОЙ ОБЛАСТИ</v>
      </c>
      <c r="B14607" s="24" t="s">
        <v>16839</v>
      </c>
      <c r="C14607" s="25">
        <v>17500</v>
      </c>
      <c r="D14607" s="22" t="s">
        <v>16852</v>
      </c>
      <c r="E14607" s="22" t="s">
        <v>349</v>
      </c>
      <c r="F14607" s="23" t="str">
        <f>HYPERLINK("https://www.spark-marketing.ru/Card/Lot/68010815", "Оказание услуг по техническому обслуживанию охранной сигнализации на объекте территориального отдела Управления Федеральной службы по надзору в сфере защиты прав потребителей и благополучия человека по Челябинской области в городе Коркино и городе Ем...")</f>
        <v>Оказание услуг по техническому обслуживанию охранной сигнализации на объекте территориального отдела Управления Федеральной службы по надзору в сфере защиты прав потребителей и благополучия человека по Челябинской области в городе Коркино и городе Ем...</v>
      </c>
      <c r="G14607" s="22" t="s">
        <v>60</v>
      </c>
      <c r="H14607" s="22" t="s">
        <v>60</v>
      </c>
      <c r="I14607" s="26">
        <v>43514</v>
      </c>
      <c r="J14607" s="23" t="str">
        <f>HYPERLINK("https://www.spark-marketing.ru/Card/Person/858347", "ООО ""ПРОЕКТНО - МОНТАЖНЫЙ ЦЕНТР - 1""")</f>
        <v>ООО "ПРОЕКТНО - МОНТАЖНЫЙ ЦЕНТР - 1"</v>
      </c>
      <c r="K14607" s="24" t="s">
        <v>16853</v>
      </c>
      <c r="L14607" s="28" t="s">
        <v>52</v>
      </c>
      <c r="M14607" s="25">
        <v>15750</v>
      </c>
      <c r="N14607" s="27">
        <v>0.1</v>
      </c>
    </row>
    <row r="14608" spans="1:14" x14ac:dyDescent="0.15">
      <c r="A14608" s="23" t="str">
        <f>HYPERLINK("https://www.spark-marketing.ru/Card/Person/9804", "МЕЖРЕГИОНАЛЬНОЕ УПРАВЛЕНИЕ РОСПРИРОДНАДЗОРА ПО НИЖЕГОРОДСКОЙ ОБЛАСТИ И РЕСПУБЛИКЕ МОРДОВИЯ")</f>
        <v>МЕЖРЕГИОНАЛЬНОЕ УПРАВЛЕНИЕ РОСПРИРОДНАДЗОРА ПО НИЖЕГОРОДСКОЙ ОБЛАСТИ И РЕСПУБЛИКЕ МОРДОВИЯ</v>
      </c>
      <c r="B14608" s="24" t="s">
        <v>16854</v>
      </c>
      <c r="C14608" s="25">
        <v>174608.01</v>
      </c>
      <c r="D14608" s="22" t="s">
        <v>16855</v>
      </c>
      <c r="E14608" s="22" t="s">
        <v>68</v>
      </c>
      <c r="F14608" s="23" t="str">
        <f>HYPERLINK("https://www.spark-marketing.ru/Card/Lot/68028078", "Оказание услуг по пультовой охране")</f>
        <v>Оказание услуг по пультовой охране</v>
      </c>
      <c r="G14608" s="22" t="s">
        <v>64</v>
      </c>
      <c r="H14608" s="22" t="s">
        <v>65</v>
      </c>
      <c r="I14608" s="26">
        <v>43514</v>
      </c>
      <c r="J14608" s="23" t="str">
        <f>HYPERLINK("https://www.spark-marketing.ru/Card/Person/990706", "ФЛ ФГУП ""Охрана"" Росгвардии по Нижегородской области")</f>
        <v>ФЛ ФГУП "Охрана" Росгвардии по Нижегородской области</v>
      </c>
      <c r="K14608" s="24" t="s">
        <v>779</v>
      </c>
      <c r="L14608" s="22" t="s">
        <v>10</v>
      </c>
      <c r="M14608" s="28" t="s">
        <v>52</v>
      </c>
      <c r="N14608" s="28" t="s">
        <v>52</v>
      </c>
    </row>
    <row r="14609" spans="1:14" x14ac:dyDescent="0.15">
      <c r="A14609" s="23" t="str">
        <f>HYPERLINK("https://www.spark-marketing.ru/Card/Person/36630", "ГБУЗ ЯНАО ""ЛГБ""")</f>
        <v>ГБУЗ ЯНАО "ЛГБ"</v>
      </c>
      <c r="B14609" s="24" t="s">
        <v>16856</v>
      </c>
      <c r="C14609" s="25">
        <v>228964.56</v>
      </c>
      <c r="D14609" s="22" t="s">
        <v>16857</v>
      </c>
      <c r="E14609" s="22" t="s">
        <v>68</v>
      </c>
      <c r="F14609" s="23" t="str">
        <f>HYPERLINK("https://www.spark-marketing.ru/Card/Lot/68039396", "Оказание услуг по охране объектов")</f>
        <v>Оказание услуг по охране объектов</v>
      </c>
      <c r="G14609" s="22" t="s">
        <v>311</v>
      </c>
      <c r="H14609" s="22" t="s">
        <v>16858</v>
      </c>
      <c r="I14609" s="26">
        <v>43514</v>
      </c>
      <c r="J14609" s="28" t="s">
        <v>52</v>
      </c>
      <c r="K14609" s="28" t="s">
        <v>52</v>
      </c>
      <c r="L14609" s="28" t="s">
        <v>52</v>
      </c>
      <c r="M14609" s="28" t="s">
        <v>52</v>
      </c>
      <c r="N14609" s="28" t="s">
        <v>52</v>
      </c>
    </row>
    <row r="14610" spans="1:14" x14ac:dyDescent="0.15">
      <c r="A14610" s="23" t="str">
        <f>HYPERLINK("https://www.spark-marketing.ru/Card/Person/255511", "МБУ ""ДОЛ ""ЗАНГАР КУЛЬ""")</f>
        <v>МБУ "ДОЛ "ЗАНГАР КУЛЬ"</v>
      </c>
      <c r="B14610" s="24" t="s">
        <v>16859</v>
      </c>
      <c r="C14610" s="25">
        <v>15000</v>
      </c>
      <c r="D14610" s="22" t="s">
        <v>16860</v>
      </c>
      <c r="E14610" s="22" t="s">
        <v>107</v>
      </c>
      <c r="F14610" s="23" t="str">
        <f>HYPERLINK("https://www.spark-marketing.ru/Card/Lot/68043022", "Оказание услуг по техническому обслуживанию комплекса технических средств охраны для МБУ ""Детский оздоровительный лагерь ""Зангар Куль"" НМР РТ (СМП и СОНО)")</f>
        <v>Оказание услуг по техническому обслуживанию комплекса технических средств охраны для МБУ "Детский оздоровительный лагерь "Зангар Куль" НМР РТ (СМП и СОНО)</v>
      </c>
      <c r="G14610" s="22" t="s">
        <v>204</v>
      </c>
      <c r="H14610" s="22" t="s">
        <v>3467</v>
      </c>
      <c r="I14610" s="26">
        <v>43514</v>
      </c>
      <c r="J14610" s="23" t="str">
        <f>HYPERLINK("https://www.spark-marketing.ru/Card/Person/1127865", "ООО ""МОДУЛЬ-РАДИО""")</f>
        <v>ООО "МОДУЛЬ-РАДИО"</v>
      </c>
      <c r="K14610" s="24" t="s">
        <v>16861</v>
      </c>
      <c r="L14610" s="22" t="s">
        <v>10</v>
      </c>
      <c r="M14610" s="28" t="s">
        <v>52</v>
      </c>
      <c r="N14610" s="28" t="s">
        <v>52</v>
      </c>
    </row>
    <row r="14611" spans="1:14" x14ac:dyDescent="0.15">
      <c r="A14611" s="23" t="str">
        <f>HYPERLINK("https://www.spark-marketing.ru/Card/Person/4473", "ГКУ НСО ""ФИ НСО""")</f>
        <v>ГКУ НСО "ФИ НСО"</v>
      </c>
      <c r="B14611" s="24" t="s">
        <v>16804</v>
      </c>
      <c r="C14611" s="25">
        <v>11199.99</v>
      </c>
      <c r="D14611" s="22" t="s">
        <v>16862</v>
      </c>
      <c r="E14611" s="22" t="s">
        <v>591</v>
      </c>
      <c r="F14611" s="23" t="str">
        <f>HYPERLINK("https://www.spark-marketing.ru/Card/Lot/68010889", "Оказание услуг по проведению экспертизы оказанных охранных услуг на объекте по адресу: НСО, р.п. Колывань, ул. Кирова, 68")</f>
        <v>Оказание услуг по проведению экспертизы оказанных охранных услуг на объекте по адресу: НСО, р.п. Колывань, ул. Кирова, 68</v>
      </c>
      <c r="G14611" s="22" t="s">
        <v>209</v>
      </c>
      <c r="H14611" s="22" t="s">
        <v>210</v>
      </c>
      <c r="I14611" s="26">
        <v>43514</v>
      </c>
      <c r="J14611" s="28" t="s">
        <v>52</v>
      </c>
      <c r="K14611" s="28" t="s">
        <v>52</v>
      </c>
      <c r="L14611" s="28" t="s">
        <v>52</v>
      </c>
      <c r="M14611" s="28" t="s">
        <v>52</v>
      </c>
      <c r="N14611" s="28" t="s">
        <v>52</v>
      </c>
    </row>
    <row r="14612" spans="1:14" ht="12.75" hidden="1" outlineLevel="1" x14ac:dyDescent="0.2">
      <c r="A14612" s="23" t="str">
        <f>HYPERLINK("https://www.spark-marketing.ru/Card/Person/4473", "ГКУ НСО ""ФИ НСО""")</f>
        <v>ГКУ НСО "ФИ НСО"</v>
      </c>
      <c r="B14612" s="24" t="s">
        <v>16804</v>
      </c>
      <c r="C14612" s="25">
        <v>11199.99</v>
      </c>
      <c r="D14612" s="22" t="s">
        <v>16862</v>
      </c>
      <c r="E14612" s="22" t="s">
        <v>591</v>
      </c>
      <c r="F14612" s="23" t="str">
        <f>HYPERLINK("https://www.spark-marketing.ru/Card/Lot/68010889", "Оказание услуг по проведению экспертизы оказанных охранных услуг на объекте по адресу: НСО, р.п. Колывань, ул. Кирова, 68")</f>
        <v>Оказание услуг по проведению экспертизы оказанных охранных услуг на объекте по адресу: НСО, р.п. Колывань, ул. Кирова, 68</v>
      </c>
      <c r="G14612" s="22" t="s">
        <v>209</v>
      </c>
      <c r="H14612" s="22" t="s">
        <v>210</v>
      </c>
      <c r="I14612" s="26">
        <v>43514</v>
      </c>
      <c r="J14612" s="23" t="str">
        <f>HYPERLINK("https://www.spark-marketing.ru/Card/Person/6501774", "РООООР ФКЦ РОС В НОВОСИБИРСКОЙ ОБЛАСТИ")</f>
        <v>РООООР ФКЦ РОС В НОВОСИБИРСКОЙ ОБЛАСТИ</v>
      </c>
      <c r="K14612" s="24" t="s">
        <v>16806</v>
      </c>
      <c r="L14612" s="22" t="s">
        <v>10</v>
      </c>
      <c r="M14612" s="25">
        <v>10999.99</v>
      </c>
      <c r="N14612" s="27">
        <v>1.7857158801034643E-2</v>
      </c>
    </row>
    <row r="14613" spans="1:14" hidden="1" outlineLevel="1" x14ac:dyDescent="0.2">
      <c r="A14613" s="23" t="str">
        <f>HYPERLINK("https://www.spark-marketing.ru/Card/Person/4473", "ГКУ НСО ""ФИ НСО""")</f>
        <v>ГКУ НСО "ФИ НСО"</v>
      </c>
      <c r="B14613" s="24" t="s">
        <v>16804</v>
      </c>
      <c r="C14613" s="25">
        <v>11199.99</v>
      </c>
      <c r="D14613" s="22" t="s">
        <v>16862</v>
      </c>
      <c r="E14613" s="22" t="s">
        <v>591</v>
      </c>
      <c r="F14613" s="23" t="str">
        <f>HYPERLINK("https://www.spark-marketing.ru/Card/Lot/68010889", "Оказание услуг по проведению экспертизы оказанных охранных услуг на объекте по адресу: НСО, р.п. Колывань, ул. Кирова, 68")</f>
        <v>Оказание услуг по проведению экспертизы оказанных охранных услуг на объекте по адресу: НСО, р.п. Колывань, ул. Кирова, 68</v>
      </c>
      <c r="G14613" s="22" t="s">
        <v>209</v>
      </c>
      <c r="H14613" s="22" t="s">
        <v>210</v>
      </c>
      <c r="I14613" s="26">
        <v>43514</v>
      </c>
      <c r="J14613" s="23" t="str">
        <f>HYPERLINK("https://www.spark-marketing.ru/Card/Person/115641", "ООО ЧОП ""ЛУННЫЙ СВЕТ""")</f>
        <v>ООО ЧОП "ЛУННЫЙ СВЕТ"</v>
      </c>
      <c r="K14613" s="24" t="s">
        <v>16807</v>
      </c>
      <c r="L14613" s="28" t="s">
        <v>52</v>
      </c>
      <c r="M14613" s="25">
        <v>11099.99</v>
      </c>
      <c r="N14613" s="27">
        <v>8.9285794005173214E-3</v>
      </c>
    </row>
    <row r="14614" spans="1:14" x14ac:dyDescent="0.15">
      <c r="A14614" s="23" t="str">
        <f>HYPERLINK("https://www.spark-marketing.ru/Card/Person/51632", "СУ СК РОССИИ ПО КАМЧАТСКОМУ КРАЮ")</f>
        <v>СУ СК РОССИИ ПО КАМЧАТСКОМУ КРАЮ</v>
      </c>
      <c r="B14614" s="24" t="s">
        <v>13551</v>
      </c>
      <c r="C14614" s="25">
        <v>257544</v>
      </c>
      <c r="D14614" s="22" t="s">
        <v>16863</v>
      </c>
      <c r="E14614" s="22" t="s">
        <v>68</v>
      </c>
      <c r="F14614" s="23" t="str">
        <f>HYPERLINK("https://www.spark-marketing.ru/Card/Lot/68010237", "Услуги охраны объектов СУ при помощи ПЦУ")</f>
        <v>Услуги охраны объектов СУ при помощи ПЦУ</v>
      </c>
      <c r="G14614" s="22" t="s">
        <v>1141</v>
      </c>
      <c r="H14614" s="22" t="s">
        <v>1142</v>
      </c>
      <c r="I14614" s="26">
        <v>43514</v>
      </c>
      <c r="J14614" s="28" t="s">
        <v>52</v>
      </c>
      <c r="K14614" s="28" t="s">
        <v>52</v>
      </c>
      <c r="L14614" s="28" t="s">
        <v>52</v>
      </c>
      <c r="M14614" s="28" t="s">
        <v>52</v>
      </c>
      <c r="N14614" s="28" t="s">
        <v>52</v>
      </c>
    </row>
    <row r="14615" spans="1:14" x14ac:dyDescent="0.15">
      <c r="A14615" s="23" t="str">
        <f>HYPERLINK("https://www.spark-marketing.ru/Card/Person/4473", "ГКУ НСО ""ФИ НСО""")</f>
        <v>ГКУ НСО "ФИ НСО"</v>
      </c>
      <c r="B14615" s="24" t="s">
        <v>16804</v>
      </c>
      <c r="C14615" s="25">
        <v>44000</v>
      </c>
      <c r="D14615" s="22" t="s">
        <v>16864</v>
      </c>
      <c r="E14615" s="22" t="s">
        <v>591</v>
      </c>
      <c r="F14615" s="23" t="str">
        <f>HYPERLINK("https://www.spark-marketing.ru/Card/Lot/68008649", "Оказание услуг по проведению экспертизы оказанных охранных услуг на объекте по адресу: НСО, г.Барабинск, ул.Воронкова, 16")</f>
        <v>Оказание услуг по проведению экспертизы оказанных охранных услуг на объекте по адресу: НСО, г.Барабинск, ул.Воронкова, 16</v>
      </c>
      <c r="G14615" s="22" t="s">
        <v>209</v>
      </c>
      <c r="H14615" s="22" t="s">
        <v>210</v>
      </c>
      <c r="I14615" s="26">
        <v>43514</v>
      </c>
      <c r="J14615" s="28" t="s">
        <v>52</v>
      </c>
      <c r="K14615" s="28" t="s">
        <v>52</v>
      </c>
      <c r="L14615" s="28" t="s">
        <v>52</v>
      </c>
      <c r="M14615" s="28" t="s">
        <v>52</v>
      </c>
      <c r="N14615" s="28" t="s">
        <v>52</v>
      </c>
    </row>
    <row r="14616" spans="1:14" hidden="1" outlineLevel="1" x14ac:dyDescent="0.2">
      <c r="A14616" s="23" t="str">
        <f>HYPERLINK("https://www.spark-marketing.ru/Card/Person/4473", "ГКУ НСО ""ФИ НСО""")</f>
        <v>ГКУ НСО "ФИ НСО"</v>
      </c>
      <c r="B14616" s="24" t="s">
        <v>16804</v>
      </c>
      <c r="C14616" s="25">
        <v>44000</v>
      </c>
      <c r="D14616" s="22" t="s">
        <v>16864</v>
      </c>
      <c r="E14616" s="22" t="s">
        <v>591</v>
      </c>
      <c r="F14616" s="23" t="str">
        <f>HYPERLINK("https://www.spark-marketing.ru/Card/Lot/68008649", "Оказание услуг по проведению экспертизы оказанных охранных услуг на объекте по адресу: НСО, г.Барабинск, ул.Воронкова, 16")</f>
        <v>Оказание услуг по проведению экспертизы оказанных охранных услуг на объекте по адресу: НСО, г.Барабинск, ул.Воронкова, 16</v>
      </c>
      <c r="G14616" s="22" t="s">
        <v>209</v>
      </c>
      <c r="H14616" s="22" t="s">
        <v>210</v>
      </c>
      <c r="I14616" s="26">
        <v>43514</v>
      </c>
      <c r="J14616" s="23" t="str">
        <f>HYPERLINK("https://www.spark-marketing.ru/Card/Person/6501774", "РООООР ФКЦ РОС В НОВОСИБИРСКОЙ ОБЛАСТИ")</f>
        <v>РООООР ФКЦ РОС В НОВОСИБИРСКОЙ ОБЛАСТИ</v>
      </c>
      <c r="K14616" s="24" t="s">
        <v>16806</v>
      </c>
      <c r="L14616" s="28" t="s">
        <v>52</v>
      </c>
      <c r="M14616" s="25">
        <v>43999.99</v>
      </c>
      <c r="N14616" s="27">
        <v>2.2727272727272726E-7</v>
      </c>
    </row>
    <row r="14617" spans="1:14" ht="12.75" hidden="1" outlineLevel="1" x14ac:dyDescent="0.2">
      <c r="A14617" s="23" t="str">
        <f>HYPERLINK("https://www.spark-marketing.ru/Card/Person/4473", "ГКУ НСО ""ФИ НСО""")</f>
        <v>ГКУ НСО "ФИ НСО"</v>
      </c>
      <c r="B14617" s="24" t="s">
        <v>16804</v>
      </c>
      <c r="C14617" s="25">
        <v>44000</v>
      </c>
      <c r="D14617" s="22" t="s">
        <v>16864</v>
      </c>
      <c r="E14617" s="22" t="s">
        <v>591</v>
      </c>
      <c r="F14617" s="23" t="str">
        <f>HYPERLINK("https://www.spark-marketing.ru/Card/Lot/68008649", "Оказание услуг по проведению экспертизы оказанных охранных услуг на объекте по адресу: НСО, г.Барабинск, ул.Воронкова, 16")</f>
        <v>Оказание услуг по проведению экспертизы оказанных охранных услуг на объекте по адресу: НСО, г.Барабинск, ул.Воронкова, 16</v>
      </c>
      <c r="G14617" s="22" t="s">
        <v>209</v>
      </c>
      <c r="H14617" s="22" t="s">
        <v>210</v>
      </c>
      <c r="I14617" s="26">
        <v>43514</v>
      </c>
      <c r="J14617" s="23" t="str">
        <f>HYPERLINK("https://www.spark-marketing.ru/Card/Person/115641", "ООО ЧОП ""ЛУННЫЙ СВЕТ""")</f>
        <v>ООО ЧОП "ЛУННЫЙ СВЕТ"</v>
      </c>
      <c r="K14617" s="24" t="s">
        <v>16807</v>
      </c>
      <c r="L14617" s="22" t="s">
        <v>10</v>
      </c>
      <c r="M14617" s="25">
        <v>43780</v>
      </c>
      <c r="N14617" s="27">
        <v>5.0000000000000001E-3</v>
      </c>
    </row>
    <row r="14618" spans="1:14" x14ac:dyDescent="0.15">
      <c r="A14618" s="23" t="str">
        <f>HYPERLINK("https://www.spark-marketing.ru/Card/Person/20509", "УПРАВЛЕНИЕ РОСПОТРЕБНАДЗОРА ПО ЧЕЛЯБИНСКОЙ ОБЛАСТИ")</f>
        <v>УПРАВЛЕНИЕ РОСПОТРЕБНАДЗОРА ПО ЧЕЛЯБИНСКОЙ ОБЛАСТИ</v>
      </c>
      <c r="B14618" s="24" t="s">
        <v>16839</v>
      </c>
      <c r="C14618" s="25">
        <v>35000</v>
      </c>
      <c r="D14618" s="22" t="s">
        <v>16865</v>
      </c>
      <c r="E14618" s="22" t="s">
        <v>349</v>
      </c>
      <c r="F14618" s="23" t="str">
        <f>HYPERLINK("https://www.spark-marketing.ru/Card/Lot/68010838", "Оказание услуг по техническому обслуживанию охранной сигнализации на объектах территориального отдела Управления Федеральной службы по надзору в сфере защиты прав потребителей и благополучия человека по Челябинской области в г. Кыштыме и г. Верхнем У...")</f>
        <v>Оказание услуг по техническому обслуживанию охранной сигнализации на объектах территориального отдела Управления Федеральной службы по надзору в сфере защиты прав потребителей и благополучия человека по Челябинской области в г. Кыштыме и г. Верхнем У...</v>
      </c>
      <c r="G14618" s="22" t="s">
        <v>60</v>
      </c>
      <c r="H14618" s="22" t="s">
        <v>60</v>
      </c>
      <c r="I14618" s="26">
        <v>43514</v>
      </c>
      <c r="J14618" s="28" t="s">
        <v>52</v>
      </c>
      <c r="K14618" s="28" t="s">
        <v>52</v>
      </c>
      <c r="L14618" s="28" t="s">
        <v>52</v>
      </c>
      <c r="M14618" s="28" t="s">
        <v>52</v>
      </c>
      <c r="N14618" s="28" t="s">
        <v>52</v>
      </c>
    </row>
    <row r="14619" spans="1:14" hidden="1" outlineLevel="1" x14ac:dyDescent="0.2">
      <c r="A14619" s="23" t="str">
        <f>HYPERLINK("https://www.spark-marketing.ru/Card/Person/20509", "УПРАВЛЕНИЕ РОСПОТРЕБНАДЗОРА ПО ЧЕЛЯБИНСКОЙ ОБЛАСТИ")</f>
        <v>УПРАВЛЕНИЕ РОСПОТРЕБНАДЗОРА ПО ЧЕЛЯБИНСКОЙ ОБЛАСТИ</v>
      </c>
      <c r="B14619" s="24" t="s">
        <v>16839</v>
      </c>
      <c r="C14619" s="25">
        <v>35000</v>
      </c>
      <c r="D14619" s="22" t="s">
        <v>16865</v>
      </c>
      <c r="E14619" s="22" t="s">
        <v>349</v>
      </c>
      <c r="F14619" s="23" t="str">
        <f>HYPERLINK("https://www.spark-marketing.ru/Card/Lot/68010838", "Оказание услуг по техническому обслуживанию охранной сигнализации на объектах территориального отдела Управления Федеральной службы по надзору в сфере защиты прав потребителей и благополучия человека по Челябинской области в г. Кыштыме и г. Верхнем У...")</f>
        <v>Оказание услуг по техническому обслуживанию охранной сигнализации на объектах территориального отдела Управления Федеральной службы по надзору в сфере защиты прав потребителей и благополучия человека по Челябинской области в г. Кыштыме и г. Верхнем У...</v>
      </c>
      <c r="G14619" s="22" t="s">
        <v>60</v>
      </c>
      <c r="H14619" s="22" t="s">
        <v>60</v>
      </c>
      <c r="I14619" s="26">
        <v>43514</v>
      </c>
      <c r="J14619" s="23" t="str">
        <f>HYPERLINK("https://www.spark-marketing.ru/Card/Person/10487", "ФГУП ""ОХРАНА"" РОСГВАРДИИ")</f>
        <v>ФГУП "ОХРАНА" РОСГВАРДИИ</v>
      </c>
      <c r="K14619" s="24" t="s">
        <v>779</v>
      </c>
      <c r="L14619" s="28" t="s">
        <v>52</v>
      </c>
      <c r="M14619" s="25">
        <v>20300</v>
      </c>
      <c r="N14619" s="27">
        <v>0.42</v>
      </c>
    </row>
    <row r="14620" spans="1:14" ht="12.75" hidden="1" outlineLevel="1" x14ac:dyDescent="0.2">
      <c r="A14620" s="23" t="str">
        <f>HYPERLINK("https://www.spark-marketing.ru/Card/Person/20509", "УПРАВЛЕНИЕ РОСПОТРЕБНАДЗОРА ПО ЧЕЛЯБИНСКОЙ ОБЛАСТИ")</f>
        <v>УПРАВЛЕНИЕ РОСПОТРЕБНАДЗОРА ПО ЧЕЛЯБИНСКОЙ ОБЛАСТИ</v>
      </c>
      <c r="B14620" s="24" t="s">
        <v>16839</v>
      </c>
      <c r="C14620" s="25">
        <v>35000</v>
      </c>
      <c r="D14620" s="22" t="s">
        <v>16865</v>
      </c>
      <c r="E14620" s="22" t="s">
        <v>349</v>
      </c>
      <c r="F14620" s="23" t="str">
        <f>HYPERLINK("https://www.spark-marketing.ru/Card/Lot/68010838", "Оказание услуг по техническому обслуживанию охранной сигнализации на объектах территориального отдела Управления Федеральной службы по надзору в сфере защиты прав потребителей и благополучия человека по Челябинской области в г. Кыштыме и г. Верхнем У...")</f>
        <v>Оказание услуг по техническому обслуживанию охранной сигнализации на объектах территориального отдела Управления Федеральной службы по надзору в сфере защиты прав потребителей и благополучия человека по Челябинской области в г. Кыштыме и г. Верхнем У...</v>
      </c>
      <c r="G14620" s="22" t="s">
        <v>60</v>
      </c>
      <c r="H14620" s="22" t="s">
        <v>60</v>
      </c>
      <c r="I14620" s="26">
        <v>43514</v>
      </c>
      <c r="J14620" s="23" t="str">
        <f>HYPERLINK("https://www.spark-marketing.ru/Card/Person/556482", "ООО ""ШАНС""")</f>
        <v>ООО "ШАНС"</v>
      </c>
      <c r="K14620" s="24" t="s">
        <v>16866</v>
      </c>
      <c r="L14620" s="22" t="s">
        <v>10</v>
      </c>
      <c r="M14620" s="25">
        <v>20125</v>
      </c>
      <c r="N14620" s="27">
        <v>0.42499999999999999</v>
      </c>
    </row>
    <row r="14621" spans="1:14" hidden="1" outlineLevel="1" x14ac:dyDescent="0.2">
      <c r="A14621" s="23" t="str">
        <f>HYPERLINK("https://www.spark-marketing.ru/Card/Person/20509", "УПРАВЛЕНИЕ РОСПОТРЕБНАДЗОРА ПО ЧЕЛЯБИНСКОЙ ОБЛАСТИ")</f>
        <v>УПРАВЛЕНИЕ РОСПОТРЕБНАДЗОРА ПО ЧЕЛЯБИНСКОЙ ОБЛАСТИ</v>
      </c>
      <c r="B14621" s="24" t="s">
        <v>16839</v>
      </c>
      <c r="C14621" s="25">
        <v>35000</v>
      </c>
      <c r="D14621" s="22" t="s">
        <v>16865</v>
      </c>
      <c r="E14621" s="22" t="s">
        <v>349</v>
      </c>
      <c r="F14621" s="23" t="str">
        <f>HYPERLINK("https://www.spark-marketing.ru/Card/Lot/68010838", "Оказание услуг по техническому обслуживанию охранной сигнализации на объектах территориального отдела Управления Федеральной службы по надзору в сфере защиты прав потребителей и благополучия человека по Челябинской области в г. Кыштыме и г. Верхнем У...")</f>
        <v>Оказание услуг по техническому обслуживанию охранной сигнализации на объектах территориального отдела Управления Федеральной службы по надзору в сфере защиты прав потребителей и благополучия человека по Челябинской области в г. Кыштыме и г. Верхнем У...</v>
      </c>
      <c r="G14621" s="22" t="s">
        <v>60</v>
      </c>
      <c r="H14621" s="22" t="s">
        <v>60</v>
      </c>
      <c r="I14621" s="26">
        <v>43514</v>
      </c>
      <c r="J14621" s="23" t="str">
        <f>HYPERLINK("https://www.spark-marketing.ru/Card/Person/858347", "ООО ""ПРОЕКТНО - МОНТАЖНЫЙ ЦЕНТР - 1""")</f>
        <v>ООО "ПРОЕКТНО - МОНТАЖНЫЙ ЦЕНТР - 1"</v>
      </c>
      <c r="K14621" s="24" t="s">
        <v>16853</v>
      </c>
      <c r="L14621" s="28" t="s">
        <v>52</v>
      </c>
      <c r="M14621" s="25">
        <v>34300</v>
      </c>
      <c r="N14621" s="27">
        <v>0.02</v>
      </c>
    </row>
    <row r="14622" spans="1:14" x14ac:dyDescent="0.15">
      <c r="A14622" s="23" t="str">
        <f>HYPERLINK("https://www.spark-marketing.ru/Card/Person/19478", "МИНЮСТ РД")</f>
        <v>МИНЮСТ РД</v>
      </c>
      <c r="B14622" s="24" t="s">
        <v>5733</v>
      </c>
      <c r="C14622" s="25">
        <v>29343.599999999999</v>
      </c>
      <c r="D14622" s="22" t="s">
        <v>16867</v>
      </c>
      <c r="E14622" s="22" t="s">
        <v>68</v>
      </c>
      <c r="F14622" s="23" t="str">
        <f>HYPERLINK("https://www.spark-marketing.ru/Card/Lot/68022766", "Услуги по экстренному выезду группы задержания")</f>
        <v>Услуги по экстренному выезду группы задержания</v>
      </c>
      <c r="G14622" s="22" t="s">
        <v>595</v>
      </c>
      <c r="H14622" s="22" t="s">
        <v>3766</v>
      </c>
      <c r="I14622" s="26">
        <v>43514</v>
      </c>
      <c r="J14622" s="28" t="s">
        <v>52</v>
      </c>
      <c r="K14622" s="28" t="s">
        <v>52</v>
      </c>
      <c r="L14622" s="28" t="s">
        <v>52</v>
      </c>
      <c r="M14622" s="28" t="s">
        <v>52</v>
      </c>
      <c r="N14622" s="28" t="s">
        <v>52</v>
      </c>
    </row>
    <row r="14623" spans="1:14" x14ac:dyDescent="0.15">
      <c r="A14623" s="23" t="str">
        <f t="shared" ref="A14623:A14628" si="767">HYPERLINK("https://www.spark-marketing.ru/Card/Person/297950", "ГБУЗ КК ЕРСП")</f>
        <v>ГБУЗ КК ЕРСП</v>
      </c>
      <c r="B14623" s="24" t="s">
        <v>16868</v>
      </c>
      <c r="C14623" s="25">
        <v>164000.4</v>
      </c>
      <c r="D14623" s="22" t="s">
        <v>16869</v>
      </c>
      <c r="E14623" s="22" t="s">
        <v>103</v>
      </c>
      <c r="F14623" s="23" t="str">
        <f t="shared" ref="F14623:F14628" si="768">HYPERLINK("https://www.spark-marketing.ru/Card/Lot/68009810", "техническое обслуживание системы видеонаблюдения")</f>
        <v>техническое обслуживание системы видеонаблюдения</v>
      </c>
      <c r="G14623" s="22" t="s">
        <v>1141</v>
      </c>
      <c r="H14623" s="22" t="s">
        <v>16870</v>
      </c>
      <c r="I14623" s="26">
        <v>43514</v>
      </c>
      <c r="J14623" s="28" t="s">
        <v>52</v>
      </c>
      <c r="K14623" s="28" t="s">
        <v>52</v>
      </c>
      <c r="L14623" s="28" t="s">
        <v>52</v>
      </c>
      <c r="M14623" s="28" t="s">
        <v>52</v>
      </c>
      <c r="N14623" s="28" t="s">
        <v>52</v>
      </c>
    </row>
    <row r="14624" spans="1:14" ht="12.75" hidden="1" outlineLevel="1" x14ac:dyDescent="0.2">
      <c r="A14624" s="23" t="str">
        <f t="shared" si="767"/>
        <v>ГБУЗ КК ЕРСП</v>
      </c>
      <c r="B14624" s="24" t="s">
        <v>16868</v>
      </c>
      <c r="C14624" s="25">
        <v>164000.4</v>
      </c>
      <c r="D14624" s="22" t="s">
        <v>16869</v>
      </c>
      <c r="E14624" s="22" t="s">
        <v>103</v>
      </c>
      <c r="F14624" s="23" t="str">
        <f t="shared" si="768"/>
        <v>техническое обслуживание системы видеонаблюдения</v>
      </c>
      <c r="G14624" s="22" t="s">
        <v>1141</v>
      </c>
      <c r="H14624" s="22" t="s">
        <v>16870</v>
      </c>
      <c r="I14624" s="26">
        <v>43514</v>
      </c>
      <c r="J14624" s="23" t="str">
        <f>HYPERLINK("https://www.spark-marketing.ru/Card/Person/350089", "ООО ""ИНТЕГРАЛ -СБ""")</f>
        <v>ООО "ИНТЕГРАЛ -СБ"</v>
      </c>
      <c r="K14624" s="24" t="s">
        <v>7584</v>
      </c>
      <c r="L14624" s="22" t="s">
        <v>10</v>
      </c>
      <c r="M14624" s="25">
        <v>122180.38</v>
      </c>
      <c r="N14624" s="27">
        <v>0.25499950000121951</v>
      </c>
    </row>
    <row r="14625" spans="1:14" hidden="1" outlineLevel="1" x14ac:dyDescent="0.2">
      <c r="A14625" s="23" t="str">
        <f t="shared" si="767"/>
        <v>ГБУЗ КК ЕРСП</v>
      </c>
      <c r="B14625" s="24" t="s">
        <v>16868</v>
      </c>
      <c r="C14625" s="25">
        <v>164000.4</v>
      </c>
      <c r="D14625" s="22" t="s">
        <v>16869</v>
      </c>
      <c r="E14625" s="22" t="s">
        <v>103</v>
      </c>
      <c r="F14625" s="23" t="str">
        <f t="shared" si="768"/>
        <v>техническое обслуживание системы видеонаблюдения</v>
      </c>
      <c r="G14625" s="22" t="s">
        <v>1141</v>
      </c>
      <c r="H14625" s="22" t="s">
        <v>16870</v>
      </c>
      <c r="I14625" s="26">
        <v>43514</v>
      </c>
      <c r="J14625" s="23" t="str">
        <f>HYPERLINK("https://www.spark-marketing.ru/Card/Person/4481765", "ООО ""КАМЭНЕРГОСТРОЙ""")</f>
        <v>ООО "КАМЭНЕРГОСТРОЙ"</v>
      </c>
      <c r="K14625" s="24" t="s">
        <v>16871</v>
      </c>
      <c r="L14625" s="28" t="s">
        <v>52</v>
      </c>
      <c r="M14625" s="25">
        <v>122180.38</v>
      </c>
      <c r="N14625" s="27">
        <v>0.25499950000121951</v>
      </c>
    </row>
    <row r="14626" spans="1:14" hidden="1" outlineLevel="1" x14ac:dyDescent="0.2">
      <c r="A14626" s="23" t="str">
        <f t="shared" si="767"/>
        <v>ГБУЗ КК ЕРСП</v>
      </c>
      <c r="B14626" s="24" t="s">
        <v>16868</v>
      </c>
      <c r="C14626" s="25">
        <v>164000.4</v>
      </c>
      <c r="D14626" s="22" t="s">
        <v>16869</v>
      </c>
      <c r="E14626" s="22" t="s">
        <v>103</v>
      </c>
      <c r="F14626" s="23" t="str">
        <f t="shared" si="768"/>
        <v>техническое обслуживание системы видеонаблюдения</v>
      </c>
      <c r="G14626" s="22" t="s">
        <v>1141</v>
      </c>
      <c r="H14626" s="22" t="s">
        <v>16870</v>
      </c>
      <c r="I14626" s="26">
        <v>43514</v>
      </c>
      <c r="J14626" s="23" t="str">
        <f>HYPERLINK("https://www.spark-marketing.ru/Card/Person/4475151", "ООО ""ФЁСТ""")</f>
        <v>ООО "ФЁСТ"</v>
      </c>
      <c r="K14626" s="24" t="s">
        <v>16872</v>
      </c>
      <c r="L14626" s="28" t="s">
        <v>52</v>
      </c>
      <c r="M14626" s="25">
        <v>154980.38</v>
      </c>
      <c r="N14626" s="27">
        <v>5.4999987804907793E-2</v>
      </c>
    </row>
    <row r="14627" spans="1:14" hidden="1" outlineLevel="1" x14ac:dyDescent="0.2">
      <c r="A14627" s="23" t="str">
        <f t="shared" si="767"/>
        <v>ГБУЗ КК ЕРСП</v>
      </c>
      <c r="B14627" s="24" t="s">
        <v>16868</v>
      </c>
      <c r="C14627" s="25">
        <v>164000.4</v>
      </c>
      <c r="D14627" s="22" t="s">
        <v>16869</v>
      </c>
      <c r="E14627" s="22" t="s">
        <v>103</v>
      </c>
      <c r="F14627" s="23" t="str">
        <f t="shared" si="768"/>
        <v>техническое обслуживание системы видеонаблюдения</v>
      </c>
      <c r="G14627" s="22" t="s">
        <v>1141</v>
      </c>
      <c r="H14627" s="22" t="s">
        <v>16870</v>
      </c>
      <c r="I14627" s="26">
        <v>43514</v>
      </c>
      <c r="J14627" s="23" t="str">
        <f>HYPERLINK("https://www.spark-marketing.ru/Card/Person/4853249", "ООО ""НПО ""СПЕЦПРОЕКТМОНТАЖ""")</f>
        <v>ООО "НПО "СПЕЦПРОЕКТМОНТАЖ"</v>
      </c>
      <c r="K14627" s="24" t="s">
        <v>10829</v>
      </c>
      <c r="L14627" s="28" t="s">
        <v>52</v>
      </c>
      <c r="M14627" s="25">
        <v>149240.38</v>
      </c>
      <c r="N14627" s="27">
        <v>8.9999902439262341E-2</v>
      </c>
    </row>
    <row r="14628" spans="1:14" hidden="1" outlineLevel="1" x14ac:dyDescent="0.2">
      <c r="A14628" s="23" t="str">
        <f t="shared" si="767"/>
        <v>ГБУЗ КК ЕРСП</v>
      </c>
      <c r="B14628" s="24" t="s">
        <v>16868</v>
      </c>
      <c r="C14628" s="25">
        <v>164000.4</v>
      </c>
      <c r="D14628" s="22" t="s">
        <v>16869</v>
      </c>
      <c r="E14628" s="22" t="s">
        <v>103</v>
      </c>
      <c r="F14628" s="23" t="str">
        <f t="shared" si="768"/>
        <v>техническое обслуживание системы видеонаблюдения</v>
      </c>
      <c r="G14628" s="22" t="s">
        <v>1141</v>
      </c>
      <c r="H14628" s="22" t="s">
        <v>16870</v>
      </c>
      <c r="I14628" s="26">
        <v>43514</v>
      </c>
      <c r="J14628" s="23" t="str">
        <f>HYPERLINK("https://www.spark-marketing.ru/Card/Person/266544", "ООО ""БАГГЕР""")</f>
        <v>ООО "БАГГЕР"</v>
      </c>
      <c r="K14628" s="24" t="s">
        <v>16873</v>
      </c>
      <c r="L14628" s="28" t="s">
        <v>52</v>
      </c>
      <c r="M14628" s="25">
        <v>123820.38</v>
      </c>
      <c r="N14628" s="27">
        <v>0.24499952439140393</v>
      </c>
    </row>
    <row r="14629" spans="1:14" x14ac:dyDescent="0.15">
      <c r="A14629" s="23" t="str">
        <f>HYPERLINK("https://www.spark-marketing.ru/Card/Person/1037486", "МУ ДО НОВОМАЛЫКЛИНСКИЙ РЦВР ""АЛЫЕ ПАРУСА""")</f>
        <v>МУ ДО НОВОМАЛЫКЛИНСКИЙ РЦВР "АЛЫЕ ПАРУСА"</v>
      </c>
      <c r="B14629" s="24" t="s">
        <v>16874</v>
      </c>
      <c r="C14629" s="25">
        <v>16200</v>
      </c>
      <c r="D14629" s="22" t="s">
        <v>16875</v>
      </c>
      <c r="E14629" s="22" t="s">
        <v>68</v>
      </c>
      <c r="F14629" s="23" t="str">
        <f>HYPERLINK("https://www.spark-marketing.ru/Card/Lot/68038995",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4629" s="22" t="s">
        <v>446</v>
      </c>
      <c r="H14629" s="22" t="s">
        <v>16876</v>
      </c>
      <c r="I14629" s="26">
        <v>43514</v>
      </c>
      <c r="J14629" s="28" t="s">
        <v>52</v>
      </c>
      <c r="K14629" s="28" t="s">
        <v>52</v>
      </c>
      <c r="L14629" s="28" t="s">
        <v>52</v>
      </c>
      <c r="M14629" s="28" t="s">
        <v>52</v>
      </c>
      <c r="N14629" s="28" t="s">
        <v>52</v>
      </c>
    </row>
    <row r="14630" spans="1:14" ht="12.75" hidden="1" outlineLevel="1" x14ac:dyDescent="0.2">
      <c r="A14630" s="23" t="str">
        <f>HYPERLINK("https://www.spark-marketing.ru/Card/Person/1037486", "МУ ДО НОВОМАЛЫКЛИНСКИЙ РЦВР ""АЛЫЕ ПАРУСА""")</f>
        <v>МУ ДО НОВОМАЛЫКЛИНСКИЙ РЦВР "АЛЫЕ ПАРУСА"</v>
      </c>
      <c r="B14630" s="24" t="s">
        <v>16874</v>
      </c>
      <c r="C14630" s="25">
        <v>16200</v>
      </c>
      <c r="D14630" s="22" t="s">
        <v>16875</v>
      </c>
      <c r="E14630" s="22" t="s">
        <v>68</v>
      </c>
      <c r="F14630" s="23" t="str">
        <f>HYPERLINK("https://www.spark-marketing.ru/Card/Lot/68038995",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4630" s="22" t="s">
        <v>446</v>
      </c>
      <c r="H14630" s="22" t="s">
        <v>16876</v>
      </c>
      <c r="I14630" s="26">
        <v>43514</v>
      </c>
      <c r="J14630" s="23" t="str">
        <f>HYPERLINK("https://www.spark-marketing.ru/Card/Person/5946939", "ООО АО ""АРМАДА""")</f>
        <v>ООО АО "АРМАДА"</v>
      </c>
      <c r="K14630" s="24" t="s">
        <v>12927</v>
      </c>
      <c r="L14630" s="22" t="s">
        <v>10</v>
      </c>
      <c r="M14630" s="25">
        <v>6000</v>
      </c>
      <c r="N14630" s="27">
        <v>0.62962962962962965</v>
      </c>
    </row>
    <row r="14631" spans="1:14" hidden="1" outlineLevel="1" x14ac:dyDescent="0.2">
      <c r="A14631" s="23" t="str">
        <f>HYPERLINK("https://www.spark-marketing.ru/Card/Person/1037486", "МУ ДО НОВОМАЛЫКЛИНСКИЙ РЦВР ""АЛЫЕ ПАРУСА""")</f>
        <v>МУ ДО НОВОМАЛЫКЛИНСКИЙ РЦВР "АЛЫЕ ПАРУСА"</v>
      </c>
      <c r="B14631" s="24" t="s">
        <v>16874</v>
      </c>
      <c r="C14631" s="25">
        <v>16200</v>
      </c>
      <c r="D14631" s="22" t="s">
        <v>16875</v>
      </c>
      <c r="E14631" s="22" t="s">
        <v>68</v>
      </c>
      <c r="F14631" s="23" t="str">
        <f>HYPERLINK("https://www.spark-marketing.ru/Card/Lot/68038995",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4631" s="22" t="s">
        <v>446</v>
      </c>
      <c r="H14631" s="22" t="s">
        <v>16876</v>
      </c>
      <c r="I14631" s="26">
        <v>43514</v>
      </c>
      <c r="J14631" s="23" t="str">
        <f>HYPERLINK("https://www.spark-marketing.ru/Card/Person/124094", "ООО ЧОО ""РЕДУТ+""")</f>
        <v>ООО ЧОО "РЕДУТ+"</v>
      </c>
      <c r="K14631" s="24" t="s">
        <v>16877</v>
      </c>
      <c r="L14631" s="28" t="s">
        <v>52</v>
      </c>
      <c r="M14631" s="25">
        <v>7000</v>
      </c>
      <c r="N14631" s="27">
        <v>0.5679012345679012</v>
      </c>
    </row>
    <row r="14632" spans="1:14" hidden="1" outlineLevel="1" x14ac:dyDescent="0.2">
      <c r="A14632" s="23" t="str">
        <f>HYPERLINK("https://www.spark-marketing.ru/Card/Person/1037486", "МУ ДО НОВОМАЛЫКЛИНСКИЙ РЦВР ""АЛЫЕ ПАРУСА""")</f>
        <v>МУ ДО НОВОМАЛЫКЛИНСКИЙ РЦВР "АЛЫЕ ПАРУСА"</v>
      </c>
      <c r="B14632" s="24" t="s">
        <v>16874</v>
      </c>
      <c r="C14632" s="25">
        <v>16200</v>
      </c>
      <c r="D14632" s="22" t="s">
        <v>16875</v>
      </c>
      <c r="E14632" s="22" t="s">
        <v>68</v>
      </c>
      <c r="F14632" s="23" t="str">
        <f>HYPERLINK("https://www.spark-marketing.ru/Card/Lot/68038995",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4632" s="22" t="s">
        <v>446</v>
      </c>
      <c r="H14632" s="22" t="s">
        <v>16876</v>
      </c>
      <c r="I14632" s="26">
        <v>43514</v>
      </c>
      <c r="J14632" s="23" t="str">
        <f>HYPERLINK("https://www.spark-marketing.ru/Card/Person/677682", "ООО ЧОО ""ЦСМ ""ГРОМ""")</f>
        <v>ООО ЧОО "ЦСМ "ГРОМ"</v>
      </c>
      <c r="K14632" s="24" t="s">
        <v>16878</v>
      </c>
      <c r="L14632" s="28" t="s">
        <v>52</v>
      </c>
      <c r="M14632" s="25">
        <v>9800</v>
      </c>
      <c r="N14632" s="27">
        <v>0.39506172839506171</v>
      </c>
    </row>
    <row r="14633" spans="1:14" x14ac:dyDescent="0.15">
      <c r="A14633" s="23" t="str">
        <f>HYPERLINK("https://www.spark-marketing.ru/Card/Person/105800", "МЕЖРАЙОННАЯ ИФНС РОССИИ № 2 ПО МАГАДАНСКОЙ ОБЛАСТИ")</f>
        <v>МЕЖРАЙОННАЯ ИФНС РОССИИ № 2 ПО МАГАДАНСКОЙ ОБЛАСТИ</v>
      </c>
      <c r="B14633" s="24" t="s">
        <v>16795</v>
      </c>
      <c r="C14633" s="25">
        <v>828134.16</v>
      </c>
      <c r="D14633" s="22" t="s">
        <v>16879</v>
      </c>
      <c r="E14633" s="22" t="s">
        <v>68</v>
      </c>
      <c r="F14633" s="23" t="str">
        <f>HYPERLINK("https://www.spark-marketing.ru/Card/Lot/68016545", "Услуги охраны")</f>
        <v>Услуги охраны</v>
      </c>
      <c r="G14633" s="22" t="s">
        <v>808</v>
      </c>
      <c r="H14633" s="22" t="s">
        <v>16880</v>
      </c>
      <c r="I14633" s="26">
        <v>43514</v>
      </c>
      <c r="J14633" s="28" t="s">
        <v>52</v>
      </c>
      <c r="K14633" s="28" t="s">
        <v>52</v>
      </c>
      <c r="L14633" s="28" t="s">
        <v>52</v>
      </c>
      <c r="M14633" s="28" t="s">
        <v>52</v>
      </c>
      <c r="N14633" s="28" t="s">
        <v>52</v>
      </c>
    </row>
    <row r="14634" spans="1:14" x14ac:dyDescent="0.15">
      <c r="A14634" s="23" t="str">
        <f t="shared" ref="A14634:A14644" si="769">HYPERLINK("https://www.spark-marketing.ru/Card/Person/129195", "АДМИНИСТРАЦИЯ НОВОАННИНСКОГО МУНИЦИПАЛЬНОГО РАЙОНА ВОЛГОГРАДСКОЙ ОБЛАСТИ")</f>
        <v>АДМИНИСТРАЦИЯ НОВОАННИНСКОГО МУНИЦИПАЛЬНОГО РАЙОНА ВОЛГОГРАДСКОЙ ОБЛАСТИ</v>
      </c>
      <c r="B14634" s="24" t="s">
        <v>16881</v>
      </c>
      <c r="C14634" s="25">
        <v>200000</v>
      </c>
      <c r="D14634" s="22" t="s">
        <v>16882</v>
      </c>
      <c r="E14634" s="22" t="s">
        <v>59</v>
      </c>
      <c r="F14634" s="23" t="str">
        <f t="shared" ref="F14634:F14644" si="770">HYPERLINK("https://www.spark-marketing.ru/Card/Lot/68016314", "выполнение работ по устройству системы видеонаблюдения на территории МКОУ Новоаннинская средняя школа № 1 и прилегающей территории расположенной по адресу Волгоградская область, г. Новоаннинский, ул. Рабочая, д. 106")</f>
        <v>выполнение работ по устройству системы видеонаблюдения на территории МКОУ Новоаннинская средняя школа № 1 и прилегающей территории расположенной по адресу Волгоградская область, г. Новоаннинский, ул. Рабочая, д. 106</v>
      </c>
      <c r="G14634" s="22" t="s">
        <v>343</v>
      </c>
      <c r="H14634" s="22" t="s">
        <v>16883</v>
      </c>
      <c r="I14634" s="26">
        <v>43514</v>
      </c>
      <c r="J14634" s="28" t="s">
        <v>52</v>
      </c>
      <c r="K14634" s="28" t="s">
        <v>52</v>
      </c>
      <c r="L14634" s="28" t="s">
        <v>52</v>
      </c>
      <c r="M14634" s="28" t="s">
        <v>52</v>
      </c>
      <c r="N14634" s="28" t="s">
        <v>52</v>
      </c>
    </row>
    <row r="14635" spans="1:14" hidden="1" outlineLevel="1" x14ac:dyDescent="0.2">
      <c r="A14635" s="23" t="str">
        <f t="shared" si="769"/>
        <v>АДМИНИСТРАЦИЯ НОВОАННИНСКОГО МУНИЦИПАЛЬНОГО РАЙОНА ВОЛГОГРАДСКОЙ ОБЛАСТИ</v>
      </c>
      <c r="B14635" s="24" t="s">
        <v>16881</v>
      </c>
      <c r="C14635" s="25">
        <v>200000</v>
      </c>
      <c r="D14635" s="22" t="s">
        <v>16882</v>
      </c>
      <c r="E14635" s="22" t="s">
        <v>59</v>
      </c>
      <c r="F14635" s="23" t="str">
        <f t="shared" si="770"/>
        <v>выполнение работ по устройству системы видеонаблюдения на территории МКОУ Новоаннинская средняя школа № 1 и прилегающей территории расположенной по адресу Волгоградская область, г. Новоаннинский, ул. Рабочая, д. 106</v>
      </c>
      <c r="G14635" s="22" t="s">
        <v>343</v>
      </c>
      <c r="H14635" s="22" t="s">
        <v>16883</v>
      </c>
      <c r="I14635" s="26">
        <v>43514</v>
      </c>
      <c r="J14635" s="23" t="str">
        <f>HYPERLINK("https://www.spark-marketing.ru/Card/Person/6228198", "ООО ""ИНТЕЛЛЕКТ""")</f>
        <v>ООО "ИНТЕЛЛЕКТ"</v>
      </c>
      <c r="K14635" s="24" t="s">
        <v>6604</v>
      </c>
      <c r="L14635" s="28" t="s">
        <v>52</v>
      </c>
      <c r="M14635" s="25">
        <v>156000</v>
      </c>
      <c r="N14635" s="27">
        <v>0.22</v>
      </c>
    </row>
    <row r="14636" spans="1:14" hidden="1" outlineLevel="1" x14ac:dyDescent="0.2">
      <c r="A14636" s="23" t="str">
        <f t="shared" si="769"/>
        <v>АДМИНИСТРАЦИЯ НОВОАННИНСКОГО МУНИЦИПАЛЬНОГО РАЙОНА ВОЛГОГРАДСКОЙ ОБЛАСТИ</v>
      </c>
      <c r="B14636" s="24" t="s">
        <v>16881</v>
      </c>
      <c r="C14636" s="25">
        <v>200000</v>
      </c>
      <c r="D14636" s="22" t="s">
        <v>16882</v>
      </c>
      <c r="E14636" s="22" t="s">
        <v>59</v>
      </c>
      <c r="F14636" s="23" t="str">
        <f t="shared" si="770"/>
        <v>выполнение работ по устройству системы видеонаблюдения на территории МКОУ Новоаннинская средняя школа № 1 и прилегающей территории расположенной по адресу Волгоградская область, г. Новоаннинский, ул. Рабочая, д. 106</v>
      </c>
      <c r="G14636" s="22" t="s">
        <v>343</v>
      </c>
      <c r="H14636" s="22" t="s">
        <v>16883</v>
      </c>
      <c r="I14636" s="26">
        <v>43514</v>
      </c>
      <c r="J14636" s="23" t="str">
        <f>HYPERLINK("https://www.spark-marketing.ru/Card/Person/233377", "ООО ""СИЛЬВЕР-ЛАЙН""")</f>
        <v>ООО "СИЛЬВЕР-ЛАЙН"</v>
      </c>
      <c r="K14636" s="24" t="s">
        <v>2557</v>
      </c>
      <c r="L14636" s="28" t="s">
        <v>52</v>
      </c>
      <c r="M14636" s="25">
        <v>145000</v>
      </c>
      <c r="N14636" s="27">
        <v>0.27500000000000002</v>
      </c>
    </row>
    <row r="14637" spans="1:14" hidden="1" outlineLevel="1" x14ac:dyDescent="0.2">
      <c r="A14637" s="23" t="str">
        <f t="shared" si="769"/>
        <v>АДМИНИСТРАЦИЯ НОВОАННИНСКОГО МУНИЦИПАЛЬНОГО РАЙОНА ВОЛГОГРАДСКОЙ ОБЛАСТИ</v>
      </c>
      <c r="B14637" s="24" t="s">
        <v>16881</v>
      </c>
      <c r="C14637" s="25">
        <v>200000</v>
      </c>
      <c r="D14637" s="22" t="s">
        <v>16882</v>
      </c>
      <c r="E14637" s="22" t="s">
        <v>59</v>
      </c>
      <c r="F14637" s="23" t="str">
        <f t="shared" si="770"/>
        <v>выполнение работ по устройству системы видеонаблюдения на территории МКОУ Новоаннинская средняя школа № 1 и прилегающей территории расположенной по адресу Волгоградская область, г. Новоаннинский, ул. Рабочая, д. 106</v>
      </c>
      <c r="G14637" s="22" t="s">
        <v>343</v>
      </c>
      <c r="H14637" s="22" t="s">
        <v>16883</v>
      </c>
      <c r="I14637" s="26">
        <v>43514</v>
      </c>
      <c r="J14637" s="23" t="str">
        <f>HYPERLINK("https://www.spark-marketing.ru/Card/Person/329215", "ООО ""СТАС""")</f>
        <v>ООО "СТАС"</v>
      </c>
      <c r="K14637" s="24" t="s">
        <v>15022</v>
      </c>
      <c r="L14637" s="28" t="s">
        <v>52</v>
      </c>
      <c r="M14637" s="25">
        <v>153000</v>
      </c>
      <c r="N14637" s="27">
        <v>0.23499999999999999</v>
      </c>
    </row>
    <row r="14638" spans="1:14" ht="12.75" hidden="1" outlineLevel="1" x14ac:dyDescent="0.2">
      <c r="A14638" s="23" t="str">
        <f t="shared" si="769"/>
        <v>АДМИНИСТРАЦИЯ НОВОАННИНСКОГО МУНИЦИПАЛЬНОГО РАЙОНА ВОЛГОГРАДСКОЙ ОБЛАСТИ</v>
      </c>
      <c r="B14638" s="24" t="s">
        <v>16881</v>
      </c>
      <c r="C14638" s="25">
        <v>200000</v>
      </c>
      <c r="D14638" s="22" t="s">
        <v>16882</v>
      </c>
      <c r="E14638" s="22" t="s">
        <v>59</v>
      </c>
      <c r="F14638" s="23" t="str">
        <f t="shared" si="770"/>
        <v>выполнение работ по устройству системы видеонаблюдения на территории МКОУ Новоаннинская средняя школа № 1 и прилегающей территории расположенной по адресу Волгоградская область, г. Новоаннинский, ул. Рабочая, д. 106</v>
      </c>
      <c r="G14638" s="22" t="s">
        <v>343</v>
      </c>
      <c r="H14638" s="22" t="s">
        <v>16883</v>
      </c>
      <c r="I14638" s="26">
        <v>43514</v>
      </c>
      <c r="J14638" s="23" t="str">
        <f>HYPERLINK("https://www.spark-marketing.ru/Card/Person/4715617", "Стромова Юлия Михайловна")</f>
        <v>Стромова Юлия Михайловна</v>
      </c>
      <c r="K14638" s="24" t="s">
        <v>3887</v>
      </c>
      <c r="L14638" s="22" t="s">
        <v>10</v>
      </c>
      <c r="M14638" s="25">
        <v>117000</v>
      </c>
      <c r="N14638" s="27">
        <v>0.41499999999999998</v>
      </c>
    </row>
    <row r="14639" spans="1:14" hidden="1" outlineLevel="1" x14ac:dyDescent="0.2">
      <c r="A14639" s="23" t="str">
        <f t="shared" si="769"/>
        <v>АДМИНИСТРАЦИЯ НОВОАННИНСКОГО МУНИЦИПАЛЬНОГО РАЙОНА ВОЛГОГРАДСКОЙ ОБЛАСТИ</v>
      </c>
      <c r="B14639" s="24" t="s">
        <v>16881</v>
      </c>
      <c r="C14639" s="25">
        <v>200000</v>
      </c>
      <c r="D14639" s="22" t="s">
        <v>16882</v>
      </c>
      <c r="E14639" s="22" t="s">
        <v>59</v>
      </c>
      <c r="F14639" s="23" t="str">
        <f t="shared" si="770"/>
        <v>выполнение работ по устройству системы видеонаблюдения на территории МКОУ Новоаннинская средняя школа № 1 и прилегающей территории расположенной по адресу Волгоградская область, г. Новоаннинский, ул. Рабочая, д. 106</v>
      </c>
      <c r="G14639" s="22" t="s">
        <v>343</v>
      </c>
      <c r="H14639" s="22" t="s">
        <v>16883</v>
      </c>
      <c r="I14639" s="26">
        <v>43514</v>
      </c>
      <c r="J14639" s="23" t="str">
        <f>HYPERLINK("https://www.spark-marketing.ru/Card/Person/86540", "ООО ""РАЦ""")</f>
        <v>ООО "РАЦ"</v>
      </c>
      <c r="K14639" s="24" t="s">
        <v>16884</v>
      </c>
      <c r="L14639" s="28" t="s">
        <v>52</v>
      </c>
      <c r="M14639" s="25">
        <v>175000</v>
      </c>
      <c r="N14639" s="27">
        <v>0.125</v>
      </c>
    </row>
    <row r="14640" spans="1:14" hidden="1" outlineLevel="1" x14ac:dyDescent="0.2">
      <c r="A14640" s="23" t="str">
        <f t="shared" si="769"/>
        <v>АДМИНИСТРАЦИЯ НОВОАННИНСКОГО МУНИЦИПАЛЬНОГО РАЙОНА ВОЛГОГРАДСКОЙ ОБЛАСТИ</v>
      </c>
      <c r="B14640" s="24" t="s">
        <v>16881</v>
      </c>
      <c r="C14640" s="25">
        <v>200000</v>
      </c>
      <c r="D14640" s="22" t="s">
        <v>16882</v>
      </c>
      <c r="E14640" s="22" t="s">
        <v>59</v>
      </c>
      <c r="F14640" s="23" t="str">
        <f t="shared" si="770"/>
        <v>выполнение работ по устройству системы видеонаблюдения на территории МКОУ Новоаннинская средняя школа № 1 и прилегающей территории расположенной по адресу Волгоградская область, г. Новоаннинский, ул. Рабочая, д. 106</v>
      </c>
      <c r="G14640" s="22" t="s">
        <v>343</v>
      </c>
      <c r="H14640" s="22" t="s">
        <v>16883</v>
      </c>
      <c r="I14640" s="26">
        <v>43514</v>
      </c>
      <c r="J14640" s="23" t="str">
        <f>HYPERLINK("https://www.spark-marketing.ru/Card/Person/5923861", "ООО ВСО""СТРОЙНАВЕС""")</f>
        <v>ООО ВСО"СТРОЙНАВЕС"</v>
      </c>
      <c r="K14640" s="24" t="s">
        <v>16885</v>
      </c>
      <c r="L14640" s="28" t="s">
        <v>52</v>
      </c>
      <c r="M14640" s="25">
        <v>164000</v>
      </c>
      <c r="N14640" s="27">
        <v>0.18</v>
      </c>
    </row>
    <row r="14641" spans="1:14" hidden="1" outlineLevel="1" x14ac:dyDescent="0.2">
      <c r="A14641" s="23" t="str">
        <f t="shared" si="769"/>
        <v>АДМИНИСТРАЦИЯ НОВОАННИНСКОГО МУНИЦИПАЛЬНОГО РАЙОНА ВОЛГОГРАДСКОЙ ОБЛАСТИ</v>
      </c>
      <c r="B14641" s="24" t="s">
        <v>16881</v>
      </c>
      <c r="C14641" s="25">
        <v>200000</v>
      </c>
      <c r="D14641" s="22" t="s">
        <v>16882</v>
      </c>
      <c r="E14641" s="22" t="s">
        <v>59</v>
      </c>
      <c r="F14641" s="23" t="str">
        <f t="shared" si="770"/>
        <v>выполнение работ по устройству системы видеонаблюдения на территории МКОУ Новоаннинская средняя школа № 1 и прилегающей территории расположенной по адресу Волгоградская область, г. Новоаннинский, ул. Рабочая, д. 106</v>
      </c>
      <c r="G14641" s="22" t="s">
        <v>343</v>
      </c>
      <c r="H14641" s="22" t="s">
        <v>16883</v>
      </c>
      <c r="I14641" s="26">
        <v>43514</v>
      </c>
      <c r="J14641" s="23" t="str">
        <f>HYPERLINK("https://www.spark-marketing.ru/Card/Person/509131", "ООО ""СПЕКТР ЭЛЕКТРОНИКА""")</f>
        <v>ООО "СПЕКТР ЭЛЕКТРОНИКА"</v>
      </c>
      <c r="K14641" s="24" t="s">
        <v>13597</v>
      </c>
      <c r="L14641" s="28" t="s">
        <v>52</v>
      </c>
      <c r="M14641" s="25">
        <v>117000</v>
      </c>
      <c r="N14641" s="27">
        <v>0.41499999999999998</v>
      </c>
    </row>
    <row r="14642" spans="1:14" hidden="1" outlineLevel="1" x14ac:dyDescent="0.2">
      <c r="A14642" s="23" t="str">
        <f t="shared" si="769"/>
        <v>АДМИНИСТРАЦИЯ НОВОАННИНСКОГО МУНИЦИПАЛЬНОГО РАЙОНА ВОЛГОГРАДСКОЙ ОБЛАСТИ</v>
      </c>
      <c r="B14642" s="24" t="s">
        <v>16881</v>
      </c>
      <c r="C14642" s="25">
        <v>200000</v>
      </c>
      <c r="D14642" s="22" t="s">
        <v>16882</v>
      </c>
      <c r="E14642" s="22" t="s">
        <v>59</v>
      </c>
      <c r="F14642" s="23" t="str">
        <f t="shared" si="770"/>
        <v>выполнение работ по устройству системы видеонаблюдения на территории МКОУ Новоаннинская средняя школа № 1 и прилегающей территории расположенной по адресу Волгоградская область, г. Новоаннинский, ул. Рабочая, д. 106</v>
      </c>
      <c r="G14642" s="22" t="s">
        <v>343</v>
      </c>
      <c r="H14642" s="22" t="s">
        <v>16883</v>
      </c>
      <c r="I14642" s="26">
        <v>43514</v>
      </c>
      <c r="J14642" s="23" t="str">
        <f>HYPERLINK("https://www.spark-marketing.ru/Card/Person/4855672", "Соннова Екатерина Александровна")</f>
        <v>Соннова Екатерина Александровна</v>
      </c>
      <c r="K14642" s="24" t="s">
        <v>2556</v>
      </c>
      <c r="L14642" s="28" t="s">
        <v>52</v>
      </c>
      <c r="M14642" s="25">
        <v>117000</v>
      </c>
      <c r="N14642" s="27">
        <v>0.41499999999999998</v>
      </c>
    </row>
    <row r="14643" spans="1:14" hidden="1" outlineLevel="1" x14ac:dyDescent="0.2">
      <c r="A14643" s="23" t="str">
        <f t="shared" si="769"/>
        <v>АДМИНИСТРАЦИЯ НОВОАННИНСКОГО МУНИЦИПАЛЬНОГО РАЙОНА ВОЛГОГРАДСКОЙ ОБЛАСТИ</v>
      </c>
      <c r="B14643" s="24" t="s">
        <v>16881</v>
      </c>
      <c r="C14643" s="25">
        <v>200000</v>
      </c>
      <c r="D14643" s="22" t="s">
        <v>16882</v>
      </c>
      <c r="E14643" s="22" t="s">
        <v>59</v>
      </c>
      <c r="F14643" s="23" t="str">
        <f t="shared" si="770"/>
        <v>выполнение работ по устройству системы видеонаблюдения на территории МКОУ Новоаннинская средняя школа № 1 и прилегающей территории расположенной по адресу Волгоградская область, г. Новоаннинский, ул. Рабочая, д. 106</v>
      </c>
      <c r="G14643" s="22" t="s">
        <v>343</v>
      </c>
      <c r="H14643" s="22" t="s">
        <v>16883</v>
      </c>
      <c r="I14643" s="26">
        <v>43514</v>
      </c>
      <c r="J14643" s="23" t="str">
        <f>HYPERLINK("https://www.spark-marketing.ru/Card/Person/6502027", "Бокарев Александр Викторович")</f>
        <v>Бокарев Александр Викторович</v>
      </c>
      <c r="K14643" s="24" t="s">
        <v>16886</v>
      </c>
      <c r="L14643" s="28" t="s">
        <v>52</v>
      </c>
      <c r="M14643" s="25">
        <v>120000</v>
      </c>
      <c r="N14643" s="27">
        <v>0.4</v>
      </c>
    </row>
    <row r="14644" spans="1:14" hidden="1" outlineLevel="1" x14ac:dyDescent="0.2">
      <c r="A14644" s="23" t="str">
        <f t="shared" si="769"/>
        <v>АДМИНИСТРАЦИЯ НОВОАННИНСКОГО МУНИЦИПАЛЬНОГО РАЙОНА ВОЛГОГРАДСКОЙ ОБЛАСТИ</v>
      </c>
      <c r="B14644" s="24" t="s">
        <v>16881</v>
      </c>
      <c r="C14644" s="25">
        <v>200000</v>
      </c>
      <c r="D14644" s="22" t="s">
        <v>16882</v>
      </c>
      <c r="E14644" s="22" t="s">
        <v>59</v>
      </c>
      <c r="F14644" s="23" t="str">
        <f t="shared" si="770"/>
        <v>выполнение работ по устройству системы видеонаблюдения на территории МКОУ Новоаннинская средняя школа № 1 и прилегающей территории расположенной по адресу Волгоградская область, г. Новоаннинский, ул. Рабочая, д. 106</v>
      </c>
      <c r="G14644" s="22" t="s">
        <v>343</v>
      </c>
      <c r="H14644" s="22" t="s">
        <v>16883</v>
      </c>
      <c r="I14644" s="26">
        <v>43514</v>
      </c>
      <c r="J14644" s="23" t="str">
        <f>HYPERLINK("https://www.spark-marketing.ru/Card/Person/506344", "ООО ""ВПС""")</f>
        <v>ООО "ВПС"</v>
      </c>
      <c r="K14644" s="24" t="s">
        <v>8313</v>
      </c>
      <c r="L14644" s="28" t="s">
        <v>52</v>
      </c>
      <c r="M14644" s="25">
        <v>141000</v>
      </c>
      <c r="N14644" s="27">
        <v>0.29499999999999998</v>
      </c>
    </row>
    <row r="14645" spans="1:14" x14ac:dyDescent="0.15">
      <c r="A14645" s="23" t="str">
        <f>HYPERLINK("https://www.spark-marketing.ru/Card/Person/4917004", "МЕЖРЕГИОНАЛЬНЫЙ ФИЛИАЛ ФКУ ""ЦОКР"" В Г.КАЗАНИ")</f>
        <v>МЕЖРЕГИОНАЛЬНЫЙ ФИЛИАЛ ФКУ "ЦОКР" В Г.КАЗАНИ</v>
      </c>
      <c r="B14645" s="24" t="s">
        <v>962</v>
      </c>
      <c r="C14645" s="25">
        <v>132000</v>
      </c>
      <c r="D14645" s="22" t="s">
        <v>16887</v>
      </c>
      <c r="E14645" s="22" t="s">
        <v>68</v>
      </c>
      <c r="F14645" s="23" t="str">
        <f>HYPERLINK("https://www.spark-marketing.ru/Card/Lot/68041694", "Оказание услуг по осуществлению пультовой охраны на объекте Управления Федерального казначейства по Ульяновской области")</f>
        <v>Оказание услуг по осуществлению пультовой охраны на объекте Управления Федерального казначейства по Ульяновской области</v>
      </c>
      <c r="G14645" s="22" t="s">
        <v>446</v>
      </c>
      <c r="H14645" s="22" t="s">
        <v>446</v>
      </c>
      <c r="I14645" s="26">
        <v>43514</v>
      </c>
      <c r="J14645" s="28" t="s">
        <v>52</v>
      </c>
      <c r="K14645" s="28" t="s">
        <v>52</v>
      </c>
      <c r="L14645" s="28" t="s">
        <v>52</v>
      </c>
      <c r="M14645" s="28" t="s">
        <v>52</v>
      </c>
      <c r="N14645" s="28" t="s">
        <v>52</v>
      </c>
    </row>
    <row r="14646" spans="1:14" hidden="1" outlineLevel="1" x14ac:dyDescent="0.2">
      <c r="A14646" s="23" t="str">
        <f>HYPERLINK("https://www.spark-marketing.ru/Card/Person/4917004", "МЕЖРЕГИОНАЛЬНЫЙ ФИЛИАЛ ФКУ ""ЦОКР"" В Г.КАЗАНИ")</f>
        <v>МЕЖРЕГИОНАЛЬНЫЙ ФИЛИАЛ ФКУ "ЦОКР" В Г.КАЗАНИ</v>
      </c>
      <c r="B14646" s="24" t="s">
        <v>962</v>
      </c>
      <c r="C14646" s="25">
        <v>132000</v>
      </c>
      <c r="D14646" s="22" t="s">
        <v>16887</v>
      </c>
      <c r="E14646" s="22" t="s">
        <v>68</v>
      </c>
      <c r="F14646" s="23" t="str">
        <f>HYPERLINK("https://www.spark-marketing.ru/Card/Lot/68041694", "Оказание услуг по осуществлению пультовой охраны на объекте Управления Федерального казначейства по Ульяновской области")</f>
        <v>Оказание услуг по осуществлению пультовой охраны на объекте Управления Федерального казначейства по Ульяновской области</v>
      </c>
      <c r="G14646" s="22" t="s">
        <v>446</v>
      </c>
      <c r="H14646" s="22" t="s">
        <v>446</v>
      </c>
      <c r="I14646" s="26">
        <v>43514</v>
      </c>
      <c r="J14646" s="23" t="str">
        <f>HYPERLINK("https://www.spark-marketing.ru/Card/Person/5946939", "ООО АО ""АРМАДА""")</f>
        <v>ООО АО "АРМАДА"</v>
      </c>
      <c r="K14646" s="24" t="s">
        <v>12927</v>
      </c>
      <c r="L14646" s="28" t="s">
        <v>52</v>
      </c>
      <c r="M14646" s="25">
        <v>131340</v>
      </c>
      <c r="N14646" s="27">
        <v>5.0000000000000001E-3</v>
      </c>
    </row>
    <row r="14647" spans="1:14" ht="12.75" hidden="1" outlineLevel="1" x14ac:dyDescent="0.2">
      <c r="A14647" s="23" t="str">
        <f>HYPERLINK("https://www.spark-marketing.ru/Card/Person/4917004", "МЕЖРЕГИОНАЛЬНЫЙ ФИЛИАЛ ФКУ ""ЦОКР"" В Г.КАЗАНИ")</f>
        <v>МЕЖРЕГИОНАЛЬНЫЙ ФИЛИАЛ ФКУ "ЦОКР" В Г.КАЗАНИ</v>
      </c>
      <c r="B14647" s="24" t="s">
        <v>962</v>
      </c>
      <c r="C14647" s="25">
        <v>132000</v>
      </c>
      <c r="D14647" s="22" t="s">
        <v>16887</v>
      </c>
      <c r="E14647" s="22" t="s">
        <v>68</v>
      </c>
      <c r="F14647" s="23" t="str">
        <f>HYPERLINK("https://www.spark-marketing.ru/Card/Lot/68041694", "Оказание услуг по осуществлению пультовой охраны на объекте Управления Федерального казначейства по Ульяновской области")</f>
        <v>Оказание услуг по осуществлению пультовой охраны на объекте Управления Федерального казначейства по Ульяновской области</v>
      </c>
      <c r="G14647" s="22" t="s">
        <v>446</v>
      </c>
      <c r="H14647" s="22" t="s">
        <v>446</v>
      </c>
      <c r="I14647" s="26">
        <v>43514</v>
      </c>
      <c r="J14647" s="23" t="str">
        <f>HYPERLINK("https://www.spark-marketing.ru/Card/Person/10487", "ФГУП ""ОХРАНА"" РОСГВАРДИИ")</f>
        <v>ФГУП "ОХРАНА" РОСГВАРДИИ</v>
      </c>
      <c r="K14647" s="24" t="s">
        <v>779</v>
      </c>
      <c r="L14647" s="22" t="s">
        <v>10</v>
      </c>
      <c r="M14647" s="25">
        <v>131340</v>
      </c>
      <c r="N14647" s="27">
        <v>5.0000000000000001E-3</v>
      </c>
    </row>
    <row r="14648" spans="1:14" ht="12.75" x14ac:dyDescent="0.2">
      <c r="A14648" s="23" t="str">
        <f>HYPERLINK("https://www.spark-marketing.ru/Card/Person/4132018", "МКУ ""ЭКСПЛУАТАЦИОННЫЙ ЦЕНТР""")</f>
        <v>МКУ "ЭКСПЛУАТАЦИОННЫЙ ЦЕНТР"</v>
      </c>
      <c r="B14648" s="24" t="s">
        <v>16888</v>
      </c>
      <c r="C14648" s="25">
        <v>98860.25</v>
      </c>
      <c r="D14648" s="22" t="s">
        <v>16889</v>
      </c>
      <c r="E14648" s="22" t="s">
        <v>68</v>
      </c>
      <c r="F14648" s="23" t="str">
        <f>HYPERLINK("https://www.spark-marketing.ru/Card/Lot/68009719", "Оказание услуг по охране объектов")</f>
        <v>Оказание услуг по охране объектов</v>
      </c>
      <c r="G14648" s="22" t="s">
        <v>808</v>
      </c>
      <c r="H14648" s="22" t="s">
        <v>16890</v>
      </c>
      <c r="I14648" s="26">
        <v>43514</v>
      </c>
      <c r="J14648" s="23" t="str">
        <f>HYPERLINK("https://www.spark-marketing.ru/Card/Person/1274508", "ФГКУ ""ОВО ВНГ РОССИИ ПО МАГАДАНСКОЙ ОБЛАСТИ""")</f>
        <v>ФГКУ "ОВО ВНГ РОССИИ ПО МАГАДАНСКОЙ ОБЛАСТИ"</v>
      </c>
      <c r="K14648" s="24" t="s">
        <v>1390</v>
      </c>
      <c r="L14648" s="22" t="s">
        <v>10</v>
      </c>
      <c r="M14648" s="25">
        <v>98860</v>
      </c>
      <c r="N14648" s="27">
        <v>2.5288222516127565E-6</v>
      </c>
    </row>
    <row r="14649" spans="1:14" x14ac:dyDescent="0.15">
      <c r="A14649" s="23" t="str">
        <f>HYPERLINK("https://www.spark-marketing.ru/Card/Person/8398", "ГБУЗ НСО ""ГВВ № 3""")</f>
        <v>ГБУЗ НСО "ГВВ № 3"</v>
      </c>
      <c r="B14649" s="24" t="s">
        <v>16891</v>
      </c>
      <c r="C14649" s="25">
        <v>459000</v>
      </c>
      <c r="D14649" s="22" t="s">
        <v>16892</v>
      </c>
      <c r="E14649" s="22" t="s">
        <v>183</v>
      </c>
      <c r="F14649" s="23" t="str">
        <f>HYPERLINK("https://www.spark-marketing.ru/Card/Lot/68029071", "Оказание услуг по физической охране объекта")</f>
        <v>Оказание услуг по физической охране объекта</v>
      </c>
      <c r="G14649" s="22" t="s">
        <v>209</v>
      </c>
      <c r="H14649" s="22" t="s">
        <v>210</v>
      </c>
      <c r="I14649" s="26">
        <v>43514</v>
      </c>
      <c r="J14649" s="28" t="s">
        <v>52</v>
      </c>
      <c r="K14649" s="28" t="s">
        <v>52</v>
      </c>
      <c r="L14649" s="28" t="s">
        <v>52</v>
      </c>
      <c r="M14649" s="28" t="s">
        <v>52</v>
      </c>
      <c r="N14649" s="28" t="s">
        <v>52</v>
      </c>
    </row>
    <row r="14650" spans="1:14" ht="12.75" hidden="1" outlineLevel="1" x14ac:dyDescent="0.2">
      <c r="A14650" s="23" t="str">
        <f>HYPERLINK("https://www.spark-marketing.ru/Card/Person/8398", "ГБУЗ НСО ""ГВВ № 3""")</f>
        <v>ГБУЗ НСО "ГВВ № 3"</v>
      </c>
      <c r="B14650" s="24" t="s">
        <v>16891</v>
      </c>
      <c r="C14650" s="25">
        <v>459000</v>
      </c>
      <c r="D14650" s="22" t="s">
        <v>16892</v>
      </c>
      <c r="E14650" s="22" t="s">
        <v>183</v>
      </c>
      <c r="F14650" s="23" t="str">
        <f>HYPERLINK("https://www.spark-marketing.ru/Card/Lot/68029071", "Оказание услуг по физической охране объекта")</f>
        <v>Оказание услуг по физической охране объекта</v>
      </c>
      <c r="G14650" s="22" t="s">
        <v>209</v>
      </c>
      <c r="H14650" s="22" t="s">
        <v>210</v>
      </c>
      <c r="I14650" s="26">
        <v>43514</v>
      </c>
      <c r="J14650" s="23" t="str">
        <f>HYPERLINK("https://www.spark-marketing.ru/Card/Person/65942", "ООО ЧОП ""РАТНИК""")</f>
        <v>ООО ЧОП "РАТНИК"</v>
      </c>
      <c r="K14650" s="24" t="s">
        <v>16893</v>
      </c>
      <c r="L14650" s="22" t="s">
        <v>10</v>
      </c>
      <c r="M14650" s="25">
        <v>449820</v>
      </c>
      <c r="N14650" s="27">
        <v>0.02</v>
      </c>
    </row>
    <row r="14651" spans="1:14" hidden="1" outlineLevel="1" x14ac:dyDescent="0.2">
      <c r="A14651" s="23" t="str">
        <f>HYPERLINK("https://www.spark-marketing.ru/Card/Person/8398", "ГБУЗ НСО ""ГВВ № 3""")</f>
        <v>ГБУЗ НСО "ГВВ № 3"</v>
      </c>
      <c r="B14651" s="24" t="s">
        <v>16891</v>
      </c>
      <c r="C14651" s="25">
        <v>459000</v>
      </c>
      <c r="D14651" s="22" t="s">
        <v>16892</v>
      </c>
      <c r="E14651" s="22" t="s">
        <v>183</v>
      </c>
      <c r="F14651" s="23" t="str">
        <f>HYPERLINK("https://www.spark-marketing.ru/Card/Lot/68029071", "Оказание услуг по физической охране объекта")</f>
        <v>Оказание услуг по физической охране объекта</v>
      </c>
      <c r="G14651" s="22" t="s">
        <v>209</v>
      </c>
      <c r="H14651" s="22" t="s">
        <v>210</v>
      </c>
      <c r="I14651" s="26">
        <v>43514</v>
      </c>
      <c r="J14651" s="23" t="str">
        <f>HYPERLINK("https://www.spark-marketing.ru/Card/Person/992997", "ООО ЧОО ""ЛИГА+""")</f>
        <v>ООО ЧОО "ЛИГА+"</v>
      </c>
      <c r="K14651" s="24" t="s">
        <v>16894</v>
      </c>
      <c r="L14651" s="28" t="s">
        <v>52</v>
      </c>
      <c r="M14651" s="25">
        <v>452115</v>
      </c>
      <c r="N14651" s="27">
        <v>1.4999999999999999E-2</v>
      </c>
    </row>
    <row r="14652" spans="1:14" x14ac:dyDescent="0.15">
      <c r="A14652" s="23" t="str">
        <f>HYPERLINK("https://www.spark-marketing.ru/Card/Person/6208488", "БАЙКАЛЬСКАЯ МЕЖРЕГИОНАЛЬНАЯ ПРИРОДООХРАННАЯ ПРОКУРАТУРА")</f>
        <v>БАЙКАЛЬСКАЯ МЕЖРЕГИОНАЛЬНАЯ ПРИРОДООХРАННАЯ ПРОКУРАТУРА</v>
      </c>
      <c r="B14652" s="24" t="s">
        <v>6928</v>
      </c>
      <c r="C14652" s="25">
        <v>49893.75</v>
      </c>
      <c r="D14652" s="22" t="s">
        <v>16895</v>
      </c>
      <c r="E14652" s="22" t="s">
        <v>68</v>
      </c>
      <c r="F14652" s="23" t="str">
        <f>HYPERLINK("https://www.spark-marketing.ru/Card/Lot/68009249", "Охрана объектов путем применения систем централизованного наблюдения")</f>
        <v>Охрана объектов путем применения систем централизованного наблюдения</v>
      </c>
      <c r="G14652" s="22" t="s">
        <v>281</v>
      </c>
      <c r="H14652" s="22" t="s">
        <v>281</v>
      </c>
      <c r="I14652" s="26">
        <v>43514</v>
      </c>
      <c r="J14652" s="28" t="s">
        <v>52</v>
      </c>
      <c r="K14652" s="28" t="s">
        <v>52</v>
      </c>
      <c r="L14652" s="28" t="s">
        <v>52</v>
      </c>
      <c r="M14652" s="28" t="s">
        <v>52</v>
      </c>
      <c r="N14652" s="28" t="s">
        <v>52</v>
      </c>
    </row>
    <row r="14653" spans="1:14" x14ac:dyDescent="0.15">
      <c r="A14653" s="23" t="str">
        <f>HYPERLINK("https://www.spark-marketing.ru/Card/Person/85966", "ОГБУЗ ""ШЕБЕКИНСКАЯ ЦРБ""")</f>
        <v>ОГБУЗ "ШЕБЕКИНСКАЯ ЦРБ"</v>
      </c>
      <c r="B14653" s="24" t="s">
        <v>16896</v>
      </c>
      <c r="C14653" s="25">
        <v>572220</v>
      </c>
      <c r="D14653" s="22" t="s">
        <v>16897</v>
      </c>
      <c r="E14653" s="22" t="s">
        <v>52</v>
      </c>
      <c r="F14653" s="23" t="str">
        <f>HYPERLINK("https://www.spark-marketing.ru/Card/Lot/68046384", "Оказание услуг по охране объектов и территории ОГБУЗ ""Шебекинская ЦРБ"" в 2019 году")</f>
        <v>Оказание услуг по охране объектов и территории ОГБУЗ "Шебекинская ЦРБ" в 2019 году</v>
      </c>
      <c r="G14653" s="22" t="s">
        <v>176</v>
      </c>
      <c r="H14653" s="22" t="s">
        <v>13545</v>
      </c>
      <c r="I14653" s="26">
        <v>43514</v>
      </c>
      <c r="J14653" s="28" t="s">
        <v>52</v>
      </c>
      <c r="K14653" s="28" t="s">
        <v>52</v>
      </c>
      <c r="L14653" s="28" t="s">
        <v>52</v>
      </c>
      <c r="M14653" s="28" t="s">
        <v>52</v>
      </c>
      <c r="N14653" s="28" t="s">
        <v>52</v>
      </c>
    </row>
    <row r="14654" spans="1:14" hidden="1" outlineLevel="1" x14ac:dyDescent="0.2">
      <c r="A14654" s="23" t="str">
        <f>HYPERLINK("https://www.spark-marketing.ru/Card/Person/85966", "ОГБУЗ ""ШЕБЕКИНСКАЯ ЦРБ""")</f>
        <v>ОГБУЗ "ШЕБЕКИНСКАЯ ЦРБ"</v>
      </c>
      <c r="B14654" s="24" t="s">
        <v>16896</v>
      </c>
      <c r="C14654" s="25">
        <v>572220</v>
      </c>
      <c r="D14654" s="22" t="s">
        <v>16897</v>
      </c>
      <c r="E14654" s="22" t="s">
        <v>52</v>
      </c>
      <c r="F14654" s="23" t="str">
        <f>HYPERLINK("https://www.spark-marketing.ru/Card/Lot/68046384", "Оказание услуг по охране объектов и территории ОГБУЗ ""Шебекинская ЦРБ"" в 2019 году")</f>
        <v>Оказание услуг по охране объектов и территории ОГБУЗ "Шебекинская ЦРБ" в 2019 году</v>
      </c>
      <c r="G14654" s="22" t="s">
        <v>176</v>
      </c>
      <c r="H14654" s="22" t="s">
        <v>13545</v>
      </c>
      <c r="I14654" s="26">
        <v>43514</v>
      </c>
      <c r="J14654" s="23" t="str">
        <f>HYPERLINK("https://www.spark-marketing.ru/Card/Person/61021", "ООО ЧОП ""НИКА""")</f>
        <v>ООО ЧОП "НИКА"</v>
      </c>
      <c r="K14654" s="24" t="s">
        <v>12530</v>
      </c>
      <c r="L14654" s="28" t="s">
        <v>52</v>
      </c>
      <c r="M14654" s="25">
        <v>528000</v>
      </c>
      <c r="N14654" s="27">
        <v>7.7277970011534025E-2</v>
      </c>
    </row>
    <row r="14655" spans="1:14" ht="12.75" hidden="1" outlineLevel="1" x14ac:dyDescent="0.2">
      <c r="A14655" s="23" t="str">
        <f>HYPERLINK("https://www.spark-marketing.ru/Card/Person/85966", "ОГБУЗ ""ШЕБЕКИНСКАЯ ЦРБ""")</f>
        <v>ОГБУЗ "ШЕБЕКИНСКАЯ ЦРБ"</v>
      </c>
      <c r="B14655" s="24" t="s">
        <v>16896</v>
      </c>
      <c r="C14655" s="25">
        <v>572220</v>
      </c>
      <c r="D14655" s="22" t="s">
        <v>16897</v>
      </c>
      <c r="E14655" s="22" t="s">
        <v>52</v>
      </c>
      <c r="F14655" s="23" t="str">
        <f>HYPERLINK("https://www.spark-marketing.ru/Card/Lot/68046384", "Оказание услуг по охране объектов и территории ОГБУЗ ""Шебекинская ЦРБ"" в 2019 году")</f>
        <v>Оказание услуг по охране объектов и территории ОГБУЗ "Шебекинская ЦРБ" в 2019 году</v>
      </c>
      <c r="G14655" s="22" t="s">
        <v>176</v>
      </c>
      <c r="H14655" s="22" t="s">
        <v>13545</v>
      </c>
      <c r="I14655" s="26">
        <v>43514</v>
      </c>
      <c r="J14655" s="23" t="str">
        <f>HYPERLINK("https://www.spark-marketing.ru/Card/Person/485832", "ООО ЧОО ""ЗАЩИТА""")</f>
        <v>ООО ЧОО "ЗАЩИТА"</v>
      </c>
      <c r="K14655" s="24" t="s">
        <v>16898</v>
      </c>
      <c r="L14655" s="22" t="s">
        <v>10</v>
      </c>
      <c r="M14655" s="25">
        <v>462000</v>
      </c>
      <c r="N14655" s="27">
        <v>0.19261822376009227</v>
      </c>
    </row>
    <row r="14656" spans="1:14" hidden="1" outlineLevel="1" x14ac:dyDescent="0.2">
      <c r="A14656" s="23" t="str">
        <f>HYPERLINK("https://www.spark-marketing.ru/Card/Person/85966", "ОГБУЗ ""ШЕБЕКИНСКАЯ ЦРБ""")</f>
        <v>ОГБУЗ "ШЕБЕКИНСКАЯ ЦРБ"</v>
      </c>
      <c r="B14656" s="24" t="s">
        <v>16896</v>
      </c>
      <c r="C14656" s="25">
        <v>572220</v>
      </c>
      <c r="D14656" s="22" t="s">
        <v>16897</v>
      </c>
      <c r="E14656" s="22" t="s">
        <v>52</v>
      </c>
      <c r="F14656" s="23" t="str">
        <f>HYPERLINK("https://www.spark-marketing.ru/Card/Lot/68046384", "Оказание услуг по охране объектов и территории ОГБУЗ ""Шебекинская ЦРБ"" в 2019 году")</f>
        <v>Оказание услуг по охране объектов и территории ОГБУЗ "Шебекинская ЦРБ" в 2019 году</v>
      </c>
      <c r="G14656" s="22" t="s">
        <v>176</v>
      </c>
      <c r="H14656" s="22" t="s">
        <v>13545</v>
      </c>
      <c r="I14656" s="26">
        <v>43514</v>
      </c>
      <c r="J14656" s="23" t="str">
        <f>HYPERLINK("https://www.spark-marketing.ru/Card/Person/261546", "ООО ""ЧОО"" ЗАЩИТА")</f>
        <v>ООО "ЧОО" ЗАЩИТА</v>
      </c>
      <c r="K14656" s="24" t="s">
        <v>13397</v>
      </c>
      <c r="L14656" s="28" t="s">
        <v>52</v>
      </c>
      <c r="M14656" s="25">
        <v>570000</v>
      </c>
      <c r="N14656" s="27">
        <v>3.8796267169969594E-3</v>
      </c>
    </row>
    <row r="14657" spans="1:14" x14ac:dyDescent="0.15">
      <c r="A14657" s="23" t="str">
        <f t="shared" ref="A14657:A14662" si="771">HYPERLINK("https://www.spark-marketing.ru/Card/Person/4527082", "КУ ""ЦЕНТР СПИД""")</f>
        <v>КУ "ЦЕНТР СПИД"</v>
      </c>
      <c r="B14657" s="24" t="s">
        <v>16812</v>
      </c>
      <c r="C14657" s="25">
        <v>60000</v>
      </c>
      <c r="D14657" s="22" t="s">
        <v>16899</v>
      </c>
      <c r="E14657" s="22" t="s">
        <v>103</v>
      </c>
      <c r="F14657" s="23" t="str">
        <f t="shared" ref="F14657:F14662" si="772">HYPERLINK("https://www.spark-marketing.ru/Card/Lot/68035947", "Оказание услуг по техническому обслуживанию системы видеонаблюдения КУ ""Центр СПИД""")</f>
        <v>Оказание услуг по техническому обслуживанию системы видеонаблюдения КУ "Центр СПИД"</v>
      </c>
      <c r="G14657" s="22" t="s">
        <v>119</v>
      </c>
      <c r="H14657" s="22" t="s">
        <v>2563</v>
      </c>
      <c r="I14657" s="26">
        <v>43514</v>
      </c>
      <c r="J14657" s="28" t="s">
        <v>52</v>
      </c>
      <c r="K14657" s="28" t="s">
        <v>52</v>
      </c>
      <c r="L14657" s="28" t="s">
        <v>52</v>
      </c>
      <c r="M14657" s="28" t="s">
        <v>52</v>
      </c>
      <c r="N14657" s="28" t="s">
        <v>52</v>
      </c>
    </row>
    <row r="14658" spans="1:14" hidden="1" outlineLevel="1" x14ac:dyDescent="0.2">
      <c r="A14658" s="23" t="str">
        <f t="shared" si="771"/>
        <v>КУ "ЦЕНТР СПИД"</v>
      </c>
      <c r="B14658" s="24" t="s">
        <v>16812</v>
      </c>
      <c r="C14658" s="25">
        <v>60000</v>
      </c>
      <c r="D14658" s="22" t="s">
        <v>16899</v>
      </c>
      <c r="E14658" s="22" t="s">
        <v>103</v>
      </c>
      <c r="F14658" s="23" t="str">
        <f t="shared" si="772"/>
        <v>Оказание услуг по техническому обслуживанию системы видеонаблюдения КУ "Центр СПИД"</v>
      </c>
      <c r="G14658" s="22" t="s">
        <v>119</v>
      </c>
      <c r="H14658" s="22" t="s">
        <v>2563</v>
      </c>
      <c r="I14658" s="26">
        <v>43514</v>
      </c>
      <c r="J14658" s="23" t="str">
        <f>HYPERLINK("https://www.spark-marketing.ru/Card/Person/6312037", "ООО ""ДЕЛОВОЙ-АЛЬЯНС""")</f>
        <v>ООО "ДЕЛОВОЙ-АЛЬЯНС"</v>
      </c>
      <c r="K14658" s="24" t="s">
        <v>16900</v>
      </c>
      <c r="L14658" s="28" t="s">
        <v>52</v>
      </c>
      <c r="M14658" s="25">
        <v>49500</v>
      </c>
      <c r="N14658" s="27">
        <v>0.17499999999999999</v>
      </c>
    </row>
    <row r="14659" spans="1:14" hidden="1" outlineLevel="1" x14ac:dyDescent="0.2">
      <c r="A14659" s="23" t="str">
        <f t="shared" si="771"/>
        <v>КУ "ЦЕНТР СПИД"</v>
      </c>
      <c r="B14659" s="24" t="s">
        <v>16812</v>
      </c>
      <c r="C14659" s="25">
        <v>60000</v>
      </c>
      <c r="D14659" s="22" t="s">
        <v>16899</v>
      </c>
      <c r="E14659" s="22" t="s">
        <v>103</v>
      </c>
      <c r="F14659" s="23" t="str">
        <f t="shared" si="772"/>
        <v>Оказание услуг по техническому обслуживанию системы видеонаблюдения КУ "Центр СПИД"</v>
      </c>
      <c r="G14659" s="22" t="s">
        <v>119</v>
      </c>
      <c r="H14659" s="22" t="s">
        <v>2563</v>
      </c>
      <c r="I14659" s="26">
        <v>43514</v>
      </c>
      <c r="J14659" s="23" t="str">
        <f>HYPERLINK("https://www.spark-marketing.ru/Card/Person/937458", "ООО ""ЮГРА-МС""")</f>
        <v>ООО "ЮГРА-МС"</v>
      </c>
      <c r="K14659" s="24" t="s">
        <v>16901</v>
      </c>
      <c r="L14659" s="28" t="s">
        <v>52</v>
      </c>
      <c r="M14659" s="25">
        <v>50000</v>
      </c>
      <c r="N14659" s="27">
        <v>0.16666666666666666</v>
      </c>
    </row>
    <row r="14660" spans="1:14" hidden="1" outlineLevel="1" x14ac:dyDescent="0.2">
      <c r="A14660" s="23" t="str">
        <f t="shared" si="771"/>
        <v>КУ "ЦЕНТР СПИД"</v>
      </c>
      <c r="B14660" s="24" t="s">
        <v>16812</v>
      </c>
      <c r="C14660" s="25">
        <v>60000</v>
      </c>
      <c r="D14660" s="22" t="s">
        <v>16899</v>
      </c>
      <c r="E14660" s="22" t="s">
        <v>103</v>
      </c>
      <c r="F14660" s="23" t="str">
        <f t="shared" si="772"/>
        <v>Оказание услуг по техническому обслуживанию системы видеонаблюдения КУ "Центр СПИД"</v>
      </c>
      <c r="G14660" s="22" t="s">
        <v>119</v>
      </c>
      <c r="H14660" s="22" t="s">
        <v>2563</v>
      </c>
      <c r="I14660" s="26">
        <v>43514</v>
      </c>
      <c r="J14660" s="23" t="str">
        <f>HYPERLINK("https://www.spark-marketing.ru/Card/Person/6464727", "Перескоков Дмитрий Александрович")</f>
        <v>Перескоков Дмитрий Александрович</v>
      </c>
      <c r="K14660" s="24" t="s">
        <v>16902</v>
      </c>
      <c r="L14660" s="28" t="s">
        <v>52</v>
      </c>
      <c r="M14660" s="25">
        <v>60000</v>
      </c>
      <c r="N14660" s="27">
        <v>0</v>
      </c>
    </row>
    <row r="14661" spans="1:14" ht="12.75" hidden="1" outlineLevel="1" x14ac:dyDescent="0.2">
      <c r="A14661" s="23" t="str">
        <f t="shared" si="771"/>
        <v>КУ "ЦЕНТР СПИД"</v>
      </c>
      <c r="B14661" s="24" t="s">
        <v>16812</v>
      </c>
      <c r="C14661" s="25">
        <v>60000</v>
      </c>
      <c r="D14661" s="22" t="s">
        <v>16899</v>
      </c>
      <c r="E14661" s="22" t="s">
        <v>103</v>
      </c>
      <c r="F14661" s="23" t="str">
        <f t="shared" si="772"/>
        <v>Оказание услуг по техническому обслуживанию системы видеонаблюдения КУ "Центр СПИД"</v>
      </c>
      <c r="G14661" s="22" t="s">
        <v>119</v>
      </c>
      <c r="H14661" s="22" t="s">
        <v>2563</v>
      </c>
      <c r="I14661" s="26">
        <v>43514</v>
      </c>
      <c r="J14661" s="23" t="str">
        <f>HYPERLINK("https://www.spark-marketing.ru/Card/Person/152651", "ООО ""СБЭП""")</f>
        <v>ООО "СБЭП"</v>
      </c>
      <c r="K14661" s="24" t="s">
        <v>1596</v>
      </c>
      <c r="L14661" s="22" t="s">
        <v>10</v>
      </c>
      <c r="M14661" s="25">
        <v>44000</v>
      </c>
      <c r="N14661" s="27">
        <v>0.26666666666666666</v>
      </c>
    </row>
    <row r="14662" spans="1:14" hidden="1" outlineLevel="1" x14ac:dyDescent="0.2">
      <c r="A14662" s="23" t="str">
        <f t="shared" si="771"/>
        <v>КУ "ЦЕНТР СПИД"</v>
      </c>
      <c r="B14662" s="24" t="s">
        <v>16812</v>
      </c>
      <c r="C14662" s="25">
        <v>60000</v>
      </c>
      <c r="D14662" s="22" t="s">
        <v>16899</v>
      </c>
      <c r="E14662" s="22" t="s">
        <v>103</v>
      </c>
      <c r="F14662" s="23" t="str">
        <f t="shared" si="772"/>
        <v>Оказание услуг по техническому обслуживанию системы видеонаблюдения КУ "Центр СПИД"</v>
      </c>
      <c r="G14662" s="22" t="s">
        <v>119</v>
      </c>
      <c r="H14662" s="22" t="s">
        <v>2563</v>
      </c>
      <c r="I14662" s="26">
        <v>43514</v>
      </c>
      <c r="J14662" s="23" t="str">
        <f>HYPERLINK("https://www.spark-marketing.ru/Card/Person/122433", "ООО ""ЮГРА-БЕЗОПАСНОСТЬ""")</f>
        <v>ООО "ЮГРА-БЕЗОПАСНОСТЬ"</v>
      </c>
      <c r="K14662" s="24" t="s">
        <v>16903</v>
      </c>
      <c r="L14662" s="28" t="s">
        <v>52</v>
      </c>
      <c r="M14662" s="25">
        <v>50000</v>
      </c>
      <c r="N14662" s="27">
        <v>0.16666666666666666</v>
      </c>
    </row>
    <row r="14663" spans="1:14" x14ac:dyDescent="0.15">
      <c r="A14663" s="23" t="str">
        <f>HYPERLINK("https://www.spark-marketing.ru/Card/Person/51632", "СУ СК РОССИИ ПО КАМЧАТСКОМУ КРАЮ")</f>
        <v>СУ СК РОССИИ ПО КАМЧАТСКОМУ КРАЮ</v>
      </c>
      <c r="B14663" s="24" t="s">
        <v>13551</v>
      </c>
      <c r="C14663" s="25">
        <v>91542</v>
      </c>
      <c r="D14663" s="22" t="s">
        <v>16904</v>
      </c>
      <c r="E14663" s="22" t="s">
        <v>68</v>
      </c>
      <c r="F14663" s="23" t="str">
        <f>HYPERLINK("https://www.spark-marketing.ru/Card/Lot/68010495", "Услуги охраны объектов СУ при помощи ПЦУ административного здания следственного управления")</f>
        <v>Услуги охраны объектов СУ при помощи ПЦУ административного здания следственного управления</v>
      </c>
      <c r="G14663" s="22" t="s">
        <v>1141</v>
      </c>
      <c r="H14663" s="22" t="s">
        <v>1142</v>
      </c>
      <c r="I14663" s="26">
        <v>43514</v>
      </c>
      <c r="J14663" s="28" t="s">
        <v>52</v>
      </c>
      <c r="K14663" s="28" t="s">
        <v>52</v>
      </c>
      <c r="L14663" s="28" t="s">
        <v>52</v>
      </c>
      <c r="M14663" s="28" t="s">
        <v>52</v>
      </c>
      <c r="N14663" s="28" t="s">
        <v>52</v>
      </c>
    </row>
    <row r="14664" spans="1:14" x14ac:dyDescent="0.15">
      <c r="A14664" s="23" t="str">
        <f>HYPERLINK("https://www.spark-marketing.ru/Card/Person/4346740", "ГСУ СК РОССИИ ПО МОСКОВСКОЙ ОБЛАСТИ")</f>
        <v>ГСУ СК РОССИИ ПО МОСКОВСКОЙ ОБЛАСТИ</v>
      </c>
      <c r="B14664" s="24" t="s">
        <v>16905</v>
      </c>
      <c r="C14664" s="25">
        <v>2966463.36</v>
      </c>
      <c r="D14664" s="22" t="s">
        <v>16906</v>
      </c>
      <c r="E14664" s="22" t="s">
        <v>68</v>
      </c>
      <c r="F14664" s="23" t="str">
        <f>HYPERLINK("https://www.spark-marketing.ru/Card/Lot/68041230", "Оказание услуг пультовой охраны объектов (помещений) Главного следственного управления Следственного комитета Российской Федерации по Московской области в 2019 году")</f>
        <v>Оказание услуг пультовой охраны объектов (помещений) Главного следственного управления Следственного комитета Российской Федерации по Московской области в 2019 году</v>
      </c>
      <c r="G14664" s="22" t="s">
        <v>50</v>
      </c>
      <c r="H14664" s="22" t="s">
        <v>50</v>
      </c>
      <c r="I14664" s="26">
        <v>43514</v>
      </c>
      <c r="J14664" s="23" t="str">
        <f>HYPERLINK("https://www.spark-marketing.ru/Card/Person/10487", "ФГУП ""ОХРАНА"" РОСГВАРДИИ")</f>
        <v>ФГУП "ОХРАНА" РОСГВАРДИИ</v>
      </c>
      <c r="K14664" s="24" t="s">
        <v>779</v>
      </c>
      <c r="L14664" s="22" t="s">
        <v>10</v>
      </c>
      <c r="M14664" s="28" t="s">
        <v>52</v>
      </c>
      <c r="N14664" s="28" t="s">
        <v>52</v>
      </c>
    </row>
    <row r="14665" spans="1:14" x14ac:dyDescent="0.15">
      <c r="A14665" s="23" t="str">
        <f>HYPERLINK("https://www.spark-marketing.ru/Card/Person/105295", "МЕЖРАЙОННАЯ ИФНС РОССИИ № 7 ПО ЗАБАЙКАЛЬСКОМУ КРАЮ")</f>
        <v>МЕЖРАЙОННАЯ ИФНС РОССИИ № 7 ПО ЗАБАЙКАЛЬСКОМУ КРАЮ</v>
      </c>
      <c r="B14665" s="24" t="s">
        <v>13638</v>
      </c>
      <c r="C14665" s="25">
        <v>70171.5</v>
      </c>
      <c r="D14665" s="22" t="s">
        <v>16907</v>
      </c>
      <c r="E14665" s="22" t="s">
        <v>68</v>
      </c>
      <c r="F14665" s="23" t="str">
        <f>HYPERLINK("https://www.spark-marketing.ru/Card/Lot/68010946", "Оказание услуг по централизованной охране объекта заказчика")</f>
        <v>Оказание услуг по централизованной охране объекта заказчика</v>
      </c>
      <c r="G14665" s="22" t="s">
        <v>473</v>
      </c>
      <c r="H14665" s="22" t="s">
        <v>473</v>
      </c>
      <c r="I14665" s="26">
        <v>43514</v>
      </c>
      <c r="J14665" s="23" t="str">
        <f>HYPERLINK("https://www.spark-marketing.ru/Card/Person/35317", "ФГКУ ""УВО ВНГ РОССИИ ПО ЗАБАЙКАЛЬСКОМУ КРАЮ""")</f>
        <v>ФГКУ "УВО ВНГ РОССИИ ПО ЗАБАЙКАЛЬСКОМУ КРАЮ"</v>
      </c>
      <c r="K14665" s="24" t="s">
        <v>16908</v>
      </c>
      <c r="L14665" s="28" t="s">
        <v>52</v>
      </c>
      <c r="M14665" s="28" t="s">
        <v>52</v>
      </c>
      <c r="N14665" s="28" t="s">
        <v>52</v>
      </c>
    </row>
    <row r="14666" spans="1:14" ht="12.75" hidden="1" outlineLevel="1" x14ac:dyDescent="0.2">
      <c r="A14666" s="23" t="str">
        <f>HYPERLINK("https://www.spark-marketing.ru/Card/Person/105295", "МЕЖРАЙОННАЯ ИФНС РОССИИ № 7 ПО ЗАБАЙКАЛЬСКОМУ КРАЮ")</f>
        <v>МЕЖРАЙОННАЯ ИФНС РОССИИ № 7 ПО ЗАБАЙКАЛЬСКОМУ КРАЮ</v>
      </c>
      <c r="B14666" s="24" t="s">
        <v>13638</v>
      </c>
      <c r="C14666" s="25">
        <v>70171.5</v>
      </c>
      <c r="D14666" s="22" t="s">
        <v>16907</v>
      </c>
      <c r="E14666" s="22" t="s">
        <v>68</v>
      </c>
      <c r="F14666" s="23" t="str">
        <f>HYPERLINK("https://www.spark-marketing.ru/Card/Lot/68010946", "Оказание услуг по централизованной охране объекта заказчика")</f>
        <v>Оказание услуг по централизованной охране объекта заказчика</v>
      </c>
      <c r="G14666" s="22" t="s">
        <v>473</v>
      </c>
      <c r="H14666" s="22" t="s">
        <v>473</v>
      </c>
      <c r="I14666" s="26">
        <v>43514</v>
      </c>
      <c r="J14666" s="23" t="str">
        <f>HYPERLINK("https://www.spark-marketing.ru/Card/Person/35317", "ФГКУ ""УВО ВНГ РОССИИ ПО ЗАБАЙКАЛЬСКОМУ КРАЮ""")</f>
        <v>ФГКУ "УВО ВНГ РОССИИ ПО ЗАБАЙКАЛЬСКОМУ КРАЮ"</v>
      </c>
      <c r="K14666" s="24" t="s">
        <v>16908</v>
      </c>
      <c r="L14666" s="22" t="s">
        <v>10</v>
      </c>
      <c r="M14666" s="25">
        <v>69801.960000000006</v>
      </c>
      <c r="N14666" s="27">
        <v>5.2662405677518648E-3</v>
      </c>
    </row>
    <row r="14667" spans="1:14" x14ac:dyDescent="0.15">
      <c r="A14667" s="23" t="str">
        <f>HYPERLINK("https://www.spark-marketing.ru/Card/Person/6450322", "ЗАКАЗЧИК РП БЕЛАРУСЬ")</f>
        <v>ЗАКАЗЧИК РП БЕЛАРУСЬ</v>
      </c>
      <c r="B14667" s="28" t="s">
        <v>52</v>
      </c>
      <c r="C14667" s="25">
        <v>4266935.4960000003</v>
      </c>
      <c r="D14667" s="22" t="s">
        <v>16909</v>
      </c>
      <c r="E14667" s="22" t="s">
        <v>53</v>
      </c>
      <c r="F14667" s="23" t="str">
        <f>HYPERLINK("https://www.spark-marketing.ru/Card/Lot/68025805", "Вентиляторы")</f>
        <v>Вентиляторы</v>
      </c>
      <c r="G14667" s="22" t="s">
        <v>52</v>
      </c>
      <c r="H14667" s="22" t="s">
        <v>52</v>
      </c>
      <c r="I14667" s="26">
        <v>43514</v>
      </c>
      <c r="J14667" s="28" t="s">
        <v>52</v>
      </c>
      <c r="K14667" s="28" t="s">
        <v>52</v>
      </c>
      <c r="L14667" s="28" t="s">
        <v>52</v>
      </c>
      <c r="M14667" s="28" t="s">
        <v>52</v>
      </c>
      <c r="N14667" s="28" t="s">
        <v>52</v>
      </c>
    </row>
    <row r="14668" spans="1:14" x14ac:dyDescent="0.15">
      <c r="A14668" s="23" t="str">
        <f>HYPERLINK("https://www.spark-marketing.ru/Card/Person/54002", "АРБИТРАЖНЫЙ СУД КАЛИНИНГРАДСКОЙ ОБЛАСТИ")</f>
        <v>АРБИТРАЖНЫЙ СУД КАЛИНИНГРАДСКОЙ ОБЛАСТИ</v>
      </c>
      <c r="B14668" s="24" t="s">
        <v>16910</v>
      </c>
      <c r="C14668" s="25">
        <v>55801.2</v>
      </c>
      <c r="D14668" s="22" t="s">
        <v>16911</v>
      </c>
      <c r="E14668" s="22" t="s">
        <v>208</v>
      </c>
      <c r="F14668" s="23" t="str">
        <f>HYPERLINK("https://www.spark-marketing.ru/Card/Lot/68046367", "Услуги по централизованной охране  и оперативному реагированию")</f>
        <v>Услуги по централизованной охране  и оперативному реагированию</v>
      </c>
      <c r="G14668" s="22" t="s">
        <v>247</v>
      </c>
      <c r="H14668" s="22" t="s">
        <v>576</v>
      </c>
      <c r="I14668" s="26">
        <v>43514</v>
      </c>
      <c r="J14668" s="28" t="s">
        <v>52</v>
      </c>
      <c r="K14668" s="28" t="s">
        <v>52</v>
      </c>
      <c r="L14668" s="28" t="s">
        <v>52</v>
      </c>
      <c r="M14668" s="28" t="s">
        <v>52</v>
      </c>
      <c r="N14668" s="28" t="s">
        <v>52</v>
      </c>
    </row>
    <row r="14669" spans="1:14" x14ac:dyDescent="0.15">
      <c r="A14669" s="23" t="str">
        <f>HYPERLINK("https://www.spark-marketing.ru/Card/Person/57210", "МИНИСТЕРСТВО ТРАНСПОРТА КРАЯ")</f>
        <v>МИНИСТЕРСТВО ТРАНСПОРТА КРАЯ</v>
      </c>
      <c r="B14669" s="24" t="s">
        <v>2489</v>
      </c>
      <c r="C14669" s="25">
        <v>25085473.100000001</v>
      </c>
      <c r="D14669" s="22" t="s">
        <v>16912</v>
      </c>
      <c r="E14669" s="22" t="s">
        <v>68</v>
      </c>
      <c r="F14669" s="23" t="str">
        <f>HYPERLINK("https://www.spark-marketing.ru/Card/Lot/68044556", "Охрана объекта: ""Автомобильная дорога от горноклиматического курорта «Альпика-Сервис» до финишной зоны горнолыжного курорта «Роза Хутор» с устройством поездов к санно-бобслейной трассе, фристайл-центру, сноуборд-парку и Горной олимпийской деревне"" ...")</f>
        <v>Охрана объекта: "Автомобильная дорога от горноклиматического курорта «Альпика-Сервис» до финишной зоны горнолыжного курорта «Роза Хутор» с устройством поездов к санно-бобслейной трассе, фристайл-центру, сноуборд-парку и Горной олимпийской деревне" ...</v>
      </c>
      <c r="G14669" s="22" t="s">
        <v>132</v>
      </c>
      <c r="H14669" s="22" t="s">
        <v>652</v>
      </c>
      <c r="I14669" s="26">
        <v>43514</v>
      </c>
      <c r="J14669" s="28" t="s">
        <v>52</v>
      </c>
      <c r="K14669" s="28" t="s">
        <v>52</v>
      </c>
      <c r="L14669" s="28" t="s">
        <v>52</v>
      </c>
      <c r="M14669" s="28" t="s">
        <v>52</v>
      </c>
      <c r="N14669" s="28" t="s">
        <v>52</v>
      </c>
    </row>
    <row r="14670" spans="1:14" x14ac:dyDescent="0.15">
      <c r="A14670" s="23" t="str">
        <f>HYPERLINK("https://www.spark-marketing.ru/Card/Person/105295", "МЕЖРАЙОННАЯ ИФНС РОССИИ № 7 ПО ЗАБАЙКАЛЬСКОМУ КРАЮ")</f>
        <v>МЕЖРАЙОННАЯ ИФНС РОССИИ № 7 ПО ЗАБАЙКАЛЬСКОМУ КРАЮ</v>
      </c>
      <c r="B14670" s="24" t="s">
        <v>13638</v>
      </c>
      <c r="C14670" s="25">
        <v>85477.2</v>
      </c>
      <c r="D14670" s="22" t="s">
        <v>16913</v>
      </c>
      <c r="E14670" s="22" t="s">
        <v>68</v>
      </c>
      <c r="F14670" s="23" t="str">
        <f>HYPERLINK("https://www.spark-marketing.ru/Card/Lot/68010949", "Оказание услуг по централизованной охране объекта заказчика")</f>
        <v>Оказание услуг по централизованной охране объекта заказчика</v>
      </c>
      <c r="G14670" s="22" t="s">
        <v>473</v>
      </c>
      <c r="H14670" s="22" t="s">
        <v>473</v>
      </c>
      <c r="I14670" s="26">
        <v>43514</v>
      </c>
      <c r="J14670" s="23" t="str">
        <f>HYPERLINK("https://www.spark-marketing.ru/Card/Person/35317", "ФГКУ ""УВО ВНГ РОССИИ ПО ЗАБАЙКАЛЬСКОМУ КРАЮ""")</f>
        <v>ФГКУ "УВО ВНГ РОССИИ ПО ЗАБАЙКАЛЬСКОМУ КРАЮ"</v>
      </c>
      <c r="K14670" s="24" t="s">
        <v>16908</v>
      </c>
      <c r="L14670" s="22" t="s">
        <v>10</v>
      </c>
      <c r="M14670" s="28" t="s">
        <v>52</v>
      </c>
      <c r="N14670" s="28" t="s">
        <v>52</v>
      </c>
    </row>
    <row r="14671" spans="1:14" x14ac:dyDescent="0.15">
      <c r="A14671" s="23" t="str">
        <f>HYPERLINK("https://www.spark-marketing.ru/Card/Person/4348131", "МИНИСТЕРСТВО ФИНАНСОВ РЕСПУБЛИКИ САХА (ЯКУТИЯ)")</f>
        <v>МИНИСТЕРСТВО ФИНАНСОВ РЕСПУБЛИКИ САХА (ЯКУТИЯ)</v>
      </c>
      <c r="B14671" s="24" t="s">
        <v>16914</v>
      </c>
      <c r="C14671" s="25">
        <v>2399892</v>
      </c>
      <c r="D14671" s="22" t="s">
        <v>16915</v>
      </c>
      <c r="E14671" s="22" t="s">
        <v>52</v>
      </c>
      <c r="F14671" s="23" t="str">
        <f>HYPERLINK("https://www.spark-marketing.ru/Card/Lot/68013561", "Оказание услуги охраны (постовая охрана)")</f>
        <v>Оказание услуги охраны (постовая охрана)</v>
      </c>
      <c r="G14671" s="22" t="s">
        <v>424</v>
      </c>
      <c r="H14671" s="22" t="s">
        <v>1186</v>
      </c>
      <c r="I14671" s="26">
        <v>43514</v>
      </c>
      <c r="J14671" s="28" t="s">
        <v>52</v>
      </c>
      <c r="K14671" s="28" t="s">
        <v>52</v>
      </c>
      <c r="L14671" s="28" t="s">
        <v>52</v>
      </c>
      <c r="M14671" s="28" t="s">
        <v>52</v>
      </c>
      <c r="N14671" s="28" t="s">
        <v>52</v>
      </c>
    </row>
    <row r="14672" spans="1:14" ht="12.75" hidden="1" outlineLevel="1" x14ac:dyDescent="0.2">
      <c r="A14672" s="23" t="str">
        <f>HYPERLINK("https://www.spark-marketing.ru/Card/Person/4348131", "МИНИСТЕРСТВО ФИНАНСОВ РЕСПУБЛИКИ САХА (ЯКУТИЯ)")</f>
        <v>МИНИСТЕРСТВО ФИНАНСОВ РЕСПУБЛИКИ САХА (ЯКУТИЯ)</v>
      </c>
      <c r="B14672" s="24" t="s">
        <v>16914</v>
      </c>
      <c r="C14672" s="25">
        <v>2399892</v>
      </c>
      <c r="D14672" s="22" t="s">
        <v>16915</v>
      </c>
      <c r="E14672" s="22" t="s">
        <v>52</v>
      </c>
      <c r="F14672" s="23" t="str">
        <f>HYPERLINK("https://www.spark-marketing.ru/Card/Lot/68013561", "Оказание услуги охраны (постовая охрана)")</f>
        <v>Оказание услуги охраны (постовая охрана)</v>
      </c>
      <c r="G14672" s="22" t="s">
        <v>424</v>
      </c>
      <c r="H14672" s="22" t="s">
        <v>1186</v>
      </c>
      <c r="I14672" s="26">
        <v>43514</v>
      </c>
      <c r="J14672" s="23" t="str">
        <f>HYPERLINK("https://www.spark-marketing.ru/Card/Person/129856", "ООО ЧОП ""КРИСТАЛЛ""")</f>
        <v>ООО ЧОП "КРИСТАЛЛ"</v>
      </c>
      <c r="K14672" s="24" t="s">
        <v>16916</v>
      </c>
      <c r="L14672" s="22" t="s">
        <v>10</v>
      </c>
      <c r="M14672" s="25">
        <v>2370500</v>
      </c>
      <c r="N14672" s="27">
        <v>1.2247217791467284E-2</v>
      </c>
    </row>
    <row r="14673" spans="1:14" hidden="1" outlineLevel="1" x14ac:dyDescent="0.2">
      <c r="A14673" s="23" t="str">
        <f>HYPERLINK("https://www.spark-marketing.ru/Card/Person/4348131", "МИНИСТЕРСТВО ФИНАНСОВ РЕСПУБЛИКИ САХА (ЯКУТИЯ)")</f>
        <v>МИНИСТЕРСТВО ФИНАНСОВ РЕСПУБЛИКИ САХА (ЯКУТИЯ)</v>
      </c>
      <c r="B14673" s="24" t="s">
        <v>16914</v>
      </c>
      <c r="C14673" s="25">
        <v>2399892</v>
      </c>
      <c r="D14673" s="22" t="s">
        <v>16915</v>
      </c>
      <c r="E14673" s="22" t="s">
        <v>52</v>
      </c>
      <c r="F14673" s="23" t="str">
        <f>HYPERLINK("https://www.spark-marketing.ru/Card/Lot/68013561", "Оказание услуги охраны (постовая охрана)")</f>
        <v>Оказание услуги охраны (постовая охрана)</v>
      </c>
      <c r="G14673" s="22" t="s">
        <v>424</v>
      </c>
      <c r="H14673" s="22" t="s">
        <v>1186</v>
      </c>
      <c r="I14673" s="26">
        <v>43514</v>
      </c>
      <c r="J14673" s="23" t="str">
        <f>HYPERLINK("https://www.spark-marketing.ru/Card/Person/453501", "ООО ""РОА ШЕРИФ""")</f>
        <v>ООО "РОА ШЕРИФ"</v>
      </c>
      <c r="K14673" s="24" t="s">
        <v>16917</v>
      </c>
      <c r="L14673" s="28" t="s">
        <v>52</v>
      </c>
      <c r="M14673" s="25">
        <v>2399892</v>
      </c>
      <c r="N14673" s="27">
        <v>0</v>
      </c>
    </row>
    <row r="14674" spans="1:14" x14ac:dyDescent="0.15">
      <c r="A14674" s="23" t="str">
        <f>HYPERLINK("https://www.spark-marketing.ru/Card/Person/105800", "МЕЖРАЙОННАЯ ИФНС РОССИИ № 2 ПО МАГАДАНСКОЙ ОБЛАСТИ")</f>
        <v>МЕЖРАЙОННАЯ ИФНС РОССИИ № 2 ПО МАГАДАНСКОЙ ОБЛАСТИ</v>
      </c>
      <c r="B14674" s="24" t="s">
        <v>16795</v>
      </c>
      <c r="C14674" s="25">
        <v>54341.1</v>
      </c>
      <c r="D14674" s="22" t="s">
        <v>16918</v>
      </c>
      <c r="E14674" s="22" t="s">
        <v>68</v>
      </c>
      <c r="F14674" s="23" t="str">
        <f>HYPERLINK("https://www.spark-marketing.ru/Card/Lot/68016543", "Услуги охраны")</f>
        <v>Услуги охраны</v>
      </c>
      <c r="G14674" s="22" t="s">
        <v>808</v>
      </c>
      <c r="H14674" s="22" t="s">
        <v>16797</v>
      </c>
      <c r="I14674" s="26">
        <v>43514</v>
      </c>
      <c r="J14674" s="28" t="s">
        <v>52</v>
      </c>
      <c r="K14674" s="28" t="s">
        <v>52</v>
      </c>
      <c r="L14674" s="28" t="s">
        <v>52</v>
      </c>
      <c r="M14674" s="28" t="s">
        <v>52</v>
      </c>
      <c r="N14674" s="28" t="s">
        <v>52</v>
      </c>
    </row>
    <row r="14675" spans="1:14" x14ac:dyDescent="0.15">
      <c r="A14675" s="23" t="s">
        <v>121</v>
      </c>
      <c r="B14675" s="28" t="s">
        <v>52</v>
      </c>
      <c r="C14675" s="25">
        <v>807250.2</v>
      </c>
      <c r="D14675" s="22" t="s">
        <v>16919</v>
      </c>
      <c r="E14675" s="22" t="s">
        <v>234</v>
      </c>
      <c r="F14675" s="23" t="str">
        <f t="shared" ref="F14675:F14703" si="773">HYPERLINK("https://www.spark-marketing.ru/Card/Lot/68015694", "Оказание услуг по техническому обслуживанию системы видеонаблюдения")</f>
        <v>Оказание услуг по техническому обслуживанию системы видеонаблюдения</v>
      </c>
      <c r="G14675" s="22" t="s">
        <v>52</v>
      </c>
      <c r="H14675" s="22" t="s">
        <v>52</v>
      </c>
      <c r="I14675" s="26">
        <v>43514</v>
      </c>
      <c r="J14675" s="28" t="s">
        <v>52</v>
      </c>
      <c r="K14675" s="28" t="s">
        <v>52</v>
      </c>
      <c r="L14675" s="28" t="s">
        <v>52</v>
      </c>
      <c r="M14675" s="28" t="s">
        <v>52</v>
      </c>
      <c r="N14675" s="28" t="s">
        <v>52</v>
      </c>
    </row>
    <row r="14676" spans="1:14" hidden="1" outlineLevel="1" x14ac:dyDescent="0.15">
      <c r="A14676" s="23" t="str">
        <f>HYPERLINK("https://www.spark-marketing.ru/Card/Person/46439", "ДОУ №2")</f>
        <v>ДОУ №2</v>
      </c>
      <c r="B14676" s="24" t="s">
        <v>16920</v>
      </c>
      <c r="C14676" s="25">
        <v>33090.03</v>
      </c>
      <c r="D14676" s="22" t="s">
        <v>16919</v>
      </c>
      <c r="E14676" s="22" t="s">
        <v>234</v>
      </c>
      <c r="F14676" s="23" t="str">
        <f t="shared" si="773"/>
        <v>Оказание услуг по техническому обслуживанию системы видеонаблюдения</v>
      </c>
      <c r="G14676" s="22" t="s">
        <v>50</v>
      </c>
      <c r="H14676" s="22" t="s">
        <v>14295</v>
      </c>
      <c r="I14676" s="26">
        <v>43514</v>
      </c>
      <c r="J14676" s="28" t="s">
        <v>52</v>
      </c>
      <c r="K14676" s="28" t="s">
        <v>52</v>
      </c>
      <c r="L14676" s="28" t="s">
        <v>52</v>
      </c>
      <c r="M14676" s="28" t="s">
        <v>52</v>
      </c>
      <c r="N14676" s="28" t="s">
        <v>52</v>
      </c>
    </row>
    <row r="14677" spans="1:14" hidden="1" outlineLevel="1" x14ac:dyDescent="0.15">
      <c r="A14677" s="23" t="str">
        <f>HYPERLINK("https://www.spark-marketing.ru/Card/Person/112562", "МОУ ""СОВХОЗНАЯ СОШ""")</f>
        <v>МОУ "СОВХОЗНАЯ СОШ"</v>
      </c>
      <c r="B14677" s="24" t="s">
        <v>16921</v>
      </c>
      <c r="C14677" s="25">
        <v>33450.03</v>
      </c>
      <c r="D14677" s="22" t="s">
        <v>16919</v>
      </c>
      <c r="E14677" s="22" t="s">
        <v>234</v>
      </c>
      <c r="F14677" s="23" t="str">
        <f t="shared" si="773"/>
        <v>Оказание услуг по техническому обслуживанию системы видеонаблюдения</v>
      </c>
      <c r="G14677" s="22" t="s">
        <v>50</v>
      </c>
      <c r="H14677" s="22" t="s">
        <v>14295</v>
      </c>
      <c r="I14677" s="26">
        <v>43514</v>
      </c>
      <c r="J14677" s="28" t="s">
        <v>52</v>
      </c>
      <c r="K14677" s="28" t="s">
        <v>52</v>
      </c>
      <c r="L14677" s="28" t="s">
        <v>52</v>
      </c>
      <c r="M14677" s="28" t="s">
        <v>52</v>
      </c>
      <c r="N14677" s="28" t="s">
        <v>52</v>
      </c>
    </row>
    <row r="14678" spans="1:14" hidden="1" outlineLevel="1" x14ac:dyDescent="0.15">
      <c r="A14678" s="23" t="str">
        <f>HYPERLINK("https://www.spark-marketing.ru/Card/Person/129421", "МОУ ""КРУТОВСКАЯ СОШ""")</f>
        <v>МОУ "КРУТОВСКАЯ СОШ"</v>
      </c>
      <c r="B14678" s="24" t="s">
        <v>16922</v>
      </c>
      <c r="C14678" s="25">
        <v>33329.97</v>
      </c>
      <c r="D14678" s="22" t="s">
        <v>16919</v>
      </c>
      <c r="E14678" s="22" t="s">
        <v>234</v>
      </c>
      <c r="F14678" s="23" t="str">
        <f t="shared" si="773"/>
        <v>Оказание услуг по техническому обслуживанию системы видеонаблюдения</v>
      </c>
      <c r="G14678" s="22" t="s">
        <v>50</v>
      </c>
      <c r="H14678" s="22" t="s">
        <v>14295</v>
      </c>
      <c r="I14678" s="26">
        <v>43514</v>
      </c>
      <c r="J14678" s="28" t="s">
        <v>52</v>
      </c>
      <c r="K14678" s="28" t="s">
        <v>52</v>
      </c>
      <c r="L14678" s="28" t="s">
        <v>52</v>
      </c>
      <c r="M14678" s="28" t="s">
        <v>52</v>
      </c>
      <c r="N14678" s="28" t="s">
        <v>52</v>
      </c>
    </row>
    <row r="14679" spans="1:14" hidden="1" outlineLevel="1" x14ac:dyDescent="0.15">
      <c r="A14679" s="23" t="str">
        <f>HYPERLINK("https://www.spark-marketing.ru/Card/Person/140276", "МУДО ""СЕРЕБРЯНО-ПРУДСКИЙ ДДТ""")</f>
        <v>МУДО "СЕРЕБРЯНО-ПРУДСКИЙ ДДТ"</v>
      </c>
      <c r="B14679" s="24" t="s">
        <v>16923</v>
      </c>
      <c r="C14679" s="25">
        <v>34679.97</v>
      </c>
      <c r="D14679" s="22" t="s">
        <v>16919</v>
      </c>
      <c r="E14679" s="22" t="s">
        <v>234</v>
      </c>
      <c r="F14679" s="23" t="str">
        <f t="shared" si="773"/>
        <v>Оказание услуг по техническому обслуживанию системы видеонаблюдения</v>
      </c>
      <c r="G14679" s="22" t="s">
        <v>50</v>
      </c>
      <c r="H14679" s="22" t="s">
        <v>14295</v>
      </c>
      <c r="I14679" s="26">
        <v>43514</v>
      </c>
      <c r="J14679" s="28" t="s">
        <v>52</v>
      </c>
      <c r="K14679" s="28" t="s">
        <v>52</v>
      </c>
      <c r="L14679" s="28" t="s">
        <v>52</v>
      </c>
      <c r="M14679" s="28" t="s">
        <v>52</v>
      </c>
      <c r="N14679" s="28" t="s">
        <v>52</v>
      </c>
    </row>
    <row r="14680" spans="1:14" hidden="1" outlineLevel="1" x14ac:dyDescent="0.15">
      <c r="A14680" s="23" t="str">
        <f>HYPERLINK("https://www.spark-marketing.ru/Card/Person/144381", "МОУ ""УЗУНОВСКАЯ СОШ""")</f>
        <v>МОУ "УЗУНОВСКАЯ СОШ"</v>
      </c>
      <c r="B14680" s="24" t="s">
        <v>16924</v>
      </c>
      <c r="C14680" s="25">
        <v>44166.69</v>
      </c>
      <c r="D14680" s="22" t="s">
        <v>16919</v>
      </c>
      <c r="E14680" s="22" t="s">
        <v>234</v>
      </c>
      <c r="F14680" s="23" t="str">
        <f t="shared" si="773"/>
        <v>Оказание услуг по техническому обслуживанию системы видеонаблюдения</v>
      </c>
      <c r="G14680" s="22" t="s">
        <v>50</v>
      </c>
      <c r="H14680" s="22" t="s">
        <v>14295</v>
      </c>
      <c r="I14680" s="26">
        <v>43514</v>
      </c>
      <c r="J14680" s="28" t="s">
        <v>52</v>
      </c>
      <c r="K14680" s="28" t="s">
        <v>52</v>
      </c>
      <c r="L14680" s="28" t="s">
        <v>52</v>
      </c>
      <c r="M14680" s="28" t="s">
        <v>52</v>
      </c>
      <c r="N14680" s="28" t="s">
        <v>52</v>
      </c>
    </row>
    <row r="14681" spans="1:14" hidden="1" outlineLevel="1" x14ac:dyDescent="0.15">
      <c r="A14681" s="23" t="str">
        <f>HYPERLINK("https://www.spark-marketing.ru/Card/Person/148275", "МОУ ""ШЕМЕТОВСКАЯ СОШ""")</f>
        <v>МОУ "ШЕМЕТОВСКАЯ СОШ"</v>
      </c>
      <c r="B14681" s="24" t="s">
        <v>16925</v>
      </c>
      <c r="C14681" s="25">
        <v>33630.03</v>
      </c>
      <c r="D14681" s="22" t="s">
        <v>16919</v>
      </c>
      <c r="E14681" s="22" t="s">
        <v>234</v>
      </c>
      <c r="F14681" s="23" t="str">
        <f t="shared" si="773"/>
        <v>Оказание услуг по техническому обслуживанию системы видеонаблюдения</v>
      </c>
      <c r="G14681" s="22" t="s">
        <v>50</v>
      </c>
      <c r="H14681" s="22" t="s">
        <v>14295</v>
      </c>
      <c r="I14681" s="26">
        <v>43514</v>
      </c>
      <c r="J14681" s="28" t="s">
        <v>52</v>
      </c>
      <c r="K14681" s="28" t="s">
        <v>52</v>
      </c>
      <c r="L14681" s="28" t="s">
        <v>52</v>
      </c>
      <c r="M14681" s="28" t="s">
        <v>52</v>
      </c>
      <c r="N14681" s="28" t="s">
        <v>52</v>
      </c>
    </row>
    <row r="14682" spans="1:14" hidden="1" outlineLevel="1" x14ac:dyDescent="0.15">
      <c r="A14682" s="23" t="str">
        <f>HYPERLINK("https://www.spark-marketing.ru/Card/Person/149354", "МОУ ""КЛЁМОВСКАЯ СОШ""")</f>
        <v>МОУ "КЛЁМОВСКАЯ СОШ"</v>
      </c>
      <c r="B14682" s="24" t="s">
        <v>16926</v>
      </c>
      <c r="C14682" s="25">
        <v>44166.69</v>
      </c>
      <c r="D14682" s="22" t="s">
        <v>16919</v>
      </c>
      <c r="E14682" s="22" t="s">
        <v>234</v>
      </c>
      <c r="F14682" s="23" t="str">
        <f t="shared" si="773"/>
        <v>Оказание услуг по техническому обслуживанию системы видеонаблюдения</v>
      </c>
      <c r="G14682" s="22" t="s">
        <v>50</v>
      </c>
      <c r="H14682" s="22" t="s">
        <v>14295</v>
      </c>
      <c r="I14682" s="26">
        <v>43514</v>
      </c>
      <c r="J14682" s="28" t="s">
        <v>52</v>
      </c>
      <c r="K14682" s="28" t="s">
        <v>52</v>
      </c>
      <c r="L14682" s="28" t="s">
        <v>52</v>
      </c>
      <c r="M14682" s="28" t="s">
        <v>52</v>
      </c>
      <c r="N14682" s="28" t="s">
        <v>52</v>
      </c>
    </row>
    <row r="14683" spans="1:14" hidden="1" outlineLevel="1" x14ac:dyDescent="0.15">
      <c r="A14683" s="23" t="str">
        <f>HYPERLINK("https://www.spark-marketing.ru/Card/Person/149552", "ШКОЛА ИМЕНИ ЧУЙКОВА")</f>
        <v>ШКОЛА ИМЕНИ ЧУЙКОВА</v>
      </c>
      <c r="B14683" s="24" t="s">
        <v>16927</v>
      </c>
      <c r="C14683" s="25">
        <v>71388</v>
      </c>
      <c r="D14683" s="22" t="s">
        <v>16919</v>
      </c>
      <c r="E14683" s="22" t="s">
        <v>234</v>
      </c>
      <c r="F14683" s="23" t="str">
        <f t="shared" si="773"/>
        <v>Оказание услуг по техническому обслуживанию системы видеонаблюдения</v>
      </c>
      <c r="G14683" s="22" t="s">
        <v>50</v>
      </c>
      <c r="H14683" s="22" t="s">
        <v>14295</v>
      </c>
      <c r="I14683" s="26">
        <v>43514</v>
      </c>
      <c r="J14683" s="28" t="s">
        <v>52</v>
      </c>
      <c r="K14683" s="28" t="s">
        <v>52</v>
      </c>
      <c r="L14683" s="28" t="s">
        <v>52</v>
      </c>
      <c r="M14683" s="28" t="s">
        <v>52</v>
      </c>
      <c r="N14683" s="28" t="s">
        <v>52</v>
      </c>
    </row>
    <row r="14684" spans="1:14" hidden="1" outlineLevel="1" x14ac:dyDescent="0.15">
      <c r="A14684" s="23" t="str">
        <f>HYPERLINK("https://www.spark-marketing.ru/Card/Person/996125", """ДОУ № 12""")</f>
        <v>"ДОУ № 12"</v>
      </c>
      <c r="B14684" s="24" t="s">
        <v>16928</v>
      </c>
      <c r="C14684" s="25">
        <v>36900</v>
      </c>
      <c r="D14684" s="22" t="s">
        <v>16919</v>
      </c>
      <c r="E14684" s="22" t="s">
        <v>234</v>
      </c>
      <c r="F14684" s="23" t="str">
        <f t="shared" si="773"/>
        <v>Оказание услуг по техническому обслуживанию системы видеонаблюдения</v>
      </c>
      <c r="G14684" s="22" t="s">
        <v>50</v>
      </c>
      <c r="H14684" s="22" t="s">
        <v>14295</v>
      </c>
      <c r="I14684" s="26">
        <v>43514</v>
      </c>
      <c r="J14684" s="28" t="s">
        <v>52</v>
      </c>
      <c r="K14684" s="28" t="s">
        <v>52</v>
      </c>
      <c r="L14684" s="28" t="s">
        <v>52</v>
      </c>
      <c r="M14684" s="28" t="s">
        <v>52</v>
      </c>
      <c r="N14684" s="28" t="s">
        <v>52</v>
      </c>
    </row>
    <row r="14685" spans="1:14" hidden="1" outlineLevel="1" x14ac:dyDescent="0.15">
      <c r="A14685" s="23" t="str">
        <f>HYPERLINK("https://www.spark-marketing.ru/Card/Person/996715", "МОУ ""ГЛУБОКОВСКАЯ ООШ""")</f>
        <v>МОУ "ГЛУБОКОВСКАЯ ООШ"</v>
      </c>
      <c r="B14685" s="24" t="s">
        <v>16929</v>
      </c>
      <c r="C14685" s="25">
        <v>33450.03</v>
      </c>
      <c r="D14685" s="22" t="s">
        <v>16919</v>
      </c>
      <c r="E14685" s="22" t="s">
        <v>234</v>
      </c>
      <c r="F14685" s="23" t="str">
        <f t="shared" si="773"/>
        <v>Оказание услуг по техническому обслуживанию системы видеонаблюдения</v>
      </c>
      <c r="G14685" s="22" t="s">
        <v>50</v>
      </c>
      <c r="H14685" s="22" t="s">
        <v>14295</v>
      </c>
      <c r="I14685" s="26">
        <v>43514</v>
      </c>
      <c r="J14685" s="28" t="s">
        <v>52</v>
      </c>
      <c r="K14685" s="28" t="s">
        <v>52</v>
      </c>
      <c r="L14685" s="28" t="s">
        <v>52</v>
      </c>
      <c r="M14685" s="28" t="s">
        <v>52</v>
      </c>
      <c r="N14685" s="28" t="s">
        <v>52</v>
      </c>
    </row>
    <row r="14686" spans="1:14" hidden="1" outlineLevel="1" x14ac:dyDescent="0.15">
      <c r="A14686" s="23" t="str">
        <f>HYPERLINK("https://www.spark-marketing.ru/Card/Person/1025699", "МДОУ ""ДЕТСКИЙ САД Д.КОРОВИНО""")</f>
        <v>МДОУ "ДЕТСКИЙ САД Д.КОРОВИНО"</v>
      </c>
      <c r="B14686" s="24" t="s">
        <v>16930</v>
      </c>
      <c r="C14686" s="25">
        <v>33450.03</v>
      </c>
      <c r="D14686" s="22" t="s">
        <v>16919</v>
      </c>
      <c r="E14686" s="22" t="s">
        <v>234</v>
      </c>
      <c r="F14686" s="23" t="str">
        <f t="shared" si="773"/>
        <v>Оказание услуг по техническому обслуживанию системы видеонаблюдения</v>
      </c>
      <c r="G14686" s="22" t="s">
        <v>50</v>
      </c>
      <c r="H14686" s="22" t="s">
        <v>14295</v>
      </c>
      <c r="I14686" s="26">
        <v>43514</v>
      </c>
      <c r="J14686" s="28" t="s">
        <v>52</v>
      </c>
      <c r="K14686" s="28" t="s">
        <v>52</v>
      </c>
      <c r="L14686" s="28" t="s">
        <v>52</v>
      </c>
      <c r="M14686" s="28" t="s">
        <v>52</v>
      </c>
      <c r="N14686" s="28" t="s">
        <v>52</v>
      </c>
    </row>
    <row r="14687" spans="1:14" hidden="1" outlineLevel="1" x14ac:dyDescent="0.15">
      <c r="A14687" s="23" t="str">
        <f>HYPERLINK("https://www.spark-marketing.ru/Card/Person/1047918", "МДОУ ""МАЛЫШОК""")</f>
        <v>МДОУ "МАЛЫШОК"</v>
      </c>
      <c r="B14687" s="24" t="s">
        <v>16931</v>
      </c>
      <c r="C14687" s="25">
        <v>33300</v>
      </c>
      <c r="D14687" s="22" t="s">
        <v>16919</v>
      </c>
      <c r="E14687" s="22" t="s">
        <v>234</v>
      </c>
      <c r="F14687" s="23" t="str">
        <f t="shared" si="773"/>
        <v>Оказание услуг по техническому обслуживанию системы видеонаблюдения</v>
      </c>
      <c r="G14687" s="22" t="s">
        <v>50</v>
      </c>
      <c r="H14687" s="22" t="s">
        <v>14295</v>
      </c>
      <c r="I14687" s="26">
        <v>43514</v>
      </c>
      <c r="J14687" s="28" t="s">
        <v>52</v>
      </c>
      <c r="K14687" s="28" t="s">
        <v>52</v>
      </c>
      <c r="L14687" s="28" t="s">
        <v>52</v>
      </c>
      <c r="M14687" s="28" t="s">
        <v>52</v>
      </c>
      <c r="N14687" s="28" t="s">
        <v>52</v>
      </c>
    </row>
    <row r="14688" spans="1:14" hidden="1" outlineLevel="1" x14ac:dyDescent="0.15">
      <c r="A14688" s="23" t="str">
        <f>HYPERLINK("https://www.spark-marketing.ru/Card/Person/1048416", "МДОУ ""ЦРР - ДЕТСКИЙ САД ""ТОПОЛЕК""")</f>
        <v>МДОУ "ЦРР - ДЕТСКИЙ САД "ТОПОЛЕК"</v>
      </c>
      <c r="B14688" s="24" t="s">
        <v>16932</v>
      </c>
      <c r="C14688" s="25">
        <v>33090.03</v>
      </c>
      <c r="D14688" s="22" t="s">
        <v>16919</v>
      </c>
      <c r="E14688" s="22" t="s">
        <v>234</v>
      </c>
      <c r="F14688" s="23" t="str">
        <f t="shared" si="773"/>
        <v>Оказание услуг по техническому обслуживанию системы видеонаблюдения</v>
      </c>
      <c r="G14688" s="22" t="s">
        <v>50</v>
      </c>
      <c r="H14688" s="22" t="s">
        <v>14295</v>
      </c>
      <c r="I14688" s="26">
        <v>43514</v>
      </c>
      <c r="J14688" s="28" t="s">
        <v>52</v>
      </c>
      <c r="K14688" s="28" t="s">
        <v>52</v>
      </c>
      <c r="L14688" s="28" t="s">
        <v>52</v>
      </c>
      <c r="M14688" s="28" t="s">
        <v>52</v>
      </c>
      <c r="N14688" s="28" t="s">
        <v>52</v>
      </c>
    </row>
    <row r="14689" spans="1:14" hidden="1" outlineLevel="1" x14ac:dyDescent="0.15">
      <c r="A14689" s="23" t="str">
        <f>HYPERLINK("https://www.spark-marketing.ru/Card/Person/1058567", "МДОУ ""ДЕТСКИЙ САД ОБЩЕРАЗВИВАЮЩЕГО ВИДА ""ЯГОДКА""""")</f>
        <v>МДОУ "ДЕТСКИЙ САД ОБЩЕРАЗВИВАЮЩЕГО ВИДА "ЯГОДКА""</v>
      </c>
      <c r="B14689" s="24" t="s">
        <v>16933</v>
      </c>
      <c r="C14689" s="25">
        <v>33750</v>
      </c>
      <c r="D14689" s="22" t="s">
        <v>16919</v>
      </c>
      <c r="E14689" s="22" t="s">
        <v>234</v>
      </c>
      <c r="F14689" s="23" t="str">
        <f t="shared" si="773"/>
        <v>Оказание услуг по техническому обслуживанию системы видеонаблюдения</v>
      </c>
      <c r="G14689" s="22" t="s">
        <v>50</v>
      </c>
      <c r="H14689" s="22" t="s">
        <v>14295</v>
      </c>
      <c r="I14689" s="26">
        <v>43514</v>
      </c>
      <c r="J14689" s="28" t="s">
        <v>52</v>
      </c>
      <c r="K14689" s="28" t="s">
        <v>52</v>
      </c>
      <c r="L14689" s="28" t="s">
        <v>52</v>
      </c>
      <c r="M14689" s="28" t="s">
        <v>52</v>
      </c>
      <c r="N14689" s="28" t="s">
        <v>52</v>
      </c>
    </row>
    <row r="14690" spans="1:14" hidden="1" outlineLevel="1" x14ac:dyDescent="0.15">
      <c r="A14690" s="23" t="str">
        <f>HYPERLINK("https://www.spark-marketing.ru/Card/Person/1059050", "МОУ ""ПЕТРОВСКАЯ СОШ""")</f>
        <v>МОУ "ПЕТРОВСКАЯ СОШ"</v>
      </c>
      <c r="B14690" s="24" t="s">
        <v>16934</v>
      </c>
      <c r="C14690" s="25">
        <v>33750</v>
      </c>
      <c r="D14690" s="22" t="s">
        <v>16919</v>
      </c>
      <c r="E14690" s="22" t="s">
        <v>234</v>
      </c>
      <c r="F14690" s="23" t="str">
        <f t="shared" si="773"/>
        <v>Оказание услуг по техническому обслуживанию системы видеонаблюдения</v>
      </c>
      <c r="G14690" s="22" t="s">
        <v>50</v>
      </c>
      <c r="H14690" s="22" t="s">
        <v>14295</v>
      </c>
      <c r="I14690" s="26">
        <v>43514</v>
      </c>
      <c r="J14690" s="28" t="s">
        <v>52</v>
      </c>
      <c r="K14690" s="28" t="s">
        <v>52</v>
      </c>
      <c r="L14690" s="28" t="s">
        <v>52</v>
      </c>
      <c r="M14690" s="28" t="s">
        <v>52</v>
      </c>
      <c r="N14690" s="28" t="s">
        <v>52</v>
      </c>
    </row>
    <row r="14691" spans="1:14" hidden="1" outlineLevel="1" x14ac:dyDescent="0.15">
      <c r="A14691" s="23" t="str">
        <f>HYPERLINK("https://www.spark-marketing.ru/Card/Person/1059189", "МДОУ ""ДЕТСКИЙ САД ОБЩЕРАЗВИВАЮЩЕГО ВИДА ""РОСИНКА""")</f>
        <v>МДОУ "ДЕТСКИЙ САД ОБЩЕРАЗВИВАЮЩЕГО ВИДА "РОСИНКА"</v>
      </c>
      <c r="B14691" s="24" t="s">
        <v>16935</v>
      </c>
      <c r="C14691" s="25">
        <v>33750</v>
      </c>
      <c r="D14691" s="22" t="s">
        <v>16919</v>
      </c>
      <c r="E14691" s="22" t="s">
        <v>234</v>
      </c>
      <c r="F14691" s="23" t="str">
        <f t="shared" si="773"/>
        <v>Оказание услуг по техническому обслуживанию системы видеонаблюдения</v>
      </c>
      <c r="G14691" s="22" t="s">
        <v>50</v>
      </c>
      <c r="H14691" s="22" t="s">
        <v>14295</v>
      </c>
      <c r="I14691" s="26">
        <v>43514</v>
      </c>
      <c r="J14691" s="28" t="s">
        <v>52</v>
      </c>
      <c r="K14691" s="28" t="s">
        <v>52</v>
      </c>
      <c r="L14691" s="28" t="s">
        <v>52</v>
      </c>
      <c r="M14691" s="28" t="s">
        <v>52</v>
      </c>
      <c r="N14691" s="28" t="s">
        <v>52</v>
      </c>
    </row>
    <row r="14692" spans="1:14" hidden="1" outlineLevel="1" x14ac:dyDescent="0.15">
      <c r="A14692" s="23" t="str">
        <f>HYPERLINK("https://www.spark-marketing.ru/Card/Person/1082934", "МОУ ""ДМИТРИЕВСКАЯ ООШ""")</f>
        <v>МОУ "ДМИТРИЕВСКАЯ ООШ"</v>
      </c>
      <c r="B14692" s="24" t="s">
        <v>16936</v>
      </c>
      <c r="C14692" s="25">
        <v>39558.69</v>
      </c>
      <c r="D14692" s="22" t="s">
        <v>16919</v>
      </c>
      <c r="E14692" s="22" t="s">
        <v>234</v>
      </c>
      <c r="F14692" s="23" t="str">
        <f t="shared" si="773"/>
        <v>Оказание услуг по техническому обслуживанию системы видеонаблюдения</v>
      </c>
      <c r="G14692" s="22" t="s">
        <v>50</v>
      </c>
      <c r="H14692" s="22" t="s">
        <v>14295</v>
      </c>
      <c r="I14692" s="26">
        <v>43514</v>
      </c>
      <c r="J14692" s="28" t="s">
        <v>52</v>
      </c>
      <c r="K14692" s="28" t="s">
        <v>52</v>
      </c>
      <c r="L14692" s="28" t="s">
        <v>52</v>
      </c>
      <c r="M14692" s="28" t="s">
        <v>52</v>
      </c>
      <c r="N14692" s="28" t="s">
        <v>52</v>
      </c>
    </row>
    <row r="14693" spans="1:14" hidden="1" outlineLevel="1" x14ac:dyDescent="0.15">
      <c r="A14693" s="23" t="str">
        <f>HYPERLINK("https://www.spark-marketing.ru/Card/Person/1083044", "МДОУ ""ЦРР - ДЕТСКИЙ САД №7 ""АЛЕНУШКА""")</f>
        <v>МДОУ "ЦРР - ДЕТСКИЙ САД №7 "АЛЕНУШКА"</v>
      </c>
      <c r="B14693" s="24" t="s">
        <v>16937</v>
      </c>
      <c r="C14693" s="25">
        <v>34010.01</v>
      </c>
      <c r="D14693" s="22" t="s">
        <v>16919</v>
      </c>
      <c r="E14693" s="22" t="s">
        <v>234</v>
      </c>
      <c r="F14693" s="23" t="str">
        <f t="shared" si="773"/>
        <v>Оказание услуг по техническому обслуживанию системы видеонаблюдения</v>
      </c>
      <c r="G14693" s="22" t="s">
        <v>50</v>
      </c>
      <c r="H14693" s="22" t="s">
        <v>14295</v>
      </c>
      <c r="I14693" s="26">
        <v>43514</v>
      </c>
      <c r="J14693" s="28" t="s">
        <v>52</v>
      </c>
      <c r="K14693" s="28" t="s">
        <v>52</v>
      </c>
      <c r="L14693" s="28" t="s">
        <v>52</v>
      </c>
      <c r="M14693" s="28" t="s">
        <v>52</v>
      </c>
      <c r="N14693" s="28" t="s">
        <v>52</v>
      </c>
    </row>
    <row r="14694" spans="1:14" hidden="1" outlineLevel="1" x14ac:dyDescent="0.15">
      <c r="A14694" s="23" t="str">
        <f>HYPERLINK("https://www.spark-marketing.ru/Card/Person/1083286", "МДОУ ""КОЛОКОЛЬЧИК""")</f>
        <v>МДОУ "КОЛОКОЛЬЧИК"</v>
      </c>
      <c r="B14694" s="24" t="s">
        <v>16938</v>
      </c>
      <c r="C14694" s="25">
        <v>33750</v>
      </c>
      <c r="D14694" s="22" t="s">
        <v>16919</v>
      </c>
      <c r="E14694" s="22" t="s">
        <v>234</v>
      </c>
      <c r="F14694" s="23" t="str">
        <f t="shared" si="773"/>
        <v>Оказание услуг по техническому обслуживанию системы видеонаблюдения</v>
      </c>
      <c r="G14694" s="22" t="s">
        <v>50</v>
      </c>
      <c r="H14694" s="22" t="s">
        <v>14295</v>
      </c>
      <c r="I14694" s="26">
        <v>43514</v>
      </c>
      <c r="J14694" s="28" t="s">
        <v>52</v>
      </c>
      <c r="K14694" s="28" t="s">
        <v>52</v>
      </c>
      <c r="L14694" s="28" t="s">
        <v>52</v>
      </c>
      <c r="M14694" s="28" t="s">
        <v>52</v>
      </c>
      <c r="N14694" s="28" t="s">
        <v>52</v>
      </c>
    </row>
    <row r="14695" spans="1:14" hidden="1" outlineLevel="1" x14ac:dyDescent="0.15">
      <c r="A14695" s="23" t="str">
        <f>HYPERLINK("https://www.spark-marketing.ru/Card/Person/1083784", "ДОУ ""СВЕТЛЯЧОК""")</f>
        <v>ДОУ "СВЕТЛЯЧОК"</v>
      </c>
      <c r="B14695" s="24" t="s">
        <v>16939</v>
      </c>
      <c r="C14695" s="25">
        <v>33750</v>
      </c>
      <c r="D14695" s="22" t="s">
        <v>16919</v>
      </c>
      <c r="E14695" s="22" t="s">
        <v>234</v>
      </c>
      <c r="F14695" s="23" t="str">
        <f t="shared" si="773"/>
        <v>Оказание услуг по техническому обслуживанию системы видеонаблюдения</v>
      </c>
      <c r="G14695" s="22" t="s">
        <v>50</v>
      </c>
      <c r="H14695" s="22" t="s">
        <v>14295</v>
      </c>
      <c r="I14695" s="26">
        <v>43514</v>
      </c>
      <c r="J14695" s="28" t="s">
        <v>52</v>
      </c>
      <c r="K14695" s="28" t="s">
        <v>52</v>
      </c>
      <c r="L14695" s="28" t="s">
        <v>52</v>
      </c>
      <c r="M14695" s="28" t="s">
        <v>52</v>
      </c>
      <c r="N14695" s="28" t="s">
        <v>52</v>
      </c>
    </row>
    <row r="14696" spans="1:14" hidden="1" outlineLevel="1" x14ac:dyDescent="0.15">
      <c r="A14696" s="23" t="str">
        <f>HYPERLINK("https://www.spark-marketing.ru/Card/Person/1085777", "МДОУ ""ДЕТСКИЙ САД ОБЩЕРАЗВИВАЮЩЕГО ВИДА ""КОЛОСОК""")</f>
        <v>МДОУ "ДЕТСКИЙ САД ОБЩЕРАЗВИВАЮЩЕГО ВИДА "КОЛОСОК"</v>
      </c>
      <c r="B14696" s="24" t="s">
        <v>16940</v>
      </c>
      <c r="C14696" s="25">
        <v>33750</v>
      </c>
      <c r="D14696" s="22" t="s">
        <v>16919</v>
      </c>
      <c r="E14696" s="22" t="s">
        <v>234</v>
      </c>
      <c r="F14696" s="23" t="str">
        <f t="shared" si="773"/>
        <v>Оказание услуг по техническому обслуживанию системы видеонаблюдения</v>
      </c>
      <c r="G14696" s="22" t="s">
        <v>50</v>
      </c>
      <c r="H14696" s="22" t="s">
        <v>14295</v>
      </c>
      <c r="I14696" s="26">
        <v>43514</v>
      </c>
      <c r="J14696" s="28" t="s">
        <v>52</v>
      </c>
      <c r="K14696" s="28" t="s">
        <v>52</v>
      </c>
      <c r="L14696" s="28" t="s">
        <v>52</v>
      </c>
      <c r="M14696" s="28" t="s">
        <v>52</v>
      </c>
      <c r="N14696" s="28" t="s">
        <v>52</v>
      </c>
    </row>
    <row r="14697" spans="1:14" hidden="1" outlineLevel="1" x14ac:dyDescent="0.15">
      <c r="A14697" s="23" t="str">
        <f>HYPERLINK("https://www.spark-marketing.ru/Card/Person/1328970", "МДОУ ""ДЕТСКИЙ САД КОМБИНИРОВАННОГО ВИДА №5 ""ЖУРАВУШКА""")</f>
        <v>МДОУ "ДЕТСКИЙ САД КОМБИНИРОВАННОГО ВИДА №5 "ЖУРАВУШКА"</v>
      </c>
      <c r="B14697" s="24" t="s">
        <v>16941</v>
      </c>
      <c r="C14697" s="25">
        <v>33090</v>
      </c>
      <c r="D14697" s="22" t="s">
        <v>16919</v>
      </c>
      <c r="E14697" s="22" t="s">
        <v>234</v>
      </c>
      <c r="F14697" s="23" t="str">
        <f t="shared" si="773"/>
        <v>Оказание услуг по техническому обслуживанию системы видеонаблюдения</v>
      </c>
      <c r="G14697" s="22" t="s">
        <v>50</v>
      </c>
      <c r="H14697" s="22" t="s">
        <v>14295</v>
      </c>
      <c r="I14697" s="26">
        <v>43514</v>
      </c>
      <c r="J14697" s="28" t="s">
        <v>52</v>
      </c>
      <c r="K14697" s="28" t="s">
        <v>52</v>
      </c>
      <c r="L14697" s="28" t="s">
        <v>52</v>
      </c>
      <c r="M14697" s="28" t="s">
        <v>52</v>
      </c>
      <c r="N14697" s="28" t="s">
        <v>52</v>
      </c>
    </row>
    <row r="14698" spans="1:14" hidden="1" outlineLevel="1" x14ac:dyDescent="0.2">
      <c r="A14698" s="28" t="s">
        <v>52</v>
      </c>
      <c r="B14698" s="28" t="s">
        <v>52</v>
      </c>
      <c r="C14698" s="28" t="s">
        <v>52</v>
      </c>
      <c r="D14698" s="22" t="s">
        <v>16919</v>
      </c>
      <c r="E14698" s="22" t="s">
        <v>234</v>
      </c>
      <c r="F14698" s="23" t="str">
        <f t="shared" si="773"/>
        <v>Оказание услуг по техническому обслуживанию системы видеонаблюдения</v>
      </c>
      <c r="G14698" s="22" t="s">
        <v>52</v>
      </c>
      <c r="H14698" s="22" t="s">
        <v>52</v>
      </c>
      <c r="I14698" s="26">
        <v>43514</v>
      </c>
      <c r="J14698" s="23" t="str">
        <f>HYPERLINK("https://www.spark-marketing.ru/Card/Person/6328809", "ООО ""КОСБИ""")</f>
        <v>ООО "КОСБИ"</v>
      </c>
      <c r="K14698" s="24" t="s">
        <v>1881</v>
      </c>
      <c r="L14698" s="22" t="s">
        <v>10</v>
      </c>
      <c r="M14698" s="25">
        <v>85000</v>
      </c>
      <c r="N14698" s="27">
        <v>0.89470426888714305</v>
      </c>
    </row>
    <row r="14699" spans="1:14" hidden="1" outlineLevel="1" x14ac:dyDescent="0.2">
      <c r="A14699" s="28" t="s">
        <v>52</v>
      </c>
      <c r="B14699" s="28" t="s">
        <v>52</v>
      </c>
      <c r="C14699" s="28" t="s">
        <v>52</v>
      </c>
      <c r="D14699" s="22" t="s">
        <v>16919</v>
      </c>
      <c r="E14699" s="22" t="s">
        <v>234</v>
      </c>
      <c r="F14699" s="23" t="str">
        <f t="shared" si="773"/>
        <v>Оказание услуг по техническому обслуживанию системы видеонаблюдения</v>
      </c>
      <c r="G14699" s="22" t="s">
        <v>52</v>
      </c>
      <c r="H14699" s="22" t="s">
        <v>52</v>
      </c>
      <c r="I14699" s="26">
        <v>43514</v>
      </c>
      <c r="J14699" s="23" t="str">
        <f>HYPERLINK("https://www.spark-marketing.ru/Card/Person/6500752", "ООО ""ТЕСЛА СВЯЗЬ""")</f>
        <v>ООО "ТЕСЛА СВЯЗЬ"</v>
      </c>
      <c r="K14699" s="24" t="s">
        <v>16942</v>
      </c>
      <c r="L14699" s="28" t="s">
        <v>52</v>
      </c>
      <c r="M14699" s="25">
        <v>90000</v>
      </c>
      <c r="N14699" s="27">
        <v>0.88851040235109269</v>
      </c>
    </row>
    <row r="14700" spans="1:14" hidden="1" outlineLevel="1" x14ac:dyDescent="0.2">
      <c r="A14700" s="28" t="s">
        <v>52</v>
      </c>
      <c r="B14700" s="28" t="s">
        <v>52</v>
      </c>
      <c r="C14700" s="28" t="s">
        <v>52</v>
      </c>
      <c r="D14700" s="22" t="s">
        <v>16919</v>
      </c>
      <c r="E14700" s="22" t="s">
        <v>234</v>
      </c>
      <c r="F14700" s="23" t="str">
        <f t="shared" si="773"/>
        <v>Оказание услуг по техническому обслуживанию системы видеонаблюдения</v>
      </c>
      <c r="G14700" s="22" t="s">
        <v>52</v>
      </c>
      <c r="H14700" s="22" t="s">
        <v>52</v>
      </c>
      <c r="I14700" s="26">
        <v>43514</v>
      </c>
      <c r="J14700" s="23" t="str">
        <f>HYPERLINK("https://www.spark-marketing.ru/Card/Person/404814", "ООО ""ИНТЕГРАЛ""")</f>
        <v>ООО "ИНТЕГРАЛ"</v>
      </c>
      <c r="K14700" s="24" t="s">
        <v>16943</v>
      </c>
      <c r="L14700" s="28" t="s">
        <v>52</v>
      </c>
      <c r="M14700" s="25">
        <v>710380.14</v>
      </c>
      <c r="N14700" s="27">
        <v>0.12000004459583906</v>
      </c>
    </row>
    <row r="14701" spans="1:14" hidden="1" outlineLevel="1" x14ac:dyDescent="0.2">
      <c r="A14701" s="28" t="s">
        <v>52</v>
      </c>
      <c r="B14701" s="28" t="s">
        <v>52</v>
      </c>
      <c r="C14701" s="28" t="s">
        <v>52</v>
      </c>
      <c r="D14701" s="22" t="s">
        <v>16919</v>
      </c>
      <c r="E14701" s="22" t="s">
        <v>234</v>
      </c>
      <c r="F14701" s="23" t="str">
        <f t="shared" si="773"/>
        <v>Оказание услуг по техническому обслуживанию системы видеонаблюдения</v>
      </c>
      <c r="G14701" s="22" t="s">
        <v>52</v>
      </c>
      <c r="H14701" s="22" t="s">
        <v>52</v>
      </c>
      <c r="I14701" s="26">
        <v>43514</v>
      </c>
      <c r="J14701" s="23" t="str">
        <f>HYPERLINK("https://www.spark-marketing.ru/Card/Person/706235", "ООО ""КОМПАНИЯ ЕРМАК""")</f>
        <v>ООО "КОМПАНИЯ ЕРМАК"</v>
      </c>
      <c r="K14701" s="24" t="s">
        <v>16944</v>
      </c>
      <c r="L14701" s="28" t="s">
        <v>52</v>
      </c>
      <c r="M14701" s="25">
        <v>132963.74</v>
      </c>
      <c r="N14701" s="27">
        <v>0.8352880680611785</v>
      </c>
    </row>
    <row r="14702" spans="1:14" hidden="1" outlineLevel="1" x14ac:dyDescent="0.2">
      <c r="A14702" s="28" t="s">
        <v>52</v>
      </c>
      <c r="B14702" s="28" t="s">
        <v>52</v>
      </c>
      <c r="C14702" s="28" t="s">
        <v>52</v>
      </c>
      <c r="D14702" s="22" t="s">
        <v>16919</v>
      </c>
      <c r="E14702" s="22" t="s">
        <v>234</v>
      </c>
      <c r="F14702" s="23" t="str">
        <f t="shared" si="773"/>
        <v>Оказание услуг по техническому обслуживанию системы видеонаблюдения</v>
      </c>
      <c r="G14702" s="22" t="s">
        <v>52</v>
      </c>
      <c r="H14702" s="22" t="s">
        <v>52</v>
      </c>
      <c r="I14702" s="26">
        <v>43514</v>
      </c>
      <c r="J14702" s="23" t="str">
        <f>HYPERLINK("https://www.spark-marketing.ru/Card/Person/6094662", "ООО ""АЙТИ СГ""")</f>
        <v>ООО "АЙТИ СГ"</v>
      </c>
      <c r="K14702" s="24" t="s">
        <v>16945</v>
      </c>
      <c r="L14702" s="28" t="s">
        <v>52</v>
      </c>
      <c r="M14702" s="25">
        <v>500000</v>
      </c>
      <c r="N14702" s="27">
        <v>0.38061334639495908</v>
      </c>
    </row>
    <row r="14703" spans="1:14" hidden="1" outlineLevel="1" x14ac:dyDescent="0.2">
      <c r="A14703" s="28" t="s">
        <v>52</v>
      </c>
      <c r="B14703" s="28" t="s">
        <v>52</v>
      </c>
      <c r="C14703" s="28" t="s">
        <v>52</v>
      </c>
      <c r="D14703" s="22" t="s">
        <v>16919</v>
      </c>
      <c r="E14703" s="22" t="s">
        <v>234</v>
      </c>
      <c r="F14703" s="23" t="str">
        <f t="shared" si="773"/>
        <v>Оказание услуг по техническому обслуживанию системы видеонаблюдения</v>
      </c>
      <c r="G14703" s="22" t="s">
        <v>52</v>
      </c>
      <c r="H14703" s="22" t="s">
        <v>52</v>
      </c>
      <c r="I14703" s="26">
        <v>43514</v>
      </c>
      <c r="J14703" s="23" t="str">
        <f>HYPERLINK("https://www.spark-marketing.ru/Card/Person/6445825", "Судариков Михаил Геннадьевич")</f>
        <v>Судариков Михаил Геннадьевич</v>
      </c>
      <c r="K14703" s="24" t="s">
        <v>1219</v>
      </c>
      <c r="L14703" s="28" t="s">
        <v>52</v>
      </c>
      <c r="M14703" s="25">
        <v>500000</v>
      </c>
      <c r="N14703" s="27">
        <v>0.38061334639495908</v>
      </c>
    </row>
    <row r="14704" spans="1:14" x14ac:dyDescent="0.15">
      <c r="A14704" s="23" t="str">
        <f>HYPERLINK("https://www.spark-marketing.ru/Card/Person/19478", "МИНЮСТ РД")</f>
        <v>МИНЮСТ РД</v>
      </c>
      <c r="B14704" s="24" t="s">
        <v>5733</v>
      </c>
      <c r="C14704" s="25">
        <v>77659.199999999997</v>
      </c>
      <c r="D14704" s="22" t="s">
        <v>16946</v>
      </c>
      <c r="E14704" s="22" t="s">
        <v>68</v>
      </c>
      <c r="F14704" s="23" t="str">
        <f>HYPERLINK("https://www.spark-marketing.ru/Card/Lot/68022875", "Услуги по охране объектов с выводом на пульт централизованной охраны")</f>
        <v>Услуги по охране объектов с выводом на пульт централизованной охраны</v>
      </c>
      <c r="G14704" s="22" t="s">
        <v>595</v>
      </c>
      <c r="H14704" s="22" t="s">
        <v>3766</v>
      </c>
      <c r="I14704" s="26">
        <v>43514</v>
      </c>
      <c r="J14704" s="28" t="s">
        <v>52</v>
      </c>
      <c r="K14704" s="28" t="s">
        <v>52</v>
      </c>
      <c r="L14704" s="28" t="s">
        <v>52</v>
      </c>
      <c r="M14704" s="28" t="s">
        <v>52</v>
      </c>
      <c r="N14704" s="28" t="s">
        <v>52</v>
      </c>
    </row>
    <row r="14705" spans="1:14" x14ac:dyDescent="0.15">
      <c r="A14705" s="23" t="str">
        <f>HYPERLINK("https://www.spark-marketing.ru/Card/Person/53757", "УФСБ РОССИИ ПО ПЕРМСКОМУ КРАЮ")</f>
        <v>УФСБ РОССИИ ПО ПЕРМСКОМУ КРАЮ</v>
      </c>
      <c r="B14705" s="24" t="s">
        <v>12384</v>
      </c>
      <c r="C14705" s="25">
        <v>370000</v>
      </c>
      <c r="D14705" s="22" t="s">
        <v>16947</v>
      </c>
      <c r="E14705" s="22" t="s">
        <v>208</v>
      </c>
      <c r="F14705" s="23" t="str">
        <f>HYPERLINK("https://www.spark-marketing.ru/Card/Lot/68011451", "Техническое обслуживание охранной сигнализации")</f>
        <v>Техническое обслуживание охранной сигнализации</v>
      </c>
      <c r="G14705" s="22" t="s">
        <v>391</v>
      </c>
      <c r="H14705" s="22" t="s">
        <v>392</v>
      </c>
      <c r="I14705" s="26">
        <v>43514</v>
      </c>
      <c r="J14705" s="28" t="s">
        <v>52</v>
      </c>
      <c r="K14705" s="28" t="s">
        <v>52</v>
      </c>
      <c r="L14705" s="28" t="s">
        <v>52</v>
      </c>
      <c r="M14705" s="28" t="s">
        <v>52</v>
      </c>
      <c r="N14705" s="28" t="s">
        <v>52</v>
      </c>
    </row>
    <row r="14706" spans="1:14" x14ac:dyDescent="0.15">
      <c r="A14706" s="23" t="str">
        <f>HYPERLINK("https://www.spark-marketing.ru/Card/Person/46744", "ОГБУЗ ""ГУБКИНСКАЯ ЦРБ""")</f>
        <v>ОГБУЗ "ГУБКИНСКАЯ ЦРБ"</v>
      </c>
      <c r="B14706" s="24" t="s">
        <v>16948</v>
      </c>
      <c r="C14706" s="25">
        <v>486438</v>
      </c>
      <c r="D14706" s="22" t="s">
        <v>16949</v>
      </c>
      <c r="E14706" s="22" t="s">
        <v>52</v>
      </c>
      <c r="F14706" s="23" t="str">
        <f>HYPERLINK("https://www.spark-marketing.ru/Card/Lot/68046382", "Оказание услуг по охране помещений путем приема тревожных сообщений с пульта централизованной охраны и выезда группы задержания")</f>
        <v>Оказание услуг по охране помещений путем приема тревожных сообщений с пульта централизованной охраны и выезда группы задержания</v>
      </c>
      <c r="G14706" s="22" t="s">
        <v>176</v>
      </c>
      <c r="H14706" s="22" t="s">
        <v>4687</v>
      </c>
      <c r="I14706" s="26">
        <v>43514</v>
      </c>
      <c r="J14706" s="23" t="str">
        <f>HYPERLINK("https://www.spark-marketing.ru/Card/Person/501495", "ООО ""ЧАСТНАЯ ОХРАННАЯ ОРГАНИЗАЦИЯ ""БАРЬЕР""")</f>
        <v>ООО "ЧАСТНАЯ ОХРАННАЯ ОРГАНИЗАЦИЯ "БАРЬЕР"</v>
      </c>
      <c r="K14706" s="24" t="s">
        <v>16950</v>
      </c>
      <c r="L14706" s="28" t="s">
        <v>52</v>
      </c>
      <c r="M14706" s="28" t="s">
        <v>52</v>
      </c>
      <c r="N14706" s="28" t="s">
        <v>52</v>
      </c>
    </row>
    <row r="14707" spans="1:14" ht="12.75" hidden="1" outlineLevel="1" x14ac:dyDescent="0.2">
      <c r="A14707" s="23" t="str">
        <f>HYPERLINK("https://www.spark-marketing.ru/Card/Person/46744", "ОГБУЗ ""ГУБКИНСКАЯ ЦРБ""")</f>
        <v>ОГБУЗ "ГУБКИНСКАЯ ЦРБ"</v>
      </c>
      <c r="B14707" s="24" t="s">
        <v>16948</v>
      </c>
      <c r="C14707" s="25">
        <v>486438</v>
      </c>
      <c r="D14707" s="22" t="s">
        <v>16949</v>
      </c>
      <c r="E14707" s="22" t="s">
        <v>52</v>
      </c>
      <c r="F14707" s="23" t="str">
        <f>HYPERLINK("https://www.spark-marketing.ru/Card/Lot/68046382", "Оказание услуг по охране помещений путем приема тревожных сообщений с пульта централизованной охраны и выезда группы задержания")</f>
        <v>Оказание услуг по охране помещений путем приема тревожных сообщений с пульта централизованной охраны и выезда группы задержания</v>
      </c>
      <c r="G14707" s="22" t="s">
        <v>176</v>
      </c>
      <c r="H14707" s="22" t="s">
        <v>4687</v>
      </c>
      <c r="I14707" s="26">
        <v>43514</v>
      </c>
      <c r="J14707" s="23" t="str">
        <f>HYPERLINK("https://www.spark-marketing.ru/Card/Person/501495", "ООО ""ЧАСТНАЯ ОХРАННАЯ ОРГАНИЗАЦИЯ ""БАРЬЕР""")</f>
        <v>ООО "ЧАСТНАЯ ОХРАННАЯ ОРГАНИЗАЦИЯ "БАРЬЕР"</v>
      </c>
      <c r="K14707" s="24" t="s">
        <v>16950</v>
      </c>
      <c r="L14707" s="22" t="s">
        <v>10</v>
      </c>
      <c r="M14707" s="25">
        <v>484005.81</v>
      </c>
      <c r="N14707" s="27">
        <v>5.0000000000000001E-3</v>
      </c>
    </row>
    <row r="14708" spans="1:14" x14ac:dyDescent="0.15">
      <c r="A14708" s="23" t="str">
        <f>HYPERLINK("https://www.spark-marketing.ru/Card/Person/996209", "МДОУ СТАНЦИОННОЯКУШКИНСКИЙ ДЕТСКИЙ САД ""СОЛНЫШКО""")</f>
        <v>МДОУ СТАНЦИОННОЯКУШКИНСКИЙ ДЕТСКИЙ САД "СОЛНЫШКО"</v>
      </c>
      <c r="B14708" s="24" t="s">
        <v>16951</v>
      </c>
      <c r="C14708" s="25">
        <v>16200</v>
      </c>
      <c r="D14708" s="22" t="s">
        <v>16952</v>
      </c>
      <c r="E14708" s="22" t="s">
        <v>68</v>
      </c>
      <c r="F14708" s="23" t="str">
        <f>HYPERLINK("https://www.spark-marketing.ru/Card/Lot/68025134",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4708" s="22" t="s">
        <v>446</v>
      </c>
      <c r="H14708" s="22" t="s">
        <v>16876</v>
      </c>
      <c r="I14708" s="26">
        <v>43514</v>
      </c>
      <c r="J14708" s="28" t="s">
        <v>52</v>
      </c>
      <c r="K14708" s="28" t="s">
        <v>52</v>
      </c>
      <c r="L14708" s="28" t="s">
        <v>52</v>
      </c>
      <c r="M14708" s="28" t="s">
        <v>52</v>
      </c>
      <c r="N14708" s="28" t="s">
        <v>52</v>
      </c>
    </row>
    <row r="14709" spans="1:14" ht="12.75" hidden="1" outlineLevel="1" x14ac:dyDescent="0.2">
      <c r="A14709" s="23" t="str">
        <f>HYPERLINK("https://www.spark-marketing.ru/Card/Person/996209", "МДОУ СТАНЦИОННОЯКУШКИНСКИЙ ДЕТСКИЙ САД ""СОЛНЫШКО""")</f>
        <v>МДОУ СТАНЦИОННОЯКУШКИНСКИЙ ДЕТСКИЙ САД "СОЛНЫШКО"</v>
      </c>
      <c r="B14709" s="24" t="s">
        <v>16951</v>
      </c>
      <c r="C14709" s="25">
        <v>16200</v>
      </c>
      <c r="D14709" s="22" t="s">
        <v>16952</v>
      </c>
      <c r="E14709" s="22" t="s">
        <v>68</v>
      </c>
      <c r="F14709" s="23" t="str">
        <f>HYPERLINK("https://www.spark-marketing.ru/Card/Lot/68025134",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4709" s="22" t="s">
        <v>446</v>
      </c>
      <c r="H14709" s="22" t="s">
        <v>16876</v>
      </c>
      <c r="I14709" s="26">
        <v>43514</v>
      </c>
      <c r="J14709" s="23" t="str">
        <f>HYPERLINK("https://www.spark-marketing.ru/Card/Person/5946939", "ООО АО ""АРМАДА""")</f>
        <v>ООО АО "АРМАДА"</v>
      </c>
      <c r="K14709" s="24" t="s">
        <v>12927</v>
      </c>
      <c r="L14709" s="22" t="s">
        <v>10</v>
      </c>
      <c r="M14709" s="25">
        <v>6000</v>
      </c>
      <c r="N14709" s="27">
        <v>0.62962962962962965</v>
      </c>
    </row>
    <row r="14710" spans="1:14" hidden="1" outlineLevel="1" x14ac:dyDescent="0.2">
      <c r="A14710" s="23" t="str">
        <f>HYPERLINK("https://www.spark-marketing.ru/Card/Person/996209", "МДОУ СТАНЦИОННОЯКУШКИНСКИЙ ДЕТСКИЙ САД ""СОЛНЫШКО""")</f>
        <v>МДОУ СТАНЦИОННОЯКУШКИНСКИЙ ДЕТСКИЙ САД "СОЛНЫШКО"</v>
      </c>
      <c r="B14710" s="24" t="s">
        <v>16951</v>
      </c>
      <c r="C14710" s="25">
        <v>16200</v>
      </c>
      <c r="D14710" s="22" t="s">
        <v>16952</v>
      </c>
      <c r="E14710" s="22" t="s">
        <v>68</v>
      </c>
      <c r="F14710" s="23" t="str">
        <f>HYPERLINK("https://www.spark-marketing.ru/Card/Lot/68025134",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4710" s="22" t="s">
        <v>446</v>
      </c>
      <c r="H14710" s="22" t="s">
        <v>16876</v>
      </c>
      <c r="I14710" s="26">
        <v>43514</v>
      </c>
      <c r="J14710" s="23" t="str">
        <f>HYPERLINK("https://www.spark-marketing.ru/Card/Person/124094", "ООО ЧОО ""РЕДУТ+""")</f>
        <v>ООО ЧОО "РЕДУТ+"</v>
      </c>
      <c r="K14710" s="24" t="s">
        <v>16877</v>
      </c>
      <c r="L14710" s="28" t="s">
        <v>52</v>
      </c>
      <c r="M14710" s="25">
        <v>7000</v>
      </c>
      <c r="N14710" s="27">
        <v>0.5679012345679012</v>
      </c>
    </row>
    <row r="14711" spans="1:14" hidden="1" outlineLevel="1" x14ac:dyDescent="0.2">
      <c r="A14711" s="23" t="str">
        <f>HYPERLINK("https://www.spark-marketing.ru/Card/Person/996209", "МДОУ СТАНЦИОННОЯКУШКИНСКИЙ ДЕТСКИЙ САД ""СОЛНЫШКО""")</f>
        <v>МДОУ СТАНЦИОННОЯКУШКИНСКИЙ ДЕТСКИЙ САД "СОЛНЫШКО"</v>
      </c>
      <c r="B14711" s="24" t="s">
        <v>16951</v>
      </c>
      <c r="C14711" s="25">
        <v>16200</v>
      </c>
      <c r="D14711" s="22" t="s">
        <v>16952</v>
      </c>
      <c r="E14711" s="22" t="s">
        <v>68</v>
      </c>
      <c r="F14711" s="23" t="str">
        <f>HYPERLINK("https://www.spark-marketing.ru/Card/Lot/68025134",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4711" s="22" t="s">
        <v>446</v>
      </c>
      <c r="H14711" s="22" t="s">
        <v>16876</v>
      </c>
      <c r="I14711" s="26">
        <v>43514</v>
      </c>
      <c r="J14711" s="23" t="str">
        <f>HYPERLINK("https://www.spark-marketing.ru/Card/Person/677682", "ООО ЧОО ""ЦСМ ""ГРОМ""")</f>
        <v>ООО ЧОО "ЦСМ "ГРОМ"</v>
      </c>
      <c r="K14711" s="24" t="s">
        <v>16878</v>
      </c>
      <c r="L14711" s="28" t="s">
        <v>52</v>
      </c>
      <c r="M14711" s="25">
        <v>9800</v>
      </c>
      <c r="N14711" s="27">
        <v>0.39506172839506171</v>
      </c>
    </row>
    <row r="14712" spans="1:14" x14ac:dyDescent="0.2">
      <c r="A14712" s="23" t="str">
        <f>HYPERLINK("https://www.spark-marketing.ru/Card/Person/1018831", "АДМИНИСТРАЦИЯ ТРУСОВСКОГО РАЙОНА ГОРОДА АСТРАХАНИ")</f>
        <v>АДМИНИСТРАЦИЯ ТРУСОВСКОГО РАЙОНА ГОРОДА АСТРАХАНИ</v>
      </c>
      <c r="B14712" s="24" t="s">
        <v>16953</v>
      </c>
      <c r="C14712" s="25">
        <v>29040</v>
      </c>
      <c r="D14712" s="22" t="s">
        <v>16954</v>
      </c>
      <c r="E14712" s="22" t="s">
        <v>53</v>
      </c>
      <c r="F14712" s="23" t="str">
        <f>HYPERLINK("https://www.spark-marketing.ru/Card/Lot/73690852", "Услуга по охране объектов посредством комплекса технических средств охраны и осуществление экстренного выезда наряда полиции")</f>
        <v>Услуга по охране объектов посредством комплекса технических средств охраны и осуществление экстренного выезда наряда полиции</v>
      </c>
      <c r="G14712" s="22" t="s">
        <v>565</v>
      </c>
      <c r="H14712" s="22" t="s">
        <v>566</v>
      </c>
      <c r="I14712" s="26">
        <v>43513.959027777797</v>
      </c>
      <c r="J14712" s="28" t="s">
        <v>52</v>
      </c>
      <c r="K14712" s="28" t="s">
        <v>52</v>
      </c>
      <c r="L14712" s="28" t="s">
        <v>52</v>
      </c>
      <c r="M14712" s="25">
        <v>29040</v>
      </c>
      <c r="N14712" s="27">
        <v>0</v>
      </c>
    </row>
    <row r="14713" spans="1:14" x14ac:dyDescent="0.15">
      <c r="A14713" s="23" t="str">
        <f>HYPERLINK("https://www.spark-marketing.ru/Card/Person/1763890", "АОУ ДЕТСКИЙ САД № 22")</f>
        <v>АОУ ДЕТСКИЙ САД № 22</v>
      </c>
      <c r="B14713" s="24" t="s">
        <v>16955</v>
      </c>
      <c r="C14713" s="25">
        <v>20101.919999999998</v>
      </c>
      <c r="D14713" s="22" t="s">
        <v>16956</v>
      </c>
      <c r="E14713" s="22" t="s">
        <v>107</v>
      </c>
      <c r="F14713" s="23" t="str">
        <f>HYPERLINK("https://www.spark-marketing.ru/Card/Lot/68007447", "Оказание услуг по техническому обслуживанию комплекса технических средств охраны")</f>
        <v>Оказание услуг по техническому обслуживанию комплекса технических средств охраны</v>
      </c>
      <c r="G14713" s="22" t="s">
        <v>50</v>
      </c>
      <c r="H14713" s="22" t="s">
        <v>3866</v>
      </c>
      <c r="I14713" s="26">
        <v>43513.982118055603</v>
      </c>
      <c r="J14713" s="28" t="s">
        <v>52</v>
      </c>
      <c r="K14713" s="28" t="s">
        <v>52</v>
      </c>
      <c r="L14713" s="28" t="s">
        <v>52</v>
      </c>
      <c r="M14713" s="28" t="s">
        <v>52</v>
      </c>
      <c r="N14713" s="28" t="s">
        <v>52</v>
      </c>
    </row>
    <row r="14714" spans="1:14" x14ac:dyDescent="0.15">
      <c r="A14714" s="23" t="str">
        <f>HYPERLINK("https://www.spark-marketing.ru/Card/Person/1000174", "МКОУ ДПО ""УМОЦ""")</f>
        <v>МКОУ ДПО "УМОЦ"</v>
      </c>
      <c r="B14714" s="24" t="s">
        <v>16957</v>
      </c>
      <c r="C14714" s="25">
        <v>30000</v>
      </c>
      <c r="D14714" s="22" t="s">
        <v>16958</v>
      </c>
      <c r="E14714" s="22" t="s">
        <v>103</v>
      </c>
      <c r="F14714" s="23" t="str">
        <f>HYPERLINK("https://www.spark-marketing.ru/Card/Lot/68007108", "Оказание услуг по техническому обслуживанию видеонаблюдения")</f>
        <v>Оказание услуг по техническому обслуживанию видеонаблюдения</v>
      </c>
      <c r="G14714" s="22" t="s">
        <v>50</v>
      </c>
      <c r="H14714" s="22" t="s">
        <v>2391</v>
      </c>
      <c r="I14714" s="26">
        <v>43513.732152777797</v>
      </c>
      <c r="J14714" s="28" t="s">
        <v>52</v>
      </c>
      <c r="K14714" s="28" t="s">
        <v>52</v>
      </c>
      <c r="L14714" s="28" t="s">
        <v>52</v>
      </c>
      <c r="M14714" s="28" t="s">
        <v>52</v>
      </c>
      <c r="N14714" s="28" t="s">
        <v>52</v>
      </c>
    </row>
    <row r="14715" spans="1:14" x14ac:dyDescent="0.15">
      <c r="A14715" s="23" t="str">
        <f>HYPERLINK("https://www.spark-marketing.ru/Card/Person/1042150", "МБУДО ""ДШИ №8""")</f>
        <v>МБУДО "ДШИ №8"</v>
      </c>
      <c r="B14715" s="24" t="s">
        <v>15076</v>
      </c>
      <c r="C14715" s="25">
        <v>18000</v>
      </c>
      <c r="D14715" s="22" t="s">
        <v>16959</v>
      </c>
      <c r="E14715" s="22" t="s">
        <v>103</v>
      </c>
      <c r="F14715" s="23" t="str">
        <f>HYPERLINK("https://www.spark-marketing.ru/Card/Lot/68006606", "Проведение технического обслуживания (ТО), ремонтных и аварийно-восстановительных работ системы видеонаблюдения")</f>
        <v>Проведение технического обслуживания (ТО), ремонтных и аварийно-восстановительных работ системы видеонаблюдения</v>
      </c>
      <c r="G14715" s="22" t="s">
        <v>50</v>
      </c>
      <c r="H14715" s="22" t="s">
        <v>432</v>
      </c>
      <c r="I14715" s="26">
        <v>43513.430324074099</v>
      </c>
      <c r="J14715" s="28" t="s">
        <v>52</v>
      </c>
      <c r="K14715" s="28" t="s">
        <v>52</v>
      </c>
      <c r="L14715" s="28" t="s">
        <v>52</v>
      </c>
      <c r="M14715" s="28" t="s">
        <v>52</v>
      </c>
      <c r="N14715" s="28" t="s">
        <v>52</v>
      </c>
    </row>
    <row r="14716" spans="1:14" x14ac:dyDescent="0.15">
      <c r="A14716" s="23" t="str">
        <f>HYPERLINK("https://www.spark-marketing.ru/Card/Person/74976", "МБОУ СОШ № 2 ПОС.ЗАГОРЯНСКИЙ ЩМР МО")</f>
        <v>МБОУ СОШ № 2 ПОС.ЗАГОРЯНСКИЙ ЩМР МО</v>
      </c>
      <c r="B14716" s="24" t="s">
        <v>16960</v>
      </c>
      <c r="C14716" s="25">
        <v>83280</v>
      </c>
      <c r="D14716" s="22" t="s">
        <v>16961</v>
      </c>
      <c r="E14716" s="22" t="s">
        <v>103</v>
      </c>
      <c r="F14716" s="23" t="str">
        <f>HYPERLINK("https://www.spark-marketing.ru/Card/Lot/68006300", "Оказание услуг по техническому обслуживанию систем видеонаблюдения")</f>
        <v>Оказание услуг по техническому обслуживанию систем видеонаблюдения</v>
      </c>
      <c r="G14716" s="22" t="s">
        <v>50</v>
      </c>
      <c r="H14716" s="22" t="s">
        <v>458</v>
      </c>
      <c r="I14716" s="26">
        <v>43512.940439814804</v>
      </c>
      <c r="J14716" s="28" t="s">
        <v>52</v>
      </c>
      <c r="K14716" s="28" t="s">
        <v>52</v>
      </c>
      <c r="L14716" s="28" t="s">
        <v>52</v>
      </c>
      <c r="M14716" s="28" t="s">
        <v>52</v>
      </c>
      <c r="N14716" s="28" t="s">
        <v>52</v>
      </c>
    </row>
    <row r="14717" spans="1:14" x14ac:dyDescent="0.15">
      <c r="A14717" s="23" t="str">
        <f>HYPERLINK("https://www.spark-marketing.ru/Card/Person/996190", "МБУДО ДЮСШ Г.О. ЛОСИНО-ПЕТРОВСКИЙ")</f>
        <v>МБУДО ДЮСШ Г.О. ЛОСИНО-ПЕТРОВСКИЙ</v>
      </c>
      <c r="B14717" s="24" t="s">
        <v>16962</v>
      </c>
      <c r="C14717" s="25">
        <v>159000</v>
      </c>
      <c r="D14717" s="22" t="s">
        <v>16963</v>
      </c>
      <c r="E14717" s="22" t="s">
        <v>103</v>
      </c>
      <c r="F14717" s="23" t="str">
        <f>HYPERLINK("https://www.spark-marketing.ru/Card/Lot/68006049", "Техническое обслуживание системы видеонаблюдения")</f>
        <v>Техническое обслуживание системы видеонаблюдения</v>
      </c>
      <c r="G14717" s="22" t="s">
        <v>50</v>
      </c>
      <c r="H14717" s="22" t="s">
        <v>3895</v>
      </c>
      <c r="I14717" s="26">
        <v>43512.669606481497</v>
      </c>
      <c r="J14717" s="28" t="s">
        <v>52</v>
      </c>
      <c r="K14717" s="28" t="s">
        <v>52</v>
      </c>
      <c r="L14717" s="28" t="s">
        <v>52</v>
      </c>
      <c r="M14717" s="28" t="s">
        <v>52</v>
      </c>
      <c r="N14717" s="28" t="s">
        <v>52</v>
      </c>
    </row>
    <row r="14718" spans="1:14" x14ac:dyDescent="0.15">
      <c r="A14718" s="23" t="str">
        <f>HYPERLINK("https://www.spark-marketing.ru/Card/Person/47994", "МКУ ""ЕСЕЗ""")</f>
        <v>МКУ "ЕСЕЗ"</v>
      </c>
      <c r="B14718" s="24" t="s">
        <v>16964</v>
      </c>
      <c r="C14718" s="25">
        <v>95000</v>
      </c>
      <c r="D14718" s="22" t="s">
        <v>16965</v>
      </c>
      <c r="E14718" s="22" t="s">
        <v>84</v>
      </c>
      <c r="F14718" s="23" t="str">
        <f>HYPERLINK("https://www.spark-marketing.ru/Card/Lot/68005857", "Установка и монтаж оборудования для видеонаблюдения")</f>
        <v>Установка и монтаж оборудования для видеонаблюдения</v>
      </c>
      <c r="G14718" s="22" t="s">
        <v>50</v>
      </c>
      <c r="H14718" s="22" t="s">
        <v>239</v>
      </c>
      <c r="I14718" s="26">
        <v>43512.586284722202</v>
      </c>
      <c r="J14718" s="28" t="s">
        <v>52</v>
      </c>
      <c r="K14718" s="28" t="s">
        <v>52</v>
      </c>
      <c r="L14718" s="28" t="s">
        <v>52</v>
      </c>
      <c r="M14718" s="28" t="s">
        <v>52</v>
      </c>
      <c r="N14718" s="28" t="s">
        <v>52</v>
      </c>
    </row>
    <row r="14719" spans="1:14" x14ac:dyDescent="0.2">
      <c r="A14719" s="23" t="str">
        <f>HYPERLINK("https://www.spark-marketing.ru/Card/Person/1091423", "МАОУ ""СШ № 51""")</f>
        <v>МАОУ "СШ № 51"</v>
      </c>
      <c r="B14719" s="24" t="s">
        <v>16966</v>
      </c>
      <c r="C14719" s="25">
        <v>26380.32</v>
      </c>
      <c r="D14719" s="22" t="s">
        <v>16967</v>
      </c>
      <c r="E14719" s="22" t="s">
        <v>16968</v>
      </c>
      <c r="F14719" s="23" t="str">
        <f>HYPERLINK("https://www.spark-marketing.ru/Card/Lot/68000261", "Техническое обслуживание системы видеонаблюдения")</f>
        <v>Техническое обслуживание системы видеонаблюдения</v>
      </c>
      <c r="G14719" s="22" t="s">
        <v>138</v>
      </c>
      <c r="H14719" s="22" t="s">
        <v>138</v>
      </c>
      <c r="I14719" s="26">
        <v>43511.977615740703</v>
      </c>
      <c r="J14719" s="23" t="str">
        <f>HYPERLINK("https://www.spark-marketing.ru/Card/Person/6312945", "ООО ""СПЕКТР СБ""")</f>
        <v>ООО "СПЕКТР СБ"</v>
      </c>
      <c r="K14719" s="24" t="s">
        <v>16969</v>
      </c>
      <c r="L14719" s="28" t="s">
        <v>52</v>
      </c>
      <c r="M14719" s="25">
        <v>26380.32</v>
      </c>
      <c r="N14719" s="27">
        <v>0</v>
      </c>
    </row>
    <row r="14720" spans="1:14" x14ac:dyDescent="0.15">
      <c r="A14720" s="23" t="str">
        <f>HYPERLINK("https://www.spark-marketing.ru/Card/Person/110378", "МОУ ШКОЛА №22")</f>
        <v>МОУ ШКОЛА №22</v>
      </c>
      <c r="B14720" s="24" t="s">
        <v>16970</v>
      </c>
      <c r="C14720" s="25">
        <v>69000</v>
      </c>
      <c r="D14720" s="22" t="s">
        <v>16971</v>
      </c>
      <c r="E14720" s="22" t="s">
        <v>103</v>
      </c>
      <c r="F14720" s="23" t="str">
        <f>HYPERLINK("https://www.spark-marketing.ru/Card/Lot/68003117", "Услуги по техническому обслуживанию системы видеонаблюдения.")</f>
        <v>Услуги по техническому обслуживанию системы видеонаблюдения.</v>
      </c>
      <c r="G14720" s="22" t="s">
        <v>50</v>
      </c>
      <c r="H14720" s="22" t="s">
        <v>5291</v>
      </c>
      <c r="I14720" s="26">
        <v>43511.909178240698</v>
      </c>
      <c r="J14720" s="28" t="s">
        <v>52</v>
      </c>
      <c r="K14720" s="28" t="s">
        <v>52</v>
      </c>
      <c r="L14720" s="28" t="s">
        <v>52</v>
      </c>
      <c r="M14720" s="28" t="s">
        <v>52</v>
      </c>
      <c r="N14720" s="28" t="s">
        <v>52</v>
      </c>
    </row>
    <row r="14721" spans="1:14" x14ac:dyDescent="0.15">
      <c r="A14721" s="23" t="str">
        <f>HYPERLINK("https://www.spark-marketing.ru/Card/Person/1328419", "МУК ""ЦБ БОГОРОДСКОГО ГО""")</f>
        <v>МУК "ЦБ БОГОРОДСКОГО ГО"</v>
      </c>
      <c r="B14721" s="24" t="s">
        <v>16972</v>
      </c>
      <c r="C14721" s="25">
        <v>397311</v>
      </c>
      <c r="D14721" s="22" t="s">
        <v>16973</v>
      </c>
      <c r="E14721" s="22" t="s">
        <v>79</v>
      </c>
      <c r="F14721" s="23" t="str">
        <f>HYPERLINK("https://www.spark-marketing.ru/Card/Lot/68002851", "Выполнение работ по доставке и монтажу рольставней, наружного освещения и системы охранной сигнализации")</f>
        <v>Выполнение работ по доставке и монтажу рольставней, наружного освещения и системы охранной сигнализации</v>
      </c>
      <c r="G14721" s="22" t="s">
        <v>50</v>
      </c>
      <c r="H14721" s="22" t="s">
        <v>5744</v>
      </c>
      <c r="I14721" s="26">
        <v>43511.836215277799</v>
      </c>
      <c r="J14721" s="28" t="s">
        <v>52</v>
      </c>
      <c r="K14721" s="28" t="s">
        <v>52</v>
      </c>
      <c r="L14721" s="28" t="s">
        <v>52</v>
      </c>
      <c r="M14721" s="28" t="s">
        <v>52</v>
      </c>
      <c r="N14721" s="28" t="s">
        <v>52</v>
      </c>
    </row>
    <row r="14722" spans="1:14" x14ac:dyDescent="0.15">
      <c r="A14722" s="23" t="str">
        <f>HYPERLINK("https://www.spark-marketing.ru/Card/Person/567510", "АО ""ПП СПБ МФ""")</f>
        <v>АО "ПП СПБ МФ"</v>
      </c>
      <c r="B14722" s="24" t="s">
        <v>10833</v>
      </c>
      <c r="C14722" s="25">
        <v>26590400</v>
      </c>
      <c r="D14722" s="22" t="s">
        <v>16974</v>
      </c>
      <c r="E14722" s="22" t="s">
        <v>144</v>
      </c>
      <c r="F14722" s="23" t="str">
        <f>HYPERLINK("https://www.spark-marketing.ru/Card/Lot/68002526", "Оказание услуг по защите объекта транспортной инфраструктуры от актов незаконного вмешательства.")</f>
        <v>Оказание услуг по защите объекта транспортной инфраструктуры от актов незаконного вмешательства.</v>
      </c>
      <c r="G14722" s="22" t="s">
        <v>89</v>
      </c>
      <c r="H14722" s="22" t="s">
        <v>89</v>
      </c>
      <c r="I14722" s="26">
        <v>43511.782835648097</v>
      </c>
      <c r="J14722" s="28" t="s">
        <v>52</v>
      </c>
      <c r="K14722" s="28" t="s">
        <v>52</v>
      </c>
      <c r="L14722" s="28" t="s">
        <v>52</v>
      </c>
      <c r="M14722" s="28" t="s">
        <v>52</v>
      </c>
      <c r="N14722" s="28" t="s">
        <v>52</v>
      </c>
    </row>
    <row r="14723" spans="1:14" x14ac:dyDescent="0.2">
      <c r="A14723" s="23" t="str">
        <f>HYPERLINK("https://www.spark-marketing.ru/Card/Person/184814", "ПАО ""НК ""РОСНЕФТЬ"" - КБТК""")</f>
        <v>ПАО "НК "РОСНЕФТЬ" - КБТК"</v>
      </c>
      <c r="B14723" s="24" t="s">
        <v>16975</v>
      </c>
      <c r="C14723" s="25">
        <v>33692274</v>
      </c>
      <c r="D14723" s="22" t="s">
        <v>16976</v>
      </c>
      <c r="E14723" s="22" t="s">
        <v>363</v>
      </c>
      <c r="F14723" s="23" t="str">
        <f>HYPERLINK("https://www.spark-marketing.ru/Card/Lot/68000198", "Оказание услуг по физической охране Объектов ПАО «НК «Роснефть» - КБТК»")</f>
        <v>Оказание услуг по физической охране Объектов ПАО «НК «Роснефть» - КБТК»</v>
      </c>
      <c r="G14723" s="22" t="s">
        <v>110</v>
      </c>
      <c r="H14723" s="22" t="s">
        <v>110</v>
      </c>
      <c r="I14723" s="26">
        <v>43511.740636574097</v>
      </c>
      <c r="J14723" s="28" t="s">
        <v>52</v>
      </c>
      <c r="K14723" s="28" t="s">
        <v>52</v>
      </c>
      <c r="L14723" s="22" t="s">
        <v>10</v>
      </c>
      <c r="M14723" s="25">
        <v>27199800</v>
      </c>
      <c r="N14723" s="27">
        <v>0.1926991926991927</v>
      </c>
    </row>
    <row r="14724" spans="1:14" x14ac:dyDescent="0.15">
      <c r="A14724" s="23" t="str">
        <f>HYPERLINK("https://www.spark-marketing.ru/Card/Person/43813", "АО ""МОСТРАНСАВТО""")</f>
        <v>АО "МОСТРАНСАВТО"</v>
      </c>
      <c r="B14724" s="24" t="s">
        <v>16977</v>
      </c>
      <c r="C14724" s="25">
        <v>461300</v>
      </c>
      <c r="D14724" s="22" t="s">
        <v>16978</v>
      </c>
      <c r="E14724" s="22" t="s">
        <v>1923</v>
      </c>
      <c r="F14724" s="23" t="str">
        <f>HYPERLINK("https://www.spark-marketing.ru/Card/Lot/68000179", "Оказание услуг по проведению проверки технического состояния транспортных средств на предмет соответствия обязательным требованиям безопасности транспортных средств для нужд 12 МАП № 2 Автоколонны 1417 г. Коломна (18900)")</f>
        <v>Оказание услуг по проведению проверки технического состояния транспортных средств на предмет соответствия обязательным требованиям безопасности транспортных средств для нужд 12 МАП № 2 Автоколонны 1417 г. Коломна (18900)</v>
      </c>
      <c r="G14724" s="22" t="s">
        <v>50</v>
      </c>
      <c r="H14724" s="22" t="s">
        <v>938</v>
      </c>
      <c r="I14724" s="26">
        <v>43511.7366666667</v>
      </c>
      <c r="J14724" s="28" t="s">
        <v>52</v>
      </c>
      <c r="K14724" s="28" t="s">
        <v>52</v>
      </c>
      <c r="L14724" s="28" t="s">
        <v>52</v>
      </c>
      <c r="M14724" s="28" t="s">
        <v>52</v>
      </c>
      <c r="N14724" s="28" t="s">
        <v>52</v>
      </c>
    </row>
    <row r="14725" spans="1:14" x14ac:dyDescent="0.15">
      <c r="A14725" s="23" t="str">
        <f>HYPERLINK("https://www.spark-marketing.ru/Card/Person/1000174", "МКОУ ДПО ""УМОЦ""")</f>
        <v>МКОУ ДПО "УМОЦ"</v>
      </c>
      <c r="B14725" s="24" t="s">
        <v>16957</v>
      </c>
      <c r="C14725" s="25">
        <v>26600</v>
      </c>
      <c r="D14725" s="22" t="s">
        <v>16979</v>
      </c>
      <c r="E14725" s="22" t="s">
        <v>59</v>
      </c>
      <c r="F14725" s="23" t="str">
        <f>HYPERLINK("https://www.spark-marketing.ru/Card/Lot/67999446", "Выполнение работ по монтажу и пуско-наладке тревожной кнопки")</f>
        <v>Выполнение работ по монтажу и пуско-наладке тревожной кнопки</v>
      </c>
      <c r="G14725" s="22" t="s">
        <v>50</v>
      </c>
      <c r="H14725" s="22" t="s">
        <v>2391</v>
      </c>
      <c r="I14725" s="26">
        <v>43511.732071759303</v>
      </c>
      <c r="J14725" s="28" t="s">
        <v>52</v>
      </c>
      <c r="K14725" s="28" t="s">
        <v>52</v>
      </c>
      <c r="L14725" s="28" t="s">
        <v>52</v>
      </c>
      <c r="M14725" s="28" t="s">
        <v>52</v>
      </c>
      <c r="N14725" s="28" t="s">
        <v>52</v>
      </c>
    </row>
    <row r="14726" spans="1:14" x14ac:dyDescent="0.15">
      <c r="A14726" s="23" t="str">
        <f>HYPERLINK("https://www.spark-marketing.ru/Card/Person/108598", "ГБПОУ МО ""ПАВЛОВО-ПОСАДСКИЙ ТЕХНИКУМ""")</f>
        <v>ГБПОУ МО "ПАВЛОВО-ПОСАДСКИЙ ТЕХНИКУМ"</v>
      </c>
      <c r="B14726" s="24" t="s">
        <v>7255</v>
      </c>
      <c r="C14726" s="25">
        <v>329040</v>
      </c>
      <c r="D14726" s="22" t="s">
        <v>16980</v>
      </c>
      <c r="E14726" s="22" t="s">
        <v>294</v>
      </c>
      <c r="F14726" s="23" t="str">
        <f>HYPERLINK("https://www.spark-marketing.ru/Card/Lot/67999443", "Услуги по техническому обслуживанию системы видео")</f>
        <v>Услуги по техническому обслуживанию системы видео</v>
      </c>
      <c r="G14726" s="22" t="s">
        <v>50</v>
      </c>
      <c r="H14726" s="22" t="s">
        <v>7257</v>
      </c>
      <c r="I14726" s="26">
        <v>43511.732037037</v>
      </c>
      <c r="J14726" s="28" t="s">
        <v>52</v>
      </c>
      <c r="K14726" s="28" t="s">
        <v>52</v>
      </c>
      <c r="L14726" s="28" t="s">
        <v>52</v>
      </c>
      <c r="M14726" s="28" t="s">
        <v>52</v>
      </c>
      <c r="N14726" s="28" t="s">
        <v>52</v>
      </c>
    </row>
    <row r="14727" spans="1:14" x14ac:dyDescent="0.15">
      <c r="A14727" s="23" t="str">
        <f>HYPERLINK("https://www.spark-marketing.ru/Card/Person/1770336", "МАДОУ Д/С №41 ""ВЕТЕРОК""")</f>
        <v>МАДОУ Д/С №41 "ВЕТЕРОК"</v>
      </c>
      <c r="B14727" s="24" t="s">
        <v>16981</v>
      </c>
      <c r="C14727" s="25">
        <v>13245.6</v>
      </c>
      <c r="D14727" s="22" t="s">
        <v>16982</v>
      </c>
      <c r="E14727" s="22" t="s">
        <v>294</v>
      </c>
      <c r="F14727" s="23" t="str">
        <f>HYPERLINK("https://www.spark-marketing.ru/Card/Lot/67996683", "Услуги по техническому обслуживанию системы видеонаблюдения")</f>
        <v>Услуги по техническому обслуживанию системы видеонаблюдения</v>
      </c>
      <c r="G14727" s="22" t="s">
        <v>50</v>
      </c>
      <c r="H14727" s="22" t="s">
        <v>4782</v>
      </c>
      <c r="I14727" s="26">
        <v>43511.690763888902</v>
      </c>
      <c r="J14727" s="28" t="s">
        <v>52</v>
      </c>
      <c r="K14727" s="28" t="s">
        <v>52</v>
      </c>
      <c r="L14727" s="28" t="s">
        <v>52</v>
      </c>
      <c r="M14727" s="28" t="s">
        <v>52</v>
      </c>
      <c r="N14727" s="28" t="s">
        <v>52</v>
      </c>
    </row>
    <row r="14728" spans="1:14" x14ac:dyDescent="0.15">
      <c r="A14728" s="23" t="str">
        <f>HYPERLINK("https://www.spark-marketing.ru/Card/Person/108598", "ГБПОУ МО ""ПАВЛОВО-ПОСАДСКИЙ ТЕХНИКУМ""")</f>
        <v>ГБПОУ МО "ПАВЛОВО-ПОСАДСКИЙ ТЕХНИКУМ"</v>
      </c>
      <c r="B14728" s="24" t="s">
        <v>7255</v>
      </c>
      <c r="C14728" s="25">
        <v>145200</v>
      </c>
      <c r="D14728" s="22" t="s">
        <v>16983</v>
      </c>
      <c r="E14728" s="22" t="s">
        <v>107</v>
      </c>
      <c r="F14728" s="23" t="str">
        <f>HYPERLINK("https://www.spark-marketing.ru/Card/Lot/67996687", "Услуги по техническому обслуживанию (содержанию) систем охранной (противовзломной) сигнализации")</f>
        <v>Услуги по техническому обслуживанию (содержанию) систем охранной (противовзломной) сигнализации</v>
      </c>
      <c r="G14728" s="22" t="s">
        <v>50</v>
      </c>
      <c r="H14728" s="22" t="s">
        <v>7257</v>
      </c>
      <c r="I14728" s="26">
        <v>43511.690972222197</v>
      </c>
      <c r="J14728" s="28" t="s">
        <v>52</v>
      </c>
      <c r="K14728" s="28" t="s">
        <v>52</v>
      </c>
      <c r="L14728" s="28" t="s">
        <v>52</v>
      </c>
      <c r="M14728" s="28" t="s">
        <v>52</v>
      </c>
      <c r="N14728" s="28" t="s">
        <v>52</v>
      </c>
    </row>
    <row r="14729" spans="1:14" x14ac:dyDescent="0.15">
      <c r="A14729" s="23" t="str">
        <f>HYPERLINK("https://www.spark-marketing.ru/Card/Person/55176", "МДОУ Д/С № 10")</f>
        <v>МДОУ Д/С № 10</v>
      </c>
      <c r="B14729" s="24" t="s">
        <v>16984</v>
      </c>
      <c r="C14729" s="25">
        <v>330170</v>
      </c>
      <c r="D14729" s="22" t="s">
        <v>16985</v>
      </c>
      <c r="E14729" s="22" t="s">
        <v>84</v>
      </c>
      <c r="F14729" s="23" t="str">
        <f>HYPERLINK("https://www.spark-marketing.ru/Card/Lot/67995148", "Выполнение работ по установке оборудования для видеонаблюдения")</f>
        <v>Выполнение работ по установке оборудования для видеонаблюдения</v>
      </c>
      <c r="G14729" s="22" t="s">
        <v>50</v>
      </c>
      <c r="H14729" s="22" t="s">
        <v>827</v>
      </c>
      <c r="I14729" s="26">
        <v>43511.6493402778</v>
      </c>
      <c r="J14729" s="28" t="s">
        <v>52</v>
      </c>
      <c r="K14729" s="28" t="s">
        <v>52</v>
      </c>
      <c r="L14729" s="28" t="s">
        <v>52</v>
      </c>
      <c r="M14729" s="28" t="s">
        <v>52</v>
      </c>
      <c r="N14729" s="28" t="s">
        <v>52</v>
      </c>
    </row>
    <row r="14730" spans="1:14" x14ac:dyDescent="0.15">
      <c r="A14730" s="23" t="str">
        <f>HYPERLINK("https://www.spark-marketing.ru/Card/Person/1034270", "ГБУСО МО ""ПОДОЛЬСКИЙ ГОРОДСКОЙ ЦЕНТР СОЦИАЛЬНОЙ ПОМОЩИ СЕМЬЕ И ДЕТЯМ""")</f>
        <v>ГБУСО МО "ПОДОЛЬСКИЙ ГОРОДСКОЙ ЦЕНТР СОЦИАЛЬНОЙ ПОМОЩИ СЕМЬЕ И ДЕТЯМ"</v>
      </c>
      <c r="B14730" s="24" t="s">
        <v>16986</v>
      </c>
      <c r="C14730" s="25">
        <v>82354.92</v>
      </c>
      <c r="D14730" s="22" t="s">
        <v>16987</v>
      </c>
      <c r="E14730" s="22" t="s">
        <v>107</v>
      </c>
      <c r="F14730" s="23" t="str">
        <f>HYPERLINK("https://www.spark-marketing.ru/Card/Lot/67995107", "Услуги по техническому обслуживанию охранной сигнализации ( Ул. Литейная, Ленина, Северная)")</f>
        <v>Услуги по техническому обслуживанию охранной сигнализации ( Ул. Литейная, Ленина, Северная)</v>
      </c>
      <c r="G14730" s="22" t="s">
        <v>50</v>
      </c>
      <c r="H14730" s="22" t="s">
        <v>569</v>
      </c>
      <c r="I14730" s="26">
        <v>43511.648807870399</v>
      </c>
      <c r="J14730" s="28" t="s">
        <v>52</v>
      </c>
      <c r="K14730" s="28" t="s">
        <v>52</v>
      </c>
      <c r="L14730" s="28" t="s">
        <v>52</v>
      </c>
      <c r="M14730" s="28" t="s">
        <v>52</v>
      </c>
      <c r="N14730" s="28" t="s">
        <v>52</v>
      </c>
    </row>
    <row r="14731" spans="1:14" x14ac:dyDescent="0.15">
      <c r="A14731" s="23" t="str">
        <f>HYPERLINK("https://www.spark-marketing.ru/Card/Person/114461", "МБДОУ ДЕТСКИЙ САД ОБЩЕРАЗВИВАЮЩЕГО ВИДА №16 ""СОЛНЫШКО""")</f>
        <v>МБДОУ ДЕТСКИЙ САД ОБЩЕРАЗВИВАЮЩЕГО ВИДА №16 "СОЛНЫШКО"</v>
      </c>
      <c r="B14731" s="24" t="s">
        <v>16988</v>
      </c>
      <c r="C14731" s="25">
        <v>15000</v>
      </c>
      <c r="D14731" s="22" t="s">
        <v>16989</v>
      </c>
      <c r="E14731" s="22" t="s">
        <v>103</v>
      </c>
      <c r="F14731" s="23" t="str">
        <f>HYPERLINK("https://www.spark-marketing.ru/Card/Lot/67991855", "Оказание услуг по техническому обслуживанию систем видеонаблюдения и видеорегистрации")</f>
        <v>Оказание услуг по техническому обслуживанию систем видеонаблюдения и видеорегистрации</v>
      </c>
      <c r="G14731" s="22" t="s">
        <v>50</v>
      </c>
      <c r="H14731" s="22" t="s">
        <v>7244</v>
      </c>
      <c r="I14731" s="26">
        <v>43511.5864351852</v>
      </c>
      <c r="J14731" s="28" t="s">
        <v>52</v>
      </c>
      <c r="K14731" s="28" t="s">
        <v>52</v>
      </c>
      <c r="L14731" s="28" t="s">
        <v>52</v>
      </c>
      <c r="M14731" s="28" t="s">
        <v>52</v>
      </c>
      <c r="N14731" s="28" t="s">
        <v>52</v>
      </c>
    </row>
    <row r="14732" spans="1:14" x14ac:dyDescent="0.15">
      <c r="A14732" s="23" t="str">
        <f>HYPERLINK("https://www.spark-marketing.ru/Card/Person/1761832", "ОАО ""РЫНОЧНЫЙ КОМПЛЕКС ""ЦАРИЦЫНСКИЙ""")</f>
        <v>ОАО "РЫНОЧНЫЙ КОМПЛЕКС "ЦАРИЦЫНСКИЙ"</v>
      </c>
      <c r="B14732" s="24" t="s">
        <v>613</v>
      </c>
      <c r="C14732" s="25">
        <v>299916</v>
      </c>
      <c r="D14732" s="22" t="s">
        <v>16990</v>
      </c>
      <c r="E14732" s="22" t="s">
        <v>615</v>
      </c>
      <c r="F14732" s="23" t="str">
        <f>HYPERLINK("https://www.spark-marketing.ru/Card/Lot/67990638", "оказание услуг по охране объекта")</f>
        <v>оказание услуг по охране объекта</v>
      </c>
      <c r="G14732" s="22" t="s">
        <v>55</v>
      </c>
      <c r="H14732" s="22" t="s">
        <v>55</v>
      </c>
      <c r="I14732" s="26">
        <v>43511.5954166667</v>
      </c>
      <c r="J14732" s="28" t="s">
        <v>52</v>
      </c>
      <c r="K14732" s="28" t="s">
        <v>52</v>
      </c>
      <c r="L14732" s="28" t="s">
        <v>52</v>
      </c>
      <c r="M14732" s="28" t="s">
        <v>52</v>
      </c>
      <c r="N14732" s="28" t="s">
        <v>52</v>
      </c>
    </row>
    <row r="14733" spans="1:14" x14ac:dyDescent="0.2">
      <c r="A14733" s="23" t="str">
        <f>HYPERLINK("https://www.spark-marketing.ru/Card/Person/111779", "ГАУ РО ""ОКДЦ""")</f>
        <v>ГАУ РО "ОКДЦ"</v>
      </c>
      <c r="B14733" s="24" t="s">
        <v>3620</v>
      </c>
      <c r="C14733" s="25">
        <v>89400</v>
      </c>
      <c r="D14733" s="22" t="s">
        <v>16991</v>
      </c>
      <c r="E14733" s="22" t="s">
        <v>10199</v>
      </c>
      <c r="F14733" s="23" t="str">
        <f>HYPERLINK("https://www.spark-marketing.ru/Card/Lot/67991103", "Закупка работ по техническому обслуживанию системы видеонаблюдения")</f>
        <v>Закупка работ по техническому обслуживанию системы видеонаблюдения</v>
      </c>
      <c r="G14733" s="22" t="s">
        <v>402</v>
      </c>
      <c r="H14733" s="22" t="s">
        <v>402</v>
      </c>
      <c r="I14733" s="26">
        <v>43511.610891203702</v>
      </c>
      <c r="J14733" s="23" t="str">
        <f>HYPERLINK("https://www.spark-marketing.ru/Card/Person/2135493", "Даниленко Алексей Александрович")</f>
        <v>Даниленко Алексей Александрович</v>
      </c>
      <c r="K14733" s="24" t="s">
        <v>10200</v>
      </c>
      <c r="L14733" s="28" t="s">
        <v>52</v>
      </c>
      <c r="M14733" s="25">
        <v>89400</v>
      </c>
      <c r="N14733" s="27">
        <v>0</v>
      </c>
    </row>
    <row r="14734" spans="1:14" x14ac:dyDescent="0.15">
      <c r="A14734" s="23" t="str">
        <f>HYPERLINK("https://www.spark-marketing.ru/Card/Person/997664", "МБУ ЦБ")</f>
        <v>МБУ ЦБ</v>
      </c>
      <c r="B14734" s="24" t="s">
        <v>16992</v>
      </c>
      <c r="C14734" s="25">
        <v>9990</v>
      </c>
      <c r="D14734" s="22" t="s">
        <v>16993</v>
      </c>
      <c r="E14734" s="22" t="s">
        <v>107</v>
      </c>
      <c r="F14734" s="23" t="str">
        <f>HYPERLINK("https://www.spark-marketing.ru/Card/Lot/67990979", "Услуги по техническому обслуживанию (содержанию) систем охранной сигнализации, для нужд МБУ ЦБ")</f>
        <v>Услуги по техническому обслуживанию (содержанию) систем охранной сигнализации, для нужд МБУ ЦБ</v>
      </c>
      <c r="G14734" s="22" t="s">
        <v>50</v>
      </c>
      <c r="H14734" s="22" t="s">
        <v>50</v>
      </c>
      <c r="I14734" s="26">
        <v>43511.617893518502</v>
      </c>
      <c r="J14734" s="28" t="s">
        <v>52</v>
      </c>
      <c r="K14734" s="28" t="s">
        <v>52</v>
      </c>
      <c r="L14734" s="28" t="s">
        <v>52</v>
      </c>
      <c r="M14734" s="28" t="s">
        <v>52</v>
      </c>
      <c r="N14734" s="28" t="s">
        <v>52</v>
      </c>
    </row>
    <row r="14735" spans="1:14" x14ac:dyDescent="0.15">
      <c r="A14735" s="23" t="str">
        <f>HYPERLINK("https://www.spark-marketing.ru/Card/Person/138022", "ГУ ""КПАТ""")</f>
        <v>ГУ "КПАТ"</v>
      </c>
      <c r="B14735" s="24" t="s">
        <v>2862</v>
      </c>
      <c r="C14735" s="25">
        <v>2403302.3999999999</v>
      </c>
      <c r="D14735" s="22" t="s">
        <v>16994</v>
      </c>
      <c r="E14735" s="22" t="s">
        <v>144</v>
      </c>
      <c r="F14735" s="23" t="str">
        <f>HYPERLINK("https://www.spark-marketing.ru/Card/Lot/67979744", "Оказание услуг по обеспечению транспортной безопасности на автовокзалах Кемеровской области (объектах транспортной инфраструктуры)")</f>
        <v>Оказание услуг по обеспечению транспортной безопасности на автовокзалах Кемеровской области (объектах транспортной инфраструктуры)</v>
      </c>
      <c r="G14735" s="22" t="s">
        <v>367</v>
      </c>
      <c r="H14735" s="22" t="s">
        <v>367</v>
      </c>
      <c r="I14735" s="26">
        <v>43511.590752314798</v>
      </c>
      <c r="J14735" s="28" t="s">
        <v>52</v>
      </c>
      <c r="K14735" s="28" t="s">
        <v>52</v>
      </c>
      <c r="L14735" s="28" t="s">
        <v>52</v>
      </c>
      <c r="M14735" s="28" t="s">
        <v>52</v>
      </c>
      <c r="N14735" s="28" t="s">
        <v>52</v>
      </c>
    </row>
    <row r="14736" spans="1:14" hidden="1" outlineLevel="1" x14ac:dyDescent="0.2">
      <c r="A14736" s="23" t="str">
        <f>HYPERLINK("https://www.spark-marketing.ru/Card/Person/138022", "ГУ ""КПАТ""")</f>
        <v>ГУ "КПАТ"</v>
      </c>
      <c r="B14736" s="24" t="s">
        <v>2862</v>
      </c>
      <c r="C14736" s="28" t="s">
        <v>52</v>
      </c>
      <c r="D14736" s="22" t="s">
        <v>16994</v>
      </c>
      <c r="E14736" s="22" t="s">
        <v>144</v>
      </c>
      <c r="F14736" s="23" t="str">
        <f>HYPERLINK("https://www.spark-marketing.ru/Card/Lot/67979744", "Оказание услуг по обеспечению транспортной безопасности на автовокзалах Кемеровской области (объектах транспортной инфраструктуры)")</f>
        <v>Оказание услуг по обеспечению транспортной безопасности на автовокзалах Кемеровской области (объектах транспортной инфраструктуры)</v>
      </c>
      <c r="G14736" s="22" t="s">
        <v>367</v>
      </c>
      <c r="H14736" s="22" t="s">
        <v>367</v>
      </c>
      <c r="I14736" s="26">
        <v>43511.590752314798</v>
      </c>
      <c r="J14736" s="23" t="str">
        <f>HYPERLINK("https://www.spark-marketing.ru/Card/Person/1927473", "СИБИРСКИЙ ФЛ ФГУП УВО МИНТРАНСА РОССИИ")</f>
        <v>СИБИРСКИЙ ФЛ ФГУП УВО МИНТРАНСА РОССИИ</v>
      </c>
      <c r="K14736" s="24" t="s">
        <v>1472</v>
      </c>
      <c r="L14736" s="22" t="s">
        <v>10</v>
      </c>
      <c r="M14736" s="25">
        <v>2010599.04</v>
      </c>
      <c r="N14736" s="27">
        <v>0.16340155945419102</v>
      </c>
    </row>
    <row r="14737" spans="1:14" hidden="1" outlineLevel="1" x14ac:dyDescent="0.2">
      <c r="A14737" s="23" t="str">
        <f>HYPERLINK("https://www.spark-marketing.ru/Card/Person/138022", "ГУ ""КПАТ""")</f>
        <v>ГУ "КПАТ"</v>
      </c>
      <c r="B14737" s="24" t="s">
        <v>2862</v>
      </c>
      <c r="C14737" s="28" t="s">
        <v>52</v>
      </c>
      <c r="D14737" s="22" t="s">
        <v>16994</v>
      </c>
      <c r="E14737" s="22" t="s">
        <v>144</v>
      </c>
      <c r="F14737" s="23" t="str">
        <f>HYPERLINK("https://www.spark-marketing.ru/Card/Lot/67979744", "Оказание услуг по обеспечению транспортной безопасности на автовокзалах Кемеровской области (объектах транспортной инфраструктуры)")</f>
        <v>Оказание услуг по обеспечению транспортной безопасности на автовокзалах Кемеровской области (объектах транспортной инфраструктуры)</v>
      </c>
      <c r="G14737" s="22" t="s">
        <v>367</v>
      </c>
      <c r="H14737" s="22" t="s">
        <v>367</v>
      </c>
      <c r="I14737" s="26">
        <v>43511.590752314798</v>
      </c>
      <c r="J14737" s="23" t="str">
        <f>HYPERLINK("https://www.spark-marketing.ru/Card/Person/63004", "ООО ЧОП ""БАГИРА""")</f>
        <v>ООО ЧОП "БАГИРА"</v>
      </c>
      <c r="K14737" s="24" t="s">
        <v>16995</v>
      </c>
      <c r="L14737" s="28" t="s">
        <v>52</v>
      </c>
      <c r="M14737" s="25">
        <v>2002752</v>
      </c>
      <c r="N14737" s="27">
        <v>0.16666666666666666</v>
      </c>
    </row>
    <row r="14738" spans="1:14" hidden="1" outlineLevel="1" x14ac:dyDescent="0.2">
      <c r="A14738" s="23" t="str">
        <f>HYPERLINK("https://www.spark-marketing.ru/Card/Person/138022", "ГУ ""КПАТ""")</f>
        <v>ГУ "КПАТ"</v>
      </c>
      <c r="B14738" s="24" t="s">
        <v>2862</v>
      </c>
      <c r="C14738" s="28" t="s">
        <v>52</v>
      </c>
      <c r="D14738" s="22" t="s">
        <v>16994</v>
      </c>
      <c r="E14738" s="22" t="s">
        <v>144</v>
      </c>
      <c r="F14738" s="23" t="str">
        <f>HYPERLINK("https://www.spark-marketing.ru/Card/Lot/67979744", "Оказание услуг по обеспечению транспортной безопасности на автовокзалах Кемеровской области (объектах транспортной инфраструктуры)")</f>
        <v>Оказание услуг по обеспечению транспортной безопасности на автовокзалах Кемеровской области (объектах транспортной инфраструктуры)</v>
      </c>
      <c r="G14738" s="22" t="s">
        <v>367</v>
      </c>
      <c r="H14738" s="22" t="s">
        <v>367</v>
      </c>
      <c r="I14738" s="26">
        <v>43511.590752314798</v>
      </c>
      <c r="J14738" s="23" t="str">
        <f>HYPERLINK("https://www.spark-marketing.ru/Card/Person/2038990", "ООО ""СТБ""")</f>
        <v>ООО "СТБ"</v>
      </c>
      <c r="K14738" s="24" t="s">
        <v>2244</v>
      </c>
      <c r="L14738" s="28" t="s">
        <v>52</v>
      </c>
      <c r="M14738" s="25">
        <v>2283137.2799999998</v>
      </c>
      <c r="N14738" s="27">
        <v>0.05</v>
      </c>
    </row>
    <row r="14739" spans="1:14" x14ac:dyDescent="0.15">
      <c r="A14739" s="23" t="str">
        <f>HYPERLINK("https://www.spark-marketing.ru/Card/Person/108664", "ИФР РАН")</f>
        <v>ИФР РАН</v>
      </c>
      <c r="B14739" s="24" t="s">
        <v>776</v>
      </c>
      <c r="C14739" s="25">
        <v>170520.28</v>
      </c>
      <c r="D14739" s="22" t="s">
        <v>16996</v>
      </c>
      <c r="E14739" s="22" t="s">
        <v>6487</v>
      </c>
      <c r="F14739" s="23" t="str">
        <f>HYPERLINK("https://www.spark-marketing.ru/Card/Lot/67987513", "Выполнение работ по техническому обслуживанию за состоянием КИПиА, технологической защиты и сигнализации двух водогрейных котлов «КВА-1,86» с газовыми горелками, щитов управления оборудованием, щитов сигнализации и регулирования котельной, системы хи...")</f>
        <v>Выполнение работ по техническому обслуживанию за состоянием КИПиА, технологической защиты и сигнализации двух водогрейных котлов «КВА-1,86» с газовыми горелками, щитов управления оборудованием, щитов сигнализации и регулирования котельной, системы хи...</v>
      </c>
      <c r="G14739" s="22" t="s">
        <v>55</v>
      </c>
      <c r="H14739" s="22" t="s">
        <v>55</v>
      </c>
      <c r="I14739" s="26">
        <v>43511.555532407401</v>
      </c>
      <c r="J14739" s="28" t="s">
        <v>52</v>
      </c>
      <c r="K14739" s="28" t="s">
        <v>52</v>
      </c>
      <c r="L14739" s="28" t="s">
        <v>52</v>
      </c>
      <c r="M14739" s="28" t="s">
        <v>52</v>
      </c>
      <c r="N14739" s="28" t="s">
        <v>52</v>
      </c>
    </row>
    <row r="14740" spans="1:14" x14ac:dyDescent="0.2">
      <c r="A14740" s="23" t="str">
        <f>HYPERLINK("https://www.spark-marketing.ru/Card/Person/145773", "АО ""ЯКУТСКГЕОЛОГИЯ""")</f>
        <v>АО "ЯКУТСКГЕОЛОГИЯ"</v>
      </c>
      <c r="B14740" s="24" t="s">
        <v>8850</v>
      </c>
      <c r="C14740" s="25">
        <v>650000</v>
      </c>
      <c r="D14740" s="22" t="s">
        <v>16997</v>
      </c>
      <c r="E14740" s="22" t="s">
        <v>144</v>
      </c>
      <c r="F14740" s="23" t="str">
        <f>HYPERLINK("https://www.spark-marketing.ru/Card/Lot/67974570", "Услуги охраны на объектах Общества в г.Якутске")</f>
        <v>Услуги охраны на объектах Общества в г.Якутске</v>
      </c>
      <c r="G14740" s="22" t="s">
        <v>424</v>
      </c>
      <c r="H14740" s="22" t="s">
        <v>424</v>
      </c>
      <c r="I14740" s="26">
        <v>43511.555312500001</v>
      </c>
      <c r="J14740" s="28" t="s">
        <v>52</v>
      </c>
      <c r="K14740" s="28" t="s">
        <v>52</v>
      </c>
      <c r="L14740" s="28" t="s">
        <v>52</v>
      </c>
      <c r="M14740" s="25">
        <v>626612.76</v>
      </c>
      <c r="N14740" s="27">
        <v>3.5980369230769228E-2</v>
      </c>
    </row>
    <row r="14741" spans="1:14" x14ac:dyDescent="0.15">
      <c r="A14741" s="23" t="str">
        <f>HYPERLINK("https://www.spark-marketing.ru/Card/Person/1000990", "МБОУ ""ГИМНАЗИЯ""")</f>
        <v>МБОУ "ГИМНАЗИЯ"</v>
      </c>
      <c r="B14741" s="24" t="s">
        <v>12679</v>
      </c>
      <c r="C14741" s="25">
        <v>12564.6</v>
      </c>
      <c r="D14741" s="22" t="s">
        <v>16998</v>
      </c>
      <c r="E14741" s="22" t="s">
        <v>107</v>
      </c>
      <c r="F14741" s="23" t="str">
        <f>HYPERLINK("https://www.spark-marketing.ru/Card/Lot/67989026", "Услуги по техническому обслуживанию комплекса технических средств охраны (тревожная кнопка)")</f>
        <v>Услуги по техническому обслуживанию комплекса технических средств охраны (тревожная кнопка)</v>
      </c>
      <c r="G14741" s="22" t="s">
        <v>50</v>
      </c>
      <c r="H14741" s="22" t="s">
        <v>1386</v>
      </c>
      <c r="I14741" s="26">
        <v>43511.544652777797</v>
      </c>
      <c r="J14741" s="28" t="s">
        <v>52</v>
      </c>
      <c r="K14741" s="28" t="s">
        <v>52</v>
      </c>
      <c r="L14741" s="28" t="s">
        <v>52</v>
      </c>
      <c r="M14741" s="28" t="s">
        <v>52</v>
      </c>
      <c r="N14741" s="28" t="s">
        <v>52</v>
      </c>
    </row>
    <row r="14742" spans="1:14" x14ac:dyDescent="0.15">
      <c r="A14742" s="23" t="str">
        <f>HYPERLINK("https://www.spark-marketing.ru/Card/Person/1000990", "МБОУ ""ГИМНАЗИЯ""")</f>
        <v>МБОУ "ГИМНАЗИЯ"</v>
      </c>
      <c r="B14742" s="24" t="s">
        <v>12679</v>
      </c>
      <c r="C14742" s="25">
        <v>72000</v>
      </c>
      <c r="D14742" s="22" t="s">
        <v>16999</v>
      </c>
      <c r="E14742" s="22" t="s">
        <v>84</v>
      </c>
      <c r="F14742" s="23" t="str">
        <f>HYPERLINK("https://www.spark-marketing.ru/Card/Lot/67989031", "Оказание услуг на выполнению работ по установке видеокамер для АТЗ объекта МБОУ ""Гимназия""")</f>
        <v>Оказание услуг на выполнению работ по установке видеокамер для АТЗ объекта МБОУ "Гимназия"</v>
      </c>
      <c r="G14742" s="22" t="s">
        <v>50</v>
      </c>
      <c r="H14742" s="22" t="s">
        <v>1386</v>
      </c>
      <c r="I14742" s="26">
        <v>43511.544710648202</v>
      </c>
      <c r="J14742" s="28" t="s">
        <v>52</v>
      </c>
      <c r="K14742" s="28" t="s">
        <v>52</v>
      </c>
      <c r="L14742" s="28" t="s">
        <v>52</v>
      </c>
      <c r="M14742" s="28" t="s">
        <v>52</v>
      </c>
      <c r="N14742" s="28" t="s">
        <v>52</v>
      </c>
    </row>
    <row r="14743" spans="1:14" x14ac:dyDescent="0.15">
      <c r="A14743" s="23" t="str">
        <f>HYPERLINK("https://www.spark-marketing.ru/Card/Person/4345133", "АО ""ГНЦ НИИАР""")</f>
        <v>АО "ГНЦ НИИАР"</v>
      </c>
      <c r="B14743" s="24" t="s">
        <v>444</v>
      </c>
      <c r="C14743" s="25">
        <v>171700.32</v>
      </c>
      <c r="D14743" s="22" t="s">
        <v>17000</v>
      </c>
      <c r="E14743" s="22" t="s">
        <v>1928</v>
      </c>
      <c r="F14743" s="23" t="str">
        <f>HYPERLINK("https://www.spark-marketing.ru/Card/Lot/67987396", "Право заключения договора на техническое обслуживание систем видеонаблюдения и охранной сигнализации здания НКЦ им. Е.П. Славского")</f>
        <v>Право заключения договора на техническое обслуживание систем видеонаблюдения и охранной сигнализации здания НКЦ им. Е.П. Славского</v>
      </c>
      <c r="G14743" s="22" t="s">
        <v>446</v>
      </c>
      <c r="H14743" s="22" t="s">
        <v>447</v>
      </c>
      <c r="I14743" s="26">
        <v>43511.552002314798</v>
      </c>
      <c r="J14743" s="23" t="str">
        <f>HYPERLINK("https://www.spark-marketing.ru/Card/Person/1905065", "ЗАЯВКА")</f>
        <v>ЗАЯВКА</v>
      </c>
      <c r="K14743" s="24" t="s">
        <v>10745</v>
      </c>
      <c r="L14743" s="28" t="s">
        <v>52</v>
      </c>
      <c r="M14743" s="28" t="s">
        <v>52</v>
      </c>
      <c r="N14743" s="28" t="s">
        <v>52</v>
      </c>
    </row>
    <row r="14744" spans="1:14" x14ac:dyDescent="0.15">
      <c r="A14744" s="23" t="str">
        <f>HYPERLINK("https://www.spark-marketing.ru/Card/Person/1758909", "ГБУЗ МО ""ЛПНД""")</f>
        <v>ГБУЗ МО "ЛПНД"</v>
      </c>
      <c r="B14744" s="24" t="s">
        <v>17001</v>
      </c>
      <c r="C14744" s="25">
        <v>57000</v>
      </c>
      <c r="D14744" s="22" t="s">
        <v>17002</v>
      </c>
      <c r="E14744" s="22" t="s">
        <v>3442</v>
      </c>
      <c r="F14744" s="23" t="str">
        <f>HYPERLINK("https://www.spark-marketing.ru/Card/Lot/68004034", "Услуги по техническому обслуживанию комплекса технических средств охраны (приемно-контрольные приборы (Юпитер IP/GPRS), извещатели охранной сигнализации, извещатели тревожной сигнализации - стационарный и радиоканальный, контрольный геркон, блок пита...")</f>
        <v>Услуги по техническому обслуживанию комплекса технических средств охраны (приемно-контрольные приборы (Юпитер IP/GPRS), извещатели охранной сигнализации, извещатели тревожной сигнализации - стационарный и радиоканальный, контрольный геркон, блок пита...</v>
      </c>
      <c r="G14744" s="22" t="s">
        <v>50</v>
      </c>
      <c r="H14744" s="22" t="s">
        <v>50</v>
      </c>
      <c r="I14744" s="26">
        <v>43511.576435185198</v>
      </c>
      <c r="J14744" s="28" t="s">
        <v>52</v>
      </c>
      <c r="K14744" s="28" t="s">
        <v>52</v>
      </c>
      <c r="L14744" s="28" t="s">
        <v>52</v>
      </c>
      <c r="M14744" s="28" t="s">
        <v>52</v>
      </c>
      <c r="N14744" s="28" t="s">
        <v>52</v>
      </c>
    </row>
    <row r="14745" spans="1:14" hidden="1" outlineLevel="1" x14ac:dyDescent="0.2">
      <c r="A14745" s="23" t="str">
        <f>HYPERLINK("https://www.spark-marketing.ru/Card/Person/1758909", "ГБУЗ МО ""ЛПНД""")</f>
        <v>ГБУЗ МО "ЛПНД"</v>
      </c>
      <c r="B14745" s="24" t="s">
        <v>17001</v>
      </c>
      <c r="C14745" s="28" t="s">
        <v>52</v>
      </c>
      <c r="D14745" s="22" t="s">
        <v>17002</v>
      </c>
      <c r="E14745" s="22" t="s">
        <v>3442</v>
      </c>
      <c r="F14745" s="23" t="str">
        <f>HYPERLINK("https://www.spark-marketing.ru/Card/Lot/68004034", "Услуги по техническому обслуживанию комплекса технических средств охраны (приемно-контрольные приборы (Юпитер IP/GPRS), извещатели охранной сигнализации, извещатели тревожной сигнализации - стационарный и радиоканальный, контрольный геркон, блок пита...")</f>
        <v>Услуги по техническому обслуживанию комплекса технических средств охраны (приемно-контрольные приборы (Юпитер IP/GPRS), извещатели охранной сигнализации, извещатели тревожной сигнализации - стационарный и радиоканальный, контрольный геркон, блок пита...</v>
      </c>
      <c r="G14745" s="22" t="s">
        <v>50</v>
      </c>
      <c r="H14745" s="22" t="s">
        <v>50</v>
      </c>
      <c r="I14745" s="26">
        <v>43511.576435185198</v>
      </c>
      <c r="J14745" s="23" t="str">
        <f>HYPERLINK("https://www.spark-marketing.ru/Card/Person/10487", "ФГУП ""ОХРАНА"" РОСГВАРДИИ")</f>
        <v>ФГУП "ОХРАНА" РОСГВАРДИИ</v>
      </c>
      <c r="K14745" s="24" t="s">
        <v>779</v>
      </c>
      <c r="L14745" s="22" t="s">
        <v>10</v>
      </c>
      <c r="M14745" s="25">
        <v>23700</v>
      </c>
      <c r="N14745" s="27">
        <v>0.58421052631578951</v>
      </c>
    </row>
    <row r="14746" spans="1:14" hidden="1" outlineLevel="1" x14ac:dyDescent="0.2">
      <c r="A14746" s="23" t="str">
        <f>HYPERLINK("https://www.spark-marketing.ru/Card/Person/1758909", "ГБУЗ МО ""ЛПНД""")</f>
        <v>ГБУЗ МО "ЛПНД"</v>
      </c>
      <c r="B14746" s="24" t="s">
        <v>17001</v>
      </c>
      <c r="C14746" s="28" t="s">
        <v>52</v>
      </c>
      <c r="D14746" s="22" t="s">
        <v>17002</v>
      </c>
      <c r="E14746" s="22" t="s">
        <v>3442</v>
      </c>
      <c r="F14746" s="23" t="str">
        <f>HYPERLINK("https://www.spark-marketing.ru/Card/Lot/68004034", "Услуги по техническому обслуживанию комплекса технических средств охраны (приемно-контрольные приборы (Юпитер IP/GPRS), извещатели охранной сигнализации, извещатели тревожной сигнализации - стационарный и радиоканальный, контрольный геркон, блок пита...")</f>
        <v>Услуги по техническому обслуживанию комплекса технических средств охраны (приемно-контрольные приборы (Юпитер IP/GPRS), извещатели охранной сигнализации, извещатели тревожной сигнализации - стационарный и радиоканальный, контрольный геркон, блок пита...</v>
      </c>
      <c r="G14746" s="22" t="s">
        <v>50</v>
      </c>
      <c r="H14746" s="22" t="s">
        <v>50</v>
      </c>
      <c r="I14746" s="26">
        <v>43511.576435185198</v>
      </c>
      <c r="J14746" s="23" t="str">
        <f>HYPERLINK("https://www.spark-marketing.ru/Card/Person/6462474", "ООО ""ФАВОР""")</f>
        <v>ООО "ФАВОР"</v>
      </c>
      <c r="K14746" s="24" t="s">
        <v>2058</v>
      </c>
      <c r="L14746" s="28" t="s">
        <v>52</v>
      </c>
      <c r="M14746" s="25">
        <v>24037.5</v>
      </c>
      <c r="N14746" s="27">
        <v>0.57828947368421058</v>
      </c>
    </row>
    <row r="14747" spans="1:14" hidden="1" outlineLevel="1" x14ac:dyDescent="0.2">
      <c r="A14747" s="23" t="str">
        <f>HYPERLINK("https://www.spark-marketing.ru/Card/Person/1758909", "ГБУЗ МО ""ЛПНД""")</f>
        <v>ГБУЗ МО "ЛПНД"</v>
      </c>
      <c r="B14747" s="24" t="s">
        <v>17001</v>
      </c>
      <c r="C14747" s="28" t="s">
        <v>52</v>
      </c>
      <c r="D14747" s="22" t="s">
        <v>17002</v>
      </c>
      <c r="E14747" s="22" t="s">
        <v>3442</v>
      </c>
      <c r="F14747" s="23" t="str">
        <f>HYPERLINK("https://www.spark-marketing.ru/Card/Lot/68004034", "Услуги по техническому обслуживанию комплекса технических средств охраны (приемно-контрольные приборы (Юпитер IP/GPRS), извещатели охранной сигнализации, извещатели тревожной сигнализации - стационарный и радиоканальный, контрольный геркон, блок пита...")</f>
        <v>Услуги по техническому обслуживанию комплекса технических средств охраны (приемно-контрольные приборы (Юпитер IP/GPRS), извещатели охранной сигнализации, извещатели тревожной сигнализации - стационарный и радиоканальный, контрольный геркон, блок пита...</v>
      </c>
      <c r="G14747" s="22" t="s">
        <v>50</v>
      </c>
      <c r="H14747" s="22" t="s">
        <v>50</v>
      </c>
      <c r="I14747" s="26">
        <v>43511.576435185198</v>
      </c>
      <c r="J14747" s="23" t="str">
        <f>HYPERLINK("https://www.spark-marketing.ru/Card/Person/65028", "ООО ""ИМПУЛЬС М""")</f>
        <v>ООО "ИМПУЛЬС М"</v>
      </c>
      <c r="K14747" s="24" t="s">
        <v>7268</v>
      </c>
      <c r="L14747" s="28" t="s">
        <v>52</v>
      </c>
      <c r="M14747" s="25">
        <v>35000</v>
      </c>
      <c r="N14747" s="27">
        <v>0.38596491228070173</v>
      </c>
    </row>
    <row r="14748" spans="1:14" hidden="1" outlineLevel="1" x14ac:dyDescent="0.2">
      <c r="A14748" s="23" t="str">
        <f>HYPERLINK("https://www.spark-marketing.ru/Card/Person/1758909", "ГБУЗ МО ""ЛПНД""")</f>
        <v>ГБУЗ МО "ЛПНД"</v>
      </c>
      <c r="B14748" s="24" t="s">
        <v>17001</v>
      </c>
      <c r="C14748" s="28" t="s">
        <v>52</v>
      </c>
      <c r="D14748" s="22" t="s">
        <v>17002</v>
      </c>
      <c r="E14748" s="22" t="s">
        <v>3442</v>
      </c>
      <c r="F14748" s="23" t="str">
        <f>HYPERLINK("https://www.spark-marketing.ru/Card/Lot/68004034", "Услуги по техническому обслуживанию комплекса технических средств охраны (приемно-контрольные приборы (Юпитер IP/GPRS), извещатели охранной сигнализации, извещатели тревожной сигнализации - стационарный и радиоканальный, контрольный геркон, блок пита...")</f>
        <v>Услуги по техническому обслуживанию комплекса технических средств охраны (приемно-контрольные приборы (Юпитер IP/GPRS), извещатели охранной сигнализации, извещатели тревожной сигнализации - стационарный и радиоканальный, контрольный геркон, блок пита...</v>
      </c>
      <c r="G14748" s="22" t="s">
        <v>50</v>
      </c>
      <c r="H14748" s="22" t="s">
        <v>50</v>
      </c>
      <c r="I14748" s="26">
        <v>43511.576435185198</v>
      </c>
      <c r="J14748" s="23" t="str">
        <f>HYPERLINK("https://www.spark-marketing.ru/Card/Person/4360333", "Коновалов Игорь Алексеевич")</f>
        <v>Коновалов Игорь Алексеевич</v>
      </c>
      <c r="K14748" s="24" t="s">
        <v>14535</v>
      </c>
      <c r="L14748" s="28" t="s">
        <v>52</v>
      </c>
      <c r="M14748" s="25">
        <v>56000</v>
      </c>
      <c r="N14748" s="27">
        <v>1.7543859649122806E-2</v>
      </c>
    </row>
    <row r="14749" spans="1:14" x14ac:dyDescent="0.2">
      <c r="A14749" s="23" t="str">
        <f>HYPERLINK("https://www.spark-marketing.ru/Card/Person/4413835", "ООО ""КОМПАНИЯ ""ВОСТСИБУГОЛЬ""")</f>
        <v>ООО "КОМПАНИЯ "ВОСТСИБУГОЛЬ"</v>
      </c>
      <c r="B14749" s="24" t="s">
        <v>17003</v>
      </c>
      <c r="C14749" s="25">
        <v>6396948.3600000003</v>
      </c>
      <c r="D14749" s="22" t="s">
        <v>17004</v>
      </c>
      <c r="E14749" s="22" t="s">
        <v>17005</v>
      </c>
      <c r="F14749" s="23" t="str">
        <f>HYPERLINK("https://www.spark-marketing.ru/Card/Lot/67972383", "Охрана объектов, административное здание по адресу: г. Иркутск, ул. Сухэ-Батора, 4.")</f>
        <v>Охрана объектов, административное здание по адресу: г. Иркутск, ул. Сухэ-Батора, 4.</v>
      </c>
      <c r="G14749" s="22" t="s">
        <v>281</v>
      </c>
      <c r="H14749" s="22" t="s">
        <v>281</v>
      </c>
      <c r="I14749" s="26">
        <v>43511.472013888902</v>
      </c>
      <c r="J14749" s="23" t="str">
        <f>HYPERLINK("https://www.spark-marketing.ru/Card/Person/1176852", "ООО ""ОП ""ИРКУТСКЭНЕРГО""")</f>
        <v>ООО "ОП "ИРКУТСКЭНЕРГО"</v>
      </c>
      <c r="K14749" s="24" t="s">
        <v>17006</v>
      </c>
      <c r="L14749" s="28" t="s">
        <v>52</v>
      </c>
      <c r="M14749" s="25">
        <v>6396948.3600000003</v>
      </c>
      <c r="N14749" s="27">
        <v>0</v>
      </c>
    </row>
    <row r="14750" spans="1:14" x14ac:dyDescent="0.15">
      <c r="A14750" s="23" t="str">
        <f>HYPERLINK("https://www.spark-marketing.ru/Card/Person/1760268", "МАУ Г.О. САМАРА ""АГЕНТСТВО СОЦИАЛЬНО-ЗНАЧИМЫХ КУЛЬТУРНЫХ И СПОРТИВНЫХ МЕРОПРИЯТИЙ""")</f>
        <v>МАУ Г.О. САМАРА "АГЕНТСТВО СОЦИАЛЬНО-ЗНАЧИМЫХ КУЛЬТУРНЫХ И СПОРТИВНЫХ МЕРОПРИЯТИЙ"</v>
      </c>
      <c r="B14750" s="24" t="s">
        <v>15507</v>
      </c>
      <c r="C14750" s="25">
        <v>1478520</v>
      </c>
      <c r="D14750" s="22" t="s">
        <v>17007</v>
      </c>
      <c r="E14750" s="22" t="s">
        <v>11650</v>
      </c>
      <c r="F14750" s="23" t="str">
        <f>HYPERLINK("https://www.spark-marketing.ru/Card/Lot/67981548", "Услуги по звукотехническому, светотехническому, видеотехническому обеспечению и установке сценических конструкций при организации и проведении мероприятия «Проводы русской зимы Масленица 2019»")</f>
        <v>Услуги по звукотехническому, светотехническому, видеотехническому обеспечению и установке сценических конструкций при организации и проведении мероприятия «Проводы русской зимы Масленица 2019»</v>
      </c>
      <c r="G14750" s="22" t="s">
        <v>760</v>
      </c>
      <c r="H14750" s="22" t="s">
        <v>760</v>
      </c>
      <c r="I14750" s="26">
        <v>43511.490474537</v>
      </c>
      <c r="J14750" s="28" t="s">
        <v>52</v>
      </c>
      <c r="K14750" s="28" t="s">
        <v>52</v>
      </c>
      <c r="L14750" s="28" t="s">
        <v>52</v>
      </c>
      <c r="M14750" s="28" t="s">
        <v>52</v>
      </c>
      <c r="N14750" s="28" t="s">
        <v>52</v>
      </c>
    </row>
    <row r="14751" spans="1:14" hidden="1" outlineLevel="1" x14ac:dyDescent="0.2">
      <c r="A14751" s="23" t="str">
        <f>HYPERLINK("https://www.spark-marketing.ru/Card/Person/1760268", "МАУ Г.О. САМАРА ""АГЕНТСТВО СОЦИАЛЬНО-ЗНАЧИМЫХ КУЛЬТУРНЫХ И СПОРТИВНЫХ МЕРОПРИЯТИЙ""")</f>
        <v>МАУ Г.О. САМАРА "АГЕНТСТВО СОЦИАЛЬНО-ЗНАЧИМЫХ КУЛЬТУРНЫХ И СПОРТИВНЫХ МЕРОПРИЯТИЙ"</v>
      </c>
      <c r="B14751" s="24" t="s">
        <v>15507</v>
      </c>
      <c r="C14751" s="28" t="s">
        <v>52</v>
      </c>
      <c r="D14751" s="22" t="s">
        <v>17007</v>
      </c>
      <c r="E14751" s="22" t="s">
        <v>11650</v>
      </c>
      <c r="F14751" s="23" t="str">
        <f>HYPERLINK("https://www.spark-marketing.ru/Card/Lot/67981548", "Услуги по звукотехническому, светотехническому, видеотехническому обеспечению и установке сценических конструкций при организации и проведении мероприятия «Проводы русской зимы Масленица 2019»")</f>
        <v>Услуги по звукотехническому, светотехническому, видеотехническому обеспечению и установке сценических конструкций при организации и проведении мероприятия «Проводы русской зимы Масленица 2019»</v>
      </c>
      <c r="G14751" s="22" t="s">
        <v>760</v>
      </c>
      <c r="H14751" s="22" t="s">
        <v>760</v>
      </c>
      <c r="I14751" s="26">
        <v>43511.490474537</v>
      </c>
      <c r="J14751" s="23" t="str">
        <f>HYPERLINK("https://www.spark-marketing.ru/Card/Person/1923262", "ООО ""МАСТЕР""")</f>
        <v>ООО "МАСТЕР"</v>
      </c>
      <c r="K14751" s="24" t="s">
        <v>17008</v>
      </c>
      <c r="L14751" s="22" t="s">
        <v>10</v>
      </c>
      <c r="M14751" s="25">
        <v>1054000</v>
      </c>
      <c r="N14751" s="27">
        <v>0.28712496280063848</v>
      </c>
    </row>
    <row r="14752" spans="1:14" hidden="1" outlineLevel="1" x14ac:dyDescent="0.2">
      <c r="A14752" s="23" t="str">
        <f>HYPERLINK("https://www.spark-marketing.ru/Card/Person/1760268", "МАУ Г.О. САМАРА ""АГЕНТСТВО СОЦИАЛЬНО-ЗНАЧИМЫХ КУЛЬТУРНЫХ И СПОРТИВНЫХ МЕРОПРИЯТИЙ""")</f>
        <v>МАУ Г.О. САМАРА "АГЕНТСТВО СОЦИАЛЬНО-ЗНАЧИМЫХ КУЛЬТУРНЫХ И СПОРТИВНЫХ МЕРОПРИЯТИЙ"</v>
      </c>
      <c r="B14752" s="24" t="s">
        <v>15507</v>
      </c>
      <c r="C14752" s="28" t="s">
        <v>52</v>
      </c>
      <c r="D14752" s="22" t="s">
        <v>17007</v>
      </c>
      <c r="E14752" s="22" t="s">
        <v>11650</v>
      </c>
      <c r="F14752" s="23" t="str">
        <f>HYPERLINK("https://www.spark-marketing.ru/Card/Lot/67981548", "Услуги по звукотехническому, светотехническому, видеотехническому обеспечению и установке сценических конструкций при организации и проведении мероприятия «Проводы русской зимы Масленица 2019»")</f>
        <v>Услуги по звукотехническому, светотехническому, видеотехническому обеспечению и установке сценических конструкций при организации и проведении мероприятия «Проводы русской зимы Масленица 2019»</v>
      </c>
      <c r="G14752" s="22" t="s">
        <v>760</v>
      </c>
      <c r="H14752" s="22" t="s">
        <v>760</v>
      </c>
      <c r="I14752" s="26">
        <v>43511.490474537</v>
      </c>
      <c r="J14752" s="23" t="str">
        <f>HYPERLINK("https://www.spark-marketing.ru/Card/Person/31978", "ООО ""ОЛДИ"" КОНЦЕРТ")</f>
        <v>ООО "ОЛДИ" КОНЦЕРТ</v>
      </c>
      <c r="K14752" s="24" t="s">
        <v>5781</v>
      </c>
      <c r="L14752" s="28" t="s">
        <v>52</v>
      </c>
      <c r="M14752" s="25">
        <v>1370000</v>
      </c>
      <c r="N14752" s="27">
        <v>7.3397722046370698E-2</v>
      </c>
    </row>
    <row r="14753" spans="1:14" x14ac:dyDescent="0.2">
      <c r="A14753" s="23" t="str">
        <f>HYPERLINK("https://www.spark-marketing.ru/Card/Person/4413835", "ООО ""КОМПАНИЯ ""ВОСТСИБУГОЛЬ""")</f>
        <v>ООО "КОМПАНИЯ "ВОСТСИБУГОЛЬ"</v>
      </c>
      <c r="B14753" s="24" t="s">
        <v>17003</v>
      </c>
      <c r="C14753" s="25">
        <v>25055702</v>
      </c>
      <c r="D14753" s="22" t="s">
        <v>17009</v>
      </c>
      <c r="E14753" s="22" t="s">
        <v>17005</v>
      </c>
      <c r="F14753" s="23" t="str">
        <f>HYPERLINK("https://www.spark-marketing.ru/Card/Lot/67972376", "Филиал «Разрез Жеронский».Охрана объектов.")</f>
        <v>Филиал «Разрез Жеронский».Охрана объектов.</v>
      </c>
      <c r="G14753" s="22" t="s">
        <v>281</v>
      </c>
      <c r="H14753" s="22" t="s">
        <v>281</v>
      </c>
      <c r="I14753" s="26">
        <v>43511.464710648099</v>
      </c>
      <c r="J14753" s="23" t="str">
        <f>HYPERLINK("https://www.spark-marketing.ru/Card/Person/1176852", "ООО ""ОП ""ИРКУТСКЭНЕРГО""")</f>
        <v>ООО "ОП "ИРКУТСКЭНЕРГО"</v>
      </c>
      <c r="K14753" s="24" t="s">
        <v>17006</v>
      </c>
      <c r="L14753" s="28" t="s">
        <v>52</v>
      </c>
      <c r="M14753" s="25">
        <v>25055702.399999999</v>
      </c>
      <c r="N14753" s="27">
        <v>-1.5964429972866055E-8</v>
      </c>
    </row>
    <row r="14754" spans="1:14" x14ac:dyDescent="0.15">
      <c r="A14754" s="23" t="str">
        <f>HYPERLINK("https://www.spark-marketing.ru/Card/Person/4348526", "ПАО ""КАМЧАТСКЭНЕРГО""")</f>
        <v>ПАО "КАМЧАТСКЭНЕРГО"</v>
      </c>
      <c r="B14754" s="24" t="s">
        <v>5991</v>
      </c>
      <c r="C14754" s="25">
        <v>33396500</v>
      </c>
      <c r="D14754" s="22" t="s">
        <v>17010</v>
      </c>
      <c r="E14754" s="22" t="s">
        <v>144</v>
      </c>
      <c r="F14754" s="23" t="str">
        <f>HYPERLINK("https://www.spark-marketing.ru/Card/Lot/67971138", "Услуги по охране объектов филиала ПАО """"Камчатскэнерго"""" Коммунальная энергетика: Елизово (1 пост); котельная № 1 """"11 км"""" (1 пост); ИАУ филиала, ул. Ленинская, д. 59 (1 пост); База 13 км - (2 поста)")</f>
        <v>Услуги по охране объектов филиала ПАО ""Камчатскэнерго"" Коммунальная энергетика: Елизово (1 пост); котельная № 1 ""11 км"" (1 пост); ИАУ филиала, ул. Ленинская, д. 59 (1 пост); База 13 км - (2 поста)</v>
      </c>
      <c r="G14754" s="22" t="s">
        <v>1141</v>
      </c>
      <c r="H14754" s="22" t="s">
        <v>1142</v>
      </c>
      <c r="I14754" s="26">
        <v>43511.496493055602</v>
      </c>
      <c r="J14754" s="28" t="s">
        <v>52</v>
      </c>
      <c r="K14754" s="28" t="s">
        <v>52</v>
      </c>
      <c r="L14754" s="28" t="s">
        <v>52</v>
      </c>
      <c r="M14754" s="28" t="s">
        <v>52</v>
      </c>
      <c r="N14754" s="28" t="s">
        <v>52</v>
      </c>
    </row>
    <row r="14755" spans="1:14" hidden="1" outlineLevel="1" x14ac:dyDescent="0.2">
      <c r="A14755" s="23" t="str">
        <f>HYPERLINK("https://www.spark-marketing.ru/Card/Person/4348526", "ПАО ""КАМЧАТСКЭНЕРГО""")</f>
        <v>ПАО "КАМЧАТСКЭНЕРГО"</v>
      </c>
      <c r="B14755" s="24" t="s">
        <v>5991</v>
      </c>
      <c r="C14755" s="28" t="s">
        <v>52</v>
      </c>
      <c r="D14755" s="22" t="s">
        <v>17010</v>
      </c>
      <c r="E14755" s="22" t="s">
        <v>144</v>
      </c>
      <c r="F14755" s="23" t="str">
        <f>HYPERLINK("https://www.spark-marketing.ru/Card/Lot/67971138", "Услуги по охране объектов филиала ПАО """"Камчатскэнерго"""" Коммунальная энергетика: Елизово (1 пост); котельная № 1 """"11 км"""" (1 пост); ИАУ филиала, ул. Ленинская, д. 59 (1 пост); База 13 км - (2 поста)")</f>
        <v>Услуги по охране объектов филиала ПАО ""Камчатскэнерго"" Коммунальная энергетика: Елизово (1 пост); котельная № 1 ""11 км"" (1 пост); ИАУ филиала, ул. Ленинская, д. 59 (1 пост); База 13 км - (2 поста)</v>
      </c>
      <c r="G14755" s="22" t="s">
        <v>1141</v>
      </c>
      <c r="H14755" s="22" t="s">
        <v>1142</v>
      </c>
      <c r="I14755" s="26">
        <v>43511.496493055602</v>
      </c>
      <c r="J14755" s="23" t="str">
        <f>HYPERLINK("https://www.spark-marketing.ru/Card/Person/5880574", "ООО ""ЧОО М-ГРУПП""")</f>
        <v>ООО "ЧОО М-ГРУПП"</v>
      </c>
      <c r="K14755" s="24" t="s">
        <v>17011</v>
      </c>
      <c r="L14755" s="22" t="s">
        <v>10</v>
      </c>
      <c r="M14755" s="25">
        <v>33250000</v>
      </c>
      <c r="N14755" s="27">
        <v>4.3866872277035021E-3</v>
      </c>
    </row>
    <row r="14756" spans="1:14" hidden="1" outlineLevel="1" x14ac:dyDescent="0.2">
      <c r="A14756" s="23" t="str">
        <f>HYPERLINK("https://www.spark-marketing.ru/Card/Person/4348526", "ПАО ""КАМЧАТСКЭНЕРГО""")</f>
        <v>ПАО "КАМЧАТСКЭНЕРГО"</v>
      </c>
      <c r="B14756" s="24" t="s">
        <v>5991</v>
      </c>
      <c r="C14756" s="28" t="s">
        <v>52</v>
      </c>
      <c r="D14756" s="22" t="s">
        <v>17010</v>
      </c>
      <c r="E14756" s="22" t="s">
        <v>144</v>
      </c>
      <c r="F14756" s="23" t="str">
        <f>HYPERLINK("https://www.spark-marketing.ru/Card/Lot/67971138", "Услуги по охране объектов филиала ПАО """"Камчатскэнерго"""" Коммунальная энергетика: Елизово (1 пост); котельная № 1 """"11 км"""" (1 пост); ИАУ филиала, ул. Ленинская, д. 59 (1 пост); База 13 км - (2 поста)")</f>
        <v>Услуги по охране объектов филиала ПАО ""Камчатскэнерго"" Коммунальная энергетика: Елизово (1 пост); котельная № 1 ""11 км"" (1 пост); ИАУ филиала, ул. Ленинская, д. 59 (1 пост); База 13 км - (2 поста)</v>
      </c>
      <c r="G14756" s="22" t="s">
        <v>1141</v>
      </c>
      <c r="H14756" s="22" t="s">
        <v>1142</v>
      </c>
      <c r="I14756" s="26">
        <v>43511.496493055602</v>
      </c>
      <c r="J14756" s="23" t="str">
        <f>HYPERLINK("https://www.spark-marketing.ru/Card/Person/85262", "ООО ""ЧОО ""ЩИТ-К""")</f>
        <v>ООО "ЧОО "ЩИТ-К"</v>
      </c>
      <c r="K14756" s="24" t="s">
        <v>17012</v>
      </c>
      <c r="L14756" s="28" t="s">
        <v>52</v>
      </c>
      <c r="M14756" s="25">
        <v>33396500</v>
      </c>
      <c r="N14756" s="27">
        <v>0</v>
      </c>
    </row>
    <row r="14757" spans="1:14" hidden="1" outlineLevel="1" x14ac:dyDescent="0.2">
      <c r="A14757" s="23" t="str">
        <f>HYPERLINK("https://www.spark-marketing.ru/Card/Person/4348526", "ПАО ""КАМЧАТСКЭНЕРГО""")</f>
        <v>ПАО "КАМЧАТСКЭНЕРГО"</v>
      </c>
      <c r="B14757" s="24" t="s">
        <v>5991</v>
      </c>
      <c r="C14757" s="28" t="s">
        <v>52</v>
      </c>
      <c r="D14757" s="22" t="s">
        <v>17010</v>
      </c>
      <c r="E14757" s="22" t="s">
        <v>144</v>
      </c>
      <c r="F14757" s="23" t="str">
        <f>HYPERLINK("https://www.spark-marketing.ru/Card/Lot/67971138", "Услуги по охране объектов филиала ПАО """"Камчатскэнерго"""" Коммунальная энергетика: Елизово (1 пост); котельная № 1 """"11 км"""" (1 пост); ИАУ филиала, ул. Ленинская, д. 59 (1 пост); База 13 км - (2 поста)")</f>
        <v>Услуги по охране объектов филиала ПАО ""Камчатскэнерго"" Коммунальная энергетика: Елизово (1 пост); котельная № 1 ""11 км"" (1 пост); ИАУ филиала, ул. Ленинская, д. 59 (1 пост); База 13 км - (2 поста)</v>
      </c>
      <c r="G14757" s="22" t="s">
        <v>1141</v>
      </c>
      <c r="H14757" s="22" t="s">
        <v>1142</v>
      </c>
      <c r="I14757" s="26">
        <v>43511.496493055602</v>
      </c>
      <c r="J14757" s="23" t="str">
        <f>HYPERLINK("https://www.spark-marketing.ru/Card/Person/6420015", "ООО ""СТАТУС+""")</f>
        <v>ООО "СТАТУС+"</v>
      </c>
      <c r="K14757" s="24" t="s">
        <v>17013</v>
      </c>
      <c r="L14757" s="28" t="s">
        <v>52</v>
      </c>
      <c r="M14757" s="25">
        <v>0</v>
      </c>
      <c r="N14757" s="27">
        <v>1</v>
      </c>
    </row>
    <row r="14758" spans="1:14" hidden="1" outlineLevel="1" x14ac:dyDescent="0.2">
      <c r="A14758" s="23" t="str">
        <f>HYPERLINK("https://www.spark-marketing.ru/Card/Person/4348526", "ПАО ""КАМЧАТСКЭНЕРГО""")</f>
        <v>ПАО "КАМЧАТСКЭНЕРГО"</v>
      </c>
      <c r="B14758" s="24" t="s">
        <v>5991</v>
      </c>
      <c r="C14758" s="28" t="s">
        <v>52</v>
      </c>
      <c r="D14758" s="22" t="s">
        <v>17010</v>
      </c>
      <c r="E14758" s="22" t="s">
        <v>144</v>
      </c>
      <c r="F14758" s="23" t="str">
        <f>HYPERLINK("https://www.spark-marketing.ru/Card/Lot/67971138", "Услуги по охране объектов филиала ПАО """"Камчатскэнерго"""" Коммунальная энергетика: Елизово (1 пост); котельная № 1 """"11 км"""" (1 пост); ИАУ филиала, ул. Ленинская, д. 59 (1 пост); База 13 км - (2 поста)")</f>
        <v>Услуги по охране объектов филиала ПАО ""Камчатскэнерго"" Коммунальная энергетика: Елизово (1 пост); котельная № 1 ""11 км"" (1 пост); ИАУ филиала, ул. Ленинская, д. 59 (1 пост); База 13 км - (2 поста)</v>
      </c>
      <c r="G14758" s="22" t="s">
        <v>1141</v>
      </c>
      <c r="H14758" s="22" t="s">
        <v>1142</v>
      </c>
      <c r="I14758" s="26">
        <v>43511.496493055602</v>
      </c>
      <c r="J14758" s="23" t="str">
        <f>HYPERLINK("https://www.spark-marketing.ru/Card/Person/638240", "ООО ОП ""СТРЕЛЕЦ""")</f>
        <v>ООО ОП "СТРЕЛЕЦ"</v>
      </c>
      <c r="K14758" s="24" t="s">
        <v>17014</v>
      </c>
      <c r="L14758" s="28" t="s">
        <v>52</v>
      </c>
      <c r="M14758" s="25">
        <v>0</v>
      </c>
      <c r="N14758" s="27">
        <v>1</v>
      </c>
    </row>
    <row r="14759" spans="1:14" x14ac:dyDescent="0.15">
      <c r="A14759" s="23" t="str">
        <f>HYPERLINK("https://www.spark-marketing.ru/Card/Person/86288", "ПАО ""МРСК СИБИРИ""")</f>
        <v>ПАО "МРСК СИБИРИ"</v>
      </c>
      <c r="B14759" s="24" t="s">
        <v>17015</v>
      </c>
      <c r="C14759" s="25">
        <v>100000</v>
      </c>
      <c r="D14759" s="22" t="s">
        <v>17016</v>
      </c>
      <c r="E14759" s="22" t="s">
        <v>854</v>
      </c>
      <c r="F14759" s="23" t="str">
        <f>HYPERLINK("https://www.spark-marketing.ru/Card/Lot/67974557", "Проведение работ по описанию местоположения границ охранных зон под объектами электросетевого хозяйства: воздушные, кабельные линии элек-тропередачи напряжением 0,4-10 кВ, общей протяженностью 4566,54 км (в том числе воздушные линии электропередачи п...")</f>
        <v>Проведение работ по описанию местоположения границ охранных зон под объектами электросетевого хозяйства: воздушные, кабельные линии элек-тропередачи напряжением 0,4-10 кВ, общей протяженностью 4566,54 км (в том числе воздушные линии электропередачи п...</v>
      </c>
      <c r="G14759" s="22" t="s">
        <v>640</v>
      </c>
      <c r="H14759" s="22" t="s">
        <v>1524</v>
      </c>
      <c r="I14759" s="26">
        <v>43511.483449074098</v>
      </c>
      <c r="J14759" s="28" t="s">
        <v>52</v>
      </c>
      <c r="K14759" s="28" t="s">
        <v>52</v>
      </c>
      <c r="L14759" s="28" t="s">
        <v>52</v>
      </c>
      <c r="M14759" s="28" t="s">
        <v>52</v>
      </c>
      <c r="N14759" s="28" t="s">
        <v>52</v>
      </c>
    </row>
    <row r="14760" spans="1:14" x14ac:dyDescent="0.15">
      <c r="A14760" s="23" t="str">
        <f>HYPERLINK("https://www.spark-marketing.ru/Card/Person/1753655", "АО ""АТОМРЕДМЕТЗОЛОТО""")</f>
        <v>АО "АТОМРЕДМЕТЗОЛОТО"</v>
      </c>
      <c r="B14760" s="24" t="s">
        <v>17017</v>
      </c>
      <c r="C14760" s="28" t="s">
        <v>52</v>
      </c>
      <c r="D14760" s="22" t="s">
        <v>17018</v>
      </c>
      <c r="E14760" s="22" t="s">
        <v>12657</v>
      </c>
      <c r="F14760" s="23" t="str">
        <f>HYPERLINK("https://www.spark-marketing.ru/Card/Lot/67984568", "Поставка и установка видеооборудования для переговорной комнаты.")</f>
        <v>Поставка и установка видеооборудования для переговорной комнаты.</v>
      </c>
      <c r="G14760" s="22" t="s">
        <v>55</v>
      </c>
      <c r="H14760" s="22" t="s">
        <v>55</v>
      </c>
      <c r="I14760" s="26">
        <v>43511.482013888897</v>
      </c>
      <c r="J14760" s="28" t="s">
        <v>52</v>
      </c>
      <c r="K14760" s="28" t="s">
        <v>52</v>
      </c>
      <c r="L14760" s="28" t="s">
        <v>52</v>
      </c>
      <c r="M14760" s="28" t="s">
        <v>52</v>
      </c>
      <c r="N14760" s="28" t="s">
        <v>52</v>
      </c>
    </row>
    <row r="14761" spans="1:14" x14ac:dyDescent="0.15">
      <c r="A14761" s="23" t="str">
        <f>HYPERLINK("https://www.spark-marketing.ru/Card/Person/1298812", "МОУ СИНЬКОВСКАЯ СРЕДНЯЯ ОБЩЕОБРАЗОВАТЕЛЬНАЯ ШКОЛА № 2")</f>
        <v>МОУ СИНЬКОВСКАЯ СРЕДНЯЯ ОБЩЕОБРАЗОВАТЕЛЬНАЯ ШКОЛА № 2</v>
      </c>
      <c r="B14761" s="24" t="s">
        <v>17019</v>
      </c>
      <c r="C14761" s="25">
        <v>12000</v>
      </c>
      <c r="D14761" s="22" t="s">
        <v>17020</v>
      </c>
      <c r="E14761" s="22" t="s">
        <v>103</v>
      </c>
      <c r="F14761" s="23" t="str">
        <f>HYPERLINK("https://www.spark-marketing.ru/Card/Lot/67983623", "Обслуживание системы видеонаблюдения")</f>
        <v>Обслуживание системы видеонаблюдения</v>
      </c>
      <c r="G14761" s="22" t="s">
        <v>50</v>
      </c>
      <c r="H14761" s="22" t="s">
        <v>511</v>
      </c>
      <c r="I14761" s="26">
        <v>43511.471736111103</v>
      </c>
      <c r="J14761" s="28" t="s">
        <v>52</v>
      </c>
      <c r="K14761" s="28" t="s">
        <v>52</v>
      </c>
      <c r="L14761" s="28" t="s">
        <v>52</v>
      </c>
      <c r="M14761" s="28" t="s">
        <v>52</v>
      </c>
      <c r="N14761" s="28" t="s">
        <v>52</v>
      </c>
    </row>
    <row r="14762" spans="1:14" x14ac:dyDescent="0.2">
      <c r="A14762" s="23" t="str">
        <f>HYPERLINK("https://www.spark-marketing.ru/Card/Person/4413835", "ООО ""КОМПАНИЯ ""ВОСТСИБУГОЛЬ""")</f>
        <v>ООО "КОМПАНИЯ "ВОСТСИБУГОЛЬ"</v>
      </c>
      <c r="B14762" s="24" t="s">
        <v>17003</v>
      </c>
      <c r="C14762" s="25">
        <v>116581978.8</v>
      </c>
      <c r="D14762" s="22" t="s">
        <v>17021</v>
      </c>
      <c r="E14762" s="22" t="s">
        <v>17005</v>
      </c>
      <c r="F14762" s="23" t="str">
        <f>HYPERLINK("https://www.spark-marketing.ru/Card/Lot/67972367", "Филиал «Разрез «Тулунуголь».Охрана объектов.")</f>
        <v>Филиал «Разрез «Тулунуголь».Охрана объектов.</v>
      </c>
      <c r="G14762" s="22" t="s">
        <v>281</v>
      </c>
      <c r="H14762" s="22" t="s">
        <v>281</v>
      </c>
      <c r="I14762" s="26">
        <v>43511.455972222197</v>
      </c>
      <c r="J14762" s="28" t="s">
        <v>52</v>
      </c>
      <c r="K14762" s="28" t="s">
        <v>52</v>
      </c>
      <c r="L14762" s="28" t="s">
        <v>52</v>
      </c>
      <c r="M14762" s="25">
        <v>116581978.8</v>
      </c>
      <c r="N14762" s="27">
        <v>0</v>
      </c>
    </row>
    <row r="14763" spans="1:14" x14ac:dyDescent="0.15">
      <c r="A14763" s="23" t="str">
        <f>HYPERLINK("https://www.spark-marketing.ru/Card/Person/4348589", "ПАО ""ТАТНЕФТЬ"" ИМ. В.Д. ШАШИНА")</f>
        <v>ПАО "ТАТНЕФТЬ" ИМ. В.Д. ШАШИНА</v>
      </c>
      <c r="B14763" s="24" t="s">
        <v>13000</v>
      </c>
      <c r="C14763" s="25">
        <v>3572339.04</v>
      </c>
      <c r="D14763" s="22" t="s">
        <v>17022</v>
      </c>
      <c r="E14763" s="22" t="s">
        <v>208</v>
      </c>
      <c r="F14763" s="23" t="str">
        <f>HYPERLINK("https://www.spark-marketing.ru/Card/Lot/67986925", "Охрана объектов")</f>
        <v>Охрана объектов</v>
      </c>
      <c r="G14763" s="22" t="s">
        <v>204</v>
      </c>
      <c r="H14763" s="22" t="s">
        <v>308</v>
      </c>
      <c r="I14763" s="26">
        <v>43511.454884259299</v>
      </c>
      <c r="J14763" s="28" t="s">
        <v>52</v>
      </c>
      <c r="K14763" s="28" t="s">
        <v>52</v>
      </c>
      <c r="L14763" s="28" t="s">
        <v>52</v>
      </c>
      <c r="M14763" s="28" t="s">
        <v>52</v>
      </c>
      <c r="N14763" s="28" t="s">
        <v>52</v>
      </c>
    </row>
    <row r="14764" spans="1:14" x14ac:dyDescent="0.2">
      <c r="A14764" s="23" t="str">
        <f>HYPERLINK("https://www.spark-marketing.ru/Card/Person/4413835", "ООО ""КОМПАНИЯ ""ВОСТСИБУГОЛЬ""")</f>
        <v>ООО "КОМПАНИЯ "ВОСТСИБУГОЛЬ"</v>
      </c>
      <c r="B14764" s="24" t="s">
        <v>17003</v>
      </c>
      <c r="C14764" s="25">
        <v>77647720</v>
      </c>
      <c r="D14764" s="22" t="s">
        <v>17023</v>
      </c>
      <c r="E14764" s="22" t="s">
        <v>17005</v>
      </c>
      <c r="F14764" s="23" t="str">
        <f>HYPERLINK("https://www.spark-marketing.ru/Card/Lot/67972365", "Филиал «Разрез «Черемховуголь». Охрана объектов.")</f>
        <v>Филиал «Разрез «Черемховуголь». Охрана объектов.</v>
      </c>
      <c r="G14764" s="22" t="s">
        <v>281</v>
      </c>
      <c r="H14764" s="22" t="s">
        <v>281</v>
      </c>
      <c r="I14764" s="26">
        <v>43511.445532407401</v>
      </c>
      <c r="J14764" s="23" t="str">
        <f>HYPERLINK("https://www.spark-marketing.ru/Card/Person/1176852", "ООО ""ОП ""ИРКУТСКЭНЕРГО""")</f>
        <v>ООО "ОП "ИРКУТСКЭНЕРГО"</v>
      </c>
      <c r="K14764" s="24" t="s">
        <v>17006</v>
      </c>
      <c r="L14764" s="28" t="s">
        <v>52</v>
      </c>
      <c r="M14764" s="25">
        <v>77647720</v>
      </c>
      <c r="N14764" s="27">
        <v>0</v>
      </c>
    </row>
    <row r="14765" spans="1:14" x14ac:dyDescent="0.15">
      <c r="A14765" s="23" t="str">
        <f>HYPERLINK("https://www.spark-marketing.ru/Card/Person/4352055", "ГБПОУ МО ""КОЛОМЕНСКИЙ АГРАРНЫЙ КОЛЛЕДЖ""")</f>
        <v>ГБПОУ МО "КОЛОМЕНСКИЙ АГРАРНЫЙ КОЛЛЕДЖ"</v>
      </c>
      <c r="B14765" s="24" t="s">
        <v>8194</v>
      </c>
      <c r="C14765" s="25">
        <v>240000</v>
      </c>
      <c r="D14765" s="22" t="s">
        <v>17024</v>
      </c>
      <c r="E14765" s="22" t="s">
        <v>103</v>
      </c>
      <c r="F14765" s="23" t="str">
        <f>HYPERLINK("https://www.spark-marketing.ru/Card/Lot/67977517", "Услуги по техническому обслуживанию видеонаблюдения для нужд ГБПОУ МО ""Коломенский аграрный колледж""")</f>
        <v>Услуги по техническому обслуживанию видеонаблюдения для нужд ГБПОУ МО "Коломенский аграрный колледж"</v>
      </c>
      <c r="G14765" s="22" t="s">
        <v>50</v>
      </c>
      <c r="H14765" s="22" t="s">
        <v>682</v>
      </c>
      <c r="I14765" s="26">
        <v>43511.398877314801</v>
      </c>
      <c r="J14765" s="28" t="s">
        <v>52</v>
      </c>
      <c r="K14765" s="28" t="s">
        <v>52</v>
      </c>
      <c r="L14765" s="28" t="s">
        <v>52</v>
      </c>
      <c r="M14765" s="28" t="s">
        <v>52</v>
      </c>
      <c r="N14765" s="28" t="s">
        <v>52</v>
      </c>
    </row>
    <row r="14766" spans="1:14" x14ac:dyDescent="0.2">
      <c r="A14766" s="23" t="str">
        <f>HYPERLINK("https://www.spark-marketing.ru/Card/Person/241172", "МУ ОЦ ""ОРЛЕНОК""")</f>
        <v>МУ ОЦ "ОРЛЕНОК"</v>
      </c>
      <c r="B14766" s="24" t="s">
        <v>17025</v>
      </c>
      <c r="C14766" s="25">
        <v>642600</v>
      </c>
      <c r="D14766" s="22" t="s">
        <v>17026</v>
      </c>
      <c r="E14766" s="22" t="s">
        <v>144</v>
      </c>
      <c r="F14766" s="23" t="str">
        <f>HYPERLINK("https://www.spark-marketing.ru/Card/Lot/67975909", "Услуги охраны")</f>
        <v>Услуги охраны</v>
      </c>
      <c r="G14766" s="22" t="s">
        <v>343</v>
      </c>
      <c r="H14766" s="22" t="s">
        <v>343</v>
      </c>
      <c r="I14766" s="26">
        <v>43511.382326388899</v>
      </c>
      <c r="J14766" s="23" t="str">
        <f>HYPERLINK("https://www.spark-marketing.ru/Card/Person/1136611", "ООО ЧОО ""КАЗАЧЬЯ ЗАСТАВА""")</f>
        <v>ООО ЧОО "КАЗАЧЬЯ ЗАСТАВА"</v>
      </c>
      <c r="K14766" s="24" t="s">
        <v>17027</v>
      </c>
      <c r="L14766" s="28" t="s">
        <v>52</v>
      </c>
      <c r="M14766" s="25">
        <v>629000</v>
      </c>
      <c r="N14766" s="27">
        <v>2.1164021164021163E-2</v>
      </c>
    </row>
    <row r="14767" spans="1:14" x14ac:dyDescent="0.15">
      <c r="A14767" s="23" t="str">
        <f>HYPERLINK("https://www.spark-marketing.ru/Card/Person/4348477", "ООО ИК ""СИБИНТЕК""")</f>
        <v>ООО ИК "СИБИНТЕК"</v>
      </c>
      <c r="B14767" s="24" t="s">
        <v>4789</v>
      </c>
      <c r="C14767" s="25">
        <v>680000</v>
      </c>
      <c r="D14767" s="22" t="s">
        <v>17028</v>
      </c>
      <c r="E14767" s="22" t="s">
        <v>53</v>
      </c>
      <c r="F14767" s="23" t="str">
        <f>HYPERLINK("https://www.spark-marketing.ru/Card/Lot/67978365", "Охранные услуги")</f>
        <v>Охранные услуги</v>
      </c>
      <c r="G14767" s="22" t="s">
        <v>55</v>
      </c>
      <c r="H14767" s="22" t="s">
        <v>55</v>
      </c>
      <c r="I14767" s="26">
        <v>43511.399305555598</v>
      </c>
      <c r="J14767" s="28" t="s">
        <v>52</v>
      </c>
      <c r="K14767" s="28" t="s">
        <v>52</v>
      </c>
      <c r="L14767" s="28" t="s">
        <v>52</v>
      </c>
      <c r="M14767" s="28" t="s">
        <v>52</v>
      </c>
      <c r="N14767" s="28" t="s">
        <v>52</v>
      </c>
    </row>
    <row r="14768" spans="1:14" x14ac:dyDescent="0.15">
      <c r="A14768" s="23" t="str">
        <f>HYPERLINK("https://www.spark-marketing.ru/Card/Person/4366003", "АО ""ЕНИСЕЙСКАЯ ТГК (ТГК-13)""")</f>
        <v>АО "ЕНИСЕЙСКАЯ ТГК (ТГК-13)"</v>
      </c>
      <c r="B14768" s="24" t="s">
        <v>10179</v>
      </c>
      <c r="C14768" s="25">
        <v>1296000</v>
      </c>
      <c r="D14768" s="22" t="s">
        <v>17029</v>
      </c>
      <c r="E14768" s="22" t="s">
        <v>10181</v>
      </c>
      <c r="F14768" s="23" t="str">
        <f>HYPERLINK("https://www.spark-marketing.ru/Card/Lot/67971724", "ТО систем охранного видеонаблюдения периметральной охраны Абаканской ТЭЦ")</f>
        <v>ТО систем охранного видеонаблюдения периметральной охраны Абаканской ТЭЦ</v>
      </c>
      <c r="G14768" s="22" t="s">
        <v>640</v>
      </c>
      <c r="H14768" s="22" t="s">
        <v>1524</v>
      </c>
      <c r="I14768" s="26">
        <v>43511.361006944397</v>
      </c>
      <c r="J14768" s="28" t="s">
        <v>52</v>
      </c>
      <c r="K14768" s="28" t="s">
        <v>52</v>
      </c>
      <c r="L14768" s="28" t="s">
        <v>52</v>
      </c>
      <c r="M14768" s="28" t="s">
        <v>52</v>
      </c>
      <c r="N14768" s="28" t="s">
        <v>52</v>
      </c>
    </row>
    <row r="14769" spans="1:14" hidden="1" outlineLevel="1" x14ac:dyDescent="0.15">
      <c r="A14769" s="23" t="str">
        <f>HYPERLINK("https://www.spark-marketing.ru/Card/Person/4366003", "АО ""ЕНИСЕЙСКАЯ ТГК (ТГК-13)""")</f>
        <v>АО "ЕНИСЕЙСКАЯ ТГК (ТГК-13)"</v>
      </c>
      <c r="B14769" s="24" t="s">
        <v>10179</v>
      </c>
      <c r="C14769" s="28" t="s">
        <v>52</v>
      </c>
      <c r="D14769" s="22" t="s">
        <v>17029</v>
      </c>
      <c r="E14769" s="22" t="s">
        <v>10181</v>
      </c>
      <c r="F14769" s="23" t="str">
        <f>HYPERLINK("https://www.spark-marketing.ru/Card/Lot/67971724", "ТО систем охранного видеонаблюдения периметральной охраны Абаканской ТЭЦ")</f>
        <v>ТО систем охранного видеонаблюдения периметральной охраны Абаканской ТЭЦ</v>
      </c>
      <c r="G14769" s="22" t="s">
        <v>640</v>
      </c>
      <c r="H14769" s="22" t="s">
        <v>1524</v>
      </c>
      <c r="I14769" s="26">
        <v>43511.361006944397</v>
      </c>
      <c r="J14769" s="23" t="str">
        <f>HYPERLINK("https://www.spark-marketing.ru/Card/Person/6522533", "ЗАЯВКА 5726")</f>
        <v>ЗАЯВКА 5726</v>
      </c>
      <c r="K14769" s="28" t="s">
        <v>52</v>
      </c>
      <c r="L14769" s="28" t="s">
        <v>52</v>
      </c>
      <c r="M14769" s="28" t="s">
        <v>52</v>
      </c>
      <c r="N14769" s="28" t="s">
        <v>52</v>
      </c>
    </row>
    <row r="14770" spans="1:14" hidden="1" outlineLevel="1" x14ac:dyDescent="0.15">
      <c r="A14770" s="23" t="str">
        <f>HYPERLINK("https://www.spark-marketing.ru/Card/Person/4366003", "АО ""ЕНИСЕЙСКАЯ ТГК (ТГК-13)""")</f>
        <v>АО "ЕНИСЕЙСКАЯ ТГК (ТГК-13)"</v>
      </c>
      <c r="B14770" s="24" t="s">
        <v>10179</v>
      </c>
      <c r="C14770" s="28" t="s">
        <v>52</v>
      </c>
      <c r="D14770" s="22" t="s">
        <v>17029</v>
      </c>
      <c r="E14770" s="22" t="s">
        <v>10181</v>
      </c>
      <c r="F14770" s="23" t="str">
        <f>HYPERLINK("https://www.spark-marketing.ru/Card/Lot/67971724", "ТО систем охранного видеонаблюдения периметральной охраны Абаканской ТЭЦ")</f>
        <v>ТО систем охранного видеонаблюдения периметральной охраны Абаканской ТЭЦ</v>
      </c>
      <c r="G14770" s="22" t="s">
        <v>640</v>
      </c>
      <c r="H14770" s="22" t="s">
        <v>1524</v>
      </c>
      <c r="I14770" s="26">
        <v>43511.361006944397</v>
      </c>
      <c r="J14770" s="23" t="str">
        <f>HYPERLINK("https://www.spark-marketing.ru/Card/Person/6520329", "ЗАЯВКА 5696")</f>
        <v>ЗАЯВКА 5696</v>
      </c>
      <c r="K14770" s="28" t="s">
        <v>52</v>
      </c>
      <c r="L14770" s="28" t="s">
        <v>52</v>
      </c>
      <c r="M14770" s="28" t="s">
        <v>52</v>
      </c>
      <c r="N14770" s="28" t="s">
        <v>52</v>
      </c>
    </row>
    <row r="14771" spans="1:14" x14ac:dyDescent="0.15">
      <c r="A14771" s="23" t="str">
        <f>HYPERLINK("https://www.spark-marketing.ru/Card/Person/1082002", "МБУ ДО ""ДШИ № 5 Г.КРАСНОЗАВОДСК""")</f>
        <v>МБУ ДО "ДШИ № 5 Г.КРАСНОЗАВОДСК"</v>
      </c>
      <c r="B14771" s="24" t="s">
        <v>17030</v>
      </c>
      <c r="C14771" s="25">
        <v>8400</v>
      </c>
      <c r="D14771" s="22" t="s">
        <v>17031</v>
      </c>
      <c r="E14771" s="22" t="s">
        <v>107</v>
      </c>
      <c r="F14771" s="23" t="str">
        <f>HYPERLINK("https://www.spark-marketing.ru/Card/Lot/67971236", "Услуги по техническому обслуживанию (содержанию) систем охранной (противовзломной) сигнализации")</f>
        <v>Услуги по техническому обслуживанию (содержанию) систем охранной (противовзломной) сигнализации</v>
      </c>
      <c r="G14771" s="22" t="s">
        <v>50</v>
      </c>
      <c r="H14771" s="22" t="s">
        <v>326</v>
      </c>
      <c r="I14771" s="26">
        <v>43511.128368055601</v>
      </c>
      <c r="J14771" s="28" t="s">
        <v>52</v>
      </c>
      <c r="K14771" s="28" t="s">
        <v>52</v>
      </c>
      <c r="L14771" s="28" t="s">
        <v>52</v>
      </c>
      <c r="M14771" s="28" t="s">
        <v>52</v>
      </c>
      <c r="N14771" s="28" t="s">
        <v>52</v>
      </c>
    </row>
    <row r="14772" spans="1:14" x14ac:dyDescent="0.15">
      <c r="A14772" s="23" t="str">
        <f>HYPERLINK("https://www.spark-marketing.ru/Card/Person/24593", "АРБИТРАЖНЫЙ СУД РЕСПУБЛИКИ АДЫГЕЯ")</f>
        <v>АРБИТРАЖНЫЙ СУД РЕСПУБЛИКИ АДЫГЕЯ</v>
      </c>
      <c r="B14772" s="24" t="s">
        <v>17032</v>
      </c>
      <c r="C14772" s="25">
        <v>92425.3</v>
      </c>
      <c r="D14772" s="22" t="s">
        <v>17033</v>
      </c>
      <c r="E14772" s="22" t="s">
        <v>68</v>
      </c>
      <c r="F14772" s="23" t="str">
        <f>HYPERLINK("https://www.spark-marketing.ru/Card/Lot/67980132", "Оказание охранных услуг в зданиях, помещениях, их частях или комбинациях, оборудованных действующим комплексом технических средств охраны")</f>
        <v>Оказание охранных услуг в зданиях, помещениях, их частях или комбинациях, оборудованных действующим комплексом технических средств охраны</v>
      </c>
      <c r="G14772" s="22" t="s">
        <v>1547</v>
      </c>
      <c r="H14772" s="22" t="s">
        <v>1983</v>
      </c>
      <c r="I14772" s="26">
        <v>43511</v>
      </c>
      <c r="J14772" s="28" t="s">
        <v>52</v>
      </c>
      <c r="K14772" s="28" t="s">
        <v>52</v>
      </c>
      <c r="L14772" s="28" t="s">
        <v>52</v>
      </c>
      <c r="M14772" s="28" t="s">
        <v>52</v>
      </c>
      <c r="N14772" s="28" t="s">
        <v>52</v>
      </c>
    </row>
    <row r="14773" spans="1:14" x14ac:dyDescent="0.15">
      <c r="A14773" s="23" t="str">
        <f>HYPERLINK("https://www.spark-marketing.ru/Card/Person/3136", "ГБУЗ ДККБ")</f>
        <v>ГБУЗ ДККБ</v>
      </c>
      <c r="B14773" s="24" t="s">
        <v>17034</v>
      </c>
      <c r="C14773" s="25">
        <v>482522.9</v>
      </c>
      <c r="D14773" s="22" t="s">
        <v>17035</v>
      </c>
      <c r="E14773" s="22" t="s">
        <v>68</v>
      </c>
      <c r="F14773" s="23" t="str">
        <f>HYPERLINK("https://www.spark-marketing.ru/Card/Lot/67998498", "Оказание охранных услуг")</f>
        <v>Оказание охранных услуг</v>
      </c>
      <c r="G14773" s="22" t="s">
        <v>132</v>
      </c>
      <c r="H14773" s="22" t="s">
        <v>652</v>
      </c>
      <c r="I14773" s="26">
        <v>43511</v>
      </c>
      <c r="J14773" s="28" t="s">
        <v>52</v>
      </c>
      <c r="K14773" s="28" t="s">
        <v>52</v>
      </c>
      <c r="L14773" s="28" t="s">
        <v>52</v>
      </c>
      <c r="M14773" s="28" t="s">
        <v>52</v>
      </c>
      <c r="N14773" s="28" t="s">
        <v>52</v>
      </c>
    </row>
    <row r="14774" spans="1:14" x14ac:dyDescent="0.15">
      <c r="A14774" s="23" t="str">
        <f>HYPERLINK("https://www.spark-marketing.ru/Card/Person/5629", "ГБУ РС (Я) НПЦ ""ФТИЗИАТРИЯ""")</f>
        <v>ГБУ РС (Я) НПЦ "ФТИЗИАТРИЯ"</v>
      </c>
      <c r="B14774" s="24" t="s">
        <v>17036</v>
      </c>
      <c r="C14774" s="25">
        <v>175359.3</v>
      </c>
      <c r="D14774" s="22" t="s">
        <v>17037</v>
      </c>
      <c r="E14774" s="22" t="s">
        <v>68</v>
      </c>
      <c r="F14774" s="23" t="str">
        <f>HYPERLINK("https://www.spark-marketing.ru/Card/Lot/67979536", "Оказание услуг охраны с помощью пульта централизованного наблюдения объектов")</f>
        <v>Оказание услуг охраны с помощью пульта централизованного наблюдения объектов</v>
      </c>
      <c r="G14774" s="22" t="s">
        <v>424</v>
      </c>
      <c r="H14774" s="22" t="s">
        <v>1186</v>
      </c>
      <c r="I14774" s="26">
        <v>43511</v>
      </c>
      <c r="J14774" s="28" t="s">
        <v>52</v>
      </c>
      <c r="K14774" s="28" t="s">
        <v>52</v>
      </c>
      <c r="L14774" s="28" t="s">
        <v>52</v>
      </c>
      <c r="M14774" s="28" t="s">
        <v>52</v>
      </c>
      <c r="N14774" s="28" t="s">
        <v>52</v>
      </c>
    </row>
    <row r="14775" spans="1:14" hidden="1" outlineLevel="1" x14ac:dyDescent="0.2">
      <c r="A14775" s="23" t="str">
        <f>HYPERLINK("https://www.spark-marketing.ru/Card/Person/5629", "ГБУ РС (Я) НПЦ ""ФТИЗИАТРИЯ""")</f>
        <v>ГБУ РС (Я) НПЦ "ФТИЗИАТРИЯ"</v>
      </c>
      <c r="B14775" s="24" t="s">
        <v>17036</v>
      </c>
      <c r="C14775" s="25">
        <v>175359.3</v>
      </c>
      <c r="D14775" s="22" t="s">
        <v>17037</v>
      </c>
      <c r="E14775" s="22" t="s">
        <v>68</v>
      </c>
      <c r="F14775" s="23" t="str">
        <f>HYPERLINK("https://www.spark-marketing.ru/Card/Lot/67979536", "Оказание услуг охраны с помощью пульта централизованного наблюдения объектов")</f>
        <v>Оказание услуг охраны с помощью пульта централизованного наблюдения объектов</v>
      </c>
      <c r="G14775" s="22" t="s">
        <v>424</v>
      </c>
      <c r="H14775" s="22" t="s">
        <v>1186</v>
      </c>
      <c r="I14775" s="26">
        <v>43511</v>
      </c>
      <c r="J14775" s="23" t="str">
        <f>HYPERLINK("https://www.spark-marketing.ru/Card/Person/2231774", "ООО ЧОП ""НЛ-ОХРАНА""")</f>
        <v>ООО ЧОП "НЛ-ОХРАНА"</v>
      </c>
      <c r="K14775" s="24" t="s">
        <v>17038</v>
      </c>
      <c r="L14775" s="28" t="s">
        <v>52</v>
      </c>
      <c r="M14775" s="25">
        <v>76480</v>
      </c>
      <c r="N14775" s="27">
        <v>0.56386687218756004</v>
      </c>
    </row>
    <row r="14776" spans="1:14" ht="12.75" hidden="1" outlineLevel="1" x14ac:dyDescent="0.2">
      <c r="A14776" s="23" t="str">
        <f>HYPERLINK("https://www.spark-marketing.ru/Card/Person/5629", "ГБУ РС (Я) НПЦ ""ФТИЗИАТРИЯ""")</f>
        <v>ГБУ РС (Я) НПЦ "ФТИЗИАТРИЯ"</v>
      </c>
      <c r="B14776" s="24" t="s">
        <v>17036</v>
      </c>
      <c r="C14776" s="25">
        <v>175359.3</v>
      </c>
      <c r="D14776" s="22" t="s">
        <v>17037</v>
      </c>
      <c r="E14776" s="22" t="s">
        <v>68</v>
      </c>
      <c r="F14776" s="23" t="str">
        <f>HYPERLINK("https://www.spark-marketing.ru/Card/Lot/67979536", "Оказание услуг охраны с помощью пульта централизованного наблюдения объектов")</f>
        <v>Оказание услуг охраны с помощью пульта централизованного наблюдения объектов</v>
      </c>
      <c r="G14776" s="22" t="s">
        <v>424</v>
      </c>
      <c r="H14776" s="22" t="s">
        <v>1186</v>
      </c>
      <c r="I14776" s="26">
        <v>43511</v>
      </c>
      <c r="J14776" s="23" t="str">
        <f>HYPERLINK("https://www.spark-marketing.ru/Card/Person/453501", "ООО ""РОА ШЕРИФ""")</f>
        <v>ООО "РОА ШЕРИФ"</v>
      </c>
      <c r="K14776" s="24" t="s">
        <v>16917</v>
      </c>
      <c r="L14776" s="22" t="s">
        <v>10</v>
      </c>
      <c r="M14776" s="25">
        <v>75603.199999999997</v>
      </c>
      <c r="N14776" s="27">
        <v>0.56886689214658137</v>
      </c>
    </row>
    <row r="14777" spans="1:14" x14ac:dyDescent="0.15">
      <c r="A14777" s="23" t="str">
        <f>HYPERLINK("https://www.spark-marketing.ru/Card/Person/131700", "ФГБУ ПОО ""БГУОР""")</f>
        <v>ФГБУ ПОО "БГУОР"</v>
      </c>
      <c r="B14777" s="24" t="s">
        <v>17039</v>
      </c>
      <c r="C14777" s="25">
        <v>1254000</v>
      </c>
      <c r="D14777" s="22" t="s">
        <v>17040</v>
      </c>
      <c r="E14777" s="22" t="s">
        <v>68</v>
      </c>
      <c r="F14777" s="23" t="str">
        <f>HYPERLINK("https://www.spark-marketing.ru/Card/Lot/67986333", "услугу по охране, обеспечению внутриобъектового и пропускного режимов на объектах, находящихся в оперативном управлении Заказчика")</f>
        <v>услугу по охране, обеспечению внутриобъектового и пропускного режимов на объектах, находящихся в оперативном управлении Заказчика</v>
      </c>
      <c r="G14777" s="22" t="s">
        <v>215</v>
      </c>
      <c r="H14777" s="22" t="s">
        <v>406</v>
      </c>
      <c r="I14777" s="26">
        <v>43511</v>
      </c>
      <c r="J14777" s="28" t="s">
        <v>52</v>
      </c>
      <c r="K14777" s="28" t="s">
        <v>52</v>
      </c>
      <c r="L14777" s="28" t="s">
        <v>52</v>
      </c>
      <c r="M14777" s="28" t="s">
        <v>52</v>
      </c>
      <c r="N14777" s="28" t="s">
        <v>52</v>
      </c>
    </row>
    <row r="14778" spans="1:14" ht="12.75" hidden="1" outlineLevel="1" x14ac:dyDescent="0.2">
      <c r="A14778" s="23" t="str">
        <f>HYPERLINK("https://www.spark-marketing.ru/Card/Person/131700", "ФГБУ ПОО ""БГУОР""")</f>
        <v>ФГБУ ПОО "БГУОР"</v>
      </c>
      <c r="B14778" s="24" t="s">
        <v>17039</v>
      </c>
      <c r="C14778" s="25">
        <v>1254000</v>
      </c>
      <c r="D14778" s="22" t="s">
        <v>17040</v>
      </c>
      <c r="E14778" s="22" t="s">
        <v>68</v>
      </c>
      <c r="F14778" s="23" t="str">
        <f>HYPERLINK("https://www.spark-marketing.ru/Card/Lot/67986333", "услугу по охране, обеспечению внутриобъектового и пропускного режимов на объектах, находящихся в оперативном управлении Заказчика")</f>
        <v>услугу по охране, обеспечению внутриобъектового и пропускного режимов на объектах, находящихся в оперативном управлении Заказчика</v>
      </c>
      <c r="G14778" s="22" t="s">
        <v>215</v>
      </c>
      <c r="H14778" s="22" t="s">
        <v>406</v>
      </c>
      <c r="I14778" s="26">
        <v>43511</v>
      </c>
      <c r="J14778" s="23" t="str">
        <f>HYPERLINK("https://www.spark-marketing.ru/Card/Person/63100", "ООО ""ЧОП ""ИМПЕРАТОР""")</f>
        <v>ООО "ЧОП "ИМПЕРАТОР"</v>
      </c>
      <c r="K14778" s="24" t="s">
        <v>8948</v>
      </c>
      <c r="L14778" s="22" t="s">
        <v>10</v>
      </c>
      <c r="M14778" s="25">
        <v>1159950</v>
      </c>
      <c r="N14778" s="27">
        <v>7.4999999999999997E-2</v>
      </c>
    </row>
    <row r="14779" spans="1:14" hidden="1" outlineLevel="1" x14ac:dyDescent="0.2">
      <c r="A14779" s="23" t="str">
        <f>HYPERLINK("https://www.spark-marketing.ru/Card/Person/131700", "ФГБУ ПОО ""БГУОР""")</f>
        <v>ФГБУ ПОО "БГУОР"</v>
      </c>
      <c r="B14779" s="24" t="s">
        <v>17039</v>
      </c>
      <c r="C14779" s="25">
        <v>1254000</v>
      </c>
      <c r="D14779" s="22" t="s">
        <v>17040</v>
      </c>
      <c r="E14779" s="22" t="s">
        <v>68</v>
      </c>
      <c r="F14779" s="23" t="str">
        <f>HYPERLINK("https://www.spark-marketing.ru/Card/Lot/67986333", "услугу по охране, обеспечению внутриобъектового и пропускного режимов на объектах, находящихся в оперативном управлении Заказчика")</f>
        <v>услугу по охране, обеспечению внутриобъектового и пропускного режимов на объектах, находящихся в оперативном управлении Заказчика</v>
      </c>
      <c r="G14779" s="22" t="s">
        <v>215</v>
      </c>
      <c r="H14779" s="22" t="s">
        <v>406</v>
      </c>
      <c r="I14779" s="26">
        <v>43511</v>
      </c>
      <c r="J14779" s="23" t="str">
        <f>HYPERLINK("https://www.spark-marketing.ru/Card/Person/123447", "ЧО ООО ""АЛИОТ""")</f>
        <v>ЧО ООО "АЛИОТ"</v>
      </c>
      <c r="K14779" s="24" t="s">
        <v>8949</v>
      </c>
      <c r="L14779" s="28" t="s">
        <v>52</v>
      </c>
      <c r="M14779" s="25">
        <v>1166220</v>
      </c>
      <c r="N14779" s="27">
        <v>7.0000000000000007E-2</v>
      </c>
    </row>
    <row r="14780" spans="1:14" x14ac:dyDescent="0.15">
      <c r="A14780" s="23" t="str">
        <f>HYPERLINK("https://www.spark-marketing.ru/Card/Person/159371", "МЕЖРАЙОННАЯ ИФНС РОССИИ № 2 ПО РЕСПУБЛИКЕ МОРДОВИЯ")</f>
        <v>МЕЖРАЙОННАЯ ИФНС РОССИИ № 2 ПО РЕСПУБЛИКЕ МОРДОВИЯ</v>
      </c>
      <c r="B14780" s="24" t="s">
        <v>17041</v>
      </c>
      <c r="C14780" s="25">
        <v>453550.8</v>
      </c>
      <c r="D14780" s="22" t="s">
        <v>17042</v>
      </c>
      <c r="E14780" s="22" t="s">
        <v>68</v>
      </c>
      <c r="F14780" s="23" t="str">
        <f>HYPERLINK("https://www.spark-marketing.ru/Card/Lot/67995673", "Услуги охраны здания")</f>
        <v>Услуги охраны здания</v>
      </c>
      <c r="G14780" s="22" t="s">
        <v>331</v>
      </c>
      <c r="H14780" s="22" t="s">
        <v>17043</v>
      </c>
      <c r="I14780" s="26">
        <v>43511</v>
      </c>
      <c r="J14780" s="28" t="s">
        <v>52</v>
      </c>
      <c r="K14780" s="28" t="s">
        <v>52</v>
      </c>
      <c r="L14780" s="28" t="s">
        <v>52</v>
      </c>
      <c r="M14780" s="28" t="s">
        <v>52</v>
      </c>
      <c r="N14780" s="28" t="s">
        <v>52</v>
      </c>
    </row>
    <row r="14781" spans="1:14" hidden="1" outlineLevel="1" x14ac:dyDescent="0.2">
      <c r="A14781" s="23" t="str">
        <f>HYPERLINK("https://www.spark-marketing.ru/Card/Person/159371", "МЕЖРАЙОННАЯ ИФНС РОССИИ № 2 ПО РЕСПУБЛИКЕ МОРДОВИЯ")</f>
        <v>МЕЖРАЙОННАЯ ИФНС РОССИИ № 2 ПО РЕСПУБЛИКЕ МОРДОВИЯ</v>
      </c>
      <c r="B14781" s="24" t="s">
        <v>17041</v>
      </c>
      <c r="C14781" s="25">
        <v>453550.8</v>
      </c>
      <c r="D14781" s="22" t="s">
        <v>17042</v>
      </c>
      <c r="E14781" s="22" t="s">
        <v>68</v>
      </c>
      <c r="F14781" s="23" t="str">
        <f>HYPERLINK("https://www.spark-marketing.ru/Card/Lot/67995673", "Услуги охраны здания")</f>
        <v>Услуги охраны здания</v>
      </c>
      <c r="G14781" s="22" t="s">
        <v>331</v>
      </c>
      <c r="H14781" s="22" t="s">
        <v>17043</v>
      </c>
      <c r="I14781" s="26">
        <v>43511</v>
      </c>
      <c r="J14781" s="23" t="str">
        <f>HYPERLINK("https://www.spark-marketing.ru/Card/Person/4896136", "ФЛ ФГУП ОХРАНА ФЕДЕРАЛЬНОЙ СЛУЖБЫ ВОЙСК НАЦИОНАЛЬНОЙ ГВАРДИИ РФ ПО РП МОРДОВИЯ")</f>
        <v>ФЛ ФГУП ОХРАНА ФЕДЕРАЛЬНОЙ СЛУЖБЫ ВОЙСК НАЦИОНАЛЬНОЙ ГВАРДИИ РФ ПО РП МОРДОВИЯ</v>
      </c>
      <c r="K14781" s="24" t="s">
        <v>779</v>
      </c>
      <c r="L14781" s="28" t="s">
        <v>52</v>
      </c>
      <c r="M14781" s="25">
        <v>451283.05</v>
      </c>
      <c r="N14781" s="27">
        <v>4.9999911807012574E-3</v>
      </c>
    </row>
    <row r="14782" spans="1:14" hidden="1" outlineLevel="1" x14ac:dyDescent="0.2">
      <c r="A14782" s="23" t="str">
        <f>HYPERLINK("https://www.spark-marketing.ru/Card/Person/159371", "МЕЖРАЙОННАЯ ИФНС РОССИИ № 2 ПО РЕСПУБЛИКЕ МОРДОВИЯ")</f>
        <v>МЕЖРАЙОННАЯ ИФНС РОССИИ № 2 ПО РЕСПУБЛИКЕ МОРДОВИЯ</v>
      </c>
      <c r="B14782" s="24" t="s">
        <v>17041</v>
      </c>
      <c r="C14782" s="25">
        <v>453550.8</v>
      </c>
      <c r="D14782" s="22" t="s">
        <v>17042</v>
      </c>
      <c r="E14782" s="22" t="s">
        <v>68</v>
      </c>
      <c r="F14782" s="23" t="str">
        <f>HYPERLINK("https://www.spark-marketing.ru/Card/Lot/67995673", "Услуги охраны здания")</f>
        <v>Услуги охраны здания</v>
      </c>
      <c r="G14782" s="22" t="s">
        <v>331</v>
      </c>
      <c r="H14782" s="22" t="s">
        <v>17043</v>
      </c>
      <c r="I14782" s="26">
        <v>43511</v>
      </c>
      <c r="J14782" s="23" t="str">
        <f>HYPERLINK("https://www.spark-marketing.ru/Card/Person/1130302", "ООО ЧОП ""АЙРУС""")</f>
        <v>ООО ЧОП "АЙРУС"</v>
      </c>
      <c r="K14782" s="24" t="s">
        <v>8989</v>
      </c>
      <c r="L14782" s="28" t="s">
        <v>52</v>
      </c>
      <c r="M14782" s="25">
        <v>451283.05</v>
      </c>
      <c r="N14782" s="27">
        <v>4.9999911807012574E-3</v>
      </c>
    </row>
    <row r="14783" spans="1:14" hidden="1" outlineLevel="1" x14ac:dyDescent="0.2">
      <c r="A14783" s="23" t="str">
        <f>HYPERLINK("https://www.spark-marketing.ru/Card/Person/159371", "МЕЖРАЙОННАЯ ИФНС РОССИИ № 2 ПО РЕСПУБЛИКЕ МОРДОВИЯ")</f>
        <v>МЕЖРАЙОННАЯ ИФНС РОССИИ № 2 ПО РЕСПУБЛИКЕ МОРДОВИЯ</v>
      </c>
      <c r="B14783" s="24" t="s">
        <v>17041</v>
      </c>
      <c r="C14783" s="25">
        <v>453550.8</v>
      </c>
      <c r="D14783" s="22" t="s">
        <v>17042</v>
      </c>
      <c r="E14783" s="22" t="s">
        <v>68</v>
      </c>
      <c r="F14783" s="23" t="str">
        <f>HYPERLINK("https://www.spark-marketing.ru/Card/Lot/67995673", "Услуги охраны здания")</f>
        <v>Услуги охраны здания</v>
      </c>
      <c r="G14783" s="22" t="s">
        <v>331</v>
      </c>
      <c r="H14783" s="22" t="s">
        <v>17043</v>
      </c>
      <c r="I14783" s="26">
        <v>43511</v>
      </c>
      <c r="J14783" s="23" t="str">
        <f>HYPERLINK("https://www.spark-marketing.ru/Card/Person/85191", "ФГКУ ""ОВО ВНГ РОССИИ ПО РЕСПУБЛИКЕ МОРДОВИЯ""")</f>
        <v>ФГКУ "ОВО ВНГ РОССИИ ПО РЕСПУБЛИКЕ МОРДОВИЯ"</v>
      </c>
      <c r="K14783" s="24" t="s">
        <v>17044</v>
      </c>
      <c r="L14783" s="28" t="s">
        <v>52</v>
      </c>
      <c r="M14783" s="25">
        <v>286193.33</v>
      </c>
      <c r="N14783" s="27">
        <v>0.36899388117053261</v>
      </c>
    </row>
    <row r="14784" spans="1:14" ht="12.75" hidden="1" outlineLevel="1" x14ac:dyDescent="0.2">
      <c r="A14784" s="23" t="str">
        <f>HYPERLINK("https://www.spark-marketing.ru/Card/Person/159371", "МЕЖРАЙОННАЯ ИФНС РОССИИ № 2 ПО РЕСПУБЛИКЕ МОРДОВИЯ")</f>
        <v>МЕЖРАЙОННАЯ ИФНС РОССИИ № 2 ПО РЕСПУБЛИКЕ МОРДОВИЯ</v>
      </c>
      <c r="B14784" s="24" t="s">
        <v>17041</v>
      </c>
      <c r="C14784" s="25">
        <v>453550.8</v>
      </c>
      <c r="D14784" s="22" t="s">
        <v>17042</v>
      </c>
      <c r="E14784" s="22" t="s">
        <v>68</v>
      </c>
      <c r="F14784" s="23" t="str">
        <f>HYPERLINK("https://www.spark-marketing.ru/Card/Lot/67995673", "Услуги охраны здания")</f>
        <v>Услуги охраны здания</v>
      </c>
      <c r="G14784" s="22" t="s">
        <v>331</v>
      </c>
      <c r="H14784" s="22" t="s">
        <v>17043</v>
      </c>
      <c r="I14784" s="26">
        <v>43511</v>
      </c>
      <c r="J14784" s="23" t="str">
        <f>HYPERLINK("https://www.spark-marketing.ru/Card/Person/279238", "ООО ЧОО ""АВАНГАРД""")</f>
        <v>ООО ЧОО "АВАНГАРД"</v>
      </c>
      <c r="K14784" s="24" t="s">
        <v>17045</v>
      </c>
      <c r="L14784" s="22" t="s">
        <v>10</v>
      </c>
      <c r="M14784" s="25">
        <v>283925.58</v>
      </c>
      <c r="N14784" s="27">
        <v>0.37399387235123388</v>
      </c>
    </row>
    <row r="14785" spans="1:14" x14ac:dyDescent="0.15">
      <c r="A14785" s="23" t="str">
        <f>HYPERLINK("https://www.spark-marketing.ru/Card/Person/5912944", "МБУ ""ГИЦ""")</f>
        <v>МБУ "ГИЦ"</v>
      </c>
      <c r="B14785" s="24" t="s">
        <v>17046</v>
      </c>
      <c r="C14785" s="25">
        <v>300000</v>
      </c>
      <c r="D14785" s="22" t="s">
        <v>17047</v>
      </c>
      <c r="E14785" s="22" t="s">
        <v>415</v>
      </c>
      <c r="F14785" s="23" t="str">
        <f>HYPERLINK("https://www.spark-marketing.ru/Card/Lot/67988462", "Оказание услуги по техническому обслуживанию оборудования и каналов связи узлов системы видеонаблюдения «Безопасный Выборг»")</f>
        <v>Оказание услуги по техническому обслуживанию оборудования и каналов связи узлов системы видеонаблюдения «Безопасный Выборг»</v>
      </c>
      <c r="G14785" s="22" t="s">
        <v>861</v>
      </c>
      <c r="H14785" s="22" t="s">
        <v>11382</v>
      </c>
      <c r="I14785" s="26">
        <v>43511</v>
      </c>
      <c r="J14785" s="23" t="str">
        <f>HYPERLINK("https://www.spark-marketing.ru/Card/Person/423976", "ООО ""В-ИНТЕРНЕТ""")</f>
        <v>ООО "В-ИНТЕРНЕТ"</v>
      </c>
      <c r="K14785" s="24" t="s">
        <v>17048</v>
      </c>
      <c r="L14785" s="28" t="s">
        <v>52</v>
      </c>
      <c r="M14785" s="28" t="s">
        <v>52</v>
      </c>
      <c r="N14785" s="28" t="s">
        <v>52</v>
      </c>
    </row>
    <row r="14786" spans="1:14" ht="12.75" hidden="1" outlineLevel="1" x14ac:dyDescent="0.2">
      <c r="A14786" s="23" t="str">
        <f>HYPERLINK("https://www.spark-marketing.ru/Card/Person/5912944", "МБУ ""ГИЦ""")</f>
        <v>МБУ "ГИЦ"</v>
      </c>
      <c r="B14786" s="24" t="s">
        <v>17046</v>
      </c>
      <c r="C14786" s="25">
        <v>300000</v>
      </c>
      <c r="D14786" s="22" t="s">
        <v>17047</v>
      </c>
      <c r="E14786" s="22" t="s">
        <v>415</v>
      </c>
      <c r="F14786" s="23" t="str">
        <f>HYPERLINK("https://www.spark-marketing.ru/Card/Lot/67988462", "Оказание услуги по техническому обслуживанию оборудования и каналов связи узлов системы видеонаблюдения «Безопасный Выборг»")</f>
        <v>Оказание услуги по техническому обслуживанию оборудования и каналов связи узлов системы видеонаблюдения «Безопасный Выборг»</v>
      </c>
      <c r="G14786" s="22" t="s">
        <v>861</v>
      </c>
      <c r="H14786" s="22" t="s">
        <v>11382</v>
      </c>
      <c r="I14786" s="26">
        <v>43511</v>
      </c>
      <c r="J14786" s="23" t="str">
        <f>HYPERLINK("https://www.spark-marketing.ru/Card/Person/423976", "ООО ""В-ИНТЕРНЕТ""")</f>
        <v>ООО "В-ИНТЕРНЕТ"</v>
      </c>
      <c r="K14786" s="24" t="s">
        <v>17048</v>
      </c>
      <c r="L14786" s="22" t="s">
        <v>10</v>
      </c>
      <c r="M14786" s="25">
        <v>298500</v>
      </c>
      <c r="N14786" s="27">
        <v>5.0000000000000001E-3</v>
      </c>
    </row>
    <row r="14787" spans="1:14" x14ac:dyDescent="0.15">
      <c r="A14787" s="23" t="str">
        <f>HYPERLINK("https://www.spark-marketing.ru/Card/Person/4345935", "ДЕПАРТАМЕНТ СМОЛЕНСКОЙ ОБЛАСТИ ПО ЗДРАВООХРАНЕНИЮ")</f>
        <v>ДЕПАРТАМЕНТ СМОЛЕНСКОЙ ОБЛАСТИ ПО ЗДРАВООХРАНЕНИЮ</v>
      </c>
      <c r="B14787" s="24" t="s">
        <v>1449</v>
      </c>
      <c r="C14787" s="25">
        <v>44254.5</v>
      </c>
      <c r="D14787" s="22" t="s">
        <v>17049</v>
      </c>
      <c r="E14787" s="22" t="s">
        <v>53</v>
      </c>
      <c r="F14787" s="23" t="str">
        <f>HYPERLINK("https://www.spark-marketing.ru/Card/Lot/67999875", "№0361 - аэф/т Поставка лекарственных препаратов (Циклоспорин)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f>
        <v>№0361 - аэф/т Поставка лекарственных препаратов (Циклоспорин)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v>
      </c>
      <c r="G14787" s="22" t="s">
        <v>956</v>
      </c>
      <c r="H14787" s="22" t="s">
        <v>1451</v>
      </c>
      <c r="I14787" s="26">
        <v>43511</v>
      </c>
      <c r="J14787" s="23" t="str">
        <f>HYPERLINK("https://www.spark-marketing.ru/Card/Person/18931", "ООО ""ЮНИЛЕК""")</f>
        <v>ООО "ЮНИЛЕК"</v>
      </c>
      <c r="K14787" s="24" t="s">
        <v>7158</v>
      </c>
      <c r="L14787" s="22" t="s">
        <v>10</v>
      </c>
      <c r="M14787" s="28" t="s">
        <v>52</v>
      </c>
      <c r="N14787" s="28" t="s">
        <v>52</v>
      </c>
    </row>
    <row r="14788" spans="1:14" x14ac:dyDescent="0.15">
      <c r="A14788" s="23" t="str">
        <f>HYPERLINK("https://www.spark-marketing.ru/Card/Person/1764664", "ГКУ РС(Я) ""НА РС(Я)""")</f>
        <v>ГКУ РС(Я) "НА РС(Я)"</v>
      </c>
      <c r="B14788" s="24" t="s">
        <v>17050</v>
      </c>
      <c r="C14788" s="25">
        <v>2075367</v>
      </c>
      <c r="D14788" s="22" t="s">
        <v>17051</v>
      </c>
      <c r="E14788" s="22" t="s">
        <v>52</v>
      </c>
      <c r="F14788" s="23" t="str">
        <f>HYPERLINK("https://www.spark-marketing.ru/Card/Lot/67976146", "Оказание охранных услуг")</f>
        <v>Оказание охранных услуг</v>
      </c>
      <c r="G14788" s="22" t="s">
        <v>424</v>
      </c>
      <c r="H14788" s="22" t="s">
        <v>1186</v>
      </c>
      <c r="I14788" s="26">
        <v>43511</v>
      </c>
      <c r="J14788" s="23" t="str">
        <f>HYPERLINK("https://www.spark-marketing.ru/Card/Person/100815", "ООО ЧОП ""ГРОМ+""")</f>
        <v>ООО ЧОП "ГРОМ+"</v>
      </c>
      <c r="K14788" s="24" t="s">
        <v>15033</v>
      </c>
      <c r="L14788" s="22" t="s">
        <v>10</v>
      </c>
      <c r="M14788" s="28" t="s">
        <v>52</v>
      </c>
      <c r="N14788" s="28" t="s">
        <v>52</v>
      </c>
    </row>
    <row r="14789" spans="1:14" x14ac:dyDescent="0.15">
      <c r="A14789" s="23" t="str">
        <f>HYPERLINK("https://www.spark-marketing.ru/Card/Person/4345935", "ДЕПАРТАМЕНТ СМОЛЕНСКОЙ ОБЛАСТИ ПО ЗДРАВООХРАНЕНИЮ")</f>
        <v>ДЕПАРТАМЕНТ СМОЛЕНСКОЙ ОБЛАСТИ ПО ЗДРАВООХРАНЕНИЮ</v>
      </c>
      <c r="B14789" s="24" t="s">
        <v>1449</v>
      </c>
      <c r="C14789" s="25">
        <v>289650</v>
      </c>
      <c r="D14789" s="22" t="s">
        <v>17052</v>
      </c>
      <c r="E14789" s="22" t="s">
        <v>53</v>
      </c>
      <c r="F14789" s="23" t="str">
        <f>HYPERLINK("https://www.spark-marketing.ru/Card/Lot/67999881", "№0365 - аэф/т Поставка лекарственных препаратов (Леветирацетам)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f>
        <v>№0365 - аэф/т Поставка лекарственных препаратов (Леветирацетам)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v>
      </c>
      <c r="G14789" s="22" t="s">
        <v>956</v>
      </c>
      <c r="H14789" s="22" t="s">
        <v>1451</v>
      </c>
      <c r="I14789" s="26">
        <v>43511</v>
      </c>
      <c r="J14789" s="23" t="str">
        <f>HYPERLINK("https://www.spark-marketing.ru/Card/Person/4364175", "ООО ""ПРОФ МЕД""")</f>
        <v>ООО "ПРОФ МЕД"</v>
      </c>
      <c r="K14789" s="24" t="s">
        <v>17053</v>
      </c>
      <c r="L14789" s="28" t="s">
        <v>52</v>
      </c>
      <c r="M14789" s="28" t="s">
        <v>52</v>
      </c>
      <c r="N14789" s="28" t="s">
        <v>52</v>
      </c>
    </row>
    <row r="14790" spans="1:14" hidden="1" outlineLevel="1" x14ac:dyDescent="0.15">
      <c r="A14790" s="23" t="str">
        <f>HYPERLINK("https://www.spark-marketing.ru/Card/Person/4345935", "ДЕПАРТАМЕНТ СМОЛЕНСКОЙ ОБЛАСТИ ПО ЗДРАВООХРАНЕНИЮ")</f>
        <v>ДЕПАРТАМЕНТ СМОЛЕНСКОЙ ОБЛАСТИ ПО ЗДРАВООХРАНЕНИЮ</v>
      </c>
      <c r="B14790" s="24" t="s">
        <v>1449</v>
      </c>
      <c r="C14790" s="25">
        <v>289650</v>
      </c>
      <c r="D14790" s="22" t="s">
        <v>17052</v>
      </c>
      <c r="E14790" s="22" t="s">
        <v>53</v>
      </c>
      <c r="F14790" s="23" t="str">
        <f>HYPERLINK("https://www.spark-marketing.ru/Card/Lot/67999881", "№0365 - аэф/т Поставка лекарственных препаратов (Леветирацетам)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f>
        <v>№0365 - аэф/т Поставка лекарственных препаратов (Леветирацетам)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v>
      </c>
      <c r="G14790" s="22" t="s">
        <v>956</v>
      </c>
      <c r="H14790" s="22" t="s">
        <v>1451</v>
      </c>
      <c r="I14790" s="26">
        <v>43511</v>
      </c>
      <c r="J14790" s="23" t="str">
        <f>HYPERLINK("https://www.spark-marketing.ru/Card/Person/4364175", "ООО ""ПРОФ МЕД""")</f>
        <v>ООО "ПРОФ МЕД"</v>
      </c>
      <c r="K14790" s="24" t="s">
        <v>17053</v>
      </c>
      <c r="L14790" s="22" t="s">
        <v>10</v>
      </c>
      <c r="M14790" s="28" t="s">
        <v>52</v>
      </c>
      <c r="N14790" s="28" t="s">
        <v>52</v>
      </c>
    </row>
    <row r="14791" spans="1:14" x14ac:dyDescent="0.15">
      <c r="A14791" s="23" t="str">
        <f>HYPERLINK("https://www.spark-marketing.ru/Card/Person/7448", "ПРОКУРАТУРА МУРМАНСКОЙ ОБЛАСТИ")</f>
        <v>ПРОКУРАТУРА МУРМАНСКОЙ ОБЛАСТИ</v>
      </c>
      <c r="B14791" s="24" t="s">
        <v>13726</v>
      </c>
      <c r="C14791" s="25">
        <v>112147.02</v>
      </c>
      <c r="D14791" s="22" t="s">
        <v>17054</v>
      </c>
      <c r="E14791" s="22" t="s">
        <v>7738</v>
      </c>
      <c r="F14791" s="23" t="str">
        <f>HYPERLINK("https://www.spark-marketing.ru/Card/Lot/67981134", "Услуги по пультовой охране в пр-ре г.  Кандалакша")</f>
        <v>Услуги по пультовой охране в пр-ре г.  Кандалакша</v>
      </c>
      <c r="G14791" s="22" t="s">
        <v>190</v>
      </c>
      <c r="H14791" s="22" t="s">
        <v>190</v>
      </c>
      <c r="I14791" s="26">
        <v>43511</v>
      </c>
      <c r="J14791" s="28" t="s">
        <v>52</v>
      </c>
      <c r="K14791" s="28" t="s">
        <v>52</v>
      </c>
      <c r="L14791" s="28" t="s">
        <v>52</v>
      </c>
      <c r="M14791" s="28" t="s">
        <v>52</v>
      </c>
      <c r="N14791" s="28" t="s">
        <v>52</v>
      </c>
    </row>
    <row r="14792" spans="1:14" x14ac:dyDescent="0.15">
      <c r="A14792" s="23" t="str">
        <f>HYPERLINK("https://www.spark-marketing.ru/Card/Person/245657", "МКУ СПОРТИВНОГО ТИПА ""СТАДИОН ""КОЛОС""")</f>
        <v>МКУ СПОРТИВНОГО ТИПА "СТАДИОН "КОЛОС"</v>
      </c>
      <c r="B14792" s="24" t="s">
        <v>17055</v>
      </c>
      <c r="C14792" s="25">
        <v>666666.69999999995</v>
      </c>
      <c r="D14792" s="22" t="s">
        <v>17056</v>
      </c>
      <c r="E14792" s="22" t="s">
        <v>52</v>
      </c>
      <c r="F14792" s="23" t="str">
        <f>HYPERLINK("https://www.spark-marketing.ru/Card/Lot/67994520", "Услуги частных охранных служб по охране объекта стадион ""Колос"" по адресу Краснодарский край, г. Тимашевск, мкр. Садовод, ул. 70 лет Октября,2А")</f>
        <v>Услуги частных охранных служб по охране объекта стадион "Колос" по адресу Краснодарский край, г. Тимашевск, мкр. Садовод, ул. 70 лет Октября,2А</v>
      </c>
      <c r="G14792" s="22" t="s">
        <v>132</v>
      </c>
      <c r="H14792" s="22" t="s">
        <v>132</v>
      </c>
      <c r="I14792" s="26">
        <v>43511</v>
      </c>
      <c r="J14792" s="28" t="s">
        <v>52</v>
      </c>
      <c r="K14792" s="28" t="s">
        <v>52</v>
      </c>
      <c r="L14792" s="28" t="s">
        <v>52</v>
      </c>
      <c r="M14792" s="28" t="s">
        <v>52</v>
      </c>
      <c r="N14792" s="28" t="s">
        <v>52</v>
      </c>
    </row>
    <row r="14793" spans="1:14" hidden="1" outlineLevel="1" x14ac:dyDescent="0.2">
      <c r="A14793" s="23" t="str">
        <f>HYPERLINK("https://www.spark-marketing.ru/Card/Person/245657", "МКУ СПОРТИВНОГО ТИПА ""СТАДИОН ""КОЛОС""")</f>
        <v>МКУ СПОРТИВНОГО ТИПА "СТАДИОН "КОЛОС"</v>
      </c>
      <c r="B14793" s="24" t="s">
        <v>17055</v>
      </c>
      <c r="C14793" s="25">
        <v>666666.69999999995</v>
      </c>
      <c r="D14793" s="22" t="s">
        <v>17056</v>
      </c>
      <c r="E14793" s="22" t="s">
        <v>52</v>
      </c>
      <c r="F14793" s="23" t="str">
        <f>HYPERLINK("https://www.spark-marketing.ru/Card/Lot/67994520", "Услуги частных охранных служб по охране объекта стадион ""Колос"" по адресу Краснодарский край, г. Тимашевск, мкр. Садовод, ул. 70 лет Октября,2А")</f>
        <v>Услуги частных охранных служб по охране объекта стадион "Колос" по адресу Краснодарский край, г. Тимашевск, мкр. Садовод, ул. 70 лет Октября,2А</v>
      </c>
      <c r="G14793" s="22" t="s">
        <v>132</v>
      </c>
      <c r="H14793" s="22" t="s">
        <v>132</v>
      </c>
      <c r="I14793" s="26">
        <v>43511</v>
      </c>
      <c r="J14793" s="23" t="str">
        <f>HYPERLINK("https://www.spark-marketing.ru/Card/Person/234089", "ООО ЧОО ""АБ ""АЛЬФА-СОКОЛ""")</f>
        <v>ООО ЧОО "АБ "АЛЬФА-СОКОЛ"</v>
      </c>
      <c r="K14793" s="24" t="s">
        <v>11640</v>
      </c>
      <c r="L14793" s="28" t="s">
        <v>52</v>
      </c>
      <c r="M14793" s="25">
        <v>653333.38</v>
      </c>
      <c r="N14793" s="27">
        <v>1.9999979000001049E-2</v>
      </c>
    </row>
    <row r="14794" spans="1:14" hidden="1" outlineLevel="1" x14ac:dyDescent="0.2">
      <c r="A14794" s="23" t="str">
        <f>HYPERLINK("https://www.spark-marketing.ru/Card/Person/245657", "МКУ СПОРТИВНОГО ТИПА ""СТАДИОН ""КОЛОС""")</f>
        <v>МКУ СПОРТИВНОГО ТИПА "СТАДИОН "КОЛОС"</v>
      </c>
      <c r="B14794" s="24" t="s">
        <v>17055</v>
      </c>
      <c r="C14794" s="25">
        <v>666666.69999999995</v>
      </c>
      <c r="D14794" s="22" t="s">
        <v>17056</v>
      </c>
      <c r="E14794" s="22" t="s">
        <v>52</v>
      </c>
      <c r="F14794" s="23" t="str">
        <f>HYPERLINK("https://www.spark-marketing.ru/Card/Lot/67994520", "Услуги частных охранных служб по охране объекта стадион ""Колос"" по адресу Краснодарский край, г. Тимашевск, мкр. Садовод, ул. 70 лет Октября,2А")</f>
        <v>Услуги частных охранных служб по охране объекта стадион "Колос" по адресу Краснодарский край, г. Тимашевск, мкр. Садовод, ул. 70 лет Октября,2А</v>
      </c>
      <c r="G14794" s="22" t="s">
        <v>132</v>
      </c>
      <c r="H14794" s="22" t="s">
        <v>132</v>
      </c>
      <c r="I14794" s="26">
        <v>43511</v>
      </c>
      <c r="J14794" s="23" t="str">
        <f>HYPERLINK("https://www.spark-marketing.ru/Card/Person/65464", "ООО ЧОО ""РАДАР""")</f>
        <v>ООО ЧОО "РАДАР"</v>
      </c>
      <c r="K14794" s="24" t="s">
        <v>17057</v>
      </c>
      <c r="L14794" s="28" t="s">
        <v>52</v>
      </c>
      <c r="M14794" s="25">
        <v>453333.58</v>
      </c>
      <c r="N14794" s="27">
        <v>0.31999966400001678</v>
      </c>
    </row>
    <row r="14795" spans="1:14" hidden="1" outlineLevel="1" x14ac:dyDescent="0.2">
      <c r="A14795" s="23" t="str">
        <f>HYPERLINK("https://www.spark-marketing.ru/Card/Person/245657", "МКУ СПОРТИВНОГО ТИПА ""СТАДИОН ""КОЛОС""")</f>
        <v>МКУ СПОРТИВНОГО ТИПА "СТАДИОН "КОЛОС"</v>
      </c>
      <c r="B14795" s="24" t="s">
        <v>17055</v>
      </c>
      <c r="C14795" s="25">
        <v>666666.69999999995</v>
      </c>
      <c r="D14795" s="22" t="s">
        <v>17056</v>
      </c>
      <c r="E14795" s="22" t="s">
        <v>52</v>
      </c>
      <c r="F14795" s="23" t="str">
        <f>HYPERLINK("https://www.spark-marketing.ru/Card/Lot/67994520", "Услуги частных охранных служб по охране объекта стадион ""Колос"" по адресу Краснодарский край, г. Тимашевск, мкр. Садовод, ул. 70 лет Октября,2А")</f>
        <v>Услуги частных охранных служб по охране объекта стадион "Колос" по адресу Краснодарский край, г. Тимашевск, мкр. Садовод, ул. 70 лет Октября,2А</v>
      </c>
      <c r="G14795" s="22" t="s">
        <v>132</v>
      </c>
      <c r="H14795" s="22" t="s">
        <v>132</v>
      </c>
      <c r="I14795" s="26">
        <v>43511</v>
      </c>
      <c r="J14795" s="23" t="str">
        <f>HYPERLINK("https://www.spark-marketing.ru/Card/Person/647150", "ООО ""ЧОП ""БЕРКУТ""")</f>
        <v>ООО "ЧОП "БЕРКУТ"</v>
      </c>
      <c r="K14795" s="24" t="s">
        <v>17058</v>
      </c>
      <c r="L14795" s="28" t="s">
        <v>52</v>
      </c>
      <c r="M14795" s="25">
        <v>480000.22</v>
      </c>
      <c r="N14795" s="27">
        <v>0.27999970600001473</v>
      </c>
    </row>
    <row r="14796" spans="1:14" ht="12.75" hidden="1" outlineLevel="1" x14ac:dyDescent="0.2">
      <c r="A14796" s="23" t="str">
        <f>HYPERLINK("https://www.spark-marketing.ru/Card/Person/245657", "МКУ СПОРТИВНОГО ТИПА ""СТАДИОН ""КОЛОС""")</f>
        <v>МКУ СПОРТИВНОГО ТИПА "СТАДИОН "КОЛОС"</v>
      </c>
      <c r="B14796" s="24" t="s">
        <v>17055</v>
      </c>
      <c r="C14796" s="25">
        <v>666666.69999999995</v>
      </c>
      <c r="D14796" s="22" t="s">
        <v>17056</v>
      </c>
      <c r="E14796" s="22" t="s">
        <v>52</v>
      </c>
      <c r="F14796" s="23" t="str">
        <f>HYPERLINK("https://www.spark-marketing.ru/Card/Lot/67994520", "Услуги частных охранных служб по охране объекта стадион ""Колос"" по адресу Краснодарский край, г. Тимашевск, мкр. Садовод, ул. 70 лет Октября,2А")</f>
        <v>Услуги частных охранных служб по охране объекта стадион "Колос" по адресу Краснодарский край, г. Тимашевск, мкр. Садовод, ул. 70 лет Октября,2А</v>
      </c>
      <c r="G14796" s="22" t="s">
        <v>132</v>
      </c>
      <c r="H14796" s="22" t="s">
        <v>132</v>
      </c>
      <c r="I14796" s="26">
        <v>43511</v>
      </c>
      <c r="J14796" s="23" t="str">
        <f>HYPERLINK("https://www.spark-marketing.ru/Card/Person/461410", "ООО ""ОСА ""СКОРПИОН""")</f>
        <v>ООО "ОСА "СКОРПИОН"</v>
      </c>
      <c r="K14796" s="24" t="s">
        <v>6843</v>
      </c>
      <c r="L14796" s="22" t="s">
        <v>10</v>
      </c>
      <c r="M14796" s="25">
        <v>450000.25</v>
      </c>
      <c r="N14796" s="27">
        <v>0.32499965875001707</v>
      </c>
    </row>
    <row r="14797" spans="1:14" x14ac:dyDescent="0.15">
      <c r="A14797" s="23" t="str">
        <f>HYPERLINK("https://www.spark-marketing.ru/Card/Person/1027217", "МОУ СРЕДНЕСАНТИМИРСКАЯ СОШ")</f>
        <v>МОУ СРЕДНЕСАНТИМИРСКАЯ СОШ</v>
      </c>
      <c r="B14797" s="24" t="s">
        <v>17059</v>
      </c>
      <c r="C14797" s="25">
        <v>16200</v>
      </c>
      <c r="D14797" s="22" t="s">
        <v>17060</v>
      </c>
      <c r="E14797" s="22" t="s">
        <v>68</v>
      </c>
      <c r="F14797" s="23" t="str">
        <f>HYPERLINK("https://www.spark-marketing.ru/Card/Lot/67993862",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4797" s="22" t="s">
        <v>446</v>
      </c>
      <c r="H14797" s="22" t="s">
        <v>16876</v>
      </c>
      <c r="I14797" s="26">
        <v>43511</v>
      </c>
      <c r="J14797" s="28" t="s">
        <v>52</v>
      </c>
      <c r="K14797" s="28" t="s">
        <v>52</v>
      </c>
      <c r="L14797" s="28" t="s">
        <v>52</v>
      </c>
      <c r="M14797" s="28" t="s">
        <v>52</v>
      </c>
      <c r="N14797" s="28" t="s">
        <v>52</v>
      </c>
    </row>
    <row r="14798" spans="1:14" ht="12.75" hidden="1" outlineLevel="1" x14ac:dyDescent="0.2">
      <c r="A14798" s="23" t="str">
        <f>HYPERLINK("https://www.spark-marketing.ru/Card/Person/1027217", "МОУ СРЕДНЕСАНТИМИРСКАЯ СОШ")</f>
        <v>МОУ СРЕДНЕСАНТИМИРСКАЯ СОШ</v>
      </c>
      <c r="B14798" s="24" t="s">
        <v>17059</v>
      </c>
      <c r="C14798" s="25">
        <v>16200</v>
      </c>
      <c r="D14798" s="22" t="s">
        <v>17060</v>
      </c>
      <c r="E14798" s="22" t="s">
        <v>68</v>
      </c>
      <c r="F14798" s="23" t="str">
        <f>HYPERLINK("https://www.spark-marketing.ru/Card/Lot/67993862",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4798" s="22" t="s">
        <v>446</v>
      </c>
      <c r="H14798" s="22" t="s">
        <v>16876</v>
      </c>
      <c r="I14798" s="26">
        <v>43511</v>
      </c>
      <c r="J14798" s="23" t="str">
        <f>HYPERLINK("https://www.spark-marketing.ru/Card/Person/5946939", "ООО АО ""АРМАДА""")</f>
        <v>ООО АО "АРМАДА"</v>
      </c>
      <c r="K14798" s="24" t="s">
        <v>12927</v>
      </c>
      <c r="L14798" s="22" t="s">
        <v>10</v>
      </c>
      <c r="M14798" s="25">
        <v>6000</v>
      </c>
      <c r="N14798" s="27">
        <v>0.62962962962962965</v>
      </c>
    </row>
    <row r="14799" spans="1:14" hidden="1" outlineLevel="1" x14ac:dyDescent="0.2">
      <c r="A14799" s="23" t="str">
        <f>HYPERLINK("https://www.spark-marketing.ru/Card/Person/1027217", "МОУ СРЕДНЕСАНТИМИРСКАЯ СОШ")</f>
        <v>МОУ СРЕДНЕСАНТИМИРСКАЯ СОШ</v>
      </c>
      <c r="B14799" s="24" t="s">
        <v>17059</v>
      </c>
      <c r="C14799" s="25">
        <v>16200</v>
      </c>
      <c r="D14799" s="22" t="s">
        <v>17060</v>
      </c>
      <c r="E14799" s="22" t="s">
        <v>68</v>
      </c>
      <c r="F14799" s="23" t="str">
        <f>HYPERLINK("https://www.spark-marketing.ru/Card/Lot/67993862",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4799" s="22" t="s">
        <v>446</v>
      </c>
      <c r="H14799" s="22" t="s">
        <v>16876</v>
      </c>
      <c r="I14799" s="26">
        <v>43511</v>
      </c>
      <c r="J14799" s="23" t="str">
        <f>HYPERLINK("https://www.spark-marketing.ru/Card/Person/124094", "ООО ЧОО ""РЕДУТ+""")</f>
        <v>ООО ЧОО "РЕДУТ+"</v>
      </c>
      <c r="K14799" s="24" t="s">
        <v>16877</v>
      </c>
      <c r="L14799" s="28" t="s">
        <v>52</v>
      </c>
      <c r="M14799" s="25">
        <v>6000</v>
      </c>
      <c r="N14799" s="27">
        <v>0.62962962962962965</v>
      </c>
    </row>
    <row r="14800" spans="1:14" hidden="1" outlineLevel="1" x14ac:dyDescent="0.2">
      <c r="A14800" s="23" t="str">
        <f>HYPERLINK("https://www.spark-marketing.ru/Card/Person/1027217", "МОУ СРЕДНЕСАНТИМИРСКАЯ СОШ")</f>
        <v>МОУ СРЕДНЕСАНТИМИРСКАЯ СОШ</v>
      </c>
      <c r="B14800" s="24" t="s">
        <v>17059</v>
      </c>
      <c r="C14800" s="25">
        <v>16200</v>
      </c>
      <c r="D14800" s="22" t="s">
        <v>17060</v>
      </c>
      <c r="E14800" s="22" t="s">
        <v>68</v>
      </c>
      <c r="F14800" s="23" t="str">
        <f>HYPERLINK("https://www.spark-marketing.ru/Card/Lot/67993862",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4800" s="22" t="s">
        <v>446</v>
      </c>
      <c r="H14800" s="22" t="s">
        <v>16876</v>
      </c>
      <c r="I14800" s="26">
        <v>43511</v>
      </c>
      <c r="J14800" s="23" t="str">
        <f>HYPERLINK("https://www.spark-marketing.ru/Card/Person/677682", "ООО ЧОО ""ЦСМ ""ГРОМ""")</f>
        <v>ООО ЧОО "ЦСМ "ГРОМ"</v>
      </c>
      <c r="K14800" s="24" t="s">
        <v>16878</v>
      </c>
      <c r="L14800" s="28" t="s">
        <v>52</v>
      </c>
      <c r="M14800" s="25">
        <v>9800</v>
      </c>
      <c r="N14800" s="27">
        <v>0.39506172839506171</v>
      </c>
    </row>
    <row r="14801" spans="1:14" x14ac:dyDescent="0.15">
      <c r="A14801" s="23" t="str">
        <f>HYPERLINK("https://www.spark-marketing.ru/Card/Person/1076218", "ИНСТИТУТ ИМЕНИ И.Е. РЕПИНА")</f>
        <v>ИНСТИТУТ ИМЕНИ И.Е. РЕПИНА</v>
      </c>
      <c r="B14801" s="24" t="s">
        <v>17061</v>
      </c>
      <c r="C14801" s="25">
        <v>215311.08</v>
      </c>
      <c r="D14801" s="22" t="s">
        <v>17062</v>
      </c>
      <c r="E14801" s="22" t="s">
        <v>68</v>
      </c>
      <c r="F14801" s="23" t="str">
        <f>HYPERLINK("https://www.spark-marketing.ru/Card/Lot/67988584", "Услуги охраны (охрана имущества, экстренный выезд на объект наряда (тревожное извещение))")</f>
        <v>Услуги охраны (охрана имущества, экстренный выезд на объект наряда (тревожное извещение))</v>
      </c>
      <c r="G14801" s="22" t="s">
        <v>89</v>
      </c>
      <c r="H14801" s="22" t="s">
        <v>89</v>
      </c>
      <c r="I14801" s="26">
        <v>43511</v>
      </c>
      <c r="J14801" s="28" t="s">
        <v>52</v>
      </c>
      <c r="K14801" s="28" t="s">
        <v>52</v>
      </c>
      <c r="L14801" s="28" t="s">
        <v>52</v>
      </c>
      <c r="M14801" s="28" t="s">
        <v>52</v>
      </c>
      <c r="N14801" s="28" t="s">
        <v>52</v>
      </c>
    </row>
    <row r="14802" spans="1:14" x14ac:dyDescent="0.15">
      <c r="A14802" s="23" t="str">
        <f>HYPERLINK("https://www.spark-marketing.ru/Card/Person/4345935", "ДЕПАРТАМЕНТ СМОЛЕНСКОЙ ОБЛАСТИ ПО ЗДРАВООХРАНЕНИЮ")</f>
        <v>ДЕПАРТАМЕНТ СМОЛЕНСКОЙ ОБЛАСТИ ПО ЗДРАВООХРАНЕНИЮ</v>
      </c>
      <c r="B14802" s="24" t="s">
        <v>1449</v>
      </c>
      <c r="C14802" s="25">
        <v>56995.25</v>
      </c>
      <c r="D14802" s="22" t="s">
        <v>17063</v>
      </c>
      <c r="E14802" s="22" t="s">
        <v>53</v>
      </c>
      <c r="F14802" s="23" t="str">
        <f>HYPERLINK("https://www.spark-marketing.ru/Card/Lot/67999878", "№0362 - аэф/т Поставка лекарственных препаратов (Инсулин-изофан (человеческий генно-инженерный))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f>
        <v>№0362 - аэф/т Поставка лекарственных препаратов (Инсулин-изофан (человеческий генно-инженерный))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v>
      </c>
      <c r="G14802" s="22" t="s">
        <v>956</v>
      </c>
      <c r="H14802" s="22" t="s">
        <v>1451</v>
      </c>
      <c r="I14802" s="26">
        <v>43511</v>
      </c>
      <c r="J14802" s="28" t="s">
        <v>52</v>
      </c>
      <c r="K14802" s="28" t="s">
        <v>52</v>
      </c>
      <c r="L14802" s="28" t="s">
        <v>52</v>
      </c>
      <c r="M14802" s="28" t="s">
        <v>52</v>
      </c>
      <c r="N14802" s="28" t="s">
        <v>52</v>
      </c>
    </row>
    <row r="14803" spans="1:14" x14ac:dyDescent="0.15">
      <c r="A14803" s="23" t="str">
        <f>HYPERLINK("https://www.spark-marketing.ru/Card/Person/255553", "МБУ ""СШ №1"" НМР РТ")</f>
        <v>МБУ "СШ №1" НМР РТ</v>
      </c>
      <c r="B14803" s="24" t="s">
        <v>17064</v>
      </c>
      <c r="C14803" s="25">
        <v>24959</v>
      </c>
      <c r="D14803" s="22" t="s">
        <v>17065</v>
      </c>
      <c r="E14803" s="22" t="s">
        <v>53</v>
      </c>
      <c r="F14803" s="23" t="str">
        <f>HYPERLINK("https://www.spark-marketing.ru/Card/Lot/73662768", "Техническое обслуживание системы видеонаблюдения")</f>
        <v>Техническое обслуживание системы видеонаблюдения</v>
      </c>
      <c r="G14803" s="22" t="s">
        <v>204</v>
      </c>
      <c r="H14803" s="22" t="s">
        <v>824</v>
      </c>
      <c r="I14803" s="26">
        <v>43511.622916666704</v>
      </c>
      <c r="J14803" s="28" t="s">
        <v>52</v>
      </c>
      <c r="K14803" s="28" t="s">
        <v>52</v>
      </c>
      <c r="L14803" s="28" t="s">
        <v>52</v>
      </c>
      <c r="M14803" s="28" t="s">
        <v>52</v>
      </c>
      <c r="N14803" s="28" t="s">
        <v>52</v>
      </c>
    </row>
    <row r="14804" spans="1:14" x14ac:dyDescent="0.15">
      <c r="A14804" s="23" t="str">
        <f>HYPERLINK("https://www.spark-marketing.ru/Card/Person/6487028", "АДМИНИСТРАЦИЯ АЛЕКСЕЕВСКОГО ГОРОДСКОГО ОКРУГА")</f>
        <v>АДМИНИСТРАЦИЯ АЛЕКСЕЕВСКОГО ГОРОДСКОГО ОКРУГА</v>
      </c>
      <c r="B14804" s="24" t="s">
        <v>11443</v>
      </c>
      <c r="C14804" s="25">
        <v>11572.92</v>
      </c>
      <c r="D14804" s="22" t="s">
        <v>17066</v>
      </c>
      <c r="E14804" s="22" t="s">
        <v>68</v>
      </c>
      <c r="F14804" s="23" t="str">
        <f>HYPERLINK("https://www.spark-marketing.ru/Card/Lot/67996397", "Услуги по централизованной охране объектов, помещений")</f>
        <v>Услуги по централизованной охране объектов, помещений</v>
      </c>
      <c r="G14804" s="22" t="s">
        <v>176</v>
      </c>
      <c r="H14804" s="22" t="s">
        <v>9446</v>
      </c>
      <c r="I14804" s="26">
        <v>43511</v>
      </c>
      <c r="J14804" s="28" t="s">
        <v>52</v>
      </c>
      <c r="K14804" s="28" t="s">
        <v>52</v>
      </c>
      <c r="L14804" s="28" t="s">
        <v>52</v>
      </c>
      <c r="M14804" s="28" t="s">
        <v>52</v>
      </c>
      <c r="N14804" s="28" t="s">
        <v>52</v>
      </c>
    </row>
    <row r="14805" spans="1:14" x14ac:dyDescent="0.15">
      <c r="A14805" s="23" t="str">
        <f t="shared" ref="A14805:A14810" si="774">HYPERLINK("https://www.spark-marketing.ru/Card/Person/1758888", "ГКУ СО КК ""КРАСНОДАРСКИЙ ЦСА""")</f>
        <v>ГКУ СО КК "КРАСНОДАРСКИЙ ЦСА"</v>
      </c>
      <c r="B14805" s="24" t="s">
        <v>9836</v>
      </c>
      <c r="C14805" s="25">
        <v>469177.2</v>
      </c>
      <c r="D14805" s="22" t="s">
        <v>17067</v>
      </c>
      <c r="E14805" s="22" t="s">
        <v>52</v>
      </c>
      <c r="F14805" s="23" t="str">
        <f t="shared" ref="F14805:F14810" si="775">HYPERLINK("https://www.spark-marketing.ru/Card/Lot/67988444", "Услуги охраны (1-2 квартал 2019)")</f>
        <v>Услуги охраны (1-2 квартал 2019)</v>
      </c>
      <c r="G14805" s="22" t="s">
        <v>132</v>
      </c>
      <c r="H14805" s="22" t="s">
        <v>132</v>
      </c>
      <c r="I14805" s="26">
        <v>43511</v>
      </c>
      <c r="J14805" s="28" t="s">
        <v>52</v>
      </c>
      <c r="K14805" s="28" t="s">
        <v>52</v>
      </c>
      <c r="L14805" s="28" t="s">
        <v>52</v>
      </c>
      <c r="M14805" s="28" t="s">
        <v>52</v>
      </c>
      <c r="N14805" s="28" t="s">
        <v>52</v>
      </c>
    </row>
    <row r="14806" spans="1:14" hidden="1" outlineLevel="1" x14ac:dyDescent="0.2">
      <c r="A14806" s="23" t="str">
        <f t="shared" si="774"/>
        <v>ГКУ СО КК "КРАСНОДАРСКИЙ ЦСА"</v>
      </c>
      <c r="B14806" s="24" t="s">
        <v>9836</v>
      </c>
      <c r="C14806" s="25">
        <v>469177.2</v>
      </c>
      <c r="D14806" s="22" t="s">
        <v>17067</v>
      </c>
      <c r="E14806" s="22" t="s">
        <v>52</v>
      </c>
      <c r="F14806" s="23" t="str">
        <f t="shared" si="775"/>
        <v>Услуги охраны (1-2 квартал 2019)</v>
      </c>
      <c r="G14806" s="22" t="s">
        <v>132</v>
      </c>
      <c r="H14806" s="22" t="s">
        <v>132</v>
      </c>
      <c r="I14806" s="26">
        <v>43511</v>
      </c>
      <c r="J14806" s="23" t="str">
        <f>HYPERLINK("https://www.spark-marketing.ru/Card/Person/65464", "ООО ЧОО ""РАДАР""")</f>
        <v>ООО ЧОО "РАДАР"</v>
      </c>
      <c r="K14806" s="24" t="s">
        <v>17057</v>
      </c>
      <c r="L14806" s="28" t="s">
        <v>52</v>
      </c>
      <c r="M14806" s="25">
        <v>359059.46</v>
      </c>
      <c r="N14806" s="27">
        <v>0.23470394554552096</v>
      </c>
    </row>
    <row r="14807" spans="1:14" ht="12.75" hidden="1" outlineLevel="1" x14ac:dyDescent="0.2">
      <c r="A14807" s="23" t="str">
        <f t="shared" si="774"/>
        <v>ГКУ СО КК "КРАСНОДАРСКИЙ ЦСА"</v>
      </c>
      <c r="B14807" s="24" t="s">
        <v>9836</v>
      </c>
      <c r="C14807" s="25">
        <v>469177.2</v>
      </c>
      <c r="D14807" s="22" t="s">
        <v>17067</v>
      </c>
      <c r="E14807" s="22" t="s">
        <v>52</v>
      </c>
      <c r="F14807" s="23" t="str">
        <f t="shared" si="775"/>
        <v>Услуги охраны (1-2 квартал 2019)</v>
      </c>
      <c r="G14807" s="22" t="s">
        <v>132</v>
      </c>
      <c r="H14807" s="22" t="s">
        <v>132</v>
      </c>
      <c r="I14807" s="26">
        <v>43511</v>
      </c>
      <c r="J14807" s="23" t="str">
        <f>HYPERLINK("https://www.spark-marketing.ru/Card/Person/1209238", "ООО ""ЧОП ""ИНТЕЛГАРД""")</f>
        <v>ООО "ЧОП "ИНТЕЛГАРД"</v>
      </c>
      <c r="K14807" s="24" t="s">
        <v>17068</v>
      </c>
      <c r="L14807" s="22" t="s">
        <v>10</v>
      </c>
      <c r="M14807" s="25">
        <v>328979.33</v>
      </c>
      <c r="N14807" s="27">
        <v>0.29881645996438022</v>
      </c>
    </row>
    <row r="14808" spans="1:14" hidden="1" outlineLevel="1" x14ac:dyDescent="0.2">
      <c r="A14808" s="23" t="str">
        <f t="shared" si="774"/>
        <v>ГКУ СО КК "КРАСНОДАРСКИЙ ЦСА"</v>
      </c>
      <c r="B14808" s="24" t="s">
        <v>9836</v>
      </c>
      <c r="C14808" s="25">
        <v>469177.2</v>
      </c>
      <c r="D14808" s="22" t="s">
        <v>17067</v>
      </c>
      <c r="E14808" s="22" t="s">
        <v>52</v>
      </c>
      <c r="F14808" s="23" t="str">
        <f t="shared" si="775"/>
        <v>Услуги охраны (1-2 квартал 2019)</v>
      </c>
      <c r="G14808" s="22" t="s">
        <v>132</v>
      </c>
      <c r="H14808" s="22" t="s">
        <v>132</v>
      </c>
      <c r="I14808" s="26">
        <v>43511</v>
      </c>
      <c r="J14808" s="23" t="str">
        <f>HYPERLINK("https://www.spark-marketing.ru/Card/Person/6393586", "ООО ""ЧОП ""КАЗАЧИЙ СПАС""")</f>
        <v>ООО "ЧОП "КАЗАЧИЙ СПАС"</v>
      </c>
      <c r="K14808" s="24" t="s">
        <v>7789</v>
      </c>
      <c r="L14808" s="28" t="s">
        <v>52</v>
      </c>
      <c r="M14808" s="25">
        <v>464485.42</v>
      </c>
      <c r="N14808" s="27">
        <v>1.0000017051126952E-2</v>
      </c>
    </row>
    <row r="14809" spans="1:14" hidden="1" outlineLevel="1" x14ac:dyDescent="0.2">
      <c r="A14809" s="23" t="str">
        <f t="shared" si="774"/>
        <v>ГКУ СО КК "КРАСНОДАРСКИЙ ЦСА"</v>
      </c>
      <c r="B14809" s="24" t="s">
        <v>9836</v>
      </c>
      <c r="C14809" s="25">
        <v>469177.2</v>
      </c>
      <c r="D14809" s="22" t="s">
        <v>17067</v>
      </c>
      <c r="E14809" s="22" t="s">
        <v>52</v>
      </c>
      <c r="F14809" s="23" t="str">
        <f t="shared" si="775"/>
        <v>Услуги охраны (1-2 квартал 2019)</v>
      </c>
      <c r="G14809" s="22" t="s">
        <v>132</v>
      </c>
      <c r="H14809" s="22" t="s">
        <v>132</v>
      </c>
      <c r="I14809" s="26">
        <v>43511</v>
      </c>
      <c r="J14809" s="23" t="str">
        <f>HYPERLINK("https://www.spark-marketing.ru/Card/Person/56618", "ООО ЧОО ""ИСКАНДЕР""")</f>
        <v>ООО ЧОО "ИСКАНДЕР"</v>
      </c>
      <c r="K14809" s="24" t="s">
        <v>3814</v>
      </c>
      <c r="L14809" s="28" t="s">
        <v>52</v>
      </c>
      <c r="M14809" s="25">
        <v>331325.21999999997</v>
      </c>
      <c r="N14809" s="27">
        <v>0.29381645143881674</v>
      </c>
    </row>
    <row r="14810" spans="1:14" hidden="1" outlineLevel="1" x14ac:dyDescent="0.2">
      <c r="A14810" s="23" t="str">
        <f t="shared" si="774"/>
        <v>ГКУ СО КК "КРАСНОДАРСКИЙ ЦСА"</v>
      </c>
      <c r="B14810" s="24" t="s">
        <v>9836</v>
      </c>
      <c r="C14810" s="25">
        <v>469177.2</v>
      </c>
      <c r="D14810" s="22" t="s">
        <v>17067</v>
      </c>
      <c r="E14810" s="22" t="s">
        <v>52</v>
      </c>
      <c r="F14810" s="23" t="str">
        <f t="shared" si="775"/>
        <v>Услуги охраны (1-2 квартал 2019)</v>
      </c>
      <c r="G14810" s="22" t="s">
        <v>132</v>
      </c>
      <c r="H14810" s="22" t="s">
        <v>132</v>
      </c>
      <c r="I14810" s="26">
        <v>43511</v>
      </c>
      <c r="J14810" s="23" t="str">
        <f>HYPERLINK("https://www.spark-marketing.ru/Card/Person/1157598", "ООО ""ЧОО ""СПЕЦНАЗ-КРАСНОДАР 2""")</f>
        <v>ООО "ЧОО "СПЕЦНАЗ-КРАСНОДАР 2"</v>
      </c>
      <c r="K14810" s="24" t="s">
        <v>17069</v>
      </c>
      <c r="L14810" s="28" t="s">
        <v>52</v>
      </c>
      <c r="M14810" s="25">
        <v>365875.03</v>
      </c>
      <c r="N14810" s="27">
        <v>0.22017730188082457</v>
      </c>
    </row>
    <row r="14811" spans="1:14" x14ac:dyDescent="0.15">
      <c r="A14811" s="23" t="str">
        <f>HYPERLINK("https://www.spark-marketing.ru/Card/Person/4345935", "ДЕПАРТАМЕНТ СМОЛЕНСКОЙ ОБЛАСТИ ПО ЗДРАВООХРАНЕНИЮ")</f>
        <v>ДЕПАРТАМЕНТ СМОЛЕНСКОЙ ОБЛАСТИ ПО ЗДРАВООХРАНЕНИЮ</v>
      </c>
      <c r="B14811" s="24" t="s">
        <v>1449</v>
      </c>
      <c r="C14811" s="25">
        <v>893988</v>
      </c>
      <c r="D14811" s="22" t="s">
        <v>17070</v>
      </c>
      <c r="E14811" s="22" t="s">
        <v>53</v>
      </c>
      <c r="F14811" s="23" t="str">
        <f>HYPERLINK("https://www.spark-marketing.ru/Card/Lot/67999903", "№0367 - аэф/т Поставка лекарственных препаратов (Прамипексол)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f>
        <v>№0367 - аэф/т Поставка лекарственных препаратов (Прамипексол)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v>
      </c>
      <c r="G14811" s="22" t="s">
        <v>956</v>
      </c>
      <c r="H14811" s="22" t="s">
        <v>1451</v>
      </c>
      <c r="I14811" s="26">
        <v>43511</v>
      </c>
      <c r="J14811" s="28" t="s">
        <v>52</v>
      </c>
      <c r="K14811" s="28" t="s">
        <v>52</v>
      </c>
      <c r="L14811" s="28" t="s">
        <v>52</v>
      </c>
      <c r="M14811" s="28" t="s">
        <v>52</v>
      </c>
      <c r="N14811" s="28" t="s">
        <v>52</v>
      </c>
    </row>
    <row r="14812" spans="1:14" ht="12.75" hidden="1" outlineLevel="1" x14ac:dyDescent="0.2">
      <c r="A14812" s="23" t="str">
        <f>HYPERLINK("https://www.spark-marketing.ru/Card/Person/4345935", "ДЕПАРТАМЕНТ СМОЛЕНСКОЙ ОБЛАСТИ ПО ЗДРАВООХРАНЕНИЮ")</f>
        <v>ДЕПАРТАМЕНТ СМОЛЕНСКОЙ ОБЛАСТИ ПО ЗДРАВООХРАНЕНИЮ</v>
      </c>
      <c r="B14812" s="24" t="s">
        <v>1449</v>
      </c>
      <c r="C14812" s="25">
        <v>893988</v>
      </c>
      <c r="D14812" s="22" t="s">
        <v>17070</v>
      </c>
      <c r="E14812" s="22" t="s">
        <v>53</v>
      </c>
      <c r="F14812" s="23" t="str">
        <f>HYPERLINK("https://www.spark-marketing.ru/Card/Lot/67999903", "№0367 - аэф/т Поставка лекарственных препаратов (Прамипексол)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f>
        <v>№0367 - аэф/т Поставка лекарственных препаратов (Прамипексол)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v>
      </c>
      <c r="G14812" s="22" t="s">
        <v>956</v>
      </c>
      <c r="H14812" s="22" t="s">
        <v>1451</v>
      </c>
      <c r="I14812" s="26">
        <v>43511</v>
      </c>
      <c r="J14812" s="23" t="str">
        <f>HYPERLINK("https://www.spark-marketing.ru/Card/Person/4961861", "ООО ""ЭЛАРУМ ФАРМА""")</f>
        <v>ООО "ЭЛАРУМ ФАРМА"</v>
      </c>
      <c r="K14812" s="24" t="s">
        <v>17071</v>
      </c>
      <c r="L14812" s="22" t="s">
        <v>10</v>
      </c>
      <c r="M14812" s="25">
        <v>818507.16</v>
      </c>
      <c r="N14812" s="27">
        <v>8.4431603108766559E-2</v>
      </c>
    </row>
    <row r="14813" spans="1:14" hidden="1" outlineLevel="1" x14ac:dyDescent="0.2">
      <c r="A14813" s="23" t="str">
        <f>HYPERLINK("https://www.spark-marketing.ru/Card/Person/4345935", "ДЕПАРТАМЕНТ СМОЛЕНСКОЙ ОБЛАСТИ ПО ЗДРАВООХРАНЕНИЮ")</f>
        <v>ДЕПАРТАМЕНТ СМОЛЕНСКОЙ ОБЛАСТИ ПО ЗДРАВООХРАНЕНИЮ</v>
      </c>
      <c r="B14813" s="24" t="s">
        <v>1449</v>
      </c>
      <c r="C14813" s="25">
        <v>893988</v>
      </c>
      <c r="D14813" s="22" t="s">
        <v>17070</v>
      </c>
      <c r="E14813" s="22" t="s">
        <v>53</v>
      </c>
      <c r="F14813" s="23" t="str">
        <f>HYPERLINK("https://www.spark-marketing.ru/Card/Lot/67999903", "№0367 - аэф/т Поставка лекарственных препаратов (Прамипексол)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f>
        <v>№0367 - аэф/т Поставка лекарственных препаратов (Прамипексол)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v>
      </c>
      <c r="G14813" s="22" t="s">
        <v>956</v>
      </c>
      <c r="H14813" s="22" t="s">
        <v>1451</v>
      </c>
      <c r="I14813" s="26">
        <v>43511</v>
      </c>
      <c r="J14813" s="23" t="str">
        <f>HYPERLINK("https://www.spark-marketing.ru/Card/Person/6440681", "ООО ""МИД""")</f>
        <v>ООО "МИД"</v>
      </c>
      <c r="K14813" s="24" t="s">
        <v>7933</v>
      </c>
      <c r="L14813" s="28" t="s">
        <v>52</v>
      </c>
      <c r="M14813" s="25">
        <v>822977.1</v>
      </c>
      <c r="N14813" s="27">
        <v>7.9431603108766555E-2</v>
      </c>
    </row>
    <row r="14814" spans="1:14" hidden="1" outlineLevel="1" x14ac:dyDescent="0.2">
      <c r="A14814" s="23" t="str">
        <f>HYPERLINK("https://www.spark-marketing.ru/Card/Person/4345935", "ДЕПАРТАМЕНТ СМОЛЕНСКОЙ ОБЛАСТИ ПО ЗДРАВООХРАНЕНИЮ")</f>
        <v>ДЕПАРТАМЕНТ СМОЛЕНСКОЙ ОБЛАСТИ ПО ЗДРАВООХРАНЕНИЮ</v>
      </c>
      <c r="B14814" s="24" t="s">
        <v>1449</v>
      </c>
      <c r="C14814" s="25">
        <v>893988</v>
      </c>
      <c r="D14814" s="22" t="s">
        <v>17070</v>
      </c>
      <c r="E14814" s="22" t="s">
        <v>53</v>
      </c>
      <c r="F14814" s="23" t="str">
        <f>HYPERLINK("https://www.spark-marketing.ru/Card/Lot/67999903", "№0367 - аэф/т Поставка лекарственных препаратов (Прамипексол)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f>
        <v>№0367 - аэф/т Поставка лекарственных препаратов (Прамипексол)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v>
      </c>
      <c r="G14814" s="22" t="s">
        <v>956</v>
      </c>
      <c r="H14814" s="22" t="s">
        <v>1451</v>
      </c>
      <c r="I14814" s="26">
        <v>43511</v>
      </c>
      <c r="J14814" s="23" t="str">
        <f>HYPERLINK("https://www.spark-marketing.ru/Card/Person/18931", "ООО ""ЮНИЛЕК""")</f>
        <v>ООО "ЮНИЛЕК"</v>
      </c>
      <c r="K14814" s="24" t="s">
        <v>7158</v>
      </c>
      <c r="L14814" s="28" t="s">
        <v>52</v>
      </c>
      <c r="M14814" s="25">
        <v>880578.18</v>
      </c>
      <c r="N14814" s="27">
        <v>1.4999999999999999E-2</v>
      </c>
    </row>
    <row r="14815" spans="1:14" x14ac:dyDescent="0.15">
      <c r="A14815" s="23" t="str">
        <f>HYPERLINK("https://www.spark-marketing.ru/Card/Person/65009", "ГУЗ ""СГКБ № 12""")</f>
        <v>ГУЗ "СГКБ № 12"</v>
      </c>
      <c r="B14815" s="24" t="s">
        <v>17072</v>
      </c>
      <c r="C14815" s="25">
        <v>40833.300000000003</v>
      </c>
      <c r="D14815" s="22" t="s">
        <v>17073</v>
      </c>
      <c r="E14815" s="22" t="s">
        <v>137</v>
      </c>
      <c r="F14815" s="23" t="str">
        <f>HYPERLINK("https://www.spark-marketing.ru/Card/Lot/67955317", "Оказание услуг на техническое обслуживание системы видеонаблюдения в помещениях поликлиники и стационара")</f>
        <v>Оказание услуг на техническое обслуживание системы видеонаблюдения в помещениях поликлиники и стационара</v>
      </c>
      <c r="G14815" s="22" t="s">
        <v>80</v>
      </c>
      <c r="H14815" s="22" t="s">
        <v>81</v>
      </c>
      <c r="I14815" s="26">
        <v>43510.616145833301</v>
      </c>
      <c r="J14815" s="28" t="s">
        <v>52</v>
      </c>
      <c r="K14815" s="28" t="s">
        <v>52</v>
      </c>
      <c r="L14815" s="28" t="s">
        <v>52</v>
      </c>
      <c r="M14815" s="28" t="s">
        <v>52</v>
      </c>
      <c r="N14815" s="28" t="s">
        <v>52</v>
      </c>
    </row>
    <row r="14816" spans="1:14" hidden="1" outlineLevel="1" x14ac:dyDescent="0.2">
      <c r="A14816" s="23" t="str">
        <f>HYPERLINK("https://www.spark-marketing.ru/Card/Person/65009", "ГУЗ ""СГКБ № 12""")</f>
        <v>ГУЗ "СГКБ № 12"</v>
      </c>
      <c r="B14816" s="24" t="s">
        <v>17072</v>
      </c>
      <c r="C14816" s="28" t="s">
        <v>52</v>
      </c>
      <c r="D14816" s="22" t="s">
        <v>17073</v>
      </c>
      <c r="E14816" s="22" t="s">
        <v>137</v>
      </c>
      <c r="F14816" s="23" t="str">
        <f>HYPERLINK("https://www.spark-marketing.ru/Card/Lot/67955317", "Оказание услуг на техническое обслуживание системы видеонаблюдения в помещениях поликлиники и стационара")</f>
        <v>Оказание услуг на техническое обслуживание системы видеонаблюдения в помещениях поликлиники и стационара</v>
      </c>
      <c r="G14816" s="22" t="s">
        <v>80</v>
      </c>
      <c r="H14816" s="22" t="s">
        <v>81</v>
      </c>
      <c r="I14816" s="26">
        <v>43510.616145833301</v>
      </c>
      <c r="J14816" s="23" t="str">
        <f>HYPERLINK("https://www.spark-marketing.ru/Card/Person/5789541", "ООО ""СБ-ПЛЮС""")</f>
        <v>ООО "СБ-ПЛЮС"</v>
      </c>
      <c r="K14816" s="24" t="s">
        <v>4674</v>
      </c>
      <c r="L14816" s="28" t="s">
        <v>52</v>
      </c>
      <c r="M14816" s="25">
        <v>29950</v>
      </c>
      <c r="N14816" s="27">
        <v>0.26653001349388855</v>
      </c>
    </row>
    <row r="14817" spans="1:14" hidden="1" outlineLevel="1" x14ac:dyDescent="0.2">
      <c r="A14817" s="23" t="str">
        <f>HYPERLINK("https://www.spark-marketing.ru/Card/Person/65009", "ГУЗ ""СГКБ № 12""")</f>
        <v>ГУЗ "СГКБ № 12"</v>
      </c>
      <c r="B14817" s="24" t="s">
        <v>17072</v>
      </c>
      <c r="C14817" s="28" t="s">
        <v>52</v>
      </c>
      <c r="D14817" s="22" t="s">
        <v>17073</v>
      </c>
      <c r="E14817" s="22" t="s">
        <v>137</v>
      </c>
      <c r="F14817" s="23" t="str">
        <f>HYPERLINK("https://www.spark-marketing.ru/Card/Lot/67955317", "Оказание услуг на техническое обслуживание системы видеонаблюдения в помещениях поликлиники и стационара")</f>
        <v>Оказание услуг на техническое обслуживание системы видеонаблюдения в помещениях поликлиники и стационара</v>
      </c>
      <c r="G14817" s="22" t="s">
        <v>80</v>
      </c>
      <c r="H14817" s="22" t="s">
        <v>81</v>
      </c>
      <c r="I14817" s="26">
        <v>43510.616145833301</v>
      </c>
      <c r="J14817" s="23" t="str">
        <f>HYPERLINK("https://www.spark-marketing.ru/Card/Person/574743", "ООО ""ТД ""ПРИОРИТЕТ""")</f>
        <v>ООО "ТД "ПРИОРИТЕТ"</v>
      </c>
      <c r="K14817" s="24" t="s">
        <v>13293</v>
      </c>
      <c r="L14817" s="22" t="s">
        <v>10</v>
      </c>
      <c r="M14817" s="25">
        <v>26300</v>
      </c>
      <c r="N14817" s="27">
        <v>0.35591784156558492</v>
      </c>
    </row>
    <row r="14818" spans="1:14" hidden="1" outlineLevel="1" x14ac:dyDescent="0.2">
      <c r="A14818" s="23" t="str">
        <f>HYPERLINK("https://www.spark-marketing.ru/Card/Person/65009", "ГУЗ ""СГКБ № 12""")</f>
        <v>ГУЗ "СГКБ № 12"</v>
      </c>
      <c r="B14818" s="24" t="s">
        <v>17072</v>
      </c>
      <c r="C14818" s="28" t="s">
        <v>52</v>
      </c>
      <c r="D14818" s="22" t="s">
        <v>17073</v>
      </c>
      <c r="E14818" s="22" t="s">
        <v>137</v>
      </c>
      <c r="F14818" s="23" t="str">
        <f>HYPERLINK("https://www.spark-marketing.ru/Card/Lot/67955317", "Оказание услуг на техническое обслуживание системы видеонаблюдения в помещениях поликлиники и стационара")</f>
        <v>Оказание услуг на техническое обслуживание системы видеонаблюдения в помещениях поликлиники и стационара</v>
      </c>
      <c r="G14818" s="22" t="s">
        <v>80</v>
      </c>
      <c r="H14818" s="22" t="s">
        <v>81</v>
      </c>
      <c r="I14818" s="26">
        <v>43510.616145833301</v>
      </c>
      <c r="J14818" s="23" t="str">
        <f>HYPERLINK("https://www.spark-marketing.ru/Card/Person/802605", "Пашков Артем Дмитриевич")</f>
        <v>Пашков Артем Дмитриевич</v>
      </c>
      <c r="K14818" s="24" t="s">
        <v>15503</v>
      </c>
      <c r="L14818" s="28" t="s">
        <v>52</v>
      </c>
      <c r="M14818" s="25">
        <v>30000</v>
      </c>
      <c r="N14818" s="27">
        <v>0.26530552269838586</v>
      </c>
    </row>
    <row r="14819" spans="1:14" x14ac:dyDescent="0.15">
      <c r="A14819" s="23" t="str">
        <f>HYPERLINK("https://www.spark-marketing.ru/Card/Person/1023169", "МОУ ВЕРХНЕЯКУШКИНСКАЯ ООШ ИМЕНИ В.М. БАДАНОВА")</f>
        <v>МОУ ВЕРХНЕЯКУШКИНСКАЯ ООШ ИМЕНИ В.М. БАДАНОВА</v>
      </c>
      <c r="B14819" s="24" t="s">
        <v>17074</v>
      </c>
      <c r="C14819" s="25">
        <v>16200</v>
      </c>
      <c r="D14819" s="22" t="s">
        <v>17075</v>
      </c>
      <c r="E14819" s="22" t="s">
        <v>68</v>
      </c>
      <c r="F14819" s="23" t="str">
        <f>HYPERLINK("https://www.spark-marketing.ru/Card/Lot/67992512",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4819" s="22" t="s">
        <v>446</v>
      </c>
      <c r="H14819" s="22" t="s">
        <v>16876</v>
      </c>
      <c r="I14819" s="26">
        <v>43511</v>
      </c>
      <c r="J14819" s="28" t="s">
        <v>52</v>
      </c>
      <c r="K14819" s="28" t="s">
        <v>52</v>
      </c>
      <c r="L14819" s="28" t="s">
        <v>52</v>
      </c>
      <c r="M14819" s="28" t="s">
        <v>52</v>
      </c>
      <c r="N14819" s="28" t="s">
        <v>52</v>
      </c>
    </row>
    <row r="14820" spans="1:14" ht="12.75" hidden="1" outlineLevel="1" x14ac:dyDescent="0.2">
      <c r="A14820" s="23" t="str">
        <f>HYPERLINK("https://www.spark-marketing.ru/Card/Person/1023169", "МОУ ВЕРХНЕЯКУШКИНСКАЯ ООШ ИМЕНИ В.М. БАДАНОВА")</f>
        <v>МОУ ВЕРХНЕЯКУШКИНСКАЯ ООШ ИМЕНИ В.М. БАДАНОВА</v>
      </c>
      <c r="B14820" s="24" t="s">
        <v>17074</v>
      </c>
      <c r="C14820" s="25">
        <v>16200</v>
      </c>
      <c r="D14820" s="22" t="s">
        <v>17075</v>
      </c>
      <c r="E14820" s="22" t="s">
        <v>68</v>
      </c>
      <c r="F14820" s="23" t="str">
        <f>HYPERLINK("https://www.spark-marketing.ru/Card/Lot/67992512",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4820" s="22" t="s">
        <v>446</v>
      </c>
      <c r="H14820" s="22" t="s">
        <v>16876</v>
      </c>
      <c r="I14820" s="26">
        <v>43511</v>
      </c>
      <c r="J14820" s="23" t="str">
        <f>HYPERLINK("https://www.spark-marketing.ru/Card/Person/5946939", "ООО АО ""АРМАДА""")</f>
        <v>ООО АО "АРМАДА"</v>
      </c>
      <c r="K14820" s="24" t="s">
        <v>12927</v>
      </c>
      <c r="L14820" s="22" t="s">
        <v>10</v>
      </c>
      <c r="M14820" s="25">
        <v>6000</v>
      </c>
      <c r="N14820" s="27">
        <v>0.62962962962962965</v>
      </c>
    </row>
    <row r="14821" spans="1:14" hidden="1" outlineLevel="1" x14ac:dyDescent="0.2">
      <c r="A14821" s="23" t="str">
        <f>HYPERLINK("https://www.spark-marketing.ru/Card/Person/1023169", "МОУ ВЕРХНЕЯКУШКИНСКАЯ ООШ ИМЕНИ В.М. БАДАНОВА")</f>
        <v>МОУ ВЕРХНЕЯКУШКИНСКАЯ ООШ ИМЕНИ В.М. БАДАНОВА</v>
      </c>
      <c r="B14821" s="24" t="s">
        <v>17074</v>
      </c>
      <c r="C14821" s="25">
        <v>16200</v>
      </c>
      <c r="D14821" s="22" t="s">
        <v>17075</v>
      </c>
      <c r="E14821" s="22" t="s">
        <v>68</v>
      </c>
      <c r="F14821" s="23" t="str">
        <f>HYPERLINK("https://www.spark-marketing.ru/Card/Lot/67992512",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4821" s="22" t="s">
        <v>446</v>
      </c>
      <c r="H14821" s="22" t="s">
        <v>16876</v>
      </c>
      <c r="I14821" s="26">
        <v>43511</v>
      </c>
      <c r="J14821" s="23" t="str">
        <f>HYPERLINK("https://www.spark-marketing.ru/Card/Person/124094", "ООО ЧОО ""РЕДУТ+""")</f>
        <v>ООО ЧОО "РЕДУТ+"</v>
      </c>
      <c r="K14821" s="24" t="s">
        <v>16877</v>
      </c>
      <c r="L14821" s="28" t="s">
        <v>52</v>
      </c>
      <c r="M14821" s="25">
        <v>6000</v>
      </c>
      <c r="N14821" s="27">
        <v>0.62962962962962965</v>
      </c>
    </row>
    <row r="14822" spans="1:14" hidden="1" outlineLevel="1" x14ac:dyDescent="0.2">
      <c r="A14822" s="23" t="str">
        <f>HYPERLINK("https://www.spark-marketing.ru/Card/Person/1023169", "МОУ ВЕРХНЕЯКУШКИНСКАЯ ООШ ИМЕНИ В.М. БАДАНОВА")</f>
        <v>МОУ ВЕРХНЕЯКУШКИНСКАЯ ООШ ИМЕНИ В.М. БАДАНОВА</v>
      </c>
      <c r="B14822" s="24" t="s">
        <v>17074</v>
      </c>
      <c r="C14822" s="25">
        <v>16200</v>
      </c>
      <c r="D14822" s="22" t="s">
        <v>17075</v>
      </c>
      <c r="E14822" s="22" t="s">
        <v>68</v>
      </c>
      <c r="F14822" s="23" t="str">
        <f>HYPERLINK("https://www.spark-marketing.ru/Card/Lot/67992512",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4822" s="22" t="s">
        <v>446</v>
      </c>
      <c r="H14822" s="22" t="s">
        <v>16876</v>
      </c>
      <c r="I14822" s="26">
        <v>43511</v>
      </c>
      <c r="J14822" s="23" t="str">
        <f>HYPERLINK("https://www.spark-marketing.ru/Card/Person/677682", "ООО ЧОО ""ЦСМ ""ГРОМ""")</f>
        <v>ООО ЧОО "ЦСМ "ГРОМ"</v>
      </c>
      <c r="K14822" s="24" t="s">
        <v>16878</v>
      </c>
      <c r="L14822" s="28" t="s">
        <v>52</v>
      </c>
      <c r="M14822" s="25">
        <v>9800</v>
      </c>
      <c r="N14822" s="27">
        <v>0.39506172839506171</v>
      </c>
    </row>
    <row r="14823" spans="1:14" x14ac:dyDescent="0.15">
      <c r="A14823" s="23" t="str">
        <f>HYPERLINK("https://www.spark-marketing.ru/Card/Person/35203", "ФКУЗ МСЧ-59 ФСИН РОССИИ")</f>
        <v>ФКУЗ МСЧ-59 ФСИН РОССИИ</v>
      </c>
      <c r="B14823" s="24" t="s">
        <v>16343</v>
      </c>
      <c r="C14823" s="25">
        <v>134556</v>
      </c>
      <c r="D14823" s="22" t="s">
        <v>17076</v>
      </c>
      <c r="E14823" s="22" t="s">
        <v>68</v>
      </c>
      <c r="F14823" s="23" t="str">
        <f>HYPERLINK("https://www.spark-marketing.ru/Card/Lot/67983055", "Оказание услуг по охране Объектов, относящихся к 1-й и 2-й категориям")</f>
        <v>Оказание услуг по охране Объектов, относящихся к 1-й и 2-й категориям</v>
      </c>
      <c r="G14823" s="22" t="s">
        <v>391</v>
      </c>
      <c r="H14823" s="22" t="s">
        <v>391</v>
      </c>
      <c r="I14823" s="26">
        <v>43511</v>
      </c>
      <c r="J14823" s="28" t="s">
        <v>52</v>
      </c>
      <c r="K14823" s="28" t="s">
        <v>52</v>
      </c>
      <c r="L14823" s="28" t="s">
        <v>52</v>
      </c>
      <c r="M14823" s="28" t="s">
        <v>52</v>
      </c>
      <c r="N14823" s="28" t="s">
        <v>52</v>
      </c>
    </row>
    <row r="14824" spans="1:14" x14ac:dyDescent="0.15">
      <c r="A14824" s="23" t="str">
        <f>HYPERLINK("https://www.spark-marketing.ru/Card/Person/1028144", "ГБОУ ШКОЛА № 455 САНКТ-ПЕТЕРБУРГА")</f>
        <v>ГБОУ ШКОЛА № 455 САНКТ-ПЕТЕРБУРГА</v>
      </c>
      <c r="B14824" s="24" t="s">
        <v>17077</v>
      </c>
      <c r="C14824" s="25">
        <v>1099500</v>
      </c>
      <c r="D14824" s="22" t="s">
        <v>17078</v>
      </c>
      <c r="E14824" s="22" t="s">
        <v>68</v>
      </c>
      <c r="F14824" s="23" t="str">
        <f>HYPERLINK("https://www.spark-marketing.ru/Card/Lot/67981762", "Оказание услуг по организации и обеспечению охраны объекта и имущества, а также обеспечение внутриобъектового и пропускного режима на объектах: Санкт-Петербург, г. Колпино, Красная ул., д. 14, литер. А и Красная ул., д. 8 б, литер. А")</f>
        <v>Оказание услуг по организации и обеспечению охраны объекта и имущества, а также обеспечение внутриобъектового и пропускного режима на объектах: Санкт-Петербург, г. Колпино, Красная ул., д. 14, литер. А и Красная ул., д. 8 б, литер. А</v>
      </c>
      <c r="G14824" s="22" t="s">
        <v>89</v>
      </c>
      <c r="H14824" s="22" t="s">
        <v>89</v>
      </c>
      <c r="I14824" s="26">
        <v>43511</v>
      </c>
      <c r="J14824" s="28" t="s">
        <v>52</v>
      </c>
      <c r="K14824" s="28" t="s">
        <v>52</v>
      </c>
      <c r="L14824" s="28" t="s">
        <v>52</v>
      </c>
      <c r="M14824" s="28" t="s">
        <v>52</v>
      </c>
      <c r="N14824" s="28" t="s">
        <v>52</v>
      </c>
    </row>
    <row r="14825" spans="1:14" ht="12.75" hidden="1" outlineLevel="1" x14ac:dyDescent="0.2">
      <c r="A14825" s="23" t="str">
        <f>HYPERLINK("https://www.spark-marketing.ru/Card/Person/1028144", "ГБОУ ШКОЛА № 455 САНКТ-ПЕТЕРБУРГА")</f>
        <v>ГБОУ ШКОЛА № 455 САНКТ-ПЕТЕРБУРГА</v>
      </c>
      <c r="B14825" s="24" t="s">
        <v>17077</v>
      </c>
      <c r="C14825" s="25">
        <v>1099500</v>
      </c>
      <c r="D14825" s="22" t="s">
        <v>17078</v>
      </c>
      <c r="E14825" s="22" t="s">
        <v>68</v>
      </c>
      <c r="F14825" s="23" t="str">
        <f>HYPERLINK("https://www.spark-marketing.ru/Card/Lot/67981762", "Оказание услуг по организации и обеспечению охраны объекта и имущества, а также обеспечение внутриобъектового и пропускного режима на объектах: Санкт-Петербург, г. Колпино, Красная ул., д. 14, литер. А и Красная ул., д. 8 б, литер. А")</f>
        <v>Оказание услуг по организации и обеспечению охраны объекта и имущества, а также обеспечение внутриобъектового и пропускного режима на объектах: Санкт-Петербург, г. Колпино, Красная ул., д. 14, литер. А и Красная ул., д. 8 б, литер. А</v>
      </c>
      <c r="G14825" s="22" t="s">
        <v>89</v>
      </c>
      <c r="H14825" s="22" t="s">
        <v>89</v>
      </c>
      <c r="I14825" s="26">
        <v>43511</v>
      </c>
      <c r="J14825" s="23" t="str">
        <f>HYPERLINK("https://www.spark-marketing.ru/Card/Person/27570", "ООО ""ОО ""ИНСАР""")</f>
        <v>ООО "ОО "ИНСАР"</v>
      </c>
      <c r="K14825" s="24" t="s">
        <v>6890</v>
      </c>
      <c r="L14825" s="22" t="s">
        <v>10</v>
      </c>
      <c r="M14825" s="25">
        <v>942284.51</v>
      </c>
      <c r="N14825" s="27">
        <v>0.14298816734879491</v>
      </c>
    </row>
    <row r="14826" spans="1:14" hidden="1" outlineLevel="1" x14ac:dyDescent="0.2">
      <c r="A14826" s="23" t="str">
        <f>HYPERLINK("https://www.spark-marketing.ru/Card/Person/1028144", "ГБОУ ШКОЛА № 455 САНКТ-ПЕТЕРБУРГА")</f>
        <v>ГБОУ ШКОЛА № 455 САНКТ-ПЕТЕРБУРГА</v>
      </c>
      <c r="B14826" s="24" t="s">
        <v>17077</v>
      </c>
      <c r="C14826" s="25">
        <v>1099500</v>
      </c>
      <c r="D14826" s="22" t="s">
        <v>17078</v>
      </c>
      <c r="E14826" s="22" t="s">
        <v>68</v>
      </c>
      <c r="F14826" s="23" t="str">
        <f>HYPERLINK("https://www.spark-marketing.ru/Card/Lot/67981762", "Оказание услуг по организации и обеспечению охраны объекта и имущества, а также обеспечение внутриобъектового и пропускного режима на объектах: Санкт-Петербург, г. Колпино, Красная ул., д. 14, литер. А и Красная ул., д. 8 б, литер. А")</f>
        <v>Оказание услуг по организации и обеспечению охраны объекта и имущества, а также обеспечение внутриобъектового и пропускного режима на объектах: Санкт-Петербург, г. Колпино, Красная ул., д. 14, литер. А и Красная ул., д. 8 б, литер. А</v>
      </c>
      <c r="G14826" s="22" t="s">
        <v>89</v>
      </c>
      <c r="H14826" s="22" t="s">
        <v>89</v>
      </c>
      <c r="I14826" s="26">
        <v>43511</v>
      </c>
      <c r="J14826" s="23" t="str">
        <f>HYPERLINK("https://www.spark-marketing.ru/Card/Person/988759", "ООО ""ЧОП ""КОРД 78""")</f>
        <v>ООО "ЧОП "КОРД 78"</v>
      </c>
      <c r="K14826" s="24" t="s">
        <v>17079</v>
      </c>
      <c r="L14826" s="28" t="s">
        <v>52</v>
      </c>
      <c r="M14826" s="25">
        <v>975269.51</v>
      </c>
      <c r="N14826" s="27">
        <v>0.11298816734879491</v>
      </c>
    </row>
    <row r="14827" spans="1:14" hidden="1" outlineLevel="1" x14ac:dyDescent="0.2">
      <c r="A14827" s="23" t="str">
        <f>HYPERLINK("https://www.spark-marketing.ru/Card/Person/1028144", "ГБОУ ШКОЛА № 455 САНКТ-ПЕТЕРБУРГА")</f>
        <v>ГБОУ ШКОЛА № 455 САНКТ-ПЕТЕРБУРГА</v>
      </c>
      <c r="B14827" s="24" t="s">
        <v>17077</v>
      </c>
      <c r="C14827" s="25">
        <v>1099500</v>
      </c>
      <c r="D14827" s="22" t="s">
        <v>17078</v>
      </c>
      <c r="E14827" s="22" t="s">
        <v>68</v>
      </c>
      <c r="F14827" s="23" t="str">
        <f>HYPERLINK("https://www.spark-marketing.ru/Card/Lot/67981762", "Оказание услуг по организации и обеспечению охраны объекта и имущества, а также обеспечение внутриобъектового и пропускного режима на объектах: Санкт-Петербург, г. Колпино, Красная ул., д. 14, литер. А и Красная ул., д. 8 б, литер. А")</f>
        <v>Оказание услуг по организации и обеспечению охраны объекта и имущества, а также обеспечение внутриобъектового и пропускного режима на объектах: Санкт-Петербург, г. Колпино, Красная ул., д. 14, литер. А и Красная ул., д. 8 б, литер. А</v>
      </c>
      <c r="G14827" s="22" t="s">
        <v>89</v>
      </c>
      <c r="H14827" s="22" t="s">
        <v>89</v>
      </c>
      <c r="I14827" s="26">
        <v>43511</v>
      </c>
      <c r="J14827" s="23" t="str">
        <f>HYPERLINK("https://www.spark-marketing.ru/Card/Person/4381460", "ООО ""ОП ""ВЕЛЕС""")</f>
        <v>ООО "ОП "ВЕЛЕС"</v>
      </c>
      <c r="K14827" s="24" t="s">
        <v>17080</v>
      </c>
      <c r="L14827" s="28" t="s">
        <v>52</v>
      </c>
      <c r="M14827" s="25">
        <v>947782.01</v>
      </c>
      <c r="N14827" s="27">
        <v>0.1379881673487949</v>
      </c>
    </row>
    <row r="14828" spans="1:14" x14ac:dyDescent="0.15">
      <c r="A14828" s="23" t="str">
        <f>HYPERLINK("https://www.spark-marketing.ru/Card/Person/995780", "МОУ НОВОМАЛЫКЛИНСКАЯ НОШ")</f>
        <v>МОУ НОВОМАЛЫКЛИНСКАЯ НОШ</v>
      </c>
      <c r="B14828" s="24" t="s">
        <v>17081</v>
      </c>
      <c r="C14828" s="25">
        <v>16200</v>
      </c>
      <c r="D14828" s="22" t="s">
        <v>17082</v>
      </c>
      <c r="E14828" s="22" t="s">
        <v>68</v>
      </c>
      <c r="F14828" s="23" t="str">
        <f>HYPERLINK("https://www.spark-marketing.ru/Card/Lot/67992513",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4828" s="22" t="s">
        <v>446</v>
      </c>
      <c r="H14828" s="22" t="s">
        <v>16876</v>
      </c>
      <c r="I14828" s="26">
        <v>43511</v>
      </c>
      <c r="J14828" s="28" t="s">
        <v>52</v>
      </c>
      <c r="K14828" s="28" t="s">
        <v>52</v>
      </c>
      <c r="L14828" s="28" t="s">
        <v>52</v>
      </c>
      <c r="M14828" s="28" t="s">
        <v>52</v>
      </c>
      <c r="N14828" s="28" t="s">
        <v>52</v>
      </c>
    </row>
    <row r="14829" spans="1:14" hidden="1" outlineLevel="1" x14ac:dyDescent="0.2">
      <c r="A14829" s="23" t="str">
        <f>HYPERLINK("https://www.spark-marketing.ru/Card/Person/995780", "МОУ НОВОМАЛЫКЛИНСКАЯ НОШ")</f>
        <v>МОУ НОВОМАЛЫКЛИНСКАЯ НОШ</v>
      </c>
      <c r="B14829" s="24" t="s">
        <v>17081</v>
      </c>
      <c r="C14829" s="25">
        <v>16200</v>
      </c>
      <c r="D14829" s="22" t="s">
        <v>17082</v>
      </c>
      <c r="E14829" s="22" t="s">
        <v>68</v>
      </c>
      <c r="F14829" s="23" t="str">
        <f>HYPERLINK("https://www.spark-marketing.ru/Card/Lot/67992513",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4829" s="22" t="s">
        <v>446</v>
      </c>
      <c r="H14829" s="22" t="s">
        <v>16876</v>
      </c>
      <c r="I14829" s="26">
        <v>43511</v>
      </c>
      <c r="J14829" s="23" t="str">
        <f>HYPERLINK("https://www.spark-marketing.ru/Card/Person/124094", "ООО ЧОО ""РЕДУТ+""")</f>
        <v>ООО ЧОО "РЕДУТ+"</v>
      </c>
      <c r="K14829" s="24" t="s">
        <v>16877</v>
      </c>
      <c r="L14829" s="28" t="s">
        <v>52</v>
      </c>
      <c r="M14829" s="25">
        <v>16100</v>
      </c>
      <c r="N14829" s="27">
        <v>6.1728395061728392E-3</v>
      </c>
    </row>
    <row r="14830" spans="1:14" hidden="1" outlineLevel="1" x14ac:dyDescent="0.2">
      <c r="A14830" s="23" t="str">
        <f>HYPERLINK("https://www.spark-marketing.ru/Card/Person/995780", "МОУ НОВОМАЛЫКЛИНСКАЯ НОШ")</f>
        <v>МОУ НОВОМАЛЫКЛИНСКАЯ НОШ</v>
      </c>
      <c r="B14830" s="24" t="s">
        <v>17081</v>
      </c>
      <c r="C14830" s="25">
        <v>16200</v>
      </c>
      <c r="D14830" s="22" t="s">
        <v>17082</v>
      </c>
      <c r="E14830" s="22" t="s">
        <v>68</v>
      </c>
      <c r="F14830" s="23" t="str">
        <f>HYPERLINK("https://www.spark-marketing.ru/Card/Lot/67992513",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4830" s="22" t="s">
        <v>446</v>
      </c>
      <c r="H14830" s="22" t="s">
        <v>16876</v>
      </c>
      <c r="I14830" s="26">
        <v>43511</v>
      </c>
      <c r="J14830" s="23" t="str">
        <f>HYPERLINK("https://www.spark-marketing.ru/Card/Person/677682", "ООО ЧОО ""ЦСМ ""ГРОМ""")</f>
        <v>ООО ЧОО "ЦСМ "ГРОМ"</v>
      </c>
      <c r="K14830" s="24" t="s">
        <v>16878</v>
      </c>
      <c r="L14830" s="28" t="s">
        <v>52</v>
      </c>
      <c r="M14830" s="25">
        <v>8840</v>
      </c>
      <c r="N14830" s="27">
        <v>0.454320987654321</v>
      </c>
    </row>
    <row r="14831" spans="1:14" ht="12.75" hidden="1" outlineLevel="1" x14ac:dyDescent="0.2">
      <c r="A14831" s="23" t="str">
        <f>HYPERLINK("https://www.spark-marketing.ru/Card/Person/995780", "МОУ НОВОМАЛЫКЛИНСКАЯ НОШ")</f>
        <v>МОУ НОВОМАЛЫКЛИНСКАЯ НОШ</v>
      </c>
      <c r="B14831" s="24" t="s">
        <v>17081</v>
      </c>
      <c r="C14831" s="25">
        <v>16200</v>
      </c>
      <c r="D14831" s="22" t="s">
        <v>17082</v>
      </c>
      <c r="E14831" s="22" t="s">
        <v>68</v>
      </c>
      <c r="F14831" s="23" t="str">
        <f>HYPERLINK("https://www.spark-marketing.ru/Card/Lot/67992513",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4831" s="22" t="s">
        <v>446</v>
      </c>
      <c r="H14831" s="22" t="s">
        <v>16876</v>
      </c>
      <c r="I14831" s="26">
        <v>43511</v>
      </c>
      <c r="J14831" s="23" t="str">
        <f>HYPERLINK("https://www.spark-marketing.ru/Card/Person/5946939", "ООО АО ""АРМАДА""")</f>
        <v>ООО АО "АРМАДА"</v>
      </c>
      <c r="K14831" s="24" t="s">
        <v>12927</v>
      </c>
      <c r="L14831" s="22" t="s">
        <v>10</v>
      </c>
      <c r="M14831" s="25">
        <v>8740</v>
      </c>
      <c r="N14831" s="27">
        <v>0.46049382716049381</v>
      </c>
    </row>
    <row r="14832" spans="1:14" x14ac:dyDescent="0.15">
      <c r="A14832" s="23" t="str">
        <f>HYPERLINK("https://www.spark-marketing.ru/Card/Person/6450322", "ЗАКАЗЧИК РП БЕЛАРУСЬ")</f>
        <v>ЗАКАЗЧИК РП БЕЛАРУСЬ</v>
      </c>
      <c r="B14832" s="28" t="s">
        <v>52</v>
      </c>
      <c r="C14832" s="25">
        <v>58112.638500000001</v>
      </c>
      <c r="D14832" s="22" t="s">
        <v>17083</v>
      </c>
      <c r="E14832" s="22" t="s">
        <v>53</v>
      </c>
      <c r="F14832" s="23" t="str">
        <f>HYPERLINK("https://www.spark-marketing.ru/Card/Lot/67996802", "Оснащение ручными средствами тревожной сигнализации (тревожной кнопкой) с последующим контролем и обслуживанием в учебно- спортивных учреждениях")</f>
        <v>Оснащение ручными средствами тревожной сигнализации (тревожной кнопкой) с последующим контролем и обслуживанием в учебно- спортивных учреждениях</v>
      </c>
      <c r="G14832" s="22" t="s">
        <v>52</v>
      </c>
      <c r="H14832" s="22" t="s">
        <v>52</v>
      </c>
      <c r="I14832" s="26">
        <v>43511</v>
      </c>
      <c r="J14832" s="28" t="s">
        <v>52</v>
      </c>
      <c r="K14832" s="28" t="s">
        <v>52</v>
      </c>
      <c r="L14832" s="28" t="s">
        <v>52</v>
      </c>
      <c r="M14832" s="28" t="s">
        <v>52</v>
      </c>
      <c r="N14832" s="28" t="s">
        <v>52</v>
      </c>
    </row>
    <row r="14833" spans="1:14" x14ac:dyDescent="0.15">
      <c r="A14833" s="23" t="str">
        <f>HYPERLINK("https://www.spark-marketing.ru/Card/Person/25970", "БУ ""КАНАШСКИЙ МЕЖТЕРРИТОРИАЛЬНЫЙ МЕДИЦИНСКИЙ ЦЕНТР"" МИНЗДРАВА ЧУВАШИИ")</f>
        <v>БУ "КАНАШСКИЙ МЕЖТЕРРИТОРИАЛЬНЫЙ МЕДИЦИНСКИЙ ЦЕНТР" МИНЗДРАВА ЧУВАШИИ</v>
      </c>
      <c r="B14833" s="24" t="s">
        <v>17084</v>
      </c>
      <c r="C14833" s="25">
        <v>89600.04</v>
      </c>
      <c r="D14833" s="22" t="s">
        <v>17085</v>
      </c>
      <c r="E14833" s="22" t="s">
        <v>68</v>
      </c>
      <c r="F14833" s="23" t="str">
        <f>HYPERLINK("https://www.spark-marketing.ru/Card/Lot/67999621", "Оказание услуг по централизованной пультовой охране")</f>
        <v>Оказание услуг по централизованной пультовой охране</v>
      </c>
      <c r="G14833" s="22" t="s">
        <v>1137</v>
      </c>
      <c r="H14833" s="22" t="s">
        <v>17086</v>
      </c>
      <c r="I14833" s="26">
        <v>43511</v>
      </c>
      <c r="J14833" s="28" t="s">
        <v>52</v>
      </c>
      <c r="K14833" s="28" t="s">
        <v>52</v>
      </c>
      <c r="L14833" s="28" t="s">
        <v>52</v>
      </c>
      <c r="M14833" s="28" t="s">
        <v>52</v>
      </c>
      <c r="N14833" s="28" t="s">
        <v>52</v>
      </c>
    </row>
    <row r="14834" spans="1:14" ht="12.75" hidden="1" outlineLevel="1" x14ac:dyDescent="0.2">
      <c r="A14834" s="23" t="str">
        <f>HYPERLINK("https://www.spark-marketing.ru/Card/Person/25970", "БУ ""КАНАШСКИЙ МЕЖТЕРРИТОРИАЛЬНЫЙ МЕДИЦИНСКИЙ ЦЕНТР"" МИНЗДРАВА ЧУВАШИИ")</f>
        <v>БУ "КАНАШСКИЙ МЕЖТЕРРИТОРИАЛЬНЫЙ МЕДИЦИНСКИЙ ЦЕНТР" МИНЗДРАВА ЧУВАШИИ</v>
      </c>
      <c r="B14834" s="24" t="s">
        <v>17084</v>
      </c>
      <c r="C14834" s="25">
        <v>89600.04</v>
      </c>
      <c r="D14834" s="22" t="s">
        <v>17085</v>
      </c>
      <c r="E14834" s="22" t="s">
        <v>68</v>
      </c>
      <c r="F14834" s="23" t="str">
        <f>HYPERLINK("https://www.spark-marketing.ru/Card/Lot/67999621", "Оказание услуг по централизованной пультовой охране")</f>
        <v>Оказание услуг по централизованной пультовой охране</v>
      </c>
      <c r="G14834" s="22" t="s">
        <v>1137</v>
      </c>
      <c r="H14834" s="22" t="s">
        <v>17086</v>
      </c>
      <c r="I14834" s="26">
        <v>43511</v>
      </c>
      <c r="J14834" s="23" t="str">
        <f>HYPERLINK("https://www.spark-marketing.ru/Card/Person/10487", "ФГУП ""ОХРАНА"" РОСГВАРДИИ")</f>
        <v>ФГУП "ОХРАНА" РОСГВАРДИИ</v>
      </c>
      <c r="K14834" s="24" t="s">
        <v>779</v>
      </c>
      <c r="L14834" s="22" t="s">
        <v>10</v>
      </c>
      <c r="M14834" s="25">
        <v>78000</v>
      </c>
      <c r="N14834" s="27">
        <v>0.12946467434612752</v>
      </c>
    </row>
    <row r="14835" spans="1:14" hidden="1" outlineLevel="1" x14ac:dyDescent="0.2">
      <c r="A14835" s="23" t="str">
        <f>HYPERLINK("https://www.spark-marketing.ru/Card/Person/25970", "БУ ""КАНАШСКИЙ МЕЖТЕРРИТОРИАЛЬНЫЙ МЕДИЦИНСКИЙ ЦЕНТР"" МИНЗДРАВА ЧУВАШИИ")</f>
        <v>БУ "КАНАШСКИЙ МЕЖТЕРРИТОРИАЛЬНЫЙ МЕДИЦИНСКИЙ ЦЕНТР" МИНЗДРАВА ЧУВАШИИ</v>
      </c>
      <c r="B14835" s="24" t="s">
        <v>17084</v>
      </c>
      <c r="C14835" s="25">
        <v>89600.04</v>
      </c>
      <c r="D14835" s="22" t="s">
        <v>17085</v>
      </c>
      <c r="E14835" s="22" t="s">
        <v>68</v>
      </c>
      <c r="F14835" s="23" t="str">
        <f>HYPERLINK("https://www.spark-marketing.ru/Card/Lot/67999621", "Оказание услуг по централизованной пультовой охране")</f>
        <v>Оказание услуг по централизованной пультовой охране</v>
      </c>
      <c r="G14835" s="22" t="s">
        <v>1137</v>
      </c>
      <c r="H14835" s="22" t="s">
        <v>17086</v>
      </c>
      <c r="I14835" s="26">
        <v>43511</v>
      </c>
      <c r="J14835" s="23" t="str">
        <f>HYPERLINK("https://www.spark-marketing.ru/Card/Person/371077", "ООО ""ЧОП ""ЦЕНТРАЛИЗОВАННАЯ ОХРАНА""")</f>
        <v>ООО "ЧОП "ЦЕНТРАЛИЗОВАННАЯ ОХРАНА"</v>
      </c>
      <c r="K14835" s="24" t="s">
        <v>17087</v>
      </c>
      <c r="L14835" s="28" t="s">
        <v>52</v>
      </c>
      <c r="M14835" s="25">
        <v>79200</v>
      </c>
      <c r="N14835" s="27">
        <v>0.1160718231822218</v>
      </c>
    </row>
    <row r="14836" spans="1:14" x14ac:dyDescent="0.15">
      <c r="A14836" s="23" t="str">
        <f>HYPERLINK("https://www.spark-marketing.ru/Card/Person/47527", "ВЕРХОВНЫЙ СУД РТ")</f>
        <v>ВЕРХОВНЫЙ СУД РТ</v>
      </c>
      <c r="B14836" s="24" t="s">
        <v>3359</v>
      </c>
      <c r="C14836" s="25">
        <v>370534</v>
      </c>
      <c r="D14836" s="22" t="s">
        <v>17088</v>
      </c>
      <c r="E14836" s="22" t="s">
        <v>68</v>
      </c>
      <c r="F14836" s="23" t="str">
        <f>HYPERLINK("https://www.spark-marketing.ru/Card/Lot/67980345", "Охрана объектов с помощью кнопки тревожной сигнализации (КТС и ПЦН)")</f>
        <v>Охрана объектов с помощью кнопки тревожной сигнализации (КТС и ПЦН)</v>
      </c>
      <c r="G14836" s="22" t="s">
        <v>2193</v>
      </c>
      <c r="H14836" s="22" t="s">
        <v>2194</v>
      </c>
      <c r="I14836" s="26">
        <v>43511</v>
      </c>
      <c r="J14836" s="28" t="s">
        <v>52</v>
      </c>
      <c r="K14836" s="28" t="s">
        <v>52</v>
      </c>
      <c r="L14836" s="28" t="s">
        <v>52</v>
      </c>
      <c r="M14836" s="28" t="s">
        <v>52</v>
      </c>
      <c r="N14836" s="28" t="s">
        <v>52</v>
      </c>
    </row>
    <row r="14837" spans="1:14" x14ac:dyDescent="0.15">
      <c r="A14837" s="23" t="str">
        <f>HYPERLINK("https://www.spark-marketing.ru/Card/Person/5973", "ГБУЗ КОД № 1")</f>
        <v>ГБУЗ КОД № 1</v>
      </c>
      <c r="B14837" s="24" t="s">
        <v>17089</v>
      </c>
      <c r="C14837" s="25">
        <v>767879.8</v>
      </c>
      <c r="D14837" s="22" t="s">
        <v>17090</v>
      </c>
      <c r="E14837" s="22" t="s">
        <v>68</v>
      </c>
      <c r="F14837" s="23" t="str">
        <f>HYPERLINK("https://www.spark-marketing.ru/Card/Lot/67986284", "Охранные услуги")</f>
        <v>Охранные услуги</v>
      </c>
      <c r="G14837" s="22" t="s">
        <v>132</v>
      </c>
      <c r="H14837" s="22" t="s">
        <v>652</v>
      </c>
      <c r="I14837" s="26">
        <v>43511</v>
      </c>
      <c r="J14837" s="28" t="s">
        <v>52</v>
      </c>
      <c r="K14837" s="28" t="s">
        <v>52</v>
      </c>
      <c r="L14837" s="28" t="s">
        <v>52</v>
      </c>
      <c r="M14837" s="28" t="s">
        <v>52</v>
      </c>
      <c r="N14837" s="28" t="s">
        <v>52</v>
      </c>
    </row>
    <row r="14838" spans="1:14" x14ac:dyDescent="0.15">
      <c r="A14838" s="23" t="str">
        <f>HYPERLINK("https://www.spark-marketing.ru/Card/Person/4345935", "ДЕПАРТАМЕНТ СМОЛЕНСКОЙ ОБЛАСТИ ПО ЗДРАВООХРАНЕНИЮ")</f>
        <v>ДЕПАРТАМЕНТ СМОЛЕНСКОЙ ОБЛАСТИ ПО ЗДРАВООХРАНЕНИЮ</v>
      </c>
      <c r="B14838" s="24" t="s">
        <v>1449</v>
      </c>
      <c r="C14838" s="25">
        <v>1964592</v>
      </c>
      <c r="D14838" s="22" t="s">
        <v>17091</v>
      </c>
      <c r="E14838" s="22" t="s">
        <v>53</v>
      </c>
      <c r="F14838" s="23" t="str">
        <f>HYPERLINK("https://www.spark-marketing.ru/Card/Lot/67999905", "№0368 - аэф/т Поставка лекарственных препаратов (Алглюкозидаза альфа)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f>
        <v>№0368 - аэф/т Поставка лекарственных препаратов (Алглюкозидаза альфа)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v>
      </c>
      <c r="G14838" s="22" t="s">
        <v>956</v>
      </c>
      <c r="H14838" s="22" t="s">
        <v>1451</v>
      </c>
      <c r="I14838" s="26">
        <v>43511</v>
      </c>
      <c r="J14838" s="23" t="str">
        <f>HYPERLINK("https://www.spark-marketing.ru/Card/Person/2187267", "АО ""САНОФИ РОССИЯ""")</f>
        <v>АО "САНОФИ РОССИЯ"</v>
      </c>
      <c r="K14838" s="24" t="s">
        <v>16614</v>
      </c>
      <c r="L14838" s="22" t="s">
        <v>10</v>
      </c>
      <c r="M14838" s="28" t="s">
        <v>52</v>
      </c>
      <c r="N14838" s="28" t="s">
        <v>52</v>
      </c>
    </row>
    <row r="14839" spans="1:14" x14ac:dyDescent="0.15">
      <c r="A14839" s="23" t="str">
        <f>HYPERLINK("https://www.spark-marketing.ru/Card/Person/4345935", "ДЕПАРТАМЕНТ СМОЛЕНСКОЙ ОБЛАСТИ ПО ЗДРАВООХРАНЕНИЮ")</f>
        <v>ДЕПАРТАМЕНТ СМОЛЕНСКОЙ ОБЛАСТИ ПО ЗДРАВООХРАНЕНИЮ</v>
      </c>
      <c r="B14839" s="24" t="s">
        <v>1449</v>
      </c>
      <c r="C14839" s="25">
        <v>81225</v>
      </c>
      <c r="D14839" s="22" t="s">
        <v>17092</v>
      </c>
      <c r="E14839" s="22" t="s">
        <v>53</v>
      </c>
      <c r="F14839" s="23" t="str">
        <f>HYPERLINK("https://www.spark-marketing.ru/Card/Lot/67999879", "№0363 - аэф/т Поставка лекарственных препаратов (Тимолол)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рецептам...")</f>
        <v>№0363 - аэф/т Поставка лекарственных препаратов (Тимолол)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рецептам...</v>
      </c>
      <c r="G14839" s="22" t="s">
        <v>956</v>
      </c>
      <c r="H14839" s="22" t="s">
        <v>1451</v>
      </c>
      <c r="I14839" s="26">
        <v>43511</v>
      </c>
      <c r="J14839" s="28" t="s">
        <v>52</v>
      </c>
      <c r="K14839" s="28" t="s">
        <v>52</v>
      </c>
      <c r="L14839" s="28" t="s">
        <v>52</v>
      </c>
      <c r="M14839" s="28" t="s">
        <v>52</v>
      </c>
      <c r="N14839" s="28" t="s">
        <v>52</v>
      </c>
    </row>
    <row r="14840" spans="1:14" x14ac:dyDescent="0.15">
      <c r="A14840" s="23" t="str">
        <f>HYPERLINK("https://www.spark-marketing.ru/Card/Person/6450322", "ЗАКАЗЧИК РП БЕЛАРУСЬ")</f>
        <v>ЗАКАЗЧИК РП БЕЛАРУСЬ</v>
      </c>
      <c r="B14840" s="28" t="s">
        <v>52</v>
      </c>
      <c r="C14840" s="25">
        <v>542486.84699999995</v>
      </c>
      <c r="D14840" s="22" t="s">
        <v>17083</v>
      </c>
      <c r="E14840" s="22" t="s">
        <v>53</v>
      </c>
      <c r="F14840" s="23" t="str">
        <f>HYPERLINK("https://www.spark-marketing.ru/Card/Lot/67996801", "Оснащение ручными средствами тревожной сигнализации (тревожной кнопкой) с последующим контролем и обслуживанием в учреждениях дошкольного образования")</f>
        <v>Оснащение ручными средствами тревожной сигнализации (тревожной кнопкой) с последующим контролем и обслуживанием в учреждениях дошкольного образования</v>
      </c>
      <c r="G14840" s="22" t="s">
        <v>52</v>
      </c>
      <c r="H14840" s="22" t="s">
        <v>52</v>
      </c>
      <c r="I14840" s="26">
        <v>43511</v>
      </c>
      <c r="J14840" s="28" t="s">
        <v>52</v>
      </c>
      <c r="K14840" s="28" t="s">
        <v>52</v>
      </c>
      <c r="L14840" s="28" t="s">
        <v>52</v>
      </c>
      <c r="M14840" s="28" t="s">
        <v>52</v>
      </c>
      <c r="N14840" s="28" t="s">
        <v>52</v>
      </c>
    </row>
    <row r="14841" spans="1:14" x14ac:dyDescent="0.15">
      <c r="A14841" s="23" t="str">
        <f>HYPERLINK("https://www.spark-marketing.ru/Card/Person/54697", "ГБОУ ДПО НИРО")</f>
        <v>ГБОУ ДПО НИРО</v>
      </c>
      <c r="B14841" s="24" t="s">
        <v>17093</v>
      </c>
      <c r="C14841" s="25">
        <v>1872183.36</v>
      </c>
      <c r="D14841" s="22" t="s">
        <v>17094</v>
      </c>
      <c r="E14841" s="22" t="s">
        <v>68</v>
      </c>
      <c r="F14841" s="23" t="str">
        <f>HYPERLINK("https://www.spark-marketing.ru/Card/Lot/67995545", "Оказание охранных услуг")</f>
        <v>Оказание охранных услуг</v>
      </c>
      <c r="G14841" s="22" t="s">
        <v>64</v>
      </c>
      <c r="H14841" s="22" t="s">
        <v>64</v>
      </c>
      <c r="I14841" s="26">
        <v>43511</v>
      </c>
      <c r="J14841" s="28" t="s">
        <v>52</v>
      </c>
      <c r="K14841" s="28" t="s">
        <v>52</v>
      </c>
      <c r="L14841" s="28" t="s">
        <v>52</v>
      </c>
      <c r="M14841" s="28" t="s">
        <v>52</v>
      </c>
      <c r="N14841" s="28" t="s">
        <v>52</v>
      </c>
    </row>
    <row r="14842" spans="1:14" hidden="1" outlineLevel="1" x14ac:dyDescent="0.2">
      <c r="A14842" s="23" t="str">
        <f>HYPERLINK("https://www.spark-marketing.ru/Card/Person/54697", "ГБОУ ДПО НИРО")</f>
        <v>ГБОУ ДПО НИРО</v>
      </c>
      <c r="B14842" s="24" t="s">
        <v>17093</v>
      </c>
      <c r="C14842" s="25">
        <v>1872183.36</v>
      </c>
      <c r="D14842" s="22" t="s">
        <v>17094</v>
      </c>
      <c r="E14842" s="22" t="s">
        <v>68</v>
      </c>
      <c r="F14842" s="23" t="str">
        <f>HYPERLINK("https://www.spark-marketing.ru/Card/Lot/67995545", "Оказание охранных услуг")</f>
        <v>Оказание охранных услуг</v>
      </c>
      <c r="G14842" s="22" t="s">
        <v>64</v>
      </c>
      <c r="H14842" s="22" t="s">
        <v>64</v>
      </c>
      <c r="I14842" s="26">
        <v>43511</v>
      </c>
      <c r="J14842" s="23" t="str">
        <f>HYPERLINK("https://www.spark-marketing.ru/Card/Person/154930", "ООО ЧОП ""КЛАСС БЕЗОПАСНОСТЬ""")</f>
        <v>ООО ЧОП "КЛАСС БЕЗОПАСНОСТЬ"</v>
      </c>
      <c r="K14842" s="24" t="s">
        <v>17095</v>
      </c>
      <c r="L14842" s="28" t="s">
        <v>52</v>
      </c>
      <c r="M14842" s="25">
        <v>1588750.19</v>
      </c>
      <c r="N14842" s="27">
        <v>0.1513917792752949</v>
      </c>
    </row>
    <row r="14843" spans="1:14" ht="12.75" hidden="1" outlineLevel="1" x14ac:dyDescent="0.2">
      <c r="A14843" s="23" t="str">
        <f>HYPERLINK("https://www.spark-marketing.ru/Card/Person/54697", "ГБОУ ДПО НИРО")</f>
        <v>ГБОУ ДПО НИРО</v>
      </c>
      <c r="B14843" s="24" t="s">
        <v>17093</v>
      </c>
      <c r="C14843" s="25">
        <v>1872183.36</v>
      </c>
      <c r="D14843" s="22" t="s">
        <v>17094</v>
      </c>
      <c r="E14843" s="22" t="s">
        <v>68</v>
      </c>
      <c r="F14843" s="23" t="str">
        <f>HYPERLINK("https://www.spark-marketing.ru/Card/Lot/67995545", "Оказание охранных услуг")</f>
        <v>Оказание охранных услуг</v>
      </c>
      <c r="G14843" s="22" t="s">
        <v>64</v>
      </c>
      <c r="H14843" s="22" t="s">
        <v>64</v>
      </c>
      <c r="I14843" s="26">
        <v>43511</v>
      </c>
      <c r="J14843" s="23" t="str">
        <f>HYPERLINK("https://www.spark-marketing.ru/Card/Person/54417", "ООО ""ОП ""СПЕЦ""")</f>
        <v>ООО "ОП "СПЕЦ"</v>
      </c>
      <c r="K14843" s="24" t="s">
        <v>14829</v>
      </c>
      <c r="L14843" s="22" t="s">
        <v>10</v>
      </c>
      <c r="M14843" s="25">
        <v>1579111.11</v>
      </c>
      <c r="N14843" s="27">
        <v>0.15654035617536949</v>
      </c>
    </row>
    <row r="14844" spans="1:14" x14ac:dyDescent="0.15">
      <c r="A14844" s="23" t="str">
        <f>HYPERLINK("https://www.spark-marketing.ru/Card/Person/81889", "АГЕНТСТВО ПО ОБЕСПЕЧЕНИЮ ДЕЯТЕЛЬНОСТИ МИРОВЫХ СУДЕЙ КРАСНОЯРСКОГО КРАЯ")</f>
        <v>АГЕНТСТВО ПО ОБЕСПЕЧЕНИЮ ДЕЯТЕЛЬНОСТИ МИРОВЫХ СУДЕЙ КРАСНОЯРСКОГО КРАЯ</v>
      </c>
      <c r="B14844" s="24" t="s">
        <v>17096</v>
      </c>
      <c r="C14844" s="25">
        <v>1443300</v>
      </c>
      <c r="D14844" s="22" t="s">
        <v>17097</v>
      </c>
      <c r="E14844" s="22" t="s">
        <v>376</v>
      </c>
      <c r="F14844" s="23" t="str">
        <f>HYPERLINK("https://www.spark-marketing.ru/Card/Lot/67988035", "ЭА 33517/19 «Поставка и установка стационарных металлоискателей 27.90.20.120 Приборы световой и звуковой сигнализации электрические, субъектами малого предпринимательства и социально-ориентированными некоммерческими организациями»")</f>
        <v>ЭА 33517/19 «Поставка и установка стационарных металлоискателей 27.90.20.120 Приборы световой и звуковой сигнализации электрические, субъектами малого предпринимательства и социально-ориентированными некоммерческими организациями»</v>
      </c>
      <c r="G14844" s="22" t="s">
        <v>640</v>
      </c>
      <c r="H14844" s="22" t="s">
        <v>1524</v>
      </c>
      <c r="I14844" s="26">
        <v>43511</v>
      </c>
      <c r="J14844" s="28" t="s">
        <v>52</v>
      </c>
      <c r="K14844" s="28" t="s">
        <v>52</v>
      </c>
      <c r="L14844" s="28" t="s">
        <v>52</v>
      </c>
      <c r="M14844" s="28" t="s">
        <v>52</v>
      </c>
      <c r="N14844" s="28" t="s">
        <v>52</v>
      </c>
    </row>
    <row r="14845" spans="1:14" ht="12.75" hidden="1" outlineLevel="1" x14ac:dyDescent="0.2">
      <c r="A14845" s="23" t="str">
        <f>HYPERLINK("https://www.spark-marketing.ru/Card/Person/81889", "АГЕНТСТВО ПО ОБЕСПЕЧЕНИЮ ДЕЯТЕЛЬНОСТИ МИРОВЫХ СУДЕЙ КРАСНОЯРСКОГО КРАЯ")</f>
        <v>АГЕНТСТВО ПО ОБЕСПЕЧЕНИЮ ДЕЯТЕЛЬНОСТИ МИРОВЫХ СУДЕЙ КРАСНОЯРСКОГО КРАЯ</v>
      </c>
      <c r="B14845" s="24" t="s">
        <v>17096</v>
      </c>
      <c r="C14845" s="25">
        <v>1443300</v>
      </c>
      <c r="D14845" s="22" t="s">
        <v>17097</v>
      </c>
      <c r="E14845" s="22" t="s">
        <v>376</v>
      </c>
      <c r="F14845" s="23" t="str">
        <f>HYPERLINK("https://www.spark-marketing.ru/Card/Lot/67988035", "ЭА 33517/19 «Поставка и установка стационарных металлоискателей 27.90.20.120 Приборы световой и звуковой сигнализации электрические, субъектами малого предпринимательства и социально-ориентированными некоммерческими организациями»")</f>
        <v>ЭА 33517/19 «Поставка и установка стационарных металлоискателей 27.90.20.120 Приборы световой и звуковой сигнализации электрические, субъектами малого предпринимательства и социально-ориентированными некоммерческими организациями»</v>
      </c>
      <c r="G14845" s="22" t="s">
        <v>640</v>
      </c>
      <c r="H14845" s="22" t="s">
        <v>1524</v>
      </c>
      <c r="I14845" s="26">
        <v>43511</v>
      </c>
      <c r="J14845" s="23" t="str">
        <f>HYPERLINK("https://www.spark-marketing.ru/Card/Person/4351952", "ООО ""СЕРВИСНЫЙ ЦЕНТР ЛНТ""")</f>
        <v>ООО "СЕРВИСНЫЙ ЦЕНТР ЛНТ"</v>
      </c>
      <c r="K14845" s="24" t="s">
        <v>17098</v>
      </c>
      <c r="L14845" s="22" t="s">
        <v>10</v>
      </c>
      <c r="M14845" s="25">
        <v>1089691.5</v>
      </c>
      <c r="N14845" s="27">
        <v>0.245</v>
      </c>
    </row>
    <row r="14846" spans="1:14" hidden="1" outlineLevel="1" x14ac:dyDescent="0.2">
      <c r="A14846" s="23" t="str">
        <f>HYPERLINK("https://www.spark-marketing.ru/Card/Person/81889", "АГЕНТСТВО ПО ОБЕСПЕЧЕНИЮ ДЕЯТЕЛЬНОСТИ МИРОВЫХ СУДЕЙ КРАСНОЯРСКОГО КРАЯ")</f>
        <v>АГЕНТСТВО ПО ОБЕСПЕЧЕНИЮ ДЕЯТЕЛЬНОСТИ МИРОВЫХ СУДЕЙ КРАСНОЯРСКОГО КРАЯ</v>
      </c>
      <c r="B14846" s="24" t="s">
        <v>17096</v>
      </c>
      <c r="C14846" s="25">
        <v>1443300</v>
      </c>
      <c r="D14846" s="22" t="s">
        <v>17097</v>
      </c>
      <c r="E14846" s="22" t="s">
        <v>376</v>
      </c>
      <c r="F14846" s="23" t="str">
        <f>HYPERLINK("https://www.spark-marketing.ru/Card/Lot/67988035", "ЭА 33517/19 «Поставка и установка стационарных металлоискателей 27.90.20.120 Приборы световой и звуковой сигнализации электрические, субъектами малого предпринимательства и социально-ориентированными некоммерческими организациями»")</f>
        <v>ЭА 33517/19 «Поставка и установка стационарных металлоискателей 27.90.20.120 Приборы световой и звуковой сигнализации электрические, субъектами малого предпринимательства и социально-ориентированными некоммерческими организациями»</v>
      </c>
      <c r="G14846" s="22" t="s">
        <v>640</v>
      </c>
      <c r="H14846" s="22" t="s">
        <v>1524</v>
      </c>
      <c r="I14846" s="26">
        <v>43511</v>
      </c>
      <c r="J14846" s="23" t="str">
        <f>HYPERLINK("https://www.spark-marketing.ru/Card/Person/6441250", "ООО ""ИМПУЛЬС""")</f>
        <v>ООО "ИМПУЛЬС"</v>
      </c>
      <c r="K14846" s="24" t="s">
        <v>2750</v>
      </c>
      <c r="L14846" s="28" t="s">
        <v>52</v>
      </c>
      <c r="M14846" s="25">
        <v>1096908</v>
      </c>
      <c r="N14846" s="27">
        <v>0.24</v>
      </c>
    </row>
    <row r="14847" spans="1:14" x14ac:dyDescent="0.15">
      <c r="A14847" s="23" t="str">
        <f t="shared" ref="A14847:A14856" si="776">HYPERLINK("https://www.spark-marketing.ru/Card/Person/4345935", "ДЕПАРТАМЕНТ СМОЛЕНСКОЙ ОБЛАСТИ ПО ЗДРАВООХРАНЕНИЮ")</f>
        <v>ДЕПАРТАМЕНТ СМОЛЕНСКОЙ ОБЛАСТИ ПО ЗДРАВООХРАНЕНИЮ</v>
      </c>
      <c r="B14847" s="24" t="s">
        <v>1449</v>
      </c>
      <c r="C14847" s="25">
        <v>598163.4</v>
      </c>
      <c r="D14847" s="22" t="s">
        <v>17099</v>
      </c>
      <c r="E14847" s="22" t="s">
        <v>53</v>
      </c>
      <c r="F14847" s="23" t="str">
        <f>HYPERLINK("https://www.spark-marketing.ru/Card/Lot/67999882", "№0366 - аэф/т Поставка лекарственных препаратов (Вандетаниб)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f>
        <v>№0366 - аэф/т Поставка лекарственных препаратов (Вандетаниб)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v>
      </c>
      <c r="G14847" s="22" t="s">
        <v>956</v>
      </c>
      <c r="H14847" s="22" t="s">
        <v>1451</v>
      </c>
      <c r="I14847" s="26">
        <v>43511</v>
      </c>
      <c r="J14847" s="28" t="s">
        <v>52</v>
      </c>
      <c r="K14847" s="28" t="s">
        <v>52</v>
      </c>
      <c r="L14847" s="28" t="s">
        <v>52</v>
      </c>
      <c r="M14847" s="28" t="s">
        <v>52</v>
      </c>
      <c r="N14847" s="28" t="s">
        <v>52</v>
      </c>
    </row>
    <row r="14848" spans="1:14" x14ac:dyDescent="0.15">
      <c r="A14848" s="23" t="str">
        <f t="shared" si="776"/>
        <v>ДЕПАРТАМЕНТ СМОЛЕНСКОЙ ОБЛАСТИ ПО ЗДРАВООХРАНЕНИЮ</v>
      </c>
      <c r="B14848" s="24" t="s">
        <v>1449</v>
      </c>
      <c r="C14848" s="25">
        <v>30140</v>
      </c>
      <c r="D14848" s="22" t="s">
        <v>17100</v>
      </c>
      <c r="E14848" s="22" t="s">
        <v>53</v>
      </c>
      <c r="F14848" s="23" t="str">
        <f>HYPERLINK("https://www.spark-marketing.ru/Card/Lot/67999908", "№0360 - аэф/т Поставка лекарственных препаратов (Ибупрофен)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рецепт...")</f>
        <v>№0360 - аэф/т Поставка лекарственных препаратов (Ибупрофен)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рецепт...</v>
      </c>
      <c r="G14848" s="22" t="s">
        <v>956</v>
      </c>
      <c r="H14848" s="22" t="s">
        <v>1451</v>
      </c>
      <c r="I14848" s="26">
        <v>43511</v>
      </c>
      <c r="J14848" s="28" t="s">
        <v>52</v>
      </c>
      <c r="K14848" s="28" t="s">
        <v>52</v>
      </c>
      <c r="L14848" s="28" t="s">
        <v>52</v>
      </c>
      <c r="M14848" s="28" t="s">
        <v>52</v>
      </c>
      <c r="N14848" s="28" t="s">
        <v>52</v>
      </c>
    </row>
    <row r="14849" spans="1:14" hidden="1" outlineLevel="1" x14ac:dyDescent="0.2">
      <c r="A14849" s="23" t="str">
        <f t="shared" si="776"/>
        <v>ДЕПАРТАМЕНТ СМОЛЕНСКОЙ ОБЛАСТИ ПО ЗДРАВООХРАНЕНИЮ</v>
      </c>
      <c r="B14849" s="24" t="s">
        <v>1449</v>
      </c>
      <c r="C14849" s="25">
        <v>30140</v>
      </c>
      <c r="D14849" s="22" t="s">
        <v>17100</v>
      </c>
      <c r="E14849" s="22" t="s">
        <v>53</v>
      </c>
      <c r="F14849" s="23" t="str">
        <f>HYPERLINK("https://www.spark-marketing.ru/Card/Lot/67999908", "№0360 - аэф/т Поставка лекарственных препаратов (Ибупрофен)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рецепт...")</f>
        <v>№0360 - аэф/т Поставка лекарственных препаратов (Ибупрофен)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рецепт...</v>
      </c>
      <c r="G14849" s="22" t="s">
        <v>956</v>
      </c>
      <c r="H14849" s="22" t="s">
        <v>1451</v>
      </c>
      <c r="I14849" s="26">
        <v>43511</v>
      </c>
      <c r="J14849" s="23" t="str">
        <f>HYPERLINK("https://www.spark-marketing.ru/Card/Person/4907096", "ООО ""ПРИБОРФАРМ""")</f>
        <v>ООО "ПРИБОРФАРМ"</v>
      </c>
      <c r="K14849" s="24" t="s">
        <v>2048</v>
      </c>
      <c r="L14849" s="28" t="s">
        <v>52</v>
      </c>
      <c r="M14849" s="25">
        <v>29687.9</v>
      </c>
      <c r="N14849" s="27">
        <v>1.4999999999999999E-2</v>
      </c>
    </row>
    <row r="14850" spans="1:14" ht="12.75" hidden="1" outlineLevel="1" x14ac:dyDescent="0.2">
      <c r="A14850" s="23" t="str">
        <f t="shared" si="776"/>
        <v>ДЕПАРТАМЕНТ СМОЛЕНСКОЙ ОБЛАСТИ ПО ЗДРАВООХРАНЕНИЮ</v>
      </c>
      <c r="B14850" s="24" t="s">
        <v>1449</v>
      </c>
      <c r="C14850" s="25">
        <v>30140</v>
      </c>
      <c r="D14850" s="22" t="s">
        <v>17100</v>
      </c>
      <c r="E14850" s="22" t="s">
        <v>53</v>
      </c>
      <c r="F14850" s="23" t="str">
        <f>HYPERLINK("https://www.spark-marketing.ru/Card/Lot/67999908", "№0360 - аэф/т Поставка лекарственных препаратов (Ибупрофен)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рецепт...")</f>
        <v>№0360 - аэф/т Поставка лекарственных препаратов (Ибупрофен)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рецепт...</v>
      </c>
      <c r="G14850" s="22" t="s">
        <v>956</v>
      </c>
      <c r="H14850" s="22" t="s">
        <v>1451</v>
      </c>
      <c r="I14850" s="26">
        <v>43511</v>
      </c>
      <c r="J14850" s="23" t="str">
        <f>HYPERLINK("https://www.spark-marketing.ru/Card/Person/6440681", "ООО ""МИД""")</f>
        <v>ООО "МИД"</v>
      </c>
      <c r="K14850" s="24" t="s">
        <v>7933</v>
      </c>
      <c r="L14850" s="22" t="s">
        <v>10</v>
      </c>
      <c r="M14850" s="25">
        <v>27830</v>
      </c>
      <c r="N14850" s="27">
        <v>7.6642335766423361E-2</v>
      </c>
    </row>
    <row r="14851" spans="1:14" hidden="1" outlineLevel="1" x14ac:dyDescent="0.2">
      <c r="A14851" s="23" t="str">
        <f t="shared" si="776"/>
        <v>ДЕПАРТАМЕНТ СМОЛЕНСКОЙ ОБЛАСТИ ПО ЗДРАВООХРАНЕНИЮ</v>
      </c>
      <c r="B14851" s="24" t="s">
        <v>1449</v>
      </c>
      <c r="C14851" s="25">
        <v>30140</v>
      </c>
      <c r="D14851" s="22" t="s">
        <v>17100</v>
      </c>
      <c r="E14851" s="22" t="s">
        <v>53</v>
      </c>
      <c r="F14851" s="23" t="str">
        <f>HYPERLINK("https://www.spark-marketing.ru/Card/Lot/67999908", "№0360 - аэф/т Поставка лекарственных препаратов (Ибупрофен)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рецепт...")</f>
        <v>№0360 - аэф/т Поставка лекарственных препаратов (Ибупрофен)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рецепт...</v>
      </c>
      <c r="G14851" s="22" t="s">
        <v>956</v>
      </c>
      <c r="H14851" s="22" t="s">
        <v>1451</v>
      </c>
      <c r="I14851" s="26">
        <v>43511</v>
      </c>
      <c r="J14851" s="23" t="str">
        <f>HYPERLINK("https://www.spark-marketing.ru/Card/Person/503084", "ООО ""ФАРМ-ИННОВАЦИИ""")</f>
        <v>ООО "ФАРМ-ИННОВАЦИИ"</v>
      </c>
      <c r="K14851" s="24" t="s">
        <v>2054</v>
      </c>
      <c r="L14851" s="28" t="s">
        <v>52</v>
      </c>
      <c r="M14851" s="25">
        <v>28174.3</v>
      </c>
      <c r="N14851" s="27">
        <v>6.5218978102189781E-2</v>
      </c>
    </row>
    <row r="14852" spans="1:14" x14ac:dyDescent="0.15">
      <c r="A14852" s="23" t="str">
        <f t="shared" si="776"/>
        <v>ДЕПАРТАМЕНТ СМОЛЕНСКОЙ ОБЛАСТИ ПО ЗДРАВООХРАНЕНИЮ</v>
      </c>
      <c r="B14852" s="24" t="s">
        <v>1449</v>
      </c>
      <c r="C14852" s="25">
        <v>136485</v>
      </c>
      <c r="D14852" s="22" t="s">
        <v>17101</v>
      </c>
      <c r="E14852" s="22" t="s">
        <v>53</v>
      </c>
      <c r="F14852" s="23" t="str">
        <f>HYPERLINK("https://www.spark-marketing.ru/Card/Lot/67999880", "№0364 - аэф/т Поставка лекарственных препаратов (Окскарбазепин)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f>
        <v>№0364 - аэф/т Поставка лекарственных препаратов (Окскарбазепин)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v>
      </c>
      <c r="G14852" s="22" t="s">
        <v>956</v>
      </c>
      <c r="H14852" s="22" t="s">
        <v>1451</v>
      </c>
      <c r="I14852" s="26">
        <v>43511</v>
      </c>
      <c r="J14852" s="28" t="s">
        <v>52</v>
      </c>
      <c r="K14852" s="28" t="s">
        <v>52</v>
      </c>
      <c r="L14852" s="28" t="s">
        <v>52</v>
      </c>
      <c r="M14852" s="28" t="s">
        <v>52</v>
      </c>
      <c r="N14852" s="28" t="s">
        <v>52</v>
      </c>
    </row>
    <row r="14853" spans="1:14" hidden="1" outlineLevel="1" x14ac:dyDescent="0.2">
      <c r="A14853" s="23" t="str">
        <f t="shared" si="776"/>
        <v>ДЕПАРТАМЕНТ СМОЛЕНСКОЙ ОБЛАСТИ ПО ЗДРАВООХРАНЕНИЮ</v>
      </c>
      <c r="B14853" s="24" t="s">
        <v>1449</v>
      </c>
      <c r="C14853" s="25">
        <v>136485</v>
      </c>
      <c r="D14853" s="22" t="s">
        <v>17101</v>
      </c>
      <c r="E14853" s="22" t="s">
        <v>53</v>
      </c>
      <c r="F14853" s="23" t="str">
        <f>HYPERLINK("https://www.spark-marketing.ru/Card/Lot/67999880", "№0364 - аэф/т Поставка лекарственных препаратов (Окскарбазепин)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f>
        <v>№0364 - аэф/т Поставка лекарственных препаратов (Окскарбазепин)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v>
      </c>
      <c r="G14853" s="22" t="s">
        <v>956</v>
      </c>
      <c r="H14853" s="22" t="s">
        <v>1451</v>
      </c>
      <c r="I14853" s="26">
        <v>43511</v>
      </c>
      <c r="J14853" s="23" t="str">
        <f>HYPERLINK("https://www.spark-marketing.ru/Card/Person/4896101", "ООО ""НПО МЕДИКА""")</f>
        <v>ООО "НПО МЕДИКА"</v>
      </c>
      <c r="K14853" s="24" t="s">
        <v>17102</v>
      </c>
      <c r="L14853" s="28" t="s">
        <v>52</v>
      </c>
      <c r="M14853" s="25">
        <v>122836.45</v>
      </c>
      <c r="N14853" s="27">
        <v>0.10000036634062351</v>
      </c>
    </row>
    <row r="14854" spans="1:14" hidden="1" outlineLevel="1" x14ac:dyDescent="0.2">
      <c r="A14854" s="23" t="str">
        <f t="shared" si="776"/>
        <v>ДЕПАРТАМЕНТ СМОЛЕНСКОЙ ОБЛАСТИ ПО ЗДРАВООХРАНЕНИЮ</v>
      </c>
      <c r="B14854" s="24" t="s">
        <v>1449</v>
      </c>
      <c r="C14854" s="25">
        <v>136485</v>
      </c>
      <c r="D14854" s="22" t="s">
        <v>17101</v>
      </c>
      <c r="E14854" s="22" t="s">
        <v>53</v>
      </c>
      <c r="F14854" s="23" t="str">
        <f>HYPERLINK("https://www.spark-marketing.ru/Card/Lot/67999880", "№0364 - аэф/т Поставка лекарственных препаратов (Окскарбазепин)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f>
        <v>№0364 - аэф/т Поставка лекарственных препаратов (Окскарбазепин)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v>
      </c>
      <c r="G14854" s="22" t="s">
        <v>956</v>
      </c>
      <c r="H14854" s="22" t="s">
        <v>1451</v>
      </c>
      <c r="I14854" s="26">
        <v>43511</v>
      </c>
      <c r="J14854" s="23" t="str">
        <f>HYPERLINK("https://www.spark-marketing.ru/Card/Person/6440681", "ООО ""МИД""")</f>
        <v>ООО "МИД"</v>
      </c>
      <c r="K14854" s="24" t="s">
        <v>7933</v>
      </c>
      <c r="L14854" s="28" t="s">
        <v>52</v>
      </c>
      <c r="M14854" s="25">
        <v>131025.56</v>
      </c>
      <c r="N14854" s="27">
        <v>4.0000293072498812E-2</v>
      </c>
    </row>
    <row r="14855" spans="1:14" hidden="1" outlineLevel="1" x14ac:dyDescent="0.2">
      <c r="A14855" s="23" t="str">
        <f t="shared" si="776"/>
        <v>ДЕПАРТАМЕНТ СМОЛЕНСКОЙ ОБЛАСТИ ПО ЗДРАВООХРАНЕНИЮ</v>
      </c>
      <c r="B14855" s="24" t="s">
        <v>1449</v>
      </c>
      <c r="C14855" s="25">
        <v>136485</v>
      </c>
      <c r="D14855" s="22" t="s">
        <v>17101</v>
      </c>
      <c r="E14855" s="22" t="s">
        <v>53</v>
      </c>
      <c r="F14855" s="23" t="str">
        <f>HYPERLINK("https://www.spark-marketing.ru/Card/Lot/67999880", "№0364 - аэф/т Поставка лекарственных препаратов (Окскарбазепин)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f>
        <v>№0364 - аэф/т Поставка лекарственных препаратов (Окскарбазепин)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v>
      </c>
      <c r="G14855" s="22" t="s">
        <v>956</v>
      </c>
      <c r="H14855" s="22" t="s">
        <v>1451</v>
      </c>
      <c r="I14855" s="26">
        <v>43511</v>
      </c>
      <c r="J14855" s="23" t="str">
        <f>HYPERLINK("https://www.spark-marketing.ru/Card/Person/18931", "ООО ""ЮНИЛЕК""")</f>
        <v>ООО "ЮНИЛЕК"</v>
      </c>
      <c r="K14855" s="24" t="s">
        <v>7158</v>
      </c>
      <c r="L14855" s="28" t="s">
        <v>52</v>
      </c>
      <c r="M14855" s="25">
        <v>111235.14</v>
      </c>
      <c r="N14855" s="27">
        <v>0.18500098911968349</v>
      </c>
    </row>
    <row r="14856" spans="1:14" ht="12.75" hidden="1" outlineLevel="1" x14ac:dyDescent="0.2">
      <c r="A14856" s="23" t="str">
        <f t="shared" si="776"/>
        <v>ДЕПАРТАМЕНТ СМОЛЕНСКОЙ ОБЛАСТИ ПО ЗДРАВООХРАНЕНИЮ</v>
      </c>
      <c r="B14856" s="24" t="s">
        <v>1449</v>
      </c>
      <c r="C14856" s="25">
        <v>136485</v>
      </c>
      <c r="D14856" s="22" t="s">
        <v>17101</v>
      </c>
      <c r="E14856" s="22" t="s">
        <v>53</v>
      </c>
      <c r="F14856" s="23" t="str">
        <f>HYPERLINK("https://www.spark-marketing.ru/Card/Lot/67999880", "№0364 - аэф/т Поставка лекарственных препаратов (Окскарбазепин)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f>
        <v>№0364 - аэф/т Поставка лекарственных препаратов (Окскарбазепин) для обеспечения на территории Смоленской области граждан, в соответствии с порядком обеспечения отдельных групп населения Смоленской области лекарственными средствами, отпускаемыми по ре...</v>
      </c>
      <c r="G14856" s="22" t="s">
        <v>956</v>
      </c>
      <c r="H14856" s="22" t="s">
        <v>1451</v>
      </c>
      <c r="I14856" s="26">
        <v>43511</v>
      </c>
      <c r="J14856" s="23" t="str">
        <f>HYPERLINK("https://www.spark-marketing.ru/Card/Person/6492462", "ООО ""ОН.К""")</f>
        <v>ООО "ОН.К"</v>
      </c>
      <c r="K14856" s="24" t="s">
        <v>7139</v>
      </c>
      <c r="L14856" s="22" t="s">
        <v>10</v>
      </c>
      <c r="M14856" s="25">
        <v>110552.71</v>
      </c>
      <c r="N14856" s="27">
        <v>0.19000102575374583</v>
      </c>
    </row>
    <row r="14857" spans="1:14" x14ac:dyDescent="0.15">
      <c r="A14857" s="23" t="str">
        <f>HYPERLINK("https://www.spark-marketing.ru/Card/Person/4348034", "МКУ ""ДМХ УМР""")</f>
        <v>МКУ "ДМХ УМР"</v>
      </c>
      <c r="B14857" s="24" t="s">
        <v>12186</v>
      </c>
      <c r="C14857" s="25">
        <v>814000</v>
      </c>
      <c r="D14857" s="22" t="s">
        <v>17103</v>
      </c>
      <c r="E14857" s="22" t="s">
        <v>52</v>
      </c>
      <c r="F14857" s="23" t="str">
        <f>HYPERLINK("https://www.spark-marketing.ru/Card/Lot/67989723", "услуги по охране объекта незавершённого строительства: «Гостиница на биатлонном центре в с. Уват» и прилегающей территории, расположенного по адресу: Тюменская область, Уватский район, с. Уват, ул. Спортивная, д. 15а.")</f>
        <v>услуги по охране объекта незавершённого строительства: «Гостиница на биатлонном центре в с. Уват» и прилегающей территории, расположенного по адресу: Тюменская область, Уватский район, с. Уват, ул. Спортивная, д. 15а.</v>
      </c>
      <c r="G14857" s="22" t="s">
        <v>893</v>
      </c>
      <c r="H14857" s="22" t="s">
        <v>12188</v>
      </c>
      <c r="I14857" s="26">
        <v>43511</v>
      </c>
      <c r="J14857" s="23" t="str">
        <f>HYPERLINK("https://www.spark-marketing.ru/Card/Person/4426051", "ООО ""ЧОП ""МЕДВЕДЬ""")</f>
        <v>ООО "ЧОП "МЕДВЕДЬ"</v>
      </c>
      <c r="K14857" s="24" t="s">
        <v>12189</v>
      </c>
      <c r="L14857" s="28" t="s">
        <v>52</v>
      </c>
      <c r="M14857" s="28" t="s">
        <v>52</v>
      </c>
      <c r="N14857" s="28" t="s">
        <v>52</v>
      </c>
    </row>
    <row r="14858" spans="1:14" x14ac:dyDescent="0.15">
      <c r="A14858" s="23" t="str">
        <f>HYPERLINK("https://www.spark-marketing.ru/Card/Person/124019", "АО ""НПО ИТ""")</f>
        <v>АО "НПО ИТ"</v>
      </c>
      <c r="B14858" s="24" t="s">
        <v>17104</v>
      </c>
      <c r="C14858" s="25">
        <v>105755.1</v>
      </c>
      <c r="D14858" s="22" t="s">
        <v>17105</v>
      </c>
      <c r="E14858" s="22" t="s">
        <v>144</v>
      </c>
      <c r="F14858" s="23" t="str">
        <f>HYPERLINK("https://www.spark-marketing.ru/Card/Lot/67966781", "Оказание охранных услуг")</f>
        <v>Оказание охранных услуг</v>
      </c>
      <c r="G14858" s="22" t="s">
        <v>7460</v>
      </c>
      <c r="H14858" s="22" t="s">
        <v>7460</v>
      </c>
      <c r="I14858" s="26">
        <v>43510.7960648148</v>
      </c>
      <c r="J14858" s="28" t="s">
        <v>52</v>
      </c>
      <c r="K14858" s="28" t="s">
        <v>52</v>
      </c>
      <c r="L14858" s="28" t="s">
        <v>52</v>
      </c>
      <c r="M14858" s="28" t="s">
        <v>52</v>
      </c>
      <c r="N14858" s="28" t="s">
        <v>52</v>
      </c>
    </row>
    <row r="14859" spans="1:14" x14ac:dyDescent="0.15">
      <c r="A14859" s="23" t="str">
        <f>HYPERLINK("https://www.spark-marketing.ru/Card/Person/114192", "МБДОУ ЦРР - ДЕТСКИЙ САД №14 ""ВЕСЁЛЫЕ ЗВОНОЧКИ""")</f>
        <v>МБДОУ ЦРР - ДЕТСКИЙ САД №14 "ВЕСЁЛЫЕ ЗВОНОЧКИ"</v>
      </c>
      <c r="B14859" s="24" t="s">
        <v>17106</v>
      </c>
      <c r="C14859" s="25">
        <v>15000</v>
      </c>
      <c r="D14859" s="22" t="s">
        <v>17107</v>
      </c>
      <c r="E14859" s="22" t="s">
        <v>103</v>
      </c>
      <c r="F14859" s="23" t="str">
        <f>HYPERLINK("https://www.spark-marketing.ru/Card/Lot/67967129", "Оказание услуг по техническому обслуживанию систем видеонаблюдения и видеорегистрации (март-декабрь 2019)")</f>
        <v>Оказание услуг по техническому обслуживанию систем видеонаблюдения и видеорегистрации (март-декабрь 2019)</v>
      </c>
      <c r="G14859" s="22" t="s">
        <v>50</v>
      </c>
      <c r="H14859" s="22" t="s">
        <v>7244</v>
      </c>
      <c r="I14859" s="26">
        <v>43510.805300925902</v>
      </c>
      <c r="J14859" s="28" t="s">
        <v>52</v>
      </c>
      <c r="K14859" s="28" t="s">
        <v>52</v>
      </c>
      <c r="L14859" s="28" t="s">
        <v>52</v>
      </c>
      <c r="M14859" s="28" t="s">
        <v>52</v>
      </c>
      <c r="N14859" s="28" t="s">
        <v>52</v>
      </c>
    </row>
    <row r="14860" spans="1:14" ht="12.75" x14ac:dyDescent="0.2">
      <c r="A14860" s="23" t="str">
        <f>HYPERLINK("https://www.spark-marketing.ru/Card/Person/4354951", "АО ""ЭЛЕКТРОСЕТЬСЕРВИС ЕНЭС""")</f>
        <v>АО "ЭЛЕКТРОСЕТЬСЕРВИС ЕНЭС"</v>
      </c>
      <c r="B14860" s="24" t="s">
        <v>2302</v>
      </c>
      <c r="C14860" s="25">
        <v>3456000</v>
      </c>
      <c r="D14860" s="22" t="s">
        <v>17108</v>
      </c>
      <c r="E14860" s="22" t="s">
        <v>363</v>
      </c>
      <c r="F14860" s="23" t="str">
        <f>HYPERLINK("https://www.spark-marketing.ru/Card/Lot/67965724", "Оказание услуг по охране объекта ""Офис Московского обособленного структурного подразделения исполнительного аппарата АО ""Электросетьсервис ЕНЭС""""")</f>
        <v>Оказание услуг по охране объекта "Офис Московского обособленного структурного подразделения исполнительного аппарата АО "Электросетьсервис ЕНЭС""</v>
      </c>
      <c r="G14860" s="22" t="s">
        <v>50</v>
      </c>
      <c r="H14860" s="22" t="s">
        <v>50</v>
      </c>
      <c r="I14860" s="26">
        <v>43510.738032407397</v>
      </c>
      <c r="J14860" s="23" t="str">
        <f>HYPERLINK("https://www.spark-marketing.ru/Card/Person/930814", "ООО ""ЧОО ""ВИТЯЗЬ""")</f>
        <v>ООО "ЧОО "ВИТЯЗЬ"</v>
      </c>
      <c r="K14860" s="24" t="s">
        <v>10734</v>
      </c>
      <c r="L14860" s="22" t="s">
        <v>10</v>
      </c>
      <c r="M14860" s="25">
        <v>2880000</v>
      </c>
      <c r="N14860" s="27">
        <v>0.16666666666666666</v>
      </c>
    </row>
    <row r="14861" spans="1:14" x14ac:dyDescent="0.15">
      <c r="A14861" s="23" t="str">
        <f>HYPERLINK("https://www.spark-marketing.ru/Card/Person/137450", "МБУК ""ДЦМБ""")</f>
        <v>МБУК "ДЦМБ"</v>
      </c>
      <c r="B14861" s="24" t="s">
        <v>3744</v>
      </c>
      <c r="C14861" s="25">
        <v>24000</v>
      </c>
      <c r="D14861" s="22" t="s">
        <v>17109</v>
      </c>
      <c r="E14861" s="22" t="s">
        <v>103</v>
      </c>
      <c r="F14861" s="23" t="str">
        <f>HYPERLINK("https://www.spark-marketing.ru/Card/Lot/67965123", "Оказание по техническому обслуживанию системы видеонаблюдения для нужд Дмитровской городской библиотеки православной культуры - филиала")</f>
        <v>Оказание по техническому обслуживанию системы видеонаблюдения для нужд Дмитровской городской библиотеки православной культуры - филиала</v>
      </c>
      <c r="G14861" s="22" t="s">
        <v>50</v>
      </c>
      <c r="H14861" s="22" t="s">
        <v>504</v>
      </c>
      <c r="I14861" s="26">
        <v>43510.722210648099</v>
      </c>
      <c r="J14861" s="28" t="s">
        <v>52</v>
      </c>
      <c r="K14861" s="28" t="s">
        <v>52</v>
      </c>
      <c r="L14861" s="28" t="s">
        <v>52</v>
      </c>
      <c r="M14861" s="28" t="s">
        <v>52</v>
      </c>
      <c r="N14861" s="28" t="s">
        <v>52</v>
      </c>
    </row>
    <row r="14862" spans="1:14" x14ac:dyDescent="0.15">
      <c r="A14862" s="23" t="str">
        <f>HYPERLINK("https://www.spark-marketing.ru/Card/Person/137450", "МБУК ""ДЦМБ""")</f>
        <v>МБУК "ДЦМБ"</v>
      </c>
      <c r="B14862" s="24" t="s">
        <v>3744</v>
      </c>
      <c r="C14862" s="25">
        <v>24000</v>
      </c>
      <c r="D14862" s="22" t="s">
        <v>17110</v>
      </c>
      <c r="E14862" s="22" t="s">
        <v>103</v>
      </c>
      <c r="F14862" s="23" t="str">
        <f>HYPERLINK("https://www.spark-marketing.ru/Card/Lot/67965121", "Оказание услуг по техническому обслуживанию системы видеонаблюдения для нужд МБУК «ДЦМБ»")</f>
        <v>Оказание услуг по техническому обслуживанию системы видеонаблюдения для нужд МБУК «ДЦМБ»</v>
      </c>
      <c r="G14862" s="22" t="s">
        <v>50</v>
      </c>
      <c r="H14862" s="22" t="s">
        <v>504</v>
      </c>
      <c r="I14862" s="26">
        <v>43510.722199074102</v>
      </c>
      <c r="J14862" s="28" t="s">
        <v>52</v>
      </c>
      <c r="K14862" s="28" t="s">
        <v>52</v>
      </c>
      <c r="L14862" s="28" t="s">
        <v>52</v>
      </c>
      <c r="M14862" s="28" t="s">
        <v>52</v>
      </c>
      <c r="N14862" s="28" t="s">
        <v>52</v>
      </c>
    </row>
    <row r="14863" spans="1:14" x14ac:dyDescent="0.15">
      <c r="A14863" s="23" t="str">
        <f>HYPERLINK("https://www.spark-marketing.ru/Card/Person/398475", "АО ""СПБ НИИИ ""ЭИЗ""")</f>
        <v>АО "СПБ НИИИ "ЭИЗ"</v>
      </c>
      <c r="B14863" s="24" t="s">
        <v>17111</v>
      </c>
      <c r="C14863" s="28" t="s">
        <v>52</v>
      </c>
      <c r="D14863" s="22" t="s">
        <v>17112</v>
      </c>
      <c r="E14863" s="22" t="s">
        <v>53</v>
      </c>
      <c r="F14863" s="23" t="str">
        <f>HYPERLINK("https://www.spark-marketing.ru/Card/Lot/67966483", "Охранные услуги по охране имущества, зданий и прилегающей к ним территории (1187495)")</f>
        <v>Охранные услуги по охране имущества, зданий и прилегающей к ним территории (1187495)</v>
      </c>
      <c r="G14863" s="22" t="s">
        <v>89</v>
      </c>
      <c r="H14863" s="22" t="s">
        <v>89</v>
      </c>
      <c r="I14863" s="26">
        <v>43510.704872685201</v>
      </c>
      <c r="J14863" s="28" t="s">
        <v>52</v>
      </c>
      <c r="K14863" s="28" t="s">
        <v>52</v>
      </c>
      <c r="L14863" s="28" t="s">
        <v>52</v>
      </c>
      <c r="M14863" s="28" t="s">
        <v>52</v>
      </c>
      <c r="N14863" s="28" t="s">
        <v>52</v>
      </c>
    </row>
    <row r="14864" spans="1:14" x14ac:dyDescent="0.15">
      <c r="A14864" s="23" t="str">
        <f>HYPERLINK("https://www.spark-marketing.ru/Card/Person/1049022", "МБУ ДК ""СОВРЕМЕННИК""")</f>
        <v>МБУ ДК "СОВРЕМЕННИК"</v>
      </c>
      <c r="B14864" s="24" t="s">
        <v>17113</v>
      </c>
      <c r="C14864" s="25">
        <v>30000</v>
      </c>
      <c r="D14864" s="22" t="s">
        <v>17114</v>
      </c>
      <c r="E14864" s="22" t="s">
        <v>103</v>
      </c>
      <c r="F14864" s="23" t="str">
        <f>HYPERLINK("https://www.spark-marketing.ru/Card/Lot/67962465", "Обслуживание системы видеонаблюдения")</f>
        <v>Обслуживание системы видеонаблюдения</v>
      </c>
      <c r="G14864" s="22" t="s">
        <v>50</v>
      </c>
      <c r="H14864" s="22" t="s">
        <v>504</v>
      </c>
      <c r="I14864" s="26">
        <v>43510.690393518496</v>
      </c>
      <c r="J14864" s="28" t="s">
        <v>52</v>
      </c>
      <c r="K14864" s="28" t="s">
        <v>52</v>
      </c>
      <c r="L14864" s="28" t="s">
        <v>52</v>
      </c>
      <c r="M14864" s="28" t="s">
        <v>52</v>
      </c>
      <c r="N14864" s="28" t="s">
        <v>52</v>
      </c>
    </row>
    <row r="14865" spans="1:14" x14ac:dyDescent="0.15">
      <c r="A14865" s="23" t="str">
        <f>HYPERLINK("https://www.spark-marketing.ru/Card/Person/95245", "ОАО ""РЖД""")</f>
        <v>ОАО "РЖД"</v>
      </c>
      <c r="B14865" s="24" t="s">
        <v>163</v>
      </c>
      <c r="C14865" s="25">
        <v>3545856</v>
      </c>
      <c r="D14865" s="22" t="s">
        <v>17115</v>
      </c>
      <c r="E14865" s="22" t="s">
        <v>144</v>
      </c>
      <c r="F14865" s="23" t="str">
        <f>HYPERLINK("https://www.spark-marketing.ru/Card/Lot/67963114", "На право заключения договора по охране объектов Калининградской ДПО")</f>
        <v>На право заключения договора по охране объектов Калининградской ДПО</v>
      </c>
      <c r="G14865" s="22" t="s">
        <v>247</v>
      </c>
      <c r="H14865" s="22" t="s">
        <v>247</v>
      </c>
      <c r="I14865" s="26">
        <v>43510.677939814799</v>
      </c>
      <c r="J14865" s="23" t="str">
        <f>HYPERLINK("https://www.spark-marketing.ru/Card/Person/1302420", "ООО ""ЧОП ""ЗАЩИТА""")</f>
        <v>ООО "ЧОП "ЗАЩИТА"</v>
      </c>
      <c r="K14865" s="24" t="s">
        <v>17116</v>
      </c>
      <c r="L14865" s="28" t="s">
        <v>52</v>
      </c>
      <c r="M14865" s="28" t="s">
        <v>52</v>
      </c>
      <c r="N14865" s="28" t="s">
        <v>52</v>
      </c>
    </row>
    <row r="14866" spans="1:14" x14ac:dyDescent="0.15">
      <c r="A14866" s="23" t="str">
        <f>HYPERLINK("https://www.spark-marketing.ru/Card/Person/1683079", "ООО ""ЧОП ""КЕННАРД""")</f>
        <v>ООО "ЧОП "КЕННАРД"</v>
      </c>
      <c r="B14866" s="24" t="s">
        <v>1949</v>
      </c>
      <c r="C14866" s="25">
        <v>604576.27</v>
      </c>
      <c r="D14866" s="22" t="s">
        <v>17117</v>
      </c>
      <c r="E14866" s="22" t="s">
        <v>53</v>
      </c>
      <c r="F14866" s="23" t="str">
        <f>HYPERLINK("https://www.spark-marketing.ru/Card/Lot/67973532", "Автомобиль Chevrolet Niva 1.7 МТ 4WD Бензиновый 80л.с. Комплектация L (без кондиционера), Цвет - кварц. Дополнительное оборудование с установкой: Сигнализация с автозапуском, Комплект зимней резины с дисками, Комплект ковров салон+багажник, Пакет ауд...")</f>
        <v>Автомобиль Chevrolet Niva 1.7 МТ 4WD Бензиновый 80л.с. Комплектация L (без кондиционера), Цвет - кварц. Дополнительное оборудование с установкой: Сигнализация с автозапуском, Комплект зимней резины с дисками, Комплект ковров салон+багажник, Пакет ауд...</v>
      </c>
      <c r="G14866" s="22" t="s">
        <v>204</v>
      </c>
      <c r="H14866" s="22" t="s">
        <v>303</v>
      </c>
      <c r="I14866" s="26">
        <v>43510.686030092598</v>
      </c>
      <c r="J14866" s="28" t="s">
        <v>52</v>
      </c>
      <c r="K14866" s="28" t="s">
        <v>52</v>
      </c>
      <c r="L14866" s="28" t="s">
        <v>52</v>
      </c>
      <c r="M14866" s="28" t="s">
        <v>52</v>
      </c>
      <c r="N14866" s="28" t="s">
        <v>52</v>
      </c>
    </row>
    <row r="14867" spans="1:14" x14ac:dyDescent="0.15">
      <c r="A14867" s="23" t="str">
        <f>HYPERLINK("https://www.spark-marketing.ru/Card/Person/71749", "МБОУ СОШ № 31")</f>
        <v>МБОУ СОШ № 31</v>
      </c>
      <c r="B14867" s="24" t="s">
        <v>17118</v>
      </c>
      <c r="C14867" s="25">
        <v>95500</v>
      </c>
      <c r="D14867" s="22" t="s">
        <v>17119</v>
      </c>
      <c r="E14867" s="22" t="s">
        <v>107</v>
      </c>
      <c r="F14867" s="23" t="str">
        <f>HYPERLINK("https://www.spark-marketing.ru/Card/Lot/67962484", "ТО камер для ЕГЭ")</f>
        <v>ТО камер для ЕГЭ</v>
      </c>
      <c r="G14867" s="22" t="s">
        <v>50</v>
      </c>
      <c r="H14867" s="22" t="s">
        <v>323</v>
      </c>
      <c r="I14867" s="26">
        <v>43510.701203703698</v>
      </c>
      <c r="J14867" s="28" t="s">
        <v>52</v>
      </c>
      <c r="K14867" s="28" t="s">
        <v>52</v>
      </c>
      <c r="L14867" s="28" t="s">
        <v>52</v>
      </c>
      <c r="M14867" s="28" t="s">
        <v>52</v>
      </c>
      <c r="N14867" s="28" t="s">
        <v>52</v>
      </c>
    </row>
    <row r="14868" spans="1:14" x14ac:dyDescent="0.15">
      <c r="A14868" s="23" t="str">
        <f>HYPERLINK("https://www.spark-marketing.ru/Card/Person/398475", "АО ""СПБ НИИИ ""ЭИЗ""")</f>
        <v>АО "СПБ НИИИ "ЭИЗ"</v>
      </c>
      <c r="B14868" s="24" t="s">
        <v>17111</v>
      </c>
      <c r="C14868" s="25">
        <v>0</v>
      </c>
      <c r="D14868" s="22" t="s">
        <v>17120</v>
      </c>
      <c r="E14868" s="22" t="s">
        <v>53</v>
      </c>
      <c r="F14868" s="23" t="str">
        <f>HYPERLINK("https://www.spark-marketing.ru/Card/Lot/67966299", "мониторинг цен в электронной форме на Охранные услуги по охране имущества, зданий и прилегающей к ним территории")</f>
        <v>мониторинг цен в электронной форме на Охранные услуги по охране имущества, зданий и прилегающей к ним территории</v>
      </c>
      <c r="G14868" s="22" t="s">
        <v>89</v>
      </c>
      <c r="H14868" s="22" t="s">
        <v>89</v>
      </c>
      <c r="I14868" s="26">
        <v>43510.680787037003</v>
      </c>
      <c r="J14868" s="28" t="s">
        <v>52</v>
      </c>
      <c r="K14868" s="28" t="s">
        <v>52</v>
      </c>
      <c r="L14868" s="28" t="s">
        <v>52</v>
      </c>
      <c r="M14868" s="28" t="s">
        <v>52</v>
      </c>
      <c r="N14868" s="28" t="s">
        <v>52</v>
      </c>
    </row>
    <row r="14869" spans="1:14" x14ac:dyDescent="0.15">
      <c r="A14869" s="23" t="str">
        <f>HYPERLINK("https://www.spark-marketing.ru/Card/Person/115616", "МБДОУ Д/С №45 ""СКАЗКА""")</f>
        <v>МБДОУ Д/С №45 "СКАЗКА"</v>
      </c>
      <c r="B14869" s="24" t="s">
        <v>17121</v>
      </c>
      <c r="C14869" s="25">
        <v>132000</v>
      </c>
      <c r="D14869" s="22" t="s">
        <v>17122</v>
      </c>
      <c r="E14869" s="22" t="s">
        <v>103</v>
      </c>
      <c r="F14869" s="23" t="str">
        <f>HYPERLINK("https://www.spark-marketing.ru/Card/Lot/67962539", "Оказание услуг технического обслуживания системы видеонаблюдения и системы домофонов")</f>
        <v>Оказание услуг технического обслуживания системы видеонаблюдения и системы домофонов</v>
      </c>
      <c r="G14869" s="22" t="s">
        <v>50</v>
      </c>
      <c r="H14869" s="22" t="s">
        <v>2391</v>
      </c>
      <c r="I14869" s="26">
        <v>43510.670428240701</v>
      </c>
      <c r="J14869" s="28" t="s">
        <v>52</v>
      </c>
      <c r="K14869" s="28" t="s">
        <v>52</v>
      </c>
      <c r="L14869" s="28" t="s">
        <v>52</v>
      </c>
      <c r="M14869" s="28" t="s">
        <v>52</v>
      </c>
      <c r="N14869" s="28" t="s">
        <v>52</v>
      </c>
    </row>
    <row r="14870" spans="1:14" x14ac:dyDescent="0.15">
      <c r="A14870" s="23" t="str">
        <f>HYPERLINK("https://www.spark-marketing.ru/Card/Person/92361", "ГБУСО МО ""КРАСНОГОРСКИЙ ЦСО""")</f>
        <v>ГБУСО МО "КРАСНОГОРСКИЙ ЦСО"</v>
      </c>
      <c r="B14870" s="24" t="s">
        <v>17123</v>
      </c>
      <c r="C14870" s="25">
        <v>48960</v>
      </c>
      <c r="D14870" s="22" t="s">
        <v>17124</v>
      </c>
      <c r="E14870" s="22" t="s">
        <v>107</v>
      </c>
      <c r="F14870" s="23" t="str">
        <f>HYPERLINK("https://www.spark-marketing.ru/Card/Lot/67959401", "Услуги по техническому обслуживанию (содержанию) систем охранной (противовзломной) сигнализации")</f>
        <v>Услуги по техническому обслуживанию (содержанию) систем охранной (противовзломной) сигнализации</v>
      </c>
      <c r="G14870" s="22" t="s">
        <v>50</v>
      </c>
      <c r="H14870" s="22" t="s">
        <v>51</v>
      </c>
      <c r="I14870" s="26">
        <v>43510.648900462998</v>
      </c>
      <c r="J14870" s="28" t="s">
        <v>52</v>
      </c>
      <c r="K14870" s="28" t="s">
        <v>52</v>
      </c>
      <c r="L14870" s="28" t="s">
        <v>52</v>
      </c>
      <c r="M14870" s="28" t="s">
        <v>52</v>
      </c>
      <c r="N14870" s="28" t="s">
        <v>52</v>
      </c>
    </row>
    <row r="14871" spans="1:14" x14ac:dyDescent="0.15">
      <c r="A14871" s="23" t="str">
        <f>HYPERLINK("https://www.spark-marketing.ru/Card/Person/77515", "ГБУСОН РО ""АЗОВСКИЙ ДДИ""")</f>
        <v>ГБУСОН РО "АЗОВСКИЙ ДДИ"</v>
      </c>
      <c r="B14871" s="24" t="s">
        <v>17125</v>
      </c>
      <c r="C14871" s="25">
        <v>99990</v>
      </c>
      <c r="D14871" s="22" t="s">
        <v>17126</v>
      </c>
      <c r="E14871" s="22" t="s">
        <v>5312</v>
      </c>
      <c r="F14871" s="23" t="str">
        <f>HYPERLINK("https://www.spark-marketing.ru/Card/Lot/67956433", "Оказание услуг по техническому обслуживанию системы видеонаблюдения со следующими параметрами: Аналоговых камер не более 16 шт. Видеорегистратор не более 16 каналов. Блоков питания не более 10 шт.")</f>
        <v>Оказание услуг по техническому обслуживанию системы видеонаблюдения со следующими параметрами: Аналоговых камер не более 16 шт. Видеорегистратор не более 16 каналов. Блоков питания не более 10 шт.</v>
      </c>
      <c r="G14871" s="22" t="s">
        <v>402</v>
      </c>
      <c r="H14871" s="22" t="s">
        <v>4950</v>
      </c>
      <c r="I14871" s="26">
        <v>43510.643750000003</v>
      </c>
      <c r="J14871" s="28" t="s">
        <v>52</v>
      </c>
      <c r="K14871" s="28" t="s">
        <v>52</v>
      </c>
      <c r="L14871" s="28" t="s">
        <v>52</v>
      </c>
      <c r="M14871" s="28" t="s">
        <v>52</v>
      </c>
      <c r="N14871" s="28" t="s">
        <v>52</v>
      </c>
    </row>
    <row r="14872" spans="1:14" x14ac:dyDescent="0.15">
      <c r="A14872" s="23" t="str">
        <f>HYPERLINK("https://www.spark-marketing.ru/Card/Person/204329", "ООО КБЭР ""БАНК КАЗАНИ""")</f>
        <v>ООО КБЭР "БАНК КАЗАНИ"</v>
      </c>
      <c r="B14872" s="24" t="s">
        <v>17127</v>
      </c>
      <c r="C14872" s="25">
        <v>0</v>
      </c>
      <c r="D14872" s="22" t="s">
        <v>17128</v>
      </c>
      <c r="E14872" s="22" t="s">
        <v>53</v>
      </c>
      <c r="F14872" s="23" t="str">
        <f>HYPERLINK("https://www.spark-marketing.ru/Card/Lot/67973646", "Безопасность и обеспечение порядка при возникновении не штатной ситуации")</f>
        <v>Безопасность и обеспечение порядка при возникновении не штатной ситуации</v>
      </c>
      <c r="G14872" s="22" t="s">
        <v>204</v>
      </c>
      <c r="H14872" s="22" t="s">
        <v>303</v>
      </c>
      <c r="I14872" s="26">
        <v>43510.626759259299</v>
      </c>
      <c r="J14872" s="28" t="s">
        <v>52</v>
      </c>
      <c r="K14872" s="28" t="s">
        <v>52</v>
      </c>
      <c r="L14872" s="28" t="s">
        <v>52</v>
      </c>
      <c r="M14872" s="28" t="s">
        <v>52</v>
      </c>
      <c r="N14872" s="28" t="s">
        <v>52</v>
      </c>
    </row>
    <row r="14873" spans="1:14" x14ac:dyDescent="0.15">
      <c r="A14873" s="23" t="str">
        <f>HYPERLINK("https://www.spark-marketing.ru/Card/Person/1359588", "МАУ ДО ""ЦЕНТР ГАРМОНИЯ""")</f>
        <v>МАУ ДО "ЦЕНТР ГАРМОНИЯ"</v>
      </c>
      <c r="B14873" s="24" t="s">
        <v>17129</v>
      </c>
      <c r="C14873" s="25">
        <v>53600</v>
      </c>
      <c r="D14873" s="22" t="s">
        <v>17130</v>
      </c>
      <c r="E14873" s="22" t="s">
        <v>59</v>
      </c>
      <c r="F14873" s="23" t="str">
        <f>HYPERLINK("https://www.spark-marketing.ru/Card/Lot/67959386", "Выполнение работ по установке системы контроля и управления доступа (СКУД) с видеонаблюдением на вход (выход) на территорию МАУ ДО «Центр Гармония» через центральную калитку ограждающего периметра")</f>
        <v>Выполнение работ по установке системы контроля и управления доступа (СКУД) с видеонаблюдением на вход (выход) на территорию МАУ ДО «Центр Гармония» через центральную калитку ограждающего периметра</v>
      </c>
      <c r="G14873" s="22" t="s">
        <v>50</v>
      </c>
      <c r="H14873" s="22" t="s">
        <v>12149</v>
      </c>
      <c r="I14873" s="26">
        <v>43510.640057870398</v>
      </c>
      <c r="J14873" s="28" t="s">
        <v>52</v>
      </c>
      <c r="K14873" s="28" t="s">
        <v>52</v>
      </c>
      <c r="L14873" s="28" t="s">
        <v>52</v>
      </c>
      <c r="M14873" s="28" t="s">
        <v>52</v>
      </c>
      <c r="N14873" s="28" t="s">
        <v>52</v>
      </c>
    </row>
    <row r="14874" spans="1:14" x14ac:dyDescent="0.15">
      <c r="A14874" s="23" t="str">
        <f>HYPERLINK("https://www.spark-marketing.ru/Card/Person/131897", "МБДОУ ДЕТСКИЙ САД № 3 КОМБИНИРОВАННОГО ВИДА")</f>
        <v>МБДОУ ДЕТСКИЙ САД № 3 КОМБИНИРОВАННОГО ВИДА</v>
      </c>
      <c r="B14874" s="24" t="s">
        <v>17131</v>
      </c>
      <c r="C14874" s="25">
        <v>30000</v>
      </c>
      <c r="D14874" s="22" t="s">
        <v>17132</v>
      </c>
      <c r="E14874" s="22" t="s">
        <v>107</v>
      </c>
      <c r="F14874" s="23" t="str">
        <f>HYPERLINK("https://www.spark-marketing.ru/Card/Lot/67959383", "Закупка в 2019 году услуги по обслуживанию видеодомофона для нужд МБДОУ детского сада №3 комбинированного вида")</f>
        <v>Закупка в 2019 году услуги по обслуживанию видеодомофона для нужд МБДОУ детского сада №3 комбинированного вида</v>
      </c>
      <c r="G14874" s="22" t="s">
        <v>50</v>
      </c>
      <c r="H14874" s="22" t="s">
        <v>1045</v>
      </c>
      <c r="I14874" s="26">
        <v>43510.640023148102</v>
      </c>
      <c r="J14874" s="28" t="s">
        <v>52</v>
      </c>
      <c r="K14874" s="28" t="s">
        <v>52</v>
      </c>
      <c r="L14874" s="28" t="s">
        <v>52</v>
      </c>
      <c r="M14874" s="28" t="s">
        <v>52</v>
      </c>
      <c r="N14874" s="28" t="s">
        <v>52</v>
      </c>
    </row>
    <row r="14875" spans="1:14" x14ac:dyDescent="0.15">
      <c r="A14875" s="23" t="str">
        <f>HYPERLINK("https://www.spark-marketing.ru/Card/Person/112693", "МБДОУ ""ДЕТСКИЙ САД № 19"" Г. ЧЕБОКСАРЫ")</f>
        <v>МБДОУ "ДЕТСКИЙ САД № 19" Г. ЧЕБОКСАРЫ</v>
      </c>
      <c r="B14875" s="24" t="s">
        <v>17133</v>
      </c>
      <c r="C14875" s="25">
        <v>13200</v>
      </c>
      <c r="D14875" s="22" t="s">
        <v>17134</v>
      </c>
      <c r="E14875" s="22" t="s">
        <v>103</v>
      </c>
      <c r="F14875" s="23" t="str">
        <f>HYPERLINK("https://www.spark-marketing.ru/Card/Lot/67958813", "оказание услуг по техническому обслуживанию системы видеонаблюдения для нужд МБДОУ «Детский сад № 19» города Чебоксары Чувашской Республики")</f>
        <v>оказание услуг по техническому обслуживанию системы видеонаблюдения для нужд МБДОУ «Детский сад № 19» города Чебоксары Чувашской Республики</v>
      </c>
      <c r="G14875" s="22" t="s">
        <v>1137</v>
      </c>
      <c r="H14875" s="22" t="s">
        <v>1138</v>
      </c>
      <c r="I14875" s="26">
        <v>43510.653472222199</v>
      </c>
      <c r="J14875" s="28" t="s">
        <v>52</v>
      </c>
      <c r="K14875" s="28" t="s">
        <v>52</v>
      </c>
      <c r="L14875" s="28" t="s">
        <v>52</v>
      </c>
      <c r="M14875" s="28" t="s">
        <v>52</v>
      </c>
      <c r="N14875" s="28" t="s">
        <v>52</v>
      </c>
    </row>
    <row r="14876" spans="1:14" x14ac:dyDescent="0.15">
      <c r="A14876" s="23" t="str">
        <f>HYPERLINK("https://www.spark-marketing.ru/Card/Person/563989", "ГУАП,ФГАОУ ВО ГУАП,ФГАОУ ВО""САНКТ-ПЕТЕРБУРГСКИЙ ГОСУДАРСТВЕННЫЙ УНИВЕРСИТЕТ АЭРОКОСМИЧЕСКОГО ПРИБОРОСТРОЕНИЯ"",САНКТ-ПЕТЕРБУРГСКИЙ ГОСУДАРСТВЕННЫЙ УНИВЕРСИТЕТ АЭРОКОСМИЧЕСКОГО ПРИБОРОСТРОЕНИЯ")</f>
        <v>ГУАП,ФГАОУ ВО ГУАП,ФГАОУ ВО"САНКТ-ПЕТЕРБУРГСКИЙ ГОСУДАРСТВЕННЫЙ УНИВЕРСИТЕТ АЭРОКОСМИЧЕСКОГО ПРИБОРОСТРОЕНИЯ",САНКТ-ПЕТЕРБУРГСКИЙ ГОСУДАРСТВЕННЫЙ УНИВЕРСИТЕТ АЭРОКОСМИЧЕСКОГО ПРИБОРОСТРОЕНИЯ</v>
      </c>
      <c r="B14876" s="24" t="s">
        <v>17135</v>
      </c>
      <c r="C14876" s="25">
        <v>3000000</v>
      </c>
      <c r="D14876" s="22" t="s">
        <v>17136</v>
      </c>
      <c r="E14876" s="22" t="s">
        <v>691</v>
      </c>
      <c r="F14876" s="23" t="str">
        <f>HYPERLINK("https://www.spark-marketing.ru/Card/Lot/67970812", "Установка системы видеонаблюдения в общежитии ГУАП, расположенного по адресу: г.Санкт-Петербург, ул.Передовиков, д.13, лит А")</f>
        <v>Установка системы видеонаблюдения в общежитии ГУАП, расположенного по адресу: г.Санкт-Петербург, ул.Передовиков, д.13, лит А</v>
      </c>
      <c r="G14876" s="22" t="s">
        <v>89</v>
      </c>
      <c r="H14876" s="22" t="s">
        <v>89</v>
      </c>
      <c r="I14876" s="26">
        <v>43510.617615740703</v>
      </c>
      <c r="J14876" s="28" t="s">
        <v>52</v>
      </c>
      <c r="K14876" s="28" t="s">
        <v>52</v>
      </c>
      <c r="L14876" s="28" t="s">
        <v>52</v>
      </c>
      <c r="M14876" s="28" t="s">
        <v>52</v>
      </c>
      <c r="N14876" s="28" t="s">
        <v>52</v>
      </c>
    </row>
    <row r="14877" spans="1:14" hidden="1" outlineLevel="1" x14ac:dyDescent="0.2">
      <c r="A14877" s="23" t="str">
        <f>HYPERLINK("https://www.spark-marketing.ru/Card/Person/563989", "ГУАП,ФГАОУ ВО ГУАП,ФГАОУ ВО""САНКТ-ПЕТЕРБУРГСКИЙ ГОСУДАРСТВЕННЫЙ УНИВЕРСИТЕТ АЭРОКОСМИЧЕСКОГО ПРИБОРОСТРОЕНИЯ"",САНКТ-ПЕТЕРБУРГСКИЙ ГОСУДАРСТВЕННЫЙ УНИВЕРСИТЕТ АЭРОКОСМИЧЕСКОГО ПРИБОРОСТРОЕНИЯ")</f>
        <v>ГУАП,ФГАОУ ВО ГУАП,ФГАОУ ВО"САНКТ-ПЕТЕРБУРГСКИЙ ГОСУДАРСТВЕННЫЙ УНИВЕРСИТЕТ АЭРОКОСМИЧЕСКОГО ПРИБОРОСТРОЕНИЯ",САНКТ-ПЕТЕРБУРГСКИЙ ГОСУДАРСТВЕННЫЙ УНИВЕРСИТЕТ АЭРОКОСМИЧЕСКОГО ПРИБОРОСТРОЕНИЯ</v>
      </c>
      <c r="B14877" s="24" t="s">
        <v>17135</v>
      </c>
      <c r="C14877" s="28" t="s">
        <v>52</v>
      </c>
      <c r="D14877" s="22" t="s">
        <v>17136</v>
      </c>
      <c r="E14877" s="22" t="s">
        <v>691</v>
      </c>
      <c r="F14877" s="23" t="str">
        <f>HYPERLINK("https://www.spark-marketing.ru/Card/Lot/67970812", "Установка системы видеонаблюдения в общежитии ГУАП, расположенного по адресу: г.Санкт-Петербург, ул.Передовиков, д.13, лит А")</f>
        <v>Установка системы видеонаблюдения в общежитии ГУАП, расположенного по адресу: г.Санкт-Петербург, ул.Передовиков, д.13, лит А</v>
      </c>
      <c r="G14877" s="22" t="s">
        <v>89</v>
      </c>
      <c r="H14877" s="22" t="s">
        <v>89</v>
      </c>
      <c r="I14877" s="26">
        <v>43510.617615740703</v>
      </c>
      <c r="J14877" s="23" t="str">
        <f>HYPERLINK("https://www.spark-marketing.ru/Card/Person/1557375", "ООО ""РЕСУРС-МОНТАЖ""")</f>
        <v>ООО "РЕСУРС-МОНТАЖ"</v>
      </c>
      <c r="K14877" s="24" t="s">
        <v>17137</v>
      </c>
      <c r="L14877" s="28" t="s">
        <v>52</v>
      </c>
      <c r="M14877" s="25">
        <v>2993227.2</v>
      </c>
      <c r="N14877" s="27">
        <v>2.2575999999999998E-3</v>
      </c>
    </row>
    <row r="14878" spans="1:14" hidden="1" outlineLevel="1" x14ac:dyDescent="0.2">
      <c r="A14878" s="23" t="str">
        <f>HYPERLINK("https://www.spark-marketing.ru/Card/Person/563989", "ГУАП,ФГАОУ ВО ГУАП,ФГАОУ ВО""САНКТ-ПЕТЕРБУРГСКИЙ ГОСУДАРСТВЕННЫЙ УНИВЕРСИТЕТ АЭРОКОСМИЧЕСКОГО ПРИБОРОСТРОЕНИЯ"",САНКТ-ПЕТЕРБУРГСКИЙ ГОСУДАРСТВЕННЫЙ УНИВЕРСИТЕТ АЭРОКОСМИЧЕСКОГО ПРИБОРОСТРОЕНИЯ")</f>
        <v>ГУАП,ФГАОУ ВО ГУАП,ФГАОУ ВО"САНКТ-ПЕТЕРБУРГСКИЙ ГОСУДАРСТВЕННЫЙ УНИВЕРСИТЕТ АЭРОКОСМИЧЕСКОГО ПРИБОРОСТРОЕНИЯ",САНКТ-ПЕТЕРБУРГСКИЙ ГОСУДАРСТВЕННЫЙ УНИВЕРСИТЕТ АЭРОКОСМИЧЕСКОГО ПРИБОРОСТРОЕНИЯ</v>
      </c>
      <c r="B14878" s="24" t="s">
        <v>17135</v>
      </c>
      <c r="C14878" s="28" t="s">
        <v>52</v>
      </c>
      <c r="D14878" s="22" t="s">
        <v>17136</v>
      </c>
      <c r="E14878" s="22" t="s">
        <v>691</v>
      </c>
      <c r="F14878" s="23" t="str">
        <f>HYPERLINK("https://www.spark-marketing.ru/Card/Lot/67970812", "Установка системы видеонаблюдения в общежитии ГУАП, расположенного по адресу: г.Санкт-Петербург, ул.Передовиков, д.13, лит А")</f>
        <v>Установка системы видеонаблюдения в общежитии ГУАП, расположенного по адресу: г.Санкт-Петербург, ул.Передовиков, д.13, лит А</v>
      </c>
      <c r="G14878" s="22" t="s">
        <v>89</v>
      </c>
      <c r="H14878" s="22" t="s">
        <v>89</v>
      </c>
      <c r="I14878" s="26">
        <v>43510.617615740703</v>
      </c>
      <c r="J14878" s="23" t="str">
        <f>HYPERLINK("https://www.spark-marketing.ru/Card/Person/5789959", "ООО ""СТРОЙТЕЛЕКОМ""")</f>
        <v>ООО "СТРОЙТЕЛЕКОМ"</v>
      </c>
      <c r="K14878" s="24" t="s">
        <v>17138</v>
      </c>
      <c r="L14878" s="28" t="s">
        <v>52</v>
      </c>
      <c r="M14878" s="25">
        <v>2700000</v>
      </c>
      <c r="N14878" s="27">
        <v>0.1</v>
      </c>
    </row>
    <row r="14879" spans="1:14" hidden="1" outlineLevel="1" x14ac:dyDescent="0.2">
      <c r="A14879" s="23" t="str">
        <f>HYPERLINK("https://www.spark-marketing.ru/Card/Person/563989", "ГУАП,ФГАОУ ВО ГУАП,ФГАОУ ВО""САНКТ-ПЕТЕРБУРГСКИЙ ГОСУДАРСТВЕННЫЙ УНИВЕРСИТЕТ АЭРОКОСМИЧЕСКОГО ПРИБОРОСТРОЕНИЯ"",САНКТ-ПЕТЕРБУРГСКИЙ ГОСУДАРСТВЕННЫЙ УНИВЕРСИТЕТ АЭРОКОСМИЧЕСКОГО ПРИБОРОСТРОЕНИЯ")</f>
        <v>ГУАП,ФГАОУ ВО ГУАП,ФГАОУ ВО"САНКТ-ПЕТЕРБУРГСКИЙ ГОСУДАРСТВЕННЫЙ УНИВЕРСИТЕТ АЭРОКОСМИЧЕСКОГО ПРИБОРОСТРОЕНИЯ",САНКТ-ПЕТЕРБУРГСКИЙ ГОСУДАРСТВЕННЫЙ УНИВЕРСИТЕТ АЭРОКОСМИЧЕСКОГО ПРИБОРОСТРОЕНИЯ</v>
      </c>
      <c r="B14879" s="24" t="s">
        <v>17135</v>
      </c>
      <c r="C14879" s="28" t="s">
        <v>52</v>
      </c>
      <c r="D14879" s="22" t="s">
        <v>17136</v>
      </c>
      <c r="E14879" s="22" t="s">
        <v>691</v>
      </c>
      <c r="F14879" s="23" t="str">
        <f>HYPERLINK("https://www.spark-marketing.ru/Card/Lot/67970812", "Установка системы видеонаблюдения в общежитии ГУАП, расположенного по адресу: г.Санкт-Петербург, ул.Передовиков, д.13, лит А")</f>
        <v>Установка системы видеонаблюдения в общежитии ГУАП, расположенного по адресу: г.Санкт-Петербург, ул.Передовиков, д.13, лит А</v>
      </c>
      <c r="G14879" s="22" t="s">
        <v>89</v>
      </c>
      <c r="H14879" s="22" t="s">
        <v>89</v>
      </c>
      <c r="I14879" s="26">
        <v>43510.617615740703</v>
      </c>
      <c r="J14879" s="23" t="str">
        <f>HYPERLINK("https://www.spark-marketing.ru/Card/Person/4857651", "ООО ""МИКРОДОМ""")</f>
        <v>ООО "МИКРОДОМ"</v>
      </c>
      <c r="K14879" s="24" t="s">
        <v>11156</v>
      </c>
      <c r="L14879" s="28" t="s">
        <v>52</v>
      </c>
      <c r="M14879" s="25">
        <v>2665054.46</v>
      </c>
      <c r="N14879" s="27">
        <v>0.11164851333333334</v>
      </c>
    </row>
    <row r="14880" spans="1:14" hidden="1" outlineLevel="1" x14ac:dyDescent="0.2">
      <c r="A14880" s="23" t="str">
        <f>HYPERLINK("https://www.spark-marketing.ru/Card/Person/563989", "ГУАП,ФГАОУ ВО ГУАП,ФГАОУ ВО""САНКТ-ПЕТЕРБУРГСКИЙ ГОСУДАРСТВЕННЫЙ УНИВЕРСИТЕТ АЭРОКОСМИЧЕСКОГО ПРИБОРОСТРОЕНИЯ"",САНКТ-ПЕТЕРБУРГСКИЙ ГОСУДАРСТВЕННЫЙ УНИВЕРСИТЕТ АЭРОКОСМИЧЕСКОГО ПРИБОРОСТРОЕНИЯ")</f>
        <v>ГУАП,ФГАОУ ВО ГУАП,ФГАОУ ВО"САНКТ-ПЕТЕРБУРГСКИЙ ГОСУДАРСТВЕННЫЙ УНИВЕРСИТЕТ АЭРОКОСМИЧЕСКОГО ПРИБОРОСТРОЕНИЯ",САНКТ-ПЕТЕРБУРГСКИЙ ГОСУДАРСТВЕННЫЙ УНИВЕРСИТЕТ АЭРОКОСМИЧЕСКОГО ПРИБОРОСТРОЕНИЯ</v>
      </c>
      <c r="B14880" s="24" t="s">
        <v>17135</v>
      </c>
      <c r="C14880" s="28" t="s">
        <v>52</v>
      </c>
      <c r="D14880" s="22" t="s">
        <v>17136</v>
      </c>
      <c r="E14880" s="22" t="s">
        <v>691</v>
      </c>
      <c r="F14880" s="23" t="str">
        <f>HYPERLINK("https://www.spark-marketing.ru/Card/Lot/67970812", "Установка системы видеонаблюдения в общежитии ГУАП, расположенного по адресу: г.Санкт-Петербург, ул.Передовиков, д.13, лит А")</f>
        <v>Установка системы видеонаблюдения в общежитии ГУАП, расположенного по адресу: г.Санкт-Петербург, ул.Передовиков, д.13, лит А</v>
      </c>
      <c r="G14880" s="22" t="s">
        <v>89</v>
      </c>
      <c r="H14880" s="22" t="s">
        <v>89</v>
      </c>
      <c r="I14880" s="26">
        <v>43510.617615740703</v>
      </c>
      <c r="J14880" s="23" t="str">
        <f>HYPERLINK("https://www.spark-marketing.ru/Card/Person/2156878", "ООО ""КОМПА""")</f>
        <v>ООО "КОМПА"</v>
      </c>
      <c r="K14880" s="24" t="s">
        <v>15588</v>
      </c>
      <c r="L14880" s="28" t="s">
        <v>52</v>
      </c>
      <c r="M14880" s="25">
        <v>2670000</v>
      </c>
      <c r="N14880" s="27">
        <v>0.11</v>
      </c>
    </row>
    <row r="14881" spans="1:14" x14ac:dyDescent="0.15">
      <c r="A14881" s="23" t="str">
        <f>HYPERLINK("https://www.spark-marketing.ru/Card/Person/1074244", "МОУ ДМИТРОВСКАЯ СРЕДНЯЯ ОБЩЕОБРАЗОВАТЕЛЬНАЯ ШКОЛА № 1 ИМ. В.И. КУЗНЕЦОВА")</f>
        <v>МОУ ДМИТРОВСКАЯ СРЕДНЯЯ ОБЩЕОБРАЗОВАТЕЛЬНАЯ ШКОЛА № 1 ИМ. В.И. КУЗНЕЦОВА</v>
      </c>
      <c r="B14881" s="24" t="s">
        <v>17139</v>
      </c>
      <c r="C14881" s="25">
        <v>27786</v>
      </c>
      <c r="D14881" s="22" t="s">
        <v>17140</v>
      </c>
      <c r="E14881" s="22" t="s">
        <v>103</v>
      </c>
      <c r="F14881" s="23" t="str">
        <f>HYPERLINK("https://www.spark-marketing.ru/Card/Lot/67956381", "Услуги по техническому обслуживанию системы видеонаблюдения")</f>
        <v>Услуги по техническому обслуживанию системы видеонаблюдения</v>
      </c>
      <c r="G14881" s="22" t="s">
        <v>50</v>
      </c>
      <c r="H14881" s="22" t="s">
        <v>504</v>
      </c>
      <c r="I14881" s="26">
        <v>43510.596724536997</v>
      </c>
      <c r="J14881" s="28" t="s">
        <v>52</v>
      </c>
      <c r="K14881" s="28" t="s">
        <v>52</v>
      </c>
      <c r="L14881" s="28" t="s">
        <v>52</v>
      </c>
      <c r="M14881" s="28" t="s">
        <v>52</v>
      </c>
      <c r="N14881" s="28" t="s">
        <v>52</v>
      </c>
    </row>
    <row r="14882" spans="1:14" x14ac:dyDescent="0.15">
      <c r="A14882" s="23" t="str">
        <f>HYPERLINK("https://www.spark-marketing.ru/Card/Person/148792", "МБДОУ ""ДЕТСКИЙ САД №129"" Г.ЧЕБОКСАРЫ")</f>
        <v>МБДОУ "ДЕТСКИЙ САД №129" Г.ЧЕБОКСАРЫ</v>
      </c>
      <c r="B14882" s="24" t="s">
        <v>17141</v>
      </c>
      <c r="C14882" s="25">
        <v>1440</v>
      </c>
      <c r="D14882" s="22" t="s">
        <v>17142</v>
      </c>
      <c r="E14882" s="22" t="s">
        <v>194</v>
      </c>
      <c r="F14882" s="23" t="str">
        <f>HYPERLINK("https://www.spark-marketing.ru/Card/Lot/67955973", "оказание услуг по техническому обслуживанию системы видеонаблюдения")</f>
        <v>оказание услуг по техническому обслуживанию системы видеонаблюдения</v>
      </c>
      <c r="G14882" s="22" t="s">
        <v>1137</v>
      </c>
      <c r="H14882" s="22" t="s">
        <v>1138</v>
      </c>
      <c r="I14882" s="26">
        <v>43510.6118055556</v>
      </c>
      <c r="J14882" s="28" t="s">
        <v>52</v>
      </c>
      <c r="K14882" s="28" t="s">
        <v>52</v>
      </c>
      <c r="L14882" s="28" t="s">
        <v>52</v>
      </c>
      <c r="M14882" s="28" t="s">
        <v>52</v>
      </c>
      <c r="N14882" s="28" t="s">
        <v>52</v>
      </c>
    </row>
    <row r="14883" spans="1:14" x14ac:dyDescent="0.15">
      <c r="A14883" s="23" t="str">
        <f>HYPERLINK("https://www.spark-marketing.ru/Card/Person/114331", "МБДОУ ЦРР ДЕТСКИЙ САД № 15 ""ЗОЛОТАЯ РЫБКА""")</f>
        <v>МБДОУ ЦРР ДЕТСКИЙ САД № 15 "ЗОЛОТАЯ РЫБКА"</v>
      </c>
      <c r="B14883" s="24" t="s">
        <v>17143</v>
      </c>
      <c r="C14883" s="25">
        <v>15000</v>
      </c>
      <c r="D14883" s="22" t="s">
        <v>17144</v>
      </c>
      <c r="E14883" s="22" t="s">
        <v>103</v>
      </c>
      <c r="F14883" s="23" t="str">
        <f>HYPERLINK("https://www.spark-marketing.ru/Card/Lot/67956389", "Оказание услуг по техническому обслуживанию систем видеонаблюдения и видеорегистрации")</f>
        <v>Оказание услуг по техническому обслуживанию систем видеонаблюдения и видеорегистрации</v>
      </c>
      <c r="G14883" s="22" t="s">
        <v>50</v>
      </c>
      <c r="H14883" s="22" t="s">
        <v>248</v>
      </c>
      <c r="I14883" s="26">
        <v>43510.596828703703</v>
      </c>
      <c r="J14883" s="28" t="s">
        <v>52</v>
      </c>
      <c r="K14883" s="28" t="s">
        <v>52</v>
      </c>
      <c r="L14883" s="28" t="s">
        <v>52</v>
      </c>
      <c r="M14883" s="28" t="s">
        <v>52</v>
      </c>
      <c r="N14883" s="28" t="s">
        <v>52</v>
      </c>
    </row>
    <row r="14884" spans="1:14" x14ac:dyDescent="0.15">
      <c r="A14884" s="23" t="str">
        <f>HYPERLINK("https://www.spark-marketing.ru/Card/Person/1520811", "МУ ДО ЦДО ""ДМИТРОВ""")</f>
        <v>МУ ДО ЦДО "ДМИТРОВ"</v>
      </c>
      <c r="B14884" s="24" t="s">
        <v>17145</v>
      </c>
      <c r="C14884" s="25">
        <v>16000</v>
      </c>
      <c r="D14884" s="22" t="s">
        <v>17146</v>
      </c>
      <c r="E14884" s="22" t="s">
        <v>59</v>
      </c>
      <c r="F14884" s="23" t="str">
        <f>HYPERLINK("https://www.spark-marketing.ru/Card/Lot/67956404", "Работы по пуско-наладке системы тревожной сигнализации с подключением на ПЦО")</f>
        <v>Работы по пуско-наладке системы тревожной сигнализации с подключением на ПЦО</v>
      </c>
      <c r="G14884" s="22" t="s">
        <v>50</v>
      </c>
      <c r="H14884" s="22" t="s">
        <v>504</v>
      </c>
      <c r="I14884" s="26">
        <v>43510.607465277797</v>
      </c>
      <c r="J14884" s="28" t="s">
        <v>52</v>
      </c>
      <c r="K14884" s="28" t="s">
        <v>52</v>
      </c>
      <c r="L14884" s="28" t="s">
        <v>52</v>
      </c>
      <c r="M14884" s="28" t="s">
        <v>52</v>
      </c>
      <c r="N14884" s="28" t="s">
        <v>52</v>
      </c>
    </row>
    <row r="14885" spans="1:14" x14ac:dyDescent="0.15">
      <c r="A14885" s="23" t="str">
        <f>HYPERLINK("https://www.spark-marketing.ru/Card/Person/1074244", "МОУ ДМИТРОВСКАЯ СРЕДНЯЯ ОБЩЕОБРАЗОВАТЕЛЬНАЯ ШКОЛА № 1 ИМ. В.И. КУЗНЕЦОВА")</f>
        <v>МОУ ДМИТРОВСКАЯ СРЕДНЯЯ ОБЩЕОБРАЗОВАТЕЛЬНАЯ ШКОЛА № 1 ИМ. В.И. КУЗНЕЦОВА</v>
      </c>
      <c r="B14885" s="24" t="s">
        <v>17139</v>
      </c>
      <c r="C14885" s="25">
        <v>172600</v>
      </c>
      <c r="D14885" s="22" t="s">
        <v>17147</v>
      </c>
      <c r="E14885" s="22" t="s">
        <v>84</v>
      </c>
      <c r="F14885" s="23" t="str">
        <f>HYPERLINK("https://www.spark-marketing.ru/Card/Lot/67954403", "Услуги по установке видеокамер")</f>
        <v>Услуги по установке видеокамер</v>
      </c>
      <c r="G14885" s="22" t="s">
        <v>50</v>
      </c>
      <c r="H14885" s="22" t="s">
        <v>504</v>
      </c>
      <c r="I14885" s="26">
        <v>43510.544722222199</v>
      </c>
      <c r="J14885" s="28" t="s">
        <v>52</v>
      </c>
      <c r="K14885" s="28" t="s">
        <v>52</v>
      </c>
      <c r="L14885" s="28" t="s">
        <v>52</v>
      </c>
      <c r="M14885" s="28" t="s">
        <v>52</v>
      </c>
      <c r="N14885" s="28" t="s">
        <v>52</v>
      </c>
    </row>
    <row r="14886" spans="1:14" x14ac:dyDescent="0.15">
      <c r="A14886" s="23" t="str">
        <f>HYPERLINK("https://www.spark-marketing.ru/Card/Person/74824", "МБОУ СОШ № 4")</f>
        <v>МБОУ СОШ № 4</v>
      </c>
      <c r="B14886" s="24" t="s">
        <v>17148</v>
      </c>
      <c r="C14886" s="25">
        <v>76000</v>
      </c>
      <c r="D14886" s="22" t="s">
        <v>17149</v>
      </c>
      <c r="E14886" s="22" t="s">
        <v>107</v>
      </c>
      <c r="F14886" s="23" t="str">
        <f>HYPERLINK("https://www.spark-marketing.ru/Card/Lot/67954646", "Техническое обслуживание систем видеонаблюдения на ЕГЭ")</f>
        <v>Техническое обслуживание систем видеонаблюдения на ЕГЭ</v>
      </c>
      <c r="G14886" s="22" t="s">
        <v>50</v>
      </c>
      <c r="H14886" s="22" t="s">
        <v>2088</v>
      </c>
      <c r="I14886" s="26">
        <v>43510.576180555603</v>
      </c>
      <c r="J14886" s="28" t="s">
        <v>52</v>
      </c>
      <c r="K14886" s="28" t="s">
        <v>52</v>
      </c>
      <c r="L14886" s="28" t="s">
        <v>52</v>
      </c>
      <c r="M14886" s="28" t="s">
        <v>52</v>
      </c>
      <c r="N14886" s="28" t="s">
        <v>52</v>
      </c>
    </row>
    <row r="14887" spans="1:14" x14ac:dyDescent="0.15">
      <c r="A14887" s="23" t="str">
        <f>HYPERLINK("https://www.spark-marketing.ru/Card/Person/1328421", "МАДОУ Д/С №22 ""ПЧЕЛКА""")</f>
        <v>МАДОУ Д/С №22 "ПЧЕЛКА"</v>
      </c>
      <c r="B14887" s="24" t="s">
        <v>17150</v>
      </c>
      <c r="C14887" s="25">
        <v>61963.199999999997</v>
      </c>
      <c r="D14887" s="22" t="s">
        <v>17151</v>
      </c>
      <c r="E14887" s="22" t="s">
        <v>107</v>
      </c>
      <c r="F14887" s="23" t="str">
        <f>HYPERLINK("https://www.spark-marketing.ru/Card/Lot/67954425", "Охранные услуги в помещениях, оборудованных действующим комплексом технических средств охраны.")</f>
        <v>Охранные услуги в помещениях, оборудованных действующим комплексом технических средств охраны.</v>
      </c>
      <c r="G14887" s="22" t="s">
        <v>50</v>
      </c>
      <c r="H14887" s="22" t="s">
        <v>4782</v>
      </c>
      <c r="I14887" s="26">
        <v>43510.555277777799</v>
      </c>
      <c r="J14887" s="28" t="s">
        <v>52</v>
      </c>
      <c r="K14887" s="28" t="s">
        <v>52</v>
      </c>
      <c r="L14887" s="28" t="s">
        <v>52</v>
      </c>
      <c r="M14887" s="28" t="s">
        <v>52</v>
      </c>
      <c r="N14887" s="28" t="s">
        <v>52</v>
      </c>
    </row>
    <row r="14888" spans="1:14" x14ac:dyDescent="0.15">
      <c r="A14888" s="23" t="str">
        <f>HYPERLINK("https://www.spark-marketing.ru/Card/Person/612016", "УМП ""ФАРМАЦИЯ""")</f>
        <v>УМП "ФАРМАЦИЯ"</v>
      </c>
      <c r="B14888" s="24" t="s">
        <v>17152</v>
      </c>
      <c r="C14888" s="25">
        <v>300661.32</v>
      </c>
      <c r="D14888" s="22" t="s">
        <v>17153</v>
      </c>
      <c r="E14888" s="22" t="s">
        <v>144</v>
      </c>
      <c r="F14888" s="23" t="str">
        <f>HYPERLINK("https://www.spark-marketing.ru/Card/Lot/67939228", "Централизованная охрана объектов")</f>
        <v>Централизованная охрана объектов</v>
      </c>
      <c r="G14888" s="22" t="s">
        <v>1141</v>
      </c>
      <c r="H14888" s="22" t="s">
        <v>1141</v>
      </c>
      <c r="I14888" s="26">
        <v>43510.553391203699</v>
      </c>
      <c r="J14888" s="28" t="s">
        <v>52</v>
      </c>
      <c r="K14888" s="28" t="s">
        <v>52</v>
      </c>
      <c r="L14888" s="28" t="s">
        <v>52</v>
      </c>
      <c r="M14888" s="28" t="s">
        <v>52</v>
      </c>
      <c r="N14888" s="28" t="s">
        <v>52</v>
      </c>
    </row>
    <row r="14889" spans="1:14" x14ac:dyDescent="0.15">
      <c r="A14889" s="23" t="str">
        <f>HYPERLINK("https://www.spark-marketing.ru/Card/Person/1778536", "МАУ ДО ДДТ ""ЭВРИКА""")</f>
        <v>МАУ ДО ДДТ "ЭВРИКА"</v>
      </c>
      <c r="B14889" s="24" t="s">
        <v>14973</v>
      </c>
      <c r="C14889" s="25">
        <v>15190.32</v>
      </c>
      <c r="D14889" s="22" t="s">
        <v>17154</v>
      </c>
      <c r="E14889" s="22" t="s">
        <v>107</v>
      </c>
      <c r="F14889" s="23" t="str">
        <f>HYPERLINK("https://www.spark-marketing.ru/Card/Lot/67950220", "Услуги по техническому обслуживанию кнопки тревожной сигнализации")</f>
        <v>Услуги по техническому обслуживанию кнопки тревожной сигнализации</v>
      </c>
      <c r="G14889" s="22" t="s">
        <v>50</v>
      </c>
      <c r="H14889" s="22" t="s">
        <v>4782</v>
      </c>
      <c r="I14889" s="26">
        <v>43510.513425925899</v>
      </c>
      <c r="J14889" s="28" t="s">
        <v>52</v>
      </c>
      <c r="K14889" s="28" t="s">
        <v>52</v>
      </c>
      <c r="L14889" s="28" t="s">
        <v>52</v>
      </c>
      <c r="M14889" s="28" t="s">
        <v>52</v>
      </c>
      <c r="N14889" s="28" t="s">
        <v>52</v>
      </c>
    </row>
    <row r="14890" spans="1:14" x14ac:dyDescent="0.15">
      <c r="A14890" s="23" t="str">
        <f>HYPERLINK("https://www.spark-marketing.ru/Card/Person/1006626", "МБДОУ ДС №46 ""АЛЕНУШКА""")</f>
        <v>МБДОУ ДС №46 "АЛЕНУШКА"</v>
      </c>
      <c r="B14890" s="24" t="s">
        <v>17155</v>
      </c>
      <c r="C14890" s="25">
        <v>9900</v>
      </c>
      <c r="D14890" s="22" t="s">
        <v>17156</v>
      </c>
      <c r="E14890" s="22" t="s">
        <v>103</v>
      </c>
      <c r="F14890" s="23" t="str">
        <f>HYPERLINK("https://www.spark-marketing.ru/Card/Lot/67949489", "Техническое обслуживание средств видеонаблюдения")</f>
        <v>Техническое обслуживание средств видеонаблюдения</v>
      </c>
      <c r="G14890" s="22" t="s">
        <v>402</v>
      </c>
      <c r="H14890" s="22" t="s">
        <v>631</v>
      </c>
      <c r="I14890" s="26">
        <v>43510.529166666704</v>
      </c>
      <c r="J14890" s="28" t="s">
        <v>52</v>
      </c>
      <c r="K14890" s="28" t="s">
        <v>52</v>
      </c>
      <c r="L14890" s="28" t="s">
        <v>52</v>
      </c>
      <c r="M14890" s="28" t="s">
        <v>52</v>
      </c>
      <c r="N14890" s="28" t="s">
        <v>52</v>
      </c>
    </row>
    <row r="14891" spans="1:14" x14ac:dyDescent="0.2">
      <c r="A14891" s="23" t="str">
        <f>HYPERLINK("https://www.spark-marketing.ru/Card/Person/111779", "ГАУ РО ""ОКДЦ""")</f>
        <v>ГАУ РО "ОКДЦ"</v>
      </c>
      <c r="B14891" s="24" t="s">
        <v>3620</v>
      </c>
      <c r="C14891" s="25">
        <v>160000</v>
      </c>
      <c r="D14891" s="22" t="s">
        <v>17157</v>
      </c>
      <c r="E14891" s="22" t="s">
        <v>10166</v>
      </c>
      <c r="F14891" s="23" t="str">
        <f>HYPERLINK("https://www.spark-marketing.ru/Card/Lot/67947939", "Закупка услуг по физической охране объектов Заказчика")</f>
        <v>Закупка услуг по физической охране объектов Заказчика</v>
      </c>
      <c r="G14891" s="22" t="s">
        <v>402</v>
      </c>
      <c r="H14891" s="22" t="s">
        <v>402</v>
      </c>
      <c r="I14891" s="26">
        <v>43510.480868055602</v>
      </c>
      <c r="J14891" s="23" t="str">
        <f>HYPERLINK("https://www.spark-marketing.ru/Card/Person/5947173", "ООО ЧОП ""РЕГИОН ОХРАНА""")</f>
        <v>ООО ЧОП "РЕГИОН ОХРАНА"</v>
      </c>
      <c r="K14891" s="24" t="s">
        <v>10167</v>
      </c>
      <c r="L14891" s="28" t="s">
        <v>52</v>
      </c>
      <c r="M14891" s="25">
        <v>160000</v>
      </c>
      <c r="N14891" s="27">
        <v>0</v>
      </c>
    </row>
    <row r="14892" spans="1:14" x14ac:dyDescent="0.15">
      <c r="A14892" s="23" t="str">
        <f>HYPERLINK("https://www.spark-marketing.ru/Card/Person/131232", "МДОУ ДЕТСКИЙ САД КОМБИНИРОВАННОГО ВИДА № 4 ""БЕРЕЗКА""")</f>
        <v>МДОУ ДЕТСКИЙ САД КОМБИНИРОВАННОГО ВИДА № 4 "БЕРЕЗКА"</v>
      </c>
      <c r="B14892" s="24" t="s">
        <v>17158</v>
      </c>
      <c r="C14892" s="25">
        <v>40000</v>
      </c>
      <c r="D14892" s="22" t="s">
        <v>17159</v>
      </c>
      <c r="E14892" s="22" t="s">
        <v>234</v>
      </c>
      <c r="F14892" s="23" t="str">
        <f>HYPERLINK("https://www.spark-marketing.ru/Card/Lot/67948044", "Услуги по обслуживанию системы видеонаблюдения для нужд МДОУ детского сада комбинированного вида №4 ""Березка"" в 2019 году")</f>
        <v>Услуги по обслуживанию системы видеонаблюдения для нужд МДОУ детского сада комбинированного вида №4 "Березка" в 2019 году</v>
      </c>
      <c r="G14892" s="22" t="s">
        <v>50</v>
      </c>
      <c r="H14892" s="22" t="s">
        <v>5042</v>
      </c>
      <c r="I14892" s="26">
        <v>43510.461365740703</v>
      </c>
      <c r="J14892" s="28" t="s">
        <v>52</v>
      </c>
      <c r="K14892" s="28" t="s">
        <v>52</v>
      </c>
      <c r="L14892" s="28" t="s">
        <v>52</v>
      </c>
      <c r="M14892" s="28" t="s">
        <v>52</v>
      </c>
      <c r="N14892" s="28" t="s">
        <v>52</v>
      </c>
    </row>
    <row r="14893" spans="1:14" x14ac:dyDescent="0.15">
      <c r="A14893" s="23" t="str">
        <f>HYPERLINK("https://www.spark-marketing.ru/Card/Person/131232", "МДОУ ДЕТСКИЙ САД КОМБИНИРОВАННОГО ВИДА № 4 ""БЕРЕЗКА""")</f>
        <v>МДОУ ДЕТСКИЙ САД КОМБИНИРОВАННОГО ВИДА № 4 "БЕРЕЗКА"</v>
      </c>
      <c r="B14893" s="24" t="s">
        <v>17158</v>
      </c>
      <c r="C14893" s="25">
        <v>45971.8</v>
      </c>
      <c r="D14893" s="22" t="s">
        <v>17160</v>
      </c>
      <c r="E14893" s="22" t="s">
        <v>107</v>
      </c>
      <c r="F14893" s="23" t="str">
        <f>HYPERLINK("https://www.spark-marketing.ru/Card/Lot/67948283", "Монтаж видеодомофона для нужд МДОУ детского сада комбинированного вида №4 ""Березка""")</f>
        <v>Монтаж видеодомофона для нужд МДОУ детского сада комбинированного вида №4 "Березка"</v>
      </c>
      <c r="G14893" s="22" t="s">
        <v>50</v>
      </c>
      <c r="H14893" s="22" t="s">
        <v>5042</v>
      </c>
      <c r="I14893" s="26">
        <v>43510.4613888889</v>
      </c>
      <c r="J14893" s="28" t="s">
        <v>52</v>
      </c>
      <c r="K14893" s="28" t="s">
        <v>52</v>
      </c>
      <c r="L14893" s="28" t="s">
        <v>52</v>
      </c>
      <c r="M14893" s="28" t="s">
        <v>52</v>
      </c>
      <c r="N14893" s="28" t="s">
        <v>52</v>
      </c>
    </row>
    <row r="14894" spans="1:14" x14ac:dyDescent="0.15">
      <c r="A14894" s="23" t="str">
        <f>HYPERLINK("https://www.spark-marketing.ru/Card/Person/109988", "БДОУ Г. ОМСКА ""ДЕТСКИЙ САД № 130""")</f>
        <v>БДОУ Г. ОМСКА "ДЕТСКИЙ САД № 130"</v>
      </c>
      <c r="B14894" s="24" t="s">
        <v>17161</v>
      </c>
      <c r="C14894" s="25">
        <v>12000</v>
      </c>
      <c r="D14894" s="22" t="s">
        <v>17162</v>
      </c>
      <c r="E14894" s="22" t="s">
        <v>68</v>
      </c>
      <c r="F14894" s="23" t="str">
        <f>HYPERLINK("https://www.spark-marketing.ru/Card/Lot/67942459", "Услуги по охране имущества.")</f>
        <v>Услуги по охране имущества.</v>
      </c>
      <c r="G14894" s="22" t="s">
        <v>521</v>
      </c>
      <c r="H14894" s="22" t="s">
        <v>522</v>
      </c>
      <c r="I14894" s="26">
        <v>43510.394444444399</v>
      </c>
      <c r="J14894" s="28" t="s">
        <v>52</v>
      </c>
      <c r="K14894" s="28" t="s">
        <v>52</v>
      </c>
      <c r="L14894" s="28" t="s">
        <v>52</v>
      </c>
      <c r="M14894" s="28" t="s">
        <v>52</v>
      </c>
      <c r="N14894" s="28" t="s">
        <v>52</v>
      </c>
    </row>
    <row r="14895" spans="1:14" x14ac:dyDescent="0.15">
      <c r="A14895" s="23" t="str">
        <f>HYPERLINK("https://www.spark-marketing.ru/Card/Person/816495", "АО ""ВНИИУС""")</f>
        <v>АО "ВНИИУС"</v>
      </c>
      <c r="B14895" s="24" t="s">
        <v>17163</v>
      </c>
      <c r="C14895" s="25">
        <v>144000</v>
      </c>
      <c r="D14895" s="22" t="s">
        <v>17164</v>
      </c>
      <c r="E14895" s="22" t="s">
        <v>17165</v>
      </c>
      <c r="F14895" s="23" t="str">
        <f>HYPERLINK("https://www.spark-marketing.ru/Card/Lot/67941752", "Обслуживание противопожарной сигнализации")</f>
        <v>Обслуживание противопожарной сигнализации</v>
      </c>
      <c r="G14895" s="22" t="s">
        <v>204</v>
      </c>
      <c r="H14895" s="22" t="s">
        <v>204</v>
      </c>
      <c r="I14895" s="26">
        <v>43510.342650462997</v>
      </c>
      <c r="J14895" s="28" t="s">
        <v>52</v>
      </c>
      <c r="K14895" s="28" t="s">
        <v>52</v>
      </c>
      <c r="L14895" s="28" t="s">
        <v>52</v>
      </c>
      <c r="M14895" s="28" t="s">
        <v>52</v>
      </c>
      <c r="N14895" s="28" t="s">
        <v>52</v>
      </c>
    </row>
    <row r="14896" spans="1:14" x14ac:dyDescent="0.15">
      <c r="A14896" s="23" t="str">
        <f>HYPERLINK("https://www.spark-marketing.ru/Card/Person/115903", "БДОУ Г. ОМСКА ""ЦЕНТР РАЗВИТИЯ РЕБЕНКА - ДЕТСКИЙ САД № 201""")</f>
        <v>БДОУ Г. ОМСКА "ЦЕНТР РАЗВИТИЯ РЕБЕНКА - ДЕТСКИЙ САД № 201"</v>
      </c>
      <c r="B14896" s="24" t="s">
        <v>17166</v>
      </c>
      <c r="C14896" s="25">
        <v>12000</v>
      </c>
      <c r="D14896" s="22" t="s">
        <v>17167</v>
      </c>
      <c r="E14896" s="22" t="s">
        <v>208</v>
      </c>
      <c r="F14896" s="23" t="str">
        <f>HYPERLINK("https://www.spark-marketing.ru/Card/Lot/67940871", "Услуги по охране объекта посредством передачи тревожных сообщений по каналу GSM.")</f>
        <v>Услуги по охране объекта посредством передачи тревожных сообщений по каналу GSM.</v>
      </c>
      <c r="G14896" s="22" t="s">
        <v>521</v>
      </c>
      <c r="H14896" s="22" t="s">
        <v>522</v>
      </c>
      <c r="I14896" s="26">
        <v>43510.310416666704</v>
      </c>
      <c r="J14896" s="28" t="s">
        <v>52</v>
      </c>
      <c r="K14896" s="28" t="s">
        <v>52</v>
      </c>
      <c r="L14896" s="28" t="s">
        <v>52</v>
      </c>
      <c r="M14896" s="28" t="s">
        <v>52</v>
      </c>
      <c r="N14896" s="28" t="s">
        <v>52</v>
      </c>
    </row>
    <row r="14897" spans="1:14" x14ac:dyDescent="0.15">
      <c r="A14897" s="23" t="str">
        <f>HYPERLINK("https://www.spark-marketing.ru/Card/Person/121052", "РГБУ ""ДОМ-ИНТЕРНАТ ОБЩЕГО ТИПА ДЛЯ ПРЕСТАРЕЛЫХ И ИНВАЛИДОВ""")</f>
        <v>РГБУ "ДОМ-ИНТЕРНАТ ОБЩЕГО ТИПА ДЛЯ ПРЕСТАРЕЛЫХ И ИНВАЛИДОВ"</v>
      </c>
      <c r="B14897" s="24" t="s">
        <v>17168</v>
      </c>
      <c r="C14897" s="25">
        <v>66000</v>
      </c>
      <c r="D14897" s="22" t="s">
        <v>17169</v>
      </c>
      <c r="E14897" s="22" t="s">
        <v>1013</v>
      </c>
      <c r="F14897" s="23" t="str">
        <f>HYPERLINK("https://www.spark-marketing.ru/Card/Lot/67953631", "техническое обслуживание тревожной кнопки")</f>
        <v>техническое обслуживание тревожной кнопки</v>
      </c>
      <c r="G14897" s="22" t="s">
        <v>3936</v>
      </c>
      <c r="H14897" s="22" t="s">
        <v>3936</v>
      </c>
      <c r="I14897" s="26">
        <v>43510</v>
      </c>
      <c r="J14897" s="23" t="str">
        <f>HYPERLINK("https://www.spark-marketing.ru/Card/Person/55081", "ООО ""ОХРАНА-СЕРВИС""")</f>
        <v>ООО "ОХРАНА-СЕРВИС"</v>
      </c>
      <c r="K14897" s="24" t="s">
        <v>17170</v>
      </c>
      <c r="L14897" s="22" t="s">
        <v>10</v>
      </c>
      <c r="M14897" s="28" t="s">
        <v>52</v>
      </c>
      <c r="N14897" s="28" t="s">
        <v>52</v>
      </c>
    </row>
    <row r="14898" spans="1:14" x14ac:dyDescent="0.15">
      <c r="A14898" s="23" t="str">
        <f>HYPERLINK("https://www.spark-marketing.ru/Card/Person/86862", "ВОСТОЧНО-СИБИРСКОЕ СУТ СК РОССИИ")</f>
        <v>ВОСТОЧНО-СИБИРСКОЕ СУТ СК РОССИИ</v>
      </c>
      <c r="B14898" s="24" t="s">
        <v>14296</v>
      </c>
      <c r="C14898" s="25">
        <v>24942</v>
      </c>
      <c r="D14898" s="22" t="s">
        <v>17171</v>
      </c>
      <c r="E14898" s="22" t="s">
        <v>68</v>
      </c>
      <c r="F14898" s="23" t="str">
        <f>HYPERLINK("https://www.spark-marketing.ru/Card/Lot/67950144", "Охрана объекта с помощью тревожной сигнализации (Прочая закупка товаров, работ и услуг)")</f>
        <v>Охрана объекта с помощью тревожной сигнализации (Прочая закупка товаров, работ и услуг)</v>
      </c>
      <c r="G14898" s="22" t="s">
        <v>281</v>
      </c>
      <c r="H14898" s="22" t="s">
        <v>282</v>
      </c>
      <c r="I14898" s="26">
        <v>43510</v>
      </c>
      <c r="J14898" s="28" t="s">
        <v>52</v>
      </c>
      <c r="K14898" s="28" t="s">
        <v>52</v>
      </c>
      <c r="L14898" s="28" t="s">
        <v>52</v>
      </c>
      <c r="M14898" s="28" t="s">
        <v>52</v>
      </c>
      <c r="N14898" s="28" t="s">
        <v>52</v>
      </c>
    </row>
    <row r="14899" spans="1:14" x14ac:dyDescent="0.15">
      <c r="A14899" s="23" t="str">
        <f>HYPERLINK("https://www.spark-marketing.ru/Card/Person/5587", "КГБУЗ ""ГОРОДСКАЯ БОЛЬНИЦА №8, Г. БАРНАУЛ""")</f>
        <v>КГБУЗ "ГОРОДСКАЯ БОЛЬНИЦА №8, Г. БАРНАУЛ"</v>
      </c>
      <c r="B14899" s="24" t="s">
        <v>17172</v>
      </c>
      <c r="C14899" s="25">
        <v>36000</v>
      </c>
      <c r="D14899" s="22" t="s">
        <v>17173</v>
      </c>
      <c r="E14899" s="22" t="s">
        <v>107</v>
      </c>
      <c r="F14899" s="23" t="str">
        <f>HYPERLINK("https://www.spark-marketing.ru/Card/Lot/67943321", "Оказание услуг по техническому обслуживанию технических средств охраны в 2019 году")</f>
        <v>Оказание услуг по техническому обслуживанию технических средств охраны в 2019 году</v>
      </c>
      <c r="G14899" s="22" t="s">
        <v>428</v>
      </c>
      <c r="H14899" s="22" t="s">
        <v>429</v>
      </c>
      <c r="I14899" s="26">
        <v>43510</v>
      </c>
      <c r="J14899" s="28" t="s">
        <v>52</v>
      </c>
      <c r="K14899" s="28" t="s">
        <v>52</v>
      </c>
      <c r="L14899" s="28" t="s">
        <v>52</v>
      </c>
      <c r="M14899" s="28" t="s">
        <v>52</v>
      </c>
      <c r="N14899" s="28" t="s">
        <v>52</v>
      </c>
    </row>
    <row r="14900" spans="1:14" hidden="1" outlineLevel="1" x14ac:dyDescent="0.2">
      <c r="A14900" s="23" t="str">
        <f>HYPERLINK("https://www.spark-marketing.ru/Card/Person/5587", "КГБУЗ ""ГОРОДСКАЯ БОЛЬНИЦА №8, Г. БАРНАУЛ""")</f>
        <v>КГБУЗ "ГОРОДСКАЯ БОЛЬНИЦА №8, Г. БАРНАУЛ"</v>
      </c>
      <c r="B14900" s="24" t="s">
        <v>17172</v>
      </c>
      <c r="C14900" s="25">
        <v>36000</v>
      </c>
      <c r="D14900" s="22" t="s">
        <v>17173</v>
      </c>
      <c r="E14900" s="22" t="s">
        <v>107</v>
      </c>
      <c r="F14900" s="23" t="str">
        <f>HYPERLINK("https://www.spark-marketing.ru/Card/Lot/67943321", "Оказание услуг по техническому обслуживанию технических средств охраны в 2019 году")</f>
        <v>Оказание услуг по техническому обслуживанию технических средств охраны в 2019 году</v>
      </c>
      <c r="G14900" s="22" t="s">
        <v>428</v>
      </c>
      <c r="H14900" s="22" t="s">
        <v>429</v>
      </c>
      <c r="I14900" s="26">
        <v>43510</v>
      </c>
      <c r="J14900" s="23" t="str">
        <f>HYPERLINK("https://www.spark-marketing.ru/Card/Person/529892", "ЗАО ""ТЕХНО""")</f>
        <v>ЗАО "ТЕХНО"</v>
      </c>
      <c r="K14900" s="24" t="s">
        <v>2360</v>
      </c>
      <c r="L14900" s="28" t="s">
        <v>52</v>
      </c>
      <c r="M14900" s="25">
        <v>19260</v>
      </c>
      <c r="N14900" s="27">
        <v>0.46500000000000002</v>
      </c>
    </row>
    <row r="14901" spans="1:14" ht="12.75" hidden="1" outlineLevel="1" x14ac:dyDescent="0.2">
      <c r="A14901" s="23" t="str">
        <f>HYPERLINK("https://www.spark-marketing.ru/Card/Person/5587", "КГБУЗ ""ГОРОДСКАЯ БОЛЬНИЦА №8, Г. БАРНАУЛ""")</f>
        <v>КГБУЗ "ГОРОДСКАЯ БОЛЬНИЦА №8, Г. БАРНАУЛ"</v>
      </c>
      <c r="B14901" s="24" t="s">
        <v>17172</v>
      </c>
      <c r="C14901" s="25">
        <v>36000</v>
      </c>
      <c r="D14901" s="22" t="s">
        <v>17173</v>
      </c>
      <c r="E14901" s="22" t="s">
        <v>107</v>
      </c>
      <c r="F14901" s="23" t="str">
        <f>HYPERLINK("https://www.spark-marketing.ru/Card/Lot/67943321", "Оказание услуг по техническому обслуживанию технических средств охраны в 2019 году")</f>
        <v>Оказание услуг по техническому обслуживанию технических средств охраны в 2019 году</v>
      </c>
      <c r="G14901" s="22" t="s">
        <v>428</v>
      </c>
      <c r="H14901" s="22" t="s">
        <v>429</v>
      </c>
      <c r="I14901" s="26">
        <v>43510</v>
      </c>
      <c r="J14901" s="23" t="str">
        <f>HYPERLINK("https://www.spark-marketing.ru/Card/Person/902930", "ООО "" ТРАНЗИТ """)</f>
        <v>ООО " ТРАНЗИТ "</v>
      </c>
      <c r="K14901" s="24" t="s">
        <v>17174</v>
      </c>
      <c r="L14901" s="22" t="s">
        <v>10</v>
      </c>
      <c r="M14901" s="25">
        <v>19080</v>
      </c>
      <c r="N14901" s="27">
        <v>0.47</v>
      </c>
    </row>
    <row r="14902" spans="1:14" hidden="1" outlineLevel="1" x14ac:dyDescent="0.2">
      <c r="A14902" s="23" t="str">
        <f>HYPERLINK("https://www.spark-marketing.ru/Card/Person/5587", "КГБУЗ ""ГОРОДСКАЯ БОЛЬНИЦА №8, Г. БАРНАУЛ""")</f>
        <v>КГБУЗ "ГОРОДСКАЯ БОЛЬНИЦА №8, Г. БАРНАУЛ"</v>
      </c>
      <c r="B14902" s="24" t="s">
        <v>17172</v>
      </c>
      <c r="C14902" s="25">
        <v>36000</v>
      </c>
      <c r="D14902" s="22" t="s">
        <v>17173</v>
      </c>
      <c r="E14902" s="22" t="s">
        <v>107</v>
      </c>
      <c r="F14902" s="23" t="str">
        <f>HYPERLINK("https://www.spark-marketing.ru/Card/Lot/67943321", "Оказание услуг по техническому обслуживанию технических средств охраны в 2019 году")</f>
        <v>Оказание услуг по техническому обслуживанию технических средств охраны в 2019 году</v>
      </c>
      <c r="G14902" s="22" t="s">
        <v>428</v>
      </c>
      <c r="H14902" s="22" t="s">
        <v>429</v>
      </c>
      <c r="I14902" s="26">
        <v>43510</v>
      </c>
      <c r="J14902" s="23" t="str">
        <f>HYPERLINK("https://www.spark-marketing.ru/Card/Person/106748", "ООО ""РЕЗУЛЬТАТ""")</f>
        <v>ООО "РЕЗУЛЬТАТ"</v>
      </c>
      <c r="K14902" s="24" t="s">
        <v>2655</v>
      </c>
      <c r="L14902" s="28" t="s">
        <v>52</v>
      </c>
      <c r="M14902" s="25">
        <v>22500</v>
      </c>
      <c r="N14902" s="27">
        <v>0.375</v>
      </c>
    </row>
    <row r="14903" spans="1:14" x14ac:dyDescent="0.15">
      <c r="A14903" s="23" t="str">
        <f>HYPERLINK("https://www.spark-marketing.ru/Card/Person/311426", "ОТДЕЛ ГФС РОССИИ В Г. УЛЬЯНОВСКЕ")</f>
        <v>ОТДЕЛ ГФС РОССИИ В Г. УЛЬЯНОВСКЕ</v>
      </c>
      <c r="B14903" s="24" t="s">
        <v>17175</v>
      </c>
      <c r="C14903" s="25">
        <v>97641.72</v>
      </c>
      <c r="D14903" s="22" t="s">
        <v>17176</v>
      </c>
      <c r="E14903" s="22" t="s">
        <v>68</v>
      </c>
      <c r="F14903" s="23" t="str">
        <f>HYPERLINK("https://www.spark-marketing.ru/Card/Lot/67941123", "Услуги по охране объектов путем реагирования на срабатывание тревожной сигнализации")</f>
        <v>Услуги по охране объектов путем реагирования на срабатывание тревожной сигнализации</v>
      </c>
      <c r="G14903" s="22" t="s">
        <v>446</v>
      </c>
      <c r="H14903" s="22" t="s">
        <v>3996</v>
      </c>
      <c r="I14903" s="26">
        <v>43510</v>
      </c>
      <c r="J14903" s="28" t="s">
        <v>52</v>
      </c>
      <c r="K14903" s="28" t="s">
        <v>52</v>
      </c>
      <c r="L14903" s="28" t="s">
        <v>52</v>
      </c>
      <c r="M14903" s="28" t="s">
        <v>52</v>
      </c>
      <c r="N14903" s="28" t="s">
        <v>52</v>
      </c>
    </row>
    <row r="14904" spans="1:14" x14ac:dyDescent="0.15">
      <c r="A14904" s="23" t="str">
        <f>HYPERLINK("https://www.spark-marketing.ru/Card/Person/63624", "ГБУ ""ПОЛИКЛИНИКА №2 Г.ГРОЗНОГО""")</f>
        <v>ГБУ "ПОЛИКЛИНИКА №2 Г.ГРОЗНОГО"</v>
      </c>
      <c r="B14904" s="24" t="s">
        <v>17177</v>
      </c>
      <c r="C14904" s="25">
        <v>90180</v>
      </c>
      <c r="D14904" s="22" t="s">
        <v>17178</v>
      </c>
      <c r="E14904" s="22" t="s">
        <v>107</v>
      </c>
      <c r="F14904" s="23" t="str">
        <f>HYPERLINK("https://www.spark-marketing.ru/Card/Lot/67945640", "Техническое обслуживание системы видеонаблюдения")</f>
        <v>Техническое обслуживание системы видеонаблюдения</v>
      </c>
      <c r="G14904" s="22" t="s">
        <v>724</v>
      </c>
      <c r="H14904" s="22" t="s">
        <v>724</v>
      </c>
      <c r="I14904" s="26">
        <v>43510</v>
      </c>
      <c r="J14904" s="28" t="s">
        <v>52</v>
      </c>
      <c r="K14904" s="28" t="s">
        <v>52</v>
      </c>
      <c r="L14904" s="28" t="s">
        <v>52</v>
      </c>
      <c r="M14904" s="28" t="s">
        <v>52</v>
      </c>
      <c r="N14904" s="28" t="s">
        <v>52</v>
      </c>
    </row>
    <row r="14905" spans="1:14" ht="12.75" hidden="1" outlineLevel="1" x14ac:dyDescent="0.2">
      <c r="A14905" s="23" t="str">
        <f>HYPERLINK("https://www.spark-marketing.ru/Card/Person/63624", "ГБУ ""ПОЛИКЛИНИКА №2 Г.ГРОЗНОГО""")</f>
        <v>ГБУ "ПОЛИКЛИНИКА №2 Г.ГРОЗНОГО"</v>
      </c>
      <c r="B14905" s="24" t="s">
        <v>17177</v>
      </c>
      <c r="C14905" s="25">
        <v>90180</v>
      </c>
      <c r="D14905" s="22" t="s">
        <v>17178</v>
      </c>
      <c r="E14905" s="22" t="s">
        <v>107</v>
      </c>
      <c r="F14905" s="23" t="str">
        <f>HYPERLINK("https://www.spark-marketing.ru/Card/Lot/67945640", "Техническое обслуживание системы видеонаблюдения")</f>
        <v>Техническое обслуживание системы видеонаблюдения</v>
      </c>
      <c r="G14905" s="22" t="s">
        <v>724</v>
      </c>
      <c r="H14905" s="22" t="s">
        <v>724</v>
      </c>
      <c r="I14905" s="26">
        <v>43510</v>
      </c>
      <c r="J14905" s="23" t="str">
        <f>HYPERLINK("https://www.spark-marketing.ru/Card/Person/4917079", "ООО ""ГРОЗНЫЙ""")</f>
        <v>ООО "ГРОЗНЫЙ"</v>
      </c>
      <c r="K14905" s="24" t="s">
        <v>16487</v>
      </c>
      <c r="L14905" s="22" t="s">
        <v>10</v>
      </c>
      <c r="M14905" s="25">
        <v>89278.2</v>
      </c>
      <c r="N14905" s="27">
        <v>0.01</v>
      </c>
    </row>
    <row r="14906" spans="1:14" hidden="1" outlineLevel="1" x14ac:dyDescent="0.2">
      <c r="A14906" s="23" t="str">
        <f>HYPERLINK("https://www.spark-marketing.ru/Card/Person/63624", "ГБУ ""ПОЛИКЛИНИКА №2 Г.ГРОЗНОГО""")</f>
        <v>ГБУ "ПОЛИКЛИНИКА №2 Г.ГРОЗНОГО"</v>
      </c>
      <c r="B14906" s="24" t="s">
        <v>17177</v>
      </c>
      <c r="C14906" s="25">
        <v>90180</v>
      </c>
      <c r="D14906" s="22" t="s">
        <v>17178</v>
      </c>
      <c r="E14906" s="22" t="s">
        <v>107</v>
      </c>
      <c r="F14906" s="23" t="str">
        <f>HYPERLINK("https://www.spark-marketing.ru/Card/Lot/67945640", "Техническое обслуживание системы видеонаблюдения")</f>
        <v>Техническое обслуживание системы видеонаблюдения</v>
      </c>
      <c r="G14906" s="22" t="s">
        <v>724</v>
      </c>
      <c r="H14906" s="22" t="s">
        <v>724</v>
      </c>
      <c r="I14906" s="26">
        <v>43510</v>
      </c>
      <c r="J14906" s="23" t="str">
        <f>HYPERLINK("https://www.spark-marketing.ru/Card/Person/62692", "ООО ""БАСТИОН""")</f>
        <v>ООО "БАСТИОН"</v>
      </c>
      <c r="K14906" s="24" t="s">
        <v>11884</v>
      </c>
      <c r="L14906" s="28" t="s">
        <v>52</v>
      </c>
      <c r="M14906" s="25">
        <v>89729.1</v>
      </c>
      <c r="N14906" s="27">
        <v>5.0000000000000001E-3</v>
      </c>
    </row>
    <row r="14907" spans="1:14" x14ac:dyDescent="0.15">
      <c r="A14907" s="23" t="str">
        <f>HYPERLINK("https://www.spark-marketing.ru/Card/Person/37120", "УСД В Г. МОСКВЕ")</f>
        <v>УСД В Г. МОСКВЕ</v>
      </c>
      <c r="B14907" s="24" t="s">
        <v>5025</v>
      </c>
      <c r="C14907" s="25">
        <v>108098.4</v>
      </c>
      <c r="D14907" s="22" t="s">
        <v>17179</v>
      </c>
      <c r="E14907" s="22" t="s">
        <v>68</v>
      </c>
      <c r="F14907" s="23" t="str">
        <f>HYPERLINK("https://www.spark-marketing.ru/Card/Lot/67967361", "Оказание охранных услуг в Черемушкинском и Зюзинском районных судах г. Москвы")</f>
        <v>Оказание охранных услуг в Черемушкинском и Зюзинском районных судах г. Москвы</v>
      </c>
      <c r="G14907" s="22" t="s">
        <v>55</v>
      </c>
      <c r="H14907" s="22" t="s">
        <v>55</v>
      </c>
      <c r="I14907" s="26">
        <v>43510</v>
      </c>
      <c r="J14907" s="28" t="s">
        <v>52</v>
      </c>
      <c r="K14907" s="28" t="s">
        <v>52</v>
      </c>
      <c r="L14907" s="28" t="s">
        <v>52</v>
      </c>
      <c r="M14907" s="28" t="s">
        <v>52</v>
      </c>
      <c r="N14907" s="28" t="s">
        <v>52</v>
      </c>
    </row>
    <row r="14908" spans="1:14" x14ac:dyDescent="0.15">
      <c r="A14908" s="23" t="str">
        <f>HYPERLINK("https://www.spark-marketing.ru/Card/Person/18431", "ОПФР ПО УЛЬЯНОВСКОЙ ОБЛАСТИ")</f>
        <v>ОПФР ПО УЛЬЯНОВСКОЙ ОБЛАСТИ</v>
      </c>
      <c r="B14908" s="24" t="s">
        <v>17180</v>
      </c>
      <c r="C14908" s="25">
        <v>16133.32</v>
      </c>
      <c r="D14908" s="22" t="s">
        <v>17181</v>
      </c>
      <c r="E14908" s="22" t="s">
        <v>107</v>
      </c>
      <c r="F14908" s="23" t="str">
        <f>HYPERLINK("https://www.spark-marketing.ru/Card/Lot/67955622", "Оказание услуг по техническому обслуживанию системы видеонаблюдения")</f>
        <v>Оказание услуг по техническому обслуживанию системы видеонаблюдения</v>
      </c>
      <c r="G14908" s="22" t="s">
        <v>446</v>
      </c>
      <c r="H14908" s="22" t="s">
        <v>446</v>
      </c>
      <c r="I14908" s="26">
        <v>43510</v>
      </c>
      <c r="J14908" s="28" t="s">
        <v>52</v>
      </c>
      <c r="K14908" s="28" t="s">
        <v>52</v>
      </c>
      <c r="L14908" s="28" t="s">
        <v>52</v>
      </c>
      <c r="M14908" s="28" t="s">
        <v>52</v>
      </c>
      <c r="N14908" s="28" t="s">
        <v>52</v>
      </c>
    </row>
    <row r="14909" spans="1:14" hidden="1" outlineLevel="1" x14ac:dyDescent="0.2">
      <c r="A14909" s="23" t="str">
        <f>HYPERLINK("https://www.spark-marketing.ru/Card/Person/18431", "ОПФР ПО УЛЬЯНОВСКОЙ ОБЛАСТИ")</f>
        <v>ОПФР ПО УЛЬЯНОВСКОЙ ОБЛАСТИ</v>
      </c>
      <c r="B14909" s="24" t="s">
        <v>17180</v>
      </c>
      <c r="C14909" s="25">
        <v>16133.32</v>
      </c>
      <c r="D14909" s="22" t="s">
        <v>17181</v>
      </c>
      <c r="E14909" s="22" t="s">
        <v>107</v>
      </c>
      <c r="F14909" s="23" t="str">
        <f>HYPERLINK("https://www.spark-marketing.ru/Card/Lot/67955622", "Оказание услуг по техническому обслуживанию системы видеонаблюдения")</f>
        <v>Оказание услуг по техническому обслуживанию системы видеонаблюдения</v>
      </c>
      <c r="G14909" s="22" t="s">
        <v>446</v>
      </c>
      <c r="H14909" s="22" t="s">
        <v>446</v>
      </c>
      <c r="I14909" s="26">
        <v>43510</v>
      </c>
      <c r="J14909" s="23" t="str">
        <f>HYPERLINK("https://www.spark-marketing.ru/Card/Person/670092", "ООО ""ТЕХ-ЗАЩИТА""")</f>
        <v>ООО "ТЕХ-ЗАЩИТА"</v>
      </c>
      <c r="K14909" s="24" t="s">
        <v>7679</v>
      </c>
      <c r="L14909" s="28" t="s">
        <v>52</v>
      </c>
      <c r="M14909" s="25">
        <v>12433</v>
      </c>
      <c r="N14909" s="27">
        <v>0.22935886723873325</v>
      </c>
    </row>
    <row r="14910" spans="1:14" ht="12.75" hidden="1" outlineLevel="1" x14ac:dyDescent="0.2">
      <c r="A14910" s="23" t="str">
        <f>HYPERLINK("https://www.spark-marketing.ru/Card/Person/18431", "ОПФР ПО УЛЬЯНОВСКОЙ ОБЛАСТИ")</f>
        <v>ОПФР ПО УЛЬЯНОВСКОЙ ОБЛАСТИ</v>
      </c>
      <c r="B14910" s="24" t="s">
        <v>17180</v>
      </c>
      <c r="C14910" s="25">
        <v>16133.32</v>
      </c>
      <c r="D14910" s="22" t="s">
        <v>17181</v>
      </c>
      <c r="E14910" s="22" t="s">
        <v>107</v>
      </c>
      <c r="F14910" s="23" t="str">
        <f>HYPERLINK("https://www.spark-marketing.ru/Card/Lot/67955622", "Оказание услуг по техническому обслуживанию системы видеонаблюдения")</f>
        <v>Оказание услуг по техническому обслуживанию системы видеонаблюдения</v>
      </c>
      <c r="G14910" s="22" t="s">
        <v>446</v>
      </c>
      <c r="H14910" s="22" t="s">
        <v>446</v>
      </c>
      <c r="I14910" s="26">
        <v>43510</v>
      </c>
      <c r="J14910" s="23" t="str">
        <f>HYPERLINK("https://www.spark-marketing.ru/Card/Person/234026", "ООО""МСБ""")</f>
        <v>ООО"МСБ"</v>
      </c>
      <c r="K14910" s="24" t="s">
        <v>17182</v>
      </c>
      <c r="L14910" s="22" t="s">
        <v>10</v>
      </c>
      <c r="M14910" s="25">
        <v>6433</v>
      </c>
      <c r="N14910" s="27">
        <v>0.60126000104132316</v>
      </c>
    </row>
    <row r="14911" spans="1:14" hidden="1" outlineLevel="1" x14ac:dyDescent="0.2">
      <c r="A14911" s="23" t="str">
        <f>HYPERLINK("https://www.spark-marketing.ru/Card/Person/18431", "ОПФР ПО УЛЬЯНОВСКОЙ ОБЛАСТИ")</f>
        <v>ОПФР ПО УЛЬЯНОВСКОЙ ОБЛАСТИ</v>
      </c>
      <c r="B14911" s="24" t="s">
        <v>17180</v>
      </c>
      <c r="C14911" s="25">
        <v>16133.32</v>
      </c>
      <c r="D14911" s="22" t="s">
        <v>17181</v>
      </c>
      <c r="E14911" s="22" t="s">
        <v>107</v>
      </c>
      <c r="F14911" s="23" t="str">
        <f>HYPERLINK("https://www.spark-marketing.ru/Card/Lot/67955622", "Оказание услуг по техническому обслуживанию системы видеонаблюдения")</f>
        <v>Оказание услуг по техническому обслуживанию системы видеонаблюдения</v>
      </c>
      <c r="G14911" s="22" t="s">
        <v>446</v>
      </c>
      <c r="H14911" s="22" t="s">
        <v>446</v>
      </c>
      <c r="I14911" s="26">
        <v>43510</v>
      </c>
      <c r="J14911" s="23" t="str">
        <f>HYPERLINK("https://www.spark-marketing.ru/Card/Person/855964", "ООО ""ФИЛИН""")</f>
        <v>ООО "ФИЛИН"</v>
      </c>
      <c r="K14911" s="24" t="s">
        <v>17183</v>
      </c>
      <c r="L14911" s="28" t="s">
        <v>52</v>
      </c>
      <c r="M14911" s="25">
        <v>6533</v>
      </c>
      <c r="N14911" s="27">
        <v>0.59506164881127999</v>
      </c>
    </row>
    <row r="14912" spans="1:14" hidden="1" outlineLevel="1" x14ac:dyDescent="0.2">
      <c r="A14912" s="23" t="str">
        <f>HYPERLINK("https://www.spark-marketing.ru/Card/Person/18431", "ОПФР ПО УЛЬЯНОВСКОЙ ОБЛАСТИ")</f>
        <v>ОПФР ПО УЛЬЯНОВСКОЙ ОБЛАСТИ</v>
      </c>
      <c r="B14912" s="24" t="s">
        <v>17180</v>
      </c>
      <c r="C14912" s="25">
        <v>16133.32</v>
      </c>
      <c r="D14912" s="22" t="s">
        <v>17181</v>
      </c>
      <c r="E14912" s="22" t="s">
        <v>107</v>
      </c>
      <c r="F14912" s="23" t="str">
        <f>HYPERLINK("https://www.spark-marketing.ru/Card/Lot/67955622", "Оказание услуг по техническому обслуживанию системы видеонаблюдения")</f>
        <v>Оказание услуг по техническому обслуживанию системы видеонаблюдения</v>
      </c>
      <c r="G14912" s="22" t="s">
        <v>446</v>
      </c>
      <c r="H14912" s="22" t="s">
        <v>446</v>
      </c>
      <c r="I14912" s="26">
        <v>43510</v>
      </c>
      <c r="J14912" s="23" t="str">
        <f>HYPERLINK("https://www.spark-marketing.ru/Card/Person/47234", "ООО ППП ""АГОР""")</f>
        <v>ООО ППП "АГОР"</v>
      </c>
      <c r="K14912" s="24" t="s">
        <v>17184</v>
      </c>
      <c r="L14912" s="28" t="s">
        <v>52</v>
      </c>
      <c r="M14912" s="25">
        <v>15933.32</v>
      </c>
      <c r="N14912" s="27">
        <v>1.239670446008633E-2</v>
      </c>
    </row>
    <row r="14913" spans="1:14" x14ac:dyDescent="0.15">
      <c r="A14913" s="23" t="str">
        <f>HYPERLINK("https://www.spark-marketing.ru/Card/Person/37120", "УСД В Г. МОСКВЕ")</f>
        <v>УСД В Г. МОСКВЕ</v>
      </c>
      <c r="B14913" s="24" t="s">
        <v>5025</v>
      </c>
      <c r="C14913" s="25">
        <v>20162160</v>
      </c>
      <c r="D14913" s="22" t="s">
        <v>17185</v>
      </c>
      <c r="E14913" s="22" t="s">
        <v>68</v>
      </c>
      <c r="F14913" s="23" t="str">
        <f>HYPERLINK("https://www.spark-marketing.ru/Card/Lot/67967334", "Оказание охранных услуг")</f>
        <v>Оказание охранных услуг</v>
      </c>
      <c r="G14913" s="22" t="s">
        <v>55</v>
      </c>
      <c r="H14913" s="22" t="s">
        <v>55</v>
      </c>
      <c r="I14913" s="26">
        <v>43510</v>
      </c>
      <c r="J14913" s="23" t="str">
        <f>HYPERLINK("https://www.spark-marketing.ru/Card/Person/149251", "ООО ЧОО ""КАЗАЧЬЯ СТРАЖА""")</f>
        <v>ООО ЧОО "КАЗАЧЬЯ СТРАЖА"</v>
      </c>
      <c r="K14913" s="24" t="s">
        <v>5027</v>
      </c>
      <c r="L14913" s="22" t="s">
        <v>10</v>
      </c>
      <c r="M14913" s="28" t="s">
        <v>52</v>
      </c>
      <c r="N14913" s="28" t="s">
        <v>52</v>
      </c>
    </row>
    <row r="14914" spans="1:14" x14ac:dyDescent="0.15">
      <c r="A14914" s="23" t="str">
        <f>HYPERLINK("https://www.spark-marketing.ru/Card/Person/79420", "ФГКУ КОМБИНАТ ""КРАСНОЕ ЗНАМЯ"" РОСРЕЗЕРВА")</f>
        <v>ФГКУ КОМБИНАТ "КРАСНОЕ ЗНАМЯ" РОСРЕЗЕРВА</v>
      </c>
      <c r="B14914" s="24" t="s">
        <v>6606</v>
      </c>
      <c r="C14914" s="25">
        <v>34542</v>
      </c>
      <c r="D14914" s="22" t="s">
        <v>17186</v>
      </c>
      <c r="E14914" s="22" t="s">
        <v>68</v>
      </c>
      <c r="F14914" s="23" t="str">
        <f>HYPERLINK("https://www.spark-marketing.ru/Card/Lot/67967367", "Оказание услуг по охране грузов на железнодорожных путях необщего пользования")</f>
        <v>Оказание услуг по охране грузов на железнодорожных путях необщего пользования</v>
      </c>
      <c r="G14914" s="22" t="s">
        <v>552</v>
      </c>
      <c r="H14914" s="22" t="s">
        <v>552</v>
      </c>
      <c r="I14914" s="26">
        <v>43510</v>
      </c>
      <c r="J14914" s="28" t="s">
        <v>52</v>
      </c>
      <c r="K14914" s="28" t="s">
        <v>52</v>
      </c>
      <c r="L14914" s="28" t="s">
        <v>52</v>
      </c>
      <c r="M14914" s="28" t="s">
        <v>52</v>
      </c>
      <c r="N14914" s="28" t="s">
        <v>52</v>
      </c>
    </row>
    <row r="14915" spans="1:14" x14ac:dyDescent="0.15">
      <c r="A14915" s="23" t="str">
        <f>HYPERLINK("https://www.spark-marketing.ru/Card/Person/37120", "УСД В Г. МОСКВЕ")</f>
        <v>УСД В Г. МОСКВЕ</v>
      </c>
      <c r="B14915" s="24" t="s">
        <v>5025</v>
      </c>
      <c r="C14915" s="25">
        <v>162147.6</v>
      </c>
      <c r="D14915" s="22" t="s">
        <v>17187</v>
      </c>
      <c r="E14915" s="22" t="s">
        <v>68</v>
      </c>
      <c r="F14915" s="23" t="str">
        <f>HYPERLINK("https://www.spark-marketing.ru/Card/Lot/67965370", "Оказание охранных услуг в Бутырском, Бабушкинском, Останкинском районных судах г. Москвы")</f>
        <v>Оказание охранных услуг в Бутырском, Бабушкинском, Останкинском районных судах г. Москвы</v>
      </c>
      <c r="G14915" s="22" t="s">
        <v>55</v>
      </c>
      <c r="H14915" s="22" t="s">
        <v>55</v>
      </c>
      <c r="I14915" s="26">
        <v>43510</v>
      </c>
      <c r="J14915" s="28" t="s">
        <v>52</v>
      </c>
      <c r="K14915" s="28" t="s">
        <v>52</v>
      </c>
      <c r="L14915" s="28" t="s">
        <v>52</v>
      </c>
      <c r="M14915" s="28" t="s">
        <v>52</v>
      </c>
      <c r="N14915" s="28" t="s">
        <v>52</v>
      </c>
    </row>
    <row r="14916" spans="1:14" x14ac:dyDescent="0.15">
      <c r="A14916" s="23" t="str">
        <f>HYPERLINK("https://www.spark-marketing.ru/Card/Person/130854", "МБУ ""МФЦ ГОРОДСКОГО ОКРУГА СОЛНЕЧНОГОРСК""")</f>
        <v>МБУ "МФЦ ГОРОДСКОГО ОКРУГА СОЛНЕЧНОГОРСК"</v>
      </c>
      <c r="B14916" s="24" t="s">
        <v>9579</v>
      </c>
      <c r="C14916" s="25">
        <v>33000</v>
      </c>
      <c r="D14916" s="22" t="s">
        <v>17188</v>
      </c>
      <c r="E14916" s="22" t="s">
        <v>103</v>
      </c>
      <c r="F14916" s="23" t="str">
        <f>HYPERLINK("https://www.spark-marketing.ru/Card/Lot/67961070", "Обслуживание сигнализации в помещениях по хранению государственной защищенной полиграфической продукции для нужд Муниципального бюджетного учреждения «Многофункциональный центр предоставления государственных и муниципальных услуг Солнечногорского мун...")</f>
        <v>Обслуживание сигнализации в помещениях по хранению государственной защищенной полиграфической продукции для нужд Муниципального бюджетного учреждения «Многофункциональный центр предоставления государственных и муниципальных услуг Солнечногорского мун...</v>
      </c>
      <c r="G14916" s="22" t="s">
        <v>50</v>
      </c>
      <c r="H14916" s="22" t="s">
        <v>265</v>
      </c>
      <c r="I14916" s="26">
        <v>43510</v>
      </c>
      <c r="J14916" s="28" t="s">
        <v>52</v>
      </c>
      <c r="K14916" s="28" t="s">
        <v>52</v>
      </c>
      <c r="L14916" s="28" t="s">
        <v>52</v>
      </c>
      <c r="M14916" s="28" t="s">
        <v>52</v>
      </c>
      <c r="N14916" s="28" t="s">
        <v>52</v>
      </c>
    </row>
    <row r="14917" spans="1:14" hidden="1" outlineLevel="1" x14ac:dyDescent="0.2">
      <c r="A14917" s="23" t="str">
        <f>HYPERLINK("https://www.spark-marketing.ru/Card/Person/130854", "МБУ ""МФЦ ГОРОДСКОГО ОКРУГА СОЛНЕЧНОГОРСК""")</f>
        <v>МБУ "МФЦ ГОРОДСКОГО ОКРУГА СОЛНЕЧНОГОРСК"</v>
      </c>
      <c r="B14917" s="24" t="s">
        <v>9579</v>
      </c>
      <c r="C14917" s="25">
        <v>33000</v>
      </c>
      <c r="D14917" s="22" t="s">
        <v>17188</v>
      </c>
      <c r="E14917" s="22" t="s">
        <v>103</v>
      </c>
      <c r="F14917" s="23" t="str">
        <f>HYPERLINK("https://www.spark-marketing.ru/Card/Lot/67961070", "Обслуживание сигнализации в помещениях по хранению государственной защищенной полиграфической продукции для нужд Муниципального бюджетного учреждения «Многофункциональный центр предоставления государственных и муниципальных услуг Солнечногорского мун...")</f>
        <v>Обслуживание сигнализации в помещениях по хранению государственной защищенной полиграфической продукции для нужд Муниципального бюджетного учреждения «Многофункциональный центр предоставления государственных и муниципальных услуг Солнечногорского мун...</v>
      </c>
      <c r="G14917" s="22" t="s">
        <v>50</v>
      </c>
      <c r="H14917" s="22" t="s">
        <v>265</v>
      </c>
      <c r="I14917" s="26">
        <v>43510</v>
      </c>
      <c r="J14917" s="23" t="str">
        <f>HYPERLINK("https://www.spark-marketing.ru/Card/Person/4413663", "ООО ""ОСКАР-КСБ""")</f>
        <v>ООО "ОСКАР-КСБ"</v>
      </c>
      <c r="K14917" s="24" t="s">
        <v>17189</v>
      </c>
      <c r="L14917" s="28" t="s">
        <v>52</v>
      </c>
      <c r="M14917" s="25">
        <v>33000</v>
      </c>
      <c r="N14917" s="27">
        <v>0</v>
      </c>
    </row>
    <row r="14918" spans="1:14" hidden="1" outlineLevel="1" x14ac:dyDescent="0.2">
      <c r="A14918" s="23" t="str">
        <f>HYPERLINK("https://www.spark-marketing.ru/Card/Person/130854", "МБУ ""МФЦ ГОРОДСКОГО ОКРУГА СОЛНЕЧНОГОРСК""")</f>
        <v>МБУ "МФЦ ГОРОДСКОГО ОКРУГА СОЛНЕЧНОГОРСК"</v>
      </c>
      <c r="B14918" s="24" t="s">
        <v>9579</v>
      </c>
      <c r="C14918" s="25">
        <v>33000</v>
      </c>
      <c r="D14918" s="22" t="s">
        <v>17188</v>
      </c>
      <c r="E14918" s="22" t="s">
        <v>103</v>
      </c>
      <c r="F14918" s="23" t="str">
        <f>HYPERLINK("https://www.spark-marketing.ru/Card/Lot/67961070", "Обслуживание сигнализации в помещениях по хранению государственной защищенной полиграфической продукции для нужд Муниципального бюджетного учреждения «Многофункциональный центр предоставления государственных и муниципальных услуг Солнечногорского мун...")</f>
        <v>Обслуживание сигнализации в помещениях по хранению государственной защищенной полиграфической продукции для нужд Муниципального бюджетного учреждения «Многофункциональный центр предоставления государственных и муниципальных услуг Солнечногорского мун...</v>
      </c>
      <c r="G14918" s="22" t="s">
        <v>50</v>
      </c>
      <c r="H14918" s="22" t="s">
        <v>265</v>
      </c>
      <c r="I14918" s="26">
        <v>43510</v>
      </c>
      <c r="J14918" s="23" t="str">
        <f>HYPERLINK("https://www.spark-marketing.ru/Card/Person/4466875", "ООО ""ОП ""ФОРМУЛА БЕЗОПАСНОСТИ""")</f>
        <v>ООО "ОП "ФОРМУЛА БЕЗОПАСНОСТИ"</v>
      </c>
      <c r="K14918" s="24" t="s">
        <v>17190</v>
      </c>
      <c r="L14918" s="28" t="s">
        <v>52</v>
      </c>
      <c r="M14918" s="25">
        <v>30000</v>
      </c>
      <c r="N14918" s="27">
        <v>9.0909090909090912E-2</v>
      </c>
    </row>
    <row r="14919" spans="1:14" ht="12.75" hidden="1" outlineLevel="1" x14ac:dyDescent="0.2">
      <c r="A14919" s="23" t="str">
        <f>HYPERLINK("https://www.spark-marketing.ru/Card/Person/130854", "МБУ ""МФЦ ГОРОДСКОГО ОКРУГА СОЛНЕЧНОГОРСК""")</f>
        <v>МБУ "МФЦ ГОРОДСКОГО ОКРУГА СОЛНЕЧНОГОРСК"</v>
      </c>
      <c r="B14919" s="24" t="s">
        <v>9579</v>
      </c>
      <c r="C14919" s="25">
        <v>33000</v>
      </c>
      <c r="D14919" s="22" t="s">
        <v>17188</v>
      </c>
      <c r="E14919" s="22" t="s">
        <v>103</v>
      </c>
      <c r="F14919" s="23" t="str">
        <f>HYPERLINK("https://www.spark-marketing.ru/Card/Lot/67961070", "Обслуживание сигнализации в помещениях по хранению государственной защищенной полиграфической продукции для нужд Муниципального бюджетного учреждения «Многофункциональный центр предоставления государственных и муниципальных услуг Солнечногорского мун...")</f>
        <v>Обслуживание сигнализации в помещениях по хранению государственной защищенной полиграфической продукции для нужд Муниципального бюджетного учреждения «Многофункциональный центр предоставления государственных и муниципальных услуг Солнечногорского мун...</v>
      </c>
      <c r="G14919" s="22" t="s">
        <v>50</v>
      </c>
      <c r="H14919" s="22" t="s">
        <v>265</v>
      </c>
      <c r="I14919" s="26">
        <v>43510</v>
      </c>
      <c r="J14919" s="23" t="str">
        <f>HYPERLINK("https://www.spark-marketing.ru/Card/Person/6785", "ООО ""КБК""")</f>
        <v>ООО "КБК"</v>
      </c>
      <c r="K14919" s="24" t="s">
        <v>14336</v>
      </c>
      <c r="L14919" s="22" t="s">
        <v>10</v>
      </c>
      <c r="M14919" s="25">
        <v>29000</v>
      </c>
      <c r="N14919" s="27">
        <v>0.12121212121212122</v>
      </c>
    </row>
    <row r="14920" spans="1:14" x14ac:dyDescent="0.15">
      <c r="A14920" s="23" t="str">
        <f>HYPERLINK("https://www.spark-marketing.ru/Card/Person/522233", "ГБУ «АВТОХОЗЯЙСТВО»")</f>
        <v>ГБУ «АВТОХОЗЯЙСТВО»</v>
      </c>
      <c r="B14920" s="24" t="s">
        <v>17191</v>
      </c>
      <c r="C14920" s="25">
        <v>375666.62</v>
      </c>
      <c r="D14920" s="22" t="s">
        <v>17192</v>
      </c>
      <c r="E14920" s="22" t="s">
        <v>1013</v>
      </c>
      <c r="F14920" s="23" t="str">
        <f>HYPERLINK("https://www.spark-marketing.ru/Card/Lot/67949331", "Разработка и утверждение планов обеспечения транспортной безопасности транспортных средств")</f>
        <v>Разработка и утверждение планов обеспечения транспортной безопасности транспортных средств</v>
      </c>
      <c r="G14920" s="22" t="s">
        <v>55</v>
      </c>
      <c r="H14920" s="22" t="s">
        <v>55</v>
      </c>
      <c r="I14920" s="26">
        <v>43510</v>
      </c>
      <c r="J14920" s="28" t="s">
        <v>52</v>
      </c>
      <c r="K14920" s="28" t="s">
        <v>52</v>
      </c>
      <c r="L14920" s="28" t="s">
        <v>52</v>
      </c>
      <c r="M14920" s="28" t="s">
        <v>52</v>
      </c>
      <c r="N14920" s="28" t="s">
        <v>52</v>
      </c>
    </row>
    <row r="14921" spans="1:14" ht="12.75" hidden="1" outlineLevel="1" x14ac:dyDescent="0.2">
      <c r="A14921" s="23" t="str">
        <f>HYPERLINK("https://www.spark-marketing.ru/Card/Person/522233", "ГБУ «АВТОХОЗЯЙСТВО»")</f>
        <v>ГБУ «АВТОХОЗЯЙСТВО»</v>
      </c>
      <c r="B14921" s="24" t="s">
        <v>17191</v>
      </c>
      <c r="C14921" s="25">
        <v>375666.62</v>
      </c>
      <c r="D14921" s="22" t="s">
        <v>17192</v>
      </c>
      <c r="E14921" s="22" t="s">
        <v>1013</v>
      </c>
      <c r="F14921" s="23" t="str">
        <f>HYPERLINK("https://www.spark-marketing.ru/Card/Lot/67949331", "Разработка и утверждение планов обеспечения транспортной безопасности транспортных средств")</f>
        <v>Разработка и утверждение планов обеспечения транспортной безопасности транспортных средств</v>
      </c>
      <c r="G14921" s="22" t="s">
        <v>55</v>
      </c>
      <c r="H14921" s="22" t="s">
        <v>55</v>
      </c>
      <c r="I14921" s="26">
        <v>43510</v>
      </c>
      <c r="J14921" s="23" t="str">
        <f>HYPERLINK("https://www.spark-marketing.ru/Card/Person/1978058", "ООО ""ФОРМУЛА БЕЗОПАСНОСТИ ТРАНСПОРТА""")</f>
        <v>ООО "ФОРМУЛА БЕЗОПАСНОСТИ ТРАНСПОРТА"</v>
      </c>
      <c r="K14921" s="24" t="s">
        <v>3385</v>
      </c>
      <c r="L14921" s="22" t="s">
        <v>10</v>
      </c>
      <c r="M14921" s="25">
        <v>345800</v>
      </c>
      <c r="N14921" s="27">
        <v>7.950299124260761E-2</v>
      </c>
    </row>
    <row r="14922" spans="1:14" hidden="1" outlineLevel="1" x14ac:dyDescent="0.2">
      <c r="A14922" s="23" t="str">
        <f>HYPERLINK("https://www.spark-marketing.ru/Card/Person/522233", "ГБУ «АВТОХОЗЯЙСТВО»")</f>
        <v>ГБУ «АВТОХОЗЯЙСТВО»</v>
      </c>
      <c r="B14922" s="24" t="s">
        <v>17191</v>
      </c>
      <c r="C14922" s="25">
        <v>375666.62</v>
      </c>
      <c r="D14922" s="22" t="s">
        <v>17192</v>
      </c>
      <c r="E14922" s="22" t="s">
        <v>1013</v>
      </c>
      <c r="F14922" s="23" t="str">
        <f>HYPERLINK("https://www.spark-marketing.ru/Card/Lot/67949331", "Разработка и утверждение планов обеспечения транспортной безопасности транспортных средств")</f>
        <v>Разработка и утверждение планов обеспечения транспортной безопасности транспортных средств</v>
      </c>
      <c r="G14922" s="22" t="s">
        <v>55</v>
      </c>
      <c r="H14922" s="22" t="s">
        <v>55</v>
      </c>
      <c r="I14922" s="26">
        <v>43510</v>
      </c>
      <c r="J14922" s="23" t="str">
        <f>HYPERLINK("https://www.spark-marketing.ru/Card/Person/1668697", "ООО ""КСБ-КРЫМ""")</f>
        <v>ООО "КСБ-КРЫМ"</v>
      </c>
      <c r="K14922" s="24" t="s">
        <v>14038</v>
      </c>
      <c r="L14922" s="28" t="s">
        <v>52</v>
      </c>
      <c r="M14922" s="25">
        <v>360500</v>
      </c>
      <c r="N14922" s="27">
        <v>4.0372551599074734E-2</v>
      </c>
    </row>
    <row r="14923" spans="1:14" x14ac:dyDescent="0.15">
      <c r="A14923" s="23" t="str">
        <f>HYPERLINK("https://www.spark-marketing.ru/Card/Person/37120", "УСД В Г. МОСКВЕ")</f>
        <v>УСД В Г. МОСКВЕ</v>
      </c>
      <c r="B14923" s="24" t="s">
        <v>5025</v>
      </c>
      <c r="C14923" s="25">
        <v>162147.6</v>
      </c>
      <c r="D14923" s="22" t="s">
        <v>17193</v>
      </c>
      <c r="E14923" s="22" t="s">
        <v>68</v>
      </c>
      <c r="F14923" s="23" t="str">
        <f>HYPERLINK("https://www.spark-marketing.ru/Card/Lot/67965371", "Оказание охранных услуг в Кузьминском, Лефортовском, Люблинском районных судах г. Москвы")</f>
        <v>Оказание охранных услуг в Кузьминском, Лефортовском, Люблинском районных судах г. Москвы</v>
      </c>
      <c r="G14923" s="22" t="s">
        <v>55</v>
      </c>
      <c r="H14923" s="22" t="s">
        <v>55</v>
      </c>
      <c r="I14923" s="26">
        <v>43510</v>
      </c>
      <c r="J14923" s="28" t="s">
        <v>52</v>
      </c>
      <c r="K14923" s="28" t="s">
        <v>52</v>
      </c>
      <c r="L14923" s="28" t="s">
        <v>52</v>
      </c>
      <c r="M14923" s="28" t="s">
        <v>52</v>
      </c>
      <c r="N14923" s="28" t="s">
        <v>52</v>
      </c>
    </row>
    <row r="14924" spans="1:14" x14ac:dyDescent="0.15">
      <c r="A14924" s="23" t="str">
        <f>HYPERLINK("https://www.spark-marketing.ru/Card/Person/86862", "ВОСТОЧНО-СИБИРСКОЕ СУТ СК РОССИИ")</f>
        <v>ВОСТОЧНО-СИБИРСКОЕ СУТ СК РОССИИ</v>
      </c>
      <c r="B14924" s="24" t="s">
        <v>14296</v>
      </c>
      <c r="C14924" s="25">
        <v>18322.439999999999</v>
      </c>
      <c r="D14924" s="22" t="s">
        <v>17194</v>
      </c>
      <c r="E14924" s="22" t="s">
        <v>68</v>
      </c>
      <c r="F14924" s="23" t="str">
        <f>HYPERLINK("https://www.spark-marketing.ru/Card/Lot/67954030", "Охрана объекта с помощью тревожной сигнализации (Прочая закупка товаров, работ и услуг)")</f>
        <v>Охрана объекта с помощью тревожной сигнализации (Прочая закупка товаров, работ и услуг)</v>
      </c>
      <c r="G14924" s="22" t="s">
        <v>473</v>
      </c>
      <c r="H14924" s="22" t="s">
        <v>476</v>
      </c>
      <c r="I14924" s="26">
        <v>43510</v>
      </c>
      <c r="J14924" s="28" t="s">
        <v>52</v>
      </c>
      <c r="K14924" s="28" t="s">
        <v>52</v>
      </c>
      <c r="L14924" s="28" t="s">
        <v>52</v>
      </c>
      <c r="M14924" s="28" t="s">
        <v>52</v>
      </c>
      <c r="N14924" s="28" t="s">
        <v>52</v>
      </c>
    </row>
    <row r="14925" spans="1:14" x14ac:dyDescent="0.15">
      <c r="A14925" s="23" t="str">
        <f>HYPERLINK("https://www.spark-marketing.ru/Card/Person/7448", "ПРОКУРАТУРА МУРМАНСКОЙ ОБЛАСТИ")</f>
        <v>ПРОКУРАТУРА МУРМАНСКОЙ ОБЛАСТИ</v>
      </c>
      <c r="B14925" s="24" t="s">
        <v>13726</v>
      </c>
      <c r="C14925" s="25">
        <v>122895.6</v>
      </c>
      <c r="D14925" s="22" t="s">
        <v>17195</v>
      </c>
      <c r="E14925" s="22" t="s">
        <v>7738</v>
      </c>
      <c r="F14925" s="23" t="str">
        <f>HYPERLINK("https://www.spark-marketing.ru/Card/Lot/67954826", "Услуги по пультовой охране в пр-ре г.Мончегорска")</f>
        <v>Услуги по пультовой охране в пр-ре г.Мончегорска</v>
      </c>
      <c r="G14925" s="22" t="s">
        <v>190</v>
      </c>
      <c r="H14925" s="22" t="s">
        <v>190</v>
      </c>
      <c r="I14925" s="26">
        <v>43510</v>
      </c>
      <c r="J14925" s="28" t="s">
        <v>52</v>
      </c>
      <c r="K14925" s="28" t="s">
        <v>52</v>
      </c>
      <c r="L14925" s="28" t="s">
        <v>52</v>
      </c>
      <c r="M14925" s="28" t="s">
        <v>52</v>
      </c>
      <c r="N14925" s="28" t="s">
        <v>52</v>
      </c>
    </row>
    <row r="14926" spans="1:14" x14ac:dyDescent="0.15">
      <c r="A14926" s="23" t="str">
        <f>HYPERLINK("https://www.spark-marketing.ru/Card/Person/86862", "ВОСТОЧНО-СИБИРСКОЕ СУТ СК РОССИИ")</f>
        <v>ВОСТОЧНО-СИБИРСКОЕ СУТ СК РОССИИ</v>
      </c>
      <c r="B14926" s="24" t="s">
        <v>14296</v>
      </c>
      <c r="C14926" s="25">
        <v>53869.8</v>
      </c>
      <c r="D14926" s="22" t="s">
        <v>17196</v>
      </c>
      <c r="E14926" s="22" t="s">
        <v>68</v>
      </c>
      <c r="F14926" s="23" t="str">
        <f>HYPERLINK("https://www.spark-marketing.ru/Card/Lot/67954029", "Охрана объекта путем применения систем централизованного наблюдения (Прочая закупка товаров, работ и услуг)")</f>
        <v>Охрана объекта путем применения систем централизованного наблюдения (Прочая закупка товаров, работ и услуг)</v>
      </c>
      <c r="G14926" s="22" t="s">
        <v>473</v>
      </c>
      <c r="H14926" s="22" t="s">
        <v>476</v>
      </c>
      <c r="I14926" s="26">
        <v>43510</v>
      </c>
      <c r="J14926" s="28" t="s">
        <v>52</v>
      </c>
      <c r="K14926" s="28" t="s">
        <v>52</v>
      </c>
      <c r="L14926" s="28" t="s">
        <v>52</v>
      </c>
      <c r="M14926" s="28" t="s">
        <v>52</v>
      </c>
      <c r="N14926" s="28" t="s">
        <v>52</v>
      </c>
    </row>
    <row r="14927" spans="1:14" x14ac:dyDescent="0.15">
      <c r="A14927" s="23" t="str">
        <f>HYPERLINK("https://www.spark-marketing.ru/Card/Person/8420", "ГСУ СК РОССИИ ПО КРАСНОЯРСКОМУ КРАЮ")</f>
        <v>ГСУ СК РОССИИ ПО КРАСНОЯРСКОМУ КРАЮ</v>
      </c>
      <c r="B14927" s="24" t="s">
        <v>16849</v>
      </c>
      <c r="C14927" s="25">
        <v>2172681.6</v>
      </c>
      <c r="D14927" s="22" t="s">
        <v>17197</v>
      </c>
      <c r="E14927" s="22" t="s">
        <v>68</v>
      </c>
      <c r="F14927" s="23" t="str">
        <f>HYPERLINK("https://www.spark-marketing.ru/Card/Lot/67940845", "Оказание услуг по охране объектов ГСУ СК России по Красноярскому краю по централизованной охране объектов и реагированию на сигнал ""Тревога""")</f>
        <v>Оказание услуг по охране объектов ГСУ СК России по Красноярскому краю по централизованной охране объектов и реагированию на сигнал "Тревога"</v>
      </c>
      <c r="G14927" s="22" t="s">
        <v>640</v>
      </c>
      <c r="H14927" s="22" t="s">
        <v>640</v>
      </c>
      <c r="I14927" s="26">
        <v>43510</v>
      </c>
      <c r="J14927" s="23" t="str">
        <f>HYPERLINK("https://www.spark-marketing.ru/Card/Person/4355740", "ФГКУ ""УВО ВНГ РОССИИ ПО КРАСНОЯРСКОМУ КРАЮ""")</f>
        <v>ФГКУ "УВО ВНГ РОССИИ ПО КРАСНОЯРСКОМУ КРАЮ"</v>
      </c>
      <c r="K14927" s="24" t="s">
        <v>14806</v>
      </c>
      <c r="L14927" s="28" t="s">
        <v>52</v>
      </c>
      <c r="M14927" s="28" t="s">
        <v>52</v>
      </c>
      <c r="N14927" s="28" t="s">
        <v>52</v>
      </c>
    </row>
    <row r="14928" spans="1:14" ht="12.75" hidden="1" outlineLevel="1" x14ac:dyDescent="0.2">
      <c r="A14928" s="23" t="str">
        <f>HYPERLINK("https://www.spark-marketing.ru/Card/Person/8420", "ГСУ СК РОССИИ ПО КРАСНОЯРСКОМУ КРАЮ")</f>
        <v>ГСУ СК РОССИИ ПО КРАСНОЯРСКОМУ КРАЮ</v>
      </c>
      <c r="B14928" s="24" t="s">
        <v>16849</v>
      </c>
      <c r="C14928" s="25">
        <v>2172681.6</v>
      </c>
      <c r="D14928" s="22" t="s">
        <v>17197</v>
      </c>
      <c r="E14928" s="22" t="s">
        <v>68</v>
      </c>
      <c r="F14928" s="23" t="str">
        <f>HYPERLINK("https://www.spark-marketing.ru/Card/Lot/67940845", "Оказание услуг по охране объектов ГСУ СК России по Красноярскому краю по централизованной охране объектов и реагированию на сигнал ""Тревога""")</f>
        <v>Оказание услуг по охране объектов ГСУ СК России по Красноярскому краю по централизованной охране объектов и реагированию на сигнал "Тревога"</v>
      </c>
      <c r="G14928" s="22" t="s">
        <v>640</v>
      </c>
      <c r="H14928" s="22" t="s">
        <v>640</v>
      </c>
      <c r="I14928" s="26">
        <v>43510</v>
      </c>
      <c r="J14928" s="23" t="str">
        <f>HYPERLINK("https://www.spark-marketing.ru/Card/Person/4355740", "ФГКУ ""УВО ВНГ РОССИИ ПО КРАСНОЯРСКОМУ КРАЮ""")</f>
        <v>ФГКУ "УВО ВНГ РОССИИ ПО КРАСНОЯРСКОМУ КРАЮ"</v>
      </c>
      <c r="K14928" s="24" t="s">
        <v>14806</v>
      </c>
      <c r="L14928" s="22" t="s">
        <v>10</v>
      </c>
      <c r="M14928" s="25">
        <v>2161818.19</v>
      </c>
      <c r="N14928" s="27">
        <v>5.0000009205214422E-3</v>
      </c>
    </row>
    <row r="14929" spans="1:14" x14ac:dyDescent="0.15">
      <c r="A14929" s="23" t="str">
        <f t="shared" ref="A14929:A14934" si="777">HYPERLINK("https://www.spark-marketing.ru/Card/Person/103248", "УПРАВЛЕНИЕ МУНИЦИПАЛЬНОГО ХОЗЯЙСТВА И ГРАДОСТРОИТЕЛЬСТВА АДМИНИСТРАЦИИ ГОРОДА")</f>
        <v>УПРАВЛЕНИЕ МУНИЦИПАЛЬНОГО ХОЗЯЙСТВА И ГРАДОСТРОИТЕЛЬСТВА АДМИНИСТРАЦИИ ГОРОДА</v>
      </c>
      <c r="B14929" s="24" t="s">
        <v>17198</v>
      </c>
      <c r="C14929" s="25">
        <v>487920</v>
      </c>
      <c r="D14929" s="22" t="s">
        <v>17199</v>
      </c>
      <c r="E14929" s="22" t="s">
        <v>52</v>
      </c>
      <c r="F14929" s="23" t="str">
        <f>HYPERLINK("https://www.spark-marketing.ru/Card/Lot/67961169", "Охрана здания, не переданного в пользование юридическим и физическим лицам (ул. Кирова, д. 10)")</f>
        <v>Охрана здания, не переданного в пользование юридическим и физическим лицам (ул. Кирова, д. 10)</v>
      </c>
      <c r="G14929" s="22" t="s">
        <v>674</v>
      </c>
      <c r="H14929" s="22" t="s">
        <v>674</v>
      </c>
      <c r="I14929" s="26">
        <v>43510</v>
      </c>
      <c r="J14929" s="28" t="s">
        <v>52</v>
      </c>
      <c r="K14929" s="28" t="s">
        <v>52</v>
      </c>
      <c r="L14929" s="28" t="s">
        <v>52</v>
      </c>
      <c r="M14929" s="28" t="s">
        <v>52</v>
      </c>
      <c r="N14929" s="28" t="s">
        <v>52</v>
      </c>
    </row>
    <row r="14930" spans="1:14" hidden="1" outlineLevel="1" x14ac:dyDescent="0.2">
      <c r="A14930" s="23" t="str">
        <f t="shared" si="777"/>
        <v>УПРАВЛЕНИЕ МУНИЦИПАЛЬНОГО ХОЗЯЙСТВА И ГРАДОСТРОИТЕЛЬСТВА АДМИНИСТРАЦИИ ГОРОДА</v>
      </c>
      <c r="B14930" s="24" t="s">
        <v>17198</v>
      </c>
      <c r="C14930" s="25">
        <v>487920</v>
      </c>
      <c r="D14930" s="22" t="s">
        <v>17199</v>
      </c>
      <c r="E14930" s="22" t="s">
        <v>52</v>
      </c>
      <c r="F14930" s="23" t="str">
        <f>HYPERLINK("https://www.spark-marketing.ru/Card/Lot/67961169", "Охрана здания, не переданного в пользование юридическим и физическим лицам (ул. Кирова, д. 10)")</f>
        <v>Охрана здания, не переданного в пользование юридическим и физическим лицам (ул. Кирова, д. 10)</v>
      </c>
      <c r="G14930" s="22" t="s">
        <v>674</v>
      </c>
      <c r="H14930" s="22" t="s">
        <v>674</v>
      </c>
      <c r="I14930" s="26">
        <v>43510</v>
      </c>
      <c r="J14930" s="23" t="str">
        <f>HYPERLINK("https://www.spark-marketing.ru/Card/Person/4961116", "ООО СКБ ""ФЛАГМАН""")</f>
        <v>ООО СКБ "ФЛАГМАН"</v>
      </c>
      <c r="K14930" s="24" t="s">
        <v>6576</v>
      </c>
      <c r="L14930" s="28" t="s">
        <v>52</v>
      </c>
      <c r="M14930" s="25">
        <v>459525.39</v>
      </c>
      <c r="N14930" s="27">
        <v>5.8195216428922773E-2</v>
      </c>
    </row>
    <row r="14931" spans="1:14" ht="12.75" hidden="1" outlineLevel="1" x14ac:dyDescent="0.2">
      <c r="A14931" s="23" t="str">
        <f t="shared" si="777"/>
        <v>УПРАВЛЕНИЕ МУНИЦИПАЛЬНОГО ХОЗЯЙСТВА И ГРАДОСТРОИТЕЛЬСТВА АДМИНИСТРАЦИИ ГОРОДА</v>
      </c>
      <c r="B14931" s="24" t="s">
        <v>17198</v>
      </c>
      <c r="C14931" s="25">
        <v>487920</v>
      </c>
      <c r="D14931" s="22" t="s">
        <v>17199</v>
      </c>
      <c r="E14931" s="22" t="s">
        <v>52</v>
      </c>
      <c r="F14931" s="23" t="str">
        <f>HYPERLINK("https://www.spark-marketing.ru/Card/Lot/67961169", "Охрана здания, не переданного в пользование юридическим и физическим лицам (ул. Кирова, д. 10)")</f>
        <v>Охрана здания, не переданного в пользование юридическим и физическим лицам (ул. Кирова, д. 10)</v>
      </c>
      <c r="G14931" s="22" t="s">
        <v>674</v>
      </c>
      <c r="H14931" s="22" t="s">
        <v>674</v>
      </c>
      <c r="I14931" s="26">
        <v>43510</v>
      </c>
      <c r="J14931" s="23" t="str">
        <f>HYPERLINK("https://www.spark-marketing.ru/Card/Person/490863", "ООО ЧОП ""ГРИФОН""")</f>
        <v>ООО ЧОП "ГРИФОН"</v>
      </c>
      <c r="K14931" s="24" t="s">
        <v>17200</v>
      </c>
      <c r="L14931" s="22" t="s">
        <v>10</v>
      </c>
      <c r="M14931" s="25">
        <v>456825.95</v>
      </c>
      <c r="N14931" s="27">
        <v>6.3727762747991468E-2</v>
      </c>
    </row>
    <row r="14932" spans="1:14" x14ac:dyDescent="0.15">
      <c r="A14932" s="23" t="str">
        <f t="shared" si="777"/>
        <v>УПРАВЛЕНИЕ МУНИЦИПАЛЬНОГО ХОЗЯЙСТВА И ГРАДОСТРОИТЕЛЬСТВА АДМИНИСТРАЦИИ ГОРОДА</v>
      </c>
      <c r="B14932" s="24" t="s">
        <v>17198</v>
      </c>
      <c r="C14932" s="25">
        <v>697680</v>
      </c>
      <c r="D14932" s="22" t="s">
        <v>17201</v>
      </c>
      <c r="E14932" s="22" t="s">
        <v>52</v>
      </c>
      <c r="F14932" s="23" t="str">
        <f>HYPERLINK("https://www.spark-marketing.ru/Card/Lot/67961168", "Охрана здания, не переданного в пользование юридическим и физическим лицам (ул. Набережная им. Н. Островского, д. 64)")</f>
        <v>Охрана здания, не переданного в пользование юридическим и физическим лицам (ул. Набережная им. Н. Островского, д. 64)</v>
      </c>
      <c r="G14932" s="22" t="s">
        <v>674</v>
      </c>
      <c r="H14932" s="22" t="s">
        <v>674</v>
      </c>
      <c r="I14932" s="26">
        <v>43510</v>
      </c>
      <c r="J14932" s="28" t="s">
        <v>52</v>
      </c>
      <c r="K14932" s="28" t="s">
        <v>52</v>
      </c>
      <c r="L14932" s="28" t="s">
        <v>52</v>
      </c>
      <c r="M14932" s="28" t="s">
        <v>52</v>
      </c>
      <c r="N14932" s="28" t="s">
        <v>52</v>
      </c>
    </row>
    <row r="14933" spans="1:14" hidden="1" outlineLevel="1" x14ac:dyDescent="0.2">
      <c r="A14933" s="23" t="str">
        <f t="shared" si="777"/>
        <v>УПРАВЛЕНИЕ МУНИЦИПАЛЬНОГО ХОЗЯЙСТВА И ГРАДОСТРОИТЕЛЬСТВА АДМИНИСТРАЦИИ ГОРОДА</v>
      </c>
      <c r="B14933" s="24" t="s">
        <v>17198</v>
      </c>
      <c r="C14933" s="25">
        <v>697680</v>
      </c>
      <c r="D14933" s="22" t="s">
        <v>17201</v>
      </c>
      <c r="E14933" s="22" t="s">
        <v>52</v>
      </c>
      <c r="F14933" s="23" t="str">
        <f>HYPERLINK("https://www.spark-marketing.ru/Card/Lot/67961168", "Охрана здания, не переданного в пользование юридическим и физическим лицам (ул. Набережная им. Н. Островского, д. 64)")</f>
        <v>Охрана здания, не переданного в пользование юридическим и физическим лицам (ул. Набережная им. Н. Островского, д. 64)</v>
      </c>
      <c r="G14933" s="22" t="s">
        <v>674</v>
      </c>
      <c r="H14933" s="22" t="s">
        <v>674</v>
      </c>
      <c r="I14933" s="26">
        <v>43510</v>
      </c>
      <c r="J14933" s="23" t="str">
        <f>HYPERLINK("https://www.spark-marketing.ru/Card/Person/4961116", "ООО СКБ ""ФЛАГМАН""")</f>
        <v>ООО СКБ "ФЛАГМАН"</v>
      </c>
      <c r="K14933" s="24" t="s">
        <v>6576</v>
      </c>
      <c r="L14933" s="28" t="s">
        <v>52</v>
      </c>
      <c r="M14933" s="25">
        <v>619779.31999999995</v>
      </c>
      <c r="N14933" s="27">
        <v>0.11165674807934869</v>
      </c>
    </row>
    <row r="14934" spans="1:14" ht="12.75" hidden="1" outlineLevel="1" x14ac:dyDescent="0.2">
      <c r="A14934" s="23" t="str">
        <f t="shared" si="777"/>
        <v>УПРАВЛЕНИЕ МУНИЦИПАЛЬНОГО ХОЗЯЙСТВА И ГРАДОСТРОИТЕЛЬСТВА АДМИНИСТРАЦИИ ГОРОДА</v>
      </c>
      <c r="B14934" s="24" t="s">
        <v>17198</v>
      </c>
      <c r="C14934" s="25">
        <v>697680</v>
      </c>
      <c r="D14934" s="22" t="s">
        <v>17201</v>
      </c>
      <c r="E14934" s="22" t="s">
        <v>52</v>
      </c>
      <c r="F14934" s="23" t="str">
        <f>HYPERLINK("https://www.spark-marketing.ru/Card/Lot/67961168", "Охрана здания, не переданного в пользование юридическим и физическим лицам (ул. Набережная им. Н. Островского, д. 64)")</f>
        <v>Охрана здания, не переданного в пользование юридическим и физическим лицам (ул. Набережная им. Н. Островского, д. 64)</v>
      </c>
      <c r="G14934" s="22" t="s">
        <v>674</v>
      </c>
      <c r="H14934" s="22" t="s">
        <v>674</v>
      </c>
      <c r="I14934" s="26">
        <v>43510</v>
      </c>
      <c r="J14934" s="23" t="str">
        <f>HYPERLINK("https://www.spark-marketing.ru/Card/Person/490863", "ООО ЧОП ""ГРИФОН""")</f>
        <v>ООО ЧОП "ГРИФОН"</v>
      </c>
      <c r="K14934" s="24" t="s">
        <v>17200</v>
      </c>
      <c r="L14934" s="22" t="s">
        <v>10</v>
      </c>
      <c r="M14934" s="25">
        <v>615547.82999999996</v>
      </c>
      <c r="N14934" s="27">
        <v>0.11772183522531819</v>
      </c>
    </row>
    <row r="14935" spans="1:14" x14ac:dyDescent="0.15">
      <c r="A14935" s="23" t="str">
        <f t="shared" ref="A14935:A14940" si="778">HYPERLINK("https://www.spark-marketing.ru/Card/Person/4998", "БУ ""РЕСПУБЛИКАНСКИЙ ПРОТИВОТУБЕРКУЛЕЗНЫЙ ДИСПАНСЕР"" МИНЗДРАВА ЧУВАШИИ")</f>
        <v>БУ "РЕСПУБЛИКАНСКИЙ ПРОТИВОТУБЕРКУЛЕЗНЫЙ ДИСПАНСЕР" МИНЗДРАВА ЧУВАШИИ</v>
      </c>
      <c r="B14935" s="24" t="s">
        <v>17202</v>
      </c>
      <c r="C14935" s="25">
        <v>61206</v>
      </c>
      <c r="D14935" s="22" t="s">
        <v>17203</v>
      </c>
      <c r="E14935" s="22" t="s">
        <v>107</v>
      </c>
      <c r="F14935" s="23" t="str">
        <f t="shared" ref="F14935:F14940" si="779">HYPERLINK("https://www.spark-marketing.ru/Card/Lot/67960355", "Техническое обслуживание оборудования систем видеонаблюдения")</f>
        <v>Техническое обслуживание оборудования систем видеонаблюдения</v>
      </c>
      <c r="G14935" s="22" t="s">
        <v>1137</v>
      </c>
      <c r="H14935" s="22" t="s">
        <v>1138</v>
      </c>
      <c r="I14935" s="26">
        <v>43510</v>
      </c>
      <c r="J14935" s="28" t="s">
        <v>52</v>
      </c>
      <c r="K14935" s="28" t="s">
        <v>52</v>
      </c>
      <c r="L14935" s="28" t="s">
        <v>52</v>
      </c>
      <c r="M14935" s="28" t="s">
        <v>52</v>
      </c>
      <c r="N14935" s="28" t="s">
        <v>52</v>
      </c>
    </row>
    <row r="14936" spans="1:14" ht="12.75" hidden="1" outlineLevel="1" x14ac:dyDescent="0.2">
      <c r="A14936" s="23" t="str">
        <f t="shared" si="778"/>
        <v>БУ "РЕСПУБЛИКАНСКИЙ ПРОТИВОТУБЕРКУЛЕЗНЫЙ ДИСПАНСЕР" МИНЗДРАВА ЧУВАШИИ</v>
      </c>
      <c r="B14936" s="24" t="s">
        <v>17202</v>
      </c>
      <c r="C14936" s="25">
        <v>61206</v>
      </c>
      <c r="D14936" s="22" t="s">
        <v>17203</v>
      </c>
      <c r="E14936" s="22" t="s">
        <v>107</v>
      </c>
      <c r="F14936" s="23" t="str">
        <f t="shared" si="779"/>
        <v>Техническое обслуживание оборудования систем видеонаблюдения</v>
      </c>
      <c r="G14936" s="22" t="s">
        <v>1137</v>
      </c>
      <c r="H14936" s="22" t="s">
        <v>1138</v>
      </c>
      <c r="I14936" s="26">
        <v>43510</v>
      </c>
      <c r="J14936" s="23" t="str">
        <f>HYPERLINK("https://www.spark-marketing.ru/Card/Person/6448444", "Фоланин Сергей Викентьевич")</f>
        <v>Фоланин Сергей Викентьевич</v>
      </c>
      <c r="K14936" s="24" t="s">
        <v>17204</v>
      </c>
      <c r="L14936" s="22" t="s">
        <v>10</v>
      </c>
      <c r="M14936" s="25">
        <v>39999</v>
      </c>
      <c r="N14936" s="27">
        <v>0.34648563866287618</v>
      </c>
    </row>
    <row r="14937" spans="1:14" hidden="1" outlineLevel="1" x14ac:dyDescent="0.2">
      <c r="A14937" s="23" t="str">
        <f t="shared" si="778"/>
        <v>БУ "РЕСПУБЛИКАНСКИЙ ПРОТИВОТУБЕРКУЛЕЗНЫЙ ДИСПАНСЕР" МИНЗДРАВА ЧУВАШИИ</v>
      </c>
      <c r="B14937" s="24" t="s">
        <v>17202</v>
      </c>
      <c r="C14937" s="25">
        <v>61206</v>
      </c>
      <c r="D14937" s="22" t="s">
        <v>17203</v>
      </c>
      <c r="E14937" s="22" t="s">
        <v>107</v>
      </c>
      <c r="F14937" s="23" t="str">
        <f t="shared" si="779"/>
        <v>Техническое обслуживание оборудования систем видеонаблюдения</v>
      </c>
      <c r="G14937" s="22" t="s">
        <v>1137</v>
      </c>
      <c r="H14937" s="22" t="s">
        <v>1138</v>
      </c>
      <c r="I14937" s="26">
        <v>43510</v>
      </c>
      <c r="J14937" s="23" t="str">
        <f>HYPERLINK("https://www.spark-marketing.ru/Card/Person/65853", "ООО ""АЛЬФА СПЕЦТЕХНОЛОДЖИ""")</f>
        <v>ООО "АЛЬФА СПЕЦТЕХНОЛОДЖИ"</v>
      </c>
      <c r="K14937" s="24" t="s">
        <v>17205</v>
      </c>
      <c r="L14937" s="28" t="s">
        <v>52</v>
      </c>
      <c r="M14937" s="25">
        <v>43000</v>
      </c>
      <c r="N14937" s="27">
        <v>0.29745449792504003</v>
      </c>
    </row>
    <row r="14938" spans="1:14" hidden="1" outlineLevel="1" x14ac:dyDescent="0.2">
      <c r="A14938" s="23" t="str">
        <f t="shared" si="778"/>
        <v>БУ "РЕСПУБЛИКАНСКИЙ ПРОТИВОТУБЕРКУЛЕЗНЫЙ ДИСПАНСЕР" МИНЗДРАВА ЧУВАШИИ</v>
      </c>
      <c r="B14938" s="24" t="s">
        <v>17202</v>
      </c>
      <c r="C14938" s="25">
        <v>61206</v>
      </c>
      <c r="D14938" s="22" t="s">
        <v>17203</v>
      </c>
      <c r="E14938" s="22" t="s">
        <v>107</v>
      </c>
      <c r="F14938" s="23" t="str">
        <f t="shared" si="779"/>
        <v>Техническое обслуживание оборудования систем видеонаблюдения</v>
      </c>
      <c r="G14938" s="22" t="s">
        <v>1137</v>
      </c>
      <c r="H14938" s="22" t="s">
        <v>1138</v>
      </c>
      <c r="I14938" s="26">
        <v>43510</v>
      </c>
      <c r="J14938" s="23" t="str">
        <f>HYPERLINK("https://www.spark-marketing.ru/Card/Person/151394", "ООО ""ИНФОЛИНК""")</f>
        <v>ООО "ИНФОЛИНК"</v>
      </c>
      <c r="K14938" s="24" t="s">
        <v>15756</v>
      </c>
      <c r="L14938" s="28" t="s">
        <v>52</v>
      </c>
      <c r="M14938" s="25">
        <v>57750</v>
      </c>
      <c r="N14938" s="27">
        <v>5.6465052445838645E-2</v>
      </c>
    </row>
    <row r="14939" spans="1:14" hidden="1" outlineLevel="1" x14ac:dyDescent="0.2">
      <c r="A14939" s="23" t="str">
        <f t="shared" si="778"/>
        <v>БУ "РЕСПУБЛИКАНСКИЙ ПРОТИВОТУБЕРКУЛЕЗНЫЙ ДИСПАНСЕР" МИНЗДРАВА ЧУВАШИИ</v>
      </c>
      <c r="B14939" s="24" t="s">
        <v>17202</v>
      </c>
      <c r="C14939" s="25">
        <v>61206</v>
      </c>
      <c r="D14939" s="22" t="s">
        <v>17203</v>
      </c>
      <c r="E14939" s="22" t="s">
        <v>107</v>
      </c>
      <c r="F14939" s="23" t="str">
        <f t="shared" si="779"/>
        <v>Техническое обслуживание оборудования систем видеонаблюдения</v>
      </c>
      <c r="G14939" s="22" t="s">
        <v>1137</v>
      </c>
      <c r="H14939" s="22" t="s">
        <v>1138</v>
      </c>
      <c r="I14939" s="26">
        <v>43510</v>
      </c>
      <c r="J14939" s="23" t="str">
        <f>HYPERLINK("https://www.spark-marketing.ru/Card/Person/369510", "ООО ""СВЯЗЬСТРОЙ-21""")</f>
        <v>ООО "СВЯЗЬСТРОЙ-21"</v>
      </c>
      <c r="K14939" s="24" t="s">
        <v>17206</v>
      </c>
      <c r="L14939" s="28" t="s">
        <v>52</v>
      </c>
      <c r="M14939" s="25">
        <v>58100</v>
      </c>
      <c r="N14939" s="27">
        <v>5.0746658824298269E-2</v>
      </c>
    </row>
    <row r="14940" spans="1:14" hidden="1" outlineLevel="1" x14ac:dyDescent="0.2">
      <c r="A14940" s="23" t="str">
        <f t="shared" si="778"/>
        <v>БУ "РЕСПУБЛИКАНСКИЙ ПРОТИВОТУБЕРКУЛЕЗНЫЙ ДИСПАНСЕР" МИНЗДРАВА ЧУВАШИИ</v>
      </c>
      <c r="B14940" s="24" t="s">
        <v>17202</v>
      </c>
      <c r="C14940" s="25">
        <v>61206</v>
      </c>
      <c r="D14940" s="22" t="s">
        <v>17203</v>
      </c>
      <c r="E14940" s="22" t="s">
        <v>107</v>
      </c>
      <c r="F14940" s="23" t="str">
        <f t="shared" si="779"/>
        <v>Техническое обслуживание оборудования систем видеонаблюдения</v>
      </c>
      <c r="G14940" s="22" t="s">
        <v>1137</v>
      </c>
      <c r="H14940" s="22" t="s">
        <v>1138</v>
      </c>
      <c r="I14940" s="26">
        <v>43510</v>
      </c>
      <c r="J14940" s="23" t="str">
        <f>HYPERLINK("https://www.spark-marketing.ru/Card/Person/4953466", "Иванов Владимир Валерьевич")</f>
        <v>Иванов Владимир Валерьевич</v>
      </c>
      <c r="K14940" s="24" t="s">
        <v>17207</v>
      </c>
      <c r="L14940" s="28" t="s">
        <v>52</v>
      </c>
      <c r="M14940" s="25">
        <v>60200</v>
      </c>
      <c r="N14940" s="27">
        <v>1.6436297095056042E-2</v>
      </c>
    </row>
    <row r="14941" spans="1:14" x14ac:dyDescent="0.15">
      <c r="A14941" s="23" t="str">
        <f>HYPERLINK("https://www.spark-marketing.ru/Card/Person/27213", "БУ ""ХАНТЫ-МАНСИЙСКАЯ РАЙОННАЯ БОЛЬНИЦА""")</f>
        <v>БУ "ХАНТЫ-МАНСИЙСКАЯ РАЙОННАЯ БОЛЬНИЦА"</v>
      </c>
      <c r="B14941" s="24" t="s">
        <v>8079</v>
      </c>
      <c r="C14941" s="25">
        <v>300000</v>
      </c>
      <c r="D14941" s="22" t="s">
        <v>17208</v>
      </c>
      <c r="E14941" s="22" t="s">
        <v>68</v>
      </c>
      <c r="F14941" s="23" t="str">
        <f>HYPERLINK("https://www.spark-marketing.ru/Card/Lot/67944977", "Услуги охраны с использованием пульта централизованного наблюдения")</f>
        <v>Услуги охраны с использованием пульта централизованного наблюдения</v>
      </c>
      <c r="G14941" s="22" t="s">
        <v>119</v>
      </c>
      <c r="H14941" s="22" t="s">
        <v>2563</v>
      </c>
      <c r="I14941" s="26">
        <v>43510</v>
      </c>
      <c r="J14941" s="23" t="str">
        <f>HYPERLINK("https://www.spark-marketing.ru/Card/Person/936140", "ООО ""ОЛЬВО""")</f>
        <v>ООО "ОЛЬВО"</v>
      </c>
      <c r="K14941" s="24" t="s">
        <v>1391</v>
      </c>
      <c r="L14941" s="28" t="s">
        <v>52</v>
      </c>
      <c r="M14941" s="28" t="s">
        <v>52</v>
      </c>
      <c r="N14941" s="28" t="s">
        <v>52</v>
      </c>
    </row>
    <row r="14942" spans="1:14" hidden="1" outlineLevel="1" x14ac:dyDescent="0.2">
      <c r="A14942" s="23" t="str">
        <f>HYPERLINK("https://www.spark-marketing.ru/Card/Person/27213", "БУ ""ХАНТЫ-МАНСИЙСКАЯ РАЙОННАЯ БОЛЬНИЦА""")</f>
        <v>БУ "ХАНТЫ-МАНСИЙСКАЯ РАЙОННАЯ БОЛЬНИЦА"</v>
      </c>
      <c r="B14942" s="24" t="s">
        <v>8079</v>
      </c>
      <c r="C14942" s="25">
        <v>300000</v>
      </c>
      <c r="D14942" s="22" t="s">
        <v>17208</v>
      </c>
      <c r="E14942" s="22" t="s">
        <v>68</v>
      </c>
      <c r="F14942" s="23" t="str">
        <f>HYPERLINK("https://www.spark-marketing.ru/Card/Lot/67944977", "Услуги охраны с использованием пульта централизованного наблюдения")</f>
        <v>Услуги охраны с использованием пульта централизованного наблюдения</v>
      </c>
      <c r="G14942" s="22" t="s">
        <v>119</v>
      </c>
      <c r="H14942" s="22" t="s">
        <v>2563</v>
      </c>
      <c r="I14942" s="26">
        <v>43510</v>
      </c>
      <c r="J14942" s="23" t="str">
        <f>HYPERLINK("https://www.spark-marketing.ru/Card/Person/936140", "ООО ""ОЛЬВО""")</f>
        <v>ООО "ОЛЬВО"</v>
      </c>
      <c r="K14942" s="24" t="s">
        <v>1391</v>
      </c>
      <c r="L14942" s="28" t="s">
        <v>52</v>
      </c>
      <c r="M14942" s="25">
        <v>298500</v>
      </c>
      <c r="N14942" s="27">
        <v>5.0000000000000001E-3</v>
      </c>
    </row>
    <row r="14943" spans="1:14" x14ac:dyDescent="0.15">
      <c r="A14943" s="23" t="str">
        <f>HYPERLINK("https://www.spark-marketing.ru/Card/Person/37120", "УСД В Г. МОСКВЕ")</f>
        <v>УСД В Г. МОСКВЕ</v>
      </c>
      <c r="B14943" s="24" t="s">
        <v>5025</v>
      </c>
      <c r="C14943" s="25">
        <v>162147.6</v>
      </c>
      <c r="D14943" s="22" t="s">
        <v>17209</v>
      </c>
      <c r="E14943" s="22" t="s">
        <v>68</v>
      </c>
      <c r="F14943" s="23" t="str">
        <f>HYPERLINK("https://www.spark-marketing.ru/Card/Lot/67966603", "Оказание охранных услуг в Щербинском, Солнцевском, Троицком районных судах г. Москвы")</f>
        <v>Оказание охранных услуг в Щербинском, Солнцевском, Троицком районных судах г. Москвы</v>
      </c>
      <c r="G14943" s="22" t="s">
        <v>55</v>
      </c>
      <c r="H14943" s="22" t="s">
        <v>55</v>
      </c>
      <c r="I14943" s="26">
        <v>43510</v>
      </c>
      <c r="J14943" s="28" t="s">
        <v>52</v>
      </c>
      <c r="K14943" s="28" t="s">
        <v>52</v>
      </c>
      <c r="L14943" s="28" t="s">
        <v>52</v>
      </c>
      <c r="M14943" s="28" t="s">
        <v>52</v>
      </c>
      <c r="N14943" s="28" t="s">
        <v>52</v>
      </c>
    </row>
    <row r="14944" spans="1:14" x14ac:dyDescent="0.15">
      <c r="A14944" s="23" t="str">
        <f>HYPERLINK("https://www.spark-marketing.ru/Card/Person/37120", "УСД В Г. МОСКВЕ")</f>
        <v>УСД В Г. МОСКВЕ</v>
      </c>
      <c r="B14944" s="24" t="s">
        <v>5025</v>
      </c>
      <c r="C14944" s="25">
        <v>162147.6</v>
      </c>
      <c r="D14944" s="22" t="s">
        <v>17210</v>
      </c>
      <c r="E14944" s="22" t="s">
        <v>68</v>
      </c>
      <c r="F14944" s="23" t="str">
        <f>HYPERLINK("https://www.spark-marketing.ru/Card/Lot/67967362", "Оказание охранных услуг в Никулинском, Кунцевском, Дорогомиловском районных судах г. Москвы")</f>
        <v>Оказание охранных услуг в Никулинском, Кунцевском, Дорогомиловском районных судах г. Москвы</v>
      </c>
      <c r="G14944" s="22" t="s">
        <v>55</v>
      </c>
      <c r="H14944" s="22" t="s">
        <v>55</v>
      </c>
      <c r="I14944" s="26">
        <v>43510</v>
      </c>
      <c r="J14944" s="28" t="s">
        <v>52</v>
      </c>
      <c r="K14944" s="28" t="s">
        <v>52</v>
      </c>
      <c r="L14944" s="28" t="s">
        <v>52</v>
      </c>
      <c r="M14944" s="28" t="s">
        <v>52</v>
      </c>
      <c r="N14944" s="28" t="s">
        <v>52</v>
      </c>
    </row>
    <row r="14945" spans="1:14" x14ac:dyDescent="0.15">
      <c r="A14945" s="23" t="str">
        <f>HYPERLINK("https://www.spark-marketing.ru/Card/Person/22768", "УСЗН АДМИНИСТРАЦИИ АКСАЙСКОГО РАЙОНА РОСТОВСКОЙ ОБЛАСТИ")</f>
        <v>УСЗН АДМИНИСТРАЦИИ АКСАЙСКОГО РАЙОНА РОСТОВСКОЙ ОБЛАСТИ</v>
      </c>
      <c r="B14945" s="24" t="s">
        <v>17211</v>
      </c>
      <c r="C14945" s="25">
        <v>172800</v>
      </c>
      <c r="D14945" s="22" t="s">
        <v>17212</v>
      </c>
      <c r="E14945" s="22" t="s">
        <v>52</v>
      </c>
      <c r="F14945" s="23" t="str">
        <f>HYPERLINK("https://www.spark-marketing.ru/Card/Lot/67966992", "Оказание услуг по обеспечению физической охраны здания УСЗН Администрации Аксайского района")</f>
        <v>Оказание услуг по обеспечению физической охраны здания УСЗН Администрации Аксайского района</v>
      </c>
      <c r="G14945" s="22" t="s">
        <v>402</v>
      </c>
      <c r="H14945" s="22" t="s">
        <v>6422</v>
      </c>
      <c r="I14945" s="26">
        <v>43510</v>
      </c>
      <c r="J14945" s="28" t="s">
        <v>52</v>
      </c>
      <c r="K14945" s="28" t="s">
        <v>52</v>
      </c>
      <c r="L14945" s="28" t="s">
        <v>52</v>
      </c>
      <c r="M14945" s="28" t="s">
        <v>52</v>
      </c>
      <c r="N14945" s="28" t="s">
        <v>52</v>
      </c>
    </row>
    <row r="14946" spans="1:14" hidden="1" outlineLevel="1" x14ac:dyDescent="0.2">
      <c r="A14946" s="23" t="str">
        <f>HYPERLINK("https://www.spark-marketing.ru/Card/Person/22768", "УСЗН АДМИНИСТРАЦИИ АКСАЙСКОГО РАЙОНА РОСТОВСКОЙ ОБЛАСТИ")</f>
        <v>УСЗН АДМИНИСТРАЦИИ АКСАЙСКОГО РАЙОНА РОСТОВСКОЙ ОБЛАСТИ</v>
      </c>
      <c r="B14946" s="24" t="s">
        <v>17211</v>
      </c>
      <c r="C14946" s="25">
        <v>172800</v>
      </c>
      <c r="D14946" s="22" t="s">
        <v>17212</v>
      </c>
      <c r="E14946" s="22" t="s">
        <v>52</v>
      </c>
      <c r="F14946" s="23" t="str">
        <f>HYPERLINK("https://www.spark-marketing.ru/Card/Lot/67966992", "Оказание услуг по обеспечению физической охраны здания УСЗН Администрации Аксайского района")</f>
        <v>Оказание услуг по обеспечению физической охраны здания УСЗН Администрации Аксайского района</v>
      </c>
      <c r="G14946" s="22" t="s">
        <v>402</v>
      </c>
      <c r="H14946" s="22" t="s">
        <v>6422</v>
      </c>
      <c r="I14946" s="26">
        <v>43510</v>
      </c>
      <c r="J14946" s="23" t="str">
        <f>HYPERLINK("https://www.spark-marketing.ru/Card/Person/2559665", "ООО ""ЧОО ""СОЮЗ""")</f>
        <v>ООО "ЧОО "СОЮЗ"</v>
      </c>
      <c r="K14946" s="24" t="s">
        <v>14737</v>
      </c>
      <c r="L14946" s="28" t="s">
        <v>52</v>
      </c>
      <c r="M14946" s="25">
        <v>136036</v>
      </c>
      <c r="N14946" s="27">
        <v>0.21275462962962963</v>
      </c>
    </row>
    <row r="14947" spans="1:14" ht="12.75" hidden="1" outlineLevel="1" x14ac:dyDescent="0.2">
      <c r="A14947" s="23" t="str">
        <f>HYPERLINK("https://www.spark-marketing.ru/Card/Person/22768", "УСЗН АДМИНИСТРАЦИИ АКСАЙСКОГО РАЙОНА РОСТОВСКОЙ ОБЛАСТИ")</f>
        <v>УСЗН АДМИНИСТРАЦИИ АКСАЙСКОГО РАЙОНА РОСТОВСКОЙ ОБЛАСТИ</v>
      </c>
      <c r="B14947" s="24" t="s">
        <v>17211</v>
      </c>
      <c r="C14947" s="25">
        <v>172800</v>
      </c>
      <c r="D14947" s="22" t="s">
        <v>17212</v>
      </c>
      <c r="E14947" s="22" t="s">
        <v>52</v>
      </c>
      <c r="F14947" s="23" t="str">
        <f>HYPERLINK("https://www.spark-marketing.ru/Card/Lot/67966992", "Оказание услуг по обеспечению физической охраны здания УСЗН Администрации Аксайского района")</f>
        <v>Оказание услуг по обеспечению физической охраны здания УСЗН Администрации Аксайского района</v>
      </c>
      <c r="G14947" s="22" t="s">
        <v>402</v>
      </c>
      <c r="H14947" s="22" t="s">
        <v>6422</v>
      </c>
      <c r="I14947" s="26">
        <v>43510</v>
      </c>
      <c r="J14947" s="23" t="str">
        <f>HYPERLINK("https://www.spark-marketing.ru/Card/Person/780388", "ООО ЧОО ""ФРЕГАТ-12""")</f>
        <v>ООО ЧОО "ФРЕГАТ-12"</v>
      </c>
      <c r="K14947" s="24" t="s">
        <v>14738</v>
      </c>
      <c r="L14947" s="22" t="s">
        <v>10</v>
      </c>
      <c r="M14947" s="25">
        <v>135083</v>
      </c>
      <c r="N14947" s="27">
        <v>0.21826967592592592</v>
      </c>
    </row>
    <row r="14948" spans="1:14" x14ac:dyDescent="0.15">
      <c r="A14948" s="23" t="str">
        <f>HYPERLINK("https://www.spark-marketing.ru/Card/Person/6450322", "ЗАКАЗЧИК РП БЕЛАРУСЬ")</f>
        <v>ЗАКАЗЧИК РП БЕЛАРУСЬ</v>
      </c>
      <c r="B14948" s="28" t="s">
        <v>52</v>
      </c>
      <c r="C14948" s="25">
        <v>63924.84</v>
      </c>
      <c r="D14948" s="22" t="s">
        <v>17213</v>
      </c>
      <c r="E14948" s="22" t="s">
        <v>53</v>
      </c>
      <c r="F14948" s="23" t="str">
        <f>HYPERLINK("https://www.spark-marketing.ru/Card/Lot/67956805", "Работы по наладке автоматики безопасности и сигнализации когенерационной установки на базе двигателя GE Jenbacher JMS 612")</f>
        <v>Работы по наладке автоматики безопасности и сигнализации когенерационной установки на базе двигателя GE Jenbacher JMS 612</v>
      </c>
      <c r="G14948" s="22" t="s">
        <v>52</v>
      </c>
      <c r="H14948" s="22" t="s">
        <v>52</v>
      </c>
      <c r="I14948" s="26">
        <v>43510</v>
      </c>
      <c r="J14948" s="28" t="s">
        <v>52</v>
      </c>
      <c r="K14948" s="28" t="s">
        <v>52</v>
      </c>
      <c r="L14948" s="28" t="s">
        <v>52</v>
      </c>
      <c r="M14948" s="28" t="s">
        <v>52</v>
      </c>
      <c r="N14948" s="28" t="s">
        <v>52</v>
      </c>
    </row>
    <row r="14949" spans="1:14" x14ac:dyDescent="0.15">
      <c r="A14949" s="23" t="str">
        <f>HYPERLINK("https://www.spark-marketing.ru/Card/Person/5964391", "Курский железнодорожный техникум")</f>
        <v>Курский железнодорожный техникум</v>
      </c>
      <c r="B14949" s="24" t="s">
        <v>17214</v>
      </c>
      <c r="C14949" s="25">
        <v>1208880</v>
      </c>
      <c r="D14949" s="22" t="s">
        <v>17215</v>
      </c>
      <c r="E14949" s="22" t="s">
        <v>183</v>
      </c>
      <c r="F14949" s="23" t="str">
        <f>HYPERLINK("https://www.spark-marketing.ru/Card/Lot/67968933", "Оказание услуг по охране объектов")</f>
        <v>Оказание услуг по охране объектов</v>
      </c>
      <c r="G14949" s="22" t="s">
        <v>3128</v>
      </c>
      <c r="H14949" s="22" t="s">
        <v>3184</v>
      </c>
      <c r="I14949" s="26">
        <v>43510</v>
      </c>
      <c r="J14949" s="28" t="s">
        <v>52</v>
      </c>
      <c r="K14949" s="28" t="s">
        <v>52</v>
      </c>
      <c r="L14949" s="28" t="s">
        <v>52</v>
      </c>
      <c r="M14949" s="28" t="s">
        <v>52</v>
      </c>
      <c r="N14949" s="28" t="s">
        <v>52</v>
      </c>
    </row>
    <row r="14950" spans="1:14" ht="12.75" hidden="1" outlineLevel="1" x14ac:dyDescent="0.2">
      <c r="A14950" s="23" t="str">
        <f>HYPERLINK("https://www.spark-marketing.ru/Card/Person/5964391", "Курский железнодорожный техникум")</f>
        <v>Курский железнодорожный техникум</v>
      </c>
      <c r="B14950" s="24" t="s">
        <v>17214</v>
      </c>
      <c r="C14950" s="25">
        <v>1208880</v>
      </c>
      <c r="D14950" s="22" t="s">
        <v>17215</v>
      </c>
      <c r="E14950" s="22" t="s">
        <v>183</v>
      </c>
      <c r="F14950" s="23" t="str">
        <f>HYPERLINK("https://www.spark-marketing.ru/Card/Lot/67968933", "Оказание услуг по охране объектов")</f>
        <v>Оказание услуг по охране объектов</v>
      </c>
      <c r="G14950" s="22" t="s">
        <v>3128</v>
      </c>
      <c r="H14950" s="22" t="s">
        <v>3184</v>
      </c>
      <c r="I14950" s="26">
        <v>43510</v>
      </c>
      <c r="J14950" s="23" t="str">
        <f>HYPERLINK("https://www.spark-marketing.ru/Card/Person/673138", "ООО ""ЧОП ""ЗАЩИТА""")</f>
        <v>ООО "ЧОП "ЗАЩИТА"</v>
      </c>
      <c r="K14950" s="24" t="s">
        <v>6948</v>
      </c>
      <c r="L14950" s="22" t="s">
        <v>10</v>
      </c>
      <c r="M14950" s="25">
        <v>1196791.2</v>
      </c>
      <c r="N14950" s="27">
        <v>0.01</v>
      </c>
    </row>
    <row r="14951" spans="1:14" hidden="1" outlineLevel="1" x14ac:dyDescent="0.2">
      <c r="A14951" s="23" t="str">
        <f>HYPERLINK("https://www.spark-marketing.ru/Card/Person/5964391", "Курский железнодорожный техникум")</f>
        <v>Курский железнодорожный техникум</v>
      </c>
      <c r="B14951" s="24" t="s">
        <v>17214</v>
      </c>
      <c r="C14951" s="25">
        <v>1208880</v>
      </c>
      <c r="D14951" s="22" t="s">
        <v>17215</v>
      </c>
      <c r="E14951" s="22" t="s">
        <v>183</v>
      </c>
      <c r="F14951" s="23" t="str">
        <f>HYPERLINK("https://www.spark-marketing.ru/Card/Lot/67968933", "Оказание услуг по охране объектов")</f>
        <v>Оказание услуг по охране объектов</v>
      </c>
      <c r="G14951" s="22" t="s">
        <v>3128</v>
      </c>
      <c r="H14951" s="22" t="s">
        <v>3184</v>
      </c>
      <c r="I14951" s="26">
        <v>43510</v>
      </c>
      <c r="J14951" s="23" t="str">
        <f>HYPERLINK("https://www.spark-marketing.ru/Card/Person/653216", "ООО ""ЧОП ОЛИМП""")</f>
        <v>ООО "ЧОП ОЛИМП"</v>
      </c>
      <c r="K14951" s="24" t="s">
        <v>5016</v>
      </c>
      <c r="L14951" s="28" t="s">
        <v>52</v>
      </c>
      <c r="M14951" s="25">
        <v>1202835.6000000001</v>
      </c>
      <c r="N14951" s="27">
        <v>5.0000000000000001E-3</v>
      </c>
    </row>
    <row r="14952" spans="1:14" x14ac:dyDescent="0.15">
      <c r="A14952" s="23" t="str">
        <f>HYPERLINK("https://www.spark-marketing.ru/Card/Person/7448", "ПРОКУРАТУРА МУРМАНСКОЙ ОБЛАСТИ")</f>
        <v>ПРОКУРАТУРА МУРМАНСКОЙ ОБЛАСТИ</v>
      </c>
      <c r="B14952" s="24" t="s">
        <v>13726</v>
      </c>
      <c r="C14952" s="25">
        <v>103922.04</v>
      </c>
      <c r="D14952" s="22" t="s">
        <v>17216</v>
      </c>
      <c r="E14952" s="22" t="s">
        <v>7738</v>
      </c>
      <c r="F14952" s="23" t="str">
        <f>HYPERLINK("https://www.spark-marketing.ru/Card/Lot/67954865", "Услуги по пультовой охране в пр-ре Печенгского района")</f>
        <v>Услуги по пультовой охране в пр-ре Печенгского района</v>
      </c>
      <c r="G14952" s="22" t="s">
        <v>190</v>
      </c>
      <c r="H14952" s="22" t="s">
        <v>190</v>
      </c>
      <c r="I14952" s="26">
        <v>43510</v>
      </c>
      <c r="J14952" s="28" t="s">
        <v>52</v>
      </c>
      <c r="K14952" s="28" t="s">
        <v>52</v>
      </c>
      <c r="L14952" s="28" t="s">
        <v>52</v>
      </c>
      <c r="M14952" s="28" t="s">
        <v>52</v>
      </c>
      <c r="N14952" s="28" t="s">
        <v>52</v>
      </c>
    </row>
    <row r="14953" spans="1:14" x14ac:dyDescent="0.15">
      <c r="A14953" s="23" t="str">
        <f>HYPERLINK("https://www.spark-marketing.ru/Card/Person/37120", "УСД В Г. МОСКВЕ")</f>
        <v>УСД В Г. МОСКВЕ</v>
      </c>
      <c r="B14953" s="24" t="s">
        <v>5025</v>
      </c>
      <c r="C14953" s="25">
        <v>162147.6</v>
      </c>
      <c r="D14953" s="22" t="s">
        <v>17217</v>
      </c>
      <c r="E14953" s="22" t="s">
        <v>68</v>
      </c>
      <c r="F14953" s="23" t="str">
        <f>HYPERLINK("https://www.spark-marketing.ru/Card/Lot/67965369", "Оказание охранных услуг в Нагатинском, Чертановском, Симоновском районных судах г. Москвы")</f>
        <v>Оказание охранных услуг в Нагатинском, Чертановском, Симоновском районных судах г. Москвы</v>
      </c>
      <c r="G14953" s="22" t="s">
        <v>55</v>
      </c>
      <c r="H14953" s="22" t="s">
        <v>55</v>
      </c>
      <c r="I14953" s="26">
        <v>43510</v>
      </c>
      <c r="J14953" s="28" t="s">
        <v>52</v>
      </c>
      <c r="K14953" s="28" t="s">
        <v>52</v>
      </c>
      <c r="L14953" s="28" t="s">
        <v>52</v>
      </c>
      <c r="M14953" s="28" t="s">
        <v>52</v>
      </c>
      <c r="N14953" s="28" t="s">
        <v>52</v>
      </c>
    </row>
    <row r="14954" spans="1:14" x14ac:dyDescent="0.15">
      <c r="A14954" s="23" t="str">
        <f>HYPERLINK("https://www.spark-marketing.ru/Card/Person/1011820", "ГКУ ""ЦЗН ГОРОДА БРЯНСКА""")</f>
        <v>ГКУ "ЦЗН ГОРОДА БРЯНСКА"</v>
      </c>
      <c r="B14954" s="24" t="s">
        <v>14225</v>
      </c>
      <c r="C14954" s="25">
        <v>427500</v>
      </c>
      <c r="D14954" s="22" t="s">
        <v>17218</v>
      </c>
      <c r="E14954" s="22" t="s">
        <v>52</v>
      </c>
      <c r="F14954" s="23" t="str">
        <f>HYPERLINK("https://www.spark-marketing.ru/Card/Lot/67944484", "Оказание услуг по охране объектов и обеспечению контрольно-пропускного режима")</f>
        <v>Оказание услуг по охране объектов и обеспечению контрольно-пропускного режима</v>
      </c>
      <c r="G14954" s="22" t="s">
        <v>215</v>
      </c>
      <c r="H14954" s="22" t="s">
        <v>406</v>
      </c>
      <c r="I14954" s="26">
        <v>43510</v>
      </c>
      <c r="J14954" s="28" t="s">
        <v>52</v>
      </c>
      <c r="K14954" s="28" t="s">
        <v>52</v>
      </c>
      <c r="L14954" s="28" t="s">
        <v>52</v>
      </c>
      <c r="M14954" s="28" t="s">
        <v>52</v>
      </c>
      <c r="N14954" s="28" t="s">
        <v>52</v>
      </c>
    </row>
    <row r="14955" spans="1:14" ht="12.75" x14ac:dyDescent="0.2">
      <c r="A14955" s="23" t="str">
        <f>HYPERLINK("https://www.spark-marketing.ru/Card/Person/32561", "АДМИНИСТРАЦИЯ МУНИЦИПАЛЬНОГО ОБРАЗОВАНИЯ ПОСЕЛОК ЧАГОДА")</f>
        <v>АДМИНИСТРАЦИЯ МУНИЦИПАЛЬНОГО ОБРАЗОВАНИЯ ПОСЕЛОК ЧАГОДА</v>
      </c>
      <c r="B14955" s="24" t="s">
        <v>2821</v>
      </c>
      <c r="C14955" s="25">
        <v>126013.32</v>
      </c>
      <c r="D14955" s="22" t="s">
        <v>17219</v>
      </c>
      <c r="E14955" s="22" t="s">
        <v>59</v>
      </c>
      <c r="F14955" s="23" t="str">
        <f>HYPERLINK("https://www.spark-marketing.ru/Card/Lot/67965486", "Работы по обслуживанию уличного наружного освещения п. Чагода")</f>
        <v>Работы по обслуживанию уличного наружного освещения п. Чагода</v>
      </c>
      <c r="G14955" s="22" t="s">
        <v>902</v>
      </c>
      <c r="H14955" s="22" t="s">
        <v>2823</v>
      </c>
      <c r="I14955" s="26">
        <v>43510</v>
      </c>
      <c r="J14955" s="23" t="str">
        <f>HYPERLINK("https://www.spark-marketing.ru/Card/Person/4365694", "АО ""ВОЛОГДАОБЛЭНЕРГО""")</f>
        <v>АО "ВОЛОГДАОБЛЭНЕРГО"</v>
      </c>
      <c r="K14955" s="24" t="s">
        <v>2824</v>
      </c>
      <c r="L14955" s="22" t="s">
        <v>10</v>
      </c>
      <c r="M14955" s="25">
        <v>126013.32</v>
      </c>
      <c r="N14955" s="27">
        <v>0</v>
      </c>
    </row>
    <row r="14956" spans="1:14" x14ac:dyDescent="0.15">
      <c r="A14956" s="23" t="str">
        <f>HYPERLINK("https://www.spark-marketing.ru/Card/Person/10991", "ПАО ""РОСТЕЛЕКОМ""")</f>
        <v>ПАО "РОСТЕЛЕКОМ"</v>
      </c>
      <c r="B14956" s="24" t="s">
        <v>607</v>
      </c>
      <c r="C14956" s="25">
        <v>0</v>
      </c>
      <c r="D14956" s="22" t="s">
        <v>17220</v>
      </c>
      <c r="E14956" s="22" t="s">
        <v>53</v>
      </c>
      <c r="F14956" s="23" t="str">
        <f>HYPERLINK("https://www.spark-marketing.ru/Card/Lot/67970165", "Оказание услуг централизованной охраны объектов Бурятского филиала ПАО «Ростелеком» в районах Республики Бурятия")</f>
        <v>Оказание услуг централизованной охраны объектов Бурятского филиала ПАО «Ростелеком» в районах Республики Бурятия</v>
      </c>
      <c r="G14956" s="22" t="s">
        <v>89</v>
      </c>
      <c r="H14956" s="22" t="s">
        <v>89</v>
      </c>
      <c r="I14956" s="26">
        <v>43509.833333333299</v>
      </c>
      <c r="J14956" s="28" t="s">
        <v>52</v>
      </c>
      <c r="K14956" s="28" t="s">
        <v>52</v>
      </c>
      <c r="L14956" s="28" t="s">
        <v>52</v>
      </c>
      <c r="M14956" s="28" t="s">
        <v>52</v>
      </c>
      <c r="N14956" s="28" t="s">
        <v>52</v>
      </c>
    </row>
    <row r="14957" spans="1:14" x14ac:dyDescent="0.15">
      <c r="A14957" s="23" t="str">
        <f>HYPERLINK("https://www.spark-marketing.ru/Card/Person/116292", "МБУ ПКИО ""БЕРЕЗОВАЯ РОЩА""")</f>
        <v>МБУ ПКИО "БЕРЕЗОВАЯ РОЩА"</v>
      </c>
      <c r="B14957" s="24" t="s">
        <v>17221</v>
      </c>
      <c r="C14957" s="25">
        <v>82964.5</v>
      </c>
      <c r="D14957" s="22" t="s">
        <v>17222</v>
      </c>
      <c r="E14957" s="22" t="s">
        <v>103</v>
      </c>
      <c r="F14957" s="23" t="str">
        <f>HYPERLINK("https://www.spark-marketing.ru/Card/Lot/67929040", "тех. обслуживание систем видеонаблюдения")</f>
        <v>тех. обслуживание систем видеонаблюдения</v>
      </c>
      <c r="G14957" s="22" t="s">
        <v>50</v>
      </c>
      <c r="H14957" s="22" t="s">
        <v>504</v>
      </c>
      <c r="I14957" s="26">
        <v>43509.784131944398</v>
      </c>
      <c r="J14957" s="28" t="s">
        <v>52</v>
      </c>
      <c r="K14957" s="28" t="s">
        <v>52</v>
      </c>
      <c r="L14957" s="28" t="s">
        <v>52</v>
      </c>
      <c r="M14957" s="28" t="s">
        <v>52</v>
      </c>
      <c r="N14957" s="28" t="s">
        <v>52</v>
      </c>
    </row>
    <row r="14958" spans="1:14" x14ac:dyDescent="0.15">
      <c r="A14958" s="23" t="str">
        <f>HYPERLINK("https://www.spark-marketing.ru/Card/Person/1048758", "МБОУ СОШ № 40")</f>
        <v>МБОУ СОШ № 40</v>
      </c>
      <c r="B14958" s="24" t="s">
        <v>17223</v>
      </c>
      <c r="C14958" s="25">
        <v>8000</v>
      </c>
      <c r="D14958" s="22" t="s">
        <v>17224</v>
      </c>
      <c r="E14958" s="22" t="s">
        <v>194</v>
      </c>
      <c r="F14958" s="23" t="str">
        <f>HYPERLINK("https://www.spark-marketing.ru/Card/Lot/67929924", "Техническое обслуживание системы видеонаблюдения (1 раз в квартал)")</f>
        <v>Техническое обслуживание системы видеонаблюдения (1 раз в квартал)</v>
      </c>
      <c r="G14958" s="22" t="s">
        <v>176</v>
      </c>
      <c r="H14958" s="22" t="s">
        <v>318</v>
      </c>
      <c r="I14958" s="26">
        <v>43509.761805555601</v>
      </c>
      <c r="J14958" s="28" t="s">
        <v>52</v>
      </c>
      <c r="K14958" s="28" t="s">
        <v>52</v>
      </c>
      <c r="L14958" s="28" t="s">
        <v>52</v>
      </c>
      <c r="M14958" s="28" t="s">
        <v>52</v>
      </c>
      <c r="N14958" s="28" t="s">
        <v>52</v>
      </c>
    </row>
    <row r="14959" spans="1:14" x14ac:dyDescent="0.15">
      <c r="A14959" s="23" t="str">
        <f>HYPERLINK("https://www.spark-marketing.ru/Card/Person/1641317", "ООО ""СНРГ""")</f>
        <v>ООО "СНРГ"</v>
      </c>
      <c r="B14959" s="24" t="s">
        <v>17225</v>
      </c>
      <c r="C14959" s="25">
        <v>424950</v>
      </c>
      <c r="D14959" s="22" t="s">
        <v>17226</v>
      </c>
      <c r="E14959" s="22" t="s">
        <v>165</v>
      </c>
      <c r="F14959" s="23" t="str">
        <f>HYPERLINK("https://www.spark-marketing.ru/Card/Lot/67929305", "Услуги по техническому обслуживанию установок системы охранной сигнализации, контроля и управления доступом, охранного телевидения, установленных в помещениях Заказчика по адресу: город Хабаровск, улица Ленинградская,46")</f>
        <v>Услуги по техническому обслуживанию установок системы охранной сигнализации, контроля и управления доступом, охранного телевидения, установленных в помещениях Заказчика по адресу: город Хабаровск, улица Ленинградская,46</v>
      </c>
      <c r="G14959" s="22" t="s">
        <v>55</v>
      </c>
      <c r="H14959" s="22" t="s">
        <v>55</v>
      </c>
      <c r="I14959" s="26">
        <v>43509.737280092602</v>
      </c>
      <c r="J14959" s="28" t="s">
        <v>52</v>
      </c>
      <c r="K14959" s="28" t="s">
        <v>52</v>
      </c>
      <c r="L14959" s="28" t="s">
        <v>52</v>
      </c>
      <c r="M14959" s="28" t="s">
        <v>52</v>
      </c>
      <c r="N14959" s="28" t="s">
        <v>52</v>
      </c>
    </row>
    <row r="14960" spans="1:14" hidden="1" outlineLevel="1" x14ac:dyDescent="0.2">
      <c r="A14960" s="23" t="str">
        <f>HYPERLINK("https://www.spark-marketing.ru/Card/Person/1641317", "ООО ""СНРГ""")</f>
        <v>ООО "СНРГ"</v>
      </c>
      <c r="B14960" s="24" t="s">
        <v>17225</v>
      </c>
      <c r="C14960" s="28" t="s">
        <v>52</v>
      </c>
      <c r="D14960" s="22" t="s">
        <v>17226</v>
      </c>
      <c r="E14960" s="22" t="s">
        <v>165</v>
      </c>
      <c r="F14960" s="23" t="str">
        <f>HYPERLINK("https://www.spark-marketing.ru/Card/Lot/67929305", "Услуги по техническому обслуживанию установок системы охранной сигнализации, контроля и управления доступом, охранного телевидения, установленных в помещениях Заказчика по адресу: город Хабаровск, улица Ленинградская,46")</f>
        <v>Услуги по техническому обслуживанию установок системы охранной сигнализации, контроля и управления доступом, охранного телевидения, установленных в помещениях Заказчика по адресу: город Хабаровск, улица Ленинградская,46</v>
      </c>
      <c r="G14960" s="22" t="s">
        <v>55</v>
      </c>
      <c r="H14960" s="22" t="s">
        <v>55</v>
      </c>
      <c r="I14960" s="26">
        <v>43509.737280092602</v>
      </c>
      <c r="J14960" s="23" t="str">
        <f>HYPERLINK("https://www.spark-marketing.ru/Card/Person/482313", "Менжицкий Игорь Леонидович")</f>
        <v>Менжицкий Игорь Леонидович</v>
      </c>
      <c r="K14960" s="24" t="s">
        <v>2983</v>
      </c>
      <c r="L14960" s="22" t="s">
        <v>10</v>
      </c>
      <c r="M14960" s="25">
        <v>160000</v>
      </c>
      <c r="N14960" s="27">
        <v>0.62348511589598776</v>
      </c>
    </row>
    <row r="14961" spans="1:14" hidden="1" outlineLevel="1" x14ac:dyDescent="0.2">
      <c r="A14961" s="23" t="str">
        <f>HYPERLINK("https://www.spark-marketing.ru/Card/Person/1641317", "ООО ""СНРГ""")</f>
        <v>ООО "СНРГ"</v>
      </c>
      <c r="B14961" s="24" t="s">
        <v>17225</v>
      </c>
      <c r="C14961" s="28" t="s">
        <v>52</v>
      </c>
      <c r="D14961" s="22" t="s">
        <v>17226</v>
      </c>
      <c r="E14961" s="22" t="s">
        <v>165</v>
      </c>
      <c r="F14961" s="23" t="str">
        <f>HYPERLINK("https://www.spark-marketing.ru/Card/Lot/67929305", "Услуги по техническому обслуживанию установок системы охранной сигнализации, контроля и управления доступом, охранного телевидения, установленных в помещениях Заказчика по адресу: город Хабаровск, улица Ленинградская,46")</f>
        <v>Услуги по техническому обслуживанию установок системы охранной сигнализации, контроля и управления доступом, охранного телевидения, установленных в помещениях Заказчика по адресу: город Хабаровск, улица Ленинградская,46</v>
      </c>
      <c r="G14961" s="22" t="s">
        <v>55</v>
      </c>
      <c r="H14961" s="22" t="s">
        <v>55</v>
      </c>
      <c r="I14961" s="26">
        <v>43509.737280092602</v>
      </c>
      <c r="J14961" s="23" t="str">
        <f>HYPERLINK("https://www.spark-marketing.ru/Card/Person/237818", "ООО ""ДАЛЬСПЕЦКОМ""")</f>
        <v>ООО "ДАЛЬСПЕЦКОМ"</v>
      </c>
      <c r="K14961" s="24" t="s">
        <v>17227</v>
      </c>
      <c r="L14961" s="28" t="s">
        <v>52</v>
      </c>
      <c r="M14961" s="25">
        <v>170752.5</v>
      </c>
      <c r="N14961" s="27">
        <v>0.59818213907518536</v>
      </c>
    </row>
    <row r="14962" spans="1:14" hidden="1" outlineLevel="1" x14ac:dyDescent="0.2">
      <c r="A14962" s="23" t="str">
        <f>HYPERLINK("https://www.spark-marketing.ru/Card/Person/1641317", "ООО ""СНРГ""")</f>
        <v>ООО "СНРГ"</v>
      </c>
      <c r="B14962" s="24" t="s">
        <v>17225</v>
      </c>
      <c r="C14962" s="28" t="s">
        <v>52</v>
      </c>
      <c r="D14962" s="22" t="s">
        <v>17226</v>
      </c>
      <c r="E14962" s="22" t="s">
        <v>165</v>
      </c>
      <c r="F14962" s="23" t="str">
        <f>HYPERLINK("https://www.spark-marketing.ru/Card/Lot/67929305", "Услуги по техническому обслуживанию установок системы охранной сигнализации, контроля и управления доступом, охранного телевидения, установленных в помещениях Заказчика по адресу: город Хабаровск, улица Ленинградская,46")</f>
        <v>Услуги по техническому обслуживанию установок системы охранной сигнализации, контроля и управления доступом, охранного телевидения, установленных в помещениях Заказчика по адресу: город Хабаровск, улица Ленинградская,46</v>
      </c>
      <c r="G14962" s="22" t="s">
        <v>55</v>
      </c>
      <c r="H14962" s="22" t="s">
        <v>55</v>
      </c>
      <c r="I14962" s="26">
        <v>43509.737280092602</v>
      </c>
      <c r="J14962" s="23" t="str">
        <f>HYPERLINK("https://www.spark-marketing.ru/Card/Person/80406", "ООО ""СМНП-3""")</f>
        <v>ООО "СМНП-3"</v>
      </c>
      <c r="K14962" s="24" t="s">
        <v>17228</v>
      </c>
      <c r="L14962" s="28" t="s">
        <v>52</v>
      </c>
      <c r="M14962" s="25">
        <v>0</v>
      </c>
      <c r="N14962" s="27">
        <v>1</v>
      </c>
    </row>
    <row r="14963" spans="1:14" hidden="1" outlineLevel="1" x14ac:dyDescent="0.2">
      <c r="A14963" s="23" t="str">
        <f>HYPERLINK("https://www.spark-marketing.ru/Card/Person/1641317", "ООО ""СНРГ""")</f>
        <v>ООО "СНРГ"</v>
      </c>
      <c r="B14963" s="24" t="s">
        <v>17225</v>
      </c>
      <c r="C14963" s="28" t="s">
        <v>52</v>
      </c>
      <c r="D14963" s="22" t="s">
        <v>17226</v>
      </c>
      <c r="E14963" s="22" t="s">
        <v>165</v>
      </c>
      <c r="F14963" s="23" t="str">
        <f>HYPERLINK("https://www.spark-marketing.ru/Card/Lot/67929305", "Услуги по техническому обслуживанию установок системы охранной сигнализации, контроля и управления доступом, охранного телевидения, установленных в помещениях Заказчика по адресу: город Хабаровск, улица Ленинградская,46")</f>
        <v>Услуги по техническому обслуживанию установок системы охранной сигнализации, контроля и управления доступом, охранного телевидения, установленных в помещениях Заказчика по адресу: город Хабаровск, улица Ленинградская,46</v>
      </c>
      <c r="G14963" s="22" t="s">
        <v>55</v>
      </c>
      <c r="H14963" s="22" t="s">
        <v>55</v>
      </c>
      <c r="I14963" s="26">
        <v>43509.737280092602</v>
      </c>
      <c r="J14963" s="23" t="str">
        <f>HYPERLINK("https://www.spark-marketing.ru/Card/Person/192917", "Троцкий Виктор Захарович")</f>
        <v>Троцкий Виктор Захарович</v>
      </c>
      <c r="K14963" s="24" t="s">
        <v>17229</v>
      </c>
      <c r="L14963" s="28" t="s">
        <v>52</v>
      </c>
      <c r="M14963" s="25">
        <v>0</v>
      </c>
      <c r="N14963" s="27">
        <v>1</v>
      </c>
    </row>
    <row r="14964" spans="1:14" x14ac:dyDescent="0.15">
      <c r="A14964" s="23" t="str">
        <f>HYPERLINK("https://www.spark-marketing.ru/Card/Person/59889", "МАУФКИС ""СОК ""КЕРАМИК""")</f>
        <v>МАУФКИС "СОК "КЕРАМИК"</v>
      </c>
      <c r="B14964" s="24" t="s">
        <v>1704</v>
      </c>
      <c r="C14964" s="25">
        <v>50000</v>
      </c>
      <c r="D14964" s="22" t="s">
        <v>17230</v>
      </c>
      <c r="E14964" s="22" t="s">
        <v>103</v>
      </c>
      <c r="F14964" s="23" t="str">
        <f>HYPERLINK("https://www.spark-marketing.ru/Card/Lot/67929147", "Выполнение работ по техническому обслуживанию видеонаблюдения и видеодомофонии")</f>
        <v>Выполнение работ по техническому обслуживанию видеонаблюдения и видеодомофонии</v>
      </c>
      <c r="G14964" s="22" t="s">
        <v>50</v>
      </c>
      <c r="H14964" s="22" t="s">
        <v>432</v>
      </c>
      <c r="I14964" s="26">
        <v>43509.742847222202</v>
      </c>
      <c r="J14964" s="28" t="s">
        <v>52</v>
      </c>
      <c r="K14964" s="28" t="s">
        <v>52</v>
      </c>
      <c r="L14964" s="28" t="s">
        <v>52</v>
      </c>
      <c r="M14964" s="28" t="s">
        <v>52</v>
      </c>
      <c r="N14964" s="28" t="s">
        <v>52</v>
      </c>
    </row>
    <row r="14965" spans="1:14" x14ac:dyDescent="0.15">
      <c r="A14965" s="23" t="str">
        <f>HYPERLINK("https://www.spark-marketing.ru/Card/Person/1057570", "ГБУСОН РО ""СРЦ Г. КАМЕНСК-ШАХТИНСКОГО""")</f>
        <v>ГБУСОН РО "СРЦ Г. КАМЕНСК-ШАХТИНСКОГО"</v>
      </c>
      <c r="B14965" s="24" t="s">
        <v>17231</v>
      </c>
      <c r="C14965" s="25">
        <v>30000</v>
      </c>
      <c r="D14965" s="22" t="s">
        <v>17232</v>
      </c>
      <c r="E14965" s="22" t="s">
        <v>349</v>
      </c>
      <c r="F14965" s="23" t="str">
        <f>HYPERLINK("https://www.spark-marketing.ru/Card/Lot/67929682", "Техническое обслуживание системы видеонаблюдения")</f>
        <v>Техническое обслуживание системы видеонаблюдения</v>
      </c>
      <c r="G14965" s="22" t="s">
        <v>402</v>
      </c>
      <c r="H14965" s="22" t="s">
        <v>6137</v>
      </c>
      <c r="I14965" s="26">
        <v>43509.727083333302</v>
      </c>
      <c r="J14965" s="28" t="s">
        <v>52</v>
      </c>
      <c r="K14965" s="28" t="s">
        <v>52</v>
      </c>
      <c r="L14965" s="28" t="s">
        <v>52</v>
      </c>
      <c r="M14965" s="28" t="s">
        <v>52</v>
      </c>
      <c r="N14965" s="28" t="s">
        <v>52</v>
      </c>
    </row>
    <row r="14966" spans="1:14" x14ac:dyDescent="0.15">
      <c r="A14966" s="23" t="str">
        <f>HYPERLINK("https://www.spark-marketing.ru/Card/Person/1777730", "МАДОУ Д/С №17 ""ЗАРЯНОЧКА""")</f>
        <v>МАДОУ Д/С №17 "ЗАРЯНОЧКА"</v>
      </c>
      <c r="B14966" s="24" t="s">
        <v>17233</v>
      </c>
      <c r="C14966" s="25">
        <v>75680</v>
      </c>
      <c r="D14966" s="22" t="s">
        <v>17234</v>
      </c>
      <c r="E14966" s="22" t="s">
        <v>107</v>
      </c>
      <c r="F14966" s="23" t="str">
        <f>HYPERLINK("https://www.spark-marketing.ru/Card/Lot/67929133", "Оказание услуг по техническому обслуживанию системы доступа и системы видеонаблюдения")</f>
        <v>Оказание услуг по техническому обслуживанию системы доступа и системы видеонаблюдения</v>
      </c>
      <c r="G14966" s="22" t="s">
        <v>50</v>
      </c>
      <c r="H14966" s="22" t="s">
        <v>4782</v>
      </c>
      <c r="I14966" s="26">
        <v>43509.7322569444</v>
      </c>
      <c r="J14966" s="28" t="s">
        <v>52</v>
      </c>
      <c r="K14966" s="28" t="s">
        <v>52</v>
      </c>
      <c r="L14966" s="28" t="s">
        <v>52</v>
      </c>
      <c r="M14966" s="28" t="s">
        <v>52</v>
      </c>
      <c r="N14966" s="28" t="s">
        <v>52</v>
      </c>
    </row>
    <row r="14967" spans="1:14" x14ac:dyDescent="0.15">
      <c r="A14967" s="23" t="str">
        <f>HYPERLINK("https://www.spark-marketing.ru/Card/Person/330927", "АО ""СЕВЕРО-ВОСТОЧНОЕ ПГО""")</f>
        <v>АО "СЕВЕРО-ВОСТОЧНОЕ ПГО"</v>
      </c>
      <c r="B14967" s="24" t="s">
        <v>17235</v>
      </c>
      <c r="C14967" s="25">
        <v>188814.24</v>
      </c>
      <c r="D14967" s="22" t="s">
        <v>17236</v>
      </c>
      <c r="E14967" s="22" t="s">
        <v>615</v>
      </c>
      <c r="F14967" s="23" t="str">
        <f>HYPERLINK("https://www.spark-marketing.ru/Card/Lot/67909936", "Оказание услуг по централизованной охране объектов ОСП КГП АО """"Северо-Восточное ПГО""""")</f>
        <v>Оказание услуг по централизованной охране объектов ОСП КГП АО ""Северо-Восточное ПГО""</v>
      </c>
      <c r="G14967" s="22" t="s">
        <v>808</v>
      </c>
      <c r="H14967" s="22" t="s">
        <v>809</v>
      </c>
      <c r="I14967" s="26">
        <v>43509.667673611097</v>
      </c>
      <c r="J14967" s="28" t="s">
        <v>52</v>
      </c>
      <c r="K14967" s="28" t="s">
        <v>52</v>
      </c>
      <c r="L14967" s="28" t="s">
        <v>52</v>
      </c>
      <c r="M14967" s="28" t="s">
        <v>52</v>
      </c>
      <c r="N14967" s="28" t="s">
        <v>52</v>
      </c>
    </row>
    <row r="14968" spans="1:14" x14ac:dyDescent="0.15">
      <c r="A14968" s="23" t="str">
        <f>HYPERLINK("https://www.spark-marketing.ru/Card/Person/240332", "МАОУ СОШ С. ЯБЛОЧНОЕ")</f>
        <v>МАОУ СОШ С. ЯБЛОЧНОЕ</v>
      </c>
      <c r="B14968" s="24" t="s">
        <v>17237</v>
      </c>
      <c r="C14968" s="25">
        <v>110829</v>
      </c>
      <c r="D14968" s="22" t="s">
        <v>17238</v>
      </c>
      <c r="E14968" s="22" t="s">
        <v>49</v>
      </c>
      <c r="F14968" s="23" t="str">
        <f>HYPERLINK("https://www.spark-marketing.ru/Card/Lot/67909985", "Выполнение работ по установке дополнительных видеокамер в здании МАОУ СОШ с. Яблочное")</f>
        <v>Выполнение работ по установке дополнительных видеокамер в здании МАОУ СОШ с. Яблочное</v>
      </c>
      <c r="G14968" s="22" t="s">
        <v>69</v>
      </c>
      <c r="H14968" s="22" t="s">
        <v>69</v>
      </c>
      <c r="I14968" s="26">
        <v>43509.699513888903</v>
      </c>
      <c r="J14968" s="28" t="s">
        <v>52</v>
      </c>
      <c r="K14968" s="28" t="s">
        <v>52</v>
      </c>
      <c r="L14968" s="28" t="s">
        <v>52</v>
      </c>
      <c r="M14968" s="28" t="s">
        <v>52</v>
      </c>
      <c r="N14968" s="28" t="s">
        <v>52</v>
      </c>
    </row>
    <row r="14969" spans="1:14" x14ac:dyDescent="0.15">
      <c r="A14969" s="23" t="str">
        <f>HYPERLINK("https://www.spark-marketing.ru/Card/Person/5312", "ФГАОУ ВО РУТ (МИИТ), РУТ (МИИТ)")</f>
        <v>ФГАОУ ВО РУТ (МИИТ), РУТ (МИИТ)</v>
      </c>
      <c r="B14969" s="24" t="s">
        <v>12102</v>
      </c>
      <c r="C14969" s="25">
        <v>446158.87</v>
      </c>
      <c r="D14969" s="22" t="s">
        <v>17239</v>
      </c>
      <c r="E14969" s="22" t="s">
        <v>370</v>
      </c>
      <c r="F14969" s="23" t="str">
        <f>HYPERLINK("https://www.spark-marketing.ru/Card/Lot/67936532", "оказание услуг по техническому обслуживанию системы кондиционирования и микроклимата воздуха в помещениях Учебного центра по подготовке специалистов в области обеспечения транспортной безопасности РАПС")</f>
        <v>оказание услуг по техническому обслуживанию системы кондиционирования и микроклимата воздуха в помещениях Учебного центра по подготовке специалистов в области обеспечения транспортной безопасности РАПС</v>
      </c>
      <c r="G14969" s="22" t="s">
        <v>55</v>
      </c>
      <c r="H14969" s="22" t="s">
        <v>55</v>
      </c>
      <c r="I14969" s="26">
        <v>43509.689212963</v>
      </c>
      <c r="J14969" s="28" t="s">
        <v>52</v>
      </c>
      <c r="K14969" s="28" t="s">
        <v>52</v>
      </c>
      <c r="L14969" s="28" t="s">
        <v>52</v>
      </c>
      <c r="M14969" s="28" t="s">
        <v>52</v>
      </c>
      <c r="N14969" s="28" t="s">
        <v>52</v>
      </c>
    </row>
    <row r="14970" spans="1:14" hidden="1" outlineLevel="1" x14ac:dyDescent="0.2">
      <c r="A14970" s="23" t="str">
        <f>HYPERLINK("https://www.spark-marketing.ru/Card/Person/5312", "ФГАОУ ВО РУТ (МИИТ), РУТ (МИИТ)")</f>
        <v>ФГАОУ ВО РУТ (МИИТ), РУТ (МИИТ)</v>
      </c>
      <c r="B14970" s="24" t="s">
        <v>12102</v>
      </c>
      <c r="C14970" s="28" t="s">
        <v>52</v>
      </c>
      <c r="D14970" s="22" t="s">
        <v>17239</v>
      </c>
      <c r="E14970" s="22" t="s">
        <v>370</v>
      </c>
      <c r="F14970" s="23" t="str">
        <f>HYPERLINK("https://www.spark-marketing.ru/Card/Lot/67936532", "оказание услуг по техническому обслуживанию системы кондиционирования и микроклимата воздуха в помещениях Учебного центра по подготовке специалистов в области обеспечения транспортной безопасности РАПС")</f>
        <v>оказание услуг по техническому обслуживанию системы кондиционирования и микроклимата воздуха в помещениях Учебного центра по подготовке специалистов в области обеспечения транспортной безопасности РАПС</v>
      </c>
      <c r="G14970" s="22" t="s">
        <v>55</v>
      </c>
      <c r="H14970" s="22" t="s">
        <v>55</v>
      </c>
      <c r="I14970" s="26">
        <v>43509.689212963</v>
      </c>
      <c r="J14970" s="23" t="str">
        <f>HYPERLINK("https://www.spark-marketing.ru/Card/Person/134892", "ООО ""СТРОЙЗАЩИТА""")</f>
        <v>ООО "СТРОЙЗАЩИТА"</v>
      </c>
      <c r="K14970" s="24" t="s">
        <v>17240</v>
      </c>
      <c r="L14970" s="28" t="s">
        <v>52</v>
      </c>
      <c r="M14970" s="25">
        <v>270000</v>
      </c>
      <c r="N14970" s="27">
        <v>0.39483440058022379</v>
      </c>
    </row>
    <row r="14971" spans="1:14" hidden="1" outlineLevel="1" x14ac:dyDescent="0.2">
      <c r="A14971" s="23" t="str">
        <f>HYPERLINK("https://www.spark-marketing.ru/Card/Person/5312", "ФГАОУ ВО РУТ (МИИТ), РУТ (МИИТ)")</f>
        <v>ФГАОУ ВО РУТ (МИИТ), РУТ (МИИТ)</v>
      </c>
      <c r="B14971" s="24" t="s">
        <v>12102</v>
      </c>
      <c r="C14971" s="28" t="s">
        <v>52</v>
      </c>
      <c r="D14971" s="22" t="s">
        <v>17239</v>
      </c>
      <c r="E14971" s="22" t="s">
        <v>370</v>
      </c>
      <c r="F14971" s="23" t="str">
        <f>HYPERLINK("https://www.spark-marketing.ru/Card/Lot/67936532", "оказание услуг по техническому обслуживанию системы кондиционирования и микроклимата воздуха в помещениях Учебного центра по подготовке специалистов в области обеспечения транспортной безопасности РАПС")</f>
        <v>оказание услуг по техническому обслуживанию системы кондиционирования и микроклимата воздуха в помещениях Учебного центра по подготовке специалистов в области обеспечения транспортной безопасности РАПС</v>
      </c>
      <c r="G14971" s="22" t="s">
        <v>55</v>
      </c>
      <c r="H14971" s="22" t="s">
        <v>55</v>
      </c>
      <c r="I14971" s="26">
        <v>43509.689212963</v>
      </c>
      <c r="J14971" s="23" t="str">
        <f>HYPERLINK("https://www.spark-marketing.ru/Card/Person/73413", "ООО ""ЭКСПРЕСС СЕРВИС""")</f>
        <v>ООО "ЭКСПРЕСС СЕРВИС"</v>
      </c>
      <c r="K14971" s="24" t="s">
        <v>17241</v>
      </c>
      <c r="L14971" s="22" t="s">
        <v>10</v>
      </c>
      <c r="M14971" s="25">
        <v>269000</v>
      </c>
      <c r="N14971" s="27">
        <v>0.39707575465214889</v>
      </c>
    </row>
    <row r="14972" spans="1:14" hidden="1" outlineLevel="1" x14ac:dyDescent="0.2">
      <c r="A14972" s="23" t="str">
        <f>HYPERLINK("https://www.spark-marketing.ru/Card/Person/5312", "ФГАОУ ВО РУТ (МИИТ), РУТ (МИИТ)")</f>
        <v>ФГАОУ ВО РУТ (МИИТ), РУТ (МИИТ)</v>
      </c>
      <c r="B14972" s="24" t="s">
        <v>12102</v>
      </c>
      <c r="C14972" s="28" t="s">
        <v>52</v>
      </c>
      <c r="D14972" s="22" t="s">
        <v>17239</v>
      </c>
      <c r="E14972" s="22" t="s">
        <v>370</v>
      </c>
      <c r="F14972" s="23" t="str">
        <f>HYPERLINK("https://www.spark-marketing.ru/Card/Lot/67936532", "оказание услуг по техническому обслуживанию системы кондиционирования и микроклимата воздуха в помещениях Учебного центра по подготовке специалистов в области обеспечения транспортной безопасности РАПС")</f>
        <v>оказание услуг по техническому обслуживанию системы кондиционирования и микроклимата воздуха в помещениях Учебного центра по подготовке специалистов в области обеспечения транспортной безопасности РАПС</v>
      </c>
      <c r="G14972" s="22" t="s">
        <v>55</v>
      </c>
      <c r="H14972" s="22" t="s">
        <v>55</v>
      </c>
      <c r="I14972" s="26">
        <v>43509.689212963</v>
      </c>
      <c r="J14972" s="23" t="str">
        <f>HYPERLINK("https://www.spark-marketing.ru/Card/Person/5861107", "ООО ""КЛИМАТ-МОНТАЖ""")</f>
        <v>ООО "КЛИМАТ-МОНТАЖ"</v>
      </c>
      <c r="K14972" s="24" t="s">
        <v>17242</v>
      </c>
      <c r="L14972" s="28" t="s">
        <v>52</v>
      </c>
      <c r="M14972" s="25">
        <v>325000</v>
      </c>
      <c r="N14972" s="27">
        <v>0.27155992662434347</v>
      </c>
    </row>
    <row r="14973" spans="1:14" x14ac:dyDescent="0.15">
      <c r="A14973" s="23" t="str">
        <f>HYPERLINK("https://www.spark-marketing.ru/Card/Person/1031497", "ГБУСОН РО ""СП Г. ТАГАНРОГА""")</f>
        <v>ГБУСОН РО "СП Г. ТАГАНРОГА"</v>
      </c>
      <c r="B14973" s="24" t="s">
        <v>17243</v>
      </c>
      <c r="C14973" s="25">
        <v>59039.97</v>
      </c>
      <c r="D14973" s="22" t="s">
        <v>17244</v>
      </c>
      <c r="E14973" s="22" t="s">
        <v>194</v>
      </c>
      <c r="F14973" s="23" t="str">
        <f>HYPERLINK("https://www.spark-marketing.ru/Card/Lot/67929794", "Техническое обслуживание системы видеонаблюдения из 27 видеокамер в течение 11 месяцев 2019 года")</f>
        <v>Техническое обслуживание системы видеонаблюдения из 27 видеокамер в течение 11 месяцев 2019 года</v>
      </c>
      <c r="G14973" s="22" t="s">
        <v>402</v>
      </c>
      <c r="H14973" s="22" t="s">
        <v>5520</v>
      </c>
      <c r="I14973" s="26">
        <v>43509.703472222202</v>
      </c>
      <c r="J14973" s="28" t="s">
        <v>52</v>
      </c>
      <c r="K14973" s="28" t="s">
        <v>52</v>
      </c>
      <c r="L14973" s="28" t="s">
        <v>52</v>
      </c>
      <c r="M14973" s="28" t="s">
        <v>52</v>
      </c>
      <c r="N14973" s="28" t="s">
        <v>52</v>
      </c>
    </row>
    <row r="14974" spans="1:14" x14ac:dyDescent="0.15">
      <c r="A14974" s="23" t="str">
        <f>HYPERLINK("https://www.spark-marketing.ru/Card/Person/74865", "МБОУ ""ГИМНАЗИЯ № 16""")</f>
        <v>МБОУ "ГИМНАЗИЯ № 16"</v>
      </c>
      <c r="B14974" s="24" t="s">
        <v>17245</v>
      </c>
      <c r="C14974" s="25">
        <v>80500</v>
      </c>
      <c r="D14974" s="22" t="s">
        <v>17246</v>
      </c>
      <c r="E14974" s="22" t="s">
        <v>107</v>
      </c>
      <c r="F14974" s="23" t="str">
        <f>HYPERLINK("https://www.spark-marketing.ru/Card/Lot/67928973", "ТО камер видеонаблюдения (ЕГЭ)")</f>
        <v>ТО камер видеонаблюдения (ЕГЭ)</v>
      </c>
      <c r="G14974" s="22" t="s">
        <v>50</v>
      </c>
      <c r="H14974" s="22" t="s">
        <v>2088</v>
      </c>
      <c r="I14974" s="26">
        <v>43509.690347222197</v>
      </c>
      <c r="J14974" s="28" t="s">
        <v>52</v>
      </c>
      <c r="K14974" s="28" t="s">
        <v>52</v>
      </c>
      <c r="L14974" s="28" t="s">
        <v>52</v>
      </c>
      <c r="M14974" s="28" t="s">
        <v>52</v>
      </c>
      <c r="N14974" s="28" t="s">
        <v>52</v>
      </c>
    </row>
    <row r="14975" spans="1:14" x14ac:dyDescent="0.15">
      <c r="A14975" s="23" t="str">
        <f>HYPERLINK("https://www.spark-marketing.ru/Card/Person/31865", "АО ""ОКБМ АФРИКАНТОВ""")</f>
        <v>АО "ОКБМ АФРИКАНТОВ"</v>
      </c>
      <c r="B14975" s="24" t="s">
        <v>752</v>
      </c>
      <c r="C14975" s="28" t="s">
        <v>52</v>
      </c>
      <c r="D14975" s="22" t="s">
        <v>17247</v>
      </c>
      <c r="E14975" s="22" t="s">
        <v>53</v>
      </c>
      <c r="F14975" s="23" t="str">
        <f>HYPERLINK("https://www.spark-marketing.ru/Card/Lot/67930666", "Оказание услуг по охране здания, имущества и обеспечению общественного порядка (1186230)")</f>
        <v>Оказание услуг по охране здания, имущества и обеспечению общественного порядка (1186230)</v>
      </c>
      <c r="G14975" s="22" t="s">
        <v>64</v>
      </c>
      <c r="H14975" s="22" t="s">
        <v>65</v>
      </c>
      <c r="I14975" s="26">
        <v>43509.704872685201</v>
      </c>
      <c r="J14975" s="28" t="s">
        <v>52</v>
      </c>
      <c r="K14975" s="28" t="s">
        <v>52</v>
      </c>
      <c r="L14975" s="28" t="s">
        <v>52</v>
      </c>
      <c r="M14975" s="28" t="s">
        <v>52</v>
      </c>
      <c r="N14975" s="28" t="s">
        <v>52</v>
      </c>
    </row>
    <row r="14976" spans="1:14" x14ac:dyDescent="0.15">
      <c r="A14976" s="23" t="str">
        <f>HYPERLINK("https://www.spark-marketing.ru/Card/Person/301098", "АО ""СЗ НО ""ДИРЕКЦИЯ ПО СТРОИТЕЛЬСТВУ""")</f>
        <v>АО "СЗ НО "ДИРЕКЦИЯ ПО СТРОИТЕЛЬСТВУ"</v>
      </c>
      <c r="B14976" s="24" t="s">
        <v>17248</v>
      </c>
      <c r="C14976" s="25">
        <v>180000</v>
      </c>
      <c r="D14976" s="22" t="s">
        <v>17249</v>
      </c>
      <c r="E14976" s="22" t="s">
        <v>363</v>
      </c>
      <c r="F14976" s="23" t="str">
        <f>HYPERLINK("https://www.spark-marketing.ru/Card/Lot/67936610", "Заключение договора на предоставление услуг по охране объекта: строительной площадки (ул. Дачная) при строительстве ЖК ""Новинки Smart City"", расположенного по адресу: Нижегородская область, Богородский район, участок прилегающий к п. Новинки")</f>
        <v>Заключение договора на предоставление услуг по охране объекта: строительной площадки (ул. Дачная) при строительстве ЖК "Новинки Smart City", расположенного по адресу: Нижегородская область, Богородский район, участок прилегающий к п. Новинки</v>
      </c>
      <c r="G14976" s="22" t="s">
        <v>64</v>
      </c>
      <c r="H14976" s="22" t="s">
        <v>64</v>
      </c>
      <c r="I14976" s="26">
        <v>43509.674432870401</v>
      </c>
      <c r="J14976" s="28" t="s">
        <v>52</v>
      </c>
      <c r="K14976" s="28" t="s">
        <v>52</v>
      </c>
      <c r="L14976" s="28" t="s">
        <v>52</v>
      </c>
      <c r="M14976" s="28" t="s">
        <v>52</v>
      </c>
      <c r="N14976" s="28" t="s">
        <v>52</v>
      </c>
    </row>
    <row r="14977" spans="1:14" x14ac:dyDescent="0.15">
      <c r="A14977" s="23" t="str">
        <f>HYPERLINK("https://www.spark-marketing.ru/Card/Person/128942", "МБОУ ШКОЛА № 3")</f>
        <v>МБОУ ШКОЛА № 3</v>
      </c>
      <c r="B14977" s="24" t="s">
        <v>10081</v>
      </c>
      <c r="C14977" s="25">
        <v>288000</v>
      </c>
      <c r="D14977" s="22" t="s">
        <v>17250</v>
      </c>
      <c r="E14977" s="22" t="s">
        <v>298</v>
      </c>
      <c r="F14977" s="23" t="str">
        <f>HYPERLINK("https://www.spark-marketing.ru/Card/Lot/67928955", "Оказание услуг по замене камер системы видеонаблюдения и техническое обслуживание в пунктах приема экзаменов (ППЭ)")</f>
        <v>Оказание услуг по замене камер системы видеонаблюдения и техническое обслуживание в пунктах приема экзаменов (ППЭ)</v>
      </c>
      <c r="G14977" s="22" t="s">
        <v>50</v>
      </c>
      <c r="H14977" s="22" t="s">
        <v>248</v>
      </c>
      <c r="I14977" s="26">
        <v>43509.680115740703</v>
      </c>
      <c r="J14977" s="28" t="s">
        <v>52</v>
      </c>
      <c r="K14977" s="28" t="s">
        <v>52</v>
      </c>
      <c r="L14977" s="28" t="s">
        <v>52</v>
      </c>
      <c r="M14977" s="28" t="s">
        <v>52</v>
      </c>
      <c r="N14977" s="28" t="s">
        <v>52</v>
      </c>
    </row>
    <row r="14978" spans="1:14" x14ac:dyDescent="0.15">
      <c r="A14978" s="23" t="str">
        <f>HYPERLINK("https://www.spark-marketing.ru/Card/Person/1661477", "ПАО ""ДЕТСКИЙ МИР""")</f>
        <v>ПАО "ДЕТСКИЙ МИР"</v>
      </c>
      <c r="B14978" s="24" t="s">
        <v>667</v>
      </c>
      <c r="C14978" s="28" t="s">
        <v>52</v>
      </c>
      <c r="D14978" s="22" t="s">
        <v>17251</v>
      </c>
      <c r="E14978" s="22" t="s">
        <v>53</v>
      </c>
      <c r="F14978" s="23" t="str">
        <f>HYPERLINK("https://www.spark-marketing.ru/Card/Lot/67929112", "Оказание услуг по физической охране объектов ПАО «Детский мир» РО Москва сроком на 1 (Один) год.")</f>
        <v>Оказание услуг по физической охране объектов ПАО «Детский мир» РО Москва сроком на 1 (Один) год.</v>
      </c>
      <c r="G14978" s="22" t="s">
        <v>55</v>
      </c>
      <c r="H14978" s="22" t="s">
        <v>55</v>
      </c>
      <c r="I14978" s="26">
        <v>43509.694444444402</v>
      </c>
      <c r="J14978" s="28" t="s">
        <v>52</v>
      </c>
      <c r="K14978" s="28" t="s">
        <v>52</v>
      </c>
      <c r="L14978" s="28" t="s">
        <v>52</v>
      </c>
      <c r="M14978" s="28" t="s">
        <v>52</v>
      </c>
      <c r="N14978" s="28" t="s">
        <v>52</v>
      </c>
    </row>
    <row r="14979" spans="1:14" x14ac:dyDescent="0.15">
      <c r="A14979" s="23" t="str">
        <f>HYPERLINK("https://www.spark-marketing.ru/Card/Person/144311", "АО ""АТЦ РОСАТОМА""")</f>
        <v>АО "АТЦ РОСАТОМА"</v>
      </c>
      <c r="B14979" s="24" t="s">
        <v>380</v>
      </c>
      <c r="C14979" s="25">
        <v>0</v>
      </c>
      <c r="D14979" s="22" t="s">
        <v>17252</v>
      </c>
      <c r="E14979" s="22" t="s">
        <v>53</v>
      </c>
      <c r="F14979" s="23" t="str">
        <f>HYPERLINK("https://www.spark-marketing.ru/Card/Lot/67929862", "мониторинг цен в электронной форме на Оказание услуг по осуществлению контрольно-пропускного и внутриобъектового режимов, услуг по охране объектов филиала")</f>
        <v>мониторинг цен в электронной форме на Оказание услуг по осуществлению контрольно-пропускного и внутриобъектового режимов, услуг по охране объектов филиала</v>
      </c>
      <c r="G14979" s="22" t="s">
        <v>89</v>
      </c>
      <c r="H14979" s="22" t="s">
        <v>89</v>
      </c>
      <c r="I14979" s="26">
        <v>43509.630277777796</v>
      </c>
      <c r="J14979" s="28" t="s">
        <v>52</v>
      </c>
      <c r="K14979" s="28" t="s">
        <v>52</v>
      </c>
      <c r="L14979" s="28" t="s">
        <v>52</v>
      </c>
      <c r="M14979" s="28" t="s">
        <v>52</v>
      </c>
      <c r="N14979" s="28" t="s">
        <v>52</v>
      </c>
    </row>
    <row r="14980" spans="1:14" x14ac:dyDescent="0.15">
      <c r="A14980" s="23" t="str">
        <f>HYPERLINK("https://www.spark-marketing.ru/Card/Person/153242", "МБУ ТАЛДОМСКИЙ ЦДК ТАЛДОМСКОГО ГОРОДСКОГО ОКРУГА МО")</f>
        <v>МБУ ТАЛДОМСКИЙ ЦДК ТАЛДОМСКОГО ГОРОДСКОГО ОКРУГА МО</v>
      </c>
      <c r="B14980" s="24" t="s">
        <v>15836</v>
      </c>
      <c r="C14980" s="25">
        <v>4420</v>
      </c>
      <c r="D14980" s="22" t="s">
        <v>17253</v>
      </c>
      <c r="E14980" s="22" t="s">
        <v>294</v>
      </c>
      <c r="F14980" s="23" t="str">
        <f>HYPERLINK("https://www.spark-marketing.ru/Card/Lot/67921338", "оказание услуг по обслуживанию системы видеонаблюдения на территории ПКиО «Солнечный берег» п.Запрудня филиале МБУ Талдомский ЦДК")</f>
        <v>оказание услуг по обслуживанию системы видеонаблюдения на территории ПКиО «Солнечный берег» п.Запрудня филиале МБУ Талдомский ЦДК</v>
      </c>
      <c r="G14980" s="22" t="s">
        <v>50</v>
      </c>
      <c r="H14980" s="22" t="s">
        <v>50</v>
      </c>
      <c r="I14980" s="26">
        <v>43509.628113425897</v>
      </c>
      <c r="J14980" s="28" t="s">
        <v>52</v>
      </c>
      <c r="K14980" s="28" t="s">
        <v>52</v>
      </c>
      <c r="L14980" s="28" t="s">
        <v>52</v>
      </c>
      <c r="M14980" s="28" t="s">
        <v>52</v>
      </c>
      <c r="N14980" s="28" t="s">
        <v>52</v>
      </c>
    </row>
    <row r="14981" spans="1:14" x14ac:dyDescent="0.15">
      <c r="A14981" s="23" t="str">
        <f>HYPERLINK("https://www.spark-marketing.ru/Card/Person/1031497", "ГБУСОН РО ""СП Г. ТАГАНРОГА""")</f>
        <v>ГБУСОН РО "СП Г. ТАГАНРОГА"</v>
      </c>
      <c r="B14981" s="24" t="s">
        <v>17243</v>
      </c>
      <c r="C14981" s="25">
        <v>59039.97</v>
      </c>
      <c r="D14981" s="22" t="s">
        <v>17254</v>
      </c>
      <c r="E14981" s="22" t="s">
        <v>194</v>
      </c>
      <c r="F14981" s="23" t="str">
        <f>HYPERLINK("https://www.spark-marketing.ru/Card/Lot/67921365", "Техническое обслуживание системы видеонаблюдения из 27 видеокамер в течение 11 месяцев 2019 года")</f>
        <v>Техническое обслуживание системы видеонаблюдения из 27 видеокамер в течение 11 месяцев 2019 года</v>
      </c>
      <c r="G14981" s="22" t="s">
        <v>402</v>
      </c>
      <c r="H14981" s="22" t="s">
        <v>5520</v>
      </c>
      <c r="I14981" s="26">
        <v>43509.626388888901</v>
      </c>
      <c r="J14981" s="28" t="s">
        <v>52</v>
      </c>
      <c r="K14981" s="28" t="s">
        <v>52</v>
      </c>
      <c r="L14981" s="28" t="s">
        <v>52</v>
      </c>
      <c r="M14981" s="28" t="s">
        <v>52</v>
      </c>
      <c r="N14981" s="28" t="s">
        <v>52</v>
      </c>
    </row>
    <row r="14982" spans="1:14" x14ac:dyDescent="0.15">
      <c r="A14982" s="23" t="str">
        <f>HYPERLINK("https://www.spark-marketing.ru/Card/Person/1071396", "ГБПОУ РО ""БТИТИР""")</f>
        <v>ГБПОУ РО "БТИТИР"</v>
      </c>
      <c r="B14982" s="24" t="s">
        <v>17255</v>
      </c>
      <c r="C14982" s="25">
        <v>72000</v>
      </c>
      <c r="D14982" s="22" t="s">
        <v>17256</v>
      </c>
      <c r="E14982" s="22" t="s">
        <v>5312</v>
      </c>
      <c r="F14982" s="23" t="str">
        <f>HYPERLINK("https://www.spark-marketing.ru/Card/Lot/67922996", "Техническое обслуживание системы видеонаблюдения")</f>
        <v>Техническое обслуживание системы видеонаблюдения</v>
      </c>
      <c r="G14982" s="22" t="s">
        <v>402</v>
      </c>
      <c r="H14982" s="22" t="s">
        <v>17257</v>
      </c>
      <c r="I14982" s="26">
        <v>43509.652083333298</v>
      </c>
      <c r="J14982" s="28" t="s">
        <v>52</v>
      </c>
      <c r="K14982" s="28" t="s">
        <v>52</v>
      </c>
      <c r="L14982" s="28" t="s">
        <v>52</v>
      </c>
      <c r="M14982" s="28" t="s">
        <v>52</v>
      </c>
      <c r="N14982" s="28" t="s">
        <v>52</v>
      </c>
    </row>
    <row r="14983" spans="1:14" x14ac:dyDescent="0.15">
      <c r="A14983" s="23" t="str">
        <f>HYPERLINK("https://www.spark-marketing.ru/Card/Person/153242", "МБУ ТАЛДОМСКИЙ ЦДК ТАЛДОМСКОГО ГОРОДСКОГО ОКРУГА МО")</f>
        <v>МБУ ТАЛДОМСКИЙ ЦДК ТАЛДОМСКОГО ГОРОДСКОГО ОКРУГА МО</v>
      </c>
      <c r="B14983" s="24" t="s">
        <v>15836</v>
      </c>
      <c r="C14983" s="25">
        <v>39658.74</v>
      </c>
      <c r="D14983" s="22" t="s">
        <v>17258</v>
      </c>
      <c r="E14983" s="22" t="s">
        <v>294</v>
      </c>
      <c r="F14983" s="23" t="str">
        <f>HYPERLINK("https://www.spark-marketing.ru/Card/Lot/67921303", "Оказание услуг по обслуживанию системы видеонаблюдения для нужд МБУ Талдомский ЦДК")</f>
        <v>Оказание услуг по обслуживанию системы видеонаблюдения для нужд МБУ Талдомский ЦДК</v>
      </c>
      <c r="G14983" s="22" t="s">
        <v>50</v>
      </c>
      <c r="H14983" s="22" t="s">
        <v>5042</v>
      </c>
      <c r="I14983" s="26">
        <v>43509.628009259301</v>
      </c>
      <c r="J14983" s="28" t="s">
        <v>52</v>
      </c>
      <c r="K14983" s="28" t="s">
        <v>52</v>
      </c>
      <c r="L14983" s="28" t="s">
        <v>52</v>
      </c>
      <c r="M14983" s="28" t="s">
        <v>52</v>
      </c>
      <c r="N14983" s="28" t="s">
        <v>52</v>
      </c>
    </row>
    <row r="14984" spans="1:14" x14ac:dyDescent="0.15">
      <c r="A14984" s="23" t="str">
        <f>HYPERLINK("https://www.spark-marketing.ru/Card/Person/133593", "МБОУ ""ШКОЛА № 27""")</f>
        <v>МБОУ "ШКОЛА № 27"</v>
      </c>
      <c r="B14984" s="24" t="s">
        <v>17259</v>
      </c>
      <c r="C14984" s="25">
        <v>11382</v>
      </c>
      <c r="D14984" s="22" t="s">
        <v>17260</v>
      </c>
      <c r="E14984" s="22" t="s">
        <v>107</v>
      </c>
      <c r="F14984" s="23" t="str">
        <f>HYPERLINK("https://www.spark-marketing.ru/Card/Lot/67921346", "Услуги по техническому обслуживанию КТС")</f>
        <v>Услуги по техническому обслуживанию КТС</v>
      </c>
      <c r="G14984" s="22" t="s">
        <v>50</v>
      </c>
      <c r="H14984" s="22" t="s">
        <v>432</v>
      </c>
      <c r="I14984" s="26">
        <v>43509.628981481503</v>
      </c>
      <c r="J14984" s="28" t="s">
        <v>52</v>
      </c>
      <c r="K14984" s="28" t="s">
        <v>52</v>
      </c>
      <c r="L14984" s="28" t="s">
        <v>52</v>
      </c>
      <c r="M14984" s="28" t="s">
        <v>52</v>
      </c>
      <c r="N14984" s="28" t="s">
        <v>52</v>
      </c>
    </row>
    <row r="14985" spans="1:14" x14ac:dyDescent="0.15">
      <c r="A14985" s="23" t="str">
        <f>HYPERLINK("https://www.spark-marketing.ru/Card/Person/131416", "МБДОУ ДЕТСКИЙ САД № 15")</f>
        <v>МБДОУ ДЕТСКИЙ САД № 15</v>
      </c>
      <c r="B14985" s="24" t="s">
        <v>17261</v>
      </c>
      <c r="C14985" s="25">
        <v>41760</v>
      </c>
      <c r="D14985" s="22" t="s">
        <v>17262</v>
      </c>
      <c r="E14985" s="22" t="s">
        <v>294</v>
      </c>
      <c r="F14985" s="23" t="str">
        <f>HYPERLINK("https://www.spark-marketing.ru/Card/Lot/67924825", "Оказание услуг по техническому обслуживанию системы видеонаблюдения")</f>
        <v>Оказание услуг по техническому обслуживанию системы видеонаблюдения</v>
      </c>
      <c r="G14985" s="22" t="s">
        <v>50</v>
      </c>
      <c r="H14985" s="22" t="s">
        <v>3866</v>
      </c>
      <c r="I14985" s="26">
        <v>43509.659270833297</v>
      </c>
      <c r="J14985" s="28" t="s">
        <v>52</v>
      </c>
      <c r="K14985" s="28" t="s">
        <v>52</v>
      </c>
      <c r="L14985" s="28" t="s">
        <v>52</v>
      </c>
      <c r="M14985" s="28" t="s">
        <v>52</v>
      </c>
      <c r="N14985" s="28" t="s">
        <v>52</v>
      </c>
    </row>
    <row r="14986" spans="1:14" x14ac:dyDescent="0.15">
      <c r="A14986" s="23" t="str">
        <f>HYPERLINK("https://www.spark-marketing.ru/Card/Person/1275937", "ЗАО ""ТЗС""")</f>
        <v>ЗАО "ТЗС"</v>
      </c>
      <c r="B14986" s="24" t="s">
        <v>17263</v>
      </c>
      <c r="C14986" s="25">
        <v>254103.84</v>
      </c>
      <c r="D14986" s="22" t="s">
        <v>17264</v>
      </c>
      <c r="E14986" s="22" t="s">
        <v>533</v>
      </c>
      <c r="F14986" s="23" t="str">
        <f>HYPERLINK("https://www.spark-marketing.ru/Card/Lot/67922205", "Использование комплекса технических средств (тревожная сигнализация) и техническое обслуживание, лот № ТЗС 85/18/ЕП.")</f>
        <v>Использование комплекса технических средств (тревожная сигнализация) и техническое обслуживание, лот № ТЗС 85/18/ЕП.</v>
      </c>
      <c r="G14986" s="22" t="s">
        <v>55</v>
      </c>
      <c r="H14986" s="22" t="s">
        <v>55</v>
      </c>
      <c r="I14986" s="26">
        <v>43509.602939814802</v>
      </c>
      <c r="J14986" s="28" t="s">
        <v>52</v>
      </c>
      <c r="K14986" s="28" t="s">
        <v>52</v>
      </c>
      <c r="L14986" s="28" t="s">
        <v>52</v>
      </c>
      <c r="M14986" s="28" t="s">
        <v>52</v>
      </c>
      <c r="N14986" s="28" t="s">
        <v>52</v>
      </c>
    </row>
    <row r="14987" spans="1:14" x14ac:dyDescent="0.15">
      <c r="A14987" s="23" t="str">
        <f>HYPERLINK("https://www.spark-marketing.ru/Card/Person/61292", "МБОУ ""НОВОВОЛКОВСКАЯ ООШ""")</f>
        <v>МБОУ "НОВОВОЛКОВСКАЯ ООШ"</v>
      </c>
      <c r="B14987" s="24" t="s">
        <v>17265</v>
      </c>
      <c r="C14987" s="25">
        <v>16500</v>
      </c>
      <c r="D14987" s="22" t="s">
        <v>17266</v>
      </c>
      <c r="E14987" s="22" t="s">
        <v>103</v>
      </c>
      <c r="F14987" s="23" t="str">
        <f>HYPERLINK("https://www.spark-marketing.ru/Card/Lot/67921452", "Оказание услуг по техничсекому обслуживанию системы видеонаблюдения")</f>
        <v>Оказание услуг по техничсекому обслуживанию системы видеонаблюдения</v>
      </c>
      <c r="G14987" s="22" t="s">
        <v>50</v>
      </c>
      <c r="H14987" s="22" t="s">
        <v>1207</v>
      </c>
      <c r="I14987" s="26">
        <v>43509.607245370396</v>
      </c>
      <c r="J14987" s="28" t="s">
        <v>52</v>
      </c>
      <c r="K14987" s="28" t="s">
        <v>52</v>
      </c>
      <c r="L14987" s="28" t="s">
        <v>52</v>
      </c>
      <c r="M14987" s="28" t="s">
        <v>52</v>
      </c>
      <c r="N14987" s="28" t="s">
        <v>52</v>
      </c>
    </row>
    <row r="14988" spans="1:14" x14ac:dyDescent="0.15">
      <c r="A14988" s="23" t="str">
        <f>HYPERLINK("https://www.spark-marketing.ru/Card/Person/1044445", "МОУ ВЕРЕЙСКАЯ СОШ № 19")</f>
        <v>МОУ ВЕРЕЙСКАЯ СОШ № 19</v>
      </c>
      <c r="B14988" s="24" t="s">
        <v>730</v>
      </c>
      <c r="C14988" s="25">
        <v>27500</v>
      </c>
      <c r="D14988" s="22" t="s">
        <v>17267</v>
      </c>
      <c r="E14988" s="22" t="s">
        <v>103</v>
      </c>
      <c r="F14988" s="23" t="str">
        <f>HYPERLINK("https://www.spark-marketing.ru/Card/Lot/67921440", "Оказание услуг по техническому обслуживанию систем видеонаблюдения")</f>
        <v>Оказание услуг по техническому обслуживанию систем видеонаблюдения</v>
      </c>
      <c r="G14988" s="22" t="s">
        <v>50</v>
      </c>
      <c r="H14988" s="22" t="s">
        <v>104</v>
      </c>
      <c r="I14988" s="26">
        <v>43509.607071759303</v>
      </c>
      <c r="J14988" s="28" t="s">
        <v>52</v>
      </c>
      <c r="K14988" s="28" t="s">
        <v>52</v>
      </c>
      <c r="L14988" s="28" t="s">
        <v>52</v>
      </c>
      <c r="M14988" s="28" t="s">
        <v>52</v>
      </c>
      <c r="N14988" s="28" t="s">
        <v>52</v>
      </c>
    </row>
    <row r="14989" spans="1:14" x14ac:dyDescent="0.15">
      <c r="A14989" s="23" t="str">
        <f>HYPERLINK("https://www.spark-marketing.ru/Card/Person/61349", "МБОУ ""СОШ №2 г. Рузы""")</f>
        <v>МБОУ "СОШ №2 г. Рузы"</v>
      </c>
      <c r="B14989" s="24" t="s">
        <v>17268</v>
      </c>
      <c r="C14989" s="25">
        <v>16500</v>
      </c>
      <c r="D14989" s="22" t="s">
        <v>17269</v>
      </c>
      <c r="E14989" s="22" t="s">
        <v>103</v>
      </c>
      <c r="F14989" s="23" t="str">
        <f>HYPERLINK("https://www.spark-marketing.ru/Card/Lot/67918973", "Оказание услуг на обслуживание систем видеонаблюдения")</f>
        <v>Оказание услуг на обслуживание систем видеонаблюдения</v>
      </c>
      <c r="G14989" s="22" t="s">
        <v>50</v>
      </c>
      <c r="H14989" s="22" t="s">
        <v>3869</v>
      </c>
      <c r="I14989" s="26">
        <v>43509.586562500001</v>
      </c>
      <c r="J14989" s="28" t="s">
        <v>52</v>
      </c>
      <c r="K14989" s="28" t="s">
        <v>52</v>
      </c>
      <c r="L14989" s="28" t="s">
        <v>52</v>
      </c>
      <c r="M14989" s="28" t="s">
        <v>52</v>
      </c>
      <c r="N14989" s="28" t="s">
        <v>52</v>
      </c>
    </row>
    <row r="14990" spans="1:14" x14ac:dyDescent="0.15">
      <c r="A14990" s="23" t="str">
        <f>HYPERLINK("https://www.spark-marketing.ru/Card/Person/31865", "АО ""ОКБМ АФРИКАНТОВ""")</f>
        <v>АО "ОКБМ АФРИКАНТОВ"</v>
      </c>
      <c r="B14990" s="24" t="s">
        <v>752</v>
      </c>
      <c r="C14990" s="25">
        <v>0</v>
      </c>
      <c r="D14990" s="22" t="s">
        <v>17270</v>
      </c>
      <c r="E14990" s="22" t="s">
        <v>53</v>
      </c>
      <c r="F14990" s="23" t="str">
        <f>HYPERLINK("https://www.spark-marketing.ru/Card/Lot/67922373", "мониторинг цен в электронной форме на Оказание услуг по охране здания, имущества и обеспечению общественного порядка")</f>
        <v>мониторинг цен в электронной форме на Оказание услуг по охране здания, имущества и обеспечению общественного порядка</v>
      </c>
      <c r="G14990" s="22" t="s">
        <v>64</v>
      </c>
      <c r="H14990" s="22" t="s">
        <v>65</v>
      </c>
      <c r="I14990" s="26">
        <v>43509.5715740741</v>
      </c>
      <c r="J14990" s="28" t="s">
        <v>52</v>
      </c>
      <c r="K14990" s="28" t="s">
        <v>52</v>
      </c>
      <c r="L14990" s="28" t="s">
        <v>52</v>
      </c>
      <c r="M14990" s="28" t="s">
        <v>52</v>
      </c>
      <c r="N14990" s="28" t="s">
        <v>52</v>
      </c>
    </row>
    <row r="14991" spans="1:14" x14ac:dyDescent="0.15">
      <c r="A14991" s="23" t="str">
        <f>HYPERLINK("https://www.spark-marketing.ru/Card/Person/38622", "АО ""СХК""")</f>
        <v>АО "СХК"</v>
      </c>
      <c r="B14991" s="24" t="s">
        <v>159</v>
      </c>
      <c r="C14991" s="25">
        <v>0</v>
      </c>
      <c r="D14991" s="22" t="s">
        <v>17271</v>
      </c>
      <c r="E14991" s="22" t="s">
        <v>53</v>
      </c>
      <c r="F14991" s="23" t="str">
        <f>HYPERLINK("https://www.spark-marketing.ru/Card/Lot/67922327", "мониторинг цен в электронной форме на Оказание охранных услуг")</f>
        <v>мониторинг цен в электронной форме на Оказание охранных услуг</v>
      </c>
      <c r="G14991" s="22" t="s">
        <v>150</v>
      </c>
      <c r="H14991" s="22" t="s">
        <v>161</v>
      </c>
      <c r="I14991" s="26">
        <v>43509.530856481499</v>
      </c>
      <c r="J14991" s="28" t="s">
        <v>52</v>
      </c>
      <c r="K14991" s="28" t="s">
        <v>52</v>
      </c>
      <c r="L14991" s="28" t="s">
        <v>52</v>
      </c>
      <c r="M14991" s="28" t="s">
        <v>52</v>
      </c>
      <c r="N14991" s="28" t="s">
        <v>52</v>
      </c>
    </row>
    <row r="14992" spans="1:14" x14ac:dyDescent="0.15">
      <c r="A14992" s="23" t="str">
        <f>HYPERLINK("https://www.spark-marketing.ru/Card/Person/38622", "АО ""СХК""")</f>
        <v>АО "СХК"</v>
      </c>
      <c r="B14992" s="24" t="s">
        <v>159</v>
      </c>
      <c r="C14992" s="28" t="s">
        <v>52</v>
      </c>
      <c r="D14992" s="22" t="s">
        <v>17272</v>
      </c>
      <c r="E14992" s="22" t="s">
        <v>53</v>
      </c>
      <c r="F14992" s="23" t="str">
        <f>HYPERLINK("https://www.spark-marketing.ru/Card/Lot/67922647", "Оказание охранных услуг (1186150)")</f>
        <v>Оказание охранных услуг (1186150)</v>
      </c>
      <c r="G14992" s="22" t="s">
        <v>150</v>
      </c>
      <c r="H14992" s="22" t="s">
        <v>161</v>
      </c>
      <c r="I14992" s="26">
        <v>43509.538217592599</v>
      </c>
      <c r="J14992" s="28" t="s">
        <v>52</v>
      </c>
      <c r="K14992" s="28" t="s">
        <v>52</v>
      </c>
      <c r="L14992" s="28" t="s">
        <v>52</v>
      </c>
      <c r="M14992" s="28" t="s">
        <v>52</v>
      </c>
      <c r="N14992" s="28" t="s">
        <v>52</v>
      </c>
    </row>
    <row r="14993" spans="1:14" x14ac:dyDescent="0.15">
      <c r="A14993" s="23" t="str">
        <f>HYPERLINK("https://www.spark-marketing.ru/Card/Person/1777709", "МДОУ №79 ""РЫБКА""")</f>
        <v>МДОУ №79 "РЫБКА"</v>
      </c>
      <c r="B14993" s="24" t="s">
        <v>17273</v>
      </c>
      <c r="C14993" s="25">
        <v>23100</v>
      </c>
      <c r="D14993" s="22" t="s">
        <v>17274</v>
      </c>
      <c r="E14993" s="22" t="s">
        <v>103</v>
      </c>
      <c r="F14993" s="23" t="str">
        <f>HYPERLINK("https://www.spark-marketing.ru/Card/Lot/67914487", "Услуги по обслуживанию системы видеонаблюдения")</f>
        <v>Услуги по обслуживанию системы видеонаблюдения</v>
      </c>
      <c r="G14993" s="22" t="s">
        <v>50</v>
      </c>
      <c r="H14993" s="22" t="s">
        <v>504</v>
      </c>
      <c r="I14993" s="26">
        <v>43509.493159722202</v>
      </c>
      <c r="J14993" s="28" t="s">
        <v>52</v>
      </c>
      <c r="K14993" s="28" t="s">
        <v>52</v>
      </c>
      <c r="L14993" s="28" t="s">
        <v>52</v>
      </c>
      <c r="M14993" s="28" t="s">
        <v>52</v>
      </c>
      <c r="N14993" s="28" t="s">
        <v>52</v>
      </c>
    </row>
    <row r="14994" spans="1:14" x14ac:dyDescent="0.15">
      <c r="A14994" s="23" t="str">
        <f>HYPERLINK("https://www.spark-marketing.ru/Card/Person/36664", "ГКУСО МО ""ЛОТОШИНСКИЙ СРЦН""")</f>
        <v>ГКУСО МО "ЛОТОШИНСКИЙ СРЦН"</v>
      </c>
      <c r="B14994" s="24" t="s">
        <v>17275</v>
      </c>
      <c r="C14994" s="25">
        <v>21231.82</v>
      </c>
      <c r="D14994" s="22" t="s">
        <v>17276</v>
      </c>
      <c r="E14994" s="22" t="s">
        <v>59</v>
      </c>
      <c r="F14994" s="23" t="str">
        <f>HYPERLINK("https://www.spark-marketing.ru/Card/Lot/67911163", "Работы по монтажу кнопки тревожной сигнализации")</f>
        <v>Работы по монтажу кнопки тревожной сигнализации</v>
      </c>
      <c r="G14994" s="22" t="s">
        <v>50</v>
      </c>
      <c r="H14994" s="22" t="s">
        <v>5168</v>
      </c>
      <c r="I14994" s="26">
        <v>43509.451076388897</v>
      </c>
      <c r="J14994" s="28" t="s">
        <v>52</v>
      </c>
      <c r="K14994" s="28" t="s">
        <v>52</v>
      </c>
      <c r="L14994" s="28" t="s">
        <v>52</v>
      </c>
      <c r="M14994" s="28" t="s">
        <v>52</v>
      </c>
      <c r="N14994" s="28" t="s">
        <v>52</v>
      </c>
    </row>
    <row r="14995" spans="1:14" x14ac:dyDescent="0.2">
      <c r="A14995" s="23" t="str">
        <f>HYPERLINK("https://www.spark-marketing.ru/Card/Person/569695", "АО ""63 АРСЕНАЛ""")</f>
        <v>АО "63 АРСЕНАЛ"</v>
      </c>
      <c r="B14995" s="24" t="s">
        <v>17277</v>
      </c>
      <c r="C14995" s="25">
        <v>21585000</v>
      </c>
      <c r="D14995" s="22" t="s">
        <v>17278</v>
      </c>
      <c r="E14995" s="22" t="s">
        <v>144</v>
      </c>
      <c r="F14995" s="23" t="str">
        <f>HYPERLINK("https://www.spark-marketing.ru/Card/Lot/67911370", "1168-2019-00013 Оказание услуг по охране объектов военизированным подразделением")</f>
        <v>1168-2019-00013 Оказание услуг по охране объектов военизированным подразделением</v>
      </c>
      <c r="G14995" s="22" t="s">
        <v>629</v>
      </c>
      <c r="H14995" s="22" t="s">
        <v>1603</v>
      </c>
      <c r="I14995" s="26">
        <v>43509.418101851901</v>
      </c>
      <c r="J14995" s="28" t="s">
        <v>52</v>
      </c>
      <c r="K14995" s="28" t="s">
        <v>52</v>
      </c>
      <c r="L14995" s="28" t="s">
        <v>52</v>
      </c>
      <c r="M14995" s="25">
        <v>21585000</v>
      </c>
      <c r="N14995" s="27">
        <v>0</v>
      </c>
    </row>
    <row r="14996" spans="1:14" x14ac:dyDescent="0.15">
      <c r="A14996" s="23" t="str">
        <f>HYPERLINK("https://www.spark-marketing.ru/Card/Person/144233", "МОУ ""МИКУЛИНСКАЯ ГИМНАЗИЯ""")</f>
        <v>МОУ "МИКУЛИНСКАЯ ГИМНАЗИЯ"</v>
      </c>
      <c r="B14996" s="24" t="s">
        <v>17279</v>
      </c>
      <c r="C14996" s="25">
        <v>19548</v>
      </c>
      <c r="D14996" s="22" t="s">
        <v>17280</v>
      </c>
      <c r="E14996" s="22" t="s">
        <v>59</v>
      </c>
      <c r="F14996" s="23" t="str">
        <f>HYPERLINK("https://www.spark-marketing.ru/Card/Lot/67911157", "Монтаж тревожной кнопки")</f>
        <v>Монтаж тревожной кнопки</v>
      </c>
      <c r="G14996" s="22" t="s">
        <v>50</v>
      </c>
      <c r="H14996" s="22" t="s">
        <v>5168</v>
      </c>
      <c r="I14996" s="26">
        <v>43509.451030092598</v>
      </c>
      <c r="J14996" s="28" t="s">
        <v>52</v>
      </c>
      <c r="K14996" s="28" t="s">
        <v>52</v>
      </c>
      <c r="L14996" s="28" t="s">
        <v>52</v>
      </c>
      <c r="M14996" s="28" t="s">
        <v>52</v>
      </c>
      <c r="N14996" s="28" t="s">
        <v>52</v>
      </c>
    </row>
    <row r="14997" spans="1:14" x14ac:dyDescent="0.15">
      <c r="A14997" s="23" t="str">
        <f>HYPERLINK("https://www.spark-marketing.ru/Card/Person/996264", "МДОУ ЦРР - Д/С №28")</f>
        <v>МДОУ ЦРР - Д/С №28</v>
      </c>
      <c r="B14997" s="24" t="s">
        <v>4601</v>
      </c>
      <c r="C14997" s="25">
        <v>193412.96</v>
      </c>
      <c r="D14997" s="22" t="s">
        <v>17281</v>
      </c>
      <c r="E14997" s="22" t="s">
        <v>84</v>
      </c>
      <c r="F14997" s="23" t="str">
        <f>HYPERLINK("https://www.spark-marketing.ru/Card/Lot/67911160", "Выполнение работ по установке видеодомофонов")</f>
        <v>Выполнение работ по установке видеодомофонов</v>
      </c>
      <c r="G14997" s="22" t="s">
        <v>50</v>
      </c>
      <c r="H14997" s="22" t="s">
        <v>104</v>
      </c>
      <c r="I14997" s="26">
        <v>43509.4510532407</v>
      </c>
      <c r="J14997" s="28" t="s">
        <v>52</v>
      </c>
      <c r="K14997" s="28" t="s">
        <v>52</v>
      </c>
      <c r="L14997" s="28" t="s">
        <v>52</v>
      </c>
      <c r="M14997" s="28" t="s">
        <v>52</v>
      </c>
      <c r="N14997" s="28" t="s">
        <v>52</v>
      </c>
    </row>
    <row r="14998" spans="1:14" x14ac:dyDescent="0.15">
      <c r="A14998" s="23" t="str">
        <f>HYPERLINK("https://www.spark-marketing.ru/Card/Person/1762885", "МАДОУ Д/С ""АЛЁНКА""")</f>
        <v>МАДОУ Д/С "АЛЁНКА"</v>
      </c>
      <c r="B14998" s="24" t="s">
        <v>17282</v>
      </c>
      <c r="C14998" s="25">
        <v>28875</v>
      </c>
      <c r="D14998" s="22" t="s">
        <v>17283</v>
      </c>
      <c r="E14998" s="22" t="s">
        <v>103</v>
      </c>
      <c r="F14998" s="23" t="str">
        <f>HYPERLINK("https://www.spark-marketing.ru/Card/Lot/67909418", "Оказание услуг по техническому обслуживанию систем видеонаблюдения для нужд МАДОУ д/с ""Алёнка""")</f>
        <v>Оказание услуг по техническому обслуживанию систем видеонаблюдения для нужд МАДОУ д/с "Алёнка"</v>
      </c>
      <c r="G14998" s="22" t="s">
        <v>50</v>
      </c>
      <c r="H14998" s="22" t="s">
        <v>6267</v>
      </c>
      <c r="I14998" s="26">
        <v>43509.3987037037</v>
      </c>
      <c r="J14998" s="28" t="s">
        <v>52</v>
      </c>
      <c r="K14998" s="28" t="s">
        <v>52</v>
      </c>
      <c r="L14998" s="28" t="s">
        <v>52</v>
      </c>
      <c r="M14998" s="28" t="s">
        <v>52</v>
      </c>
      <c r="N14998" s="28" t="s">
        <v>52</v>
      </c>
    </row>
    <row r="14999" spans="1:14" x14ac:dyDescent="0.15">
      <c r="A14999" s="23" t="str">
        <f>HYPERLINK("https://www.spark-marketing.ru/Card/Person/94188", "МБДОУ ДЕТСКИЙ САД №22 ""ЦВЕТИК-СЕМИЦВЕТИК"" ОБЩЕРАЗВИВАЮЩЕГО ВИДА ГОЩ")</f>
        <v>МБДОУ ДЕТСКИЙ САД №22 "ЦВЕТИК-СЕМИЦВЕТИК" ОБЩЕРАЗВИВАЮЩЕГО ВИДА ГОЩ</v>
      </c>
      <c r="B14999" s="24" t="s">
        <v>12472</v>
      </c>
      <c r="C14999" s="25">
        <v>48000</v>
      </c>
      <c r="D14999" s="22" t="s">
        <v>17284</v>
      </c>
      <c r="E14999" s="22" t="s">
        <v>294</v>
      </c>
      <c r="F14999" s="23" t="str">
        <f>HYPERLINK("https://www.spark-marketing.ru/Card/Lot/67909409", "Оказание услуг по техническому обслуживанию видеонаблюдения")</f>
        <v>Оказание услуг по техническому обслуживанию видеонаблюдения</v>
      </c>
      <c r="G14999" s="22" t="s">
        <v>50</v>
      </c>
      <c r="H14999" s="22" t="s">
        <v>458</v>
      </c>
      <c r="I14999" s="26">
        <v>43509.388946759304</v>
      </c>
      <c r="J14999" s="28" t="s">
        <v>52</v>
      </c>
      <c r="K14999" s="28" t="s">
        <v>52</v>
      </c>
      <c r="L14999" s="28" t="s">
        <v>52</v>
      </c>
      <c r="M14999" s="28" t="s">
        <v>52</v>
      </c>
      <c r="N14999" s="28" t="s">
        <v>52</v>
      </c>
    </row>
    <row r="15000" spans="1:14" x14ac:dyDescent="0.15">
      <c r="A15000" s="23" t="str">
        <f>HYPERLINK("https://www.spark-marketing.ru/Card/Person/1027817", "МБОУ ""ГИМНАЗИЯ № 10""")</f>
        <v>МБОУ "ГИМНАЗИЯ № 10"</v>
      </c>
      <c r="B15000" s="24" t="s">
        <v>17285</v>
      </c>
      <c r="C15000" s="25">
        <v>100000</v>
      </c>
      <c r="D15000" s="22" t="s">
        <v>17286</v>
      </c>
      <c r="E15000" s="22" t="s">
        <v>194</v>
      </c>
      <c r="F15000" s="23" t="str">
        <f>HYPERLINK("https://www.spark-marketing.ru/Card/Lot/67907531", "Обслуживание системы видеонаблюдения")</f>
        <v>Обслуживание системы видеонаблюдения</v>
      </c>
      <c r="G15000" s="22" t="s">
        <v>50</v>
      </c>
      <c r="H15000" s="22" t="s">
        <v>195</v>
      </c>
      <c r="I15000" s="26">
        <v>43509.357025463003</v>
      </c>
      <c r="J15000" s="28" t="s">
        <v>52</v>
      </c>
      <c r="K15000" s="28" t="s">
        <v>52</v>
      </c>
      <c r="L15000" s="28" t="s">
        <v>52</v>
      </c>
      <c r="M15000" s="28" t="s">
        <v>52</v>
      </c>
      <c r="N15000" s="28" t="s">
        <v>52</v>
      </c>
    </row>
    <row r="15001" spans="1:14" x14ac:dyDescent="0.15">
      <c r="A15001" s="23" t="str">
        <f>HYPERLINK("https://www.spark-marketing.ru/Card/Person/6654502", "ЦЕНТР ДИАГНОСТИКИ И МОНИТОРИНГА УСТРОЙСТВ ИНФРАСТРУКТУРЫ – СТРУКТУРНОЕ ПОДРАЗДЕЛЕНИЕ ЗАПАДНО–СИБИРСКОЙ ДИРЕКЦИИ ИНФРАСТРУКТУРЫ – СТРУКТУРНОГО ПОДРАЗДЕЛЕНИЯ ЦЕНТРАЛЬНОЙ ДИРЕКЦИИ")</f>
        <v>ЦЕНТР ДИАГНОСТИКИ И МОНИТОРИНГА УСТРОЙСТВ ИНФРАСТРУКТУРЫ – СТРУКТУРНОЕ ПОДРАЗДЕЛЕНИЕ ЗАПАДНО–СИБИРСКОЙ ДИРЕКЦИИ ИНФРАСТРУКТУРЫ – СТРУКТУРНОГО ПОДРАЗДЕЛЕНИЯ ЦЕНТРАЛЬНОЙ ДИРЕКЦИИ</v>
      </c>
      <c r="B15001" s="24" t="s">
        <v>163</v>
      </c>
      <c r="C15001" s="25">
        <v>156213.9</v>
      </c>
      <c r="D15001" s="28" t="s">
        <v>52</v>
      </c>
      <c r="E15001" s="22" t="s">
        <v>591</v>
      </c>
      <c r="F15001" s="23" t="str">
        <f>HYPERLINK("https://www.spark-marketing.ru/Card/Lot/72423716", "№6939 Оказание услуг по обеспечению пропускного режима")</f>
        <v>№6939 Оказание услуг по обеспечению пропускного режима</v>
      </c>
      <c r="G15001" s="22" t="s">
        <v>52</v>
      </c>
      <c r="H15001" s="22" t="s">
        <v>52</v>
      </c>
      <c r="I15001" s="26">
        <v>43509.197893518503</v>
      </c>
      <c r="J15001" s="28" t="s">
        <v>52</v>
      </c>
      <c r="K15001" s="28" t="s">
        <v>52</v>
      </c>
      <c r="L15001" s="28" t="s">
        <v>52</v>
      </c>
      <c r="M15001" s="28" t="s">
        <v>52</v>
      </c>
      <c r="N15001" s="28" t="s">
        <v>52</v>
      </c>
    </row>
    <row r="15002" spans="1:14" x14ac:dyDescent="0.15">
      <c r="A15002" s="23" t="str">
        <f>HYPERLINK("https://www.spark-marketing.ru/Card/Person/4355140", "ГБУ ""ТПНИ""")</f>
        <v>ГБУ "ТПНИ"</v>
      </c>
      <c r="B15002" s="24" t="s">
        <v>417</v>
      </c>
      <c r="C15002" s="25">
        <v>1119888</v>
      </c>
      <c r="D15002" s="22" t="s">
        <v>17287</v>
      </c>
      <c r="E15002" s="22" t="s">
        <v>52</v>
      </c>
      <c r="F15002" s="23" t="str">
        <f>HYPERLINK("https://www.spark-marketing.ru/Card/Lot/67902068", "Услуги охраны")</f>
        <v>Услуги охраны</v>
      </c>
      <c r="G15002" s="22" t="s">
        <v>69</v>
      </c>
      <c r="H15002" s="22" t="s">
        <v>419</v>
      </c>
      <c r="I15002" s="26">
        <v>43509</v>
      </c>
      <c r="J15002" s="28" t="s">
        <v>52</v>
      </c>
      <c r="K15002" s="28" t="s">
        <v>52</v>
      </c>
      <c r="L15002" s="28" t="s">
        <v>52</v>
      </c>
      <c r="M15002" s="28" t="s">
        <v>52</v>
      </c>
      <c r="N15002" s="28" t="s">
        <v>52</v>
      </c>
    </row>
    <row r="15003" spans="1:14" hidden="1" outlineLevel="1" x14ac:dyDescent="0.2">
      <c r="A15003" s="23" t="str">
        <f>HYPERLINK("https://www.spark-marketing.ru/Card/Person/4355140", "ГБУ ""ТПНИ""")</f>
        <v>ГБУ "ТПНИ"</v>
      </c>
      <c r="B15003" s="24" t="s">
        <v>417</v>
      </c>
      <c r="C15003" s="25">
        <v>1119888</v>
      </c>
      <c r="D15003" s="22" t="s">
        <v>17287</v>
      </c>
      <c r="E15003" s="22" t="s">
        <v>52</v>
      </c>
      <c r="F15003" s="23" t="str">
        <f>HYPERLINK("https://www.spark-marketing.ru/Card/Lot/67902068", "Услуги охраны")</f>
        <v>Услуги охраны</v>
      </c>
      <c r="G15003" s="22" t="s">
        <v>69</v>
      </c>
      <c r="H15003" s="22" t="s">
        <v>419</v>
      </c>
      <c r="I15003" s="26">
        <v>43509</v>
      </c>
      <c r="J15003" s="23" t="str">
        <f>HYPERLINK("https://www.spark-marketing.ru/Card/Person/2593395", "ООО ЧОП ""ИРБИС-Т""")</f>
        <v>ООО ЧОП "ИРБИС-Т"</v>
      </c>
      <c r="K15003" s="24" t="s">
        <v>7697</v>
      </c>
      <c r="L15003" s="28" t="s">
        <v>52</v>
      </c>
      <c r="M15003" s="25">
        <v>1108689.1200000001</v>
      </c>
      <c r="N15003" s="27">
        <v>0.01</v>
      </c>
    </row>
    <row r="15004" spans="1:14" ht="12.75" hidden="1" outlineLevel="1" x14ac:dyDescent="0.2">
      <c r="A15004" s="23" t="str">
        <f>HYPERLINK("https://www.spark-marketing.ru/Card/Person/4355140", "ГБУ ""ТПНИ""")</f>
        <v>ГБУ "ТПНИ"</v>
      </c>
      <c r="B15004" s="24" t="s">
        <v>417</v>
      </c>
      <c r="C15004" s="25">
        <v>1119888</v>
      </c>
      <c r="D15004" s="22" t="s">
        <v>17287</v>
      </c>
      <c r="E15004" s="22" t="s">
        <v>52</v>
      </c>
      <c r="F15004" s="23" t="str">
        <f>HYPERLINK("https://www.spark-marketing.ru/Card/Lot/67902068", "Услуги охраны")</f>
        <v>Услуги охраны</v>
      </c>
      <c r="G15004" s="22" t="s">
        <v>69</v>
      </c>
      <c r="H15004" s="22" t="s">
        <v>419</v>
      </c>
      <c r="I15004" s="26">
        <v>43509</v>
      </c>
      <c r="J15004" s="23" t="str">
        <f>HYPERLINK("https://www.spark-marketing.ru/Card/Person/2451357", "ООО ЧОП ""ВИХРЬ""")</f>
        <v>ООО ЧОП "ВИХРЬ"</v>
      </c>
      <c r="K15004" s="24" t="s">
        <v>13412</v>
      </c>
      <c r="L15004" s="22" t="s">
        <v>10</v>
      </c>
      <c r="M15004" s="25">
        <v>1103089.68</v>
      </c>
      <c r="N15004" s="27">
        <v>1.4999999999999999E-2</v>
      </c>
    </row>
    <row r="15005" spans="1:14" x14ac:dyDescent="0.15">
      <c r="A15005" s="23" t="str">
        <f>HYPERLINK("https://www.spark-marketing.ru/Card/Person/30759", "ПАО ""МТС""")</f>
        <v>ПАО "МТС"</v>
      </c>
      <c r="B15005" s="24" t="s">
        <v>1834</v>
      </c>
      <c r="C15005" s="28" t="s">
        <v>52</v>
      </c>
      <c r="D15005" s="28" t="s">
        <v>52</v>
      </c>
      <c r="E15005" s="22" t="s">
        <v>53</v>
      </c>
      <c r="F15005" s="23" t="str">
        <f>HYPERLINK("https://www.spark-marketing.ru/Card/Lot/67910985", "Уведомление о проведении открытого запроса предложений на оказание услуг технической охраны с использованием системы тревожной сигнализации (СТС), проведение работ по восстановлению работоспособности СТС, техническому обслуживанию комплекса техническ...")</f>
        <v>Уведомление о проведении открытого запроса предложений на оказание услуг технической охраны с использованием системы тревожной сигнализации (СТС), проведение работ по восстановлению работоспособности СТС, техническому обслуживанию комплекса техническ...</v>
      </c>
      <c r="G15005" s="22" t="s">
        <v>55</v>
      </c>
      <c r="H15005" s="22" t="s">
        <v>55</v>
      </c>
      <c r="I15005" s="26">
        <v>43509</v>
      </c>
      <c r="J15005" s="28" t="s">
        <v>52</v>
      </c>
      <c r="K15005" s="28" t="s">
        <v>52</v>
      </c>
      <c r="L15005" s="28" t="s">
        <v>52</v>
      </c>
      <c r="M15005" s="28" t="s">
        <v>52</v>
      </c>
      <c r="N15005" s="28" t="s">
        <v>52</v>
      </c>
    </row>
    <row r="15006" spans="1:14" x14ac:dyDescent="0.15">
      <c r="A15006" s="23" t="str">
        <f>HYPERLINK("https://www.spark-marketing.ru/Card/Person/22952", "УФНС РОССИИ ПО АРХАНГЕЛЬСКОЙ ОБЛАСТИ И НЕНЕЦКОМУ АВТОНОМНОМУ ОКРУГУ")</f>
        <v>УФНС РОССИИ ПО АРХАНГЕЛЬСКОЙ ОБЛАСТИ И НЕНЕЦКОМУ АВТОНОМНОМУ ОКРУГУ</v>
      </c>
      <c r="B15006" s="24" t="s">
        <v>14990</v>
      </c>
      <c r="C15006" s="25">
        <v>457649.91999999998</v>
      </c>
      <c r="D15006" s="22" t="s">
        <v>17288</v>
      </c>
      <c r="E15006" s="22" t="s">
        <v>68</v>
      </c>
      <c r="F15006" s="23" t="str">
        <f>HYPERLINK("https://www.spark-marketing.ru/Card/Lot/67925313", "Оказание услуг по охране объектов при помощи пульта централизованного наблюдения")</f>
        <v>Оказание услуг по охране объектов при помощи пульта централизованного наблюдения</v>
      </c>
      <c r="G15006" s="22" t="s">
        <v>674</v>
      </c>
      <c r="H15006" s="22" t="s">
        <v>674</v>
      </c>
      <c r="I15006" s="26">
        <v>43509</v>
      </c>
      <c r="J15006" s="28" t="s">
        <v>52</v>
      </c>
      <c r="K15006" s="28" t="s">
        <v>52</v>
      </c>
      <c r="L15006" s="28" t="s">
        <v>52</v>
      </c>
      <c r="M15006" s="28" t="s">
        <v>52</v>
      </c>
      <c r="N15006" s="28" t="s">
        <v>52</v>
      </c>
    </row>
    <row r="15007" spans="1:14" x14ac:dyDescent="0.15">
      <c r="A15007" s="23" t="str">
        <f>HYPERLINK("https://www.spark-marketing.ru/Card/Person/22952", "УФНС РОССИИ ПО АРХАНГЕЛЬСКОЙ ОБЛАСТИ И НЕНЕЦКОМУ АВТОНОМНОМУ ОКРУГУ")</f>
        <v>УФНС РОССИИ ПО АРХАНГЕЛЬСКОЙ ОБЛАСТИ И НЕНЕЦКОМУ АВТОНОМНОМУ ОКРУГУ</v>
      </c>
      <c r="B15007" s="24" t="s">
        <v>14990</v>
      </c>
      <c r="C15007" s="25">
        <v>281389.5</v>
      </c>
      <c r="D15007" s="22" t="s">
        <v>17289</v>
      </c>
      <c r="E15007" s="22" t="s">
        <v>68</v>
      </c>
      <c r="F15007" s="23" t="str">
        <f>HYPERLINK("https://www.spark-marketing.ru/Card/Lot/67928717", "Оказание услуг по охране объектов при помощи пульта централизованного наблюдения")</f>
        <v>Оказание услуг по охране объектов при помощи пульта централизованного наблюдения</v>
      </c>
      <c r="G15007" s="22" t="s">
        <v>674</v>
      </c>
      <c r="H15007" s="22" t="s">
        <v>674</v>
      </c>
      <c r="I15007" s="26">
        <v>43509</v>
      </c>
      <c r="J15007" s="28" t="s">
        <v>52</v>
      </c>
      <c r="K15007" s="28" t="s">
        <v>52</v>
      </c>
      <c r="L15007" s="28" t="s">
        <v>52</v>
      </c>
      <c r="M15007" s="28" t="s">
        <v>52</v>
      </c>
      <c r="N15007" s="28" t="s">
        <v>52</v>
      </c>
    </row>
    <row r="15008" spans="1:14" x14ac:dyDescent="0.15">
      <c r="A15008" s="23" t="str">
        <f>HYPERLINK("https://www.spark-marketing.ru/Card/Person/139093", "ГКУ СО КК ""КРАСНОДАРСКИЙ РЕАБИЛИТАЦИОННЫЙ ЦЕНТР """)</f>
        <v>ГКУ СО КК "КРАСНОДАРСКИЙ РЕАБИЛИТАЦИОННЫЙ ЦЕНТР "</v>
      </c>
      <c r="B15008" s="24" t="s">
        <v>10138</v>
      </c>
      <c r="C15008" s="25">
        <v>235872</v>
      </c>
      <c r="D15008" s="22" t="s">
        <v>17290</v>
      </c>
      <c r="E15008" s="22" t="s">
        <v>52</v>
      </c>
      <c r="F15008" s="23" t="str">
        <f>HYPERLINK("https://www.spark-marketing.ru/Card/Lot/67910870", "Оказание охранных  услуг")</f>
        <v>Оказание охранных  услуг</v>
      </c>
      <c r="G15008" s="22" t="s">
        <v>132</v>
      </c>
      <c r="H15008" s="22" t="s">
        <v>652</v>
      </c>
      <c r="I15008" s="26">
        <v>43509</v>
      </c>
      <c r="J15008" s="28" t="s">
        <v>52</v>
      </c>
      <c r="K15008" s="28" t="s">
        <v>52</v>
      </c>
      <c r="L15008" s="28" t="s">
        <v>52</v>
      </c>
      <c r="M15008" s="28" t="s">
        <v>52</v>
      </c>
      <c r="N15008" s="28" t="s">
        <v>52</v>
      </c>
    </row>
    <row r="15009" spans="1:14" ht="12.75" hidden="1" outlineLevel="1" x14ac:dyDescent="0.2">
      <c r="A15009" s="23" t="str">
        <f>HYPERLINK("https://www.spark-marketing.ru/Card/Person/139093", "ГКУ СО КК ""КРАСНОДАРСКИЙ РЕАБИЛИТАЦИОННЫЙ ЦЕНТР """)</f>
        <v>ГКУ СО КК "КРАСНОДАРСКИЙ РЕАБИЛИТАЦИОННЫЙ ЦЕНТР "</v>
      </c>
      <c r="B15009" s="24" t="s">
        <v>10138</v>
      </c>
      <c r="C15009" s="25">
        <v>235872</v>
      </c>
      <c r="D15009" s="22" t="s">
        <v>17290</v>
      </c>
      <c r="E15009" s="22" t="s">
        <v>52</v>
      </c>
      <c r="F15009" s="23" t="str">
        <f>HYPERLINK("https://www.spark-marketing.ru/Card/Lot/67910870", "Оказание охранных  услуг")</f>
        <v>Оказание охранных  услуг</v>
      </c>
      <c r="G15009" s="22" t="s">
        <v>132</v>
      </c>
      <c r="H15009" s="22" t="s">
        <v>652</v>
      </c>
      <c r="I15009" s="26">
        <v>43509</v>
      </c>
      <c r="J15009" s="23" t="str">
        <f>HYPERLINK("https://www.spark-marketing.ru/Card/Person/89226", "ООО ЧОО ""МП-ОХРАНА""")</f>
        <v>ООО ЧОО "МП-ОХРАНА"</v>
      </c>
      <c r="K15009" s="24" t="s">
        <v>10140</v>
      </c>
      <c r="L15009" s="22" t="s">
        <v>10</v>
      </c>
      <c r="M15009" s="25">
        <v>234692.64</v>
      </c>
      <c r="N15009" s="27">
        <v>5.0000000000000001E-3</v>
      </c>
    </row>
    <row r="15010" spans="1:14" hidden="1" outlineLevel="1" x14ac:dyDescent="0.2">
      <c r="A15010" s="23" t="str">
        <f>HYPERLINK("https://www.spark-marketing.ru/Card/Person/139093", "ГКУ СО КК ""КРАСНОДАРСКИЙ РЕАБИЛИТАЦИОННЫЙ ЦЕНТР """)</f>
        <v>ГКУ СО КК "КРАСНОДАРСКИЙ РЕАБИЛИТАЦИОННЫЙ ЦЕНТР "</v>
      </c>
      <c r="B15010" s="24" t="s">
        <v>10138</v>
      </c>
      <c r="C15010" s="25">
        <v>235872</v>
      </c>
      <c r="D15010" s="22" t="s">
        <v>17290</v>
      </c>
      <c r="E15010" s="22" t="s">
        <v>52</v>
      </c>
      <c r="F15010" s="23" t="str">
        <f>HYPERLINK("https://www.spark-marketing.ru/Card/Lot/67910870", "Оказание охранных  услуг")</f>
        <v>Оказание охранных  услуг</v>
      </c>
      <c r="G15010" s="22" t="s">
        <v>132</v>
      </c>
      <c r="H15010" s="22" t="s">
        <v>652</v>
      </c>
      <c r="I15010" s="26">
        <v>43509</v>
      </c>
      <c r="J15010" s="23" t="str">
        <f>HYPERLINK("https://www.spark-marketing.ru/Card/Person/108217", "ООО ЧОП ""ОХРАННЫЙ АЛЬЯНС""")</f>
        <v>ООО ЧОП "ОХРАННЫЙ АЛЬЯНС"</v>
      </c>
      <c r="K15010" s="24" t="s">
        <v>10141</v>
      </c>
      <c r="L15010" s="28" t="s">
        <v>52</v>
      </c>
      <c r="M15010" s="25">
        <v>234692.64</v>
      </c>
      <c r="N15010" s="27">
        <v>5.0000000000000001E-3</v>
      </c>
    </row>
    <row r="15011" spans="1:14" x14ac:dyDescent="0.15">
      <c r="A15011" s="23" t="str">
        <f>HYPERLINK("https://www.spark-marketing.ru/Card/Person/79761", "АДМИНИСТРАЦИЯ БЕРЕЗОВСКОГО ГОРОДСКОГО ОКРУГА")</f>
        <v>АДМИНИСТРАЦИЯ БЕРЕЗОВСКОГО ГОРОДСКОГО ОКРУГА</v>
      </c>
      <c r="B15011" s="24" t="s">
        <v>17291</v>
      </c>
      <c r="C15011" s="25">
        <v>116500</v>
      </c>
      <c r="D15011" s="22" t="s">
        <v>17292</v>
      </c>
      <c r="E15011" s="22" t="s">
        <v>103</v>
      </c>
      <c r="F15011" s="23" t="str">
        <f>HYPERLINK("https://www.spark-marketing.ru/Card/Lot/67927421", "Техническое обслуживание системы видеонаблюдения")</f>
        <v>Техническое обслуживание системы видеонаблюдения</v>
      </c>
      <c r="G15011" s="22" t="s">
        <v>72</v>
      </c>
      <c r="H15011" s="22" t="s">
        <v>13682</v>
      </c>
      <c r="I15011" s="26">
        <v>43509</v>
      </c>
      <c r="J15011" s="23" t="str">
        <f>HYPERLINK("https://www.spark-marketing.ru/Card/Person/6307356", "ООО ""ГАРАНТ""")</f>
        <v>ООО "ГАРАНТ"</v>
      </c>
      <c r="K15011" s="24" t="s">
        <v>17293</v>
      </c>
      <c r="L15011" s="22" t="s">
        <v>10</v>
      </c>
      <c r="M15011" s="28" t="s">
        <v>52</v>
      </c>
      <c r="N15011" s="28" t="s">
        <v>52</v>
      </c>
    </row>
    <row r="15012" spans="1:14" x14ac:dyDescent="0.15">
      <c r="A15012" s="23" t="str">
        <f>HYPERLINK("https://www.spark-marketing.ru/Card/Person/151915", "УПРАВЛЕНИЕ РОСРЕЕСТРА ПО САХАЛИНСКОЙ ОБЛАСТИ")</f>
        <v>УПРАВЛЕНИЕ РОСРЕЕСТРА ПО САХАЛИНСКОЙ ОБЛАСТИ</v>
      </c>
      <c r="B15012" s="24" t="s">
        <v>17294</v>
      </c>
      <c r="C15012" s="25">
        <v>60990.239999999998</v>
      </c>
      <c r="D15012" s="22" t="s">
        <v>17295</v>
      </c>
      <c r="E15012" s="22" t="s">
        <v>68</v>
      </c>
      <c r="F15012" s="23" t="str">
        <f>HYPERLINK("https://www.spark-marketing.ru/Card/Lot/67909315", "Оказание услуг централизованной охраны (г. Южно-Сахалинск, Коммунистический пр-т, 39 В)")</f>
        <v>Оказание услуг централизованной охраны (г. Южно-Сахалинск, Коммунистический пр-т, 39 В)</v>
      </c>
      <c r="G15012" s="22" t="s">
        <v>69</v>
      </c>
      <c r="H15012" s="22" t="s">
        <v>69</v>
      </c>
      <c r="I15012" s="26">
        <v>43509</v>
      </c>
      <c r="J15012" s="28" t="s">
        <v>52</v>
      </c>
      <c r="K15012" s="28" t="s">
        <v>52</v>
      </c>
      <c r="L15012" s="28" t="s">
        <v>52</v>
      </c>
      <c r="M15012" s="28" t="s">
        <v>52</v>
      </c>
      <c r="N15012" s="28" t="s">
        <v>52</v>
      </c>
    </row>
    <row r="15013" spans="1:14" x14ac:dyDescent="0.15">
      <c r="A15013" s="23" t="str">
        <f>HYPERLINK("https://www.spark-marketing.ru/Card/Person/127273", "ГБУЗ ""ЦРБ"" ЭЛЬБРУССКОГО РАЙОНА")</f>
        <v>ГБУЗ "ЦРБ" ЭЛЬБРУССКОГО РАЙОНА</v>
      </c>
      <c r="B15013" s="24" t="s">
        <v>17296</v>
      </c>
      <c r="C15013" s="25">
        <v>178810.56</v>
      </c>
      <c r="D15013" s="22" t="s">
        <v>17297</v>
      </c>
      <c r="E15013" s="22" t="s">
        <v>68</v>
      </c>
      <c r="F15013" s="23" t="str">
        <f>HYPERLINK("https://www.spark-marketing.ru/Card/Lot/67925336", "пользование тревожной кнопкой (КТС)")</f>
        <v>пользование тревожной кнопкой (КТС)</v>
      </c>
      <c r="G15013" s="22" t="s">
        <v>110</v>
      </c>
      <c r="H15013" s="22" t="s">
        <v>17298</v>
      </c>
      <c r="I15013" s="26">
        <v>43509</v>
      </c>
      <c r="J15013" s="28" t="s">
        <v>52</v>
      </c>
      <c r="K15013" s="28" t="s">
        <v>52</v>
      </c>
      <c r="L15013" s="28" t="s">
        <v>52</v>
      </c>
      <c r="M15013" s="28" t="s">
        <v>52</v>
      </c>
      <c r="N15013" s="28" t="s">
        <v>52</v>
      </c>
    </row>
    <row r="15014" spans="1:14" x14ac:dyDescent="0.15">
      <c r="A15014" s="23" t="str">
        <f t="shared" ref="A15014:A15019" si="780">HYPERLINK("https://www.spark-marketing.ru/Card/Person/63740", "ГБУЗ ""БРСПК МЗ РБ""")</f>
        <v>ГБУЗ "БРСПК МЗ РБ"</v>
      </c>
      <c r="B15014" s="24" t="s">
        <v>17299</v>
      </c>
      <c r="C15014" s="25">
        <v>518610.48</v>
      </c>
      <c r="D15014" s="22" t="s">
        <v>17300</v>
      </c>
      <c r="E15014" s="22" t="s">
        <v>52</v>
      </c>
      <c r="F15014" s="23" t="str">
        <f t="shared" ref="F15014:F15019" si="781">HYPERLINK("https://www.spark-marketing.ru/Card/Lot/67910600", "Оказание услуг по физической охране территории и объектов ГБУЗ ""БРСПК МЗ РБ""")</f>
        <v>Оказание услуг по физической охране территории и объектов ГБУЗ "БРСПК МЗ РБ"</v>
      </c>
      <c r="G15014" s="22" t="s">
        <v>354</v>
      </c>
      <c r="H15014" s="22" t="s">
        <v>355</v>
      </c>
      <c r="I15014" s="26">
        <v>43509</v>
      </c>
      <c r="J15014" s="28" t="s">
        <v>52</v>
      </c>
      <c r="K15014" s="28" t="s">
        <v>52</v>
      </c>
      <c r="L15014" s="28" t="s">
        <v>52</v>
      </c>
      <c r="M15014" s="28" t="s">
        <v>52</v>
      </c>
      <c r="N15014" s="28" t="s">
        <v>52</v>
      </c>
    </row>
    <row r="15015" spans="1:14" hidden="1" outlineLevel="1" x14ac:dyDescent="0.2">
      <c r="A15015" s="23" t="str">
        <f t="shared" si="780"/>
        <v>ГБУЗ "БРСПК МЗ РБ"</v>
      </c>
      <c r="B15015" s="24" t="s">
        <v>17299</v>
      </c>
      <c r="C15015" s="25">
        <v>518610.48</v>
      </c>
      <c r="D15015" s="22" t="s">
        <v>17300</v>
      </c>
      <c r="E15015" s="22" t="s">
        <v>52</v>
      </c>
      <c r="F15015" s="23" t="str">
        <f t="shared" si="781"/>
        <v>Оказание услуг по физической охране территории и объектов ГБУЗ "БРСПК МЗ РБ"</v>
      </c>
      <c r="G15015" s="22" t="s">
        <v>354</v>
      </c>
      <c r="H15015" s="22" t="s">
        <v>355</v>
      </c>
      <c r="I15015" s="26">
        <v>43509</v>
      </c>
      <c r="J15015" s="23" t="str">
        <f>HYPERLINK("https://www.spark-marketing.ru/Card/Person/290999", "ООО ""ОХРАННОЕ АГЕНТСТВО ""ВЕПРЬ""")</f>
        <v>ООО "ОХРАННОЕ АГЕНТСТВО "ВЕПРЬ"</v>
      </c>
      <c r="K15015" s="24" t="s">
        <v>17301</v>
      </c>
      <c r="L15015" s="28" t="s">
        <v>52</v>
      </c>
      <c r="M15015" s="25">
        <v>417406.94</v>
      </c>
      <c r="N15015" s="27">
        <v>0.1951436461523107</v>
      </c>
    </row>
    <row r="15016" spans="1:14" ht="12.75" hidden="1" outlineLevel="1" x14ac:dyDescent="0.2">
      <c r="A15016" s="23" t="str">
        <f t="shared" si="780"/>
        <v>ГБУЗ "БРСПК МЗ РБ"</v>
      </c>
      <c r="B15016" s="24" t="s">
        <v>17299</v>
      </c>
      <c r="C15016" s="25">
        <v>518610.48</v>
      </c>
      <c r="D15016" s="22" t="s">
        <v>17300</v>
      </c>
      <c r="E15016" s="22" t="s">
        <v>52</v>
      </c>
      <c r="F15016" s="23" t="str">
        <f t="shared" si="781"/>
        <v>Оказание услуг по физической охране территории и объектов ГБУЗ "БРСПК МЗ РБ"</v>
      </c>
      <c r="G15016" s="22" t="s">
        <v>354</v>
      </c>
      <c r="H15016" s="22" t="s">
        <v>355</v>
      </c>
      <c r="I15016" s="26">
        <v>43509</v>
      </c>
      <c r="J15016" s="23" t="str">
        <f>HYPERLINK("https://www.spark-marketing.ru/Card/Person/6218192", "ООО ЧОО ""СИБИРСКИЙ АРСЕНАЛ""")</f>
        <v>ООО ЧОО "СИБИРСКИЙ АРСЕНАЛ"</v>
      </c>
      <c r="K15016" s="24" t="s">
        <v>17302</v>
      </c>
      <c r="L15016" s="22" t="s">
        <v>10</v>
      </c>
      <c r="M15016" s="25">
        <v>420000</v>
      </c>
      <c r="N15016" s="27">
        <v>0.19014363149776689</v>
      </c>
    </row>
    <row r="15017" spans="1:14" hidden="1" outlineLevel="1" x14ac:dyDescent="0.2">
      <c r="A15017" s="23" t="str">
        <f t="shared" si="780"/>
        <v>ГБУЗ "БРСПК МЗ РБ"</v>
      </c>
      <c r="B15017" s="24" t="s">
        <v>17299</v>
      </c>
      <c r="C15017" s="25">
        <v>518610.48</v>
      </c>
      <c r="D15017" s="22" t="s">
        <v>17300</v>
      </c>
      <c r="E15017" s="22" t="s">
        <v>52</v>
      </c>
      <c r="F15017" s="23" t="str">
        <f t="shared" si="781"/>
        <v>Оказание услуг по физической охране территории и объектов ГБУЗ "БРСПК МЗ РБ"</v>
      </c>
      <c r="G15017" s="22" t="s">
        <v>354</v>
      </c>
      <c r="H15017" s="22" t="s">
        <v>355</v>
      </c>
      <c r="I15017" s="26">
        <v>43509</v>
      </c>
      <c r="J15017" s="23" t="str">
        <f>HYPERLINK("https://www.spark-marketing.ru/Card/Person/65470", "ООО ""ЧОО ""ОЛИМП""")</f>
        <v>ООО "ЧОО "ОЛИМП"</v>
      </c>
      <c r="K15017" s="24" t="s">
        <v>14035</v>
      </c>
      <c r="L15017" s="28" t="s">
        <v>52</v>
      </c>
      <c r="M15017" s="25">
        <v>446733.88</v>
      </c>
      <c r="N15017" s="27">
        <v>0.13859457680068479</v>
      </c>
    </row>
    <row r="15018" spans="1:14" hidden="1" outlineLevel="1" x14ac:dyDescent="0.2">
      <c r="A15018" s="23" t="str">
        <f t="shared" si="780"/>
        <v>ГБУЗ "БРСПК МЗ РБ"</v>
      </c>
      <c r="B15018" s="24" t="s">
        <v>17299</v>
      </c>
      <c r="C15018" s="25">
        <v>518610.48</v>
      </c>
      <c r="D15018" s="22" t="s">
        <v>17300</v>
      </c>
      <c r="E15018" s="22" t="s">
        <v>52</v>
      </c>
      <c r="F15018" s="23" t="str">
        <f t="shared" si="781"/>
        <v>Оказание услуг по физической охране территории и объектов ГБУЗ "БРСПК МЗ РБ"</v>
      </c>
      <c r="G15018" s="22" t="s">
        <v>354</v>
      </c>
      <c r="H15018" s="22" t="s">
        <v>355</v>
      </c>
      <c r="I15018" s="26">
        <v>43509</v>
      </c>
      <c r="J15018" s="23" t="str">
        <f>HYPERLINK("https://www.spark-marketing.ru/Card/Person/69339", "ООО ""ОА ""ТИГР""")</f>
        <v>ООО "ОА "ТИГР"</v>
      </c>
      <c r="K15018" s="24" t="s">
        <v>17303</v>
      </c>
      <c r="L15018" s="28" t="s">
        <v>52</v>
      </c>
      <c r="M15018" s="25">
        <v>513424.36</v>
      </c>
      <c r="N15018" s="27">
        <v>1.0000029309087622E-2</v>
      </c>
    </row>
    <row r="15019" spans="1:14" hidden="1" outlineLevel="1" x14ac:dyDescent="0.2">
      <c r="A15019" s="23" t="str">
        <f t="shared" si="780"/>
        <v>ГБУЗ "БРСПК МЗ РБ"</v>
      </c>
      <c r="B15019" s="24" t="s">
        <v>17299</v>
      </c>
      <c r="C15019" s="25">
        <v>518610.48</v>
      </c>
      <c r="D15019" s="22" t="s">
        <v>17300</v>
      </c>
      <c r="E15019" s="22" t="s">
        <v>52</v>
      </c>
      <c r="F15019" s="23" t="str">
        <f t="shared" si="781"/>
        <v>Оказание услуг по физической охране территории и объектов ГБУЗ "БРСПК МЗ РБ"</v>
      </c>
      <c r="G15019" s="22" t="s">
        <v>354</v>
      </c>
      <c r="H15019" s="22" t="s">
        <v>355</v>
      </c>
      <c r="I15019" s="26">
        <v>43509</v>
      </c>
      <c r="J15019" s="23" t="str">
        <f>HYPERLINK("https://www.spark-marketing.ru/Card/Person/4358694", "ООО ""ОХРАННОЕ АГЕНТСТВО ""АЛЬФА - ПЛЮС""")</f>
        <v>ООО "ОХРАННОЕ АГЕНТСТВО "АЛЬФА - ПЛЮС"</v>
      </c>
      <c r="K15019" s="24" t="s">
        <v>17304</v>
      </c>
      <c r="L15019" s="28" t="s">
        <v>52</v>
      </c>
      <c r="M15019" s="25">
        <v>513424.36</v>
      </c>
      <c r="N15019" s="27">
        <v>1.0000029309087622E-2</v>
      </c>
    </row>
    <row r="15020" spans="1:14" x14ac:dyDescent="0.2">
      <c r="A15020" s="23" t="str">
        <f>HYPERLINK("https://www.spark-marketing.ru/Card/Person/8230", "ДЕПАРТАМЕНТ СТРОИТЕЛЬСТВА ГОРОДА МОСКВЫ")</f>
        <v>ДЕПАРТАМЕНТ СТРОИТЕЛЬСТВА ГОРОДА МОСКВЫ</v>
      </c>
      <c r="B15020" s="24" t="s">
        <v>17305</v>
      </c>
      <c r="C15020" s="25">
        <v>48578794.969999999</v>
      </c>
      <c r="D15020" s="22" t="s">
        <v>17306</v>
      </c>
      <c r="E15020" s="22" t="s">
        <v>937</v>
      </c>
      <c r="F15020" s="23" t="str">
        <f>HYPERLINK("https://www.spark-marketing.ru/Card/Lot/67922444", "Оказание услуг по теме: «Информационно-аналитическое сопровождение по вопросам строительства объектов подпрограммы «Общественный транспорт «Метрополитен» государственной программы «Развитие транспортной системы на 2012-2016 годы и на перспективу до 2...")</f>
        <v>Оказание услуг по теме: «Информационно-аналитическое сопровождение по вопросам строительства объектов подпрограммы «Общественный транспорт «Метрополитен» государственной программы «Развитие транспортной системы на 2012-2016 годы и на перспективу до 2...</v>
      </c>
      <c r="G15020" s="22" t="s">
        <v>55</v>
      </c>
      <c r="H15020" s="22" t="s">
        <v>55</v>
      </c>
      <c r="I15020" s="26">
        <v>43509</v>
      </c>
      <c r="J15020" s="23" t="str">
        <f>HYPERLINK("https://www.spark-marketing.ru/Card/Person/132675", "АО ""ИНТУС""")</f>
        <v>АО "ИНТУС"</v>
      </c>
      <c r="K15020" s="24" t="s">
        <v>13403</v>
      </c>
      <c r="L15020" s="28" t="s">
        <v>52</v>
      </c>
      <c r="M15020" s="25">
        <v>46149855.219999999</v>
      </c>
      <c r="N15020" s="27">
        <v>5.0000000030877671E-2</v>
      </c>
    </row>
    <row r="15021" spans="1:14" x14ac:dyDescent="0.15">
      <c r="A15021" s="23" t="str">
        <f t="shared" ref="A15021:A15036" si="782">HYPERLINK("https://www.spark-marketing.ru/Card/Person/14622", "ГКУ РБ ТУ")</f>
        <v>ГКУ РБ ТУ</v>
      </c>
      <c r="B15021" s="24" t="s">
        <v>17307</v>
      </c>
      <c r="C15021" s="25">
        <v>229304.97</v>
      </c>
      <c r="D15021" s="22" t="s">
        <v>17308</v>
      </c>
      <c r="E15021" s="22" t="s">
        <v>107</v>
      </c>
      <c r="F15021" s="23" t="str">
        <f t="shared" ref="F15021:F15036" si="783">HYPERLINK("https://www.spark-marketing.ru/Card/Lot/67927736", "Оказание услуг по техническому обслуживанию систем видеонаблюдения")</f>
        <v>Оказание услуг по техническому обслуживанию систем видеонаблюдения</v>
      </c>
      <c r="G15021" s="22" t="s">
        <v>100</v>
      </c>
      <c r="H15021" s="22" t="s">
        <v>373</v>
      </c>
      <c r="I15021" s="26">
        <v>43509</v>
      </c>
      <c r="J15021" s="28" t="s">
        <v>52</v>
      </c>
      <c r="K15021" s="28" t="s">
        <v>52</v>
      </c>
      <c r="L15021" s="28" t="s">
        <v>52</v>
      </c>
      <c r="M15021" s="28" t="s">
        <v>52</v>
      </c>
      <c r="N15021" s="28" t="s">
        <v>52</v>
      </c>
    </row>
    <row r="15022" spans="1:14" hidden="1" outlineLevel="1" x14ac:dyDescent="0.2">
      <c r="A15022" s="23" t="str">
        <f t="shared" si="782"/>
        <v>ГКУ РБ ТУ</v>
      </c>
      <c r="B15022" s="24" t="s">
        <v>17307</v>
      </c>
      <c r="C15022" s="25">
        <v>229304.97</v>
      </c>
      <c r="D15022" s="22" t="s">
        <v>17308</v>
      </c>
      <c r="E15022" s="22" t="s">
        <v>107</v>
      </c>
      <c r="F15022" s="23" t="str">
        <f t="shared" si="783"/>
        <v>Оказание услуг по техническому обслуживанию систем видеонаблюдения</v>
      </c>
      <c r="G15022" s="22" t="s">
        <v>100</v>
      </c>
      <c r="H15022" s="22" t="s">
        <v>373</v>
      </c>
      <c r="I15022" s="26">
        <v>43509</v>
      </c>
      <c r="J15022" s="23" t="str">
        <f>HYPERLINK("https://www.spark-marketing.ru/Card/Person/306053", "ООО ""КЛИМОТЕК""")</f>
        <v>ООО "КЛИМОТЕК"</v>
      </c>
      <c r="K15022" s="24" t="s">
        <v>15900</v>
      </c>
      <c r="L15022" s="28" t="s">
        <v>52</v>
      </c>
      <c r="M15022" s="25">
        <v>41275.15</v>
      </c>
      <c r="N15022" s="27">
        <v>0.81999888619945738</v>
      </c>
    </row>
    <row r="15023" spans="1:14" hidden="1" outlineLevel="1" x14ac:dyDescent="0.2">
      <c r="A15023" s="23" t="str">
        <f t="shared" si="782"/>
        <v>ГКУ РБ ТУ</v>
      </c>
      <c r="B15023" s="24" t="s">
        <v>17307</v>
      </c>
      <c r="C15023" s="25">
        <v>229304.97</v>
      </c>
      <c r="D15023" s="22" t="s">
        <v>17308</v>
      </c>
      <c r="E15023" s="22" t="s">
        <v>107</v>
      </c>
      <c r="F15023" s="23" t="str">
        <f t="shared" si="783"/>
        <v>Оказание услуг по техническому обслуживанию систем видеонаблюдения</v>
      </c>
      <c r="G15023" s="22" t="s">
        <v>100</v>
      </c>
      <c r="H15023" s="22" t="s">
        <v>373</v>
      </c>
      <c r="I15023" s="26">
        <v>43509</v>
      </c>
      <c r="J15023" s="23" t="str">
        <f>HYPERLINK("https://www.spark-marketing.ru/Card/Person/61775", "ООО ЧОО ""ГРАНИТ-ПЛЮС""")</f>
        <v>ООО ЧОО "ГРАНИТ-ПЛЮС"</v>
      </c>
      <c r="K15023" s="24" t="s">
        <v>17309</v>
      </c>
      <c r="L15023" s="28" t="s">
        <v>52</v>
      </c>
      <c r="M15023" s="25">
        <v>149048.32999999999</v>
      </c>
      <c r="N15023" s="27">
        <v>0.34999956608005489</v>
      </c>
    </row>
    <row r="15024" spans="1:14" hidden="1" outlineLevel="1" x14ac:dyDescent="0.2">
      <c r="A15024" s="23" t="str">
        <f t="shared" si="782"/>
        <v>ГКУ РБ ТУ</v>
      </c>
      <c r="B15024" s="24" t="s">
        <v>17307</v>
      </c>
      <c r="C15024" s="25">
        <v>229304.97</v>
      </c>
      <c r="D15024" s="22" t="s">
        <v>17308</v>
      </c>
      <c r="E15024" s="22" t="s">
        <v>107</v>
      </c>
      <c r="F15024" s="23" t="str">
        <f t="shared" si="783"/>
        <v>Оказание услуг по техническому обслуживанию систем видеонаблюдения</v>
      </c>
      <c r="G15024" s="22" t="s">
        <v>100</v>
      </c>
      <c r="H15024" s="22" t="s">
        <v>373</v>
      </c>
      <c r="I15024" s="26">
        <v>43509</v>
      </c>
      <c r="J15024" s="23" t="str">
        <f>HYPERLINK("https://www.spark-marketing.ru/Card/Person/992921", "ООО ""АР-СЕРВИС""")</f>
        <v>ООО "АР-СЕРВИС"</v>
      </c>
      <c r="K15024" s="24" t="s">
        <v>15898</v>
      </c>
      <c r="L15024" s="28" t="s">
        <v>52</v>
      </c>
      <c r="M15024" s="25">
        <v>208667.56</v>
      </c>
      <c r="N15024" s="27">
        <v>8.9999837334533137E-2</v>
      </c>
    </row>
    <row r="15025" spans="1:14" hidden="1" outlineLevel="1" x14ac:dyDescent="0.2">
      <c r="A15025" s="23" t="str">
        <f t="shared" si="782"/>
        <v>ГКУ РБ ТУ</v>
      </c>
      <c r="B15025" s="24" t="s">
        <v>17307</v>
      </c>
      <c r="C15025" s="25">
        <v>229304.97</v>
      </c>
      <c r="D15025" s="22" t="s">
        <v>17308</v>
      </c>
      <c r="E15025" s="22" t="s">
        <v>107</v>
      </c>
      <c r="F15025" s="23" t="str">
        <f t="shared" si="783"/>
        <v>Оказание услуг по техническому обслуживанию систем видеонаблюдения</v>
      </c>
      <c r="G15025" s="22" t="s">
        <v>100</v>
      </c>
      <c r="H15025" s="22" t="s">
        <v>373</v>
      </c>
      <c r="I15025" s="26">
        <v>43509</v>
      </c>
      <c r="J15025" s="23" t="str">
        <f>HYPERLINK("https://www.spark-marketing.ru/Card/Person/160016", "ООО ""ТОТЕМ РИТЕЙЛ""")</f>
        <v>ООО "ТОТЕМ РИТЕЙЛ"</v>
      </c>
      <c r="K15025" s="24" t="s">
        <v>15899</v>
      </c>
      <c r="L15025" s="28" t="s">
        <v>52</v>
      </c>
      <c r="M15025" s="25">
        <v>221279.33</v>
      </c>
      <c r="N15025" s="27">
        <v>3.4999851943898118E-2</v>
      </c>
    </row>
    <row r="15026" spans="1:14" hidden="1" outlineLevel="1" x14ac:dyDescent="0.2">
      <c r="A15026" s="23" t="str">
        <f t="shared" si="782"/>
        <v>ГКУ РБ ТУ</v>
      </c>
      <c r="B15026" s="24" t="s">
        <v>17307</v>
      </c>
      <c r="C15026" s="25">
        <v>229304.97</v>
      </c>
      <c r="D15026" s="22" t="s">
        <v>17308</v>
      </c>
      <c r="E15026" s="22" t="s">
        <v>107</v>
      </c>
      <c r="F15026" s="23" t="str">
        <f t="shared" si="783"/>
        <v>Оказание услуг по техническому обслуживанию систем видеонаблюдения</v>
      </c>
      <c r="G15026" s="22" t="s">
        <v>100</v>
      </c>
      <c r="H15026" s="22" t="s">
        <v>373</v>
      </c>
      <c r="I15026" s="26">
        <v>43509</v>
      </c>
      <c r="J15026" s="23" t="str">
        <f>HYPERLINK("https://www.spark-marketing.ru/Card/Person/157968", "ООО ""ТЕЛЕКОМ""")</f>
        <v>ООО "ТЕЛЕКОМ"</v>
      </c>
      <c r="K15026" s="24" t="s">
        <v>1302</v>
      </c>
      <c r="L15026" s="28" t="s">
        <v>52</v>
      </c>
      <c r="M15026" s="25">
        <v>229304.97</v>
      </c>
      <c r="N15026" s="27">
        <v>0</v>
      </c>
    </row>
    <row r="15027" spans="1:14" hidden="1" outlineLevel="1" x14ac:dyDescent="0.2">
      <c r="A15027" s="23" t="str">
        <f t="shared" si="782"/>
        <v>ГКУ РБ ТУ</v>
      </c>
      <c r="B15027" s="24" t="s">
        <v>17307</v>
      </c>
      <c r="C15027" s="25">
        <v>229304.97</v>
      </c>
      <c r="D15027" s="22" t="s">
        <v>17308</v>
      </c>
      <c r="E15027" s="22" t="s">
        <v>107</v>
      </c>
      <c r="F15027" s="23" t="str">
        <f t="shared" si="783"/>
        <v>Оказание услуг по техническому обслуживанию систем видеонаблюдения</v>
      </c>
      <c r="G15027" s="22" t="s">
        <v>100</v>
      </c>
      <c r="H15027" s="22" t="s">
        <v>373</v>
      </c>
      <c r="I15027" s="26">
        <v>43509</v>
      </c>
      <c r="J15027" s="23" t="str">
        <f>HYPERLINK("https://www.spark-marketing.ru/Card/Person/1877652", "ООО ""ТИС""")</f>
        <v>ООО "ТИС"</v>
      </c>
      <c r="K15027" s="24" t="s">
        <v>17310</v>
      </c>
      <c r="L15027" s="28" t="s">
        <v>52</v>
      </c>
      <c r="M15027" s="25">
        <v>146755.29</v>
      </c>
      <c r="N15027" s="27">
        <v>0.35999952377831146</v>
      </c>
    </row>
    <row r="15028" spans="1:14" hidden="1" outlineLevel="1" x14ac:dyDescent="0.2">
      <c r="A15028" s="23" t="str">
        <f t="shared" si="782"/>
        <v>ГКУ РБ ТУ</v>
      </c>
      <c r="B15028" s="24" t="s">
        <v>17307</v>
      </c>
      <c r="C15028" s="25">
        <v>229304.97</v>
      </c>
      <c r="D15028" s="22" t="s">
        <v>17308</v>
      </c>
      <c r="E15028" s="22" t="s">
        <v>107</v>
      </c>
      <c r="F15028" s="23" t="str">
        <f t="shared" si="783"/>
        <v>Оказание услуг по техническому обслуживанию систем видеонаблюдения</v>
      </c>
      <c r="G15028" s="22" t="s">
        <v>100</v>
      </c>
      <c r="H15028" s="22" t="s">
        <v>373</v>
      </c>
      <c r="I15028" s="26">
        <v>43509</v>
      </c>
      <c r="J15028" s="23" t="str">
        <f>HYPERLINK("https://www.spark-marketing.ru/Card/Person/294786", "Родионов Антон Сергеевич")</f>
        <v>Родионов Антон Сергеевич</v>
      </c>
      <c r="K15028" s="24" t="s">
        <v>17311</v>
      </c>
      <c r="L15028" s="28" t="s">
        <v>52</v>
      </c>
      <c r="M15028" s="25">
        <v>170832.3</v>
      </c>
      <c r="N15028" s="27">
        <v>0.25499957545621449</v>
      </c>
    </row>
    <row r="15029" spans="1:14" hidden="1" outlineLevel="1" x14ac:dyDescent="0.2">
      <c r="A15029" s="23" t="str">
        <f t="shared" si="782"/>
        <v>ГКУ РБ ТУ</v>
      </c>
      <c r="B15029" s="24" t="s">
        <v>17307</v>
      </c>
      <c r="C15029" s="25">
        <v>229304.97</v>
      </c>
      <c r="D15029" s="22" t="s">
        <v>17308</v>
      </c>
      <c r="E15029" s="22" t="s">
        <v>107</v>
      </c>
      <c r="F15029" s="23" t="str">
        <f t="shared" si="783"/>
        <v>Оказание услуг по техническому обслуживанию систем видеонаблюдения</v>
      </c>
      <c r="G15029" s="22" t="s">
        <v>100</v>
      </c>
      <c r="H15029" s="22" t="s">
        <v>373</v>
      </c>
      <c r="I15029" s="26">
        <v>43509</v>
      </c>
      <c r="J15029" s="23" t="str">
        <f>HYPERLINK("https://www.spark-marketing.ru/Card/Person/6434309", "ООО ""СИТ""")</f>
        <v>ООО "СИТ"</v>
      </c>
      <c r="K15029" s="24" t="s">
        <v>2914</v>
      </c>
      <c r="L15029" s="28" t="s">
        <v>52</v>
      </c>
      <c r="M15029" s="25">
        <v>188030.15</v>
      </c>
      <c r="N15029" s="27">
        <v>0.17999967466906627</v>
      </c>
    </row>
    <row r="15030" spans="1:14" hidden="1" outlineLevel="1" x14ac:dyDescent="0.2">
      <c r="A15030" s="23" t="str">
        <f t="shared" si="782"/>
        <v>ГКУ РБ ТУ</v>
      </c>
      <c r="B15030" s="24" t="s">
        <v>17307</v>
      </c>
      <c r="C15030" s="25">
        <v>229304.97</v>
      </c>
      <c r="D15030" s="22" t="s">
        <v>17308</v>
      </c>
      <c r="E15030" s="22" t="s">
        <v>107</v>
      </c>
      <c r="F15030" s="23" t="str">
        <f t="shared" si="783"/>
        <v>Оказание услуг по техническому обслуживанию систем видеонаблюдения</v>
      </c>
      <c r="G15030" s="22" t="s">
        <v>100</v>
      </c>
      <c r="H15030" s="22" t="s">
        <v>373</v>
      </c>
      <c r="I15030" s="26">
        <v>43509</v>
      </c>
      <c r="J15030" s="23" t="str">
        <f>HYPERLINK("https://www.spark-marketing.ru/Card/Person/6347833", "ООО ""БАШОПТИК""")</f>
        <v>ООО "БАШОПТИК"</v>
      </c>
      <c r="K15030" s="24" t="s">
        <v>3413</v>
      </c>
      <c r="L15030" s="28" t="s">
        <v>52</v>
      </c>
      <c r="M15030" s="25">
        <v>190323.19</v>
      </c>
      <c r="N15030" s="27">
        <v>0.16999971697080965</v>
      </c>
    </row>
    <row r="15031" spans="1:14" hidden="1" outlineLevel="1" x14ac:dyDescent="0.2">
      <c r="A15031" s="23" t="str">
        <f t="shared" si="782"/>
        <v>ГКУ РБ ТУ</v>
      </c>
      <c r="B15031" s="24" t="s">
        <v>17307</v>
      </c>
      <c r="C15031" s="25">
        <v>229304.97</v>
      </c>
      <c r="D15031" s="22" t="s">
        <v>17308</v>
      </c>
      <c r="E15031" s="22" t="s">
        <v>107</v>
      </c>
      <c r="F15031" s="23" t="str">
        <f t="shared" si="783"/>
        <v>Оказание услуг по техническому обслуживанию систем видеонаблюдения</v>
      </c>
      <c r="G15031" s="22" t="s">
        <v>100</v>
      </c>
      <c r="H15031" s="22" t="s">
        <v>373</v>
      </c>
      <c r="I15031" s="26">
        <v>43509</v>
      </c>
      <c r="J15031" s="23" t="str">
        <f>HYPERLINK("https://www.spark-marketing.ru/Card/Person/88754", "ООО ""АРСЕНАЛ-ТСБ""")</f>
        <v>ООО "АРСЕНАЛ-ТСБ"</v>
      </c>
      <c r="K15031" s="24" t="s">
        <v>17312</v>
      </c>
      <c r="L15031" s="28" t="s">
        <v>52</v>
      </c>
      <c r="M15031" s="25">
        <v>229304.97</v>
      </c>
      <c r="N15031" s="27">
        <v>0</v>
      </c>
    </row>
    <row r="15032" spans="1:14" hidden="1" outlineLevel="1" x14ac:dyDescent="0.2">
      <c r="A15032" s="23" t="str">
        <f t="shared" si="782"/>
        <v>ГКУ РБ ТУ</v>
      </c>
      <c r="B15032" s="24" t="s">
        <v>17307</v>
      </c>
      <c r="C15032" s="25">
        <v>229304.97</v>
      </c>
      <c r="D15032" s="22" t="s">
        <v>17308</v>
      </c>
      <c r="E15032" s="22" t="s">
        <v>107</v>
      </c>
      <c r="F15032" s="23" t="str">
        <f t="shared" si="783"/>
        <v>Оказание услуг по техническому обслуживанию систем видеонаблюдения</v>
      </c>
      <c r="G15032" s="22" t="s">
        <v>100</v>
      </c>
      <c r="H15032" s="22" t="s">
        <v>373</v>
      </c>
      <c r="I15032" s="26">
        <v>43509</v>
      </c>
      <c r="J15032" s="23" t="str">
        <f>HYPERLINK("https://www.spark-marketing.ru/Card/Person/4830044", "ООО ""САФЕТИ-ИНЖИНИРИНГ""")</f>
        <v>ООО "САФЕТИ-ИНЖИНИРИНГ"</v>
      </c>
      <c r="K15032" s="24" t="s">
        <v>17313</v>
      </c>
      <c r="L15032" s="28" t="s">
        <v>52</v>
      </c>
      <c r="M15032" s="25">
        <v>193762.75</v>
      </c>
      <c r="N15032" s="27">
        <v>0.15499978042342474</v>
      </c>
    </row>
    <row r="15033" spans="1:14" hidden="1" outlineLevel="1" x14ac:dyDescent="0.2">
      <c r="A15033" s="23" t="str">
        <f t="shared" si="782"/>
        <v>ГКУ РБ ТУ</v>
      </c>
      <c r="B15033" s="24" t="s">
        <v>17307</v>
      </c>
      <c r="C15033" s="25">
        <v>229304.97</v>
      </c>
      <c r="D15033" s="22" t="s">
        <v>17308</v>
      </c>
      <c r="E15033" s="22" t="s">
        <v>107</v>
      </c>
      <c r="F15033" s="23" t="str">
        <f t="shared" si="783"/>
        <v>Оказание услуг по техническому обслуживанию систем видеонаблюдения</v>
      </c>
      <c r="G15033" s="22" t="s">
        <v>100</v>
      </c>
      <c r="H15033" s="22" t="s">
        <v>373</v>
      </c>
      <c r="I15033" s="26">
        <v>43509</v>
      </c>
      <c r="J15033" s="23" t="str">
        <f>HYPERLINK("https://www.spark-marketing.ru/Card/Person/6440543", "ООО ""СКИВ""")</f>
        <v>ООО "СКИВ"</v>
      </c>
      <c r="K15033" s="24" t="s">
        <v>17314</v>
      </c>
      <c r="L15033" s="28" t="s">
        <v>52</v>
      </c>
      <c r="M15033" s="25">
        <v>45861.23</v>
      </c>
      <c r="N15033" s="27">
        <v>0.79999897080294424</v>
      </c>
    </row>
    <row r="15034" spans="1:14" ht="12.75" hidden="1" outlineLevel="1" x14ac:dyDescent="0.2">
      <c r="A15034" s="23" t="str">
        <f t="shared" si="782"/>
        <v>ГКУ РБ ТУ</v>
      </c>
      <c r="B15034" s="24" t="s">
        <v>17307</v>
      </c>
      <c r="C15034" s="25">
        <v>229304.97</v>
      </c>
      <c r="D15034" s="22" t="s">
        <v>17308</v>
      </c>
      <c r="E15034" s="22" t="s">
        <v>107</v>
      </c>
      <c r="F15034" s="23" t="str">
        <f t="shared" si="783"/>
        <v>Оказание услуг по техническому обслуживанию систем видеонаблюдения</v>
      </c>
      <c r="G15034" s="22" t="s">
        <v>100</v>
      </c>
      <c r="H15034" s="22" t="s">
        <v>373</v>
      </c>
      <c r="I15034" s="26">
        <v>43509</v>
      </c>
      <c r="J15034" s="23" t="str">
        <f>HYPERLINK("https://www.spark-marketing.ru/Card/Person/6452501", "Миндиярова Ялиса Ахматнабиевна")</f>
        <v>Миндиярова Ялиса Ахматнабиевна</v>
      </c>
      <c r="K15034" s="24" t="s">
        <v>17315</v>
      </c>
      <c r="L15034" s="22" t="s">
        <v>10</v>
      </c>
      <c r="M15034" s="25">
        <v>40128.629999999997</v>
      </c>
      <c r="N15034" s="27">
        <v>0.82499886504858577</v>
      </c>
    </row>
    <row r="15035" spans="1:14" hidden="1" outlineLevel="1" x14ac:dyDescent="0.2">
      <c r="A15035" s="23" t="str">
        <f t="shared" si="782"/>
        <v>ГКУ РБ ТУ</v>
      </c>
      <c r="B15035" s="24" t="s">
        <v>17307</v>
      </c>
      <c r="C15035" s="25">
        <v>229304.97</v>
      </c>
      <c r="D15035" s="22" t="s">
        <v>17308</v>
      </c>
      <c r="E15035" s="22" t="s">
        <v>107</v>
      </c>
      <c r="F15035" s="23" t="str">
        <f t="shared" si="783"/>
        <v>Оказание услуг по техническому обслуживанию систем видеонаблюдения</v>
      </c>
      <c r="G15035" s="22" t="s">
        <v>100</v>
      </c>
      <c r="H15035" s="22" t="s">
        <v>373</v>
      </c>
      <c r="I15035" s="26">
        <v>43509</v>
      </c>
      <c r="J15035" s="23" t="str">
        <f>HYPERLINK("https://www.spark-marketing.ru/Card/Person/86284", "ООО ""МАСТЕР-СБ""")</f>
        <v>ООО "МАСТЕР-СБ"</v>
      </c>
      <c r="K15035" s="24" t="s">
        <v>17316</v>
      </c>
      <c r="L15035" s="28" t="s">
        <v>52</v>
      </c>
      <c r="M15035" s="25">
        <v>43568.19</v>
      </c>
      <c r="N15035" s="27">
        <v>0.80999892850120081</v>
      </c>
    </row>
    <row r="15036" spans="1:14" hidden="1" outlineLevel="1" x14ac:dyDescent="0.2">
      <c r="A15036" s="23" t="str">
        <f t="shared" si="782"/>
        <v>ГКУ РБ ТУ</v>
      </c>
      <c r="B15036" s="24" t="s">
        <v>17307</v>
      </c>
      <c r="C15036" s="25">
        <v>229304.97</v>
      </c>
      <c r="D15036" s="22" t="s">
        <v>17308</v>
      </c>
      <c r="E15036" s="22" t="s">
        <v>107</v>
      </c>
      <c r="F15036" s="23" t="str">
        <f t="shared" si="783"/>
        <v>Оказание услуг по техническому обслуживанию систем видеонаблюдения</v>
      </c>
      <c r="G15036" s="22" t="s">
        <v>100</v>
      </c>
      <c r="H15036" s="22" t="s">
        <v>373</v>
      </c>
      <c r="I15036" s="26">
        <v>43509</v>
      </c>
      <c r="J15036" s="23" t="str">
        <f>HYPERLINK("https://www.spark-marketing.ru/Card/Person/6215246", "ООО ""АЛЬФА-РЕНЕССАНС""")</f>
        <v>ООО "АЛЬФА-РЕНЕССАНС"</v>
      </c>
      <c r="K15036" s="24" t="s">
        <v>10921</v>
      </c>
      <c r="L15036" s="28" t="s">
        <v>52</v>
      </c>
      <c r="M15036" s="25">
        <v>48154.28</v>
      </c>
      <c r="N15036" s="27">
        <v>0.78999896949464288</v>
      </c>
    </row>
    <row r="15037" spans="1:14" x14ac:dyDescent="0.15">
      <c r="A15037" s="23" t="str">
        <f>HYPERLINK("https://www.spark-marketing.ru/Card/Person/8833", "ФГБУ ""РНИИТО ИМ. Р.Р. ВРЕДЕНА"" МИНЗДРАВА РОССИИ")</f>
        <v>ФГБУ "РНИИТО ИМ. Р.Р. ВРЕДЕНА" МИНЗДРАВА РОССИИ</v>
      </c>
      <c r="B15037" s="24" t="s">
        <v>17317</v>
      </c>
      <c r="C15037" s="25">
        <v>50298.75</v>
      </c>
      <c r="D15037" s="22" t="s">
        <v>17318</v>
      </c>
      <c r="E15037" s="22" t="s">
        <v>68</v>
      </c>
      <c r="F15037" s="23" t="str">
        <f>HYPERLINK("https://www.spark-marketing.ru/Card/Lot/67920246", "Оказание услуг по охране имущества и экстренному выезду на Объект наряда")</f>
        <v>Оказание услуг по охране имущества и экстренному выезду на Объект наряда</v>
      </c>
      <c r="G15037" s="22" t="s">
        <v>89</v>
      </c>
      <c r="H15037" s="22" t="s">
        <v>89</v>
      </c>
      <c r="I15037" s="26">
        <v>43509</v>
      </c>
      <c r="J15037" s="28" t="s">
        <v>52</v>
      </c>
      <c r="K15037" s="28" t="s">
        <v>52</v>
      </c>
      <c r="L15037" s="28" t="s">
        <v>52</v>
      </c>
      <c r="M15037" s="28" t="s">
        <v>52</v>
      </c>
      <c r="N15037" s="28" t="s">
        <v>52</v>
      </c>
    </row>
    <row r="15038" spans="1:14" x14ac:dyDescent="0.15">
      <c r="A15038" s="23" t="str">
        <f>HYPERLINK("https://www.spark-marketing.ru/Card/Person/4410", "ПУ ФСБ РОССИИ ПО САХАЛИНСКОЙ ОБЛАСТИ")</f>
        <v>ПУ ФСБ РОССИИ ПО САХАЛИНСКОЙ ОБЛАСТИ</v>
      </c>
      <c r="B15038" s="24" t="s">
        <v>13075</v>
      </c>
      <c r="C15038" s="25">
        <v>6075931</v>
      </c>
      <c r="D15038" s="22" t="s">
        <v>17319</v>
      </c>
      <c r="E15038" s="22" t="s">
        <v>13077</v>
      </c>
      <c r="F15038" s="23" t="str">
        <f>HYPERLINK("https://www.spark-marketing.ru/Card/Lot/67901937", "Приобретение и установка комплекса инженерно-технических средств охраны и защиты")</f>
        <v>Приобретение и установка комплекса инженерно-технических средств охраны и защиты</v>
      </c>
      <c r="G15038" s="22" t="s">
        <v>69</v>
      </c>
      <c r="H15038" s="22" t="s">
        <v>973</v>
      </c>
      <c r="I15038" s="26">
        <v>43509</v>
      </c>
      <c r="J15038" s="28" t="s">
        <v>52</v>
      </c>
      <c r="K15038" s="28" t="s">
        <v>52</v>
      </c>
      <c r="L15038" s="28" t="s">
        <v>52</v>
      </c>
      <c r="M15038" s="28" t="s">
        <v>52</v>
      </c>
      <c r="N15038" s="28" t="s">
        <v>52</v>
      </c>
    </row>
    <row r="15039" spans="1:14" ht="12.75" x14ac:dyDescent="0.2">
      <c r="A15039" s="23" t="str">
        <f>HYPERLINK("https://www.spark-marketing.ru/Card/Person/31118", "УПРАВЛЕНИЕ РОСРЕЕСТРА ПО КЕМЕРОВСКОЙ ОБЛАСТИ - КУЗБАССУ")</f>
        <v>УПРАВЛЕНИЕ РОСРЕЕСТРА ПО КЕМЕРОВСКОЙ ОБЛАСТИ - КУЗБАССУ</v>
      </c>
      <c r="B15039" s="24" t="s">
        <v>17320</v>
      </c>
      <c r="C15039" s="25">
        <v>23279.07</v>
      </c>
      <c r="D15039" s="22" t="s">
        <v>17321</v>
      </c>
      <c r="E15039" s="22" t="s">
        <v>68</v>
      </c>
      <c r="F15039" s="23" t="str">
        <f>HYPERLINK("https://www.spark-marketing.ru/Card/Lot/67915033", "Государственная охрана зданий и помещений, оборудованных кнопкой тревожной сигнализации")</f>
        <v>Государственная охрана зданий и помещений, оборудованных кнопкой тревожной сигнализации</v>
      </c>
      <c r="G15039" s="22" t="s">
        <v>367</v>
      </c>
      <c r="H15039" s="22" t="s">
        <v>367</v>
      </c>
      <c r="I15039" s="26">
        <v>43509</v>
      </c>
      <c r="J15039" s="23" t="str">
        <f>HYPERLINK("https://www.spark-marketing.ru/Card/Person/10487", "ФГУП ""ОХРАНА"" РОСГВАРДИИ")</f>
        <v>ФГУП "ОХРАНА" РОСГВАРДИИ</v>
      </c>
      <c r="K15039" s="24" t="s">
        <v>779</v>
      </c>
      <c r="L15039" s="22" t="s">
        <v>10</v>
      </c>
      <c r="M15039" s="25">
        <v>23175</v>
      </c>
      <c r="N15039" s="27">
        <v>4.4705394158787272E-3</v>
      </c>
    </row>
    <row r="15040" spans="1:14" x14ac:dyDescent="0.15">
      <c r="A15040" s="23" t="str">
        <f>HYPERLINK("https://www.spark-marketing.ru/Card/Person/30200", "УФНС РОССИИ ПО ВОРОНЕЖСКОЙ ОБЛАСТИ")</f>
        <v>УФНС РОССИИ ПО ВОРОНЕЖСКОЙ ОБЛАСТИ</v>
      </c>
      <c r="B15040" s="24" t="s">
        <v>4385</v>
      </c>
      <c r="C15040" s="25">
        <v>880826</v>
      </c>
      <c r="D15040" s="22" t="s">
        <v>17322</v>
      </c>
      <c r="E15040" s="22" t="s">
        <v>68</v>
      </c>
      <c r="F15040" s="23" t="str">
        <f>HYPERLINK("https://www.spark-marketing.ru/Card/Lot/67915662", "Оказание услуг по обеспечению пропускного и внутриобъектного режимов и охраны имущества расположенного в зданиях и на прилегающих территориях на объектах терриотриальных органов ФНС России по Воронежской области")</f>
        <v>Оказание услуг по обеспечению пропускного и внутриобъектного режимов и охраны имущества расположенного в зданиях и на прилегающих территориях на объектах терриотриальных органов ФНС России по Воронежской области</v>
      </c>
      <c r="G15040" s="22" t="s">
        <v>552</v>
      </c>
      <c r="H15040" s="22" t="s">
        <v>886</v>
      </c>
      <c r="I15040" s="26">
        <v>43509</v>
      </c>
      <c r="J15040" s="28" t="s">
        <v>52</v>
      </c>
      <c r="K15040" s="28" t="s">
        <v>52</v>
      </c>
      <c r="L15040" s="28" t="s">
        <v>52</v>
      </c>
      <c r="M15040" s="28" t="s">
        <v>52</v>
      </c>
      <c r="N15040" s="28" t="s">
        <v>52</v>
      </c>
    </row>
    <row r="15041" spans="1:14" hidden="1" outlineLevel="1" x14ac:dyDescent="0.2">
      <c r="A15041" s="23" t="str">
        <f>HYPERLINK("https://www.spark-marketing.ru/Card/Person/30200", "УФНС РОССИИ ПО ВОРОНЕЖСКОЙ ОБЛАСТИ")</f>
        <v>УФНС РОССИИ ПО ВОРОНЕЖСКОЙ ОБЛАСТИ</v>
      </c>
      <c r="B15041" s="24" t="s">
        <v>4385</v>
      </c>
      <c r="C15041" s="25">
        <v>880826</v>
      </c>
      <c r="D15041" s="22" t="s">
        <v>17322</v>
      </c>
      <c r="E15041" s="22" t="s">
        <v>68</v>
      </c>
      <c r="F15041" s="23" t="str">
        <f>HYPERLINK("https://www.spark-marketing.ru/Card/Lot/67915662", "Оказание услуг по обеспечению пропускного и внутриобъектного режимов и охраны имущества расположенного в зданиях и на прилегающих территориях на объектах терриотриальных органов ФНС России по Воронежской области")</f>
        <v>Оказание услуг по обеспечению пропускного и внутриобъектного режимов и охраны имущества расположенного в зданиях и на прилегающих территориях на объектах терриотриальных органов ФНС России по Воронежской области</v>
      </c>
      <c r="G15041" s="22" t="s">
        <v>552</v>
      </c>
      <c r="H15041" s="22" t="s">
        <v>886</v>
      </c>
      <c r="I15041" s="26">
        <v>43509</v>
      </c>
      <c r="J15041" s="23" t="str">
        <f>HYPERLINK("https://www.spark-marketing.ru/Card/Person/104156", "ООО ""ЭКОНОМИЧЕСКАЯ БЕЗОПАСНОСТЬ-ГАРАНТ""")</f>
        <v>ООО "ЭКОНОМИЧЕСКАЯ БЕЗОПАСНОСТЬ-ГАРАНТ"</v>
      </c>
      <c r="K15041" s="24" t="s">
        <v>17323</v>
      </c>
      <c r="L15041" s="28" t="s">
        <v>52</v>
      </c>
      <c r="M15041" s="25">
        <v>665023.63</v>
      </c>
      <c r="N15041" s="27">
        <v>0.245</v>
      </c>
    </row>
    <row r="15042" spans="1:14" ht="12.75" hidden="1" outlineLevel="1" x14ac:dyDescent="0.2">
      <c r="A15042" s="23" t="str">
        <f>HYPERLINK("https://www.spark-marketing.ru/Card/Person/30200", "УФНС РОССИИ ПО ВОРОНЕЖСКОЙ ОБЛАСТИ")</f>
        <v>УФНС РОССИИ ПО ВОРОНЕЖСКОЙ ОБЛАСТИ</v>
      </c>
      <c r="B15042" s="24" t="s">
        <v>4385</v>
      </c>
      <c r="C15042" s="25">
        <v>880826</v>
      </c>
      <c r="D15042" s="22" t="s">
        <v>17322</v>
      </c>
      <c r="E15042" s="22" t="s">
        <v>68</v>
      </c>
      <c r="F15042" s="23" t="str">
        <f>HYPERLINK("https://www.spark-marketing.ru/Card/Lot/67915662", "Оказание услуг по обеспечению пропускного и внутриобъектного режимов и охраны имущества расположенного в зданиях и на прилегающих территориях на объектах терриотриальных органов ФНС России по Воронежской области")</f>
        <v>Оказание услуг по обеспечению пропускного и внутриобъектного режимов и охраны имущества расположенного в зданиях и на прилегающих территориях на объектах терриотриальных органов ФНС России по Воронежской области</v>
      </c>
      <c r="G15042" s="22" t="s">
        <v>552</v>
      </c>
      <c r="H15042" s="22" t="s">
        <v>886</v>
      </c>
      <c r="I15042" s="26">
        <v>43509</v>
      </c>
      <c r="J15042" s="23" t="str">
        <f>HYPERLINK("https://www.spark-marketing.ru/Card/Person/2558870", "ООО ЧОО ""ТИТАН""")</f>
        <v>ООО ЧОО "ТИТАН"</v>
      </c>
      <c r="K15042" s="24" t="s">
        <v>6729</v>
      </c>
      <c r="L15042" s="22" t="s">
        <v>10</v>
      </c>
      <c r="M15042" s="25">
        <v>660619.5</v>
      </c>
      <c r="N15042" s="27">
        <v>0.25</v>
      </c>
    </row>
    <row r="15043" spans="1:14" hidden="1" outlineLevel="1" x14ac:dyDescent="0.2">
      <c r="A15043" s="23" t="str">
        <f>HYPERLINK("https://www.spark-marketing.ru/Card/Person/30200", "УФНС РОССИИ ПО ВОРОНЕЖСКОЙ ОБЛАСТИ")</f>
        <v>УФНС РОССИИ ПО ВОРОНЕЖСКОЙ ОБЛАСТИ</v>
      </c>
      <c r="B15043" s="24" t="s">
        <v>4385</v>
      </c>
      <c r="C15043" s="25">
        <v>880826</v>
      </c>
      <c r="D15043" s="22" t="s">
        <v>17322</v>
      </c>
      <c r="E15043" s="22" t="s">
        <v>68</v>
      </c>
      <c r="F15043" s="23" t="str">
        <f>HYPERLINK("https://www.spark-marketing.ru/Card/Lot/67915662", "Оказание услуг по обеспечению пропускного и внутриобъектного режимов и охраны имущества расположенного в зданиях и на прилегающих территориях на объектах терриотриальных органов ФНС России по Воронежской области")</f>
        <v>Оказание услуг по обеспечению пропускного и внутриобъектного режимов и охраны имущества расположенного в зданиях и на прилегающих территориях на объектах терриотриальных органов ФНС России по Воронежской области</v>
      </c>
      <c r="G15043" s="22" t="s">
        <v>552</v>
      </c>
      <c r="H15043" s="22" t="s">
        <v>886</v>
      </c>
      <c r="I15043" s="26">
        <v>43509</v>
      </c>
      <c r="J15043" s="23" t="str">
        <f>HYPERLINK("https://www.spark-marketing.ru/Card/Person/2225644", "ООО ОП ""ОМЕГА""")</f>
        <v>ООО ОП "ОМЕГА"</v>
      </c>
      <c r="K15043" s="24" t="s">
        <v>17324</v>
      </c>
      <c r="L15043" s="28" t="s">
        <v>52</v>
      </c>
      <c r="M15043" s="25">
        <v>797147.53</v>
      </c>
      <c r="N15043" s="27">
        <v>9.5000000000000001E-2</v>
      </c>
    </row>
    <row r="15044" spans="1:14" x14ac:dyDescent="0.15">
      <c r="A15044" s="23" t="str">
        <f>HYPERLINK("https://www.spark-marketing.ru/Card/Person/8484", "УСД В КИРОВСКОЙ ОБЛАСТИ")</f>
        <v>УСД В КИРОВСКОЙ ОБЛАСТИ</v>
      </c>
      <c r="B15044" s="24" t="s">
        <v>17325</v>
      </c>
      <c r="C15044" s="25">
        <v>2165259.6</v>
      </c>
      <c r="D15044" s="22" t="s">
        <v>17326</v>
      </c>
      <c r="E15044" s="22" t="s">
        <v>68</v>
      </c>
      <c r="F15044" s="23" t="str">
        <f>HYPERLINK("https://www.spark-marketing.ru/Card/Lot/67908298", "Организация и обеспечение централизованной охраны объектов и обособленных помещений Заказчика с помощью технических средств охраны, подключенных к системам передачи извещений Исполнителя, с выездом наряда войск национальной гвардии")</f>
        <v>Организация и обеспечение централизованной охраны объектов и обособленных помещений Заказчика с помощью технических средств охраны, подключенных к системам передачи извещений Исполнителя, с выездом наряда войск национальной гвардии</v>
      </c>
      <c r="G15044" s="22" t="s">
        <v>556</v>
      </c>
      <c r="H15044" s="22" t="s">
        <v>556</v>
      </c>
      <c r="I15044" s="26">
        <v>43509</v>
      </c>
      <c r="J15044" s="28" t="s">
        <v>52</v>
      </c>
      <c r="K15044" s="28" t="s">
        <v>52</v>
      </c>
      <c r="L15044" s="28" t="s">
        <v>52</v>
      </c>
      <c r="M15044" s="28" t="s">
        <v>52</v>
      </c>
      <c r="N15044" s="28" t="s">
        <v>52</v>
      </c>
    </row>
    <row r="15045" spans="1:14" x14ac:dyDescent="0.15">
      <c r="A15045" s="23" t="str">
        <f>HYPERLINK("https://www.spark-marketing.ru/Card/Person/20055", "ГБУК АО ""АОНМЦНК""")</f>
        <v>ГБУК АО "АОНМЦНК"</v>
      </c>
      <c r="B15045" s="24" t="s">
        <v>17327</v>
      </c>
      <c r="C15045" s="25">
        <v>508620</v>
      </c>
      <c r="D15045" s="22" t="s">
        <v>17328</v>
      </c>
      <c r="E15045" s="22" t="s">
        <v>52</v>
      </c>
      <c r="F15045" s="23" t="str">
        <f>HYPERLINK("https://www.spark-marketing.ru/Card/Lot/67911690", "услуги охраны")</f>
        <v>услуги охраны</v>
      </c>
      <c r="G15045" s="22" t="s">
        <v>565</v>
      </c>
      <c r="H15045" s="22" t="s">
        <v>566</v>
      </c>
      <c r="I15045" s="26">
        <v>43509</v>
      </c>
      <c r="J15045" s="28" t="s">
        <v>52</v>
      </c>
      <c r="K15045" s="28" t="s">
        <v>52</v>
      </c>
      <c r="L15045" s="28" t="s">
        <v>52</v>
      </c>
      <c r="M15045" s="28" t="s">
        <v>52</v>
      </c>
      <c r="N15045" s="28" t="s">
        <v>52</v>
      </c>
    </row>
    <row r="15046" spans="1:14" hidden="1" outlineLevel="1" x14ac:dyDescent="0.2">
      <c r="A15046" s="23" t="str">
        <f>HYPERLINK("https://www.spark-marketing.ru/Card/Person/20055", "ГБУК АО ""АОНМЦНК""")</f>
        <v>ГБУК АО "АОНМЦНК"</v>
      </c>
      <c r="B15046" s="24" t="s">
        <v>17327</v>
      </c>
      <c r="C15046" s="25">
        <v>508620</v>
      </c>
      <c r="D15046" s="22" t="s">
        <v>17328</v>
      </c>
      <c r="E15046" s="22" t="s">
        <v>52</v>
      </c>
      <c r="F15046" s="23" t="str">
        <f>HYPERLINK("https://www.spark-marketing.ru/Card/Lot/67911690", "услуги охраны")</f>
        <v>услуги охраны</v>
      </c>
      <c r="G15046" s="22" t="s">
        <v>565</v>
      </c>
      <c r="H15046" s="22" t="s">
        <v>566</v>
      </c>
      <c r="I15046" s="26">
        <v>43509</v>
      </c>
      <c r="J15046" s="23" t="str">
        <f>HYPERLINK("https://www.spark-marketing.ru/Card/Person/624005", "ООО ЧОО ""АМЕГА""")</f>
        <v>ООО ЧОО "АМЕГА"</v>
      </c>
      <c r="K15046" s="24" t="s">
        <v>6950</v>
      </c>
      <c r="L15046" s="28" t="s">
        <v>52</v>
      </c>
      <c r="M15046" s="25">
        <v>328370.7</v>
      </c>
      <c r="N15046" s="27">
        <v>0.35438893476465733</v>
      </c>
    </row>
    <row r="15047" spans="1:14" hidden="1" outlineLevel="1" x14ac:dyDescent="0.2">
      <c r="A15047" s="23" t="str">
        <f>HYPERLINK("https://www.spark-marketing.ru/Card/Person/20055", "ГБУК АО ""АОНМЦНК""")</f>
        <v>ГБУК АО "АОНМЦНК"</v>
      </c>
      <c r="B15047" s="24" t="s">
        <v>17327</v>
      </c>
      <c r="C15047" s="25">
        <v>508620</v>
      </c>
      <c r="D15047" s="22" t="s">
        <v>17328</v>
      </c>
      <c r="E15047" s="22" t="s">
        <v>52</v>
      </c>
      <c r="F15047" s="23" t="str">
        <f>HYPERLINK("https://www.spark-marketing.ru/Card/Lot/67911690", "услуги охраны")</f>
        <v>услуги охраны</v>
      </c>
      <c r="G15047" s="22" t="s">
        <v>565</v>
      </c>
      <c r="H15047" s="22" t="s">
        <v>566</v>
      </c>
      <c r="I15047" s="26">
        <v>43509</v>
      </c>
      <c r="J15047" s="23" t="str">
        <f>HYPERLINK("https://www.spark-marketing.ru/Card/Person/491696", "ООО ""ОА ""ТАЙСЕ""")</f>
        <v>ООО "ОА "ТАЙСЕ"</v>
      </c>
      <c r="K15047" s="24" t="s">
        <v>14222</v>
      </c>
      <c r="L15047" s="28" t="s">
        <v>52</v>
      </c>
      <c r="M15047" s="25">
        <v>437127.29</v>
      </c>
      <c r="N15047" s="27">
        <v>0.1405621288978019</v>
      </c>
    </row>
    <row r="15048" spans="1:14" hidden="1" outlineLevel="1" x14ac:dyDescent="0.2">
      <c r="A15048" s="23" t="str">
        <f>HYPERLINK("https://www.spark-marketing.ru/Card/Person/20055", "ГБУК АО ""АОНМЦНК""")</f>
        <v>ГБУК АО "АОНМЦНК"</v>
      </c>
      <c r="B15048" s="24" t="s">
        <v>17327</v>
      </c>
      <c r="C15048" s="25">
        <v>508620</v>
      </c>
      <c r="D15048" s="22" t="s">
        <v>17328</v>
      </c>
      <c r="E15048" s="22" t="s">
        <v>52</v>
      </c>
      <c r="F15048" s="23" t="str">
        <f>HYPERLINK("https://www.spark-marketing.ru/Card/Lot/67911690", "услуги охраны")</f>
        <v>услуги охраны</v>
      </c>
      <c r="G15048" s="22" t="s">
        <v>565</v>
      </c>
      <c r="H15048" s="22" t="s">
        <v>566</v>
      </c>
      <c r="I15048" s="26">
        <v>43509</v>
      </c>
      <c r="J15048" s="23" t="str">
        <f>HYPERLINK("https://www.spark-marketing.ru/Card/Person/2559644", "ООО ЧОО ""СВЯТОГОР""")</f>
        <v>ООО ЧОО "СВЯТОГОР"</v>
      </c>
      <c r="K15048" s="24" t="s">
        <v>17329</v>
      </c>
      <c r="L15048" s="28" t="s">
        <v>52</v>
      </c>
      <c r="M15048" s="25">
        <v>508620</v>
      </c>
      <c r="N15048" s="27">
        <v>0</v>
      </c>
    </row>
    <row r="15049" spans="1:14" ht="12.75" hidden="1" outlineLevel="1" x14ac:dyDescent="0.2">
      <c r="A15049" s="23" t="str">
        <f>HYPERLINK("https://www.spark-marketing.ru/Card/Person/20055", "ГБУК АО ""АОНМЦНК""")</f>
        <v>ГБУК АО "АОНМЦНК"</v>
      </c>
      <c r="B15049" s="24" t="s">
        <v>17327</v>
      </c>
      <c r="C15049" s="25">
        <v>508620</v>
      </c>
      <c r="D15049" s="22" t="s">
        <v>17328</v>
      </c>
      <c r="E15049" s="22" t="s">
        <v>52</v>
      </c>
      <c r="F15049" s="23" t="str">
        <f>HYPERLINK("https://www.spark-marketing.ru/Card/Lot/67911690", "услуги охраны")</f>
        <v>услуги охраны</v>
      </c>
      <c r="G15049" s="22" t="s">
        <v>565</v>
      </c>
      <c r="H15049" s="22" t="s">
        <v>566</v>
      </c>
      <c r="I15049" s="26">
        <v>43509</v>
      </c>
      <c r="J15049" s="23" t="str">
        <f>HYPERLINK("https://www.spark-marketing.ru/Card/Person/342318", "ООО ""ЧОО ""ВЕТЕРАН""")</f>
        <v>ООО "ЧОО "ВЕТЕРАН"</v>
      </c>
      <c r="K15049" s="24" t="s">
        <v>17330</v>
      </c>
      <c r="L15049" s="22" t="s">
        <v>10</v>
      </c>
      <c r="M15049" s="25">
        <v>320545.78000000003</v>
      </c>
      <c r="N15049" s="27">
        <v>0.3697735440997208</v>
      </c>
    </row>
    <row r="15050" spans="1:14" x14ac:dyDescent="0.15">
      <c r="A15050" s="23" t="str">
        <f>HYPERLINK("https://www.spark-marketing.ru/Card/Person/6450322", "ЗАКАЗЧИК РП БЕЛАРУСЬ")</f>
        <v>ЗАКАЗЧИК РП БЕЛАРУСЬ</v>
      </c>
      <c r="B15050" s="28" t="s">
        <v>52</v>
      </c>
      <c r="C15050" s="25">
        <v>547749</v>
      </c>
      <c r="D15050" s="22" t="s">
        <v>17331</v>
      </c>
      <c r="E15050" s="22" t="s">
        <v>53</v>
      </c>
      <c r="F15050" s="23" t="str">
        <f>HYPERLINK("https://www.spark-marketing.ru/Card/Lot/67933081", "услуга по техническому обслуживанию системы контроля и управления доступом ,системы управления внутренним доступом")</f>
        <v>услуга по техническому обслуживанию системы контроля и управления доступом ,системы управления внутренним доступом</v>
      </c>
      <c r="G15050" s="22" t="s">
        <v>52</v>
      </c>
      <c r="H15050" s="22" t="s">
        <v>52</v>
      </c>
      <c r="I15050" s="26">
        <v>43509</v>
      </c>
      <c r="J15050" s="28" t="s">
        <v>52</v>
      </c>
      <c r="K15050" s="28" t="s">
        <v>52</v>
      </c>
      <c r="L15050" s="28" t="s">
        <v>52</v>
      </c>
      <c r="M15050" s="28" t="s">
        <v>52</v>
      </c>
      <c r="N15050" s="28" t="s">
        <v>52</v>
      </c>
    </row>
    <row r="15051" spans="1:14" x14ac:dyDescent="0.15">
      <c r="A15051" s="23" t="str">
        <f t="shared" ref="A15051:A15056" si="784">HYPERLINK("https://www.spark-marketing.ru/Card/Person/254397", "МБУ ""СШ ""ДИНАМО"" НМР РТ""")</f>
        <v>МБУ "СШ "ДИНАМО" НМР РТ"</v>
      </c>
      <c r="B15051" s="24" t="s">
        <v>17332</v>
      </c>
      <c r="C15051" s="25">
        <v>40000</v>
      </c>
      <c r="D15051" s="22" t="s">
        <v>17333</v>
      </c>
      <c r="E15051" s="22" t="s">
        <v>103</v>
      </c>
      <c r="F15051" s="23" t="str">
        <f t="shared" ref="F15051:F15056" si="785">HYPERLINK("https://www.spark-marketing.ru/Card/Lot/67927908", "Оказание услуг по техническому обслуживанию видеонаблюдения для МБУ ДО «ДЮСШ «ДИНАМО» НМР РТ» (СМП и СОНО)")</f>
        <v>Оказание услуг по техническому обслуживанию видеонаблюдения для МБУ ДО «ДЮСШ «ДИНАМО» НМР РТ» (СМП и СОНО)</v>
      </c>
      <c r="G15051" s="22" t="s">
        <v>204</v>
      </c>
      <c r="H15051" s="22" t="s">
        <v>824</v>
      </c>
      <c r="I15051" s="26">
        <v>43509</v>
      </c>
      <c r="J15051" s="28" t="s">
        <v>52</v>
      </c>
      <c r="K15051" s="28" t="s">
        <v>52</v>
      </c>
      <c r="L15051" s="28" t="s">
        <v>52</v>
      </c>
      <c r="M15051" s="28" t="s">
        <v>52</v>
      </c>
      <c r="N15051" s="28" t="s">
        <v>52</v>
      </c>
    </row>
    <row r="15052" spans="1:14" hidden="1" outlineLevel="1" x14ac:dyDescent="0.2">
      <c r="A15052" s="23" t="str">
        <f t="shared" si="784"/>
        <v>МБУ "СШ "ДИНАМО" НМР РТ"</v>
      </c>
      <c r="B15052" s="24" t="s">
        <v>17332</v>
      </c>
      <c r="C15052" s="25">
        <v>40000</v>
      </c>
      <c r="D15052" s="22" t="s">
        <v>17333</v>
      </c>
      <c r="E15052" s="22" t="s">
        <v>103</v>
      </c>
      <c r="F15052" s="23" t="str">
        <f t="shared" si="785"/>
        <v>Оказание услуг по техническому обслуживанию видеонаблюдения для МБУ ДО «ДЮСШ «ДИНАМО» НМР РТ» (СМП и СОНО)</v>
      </c>
      <c r="G15052" s="22" t="s">
        <v>204</v>
      </c>
      <c r="H15052" s="22" t="s">
        <v>824</v>
      </c>
      <c r="I15052" s="26">
        <v>43509</v>
      </c>
      <c r="J15052" s="23" t="str">
        <f>HYPERLINK("https://www.spark-marketing.ru/Card/Person/5874819", "ООО ЧОО ""ФОРСЕК""")</f>
        <v>ООО ЧОО "ФОРСЕК"</v>
      </c>
      <c r="K15052" s="24" t="s">
        <v>8877</v>
      </c>
      <c r="L15052" s="28" t="s">
        <v>52</v>
      </c>
      <c r="M15052" s="25">
        <v>15000</v>
      </c>
      <c r="N15052" s="27">
        <v>0.625</v>
      </c>
    </row>
    <row r="15053" spans="1:14" ht="12.75" hidden="1" outlineLevel="1" x14ac:dyDescent="0.2">
      <c r="A15053" s="23" t="str">
        <f t="shared" si="784"/>
        <v>МБУ "СШ "ДИНАМО" НМР РТ"</v>
      </c>
      <c r="B15053" s="24" t="s">
        <v>17332</v>
      </c>
      <c r="C15053" s="25">
        <v>40000</v>
      </c>
      <c r="D15053" s="22" t="s">
        <v>17333</v>
      </c>
      <c r="E15053" s="22" t="s">
        <v>103</v>
      </c>
      <c r="F15053" s="23" t="str">
        <f t="shared" si="785"/>
        <v>Оказание услуг по техническому обслуживанию видеонаблюдения для МБУ ДО «ДЮСШ «ДИНАМО» НМР РТ» (СМП и СОНО)</v>
      </c>
      <c r="G15053" s="22" t="s">
        <v>204</v>
      </c>
      <c r="H15053" s="22" t="s">
        <v>824</v>
      </c>
      <c r="I15053" s="26">
        <v>43509</v>
      </c>
      <c r="J15053" s="23" t="str">
        <f>HYPERLINK("https://www.spark-marketing.ru/Card/Person/138713", "Хакимзянов Рустам Миннерафикович")</f>
        <v>Хакимзянов Рустам Миннерафикович</v>
      </c>
      <c r="K15053" s="24" t="s">
        <v>3470</v>
      </c>
      <c r="L15053" s="22" t="s">
        <v>10</v>
      </c>
      <c r="M15053" s="25">
        <v>6400</v>
      </c>
      <c r="N15053" s="27">
        <v>0.84</v>
      </c>
    </row>
    <row r="15054" spans="1:14" hidden="1" outlineLevel="1" x14ac:dyDescent="0.2">
      <c r="A15054" s="23" t="str">
        <f t="shared" si="784"/>
        <v>МБУ "СШ "ДИНАМО" НМР РТ"</v>
      </c>
      <c r="B15054" s="24" t="s">
        <v>17332</v>
      </c>
      <c r="C15054" s="25">
        <v>40000</v>
      </c>
      <c r="D15054" s="22" t="s">
        <v>17333</v>
      </c>
      <c r="E15054" s="22" t="s">
        <v>103</v>
      </c>
      <c r="F15054" s="23" t="str">
        <f t="shared" si="785"/>
        <v>Оказание услуг по техническому обслуживанию видеонаблюдения для МБУ ДО «ДЮСШ «ДИНАМО» НМР РТ» (СМП и СОНО)</v>
      </c>
      <c r="G15054" s="22" t="s">
        <v>204</v>
      </c>
      <c r="H15054" s="22" t="s">
        <v>824</v>
      </c>
      <c r="I15054" s="26">
        <v>43509</v>
      </c>
      <c r="J15054" s="23" t="str">
        <f>HYPERLINK("https://www.spark-marketing.ru/Card/Person/6415078", "ООО ""ПРОМТЕХСЕРВИС""")</f>
        <v>ООО "ПРОМТЕХСЕРВИС"</v>
      </c>
      <c r="K15054" s="24" t="s">
        <v>5396</v>
      </c>
      <c r="L15054" s="28" t="s">
        <v>52</v>
      </c>
      <c r="M15054" s="25">
        <v>6800</v>
      </c>
      <c r="N15054" s="27">
        <v>0.83</v>
      </c>
    </row>
    <row r="15055" spans="1:14" hidden="1" outlineLevel="1" x14ac:dyDescent="0.2">
      <c r="A15055" s="23" t="str">
        <f t="shared" si="784"/>
        <v>МБУ "СШ "ДИНАМО" НМР РТ"</v>
      </c>
      <c r="B15055" s="24" t="s">
        <v>17332</v>
      </c>
      <c r="C15055" s="25">
        <v>40000</v>
      </c>
      <c r="D15055" s="22" t="s">
        <v>17333</v>
      </c>
      <c r="E15055" s="22" t="s">
        <v>103</v>
      </c>
      <c r="F15055" s="23" t="str">
        <f t="shared" si="785"/>
        <v>Оказание услуг по техническому обслуживанию видеонаблюдения для МБУ ДО «ДЮСШ «ДИНАМО» НМР РТ» (СМП и СОНО)</v>
      </c>
      <c r="G15055" s="22" t="s">
        <v>204</v>
      </c>
      <c r="H15055" s="22" t="s">
        <v>824</v>
      </c>
      <c r="I15055" s="26">
        <v>43509</v>
      </c>
      <c r="J15055" s="23" t="str">
        <f>HYPERLINK("https://www.spark-marketing.ru/Card/Person/400993", "ООО ""РИТМ-ЗАЩИТА""")</f>
        <v>ООО "РИТМ-ЗАЩИТА"</v>
      </c>
      <c r="K15055" s="24" t="s">
        <v>10493</v>
      </c>
      <c r="L15055" s="28" t="s">
        <v>52</v>
      </c>
      <c r="M15055" s="25">
        <v>19000</v>
      </c>
      <c r="N15055" s="27">
        <v>0.52500000000000002</v>
      </c>
    </row>
    <row r="15056" spans="1:14" hidden="1" outlineLevel="1" x14ac:dyDescent="0.2">
      <c r="A15056" s="23" t="str">
        <f t="shared" si="784"/>
        <v>МБУ "СШ "ДИНАМО" НМР РТ"</v>
      </c>
      <c r="B15056" s="24" t="s">
        <v>17332</v>
      </c>
      <c r="C15056" s="25">
        <v>40000</v>
      </c>
      <c r="D15056" s="22" t="s">
        <v>17333</v>
      </c>
      <c r="E15056" s="22" t="s">
        <v>103</v>
      </c>
      <c r="F15056" s="23" t="str">
        <f t="shared" si="785"/>
        <v>Оказание услуг по техническому обслуживанию видеонаблюдения для МБУ ДО «ДЮСШ «ДИНАМО» НМР РТ» (СМП и СОНО)</v>
      </c>
      <c r="G15056" s="22" t="s">
        <v>204</v>
      </c>
      <c r="H15056" s="22" t="s">
        <v>824</v>
      </c>
      <c r="I15056" s="26">
        <v>43509</v>
      </c>
      <c r="J15056" s="23" t="str">
        <f>HYPERLINK("https://www.spark-marketing.ru/Card/Person/34725", "ООО ""КОМПЬЮСЕРВИС - НК""")</f>
        <v>ООО "КОМПЬЮСЕРВИС - НК"</v>
      </c>
      <c r="K15056" s="24" t="s">
        <v>3468</v>
      </c>
      <c r="L15056" s="28" t="s">
        <v>52</v>
      </c>
      <c r="M15056" s="25">
        <v>6600</v>
      </c>
      <c r="N15056" s="27">
        <v>0.83499999999999996</v>
      </c>
    </row>
    <row r="15057" spans="1:14" x14ac:dyDescent="0.15">
      <c r="A15057" s="23" t="str">
        <f>HYPERLINK("https://www.spark-marketing.ru/Card/Person/76975", "АДМИНИСТРАЦИЯ ПОРХОВСКОГО РАЙОНА ПСКОВСКОЙ ОБЛАСТИ")</f>
        <v>АДМИНИСТРАЦИЯ ПОРХОВСКОГО РАЙОНА ПСКОВСКОЙ ОБЛАСТИ</v>
      </c>
      <c r="B15057" s="24" t="s">
        <v>17334</v>
      </c>
      <c r="C15057" s="25">
        <v>17883.54</v>
      </c>
      <c r="D15057" s="22" t="s">
        <v>17335</v>
      </c>
      <c r="E15057" s="22" t="s">
        <v>68</v>
      </c>
      <c r="F15057" s="23" t="str">
        <f>HYPERLINK("https://www.spark-marketing.ru/Card/Lot/67920688", "Оказание услуг по охране объектов Администрации Порховского района. (идентификационный номер: 005-А-МЗ-19)")</f>
        <v>Оказание услуг по охране объектов Администрации Порховского района. (идентификационный номер: 005-А-МЗ-19)</v>
      </c>
      <c r="G15057" s="22" t="s">
        <v>142</v>
      </c>
      <c r="H15057" s="22" t="s">
        <v>17336</v>
      </c>
      <c r="I15057" s="26">
        <v>43509</v>
      </c>
      <c r="J15057" s="28" t="s">
        <v>52</v>
      </c>
      <c r="K15057" s="28" t="s">
        <v>52</v>
      </c>
      <c r="L15057" s="28" t="s">
        <v>52</v>
      </c>
      <c r="M15057" s="28" t="s">
        <v>52</v>
      </c>
      <c r="N15057" s="28" t="s">
        <v>52</v>
      </c>
    </row>
    <row r="15058" spans="1:14" hidden="1" outlineLevel="1" x14ac:dyDescent="0.2">
      <c r="A15058" s="23" t="str">
        <f>HYPERLINK("https://www.spark-marketing.ru/Card/Person/76975", "АДМИНИСТРАЦИЯ ПОРХОВСКОГО РАЙОНА ПСКОВСКОЙ ОБЛАСТИ")</f>
        <v>АДМИНИСТРАЦИЯ ПОРХОВСКОГО РАЙОНА ПСКОВСКОЙ ОБЛАСТИ</v>
      </c>
      <c r="B15058" s="24" t="s">
        <v>17334</v>
      </c>
      <c r="C15058" s="25">
        <v>17883.54</v>
      </c>
      <c r="D15058" s="22" t="s">
        <v>17335</v>
      </c>
      <c r="E15058" s="22" t="s">
        <v>68</v>
      </c>
      <c r="F15058" s="23" t="str">
        <f>HYPERLINK("https://www.spark-marketing.ru/Card/Lot/67920688", "Оказание услуг по охране объектов Администрации Порховского района. (идентификационный номер: 005-А-МЗ-19)")</f>
        <v>Оказание услуг по охране объектов Администрации Порховского района. (идентификационный номер: 005-А-МЗ-19)</v>
      </c>
      <c r="G15058" s="22" t="s">
        <v>142</v>
      </c>
      <c r="H15058" s="22" t="s">
        <v>17336</v>
      </c>
      <c r="I15058" s="26">
        <v>43509</v>
      </c>
      <c r="J15058" s="23" t="str">
        <f>HYPERLINK("https://www.spark-marketing.ru/Card/Person/357927", "ООО ЧОО ""ГРУППА ДОВМОНТ""")</f>
        <v>ООО ЧОО "ГРУППА ДОВМОНТ"</v>
      </c>
      <c r="K15058" s="24" t="s">
        <v>17337</v>
      </c>
      <c r="L15058" s="28" t="s">
        <v>52</v>
      </c>
      <c r="M15058" s="25">
        <v>3000</v>
      </c>
      <c r="N15058" s="27">
        <v>0.83224797774937176</v>
      </c>
    </row>
    <row r="15059" spans="1:14" ht="12.75" hidden="1" outlineLevel="1" x14ac:dyDescent="0.2">
      <c r="A15059" s="23" t="str">
        <f>HYPERLINK("https://www.spark-marketing.ru/Card/Person/76975", "АДМИНИСТРАЦИЯ ПОРХОВСКОГО РАЙОНА ПСКОВСКОЙ ОБЛАСТИ")</f>
        <v>АДМИНИСТРАЦИЯ ПОРХОВСКОГО РАЙОНА ПСКОВСКОЙ ОБЛАСТИ</v>
      </c>
      <c r="B15059" s="24" t="s">
        <v>17334</v>
      </c>
      <c r="C15059" s="25">
        <v>17883.54</v>
      </c>
      <c r="D15059" s="22" t="s">
        <v>17335</v>
      </c>
      <c r="E15059" s="22" t="s">
        <v>68</v>
      </c>
      <c r="F15059" s="23" t="str">
        <f>HYPERLINK("https://www.spark-marketing.ru/Card/Lot/67920688", "Оказание услуг по охране объектов Администрации Порховского района. (идентификационный номер: 005-А-МЗ-19)")</f>
        <v>Оказание услуг по охране объектов Администрации Порховского района. (идентификационный номер: 005-А-МЗ-19)</v>
      </c>
      <c r="G15059" s="22" t="s">
        <v>142</v>
      </c>
      <c r="H15059" s="22" t="s">
        <v>17336</v>
      </c>
      <c r="I15059" s="26">
        <v>43509</v>
      </c>
      <c r="J15059" s="23" t="str">
        <f>HYPERLINK("https://www.spark-marketing.ru/Card/Person/619457", "ООО ЧОО ""ВЫМПЕЛ""")</f>
        <v>ООО ЧОО "ВЫМПЕЛ"</v>
      </c>
      <c r="K15059" s="24" t="s">
        <v>8516</v>
      </c>
      <c r="L15059" s="22" t="s">
        <v>10</v>
      </c>
      <c r="M15059" s="25">
        <v>2900</v>
      </c>
      <c r="N15059" s="27">
        <v>0.83783971182439276</v>
      </c>
    </row>
    <row r="15060" spans="1:14" hidden="1" outlineLevel="1" x14ac:dyDescent="0.2">
      <c r="A15060" s="23" t="str">
        <f>HYPERLINK("https://www.spark-marketing.ru/Card/Person/76975", "АДМИНИСТРАЦИЯ ПОРХОВСКОГО РАЙОНА ПСКОВСКОЙ ОБЛАСТИ")</f>
        <v>АДМИНИСТРАЦИЯ ПОРХОВСКОГО РАЙОНА ПСКОВСКОЙ ОБЛАСТИ</v>
      </c>
      <c r="B15060" s="24" t="s">
        <v>17334</v>
      </c>
      <c r="C15060" s="25">
        <v>17883.54</v>
      </c>
      <c r="D15060" s="22" t="s">
        <v>17335</v>
      </c>
      <c r="E15060" s="22" t="s">
        <v>68</v>
      </c>
      <c r="F15060" s="23" t="str">
        <f>HYPERLINK("https://www.spark-marketing.ru/Card/Lot/67920688", "Оказание услуг по охране объектов Администрации Порховского района. (идентификационный номер: 005-А-МЗ-19)")</f>
        <v>Оказание услуг по охране объектов Администрации Порховского района. (идентификационный номер: 005-А-МЗ-19)</v>
      </c>
      <c r="G15060" s="22" t="s">
        <v>142</v>
      </c>
      <c r="H15060" s="22" t="s">
        <v>17336</v>
      </c>
      <c r="I15060" s="26">
        <v>43509</v>
      </c>
      <c r="J15060" s="23" t="str">
        <f>HYPERLINK("https://www.spark-marketing.ru/Card/Person/368842", "ФГКУ ""ОВО ВНГ РОССИИ ПО ПСКОВСКОЙ ОБЛАСТИ""")</f>
        <v>ФГКУ "ОВО ВНГ РОССИИ ПО ПСКОВСКОЙ ОБЛАСТИ"</v>
      </c>
      <c r="K15060" s="24" t="s">
        <v>8363</v>
      </c>
      <c r="L15060" s="28" t="s">
        <v>52</v>
      </c>
      <c r="M15060" s="25">
        <v>17284.099999999999</v>
      </c>
      <c r="N15060" s="27">
        <v>3.3519090739305528E-2</v>
      </c>
    </row>
    <row r="15061" spans="1:14" x14ac:dyDescent="0.15">
      <c r="A15061" s="23" t="str">
        <f>HYPERLINK("https://www.spark-marketing.ru/Card/Person/50206", "ГБУЗ НСО КЫШТОВСКАЯ ЦРБ")</f>
        <v>ГБУЗ НСО КЫШТОВСКАЯ ЦРБ</v>
      </c>
      <c r="B15061" s="24" t="s">
        <v>17338</v>
      </c>
      <c r="C15061" s="25">
        <v>311672.40000000002</v>
      </c>
      <c r="D15061" s="22" t="s">
        <v>17339</v>
      </c>
      <c r="E15061" s="22" t="s">
        <v>68</v>
      </c>
      <c r="F15061" s="23" t="str">
        <f>HYPERLINK("https://www.spark-marketing.ru/Card/Lot/67902424", "Услуги охраны и технического обслуживания объектов с препаратами наркотического содержания")</f>
        <v>Услуги охраны и технического обслуживания объектов с препаратами наркотического содержания</v>
      </c>
      <c r="G15061" s="22" t="s">
        <v>209</v>
      </c>
      <c r="H15061" s="22" t="s">
        <v>13950</v>
      </c>
      <c r="I15061" s="26">
        <v>43509</v>
      </c>
      <c r="J15061" s="23" t="str">
        <f>HYPERLINK("https://www.spark-marketing.ru/Card/Person/722617", "ООО ЧОО ""ГБС""")</f>
        <v>ООО ЧОО "ГБС"</v>
      </c>
      <c r="K15061" s="24" t="s">
        <v>15246</v>
      </c>
      <c r="L15061" s="22" t="s">
        <v>10</v>
      </c>
      <c r="M15061" s="28" t="s">
        <v>52</v>
      </c>
      <c r="N15061" s="28" t="s">
        <v>52</v>
      </c>
    </row>
    <row r="15062" spans="1:14" x14ac:dyDescent="0.15">
      <c r="A15062" s="23" t="str">
        <f t="shared" ref="A15062:A15067" si="786">HYPERLINK("https://www.spark-marketing.ru/Card/Person/29298", "ГБПОУ ""СТС И ЖКХ""")</f>
        <v>ГБПОУ "СТС И ЖКХ"</v>
      </c>
      <c r="B15062" s="24" t="s">
        <v>17340</v>
      </c>
      <c r="C15062" s="25">
        <v>93333.3</v>
      </c>
      <c r="D15062" s="22" t="s">
        <v>17341</v>
      </c>
      <c r="E15062" s="22" t="s">
        <v>103</v>
      </c>
      <c r="F15062" s="23" t="str">
        <f t="shared" ref="F15062:F15067" si="787">HYPERLINK("https://www.spark-marketing.ru/Card/Lot/67908611", "Оказание по техническому обслуживанию системы видеонаблюдения г.Южно-Сахалинск")</f>
        <v>Оказание по техническому обслуживанию системы видеонаблюдения г.Южно-Сахалинск</v>
      </c>
      <c r="G15062" s="22" t="s">
        <v>69</v>
      </c>
      <c r="H15062" s="22" t="s">
        <v>973</v>
      </c>
      <c r="I15062" s="26">
        <v>43509</v>
      </c>
      <c r="J15062" s="28" t="s">
        <v>52</v>
      </c>
      <c r="K15062" s="28" t="s">
        <v>52</v>
      </c>
      <c r="L15062" s="28" t="s">
        <v>52</v>
      </c>
      <c r="M15062" s="28" t="s">
        <v>52</v>
      </c>
      <c r="N15062" s="28" t="s">
        <v>52</v>
      </c>
    </row>
    <row r="15063" spans="1:14" hidden="1" outlineLevel="1" x14ac:dyDescent="0.2">
      <c r="A15063" s="23" t="str">
        <f t="shared" si="786"/>
        <v>ГБПОУ "СТС И ЖКХ"</v>
      </c>
      <c r="B15063" s="24" t="s">
        <v>17340</v>
      </c>
      <c r="C15063" s="25">
        <v>93333.3</v>
      </c>
      <c r="D15063" s="22" t="s">
        <v>17341</v>
      </c>
      <c r="E15063" s="22" t="s">
        <v>103</v>
      </c>
      <c r="F15063" s="23" t="str">
        <f t="shared" si="787"/>
        <v>Оказание по техническому обслуживанию системы видеонаблюдения г.Южно-Сахалинск</v>
      </c>
      <c r="G15063" s="22" t="s">
        <v>69</v>
      </c>
      <c r="H15063" s="22" t="s">
        <v>973</v>
      </c>
      <c r="I15063" s="26">
        <v>43509</v>
      </c>
      <c r="J15063" s="23" t="str">
        <f>HYPERLINK("https://www.spark-marketing.ru/Card/Person/56174", "ООО ЧОП ""ФИНЭКО-РОСА-1""")</f>
        <v>ООО ЧОП "ФИНЭКО-РОСА-1"</v>
      </c>
      <c r="K15063" s="24" t="s">
        <v>13411</v>
      </c>
      <c r="L15063" s="28" t="s">
        <v>52</v>
      </c>
      <c r="M15063" s="25">
        <v>87733.29</v>
      </c>
      <c r="N15063" s="27">
        <v>6.0000128571474493E-2</v>
      </c>
    </row>
    <row r="15064" spans="1:14" ht="12.75" hidden="1" outlineLevel="1" x14ac:dyDescent="0.2">
      <c r="A15064" s="23" t="str">
        <f t="shared" si="786"/>
        <v>ГБПОУ "СТС И ЖКХ"</v>
      </c>
      <c r="B15064" s="24" t="s">
        <v>17340</v>
      </c>
      <c r="C15064" s="25">
        <v>93333.3</v>
      </c>
      <c r="D15064" s="22" t="s">
        <v>17341</v>
      </c>
      <c r="E15064" s="22" t="s">
        <v>103</v>
      </c>
      <c r="F15064" s="23" t="str">
        <f t="shared" si="787"/>
        <v>Оказание по техническому обслуживанию системы видеонаблюдения г.Южно-Сахалинск</v>
      </c>
      <c r="G15064" s="22" t="s">
        <v>69</v>
      </c>
      <c r="H15064" s="22" t="s">
        <v>973</v>
      </c>
      <c r="I15064" s="26">
        <v>43509</v>
      </c>
      <c r="J15064" s="23" t="str">
        <f>HYPERLINK("https://www.spark-marketing.ru/Card/Person/798173", "ООО ""ОПС ЗАЩИТНИК""")</f>
        <v>ООО "ОПС ЗАЩИТНИК"</v>
      </c>
      <c r="K15064" s="24" t="s">
        <v>17342</v>
      </c>
      <c r="L15064" s="22" t="s">
        <v>10</v>
      </c>
      <c r="M15064" s="25">
        <v>36866.559999999998</v>
      </c>
      <c r="N15064" s="27">
        <v>0.60500100178607208</v>
      </c>
    </row>
    <row r="15065" spans="1:14" hidden="1" outlineLevel="1" x14ac:dyDescent="0.2">
      <c r="A15065" s="23" t="str">
        <f t="shared" si="786"/>
        <v>ГБПОУ "СТС И ЖКХ"</v>
      </c>
      <c r="B15065" s="24" t="s">
        <v>17340</v>
      </c>
      <c r="C15065" s="25">
        <v>93333.3</v>
      </c>
      <c r="D15065" s="22" t="s">
        <v>17341</v>
      </c>
      <c r="E15065" s="22" t="s">
        <v>103</v>
      </c>
      <c r="F15065" s="23" t="str">
        <f t="shared" si="787"/>
        <v>Оказание по техническому обслуживанию системы видеонаблюдения г.Южно-Сахалинск</v>
      </c>
      <c r="G15065" s="22" t="s">
        <v>69</v>
      </c>
      <c r="H15065" s="22" t="s">
        <v>973</v>
      </c>
      <c r="I15065" s="26">
        <v>43509</v>
      </c>
      <c r="J15065" s="23" t="str">
        <f>HYPERLINK("https://www.spark-marketing.ru/Card/Person/549944", "ООО ""КВАРК-93""")</f>
        <v>ООО "КВАРК-93"</v>
      </c>
      <c r="K15065" s="24" t="s">
        <v>17343</v>
      </c>
      <c r="L15065" s="28" t="s">
        <v>52</v>
      </c>
      <c r="M15065" s="25">
        <v>41533.230000000003</v>
      </c>
      <c r="N15065" s="27">
        <v>0.55500094821462431</v>
      </c>
    </row>
    <row r="15066" spans="1:14" hidden="1" outlineLevel="1" x14ac:dyDescent="0.2">
      <c r="A15066" s="23" t="str">
        <f t="shared" si="786"/>
        <v>ГБПОУ "СТС И ЖКХ"</v>
      </c>
      <c r="B15066" s="24" t="s">
        <v>17340</v>
      </c>
      <c r="C15066" s="25">
        <v>93333.3</v>
      </c>
      <c r="D15066" s="22" t="s">
        <v>17341</v>
      </c>
      <c r="E15066" s="22" t="s">
        <v>103</v>
      </c>
      <c r="F15066" s="23" t="str">
        <f t="shared" si="787"/>
        <v>Оказание по техническому обслуживанию системы видеонаблюдения г.Южно-Сахалинск</v>
      </c>
      <c r="G15066" s="22" t="s">
        <v>69</v>
      </c>
      <c r="H15066" s="22" t="s">
        <v>973</v>
      </c>
      <c r="I15066" s="26">
        <v>43509</v>
      </c>
      <c r="J15066" s="23" t="str">
        <f>HYPERLINK("https://www.spark-marketing.ru/Card/Person/797665", "ООО ""САХАЛИНСИСТЕМСЕРВИС""")</f>
        <v>ООО "САХАЛИНСИСТЕМСЕРВИС"</v>
      </c>
      <c r="K15066" s="24" t="s">
        <v>17344</v>
      </c>
      <c r="L15066" s="28" t="s">
        <v>52</v>
      </c>
      <c r="M15066" s="25">
        <v>51799.91</v>
      </c>
      <c r="N15066" s="27">
        <v>0.44500076607170219</v>
      </c>
    </row>
    <row r="15067" spans="1:14" hidden="1" outlineLevel="1" x14ac:dyDescent="0.2">
      <c r="A15067" s="23" t="str">
        <f t="shared" si="786"/>
        <v>ГБПОУ "СТС И ЖКХ"</v>
      </c>
      <c r="B15067" s="24" t="s">
        <v>17340</v>
      </c>
      <c r="C15067" s="25">
        <v>93333.3</v>
      </c>
      <c r="D15067" s="22" t="s">
        <v>17341</v>
      </c>
      <c r="E15067" s="22" t="s">
        <v>103</v>
      </c>
      <c r="F15067" s="23" t="str">
        <f t="shared" si="787"/>
        <v>Оказание по техническому обслуживанию системы видеонаблюдения г.Южно-Сахалинск</v>
      </c>
      <c r="G15067" s="22" t="s">
        <v>69</v>
      </c>
      <c r="H15067" s="22" t="s">
        <v>973</v>
      </c>
      <c r="I15067" s="26">
        <v>43509</v>
      </c>
      <c r="J15067" s="23" t="str">
        <f>HYPERLINK("https://www.spark-marketing.ru/Card/Person/105223", "ООО ""САХНОВАТОР""")</f>
        <v>ООО "САХНОВАТОР"</v>
      </c>
      <c r="K15067" s="24" t="s">
        <v>15888</v>
      </c>
      <c r="L15067" s="28" t="s">
        <v>52</v>
      </c>
      <c r="M15067" s="25">
        <v>67199.929999999993</v>
      </c>
      <c r="N15067" s="27">
        <v>0.28000049285731887</v>
      </c>
    </row>
    <row r="15068" spans="1:14" x14ac:dyDescent="0.15">
      <c r="A15068" s="23" t="str">
        <f>HYPERLINK("https://www.spark-marketing.ru/Card/Person/2630", "УПРАВЛЕНИЕ РОСПОТРЕБНАДЗОРА ПО РЕСПУБЛИКЕ ДАГЕСТАН")</f>
        <v>УПРАВЛЕНИЕ РОСПОТРЕБНАДЗОРА ПО РЕСПУБЛИКЕ ДАГЕСТАН</v>
      </c>
      <c r="B15068" s="24" t="s">
        <v>14938</v>
      </c>
      <c r="C15068" s="25">
        <v>1214598</v>
      </c>
      <c r="D15068" s="22" t="s">
        <v>17345</v>
      </c>
      <c r="E15068" s="22" t="s">
        <v>68</v>
      </c>
      <c r="F15068" s="23" t="str">
        <f>HYPERLINK("https://www.spark-marketing.ru/Card/Lot/67928614", "Услуги по государственной охране здания и прилегающей территории Управления Роспотребнадзора по РД")</f>
        <v>Услуги по государственной охране здания и прилегающей территории Управления Роспотребнадзора по РД</v>
      </c>
      <c r="G15068" s="22" t="s">
        <v>595</v>
      </c>
      <c r="H15068" s="22" t="s">
        <v>3766</v>
      </c>
      <c r="I15068" s="26">
        <v>43509</v>
      </c>
      <c r="J15068" s="28" t="s">
        <v>52</v>
      </c>
      <c r="K15068" s="28" t="s">
        <v>52</v>
      </c>
      <c r="L15068" s="28" t="s">
        <v>52</v>
      </c>
      <c r="M15068" s="28" t="s">
        <v>52</v>
      </c>
      <c r="N15068" s="28" t="s">
        <v>52</v>
      </c>
    </row>
    <row r="15069" spans="1:14" hidden="1" outlineLevel="1" x14ac:dyDescent="0.2">
      <c r="A15069" s="23" t="str">
        <f>HYPERLINK("https://www.spark-marketing.ru/Card/Person/2630", "УПРАВЛЕНИЕ РОСПОТРЕБНАДЗОРА ПО РЕСПУБЛИКЕ ДАГЕСТАН")</f>
        <v>УПРАВЛЕНИЕ РОСПОТРЕБНАДЗОРА ПО РЕСПУБЛИКЕ ДАГЕСТАН</v>
      </c>
      <c r="B15069" s="24" t="s">
        <v>14938</v>
      </c>
      <c r="C15069" s="25">
        <v>1214598</v>
      </c>
      <c r="D15069" s="22" t="s">
        <v>17345</v>
      </c>
      <c r="E15069" s="22" t="s">
        <v>68</v>
      </c>
      <c r="F15069" s="23" t="str">
        <f>HYPERLINK("https://www.spark-marketing.ru/Card/Lot/67928614", "Услуги по государственной охране здания и прилегающей территории Управления Роспотребнадзора по РД")</f>
        <v>Услуги по государственной охране здания и прилегающей территории Управления Роспотребнадзора по РД</v>
      </c>
      <c r="G15069" s="22" t="s">
        <v>595</v>
      </c>
      <c r="H15069" s="22" t="s">
        <v>3766</v>
      </c>
      <c r="I15069" s="26">
        <v>43509</v>
      </c>
      <c r="J15069" s="23" t="str">
        <f>HYPERLINK("https://www.spark-marketing.ru/Card/Person/1116557", "ООО ЧОО ""СОБР-Н""")</f>
        <v>ООО ЧОО "СОБР-Н"</v>
      </c>
      <c r="K15069" s="24" t="s">
        <v>17346</v>
      </c>
      <c r="L15069" s="28" t="s">
        <v>52</v>
      </c>
      <c r="M15069" s="25">
        <v>801634.68</v>
      </c>
      <c r="N15069" s="27">
        <v>0.34</v>
      </c>
    </row>
    <row r="15070" spans="1:14" hidden="1" outlineLevel="1" x14ac:dyDescent="0.2">
      <c r="A15070" s="23" t="str">
        <f>HYPERLINK("https://www.spark-marketing.ru/Card/Person/2630", "УПРАВЛЕНИЕ РОСПОТРЕБНАДЗОРА ПО РЕСПУБЛИКЕ ДАГЕСТАН")</f>
        <v>УПРАВЛЕНИЕ РОСПОТРЕБНАДЗОРА ПО РЕСПУБЛИКЕ ДАГЕСТАН</v>
      </c>
      <c r="B15070" s="24" t="s">
        <v>14938</v>
      </c>
      <c r="C15070" s="25">
        <v>1214598</v>
      </c>
      <c r="D15070" s="22" t="s">
        <v>17345</v>
      </c>
      <c r="E15070" s="22" t="s">
        <v>68</v>
      </c>
      <c r="F15070" s="23" t="str">
        <f>HYPERLINK("https://www.spark-marketing.ru/Card/Lot/67928614", "Услуги по государственной охране здания и прилегающей территории Управления Роспотребнадзора по РД")</f>
        <v>Услуги по государственной охране здания и прилегающей территории Управления Роспотребнадзора по РД</v>
      </c>
      <c r="G15070" s="22" t="s">
        <v>595</v>
      </c>
      <c r="H15070" s="22" t="s">
        <v>3766</v>
      </c>
      <c r="I15070" s="26">
        <v>43509</v>
      </c>
      <c r="J15070" s="23" t="str">
        <f>HYPERLINK("https://www.spark-marketing.ru/Card/Person/2574379", "ООО ЧОО ""СИГМА""")</f>
        <v>ООО ЧОО "СИГМА"</v>
      </c>
      <c r="K15070" s="24" t="s">
        <v>14306</v>
      </c>
      <c r="L15070" s="28" t="s">
        <v>52</v>
      </c>
      <c r="M15070" s="25">
        <v>807707.67</v>
      </c>
      <c r="N15070" s="27">
        <v>0.33500000000000002</v>
      </c>
    </row>
    <row r="15071" spans="1:14" x14ac:dyDescent="0.15">
      <c r="A15071" s="23" t="str">
        <f>HYPERLINK("https://www.spark-marketing.ru/Card/Person/8484", "УСД В КИРОВСКОЙ ОБЛАСТИ")</f>
        <v>УСД В КИРОВСКОЙ ОБЛАСТИ</v>
      </c>
      <c r="B15071" s="24" t="s">
        <v>17325</v>
      </c>
      <c r="C15071" s="25">
        <v>912492.6</v>
      </c>
      <c r="D15071" s="22" t="s">
        <v>17347</v>
      </c>
      <c r="E15071" s="22" t="s">
        <v>68</v>
      </c>
      <c r="F15071" s="23" t="str">
        <f>HYPERLINK("https://www.spark-marketing.ru/Card/Lot/67908301", "Организация охраны объекта с помощью технических средств охраны и безопасности, установленных на объекте, путем централизованного наблюдения за каналом передачи тревожного извещения о несанкционированном проникновении на объект и других чрезвычайных ...")</f>
        <v>Организация охраны объекта с помощью технических средств охраны и безопасности, установленных на объекте, путем централизованного наблюдения за каналом передачи тревожного извещения о несанкционированном проникновении на объект и других чрезвычайных ...</v>
      </c>
      <c r="G15071" s="22" t="s">
        <v>556</v>
      </c>
      <c r="H15071" s="22" t="s">
        <v>556</v>
      </c>
      <c r="I15071" s="26">
        <v>43509</v>
      </c>
      <c r="J15071" s="28" t="s">
        <v>52</v>
      </c>
      <c r="K15071" s="28" t="s">
        <v>52</v>
      </c>
      <c r="L15071" s="28" t="s">
        <v>52</v>
      </c>
      <c r="M15071" s="28" t="s">
        <v>52</v>
      </c>
      <c r="N15071" s="28" t="s">
        <v>52</v>
      </c>
    </row>
    <row r="15072" spans="1:14" x14ac:dyDescent="0.15">
      <c r="A15072" s="23" t="str">
        <f>HYPERLINK("https://www.spark-marketing.ru/Card/Person/8484", "УСД В КИРОВСКОЙ ОБЛАСТИ")</f>
        <v>УСД В КИРОВСКОЙ ОБЛАСТИ</v>
      </c>
      <c r="B15072" s="24" t="s">
        <v>17325</v>
      </c>
      <c r="C15072" s="25">
        <v>352414.8</v>
      </c>
      <c r="D15072" s="22" t="s">
        <v>17348</v>
      </c>
      <c r="E15072" s="22" t="s">
        <v>68</v>
      </c>
      <c r="F15072" s="23" t="str">
        <f>HYPERLINK("https://www.spark-marketing.ru/Card/Lot/67908300", "Организация и обеспечение централизованной охраны объектов и обособленных помещений Заказчика с помощью технических средств охраны, подключенных к системам передачи извещений Исполнителя, с выездом наряда войск национальной гвардии")</f>
        <v>Организация и обеспечение централизованной охраны объектов и обособленных помещений Заказчика с помощью технических средств охраны, подключенных к системам передачи извещений Исполнителя, с выездом наряда войск национальной гвардии</v>
      </c>
      <c r="G15072" s="22" t="s">
        <v>556</v>
      </c>
      <c r="H15072" s="22" t="s">
        <v>556</v>
      </c>
      <c r="I15072" s="26">
        <v>43509</v>
      </c>
      <c r="J15072" s="28" t="s">
        <v>52</v>
      </c>
      <c r="K15072" s="28" t="s">
        <v>52</v>
      </c>
      <c r="L15072" s="28" t="s">
        <v>52</v>
      </c>
      <c r="M15072" s="28" t="s">
        <v>52</v>
      </c>
      <c r="N15072" s="28" t="s">
        <v>52</v>
      </c>
    </row>
    <row r="15073" spans="1:14" x14ac:dyDescent="0.15">
      <c r="A15073" s="23" t="str">
        <f>HYPERLINK("https://www.spark-marketing.ru/Card/Person/61138", "ОГБУ ""ХОЗЯЙСТВЕННОЕ УПРАВЛЕНИЕ АДМИНИСТРАЦИИ СМОЛЕНСКОЙ ОБЛАСТИ""")</f>
        <v>ОГБУ "ХОЗЯЙСТВЕННОЕ УПРАВЛЕНИЕ АДМИНИСТРАЦИИ СМОЛЕНСКОЙ ОБЛАСТИ"</v>
      </c>
      <c r="B15073" s="24" t="s">
        <v>17349</v>
      </c>
      <c r="C15073" s="25">
        <v>82500</v>
      </c>
      <c r="D15073" s="22" t="s">
        <v>17350</v>
      </c>
      <c r="E15073" s="22" t="s">
        <v>107</v>
      </c>
      <c r="F15073" s="23" t="str">
        <f>HYPERLINK("https://www.spark-marketing.ru/Card/Lot/67916178", "Выполнение работ по техническому обслуживанию системы охранной сигнализации")</f>
        <v>Выполнение работ по техническому обслуживанию системы охранной сигнализации</v>
      </c>
      <c r="G15073" s="22" t="s">
        <v>956</v>
      </c>
      <c r="H15073" s="22" t="s">
        <v>1451</v>
      </c>
      <c r="I15073" s="26">
        <v>43509</v>
      </c>
      <c r="J15073" s="28" t="s">
        <v>52</v>
      </c>
      <c r="K15073" s="28" t="s">
        <v>52</v>
      </c>
      <c r="L15073" s="28" t="s">
        <v>52</v>
      </c>
      <c r="M15073" s="28" t="s">
        <v>52</v>
      </c>
      <c r="N15073" s="28" t="s">
        <v>52</v>
      </c>
    </row>
    <row r="15074" spans="1:14" x14ac:dyDescent="0.15">
      <c r="A15074" s="23" t="str">
        <f>HYPERLINK("https://www.spark-marketing.ru/Card/Person/29298", "ГБПОУ ""СТС И ЖКХ""")</f>
        <v>ГБПОУ "СТС И ЖКХ"</v>
      </c>
      <c r="B15074" s="24" t="s">
        <v>17340</v>
      </c>
      <c r="C15074" s="25">
        <v>93333.3</v>
      </c>
      <c r="D15074" s="22" t="s">
        <v>17351</v>
      </c>
      <c r="E15074" s="22" t="s">
        <v>103</v>
      </c>
      <c r="F15074" s="23" t="str">
        <f>HYPERLINK("https://www.spark-marketing.ru/Card/Lot/67909308", "Оказание услуг по техническому обслуживанию системы видеонаблюдения.")</f>
        <v>Оказание услуг по техническому обслуживанию системы видеонаблюдения.</v>
      </c>
      <c r="G15074" s="22" t="s">
        <v>69</v>
      </c>
      <c r="H15074" s="22" t="s">
        <v>17352</v>
      </c>
      <c r="I15074" s="26">
        <v>43509</v>
      </c>
      <c r="J15074" s="28" t="s">
        <v>52</v>
      </c>
      <c r="K15074" s="28" t="s">
        <v>52</v>
      </c>
      <c r="L15074" s="28" t="s">
        <v>52</v>
      </c>
      <c r="M15074" s="28" t="s">
        <v>52</v>
      </c>
      <c r="N15074" s="28" t="s">
        <v>52</v>
      </c>
    </row>
    <row r="15075" spans="1:14" hidden="1" outlineLevel="1" x14ac:dyDescent="0.2">
      <c r="A15075" s="23" t="str">
        <f>HYPERLINK("https://www.spark-marketing.ru/Card/Person/29298", "ГБПОУ ""СТС И ЖКХ""")</f>
        <v>ГБПОУ "СТС И ЖКХ"</v>
      </c>
      <c r="B15075" s="24" t="s">
        <v>17340</v>
      </c>
      <c r="C15075" s="25">
        <v>93333.3</v>
      </c>
      <c r="D15075" s="22" t="s">
        <v>17351</v>
      </c>
      <c r="E15075" s="22" t="s">
        <v>103</v>
      </c>
      <c r="F15075" s="23" t="str">
        <f>HYPERLINK("https://www.spark-marketing.ru/Card/Lot/67909308", "Оказание услуг по техническому обслуживанию системы видеонаблюдения.")</f>
        <v>Оказание услуг по техническому обслуживанию системы видеонаблюдения.</v>
      </c>
      <c r="G15075" s="22" t="s">
        <v>69</v>
      </c>
      <c r="H15075" s="22" t="s">
        <v>17352</v>
      </c>
      <c r="I15075" s="26">
        <v>43509</v>
      </c>
      <c r="J15075" s="23" t="str">
        <f>HYPERLINK("https://www.spark-marketing.ru/Card/Person/105223", "ООО ""САХНОВАТОР""")</f>
        <v>ООО "САХНОВАТОР"</v>
      </c>
      <c r="K15075" s="24" t="s">
        <v>15888</v>
      </c>
      <c r="L15075" s="28" t="s">
        <v>52</v>
      </c>
      <c r="M15075" s="25">
        <v>92399.96</v>
      </c>
      <c r="N15075" s="27">
        <v>1.0000075000026786E-2</v>
      </c>
    </row>
    <row r="15076" spans="1:14" ht="12.75" hidden="1" outlineLevel="1" x14ac:dyDescent="0.2">
      <c r="A15076" s="23" t="str">
        <f>HYPERLINK("https://www.spark-marketing.ru/Card/Person/29298", "ГБПОУ ""СТС И ЖКХ""")</f>
        <v>ГБПОУ "СТС И ЖКХ"</v>
      </c>
      <c r="B15076" s="24" t="s">
        <v>17340</v>
      </c>
      <c r="C15076" s="25">
        <v>93333.3</v>
      </c>
      <c r="D15076" s="22" t="s">
        <v>17351</v>
      </c>
      <c r="E15076" s="22" t="s">
        <v>103</v>
      </c>
      <c r="F15076" s="23" t="str">
        <f>HYPERLINK("https://www.spark-marketing.ru/Card/Lot/67909308", "Оказание услуг по техническому обслуживанию системы видеонаблюдения.")</f>
        <v>Оказание услуг по техническому обслуживанию системы видеонаблюдения.</v>
      </c>
      <c r="G15076" s="22" t="s">
        <v>69</v>
      </c>
      <c r="H15076" s="22" t="s">
        <v>17352</v>
      </c>
      <c r="I15076" s="26">
        <v>43509</v>
      </c>
      <c r="J15076" s="23" t="str">
        <f>HYPERLINK("https://www.spark-marketing.ru/Card/Person/549944", "ООО ""КВАРК-93""")</f>
        <v>ООО "КВАРК-93"</v>
      </c>
      <c r="K15076" s="24" t="s">
        <v>17343</v>
      </c>
      <c r="L15076" s="22" t="s">
        <v>10</v>
      </c>
      <c r="M15076" s="25">
        <v>69999.8</v>
      </c>
      <c r="N15076" s="27">
        <v>0.25000187500066962</v>
      </c>
    </row>
    <row r="15077" spans="1:14" hidden="1" outlineLevel="1" x14ac:dyDescent="0.2">
      <c r="A15077" s="23" t="str">
        <f>HYPERLINK("https://www.spark-marketing.ru/Card/Person/29298", "ГБПОУ ""СТС И ЖКХ""")</f>
        <v>ГБПОУ "СТС И ЖКХ"</v>
      </c>
      <c r="B15077" s="24" t="s">
        <v>17340</v>
      </c>
      <c r="C15077" s="25">
        <v>93333.3</v>
      </c>
      <c r="D15077" s="22" t="s">
        <v>17351</v>
      </c>
      <c r="E15077" s="22" t="s">
        <v>103</v>
      </c>
      <c r="F15077" s="23" t="str">
        <f>HYPERLINK("https://www.spark-marketing.ru/Card/Lot/67909308", "Оказание услуг по техническому обслуживанию системы видеонаблюдения.")</f>
        <v>Оказание услуг по техническому обслуживанию системы видеонаблюдения.</v>
      </c>
      <c r="G15077" s="22" t="s">
        <v>69</v>
      </c>
      <c r="H15077" s="22" t="s">
        <v>17352</v>
      </c>
      <c r="I15077" s="26">
        <v>43509</v>
      </c>
      <c r="J15077" s="23" t="str">
        <f>HYPERLINK("https://www.spark-marketing.ru/Card/Person/797665", "ООО ""САХАЛИНСИСТЕМСЕРВИС""")</f>
        <v>ООО "САХАЛИНСИСТЕМСЕРВИС"</v>
      </c>
      <c r="K15077" s="24" t="s">
        <v>17344</v>
      </c>
      <c r="L15077" s="28" t="s">
        <v>52</v>
      </c>
      <c r="M15077" s="25">
        <v>70933.14</v>
      </c>
      <c r="N15077" s="27">
        <v>0.24000180000064286</v>
      </c>
    </row>
    <row r="15078" spans="1:14" hidden="1" outlineLevel="1" x14ac:dyDescent="0.2">
      <c r="A15078" s="23" t="str">
        <f>HYPERLINK("https://www.spark-marketing.ru/Card/Person/29298", "ГБПОУ ""СТС И ЖКХ""")</f>
        <v>ГБПОУ "СТС И ЖКХ"</v>
      </c>
      <c r="B15078" s="24" t="s">
        <v>17340</v>
      </c>
      <c r="C15078" s="25">
        <v>93333.3</v>
      </c>
      <c r="D15078" s="22" t="s">
        <v>17351</v>
      </c>
      <c r="E15078" s="22" t="s">
        <v>103</v>
      </c>
      <c r="F15078" s="23" t="str">
        <f>HYPERLINK("https://www.spark-marketing.ru/Card/Lot/67909308", "Оказание услуг по техническому обслуживанию системы видеонаблюдения.")</f>
        <v>Оказание услуг по техническому обслуживанию системы видеонаблюдения.</v>
      </c>
      <c r="G15078" s="22" t="s">
        <v>69</v>
      </c>
      <c r="H15078" s="22" t="s">
        <v>17352</v>
      </c>
      <c r="I15078" s="26">
        <v>43509</v>
      </c>
      <c r="J15078" s="23" t="str">
        <f>HYPERLINK("https://www.spark-marketing.ru/Card/Person/134905", "ООО ""АРИЭЛЬ""")</f>
        <v>ООО "АРИЭЛЬ"</v>
      </c>
      <c r="K15078" s="24" t="s">
        <v>13758</v>
      </c>
      <c r="L15078" s="28" t="s">
        <v>52</v>
      </c>
      <c r="M15078" s="25">
        <v>70466.47</v>
      </c>
      <c r="N15078" s="27">
        <v>0.24500183750065624</v>
      </c>
    </row>
    <row r="15079" spans="1:14" x14ac:dyDescent="0.15">
      <c r="A15079" s="23" t="str">
        <f>HYPERLINK("https://www.spark-marketing.ru/Card/Person/86134", "СУ СК РОССИИ ПО РЕСПУБЛИКЕ ТАТАРСТАН")</f>
        <v>СУ СК РОССИИ ПО РЕСПУБЛИКЕ ТАТАРСТАН</v>
      </c>
      <c r="B15079" s="24" t="s">
        <v>12879</v>
      </c>
      <c r="C15079" s="25">
        <v>5175198.72</v>
      </c>
      <c r="D15079" s="22" t="s">
        <v>17353</v>
      </c>
      <c r="E15079" s="22" t="s">
        <v>68</v>
      </c>
      <c r="F15079" s="23" t="str">
        <f>HYPERLINK("https://www.spark-marketing.ru/Card/Lot/67925805", "Услуги по охране зданий, помещений и имущества следственного управления Следственного комитета Российской Федерации по Республике Татарстан")</f>
        <v>Услуги по охране зданий, помещений и имущества следственного управления Следственного комитета Российской Федерации по Республике Татарстан</v>
      </c>
      <c r="G15079" s="22" t="s">
        <v>204</v>
      </c>
      <c r="H15079" s="22" t="s">
        <v>17354</v>
      </c>
      <c r="I15079" s="26">
        <v>43509</v>
      </c>
      <c r="J15079" s="23" t="str">
        <f>HYPERLINK("https://www.spark-marketing.ru/Card/Person/10487", "ФГУП ""ОХРАНА"" РОСГВАРДИИ")</f>
        <v>ФГУП "ОХРАНА" РОСГВАРДИИ</v>
      </c>
      <c r="K15079" s="24" t="s">
        <v>779</v>
      </c>
      <c r="L15079" s="28" t="s">
        <v>52</v>
      </c>
      <c r="M15079" s="28" t="s">
        <v>52</v>
      </c>
      <c r="N15079" s="28" t="s">
        <v>52</v>
      </c>
    </row>
    <row r="15080" spans="1:14" ht="12.75" hidden="1" outlineLevel="1" x14ac:dyDescent="0.2">
      <c r="A15080" s="23" t="str">
        <f>HYPERLINK("https://www.spark-marketing.ru/Card/Person/86134", "СУ СК РОССИИ ПО РЕСПУБЛИКЕ ТАТАРСТАН")</f>
        <v>СУ СК РОССИИ ПО РЕСПУБЛИКЕ ТАТАРСТАН</v>
      </c>
      <c r="B15080" s="24" t="s">
        <v>12879</v>
      </c>
      <c r="C15080" s="25">
        <v>5175198.72</v>
      </c>
      <c r="D15080" s="22" t="s">
        <v>17353</v>
      </c>
      <c r="E15080" s="22" t="s">
        <v>68</v>
      </c>
      <c r="F15080" s="23" t="str">
        <f>HYPERLINK("https://www.spark-marketing.ru/Card/Lot/67925805", "Услуги по охране зданий, помещений и имущества следственного управления Следственного комитета Российской Федерации по Республике Татарстан")</f>
        <v>Услуги по охране зданий, помещений и имущества следственного управления Следственного комитета Российской Федерации по Республике Татарстан</v>
      </c>
      <c r="G15080" s="22" t="s">
        <v>204</v>
      </c>
      <c r="H15080" s="22" t="s">
        <v>17354</v>
      </c>
      <c r="I15080" s="26">
        <v>43509</v>
      </c>
      <c r="J15080" s="23" t="str">
        <f>HYPERLINK("https://www.spark-marketing.ru/Card/Person/10487", "ФГУП ""ОХРАНА"" РОСГВАРДИИ")</f>
        <v>ФГУП "ОХРАНА" РОСГВАРДИИ</v>
      </c>
      <c r="K15080" s="24" t="s">
        <v>779</v>
      </c>
      <c r="L15080" s="22" t="s">
        <v>10</v>
      </c>
      <c r="M15080" s="25">
        <v>5149322.7300000004</v>
      </c>
      <c r="N15080" s="27">
        <v>4.9999993043745384E-3</v>
      </c>
    </row>
    <row r="15081" spans="1:14" x14ac:dyDescent="0.15">
      <c r="A15081" s="23" t="str">
        <f>HYPERLINK("https://www.spark-marketing.ru/Card/Person/6450322", "ЗАКАЗЧИК РП БЕЛАРУСЬ")</f>
        <v>ЗАКАЗЧИК РП БЕЛАРУСЬ</v>
      </c>
      <c r="B15081" s="28" t="s">
        <v>52</v>
      </c>
      <c r="C15081" s="25">
        <v>517318.5</v>
      </c>
      <c r="D15081" s="22" t="s">
        <v>17331</v>
      </c>
      <c r="E15081" s="22" t="s">
        <v>53</v>
      </c>
      <c r="F15081" s="23" t="str">
        <f>HYPERLINK("https://www.spark-marketing.ru/Card/Lot/67933082", "услуга по техническому обслуживанию системы видионаблюдения")</f>
        <v>услуга по техническому обслуживанию системы видионаблюдения</v>
      </c>
      <c r="G15081" s="22" t="s">
        <v>52</v>
      </c>
      <c r="H15081" s="22" t="s">
        <v>52</v>
      </c>
      <c r="I15081" s="26">
        <v>43509</v>
      </c>
      <c r="J15081" s="28" t="s">
        <v>52</v>
      </c>
      <c r="K15081" s="28" t="s">
        <v>52</v>
      </c>
      <c r="L15081" s="28" t="s">
        <v>52</v>
      </c>
      <c r="M15081" s="28" t="s">
        <v>52</v>
      </c>
      <c r="N15081" s="28" t="s">
        <v>52</v>
      </c>
    </row>
    <row r="15082" spans="1:14" x14ac:dyDescent="0.15">
      <c r="A15082" s="23" t="str">
        <f>HYPERLINK("https://www.spark-marketing.ru/Card/Person/31118", "УПРАВЛЕНИЕ РОСРЕЕСТРА ПО КЕМЕРОВСКОЙ ОБЛАСТИ - КУЗБАССУ")</f>
        <v>УПРАВЛЕНИЕ РОСРЕЕСТРА ПО КЕМЕРОВСКОЙ ОБЛАСТИ - КУЗБАССУ</v>
      </c>
      <c r="B15082" s="24" t="s">
        <v>17320</v>
      </c>
      <c r="C15082" s="25">
        <v>800518.82</v>
      </c>
      <c r="D15082" s="22" t="s">
        <v>17355</v>
      </c>
      <c r="E15082" s="22" t="s">
        <v>68</v>
      </c>
      <c r="F15082" s="23" t="str">
        <f>HYPERLINK("https://www.spark-marketing.ru/Card/Lot/67905610", "Государственная охрана зданий и помещений с использованием технических средств охранной сигнализации, выдающих по каналам связи информацию на пульт централизованной охраны")</f>
        <v>Государственная охрана зданий и помещений с использованием технических средств охранной сигнализации, выдающих по каналам связи информацию на пульт централизованной охраны</v>
      </c>
      <c r="G15082" s="22" t="s">
        <v>367</v>
      </c>
      <c r="H15082" s="22" t="s">
        <v>367</v>
      </c>
      <c r="I15082" s="26">
        <v>43509</v>
      </c>
      <c r="J15082" s="23" t="str">
        <f>HYPERLINK("https://www.spark-marketing.ru/Card/Person/10487", "ФГУП ""ОХРАНА"" РОСГВАРДИИ")</f>
        <v>ФГУП "ОХРАНА" РОСГВАРДИИ</v>
      </c>
      <c r="K15082" s="24" t="s">
        <v>779</v>
      </c>
      <c r="L15082" s="22" t="s">
        <v>10</v>
      </c>
      <c r="M15082" s="28" t="s">
        <v>52</v>
      </c>
      <c r="N15082" s="28" t="s">
        <v>52</v>
      </c>
    </row>
    <row r="15083" spans="1:14" x14ac:dyDescent="0.15">
      <c r="A15083" s="23" t="str">
        <f>HYPERLINK("https://www.spark-marketing.ru/Card/Person/1759788", "МАУ ""СШ ""ТУРБИНА""")</f>
        <v>МАУ "СШ "ТУРБИНА"</v>
      </c>
      <c r="B15083" s="24" t="s">
        <v>17356</v>
      </c>
      <c r="C15083" s="25">
        <v>17600</v>
      </c>
      <c r="D15083" s="22" t="s">
        <v>17357</v>
      </c>
      <c r="E15083" s="22" t="s">
        <v>370</v>
      </c>
      <c r="F15083" s="23" t="str">
        <f>HYPERLINK("https://www.spark-marketing.ru/Card/Lot/67901804", "Услуги по техническому обслуживанию средств охранной и тревожной сигнализации")</f>
        <v>Услуги по техническому обслуживанию средств охранной и тревожной сигнализации</v>
      </c>
      <c r="G15083" s="22" t="s">
        <v>80</v>
      </c>
      <c r="H15083" s="22" t="s">
        <v>80</v>
      </c>
      <c r="I15083" s="26">
        <v>43508.956145833297</v>
      </c>
      <c r="J15083" s="28" t="s">
        <v>52</v>
      </c>
      <c r="K15083" s="28" t="s">
        <v>52</v>
      </c>
      <c r="L15083" s="28" t="s">
        <v>52</v>
      </c>
      <c r="M15083" s="28" t="s">
        <v>52</v>
      </c>
      <c r="N15083" s="28" t="s">
        <v>52</v>
      </c>
    </row>
    <row r="15084" spans="1:14" x14ac:dyDescent="0.15">
      <c r="A15084" s="23" t="str">
        <f>HYPERLINK("https://www.spark-marketing.ru/Card/Person/1759788", "МАУ ""СШ ""ТУРБИНА""")</f>
        <v>МАУ "СШ "ТУРБИНА"</v>
      </c>
      <c r="B15084" s="24" t="s">
        <v>17356</v>
      </c>
      <c r="C15084" s="25">
        <v>16500</v>
      </c>
      <c r="D15084" s="22" t="s">
        <v>17358</v>
      </c>
      <c r="E15084" s="22" t="s">
        <v>137</v>
      </c>
      <c r="F15084" s="23" t="str">
        <f>HYPERLINK("https://www.spark-marketing.ru/Card/Lot/67901803", "Услуги по техническому обслуживанию видеоохранных средств")</f>
        <v>Услуги по техническому обслуживанию видеоохранных средств</v>
      </c>
      <c r="G15084" s="22" t="s">
        <v>80</v>
      </c>
      <c r="H15084" s="22" t="s">
        <v>80</v>
      </c>
      <c r="I15084" s="26">
        <v>43508.937731481499</v>
      </c>
      <c r="J15084" s="28" t="s">
        <v>52</v>
      </c>
      <c r="K15084" s="28" t="s">
        <v>52</v>
      </c>
      <c r="L15084" s="28" t="s">
        <v>52</v>
      </c>
      <c r="M15084" s="28" t="s">
        <v>52</v>
      </c>
      <c r="N15084" s="28" t="s">
        <v>52</v>
      </c>
    </row>
    <row r="15085" spans="1:14" x14ac:dyDescent="0.15">
      <c r="A15085" s="23" t="str">
        <f>HYPERLINK("https://www.spark-marketing.ru/Card/Person/242519", "МБОУ СОШ №11")</f>
        <v>МБОУ СОШ №11</v>
      </c>
      <c r="B15085" s="24" t="s">
        <v>17359</v>
      </c>
      <c r="C15085" s="25">
        <v>10800</v>
      </c>
      <c r="D15085" s="22" t="s">
        <v>17360</v>
      </c>
      <c r="E15085" s="22" t="s">
        <v>103</v>
      </c>
      <c r="F15085" s="23" t="str">
        <f>HYPERLINK("https://www.spark-marketing.ru/Card/Lot/67900737", "техническому обслуживанию систем видеонаблюдения установленных в помещении МБОУ СОШ №11")</f>
        <v>техническому обслуживанию систем видеонаблюдения установленных в помещении МБОУ СОШ №11</v>
      </c>
      <c r="G15085" s="22" t="s">
        <v>402</v>
      </c>
      <c r="H15085" s="22" t="s">
        <v>631</v>
      </c>
      <c r="I15085" s="26">
        <v>43508.879166666702</v>
      </c>
      <c r="J15085" s="28" t="s">
        <v>52</v>
      </c>
      <c r="K15085" s="28" t="s">
        <v>52</v>
      </c>
      <c r="L15085" s="28" t="s">
        <v>52</v>
      </c>
      <c r="M15085" s="28" t="s">
        <v>52</v>
      </c>
      <c r="N15085" s="28" t="s">
        <v>52</v>
      </c>
    </row>
    <row r="15086" spans="1:14" x14ac:dyDescent="0.15">
      <c r="A15086" s="23" t="str">
        <f>HYPERLINK("https://www.spark-marketing.ru/Card/Person/61855", "МБДОУ ЦРР - ДЕТСКИЙ САД №38 ""СОЛНЫШКО"" ГОЩ")</f>
        <v>МБДОУ ЦРР - ДЕТСКИЙ САД №38 "СОЛНЫШКО" ГОЩ</v>
      </c>
      <c r="B15086" s="24" t="s">
        <v>17361</v>
      </c>
      <c r="C15086" s="25">
        <v>48000</v>
      </c>
      <c r="D15086" s="22" t="s">
        <v>17362</v>
      </c>
      <c r="E15086" s="22" t="s">
        <v>103</v>
      </c>
      <c r="F15086" s="23" t="str">
        <f>HYPERLINK("https://www.spark-marketing.ru/Card/Lot/67889429", "Оказание услуг по техническому обслуживанию оборудования видеонаблюдения по выделенному каналу")</f>
        <v>Оказание услуг по техническому обслуживанию оборудования видеонаблюдения по выделенному каналу</v>
      </c>
      <c r="G15086" s="22" t="s">
        <v>50</v>
      </c>
      <c r="H15086" s="22" t="s">
        <v>458</v>
      </c>
      <c r="I15086" s="26">
        <v>43508.670034722199</v>
      </c>
      <c r="J15086" s="28" t="s">
        <v>52</v>
      </c>
      <c r="K15086" s="28" t="s">
        <v>52</v>
      </c>
      <c r="L15086" s="28" t="s">
        <v>52</v>
      </c>
      <c r="M15086" s="28" t="s">
        <v>52</v>
      </c>
      <c r="N15086" s="28" t="s">
        <v>52</v>
      </c>
    </row>
    <row r="15087" spans="1:14" x14ac:dyDescent="0.15">
      <c r="A15087" s="23" t="str">
        <f>HYPERLINK("https://www.spark-marketing.ru/Card/Person/42165", "ГБОУ РО ""КАМЕНСК-ШАХТИНСКАЯ ШКОЛА-ИНТЕРНАТ""")</f>
        <v>ГБОУ РО "КАМЕНСК-ШАХТИНСКАЯ ШКОЛА-ИНТЕРНАТ"</v>
      </c>
      <c r="B15087" s="24" t="s">
        <v>8856</v>
      </c>
      <c r="C15087" s="25">
        <v>80850</v>
      </c>
      <c r="D15087" s="22" t="s">
        <v>17363</v>
      </c>
      <c r="E15087" s="22" t="s">
        <v>107</v>
      </c>
      <c r="F15087" s="23" t="str">
        <f>HYPERLINK("https://www.spark-marketing.ru/Card/Lot/67890499", "ТО системы видеонаблюдения и системы контроля доступом")</f>
        <v>ТО системы видеонаблюдения и системы контроля доступом</v>
      </c>
      <c r="G15087" s="22" t="s">
        <v>402</v>
      </c>
      <c r="H15087" s="22" t="s">
        <v>6137</v>
      </c>
      <c r="I15087" s="26">
        <v>43508.688194444403</v>
      </c>
      <c r="J15087" s="28" t="s">
        <v>52</v>
      </c>
      <c r="K15087" s="28" t="s">
        <v>52</v>
      </c>
      <c r="L15087" s="28" t="s">
        <v>52</v>
      </c>
      <c r="M15087" s="28" t="s">
        <v>52</v>
      </c>
      <c r="N15087" s="28" t="s">
        <v>52</v>
      </c>
    </row>
    <row r="15088" spans="1:14" x14ac:dyDescent="0.15">
      <c r="A15088" s="23" t="str">
        <f>HYPERLINK("https://www.spark-marketing.ru/Card/Person/3873", "ГБУ ""ЖИЛИЩНИК РАЙОНА СТРОГИНО""")</f>
        <v>ГБУ "ЖИЛИЩНИК РАЙОНА СТРОГИНО"</v>
      </c>
      <c r="B15088" s="24" t="s">
        <v>9471</v>
      </c>
      <c r="C15088" s="25">
        <v>180000</v>
      </c>
      <c r="D15088" s="22" t="s">
        <v>17364</v>
      </c>
      <c r="E15088" s="22" t="s">
        <v>17365</v>
      </c>
      <c r="F15088" s="23" t="str">
        <f>HYPERLINK("https://www.spark-marketing.ru/Card/Lot/67891450", "Техническое обслуживание системы видеонаблюдения и системы контроля доступа")</f>
        <v>Техническое обслуживание системы видеонаблюдения и системы контроля доступа</v>
      </c>
      <c r="G15088" s="22" t="s">
        <v>55</v>
      </c>
      <c r="H15088" s="22" t="s">
        <v>55</v>
      </c>
      <c r="I15088" s="26">
        <v>43508.6818055556</v>
      </c>
      <c r="J15088" s="28" t="s">
        <v>52</v>
      </c>
      <c r="K15088" s="28" t="s">
        <v>52</v>
      </c>
      <c r="L15088" s="28" t="s">
        <v>52</v>
      </c>
      <c r="M15088" s="28" t="s">
        <v>52</v>
      </c>
      <c r="N15088" s="28" t="s">
        <v>52</v>
      </c>
    </row>
    <row r="15089" spans="1:14" x14ac:dyDescent="0.15">
      <c r="A15089" s="23" t="str">
        <f>HYPERLINK("https://www.spark-marketing.ru/Card/Person/131493", "МДОУ ДСКВ № 21 ""АИСТ""")</f>
        <v>МДОУ ДСКВ № 21 "АИСТ"</v>
      </c>
      <c r="B15089" s="24" t="s">
        <v>17366</v>
      </c>
      <c r="C15089" s="25">
        <v>29160</v>
      </c>
      <c r="D15089" s="22" t="s">
        <v>17367</v>
      </c>
      <c r="E15089" s="22" t="s">
        <v>234</v>
      </c>
      <c r="F15089" s="23" t="str">
        <f>HYPERLINK("https://www.spark-marketing.ru/Card/Lot/67893394", "Техническое обслуживание системы аналогового видеонаблюдения для нужд МДОУ ДСКВ №21 ""Аист"" на 2019 г.")</f>
        <v>Техническое обслуживание системы аналогового видеонаблюдения для нужд МДОУ ДСКВ №21 "Аист" на 2019 г.</v>
      </c>
      <c r="G15089" s="22" t="s">
        <v>50</v>
      </c>
      <c r="H15089" s="22" t="s">
        <v>50</v>
      </c>
      <c r="I15089" s="26">
        <v>43508.700868055603</v>
      </c>
      <c r="J15089" s="28" t="s">
        <v>52</v>
      </c>
      <c r="K15089" s="28" t="s">
        <v>52</v>
      </c>
      <c r="L15089" s="28" t="s">
        <v>52</v>
      </c>
      <c r="M15089" s="28" t="s">
        <v>52</v>
      </c>
      <c r="N15089" s="28" t="s">
        <v>52</v>
      </c>
    </row>
    <row r="15090" spans="1:14" x14ac:dyDescent="0.15">
      <c r="A15090" s="23" t="str">
        <f>HYPERLINK("https://www.spark-marketing.ru/Card/Person/206465", "АО ФИРМА ""АГРОКОМПЛЕКС"" ИМ. Н.И.ТКАЧЕВА")</f>
        <v>АО ФИРМА "АГРОКОМПЛЕКС" ИМ. Н.И.ТКАЧЕВА</v>
      </c>
      <c r="B15090" s="24" t="s">
        <v>5181</v>
      </c>
      <c r="C15090" s="28" t="s">
        <v>52</v>
      </c>
      <c r="D15090" s="22" t="s">
        <v>17368</v>
      </c>
      <c r="E15090" s="22" t="s">
        <v>53</v>
      </c>
      <c r="F15090" s="23" t="str">
        <f>HYPERLINK("https://www.spark-marketing.ru/Card/Lot/67889246", "Обслуживание видеонаблюдения и SET Prisma в помещениях магазинов ПУД")</f>
        <v>Обслуживание видеонаблюдения и SET Prisma в помещениях магазинов ПУД</v>
      </c>
      <c r="G15090" s="22" t="s">
        <v>132</v>
      </c>
      <c r="H15090" s="22" t="s">
        <v>5183</v>
      </c>
      <c r="I15090" s="26">
        <v>43508.6652777778</v>
      </c>
      <c r="J15090" s="28" t="s">
        <v>52</v>
      </c>
      <c r="K15090" s="28" t="s">
        <v>52</v>
      </c>
      <c r="L15090" s="28" t="s">
        <v>52</v>
      </c>
      <c r="M15090" s="28" t="s">
        <v>52</v>
      </c>
      <c r="N15090" s="28" t="s">
        <v>52</v>
      </c>
    </row>
    <row r="15091" spans="1:14" x14ac:dyDescent="0.15">
      <c r="A15091" s="23" t="str">
        <f>HYPERLINK("https://www.spark-marketing.ru/Card/Person/1516695", "ПАО ""ММК""")</f>
        <v>ПАО "ММК"</v>
      </c>
      <c r="B15091" s="24" t="s">
        <v>12648</v>
      </c>
      <c r="C15091" s="28" t="s">
        <v>52</v>
      </c>
      <c r="D15091" s="22" t="s">
        <v>17369</v>
      </c>
      <c r="E15091" s="22" t="s">
        <v>53</v>
      </c>
      <c r="F15091" s="23" t="str">
        <f>HYPERLINK("https://www.spark-marketing.ru/Card/Lot/67897708", "Закуп оборудования СЦБ")</f>
        <v>Закуп оборудования СЦБ</v>
      </c>
      <c r="G15091" s="22" t="s">
        <v>60</v>
      </c>
      <c r="H15091" s="22" t="s">
        <v>221</v>
      </c>
      <c r="I15091" s="26">
        <v>43508.631944444402</v>
      </c>
      <c r="J15091" s="28" t="s">
        <v>52</v>
      </c>
      <c r="K15091" s="28" t="s">
        <v>52</v>
      </c>
      <c r="L15091" s="28" t="s">
        <v>52</v>
      </c>
      <c r="M15091" s="28" t="s">
        <v>52</v>
      </c>
      <c r="N15091" s="28" t="s">
        <v>52</v>
      </c>
    </row>
    <row r="15092" spans="1:14" x14ac:dyDescent="0.15">
      <c r="A15092" s="23" t="str">
        <f>HYPERLINK("https://www.spark-marketing.ru/Card/Person/1007224", "ГБУЗ МО ЩВФД")</f>
        <v>ГБУЗ МО ЩВФД</v>
      </c>
      <c r="B15092" s="24" t="s">
        <v>16309</v>
      </c>
      <c r="C15092" s="25">
        <v>98499.96</v>
      </c>
      <c r="D15092" s="22" t="s">
        <v>17370</v>
      </c>
      <c r="E15092" s="22" t="s">
        <v>84</v>
      </c>
      <c r="F15092" s="23" t="str">
        <f>HYPERLINK("https://www.spark-marketing.ru/Card/Lot/67887273", "Оказание услуг по техническому обслуживанию камер видеонаблюдения")</f>
        <v>Оказание услуг по техническому обслуживанию камер видеонаблюдения</v>
      </c>
      <c r="G15092" s="22" t="s">
        <v>50</v>
      </c>
      <c r="H15092" s="22" t="s">
        <v>458</v>
      </c>
      <c r="I15092" s="26">
        <v>43508.627858796302</v>
      </c>
      <c r="J15092" s="28" t="s">
        <v>52</v>
      </c>
      <c r="K15092" s="28" t="s">
        <v>52</v>
      </c>
      <c r="L15092" s="28" t="s">
        <v>52</v>
      </c>
      <c r="M15092" s="28" t="s">
        <v>52</v>
      </c>
      <c r="N15092" s="28" t="s">
        <v>52</v>
      </c>
    </row>
    <row r="15093" spans="1:14" x14ac:dyDescent="0.15">
      <c r="A15093" s="23" t="str">
        <f>HYPERLINK("https://www.spark-marketing.ru/Card/Person/4365641", "ООО ""РН-ВАНКОР""")</f>
        <v>ООО "РН-ВАНКОР"</v>
      </c>
      <c r="B15093" s="24" t="s">
        <v>13259</v>
      </c>
      <c r="C15093" s="25">
        <v>53297311</v>
      </c>
      <c r="D15093" s="22" t="s">
        <v>17371</v>
      </c>
      <c r="E15093" s="22" t="s">
        <v>49</v>
      </c>
      <c r="F15093" s="23" t="str">
        <f>HYPERLINK("https://www.spark-marketing.ru/Card/Lot/67879913", "РНВ-19-СМР-002. СМР и ПНР систем автоматизации, охранной сигнализации и видеонаблюдения на объектах: ""Комплекс установок подготовки газа и конденсата"" (зона H), ""Головная нефтеперачивающая станция"" центрального пункта сбора нефти Ванкорского мест...")</f>
        <v>РНВ-19-СМР-002. СМР и ПНР систем автоматизации, охранной сигнализации и видеонаблюдения на объектах: "Комплекс установок подготовки газа и конденсата" (зона H), "Головная нефтеперачивающая станция" центрального пункта сбора нефти Ванкорского мест...</v>
      </c>
      <c r="G15093" s="22" t="s">
        <v>640</v>
      </c>
      <c r="H15093" s="22" t="s">
        <v>1524</v>
      </c>
      <c r="I15093" s="26">
        <v>43508.6011111111</v>
      </c>
      <c r="J15093" s="28" t="s">
        <v>52</v>
      </c>
      <c r="K15093" s="28" t="s">
        <v>52</v>
      </c>
      <c r="L15093" s="28" t="s">
        <v>52</v>
      </c>
      <c r="M15093" s="28" t="s">
        <v>52</v>
      </c>
      <c r="N15093" s="28" t="s">
        <v>52</v>
      </c>
    </row>
    <row r="15094" spans="1:14" x14ac:dyDescent="0.15">
      <c r="A15094" s="23" t="str">
        <f>HYPERLINK("https://www.spark-marketing.ru/Card/Person/2229495", "ООО ""АЛМА ПРОДАКШН""")</f>
        <v>ООО "АЛМА ПРОДАКШН"</v>
      </c>
      <c r="B15094" s="24" t="s">
        <v>17372</v>
      </c>
      <c r="C15094" s="28" t="s">
        <v>52</v>
      </c>
      <c r="D15094" s="22" t="s">
        <v>17373</v>
      </c>
      <c r="E15094" s="22" t="s">
        <v>52</v>
      </c>
      <c r="F15094" s="23" t="str">
        <f>HYPERLINK("https://www.spark-marketing.ru/Card/Lot/67901650", "Контейнера для поста охраны")</f>
        <v>Контейнера для поста охраны</v>
      </c>
      <c r="G15094" s="22" t="s">
        <v>132</v>
      </c>
      <c r="H15094" s="22" t="s">
        <v>717</v>
      </c>
      <c r="I15094" s="26">
        <v>43508.623611111099</v>
      </c>
      <c r="J15094" s="28" t="s">
        <v>52</v>
      </c>
      <c r="K15094" s="28" t="s">
        <v>52</v>
      </c>
      <c r="L15094" s="28" t="s">
        <v>52</v>
      </c>
      <c r="M15094" s="28" t="s">
        <v>52</v>
      </c>
      <c r="N15094" s="28" t="s">
        <v>52</v>
      </c>
    </row>
    <row r="15095" spans="1:14" x14ac:dyDescent="0.15">
      <c r="A15095" s="23" t="str">
        <f>HYPERLINK("https://www.spark-marketing.ru/Card/Person/2581668", "МАУ ""СШ""СПАРТАК""")</f>
        <v>МАУ "СШ"СПАРТАК"</v>
      </c>
      <c r="B15095" s="24" t="s">
        <v>17374</v>
      </c>
      <c r="C15095" s="25">
        <v>24000</v>
      </c>
      <c r="D15095" s="22" t="s">
        <v>17375</v>
      </c>
      <c r="E15095" s="22" t="s">
        <v>17376</v>
      </c>
      <c r="F15095" s="23" t="str">
        <f>HYPERLINK("https://www.spark-marketing.ru/Card/Lot/67885536", "оказание технического обслуживание систем видеонаблюдения")</f>
        <v>оказание технического обслуживание систем видеонаблюдения</v>
      </c>
      <c r="G15095" s="22" t="s">
        <v>64</v>
      </c>
      <c r="H15095" s="22" t="s">
        <v>64</v>
      </c>
      <c r="I15095" s="26">
        <v>43508.588645833297</v>
      </c>
      <c r="J15095" s="28" t="s">
        <v>52</v>
      </c>
      <c r="K15095" s="28" t="s">
        <v>52</v>
      </c>
      <c r="L15095" s="28" t="s">
        <v>52</v>
      </c>
      <c r="M15095" s="28" t="s">
        <v>52</v>
      </c>
      <c r="N15095" s="28" t="s">
        <v>52</v>
      </c>
    </row>
    <row r="15096" spans="1:14" x14ac:dyDescent="0.15">
      <c r="A15096" s="23" t="str">
        <f>HYPERLINK("https://www.spark-marketing.ru/Card/Person/193037", "АО ""ГАЗПРОМ ГАЗОРАСПРЕДЕЛЕНИЕ КРАСНОДАР""")</f>
        <v>АО "ГАЗПРОМ ГАЗОРАСПРЕДЕЛЕНИЕ КРАСНОДАР"</v>
      </c>
      <c r="B15096" s="24" t="s">
        <v>11069</v>
      </c>
      <c r="C15096" s="25">
        <v>176345.60000000001</v>
      </c>
      <c r="D15096" s="22" t="s">
        <v>17377</v>
      </c>
      <c r="E15096" s="22" t="s">
        <v>691</v>
      </c>
      <c r="F15096" s="23" t="str">
        <f>HYPERLINK("https://www.spark-marketing.ru/Card/Lot/67885684", "Услуги по монтажу, установке системы тревожной сигнализации объектов")</f>
        <v>Услуги по монтажу, установке системы тревожной сигнализации объектов</v>
      </c>
      <c r="G15096" s="22" t="s">
        <v>132</v>
      </c>
      <c r="H15096" s="22" t="s">
        <v>132</v>
      </c>
      <c r="I15096" s="26">
        <v>43508.597129629597</v>
      </c>
      <c r="J15096" s="28" t="s">
        <v>52</v>
      </c>
      <c r="K15096" s="28" t="s">
        <v>52</v>
      </c>
      <c r="L15096" s="28" t="s">
        <v>52</v>
      </c>
      <c r="M15096" s="28" t="s">
        <v>52</v>
      </c>
      <c r="N15096" s="28" t="s">
        <v>52</v>
      </c>
    </row>
    <row r="15097" spans="1:14" x14ac:dyDescent="0.15">
      <c r="A15097" s="23" t="str">
        <f>HYPERLINK("https://www.spark-marketing.ru/Card/Person/4383106", "АО ""ВОСТСИБНЕФТЕГАЗ""")</f>
        <v>АО "ВОСТСИБНЕФТЕГАЗ"</v>
      </c>
      <c r="B15097" s="24" t="s">
        <v>3585</v>
      </c>
      <c r="C15097" s="28" t="s">
        <v>52</v>
      </c>
      <c r="D15097" s="22" t="s">
        <v>17378</v>
      </c>
      <c r="E15097" s="22" t="s">
        <v>17379</v>
      </c>
      <c r="F15097" s="23" t="str">
        <f>HYPERLINK("https://www.spark-marketing.ru/Card/Lot/67886837", "БСМТС, тахографы, видеорегистраторы, спутниковые противоугонные комплексы - поставка, монтаж, обслуживание")</f>
        <v>БСМТС, тахографы, видеорегистраторы, спутниковые противоугонные комплексы - поставка, монтаж, обслуживание</v>
      </c>
      <c r="G15097" s="22" t="s">
        <v>640</v>
      </c>
      <c r="H15097" s="22" t="s">
        <v>1524</v>
      </c>
      <c r="I15097" s="26">
        <v>43508.577083333301</v>
      </c>
      <c r="J15097" s="28" t="s">
        <v>52</v>
      </c>
      <c r="K15097" s="28" t="s">
        <v>52</v>
      </c>
      <c r="L15097" s="28" t="s">
        <v>52</v>
      </c>
      <c r="M15097" s="28" t="s">
        <v>52</v>
      </c>
      <c r="N15097" s="28" t="s">
        <v>52</v>
      </c>
    </row>
    <row r="15098" spans="1:14" x14ac:dyDescent="0.15">
      <c r="A15098" s="23" t="str">
        <f>HYPERLINK("https://www.spark-marketing.ru/Card/Person/36536", "МБДОУ №2")</f>
        <v>МБДОУ №2</v>
      </c>
      <c r="B15098" s="24" t="s">
        <v>17380</v>
      </c>
      <c r="C15098" s="25">
        <v>42012</v>
      </c>
      <c r="D15098" s="22" t="s">
        <v>17381</v>
      </c>
      <c r="E15098" s="22" t="s">
        <v>59</v>
      </c>
      <c r="F15098" s="23" t="str">
        <f>HYPERLINK("https://www.spark-marketing.ru/Card/Lot/67882943", "Оказание услуг по техническому обслуживанию системы видеонаблюдения в здании МБДОУ №2")</f>
        <v>Оказание услуг по техническому обслуживанию системы видеонаблюдения в здании МБДОУ №2</v>
      </c>
      <c r="G15098" s="22" t="s">
        <v>402</v>
      </c>
      <c r="H15098" s="22" t="s">
        <v>17382</v>
      </c>
      <c r="I15098" s="26">
        <v>43508.561805555597</v>
      </c>
      <c r="J15098" s="28" t="s">
        <v>52</v>
      </c>
      <c r="K15098" s="28" t="s">
        <v>52</v>
      </c>
      <c r="L15098" s="28" t="s">
        <v>52</v>
      </c>
      <c r="M15098" s="28" t="s">
        <v>52</v>
      </c>
      <c r="N15098" s="28" t="s">
        <v>52</v>
      </c>
    </row>
    <row r="15099" spans="1:14" x14ac:dyDescent="0.15">
      <c r="A15099" s="23" t="str">
        <f>HYPERLINK("https://www.spark-marketing.ru/Card/Person/4383106", "АО ""ВОСТСИБНЕФТЕГАЗ""")</f>
        <v>АО "ВОСТСИБНЕФТЕГАЗ"</v>
      </c>
      <c r="B15099" s="24" t="s">
        <v>3585</v>
      </c>
      <c r="C15099" s="28" t="s">
        <v>52</v>
      </c>
      <c r="D15099" s="22" t="s">
        <v>17378</v>
      </c>
      <c r="E15099" s="22" t="s">
        <v>17379</v>
      </c>
      <c r="F15099" s="23" t="str">
        <f>HYPERLINK("https://www.spark-marketing.ru/Card/Lot/67886839", "БСМТС, тахографы, видеорегистраторы, спутниковые противоугонные комплексы - поставка, монтаж, обслуживание")</f>
        <v>БСМТС, тахографы, видеорегистраторы, спутниковые противоугонные комплексы - поставка, монтаж, обслуживание</v>
      </c>
      <c r="G15099" s="22" t="s">
        <v>640</v>
      </c>
      <c r="H15099" s="22" t="s">
        <v>1524</v>
      </c>
      <c r="I15099" s="26">
        <v>43508.577083333301</v>
      </c>
      <c r="J15099" s="28" t="s">
        <v>52</v>
      </c>
      <c r="K15099" s="28" t="s">
        <v>52</v>
      </c>
      <c r="L15099" s="28" t="s">
        <v>52</v>
      </c>
      <c r="M15099" s="28" t="s">
        <v>52</v>
      </c>
      <c r="N15099" s="28" t="s">
        <v>52</v>
      </c>
    </row>
    <row r="15100" spans="1:14" x14ac:dyDescent="0.15">
      <c r="A15100" s="23" t="str">
        <f>HYPERLINK("https://www.spark-marketing.ru/Card/Person/4383106", "АО ""ВОСТСИБНЕФТЕГАЗ""")</f>
        <v>АО "ВОСТСИБНЕФТЕГАЗ"</v>
      </c>
      <c r="B15100" s="24" t="s">
        <v>3585</v>
      </c>
      <c r="C15100" s="28" t="s">
        <v>52</v>
      </c>
      <c r="D15100" s="22" t="s">
        <v>17378</v>
      </c>
      <c r="E15100" s="22" t="s">
        <v>17379</v>
      </c>
      <c r="F15100" s="23" t="str">
        <f>HYPERLINK("https://www.spark-marketing.ru/Card/Lot/67886838", "БСМТС, тахографы, видеорегистраторы, спутниковые противоугонные комплексы - поставка, монтаж, обслуживание")</f>
        <v>БСМТС, тахографы, видеорегистраторы, спутниковые противоугонные комплексы - поставка, монтаж, обслуживание</v>
      </c>
      <c r="G15100" s="22" t="s">
        <v>640</v>
      </c>
      <c r="H15100" s="22" t="s">
        <v>1524</v>
      </c>
      <c r="I15100" s="26">
        <v>43508.577083333301</v>
      </c>
      <c r="J15100" s="28" t="s">
        <v>52</v>
      </c>
      <c r="K15100" s="28" t="s">
        <v>52</v>
      </c>
      <c r="L15100" s="28" t="s">
        <v>52</v>
      </c>
      <c r="M15100" s="28" t="s">
        <v>52</v>
      </c>
      <c r="N15100" s="28" t="s">
        <v>52</v>
      </c>
    </row>
    <row r="15101" spans="1:14" x14ac:dyDescent="0.15">
      <c r="A15101" s="23" t="str">
        <f>HYPERLINK("https://www.spark-marketing.ru/Card/Person/4383106", "АО ""ВОСТСИБНЕФТЕГАЗ""")</f>
        <v>АО "ВОСТСИБНЕФТЕГАЗ"</v>
      </c>
      <c r="B15101" s="24" t="s">
        <v>3585</v>
      </c>
      <c r="C15101" s="28" t="s">
        <v>52</v>
      </c>
      <c r="D15101" s="22" t="s">
        <v>17378</v>
      </c>
      <c r="E15101" s="22" t="s">
        <v>533</v>
      </c>
      <c r="F15101" s="23" t="str">
        <f>HYPERLINK("https://www.spark-marketing.ru/Card/Lot/67886840", "БСМТС, тахографы, видеорегистраторы, спутниковые противоугонные комплексы - поставка, монтаж, обслуживание")</f>
        <v>БСМТС, тахографы, видеорегистраторы, спутниковые противоугонные комплексы - поставка, монтаж, обслуживание</v>
      </c>
      <c r="G15101" s="22" t="s">
        <v>640</v>
      </c>
      <c r="H15101" s="22" t="s">
        <v>1524</v>
      </c>
      <c r="I15101" s="26">
        <v>43508.577083333301</v>
      </c>
      <c r="J15101" s="28" t="s">
        <v>52</v>
      </c>
      <c r="K15101" s="28" t="s">
        <v>52</v>
      </c>
      <c r="L15101" s="28" t="s">
        <v>52</v>
      </c>
      <c r="M15101" s="28" t="s">
        <v>52</v>
      </c>
      <c r="N15101" s="28" t="s">
        <v>52</v>
      </c>
    </row>
    <row r="15102" spans="1:14" x14ac:dyDescent="0.15">
      <c r="A15102" s="23" t="str">
        <f>HYPERLINK("https://www.spark-marketing.ru/Card/Person/1066130", "МБДОУ № 29")</f>
        <v>МБДОУ № 29</v>
      </c>
      <c r="B15102" s="24" t="s">
        <v>14538</v>
      </c>
      <c r="C15102" s="25">
        <v>47000</v>
      </c>
      <c r="D15102" s="22" t="s">
        <v>17383</v>
      </c>
      <c r="E15102" s="22" t="s">
        <v>107</v>
      </c>
      <c r="F15102" s="23" t="str">
        <f>HYPERLINK("https://www.spark-marketing.ru/Card/Lot/67884549", "Услуги по техническому обслуживанию (содержанию) систем охранной сигнализации")</f>
        <v>Услуги по техническому обслуживанию (содержанию) систем охранной сигнализации</v>
      </c>
      <c r="G15102" s="22" t="s">
        <v>50</v>
      </c>
      <c r="H15102" s="22" t="s">
        <v>432</v>
      </c>
      <c r="I15102" s="26">
        <v>43508.576111111099</v>
      </c>
      <c r="J15102" s="28" t="s">
        <v>52</v>
      </c>
      <c r="K15102" s="28" t="s">
        <v>52</v>
      </c>
      <c r="L15102" s="28" t="s">
        <v>52</v>
      </c>
      <c r="M15102" s="28" t="s">
        <v>52</v>
      </c>
      <c r="N15102" s="28" t="s">
        <v>52</v>
      </c>
    </row>
    <row r="15103" spans="1:14" x14ac:dyDescent="0.15">
      <c r="A15103" s="23" t="str">
        <f>HYPERLINK("https://www.spark-marketing.ru/Card/Person/397045", "ООО ""КОЛЬСКАЯ АЭС-АВТО""")</f>
        <v>ООО "КОЛЬСКАЯ АЭС-АВТО"</v>
      </c>
      <c r="B15103" s="24" t="s">
        <v>12797</v>
      </c>
      <c r="C15103" s="28" t="s">
        <v>52</v>
      </c>
      <c r="D15103" s="22" t="s">
        <v>17384</v>
      </c>
      <c r="E15103" s="22" t="s">
        <v>53</v>
      </c>
      <c r="F15103" s="23" t="str">
        <f>HYPERLINK("https://www.spark-marketing.ru/Card/Lot/67887923", "Оказание услуг по оснащению транспортных средств ООО «Кольская АЭС-Авто» техническими средствами обеспечения транспортной безопасности (1184943)")</f>
        <v>Оказание услуг по оснащению транспортных средств ООО «Кольская АЭС-Авто» техническими средствами обеспечения транспортной безопасности (1184943)</v>
      </c>
      <c r="G15103" s="22" t="s">
        <v>190</v>
      </c>
      <c r="H15103" s="22" t="s">
        <v>12799</v>
      </c>
      <c r="I15103" s="26">
        <v>43508.5382060185</v>
      </c>
      <c r="J15103" s="28" t="s">
        <v>52</v>
      </c>
      <c r="K15103" s="28" t="s">
        <v>52</v>
      </c>
      <c r="L15103" s="28" t="s">
        <v>52</v>
      </c>
      <c r="M15103" s="28" t="s">
        <v>52</v>
      </c>
      <c r="N15103" s="28" t="s">
        <v>52</v>
      </c>
    </row>
    <row r="15104" spans="1:14" x14ac:dyDescent="0.15">
      <c r="A15104" s="23" t="str">
        <f>HYPERLINK("https://www.spark-marketing.ru/Card/Person/119493", "ГБУЗ МО ""СП ПТД""")</f>
        <v>ГБУЗ МО "СП ПТД"</v>
      </c>
      <c r="B15104" s="24" t="s">
        <v>14200</v>
      </c>
      <c r="C15104" s="25">
        <v>15992.88</v>
      </c>
      <c r="D15104" s="22" t="s">
        <v>17385</v>
      </c>
      <c r="E15104" s="22" t="s">
        <v>107</v>
      </c>
      <c r="F15104" s="23" t="str">
        <f>HYPERLINK("https://www.spark-marketing.ru/Card/Lot/67881880", "На техническое обслуживание комплекса технических средств охраны на объектах для нужд ГБУЗ МО ""СП ПТД""")</f>
        <v>На техническое обслуживание комплекса технических средств охраны на объектах для нужд ГБУЗ МО "СП ПТД"</v>
      </c>
      <c r="G15104" s="22" t="s">
        <v>50</v>
      </c>
      <c r="H15104" s="22" t="s">
        <v>326</v>
      </c>
      <c r="I15104" s="26">
        <v>43508.5132407407</v>
      </c>
      <c r="J15104" s="28" t="s">
        <v>52</v>
      </c>
      <c r="K15104" s="28" t="s">
        <v>52</v>
      </c>
      <c r="L15104" s="28" t="s">
        <v>52</v>
      </c>
      <c r="M15104" s="28" t="s">
        <v>52</v>
      </c>
      <c r="N15104" s="28" t="s">
        <v>52</v>
      </c>
    </row>
    <row r="15105" spans="1:14" x14ac:dyDescent="0.15">
      <c r="A15105" s="23" t="str">
        <f>HYPERLINK("https://www.spark-marketing.ru/Card/Person/397045", "ООО ""КОЛЬСКАЯ АЭС-АВТО""")</f>
        <v>ООО "КОЛЬСКАЯ АЭС-АВТО"</v>
      </c>
      <c r="B15105" s="24" t="s">
        <v>12797</v>
      </c>
      <c r="C15105" s="28" t="s">
        <v>52</v>
      </c>
      <c r="D15105" s="22" t="s">
        <v>17386</v>
      </c>
      <c r="E15105" s="22" t="s">
        <v>84</v>
      </c>
      <c r="F15105" s="23" t="str">
        <f>HYPERLINK("https://www.spark-marketing.ru/Card/Lot/67880406", "Оказание услуг по оснащению транспортных средств ООО «Кольская АЭС-Авто» техническими средствами обеспечения транспортной безопасности")</f>
        <v>Оказание услуг по оснащению транспортных средств ООО «Кольская АЭС-Авто» техническими средствами обеспечения транспортной безопасности</v>
      </c>
      <c r="G15105" s="22" t="s">
        <v>190</v>
      </c>
      <c r="H15105" s="22" t="s">
        <v>12799</v>
      </c>
      <c r="I15105" s="26">
        <v>43508.459641203699</v>
      </c>
      <c r="J15105" s="28" t="s">
        <v>52</v>
      </c>
      <c r="K15105" s="28" t="s">
        <v>52</v>
      </c>
      <c r="L15105" s="28" t="s">
        <v>52</v>
      </c>
      <c r="M15105" s="28" t="s">
        <v>52</v>
      </c>
      <c r="N15105" s="28" t="s">
        <v>52</v>
      </c>
    </row>
    <row r="15106" spans="1:14" x14ac:dyDescent="0.2">
      <c r="A15106" s="23" t="str">
        <f>HYPERLINK("https://www.spark-marketing.ru/Card/Person/16099", "СОГУ")</f>
        <v>СОГУ</v>
      </c>
      <c r="B15106" s="24" t="s">
        <v>7452</v>
      </c>
      <c r="C15106" s="25">
        <v>258128</v>
      </c>
      <c r="D15106" s="22" t="s">
        <v>17387</v>
      </c>
      <c r="E15106" s="22" t="s">
        <v>144</v>
      </c>
      <c r="F15106" s="23" t="str">
        <f>HYPERLINK("https://www.spark-marketing.ru/Card/Lot/67879996", "Оказание охранных услуг на объектах Заказчика, оборудованных комплексом технических средств охраны")</f>
        <v>Оказание охранных услуг на объектах Заказчика, оборудованных комплексом технических средств охраны</v>
      </c>
      <c r="G15106" s="22" t="s">
        <v>833</v>
      </c>
      <c r="H15106" s="22" t="s">
        <v>833</v>
      </c>
      <c r="I15106" s="26">
        <v>43508.487256944398</v>
      </c>
      <c r="J15106" s="23" t="str">
        <f>HYPERLINK("https://www.spark-marketing.ru/Card/Person/4539420", "ФЛ ОВО ПО Г. ВЛАДИКАВКАЗУ ФГКУ ""УВО ВНГ РОССИИ ПО РЕСПУБЛИКЕ СЕВЕРНАЯ ОСЕТИЯ-АЛАНИЯ""")</f>
        <v>ФЛ ОВО ПО Г. ВЛАДИКАВКАЗУ ФГКУ "УВО ВНГ РОССИИ ПО РЕСПУБЛИКЕ СЕВЕРНАЯ ОСЕТИЯ-АЛАНИЯ"</v>
      </c>
      <c r="K15106" s="24" t="s">
        <v>14365</v>
      </c>
      <c r="L15106" s="28" t="s">
        <v>52</v>
      </c>
      <c r="M15106" s="25">
        <v>258128</v>
      </c>
      <c r="N15106" s="27">
        <v>0</v>
      </c>
    </row>
    <row r="15107" spans="1:14" x14ac:dyDescent="0.15">
      <c r="A15107" s="23" t="str">
        <f>HYPERLINK("https://www.spark-marketing.ru/Card/Person/282232", "ПАО ""МАВ""")</f>
        <v>ПАО "МАВ"</v>
      </c>
      <c r="B15107" s="24" t="s">
        <v>12466</v>
      </c>
      <c r="C15107" s="25">
        <v>245544.23</v>
      </c>
      <c r="D15107" s="22" t="s">
        <v>17388</v>
      </c>
      <c r="E15107" s="22" t="s">
        <v>533</v>
      </c>
      <c r="F15107" s="23" t="str">
        <f>HYPERLINK("https://www.spark-marketing.ru/Card/Lot/67874945", "Оборудование для обслуживания технических средств сигнализации")</f>
        <v>Оборудование для обслуживания технических средств сигнализации</v>
      </c>
      <c r="G15107" s="22" t="s">
        <v>343</v>
      </c>
      <c r="H15107" s="22" t="s">
        <v>344</v>
      </c>
      <c r="I15107" s="26">
        <v>43508.471990740698</v>
      </c>
      <c r="J15107" s="28" t="s">
        <v>52</v>
      </c>
      <c r="K15107" s="28" t="s">
        <v>52</v>
      </c>
      <c r="L15107" s="28" t="s">
        <v>52</v>
      </c>
      <c r="M15107" s="28" t="s">
        <v>52</v>
      </c>
      <c r="N15107" s="28" t="s">
        <v>52</v>
      </c>
    </row>
    <row r="15108" spans="1:14" x14ac:dyDescent="0.15">
      <c r="A15108" s="23" t="str">
        <f>HYPERLINK("https://www.spark-marketing.ru/Card/Person/397045", "ООО ""КОЛЬСКАЯ АЭС-АВТО""")</f>
        <v>ООО "КОЛЬСКАЯ АЭС-АВТО"</v>
      </c>
      <c r="B15108" s="24" t="s">
        <v>12797</v>
      </c>
      <c r="C15108" s="25">
        <v>0</v>
      </c>
      <c r="D15108" s="22" t="s">
        <v>17389</v>
      </c>
      <c r="E15108" s="22" t="s">
        <v>53</v>
      </c>
      <c r="F15108" s="23" t="str">
        <f>HYPERLINK("https://www.spark-marketing.ru/Card/Lot/67882461", "мониторинг цен в электронной форме на Оказание услуг по оснащению транспортных средств ООО «Кольская АЭС-Авто» техническими средствами обеспечения транспортной безопасности")</f>
        <v>мониторинг цен в электронной форме на Оказание услуг по оснащению транспортных средств ООО «Кольская АЭС-Авто» техническими средствами обеспечения транспортной безопасности</v>
      </c>
      <c r="G15108" s="22" t="s">
        <v>190</v>
      </c>
      <c r="H15108" s="22" t="s">
        <v>12799</v>
      </c>
      <c r="I15108" s="26">
        <v>43508.460555555597</v>
      </c>
      <c r="J15108" s="28" t="s">
        <v>52</v>
      </c>
      <c r="K15108" s="28" t="s">
        <v>52</v>
      </c>
      <c r="L15108" s="28" t="s">
        <v>52</v>
      </c>
      <c r="M15108" s="28" t="s">
        <v>52</v>
      </c>
      <c r="N15108" s="28" t="s">
        <v>52</v>
      </c>
    </row>
    <row r="15109" spans="1:14" x14ac:dyDescent="0.15">
      <c r="A15109" s="23" t="str">
        <f>HYPERLINK("https://www.spark-marketing.ru/Card/Person/1067755", "МБОУ ТУРИЛОВСКАЯ СОШ")</f>
        <v>МБОУ ТУРИЛОВСКАЯ СОШ</v>
      </c>
      <c r="B15109" s="24" t="s">
        <v>17390</v>
      </c>
      <c r="C15109" s="25">
        <v>33000</v>
      </c>
      <c r="D15109" s="22" t="s">
        <v>17391</v>
      </c>
      <c r="E15109" s="22" t="s">
        <v>194</v>
      </c>
      <c r="F15109" s="23" t="str">
        <f>HYPERLINK("https://www.spark-marketing.ru/Card/Lot/67874524", "Оказание услуг по организации круглосуточного видеонаблюдения и технического обслуживания")</f>
        <v>Оказание услуг по организации круглосуточного видеонаблюдения и технического обслуживания</v>
      </c>
      <c r="G15109" s="22" t="s">
        <v>402</v>
      </c>
      <c r="H15109" s="22" t="s">
        <v>17392</v>
      </c>
      <c r="I15109" s="26">
        <v>43508.421527777798</v>
      </c>
      <c r="J15109" s="28" t="s">
        <v>52</v>
      </c>
      <c r="K15109" s="28" t="s">
        <v>52</v>
      </c>
      <c r="L15109" s="28" t="s">
        <v>52</v>
      </c>
      <c r="M15109" s="28" t="s">
        <v>52</v>
      </c>
      <c r="N15109" s="28" t="s">
        <v>52</v>
      </c>
    </row>
    <row r="15110" spans="1:14" x14ac:dyDescent="0.15">
      <c r="A15110" s="23" t="str">
        <f>HYPERLINK("https://www.spark-marketing.ru/Card/Person/4365641", "ООО ""РН-ВАНКОР""")</f>
        <v>ООО "РН-ВАНКОР"</v>
      </c>
      <c r="B15110" s="24" t="s">
        <v>13259</v>
      </c>
      <c r="C15110" s="25">
        <v>53297311</v>
      </c>
      <c r="D15110" s="22" t="s">
        <v>17371</v>
      </c>
      <c r="E15110" s="22" t="s">
        <v>49</v>
      </c>
      <c r="F15110" s="23" t="str">
        <f>HYPERLINK("https://www.spark-marketing.ru/Card/Lot/74027218", "РНВ-19-СМР-002. СМР и ПНР систем автоматизации, охранной сигнализации и видеонаблюдения на объектах: ""Комплекс установок подготовки газа и конденсата"" (зона H), ""Головная нефтеперачивающая станция"" центрального пункта сбора нефти Ванкорского мест...")</f>
        <v>РНВ-19-СМР-002. СМР и ПНР систем автоматизации, охранной сигнализации и видеонаблюдения на объектах: "Комплекс установок подготовки газа и конденсата" (зона H), "Головная нефтеперачивающая станция" центрального пункта сбора нефти Ванкорского мест...</v>
      </c>
      <c r="G15110" s="22" t="s">
        <v>640</v>
      </c>
      <c r="H15110" s="22" t="s">
        <v>1524</v>
      </c>
      <c r="I15110" s="26">
        <v>43508.444444444402</v>
      </c>
      <c r="J15110" s="28" t="s">
        <v>52</v>
      </c>
      <c r="K15110" s="28" t="s">
        <v>52</v>
      </c>
      <c r="L15110" s="28" t="s">
        <v>52</v>
      </c>
      <c r="M15110" s="28" t="s">
        <v>52</v>
      </c>
      <c r="N15110" s="28" t="s">
        <v>52</v>
      </c>
    </row>
    <row r="15111" spans="1:14" x14ac:dyDescent="0.15">
      <c r="A15111" s="23" t="str">
        <f>HYPERLINK("https://www.spark-marketing.ru/Card/Person/108751", "БДОУ Г. ОМСКА ""ДЕТСКИЙ САД № 183""")</f>
        <v>БДОУ Г. ОМСКА "ДЕТСКИЙ САД № 183"</v>
      </c>
      <c r="B15111" s="24" t="s">
        <v>17393</v>
      </c>
      <c r="C15111" s="25">
        <v>17600</v>
      </c>
      <c r="D15111" s="22" t="s">
        <v>17394</v>
      </c>
      <c r="E15111" s="22" t="s">
        <v>68</v>
      </c>
      <c r="F15111" s="23" t="str">
        <f>HYPERLINK("https://www.spark-marketing.ru/Card/Lot/67874485", "Охрана объекта")</f>
        <v>Охрана объекта</v>
      </c>
      <c r="G15111" s="22" t="s">
        <v>521</v>
      </c>
      <c r="H15111" s="22" t="s">
        <v>522</v>
      </c>
      <c r="I15111" s="26">
        <v>43508.414583333302</v>
      </c>
      <c r="J15111" s="28" t="s">
        <v>52</v>
      </c>
      <c r="K15111" s="28" t="s">
        <v>52</v>
      </c>
      <c r="L15111" s="28" t="s">
        <v>52</v>
      </c>
      <c r="M15111" s="28" t="s">
        <v>52</v>
      </c>
      <c r="N15111" s="28" t="s">
        <v>52</v>
      </c>
    </row>
    <row r="15112" spans="1:14" x14ac:dyDescent="0.15">
      <c r="A15112" s="23" t="str">
        <f>HYPERLINK("https://www.spark-marketing.ru/Card/Person/4376251", "МУ ""СШОР № 8"" Г. МАГНИТОГОРСКА")</f>
        <v>МУ "СШОР № 8" Г. МАГНИТОГОРСКА</v>
      </c>
      <c r="B15112" s="24" t="s">
        <v>17395</v>
      </c>
      <c r="C15112" s="28" t="s">
        <v>52</v>
      </c>
      <c r="D15112" s="22" t="s">
        <v>17396</v>
      </c>
      <c r="E15112" s="22" t="s">
        <v>746</v>
      </c>
      <c r="F15112" s="23" t="str">
        <f>HYPERLINK("https://www.spark-marketing.ru/Card/Lot/67871568", "Оказание услуг по дератизации и дезинфекции")</f>
        <v>Оказание услуг по дератизации и дезинфекции</v>
      </c>
      <c r="G15112" s="22" t="s">
        <v>60</v>
      </c>
      <c r="H15112" s="22" t="s">
        <v>221</v>
      </c>
      <c r="I15112" s="26">
        <v>43508.381249999999</v>
      </c>
      <c r="J15112" s="28" t="s">
        <v>52</v>
      </c>
      <c r="K15112" s="28" t="s">
        <v>52</v>
      </c>
      <c r="L15112" s="28" t="s">
        <v>52</v>
      </c>
      <c r="M15112" s="28" t="s">
        <v>52</v>
      </c>
      <c r="N15112" s="28" t="s">
        <v>52</v>
      </c>
    </row>
    <row r="15113" spans="1:14" x14ac:dyDescent="0.15">
      <c r="A15113" s="23" t="str">
        <f>HYPERLINK("https://www.spark-marketing.ru/Card/Person/1529680", "ОГАУК ""ТОХМ""")</f>
        <v>ОГАУК "ТОХМ"</v>
      </c>
      <c r="B15113" s="24" t="s">
        <v>17397</v>
      </c>
      <c r="C15113" s="25">
        <v>50000</v>
      </c>
      <c r="D15113" s="22" t="s">
        <v>17398</v>
      </c>
      <c r="E15113" s="22" t="s">
        <v>107</v>
      </c>
      <c r="F15113" s="23" t="str">
        <f>HYPERLINK("https://www.spark-marketing.ru/Card/Lot/67874310", "Закупка у Единственного поставщика в электронной форме на оказание услуг по техническому обслуживанию технических средств и системы охранного видеонаблюдения.")</f>
        <v>Закупка у Единственного поставщика в электронной форме на оказание услуг по техническому обслуживанию технических средств и системы охранного видеонаблюдения.</v>
      </c>
      <c r="G15113" s="22" t="s">
        <v>150</v>
      </c>
      <c r="H15113" s="22" t="s">
        <v>1656</v>
      </c>
      <c r="I15113" s="26">
        <v>43508.3930555556</v>
      </c>
      <c r="J15113" s="28" t="s">
        <v>52</v>
      </c>
      <c r="K15113" s="28" t="s">
        <v>52</v>
      </c>
      <c r="L15113" s="28" t="s">
        <v>52</v>
      </c>
      <c r="M15113" s="28" t="s">
        <v>52</v>
      </c>
      <c r="N15113" s="28" t="s">
        <v>52</v>
      </c>
    </row>
    <row r="15114" spans="1:14" x14ac:dyDescent="0.15">
      <c r="A15114" s="23" t="str">
        <f>HYPERLINK("https://www.spark-marketing.ru/Card/Person/1007804", "МОУ ССОШ")</f>
        <v>МОУ ССОШ</v>
      </c>
      <c r="B15114" s="24" t="s">
        <v>17399</v>
      </c>
      <c r="C15114" s="25">
        <v>30636</v>
      </c>
      <c r="D15114" s="22" t="s">
        <v>17400</v>
      </c>
      <c r="E15114" s="22" t="s">
        <v>107</v>
      </c>
      <c r="F15114" s="23" t="str">
        <f>HYPERLINK("https://www.spark-marketing.ru/Card/Lot/67871176", "Техническое обслуживание системы видеонаблюдения и видеорегистрации")</f>
        <v>Техническое обслуживание системы видеонаблюдения и видеорегистрации</v>
      </c>
      <c r="G15114" s="22" t="s">
        <v>50</v>
      </c>
      <c r="H15114" s="22" t="s">
        <v>50</v>
      </c>
      <c r="I15114" s="26">
        <v>43508.367430555598</v>
      </c>
      <c r="J15114" s="28" t="s">
        <v>52</v>
      </c>
      <c r="K15114" s="28" t="s">
        <v>52</v>
      </c>
      <c r="L15114" s="28" t="s">
        <v>52</v>
      </c>
      <c r="M15114" s="28" t="s">
        <v>52</v>
      </c>
      <c r="N15114" s="28" t="s">
        <v>52</v>
      </c>
    </row>
    <row r="15115" spans="1:14" x14ac:dyDescent="0.15">
      <c r="A15115" s="23" t="str">
        <f>HYPERLINK("https://www.spark-marketing.ru/Card/Person/1274809", "ГАПОУ ЛО ""ЛУЖСКИЙ АГРОПРОМЫШЛЕННЫЙ ТЕХНИКУМ""")</f>
        <v>ГАПОУ ЛО "ЛУЖСКИЙ АГРОПРОМЫШЛЕННЫЙ ТЕХНИКУМ"</v>
      </c>
      <c r="B15115" s="24" t="s">
        <v>17401</v>
      </c>
      <c r="C15115" s="25">
        <v>810000</v>
      </c>
      <c r="D15115" s="22" t="s">
        <v>17402</v>
      </c>
      <c r="E15115" s="22" t="s">
        <v>144</v>
      </c>
      <c r="F15115" s="23" t="str">
        <f>HYPERLINK("https://www.spark-marketing.ru/Card/Lot/67870535", "Оказание услуг по организации сохранности материальных ценностей , круглосуточной охраны обучающихся и сотрудников")</f>
        <v>Оказание услуг по организации сохранности материальных ценностей , круглосуточной охраны обучающихся и сотрудников</v>
      </c>
      <c r="G15115" s="22" t="s">
        <v>861</v>
      </c>
      <c r="H15115" s="22" t="s">
        <v>861</v>
      </c>
      <c r="I15115" s="26">
        <v>43508.366608796299</v>
      </c>
      <c r="J15115" s="28" t="s">
        <v>52</v>
      </c>
      <c r="K15115" s="28" t="s">
        <v>52</v>
      </c>
      <c r="L15115" s="28" t="s">
        <v>52</v>
      </c>
      <c r="M15115" s="28" t="s">
        <v>52</v>
      </c>
      <c r="N15115" s="28" t="s">
        <v>52</v>
      </c>
    </row>
    <row r="15116" spans="1:14" hidden="1" outlineLevel="1" x14ac:dyDescent="0.2">
      <c r="A15116" s="23" t="str">
        <f>HYPERLINK("https://www.spark-marketing.ru/Card/Person/1274809", "ГАПОУ ЛО ""ЛУЖСКИЙ АГРОПРОМЫШЛЕННЫЙ ТЕХНИКУМ""")</f>
        <v>ГАПОУ ЛО "ЛУЖСКИЙ АГРОПРОМЫШЛЕННЫЙ ТЕХНИКУМ"</v>
      </c>
      <c r="B15116" s="24" t="s">
        <v>17401</v>
      </c>
      <c r="C15116" s="28" t="s">
        <v>52</v>
      </c>
      <c r="D15116" s="22" t="s">
        <v>17402</v>
      </c>
      <c r="E15116" s="22" t="s">
        <v>144</v>
      </c>
      <c r="F15116" s="23" t="str">
        <f>HYPERLINK("https://www.spark-marketing.ru/Card/Lot/67870535", "Оказание услуг по организации сохранности материальных ценностей , круглосуточной охраны обучающихся и сотрудников")</f>
        <v>Оказание услуг по организации сохранности материальных ценностей , круглосуточной охраны обучающихся и сотрудников</v>
      </c>
      <c r="G15116" s="22" t="s">
        <v>861</v>
      </c>
      <c r="H15116" s="22" t="s">
        <v>861</v>
      </c>
      <c r="I15116" s="26">
        <v>43508.366608796299</v>
      </c>
      <c r="J15116" s="23" t="str">
        <f>HYPERLINK("https://www.spark-marketing.ru/Card/Person/62723", "ООО ""ОП ""ЛОКОМОТИВ""")</f>
        <v>ООО "ОП "ЛОКОМОТИВ"</v>
      </c>
      <c r="K15116" s="24" t="s">
        <v>10605</v>
      </c>
      <c r="L15116" s="22" t="s">
        <v>10</v>
      </c>
      <c r="M15116" s="25">
        <v>810000</v>
      </c>
      <c r="N15116" s="27">
        <v>0</v>
      </c>
    </row>
    <row r="15117" spans="1:14" hidden="1" outlineLevel="1" x14ac:dyDescent="0.2">
      <c r="A15117" s="23" t="str">
        <f>HYPERLINK("https://www.spark-marketing.ru/Card/Person/1274809", "ГАПОУ ЛО ""ЛУЖСКИЙ АГРОПРОМЫШЛЕННЫЙ ТЕХНИКУМ""")</f>
        <v>ГАПОУ ЛО "ЛУЖСКИЙ АГРОПРОМЫШЛЕННЫЙ ТЕХНИКУМ"</v>
      </c>
      <c r="B15117" s="24" t="s">
        <v>17401</v>
      </c>
      <c r="C15117" s="28" t="s">
        <v>52</v>
      </c>
      <c r="D15117" s="22" t="s">
        <v>17402</v>
      </c>
      <c r="E15117" s="22" t="s">
        <v>144</v>
      </c>
      <c r="F15117" s="23" t="str">
        <f>HYPERLINK("https://www.spark-marketing.ru/Card/Lot/67870535", "Оказание услуг по организации сохранности материальных ценностей , круглосуточной охраны обучающихся и сотрудников")</f>
        <v>Оказание услуг по организации сохранности материальных ценностей , круглосуточной охраны обучающихся и сотрудников</v>
      </c>
      <c r="G15117" s="22" t="s">
        <v>861</v>
      </c>
      <c r="H15117" s="22" t="s">
        <v>861</v>
      </c>
      <c r="I15117" s="26">
        <v>43508.366608796299</v>
      </c>
      <c r="J15117" s="23" t="str">
        <f>HYPERLINK("https://www.spark-marketing.ru/Card/Person/687938", "ООО ""ОО ""ОКВО ЛУГА-1""")</f>
        <v>ООО "ОО "ОКВО ЛУГА-1"</v>
      </c>
      <c r="K15117" s="24" t="s">
        <v>17403</v>
      </c>
      <c r="L15117" s="28" t="s">
        <v>52</v>
      </c>
      <c r="M15117" s="25">
        <v>720000</v>
      </c>
      <c r="N15117" s="27">
        <v>0.1111111111111111</v>
      </c>
    </row>
    <row r="15118" spans="1:14" x14ac:dyDescent="0.15">
      <c r="A15118" s="23" t="str">
        <f>HYPERLINK("https://www.spark-marketing.ru/Card/Person/78624", "БУЗ ВО ОМЦ ""РЕЗЕРВ""")</f>
        <v>БУЗ ВО ОМЦ "РЕЗЕРВ"</v>
      </c>
      <c r="B15118" s="24" t="s">
        <v>17404</v>
      </c>
      <c r="C15118" s="25">
        <v>181004.4</v>
      </c>
      <c r="D15118" s="22" t="s">
        <v>17405</v>
      </c>
      <c r="E15118" s="22" t="s">
        <v>5799</v>
      </c>
      <c r="F15118" s="23" t="str">
        <f>HYPERLINK("https://www.spark-marketing.ru/Card/Lot/67892843", "Услуги по охране объектов")</f>
        <v>Услуги по охране объектов</v>
      </c>
      <c r="G15118" s="22" t="s">
        <v>902</v>
      </c>
      <c r="H15118" s="22" t="s">
        <v>903</v>
      </c>
      <c r="I15118" s="26">
        <v>43508</v>
      </c>
      <c r="J15118" s="28" t="s">
        <v>52</v>
      </c>
      <c r="K15118" s="28" t="s">
        <v>52</v>
      </c>
      <c r="L15118" s="28" t="s">
        <v>52</v>
      </c>
      <c r="M15118" s="28" t="s">
        <v>52</v>
      </c>
      <c r="N15118" s="28" t="s">
        <v>52</v>
      </c>
    </row>
    <row r="15119" spans="1:14" x14ac:dyDescent="0.15">
      <c r="A15119" s="23" t="str">
        <f>HYPERLINK("https://www.spark-marketing.ru/Card/Person/1067605", "АДМИНИСТРАЦИЯ Г. МЦЕНСКА")</f>
        <v>АДМИНИСТРАЦИЯ Г. МЦЕНСКА</v>
      </c>
      <c r="B15119" s="24" t="s">
        <v>17406</v>
      </c>
      <c r="C15119" s="25">
        <v>138000</v>
      </c>
      <c r="D15119" s="22" t="s">
        <v>17407</v>
      </c>
      <c r="E15119" s="22" t="s">
        <v>68</v>
      </c>
      <c r="F15119" s="23" t="str">
        <f>HYPERLINK("https://www.spark-marketing.ru/Card/Lot/67875210", "услуги охраны")</f>
        <v>услуги охраны</v>
      </c>
      <c r="G15119" s="22" t="s">
        <v>492</v>
      </c>
      <c r="H15119" s="22" t="s">
        <v>17408</v>
      </c>
      <c r="I15119" s="26">
        <v>43508</v>
      </c>
      <c r="J15119" s="23" t="str">
        <f>HYPERLINK("https://www.spark-marketing.ru/Card/Person/4421353", "ООО ЧОП ""САРМАТ""")</f>
        <v>ООО ЧОП "САРМАТ"</v>
      </c>
      <c r="K15119" s="24" t="s">
        <v>17409</v>
      </c>
      <c r="L15119" s="22" t="s">
        <v>10</v>
      </c>
      <c r="M15119" s="28" t="s">
        <v>52</v>
      </c>
      <c r="N15119" s="28" t="s">
        <v>52</v>
      </c>
    </row>
    <row r="15120" spans="1:14" x14ac:dyDescent="0.15">
      <c r="A15120" s="23" t="str">
        <f t="shared" ref="A15120:A15129" si="788">HYPERLINK("https://www.spark-marketing.ru/Card/Person/10753", "АДМИНИСТРАЦИЯ ОДИНЦОВСКОГО ГОРОДСКОГО ОКРУГА")</f>
        <v>АДМИНИСТРАЦИЯ ОДИНЦОВСКОГО ГОРОДСКОГО ОКРУГА</v>
      </c>
      <c r="B15120" s="24" t="s">
        <v>17410</v>
      </c>
      <c r="C15120" s="25">
        <v>236000</v>
      </c>
      <c r="D15120" s="22" t="s">
        <v>17411</v>
      </c>
      <c r="E15120" s="22" t="s">
        <v>103</v>
      </c>
      <c r="F15120" s="23" t="str">
        <f t="shared" ref="F15120:F15129" si="789">HYPERLINK("https://www.spark-marketing.ru/Card/Lot/67896113", "Закупка в 2019 году услуг по ежемесячному обслуживанию системы видеонаблюдения, охранной системы и системы контроля доступа для нужд Администрации Одинцовского муниципального района")</f>
        <v>Закупка в 2019 году услуг по ежемесячному обслуживанию системы видеонаблюдения, охранной системы и системы контроля доступа для нужд Администрации Одинцовского муниципального района</v>
      </c>
      <c r="G15120" s="22" t="s">
        <v>50</v>
      </c>
      <c r="H15120" s="22" t="s">
        <v>1045</v>
      </c>
      <c r="I15120" s="26">
        <v>43508</v>
      </c>
      <c r="J15120" s="28" t="s">
        <v>52</v>
      </c>
      <c r="K15120" s="28" t="s">
        <v>52</v>
      </c>
      <c r="L15120" s="28" t="s">
        <v>52</v>
      </c>
      <c r="M15120" s="28" t="s">
        <v>52</v>
      </c>
      <c r="N15120" s="28" t="s">
        <v>52</v>
      </c>
    </row>
    <row r="15121" spans="1:14" hidden="1" outlineLevel="1" x14ac:dyDescent="0.2">
      <c r="A15121" s="23" t="str">
        <f t="shared" si="788"/>
        <v>АДМИНИСТРАЦИЯ ОДИНЦОВСКОГО ГОРОДСКОГО ОКРУГА</v>
      </c>
      <c r="B15121" s="24" t="s">
        <v>17410</v>
      </c>
      <c r="C15121" s="25">
        <v>236000</v>
      </c>
      <c r="D15121" s="22" t="s">
        <v>17411</v>
      </c>
      <c r="E15121" s="22" t="s">
        <v>103</v>
      </c>
      <c r="F15121" s="23" t="str">
        <f t="shared" si="789"/>
        <v>Закупка в 2019 году услуг по ежемесячному обслуживанию системы видеонаблюдения, охранной системы и системы контроля доступа для нужд Администрации Одинцовского муниципального района</v>
      </c>
      <c r="G15121" s="22" t="s">
        <v>50</v>
      </c>
      <c r="H15121" s="22" t="s">
        <v>1045</v>
      </c>
      <c r="I15121" s="26">
        <v>43508</v>
      </c>
      <c r="J15121" s="23" t="str">
        <f>HYPERLINK("https://www.spark-marketing.ru/Card/Person/6445825", "Судариков Михаил Геннадьевич")</f>
        <v>Судариков Михаил Геннадьевич</v>
      </c>
      <c r="K15121" s="24" t="s">
        <v>1219</v>
      </c>
      <c r="L15121" s="28" t="s">
        <v>52</v>
      </c>
      <c r="M15121" s="25">
        <v>150000</v>
      </c>
      <c r="N15121" s="27">
        <v>0.36440677966101692</v>
      </c>
    </row>
    <row r="15122" spans="1:14" hidden="1" outlineLevel="1" x14ac:dyDescent="0.2">
      <c r="A15122" s="23" t="str">
        <f t="shared" si="788"/>
        <v>АДМИНИСТРАЦИЯ ОДИНЦОВСКОГО ГОРОДСКОГО ОКРУГА</v>
      </c>
      <c r="B15122" s="24" t="s">
        <v>17410</v>
      </c>
      <c r="C15122" s="25">
        <v>236000</v>
      </c>
      <c r="D15122" s="22" t="s">
        <v>17411</v>
      </c>
      <c r="E15122" s="22" t="s">
        <v>103</v>
      </c>
      <c r="F15122" s="23" t="str">
        <f t="shared" si="789"/>
        <v>Закупка в 2019 году услуг по ежемесячному обслуживанию системы видеонаблюдения, охранной системы и системы контроля доступа для нужд Администрации Одинцовского муниципального района</v>
      </c>
      <c r="G15122" s="22" t="s">
        <v>50</v>
      </c>
      <c r="H15122" s="22" t="s">
        <v>1045</v>
      </c>
      <c r="I15122" s="26">
        <v>43508</v>
      </c>
      <c r="J15122" s="23" t="str">
        <f>HYPERLINK("https://www.spark-marketing.ru/Card/Person/6316624", "ООО ""ПРОМЗАЩИТА""")</f>
        <v>ООО "ПРОМЗАЩИТА"</v>
      </c>
      <c r="K15122" s="24" t="s">
        <v>17412</v>
      </c>
      <c r="L15122" s="28" t="s">
        <v>52</v>
      </c>
      <c r="M15122" s="25">
        <v>211000</v>
      </c>
      <c r="N15122" s="27">
        <v>0.1059322033898305</v>
      </c>
    </row>
    <row r="15123" spans="1:14" hidden="1" outlineLevel="1" x14ac:dyDescent="0.2">
      <c r="A15123" s="23" t="str">
        <f t="shared" si="788"/>
        <v>АДМИНИСТРАЦИЯ ОДИНЦОВСКОГО ГОРОДСКОГО ОКРУГА</v>
      </c>
      <c r="B15123" s="24" t="s">
        <v>17410</v>
      </c>
      <c r="C15123" s="25">
        <v>236000</v>
      </c>
      <c r="D15123" s="22" t="s">
        <v>17411</v>
      </c>
      <c r="E15123" s="22" t="s">
        <v>103</v>
      </c>
      <c r="F15123" s="23" t="str">
        <f t="shared" si="789"/>
        <v>Закупка в 2019 году услуг по ежемесячному обслуживанию системы видеонаблюдения, охранной системы и системы контроля доступа для нужд Администрации Одинцовского муниципального района</v>
      </c>
      <c r="G15123" s="22" t="s">
        <v>50</v>
      </c>
      <c r="H15123" s="22" t="s">
        <v>1045</v>
      </c>
      <c r="I15123" s="26">
        <v>43508</v>
      </c>
      <c r="J15123" s="23" t="str">
        <f>HYPERLINK("https://www.spark-marketing.ru/Card/Person/6785", "ООО ""КБК""")</f>
        <v>ООО "КБК"</v>
      </c>
      <c r="K15123" s="24" t="s">
        <v>14336</v>
      </c>
      <c r="L15123" s="28" t="s">
        <v>52</v>
      </c>
      <c r="M15123" s="25">
        <v>179000</v>
      </c>
      <c r="N15123" s="27">
        <v>0.24152542372881355</v>
      </c>
    </row>
    <row r="15124" spans="1:14" hidden="1" outlineLevel="1" x14ac:dyDescent="0.2">
      <c r="A15124" s="23" t="str">
        <f t="shared" si="788"/>
        <v>АДМИНИСТРАЦИЯ ОДИНЦОВСКОГО ГОРОДСКОГО ОКРУГА</v>
      </c>
      <c r="B15124" s="24" t="s">
        <v>17410</v>
      </c>
      <c r="C15124" s="25">
        <v>236000</v>
      </c>
      <c r="D15124" s="22" t="s">
        <v>17411</v>
      </c>
      <c r="E15124" s="22" t="s">
        <v>103</v>
      </c>
      <c r="F15124" s="23" t="str">
        <f t="shared" si="789"/>
        <v>Закупка в 2019 году услуг по ежемесячному обслуживанию системы видеонаблюдения, охранной системы и системы контроля доступа для нужд Администрации Одинцовского муниципального района</v>
      </c>
      <c r="G15124" s="22" t="s">
        <v>50</v>
      </c>
      <c r="H15124" s="22" t="s">
        <v>1045</v>
      </c>
      <c r="I15124" s="26">
        <v>43508</v>
      </c>
      <c r="J15124" s="23" t="str">
        <f>HYPERLINK("https://www.spark-marketing.ru/Card/Person/5854368", "ООО ""КОНСУЛЬТАНТ""")</f>
        <v>ООО "КОНСУЛЬТАНТ"</v>
      </c>
      <c r="K15124" s="24" t="s">
        <v>15905</v>
      </c>
      <c r="L15124" s="28" t="s">
        <v>52</v>
      </c>
      <c r="M15124" s="25">
        <v>230000</v>
      </c>
      <c r="N15124" s="27">
        <v>2.5423728813559324E-2</v>
      </c>
    </row>
    <row r="15125" spans="1:14" hidden="1" outlineLevel="1" x14ac:dyDescent="0.2">
      <c r="A15125" s="23" t="str">
        <f t="shared" si="788"/>
        <v>АДМИНИСТРАЦИЯ ОДИНЦОВСКОГО ГОРОДСКОГО ОКРУГА</v>
      </c>
      <c r="B15125" s="24" t="s">
        <v>17410</v>
      </c>
      <c r="C15125" s="25">
        <v>236000</v>
      </c>
      <c r="D15125" s="22" t="s">
        <v>17411</v>
      </c>
      <c r="E15125" s="22" t="s">
        <v>103</v>
      </c>
      <c r="F15125" s="23" t="str">
        <f t="shared" si="789"/>
        <v>Закупка в 2019 году услуг по ежемесячному обслуживанию системы видеонаблюдения, охранной системы и системы контроля доступа для нужд Администрации Одинцовского муниципального района</v>
      </c>
      <c r="G15125" s="22" t="s">
        <v>50</v>
      </c>
      <c r="H15125" s="22" t="s">
        <v>1045</v>
      </c>
      <c r="I15125" s="26">
        <v>43508</v>
      </c>
      <c r="J15125" s="23" t="str">
        <f>HYPERLINK("https://www.spark-marketing.ru/Card/Person/4360175", "ООО ""ИТБ""")</f>
        <v>ООО "ИТБ"</v>
      </c>
      <c r="K15125" s="24" t="s">
        <v>14679</v>
      </c>
      <c r="L15125" s="28" t="s">
        <v>52</v>
      </c>
      <c r="M15125" s="25">
        <v>230200</v>
      </c>
      <c r="N15125" s="27">
        <v>2.4576271186440679E-2</v>
      </c>
    </row>
    <row r="15126" spans="1:14" hidden="1" outlineLevel="1" x14ac:dyDescent="0.2">
      <c r="A15126" s="23" t="str">
        <f t="shared" si="788"/>
        <v>АДМИНИСТРАЦИЯ ОДИНЦОВСКОГО ГОРОДСКОГО ОКРУГА</v>
      </c>
      <c r="B15126" s="24" t="s">
        <v>17410</v>
      </c>
      <c r="C15126" s="25">
        <v>236000</v>
      </c>
      <c r="D15126" s="22" t="s">
        <v>17411</v>
      </c>
      <c r="E15126" s="22" t="s">
        <v>103</v>
      </c>
      <c r="F15126" s="23" t="str">
        <f t="shared" si="789"/>
        <v>Закупка в 2019 году услуг по ежемесячному обслуживанию системы видеонаблюдения, охранной системы и системы контроля доступа для нужд Администрации Одинцовского муниципального района</v>
      </c>
      <c r="G15126" s="22" t="s">
        <v>50</v>
      </c>
      <c r="H15126" s="22" t="s">
        <v>1045</v>
      </c>
      <c r="I15126" s="26">
        <v>43508</v>
      </c>
      <c r="J15126" s="23" t="str">
        <f>HYPERLINK("https://www.spark-marketing.ru/Card/Person/65028", "ООО ""ИМПУЛЬС М""")</f>
        <v>ООО "ИМПУЛЬС М"</v>
      </c>
      <c r="K15126" s="24" t="s">
        <v>7268</v>
      </c>
      <c r="L15126" s="28" t="s">
        <v>52</v>
      </c>
      <c r="M15126" s="25">
        <v>150000</v>
      </c>
      <c r="N15126" s="27">
        <v>0.36440677966101692</v>
      </c>
    </row>
    <row r="15127" spans="1:14" hidden="1" outlineLevel="1" x14ac:dyDescent="0.2">
      <c r="A15127" s="23" t="str">
        <f t="shared" si="788"/>
        <v>АДМИНИСТРАЦИЯ ОДИНЦОВСКОГО ГОРОДСКОГО ОКРУГА</v>
      </c>
      <c r="B15127" s="24" t="s">
        <v>17410</v>
      </c>
      <c r="C15127" s="25">
        <v>236000</v>
      </c>
      <c r="D15127" s="22" t="s">
        <v>17411</v>
      </c>
      <c r="E15127" s="22" t="s">
        <v>103</v>
      </c>
      <c r="F15127" s="23" t="str">
        <f t="shared" si="789"/>
        <v>Закупка в 2019 году услуг по ежемесячному обслуживанию системы видеонаблюдения, охранной системы и системы контроля доступа для нужд Администрации Одинцовского муниципального района</v>
      </c>
      <c r="G15127" s="22" t="s">
        <v>50</v>
      </c>
      <c r="H15127" s="22" t="s">
        <v>1045</v>
      </c>
      <c r="I15127" s="26">
        <v>43508</v>
      </c>
      <c r="J15127" s="23" t="str">
        <f>HYPERLINK("https://www.spark-marketing.ru/Card/Person/363629", "ООО ""ПРИОРИТЕТ""")</f>
        <v>ООО "ПРИОРИТЕТ"</v>
      </c>
      <c r="K15127" s="24" t="s">
        <v>1748</v>
      </c>
      <c r="L15127" s="28" t="s">
        <v>52</v>
      </c>
      <c r="M15127" s="25">
        <v>150000</v>
      </c>
      <c r="N15127" s="27">
        <v>0.36440677966101692</v>
      </c>
    </row>
    <row r="15128" spans="1:14" hidden="1" outlineLevel="1" x14ac:dyDescent="0.2">
      <c r="A15128" s="23" t="str">
        <f t="shared" si="788"/>
        <v>АДМИНИСТРАЦИЯ ОДИНЦОВСКОГО ГОРОДСКОГО ОКРУГА</v>
      </c>
      <c r="B15128" s="24" t="s">
        <v>17410</v>
      </c>
      <c r="C15128" s="25">
        <v>236000</v>
      </c>
      <c r="D15128" s="22" t="s">
        <v>17411</v>
      </c>
      <c r="E15128" s="22" t="s">
        <v>103</v>
      </c>
      <c r="F15128" s="23" t="str">
        <f t="shared" si="789"/>
        <v>Закупка в 2019 году услуг по ежемесячному обслуживанию системы видеонаблюдения, охранной системы и системы контроля доступа для нужд Администрации Одинцовского муниципального района</v>
      </c>
      <c r="G15128" s="22" t="s">
        <v>50</v>
      </c>
      <c r="H15128" s="22" t="s">
        <v>1045</v>
      </c>
      <c r="I15128" s="26">
        <v>43508</v>
      </c>
      <c r="J15128" s="23" t="str">
        <f>HYPERLINK("https://www.spark-marketing.ru/Card/Person/5853638", "ООО ""ДИЭЛ-М""")</f>
        <v>ООО "ДИЭЛ-М"</v>
      </c>
      <c r="K15128" s="24" t="s">
        <v>17413</v>
      </c>
      <c r="L15128" s="28" t="s">
        <v>52</v>
      </c>
      <c r="M15128" s="25">
        <v>229000</v>
      </c>
      <c r="N15128" s="27">
        <v>2.9661016949152543E-2</v>
      </c>
    </row>
    <row r="15129" spans="1:14" ht="12.75" hidden="1" outlineLevel="1" x14ac:dyDescent="0.2">
      <c r="A15129" s="23" t="str">
        <f t="shared" si="788"/>
        <v>АДМИНИСТРАЦИЯ ОДИНЦОВСКОГО ГОРОДСКОГО ОКРУГА</v>
      </c>
      <c r="B15129" s="24" t="s">
        <v>17410</v>
      </c>
      <c r="C15129" s="25">
        <v>236000</v>
      </c>
      <c r="D15129" s="22" t="s">
        <v>17411</v>
      </c>
      <c r="E15129" s="22" t="s">
        <v>103</v>
      </c>
      <c r="F15129" s="23" t="str">
        <f t="shared" si="789"/>
        <v>Закупка в 2019 году услуг по ежемесячному обслуживанию системы видеонаблюдения, охранной системы и системы контроля доступа для нужд Администрации Одинцовского муниципального района</v>
      </c>
      <c r="G15129" s="22" t="s">
        <v>50</v>
      </c>
      <c r="H15129" s="22" t="s">
        <v>1045</v>
      </c>
      <c r="I15129" s="26">
        <v>43508</v>
      </c>
      <c r="J15129" s="23" t="str">
        <f>HYPERLINK("https://www.spark-marketing.ru/Card/Person/5885538", "ООО ""ДЕЛЬТА""")</f>
        <v>ООО "ДЕЛЬТА"</v>
      </c>
      <c r="K15129" s="24" t="s">
        <v>10297</v>
      </c>
      <c r="L15129" s="22" t="s">
        <v>10</v>
      </c>
      <c r="M15129" s="25">
        <v>135000</v>
      </c>
      <c r="N15129" s="27">
        <v>0.42796610169491528</v>
      </c>
    </row>
    <row r="15130" spans="1:14" x14ac:dyDescent="0.15">
      <c r="A15130" s="23" t="str">
        <f>HYPERLINK("https://www.spark-marketing.ru/Card/Person/12977", "ФГБОУ ВО СПБГПМУ МИНЗДРАВА РОССИИ")</f>
        <v>ФГБОУ ВО СПБГПМУ МИНЗДРАВА РОССИИ</v>
      </c>
      <c r="B15130" s="24" t="s">
        <v>17414</v>
      </c>
      <c r="C15130" s="25">
        <v>540425.28</v>
      </c>
      <c r="D15130" s="22" t="s">
        <v>17415</v>
      </c>
      <c r="E15130" s="22" t="s">
        <v>68</v>
      </c>
      <c r="F15130" s="23" t="str">
        <f>HYPERLINK("https://www.spark-marketing.ru/Card/Lot/67883486", "Оказание услуг по централизованной охране и экстренному вызову наряда вневедомственной охраны на объекты в 2019 году")</f>
        <v>Оказание услуг по централизованной охране и экстренному вызову наряда вневедомственной охраны на объекты в 2019 году</v>
      </c>
      <c r="G15130" s="22" t="s">
        <v>89</v>
      </c>
      <c r="H15130" s="22" t="s">
        <v>89</v>
      </c>
      <c r="I15130" s="26">
        <v>43508</v>
      </c>
      <c r="J15130" s="28" t="s">
        <v>52</v>
      </c>
      <c r="K15130" s="28" t="s">
        <v>52</v>
      </c>
      <c r="L15130" s="28" t="s">
        <v>52</v>
      </c>
      <c r="M15130" s="28" t="s">
        <v>52</v>
      </c>
      <c r="N15130" s="28" t="s">
        <v>52</v>
      </c>
    </row>
    <row r="15131" spans="1:14" x14ac:dyDescent="0.15">
      <c r="A15131" s="23" t="str">
        <f>HYPERLINK("https://www.spark-marketing.ru/Card/Person/9351", "ГУЗ СО ""ТАТИЩЕВСКАЯ РБ""")</f>
        <v>ГУЗ СО "ТАТИЩЕВСКАЯ РБ"</v>
      </c>
      <c r="B15131" s="24" t="s">
        <v>17416</v>
      </c>
      <c r="C15131" s="25">
        <v>22826.67</v>
      </c>
      <c r="D15131" s="22" t="s">
        <v>17417</v>
      </c>
      <c r="E15131" s="22" t="s">
        <v>103</v>
      </c>
      <c r="F15131" s="23" t="str">
        <f>HYPERLINK("https://www.spark-marketing.ru/Card/Lot/67897252", "Оказание услуг по техническому обслуживанию системы видеонаблюдения на объектах ГУЗ СО ""Татищевская РБ""")</f>
        <v>Оказание услуг по техническому обслуживанию системы видеонаблюдения на объектах ГУЗ СО "Татищевская РБ"</v>
      </c>
      <c r="G15131" s="22" t="s">
        <v>80</v>
      </c>
      <c r="H15131" s="22" t="s">
        <v>8142</v>
      </c>
      <c r="I15131" s="26">
        <v>43508</v>
      </c>
      <c r="J15131" s="28" t="s">
        <v>52</v>
      </c>
      <c r="K15131" s="28" t="s">
        <v>52</v>
      </c>
      <c r="L15131" s="28" t="s">
        <v>52</v>
      </c>
      <c r="M15131" s="28" t="s">
        <v>52</v>
      </c>
      <c r="N15131" s="28" t="s">
        <v>52</v>
      </c>
    </row>
    <row r="15132" spans="1:14" hidden="1" outlineLevel="1" x14ac:dyDescent="0.2">
      <c r="A15132" s="23" t="str">
        <f>HYPERLINK("https://www.spark-marketing.ru/Card/Person/9351", "ГУЗ СО ""ТАТИЩЕВСКАЯ РБ""")</f>
        <v>ГУЗ СО "ТАТИЩЕВСКАЯ РБ"</v>
      </c>
      <c r="B15132" s="24" t="s">
        <v>17416</v>
      </c>
      <c r="C15132" s="25">
        <v>22826.67</v>
      </c>
      <c r="D15132" s="22" t="s">
        <v>17417</v>
      </c>
      <c r="E15132" s="22" t="s">
        <v>103</v>
      </c>
      <c r="F15132" s="23" t="str">
        <f>HYPERLINK("https://www.spark-marketing.ru/Card/Lot/67897252", "Оказание услуг по техническому обслуживанию системы видеонаблюдения на объектах ГУЗ СО ""Татищевская РБ""")</f>
        <v>Оказание услуг по техническому обслуживанию системы видеонаблюдения на объектах ГУЗ СО "Татищевская РБ"</v>
      </c>
      <c r="G15132" s="22" t="s">
        <v>80</v>
      </c>
      <c r="H15132" s="22" t="s">
        <v>8142</v>
      </c>
      <c r="I15132" s="26">
        <v>43508</v>
      </c>
      <c r="J15132" s="23" t="str">
        <f>HYPERLINK("https://www.spark-marketing.ru/Card/Person/36638", "ООО ""РАДОН-ТЕХ""")</f>
        <v>ООО "РАДОН-ТЕХ"</v>
      </c>
      <c r="K15132" s="24" t="s">
        <v>4285</v>
      </c>
      <c r="L15132" s="28" t="s">
        <v>52</v>
      </c>
      <c r="M15132" s="25">
        <v>8046.68</v>
      </c>
      <c r="N15132" s="27">
        <v>0.64748778512152672</v>
      </c>
    </row>
    <row r="15133" spans="1:14" hidden="1" outlineLevel="1" x14ac:dyDescent="0.2">
      <c r="A15133" s="23" t="str">
        <f>HYPERLINK("https://www.spark-marketing.ru/Card/Person/9351", "ГУЗ СО ""ТАТИЩЕВСКАЯ РБ""")</f>
        <v>ГУЗ СО "ТАТИЩЕВСКАЯ РБ"</v>
      </c>
      <c r="B15133" s="24" t="s">
        <v>17416</v>
      </c>
      <c r="C15133" s="25">
        <v>22826.67</v>
      </c>
      <c r="D15133" s="22" t="s">
        <v>17417</v>
      </c>
      <c r="E15133" s="22" t="s">
        <v>103</v>
      </c>
      <c r="F15133" s="23" t="str">
        <f>HYPERLINK("https://www.spark-marketing.ru/Card/Lot/67897252", "Оказание услуг по техническому обслуживанию системы видеонаблюдения на объектах ГУЗ СО ""Татищевская РБ""")</f>
        <v>Оказание услуг по техническому обслуживанию системы видеонаблюдения на объектах ГУЗ СО "Татищевская РБ"</v>
      </c>
      <c r="G15133" s="22" t="s">
        <v>80</v>
      </c>
      <c r="H15133" s="22" t="s">
        <v>8142</v>
      </c>
      <c r="I15133" s="26">
        <v>43508</v>
      </c>
      <c r="J15133" s="23" t="str">
        <f>HYPERLINK("https://www.spark-marketing.ru/Card/Person/5789541", "ООО ""СБ-ПЛЮС""")</f>
        <v>ООО "СБ-ПЛЮС"</v>
      </c>
      <c r="K15133" s="24" t="s">
        <v>4674</v>
      </c>
      <c r="L15133" s="28" t="s">
        <v>52</v>
      </c>
      <c r="M15133" s="25">
        <v>16150</v>
      </c>
      <c r="N15133" s="27">
        <v>0.29249426219417901</v>
      </c>
    </row>
    <row r="15134" spans="1:14" ht="12.75" hidden="1" outlineLevel="1" x14ac:dyDescent="0.2">
      <c r="A15134" s="23" t="str">
        <f>HYPERLINK("https://www.spark-marketing.ru/Card/Person/9351", "ГУЗ СО ""ТАТИЩЕВСКАЯ РБ""")</f>
        <v>ГУЗ СО "ТАТИЩЕВСКАЯ РБ"</v>
      </c>
      <c r="B15134" s="24" t="s">
        <v>17416</v>
      </c>
      <c r="C15134" s="25">
        <v>22826.67</v>
      </c>
      <c r="D15134" s="22" t="s">
        <v>17417</v>
      </c>
      <c r="E15134" s="22" t="s">
        <v>103</v>
      </c>
      <c r="F15134" s="23" t="str">
        <f>HYPERLINK("https://www.spark-marketing.ru/Card/Lot/67897252", "Оказание услуг по техническому обслуживанию системы видеонаблюдения на объектах ГУЗ СО ""Татищевская РБ""")</f>
        <v>Оказание услуг по техническому обслуживанию системы видеонаблюдения на объектах ГУЗ СО "Татищевская РБ"</v>
      </c>
      <c r="G15134" s="22" t="s">
        <v>80</v>
      </c>
      <c r="H15134" s="22" t="s">
        <v>8142</v>
      </c>
      <c r="I15134" s="26">
        <v>43508</v>
      </c>
      <c r="J15134" s="23" t="str">
        <f>HYPERLINK("https://www.spark-marketing.ru/Card/Person/535474", "ООО ""ПРОФИ-СК""")</f>
        <v>ООО "ПРОФИ-СК"</v>
      </c>
      <c r="K15134" s="24" t="s">
        <v>17418</v>
      </c>
      <c r="L15134" s="22" t="s">
        <v>10</v>
      </c>
      <c r="M15134" s="25">
        <v>7932.55</v>
      </c>
      <c r="N15134" s="27">
        <v>0.65248763836337054</v>
      </c>
    </row>
    <row r="15135" spans="1:14" hidden="1" outlineLevel="1" x14ac:dyDescent="0.2">
      <c r="A15135" s="23" t="str">
        <f>HYPERLINK("https://www.spark-marketing.ru/Card/Person/9351", "ГУЗ СО ""ТАТИЩЕВСКАЯ РБ""")</f>
        <v>ГУЗ СО "ТАТИЩЕВСКАЯ РБ"</v>
      </c>
      <c r="B15135" s="24" t="s">
        <v>17416</v>
      </c>
      <c r="C15135" s="25">
        <v>22826.67</v>
      </c>
      <c r="D15135" s="22" t="s">
        <v>17417</v>
      </c>
      <c r="E15135" s="22" t="s">
        <v>103</v>
      </c>
      <c r="F15135" s="23" t="str">
        <f>HYPERLINK("https://www.spark-marketing.ru/Card/Lot/67897252", "Оказание услуг по техническому обслуживанию системы видеонаблюдения на объектах ГУЗ СО ""Татищевская РБ""")</f>
        <v>Оказание услуг по техническому обслуживанию системы видеонаблюдения на объектах ГУЗ СО "Татищевская РБ"</v>
      </c>
      <c r="G15135" s="22" t="s">
        <v>80</v>
      </c>
      <c r="H15135" s="22" t="s">
        <v>8142</v>
      </c>
      <c r="I15135" s="26">
        <v>43508</v>
      </c>
      <c r="J15135" s="23" t="str">
        <f>HYPERLINK("https://www.spark-marketing.ru/Card/Person/574743", "ООО ""ТД ""ПРИОРИТЕТ""")</f>
        <v>ООО "ТД "ПРИОРИТЕТ"</v>
      </c>
      <c r="K15135" s="24" t="s">
        <v>13293</v>
      </c>
      <c r="L15135" s="28" t="s">
        <v>52</v>
      </c>
      <c r="M15135" s="25">
        <v>20201.650000000001</v>
      </c>
      <c r="N15135" s="27">
        <v>0.11499793881455332</v>
      </c>
    </row>
    <row r="15136" spans="1:14" x14ac:dyDescent="0.15">
      <c r="A15136" s="23" t="str">
        <f t="shared" ref="A15136:A15142" si="790">HYPERLINK("https://www.spark-marketing.ru/Card/Person/8305", "АДМИНИСТРАЦИЯ ПОСЕЛЕНИЯ МОСКОВСКИЙ")</f>
        <v>АДМИНИСТРАЦИЯ ПОСЕЛЕНИЯ МОСКОВСКИЙ</v>
      </c>
      <c r="B15136" s="24" t="s">
        <v>17419</v>
      </c>
      <c r="C15136" s="25">
        <v>11486024</v>
      </c>
      <c r="D15136" s="22" t="s">
        <v>17420</v>
      </c>
      <c r="E15136" s="22" t="s">
        <v>59</v>
      </c>
      <c r="F15136" s="23" t="str">
        <f t="shared" ref="F15136:F15142" si="791">HYPERLINK("https://www.spark-marketing.ru/Card/Lot/67888965", "Выполнение комплекса работ по установке системы видеонаблюдения по адресу: г. Москва, г. Московский, 3 мкр. и оптимизации системы видеонаблюдения по адресу: г. Москва, г. Московский, 1 мкр.")</f>
        <v>Выполнение комплекса работ по установке системы видеонаблюдения по адресу: г. Москва, г. Московский, 3 мкр. и оптимизации системы видеонаблюдения по адресу: г. Москва, г. Московский, 1 мкр.</v>
      </c>
      <c r="G15136" s="22" t="s">
        <v>55</v>
      </c>
      <c r="H15136" s="22" t="s">
        <v>55</v>
      </c>
      <c r="I15136" s="26">
        <v>43508</v>
      </c>
      <c r="J15136" s="28" t="s">
        <v>52</v>
      </c>
      <c r="K15136" s="28" t="s">
        <v>52</v>
      </c>
      <c r="L15136" s="28" t="s">
        <v>52</v>
      </c>
      <c r="M15136" s="28" t="s">
        <v>52</v>
      </c>
      <c r="N15136" s="28" t="s">
        <v>52</v>
      </c>
    </row>
    <row r="15137" spans="1:14" ht="12.75" hidden="1" outlineLevel="1" x14ac:dyDescent="0.2">
      <c r="A15137" s="23" t="str">
        <f t="shared" si="790"/>
        <v>АДМИНИСТРАЦИЯ ПОСЕЛЕНИЯ МОСКОВСКИЙ</v>
      </c>
      <c r="B15137" s="24" t="s">
        <v>17419</v>
      </c>
      <c r="C15137" s="25">
        <v>11486024</v>
      </c>
      <c r="D15137" s="22" t="s">
        <v>17420</v>
      </c>
      <c r="E15137" s="22" t="s">
        <v>59</v>
      </c>
      <c r="F15137" s="23" t="str">
        <f t="shared" si="791"/>
        <v>Выполнение комплекса работ по установке системы видеонаблюдения по адресу: г. Москва, г. Московский, 3 мкр. и оптимизации системы видеонаблюдения по адресу: г. Москва, г. Московский, 1 мкр.</v>
      </c>
      <c r="G15137" s="22" t="s">
        <v>55</v>
      </c>
      <c r="H15137" s="22" t="s">
        <v>55</v>
      </c>
      <c r="I15137" s="26">
        <v>43508</v>
      </c>
      <c r="J15137" s="23" t="str">
        <f>HYPERLINK("https://www.spark-marketing.ru/Card/Person/1969563", "ООО ""АЛТИМА""")</f>
        <v>ООО "АЛТИМА"</v>
      </c>
      <c r="K15137" s="24" t="s">
        <v>17421</v>
      </c>
      <c r="L15137" s="22" t="s">
        <v>10</v>
      </c>
      <c r="M15137" s="25">
        <v>6686021.5700000003</v>
      </c>
      <c r="N15137" s="27">
        <v>0.41789939059852216</v>
      </c>
    </row>
    <row r="15138" spans="1:14" hidden="1" outlineLevel="1" x14ac:dyDescent="0.2">
      <c r="A15138" s="23" t="str">
        <f t="shared" si="790"/>
        <v>АДМИНИСТРАЦИЯ ПОСЕЛЕНИЯ МОСКОВСКИЙ</v>
      </c>
      <c r="B15138" s="24" t="s">
        <v>17419</v>
      </c>
      <c r="C15138" s="25">
        <v>11486024</v>
      </c>
      <c r="D15138" s="22" t="s">
        <v>17420</v>
      </c>
      <c r="E15138" s="22" t="s">
        <v>59</v>
      </c>
      <c r="F15138" s="23" t="str">
        <f t="shared" si="791"/>
        <v>Выполнение комплекса работ по установке системы видеонаблюдения по адресу: г. Москва, г. Московский, 3 мкр. и оптимизации системы видеонаблюдения по адресу: г. Москва, г. Московский, 1 мкр.</v>
      </c>
      <c r="G15138" s="22" t="s">
        <v>55</v>
      </c>
      <c r="H15138" s="22" t="s">
        <v>55</v>
      </c>
      <c r="I15138" s="26">
        <v>43508</v>
      </c>
      <c r="J15138" s="23" t="str">
        <f>HYPERLINK("https://www.spark-marketing.ru/Card/Person/5791294", "ООО ""К-ОПТИК""")</f>
        <v>ООО "К-ОПТИК"</v>
      </c>
      <c r="K15138" s="24" t="s">
        <v>5738</v>
      </c>
      <c r="L15138" s="28" t="s">
        <v>52</v>
      </c>
      <c r="M15138" s="25">
        <v>11141443.279999999</v>
      </c>
      <c r="N15138" s="27">
        <v>0.03</v>
      </c>
    </row>
    <row r="15139" spans="1:14" hidden="1" outlineLevel="1" x14ac:dyDescent="0.2">
      <c r="A15139" s="23" t="str">
        <f t="shared" si="790"/>
        <v>АДМИНИСТРАЦИЯ ПОСЕЛЕНИЯ МОСКОВСКИЙ</v>
      </c>
      <c r="B15139" s="24" t="s">
        <v>17419</v>
      </c>
      <c r="C15139" s="25">
        <v>11486024</v>
      </c>
      <c r="D15139" s="22" t="s">
        <v>17420</v>
      </c>
      <c r="E15139" s="22" t="s">
        <v>59</v>
      </c>
      <c r="F15139" s="23" t="str">
        <f t="shared" si="791"/>
        <v>Выполнение комплекса работ по установке системы видеонаблюдения по адресу: г. Москва, г. Московский, 3 мкр. и оптимизации системы видеонаблюдения по адресу: г. Москва, г. Московский, 1 мкр.</v>
      </c>
      <c r="G15139" s="22" t="s">
        <v>55</v>
      </c>
      <c r="H15139" s="22" t="s">
        <v>55</v>
      </c>
      <c r="I15139" s="26">
        <v>43508</v>
      </c>
      <c r="J15139" s="23" t="str">
        <f>HYPERLINK("https://www.spark-marketing.ru/Card/Person/6501809", "ООО ""МЕГА-ИНТЕЛ""")</f>
        <v>ООО "МЕГА-ИНТЕЛ"</v>
      </c>
      <c r="K15139" s="24" t="s">
        <v>17422</v>
      </c>
      <c r="L15139" s="28" t="s">
        <v>52</v>
      </c>
      <c r="M15139" s="25">
        <v>10800000</v>
      </c>
      <c r="N15139" s="27">
        <v>5.972684716660874E-2</v>
      </c>
    </row>
    <row r="15140" spans="1:14" hidden="1" outlineLevel="1" x14ac:dyDescent="0.2">
      <c r="A15140" s="23" t="str">
        <f t="shared" si="790"/>
        <v>АДМИНИСТРАЦИЯ ПОСЕЛЕНИЯ МОСКОВСКИЙ</v>
      </c>
      <c r="B15140" s="24" t="s">
        <v>17419</v>
      </c>
      <c r="C15140" s="25">
        <v>11486024</v>
      </c>
      <c r="D15140" s="22" t="s">
        <v>17420</v>
      </c>
      <c r="E15140" s="22" t="s">
        <v>59</v>
      </c>
      <c r="F15140" s="23" t="str">
        <f t="shared" si="791"/>
        <v>Выполнение комплекса работ по установке системы видеонаблюдения по адресу: г. Москва, г. Московский, 3 мкр. и оптимизации системы видеонаблюдения по адресу: г. Москва, г. Московский, 1 мкр.</v>
      </c>
      <c r="G15140" s="22" t="s">
        <v>55</v>
      </c>
      <c r="H15140" s="22" t="s">
        <v>55</v>
      </c>
      <c r="I15140" s="26">
        <v>43508</v>
      </c>
      <c r="J15140" s="23" t="str">
        <f>HYPERLINK("https://www.spark-marketing.ru/Card/Person/6180537", "ООО ""ТЕХНОКОМ""")</f>
        <v>ООО "ТЕХНОКОМ"</v>
      </c>
      <c r="K15140" s="24" t="s">
        <v>17423</v>
      </c>
      <c r="L15140" s="28" t="s">
        <v>52</v>
      </c>
      <c r="M15140" s="25">
        <v>7260322.5700000003</v>
      </c>
      <c r="N15140" s="27">
        <v>0.36789940801098797</v>
      </c>
    </row>
    <row r="15141" spans="1:14" hidden="1" outlineLevel="1" x14ac:dyDescent="0.2">
      <c r="A15141" s="23" t="str">
        <f t="shared" si="790"/>
        <v>АДМИНИСТРАЦИЯ ПОСЕЛЕНИЯ МОСКОВСКИЙ</v>
      </c>
      <c r="B15141" s="24" t="s">
        <v>17419</v>
      </c>
      <c r="C15141" s="25">
        <v>11486024</v>
      </c>
      <c r="D15141" s="22" t="s">
        <v>17420</v>
      </c>
      <c r="E15141" s="22" t="s">
        <v>59</v>
      </c>
      <c r="F15141" s="23" t="str">
        <f t="shared" si="791"/>
        <v>Выполнение комплекса работ по установке системы видеонаблюдения по адресу: г. Москва, г. Московский, 3 мкр. и оптимизации системы видеонаблюдения по адресу: г. Москва, г. Московский, 1 мкр.</v>
      </c>
      <c r="G15141" s="22" t="s">
        <v>55</v>
      </c>
      <c r="H15141" s="22" t="s">
        <v>55</v>
      </c>
      <c r="I15141" s="26">
        <v>43508</v>
      </c>
      <c r="J15141" s="23" t="str">
        <f>HYPERLINK("https://www.spark-marketing.ru/Card/Person/6288712", "ООО ""ТБК""")</f>
        <v>ООО "ТБК"</v>
      </c>
      <c r="K15141" s="24" t="s">
        <v>17424</v>
      </c>
      <c r="L15141" s="28" t="s">
        <v>52</v>
      </c>
      <c r="M15141" s="25">
        <v>11428593.880000001</v>
      </c>
      <c r="N15141" s="27">
        <v>5.0000000000000001E-3</v>
      </c>
    </row>
    <row r="15142" spans="1:14" hidden="1" outlineLevel="1" x14ac:dyDescent="0.2">
      <c r="A15142" s="23" t="str">
        <f t="shared" si="790"/>
        <v>АДМИНИСТРАЦИЯ ПОСЕЛЕНИЯ МОСКОВСКИЙ</v>
      </c>
      <c r="B15142" s="24" t="s">
        <v>17419</v>
      </c>
      <c r="C15142" s="25">
        <v>11486024</v>
      </c>
      <c r="D15142" s="22" t="s">
        <v>17420</v>
      </c>
      <c r="E15142" s="22" t="s">
        <v>59</v>
      </c>
      <c r="F15142" s="23" t="str">
        <f t="shared" si="791"/>
        <v>Выполнение комплекса работ по установке системы видеонаблюдения по адресу: г. Москва, г. Московский, 3 мкр. и оптимизации системы видеонаблюдения по адресу: г. Москва, г. Московский, 1 мкр.</v>
      </c>
      <c r="G15142" s="22" t="s">
        <v>55</v>
      </c>
      <c r="H15142" s="22" t="s">
        <v>55</v>
      </c>
      <c r="I15142" s="26">
        <v>43508</v>
      </c>
      <c r="J15142" s="23" t="str">
        <f>HYPERLINK("https://www.spark-marketing.ru/Card/Person/5997336", "Дорохов Дмитрий Николаевич")</f>
        <v>Дорохов Дмитрий Николаевич</v>
      </c>
      <c r="K15142" s="24" t="s">
        <v>17425</v>
      </c>
      <c r="L15142" s="28" t="s">
        <v>52</v>
      </c>
      <c r="M15142" s="25">
        <v>10900000</v>
      </c>
      <c r="N15142" s="27">
        <v>5.1020614270003269E-2</v>
      </c>
    </row>
    <row r="15143" spans="1:14" x14ac:dyDescent="0.15">
      <c r="A15143" s="23" t="str">
        <f>HYPERLINK("https://www.spark-marketing.ru/Card/Person/148245", "МБДОУ ""ДЕТСКИЙ САД КОМБИНИРОВАННОГО ВИДА С ГРУППАМИ ДЛЯ ТУБИНФИЦИРОВАННЫХ ДЕТЕЙ № 75"" НМР РТ")</f>
        <v>МБДОУ "ДЕТСКИЙ САД КОМБИНИРОВАННОГО ВИДА С ГРУППАМИ ДЛЯ ТУБИНФИЦИРОВАННЫХ ДЕТЕЙ № 75" НМР РТ</v>
      </c>
      <c r="B15143" s="24" t="s">
        <v>15119</v>
      </c>
      <c r="C15143" s="25">
        <v>9700</v>
      </c>
      <c r="D15143" s="22" t="s">
        <v>17426</v>
      </c>
      <c r="E15143" s="22" t="s">
        <v>53</v>
      </c>
      <c r="F15143" s="23" t="str">
        <f>HYPERLINK("https://www.spark-marketing.ru/Card/Lot/73684590", "Техническое обслуживание системы видеонаблюдения")</f>
        <v>Техническое обслуживание системы видеонаблюдения</v>
      </c>
      <c r="G15143" s="22" t="s">
        <v>204</v>
      </c>
      <c r="H15143" s="22" t="s">
        <v>824</v>
      </c>
      <c r="I15143" s="26">
        <v>43508.390277777798</v>
      </c>
      <c r="J15143" s="28" t="s">
        <v>52</v>
      </c>
      <c r="K15143" s="28" t="s">
        <v>52</v>
      </c>
      <c r="L15143" s="28" t="s">
        <v>52</v>
      </c>
      <c r="M15143" s="28" t="s">
        <v>52</v>
      </c>
      <c r="N15143" s="28" t="s">
        <v>52</v>
      </c>
    </row>
    <row r="15144" spans="1:14" x14ac:dyDescent="0.15">
      <c r="A15144" s="23" t="str">
        <f t="shared" ref="A15144:A15149" si="792">HYPERLINK("https://www.spark-marketing.ru/Card/Person/26291", "ФКУЗ ""МСЧ МВД РОССИИ ПО КЕМЕРОВСКОЙ ОБЛАСТИ""")</f>
        <v>ФКУЗ "МСЧ МВД РОССИИ ПО КЕМЕРОВСКОЙ ОБЛАСТИ"</v>
      </c>
      <c r="B15144" s="24" t="s">
        <v>4400</v>
      </c>
      <c r="C15144" s="25">
        <v>401833.33</v>
      </c>
      <c r="D15144" s="22" t="s">
        <v>17427</v>
      </c>
      <c r="E15144" s="22" t="s">
        <v>4402</v>
      </c>
      <c r="F15144" s="23" t="str">
        <f t="shared" ref="F15144:F15149" si="793">HYPERLINK("https://www.spark-marketing.ru/Card/Lot/67883641", "Оказание услуг по техническому обслуживанию комплекса инженерно-технических средств охраны (КИТСО) охранной сигнализации (ОС) и периметральной охранной сигнализации (ПОС) работающей в автономном режиме, тревожной сигнализации (ТС) с выводом на ПЦН ОВ...")</f>
        <v>Оказание услуг по техническому обслуживанию комплекса инженерно-технических средств охраны (КИТСО) охранной сигнализации (ОС) и периметральной охранной сигнализации (ПОС) работающей в автономном режиме, тревожной сигнализации (ТС) с выводом на ПЦН ОВ...</v>
      </c>
      <c r="G15144" s="22" t="s">
        <v>367</v>
      </c>
      <c r="H15144" s="22" t="s">
        <v>881</v>
      </c>
      <c r="I15144" s="26">
        <v>43508</v>
      </c>
      <c r="J15144" s="28" t="s">
        <v>52</v>
      </c>
      <c r="K15144" s="28" t="s">
        <v>52</v>
      </c>
      <c r="L15144" s="28" t="s">
        <v>52</v>
      </c>
      <c r="M15144" s="28" t="s">
        <v>52</v>
      </c>
      <c r="N15144" s="28" t="s">
        <v>52</v>
      </c>
    </row>
    <row r="15145" spans="1:14" hidden="1" outlineLevel="1" x14ac:dyDescent="0.2">
      <c r="A15145" s="23" t="str">
        <f t="shared" si="792"/>
        <v>ФКУЗ "МСЧ МВД РОССИИ ПО КЕМЕРОВСКОЙ ОБЛАСТИ"</v>
      </c>
      <c r="B15145" s="24" t="s">
        <v>4400</v>
      </c>
      <c r="C15145" s="25">
        <v>401833.33</v>
      </c>
      <c r="D15145" s="22" t="s">
        <v>17427</v>
      </c>
      <c r="E15145" s="22" t="s">
        <v>4402</v>
      </c>
      <c r="F15145" s="23" t="str">
        <f t="shared" si="793"/>
        <v>Оказание услуг по техническому обслуживанию комплекса инженерно-технических средств охраны (КИТСО) охранной сигнализации (ОС) и периметральной охранной сигнализации (ПОС) работающей в автономном режиме, тревожной сигнализации (ТС) с выводом на ПЦН ОВ...</v>
      </c>
      <c r="G15145" s="22" t="s">
        <v>367</v>
      </c>
      <c r="H15145" s="22" t="s">
        <v>881</v>
      </c>
      <c r="I15145" s="26">
        <v>43508</v>
      </c>
      <c r="J15145" s="23" t="str">
        <f>HYPERLINK("https://www.spark-marketing.ru/Card/Person/612591", "ООО ""СБ СЕРВИС""")</f>
        <v>ООО "СБ СЕРВИС"</v>
      </c>
      <c r="K15145" s="24" t="s">
        <v>4404</v>
      </c>
      <c r="L15145" s="28" t="s">
        <v>52</v>
      </c>
      <c r="M15145" s="25">
        <v>200000</v>
      </c>
      <c r="N15145" s="27">
        <v>0.50228120698698642</v>
      </c>
    </row>
    <row r="15146" spans="1:14" ht="12.75" hidden="1" outlineLevel="1" x14ac:dyDescent="0.2">
      <c r="A15146" s="23" t="str">
        <f t="shared" si="792"/>
        <v>ФКУЗ "МСЧ МВД РОССИИ ПО КЕМЕРОВСКОЙ ОБЛАСТИ"</v>
      </c>
      <c r="B15146" s="24" t="s">
        <v>4400</v>
      </c>
      <c r="C15146" s="25">
        <v>401833.33</v>
      </c>
      <c r="D15146" s="22" t="s">
        <v>17427</v>
      </c>
      <c r="E15146" s="22" t="s">
        <v>4402</v>
      </c>
      <c r="F15146" s="23" t="str">
        <f t="shared" si="793"/>
        <v>Оказание услуг по техническому обслуживанию комплекса инженерно-технических средств охраны (КИТСО) охранной сигнализации (ОС) и периметральной охранной сигнализации (ПОС) работающей в автономном режиме, тревожной сигнализации (ТС) с выводом на ПЦН ОВ...</v>
      </c>
      <c r="G15146" s="22" t="s">
        <v>367</v>
      </c>
      <c r="H15146" s="22" t="s">
        <v>881</v>
      </c>
      <c r="I15146" s="26">
        <v>43508</v>
      </c>
      <c r="J15146" s="23" t="str">
        <f>HYPERLINK("https://www.spark-marketing.ru/Card/Person/59808", "ООО ""ФОРТУНА ПЛЮС""")</f>
        <v>ООО "ФОРТУНА ПЛЮС"</v>
      </c>
      <c r="K15146" s="24" t="s">
        <v>4403</v>
      </c>
      <c r="L15146" s="22" t="s">
        <v>10</v>
      </c>
      <c r="M15146" s="25">
        <v>117624.03</v>
      </c>
      <c r="N15146" s="27">
        <v>0.70728154879536742</v>
      </c>
    </row>
    <row r="15147" spans="1:14" hidden="1" outlineLevel="1" x14ac:dyDescent="0.2">
      <c r="A15147" s="23" t="str">
        <f t="shared" si="792"/>
        <v>ФКУЗ "МСЧ МВД РОССИИ ПО КЕМЕРОВСКОЙ ОБЛАСТИ"</v>
      </c>
      <c r="B15147" s="24" t="s">
        <v>4400</v>
      </c>
      <c r="C15147" s="25">
        <v>401833.33</v>
      </c>
      <c r="D15147" s="22" t="s">
        <v>17427</v>
      </c>
      <c r="E15147" s="22" t="s">
        <v>4402</v>
      </c>
      <c r="F15147" s="23" t="str">
        <f t="shared" si="793"/>
        <v>Оказание услуг по техническому обслуживанию комплекса инженерно-технических средств охраны (КИТСО) охранной сигнализации (ОС) и периметральной охранной сигнализации (ПОС) работающей в автономном режиме, тревожной сигнализации (ТС) с выводом на ПЦН ОВ...</v>
      </c>
      <c r="G15147" s="22" t="s">
        <v>367</v>
      </c>
      <c r="H15147" s="22" t="s">
        <v>881</v>
      </c>
      <c r="I15147" s="26">
        <v>43508</v>
      </c>
      <c r="J15147" s="23" t="str">
        <f>HYPERLINK("https://www.spark-marketing.ru/Card/Person/5945956", "ООО ""СПБ""")</f>
        <v>ООО "СПБ"</v>
      </c>
      <c r="K15147" s="24" t="s">
        <v>17428</v>
      </c>
      <c r="L15147" s="28" t="s">
        <v>52</v>
      </c>
      <c r="M15147" s="25">
        <v>119633.2</v>
      </c>
      <c r="N15147" s="27">
        <v>0.70228154045857771</v>
      </c>
    </row>
    <row r="15148" spans="1:14" hidden="1" outlineLevel="1" x14ac:dyDescent="0.2">
      <c r="A15148" s="23" t="str">
        <f t="shared" si="792"/>
        <v>ФКУЗ "МСЧ МВД РОССИИ ПО КЕМЕРОВСКОЙ ОБЛАСТИ"</v>
      </c>
      <c r="B15148" s="24" t="s">
        <v>4400</v>
      </c>
      <c r="C15148" s="25">
        <v>401833.33</v>
      </c>
      <c r="D15148" s="22" t="s">
        <v>17427</v>
      </c>
      <c r="E15148" s="22" t="s">
        <v>4402</v>
      </c>
      <c r="F15148" s="23" t="str">
        <f t="shared" si="793"/>
        <v>Оказание услуг по техническому обслуживанию комплекса инженерно-технических средств охраны (КИТСО) охранной сигнализации (ОС) и периметральной охранной сигнализации (ПОС) работающей в автономном режиме, тревожной сигнализации (ТС) с выводом на ПЦН ОВ...</v>
      </c>
      <c r="G15148" s="22" t="s">
        <v>367</v>
      </c>
      <c r="H15148" s="22" t="s">
        <v>881</v>
      </c>
      <c r="I15148" s="26">
        <v>43508</v>
      </c>
      <c r="J15148" s="23" t="str">
        <f>HYPERLINK("https://www.spark-marketing.ru/Card/Person/10487", "ФГУП ""ОХРАНА"" РОСГВАРДИИ")</f>
        <v>ФГУП "ОХРАНА" РОСГВАРДИИ</v>
      </c>
      <c r="K15148" s="24" t="s">
        <v>779</v>
      </c>
      <c r="L15148" s="28" t="s">
        <v>52</v>
      </c>
      <c r="M15148" s="25">
        <v>242134.18</v>
      </c>
      <c r="N15148" s="27">
        <v>0.39742634091602108</v>
      </c>
    </row>
    <row r="15149" spans="1:14" hidden="1" outlineLevel="1" x14ac:dyDescent="0.2">
      <c r="A15149" s="23" t="str">
        <f t="shared" si="792"/>
        <v>ФКУЗ "МСЧ МВД РОССИИ ПО КЕМЕРОВСКОЙ ОБЛАСТИ"</v>
      </c>
      <c r="B15149" s="24" t="s">
        <v>4400</v>
      </c>
      <c r="C15149" s="25">
        <v>401833.33</v>
      </c>
      <c r="D15149" s="22" t="s">
        <v>17427</v>
      </c>
      <c r="E15149" s="22" t="s">
        <v>4402</v>
      </c>
      <c r="F15149" s="23" t="str">
        <f t="shared" si="793"/>
        <v>Оказание услуг по техническому обслуживанию комплекса инженерно-технических средств охраны (КИТСО) охранной сигнализации (ОС) и периметральной охранной сигнализации (ПОС) работающей в автономном режиме, тревожной сигнализации (ТС) с выводом на ПЦН ОВ...</v>
      </c>
      <c r="G15149" s="22" t="s">
        <v>367</v>
      </c>
      <c r="H15149" s="22" t="s">
        <v>881</v>
      </c>
      <c r="I15149" s="26">
        <v>43508</v>
      </c>
      <c r="J15149" s="23" t="str">
        <f>HYPERLINK("https://www.spark-marketing.ru/Card/Person/33806", "ООО ""КУЗБАССВЯЗЬСЕРВИС""")</f>
        <v>ООО "КУЗБАССВЯЗЬСЕРВИС"</v>
      </c>
      <c r="K15149" s="24" t="s">
        <v>17429</v>
      </c>
      <c r="L15149" s="28" t="s">
        <v>52</v>
      </c>
      <c r="M15149" s="25">
        <v>171871.62</v>
      </c>
      <c r="N15149" s="27">
        <v>0.57228132370204332</v>
      </c>
    </row>
    <row r="15150" spans="1:14" x14ac:dyDescent="0.15">
      <c r="A15150" s="23" t="str">
        <f>HYPERLINK("https://www.spark-marketing.ru/Card/Person/33446", "АДМИНИСТРАЦИЯ ВЕРХНЕУФАЛЕЙСКОГО ГОРОДСКОГО ОКРУГА")</f>
        <v>АДМИНИСТРАЦИЯ ВЕРХНЕУФАЛЕЙСКОГО ГОРОДСКОГО ОКРУГА</v>
      </c>
      <c r="B15150" s="24" t="s">
        <v>17430</v>
      </c>
      <c r="C15150" s="25">
        <v>56333.3</v>
      </c>
      <c r="D15150" s="22" t="s">
        <v>17431</v>
      </c>
      <c r="E15150" s="22" t="s">
        <v>294</v>
      </c>
      <c r="F15150" s="23" t="str">
        <f>HYPERLINK("https://www.spark-marketing.ru/Card/Lot/67870884", "Оказание услуг по обслуживанию системы видеонаблюдения отдела ЗАГС администрации Верхнеуфалейского городского округа")</f>
        <v>Оказание услуг по обслуживанию системы видеонаблюдения отдела ЗАГС администрации Верхнеуфалейского городского округа</v>
      </c>
      <c r="G15150" s="22" t="s">
        <v>60</v>
      </c>
      <c r="H15150" s="22" t="s">
        <v>60</v>
      </c>
      <c r="I15150" s="26">
        <v>43508</v>
      </c>
      <c r="J15150" s="28" t="s">
        <v>52</v>
      </c>
      <c r="K15150" s="28" t="s">
        <v>52</v>
      </c>
      <c r="L15150" s="28" t="s">
        <v>52</v>
      </c>
      <c r="M15150" s="28" t="s">
        <v>52</v>
      </c>
      <c r="N15150" s="28" t="s">
        <v>52</v>
      </c>
    </row>
    <row r="15151" spans="1:14" x14ac:dyDescent="0.15">
      <c r="A15151" s="23" t="str">
        <f>HYPERLINK("https://www.spark-marketing.ru/Card/Person/8160", "ВЕРХОВНЫЙ СУД ЧУВАШСКОЙ РЕСПУБЛИКИ")</f>
        <v>ВЕРХОВНЫЙ СУД ЧУВАШСКОЙ РЕСПУБЛИКИ</v>
      </c>
      <c r="B15151" s="24" t="s">
        <v>9577</v>
      </c>
      <c r="C15151" s="25">
        <v>1518422.88</v>
      </c>
      <c r="D15151" s="22" t="s">
        <v>17432</v>
      </c>
      <c r="E15151" s="22" t="s">
        <v>68</v>
      </c>
      <c r="F15151" s="23" t="str">
        <f>HYPERLINK("https://www.spark-marketing.ru/Card/Lot/67872363", "Оказание услуг по осуществлению пропускного и    внутриобъектового    режимов    и    охране имущества")</f>
        <v>Оказание услуг по осуществлению пропускного и    внутриобъектового    режимов    и    охране имущества</v>
      </c>
      <c r="G15151" s="22" t="s">
        <v>1137</v>
      </c>
      <c r="H15151" s="22" t="s">
        <v>1138</v>
      </c>
      <c r="I15151" s="26">
        <v>43508</v>
      </c>
      <c r="J15151" s="23" t="str">
        <f>HYPERLINK("https://www.spark-marketing.ru/Card/Person/10487", "ФГУП ""ОХРАНА"" РОСГВАРДИИ")</f>
        <v>ФГУП "ОХРАНА" РОСГВАРДИИ</v>
      </c>
      <c r="K15151" s="24" t="s">
        <v>779</v>
      </c>
      <c r="L15151" s="22" t="s">
        <v>10</v>
      </c>
      <c r="M15151" s="28" t="s">
        <v>52</v>
      </c>
      <c r="N15151" s="28" t="s">
        <v>52</v>
      </c>
    </row>
    <row r="15152" spans="1:14" x14ac:dyDescent="0.15">
      <c r="A15152" s="23" t="str">
        <f>HYPERLINK("https://www.spark-marketing.ru/Card/Person/64241", "АО ""ПГК""")</f>
        <v>АО "ПГК"</v>
      </c>
      <c r="B15152" s="24" t="s">
        <v>17433</v>
      </c>
      <c r="C15152" s="28" t="s">
        <v>52</v>
      </c>
      <c r="D15152" s="28" t="s">
        <v>52</v>
      </c>
      <c r="E15152" s="22" t="s">
        <v>53</v>
      </c>
      <c r="F15152" s="23" t="str">
        <f>HYPERLINK("https://www.spark-marketing.ru/Card/Lot/72846818", "Запрос котировок цен на оказание услуг по охране территории и имущества промывочно-пропарочной станции Зелецино")</f>
        <v>Запрос котировок цен на оказание услуг по охране территории и имущества промывочно-пропарочной станции Зелецино</v>
      </c>
      <c r="G15152" s="22" t="s">
        <v>55</v>
      </c>
      <c r="H15152" s="22" t="s">
        <v>55</v>
      </c>
      <c r="I15152" s="26">
        <v>43508</v>
      </c>
      <c r="J15152" s="28" t="s">
        <v>52</v>
      </c>
      <c r="K15152" s="28" t="s">
        <v>52</v>
      </c>
      <c r="L15152" s="28" t="s">
        <v>52</v>
      </c>
      <c r="M15152" s="28" t="s">
        <v>52</v>
      </c>
      <c r="N15152" s="28" t="s">
        <v>52</v>
      </c>
    </row>
    <row r="15153" spans="1:14" x14ac:dyDescent="0.15">
      <c r="A15153" s="23" t="str">
        <f>HYPERLINK("https://www.spark-marketing.ru/Card/Person/46201", "ГБУЗ СО ""РЕФТИНСКАЯ ГБ""")</f>
        <v>ГБУЗ СО "РЕФТИНСКАЯ ГБ"</v>
      </c>
      <c r="B15153" s="24" t="s">
        <v>17434</v>
      </c>
      <c r="C15153" s="25">
        <v>227277.09</v>
      </c>
      <c r="D15153" s="22" t="s">
        <v>17435</v>
      </c>
      <c r="E15153" s="22" t="s">
        <v>68</v>
      </c>
      <c r="F15153" s="23" t="str">
        <f>HYPERLINK("https://www.spark-marketing.ru/Card/Lot/67877503", "Услуги по централизованной охране объекта")</f>
        <v>Услуги по централизованной охране объекта</v>
      </c>
      <c r="G15153" s="22" t="s">
        <v>72</v>
      </c>
      <c r="H15153" s="22" t="s">
        <v>692</v>
      </c>
      <c r="I15153" s="26">
        <v>43508</v>
      </c>
      <c r="J15153" s="28" t="s">
        <v>52</v>
      </c>
      <c r="K15153" s="28" t="s">
        <v>52</v>
      </c>
      <c r="L15153" s="28" t="s">
        <v>52</v>
      </c>
      <c r="M15153" s="28" t="s">
        <v>52</v>
      </c>
      <c r="N15153" s="28" t="s">
        <v>52</v>
      </c>
    </row>
    <row r="15154" spans="1:14" x14ac:dyDescent="0.15">
      <c r="A15154" s="23" t="str">
        <f>HYPERLINK("https://www.spark-marketing.ru/Card/Person/4860034", "УПФР В Г. КОСТРОМЕ КОСТРОМСКОЙ ОБЛАСТИ")</f>
        <v>УПФР В Г. КОСТРОМЕ КОСТРОМСКОЙ ОБЛАСТИ</v>
      </c>
      <c r="B15154" s="24" t="s">
        <v>17436</v>
      </c>
      <c r="C15154" s="25">
        <v>17000</v>
      </c>
      <c r="D15154" s="22" t="s">
        <v>17437</v>
      </c>
      <c r="E15154" s="22" t="s">
        <v>103</v>
      </c>
      <c r="F15154" s="23" t="str">
        <f>HYPERLINK("https://www.spark-marketing.ru/Card/Lot/67893203", "Услуги по  техническому обслуживанию системы видеонаблюдения")</f>
        <v>Услуги по  техническому обслуживанию системы видеонаблюдения</v>
      </c>
      <c r="G15154" s="22" t="s">
        <v>1104</v>
      </c>
      <c r="H15154" s="22" t="s">
        <v>1105</v>
      </c>
      <c r="I15154" s="26">
        <v>43508</v>
      </c>
      <c r="J15154" s="28" t="s">
        <v>52</v>
      </c>
      <c r="K15154" s="28" t="s">
        <v>52</v>
      </c>
      <c r="L15154" s="28" t="s">
        <v>52</v>
      </c>
      <c r="M15154" s="28" t="s">
        <v>52</v>
      </c>
      <c r="N15154" s="28" t="s">
        <v>52</v>
      </c>
    </row>
    <row r="15155" spans="1:14" ht="12.75" hidden="1" outlineLevel="1" x14ac:dyDescent="0.2">
      <c r="A15155" s="23" t="str">
        <f>HYPERLINK("https://www.spark-marketing.ru/Card/Person/4860034", "УПФР В Г. КОСТРОМЕ КОСТРОМСКОЙ ОБЛАСТИ")</f>
        <v>УПФР В Г. КОСТРОМЕ КОСТРОМСКОЙ ОБЛАСТИ</v>
      </c>
      <c r="B15155" s="24" t="s">
        <v>17436</v>
      </c>
      <c r="C15155" s="25">
        <v>17000</v>
      </c>
      <c r="D15155" s="22" t="s">
        <v>17437</v>
      </c>
      <c r="E15155" s="22" t="s">
        <v>103</v>
      </c>
      <c r="F15155" s="23" t="str">
        <f>HYPERLINK("https://www.spark-marketing.ru/Card/Lot/67893203", "Услуги по  техническому обслуживанию системы видеонаблюдения")</f>
        <v>Услуги по  техническому обслуживанию системы видеонаблюдения</v>
      </c>
      <c r="G15155" s="22" t="s">
        <v>1104</v>
      </c>
      <c r="H15155" s="22" t="s">
        <v>1105</v>
      </c>
      <c r="I15155" s="26">
        <v>43508</v>
      </c>
      <c r="J15155" s="23" t="str">
        <f>HYPERLINK("https://www.spark-marketing.ru/Card/Person/261110", "ООО ""ЗАЩИТА-СЕРВИС""")</f>
        <v>ООО "ЗАЩИТА-СЕРВИС"</v>
      </c>
      <c r="K15155" s="24" t="s">
        <v>17438</v>
      </c>
      <c r="L15155" s="22" t="s">
        <v>10</v>
      </c>
      <c r="M15155" s="25">
        <v>10750</v>
      </c>
      <c r="N15155" s="27">
        <v>0.36764705882352944</v>
      </c>
    </row>
    <row r="15156" spans="1:14" hidden="1" outlineLevel="1" x14ac:dyDescent="0.2">
      <c r="A15156" s="23" t="str">
        <f>HYPERLINK("https://www.spark-marketing.ru/Card/Person/4860034", "УПФР В Г. КОСТРОМЕ КОСТРОМСКОЙ ОБЛАСТИ")</f>
        <v>УПФР В Г. КОСТРОМЕ КОСТРОМСКОЙ ОБЛАСТИ</v>
      </c>
      <c r="B15156" s="24" t="s">
        <v>17436</v>
      </c>
      <c r="C15156" s="25">
        <v>17000</v>
      </c>
      <c r="D15156" s="22" t="s">
        <v>17437</v>
      </c>
      <c r="E15156" s="22" t="s">
        <v>103</v>
      </c>
      <c r="F15156" s="23" t="str">
        <f>HYPERLINK("https://www.spark-marketing.ru/Card/Lot/67893203", "Услуги по  техническому обслуживанию системы видеонаблюдения")</f>
        <v>Услуги по  техническому обслуживанию системы видеонаблюдения</v>
      </c>
      <c r="G15156" s="22" t="s">
        <v>1104</v>
      </c>
      <c r="H15156" s="22" t="s">
        <v>1105</v>
      </c>
      <c r="I15156" s="26">
        <v>43508</v>
      </c>
      <c r="J15156" s="23" t="str">
        <f>HYPERLINK("https://www.spark-marketing.ru/Card/Person/629942", "ООО ""ФЕНИКС СБ""")</f>
        <v>ООО "ФЕНИКС СБ"</v>
      </c>
      <c r="K15156" s="24" t="s">
        <v>17439</v>
      </c>
      <c r="L15156" s="28" t="s">
        <v>52</v>
      </c>
      <c r="M15156" s="25">
        <v>10850</v>
      </c>
      <c r="N15156" s="27">
        <v>0.36176470588235293</v>
      </c>
    </row>
    <row r="15157" spans="1:14" hidden="1" outlineLevel="1" x14ac:dyDescent="0.2">
      <c r="A15157" s="23" t="str">
        <f>HYPERLINK("https://www.spark-marketing.ru/Card/Person/4860034", "УПФР В Г. КОСТРОМЕ КОСТРОМСКОЙ ОБЛАСТИ")</f>
        <v>УПФР В Г. КОСТРОМЕ КОСТРОМСКОЙ ОБЛАСТИ</v>
      </c>
      <c r="B15157" s="24" t="s">
        <v>17436</v>
      </c>
      <c r="C15157" s="25">
        <v>17000</v>
      </c>
      <c r="D15157" s="22" t="s">
        <v>17437</v>
      </c>
      <c r="E15157" s="22" t="s">
        <v>103</v>
      </c>
      <c r="F15157" s="23" t="str">
        <f>HYPERLINK("https://www.spark-marketing.ru/Card/Lot/67893203", "Услуги по  техническому обслуживанию системы видеонаблюдения")</f>
        <v>Услуги по  техническому обслуживанию системы видеонаблюдения</v>
      </c>
      <c r="G15157" s="22" t="s">
        <v>1104</v>
      </c>
      <c r="H15157" s="22" t="s">
        <v>1105</v>
      </c>
      <c r="I15157" s="26">
        <v>43508</v>
      </c>
      <c r="J15157" s="23" t="str">
        <f>HYPERLINK("https://www.spark-marketing.ru/Card/Person/284662", "ООО ""ВОСТОК""")</f>
        <v>ООО "ВОСТОК"</v>
      </c>
      <c r="K15157" s="24" t="s">
        <v>17440</v>
      </c>
      <c r="L15157" s="28" t="s">
        <v>52</v>
      </c>
      <c r="M15157" s="25">
        <v>15300</v>
      </c>
      <c r="N15157" s="27">
        <v>0.1</v>
      </c>
    </row>
    <row r="15158" spans="1:14" x14ac:dyDescent="0.15">
      <c r="A15158" s="23" t="str">
        <f>HYPERLINK("https://www.spark-marketing.ru/Card/Person/78624", "БУЗ ВО ОМЦ ""РЕЗЕРВ""")</f>
        <v>БУЗ ВО ОМЦ "РЕЗЕРВ"</v>
      </c>
      <c r="B15158" s="24" t="s">
        <v>17404</v>
      </c>
      <c r="C15158" s="25">
        <v>106914.6</v>
      </c>
      <c r="D15158" s="22" t="s">
        <v>17441</v>
      </c>
      <c r="E15158" s="22" t="s">
        <v>5799</v>
      </c>
      <c r="F15158" s="23" t="str">
        <f>HYPERLINK("https://www.spark-marketing.ru/Card/Lot/67892840", "Услуги по охране объектов")</f>
        <v>Услуги по охране объектов</v>
      </c>
      <c r="G15158" s="22" t="s">
        <v>902</v>
      </c>
      <c r="H15158" s="22" t="s">
        <v>903</v>
      </c>
      <c r="I15158" s="26">
        <v>43508</v>
      </c>
      <c r="J15158" s="28" t="s">
        <v>52</v>
      </c>
      <c r="K15158" s="28" t="s">
        <v>52</v>
      </c>
      <c r="L15158" s="28" t="s">
        <v>52</v>
      </c>
      <c r="M15158" s="28" t="s">
        <v>52</v>
      </c>
      <c r="N15158" s="28" t="s">
        <v>52</v>
      </c>
    </row>
    <row r="15159" spans="1:14" x14ac:dyDescent="0.15">
      <c r="A15159" s="23" t="str">
        <f>HYPERLINK("https://www.spark-marketing.ru/Card/Person/25172", "ОПФР ПО ЛИПЕЦКОЙ ОБЛАСТИ")</f>
        <v>ОПФР ПО ЛИПЕЦКОЙ ОБЛАСТИ</v>
      </c>
      <c r="B15159" s="24" t="s">
        <v>17442</v>
      </c>
      <c r="C15159" s="25">
        <v>28000</v>
      </c>
      <c r="D15159" s="22" t="s">
        <v>17443</v>
      </c>
      <c r="E15159" s="22" t="s">
        <v>52</v>
      </c>
      <c r="F15159" s="23" t="str">
        <f>HYPERLINK("https://www.spark-marketing.ru/Card/Lot/67878324", "Оказание услуг по охране объектов - зданий ОПФР по Липецкой области о предупреждении и пресечении правонарушений, преступлений с помощью кнопки тревожной сигнализации")</f>
        <v>Оказание услуг по охране объектов - зданий ОПФР по Липецкой области о предупреждении и пресечении правонарушений, преступлений с помощью кнопки тревожной сигнализации</v>
      </c>
      <c r="G15159" s="22" t="s">
        <v>629</v>
      </c>
      <c r="H15159" s="22" t="s">
        <v>1603</v>
      </c>
      <c r="I15159" s="26">
        <v>43508</v>
      </c>
      <c r="J15159" s="28" t="s">
        <v>52</v>
      </c>
      <c r="K15159" s="28" t="s">
        <v>52</v>
      </c>
      <c r="L15159" s="28" t="s">
        <v>52</v>
      </c>
      <c r="M15159" s="28" t="s">
        <v>52</v>
      </c>
      <c r="N15159" s="28" t="s">
        <v>52</v>
      </c>
    </row>
    <row r="15160" spans="1:14" hidden="1" outlineLevel="1" x14ac:dyDescent="0.2">
      <c r="A15160" s="23" t="str">
        <f>HYPERLINK("https://www.spark-marketing.ru/Card/Person/25172", "ОПФР ПО ЛИПЕЦКОЙ ОБЛАСТИ")</f>
        <v>ОПФР ПО ЛИПЕЦКОЙ ОБЛАСТИ</v>
      </c>
      <c r="B15160" s="24" t="s">
        <v>17442</v>
      </c>
      <c r="C15160" s="25">
        <v>28000</v>
      </c>
      <c r="D15160" s="22" t="s">
        <v>17443</v>
      </c>
      <c r="E15160" s="22" t="s">
        <v>52</v>
      </c>
      <c r="F15160" s="23" t="str">
        <f>HYPERLINK("https://www.spark-marketing.ru/Card/Lot/67878324", "Оказание услуг по охране объектов - зданий ОПФР по Липецкой области о предупреждении и пресечении правонарушений, преступлений с помощью кнопки тревожной сигнализации")</f>
        <v>Оказание услуг по охране объектов - зданий ОПФР по Липецкой области о предупреждении и пресечении правонарушений, преступлений с помощью кнопки тревожной сигнализации</v>
      </c>
      <c r="G15160" s="22" t="s">
        <v>629</v>
      </c>
      <c r="H15160" s="22" t="s">
        <v>1603</v>
      </c>
      <c r="I15160" s="26">
        <v>43508</v>
      </c>
      <c r="J15160" s="23" t="str">
        <f>HYPERLINK("https://www.spark-marketing.ru/Card/Person/360585", "ООО ЧОО ""КОБРА-Л""")</f>
        <v>ООО ЧОО "КОБРА-Л"</v>
      </c>
      <c r="K15160" s="24" t="s">
        <v>17444</v>
      </c>
      <c r="L15160" s="28" t="s">
        <v>52</v>
      </c>
      <c r="M15160" s="25">
        <v>27720</v>
      </c>
      <c r="N15160" s="27">
        <v>0.01</v>
      </c>
    </row>
    <row r="15161" spans="1:14" ht="12.75" hidden="1" outlineLevel="1" x14ac:dyDescent="0.2">
      <c r="A15161" s="23" t="str">
        <f>HYPERLINK("https://www.spark-marketing.ru/Card/Person/25172", "ОПФР ПО ЛИПЕЦКОЙ ОБЛАСТИ")</f>
        <v>ОПФР ПО ЛИПЕЦКОЙ ОБЛАСТИ</v>
      </c>
      <c r="B15161" s="24" t="s">
        <v>17442</v>
      </c>
      <c r="C15161" s="25">
        <v>28000</v>
      </c>
      <c r="D15161" s="22" t="s">
        <v>17443</v>
      </c>
      <c r="E15161" s="22" t="s">
        <v>52</v>
      </c>
      <c r="F15161" s="23" t="str">
        <f>HYPERLINK("https://www.spark-marketing.ru/Card/Lot/67878324", "Оказание услуг по охране объектов - зданий ОПФР по Липецкой области о предупреждении и пресечении правонарушений, преступлений с помощью кнопки тревожной сигнализации")</f>
        <v>Оказание услуг по охране объектов - зданий ОПФР по Липецкой области о предупреждении и пресечении правонарушений, преступлений с помощью кнопки тревожной сигнализации</v>
      </c>
      <c r="G15161" s="22" t="s">
        <v>629</v>
      </c>
      <c r="H15161" s="22" t="s">
        <v>1603</v>
      </c>
      <c r="I15161" s="26">
        <v>43508</v>
      </c>
      <c r="J15161" s="23" t="str">
        <f>HYPERLINK("https://www.spark-marketing.ru/Card/Person/4348065", "ООО ЧОП ""ЗУБР""")</f>
        <v>ООО ЧОП "ЗУБР"</v>
      </c>
      <c r="K15161" s="24" t="s">
        <v>17445</v>
      </c>
      <c r="L15161" s="22" t="s">
        <v>10</v>
      </c>
      <c r="M15161" s="25">
        <v>17780</v>
      </c>
      <c r="N15161" s="27">
        <v>0.36499999999999999</v>
      </c>
    </row>
    <row r="15162" spans="1:14" hidden="1" outlineLevel="1" x14ac:dyDescent="0.2">
      <c r="A15162" s="23" t="str">
        <f>HYPERLINK("https://www.spark-marketing.ru/Card/Person/25172", "ОПФР ПО ЛИПЕЦКОЙ ОБЛАСТИ")</f>
        <v>ОПФР ПО ЛИПЕЦКОЙ ОБЛАСТИ</v>
      </c>
      <c r="B15162" s="24" t="s">
        <v>17442</v>
      </c>
      <c r="C15162" s="25">
        <v>28000</v>
      </c>
      <c r="D15162" s="22" t="s">
        <v>17443</v>
      </c>
      <c r="E15162" s="22" t="s">
        <v>52</v>
      </c>
      <c r="F15162" s="23" t="str">
        <f>HYPERLINK("https://www.spark-marketing.ru/Card/Lot/67878324", "Оказание услуг по охране объектов - зданий ОПФР по Липецкой области о предупреждении и пресечении правонарушений, преступлений с помощью кнопки тревожной сигнализации")</f>
        <v>Оказание услуг по охране объектов - зданий ОПФР по Липецкой области о предупреждении и пресечении правонарушений, преступлений с помощью кнопки тревожной сигнализации</v>
      </c>
      <c r="G15162" s="22" t="s">
        <v>629</v>
      </c>
      <c r="H15162" s="22" t="s">
        <v>1603</v>
      </c>
      <c r="I15162" s="26">
        <v>43508</v>
      </c>
      <c r="J15162" s="23" t="str">
        <f>HYPERLINK("https://www.spark-marketing.ru/Card/Person/124217", "ООО ""ЧОП""РУСИЧ""")</f>
        <v>ООО "ЧОП"РУСИЧ"</v>
      </c>
      <c r="K15162" s="24" t="s">
        <v>1607</v>
      </c>
      <c r="L15162" s="28" t="s">
        <v>52</v>
      </c>
      <c r="M15162" s="25">
        <v>17920</v>
      </c>
      <c r="N15162" s="27">
        <v>0.36</v>
      </c>
    </row>
    <row r="15163" spans="1:14" x14ac:dyDescent="0.15">
      <c r="A15163" s="23" t="str">
        <f>HYPERLINK("https://www.spark-marketing.ru/Card/Person/148413", "МБДОУ ""ДЕТСКИЙ САД ОБЩЕРАЗВИВАЮЩЕГО ВИДА №33"" НМР РТ")</f>
        <v>МБДОУ "ДЕТСКИЙ САД ОБЩЕРАЗВИВАЮЩЕГО ВИДА №33" НМР РТ</v>
      </c>
      <c r="B15163" s="24" t="s">
        <v>15121</v>
      </c>
      <c r="C15163" s="25">
        <v>4900</v>
      </c>
      <c r="D15163" s="22" t="s">
        <v>17446</v>
      </c>
      <c r="E15163" s="22" t="s">
        <v>53</v>
      </c>
      <c r="F15163" s="23" t="str">
        <f>HYPERLINK("https://www.spark-marketing.ru/Card/Lot/73692935", "Техническое обслуживание системы видеонаблюдения")</f>
        <v>Техническое обслуживание системы видеонаблюдения</v>
      </c>
      <c r="G15163" s="22" t="s">
        <v>204</v>
      </c>
      <c r="H15163" s="22" t="s">
        <v>824</v>
      </c>
      <c r="I15163" s="26">
        <v>43508.386805555601</v>
      </c>
      <c r="J15163" s="28" t="s">
        <v>52</v>
      </c>
      <c r="K15163" s="28" t="s">
        <v>52</v>
      </c>
      <c r="L15163" s="28" t="s">
        <v>52</v>
      </c>
      <c r="M15163" s="28" t="s">
        <v>52</v>
      </c>
      <c r="N15163" s="28" t="s">
        <v>52</v>
      </c>
    </row>
    <row r="15164" spans="1:14" x14ac:dyDescent="0.15">
      <c r="A15164" s="23" t="str">
        <f>HYPERLINK("https://www.spark-marketing.ru/Card/Person/26736", "БУЗ ВО ""ВОКОД""")</f>
        <v>БУЗ ВО "ВОКОД"</v>
      </c>
      <c r="B15164" s="24" t="s">
        <v>17447</v>
      </c>
      <c r="C15164" s="25">
        <v>405581.75</v>
      </c>
      <c r="D15164" s="22" t="s">
        <v>17448</v>
      </c>
      <c r="E15164" s="22" t="s">
        <v>68</v>
      </c>
      <c r="F15164" s="23" t="str">
        <f>HYPERLINK("https://www.spark-marketing.ru/Card/Lot/67874806", "Услуги централизованной охраны объекта")</f>
        <v>Услуги централизованной охраны объекта</v>
      </c>
      <c r="G15164" s="22" t="s">
        <v>552</v>
      </c>
      <c r="H15164" s="22" t="s">
        <v>886</v>
      </c>
      <c r="I15164" s="26">
        <v>43508</v>
      </c>
      <c r="J15164" s="28" t="s">
        <v>52</v>
      </c>
      <c r="K15164" s="28" t="s">
        <v>52</v>
      </c>
      <c r="L15164" s="28" t="s">
        <v>52</v>
      </c>
      <c r="M15164" s="28" t="s">
        <v>52</v>
      </c>
      <c r="N15164" s="28" t="s">
        <v>52</v>
      </c>
    </row>
    <row r="15165" spans="1:14" x14ac:dyDescent="0.15">
      <c r="A15165" s="23" t="str">
        <f>HYPERLINK("https://www.spark-marketing.ru/Card/Person/80367", "ФГКУ КОМБИНАТ ""АМУР"" РОСРЕЗЕРВА")</f>
        <v>ФГКУ КОМБИНАТ "АМУР" РОСРЕЗЕРВА</v>
      </c>
      <c r="B15165" s="24" t="s">
        <v>17449</v>
      </c>
      <c r="C15165" s="25">
        <v>212976</v>
      </c>
      <c r="D15165" s="22" t="s">
        <v>17450</v>
      </c>
      <c r="E15165" s="22" t="s">
        <v>68</v>
      </c>
      <c r="F15165" s="23" t="str">
        <f>HYPERLINK("https://www.spark-marketing.ru/Card/Lot/67871160", "Оказание услуг по централизованной охране объектов")</f>
        <v>Оказание услуг по централизованной охране объектов</v>
      </c>
      <c r="G15165" s="22" t="s">
        <v>138</v>
      </c>
      <c r="H15165" s="22" t="s">
        <v>139</v>
      </c>
      <c r="I15165" s="26">
        <v>43508</v>
      </c>
      <c r="J15165" s="28" t="s">
        <v>52</v>
      </c>
      <c r="K15165" s="28" t="s">
        <v>52</v>
      </c>
      <c r="L15165" s="28" t="s">
        <v>52</v>
      </c>
      <c r="M15165" s="28" t="s">
        <v>52</v>
      </c>
      <c r="N15165" s="28" t="s">
        <v>52</v>
      </c>
    </row>
    <row r="15166" spans="1:14" x14ac:dyDescent="0.15">
      <c r="A15166" s="23" t="str">
        <f>HYPERLINK("https://www.spark-marketing.ru/Card/Person/135795", "ГБУСОН РО ""КРАСНОСУЛИНСКИЙ СДИПИ""")</f>
        <v>ГБУСОН РО "КРАСНОСУЛИНСКИЙ СДИПИ"</v>
      </c>
      <c r="B15166" s="24" t="s">
        <v>17451</v>
      </c>
      <c r="C15166" s="25">
        <v>92000</v>
      </c>
      <c r="D15166" s="22" t="s">
        <v>17452</v>
      </c>
      <c r="E15166" s="22" t="s">
        <v>103</v>
      </c>
      <c r="F15166" s="23" t="str">
        <f>HYPERLINK("https://www.spark-marketing.ru/Card/Lot/67875559", "Техническое обслуживание  системы видеонаблюдения")</f>
        <v>Техническое обслуживание  системы видеонаблюдения</v>
      </c>
      <c r="G15166" s="22" t="s">
        <v>402</v>
      </c>
      <c r="H15166" s="22" t="s">
        <v>10454</v>
      </c>
      <c r="I15166" s="26">
        <v>43508</v>
      </c>
      <c r="J15166" s="28" t="s">
        <v>52</v>
      </c>
      <c r="K15166" s="28" t="s">
        <v>52</v>
      </c>
      <c r="L15166" s="28" t="s">
        <v>52</v>
      </c>
      <c r="M15166" s="28" t="s">
        <v>52</v>
      </c>
      <c r="N15166" s="28" t="s">
        <v>52</v>
      </c>
    </row>
    <row r="15167" spans="1:14" hidden="1" outlineLevel="1" x14ac:dyDescent="0.2">
      <c r="A15167" s="23" t="str">
        <f>HYPERLINK("https://www.spark-marketing.ru/Card/Person/135795", "ГБУСОН РО ""КРАСНОСУЛИНСКИЙ СДИПИ""")</f>
        <v>ГБУСОН РО "КРАСНОСУЛИНСКИЙ СДИПИ"</v>
      </c>
      <c r="B15167" s="24" t="s">
        <v>17451</v>
      </c>
      <c r="C15167" s="25">
        <v>92000</v>
      </c>
      <c r="D15167" s="22" t="s">
        <v>17452</v>
      </c>
      <c r="E15167" s="22" t="s">
        <v>103</v>
      </c>
      <c r="F15167" s="23" t="str">
        <f>HYPERLINK("https://www.spark-marketing.ru/Card/Lot/67875559", "Техническое обслуживание  системы видеонаблюдения")</f>
        <v>Техническое обслуживание  системы видеонаблюдения</v>
      </c>
      <c r="G15167" s="22" t="s">
        <v>402</v>
      </c>
      <c r="H15167" s="22" t="s">
        <v>10454</v>
      </c>
      <c r="I15167" s="26">
        <v>43508</v>
      </c>
      <c r="J15167" s="23" t="str">
        <f>HYPERLINK("https://www.spark-marketing.ru/Card/Person/1215309", "ООО ""МУЛЬТИСИСТЕМЫ""")</f>
        <v>ООО "МУЛЬТИСИСТЕМЫ"</v>
      </c>
      <c r="K15167" s="24" t="s">
        <v>3297</v>
      </c>
      <c r="L15167" s="28" t="s">
        <v>52</v>
      </c>
      <c r="M15167" s="25">
        <v>49854.400000000001</v>
      </c>
      <c r="N15167" s="27">
        <v>0.45810434782608694</v>
      </c>
    </row>
    <row r="15168" spans="1:14" ht="12.75" hidden="1" outlineLevel="1" x14ac:dyDescent="0.2">
      <c r="A15168" s="23" t="str">
        <f>HYPERLINK("https://www.spark-marketing.ru/Card/Person/135795", "ГБУСОН РО ""КРАСНОСУЛИНСКИЙ СДИПИ""")</f>
        <v>ГБУСОН РО "КРАСНОСУЛИНСКИЙ СДИПИ"</v>
      </c>
      <c r="B15168" s="24" t="s">
        <v>17451</v>
      </c>
      <c r="C15168" s="25">
        <v>92000</v>
      </c>
      <c r="D15168" s="22" t="s">
        <v>17452</v>
      </c>
      <c r="E15168" s="22" t="s">
        <v>103</v>
      </c>
      <c r="F15168" s="23" t="str">
        <f>HYPERLINK("https://www.spark-marketing.ru/Card/Lot/67875559", "Техническое обслуживание  системы видеонаблюдения")</f>
        <v>Техническое обслуживание  системы видеонаблюдения</v>
      </c>
      <c r="G15168" s="22" t="s">
        <v>402</v>
      </c>
      <c r="H15168" s="22" t="s">
        <v>10454</v>
      </c>
      <c r="I15168" s="26">
        <v>43508</v>
      </c>
      <c r="J15168" s="23" t="str">
        <f>HYPERLINK("https://www.spark-marketing.ru/Card/Person/425632", "Пегушин Дмитрий Александрович")</f>
        <v>Пегушин Дмитрий Александрович</v>
      </c>
      <c r="K15168" s="24" t="s">
        <v>13625</v>
      </c>
      <c r="L15168" s="22" t="s">
        <v>10</v>
      </c>
      <c r="M15168" s="25">
        <v>12905.28</v>
      </c>
      <c r="N15168" s="27">
        <v>0.85972521739130436</v>
      </c>
    </row>
    <row r="15169" spans="1:14" hidden="1" outlineLevel="1" x14ac:dyDescent="0.2">
      <c r="A15169" s="23" t="str">
        <f>HYPERLINK("https://www.spark-marketing.ru/Card/Person/135795", "ГБУСОН РО ""КРАСНОСУЛИНСКИЙ СДИПИ""")</f>
        <v>ГБУСОН РО "КРАСНОСУЛИНСКИЙ СДИПИ"</v>
      </c>
      <c r="B15169" s="24" t="s">
        <v>17451</v>
      </c>
      <c r="C15169" s="25">
        <v>92000</v>
      </c>
      <c r="D15169" s="22" t="s">
        <v>17452</v>
      </c>
      <c r="E15169" s="22" t="s">
        <v>103</v>
      </c>
      <c r="F15169" s="23" t="str">
        <f>HYPERLINK("https://www.spark-marketing.ru/Card/Lot/67875559", "Техническое обслуживание  системы видеонаблюдения")</f>
        <v>Техническое обслуживание  системы видеонаблюдения</v>
      </c>
      <c r="G15169" s="22" t="s">
        <v>402</v>
      </c>
      <c r="H15169" s="22" t="s">
        <v>10454</v>
      </c>
      <c r="I15169" s="26">
        <v>43508</v>
      </c>
      <c r="J15169" s="23" t="str">
        <f>HYPERLINK("https://www.spark-marketing.ru/Card/Person/1438746", "ООО ""ИНФОРММОНТАЖСЕРВИС""")</f>
        <v>ООО "ИНФОРММОНТАЖСЕРВИС"</v>
      </c>
      <c r="K15169" s="24" t="s">
        <v>17453</v>
      </c>
      <c r="L15169" s="28" t="s">
        <v>52</v>
      </c>
      <c r="M15169" s="25">
        <v>49854.400000000001</v>
      </c>
      <c r="N15169" s="27">
        <v>0.45810434782608694</v>
      </c>
    </row>
    <row r="15170" spans="1:14" hidden="1" outlineLevel="1" x14ac:dyDescent="0.2">
      <c r="A15170" s="23" t="str">
        <f>HYPERLINK("https://www.spark-marketing.ru/Card/Person/135795", "ГБУСОН РО ""КРАСНОСУЛИНСКИЙ СДИПИ""")</f>
        <v>ГБУСОН РО "КРАСНОСУЛИНСКИЙ СДИПИ"</v>
      </c>
      <c r="B15170" s="24" t="s">
        <v>17451</v>
      </c>
      <c r="C15170" s="25">
        <v>92000</v>
      </c>
      <c r="D15170" s="22" t="s">
        <v>17452</v>
      </c>
      <c r="E15170" s="22" t="s">
        <v>103</v>
      </c>
      <c r="F15170" s="23" t="str">
        <f>HYPERLINK("https://www.spark-marketing.ru/Card/Lot/67875559", "Техническое обслуживание  системы видеонаблюдения")</f>
        <v>Техническое обслуживание  системы видеонаблюдения</v>
      </c>
      <c r="G15170" s="22" t="s">
        <v>402</v>
      </c>
      <c r="H15170" s="22" t="s">
        <v>10454</v>
      </c>
      <c r="I15170" s="26">
        <v>43508</v>
      </c>
      <c r="J15170" s="23" t="str">
        <f>HYPERLINK("https://www.spark-marketing.ru/Card/Person/384360", "Губарева Маргарита Николаевна")</f>
        <v>Губарева Маргарита Николаевна</v>
      </c>
      <c r="K15170" s="24" t="s">
        <v>1489</v>
      </c>
      <c r="L15170" s="28" t="s">
        <v>52</v>
      </c>
      <c r="M15170" s="25">
        <v>13365.28</v>
      </c>
      <c r="N15170" s="27">
        <v>0.85472521739130436</v>
      </c>
    </row>
    <row r="15171" spans="1:14" x14ac:dyDescent="0.15">
      <c r="A15171" s="23" t="str">
        <f t="shared" ref="A15171:A15180" si="794">HYPERLINK("https://www.spark-marketing.ru/Card/Person/10931", "ФГБОУ ВО САРАТОВСКИЙ ГМУ ИМ.В.И.РАЗУМОВСКОГО МИНЗДРАВА РОССИИ")</f>
        <v>ФГБОУ ВО САРАТОВСКИЙ ГМУ ИМ.В.И.РАЗУМОВСКОГО МИНЗДРАВА РОССИИ</v>
      </c>
      <c r="B15171" s="24" t="s">
        <v>17454</v>
      </c>
      <c r="C15171" s="25">
        <v>202166.7</v>
      </c>
      <c r="D15171" s="22" t="s">
        <v>17455</v>
      </c>
      <c r="E15171" s="22" t="s">
        <v>103</v>
      </c>
      <c r="F15171" s="23" t="str">
        <f t="shared" ref="F15171:F15180" si="795">HYPERLINK("https://www.spark-marketing.ru/Card/Lot/67873581", "Техническое обслуживание систем видеонаблюдения, контроля доступа, автоматических шлагбаумов и ворот СГМУ")</f>
        <v>Техническое обслуживание систем видеонаблюдения, контроля доступа, автоматических шлагбаумов и ворот СГМУ</v>
      </c>
      <c r="G15171" s="22" t="s">
        <v>80</v>
      </c>
      <c r="H15171" s="22" t="s">
        <v>81</v>
      </c>
      <c r="I15171" s="26">
        <v>43508</v>
      </c>
      <c r="J15171" s="28" t="s">
        <v>52</v>
      </c>
      <c r="K15171" s="28" t="s">
        <v>52</v>
      </c>
      <c r="L15171" s="28" t="s">
        <v>52</v>
      </c>
      <c r="M15171" s="28" t="s">
        <v>52</v>
      </c>
      <c r="N15171" s="28" t="s">
        <v>52</v>
      </c>
    </row>
    <row r="15172" spans="1:14" ht="12.75" hidden="1" outlineLevel="1" x14ac:dyDescent="0.2">
      <c r="A15172" s="23" t="str">
        <f t="shared" si="794"/>
        <v>ФГБОУ ВО САРАТОВСКИЙ ГМУ ИМ.В.И.РАЗУМОВСКОГО МИНЗДРАВА РОССИИ</v>
      </c>
      <c r="B15172" s="24" t="s">
        <v>17454</v>
      </c>
      <c r="C15172" s="25">
        <v>202166.7</v>
      </c>
      <c r="D15172" s="22" t="s">
        <v>17455</v>
      </c>
      <c r="E15172" s="22" t="s">
        <v>103</v>
      </c>
      <c r="F15172" s="23" t="str">
        <f t="shared" si="795"/>
        <v>Техническое обслуживание систем видеонаблюдения, контроля доступа, автоматических шлагбаумов и ворот СГМУ</v>
      </c>
      <c r="G15172" s="22" t="s">
        <v>80</v>
      </c>
      <c r="H15172" s="22" t="s">
        <v>81</v>
      </c>
      <c r="I15172" s="26">
        <v>43508</v>
      </c>
      <c r="J15172" s="23" t="str">
        <f>HYPERLINK("https://www.spark-marketing.ru/Card/Person/4369583", "ООО ""ЭНЕРГОРЕКОНСТРУКЦИЯ""")</f>
        <v>ООО "ЭНЕРГОРЕКОНСТРУКЦИЯ"</v>
      </c>
      <c r="K15172" s="24" t="s">
        <v>17456</v>
      </c>
      <c r="L15172" s="22" t="s">
        <v>10</v>
      </c>
      <c r="M15172" s="25">
        <v>38354.550000000003</v>
      </c>
      <c r="N15172" s="27">
        <v>0.81028255395176352</v>
      </c>
    </row>
    <row r="15173" spans="1:14" hidden="1" outlineLevel="1" x14ac:dyDescent="0.2">
      <c r="A15173" s="23" t="str">
        <f t="shared" si="794"/>
        <v>ФГБОУ ВО САРАТОВСКИЙ ГМУ ИМ.В.И.РАЗУМОВСКОГО МИНЗДРАВА РОССИИ</v>
      </c>
      <c r="B15173" s="24" t="s">
        <v>17454</v>
      </c>
      <c r="C15173" s="25">
        <v>202166.7</v>
      </c>
      <c r="D15173" s="22" t="s">
        <v>17455</v>
      </c>
      <c r="E15173" s="22" t="s">
        <v>103</v>
      </c>
      <c r="F15173" s="23" t="str">
        <f t="shared" si="795"/>
        <v>Техническое обслуживание систем видеонаблюдения, контроля доступа, автоматических шлагбаумов и ворот СГМУ</v>
      </c>
      <c r="G15173" s="22" t="s">
        <v>80</v>
      </c>
      <c r="H15173" s="22" t="s">
        <v>81</v>
      </c>
      <c r="I15173" s="26">
        <v>43508</v>
      </c>
      <c r="J15173" s="23" t="str">
        <f>HYPERLINK("https://www.spark-marketing.ru/Card/Person/14845", "ООО ""ВИЗА-СПЕЦСЕРВИС""")</f>
        <v>ООО "ВИЗА-СПЕЦСЕРВИС"</v>
      </c>
      <c r="K15173" s="24" t="s">
        <v>12296</v>
      </c>
      <c r="L15173" s="28" t="s">
        <v>52</v>
      </c>
      <c r="M15173" s="25">
        <v>50000</v>
      </c>
      <c r="N15173" s="27">
        <v>0.75267934828040428</v>
      </c>
    </row>
    <row r="15174" spans="1:14" hidden="1" outlineLevel="1" x14ac:dyDescent="0.2">
      <c r="A15174" s="23" t="str">
        <f t="shared" si="794"/>
        <v>ФГБОУ ВО САРАТОВСКИЙ ГМУ ИМ.В.И.РАЗУМОВСКОГО МИНЗДРАВА РОССИИ</v>
      </c>
      <c r="B15174" s="24" t="s">
        <v>17454</v>
      </c>
      <c r="C15174" s="25">
        <v>202166.7</v>
      </c>
      <c r="D15174" s="22" t="s">
        <v>17455</v>
      </c>
      <c r="E15174" s="22" t="s">
        <v>103</v>
      </c>
      <c r="F15174" s="23" t="str">
        <f t="shared" si="795"/>
        <v>Техническое обслуживание систем видеонаблюдения, контроля доступа, автоматических шлагбаумов и ворот СГМУ</v>
      </c>
      <c r="G15174" s="22" t="s">
        <v>80</v>
      </c>
      <c r="H15174" s="22" t="s">
        <v>81</v>
      </c>
      <c r="I15174" s="26">
        <v>43508</v>
      </c>
      <c r="J15174" s="23" t="str">
        <f>HYPERLINK("https://www.spark-marketing.ru/Card/Person/802605", "Пашков Артем Дмитриевич")</f>
        <v>Пашков Артем Дмитриевич</v>
      </c>
      <c r="K15174" s="24" t="s">
        <v>15503</v>
      </c>
      <c r="L15174" s="28" t="s">
        <v>52</v>
      </c>
      <c r="M15174" s="25">
        <v>144549.23000000001</v>
      </c>
      <c r="N15174" s="27">
        <v>0.28499980461668512</v>
      </c>
    </row>
    <row r="15175" spans="1:14" hidden="1" outlineLevel="1" x14ac:dyDescent="0.2">
      <c r="A15175" s="23" t="str">
        <f t="shared" si="794"/>
        <v>ФГБОУ ВО САРАТОВСКИЙ ГМУ ИМ.В.И.РАЗУМОВСКОГО МИНЗДРАВА РОССИИ</v>
      </c>
      <c r="B15175" s="24" t="s">
        <v>17454</v>
      </c>
      <c r="C15175" s="25">
        <v>202166.7</v>
      </c>
      <c r="D15175" s="22" t="s">
        <v>17455</v>
      </c>
      <c r="E15175" s="22" t="s">
        <v>103</v>
      </c>
      <c r="F15175" s="23" t="str">
        <f t="shared" si="795"/>
        <v>Техническое обслуживание систем видеонаблюдения, контроля доступа, автоматических шлагбаумов и ворот СГМУ</v>
      </c>
      <c r="G15175" s="22" t="s">
        <v>80</v>
      </c>
      <c r="H15175" s="22" t="s">
        <v>81</v>
      </c>
      <c r="I15175" s="26">
        <v>43508</v>
      </c>
      <c r="J15175" s="23" t="str">
        <f>HYPERLINK("https://www.spark-marketing.ru/Card/Person/2555301", "ООО ""ГРУППА КОМПАНИЙ СПЕКТР""")</f>
        <v>ООО "ГРУППА КОМПАНИЙ СПЕКТР"</v>
      </c>
      <c r="K15175" s="24" t="s">
        <v>17457</v>
      </c>
      <c r="L15175" s="28" t="s">
        <v>52</v>
      </c>
      <c r="M15175" s="25">
        <v>152000</v>
      </c>
      <c r="N15175" s="27">
        <v>0.2481452187724289</v>
      </c>
    </row>
    <row r="15176" spans="1:14" hidden="1" outlineLevel="1" x14ac:dyDescent="0.2">
      <c r="A15176" s="23" t="str">
        <f t="shared" si="794"/>
        <v>ФГБОУ ВО САРАТОВСКИЙ ГМУ ИМ.В.И.РАЗУМОВСКОГО МИНЗДРАВА РОССИИ</v>
      </c>
      <c r="B15176" s="24" t="s">
        <v>17454</v>
      </c>
      <c r="C15176" s="25">
        <v>202166.7</v>
      </c>
      <c r="D15176" s="22" t="s">
        <v>17455</v>
      </c>
      <c r="E15176" s="22" t="s">
        <v>103</v>
      </c>
      <c r="F15176" s="23" t="str">
        <f t="shared" si="795"/>
        <v>Техническое обслуживание систем видеонаблюдения, контроля доступа, автоматических шлагбаумов и ворот СГМУ</v>
      </c>
      <c r="G15176" s="22" t="s">
        <v>80</v>
      </c>
      <c r="H15176" s="22" t="s">
        <v>81</v>
      </c>
      <c r="I15176" s="26">
        <v>43508</v>
      </c>
      <c r="J15176" s="23" t="str">
        <f>HYPERLINK("https://www.spark-marketing.ru/Card/Person/4928835", "Гурский Юрий Анатольевич")</f>
        <v>Гурский Юрий Анатольевич</v>
      </c>
      <c r="K15176" s="24" t="s">
        <v>4284</v>
      </c>
      <c r="L15176" s="28" t="s">
        <v>52</v>
      </c>
      <c r="M15176" s="25">
        <v>50484.51</v>
      </c>
      <c r="N15176" s="27">
        <v>0.75028276170111097</v>
      </c>
    </row>
    <row r="15177" spans="1:14" hidden="1" outlineLevel="1" x14ac:dyDescent="0.2">
      <c r="A15177" s="23" t="str">
        <f t="shared" si="794"/>
        <v>ФГБОУ ВО САРАТОВСКИЙ ГМУ ИМ.В.И.РАЗУМОВСКОГО МИНЗДРАВА РОССИИ</v>
      </c>
      <c r="B15177" s="24" t="s">
        <v>17454</v>
      </c>
      <c r="C15177" s="25">
        <v>202166.7</v>
      </c>
      <c r="D15177" s="22" t="s">
        <v>17455</v>
      </c>
      <c r="E15177" s="22" t="s">
        <v>103</v>
      </c>
      <c r="F15177" s="23" t="str">
        <f t="shared" si="795"/>
        <v>Техническое обслуживание систем видеонаблюдения, контроля доступа, автоматических шлагбаумов и ворот СГМУ</v>
      </c>
      <c r="G15177" s="22" t="s">
        <v>80</v>
      </c>
      <c r="H15177" s="22" t="s">
        <v>81</v>
      </c>
      <c r="I15177" s="26">
        <v>43508</v>
      </c>
      <c r="J15177" s="23" t="str">
        <f>HYPERLINK("https://www.spark-marketing.ru/Card/Person/6468199", "ООО ""ПРОФИЦЕР""")</f>
        <v>ООО "ПРОФИЦЕР"</v>
      </c>
      <c r="K15177" s="24" t="s">
        <v>17458</v>
      </c>
      <c r="L15177" s="28" t="s">
        <v>52</v>
      </c>
      <c r="M15177" s="25">
        <v>195090.87</v>
      </c>
      <c r="N15177" s="27">
        <v>3.4999977741141344E-2</v>
      </c>
    </row>
    <row r="15178" spans="1:14" hidden="1" outlineLevel="1" x14ac:dyDescent="0.2">
      <c r="A15178" s="23" t="str">
        <f t="shared" si="794"/>
        <v>ФГБОУ ВО САРАТОВСКИЙ ГМУ ИМ.В.И.РАЗУМОВСКОГО МИНЗДРАВА РОССИИ</v>
      </c>
      <c r="B15178" s="24" t="s">
        <v>17454</v>
      </c>
      <c r="C15178" s="25">
        <v>202166.7</v>
      </c>
      <c r="D15178" s="22" t="s">
        <v>17455</v>
      </c>
      <c r="E15178" s="22" t="s">
        <v>103</v>
      </c>
      <c r="F15178" s="23" t="str">
        <f t="shared" si="795"/>
        <v>Техническое обслуживание систем видеонаблюдения, контроля доступа, автоматических шлагбаумов и ворот СГМУ</v>
      </c>
      <c r="G15178" s="22" t="s">
        <v>80</v>
      </c>
      <c r="H15178" s="22" t="s">
        <v>81</v>
      </c>
      <c r="I15178" s="26">
        <v>43508</v>
      </c>
      <c r="J15178" s="23" t="str">
        <f>HYPERLINK("https://www.spark-marketing.ru/Card/Person/130382", "ООО ""ИНТЕРТЕЛКОМ""")</f>
        <v>ООО "ИНТЕРТЕЛКОМ"</v>
      </c>
      <c r="K15178" s="24" t="s">
        <v>17459</v>
      </c>
      <c r="L15178" s="28" t="s">
        <v>52</v>
      </c>
      <c r="M15178" s="25">
        <v>144500</v>
      </c>
      <c r="N15178" s="27">
        <v>0.28524331653036827</v>
      </c>
    </row>
    <row r="15179" spans="1:14" hidden="1" outlineLevel="1" x14ac:dyDescent="0.2">
      <c r="A15179" s="23" t="str">
        <f t="shared" si="794"/>
        <v>ФГБОУ ВО САРАТОВСКИЙ ГМУ ИМ.В.И.РАЗУМОВСКОГО МИНЗДРАВА РОССИИ</v>
      </c>
      <c r="B15179" s="24" t="s">
        <v>17454</v>
      </c>
      <c r="C15179" s="25">
        <v>202166.7</v>
      </c>
      <c r="D15179" s="22" t="s">
        <v>17455</v>
      </c>
      <c r="E15179" s="22" t="s">
        <v>103</v>
      </c>
      <c r="F15179" s="23" t="str">
        <f t="shared" si="795"/>
        <v>Техническое обслуживание систем видеонаблюдения, контроля доступа, автоматических шлагбаумов и ворот СГМУ</v>
      </c>
      <c r="G15179" s="22" t="s">
        <v>80</v>
      </c>
      <c r="H15179" s="22" t="s">
        <v>81</v>
      </c>
      <c r="I15179" s="26">
        <v>43508</v>
      </c>
      <c r="J15179" s="23" t="str">
        <f>HYPERLINK("https://www.spark-marketing.ru/Card/Person/5898403", "ООО ""ВОЛГА АЙ ТИ""")</f>
        <v>ООО "ВОЛГА АЙ ТИ"</v>
      </c>
      <c r="K15179" s="24" t="s">
        <v>13887</v>
      </c>
      <c r="L15179" s="28" t="s">
        <v>52</v>
      </c>
      <c r="M15179" s="25">
        <v>77777</v>
      </c>
      <c r="N15179" s="27">
        <v>0.61528283342410006</v>
      </c>
    </row>
    <row r="15180" spans="1:14" hidden="1" outlineLevel="1" x14ac:dyDescent="0.2">
      <c r="A15180" s="23" t="str">
        <f t="shared" si="794"/>
        <v>ФГБОУ ВО САРАТОВСКИЙ ГМУ ИМ.В.И.РАЗУМОВСКОГО МИНЗДРАВА РОССИИ</v>
      </c>
      <c r="B15180" s="24" t="s">
        <v>17454</v>
      </c>
      <c r="C15180" s="25">
        <v>202166.7</v>
      </c>
      <c r="D15180" s="22" t="s">
        <v>17455</v>
      </c>
      <c r="E15180" s="22" t="s">
        <v>103</v>
      </c>
      <c r="F15180" s="23" t="str">
        <f t="shared" si="795"/>
        <v>Техническое обслуживание систем видеонаблюдения, контроля доступа, автоматических шлагбаумов и ворот СГМУ</v>
      </c>
      <c r="G15180" s="22" t="s">
        <v>80</v>
      </c>
      <c r="H15180" s="22" t="s">
        <v>81</v>
      </c>
      <c r="I15180" s="26">
        <v>43508</v>
      </c>
      <c r="J15180" s="23" t="str">
        <f>HYPERLINK("https://www.spark-marketing.ru/Card/Person/574743", "ООО ""ТД ""ПРИОРИТЕТ""")</f>
        <v>ООО "ТД "ПРИОРИТЕТ"</v>
      </c>
      <c r="K15180" s="24" t="s">
        <v>13293</v>
      </c>
      <c r="L15180" s="28" t="s">
        <v>52</v>
      </c>
      <c r="M15180" s="25">
        <v>39365.379999999997</v>
      </c>
      <c r="N15180" s="27">
        <v>0.80528257126420921</v>
      </c>
    </row>
    <row r="15181" spans="1:14" x14ac:dyDescent="0.15">
      <c r="A15181" s="23" t="str">
        <f>HYPERLINK("https://www.spark-marketing.ru/Card/Person/78624", "БУЗ ВО ОМЦ ""РЕЗЕРВ""")</f>
        <v>БУЗ ВО ОМЦ "РЕЗЕРВ"</v>
      </c>
      <c r="B15181" s="24" t="s">
        <v>17404</v>
      </c>
      <c r="C15181" s="25">
        <v>123919.44</v>
      </c>
      <c r="D15181" s="22" t="s">
        <v>17460</v>
      </c>
      <c r="E15181" s="22" t="s">
        <v>5799</v>
      </c>
      <c r="F15181" s="23" t="str">
        <f>HYPERLINK("https://www.spark-marketing.ru/Card/Lot/67892842", "Услуги по охране объектов")</f>
        <v>Услуги по охране объектов</v>
      </c>
      <c r="G15181" s="22" t="s">
        <v>902</v>
      </c>
      <c r="H15181" s="22" t="s">
        <v>903</v>
      </c>
      <c r="I15181" s="26">
        <v>43508</v>
      </c>
      <c r="J15181" s="28" t="s">
        <v>52</v>
      </c>
      <c r="K15181" s="28" t="s">
        <v>52</v>
      </c>
      <c r="L15181" s="28" t="s">
        <v>52</v>
      </c>
      <c r="M15181" s="28" t="s">
        <v>52</v>
      </c>
      <c r="N15181" s="28" t="s">
        <v>52</v>
      </c>
    </row>
    <row r="15182" spans="1:14" x14ac:dyDescent="0.15">
      <c r="A15182" s="23" t="str">
        <f>HYPERLINK("https://www.spark-marketing.ru/Card/Person/22490", "ИФНС РОССИИ № 1 ПО ЦЕНТРАЛЬНОМУ АДМИНИСТРАТИВНОМУ ОКРУГУ Г. ОМСКА")</f>
        <v>ИФНС РОССИИ № 1 ПО ЦЕНТРАЛЬНОМУ АДМИНИСТРАТИВНОМУ ОКРУГУ Г. ОМСКА</v>
      </c>
      <c r="B15182" s="24" t="s">
        <v>17461</v>
      </c>
      <c r="C15182" s="25">
        <v>386955.36</v>
      </c>
      <c r="D15182" s="22" t="s">
        <v>17462</v>
      </c>
      <c r="E15182" s="22" t="s">
        <v>68</v>
      </c>
      <c r="F15182" s="23" t="str">
        <f>HYPERLINK("https://www.spark-marketing.ru/Card/Lot/67886312", "Оказание услуг охраны объектов")</f>
        <v>Оказание услуг охраны объектов</v>
      </c>
      <c r="G15182" s="22" t="s">
        <v>521</v>
      </c>
      <c r="H15182" s="22" t="s">
        <v>522</v>
      </c>
      <c r="I15182" s="26">
        <v>43508</v>
      </c>
      <c r="J15182" s="28" t="s">
        <v>52</v>
      </c>
      <c r="K15182" s="28" t="s">
        <v>52</v>
      </c>
      <c r="L15182" s="28" t="s">
        <v>52</v>
      </c>
      <c r="M15182" s="28" t="s">
        <v>52</v>
      </c>
      <c r="N15182" s="28" t="s">
        <v>52</v>
      </c>
    </row>
    <row r="15183" spans="1:14" hidden="1" outlineLevel="1" x14ac:dyDescent="0.2">
      <c r="A15183" s="23" t="str">
        <f>HYPERLINK("https://www.spark-marketing.ru/Card/Person/22490", "ИФНС РОССИИ № 1 ПО ЦЕНТРАЛЬНОМУ АДМИНИСТРАТИВНОМУ ОКРУГУ Г. ОМСКА")</f>
        <v>ИФНС РОССИИ № 1 ПО ЦЕНТРАЛЬНОМУ АДМИНИСТРАТИВНОМУ ОКРУГУ Г. ОМСКА</v>
      </c>
      <c r="B15183" s="24" t="s">
        <v>17461</v>
      </c>
      <c r="C15183" s="25">
        <v>386955.36</v>
      </c>
      <c r="D15183" s="22" t="s">
        <v>17462</v>
      </c>
      <c r="E15183" s="22" t="s">
        <v>68</v>
      </c>
      <c r="F15183" s="23" t="str">
        <f>HYPERLINK("https://www.spark-marketing.ru/Card/Lot/67886312", "Оказание услуг охраны объектов")</f>
        <v>Оказание услуг охраны объектов</v>
      </c>
      <c r="G15183" s="22" t="s">
        <v>521</v>
      </c>
      <c r="H15183" s="22" t="s">
        <v>522</v>
      </c>
      <c r="I15183" s="26">
        <v>43508</v>
      </c>
      <c r="J15183" s="23" t="str">
        <f>HYPERLINK("https://www.spark-marketing.ru/Card/Person/87060", "ООО ОП ""МАСТИФФ""")</f>
        <v>ООО ОП "МАСТИФФ"</v>
      </c>
      <c r="K15183" s="24" t="s">
        <v>17463</v>
      </c>
      <c r="L15183" s="28" t="s">
        <v>52</v>
      </c>
      <c r="M15183" s="25">
        <v>263853.21999999997</v>
      </c>
      <c r="N15183" s="27">
        <v>0.31813008094783851</v>
      </c>
    </row>
    <row r="15184" spans="1:14" ht="12.75" hidden="1" outlineLevel="1" x14ac:dyDescent="0.2">
      <c r="A15184" s="23" t="str">
        <f>HYPERLINK("https://www.spark-marketing.ru/Card/Person/22490", "ИФНС РОССИИ № 1 ПО ЦЕНТРАЛЬНОМУ АДМИНИСТРАТИВНОМУ ОКРУГУ Г. ОМСКА")</f>
        <v>ИФНС РОССИИ № 1 ПО ЦЕНТРАЛЬНОМУ АДМИНИСТРАТИВНОМУ ОКРУГУ Г. ОМСКА</v>
      </c>
      <c r="B15184" s="24" t="s">
        <v>17461</v>
      </c>
      <c r="C15184" s="25">
        <v>386955.36</v>
      </c>
      <c r="D15184" s="22" t="s">
        <v>17462</v>
      </c>
      <c r="E15184" s="22" t="s">
        <v>68</v>
      </c>
      <c r="F15184" s="23" t="str">
        <f>HYPERLINK("https://www.spark-marketing.ru/Card/Lot/67886312", "Оказание услуг охраны объектов")</f>
        <v>Оказание услуг охраны объектов</v>
      </c>
      <c r="G15184" s="22" t="s">
        <v>521</v>
      </c>
      <c r="H15184" s="22" t="s">
        <v>522</v>
      </c>
      <c r="I15184" s="26">
        <v>43508</v>
      </c>
      <c r="J15184" s="23" t="str">
        <f>HYPERLINK("https://www.spark-marketing.ru/Card/Person/382391", "ООО ОА ""ВЕРТИКАЛЬ""")</f>
        <v>ООО ОА "ВЕРТИКАЛЬ"</v>
      </c>
      <c r="K15184" s="24" t="s">
        <v>17464</v>
      </c>
      <c r="L15184" s="22" t="s">
        <v>10</v>
      </c>
      <c r="M15184" s="25">
        <v>260820</v>
      </c>
      <c r="N15184" s="27">
        <v>0.32596876290846571</v>
      </c>
    </row>
    <row r="15185" spans="1:14" x14ac:dyDescent="0.15">
      <c r="A15185" s="23" t="str">
        <f>HYPERLINK("https://www.spark-marketing.ru/Card/Person/367790", "МУП ""НОВГОРОДСКИЙ ВОДОКАНАЛ""")</f>
        <v>МУП "НОВГОРОДСКИЙ ВОДОКАНАЛ"</v>
      </c>
      <c r="B15185" s="24" t="s">
        <v>16056</v>
      </c>
      <c r="C15185" s="25">
        <v>10690908.4</v>
      </c>
      <c r="D15185" s="22" t="s">
        <v>17465</v>
      </c>
      <c r="E15185" s="22" t="s">
        <v>68</v>
      </c>
      <c r="F15185" s="23" t="str">
        <f>HYPERLINK("https://www.spark-marketing.ru/Card/Lot/67877764", "Оказание услуг по физической охране имущества объектов МУП «Новгородский  водоканал» (объекты, на которые частная охранная деятельность не распространяется)")</f>
        <v>Оказание услуг по физической охране имущества объектов МУП «Новгородский  водоканал» (объекты, на которые частная охранная деятельность не распространяется)</v>
      </c>
      <c r="G15185" s="22" t="s">
        <v>959</v>
      </c>
      <c r="H15185" s="22" t="s">
        <v>959</v>
      </c>
      <c r="I15185" s="26">
        <v>43508</v>
      </c>
      <c r="J15185" s="28" t="s">
        <v>52</v>
      </c>
      <c r="K15185" s="28" t="s">
        <v>52</v>
      </c>
      <c r="L15185" s="28" t="s">
        <v>52</v>
      </c>
      <c r="M15185" s="28" t="s">
        <v>52</v>
      </c>
      <c r="N15185" s="28" t="s">
        <v>52</v>
      </c>
    </row>
    <row r="15186" spans="1:14" x14ac:dyDescent="0.15">
      <c r="A15186" s="23" t="str">
        <f t="shared" ref="A15186:A15191" si="796">HYPERLINK("https://www.spark-marketing.ru/Card/Person/14005", "КОМИТЕТ ИВАНОВСКОЙ ОБЛАСТИ ПО ОБЕСПЕЧЕНИЮ ДЕЯТЕЛЬНОСТИ МИРОВЫХ СУДЕЙ И ГРАЖДАНСКОЙ ЗАЩИТЫ НАСЕЛЕНИЯ")</f>
        <v>КОМИТЕТ ИВАНОВСКОЙ ОБЛАСТИ ПО ОБЕСПЕЧЕНИЮ ДЕЯТЕЛЬНОСТИ МИРОВЫХ СУДЕЙ И ГРАЖДАНСКОЙ ЗАЩИТЫ НАСЕЛЕНИЯ</v>
      </c>
      <c r="B15186" s="24" t="s">
        <v>5548</v>
      </c>
      <c r="C15186" s="25">
        <v>128125.99</v>
      </c>
      <c r="D15186" s="22" t="s">
        <v>17466</v>
      </c>
      <c r="E15186" s="22" t="s">
        <v>59</v>
      </c>
      <c r="F15186" s="23" t="str">
        <f t="shared" ref="F15186:F15191" si="797">HYPERLINK("https://www.spark-marketing.ru/Card/Lot/67872892", "Монтаж радиоканальной тревожной сигнализации (тревожных кнопок) и защитных ящиков (щитков)")</f>
        <v>Монтаж радиоканальной тревожной сигнализации (тревожных кнопок) и защитных ящиков (щитков)</v>
      </c>
      <c r="G15186" s="22" t="s">
        <v>340</v>
      </c>
      <c r="H15186" s="22" t="s">
        <v>1030</v>
      </c>
      <c r="I15186" s="26">
        <v>43508</v>
      </c>
      <c r="J15186" s="28" t="s">
        <v>52</v>
      </c>
      <c r="K15186" s="28" t="s">
        <v>52</v>
      </c>
      <c r="L15186" s="28" t="s">
        <v>52</v>
      </c>
      <c r="M15186" s="28" t="s">
        <v>52</v>
      </c>
      <c r="N15186" s="28" t="s">
        <v>52</v>
      </c>
    </row>
    <row r="15187" spans="1:14" hidden="1" outlineLevel="1" x14ac:dyDescent="0.2">
      <c r="A15187" s="23" t="str">
        <f t="shared" si="796"/>
        <v>КОМИТЕТ ИВАНОВСКОЙ ОБЛАСТИ ПО ОБЕСПЕЧЕНИЮ ДЕЯТЕЛЬНОСТИ МИРОВЫХ СУДЕЙ И ГРАЖДАНСКОЙ ЗАЩИТЫ НАСЕЛЕНИЯ</v>
      </c>
      <c r="B15187" s="24" t="s">
        <v>5548</v>
      </c>
      <c r="C15187" s="25">
        <v>128125.99</v>
      </c>
      <c r="D15187" s="22" t="s">
        <v>17466</v>
      </c>
      <c r="E15187" s="22" t="s">
        <v>59</v>
      </c>
      <c r="F15187" s="23" t="str">
        <f t="shared" si="797"/>
        <v>Монтаж радиоканальной тревожной сигнализации (тревожных кнопок) и защитных ящиков (щитков)</v>
      </c>
      <c r="G15187" s="22" t="s">
        <v>340</v>
      </c>
      <c r="H15187" s="22" t="s">
        <v>1030</v>
      </c>
      <c r="I15187" s="26">
        <v>43508</v>
      </c>
      <c r="J15187" s="23" t="str">
        <f>HYPERLINK("https://www.spark-marketing.ru/Card/Person/5857682", "Жилов Сергей Валерьевич")</f>
        <v>Жилов Сергей Валерьевич</v>
      </c>
      <c r="K15187" s="24" t="s">
        <v>11729</v>
      </c>
      <c r="L15187" s="28" t="s">
        <v>52</v>
      </c>
      <c r="M15187" s="25">
        <v>95160</v>
      </c>
      <c r="N15187" s="27">
        <v>0.25729354364403351</v>
      </c>
    </row>
    <row r="15188" spans="1:14" hidden="1" outlineLevel="1" x14ac:dyDescent="0.2">
      <c r="A15188" s="23" t="str">
        <f t="shared" si="796"/>
        <v>КОМИТЕТ ИВАНОВСКОЙ ОБЛАСТИ ПО ОБЕСПЕЧЕНИЮ ДЕЯТЕЛЬНОСТИ МИРОВЫХ СУДЕЙ И ГРАЖДАНСКОЙ ЗАЩИТЫ НАСЕЛЕНИЯ</v>
      </c>
      <c r="B15188" s="24" t="s">
        <v>5548</v>
      </c>
      <c r="C15188" s="25">
        <v>128125.99</v>
      </c>
      <c r="D15188" s="22" t="s">
        <v>17466</v>
      </c>
      <c r="E15188" s="22" t="s">
        <v>59</v>
      </c>
      <c r="F15188" s="23" t="str">
        <f t="shared" si="797"/>
        <v>Монтаж радиоканальной тревожной сигнализации (тревожных кнопок) и защитных ящиков (щитков)</v>
      </c>
      <c r="G15188" s="22" t="s">
        <v>340</v>
      </c>
      <c r="H15188" s="22" t="s">
        <v>1030</v>
      </c>
      <c r="I15188" s="26">
        <v>43508</v>
      </c>
      <c r="J15188" s="23" t="str">
        <f>HYPERLINK("https://www.spark-marketing.ru/Card/Person/1299870", "ООО ""ГРАНТ""")</f>
        <v>ООО "ГРАНТ"</v>
      </c>
      <c r="K15188" s="24" t="s">
        <v>17467</v>
      </c>
      <c r="L15188" s="28" t="s">
        <v>52</v>
      </c>
      <c r="M15188" s="25">
        <v>120000</v>
      </c>
      <c r="N15188" s="27">
        <v>6.3421870925641236E-2</v>
      </c>
    </row>
    <row r="15189" spans="1:14" hidden="1" outlineLevel="1" x14ac:dyDescent="0.2">
      <c r="A15189" s="23" t="str">
        <f t="shared" si="796"/>
        <v>КОМИТЕТ ИВАНОВСКОЙ ОБЛАСТИ ПО ОБЕСПЕЧЕНИЮ ДЕЯТЕЛЬНОСТИ МИРОВЫХ СУДЕЙ И ГРАЖДАНСКОЙ ЗАЩИТЫ НАСЕЛЕНИЯ</v>
      </c>
      <c r="B15189" s="24" t="s">
        <v>5548</v>
      </c>
      <c r="C15189" s="25">
        <v>128125.99</v>
      </c>
      <c r="D15189" s="22" t="s">
        <v>17466</v>
      </c>
      <c r="E15189" s="22" t="s">
        <v>59</v>
      </c>
      <c r="F15189" s="23" t="str">
        <f t="shared" si="797"/>
        <v>Монтаж радиоканальной тревожной сигнализации (тревожных кнопок) и защитных ящиков (щитков)</v>
      </c>
      <c r="G15189" s="22" t="s">
        <v>340</v>
      </c>
      <c r="H15189" s="22" t="s">
        <v>1030</v>
      </c>
      <c r="I15189" s="26">
        <v>43508</v>
      </c>
      <c r="J15189" s="23" t="str">
        <f>HYPERLINK("https://www.spark-marketing.ru/Card/Person/1300278", "ООО ""ТД""")</f>
        <v>ООО "ТД"</v>
      </c>
      <c r="K15189" s="24" t="s">
        <v>17468</v>
      </c>
      <c r="L15189" s="28" t="s">
        <v>52</v>
      </c>
      <c r="M15189" s="25">
        <v>118500</v>
      </c>
      <c r="N15189" s="27">
        <v>7.5129097539070724E-2</v>
      </c>
    </row>
    <row r="15190" spans="1:14" ht="12.75" hidden="1" outlineLevel="1" x14ac:dyDescent="0.2">
      <c r="A15190" s="23" t="str">
        <f t="shared" si="796"/>
        <v>КОМИТЕТ ИВАНОВСКОЙ ОБЛАСТИ ПО ОБЕСПЕЧЕНИЮ ДЕЯТЕЛЬНОСТИ МИРОВЫХ СУДЕЙ И ГРАЖДАНСКОЙ ЗАЩИТЫ НАСЕЛЕНИЯ</v>
      </c>
      <c r="B15190" s="24" t="s">
        <v>5548</v>
      </c>
      <c r="C15190" s="25">
        <v>128125.99</v>
      </c>
      <c r="D15190" s="22" t="s">
        <v>17466</v>
      </c>
      <c r="E15190" s="22" t="s">
        <v>59</v>
      </c>
      <c r="F15190" s="23" t="str">
        <f t="shared" si="797"/>
        <v>Монтаж радиоканальной тревожной сигнализации (тревожных кнопок) и защитных ящиков (щитков)</v>
      </c>
      <c r="G15190" s="22" t="s">
        <v>340</v>
      </c>
      <c r="H15190" s="22" t="s">
        <v>1030</v>
      </c>
      <c r="I15190" s="26">
        <v>43508</v>
      </c>
      <c r="J15190" s="23" t="str">
        <f>HYPERLINK("https://www.spark-marketing.ru/Card/Person/586540", "ООО НПП "" АСТРА """)</f>
        <v>ООО НПП " АСТРА "</v>
      </c>
      <c r="K15190" s="24" t="s">
        <v>17469</v>
      </c>
      <c r="L15190" s="22" t="s">
        <v>10</v>
      </c>
      <c r="M15190" s="25">
        <v>89695</v>
      </c>
      <c r="N15190" s="27">
        <v>0.29994687260562825</v>
      </c>
    </row>
    <row r="15191" spans="1:14" hidden="1" outlineLevel="1" x14ac:dyDescent="0.2">
      <c r="A15191" s="23" t="str">
        <f t="shared" si="796"/>
        <v>КОМИТЕТ ИВАНОВСКОЙ ОБЛАСТИ ПО ОБЕСПЕЧЕНИЮ ДЕЯТЕЛЬНОСТИ МИРОВЫХ СУДЕЙ И ГРАЖДАНСКОЙ ЗАЩИТЫ НАСЕЛЕНИЯ</v>
      </c>
      <c r="B15191" s="24" t="s">
        <v>5548</v>
      </c>
      <c r="C15191" s="25">
        <v>128125.99</v>
      </c>
      <c r="D15191" s="22" t="s">
        <v>17466</v>
      </c>
      <c r="E15191" s="22" t="s">
        <v>59</v>
      </c>
      <c r="F15191" s="23" t="str">
        <f t="shared" si="797"/>
        <v>Монтаж радиоканальной тревожной сигнализации (тревожных кнопок) и защитных ящиков (щитков)</v>
      </c>
      <c r="G15191" s="22" t="s">
        <v>340</v>
      </c>
      <c r="H15191" s="22" t="s">
        <v>1030</v>
      </c>
      <c r="I15191" s="26">
        <v>43508</v>
      </c>
      <c r="J15191" s="23" t="str">
        <f>HYPERLINK("https://www.spark-marketing.ru/Card/Person/261110", "ООО ""ЗАЩИТА-СЕРВИС""")</f>
        <v>ООО "ЗАЩИТА-СЕРВИС"</v>
      </c>
      <c r="K15191" s="24" t="s">
        <v>17438</v>
      </c>
      <c r="L15191" s="28" t="s">
        <v>52</v>
      </c>
      <c r="M15191" s="25">
        <v>105000</v>
      </c>
      <c r="N15191" s="27">
        <v>0.18049413705993608</v>
      </c>
    </row>
    <row r="15192" spans="1:14" x14ac:dyDescent="0.15">
      <c r="A15192" s="23" t="str">
        <f t="shared" ref="A15192:A15197" si="798">HYPERLINK("https://www.spark-marketing.ru/Card/Person/1066781", "МКУ ""АХЧ АДМИНИСТРАЦИИ МО БЕЛОРЕЧЕНСКИЙ РАЙОН""")</f>
        <v>МКУ "АХЧ АДМИНИСТРАЦИИ МО БЕЛОРЕЧЕНСКИЙ РАЙОН"</v>
      </c>
      <c r="B15192" s="24" t="s">
        <v>17470</v>
      </c>
      <c r="C15192" s="25">
        <v>696000</v>
      </c>
      <c r="D15192" s="22" t="s">
        <v>17471</v>
      </c>
      <c r="E15192" s="22" t="s">
        <v>52</v>
      </c>
      <c r="F15192" s="23" t="str">
        <f t="shared" ref="F15192:F15197" si="799">HYPERLINK("https://www.spark-marketing.ru/Card/Lot/67891426", "Оказание услуг по охране объектов")</f>
        <v>Оказание услуг по охране объектов</v>
      </c>
      <c r="G15192" s="22" t="s">
        <v>132</v>
      </c>
      <c r="H15192" s="22" t="s">
        <v>17472</v>
      </c>
      <c r="I15192" s="26">
        <v>43508</v>
      </c>
      <c r="J15192" s="28" t="s">
        <v>52</v>
      </c>
      <c r="K15192" s="28" t="s">
        <v>52</v>
      </c>
      <c r="L15192" s="28" t="s">
        <v>52</v>
      </c>
      <c r="M15192" s="28" t="s">
        <v>52</v>
      </c>
      <c r="N15192" s="28" t="s">
        <v>52</v>
      </c>
    </row>
    <row r="15193" spans="1:14" hidden="1" outlineLevel="1" x14ac:dyDescent="0.2">
      <c r="A15193" s="23" t="str">
        <f t="shared" si="798"/>
        <v>МКУ "АХЧ АДМИНИСТРАЦИИ МО БЕЛОРЕЧЕНСКИЙ РАЙОН"</v>
      </c>
      <c r="B15193" s="24" t="s">
        <v>17470</v>
      </c>
      <c r="C15193" s="25">
        <v>696000</v>
      </c>
      <c r="D15193" s="22" t="s">
        <v>17471</v>
      </c>
      <c r="E15193" s="22" t="s">
        <v>52</v>
      </c>
      <c r="F15193" s="23" t="str">
        <f t="shared" si="799"/>
        <v>Оказание услуг по охране объектов</v>
      </c>
      <c r="G15193" s="22" t="s">
        <v>132</v>
      </c>
      <c r="H15193" s="22" t="s">
        <v>17472</v>
      </c>
      <c r="I15193" s="26">
        <v>43508</v>
      </c>
      <c r="J15193" s="23" t="str">
        <f>HYPERLINK("https://www.spark-marketing.ru/Card/Person/56618", "ООО ЧОО ""ИСКАНДЕР""")</f>
        <v>ООО ЧОО "ИСКАНДЕР"</v>
      </c>
      <c r="K15193" s="24" t="s">
        <v>3814</v>
      </c>
      <c r="L15193" s="28" t="s">
        <v>52</v>
      </c>
      <c r="M15193" s="25">
        <v>517696.33</v>
      </c>
      <c r="N15193" s="27">
        <v>0.25618343390804599</v>
      </c>
    </row>
    <row r="15194" spans="1:14" hidden="1" outlineLevel="1" x14ac:dyDescent="0.2">
      <c r="A15194" s="23" t="str">
        <f t="shared" si="798"/>
        <v>МКУ "АХЧ АДМИНИСТРАЦИИ МО БЕЛОРЕЧЕНСКИЙ РАЙОН"</v>
      </c>
      <c r="B15194" s="24" t="s">
        <v>17470</v>
      </c>
      <c r="C15194" s="25">
        <v>696000</v>
      </c>
      <c r="D15194" s="22" t="s">
        <v>17471</v>
      </c>
      <c r="E15194" s="22" t="s">
        <v>52</v>
      </c>
      <c r="F15194" s="23" t="str">
        <f t="shared" si="799"/>
        <v>Оказание услуг по охране объектов</v>
      </c>
      <c r="G15194" s="22" t="s">
        <v>132</v>
      </c>
      <c r="H15194" s="22" t="s">
        <v>17472</v>
      </c>
      <c r="I15194" s="26">
        <v>43508</v>
      </c>
      <c r="J15194" s="23" t="str">
        <f>HYPERLINK("https://www.spark-marketing.ru/Card/Person/448039", "ООО ""ЧОП ""ПАНТЕРА ЮГ""")</f>
        <v>ООО "ЧОП "ПАНТЕРА ЮГ"</v>
      </c>
      <c r="K15194" s="24" t="s">
        <v>3815</v>
      </c>
      <c r="L15194" s="28" t="s">
        <v>52</v>
      </c>
      <c r="M15194" s="25">
        <v>601442.84</v>
      </c>
      <c r="N15194" s="27">
        <v>0.13585798850574712</v>
      </c>
    </row>
    <row r="15195" spans="1:14" hidden="1" outlineLevel="1" x14ac:dyDescent="0.2">
      <c r="A15195" s="23" t="str">
        <f t="shared" si="798"/>
        <v>МКУ "АХЧ АДМИНИСТРАЦИИ МО БЕЛОРЕЧЕНСКИЙ РАЙОН"</v>
      </c>
      <c r="B15195" s="24" t="s">
        <v>17470</v>
      </c>
      <c r="C15195" s="25">
        <v>696000</v>
      </c>
      <c r="D15195" s="22" t="s">
        <v>17471</v>
      </c>
      <c r="E15195" s="22" t="s">
        <v>52</v>
      </c>
      <c r="F15195" s="23" t="str">
        <f t="shared" si="799"/>
        <v>Оказание услуг по охране объектов</v>
      </c>
      <c r="G15195" s="22" t="s">
        <v>132</v>
      </c>
      <c r="H15195" s="22" t="s">
        <v>17472</v>
      </c>
      <c r="I15195" s="26">
        <v>43508</v>
      </c>
      <c r="J15195" s="23" t="str">
        <f>HYPERLINK("https://www.spark-marketing.ru/Card/Person/234089", "ООО ЧОО ""АБ ""АЛЬФА-СОКОЛ""")</f>
        <v>ООО ЧОО "АБ "АЛЬФА-СОКОЛ"</v>
      </c>
      <c r="K15195" s="24" t="s">
        <v>11640</v>
      </c>
      <c r="L15195" s="28" t="s">
        <v>52</v>
      </c>
      <c r="M15195" s="25">
        <v>685560</v>
      </c>
      <c r="N15195" s="27">
        <v>1.4999999999999999E-2</v>
      </c>
    </row>
    <row r="15196" spans="1:14" ht="12.75" hidden="1" outlineLevel="1" x14ac:dyDescent="0.2">
      <c r="A15196" s="23" t="str">
        <f t="shared" si="798"/>
        <v>МКУ "АХЧ АДМИНИСТРАЦИИ МО БЕЛОРЕЧЕНСКИЙ РАЙОН"</v>
      </c>
      <c r="B15196" s="24" t="s">
        <v>17470</v>
      </c>
      <c r="C15196" s="25">
        <v>696000</v>
      </c>
      <c r="D15196" s="22" t="s">
        <v>17471</v>
      </c>
      <c r="E15196" s="22" t="s">
        <v>52</v>
      </c>
      <c r="F15196" s="23" t="str">
        <f t="shared" si="799"/>
        <v>Оказание услуг по охране объектов</v>
      </c>
      <c r="G15196" s="22" t="s">
        <v>132</v>
      </c>
      <c r="H15196" s="22" t="s">
        <v>17472</v>
      </c>
      <c r="I15196" s="26">
        <v>43508</v>
      </c>
      <c r="J15196" s="23" t="str">
        <f>HYPERLINK("https://www.spark-marketing.ru/Card/Person/245476", "ООО ЧОО ""МЕРКУРИЙ""")</f>
        <v>ООО ЧОО "МЕРКУРИЙ"</v>
      </c>
      <c r="K15196" s="24" t="s">
        <v>9165</v>
      </c>
      <c r="L15196" s="22" t="s">
        <v>10</v>
      </c>
      <c r="M15196" s="25">
        <v>474597.87</v>
      </c>
      <c r="N15196" s="27">
        <v>0.31810650862068968</v>
      </c>
    </row>
    <row r="15197" spans="1:14" hidden="1" outlineLevel="1" x14ac:dyDescent="0.2">
      <c r="A15197" s="23" t="str">
        <f t="shared" si="798"/>
        <v>МКУ "АХЧ АДМИНИСТРАЦИИ МО БЕЛОРЕЧЕНСКИЙ РАЙОН"</v>
      </c>
      <c r="B15197" s="24" t="s">
        <v>17470</v>
      </c>
      <c r="C15197" s="25">
        <v>696000</v>
      </c>
      <c r="D15197" s="22" t="s">
        <v>17471</v>
      </c>
      <c r="E15197" s="22" t="s">
        <v>52</v>
      </c>
      <c r="F15197" s="23" t="str">
        <f t="shared" si="799"/>
        <v>Оказание услуг по охране объектов</v>
      </c>
      <c r="G15197" s="22" t="s">
        <v>132</v>
      </c>
      <c r="H15197" s="22" t="s">
        <v>17472</v>
      </c>
      <c r="I15197" s="26">
        <v>43508</v>
      </c>
      <c r="J15197" s="23" t="str">
        <f>HYPERLINK("https://www.spark-marketing.ru/Card/Person/461410", "ООО ""ОСА ""СКОРПИОН""")</f>
        <v>ООО "ОСА "СКОРПИОН"</v>
      </c>
      <c r="K15197" s="24" t="s">
        <v>6843</v>
      </c>
      <c r="L15197" s="28" t="s">
        <v>52</v>
      </c>
      <c r="M15197" s="25">
        <v>478077.87</v>
      </c>
      <c r="N15197" s="27">
        <v>0.31310650862068967</v>
      </c>
    </row>
    <row r="15198" spans="1:14" x14ac:dyDescent="0.15">
      <c r="A15198" s="23" t="str">
        <f>HYPERLINK("https://www.spark-marketing.ru/Card/Person/78624", "БУЗ ВО ОМЦ ""РЕЗЕРВ""")</f>
        <v>БУЗ ВО ОМЦ "РЕЗЕРВ"</v>
      </c>
      <c r="B15198" s="24" t="s">
        <v>17404</v>
      </c>
      <c r="C15198" s="25">
        <v>15553.2</v>
      </c>
      <c r="D15198" s="22" t="s">
        <v>17473</v>
      </c>
      <c r="E15198" s="22" t="s">
        <v>5799</v>
      </c>
      <c r="F15198" s="23" t="str">
        <f>HYPERLINK("https://www.spark-marketing.ru/Card/Lot/67892841", "Услуги по охране объектов")</f>
        <v>Услуги по охране объектов</v>
      </c>
      <c r="G15198" s="22" t="s">
        <v>902</v>
      </c>
      <c r="H15198" s="22" t="s">
        <v>903</v>
      </c>
      <c r="I15198" s="26">
        <v>43508</v>
      </c>
      <c r="J15198" s="28" t="s">
        <v>52</v>
      </c>
      <c r="K15198" s="28" t="s">
        <v>52</v>
      </c>
      <c r="L15198" s="28" t="s">
        <v>52</v>
      </c>
      <c r="M15198" s="28" t="s">
        <v>52</v>
      </c>
      <c r="N15198" s="28" t="s">
        <v>52</v>
      </c>
    </row>
    <row r="15199" spans="1:14" x14ac:dyDescent="0.15">
      <c r="A15199" s="23" t="str">
        <f>HYPERLINK("https://www.spark-marketing.ru/Card/Person/16551", "ГБУЗ ЦРБ КОТОВСКОГО МУНИЦИПАЛЬНОГО РАЙОНА")</f>
        <v>ГБУЗ ЦРБ КОТОВСКОГО МУНИЦИПАЛЬНОГО РАЙОНА</v>
      </c>
      <c r="B15199" s="24" t="s">
        <v>17474</v>
      </c>
      <c r="C15199" s="25">
        <v>65192.4</v>
      </c>
      <c r="D15199" s="22" t="s">
        <v>17475</v>
      </c>
      <c r="E15199" s="22" t="s">
        <v>68</v>
      </c>
      <c r="F15199" s="23" t="str">
        <f>HYPERLINK("https://www.spark-marketing.ru/Card/Lot/67878734", "централизованная охрана объекта при помощи средств охранной сигнализации")</f>
        <v>централизованная охрана объекта при помощи средств охранной сигнализации</v>
      </c>
      <c r="G15199" s="22" t="s">
        <v>343</v>
      </c>
      <c r="H15199" s="22" t="s">
        <v>17476</v>
      </c>
      <c r="I15199" s="26">
        <v>43508</v>
      </c>
      <c r="J15199" s="28" t="s">
        <v>52</v>
      </c>
      <c r="K15199" s="28" t="s">
        <v>52</v>
      </c>
      <c r="L15199" s="28" t="s">
        <v>52</v>
      </c>
      <c r="M15199" s="28" t="s">
        <v>52</v>
      </c>
      <c r="N15199" s="28" t="s">
        <v>52</v>
      </c>
    </row>
    <row r="15200" spans="1:14" ht="12.75" x14ac:dyDescent="0.2">
      <c r="A15200" s="23" t="str">
        <f>HYPERLINK("https://www.spark-marketing.ru/Card/Person/679138", "ГБУ РК ""КОМФОРТ""")</f>
        <v>ГБУ РК "КОМФОРТ"</v>
      </c>
      <c r="B15200" s="24" t="s">
        <v>17477</v>
      </c>
      <c r="C15200" s="25">
        <v>51000.12</v>
      </c>
      <c r="D15200" s="22" t="s">
        <v>17478</v>
      </c>
      <c r="E15200" s="22" t="s">
        <v>107</v>
      </c>
      <c r="F15200" s="23" t="str">
        <f>HYPERLINK("https://www.spark-marketing.ru/Card/Lot/67873740", "Техническое обслуживание аудиодомофонной системы доступа и автоматических шлагбаумов на объектах по адресу ул. Коммунистическая, д. 8 и д. 9")</f>
        <v>Техническое обслуживание аудиодомофонной системы доступа и автоматических шлагбаумов на объектах по адресу ул. Коммунистическая, д. 8 и д. 9</v>
      </c>
      <c r="G15200" s="22" t="s">
        <v>538</v>
      </c>
      <c r="H15200" s="22" t="s">
        <v>538</v>
      </c>
      <c r="I15200" s="26">
        <v>43508</v>
      </c>
      <c r="J15200" s="23" t="str">
        <f>HYPERLINK("https://www.spark-marketing.ru/Card/Person/205794", "ООО ""КВАДРО""")</f>
        <v>ООО "КВАДРО"</v>
      </c>
      <c r="K15200" s="24" t="s">
        <v>17479</v>
      </c>
      <c r="L15200" s="22" t="s">
        <v>10</v>
      </c>
      <c r="M15200" s="25">
        <v>44793</v>
      </c>
      <c r="N15200" s="27">
        <v>0.12170794892247312</v>
      </c>
    </row>
    <row r="15201" spans="1:14" x14ac:dyDescent="0.15">
      <c r="A15201" s="23" t="str">
        <f>HYPERLINK("https://www.spark-marketing.ru/Card/Person/78624", "БУЗ ВО ОМЦ ""РЕЗЕРВ""")</f>
        <v>БУЗ ВО ОМЦ "РЕЗЕРВ"</v>
      </c>
      <c r="B15201" s="24" t="s">
        <v>17404</v>
      </c>
      <c r="C15201" s="25">
        <v>34329.24</v>
      </c>
      <c r="D15201" s="22" t="s">
        <v>17480</v>
      </c>
      <c r="E15201" s="22" t="s">
        <v>5799</v>
      </c>
      <c r="F15201" s="23" t="str">
        <f>HYPERLINK("https://www.spark-marketing.ru/Card/Lot/67892838", "Услуги по охране объектов")</f>
        <v>Услуги по охране объектов</v>
      </c>
      <c r="G15201" s="22" t="s">
        <v>902</v>
      </c>
      <c r="H15201" s="22" t="s">
        <v>903</v>
      </c>
      <c r="I15201" s="26">
        <v>43508</v>
      </c>
      <c r="J15201" s="28" t="s">
        <v>52</v>
      </c>
      <c r="K15201" s="28" t="s">
        <v>52</v>
      </c>
      <c r="L15201" s="28" t="s">
        <v>52</v>
      </c>
      <c r="M15201" s="28" t="s">
        <v>52</v>
      </c>
      <c r="N15201" s="28" t="s">
        <v>52</v>
      </c>
    </row>
    <row r="15202" spans="1:14" x14ac:dyDescent="0.15">
      <c r="A15202" s="23" t="str">
        <f t="shared" ref="A15202:A15212" si="800">HYPERLINK("https://www.spark-marketing.ru/Card/Person/4353670", "ФГБУ ""РОСГЕОЛФОНД""")</f>
        <v>ФГБУ "РОСГЕОЛФОНД"</v>
      </c>
      <c r="B15202" s="24" t="s">
        <v>17481</v>
      </c>
      <c r="C15202" s="25">
        <v>260000</v>
      </c>
      <c r="D15202" s="22" t="s">
        <v>17482</v>
      </c>
      <c r="E15202" s="22" t="s">
        <v>59</v>
      </c>
      <c r="F15202" s="23" t="str">
        <f t="shared" ref="F15202:F15212" si="801">HYPERLINK("https://www.spark-marketing.ru/Card/Lot/67883787", "Выполнение работ по установке системы видеонаблюдения")</f>
        <v>Выполнение работ по установке системы видеонаблюдения</v>
      </c>
      <c r="G15202" s="22" t="s">
        <v>55</v>
      </c>
      <c r="H15202" s="22" t="s">
        <v>55</v>
      </c>
      <c r="I15202" s="26">
        <v>43508</v>
      </c>
      <c r="J15202" s="28" t="s">
        <v>52</v>
      </c>
      <c r="K15202" s="28" t="s">
        <v>52</v>
      </c>
      <c r="L15202" s="28" t="s">
        <v>52</v>
      </c>
      <c r="M15202" s="28" t="s">
        <v>52</v>
      </c>
      <c r="N15202" s="28" t="s">
        <v>52</v>
      </c>
    </row>
    <row r="15203" spans="1:14" hidden="1" outlineLevel="1" x14ac:dyDescent="0.2">
      <c r="A15203" s="23" t="str">
        <f t="shared" si="800"/>
        <v>ФГБУ "РОСГЕОЛФОНД"</v>
      </c>
      <c r="B15203" s="24" t="s">
        <v>17481</v>
      </c>
      <c r="C15203" s="25">
        <v>260000</v>
      </c>
      <c r="D15203" s="22" t="s">
        <v>17482</v>
      </c>
      <c r="E15203" s="22" t="s">
        <v>59</v>
      </c>
      <c r="F15203" s="23" t="str">
        <f t="shared" si="801"/>
        <v>Выполнение работ по установке системы видеонаблюдения</v>
      </c>
      <c r="G15203" s="22" t="s">
        <v>55</v>
      </c>
      <c r="H15203" s="22" t="s">
        <v>55</v>
      </c>
      <c r="I15203" s="26">
        <v>43508</v>
      </c>
      <c r="J15203" s="23" t="str">
        <f>HYPERLINK("https://www.spark-marketing.ru/Card/Person/6444745", "ООО ""РАЗУМНОЕ БУДУЩЕЕ""")</f>
        <v>ООО "РАЗУМНОЕ БУДУЩЕЕ"</v>
      </c>
      <c r="K15203" s="24" t="s">
        <v>5971</v>
      </c>
      <c r="L15203" s="28" t="s">
        <v>52</v>
      </c>
      <c r="M15203" s="25">
        <v>42000</v>
      </c>
      <c r="N15203" s="27">
        <v>0.83846153846153848</v>
      </c>
    </row>
    <row r="15204" spans="1:14" hidden="1" outlineLevel="1" x14ac:dyDescent="0.2">
      <c r="A15204" s="23" t="str">
        <f t="shared" si="800"/>
        <v>ФГБУ "РОСГЕОЛФОНД"</v>
      </c>
      <c r="B15204" s="24" t="s">
        <v>17481</v>
      </c>
      <c r="C15204" s="25">
        <v>260000</v>
      </c>
      <c r="D15204" s="22" t="s">
        <v>17482</v>
      </c>
      <c r="E15204" s="22" t="s">
        <v>59</v>
      </c>
      <c r="F15204" s="23" t="str">
        <f t="shared" si="801"/>
        <v>Выполнение работ по установке системы видеонаблюдения</v>
      </c>
      <c r="G15204" s="22" t="s">
        <v>55</v>
      </c>
      <c r="H15204" s="22" t="s">
        <v>55</v>
      </c>
      <c r="I15204" s="26">
        <v>43508</v>
      </c>
      <c r="J15204" s="23" t="str">
        <f>HYPERLINK("https://www.spark-marketing.ru/Card/Person/6260794", "ООО ""МОБИЛЬ СВЯЗЬ""")</f>
        <v>ООО "МОБИЛЬ СВЯЗЬ"</v>
      </c>
      <c r="K15204" s="24" t="s">
        <v>6775</v>
      </c>
      <c r="L15204" s="28" t="s">
        <v>52</v>
      </c>
      <c r="M15204" s="25">
        <v>139000</v>
      </c>
      <c r="N15204" s="27">
        <v>0.4653846153846154</v>
      </c>
    </row>
    <row r="15205" spans="1:14" hidden="1" outlineLevel="1" x14ac:dyDescent="0.2">
      <c r="A15205" s="23" t="str">
        <f t="shared" si="800"/>
        <v>ФГБУ "РОСГЕОЛФОНД"</v>
      </c>
      <c r="B15205" s="24" t="s">
        <v>17481</v>
      </c>
      <c r="C15205" s="25">
        <v>260000</v>
      </c>
      <c r="D15205" s="22" t="s">
        <v>17482</v>
      </c>
      <c r="E15205" s="22" t="s">
        <v>59</v>
      </c>
      <c r="F15205" s="23" t="str">
        <f t="shared" si="801"/>
        <v>Выполнение работ по установке системы видеонаблюдения</v>
      </c>
      <c r="G15205" s="22" t="s">
        <v>55</v>
      </c>
      <c r="H15205" s="22" t="s">
        <v>55</v>
      </c>
      <c r="I15205" s="26">
        <v>43508</v>
      </c>
      <c r="J15205" s="23" t="str">
        <f>HYPERLINK("https://www.spark-marketing.ru/Card/Person/6228198", "ООО ""ИНТЕЛЛЕКТ""")</f>
        <v>ООО "ИНТЕЛЛЕКТ"</v>
      </c>
      <c r="K15205" s="24" t="s">
        <v>6604</v>
      </c>
      <c r="L15205" s="28" t="s">
        <v>52</v>
      </c>
      <c r="M15205" s="25">
        <v>85800</v>
      </c>
      <c r="N15205" s="27">
        <v>0.67</v>
      </c>
    </row>
    <row r="15206" spans="1:14" hidden="1" outlineLevel="1" x14ac:dyDescent="0.2">
      <c r="A15206" s="23" t="str">
        <f t="shared" si="800"/>
        <v>ФГБУ "РОСГЕОЛФОНД"</v>
      </c>
      <c r="B15206" s="24" t="s">
        <v>17481</v>
      </c>
      <c r="C15206" s="25">
        <v>260000</v>
      </c>
      <c r="D15206" s="22" t="s">
        <v>17482</v>
      </c>
      <c r="E15206" s="22" t="s">
        <v>59</v>
      </c>
      <c r="F15206" s="23" t="str">
        <f t="shared" si="801"/>
        <v>Выполнение работ по установке системы видеонаблюдения</v>
      </c>
      <c r="G15206" s="22" t="s">
        <v>55</v>
      </c>
      <c r="H15206" s="22" t="s">
        <v>55</v>
      </c>
      <c r="I15206" s="26">
        <v>43508</v>
      </c>
      <c r="J15206" s="23" t="str">
        <f>HYPERLINK("https://www.spark-marketing.ru/Card/Person/6472074", "Жариков Алексей Александрович")</f>
        <v>Жариков Алексей Александрович</v>
      </c>
      <c r="K15206" s="24" t="s">
        <v>15716</v>
      </c>
      <c r="L15206" s="28" t="s">
        <v>52</v>
      </c>
      <c r="M15206" s="25">
        <v>58700</v>
      </c>
      <c r="N15206" s="27">
        <v>0.77423076923076928</v>
      </c>
    </row>
    <row r="15207" spans="1:14" hidden="1" outlineLevel="1" x14ac:dyDescent="0.2">
      <c r="A15207" s="23" t="str">
        <f t="shared" si="800"/>
        <v>ФГБУ "РОСГЕОЛФОНД"</v>
      </c>
      <c r="B15207" s="24" t="s">
        <v>17481</v>
      </c>
      <c r="C15207" s="25">
        <v>260000</v>
      </c>
      <c r="D15207" s="22" t="s">
        <v>17482</v>
      </c>
      <c r="E15207" s="22" t="s">
        <v>59</v>
      </c>
      <c r="F15207" s="23" t="str">
        <f t="shared" si="801"/>
        <v>Выполнение работ по установке системы видеонаблюдения</v>
      </c>
      <c r="G15207" s="22" t="s">
        <v>55</v>
      </c>
      <c r="H15207" s="22" t="s">
        <v>55</v>
      </c>
      <c r="I15207" s="26">
        <v>43508</v>
      </c>
      <c r="J15207" s="23" t="str">
        <f>HYPERLINK("https://www.spark-marketing.ru/Card/Person/6234808", "Мачин Александр Юрьевич")</f>
        <v>Мачин Александр Юрьевич</v>
      </c>
      <c r="K15207" s="24" t="s">
        <v>13970</v>
      </c>
      <c r="L15207" s="28" t="s">
        <v>52</v>
      </c>
      <c r="M15207" s="25">
        <v>68700</v>
      </c>
      <c r="N15207" s="27">
        <v>0.73576923076923073</v>
      </c>
    </row>
    <row r="15208" spans="1:14" hidden="1" outlineLevel="1" x14ac:dyDescent="0.2">
      <c r="A15208" s="23" t="str">
        <f t="shared" si="800"/>
        <v>ФГБУ "РОСГЕОЛФОНД"</v>
      </c>
      <c r="B15208" s="24" t="s">
        <v>17481</v>
      </c>
      <c r="C15208" s="25">
        <v>260000</v>
      </c>
      <c r="D15208" s="22" t="s">
        <v>17482</v>
      </c>
      <c r="E15208" s="22" t="s">
        <v>59</v>
      </c>
      <c r="F15208" s="23" t="str">
        <f t="shared" si="801"/>
        <v>Выполнение работ по установке системы видеонаблюдения</v>
      </c>
      <c r="G15208" s="22" t="s">
        <v>55</v>
      </c>
      <c r="H15208" s="22" t="s">
        <v>55</v>
      </c>
      <c r="I15208" s="26">
        <v>43508</v>
      </c>
      <c r="J15208" s="23" t="str">
        <f>HYPERLINK("https://www.spark-marketing.ru/Card/Person/6436168", "ООО ""СОЮЗ""")</f>
        <v>ООО "СОЮЗ"</v>
      </c>
      <c r="K15208" s="24" t="s">
        <v>6828</v>
      </c>
      <c r="L15208" s="28" t="s">
        <v>52</v>
      </c>
      <c r="M15208" s="25">
        <v>136666</v>
      </c>
      <c r="N15208" s="27">
        <v>0.47436153846153845</v>
      </c>
    </row>
    <row r="15209" spans="1:14" hidden="1" outlineLevel="1" x14ac:dyDescent="0.2">
      <c r="A15209" s="23" t="str">
        <f t="shared" si="800"/>
        <v>ФГБУ "РОСГЕОЛФОНД"</v>
      </c>
      <c r="B15209" s="24" t="s">
        <v>17481</v>
      </c>
      <c r="C15209" s="25">
        <v>260000</v>
      </c>
      <c r="D15209" s="22" t="s">
        <v>17482</v>
      </c>
      <c r="E15209" s="22" t="s">
        <v>59</v>
      </c>
      <c r="F15209" s="23" t="str">
        <f t="shared" si="801"/>
        <v>Выполнение работ по установке системы видеонаблюдения</v>
      </c>
      <c r="G15209" s="22" t="s">
        <v>55</v>
      </c>
      <c r="H15209" s="22" t="s">
        <v>55</v>
      </c>
      <c r="I15209" s="26">
        <v>43508</v>
      </c>
      <c r="J15209" s="23" t="str">
        <f>HYPERLINK("https://www.spark-marketing.ru/Card/Person/986547", "Усачева Наталья Ивановна")</f>
        <v>Усачева Наталья Ивановна</v>
      </c>
      <c r="K15209" s="24" t="s">
        <v>4193</v>
      </c>
      <c r="L15209" s="28" t="s">
        <v>52</v>
      </c>
      <c r="M15209" s="25">
        <v>137700</v>
      </c>
      <c r="N15209" s="27">
        <v>0.4703846153846154</v>
      </c>
    </row>
    <row r="15210" spans="1:14" ht="12.75" hidden="1" outlineLevel="1" x14ac:dyDescent="0.2">
      <c r="A15210" s="23" t="str">
        <f t="shared" si="800"/>
        <v>ФГБУ "РОСГЕОЛФОНД"</v>
      </c>
      <c r="B15210" s="24" t="s">
        <v>17481</v>
      </c>
      <c r="C15210" s="25">
        <v>260000</v>
      </c>
      <c r="D15210" s="22" t="s">
        <v>17482</v>
      </c>
      <c r="E15210" s="22" t="s">
        <v>59</v>
      </c>
      <c r="F15210" s="23" t="str">
        <f t="shared" si="801"/>
        <v>Выполнение работ по установке системы видеонаблюдения</v>
      </c>
      <c r="G15210" s="22" t="s">
        <v>55</v>
      </c>
      <c r="H15210" s="22" t="s">
        <v>55</v>
      </c>
      <c r="I15210" s="26">
        <v>43508</v>
      </c>
      <c r="J15210" s="23" t="str">
        <f>HYPERLINK("https://www.spark-marketing.ru/Card/Person/6445825", "Судариков Михаил Геннадьевич")</f>
        <v>Судариков Михаил Геннадьевич</v>
      </c>
      <c r="K15210" s="24" t="s">
        <v>1219</v>
      </c>
      <c r="L15210" s="22" t="s">
        <v>10</v>
      </c>
      <c r="M15210" s="25">
        <v>40700</v>
      </c>
      <c r="N15210" s="27">
        <v>0.84346153846153848</v>
      </c>
    </row>
    <row r="15211" spans="1:14" hidden="1" outlineLevel="1" x14ac:dyDescent="0.2">
      <c r="A15211" s="23" t="str">
        <f t="shared" si="800"/>
        <v>ФГБУ "РОСГЕОЛФОНД"</v>
      </c>
      <c r="B15211" s="24" t="s">
        <v>17481</v>
      </c>
      <c r="C15211" s="25">
        <v>260000</v>
      </c>
      <c r="D15211" s="22" t="s">
        <v>17482</v>
      </c>
      <c r="E15211" s="22" t="s">
        <v>59</v>
      </c>
      <c r="F15211" s="23" t="str">
        <f t="shared" si="801"/>
        <v>Выполнение работ по установке системы видеонаблюдения</v>
      </c>
      <c r="G15211" s="22" t="s">
        <v>55</v>
      </c>
      <c r="H15211" s="22" t="s">
        <v>55</v>
      </c>
      <c r="I15211" s="26">
        <v>43508</v>
      </c>
      <c r="J15211" s="23" t="str">
        <f>HYPERLINK("https://www.spark-marketing.ru/Card/Person/6364371", "ООО ""ЛТБ""")</f>
        <v>ООО "ЛТБ"</v>
      </c>
      <c r="K15211" s="24" t="s">
        <v>8538</v>
      </c>
      <c r="L15211" s="28" t="s">
        <v>52</v>
      </c>
      <c r="M15211" s="25">
        <v>45700</v>
      </c>
      <c r="N15211" s="27">
        <v>0.82423076923076921</v>
      </c>
    </row>
    <row r="15212" spans="1:14" hidden="1" outlineLevel="1" x14ac:dyDescent="0.2">
      <c r="A15212" s="23" t="str">
        <f t="shared" si="800"/>
        <v>ФГБУ "РОСГЕОЛФОНД"</v>
      </c>
      <c r="B15212" s="24" t="s">
        <v>17481</v>
      </c>
      <c r="C15212" s="25">
        <v>260000</v>
      </c>
      <c r="D15212" s="22" t="s">
        <v>17482</v>
      </c>
      <c r="E15212" s="22" t="s">
        <v>59</v>
      </c>
      <c r="F15212" s="23" t="str">
        <f t="shared" si="801"/>
        <v>Выполнение работ по установке системы видеонаблюдения</v>
      </c>
      <c r="G15212" s="22" t="s">
        <v>55</v>
      </c>
      <c r="H15212" s="22" t="s">
        <v>55</v>
      </c>
      <c r="I15212" s="26">
        <v>43508</v>
      </c>
      <c r="J15212" s="23" t="str">
        <f>HYPERLINK("https://www.spark-marketing.ru/Card/Person/1367039", "Кирьянова Мария Александровна")</f>
        <v>Кирьянова Мария Александровна</v>
      </c>
      <c r="K15212" s="24" t="s">
        <v>17483</v>
      </c>
      <c r="L15212" s="28" t="s">
        <v>52</v>
      </c>
      <c r="M15212" s="25">
        <v>80600</v>
      </c>
      <c r="N15212" s="27">
        <v>0.69</v>
      </c>
    </row>
    <row r="15213" spans="1:14" x14ac:dyDescent="0.15">
      <c r="A15213" s="23" t="str">
        <f>HYPERLINK("https://www.spark-marketing.ru/Card/Person/78624", "БУЗ ВО ОМЦ ""РЕЗЕРВ""")</f>
        <v>БУЗ ВО ОМЦ "РЕЗЕРВ"</v>
      </c>
      <c r="B15213" s="24" t="s">
        <v>17404</v>
      </c>
      <c r="C15213" s="25">
        <v>76749.600000000006</v>
      </c>
      <c r="D15213" s="22" t="s">
        <v>17484</v>
      </c>
      <c r="E15213" s="22" t="s">
        <v>5799</v>
      </c>
      <c r="F15213" s="23" t="str">
        <f>HYPERLINK("https://www.spark-marketing.ru/Card/Lot/67892846", "Услуги по охране объектов")</f>
        <v>Услуги по охране объектов</v>
      </c>
      <c r="G15213" s="22" t="s">
        <v>902</v>
      </c>
      <c r="H15213" s="22" t="s">
        <v>903</v>
      </c>
      <c r="I15213" s="26">
        <v>43508</v>
      </c>
      <c r="J15213" s="28" t="s">
        <v>52</v>
      </c>
      <c r="K15213" s="28" t="s">
        <v>52</v>
      </c>
      <c r="L15213" s="28" t="s">
        <v>52</v>
      </c>
      <c r="M15213" s="28" t="s">
        <v>52</v>
      </c>
      <c r="N15213" s="28" t="s">
        <v>52</v>
      </c>
    </row>
    <row r="15214" spans="1:14" x14ac:dyDescent="0.15">
      <c r="A15214" s="23" t="str">
        <f>HYPERLINK("https://www.spark-marketing.ru/Card/Person/78624", "БУЗ ВО ОМЦ ""РЕЗЕРВ""")</f>
        <v>БУЗ ВО ОМЦ "РЕЗЕРВ"</v>
      </c>
      <c r="B15214" s="24" t="s">
        <v>17404</v>
      </c>
      <c r="C15214" s="25">
        <v>128026.08</v>
      </c>
      <c r="D15214" s="22" t="s">
        <v>17485</v>
      </c>
      <c r="E15214" s="22" t="s">
        <v>5799</v>
      </c>
      <c r="F15214" s="23" t="str">
        <f>HYPERLINK("https://www.spark-marketing.ru/Card/Lot/67892839", "Услуги по охране объектов")</f>
        <v>Услуги по охране объектов</v>
      </c>
      <c r="G15214" s="22" t="s">
        <v>902</v>
      </c>
      <c r="H15214" s="22" t="s">
        <v>903</v>
      </c>
      <c r="I15214" s="26">
        <v>43508</v>
      </c>
      <c r="J15214" s="28" t="s">
        <v>52</v>
      </c>
      <c r="K15214" s="28" t="s">
        <v>52</v>
      </c>
      <c r="L15214" s="28" t="s">
        <v>52</v>
      </c>
      <c r="M15214" s="28" t="s">
        <v>52</v>
      </c>
      <c r="N15214" s="28" t="s">
        <v>52</v>
      </c>
    </row>
    <row r="15215" spans="1:14" x14ac:dyDescent="0.15">
      <c r="A15215" s="23" t="str">
        <f>HYPERLINK("https://www.spark-marketing.ru/Card/Person/9404", "ГБУЗ ""ДИКБ № 6 ДЗМ""")</f>
        <v>ГБУЗ "ДИКБ № 6 ДЗМ"</v>
      </c>
      <c r="B15215" s="24" t="s">
        <v>17486</v>
      </c>
      <c r="C15215" s="25">
        <v>373061.28</v>
      </c>
      <c r="D15215" s="22" t="s">
        <v>17487</v>
      </c>
      <c r="E15215" s="22" t="s">
        <v>1013</v>
      </c>
      <c r="F15215" s="23" t="str">
        <f>HYPERLINK("https://www.spark-marketing.ru/Card/Lot/67875124", "Аукцион в электронной форме на право заключения контракта на оказание услуг пультовой охраны с использованием технических средств охранной и тревожной сигнализации ГБУЗ «ДИКБ № 6 ДЗМ» в 2019 г. - 2020 г..")</f>
        <v>Аукцион в электронной форме на право заключения контракта на оказание услуг пультовой охраны с использованием технических средств охранной и тревожной сигнализации ГБУЗ «ДИКБ № 6 ДЗМ» в 2019 г. - 2020 г..</v>
      </c>
      <c r="G15215" s="22" t="s">
        <v>55</v>
      </c>
      <c r="H15215" s="22" t="s">
        <v>55</v>
      </c>
      <c r="I15215" s="26">
        <v>43508</v>
      </c>
      <c r="J15215" s="23" t="str">
        <f>HYPERLINK("https://www.spark-marketing.ru/Card/Person/102518", "ООО ""ЧОП ""Т-СИСТЕМЫ ОХРАНЫ""")</f>
        <v>ООО "ЧОП "Т-СИСТЕМЫ ОХРАНЫ"</v>
      </c>
      <c r="K15215" s="24" t="s">
        <v>8044</v>
      </c>
      <c r="L15215" s="28" t="s">
        <v>52</v>
      </c>
      <c r="M15215" s="28" t="s">
        <v>52</v>
      </c>
      <c r="N15215" s="28" t="s">
        <v>52</v>
      </c>
    </row>
    <row r="15216" spans="1:14" ht="12.75" hidden="1" outlineLevel="1" x14ac:dyDescent="0.2">
      <c r="A15216" s="23" t="str">
        <f>HYPERLINK("https://www.spark-marketing.ru/Card/Person/9404", "ГБУЗ ""ДИКБ № 6 ДЗМ""")</f>
        <v>ГБУЗ "ДИКБ № 6 ДЗМ"</v>
      </c>
      <c r="B15216" s="24" t="s">
        <v>17486</v>
      </c>
      <c r="C15216" s="25">
        <v>373061.28</v>
      </c>
      <c r="D15216" s="22" t="s">
        <v>17487</v>
      </c>
      <c r="E15216" s="22" t="s">
        <v>1013</v>
      </c>
      <c r="F15216" s="23" t="str">
        <f>HYPERLINK("https://www.spark-marketing.ru/Card/Lot/67875124", "Аукцион в электронной форме на право заключения контракта на оказание услуг пультовой охраны с использованием технических средств охранной и тревожной сигнализации ГБУЗ «ДИКБ № 6 ДЗМ» в 2019 г. - 2020 г..")</f>
        <v>Аукцион в электронной форме на право заключения контракта на оказание услуг пультовой охраны с использованием технических средств охранной и тревожной сигнализации ГБУЗ «ДИКБ № 6 ДЗМ» в 2019 г. - 2020 г..</v>
      </c>
      <c r="G15216" s="22" t="s">
        <v>55</v>
      </c>
      <c r="H15216" s="22" t="s">
        <v>55</v>
      </c>
      <c r="I15216" s="26">
        <v>43508</v>
      </c>
      <c r="J15216" s="23" t="str">
        <f>HYPERLINK("https://www.spark-marketing.ru/Card/Person/102518", "ООО ""ЧОП ""Т-СИСТЕМЫ ОХРАНЫ""")</f>
        <v>ООО "ЧОП "Т-СИСТЕМЫ ОХРАНЫ"</v>
      </c>
      <c r="K15216" s="24" t="s">
        <v>8044</v>
      </c>
      <c r="L15216" s="22" t="s">
        <v>10</v>
      </c>
      <c r="M15216" s="25">
        <v>371195.97</v>
      </c>
      <c r="N15216" s="27">
        <v>5.0000096498891552E-3</v>
      </c>
    </row>
    <row r="15217" spans="1:14" x14ac:dyDescent="0.15">
      <c r="A15217" s="23" t="str">
        <f t="shared" ref="A15217:A15225" si="802">HYPERLINK("https://www.spark-marketing.ru/Card/Person/1010994", "ОКУ ""ЗАДОНСКОЕ ЛЕСНИЧЕСТВО""")</f>
        <v>ОКУ "ЗАДОНСКОЕ ЛЕСНИЧЕСТВО"</v>
      </c>
      <c r="B15217" s="24" t="s">
        <v>17488</v>
      </c>
      <c r="C15217" s="25">
        <v>58240.08</v>
      </c>
      <c r="D15217" s="22" t="s">
        <v>17489</v>
      </c>
      <c r="E15217" s="22" t="s">
        <v>3281</v>
      </c>
      <c r="F15217" s="23" t="str">
        <f t="shared" ref="F15217:F15225" si="803">HYPERLINK("https://www.spark-marketing.ru/Card/Lot/67880359", "поставка обуви для сотрудников лесной охраны")</f>
        <v>поставка обуви для сотрудников лесной охраны</v>
      </c>
      <c r="G15217" s="22" t="s">
        <v>629</v>
      </c>
      <c r="H15217" s="22" t="s">
        <v>629</v>
      </c>
      <c r="I15217" s="26">
        <v>43508</v>
      </c>
      <c r="J15217" s="28" t="s">
        <v>52</v>
      </c>
      <c r="K15217" s="28" t="s">
        <v>52</v>
      </c>
      <c r="L15217" s="28" t="s">
        <v>52</v>
      </c>
      <c r="M15217" s="28" t="s">
        <v>52</v>
      </c>
      <c r="N15217" s="28" t="s">
        <v>52</v>
      </c>
    </row>
    <row r="15218" spans="1:14" hidden="1" outlineLevel="1" x14ac:dyDescent="0.2">
      <c r="A15218" s="23" t="str">
        <f t="shared" si="802"/>
        <v>ОКУ "ЗАДОНСКОЕ ЛЕСНИЧЕСТВО"</v>
      </c>
      <c r="B15218" s="24" t="s">
        <v>17488</v>
      </c>
      <c r="C15218" s="25">
        <v>58240.08</v>
      </c>
      <c r="D15218" s="22" t="s">
        <v>17489</v>
      </c>
      <c r="E15218" s="22" t="s">
        <v>3281</v>
      </c>
      <c r="F15218" s="23" t="str">
        <f t="shared" si="803"/>
        <v>поставка обуви для сотрудников лесной охраны</v>
      </c>
      <c r="G15218" s="22" t="s">
        <v>629</v>
      </c>
      <c r="H15218" s="22" t="s">
        <v>629</v>
      </c>
      <c r="I15218" s="26">
        <v>43508</v>
      </c>
      <c r="J15218" s="23" t="str">
        <f>HYPERLINK("https://www.spark-marketing.ru/Card/Person/310108", "ООО ""САНТА-НН""")</f>
        <v>ООО "САНТА-НН"</v>
      </c>
      <c r="K15218" s="24" t="s">
        <v>17490</v>
      </c>
      <c r="L15218" s="28" t="s">
        <v>52</v>
      </c>
      <c r="M15218" s="25">
        <v>38091.279999999999</v>
      </c>
      <c r="N15218" s="27">
        <v>0.34596106324029774</v>
      </c>
    </row>
    <row r="15219" spans="1:14" hidden="1" outlineLevel="1" x14ac:dyDescent="0.2">
      <c r="A15219" s="23" t="str">
        <f t="shared" si="802"/>
        <v>ОКУ "ЗАДОНСКОЕ ЛЕСНИЧЕСТВО"</v>
      </c>
      <c r="B15219" s="24" t="s">
        <v>17488</v>
      </c>
      <c r="C15219" s="25">
        <v>58240.08</v>
      </c>
      <c r="D15219" s="22" t="s">
        <v>17489</v>
      </c>
      <c r="E15219" s="22" t="s">
        <v>3281</v>
      </c>
      <c r="F15219" s="23" t="str">
        <f t="shared" si="803"/>
        <v>поставка обуви для сотрудников лесной охраны</v>
      </c>
      <c r="G15219" s="22" t="s">
        <v>629</v>
      </c>
      <c r="H15219" s="22" t="s">
        <v>629</v>
      </c>
      <c r="I15219" s="26">
        <v>43508</v>
      </c>
      <c r="J15219" s="23" t="str">
        <f>HYPERLINK("https://www.spark-marketing.ru/Card/Person/624418", "ООО ""ТДК ""СИРИУС""")</f>
        <v>ООО "ТДК "СИРИУС"</v>
      </c>
      <c r="K15219" s="24" t="s">
        <v>15775</v>
      </c>
      <c r="L15219" s="28" t="s">
        <v>52</v>
      </c>
      <c r="M15219" s="25">
        <v>28261.13</v>
      </c>
      <c r="N15219" s="27">
        <v>0.5147477475992478</v>
      </c>
    </row>
    <row r="15220" spans="1:14" hidden="1" outlineLevel="1" x14ac:dyDescent="0.2">
      <c r="A15220" s="23" t="str">
        <f t="shared" si="802"/>
        <v>ОКУ "ЗАДОНСКОЕ ЛЕСНИЧЕСТВО"</v>
      </c>
      <c r="B15220" s="24" t="s">
        <v>17488</v>
      </c>
      <c r="C15220" s="25">
        <v>58240.08</v>
      </c>
      <c r="D15220" s="22" t="s">
        <v>17489</v>
      </c>
      <c r="E15220" s="22" t="s">
        <v>3281</v>
      </c>
      <c r="F15220" s="23" t="str">
        <f t="shared" si="803"/>
        <v>поставка обуви для сотрудников лесной охраны</v>
      </c>
      <c r="G15220" s="22" t="s">
        <v>629</v>
      </c>
      <c r="H15220" s="22" t="s">
        <v>629</v>
      </c>
      <c r="I15220" s="26">
        <v>43508</v>
      </c>
      <c r="J15220" s="23" t="str">
        <f>HYPERLINK("https://www.spark-marketing.ru/Card/Person/5787207", "ООО ""ФОРМЕКС ОПТ""")</f>
        <v>ООО "ФОРМЕКС ОПТ"</v>
      </c>
      <c r="K15220" s="24" t="s">
        <v>17491</v>
      </c>
      <c r="L15220" s="28" t="s">
        <v>52</v>
      </c>
      <c r="M15220" s="25">
        <v>54454.48</v>
      </c>
      <c r="N15220" s="27">
        <v>6.499991071440836E-2</v>
      </c>
    </row>
    <row r="15221" spans="1:14" hidden="1" outlineLevel="1" x14ac:dyDescent="0.2">
      <c r="A15221" s="23" t="str">
        <f t="shared" si="802"/>
        <v>ОКУ "ЗАДОНСКОЕ ЛЕСНИЧЕСТВО"</v>
      </c>
      <c r="B15221" s="24" t="s">
        <v>17488</v>
      </c>
      <c r="C15221" s="25">
        <v>58240.08</v>
      </c>
      <c r="D15221" s="22" t="s">
        <v>17489</v>
      </c>
      <c r="E15221" s="22" t="s">
        <v>3281</v>
      </c>
      <c r="F15221" s="23" t="str">
        <f t="shared" si="803"/>
        <v>поставка обуви для сотрудников лесной охраны</v>
      </c>
      <c r="G15221" s="22" t="s">
        <v>629</v>
      </c>
      <c r="H15221" s="22" t="s">
        <v>629</v>
      </c>
      <c r="I15221" s="26">
        <v>43508</v>
      </c>
      <c r="J15221" s="23" t="str">
        <f>HYPERLINK("https://www.spark-marketing.ru/Card/Person/4053666", "ООО ""БАРСПРОФИ""")</f>
        <v>ООО "БАРСПРОФИ"</v>
      </c>
      <c r="K15221" s="24" t="s">
        <v>17492</v>
      </c>
      <c r="L15221" s="28" t="s">
        <v>52</v>
      </c>
      <c r="M15221" s="25">
        <v>33432.080000000002</v>
      </c>
      <c r="N15221" s="27">
        <v>0.42596095335033879</v>
      </c>
    </row>
    <row r="15222" spans="1:14" hidden="1" outlineLevel="1" x14ac:dyDescent="0.2">
      <c r="A15222" s="23" t="str">
        <f t="shared" si="802"/>
        <v>ОКУ "ЗАДОНСКОЕ ЛЕСНИЧЕСТВО"</v>
      </c>
      <c r="B15222" s="24" t="s">
        <v>17488</v>
      </c>
      <c r="C15222" s="25">
        <v>58240.08</v>
      </c>
      <c r="D15222" s="22" t="s">
        <v>17489</v>
      </c>
      <c r="E15222" s="22" t="s">
        <v>3281</v>
      </c>
      <c r="F15222" s="23" t="str">
        <f t="shared" si="803"/>
        <v>поставка обуви для сотрудников лесной охраны</v>
      </c>
      <c r="G15222" s="22" t="s">
        <v>629</v>
      </c>
      <c r="H15222" s="22" t="s">
        <v>629</v>
      </c>
      <c r="I15222" s="26">
        <v>43508</v>
      </c>
      <c r="J15222" s="23" t="str">
        <f>HYPERLINK("https://www.spark-marketing.ru/Card/Person/4360950", "ООО ""ФАБРИКА ОБУВИ""")</f>
        <v>ООО "ФАБРИКА ОБУВИ"</v>
      </c>
      <c r="K15222" s="24" t="s">
        <v>15773</v>
      </c>
      <c r="L15222" s="28" t="s">
        <v>52</v>
      </c>
      <c r="M15222" s="25">
        <v>57657.68</v>
      </c>
      <c r="N15222" s="27">
        <v>9.999986263755133E-3</v>
      </c>
    </row>
    <row r="15223" spans="1:14" hidden="1" outlineLevel="1" x14ac:dyDescent="0.2">
      <c r="A15223" s="23" t="str">
        <f t="shared" si="802"/>
        <v>ОКУ "ЗАДОНСКОЕ ЛЕСНИЧЕСТВО"</v>
      </c>
      <c r="B15223" s="24" t="s">
        <v>17488</v>
      </c>
      <c r="C15223" s="25">
        <v>58240.08</v>
      </c>
      <c r="D15223" s="22" t="s">
        <v>17489</v>
      </c>
      <c r="E15223" s="22" t="s">
        <v>3281</v>
      </c>
      <c r="F15223" s="23" t="str">
        <f t="shared" si="803"/>
        <v>поставка обуви для сотрудников лесной охраны</v>
      </c>
      <c r="G15223" s="22" t="s">
        <v>629</v>
      </c>
      <c r="H15223" s="22" t="s">
        <v>629</v>
      </c>
      <c r="I15223" s="26">
        <v>43508</v>
      </c>
      <c r="J15223" s="23" t="str">
        <f>HYPERLINK("https://www.spark-marketing.ru/Card/Person/6297832", "Олисов Сергей Игоревич")</f>
        <v>Олисов Сергей Игоревич</v>
      </c>
      <c r="K15223" s="24" t="s">
        <v>17493</v>
      </c>
      <c r="L15223" s="28" t="s">
        <v>52</v>
      </c>
      <c r="M15223" s="25">
        <v>47465.68</v>
      </c>
      <c r="N15223" s="27">
        <v>0.18499974587946993</v>
      </c>
    </row>
    <row r="15224" spans="1:14" hidden="1" outlineLevel="1" x14ac:dyDescent="0.2">
      <c r="A15224" s="23" t="str">
        <f t="shared" si="802"/>
        <v>ОКУ "ЗАДОНСКОЕ ЛЕСНИЧЕСТВО"</v>
      </c>
      <c r="B15224" s="24" t="s">
        <v>17488</v>
      </c>
      <c r="C15224" s="25">
        <v>58240.08</v>
      </c>
      <c r="D15224" s="22" t="s">
        <v>17489</v>
      </c>
      <c r="E15224" s="22" t="s">
        <v>3281</v>
      </c>
      <c r="F15224" s="23" t="str">
        <f t="shared" si="803"/>
        <v>поставка обуви для сотрудников лесной охраны</v>
      </c>
      <c r="G15224" s="22" t="s">
        <v>629</v>
      </c>
      <c r="H15224" s="22" t="s">
        <v>629</v>
      </c>
      <c r="I15224" s="26">
        <v>43508</v>
      </c>
      <c r="J15224" s="23" t="str">
        <f>HYPERLINK("https://www.spark-marketing.ru/Card/Person/4355148", "АО ""ВОСТОК-СПЕЦ-СЕРВИС""")</f>
        <v>АО "ВОСТОК-СПЕЦ-СЕРВИС"</v>
      </c>
      <c r="K15224" s="24" t="s">
        <v>17494</v>
      </c>
      <c r="L15224" s="28" t="s">
        <v>52</v>
      </c>
      <c r="M15224" s="25">
        <v>30720</v>
      </c>
      <c r="N15224" s="27">
        <v>0.47252819707665239</v>
      </c>
    </row>
    <row r="15225" spans="1:14" ht="12.75" hidden="1" outlineLevel="1" x14ac:dyDescent="0.2">
      <c r="A15225" s="23" t="str">
        <f t="shared" si="802"/>
        <v>ОКУ "ЗАДОНСКОЕ ЛЕСНИЧЕСТВО"</v>
      </c>
      <c r="B15225" s="24" t="s">
        <v>17488</v>
      </c>
      <c r="C15225" s="25">
        <v>58240.08</v>
      </c>
      <c r="D15225" s="22" t="s">
        <v>17489</v>
      </c>
      <c r="E15225" s="22" t="s">
        <v>3281</v>
      </c>
      <c r="F15225" s="23" t="str">
        <f t="shared" si="803"/>
        <v>поставка обуви для сотрудников лесной охраны</v>
      </c>
      <c r="G15225" s="22" t="s">
        <v>629</v>
      </c>
      <c r="H15225" s="22" t="s">
        <v>629</v>
      </c>
      <c r="I15225" s="26">
        <v>43508</v>
      </c>
      <c r="J15225" s="23" t="str">
        <f>HYPERLINK("https://www.spark-marketing.ru/Card/Person/6257890", "Горбунов Сергей Геннадьевич")</f>
        <v>Горбунов Сергей Геннадьевич</v>
      </c>
      <c r="K15225" s="24" t="s">
        <v>17495</v>
      </c>
      <c r="L15225" s="22" t="s">
        <v>10</v>
      </c>
      <c r="M15225" s="25">
        <v>27969.93</v>
      </c>
      <c r="N15225" s="27">
        <v>0.5197477407311254</v>
      </c>
    </row>
    <row r="15226" spans="1:14" x14ac:dyDescent="0.15">
      <c r="A15226" s="23" t="str">
        <f>HYPERLINK("https://www.spark-marketing.ru/Card/Person/132367", "МЕЖРАЙОННАЯ ИФНС РОССИИ № 3 ПО ВОРОНЕЖСКОЙ ОБЛАСТИ")</f>
        <v>МЕЖРАЙОННАЯ ИФНС РОССИИ № 3 ПО ВОРОНЕЖСКОЙ ОБЛАСТИ</v>
      </c>
      <c r="B15226" s="24" t="s">
        <v>17496</v>
      </c>
      <c r="C15226" s="25">
        <v>50378.98</v>
      </c>
      <c r="D15226" s="22" t="s">
        <v>17497</v>
      </c>
      <c r="E15226" s="22" t="s">
        <v>68</v>
      </c>
      <c r="F15226" s="23" t="str">
        <f>HYPERLINK("https://www.spark-marketing.ru/Card/Lot/67896214", "Централизованная охрана объектов, подключенных на пункт центрального наблюдения (ПЦН) г.Поворино")</f>
        <v>Централизованная охрана объектов, подключенных на пункт центрального наблюдения (ПЦН) г.Поворино</v>
      </c>
      <c r="G15226" s="22" t="s">
        <v>552</v>
      </c>
      <c r="H15226" s="22" t="s">
        <v>552</v>
      </c>
      <c r="I15226" s="26">
        <v>43508</v>
      </c>
      <c r="J15226" s="28" t="s">
        <v>52</v>
      </c>
      <c r="K15226" s="28" t="s">
        <v>52</v>
      </c>
      <c r="L15226" s="28" t="s">
        <v>52</v>
      </c>
      <c r="M15226" s="28" t="s">
        <v>52</v>
      </c>
      <c r="N15226" s="28" t="s">
        <v>52</v>
      </c>
    </row>
    <row r="15227" spans="1:14" x14ac:dyDescent="0.15">
      <c r="A15227" s="23" t="str">
        <f t="shared" ref="A15227:A15232" si="804">HYPERLINK("https://www.spark-marketing.ru/Card/Person/10888", "ГБУЗ ""ГКБ № 31 ДЗМ""")</f>
        <v>ГБУЗ "ГКБ № 31 ДЗМ"</v>
      </c>
      <c r="B15227" s="24" t="s">
        <v>5655</v>
      </c>
      <c r="C15227" s="25">
        <v>310125.89</v>
      </c>
      <c r="D15227" s="22" t="s">
        <v>17498</v>
      </c>
      <c r="E15227" s="22" t="s">
        <v>103</v>
      </c>
      <c r="F15227" s="23" t="str">
        <f t="shared" ref="F15227:F15232" si="805">HYPERLINK("https://www.spark-marketing.ru/Card/Lot/67872910", "Аукцион в электронной форме на оказание услуг по техническому обслуживанию (содержанию) системы видеонаблюдения для нужд Государственного бюджетного учреждения здравоохранения города Москвы «Городской клинической больницы № 31 Департамента здравоохра...")</f>
        <v>Аукцион в электронной форме на оказание услуг по техническому обслуживанию (содержанию) системы видеонаблюдения для нужд Государственного бюджетного учреждения здравоохранения города Москвы «Городской клинической больницы № 31 Департамента здравоохра...</v>
      </c>
      <c r="G15227" s="22" t="s">
        <v>55</v>
      </c>
      <c r="H15227" s="22" t="s">
        <v>55</v>
      </c>
      <c r="I15227" s="26">
        <v>43508</v>
      </c>
      <c r="J15227" s="28" t="s">
        <v>52</v>
      </c>
      <c r="K15227" s="28" t="s">
        <v>52</v>
      </c>
      <c r="L15227" s="28" t="s">
        <v>52</v>
      </c>
      <c r="M15227" s="28" t="s">
        <v>52</v>
      </c>
      <c r="N15227" s="28" t="s">
        <v>52</v>
      </c>
    </row>
    <row r="15228" spans="1:14" hidden="1" outlineLevel="1" x14ac:dyDescent="0.2">
      <c r="A15228" s="23" t="str">
        <f t="shared" si="804"/>
        <v>ГБУЗ "ГКБ № 31 ДЗМ"</v>
      </c>
      <c r="B15228" s="24" t="s">
        <v>5655</v>
      </c>
      <c r="C15228" s="25">
        <v>310125.89</v>
      </c>
      <c r="D15228" s="22" t="s">
        <v>17498</v>
      </c>
      <c r="E15228" s="22" t="s">
        <v>103</v>
      </c>
      <c r="F15228" s="23" t="str">
        <f t="shared" si="805"/>
        <v>Аукцион в электронной форме на оказание услуг по техническому обслуживанию (содержанию) системы видеонаблюдения для нужд Государственного бюджетного учреждения здравоохранения города Москвы «Городской клинической больницы № 31 Департамента здравоохра...</v>
      </c>
      <c r="G15228" s="22" t="s">
        <v>55</v>
      </c>
      <c r="H15228" s="22" t="s">
        <v>55</v>
      </c>
      <c r="I15228" s="26">
        <v>43508</v>
      </c>
      <c r="J15228" s="23" t="str">
        <f>HYPERLINK("https://www.spark-marketing.ru/Card/Person/5827083", "Горожанкин Владимир Викторович")</f>
        <v>Горожанкин Владимир Викторович</v>
      </c>
      <c r="K15228" s="24" t="s">
        <v>15903</v>
      </c>
      <c r="L15228" s="28" t="s">
        <v>52</v>
      </c>
      <c r="M15228" s="25">
        <v>204019.17</v>
      </c>
      <c r="N15228" s="27">
        <v>0.34214079966042177</v>
      </c>
    </row>
    <row r="15229" spans="1:14" ht="12.75" hidden="1" outlineLevel="1" x14ac:dyDescent="0.2">
      <c r="A15229" s="23" t="str">
        <f t="shared" si="804"/>
        <v>ГБУЗ "ГКБ № 31 ДЗМ"</v>
      </c>
      <c r="B15229" s="24" t="s">
        <v>5655</v>
      </c>
      <c r="C15229" s="25">
        <v>310125.89</v>
      </c>
      <c r="D15229" s="22" t="s">
        <v>17498</v>
      </c>
      <c r="E15229" s="22" t="s">
        <v>103</v>
      </c>
      <c r="F15229" s="23" t="str">
        <f t="shared" si="805"/>
        <v>Аукцион в электронной форме на оказание услуг по техническому обслуживанию (содержанию) системы видеонаблюдения для нужд Государственного бюджетного учреждения здравоохранения города Москвы «Городской клинической больницы № 31 Департамента здравоохра...</v>
      </c>
      <c r="G15229" s="22" t="s">
        <v>55</v>
      </c>
      <c r="H15229" s="22" t="s">
        <v>55</v>
      </c>
      <c r="I15229" s="26">
        <v>43508</v>
      </c>
      <c r="J15229" s="23" t="str">
        <f>HYPERLINK("https://www.spark-marketing.ru/Card/Person/6364371", "ООО ""ЛТБ""")</f>
        <v>ООО "ЛТБ"</v>
      </c>
      <c r="K15229" s="24" t="s">
        <v>8538</v>
      </c>
      <c r="L15229" s="22" t="s">
        <v>10</v>
      </c>
      <c r="M15229" s="25">
        <v>66576.37</v>
      </c>
      <c r="N15229" s="27">
        <v>0.78532469507786018</v>
      </c>
    </row>
    <row r="15230" spans="1:14" hidden="1" outlineLevel="1" x14ac:dyDescent="0.2">
      <c r="A15230" s="23" t="str">
        <f t="shared" si="804"/>
        <v>ГБУЗ "ГКБ № 31 ДЗМ"</v>
      </c>
      <c r="B15230" s="24" t="s">
        <v>5655</v>
      </c>
      <c r="C15230" s="25">
        <v>310125.89</v>
      </c>
      <c r="D15230" s="22" t="s">
        <v>17498</v>
      </c>
      <c r="E15230" s="22" t="s">
        <v>103</v>
      </c>
      <c r="F15230" s="23" t="str">
        <f t="shared" si="805"/>
        <v>Аукцион в электронной форме на оказание услуг по техническому обслуживанию (содержанию) системы видеонаблюдения для нужд Государственного бюджетного учреждения здравоохранения города Москвы «Городской клинической больницы № 31 Департамента здравоохра...</v>
      </c>
      <c r="G15230" s="22" t="s">
        <v>55</v>
      </c>
      <c r="H15230" s="22" t="s">
        <v>55</v>
      </c>
      <c r="I15230" s="26">
        <v>43508</v>
      </c>
      <c r="J15230" s="23" t="str">
        <f>HYPERLINK("https://www.spark-marketing.ru/Card/Person/6316624", "ООО ""ПРОМЗАЩИТА""")</f>
        <v>ООО "ПРОМЗАЩИТА"</v>
      </c>
      <c r="K15230" s="24" t="s">
        <v>17412</v>
      </c>
      <c r="L15230" s="28" t="s">
        <v>52</v>
      </c>
      <c r="M15230" s="25">
        <v>242784.9</v>
      </c>
      <c r="N15230" s="27">
        <v>0.21714081981352798</v>
      </c>
    </row>
    <row r="15231" spans="1:14" hidden="1" outlineLevel="1" x14ac:dyDescent="0.2">
      <c r="A15231" s="23" t="str">
        <f t="shared" si="804"/>
        <v>ГБУЗ "ГКБ № 31 ДЗМ"</v>
      </c>
      <c r="B15231" s="24" t="s">
        <v>5655</v>
      </c>
      <c r="C15231" s="25">
        <v>310125.89</v>
      </c>
      <c r="D15231" s="22" t="s">
        <v>17498</v>
      </c>
      <c r="E15231" s="22" t="s">
        <v>103</v>
      </c>
      <c r="F15231" s="23" t="str">
        <f t="shared" si="805"/>
        <v>Аукцион в электронной форме на оказание услуг по техническому обслуживанию (содержанию) системы видеонаблюдения для нужд Государственного бюджетного учреждения здравоохранения города Москвы «Городской клинической больницы № 31 Департамента здравоохра...</v>
      </c>
      <c r="G15231" s="22" t="s">
        <v>55</v>
      </c>
      <c r="H15231" s="22" t="s">
        <v>55</v>
      </c>
      <c r="I15231" s="26">
        <v>43508</v>
      </c>
      <c r="J15231" s="23" t="str">
        <f>HYPERLINK("https://www.spark-marketing.ru/Card/Person/5867654", "ООО ""РСКБ""")</f>
        <v>ООО "РСКБ"</v>
      </c>
      <c r="K15231" s="24" t="s">
        <v>12161</v>
      </c>
      <c r="L15231" s="28" t="s">
        <v>52</v>
      </c>
      <c r="M15231" s="25">
        <v>71228.259999999995</v>
      </c>
      <c r="N15231" s="27">
        <v>0.77032468975744006</v>
      </c>
    </row>
    <row r="15232" spans="1:14" hidden="1" outlineLevel="1" x14ac:dyDescent="0.2">
      <c r="A15232" s="23" t="str">
        <f t="shared" si="804"/>
        <v>ГБУЗ "ГКБ № 31 ДЗМ"</v>
      </c>
      <c r="B15232" s="24" t="s">
        <v>5655</v>
      </c>
      <c r="C15232" s="25">
        <v>310125.89</v>
      </c>
      <c r="D15232" s="22" t="s">
        <v>17498</v>
      </c>
      <c r="E15232" s="22" t="s">
        <v>103</v>
      </c>
      <c r="F15232" s="23" t="str">
        <f t="shared" si="805"/>
        <v>Аукцион в электронной форме на оказание услуг по техническому обслуживанию (содержанию) системы видеонаблюдения для нужд Государственного бюджетного учреждения здравоохранения города Москвы «Городской клинической больницы № 31 Департамента здравоохра...</v>
      </c>
      <c r="G15232" s="22" t="s">
        <v>55</v>
      </c>
      <c r="H15232" s="22" t="s">
        <v>55</v>
      </c>
      <c r="I15232" s="26">
        <v>43508</v>
      </c>
      <c r="J15232" s="23" t="str">
        <f>HYPERLINK("https://www.spark-marketing.ru/Card/Person/84385", "Ложков Александр Анатольевич")</f>
        <v>Ложков Александр Анатольевич</v>
      </c>
      <c r="K15232" s="24" t="s">
        <v>9440</v>
      </c>
      <c r="L15232" s="28" t="s">
        <v>52</v>
      </c>
      <c r="M15232" s="25">
        <v>68127</v>
      </c>
      <c r="N15232" s="27">
        <v>0.78032469330438681</v>
      </c>
    </row>
    <row r="15233" spans="1:14" x14ac:dyDescent="0.15">
      <c r="A15233" s="23" t="str">
        <f>HYPERLINK("https://www.spark-marketing.ru/Card/Person/58376", "МБУ ""ЦОО И ОД""")</f>
        <v>МБУ "ЦОО И ОД"</v>
      </c>
      <c r="B15233" s="24" t="s">
        <v>17499</v>
      </c>
      <c r="C15233" s="25">
        <v>45054.720000000001</v>
      </c>
      <c r="D15233" s="22" t="s">
        <v>17500</v>
      </c>
      <c r="E15233" s="22" t="s">
        <v>52</v>
      </c>
      <c r="F15233" s="23" t="str">
        <f>HYPERLINK("https://www.spark-marketing.ru/Card/Lot/67870398", "Оказание услуг по охране загородных оздоровительных лагерей МБУ ""Центр организации отдыха и оздоровления детей""")</f>
        <v>Оказание услуг по охране загородных оздоровительных лагерей МБУ "Центр организации отдыха и оздоровления детей"</v>
      </c>
      <c r="G15233" s="22" t="s">
        <v>72</v>
      </c>
      <c r="H15233" s="22" t="s">
        <v>3332</v>
      </c>
      <c r="I15233" s="26">
        <v>43508</v>
      </c>
      <c r="J15233" s="28" t="s">
        <v>52</v>
      </c>
      <c r="K15233" s="28" t="s">
        <v>52</v>
      </c>
      <c r="L15233" s="28" t="s">
        <v>52</v>
      </c>
      <c r="M15233" s="28" t="s">
        <v>52</v>
      </c>
      <c r="N15233" s="28" t="s">
        <v>52</v>
      </c>
    </row>
    <row r="15234" spans="1:14" x14ac:dyDescent="0.15">
      <c r="A15234" s="23" t="str">
        <f>HYPERLINK("https://www.spark-marketing.ru/Card/Person/13758", "АДМИНИСТРАЦИЯ БМР")</f>
        <v>АДМИНИСТРАЦИЯ БМР</v>
      </c>
      <c r="B15234" s="24" t="s">
        <v>17501</v>
      </c>
      <c r="C15234" s="25">
        <v>18313.8</v>
      </c>
      <c r="D15234" s="22" t="s">
        <v>17502</v>
      </c>
      <c r="E15234" s="22" t="s">
        <v>107</v>
      </c>
      <c r="F15234" s="23" t="str">
        <f>HYPERLINK("https://www.spark-marketing.ru/Card/Lot/67884632", "Оказание услуг по техническому обслуживанию комплекса технических средств охраны для обеспечения муниципальных нужд Буденновского муниципального района Ставропольского края")</f>
        <v>Оказание услуг по техническому обслуживанию комплекса технических средств охраны для обеспечения муниципальных нужд Буденновского муниципального района Ставропольского края</v>
      </c>
      <c r="G15234" s="22" t="s">
        <v>258</v>
      </c>
      <c r="H15234" s="22" t="s">
        <v>5386</v>
      </c>
      <c r="I15234" s="26">
        <v>43508</v>
      </c>
      <c r="J15234" s="28" t="s">
        <v>52</v>
      </c>
      <c r="K15234" s="28" t="s">
        <v>52</v>
      </c>
      <c r="L15234" s="28" t="s">
        <v>52</v>
      </c>
      <c r="M15234" s="28" t="s">
        <v>52</v>
      </c>
      <c r="N15234" s="28" t="s">
        <v>52</v>
      </c>
    </row>
    <row r="15235" spans="1:14" x14ac:dyDescent="0.15">
      <c r="A15235" s="23" t="str">
        <f>HYPERLINK("https://www.spark-marketing.ru/Card/Person/1298872", "МАОУ ""ДМИТРОВСКАЯ ОБЩЕОБРАЗОВАТЕЛЬНАЯ ШКОЛА-ИНТЕРНАТ ДЛЯ ОБУЧАЮЩИХСЯ С ОВЗ""")</f>
        <v>МАОУ "ДМИТРОВСКАЯ ОБЩЕОБРАЗОВАТЕЛЬНАЯ ШКОЛА-ИНТЕРНАТ ДЛЯ ОБУЧАЮЩИХСЯ С ОВЗ"</v>
      </c>
      <c r="B15235" s="24" t="s">
        <v>17503</v>
      </c>
      <c r="C15235" s="25">
        <v>22950</v>
      </c>
      <c r="D15235" s="22" t="s">
        <v>17504</v>
      </c>
      <c r="E15235" s="22" t="s">
        <v>1293</v>
      </c>
      <c r="F15235" s="23" t="str">
        <f>HYPERLINK("https://www.spark-marketing.ru/Card/Lot/67862137", "Оказание услуг по замене блоков средств криптографической защиты информации тахографа навигационно-криптографических модулей с последующей активацией и калибровкой ранее установленных и активированных тахографов на транспортных средствах заказчика")</f>
        <v>Оказание услуг по замене блоков средств криптографической защиты информации тахографа навигационно-криптографических модулей с последующей активацией и калибровкой ранее установленных и активированных тахографов на транспортных средствах заказчика</v>
      </c>
      <c r="G15235" s="22" t="s">
        <v>50</v>
      </c>
      <c r="H15235" s="22" t="s">
        <v>504</v>
      </c>
      <c r="I15235" s="26">
        <v>43507.919513888897</v>
      </c>
      <c r="J15235" s="28" t="s">
        <v>52</v>
      </c>
      <c r="K15235" s="28" t="s">
        <v>52</v>
      </c>
      <c r="L15235" s="28" t="s">
        <v>52</v>
      </c>
      <c r="M15235" s="28" t="s">
        <v>52</v>
      </c>
      <c r="N15235" s="28" t="s">
        <v>52</v>
      </c>
    </row>
    <row r="15236" spans="1:14" ht="12.75" x14ac:dyDescent="0.2">
      <c r="A15236" s="23" t="str">
        <f>HYPERLINK("https://www.spark-marketing.ru/Card/Person/134955", "МЕЖРАЙОННАЯ ИФНС РОССИИ № 3 ПО РЕСПУБЛИКЕ САХА (ЯКУТИЯ)")</f>
        <v>МЕЖРАЙОННАЯ ИФНС РОССИИ № 3 ПО РЕСПУБЛИКЕ САХА (ЯКУТИЯ)</v>
      </c>
      <c r="B15236" s="24" t="s">
        <v>10692</v>
      </c>
      <c r="C15236" s="25">
        <v>35093.519999999997</v>
      </c>
      <c r="D15236" s="22" t="s">
        <v>17505</v>
      </c>
      <c r="E15236" s="22" t="s">
        <v>68</v>
      </c>
      <c r="F15236" s="23" t="str">
        <f>HYPERLINK("https://www.spark-marketing.ru/Card/Lot/67865501", "Охрана объектов с помощью ПЦН (Нюрба)")</f>
        <v>Охрана объектов с помощью ПЦН (Нюрба)</v>
      </c>
      <c r="G15236" s="22" t="s">
        <v>424</v>
      </c>
      <c r="H15236" s="22" t="s">
        <v>424</v>
      </c>
      <c r="I15236" s="26">
        <v>43508</v>
      </c>
      <c r="J15236" s="23" t="str">
        <f>HYPERLINK("https://www.spark-marketing.ru/Card/Person/6495434", "ОВО ПРИ ОВД ПО НЮРБИНСКОМУ РН ФЛ ФГКУ УВО ВНГ РОССИИ ПО РП САХА")</f>
        <v>ОВО ПРИ ОВД ПО НЮРБИНСКОМУ РН ФЛ ФГКУ УВО ВНГ РОССИИ ПО РП САХА</v>
      </c>
      <c r="K15236" s="24" t="s">
        <v>5272</v>
      </c>
      <c r="L15236" s="22" t="s">
        <v>10</v>
      </c>
      <c r="M15236" s="25">
        <v>35093.519999999997</v>
      </c>
      <c r="N15236" s="27">
        <v>0</v>
      </c>
    </row>
    <row r="15237" spans="1:14" ht="12.75" x14ac:dyDescent="0.2">
      <c r="A15237" s="23" t="str">
        <f>HYPERLINK("https://www.spark-marketing.ru/Card/Person/176688", "ГАПОУ ""ОТТ ИМЕНИ А.И. СТЕЦЕНКО""")</f>
        <v>ГАПОУ "ОТТ ИМЕНИ А.И. СТЕЦЕНКО"</v>
      </c>
      <c r="B15237" s="24" t="s">
        <v>17506</v>
      </c>
      <c r="C15237" s="25">
        <v>349960</v>
      </c>
      <c r="D15237" s="22" t="s">
        <v>17507</v>
      </c>
      <c r="E15237" s="22" t="s">
        <v>1242</v>
      </c>
      <c r="F15237" s="23" t="str">
        <f>HYPERLINK("https://www.spark-marketing.ru/Card/Lot/67859357", "Оказание услуг физической охраны объектов (учебных корпусов), расположенных по адресам: г. Орск, ул. Тагильская, 44, пр. Ленина, 33")</f>
        <v>Оказание услуг физической охраны объектов (учебных корпусов), расположенных по адресам: г. Орск, ул. Тагильская, 44, пр. Ленина, 33</v>
      </c>
      <c r="G15237" s="22" t="s">
        <v>384</v>
      </c>
      <c r="H15237" s="22" t="s">
        <v>10100</v>
      </c>
      <c r="I15237" s="26">
        <v>43507.837928240697</v>
      </c>
      <c r="J15237" s="23" t="str">
        <f>HYPERLINK("https://www.spark-marketing.ru/Card/Person/35348", "ООО ""ОП ""БЕРКУТ-1""")</f>
        <v>ООО "ОП "БЕРКУТ-1"</v>
      </c>
      <c r="K15237" s="24" t="s">
        <v>16481</v>
      </c>
      <c r="L15237" s="22" t="s">
        <v>10</v>
      </c>
      <c r="M15237" s="25">
        <v>288044</v>
      </c>
      <c r="N15237" s="27">
        <v>0.17692307692307693</v>
      </c>
    </row>
    <row r="15238" spans="1:14" x14ac:dyDescent="0.15">
      <c r="A15238" s="23" t="str">
        <f>HYPERLINK("https://www.spark-marketing.ru/Card/Person/1000042", "МБОУ НАРО-ФОМИНСКАЯ ШКОЛА ДЛЯ ОБУЧАЮЩИХСЯ С ОВЗ")</f>
        <v>МБОУ НАРО-ФОМИНСКАЯ ШКОЛА ДЛЯ ОБУЧАЮЩИХСЯ С ОВЗ</v>
      </c>
      <c r="B15238" s="24" t="s">
        <v>8103</v>
      </c>
      <c r="C15238" s="25">
        <v>19860</v>
      </c>
      <c r="D15238" s="22" t="s">
        <v>17508</v>
      </c>
      <c r="E15238" s="22" t="s">
        <v>103</v>
      </c>
      <c r="F15238" s="23" t="str">
        <f>HYPERLINK("https://www.spark-marketing.ru/Card/Lot/67860928", "Оказание услуг по техническому обслуживанию и плановому ремонтному обеспечению cмонтированной и введенной в эксплуатацию системы видеонаблюдения")</f>
        <v>Оказание услуг по техническому обслуживанию и плановому ремонтному обеспечению cмонтированной и введенной в эксплуатацию системы видеонаблюдения</v>
      </c>
      <c r="G15238" s="22" t="s">
        <v>50</v>
      </c>
      <c r="H15238" s="22" t="s">
        <v>2332</v>
      </c>
      <c r="I15238" s="26">
        <v>43507.815335648098</v>
      </c>
      <c r="J15238" s="28" t="s">
        <v>52</v>
      </c>
      <c r="K15238" s="28" t="s">
        <v>52</v>
      </c>
      <c r="L15238" s="28" t="s">
        <v>52</v>
      </c>
      <c r="M15238" s="28" t="s">
        <v>52</v>
      </c>
      <c r="N15238" s="28" t="s">
        <v>52</v>
      </c>
    </row>
    <row r="15239" spans="1:14" x14ac:dyDescent="0.15">
      <c r="A15239" s="23" t="str">
        <f>HYPERLINK("https://www.spark-marketing.ru/Card/Person/718484", "ГАПОУ МО ""МОНПК""")</f>
        <v>ГАПОУ МО "МОНПК"</v>
      </c>
      <c r="B15239" s="24" t="s">
        <v>14785</v>
      </c>
      <c r="C15239" s="25">
        <v>16028.35</v>
      </c>
      <c r="D15239" s="22" t="s">
        <v>17509</v>
      </c>
      <c r="E15239" s="22" t="s">
        <v>14787</v>
      </c>
      <c r="F15239" s="23" t="str">
        <f>HYPERLINK("https://www.spark-marketing.ru/Card/Lot/67859080", "Поставка тревожных кнопок")</f>
        <v>Поставка тревожных кнопок</v>
      </c>
      <c r="G15239" s="22" t="s">
        <v>190</v>
      </c>
      <c r="H15239" s="22" t="s">
        <v>190</v>
      </c>
      <c r="I15239" s="26">
        <v>43507.734120370398</v>
      </c>
      <c r="J15239" s="28" t="s">
        <v>52</v>
      </c>
      <c r="K15239" s="28" t="s">
        <v>52</v>
      </c>
      <c r="L15239" s="28" t="s">
        <v>52</v>
      </c>
      <c r="M15239" s="28" t="s">
        <v>52</v>
      </c>
      <c r="N15239" s="28" t="s">
        <v>52</v>
      </c>
    </row>
    <row r="15240" spans="1:14" x14ac:dyDescent="0.15">
      <c r="A15240" s="23" t="str">
        <f>HYPERLINK("https://www.spark-marketing.ru/Card/Person/1028831", "МБУ МЦ ""ВОЗРОЖДЕНИЕ""")</f>
        <v>МБУ МЦ "ВОЗРОЖДЕНИЕ"</v>
      </c>
      <c r="B15240" s="24" t="s">
        <v>17510</v>
      </c>
      <c r="C15240" s="25">
        <v>81543.45</v>
      </c>
      <c r="D15240" s="22" t="s">
        <v>17511</v>
      </c>
      <c r="E15240" s="22" t="s">
        <v>4889</v>
      </c>
      <c r="F15240" s="23" t="str">
        <f>HYPERLINK("https://www.spark-marketing.ru/Card/Lot/67854130", "Услуги по установке домофонов")</f>
        <v>Услуги по установке домофонов</v>
      </c>
      <c r="G15240" s="22" t="s">
        <v>50</v>
      </c>
      <c r="H15240" s="22" t="s">
        <v>265</v>
      </c>
      <c r="I15240" s="26">
        <v>43507.711539351898</v>
      </c>
      <c r="J15240" s="28" t="s">
        <v>52</v>
      </c>
      <c r="K15240" s="28" t="s">
        <v>52</v>
      </c>
      <c r="L15240" s="28" t="s">
        <v>52</v>
      </c>
      <c r="M15240" s="28" t="s">
        <v>52</v>
      </c>
      <c r="N15240" s="28" t="s">
        <v>52</v>
      </c>
    </row>
    <row r="15241" spans="1:14" x14ac:dyDescent="0.15">
      <c r="A15241" s="23" t="str">
        <f>HYPERLINK("https://www.spark-marketing.ru/Card/Person/4856791", "МАДОУ ""Д/С № 22 ""ГОРОД ДЕТСТВА""")</f>
        <v>МАДОУ "Д/С № 22 "ГОРОД ДЕТСТВА"</v>
      </c>
      <c r="B15241" s="24" t="s">
        <v>17512</v>
      </c>
      <c r="C15241" s="25">
        <v>48000</v>
      </c>
      <c r="D15241" s="22" t="s">
        <v>17513</v>
      </c>
      <c r="E15241" s="22" t="s">
        <v>4116</v>
      </c>
      <c r="F15241" s="23" t="str">
        <f>HYPERLINK("https://www.spark-marketing.ru/Card/Lot/67857158", "Техническое обслуживание слаботочных систем, видеонаблюдения и СКУД")</f>
        <v>Техническое обслуживание слаботочных систем, видеонаблюдения и СКУД</v>
      </c>
      <c r="G15241" s="22" t="s">
        <v>50</v>
      </c>
      <c r="H15241" s="22" t="s">
        <v>2391</v>
      </c>
      <c r="I15241" s="26">
        <v>43507.733599537001</v>
      </c>
      <c r="J15241" s="28" t="s">
        <v>52</v>
      </c>
      <c r="K15241" s="28" t="s">
        <v>52</v>
      </c>
      <c r="L15241" s="28" t="s">
        <v>52</v>
      </c>
      <c r="M15241" s="28" t="s">
        <v>52</v>
      </c>
      <c r="N15241" s="28" t="s">
        <v>52</v>
      </c>
    </row>
    <row r="15242" spans="1:14" x14ac:dyDescent="0.15">
      <c r="A15242" s="23" t="str">
        <f>HYPERLINK("https://www.spark-marketing.ru/Card/Person/1016357", "ГБУ РО ""СШОР № 22""")</f>
        <v>ГБУ РО "СШОР № 22"</v>
      </c>
      <c r="B15242" s="24" t="s">
        <v>17514</v>
      </c>
      <c r="C15242" s="25">
        <v>46750</v>
      </c>
      <c r="D15242" s="22" t="s">
        <v>17515</v>
      </c>
      <c r="E15242" s="22" t="s">
        <v>103</v>
      </c>
      <c r="F15242" s="23" t="str">
        <f>HYPERLINK("https://www.spark-marketing.ru/Card/Lot/67857086", "оказание услуг по техническому обслуживанию системы видеонаблюдения")</f>
        <v>оказание услуг по техническому обслуживанию системы видеонаблюдения</v>
      </c>
      <c r="G15242" s="22" t="s">
        <v>402</v>
      </c>
      <c r="H15242" s="22" t="s">
        <v>403</v>
      </c>
      <c r="I15242" s="26">
        <v>43507.737500000003</v>
      </c>
      <c r="J15242" s="28" t="s">
        <v>52</v>
      </c>
      <c r="K15242" s="28" t="s">
        <v>52</v>
      </c>
      <c r="L15242" s="28" t="s">
        <v>52</v>
      </c>
      <c r="M15242" s="28" t="s">
        <v>52</v>
      </c>
      <c r="N15242" s="28" t="s">
        <v>52</v>
      </c>
    </row>
    <row r="15243" spans="1:14" x14ac:dyDescent="0.15">
      <c r="A15243" s="23" t="str">
        <f>HYPERLINK("https://www.spark-marketing.ru/Card/Person/6441946", "АДМИНИСТРАЦИЯ ГОРОДСКОГО ОКРУГА ЛИКИНО-ДУЛЁВО")</f>
        <v>АДМИНИСТРАЦИЯ ГОРОДСКОГО ОКРУГА ЛИКИНО-ДУЛЁВО</v>
      </c>
      <c r="B15243" s="24" t="s">
        <v>8506</v>
      </c>
      <c r="C15243" s="25">
        <v>54386.67</v>
      </c>
      <c r="D15243" s="22" t="s">
        <v>17516</v>
      </c>
      <c r="E15243" s="22" t="s">
        <v>103</v>
      </c>
      <c r="F15243" s="23" t="str">
        <f>HYPERLINK("https://www.spark-marketing.ru/Card/Lot/67854202", "Оказание услуг по техническому обслуживанию системы видеонаблюдения")</f>
        <v>Оказание услуг по техническому обслуживанию системы видеонаблюдения</v>
      </c>
      <c r="G15243" s="22" t="s">
        <v>50</v>
      </c>
      <c r="H15243" s="22" t="s">
        <v>50</v>
      </c>
      <c r="I15243" s="26">
        <v>43507.680254629602</v>
      </c>
      <c r="J15243" s="28" t="s">
        <v>52</v>
      </c>
      <c r="K15243" s="28" t="s">
        <v>52</v>
      </c>
      <c r="L15243" s="28" t="s">
        <v>52</v>
      </c>
      <c r="M15243" s="28" t="s">
        <v>52</v>
      </c>
      <c r="N15243" s="28" t="s">
        <v>52</v>
      </c>
    </row>
    <row r="15244" spans="1:14" x14ac:dyDescent="0.15">
      <c r="A15244" s="23" t="str">
        <f>HYPERLINK("https://www.spark-marketing.ru/Card/Person/4906998", "МУКП ""ЕДДС АЛЕКСЕЕВСКОГО ГОРОДСКОГО ОКРУГА""")</f>
        <v>МУКП "ЕДДС АЛЕКСЕЕВСКОГО ГОРОДСКОГО ОКРУГА"</v>
      </c>
      <c r="B15244" s="24" t="s">
        <v>9444</v>
      </c>
      <c r="C15244" s="25">
        <v>60000</v>
      </c>
      <c r="D15244" s="22" t="s">
        <v>17517</v>
      </c>
      <c r="E15244" s="22" t="s">
        <v>103</v>
      </c>
      <c r="F15244" s="23" t="str">
        <f>HYPERLINK("https://www.spark-marketing.ru/Card/Lot/67851984", "Техническое обслуживание систем телевизионного видеонаблюдения АПК Безопасный город")</f>
        <v>Техническое обслуживание систем телевизионного видеонаблюдения АПК Безопасный город</v>
      </c>
      <c r="G15244" s="22" t="s">
        <v>176</v>
      </c>
      <c r="H15244" s="22" t="s">
        <v>9446</v>
      </c>
      <c r="I15244" s="26">
        <v>43507.688888888901</v>
      </c>
      <c r="J15244" s="28" t="s">
        <v>52</v>
      </c>
      <c r="K15244" s="28" t="s">
        <v>52</v>
      </c>
      <c r="L15244" s="28" t="s">
        <v>52</v>
      </c>
      <c r="M15244" s="28" t="s">
        <v>52</v>
      </c>
      <c r="N15244" s="28" t="s">
        <v>52</v>
      </c>
    </row>
    <row r="15245" spans="1:14" x14ac:dyDescent="0.15">
      <c r="A15245" s="23" t="str">
        <f>HYPERLINK("https://www.spark-marketing.ru/Card/Person/6635064", "ГОРЬКОВСКАЯ ДИРЕКЦИЯ ТЯГИ–СТРУКТУРНОЕ ПОДРАЗДЕЛЕНИЕ ДИРЕКЦИИ ТЯГИ – ФЛ ОАО РЖД")</f>
        <v>ГОРЬКОВСКАЯ ДИРЕКЦИЯ ТЯГИ–СТРУКТУРНОЕ ПОДРАЗДЕЛЕНИЕ ДИРЕКЦИИ ТЯГИ – ФЛ ОАО РЖД</v>
      </c>
      <c r="B15245" s="24" t="s">
        <v>163</v>
      </c>
      <c r="C15245" s="25">
        <v>150000</v>
      </c>
      <c r="D15245" s="28" t="s">
        <v>52</v>
      </c>
      <c r="E15245" s="22" t="s">
        <v>107</v>
      </c>
      <c r="F15245" s="23" t="str">
        <f>HYPERLINK("https://www.spark-marketing.ru/Card/Lot/72420031", "№6853 Выполнение работ по сервисному обслуживанию тренажерного комплекса ""Торвест-Видео""")</f>
        <v>№6853 Выполнение работ по сервисному обслуживанию тренажерного комплекса "Торвест-Видео"</v>
      </c>
      <c r="G15245" s="22" t="s">
        <v>52</v>
      </c>
      <c r="H15245" s="22" t="s">
        <v>52</v>
      </c>
      <c r="I15245" s="26">
        <v>43507.708009259302</v>
      </c>
      <c r="J15245" s="28" t="s">
        <v>52</v>
      </c>
      <c r="K15245" s="28" t="s">
        <v>52</v>
      </c>
      <c r="L15245" s="28" t="s">
        <v>52</v>
      </c>
      <c r="M15245" s="28" t="s">
        <v>52</v>
      </c>
      <c r="N15245" s="28" t="s">
        <v>52</v>
      </c>
    </row>
    <row r="15246" spans="1:14" x14ac:dyDescent="0.15">
      <c r="A15246" s="23" t="str">
        <f>HYPERLINK("https://www.spark-marketing.ru/Card/Person/57885", "ФГБОУ ВО ""ПГУ ИМ. ШОЛОМ-АЛЕЙХЕМА""")</f>
        <v>ФГБОУ ВО "ПГУ ИМ. ШОЛОМ-АЛЕЙХЕМА"</v>
      </c>
      <c r="B15246" s="24" t="s">
        <v>6407</v>
      </c>
      <c r="C15246" s="25">
        <v>766208</v>
      </c>
      <c r="D15246" s="22" t="s">
        <v>17518</v>
      </c>
      <c r="E15246" s="22" t="s">
        <v>49</v>
      </c>
      <c r="F15246" s="23" t="str">
        <f>HYPERLINK("https://www.spark-marketing.ru/Card/Lot/67832758", "Выполнение работ по установке системы видеонаблюдения в общежитии №2 и №3, учебных корпусах №№1, 8, 2, 4, 6, 11, 12 ФГБОУ ВО ""ПГУ имени Шолом-Алейхема""")</f>
        <v>Выполнение работ по установке системы видеонаблюдения в общежитии №2 и №3, учебных корпусах №№1, 8, 2, 4, 6, 11, 12 ФГБОУ ВО "ПГУ имени Шолом-Алейхема"</v>
      </c>
      <c r="G15246" s="22" t="s">
        <v>6409</v>
      </c>
      <c r="H15246" s="22" t="s">
        <v>6410</v>
      </c>
      <c r="I15246" s="26">
        <v>43507.6960300926</v>
      </c>
      <c r="J15246" s="28" t="s">
        <v>52</v>
      </c>
      <c r="K15246" s="28" t="s">
        <v>52</v>
      </c>
      <c r="L15246" s="28" t="s">
        <v>52</v>
      </c>
      <c r="M15246" s="28" t="s">
        <v>52</v>
      </c>
      <c r="N15246" s="28" t="s">
        <v>52</v>
      </c>
    </row>
    <row r="15247" spans="1:14" hidden="1" outlineLevel="1" x14ac:dyDescent="0.2">
      <c r="A15247" s="23" t="str">
        <f>HYPERLINK("https://www.spark-marketing.ru/Card/Person/57885", "ФГБОУ ВО ""ПГУ ИМ. ШОЛОМ-АЛЕЙХЕМА""")</f>
        <v>ФГБОУ ВО "ПГУ ИМ. ШОЛОМ-АЛЕЙХЕМА"</v>
      </c>
      <c r="B15247" s="24" t="s">
        <v>6407</v>
      </c>
      <c r="C15247" s="28" t="s">
        <v>52</v>
      </c>
      <c r="D15247" s="22" t="s">
        <v>17518</v>
      </c>
      <c r="E15247" s="22" t="s">
        <v>49</v>
      </c>
      <c r="F15247" s="23" t="str">
        <f>HYPERLINK("https://www.spark-marketing.ru/Card/Lot/67832758", "Выполнение работ по установке системы видеонаблюдения в общежитии №2 и №3, учебных корпусах №№1, 8, 2, 4, 6, 11, 12 ФГБОУ ВО ""ПГУ имени Шолом-Алейхема""")</f>
        <v>Выполнение работ по установке системы видеонаблюдения в общежитии №2 и №3, учебных корпусах №№1, 8, 2, 4, 6, 11, 12 ФГБОУ ВО "ПГУ имени Шолом-Алейхема"</v>
      </c>
      <c r="G15247" s="22" t="s">
        <v>6409</v>
      </c>
      <c r="H15247" s="22" t="s">
        <v>6410</v>
      </c>
      <c r="I15247" s="26">
        <v>43507.6960300926</v>
      </c>
      <c r="J15247" s="23" t="str">
        <f>HYPERLINK("https://www.spark-marketing.ru/Card/Person/162435", "ООО ""ЦБ""")</f>
        <v>ООО "ЦБ"</v>
      </c>
      <c r="K15247" s="24" t="s">
        <v>17519</v>
      </c>
      <c r="L15247" s="28" t="s">
        <v>52</v>
      </c>
      <c r="M15247" s="25">
        <v>535000</v>
      </c>
      <c r="N15247" s="27">
        <v>0.30175618108920815</v>
      </c>
    </row>
    <row r="15248" spans="1:14" hidden="1" outlineLevel="1" x14ac:dyDescent="0.2">
      <c r="A15248" s="23" t="str">
        <f>HYPERLINK("https://www.spark-marketing.ru/Card/Person/57885", "ФГБОУ ВО ""ПГУ ИМ. ШОЛОМ-АЛЕЙХЕМА""")</f>
        <v>ФГБОУ ВО "ПГУ ИМ. ШОЛОМ-АЛЕЙХЕМА"</v>
      </c>
      <c r="B15248" s="24" t="s">
        <v>6407</v>
      </c>
      <c r="C15248" s="28" t="s">
        <v>52</v>
      </c>
      <c r="D15248" s="22" t="s">
        <v>17518</v>
      </c>
      <c r="E15248" s="22" t="s">
        <v>49</v>
      </c>
      <c r="F15248" s="23" t="str">
        <f>HYPERLINK("https://www.spark-marketing.ru/Card/Lot/67832758", "Выполнение работ по установке системы видеонаблюдения в общежитии №2 и №3, учебных корпусах №№1, 8, 2, 4, 6, 11, 12 ФГБОУ ВО ""ПГУ имени Шолом-Алейхема""")</f>
        <v>Выполнение работ по установке системы видеонаблюдения в общежитии №2 и №3, учебных корпусах №№1, 8, 2, 4, 6, 11, 12 ФГБОУ ВО "ПГУ имени Шолом-Алейхема"</v>
      </c>
      <c r="G15248" s="22" t="s">
        <v>6409</v>
      </c>
      <c r="H15248" s="22" t="s">
        <v>6410</v>
      </c>
      <c r="I15248" s="26">
        <v>43507.6960300926</v>
      </c>
      <c r="J15248" s="23" t="str">
        <f>HYPERLINK("https://www.spark-marketing.ru/Card/Person/5954318", "ООО ""АГАТ РИТЕЙЛ""")</f>
        <v>ООО "АГАТ РИТЕЙЛ"</v>
      </c>
      <c r="K15248" s="24" t="s">
        <v>10598</v>
      </c>
      <c r="L15248" s="22" t="s">
        <v>10</v>
      </c>
      <c r="M15248" s="25">
        <v>531168.96</v>
      </c>
      <c r="N15248" s="27">
        <v>0.30675618108920816</v>
      </c>
    </row>
    <row r="15249" spans="1:14" hidden="1" outlineLevel="1" x14ac:dyDescent="0.2">
      <c r="A15249" s="23" t="str">
        <f>HYPERLINK("https://www.spark-marketing.ru/Card/Person/57885", "ФГБОУ ВО ""ПГУ ИМ. ШОЛОМ-АЛЕЙХЕМА""")</f>
        <v>ФГБОУ ВО "ПГУ ИМ. ШОЛОМ-АЛЕЙХЕМА"</v>
      </c>
      <c r="B15249" s="24" t="s">
        <v>6407</v>
      </c>
      <c r="C15249" s="28" t="s">
        <v>52</v>
      </c>
      <c r="D15249" s="22" t="s">
        <v>17518</v>
      </c>
      <c r="E15249" s="22" t="s">
        <v>49</v>
      </c>
      <c r="F15249" s="23" t="str">
        <f>HYPERLINK("https://www.spark-marketing.ru/Card/Lot/67832758", "Выполнение работ по установке системы видеонаблюдения в общежитии №2 и №3, учебных корпусах №№1, 8, 2, 4, 6, 11, 12 ФГБОУ ВО ""ПГУ имени Шолом-Алейхема""")</f>
        <v>Выполнение работ по установке системы видеонаблюдения в общежитии №2 и №3, учебных корпусах №№1, 8, 2, 4, 6, 11, 12 ФГБОУ ВО "ПГУ имени Шолом-Алейхема"</v>
      </c>
      <c r="G15249" s="22" t="s">
        <v>6409</v>
      </c>
      <c r="H15249" s="22" t="s">
        <v>6410</v>
      </c>
      <c r="I15249" s="26">
        <v>43507.6960300926</v>
      </c>
      <c r="J15249" s="23" t="str">
        <f>HYPERLINK("https://www.spark-marketing.ru/Card/Person/10991", "ПАО ""РОСТЕЛЕКОМ""")</f>
        <v>ПАО "РОСТЕЛЕКОМ"</v>
      </c>
      <c r="K15249" s="24" t="s">
        <v>607</v>
      </c>
      <c r="L15249" s="28" t="s">
        <v>52</v>
      </c>
      <c r="M15249" s="25">
        <v>670432</v>
      </c>
      <c r="N15249" s="27">
        <v>0.125</v>
      </c>
    </row>
    <row r="15250" spans="1:14" hidden="1" outlineLevel="1" x14ac:dyDescent="0.2">
      <c r="A15250" s="23" t="str">
        <f>HYPERLINK("https://www.spark-marketing.ru/Card/Person/57885", "ФГБОУ ВО ""ПГУ ИМ. ШОЛОМ-АЛЕЙХЕМА""")</f>
        <v>ФГБОУ ВО "ПГУ ИМ. ШОЛОМ-АЛЕЙХЕМА"</v>
      </c>
      <c r="B15250" s="24" t="s">
        <v>6407</v>
      </c>
      <c r="C15250" s="28" t="s">
        <v>52</v>
      </c>
      <c r="D15250" s="22" t="s">
        <v>17518</v>
      </c>
      <c r="E15250" s="22" t="s">
        <v>49</v>
      </c>
      <c r="F15250" s="23" t="str">
        <f>HYPERLINK("https://www.spark-marketing.ru/Card/Lot/67832758", "Выполнение работ по установке системы видеонаблюдения в общежитии №2 и №3, учебных корпусах №№1, 8, 2, 4, 6, 11, 12 ФГБОУ ВО ""ПГУ имени Шолом-Алейхема""")</f>
        <v>Выполнение работ по установке системы видеонаблюдения в общежитии №2 и №3, учебных корпусах №№1, 8, 2, 4, 6, 11, 12 ФГБОУ ВО "ПГУ имени Шолом-Алейхема"</v>
      </c>
      <c r="G15250" s="22" t="s">
        <v>6409</v>
      </c>
      <c r="H15250" s="22" t="s">
        <v>6410</v>
      </c>
      <c r="I15250" s="26">
        <v>43507.6960300926</v>
      </c>
      <c r="J15250" s="23" t="str">
        <f>HYPERLINK("https://www.spark-marketing.ru/Card/Person/-1", "неизвестно")</f>
        <v>неизвестно</v>
      </c>
      <c r="K15250" s="28" t="s">
        <v>52</v>
      </c>
      <c r="L15250" s="28" t="s">
        <v>52</v>
      </c>
      <c r="M15250" s="25">
        <v>0</v>
      </c>
      <c r="N15250" s="27">
        <v>1</v>
      </c>
    </row>
    <row r="15251" spans="1:14" x14ac:dyDescent="0.15">
      <c r="A15251" s="23" t="str">
        <f>HYPERLINK("https://www.spark-marketing.ru/Card/Person/38899", "КГУ ИМ. К.Э. ЦИОЛКОВСКОГО, КАЛУЖСКИЙ ГОСУДАРСТВЕННЫЙ УНИВЕРСИТЕТ ИМ. К.Э. ЦИОЛКОВСКОГО")</f>
        <v>КГУ ИМ. К.Э. ЦИОЛКОВСКОГО, КАЛУЖСКИЙ ГОСУДАРСТВЕННЫЙ УНИВЕРСИТЕТ ИМ. К.Э. ЦИОЛКОВСКОГО</v>
      </c>
      <c r="B15251" s="24" t="s">
        <v>4412</v>
      </c>
      <c r="C15251" s="25">
        <v>282000</v>
      </c>
      <c r="D15251" s="22" t="s">
        <v>17520</v>
      </c>
      <c r="E15251" s="22" t="s">
        <v>2577</v>
      </c>
      <c r="F15251" s="23" t="str">
        <f>HYPERLINK("https://www.spark-marketing.ru/Card/Lot/67864740", "Услуги по сопровождению объектов нового строительства")</f>
        <v>Услуги по сопровождению объектов нового строительства</v>
      </c>
      <c r="G15251" s="22" t="s">
        <v>658</v>
      </c>
      <c r="H15251" s="22" t="s">
        <v>658</v>
      </c>
      <c r="I15251" s="26">
        <v>43507.6876388889</v>
      </c>
      <c r="J15251" s="28" t="s">
        <v>52</v>
      </c>
      <c r="K15251" s="28" t="s">
        <v>52</v>
      </c>
      <c r="L15251" s="28" t="s">
        <v>52</v>
      </c>
      <c r="M15251" s="28" t="s">
        <v>52</v>
      </c>
      <c r="N15251" s="28" t="s">
        <v>52</v>
      </c>
    </row>
    <row r="15252" spans="1:14" x14ac:dyDescent="0.15">
      <c r="A15252" s="23" t="str">
        <f>HYPERLINK("https://www.spark-marketing.ru/Card/Person/22111", "МБОУ «ШКОЛА № 44»")</f>
        <v>МБОУ «ШКОЛА № 44»</v>
      </c>
      <c r="B15252" s="24" t="s">
        <v>17521</v>
      </c>
      <c r="C15252" s="25">
        <v>17998.400000000001</v>
      </c>
      <c r="D15252" s="22" t="s">
        <v>17522</v>
      </c>
      <c r="E15252" s="22" t="s">
        <v>84</v>
      </c>
      <c r="F15252" s="23" t="str">
        <f>HYPERLINK("https://www.spark-marketing.ru/Card/Lot/67850904", "Услуги по настройке и установки видеонаблюдения")</f>
        <v>Услуги по настройке и установки видеонаблюдения</v>
      </c>
      <c r="G15252" s="22" t="s">
        <v>402</v>
      </c>
      <c r="H15252" s="22" t="s">
        <v>403</v>
      </c>
      <c r="I15252" s="26">
        <v>43507.676388888904</v>
      </c>
      <c r="J15252" s="28" t="s">
        <v>52</v>
      </c>
      <c r="K15252" s="28" t="s">
        <v>52</v>
      </c>
      <c r="L15252" s="28" t="s">
        <v>52</v>
      </c>
      <c r="M15252" s="28" t="s">
        <v>52</v>
      </c>
      <c r="N15252" s="28" t="s">
        <v>52</v>
      </c>
    </row>
    <row r="15253" spans="1:14" x14ac:dyDescent="0.15">
      <c r="A15253" s="23" t="str">
        <f>HYPERLINK("https://www.spark-marketing.ru/Card/Person/58609", "МБОУ КОЛОДЕЗЯНСКАЯ СОШ")</f>
        <v>МБОУ КОЛОДЕЗЯНСКАЯ СОШ</v>
      </c>
      <c r="B15253" s="24" t="s">
        <v>17523</v>
      </c>
      <c r="C15253" s="25">
        <v>33000</v>
      </c>
      <c r="D15253" s="22" t="s">
        <v>17524</v>
      </c>
      <c r="E15253" s="22" t="s">
        <v>194</v>
      </c>
      <c r="F15253" s="23" t="str">
        <f>HYPERLINK("https://www.spark-marketing.ru/Card/Lot/67848082", "Оказание услуг по организации круглосуточного видеонаблюдения и технического обслуживания")</f>
        <v>Оказание услуг по организации круглосуточного видеонаблюдения и технического обслуживания</v>
      </c>
      <c r="G15253" s="22" t="s">
        <v>402</v>
      </c>
      <c r="H15253" s="22" t="s">
        <v>17392</v>
      </c>
      <c r="I15253" s="26">
        <v>43507.632638888899</v>
      </c>
      <c r="J15253" s="28" t="s">
        <v>52</v>
      </c>
      <c r="K15253" s="28" t="s">
        <v>52</v>
      </c>
      <c r="L15253" s="28" t="s">
        <v>52</v>
      </c>
      <c r="M15253" s="28" t="s">
        <v>52</v>
      </c>
      <c r="N15253" s="28" t="s">
        <v>52</v>
      </c>
    </row>
    <row r="15254" spans="1:14" x14ac:dyDescent="0.15">
      <c r="A15254" s="23" t="str">
        <f>HYPERLINK("https://www.spark-marketing.ru/Card/Person/1053186", "МБОУ СОШ № 2")</f>
        <v>МБОУ СОШ № 2</v>
      </c>
      <c r="B15254" s="24" t="s">
        <v>17525</v>
      </c>
      <c r="C15254" s="25">
        <v>33000</v>
      </c>
      <c r="D15254" s="22" t="s">
        <v>17526</v>
      </c>
      <c r="E15254" s="22" t="s">
        <v>194</v>
      </c>
      <c r="F15254" s="23" t="str">
        <f>HYPERLINK("https://www.spark-marketing.ru/Card/Lot/67849627", "Оказание услуг по организации круглосуточного видеонаблюдения и технического обслуживания")</f>
        <v>Оказание услуг по организации круглосуточного видеонаблюдения и технического обслуживания</v>
      </c>
      <c r="G15254" s="22" t="s">
        <v>402</v>
      </c>
      <c r="H15254" s="22" t="s">
        <v>17392</v>
      </c>
      <c r="I15254" s="26">
        <v>43507.658333333296</v>
      </c>
      <c r="J15254" s="28" t="s">
        <v>52</v>
      </c>
      <c r="K15254" s="28" t="s">
        <v>52</v>
      </c>
      <c r="L15254" s="28" t="s">
        <v>52</v>
      </c>
      <c r="M15254" s="28" t="s">
        <v>52</v>
      </c>
      <c r="N15254" s="28" t="s">
        <v>52</v>
      </c>
    </row>
    <row r="15255" spans="1:14" x14ac:dyDescent="0.15">
      <c r="A15255" s="23" t="str">
        <f>HYPERLINK("https://www.spark-marketing.ru/Card/Person/1059914", "МБОУ НАГОЛЬНЕНСКАЯ СОШ")</f>
        <v>МБОУ НАГОЛЬНЕНСКАЯ СОШ</v>
      </c>
      <c r="B15255" s="24" t="s">
        <v>17527</v>
      </c>
      <c r="C15255" s="25">
        <v>33000</v>
      </c>
      <c r="D15255" s="22" t="s">
        <v>17528</v>
      </c>
      <c r="E15255" s="22" t="s">
        <v>194</v>
      </c>
      <c r="F15255" s="23" t="str">
        <f>HYPERLINK("https://www.spark-marketing.ru/Card/Lot/67849525", "Оказание услуг по организации круглосуточного видеонаблюдения и технического обслуживания")</f>
        <v>Оказание услуг по организации круглосуточного видеонаблюдения и технического обслуживания</v>
      </c>
      <c r="G15255" s="22" t="s">
        <v>402</v>
      </c>
      <c r="H15255" s="22" t="s">
        <v>17392</v>
      </c>
      <c r="I15255" s="26">
        <v>43507.647916666698</v>
      </c>
      <c r="J15255" s="28" t="s">
        <v>52</v>
      </c>
      <c r="K15255" s="28" t="s">
        <v>52</v>
      </c>
      <c r="L15255" s="28" t="s">
        <v>52</v>
      </c>
      <c r="M15255" s="28" t="s">
        <v>52</v>
      </c>
      <c r="N15255" s="28" t="s">
        <v>52</v>
      </c>
    </row>
    <row r="15256" spans="1:14" x14ac:dyDescent="0.15">
      <c r="A15256" s="23" t="str">
        <f>HYPERLINK("https://www.spark-marketing.ru/Card/Person/1052550", "МБОУ ФОМИНСКАЯ ООШ")</f>
        <v>МБОУ ФОМИНСКАЯ ООШ</v>
      </c>
      <c r="B15256" s="24" t="s">
        <v>17529</v>
      </c>
      <c r="C15256" s="25">
        <v>33000</v>
      </c>
      <c r="D15256" s="22" t="s">
        <v>17530</v>
      </c>
      <c r="E15256" s="22" t="s">
        <v>194</v>
      </c>
      <c r="F15256" s="23" t="str">
        <f>HYPERLINK("https://www.spark-marketing.ru/Card/Lot/67849535", "Оказание услуг по организации круглосуточного видеонаблюдения и технического обслуживания")</f>
        <v>Оказание услуг по организации круглосуточного видеонаблюдения и технического обслуживания</v>
      </c>
      <c r="G15256" s="22" t="s">
        <v>402</v>
      </c>
      <c r="H15256" s="22" t="s">
        <v>17392</v>
      </c>
      <c r="I15256" s="26">
        <v>43507.65</v>
      </c>
      <c r="J15256" s="28" t="s">
        <v>52</v>
      </c>
      <c r="K15256" s="28" t="s">
        <v>52</v>
      </c>
      <c r="L15256" s="28" t="s">
        <v>52</v>
      </c>
      <c r="M15256" s="28" t="s">
        <v>52</v>
      </c>
      <c r="N15256" s="28" t="s">
        <v>52</v>
      </c>
    </row>
    <row r="15257" spans="1:14" x14ac:dyDescent="0.15">
      <c r="A15257" s="23" t="str">
        <f>HYPERLINK("https://www.spark-marketing.ru/Card/Person/1060295", "МБОУ МАРЬЕВСКАЯ СОШ")</f>
        <v>МБОУ МАРЬЕВСКАЯ СОШ</v>
      </c>
      <c r="B15257" s="24" t="s">
        <v>17531</v>
      </c>
      <c r="C15257" s="25">
        <v>33000</v>
      </c>
      <c r="D15257" s="22" t="s">
        <v>17532</v>
      </c>
      <c r="E15257" s="22" t="s">
        <v>194</v>
      </c>
      <c r="F15257" s="23" t="str">
        <f>HYPERLINK("https://www.spark-marketing.ru/Card/Lot/67848080", "Оказание услуг по организации круглосуточного видеонаблюдения и технического обслуживания")</f>
        <v>Оказание услуг по организации круглосуточного видеонаблюдения и технического обслуживания</v>
      </c>
      <c r="G15257" s="22" t="s">
        <v>402</v>
      </c>
      <c r="H15257" s="22" t="s">
        <v>17392</v>
      </c>
      <c r="I15257" s="26">
        <v>43507.631944444402</v>
      </c>
      <c r="J15257" s="28" t="s">
        <v>52</v>
      </c>
      <c r="K15257" s="28" t="s">
        <v>52</v>
      </c>
      <c r="L15257" s="28" t="s">
        <v>52</v>
      </c>
      <c r="M15257" s="28" t="s">
        <v>52</v>
      </c>
      <c r="N15257" s="28" t="s">
        <v>52</v>
      </c>
    </row>
    <row r="15258" spans="1:14" x14ac:dyDescent="0.15">
      <c r="A15258" s="23" t="str">
        <f>HYPERLINK("https://www.spark-marketing.ru/Card/Person/57885", "ФГБОУ ВО ""ПГУ ИМ. ШОЛОМ-АЛЕЙХЕМА""")</f>
        <v>ФГБОУ ВО "ПГУ ИМ. ШОЛОМ-АЛЕЙХЕМА"</v>
      </c>
      <c r="B15258" s="24" t="s">
        <v>6407</v>
      </c>
      <c r="C15258" s="25">
        <v>248110</v>
      </c>
      <c r="D15258" s="22" t="s">
        <v>17533</v>
      </c>
      <c r="E15258" s="22" t="s">
        <v>49</v>
      </c>
      <c r="F15258" s="23" t="str">
        <f>HYPERLINK("https://www.spark-marketing.ru/Card/Lot/67832133", "Выполнение работ по установке системы видеонаблюдения в учебном корпусе №9, учебно-производственном корпусе №10, ул.Пионерская, 60 ФГБОУ ВО «ПГУ им. Шолом-Алейхема»")</f>
        <v>Выполнение работ по установке системы видеонаблюдения в учебном корпусе №9, учебно-производственном корпусе №10, ул.Пионерская, 60 ФГБОУ ВО «ПГУ им. Шолом-Алейхема»</v>
      </c>
      <c r="G15258" s="22" t="s">
        <v>6409</v>
      </c>
      <c r="H15258" s="22" t="s">
        <v>6410</v>
      </c>
      <c r="I15258" s="26">
        <v>43507.648865740703</v>
      </c>
      <c r="J15258" s="28" t="s">
        <v>52</v>
      </c>
      <c r="K15258" s="28" t="s">
        <v>52</v>
      </c>
      <c r="L15258" s="28" t="s">
        <v>52</v>
      </c>
      <c r="M15258" s="28" t="s">
        <v>52</v>
      </c>
      <c r="N15258" s="28" t="s">
        <v>52</v>
      </c>
    </row>
    <row r="15259" spans="1:14" hidden="1" outlineLevel="1" x14ac:dyDescent="0.2">
      <c r="A15259" s="23" t="str">
        <f>HYPERLINK("https://www.spark-marketing.ru/Card/Person/57885", "ФГБОУ ВО ""ПГУ ИМ. ШОЛОМ-АЛЕЙХЕМА""")</f>
        <v>ФГБОУ ВО "ПГУ ИМ. ШОЛОМ-АЛЕЙХЕМА"</v>
      </c>
      <c r="B15259" s="24" t="s">
        <v>6407</v>
      </c>
      <c r="C15259" s="28" t="s">
        <v>52</v>
      </c>
      <c r="D15259" s="22" t="s">
        <v>17533</v>
      </c>
      <c r="E15259" s="22" t="s">
        <v>49</v>
      </c>
      <c r="F15259" s="23" t="str">
        <f>HYPERLINK("https://www.spark-marketing.ru/Card/Lot/67832133", "Выполнение работ по установке системы видеонаблюдения в учебном корпусе №9, учебно-производственном корпусе №10, ул.Пионерская, 60 ФГБОУ ВО «ПГУ им. Шолом-Алейхема»")</f>
        <v>Выполнение работ по установке системы видеонаблюдения в учебном корпусе №9, учебно-производственном корпусе №10, ул.Пионерская, 60 ФГБОУ ВО «ПГУ им. Шолом-Алейхема»</v>
      </c>
      <c r="G15259" s="22" t="s">
        <v>6409</v>
      </c>
      <c r="H15259" s="22" t="s">
        <v>6410</v>
      </c>
      <c r="I15259" s="26">
        <v>43507.648865740703</v>
      </c>
      <c r="J15259" s="23" t="str">
        <f>HYPERLINK("https://www.spark-marketing.ru/Card/Person/162435", "ООО ""ЦБ""")</f>
        <v>ООО "ЦБ"</v>
      </c>
      <c r="K15259" s="24" t="s">
        <v>17519</v>
      </c>
      <c r="L15259" s="28" t="s">
        <v>52</v>
      </c>
      <c r="M15259" s="25">
        <v>173677</v>
      </c>
      <c r="N15259" s="27">
        <v>0.3</v>
      </c>
    </row>
    <row r="15260" spans="1:14" hidden="1" outlineLevel="1" x14ac:dyDescent="0.2">
      <c r="A15260" s="23" t="str">
        <f>HYPERLINK("https://www.spark-marketing.ru/Card/Person/57885", "ФГБОУ ВО ""ПГУ ИМ. ШОЛОМ-АЛЕЙХЕМА""")</f>
        <v>ФГБОУ ВО "ПГУ ИМ. ШОЛОМ-АЛЕЙХЕМА"</v>
      </c>
      <c r="B15260" s="24" t="s">
        <v>6407</v>
      </c>
      <c r="C15260" s="28" t="s">
        <v>52</v>
      </c>
      <c r="D15260" s="22" t="s">
        <v>17533</v>
      </c>
      <c r="E15260" s="22" t="s">
        <v>49</v>
      </c>
      <c r="F15260" s="23" t="str">
        <f>HYPERLINK("https://www.spark-marketing.ru/Card/Lot/67832133", "Выполнение работ по установке системы видеонаблюдения в учебном корпусе №9, учебно-производственном корпусе №10, ул.Пионерская, 60 ФГБОУ ВО «ПГУ им. Шолом-Алейхема»")</f>
        <v>Выполнение работ по установке системы видеонаблюдения в учебном корпусе №9, учебно-производственном корпусе №10, ул.Пионерская, 60 ФГБОУ ВО «ПГУ им. Шолом-Алейхема»</v>
      </c>
      <c r="G15260" s="22" t="s">
        <v>6409</v>
      </c>
      <c r="H15260" s="22" t="s">
        <v>6410</v>
      </c>
      <c r="I15260" s="26">
        <v>43507.648865740703</v>
      </c>
      <c r="J15260" s="23" t="str">
        <f>HYPERLINK("https://www.spark-marketing.ru/Card/Person/5954318", "ООО ""АГАТ РИТЕЙЛ""")</f>
        <v>ООО "АГАТ РИТЕЙЛ"</v>
      </c>
      <c r="K15260" s="24" t="s">
        <v>10598</v>
      </c>
      <c r="L15260" s="22" t="s">
        <v>10</v>
      </c>
      <c r="M15260" s="25">
        <v>172436.45</v>
      </c>
      <c r="N15260" s="27">
        <v>0.30499999999999999</v>
      </c>
    </row>
    <row r="15261" spans="1:14" hidden="1" outlineLevel="1" x14ac:dyDescent="0.2">
      <c r="A15261" s="23" t="str">
        <f>HYPERLINK("https://www.spark-marketing.ru/Card/Person/57885", "ФГБОУ ВО ""ПГУ ИМ. ШОЛОМ-АЛЕЙХЕМА""")</f>
        <v>ФГБОУ ВО "ПГУ ИМ. ШОЛОМ-АЛЕЙХЕМА"</v>
      </c>
      <c r="B15261" s="24" t="s">
        <v>6407</v>
      </c>
      <c r="C15261" s="28" t="s">
        <v>52</v>
      </c>
      <c r="D15261" s="22" t="s">
        <v>17533</v>
      </c>
      <c r="E15261" s="22" t="s">
        <v>49</v>
      </c>
      <c r="F15261" s="23" t="str">
        <f>HYPERLINK("https://www.spark-marketing.ru/Card/Lot/67832133", "Выполнение работ по установке системы видеонаблюдения в учебном корпусе №9, учебно-производственном корпусе №10, ул.Пионерская, 60 ФГБОУ ВО «ПГУ им. Шолом-Алейхема»")</f>
        <v>Выполнение работ по установке системы видеонаблюдения в учебном корпусе №9, учебно-производственном корпусе №10, ул.Пионерская, 60 ФГБОУ ВО «ПГУ им. Шолом-Алейхема»</v>
      </c>
      <c r="G15261" s="22" t="s">
        <v>6409</v>
      </c>
      <c r="H15261" s="22" t="s">
        <v>6410</v>
      </c>
      <c r="I15261" s="26">
        <v>43507.648865740703</v>
      </c>
      <c r="J15261" s="23" t="str">
        <f>HYPERLINK("https://www.spark-marketing.ru/Card/Person/10991", "ПАО ""РОСТЕЛЕКОМ""")</f>
        <v>ПАО "РОСТЕЛЕКОМ"</v>
      </c>
      <c r="K15261" s="24" t="s">
        <v>607</v>
      </c>
      <c r="L15261" s="28" t="s">
        <v>52</v>
      </c>
      <c r="M15261" s="25">
        <v>179879.75</v>
      </c>
      <c r="N15261" s="27">
        <v>0.27500000000000002</v>
      </c>
    </row>
    <row r="15262" spans="1:14" hidden="1" outlineLevel="1" x14ac:dyDescent="0.2">
      <c r="A15262" s="23" t="str">
        <f>HYPERLINK("https://www.spark-marketing.ru/Card/Person/57885", "ФГБОУ ВО ""ПГУ ИМ. ШОЛОМ-АЛЕЙХЕМА""")</f>
        <v>ФГБОУ ВО "ПГУ ИМ. ШОЛОМ-АЛЕЙХЕМА"</v>
      </c>
      <c r="B15262" s="24" t="s">
        <v>6407</v>
      </c>
      <c r="C15262" s="28" t="s">
        <v>52</v>
      </c>
      <c r="D15262" s="22" t="s">
        <v>17533</v>
      </c>
      <c r="E15262" s="22" t="s">
        <v>49</v>
      </c>
      <c r="F15262" s="23" t="str">
        <f>HYPERLINK("https://www.spark-marketing.ru/Card/Lot/67832133", "Выполнение работ по установке системы видеонаблюдения в учебном корпусе №9, учебно-производственном корпусе №10, ул.Пионерская, 60 ФГБОУ ВО «ПГУ им. Шолом-Алейхема»")</f>
        <v>Выполнение работ по установке системы видеонаблюдения в учебном корпусе №9, учебно-производственном корпусе №10, ул.Пионерская, 60 ФГБОУ ВО «ПГУ им. Шолом-Алейхема»</v>
      </c>
      <c r="G15262" s="22" t="s">
        <v>6409</v>
      </c>
      <c r="H15262" s="22" t="s">
        <v>6410</v>
      </c>
      <c r="I15262" s="26">
        <v>43507.648865740703</v>
      </c>
      <c r="J15262" s="23" t="str">
        <f>HYPERLINK("https://www.spark-marketing.ru/Card/Person/-1", "неизвестно")</f>
        <v>неизвестно</v>
      </c>
      <c r="K15262" s="28" t="s">
        <v>52</v>
      </c>
      <c r="L15262" s="28" t="s">
        <v>52</v>
      </c>
      <c r="M15262" s="25">
        <v>0</v>
      </c>
      <c r="N15262" s="27">
        <v>1</v>
      </c>
    </row>
    <row r="15263" spans="1:14" x14ac:dyDescent="0.15">
      <c r="A15263" s="23" t="str">
        <f>HYPERLINK("https://www.spark-marketing.ru/Card/Person/82515", "МБОУ ПОЛНЕНСКАЯ СОШ")</f>
        <v>МБОУ ПОЛНЕНСКАЯ СОШ</v>
      </c>
      <c r="B15263" s="24" t="s">
        <v>17534</v>
      </c>
      <c r="C15263" s="25">
        <v>33000</v>
      </c>
      <c r="D15263" s="22" t="s">
        <v>17535</v>
      </c>
      <c r="E15263" s="22" t="s">
        <v>194</v>
      </c>
      <c r="F15263" s="23" t="str">
        <f>HYPERLINK("https://www.spark-marketing.ru/Card/Lot/67848086", "Оказание услуг по организации круглосуточного видеонаблюдения и технического обслуживания")</f>
        <v>Оказание услуг по организации круглосуточного видеонаблюдения и технического обслуживания</v>
      </c>
      <c r="G15263" s="22" t="s">
        <v>402</v>
      </c>
      <c r="H15263" s="22" t="s">
        <v>17392</v>
      </c>
      <c r="I15263" s="26">
        <v>43507.633333333302</v>
      </c>
      <c r="J15263" s="28" t="s">
        <v>52</v>
      </c>
      <c r="K15263" s="28" t="s">
        <v>52</v>
      </c>
      <c r="L15263" s="28" t="s">
        <v>52</v>
      </c>
      <c r="M15263" s="28" t="s">
        <v>52</v>
      </c>
      <c r="N15263" s="28" t="s">
        <v>52</v>
      </c>
    </row>
    <row r="15264" spans="1:14" x14ac:dyDescent="0.15">
      <c r="A15264" s="23" t="str">
        <f>HYPERLINK("https://www.spark-marketing.ru/Card/Person/245874", "МОУ ""МАНИХИНСКАЯ ООШ""")</f>
        <v>МОУ "МАНИХИНСКАЯ ООШ"</v>
      </c>
      <c r="B15264" s="24" t="s">
        <v>17536</v>
      </c>
      <c r="C15264" s="25">
        <v>15675</v>
      </c>
      <c r="D15264" s="22" t="s">
        <v>17537</v>
      </c>
      <c r="E15264" s="22" t="s">
        <v>107</v>
      </c>
      <c r="F15264" s="23" t="str">
        <f>HYPERLINK("https://www.spark-marketing.ru/Card/Lot/67848507", "Техническое обслуживание видеодомофонов")</f>
        <v>Техническое обслуживание видеодомофонов</v>
      </c>
      <c r="G15264" s="22" t="s">
        <v>50</v>
      </c>
      <c r="H15264" s="22" t="s">
        <v>295</v>
      </c>
      <c r="I15264" s="26">
        <v>43507.627939814804</v>
      </c>
      <c r="J15264" s="28" t="s">
        <v>52</v>
      </c>
      <c r="K15264" s="28" t="s">
        <v>52</v>
      </c>
      <c r="L15264" s="28" t="s">
        <v>52</v>
      </c>
      <c r="M15264" s="28" t="s">
        <v>52</v>
      </c>
      <c r="N15264" s="28" t="s">
        <v>52</v>
      </c>
    </row>
    <row r="15265" spans="1:14" x14ac:dyDescent="0.15">
      <c r="A15265" s="23" t="str">
        <f>HYPERLINK("https://www.spark-marketing.ru/Card/Person/1059851", "МБОУ ОЛЬХОВО-РОГСКАЯ СОШ")</f>
        <v>МБОУ ОЛЬХОВО-РОГСКАЯ СОШ</v>
      </c>
      <c r="B15265" s="24" t="s">
        <v>17538</v>
      </c>
      <c r="C15265" s="25">
        <v>33000</v>
      </c>
      <c r="D15265" s="22" t="s">
        <v>17539</v>
      </c>
      <c r="E15265" s="22" t="s">
        <v>194</v>
      </c>
      <c r="F15265" s="23" t="str">
        <f>HYPERLINK("https://www.spark-marketing.ru/Card/Lot/67848079", "Оказание услуг по организации круглосуточного видеонаблюдения и технического обслуживания")</f>
        <v>Оказание услуг по организации круглосуточного видеонаблюдения и технического обслуживания</v>
      </c>
      <c r="G15265" s="22" t="s">
        <v>402</v>
      </c>
      <c r="H15265" s="22" t="s">
        <v>17392</v>
      </c>
      <c r="I15265" s="26">
        <v>43507.631249999999</v>
      </c>
      <c r="J15265" s="28" t="s">
        <v>52</v>
      </c>
      <c r="K15265" s="28" t="s">
        <v>52</v>
      </c>
      <c r="L15265" s="28" t="s">
        <v>52</v>
      </c>
      <c r="M15265" s="28" t="s">
        <v>52</v>
      </c>
      <c r="N15265" s="28" t="s">
        <v>52</v>
      </c>
    </row>
    <row r="15266" spans="1:14" x14ac:dyDescent="0.15">
      <c r="A15266" s="23" t="str">
        <f>HYPERLINK("https://www.spark-marketing.ru/Card/Person/37454", "МБОУ НИКОЛЬСКАЯ СОШ")</f>
        <v>МБОУ НИКОЛЬСКАЯ СОШ</v>
      </c>
      <c r="B15266" s="24" t="s">
        <v>17540</v>
      </c>
      <c r="C15266" s="25">
        <v>33000</v>
      </c>
      <c r="D15266" s="22" t="s">
        <v>17541</v>
      </c>
      <c r="E15266" s="22" t="s">
        <v>194</v>
      </c>
      <c r="F15266" s="23" t="str">
        <f>HYPERLINK("https://www.spark-marketing.ru/Card/Lot/67849606", "Оказание услуг по организации круглосуточного видеонаблюдения и технического обслуживания")</f>
        <v>Оказание услуг по организации круглосуточного видеонаблюдения и технического обслуживания</v>
      </c>
      <c r="G15266" s="22" t="s">
        <v>402</v>
      </c>
      <c r="H15266" s="22" t="s">
        <v>17392</v>
      </c>
      <c r="I15266" s="26">
        <v>43507.654861111099</v>
      </c>
      <c r="J15266" s="28" t="s">
        <v>52</v>
      </c>
      <c r="K15266" s="28" t="s">
        <v>52</v>
      </c>
      <c r="L15266" s="28" t="s">
        <v>52</v>
      </c>
      <c r="M15266" s="28" t="s">
        <v>52</v>
      </c>
      <c r="N15266" s="28" t="s">
        <v>52</v>
      </c>
    </row>
    <row r="15267" spans="1:14" x14ac:dyDescent="0.15">
      <c r="A15267" s="23" t="str">
        <f>HYPERLINK("https://www.spark-marketing.ru/Card/Person/1060774", "МБОУ ПЕРВОМАЙСКАЯ СОШ")</f>
        <v>МБОУ ПЕРВОМАЙСКАЯ СОШ</v>
      </c>
      <c r="B15267" s="24" t="s">
        <v>17542</v>
      </c>
      <c r="C15267" s="25">
        <v>33000</v>
      </c>
      <c r="D15267" s="22" t="s">
        <v>17543</v>
      </c>
      <c r="E15267" s="22" t="s">
        <v>194</v>
      </c>
      <c r="F15267" s="23" t="str">
        <f>HYPERLINK("https://www.spark-marketing.ru/Card/Lot/67848106", "Оказание услуг по организации круглосуточного видеонаблюдения и технического обслуживания")</f>
        <v>Оказание услуг по организации круглосуточного видеонаблюдения и технического обслуживания</v>
      </c>
      <c r="G15267" s="22" t="s">
        <v>402</v>
      </c>
      <c r="H15267" s="22" t="s">
        <v>17392</v>
      </c>
      <c r="I15267" s="26">
        <v>43507.644444444399</v>
      </c>
      <c r="J15267" s="28" t="s">
        <v>52</v>
      </c>
      <c r="K15267" s="28" t="s">
        <v>52</v>
      </c>
      <c r="L15267" s="28" t="s">
        <v>52</v>
      </c>
      <c r="M15267" s="28" t="s">
        <v>52</v>
      </c>
      <c r="N15267" s="28" t="s">
        <v>52</v>
      </c>
    </row>
    <row r="15268" spans="1:14" x14ac:dyDescent="0.15">
      <c r="A15268" s="23" t="str">
        <f>HYPERLINK("https://www.spark-marketing.ru/Card/Person/1060930", "МБОУ ДЕГТЕВСКАЯ СОШ")</f>
        <v>МБОУ ДЕГТЕВСКАЯ СОШ</v>
      </c>
      <c r="B15268" s="24" t="s">
        <v>17544</v>
      </c>
      <c r="C15268" s="25">
        <v>33000</v>
      </c>
      <c r="D15268" s="22" t="s">
        <v>17545</v>
      </c>
      <c r="E15268" s="22" t="s">
        <v>194</v>
      </c>
      <c r="F15268" s="23" t="str">
        <f>HYPERLINK("https://www.spark-marketing.ru/Card/Lot/67848074", "Оказание услуг по организации круглосуточного видеонаблюдения и технического обслуживания")</f>
        <v>Оказание услуг по организации круглосуточного видеонаблюдения и технического обслуживания</v>
      </c>
      <c r="G15268" s="22" t="s">
        <v>402</v>
      </c>
      <c r="H15268" s="22" t="s">
        <v>17392</v>
      </c>
      <c r="I15268" s="26">
        <v>43507.630555555603</v>
      </c>
      <c r="J15268" s="28" t="s">
        <v>52</v>
      </c>
      <c r="K15268" s="28" t="s">
        <v>52</v>
      </c>
      <c r="L15268" s="28" t="s">
        <v>52</v>
      </c>
      <c r="M15268" s="28" t="s">
        <v>52</v>
      </c>
      <c r="N15268" s="28" t="s">
        <v>52</v>
      </c>
    </row>
    <row r="15269" spans="1:14" x14ac:dyDescent="0.15">
      <c r="A15269" s="23" t="str">
        <f>HYPERLINK("https://www.spark-marketing.ru/Card/Person/1068142", "МБОУ ТЕРНОВСКАЯ ООШ №2")</f>
        <v>МБОУ ТЕРНОВСКАЯ ООШ №2</v>
      </c>
      <c r="B15269" s="24" t="s">
        <v>17546</v>
      </c>
      <c r="C15269" s="25">
        <v>33000</v>
      </c>
      <c r="D15269" s="22" t="s">
        <v>17547</v>
      </c>
      <c r="E15269" s="22" t="s">
        <v>194</v>
      </c>
      <c r="F15269" s="23" t="str">
        <f>HYPERLINK("https://www.spark-marketing.ru/Card/Lot/67848561", "Оказание услуг по организации круглосуточного видеонаблюдения и технического обслуживания")</f>
        <v>Оказание услуг по организации круглосуточного видеонаблюдения и технического обслуживания</v>
      </c>
      <c r="G15269" s="22" t="s">
        <v>402</v>
      </c>
      <c r="H15269" s="22" t="s">
        <v>17392</v>
      </c>
      <c r="I15269" s="26">
        <v>43507.642361111102</v>
      </c>
      <c r="J15269" s="28" t="s">
        <v>52</v>
      </c>
      <c r="K15269" s="28" t="s">
        <v>52</v>
      </c>
      <c r="L15269" s="28" t="s">
        <v>52</v>
      </c>
      <c r="M15269" s="28" t="s">
        <v>52</v>
      </c>
      <c r="N15269" s="28" t="s">
        <v>52</v>
      </c>
    </row>
    <row r="15270" spans="1:14" x14ac:dyDescent="0.15">
      <c r="A15270" s="23" t="str">
        <f>HYPERLINK("https://www.spark-marketing.ru/Card/Person/1060732", "МБОУ НИЖНЕ-ОЛЬХОВСКАЯ СОШ")</f>
        <v>МБОУ НИЖНЕ-ОЛЬХОВСКАЯ СОШ</v>
      </c>
      <c r="B15270" s="24" t="s">
        <v>17548</v>
      </c>
      <c r="C15270" s="25">
        <v>33000</v>
      </c>
      <c r="D15270" s="22" t="s">
        <v>17549</v>
      </c>
      <c r="E15270" s="22" t="s">
        <v>194</v>
      </c>
      <c r="F15270" s="23" t="str">
        <f>HYPERLINK("https://www.spark-marketing.ru/Card/Lot/67849544", "Оказание услуг по организации круглосуточного видеонаблюдения и технического обслуживания")</f>
        <v>Оказание услуг по организации круглосуточного видеонаблюдения и технического обслуживания</v>
      </c>
      <c r="G15270" s="22" t="s">
        <v>402</v>
      </c>
      <c r="H15270" s="22" t="s">
        <v>17392</v>
      </c>
      <c r="I15270" s="26">
        <v>43507.652777777803</v>
      </c>
      <c r="J15270" s="28" t="s">
        <v>52</v>
      </c>
      <c r="K15270" s="28" t="s">
        <v>52</v>
      </c>
      <c r="L15270" s="28" t="s">
        <v>52</v>
      </c>
      <c r="M15270" s="28" t="s">
        <v>52</v>
      </c>
      <c r="N15270" s="28" t="s">
        <v>52</v>
      </c>
    </row>
    <row r="15271" spans="1:14" x14ac:dyDescent="0.15">
      <c r="A15271" s="23" t="str">
        <f>HYPERLINK("https://www.spark-marketing.ru/Card/Person/57839", "МБОУ ТИТОВСКАЯ СОШ")</f>
        <v>МБОУ ТИТОВСКАЯ СОШ</v>
      </c>
      <c r="B15271" s="24" t="s">
        <v>17550</v>
      </c>
      <c r="C15271" s="25">
        <v>33000</v>
      </c>
      <c r="D15271" s="22" t="s">
        <v>17551</v>
      </c>
      <c r="E15271" s="22" t="s">
        <v>194</v>
      </c>
      <c r="F15271" s="23" t="str">
        <f>HYPERLINK("https://www.spark-marketing.ru/Card/Lot/67849515", "Оказание услуг по организации круглосуточного видеонаблюдения и технического обслуживания")</f>
        <v>Оказание услуг по организации круглосуточного видеонаблюдения и технического обслуживания</v>
      </c>
      <c r="G15271" s="22" t="s">
        <v>402</v>
      </c>
      <c r="H15271" s="22" t="s">
        <v>17392</v>
      </c>
      <c r="I15271" s="26">
        <v>43507.644444444399</v>
      </c>
      <c r="J15271" s="28" t="s">
        <v>52</v>
      </c>
      <c r="K15271" s="28" t="s">
        <v>52</v>
      </c>
      <c r="L15271" s="28" t="s">
        <v>52</v>
      </c>
      <c r="M15271" s="28" t="s">
        <v>52</v>
      </c>
      <c r="N15271" s="28" t="s">
        <v>52</v>
      </c>
    </row>
    <row r="15272" spans="1:14" x14ac:dyDescent="0.15">
      <c r="A15272" s="23" t="str">
        <f>HYPERLINK("https://www.spark-marketing.ru/Card/Person/1067562", "МБОУ РОГАЛИКОВСКАЯ ООШ")</f>
        <v>МБОУ РОГАЛИКОВСКАЯ ООШ</v>
      </c>
      <c r="B15272" s="24" t="s">
        <v>17552</v>
      </c>
      <c r="C15272" s="25">
        <v>33000</v>
      </c>
      <c r="D15272" s="22" t="s">
        <v>17553</v>
      </c>
      <c r="E15272" s="22" t="s">
        <v>194</v>
      </c>
      <c r="F15272" s="23" t="str">
        <f>HYPERLINK("https://www.spark-marketing.ru/Card/Lot/67848483", "Оказание услуг по организации круглосуточного видеонаблюдения и технического обслуживания")</f>
        <v>Оказание услуг по организации круглосуточного видеонаблюдения и технического обслуживания</v>
      </c>
      <c r="G15272" s="22" t="s">
        <v>402</v>
      </c>
      <c r="H15272" s="22" t="s">
        <v>17392</v>
      </c>
      <c r="I15272" s="26">
        <v>43507.635416666701</v>
      </c>
      <c r="J15272" s="28" t="s">
        <v>52</v>
      </c>
      <c r="K15272" s="28" t="s">
        <v>52</v>
      </c>
      <c r="L15272" s="28" t="s">
        <v>52</v>
      </c>
      <c r="M15272" s="28" t="s">
        <v>52</v>
      </c>
      <c r="N15272" s="28" t="s">
        <v>52</v>
      </c>
    </row>
    <row r="15273" spans="1:14" x14ac:dyDescent="0.15">
      <c r="A15273" s="23" t="str">
        <f>HYPERLINK("https://www.spark-marketing.ru/Card/Person/89301", "МБОУ ""СОШ № 62"" Г. ЧЕБОКСАРЫ")</f>
        <v>МБОУ "СОШ № 62" Г. ЧЕБОКСАРЫ</v>
      </c>
      <c r="B15273" s="24" t="s">
        <v>17554</v>
      </c>
      <c r="C15273" s="25">
        <v>15000</v>
      </c>
      <c r="D15273" s="22" t="s">
        <v>17555</v>
      </c>
      <c r="E15273" s="22" t="s">
        <v>103</v>
      </c>
      <c r="F15273" s="23" t="str">
        <f>HYPERLINK("https://www.spark-marketing.ru/Card/Lot/67848107", "техническое обслуживание системы видеонаблюдения")</f>
        <v>техническое обслуживание системы видеонаблюдения</v>
      </c>
      <c r="G15273" s="22" t="s">
        <v>1137</v>
      </c>
      <c r="H15273" s="22" t="s">
        <v>1138</v>
      </c>
      <c r="I15273" s="26">
        <v>43507.644444444399</v>
      </c>
      <c r="J15273" s="28" t="s">
        <v>52</v>
      </c>
      <c r="K15273" s="28" t="s">
        <v>52</v>
      </c>
      <c r="L15273" s="28" t="s">
        <v>52</v>
      </c>
      <c r="M15273" s="28" t="s">
        <v>52</v>
      </c>
      <c r="N15273" s="28" t="s">
        <v>52</v>
      </c>
    </row>
    <row r="15274" spans="1:14" x14ac:dyDescent="0.15">
      <c r="A15274" s="23" t="str">
        <f>HYPERLINK("https://www.spark-marketing.ru/Card/Person/1067105", "МБОУ ТЕРНОВСКАЯ СОШ №1")</f>
        <v>МБОУ ТЕРНОВСКАЯ СОШ №1</v>
      </c>
      <c r="B15274" s="24" t="s">
        <v>17556</v>
      </c>
      <c r="C15274" s="25">
        <v>33000</v>
      </c>
      <c r="D15274" s="22" t="s">
        <v>17557</v>
      </c>
      <c r="E15274" s="22" t="s">
        <v>194</v>
      </c>
      <c r="F15274" s="23" t="str">
        <f>HYPERLINK("https://www.spark-marketing.ru/Card/Lot/67849524", "Оказание услуг по организации круглосуточного видеонаблюдения и технического обслуживания")</f>
        <v>Оказание услуг по организации круглосуточного видеонаблюдения и технического обслуживания</v>
      </c>
      <c r="G15274" s="22" t="s">
        <v>402</v>
      </c>
      <c r="H15274" s="22" t="s">
        <v>17392</v>
      </c>
      <c r="I15274" s="26">
        <v>43507.6472222222</v>
      </c>
      <c r="J15274" s="28" t="s">
        <v>52</v>
      </c>
      <c r="K15274" s="28" t="s">
        <v>52</v>
      </c>
      <c r="L15274" s="28" t="s">
        <v>52</v>
      </c>
      <c r="M15274" s="28" t="s">
        <v>52</v>
      </c>
      <c r="N15274" s="28" t="s">
        <v>52</v>
      </c>
    </row>
    <row r="15275" spans="1:14" x14ac:dyDescent="0.15">
      <c r="A15275" s="23" t="str">
        <f>HYPERLINK("https://www.spark-marketing.ru/Card/Person/4347461", "ГБУЗ ""ССМП Г. МАГНИТОГОРСК""")</f>
        <v>ГБУЗ "ССМП Г. МАГНИТОГОРСК"</v>
      </c>
      <c r="B15275" s="24" t="s">
        <v>16549</v>
      </c>
      <c r="C15275" s="25">
        <v>98294.3</v>
      </c>
      <c r="D15275" s="22" t="s">
        <v>17558</v>
      </c>
      <c r="E15275" s="22" t="s">
        <v>17559</v>
      </c>
      <c r="F15275" s="23" t="str">
        <f>HYPERLINK("https://www.spark-marketing.ru/Card/Lot/67846050", "Оказание услуг по установке и настройке системы видеонаблюдения, согласно техническому заданию")</f>
        <v>Оказание услуг по установке и настройке системы видеонаблюдения, согласно техническому заданию</v>
      </c>
      <c r="G15275" s="22" t="s">
        <v>60</v>
      </c>
      <c r="H15275" s="22" t="s">
        <v>60</v>
      </c>
      <c r="I15275" s="26">
        <v>43507.644884259302</v>
      </c>
      <c r="J15275" s="28" t="s">
        <v>52</v>
      </c>
      <c r="K15275" s="28" t="s">
        <v>52</v>
      </c>
      <c r="L15275" s="28" t="s">
        <v>52</v>
      </c>
      <c r="M15275" s="28" t="s">
        <v>52</v>
      </c>
      <c r="N15275" s="28" t="s">
        <v>52</v>
      </c>
    </row>
    <row r="15276" spans="1:14" hidden="1" outlineLevel="1" x14ac:dyDescent="0.2">
      <c r="A15276" s="23" t="str">
        <f>HYPERLINK("https://www.spark-marketing.ru/Card/Person/4347461", "ГБУЗ ""ССМП Г. МАГНИТОГОРСК""")</f>
        <v>ГБУЗ "ССМП Г. МАГНИТОГОРСК"</v>
      </c>
      <c r="B15276" s="24" t="s">
        <v>16549</v>
      </c>
      <c r="C15276" s="28" t="s">
        <v>52</v>
      </c>
      <c r="D15276" s="22" t="s">
        <v>17558</v>
      </c>
      <c r="E15276" s="22" t="s">
        <v>17559</v>
      </c>
      <c r="F15276" s="23" t="str">
        <f>HYPERLINK("https://www.spark-marketing.ru/Card/Lot/67846050", "Оказание услуг по установке и настройке системы видеонаблюдения, согласно техническому заданию")</f>
        <v>Оказание услуг по установке и настройке системы видеонаблюдения, согласно техническому заданию</v>
      </c>
      <c r="G15276" s="22" t="s">
        <v>60</v>
      </c>
      <c r="H15276" s="22" t="s">
        <v>60</v>
      </c>
      <c r="I15276" s="26">
        <v>43507.644884259302</v>
      </c>
      <c r="J15276" s="23" t="str">
        <f>HYPERLINK("https://www.spark-marketing.ru/Card/Person/986547", "Усачева Наталья Ивановна")</f>
        <v>Усачева Наталья Ивановна</v>
      </c>
      <c r="K15276" s="24" t="s">
        <v>4193</v>
      </c>
      <c r="L15276" s="28" t="s">
        <v>52</v>
      </c>
      <c r="M15276" s="25">
        <v>79000</v>
      </c>
      <c r="N15276" s="27">
        <v>0.19629113793983985</v>
      </c>
    </row>
    <row r="15277" spans="1:14" hidden="1" outlineLevel="1" x14ac:dyDescent="0.2">
      <c r="A15277" s="23" t="str">
        <f>HYPERLINK("https://www.spark-marketing.ru/Card/Person/4347461", "ГБУЗ ""ССМП Г. МАГНИТОГОРСК""")</f>
        <v>ГБУЗ "ССМП Г. МАГНИТОГОРСК"</v>
      </c>
      <c r="B15277" s="24" t="s">
        <v>16549</v>
      </c>
      <c r="C15277" s="28" t="s">
        <v>52</v>
      </c>
      <c r="D15277" s="22" t="s">
        <v>17558</v>
      </c>
      <c r="E15277" s="22" t="s">
        <v>17559</v>
      </c>
      <c r="F15277" s="23" t="str">
        <f>HYPERLINK("https://www.spark-marketing.ru/Card/Lot/67846050", "Оказание услуг по установке и настройке системы видеонаблюдения, согласно техническому заданию")</f>
        <v>Оказание услуг по установке и настройке системы видеонаблюдения, согласно техническому заданию</v>
      </c>
      <c r="G15277" s="22" t="s">
        <v>60</v>
      </c>
      <c r="H15277" s="22" t="s">
        <v>60</v>
      </c>
      <c r="I15277" s="26">
        <v>43507.644884259302</v>
      </c>
      <c r="J15277" s="23" t="str">
        <f>HYPERLINK("https://www.spark-marketing.ru/Card/Person/853391", "ООО ""ДОМОФОНОФФ""")</f>
        <v>ООО "ДОМОФОНОФФ"</v>
      </c>
      <c r="K15277" s="24" t="s">
        <v>11340</v>
      </c>
      <c r="L15277" s="28" t="s">
        <v>52</v>
      </c>
      <c r="M15277" s="25">
        <v>90455.35</v>
      </c>
      <c r="N15277" s="27">
        <v>7.9749792205651801E-2</v>
      </c>
    </row>
    <row r="15278" spans="1:14" x14ac:dyDescent="0.15">
      <c r="A15278" s="23" t="str">
        <f>HYPERLINK("https://www.spark-marketing.ru/Card/Person/1060556", "МБОУ КУРСКАЯ ООШ")</f>
        <v>МБОУ КУРСКАЯ ООШ</v>
      </c>
      <c r="B15278" s="24" t="s">
        <v>17560</v>
      </c>
      <c r="C15278" s="25">
        <v>33000</v>
      </c>
      <c r="D15278" s="22" t="s">
        <v>17561</v>
      </c>
      <c r="E15278" s="22" t="s">
        <v>194</v>
      </c>
      <c r="F15278" s="23" t="str">
        <f>HYPERLINK("https://www.spark-marketing.ru/Card/Lot/67848556", "Оказание услуг по организации круглосуточного видеонаблюдения и технического обслуживания")</f>
        <v>Оказание услуг по организации круглосуточного видеонаблюдения и технического обслуживания</v>
      </c>
      <c r="G15278" s="22" t="s">
        <v>402</v>
      </c>
      <c r="H15278" s="22" t="s">
        <v>17392</v>
      </c>
      <c r="I15278" s="26">
        <v>43507.640972222202</v>
      </c>
      <c r="J15278" s="28" t="s">
        <v>52</v>
      </c>
      <c r="K15278" s="28" t="s">
        <v>52</v>
      </c>
      <c r="L15278" s="28" t="s">
        <v>52</v>
      </c>
      <c r="M15278" s="28" t="s">
        <v>52</v>
      </c>
      <c r="N15278" s="28" t="s">
        <v>52</v>
      </c>
    </row>
    <row r="15279" spans="1:14" x14ac:dyDescent="0.15">
      <c r="A15279" s="23" t="str">
        <f>HYPERLINK("https://www.spark-marketing.ru/Card/Person/1065828", "МБОУ КУДИНОВСКАЯ ООШ")</f>
        <v>МБОУ КУДИНОВСКАЯ ООШ</v>
      </c>
      <c r="B15279" s="24" t="s">
        <v>17562</v>
      </c>
      <c r="C15279" s="25">
        <v>33000</v>
      </c>
      <c r="D15279" s="22" t="s">
        <v>17563</v>
      </c>
      <c r="E15279" s="22" t="s">
        <v>194</v>
      </c>
      <c r="F15279" s="23" t="str">
        <f>HYPERLINK("https://www.spark-marketing.ru/Card/Lot/67848488", "Оказание услуг по организации круглосуточного видеонаблюдения и технического обслуживания")</f>
        <v>Оказание услуг по организации круглосуточного видеонаблюдения и технического обслуживания</v>
      </c>
      <c r="G15279" s="22" t="s">
        <v>402</v>
      </c>
      <c r="H15279" s="22" t="s">
        <v>17392</v>
      </c>
      <c r="I15279" s="26">
        <v>43507.636805555601</v>
      </c>
      <c r="J15279" s="28" t="s">
        <v>52</v>
      </c>
      <c r="K15279" s="28" t="s">
        <v>52</v>
      </c>
      <c r="L15279" s="28" t="s">
        <v>52</v>
      </c>
      <c r="M15279" s="28" t="s">
        <v>52</v>
      </c>
      <c r="N15279" s="28" t="s">
        <v>52</v>
      </c>
    </row>
    <row r="15280" spans="1:14" x14ac:dyDescent="0.15">
      <c r="A15280" s="23" t="str">
        <f>HYPERLINK("https://www.spark-marketing.ru/Card/Person/1051874", "МБОУ ТУРОВЕРОВСКАЯ ООШ")</f>
        <v>МБОУ ТУРОВЕРОВСКАЯ ООШ</v>
      </c>
      <c r="B15280" s="24" t="s">
        <v>17564</v>
      </c>
      <c r="C15280" s="25">
        <v>33000</v>
      </c>
      <c r="D15280" s="22" t="s">
        <v>17565</v>
      </c>
      <c r="E15280" s="22" t="s">
        <v>194</v>
      </c>
      <c r="F15280" s="23" t="str">
        <f>HYPERLINK("https://www.spark-marketing.ru/Card/Lot/67849536", "Оказание услуг по организации круглосуточного видеонаблюдения и технического обслуживания")</f>
        <v>Оказание услуг по организации круглосуточного видеонаблюдения и технического обслуживания</v>
      </c>
      <c r="G15280" s="22" t="s">
        <v>402</v>
      </c>
      <c r="H15280" s="22" t="s">
        <v>17392</v>
      </c>
      <c r="I15280" s="26">
        <v>43507.65</v>
      </c>
      <c r="J15280" s="28" t="s">
        <v>52</v>
      </c>
      <c r="K15280" s="28" t="s">
        <v>52</v>
      </c>
      <c r="L15280" s="28" t="s">
        <v>52</v>
      </c>
      <c r="M15280" s="28" t="s">
        <v>52</v>
      </c>
      <c r="N15280" s="28" t="s">
        <v>52</v>
      </c>
    </row>
    <row r="15281" spans="1:14" x14ac:dyDescent="0.15">
      <c r="A15281" s="23" t="str">
        <f>HYPERLINK("https://www.spark-marketing.ru/Card/Person/1066643", "МБОУ ГРЕКОВСКАЯ ООШ")</f>
        <v>МБОУ ГРЕКОВСКАЯ ООШ</v>
      </c>
      <c r="B15281" s="24" t="s">
        <v>17566</v>
      </c>
      <c r="C15281" s="25">
        <v>33000</v>
      </c>
      <c r="D15281" s="22" t="s">
        <v>17567</v>
      </c>
      <c r="E15281" s="22" t="s">
        <v>194</v>
      </c>
      <c r="F15281" s="23" t="str">
        <f>HYPERLINK("https://www.spark-marketing.ru/Card/Lot/67846867", "Оказание услуг по организации круглосуточного видеонаблюдения и технического обслуживания")</f>
        <v>Оказание услуг по организации круглосуточного видеонаблюдения и технического обслуживания</v>
      </c>
      <c r="G15281" s="22" t="s">
        <v>402</v>
      </c>
      <c r="H15281" s="22" t="s">
        <v>17392</v>
      </c>
      <c r="I15281" s="26">
        <v>43507.625694444403</v>
      </c>
      <c r="J15281" s="28" t="s">
        <v>52</v>
      </c>
      <c r="K15281" s="28" t="s">
        <v>52</v>
      </c>
      <c r="L15281" s="28" t="s">
        <v>52</v>
      </c>
      <c r="M15281" s="28" t="s">
        <v>52</v>
      </c>
      <c r="N15281" s="28" t="s">
        <v>52</v>
      </c>
    </row>
    <row r="15282" spans="1:14" x14ac:dyDescent="0.15">
      <c r="A15282" s="23" t="str">
        <f>HYPERLINK("https://www.spark-marketing.ru/Card/Person/57334", "МБОУ СУЛИНОВСКАЯ СОШ")</f>
        <v>МБОУ СУЛИНОВСКАЯ СОШ</v>
      </c>
      <c r="B15282" s="24" t="s">
        <v>17568</v>
      </c>
      <c r="C15282" s="25">
        <v>33000</v>
      </c>
      <c r="D15282" s="22" t="s">
        <v>17569</v>
      </c>
      <c r="E15282" s="22" t="s">
        <v>194</v>
      </c>
      <c r="F15282" s="23" t="str">
        <f>HYPERLINK("https://www.spark-marketing.ru/Card/Lot/67848549", "Оказание услуг по организации круглосуточного видеонаблюдения и технического обслуживания")</f>
        <v>Оказание услуг по организации круглосуточного видеонаблюдения и технического обслуживания</v>
      </c>
      <c r="G15282" s="22" t="s">
        <v>402</v>
      </c>
      <c r="H15282" s="22" t="s">
        <v>17392</v>
      </c>
      <c r="I15282" s="26">
        <v>43507.638888888898</v>
      </c>
      <c r="J15282" s="28" t="s">
        <v>52</v>
      </c>
      <c r="K15282" s="28" t="s">
        <v>52</v>
      </c>
      <c r="L15282" s="28" t="s">
        <v>52</v>
      </c>
      <c r="M15282" s="28" t="s">
        <v>52</v>
      </c>
      <c r="N15282" s="28" t="s">
        <v>52</v>
      </c>
    </row>
    <row r="15283" spans="1:14" x14ac:dyDescent="0.15">
      <c r="A15283" s="23" t="str">
        <f>HYPERLINK("https://www.spark-marketing.ru/Card/Person/1053783", "МБОУ ВСОШ")</f>
        <v>МБОУ ВСОШ</v>
      </c>
      <c r="B15283" s="24" t="s">
        <v>17570</v>
      </c>
      <c r="C15283" s="25">
        <v>33000</v>
      </c>
      <c r="D15283" s="22" t="s">
        <v>17571</v>
      </c>
      <c r="E15283" s="22" t="s">
        <v>194</v>
      </c>
      <c r="F15283" s="23" t="str">
        <f>HYPERLINK("https://www.spark-marketing.ru/Card/Lot/67846430", "Оказание услуг по организации круглосуточного видеонаблюдения и технического обслуживания")</f>
        <v>Оказание услуг по организации круглосуточного видеонаблюдения и технического обслуживания</v>
      </c>
      <c r="G15283" s="22" t="s">
        <v>402</v>
      </c>
      <c r="H15283" s="22" t="s">
        <v>17392</v>
      </c>
      <c r="I15283" s="26">
        <v>43507.618750000001</v>
      </c>
      <c r="J15283" s="28" t="s">
        <v>52</v>
      </c>
      <c r="K15283" s="28" t="s">
        <v>52</v>
      </c>
      <c r="L15283" s="28" t="s">
        <v>52</v>
      </c>
      <c r="M15283" s="28" t="s">
        <v>52</v>
      </c>
      <c r="N15283" s="28" t="s">
        <v>52</v>
      </c>
    </row>
    <row r="15284" spans="1:14" x14ac:dyDescent="0.15">
      <c r="A15284" s="23" t="str">
        <f>HYPERLINK("https://www.spark-marketing.ru/Card/Person/1080612", """МБУ ГКДЦ""")</f>
        <v>"МБУ ГКДЦ"</v>
      </c>
      <c r="B15284" s="24" t="s">
        <v>17572</v>
      </c>
      <c r="C15284" s="25">
        <v>10000</v>
      </c>
      <c r="D15284" s="22" t="s">
        <v>17573</v>
      </c>
      <c r="E15284" s="22" t="s">
        <v>208</v>
      </c>
      <c r="F15284" s="23" t="str">
        <f>HYPERLINK("https://www.spark-marketing.ru/Card/Lot/67846846", "работы по техническому обслуживанию системы видеонаблюдения")</f>
        <v>работы по техническому обслуживанию системы видеонаблюдения</v>
      </c>
      <c r="G15284" s="22" t="s">
        <v>402</v>
      </c>
      <c r="H15284" s="22" t="s">
        <v>10445</v>
      </c>
      <c r="I15284" s="26">
        <v>43507.622916666704</v>
      </c>
      <c r="J15284" s="28" t="s">
        <v>52</v>
      </c>
      <c r="K15284" s="28" t="s">
        <v>52</v>
      </c>
      <c r="L15284" s="28" t="s">
        <v>52</v>
      </c>
      <c r="M15284" s="28" t="s">
        <v>52</v>
      </c>
      <c r="N15284" s="28" t="s">
        <v>52</v>
      </c>
    </row>
    <row r="15285" spans="1:14" x14ac:dyDescent="0.15">
      <c r="A15285" s="23" t="str">
        <f>HYPERLINK("https://www.spark-marketing.ru/Card/Person/136968", "МБОУ КРИВОРОЖСКАЯ СОШ")</f>
        <v>МБОУ КРИВОРОЖСКАЯ СОШ</v>
      </c>
      <c r="B15285" s="24" t="s">
        <v>17574</v>
      </c>
      <c r="C15285" s="25">
        <v>33000</v>
      </c>
      <c r="D15285" s="22" t="s">
        <v>17575</v>
      </c>
      <c r="E15285" s="22" t="s">
        <v>194</v>
      </c>
      <c r="F15285" s="23" t="str">
        <f>HYPERLINK("https://www.spark-marketing.ru/Card/Lot/67846509", "Оказание услуг по организации круглосуточного видеонаблюдения и технического обслуживания")</f>
        <v>Оказание услуг по организации круглосуточного видеонаблюдения и технического обслуживания</v>
      </c>
      <c r="G15285" s="22" t="s">
        <v>402</v>
      </c>
      <c r="H15285" s="22" t="s">
        <v>17392</v>
      </c>
      <c r="I15285" s="26">
        <v>43507.614583333299</v>
      </c>
      <c r="J15285" s="28" t="s">
        <v>52</v>
      </c>
      <c r="K15285" s="28" t="s">
        <v>52</v>
      </c>
      <c r="L15285" s="28" t="s">
        <v>52</v>
      </c>
      <c r="M15285" s="28" t="s">
        <v>52</v>
      </c>
      <c r="N15285" s="28" t="s">
        <v>52</v>
      </c>
    </row>
    <row r="15286" spans="1:14" x14ac:dyDescent="0.15">
      <c r="A15286" s="23" t="str">
        <f>HYPERLINK("https://www.spark-marketing.ru/Card/Person/48396", "МБДОУ Д/С № 11 ""РОСИНКА""")</f>
        <v>МБДОУ Д/С № 11 "РОСИНКА"</v>
      </c>
      <c r="B15286" s="24" t="s">
        <v>17576</v>
      </c>
      <c r="C15286" s="25">
        <v>10800</v>
      </c>
      <c r="D15286" s="22" t="s">
        <v>17577</v>
      </c>
      <c r="E15286" s="22" t="s">
        <v>107</v>
      </c>
      <c r="F15286" s="23" t="str">
        <f>HYPERLINK("https://www.spark-marketing.ru/Card/Lot/67847154", "Оказание услуг по техническому обслуживанию (содержанию) систем охранной (противовзломной) сигнализации")</f>
        <v>Оказание услуг по техническому обслуживанию (содержанию) систем охранной (противовзломной) сигнализации</v>
      </c>
      <c r="G15286" s="22" t="s">
        <v>50</v>
      </c>
      <c r="H15286" s="22" t="s">
        <v>2391</v>
      </c>
      <c r="I15286" s="26">
        <v>43507.597210648099</v>
      </c>
      <c r="J15286" s="28" t="s">
        <v>52</v>
      </c>
      <c r="K15286" s="28" t="s">
        <v>52</v>
      </c>
      <c r="L15286" s="28" t="s">
        <v>52</v>
      </c>
      <c r="M15286" s="28" t="s">
        <v>52</v>
      </c>
      <c r="N15286" s="28" t="s">
        <v>52</v>
      </c>
    </row>
    <row r="15287" spans="1:14" x14ac:dyDescent="0.15">
      <c r="A15287" s="23" t="str">
        <f>HYPERLINK("https://www.spark-marketing.ru/Card/Person/89301", "МБОУ ""СОШ № 62"" Г. ЧЕБОКСАРЫ")</f>
        <v>МБОУ "СОШ № 62" Г. ЧЕБОКСАРЫ</v>
      </c>
      <c r="B15287" s="24" t="s">
        <v>17554</v>
      </c>
      <c r="C15287" s="25">
        <v>15000</v>
      </c>
      <c r="D15287" s="22" t="s">
        <v>17578</v>
      </c>
      <c r="E15287" s="22" t="s">
        <v>103</v>
      </c>
      <c r="F15287" s="23" t="str">
        <f>HYPERLINK("https://www.spark-marketing.ru/Card/Lot/67846850", "техническое обслуживание системы видеонаблюдения")</f>
        <v>техническое обслуживание системы видеонаблюдения</v>
      </c>
      <c r="G15287" s="22" t="s">
        <v>1137</v>
      </c>
      <c r="H15287" s="22" t="s">
        <v>1138</v>
      </c>
      <c r="I15287" s="26">
        <v>43507.624305555597</v>
      </c>
      <c r="J15287" s="28" t="s">
        <v>52</v>
      </c>
      <c r="K15287" s="28" t="s">
        <v>52</v>
      </c>
      <c r="L15287" s="28" t="s">
        <v>52</v>
      </c>
      <c r="M15287" s="28" t="s">
        <v>52</v>
      </c>
      <c r="N15287" s="28" t="s">
        <v>52</v>
      </c>
    </row>
    <row r="15288" spans="1:14" x14ac:dyDescent="0.15">
      <c r="A15288" s="23" t="str">
        <f>HYPERLINK("https://www.spark-marketing.ru/Card/Person/72093", "МОУ СОШ №5")</f>
        <v>МОУ СОШ №5</v>
      </c>
      <c r="B15288" s="24" t="s">
        <v>17579</v>
      </c>
      <c r="C15288" s="25">
        <v>56500</v>
      </c>
      <c r="D15288" s="22" t="s">
        <v>17580</v>
      </c>
      <c r="E15288" s="22" t="s">
        <v>103</v>
      </c>
      <c r="F15288" s="23" t="str">
        <f>HYPERLINK("https://www.spark-marketing.ru/Card/Lot/67847084", "Техническое обслуживание системы видеонаблюдения")</f>
        <v>Техническое обслуживание системы видеонаблюдения</v>
      </c>
      <c r="G15288" s="22" t="s">
        <v>50</v>
      </c>
      <c r="H15288" s="22" t="s">
        <v>15217</v>
      </c>
      <c r="I15288" s="26">
        <v>43507.6179513889</v>
      </c>
      <c r="J15288" s="28" t="s">
        <v>52</v>
      </c>
      <c r="K15288" s="28" t="s">
        <v>52</v>
      </c>
      <c r="L15288" s="28" t="s">
        <v>52</v>
      </c>
      <c r="M15288" s="28" t="s">
        <v>52</v>
      </c>
      <c r="N15288" s="28" t="s">
        <v>52</v>
      </c>
    </row>
    <row r="15289" spans="1:14" x14ac:dyDescent="0.2">
      <c r="A15289" s="23" t="str">
        <f>HYPERLINK("https://www.spark-marketing.ru/Card/Person/947022", "МАДОУ МО Г.КРАСНОДАР ""ДЕТСКИЙ САД № 216""")</f>
        <v>МАДОУ МО Г.КРАСНОДАР "ДЕТСКИЙ САД № 216"</v>
      </c>
      <c r="B15289" s="24" t="s">
        <v>17581</v>
      </c>
      <c r="C15289" s="25">
        <v>16561.07</v>
      </c>
      <c r="D15289" s="22" t="s">
        <v>17582</v>
      </c>
      <c r="E15289" s="22" t="s">
        <v>144</v>
      </c>
      <c r="F15289" s="23" t="str">
        <f>HYPERLINK("https://www.spark-marketing.ru/Card/Lot/67848153", "Оказание охранных услуг")</f>
        <v>Оказание охранных услуг</v>
      </c>
      <c r="G15289" s="22" t="s">
        <v>132</v>
      </c>
      <c r="H15289" s="22" t="s">
        <v>132</v>
      </c>
      <c r="I15289" s="26">
        <v>43507.5862037037</v>
      </c>
      <c r="J15289" s="23" t="str">
        <f>HYPERLINK("https://www.spark-marketing.ru/Card/Person/4369304", "ФГКУ ""УВО ВНГ РОССИИ ПО КРАСНОДАРСКОМУ КРАЮ""")</f>
        <v>ФГКУ "УВО ВНГ РОССИИ ПО КРАСНОДАРСКОМУ КРАЮ"</v>
      </c>
      <c r="K15289" s="24" t="s">
        <v>17583</v>
      </c>
      <c r="L15289" s="28" t="s">
        <v>52</v>
      </c>
      <c r="M15289" s="25">
        <v>16561.07</v>
      </c>
      <c r="N15289" s="27">
        <v>0</v>
      </c>
    </row>
    <row r="15290" spans="1:14" x14ac:dyDescent="0.2">
      <c r="A15290" s="23" t="str">
        <f>HYPERLINK("https://www.spark-marketing.ru/Card/Person/1758217", "МОГАУК ""МГМДТ""")</f>
        <v>МОГАУК "МГМДТ"</v>
      </c>
      <c r="B15290" s="24" t="s">
        <v>17584</v>
      </c>
      <c r="C15290" s="25">
        <v>161599.92000000001</v>
      </c>
      <c r="D15290" s="22" t="s">
        <v>17585</v>
      </c>
      <c r="E15290" s="22" t="s">
        <v>144</v>
      </c>
      <c r="F15290" s="23" t="str">
        <f>HYPERLINK("https://www.spark-marketing.ru/Card/Lot/67827842", "Оказание услуг на охрану объекта кнопкой тревожной сигнализации")</f>
        <v>Оказание услуг на охрану объекта кнопкой тревожной сигнализации</v>
      </c>
      <c r="G15290" s="22" t="s">
        <v>808</v>
      </c>
      <c r="H15290" s="22" t="s">
        <v>808</v>
      </c>
      <c r="I15290" s="26">
        <v>43507.585995370398</v>
      </c>
      <c r="J15290" s="23" t="str">
        <f>HYPERLINK("https://www.spark-marketing.ru/Card/Person/1274508", "ФГКУ ""ОВО ВНГ РОССИИ ПО МАГАДАНСКОЙ ОБЛАСТИ""")</f>
        <v>ФГКУ "ОВО ВНГ РОССИИ ПО МАГАДАНСКОЙ ОБЛАСТИ"</v>
      </c>
      <c r="K15290" s="24" t="s">
        <v>1390</v>
      </c>
      <c r="L15290" s="28" t="s">
        <v>52</v>
      </c>
      <c r="M15290" s="25">
        <v>161599.92000000001</v>
      </c>
      <c r="N15290" s="27">
        <v>0</v>
      </c>
    </row>
    <row r="15291" spans="1:14" x14ac:dyDescent="0.15">
      <c r="A15291" s="23" t="str">
        <f>HYPERLINK("https://www.spark-marketing.ru/Card/Person/999876", "МБОУ ""МАСЛОВСКАЯ ООШ""")</f>
        <v>МБОУ "МАСЛОВСКАЯ ООШ"</v>
      </c>
      <c r="B15291" s="24" t="s">
        <v>17586</v>
      </c>
      <c r="C15291" s="25">
        <v>5200</v>
      </c>
      <c r="D15291" s="22" t="s">
        <v>17587</v>
      </c>
      <c r="E15291" s="22" t="s">
        <v>294</v>
      </c>
      <c r="F15291" s="23" t="str">
        <f>HYPERLINK("https://www.spark-marketing.ru/Card/Lot/67844564", "техническое обслуживание системы видеонаблюдения")</f>
        <v>техническое обслуживание системы видеонаблюдения</v>
      </c>
      <c r="G15291" s="22" t="s">
        <v>176</v>
      </c>
      <c r="H15291" s="22" t="s">
        <v>6394</v>
      </c>
      <c r="I15291" s="26">
        <v>43507.583333333299</v>
      </c>
      <c r="J15291" s="28" t="s">
        <v>52</v>
      </c>
      <c r="K15291" s="28" t="s">
        <v>52</v>
      </c>
      <c r="L15291" s="28" t="s">
        <v>52</v>
      </c>
      <c r="M15291" s="28" t="s">
        <v>52</v>
      </c>
      <c r="N15291" s="28" t="s">
        <v>52</v>
      </c>
    </row>
    <row r="15292" spans="1:14" x14ac:dyDescent="0.15">
      <c r="A15292" s="23" t="str">
        <f>HYPERLINK("https://www.spark-marketing.ru/Card/Person/127236", "МБОУ ЛЕНИНСКАЯ СОШ")</f>
        <v>МБОУ ЛЕНИНСКАЯ СОШ</v>
      </c>
      <c r="B15292" s="24" t="s">
        <v>17588</v>
      </c>
      <c r="C15292" s="25">
        <v>33000</v>
      </c>
      <c r="D15292" s="22" t="s">
        <v>17589</v>
      </c>
      <c r="E15292" s="22" t="s">
        <v>194</v>
      </c>
      <c r="F15292" s="23" t="str">
        <f>HYPERLINK("https://www.spark-marketing.ru/Card/Lot/67846853", "Оказание услуг по организации круглосуточного видеонаблюдения и технического обслуживания")</f>
        <v>Оказание услуг по организации круглосуточного видеонаблюдения и технического обслуживания</v>
      </c>
      <c r="G15292" s="22" t="s">
        <v>402</v>
      </c>
      <c r="H15292" s="22" t="s">
        <v>17392</v>
      </c>
      <c r="I15292" s="26">
        <v>43507.624305555597</v>
      </c>
      <c r="J15292" s="28" t="s">
        <v>52</v>
      </c>
      <c r="K15292" s="28" t="s">
        <v>52</v>
      </c>
      <c r="L15292" s="28" t="s">
        <v>52</v>
      </c>
      <c r="M15292" s="28" t="s">
        <v>52</v>
      </c>
      <c r="N15292" s="28" t="s">
        <v>52</v>
      </c>
    </row>
    <row r="15293" spans="1:14" x14ac:dyDescent="0.15">
      <c r="A15293" s="23" t="str">
        <f>HYPERLINK("https://www.spark-marketing.ru/Card/Person/1057050", "МБДОУ ""ДЕТСКИЙ САД ""УЛЫБКА""")</f>
        <v>МБДОУ "ДЕТСКИЙ САД "УЛЫБКА"</v>
      </c>
      <c r="B15293" s="24" t="s">
        <v>17590</v>
      </c>
      <c r="C15293" s="25">
        <v>5200</v>
      </c>
      <c r="D15293" s="22" t="s">
        <v>17591</v>
      </c>
      <c r="E15293" s="22" t="s">
        <v>294</v>
      </c>
      <c r="F15293" s="23" t="str">
        <f>HYPERLINK("https://www.spark-marketing.ru/Card/Lot/67843294", "техническое обслуживание системы видеонаблюдения")</f>
        <v>техническое обслуживание системы видеонаблюдения</v>
      </c>
      <c r="G15293" s="22" t="s">
        <v>176</v>
      </c>
      <c r="H15293" s="22" t="s">
        <v>6394</v>
      </c>
      <c r="I15293" s="26">
        <v>43507.5805555556</v>
      </c>
      <c r="J15293" s="28" t="s">
        <v>52</v>
      </c>
      <c r="K15293" s="28" t="s">
        <v>52</v>
      </c>
      <c r="L15293" s="28" t="s">
        <v>52</v>
      </c>
      <c r="M15293" s="28" t="s">
        <v>52</v>
      </c>
      <c r="N15293" s="28" t="s">
        <v>52</v>
      </c>
    </row>
    <row r="15294" spans="1:14" x14ac:dyDescent="0.15">
      <c r="A15294" s="23" t="str">
        <f>HYPERLINK("https://www.spark-marketing.ru/Card/Person/1021832", "МБУ ""ШКОЛА РЕМЕСЕЛ""")</f>
        <v>МБУ "ШКОЛА РЕМЕСЕЛ"</v>
      </c>
      <c r="B15294" s="24" t="s">
        <v>14573</v>
      </c>
      <c r="C15294" s="25">
        <v>48000</v>
      </c>
      <c r="D15294" s="22" t="s">
        <v>17592</v>
      </c>
      <c r="E15294" s="22" t="s">
        <v>103</v>
      </c>
      <c r="F15294" s="23" t="str">
        <f>HYPERLINK("https://www.spark-marketing.ru/Card/Lot/67844213", "Услуги по техническому обслуживанию системы видеонаблюдения")</f>
        <v>Услуги по техническому обслуживанию системы видеонаблюдения</v>
      </c>
      <c r="G15294" s="22" t="s">
        <v>50</v>
      </c>
      <c r="H15294" s="22" t="s">
        <v>682</v>
      </c>
      <c r="I15294" s="26">
        <v>43507.555312500001</v>
      </c>
      <c r="J15294" s="28" t="s">
        <v>52</v>
      </c>
      <c r="K15294" s="28" t="s">
        <v>52</v>
      </c>
      <c r="L15294" s="28" t="s">
        <v>52</v>
      </c>
      <c r="M15294" s="28" t="s">
        <v>52</v>
      </c>
      <c r="N15294" s="28" t="s">
        <v>52</v>
      </c>
    </row>
    <row r="15295" spans="1:14" x14ac:dyDescent="0.15">
      <c r="A15295" s="23" t="str">
        <f>HYPERLINK("https://www.spark-marketing.ru/Card/Person/99636", "МБУ СК ""АВАНГАРД""")</f>
        <v>МБУ СК "АВАНГАРД"</v>
      </c>
      <c r="B15295" s="24" t="s">
        <v>17593</v>
      </c>
      <c r="C15295" s="25">
        <v>65433</v>
      </c>
      <c r="D15295" s="22" t="s">
        <v>17594</v>
      </c>
      <c r="E15295" s="22" t="s">
        <v>103</v>
      </c>
      <c r="F15295" s="23" t="str">
        <f>HYPERLINK("https://www.spark-marketing.ru/Card/Lot/67844871", "Услуги по обслуживанию системы видеонаблюдения")</f>
        <v>Услуги по обслуживанию системы видеонаблюдения</v>
      </c>
      <c r="G15295" s="22" t="s">
        <v>50</v>
      </c>
      <c r="H15295" s="22" t="s">
        <v>682</v>
      </c>
      <c r="I15295" s="26">
        <v>43507.5446296296</v>
      </c>
      <c r="J15295" s="28" t="s">
        <v>52</v>
      </c>
      <c r="K15295" s="28" t="s">
        <v>52</v>
      </c>
      <c r="L15295" s="28" t="s">
        <v>52</v>
      </c>
      <c r="M15295" s="28" t="s">
        <v>52</v>
      </c>
      <c r="N15295" s="28" t="s">
        <v>52</v>
      </c>
    </row>
    <row r="15296" spans="1:14" x14ac:dyDescent="0.15">
      <c r="A15296" s="23" t="str">
        <f>HYPERLINK("https://www.spark-marketing.ru/Card/Person/4862166", "МУП Г. СОЧИ ""ВОДОКАНАЛ""")</f>
        <v>МУП Г. СОЧИ "ВОДОКАНАЛ"</v>
      </c>
      <c r="B15296" s="24" t="s">
        <v>17595</v>
      </c>
      <c r="C15296" s="25">
        <v>12186287</v>
      </c>
      <c r="D15296" s="22" t="s">
        <v>17596</v>
      </c>
      <c r="E15296" s="22" t="s">
        <v>691</v>
      </c>
      <c r="F15296" s="23" t="str">
        <f>HYPERLINK("https://www.spark-marketing.ru/Card/Lot/67864645", "Выполнение работ по монтажу ИТСО (инженерно-технические средства охраны) для обеспечения перевода на пультовую охрану ВНС и РЧВ предприятия, а также скважин водозаборов")</f>
        <v>Выполнение работ по монтажу ИТСО (инженерно-технические средства охраны) для обеспечения перевода на пультовую охрану ВНС и РЧВ предприятия, а также скважин водозаборов</v>
      </c>
      <c r="G15296" s="22" t="s">
        <v>132</v>
      </c>
      <c r="H15296" s="22" t="s">
        <v>1126</v>
      </c>
      <c r="I15296" s="26">
        <v>43507.578807870399</v>
      </c>
      <c r="J15296" s="28" t="s">
        <v>52</v>
      </c>
      <c r="K15296" s="28" t="s">
        <v>52</v>
      </c>
      <c r="L15296" s="28" t="s">
        <v>52</v>
      </c>
      <c r="M15296" s="28" t="s">
        <v>52</v>
      </c>
      <c r="N15296" s="28" t="s">
        <v>52</v>
      </c>
    </row>
    <row r="15297" spans="1:14" x14ac:dyDescent="0.15">
      <c r="A15297" s="23" t="str">
        <f>HYPERLINK("https://www.spark-marketing.ru/Card/Person/12774", "ГБУЗ МО ""САНАТОРИЙ ПУШКИНО""")</f>
        <v>ГБУЗ МО "САНАТОРИЙ ПУШКИНО"</v>
      </c>
      <c r="B15297" s="24" t="s">
        <v>17597</v>
      </c>
      <c r="C15297" s="25">
        <v>79800</v>
      </c>
      <c r="D15297" s="22" t="s">
        <v>17598</v>
      </c>
      <c r="E15297" s="22" t="s">
        <v>107</v>
      </c>
      <c r="F15297" s="23" t="str">
        <f>HYPERLINK("https://www.spark-marketing.ru/Card/Lot/67841467", "Оказание услуг по техническому обслуживанию охранной сигнализации")</f>
        <v>Оказание услуг по техническому обслуживанию охранной сигнализации</v>
      </c>
      <c r="G15297" s="22" t="s">
        <v>50</v>
      </c>
      <c r="H15297" s="22" t="s">
        <v>76</v>
      </c>
      <c r="I15297" s="26">
        <v>43507.5147685185</v>
      </c>
      <c r="J15297" s="28" t="s">
        <v>52</v>
      </c>
      <c r="K15297" s="28" t="s">
        <v>52</v>
      </c>
      <c r="L15297" s="28" t="s">
        <v>52</v>
      </c>
      <c r="M15297" s="28" t="s">
        <v>52</v>
      </c>
      <c r="N15297" s="28" t="s">
        <v>52</v>
      </c>
    </row>
    <row r="15298" spans="1:14" x14ac:dyDescent="0.15">
      <c r="A15298" s="23" t="str">
        <f>HYPERLINK("https://www.spark-marketing.ru/Card/Person/4348647", "АО ""АТОМЭНЕРГОСБЫТ""")</f>
        <v>АО "АТОМЭНЕРГОСБЫТ"</v>
      </c>
      <c r="B15298" s="24" t="s">
        <v>17599</v>
      </c>
      <c r="C15298" s="28" t="s">
        <v>52</v>
      </c>
      <c r="D15298" s="22" t="s">
        <v>17600</v>
      </c>
      <c r="E15298" s="22" t="s">
        <v>53</v>
      </c>
      <c r="F15298" s="23" t="str">
        <f>HYPERLINK("https://www.spark-marketing.ru/Card/Lot/67849174", "Защита жизни и здоровья сотрудников филиала «КолАтомЭнергоСбыт» АО «АтомЭнергоСбыт» нарядом охранного предприятия при исполнении работниками «КолАтомЭнергоСбыт» АО «АтомЭнергоСбыт» должностных обязанностей; охрана имущества (в том числе при его транс...")</f>
        <v>Защита жизни и здоровья сотрудников филиала «КолАтомЭнергоСбыт» АО «АтомЭнергоСбыт» нарядом охранного предприятия при исполнении работниками «КолАтомЭнергоСбыт» АО «АтомЭнергоСбыт» должностных обязанностей; охрана имущества (в том числе при его транс...</v>
      </c>
      <c r="G15298" s="22" t="s">
        <v>55</v>
      </c>
      <c r="H15298" s="22" t="s">
        <v>55</v>
      </c>
      <c r="I15298" s="26">
        <v>43507.5382060185</v>
      </c>
      <c r="J15298" s="28" t="s">
        <v>52</v>
      </c>
      <c r="K15298" s="28" t="s">
        <v>52</v>
      </c>
      <c r="L15298" s="28" t="s">
        <v>52</v>
      </c>
      <c r="M15298" s="28" t="s">
        <v>52</v>
      </c>
      <c r="N15298" s="28" t="s">
        <v>52</v>
      </c>
    </row>
    <row r="15299" spans="1:14" x14ac:dyDescent="0.15">
      <c r="A15299" s="23" t="str">
        <f>HYPERLINK("https://www.spark-marketing.ru/Card/Person/56495", "ГБСУСО МО ""КЛИНСКИЙ ДОМ-ИНТЕРНАТ ДЛЯ ПРЕСТАРЕЛЫХ И ИНВАЛИДОВ""")</f>
        <v>ГБСУСО МО "КЛИНСКИЙ ДОМ-ИНТЕРНАТ ДЛЯ ПРЕСТАРЕЛЫХ И ИНВАЛИДОВ"</v>
      </c>
      <c r="B15299" s="24" t="s">
        <v>17601</v>
      </c>
      <c r="C15299" s="25">
        <v>98500</v>
      </c>
      <c r="D15299" s="22" t="s">
        <v>17602</v>
      </c>
      <c r="E15299" s="22" t="s">
        <v>107</v>
      </c>
      <c r="F15299" s="23" t="str">
        <f>HYPERLINK("https://www.spark-marketing.ru/Card/Lot/67841555", "Услуги по техническому обслуживанию системы охранной сигнализации")</f>
        <v>Услуги по техническому обслуживанию системы охранной сигнализации</v>
      </c>
      <c r="G15299" s="22" t="s">
        <v>50</v>
      </c>
      <c r="H15299" s="22" t="s">
        <v>8131</v>
      </c>
      <c r="I15299" s="26">
        <v>43507.534837963001</v>
      </c>
      <c r="J15299" s="28" t="s">
        <v>52</v>
      </c>
      <c r="K15299" s="28" t="s">
        <v>52</v>
      </c>
      <c r="L15299" s="28" t="s">
        <v>52</v>
      </c>
      <c r="M15299" s="28" t="s">
        <v>52</v>
      </c>
      <c r="N15299" s="28" t="s">
        <v>52</v>
      </c>
    </row>
    <row r="15300" spans="1:14" x14ac:dyDescent="0.15">
      <c r="A15300" s="23" t="str">
        <f>HYPERLINK("https://www.spark-marketing.ru/Card/Person/4348647", "АО ""АТОМЭНЕРГОСБЫТ""")</f>
        <v>АО "АТОМЭНЕРГОСБЫТ"</v>
      </c>
      <c r="B15300" s="24" t="s">
        <v>17599</v>
      </c>
      <c r="C15300" s="25">
        <v>0</v>
      </c>
      <c r="D15300" s="22" t="s">
        <v>17603</v>
      </c>
      <c r="E15300" s="22" t="s">
        <v>53</v>
      </c>
      <c r="F15300" s="23" t="str">
        <f>HYPERLINK("https://www.spark-marketing.ru/Card/Lot/67848400", "мониторинг цен в электронной форме на Защита жизни и здоровья сотрудников филиала «КолАтомЭнергоСбыт» АО «АтомЭнергоСбыт» нарядом охранного предприятия при исполнении работниками «КолАтомЭнергоСбыт» АО «АтомЭнергоСбыт» должностных обязанностей; охран...")</f>
        <v>мониторинг цен в электронной форме на Защита жизни и здоровья сотрудников филиала «КолАтомЭнергоСбыт» АО «АтомЭнергоСбыт» нарядом охранного предприятия при исполнении работниками «КолАтомЭнергоСбыт» АО «АтомЭнергоСбыт» должностных обязанностей; охран...</v>
      </c>
      <c r="G15300" s="22" t="s">
        <v>55</v>
      </c>
      <c r="H15300" s="22" t="s">
        <v>55</v>
      </c>
      <c r="I15300" s="26">
        <v>43507.524143518502</v>
      </c>
      <c r="J15300" s="28" t="s">
        <v>52</v>
      </c>
      <c r="K15300" s="28" t="s">
        <v>52</v>
      </c>
      <c r="L15300" s="28" t="s">
        <v>52</v>
      </c>
      <c r="M15300" s="28" t="s">
        <v>52</v>
      </c>
      <c r="N15300" s="28" t="s">
        <v>52</v>
      </c>
    </row>
    <row r="15301" spans="1:14" x14ac:dyDescent="0.15">
      <c r="A15301" s="23" t="str">
        <f>HYPERLINK("https://www.spark-marketing.ru/Card/Person/1027996", "МОУ СОШ № 1")</f>
        <v>МОУ СОШ № 1</v>
      </c>
      <c r="B15301" s="24" t="s">
        <v>15328</v>
      </c>
      <c r="C15301" s="25">
        <v>107000</v>
      </c>
      <c r="D15301" s="22" t="s">
        <v>17604</v>
      </c>
      <c r="E15301" s="22" t="s">
        <v>17605</v>
      </c>
      <c r="F15301" s="23" t="str">
        <f>HYPERLINK("https://www.spark-marketing.ru/Card/Lot/67841484", "Приобретение и установка средств видеотрансляции и видеопротоколирования в пункт проведения экзаменов 1001")</f>
        <v>Приобретение и установка средств видеотрансляции и видеопротоколирования в пункт проведения экзаменов 1001</v>
      </c>
      <c r="G15301" s="22" t="s">
        <v>50</v>
      </c>
      <c r="H15301" s="22" t="s">
        <v>239</v>
      </c>
      <c r="I15301" s="26">
        <v>43507.524212962999</v>
      </c>
      <c r="J15301" s="28" t="s">
        <v>52</v>
      </c>
      <c r="K15301" s="28" t="s">
        <v>52</v>
      </c>
      <c r="L15301" s="28" t="s">
        <v>52</v>
      </c>
      <c r="M15301" s="28" t="s">
        <v>52</v>
      </c>
      <c r="N15301" s="28" t="s">
        <v>52</v>
      </c>
    </row>
    <row r="15302" spans="1:14" x14ac:dyDescent="0.15">
      <c r="A15302" s="23" t="str">
        <f>HYPERLINK("https://www.spark-marketing.ru/Card/Person/82674", "МБОУ ""ШКОЛА №32""")</f>
        <v>МБОУ "ШКОЛА №32"</v>
      </c>
      <c r="B15302" s="24" t="s">
        <v>14569</v>
      </c>
      <c r="C15302" s="25">
        <v>75000</v>
      </c>
      <c r="D15302" s="22" t="s">
        <v>17606</v>
      </c>
      <c r="E15302" s="22" t="s">
        <v>103</v>
      </c>
      <c r="F15302" s="23" t="str">
        <f>HYPERLINK("https://www.spark-marketing.ru/Card/Lot/67841501", "обслуживание видеонаблюдения")</f>
        <v>обслуживание видеонаблюдения</v>
      </c>
      <c r="G15302" s="22" t="s">
        <v>50</v>
      </c>
      <c r="H15302" s="22" t="s">
        <v>432</v>
      </c>
      <c r="I15302" s="26">
        <v>43507.524618055599</v>
      </c>
      <c r="J15302" s="28" t="s">
        <v>52</v>
      </c>
      <c r="K15302" s="28" t="s">
        <v>52</v>
      </c>
      <c r="L15302" s="28" t="s">
        <v>52</v>
      </c>
      <c r="M15302" s="28" t="s">
        <v>52</v>
      </c>
      <c r="N15302" s="28" t="s">
        <v>52</v>
      </c>
    </row>
    <row r="15303" spans="1:14" x14ac:dyDescent="0.15">
      <c r="A15303" s="23" t="str">
        <f>HYPERLINK("https://www.spark-marketing.ru/Card/Person/56495", "ГБСУСО МО ""КЛИНСКИЙ ДОМ-ИНТЕРНАТ ДЛЯ ПРЕСТАРЕЛЫХ И ИНВАЛИДОВ""")</f>
        <v>ГБСУСО МО "КЛИНСКИЙ ДОМ-ИНТЕРНАТ ДЛЯ ПРЕСТАРЕЛЫХ И ИНВАЛИДОВ"</v>
      </c>
      <c r="B15303" s="24" t="s">
        <v>17601</v>
      </c>
      <c r="C15303" s="25">
        <v>99280</v>
      </c>
      <c r="D15303" s="22" t="s">
        <v>17607</v>
      </c>
      <c r="E15303" s="22" t="s">
        <v>103</v>
      </c>
      <c r="F15303" s="23" t="str">
        <f>HYPERLINK("https://www.spark-marketing.ru/Card/Lot/67841518", "Услуги по техническому обслуживанию системы видеонаблюдения")</f>
        <v>Услуги по техническому обслуживанию системы видеонаблюдения</v>
      </c>
      <c r="G15303" s="22" t="s">
        <v>50</v>
      </c>
      <c r="H15303" s="22" t="s">
        <v>8131</v>
      </c>
      <c r="I15303" s="26">
        <v>43507.534247685202</v>
      </c>
      <c r="J15303" s="28" t="s">
        <v>52</v>
      </c>
      <c r="K15303" s="28" t="s">
        <v>52</v>
      </c>
      <c r="L15303" s="28" t="s">
        <v>52</v>
      </c>
      <c r="M15303" s="28" t="s">
        <v>52</v>
      </c>
      <c r="N15303" s="28" t="s">
        <v>52</v>
      </c>
    </row>
    <row r="15304" spans="1:14" x14ac:dyDescent="0.15">
      <c r="A15304" s="23" t="str">
        <f>HYPERLINK("https://www.spark-marketing.ru/Card/Person/1766947", "АОУ ДЕТСКИЙ САД № 14")</f>
        <v>АОУ ДЕТСКИЙ САД № 14</v>
      </c>
      <c r="B15304" s="24" t="s">
        <v>17608</v>
      </c>
      <c r="C15304" s="25">
        <v>69480</v>
      </c>
      <c r="D15304" s="22" t="s">
        <v>17609</v>
      </c>
      <c r="E15304" s="22" t="s">
        <v>298</v>
      </c>
      <c r="F15304" s="23" t="str">
        <f>HYPERLINK("https://www.spark-marketing.ru/Card/Lot/67838690", "Оказание услуг по техническому обслуживанию систем видеонаблюдения на 2019 год")</f>
        <v>Оказание услуг по техническому обслуживанию систем видеонаблюдения на 2019 год</v>
      </c>
      <c r="G15304" s="22" t="s">
        <v>50</v>
      </c>
      <c r="H15304" s="22" t="s">
        <v>3866</v>
      </c>
      <c r="I15304" s="26">
        <v>43507.461944444403</v>
      </c>
      <c r="J15304" s="28" t="s">
        <v>52</v>
      </c>
      <c r="K15304" s="28" t="s">
        <v>52</v>
      </c>
      <c r="L15304" s="28" t="s">
        <v>52</v>
      </c>
      <c r="M15304" s="28" t="s">
        <v>52</v>
      </c>
      <c r="N15304" s="28" t="s">
        <v>52</v>
      </c>
    </row>
    <row r="15305" spans="1:14" x14ac:dyDescent="0.15">
      <c r="A15305" s="23" t="str">
        <f>HYPERLINK("https://www.spark-marketing.ru/Card/Person/76640", "МБОУ ""СОШ № 18"" Г.ЧЕБОКСАРЫ")</f>
        <v>МБОУ "СОШ № 18" Г.ЧЕБОКСАРЫ</v>
      </c>
      <c r="B15305" s="24" t="s">
        <v>17610</v>
      </c>
      <c r="C15305" s="25">
        <v>25000</v>
      </c>
      <c r="D15305" s="22" t="s">
        <v>17611</v>
      </c>
      <c r="E15305" s="22" t="s">
        <v>107</v>
      </c>
      <c r="F15305" s="23" t="str">
        <f>HYPERLINK("https://www.spark-marketing.ru/Card/Lot/67838951", "Оказание услуг по техническому обслуживанию систем автоматической противопожарной сигнализации и речевого оповещения")</f>
        <v>Оказание услуг по техническому обслуживанию систем автоматической противопожарной сигнализации и речевого оповещения</v>
      </c>
      <c r="G15305" s="22" t="s">
        <v>1137</v>
      </c>
      <c r="H15305" s="22" t="s">
        <v>1138</v>
      </c>
      <c r="I15305" s="26">
        <v>43507.495138888902</v>
      </c>
      <c r="J15305" s="28" t="s">
        <v>52</v>
      </c>
      <c r="K15305" s="28" t="s">
        <v>52</v>
      </c>
      <c r="L15305" s="28" t="s">
        <v>52</v>
      </c>
      <c r="M15305" s="28" t="s">
        <v>52</v>
      </c>
      <c r="N15305" s="28" t="s">
        <v>52</v>
      </c>
    </row>
    <row r="15306" spans="1:14" x14ac:dyDescent="0.15">
      <c r="A15306" s="23" t="str">
        <f>HYPERLINK("https://www.spark-marketing.ru/Card/Person/85194", "МДОУ ЦРР №50")</f>
        <v>МДОУ ЦРР №50</v>
      </c>
      <c r="B15306" s="24" t="s">
        <v>17612</v>
      </c>
      <c r="C15306" s="25">
        <v>37708</v>
      </c>
      <c r="D15306" s="22" t="s">
        <v>17613</v>
      </c>
      <c r="E15306" s="22" t="s">
        <v>107</v>
      </c>
      <c r="F15306" s="23" t="str">
        <f>HYPERLINK("https://www.spark-marketing.ru/Card/Lot/67838889", "Услуги по техническому обслуживанию видеодомофонов")</f>
        <v>Услуги по техническому обслуживанию видеодомофонов</v>
      </c>
      <c r="G15306" s="22" t="s">
        <v>50</v>
      </c>
      <c r="H15306" s="22" t="s">
        <v>295</v>
      </c>
      <c r="I15306" s="26">
        <v>43507.4824884259</v>
      </c>
      <c r="J15306" s="28" t="s">
        <v>52</v>
      </c>
      <c r="K15306" s="28" t="s">
        <v>52</v>
      </c>
      <c r="L15306" s="28" t="s">
        <v>52</v>
      </c>
      <c r="M15306" s="28" t="s">
        <v>52</v>
      </c>
      <c r="N15306" s="28" t="s">
        <v>52</v>
      </c>
    </row>
    <row r="15307" spans="1:14" x14ac:dyDescent="0.2">
      <c r="A15307" s="23" t="str">
        <f>HYPERLINK("https://www.spark-marketing.ru/Card/Person/123293", "ЛОГП ""ЛЕНФАРМ""")</f>
        <v>ЛОГП "ЛЕНФАРМ"</v>
      </c>
      <c r="B15307" s="24" t="s">
        <v>8623</v>
      </c>
      <c r="C15307" s="25">
        <v>102916.98</v>
      </c>
      <c r="D15307" s="22" t="s">
        <v>17614</v>
      </c>
      <c r="E15307" s="22" t="s">
        <v>144</v>
      </c>
      <c r="F15307" s="23" t="str">
        <f>HYPERLINK("https://www.spark-marketing.ru/Card/Lot/67838002", "Оказание услуг по техническому обслуживанию комплекса технических средств охраны на объектах, где размещены аптеки ЛОГП «Ленфарм», расположенные по адресу: - Ленинградская область, г. Бокситогорск, ул. Вишнякова, д.27; - Ленинградская область, г. Тих...")</f>
        <v>Оказание услуг по техническому обслуживанию комплекса технических средств охраны на объектах, где размещены аптеки ЛОГП «Ленфарм», расположенные по адресу: - Ленинградская область, г. Бокситогорск, ул. Вишнякова, д.27; - Ленинградская область, г. Тих...</v>
      </c>
      <c r="G15307" s="22" t="s">
        <v>861</v>
      </c>
      <c r="H15307" s="22" t="s">
        <v>861</v>
      </c>
      <c r="I15307" s="26">
        <v>43507.490543981497</v>
      </c>
      <c r="J15307" s="23" t="str">
        <f>HYPERLINK("https://www.spark-marketing.ru/Card/Person/10487", "ФГУП ""ОХРАНА"" РОСГВАРДИИ")</f>
        <v>ФГУП "ОХРАНА" РОСГВАРДИИ</v>
      </c>
      <c r="K15307" s="24" t="s">
        <v>779</v>
      </c>
      <c r="L15307" s="28" t="s">
        <v>52</v>
      </c>
      <c r="M15307" s="25">
        <v>102916.98</v>
      </c>
      <c r="N15307" s="27">
        <v>0</v>
      </c>
    </row>
    <row r="15308" spans="1:14" x14ac:dyDescent="0.15">
      <c r="A15308" s="23" t="str">
        <f>HYPERLINK("https://www.spark-marketing.ru/Card/Person/75694", "МБОУ ОДИНЦОВСКАЯ ГИМНАЗИЯ №4")</f>
        <v>МБОУ ОДИНЦОВСКАЯ ГИМНАЗИЯ №4</v>
      </c>
      <c r="B15308" s="24" t="s">
        <v>11386</v>
      </c>
      <c r="C15308" s="25">
        <v>46800</v>
      </c>
      <c r="D15308" s="22" t="s">
        <v>17615</v>
      </c>
      <c r="E15308" s="22" t="s">
        <v>2623</v>
      </c>
      <c r="F15308" s="23" t="str">
        <f>HYPERLINK("https://www.spark-marketing.ru/Card/Lot/67835032", "Закупка в 2019 году услуги по обслуживанию тревожной кнопки, для нужд МБОУ Одинцовская гимназия №4")</f>
        <v>Закупка в 2019 году услуги по обслуживанию тревожной кнопки, для нужд МБОУ Одинцовская гимназия №4</v>
      </c>
      <c r="G15308" s="22" t="s">
        <v>50</v>
      </c>
      <c r="H15308" s="22" t="s">
        <v>1045</v>
      </c>
      <c r="I15308" s="26">
        <v>43507.420370370397</v>
      </c>
      <c r="J15308" s="28" t="s">
        <v>52</v>
      </c>
      <c r="K15308" s="28" t="s">
        <v>52</v>
      </c>
      <c r="L15308" s="28" t="s">
        <v>52</v>
      </c>
      <c r="M15308" s="28" t="s">
        <v>52</v>
      </c>
      <c r="N15308" s="28" t="s">
        <v>52</v>
      </c>
    </row>
    <row r="15309" spans="1:14" x14ac:dyDescent="0.15">
      <c r="A15309" s="23" t="str">
        <f>HYPERLINK("https://www.spark-marketing.ru/Card/Person/5150989", "ООО ОБЪЕДИНЕННАЯ СЕРВИСНАЯ КОМПАНИЯ")</f>
        <v>ООО ОБЪЕДИНЕННАЯ СЕРВИСНАЯ КОМПАНИЯ</v>
      </c>
      <c r="B15309" s="28" t="s">
        <v>52</v>
      </c>
      <c r="C15309" s="28" t="s">
        <v>52</v>
      </c>
      <c r="D15309" s="22" t="s">
        <v>17616</v>
      </c>
      <c r="E15309" s="22" t="s">
        <v>53</v>
      </c>
      <c r="F15309" s="23" t="str">
        <f>HYPERLINK("https://www.spark-marketing.ru/Card/Lot/67391369", "УСЛУГА_ТЕХНИЧЕСКОЕ ОБСЛУЖИВАНИЕ СИСТЕМЫ ВИДЕОНАБЛЮДНИЯ ООО ""ОГНЕУПОР""")</f>
        <v>УСЛУГА_ТЕХНИЧЕСКОЕ ОБСЛУЖИВАНИЕ СИСТЕМЫ ВИДЕОНАБЛЮДНИЯ ООО "ОГНЕУПОР"</v>
      </c>
      <c r="G15309" s="22" t="s">
        <v>52</v>
      </c>
      <c r="H15309" s="22" t="s">
        <v>52</v>
      </c>
      <c r="I15309" s="26">
        <v>43488.666666666701</v>
      </c>
      <c r="J15309" s="28" t="s">
        <v>52</v>
      </c>
      <c r="K15309" s="28" t="s">
        <v>52</v>
      </c>
      <c r="L15309" s="28" t="s">
        <v>52</v>
      </c>
      <c r="M15309" s="28" t="s">
        <v>52</v>
      </c>
      <c r="N15309" s="28" t="s">
        <v>52</v>
      </c>
    </row>
    <row r="15310" spans="1:14" x14ac:dyDescent="0.15">
      <c r="A15310" s="23" t="str">
        <f>HYPERLINK("https://www.spark-marketing.ru/Card/Person/666553", "ФГП ВО ЖДТ РОССИИ")</f>
        <v>ФГП ВО ЖДТ РОССИИ</v>
      </c>
      <c r="B15310" s="24" t="s">
        <v>1269</v>
      </c>
      <c r="C15310" s="25">
        <v>199198.56</v>
      </c>
      <c r="D15310" s="22" t="s">
        <v>17617</v>
      </c>
      <c r="E15310" s="22" t="s">
        <v>144</v>
      </c>
      <c r="F15310" s="23" t="str">
        <f>HYPERLINK("https://www.spark-marketing.ru/Card/Lot/67833738", "Оказание услуг по централизованной охране объекта СК ст. Южно-Сахалинск для нужд Сахалинского отряда филиала ФГП ВО ЖДТ России на Дальневосточной железной дороге")</f>
        <v>Оказание услуг по централизованной охране объекта СК ст. Южно-Сахалинск для нужд Сахалинского отряда филиала ФГП ВО ЖДТ России на Дальневосточной железной дороге</v>
      </c>
      <c r="G15310" s="22" t="s">
        <v>55</v>
      </c>
      <c r="H15310" s="22" t="s">
        <v>55</v>
      </c>
      <c r="I15310" s="26">
        <v>43507.427777777797</v>
      </c>
      <c r="J15310" s="28" t="s">
        <v>52</v>
      </c>
      <c r="K15310" s="28" t="s">
        <v>52</v>
      </c>
      <c r="L15310" s="28" t="s">
        <v>52</v>
      </c>
      <c r="M15310" s="28" t="s">
        <v>52</v>
      </c>
      <c r="N15310" s="28" t="s">
        <v>52</v>
      </c>
    </row>
    <row r="15311" spans="1:14" x14ac:dyDescent="0.15">
      <c r="A15311" s="23" t="str">
        <f>HYPERLINK("https://www.spark-marketing.ru/Card/Person/153205", "МБУДО МЕДВЕЖЬЕ-ОЗЁРСКАЯ ДШИ")</f>
        <v>МБУДО МЕДВЕЖЬЕ-ОЗЁРСКАЯ ДШИ</v>
      </c>
      <c r="B15311" s="24" t="s">
        <v>17618</v>
      </c>
      <c r="C15311" s="25">
        <v>40000.080000000002</v>
      </c>
      <c r="D15311" s="22" t="s">
        <v>17619</v>
      </c>
      <c r="E15311" s="22" t="s">
        <v>103</v>
      </c>
      <c r="F15311" s="23" t="str">
        <f>HYPERLINK("https://www.spark-marketing.ru/Card/Lot/67835011", "Оказание услуг по техническому обслуживанию системы видеонаблюдения")</f>
        <v>Оказание услуг по техническому обслуживанию системы видеонаблюдения</v>
      </c>
      <c r="G15311" s="22" t="s">
        <v>50</v>
      </c>
      <c r="H15311" s="22" t="s">
        <v>458</v>
      </c>
      <c r="I15311" s="26">
        <v>43507.4195833333</v>
      </c>
      <c r="J15311" s="28" t="s">
        <v>52</v>
      </c>
      <c r="K15311" s="28" t="s">
        <v>52</v>
      </c>
      <c r="L15311" s="28" t="s">
        <v>52</v>
      </c>
      <c r="M15311" s="28" t="s">
        <v>52</v>
      </c>
      <c r="N15311" s="28" t="s">
        <v>52</v>
      </c>
    </row>
    <row r="15312" spans="1:14" x14ac:dyDescent="0.15">
      <c r="A15312" s="23" t="str">
        <f>HYPERLINK("https://www.spark-marketing.ru/Card/Person/61434", "МБОУ ""КОЖИНСКАЯ СОШ""")</f>
        <v>МБОУ "КОЖИНСКАЯ СОШ"</v>
      </c>
      <c r="B15312" s="24" t="s">
        <v>17620</v>
      </c>
      <c r="C15312" s="25">
        <v>16500</v>
      </c>
      <c r="D15312" s="22" t="s">
        <v>17621</v>
      </c>
      <c r="E15312" s="22" t="s">
        <v>103</v>
      </c>
      <c r="F15312" s="23" t="str">
        <f>HYPERLINK("https://www.spark-marketing.ru/Card/Lot/67835078", "Оказание услуг на обслуживание системы видеонаблюдения")</f>
        <v>Оказание услуг на обслуживание системы видеонаблюдения</v>
      </c>
      <c r="G15312" s="22" t="s">
        <v>50</v>
      </c>
      <c r="H15312" s="22" t="s">
        <v>1207</v>
      </c>
      <c r="I15312" s="26">
        <v>43507.440393518496</v>
      </c>
      <c r="J15312" s="28" t="s">
        <v>52</v>
      </c>
      <c r="K15312" s="28" t="s">
        <v>52</v>
      </c>
      <c r="L15312" s="28" t="s">
        <v>52</v>
      </c>
      <c r="M15312" s="28" t="s">
        <v>52</v>
      </c>
      <c r="N15312" s="28" t="s">
        <v>52</v>
      </c>
    </row>
    <row r="15313" spans="1:14" x14ac:dyDescent="0.15">
      <c r="A15313" s="23" t="str">
        <f>HYPERLINK("https://www.spark-marketing.ru/Card/Person/12774", "ГБУЗ МО ""САНАТОРИЙ ПУШКИНО""")</f>
        <v>ГБУЗ МО "САНАТОРИЙ ПУШКИНО"</v>
      </c>
      <c r="B15313" s="24" t="s">
        <v>17597</v>
      </c>
      <c r="C15313" s="25">
        <v>25200</v>
      </c>
      <c r="D15313" s="22" t="s">
        <v>17622</v>
      </c>
      <c r="E15313" s="22" t="s">
        <v>107</v>
      </c>
      <c r="F15313" s="23" t="str">
        <f>HYPERLINK("https://www.spark-marketing.ru/Card/Lot/67831477", "Оказание услуг по техническому обслуживанию тревожной сигнализации")</f>
        <v>Оказание услуг по техническому обслуживанию тревожной сигнализации</v>
      </c>
      <c r="G15313" s="22" t="s">
        <v>50</v>
      </c>
      <c r="H15313" s="22" t="s">
        <v>76</v>
      </c>
      <c r="I15313" s="26">
        <v>43507.3991087963</v>
      </c>
      <c r="J15313" s="28" t="s">
        <v>52</v>
      </c>
      <c r="K15313" s="28" t="s">
        <v>52</v>
      </c>
      <c r="L15313" s="28" t="s">
        <v>52</v>
      </c>
      <c r="M15313" s="28" t="s">
        <v>52</v>
      </c>
      <c r="N15313" s="28" t="s">
        <v>52</v>
      </c>
    </row>
    <row r="15314" spans="1:14" x14ac:dyDescent="0.15">
      <c r="A15314" s="23" t="str">
        <f>HYPERLINK("https://www.spark-marketing.ru/Card/Person/123625", "МДОУ ДСКВ №2 ""РОМАШКА""")</f>
        <v>МДОУ ДСКВ №2 "РОМАШКА"</v>
      </c>
      <c r="B15314" s="24" t="s">
        <v>9947</v>
      </c>
      <c r="C15314" s="25">
        <v>11634.67</v>
      </c>
      <c r="D15314" s="22" t="s">
        <v>17623</v>
      </c>
      <c r="E15314" s="22" t="s">
        <v>59</v>
      </c>
      <c r="F15314" s="23" t="str">
        <f>HYPERLINK("https://www.spark-marketing.ru/Card/Lot/67830034", "Выполнение работ по монтажу средств тревожной сигнализации в помещении МДОУ детский сад комбинированного вида № 2 «Ромашка»")</f>
        <v>Выполнение работ по монтажу средств тревожной сигнализации в помещении МДОУ детский сад комбинированного вида № 2 «Ромашка»</v>
      </c>
      <c r="G15314" s="22" t="s">
        <v>50</v>
      </c>
      <c r="H15314" s="22" t="s">
        <v>5042</v>
      </c>
      <c r="I15314" s="26">
        <v>43507.368229166699</v>
      </c>
      <c r="J15314" s="28" t="s">
        <v>52</v>
      </c>
      <c r="K15314" s="28" t="s">
        <v>52</v>
      </c>
      <c r="L15314" s="28" t="s">
        <v>52</v>
      </c>
      <c r="M15314" s="28" t="s">
        <v>52</v>
      </c>
      <c r="N15314" s="28" t="s">
        <v>52</v>
      </c>
    </row>
    <row r="15315" spans="1:14" x14ac:dyDescent="0.15">
      <c r="A15315" s="23" t="str">
        <f>HYPERLINK("https://www.spark-marketing.ru/Card/Person/89998", "МБОУ СОШ № 7")</f>
        <v>МБОУ СОШ № 7</v>
      </c>
      <c r="B15315" s="24" t="s">
        <v>16739</v>
      </c>
      <c r="C15315" s="25">
        <v>946.68</v>
      </c>
      <c r="D15315" s="22" t="s">
        <v>17624</v>
      </c>
      <c r="E15315" s="22" t="s">
        <v>491</v>
      </c>
      <c r="F15315" s="23" t="str">
        <f>HYPERLINK("https://www.spark-marketing.ru/Card/Lot/67829447", "обслуживание техническое систем видеонаблюдения")</f>
        <v>обслуживание техническое систем видеонаблюдения</v>
      </c>
      <c r="G15315" s="22" t="s">
        <v>402</v>
      </c>
      <c r="H15315" s="22" t="s">
        <v>4435</v>
      </c>
      <c r="I15315" s="26">
        <v>43507.372222222199</v>
      </c>
      <c r="J15315" s="28" t="s">
        <v>52</v>
      </c>
      <c r="K15315" s="28" t="s">
        <v>52</v>
      </c>
      <c r="L15315" s="28" t="s">
        <v>52</v>
      </c>
      <c r="M15315" s="28" t="s">
        <v>52</v>
      </c>
      <c r="N15315" s="28" t="s">
        <v>52</v>
      </c>
    </row>
    <row r="15316" spans="1:14" x14ac:dyDescent="0.15">
      <c r="A15316" s="23" t="str">
        <f>HYPERLINK("https://www.spark-marketing.ru/Card/Person/108253", "БДОУ Г. ОМСКА ""ДЕТСКИЙ САД КОМПЕНСИРУЮЩЕГО ВИДА № 400""")</f>
        <v>БДОУ Г. ОМСКА "ДЕТСКИЙ САД КОМПЕНСИРУЮЩЕГО ВИДА № 400"</v>
      </c>
      <c r="B15316" s="24" t="s">
        <v>17625</v>
      </c>
      <c r="C15316" s="25">
        <v>162000</v>
      </c>
      <c r="D15316" s="22" t="s">
        <v>17626</v>
      </c>
      <c r="E15316" s="22" t="s">
        <v>68</v>
      </c>
      <c r="F15316" s="23" t="str">
        <f>HYPERLINK("https://www.spark-marketing.ru/Card/Lot/67830047", "Услуги по охране объекта")</f>
        <v>Услуги по охране объекта</v>
      </c>
      <c r="G15316" s="22" t="s">
        <v>521</v>
      </c>
      <c r="H15316" s="22" t="s">
        <v>522</v>
      </c>
      <c r="I15316" s="26">
        <v>43507.374305555597</v>
      </c>
      <c r="J15316" s="28" t="s">
        <v>52</v>
      </c>
      <c r="K15316" s="28" t="s">
        <v>52</v>
      </c>
      <c r="L15316" s="28" t="s">
        <v>52</v>
      </c>
      <c r="M15316" s="28" t="s">
        <v>52</v>
      </c>
      <c r="N15316" s="28" t="s">
        <v>52</v>
      </c>
    </row>
    <row r="15317" spans="1:14" x14ac:dyDescent="0.15">
      <c r="A15317" s="23" t="str">
        <f>HYPERLINK("https://www.spark-marketing.ru/Card/Person/1031191", "МБУ ДО ""ЛИКИНО-ДУЛЁВСКАЯ ДШИ""")</f>
        <v>МБУ ДО "ЛИКИНО-ДУЛЁВСКАЯ ДШИ"</v>
      </c>
      <c r="B15317" s="24" t="s">
        <v>17627</v>
      </c>
      <c r="C15317" s="25">
        <v>57600</v>
      </c>
      <c r="D15317" s="22" t="s">
        <v>17628</v>
      </c>
      <c r="E15317" s="22" t="s">
        <v>59</v>
      </c>
      <c r="F15317" s="23" t="str">
        <f>HYPERLINK("https://www.spark-marketing.ru/Card/Lot/67829044", "Услуги на техническое обслуживание системы тревожной сигнализации")</f>
        <v>Услуги на техническое обслуживание системы тревожной сигнализации</v>
      </c>
      <c r="G15317" s="22" t="s">
        <v>50</v>
      </c>
      <c r="H15317" s="22" t="s">
        <v>50</v>
      </c>
      <c r="I15317" s="26">
        <v>43507.326331018499</v>
      </c>
      <c r="J15317" s="28" t="s">
        <v>52</v>
      </c>
      <c r="K15317" s="28" t="s">
        <v>52</v>
      </c>
      <c r="L15317" s="28" t="s">
        <v>52</v>
      </c>
      <c r="M15317" s="28" t="s">
        <v>52</v>
      </c>
      <c r="N15317" s="28" t="s">
        <v>52</v>
      </c>
    </row>
    <row r="15318" spans="1:14" x14ac:dyDescent="0.15">
      <c r="A15318" s="23" t="str">
        <f>HYPERLINK("https://www.spark-marketing.ru/Card/Person/80863", "БДОУ Г. ОМСКА ""ДЕТСКИЙ САД № 331""")</f>
        <v>БДОУ Г. ОМСКА "ДЕТСКИЙ САД № 331"</v>
      </c>
      <c r="B15318" s="24" t="s">
        <v>17629</v>
      </c>
      <c r="C15318" s="25">
        <v>24000</v>
      </c>
      <c r="D15318" s="22" t="s">
        <v>17630</v>
      </c>
      <c r="E15318" s="22" t="s">
        <v>208</v>
      </c>
      <c r="F15318" s="23" t="str">
        <f>HYPERLINK("https://www.spark-marketing.ru/Card/Lot/67829060", "Услуги об охране объектов посредством передачи тревожных сообщений по каналу GSM")</f>
        <v>Услуги об охране объектов посредством передачи тревожных сообщений по каналу GSM</v>
      </c>
      <c r="G15318" s="22" t="s">
        <v>521</v>
      </c>
      <c r="H15318" s="22" t="s">
        <v>522</v>
      </c>
      <c r="I15318" s="26">
        <v>43507.310416666704</v>
      </c>
      <c r="J15318" s="28" t="s">
        <v>52</v>
      </c>
      <c r="K15318" s="28" t="s">
        <v>52</v>
      </c>
      <c r="L15318" s="28" t="s">
        <v>52</v>
      </c>
      <c r="M15318" s="28" t="s">
        <v>52</v>
      </c>
      <c r="N15318" s="28" t="s">
        <v>52</v>
      </c>
    </row>
    <row r="15319" spans="1:14" x14ac:dyDescent="0.15">
      <c r="A15319" s="23" t="str">
        <f>HYPERLINK("https://www.spark-marketing.ru/Card/Person/1024475", "МОУ СТАРОБЕСОВСКАЯ ООШ")</f>
        <v>МОУ СТАРОБЕСОВСКАЯ ООШ</v>
      </c>
      <c r="B15319" s="24" t="s">
        <v>17631</v>
      </c>
      <c r="C15319" s="25">
        <v>16200</v>
      </c>
      <c r="D15319" s="22" t="s">
        <v>17632</v>
      </c>
      <c r="E15319" s="22" t="s">
        <v>68</v>
      </c>
      <c r="F15319" s="23" t="str">
        <f>HYPERLINK("https://www.spark-marketing.ru/Card/Lot/67853070",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319" s="22" t="s">
        <v>446</v>
      </c>
      <c r="H15319" s="22" t="s">
        <v>16876</v>
      </c>
      <c r="I15319" s="26">
        <v>43507</v>
      </c>
      <c r="J15319" s="28" t="s">
        <v>52</v>
      </c>
      <c r="K15319" s="28" t="s">
        <v>52</v>
      </c>
      <c r="L15319" s="28" t="s">
        <v>52</v>
      </c>
      <c r="M15319" s="28" t="s">
        <v>52</v>
      </c>
      <c r="N15319" s="28" t="s">
        <v>52</v>
      </c>
    </row>
    <row r="15320" spans="1:14" hidden="1" outlineLevel="1" x14ac:dyDescent="0.2">
      <c r="A15320" s="23" t="str">
        <f>HYPERLINK("https://www.spark-marketing.ru/Card/Person/1024475", "МОУ СТАРОБЕСОВСКАЯ ООШ")</f>
        <v>МОУ СТАРОБЕСОВСКАЯ ООШ</v>
      </c>
      <c r="B15320" s="24" t="s">
        <v>17631</v>
      </c>
      <c r="C15320" s="25">
        <v>16200</v>
      </c>
      <c r="D15320" s="22" t="s">
        <v>17632</v>
      </c>
      <c r="E15320" s="22" t="s">
        <v>68</v>
      </c>
      <c r="F15320" s="23" t="str">
        <f>HYPERLINK("https://www.spark-marketing.ru/Card/Lot/67853070",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320" s="22" t="s">
        <v>446</v>
      </c>
      <c r="H15320" s="22" t="s">
        <v>16876</v>
      </c>
      <c r="I15320" s="26">
        <v>43507</v>
      </c>
      <c r="J15320" s="23" t="str">
        <f>HYPERLINK("https://www.spark-marketing.ru/Card/Person/124094", "ООО ЧОО ""РЕДУТ+""")</f>
        <v>ООО ЧОО "РЕДУТ+"</v>
      </c>
      <c r="K15320" s="24" t="s">
        <v>16877</v>
      </c>
      <c r="L15320" s="28" t="s">
        <v>52</v>
      </c>
      <c r="M15320" s="25">
        <v>3000</v>
      </c>
      <c r="N15320" s="27">
        <v>0.81481481481481477</v>
      </c>
    </row>
    <row r="15321" spans="1:14" hidden="1" outlineLevel="1" x14ac:dyDescent="0.2">
      <c r="A15321" s="23" t="str">
        <f>HYPERLINK("https://www.spark-marketing.ru/Card/Person/1024475", "МОУ СТАРОБЕСОВСКАЯ ООШ")</f>
        <v>МОУ СТАРОБЕСОВСКАЯ ООШ</v>
      </c>
      <c r="B15321" s="24" t="s">
        <v>17631</v>
      </c>
      <c r="C15321" s="25">
        <v>16200</v>
      </c>
      <c r="D15321" s="22" t="s">
        <v>17632</v>
      </c>
      <c r="E15321" s="22" t="s">
        <v>68</v>
      </c>
      <c r="F15321" s="23" t="str">
        <f>HYPERLINK("https://www.spark-marketing.ru/Card/Lot/67853070",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321" s="22" t="s">
        <v>446</v>
      </c>
      <c r="H15321" s="22" t="s">
        <v>16876</v>
      </c>
      <c r="I15321" s="26">
        <v>43507</v>
      </c>
      <c r="J15321" s="23" t="str">
        <f>HYPERLINK("https://www.spark-marketing.ru/Card/Person/677682", "ООО ЧОО ""ЦСМ ""ГРОМ""")</f>
        <v>ООО ЧОО "ЦСМ "ГРОМ"</v>
      </c>
      <c r="K15321" s="24" t="s">
        <v>16878</v>
      </c>
      <c r="L15321" s="28" t="s">
        <v>52</v>
      </c>
      <c r="M15321" s="25">
        <v>9730</v>
      </c>
      <c r="N15321" s="27">
        <v>0.39938271604938269</v>
      </c>
    </row>
    <row r="15322" spans="1:14" ht="12.75" hidden="1" outlineLevel="1" x14ac:dyDescent="0.2">
      <c r="A15322" s="23" t="str">
        <f>HYPERLINK("https://www.spark-marketing.ru/Card/Person/1024475", "МОУ СТАРОБЕСОВСКАЯ ООШ")</f>
        <v>МОУ СТАРОБЕСОВСКАЯ ООШ</v>
      </c>
      <c r="B15322" s="24" t="s">
        <v>17631</v>
      </c>
      <c r="C15322" s="25">
        <v>16200</v>
      </c>
      <c r="D15322" s="22" t="s">
        <v>17632</v>
      </c>
      <c r="E15322" s="22" t="s">
        <v>68</v>
      </c>
      <c r="F15322" s="23" t="str">
        <f>HYPERLINK("https://www.spark-marketing.ru/Card/Lot/67853070",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322" s="22" t="s">
        <v>446</v>
      </c>
      <c r="H15322" s="22" t="s">
        <v>16876</v>
      </c>
      <c r="I15322" s="26">
        <v>43507</v>
      </c>
      <c r="J15322" s="23" t="str">
        <f>HYPERLINK("https://www.spark-marketing.ru/Card/Person/5946939", "ООО АО ""АРМАДА""")</f>
        <v>ООО АО "АРМАДА"</v>
      </c>
      <c r="K15322" s="24" t="s">
        <v>12927</v>
      </c>
      <c r="L15322" s="22" t="s">
        <v>10</v>
      </c>
      <c r="M15322" s="25">
        <v>2900</v>
      </c>
      <c r="N15322" s="27">
        <v>0.82098765432098764</v>
      </c>
    </row>
    <row r="15323" spans="1:14" x14ac:dyDescent="0.15">
      <c r="A15323" s="23" t="str">
        <f>HYPERLINK("https://www.spark-marketing.ru/Card/Person/19933", "ТЕРРИТОРИАЛЬНЫЙ ОРГАН РОСЗДРАВНАДЗОРА ПО СМОЛЕНСКОЙ ОБЛАСТИ")</f>
        <v>ТЕРРИТОРИАЛЬНЫЙ ОРГАН РОСЗДРАВНАДЗОРА ПО СМОЛЕНСКОЙ ОБЛАСТИ</v>
      </c>
      <c r="B15323" s="24" t="s">
        <v>17633</v>
      </c>
      <c r="C15323" s="25">
        <v>80910</v>
      </c>
      <c r="D15323" s="22" t="s">
        <v>17634</v>
      </c>
      <c r="E15323" s="22" t="s">
        <v>68</v>
      </c>
      <c r="F15323" s="23" t="str">
        <f>HYPERLINK("https://www.spark-marketing.ru/Card/Lot/67857736", "оказание услуг по охране объектов с помощью пульта централизованного наблюдения и кнопки тревожной сигнализации")</f>
        <v>оказание услуг по охране объектов с помощью пульта централизованного наблюдения и кнопки тревожной сигнализации</v>
      </c>
      <c r="G15323" s="22" t="s">
        <v>956</v>
      </c>
      <c r="H15323" s="22" t="s">
        <v>1451</v>
      </c>
      <c r="I15323" s="26">
        <v>43507</v>
      </c>
      <c r="J15323" s="28" t="s">
        <v>52</v>
      </c>
      <c r="K15323" s="28" t="s">
        <v>52</v>
      </c>
      <c r="L15323" s="28" t="s">
        <v>52</v>
      </c>
      <c r="M15323" s="28" t="s">
        <v>52</v>
      </c>
      <c r="N15323" s="28" t="s">
        <v>52</v>
      </c>
    </row>
    <row r="15324" spans="1:14" ht="12.75" hidden="1" outlineLevel="1" x14ac:dyDescent="0.2">
      <c r="A15324" s="23" t="str">
        <f>HYPERLINK("https://www.spark-marketing.ru/Card/Person/19933", "ТЕРРИТОРИАЛЬНЫЙ ОРГАН РОСЗДРАВНАДЗОРА ПО СМОЛЕНСКОЙ ОБЛАСТИ")</f>
        <v>ТЕРРИТОРИАЛЬНЫЙ ОРГАН РОСЗДРАВНАДЗОРА ПО СМОЛЕНСКОЙ ОБЛАСТИ</v>
      </c>
      <c r="B15324" s="24" t="s">
        <v>17633</v>
      </c>
      <c r="C15324" s="25">
        <v>80910</v>
      </c>
      <c r="D15324" s="22" t="s">
        <v>17634</v>
      </c>
      <c r="E15324" s="22" t="s">
        <v>68</v>
      </c>
      <c r="F15324" s="23" t="str">
        <f>HYPERLINK("https://www.spark-marketing.ru/Card/Lot/67857736", "оказание услуг по охране объектов с помощью пульта централизованного наблюдения и кнопки тревожной сигнализации")</f>
        <v>оказание услуг по охране объектов с помощью пульта централизованного наблюдения и кнопки тревожной сигнализации</v>
      </c>
      <c r="G15324" s="22" t="s">
        <v>956</v>
      </c>
      <c r="H15324" s="22" t="s">
        <v>1451</v>
      </c>
      <c r="I15324" s="26">
        <v>43507</v>
      </c>
      <c r="J15324" s="23" t="str">
        <f>HYPERLINK("https://www.spark-marketing.ru/Card/Person/542642", "ФГКУ ""УВО ВНГ РОССИИ ПО СМОЛЕНСКОЙ ОБЛАСТИ""")</f>
        <v>ФГКУ "УВО ВНГ РОССИИ ПО СМОЛЕНСКОЙ ОБЛАСТИ"</v>
      </c>
      <c r="K15324" s="24" t="s">
        <v>2731</v>
      </c>
      <c r="L15324" s="22" t="s">
        <v>10</v>
      </c>
      <c r="M15324" s="25">
        <v>80505.45</v>
      </c>
      <c r="N15324" s="27">
        <v>5.0000000000000001E-3</v>
      </c>
    </row>
    <row r="15325" spans="1:14" hidden="1" outlineLevel="1" x14ac:dyDescent="0.2">
      <c r="A15325" s="23" t="str">
        <f>HYPERLINK("https://www.spark-marketing.ru/Card/Person/19933", "ТЕРРИТОРИАЛЬНЫЙ ОРГАН РОСЗДРАВНАДЗОРА ПО СМОЛЕНСКОЙ ОБЛАСТИ")</f>
        <v>ТЕРРИТОРИАЛЬНЫЙ ОРГАН РОСЗДРАВНАДЗОРА ПО СМОЛЕНСКОЙ ОБЛАСТИ</v>
      </c>
      <c r="B15325" s="24" t="s">
        <v>17633</v>
      </c>
      <c r="C15325" s="25">
        <v>80910</v>
      </c>
      <c r="D15325" s="22" t="s">
        <v>17634</v>
      </c>
      <c r="E15325" s="22" t="s">
        <v>68</v>
      </c>
      <c r="F15325" s="23" t="str">
        <f>HYPERLINK("https://www.spark-marketing.ru/Card/Lot/67857736", "оказание услуг по охране объектов с помощью пульта централизованного наблюдения и кнопки тревожной сигнализации")</f>
        <v>оказание услуг по охране объектов с помощью пульта централизованного наблюдения и кнопки тревожной сигнализации</v>
      </c>
      <c r="G15325" s="22" t="s">
        <v>956</v>
      </c>
      <c r="H15325" s="22" t="s">
        <v>1451</v>
      </c>
      <c r="I15325" s="26">
        <v>43507</v>
      </c>
      <c r="J15325" s="23" t="str">
        <f>HYPERLINK("https://www.spark-marketing.ru/Card/Person/5915815", "ООО ЧОП ""ФИЛИН""")</f>
        <v>ООО ЧОП "ФИЛИН"</v>
      </c>
      <c r="K15325" s="24" t="s">
        <v>8527</v>
      </c>
      <c r="L15325" s="28" t="s">
        <v>52</v>
      </c>
      <c r="M15325" s="25">
        <v>80100.899999999994</v>
      </c>
      <c r="N15325" s="27">
        <v>0.01</v>
      </c>
    </row>
    <row r="15326" spans="1:14" x14ac:dyDescent="0.15">
      <c r="A15326" s="23" t="str">
        <f>HYPERLINK("https://www.spark-marketing.ru/Card/Person/4344001", "АДМИНИСТРАЦИЯ ПОСЕЛЕНИЯ ""МОСРЕНТГЕН""")</f>
        <v>АДМИНИСТРАЦИЯ ПОСЕЛЕНИЯ "МОСРЕНТГЕН"</v>
      </c>
      <c r="B15326" s="24" t="s">
        <v>5736</v>
      </c>
      <c r="C15326" s="25">
        <v>5400000</v>
      </c>
      <c r="D15326" s="22" t="s">
        <v>17635</v>
      </c>
      <c r="E15326" s="22" t="s">
        <v>103</v>
      </c>
      <c r="F15326" s="23" t="str">
        <f>HYPERLINK("https://www.spark-marketing.ru/Card/Lot/67854964", "Оказание услуг по сервисному обслуживанию системы видеонаблюдения на территории поселения ""Мосрентген"" (среди СМП)")</f>
        <v>Оказание услуг по сервисному обслуживанию системы видеонаблюдения на территории поселения "Мосрентген" (среди СМП)</v>
      </c>
      <c r="G15326" s="22" t="s">
        <v>55</v>
      </c>
      <c r="H15326" s="22" t="s">
        <v>55</v>
      </c>
      <c r="I15326" s="26">
        <v>43507</v>
      </c>
      <c r="J15326" s="23" t="str">
        <f>HYPERLINK("https://www.spark-marketing.ru/Card/Person/5791294", "ООО ""К-ОПТИК""")</f>
        <v>ООО "К-ОПТИК"</v>
      </c>
      <c r="K15326" s="24" t="s">
        <v>5738</v>
      </c>
      <c r="L15326" s="28" t="s">
        <v>52</v>
      </c>
      <c r="M15326" s="28" t="s">
        <v>52</v>
      </c>
      <c r="N15326" s="28" t="s">
        <v>52</v>
      </c>
    </row>
    <row r="15327" spans="1:14" hidden="1" outlineLevel="1" x14ac:dyDescent="0.15">
      <c r="A15327" s="23" t="str">
        <f>HYPERLINK("https://www.spark-marketing.ru/Card/Person/4344001", "АДМИНИСТРАЦИЯ ПОСЕЛЕНИЯ ""МОСРЕНТГЕН""")</f>
        <v>АДМИНИСТРАЦИЯ ПОСЕЛЕНИЯ "МОСРЕНТГЕН"</v>
      </c>
      <c r="B15327" s="24" t="s">
        <v>5736</v>
      </c>
      <c r="C15327" s="25">
        <v>5400000</v>
      </c>
      <c r="D15327" s="22" t="s">
        <v>17635</v>
      </c>
      <c r="E15327" s="22" t="s">
        <v>103</v>
      </c>
      <c r="F15327" s="23" t="str">
        <f>HYPERLINK("https://www.spark-marketing.ru/Card/Lot/67854964", "Оказание услуг по сервисному обслуживанию системы видеонаблюдения на территории поселения ""Мосрентген"" (среди СМП)")</f>
        <v>Оказание услуг по сервисному обслуживанию системы видеонаблюдения на территории поселения "Мосрентген" (среди СМП)</v>
      </c>
      <c r="G15327" s="22" t="s">
        <v>55</v>
      </c>
      <c r="H15327" s="22" t="s">
        <v>55</v>
      </c>
      <c r="I15327" s="26">
        <v>43507</v>
      </c>
      <c r="J15327" s="23" t="str">
        <f>HYPERLINK("https://www.spark-marketing.ru/Card/Person/5791294", "ООО ""К-ОПТИК""")</f>
        <v>ООО "К-ОПТИК"</v>
      </c>
      <c r="K15327" s="24" t="s">
        <v>5738</v>
      </c>
      <c r="L15327" s="22" t="s">
        <v>10</v>
      </c>
      <c r="M15327" s="28" t="s">
        <v>52</v>
      </c>
      <c r="N15327" s="28" t="s">
        <v>52</v>
      </c>
    </row>
    <row r="15328" spans="1:14" x14ac:dyDescent="0.15">
      <c r="A15328" s="23" t="str">
        <f>HYPERLINK("https://www.spark-marketing.ru/Card/Person/19478", "МИНЮСТ РД")</f>
        <v>МИНЮСТ РД</v>
      </c>
      <c r="B15328" s="24" t="s">
        <v>5733</v>
      </c>
      <c r="C15328" s="25">
        <v>53032.32</v>
      </c>
      <c r="D15328" s="22" t="s">
        <v>17636</v>
      </c>
      <c r="E15328" s="22" t="s">
        <v>68</v>
      </c>
      <c r="F15328" s="23" t="str">
        <f>HYPERLINK("https://www.spark-marketing.ru/Card/Lot/67850551", "Оказание услуги по экстренному выезду группы задержания при срабатывании средств тревожной сигнализации судебных участков мировых судей г.Каспийска")</f>
        <v>Оказание услуги по экстренному выезду группы задержания при срабатывании средств тревожной сигнализации судебных участков мировых судей г.Каспийска</v>
      </c>
      <c r="G15328" s="22" t="s">
        <v>595</v>
      </c>
      <c r="H15328" s="22" t="s">
        <v>17637</v>
      </c>
      <c r="I15328" s="26">
        <v>43507</v>
      </c>
      <c r="J15328" s="28" t="s">
        <v>52</v>
      </c>
      <c r="K15328" s="28" t="s">
        <v>52</v>
      </c>
      <c r="L15328" s="28" t="s">
        <v>52</v>
      </c>
      <c r="M15328" s="28" t="s">
        <v>52</v>
      </c>
      <c r="N15328" s="28" t="s">
        <v>52</v>
      </c>
    </row>
    <row r="15329" spans="1:14" x14ac:dyDescent="0.15">
      <c r="A15329" s="23" t="str">
        <f>HYPERLINK("https://www.spark-marketing.ru/Card/Person/86227", "ГБУЗ НСО ""ЧЕРЕПАНОВСКАЯ ЦРБ""")</f>
        <v>ГБУЗ НСО "ЧЕРЕПАНОВСКАЯ ЦРБ"</v>
      </c>
      <c r="B15329" s="24" t="s">
        <v>17638</v>
      </c>
      <c r="C15329" s="25">
        <v>102386.88</v>
      </c>
      <c r="D15329" s="22" t="s">
        <v>17639</v>
      </c>
      <c r="E15329" s="22" t="s">
        <v>68</v>
      </c>
      <c r="F15329" s="23" t="str">
        <f>HYPERLINK("https://www.spark-marketing.ru/Card/Lot/67834727", "Оказание услуг об экстренном вызове вневедомственной охраны на объект, в случае срабатывания средств тревожной сигнализации")</f>
        <v>Оказание услуг об экстренном вызове вневедомственной охраны на объект, в случае срабатывания средств тревожной сигнализации</v>
      </c>
      <c r="G15329" s="22" t="s">
        <v>209</v>
      </c>
      <c r="H15329" s="22" t="s">
        <v>4605</v>
      </c>
      <c r="I15329" s="26">
        <v>43507</v>
      </c>
      <c r="J15329" s="28" t="s">
        <v>52</v>
      </c>
      <c r="K15329" s="28" t="s">
        <v>52</v>
      </c>
      <c r="L15329" s="28" t="s">
        <v>52</v>
      </c>
      <c r="M15329" s="28" t="s">
        <v>52</v>
      </c>
      <c r="N15329" s="28" t="s">
        <v>52</v>
      </c>
    </row>
    <row r="15330" spans="1:14" x14ac:dyDescent="0.15">
      <c r="A15330" s="23" t="str">
        <f>HYPERLINK("https://www.spark-marketing.ru/Card/Person/47507", "ГБУЗ НО ""ГКБ №3"" (НГЦ)")</f>
        <v>ГБУЗ НО "ГКБ №3" (НГЦ)</v>
      </c>
      <c r="B15330" s="24" t="s">
        <v>17640</v>
      </c>
      <c r="C15330" s="25">
        <v>294726.59999999998</v>
      </c>
      <c r="D15330" s="22" t="s">
        <v>17641</v>
      </c>
      <c r="E15330" s="22" t="s">
        <v>68</v>
      </c>
      <c r="F15330" s="23" t="str">
        <f>HYPERLINK("https://www.spark-marketing.ru/Card/Lot/67837798", "Оказание охранных услуг")</f>
        <v>Оказание охранных услуг</v>
      </c>
      <c r="G15330" s="22" t="s">
        <v>64</v>
      </c>
      <c r="H15330" s="22" t="s">
        <v>64</v>
      </c>
      <c r="I15330" s="26">
        <v>43507</v>
      </c>
      <c r="J15330" s="28" t="s">
        <v>52</v>
      </c>
      <c r="K15330" s="28" t="s">
        <v>52</v>
      </c>
      <c r="L15330" s="28" t="s">
        <v>52</v>
      </c>
      <c r="M15330" s="28" t="s">
        <v>52</v>
      </c>
      <c r="N15330" s="28" t="s">
        <v>52</v>
      </c>
    </row>
    <row r="15331" spans="1:14" x14ac:dyDescent="0.15">
      <c r="A15331" s="23" t="str">
        <f>HYPERLINK("https://www.spark-marketing.ru/Card/Person/1031526", "МДОУ НОВОЧЕРЕМШАНСКИЙ ДЕТСКИЙ САД ""ДУБОЧЕК""")</f>
        <v>МДОУ НОВОЧЕРЕМШАНСКИЙ ДЕТСКИЙ САД "ДУБОЧЕК"</v>
      </c>
      <c r="B15331" s="24" t="s">
        <v>17642</v>
      </c>
      <c r="C15331" s="25">
        <v>16200</v>
      </c>
      <c r="D15331" s="22" t="s">
        <v>17643</v>
      </c>
      <c r="E15331" s="22" t="s">
        <v>68</v>
      </c>
      <c r="F15331" s="23" t="str">
        <f>HYPERLINK("https://www.spark-marketing.ru/Card/Lot/67830929",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331" s="22" t="s">
        <v>446</v>
      </c>
      <c r="H15331" s="22" t="s">
        <v>16876</v>
      </c>
      <c r="I15331" s="26">
        <v>43507</v>
      </c>
      <c r="J15331" s="28" t="s">
        <v>52</v>
      </c>
      <c r="K15331" s="28" t="s">
        <v>52</v>
      </c>
      <c r="L15331" s="28" t="s">
        <v>52</v>
      </c>
      <c r="M15331" s="28" t="s">
        <v>52</v>
      </c>
      <c r="N15331" s="28" t="s">
        <v>52</v>
      </c>
    </row>
    <row r="15332" spans="1:14" hidden="1" outlineLevel="1" x14ac:dyDescent="0.2">
      <c r="A15332" s="23" t="str">
        <f>HYPERLINK("https://www.spark-marketing.ru/Card/Person/1031526", "МДОУ НОВОЧЕРЕМШАНСКИЙ ДЕТСКИЙ САД ""ДУБОЧЕК""")</f>
        <v>МДОУ НОВОЧЕРЕМШАНСКИЙ ДЕТСКИЙ САД "ДУБОЧЕК"</v>
      </c>
      <c r="B15332" s="24" t="s">
        <v>17642</v>
      </c>
      <c r="C15332" s="25">
        <v>16200</v>
      </c>
      <c r="D15332" s="22" t="s">
        <v>17643</v>
      </c>
      <c r="E15332" s="22" t="s">
        <v>68</v>
      </c>
      <c r="F15332" s="23" t="str">
        <f>HYPERLINK("https://www.spark-marketing.ru/Card/Lot/67830929",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332" s="22" t="s">
        <v>446</v>
      </c>
      <c r="H15332" s="22" t="s">
        <v>16876</v>
      </c>
      <c r="I15332" s="26">
        <v>43507</v>
      </c>
      <c r="J15332" s="23" t="str">
        <f>HYPERLINK("https://www.spark-marketing.ru/Card/Person/124094", "ООО ЧОО ""РЕДУТ+""")</f>
        <v>ООО ЧОО "РЕДУТ+"</v>
      </c>
      <c r="K15332" s="24" t="s">
        <v>16877</v>
      </c>
      <c r="L15332" s="28" t="s">
        <v>52</v>
      </c>
      <c r="M15332" s="25">
        <v>3000</v>
      </c>
      <c r="N15332" s="27">
        <v>0.81481481481481477</v>
      </c>
    </row>
    <row r="15333" spans="1:14" hidden="1" outlineLevel="1" x14ac:dyDescent="0.2">
      <c r="A15333" s="23" t="str">
        <f>HYPERLINK("https://www.spark-marketing.ru/Card/Person/1031526", "МДОУ НОВОЧЕРЕМШАНСКИЙ ДЕТСКИЙ САД ""ДУБОЧЕК""")</f>
        <v>МДОУ НОВОЧЕРЕМШАНСКИЙ ДЕТСКИЙ САД "ДУБОЧЕК"</v>
      </c>
      <c r="B15333" s="24" t="s">
        <v>17642</v>
      </c>
      <c r="C15333" s="25">
        <v>16200</v>
      </c>
      <c r="D15333" s="22" t="s">
        <v>17643</v>
      </c>
      <c r="E15333" s="22" t="s">
        <v>68</v>
      </c>
      <c r="F15333" s="23" t="str">
        <f>HYPERLINK("https://www.spark-marketing.ru/Card/Lot/67830929",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333" s="22" t="s">
        <v>446</v>
      </c>
      <c r="H15333" s="22" t="s">
        <v>16876</v>
      </c>
      <c r="I15333" s="26">
        <v>43507</v>
      </c>
      <c r="J15333" s="23" t="str">
        <f>HYPERLINK("https://www.spark-marketing.ru/Card/Person/677682", "ООО ЧОО ""ЦСМ ""ГРОМ""")</f>
        <v>ООО ЧОО "ЦСМ "ГРОМ"</v>
      </c>
      <c r="K15333" s="24" t="s">
        <v>16878</v>
      </c>
      <c r="L15333" s="28" t="s">
        <v>52</v>
      </c>
      <c r="M15333" s="25">
        <v>7300.04</v>
      </c>
      <c r="N15333" s="27">
        <v>0.54938024691358023</v>
      </c>
    </row>
    <row r="15334" spans="1:14" ht="12.75" hidden="1" outlineLevel="1" x14ac:dyDescent="0.2">
      <c r="A15334" s="23" t="str">
        <f>HYPERLINK("https://www.spark-marketing.ru/Card/Person/1031526", "МДОУ НОВОЧЕРЕМШАНСКИЙ ДЕТСКИЙ САД ""ДУБОЧЕК""")</f>
        <v>МДОУ НОВОЧЕРЕМШАНСКИЙ ДЕТСКИЙ САД "ДУБОЧЕК"</v>
      </c>
      <c r="B15334" s="24" t="s">
        <v>17642</v>
      </c>
      <c r="C15334" s="25">
        <v>16200</v>
      </c>
      <c r="D15334" s="22" t="s">
        <v>17643</v>
      </c>
      <c r="E15334" s="22" t="s">
        <v>68</v>
      </c>
      <c r="F15334" s="23" t="str">
        <f>HYPERLINK("https://www.spark-marketing.ru/Card/Lot/67830929",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334" s="22" t="s">
        <v>446</v>
      </c>
      <c r="H15334" s="22" t="s">
        <v>16876</v>
      </c>
      <c r="I15334" s="26">
        <v>43507</v>
      </c>
      <c r="J15334" s="23" t="str">
        <f>HYPERLINK("https://www.spark-marketing.ru/Card/Person/5946939", "ООО АО ""АРМАДА""")</f>
        <v>ООО АО "АРМАДА"</v>
      </c>
      <c r="K15334" s="24" t="s">
        <v>12927</v>
      </c>
      <c r="L15334" s="22" t="s">
        <v>10</v>
      </c>
      <c r="M15334" s="25">
        <v>2900</v>
      </c>
      <c r="N15334" s="27">
        <v>0.82098765432098764</v>
      </c>
    </row>
    <row r="15335" spans="1:14" x14ac:dyDescent="0.15">
      <c r="A15335" s="23" t="str">
        <f>HYPERLINK("https://www.spark-marketing.ru/Card/Person/125767", "ГБУЗ АО ""ДГП № 5""")</f>
        <v>ГБУЗ АО "ДГП № 5"</v>
      </c>
      <c r="B15335" s="24" t="s">
        <v>9175</v>
      </c>
      <c r="C15335" s="25">
        <v>75711.94</v>
      </c>
      <c r="D15335" s="22" t="s">
        <v>17644</v>
      </c>
      <c r="E15335" s="22" t="s">
        <v>84</v>
      </c>
      <c r="F15335" s="23" t="str">
        <f>HYPERLINK("https://www.spark-marketing.ru/Card/Lot/67838502", "Выполнение работ по монтажу видео наблюдения")</f>
        <v>Выполнение работ по монтажу видео наблюдения</v>
      </c>
      <c r="G15335" s="22" t="s">
        <v>565</v>
      </c>
      <c r="H15335" s="22" t="s">
        <v>566</v>
      </c>
      <c r="I15335" s="26">
        <v>43507</v>
      </c>
      <c r="J15335" s="28" t="s">
        <v>52</v>
      </c>
      <c r="K15335" s="28" t="s">
        <v>52</v>
      </c>
      <c r="L15335" s="28" t="s">
        <v>52</v>
      </c>
      <c r="M15335" s="28" t="s">
        <v>52</v>
      </c>
      <c r="N15335" s="28" t="s">
        <v>52</v>
      </c>
    </row>
    <row r="15336" spans="1:14" hidden="1" outlineLevel="1" x14ac:dyDescent="0.2">
      <c r="A15336" s="23" t="str">
        <f>HYPERLINK("https://www.spark-marketing.ru/Card/Person/125767", "ГБУЗ АО ""ДГП № 5""")</f>
        <v>ГБУЗ АО "ДГП № 5"</v>
      </c>
      <c r="B15336" s="24" t="s">
        <v>9175</v>
      </c>
      <c r="C15336" s="25">
        <v>75711.94</v>
      </c>
      <c r="D15336" s="22" t="s">
        <v>17644</v>
      </c>
      <c r="E15336" s="22" t="s">
        <v>84</v>
      </c>
      <c r="F15336" s="23" t="str">
        <f>HYPERLINK("https://www.spark-marketing.ru/Card/Lot/67838502", "Выполнение работ по монтажу видео наблюдения")</f>
        <v>Выполнение работ по монтажу видео наблюдения</v>
      </c>
      <c r="G15336" s="22" t="s">
        <v>565</v>
      </c>
      <c r="H15336" s="22" t="s">
        <v>566</v>
      </c>
      <c r="I15336" s="26">
        <v>43507</v>
      </c>
      <c r="J15336" s="23" t="str">
        <f>HYPERLINK("https://www.spark-marketing.ru/Card/Person/4919920", "ООО ""АЛЬФА""")</f>
        <v>ООО "АЛЬФА"</v>
      </c>
      <c r="K15336" s="24" t="s">
        <v>17645</v>
      </c>
      <c r="L15336" s="28" t="s">
        <v>52</v>
      </c>
      <c r="M15336" s="25">
        <v>59728.639999999999</v>
      </c>
      <c r="N15336" s="27">
        <v>0.2111067290046986</v>
      </c>
    </row>
    <row r="15337" spans="1:14" ht="12.75" hidden="1" outlineLevel="1" x14ac:dyDescent="0.2">
      <c r="A15337" s="23" t="str">
        <f>HYPERLINK("https://www.spark-marketing.ru/Card/Person/125767", "ГБУЗ АО ""ДГП № 5""")</f>
        <v>ГБУЗ АО "ДГП № 5"</v>
      </c>
      <c r="B15337" s="24" t="s">
        <v>9175</v>
      </c>
      <c r="C15337" s="25">
        <v>75711.94</v>
      </c>
      <c r="D15337" s="22" t="s">
        <v>17644</v>
      </c>
      <c r="E15337" s="22" t="s">
        <v>84</v>
      </c>
      <c r="F15337" s="23" t="str">
        <f>HYPERLINK("https://www.spark-marketing.ru/Card/Lot/67838502", "Выполнение работ по монтажу видео наблюдения")</f>
        <v>Выполнение работ по монтажу видео наблюдения</v>
      </c>
      <c r="G15337" s="22" t="s">
        <v>565</v>
      </c>
      <c r="H15337" s="22" t="s">
        <v>566</v>
      </c>
      <c r="I15337" s="26">
        <v>43507</v>
      </c>
      <c r="J15337" s="23" t="str">
        <f>HYPERLINK("https://www.spark-marketing.ru/Card/Person/1218712", "Иванова Галина Геннадьевна")</f>
        <v>Иванова Галина Геннадьевна</v>
      </c>
      <c r="K15337" s="24" t="s">
        <v>17646</v>
      </c>
      <c r="L15337" s="22" t="s">
        <v>10</v>
      </c>
      <c r="M15337" s="25">
        <v>59350.080000000002</v>
      </c>
      <c r="N15337" s="27">
        <v>0.21610673296708552</v>
      </c>
    </row>
    <row r="15338" spans="1:14" x14ac:dyDescent="0.15">
      <c r="A15338" s="23" t="str">
        <f>HYPERLINK("https://www.spark-marketing.ru/Card/Person/4346740", "ГСУ СК РОССИИ ПО МОСКОВСКОЙ ОБЛАСТИ")</f>
        <v>ГСУ СК РОССИИ ПО МОСКОВСКОЙ ОБЛАСТИ</v>
      </c>
      <c r="B15338" s="24" t="s">
        <v>16905</v>
      </c>
      <c r="C15338" s="25">
        <v>2327461.92</v>
      </c>
      <c r="D15338" s="22" t="s">
        <v>17647</v>
      </c>
      <c r="E15338" s="22" t="s">
        <v>68</v>
      </c>
      <c r="F15338" s="23" t="str">
        <f>HYPERLINK("https://www.spark-marketing.ru/Card/Lot/67851045", "Оказание услуг по военизированной охране объектов Главного следственного управления Следственного комитета Российской Федерации по Московской области")</f>
        <v>Оказание услуг по военизированной охране объектов Главного следственного управления Следственного комитета Российской Федерации по Московской области</v>
      </c>
      <c r="G15338" s="22" t="s">
        <v>50</v>
      </c>
      <c r="H15338" s="22" t="s">
        <v>50</v>
      </c>
      <c r="I15338" s="26">
        <v>43507</v>
      </c>
      <c r="J15338" s="28" t="s">
        <v>52</v>
      </c>
      <c r="K15338" s="28" t="s">
        <v>52</v>
      </c>
      <c r="L15338" s="28" t="s">
        <v>52</v>
      </c>
      <c r="M15338" s="28" t="s">
        <v>52</v>
      </c>
      <c r="N15338" s="28" t="s">
        <v>52</v>
      </c>
    </row>
    <row r="15339" spans="1:14" x14ac:dyDescent="0.15">
      <c r="A15339" s="23" t="str">
        <f>HYPERLINK("https://www.spark-marketing.ru/Card/Person/1003507", "МКДОУ ВЕРХНЕЯКУШКИНСКИЙ ДЕТСКИЙ САД ""БЕРЕЗКА""")</f>
        <v>МКДОУ ВЕРХНЕЯКУШКИНСКИЙ ДЕТСКИЙ САД "БЕРЕЗКА"</v>
      </c>
      <c r="B15339" s="24" t="s">
        <v>17648</v>
      </c>
      <c r="C15339" s="25">
        <v>16200</v>
      </c>
      <c r="D15339" s="22" t="s">
        <v>17649</v>
      </c>
      <c r="E15339" s="22" t="s">
        <v>68</v>
      </c>
      <c r="F15339" s="23" t="str">
        <f>HYPERLINK("https://www.spark-marketing.ru/Card/Lot/67854930",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339" s="22" t="s">
        <v>446</v>
      </c>
      <c r="H15339" s="22" t="s">
        <v>16876</v>
      </c>
      <c r="I15339" s="26">
        <v>43507</v>
      </c>
      <c r="J15339" s="28" t="s">
        <v>52</v>
      </c>
      <c r="K15339" s="28" t="s">
        <v>52</v>
      </c>
      <c r="L15339" s="28" t="s">
        <v>52</v>
      </c>
      <c r="M15339" s="28" t="s">
        <v>52</v>
      </c>
      <c r="N15339" s="28" t="s">
        <v>52</v>
      </c>
    </row>
    <row r="15340" spans="1:14" hidden="1" outlineLevel="1" x14ac:dyDescent="0.2">
      <c r="A15340" s="23" t="str">
        <f>HYPERLINK("https://www.spark-marketing.ru/Card/Person/1003507", "МКДОУ ВЕРХНЕЯКУШКИНСКИЙ ДЕТСКИЙ САД ""БЕРЕЗКА""")</f>
        <v>МКДОУ ВЕРХНЕЯКУШКИНСКИЙ ДЕТСКИЙ САД "БЕРЕЗКА"</v>
      </c>
      <c r="B15340" s="24" t="s">
        <v>17648</v>
      </c>
      <c r="C15340" s="25">
        <v>16200</v>
      </c>
      <c r="D15340" s="22" t="s">
        <v>17649</v>
      </c>
      <c r="E15340" s="22" t="s">
        <v>68</v>
      </c>
      <c r="F15340" s="23" t="str">
        <f>HYPERLINK("https://www.spark-marketing.ru/Card/Lot/67854930",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340" s="22" t="s">
        <v>446</v>
      </c>
      <c r="H15340" s="22" t="s">
        <v>16876</v>
      </c>
      <c r="I15340" s="26">
        <v>43507</v>
      </c>
      <c r="J15340" s="23" t="str">
        <f>HYPERLINK("https://www.spark-marketing.ru/Card/Person/677682", "ООО ЧОО ""ЦСМ ""ГРОМ""")</f>
        <v>ООО ЧОО "ЦСМ "ГРОМ"</v>
      </c>
      <c r="K15340" s="24" t="s">
        <v>16878</v>
      </c>
      <c r="L15340" s="28" t="s">
        <v>52</v>
      </c>
      <c r="M15340" s="25">
        <v>9467.81</v>
      </c>
      <c r="N15340" s="27">
        <v>0.41556728395061726</v>
      </c>
    </row>
    <row r="15341" spans="1:14" hidden="1" outlineLevel="1" x14ac:dyDescent="0.2">
      <c r="A15341" s="23" t="str">
        <f>HYPERLINK("https://www.spark-marketing.ru/Card/Person/1003507", "МКДОУ ВЕРХНЕЯКУШКИНСКИЙ ДЕТСКИЙ САД ""БЕРЕЗКА""")</f>
        <v>МКДОУ ВЕРХНЕЯКУШКИНСКИЙ ДЕТСКИЙ САД "БЕРЕЗКА"</v>
      </c>
      <c r="B15341" s="24" t="s">
        <v>17648</v>
      </c>
      <c r="C15341" s="25">
        <v>16200</v>
      </c>
      <c r="D15341" s="22" t="s">
        <v>17649</v>
      </c>
      <c r="E15341" s="22" t="s">
        <v>68</v>
      </c>
      <c r="F15341" s="23" t="str">
        <f>HYPERLINK("https://www.spark-marketing.ru/Card/Lot/67854930",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341" s="22" t="s">
        <v>446</v>
      </c>
      <c r="H15341" s="22" t="s">
        <v>16876</v>
      </c>
      <c r="I15341" s="26">
        <v>43507</v>
      </c>
      <c r="J15341" s="23" t="str">
        <f>HYPERLINK("https://www.spark-marketing.ru/Card/Person/124094", "ООО ЧОО ""РЕДУТ+""")</f>
        <v>ООО ЧОО "РЕДУТ+"</v>
      </c>
      <c r="K15341" s="24" t="s">
        <v>16877</v>
      </c>
      <c r="L15341" s="28" t="s">
        <v>52</v>
      </c>
      <c r="M15341" s="25">
        <v>2997.81</v>
      </c>
      <c r="N15341" s="27">
        <v>0.81494999999999995</v>
      </c>
    </row>
    <row r="15342" spans="1:14" ht="12.75" hidden="1" outlineLevel="1" x14ac:dyDescent="0.2">
      <c r="A15342" s="23" t="str">
        <f>HYPERLINK("https://www.spark-marketing.ru/Card/Person/1003507", "МКДОУ ВЕРХНЕЯКУШКИНСКИЙ ДЕТСКИЙ САД ""БЕРЕЗКА""")</f>
        <v>МКДОУ ВЕРХНЕЯКУШКИНСКИЙ ДЕТСКИЙ САД "БЕРЕЗКА"</v>
      </c>
      <c r="B15342" s="24" t="s">
        <v>17648</v>
      </c>
      <c r="C15342" s="25">
        <v>16200</v>
      </c>
      <c r="D15342" s="22" t="s">
        <v>17649</v>
      </c>
      <c r="E15342" s="22" t="s">
        <v>68</v>
      </c>
      <c r="F15342" s="23" t="str">
        <f>HYPERLINK("https://www.spark-marketing.ru/Card/Lot/67854930",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342" s="22" t="s">
        <v>446</v>
      </c>
      <c r="H15342" s="22" t="s">
        <v>16876</v>
      </c>
      <c r="I15342" s="26">
        <v>43507</v>
      </c>
      <c r="J15342" s="23" t="str">
        <f>HYPERLINK("https://www.spark-marketing.ru/Card/Person/5946939", "ООО АО ""АРМАДА""")</f>
        <v>ООО АО "АРМАДА"</v>
      </c>
      <c r="K15342" s="24" t="s">
        <v>12927</v>
      </c>
      <c r="L15342" s="22" t="s">
        <v>10</v>
      </c>
      <c r="M15342" s="25">
        <v>2897.81</v>
      </c>
      <c r="N15342" s="27">
        <v>0.82112283950617282</v>
      </c>
    </row>
    <row r="15343" spans="1:14" x14ac:dyDescent="0.15">
      <c r="A15343" s="23" t="str">
        <f t="shared" ref="A15343:A15349" si="806">HYPERLINK("https://www.spark-marketing.ru/Card/Person/58030", "КГКУ ХОРСКИЙ СРЦ")</f>
        <v>КГКУ ХОРСКИЙ СРЦ</v>
      </c>
      <c r="B15343" s="24" t="s">
        <v>17650</v>
      </c>
      <c r="C15343" s="25">
        <v>109662.66</v>
      </c>
      <c r="D15343" s="22" t="s">
        <v>17651</v>
      </c>
      <c r="E15343" s="22" t="s">
        <v>103</v>
      </c>
      <c r="F15343" s="23" t="str">
        <f t="shared" ref="F15343:F15349" si="807">HYPERLINK("https://www.spark-marketing.ru/Card/Lot/67826595", "Оказание услуг по техническому обслуживанию систем видеонаблюдения")</f>
        <v>Оказание услуг по техническому обслуживанию систем видеонаблюдения</v>
      </c>
      <c r="G15343" s="22" t="s">
        <v>138</v>
      </c>
      <c r="H15343" s="22" t="s">
        <v>3599</v>
      </c>
      <c r="I15343" s="26">
        <v>43507</v>
      </c>
      <c r="J15343" s="28" t="s">
        <v>52</v>
      </c>
      <c r="K15343" s="28" t="s">
        <v>52</v>
      </c>
      <c r="L15343" s="28" t="s">
        <v>52</v>
      </c>
      <c r="M15343" s="28" t="s">
        <v>52</v>
      </c>
      <c r="N15343" s="28" t="s">
        <v>52</v>
      </c>
    </row>
    <row r="15344" spans="1:14" hidden="1" outlineLevel="1" x14ac:dyDescent="0.2">
      <c r="A15344" s="23" t="str">
        <f t="shared" si="806"/>
        <v>КГКУ ХОРСКИЙ СРЦ</v>
      </c>
      <c r="B15344" s="24" t="s">
        <v>17650</v>
      </c>
      <c r="C15344" s="25">
        <v>109662.66</v>
      </c>
      <c r="D15344" s="22" t="s">
        <v>17651</v>
      </c>
      <c r="E15344" s="22" t="s">
        <v>103</v>
      </c>
      <c r="F15344" s="23" t="str">
        <f t="shared" si="807"/>
        <v>Оказание услуг по техническому обслуживанию систем видеонаблюдения</v>
      </c>
      <c r="G15344" s="22" t="s">
        <v>138</v>
      </c>
      <c r="H15344" s="22" t="s">
        <v>3599</v>
      </c>
      <c r="I15344" s="26">
        <v>43507</v>
      </c>
      <c r="J15344" s="23" t="str">
        <f>HYPERLINK("https://www.spark-marketing.ru/Card/Person/473820", "ООО ""ИЗОТОП ДВ""")</f>
        <v>ООО "ИЗОТОП ДВ"</v>
      </c>
      <c r="K15344" s="24" t="s">
        <v>6510</v>
      </c>
      <c r="L15344" s="28" t="s">
        <v>52</v>
      </c>
      <c r="M15344" s="25">
        <v>29451</v>
      </c>
      <c r="N15344" s="27">
        <v>0.73144003619828302</v>
      </c>
    </row>
    <row r="15345" spans="1:14" hidden="1" outlineLevel="1" x14ac:dyDescent="0.2">
      <c r="A15345" s="23" t="str">
        <f t="shared" si="806"/>
        <v>КГКУ ХОРСКИЙ СРЦ</v>
      </c>
      <c r="B15345" s="24" t="s">
        <v>17650</v>
      </c>
      <c r="C15345" s="25">
        <v>109662.66</v>
      </c>
      <c r="D15345" s="22" t="s">
        <v>17651</v>
      </c>
      <c r="E15345" s="22" t="s">
        <v>103</v>
      </c>
      <c r="F15345" s="23" t="str">
        <f t="shared" si="807"/>
        <v>Оказание услуг по техническому обслуживанию систем видеонаблюдения</v>
      </c>
      <c r="G15345" s="22" t="s">
        <v>138</v>
      </c>
      <c r="H15345" s="22" t="s">
        <v>3599</v>
      </c>
      <c r="I15345" s="26">
        <v>43507</v>
      </c>
      <c r="J15345" s="23" t="str">
        <f>HYPERLINK("https://www.spark-marketing.ru/Card/Person/2595628", "ООО ""ЧОО ""ГАРТ""")</f>
        <v>ООО "ЧОО "ГАРТ"</v>
      </c>
      <c r="K15345" s="24" t="s">
        <v>2984</v>
      </c>
      <c r="L15345" s="28" t="s">
        <v>52</v>
      </c>
      <c r="M15345" s="25">
        <v>82000</v>
      </c>
      <c r="N15345" s="27">
        <v>0.25225231633082768</v>
      </c>
    </row>
    <row r="15346" spans="1:14" ht="12.75" hidden="1" outlineLevel="1" x14ac:dyDescent="0.2">
      <c r="A15346" s="23" t="str">
        <f t="shared" si="806"/>
        <v>КГКУ ХОРСКИЙ СРЦ</v>
      </c>
      <c r="B15346" s="24" t="s">
        <v>17650</v>
      </c>
      <c r="C15346" s="25">
        <v>109662.66</v>
      </c>
      <c r="D15346" s="22" t="s">
        <v>17651</v>
      </c>
      <c r="E15346" s="22" t="s">
        <v>103</v>
      </c>
      <c r="F15346" s="23" t="str">
        <f t="shared" si="807"/>
        <v>Оказание услуг по техническому обслуживанию систем видеонаблюдения</v>
      </c>
      <c r="G15346" s="22" t="s">
        <v>138</v>
      </c>
      <c r="H15346" s="22" t="s">
        <v>3599</v>
      </c>
      <c r="I15346" s="26">
        <v>43507</v>
      </c>
      <c r="J15346" s="23" t="str">
        <f>HYPERLINK("https://www.spark-marketing.ru/Card/Person/190384", "ООО ""ТСК "" АЗИМУТ""")</f>
        <v>ООО "ТСК " АЗИМУТ"</v>
      </c>
      <c r="K15346" s="24" t="s">
        <v>2697</v>
      </c>
      <c r="L15346" s="22" t="s">
        <v>10</v>
      </c>
      <c r="M15346" s="25">
        <v>28000</v>
      </c>
      <c r="N15346" s="27">
        <v>0.74467152264955094</v>
      </c>
    </row>
    <row r="15347" spans="1:14" hidden="1" outlineLevel="1" x14ac:dyDescent="0.2">
      <c r="A15347" s="23" t="str">
        <f t="shared" si="806"/>
        <v>КГКУ ХОРСКИЙ СРЦ</v>
      </c>
      <c r="B15347" s="24" t="s">
        <v>17650</v>
      </c>
      <c r="C15347" s="25">
        <v>109662.66</v>
      </c>
      <c r="D15347" s="22" t="s">
        <v>17651</v>
      </c>
      <c r="E15347" s="22" t="s">
        <v>103</v>
      </c>
      <c r="F15347" s="23" t="str">
        <f t="shared" si="807"/>
        <v>Оказание услуг по техническому обслуживанию систем видеонаблюдения</v>
      </c>
      <c r="G15347" s="22" t="s">
        <v>138</v>
      </c>
      <c r="H15347" s="22" t="s">
        <v>3599</v>
      </c>
      <c r="I15347" s="26">
        <v>43507</v>
      </c>
      <c r="J15347" s="23" t="str">
        <f>HYPERLINK("https://www.spark-marketing.ru/Card/Person/80406", "ООО ""СМНП-3""")</f>
        <v>ООО "СМНП-3"</v>
      </c>
      <c r="K15347" s="24" t="s">
        <v>17228</v>
      </c>
      <c r="L15347" s="28" t="s">
        <v>52</v>
      </c>
      <c r="M15347" s="25">
        <v>54836.36</v>
      </c>
      <c r="N15347" s="27">
        <v>0.49995413206281886</v>
      </c>
    </row>
    <row r="15348" spans="1:14" hidden="1" outlineLevel="1" x14ac:dyDescent="0.2">
      <c r="A15348" s="23" t="str">
        <f t="shared" si="806"/>
        <v>КГКУ ХОРСКИЙ СРЦ</v>
      </c>
      <c r="B15348" s="24" t="s">
        <v>17650</v>
      </c>
      <c r="C15348" s="25">
        <v>109662.66</v>
      </c>
      <c r="D15348" s="22" t="s">
        <v>17651</v>
      </c>
      <c r="E15348" s="22" t="s">
        <v>103</v>
      </c>
      <c r="F15348" s="23" t="str">
        <f t="shared" si="807"/>
        <v>Оказание услуг по техническому обслуживанию систем видеонаблюдения</v>
      </c>
      <c r="G15348" s="22" t="s">
        <v>138</v>
      </c>
      <c r="H15348" s="22" t="s">
        <v>3599</v>
      </c>
      <c r="I15348" s="26">
        <v>43507</v>
      </c>
      <c r="J15348" s="23" t="str">
        <f>HYPERLINK("https://www.spark-marketing.ru/Card/Person/153332", "ООО ""СПЕЦ ПЛЮС""")</f>
        <v>ООО "СПЕЦ ПЛЮС"</v>
      </c>
      <c r="K15348" s="24" t="s">
        <v>1651</v>
      </c>
      <c r="L15348" s="28" t="s">
        <v>52</v>
      </c>
      <c r="M15348" s="25">
        <v>74000</v>
      </c>
      <c r="N15348" s="27">
        <v>0.32520330985952739</v>
      </c>
    </row>
    <row r="15349" spans="1:14" hidden="1" outlineLevel="1" x14ac:dyDescent="0.2">
      <c r="A15349" s="23" t="str">
        <f t="shared" si="806"/>
        <v>КГКУ ХОРСКИЙ СРЦ</v>
      </c>
      <c r="B15349" s="24" t="s">
        <v>17650</v>
      </c>
      <c r="C15349" s="25">
        <v>109662.66</v>
      </c>
      <c r="D15349" s="22" t="s">
        <v>17651</v>
      </c>
      <c r="E15349" s="22" t="s">
        <v>103</v>
      </c>
      <c r="F15349" s="23" t="str">
        <f t="shared" si="807"/>
        <v>Оказание услуг по техническому обслуживанию систем видеонаблюдения</v>
      </c>
      <c r="G15349" s="22" t="s">
        <v>138</v>
      </c>
      <c r="H15349" s="22" t="s">
        <v>3599</v>
      </c>
      <c r="I15349" s="26">
        <v>43507</v>
      </c>
      <c r="J15349" s="23" t="str">
        <f>HYPERLINK("https://www.spark-marketing.ru/Card/Person/210916", "ООО ""ДВ-РЕГИОН""")</f>
        <v>ООО "ДВ-РЕГИОН"</v>
      </c>
      <c r="K15349" s="24" t="s">
        <v>2698</v>
      </c>
      <c r="L15349" s="28" t="s">
        <v>52</v>
      </c>
      <c r="M15349" s="25">
        <v>35451.68</v>
      </c>
      <c r="N15349" s="27">
        <v>0.67672059021730824</v>
      </c>
    </row>
    <row r="15350" spans="1:14" x14ac:dyDescent="0.15">
      <c r="A15350" s="23" t="str">
        <f>HYPERLINK("https://www.spark-marketing.ru/Card/Person/4343549", "СУ СК РОССИИ ПО Г. СЕВАСТОПОЛЮ")</f>
        <v>СУ СК РОССИИ ПО Г. СЕВАСТОПОЛЮ</v>
      </c>
      <c r="B15350" s="24" t="s">
        <v>15084</v>
      </c>
      <c r="C15350" s="25">
        <v>4692033</v>
      </c>
      <c r="D15350" s="22" t="s">
        <v>17652</v>
      </c>
      <c r="E15350" s="22" t="s">
        <v>68</v>
      </c>
      <c r="F15350" s="23" t="str">
        <f>HYPERLINK("https://www.spark-marketing.ru/Card/Lot/67858471", "услуги по обеспечению охраны объектов Заказчика")</f>
        <v>услуги по обеспечению охраны объектов Заказчика</v>
      </c>
      <c r="G15350" s="22" t="s">
        <v>714</v>
      </c>
      <c r="H15350" s="22" t="s">
        <v>714</v>
      </c>
      <c r="I15350" s="26">
        <v>43507</v>
      </c>
      <c r="J15350" s="23" t="str">
        <f>HYPERLINK("https://www.spark-marketing.ru/Card/Person/10569", "ФГУП ""СВЯЗЬ-БЕЗОПАСНОСТЬ""")</f>
        <v>ФГУП "СВЯЗЬ-БЕЗОПАСНОСТЬ"</v>
      </c>
      <c r="K15350" s="24" t="s">
        <v>17653</v>
      </c>
      <c r="L15350" s="22" t="s">
        <v>10</v>
      </c>
      <c r="M15350" s="28" t="s">
        <v>52</v>
      </c>
      <c r="N15350" s="28" t="s">
        <v>52</v>
      </c>
    </row>
    <row r="15351" spans="1:14" x14ac:dyDescent="0.2">
      <c r="A15351" s="23" t="str">
        <f>HYPERLINK("https://www.spark-marketing.ru/Card/Person/25654", "ГБУ СО ""СОЦИ""")</f>
        <v>ГБУ СО "СОЦИ"</v>
      </c>
      <c r="B15351" s="24" t="s">
        <v>3521</v>
      </c>
      <c r="C15351" s="25">
        <v>939534.5</v>
      </c>
      <c r="D15351" s="22" t="s">
        <v>17654</v>
      </c>
      <c r="E15351" s="22" t="s">
        <v>298</v>
      </c>
      <c r="F15351" s="23" t="str">
        <f>HYPERLINK("https://www.spark-marketing.ru/Card/Lot/67830695", "Техническое обслуживание системы видеоидентификации физических лиц на рубежах контроля Сахалинской области")</f>
        <v>Техническое обслуживание системы видеоидентификации физических лиц на рубежах контроля Сахалинской области</v>
      </c>
      <c r="G15351" s="22" t="s">
        <v>69</v>
      </c>
      <c r="H15351" s="22" t="s">
        <v>973</v>
      </c>
      <c r="I15351" s="26">
        <v>43507</v>
      </c>
      <c r="J15351" s="23" t="str">
        <f>HYPERLINK("https://www.spark-marketing.ru/Card/Person/51417", "ООО ""ЦРТ""")</f>
        <v>ООО "ЦРТ"</v>
      </c>
      <c r="K15351" s="24" t="s">
        <v>5412</v>
      </c>
      <c r="L15351" s="28" t="s">
        <v>52</v>
      </c>
      <c r="M15351" s="25">
        <v>939534.5</v>
      </c>
      <c r="N15351" s="27">
        <v>0</v>
      </c>
    </row>
    <row r="15352" spans="1:14" x14ac:dyDescent="0.15">
      <c r="A15352" s="23" t="s">
        <v>121</v>
      </c>
      <c r="B15352" s="28" t="s">
        <v>52</v>
      </c>
      <c r="C15352" s="25">
        <v>6402000</v>
      </c>
      <c r="D15352" s="22" t="s">
        <v>17655</v>
      </c>
      <c r="E15352" s="22" t="s">
        <v>52</v>
      </c>
      <c r="F15352" s="23" t="str">
        <f t="shared" ref="F15352:F15369" si="808">HYPERLINK("https://www.spark-marketing.ru/Card/Lot/67846999", "Оказание услуг охраны")</f>
        <v>Оказание услуг охраны</v>
      </c>
      <c r="G15352" s="22" t="s">
        <v>52</v>
      </c>
      <c r="H15352" s="22" t="s">
        <v>52</v>
      </c>
      <c r="I15352" s="26">
        <v>43507</v>
      </c>
      <c r="J15352" s="28" t="s">
        <v>52</v>
      </c>
      <c r="K15352" s="28" t="s">
        <v>52</v>
      </c>
      <c r="L15352" s="28" t="s">
        <v>52</v>
      </c>
      <c r="M15352" s="28" t="s">
        <v>52</v>
      </c>
      <c r="N15352" s="28" t="s">
        <v>52</v>
      </c>
    </row>
    <row r="15353" spans="1:14" hidden="1" outlineLevel="1" x14ac:dyDescent="0.15">
      <c r="A15353" s="23" t="str">
        <f>HYPERLINK("https://www.spark-marketing.ru/Card/Person/130504", "МКОУ СОШ П. АЗАНКА")</f>
        <v>МКОУ СОШ П. АЗАНКА</v>
      </c>
      <c r="B15353" s="24" t="s">
        <v>17656</v>
      </c>
      <c r="C15353" s="25">
        <v>640200</v>
      </c>
      <c r="D15353" s="22" t="s">
        <v>17655</v>
      </c>
      <c r="E15353" s="22" t="s">
        <v>52</v>
      </c>
      <c r="F15353" s="23" t="str">
        <f t="shared" si="808"/>
        <v>Оказание услуг охраны</v>
      </c>
      <c r="G15353" s="22" t="s">
        <v>72</v>
      </c>
      <c r="H15353" s="22" t="s">
        <v>17657</v>
      </c>
      <c r="I15353" s="26">
        <v>43507</v>
      </c>
      <c r="J15353" s="28" t="s">
        <v>52</v>
      </c>
      <c r="K15353" s="28" t="s">
        <v>52</v>
      </c>
      <c r="L15353" s="28" t="s">
        <v>52</v>
      </c>
      <c r="M15353" s="28" t="s">
        <v>52</v>
      </c>
      <c r="N15353" s="28" t="s">
        <v>52</v>
      </c>
    </row>
    <row r="15354" spans="1:14" hidden="1" outlineLevel="1" x14ac:dyDescent="0.15">
      <c r="A15354" s="23" t="str">
        <f>HYPERLINK("https://www.spark-marketing.ru/Card/Person/996649", "МКДОУ ДЕТСКИЙ САД № 6")</f>
        <v>МКДОУ ДЕТСКИЙ САД № 6</v>
      </c>
      <c r="B15354" s="24" t="s">
        <v>17658</v>
      </c>
      <c r="C15354" s="25">
        <v>640200</v>
      </c>
      <c r="D15354" s="22" t="s">
        <v>17655</v>
      </c>
      <c r="E15354" s="22" t="s">
        <v>52</v>
      </c>
      <c r="F15354" s="23" t="str">
        <f t="shared" si="808"/>
        <v>Оказание услуг охраны</v>
      </c>
      <c r="G15354" s="22" t="s">
        <v>72</v>
      </c>
      <c r="H15354" s="22" t="s">
        <v>15844</v>
      </c>
      <c r="I15354" s="26">
        <v>43507</v>
      </c>
      <c r="J15354" s="28" t="s">
        <v>52</v>
      </c>
      <c r="K15354" s="28" t="s">
        <v>52</v>
      </c>
      <c r="L15354" s="28" t="s">
        <v>52</v>
      </c>
      <c r="M15354" s="28" t="s">
        <v>52</v>
      </c>
      <c r="N15354" s="28" t="s">
        <v>52</v>
      </c>
    </row>
    <row r="15355" spans="1:14" hidden="1" outlineLevel="1" x14ac:dyDescent="0.15">
      <c r="A15355" s="23" t="str">
        <f>HYPERLINK("https://www.spark-marketing.ru/Card/Person/996948", "МКОУ ООШ № 14")</f>
        <v>МКОУ ООШ № 14</v>
      </c>
      <c r="B15355" s="24" t="s">
        <v>17659</v>
      </c>
      <c r="C15355" s="25">
        <v>640200</v>
      </c>
      <c r="D15355" s="22" t="s">
        <v>17655</v>
      </c>
      <c r="E15355" s="22" t="s">
        <v>52</v>
      </c>
      <c r="F15355" s="23" t="str">
        <f t="shared" si="808"/>
        <v>Оказание услуг охраны</v>
      </c>
      <c r="G15355" s="22" t="s">
        <v>72</v>
      </c>
      <c r="H15355" s="22" t="s">
        <v>15844</v>
      </c>
      <c r="I15355" s="26">
        <v>43507</v>
      </c>
      <c r="J15355" s="28" t="s">
        <v>52</v>
      </c>
      <c r="K15355" s="28" t="s">
        <v>52</v>
      </c>
      <c r="L15355" s="28" t="s">
        <v>52</v>
      </c>
      <c r="M15355" s="28" t="s">
        <v>52</v>
      </c>
      <c r="N15355" s="28" t="s">
        <v>52</v>
      </c>
    </row>
    <row r="15356" spans="1:14" hidden="1" outlineLevel="1" x14ac:dyDescent="0.15">
      <c r="A15356" s="23" t="str">
        <f>HYPERLINK("https://www.spark-marketing.ru/Card/Person/999687", "МКДОУ ДЕТСКИЙ САД № 25")</f>
        <v>МКДОУ ДЕТСКИЙ САД № 25</v>
      </c>
      <c r="B15356" s="24" t="s">
        <v>17660</v>
      </c>
      <c r="C15356" s="25">
        <v>640200</v>
      </c>
      <c r="D15356" s="22" t="s">
        <v>17655</v>
      </c>
      <c r="E15356" s="22" t="s">
        <v>52</v>
      </c>
      <c r="F15356" s="23" t="str">
        <f t="shared" si="808"/>
        <v>Оказание услуг охраны</v>
      </c>
      <c r="G15356" s="22" t="s">
        <v>72</v>
      </c>
      <c r="H15356" s="22" t="s">
        <v>15844</v>
      </c>
      <c r="I15356" s="26">
        <v>43507</v>
      </c>
      <c r="J15356" s="28" t="s">
        <v>52</v>
      </c>
      <c r="K15356" s="28" t="s">
        <v>52</v>
      </c>
      <c r="L15356" s="28" t="s">
        <v>52</v>
      </c>
      <c r="M15356" s="28" t="s">
        <v>52</v>
      </c>
      <c r="N15356" s="28" t="s">
        <v>52</v>
      </c>
    </row>
    <row r="15357" spans="1:14" hidden="1" outlineLevel="1" x14ac:dyDescent="0.15">
      <c r="A15357" s="23" t="str">
        <f>HYPERLINK("https://www.spark-marketing.ru/Card/Person/1002735", "МКОУ СОШ С. ГОРОДИЩЕ")</f>
        <v>МКОУ СОШ С. ГОРОДИЩЕ</v>
      </c>
      <c r="B15357" s="24" t="s">
        <v>17661</v>
      </c>
      <c r="C15357" s="25">
        <v>640200</v>
      </c>
      <c r="D15357" s="22" t="s">
        <v>17655</v>
      </c>
      <c r="E15357" s="22" t="s">
        <v>52</v>
      </c>
      <c r="F15357" s="23" t="str">
        <f t="shared" si="808"/>
        <v>Оказание услуг охраны</v>
      </c>
      <c r="G15357" s="22" t="s">
        <v>72</v>
      </c>
      <c r="H15357" s="22" t="s">
        <v>17657</v>
      </c>
      <c r="I15357" s="26">
        <v>43507</v>
      </c>
      <c r="J15357" s="28" t="s">
        <v>52</v>
      </c>
      <c r="K15357" s="28" t="s">
        <v>52</v>
      </c>
      <c r="L15357" s="28" t="s">
        <v>52</v>
      </c>
      <c r="M15357" s="28" t="s">
        <v>52</v>
      </c>
      <c r="N15357" s="28" t="s">
        <v>52</v>
      </c>
    </row>
    <row r="15358" spans="1:14" hidden="1" outlineLevel="1" x14ac:dyDescent="0.15">
      <c r="A15358" s="23" t="str">
        <f>HYPERLINK("https://www.spark-marketing.ru/Card/Person/1002915", "МКДОУ ДЕТСКИЙ САД № 11")</f>
        <v>МКДОУ ДЕТСКИЙ САД № 11</v>
      </c>
      <c r="B15358" s="24" t="s">
        <v>17662</v>
      </c>
      <c r="C15358" s="25">
        <v>640200</v>
      </c>
      <c r="D15358" s="22" t="s">
        <v>17655</v>
      </c>
      <c r="E15358" s="22" t="s">
        <v>52</v>
      </c>
      <c r="F15358" s="23" t="str">
        <f t="shared" si="808"/>
        <v>Оказание услуг охраны</v>
      </c>
      <c r="G15358" s="22" t="s">
        <v>72</v>
      </c>
      <c r="H15358" s="22" t="s">
        <v>15844</v>
      </c>
      <c r="I15358" s="26">
        <v>43507</v>
      </c>
      <c r="J15358" s="28" t="s">
        <v>52</v>
      </c>
      <c r="K15358" s="28" t="s">
        <v>52</v>
      </c>
      <c r="L15358" s="28" t="s">
        <v>52</v>
      </c>
      <c r="M15358" s="28" t="s">
        <v>52</v>
      </c>
      <c r="N15358" s="28" t="s">
        <v>52</v>
      </c>
    </row>
    <row r="15359" spans="1:14" hidden="1" outlineLevel="1" x14ac:dyDescent="0.15">
      <c r="A15359" s="23" t="str">
        <f>HYPERLINK("https://www.spark-marketing.ru/Card/Person/1003032", "МКДОУ ДЕТСКИЙ САД №14")</f>
        <v>МКДОУ ДЕТСКИЙ САД №14</v>
      </c>
      <c r="B15359" s="24" t="s">
        <v>17663</v>
      </c>
      <c r="C15359" s="25">
        <v>640200</v>
      </c>
      <c r="D15359" s="22" t="s">
        <v>17655</v>
      </c>
      <c r="E15359" s="22" t="s">
        <v>52</v>
      </c>
      <c r="F15359" s="23" t="str">
        <f t="shared" si="808"/>
        <v>Оказание услуг охраны</v>
      </c>
      <c r="G15359" s="22" t="s">
        <v>72</v>
      </c>
      <c r="H15359" s="22" t="s">
        <v>15844</v>
      </c>
      <c r="I15359" s="26">
        <v>43507</v>
      </c>
      <c r="J15359" s="28" t="s">
        <v>52</v>
      </c>
      <c r="K15359" s="28" t="s">
        <v>52</v>
      </c>
      <c r="L15359" s="28" t="s">
        <v>52</v>
      </c>
      <c r="M15359" s="28" t="s">
        <v>52</v>
      </c>
      <c r="N15359" s="28" t="s">
        <v>52</v>
      </c>
    </row>
    <row r="15360" spans="1:14" hidden="1" outlineLevel="1" x14ac:dyDescent="0.15">
      <c r="A15360" s="23" t="str">
        <f>HYPERLINK("https://www.spark-marketing.ru/Card/Person/1012312", "МКДОУ ДЕТСКИЙ САД № 3")</f>
        <v>МКДОУ ДЕТСКИЙ САД № 3</v>
      </c>
      <c r="B15360" s="24" t="s">
        <v>17664</v>
      </c>
      <c r="C15360" s="25">
        <v>640200</v>
      </c>
      <c r="D15360" s="22" t="s">
        <v>17655</v>
      </c>
      <c r="E15360" s="22" t="s">
        <v>52</v>
      </c>
      <c r="F15360" s="23" t="str">
        <f t="shared" si="808"/>
        <v>Оказание услуг охраны</v>
      </c>
      <c r="G15360" s="22" t="s">
        <v>72</v>
      </c>
      <c r="H15360" s="22" t="s">
        <v>15844</v>
      </c>
      <c r="I15360" s="26">
        <v>43507</v>
      </c>
      <c r="J15360" s="28" t="s">
        <v>52</v>
      </c>
      <c r="K15360" s="28" t="s">
        <v>52</v>
      </c>
      <c r="L15360" s="28" t="s">
        <v>52</v>
      </c>
      <c r="M15360" s="28" t="s">
        <v>52</v>
      </c>
      <c r="N15360" s="28" t="s">
        <v>52</v>
      </c>
    </row>
    <row r="15361" spans="1:14" hidden="1" outlineLevel="1" x14ac:dyDescent="0.15">
      <c r="A15361" s="23" t="str">
        <f>HYPERLINK("https://www.spark-marketing.ru/Card/Person/1012689", "МКДОУ ДЕТСКИЙ САД № 22")</f>
        <v>МКДОУ ДЕТСКИЙ САД № 22</v>
      </c>
      <c r="B15361" s="24" t="s">
        <v>17665</v>
      </c>
      <c r="C15361" s="25">
        <v>640200</v>
      </c>
      <c r="D15361" s="22" t="s">
        <v>17655</v>
      </c>
      <c r="E15361" s="22" t="s">
        <v>52</v>
      </c>
      <c r="F15361" s="23" t="str">
        <f t="shared" si="808"/>
        <v>Оказание услуг охраны</v>
      </c>
      <c r="G15361" s="22" t="s">
        <v>72</v>
      </c>
      <c r="H15361" s="22" t="s">
        <v>15844</v>
      </c>
      <c r="I15361" s="26">
        <v>43507</v>
      </c>
      <c r="J15361" s="28" t="s">
        <v>52</v>
      </c>
      <c r="K15361" s="28" t="s">
        <v>52</v>
      </c>
      <c r="L15361" s="28" t="s">
        <v>52</v>
      </c>
      <c r="M15361" s="28" t="s">
        <v>52</v>
      </c>
      <c r="N15361" s="28" t="s">
        <v>52</v>
      </c>
    </row>
    <row r="15362" spans="1:14" hidden="1" outlineLevel="1" x14ac:dyDescent="0.15">
      <c r="A15362" s="23" t="str">
        <f>HYPERLINK("https://www.spark-marketing.ru/Card/Person/1013816", "МКДОУ ДЕТСКИЙ САД № 12")</f>
        <v>МКДОУ ДЕТСКИЙ САД № 12</v>
      </c>
      <c r="B15362" s="24" t="s">
        <v>17666</v>
      </c>
      <c r="C15362" s="25">
        <v>640200</v>
      </c>
      <c r="D15362" s="22" t="s">
        <v>17655</v>
      </c>
      <c r="E15362" s="22" t="s">
        <v>52</v>
      </c>
      <c r="F15362" s="23" t="str">
        <f t="shared" si="808"/>
        <v>Оказание услуг охраны</v>
      </c>
      <c r="G15362" s="22" t="s">
        <v>72</v>
      </c>
      <c r="H15362" s="22" t="s">
        <v>15844</v>
      </c>
      <c r="I15362" s="26">
        <v>43507</v>
      </c>
      <c r="J15362" s="28" t="s">
        <v>52</v>
      </c>
      <c r="K15362" s="28" t="s">
        <v>52</v>
      </c>
      <c r="L15362" s="28" t="s">
        <v>52</v>
      </c>
      <c r="M15362" s="28" t="s">
        <v>52</v>
      </c>
      <c r="N15362" s="28" t="s">
        <v>52</v>
      </c>
    </row>
    <row r="15363" spans="1:14" hidden="1" outlineLevel="1" x14ac:dyDescent="0.2">
      <c r="A15363" s="28" t="s">
        <v>52</v>
      </c>
      <c r="B15363" s="28" t="s">
        <v>52</v>
      </c>
      <c r="C15363" s="28" t="s">
        <v>52</v>
      </c>
      <c r="D15363" s="22" t="s">
        <v>17655</v>
      </c>
      <c r="E15363" s="22" t="s">
        <v>52</v>
      </c>
      <c r="F15363" s="23" t="str">
        <f t="shared" si="808"/>
        <v>Оказание услуг охраны</v>
      </c>
      <c r="G15363" s="22" t="s">
        <v>52</v>
      </c>
      <c r="H15363" s="22" t="s">
        <v>52</v>
      </c>
      <c r="I15363" s="26">
        <v>43507</v>
      </c>
      <c r="J15363" s="23" t="str">
        <f>HYPERLINK("https://www.spark-marketing.ru/Card/Person/2508773", "ООО ЧОП ""СПЕЦОХРАНА""")</f>
        <v>ООО ЧОП "СПЕЦОХРАНА"</v>
      </c>
      <c r="K15363" s="24" t="s">
        <v>17667</v>
      </c>
      <c r="L15363" s="28" t="s">
        <v>52</v>
      </c>
      <c r="M15363" s="25">
        <v>3772065.98</v>
      </c>
      <c r="N15363" s="27">
        <v>0.41079881599500156</v>
      </c>
    </row>
    <row r="15364" spans="1:14" hidden="1" outlineLevel="1" x14ac:dyDescent="0.2">
      <c r="A15364" s="28" t="s">
        <v>52</v>
      </c>
      <c r="B15364" s="28" t="s">
        <v>52</v>
      </c>
      <c r="C15364" s="28" t="s">
        <v>52</v>
      </c>
      <c r="D15364" s="22" t="s">
        <v>17655</v>
      </c>
      <c r="E15364" s="22" t="s">
        <v>52</v>
      </c>
      <c r="F15364" s="23" t="str">
        <f t="shared" si="808"/>
        <v>Оказание услуг охраны</v>
      </c>
      <c r="G15364" s="22" t="s">
        <v>52</v>
      </c>
      <c r="H15364" s="22" t="s">
        <v>52</v>
      </c>
      <c r="I15364" s="26">
        <v>43507</v>
      </c>
      <c r="J15364" s="23" t="str">
        <f>HYPERLINK("https://www.spark-marketing.ru/Card/Person/994686", "ООО ЧОП ""БУЛАТ""")</f>
        <v>ООО ЧОП "БУЛАТ"</v>
      </c>
      <c r="K15364" s="24" t="s">
        <v>17668</v>
      </c>
      <c r="L15364" s="28" t="s">
        <v>52</v>
      </c>
      <c r="M15364" s="25">
        <v>3804075.98</v>
      </c>
      <c r="N15364" s="27">
        <v>0.40579881599500156</v>
      </c>
    </row>
    <row r="15365" spans="1:14" hidden="1" outlineLevel="1" x14ac:dyDescent="0.2">
      <c r="A15365" s="28" t="s">
        <v>52</v>
      </c>
      <c r="B15365" s="28" t="s">
        <v>52</v>
      </c>
      <c r="C15365" s="28" t="s">
        <v>52</v>
      </c>
      <c r="D15365" s="22" t="s">
        <v>17655</v>
      </c>
      <c r="E15365" s="22" t="s">
        <v>52</v>
      </c>
      <c r="F15365" s="23" t="str">
        <f t="shared" si="808"/>
        <v>Оказание услуг охраны</v>
      </c>
      <c r="G15365" s="22" t="s">
        <v>52</v>
      </c>
      <c r="H15365" s="22" t="s">
        <v>52</v>
      </c>
      <c r="I15365" s="26">
        <v>43507</v>
      </c>
      <c r="J15365" s="23" t="str">
        <f>HYPERLINK("https://www.spark-marketing.ru/Card/Person/1484274", "ООО ЧОП ""ФАНТОН""")</f>
        <v>ООО ЧОП "ФАНТОН"</v>
      </c>
      <c r="K15365" s="24" t="s">
        <v>2921</v>
      </c>
      <c r="L15365" s="28" t="s">
        <v>52</v>
      </c>
      <c r="M15365" s="25">
        <v>3869800.65</v>
      </c>
      <c r="N15365" s="27">
        <v>0.39553254451733832</v>
      </c>
    </row>
    <row r="15366" spans="1:14" hidden="1" outlineLevel="1" x14ac:dyDescent="0.2">
      <c r="A15366" s="28" t="s">
        <v>52</v>
      </c>
      <c r="B15366" s="28" t="s">
        <v>52</v>
      </c>
      <c r="C15366" s="28" t="s">
        <v>52</v>
      </c>
      <c r="D15366" s="22" t="s">
        <v>17655</v>
      </c>
      <c r="E15366" s="22" t="s">
        <v>52</v>
      </c>
      <c r="F15366" s="23" t="str">
        <f t="shared" si="808"/>
        <v>Оказание услуг охраны</v>
      </c>
      <c r="G15366" s="22" t="s">
        <v>52</v>
      </c>
      <c r="H15366" s="22" t="s">
        <v>52</v>
      </c>
      <c r="I15366" s="26">
        <v>43507</v>
      </c>
      <c r="J15366" s="23" t="str">
        <f>HYPERLINK("https://www.spark-marketing.ru/Card/Person/2572251", "ООО ЧОО ""ГЕРИОН""")</f>
        <v>ООО ЧОО "ГЕРИОН"</v>
      </c>
      <c r="K15366" s="24" t="s">
        <v>17669</v>
      </c>
      <c r="L15366" s="28" t="s">
        <v>52</v>
      </c>
      <c r="M15366" s="25">
        <v>4189900.65</v>
      </c>
      <c r="N15366" s="27">
        <v>0.34553254451733834</v>
      </c>
    </row>
    <row r="15367" spans="1:14" hidden="1" outlineLevel="1" x14ac:dyDescent="0.2">
      <c r="A15367" s="28" t="s">
        <v>52</v>
      </c>
      <c r="B15367" s="28" t="s">
        <v>52</v>
      </c>
      <c r="C15367" s="28" t="s">
        <v>52</v>
      </c>
      <c r="D15367" s="22" t="s">
        <v>17655</v>
      </c>
      <c r="E15367" s="22" t="s">
        <v>52</v>
      </c>
      <c r="F15367" s="23" t="str">
        <f t="shared" si="808"/>
        <v>Оказание услуг охраны</v>
      </c>
      <c r="G15367" s="22" t="s">
        <v>52</v>
      </c>
      <c r="H15367" s="22" t="s">
        <v>52</v>
      </c>
      <c r="I15367" s="26">
        <v>43507</v>
      </c>
      <c r="J15367" s="23" t="str">
        <f>HYPERLINK("https://www.spark-marketing.ru/Card/Person/804344", "ООО ""ЧОП ""ЛИНКОР""")</f>
        <v>ООО "ЧОП "ЛИНКОР"</v>
      </c>
      <c r="K15367" s="24" t="s">
        <v>9514</v>
      </c>
      <c r="L15367" s="22" t="s">
        <v>10</v>
      </c>
      <c r="M15367" s="25">
        <v>4510000.6500000004</v>
      </c>
      <c r="N15367" s="27">
        <v>0.29553254451733835</v>
      </c>
    </row>
    <row r="15368" spans="1:14" hidden="1" outlineLevel="1" x14ac:dyDescent="0.2">
      <c r="A15368" s="28" t="s">
        <v>52</v>
      </c>
      <c r="B15368" s="28" t="s">
        <v>52</v>
      </c>
      <c r="C15368" s="28" t="s">
        <v>52</v>
      </c>
      <c r="D15368" s="22" t="s">
        <v>17655</v>
      </c>
      <c r="E15368" s="22" t="s">
        <v>52</v>
      </c>
      <c r="F15368" s="23" t="str">
        <f t="shared" si="808"/>
        <v>Оказание услуг охраны</v>
      </c>
      <c r="G15368" s="22" t="s">
        <v>52</v>
      </c>
      <c r="H15368" s="22" t="s">
        <v>52</v>
      </c>
      <c r="I15368" s="26">
        <v>43507</v>
      </c>
      <c r="J15368" s="23" t="str">
        <f>HYPERLINK("https://www.spark-marketing.ru/Card/Person/6496160", "ООО ЧОО ""АБСОЛЮТНАЯ БЕЗОПАСНОСТЬ""")</f>
        <v>ООО ЧОО "АБСОЛЮТНАЯ БЕЗОПАСНОСТЬ"</v>
      </c>
      <c r="K15368" s="24" t="s">
        <v>17670</v>
      </c>
      <c r="L15368" s="28" t="s">
        <v>52</v>
      </c>
      <c r="M15368" s="25">
        <v>6273960</v>
      </c>
      <c r="N15368" s="27">
        <v>0.02</v>
      </c>
    </row>
    <row r="15369" spans="1:14" hidden="1" outlineLevel="1" x14ac:dyDescent="0.2">
      <c r="A15369" s="28" t="s">
        <v>52</v>
      </c>
      <c r="B15369" s="28" t="s">
        <v>52</v>
      </c>
      <c r="C15369" s="28" t="s">
        <v>52</v>
      </c>
      <c r="D15369" s="22" t="s">
        <v>17655</v>
      </c>
      <c r="E15369" s="22" t="s">
        <v>52</v>
      </c>
      <c r="F15369" s="23" t="str">
        <f t="shared" si="808"/>
        <v>Оказание услуг охраны</v>
      </c>
      <c r="G15369" s="22" t="s">
        <v>52</v>
      </c>
      <c r="H15369" s="22" t="s">
        <v>52</v>
      </c>
      <c r="I15369" s="26">
        <v>43507</v>
      </c>
      <c r="J15369" s="23" t="str">
        <f>HYPERLINK("https://www.spark-marketing.ru/Card/Person/797603", "ООО ЧОО ""АСГАРД- УРАЛ""")</f>
        <v>ООО ЧОО "АСГАРД- УРАЛ"</v>
      </c>
      <c r="K15369" s="24" t="s">
        <v>11742</v>
      </c>
      <c r="L15369" s="28" t="s">
        <v>52</v>
      </c>
      <c r="M15369" s="25">
        <v>5502310.6500000004</v>
      </c>
      <c r="N15369" s="27">
        <v>0.14053254451733832</v>
      </c>
    </row>
    <row r="15370" spans="1:14" x14ac:dyDescent="0.15">
      <c r="A15370" s="23" t="str">
        <f>HYPERLINK("https://www.spark-marketing.ru/Card/Person/7820", "МТУ РОСИМУЩЕСТВА В РЕСПУБЛИКЕ МОРДОВИЯ, РЕСПУБЛИКЕ МАРИЙ ЭЛ, ЧУВАШСКОЙ РЕСПУБЛИКЕ И ПЕНЗЕНСКОЙ ОБЛАСТИ")</f>
        <v>МТУ РОСИМУЩЕСТВА В РЕСПУБЛИКЕ МОРДОВИЯ, РЕСПУБЛИКЕ МАРИЙ ЭЛ, ЧУВАШСКОЙ РЕСПУБЛИКЕ И ПЕНЗЕНСКОЙ ОБЛАСТИ</v>
      </c>
      <c r="B15370" s="24" t="s">
        <v>17671</v>
      </c>
      <c r="C15370" s="25">
        <v>50670.6</v>
      </c>
      <c r="D15370" s="22" t="s">
        <v>17672</v>
      </c>
      <c r="E15370" s="22" t="s">
        <v>68</v>
      </c>
      <c r="F15370" s="23" t="str">
        <f>HYPERLINK("https://www.spark-marketing.ru/Card/Lot/67835455", "Централизованная охрана объекта (Республика Марий Эл)")</f>
        <v>Централизованная охрана объекта (Республика Марий Эл)</v>
      </c>
      <c r="G15370" s="22" t="s">
        <v>2514</v>
      </c>
      <c r="H15370" s="22" t="s">
        <v>2514</v>
      </c>
      <c r="I15370" s="26">
        <v>43507</v>
      </c>
      <c r="J15370" s="28" t="s">
        <v>52</v>
      </c>
      <c r="K15370" s="28" t="s">
        <v>52</v>
      </c>
      <c r="L15370" s="28" t="s">
        <v>52</v>
      </c>
      <c r="M15370" s="28" t="s">
        <v>52</v>
      </c>
      <c r="N15370" s="28" t="s">
        <v>52</v>
      </c>
    </row>
    <row r="15371" spans="1:14" x14ac:dyDescent="0.15">
      <c r="A15371" s="23" t="str">
        <f>HYPERLINK("https://www.spark-marketing.ru/Card/Person/30759", "ПАО ""МТС""")</f>
        <v>ПАО "МТС"</v>
      </c>
      <c r="B15371" s="24" t="s">
        <v>1834</v>
      </c>
      <c r="C15371" s="28" t="s">
        <v>52</v>
      </c>
      <c r="D15371" s="28" t="s">
        <v>52</v>
      </c>
      <c r="E15371" s="22" t="s">
        <v>53</v>
      </c>
      <c r="F15371" s="23" t="str">
        <f>HYPERLINK("https://www.spark-marketing.ru/Card/Lot/67831416", "Уведомление о результатах открытого запроса предложений на оказания услуг физической охраны объектов АО РТК по СЗФО и ПФО. (Торги № 89130)")</f>
        <v>Уведомление о результатах открытого запроса предложений на оказания услуг физической охраны объектов АО РТК по СЗФО и ПФО. (Торги № 89130)</v>
      </c>
      <c r="G15371" s="22" t="s">
        <v>55</v>
      </c>
      <c r="H15371" s="22" t="s">
        <v>55</v>
      </c>
      <c r="I15371" s="26">
        <v>43507</v>
      </c>
      <c r="J15371" s="28" t="s">
        <v>52</v>
      </c>
      <c r="K15371" s="28" t="s">
        <v>52</v>
      </c>
      <c r="L15371" s="28" t="s">
        <v>52</v>
      </c>
      <c r="M15371" s="28" t="s">
        <v>52</v>
      </c>
      <c r="N15371" s="28" t="s">
        <v>52</v>
      </c>
    </row>
    <row r="15372" spans="1:14" x14ac:dyDescent="0.15">
      <c r="A15372" s="23" t="str">
        <f>HYPERLINK("https://www.spark-marketing.ru/Card/Person/4356612", "ГОБПОУ ""ЧАПЛЫГИНСКИЙ АГРАРНЫЙ КОЛЛЕДЖ""")</f>
        <v>ГОБПОУ "ЧАПЛЫГИНСКИЙ АГРАРНЫЙ КОЛЛЕДЖ"</v>
      </c>
      <c r="B15372" s="24" t="s">
        <v>17673</v>
      </c>
      <c r="C15372" s="25">
        <v>456768</v>
      </c>
      <c r="D15372" s="22" t="s">
        <v>17674</v>
      </c>
      <c r="E15372" s="22" t="s">
        <v>52</v>
      </c>
      <c r="F15372" s="23" t="str">
        <f>HYPERLINK("https://www.spark-marketing.ru/Card/Lot/67833954", "Услуги охраны")</f>
        <v>Услуги охраны</v>
      </c>
      <c r="G15372" s="22" t="s">
        <v>629</v>
      </c>
      <c r="H15372" s="22" t="s">
        <v>629</v>
      </c>
      <c r="I15372" s="26">
        <v>43507</v>
      </c>
      <c r="J15372" s="28" t="s">
        <v>52</v>
      </c>
      <c r="K15372" s="28" t="s">
        <v>52</v>
      </c>
      <c r="L15372" s="28" t="s">
        <v>52</v>
      </c>
      <c r="M15372" s="28" t="s">
        <v>52</v>
      </c>
      <c r="N15372" s="28" t="s">
        <v>52</v>
      </c>
    </row>
    <row r="15373" spans="1:14" ht="12.75" hidden="1" outlineLevel="1" x14ac:dyDescent="0.2">
      <c r="A15373" s="23" t="str">
        <f>HYPERLINK("https://www.spark-marketing.ru/Card/Person/4356612", "ГОБПОУ ""ЧАПЛЫГИНСКИЙ АГРАРНЫЙ КОЛЛЕДЖ""")</f>
        <v>ГОБПОУ "ЧАПЛЫГИНСКИЙ АГРАРНЫЙ КОЛЛЕДЖ"</v>
      </c>
      <c r="B15373" s="24" t="s">
        <v>17673</v>
      </c>
      <c r="C15373" s="25">
        <v>456768</v>
      </c>
      <c r="D15373" s="22" t="s">
        <v>17674</v>
      </c>
      <c r="E15373" s="22" t="s">
        <v>52</v>
      </c>
      <c r="F15373" s="23" t="str">
        <f>HYPERLINK("https://www.spark-marketing.ru/Card/Lot/67833954", "Услуги охраны")</f>
        <v>Услуги охраны</v>
      </c>
      <c r="G15373" s="22" t="s">
        <v>629</v>
      </c>
      <c r="H15373" s="22" t="s">
        <v>629</v>
      </c>
      <c r="I15373" s="26">
        <v>43507</v>
      </c>
      <c r="J15373" s="23" t="str">
        <f>HYPERLINK("https://www.spark-marketing.ru/Card/Person/422204", "ООО ""ЧОП ""РУССКИЙ МЕДВЕДЬ М""")</f>
        <v>ООО "ЧОП "РУССКИЙ МЕДВЕДЬ М"</v>
      </c>
      <c r="K15373" s="24" t="s">
        <v>15411</v>
      </c>
      <c r="L15373" s="22" t="s">
        <v>10</v>
      </c>
      <c r="M15373" s="25">
        <v>397388.16</v>
      </c>
      <c r="N15373" s="27">
        <v>0.13</v>
      </c>
    </row>
    <row r="15374" spans="1:14" hidden="1" outlineLevel="1" x14ac:dyDescent="0.2">
      <c r="A15374" s="23" t="str">
        <f>HYPERLINK("https://www.spark-marketing.ru/Card/Person/4356612", "ГОБПОУ ""ЧАПЛЫГИНСКИЙ АГРАРНЫЙ КОЛЛЕДЖ""")</f>
        <v>ГОБПОУ "ЧАПЛЫГИНСКИЙ АГРАРНЫЙ КОЛЛЕДЖ"</v>
      </c>
      <c r="B15374" s="24" t="s">
        <v>17673</v>
      </c>
      <c r="C15374" s="25">
        <v>456768</v>
      </c>
      <c r="D15374" s="22" t="s">
        <v>17674</v>
      </c>
      <c r="E15374" s="22" t="s">
        <v>52</v>
      </c>
      <c r="F15374" s="23" t="str">
        <f>HYPERLINK("https://www.spark-marketing.ru/Card/Lot/67833954", "Услуги охраны")</f>
        <v>Услуги охраны</v>
      </c>
      <c r="G15374" s="22" t="s">
        <v>629</v>
      </c>
      <c r="H15374" s="22" t="s">
        <v>629</v>
      </c>
      <c r="I15374" s="26">
        <v>43507</v>
      </c>
      <c r="J15374" s="23" t="str">
        <f>HYPERLINK("https://www.spark-marketing.ru/Card/Person/703718", "ООО ""ОА ""БАРС""")</f>
        <v>ООО "ОА "БАРС"</v>
      </c>
      <c r="K15374" s="24" t="s">
        <v>17675</v>
      </c>
      <c r="L15374" s="28" t="s">
        <v>52</v>
      </c>
      <c r="M15374" s="25">
        <v>408807.36</v>
      </c>
      <c r="N15374" s="27">
        <v>0.105</v>
      </c>
    </row>
    <row r="15375" spans="1:14" hidden="1" outlineLevel="1" x14ac:dyDescent="0.2">
      <c r="A15375" s="23" t="str">
        <f>HYPERLINK("https://www.spark-marketing.ru/Card/Person/4356612", "ГОБПОУ ""ЧАПЛЫГИНСКИЙ АГРАРНЫЙ КОЛЛЕДЖ""")</f>
        <v>ГОБПОУ "ЧАПЛЫГИНСКИЙ АГРАРНЫЙ КОЛЛЕДЖ"</v>
      </c>
      <c r="B15375" s="24" t="s">
        <v>17673</v>
      </c>
      <c r="C15375" s="25">
        <v>456768</v>
      </c>
      <c r="D15375" s="22" t="s">
        <v>17674</v>
      </c>
      <c r="E15375" s="22" t="s">
        <v>52</v>
      </c>
      <c r="F15375" s="23" t="str">
        <f>HYPERLINK("https://www.spark-marketing.ru/Card/Lot/67833954", "Услуги охраны")</f>
        <v>Услуги охраны</v>
      </c>
      <c r="G15375" s="22" t="s">
        <v>629</v>
      </c>
      <c r="H15375" s="22" t="s">
        <v>629</v>
      </c>
      <c r="I15375" s="26">
        <v>43507</v>
      </c>
      <c r="J15375" s="23" t="str">
        <f>HYPERLINK("https://www.spark-marketing.ru/Card/Person/2584872", "ООО ""ЧОО ""БУЛАТ 48""")</f>
        <v>ООО "ЧОО "БУЛАТ 48"</v>
      </c>
      <c r="K15375" s="24" t="s">
        <v>1604</v>
      </c>
      <c r="L15375" s="28" t="s">
        <v>52</v>
      </c>
      <c r="M15375" s="25">
        <v>399672</v>
      </c>
      <c r="N15375" s="27">
        <v>0.125</v>
      </c>
    </row>
    <row r="15376" spans="1:14" x14ac:dyDescent="0.15">
      <c r="A15376" s="23" t="str">
        <f>HYPERLINK("https://www.spark-marketing.ru/Card/Person/33454", "МЕЖРАЙОННАЯ ИФНС РОССИИ № 5 ПО ПЕРМСКОМУ КРАЮ")</f>
        <v>МЕЖРАЙОННАЯ ИФНС РОССИИ № 5 ПО ПЕРМСКОМУ КРАЮ</v>
      </c>
      <c r="B15376" s="24" t="s">
        <v>17676</v>
      </c>
      <c r="C15376" s="25">
        <v>282518.09999999998</v>
      </c>
      <c r="D15376" s="22" t="s">
        <v>17677</v>
      </c>
      <c r="E15376" s="22" t="s">
        <v>183</v>
      </c>
      <c r="F15376" s="23" t="str">
        <f>HYPERLINK("https://www.spark-marketing.ru/Card/Lot/67830939", "Техническое обслуживание комплекса технических средств охраны")</f>
        <v>Техническое обслуживание комплекса технических средств охраны</v>
      </c>
      <c r="G15376" s="22" t="s">
        <v>391</v>
      </c>
      <c r="H15376" s="22" t="s">
        <v>17678</v>
      </c>
      <c r="I15376" s="26">
        <v>43507</v>
      </c>
      <c r="J15376" s="28" t="s">
        <v>52</v>
      </c>
      <c r="K15376" s="28" t="s">
        <v>52</v>
      </c>
      <c r="L15376" s="28" t="s">
        <v>52</v>
      </c>
      <c r="M15376" s="28" t="s">
        <v>52</v>
      </c>
      <c r="N15376" s="28" t="s">
        <v>52</v>
      </c>
    </row>
    <row r="15377" spans="1:14" ht="12.75" hidden="1" outlineLevel="1" x14ac:dyDescent="0.2">
      <c r="A15377" s="23" t="str">
        <f>HYPERLINK("https://www.spark-marketing.ru/Card/Person/33454", "МЕЖРАЙОННАЯ ИФНС РОССИИ № 5 ПО ПЕРМСКОМУ КРАЮ")</f>
        <v>МЕЖРАЙОННАЯ ИФНС РОССИИ № 5 ПО ПЕРМСКОМУ КРАЮ</v>
      </c>
      <c r="B15377" s="24" t="s">
        <v>17676</v>
      </c>
      <c r="C15377" s="25">
        <v>282518.09999999998</v>
      </c>
      <c r="D15377" s="22" t="s">
        <v>17677</v>
      </c>
      <c r="E15377" s="22" t="s">
        <v>183</v>
      </c>
      <c r="F15377" s="23" t="str">
        <f>HYPERLINK("https://www.spark-marketing.ru/Card/Lot/67830939", "Техническое обслуживание комплекса технических средств охраны")</f>
        <v>Техническое обслуживание комплекса технических средств охраны</v>
      </c>
      <c r="G15377" s="22" t="s">
        <v>391</v>
      </c>
      <c r="H15377" s="22" t="s">
        <v>17678</v>
      </c>
      <c r="I15377" s="26">
        <v>43507</v>
      </c>
      <c r="J15377" s="23" t="str">
        <f>HYPERLINK("https://www.spark-marketing.ru/Card/Person/6457545", "КУНГУРСКОЕ ОТДЕЛЕНИЕ ПРО ВДПО")</f>
        <v>КУНГУРСКОЕ ОТДЕЛЕНИЕ ПРО ВДПО</v>
      </c>
      <c r="K15377" s="24" t="s">
        <v>17679</v>
      </c>
      <c r="L15377" s="22" t="s">
        <v>10</v>
      </c>
      <c r="M15377" s="25">
        <v>98587.41</v>
      </c>
      <c r="N15377" s="27">
        <v>0.65104037582016872</v>
      </c>
    </row>
    <row r="15378" spans="1:14" hidden="1" outlineLevel="1" x14ac:dyDescent="0.2">
      <c r="A15378" s="23" t="str">
        <f>HYPERLINK("https://www.spark-marketing.ru/Card/Person/33454", "МЕЖРАЙОННАЯ ИФНС РОССИИ № 5 ПО ПЕРМСКОМУ КРАЮ")</f>
        <v>МЕЖРАЙОННАЯ ИФНС РОССИИ № 5 ПО ПЕРМСКОМУ КРАЮ</v>
      </c>
      <c r="B15378" s="24" t="s">
        <v>17676</v>
      </c>
      <c r="C15378" s="25">
        <v>282518.09999999998</v>
      </c>
      <c r="D15378" s="22" t="s">
        <v>17677</v>
      </c>
      <c r="E15378" s="22" t="s">
        <v>183</v>
      </c>
      <c r="F15378" s="23" t="str">
        <f>HYPERLINK("https://www.spark-marketing.ru/Card/Lot/67830939", "Техническое обслуживание комплекса технических средств охраны")</f>
        <v>Техническое обслуживание комплекса технических средств охраны</v>
      </c>
      <c r="G15378" s="22" t="s">
        <v>391</v>
      </c>
      <c r="H15378" s="22" t="s">
        <v>17678</v>
      </c>
      <c r="I15378" s="26">
        <v>43507</v>
      </c>
      <c r="J15378" s="23" t="str">
        <f>HYPERLINK("https://www.spark-marketing.ru/Card/Person/358451", "ООО ""ЦЭТ""")</f>
        <v>ООО "ЦЭТ"</v>
      </c>
      <c r="K15378" s="24" t="s">
        <v>2116</v>
      </c>
      <c r="L15378" s="28" t="s">
        <v>52</v>
      </c>
      <c r="M15378" s="25">
        <v>100000</v>
      </c>
      <c r="N15378" s="27">
        <v>0.6460403775899668</v>
      </c>
    </row>
    <row r="15379" spans="1:14" x14ac:dyDescent="0.15">
      <c r="A15379" s="23" t="str">
        <f>HYPERLINK("https://www.spark-marketing.ru/Card/Person/4346740", "ГСУ СК РОССИИ ПО МОСКОВСКОЙ ОБЛАСТИ")</f>
        <v>ГСУ СК РОССИИ ПО МОСКОВСКОЙ ОБЛАСТИ</v>
      </c>
      <c r="B15379" s="24" t="s">
        <v>16905</v>
      </c>
      <c r="C15379" s="25">
        <v>1046469.6</v>
      </c>
      <c r="D15379" s="22" t="s">
        <v>17680</v>
      </c>
      <c r="E15379" s="22" t="s">
        <v>68</v>
      </c>
      <c r="F15379" s="23" t="str">
        <f>HYPERLINK("https://www.spark-marketing.ru/Card/Lot/67851044", "Оказание услуг по  охране объектов и имущества от противоправных посягательств; обеспечению на охраняемом объекте пропускного режима; предупреждению и пресечению преступлений и административных правонарушений на охраняемом объекте Главного следственн...")</f>
        <v>Оказание услуг по  охране объектов и имущества от противоправных посягательств; обеспечению на охраняемом объекте пропускного режима; предупреждению и пресечению преступлений и административных правонарушений на охраняемом объекте Главного следственн...</v>
      </c>
      <c r="G15379" s="22" t="s">
        <v>50</v>
      </c>
      <c r="H15379" s="22" t="s">
        <v>50</v>
      </c>
      <c r="I15379" s="26">
        <v>43507</v>
      </c>
      <c r="J15379" s="28" t="s">
        <v>52</v>
      </c>
      <c r="K15379" s="28" t="s">
        <v>52</v>
      </c>
      <c r="L15379" s="28" t="s">
        <v>52</v>
      </c>
      <c r="M15379" s="28" t="s">
        <v>52</v>
      </c>
      <c r="N15379" s="28" t="s">
        <v>52</v>
      </c>
    </row>
    <row r="15380" spans="1:14" x14ac:dyDescent="0.15">
      <c r="A15380" s="23" t="str">
        <f>HYPERLINK("https://www.spark-marketing.ru/Card/Person/103251", "ГМИК ИМ. К.Э. ЦИОЛКОВСКОГО")</f>
        <v>ГМИК ИМ. К.Э. ЦИОЛКОВСКОГО</v>
      </c>
      <c r="B15380" s="24" t="s">
        <v>17681</v>
      </c>
      <c r="C15380" s="25">
        <v>2171816.64</v>
      </c>
      <c r="D15380" s="22" t="s">
        <v>17682</v>
      </c>
      <c r="E15380" s="22" t="s">
        <v>68</v>
      </c>
      <c r="F15380" s="23" t="str">
        <f>HYPERLINK("https://www.spark-marketing.ru/Card/Lot/67831568", "Услуги по охране, обеспечению пропускного и внутриобъектового режимов")</f>
        <v>Услуги по охране, обеспечению пропускного и внутриобъектового режимов</v>
      </c>
      <c r="G15380" s="22" t="s">
        <v>658</v>
      </c>
      <c r="H15380" s="22" t="s">
        <v>741</v>
      </c>
      <c r="I15380" s="26">
        <v>43507</v>
      </c>
      <c r="J15380" s="23" t="str">
        <f>HYPERLINK("https://www.spark-marketing.ru/Card/Person/10487", "ФГУП ""ОХРАНА"" РОСГВАРДИИ")</f>
        <v>ФГУП "ОХРАНА" РОСГВАРДИИ</v>
      </c>
      <c r="K15380" s="24" t="s">
        <v>779</v>
      </c>
      <c r="L15380" s="22" t="s">
        <v>10</v>
      </c>
      <c r="M15380" s="28" t="s">
        <v>52</v>
      </c>
      <c r="N15380" s="28" t="s">
        <v>52</v>
      </c>
    </row>
    <row r="15381" spans="1:14" x14ac:dyDescent="0.15">
      <c r="A15381" s="23" t="str">
        <f>HYPERLINK("https://www.spark-marketing.ru/Card/Person/996799", "МДОУ НОВОМАЛЫКЛИНСКИЙ ДЕТСКИЙ САД ""СКАЗКА""")</f>
        <v>МДОУ НОВОМАЛЫКЛИНСКИЙ ДЕТСКИЙ САД "СКАЗКА"</v>
      </c>
      <c r="B15381" s="24" t="s">
        <v>17683</v>
      </c>
      <c r="C15381" s="25">
        <v>16200</v>
      </c>
      <c r="D15381" s="22" t="s">
        <v>17684</v>
      </c>
      <c r="E15381" s="22" t="s">
        <v>68</v>
      </c>
      <c r="F15381" s="23" t="str">
        <f>HYPERLINK("https://www.spark-marketing.ru/Card/Lot/67846897",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381" s="22" t="s">
        <v>446</v>
      </c>
      <c r="H15381" s="22" t="s">
        <v>16876</v>
      </c>
      <c r="I15381" s="26">
        <v>43507</v>
      </c>
      <c r="J15381" s="28" t="s">
        <v>52</v>
      </c>
      <c r="K15381" s="28" t="s">
        <v>52</v>
      </c>
      <c r="L15381" s="28" t="s">
        <v>52</v>
      </c>
      <c r="M15381" s="28" t="s">
        <v>52</v>
      </c>
      <c r="N15381" s="28" t="s">
        <v>52</v>
      </c>
    </row>
    <row r="15382" spans="1:14" hidden="1" outlineLevel="1" x14ac:dyDescent="0.2">
      <c r="A15382" s="23" t="str">
        <f>HYPERLINK("https://www.spark-marketing.ru/Card/Person/996799", "МДОУ НОВОМАЛЫКЛИНСКИЙ ДЕТСКИЙ САД ""СКАЗКА""")</f>
        <v>МДОУ НОВОМАЛЫКЛИНСКИЙ ДЕТСКИЙ САД "СКАЗКА"</v>
      </c>
      <c r="B15382" s="24" t="s">
        <v>17683</v>
      </c>
      <c r="C15382" s="25">
        <v>16200</v>
      </c>
      <c r="D15382" s="22" t="s">
        <v>17684</v>
      </c>
      <c r="E15382" s="22" t="s">
        <v>68</v>
      </c>
      <c r="F15382" s="23" t="str">
        <f>HYPERLINK("https://www.spark-marketing.ru/Card/Lot/67846897",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382" s="22" t="s">
        <v>446</v>
      </c>
      <c r="H15382" s="22" t="s">
        <v>16876</v>
      </c>
      <c r="I15382" s="26">
        <v>43507</v>
      </c>
      <c r="J15382" s="23" t="str">
        <f>HYPERLINK("https://www.spark-marketing.ru/Card/Person/124094", "ООО ЧОО ""РЕДУТ+""")</f>
        <v>ООО ЧОО "РЕДУТ+"</v>
      </c>
      <c r="K15382" s="24" t="s">
        <v>16877</v>
      </c>
      <c r="L15382" s="28" t="s">
        <v>52</v>
      </c>
      <c r="M15382" s="25">
        <v>3000</v>
      </c>
      <c r="N15382" s="27">
        <v>0.81481481481481477</v>
      </c>
    </row>
    <row r="15383" spans="1:14" hidden="1" outlineLevel="1" x14ac:dyDescent="0.2">
      <c r="A15383" s="23" t="str">
        <f>HYPERLINK("https://www.spark-marketing.ru/Card/Person/996799", "МДОУ НОВОМАЛЫКЛИНСКИЙ ДЕТСКИЙ САД ""СКАЗКА""")</f>
        <v>МДОУ НОВОМАЛЫКЛИНСКИЙ ДЕТСКИЙ САД "СКАЗКА"</v>
      </c>
      <c r="B15383" s="24" t="s">
        <v>17683</v>
      </c>
      <c r="C15383" s="25">
        <v>16200</v>
      </c>
      <c r="D15383" s="22" t="s">
        <v>17684</v>
      </c>
      <c r="E15383" s="22" t="s">
        <v>68</v>
      </c>
      <c r="F15383" s="23" t="str">
        <f>HYPERLINK("https://www.spark-marketing.ru/Card/Lot/67846897",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383" s="22" t="s">
        <v>446</v>
      </c>
      <c r="H15383" s="22" t="s">
        <v>16876</v>
      </c>
      <c r="I15383" s="26">
        <v>43507</v>
      </c>
      <c r="J15383" s="23" t="str">
        <f>HYPERLINK("https://www.spark-marketing.ru/Card/Person/677682", "ООО ЧОО ""ЦСМ ""ГРОМ""")</f>
        <v>ООО ЧОО "ЦСМ "ГРОМ"</v>
      </c>
      <c r="K15383" s="24" t="s">
        <v>16878</v>
      </c>
      <c r="L15383" s="28" t="s">
        <v>52</v>
      </c>
      <c r="M15383" s="25">
        <v>10840</v>
      </c>
      <c r="N15383" s="27">
        <v>0.33086419753086421</v>
      </c>
    </row>
    <row r="15384" spans="1:14" ht="12.75" hidden="1" outlineLevel="1" x14ac:dyDescent="0.2">
      <c r="A15384" s="23" t="str">
        <f>HYPERLINK("https://www.spark-marketing.ru/Card/Person/996799", "МДОУ НОВОМАЛЫКЛИНСКИЙ ДЕТСКИЙ САД ""СКАЗКА""")</f>
        <v>МДОУ НОВОМАЛЫКЛИНСКИЙ ДЕТСКИЙ САД "СКАЗКА"</v>
      </c>
      <c r="B15384" s="24" t="s">
        <v>17683</v>
      </c>
      <c r="C15384" s="25">
        <v>16200</v>
      </c>
      <c r="D15384" s="22" t="s">
        <v>17684</v>
      </c>
      <c r="E15384" s="22" t="s">
        <v>68</v>
      </c>
      <c r="F15384" s="23" t="str">
        <f>HYPERLINK("https://www.spark-marketing.ru/Card/Lot/67846897",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384" s="22" t="s">
        <v>446</v>
      </c>
      <c r="H15384" s="22" t="s">
        <v>16876</v>
      </c>
      <c r="I15384" s="26">
        <v>43507</v>
      </c>
      <c r="J15384" s="23" t="str">
        <f>HYPERLINK("https://www.spark-marketing.ru/Card/Person/5946939", "ООО АО ""АРМАДА""")</f>
        <v>ООО АО "АРМАДА"</v>
      </c>
      <c r="K15384" s="24" t="s">
        <v>12927</v>
      </c>
      <c r="L15384" s="22" t="s">
        <v>10</v>
      </c>
      <c r="M15384" s="25">
        <v>2900</v>
      </c>
      <c r="N15384" s="27">
        <v>0.82098765432098764</v>
      </c>
    </row>
    <row r="15385" spans="1:14" x14ac:dyDescent="0.15">
      <c r="A15385" s="23" t="str">
        <f>HYPERLINK("https://www.spark-marketing.ru/Card/Person/62829", "КГБУЗ ""АРТЕМОВСКАЯ ГБ № 1""")</f>
        <v>КГБУЗ "АРТЕМОВСКАЯ ГБ № 1"</v>
      </c>
      <c r="B15385" s="24" t="s">
        <v>16660</v>
      </c>
      <c r="C15385" s="25">
        <v>1581120</v>
      </c>
      <c r="D15385" s="22" t="s">
        <v>17685</v>
      </c>
      <c r="E15385" s="22" t="s">
        <v>68</v>
      </c>
      <c r="F15385" s="23" t="str">
        <f>HYPERLINK("https://www.spark-marketing.ru/Card/Lot/67827132", "Оказание услуг по охране имущества и общественного порядка КГБУЗ ""Артемовская ГБ №1""")</f>
        <v>Оказание услуг по охране имущества и общественного порядка КГБУЗ "Артемовская ГБ №1"</v>
      </c>
      <c r="G15385" s="22" t="s">
        <v>409</v>
      </c>
      <c r="H15385" s="22" t="s">
        <v>3324</v>
      </c>
      <c r="I15385" s="26">
        <v>43507</v>
      </c>
      <c r="J15385" s="28" t="s">
        <v>52</v>
      </c>
      <c r="K15385" s="28" t="s">
        <v>52</v>
      </c>
      <c r="L15385" s="28" t="s">
        <v>52</v>
      </c>
      <c r="M15385" s="28" t="s">
        <v>52</v>
      </c>
      <c r="N15385" s="28" t="s">
        <v>52</v>
      </c>
    </row>
    <row r="15386" spans="1:14" hidden="1" outlineLevel="1" x14ac:dyDescent="0.2">
      <c r="A15386" s="23" t="str">
        <f>HYPERLINK("https://www.spark-marketing.ru/Card/Person/62829", "КГБУЗ ""АРТЕМОВСКАЯ ГБ № 1""")</f>
        <v>КГБУЗ "АРТЕМОВСКАЯ ГБ № 1"</v>
      </c>
      <c r="B15386" s="24" t="s">
        <v>16660</v>
      </c>
      <c r="C15386" s="25">
        <v>1581120</v>
      </c>
      <c r="D15386" s="22" t="s">
        <v>17685</v>
      </c>
      <c r="E15386" s="22" t="s">
        <v>68</v>
      </c>
      <c r="F15386" s="23" t="str">
        <f>HYPERLINK("https://www.spark-marketing.ru/Card/Lot/67827132", "Оказание услуг по охране имущества и общественного порядка КГБУЗ ""Артемовская ГБ №1""")</f>
        <v>Оказание услуг по охране имущества и общественного порядка КГБУЗ "Артемовская ГБ №1"</v>
      </c>
      <c r="G15386" s="22" t="s">
        <v>409</v>
      </c>
      <c r="H15386" s="22" t="s">
        <v>3324</v>
      </c>
      <c r="I15386" s="26">
        <v>43507</v>
      </c>
      <c r="J15386" s="23" t="str">
        <f>HYPERLINK("https://www.spark-marketing.ru/Card/Person/986490", "ООО ""ЧОО ""МК ""ГРАНИТ""")</f>
        <v>ООО "ЧОО "МК "ГРАНИТ"</v>
      </c>
      <c r="K15386" s="24" t="s">
        <v>17686</v>
      </c>
      <c r="L15386" s="28" t="s">
        <v>52</v>
      </c>
      <c r="M15386" s="25">
        <v>1336046.3999999999</v>
      </c>
      <c r="N15386" s="27">
        <v>0.155</v>
      </c>
    </row>
    <row r="15387" spans="1:14" ht="12.75" hidden="1" outlineLevel="1" x14ac:dyDescent="0.2">
      <c r="A15387" s="23" t="str">
        <f>HYPERLINK("https://www.spark-marketing.ru/Card/Person/62829", "КГБУЗ ""АРТЕМОВСКАЯ ГБ № 1""")</f>
        <v>КГБУЗ "АРТЕМОВСКАЯ ГБ № 1"</v>
      </c>
      <c r="B15387" s="24" t="s">
        <v>16660</v>
      </c>
      <c r="C15387" s="25">
        <v>1581120</v>
      </c>
      <c r="D15387" s="22" t="s">
        <v>17685</v>
      </c>
      <c r="E15387" s="22" t="s">
        <v>68</v>
      </c>
      <c r="F15387" s="23" t="str">
        <f>HYPERLINK("https://www.spark-marketing.ru/Card/Lot/67827132", "Оказание услуг по охране имущества и общественного порядка КГБУЗ ""Артемовская ГБ №1""")</f>
        <v>Оказание услуг по охране имущества и общественного порядка КГБУЗ "Артемовская ГБ №1"</v>
      </c>
      <c r="G15387" s="22" t="s">
        <v>409</v>
      </c>
      <c r="H15387" s="22" t="s">
        <v>3324</v>
      </c>
      <c r="I15387" s="26">
        <v>43507</v>
      </c>
      <c r="J15387" s="23" t="str">
        <f>HYPERLINK("https://www.spark-marketing.ru/Card/Person/470554", "ООО ЧОП ""ОХРАННОЕ АГЕНТСТВО ""ФОТОН-СЕКЬЮРИТИ""")</f>
        <v>ООО ЧОП "ОХРАННОЕ АГЕНТСТВО "ФОТОН-СЕКЬЮРИТИ"</v>
      </c>
      <c r="K15387" s="24" t="s">
        <v>16663</v>
      </c>
      <c r="L15387" s="22" t="s">
        <v>10</v>
      </c>
      <c r="M15387" s="25">
        <v>1122595.2</v>
      </c>
      <c r="N15387" s="27">
        <v>0.28999999999999998</v>
      </c>
    </row>
    <row r="15388" spans="1:14" hidden="1" outlineLevel="1" x14ac:dyDescent="0.2">
      <c r="A15388" s="23" t="str">
        <f>HYPERLINK("https://www.spark-marketing.ru/Card/Person/62829", "КГБУЗ ""АРТЕМОВСКАЯ ГБ № 1""")</f>
        <v>КГБУЗ "АРТЕМОВСКАЯ ГБ № 1"</v>
      </c>
      <c r="B15388" s="24" t="s">
        <v>16660</v>
      </c>
      <c r="C15388" s="25">
        <v>1581120</v>
      </c>
      <c r="D15388" s="22" t="s">
        <v>17685</v>
      </c>
      <c r="E15388" s="22" t="s">
        <v>68</v>
      </c>
      <c r="F15388" s="23" t="str">
        <f>HYPERLINK("https://www.spark-marketing.ru/Card/Lot/67827132", "Оказание услуг по охране имущества и общественного порядка КГБУЗ ""Артемовская ГБ №1""")</f>
        <v>Оказание услуг по охране имущества и общественного порядка КГБУЗ "Артемовская ГБ №1"</v>
      </c>
      <c r="G15388" s="22" t="s">
        <v>409</v>
      </c>
      <c r="H15388" s="22" t="s">
        <v>3324</v>
      </c>
      <c r="I15388" s="26">
        <v>43507</v>
      </c>
      <c r="J15388" s="23" t="str">
        <f>HYPERLINK("https://www.spark-marketing.ru/Card/Person/4348045", "ООО ОА ""ГЕПАРД-СЕКЬЮРИТИ""")</f>
        <v>ООО ОА "ГЕПАРД-СЕКЬЮРИТИ"</v>
      </c>
      <c r="K15388" s="24" t="s">
        <v>15765</v>
      </c>
      <c r="L15388" s="28" t="s">
        <v>52</v>
      </c>
      <c r="M15388" s="25">
        <v>1130500.8</v>
      </c>
      <c r="N15388" s="27">
        <v>0.28499999999999998</v>
      </c>
    </row>
    <row r="15389" spans="1:14" x14ac:dyDescent="0.15">
      <c r="A15389" s="23" t="str">
        <f>HYPERLINK("https://www.spark-marketing.ru/Card/Person/86740", "ГБДОУ ДЕТСКИЙ САД № 26 КОЛПИНСКОГО РАЙОНА СПБ")</f>
        <v>ГБДОУ ДЕТСКИЙ САД № 26 КОЛПИНСКОГО РАЙОНА СПБ</v>
      </c>
      <c r="B15389" s="24" t="s">
        <v>17687</v>
      </c>
      <c r="C15389" s="25">
        <v>586440</v>
      </c>
      <c r="D15389" s="22" t="s">
        <v>17688</v>
      </c>
      <c r="E15389" s="22" t="s">
        <v>68</v>
      </c>
      <c r="F15389" s="23" t="str">
        <f>HYPERLINK("https://www.spark-marketing.ru/Card/Lot/67833579", "Оказание услуг по организации и обеспечению охраны объекта и (или) имущества, а также обеспечение внутриобъектового и пропускного режима на объекте")</f>
        <v>Оказание услуг по организации и обеспечению охраны объекта и (или) имущества, а также обеспечение внутриобъектового и пропускного режима на объекте</v>
      </c>
      <c r="G15389" s="22" t="s">
        <v>89</v>
      </c>
      <c r="H15389" s="22" t="s">
        <v>89</v>
      </c>
      <c r="I15389" s="26">
        <v>43507</v>
      </c>
      <c r="J15389" s="28" t="s">
        <v>52</v>
      </c>
      <c r="K15389" s="28" t="s">
        <v>52</v>
      </c>
      <c r="L15389" s="28" t="s">
        <v>52</v>
      </c>
      <c r="M15389" s="28" t="s">
        <v>52</v>
      </c>
      <c r="N15389" s="28" t="s">
        <v>52</v>
      </c>
    </row>
    <row r="15390" spans="1:14" hidden="1" outlineLevel="1" x14ac:dyDescent="0.2">
      <c r="A15390" s="23" t="str">
        <f>HYPERLINK("https://www.spark-marketing.ru/Card/Person/86740", "ГБДОУ ДЕТСКИЙ САД № 26 КОЛПИНСКОГО РАЙОНА СПБ")</f>
        <v>ГБДОУ ДЕТСКИЙ САД № 26 КОЛПИНСКОГО РАЙОНА СПБ</v>
      </c>
      <c r="B15390" s="24" t="s">
        <v>17687</v>
      </c>
      <c r="C15390" s="25">
        <v>586440</v>
      </c>
      <c r="D15390" s="22" t="s">
        <v>17688</v>
      </c>
      <c r="E15390" s="22" t="s">
        <v>68</v>
      </c>
      <c r="F15390" s="23" t="str">
        <f>HYPERLINK("https://www.spark-marketing.ru/Card/Lot/67833579", "Оказание услуг по организации и обеспечению охраны объекта и (или) имущества, а также обеспечение внутриобъектового и пропускного режима на объекте")</f>
        <v>Оказание услуг по организации и обеспечению охраны объекта и (или) имущества, а также обеспечение внутриобъектового и пропускного режима на объекте</v>
      </c>
      <c r="G15390" s="22" t="s">
        <v>89</v>
      </c>
      <c r="H15390" s="22" t="s">
        <v>89</v>
      </c>
      <c r="I15390" s="26">
        <v>43507</v>
      </c>
      <c r="J15390" s="23" t="str">
        <f>HYPERLINK("https://www.spark-marketing.ru/Card/Person/1557170", "ООО ""ОП ""ИЖОРА-ЩИТ""")</f>
        <v>ООО "ОП "ИЖОРА-ЩИТ"</v>
      </c>
      <c r="K15390" s="24" t="s">
        <v>16321</v>
      </c>
      <c r="L15390" s="28" t="s">
        <v>52</v>
      </c>
      <c r="M15390" s="25">
        <v>431680</v>
      </c>
      <c r="N15390" s="27">
        <v>0.26389741491030627</v>
      </c>
    </row>
    <row r="15391" spans="1:14" ht="12.75" hidden="1" outlineLevel="1" x14ac:dyDescent="0.2">
      <c r="A15391" s="23" t="str">
        <f>HYPERLINK("https://www.spark-marketing.ru/Card/Person/86740", "ГБДОУ ДЕТСКИЙ САД № 26 КОЛПИНСКОГО РАЙОНА СПБ")</f>
        <v>ГБДОУ ДЕТСКИЙ САД № 26 КОЛПИНСКОГО РАЙОНА СПБ</v>
      </c>
      <c r="B15391" s="24" t="s">
        <v>17687</v>
      </c>
      <c r="C15391" s="25">
        <v>586440</v>
      </c>
      <c r="D15391" s="22" t="s">
        <v>17688</v>
      </c>
      <c r="E15391" s="22" t="s">
        <v>68</v>
      </c>
      <c r="F15391" s="23" t="str">
        <f>HYPERLINK("https://www.spark-marketing.ru/Card/Lot/67833579", "Оказание услуг по организации и обеспечению охраны объекта и (или) имущества, а также обеспечение внутриобъектового и пропускного режима на объекте")</f>
        <v>Оказание услуг по организации и обеспечению охраны объекта и (или) имущества, а также обеспечение внутриобъектового и пропускного режима на объекте</v>
      </c>
      <c r="G15391" s="22" t="s">
        <v>89</v>
      </c>
      <c r="H15391" s="22" t="s">
        <v>89</v>
      </c>
      <c r="I15391" s="26">
        <v>43507</v>
      </c>
      <c r="J15391" s="23" t="str">
        <f>HYPERLINK("https://www.spark-marketing.ru/Card/Person/27570", "ООО ""ОО ""ИНСАР""")</f>
        <v>ООО "ОО "ИНСАР"</v>
      </c>
      <c r="K15391" s="24" t="s">
        <v>6890</v>
      </c>
      <c r="L15391" s="22" t="s">
        <v>10</v>
      </c>
      <c r="M15391" s="25">
        <v>428747.8</v>
      </c>
      <c r="N15391" s="27">
        <v>0.26889741491030628</v>
      </c>
    </row>
    <row r="15392" spans="1:14" x14ac:dyDescent="0.15">
      <c r="A15392" s="23" t="str">
        <f>HYPERLINK("https://www.spark-marketing.ru/Card/Person/170630", "КОМИТЕТ ПО ЛЕСНОМУ ХОЗЯЙСТВУ РЕСПУБЛИКИ ДАГЕСТАН")</f>
        <v>КОМИТЕТ ПО ЛЕСНОМУ ХОЗЯЙСТВУ РЕСПУБЛИКИ ДАГЕСТАН</v>
      </c>
      <c r="B15392" s="24" t="s">
        <v>15863</v>
      </c>
      <c r="C15392" s="25">
        <v>3613.5</v>
      </c>
      <c r="D15392" s="22" t="s">
        <v>17689</v>
      </c>
      <c r="E15392" s="22" t="s">
        <v>53</v>
      </c>
      <c r="F15392" s="23" t="str">
        <f>HYPERLINK("https://www.spark-marketing.ru/Card/Lot/73688826", "Услуга по охране объектов посредством комплекса технических средств охраны и осуществление экстренного выезда наряда полиции")</f>
        <v>Услуга по охране объектов посредством комплекса технических средств охраны и осуществление экстренного выезда наряда полиции</v>
      </c>
      <c r="G15392" s="22" t="s">
        <v>595</v>
      </c>
      <c r="H15392" s="22" t="s">
        <v>3766</v>
      </c>
      <c r="I15392" s="26">
        <v>43507.000694444403</v>
      </c>
      <c r="J15392" s="28" t="s">
        <v>52</v>
      </c>
      <c r="K15392" s="28" t="s">
        <v>52</v>
      </c>
      <c r="L15392" s="28" t="s">
        <v>52</v>
      </c>
      <c r="M15392" s="28" t="s">
        <v>52</v>
      </c>
      <c r="N15392" s="28" t="s">
        <v>52</v>
      </c>
    </row>
    <row r="15393" spans="1:14" x14ac:dyDescent="0.15">
      <c r="A15393" s="23" t="str">
        <f>HYPERLINK("https://www.spark-marketing.ru/Card/Person/4371927", "МОУ НИЖНЕЯКУШКИНСКАЯ ООШ")</f>
        <v>МОУ НИЖНЕЯКУШКИНСКАЯ ООШ</v>
      </c>
      <c r="B15393" s="24" t="s">
        <v>17690</v>
      </c>
      <c r="C15393" s="25">
        <v>16200</v>
      </c>
      <c r="D15393" s="22" t="s">
        <v>17691</v>
      </c>
      <c r="E15393" s="22" t="s">
        <v>68</v>
      </c>
      <c r="F15393" s="23" t="str">
        <f>HYPERLINK("https://www.spark-marketing.ru/Card/Lot/67834149",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393" s="22" t="s">
        <v>446</v>
      </c>
      <c r="H15393" s="22" t="s">
        <v>16876</v>
      </c>
      <c r="I15393" s="26">
        <v>43507</v>
      </c>
      <c r="J15393" s="28" t="s">
        <v>52</v>
      </c>
      <c r="K15393" s="28" t="s">
        <v>52</v>
      </c>
      <c r="L15393" s="28" t="s">
        <v>52</v>
      </c>
      <c r="M15393" s="28" t="s">
        <v>52</v>
      </c>
      <c r="N15393" s="28" t="s">
        <v>52</v>
      </c>
    </row>
    <row r="15394" spans="1:14" hidden="1" outlineLevel="1" x14ac:dyDescent="0.2">
      <c r="A15394" s="23" t="str">
        <f>HYPERLINK("https://www.spark-marketing.ru/Card/Person/4371927", "МОУ НИЖНЕЯКУШКИНСКАЯ ООШ")</f>
        <v>МОУ НИЖНЕЯКУШКИНСКАЯ ООШ</v>
      </c>
      <c r="B15394" s="24" t="s">
        <v>17690</v>
      </c>
      <c r="C15394" s="25">
        <v>16200</v>
      </c>
      <c r="D15394" s="22" t="s">
        <v>17691</v>
      </c>
      <c r="E15394" s="22" t="s">
        <v>68</v>
      </c>
      <c r="F15394" s="23" t="str">
        <f>HYPERLINK("https://www.spark-marketing.ru/Card/Lot/67834149",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394" s="22" t="s">
        <v>446</v>
      </c>
      <c r="H15394" s="22" t="s">
        <v>16876</v>
      </c>
      <c r="I15394" s="26">
        <v>43507</v>
      </c>
      <c r="J15394" s="23" t="str">
        <f>HYPERLINK("https://www.spark-marketing.ru/Card/Person/124094", "ООО ЧОО ""РЕДУТ+""")</f>
        <v>ООО ЧОО "РЕДУТ+"</v>
      </c>
      <c r="K15394" s="24" t="s">
        <v>16877</v>
      </c>
      <c r="L15394" s="28" t="s">
        <v>52</v>
      </c>
      <c r="M15394" s="25">
        <v>3050</v>
      </c>
      <c r="N15394" s="27">
        <v>0.81172839506172845</v>
      </c>
    </row>
    <row r="15395" spans="1:14" ht="12.75" hidden="1" outlineLevel="1" x14ac:dyDescent="0.2">
      <c r="A15395" s="23" t="str">
        <f>HYPERLINK("https://www.spark-marketing.ru/Card/Person/4371927", "МОУ НИЖНЕЯКУШКИНСКАЯ ООШ")</f>
        <v>МОУ НИЖНЕЯКУШКИНСКАЯ ООШ</v>
      </c>
      <c r="B15395" s="24" t="s">
        <v>17690</v>
      </c>
      <c r="C15395" s="25">
        <v>16200</v>
      </c>
      <c r="D15395" s="22" t="s">
        <v>17691</v>
      </c>
      <c r="E15395" s="22" t="s">
        <v>68</v>
      </c>
      <c r="F15395" s="23" t="str">
        <f>HYPERLINK("https://www.spark-marketing.ru/Card/Lot/67834149",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395" s="22" t="s">
        <v>446</v>
      </c>
      <c r="H15395" s="22" t="s">
        <v>16876</v>
      </c>
      <c r="I15395" s="26">
        <v>43507</v>
      </c>
      <c r="J15395" s="23" t="str">
        <f>HYPERLINK("https://www.spark-marketing.ru/Card/Person/5946939", "ООО АО ""АРМАДА""")</f>
        <v>ООО АО "АРМАДА"</v>
      </c>
      <c r="K15395" s="24" t="s">
        <v>12927</v>
      </c>
      <c r="L15395" s="22" t="s">
        <v>10</v>
      </c>
      <c r="M15395" s="25">
        <v>2950</v>
      </c>
      <c r="N15395" s="27">
        <v>0.8179012345679012</v>
      </c>
    </row>
    <row r="15396" spans="1:14" hidden="1" outlineLevel="1" x14ac:dyDescent="0.2">
      <c r="A15396" s="23" t="str">
        <f>HYPERLINK("https://www.spark-marketing.ru/Card/Person/4371927", "МОУ НИЖНЕЯКУШКИНСКАЯ ООШ")</f>
        <v>МОУ НИЖНЕЯКУШКИНСКАЯ ООШ</v>
      </c>
      <c r="B15396" s="24" t="s">
        <v>17690</v>
      </c>
      <c r="C15396" s="25">
        <v>16200</v>
      </c>
      <c r="D15396" s="22" t="s">
        <v>17691</v>
      </c>
      <c r="E15396" s="22" t="s">
        <v>68</v>
      </c>
      <c r="F15396" s="23" t="str">
        <f>HYPERLINK("https://www.spark-marketing.ru/Card/Lot/67834149",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396" s="22" t="s">
        <v>446</v>
      </c>
      <c r="H15396" s="22" t="s">
        <v>16876</v>
      </c>
      <c r="I15396" s="26">
        <v>43507</v>
      </c>
      <c r="J15396" s="23" t="str">
        <f>HYPERLINK("https://www.spark-marketing.ru/Card/Person/677682", "ООО ЧОО ""ЦСМ ""ГРОМ""")</f>
        <v>ООО ЧОО "ЦСМ "ГРОМ"</v>
      </c>
      <c r="K15396" s="24" t="s">
        <v>16878</v>
      </c>
      <c r="L15396" s="28" t="s">
        <v>52</v>
      </c>
      <c r="M15396" s="25">
        <v>10430</v>
      </c>
      <c r="N15396" s="27">
        <v>0.35617283950617284</v>
      </c>
    </row>
    <row r="15397" spans="1:14" x14ac:dyDescent="0.15">
      <c r="A15397" s="23" t="str">
        <f>HYPERLINK("https://www.spark-marketing.ru/Card/Person/49390", "БУЗ ВО «ВОКЦПИБС»")</f>
        <v>БУЗ ВО «ВОКЦПИБС»</v>
      </c>
      <c r="B15397" s="24" t="s">
        <v>16798</v>
      </c>
      <c r="C15397" s="25">
        <v>334800</v>
      </c>
      <c r="D15397" s="22" t="s">
        <v>17692</v>
      </c>
      <c r="E15397" s="22" t="s">
        <v>52</v>
      </c>
      <c r="F15397" s="23" t="str">
        <f>HYPERLINK("https://www.spark-marketing.ru/Card/Lot/67845277", "Оказание услуг по физической охране зданий (служебных помещений) и прилегающих территорий")</f>
        <v>Оказание услуг по физической охране зданий (служебных помещений) и прилегающих территорий</v>
      </c>
      <c r="G15397" s="22" t="s">
        <v>552</v>
      </c>
      <c r="H15397" s="22" t="s">
        <v>886</v>
      </c>
      <c r="I15397" s="26">
        <v>43507</v>
      </c>
      <c r="J15397" s="28" t="s">
        <v>52</v>
      </c>
      <c r="K15397" s="28" t="s">
        <v>52</v>
      </c>
      <c r="L15397" s="28" t="s">
        <v>52</v>
      </c>
      <c r="M15397" s="28" t="s">
        <v>52</v>
      </c>
      <c r="N15397" s="28" t="s">
        <v>52</v>
      </c>
    </row>
    <row r="15398" spans="1:14" ht="12.75" hidden="1" outlineLevel="1" x14ac:dyDescent="0.2">
      <c r="A15398" s="23" t="str">
        <f>HYPERLINK("https://www.spark-marketing.ru/Card/Person/49390", "БУЗ ВО «ВОКЦПИБС»")</f>
        <v>БУЗ ВО «ВОКЦПИБС»</v>
      </c>
      <c r="B15398" s="24" t="s">
        <v>16798</v>
      </c>
      <c r="C15398" s="25">
        <v>334800</v>
      </c>
      <c r="D15398" s="22" t="s">
        <v>17692</v>
      </c>
      <c r="E15398" s="22" t="s">
        <v>52</v>
      </c>
      <c r="F15398" s="23" t="str">
        <f>HYPERLINK("https://www.spark-marketing.ru/Card/Lot/67845277", "Оказание услуг по физической охране зданий (служебных помещений) и прилегающих территорий")</f>
        <v>Оказание услуг по физической охране зданий (служебных помещений) и прилегающих территорий</v>
      </c>
      <c r="G15398" s="22" t="s">
        <v>552</v>
      </c>
      <c r="H15398" s="22" t="s">
        <v>886</v>
      </c>
      <c r="I15398" s="26">
        <v>43507</v>
      </c>
      <c r="J15398" s="23" t="str">
        <f>HYPERLINK("https://www.spark-marketing.ru/Card/Person/263242", "ООО ЧОО ""ДОЗОР""")</f>
        <v>ООО ЧОО "ДОЗОР"</v>
      </c>
      <c r="K15398" s="24" t="s">
        <v>8957</v>
      </c>
      <c r="L15398" s="22" t="s">
        <v>10</v>
      </c>
      <c r="M15398" s="25">
        <v>334353.59999999998</v>
      </c>
      <c r="N15398" s="27">
        <v>1.3333333333333333E-3</v>
      </c>
    </row>
    <row r="15399" spans="1:14" hidden="1" outlineLevel="1" x14ac:dyDescent="0.2">
      <c r="A15399" s="23" t="str">
        <f>HYPERLINK("https://www.spark-marketing.ru/Card/Person/49390", "БУЗ ВО «ВОКЦПИБС»")</f>
        <v>БУЗ ВО «ВОКЦПИБС»</v>
      </c>
      <c r="B15399" s="24" t="s">
        <v>16798</v>
      </c>
      <c r="C15399" s="25">
        <v>334800</v>
      </c>
      <c r="D15399" s="22" t="s">
        <v>17692</v>
      </c>
      <c r="E15399" s="22" t="s">
        <v>52</v>
      </c>
      <c r="F15399" s="23" t="str">
        <f>HYPERLINK("https://www.spark-marketing.ru/Card/Lot/67845277", "Оказание услуг по физической охране зданий (служебных помещений) и прилегающих территорий")</f>
        <v>Оказание услуг по физической охране зданий (служебных помещений) и прилегающих территорий</v>
      </c>
      <c r="G15399" s="22" t="s">
        <v>552</v>
      </c>
      <c r="H15399" s="22" t="s">
        <v>886</v>
      </c>
      <c r="I15399" s="26">
        <v>43507</v>
      </c>
      <c r="J15399" s="23" t="str">
        <f>HYPERLINK("https://www.spark-marketing.ru/Card/Person/264337", "ООО ЧОО ""КОБРА""")</f>
        <v>ООО ЧОО "КОБРА"</v>
      </c>
      <c r="K15399" s="24" t="s">
        <v>16800</v>
      </c>
      <c r="L15399" s="28" t="s">
        <v>52</v>
      </c>
      <c r="M15399" s="25">
        <v>334600</v>
      </c>
      <c r="N15399" s="27">
        <v>5.9737156511350056E-4</v>
      </c>
    </row>
    <row r="15400" spans="1:14" x14ac:dyDescent="0.15">
      <c r="A15400" s="23" t="str">
        <f>HYPERLINK("https://www.spark-marketing.ru/Card/Person/57392", "ГУЗ ""ТОГВВИТ""")</f>
        <v>ГУЗ "ТОГВВИТ"</v>
      </c>
      <c r="B15400" s="24" t="s">
        <v>17693</v>
      </c>
      <c r="C15400" s="25">
        <v>55000</v>
      </c>
      <c r="D15400" s="22" t="s">
        <v>17694</v>
      </c>
      <c r="E15400" s="22" t="s">
        <v>5312</v>
      </c>
      <c r="F15400" s="23" t="str">
        <f>HYPERLINK("https://www.spark-marketing.ru/Card/Lot/67835396", "Оказание услуг по техническому обслуживанию системы видеонаблюдения")</f>
        <v>Оказание услуг по техническому обслуживанию системы видеонаблюдения</v>
      </c>
      <c r="G15400" s="22" t="s">
        <v>818</v>
      </c>
      <c r="H15400" s="22" t="s">
        <v>17695</v>
      </c>
      <c r="I15400" s="26">
        <v>43507</v>
      </c>
      <c r="J15400" s="28" t="s">
        <v>52</v>
      </c>
      <c r="K15400" s="28" t="s">
        <v>52</v>
      </c>
      <c r="L15400" s="28" t="s">
        <v>52</v>
      </c>
      <c r="M15400" s="28" t="s">
        <v>52</v>
      </c>
      <c r="N15400" s="28" t="s">
        <v>52</v>
      </c>
    </row>
    <row r="15401" spans="1:14" hidden="1" outlineLevel="1" x14ac:dyDescent="0.2">
      <c r="A15401" s="23" t="str">
        <f>HYPERLINK("https://www.spark-marketing.ru/Card/Person/57392", "ГУЗ ""ТОГВВИТ""")</f>
        <v>ГУЗ "ТОГВВИТ"</v>
      </c>
      <c r="B15401" s="24" t="s">
        <v>17693</v>
      </c>
      <c r="C15401" s="25">
        <v>55000</v>
      </c>
      <c r="D15401" s="22" t="s">
        <v>17694</v>
      </c>
      <c r="E15401" s="22" t="s">
        <v>5312</v>
      </c>
      <c r="F15401" s="23" t="str">
        <f>HYPERLINK("https://www.spark-marketing.ru/Card/Lot/67835396", "Оказание услуг по техническому обслуживанию системы видеонаблюдения")</f>
        <v>Оказание услуг по техническому обслуживанию системы видеонаблюдения</v>
      </c>
      <c r="G15401" s="22" t="s">
        <v>818</v>
      </c>
      <c r="H15401" s="22" t="s">
        <v>17695</v>
      </c>
      <c r="I15401" s="26">
        <v>43507</v>
      </c>
      <c r="J15401" s="23" t="str">
        <f>HYPERLINK("https://www.spark-marketing.ru/Card/Person/530667", "Васин Павел Владимирович")</f>
        <v>Васин Павел Владимирович</v>
      </c>
      <c r="K15401" s="24" t="s">
        <v>17696</v>
      </c>
      <c r="L15401" s="28" t="s">
        <v>52</v>
      </c>
      <c r="M15401" s="25">
        <v>41600</v>
      </c>
      <c r="N15401" s="27">
        <v>0.24363636363636362</v>
      </c>
    </row>
    <row r="15402" spans="1:14" ht="12.75" hidden="1" outlineLevel="1" x14ac:dyDescent="0.2">
      <c r="A15402" s="23" t="str">
        <f>HYPERLINK("https://www.spark-marketing.ru/Card/Person/57392", "ГУЗ ""ТОГВВИТ""")</f>
        <v>ГУЗ "ТОГВВИТ"</v>
      </c>
      <c r="B15402" s="24" t="s">
        <v>17693</v>
      </c>
      <c r="C15402" s="25">
        <v>55000</v>
      </c>
      <c r="D15402" s="22" t="s">
        <v>17694</v>
      </c>
      <c r="E15402" s="22" t="s">
        <v>5312</v>
      </c>
      <c r="F15402" s="23" t="str">
        <f>HYPERLINK("https://www.spark-marketing.ru/Card/Lot/67835396", "Оказание услуг по техническому обслуживанию системы видеонаблюдения")</f>
        <v>Оказание услуг по техническому обслуживанию системы видеонаблюдения</v>
      </c>
      <c r="G15402" s="22" t="s">
        <v>818</v>
      </c>
      <c r="H15402" s="22" t="s">
        <v>17695</v>
      </c>
      <c r="I15402" s="26">
        <v>43507</v>
      </c>
      <c r="J15402" s="23" t="str">
        <f>HYPERLINK("https://www.spark-marketing.ru/Card/Person/837979", "ООО ""ВИДЕО СЕКЬЮРИТИ""")</f>
        <v>ООО "ВИДЕО СЕКЬЮРИТИ"</v>
      </c>
      <c r="K15402" s="24" t="s">
        <v>17697</v>
      </c>
      <c r="L15402" s="22" t="s">
        <v>10</v>
      </c>
      <c r="M15402" s="25">
        <v>19325</v>
      </c>
      <c r="N15402" s="27">
        <v>0.64863636363636368</v>
      </c>
    </row>
    <row r="15403" spans="1:14" hidden="1" outlineLevel="1" x14ac:dyDescent="0.2">
      <c r="A15403" s="23" t="str">
        <f>HYPERLINK("https://www.spark-marketing.ru/Card/Person/57392", "ГУЗ ""ТОГВВИТ""")</f>
        <v>ГУЗ "ТОГВВИТ"</v>
      </c>
      <c r="B15403" s="24" t="s">
        <v>17693</v>
      </c>
      <c r="C15403" s="25">
        <v>55000</v>
      </c>
      <c r="D15403" s="22" t="s">
        <v>17694</v>
      </c>
      <c r="E15403" s="22" t="s">
        <v>5312</v>
      </c>
      <c r="F15403" s="23" t="str">
        <f>HYPERLINK("https://www.spark-marketing.ru/Card/Lot/67835396", "Оказание услуг по техническому обслуживанию системы видеонаблюдения")</f>
        <v>Оказание услуг по техническому обслуживанию системы видеонаблюдения</v>
      </c>
      <c r="G15403" s="22" t="s">
        <v>818</v>
      </c>
      <c r="H15403" s="22" t="s">
        <v>17695</v>
      </c>
      <c r="I15403" s="26">
        <v>43507</v>
      </c>
      <c r="J15403" s="23" t="str">
        <f>HYPERLINK("https://www.spark-marketing.ru/Card/Person/6219965", "ООО ""ДОЗОР""")</f>
        <v>ООО "ДОЗОР"</v>
      </c>
      <c r="K15403" s="24" t="s">
        <v>7952</v>
      </c>
      <c r="L15403" s="28" t="s">
        <v>52</v>
      </c>
      <c r="M15403" s="25">
        <v>19325</v>
      </c>
      <c r="N15403" s="27">
        <v>0.64863636363636368</v>
      </c>
    </row>
    <row r="15404" spans="1:14" hidden="1" outlineLevel="1" x14ac:dyDescent="0.2">
      <c r="A15404" s="23" t="str">
        <f>HYPERLINK("https://www.spark-marketing.ru/Card/Person/57392", "ГУЗ ""ТОГВВИТ""")</f>
        <v>ГУЗ "ТОГВВИТ"</v>
      </c>
      <c r="B15404" s="24" t="s">
        <v>17693</v>
      </c>
      <c r="C15404" s="25">
        <v>55000</v>
      </c>
      <c r="D15404" s="22" t="s">
        <v>17694</v>
      </c>
      <c r="E15404" s="22" t="s">
        <v>5312</v>
      </c>
      <c r="F15404" s="23" t="str">
        <f>HYPERLINK("https://www.spark-marketing.ru/Card/Lot/67835396", "Оказание услуг по техническому обслуживанию системы видеонаблюдения")</f>
        <v>Оказание услуг по техническому обслуживанию системы видеонаблюдения</v>
      </c>
      <c r="G15404" s="22" t="s">
        <v>818</v>
      </c>
      <c r="H15404" s="22" t="s">
        <v>17695</v>
      </c>
      <c r="I15404" s="26">
        <v>43507</v>
      </c>
      <c r="J15404" s="23" t="str">
        <f>HYPERLINK("https://www.spark-marketing.ru/Card/Person/1502884", "Киселев Алексей Николаевич")</f>
        <v>Киселев Алексей Николаевич</v>
      </c>
      <c r="K15404" s="24" t="s">
        <v>17698</v>
      </c>
      <c r="L15404" s="28" t="s">
        <v>52</v>
      </c>
      <c r="M15404" s="25">
        <v>50875</v>
      </c>
      <c r="N15404" s="27">
        <v>7.4999999999999997E-2</v>
      </c>
    </row>
    <row r="15405" spans="1:14" x14ac:dyDescent="0.15">
      <c r="A15405" s="23" t="str">
        <f t="shared" ref="A15405:A15412" si="809">HYPERLINK("https://www.spark-marketing.ru/Card/Person/107883", "МКУ ""НАШ ГОРОД""")</f>
        <v>МКУ "НАШ ГОРОД"</v>
      </c>
      <c r="B15405" s="24" t="s">
        <v>17699</v>
      </c>
      <c r="C15405" s="25">
        <v>61560</v>
      </c>
      <c r="D15405" s="22" t="s">
        <v>17700</v>
      </c>
      <c r="E15405" s="22" t="s">
        <v>103</v>
      </c>
      <c r="F15405" s="23" t="str">
        <f t="shared" ref="F15405:F15412" si="810">HYPERLINK("https://www.spark-marketing.ru/Card/Lot/67833176", "Оказание услуг по техническому обслуживанию системы видеонаблюдения на стационарных постах охраны общественного порядка")</f>
        <v>Оказание услуг по техническому обслуживанию системы видеонаблюдения на стационарных постах охраны общественного порядка</v>
      </c>
      <c r="G15405" s="22" t="s">
        <v>119</v>
      </c>
      <c r="H15405" s="22" t="s">
        <v>463</v>
      </c>
      <c r="I15405" s="26">
        <v>43507</v>
      </c>
      <c r="J15405" s="28" t="s">
        <v>52</v>
      </c>
      <c r="K15405" s="28" t="s">
        <v>52</v>
      </c>
      <c r="L15405" s="28" t="s">
        <v>52</v>
      </c>
      <c r="M15405" s="28" t="s">
        <v>52</v>
      </c>
      <c r="N15405" s="28" t="s">
        <v>52</v>
      </c>
    </row>
    <row r="15406" spans="1:14" hidden="1" outlineLevel="1" x14ac:dyDescent="0.2">
      <c r="A15406" s="23" t="str">
        <f t="shared" si="809"/>
        <v>МКУ "НАШ ГОРОД"</v>
      </c>
      <c r="B15406" s="24" t="s">
        <v>17699</v>
      </c>
      <c r="C15406" s="25">
        <v>61560</v>
      </c>
      <c r="D15406" s="22" t="s">
        <v>17700</v>
      </c>
      <c r="E15406" s="22" t="s">
        <v>103</v>
      </c>
      <c r="F15406" s="23" t="str">
        <f t="shared" si="810"/>
        <v>Оказание услуг по техническому обслуживанию системы видеонаблюдения на стационарных постах охраны общественного порядка</v>
      </c>
      <c r="G15406" s="22" t="s">
        <v>119</v>
      </c>
      <c r="H15406" s="22" t="s">
        <v>463</v>
      </c>
      <c r="I15406" s="26">
        <v>43507</v>
      </c>
      <c r="J15406" s="23" t="str">
        <f>HYPERLINK("https://www.spark-marketing.ru/Card/Person/108206", "ООО ЧОП ""БИЗНЕС-ОХРАНА""")</f>
        <v>ООО ЧОП "БИЗНЕС-ОХРАНА"</v>
      </c>
      <c r="K15406" s="24" t="s">
        <v>17701</v>
      </c>
      <c r="L15406" s="28" t="s">
        <v>52</v>
      </c>
      <c r="M15406" s="25">
        <v>27702</v>
      </c>
      <c r="N15406" s="27">
        <v>0.55000000000000004</v>
      </c>
    </row>
    <row r="15407" spans="1:14" hidden="1" outlineLevel="1" x14ac:dyDescent="0.2">
      <c r="A15407" s="23" t="str">
        <f t="shared" si="809"/>
        <v>МКУ "НАШ ГОРОД"</v>
      </c>
      <c r="B15407" s="24" t="s">
        <v>17699</v>
      </c>
      <c r="C15407" s="25">
        <v>61560</v>
      </c>
      <c r="D15407" s="22" t="s">
        <v>17700</v>
      </c>
      <c r="E15407" s="22" t="s">
        <v>103</v>
      </c>
      <c r="F15407" s="23" t="str">
        <f t="shared" si="810"/>
        <v>Оказание услуг по техническому обслуживанию системы видеонаблюдения на стационарных постах охраны общественного порядка</v>
      </c>
      <c r="G15407" s="22" t="s">
        <v>119</v>
      </c>
      <c r="H15407" s="22" t="s">
        <v>463</v>
      </c>
      <c r="I15407" s="26">
        <v>43507</v>
      </c>
      <c r="J15407" s="23" t="str">
        <f>HYPERLINK("https://www.spark-marketing.ru/Card/Person/4851642", "ООО ЧОО ""ОЛИМП-БЕЗОПАСНОСТЬ""")</f>
        <v>ООО ЧОО "ОЛИМП-БЕЗОПАСНОСТЬ"</v>
      </c>
      <c r="K15407" s="24" t="s">
        <v>5255</v>
      </c>
      <c r="L15407" s="28" t="s">
        <v>52</v>
      </c>
      <c r="M15407" s="25">
        <v>19469.400000000001</v>
      </c>
      <c r="N15407" s="27">
        <v>0.68373294346978553</v>
      </c>
    </row>
    <row r="15408" spans="1:14" hidden="1" outlineLevel="1" x14ac:dyDescent="0.2">
      <c r="A15408" s="23" t="str">
        <f t="shared" si="809"/>
        <v>МКУ "НАШ ГОРОД"</v>
      </c>
      <c r="B15408" s="24" t="s">
        <v>17699</v>
      </c>
      <c r="C15408" s="25">
        <v>61560</v>
      </c>
      <c r="D15408" s="22" t="s">
        <v>17700</v>
      </c>
      <c r="E15408" s="22" t="s">
        <v>103</v>
      </c>
      <c r="F15408" s="23" t="str">
        <f t="shared" si="810"/>
        <v>Оказание услуг по техническому обслуживанию системы видеонаблюдения на стационарных постах охраны общественного порядка</v>
      </c>
      <c r="G15408" s="22" t="s">
        <v>119</v>
      </c>
      <c r="H15408" s="22" t="s">
        <v>463</v>
      </c>
      <c r="I15408" s="26">
        <v>43507</v>
      </c>
      <c r="J15408" s="23" t="str">
        <f>HYPERLINK("https://www.spark-marketing.ru/Card/Person/932332", "ООО ""ВСС""")</f>
        <v>ООО "ВСС"</v>
      </c>
      <c r="K15408" s="24" t="s">
        <v>1331</v>
      </c>
      <c r="L15408" s="28" t="s">
        <v>52</v>
      </c>
      <c r="M15408" s="25">
        <v>61000</v>
      </c>
      <c r="N15408" s="27">
        <v>9.0968161143599735E-3</v>
      </c>
    </row>
    <row r="15409" spans="1:14" hidden="1" outlineLevel="1" x14ac:dyDescent="0.2">
      <c r="A15409" s="23" t="str">
        <f t="shared" si="809"/>
        <v>МКУ "НАШ ГОРОД"</v>
      </c>
      <c r="B15409" s="24" t="s">
        <v>17699</v>
      </c>
      <c r="C15409" s="25">
        <v>61560</v>
      </c>
      <c r="D15409" s="22" t="s">
        <v>17700</v>
      </c>
      <c r="E15409" s="22" t="s">
        <v>103</v>
      </c>
      <c r="F15409" s="23" t="str">
        <f t="shared" si="810"/>
        <v>Оказание услуг по техническому обслуживанию системы видеонаблюдения на стационарных постах охраны общественного порядка</v>
      </c>
      <c r="G15409" s="22" t="s">
        <v>119</v>
      </c>
      <c r="H15409" s="22" t="s">
        <v>463</v>
      </c>
      <c r="I15409" s="26">
        <v>43507</v>
      </c>
      <c r="J15409" s="23" t="str">
        <f>HYPERLINK("https://www.spark-marketing.ru/Card/Person/6466408", "Шаронов Михаил Юрьевич")</f>
        <v>Шаронов Михаил Юрьевич</v>
      </c>
      <c r="K15409" s="24" t="s">
        <v>17702</v>
      </c>
      <c r="L15409" s="28" t="s">
        <v>52</v>
      </c>
      <c r="M15409" s="25">
        <v>37551.599999999999</v>
      </c>
      <c r="N15409" s="27">
        <v>0.39</v>
      </c>
    </row>
    <row r="15410" spans="1:14" hidden="1" outlineLevel="1" x14ac:dyDescent="0.2">
      <c r="A15410" s="23" t="str">
        <f t="shared" si="809"/>
        <v>МКУ "НАШ ГОРОД"</v>
      </c>
      <c r="B15410" s="24" t="s">
        <v>17699</v>
      </c>
      <c r="C15410" s="25">
        <v>61560</v>
      </c>
      <c r="D15410" s="22" t="s">
        <v>17700</v>
      </c>
      <c r="E15410" s="22" t="s">
        <v>103</v>
      </c>
      <c r="F15410" s="23" t="str">
        <f t="shared" si="810"/>
        <v>Оказание услуг по техническому обслуживанию системы видеонаблюдения на стационарных постах охраны общественного порядка</v>
      </c>
      <c r="G15410" s="22" t="s">
        <v>119</v>
      </c>
      <c r="H15410" s="22" t="s">
        <v>463</v>
      </c>
      <c r="I15410" s="26">
        <v>43507</v>
      </c>
      <c r="J15410" s="23" t="str">
        <f>HYPERLINK("https://www.spark-marketing.ru/Card/Person/671694", "ООО ЧОА ""АЛЬФА ЩИТ""")</f>
        <v>ООО ЧОА "АЛЬФА ЩИТ"</v>
      </c>
      <c r="K15410" s="24" t="s">
        <v>13647</v>
      </c>
      <c r="L15410" s="28" t="s">
        <v>52</v>
      </c>
      <c r="M15410" s="25">
        <v>40937.4</v>
      </c>
      <c r="N15410" s="27">
        <v>0.33500000000000002</v>
      </c>
    </row>
    <row r="15411" spans="1:14" ht="12.75" hidden="1" outlineLevel="1" x14ac:dyDescent="0.2">
      <c r="A15411" s="23" t="str">
        <f t="shared" si="809"/>
        <v>МКУ "НАШ ГОРОД"</v>
      </c>
      <c r="B15411" s="24" t="s">
        <v>17699</v>
      </c>
      <c r="C15411" s="25">
        <v>61560</v>
      </c>
      <c r="D15411" s="22" t="s">
        <v>17700</v>
      </c>
      <c r="E15411" s="22" t="s">
        <v>103</v>
      </c>
      <c r="F15411" s="23" t="str">
        <f t="shared" si="810"/>
        <v>Оказание услуг по техническому обслуживанию системы видеонаблюдения на стационарных постах охраны общественного порядка</v>
      </c>
      <c r="G15411" s="22" t="s">
        <v>119</v>
      </c>
      <c r="H15411" s="22" t="s">
        <v>463</v>
      </c>
      <c r="I15411" s="26">
        <v>43507</v>
      </c>
      <c r="J15411" s="23" t="str">
        <f>HYPERLINK("https://www.spark-marketing.ru/Card/Person/84508", "ООО ""ТЕХНОЛАЙН""")</f>
        <v>ООО "ТЕХНОЛАЙН"</v>
      </c>
      <c r="K15411" s="24" t="s">
        <v>1357</v>
      </c>
      <c r="L15411" s="22" t="s">
        <v>10</v>
      </c>
      <c r="M15411" s="25">
        <v>12929</v>
      </c>
      <c r="N15411" s="27">
        <v>0.78997725795971407</v>
      </c>
    </row>
    <row r="15412" spans="1:14" hidden="1" outlineLevel="1" x14ac:dyDescent="0.2">
      <c r="A15412" s="23" t="str">
        <f t="shared" si="809"/>
        <v>МКУ "НАШ ГОРОД"</v>
      </c>
      <c r="B15412" s="24" t="s">
        <v>17699</v>
      </c>
      <c r="C15412" s="25">
        <v>61560</v>
      </c>
      <c r="D15412" s="22" t="s">
        <v>17700</v>
      </c>
      <c r="E15412" s="22" t="s">
        <v>103</v>
      </c>
      <c r="F15412" s="23" t="str">
        <f t="shared" si="810"/>
        <v>Оказание услуг по техническому обслуживанию системы видеонаблюдения на стационарных постах охраны общественного порядка</v>
      </c>
      <c r="G15412" s="22" t="s">
        <v>119</v>
      </c>
      <c r="H15412" s="22" t="s">
        <v>463</v>
      </c>
      <c r="I15412" s="26">
        <v>43507</v>
      </c>
      <c r="J15412" s="23" t="str">
        <f>HYPERLINK("https://www.spark-marketing.ru/Card/Person/6443260", "ООО ""ГРУППА КОМПАНИЙ ""АДМИРАЛ""")</f>
        <v>ООО "ГРУППА КОМПАНИЙ "АДМИРАЛ"</v>
      </c>
      <c r="K15412" s="24" t="s">
        <v>11299</v>
      </c>
      <c r="L15412" s="28" t="s">
        <v>52</v>
      </c>
      <c r="M15412" s="25">
        <v>13236.8</v>
      </c>
      <c r="N15412" s="27">
        <v>0.78497725795971407</v>
      </c>
    </row>
    <row r="15413" spans="1:14" x14ac:dyDescent="0.15">
      <c r="A15413" s="23" t="str">
        <f>HYPERLINK("https://www.spark-marketing.ru/Card/Person/1038370", "МДОУ НОВОМАЛЫКЛИНСКИЙ ДЕТСКИЙ САД ""СОЛНЫШКО""")</f>
        <v>МДОУ НОВОМАЛЫКЛИНСКИЙ ДЕТСКИЙ САД "СОЛНЫШКО"</v>
      </c>
      <c r="B15413" s="24" t="s">
        <v>17703</v>
      </c>
      <c r="C15413" s="25">
        <v>32400</v>
      </c>
      <c r="D15413" s="22" t="s">
        <v>17704</v>
      </c>
      <c r="E15413" s="22" t="s">
        <v>68</v>
      </c>
      <c r="F15413" s="23" t="str">
        <f>HYPERLINK("https://www.spark-marketing.ru/Card/Lot/67835744",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413" s="22" t="s">
        <v>446</v>
      </c>
      <c r="H15413" s="22" t="s">
        <v>446</v>
      </c>
      <c r="I15413" s="26">
        <v>43507</v>
      </c>
      <c r="J15413" s="28" t="s">
        <v>52</v>
      </c>
      <c r="K15413" s="28" t="s">
        <v>52</v>
      </c>
      <c r="L15413" s="28" t="s">
        <v>52</v>
      </c>
      <c r="M15413" s="28" t="s">
        <v>52</v>
      </c>
      <c r="N15413" s="28" t="s">
        <v>52</v>
      </c>
    </row>
    <row r="15414" spans="1:14" hidden="1" outlineLevel="1" x14ac:dyDescent="0.2">
      <c r="A15414" s="23" t="str">
        <f>HYPERLINK("https://www.spark-marketing.ru/Card/Person/1038370", "МДОУ НОВОМАЛЫКЛИНСКИЙ ДЕТСКИЙ САД ""СОЛНЫШКО""")</f>
        <v>МДОУ НОВОМАЛЫКЛИНСКИЙ ДЕТСКИЙ САД "СОЛНЫШКО"</v>
      </c>
      <c r="B15414" s="24" t="s">
        <v>17703</v>
      </c>
      <c r="C15414" s="25">
        <v>32400</v>
      </c>
      <c r="D15414" s="22" t="s">
        <v>17704</v>
      </c>
      <c r="E15414" s="22" t="s">
        <v>68</v>
      </c>
      <c r="F15414" s="23" t="str">
        <f>HYPERLINK("https://www.spark-marketing.ru/Card/Lot/67835744",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414" s="22" t="s">
        <v>446</v>
      </c>
      <c r="H15414" s="22" t="s">
        <v>446</v>
      </c>
      <c r="I15414" s="26">
        <v>43507</v>
      </c>
      <c r="J15414" s="23" t="str">
        <f>HYPERLINK("https://www.spark-marketing.ru/Card/Person/124094", "ООО ЧОО ""РЕДУТ+""")</f>
        <v>ООО ЧОО "РЕДУТ+"</v>
      </c>
      <c r="K15414" s="24" t="s">
        <v>16877</v>
      </c>
      <c r="L15414" s="28" t="s">
        <v>52</v>
      </c>
      <c r="M15414" s="25">
        <v>6000</v>
      </c>
      <c r="N15414" s="27">
        <v>0.81481481481481477</v>
      </c>
    </row>
    <row r="15415" spans="1:14" ht="12.75" hidden="1" outlineLevel="1" x14ac:dyDescent="0.2">
      <c r="A15415" s="23" t="str">
        <f>HYPERLINK("https://www.spark-marketing.ru/Card/Person/1038370", "МДОУ НОВОМАЛЫКЛИНСКИЙ ДЕТСКИЙ САД ""СОЛНЫШКО""")</f>
        <v>МДОУ НОВОМАЛЫКЛИНСКИЙ ДЕТСКИЙ САД "СОЛНЫШКО"</v>
      </c>
      <c r="B15415" s="24" t="s">
        <v>17703</v>
      </c>
      <c r="C15415" s="25">
        <v>32400</v>
      </c>
      <c r="D15415" s="22" t="s">
        <v>17704</v>
      </c>
      <c r="E15415" s="22" t="s">
        <v>68</v>
      </c>
      <c r="F15415" s="23" t="str">
        <f>HYPERLINK("https://www.spark-marketing.ru/Card/Lot/67835744",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415" s="22" t="s">
        <v>446</v>
      </c>
      <c r="H15415" s="22" t="s">
        <v>446</v>
      </c>
      <c r="I15415" s="26">
        <v>43507</v>
      </c>
      <c r="J15415" s="23" t="str">
        <f>HYPERLINK("https://www.spark-marketing.ru/Card/Person/5946939", "ООО АО ""АРМАДА""")</f>
        <v>ООО АО "АРМАДА"</v>
      </c>
      <c r="K15415" s="24" t="s">
        <v>12927</v>
      </c>
      <c r="L15415" s="22" t="s">
        <v>10</v>
      </c>
      <c r="M15415" s="25">
        <v>5838</v>
      </c>
      <c r="N15415" s="27">
        <v>0.81981481481481477</v>
      </c>
    </row>
    <row r="15416" spans="1:14" hidden="1" outlineLevel="1" x14ac:dyDescent="0.2">
      <c r="A15416" s="23" t="str">
        <f>HYPERLINK("https://www.spark-marketing.ru/Card/Person/1038370", "МДОУ НОВОМАЛЫКЛИНСКИЙ ДЕТСКИЙ САД ""СОЛНЫШКО""")</f>
        <v>МДОУ НОВОМАЛЫКЛИНСКИЙ ДЕТСКИЙ САД "СОЛНЫШКО"</v>
      </c>
      <c r="B15416" s="24" t="s">
        <v>17703</v>
      </c>
      <c r="C15416" s="25">
        <v>32400</v>
      </c>
      <c r="D15416" s="22" t="s">
        <v>17704</v>
      </c>
      <c r="E15416" s="22" t="s">
        <v>68</v>
      </c>
      <c r="F15416" s="23" t="str">
        <f>HYPERLINK("https://www.spark-marketing.ru/Card/Lot/67835744",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416" s="22" t="s">
        <v>446</v>
      </c>
      <c r="H15416" s="22" t="s">
        <v>446</v>
      </c>
      <c r="I15416" s="26">
        <v>43507</v>
      </c>
      <c r="J15416" s="23" t="str">
        <f>HYPERLINK("https://www.spark-marketing.ru/Card/Person/677682", "ООО ЧОО ""ЦСМ ""ГРОМ""")</f>
        <v>ООО ЧОО "ЦСМ "ГРОМ"</v>
      </c>
      <c r="K15416" s="24" t="s">
        <v>16878</v>
      </c>
      <c r="L15416" s="28" t="s">
        <v>52</v>
      </c>
      <c r="M15416" s="25">
        <v>15651.69</v>
      </c>
      <c r="N15416" s="27">
        <v>0.5169231481481481</v>
      </c>
    </row>
    <row r="15417" spans="1:14" x14ac:dyDescent="0.15">
      <c r="A15417" s="23" t="str">
        <f>HYPERLINK("https://www.spark-marketing.ru/Card/Person/997223", "МОУ СРЕДНЕЯКУШКИНСКАЯ СОШ")</f>
        <v>МОУ СРЕДНЕЯКУШКИНСКАЯ СОШ</v>
      </c>
      <c r="B15417" s="24" t="s">
        <v>17705</v>
      </c>
      <c r="C15417" s="25">
        <v>16200</v>
      </c>
      <c r="D15417" s="22" t="s">
        <v>17706</v>
      </c>
      <c r="E15417" s="22" t="s">
        <v>68</v>
      </c>
      <c r="F15417" s="23" t="str">
        <f>HYPERLINK("https://www.spark-marketing.ru/Card/Lot/67853069",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417" s="22" t="s">
        <v>446</v>
      </c>
      <c r="H15417" s="22" t="s">
        <v>16876</v>
      </c>
      <c r="I15417" s="26">
        <v>43507</v>
      </c>
      <c r="J15417" s="28" t="s">
        <v>52</v>
      </c>
      <c r="K15417" s="28" t="s">
        <v>52</v>
      </c>
      <c r="L15417" s="28" t="s">
        <v>52</v>
      </c>
      <c r="M15417" s="28" t="s">
        <v>52</v>
      </c>
      <c r="N15417" s="28" t="s">
        <v>52</v>
      </c>
    </row>
    <row r="15418" spans="1:14" hidden="1" outlineLevel="1" x14ac:dyDescent="0.2">
      <c r="A15418" s="23" t="str">
        <f>HYPERLINK("https://www.spark-marketing.ru/Card/Person/997223", "МОУ СРЕДНЕЯКУШКИНСКАЯ СОШ")</f>
        <v>МОУ СРЕДНЕЯКУШКИНСКАЯ СОШ</v>
      </c>
      <c r="B15418" s="24" t="s">
        <v>17705</v>
      </c>
      <c r="C15418" s="25">
        <v>16200</v>
      </c>
      <c r="D15418" s="22" t="s">
        <v>17706</v>
      </c>
      <c r="E15418" s="22" t="s">
        <v>68</v>
      </c>
      <c r="F15418" s="23" t="str">
        <f>HYPERLINK("https://www.spark-marketing.ru/Card/Lot/67853069",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418" s="22" t="s">
        <v>446</v>
      </c>
      <c r="H15418" s="22" t="s">
        <v>16876</v>
      </c>
      <c r="I15418" s="26">
        <v>43507</v>
      </c>
      <c r="J15418" s="23" t="str">
        <f>HYPERLINK("https://www.spark-marketing.ru/Card/Person/124094", "ООО ЧОО ""РЕДУТ+""")</f>
        <v>ООО ЧОО "РЕДУТ+"</v>
      </c>
      <c r="K15418" s="24" t="s">
        <v>16877</v>
      </c>
      <c r="L15418" s="28" t="s">
        <v>52</v>
      </c>
      <c r="M15418" s="25">
        <v>2800</v>
      </c>
      <c r="N15418" s="27">
        <v>0.8271604938271605</v>
      </c>
    </row>
    <row r="15419" spans="1:14" hidden="1" outlineLevel="1" x14ac:dyDescent="0.2">
      <c r="A15419" s="23" t="str">
        <f>HYPERLINK("https://www.spark-marketing.ru/Card/Person/997223", "МОУ СРЕДНЕЯКУШКИНСКАЯ СОШ")</f>
        <v>МОУ СРЕДНЕЯКУШКИНСКАЯ СОШ</v>
      </c>
      <c r="B15419" s="24" t="s">
        <v>17705</v>
      </c>
      <c r="C15419" s="25">
        <v>16200</v>
      </c>
      <c r="D15419" s="22" t="s">
        <v>17706</v>
      </c>
      <c r="E15419" s="22" t="s">
        <v>68</v>
      </c>
      <c r="F15419" s="23" t="str">
        <f>HYPERLINK("https://www.spark-marketing.ru/Card/Lot/67853069",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419" s="22" t="s">
        <v>446</v>
      </c>
      <c r="H15419" s="22" t="s">
        <v>16876</v>
      </c>
      <c r="I15419" s="26">
        <v>43507</v>
      </c>
      <c r="J15419" s="23" t="str">
        <f>HYPERLINK("https://www.spark-marketing.ru/Card/Person/677682", "ООО ЧОО ""ЦСМ ""ГРОМ""")</f>
        <v>ООО ЧОО "ЦСМ "ГРОМ"</v>
      </c>
      <c r="K15419" s="24" t="s">
        <v>16878</v>
      </c>
      <c r="L15419" s="28" t="s">
        <v>52</v>
      </c>
      <c r="M15419" s="25">
        <v>10550</v>
      </c>
      <c r="N15419" s="27">
        <v>0.34876543209876543</v>
      </c>
    </row>
    <row r="15420" spans="1:14" ht="12.75" hidden="1" outlineLevel="1" x14ac:dyDescent="0.2">
      <c r="A15420" s="23" t="str">
        <f>HYPERLINK("https://www.spark-marketing.ru/Card/Person/997223", "МОУ СРЕДНЕЯКУШКИНСКАЯ СОШ")</f>
        <v>МОУ СРЕДНЕЯКУШКИНСКАЯ СОШ</v>
      </c>
      <c r="B15420" s="24" t="s">
        <v>17705</v>
      </c>
      <c r="C15420" s="25">
        <v>16200</v>
      </c>
      <c r="D15420" s="22" t="s">
        <v>17706</v>
      </c>
      <c r="E15420" s="22" t="s">
        <v>68</v>
      </c>
      <c r="F15420" s="23" t="str">
        <f>HYPERLINK("https://www.spark-marketing.ru/Card/Lot/67853069",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420" s="22" t="s">
        <v>446</v>
      </c>
      <c r="H15420" s="22" t="s">
        <v>16876</v>
      </c>
      <c r="I15420" s="26">
        <v>43507</v>
      </c>
      <c r="J15420" s="23" t="str">
        <f>HYPERLINK("https://www.spark-marketing.ru/Card/Person/5946939", "ООО АО ""АРМАДА""")</f>
        <v>ООО АО "АРМАДА"</v>
      </c>
      <c r="K15420" s="24" t="s">
        <v>12927</v>
      </c>
      <c r="L15420" s="22" t="s">
        <v>10</v>
      </c>
      <c r="M15420" s="25">
        <v>2700</v>
      </c>
      <c r="N15420" s="27">
        <v>0.83333333333333337</v>
      </c>
    </row>
    <row r="15421" spans="1:14" x14ac:dyDescent="0.15">
      <c r="A15421" s="23" t="str">
        <f>HYPERLINK("https://www.spark-marketing.ru/Card/Person/4592", "УПРАВЛЕНИЕ ФЭ И ИО")</f>
        <v>УПРАВЛЕНИЕ ФЭ И ИО</v>
      </c>
      <c r="B15421" s="24" t="s">
        <v>17707</v>
      </c>
      <c r="C15421" s="25">
        <v>181200</v>
      </c>
      <c r="D15421" s="22" t="s">
        <v>17708</v>
      </c>
      <c r="E15421" s="22" t="s">
        <v>183</v>
      </c>
      <c r="F15421" s="23" t="str">
        <f>HYPERLINK("https://www.spark-marketing.ru/Card/Lot/67826186", "охрана имущества входящего в состав казны")</f>
        <v>охрана имущества входящего в состав казны</v>
      </c>
      <c r="G15421" s="22" t="s">
        <v>1544</v>
      </c>
      <c r="H15421" s="22" t="s">
        <v>1544</v>
      </c>
      <c r="I15421" s="26">
        <v>43507</v>
      </c>
      <c r="J15421" s="28" t="s">
        <v>52</v>
      </c>
      <c r="K15421" s="28" t="s">
        <v>52</v>
      </c>
      <c r="L15421" s="28" t="s">
        <v>52</v>
      </c>
      <c r="M15421" s="28" t="s">
        <v>52</v>
      </c>
      <c r="N15421" s="28" t="s">
        <v>52</v>
      </c>
    </row>
    <row r="15422" spans="1:14" x14ac:dyDescent="0.15">
      <c r="A15422" s="23" t="str">
        <f>HYPERLINK("https://www.spark-marketing.ru/Card/Person/11952", "АДМИНИСТРАЦИЯ КОРКИНСКОГО МУНИЦИПАЛЬНОГО РАЙОНА")</f>
        <v>АДМИНИСТРАЦИЯ КОРКИНСКОГО МУНИЦИПАЛЬНОГО РАЙОНА</v>
      </c>
      <c r="B15422" s="24" t="s">
        <v>17709</v>
      </c>
      <c r="C15422" s="25">
        <v>80000</v>
      </c>
      <c r="D15422" s="22" t="s">
        <v>17710</v>
      </c>
      <c r="E15422" s="22" t="s">
        <v>68</v>
      </c>
      <c r="F15422" s="23" t="str">
        <f>HYPERLINK("https://www.spark-marketing.ru/Card/Lot/67828788", "Поддержание санитарного состояния земельного участка с разрешенным видом использования для размещения скотомогильника")</f>
        <v>Поддержание санитарного состояния земельного участка с разрешенным видом использования для размещения скотомогильника</v>
      </c>
      <c r="G15422" s="22" t="s">
        <v>60</v>
      </c>
      <c r="H15422" s="22" t="s">
        <v>60</v>
      </c>
      <c r="I15422" s="26">
        <v>43507</v>
      </c>
      <c r="J15422" s="23" t="str">
        <f>HYPERLINK("https://www.spark-marketing.ru/Card/Person/4416410", "ООО ""КС""")</f>
        <v>ООО "КС"</v>
      </c>
      <c r="K15422" s="24" t="s">
        <v>17711</v>
      </c>
      <c r="L15422" s="22" t="s">
        <v>10</v>
      </c>
      <c r="M15422" s="28" t="s">
        <v>52</v>
      </c>
      <c r="N15422" s="28" t="s">
        <v>52</v>
      </c>
    </row>
    <row r="15423" spans="1:14" x14ac:dyDescent="0.15">
      <c r="A15423" s="23" t="str">
        <f>HYPERLINK("https://www.spark-marketing.ru/Card/Person/6450322", "ЗАКАЗЧИК РП БЕЛАРУСЬ")</f>
        <v>ЗАКАЗЧИК РП БЕЛАРУСЬ</v>
      </c>
      <c r="B15423" s="28" t="s">
        <v>52</v>
      </c>
      <c r="C15423" s="28" t="s">
        <v>52</v>
      </c>
      <c r="D15423" s="22" t="s">
        <v>17712</v>
      </c>
      <c r="E15423" s="22" t="s">
        <v>53</v>
      </c>
      <c r="F15423" s="23" t="str">
        <f>HYPERLINK("https://www.spark-marketing.ru/Card/Lot/67862418", "Монтаж акустического сопровождения новых и действующих объектов ""БелМаркетКомпани"".")</f>
        <v>Монтаж акустического сопровождения новых и действующих объектов "БелМаркетКомпани".</v>
      </c>
      <c r="G15423" s="22" t="s">
        <v>52</v>
      </c>
      <c r="H15423" s="22" t="s">
        <v>52</v>
      </c>
      <c r="I15423" s="26">
        <v>43507</v>
      </c>
      <c r="J15423" s="28" t="s">
        <v>52</v>
      </c>
      <c r="K15423" s="28" t="s">
        <v>52</v>
      </c>
      <c r="L15423" s="28" t="s">
        <v>52</v>
      </c>
      <c r="M15423" s="28" t="s">
        <v>52</v>
      </c>
      <c r="N15423" s="28" t="s">
        <v>52</v>
      </c>
    </row>
    <row r="15424" spans="1:14" x14ac:dyDescent="0.15">
      <c r="A15424" s="23" t="str">
        <f>HYPERLINK("https://www.spark-marketing.ru/Card/Person/4346740", "ГСУ СК РОССИИ ПО МОСКОВСКОЙ ОБЛАСТИ")</f>
        <v>ГСУ СК РОССИИ ПО МОСКОВСКОЙ ОБЛАСТИ</v>
      </c>
      <c r="B15424" s="24" t="s">
        <v>16905</v>
      </c>
      <c r="C15424" s="25">
        <v>9309847.6799999997</v>
      </c>
      <c r="D15424" s="22" t="s">
        <v>17713</v>
      </c>
      <c r="E15424" s="22" t="s">
        <v>68</v>
      </c>
      <c r="F15424" s="23" t="str">
        <f>HYPERLINK("https://www.spark-marketing.ru/Card/Lot/67851046", "Оказание услуг по военизированной охране ФГУП ""Охрана"" Росгвардии объектов Главного следственного управления Следственного комитета Российской Федерации по Московской области")</f>
        <v>Оказание услуг по военизированной охране ФГУП "Охрана" Росгвардии объектов Главного следственного управления Следственного комитета Российской Федерации по Московской области</v>
      </c>
      <c r="G15424" s="22" t="s">
        <v>55</v>
      </c>
      <c r="H15424" s="22" t="s">
        <v>55</v>
      </c>
      <c r="I15424" s="26">
        <v>43507</v>
      </c>
      <c r="J15424" s="28" t="s">
        <v>52</v>
      </c>
      <c r="K15424" s="28" t="s">
        <v>52</v>
      </c>
      <c r="L15424" s="28" t="s">
        <v>52</v>
      </c>
      <c r="M15424" s="28" t="s">
        <v>52</v>
      </c>
      <c r="N15424" s="28" t="s">
        <v>52</v>
      </c>
    </row>
    <row r="15425" spans="1:14" x14ac:dyDescent="0.15">
      <c r="A15425" s="23" t="str">
        <f>HYPERLINK("https://www.spark-marketing.ru/Card/Person/568992", "МОУ ВЫСОКОКОЛКОВСКАЯ СШ")</f>
        <v>МОУ ВЫСОКОКОЛКОВСКАЯ СШ</v>
      </c>
      <c r="B15425" s="24" t="s">
        <v>17714</v>
      </c>
      <c r="C15425" s="25">
        <v>16200</v>
      </c>
      <c r="D15425" s="22" t="s">
        <v>17715</v>
      </c>
      <c r="E15425" s="22" t="s">
        <v>68</v>
      </c>
      <c r="F15425" s="23" t="str">
        <f>HYPERLINK("https://www.spark-marketing.ru/Card/Lot/67853071",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425" s="22" t="s">
        <v>446</v>
      </c>
      <c r="H15425" s="22" t="s">
        <v>16876</v>
      </c>
      <c r="I15425" s="26">
        <v>43507</v>
      </c>
      <c r="J15425" s="28" t="s">
        <v>52</v>
      </c>
      <c r="K15425" s="28" t="s">
        <v>52</v>
      </c>
      <c r="L15425" s="28" t="s">
        <v>52</v>
      </c>
      <c r="M15425" s="28" t="s">
        <v>52</v>
      </c>
      <c r="N15425" s="28" t="s">
        <v>52</v>
      </c>
    </row>
    <row r="15426" spans="1:14" hidden="1" outlineLevel="1" x14ac:dyDescent="0.2">
      <c r="A15426" s="23" t="str">
        <f>HYPERLINK("https://www.spark-marketing.ru/Card/Person/568992", "МОУ ВЫСОКОКОЛКОВСКАЯ СШ")</f>
        <v>МОУ ВЫСОКОКОЛКОВСКАЯ СШ</v>
      </c>
      <c r="B15426" s="24" t="s">
        <v>17714</v>
      </c>
      <c r="C15426" s="25">
        <v>16200</v>
      </c>
      <c r="D15426" s="22" t="s">
        <v>17715</v>
      </c>
      <c r="E15426" s="22" t="s">
        <v>68</v>
      </c>
      <c r="F15426" s="23" t="str">
        <f>HYPERLINK("https://www.spark-marketing.ru/Card/Lot/67853071",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426" s="22" t="s">
        <v>446</v>
      </c>
      <c r="H15426" s="22" t="s">
        <v>16876</v>
      </c>
      <c r="I15426" s="26">
        <v>43507</v>
      </c>
      <c r="J15426" s="23" t="str">
        <f>HYPERLINK("https://www.spark-marketing.ru/Card/Person/677682", "ООО ЧОО ""ЦСМ ""ГРОМ""")</f>
        <v>ООО ЧОО "ЦСМ "ГРОМ"</v>
      </c>
      <c r="K15426" s="24" t="s">
        <v>16878</v>
      </c>
      <c r="L15426" s="28" t="s">
        <v>52</v>
      </c>
      <c r="M15426" s="25">
        <v>11050</v>
      </c>
      <c r="N15426" s="27">
        <v>0.31790123456790126</v>
      </c>
    </row>
    <row r="15427" spans="1:14" ht="12.75" hidden="1" outlineLevel="1" x14ac:dyDescent="0.2">
      <c r="A15427" s="23" t="str">
        <f>HYPERLINK("https://www.spark-marketing.ru/Card/Person/568992", "МОУ ВЫСОКОКОЛКОВСКАЯ СШ")</f>
        <v>МОУ ВЫСОКОКОЛКОВСКАЯ СШ</v>
      </c>
      <c r="B15427" s="24" t="s">
        <v>17714</v>
      </c>
      <c r="C15427" s="25">
        <v>16200</v>
      </c>
      <c r="D15427" s="22" t="s">
        <v>17715</v>
      </c>
      <c r="E15427" s="22" t="s">
        <v>68</v>
      </c>
      <c r="F15427" s="23" t="str">
        <f>HYPERLINK("https://www.spark-marketing.ru/Card/Lot/67853071",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427" s="22" t="s">
        <v>446</v>
      </c>
      <c r="H15427" s="22" t="s">
        <v>16876</v>
      </c>
      <c r="I15427" s="26">
        <v>43507</v>
      </c>
      <c r="J15427" s="23" t="str">
        <f>HYPERLINK("https://www.spark-marketing.ru/Card/Person/5946939", "ООО АО ""АРМАДА""")</f>
        <v>ООО АО "АРМАДА"</v>
      </c>
      <c r="K15427" s="24" t="s">
        <v>12927</v>
      </c>
      <c r="L15427" s="22" t="s">
        <v>10</v>
      </c>
      <c r="M15427" s="25">
        <v>2590</v>
      </c>
      <c r="N15427" s="27">
        <v>0.84012345679012346</v>
      </c>
    </row>
    <row r="15428" spans="1:14" hidden="1" outlineLevel="1" x14ac:dyDescent="0.2">
      <c r="A15428" s="23" t="str">
        <f>HYPERLINK("https://www.spark-marketing.ru/Card/Person/568992", "МОУ ВЫСОКОКОЛКОВСКАЯ СШ")</f>
        <v>МОУ ВЫСОКОКОЛКОВСКАЯ СШ</v>
      </c>
      <c r="B15428" s="24" t="s">
        <v>17714</v>
      </c>
      <c r="C15428" s="25">
        <v>16200</v>
      </c>
      <c r="D15428" s="22" t="s">
        <v>17715</v>
      </c>
      <c r="E15428" s="22" t="s">
        <v>68</v>
      </c>
      <c r="F15428" s="23" t="str">
        <f>HYPERLINK("https://www.spark-marketing.ru/Card/Lot/67853071",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428" s="22" t="s">
        <v>446</v>
      </c>
      <c r="H15428" s="22" t="s">
        <v>16876</v>
      </c>
      <c r="I15428" s="26">
        <v>43507</v>
      </c>
      <c r="J15428" s="23" t="str">
        <f>HYPERLINK("https://www.spark-marketing.ru/Card/Person/124094", "ООО ЧОО ""РЕДУТ+""")</f>
        <v>ООО ЧОО "РЕДУТ+"</v>
      </c>
      <c r="K15428" s="24" t="s">
        <v>16877</v>
      </c>
      <c r="L15428" s="28" t="s">
        <v>52</v>
      </c>
      <c r="M15428" s="25">
        <v>2690</v>
      </c>
      <c r="N15428" s="27">
        <v>0.83395061728395059</v>
      </c>
    </row>
    <row r="15429" spans="1:14" x14ac:dyDescent="0.15">
      <c r="A15429" s="23" t="str">
        <f>HYPERLINK("https://www.spark-marketing.ru/Card/Person/179175", "КГУП ""КАМЧАТСКИЙ ВОДОКАНАЛ""")</f>
        <v>КГУП "КАМЧАТСКИЙ ВОДОКАНАЛ"</v>
      </c>
      <c r="B15429" s="24" t="s">
        <v>16572</v>
      </c>
      <c r="C15429" s="25">
        <v>2547000</v>
      </c>
      <c r="D15429" s="22" t="s">
        <v>17716</v>
      </c>
      <c r="E15429" s="22" t="s">
        <v>17717</v>
      </c>
      <c r="F15429" s="23" t="str">
        <f>HYPERLINK("https://www.spark-marketing.ru/Card/Lot/67825897", "Поставка твердого покрытия дорожек зон санитарной охраны объектов КГУП ""Камчатский водоканал""")</f>
        <v>Поставка твердого покрытия дорожек зон санитарной охраны объектов КГУП "Камчатский водоканал"</v>
      </c>
      <c r="G15429" s="22" t="s">
        <v>1141</v>
      </c>
      <c r="H15429" s="22" t="s">
        <v>1141</v>
      </c>
      <c r="I15429" s="26">
        <v>43507</v>
      </c>
      <c r="J15429" s="28" t="s">
        <v>52</v>
      </c>
      <c r="K15429" s="28" t="s">
        <v>52</v>
      </c>
      <c r="L15429" s="28" t="s">
        <v>52</v>
      </c>
      <c r="M15429" s="28" t="s">
        <v>52</v>
      </c>
      <c r="N15429" s="28" t="s">
        <v>52</v>
      </c>
    </row>
    <row r="15430" spans="1:14" ht="12.75" hidden="1" outlineLevel="1" x14ac:dyDescent="0.2">
      <c r="A15430" s="23" t="str">
        <f>HYPERLINK("https://www.spark-marketing.ru/Card/Person/179175", "КГУП ""КАМЧАТСКИЙ ВОДОКАНАЛ""")</f>
        <v>КГУП "КАМЧАТСКИЙ ВОДОКАНАЛ"</v>
      </c>
      <c r="B15430" s="24" t="s">
        <v>16572</v>
      </c>
      <c r="C15430" s="25">
        <v>2547000</v>
      </c>
      <c r="D15430" s="22" t="s">
        <v>17716</v>
      </c>
      <c r="E15430" s="22" t="s">
        <v>17717</v>
      </c>
      <c r="F15430" s="23" t="str">
        <f>HYPERLINK("https://www.spark-marketing.ru/Card/Lot/67825897", "Поставка твердого покрытия дорожек зон санитарной охраны объектов КГУП ""Камчатский водоканал""")</f>
        <v>Поставка твердого покрытия дорожек зон санитарной охраны объектов КГУП "Камчатский водоканал"</v>
      </c>
      <c r="G15430" s="22" t="s">
        <v>1141</v>
      </c>
      <c r="H15430" s="22" t="s">
        <v>1141</v>
      </c>
      <c r="I15430" s="26">
        <v>43507</v>
      </c>
      <c r="J15430" s="23" t="str">
        <f>HYPERLINK("https://www.spark-marketing.ru/Card/Person/223741", "ООО ""ЭДЕЛЬВЕЙС""")</f>
        <v>ООО "ЭДЕЛЬВЕЙС"</v>
      </c>
      <c r="K15430" s="24" t="s">
        <v>17718</v>
      </c>
      <c r="L15430" s="22" t="s">
        <v>10</v>
      </c>
      <c r="M15430" s="25">
        <v>2050335</v>
      </c>
      <c r="N15430" s="27">
        <v>0.19500000000000001</v>
      </c>
    </row>
    <row r="15431" spans="1:14" hidden="1" outlineLevel="1" x14ac:dyDescent="0.2">
      <c r="A15431" s="23" t="str">
        <f>HYPERLINK("https://www.spark-marketing.ru/Card/Person/179175", "КГУП ""КАМЧАТСКИЙ ВОДОКАНАЛ""")</f>
        <v>КГУП "КАМЧАТСКИЙ ВОДОКАНАЛ"</v>
      </c>
      <c r="B15431" s="24" t="s">
        <v>16572</v>
      </c>
      <c r="C15431" s="25">
        <v>2547000</v>
      </c>
      <c r="D15431" s="22" t="s">
        <v>17716</v>
      </c>
      <c r="E15431" s="22" t="s">
        <v>17717</v>
      </c>
      <c r="F15431" s="23" t="str">
        <f>HYPERLINK("https://www.spark-marketing.ru/Card/Lot/67825897", "Поставка твердого покрытия дорожек зон санитарной охраны объектов КГУП ""Камчатский водоканал""")</f>
        <v>Поставка твердого покрытия дорожек зон санитарной охраны объектов КГУП "Камчатский водоканал"</v>
      </c>
      <c r="G15431" s="22" t="s">
        <v>1141</v>
      </c>
      <c r="H15431" s="22" t="s">
        <v>1141</v>
      </c>
      <c r="I15431" s="26">
        <v>43507</v>
      </c>
      <c r="J15431" s="23" t="str">
        <f>HYPERLINK("https://www.spark-marketing.ru/Card/Person/6176571", "ООО ""ПРОФЛАЙТ""")</f>
        <v>ООО "ПРОФЛАЙТ"</v>
      </c>
      <c r="K15431" s="24" t="s">
        <v>17719</v>
      </c>
      <c r="L15431" s="28" t="s">
        <v>52</v>
      </c>
      <c r="M15431" s="25">
        <v>2063070</v>
      </c>
      <c r="N15431" s="27">
        <v>0.19</v>
      </c>
    </row>
    <row r="15432" spans="1:14" x14ac:dyDescent="0.15">
      <c r="A15432" s="23" t="str">
        <f t="shared" ref="A15432:A15452" si="811">HYPERLINK("https://www.spark-marketing.ru/Card/Person/4435", "ГБУЗ НО ""ГКБ № 40""")</f>
        <v>ГБУЗ НО "ГКБ № 40"</v>
      </c>
      <c r="B15432" s="24" t="s">
        <v>7229</v>
      </c>
      <c r="C15432" s="25">
        <v>731940</v>
      </c>
      <c r="D15432" s="22" t="s">
        <v>17720</v>
      </c>
      <c r="E15432" s="22" t="s">
        <v>68</v>
      </c>
      <c r="F15432" s="23" t="str">
        <f t="shared" ref="F15432:F15442" si="812">HYPERLINK("https://www.spark-marketing.ru/Card/Lot/67841017", "Определение исполнителя на оказание охранных услуг на объекте: ""Контрольно -пропускной пункт""")</f>
        <v>Определение исполнителя на оказание охранных услуг на объекте: "Контрольно -пропускной пункт"</v>
      </c>
      <c r="G15432" s="22" t="s">
        <v>64</v>
      </c>
      <c r="H15432" s="22" t="s">
        <v>65</v>
      </c>
      <c r="I15432" s="26">
        <v>43507</v>
      </c>
      <c r="J15432" s="28" t="s">
        <v>52</v>
      </c>
      <c r="K15432" s="28" t="s">
        <v>52</v>
      </c>
      <c r="L15432" s="28" t="s">
        <v>52</v>
      </c>
      <c r="M15432" s="28" t="s">
        <v>52</v>
      </c>
      <c r="N15432" s="28" t="s">
        <v>52</v>
      </c>
    </row>
    <row r="15433" spans="1:14" hidden="1" outlineLevel="1" x14ac:dyDescent="0.2">
      <c r="A15433" s="23" t="str">
        <f t="shared" si="811"/>
        <v>ГБУЗ НО "ГКБ № 40"</v>
      </c>
      <c r="B15433" s="24" t="s">
        <v>7229</v>
      </c>
      <c r="C15433" s="25">
        <v>731940</v>
      </c>
      <c r="D15433" s="22" t="s">
        <v>17720</v>
      </c>
      <c r="E15433" s="22" t="s">
        <v>68</v>
      </c>
      <c r="F15433" s="23" t="str">
        <f t="shared" si="812"/>
        <v>Определение исполнителя на оказание охранных услуг на объекте: "Контрольно -пропускной пункт"</v>
      </c>
      <c r="G15433" s="22" t="s">
        <v>64</v>
      </c>
      <c r="H15433" s="22" t="s">
        <v>65</v>
      </c>
      <c r="I15433" s="26">
        <v>43507</v>
      </c>
      <c r="J15433" s="23" t="str">
        <f>HYPERLINK("https://www.spark-marketing.ru/Card/Person/4857369", "ООО ""ЗАЩИТА - НН""")</f>
        <v>ООО "ЗАЩИТА - НН"</v>
      </c>
      <c r="K15433" s="24" t="s">
        <v>14633</v>
      </c>
      <c r="L15433" s="28" t="s">
        <v>52</v>
      </c>
      <c r="M15433" s="25">
        <v>271743.3</v>
      </c>
      <c r="N15433" s="27">
        <v>0.62873555209443399</v>
      </c>
    </row>
    <row r="15434" spans="1:14" hidden="1" outlineLevel="1" x14ac:dyDescent="0.2">
      <c r="A15434" s="23" t="str">
        <f t="shared" si="811"/>
        <v>ГБУЗ НО "ГКБ № 40"</v>
      </c>
      <c r="B15434" s="24" t="s">
        <v>7229</v>
      </c>
      <c r="C15434" s="25">
        <v>731940</v>
      </c>
      <c r="D15434" s="22" t="s">
        <v>17720</v>
      </c>
      <c r="E15434" s="22" t="s">
        <v>68</v>
      </c>
      <c r="F15434" s="23" t="str">
        <f t="shared" si="812"/>
        <v>Определение исполнителя на оказание охранных услуг на объекте: "Контрольно -пропускной пункт"</v>
      </c>
      <c r="G15434" s="22" t="s">
        <v>64</v>
      </c>
      <c r="H15434" s="22" t="s">
        <v>65</v>
      </c>
      <c r="I15434" s="26">
        <v>43507</v>
      </c>
      <c r="J15434" s="23" t="str">
        <f>HYPERLINK("https://www.spark-marketing.ru/Card/Person/139311", "ООО ОП ""ГЕПАРД""")</f>
        <v>ООО ОП "ГЕПАРД"</v>
      </c>
      <c r="K15434" s="24" t="s">
        <v>17721</v>
      </c>
      <c r="L15434" s="28" t="s">
        <v>52</v>
      </c>
      <c r="M15434" s="25">
        <v>312000</v>
      </c>
      <c r="N15434" s="27">
        <v>0.57373555209443394</v>
      </c>
    </row>
    <row r="15435" spans="1:14" hidden="1" outlineLevel="1" x14ac:dyDescent="0.2">
      <c r="A15435" s="23" t="str">
        <f t="shared" si="811"/>
        <v>ГБУЗ НО "ГКБ № 40"</v>
      </c>
      <c r="B15435" s="24" t="s">
        <v>7229</v>
      </c>
      <c r="C15435" s="25">
        <v>731940</v>
      </c>
      <c r="D15435" s="22" t="s">
        <v>17720</v>
      </c>
      <c r="E15435" s="22" t="s">
        <v>68</v>
      </c>
      <c r="F15435" s="23" t="str">
        <f t="shared" si="812"/>
        <v>Определение исполнителя на оказание охранных услуг на объекте: "Контрольно -пропускной пункт"</v>
      </c>
      <c r="G15435" s="22" t="s">
        <v>64</v>
      </c>
      <c r="H15435" s="22" t="s">
        <v>65</v>
      </c>
      <c r="I15435" s="26">
        <v>43507</v>
      </c>
      <c r="J15435" s="23" t="str">
        <f>HYPERLINK("https://www.spark-marketing.ru/Card/Person/525146", "ООО ""Ч.О.П. ""КАСКАД""")</f>
        <v>ООО "Ч.О.П. "КАСКАД"</v>
      </c>
      <c r="K15435" s="24" t="s">
        <v>17722</v>
      </c>
      <c r="L15435" s="28" t="s">
        <v>52</v>
      </c>
      <c r="M15435" s="25">
        <v>512358</v>
      </c>
      <c r="N15435" s="27">
        <v>0.3</v>
      </c>
    </row>
    <row r="15436" spans="1:14" hidden="1" outlineLevel="1" x14ac:dyDescent="0.2">
      <c r="A15436" s="23" t="str">
        <f t="shared" si="811"/>
        <v>ГБУЗ НО "ГКБ № 40"</v>
      </c>
      <c r="B15436" s="24" t="s">
        <v>7229</v>
      </c>
      <c r="C15436" s="25">
        <v>731940</v>
      </c>
      <c r="D15436" s="22" t="s">
        <v>17720</v>
      </c>
      <c r="E15436" s="22" t="s">
        <v>68</v>
      </c>
      <c r="F15436" s="23" t="str">
        <f t="shared" si="812"/>
        <v>Определение исполнителя на оказание охранных услуг на объекте: "Контрольно -пропускной пункт"</v>
      </c>
      <c r="G15436" s="22" t="s">
        <v>64</v>
      </c>
      <c r="H15436" s="22" t="s">
        <v>65</v>
      </c>
      <c r="I15436" s="26">
        <v>43507</v>
      </c>
      <c r="J15436" s="23" t="str">
        <f>HYPERLINK("https://www.spark-marketing.ru/Card/Person/6276096", "ООО ""ОА ""ВЕГА""")</f>
        <v>ООО "ОА "ВЕГА"</v>
      </c>
      <c r="K15436" s="24" t="s">
        <v>10788</v>
      </c>
      <c r="L15436" s="28" t="s">
        <v>52</v>
      </c>
      <c r="M15436" s="25">
        <v>333032.7</v>
      </c>
      <c r="N15436" s="27">
        <v>0.54500000000000004</v>
      </c>
    </row>
    <row r="15437" spans="1:14" hidden="1" outlineLevel="1" x14ac:dyDescent="0.2">
      <c r="A15437" s="23" t="str">
        <f t="shared" si="811"/>
        <v>ГБУЗ НО "ГКБ № 40"</v>
      </c>
      <c r="B15437" s="24" t="s">
        <v>7229</v>
      </c>
      <c r="C15437" s="25">
        <v>731940</v>
      </c>
      <c r="D15437" s="22" t="s">
        <v>17720</v>
      </c>
      <c r="E15437" s="22" t="s">
        <v>68</v>
      </c>
      <c r="F15437" s="23" t="str">
        <f t="shared" si="812"/>
        <v>Определение исполнителя на оказание охранных услуг на объекте: "Контрольно -пропускной пункт"</v>
      </c>
      <c r="G15437" s="22" t="s">
        <v>64</v>
      </c>
      <c r="H15437" s="22" t="s">
        <v>65</v>
      </c>
      <c r="I15437" s="26">
        <v>43507</v>
      </c>
      <c r="J15437" s="23" t="str">
        <f>HYPERLINK("https://www.spark-marketing.ru/Card/Person/526982", "ООО ОП ""АКС ГАРД-НН""")</f>
        <v>ООО ОП "АКС ГАРД-НН"</v>
      </c>
      <c r="K15437" s="24" t="s">
        <v>12013</v>
      </c>
      <c r="L15437" s="28" t="s">
        <v>52</v>
      </c>
      <c r="M15437" s="25">
        <v>395247.6</v>
      </c>
      <c r="N15437" s="27">
        <v>0.46</v>
      </c>
    </row>
    <row r="15438" spans="1:14" hidden="1" outlineLevel="1" x14ac:dyDescent="0.2">
      <c r="A15438" s="23" t="str">
        <f t="shared" si="811"/>
        <v>ГБУЗ НО "ГКБ № 40"</v>
      </c>
      <c r="B15438" s="24" t="s">
        <v>7229</v>
      </c>
      <c r="C15438" s="25">
        <v>731940</v>
      </c>
      <c r="D15438" s="22" t="s">
        <v>17720</v>
      </c>
      <c r="E15438" s="22" t="s">
        <v>68</v>
      </c>
      <c r="F15438" s="23" t="str">
        <f t="shared" si="812"/>
        <v>Определение исполнителя на оказание охранных услуг на объекте: "Контрольно -пропускной пункт"</v>
      </c>
      <c r="G15438" s="22" t="s">
        <v>64</v>
      </c>
      <c r="H15438" s="22" t="s">
        <v>65</v>
      </c>
      <c r="I15438" s="26">
        <v>43507</v>
      </c>
      <c r="J15438" s="23" t="str">
        <f>HYPERLINK("https://www.spark-marketing.ru/Card/Person/1266142", "ООО ЧОО ""СКОРПИОН-НН""")</f>
        <v>ООО ЧОО "СКОРПИОН-НН"</v>
      </c>
      <c r="K15438" s="24" t="s">
        <v>17723</v>
      </c>
      <c r="L15438" s="28" t="s">
        <v>52</v>
      </c>
      <c r="M15438" s="25">
        <v>409886.4</v>
      </c>
      <c r="N15438" s="27">
        <v>0.44</v>
      </c>
    </row>
    <row r="15439" spans="1:14" hidden="1" outlineLevel="1" x14ac:dyDescent="0.2">
      <c r="A15439" s="23" t="str">
        <f t="shared" si="811"/>
        <v>ГБУЗ НО "ГКБ № 40"</v>
      </c>
      <c r="B15439" s="24" t="s">
        <v>7229</v>
      </c>
      <c r="C15439" s="25">
        <v>731940</v>
      </c>
      <c r="D15439" s="22" t="s">
        <v>17720</v>
      </c>
      <c r="E15439" s="22" t="s">
        <v>68</v>
      </c>
      <c r="F15439" s="23" t="str">
        <f t="shared" si="812"/>
        <v>Определение исполнителя на оказание охранных услуг на объекте: "Контрольно -пропускной пункт"</v>
      </c>
      <c r="G15439" s="22" t="s">
        <v>64</v>
      </c>
      <c r="H15439" s="22" t="s">
        <v>65</v>
      </c>
      <c r="I15439" s="26">
        <v>43507</v>
      </c>
      <c r="J15439" s="23" t="str">
        <f>HYPERLINK("https://www.spark-marketing.ru/Card/Person/5894513", "ООО ЧОО ""ЛИГР""")</f>
        <v>ООО ЧОО "ЛИГР"</v>
      </c>
      <c r="K15439" s="24" t="s">
        <v>17724</v>
      </c>
      <c r="L15439" s="28" t="s">
        <v>52</v>
      </c>
      <c r="M15439" s="25">
        <v>380608.8</v>
      </c>
      <c r="N15439" s="27">
        <v>0.48</v>
      </c>
    </row>
    <row r="15440" spans="1:14" hidden="1" outlineLevel="1" x14ac:dyDescent="0.2">
      <c r="A15440" s="23" t="str">
        <f t="shared" si="811"/>
        <v>ГБУЗ НО "ГКБ № 40"</v>
      </c>
      <c r="B15440" s="24" t="s">
        <v>7229</v>
      </c>
      <c r="C15440" s="25">
        <v>731940</v>
      </c>
      <c r="D15440" s="22" t="s">
        <v>17720</v>
      </c>
      <c r="E15440" s="22" t="s">
        <v>68</v>
      </c>
      <c r="F15440" s="23" t="str">
        <f t="shared" si="812"/>
        <v>Определение исполнителя на оказание охранных услуг на объекте: "Контрольно -пропускной пункт"</v>
      </c>
      <c r="G15440" s="22" t="s">
        <v>64</v>
      </c>
      <c r="H15440" s="22" t="s">
        <v>65</v>
      </c>
      <c r="I15440" s="26">
        <v>43507</v>
      </c>
      <c r="J15440" s="23" t="str">
        <f>HYPERLINK("https://www.spark-marketing.ru/Card/Person/517510", "ООО ЧОП ""БУМЕРАНГ""")</f>
        <v>ООО ЧОП "БУМЕРАНГ"</v>
      </c>
      <c r="K15440" s="24" t="s">
        <v>17725</v>
      </c>
      <c r="L15440" s="28" t="s">
        <v>52</v>
      </c>
      <c r="M15440" s="25">
        <v>464781.9</v>
      </c>
      <c r="N15440" s="27">
        <v>0.36499999999999999</v>
      </c>
    </row>
    <row r="15441" spans="1:14" hidden="1" outlineLevel="1" x14ac:dyDescent="0.2">
      <c r="A15441" s="23" t="str">
        <f t="shared" si="811"/>
        <v>ГБУЗ НО "ГКБ № 40"</v>
      </c>
      <c r="B15441" s="24" t="s">
        <v>7229</v>
      </c>
      <c r="C15441" s="25">
        <v>731940</v>
      </c>
      <c r="D15441" s="22" t="s">
        <v>17720</v>
      </c>
      <c r="E15441" s="22" t="s">
        <v>68</v>
      </c>
      <c r="F15441" s="23" t="str">
        <f t="shared" si="812"/>
        <v>Определение исполнителя на оказание охранных услуг на объекте: "Контрольно -пропускной пункт"</v>
      </c>
      <c r="G15441" s="22" t="s">
        <v>64</v>
      </c>
      <c r="H15441" s="22" t="s">
        <v>65</v>
      </c>
      <c r="I15441" s="26">
        <v>43507</v>
      </c>
      <c r="J15441" s="23" t="str">
        <f>HYPERLINK("https://www.spark-marketing.ru/Card/Person/527353", "ООО ОП ""АВАНГАРД""")</f>
        <v>ООО ОП "АВАНГАРД"</v>
      </c>
      <c r="K15441" s="24" t="s">
        <v>17726</v>
      </c>
      <c r="L15441" s="28" t="s">
        <v>52</v>
      </c>
      <c r="M15441" s="25">
        <v>365970</v>
      </c>
      <c r="N15441" s="27">
        <v>0.5</v>
      </c>
    </row>
    <row r="15442" spans="1:14" ht="12.75" hidden="1" outlineLevel="1" x14ac:dyDescent="0.2">
      <c r="A15442" s="23" t="str">
        <f t="shared" si="811"/>
        <v>ГБУЗ НО "ГКБ № 40"</v>
      </c>
      <c r="B15442" s="24" t="s">
        <v>7229</v>
      </c>
      <c r="C15442" s="25">
        <v>731940</v>
      </c>
      <c r="D15442" s="22" t="s">
        <v>17720</v>
      </c>
      <c r="E15442" s="22" t="s">
        <v>68</v>
      </c>
      <c r="F15442" s="23" t="str">
        <f t="shared" si="812"/>
        <v>Определение исполнителя на оказание охранных услуг на объекте: "Контрольно -пропускной пункт"</v>
      </c>
      <c r="G15442" s="22" t="s">
        <v>64</v>
      </c>
      <c r="H15442" s="22" t="s">
        <v>65</v>
      </c>
      <c r="I15442" s="26">
        <v>43507</v>
      </c>
      <c r="J15442" s="23" t="str">
        <f>HYPERLINK("https://www.spark-marketing.ru/Card/Person/526990", "ООО ""ЧОО ""СКАЛА-НН""")</f>
        <v>ООО "ЧОО "СКАЛА-НН"</v>
      </c>
      <c r="K15442" s="24" t="s">
        <v>10632</v>
      </c>
      <c r="L15442" s="22" t="s">
        <v>10</v>
      </c>
      <c r="M15442" s="25">
        <v>268083.59999999998</v>
      </c>
      <c r="N15442" s="27">
        <v>0.633735552094434</v>
      </c>
    </row>
    <row r="15443" spans="1:14" x14ac:dyDescent="0.15">
      <c r="A15443" s="23" t="str">
        <f t="shared" si="811"/>
        <v>ГБУЗ НО "ГКБ № 40"</v>
      </c>
      <c r="B15443" s="24" t="s">
        <v>7229</v>
      </c>
      <c r="C15443" s="25">
        <v>731940</v>
      </c>
      <c r="D15443" s="22" t="s">
        <v>17727</v>
      </c>
      <c r="E15443" s="22" t="s">
        <v>68</v>
      </c>
      <c r="F15443" s="23" t="str">
        <f t="shared" ref="F15443:F15452" si="813">HYPERLINK("https://www.spark-marketing.ru/Card/Lot/67843523", "Определение исполнителя на оказание охранных услуг на объекте: ""Взрослая поликлиника""")</f>
        <v>Определение исполнителя на оказание охранных услуг на объекте: "Взрослая поликлиника"</v>
      </c>
      <c r="G15443" s="22" t="s">
        <v>64</v>
      </c>
      <c r="H15443" s="22" t="s">
        <v>65</v>
      </c>
      <c r="I15443" s="26">
        <v>43507</v>
      </c>
      <c r="J15443" s="28" t="s">
        <v>52</v>
      </c>
      <c r="K15443" s="28" t="s">
        <v>52</v>
      </c>
      <c r="L15443" s="28" t="s">
        <v>52</v>
      </c>
      <c r="M15443" s="28" t="s">
        <v>52</v>
      </c>
      <c r="N15443" s="28" t="s">
        <v>52</v>
      </c>
    </row>
    <row r="15444" spans="1:14" ht="12.75" hidden="1" outlineLevel="1" x14ac:dyDescent="0.2">
      <c r="A15444" s="23" t="str">
        <f t="shared" si="811"/>
        <v>ГБУЗ НО "ГКБ № 40"</v>
      </c>
      <c r="B15444" s="24" t="s">
        <v>7229</v>
      </c>
      <c r="C15444" s="25">
        <v>731940</v>
      </c>
      <c r="D15444" s="22" t="s">
        <v>17727</v>
      </c>
      <c r="E15444" s="22" t="s">
        <v>68</v>
      </c>
      <c r="F15444" s="23" t="str">
        <f t="shared" si="813"/>
        <v>Определение исполнителя на оказание охранных услуг на объекте: "Взрослая поликлиника"</v>
      </c>
      <c r="G15444" s="22" t="s">
        <v>64</v>
      </c>
      <c r="H15444" s="22" t="s">
        <v>65</v>
      </c>
      <c r="I15444" s="26">
        <v>43507</v>
      </c>
      <c r="J15444" s="23" t="str">
        <f>HYPERLINK("https://www.spark-marketing.ru/Card/Person/526990", "ООО ""ЧОО ""СКАЛА-НН""")</f>
        <v>ООО "ЧОО "СКАЛА-НН"</v>
      </c>
      <c r="K15444" s="24" t="s">
        <v>10632</v>
      </c>
      <c r="L15444" s="22" t="s">
        <v>10</v>
      </c>
      <c r="M15444" s="25">
        <v>330465.7</v>
      </c>
      <c r="N15444" s="27">
        <v>0.54850711806978714</v>
      </c>
    </row>
    <row r="15445" spans="1:14" hidden="1" outlineLevel="1" x14ac:dyDescent="0.2">
      <c r="A15445" s="23" t="str">
        <f t="shared" si="811"/>
        <v>ГБУЗ НО "ГКБ № 40"</v>
      </c>
      <c r="B15445" s="24" t="s">
        <v>7229</v>
      </c>
      <c r="C15445" s="25">
        <v>731940</v>
      </c>
      <c r="D15445" s="22" t="s">
        <v>17727</v>
      </c>
      <c r="E15445" s="22" t="s">
        <v>68</v>
      </c>
      <c r="F15445" s="23" t="str">
        <f t="shared" si="813"/>
        <v>Определение исполнителя на оказание охранных услуг на объекте: "Взрослая поликлиника"</v>
      </c>
      <c r="G15445" s="22" t="s">
        <v>64</v>
      </c>
      <c r="H15445" s="22" t="s">
        <v>65</v>
      </c>
      <c r="I15445" s="26">
        <v>43507</v>
      </c>
      <c r="J15445" s="23" t="str">
        <f>HYPERLINK("https://www.spark-marketing.ru/Card/Person/1266142", "ООО ЧОО ""СКОРПИОН-НН""")</f>
        <v>ООО ЧОО "СКОРПИОН-НН"</v>
      </c>
      <c r="K15445" s="24" t="s">
        <v>17723</v>
      </c>
      <c r="L15445" s="28" t="s">
        <v>52</v>
      </c>
      <c r="M15445" s="25">
        <v>457462.5</v>
      </c>
      <c r="N15445" s="27">
        <v>0.375</v>
      </c>
    </row>
    <row r="15446" spans="1:14" hidden="1" outlineLevel="1" x14ac:dyDescent="0.2">
      <c r="A15446" s="23" t="str">
        <f t="shared" si="811"/>
        <v>ГБУЗ НО "ГКБ № 40"</v>
      </c>
      <c r="B15446" s="24" t="s">
        <v>7229</v>
      </c>
      <c r="C15446" s="25">
        <v>731940</v>
      </c>
      <c r="D15446" s="22" t="s">
        <v>17727</v>
      </c>
      <c r="E15446" s="22" t="s">
        <v>68</v>
      </c>
      <c r="F15446" s="23" t="str">
        <f t="shared" si="813"/>
        <v>Определение исполнителя на оказание охранных услуг на объекте: "Взрослая поликлиника"</v>
      </c>
      <c r="G15446" s="22" t="s">
        <v>64</v>
      </c>
      <c r="H15446" s="22" t="s">
        <v>65</v>
      </c>
      <c r="I15446" s="26">
        <v>43507</v>
      </c>
      <c r="J15446" s="23" t="str">
        <f>HYPERLINK("https://www.spark-marketing.ru/Card/Person/4857369", "ООО ""ЗАЩИТА - НН""")</f>
        <v>ООО "ЗАЩИТА - НН"</v>
      </c>
      <c r="K15446" s="24" t="s">
        <v>14633</v>
      </c>
      <c r="L15446" s="28" t="s">
        <v>52</v>
      </c>
      <c r="M15446" s="25">
        <v>370722.4</v>
      </c>
      <c r="N15446" s="27">
        <v>0.49350711806978714</v>
      </c>
    </row>
    <row r="15447" spans="1:14" hidden="1" outlineLevel="1" x14ac:dyDescent="0.2">
      <c r="A15447" s="23" t="str">
        <f t="shared" si="811"/>
        <v>ГБУЗ НО "ГКБ № 40"</v>
      </c>
      <c r="B15447" s="24" t="s">
        <v>7229</v>
      </c>
      <c r="C15447" s="25">
        <v>731940</v>
      </c>
      <c r="D15447" s="22" t="s">
        <v>17727</v>
      </c>
      <c r="E15447" s="22" t="s">
        <v>68</v>
      </c>
      <c r="F15447" s="23" t="str">
        <f t="shared" si="813"/>
        <v>Определение исполнителя на оказание охранных услуг на объекте: "Взрослая поликлиника"</v>
      </c>
      <c r="G15447" s="22" t="s">
        <v>64</v>
      </c>
      <c r="H15447" s="22" t="s">
        <v>65</v>
      </c>
      <c r="I15447" s="26">
        <v>43507</v>
      </c>
      <c r="J15447" s="23" t="str">
        <f>HYPERLINK("https://www.spark-marketing.ru/Card/Person/139311", "ООО ОП ""ГЕПАРД""")</f>
        <v>ООО ОП "ГЕПАРД"</v>
      </c>
      <c r="K15447" s="24" t="s">
        <v>17721</v>
      </c>
      <c r="L15447" s="28" t="s">
        <v>52</v>
      </c>
      <c r="M15447" s="25">
        <v>400000</v>
      </c>
      <c r="N15447" s="27">
        <v>0.45350711806978716</v>
      </c>
    </row>
    <row r="15448" spans="1:14" hidden="1" outlineLevel="1" x14ac:dyDescent="0.2">
      <c r="A15448" s="23" t="str">
        <f t="shared" si="811"/>
        <v>ГБУЗ НО "ГКБ № 40"</v>
      </c>
      <c r="B15448" s="24" t="s">
        <v>7229</v>
      </c>
      <c r="C15448" s="25">
        <v>731940</v>
      </c>
      <c r="D15448" s="22" t="s">
        <v>17727</v>
      </c>
      <c r="E15448" s="22" t="s">
        <v>68</v>
      </c>
      <c r="F15448" s="23" t="str">
        <f t="shared" si="813"/>
        <v>Определение исполнителя на оказание охранных услуг на объекте: "Взрослая поликлиника"</v>
      </c>
      <c r="G15448" s="22" t="s">
        <v>64</v>
      </c>
      <c r="H15448" s="22" t="s">
        <v>65</v>
      </c>
      <c r="I15448" s="26">
        <v>43507</v>
      </c>
      <c r="J15448" s="23" t="str">
        <f>HYPERLINK("https://www.spark-marketing.ru/Card/Person/525146", "ООО ""Ч.О.П. ""КАСКАД""")</f>
        <v>ООО "Ч.О.П. "КАСКАД"</v>
      </c>
      <c r="K15448" s="24" t="s">
        <v>17722</v>
      </c>
      <c r="L15448" s="28" t="s">
        <v>52</v>
      </c>
      <c r="M15448" s="25">
        <v>501378.9</v>
      </c>
      <c r="N15448" s="27">
        <v>0.315</v>
      </c>
    </row>
    <row r="15449" spans="1:14" hidden="1" outlineLevel="1" x14ac:dyDescent="0.2">
      <c r="A15449" s="23" t="str">
        <f t="shared" si="811"/>
        <v>ГБУЗ НО "ГКБ № 40"</v>
      </c>
      <c r="B15449" s="24" t="s">
        <v>7229</v>
      </c>
      <c r="C15449" s="25">
        <v>731940</v>
      </c>
      <c r="D15449" s="22" t="s">
        <v>17727</v>
      </c>
      <c r="E15449" s="22" t="s">
        <v>68</v>
      </c>
      <c r="F15449" s="23" t="str">
        <f t="shared" si="813"/>
        <v>Определение исполнителя на оказание охранных услуг на объекте: "Взрослая поликлиника"</v>
      </c>
      <c r="G15449" s="22" t="s">
        <v>64</v>
      </c>
      <c r="H15449" s="22" t="s">
        <v>65</v>
      </c>
      <c r="I15449" s="26">
        <v>43507</v>
      </c>
      <c r="J15449" s="23" t="str">
        <f>HYPERLINK("https://www.spark-marketing.ru/Card/Person/6276096", "ООО ""ОА ""ВЕГА""")</f>
        <v>ООО "ОА "ВЕГА"</v>
      </c>
      <c r="K15449" s="24" t="s">
        <v>10788</v>
      </c>
      <c r="L15449" s="28" t="s">
        <v>52</v>
      </c>
      <c r="M15449" s="25">
        <v>497719.2</v>
      </c>
      <c r="N15449" s="27">
        <v>0.32</v>
      </c>
    </row>
    <row r="15450" spans="1:14" hidden="1" outlineLevel="1" x14ac:dyDescent="0.2">
      <c r="A15450" s="23" t="str">
        <f t="shared" si="811"/>
        <v>ГБУЗ НО "ГКБ № 40"</v>
      </c>
      <c r="B15450" s="24" t="s">
        <v>7229</v>
      </c>
      <c r="C15450" s="25">
        <v>731940</v>
      </c>
      <c r="D15450" s="22" t="s">
        <v>17727</v>
      </c>
      <c r="E15450" s="22" t="s">
        <v>68</v>
      </c>
      <c r="F15450" s="23" t="str">
        <f t="shared" si="813"/>
        <v>Определение исполнителя на оказание охранных услуг на объекте: "Взрослая поликлиника"</v>
      </c>
      <c r="G15450" s="22" t="s">
        <v>64</v>
      </c>
      <c r="H15450" s="22" t="s">
        <v>65</v>
      </c>
      <c r="I15450" s="26">
        <v>43507</v>
      </c>
      <c r="J15450" s="23" t="str">
        <f>HYPERLINK("https://www.spark-marketing.ru/Card/Person/526982", "ООО ОП ""АКС ГАРД-НН""")</f>
        <v>ООО ОП "АКС ГАРД-НН"</v>
      </c>
      <c r="K15450" s="24" t="s">
        <v>12013</v>
      </c>
      <c r="L15450" s="28" t="s">
        <v>52</v>
      </c>
      <c r="M15450" s="25">
        <v>334125.40000000002</v>
      </c>
      <c r="N15450" s="27">
        <v>0.54350711806978713</v>
      </c>
    </row>
    <row r="15451" spans="1:14" hidden="1" outlineLevel="1" x14ac:dyDescent="0.2">
      <c r="A15451" s="23" t="str">
        <f t="shared" si="811"/>
        <v>ГБУЗ НО "ГКБ № 40"</v>
      </c>
      <c r="B15451" s="24" t="s">
        <v>7229</v>
      </c>
      <c r="C15451" s="25">
        <v>731940</v>
      </c>
      <c r="D15451" s="22" t="s">
        <v>17727</v>
      </c>
      <c r="E15451" s="22" t="s">
        <v>68</v>
      </c>
      <c r="F15451" s="23" t="str">
        <f t="shared" si="813"/>
        <v>Определение исполнителя на оказание охранных услуг на объекте: "Взрослая поликлиника"</v>
      </c>
      <c r="G15451" s="22" t="s">
        <v>64</v>
      </c>
      <c r="H15451" s="22" t="s">
        <v>65</v>
      </c>
      <c r="I15451" s="26">
        <v>43507</v>
      </c>
      <c r="J15451" s="23" t="str">
        <f>HYPERLINK("https://www.spark-marketing.ru/Card/Person/517510", "ООО ЧОП ""БУМЕРАНГ""")</f>
        <v>ООО ЧОП "БУМЕРАНГ"</v>
      </c>
      <c r="K15451" s="24" t="s">
        <v>17725</v>
      </c>
      <c r="L15451" s="28" t="s">
        <v>52</v>
      </c>
      <c r="M15451" s="25">
        <v>464480.6</v>
      </c>
      <c r="N15451" s="27">
        <v>0.36541164576331392</v>
      </c>
    </row>
    <row r="15452" spans="1:14" hidden="1" outlineLevel="1" x14ac:dyDescent="0.2">
      <c r="A15452" s="23" t="str">
        <f t="shared" si="811"/>
        <v>ГБУЗ НО "ГКБ № 40"</v>
      </c>
      <c r="B15452" s="24" t="s">
        <v>7229</v>
      </c>
      <c r="C15452" s="25">
        <v>731940</v>
      </c>
      <c r="D15452" s="22" t="s">
        <v>17727</v>
      </c>
      <c r="E15452" s="22" t="s">
        <v>68</v>
      </c>
      <c r="F15452" s="23" t="str">
        <f t="shared" si="813"/>
        <v>Определение исполнителя на оказание охранных услуг на объекте: "Взрослая поликлиника"</v>
      </c>
      <c r="G15452" s="22" t="s">
        <v>64</v>
      </c>
      <c r="H15452" s="22" t="s">
        <v>65</v>
      </c>
      <c r="I15452" s="26">
        <v>43507</v>
      </c>
      <c r="J15452" s="23" t="str">
        <f>HYPERLINK("https://www.spark-marketing.ru/Card/Person/527353", "ООО ОП ""АВАНГАРД""")</f>
        <v>ООО ОП "АВАНГАРД"</v>
      </c>
      <c r="K15452" s="24" t="s">
        <v>17726</v>
      </c>
      <c r="L15452" s="28" t="s">
        <v>52</v>
      </c>
      <c r="M15452" s="25">
        <v>431844.6</v>
      </c>
      <c r="N15452" s="27">
        <v>0.41</v>
      </c>
    </row>
    <row r="15453" spans="1:14" x14ac:dyDescent="0.15">
      <c r="A15453" s="23" t="str">
        <f>HYPERLINK("https://www.spark-marketing.ru/Card/Person/9065", "МУЗЕЙ МХАТ")</f>
        <v>МУЗЕЙ МХАТ</v>
      </c>
      <c r="B15453" s="24" t="s">
        <v>17728</v>
      </c>
      <c r="C15453" s="25">
        <v>299285.15999999997</v>
      </c>
      <c r="D15453" s="22" t="s">
        <v>17729</v>
      </c>
      <c r="E15453" s="22" t="s">
        <v>11359</v>
      </c>
      <c r="F15453" s="23" t="str">
        <f>HYPERLINK("https://www.spark-marketing.ru/Card/Lot/67851289", "пультовая охрана помещений музея")</f>
        <v>пультовая охрана помещений музея</v>
      </c>
      <c r="G15453" s="22" t="s">
        <v>55</v>
      </c>
      <c r="H15453" s="22" t="s">
        <v>55</v>
      </c>
      <c r="I15453" s="26">
        <v>43507</v>
      </c>
      <c r="J15453" s="28" t="s">
        <v>52</v>
      </c>
      <c r="K15453" s="28" t="s">
        <v>52</v>
      </c>
      <c r="L15453" s="28" t="s">
        <v>52</v>
      </c>
      <c r="M15453" s="28" t="s">
        <v>52</v>
      </c>
      <c r="N15453" s="28" t="s">
        <v>52</v>
      </c>
    </row>
    <row r="15454" spans="1:14" x14ac:dyDescent="0.15">
      <c r="A15454" s="23" t="str">
        <f>HYPERLINK("https://www.spark-marketing.ru/Card/Person/1777895", "МОУ ОРЕВСКАЯ ОСНОВНАЯ ОБЩЕОБРАЗОВАТЕЛЬНАЯ ШКОЛА")</f>
        <v>МОУ ОРЕВСКАЯ ОСНОВНАЯ ОБЩЕОБРАЗОВАТЕЛЬНАЯ ШКОЛА</v>
      </c>
      <c r="B15454" s="24" t="s">
        <v>17730</v>
      </c>
      <c r="C15454" s="25">
        <v>36641</v>
      </c>
      <c r="D15454" s="22" t="s">
        <v>17731</v>
      </c>
      <c r="E15454" s="22" t="s">
        <v>103</v>
      </c>
      <c r="F15454" s="23" t="str">
        <f>HYPERLINK("https://www.spark-marketing.ru/Card/Lot/67820154", "оказание услуг по техническому обслуживанию системы видеонаблюдения")</f>
        <v>оказание услуг по техническому обслуживанию системы видеонаблюдения</v>
      </c>
      <c r="G15454" s="22" t="s">
        <v>50</v>
      </c>
      <c r="H15454" s="22" t="s">
        <v>504</v>
      </c>
      <c r="I15454" s="26">
        <v>43504.919374999998</v>
      </c>
      <c r="J15454" s="28" t="s">
        <v>52</v>
      </c>
      <c r="K15454" s="28" t="s">
        <v>52</v>
      </c>
      <c r="L15454" s="28" t="s">
        <v>52</v>
      </c>
      <c r="M15454" s="28" t="s">
        <v>52</v>
      </c>
      <c r="N15454" s="28" t="s">
        <v>52</v>
      </c>
    </row>
    <row r="15455" spans="1:14" x14ac:dyDescent="0.15">
      <c r="A15455" s="23" t="str">
        <f>HYPERLINK("https://www.spark-marketing.ru/Card/Person/74543", "МБОУ СОШ №25")</f>
        <v>МБОУ СОШ №25</v>
      </c>
      <c r="B15455" s="24" t="s">
        <v>17732</v>
      </c>
      <c r="C15455" s="25">
        <v>74500</v>
      </c>
      <c r="D15455" s="22" t="s">
        <v>17733</v>
      </c>
      <c r="E15455" s="22" t="s">
        <v>234</v>
      </c>
      <c r="F15455" s="23" t="str">
        <f>HYPERLINK("https://www.spark-marketing.ru/Card/Lot/67819731", "Услуги по техническому обслуживанию трансляционного оборудования")</f>
        <v>Услуги по техническому обслуживанию трансляционного оборудования</v>
      </c>
      <c r="G15455" s="22" t="s">
        <v>50</v>
      </c>
      <c r="H15455" s="22" t="s">
        <v>323</v>
      </c>
      <c r="I15455" s="26">
        <v>43504.825682870403</v>
      </c>
      <c r="J15455" s="28" t="s">
        <v>52</v>
      </c>
      <c r="K15455" s="28" t="s">
        <v>52</v>
      </c>
      <c r="L15455" s="28" t="s">
        <v>52</v>
      </c>
      <c r="M15455" s="28" t="s">
        <v>52</v>
      </c>
      <c r="N15455" s="28" t="s">
        <v>52</v>
      </c>
    </row>
    <row r="15456" spans="1:14" x14ac:dyDescent="0.15">
      <c r="A15456" s="23" t="str">
        <f>HYPERLINK("https://www.spark-marketing.ru/Card/Person/947832", "МАОУ ЛИЦЕЙ № 11")</f>
        <v>МАОУ ЛИЦЕЙ № 11</v>
      </c>
      <c r="B15456" s="24" t="s">
        <v>17734</v>
      </c>
      <c r="C15456" s="25">
        <v>541229.88</v>
      </c>
      <c r="D15456" s="22" t="s">
        <v>17735</v>
      </c>
      <c r="E15456" s="22" t="s">
        <v>17736</v>
      </c>
      <c r="F15456" s="23" t="str">
        <f>HYPERLINK("https://www.spark-marketing.ru/Card/Lot/67807789", "оказание услуг аутсорсинга (обеспечение контрольно - пропускного режима на объекте) (услуги гардеробщика и вахтера)")</f>
        <v>оказание услуг аутсорсинга (обеспечение контрольно - пропускного режима на объекте) (услуги гардеробщика и вахтера)</v>
      </c>
      <c r="G15456" s="22" t="s">
        <v>640</v>
      </c>
      <c r="H15456" s="22" t="s">
        <v>640</v>
      </c>
      <c r="I15456" s="26">
        <v>43504.764386574097</v>
      </c>
      <c r="J15456" s="28" t="s">
        <v>52</v>
      </c>
      <c r="K15456" s="28" t="s">
        <v>52</v>
      </c>
      <c r="L15456" s="28" t="s">
        <v>52</v>
      </c>
      <c r="M15456" s="28" t="s">
        <v>52</v>
      </c>
      <c r="N15456" s="28" t="s">
        <v>52</v>
      </c>
    </row>
    <row r="15457" spans="1:14" x14ac:dyDescent="0.15">
      <c r="A15457" s="23" t="str">
        <f>HYPERLINK("https://www.spark-marketing.ru/Card/Person/1453508", "МУП ""РТК""")</f>
        <v>МУП "РТК"</v>
      </c>
      <c r="B15457" s="24" t="s">
        <v>17737</v>
      </c>
      <c r="C15457" s="25">
        <v>333666.67</v>
      </c>
      <c r="D15457" s="22" t="s">
        <v>17738</v>
      </c>
      <c r="E15457" s="22" t="s">
        <v>2577</v>
      </c>
      <c r="F15457" s="23" t="str">
        <f>HYPERLINK("https://www.spark-marketing.ru/Card/Lot/67817329", "Оказание услуг по разработке и утверждению планов обеспечения транспортной безопасности транспортных средств городского наземного электрического транспорта МУП «РТК».")</f>
        <v>Оказание услуг по разработке и утверждению планов обеспечения транспортной безопасности транспортных средств городского наземного электрического транспорта МУП «РТК».</v>
      </c>
      <c r="G15457" s="22" t="s">
        <v>402</v>
      </c>
      <c r="H15457" s="22" t="s">
        <v>402</v>
      </c>
      <c r="I15457" s="26">
        <v>43504.725358796299</v>
      </c>
      <c r="J15457" s="28" t="s">
        <v>52</v>
      </c>
      <c r="K15457" s="28" t="s">
        <v>52</v>
      </c>
      <c r="L15457" s="28" t="s">
        <v>52</v>
      </c>
      <c r="M15457" s="28" t="s">
        <v>52</v>
      </c>
      <c r="N15457" s="28" t="s">
        <v>52</v>
      </c>
    </row>
    <row r="15458" spans="1:14" hidden="1" outlineLevel="1" x14ac:dyDescent="0.2">
      <c r="A15458" s="23" t="str">
        <f>HYPERLINK("https://www.spark-marketing.ru/Card/Person/1453508", "МУП ""РТК""")</f>
        <v>МУП "РТК"</v>
      </c>
      <c r="B15458" s="24" t="s">
        <v>17737</v>
      </c>
      <c r="C15458" s="28" t="s">
        <v>52</v>
      </c>
      <c r="D15458" s="22" t="s">
        <v>17738</v>
      </c>
      <c r="E15458" s="22" t="s">
        <v>2577</v>
      </c>
      <c r="F15458" s="23" t="str">
        <f>HYPERLINK("https://www.spark-marketing.ru/Card/Lot/67817329", "Оказание услуг по разработке и утверждению планов обеспечения транспортной безопасности транспортных средств городского наземного электрического транспорта МУП «РТК».")</f>
        <v>Оказание услуг по разработке и утверждению планов обеспечения транспортной безопасности транспортных средств городского наземного электрического транспорта МУП «РТК».</v>
      </c>
      <c r="G15458" s="22" t="s">
        <v>402</v>
      </c>
      <c r="H15458" s="22" t="s">
        <v>402</v>
      </c>
      <c r="I15458" s="26">
        <v>43504.725358796299</v>
      </c>
      <c r="J15458" s="23" t="str">
        <f>HYPERLINK("https://www.spark-marketing.ru/Card/Person/1668697", "ООО ""КСБ-КРЫМ""")</f>
        <v>ООО "КСБ-КРЫМ"</v>
      </c>
      <c r="K15458" s="24" t="s">
        <v>14038</v>
      </c>
      <c r="L15458" s="28" t="s">
        <v>52</v>
      </c>
      <c r="M15458" s="25">
        <v>331998.34000000003</v>
      </c>
      <c r="N15458" s="27">
        <v>4.9999899600400603E-3</v>
      </c>
    </row>
    <row r="15459" spans="1:14" hidden="1" outlineLevel="1" x14ac:dyDescent="0.2">
      <c r="A15459" s="23" t="str">
        <f>HYPERLINK("https://www.spark-marketing.ru/Card/Person/1453508", "МУП ""РТК""")</f>
        <v>МУП "РТК"</v>
      </c>
      <c r="B15459" s="24" t="s">
        <v>17737</v>
      </c>
      <c r="C15459" s="28" t="s">
        <v>52</v>
      </c>
      <c r="D15459" s="22" t="s">
        <v>17738</v>
      </c>
      <c r="E15459" s="22" t="s">
        <v>2577</v>
      </c>
      <c r="F15459" s="23" t="str">
        <f>HYPERLINK("https://www.spark-marketing.ru/Card/Lot/67817329", "Оказание услуг по разработке и утверждению планов обеспечения транспортной безопасности транспортных средств городского наземного электрического транспорта МУП «РТК».")</f>
        <v>Оказание услуг по разработке и утверждению планов обеспечения транспортной безопасности транспортных средств городского наземного электрического транспорта МУП «РТК».</v>
      </c>
      <c r="G15459" s="22" t="s">
        <v>402</v>
      </c>
      <c r="H15459" s="22" t="s">
        <v>402</v>
      </c>
      <c r="I15459" s="26">
        <v>43504.725358796299</v>
      </c>
      <c r="J15459" s="23" t="str">
        <f>HYPERLINK("https://www.spark-marketing.ru/Card/Person/477292", "ФГАОУ ДПО ""МЕЖРЕГИОНАЛЬНЫЙ ЦППК""")</f>
        <v>ФГАОУ ДПО "МЕЖРЕГИОНАЛЬНЫЙ ЦППК"</v>
      </c>
      <c r="K15459" s="24" t="s">
        <v>17739</v>
      </c>
      <c r="L15459" s="28" t="s">
        <v>52</v>
      </c>
      <c r="M15459" s="25">
        <v>0</v>
      </c>
      <c r="N15459" s="27">
        <v>1</v>
      </c>
    </row>
    <row r="15460" spans="1:14" hidden="1" outlineLevel="1" x14ac:dyDescent="0.2">
      <c r="A15460" s="23" t="str">
        <f>HYPERLINK("https://www.spark-marketing.ru/Card/Person/1453508", "МУП ""РТК""")</f>
        <v>МУП "РТК"</v>
      </c>
      <c r="B15460" s="24" t="s">
        <v>17737</v>
      </c>
      <c r="C15460" s="28" t="s">
        <v>52</v>
      </c>
      <c r="D15460" s="22" t="s">
        <v>17738</v>
      </c>
      <c r="E15460" s="22" t="s">
        <v>2577</v>
      </c>
      <c r="F15460" s="23" t="str">
        <f>HYPERLINK("https://www.spark-marketing.ru/Card/Lot/67817329", "Оказание услуг по разработке и утверждению планов обеспечения транспортной безопасности транспортных средств городского наземного электрического транспорта МУП «РТК».")</f>
        <v>Оказание услуг по разработке и утверждению планов обеспечения транспортной безопасности транспортных средств городского наземного электрического транспорта МУП «РТК».</v>
      </c>
      <c r="G15460" s="22" t="s">
        <v>402</v>
      </c>
      <c r="H15460" s="22" t="s">
        <v>402</v>
      </c>
      <c r="I15460" s="26">
        <v>43504.725358796299</v>
      </c>
      <c r="J15460" s="23" t="str">
        <f>HYPERLINK("https://www.spark-marketing.ru/Card/Person/2038990", "ООО ""СТБ""")</f>
        <v>ООО "СТБ"</v>
      </c>
      <c r="K15460" s="24" t="s">
        <v>2244</v>
      </c>
      <c r="L15460" s="28" t="s">
        <v>52</v>
      </c>
      <c r="M15460" s="25">
        <v>0</v>
      </c>
      <c r="N15460" s="27">
        <v>1</v>
      </c>
    </row>
    <row r="15461" spans="1:14" x14ac:dyDescent="0.2">
      <c r="A15461" s="23" t="str">
        <f>HYPERLINK("https://www.spark-marketing.ru/Card/Person/2692", "ФГБОУ ВО ИГМУ МИНЗДРАВА РОССИИ")</f>
        <v>ФГБОУ ВО ИГМУ МИНЗДРАВА РОССИИ</v>
      </c>
      <c r="B15461" s="24" t="s">
        <v>17740</v>
      </c>
      <c r="C15461" s="25">
        <v>1021569.9</v>
      </c>
      <c r="D15461" s="22" t="s">
        <v>17741</v>
      </c>
      <c r="E15461" s="22" t="s">
        <v>789</v>
      </c>
      <c r="F15461" s="23" t="str">
        <f>HYPERLINK("https://www.spark-marketing.ru/Card/Lot/67802853", "Оказание услуг по обеспечению охраны и общественного порядка на объектах ФГБОУ ВО ИГМУ Минздрава России и прилегающей к ним территорий")</f>
        <v>Оказание услуг по обеспечению охраны и общественного порядка на объектах ФГБОУ ВО ИГМУ Минздрава России и прилегающей к ним территорий</v>
      </c>
      <c r="G15461" s="22" t="s">
        <v>281</v>
      </c>
      <c r="H15461" s="22" t="s">
        <v>281</v>
      </c>
      <c r="I15461" s="26">
        <v>43504.7200115741</v>
      </c>
      <c r="J15461" s="23" t="str">
        <f>HYPERLINK("https://www.spark-marketing.ru/Card/Person/90187", "ООО ЧОП ""БАСТИОН""")</f>
        <v>ООО ЧОП "БАСТИОН"</v>
      </c>
      <c r="K15461" s="24" t="s">
        <v>17742</v>
      </c>
      <c r="L15461" s="28" t="s">
        <v>52</v>
      </c>
      <c r="M15461" s="25">
        <v>1021569.9</v>
      </c>
      <c r="N15461" s="27">
        <v>0</v>
      </c>
    </row>
    <row r="15462" spans="1:14" x14ac:dyDescent="0.15">
      <c r="A15462" s="23" t="str">
        <f>HYPERLINK("https://www.spark-marketing.ru/Card/Person/1759331", "АО ""ИКАО""")</f>
        <v>АО "ИКАО"</v>
      </c>
      <c r="B15462" s="24" t="s">
        <v>17743</v>
      </c>
      <c r="C15462" s="28" t="s">
        <v>52</v>
      </c>
      <c r="D15462" s="22" t="s">
        <v>17744</v>
      </c>
      <c r="E15462" s="22" t="s">
        <v>53</v>
      </c>
      <c r="F15462" s="23" t="str">
        <f>HYPERLINK("https://www.spark-marketing.ru/Card/Lot/67818163", "оказание услуг по охране имущества и техническому обслуживанию системы охранной сигнализации офисного помещения в г. Сосновый Бор Ленинградской области (1183103)")</f>
        <v>оказание услуг по охране имущества и техническому обслуживанию системы охранной сигнализации офисного помещения в г. Сосновый Бор Ленинградской области (1183103)</v>
      </c>
      <c r="G15462" s="22" t="s">
        <v>55</v>
      </c>
      <c r="H15462" s="22" t="s">
        <v>55</v>
      </c>
      <c r="I15462" s="26">
        <v>43504.704884259299</v>
      </c>
      <c r="J15462" s="28" t="s">
        <v>52</v>
      </c>
      <c r="K15462" s="28" t="s">
        <v>52</v>
      </c>
      <c r="L15462" s="28" t="s">
        <v>52</v>
      </c>
      <c r="M15462" s="28" t="s">
        <v>52</v>
      </c>
      <c r="N15462" s="28" t="s">
        <v>52</v>
      </c>
    </row>
    <row r="15463" spans="1:14" x14ac:dyDescent="0.2">
      <c r="A15463" s="23" t="str">
        <f>HYPERLINK("https://www.spark-marketing.ru/Card/Person/134541", "ГБУ ЦКС ""ЮЖНОЕ ИЗМАЙЛОВО""")</f>
        <v>ГБУ ЦКС "ЮЖНОЕ ИЗМАЙЛОВО"</v>
      </c>
      <c r="B15463" s="24" t="s">
        <v>17745</v>
      </c>
      <c r="C15463" s="25">
        <v>124999.6</v>
      </c>
      <c r="D15463" s="22" t="s">
        <v>17746</v>
      </c>
      <c r="E15463" s="22" t="s">
        <v>370</v>
      </c>
      <c r="F15463" s="23" t="str">
        <f>HYPERLINK("https://www.spark-marketing.ru/Card/Lot/67816315", "Услуги по техническому обслуживанию оборудования тревожной сигнализации с обеспечением выезда групп немедленного реагирования (ГНР) территориальных ОМВД")</f>
        <v>Услуги по техническому обслуживанию оборудования тревожной сигнализации с обеспечением выезда групп немедленного реагирования (ГНР) территориальных ОМВД</v>
      </c>
      <c r="G15463" s="22" t="s">
        <v>55</v>
      </c>
      <c r="H15463" s="22" t="s">
        <v>55</v>
      </c>
      <c r="I15463" s="26">
        <v>43504.700798611098</v>
      </c>
      <c r="J15463" s="28" t="s">
        <v>52</v>
      </c>
      <c r="K15463" s="28" t="s">
        <v>52</v>
      </c>
      <c r="L15463" s="28" t="s">
        <v>52</v>
      </c>
      <c r="M15463" s="25">
        <v>124999.6</v>
      </c>
      <c r="N15463" s="27">
        <v>0</v>
      </c>
    </row>
    <row r="15464" spans="1:14" x14ac:dyDescent="0.15">
      <c r="A15464" s="23" t="str">
        <f>HYPERLINK("https://www.spark-marketing.ru/Card/Person/1312965", "МАУ ""КДЦ""")</f>
        <v>МАУ "КДЦ"</v>
      </c>
      <c r="B15464" s="24" t="s">
        <v>16544</v>
      </c>
      <c r="C15464" s="25">
        <v>280184</v>
      </c>
      <c r="D15464" s="22" t="s">
        <v>17747</v>
      </c>
      <c r="E15464" s="22" t="s">
        <v>6967</v>
      </c>
      <c r="F15464" s="23" t="str">
        <f>HYPERLINK("https://www.spark-marketing.ru/Card/Lot/67813763", "Оказание услуг по обеспечению контрольно-пропускного режима")</f>
        <v>Оказание услуг по обеспечению контрольно-пропускного режима</v>
      </c>
      <c r="G15464" s="22" t="s">
        <v>391</v>
      </c>
      <c r="H15464" s="22" t="s">
        <v>391</v>
      </c>
      <c r="I15464" s="26">
        <v>43504.684895833299</v>
      </c>
      <c r="J15464" s="28" t="s">
        <v>52</v>
      </c>
      <c r="K15464" s="28" t="s">
        <v>52</v>
      </c>
      <c r="L15464" s="28" t="s">
        <v>52</v>
      </c>
      <c r="M15464" s="28" t="s">
        <v>52</v>
      </c>
      <c r="N15464" s="28" t="s">
        <v>52</v>
      </c>
    </row>
    <row r="15465" spans="1:14" x14ac:dyDescent="0.15">
      <c r="A15465" s="23" t="str">
        <f>HYPERLINK("https://www.spark-marketing.ru/Card/Person/426673", "ГБУК РО ""ТАГАНРОГСКИЙ ХУДОЖЕСТВЕННЫЙ МУЗЕЙ""")</f>
        <v>ГБУК РО "ТАГАНРОГСКИЙ ХУДОЖЕСТВЕННЫЙ МУЗЕЙ"</v>
      </c>
      <c r="B15465" s="24" t="s">
        <v>13238</v>
      </c>
      <c r="C15465" s="25">
        <v>28560</v>
      </c>
      <c r="D15465" s="22" t="s">
        <v>17748</v>
      </c>
      <c r="E15465" s="22" t="s">
        <v>103</v>
      </c>
      <c r="F15465" s="23" t="str">
        <f>HYPERLINK("https://www.spark-marketing.ru/Card/Lot/67814418", "Выполнение работ по техническому обслуживанию системы видеонаблюдения")</f>
        <v>Выполнение работ по техническому обслуживанию системы видеонаблюдения</v>
      </c>
      <c r="G15465" s="22" t="s">
        <v>402</v>
      </c>
      <c r="H15465" s="22" t="s">
        <v>5520</v>
      </c>
      <c r="I15465" s="26">
        <v>43504.7006944444</v>
      </c>
      <c r="J15465" s="28" t="s">
        <v>52</v>
      </c>
      <c r="K15465" s="28" t="s">
        <v>52</v>
      </c>
      <c r="L15465" s="28" t="s">
        <v>52</v>
      </c>
      <c r="M15465" s="28" t="s">
        <v>52</v>
      </c>
      <c r="N15465" s="28" t="s">
        <v>52</v>
      </c>
    </row>
    <row r="15466" spans="1:14" x14ac:dyDescent="0.15">
      <c r="A15466" s="23" t="str">
        <f>HYPERLINK("https://www.spark-marketing.ru/Card/Person/1348022", "МАДОУ Д/С №23 ""ЗОЛОТОЙ КЛЮЧИК""")</f>
        <v>МАДОУ Д/С №23 "ЗОЛОТОЙ КЛЮЧИК"</v>
      </c>
      <c r="B15466" s="24" t="s">
        <v>17749</v>
      </c>
      <c r="C15466" s="25">
        <v>27600</v>
      </c>
      <c r="D15466" s="22" t="s">
        <v>17750</v>
      </c>
      <c r="E15466" s="22" t="s">
        <v>183</v>
      </c>
      <c r="F15466" s="23" t="str">
        <f>HYPERLINK("https://www.spark-marketing.ru/Card/Lot/67813082", "Оказание услуг по техническому обслуживанию системы доступа (домофон) и системы видеонаблюдения")</f>
        <v>Оказание услуг по техническому обслуживанию системы доступа (домофон) и системы видеонаблюдения</v>
      </c>
      <c r="G15466" s="22" t="s">
        <v>50</v>
      </c>
      <c r="H15466" s="22" t="s">
        <v>4782</v>
      </c>
      <c r="I15466" s="26">
        <v>43504.690185185202</v>
      </c>
      <c r="J15466" s="28" t="s">
        <v>52</v>
      </c>
      <c r="K15466" s="28" t="s">
        <v>52</v>
      </c>
      <c r="L15466" s="28" t="s">
        <v>52</v>
      </c>
      <c r="M15466" s="28" t="s">
        <v>52</v>
      </c>
      <c r="N15466" s="28" t="s">
        <v>52</v>
      </c>
    </row>
    <row r="15467" spans="1:14" x14ac:dyDescent="0.15">
      <c r="A15467" s="23" t="str">
        <f>HYPERLINK("https://www.spark-marketing.ru/Card/Person/1329553", "АОУ ДЕТСКИЙ САД №2")</f>
        <v>АОУ ДЕТСКИЙ САД №2</v>
      </c>
      <c r="B15467" s="24" t="s">
        <v>17751</v>
      </c>
      <c r="C15467" s="25">
        <v>37400</v>
      </c>
      <c r="D15467" s="22" t="s">
        <v>17752</v>
      </c>
      <c r="E15467" s="22" t="s">
        <v>298</v>
      </c>
      <c r="F15467" s="23" t="str">
        <f>HYPERLINK("https://www.spark-marketing.ru/Card/Lot/67811264", "Оказание услуг по техническому обслуживания видеонаблюдения в 2019 году")</f>
        <v>Оказание услуг по техническому обслуживания видеонаблюдения в 2019 году</v>
      </c>
      <c r="G15467" s="22" t="s">
        <v>50</v>
      </c>
      <c r="H15467" s="22" t="s">
        <v>3866</v>
      </c>
      <c r="I15467" s="26">
        <v>43504.627962963001</v>
      </c>
      <c r="J15467" s="28" t="s">
        <v>52</v>
      </c>
      <c r="K15467" s="28" t="s">
        <v>52</v>
      </c>
      <c r="L15467" s="28" t="s">
        <v>52</v>
      </c>
      <c r="M15467" s="28" t="s">
        <v>52</v>
      </c>
      <c r="N15467" s="28" t="s">
        <v>52</v>
      </c>
    </row>
    <row r="15468" spans="1:14" x14ac:dyDescent="0.15">
      <c r="A15468" s="23" t="str">
        <f>HYPERLINK("https://www.spark-marketing.ru/Card/Person/4343718", "ФГУП ""НИТИ ИМ. А. П. АЛЕКСАНДРОВА""")</f>
        <v>ФГУП "НИТИ ИМ. А. П. АЛЕКСАНДРОВА"</v>
      </c>
      <c r="B15468" s="24" t="s">
        <v>1917</v>
      </c>
      <c r="C15468" s="25">
        <v>2130111.7000000002</v>
      </c>
      <c r="D15468" s="22" t="s">
        <v>17753</v>
      </c>
      <c r="E15468" s="22" t="s">
        <v>1919</v>
      </c>
      <c r="F15468" s="23" t="str">
        <f>HYPERLINK("https://www.spark-marketing.ru/Card/Lot/67813219", "Научно-техническое сопровождение строительства объекта ""Реконструкция стенда КМ-1...""")</f>
        <v>Научно-техническое сопровождение строительства объекта "Реконструкция стенда КМ-1..."</v>
      </c>
      <c r="G15468" s="22" t="s">
        <v>861</v>
      </c>
      <c r="H15468" s="22" t="s">
        <v>1920</v>
      </c>
      <c r="I15468" s="26">
        <v>43504.635740740698</v>
      </c>
      <c r="J15468" s="28" t="s">
        <v>52</v>
      </c>
      <c r="K15468" s="28" t="s">
        <v>52</v>
      </c>
      <c r="L15468" s="28" t="s">
        <v>52</v>
      </c>
      <c r="M15468" s="28" t="s">
        <v>52</v>
      </c>
      <c r="N15468" s="28" t="s">
        <v>52</v>
      </c>
    </row>
    <row r="15469" spans="1:14" ht="12.75" x14ac:dyDescent="0.2">
      <c r="A15469" s="23" t="str">
        <f>HYPERLINK("https://www.spark-marketing.ru/Card/Person/64814", "АО ""ВОЕНТЕЛЕКОМ""")</f>
        <v>АО "ВОЕНТЕЛЕКОМ"</v>
      </c>
      <c r="B15469" s="24" t="s">
        <v>10731</v>
      </c>
      <c r="C15469" s="25">
        <v>2544000</v>
      </c>
      <c r="D15469" s="22" t="s">
        <v>17754</v>
      </c>
      <c r="E15469" s="22" t="s">
        <v>363</v>
      </c>
      <c r="F15469" s="23" t="str">
        <f>HYPERLINK("https://www.spark-marketing.ru/Card/Lot/67812394", "Услуги охраны")</f>
        <v>Услуги охраны</v>
      </c>
      <c r="G15469" s="22" t="s">
        <v>552</v>
      </c>
      <c r="H15469" s="22" t="s">
        <v>552</v>
      </c>
      <c r="I15469" s="26">
        <v>43504.645219907397</v>
      </c>
      <c r="J15469" s="23" t="str">
        <f>HYPERLINK("https://www.spark-marketing.ru/Card/Person/60202", "ООО ЧОО ""ВЫМПЕЛ""")</f>
        <v>ООО ЧОО "ВЫМПЕЛ"</v>
      </c>
      <c r="K15469" s="24" t="s">
        <v>17755</v>
      </c>
      <c r="L15469" s="22" t="s">
        <v>10</v>
      </c>
      <c r="M15469" s="25">
        <v>2280000</v>
      </c>
      <c r="N15469" s="27">
        <v>0.10377358490566038</v>
      </c>
    </row>
    <row r="15470" spans="1:14" x14ac:dyDescent="0.15">
      <c r="A15470" s="23" t="str">
        <f>HYPERLINK("https://www.spark-marketing.ru/Card/Person/4254139", "МБУ ""МОЛОДЕЖНЫЙ КЛУБ ""АТМОСФЕРА""""")</f>
        <v>МБУ "МОЛОДЕЖНЫЙ КЛУБ "АТМОСФЕРА""</v>
      </c>
      <c r="B15470" s="24" t="s">
        <v>17756</v>
      </c>
      <c r="C15470" s="25">
        <v>38000</v>
      </c>
      <c r="D15470" s="22" t="s">
        <v>17757</v>
      </c>
      <c r="E15470" s="22" t="s">
        <v>59</v>
      </c>
      <c r="F15470" s="23" t="str">
        <f>HYPERLINK("https://www.spark-marketing.ru/Card/Lot/67811304", "Работы по установке систем охранной (противовзломной) сигнализации")</f>
        <v>Работы по установке систем охранной (противовзломной) сигнализации</v>
      </c>
      <c r="G15470" s="22" t="s">
        <v>50</v>
      </c>
      <c r="H15470" s="22" t="s">
        <v>326</v>
      </c>
      <c r="I15470" s="26">
        <v>43504.650254629603</v>
      </c>
      <c r="J15470" s="28" t="s">
        <v>52</v>
      </c>
      <c r="K15470" s="28" t="s">
        <v>52</v>
      </c>
      <c r="L15470" s="28" t="s">
        <v>52</v>
      </c>
      <c r="M15470" s="28" t="s">
        <v>52</v>
      </c>
      <c r="N15470" s="28" t="s">
        <v>52</v>
      </c>
    </row>
    <row r="15471" spans="1:14" x14ac:dyDescent="0.15">
      <c r="A15471" s="23" t="str">
        <f>HYPERLINK("https://www.spark-marketing.ru/Card/Person/74923", "МБОУ СОШ № 28")</f>
        <v>МБОУ СОШ № 28</v>
      </c>
      <c r="B15471" s="24" t="s">
        <v>17758</v>
      </c>
      <c r="C15471" s="25">
        <v>74500</v>
      </c>
      <c r="D15471" s="22" t="s">
        <v>17759</v>
      </c>
      <c r="E15471" s="22" t="s">
        <v>107</v>
      </c>
      <c r="F15471" s="23" t="str">
        <f>HYPERLINK("https://www.spark-marketing.ru/Card/Lot/67811290", "ТО камер видеонаблюдения ЕГЭ")</f>
        <v>ТО камер видеонаблюдения ЕГЭ</v>
      </c>
      <c r="G15471" s="22" t="s">
        <v>50</v>
      </c>
      <c r="H15471" s="22" t="s">
        <v>2088</v>
      </c>
      <c r="I15471" s="26">
        <v>43504.638576388897</v>
      </c>
      <c r="J15471" s="28" t="s">
        <v>52</v>
      </c>
      <c r="K15471" s="28" t="s">
        <v>52</v>
      </c>
      <c r="L15471" s="28" t="s">
        <v>52</v>
      </c>
      <c r="M15471" s="28" t="s">
        <v>52</v>
      </c>
      <c r="N15471" s="28" t="s">
        <v>52</v>
      </c>
    </row>
    <row r="15472" spans="1:14" x14ac:dyDescent="0.15">
      <c r="A15472" s="23" t="str">
        <f>HYPERLINK("https://www.spark-marketing.ru/Card/Person/4348584", "АО ""АТОМ-ОХРАНА""")</f>
        <v>АО "АТОМ-ОХРАНА"</v>
      </c>
      <c r="B15472" s="24" t="s">
        <v>1036</v>
      </c>
      <c r="C15472" s="28" t="s">
        <v>52</v>
      </c>
      <c r="D15472" s="22" t="s">
        <v>17760</v>
      </c>
      <c r="E15472" s="22" t="s">
        <v>53</v>
      </c>
      <c r="F15472" s="23" t="str">
        <f>HYPERLINK("https://www.spark-marketing.ru/Card/Lot/67815411", "Оказание услуг по гарантийному техническому обслуживанию служебного автомобиля МУВО № 2 ФГУП «Атом-охрана» (1182956)")</f>
        <v>Оказание услуг по гарантийному техническому обслуживанию служебного автомобиля МУВО № 2 ФГУП «Атом-охрана» (1182956)</v>
      </c>
      <c r="G15472" s="22" t="s">
        <v>55</v>
      </c>
      <c r="H15472" s="22" t="s">
        <v>55</v>
      </c>
      <c r="I15472" s="26">
        <v>43504.621539351901</v>
      </c>
      <c r="J15472" s="28" t="s">
        <v>52</v>
      </c>
      <c r="K15472" s="28" t="s">
        <v>52</v>
      </c>
      <c r="L15472" s="28" t="s">
        <v>52</v>
      </c>
      <c r="M15472" s="28" t="s">
        <v>52</v>
      </c>
      <c r="N15472" s="28" t="s">
        <v>52</v>
      </c>
    </row>
    <row r="15473" spans="1:14" x14ac:dyDescent="0.15">
      <c r="A15473" s="23" t="str">
        <f>HYPERLINK("https://www.spark-marketing.ru/Card/Person/134158", "ФГКУ КОМБИНАТ ""ВОЛЖАНКА"" РОСРЕЗЕРВА")</f>
        <v>ФГКУ КОМБИНАТ "ВОЛЖАНКА" РОСРЕЗЕРВА</v>
      </c>
      <c r="B15473" s="24" t="s">
        <v>17761</v>
      </c>
      <c r="C15473" s="25">
        <v>136626.79999999999</v>
      </c>
      <c r="D15473" s="22" t="s">
        <v>17762</v>
      </c>
      <c r="E15473" s="22" t="s">
        <v>68</v>
      </c>
      <c r="F15473" s="23" t="str">
        <f>HYPERLINK("https://www.spark-marketing.ru/Card/Lot/67583035", "Охрана объектов с помощью средств ОПС и КТС подразделением вневедомственной охранной (Прочая закупка товаров, работ, услуг)")</f>
        <v>Охрана объектов с помощью средств ОПС и КТС подразделением вневедомственной охранной (Прочая закупка товаров, работ, услуг)</v>
      </c>
      <c r="G15473" s="22" t="s">
        <v>80</v>
      </c>
      <c r="H15473" s="22" t="s">
        <v>17763</v>
      </c>
      <c r="I15473" s="26">
        <v>43496</v>
      </c>
      <c r="J15473" s="28" t="s">
        <v>52</v>
      </c>
      <c r="K15473" s="28" t="s">
        <v>52</v>
      </c>
      <c r="L15473" s="28" t="s">
        <v>52</v>
      </c>
      <c r="M15473" s="28" t="s">
        <v>52</v>
      </c>
      <c r="N15473" s="28" t="s">
        <v>52</v>
      </c>
    </row>
    <row r="15474" spans="1:14" ht="12.75" hidden="1" outlineLevel="1" x14ac:dyDescent="0.2">
      <c r="A15474" s="23" t="str">
        <f>HYPERLINK("https://www.spark-marketing.ru/Card/Person/134158", "ФГКУ КОМБИНАТ ""ВОЛЖАНКА"" РОСРЕЗЕРВА")</f>
        <v>ФГКУ КОМБИНАТ "ВОЛЖАНКА" РОСРЕЗЕРВА</v>
      </c>
      <c r="B15474" s="24" t="s">
        <v>17761</v>
      </c>
      <c r="C15474" s="25">
        <v>136626.79999999999</v>
      </c>
      <c r="D15474" s="22" t="s">
        <v>17762</v>
      </c>
      <c r="E15474" s="22" t="s">
        <v>68</v>
      </c>
      <c r="F15474" s="23" t="str">
        <f>HYPERLINK("https://www.spark-marketing.ru/Card/Lot/67583035", "Охрана объектов с помощью средств ОПС и КТС подразделением вневедомственной охранной (Прочая закупка товаров, работ, услуг)")</f>
        <v>Охрана объектов с помощью средств ОПС и КТС подразделением вневедомственной охранной (Прочая закупка товаров, работ, услуг)</v>
      </c>
      <c r="G15474" s="22" t="s">
        <v>80</v>
      </c>
      <c r="H15474" s="22" t="s">
        <v>17763</v>
      </c>
      <c r="I15474" s="26">
        <v>43496</v>
      </c>
      <c r="J15474" s="23" t="str">
        <f>HYPERLINK("https://www.spark-marketing.ru/Card/Person/4346815", "ФГКУ ""УВО ВНГ РОССИИ ПО САРАТОВСКОЙ ОБЛАСТИ""")</f>
        <v>ФГКУ "УВО ВНГ РОССИИ ПО САРАТОВСКОЙ ОБЛАСТИ"</v>
      </c>
      <c r="K15474" s="24" t="s">
        <v>16630</v>
      </c>
      <c r="L15474" s="22" t="s">
        <v>10</v>
      </c>
      <c r="M15474" s="25">
        <v>127808.4</v>
      </c>
      <c r="N15474" s="27">
        <v>6.4543705920068389E-2</v>
      </c>
    </row>
    <row r="15475" spans="1:14" hidden="1" outlineLevel="1" x14ac:dyDescent="0.15">
      <c r="A15475" s="23" t="str">
        <f>HYPERLINK("https://www.spark-marketing.ru/Card/Person/134158", "ФГКУ КОМБИНАТ ""ВОЛЖАНКА"" РОСРЕЗЕРВА")</f>
        <v>ФГКУ КОМБИНАТ "ВОЛЖАНКА" РОСРЕЗЕРВА</v>
      </c>
      <c r="B15475" s="24" t="s">
        <v>17761</v>
      </c>
      <c r="C15475" s="25">
        <v>136626.79999999999</v>
      </c>
      <c r="D15475" s="22" t="s">
        <v>17762</v>
      </c>
      <c r="E15475" s="22" t="s">
        <v>68</v>
      </c>
      <c r="F15475" s="23" t="str">
        <f>HYPERLINK("https://www.spark-marketing.ru/Card/Lot/67583035", "Охрана объектов с помощью средств ОПС и КТС подразделением вневедомственной охранной (Прочая закупка товаров, работ, услуг)")</f>
        <v>Охрана объектов с помощью средств ОПС и КТС подразделением вневедомственной охранной (Прочая закупка товаров, работ, услуг)</v>
      </c>
      <c r="G15475" s="22" t="s">
        <v>80</v>
      </c>
      <c r="H15475" s="22" t="s">
        <v>17763</v>
      </c>
      <c r="I15475" s="26">
        <v>43496</v>
      </c>
      <c r="J15475" s="23" t="str">
        <f>HYPERLINK("https://www.spark-marketing.ru/Card/Person/4346815", "ФГКУ ""УВО ВНГ РОССИИ ПО САРАТОВСКОЙ ОБЛАСТИ""")</f>
        <v>ФГКУ "УВО ВНГ РОССИИ ПО САРАТОВСКОЙ ОБЛАСТИ"</v>
      </c>
      <c r="K15475" s="24" t="s">
        <v>16630</v>
      </c>
      <c r="L15475" s="28" t="s">
        <v>52</v>
      </c>
      <c r="M15475" s="28" t="s">
        <v>52</v>
      </c>
      <c r="N15475" s="28" t="s">
        <v>52</v>
      </c>
    </row>
    <row r="15476" spans="1:14" x14ac:dyDescent="0.15">
      <c r="A15476" s="23" t="str">
        <f>HYPERLINK("https://www.spark-marketing.ru/Card/Person/4372941", "МБДОУ №89 ""ТЕРЕМОК"" Г. СИМФЕРОПОЛЯ")</f>
        <v>МБДОУ №89 "ТЕРЕМОК" Г. СИМФЕРОПОЛЯ</v>
      </c>
      <c r="B15476" s="24" t="s">
        <v>17764</v>
      </c>
      <c r="C15476" s="25">
        <v>24000</v>
      </c>
      <c r="D15476" s="22" t="s">
        <v>17765</v>
      </c>
      <c r="E15476" s="22" t="s">
        <v>294</v>
      </c>
      <c r="F15476" s="23" t="str">
        <f>HYPERLINK("https://www.spark-marketing.ru/Card/Lot/67803234", "Техническое обслуживание системы видеонаблюдения")</f>
        <v>Техническое обслуживание системы видеонаблюдения</v>
      </c>
      <c r="G15476" s="22" t="s">
        <v>1053</v>
      </c>
      <c r="H15476" s="22" t="s">
        <v>3239</v>
      </c>
      <c r="I15476" s="26">
        <v>43504.552777777797</v>
      </c>
      <c r="J15476" s="28" t="s">
        <v>52</v>
      </c>
      <c r="K15476" s="28" t="s">
        <v>52</v>
      </c>
      <c r="L15476" s="28" t="s">
        <v>52</v>
      </c>
      <c r="M15476" s="28" t="s">
        <v>52</v>
      </c>
      <c r="N15476" s="28" t="s">
        <v>52</v>
      </c>
    </row>
    <row r="15477" spans="1:14" x14ac:dyDescent="0.15">
      <c r="A15477" s="23" t="str">
        <f>HYPERLINK("https://www.spark-marketing.ru/Card/Person/134158", "ФГКУ КОМБИНАТ ""ВОЛЖАНКА"" РОСРЕЗЕРВА")</f>
        <v>ФГКУ КОМБИНАТ "ВОЛЖАНКА" РОСРЕЗЕРВА</v>
      </c>
      <c r="B15477" s="24" t="s">
        <v>17761</v>
      </c>
      <c r="C15477" s="25">
        <v>138846</v>
      </c>
      <c r="D15477" s="22" t="s">
        <v>17766</v>
      </c>
      <c r="E15477" s="22" t="s">
        <v>68</v>
      </c>
      <c r="F15477" s="23" t="str">
        <f>HYPERLINK("https://www.spark-marketing.ru/Card/Lot/67587292", "Охрана объектов с помощью средств ОПС и КТС подразделением вневедомственной охранной (Прочая закупка товаров, работ, услуг)")</f>
        <v>Охрана объектов с помощью средств ОПС и КТС подразделением вневедомственной охранной (Прочая закупка товаров, работ, услуг)</v>
      </c>
      <c r="G15477" s="22" t="s">
        <v>80</v>
      </c>
      <c r="H15477" s="22" t="s">
        <v>17767</v>
      </c>
      <c r="I15477" s="26">
        <v>43496</v>
      </c>
      <c r="J15477" s="28" t="s">
        <v>52</v>
      </c>
      <c r="K15477" s="28" t="s">
        <v>52</v>
      </c>
      <c r="L15477" s="28" t="s">
        <v>52</v>
      </c>
      <c r="M15477" s="28" t="s">
        <v>52</v>
      </c>
      <c r="N15477" s="28" t="s">
        <v>52</v>
      </c>
    </row>
    <row r="15478" spans="1:14" ht="12.75" hidden="1" outlineLevel="1" x14ac:dyDescent="0.2">
      <c r="A15478" s="23" t="str">
        <f>HYPERLINK("https://www.spark-marketing.ru/Card/Person/134158", "ФГКУ КОМБИНАТ ""ВОЛЖАНКА"" РОСРЕЗЕРВА")</f>
        <v>ФГКУ КОМБИНАТ "ВОЛЖАНКА" РОСРЕЗЕРВА</v>
      </c>
      <c r="B15478" s="24" t="s">
        <v>17761</v>
      </c>
      <c r="C15478" s="25">
        <v>138846</v>
      </c>
      <c r="D15478" s="22" t="s">
        <v>17766</v>
      </c>
      <c r="E15478" s="22" t="s">
        <v>68</v>
      </c>
      <c r="F15478" s="23" t="str">
        <f>HYPERLINK("https://www.spark-marketing.ru/Card/Lot/67587292", "Охрана объектов с помощью средств ОПС и КТС подразделением вневедомственной охранной (Прочая закупка товаров, работ, услуг)")</f>
        <v>Охрана объектов с помощью средств ОПС и КТС подразделением вневедомственной охранной (Прочая закупка товаров, работ, услуг)</v>
      </c>
      <c r="G15478" s="22" t="s">
        <v>80</v>
      </c>
      <c r="H15478" s="22" t="s">
        <v>17767</v>
      </c>
      <c r="I15478" s="26">
        <v>43496</v>
      </c>
      <c r="J15478" s="23" t="str">
        <f>HYPERLINK("https://www.spark-marketing.ru/Card/Person/4346815", "ФГКУ ""УВО ВНГ РОССИИ ПО САРАТОВСКОЙ ОБЛАСТИ""")</f>
        <v>ФГКУ "УВО ВНГ РОССИИ ПО САРАТОВСКОЙ ОБЛАСТИ"</v>
      </c>
      <c r="K15478" s="24" t="s">
        <v>16630</v>
      </c>
      <c r="L15478" s="22" t="s">
        <v>10</v>
      </c>
      <c r="M15478" s="25">
        <v>127808.4</v>
      </c>
      <c r="N15478" s="27">
        <v>7.9495268138801256E-2</v>
      </c>
    </row>
    <row r="15479" spans="1:14" hidden="1" outlineLevel="1" x14ac:dyDescent="0.15">
      <c r="A15479" s="23" t="str">
        <f>HYPERLINK("https://www.spark-marketing.ru/Card/Person/134158", "ФГКУ КОМБИНАТ ""ВОЛЖАНКА"" РОСРЕЗЕРВА")</f>
        <v>ФГКУ КОМБИНАТ "ВОЛЖАНКА" РОСРЕЗЕРВА</v>
      </c>
      <c r="B15479" s="24" t="s">
        <v>17761</v>
      </c>
      <c r="C15479" s="25">
        <v>138846</v>
      </c>
      <c r="D15479" s="22" t="s">
        <v>17766</v>
      </c>
      <c r="E15479" s="22" t="s">
        <v>68</v>
      </c>
      <c r="F15479" s="23" t="str">
        <f>HYPERLINK("https://www.spark-marketing.ru/Card/Lot/67587292", "Охрана объектов с помощью средств ОПС и КТС подразделением вневедомственной охранной (Прочая закупка товаров, работ, услуг)")</f>
        <v>Охрана объектов с помощью средств ОПС и КТС подразделением вневедомственной охранной (Прочая закупка товаров, работ, услуг)</v>
      </c>
      <c r="G15479" s="22" t="s">
        <v>80</v>
      </c>
      <c r="H15479" s="22" t="s">
        <v>17767</v>
      </c>
      <c r="I15479" s="26">
        <v>43496</v>
      </c>
      <c r="J15479" s="23" t="str">
        <f>HYPERLINK("https://www.spark-marketing.ru/Card/Person/4346815", "ФГКУ ""УВО ВНГ РОССИИ ПО САРАТОВСКОЙ ОБЛАСТИ""")</f>
        <v>ФГКУ "УВО ВНГ РОССИИ ПО САРАТОВСКОЙ ОБЛАСТИ"</v>
      </c>
      <c r="K15479" s="24" t="s">
        <v>16630</v>
      </c>
      <c r="L15479" s="28" t="s">
        <v>52</v>
      </c>
      <c r="M15479" s="28" t="s">
        <v>52</v>
      </c>
      <c r="N15479" s="28" t="s">
        <v>52</v>
      </c>
    </row>
    <row r="15480" spans="1:14" x14ac:dyDescent="0.15">
      <c r="A15480" s="23" t="str">
        <f>HYPERLINK("https://www.spark-marketing.ru/Card/Person/4348584", "АО ""АТОМ-ОХРАНА""")</f>
        <v>АО "АТОМ-ОХРАНА"</v>
      </c>
      <c r="B15480" s="24" t="s">
        <v>1036</v>
      </c>
      <c r="C15480" s="25">
        <v>0</v>
      </c>
      <c r="D15480" s="22" t="s">
        <v>17768</v>
      </c>
      <c r="E15480" s="22" t="s">
        <v>53</v>
      </c>
      <c r="F15480" s="23" t="str">
        <f>HYPERLINK("https://www.spark-marketing.ru/Card/Lot/67806582", "мониторинг цен в электронной форме на Оказание услуг по гарантийному техническому обслуживанию служебного автомобиля МУВО № 2 ФГУП «Атом-охрана»")</f>
        <v>мониторинг цен в электронной форме на Оказание услуг по гарантийному техническому обслуживанию служебного автомобиля МУВО № 2 ФГУП «Атом-охрана»</v>
      </c>
      <c r="G15480" s="22" t="s">
        <v>55</v>
      </c>
      <c r="H15480" s="22" t="s">
        <v>55</v>
      </c>
      <c r="I15480" s="26">
        <v>43504.5547337963</v>
      </c>
      <c r="J15480" s="28" t="s">
        <v>52</v>
      </c>
      <c r="K15480" s="28" t="s">
        <v>52</v>
      </c>
      <c r="L15480" s="28" t="s">
        <v>52</v>
      </c>
      <c r="M15480" s="28" t="s">
        <v>52</v>
      </c>
      <c r="N15480" s="28" t="s">
        <v>52</v>
      </c>
    </row>
    <row r="15481" spans="1:14" x14ac:dyDescent="0.15">
      <c r="A15481" s="23" t="str">
        <f>HYPERLINK("https://www.spark-marketing.ru/Card/Person/108751", "БДОУ Г. ОМСКА ""ДЕТСКИЙ САД № 183""")</f>
        <v>БДОУ Г. ОМСКА "ДЕТСКИЙ САД № 183"</v>
      </c>
      <c r="B15481" s="24" t="s">
        <v>17393</v>
      </c>
      <c r="C15481" s="25">
        <v>17600</v>
      </c>
      <c r="D15481" s="22" t="s">
        <v>17769</v>
      </c>
      <c r="E15481" s="22" t="s">
        <v>68</v>
      </c>
      <c r="F15481" s="23" t="str">
        <f>HYPERLINK("https://www.spark-marketing.ru/Card/Lot/67803232", "Охрана объекта")</f>
        <v>Охрана объекта</v>
      </c>
      <c r="G15481" s="22" t="s">
        <v>521</v>
      </c>
      <c r="H15481" s="22" t="s">
        <v>522</v>
      </c>
      <c r="I15481" s="26">
        <v>43504.552083333299</v>
      </c>
      <c r="J15481" s="28" t="s">
        <v>52</v>
      </c>
      <c r="K15481" s="28" t="s">
        <v>52</v>
      </c>
      <c r="L15481" s="28" t="s">
        <v>52</v>
      </c>
      <c r="M15481" s="28" t="s">
        <v>52</v>
      </c>
      <c r="N15481" s="28" t="s">
        <v>52</v>
      </c>
    </row>
    <row r="15482" spans="1:14" x14ac:dyDescent="0.2">
      <c r="A15482" s="23" t="str">
        <f>HYPERLINK("https://www.spark-marketing.ru/Card/Person/947022", "МАДОУ МО Г.КРАСНОДАР ""ДЕТСКИЙ САД № 216""")</f>
        <v>МАДОУ МО Г.КРАСНОДАР "ДЕТСКИЙ САД № 216"</v>
      </c>
      <c r="B15482" s="24" t="s">
        <v>17581</v>
      </c>
      <c r="C15482" s="25">
        <v>10800</v>
      </c>
      <c r="D15482" s="22" t="s">
        <v>17770</v>
      </c>
      <c r="E15482" s="22" t="s">
        <v>49</v>
      </c>
      <c r="F15482" s="23" t="str">
        <f>HYPERLINK("https://www.spark-marketing.ru/Card/Lot/67801851", "Обслуживание технических средств тревожной сигнализации")</f>
        <v>Обслуживание технических средств тревожной сигнализации</v>
      </c>
      <c r="G15482" s="22" t="s">
        <v>132</v>
      </c>
      <c r="H15482" s="22" t="s">
        <v>132</v>
      </c>
      <c r="I15482" s="26">
        <v>43504.506168981497</v>
      </c>
      <c r="J15482" s="23" t="str">
        <f>HYPERLINK("https://www.spark-marketing.ru/Card/Person/2167288", "Клочко Александр Викторович")</f>
        <v>Клочко Александр Викторович</v>
      </c>
      <c r="K15482" s="24" t="s">
        <v>17771</v>
      </c>
      <c r="L15482" s="28" t="s">
        <v>52</v>
      </c>
      <c r="M15482" s="25">
        <v>108000</v>
      </c>
      <c r="N15482" s="27">
        <v>-9</v>
      </c>
    </row>
    <row r="15483" spans="1:14" x14ac:dyDescent="0.2">
      <c r="A15483" s="23" t="str">
        <f>HYPERLINK("https://www.spark-marketing.ru/Card/Person/947022", "МАДОУ МО Г.КРАСНОДАР ""ДЕТСКИЙ САД № 216""")</f>
        <v>МАДОУ МО Г.КРАСНОДАР "ДЕТСКИЙ САД № 216"</v>
      </c>
      <c r="B15483" s="24" t="s">
        <v>17581</v>
      </c>
      <c r="C15483" s="25">
        <v>26000</v>
      </c>
      <c r="D15483" s="22" t="s">
        <v>17770</v>
      </c>
      <c r="E15483" s="22" t="s">
        <v>49</v>
      </c>
      <c r="F15483" s="23" t="str">
        <f>HYPERLINK("https://www.spark-marketing.ru/Card/Lot/67801846", "Обслуживание системы видеонаблюдения")</f>
        <v>Обслуживание системы видеонаблюдения</v>
      </c>
      <c r="G15483" s="22" t="s">
        <v>132</v>
      </c>
      <c r="H15483" s="22" t="s">
        <v>132</v>
      </c>
      <c r="I15483" s="26">
        <v>43504.506168981497</v>
      </c>
      <c r="J15483" s="23" t="str">
        <f>HYPERLINK("https://www.spark-marketing.ru/Card/Person/4876078", "Параскевов Артур Андреевич")</f>
        <v>Параскевов Артур Андреевич</v>
      </c>
      <c r="K15483" s="24" t="s">
        <v>17772</v>
      </c>
      <c r="L15483" s="28" t="s">
        <v>52</v>
      </c>
      <c r="M15483" s="25">
        <v>26000</v>
      </c>
      <c r="N15483" s="27">
        <v>0</v>
      </c>
    </row>
    <row r="15484" spans="1:14" x14ac:dyDescent="0.15">
      <c r="A15484" s="23" t="str">
        <f>HYPERLINK("https://www.spark-marketing.ru/Card/Person/114785", "МБОУ ""ВИДНОВСКАЯ СОШ № 2""")</f>
        <v>МБОУ "ВИДНОВСКАЯ СОШ № 2"</v>
      </c>
      <c r="B15484" s="24" t="s">
        <v>17773</v>
      </c>
      <c r="C15484" s="25">
        <v>99600</v>
      </c>
      <c r="D15484" s="22" t="s">
        <v>17774</v>
      </c>
      <c r="E15484" s="22" t="s">
        <v>294</v>
      </c>
      <c r="F15484" s="23" t="str">
        <f>HYPERLINK("https://www.spark-marketing.ru/Card/Lot/67803034", "Оказание услуг по техническому обслуживанию системы видеонаблюдения")</f>
        <v>Оказание услуг по техническому обслуживанию системы видеонаблюдения</v>
      </c>
      <c r="G15484" s="22" t="s">
        <v>50</v>
      </c>
      <c r="H15484" s="22" t="s">
        <v>2391</v>
      </c>
      <c r="I15484" s="26">
        <v>43504.5235763889</v>
      </c>
      <c r="J15484" s="28" t="s">
        <v>52</v>
      </c>
      <c r="K15484" s="28" t="s">
        <v>52</v>
      </c>
      <c r="L15484" s="28" t="s">
        <v>52</v>
      </c>
      <c r="M15484" s="28" t="s">
        <v>52</v>
      </c>
      <c r="N15484" s="28" t="s">
        <v>52</v>
      </c>
    </row>
    <row r="15485" spans="1:14" x14ac:dyDescent="0.15">
      <c r="A15485" s="23" t="str">
        <f>HYPERLINK("https://www.spark-marketing.ru/Card/Person/31746", "ГБУ СО МО ""ПАВЛОВО-ПОСАДСКИЙ КЦСОН""")</f>
        <v>ГБУ СО МО "ПАВЛОВО-ПОСАДСКИЙ КЦСОН"</v>
      </c>
      <c r="B15485" s="24" t="s">
        <v>17775</v>
      </c>
      <c r="C15485" s="25">
        <v>21472.560000000001</v>
      </c>
      <c r="D15485" s="22" t="s">
        <v>17776</v>
      </c>
      <c r="E15485" s="22" t="s">
        <v>107</v>
      </c>
      <c r="F15485" s="23" t="str">
        <f>HYPERLINK("https://www.spark-marketing.ru/Card/Lot/67803125", "Оказание услуг по техническому обслуживанию тревожной кнопки")</f>
        <v>Оказание услуг по техническому обслуживанию тревожной кнопки</v>
      </c>
      <c r="G15485" s="22" t="s">
        <v>50</v>
      </c>
      <c r="H15485" s="22" t="s">
        <v>12003</v>
      </c>
      <c r="I15485" s="26">
        <v>43504.534571759301</v>
      </c>
      <c r="J15485" s="28" t="s">
        <v>52</v>
      </c>
      <c r="K15485" s="28" t="s">
        <v>52</v>
      </c>
      <c r="L15485" s="28" t="s">
        <v>52</v>
      </c>
      <c r="M15485" s="28" t="s">
        <v>52</v>
      </c>
      <c r="N15485" s="28" t="s">
        <v>52</v>
      </c>
    </row>
    <row r="15486" spans="1:14" x14ac:dyDescent="0.15">
      <c r="A15486" s="23" t="str">
        <f>HYPERLINK("https://www.spark-marketing.ru/Card/Person/114785", "МБОУ ""ВИДНОВСКАЯ СОШ № 2""")</f>
        <v>МБОУ "ВИДНОВСКАЯ СОШ № 2"</v>
      </c>
      <c r="B15486" s="24" t="s">
        <v>17773</v>
      </c>
      <c r="C15486" s="25">
        <v>43200</v>
      </c>
      <c r="D15486" s="22" t="s">
        <v>17777</v>
      </c>
      <c r="E15486" s="22" t="s">
        <v>107</v>
      </c>
      <c r="F15486" s="23" t="str">
        <f>HYPERLINK("https://www.spark-marketing.ru/Card/Lot/67803036", "Оказание услуг по техническому обслуживанию (содержанию) систем охранной (противовзломной) сигнализации")</f>
        <v>Оказание услуг по техническому обслуживанию (содержанию) систем охранной (противовзломной) сигнализации</v>
      </c>
      <c r="G15486" s="22" t="s">
        <v>50</v>
      </c>
      <c r="H15486" s="22" t="s">
        <v>2391</v>
      </c>
      <c r="I15486" s="26">
        <v>43504.523611111101</v>
      </c>
      <c r="J15486" s="28" t="s">
        <v>52</v>
      </c>
      <c r="K15486" s="28" t="s">
        <v>52</v>
      </c>
      <c r="L15486" s="28" t="s">
        <v>52</v>
      </c>
      <c r="M15486" s="28" t="s">
        <v>52</v>
      </c>
      <c r="N15486" s="28" t="s">
        <v>52</v>
      </c>
    </row>
    <row r="15487" spans="1:14" x14ac:dyDescent="0.2">
      <c r="A15487" s="23" t="str">
        <f>HYPERLINK("https://www.spark-marketing.ru/Card/Person/44967", "ФГАОУ ВО ""ДАЛЬНЕВОСТОЧНЫЙ ФЕДЕРАЛЬНЫЙ УНИВЕРСИТЕТ"", ДАЛЬНЕВОСТОЧНЫЙ ФЕДЕРАЛЬНЫЙ УНИВЕРСИТЕТ, ФГАОУ ВО ДВФУ, ДВФУ")</f>
        <v>ФГАОУ ВО "ДАЛЬНЕВОСТОЧНЫЙ ФЕДЕРАЛЬНЫЙ УНИВЕРСИТЕТ", ДАЛЬНЕВОСТОЧНЫЙ ФЕДЕРАЛЬНЫЙ УНИВЕРСИТЕТ, ФГАОУ ВО ДВФУ, ДВФУ</v>
      </c>
      <c r="B15487" s="24" t="s">
        <v>11495</v>
      </c>
      <c r="C15487" s="25">
        <v>924000</v>
      </c>
      <c r="D15487" s="22" t="s">
        <v>17778</v>
      </c>
      <c r="E15487" s="22" t="s">
        <v>8898</v>
      </c>
      <c r="F15487" s="23" t="str">
        <f>HYPERLINK("https://www.spark-marketing.ru/Card/Lot/67789337", "ЭЗК-024-19 Оказание услуг по обеспечению пропускного режима, правопорядка и охраны филиала ДВФУ в г. Большой Камень")</f>
        <v>ЭЗК-024-19 Оказание услуг по обеспечению пропускного режима, правопорядка и охраны филиала ДВФУ в г. Большой Камень</v>
      </c>
      <c r="G15487" s="22" t="s">
        <v>409</v>
      </c>
      <c r="H15487" s="22" t="s">
        <v>409</v>
      </c>
      <c r="I15487" s="26">
        <v>43504.5219097222</v>
      </c>
      <c r="J15487" s="23" t="str">
        <f>HYPERLINK("https://www.spark-marketing.ru/Card/Person/29362", "ООО ЧОО ""ГРАНИТ-ПРИМОРЬЕ""")</f>
        <v>ООО ЧОО "ГРАНИТ-ПРИМОРЬЕ"</v>
      </c>
      <c r="K15487" s="24" t="s">
        <v>17779</v>
      </c>
      <c r="L15487" s="28" t="s">
        <v>52</v>
      </c>
      <c r="M15487" s="25">
        <v>891000</v>
      </c>
      <c r="N15487" s="27">
        <v>3.5714285714285712E-2</v>
      </c>
    </row>
    <row r="15488" spans="1:14" x14ac:dyDescent="0.15">
      <c r="A15488" s="23" t="str">
        <f>HYPERLINK("https://www.spark-marketing.ru/Card/Person/64694", "МБОУ СОШ № 25")</f>
        <v>МБОУ СОШ № 25</v>
      </c>
      <c r="B15488" s="24" t="s">
        <v>17780</v>
      </c>
      <c r="C15488" s="25">
        <v>50500</v>
      </c>
      <c r="D15488" s="22" t="s">
        <v>17781</v>
      </c>
      <c r="E15488" s="22" t="s">
        <v>107</v>
      </c>
      <c r="F15488" s="23" t="str">
        <f>HYPERLINK("https://www.spark-marketing.ru/Card/Lot/67799922", "Оказание в 2019 году услуг по техническому обслуживанию системы видеонаблюдения для нужд МБОУ СОШ № 25")</f>
        <v>Оказание в 2019 году услуг по техническому обслуживанию системы видеонаблюдения для нужд МБОУ СОШ № 25</v>
      </c>
      <c r="G15488" s="22" t="s">
        <v>50</v>
      </c>
      <c r="H15488" s="22" t="s">
        <v>938</v>
      </c>
      <c r="I15488" s="26">
        <v>43504.471423611103</v>
      </c>
      <c r="J15488" s="28" t="s">
        <v>52</v>
      </c>
      <c r="K15488" s="28" t="s">
        <v>52</v>
      </c>
      <c r="L15488" s="28" t="s">
        <v>52</v>
      </c>
      <c r="M15488" s="28" t="s">
        <v>52</v>
      </c>
      <c r="N15488" s="28" t="s">
        <v>52</v>
      </c>
    </row>
    <row r="15489" spans="1:14" x14ac:dyDescent="0.15">
      <c r="A15489" s="23" t="str">
        <f>HYPERLINK("https://www.spark-marketing.ru/Card/Person/148098", "ГКОУ РО РОСТОВСКАЯ ШКОЛА-ИНТЕРНАТ № 42")</f>
        <v>ГКОУ РО РОСТОВСКАЯ ШКОЛА-ИНТЕРНАТ № 42</v>
      </c>
      <c r="B15489" s="24" t="s">
        <v>17782</v>
      </c>
      <c r="C15489" s="25">
        <v>143000</v>
      </c>
      <c r="D15489" s="22" t="s">
        <v>17783</v>
      </c>
      <c r="E15489" s="22" t="s">
        <v>103</v>
      </c>
      <c r="F15489" s="23" t="str">
        <f>HYPERLINK("https://www.spark-marketing.ru/Card/Lot/67796073", "техническое обслуживание системы видеонаблюдения")</f>
        <v>техническое обслуживание системы видеонаблюдения</v>
      </c>
      <c r="G15489" s="22" t="s">
        <v>402</v>
      </c>
      <c r="H15489" s="22" t="s">
        <v>403</v>
      </c>
      <c r="I15489" s="26">
        <v>43504.4465277778</v>
      </c>
      <c r="J15489" s="28" t="s">
        <v>52</v>
      </c>
      <c r="K15489" s="28" t="s">
        <v>52</v>
      </c>
      <c r="L15489" s="28" t="s">
        <v>52</v>
      </c>
      <c r="M15489" s="28" t="s">
        <v>52</v>
      </c>
      <c r="N15489" s="28" t="s">
        <v>52</v>
      </c>
    </row>
    <row r="15490" spans="1:14" x14ac:dyDescent="0.2">
      <c r="A15490" s="23" t="str">
        <f>HYPERLINK("https://www.spark-marketing.ru/Card/Person/360417", "АО ""САБ ПО УБОРКЕ Г. КУРСКА""")</f>
        <v>АО "САБ ПО УБОРКЕ Г. КУРСКА"</v>
      </c>
      <c r="B15490" s="24" t="s">
        <v>17784</v>
      </c>
      <c r="C15490" s="25">
        <v>144000</v>
      </c>
      <c r="D15490" s="22" t="s">
        <v>17785</v>
      </c>
      <c r="E15490" s="22" t="s">
        <v>9473</v>
      </c>
      <c r="F15490" s="23" t="str">
        <f>HYPERLINK("https://www.spark-marketing.ru/Card/Lot/67798963", "Оказание услуг по установке и настройке оборудования видеонаблюдения на транспортные средства")</f>
        <v>Оказание услуг по установке и настройке оборудования видеонаблюдения на транспортные средства</v>
      </c>
      <c r="G15490" s="22" t="s">
        <v>3128</v>
      </c>
      <c r="H15490" s="22" t="s">
        <v>3128</v>
      </c>
      <c r="I15490" s="26">
        <v>43504.454930555599</v>
      </c>
      <c r="J15490" s="23" t="str">
        <f>HYPERLINK("https://www.spark-marketing.ru/Card/Person/1283981", "Хомутов Сергей Николаевич")</f>
        <v>Хомутов Сергей Николаевич</v>
      </c>
      <c r="K15490" s="24" t="s">
        <v>17786</v>
      </c>
      <c r="L15490" s="28" t="s">
        <v>52</v>
      </c>
      <c r="M15490" s="25">
        <v>144000</v>
      </c>
      <c r="N15490" s="27">
        <v>0</v>
      </c>
    </row>
    <row r="15491" spans="1:14" x14ac:dyDescent="0.15">
      <c r="A15491" s="23" t="str">
        <f>HYPERLINK("https://www.spark-marketing.ru/Card/Person/41212", "АО ""ИСС""")</f>
        <v>АО "ИСС"</v>
      </c>
      <c r="B15491" s="24" t="s">
        <v>17787</v>
      </c>
      <c r="C15491" s="25">
        <v>1866262</v>
      </c>
      <c r="D15491" s="22" t="s">
        <v>17788</v>
      </c>
      <c r="E15491" s="22" t="s">
        <v>144</v>
      </c>
      <c r="F15491" s="23" t="str">
        <f>HYPERLINK("https://www.spark-marketing.ru/Card/Lot/67791208", "Услуги централизованной охраны объектов АО ""ИСС"" от преступных и иных противоправных посягательств путем централизованного наблюдения за техническими средствами охраны объектов АО ""ИСС"".")</f>
        <v>Услуги централизованной охраны объектов АО "ИСС" от преступных и иных противоправных посягательств путем централизованного наблюдения за техническими средствами охраны объектов АО "ИСС".</v>
      </c>
      <c r="G15491" s="22" t="s">
        <v>640</v>
      </c>
      <c r="H15491" s="22" t="s">
        <v>4700</v>
      </c>
      <c r="I15491" s="26">
        <v>43504.436724537001</v>
      </c>
      <c r="J15491" s="28" t="s">
        <v>52</v>
      </c>
      <c r="K15491" s="28" t="s">
        <v>52</v>
      </c>
      <c r="L15491" s="28" t="s">
        <v>52</v>
      </c>
      <c r="M15491" s="28" t="s">
        <v>52</v>
      </c>
      <c r="N15491" s="28" t="s">
        <v>52</v>
      </c>
    </row>
    <row r="15492" spans="1:14" x14ac:dyDescent="0.15">
      <c r="A15492" s="23" t="str">
        <f>HYPERLINK("https://www.spark-marketing.ru/Card/Person/4874603", "МАОУ ""ВИДНОВСКАЯ СОШ № 10""")</f>
        <v>МАОУ "ВИДНОВСКАЯ СОШ № 10"</v>
      </c>
      <c r="B15492" s="24" t="s">
        <v>17789</v>
      </c>
      <c r="C15492" s="25">
        <v>92730</v>
      </c>
      <c r="D15492" s="22" t="s">
        <v>17790</v>
      </c>
      <c r="E15492" s="22" t="s">
        <v>294</v>
      </c>
      <c r="F15492" s="23" t="str">
        <f>HYPERLINK("https://www.spark-marketing.ru/Card/Lot/67797275", "Оказание услуг по техническому обслуживанию систем видеонаблюдения и видеодомофонной связи")</f>
        <v>Оказание услуг по техническому обслуживанию систем видеонаблюдения и видеодомофонной связи</v>
      </c>
      <c r="G15492" s="22" t="s">
        <v>50</v>
      </c>
      <c r="H15492" s="22" t="s">
        <v>2391</v>
      </c>
      <c r="I15492" s="26">
        <v>43504.419791666704</v>
      </c>
      <c r="J15492" s="28" t="s">
        <v>52</v>
      </c>
      <c r="K15492" s="28" t="s">
        <v>52</v>
      </c>
      <c r="L15492" s="28" t="s">
        <v>52</v>
      </c>
      <c r="M15492" s="28" t="s">
        <v>52</v>
      </c>
      <c r="N15492" s="28" t="s">
        <v>52</v>
      </c>
    </row>
    <row r="15493" spans="1:14" x14ac:dyDescent="0.15">
      <c r="A15493" s="23" t="str">
        <f>HYPERLINK("https://www.spark-marketing.ru/Card/Person/110726", "МБОУ НАРО-ФОМИНСКАЯ СОШ №6 С УГЛУБЛЕННЫМ ИЗУЧЕНИЕМ ОТДЕЛЬНЫХ ПРЕДМЕТОВ")</f>
        <v>МБОУ НАРО-ФОМИНСКАЯ СОШ №6 С УГЛУБЛЕННЫМ ИЗУЧЕНИЕМ ОТДЕЛЬНЫХ ПРЕДМЕТОВ</v>
      </c>
      <c r="B15493" s="24" t="s">
        <v>17791</v>
      </c>
      <c r="C15493" s="25">
        <v>97000</v>
      </c>
      <c r="D15493" s="22" t="s">
        <v>17792</v>
      </c>
      <c r="E15493" s="22" t="s">
        <v>234</v>
      </c>
      <c r="F15493" s="23" t="str">
        <f>HYPERLINK("https://www.spark-marketing.ru/Card/Lot/67794907", "Техническое обслуживание системы видеонаблюдения, видеотрансляции в ППЭ ЕГЭ")</f>
        <v>Техническое обслуживание системы видеонаблюдения, видеотрансляции в ППЭ ЕГЭ</v>
      </c>
      <c r="G15493" s="22" t="s">
        <v>50</v>
      </c>
      <c r="H15493" s="22" t="s">
        <v>2332</v>
      </c>
      <c r="I15493" s="26">
        <v>43504.409363425897</v>
      </c>
      <c r="J15493" s="28" t="s">
        <v>52</v>
      </c>
      <c r="K15493" s="28" t="s">
        <v>52</v>
      </c>
      <c r="L15493" s="28" t="s">
        <v>52</v>
      </c>
      <c r="M15493" s="28" t="s">
        <v>52</v>
      </c>
      <c r="N15493" s="28" t="s">
        <v>52</v>
      </c>
    </row>
    <row r="15494" spans="1:14" x14ac:dyDescent="0.15">
      <c r="A15494" s="23" t="str">
        <f>HYPERLINK("https://www.spark-marketing.ru/Card/Person/154579", "МБДОУ ""ДЕТСКИЙ САД № 180"" Г. ЧЕБОКСАРЫ")</f>
        <v>МБДОУ "ДЕТСКИЙ САД № 180" Г. ЧЕБОКСАРЫ</v>
      </c>
      <c r="B15494" s="24" t="s">
        <v>17793</v>
      </c>
      <c r="C15494" s="25">
        <v>2780.4</v>
      </c>
      <c r="D15494" s="22" t="s">
        <v>17794</v>
      </c>
      <c r="E15494" s="22" t="s">
        <v>208</v>
      </c>
      <c r="F15494" s="23" t="str">
        <f>HYPERLINK("https://www.spark-marketing.ru/Card/Lot/67794994", "оказание услуг по техническому обслуживанию тревожной сигнализации")</f>
        <v>оказание услуг по техническому обслуживанию тревожной сигнализации</v>
      </c>
      <c r="G15494" s="22" t="s">
        <v>1137</v>
      </c>
      <c r="H15494" s="22" t="s">
        <v>1138</v>
      </c>
      <c r="I15494" s="26">
        <v>43504.394444444399</v>
      </c>
      <c r="J15494" s="28" t="s">
        <v>52</v>
      </c>
      <c r="K15494" s="28" t="s">
        <v>52</v>
      </c>
      <c r="L15494" s="28" t="s">
        <v>52</v>
      </c>
      <c r="M15494" s="28" t="s">
        <v>52</v>
      </c>
      <c r="N15494" s="28" t="s">
        <v>52</v>
      </c>
    </row>
    <row r="15495" spans="1:14" ht="12.75" x14ac:dyDescent="0.2">
      <c r="A15495" s="23" t="str">
        <f>HYPERLINK("https://www.spark-marketing.ru/Card/Person/1762892", "ООО ""РН-СЕРВИС""")</f>
        <v>ООО "РН-СЕРВИС"</v>
      </c>
      <c r="B15495" s="24" t="s">
        <v>17795</v>
      </c>
      <c r="C15495" s="25">
        <v>14971505.470000001</v>
      </c>
      <c r="D15495" s="22" t="s">
        <v>17796</v>
      </c>
      <c r="E15495" s="22" t="s">
        <v>2777</v>
      </c>
      <c r="F15495" s="23" t="str">
        <f>HYPERLINK("https://www.spark-marketing.ru/Card/Lot/67792916", "Техническое обслуживание, наладка измерительных комплексов ДЭЛ-140 (ДЭЛ-150), систем видеонаблюдения для нужд филиала ООО «РН-Сервис» в г. Стрежевой в 2019 году")</f>
        <v>Техническое обслуживание, наладка измерительных комплексов ДЭЛ-140 (ДЭЛ-150), систем видеонаблюдения для нужд филиала ООО «РН-Сервис» в г. Стрежевой в 2019 году</v>
      </c>
      <c r="G15495" s="22" t="s">
        <v>55</v>
      </c>
      <c r="H15495" s="22" t="s">
        <v>55</v>
      </c>
      <c r="I15495" s="26">
        <v>43504.350462962997</v>
      </c>
      <c r="J15495" s="23" t="str">
        <f>HYPERLINK("https://www.spark-marketing.ru/Card/Person/2288167", "ООО ""СПЕЦЭЛЕКТРОНИКА""")</f>
        <v>ООО "СПЕЦЭЛЕКТРОНИКА"</v>
      </c>
      <c r="K15495" s="24" t="s">
        <v>17797</v>
      </c>
      <c r="L15495" s="22" t="s">
        <v>10</v>
      </c>
      <c r="M15495" s="25">
        <v>14971505.470000001</v>
      </c>
      <c r="N15495" s="27">
        <v>0</v>
      </c>
    </row>
    <row r="15496" spans="1:14" x14ac:dyDescent="0.15">
      <c r="A15496" s="23" t="str">
        <f>HYPERLINK("https://www.spark-marketing.ru/Card/Person/5898180", "ООО РН СЕРВИС")</f>
        <v>ООО РН СЕРВИС</v>
      </c>
      <c r="B15496" s="28" t="s">
        <v>52</v>
      </c>
      <c r="C15496" s="25">
        <v>14971505.470000001</v>
      </c>
      <c r="D15496" s="22" t="s">
        <v>17796</v>
      </c>
      <c r="E15496" s="22" t="s">
        <v>2777</v>
      </c>
      <c r="F15496" s="23" t="str">
        <f>HYPERLINK("https://www.spark-marketing.ru/Card/Lot/74027474", "Техническое обслуживание, наладка измерительных комплексов ДЭЛ-140 (ДЭЛ-150), систем видеонаблюдения для нужд филиала ООО «РН-Сервис» в г. Стрежевой в 2019 году")</f>
        <v>Техническое обслуживание, наладка измерительных комплексов ДЭЛ-140 (ДЭЛ-150), систем видеонаблюдения для нужд филиала ООО «РН-Сервис» в г. Стрежевой в 2019 году</v>
      </c>
      <c r="G15496" s="22" t="s">
        <v>52</v>
      </c>
      <c r="H15496" s="22" t="s">
        <v>52</v>
      </c>
      <c r="I15496" s="26">
        <v>43504.360416666699</v>
      </c>
      <c r="J15496" s="28" t="s">
        <v>52</v>
      </c>
      <c r="K15496" s="28" t="s">
        <v>52</v>
      </c>
      <c r="L15496" s="28" t="s">
        <v>52</v>
      </c>
      <c r="M15496" s="28" t="s">
        <v>52</v>
      </c>
      <c r="N15496" s="28" t="s">
        <v>52</v>
      </c>
    </row>
    <row r="15497" spans="1:14" x14ac:dyDescent="0.15">
      <c r="A15497" s="23" t="str">
        <f>HYPERLINK("https://www.spark-marketing.ru/Card/Person/4361", "ФГБУ ""МОРСПАССЛУЖБА""")</f>
        <v>ФГБУ "МОРСПАССЛУЖБА"</v>
      </c>
      <c r="B15497" s="24" t="s">
        <v>17798</v>
      </c>
      <c r="C15497" s="25">
        <v>2376000</v>
      </c>
      <c r="D15497" s="22" t="s">
        <v>17799</v>
      </c>
      <c r="E15497" s="22" t="s">
        <v>2577</v>
      </c>
      <c r="F15497" s="23" t="str">
        <f>HYPERLINK("https://www.spark-marketing.ru/Card/Lot/67788289", "Оказание услуг по защите от актов незаконного вмешательства на транспортных средствах Сахалинского филиала ФГБУ ""Морспасслужба""")</f>
        <v>Оказание услуг по защите от актов незаконного вмешательства на транспортных средствах Сахалинского филиала ФГБУ "Морспасслужба"</v>
      </c>
      <c r="G15497" s="22" t="s">
        <v>69</v>
      </c>
      <c r="H15497" s="22" t="s">
        <v>69</v>
      </c>
      <c r="I15497" s="26">
        <v>43504.051712963003</v>
      </c>
      <c r="J15497" s="28" t="s">
        <v>52</v>
      </c>
      <c r="K15497" s="28" t="s">
        <v>52</v>
      </c>
      <c r="L15497" s="28" t="s">
        <v>52</v>
      </c>
      <c r="M15497" s="28" t="s">
        <v>52</v>
      </c>
      <c r="N15497" s="28" t="s">
        <v>52</v>
      </c>
    </row>
    <row r="15498" spans="1:14" x14ac:dyDescent="0.15">
      <c r="A15498" s="23" t="str">
        <f>HYPERLINK("https://www.spark-marketing.ru/Card/Person/25965", "ГОСЖИЛИНСПЕКЦИЯ ОБЛАСТИ")</f>
        <v>ГОСЖИЛИНСПЕКЦИЯ ОБЛАСТИ</v>
      </c>
      <c r="B15498" s="24" t="s">
        <v>17800</v>
      </c>
      <c r="C15498" s="25">
        <v>56200</v>
      </c>
      <c r="D15498" s="22" t="s">
        <v>17801</v>
      </c>
      <c r="E15498" s="22" t="s">
        <v>234</v>
      </c>
      <c r="F15498" s="23" t="str">
        <f>HYPERLINK("https://www.spark-marketing.ru/Card/Lot/67811980", "Оказание услуг по техническому обслуживанию системы видеонаблюдения, контроля и управления доступом, турникета напольного и техническому обслуживанию медиа-оборудования зала заседаний")</f>
        <v>Оказание услуг по техническому обслуживанию системы видеонаблюдения, контроля и управления доступом, турникета напольного и техническому обслуживанию медиа-оборудования зала заседаний</v>
      </c>
      <c r="G15498" s="22" t="s">
        <v>402</v>
      </c>
      <c r="H15498" s="22" t="s">
        <v>403</v>
      </c>
      <c r="I15498" s="26">
        <v>43504</v>
      </c>
      <c r="J15498" s="28" t="s">
        <v>52</v>
      </c>
      <c r="K15498" s="28" t="s">
        <v>52</v>
      </c>
      <c r="L15498" s="28" t="s">
        <v>52</v>
      </c>
      <c r="M15498" s="28" t="s">
        <v>52</v>
      </c>
      <c r="N15498" s="28" t="s">
        <v>52</v>
      </c>
    </row>
    <row r="15499" spans="1:14" x14ac:dyDescent="0.15">
      <c r="A15499" s="23" t="str">
        <f>HYPERLINK("https://www.spark-marketing.ru/Card/Person/1079992", "МКДОУ СРЕДНЕСАНТИМИРСКИЙ ДЕТСКИЙ САД ""ТЕРЕМОК""")</f>
        <v>МКДОУ СРЕДНЕСАНТИМИРСКИЙ ДЕТСКИЙ САД "ТЕРЕМОК"</v>
      </c>
      <c r="B15499" s="24" t="s">
        <v>17802</v>
      </c>
      <c r="C15499" s="25">
        <v>16200</v>
      </c>
      <c r="D15499" s="22" t="s">
        <v>17803</v>
      </c>
      <c r="E15499" s="22" t="s">
        <v>68</v>
      </c>
      <c r="F15499" s="23" t="str">
        <f>HYPERLINK("https://www.spark-marketing.ru/Card/Lot/67803418",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499" s="22" t="s">
        <v>446</v>
      </c>
      <c r="H15499" s="22" t="s">
        <v>16876</v>
      </c>
      <c r="I15499" s="26">
        <v>43504</v>
      </c>
      <c r="J15499" s="28" t="s">
        <v>52</v>
      </c>
      <c r="K15499" s="28" t="s">
        <v>52</v>
      </c>
      <c r="L15499" s="28" t="s">
        <v>52</v>
      </c>
      <c r="M15499" s="28" t="s">
        <v>52</v>
      </c>
      <c r="N15499" s="28" t="s">
        <v>52</v>
      </c>
    </row>
    <row r="15500" spans="1:14" hidden="1" outlineLevel="1" x14ac:dyDescent="0.2">
      <c r="A15500" s="23" t="str">
        <f>HYPERLINK("https://www.spark-marketing.ru/Card/Person/1079992", "МКДОУ СРЕДНЕСАНТИМИРСКИЙ ДЕТСКИЙ САД ""ТЕРЕМОК""")</f>
        <v>МКДОУ СРЕДНЕСАНТИМИРСКИЙ ДЕТСКИЙ САД "ТЕРЕМОК"</v>
      </c>
      <c r="B15500" s="24" t="s">
        <v>17802</v>
      </c>
      <c r="C15500" s="25">
        <v>16200</v>
      </c>
      <c r="D15500" s="22" t="s">
        <v>17803</v>
      </c>
      <c r="E15500" s="22" t="s">
        <v>68</v>
      </c>
      <c r="F15500" s="23" t="str">
        <f>HYPERLINK("https://www.spark-marketing.ru/Card/Lot/67803418",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500" s="22" t="s">
        <v>446</v>
      </c>
      <c r="H15500" s="22" t="s">
        <v>16876</v>
      </c>
      <c r="I15500" s="26">
        <v>43504</v>
      </c>
      <c r="J15500" s="23" t="str">
        <f>HYPERLINK("https://www.spark-marketing.ru/Card/Person/677682", "ООО ЧОО ""ЦСМ ""ГРОМ""")</f>
        <v>ООО ЧОО "ЦСМ "ГРОМ"</v>
      </c>
      <c r="K15500" s="24" t="s">
        <v>16878</v>
      </c>
      <c r="L15500" s="28" t="s">
        <v>52</v>
      </c>
      <c r="M15500" s="25">
        <v>9979.17</v>
      </c>
      <c r="N15500" s="27">
        <v>0.38400185185185187</v>
      </c>
    </row>
    <row r="15501" spans="1:14" hidden="1" outlineLevel="1" x14ac:dyDescent="0.2">
      <c r="A15501" s="23" t="str">
        <f>HYPERLINK("https://www.spark-marketing.ru/Card/Person/1079992", "МКДОУ СРЕДНЕСАНТИМИРСКИЙ ДЕТСКИЙ САД ""ТЕРЕМОК""")</f>
        <v>МКДОУ СРЕДНЕСАНТИМИРСКИЙ ДЕТСКИЙ САД "ТЕРЕМОК"</v>
      </c>
      <c r="B15501" s="24" t="s">
        <v>17802</v>
      </c>
      <c r="C15501" s="25">
        <v>16200</v>
      </c>
      <c r="D15501" s="22" t="s">
        <v>17803</v>
      </c>
      <c r="E15501" s="22" t="s">
        <v>68</v>
      </c>
      <c r="F15501" s="23" t="str">
        <f>HYPERLINK("https://www.spark-marketing.ru/Card/Lot/67803418",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501" s="22" t="s">
        <v>446</v>
      </c>
      <c r="H15501" s="22" t="s">
        <v>16876</v>
      </c>
      <c r="I15501" s="26">
        <v>43504</v>
      </c>
      <c r="J15501" s="23" t="str">
        <f>HYPERLINK("https://www.spark-marketing.ru/Card/Person/124094", "ООО ЧОО ""РЕДУТ+""")</f>
        <v>ООО ЧОО "РЕДУТ+"</v>
      </c>
      <c r="K15501" s="24" t="s">
        <v>16877</v>
      </c>
      <c r="L15501" s="28" t="s">
        <v>52</v>
      </c>
      <c r="M15501" s="25">
        <v>5869.17</v>
      </c>
      <c r="N15501" s="27">
        <v>0.63770555555555553</v>
      </c>
    </row>
    <row r="15502" spans="1:14" ht="12.75" hidden="1" outlineLevel="1" x14ac:dyDescent="0.2">
      <c r="A15502" s="23" t="str">
        <f>HYPERLINK("https://www.spark-marketing.ru/Card/Person/1079992", "МКДОУ СРЕДНЕСАНТИМИРСКИЙ ДЕТСКИЙ САД ""ТЕРЕМОК""")</f>
        <v>МКДОУ СРЕДНЕСАНТИМИРСКИЙ ДЕТСКИЙ САД "ТЕРЕМОК"</v>
      </c>
      <c r="B15502" s="24" t="s">
        <v>17802</v>
      </c>
      <c r="C15502" s="25">
        <v>16200</v>
      </c>
      <c r="D15502" s="22" t="s">
        <v>17803</v>
      </c>
      <c r="E15502" s="22" t="s">
        <v>68</v>
      </c>
      <c r="F15502" s="23" t="str">
        <f>HYPERLINK("https://www.spark-marketing.ru/Card/Lot/67803418",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502" s="22" t="s">
        <v>446</v>
      </c>
      <c r="H15502" s="22" t="s">
        <v>16876</v>
      </c>
      <c r="I15502" s="26">
        <v>43504</v>
      </c>
      <c r="J15502" s="23" t="str">
        <f>HYPERLINK("https://www.spark-marketing.ru/Card/Person/5946939", "ООО АО ""АРМАДА""")</f>
        <v>ООО АО "АРМАДА"</v>
      </c>
      <c r="K15502" s="24" t="s">
        <v>12927</v>
      </c>
      <c r="L15502" s="22" t="s">
        <v>10</v>
      </c>
      <c r="M15502" s="25">
        <v>5769.17</v>
      </c>
      <c r="N15502" s="27">
        <v>0.64387839506172839</v>
      </c>
    </row>
    <row r="15503" spans="1:14" x14ac:dyDescent="0.15">
      <c r="A15503" s="23" t="str">
        <f>HYPERLINK("https://www.spark-marketing.ru/Card/Person/5926", "ГБУЗ ""ГП № 68 ДЗМ""")</f>
        <v>ГБУЗ "ГП № 68 ДЗМ"</v>
      </c>
      <c r="B15503" s="24" t="s">
        <v>442</v>
      </c>
      <c r="C15503" s="25">
        <v>3363530.03</v>
      </c>
      <c r="D15503" s="22" t="s">
        <v>17804</v>
      </c>
      <c r="E15503" s="22" t="s">
        <v>103</v>
      </c>
      <c r="F15503" s="23" t="str">
        <f>HYPERLINK("https://www.spark-marketing.ru/Card/Lot/67810192", "Аукцион в электронной форме на оказание услуг по техническому обслуживанию систем видеонаблюдения ГБУЗ «ГП №68 ДЗМ» в 2019-2020 гг.")</f>
        <v>Аукцион в электронной форме на оказание услуг по техническому обслуживанию систем видеонаблюдения ГБУЗ «ГП №68 ДЗМ» в 2019-2020 гг.</v>
      </c>
      <c r="G15503" s="22" t="s">
        <v>55</v>
      </c>
      <c r="H15503" s="22" t="s">
        <v>55</v>
      </c>
      <c r="I15503" s="26">
        <v>43504</v>
      </c>
      <c r="J15503" s="28" t="s">
        <v>52</v>
      </c>
      <c r="K15503" s="28" t="s">
        <v>52</v>
      </c>
      <c r="L15503" s="28" t="s">
        <v>52</v>
      </c>
      <c r="M15503" s="28" t="s">
        <v>52</v>
      </c>
      <c r="N15503" s="28" t="s">
        <v>52</v>
      </c>
    </row>
    <row r="15504" spans="1:14" ht="12.75" hidden="1" outlineLevel="1" x14ac:dyDescent="0.2">
      <c r="A15504" s="23" t="str">
        <f>HYPERLINK("https://www.spark-marketing.ru/Card/Person/5926", "ГБУЗ ""ГП № 68 ДЗМ""")</f>
        <v>ГБУЗ "ГП № 68 ДЗМ"</v>
      </c>
      <c r="B15504" s="24" t="s">
        <v>442</v>
      </c>
      <c r="C15504" s="25">
        <v>3363530.03</v>
      </c>
      <c r="D15504" s="22" t="s">
        <v>17804</v>
      </c>
      <c r="E15504" s="22" t="s">
        <v>103</v>
      </c>
      <c r="F15504" s="23" t="str">
        <f>HYPERLINK("https://www.spark-marketing.ru/Card/Lot/67810192", "Аукцион в электронной форме на оказание услуг по техническому обслуживанию систем видеонаблюдения ГБУЗ «ГП №68 ДЗМ» в 2019-2020 гг.")</f>
        <v>Аукцион в электронной форме на оказание услуг по техническому обслуживанию систем видеонаблюдения ГБУЗ «ГП №68 ДЗМ» в 2019-2020 гг.</v>
      </c>
      <c r="G15504" s="22" t="s">
        <v>55</v>
      </c>
      <c r="H15504" s="22" t="s">
        <v>55</v>
      </c>
      <c r="I15504" s="26">
        <v>43504</v>
      </c>
      <c r="J15504" s="23" t="str">
        <f>HYPERLINK("https://www.spark-marketing.ru/Card/Person/58938", "ООО ""ПРОФСЕРВИС""")</f>
        <v>ООО "ПРОФСЕРВИС"</v>
      </c>
      <c r="K15504" s="24" t="s">
        <v>17805</v>
      </c>
      <c r="L15504" s="22" t="s">
        <v>10</v>
      </c>
      <c r="M15504" s="25">
        <v>3329894.73</v>
      </c>
      <c r="N15504" s="27">
        <v>9.9999999108079905E-3</v>
      </c>
    </row>
    <row r="15505" spans="1:14" hidden="1" outlineLevel="1" x14ac:dyDescent="0.2">
      <c r="A15505" s="23" t="str">
        <f>HYPERLINK("https://www.spark-marketing.ru/Card/Person/5926", "ГБУЗ ""ГП № 68 ДЗМ""")</f>
        <v>ГБУЗ "ГП № 68 ДЗМ"</v>
      </c>
      <c r="B15505" s="24" t="s">
        <v>442</v>
      </c>
      <c r="C15505" s="25">
        <v>3363530.03</v>
      </c>
      <c r="D15505" s="22" t="s">
        <v>17804</v>
      </c>
      <c r="E15505" s="22" t="s">
        <v>103</v>
      </c>
      <c r="F15505" s="23" t="str">
        <f>HYPERLINK("https://www.spark-marketing.ru/Card/Lot/67810192", "Аукцион в электронной форме на оказание услуг по техническому обслуживанию систем видеонаблюдения ГБУЗ «ГП №68 ДЗМ» в 2019-2020 гг.")</f>
        <v>Аукцион в электронной форме на оказание услуг по техническому обслуживанию систем видеонаблюдения ГБУЗ «ГП №68 ДЗМ» в 2019-2020 гг.</v>
      </c>
      <c r="G15505" s="22" t="s">
        <v>55</v>
      </c>
      <c r="H15505" s="22" t="s">
        <v>55</v>
      </c>
      <c r="I15505" s="26">
        <v>43504</v>
      </c>
      <c r="J15505" s="23" t="str">
        <f>HYPERLINK("https://www.spark-marketing.ru/Card/Person/6471112", "Дурягин Алексей Анатольевич")</f>
        <v>Дурягин Алексей Анатольевич</v>
      </c>
      <c r="K15505" s="24" t="s">
        <v>17806</v>
      </c>
      <c r="L15505" s="28" t="s">
        <v>52</v>
      </c>
      <c r="M15505" s="25">
        <v>3346712.38</v>
      </c>
      <c r="N15505" s="27">
        <v>4.9999999554039953E-3</v>
      </c>
    </row>
    <row r="15506" spans="1:14" x14ac:dyDescent="0.15">
      <c r="A15506" s="23" t="str">
        <f>HYPERLINK("https://www.spark-marketing.ru/Card/Person/27440", "ФГБУ ""КОЛЫМСКОЕ УГМС""")</f>
        <v>ФГБУ "КОЛЫМСКОЕ УГМС"</v>
      </c>
      <c r="B15506" s="24" t="s">
        <v>17807</v>
      </c>
      <c r="C15506" s="25">
        <v>1132817.3999999999</v>
      </c>
      <c r="D15506" s="22" t="s">
        <v>17808</v>
      </c>
      <c r="E15506" s="22" t="s">
        <v>68</v>
      </c>
      <c r="F15506" s="23" t="str">
        <f>HYPERLINK("https://www.spark-marketing.ru/Card/Lot/67789035", "Услуги по охране объектов")</f>
        <v>Услуги по охране объектов</v>
      </c>
      <c r="G15506" s="22" t="s">
        <v>808</v>
      </c>
      <c r="H15506" s="22" t="s">
        <v>809</v>
      </c>
      <c r="I15506" s="26">
        <v>43504</v>
      </c>
      <c r="J15506" s="23" t="str">
        <f>HYPERLINK("https://www.spark-marketing.ru/Card/Person/409543", "ООО ""ЧОП-МАНГУСТ""")</f>
        <v>ООО "ЧОП-МАНГУСТ"</v>
      </c>
      <c r="K15506" s="24" t="s">
        <v>17809</v>
      </c>
      <c r="L15506" s="22" t="s">
        <v>10</v>
      </c>
      <c r="M15506" s="28" t="s">
        <v>52</v>
      </c>
      <c r="N15506" s="28" t="s">
        <v>52</v>
      </c>
    </row>
    <row r="15507" spans="1:14" x14ac:dyDescent="0.15">
      <c r="A15507" s="23" t="str">
        <f>HYPERLINK("https://www.spark-marketing.ru/Card/Person/1006177", "МОУ ЕЛХОВОКУСТИНСКАЯ СОШ")</f>
        <v>МОУ ЕЛХОВОКУСТИНСКАЯ СОШ</v>
      </c>
      <c r="B15507" s="24" t="s">
        <v>17810</v>
      </c>
      <c r="C15507" s="25">
        <v>16200</v>
      </c>
      <c r="D15507" s="22" t="s">
        <v>17811</v>
      </c>
      <c r="E15507" s="22" t="s">
        <v>68</v>
      </c>
      <c r="F15507" s="23" t="str">
        <f>HYPERLINK("https://www.spark-marketing.ru/Card/Lot/67805220",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507" s="22" t="s">
        <v>446</v>
      </c>
      <c r="H15507" s="22" t="s">
        <v>16876</v>
      </c>
      <c r="I15507" s="26">
        <v>43504</v>
      </c>
      <c r="J15507" s="28" t="s">
        <v>52</v>
      </c>
      <c r="K15507" s="28" t="s">
        <v>52</v>
      </c>
      <c r="L15507" s="28" t="s">
        <v>52</v>
      </c>
      <c r="M15507" s="28" t="s">
        <v>52</v>
      </c>
      <c r="N15507" s="28" t="s">
        <v>52</v>
      </c>
    </row>
    <row r="15508" spans="1:14" hidden="1" outlineLevel="1" x14ac:dyDescent="0.2">
      <c r="A15508" s="23" t="str">
        <f>HYPERLINK("https://www.spark-marketing.ru/Card/Person/1006177", "МОУ ЕЛХОВОКУСТИНСКАЯ СОШ")</f>
        <v>МОУ ЕЛХОВОКУСТИНСКАЯ СОШ</v>
      </c>
      <c r="B15508" s="24" t="s">
        <v>17810</v>
      </c>
      <c r="C15508" s="25">
        <v>16200</v>
      </c>
      <c r="D15508" s="22" t="s">
        <v>17811</v>
      </c>
      <c r="E15508" s="22" t="s">
        <v>68</v>
      </c>
      <c r="F15508" s="23" t="str">
        <f>HYPERLINK("https://www.spark-marketing.ru/Card/Lot/67805220",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508" s="22" t="s">
        <v>446</v>
      </c>
      <c r="H15508" s="22" t="s">
        <v>16876</v>
      </c>
      <c r="I15508" s="26">
        <v>43504</v>
      </c>
      <c r="J15508" s="23" t="str">
        <f>HYPERLINK("https://www.spark-marketing.ru/Card/Person/677682", "ООО ЧОО ""ЦСМ ""ГРОМ""")</f>
        <v>ООО ЧОО "ЦСМ "ГРОМ"</v>
      </c>
      <c r="K15508" s="24" t="s">
        <v>16878</v>
      </c>
      <c r="L15508" s="28" t="s">
        <v>52</v>
      </c>
      <c r="M15508" s="25">
        <v>10037.33</v>
      </c>
      <c r="N15508" s="27">
        <v>0.38041172839506171</v>
      </c>
    </row>
    <row r="15509" spans="1:14" hidden="1" outlineLevel="1" x14ac:dyDescent="0.2">
      <c r="A15509" s="23" t="str">
        <f>HYPERLINK("https://www.spark-marketing.ru/Card/Person/1006177", "МОУ ЕЛХОВОКУСТИНСКАЯ СОШ")</f>
        <v>МОУ ЕЛХОВОКУСТИНСКАЯ СОШ</v>
      </c>
      <c r="B15509" s="24" t="s">
        <v>17810</v>
      </c>
      <c r="C15509" s="25">
        <v>16200</v>
      </c>
      <c r="D15509" s="22" t="s">
        <v>17811</v>
      </c>
      <c r="E15509" s="22" t="s">
        <v>68</v>
      </c>
      <c r="F15509" s="23" t="str">
        <f>HYPERLINK("https://www.spark-marketing.ru/Card/Lot/67805220",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509" s="22" t="s">
        <v>446</v>
      </c>
      <c r="H15509" s="22" t="s">
        <v>16876</v>
      </c>
      <c r="I15509" s="26">
        <v>43504</v>
      </c>
      <c r="J15509" s="23" t="str">
        <f>HYPERLINK("https://www.spark-marketing.ru/Card/Person/124094", "ООО ЧОО ""РЕДУТ+""")</f>
        <v>ООО ЧОО "РЕДУТ+"</v>
      </c>
      <c r="K15509" s="24" t="s">
        <v>16877</v>
      </c>
      <c r="L15509" s="28" t="s">
        <v>52</v>
      </c>
      <c r="M15509" s="25">
        <v>3817.33</v>
      </c>
      <c r="N15509" s="27">
        <v>0.7643623456790124</v>
      </c>
    </row>
    <row r="15510" spans="1:14" ht="12.75" hidden="1" outlineLevel="1" x14ac:dyDescent="0.2">
      <c r="A15510" s="23" t="str">
        <f>HYPERLINK("https://www.spark-marketing.ru/Card/Person/1006177", "МОУ ЕЛХОВОКУСТИНСКАЯ СОШ")</f>
        <v>МОУ ЕЛХОВОКУСТИНСКАЯ СОШ</v>
      </c>
      <c r="B15510" s="24" t="s">
        <v>17810</v>
      </c>
      <c r="C15510" s="25">
        <v>16200</v>
      </c>
      <c r="D15510" s="22" t="s">
        <v>17811</v>
      </c>
      <c r="E15510" s="22" t="s">
        <v>68</v>
      </c>
      <c r="F15510" s="23" t="str">
        <f>HYPERLINK("https://www.spark-marketing.ru/Card/Lot/67805220",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510" s="22" t="s">
        <v>446</v>
      </c>
      <c r="H15510" s="22" t="s">
        <v>16876</v>
      </c>
      <c r="I15510" s="26">
        <v>43504</v>
      </c>
      <c r="J15510" s="23" t="str">
        <f>HYPERLINK("https://www.spark-marketing.ru/Card/Person/5946939", "ООО АО ""АРМАДА""")</f>
        <v>ООО АО "АРМАДА"</v>
      </c>
      <c r="K15510" s="24" t="s">
        <v>12927</v>
      </c>
      <c r="L15510" s="22" t="s">
        <v>10</v>
      </c>
      <c r="M15510" s="25">
        <v>3717.33</v>
      </c>
      <c r="N15510" s="27">
        <v>0.77053518518518516</v>
      </c>
    </row>
    <row r="15511" spans="1:14" x14ac:dyDescent="0.15">
      <c r="A15511" s="23" t="str">
        <f>HYPERLINK("https://www.spark-marketing.ru/Card/Person/5737", "КЕМЕРОВСКИЙ ОБЛАСТНОЙ СУД")</f>
        <v>КЕМЕРОВСКИЙ ОБЛАСТНОЙ СУД</v>
      </c>
      <c r="B15511" s="24" t="s">
        <v>1758</v>
      </c>
      <c r="C15511" s="25">
        <v>2989583.43</v>
      </c>
      <c r="D15511" s="22" t="s">
        <v>17812</v>
      </c>
      <c r="E15511" s="22" t="s">
        <v>68</v>
      </c>
      <c r="F15511" s="23" t="str">
        <f>HYPERLINK("https://www.spark-marketing.ru/Card/Lot/67788961", "Услуги по охране объектов суда военизированными подразделениями")</f>
        <v>Услуги по охране объектов суда военизированными подразделениями</v>
      </c>
      <c r="G15511" s="22" t="s">
        <v>367</v>
      </c>
      <c r="H15511" s="22" t="s">
        <v>881</v>
      </c>
      <c r="I15511" s="26">
        <v>43504</v>
      </c>
      <c r="J15511" s="28" t="s">
        <v>52</v>
      </c>
      <c r="K15511" s="28" t="s">
        <v>52</v>
      </c>
      <c r="L15511" s="28" t="s">
        <v>52</v>
      </c>
      <c r="M15511" s="28" t="s">
        <v>52</v>
      </c>
      <c r="N15511" s="28" t="s">
        <v>52</v>
      </c>
    </row>
    <row r="15512" spans="1:14" hidden="1" outlineLevel="1" x14ac:dyDescent="0.2">
      <c r="A15512" s="23" t="str">
        <f>HYPERLINK("https://www.spark-marketing.ru/Card/Person/5737", "КЕМЕРОВСКИЙ ОБЛАСТНОЙ СУД")</f>
        <v>КЕМЕРОВСКИЙ ОБЛАСТНОЙ СУД</v>
      </c>
      <c r="B15512" s="24" t="s">
        <v>1758</v>
      </c>
      <c r="C15512" s="25">
        <v>2989583.43</v>
      </c>
      <c r="D15512" s="22" t="s">
        <v>17812</v>
      </c>
      <c r="E15512" s="22" t="s">
        <v>68</v>
      </c>
      <c r="F15512" s="23" t="str">
        <f>HYPERLINK("https://www.spark-marketing.ru/Card/Lot/67788961", "Услуги по охране объектов суда военизированными подразделениями")</f>
        <v>Услуги по охране объектов суда военизированными подразделениями</v>
      </c>
      <c r="G15512" s="22" t="s">
        <v>367</v>
      </c>
      <c r="H15512" s="22" t="s">
        <v>881</v>
      </c>
      <c r="I15512" s="26">
        <v>43504</v>
      </c>
      <c r="J15512" s="23" t="str">
        <f>HYPERLINK("https://www.spark-marketing.ru/Card/Person/10487", "ФГУП ""ОХРАНА"" РОСГВАРДИИ")</f>
        <v>ФГУП "ОХРАНА" РОСГВАРДИИ</v>
      </c>
      <c r="K15512" s="24" t="s">
        <v>779</v>
      </c>
      <c r="L15512" s="28" t="s">
        <v>52</v>
      </c>
      <c r="M15512" s="25">
        <v>2227239.5099999998</v>
      </c>
      <c r="N15512" s="27">
        <v>0.25500004861881376</v>
      </c>
    </row>
    <row r="15513" spans="1:14" ht="12.75" hidden="1" outlineLevel="1" x14ac:dyDescent="0.2">
      <c r="A15513" s="23" t="str">
        <f>HYPERLINK("https://www.spark-marketing.ru/Card/Person/5737", "КЕМЕРОВСКИЙ ОБЛАСТНОЙ СУД")</f>
        <v>КЕМЕРОВСКИЙ ОБЛАСТНОЙ СУД</v>
      </c>
      <c r="B15513" s="24" t="s">
        <v>1758</v>
      </c>
      <c r="C15513" s="25">
        <v>2989583.43</v>
      </c>
      <c r="D15513" s="22" t="s">
        <v>17812</v>
      </c>
      <c r="E15513" s="22" t="s">
        <v>68</v>
      </c>
      <c r="F15513" s="23" t="str">
        <f>HYPERLINK("https://www.spark-marketing.ru/Card/Lot/67788961", "Услуги по охране объектов суда военизированными подразделениями")</f>
        <v>Услуги по охране объектов суда военизированными подразделениями</v>
      </c>
      <c r="G15513" s="22" t="s">
        <v>367</v>
      </c>
      <c r="H15513" s="22" t="s">
        <v>881</v>
      </c>
      <c r="I15513" s="26">
        <v>43504</v>
      </c>
      <c r="J15513" s="23" t="str">
        <f>HYPERLINK("https://www.spark-marketing.ru/Card/Person/2151557", "КУЗБАССКИЙ ОТРЯД ВО ФИЛИАЛА ФГП ВО ЖДТ РОССИИ")</f>
        <v>КУЗБАССКИЙ ОТРЯД ВО ФИЛИАЛА ФГП ВО ЖДТ РОССИИ</v>
      </c>
      <c r="K15513" s="24" t="s">
        <v>1269</v>
      </c>
      <c r="L15513" s="22" t="s">
        <v>10</v>
      </c>
      <c r="M15513" s="25">
        <v>2212291.59</v>
      </c>
      <c r="N15513" s="27">
        <v>0.26000004957212386</v>
      </c>
    </row>
    <row r="15514" spans="1:14" x14ac:dyDescent="0.15">
      <c r="A15514" s="23" t="str">
        <f>HYPERLINK("https://www.spark-marketing.ru/Card/Person/154354", "ГБУЗ ""ПК БЮРО СМЭ""")</f>
        <v>ГБУЗ "ПК БЮРО СМЭ"</v>
      </c>
      <c r="B15514" s="24" t="s">
        <v>17813</v>
      </c>
      <c r="C15514" s="25">
        <v>137666.70000000001</v>
      </c>
      <c r="D15514" s="22" t="s">
        <v>17814</v>
      </c>
      <c r="E15514" s="22" t="s">
        <v>68</v>
      </c>
      <c r="F15514" s="23" t="str">
        <f>HYPERLINK("https://www.spark-marketing.ru/Card/Lot/67791434", "Оказание охранных услуг с использованием технических средств тревожной сигнализации")</f>
        <v>Оказание охранных услуг с использованием технических средств тревожной сигнализации</v>
      </c>
      <c r="G15514" s="22" t="s">
        <v>409</v>
      </c>
      <c r="H15514" s="22" t="s">
        <v>878</v>
      </c>
      <c r="I15514" s="26">
        <v>43504</v>
      </c>
      <c r="J15514" s="28" t="s">
        <v>52</v>
      </c>
      <c r="K15514" s="28" t="s">
        <v>52</v>
      </c>
      <c r="L15514" s="28" t="s">
        <v>52</v>
      </c>
      <c r="M15514" s="28" t="s">
        <v>52</v>
      </c>
      <c r="N15514" s="28" t="s">
        <v>52</v>
      </c>
    </row>
    <row r="15515" spans="1:14" ht="12.75" hidden="1" outlineLevel="1" x14ac:dyDescent="0.2">
      <c r="A15515" s="23" t="str">
        <f>HYPERLINK("https://www.spark-marketing.ru/Card/Person/154354", "ГБУЗ ""ПК БЮРО СМЭ""")</f>
        <v>ГБУЗ "ПК БЮРО СМЭ"</v>
      </c>
      <c r="B15515" s="24" t="s">
        <v>17813</v>
      </c>
      <c r="C15515" s="25">
        <v>137666.70000000001</v>
      </c>
      <c r="D15515" s="22" t="s">
        <v>17814</v>
      </c>
      <c r="E15515" s="22" t="s">
        <v>68</v>
      </c>
      <c r="F15515" s="23" t="str">
        <f>HYPERLINK("https://www.spark-marketing.ru/Card/Lot/67791434", "Оказание охранных услуг с использованием технических средств тревожной сигнализации")</f>
        <v>Оказание охранных услуг с использованием технических средств тревожной сигнализации</v>
      </c>
      <c r="G15515" s="22" t="s">
        <v>409</v>
      </c>
      <c r="H15515" s="22" t="s">
        <v>878</v>
      </c>
      <c r="I15515" s="26">
        <v>43504</v>
      </c>
      <c r="J15515" s="23" t="str">
        <f>HYPERLINK("https://www.spark-marketing.ru/Card/Person/233874", "ООО ""ДВЦКБ ""СПАЙДЕР""")</f>
        <v>ООО "ДВЦКБ "СПАЙДЕР"</v>
      </c>
      <c r="K15515" s="24" t="s">
        <v>17815</v>
      </c>
      <c r="L15515" s="22" t="s">
        <v>10</v>
      </c>
      <c r="M15515" s="25">
        <v>136800</v>
      </c>
      <c r="N15515" s="27">
        <v>6.2956401221210354E-3</v>
      </c>
    </row>
    <row r="15516" spans="1:14" hidden="1" outlineLevel="1" x14ac:dyDescent="0.2">
      <c r="A15516" s="23" t="str">
        <f>HYPERLINK("https://www.spark-marketing.ru/Card/Person/154354", "ГБУЗ ""ПК БЮРО СМЭ""")</f>
        <v>ГБУЗ "ПК БЮРО СМЭ"</v>
      </c>
      <c r="B15516" s="24" t="s">
        <v>17813</v>
      </c>
      <c r="C15516" s="25">
        <v>137666.70000000001</v>
      </c>
      <c r="D15516" s="22" t="s">
        <v>17814</v>
      </c>
      <c r="E15516" s="22" t="s">
        <v>68</v>
      </c>
      <c r="F15516" s="23" t="str">
        <f>HYPERLINK("https://www.spark-marketing.ru/Card/Lot/67791434", "Оказание охранных услуг с использованием технических средств тревожной сигнализации")</f>
        <v>Оказание охранных услуг с использованием технических средств тревожной сигнализации</v>
      </c>
      <c r="G15516" s="22" t="s">
        <v>409</v>
      </c>
      <c r="H15516" s="22" t="s">
        <v>878</v>
      </c>
      <c r="I15516" s="26">
        <v>43504</v>
      </c>
      <c r="J15516" s="23" t="str">
        <f>HYPERLINK("https://www.spark-marketing.ru/Card/Person/952045", "ООО ЧОП ""ВИКИНГ""")</f>
        <v>ООО ЧОП "ВИКИНГ"</v>
      </c>
      <c r="K15516" s="24" t="s">
        <v>17816</v>
      </c>
      <c r="L15516" s="28" t="s">
        <v>52</v>
      </c>
      <c r="M15516" s="25">
        <v>137400</v>
      </c>
      <c r="N15516" s="27">
        <v>1.9372876665163035E-3</v>
      </c>
    </row>
    <row r="15517" spans="1:14" x14ac:dyDescent="0.15">
      <c r="A15517" s="23" t="str">
        <f>HYPERLINK("https://www.spark-marketing.ru/Card/Person/200713", "АО ""СОДРУЖЕСТВО""")</f>
        <v>АО "СОДРУЖЕСТВО"</v>
      </c>
      <c r="B15517" s="24" t="s">
        <v>17817</v>
      </c>
      <c r="C15517" s="25">
        <v>196930.59</v>
      </c>
      <c r="D15517" s="22" t="s">
        <v>17818</v>
      </c>
      <c r="E15517" s="22" t="s">
        <v>867</v>
      </c>
      <c r="F15517" s="23" t="str">
        <f>HYPERLINK("https://www.spark-marketing.ru/Card/Lot/67784142", "Оказание услуг по обслуживанию видеооборудования системы записи «Кассир-пассажир» и переговорных устройств")</f>
        <v>Оказание услуг по обслуживанию видеооборудования системы записи «Кассир-пассажир» и переговорных устройств</v>
      </c>
      <c r="G15517" s="22" t="s">
        <v>204</v>
      </c>
      <c r="H15517" s="22" t="s">
        <v>303</v>
      </c>
      <c r="I15517" s="26">
        <v>43503.716585648202</v>
      </c>
      <c r="J15517" s="23" t="str">
        <f>HYPERLINK("https://www.spark-marketing.ru/Card/Person/192477", "ЗАО ""МЕЗОН ПЛЮС""")</f>
        <v>ЗАО "МЕЗОН ПЛЮС"</v>
      </c>
      <c r="K15517" s="24" t="s">
        <v>17819</v>
      </c>
      <c r="L15517" s="28" t="s">
        <v>52</v>
      </c>
      <c r="M15517" s="28" t="s">
        <v>52</v>
      </c>
      <c r="N15517" s="28" t="s">
        <v>52</v>
      </c>
    </row>
    <row r="15518" spans="1:14" x14ac:dyDescent="0.15">
      <c r="A15518" s="23" t="str">
        <f>HYPERLINK("https://www.spark-marketing.ru/Card/Person/363735", "МУРМАНСКСТАТ")</f>
        <v>МУРМАНСКСТАТ</v>
      </c>
      <c r="B15518" s="24" t="s">
        <v>12767</v>
      </c>
      <c r="C15518" s="25">
        <v>87246.720000000001</v>
      </c>
      <c r="D15518" s="22" t="s">
        <v>17820</v>
      </c>
      <c r="E15518" s="22" t="s">
        <v>68</v>
      </c>
      <c r="F15518" s="23" t="str">
        <f>HYPERLINK("https://www.spark-marketing.ru/Card/Lot/67798481", "Оказание услуг по охране объектов при помощи тревожной сигнализации")</f>
        <v>Оказание услуг по охране объектов при помощи тревожной сигнализации</v>
      </c>
      <c r="G15518" s="22" t="s">
        <v>190</v>
      </c>
      <c r="H15518" s="22" t="s">
        <v>191</v>
      </c>
      <c r="I15518" s="26">
        <v>43504</v>
      </c>
      <c r="J15518" s="28" t="s">
        <v>52</v>
      </c>
      <c r="K15518" s="28" t="s">
        <v>52</v>
      </c>
      <c r="L15518" s="28" t="s">
        <v>52</v>
      </c>
      <c r="M15518" s="28" t="s">
        <v>52</v>
      </c>
      <c r="N15518" s="28" t="s">
        <v>52</v>
      </c>
    </row>
    <row r="15519" spans="1:14" x14ac:dyDescent="0.15">
      <c r="A15519" s="23" t="str">
        <f>HYPERLINK("https://www.spark-marketing.ru/Card/Person/139817", "КУМИ ХАБАРОВСКОГО РАЙОНА")</f>
        <v>КУМИ ХАБАРОВСКОГО РАЙОНА</v>
      </c>
      <c r="B15519" s="24" t="s">
        <v>17821</v>
      </c>
      <c r="C15519" s="25">
        <v>1296957.6000000001</v>
      </c>
      <c r="D15519" s="22" t="s">
        <v>17822</v>
      </c>
      <c r="E15519" s="22" t="s">
        <v>183</v>
      </c>
      <c r="F15519" s="23" t="str">
        <f>HYPERLINK("https://www.spark-marketing.ru/Card/Lot/67791696", "Охрана объектов санатория-профилактория ""Автомобилист""")</f>
        <v>Охрана объектов санатория-профилактория "Автомобилист"</v>
      </c>
      <c r="G15519" s="22" t="s">
        <v>138</v>
      </c>
      <c r="H15519" s="22" t="s">
        <v>17823</v>
      </c>
      <c r="I15519" s="26">
        <v>43504</v>
      </c>
      <c r="J15519" s="23" t="str">
        <f>HYPERLINK("https://www.spark-marketing.ru/Card/Person/51969", "ООО ""ЧОП ""КОРДОН ХАБАРОВСК""")</f>
        <v>ООО "ЧОП "КОРДОН ХАБАРОВСК"</v>
      </c>
      <c r="K15519" s="24" t="s">
        <v>5610</v>
      </c>
      <c r="L15519" s="22" t="s">
        <v>10</v>
      </c>
      <c r="M15519" s="28" t="s">
        <v>52</v>
      </c>
      <c r="N15519" s="28" t="s">
        <v>52</v>
      </c>
    </row>
    <row r="15520" spans="1:14" x14ac:dyDescent="0.15">
      <c r="A15520" s="23" t="str">
        <f>HYPERLINK("https://www.spark-marketing.ru/Card/Person/5629", "ГБУ РС (Я) НПЦ ""ФТИЗИАТРИЯ""")</f>
        <v>ГБУ РС (Я) НПЦ "ФТИЗИАТРИЯ"</v>
      </c>
      <c r="B15520" s="24" t="s">
        <v>17036</v>
      </c>
      <c r="C15520" s="25">
        <v>291597</v>
      </c>
      <c r="D15520" s="22" t="s">
        <v>17824</v>
      </c>
      <c r="E15520" s="22" t="s">
        <v>68</v>
      </c>
      <c r="F15520" s="23" t="str">
        <f>HYPERLINK("https://www.spark-marketing.ru/Card/Lot/67798831", "Оказание услуг по охране объектов при помощи пульта централизованного наблюдения")</f>
        <v>Оказание услуг по охране объектов при помощи пульта централизованного наблюдения</v>
      </c>
      <c r="G15520" s="22" t="s">
        <v>424</v>
      </c>
      <c r="H15520" s="22" t="s">
        <v>1186</v>
      </c>
      <c r="I15520" s="26">
        <v>43504</v>
      </c>
      <c r="J15520" s="28" t="s">
        <v>52</v>
      </c>
      <c r="K15520" s="28" t="s">
        <v>52</v>
      </c>
      <c r="L15520" s="28" t="s">
        <v>52</v>
      </c>
      <c r="M15520" s="28" t="s">
        <v>52</v>
      </c>
      <c r="N15520" s="28" t="s">
        <v>52</v>
      </c>
    </row>
    <row r="15521" spans="1:14" x14ac:dyDescent="0.15">
      <c r="A15521" s="23" t="str">
        <f>HYPERLINK("https://www.spark-marketing.ru/Card/Person/6450322", "ЗАКАЗЧИК РП БЕЛАРУСЬ")</f>
        <v>ЗАКАЗЧИК РП БЕЛАРУСЬ</v>
      </c>
      <c r="B15521" s="28" t="s">
        <v>52</v>
      </c>
      <c r="C15521" s="25">
        <v>524161.4</v>
      </c>
      <c r="D15521" s="22" t="s">
        <v>17825</v>
      </c>
      <c r="E15521" s="22" t="s">
        <v>53</v>
      </c>
      <c r="F15521" s="23" t="str">
        <f>HYPERLINK("https://www.spark-marketing.ru/Card/Lot/67793156", "Станок сверлильный")</f>
        <v>Станок сверлильный</v>
      </c>
      <c r="G15521" s="22" t="s">
        <v>52</v>
      </c>
      <c r="H15521" s="22" t="s">
        <v>52</v>
      </c>
      <c r="I15521" s="26">
        <v>43504</v>
      </c>
      <c r="J15521" s="28" t="s">
        <v>52</v>
      </c>
      <c r="K15521" s="28" t="s">
        <v>52</v>
      </c>
      <c r="L15521" s="28" t="s">
        <v>52</v>
      </c>
      <c r="M15521" s="28" t="s">
        <v>52</v>
      </c>
      <c r="N15521" s="28" t="s">
        <v>52</v>
      </c>
    </row>
    <row r="15522" spans="1:14" x14ac:dyDescent="0.15">
      <c r="A15522" s="23" t="str">
        <f>HYPERLINK("https://www.spark-marketing.ru/Card/Person/137991", "ФГКУ КОМБИНАТ ""МЕЖДУРЕЧЬЕ"" РОСРЕЗЕРВА")</f>
        <v>ФГКУ КОМБИНАТ "МЕЖДУРЕЧЬЕ" РОСРЕЗЕРВА</v>
      </c>
      <c r="B15522" s="24" t="s">
        <v>17826</v>
      </c>
      <c r="C15522" s="25">
        <v>90000</v>
      </c>
      <c r="D15522" s="22" t="s">
        <v>17827</v>
      </c>
      <c r="E15522" s="22" t="s">
        <v>103</v>
      </c>
      <c r="F15522" s="23" t="str">
        <f>HYPERLINK("https://www.spark-marketing.ru/Card/Lot/67808781", "Прочая закупка товаров, работ и  услуг для государственных нужд - Техническое обслуживание системы видеонаблюдения")</f>
        <v>Прочая закупка товаров, работ и  услуг для государственных нужд - Техническое обслуживание системы видеонаблюдения</v>
      </c>
      <c r="G15522" s="22" t="s">
        <v>204</v>
      </c>
      <c r="H15522" s="22" t="s">
        <v>750</v>
      </c>
      <c r="I15522" s="26">
        <v>43504</v>
      </c>
      <c r="J15522" s="28" t="s">
        <v>52</v>
      </c>
      <c r="K15522" s="28" t="s">
        <v>52</v>
      </c>
      <c r="L15522" s="28" t="s">
        <v>52</v>
      </c>
      <c r="M15522" s="28" t="s">
        <v>52</v>
      </c>
      <c r="N15522" s="28" t="s">
        <v>52</v>
      </c>
    </row>
    <row r="15523" spans="1:14" hidden="1" outlineLevel="1" x14ac:dyDescent="0.2">
      <c r="A15523" s="23" t="str">
        <f>HYPERLINK("https://www.spark-marketing.ru/Card/Person/137991", "ФГКУ КОМБИНАТ ""МЕЖДУРЕЧЬЕ"" РОСРЕЗЕРВА")</f>
        <v>ФГКУ КОМБИНАТ "МЕЖДУРЕЧЬЕ" РОСРЕЗЕРВА</v>
      </c>
      <c r="B15523" s="24" t="s">
        <v>17826</v>
      </c>
      <c r="C15523" s="25">
        <v>90000</v>
      </c>
      <c r="D15523" s="22" t="s">
        <v>17827</v>
      </c>
      <c r="E15523" s="22" t="s">
        <v>103</v>
      </c>
      <c r="F15523" s="23" t="str">
        <f>HYPERLINK("https://www.spark-marketing.ru/Card/Lot/67808781", "Прочая закупка товаров, работ и  услуг для государственных нужд - Техническое обслуживание системы видеонаблюдения")</f>
        <v>Прочая закупка товаров, работ и  услуг для государственных нужд - Техническое обслуживание системы видеонаблюдения</v>
      </c>
      <c r="G15523" s="22" t="s">
        <v>204</v>
      </c>
      <c r="H15523" s="22" t="s">
        <v>750</v>
      </c>
      <c r="I15523" s="26">
        <v>43504</v>
      </c>
      <c r="J15523" s="23" t="str">
        <f>HYPERLINK("https://www.spark-marketing.ru/Card/Person/6280024", "Битяков Сергей Геннадьевич")</f>
        <v>Битяков Сергей Геннадьевич</v>
      </c>
      <c r="K15523" s="24" t="s">
        <v>17828</v>
      </c>
      <c r="L15523" s="28" t="s">
        <v>52</v>
      </c>
      <c r="M15523" s="25">
        <v>68000</v>
      </c>
      <c r="N15523" s="27">
        <v>0.24444444444444444</v>
      </c>
    </row>
    <row r="15524" spans="1:14" hidden="1" outlineLevel="1" x14ac:dyDescent="0.2">
      <c r="A15524" s="23" t="str">
        <f>HYPERLINK("https://www.spark-marketing.ru/Card/Person/137991", "ФГКУ КОМБИНАТ ""МЕЖДУРЕЧЬЕ"" РОСРЕЗЕРВА")</f>
        <v>ФГКУ КОМБИНАТ "МЕЖДУРЕЧЬЕ" РОСРЕЗЕРВА</v>
      </c>
      <c r="B15524" s="24" t="s">
        <v>17826</v>
      </c>
      <c r="C15524" s="25">
        <v>90000</v>
      </c>
      <c r="D15524" s="22" t="s">
        <v>17827</v>
      </c>
      <c r="E15524" s="22" t="s">
        <v>103</v>
      </c>
      <c r="F15524" s="23" t="str">
        <f>HYPERLINK("https://www.spark-marketing.ru/Card/Lot/67808781", "Прочая закупка товаров, работ и  услуг для государственных нужд - Техническое обслуживание системы видеонаблюдения")</f>
        <v>Прочая закупка товаров, работ и  услуг для государственных нужд - Техническое обслуживание системы видеонаблюдения</v>
      </c>
      <c r="G15524" s="22" t="s">
        <v>204</v>
      </c>
      <c r="H15524" s="22" t="s">
        <v>750</v>
      </c>
      <c r="I15524" s="26">
        <v>43504</v>
      </c>
      <c r="J15524" s="23" t="str">
        <f>HYPERLINK("https://www.spark-marketing.ru/Card/Person/6147630", "Титов Евгений Сергеевич")</f>
        <v>Титов Евгений Сергеевич</v>
      </c>
      <c r="K15524" s="24" t="s">
        <v>5465</v>
      </c>
      <c r="L15524" s="28" t="s">
        <v>52</v>
      </c>
      <c r="M15524" s="25">
        <v>16125</v>
      </c>
      <c r="N15524" s="27">
        <v>0.8208333333333333</v>
      </c>
    </row>
    <row r="15525" spans="1:14" ht="12.75" hidden="1" outlineLevel="1" x14ac:dyDescent="0.2">
      <c r="A15525" s="23" t="str">
        <f>HYPERLINK("https://www.spark-marketing.ru/Card/Person/137991", "ФГКУ КОМБИНАТ ""МЕЖДУРЕЧЬЕ"" РОСРЕЗЕРВА")</f>
        <v>ФГКУ КОМБИНАТ "МЕЖДУРЕЧЬЕ" РОСРЕЗЕРВА</v>
      </c>
      <c r="B15525" s="24" t="s">
        <v>17826</v>
      </c>
      <c r="C15525" s="25">
        <v>90000</v>
      </c>
      <c r="D15525" s="22" t="s">
        <v>17827</v>
      </c>
      <c r="E15525" s="22" t="s">
        <v>103</v>
      </c>
      <c r="F15525" s="23" t="str">
        <f>HYPERLINK("https://www.spark-marketing.ru/Card/Lot/67808781", "Прочая закупка товаров, работ и  услуг для государственных нужд - Техническое обслуживание системы видеонаблюдения")</f>
        <v>Прочая закупка товаров, работ и  услуг для государственных нужд - Техническое обслуживание системы видеонаблюдения</v>
      </c>
      <c r="G15525" s="22" t="s">
        <v>204</v>
      </c>
      <c r="H15525" s="22" t="s">
        <v>750</v>
      </c>
      <c r="I15525" s="26">
        <v>43504</v>
      </c>
      <c r="J15525" s="23" t="str">
        <f>HYPERLINK("https://www.spark-marketing.ru/Card/Person/1130185", "ООО ""СБМ""")</f>
        <v>ООО "СБМ"</v>
      </c>
      <c r="K15525" s="24" t="s">
        <v>17829</v>
      </c>
      <c r="L15525" s="22" t="s">
        <v>10</v>
      </c>
      <c r="M15525" s="25">
        <v>15000</v>
      </c>
      <c r="N15525" s="27">
        <v>0.83333333333333337</v>
      </c>
    </row>
    <row r="15526" spans="1:14" x14ac:dyDescent="0.15">
      <c r="A15526" s="23" t="str">
        <f>HYPERLINK("https://www.spark-marketing.ru/Card/Person/22791", "УСД В РЕСПУБЛИКЕ МАРИЙ ЭЛ")</f>
        <v>УСД В РЕСПУБЛИКЕ МАРИЙ ЭЛ</v>
      </c>
      <c r="B15526" s="24" t="s">
        <v>17830</v>
      </c>
      <c r="C15526" s="25">
        <v>2538731.52</v>
      </c>
      <c r="D15526" s="22" t="s">
        <v>17831</v>
      </c>
      <c r="E15526" s="22" t="s">
        <v>68</v>
      </c>
      <c r="F15526" s="23" t="str">
        <f>HYPERLINK("https://www.spark-marketing.ru/Card/Lot/67804315", "Централизованная и тревожная охрана объектов районных (городских) судов Республики Марий Эл")</f>
        <v>Централизованная и тревожная охрана объектов районных (городских) судов Республики Марий Эл</v>
      </c>
      <c r="G15526" s="22" t="s">
        <v>2514</v>
      </c>
      <c r="H15526" s="22" t="s">
        <v>2514</v>
      </c>
      <c r="I15526" s="26">
        <v>43504</v>
      </c>
      <c r="J15526" s="28" t="s">
        <v>52</v>
      </c>
      <c r="K15526" s="28" t="s">
        <v>52</v>
      </c>
      <c r="L15526" s="28" t="s">
        <v>52</v>
      </c>
      <c r="M15526" s="28" t="s">
        <v>52</v>
      </c>
      <c r="N15526" s="28" t="s">
        <v>52</v>
      </c>
    </row>
    <row r="15527" spans="1:14" x14ac:dyDescent="0.15">
      <c r="A15527" s="23" t="str">
        <f>HYPERLINK("https://www.spark-marketing.ru/Card/Person/260503", "МЕЖРАЙОННАЯ ИФНС РОССИИ № 14 ПО ИРКУТСКОЙ ОБЛАСТИ")</f>
        <v>МЕЖРАЙОННАЯ ИФНС РОССИИ № 14 ПО ИРКУТСКОЙ ОБЛАСТИ</v>
      </c>
      <c r="B15527" s="24" t="s">
        <v>17832</v>
      </c>
      <c r="C15527" s="25">
        <v>773031.6</v>
      </c>
      <c r="D15527" s="22" t="s">
        <v>17833</v>
      </c>
      <c r="E15527" s="22" t="s">
        <v>68</v>
      </c>
      <c r="F15527" s="23" t="str">
        <f>HYPERLINK("https://www.spark-marketing.ru/Card/Lot/67788957", "Прочая закупка товаров, работ и услуг (оказание услуг централизованной охраны и охраны объектов с помощью кнопки тревожной сигнализации)")</f>
        <v>Прочая закупка товаров, работ и услуг (оказание услуг централизованной охраны и охраны объектов с помощью кнопки тревожной сигнализации)</v>
      </c>
      <c r="G15527" s="22" t="s">
        <v>281</v>
      </c>
      <c r="H15527" s="22" t="s">
        <v>17834</v>
      </c>
      <c r="I15527" s="26">
        <v>43504</v>
      </c>
      <c r="J15527" s="23" t="str">
        <f>HYPERLINK("https://www.spark-marketing.ru/Card/Person/4393154", "ФГКУ ""УВО ВНГ РОССИИ ПО ИРКУТСКОЙ ОБЛАСТИ""")</f>
        <v>ФГКУ "УВО ВНГ РОССИИ ПО ИРКУТСКОЙ ОБЛАСТИ"</v>
      </c>
      <c r="K15527" s="24" t="s">
        <v>9037</v>
      </c>
      <c r="L15527" s="28" t="s">
        <v>52</v>
      </c>
      <c r="M15527" s="28" t="s">
        <v>52</v>
      </c>
      <c r="N15527" s="28" t="s">
        <v>52</v>
      </c>
    </row>
    <row r="15528" spans="1:14" ht="12.75" hidden="1" outlineLevel="1" x14ac:dyDescent="0.2">
      <c r="A15528" s="23" t="str">
        <f>HYPERLINK("https://www.spark-marketing.ru/Card/Person/260503", "МЕЖРАЙОННАЯ ИФНС РОССИИ № 14 ПО ИРКУТСКОЙ ОБЛАСТИ")</f>
        <v>МЕЖРАЙОННАЯ ИФНС РОССИИ № 14 ПО ИРКУТСКОЙ ОБЛАСТИ</v>
      </c>
      <c r="B15528" s="24" t="s">
        <v>17832</v>
      </c>
      <c r="C15528" s="25">
        <v>773031.6</v>
      </c>
      <c r="D15528" s="22" t="s">
        <v>17833</v>
      </c>
      <c r="E15528" s="22" t="s">
        <v>68</v>
      </c>
      <c r="F15528" s="23" t="str">
        <f>HYPERLINK("https://www.spark-marketing.ru/Card/Lot/67788957", "Прочая закупка товаров, работ и услуг (оказание услуг централизованной охраны и охраны объектов с помощью кнопки тревожной сигнализации)")</f>
        <v>Прочая закупка товаров, работ и услуг (оказание услуг централизованной охраны и охраны объектов с помощью кнопки тревожной сигнализации)</v>
      </c>
      <c r="G15528" s="22" t="s">
        <v>281</v>
      </c>
      <c r="H15528" s="22" t="s">
        <v>17834</v>
      </c>
      <c r="I15528" s="26">
        <v>43504</v>
      </c>
      <c r="J15528" s="23" t="str">
        <f>HYPERLINK("https://www.spark-marketing.ru/Card/Person/4393154", "ФГКУ ""УВО ВНГ РОССИИ ПО ИРКУТСКОЙ ОБЛАСТИ""")</f>
        <v>ФГКУ "УВО ВНГ РОССИИ ПО ИРКУТСКОЙ ОБЛАСТИ"</v>
      </c>
      <c r="K15528" s="24" t="s">
        <v>9037</v>
      </c>
      <c r="L15528" s="22" t="s">
        <v>10</v>
      </c>
      <c r="M15528" s="25">
        <v>769166.44</v>
      </c>
      <c r="N15528" s="27">
        <v>5.0000025872163571E-3</v>
      </c>
    </row>
    <row r="15529" spans="1:14" x14ac:dyDescent="0.15">
      <c r="A15529" s="23" t="str">
        <f>HYPERLINK("https://www.spark-marketing.ru/Card/Person/6450322", "ЗАКАЗЧИК РП БЕЛАРУСЬ")</f>
        <v>ЗАКАЗЧИК РП БЕЛАРУСЬ</v>
      </c>
      <c r="B15529" s="28" t="s">
        <v>52</v>
      </c>
      <c r="C15529" s="25">
        <v>1383237.5549999999</v>
      </c>
      <c r="D15529" s="22" t="s">
        <v>17825</v>
      </c>
      <c r="E15529" s="22" t="s">
        <v>53</v>
      </c>
      <c r="F15529" s="23" t="str">
        <f>HYPERLINK("https://www.spark-marketing.ru/Card/Lot/67793155", "Система технических средств охраны типа ""ИСО 777"", ""Болид"" или аналог")</f>
        <v>Система технических средств охраны типа "ИСО 777", "Болид" или аналог</v>
      </c>
      <c r="G15529" s="22" t="s">
        <v>52</v>
      </c>
      <c r="H15529" s="22" t="s">
        <v>52</v>
      </c>
      <c r="I15529" s="26">
        <v>43504</v>
      </c>
      <c r="J15529" s="28" t="s">
        <v>52</v>
      </c>
      <c r="K15529" s="28" t="s">
        <v>52</v>
      </c>
      <c r="L15529" s="28" t="s">
        <v>52</v>
      </c>
      <c r="M15529" s="28" t="s">
        <v>52</v>
      </c>
      <c r="N15529" s="28" t="s">
        <v>52</v>
      </c>
    </row>
    <row r="15530" spans="1:14" x14ac:dyDescent="0.15">
      <c r="A15530" s="23" t="str">
        <f>HYPERLINK("https://www.spark-marketing.ru/Card/Person/28614", "МЕЖРАЙОННАЯ ИФНС РОССИИ № 14 ПО ВОРОНЕЖСКОЙ ОБЛАСТИ")</f>
        <v>МЕЖРАЙОННАЯ ИФНС РОССИИ № 14 ПО ВОРОНЕЖСКОЙ ОБЛАСТИ</v>
      </c>
      <c r="B15530" s="24" t="s">
        <v>17835</v>
      </c>
      <c r="C15530" s="25">
        <v>44620.24</v>
      </c>
      <c r="D15530" s="22" t="s">
        <v>17836</v>
      </c>
      <c r="E15530" s="22" t="s">
        <v>68</v>
      </c>
      <c r="F15530" s="23" t="str">
        <f>HYPERLINK("https://www.spark-marketing.ru/Card/Lot/67797571", "сигнал тревога")</f>
        <v>сигнал тревога</v>
      </c>
      <c r="G15530" s="22" t="s">
        <v>552</v>
      </c>
      <c r="H15530" s="22" t="s">
        <v>552</v>
      </c>
      <c r="I15530" s="26">
        <v>43504</v>
      </c>
      <c r="J15530" s="28" t="s">
        <v>52</v>
      </c>
      <c r="K15530" s="28" t="s">
        <v>52</v>
      </c>
      <c r="L15530" s="28" t="s">
        <v>52</v>
      </c>
      <c r="M15530" s="28" t="s">
        <v>52</v>
      </c>
      <c r="N15530" s="28" t="s">
        <v>52</v>
      </c>
    </row>
    <row r="15531" spans="1:14" x14ac:dyDescent="0.15">
      <c r="A15531" s="23" t="str">
        <f>HYPERLINK("https://www.spark-marketing.ru/Card/Person/27996", "БУ ""СУРГУТСКАЯ ГОРОДСКАЯ КЛИНИЧЕСКАЯ ПОЛИКЛИНИКА № 3""")</f>
        <v>БУ "СУРГУТСКАЯ ГОРОДСКАЯ КЛИНИЧЕСКАЯ ПОЛИКЛИНИКА № 3"</v>
      </c>
      <c r="B15531" s="24" t="s">
        <v>461</v>
      </c>
      <c r="C15531" s="25">
        <v>119099.97</v>
      </c>
      <c r="D15531" s="22" t="s">
        <v>17837</v>
      </c>
      <c r="E15531" s="22" t="s">
        <v>183</v>
      </c>
      <c r="F15531" s="23" t="str">
        <f>HYPERLINK("https://www.spark-marketing.ru/Card/Lot/67792256", "Оказание услуг по техническому обслуживанию охранной сигнализации (ОС), кнопок тревожной сигнализации (КТС), системы охранного видеонаблюдения")</f>
        <v>Оказание услуг по техническому обслуживанию охранной сигнализации (ОС), кнопок тревожной сигнализации (КТС), системы охранного видеонаблюдения</v>
      </c>
      <c r="G15531" s="22" t="s">
        <v>119</v>
      </c>
      <c r="H15531" s="22" t="s">
        <v>463</v>
      </c>
      <c r="I15531" s="26">
        <v>43504</v>
      </c>
      <c r="J15531" s="28" t="s">
        <v>52</v>
      </c>
      <c r="K15531" s="28" t="s">
        <v>52</v>
      </c>
      <c r="L15531" s="28" t="s">
        <v>52</v>
      </c>
      <c r="M15531" s="28" t="s">
        <v>52</v>
      </c>
      <c r="N15531" s="28" t="s">
        <v>52</v>
      </c>
    </row>
    <row r="15532" spans="1:14" hidden="1" outlineLevel="1" x14ac:dyDescent="0.2">
      <c r="A15532" s="23" t="str">
        <f>HYPERLINK("https://www.spark-marketing.ru/Card/Person/27996", "БУ ""СУРГУТСКАЯ ГОРОДСКАЯ КЛИНИЧЕСКАЯ ПОЛИКЛИНИКА № 3""")</f>
        <v>БУ "СУРГУТСКАЯ ГОРОДСКАЯ КЛИНИЧЕСКАЯ ПОЛИКЛИНИКА № 3"</v>
      </c>
      <c r="B15532" s="24" t="s">
        <v>461</v>
      </c>
      <c r="C15532" s="25">
        <v>119099.97</v>
      </c>
      <c r="D15532" s="22" t="s">
        <v>17837</v>
      </c>
      <c r="E15532" s="22" t="s">
        <v>183</v>
      </c>
      <c r="F15532" s="23" t="str">
        <f>HYPERLINK("https://www.spark-marketing.ru/Card/Lot/67792256", "Оказание услуг по техническому обслуживанию охранной сигнализации (ОС), кнопок тревожной сигнализации (КТС), системы охранного видеонаблюдения")</f>
        <v>Оказание услуг по техническому обслуживанию охранной сигнализации (ОС), кнопок тревожной сигнализации (КТС), системы охранного видеонаблюдения</v>
      </c>
      <c r="G15532" s="22" t="s">
        <v>119</v>
      </c>
      <c r="H15532" s="22" t="s">
        <v>463</v>
      </c>
      <c r="I15532" s="26">
        <v>43504</v>
      </c>
      <c r="J15532" s="23" t="str">
        <f>HYPERLINK("https://www.spark-marketing.ru/Card/Person/4851642", "ООО ЧОО ""ОЛИМП-БЕЗОПАСНОСТЬ""")</f>
        <v>ООО ЧОО "ОЛИМП-БЕЗОПАСНОСТЬ"</v>
      </c>
      <c r="K15532" s="24" t="s">
        <v>5255</v>
      </c>
      <c r="L15532" s="28" t="s">
        <v>52</v>
      </c>
      <c r="M15532" s="25">
        <v>32831.5</v>
      </c>
      <c r="N15532" s="27">
        <v>0.72433662241896446</v>
      </c>
    </row>
    <row r="15533" spans="1:14" ht="12.75" hidden="1" outlineLevel="1" x14ac:dyDescent="0.2">
      <c r="A15533" s="23" t="str">
        <f>HYPERLINK("https://www.spark-marketing.ru/Card/Person/27996", "БУ ""СУРГУТСКАЯ ГОРОДСКАЯ КЛИНИЧЕСКАЯ ПОЛИКЛИНИКА № 3""")</f>
        <v>БУ "СУРГУТСКАЯ ГОРОДСКАЯ КЛИНИЧЕСКАЯ ПОЛИКЛИНИКА № 3"</v>
      </c>
      <c r="B15533" s="24" t="s">
        <v>461</v>
      </c>
      <c r="C15533" s="25">
        <v>119099.97</v>
      </c>
      <c r="D15533" s="22" t="s">
        <v>17837</v>
      </c>
      <c r="E15533" s="22" t="s">
        <v>183</v>
      </c>
      <c r="F15533" s="23" t="str">
        <f>HYPERLINK("https://www.spark-marketing.ru/Card/Lot/67792256", "Оказание услуг по техническому обслуживанию охранной сигнализации (ОС), кнопок тревожной сигнализации (КТС), системы охранного видеонаблюдения")</f>
        <v>Оказание услуг по техническому обслуживанию охранной сигнализации (ОС), кнопок тревожной сигнализации (КТС), системы охранного видеонаблюдения</v>
      </c>
      <c r="G15533" s="22" t="s">
        <v>119</v>
      </c>
      <c r="H15533" s="22" t="s">
        <v>463</v>
      </c>
      <c r="I15533" s="26">
        <v>43504</v>
      </c>
      <c r="J15533" s="23" t="str">
        <f>HYPERLINK("https://www.spark-marketing.ru/Card/Person/84508", "ООО ""ТЕХНОЛАЙН""")</f>
        <v>ООО "ТЕХНОЛАЙН"</v>
      </c>
      <c r="K15533" s="24" t="s">
        <v>1357</v>
      </c>
      <c r="L15533" s="22" t="s">
        <v>10</v>
      </c>
      <c r="M15533" s="25">
        <v>32236</v>
      </c>
      <c r="N15533" s="27">
        <v>0.72933662367841068</v>
      </c>
    </row>
    <row r="15534" spans="1:14" x14ac:dyDescent="0.15">
      <c r="A15534" s="23" t="str">
        <f>HYPERLINK("https://www.spark-marketing.ru/Card/Person/1025874", "МОУ АБДРЕЕВСКАЯ НОШ")</f>
        <v>МОУ АБДРЕЕВСКАЯ НОШ</v>
      </c>
      <c r="B15534" s="24" t="s">
        <v>17838</v>
      </c>
      <c r="C15534" s="25">
        <v>16200</v>
      </c>
      <c r="D15534" s="22" t="s">
        <v>17839</v>
      </c>
      <c r="E15534" s="22" t="s">
        <v>68</v>
      </c>
      <c r="F15534" s="23" t="str">
        <f>HYPERLINK("https://www.spark-marketing.ru/Card/Lot/67805219",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534" s="22" t="s">
        <v>446</v>
      </c>
      <c r="H15534" s="22" t="s">
        <v>16876</v>
      </c>
      <c r="I15534" s="26">
        <v>43504</v>
      </c>
      <c r="J15534" s="28" t="s">
        <v>52</v>
      </c>
      <c r="K15534" s="28" t="s">
        <v>52</v>
      </c>
      <c r="L15534" s="28" t="s">
        <v>52</v>
      </c>
      <c r="M15534" s="28" t="s">
        <v>52</v>
      </c>
      <c r="N15534" s="28" t="s">
        <v>52</v>
      </c>
    </row>
    <row r="15535" spans="1:14" hidden="1" outlineLevel="1" x14ac:dyDescent="0.2">
      <c r="A15535" s="23" t="str">
        <f>HYPERLINK("https://www.spark-marketing.ru/Card/Person/1025874", "МОУ АБДРЕЕВСКАЯ НОШ")</f>
        <v>МОУ АБДРЕЕВСКАЯ НОШ</v>
      </c>
      <c r="B15535" s="24" t="s">
        <v>17838</v>
      </c>
      <c r="C15535" s="25">
        <v>16200</v>
      </c>
      <c r="D15535" s="22" t="s">
        <v>17839</v>
      </c>
      <c r="E15535" s="22" t="s">
        <v>68</v>
      </c>
      <c r="F15535" s="23" t="str">
        <f>HYPERLINK("https://www.spark-marketing.ru/Card/Lot/67805219",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535" s="22" t="s">
        <v>446</v>
      </c>
      <c r="H15535" s="22" t="s">
        <v>16876</v>
      </c>
      <c r="I15535" s="26">
        <v>43504</v>
      </c>
      <c r="J15535" s="23" t="str">
        <f>HYPERLINK("https://www.spark-marketing.ru/Card/Person/677682", "ООО ЧОО ""ЦСМ ""ГРОМ""")</f>
        <v>ООО ЧОО "ЦСМ "ГРОМ"</v>
      </c>
      <c r="K15535" s="24" t="s">
        <v>16878</v>
      </c>
      <c r="L15535" s="28" t="s">
        <v>52</v>
      </c>
      <c r="M15535" s="25">
        <v>11312.16</v>
      </c>
      <c r="N15535" s="27">
        <v>0.3017185185185185</v>
      </c>
    </row>
    <row r="15536" spans="1:14" hidden="1" outlineLevel="1" x14ac:dyDescent="0.2">
      <c r="A15536" s="23" t="str">
        <f>HYPERLINK("https://www.spark-marketing.ru/Card/Person/1025874", "МОУ АБДРЕЕВСКАЯ НОШ")</f>
        <v>МОУ АБДРЕЕВСКАЯ НОШ</v>
      </c>
      <c r="B15536" s="24" t="s">
        <v>17838</v>
      </c>
      <c r="C15536" s="25">
        <v>16200</v>
      </c>
      <c r="D15536" s="22" t="s">
        <v>17839</v>
      </c>
      <c r="E15536" s="22" t="s">
        <v>68</v>
      </c>
      <c r="F15536" s="23" t="str">
        <f>HYPERLINK("https://www.spark-marketing.ru/Card/Lot/67805219",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536" s="22" t="s">
        <v>446</v>
      </c>
      <c r="H15536" s="22" t="s">
        <v>16876</v>
      </c>
      <c r="I15536" s="26">
        <v>43504</v>
      </c>
      <c r="J15536" s="23" t="str">
        <f>HYPERLINK("https://www.spark-marketing.ru/Card/Person/124094", "ООО ЧОО ""РЕДУТ+""")</f>
        <v>ООО ЧОО "РЕДУТ+"</v>
      </c>
      <c r="K15536" s="24" t="s">
        <v>16877</v>
      </c>
      <c r="L15536" s="28" t="s">
        <v>52</v>
      </c>
      <c r="M15536" s="25">
        <v>3172.16</v>
      </c>
      <c r="N15536" s="27">
        <v>0.8041876543209876</v>
      </c>
    </row>
    <row r="15537" spans="1:14" ht="12.75" hidden="1" outlineLevel="1" x14ac:dyDescent="0.2">
      <c r="A15537" s="23" t="str">
        <f>HYPERLINK("https://www.spark-marketing.ru/Card/Person/1025874", "МОУ АБДРЕЕВСКАЯ НОШ")</f>
        <v>МОУ АБДРЕЕВСКАЯ НОШ</v>
      </c>
      <c r="B15537" s="24" t="s">
        <v>17838</v>
      </c>
      <c r="C15537" s="25">
        <v>16200</v>
      </c>
      <c r="D15537" s="22" t="s">
        <v>17839</v>
      </c>
      <c r="E15537" s="22" t="s">
        <v>68</v>
      </c>
      <c r="F15537" s="23" t="str">
        <f>HYPERLINK("https://www.spark-marketing.ru/Card/Lot/67805219",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537" s="22" t="s">
        <v>446</v>
      </c>
      <c r="H15537" s="22" t="s">
        <v>16876</v>
      </c>
      <c r="I15537" s="26">
        <v>43504</v>
      </c>
      <c r="J15537" s="23" t="str">
        <f>HYPERLINK("https://www.spark-marketing.ru/Card/Person/5946939", "ООО АО ""АРМАДА""")</f>
        <v>ООО АО "АРМАДА"</v>
      </c>
      <c r="K15537" s="24" t="s">
        <v>12927</v>
      </c>
      <c r="L15537" s="22" t="s">
        <v>10</v>
      </c>
      <c r="M15537" s="25">
        <v>3072.16</v>
      </c>
      <c r="N15537" s="27">
        <v>0.81036049382716047</v>
      </c>
    </row>
    <row r="15538" spans="1:14" x14ac:dyDescent="0.15">
      <c r="A15538" s="23" t="str">
        <f>HYPERLINK("https://www.spark-marketing.ru/Card/Person/549685", "МОУ НОВОЧЕРЕМШАНСКАЯ СШ")</f>
        <v>МОУ НОВОЧЕРЕМШАНСКАЯ СШ</v>
      </c>
      <c r="B15538" s="24" t="s">
        <v>17840</v>
      </c>
      <c r="C15538" s="25">
        <v>32400</v>
      </c>
      <c r="D15538" s="22" t="s">
        <v>17841</v>
      </c>
      <c r="E15538" s="22" t="s">
        <v>68</v>
      </c>
      <c r="F15538" s="23" t="str">
        <f>HYPERLINK("https://www.spark-marketing.ru/Card/Lot/67805221",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538" s="22" t="s">
        <v>446</v>
      </c>
      <c r="H15538" s="22" t="s">
        <v>446</v>
      </c>
      <c r="I15538" s="26">
        <v>43504</v>
      </c>
      <c r="J15538" s="28" t="s">
        <v>52</v>
      </c>
      <c r="K15538" s="28" t="s">
        <v>52</v>
      </c>
      <c r="L15538" s="28" t="s">
        <v>52</v>
      </c>
      <c r="M15538" s="28" t="s">
        <v>52</v>
      </c>
      <c r="N15538" s="28" t="s">
        <v>52</v>
      </c>
    </row>
    <row r="15539" spans="1:14" hidden="1" outlineLevel="1" x14ac:dyDescent="0.2">
      <c r="A15539" s="23" t="str">
        <f>HYPERLINK("https://www.spark-marketing.ru/Card/Person/549685", "МОУ НОВОЧЕРЕМШАНСКАЯ СШ")</f>
        <v>МОУ НОВОЧЕРЕМШАНСКАЯ СШ</v>
      </c>
      <c r="B15539" s="24" t="s">
        <v>17840</v>
      </c>
      <c r="C15539" s="25">
        <v>32400</v>
      </c>
      <c r="D15539" s="22" t="s">
        <v>17841</v>
      </c>
      <c r="E15539" s="22" t="s">
        <v>68</v>
      </c>
      <c r="F15539" s="23" t="str">
        <f>HYPERLINK("https://www.spark-marketing.ru/Card/Lot/67805221",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539" s="22" t="s">
        <v>446</v>
      </c>
      <c r="H15539" s="22" t="s">
        <v>446</v>
      </c>
      <c r="I15539" s="26">
        <v>43504</v>
      </c>
      <c r="J15539" s="23" t="str">
        <f>HYPERLINK("https://www.spark-marketing.ru/Card/Person/677682", "ООО ЧОО ""ЦСМ ""ГРОМ""")</f>
        <v>ООО ЧОО "ЦСМ "ГРОМ"</v>
      </c>
      <c r="K15539" s="24" t="s">
        <v>16878</v>
      </c>
      <c r="L15539" s="28" t="s">
        <v>52</v>
      </c>
      <c r="M15539" s="25">
        <v>20002.740000000002</v>
      </c>
      <c r="N15539" s="27">
        <v>0.38263148148148146</v>
      </c>
    </row>
    <row r="15540" spans="1:14" hidden="1" outlineLevel="1" x14ac:dyDescent="0.2">
      <c r="A15540" s="23" t="str">
        <f>HYPERLINK("https://www.spark-marketing.ru/Card/Person/549685", "МОУ НОВОЧЕРЕМШАНСКАЯ СШ")</f>
        <v>МОУ НОВОЧЕРЕМШАНСКАЯ СШ</v>
      </c>
      <c r="B15540" s="24" t="s">
        <v>17840</v>
      </c>
      <c r="C15540" s="25">
        <v>32400</v>
      </c>
      <c r="D15540" s="22" t="s">
        <v>17841</v>
      </c>
      <c r="E15540" s="22" t="s">
        <v>68</v>
      </c>
      <c r="F15540" s="23" t="str">
        <f>HYPERLINK("https://www.spark-marketing.ru/Card/Lot/67805221",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540" s="22" t="s">
        <v>446</v>
      </c>
      <c r="H15540" s="22" t="s">
        <v>446</v>
      </c>
      <c r="I15540" s="26">
        <v>43504</v>
      </c>
      <c r="J15540" s="23" t="str">
        <f>HYPERLINK("https://www.spark-marketing.ru/Card/Person/124094", "ООО ЧОО ""РЕДУТ+""")</f>
        <v>ООО ЧОО "РЕДУТ+"</v>
      </c>
      <c r="K15540" s="24" t="s">
        <v>16877</v>
      </c>
      <c r="L15540" s="28" t="s">
        <v>52</v>
      </c>
      <c r="M15540" s="25">
        <v>31914</v>
      </c>
      <c r="N15540" s="27">
        <v>1.4999999999999999E-2</v>
      </c>
    </row>
    <row r="15541" spans="1:14" ht="12.75" hidden="1" outlineLevel="1" x14ac:dyDescent="0.2">
      <c r="A15541" s="23" t="str">
        <f>HYPERLINK("https://www.spark-marketing.ru/Card/Person/549685", "МОУ НОВОЧЕРЕМШАНСКАЯ СШ")</f>
        <v>МОУ НОВОЧЕРЕМШАНСКАЯ СШ</v>
      </c>
      <c r="B15541" s="24" t="s">
        <v>17840</v>
      </c>
      <c r="C15541" s="25">
        <v>32400</v>
      </c>
      <c r="D15541" s="22" t="s">
        <v>17841</v>
      </c>
      <c r="E15541" s="22" t="s">
        <v>68</v>
      </c>
      <c r="F15541" s="23" t="str">
        <f>HYPERLINK("https://www.spark-marketing.ru/Card/Lot/67805221", "Оказание услуг по охране объектов путем реагирования на сигнал кнопки тревожной сигнализации")</f>
        <v>Оказание услуг по охране объектов путем реагирования на сигнал кнопки тревожной сигнализации</v>
      </c>
      <c r="G15541" s="22" t="s">
        <v>446</v>
      </c>
      <c r="H15541" s="22" t="s">
        <v>446</v>
      </c>
      <c r="I15541" s="26">
        <v>43504</v>
      </c>
      <c r="J15541" s="23" t="str">
        <f>HYPERLINK("https://www.spark-marketing.ru/Card/Person/5946939", "ООО АО ""АРМАДА""")</f>
        <v>ООО АО "АРМАДА"</v>
      </c>
      <c r="K15541" s="24" t="s">
        <v>12927</v>
      </c>
      <c r="L15541" s="22" t="s">
        <v>10</v>
      </c>
      <c r="M15541" s="25">
        <v>19840.740000000002</v>
      </c>
      <c r="N15541" s="27">
        <v>0.38763148148148147</v>
      </c>
    </row>
    <row r="15542" spans="1:14" x14ac:dyDescent="0.15">
      <c r="A15542" s="23" t="str">
        <f>HYPERLINK("https://www.spark-marketing.ru/Card/Person/28614", "МЕЖРАЙОННАЯ ИФНС РОССИИ № 14 ПО ВОРОНЕЖСКОЙ ОБЛАСТИ")</f>
        <v>МЕЖРАЙОННАЯ ИФНС РОССИИ № 14 ПО ВОРОНЕЖСКОЙ ОБЛАСТИ</v>
      </c>
      <c r="B15542" s="24" t="s">
        <v>17835</v>
      </c>
      <c r="C15542" s="25">
        <v>14191.2</v>
      </c>
      <c r="D15542" s="22" t="s">
        <v>17842</v>
      </c>
      <c r="E15542" s="22" t="s">
        <v>68</v>
      </c>
      <c r="F15542" s="23" t="str">
        <f>HYPERLINK("https://www.spark-marketing.ru/Card/Lot/67797491", "охрана объекта путем мониторинга за состоянием средств сигнализации")</f>
        <v>охрана объекта путем мониторинга за состоянием средств сигнализации</v>
      </c>
      <c r="G15542" s="22" t="s">
        <v>552</v>
      </c>
      <c r="H15542" s="22" t="s">
        <v>552</v>
      </c>
      <c r="I15542" s="26">
        <v>43504</v>
      </c>
      <c r="J15542" s="28" t="s">
        <v>52</v>
      </c>
      <c r="K15542" s="28" t="s">
        <v>52</v>
      </c>
      <c r="L15542" s="28" t="s">
        <v>52</v>
      </c>
      <c r="M15542" s="28" t="s">
        <v>52</v>
      </c>
      <c r="N15542" s="28" t="s">
        <v>52</v>
      </c>
    </row>
    <row r="15543" spans="1:14" x14ac:dyDescent="0.15">
      <c r="A15543" s="23" t="str">
        <f t="shared" ref="A15543:A15553" si="814">HYPERLINK("https://www.spark-marketing.ru/Card/Person/92884", "ГБДОУ ДЕТСКИЙ САД № 24 МОСКОВСКОГО РАЙОНА САНКТ-ПЕТЕРБУРГА")</f>
        <v>ГБДОУ ДЕТСКИЙ САД № 24 МОСКОВСКОГО РАЙОНА САНКТ-ПЕТЕРБУРГА</v>
      </c>
      <c r="B15543" s="24" t="s">
        <v>17843</v>
      </c>
      <c r="C15543" s="25">
        <v>702646.2</v>
      </c>
      <c r="D15543" s="22" t="s">
        <v>17844</v>
      </c>
      <c r="E15543" s="22" t="s">
        <v>59</v>
      </c>
      <c r="F15543" s="23" t="str">
        <f t="shared" ref="F15543:F15553" si="815">HYPERLINK("https://www.spark-marketing.ru/Card/Lot/67806735", "Выполнение работ по установке охранно-тревожной сигнализации для ГБДОУ детский сад №24 Московского района Санкт-Петербурга в 2019 году")</f>
        <v>Выполнение работ по установке охранно-тревожной сигнализации для ГБДОУ детский сад №24 Московского района Санкт-Петербурга в 2019 году</v>
      </c>
      <c r="G15543" s="22" t="s">
        <v>89</v>
      </c>
      <c r="H15543" s="22" t="s">
        <v>89</v>
      </c>
      <c r="I15543" s="26">
        <v>43504</v>
      </c>
      <c r="J15543" s="28" t="s">
        <v>52</v>
      </c>
      <c r="K15543" s="28" t="s">
        <v>52</v>
      </c>
      <c r="L15543" s="28" t="s">
        <v>52</v>
      </c>
      <c r="M15543" s="28" t="s">
        <v>52</v>
      </c>
      <c r="N15543" s="28" t="s">
        <v>52</v>
      </c>
    </row>
    <row r="15544" spans="1:14" hidden="1" outlineLevel="1" x14ac:dyDescent="0.2">
      <c r="A15544" s="23" t="str">
        <f t="shared" si="814"/>
        <v>ГБДОУ ДЕТСКИЙ САД № 24 МОСКОВСКОГО РАЙОНА САНКТ-ПЕТЕРБУРГА</v>
      </c>
      <c r="B15544" s="24" t="s">
        <v>17843</v>
      </c>
      <c r="C15544" s="25">
        <v>702646.2</v>
      </c>
      <c r="D15544" s="22" t="s">
        <v>17844</v>
      </c>
      <c r="E15544" s="22" t="s">
        <v>59</v>
      </c>
      <c r="F15544" s="23" t="str">
        <f t="shared" si="815"/>
        <v>Выполнение работ по установке охранно-тревожной сигнализации для ГБДОУ детский сад №24 Московского района Санкт-Петербурга в 2019 году</v>
      </c>
      <c r="G15544" s="22" t="s">
        <v>89</v>
      </c>
      <c r="H15544" s="22" t="s">
        <v>89</v>
      </c>
      <c r="I15544" s="26">
        <v>43504</v>
      </c>
      <c r="J15544" s="23" t="str">
        <f>HYPERLINK("https://www.spark-marketing.ru/Card/Person/4899667", "ООО ""ИНТЕРПРОМ""")</f>
        <v>ООО "ИНТЕРПРОМ"</v>
      </c>
      <c r="K15544" s="24" t="s">
        <v>17845</v>
      </c>
      <c r="L15544" s="28" t="s">
        <v>52</v>
      </c>
      <c r="M15544" s="25">
        <v>517588.05</v>
      </c>
      <c r="N15544" s="27">
        <v>0.26337315992031268</v>
      </c>
    </row>
    <row r="15545" spans="1:14" hidden="1" outlineLevel="1" x14ac:dyDescent="0.2">
      <c r="A15545" s="23" t="str">
        <f t="shared" si="814"/>
        <v>ГБДОУ ДЕТСКИЙ САД № 24 МОСКОВСКОГО РАЙОНА САНКТ-ПЕТЕРБУРГА</v>
      </c>
      <c r="B15545" s="24" t="s">
        <v>17843</v>
      </c>
      <c r="C15545" s="25">
        <v>702646.2</v>
      </c>
      <c r="D15545" s="22" t="s">
        <v>17844</v>
      </c>
      <c r="E15545" s="22" t="s">
        <v>59</v>
      </c>
      <c r="F15545" s="23" t="str">
        <f t="shared" si="815"/>
        <v>Выполнение работ по установке охранно-тревожной сигнализации для ГБДОУ детский сад №24 Московского района Санкт-Петербурга в 2019 году</v>
      </c>
      <c r="G15545" s="22" t="s">
        <v>89</v>
      </c>
      <c r="H15545" s="22" t="s">
        <v>89</v>
      </c>
      <c r="I15545" s="26">
        <v>43504</v>
      </c>
      <c r="J15545" s="23" t="str">
        <f>HYPERLINK("https://www.spark-marketing.ru/Card/Person/1548969", "ООО ""ОМЕГА""")</f>
        <v>ООО "ОМЕГА"</v>
      </c>
      <c r="K15545" s="24" t="s">
        <v>1352</v>
      </c>
      <c r="L15545" s="28" t="s">
        <v>52</v>
      </c>
      <c r="M15545" s="25">
        <v>296761.86</v>
      </c>
      <c r="N15545" s="27">
        <v>0.57765108528303433</v>
      </c>
    </row>
    <row r="15546" spans="1:14" hidden="1" outlineLevel="1" x14ac:dyDescent="0.2">
      <c r="A15546" s="23" t="str">
        <f t="shared" si="814"/>
        <v>ГБДОУ ДЕТСКИЙ САД № 24 МОСКОВСКОГО РАЙОНА САНКТ-ПЕТЕРБУРГА</v>
      </c>
      <c r="B15546" s="24" t="s">
        <v>17843</v>
      </c>
      <c r="C15546" s="25">
        <v>702646.2</v>
      </c>
      <c r="D15546" s="22" t="s">
        <v>17844</v>
      </c>
      <c r="E15546" s="22" t="s">
        <v>59</v>
      </c>
      <c r="F15546" s="23" t="str">
        <f t="shared" si="815"/>
        <v>Выполнение работ по установке охранно-тревожной сигнализации для ГБДОУ детский сад №24 Московского района Санкт-Петербурга в 2019 году</v>
      </c>
      <c r="G15546" s="22" t="s">
        <v>89</v>
      </c>
      <c r="H15546" s="22" t="s">
        <v>89</v>
      </c>
      <c r="I15546" s="26">
        <v>43504</v>
      </c>
      <c r="J15546" s="23" t="str">
        <f>HYPERLINK("https://www.spark-marketing.ru/Card/Person/888873", "ООО ""МИКРОН""")</f>
        <v>ООО "МИКРОН"</v>
      </c>
      <c r="K15546" s="24" t="s">
        <v>14875</v>
      </c>
      <c r="L15546" s="28" t="s">
        <v>52</v>
      </c>
      <c r="M15546" s="25">
        <v>317841.24</v>
      </c>
      <c r="N15546" s="27">
        <v>0.54765109382218247</v>
      </c>
    </row>
    <row r="15547" spans="1:14" hidden="1" outlineLevel="1" x14ac:dyDescent="0.2">
      <c r="A15547" s="23" t="str">
        <f t="shared" si="814"/>
        <v>ГБДОУ ДЕТСКИЙ САД № 24 МОСКОВСКОГО РАЙОНА САНКТ-ПЕТЕРБУРГА</v>
      </c>
      <c r="B15547" s="24" t="s">
        <v>17843</v>
      </c>
      <c r="C15547" s="25">
        <v>702646.2</v>
      </c>
      <c r="D15547" s="22" t="s">
        <v>17844</v>
      </c>
      <c r="E15547" s="22" t="s">
        <v>59</v>
      </c>
      <c r="F15547" s="23" t="str">
        <f t="shared" si="815"/>
        <v>Выполнение работ по установке охранно-тревожной сигнализации для ГБДОУ детский сад №24 Московского района Санкт-Петербурга в 2019 году</v>
      </c>
      <c r="G15547" s="22" t="s">
        <v>89</v>
      </c>
      <c r="H15547" s="22" t="s">
        <v>89</v>
      </c>
      <c r="I15547" s="26">
        <v>43504</v>
      </c>
      <c r="J15547" s="23" t="str">
        <f>HYPERLINK("https://www.spark-marketing.ru/Card/Person/153636", "ООО ""ПН-СИСТЕМ""")</f>
        <v>ООО "ПН-СИСТЕМ"</v>
      </c>
      <c r="K15547" s="24" t="s">
        <v>13850</v>
      </c>
      <c r="L15547" s="28" t="s">
        <v>52</v>
      </c>
      <c r="M15547" s="25">
        <v>392786.77</v>
      </c>
      <c r="N15547" s="27">
        <v>0.4409892631597524</v>
      </c>
    </row>
    <row r="15548" spans="1:14" hidden="1" outlineLevel="1" x14ac:dyDescent="0.2">
      <c r="A15548" s="23" t="str">
        <f t="shared" si="814"/>
        <v>ГБДОУ ДЕТСКИЙ САД № 24 МОСКОВСКОГО РАЙОНА САНКТ-ПЕТЕРБУРГА</v>
      </c>
      <c r="B15548" s="24" t="s">
        <v>17843</v>
      </c>
      <c r="C15548" s="25">
        <v>702646.2</v>
      </c>
      <c r="D15548" s="22" t="s">
        <v>17844</v>
      </c>
      <c r="E15548" s="22" t="s">
        <v>59</v>
      </c>
      <c r="F15548" s="23" t="str">
        <f t="shared" si="815"/>
        <v>Выполнение работ по установке охранно-тревожной сигнализации для ГБДОУ детский сад №24 Московского района Санкт-Петербурга в 2019 году</v>
      </c>
      <c r="G15548" s="22" t="s">
        <v>89</v>
      </c>
      <c r="H15548" s="22" t="s">
        <v>89</v>
      </c>
      <c r="I15548" s="26">
        <v>43504</v>
      </c>
      <c r="J15548" s="23" t="str">
        <f>HYPERLINK("https://www.spark-marketing.ru/Card/Person/450990", "ООО ""СЕЙГАЛ""")</f>
        <v>ООО "СЕЙГАЛ"</v>
      </c>
      <c r="K15548" s="24" t="s">
        <v>11235</v>
      </c>
      <c r="L15548" s="28" t="s">
        <v>52</v>
      </c>
      <c r="M15548" s="25">
        <v>342433.85</v>
      </c>
      <c r="N15548" s="27">
        <v>0.51265110378452194</v>
      </c>
    </row>
    <row r="15549" spans="1:14" hidden="1" outlineLevel="1" x14ac:dyDescent="0.2">
      <c r="A15549" s="23" t="str">
        <f t="shared" si="814"/>
        <v>ГБДОУ ДЕТСКИЙ САД № 24 МОСКОВСКОГО РАЙОНА САНКТ-ПЕТЕРБУРГА</v>
      </c>
      <c r="B15549" s="24" t="s">
        <v>17843</v>
      </c>
      <c r="C15549" s="25">
        <v>702646.2</v>
      </c>
      <c r="D15549" s="22" t="s">
        <v>17844</v>
      </c>
      <c r="E15549" s="22" t="s">
        <v>59</v>
      </c>
      <c r="F15549" s="23" t="str">
        <f t="shared" si="815"/>
        <v>Выполнение работ по установке охранно-тревожной сигнализации для ГБДОУ детский сад №24 Московского района Санкт-Петербурга в 2019 году</v>
      </c>
      <c r="G15549" s="22" t="s">
        <v>89</v>
      </c>
      <c r="H15549" s="22" t="s">
        <v>89</v>
      </c>
      <c r="I15549" s="26">
        <v>43504</v>
      </c>
      <c r="J15549" s="23" t="str">
        <f>HYPERLINK("https://www.spark-marketing.ru/Card/Person/6491705", "ООО ""КОВЧЕГ""")</f>
        <v>ООО "КОВЧЕГ"</v>
      </c>
      <c r="K15549" s="24" t="s">
        <v>8252</v>
      </c>
      <c r="L15549" s="28" t="s">
        <v>52</v>
      </c>
      <c r="M15549" s="25">
        <v>360000</v>
      </c>
      <c r="N15549" s="27">
        <v>0.4876511109004788</v>
      </c>
    </row>
    <row r="15550" spans="1:14" hidden="1" outlineLevel="1" x14ac:dyDescent="0.2">
      <c r="A15550" s="23" t="str">
        <f t="shared" si="814"/>
        <v>ГБДОУ ДЕТСКИЙ САД № 24 МОСКОВСКОГО РАЙОНА САНКТ-ПЕТЕРБУРГА</v>
      </c>
      <c r="B15550" s="24" t="s">
        <v>17843</v>
      </c>
      <c r="C15550" s="25">
        <v>702646.2</v>
      </c>
      <c r="D15550" s="22" t="s">
        <v>17844</v>
      </c>
      <c r="E15550" s="22" t="s">
        <v>59</v>
      </c>
      <c r="F15550" s="23" t="str">
        <f t="shared" si="815"/>
        <v>Выполнение работ по установке охранно-тревожной сигнализации для ГБДОУ детский сад №24 Московского района Санкт-Петербурга в 2019 году</v>
      </c>
      <c r="G15550" s="22" t="s">
        <v>89</v>
      </c>
      <c r="H15550" s="22" t="s">
        <v>89</v>
      </c>
      <c r="I15550" s="26">
        <v>43504</v>
      </c>
      <c r="J15550" s="23" t="str">
        <f>HYPERLINK("https://www.spark-marketing.ru/Card/Person/6344204", "ООО ""ПРОМТЭК""")</f>
        <v>ООО "ПРОМТЭК"</v>
      </c>
      <c r="K15550" s="24" t="s">
        <v>16007</v>
      </c>
      <c r="L15550" s="28" t="s">
        <v>52</v>
      </c>
      <c r="M15550" s="25">
        <v>398248.63</v>
      </c>
      <c r="N15550" s="27">
        <v>0.43321599120581594</v>
      </c>
    </row>
    <row r="15551" spans="1:14" hidden="1" outlineLevel="1" x14ac:dyDescent="0.2">
      <c r="A15551" s="23" t="str">
        <f t="shared" si="814"/>
        <v>ГБДОУ ДЕТСКИЙ САД № 24 МОСКОВСКОГО РАЙОНА САНКТ-ПЕТЕРБУРГА</v>
      </c>
      <c r="B15551" s="24" t="s">
        <v>17843</v>
      </c>
      <c r="C15551" s="25">
        <v>702646.2</v>
      </c>
      <c r="D15551" s="22" t="s">
        <v>17844</v>
      </c>
      <c r="E15551" s="22" t="s">
        <v>59</v>
      </c>
      <c r="F15551" s="23" t="str">
        <f t="shared" si="815"/>
        <v>Выполнение работ по установке охранно-тревожной сигнализации для ГБДОУ детский сад №24 Московского района Санкт-Петербурга в 2019 году</v>
      </c>
      <c r="G15551" s="22" t="s">
        <v>89</v>
      </c>
      <c r="H15551" s="22" t="s">
        <v>89</v>
      </c>
      <c r="I15551" s="26">
        <v>43504</v>
      </c>
      <c r="J15551" s="23" t="str">
        <f>HYPERLINK("https://www.spark-marketing.ru/Card/Person/62135", "ООО ""АРСС""ИЦ""")</f>
        <v>ООО "АРСС"ИЦ"</v>
      </c>
      <c r="K15551" s="24" t="s">
        <v>5973</v>
      </c>
      <c r="L15551" s="28" t="s">
        <v>52</v>
      </c>
      <c r="M15551" s="25">
        <v>247576.64</v>
      </c>
      <c r="N15551" s="27">
        <v>0.64765106535835526</v>
      </c>
    </row>
    <row r="15552" spans="1:14" ht="12.75" hidden="1" outlineLevel="1" x14ac:dyDescent="0.2">
      <c r="A15552" s="23" t="str">
        <f t="shared" si="814"/>
        <v>ГБДОУ ДЕТСКИЙ САД № 24 МОСКОВСКОГО РАЙОНА САНКТ-ПЕТЕРБУРГА</v>
      </c>
      <c r="B15552" s="24" t="s">
        <v>17843</v>
      </c>
      <c r="C15552" s="25">
        <v>702646.2</v>
      </c>
      <c r="D15552" s="22" t="s">
        <v>17844</v>
      </c>
      <c r="E15552" s="22" t="s">
        <v>59</v>
      </c>
      <c r="F15552" s="23" t="str">
        <f t="shared" si="815"/>
        <v>Выполнение работ по установке охранно-тревожной сигнализации для ГБДОУ детский сад №24 Московского района Санкт-Петербурга в 2019 году</v>
      </c>
      <c r="G15552" s="22" t="s">
        <v>89</v>
      </c>
      <c r="H15552" s="22" t="s">
        <v>89</v>
      </c>
      <c r="I15552" s="26">
        <v>43504</v>
      </c>
      <c r="J15552" s="23" t="str">
        <f>HYPERLINK("https://www.spark-marketing.ru/Card/Person/1320492", "ООО ""ГАРАНТ БЕЗОПАСНОСТИ ЛТД""")</f>
        <v>ООО "ГАРАНТ БЕЗОПАСНОСТИ ЛТД"</v>
      </c>
      <c r="K15552" s="24" t="s">
        <v>13147</v>
      </c>
      <c r="L15552" s="22" t="s">
        <v>10</v>
      </c>
      <c r="M15552" s="25">
        <v>244063.41</v>
      </c>
      <c r="N15552" s="27">
        <v>0.65265106393516392</v>
      </c>
    </row>
    <row r="15553" spans="1:14" hidden="1" outlineLevel="1" x14ac:dyDescent="0.2">
      <c r="A15553" s="23" t="str">
        <f t="shared" si="814"/>
        <v>ГБДОУ ДЕТСКИЙ САД № 24 МОСКОВСКОГО РАЙОНА САНКТ-ПЕТЕРБУРГА</v>
      </c>
      <c r="B15553" s="24" t="s">
        <v>17843</v>
      </c>
      <c r="C15553" s="25">
        <v>702646.2</v>
      </c>
      <c r="D15553" s="22" t="s">
        <v>17844</v>
      </c>
      <c r="E15553" s="22" t="s">
        <v>59</v>
      </c>
      <c r="F15553" s="23" t="str">
        <f t="shared" si="815"/>
        <v>Выполнение работ по установке охранно-тревожной сигнализации для ГБДОУ детский сад №24 Московского района Санкт-Петербурга в 2019 году</v>
      </c>
      <c r="G15553" s="22" t="s">
        <v>89</v>
      </c>
      <c r="H15553" s="22" t="s">
        <v>89</v>
      </c>
      <c r="I15553" s="26">
        <v>43504</v>
      </c>
      <c r="J15553" s="23" t="str">
        <f>HYPERLINK("https://www.spark-marketing.ru/Card/Person/6453949", "Алексеев Кирилл Анатольевич")</f>
        <v>Алексеев Кирилл Анатольевич</v>
      </c>
      <c r="K15553" s="24" t="s">
        <v>15575</v>
      </c>
      <c r="L15553" s="28" t="s">
        <v>52</v>
      </c>
      <c r="M15553" s="25">
        <v>440407.39</v>
      </c>
      <c r="N15553" s="27">
        <v>0.37321600828411228</v>
      </c>
    </row>
    <row r="15554" spans="1:14" x14ac:dyDescent="0.15">
      <c r="A15554" s="23" t="str">
        <f>HYPERLINK("https://www.spark-marketing.ru/Card/Person/51009", "ВОСЕМНАДЦАТЫЙ АРБИТРАЖНЫЙ АПЕЛЛЯЦИОННЫЙ СУД")</f>
        <v>ВОСЕМНАДЦАТЫЙ АРБИТРАЖНЫЙ АПЕЛЛЯЦИОННЫЙ СУД</v>
      </c>
      <c r="B15554" s="24" t="s">
        <v>4669</v>
      </c>
      <c r="C15554" s="25">
        <v>51600</v>
      </c>
      <c r="D15554" s="22" t="s">
        <v>17846</v>
      </c>
      <c r="E15554" s="22" t="s">
        <v>68</v>
      </c>
      <c r="F15554" s="23" t="str">
        <f>HYPERLINK("https://www.spark-marketing.ru/Card/Lot/67804762", "Оказание услуг пультовой охраны объекта и экстренный вызов вневедомственной охраны")</f>
        <v>Оказание услуг пультовой охраны объекта и экстренный вызов вневедомственной охраны</v>
      </c>
      <c r="G15554" s="22" t="s">
        <v>60</v>
      </c>
      <c r="H15554" s="22" t="s">
        <v>1683</v>
      </c>
      <c r="I15554" s="26">
        <v>43504</v>
      </c>
      <c r="J15554" s="28" t="s">
        <v>52</v>
      </c>
      <c r="K15554" s="28" t="s">
        <v>52</v>
      </c>
      <c r="L15554" s="28" t="s">
        <v>52</v>
      </c>
      <c r="M15554" s="28" t="s">
        <v>52</v>
      </c>
      <c r="N15554" s="28" t="s">
        <v>52</v>
      </c>
    </row>
    <row r="15555" spans="1:14" x14ac:dyDescent="0.15">
      <c r="A15555" s="23" t="str">
        <f>HYPERLINK("https://www.spark-marketing.ru/Card/Person/17169", "ФГКУ ЦКВГ")</f>
        <v>ФГКУ ЦКВГ</v>
      </c>
      <c r="B15555" s="24" t="s">
        <v>17847</v>
      </c>
      <c r="C15555" s="25">
        <v>743206.65</v>
      </c>
      <c r="D15555" s="22" t="s">
        <v>17848</v>
      </c>
      <c r="E15555" s="22" t="s">
        <v>17849</v>
      </c>
      <c r="F15555" s="23" t="str">
        <f>HYPERLINK("https://www.spark-marketing.ru/Card/Lot/67805872", "Техническое обслуживание теплоэнергоустановок, автоматики регулирования и сигнализации центрального теплового пункта и насосной станции  терапевтического корпуса, бойлерной хирургического корпуса, индивидуального теплового пункта хирургического корпу...")</f>
        <v>Техническое обслуживание теплоэнергоустановок, автоматики регулирования и сигнализации центрального теплового пункта и насосной станции  терапевтического корпуса, бойлерной хирургического корпуса, индивидуального теплового пункта хирургического корпу...</v>
      </c>
      <c r="G15555" s="22" t="s">
        <v>55</v>
      </c>
      <c r="H15555" s="22" t="s">
        <v>55</v>
      </c>
      <c r="I15555" s="26">
        <v>43504</v>
      </c>
      <c r="J15555" s="28" t="s">
        <v>52</v>
      </c>
      <c r="K15555" s="28" t="s">
        <v>52</v>
      </c>
      <c r="L15555" s="28" t="s">
        <v>52</v>
      </c>
      <c r="M15555" s="28" t="s">
        <v>52</v>
      </c>
      <c r="N15555" s="28" t="s">
        <v>52</v>
      </c>
    </row>
    <row r="15556" spans="1:14" x14ac:dyDescent="0.15">
      <c r="A15556" s="23" t="str">
        <f>HYPERLINK("https://www.spark-marketing.ru/Card/Person/34222", "ГБУЗ НО ""ГБ СМП ИМ. М.Ф. ВЛАДИМИРСКОГО""")</f>
        <v>ГБУЗ НО "ГБ СМП ИМ. М.Ф. ВЛАДИМИРСКОГО"</v>
      </c>
      <c r="B15556" s="24" t="s">
        <v>17850</v>
      </c>
      <c r="C15556" s="25">
        <v>151200</v>
      </c>
      <c r="D15556" s="22" t="s">
        <v>17851</v>
      </c>
      <c r="E15556" s="22" t="s">
        <v>68</v>
      </c>
      <c r="F15556" s="23" t="str">
        <f>HYPERLINK("https://www.spark-marketing.ru/Card/Lot/67809553", "Охрана при помощи средств охранной сигнализации, выдающих по каналам связи информацию на системы централизованного наблюдения пункта охраны и контроль за каналом передачи тревожного извещения из зданий, сооружений, помещений и экстренному выезду наря...")</f>
        <v>Охрана при помощи средств охранной сигнализации, выдающих по каналам связи информацию на системы централизованного наблюдения пункта охраны и контроль за каналом передачи тревожного извещения из зданий, сооружений, помещений и экстренному выезду наря...</v>
      </c>
      <c r="G15556" s="22" t="s">
        <v>64</v>
      </c>
      <c r="H15556" s="22" t="s">
        <v>64</v>
      </c>
      <c r="I15556" s="26">
        <v>43504</v>
      </c>
      <c r="J15556" s="28" t="s">
        <v>52</v>
      </c>
      <c r="K15556" s="28" t="s">
        <v>52</v>
      </c>
      <c r="L15556" s="28" t="s">
        <v>52</v>
      </c>
      <c r="M15556" s="28" t="s">
        <v>52</v>
      </c>
      <c r="N15556" s="28" t="s">
        <v>52</v>
      </c>
    </row>
    <row r="15557" spans="1:14" hidden="1" outlineLevel="1" x14ac:dyDescent="0.2">
      <c r="A15557" s="23" t="str">
        <f>HYPERLINK("https://www.spark-marketing.ru/Card/Person/34222", "ГБУЗ НО ""ГБ СМП ИМ. М.Ф. ВЛАДИМИРСКОГО""")</f>
        <v>ГБУЗ НО "ГБ СМП ИМ. М.Ф. ВЛАДИМИРСКОГО"</v>
      </c>
      <c r="B15557" s="24" t="s">
        <v>17850</v>
      </c>
      <c r="C15557" s="25">
        <v>151200</v>
      </c>
      <c r="D15557" s="22" t="s">
        <v>17851</v>
      </c>
      <c r="E15557" s="22" t="s">
        <v>68</v>
      </c>
      <c r="F15557" s="23" t="str">
        <f>HYPERLINK("https://www.spark-marketing.ru/Card/Lot/67809553", "Охрана при помощи средств охранной сигнализации, выдающих по каналам связи информацию на системы централизованного наблюдения пункта охраны и контроль за каналом передачи тревожного извещения из зданий, сооружений, помещений и экстренному выезду наря...")</f>
        <v>Охрана при помощи средств охранной сигнализации, выдающих по каналам связи информацию на системы централизованного наблюдения пункта охраны и контроль за каналом передачи тревожного извещения из зданий, сооружений, помещений и экстренному выезду наря...</v>
      </c>
      <c r="G15557" s="22" t="s">
        <v>64</v>
      </c>
      <c r="H15557" s="22" t="s">
        <v>64</v>
      </c>
      <c r="I15557" s="26">
        <v>43504</v>
      </c>
      <c r="J15557" s="23" t="str">
        <f>HYPERLINK("https://www.spark-marketing.ru/Card/Person/1165498", "ООО ОО ""ЛАЦИО""")</f>
        <v>ООО ОО "ЛАЦИО"</v>
      </c>
      <c r="K15557" s="24" t="s">
        <v>14157</v>
      </c>
      <c r="L15557" s="28" t="s">
        <v>52</v>
      </c>
      <c r="M15557" s="25">
        <v>42336</v>
      </c>
      <c r="N15557" s="27">
        <v>0.72</v>
      </c>
    </row>
    <row r="15558" spans="1:14" ht="12.75" hidden="1" outlineLevel="1" x14ac:dyDescent="0.2">
      <c r="A15558" s="23" t="str">
        <f>HYPERLINK("https://www.spark-marketing.ru/Card/Person/34222", "ГБУЗ НО ""ГБ СМП ИМ. М.Ф. ВЛАДИМИРСКОГО""")</f>
        <v>ГБУЗ НО "ГБ СМП ИМ. М.Ф. ВЛАДИМИРСКОГО"</v>
      </c>
      <c r="B15558" s="24" t="s">
        <v>17850</v>
      </c>
      <c r="C15558" s="25">
        <v>151200</v>
      </c>
      <c r="D15558" s="22" t="s">
        <v>17851</v>
      </c>
      <c r="E15558" s="22" t="s">
        <v>68</v>
      </c>
      <c r="F15558" s="23" t="str">
        <f>HYPERLINK("https://www.spark-marketing.ru/Card/Lot/67809553", "Охрана при помощи средств охранной сигнализации, выдающих по каналам связи информацию на системы централизованного наблюдения пункта охраны и контроль за каналом передачи тревожного извещения из зданий, сооружений, помещений и экстренному выезду наря...")</f>
        <v>Охрана при помощи средств охранной сигнализации, выдающих по каналам связи информацию на системы централизованного наблюдения пункта охраны и контроль за каналом передачи тревожного извещения из зданий, сооружений, помещений и экстренному выезду наря...</v>
      </c>
      <c r="G15558" s="22" t="s">
        <v>64</v>
      </c>
      <c r="H15558" s="22" t="s">
        <v>64</v>
      </c>
      <c r="I15558" s="26">
        <v>43504</v>
      </c>
      <c r="J15558" s="23" t="str">
        <f>HYPERLINK("https://www.spark-marketing.ru/Card/Person/2557914", "ООО ЧОП""БАСТИОН""")</f>
        <v>ООО ЧОП"БАСТИОН"</v>
      </c>
      <c r="K15558" s="24" t="s">
        <v>17852</v>
      </c>
      <c r="L15558" s="22" t="s">
        <v>10</v>
      </c>
      <c r="M15558" s="25">
        <v>41580</v>
      </c>
      <c r="N15558" s="27">
        <v>0.72499999999999998</v>
      </c>
    </row>
    <row r="15559" spans="1:14" x14ac:dyDescent="0.15">
      <c r="A15559" s="23" t="str">
        <f>HYPERLINK("https://www.spark-marketing.ru/Card/Person/5704", "ФГУ ""КВ""")</f>
        <v>ФГУ "КВ"</v>
      </c>
      <c r="B15559" s="24" t="s">
        <v>650</v>
      </c>
      <c r="C15559" s="25">
        <v>20048766.75</v>
      </c>
      <c r="D15559" s="22" t="s">
        <v>17853</v>
      </c>
      <c r="E15559" s="22" t="s">
        <v>68</v>
      </c>
      <c r="F15559" s="23" t="str">
        <f>HYPERLINK("https://www.spark-marketing.ru/Card/Lot/67814890", "Оказание услуг по военизированной охране объектов Федерального государственного бюджетного учреждения «Краснодарское водохранилище»")</f>
        <v>Оказание услуг по военизированной охране объектов Федерального государственного бюджетного учреждения «Краснодарское водохранилище»</v>
      </c>
      <c r="G15559" s="22" t="s">
        <v>132</v>
      </c>
      <c r="H15559" s="22" t="s">
        <v>652</v>
      </c>
      <c r="I15559" s="26">
        <v>43504</v>
      </c>
      <c r="J15559" s="23" t="str">
        <f>HYPERLINK("https://www.spark-marketing.ru/Card/Person/10487", "ФГУП ""ОХРАНА"" РОСГВАРДИИ")</f>
        <v>ФГУП "ОХРАНА" РОСГВАРДИИ</v>
      </c>
      <c r="K15559" s="24" t="s">
        <v>779</v>
      </c>
      <c r="L15559" s="22" t="s">
        <v>10</v>
      </c>
      <c r="M15559" s="28" t="s">
        <v>52</v>
      </c>
      <c r="N15559" s="28" t="s">
        <v>52</v>
      </c>
    </row>
    <row r="15560" spans="1:14" x14ac:dyDescent="0.15">
      <c r="A15560" s="23" t="str">
        <f t="shared" ref="A15560:A15568" si="816">HYPERLINK("https://www.spark-marketing.ru/Card/Person/17095", "ГБУЗ ""ДГП № 133 ДЗМ""")</f>
        <v>ГБУЗ "ДГП № 133 ДЗМ"</v>
      </c>
      <c r="B15560" s="24" t="s">
        <v>15714</v>
      </c>
      <c r="C15560" s="25">
        <v>499456</v>
      </c>
      <c r="D15560" s="22" t="s">
        <v>17854</v>
      </c>
      <c r="E15560" s="22" t="s">
        <v>1013</v>
      </c>
      <c r="F15560" s="23" t="str">
        <f t="shared" ref="F15560:F15568" si="817">HYPERLINK("https://www.spark-marketing.ru/Card/Lot/67797921", "Оказание услуг по круглосуточной пультовой охране на объектах ГБУЗ ""ДГП № 133 ДЗМ""")</f>
        <v>Оказание услуг по круглосуточной пультовой охране на объектах ГБУЗ "ДГП № 133 ДЗМ"</v>
      </c>
      <c r="G15560" s="22" t="s">
        <v>55</v>
      </c>
      <c r="H15560" s="22" t="s">
        <v>55</v>
      </c>
      <c r="I15560" s="26">
        <v>43504</v>
      </c>
      <c r="J15560" s="28" t="s">
        <v>52</v>
      </c>
      <c r="K15560" s="28" t="s">
        <v>52</v>
      </c>
      <c r="L15560" s="28" t="s">
        <v>52</v>
      </c>
      <c r="M15560" s="28" t="s">
        <v>52</v>
      </c>
      <c r="N15560" s="28" t="s">
        <v>52</v>
      </c>
    </row>
    <row r="15561" spans="1:14" hidden="1" outlineLevel="1" x14ac:dyDescent="0.2">
      <c r="A15561" s="23" t="str">
        <f t="shared" si="816"/>
        <v>ГБУЗ "ДГП № 133 ДЗМ"</v>
      </c>
      <c r="B15561" s="24" t="s">
        <v>15714</v>
      </c>
      <c r="C15561" s="25">
        <v>499456</v>
      </c>
      <c r="D15561" s="22" t="s">
        <v>17854</v>
      </c>
      <c r="E15561" s="22" t="s">
        <v>1013</v>
      </c>
      <c r="F15561" s="23" t="str">
        <f t="shared" si="817"/>
        <v>Оказание услуг по круглосуточной пультовой охране на объектах ГБУЗ "ДГП № 133 ДЗМ"</v>
      </c>
      <c r="G15561" s="22" t="s">
        <v>55</v>
      </c>
      <c r="H15561" s="22" t="s">
        <v>55</v>
      </c>
      <c r="I15561" s="26">
        <v>43504</v>
      </c>
      <c r="J15561" s="23" t="str">
        <f>HYPERLINK("https://www.spark-marketing.ru/Card/Person/924391", "ООО ЧОП ""ГРУППА СТРАЙК Р""")</f>
        <v>ООО ЧОП "ГРУППА СТРАЙК Р"</v>
      </c>
      <c r="K15561" s="24" t="s">
        <v>17855</v>
      </c>
      <c r="L15561" s="28" t="s">
        <v>52</v>
      </c>
      <c r="M15561" s="25">
        <v>74502.720000000001</v>
      </c>
      <c r="N15561" s="27">
        <v>0.85083226550486935</v>
      </c>
    </row>
    <row r="15562" spans="1:14" hidden="1" outlineLevel="1" x14ac:dyDescent="0.2">
      <c r="A15562" s="23" t="str">
        <f t="shared" si="816"/>
        <v>ГБУЗ "ДГП № 133 ДЗМ"</v>
      </c>
      <c r="B15562" s="24" t="s">
        <v>15714</v>
      </c>
      <c r="C15562" s="25">
        <v>499456</v>
      </c>
      <c r="D15562" s="22" t="s">
        <v>17854</v>
      </c>
      <c r="E15562" s="22" t="s">
        <v>1013</v>
      </c>
      <c r="F15562" s="23" t="str">
        <f t="shared" si="817"/>
        <v>Оказание услуг по круглосуточной пультовой охране на объектах ГБУЗ "ДГП № 133 ДЗМ"</v>
      </c>
      <c r="G15562" s="22" t="s">
        <v>55</v>
      </c>
      <c r="H15562" s="22" t="s">
        <v>55</v>
      </c>
      <c r="I15562" s="26">
        <v>43504</v>
      </c>
      <c r="J15562" s="23" t="str">
        <f>HYPERLINK("https://www.spark-marketing.ru/Card/Person/102518", "ООО ""ЧОП ""Т-СИСТЕМЫ ОХРАНЫ""")</f>
        <v>ООО "ЧОП "Т-СИСТЕМЫ ОХРАНЫ"</v>
      </c>
      <c r="K15562" s="24" t="s">
        <v>8044</v>
      </c>
      <c r="L15562" s="28" t="s">
        <v>52</v>
      </c>
      <c r="M15562" s="25">
        <v>292181.76000000001</v>
      </c>
      <c r="N15562" s="27">
        <v>0.41499999999999998</v>
      </c>
    </row>
    <row r="15563" spans="1:14" hidden="1" outlineLevel="1" x14ac:dyDescent="0.2">
      <c r="A15563" s="23" t="str">
        <f t="shared" si="816"/>
        <v>ГБУЗ "ДГП № 133 ДЗМ"</v>
      </c>
      <c r="B15563" s="24" t="s">
        <v>15714</v>
      </c>
      <c r="C15563" s="25">
        <v>499456</v>
      </c>
      <c r="D15563" s="22" t="s">
        <v>17854</v>
      </c>
      <c r="E15563" s="22" t="s">
        <v>1013</v>
      </c>
      <c r="F15563" s="23" t="str">
        <f t="shared" si="817"/>
        <v>Оказание услуг по круглосуточной пультовой охране на объектах ГБУЗ "ДГП № 133 ДЗМ"</v>
      </c>
      <c r="G15563" s="22" t="s">
        <v>55</v>
      </c>
      <c r="H15563" s="22" t="s">
        <v>55</v>
      </c>
      <c r="I15563" s="26">
        <v>43504</v>
      </c>
      <c r="J15563" s="23" t="str">
        <f>HYPERLINK("https://www.spark-marketing.ru/Card/Person/1592828", "ООО ЧОП ""АГЕНТСТВО БЕЗОПАСНОСТИ ""ЭСТОК""")</f>
        <v>ООО ЧОП "АГЕНТСТВО БЕЗОПАСНОСТИ "ЭСТОК"</v>
      </c>
      <c r="K15563" s="24" t="s">
        <v>1377</v>
      </c>
      <c r="L15563" s="28" t="s">
        <v>52</v>
      </c>
      <c r="M15563" s="25">
        <v>494461.44</v>
      </c>
      <c r="N15563" s="27">
        <v>0.01</v>
      </c>
    </row>
    <row r="15564" spans="1:14" hidden="1" outlineLevel="1" x14ac:dyDescent="0.2">
      <c r="A15564" s="23" t="str">
        <f t="shared" si="816"/>
        <v>ГБУЗ "ДГП № 133 ДЗМ"</v>
      </c>
      <c r="B15564" s="24" t="s">
        <v>15714</v>
      </c>
      <c r="C15564" s="25">
        <v>499456</v>
      </c>
      <c r="D15564" s="22" t="s">
        <v>17854</v>
      </c>
      <c r="E15564" s="22" t="s">
        <v>1013</v>
      </c>
      <c r="F15564" s="23" t="str">
        <f t="shared" si="817"/>
        <v>Оказание услуг по круглосуточной пультовой охране на объектах ГБУЗ "ДГП № 133 ДЗМ"</v>
      </c>
      <c r="G15564" s="22" t="s">
        <v>55</v>
      </c>
      <c r="H15564" s="22" t="s">
        <v>55</v>
      </c>
      <c r="I15564" s="26">
        <v>43504</v>
      </c>
      <c r="J15564" s="23" t="str">
        <f>HYPERLINK("https://www.spark-marketing.ru/Card/Person/16740", "ООО ""ОХРАННАЯ ОРГАНИЗАЦИЯ ""АН-СЕКЬЮРИТИ ДИРЕКТ""")</f>
        <v>ООО "ОХРАННАЯ ОРГАНИЗАЦИЯ "АН-СЕКЬЮРИТИ ДИРЕКТ"</v>
      </c>
      <c r="K15564" s="24" t="s">
        <v>17856</v>
      </c>
      <c r="L15564" s="28" t="s">
        <v>52</v>
      </c>
      <c r="M15564" s="25">
        <v>155016.32000000001</v>
      </c>
      <c r="N15564" s="27">
        <v>0.68962967708867251</v>
      </c>
    </row>
    <row r="15565" spans="1:14" hidden="1" outlineLevel="1" x14ac:dyDescent="0.2">
      <c r="A15565" s="23" t="str">
        <f t="shared" si="816"/>
        <v>ГБУЗ "ДГП № 133 ДЗМ"</v>
      </c>
      <c r="B15565" s="24" t="s">
        <v>15714</v>
      </c>
      <c r="C15565" s="25">
        <v>499456</v>
      </c>
      <c r="D15565" s="22" t="s">
        <v>17854</v>
      </c>
      <c r="E15565" s="22" t="s">
        <v>1013</v>
      </c>
      <c r="F15565" s="23" t="str">
        <f t="shared" si="817"/>
        <v>Оказание услуг по круглосуточной пультовой охране на объектах ГБУЗ "ДГП № 133 ДЗМ"</v>
      </c>
      <c r="G15565" s="22" t="s">
        <v>55</v>
      </c>
      <c r="H15565" s="22" t="s">
        <v>55</v>
      </c>
      <c r="I15565" s="26">
        <v>43504</v>
      </c>
      <c r="J15565" s="23" t="str">
        <f>HYPERLINK("https://www.spark-marketing.ru/Card/Person/711404", "ООО ОП ""АЛЛИГАТОР-ПУЛЬТОВАЯ ОХРАНА""")</f>
        <v>ООО ОП "АЛЛИГАТОР-ПУЛЬТОВАЯ ОХРАНА"</v>
      </c>
      <c r="K15565" s="24" t="s">
        <v>12933</v>
      </c>
      <c r="L15565" s="28" t="s">
        <v>52</v>
      </c>
      <c r="M15565" s="25">
        <v>119513.60000000001</v>
      </c>
      <c r="N15565" s="27">
        <v>0.76071245515120456</v>
      </c>
    </row>
    <row r="15566" spans="1:14" hidden="1" outlineLevel="1" x14ac:dyDescent="0.2">
      <c r="A15566" s="23" t="str">
        <f t="shared" si="816"/>
        <v>ГБУЗ "ДГП № 133 ДЗМ"</v>
      </c>
      <c r="B15566" s="24" t="s">
        <v>15714</v>
      </c>
      <c r="C15566" s="25">
        <v>499456</v>
      </c>
      <c r="D15566" s="22" t="s">
        <v>17854</v>
      </c>
      <c r="E15566" s="22" t="s">
        <v>1013</v>
      </c>
      <c r="F15566" s="23" t="str">
        <f t="shared" si="817"/>
        <v>Оказание услуг по круглосуточной пультовой охране на объектах ГБУЗ "ДГП № 133 ДЗМ"</v>
      </c>
      <c r="G15566" s="22" t="s">
        <v>55</v>
      </c>
      <c r="H15566" s="22" t="s">
        <v>55</v>
      </c>
      <c r="I15566" s="26">
        <v>43504</v>
      </c>
      <c r="J15566" s="23" t="str">
        <f>HYPERLINK("https://www.spark-marketing.ru/Card/Person/941452", "ООО ЧОО ""ЗАЩИТА""")</f>
        <v>ООО ЧОО "ЗАЩИТА"</v>
      </c>
      <c r="K15566" s="24" t="s">
        <v>12598</v>
      </c>
      <c r="L15566" s="28" t="s">
        <v>52</v>
      </c>
      <c r="M15566" s="25">
        <v>49502.720000000001</v>
      </c>
      <c r="N15566" s="27">
        <v>0.90088672475653508</v>
      </c>
    </row>
    <row r="15567" spans="1:14" hidden="1" outlineLevel="1" x14ac:dyDescent="0.2">
      <c r="A15567" s="23" t="str">
        <f t="shared" si="816"/>
        <v>ГБУЗ "ДГП № 133 ДЗМ"</v>
      </c>
      <c r="B15567" s="24" t="s">
        <v>15714</v>
      </c>
      <c r="C15567" s="25">
        <v>499456</v>
      </c>
      <c r="D15567" s="22" t="s">
        <v>17854</v>
      </c>
      <c r="E15567" s="22" t="s">
        <v>1013</v>
      </c>
      <c r="F15567" s="23" t="str">
        <f t="shared" si="817"/>
        <v>Оказание услуг по круглосуточной пультовой охране на объектах ГБУЗ "ДГП № 133 ДЗМ"</v>
      </c>
      <c r="G15567" s="22" t="s">
        <v>55</v>
      </c>
      <c r="H15567" s="22" t="s">
        <v>55</v>
      </c>
      <c r="I15567" s="26">
        <v>43504</v>
      </c>
      <c r="J15567" s="23" t="str">
        <f>HYPERLINK("https://www.spark-marketing.ru/Card/Person/6470401", "ООО ""ЧОП ""ЛДС-ОХРАНА""")</f>
        <v>ООО "ЧОП "ЛДС-ОХРАНА"</v>
      </c>
      <c r="K15567" s="24" t="s">
        <v>16213</v>
      </c>
      <c r="L15567" s="28" t="s">
        <v>52</v>
      </c>
      <c r="M15567" s="25">
        <v>119513.60000000001</v>
      </c>
      <c r="N15567" s="27">
        <v>0.76071245515120456</v>
      </c>
    </row>
    <row r="15568" spans="1:14" ht="12.75" hidden="1" outlineLevel="1" x14ac:dyDescent="0.2">
      <c r="A15568" s="23" t="str">
        <f t="shared" si="816"/>
        <v>ГБУЗ "ДГП № 133 ДЗМ"</v>
      </c>
      <c r="B15568" s="24" t="s">
        <v>15714</v>
      </c>
      <c r="C15568" s="25">
        <v>499456</v>
      </c>
      <c r="D15568" s="22" t="s">
        <v>17854</v>
      </c>
      <c r="E15568" s="22" t="s">
        <v>1013</v>
      </c>
      <c r="F15568" s="23" t="str">
        <f t="shared" si="817"/>
        <v>Оказание услуг по круглосуточной пультовой охране на объектах ГБУЗ "ДГП № 133 ДЗМ"</v>
      </c>
      <c r="G15568" s="22" t="s">
        <v>55</v>
      </c>
      <c r="H15568" s="22" t="s">
        <v>55</v>
      </c>
      <c r="I15568" s="26">
        <v>43504</v>
      </c>
      <c r="J15568" s="23" t="str">
        <f>HYPERLINK("https://www.spark-marketing.ru/Card/Person/60875", "ООО ЧОП ""ГОЛДЕКС""")</f>
        <v>ООО ЧОП "ГОЛДЕКС"</v>
      </c>
      <c r="K15568" s="24" t="s">
        <v>1378</v>
      </c>
      <c r="L15568" s="22" t="s">
        <v>10</v>
      </c>
      <c r="M15568" s="25">
        <v>47000</v>
      </c>
      <c r="N15568" s="27">
        <v>0.90589761660686829</v>
      </c>
    </row>
    <row r="15569" spans="1:14" x14ac:dyDescent="0.15">
      <c r="A15569" s="23" t="str">
        <f t="shared" ref="A15569:A15579" si="818">HYPERLINK("https://www.spark-marketing.ru/Card/Person/44540", "БУЗОО ""КПТД""")</f>
        <v>БУЗОО "КПТД"</v>
      </c>
      <c r="B15569" s="24" t="s">
        <v>17857</v>
      </c>
      <c r="C15569" s="25">
        <v>178000</v>
      </c>
      <c r="D15569" s="22" t="s">
        <v>17858</v>
      </c>
      <c r="E15569" s="22" t="s">
        <v>107</v>
      </c>
      <c r="F15569" s="23" t="str">
        <f t="shared" ref="F15569:F15579" si="819">HYPERLINK("https://www.spark-marketing.ru/Card/Lot/67806783", "Оказание услуг по техническому обслуживанию системы видеонаблюдения")</f>
        <v>Оказание услуг по техническому обслуживанию системы видеонаблюдения</v>
      </c>
      <c r="G15569" s="22" t="s">
        <v>521</v>
      </c>
      <c r="H15569" s="22" t="s">
        <v>522</v>
      </c>
      <c r="I15569" s="26">
        <v>43504</v>
      </c>
      <c r="J15569" s="28" t="s">
        <v>52</v>
      </c>
      <c r="K15569" s="28" t="s">
        <v>52</v>
      </c>
      <c r="L15569" s="28" t="s">
        <v>52</v>
      </c>
      <c r="M15569" s="28" t="s">
        <v>52</v>
      </c>
      <c r="N15569" s="28" t="s">
        <v>52</v>
      </c>
    </row>
    <row r="15570" spans="1:14" hidden="1" outlineLevel="1" x14ac:dyDescent="0.2">
      <c r="A15570" s="23" t="str">
        <f t="shared" si="818"/>
        <v>БУЗОО "КПТД"</v>
      </c>
      <c r="B15570" s="24" t="s">
        <v>17857</v>
      </c>
      <c r="C15570" s="25">
        <v>178000</v>
      </c>
      <c r="D15570" s="22" t="s">
        <v>17858</v>
      </c>
      <c r="E15570" s="22" t="s">
        <v>107</v>
      </c>
      <c r="F15570" s="23" t="str">
        <f t="shared" si="819"/>
        <v>Оказание услуг по техническому обслуживанию системы видеонаблюдения</v>
      </c>
      <c r="G15570" s="22" t="s">
        <v>521</v>
      </c>
      <c r="H15570" s="22" t="s">
        <v>522</v>
      </c>
      <c r="I15570" s="26">
        <v>43504</v>
      </c>
      <c r="J15570" s="23" t="str">
        <f>HYPERLINK("https://www.spark-marketing.ru/Card/Person/425111", "ООО ""СТАТУС-М""")</f>
        <v>ООО "СТАТУС-М"</v>
      </c>
      <c r="K15570" s="24" t="s">
        <v>17859</v>
      </c>
      <c r="L15570" s="28" t="s">
        <v>52</v>
      </c>
      <c r="M15570" s="25">
        <v>16109</v>
      </c>
      <c r="N15570" s="27">
        <v>0.90949999999999998</v>
      </c>
    </row>
    <row r="15571" spans="1:14" hidden="1" outlineLevel="1" x14ac:dyDescent="0.2">
      <c r="A15571" s="23" t="str">
        <f t="shared" si="818"/>
        <v>БУЗОО "КПТД"</v>
      </c>
      <c r="B15571" s="24" t="s">
        <v>17857</v>
      </c>
      <c r="C15571" s="25">
        <v>178000</v>
      </c>
      <c r="D15571" s="22" t="s">
        <v>17858</v>
      </c>
      <c r="E15571" s="22" t="s">
        <v>107</v>
      </c>
      <c r="F15571" s="23" t="str">
        <f t="shared" si="819"/>
        <v>Оказание услуг по техническому обслуживанию системы видеонаблюдения</v>
      </c>
      <c r="G15571" s="22" t="s">
        <v>521</v>
      </c>
      <c r="H15571" s="22" t="s">
        <v>522</v>
      </c>
      <c r="I15571" s="26">
        <v>43504</v>
      </c>
      <c r="J15571" s="23" t="str">
        <f>HYPERLINK("https://www.spark-marketing.ru/Card/Person/6045879", "ООО ""ПРОФЭНЕРГОСЕРВИС""")</f>
        <v>ООО "ПРОФЭНЕРГОСЕРВИС"</v>
      </c>
      <c r="K15571" s="24" t="s">
        <v>17860</v>
      </c>
      <c r="L15571" s="28" t="s">
        <v>52</v>
      </c>
      <c r="M15571" s="25">
        <v>120000</v>
      </c>
      <c r="N15571" s="27">
        <v>0.3258426966292135</v>
      </c>
    </row>
    <row r="15572" spans="1:14" ht="12.75" hidden="1" outlineLevel="1" x14ac:dyDescent="0.2">
      <c r="A15572" s="23" t="str">
        <f t="shared" si="818"/>
        <v>БУЗОО "КПТД"</v>
      </c>
      <c r="B15572" s="24" t="s">
        <v>17857</v>
      </c>
      <c r="C15572" s="25">
        <v>178000</v>
      </c>
      <c r="D15572" s="22" t="s">
        <v>17858</v>
      </c>
      <c r="E15572" s="22" t="s">
        <v>107</v>
      </c>
      <c r="F15572" s="23" t="str">
        <f t="shared" si="819"/>
        <v>Оказание услуг по техническому обслуживанию системы видеонаблюдения</v>
      </c>
      <c r="G15572" s="22" t="s">
        <v>521</v>
      </c>
      <c r="H15572" s="22" t="s">
        <v>522</v>
      </c>
      <c r="I15572" s="26">
        <v>43504</v>
      </c>
      <c r="J15572" s="23" t="str">
        <f>HYPERLINK("https://www.spark-marketing.ru/Card/Person/6498309", "Кытина Юлия Анатольевна")</f>
        <v>Кытина Юлия Анатольевна</v>
      </c>
      <c r="K15572" s="24" t="s">
        <v>14689</v>
      </c>
      <c r="L15572" s="22" t="s">
        <v>10</v>
      </c>
      <c r="M15572" s="25">
        <v>15219</v>
      </c>
      <c r="N15572" s="27">
        <v>0.91449999999999998</v>
      </c>
    </row>
    <row r="15573" spans="1:14" hidden="1" outlineLevel="1" x14ac:dyDescent="0.2">
      <c r="A15573" s="23" t="str">
        <f t="shared" si="818"/>
        <v>БУЗОО "КПТД"</v>
      </c>
      <c r="B15573" s="24" t="s">
        <v>17857</v>
      </c>
      <c r="C15573" s="25">
        <v>178000</v>
      </c>
      <c r="D15573" s="22" t="s">
        <v>17858</v>
      </c>
      <c r="E15573" s="22" t="s">
        <v>107</v>
      </c>
      <c r="F15573" s="23" t="str">
        <f t="shared" si="819"/>
        <v>Оказание услуг по техническому обслуживанию системы видеонаблюдения</v>
      </c>
      <c r="G15573" s="22" t="s">
        <v>521</v>
      </c>
      <c r="H15573" s="22" t="s">
        <v>522</v>
      </c>
      <c r="I15573" s="26">
        <v>43504</v>
      </c>
      <c r="J15573" s="23" t="str">
        <f>HYPERLINK("https://www.spark-marketing.ru/Card/Person/1423897", "ООО ""СИБИРСКИЙ ЩИТ""")</f>
        <v>ООО "СИБИРСКИЙ ЩИТ"</v>
      </c>
      <c r="K15573" s="24" t="s">
        <v>17861</v>
      </c>
      <c r="L15573" s="28" t="s">
        <v>52</v>
      </c>
      <c r="M15573" s="25">
        <v>89979</v>
      </c>
      <c r="N15573" s="27">
        <v>0.4945</v>
      </c>
    </row>
    <row r="15574" spans="1:14" hidden="1" outlineLevel="1" x14ac:dyDescent="0.2">
      <c r="A15574" s="23" t="str">
        <f t="shared" si="818"/>
        <v>БУЗОО "КПТД"</v>
      </c>
      <c r="B15574" s="24" t="s">
        <v>17857</v>
      </c>
      <c r="C15574" s="25">
        <v>178000</v>
      </c>
      <c r="D15574" s="22" t="s">
        <v>17858</v>
      </c>
      <c r="E15574" s="22" t="s">
        <v>107</v>
      </c>
      <c r="F15574" s="23" t="str">
        <f t="shared" si="819"/>
        <v>Оказание услуг по техническому обслуживанию системы видеонаблюдения</v>
      </c>
      <c r="G15574" s="22" t="s">
        <v>521</v>
      </c>
      <c r="H15574" s="22" t="s">
        <v>522</v>
      </c>
      <c r="I15574" s="26">
        <v>43504</v>
      </c>
      <c r="J15574" s="23" t="str">
        <f>HYPERLINK("https://www.spark-marketing.ru/Card/Person/2500571", "ООО ""СПЕЦТЕХСЕРВИС""")</f>
        <v>ООО "СПЕЦТЕХСЕРВИС"</v>
      </c>
      <c r="K15574" s="24" t="s">
        <v>17862</v>
      </c>
      <c r="L15574" s="28" t="s">
        <v>52</v>
      </c>
      <c r="M15574" s="25">
        <v>133589.51999999999</v>
      </c>
      <c r="N15574" s="27">
        <v>0.24949707865168538</v>
      </c>
    </row>
    <row r="15575" spans="1:14" hidden="1" outlineLevel="1" x14ac:dyDescent="0.2">
      <c r="A15575" s="23" t="str">
        <f t="shared" si="818"/>
        <v>БУЗОО "КПТД"</v>
      </c>
      <c r="B15575" s="24" t="s">
        <v>17857</v>
      </c>
      <c r="C15575" s="25">
        <v>178000</v>
      </c>
      <c r="D15575" s="22" t="s">
        <v>17858</v>
      </c>
      <c r="E15575" s="22" t="s">
        <v>107</v>
      </c>
      <c r="F15575" s="23" t="str">
        <f t="shared" si="819"/>
        <v>Оказание услуг по техническому обслуживанию системы видеонаблюдения</v>
      </c>
      <c r="G15575" s="22" t="s">
        <v>521</v>
      </c>
      <c r="H15575" s="22" t="s">
        <v>522</v>
      </c>
      <c r="I15575" s="26">
        <v>43504</v>
      </c>
      <c r="J15575" s="23" t="str">
        <f>HYPERLINK("https://www.spark-marketing.ru/Card/Person/389549", "ООО ""БЕЗОПАСНОСТЬ""")</f>
        <v>ООО "БЕЗОПАСНОСТЬ"</v>
      </c>
      <c r="K15575" s="24" t="s">
        <v>17863</v>
      </c>
      <c r="L15575" s="28" t="s">
        <v>52</v>
      </c>
      <c r="M15575" s="25">
        <v>48149</v>
      </c>
      <c r="N15575" s="27">
        <v>0.72950000000000004</v>
      </c>
    </row>
    <row r="15576" spans="1:14" hidden="1" outlineLevel="1" x14ac:dyDescent="0.2">
      <c r="A15576" s="23" t="str">
        <f t="shared" si="818"/>
        <v>БУЗОО "КПТД"</v>
      </c>
      <c r="B15576" s="24" t="s">
        <v>17857</v>
      </c>
      <c r="C15576" s="25">
        <v>178000</v>
      </c>
      <c r="D15576" s="22" t="s">
        <v>17858</v>
      </c>
      <c r="E15576" s="22" t="s">
        <v>107</v>
      </c>
      <c r="F15576" s="23" t="str">
        <f t="shared" si="819"/>
        <v>Оказание услуг по техническому обслуживанию системы видеонаблюдения</v>
      </c>
      <c r="G15576" s="22" t="s">
        <v>521</v>
      </c>
      <c r="H15576" s="22" t="s">
        <v>522</v>
      </c>
      <c r="I15576" s="26">
        <v>43504</v>
      </c>
      <c r="J15576" s="23" t="str">
        <f>HYPERLINK("https://www.spark-marketing.ru/Card/Person/4872527", "ООО ""ФОРТОМ""")</f>
        <v>ООО "ФОРТОМ"</v>
      </c>
      <c r="K15576" s="24" t="s">
        <v>17864</v>
      </c>
      <c r="L15576" s="28" t="s">
        <v>52</v>
      </c>
      <c r="M15576" s="25">
        <v>96209</v>
      </c>
      <c r="N15576" s="27">
        <v>0.45950000000000002</v>
      </c>
    </row>
    <row r="15577" spans="1:14" hidden="1" outlineLevel="1" x14ac:dyDescent="0.2">
      <c r="A15577" s="23" t="str">
        <f t="shared" si="818"/>
        <v>БУЗОО "КПТД"</v>
      </c>
      <c r="B15577" s="24" t="s">
        <v>17857</v>
      </c>
      <c r="C15577" s="25">
        <v>178000</v>
      </c>
      <c r="D15577" s="22" t="s">
        <v>17858</v>
      </c>
      <c r="E15577" s="22" t="s">
        <v>107</v>
      </c>
      <c r="F15577" s="23" t="str">
        <f t="shared" si="819"/>
        <v>Оказание услуг по техническому обслуживанию системы видеонаблюдения</v>
      </c>
      <c r="G15577" s="22" t="s">
        <v>521</v>
      </c>
      <c r="H15577" s="22" t="s">
        <v>522</v>
      </c>
      <c r="I15577" s="26">
        <v>43504</v>
      </c>
      <c r="J15577" s="23" t="str">
        <f>HYPERLINK("https://www.spark-marketing.ru/Card/Person/463520", "ООО ""АЛЬФОРТ""")</f>
        <v>ООО "АЛЬФОРТ"</v>
      </c>
      <c r="K15577" s="24" t="s">
        <v>17865</v>
      </c>
      <c r="L15577" s="28" t="s">
        <v>52</v>
      </c>
      <c r="M15577" s="25">
        <v>49929</v>
      </c>
      <c r="N15577" s="27">
        <v>0.71950000000000003</v>
      </c>
    </row>
    <row r="15578" spans="1:14" hidden="1" outlineLevel="1" x14ac:dyDescent="0.2">
      <c r="A15578" s="23" t="str">
        <f t="shared" si="818"/>
        <v>БУЗОО "КПТД"</v>
      </c>
      <c r="B15578" s="24" t="s">
        <v>17857</v>
      </c>
      <c r="C15578" s="25">
        <v>178000</v>
      </c>
      <c r="D15578" s="22" t="s">
        <v>17858</v>
      </c>
      <c r="E15578" s="22" t="s">
        <v>107</v>
      </c>
      <c r="F15578" s="23" t="str">
        <f t="shared" si="819"/>
        <v>Оказание услуг по техническому обслуживанию системы видеонаблюдения</v>
      </c>
      <c r="G15578" s="22" t="s">
        <v>521</v>
      </c>
      <c r="H15578" s="22" t="s">
        <v>522</v>
      </c>
      <c r="I15578" s="26">
        <v>43504</v>
      </c>
      <c r="J15578" s="23" t="str">
        <f>HYPERLINK("https://www.spark-marketing.ru/Card/Person/5951321", "ООО ""АВР""")</f>
        <v>ООО "АВР"</v>
      </c>
      <c r="K15578" s="24" t="s">
        <v>8053</v>
      </c>
      <c r="L15578" s="28" t="s">
        <v>52</v>
      </c>
      <c r="M15578" s="25">
        <v>46331.48</v>
      </c>
      <c r="N15578" s="27">
        <v>0.73971078651685396</v>
      </c>
    </row>
    <row r="15579" spans="1:14" hidden="1" outlineLevel="1" x14ac:dyDescent="0.2">
      <c r="A15579" s="23" t="str">
        <f t="shared" si="818"/>
        <v>БУЗОО "КПТД"</v>
      </c>
      <c r="B15579" s="24" t="s">
        <v>17857</v>
      </c>
      <c r="C15579" s="25">
        <v>178000</v>
      </c>
      <c r="D15579" s="22" t="s">
        <v>17858</v>
      </c>
      <c r="E15579" s="22" t="s">
        <v>107</v>
      </c>
      <c r="F15579" s="23" t="str">
        <f t="shared" si="819"/>
        <v>Оказание услуг по техническому обслуживанию системы видеонаблюдения</v>
      </c>
      <c r="G15579" s="22" t="s">
        <v>521</v>
      </c>
      <c r="H15579" s="22" t="s">
        <v>522</v>
      </c>
      <c r="I15579" s="26">
        <v>43504</v>
      </c>
      <c r="J15579" s="23" t="str">
        <f>HYPERLINK("https://www.spark-marketing.ru/Card/Person/382653", "ООО ""МОДУС ПЛЮС""")</f>
        <v>ООО "МОДУС ПЛЮС"</v>
      </c>
      <c r="K15579" s="24" t="s">
        <v>17866</v>
      </c>
      <c r="L15579" s="28" t="s">
        <v>52</v>
      </c>
      <c r="M15579" s="25">
        <v>46369</v>
      </c>
      <c r="N15579" s="27">
        <v>0.73950000000000005</v>
      </c>
    </row>
    <row r="15580" spans="1:14" x14ac:dyDescent="0.15">
      <c r="A15580" s="23" t="str">
        <f>HYPERLINK("https://www.spark-marketing.ru/Card/Person/135431", "МБДОУ ""ДЕТСКИЙ САД ОБЩЕРАЗВИВАЮЩЕГО ВИДА ""СКАЗКА"" НМР РТ")</f>
        <v>МБДОУ "ДЕТСКИЙ САД ОБЩЕРАЗВИВАЮЩЕГО ВИДА "СКАЗКА" НМР РТ</v>
      </c>
      <c r="B15580" s="24" t="s">
        <v>7052</v>
      </c>
      <c r="C15580" s="25">
        <v>9898.4</v>
      </c>
      <c r="D15580" s="22" t="s">
        <v>17867</v>
      </c>
      <c r="E15580" s="22" t="s">
        <v>53</v>
      </c>
      <c r="F15580" s="23" t="str">
        <f>HYPERLINK("https://www.spark-marketing.ru/Card/Lot/73680674", "Техническое обслуживание системы видеонаблюдения")</f>
        <v>Техническое обслуживание системы видеонаблюдения</v>
      </c>
      <c r="G15580" s="22" t="s">
        <v>204</v>
      </c>
      <c r="H15580" s="22" t="s">
        <v>3467</v>
      </c>
      <c r="I15580" s="26">
        <v>43504.339583333298</v>
      </c>
      <c r="J15580" s="28" t="s">
        <v>52</v>
      </c>
      <c r="K15580" s="28" t="s">
        <v>52</v>
      </c>
      <c r="L15580" s="28" t="s">
        <v>52</v>
      </c>
      <c r="M15580" s="28" t="s">
        <v>52</v>
      </c>
      <c r="N15580" s="28" t="s">
        <v>52</v>
      </c>
    </row>
    <row r="15581" spans="1:14" x14ac:dyDescent="0.15">
      <c r="A15581" s="23" t="str">
        <f>HYPERLINK("https://www.spark-marketing.ru/Card/Person/28614", "МЕЖРАЙОННАЯ ИФНС РОССИИ № 14 ПО ВОРОНЕЖСКОЙ ОБЛАСТИ")</f>
        <v>МЕЖРАЙОННАЯ ИФНС РОССИИ № 14 ПО ВОРОНЕЖСКОЙ ОБЛАСТИ</v>
      </c>
      <c r="B15581" s="24" t="s">
        <v>17835</v>
      </c>
      <c r="C15581" s="25">
        <v>66838.8</v>
      </c>
      <c r="D15581" s="22" t="s">
        <v>17868</v>
      </c>
      <c r="E15581" s="22" t="s">
        <v>68</v>
      </c>
      <c r="F15581" s="23" t="str">
        <f>HYPERLINK("https://www.spark-marketing.ru/Card/Lot/67798652", "сигнал тревога")</f>
        <v>сигнал тревога</v>
      </c>
      <c r="G15581" s="22" t="s">
        <v>552</v>
      </c>
      <c r="H15581" s="22" t="s">
        <v>552</v>
      </c>
      <c r="I15581" s="26">
        <v>43504</v>
      </c>
      <c r="J15581" s="28" t="s">
        <v>52</v>
      </c>
      <c r="K15581" s="28" t="s">
        <v>52</v>
      </c>
      <c r="L15581" s="28" t="s">
        <v>52</v>
      </c>
      <c r="M15581" s="28" t="s">
        <v>52</v>
      </c>
      <c r="N15581" s="28" t="s">
        <v>52</v>
      </c>
    </row>
    <row r="15582" spans="1:14" x14ac:dyDescent="0.15">
      <c r="A15582" s="23" t="str">
        <f>HYPERLINK("https://www.spark-marketing.ru/Card/Person/1081116", "МБДОУ ДЕТСКИЙ САД №2 ""ПОЛЯНКА""")</f>
        <v>МБДОУ ДЕТСКИЙ САД №2 "ПОЛЯНКА"</v>
      </c>
      <c r="B15582" s="24" t="s">
        <v>17869</v>
      </c>
      <c r="C15582" s="25">
        <v>31185</v>
      </c>
      <c r="D15582" s="22" t="s">
        <v>17870</v>
      </c>
      <c r="E15582" s="22" t="s">
        <v>294</v>
      </c>
      <c r="F15582" s="23" t="str">
        <f>HYPERLINK("https://www.spark-marketing.ru/Card/Lot/67787655", "Услуги по техническому обслуживанию видеонаблюдения")</f>
        <v>Услуги по техническому обслуживанию видеонаблюдения</v>
      </c>
      <c r="G15582" s="22" t="s">
        <v>50</v>
      </c>
      <c r="H15582" s="22" t="s">
        <v>2307</v>
      </c>
      <c r="I15582" s="26">
        <v>43503.898645833302</v>
      </c>
      <c r="J15582" s="28" t="s">
        <v>52</v>
      </c>
      <c r="K15582" s="28" t="s">
        <v>52</v>
      </c>
      <c r="L15582" s="28" t="s">
        <v>52</v>
      </c>
      <c r="M15582" s="28" t="s">
        <v>52</v>
      </c>
      <c r="N15582" s="28" t="s">
        <v>52</v>
      </c>
    </row>
    <row r="15583" spans="1:14" x14ac:dyDescent="0.15">
      <c r="A15583" s="23" t="str">
        <f>HYPERLINK("https://www.spark-marketing.ru/Card/Person/101199", "МОУ ""СОШ №11""")</f>
        <v>МОУ "СОШ №11"</v>
      </c>
      <c r="B15583" s="24" t="s">
        <v>17871</v>
      </c>
      <c r="C15583" s="25">
        <v>29880</v>
      </c>
      <c r="D15583" s="22" t="s">
        <v>17872</v>
      </c>
      <c r="E15583" s="22" t="s">
        <v>294</v>
      </c>
      <c r="F15583" s="23" t="str">
        <f>HYPERLINK("https://www.spark-marketing.ru/Card/Lot/67787013", "Оказание услуги по техническому обслуживанию системы видеонаблюдения")</f>
        <v>Оказание услуги по техническому обслуживанию системы видеонаблюдения</v>
      </c>
      <c r="G15583" s="22" t="s">
        <v>50</v>
      </c>
      <c r="H15583" s="22" t="s">
        <v>747</v>
      </c>
      <c r="I15583" s="26">
        <v>43503.804907407401</v>
      </c>
      <c r="J15583" s="28" t="s">
        <v>52</v>
      </c>
      <c r="K15583" s="28" t="s">
        <v>52</v>
      </c>
      <c r="L15583" s="28" t="s">
        <v>52</v>
      </c>
      <c r="M15583" s="28" t="s">
        <v>52</v>
      </c>
      <c r="N15583" s="28" t="s">
        <v>52</v>
      </c>
    </row>
    <row r="15584" spans="1:14" x14ac:dyDescent="0.15">
      <c r="A15584" s="23" t="str">
        <f>HYPERLINK("https://www.spark-marketing.ru/Card/Person/46142", "ГБУ ""АВТОЗАВОДСКИЙ ПНИ""")</f>
        <v>ГБУ "АВТОЗАВОДСКИЙ ПНИ"</v>
      </c>
      <c r="B15584" s="24" t="s">
        <v>13753</v>
      </c>
      <c r="C15584" s="25">
        <v>398</v>
      </c>
      <c r="D15584" s="22" t="s">
        <v>17873</v>
      </c>
      <c r="E15584" s="22" t="s">
        <v>53</v>
      </c>
      <c r="F15584" s="23" t="str">
        <f>HYPERLINK("https://www.spark-marketing.ru/Card/Lot/69645461", "Установка системы видеонаблюдения 30")</f>
        <v>Установка системы видеонаблюдения 30</v>
      </c>
      <c r="G15584" s="22" t="s">
        <v>64</v>
      </c>
      <c r="H15584" s="22" t="s">
        <v>65</v>
      </c>
      <c r="I15584" s="26">
        <v>43503.779166666704</v>
      </c>
      <c r="J15584" s="28" t="s">
        <v>52</v>
      </c>
      <c r="K15584" s="28" t="s">
        <v>52</v>
      </c>
      <c r="L15584" s="28" t="s">
        <v>52</v>
      </c>
      <c r="M15584" s="28" t="s">
        <v>52</v>
      </c>
      <c r="N15584" s="28" t="s">
        <v>52</v>
      </c>
    </row>
    <row r="15585" spans="1:14" x14ac:dyDescent="0.15">
      <c r="A15585" s="23" t="str">
        <f>HYPERLINK("https://www.spark-marketing.ru/Card/Person/34102", "ГКУСО МО ""КОРОЛЕВСКИЙ СРЦН ""ЗАБОТА""")</f>
        <v>ГКУСО МО "КОРОЛЕВСКИЙ СРЦН "ЗАБОТА"</v>
      </c>
      <c r="B15585" s="24" t="s">
        <v>17874</v>
      </c>
      <c r="C15585" s="25">
        <v>61963.199999999997</v>
      </c>
      <c r="D15585" s="22" t="s">
        <v>17875</v>
      </c>
      <c r="E15585" s="22" t="s">
        <v>107</v>
      </c>
      <c r="F15585" s="23" t="str">
        <f>HYPERLINK("https://www.spark-marketing.ru/Card/Lot/67784821", "Услуги по техническому обслуживанию (содержанию) систем охранной (противовзломной) сигнализации в 2019 году")</f>
        <v>Услуги по техническому обслуживанию (содержанию) систем охранной (противовзломной) сигнализации в 2019 году</v>
      </c>
      <c r="G15585" s="22" t="s">
        <v>50</v>
      </c>
      <c r="H15585" s="22" t="s">
        <v>12149</v>
      </c>
      <c r="I15585" s="26">
        <v>43503.746527777803</v>
      </c>
      <c r="J15585" s="28" t="s">
        <v>52</v>
      </c>
      <c r="K15585" s="28" t="s">
        <v>52</v>
      </c>
      <c r="L15585" s="28" t="s">
        <v>52</v>
      </c>
      <c r="M15585" s="28" t="s">
        <v>52</v>
      </c>
      <c r="N15585" s="28" t="s">
        <v>52</v>
      </c>
    </row>
    <row r="15586" spans="1:14" x14ac:dyDescent="0.15">
      <c r="A15586" s="23" t="str">
        <f>HYPERLINK("https://www.spark-marketing.ru/Card/Person/74925", "МБОУ СОШ № 27")</f>
        <v>МБОУ СОШ № 27</v>
      </c>
      <c r="B15586" s="24" t="s">
        <v>17876</v>
      </c>
      <c r="C15586" s="25">
        <v>71500</v>
      </c>
      <c r="D15586" s="22" t="s">
        <v>17877</v>
      </c>
      <c r="E15586" s="22" t="s">
        <v>234</v>
      </c>
      <c r="F15586" s="23" t="str">
        <f>HYPERLINK("https://www.spark-marketing.ru/Card/Lot/67784915", "ТО камер видеонаблюдения (ЕГЭ)")</f>
        <v>ТО камер видеонаблюдения (ЕГЭ)</v>
      </c>
      <c r="G15586" s="22" t="s">
        <v>50</v>
      </c>
      <c r="H15586" s="22" t="s">
        <v>2088</v>
      </c>
      <c r="I15586" s="26">
        <v>43503.737141203703</v>
      </c>
      <c r="J15586" s="28" t="s">
        <v>52</v>
      </c>
      <c r="K15586" s="28" t="s">
        <v>52</v>
      </c>
      <c r="L15586" s="28" t="s">
        <v>52</v>
      </c>
      <c r="M15586" s="28" t="s">
        <v>52</v>
      </c>
      <c r="N15586" s="28" t="s">
        <v>52</v>
      </c>
    </row>
    <row r="15587" spans="1:14" x14ac:dyDescent="0.15">
      <c r="A15587" s="23" t="str">
        <f>HYPERLINK("https://www.spark-marketing.ru/Card/Person/6093", "МБУ ""ЛЕВКОВСКИЙ СДК""")</f>
        <v>МБУ "ЛЕВКОВСКИЙ СДК"</v>
      </c>
      <c r="B15587" s="24" t="s">
        <v>17878</v>
      </c>
      <c r="C15587" s="25">
        <v>31000</v>
      </c>
      <c r="D15587" s="22" t="s">
        <v>17879</v>
      </c>
      <c r="E15587" s="22" t="s">
        <v>107</v>
      </c>
      <c r="F15587" s="23" t="str">
        <f>HYPERLINK("https://www.spark-marketing.ru/Card/Lot/67783691", "Оказание услуг по обслуживанию тревожной кнопки")</f>
        <v>Оказание услуг по обслуживанию тревожной кнопки</v>
      </c>
      <c r="G15587" s="22" t="s">
        <v>50</v>
      </c>
      <c r="H15587" s="22" t="s">
        <v>76</v>
      </c>
      <c r="I15587" s="26">
        <v>43503.712094907401</v>
      </c>
      <c r="J15587" s="28" t="s">
        <v>52</v>
      </c>
      <c r="K15587" s="28" t="s">
        <v>52</v>
      </c>
      <c r="L15587" s="28" t="s">
        <v>52</v>
      </c>
      <c r="M15587" s="28" t="s">
        <v>52</v>
      </c>
      <c r="N15587" s="28" t="s">
        <v>52</v>
      </c>
    </row>
    <row r="15588" spans="1:14" x14ac:dyDescent="0.15">
      <c r="A15588" s="23" t="str">
        <f>HYPERLINK("https://www.spark-marketing.ru/Card/Person/1481391", "МАУ ""СК ""УРАЛ""")</f>
        <v>МАУ "СК "УРАЛ"</v>
      </c>
      <c r="B15588" s="24" t="s">
        <v>17880</v>
      </c>
      <c r="C15588" s="25">
        <v>178800</v>
      </c>
      <c r="D15588" s="22" t="s">
        <v>17881</v>
      </c>
      <c r="E15588" s="22" t="s">
        <v>562</v>
      </c>
      <c r="F15588" s="23" t="str">
        <f>HYPERLINK("https://www.spark-marketing.ru/Card/Lot/67774117", "видеонаблюдение стадиона")</f>
        <v>видеонаблюдение стадиона</v>
      </c>
      <c r="G15588" s="22" t="s">
        <v>72</v>
      </c>
      <c r="H15588" s="22" t="s">
        <v>72</v>
      </c>
      <c r="I15588" s="26">
        <v>43503.6818055556</v>
      </c>
      <c r="J15588" s="28" t="s">
        <v>52</v>
      </c>
      <c r="K15588" s="28" t="s">
        <v>52</v>
      </c>
      <c r="L15588" s="28" t="s">
        <v>52</v>
      </c>
      <c r="M15588" s="28" t="s">
        <v>52</v>
      </c>
      <c r="N15588" s="28" t="s">
        <v>52</v>
      </c>
    </row>
    <row r="15589" spans="1:14" x14ac:dyDescent="0.15">
      <c r="A15589" s="23" t="str">
        <f>HYPERLINK("https://www.spark-marketing.ru/Card/Person/1763830", "АОУ ДЕТСКИЙ САД № 19")</f>
        <v>АОУ ДЕТСКИЙ САД № 19</v>
      </c>
      <c r="B15589" s="24" t="s">
        <v>17882</v>
      </c>
      <c r="C15589" s="25">
        <v>58380</v>
      </c>
      <c r="D15589" s="22" t="s">
        <v>17883</v>
      </c>
      <c r="E15589" s="22" t="s">
        <v>294</v>
      </c>
      <c r="F15589" s="23" t="str">
        <f>HYPERLINK("https://www.spark-marketing.ru/Card/Lot/67781490", "Услуги по техническому обслуживанию системы видео-наблюдения на 2019 год.")</f>
        <v>Услуги по техническому обслуживанию системы видео-наблюдения на 2019 год.</v>
      </c>
      <c r="G15589" s="22" t="s">
        <v>50</v>
      </c>
      <c r="H15589" s="22" t="s">
        <v>3866</v>
      </c>
      <c r="I15589" s="26">
        <v>43503.659421296303</v>
      </c>
      <c r="J15589" s="28" t="s">
        <v>52</v>
      </c>
      <c r="K15589" s="28" t="s">
        <v>52</v>
      </c>
      <c r="L15589" s="28" t="s">
        <v>52</v>
      </c>
      <c r="M15589" s="28" t="s">
        <v>52</v>
      </c>
      <c r="N15589" s="28" t="s">
        <v>52</v>
      </c>
    </row>
    <row r="15590" spans="1:14" x14ac:dyDescent="0.15">
      <c r="A15590" s="23" t="str">
        <f>HYPERLINK("https://www.spark-marketing.ru/Card/Person/495065", "ОГАПОУ ""СМК""")</f>
        <v>ОГАПОУ "СМК"</v>
      </c>
      <c r="B15590" s="24" t="s">
        <v>17884</v>
      </c>
      <c r="C15590" s="25">
        <v>1217635.2</v>
      </c>
      <c r="D15590" s="22" t="s">
        <v>17885</v>
      </c>
      <c r="E15590" s="22" t="s">
        <v>144</v>
      </c>
      <c r="F15590" s="23" t="str">
        <f>HYPERLINK("https://www.spark-marketing.ru/Card/Lot/67780920", "Оказание услуг по охране объектов (круглосуточная охрана)")</f>
        <v>Оказание услуг по охране объектов (круглосуточная охрана)</v>
      </c>
      <c r="G15590" s="22" t="s">
        <v>176</v>
      </c>
      <c r="H15590" s="22" t="s">
        <v>176</v>
      </c>
      <c r="I15590" s="26">
        <v>43503.646342592598</v>
      </c>
      <c r="J15590" s="28" t="s">
        <v>52</v>
      </c>
      <c r="K15590" s="28" t="s">
        <v>52</v>
      </c>
      <c r="L15590" s="28" t="s">
        <v>52</v>
      </c>
      <c r="M15590" s="28" t="s">
        <v>52</v>
      </c>
      <c r="N15590" s="28" t="s">
        <v>52</v>
      </c>
    </row>
    <row r="15591" spans="1:14" hidden="1" outlineLevel="1" x14ac:dyDescent="0.15">
      <c r="A15591" s="23" t="str">
        <f>HYPERLINK("https://www.spark-marketing.ru/Card/Person/495065", "ОГАПОУ ""СМК""")</f>
        <v>ОГАПОУ "СМК"</v>
      </c>
      <c r="B15591" s="24" t="s">
        <v>17884</v>
      </c>
      <c r="C15591" s="28" t="s">
        <v>52</v>
      </c>
      <c r="D15591" s="22" t="s">
        <v>17885</v>
      </c>
      <c r="E15591" s="22" t="s">
        <v>144</v>
      </c>
      <c r="F15591" s="23" t="str">
        <f>HYPERLINK("https://www.spark-marketing.ru/Card/Lot/67780920", "Оказание услуг по охране объектов (круглосуточная охрана)")</f>
        <v>Оказание услуг по охране объектов (круглосуточная охрана)</v>
      </c>
      <c r="G15591" s="22" t="s">
        <v>176</v>
      </c>
      <c r="H15591" s="22" t="s">
        <v>176</v>
      </c>
      <c r="I15591" s="26">
        <v>43503.646342592598</v>
      </c>
      <c r="J15591" s="23" t="str">
        <f>HYPERLINK("https://www.spark-marketing.ru/Card/Person/515945", "ООО ЧОО ""ПАТРУЛЬ""")</f>
        <v>ООО ЧОО "ПАТРУЛЬ"</v>
      </c>
      <c r="K15591" s="24" t="s">
        <v>17886</v>
      </c>
      <c r="L15591" s="28" t="s">
        <v>52</v>
      </c>
      <c r="M15591" s="28" t="s">
        <v>52</v>
      </c>
      <c r="N15591" s="28" t="s">
        <v>52</v>
      </c>
    </row>
    <row r="15592" spans="1:14" hidden="1" outlineLevel="1" x14ac:dyDescent="0.2">
      <c r="A15592" s="23" t="str">
        <f>HYPERLINK("https://www.spark-marketing.ru/Card/Person/495065", "ОГАПОУ ""СМК""")</f>
        <v>ОГАПОУ "СМК"</v>
      </c>
      <c r="B15592" s="24" t="s">
        <v>17884</v>
      </c>
      <c r="C15592" s="28" t="s">
        <v>52</v>
      </c>
      <c r="D15592" s="22" t="s">
        <v>17885</v>
      </c>
      <c r="E15592" s="22" t="s">
        <v>144</v>
      </c>
      <c r="F15592" s="23" t="str">
        <f>HYPERLINK("https://www.spark-marketing.ru/Card/Lot/67780920", "Оказание услуг по охране объектов (круглосуточная охрана)")</f>
        <v>Оказание услуг по охране объектов (круглосуточная охрана)</v>
      </c>
      <c r="G15592" s="22" t="s">
        <v>176</v>
      </c>
      <c r="H15592" s="22" t="s">
        <v>176</v>
      </c>
      <c r="I15592" s="26">
        <v>43503.646342592598</v>
      </c>
      <c r="J15592" s="23" t="str">
        <f>HYPERLINK("https://www.spark-marketing.ru/Card/Person/262877", "ООО ЧОО ""СЛУЖБА БЕЗОПАСНОСТИ""")</f>
        <v>ООО ЧОО "СЛУЖБА БЕЗОПАСНОСТИ"</v>
      </c>
      <c r="K15592" s="24" t="s">
        <v>17887</v>
      </c>
      <c r="L15592" s="28" t="s">
        <v>52</v>
      </c>
      <c r="M15592" s="25">
        <v>1217635.2</v>
      </c>
      <c r="N15592" s="27">
        <v>0</v>
      </c>
    </row>
    <row r="15593" spans="1:14" x14ac:dyDescent="0.15">
      <c r="A15593" s="23" t="str">
        <f>HYPERLINK("https://www.spark-marketing.ru/Card/Person/1042603", "ИФНС РОССИИ ПО Г. ВОЛЖСКОМУ ВОЛГОГРАДСКОЙ ОБЛАСТИ")</f>
        <v>ИФНС РОССИИ ПО Г. ВОЛЖСКОМУ ВОЛГОГРАДСКОЙ ОБЛАСТИ</v>
      </c>
      <c r="B15593" s="24" t="s">
        <v>17888</v>
      </c>
      <c r="C15593" s="25">
        <v>80974.5</v>
      </c>
      <c r="D15593" s="22" t="s">
        <v>17889</v>
      </c>
      <c r="E15593" s="22" t="s">
        <v>53</v>
      </c>
      <c r="F15593" s="23" t="str">
        <f>HYPERLINK("https://www.spark-marketing.ru/Card/Lot/70798493", "Техническое обслуживание охранной сигнализации")</f>
        <v>Техническое обслуживание охранной сигнализации</v>
      </c>
      <c r="G15593" s="22" t="s">
        <v>343</v>
      </c>
      <c r="H15593" s="22" t="s">
        <v>2599</v>
      </c>
      <c r="I15593" s="26">
        <v>43503.656134259298</v>
      </c>
      <c r="J15593" s="28" t="s">
        <v>52</v>
      </c>
      <c r="K15593" s="28" t="s">
        <v>52</v>
      </c>
      <c r="L15593" s="28" t="s">
        <v>52</v>
      </c>
      <c r="M15593" s="28" t="s">
        <v>52</v>
      </c>
      <c r="N15593" s="28" t="s">
        <v>52</v>
      </c>
    </row>
    <row r="15594" spans="1:14" x14ac:dyDescent="0.15">
      <c r="A15594" s="23" t="str">
        <f>HYPERLINK("https://www.spark-marketing.ru/Card/Person/54749", "ГКУЗ МО ""ВИДНОВСКИЙ СПЕЦИАЛИЗИРОВАННЫЙ ДОМ РЕБЕНКА""")</f>
        <v>ГКУЗ МО "ВИДНОВСКИЙ СПЕЦИАЛИЗИРОВАННЫЙ ДОМ РЕБЕНКА"</v>
      </c>
      <c r="B15594" s="24" t="s">
        <v>17890</v>
      </c>
      <c r="C15594" s="25">
        <v>31152</v>
      </c>
      <c r="D15594" s="22" t="s">
        <v>17891</v>
      </c>
      <c r="E15594" s="22" t="s">
        <v>107</v>
      </c>
      <c r="F15594" s="23" t="str">
        <f>HYPERLINK("https://www.spark-marketing.ru/Card/Lot/67781315", "Техническое обслуживание тревожной кнопки")</f>
        <v>Техническое обслуживание тревожной кнопки</v>
      </c>
      <c r="G15594" s="22" t="s">
        <v>50</v>
      </c>
      <c r="H15594" s="22" t="s">
        <v>2391</v>
      </c>
      <c r="I15594" s="26">
        <v>43503.638217592597</v>
      </c>
      <c r="J15594" s="28" t="s">
        <v>52</v>
      </c>
      <c r="K15594" s="28" t="s">
        <v>52</v>
      </c>
      <c r="L15594" s="28" t="s">
        <v>52</v>
      </c>
      <c r="M15594" s="28" t="s">
        <v>52</v>
      </c>
      <c r="N15594" s="28" t="s">
        <v>52</v>
      </c>
    </row>
    <row r="15595" spans="1:14" x14ac:dyDescent="0.15">
      <c r="A15595" s="23" t="str">
        <f>HYPERLINK("https://www.spark-marketing.ru/Card/Person/153996", "МБДОУ ""ДЕТСКИЙ САД № 52"" Г.ЧЕБОКСАРЫ")</f>
        <v>МБДОУ "ДЕТСКИЙ САД № 52" Г.ЧЕБОКСАРЫ</v>
      </c>
      <c r="B15595" s="24" t="s">
        <v>17892</v>
      </c>
      <c r="C15595" s="25">
        <v>3333.55</v>
      </c>
      <c r="D15595" s="22" t="s">
        <v>17893</v>
      </c>
      <c r="E15595" s="22" t="s">
        <v>59</v>
      </c>
      <c r="F15595" s="23" t="str">
        <f>HYPERLINK("https://www.spark-marketing.ru/Card/Lot/67778745", "оказание услуг по техническому обслуживанию средств тревожной сигнализации")</f>
        <v>оказание услуг по техническому обслуживанию средств тревожной сигнализации</v>
      </c>
      <c r="G15595" s="22" t="s">
        <v>1137</v>
      </c>
      <c r="H15595" s="22" t="s">
        <v>1138</v>
      </c>
      <c r="I15595" s="26">
        <v>43503.664583333302</v>
      </c>
      <c r="J15595" s="28" t="s">
        <v>52</v>
      </c>
      <c r="K15595" s="28" t="s">
        <v>52</v>
      </c>
      <c r="L15595" s="28" t="s">
        <v>52</v>
      </c>
      <c r="M15595" s="28" t="s">
        <v>52</v>
      </c>
      <c r="N15595" s="28" t="s">
        <v>52</v>
      </c>
    </row>
    <row r="15596" spans="1:14" x14ac:dyDescent="0.15">
      <c r="A15596" s="23" t="str">
        <f>HYPERLINK("https://www.spark-marketing.ru/Card/Person/53216", "МОУ ДОД ""ДМШ""")</f>
        <v>МОУ ДОД "ДМШ"</v>
      </c>
      <c r="B15596" s="24" t="s">
        <v>17894</v>
      </c>
      <c r="C15596" s="25">
        <v>20000</v>
      </c>
      <c r="D15596" s="22" t="s">
        <v>17895</v>
      </c>
      <c r="E15596" s="22" t="s">
        <v>103</v>
      </c>
      <c r="F15596" s="23" t="str">
        <f>HYPERLINK("https://www.spark-marketing.ru/Card/Lot/67771890", "Оказание услуг по техническому обслуживанию системы видеонаблюдения для нужд МОУ ДОД ""ДМШ""")</f>
        <v>Оказание услуг по техническому обслуживанию системы видеонаблюдения для нужд МОУ ДОД "ДМШ"</v>
      </c>
      <c r="G15596" s="22" t="s">
        <v>50</v>
      </c>
      <c r="H15596" s="22" t="s">
        <v>15217</v>
      </c>
      <c r="I15596" s="26">
        <v>43503.586597222202</v>
      </c>
      <c r="J15596" s="28" t="s">
        <v>52</v>
      </c>
      <c r="K15596" s="28" t="s">
        <v>52</v>
      </c>
      <c r="L15596" s="28" t="s">
        <v>52</v>
      </c>
      <c r="M15596" s="28" t="s">
        <v>52</v>
      </c>
      <c r="N15596" s="28" t="s">
        <v>52</v>
      </c>
    </row>
    <row r="15597" spans="1:14" x14ac:dyDescent="0.15">
      <c r="A15597" s="23" t="str">
        <f>HYPERLINK("https://www.spark-marketing.ru/Card/Person/116067", "ГБУСОН РО ""ВЕРХНЕСВЕЧНИКОВСКИЙ ДИПИ""")</f>
        <v>ГБУСОН РО "ВЕРХНЕСВЕЧНИКОВСКИЙ ДИПИ"</v>
      </c>
      <c r="B15597" s="24" t="s">
        <v>17896</v>
      </c>
      <c r="C15597" s="25">
        <v>9600</v>
      </c>
      <c r="D15597" s="22" t="s">
        <v>17897</v>
      </c>
      <c r="E15597" s="22" t="s">
        <v>1297</v>
      </c>
      <c r="F15597" s="23" t="str">
        <f>HYPERLINK("https://www.spark-marketing.ru/Card/Lot/67771904", "услуги по техническому обслуживанию системы видеонаблюдения в здании Верхнесвечниковского ДИПИ")</f>
        <v>услуги по техническому обслуживанию системы видеонаблюдения в здании Верхнесвечниковского ДИПИ</v>
      </c>
      <c r="G15597" s="22" t="s">
        <v>402</v>
      </c>
      <c r="H15597" s="22" t="s">
        <v>6699</v>
      </c>
      <c r="I15597" s="26">
        <v>43503.583333333299</v>
      </c>
      <c r="J15597" s="28" t="s">
        <v>52</v>
      </c>
      <c r="K15597" s="28" t="s">
        <v>52</v>
      </c>
      <c r="L15597" s="28" t="s">
        <v>52</v>
      </c>
      <c r="M15597" s="28" t="s">
        <v>52</v>
      </c>
      <c r="N15597" s="28" t="s">
        <v>52</v>
      </c>
    </row>
    <row r="15598" spans="1:14" x14ac:dyDescent="0.15">
      <c r="A15598" s="23" t="str">
        <f>HYPERLINK("https://www.spark-marketing.ru/Card/Person/1081831", "ГАПОУ НСО ""КАРАСУКСКИЙ ПОЛИТЕХНИЧЕСКИЙ ЛИЦЕЙ""")</f>
        <v>ГАПОУ НСО "КАРАСУКСКИЙ ПОЛИТЕХНИЧЕСКИЙ ЛИЦЕЙ"</v>
      </c>
      <c r="B15598" s="24" t="s">
        <v>17898</v>
      </c>
      <c r="C15598" s="25">
        <v>24196</v>
      </c>
      <c r="D15598" s="22" t="s">
        <v>17899</v>
      </c>
      <c r="E15598" s="22" t="s">
        <v>370</v>
      </c>
      <c r="F15598" s="23" t="str">
        <f>HYPERLINK("https://www.spark-marketing.ru/Card/Lot/67769054", "техническое обслуживание системы видеонаблюдения")</f>
        <v>техническое обслуживание системы видеонаблюдения</v>
      </c>
      <c r="G15598" s="22" t="s">
        <v>209</v>
      </c>
      <c r="H15598" s="22" t="s">
        <v>209</v>
      </c>
      <c r="I15598" s="26">
        <v>43503.603321759299</v>
      </c>
      <c r="J15598" s="28" t="s">
        <v>52</v>
      </c>
      <c r="K15598" s="28" t="s">
        <v>52</v>
      </c>
      <c r="L15598" s="28" t="s">
        <v>52</v>
      </c>
      <c r="M15598" s="28" t="s">
        <v>52</v>
      </c>
      <c r="N15598" s="28" t="s">
        <v>52</v>
      </c>
    </row>
    <row r="15599" spans="1:14" hidden="1" outlineLevel="1" x14ac:dyDescent="0.2">
      <c r="A15599" s="23" t="str">
        <f>HYPERLINK("https://www.spark-marketing.ru/Card/Person/1081831", "ГАПОУ НСО ""КАРАСУКСКИЙ ПОЛИТЕХНИЧЕСКИЙ ЛИЦЕЙ""")</f>
        <v>ГАПОУ НСО "КАРАСУКСКИЙ ПОЛИТЕХНИЧЕСКИЙ ЛИЦЕЙ"</v>
      </c>
      <c r="B15599" s="24" t="s">
        <v>17898</v>
      </c>
      <c r="C15599" s="28" t="s">
        <v>52</v>
      </c>
      <c r="D15599" s="22" t="s">
        <v>17899</v>
      </c>
      <c r="E15599" s="22" t="s">
        <v>370</v>
      </c>
      <c r="F15599" s="23" t="str">
        <f>HYPERLINK("https://www.spark-marketing.ru/Card/Lot/67769054", "техническое обслуживание системы видеонаблюдения")</f>
        <v>техническое обслуживание системы видеонаблюдения</v>
      </c>
      <c r="G15599" s="22" t="s">
        <v>209</v>
      </c>
      <c r="H15599" s="22" t="s">
        <v>209</v>
      </c>
      <c r="I15599" s="26">
        <v>43503.603321759299</v>
      </c>
      <c r="J15599" s="23" t="str">
        <f>HYPERLINK("https://www.spark-marketing.ru/Card/Person/235335", "ООО""МВС""")</f>
        <v>ООО"МВС"</v>
      </c>
      <c r="K15599" s="24" t="s">
        <v>8482</v>
      </c>
      <c r="L15599" s="28" t="s">
        <v>52</v>
      </c>
      <c r="M15599" s="25">
        <v>10700</v>
      </c>
      <c r="N15599" s="27">
        <v>0.55777814514795832</v>
      </c>
    </row>
    <row r="15600" spans="1:14" hidden="1" outlineLevel="1" x14ac:dyDescent="0.2">
      <c r="A15600" s="23" t="str">
        <f>HYPERLINK("https://www.spark-marketing.ru/Card/Person/1081831", "ГАПОУ НСО ""КАРАСУКСКИЙ ПОЛИТЕХНИЧЕСКИЙ ЛИЦЕЙ""")</f>
        <v>ГАПОУ НСО "КАРАСУКСКИЙ ПОЛИТЕХНИЧЕСКИЙ ЛИЦЕЙ"</v>
      </c>
      <c r="B15600" s="24" t="s">
        <v>17898</v>
      </c>
      <c r="C15600" s="28" t="s">
        <v>52</v>
      </c>
      <c r="D15600" s="22" t="s">
        <v>17899</v>
      </c>
      <c r="E15600" s="22" t="s">
        <v>370</v>
      </c>
      <c r="F15600" s="23" t="str">
        <f>HYPERLINK("https://www.spark-marketing.ru/Card/Lot/67769054", "техническое обслуживание системы видеонаблюдения")</f>
        <v>техническое обслуживание системы видеонаблюдения</v>
      </c>
      <c r="G15600" s="22" t="s">
        <v>209</v>
      </c>
      <c r="H15600" s="22" t="s">
        <v>209</v>
      </c>
      <c r="I15600" s="26">
        <v>43503.603321759299</v>
      </c>
      <c r="J15600" s="23" t="str">
        <f>HYPERLINK("https://www.spark-marketing.ru/Card/Person/381110", "МУП ""КОМАВТО"" КАРАСУКСКОГО РАЙОНА")</f>
        <v>МУП "КОМАВТО" КАРАСУКСКОГО РАЙОНА</v>
      </c>
      <c r="K15600" s="24" t="s">
        <v>17900</v>
      </c>
      <c r="L15600" s="28" t="s">
        <v>52</v>
      </c>
      <c r="M15600" s="25">
        <v>19988</v>
      </c>
      <c r="N15600" s="27">
        <v>0.17391304347826086</v>
      </c>
    </row>
    <row r="15601" spans="1:14" x14ac:dyDescent="0.15">
      <c r="A15601" s="23" t="str">
        <f>HYPERLINK("https://www.spark-marketing.ru/Card/Person/1023550", "МБУДО ""ДШИ ПОС. РАЗВИЛКА""")</f>
        <v>МБУДО "ДШИ ПОС. РАЗВИЛКА"</v>
      </c>
      <c r="B15601" s="24" t="s">
        <v>17901</v>
      </c>
      <c r="C15601" s="25">
        <v>34300</v>
      </c>
      <c r="D15601" s="22" t="s">
        <v>17902</v>
      </c>
      <c r="E15601" s="22" t="s">
        <v>107</v>
      </c>
      <c r="F15601" s="23" t="str">
        <f>HYPERLINK("https://www.spark-marketing.ru/Card/Lot/67774209", "на оказание услуг по обеспечению работоспособности каналов передачи сообщений комплекса технических средств охраны (системы тревожной сигнализации) и объектовой приемо-передающей аппаратуры")</f>
        <v>на оказание услуг по обеспечению работоспособности каналов передачи сообщений комплекса технических средств охраны (системы тревожной сигнализации) и объектовой приемо-передающей аппаратуры</v>
      </c>
      <c r="G15601" s="22" t="s">
        <v>50</v>
      </c>
      <c r="H15601" s="22" t="s">
        <v>2391</v>
      </c>
      <c r="I15601" s="26">
        <v>43503.597696759301</v>
      </c>
      <c r="J15601" s="28" t="s">
        <v>52</v>
      </c>
      <c r="K15601" s="28" t="s">
        <v>52</v>
      </c>
      <c r="L15601" s="28" t="s">
        <v>52</v>
      </c>
      <c r="M15601" s="28" t="s">
        <v>52</v>
      </c>
      <c r="N15601" s="28" t="s">
        <v>52</v>
      </c>
    </row>
    <row r="15602" spans="1:14" x14ac:dyDescent="0.15">
      <c r="A15602" s="23" t="str">
        <f>HYPERLINK("https://www.spark-marketing.ru/Card/Person/16317", "ФГБОУ ВО ""МГТУ"", МГТУ, МАЙКОПСКИЙ ГОСУДАРСТВЕННЫЙ ТЕХНОЛОГИЧЕСКИЙ УНИВЕРСИТЕТ")</f>
        <v>ФГБОУ ВО "МГТУ", МГТУ, МАЙКОПСКИЙ ГОСУДАРСТВЕННЫЙ ТЕХНОЛОГИЧЕСКИЙ УНИВЕРСИТЕТ</v>
      </c>
      <c r="B15602" s="24" t="s">
        <v>1545</v>
      </c>
      <c r="C15602" s="25">
        <v>558933.32999999996</v>
      </c>
      <c r="D15602" s="22" t="s">
        <v>17903</v>
      </c>
      <c r="E15602" s="22" t="s">
        <v>49</v>
      </c>
      <c r="F15602" s="23" t="str">
        <f>HYPERLINK("https://www.spark-marketing.ru/Card/Lot/67774032", "Выполнение работ по установке системы цифрового видеонаблюдения на объекте ФГБОУ ВО «МГТУ»")</f>
        <v>Выполнение работ по установке системы цифрового видеонаблюдения на объекте ФГБОУ ВО «МГТУ»</v>
      </c>
      <c r="G15602" s="22" t="s">
        <v>1547</v>
      </c>
      <c r="H15602" s="22" t="s">
        <v>1547</v>
      </c>
      <c r="I15602" s="26">
        <v>43503.608668981498</v>
      </c>
      <c r="J15602" s="28" t="s">
        <v>52</v>
      </c>
      <c r="K15602" s="28" t="s">
        <v>52</v>
      </c>
      <c r="L15602" s="28" t="s">
        <v>52</v>
      </c>
      <c r="M15602" s="28" t="s">
        <v>52</v>
      </c>
      <c r="N15602" s="28" t="s">
        <v>52</v>
      </c>
    </row>
    <row r="15603" spans="1:14" hidden="1" outlineLevel="1" x14ac:dyDescent="0.15">
      <c r="A15603" s="23" t="str">
        <f>HYPERLINK("https://www.spark-marketing.ru/Card/Person/16317", "ФГБОУ ВО ""МГТУ"", МГТУ, МАЙКОПСКИЙ ГОСУДАРСТВЕННЫЙ ТЕХНОЛОГИЧЕСКИЙ УНИВЕРСИТЕТ")</f>
        <v>ФГБОУ ВО "МГТУ", МГТУ, МАЙКОПСКИЙ ГОСУДАРСТВЕННЫЙ ТЕХНОЛОГИЧЕСКИЙ УНИВЕРСИТЕТ</v>
      </c>
      <c r="B15603" s="24" t="s">
        <v>1545</v>
      </c>
      <c r="C15603" s="28" t="s">
        <v>52</v>
      </c>
      <c r="D15603" s="22" t="s">
        <v>17903</v>
      </c>
      <c r="E15603" s="22" t="s">
        <v>49</v>
      </c>
      <c r="F15603" s="23" t="str">
        <f>HYPERLINK("https://www.spark-marketing.ru/Card/Lot/67774032", "Выполнение работ по установке системы цифрового видеонаблюдения на объекте ФГБОУ ВО «МГТУ»")</f>
        <v>Выполнение работ по установке системы цифрового видеонаблюдения на объекте ФГБОУ ВО «МГТУ»</v>
      </c>
      <c r="G15603" s="22" t="s">
        <v>1547</v>
      </c>
      <c r="H15603" s="22" t="s">
        <v>1547</v>
      </c>
      <c r="I15603" s="26">
        <v>43503.608668981498</v>
      </c>
      <c r="J15603" s="23" t="str">
        <f>HYPERLINK("https://www.spark-marketing.ru/Card/Person/4855697", "Перебейносов Алексей Игоревич")</f>
        <v>Перебейносов Алексей Игоревич</v>
      </c>
      <c r="K15603" s="24" t="s">
        <v>2716</v>
      </c>
      <c r="L15603" s="28" t="s">
        <v>52</v>
      </c>
      <c r="M15603" s="28" t="s">
        <v>52</v>
      </c>
      <c r="N15603" s="28" t="s">
        <v>52</v>
      </c>
    </row>
    <row r="15604" spans="1:14" hidden="1" outlineLevel="1" x14ac:dyDescent="0.2">
      <c r="A15604" s="23" t="str">
        <f>HYPERLINK("https://www.spark-marketing.ru/Card/Person/16317", "ФГБОУ ВО ""МГТУ"", МГТУ, МАЙКОПСКИЙ ГОСУДАРСТВЕННЫЙ ТЕХНОЛОГИЧЕСКИЙ УНИВЕРСИТЕТ")</f>
        <v>ФГБОУ ВО "МГТУ", МГТУ, МАЙКОПСКИЙ ГОСУДАРСТВЕННЫЙ ТЕХНОЛОГИЧЕСКИЙ УНИВЕРСИТЕТ</v>
      </c>
      <c r="B15604" s="24" t="s">
        <v>1545</v>
      </c>
      <c r="C15604" s="28" t="s">
        <v>52</v>
      </c>
      <c r="D15604" s="22" t="s">
        <v>17903</v>
      </c>
      <c r="E15604" s="22" t="s">
        <v>49</v>
      </c>
      <c r="F15604" s="23" t="str">
        <f>HYPERLINK("https://www.spark-marketing.ru/Card/Lot/67774032", "Выполнение работ по установке системы цифрового видеонаблюдения на объекте ФГБОУ ВО «МГТУ»")</f>
        <v>Выполнение работ по установке системы цифрового видеонаблюдения на объекте ФГБОУ ВО «МГТУ»</v>
      </c>
      <c r="G15604" s="22" t="s">
        <v>1547</v>
      </c>
      <c r="H15604" s="22" t="s">
        <v>1547</v>
      </c>
      <c r="I15604" s="26">
        <v>43503.608668981498</v>
      </c>
      <c r="J15604" s="23" t="str">
        <f>HYPERLINK("https://www.spark-marketing.ru/Card/Person/47132", "ООО""СТРАТУС""")</f>
        <v>ООО"СТРАТУС"</v>
      </c>
      <c r="K15604" s="24" t="s">
        <v>8023</v>
      </c>
      <c r="L15604" s="22" t="s">
        <v>10</v>
      </c>
      <c r="M15604" s="25">
        <v>422000</v>
      </c>
      <c r="N15604" s="27">
        <v>0.24499045351258619</v>
      </c>
    </row>
    <row r="15605" spans="1:14" hidden="1" outlineLevel="1" x14ac:dyDescent="0.2">
      <c r="A15605" s="23" t="str">
        <f>HYPERLINK("https://www.spark-marketing.ru/Card/Person/16317", "ФГБОУ ВО ""МГТУ"", МГТУ, МАЙКОПСКИЙ ГОСУДАРСТВЕННЫЙ ТЕХНОЛОГИЧЕСКИЙ УНИВЕРСИТЕТ")</f>
        <v>ФГБОУ ВО "МГТУ", МГТУ, МАЙКОПСКИЙ ГОСУДАРСТВЕННЫЙ ТЕХНОЛОГИЧЕСКИЙ УНИВЕРСИТЕТ</v>
      </c>
      <c r="B15605" s="24" t="s">
        <v>1545</v>
      </c>
      <c r="C15605" s="28" t="s">
        <v>52</v>
      </c>
      <c r="D15605" s="22" t="s">
        <v>17903</v>
      </c>
      <c r="E15605" s="22" t="s">
        <v>49</v>
      </c>
      <c r="F15605" s="23" t="str">
        <f>HYPERLINK("https://www.spark-marketing.ru/Card/Lot/67774032", "Выполнение работ по установке системы цифрового видеонаблюдения на объекте ФГБОУ ВО «МГТУ»")</f>
        <v>Выполнение работ по установке системы цифрового видеонаблюдения на объекте ФГБОУ ВО «МГТУ»</v>
      </c>
      <c r="G15605" s="22" t="s">
        <v>1547</v>
      </c>
      <c r="H15605" s="22" t="s">
        <v>1547</v>
      </c>
      <c r="I15605" s="26">
        <v>43503.608668981498</v>
      </c>
      <c r="J15605" s="23" t="str">
        <f>HYPERLINK("https://www.spark-marketing.ru/Card/Person/100013", "Сергиенко Сергей Сергеевич")</f>
        <v>Сергиенко Сергей Сергеевич</v>
      </c>
      <c r="K15605" s="24" t="s">
        <v>8101</v>
      </c>
      <c r="L15605" s="28" t="s">
        <v>52</v>
      </c>
      <c r="M15605" s="25">
        <v>537000</v>
      </c>
      <c r="N15605" s="27">
        <v>3.9241406484025562E-2</v>
      </c>
    </row>
    <row r="15606" spans="1:14" x14ac:dyDescent="0.15">
      <c r="A15606" s="23" t="str">
        <f>HYPERLINK("https://www.spark-marketing.ru/Card/Person/373405", "АДМИНИСТРАЦИЯ ЛЕНИНСКОГО АДМИНИСТРАТИВНОГО ОКРУГА ГОРОДА ОМСКА")</f>
        <v>АДМИНИСТРАЦИЯ ЛЕНИНСКОГО АДМИНИСТРАТИВНОГО ОКРУГА ГОРОДА ОМСКА</v>
      </c>
      <c r="B15606" s="24" t="s">
        <v>17904</v>
      </c>
      <c r="C15606" s="25">
        <v>22000</v>
      </c>
      <c r="D15606" s="22" t="s">
        <v>17905</v>
      </c>
      <c r="E15606" s="22" t="s">
        <v>68</v>
      </c>
      <c r="F15606" s="23" t="str">
        <f>HYPERLINK("https://www.spark-marketing.ru/Card/Lot/67771907", "услуги по охране объектов посредством передачи тревожных сообщений по каналу GSM")</f>
        <v>услуги по охране объектов посредством передачи тревожных сообщений по каналу GSM</v>
      </c>
      <c r="G15606" s="22" t="s">
        <v>521</v>
      </c>
      <c r="H15606" s="22" t="s">
        <v>522</v>
      </c>
      <c r="I15606" s="26">
        <v>43503.584027777797</v>
      </c>
      <c r="J15606" s="28" t="s">
        <v>52</v>
      </c>
      <c r="K15606" s="28" t="s">
        <v>52</v>
      </c>
      <c r="L15606" s="28" t="s">
        <v>52</v>
      </c>
      <c r="M15606" s="28" t="s">
        <v>52</v>
      </c>
      <c r="N15606" s="28" t="s">
        <v>52</v>
      </c>
    </row>
    <row r="15607" spans="1:14" x14ac:dyDescent="0.2">
      <c r="A15607" s="23" t="str">
        <f>HYPERLINK("https://www.spark-marketing.ru/Card/Person/959377", "АО ""ЛЕСОСИБИРСКИЙ ПОРТ""")</f>
        <v>АО "ЛЕСОСИБИРСКИЙ ПОРТ"</v>
      </c>
      <c r="B15607" s="24" t="s">
        <v>17906</v>
      </c>
      <c r="C15607" s="25">
        <v>23546880</v>
      </c>
      <c r="D15607" s="22" t="s">
        <v>17907</v>
      </c>
      <c r="E15607" s="22" t="s">
        <v>144</v>
      </c>
      <c r="F15607" s="23" t="str">
        <f>HYPERLINK("https://www.spark-marketing.ru/Card/Lot/67762629", "Оказание услуг по обеспечению транспортной безопасности")</f>
        <v>Оказание услуг по обеспечению транспортной безопасности</v>
      </c>
      <c r="G15607" s="22" t="s">
        <v>640</v>
      </c>
      <c r="H15607" s="22" t="s">
        <v>640</v>
      </c>
      <c r="I15607" s="26">
        <v>43503.588495370401</v>
      </c>
      <c r="J15607" s="23" t="str">
        <f>HYPERLINK("https://www.spark-marketing.ru/Card/Person/6492622", "ООО ПТБ «АРКТИКА»")</f>
        <v>ООО ПТБ «АРКТИКА»</v>
      </c>
      <c r="K15607" s="24" t="s">
        <v>17908</v>
      </c>
      <c r="L15607" s="28" t="s">
        <v>52</v>
      </c>
      <c r="M15607" s="25">
        <v>23546880</v>
      </c>
      <c r="N15607" s="27">
        <v>0</v>
      </c>
    </row>
    <row r="15608" spans="1:14" x14ac:dyDescent="0.15">
      <c r="A15608" s="23" t="str">
        <f>HYPERLINK("https://www.spark-marketing.ru/Card/Person/146035", "БОУ Г.ОМСКА ""СРЕДНЯЯ ОБЩЕОБРАЗОВАТЕЛЬНАЯ ШКОЛА № 77""")</f>
        <v>БОУ Г.ОМСКА "СРЕДНЯЯ ОБЩЕОБРАЗОВАТЕЛЬНАЯ ШКОЛА № 77"</v>
      </c>
      <c r="B15608" s="24" t="s">
        <v>16784</v>
      </c>
      <c r="C15608" s="25">
        <v>37290</v>
      </c>
      <c r="D15608" s="22" t="s">
        <v>17909</v>
      </c>
      <c r="E15608" s="22" t="s">
        <v>68</v>
      </c>
      <c r="F15608" s="23" t="str">
        <f>HYPERLINK("https://www.spark-marketing.ru/Card/Lot/67770289", "Услуги по охране имущества путем наблюдения за средствами охранной сигнализации установленных с выводом на пульт централизованной охраны")</f>
        <v>Услуги по охране имущества путем наблюдения за средствами охранной сигнализации установленных с выводом на пульт централизованной охраны</v>
      </c>
      <c r="G15608" s="22" t="s">
        <v>521</v>
      </c>
      <c r="H15608" s="22" t="s">
        <v>522</v>
      </c>
      <c r="I15608" s="26">
        <v>43503.572916666701</v>
      </c>
      <c r="J15608" s="28" t="s">
        <v>52</v>
      </c>
      <c r="K15608" s="28" t="s">
        <v>52</v>
      </c>
      <c r="L15608" s="28" t="s">
        <v>52</v>
      </c>
      <c r="M15608" s="28" t="s">
        <v>52</v>
      </c>
      <c r="N15608" s="28" t="s">
        <v>52</v>
      </c>
    </row>
    <row r="15609" spans="1:14" x14ac:dyDescent="0.15">
      <c r="A15609" s="23" t="str">
        <f>HYPERLINK("https://www.spark-marketing.ru/Card/Person/4350085", "АО КБХА")</f>
        <v>АО КБХА</v>
      </c>
      <c r="B15609" s="24" t="s">
        <v>550</v>
      </c>
      <c r="C15609" s="25">
        <v>65476800</v>
      </c>
      <c r="D15609" s="22" t="s">
        <v>17910</v>
      </c>
      <c r="E15609" s="22" t="s">
        <v>144</v>
      </c>
      <c r="F15609" s="23" t="str">
        <f>HYPERLINK("https://www.spark-marketing.ru/Card/Lot/67772177", "Охрана объектов АО КБХА")</f>
        <v>Охрана объектов АО КБХА</v>
      </c>
      <c r="G15609" s="22" t="s">
        <v>552</v>
      </c>
      <c r="H15609" s="22" t="s">
        <v>552</v>
      </c>
      <c r="I15609" s="26">
        <v>43503.567280092597</v>
      </c>
      <c r="J15609" s="28" t="s">
        <v>52</v>
      </c>
      <c r="K15609" s="28" t="s">
        <v>52</v>
      </c>
      <c r="L15609" s="28" t="s">
        <v>52</v>
      </c>
      <c r="M15609" s="28" t="s">
        <v>52</v>
      </c>
      <c r="N15609" s="28" t="s">
        <v>52</v>
      </c>
    </row>
    <row r="15610" spans="1:14" x14ac:dyDescent="0.15">
      <c r="A15610" s="23" t="str">
        <f>HYPERLINK("https://www.spark-marketing.ru/Card/Person/1049745", "МБУ ""КМЦ ""СФЕРА""")</f>
        <v>МБУ "КМЦ "СФЕРА"</v>
      </c>
      <c r="B15610" s="24" t="s">
        <v>9859</v>
      </c>
      <c r="C15610" s="25">
        <v>72480</v>
      </c>
      <c r="D15610" s="22" t="s">
        <v>17911</v>
      </c>
      <c r="E15610" s="22" t="s">
        <v>103</v>
      </c>
      <c r="F15610" s="23" t="str">
        <f>HYPERLINK("https://www.spark-marketing.ru/Card/Lot/67768733", "Услуги технического обслуживания видеонаблюдения")</f>
        <v>Услуги технического обслуживания видеонаблюдения</v>
      </c>
      <c r="G15610" s="22" t="s">
        <v>50</v>
      </c>
      <c r="H15610" s="22" t="s">
        <v>504</v>
      </c>
      <c r="I15610" s="26">
        <v>43503.5449421296</v>
      </c>
      <c r="J15610" s="28" t="s">
        <v>52</v>
      </c>
      <c r="K15610" s="28" t="s">
        <v>52</v>
      </c>
      <c r="L15610" s="28" t="s">
        <v>52</v>
      </c>
      <c r="M15610" s="28" t="s">
        <v>52</v>
      </c>
      <c r="N15610" s="28" t="s">
        <v>52</v>
      </c>
    </row>
    <row r="15611" spans="1:14" x14ac:dyDescent="0.15">
      <c r="A15611" s="23" t="str">
        <f>HYPERLINK("https://www.spark-marketing.ru/Card/Person/4348534", "ПАО ""ЮК ГРЭС""")</f>
        <v>ПАО "ЮК ГРЭС"</v>
      </c>
      <c r="B15611" s="24" t="s">
        <v>17912</v>
      </c>
      <c r="C15611" s="25">
        <v>20000000</v>
      </c>
      <c r="D15611" s="22" t="s">
        <v>17913</v>
      </c>
      <c r="E15611" s="22" t="s">
        <v>363</v>
      </c>
      <c r="F15611" s="23" t="str">
        <f>HYPERLINK("https://www.spark-marketing.ru/Card/Lot/67762593", "Возмездное оказание услуг по охране объектов ПАО ""ЮК ГРЭС""")</f>
        <v>Возмездное оказание услуг по охране объектов ПАО "ЮК ГРЭС"</v>
      </c>
      <c r="G15611" s="22" t="s">
        <v>367</v>
      </c>
      <c r="H15611" s="22" t="s">
        <v>2175</v>
      </c>
      <c r="I15611" s="26">
        <v>43503.546932870398</v>
      </c>
      <c r="J15611" s="28" t="s">
        <v>52</v>
      </c>
      <c r="K15611" s="28" t="s">
        <v>52</v>
      </c>
      <c r="L15611" s="28" t="s">
        <v>52</v>
      </c>
      <c r="M15611" s="28" t="s">
        <v>52</v>
      </c>
      <c r="N15611" s="28" t="s">
        <v>52</v>
      </c>
    </row>
    <row r="15612" spans="1:14" x14ac:dyDescent="0.15">
      <c r="A15612" s="23" t="str">
        <f>HYPERLINK("https://www.spark-marketing.ru/Card/Person/1004498", "МДОУ ""КОЛОБОК""")</f>
        <v>МДОУ "КОЛОБОК"</v>
      </c>
      <c r="B15612" s="24" t="s">
        <v>17914</v>
      </c>
      <c r="C15612" s="25">
        <v>66000</v>
      </c>
      <c r="D15612" s="22" t="s">
        <v>17915</v>
      </c>
      <c r="E15612" s="22" t="s">
        <v>107</v>
      </c>
      <c r="F15612" s="23" t="str">
        <f>HYPERLINK("https://www.spark-marketing.ru/Card/Lot/67766557", "Выполнение работ по техническому обслуживанию системы видеонаблюдения, домофона (видеодомофона)")</f>
        <v>Выполнение работ по техническому обслуживанию системы видеонаблюдения, домофона (видеодомофона)</v>
      </c>
      <c r="G15612" s="22" t="s">
        <v>50</v>
      </c>
      <c r="H15612" s="22" t="s">
        <v>5160</v>
      </c>
      <c r="I15612" s="26">
        <v>43503.482939814799</v>
      </c>
      <c r="J15612" s="28" t="s">
        <v>52</v>
      </c>
      <c r="K15612" s="28" t="s">
        <v>52</v>
      </c>
      <c r="L15612" s="28" t="s">
        <v>52</v>
      </c>
      <c r="M15612" s="28" t="s">
        <v>52</v>
      </c>
      <c r="N15612" s="28" t="s">
        <v>52</v>
      </c>
    </row>
    <row r="15613" spans="1:14" x14ac:dyDescent="0.15">
      <c r="A15613" s="23" t="str">
        <f>HYPERLINK("https://www.spark-marketing.ru/Card/Person/643237", "МАУК ""ДНТ ГОРОДСКОГО ОКРУГА АНАДЫРЬ""")</f>
        <v>МАУК "ДНТ ГОРОДСКОГО ОКРУГА АНАДЫРЬ"</v>
      </c>
      <c r="B15613" s="24" t="s">
        <v>17916</v>
      </c>
      <c r="C15613" s="25">
        <v>300000</v>
      </c>
      <c r="D15613" s="22" t="s">
        <v>17917</v>
      </c>
      <c r="E15613" s="22" t="s">
        <v>867</v>
      </c>
      <c r="F15613" s="23" t="str">
        <f>HYPERLINK("https://www.spark-marketing.ru/Card/Lot/67754297", "Техническое обслуживание системы видеонаблюдения")</f>
        <v>Техническое обслуживание системы видеонаблюдения</v>
      </c>
      <c r="G15613" s="22" t="s">
        <v>1544</v>
      </c>
      <c r="H15613" s="22" t="s">
        <v>1544</v>
      </c>
      <c r="I15613" s="26">
        <v>43503.4516435185</v>
      </c>
      <c r="J15613" s="28" t="s">
        <v>52</v>
      </c>
      <c r="K15613" s="28" t="s">
        <v>52</v>
      </c>
      <c r="L15613" s="28" t="s">
        <v>52</v>
      </c>
      <c r="M15613" s="28" t="s">
        <v>52</v>
      </c>
      <c r="N15613" s="28" t="s">
        <v>52</v>
      </c>
    </row>
    <row r="15614" spans="1:14" x14ac:dyDescent="0.15">
      <c r="A15614" s="23" t="str">
        <f>HYPERLINK("https://www.spark-marketing.ru/Card/Person/1343914", "АО ""АТОМЭНЕРГОРЕМОНТ""")</f>
        <v>АО "АТОМЭНЕРГОРЕМОНТ"</v>
      </c>
      <c r="B15614" s="24" t="s">
        <v>10791</v>
      </c>
      <c r="C15614" s="28" t="s">
        <v>52</v>
      </c>
      <c r="D15614" s="22" t="s">
        <v>17918</v>
      </c>
      <c r="E15614" s="22" t="s">
        <v>68</v>
      </c>
      <c r="F15614" s="23" t="str">
        <f>HYPERLINK("https://www.spark-marketing.ru/Card/Lot/67766878", "Охрана объектов НВАЭР")</f>
        <v>Охрана объектов НВАЭР</v>
      </c>
      <c r="G15614" s="22" t="s">
        <v>55</v>
      </c>
      <c r="H15614" s="22" t="s">
        <v>55</v>
      </c>
      <c r="I15614" s="26">
        <v>43503.421053240701</v>
      </c>
      <c r="J15614" s="28" t="s">
        <v>52</v>
      </c>
      <c r="K15614" s="28" t="s">
        <v>52</v>
      </c>
      <c r="L15614" s="28" t="s">
        <v>52</v>
      </c>
      <c r="M15614" s="28" t="s">
        <v>52</v>
      </c>
      <c r="N15614" s="28" t="s">
        <v>52</v>
      </c>
    </row>
    <row r="15615" spans="1:14" x14ac:dyDescent="0.15">
      <c r="A15615" s="23" t="str">
        <f>HYPERLINK("https://www.spark-marketing.ru/Card/Person/996207", "ГКУ АО УСЗН ПО Г. ЗЕЯ И ЗЕЙСКОМУ РАЙОНУ")</f>
        <v>ГКУ АО УСЗН ПО Г. ЗЕЯ И ЗЕЙСКОМУ РАЙОНУ</v>
      </c>
      <c r="B15615" s="24" t="s">
        <v>5354</v>
      </c>
      <c r="C15615" s="28" t="s">
        <v>52</v>
      </c>
      <c r="D15615" s="22" t="s">
        <v>17919</v>
      </c>
      <c r="E15615" s="22" t="s">
        <v>68</v>
      </c>
      <c r="F15615" s="23" t="str">
        <f>HYPERLINK("https://www.spark-marketing.ru/Card/Lot/67762515", "Обязательство по экстренному выезду в максимальный короткий срок наряда охраны по сигналу ""Тревога"" в случае угрозы личной или имущественной безопасности")</f>
        <v>Обязательство по экстренному выезду в максимальный короткий срок наряда охраны по сигналу "Тревога" в случае угрозы личной или имущественной безопасности</v>
      </c>
      <c r="G15615" s="22" t="s">
        <v>230</v>
      </c>
      <c r="H15615" s="22" t="s">
        <v>5356</v>
      </c>
      <c r="I15615" s="26">
        <v>43503.444444444402</v>
      </c>
      <c r="J15615" s="28" t="s">
        <v>52</v>
      </c>
      <c r="K15615" s="28" t="s">
        <v>52</v>
      </c>
      <c r="L15615" s="28" t="s">
        <v>52</v>
      </c>
      <c r="M15615" s="28" t="s">
        <v>52</v>
      </c>
      <c r="N15615" s="28" t="s">
        <v>52</v>
      </c>
    </row>
    <row r="15616" spans="1:14" x14ac:dyDescent="0.15">
      <c r="A15616" s="23" t="str">
        <f>HYPERLINK("https://www.spark-marketing.ru/Card/Person/1002165", "МБУДО ""РУЗСКАЯ ДШИ""")</f>
        <v>МБУДО "РУЗСКАЯ ДШИ"</v>
      </c>
      <c r="B15616" s="24" t="s">
        <v>17920</v>
      </c>
      <c r="C15616" s="25">
        <v>33000</v>
      </c>
      <c r="D15616" s="22" t="s">
        <v>17921</v>
      </c>
      <c r="E15616" s="22" t="s">
        <v>103</v>
      </c>
      <c r="F15616" s="23" t="str">
        <f>HYPERLINK("https://www.spark-marketing.ru/Card/Lot/67763551", "Оказание услуг по техническому обслуживанию видеонаблюдения")</f>
        <v>Оказание услуг по техническому обслуживанию видеонаблюдения</v>
      </c>
      <c r="G15616" s="22" t="s">
        <v>50</v>
      </c>
      <c r="H15616" s="22" t="s">
        <v>1207</v>
      </c>
      <c r="I15616" s="26">
        <v>43503.451041666704</v>
      </c>
      <c r="J15616" s="28" t="s">
        <v>52</v>
      </c>
      <c r="K15616" s="28" t="s">
        <v>52</v>
      </c>
      <c r="L15616" s="28" t="s">
        <v>52</v>
      </c>
      <c r="M15616" s="28" t="s">
        <v>52</v>
      </c>
      <c r="N15616" s="28" t="s">
        <v>52</v>
      </c>
    </row>
    <row r="15617" spans="1:14" x14ac:dyDescent="0.15">
      <c r="A15617" s="23" t="str">
        <f>HYPERLINK("https://www.spark-marketing.ru/Card/Person/1002283", "ГКУ РО ""ЦДНИРО""")</f>
        <v>ГКУ РО "ЦДНИРО"</v>
      </c>
      <c r="B15617" s="24" t="s">
        <v>6460</v>
      </c>
      <c r="C15617" s="25">
        <v>84000</v>
      </c>
      <c r="D15617" s="22" t="s">
        <v>17922</v>
      </c>
      <c r="E15617" s="22" t="s">
        <v>194</v>
      </c>
      <c r="F15617" s="23" t="str">
        <f>HYPERLINK("https://www.spark-marketing.ru/Card/Lot/67762546", "то установки видеонаблюдения")</f>
        <v>то установки видеонаблюдения</v>
      </c>
      <c r="G15617" s="22" t="s">
        <v>402</v>
      </c>
      <c r="H15617" s="22" t="s">
        <v>403</v>
      </c>
      <c r="I15617" s="26">
        <v>43503.449305555601</v>
      </c>
      <c r="J15617" s="28" t="s">
        <v>52</v>
      </c>
      <c r="K15617" s="28" t="s">
        <v>52</v>
      </c>
      <c r="L15617" s="28" t="s">
        <v>52</v>
      </c>
      <c r="M15617" s="28" t="s">
        <v>52</v>
      </c>
      <c r="N15617" s="28" t="s">
        <v>52</v>
      </c>
    </row>
    <row r="15618" spans="1:14" ht="12.75" x14ac:dyDescent="0.2">
      <c r="A15618" s="23" t="str">
        <f>HYPERLINK("https://www.spark-marketing.ru/Card/Person/92046", "МЕЖРАЙОННАЯ ИФНС РОССИИ № 3 ПО ОМСКОЙ ОБЛАСТИ")</f>
        <v>МЕЖРАЙОННАЯ ИФНС РОССИИ № 3 ПО ОМСКОЙ ОБЛАСТИ</v>
      </c>
      <c r="B15618" s="24" t="s">
        <v>9422</v>
      </c>
      <c r="C15618" s="25">
        <v>184671.2</v>
      </c>
      <c r="D15618" s="22" t="s">
        <v>17923</v>
      </c>
      <c r="E15618" s="22" t="s">
        <v>68</v>
      </c>
      <c r="F15618" s="23" t="str">
        <f>HYPERLINK("https://www.spark-marketing.ru/Card/Lot/67708454", "Пультовая охрана")</f>
        <v>Пультовая охрана</v>
      </c>
      <c r="G15618" s="22" t="s">
        <v>521</v>
      </c>
      <c r="H15618" s="22" t="s">
        <v>521</v>
      </c>
      <c r="I15618" s="26">
        <v>43501</v>
      </c>
      <c r="J15618" s="23" t="str">
        <f>HYPERLINK("https://www.spark-marketing.ru/Card/Person/361604", "ФГКУ ""УВО ВНГ РОССИИ ПО ОМСКОЙ ОБЛАСТИ""")</f>
        <v>ФГКУ "УВО ВНГ РОССИИ ПО ОМСКОЙ ОБЛАСТИ"</v>
      </c>
      <c r="K15618" s="24" t="s">
        <v>3105</v>
      </c>
      <c r="L15618" s="22" t="s">
        <v>10</v>
      </c>
      <c r="M15618" s="25">
        <v>184524</v>
      </c>
      <c r="N15618" s="27">
        <v>7.9709234574746896E-4</v>
      </c>
    </row>
    <row r="15619" spans="1:14" ht="12.75" x14ac:dyDescent="0.2">
      <c r="A15619" s="23" t="str">
        <f>HYPERLINK("https://www.spark-marketing.ru/Card/Person/92046", "МЕЖРАЙОННАЯ ИФНС РОССИИ № 3 ПО ОМСКОЙ ОБЛАСТИ")</f>
        <v>МЕЖРАЙОННАЯ ИФНС РОССИИ № 3 ПО ОМСКОЙ ОБЛАСТИ</v>
      </c>
      <c r="B15619" s="24" t="s">
        <v>9422</v>
      </c>
      <c r="C15619" s="25">
        <v>392417.04</v>
      </c>
      <c r="D15619" s="22" t="s">
        <v>17924</v>
      </c>
      <c r="E15619" s="22" t="s">
        <v>68</v>
      </c>
      <c r="F15619" s="23" t="str">
        <f>HYPERLINK("https://www.spark-marketing.ru/Card/Lot/67709851", "Пультовая охрана")</f>
        <v>Пультовая охрана</v>
      </c>
      <c r="G15619" s="22" t="s">
        <v>521</v>
      </c>
      <c r="H15619" s="22" t="s">
        <v>521</v>
      </c>
      <c r="I15619" s="26">
        <v>43501</v>
      </c>
      <c r="J15619" s="23" t="str">
        <f>HYPERLINK("https://www.spark-marketing.ru/Card/Person/361604", "ФГКУ ""УВО ВНГ РОССИИ ПО ОМСКОЙ ОБЛАСТИ""")</f>
        <v>ФГКУ "УВО ВНГ РОССИИ ПО ОМСКОЙ ОБЛАСТИ"</v>
      </c>
      <c r="K15619" s="24" t="s">
        <v>3105</v>
      </c>
      <c r="L15619" s="22" t="s">
        <v>10</v>
      </c>
      <c r="M15619" s="25">
        <v>392227.5</v>
      </c>
      <c r="N15619" s="27">
        <v>4.8300654833949107E-4</v>
      </c>
    </row>
    <row r="15620" spans="1:14" ht="12.75" x14ac:dyDescent="0.2">
      <c r="A15620" s="23" t="str">
        <f>HYPERLINK("https://www.spark-marketing.ru/Card/Person/1761357", "АО ""ТРАНСНЕФТЬ - ЦЕНТРАЛЬНАЯ СИБИРЬ""")</f>
        <v>АО "ТРАНСНЕФТЬ - ЦЕНТРАЛЬНАЯ СИБИРЬ"</v>
      </c>
      <c r="B15620" s="24" t="s">
        <v>2474</v>
      </c>
      <c r="C15620" s="25">
        <v>1040734.42</v>
      </c>
      <c r="D15620" s="22" t="s">
        <v>17925</v>
      </c>
      <c r="E15620" s="22" t="s">
        <v>137</v>
      </c>
      <c r="F15620" s="23" t="str">
        <f>HYPERLINK("https://www.spark-marketing.ru/Card/Lot/67755889", "08-2019 «Предоставление услуг по техническому обслуживанию комплексов инженерно-технических средств охраны на объектах РНУ «Парабель»")</f>
        <v>08-2019 «Предоставление услуг по техническому обслуживанию комплексов инженерно-технических средств охраны на объектах РНУ «Парабель»</v>
      </c>
      <c r="G15620" s="22" t="s">
        <v>150</v>
      </c>
      <c r="H15620" s="22" t="s">
        <v>1656</v>
      </c>
      <c r="I15620" s="26">
        <v>43503.396249999998</v>
      </c>
      <c r="J15620" s="23" t="str">
        <f>HYPERLINK("https://www.spark-marketing.ru/Card/Person/598646", "ООО ""МСБ""")</f>
        <v>ООО "МСБ"</v>
      </c>
      <c r="K15620" s="24" t="s">
        <v>17926</v>
      </c>
      <c r="L15620" s="22" t="s">
        <v>10</v>
      </c>
      <c r="M15620" s="25">
        <v>1040734.42</v>
      </c>
      <c r="N15620" s="27">
        <v>0</v>
      </c>
    </row>
    <row r="15621" spans="1:14" x14ac:dyDescent="0.15">
      <c r="A15621" s="23" t="str">
        <f>HYPERLINK("https://www.spark-marketing.ru/Card/Person/1011435", "БУ ДО Г. ОМСКА ""ДЮСШ № 22""")</f>
        <v>БУ ДО Г. ОМСКА "ДЮСШ № 22"</v>
      </c>
      <c r="B15621" s="24" t="s">
        <v>17927</v>
      </c>
      <c r="C15621" s="25">
        <v>12000</v>
      </c>
      <c r="D15621" s="22" t="s">
        <v>17928</v>
      </c>
      <c r="E15621" s="22" t="s">
        <v>68</v>
      </c>
      <c r="F15621" s="23" t="str">
        <f>HYPERLINK("https://www.spark-marketing.ru/Card/Lot/67760983", "Оказание услуг по техническому обслуживанию технических средств тревожной сигнализации")</f>
        <v>Оказание услуг по техническому обслуживанию технических средств тревожной сигнализации</v>
      </c>
      <c r="G15621" s="22" t="s">
        <v>521</v>
      </c>
      <c r="H15621" s="22" t="s">
        <v>522</v>
      </c>
      <c r="I15621" s="26">
        <v>43503.4152777778</v>
      </c>
      <c r="J15621" s="28" t="s">
        <v>52</v>
      </c>
      <c r="K15621" s="28" t="s">
        <v>52</v>
      </c>
      <c r="L15621" s="28" t="s">
        <v>52</v>
      </c>
      <c r="M15621" s="28" t="s">
        <v>52</v>
      </c>
      <c r="N15621" s="28" t="s">
        <v>52</v>
      </c>
    </row>
    <row r="15622" spans="1:14" ht="12.75" x14ac:dyDescent="0.2">
      <c r="A15622" s="23" t="str">
        <f>HYPERLINK("https://www.spark-marketing.ru/Card/Person/156942", "АО ""МЕЖДУНАРОДНЫЙ АЭРОПОРТ СОЧИ"" АО ""МАС""")</f>
        <v>АО "МЕЖДУНАРОДНЫЙ АЭРОПОРТ СОЧИ" АО "МАС"</v>
      </c>
      <c r="B15622" s="24" t="s">
        <v>17929</v>
      </c>
      <c r="C15622" s="25">
        <v>1370000</v>
      </c>
      <c r="D15622" s="22" t="s">
        <v>17930</v>
      </c>
      <c r="E15622" s="22" t="s">
        <v>17931</v>
      </c>
      <c r="F15622" s="23" t="str">
        <f>HYPERLINK("https://www.spark-marketing.ru/Card/Lot/67759782", "Оказание услуг по проведению экспертизы технических средств обеспечения транспортной безопасности")</f>
        <v>Оказание услуг по проведению экспертизы технических средств обеспечения транспортной безопасности</v>
      </c>
      <c r="G15622" s="22" t="s">
        <v>132</v>
      </c>
      <c r="H15622" s="22" t="s">
        <v>132</v>
      </c>
      <c r="I15622" s="26">
        <v>43503.336921296301</v>
      </c>
      <c r="J15622" s="23" t="str">
        <f>HYPERLINK("https://www.spark-marketing.ru/Card/Person/4347207", "ФГУП НИИР")</f>
        <v>ФГУП НИИР</v>
      </c>
      <c r="K15622" s="24" t="s">
        <v>17932</v>
      </c>
      <c r="L15622" s="22" t="s">
        <v>10</v>
      </c>
      <c r="M15622" s="25">
        <v>1370000</v>
      </c>
      <c r="N15622" s="27">
        <v>0</v>
      </c>
    </row>
    <row r="15623" spans="1:14" x14ac:dyDescent="0.2">
      <c r="A15623" s="23" t="str">
        <f>HYPERLINK("https://www.spark-marketing.ru/Card/Person/4397861", "ООО ""ГАЗПРОМ ТРАНСГАЗ ВОЛГОГРАД""")</f>
        <v>ООО "ГАЗПРОМ ТРАНСГАЗ ВОЛГОГРАД"</v>
      </c>
      <c r="B15623" s="24" t="s">
        <v>3032</v>
      </c>
      <c r="C15623" s="25">
        <v>1650247.5</v>
      </c>
      <c r="D15623" s="22" t="s">
        <v>17933</v>
      </c>
      <c r="E15623" s="22" t="s">
        <v>17934</v>
      </c>
      <c r="F15623" s="23" t="str">
        <f>HYPERLINK("https://www.spark-marketing.ru/Card/Lot/67759871", "Поставка кабельной продукции для нужд ООО «Газпром трансгаз Волгоград»")</f>
        <v>Поставка кабельной продукции для нужд ООО «Газпром трансгаз Волгоград»</v>
      </c>
      <c r="G15623" s="22" t="s">
        <v>343</v>
      </c>
      <c r="H15623" s="22" t="s">
        <v>344</v>
      </c>
      <c r="I15623" s="26">
        <v>43503.3733333333</v>
      </c>
      <c r="J15623" s="23" t="str">
        <f>HYPERLINK("https://www.spark-marketing.ru/Card/Person/-1", "неизвестно")</f>
        <v>неизвестно</v>
      </c>
      <c r="K15623" s="28" t="s">
        <v>52</v>
      </c>
      <c r="L15623" s="22" t="s">
        <v>10</v>
      </c>
      <c r="M15623" s="25">
        <v>1650247.5</v>
      </c>
      <c r="N15623" s="27">
        <v>0</v>
      </c>
    </row>
    <row r="15624" spans="1:14" x14ac:dyDescent="0.2">
      <c r="A15624" s="23" t="str">
        <f>HYPERLINK("https://www.spark-marketing.ru/Card/Person/60884", "ГБУ ""ЖИЛИЩНИК РАЙОНА ПРЕОБРАЖЕНСКОЕ""")</f>
        <v>ГБУ "ЖИЛИЩНИК РАЙОНА ПРЕОБРАЖЕНСКОЕ"</v>
      </c>
      <c r="B15624" s="24" t="s">
        <v>17935</v>
      </c>
      <c r="C15624" s="25">
        <v>72250</v>
      </c>
      <c r="D15624" s="22" t="s">
        <v>17936</v>
      </c>
      <c r="E15624" s="22" t="s">
        <v>17937</v>
      </c>
      <c r="F15624" s="23" t="str">
        <f>HYPERLINK("https://www.spark-marketing.ru/Card/Lot/67759818", "Оказание услуг пультовой охраны")</f>
        <v>Оказание услуг пультовой охраны</v>
      </c>
      <c r="G15624" s="22" t="s">
        <v>55</v>
      </c>
      <c r="H15624" s="22" t="s">
        <v>55</v>
      </c>
      <c r="I15624" s="26">
        <v>43503.3691203704</v>
      </c>
      <c r="J15624" s="23" t="str">
        <f>HYPERLINK("https://www.spark-marketing.ru/Card/Person/924391", "ООО ЧОП ""ГРУППА СТРАЙК Р""")</f>
        <v>ООО ЧОП "ГРУППА СТРАЙК Р"</v>
      </c>
      <c r="K15624" s="24" t="s">
        <v>17855</v>
      </c>
      <c r="L15624" s="28" t="s">
        <v>52</v>
      </c>
      <c r="M15624" s="25">
        <v>72250</v>
      </c>
      <c r="N15624" s="27">
        <v>0</v>
      </c>
    </row>
    <row r="15625" spans="1:14" x14ac:dyDescent="0.15">
      <c r="A15625" s="23" t="str">
        <f>HYPERLINK("https://www.spark-marketing.ru/Card/Person/61603", "МБДОУ Д/С №7 ""СОЛНЫШКО""")</f>
        <v>МБДОУ Д/С №7 "СОЛНЫШКО"</v>
      </c>
      <c r="B15625" s="24" t="s">
        <v>17938</v>
      </c>
      <c r="C15625" s="25">
        <v>96000</v>
      </c>
      <c r="D15625" s="22" t="s">
        <v>17939</v>
      </c>
      <c r="E15625" s="22" t="s">
        <v>234</v>
      </c>
      <c r="F15625" s="23" t="str">
        <f>HYPERLINK("https://www.spark-marketing.ru/Card/Lot/67754504", "Обслуживание системы видеонаблюдения в здании (на 2 корпуса)")</f>
        <v>Обслуживание системы видеонаблюдения в здании (на 2 корпуса)</v>
      </c>
      <c r="G15625" s="22" t="s">
        <v>50</v>
      </c>
      <c r="H15625" s="22" t="s">
        <v>458</v>
      </c>
      <c r="I15625" s="26">
        <v>43503.128206018497</v>
      </c>
      <c r="J15625" s="28" t="s">
        <v>52</v>
      </c>
      <c r="K15625" s="28" t="s">
        <v>52</v>
      </c>
      <c r="L15625" s="28" t="s">
        <v>52</v>
      </c>
      <c r="M15625" s="28" t="s">
        <v>52</v>
      </c>
      <c r="N15625" s="28" t="s">
        <v>52</v>
      </c>
    </row>
    <row r="15626" spans="1:14" x14ac:dyDescent="0.15">
      <c r="A15626" s="23" t="str">
        <f>HYPERLINK("https://www.spark-marketing.ru/Card/Person/57577", "Управление Генеральной прокуратуры РФ в СЗФО")</f>
        <v>Управление Генеральной прокуратуры РФ в СЗФО</v>
      </c>
      <c r="B15626" s="24" t="s">
        <v>8404</v>
      </c>
      <c r="C15626" s="25">
        <v>1217902.8</v>
      </c>
      <c r="D15626" s="22" t="s">
        <v>17940</v>
      </c>
      <c r="E15626" s="22" t="s">
        <v>68</v>
      </c>
      <c r="F15626" s="23" t="str">
        <f>HYPERLINK("https://www.spark-marketing.ru/Card/Lot/67779847", "Военизированная охрана объекта")</f>
        <v>Военизированная охрана объекта</v>
      </c>
      <c r="G15626" s="22" t="s">
        <v>89</v>
      </c>
      <c r="H15626" s="22" t="s">
        <v>89</v>
      </c>
      <c r="I15626" s="26">
        <v>43503</v>
      </c>
      <c r="J15626" s="28" t="s">
        <v>52</v>
      </c>
      <c r="K15626" s="28" t="s">
        <v>52</v>
      </c>
      <c r="L15626" s="28" t="s">
        <v>52</v>
      </c>
      <c r="M15626" s="28" t="s">
        <v>52</v>
      </c>
      <c r="N15626" s="28" t="s">
        <v>52</v>
      </c>
    </row>
    <row r="15627" spans="1:14" x14ac:dyDescent="0.15">
      <c r="A15627" s="23" t="str">
        <f>HYPERLINK("https://www.spark-marketing.ru/Card/Person/152464", "МБДОУ ""ДЕТСКИЙ САД КОМБИНИРОВАННОГО ВИДА №12"" НМР РТ")</f>
        <v>МБДОУ "ДЕТСКИЙ САД КОМБИНИРОВАННОГО ВИДА №12" НМР РТ</v>
      </c>
      <c r="B15627" s="24" t="s">
        <v>17941</v>
      </c>
      <c r="C15627" s="25">
        <v>12060</v>
      </c>
      <c r="D15627" s="22" t="s">
        <v>17942</v>
      </c>
      <c r="E15627" s="22" t="s">
        <v>53</v>
      </c>
      <c r="F15627" s="23" t="str">
        <f>HYPERLINK("https://www.spark-marketing.ru/Card/Lot/73686267", "Техническое обслуживание системы видеонаблюдения")</f>
        <v>Техническое обслуживание системы видеонаблюдения</v>
      </c>
      <c r="G15627" s="22" t="s">
        <v>204</v>
      </c>
      <c r="H15627" s="22" t="s">
        <v>824</v>
      </c>
      <c r="I15627" s="26">
        <v>43503.000694444403</v>
      </c>
      <c r="J15627" s="28" t="s">
        <v>52</v>
      </c>
      <c r="K15627" s="28" t="s">
        <v>52</v>
      </c>
      <c r="L15627" s="28" t="s">
        <v>52</v>
      </c>
      <c r="M15627" s="28" t="s">
        <v>52</v>
      </c>
      <c r="N15627" s="28" t="s">
        <v>52</v>
      </c>
    </row>
    <row r="15628" spans="1:14" x14ac:dyDescent="0.15">
      <c r="A15628" s="23" t="str">
        <f>HYPERLINK("https://www.spark-marketing.ru/Card/Person/18629", "УПРАВЛЕНИЕ РОСРЕЕСТРА ПО ТВЕРСКОЙ ОБЛАСТИ")</f>
        <v>УПРАВЛЕНИЕ РОСРЕЕСТРА ПО ТВЕРСКОЙ ОБЛАСТИ</v>
      </c>
      <c r="B15628" s="24" t="s">
        <v>17943</v>
      </c>
      <c r="C15628" s="25">
        <v>841156.8</v>
      </c>
      <c r="D15628" s="22" t="s">
        <v>17944</v>
      </c>
      <c r="E15628" s="22" t="s">
        <v>68</v>
      </c>
      <c r="F15628" s="23" t="str">
        <f>HYPERLINK("https://www.spark-marketing.ru/Card/Lot/67779330", "Оказание услуг охраны объектов пультом централизованного наблюдения и экстренном вызове полиции")</f>
        <v>Оказание услуг охраны объектов пультом централизованного наблюдения и экстренном вызове полиции</v>
      </c>
      <c r="G15628" s="22" t="s">
        <v>251</v>
      </c>
      <c r="H15628" s="22" t="s">
        <v>251</v>
      </c>
      <c r="I15628" s="26">
        <v>43503</v>
      </c>
      <c r="J15628" s="28" t="s">
        <v>52</v>
      </c>
      <c r="K15628" s="28" t="s">
        <v>52</v>
      </c>
      <c r="L15628" s="28" t="s">
        <v>52</v>
      </c>
      <c r="M15628" s="28" t="s">
        <v>52</v>
      </c>
      <c r="N15628" s="28" t="s">
        <v>52</v>
      </c>
    </row>
    <row r="15629" spans="1:14" x14ac:dyDescent="0.15">
      <c r="A15629" s="23" t="str">
        <f>HYPERLINK("https://www.spark-marketing.ru/Card/Person/4284211", "ПАО ""ГРУППА ЧЕРКИЗОВО""")</f>
        <v>ПАО "ГРУППА ЧЕРКИЗОВО"</v>
      </c>
      <c r="B15629" s="24" t="s">
        <v>2281</v>
      </c>
      <c r="C15629" s="28" t="s">
        <v>52</v>
      </c>
      <c r="D15629" s="22" t="s">
        <v>17945</v>
      </c>
      <c r="E15629" s="22" t="s">
        <v>53</v>
      </c>
      <c r="F15629" s="23" t="str">
        <f>HYPERLINK("https://www.spark-marketing.ru/Card/Lot/67786933", "Мониторинг стоимости услуг на установку системы наблюдения для ООО ""Тамбовская индейка"" (id359115)")</f>
        <v>Мониторинг стоимости услуг на установку системы наблюдения для ООО "Тамбовская индейка" (id359115)</v>
      </c>
      <c r="G15629" s="22" t="s">
        <v>50</v>
      </c>
      <c r="H15629" s="22" t="s">
        <v>2283</v>
      </c>
      <c r="I15629" s="26">
        <v>43503</v>
      </c>
      <c r="J15629" s="28" t="s">
        <v>52</v>
      </c>
      <c r="K15629" s="28" t="s">
        <v>52</v>
      </c>
      <c r="L15629" s="28" t="s">
        <v>52</v>
      </c>
      <c r="M15629" s="28" t="s">
        <v>52</v>
      </c>
      <c r="N15629" s="28" t="s">
        <v>52</v>
      </c>
    </row>
    <row r="15630" spans="1:14" x14ac:dyDescent="0.15">
      <c r="A15630" s="23" t="str">
        <f>HYPERLINK("https://www.spark-marketing.ru/Card/Person/54976", "АРБИТРАЖНЫЙ СУД ИВАНОВСКОЙ ОБЛАСТИ")</f>
        <v>АРБИТРАЖНЫЙ СУД ИВАНОВСКОЙ ОБЛАСТИ</v>
      </c>
      <c r="B15630" s="24" t="s">
        <v>3277</v>
      </c>
      <c r="C15630" s="25">
        <v>30338.880000000001</v>
      </c>
      <c r="D15630" s="22" t="s">
        <v>17946</v>
      </c>
      <c r="E15630" s="22" t="s">
        <v>68</v>
      </c>
      <c r="F15630" s="23" t="str">
        <f>HYPERLINK("https://www.spark-marketing.ru/Card/Lot/67779100", "Охрана объектов путем экстренного вызова сотрудников вневедомственной охраны (с использованием кнопки тревожной сигнализации)")</f>
        <v>Охрана объектов путем экстренного вызова сотрудников вневедомственной охраны (с использованием кнопки тревожной сигнализации)</v>
      </c>
      <c r="G15630" s="22" t="s">
        <v>340</v>
      </c>
      <c r="H15630" s="22" t="s">
        <v>1030</v>
      </c>
      <c r="I15630" s="26">
        <v>43503</v>
      </c>
      <c r="J15630" s="28" t="s">
        <v>52</v>
      </c>
      <c r="K15630" s="28" t="s">
        <v>52</v>
      </c>
      <c r="L15630" s="28" t="s">
        <v>52</v>
      </c>
      <c r="M15630" s="28" t="s">
        <v>52</v>
      </c>
      <c r="N15630" s="28" t="s">
        <v>52</v>
      </c>
    </row>
    <row r="15631" spans="1:14" x14ac:dyDescent="0.15">
      <c r="A15631" s="23" t="str">
        <f>HYPERLINK("https://www.spark-marketing.ru/Card/Person/24140", "УФСБ РОССИИ ПО РЕСПУБЛИКЕ КОМИ")</f>
        <v>УФСБ РОССИИ ПО РЕСПУБЛИКЕ КОМИ</v>
      </c>
      <c r="B15631" s="24" t="s">
        <v>17947</v>
      </c>
      <c r="C15631" s="25">
        <v>746136.6</v>
      </c>
      <c r="D15631" s="22" t="s">
        <v>17948</v>
      </c>
      <c r="E15631" s="22" t="s">
        <v>68</v>
      </c>
      <c r="F15631" s="23" t="str">
        <f>HYPERLINK("https://www.spark-marketing.ru/Card/Lot/67778587", "Оказание услуг по охране объектов с помощью пульта централизованного наблюдения")</f>
        <v>Оказание услуг по охране объектов с помощью пульта централизованного наблюдения</v>
      </c>
      <c r="G15631" s="22" t="s">
        <v>538</v>
      </c>
      <c r="H15631" s="22" t="s">
        <v>707</v>
      </c>
      <c r="I15631" s="26">
        <v>43503</v>
      </c>
      <c r="J15631" s="28" t="s">
        <v>52</v>
      </c>
      <c r="K15631" s="28" t="s">
        <v>52</v>
      </c>
      <c r="L15631" s="28" t="s">
        <v>52</v>
      </c>
      <c r="M15631" s="28" t="s">
        <v>52</v>
      </c>
      <c r="N15631" s="28" t="s">
        <v>52</v>
      </c>
    </row>
    <row r="15632" spans="1:14" x14ac:dyDescent="0.15">
      <c r="A15632" s="23" t="str">
        <f>HYPERLINK("https://www.spark-marketing.ru/Card/Person/79420", "ФГКУ КОМБИНАТ ""КРАСНОЕ ЗНАМЯ"" РОСРЕЗЕРВА")</f>
        <v>ФГКУ КОМБИНАТ "КРАСНОЕ ЗНАМЯ" РОСРЕЗЕРВА</v>
      </c>
      <c r="B15632" s="24" t="s">
        <v>6606</v>
      </c>
      <c r="C15632" s="25">
        <v>366666.63</v>
      </c>
      <c r="D15632" s="22" t="s">
        <v>17949</v>
      </c>
      <c r="E15632" s="22" t="s">
        <v>103</v>
      </c>
      <c r="F15632" s="23" t="str">
        <f>HYPERLINK("https://www.spark-marketing.ru/Card/Lot/67759550", "Техническое обслуживание системы видеонаблюдения")</f>
        <v>Техническое обслуживание системы видеонаблюдения</v>
      </c>
      <c r="G15632" s="22" t="s">
        <v>552</v>
      </c>
      <c r="H15632" s="22" t="s">
        <v>552</v>
      </c>
      <c r="I15632" s="26">
        <v>43503</v>
      </c>
      <c r="J15632" s="28" t="s">
        <v>52</v>
      </c>
      <c r="K15632" s="28" t="s">
        <v>52</v>
      </c>
      <c r="L15632" s="28" t="s">
        <v>52</v>
      </c>
      <c r="M15632" s="28" t="s">
        <v>52</v>
      </c>
      <c r="N15632" s="28" t="s">
        <v>52</v>
      </c>
    </row>
    <row r="15633" spans="1:14" ht="12.75" hidden="1" outlineLevel="1" x14ac:dyDescent="0.2">
      <c r="A15633" s="23" t="str">
        <f>HYPERLINK("https://www.spark-marketing.ru/Card/Person/79420", "ФГКУ КОМБИНАТ ""КРАСНОЕ ЗНАМЯ"" РОСРЕЗЕРВА")</f>
        <v>ФГКУ КОМБИНАТ "КРАСНОЕ ЗНАМЯ" РОСРЕЗЕРВА</v>
      </c>
      <c r="B15633" s="24" t="s">
        <v>6606</v>
      </c>
      <c r="C15633" s="25">
        <v>366666.63</v>
      </c>
      <c r="D15633" s="22" t="s">
        <v>17949</v>
      </c>
      <c r="E15633" s="22" t="s">
        <v>103</v>
      </c>
      <c r="F15633" s="23" t="str">
        <f>HYPERLINK("https://www.spark-marketing.ru/Card/Lot/67759550", "Техническое обслуживание системы видеонаблюдения")</f>
        <v>Техническое обслуживание системы видеонаблюдения</v>
      </c>
      <c r="G15633" s="22" t="s">
        <v>552</v>
      </c>
      <c r="H15633" s="22" t="s">
        <v>552</v>
      </c>
      <c r="I15633" s="26">
        <v>43503</v>
      </c>
      <c r="J15633" s="23" t="str">
        <f>HYPERLINK("https://www.spark-marketing.ru/Card/Person/67829", "ООО ""МНОГОЦЕЛЕВАЯ ПОДВИЖНАЯ СВЯЗЬ""")</f>
        <v>ООО "МНОГОЦЕЛЕВАЯ ПОДВИЖНАЯ СВЯЗЬ"</v>
      </c>
      <c r="K15633" s="24" t="s">
        <v>12894</v>
      </c>
      <c r="L15633" s="22" t="s">
        <v>10</v>
      </c>
      <c r="M15633" s="25">
        <v>274999.32</v>
      </c>
      <c r="N15633" s="27">
        <v>0.25000177954563252</v>
      </c>
    </row>
    <row r="15634" spans="1:14" hidden="1" outlineLevel="1" x14ac:dyDescent="0.2">
      <c r="A15634" s="23" t="str">
        <f>HYPERLINK("https://www.spark-marketing.ru/Card/Person/79420", "ФГКУ КОМБИНАТ ""КРАСНОЕ ЗНАМЯ"" РОСРЕЗЕРВА")</f>
        <v>ФГКУ КОМБИНАТ "КРАСНОЕ ЗНАМЯ" РОСРЕЗЕРВА</v>
      </c>
      <c r="B15634" s="24" t="s">
        <v>6606</v>
      </c>
      <c r="C15634" s="25">
        <v>366666.63</v>
      </c>
      <c r="D15634" s="22" t="s">
        <v>17949</v>
      </c>
      <c r="E15634" s="22" t="s">
        <v>103</v>
      </c>
      <c r="F15634" s="23" t="str">
        <f>HYPERLINK("https://www.spark-marketing.ru/Card/Lot/67759550", "Техническое обслуживание системы видеонаблюдения")</f>
        <v>Техническое обслуживание системы видеонаблюдения</v>
      </c>
      <c r="G15634" s="22" t="s">
        <v>552</v>
      </c>
      <c r="H15634" s="22" t="s">
        <v>552</v>
      </c>
      <c r="I15634" s="26">
        <v>43503</v>
      </c>
      <c r="J15634" s="23" t="str">
        <f>HYPERLINK("https://www.spark-marketing.ru/Card/Person/243391", "ООО ""ИМПЕРИЯ БЕЗОПАСНОСТИ""")</f>
        <v>ООО "ИМПЕРИЯ БЕЗОПАСНОСТИ"</v>
      </c>
      <c r="K15634" s="24" t="s">
        <v>17950</v>
      </c>
      <c r="L15634" s="28" t="s">
        <v>52</v>
      </c>
      <c r="M15634" s="25">
        <v>276832.65000000002</v>
      </c>
      <c r="N15634" s="27">
        <v>0.24500178813654244</v>
      </c>
    </row>
    <row r="15635" spans="1:14" x14ac:dyDescent="0.15">
      <c r="A15635" s="23" t="str">
        <f>HYPERLINK("https://www.spark-marketing.ru/Card/Person/694920", "ЧЕЧЕНСТАТ")</f>
        <v>ЧЕЧЕНСТАТ</v>
      </c>
      <c r="B15635" s="24" t="s">
        <v>17951</v>
      </c>
      <c r="C15635" s="25">
        <v>319080</v>
      </c>
      <c r="D15635" s="22" t="s">
        <v>17952</v>
      </c>
      <c r="E15635" s="22" t="s">
        <v>68</v>
      </c>
      <c r="F15635" s="23" t="str">
        <f>HYPERLINK("https://www.spark-marketing.ru/Card/Lot/67762955", "услуги вневедомственной охраны")</f>
        <v>услуги вневедомственной охраны</v>
      </c>
      <c r="G15635" s="22" t="s">
        <v>724</v>
      </c>
      <c r="H15635" s="22" t="s">
        <v>5711</v>
      </c>
      <c r="I15635" s="26">
        <v>43503</v>
      </c>
      <c r="J15635" s="28" t="s">
        <v>52</v>
      </c>
      <c r="K15635" s="28" t="s">
        <v>52</v>
      </c>
      <c r="L15635" s="28" t="s">
        <v>52</v>
      </c>
      <c r="M15635" s="28" t="s">
        <v>52</v>
      </c>
      <c r="N15635" s="28" t="s">
        <v>52</v>
      </c>
    </row>
    <row r="15636" spans="1:14" x14ac:dyDescent="0.15">
      <c r="A15636" s="23" t="str">
        <f>HYPERLINK("https://www.spark-marketing.ru/Card/Person/4350490", "МБУ ""ВОИС""")</f>
        <v>МБУ "ВОИС"</v>
      </c>
      <c r="B15636" s="24" t="s">
        <v>2079</v>
      </c>
      <c r="C15636" s="25">
        <v>152763.45000000001</v>
      </c>
      <c r="D15636" s="22" t="s">
        <v>17953</v>
      </c>
      <c r="E15636" s="22" t="s">
        <v>68</v>
      </c>
      <c r="F15636" s="23" t="str">
        <f>HYPERLINK("https://www.spark-marketing.ru/Card/Lot/67760303", "Техническое обслуживание тревожной сигнализации")</f>
        <v>Техническое обслуживание тревожной сигнализации</v>
      </c>
      <c r="G15636" s="22" t="s">
        <v>72</v>
      </c>
      <c r="H15636" s="22" t="s">
        <v>949</v>
      </c>
      <c r="I15636" s="26">
        <v>43503</v>
      </c>
      <c r="J15636" s="28" t="s">
        <v>52</v>
      </c>
      <c r="K15636" s="28" t="s">
        <v>52</v>
      </c>
      <c r="L15636" s="28" t="s">
        <v>52</v>
      </c>
      <c r="M15636" s="28" t="s">
        <v>52</v>
      </c>
      <c r="N15636" s="28" t="s">
        <v>52</v>
      </c>
    </row>
    <row r="15637" spans="1:14" x14ac:dyDescent="0.15">
      <c r="A15637" s="23" t="str">
        <f>HYPERLINK("https://www.spark-marketing.ru/Card/Person/1080495", "МЕЖРАЙОННАЯ ИФНС РОССИИ № 8 ПО ЯРОСЛАВСКОЙ ОБЛАСТИ")</f>
        <v>МЕЖРАЙОННАЯ ИФНС РОССИИ № 8 ПО ЯРОСЛАВСКОЙ ОБЛАСТИ</v>
      </c>
      <c r="B15637" s="24" t="s">
        <v>17954</v>
      </c>
      <c r="C15637" s="25">
        <v>365120.91</v>
      </c>
      <c r="D15637" s="22" t="s">
        <v>17955</v>
      </c>
      <c r="E15637" s="22" t="s">
        <v>68</v>
      </c>
      <c r="F15637" s="23" t="str">
        <f>HYPERLINK("https://www.spark-marketing.ru/Card/Lot/67785871", "Оказание услуг по охране имущества и осуществлению пропускного и внутриобъектового режимов в административном здании")</f>
        <v>Оказание услуг по охране имущества и осуществлению пропускного и внутриобъектового режимов в административном здании</v>
      </c>
      <c r="G15637" s="22" t="s">
        <v>155</v>
      </c>
      <c r="H15637" s="22" t="s">
        <v>17956</v>
      </c>
      <c r="I15637" s="26">
        <v>43503</v>
      </c>
      <c r="J15637" s="28" t="s">
        <v>52</v>
      </c>
      <c r="K15637" s="28" t="s">
        <v>52</v>
      </c>
      <c r="L15637" s="28" t="s">
        <v>52</v>
      </c>
      <c r="M15637" s="28" t="s">
        <v>52</v>
      </c>
      <c r="N15637" s="28" t="s">
        <v>52</v>
      </c>
    </row>
    <row r="15638" spans="1:14" hidden="1" outlineLevel="1" x14ac:dyDescent="0.2">
      <c r="A15638" s="23" t="str">
        <f>HYPERLINK("https://www.spark-marketing.ru/Card/Person/1080495", "МЕЖРАЙОННАЯ ИФНС РОССИИ № 8 ПО ЯРОСЛАВСКОЙ ОБЛАСТИ")</f>
        <v>МЕЖРАЙОННАЯ ИФНС РОССИИ № 8 ПО ЯРОСЛАВСКОЙ ОБЛАСТИ</v>
      </c>
      <c r="B15638" s="24" t="s">
        <v>17954</v>
      </c>
      <c r="C15638" s="25">
        <v>365120.91</v>
      </c>
      <c r="D15638" s="22" t="s">
        <v>17955</v>
      </c>
      <c r="E15638" s="22" t="s">
        <v>68</v>
      </c>
      <c r="F15638" s="23" t="str">
        <f>HYPERLINK("https://www.spark-marketing.ru/Card/Lot/67785871", "Оказание услуг по охране имущества и осуществлению пропускного и внутриобъектового режимов в административном здании")</f>
        <v>Оказание услуг по охране имущества и осуществлению пропускного и внутриобъектового режимов в административном здании</v>
      </c>
      <c r="G15638" s="22" t="s">
        <v>155</v>
      </c>
      <c r="H15638" s="22" t="s">
        <v>17956</v>
      </c>
      <c r="I15638" s="26">
        <v>43503</v>
      </c>
      <c r="J15638" s="23" t="str">
        <f>HYPERLINK("https://www.spark-marketing.ru/Card/Person/873642", "ООО ""ЧОП ""ЗВЕЗДА +""")</f>
        <v>ООО "ЧОП "ЗВЕЗДА +"</v>
      </c>
      <c r="K15638" s="24" t="s">
        <v>17957</v>
      </c>
      <c r="L15638" s="28" t="s">
        <v>52</v>
      </c>
      <c r="M15638" s="25">
        <v>363295.31</v>
      </c>
      <c r="N15638" s="27">
        <v>4.9999875383746166E-3</v>
      </c>
    </row>
    <row r="15639" spans="1:14" ht="12.75" hidden="1" outlineLevel="1" x14ac:dyDescent="0.2">
      <c r="A15639" s="23" t="str">
        <f>HYPERLINK("https://www.spark-marketing.ru/Card/Person/1080495", "МЕЖРАЙОННАЯ ИФНС РОССИИ № 8 ПО ЯРОСЛАВСКОЙ ОБЛАСТИ")</f>
        <v>МЕЖРАЙОННАЯ ИФНС РОССИИ № 8 ПО ЯРОСЛАВСКОЙ ОБЛАСТИ</v>
      </c>
      <c r="B15639" s="24" t="s">
        <v>17954</v>
      </c>
      <c r="C15639" s="25">
        <v>365120.91</v>
      </c>
      <c r="D15639" s="22" t="s">
        <v>17955</v>
      </c>
      <c r="E15639" s="22" t="s">
        <v>68</v>
      </c>
      <c r="F15639" s="23" t="str">
        <f>HYPERLINK("https://www.spark-marketing.ru/Card/Lot/67785871", "Оказание услуг по охране имущества и осуществлению пропускного и внутриобъектового режимов в административном здании")</f>
        <v>Оказание услуг по охране имущества и осуществлению пропускного и внутриобъектового режимов в административном здании</v>
      </c>
      <c r="G15639" s="22" t="s">
        <v>155</v>
      </c>
      <c r="H15639" s="22" t="s">
        <v>17956</v>
      </c>
      <c r="I15639" s="26">
        <v>43503</v>
      </c>
      <c r="J15639" s="23" t="str">
        <f>HYPERLINK("https://www.spark-marketing.ru/Card/Person/883784", "ООО ""ЧОП ""ЧАЙКА""")</f>
        <v>ООО "ЧОП "ЧАЙКА"</v>
      </c>
      <c r="K15639" s="24" t="s">
        <v>17958</v>
      </c>
      <c r="L15639" s="22" t="s">
        <v>10</v>
      </c>
      <c r="M15639" s="25">
        <v>361168.5</v>
      </c>
      <c r="N15639" s="27">
        <v>1.0824934677118328E-2</v>
      </c>
    </row>
    <row r="15640" spans="1:14" hidden="1" outlineLevel="1" x14ac:dyDescent="0.2">
      <c r="A15640" s="23" t="str">
        <f>HYPERLINK("https://www.spark-marketing.ru/Card/Person/1080495", "МЕЖРАЙОННАЯ ИФНС РОССИИ № 8 ПО ЯРОСЛАВСКОЙ ОБЛАСТИ")</f>
        <v>МЕЖРАЙОННАЯ ИФНС РОССИИ № 8 ПО ЯРОСЛАВСКОЙ ОБЛАСТИ</v>
      </c>
      <c r="B15640" s="24" t="s">
        <v>17954</v>
      </c>
      <c r="C15640" s="25">
        <v>365120.91</v>
      </c>
      <c r="D15640" s="22" t="s">
        <v>17955</v>
      </c>
      <c r="E15640" s="22" t="s">
        <v>68</v>
      </c>
      <c r="F15640" s="23" t="str">
        <f>HYPERLINK("https://www.spark-marketing.ru/Card/Lot/67785871", "Оказание услуг по охране имущества и осуществлению пропускного и внутриобъектового режимов в административном здании")</f>
        <v>Оказание услуг по охране имущества и осуществлению пропускного и внутриобъектового режимов в административном здании</v>
      </c>
      <c r="G15640" s="22" t="s">
        <v>155</v>
      </c>
      <c r="H15640" s="22" t="s">
        <v>17956</v>
      </c>
      <c r="I15640" s="26">
        <v>43503</v>
      </c>
      <c r="J15640" s="23" t="str">
        <f>HYPERLINK("https://www.spark-marketing.ru/Card/Person/876718", "ООО ""ЧОО ""ГАРАНТ""")</f>
        <v>ООО "ЧОО "ГАРАНТ"</v>
      </c>
      <c r="K15640" s="24" t="s">
        <v>17959</v>
      </c>
      <c r="L15640" s="28" t="s">
        <v>52</v>
      </c>
      <c r="M15640" s="25">
        <v>361168.5</v>
      </c>
      <c r="N15640" s="27">
        <v>1.0824934677118328E-2</v>
      </c>
    </row>
    <row r="15641" spans="1:14" x14ac:dyDescent="0.15">
      <c r="A15641" s="23" t="str">
        <f>HYPERLINK("https://www.spark-marketing.ru/Card/Person/4376262", "УПФР В ЯГОДНИНСКОМ РАЙОНЕ МАГАДАНСКОЙ ОБЛАСТИ")</f>
        <v>УПФР В ЯГОДНИНСКОМ РАЙОНЕ МАГАДАНСКОЙ ОБЛАСТИ</v>
      </c>
      <c r="B15641" s="24" t="s">
        <v>15199</v>
      </c>
      <c r="C15641" s="25">
        <v>528582.6</v>
      </c>
      <c r="D15641" s="22" t="s">
        <v>17960</v>
      </c>
      <c r="E15641" s="22" t="s">
        <v>68</v>
      </c>
      <c r="F15641" s="23" t="str">
        <f>HYPERLINK("https://www.spark-marketing.ru/Card/Lot/67753970", "Услуги охраны помещения и имущества УПФР в Ягоднинском районе Магаданской области путем централизованной охраны при помощи технических средств (ТСО), установленных на охраняемом объекте, подключенных на пульт централизованного наблюдения (ПЦН)")</f>
        <v>Услуги охраны помещения и имущества УПФР в Ягоднинском районе Магаданской области путем централизованной охраны при помощи технических средств (ТСО), установленных на охраняемом объекте, подключенных на пульт централизованного наблюдения (ПЦН)</v>
      </c>
      <c r="G15641" s="22" t="s">
        <v>808</v>
      </c>
      <c r="H15641" s="22" t="s">
        <v>15201</v>
      </c>
      <c r="I15641" s="26">
        <v>43503</v>
      </c>
      <c r="J15641" s="28" t="s">
        <v>52</v>
      </c>
      <c r="K15641" s="28" t="s">
        <v>52</v>
      </c>
      <c r="L15641" s="28" t="s">
        <v>52</v>
      </c>
      <c r="M15641" s="28" t="s">
        <v>52</v>
      </c>
      <c r="N15641" s="28" t="s">
        <v>52</v>
      </c>
    </row>
    <row r="15642" spans="1:14" x14ac:dyDescent="0.15">
      <c r="A15642" s="23" t="str">
        <f>HYPERLINK("https://www.spark-marketing.ru/Card/Person/149911", "МБДОУ ""ДЕТСКИЙ САД КОМБИНИРОВАННОГО ВИДА №24"" НМР РТ")</f>
        <v>МБДОУ "ДЕТСКИЙ САД КОМБИНИРОВАННОГО ВИДА №24" НМР РТ</v>
      </c>
      <c r="B15642" s="24" t="s">
        <v>15103</v>
      </c>
      <c r="C15642" s="25">
        <v>7760</v>
      </c>
      <c r="D15642" s="22" t="s">
        <v>17961</v>
      </c>
      <c r="E15642" s="22" t="s">
        <v>53</v>
      </c>
      <c r="F15642" s="23" t="str">
        <f>HYPERLINK("https://www.spark-marketing.ru/Card/Lot/73662088", "Техническое обслуживание системы видеонаблюдения")</f>
        <v>Техническое обслуживание системы видеонаблюдения</v>
      </c>
      <c r="G15642" s="22" t="s">
        <v>204</v>
      </c>
      <c r="H15642" s="22" t="s">
        <v>824</v>
      </c>
      <c r="I15642" s="26">
        <v>43503.000694444403</v>
      </c>
      <c r="J15642" s="28" t="s">
        <v>52</v>
      </c>
      <c r="K15642" s="28" t="s">
        <v>52</v>
      </c>
      <c r="L15642" s="28" t="s">
        <v>52</v>
      </c>
      <c r="M15642" s="28" t="s">
        <v>52</v>
      </c>
      <c r="N15642" s="28" t="s">
        <v>52</v>
      </c>
    </row>
    <row r="15643" spans="1:14" x14ac:dyDescent="0.15">
      <c r="A15643" s="23" t="str">
        <f>HYPERLINK("https://www.spark-marketing.ru/Card/Person/51688", "ФГКУ КОМБИНАТ ""МИР"" РОСРЕЗЕРВА")</f>
        <v>ФГКУ КОМБИНАТ "МИР" РОСРЕЗЕРВА</v>
      </c>
      <c r="B15643" s="24" t="s">
        <v>17962</v>
      </c>
      <c r="C15643" s="25">
        <v>22666.5</v>
      </c>
      <c r="D15643" s="22" t="s">
        <v>17963</v>
      </c>
      <c r="E15643" s="22" t="s">
        <v>68</v>
      </c>
      <c r="F15643" s="23" t="str">
        <f>HYPERLINK("https://www.spark-marketing.ru/Card/Lot/67759642", "Охрана объекта с помощью средств тревожной сигнализации")</f>
        <v>Охрана объекта с помощью средств тревожной сигнализации</v>
      </c>
      <c r="G15643" s="22" t="s">
        <v>343</v>
      </c>
      <c r="H15643" s="22" t="s">
        <v>344</v>
      </c>
      <c r="I15643" s="26">
        <v>43503</v>
      </c>
      <c r="J15643" s="28" t="s">
        <v>52</v>
      </c>
      <c r="K15643" s="28" t="s">
        <v>52</v>
      </c>
      <c r="L15643" s="28" t="s">
        <v>52</v>
      </c>
      <c r="M15643" s="28" t="s">
        <v>52</v>
      </c>
      <c r="N15643" s="28" t="s">
        <v>52</v>
      </c>
    </row>
    <row r="15644" spans="1:14" x14ac:dyDescent="0.15">
      <c r="A15644" s="23" t="str">
        <f>HYPERLINK("https://www.spark-marketing.ru/Card/Person/7102", "НАРОДНЫЙ ХУРАЛ РЕСПУБЛИКИ БУРЯТИЯ")</f>
        <v>НАРОДНЫЙ ХУРАЛ РЕСПУБЛИКИ БУРЯТИЯ</v>
      </c>
      <c r="B15644" s="24" t="s">
        <v>17964</v>
      </c>
      <c r="C15644" s="25">
        <v>50000</v>
      </c>
      <c r="D15644" s="22" t="s">
        <v>17965</v>
      </c>
      <c r="E15644" s="22" t="s">
        <v>15486</v>
      </c>
      <c r="F15644" s="23" t="str">
        <f>HYPERLINK("https://www.spark-marketing.ru/Card/Lot/67770789", "Обслуживание официальных делегаций в бизнес-зале аэропорта Улан-Удэ и оказание услуг по пропуску и персональному сопровождению автотранспорта, пассажиров, багажа, грузов в аэропорту Улан-Удэ")</f>
        <v>Обслуживание официальных делегаций в бизнес-зале аэропорта Улан-Удэ и оказание услуг по пропуску и персональному сопровождению автотранспорта, пассажиров, багажа, грузов в аэропорту Улан-Удэ</v>
      </c>
      <c r="G15644" s="22" t="s">
        <v>354</v>
      </c>
      <c r="H15644" s="22" t="s">
        <v>355</v>
      </c>
      <c r="I15644" s="26">
        <v>43503</v>
      </c>
      <c r="J15644" s="28" t="s">
        <v>52</v>
      </c>
      <c r="K15644" s="28" t="s">
        <v>52</v>
      </c>
      <c r="L15644" s="28" t="s">
        <v>52</v>
      </c>
      <c r="M15644" s="28" t="s">
        <v>52</v>
      </c>
      <c r="N15644" s="28" t="s">
        <v>52</v>
      </c>
    </row>
    <row r="15645" spans="1:14" x14ac:dyDescent="0.15">
      <c r="A15645" s="23" t="str">
        <f>HYPERLINK("https://www.spark-marketing.ru/Card/Person/408864", "ГБУЗ НСО ""КОЧКОВСКАЯ ЦРБ""")</f>
        <v>ГБУЗ НСО "КОЧКОВСКАЯ ЦРБ"</v>
      </c>
      <c r="B15645" s="24" t="s">
        <v>17966</v>
      </c>
      <c r="C15645" s="25">
        <v>98108.160000000003</v>
      </c>
      <c r="D15645" s="22" t="s">
        <v>17967</v>
      </c>
      <c r="E15645" s="22" t="s">
        <v>68</v>
      </c>
      <c r="F15645" s="23" t="str">
        <f>HYPERLINK("https://www.spark-marketing.ru/Card/Lot/67758987", "услуги по централизованному наблюдению")</f>
        <v>услуги по централизованному наблюдению</v>
      </c>
      <c r="G15645" s="22" t="s">
        <v>209</v>
      </c>
      <c r="H15645" s="22" t="s">
        <v>5633</v>
      </c>
      <c r="I15645" s="26">
        <v>43503</v>
      </c>
      <c r="J15645" s="28" t="s">
        <v>52</v>
      </c>
      <c r="K15645" s="28" t="s">
        <v>52</v>
      </c>
      <c r="L15645" s="28" t="s">
        <v>52</v>
      </c>
      <c r="M15645" s="28" t="s">
        <v>52</v>
      </c>
      <c r="N15645" s="28" t="s">
        <v>52</v>
      </c>
    </row>
    <row r="15646" spans="1:14" x14ac:dyDescent="0.15">
      <c r="A15646" s="23" t="str">
        <f>HYPERLINK("https://www.spark-marketing.ru/Card/Person/149957", "МАДОУ ""ДЕТСКИЙ САД ОБЩЕРАЗВИВАЮЩЕГО ВИДА №15"" НМР РТ")</f>
        <v>МАДОУ "ДЕТСКИЙ САД ОБЩЕРАЗВИВАЮЩЕГО ВИДА №15" НМР РТ</v>
      </c>
      <c r="B15646" s="24" t="s">
        <v>15104</v>
      </c>
      <c r="C15646" s="25">
        <v>6300</v>
      </c>
      <c r="D15646" s="22" t="s">
        <v>17968</v>
      </c>
      <c r="E15646" s="22" t="s">
        <v>53</v>
      </c>
      <c r="F15646" s="23" t="str">
        <f>HYPERLINK("https://www.spark-marketing.ru/Card/Lot/73661105", "Техническое обслуживание системы видеонаблюдения")</f>
        <v>Техническое обслуживание системы видеонаблюдения</v>
      </c>
      <c r="G15646" s="22" t="s">
        <v>204</v>
      </c>
      <c r="H15646" s="22" t="s">
        <v>824</v>
      </c>
      <c r="I15646" s="26">
        <v>43503.670833333301</v>
      </c>
      <c r="J15646" s="28" t="s">
        <v>52</v>
      </c>
      <c r="K15646" s="28" t="s">
        <v>52</v>
      </c>
      <c r="L15646" s="28" t="s">
        <v>52</v>
      </c>
      <c r="M15646" s="28" t="s">
        <v>52</v>
      </c>
      <c r="N15646" s="28" t="s">
        <v>52</v>
      </c>
    </row>
    <row r="15647" spans="1:14" x14ac:dyDescent="0.15">
      <c r="A15647" s="23" t="str">
        <f>HYPERLINK("https://www.spark-marketing.ru/Card/Person/1053154", "ФГКУ КОМБИНАТ ""ЭНЕРГИЯ"" РОСРЕЗЕРВА")</f>
        <v>ФГКУ КОМБИНАТ "ЭНЕРГИЯ" РОСРЕЗЕРВА</v>
      </c>
      <c r="B15647" s="24" t="s">
        <v>17969</v>
      </c>
      <c r="C15647" s="25">
        <v>71891.100000000006</v>
      </c>
      <c r="D15647" s="22" t="s">
        <v>17970</v>
      </c>
      <c r="E15647" s="22" t="s">
        <v>52</v>
      </c>
      <c r="F15647" s="23" t="str">
        <f>HYPERLINK("https://www.spark-marketing.ru/Card/Lot/67760738", "Услуги по  охране вагонов(цистерн) с номенклатурными  грузами, требующими обязательного сопровождения и охраны на  железнодорожных путях  не общего пользования")</f>
        <v>Услуги по  охране вагонов(цистерн) с номенклатурными  грузами, требующими обязательного сопровождения и охраны на  железнодорожных путях  не общего пользования</v>
      </c>
      <c r="G15647" s="22" t="s">
        <v>760</v>
      </c>
      <c r="H15647" s="22" t="s">
        <v>17971</v>
      </c>
      <c r="I15647" s="26">
        <v>43503</v>
      </c>
      <c r="J15647" s="28" t="s">
        <v>52</v>
      </c>
      <c r="K15647" s="28" t="s">
        <v>52</v>
      </c>
      <c r="L15647" s="28" t="s">
        <v>52</v>
      </c>
      <c r="M15647" s="28" t="s">
        <v>52</v>
      </c>
      <c r="N15647" s="28" t="s">
        <v>52</v>
      </c>
    </row>
    <row r="15648" spans="1:14" x14ac:dyDescent="0.15">
      <c r="A15648" s="23" t="str">
        <f>HYPERLINK("https://www.spark-marketing.ru/Card/Person/148084", "МАДОУ ""ДЕТСКИЙ САД ОБЩЕРАЗВИВАЮЩЕГО ВИДА № 72"" НМР РТ")</f>
        <v>МАДОУ "ДЕТСКИЙ САД ОБЩЕРАЗВИВАЮЩЕГО ВИДА № 72" НМР РТ</v>
      </c>
      <c r="B15648" s="24" t="s">
        <v>15117</v>
      </c>
      <c r="C15648" s="25">
        <v>6200</v>
      </c>
      <c r="D15648" s="22" t="s">
        <v>17972</v>
      </c>
      <c r="E15648" s="22" t="s">
        <v>53</v>
      </c>
      <c r="F15648" s="23" t="str">
        <f>HYPERLINK("https://www.spark-marketing.ru/Card/Lot/73694434", "Техническое обслуживание системы видеонаблюдения")</f>
        <v>Техническое обслуживание системы видеонаблюдения</v>
      </c>
      <c r="G15648" s="22" t="s">
        <v>204</v>
      </c>
      <c r="H15648" s="22" t="s">
        <v>824</v>
      </c>
      <c r="I15648" s="26">
        <v>43503.000694444403</v>
      </c>
      <c r="J15648" s="28" t="s">
        <v>52</v>
      </c>
      <c r="K15648" s="28" t="s">
        <v>52</v>
      </c>
      <c r="L15648" s="28" t="s">
        <v>52</v>
      </c>
      <c r="M15648" s="28" t="s">
        <v>52</v>
      </c>
      <c r="N15648" s="28" t="s">
        <v>52</v>
      </c>
    </row>
    <row r="15649" spans="1:14" x14ac:dyDescent="0.15">
      <c r="A15649" s="23" t="str">
        <f t="shared" ref="A15649:A15655" si="820">HYPERLINK("https://www.spark-marketing.ru/Card/Person/1008224", "ГКУ СО ""КЦСОН ЮЖНОГО ОКРУГА""")</f>
        <v>ГКУ СО "КЦСОН ЮЖНОГО ОКРУГА"</v>
      </c>
      <c r="B15649" s="24" t="s">
        <v>17973</v>
      </c>
      <c r="C15649" s="25">
        <v>28000</v>
      </c>
      <c r="D15649" s="22" t="s">
        <v>17974</v>
      </c>
      <c r="E15649" s="22" t="s">
        <v>103</v>
      </c>
      <c r="F15649" s="23" t="str">
        <f t="shared" ref="F15649:F15655" si="821">HYPERLINK("https://www.spark-marketing.ru/Card/Lot/67760128", "Оказание услуг по техническому обслуживанию средств системы видеонаблюдения для нужд ГКУ СО ""КЦСОН ЮЖНОГО ОКРУГА""")</f>
        <v>Оказание услуг по техническому обслуживанию средств системы видеонаблюдения для нужд ГКУ СО "КЦСОН ЮЖНОГО ОКРУГА"</v>
      </c>
      <c r="G15649" s="22" t="s">
        <v>760</v>
      </c>
      <c r="H15649" s="22" t="s">
        <v>6152</v>
      </c>
      <c r="I15649" s="26">
        <v>43503</v>
      </c>
      <c r="J15649" s="28" t="s">
        <v>52</v>
      </c>
      <c r="K15649" s="28" t="s">
        <v>52</v>
      </c>
      <c r="L15649" s="28" t="s">
        <v>52</v>
      </c>
      <c r="M15649" s="28" t="s">
        <v>52</v>
      </c>
      <c r="N15649" s="28" t="s">
        <v>52</v>
      </c>
    </row>
    <row r="15650" spans="1:14" hidden="1" outlineLevel="1" x14ac:dyDescent="0.2">
      <c r="A15650" s="23" t="str">
        <f t="shared" si="820"/>
        <v>ГКУ СО "КЦСОН ЮЖНОГО ОКРУГА"</v>
      </c>
      <c r="B15650" s="24" t="s">
        <v>17973</v>
      </c>
      <c r="C15650" s="25">
        <v>28000</v>
      </c>
      <c r="D15650" s="22" t="s">
        <v>17974</v>
      </c>
      <c r="E15650" s="22" t="s">
        <v>103</v>
      </c>
      <c r="F15650" s="23" t="str">
        <f t="shared" si="821"/>
        <v>Оказание услуг по техническому обслуживанию средств системы видеонаблюдения для нужд ГКУ СО "КЦСОН ЮЖНОГО ОКРУГА"</v>
      </c>
      <c r="G15650" s="22" t="s">
        <v>760</v>
      </c>
      <c r="H15650" s="22" t="s">
        <v>6152</v>
      </c>
      <c r="I15650" s="26">
        <v>43503</v>
      </c>
      <c r="J15650" s="23" t="str">
        <f>HYPERLINK("https://www.spark-marketing.ru/Card/Person/53497", "ООО ""АЛЬФА-ПОЖАРНАЯ БЕЗОПАСНОСТЬ""")</f>
        <v>ООО "АЛЬФА-ПОЖАРНАЯ БЕЗОПАСНОСТЬ"</v>
      </c>
      <c r="K15650" s="24" t="s">
        <v>6375</v>
      </c>
      <c r="L15650" s="28" t="s">
        <v>52</v>
      </c>
      <c r="M15650" s="25">
        <v>15960</v>
      </c>
      <c r="N15650" s="27">
        <v>0.43</v>
      </c>
    </row>
    <row r="15651" spans="1:14" hidden="1" outlineLevel="1" x14ac:dyDescent="0.2">
      <c r="A15651" s="23" t="str">
        <f t="shared" si="820"/>
        <v>ГКУ СО "КЦСОН ЮЖНОГО ОКРУГА"</v>
      </c>
      <c r="B15651" s="24" t="s">
        <v>17973</v>
      </c>
      <c r="C15651" s="25">
        <v>28000</v>
      </c>
      <c r="D15651" s="22" t="s">
        <v>17974</v>
      </c>
      <c r="E15651" s="22" t="s">
        <v>103</v>
      </c>
      <c r="F15651" s="23" t="str">
        <f t="shared" si="821"/>
        <v>Оказание услуг по техническому обслуживанию средств системы видеонаблюдения для нужд ГКУ СО "КЦСОН ЮЖНОГО ОКРУГА"</v>
      </c>
      <c r="G15651" s="22" t="s">
        <v>760</v>
      </c>
      <c r="H15651" s="22" t="s">
        <v>6152</v>
      </c>
      <c r="I15651" s="26">
        <v>43503</v>
      </c>
      <c r="J15651" s="23" t="str">
        <f>HYPERLINK("https://www.spark-marketing.ru/Card/Person/6268376", "ООО ""ИСВ-ИНЖИНИРИНГ""")</f>
        <v>ООО "ИСВ-ИНЖИНИРИНГ"</v>
      </c>
      <c r="K15651" s="24" t="s">
        <v>17975</v>
      </c>
      <c r="L15651" s="28" t="s">
        <v>52</v>
      </c>
      <c r="M15651" s="25">
        <v>9020</v>
      </c>
      <c r="N15651" s="27">
        <v>0.67785714285714282</v>
      </c>
    </row>
    <row r="15652" spans="1:14" hidden="1" outlineLevel="1" x14ac:dyDescent="0.2">
      <c r="A15652" s="23" t="str">
        <f t="shared" si="820"/>
        <v>ГКУ СО "КЦСОН ЮЖНОГО ОКРУГА"</v>
      </c>
      <c r="B15652" s="24" t="s">
        <v>17973</v>
      </c>
      <c r="C15652" s="25">
        <v>28000</v>
      </c>
      <c r="D15652" s="22" t="s">
        <v>17974</v>
      </c>
      <c r="E15652" s="22" t="s">
        <v>103</v>
      </c>
      <c r="F15652" s="23" t="str">
        <f t="shared" si="821"/>
        <v>Оказание услуг по техническому обслуживанию средств системы видеонаблюдения для нужд ГКУ СО "КЦСОН ЮЖНОГО ОКРУГА"</v>
      </c>
      <c r="G15652" s="22" t="s">
        <v>760</v>
      </c>
      <c r="H15652" s="22" t="s">
        <v>6152</v>
      </c>
      <c r="I15652" s="26">
        <v>43503</v>
      </c>
      <c r="J15652" s="23" t="str">
        <f>HYPERLINK("https://www.spark-marketing.ru/Card/Person/347229", "ООО ""ТТЛ-СТРОЙ""")</f>
        <v>ООО "ТТЛ-СТРОЙ"</v>
      </c>
      <c r="K15652" s="24" t="s">
        <v>17976</v>
      </c>
      <c r="L15652" s="28" t="s">
        <v>52</v>
      </c>
      <c r="M15652" s="25">
        <v>21560</v>
      </c>
      <c r="N15652" s="27">
        <v>0.23</v>
      </c>
    </row>
    <row r="15653" spans="1:14" hidden="1" outlineLevel="1" x14ac:dyDescent="0.2">
      <c r="A15653" s="23" t="str">
        <f t="shared" si="820"/>
        <v>ГКУ СО "КЦСОН ЮЖНОГО ОКРУГА"</v>
      </c>
      <c r="B15653" s="24" t="s">
        <v>17973</v>
      </c>
      <c r="C15653" s="25">
        <v>28000</v>
      </c>
      <c r="D15653" s="22" t="s">
        <v>17974</v>
      </c>
      <c r="E15653" s="22" t="s">
        <v>103</v>
      </c>
      <c r="F15653" s="23" t="str">
        <f t="shared" si="821"/>
        <v>Оказание услуг по техническому обслуживанию средств системы видеонаблюдения для нужд ГКУ СО "КЦСОН ЮЖНОГО ОКРУГА"</v>
      </c>
      <c r="G15653" s="22" t="s">
        <v>760</v>
      </c>
      <c r="H15653" s="22" t="s">
        <v>6152</v>
      </c>
      <c r="I15653" s="26">
        <v>43503</v>
      </c>
      <c r="J15653" s="23" t="str">
        <f>HYPERLINK("https://www.spark-marketing.ru/Card/Person/672047", "ООО ""ЭКО163""")</f>
        <v>ООО "ЭКО163"</v>
      </c>
      <c r="K15653" s="24" t="s">
        <v>17977</v>
      </c>
      <c r="L15653" s="28" t="s">
        <v>52</v>
      </c>
      <c r="M15653" s="25">
        <v>27580</v>
      </c>
      <c r="N15653" s="27">
        <v>1.4999999999999999E-2</v>
      </c>
    </row>
    <row r="15654" spans="1:14" ht="12.75" hidden="1" outlineLevel="1" x14ac:dyDescent="0.2">
      <c r="A15654" s="23" t="str">
        <f t="shared" si="820"/>
        <v>ГКУ СО "КЦСОН ЮЖНОГО ОКРУГА"</v>
      </c>
      <c r="B15654" s="24" t="s">
        <v>17973</v>
      </c>
      <c r="C15654" s="25">
        <v>28000</v>
      </c>
      <c r="D15654" s="22" t="s">
        <v>17974</v>
      </c>
      <c r="E15654" s="22" t="s">
        <v>103</v>
      </c>
      <c r="F15654" s="23" t="str">
        <f t="shared" si="821"/>
        <v>Оказание услуг по техническому обслуживанию средств системы видеонаблюдения для нужд ГКУ СО "КЦСОН ЮЖНОГО ОКРУГА"</v>
      </c>
      <c r="G15654" s="22" t="s">
        <v>760</v>
      </c>
      <c r="H15654" s="22" t="s">
        <v>6152</v>
      </c>
      <c r="I15654" s="26">
        <v>43503</v>
      </c>
      <c r="J15654" s="23" t="str">
        <f>HYPERLINK("https://www.spark-marketing.ru/Card/Person/416067", "Несмеянов Василий Викторович")</f>
        <v>Несмеянов Василий Викторович</v>
      </c>
      <c r="K15654" s="24" t="s">
        <v>17978</v>
      </c>
      <c r="L15654" s="22" t="s">
        <v>10</v>
      </c>
      <c r="M15654" s="25">
        <v>3700</v>
      </c>
      <c r="N15654" s="27">
        <v>0.86785714285714288</v>
      </c>
    </row>
    <row r="15655" spans="1:14" hidden="1" outlineLevel="1" x14ac:dyDescent="0.2">
      <c r="A15655" s="23" t="str">
        <f t="shared" si="820"/>
        <v>ГКУ СО "КЦСОН ЮЖНОГО ОКРУГА"</v>
      </c>
      <c r="B15655" s="24" t="s">
        <v>17973</v>
      </c>
      <c r="C15655" s="25">
        <v>28000</v>
      </c>
      <c r="D15655" s="22" t="s">
        <v>17974</v>
      </c>
      <c r="E15655" s="22" t="s">
        <v>103</v>
      </c>
      <c r="F15655" s="23" t="str">
        <f t="shared" si="821"/>
        <v>Оказание услуг по техническому обслуживанию средств системы видеонаблюдения для нужд ГКУ СО "КЦСОН ЮЖНОГО ОКРУГА"</v>
      </c>
      <c r="G15655" s="22" t="s">
        <v>760</v>
      </c>
      <c r="H15655" s="22" t="s">
        <v>6152</v>
      </c>
      <c r="I15655" s="26">
        <v>43503</v>
      </c>
      <c r="J15655" s="23" t="str">
        <f>HYPERLINK("https://www.spark-marketing.ru/Card/Person/432539", "ООО ""СОТЫ""")</f>
        <v>ООО "СОТЫ"</v>
      </c>
      <c r="K15655" s="24" t="s">
        <v>17979</v>
      </c>
      <c r="L15655" s="28" t="s">
        <v>52</v>
      </c>
      <c r="M15655" s="25">
        <v>3840</v>
      </c>
      <c r="N15655" s="27">
        <v>0.86285714285714288</v>
      </c>
    </row>
    <row r="15656" spans="1:14" x14ac:dyDescent="0.15">
      <c r="A15656" s="23" t="str">
        <f>HYPERLINK("https://www.spark-marketing.ru/Card/Person/146472", "МЕЖРАЙОННАЯ ИФНС РОССИИ № 6 ПО КОСТРОМСКОЙ ОБЛАСТИ")</f>
        <v>МЕЖРАЙОННАЯ ИФНС РОССИИ № 6 ПО КОСТРОМСКОЙ ОБЛАСТИ</v>
      </c>
      <c r="B15656" s="24" t="s">
        <v>17980</v>
      </c>
      <c r="C15656" s="25">
        <v>499587.6</v>
      </c>
      <c r="D15656" s="22" t="s">
        <v>17981</v>
      </c>
      <c r="E15656" s="22" t="s">
        <v>68</v>
      </c>
      <c r="F15656" s="23" t="str">
        <f>HYPERLINK("https://www.spark-marketing.ru/Card/Lot/67782021", "Услуги по охране объектов путем осуществления контрольно-пропускного режима с использованием специальных средств")</f>
        <v>Услуги по охране объектов путем осуществления контрольно-пропускного режима с использованием специальных средств</v>
      </c>
      <c r="G15656" s="22" t="s">
        <v>1104</v>
      </c>
      <c r="H15656" s="22" t="s">
        <v>1104</v>
      </c>
      <c r="I15656" s="26">
        <v>43503</v>
      </c>
      <c r="J15656" s="28" t="s">
        <v>52</v>
      </c>
      <c r="K15656" s="28" t="s">
        <v>52</v>
      </c>
      <c r="L15656" s="28" t="s">
        <v>52</v>
      </c>
      <c r="M15656" s="28" t="s">
        <v>52</v>
      </c>
      <c r="N15656" s="28" t="s">
        <v>52</v>
      </c>
    </row>
    <row r="15657" spans="1:14" ht="12.75" hidden="1" outlineLevel="1" x14ac:dyDescent="0.2">
      <c r="A15657" s="23" t="str">
        <f>HYPERLINK("https://www.spark-marketing.ru/Card/Person/146472", "МЕЖРАЙОННАЯ ИФНС РОССИИ № 6 ПО КОСТРОМСКОЙ ОБЛАСТИ")</f>
        <v>МЕЖРАЙОННАЯ ИФНС РОССИИ № 6 ПО КОСТРОМСКОЙ ОБЛАСТИ</v>
      </c>
      <c r="B15657" s="24" t="s">
        <v>17980</v>
      </c>
      <c r="C15657" s="25">
        <v>499587.6</v>
      </c>
      <c r="D15657" s="22" t="s">
        <v>17981</v>
      </c>
      <c r="E15657" s="22" t="s">
        <v>68</v>
      </c>
      <c r="F15657" s="23" t="str">
        <f>HYPERLINK("https://www.spark-marketing.ru/Card/Lot/67782021", "Услуги по охране объектов путем осуществления контрольно-пропускного режима с использованием специальных средств")</f>
        <v>Услуги по охране объектов путем осуществления контрольно-пропускного режима с использованием специальных средств</v>
      </c>
      <c r="G15657" s="22" t="s">
        <v>1104</v>
      </c>
      <c r="H15657" s="22" t="s">
        <v>1104</v>
      </c>
      <c r="I15657" s="26">
        <v>43503</v>
      </c>
      <c r="J15657" s="23" t="str">
        <f>HYPERLINK("https://www.spark-marketing.ru/Card/Person/634415", "ООО ""ОРИОН 44""")</f>
        <v>ООО "ОРИОН 44"</v>
      </c>
      <c r="K15657" s="24" t="s">
        <v>17982</v>
      </c>
      <c r="L15657" s="22" t="s">
        <v>10</v>
      </c>
      <c r="M15657" s="25">
        <v>497089.66</v>
      </c>
      <c r="N15657" s="27">
        <v>5.0000040033019236E-3</v>
      </c>
    </row>
    <row r="15658" spans="1:14" hidden="1" outlineLevel="1" x14ac:dyDescent="0.2">
      <c r="A15658" s="23" t="str">
        <f>HYPERLINK("https://www.spark-marketing.ru/Card/Person/146472", "МЕЖРАЙОННАЯ ИФНС РОССИИ № 6 ПО КОСТРОМСКОЙ ОБЛАСТИ")</f>
        <v>МЕЖРАЙОННАЯ ИФНС РОССИИ № 6 ПО КОСТРОМСКОЙ ОБЛАСТИ</v>
      </c>
      <c r="B15658" s="24" t="s">
        <v>17980</v>
      </c>
      <c r="C15658" s="25">
        <v>499587.6</v>
      </c>
      <c r="D15658" s="22" t="s">
        <v>17981</v>
      </c>
      <c r="E15658" s="22" t="s">
        <v>68</v>
      </c>
      <c r="F15658" s="23" t="str">
        <f>HYPERLINK("https://www.spark-marketing.ru/Card/Lot/67782021", "Услуги по охране объектов путем осуществления контрольно-пропускного режима с использованием специальных средств")</f>
        <v>Услуги по охране объектов путем осуществления контрольно-пропускного режима с использованием специальных средств</v>
      </c>
      <c r="G15658" s="22" t="s">
        <v>1104</v>
      </c>
      <c r="H15658" s="22" t="s">
        <v>1104</v>
      </c>
      <c r="I15658" s="26">
        <v>43503</v>
      </c>
      <c r="J15658" s="23" t="str">
        <f>HYPERLINK("https://www.spark-marketing.ru/Card/Person/1692564", "ООО ""СЕКЬЮРИТИ БЕСТ""")</f>
        <v>ООО "СЕКЬЮРИТИ БЕСТ"</v>
      </c>
      <c r="K15658" s="24" t="s">
        <v>17983</v>
      </c>
      <c r="L15658" s="28" t="s">
        <v>52</v>
      </c>
      <c r="M15658" s="25">
        <v>497089.66</v>
      </c>
      <c r="N15658" s="27">
        <v>5.0000040033019236E-3</v>
      </c>
    </row>
    <row r="15659" spans="1:14" x14ac:dyDescent="0.15">
      <c r="A15659" s="23" t="str">
        <f>HYPERLINK("https://www.spark-marketing.ru/Card/Person/121034", "РГБУ ЦЕНТР ""НАДЕЖДА""")</f>
        <v>РГБУ ЦЕНТР "НАДЕЖДА"</v>
      </c>
      <c r="B15659" s="24" t="s">
        <v>17984</v>
      </c>
      <c r="C15659" s="25">
        <v>1360000</v>
      </c>
      <c r="D15659" s="22" t="s">
        <v>17985</v>
      </c>
      <c r="E15659" s="22" t="s">
        <v>68</v>
      </c>
      <c r="F15659" s="23" t="str">
        <f>HYPERLINK("https://www.spark-marketing.ru/Card/Lot/67785841", "оказание услуг по круглосуточной охране объекта, обеспечению контрольно-пропускного режима и поддержанию общественного порядка на базе отдыха ""Аксаут""")</f>
        <v>оказание услуг по круглосуточной охране объекта, обеспечению контрольно-пропускного режима и поддержанию общественного порядка на базе отдыха "Аксаут"</v>
      </c>
      <c r="G15659" s="22" t="s">
        <v>3936</v>
      </c>
      <c r="H15659" s="22" t="s">
        <v>3936</v>
      </c>
      <c r="I15659" s="26">
        <v>43503</v>
      </c>
      <c r="J15659" s="23" t="str">
        <f>HYPERLINK("https://www.spark-marketing.ru/Card/Person/244086", "ООО ЧОО ""СПАРТАК""")</f>
        <v>ООО ЧОО "СПАРТАК"</v>
      </c>
      <c r="K15659" s="24" t="s">
        <v>17986</v>
      </c>
      <c r="L15659" s="22" t="s">
        <v>10</v>
      </c>
      <c r="M15659" s="28" t="s">
        <v>52</v>
      </c>
      <c r="N15659" s="28" t="s">
        <v>52</v>
      </c>
    </row>
    <row r="15660" spans="1:14" x14ac:dyDescent="0.15">
      <c r="A15660" s="23" t="str">
        <f>HYPERLINK("https://www.spark-marketing.ru/Card/Person/148542", "МАДОУ ""ДЕТСКИЙ САД ОБЩЕРАЗВИВАЮЩЕГО ВИДА №42"" НМР РТ")</f>
        <v>МАДОУ "ДЕТСКИЙ САД ОБЩЕРАЗВИВАЮЩЕГО ВИДА №42" НМР РТ</v>
      </c>
      <c r="B15660" s="24" t="s">
        <v>17987</v>
      </c>
      <c r="C15660" s="25">
        <v>6438</v>
      </c>
      <c r="D15660" s="22" t="s">
        <v>17988</v>
      </c>
      <c r="E15660" s="22" t="s">
        <v>53</v>
      </c>
      <c r="F15660" s="23" t="str">
        <f>HYPERLINK("https://www.spark-marketing.ru/Card/Lot/73691725", "Техническое обслуживание системы видеонаблюдения")</f>
        <v>Техническое обслуживание системы видеонаблюдения</v>
      </c>
      <c r="G15660" s="22" t="s">
        <v>204</v>
      </c>
      <c r="H15660" s="22" t="s">
        <v>824</v>
      </c>
      <c r="I15660" s="26">
        <v>43503.000694444403</v>
      </c>
      <c r="J15660" s="28" t="s">
        <v>52</v>
      </c>
      <c r="K15660" s="28" t="s">
        <v>52</v>
      </c>
      <c r="L15660" s="28" t="s">
        <v>52</v>
      </c>
      <c r="M15660" s="28" t="s">
        <v>52</v>
      </c>
      <c r="N15660" s="28" t="s">
        <v>52</v>
      </c>
    </row>
    <row r="15661" spans="1:14" x14ac:dyDescent="0.15">
      <c r="A15661" s="23" t="str">
        <f>HYPERLINK("https://www.spark-marketing.ru/Card/Person/152463", "МБДОУ ""ДЕТСКИЙ САД ОБЩЕРАЗВИВАЮЩЕГО ВИДА №1"" НМР РТ")</f>
        <v>МБДОУ "ДЕТСКИЙ САД ОБЩЕРАЗВИВАЮЩЕГО ВИДА №1" НМР РТ</v>
      </c>
      <c r="B15661" s="24" t="s">
        <v>15109</v>
      </c>
      <c r="C15661" s="25">
        <v>7313.34</v>
      </c>
      <c r="D15661" s="22" t="s">
        <v>17989</v>
      </c>
      <c r="E15661" s="22" t="s">
        <v>53</v>
      </c>
      <c r="F15661" s="23" t="str">
        <f>HYPERLINK("https://www.spark-marketing.ru/Card/Lot/73662112", "Техническое обслуживание системы видеонаблюдения")</f>
        <v>Техническое обслуживание системы видеонаблюдения</v>
      </c>
      <c r="G15661" s="22" t="s">
        <v>204</v>
      </c>
      <c r="H15661" s="22" t="s">
        <v>824</v>
      </c>
      <c r="I15661" s="26">
        <v>43503.000694444403</v>
      </c>
      <c r="J15661" s="28" t="s">
        <v>52</v>
      </c>
      <c r="K15661" s="28" t="s">
        <v>52</v>
      </c>
      <c r="L15661" s="28" t="s">
        <v>52</v>
      </c>
      <c r="M15661" s="28" t="s">
        <v>52</v>
      </c>
      <c r="N15661" s="28" t="s">
        <v>52</v>
      </c>
    </row>
    <row r="15662" spans="1:14" x14ac:dyDescent="0.15">
      <c r="A15662" s="23" t="str">
        <f>HYPERLINK("https://www.spark-marketing.ru/Card/Person/15410", "МИНПРИРОДЫ РД")</f>
        <v>МИНПРИРОДЫ РД</v>
      </c>
      <c r="B15662" s="24" t="s">
        <v>17990</v>
      </c>
      <c r="C15662" s="25">
        <v>15298.8</v>
      </c>
      <c r="D15662" s="22" t="s">
        <v>17991</v>
      </c>
      <c r="E15662" s="22" t="s">
        <v>68</v>
      </c>
      <c r="F15662" s="23" t="str">
        <f>HYPERLINK("https://www.spark-marketing.ru/Card/Lot/67766123", "Оказание услуг по техническому обслуживанию технических средств охраны")</f>
        <v>Оказание услуг по техническому обслуживанию технических средств охраны</v>
      </c>
      <c r="G15662" s="22" t="s">
        <v>595</v>
      </c>
      <c r="H15662" s="22" t="s">
        <v>3766</v>
      </c>
      <c r="I15662" s="26">
        <v>43503</v>
      </c>
      <c r="J15662" s="28" t="s">
        <v>52</v>
      </c>
      <c r="K15662" s="28" t="s">
        <v>52</v>
      </c>
      <c r="L15662" s="28" t="s">
        <v>52</v>
      </c>
      <c r="M15662" s="28" t="s">
        <v>52</v>
      </c>
      <c r="N15662" s="28" t="s">
        <v>52</v>
      </c>
    </row>
    <row r="15663" spans="1:14" x14ac:dyDescent="0.15">
      <c r="A15663" s="23" t="str">
        <f>HYPERLINK("https://www.spark-marketing.ru/Card/Person/4350034", "АДМИНИСТРАЦИЯ ГОРОДСКОГО ОКРУГА ""Г. КАСПИЙСК""")</f>
        <v>АДМИНИСТРАЦИЯ ГОРОДСКОГО ОКРУГА "Г. КАСПИЙСК"</v>
      </c>
      <c r="B15663" s="24" t="s">
        <v>17992</v>
      </c>
      <c r="C15663" s="25">
        <v>663102</v>
      </c>
      <c r="D15663" s="22" t="s">
        <v>17993</v>
      </c>
      <c r="E15663" s="22" t="s">
        <v>52</v>
      </c>
      <c r="F15663" s="23" t="str">
        <f>HYPERLINK("https://www.spark-marketing.ru/Card/Lot/67787364", "Оказание охранных услуг")</f>
        <v>Оказание охранных услуг</v>
      </c>
      <c r="G15663" s="22" t="s">
        <v>595</v>
      </c>
      <c r="H15663" s="22" t="s">
        <v>17637</v>
      </c>
      <c r="I15663" s="26">
        <v>43503</v>
      </c>
      <c r="J15663" s="28" t="s">
        <v>52</v>
      </c>
      <c r="K15663" s="28" t="s">
        <v>52</v>
      </c>
      <c r="L15663" s="28" t="s">
        <v>52</v>
      </c>
      <c r="M15663" s="28" t="s">
        <v>52</v>
      </c>
      <c r="N15663" s="28" t="s">
        <v>52</v>
      </c>
    </row>
    <row r="15664" spans="1:14" hidden="1" outlineLevel="1" x14ac:dyDescent="0.2">
      <c r="A15664" s="23" t="str">
        <f>HYPERLINK("https://www.spark-marketing.ru/Card/Person/4350034", "АДМИНИСТРАЦИЯ ГОРОДСКОГО ОКРУГА ""Г. КАСПИЙСК""")</f>
        <v>АДМИНИСТРАЦИЯ ГОРОДСКОГО ОКРУГА "Г. КАСПИЙСК"</v>
      </c>
      <c r="B15664" s="24" t="s">
        <v>17992</v>
      </c>
      <c r="C15664" s="25">
        <v>663102</v>
      </c>
      <c r="D15664" s="22" t="s">
        <v>17993</v>
      </c>
      <c r="E15664" s="22" t="s">
        <v>52</v>
      </c>
      <c r="F15664" s="23" t="str">
        <f>HYPERLINK("https://www.spark-marketing.ru/Card/Lot/67787364", "Оказание охранных услуг")</f>
        <v>Оказание охранных услуг</v>
      </c>
      <c r="G15664" s="22" t="s">
        <v>595</v>
      </c>
      <c r="H15664" s="22" t="s">
        <v>17637</v>
      </c>
      <c r="I15664" s="26">
        <v>43503</v>
      </c>
      <c r="J15664" s="23" t="str">
        <f>HYPERLINK("https://www.spark-marketing.ru/Card/Person/6473929", "ООО ЧОО ""СМЕРШ""")</f>
        <v>ООО ЧОО "СМЕРШ"</v>
      </c>
      <c r="K15664" s="24" t="s">
        <v>15532</v>
      </c>
      <c r="L15664" s="28" t="s">
        <v>52</v>
      </c>
      <c r="M15664" s="25">
        <v>500642.01</v>
      </c>
      <c r="N15664" s="27">
        <v>0.245</v>
      </c>
    </row>
    <row r="15665" spans="1:14" ht="12.75" hidden="1" outlineLevel="1" x14ac:dyDescent="0.2">
      <c r="A15665" s="23" t="str">
        <f>HYPERLINK("https://www.spark-marketing.ru/Card/Person/4350034", "АДМИНИСТРАЦИЯ ГОРОДСКОГО ОКРУГА ""Г. КАСПИЙСК""")</f>
        <v>АДМИНИСТРАЦИЯ ГОРОДСКОГО ОКРУГА "Г. КАСПИЙСК"</v>
      </c>
      <c r="B15665" s="24" t="s">
        <v>17992</v>
      </c>
      <c r="C15665" s="25">
        <v>663102</v>
      </c>
      <c r="D15665" s="22" t="s">
        <v>17993</v>
      </c>
      <c r="E15665" s="22" t="s">
        <v>52</v>
      </c>
      <c r="F15665" s="23" t="str">
        <f>HYPERLINK("https://www.spark-marketing.ru/Card/Lot/67787364", "Оказание охранных услуг")</f>
        <v>Оказание охранных услуг</v>
      </c>
      <c r="G15665" s="22" t="s">
        <v>595</v>
      </c>
      <c r="H15665" s="22" t="s">
        <v>17637</v>
      </c>
      <c r="I15665" s="26">
        <v>43503</v>
      </c>
      <c r="J15665" s="23" t="str">
        <f>HYPERLINK("https://www.spark-marketing.ru/Card/Person/317677", "ООО ЧОО ""БЕРКУТ""")</f>
        <v>ООО ЧОО "БЕРКУТ"</v>
      </c>
      <c r="K15665" s="24" t="s">
        <v>17994</v>
      </c>
      <c r="L15665" s="22" t="s">
        <v>10</v>
      </c>
      <c r="M15665" s="25">
        <v>497326.5</v>
      </c>
      <c r="N15665" s="27">
        <v>0.25</v>
      </c>
    </row>
    <row r="15666" spans="1:14" x14ac:dyDescent="0.15">
      <c r="A15666" s="23" t="str">
        <f>HYPERLINK("https://www.spark-marketing.ru/Card/Person/6710800", "ФЛ КРАСНОДАР БУРЕНИЕ ООО ГАЗПРОМ БУРЕНИЕ")</f>
        <v>ФЛ КРАСНОДАР БУРЕНИЕ ООО ГАЗПРОМ БУРЕНИЕ</v>
      </c>
      <c r="B15666" s="28" t="s">
        <v>52</v>
      </c>
      <c r="C15666" s="28" t="s">
        <v>52</v>
      </c>
      <c r="D15666" s="22" t="s">
        <v>17995</v>
      </c>
      <c r="E15666" s="22" t="s">
        <v>53</v>
      </c>
      <c r="F15666" s="23" t="str">
        <f>HYPERLINK("https://www.spark-marketing.ru/Card/Lot/73977554", "Оказание услуг по охране объектов и имущества на базе ВЗиС ЧНГКМ")</f>
        <v>Оказание услуг по охране объектов и имущества на базе ВЗиС ЧНГКМ</v>
      </c>
      <c r="G15666" s="22" t="s">
        <v>52</v>
      </c>
      <c r="H15666" s="22" t="s">
        <v>52</v>
      </c>
      <c r="I15666" s="26">
        <v>43503</v>
      </c>
      <c r="J15666" s="28" t="s">
        <v>52</v>
      </c>
      <c r="K15666" s="28" t="s">
        <v>52</v>
      </c>
      <c r="L15666" s="28" t="s">
        <v>52</v>
      </c>
      <c r="M15666" s="28" t="s">
        <v>52</v>
      </c>
      <c r="N15666" s="28" t="s">
        <v>52</v>
      </c>
    </row>
    <row r="15667" spans="1:14" x14ac:dyDescent="0.15">
      <c r="A15667" s="23" t="str">
        <f>HYPERLINK("https://www.spark-marketing.ru/Card/Person/835405", "ГБУ ""УПРАВЛЕНИЕ ВЕТЕРИНАРИИ С ВЕТЕРИНАРНО-ИСПЫТАТЕЛЬНОЙ ЛАБОРАТОРИЕЙ АЛДАНСКОГО РАЙОНА""")</f>
        <v>ГБУ "УПРАВЛЕНИЕ ВЕТЕРИНАРИИ С ВЕТЕРИНАРНО-ИСПЫТАТЕЛЬНОЙ ЛАБОРАТОРИЕЙ АЛДАНСКОГО РАЙОНА"</v>
      </c>
      <c r="B15667" s="24" t="s">
        <v>17996</v>
      </c>
      <c r="C15667" s="25">
        <v>654000</v>
      </c>
      <c r="D15667" s="22" t="s">
        <v>17997</v>
      </c>
      <c r="E15667" s="22" t="s">
        <v>786</v>
      </c>
      <c r="F15667" s="23" t="str">
        <f>HYPERLINK("https://www.spark-marketing.ru/Card/Lot/67764859", "Услуги за техническое обслуживание средств ОПТС")</f>
        <v>Услуги за техническое обслуживание средств ОПТС</v>
      </c>
      <c r="G15667" s="22" t="s">
        <v>424</v>
      </c>
      <c r="H15667" s="22" t="s">
        <v>602</v>
      </c>
      <c r="I15667" s="26">
        <v>43503</v>
      </c>
      <c r="J15667" s="28" t="s">
        <v>52</v>
      </c>
      <c r="K15667" s="28" t="s">
        <v>52</v>
      </c>
      <c r="L15667" s="28" t="s">
        <v>52</v>
      </c>
      <c r="M15667" s="28" t="s">
        <v>52</v>
      </c>
      <c r="N15667" s="28" t="s">
        <v>52</v>
      </c>
    </row>
    <row r="15668" spans="1:14" x14ac:dyDescent="0.15">
      <c r="A15668" s="23" t="str">
        <f>HYPERLINK("https://www.spark-marketing.ru/Card/Person/79192", "МБОУ СОШ № 2")</f>
        <v>МБОУ СОШ № 2</v>
      </c>
      <c r="B15668" s="24" t="s">
        <v>17998</v>
      </c>
      <c r="C15668" s="25">
        <v>16000</v>
      </c>
      <c r="D15668" s="22" t="s">
        <v>17999</v>
      </c>
      <c r="E15668" s="22" t="s">
        <v>103</v>
      </c>
      <c r="F15668" s="23" t="str">
        <f>HYPERLINK("https://www.spark-marketing.ru/Card/Lot/67752994", "Услуги по техническому обслуживанию систем видеонаблюдения и видеорегистрации")</f>
        <v>Услуги по техническому обслуживанию систем видеонаблюдения и видеорегистрации</v>
      </c>
      <c r="G15668" s="22" t="s">
        <v>50</v>
      </c>
      <c r="H15668" s="22" t="s">
        <v>248</v>
      </c>
      <c r="I15668" s="26">
        <v>43502.877754629597</v>
      </c>
      <c r="J15668" s="28" t="s">
        <v>52</v>
      </c>
      <c r="K15668" s="28" t="s">
        <v>52</v>
      </c>
      <c r="L15668" s="28" t="s">
        <v>52</v>
      </c>
      <c r="M15668" s="28" t="s">
        <v>52</v>
      </c>
      <c r="N15668" s="28" t="s">
        <v>52</v>
      </c>
    </row>
    <row r="15669" spans="1:14" x14ac:dyDescent="0.2">
      <c r="A15669" s="23" t="str">
        <f>HYPERLINK("https://www.spark-marketing.ru/Card/Person/4389890", "ЗАО ""МОСМЕК""")</f>
        <v>ЗАО "МОСМЕК"</v>
      </c>
      <c r="B15669" s="24" t="s">
        <v>18000</v>
      </c>
      <c r="C15669" s="25">
        <v>1648800</v>
      </c>
      <c r="D15669" s="22" t="s">
        <v>18001</v>
      </c>
      <c r="E15669" s="22" t="s">
        <v>2777</v>
      </c>
      <c r="F15669" s="23" t="str">
        <f>HYPERLINK("https://www.spark-marketing.ru/Card/Lot/67752918", "Услуги по техническому обслуживанию систем IP-видеонаблюдения, установленных в арендуемых помещениях объектов недвижимости и на территории парковочных площадок ЗАО «МОСМЕК» в 2019 году.")</f>
        <v>Услуги по техническому обслуживанию систем IP-видеонаблюдения, установленных в арендуемых помещениях объектов недвижимости и на территории парковочных площадок ЗАО «МОСМЕК» в 2019 году.</v>
      </c>
      <c r="G15669" s="22" t="s">
        <v>50</v>
      </c>
      <c r="H15669" s="22" t="s">
        <v>50</v>
      </c>
      <c r="I15669" s="26">
        <v>43502.822349536997</v>
      </c>
      <c r="J15669" s="23" t="str">
        <f>HYPERLINK("https://www.spark-marketing.ru/Card/Person/2090971", "ООО ""ГЕФЕСТГАРАНТ""")</f>
        <v>ООО "ГЕФЕСТГАРАНТ"</v>
      </c>
      <c r="K15669" s="24" t="s">
        <v>18002</v>
      </c>
      <c r="L15669" s="28" t="s">
        <v>52</v>
      </c>
      <c r="M15669" s="25">
        <v>1648800</v>
      </c>
      <c r="N15669" s="27">
        <v>0</v>
      </c>
    </row>
    <row r="15670" spans="1:14" x14ac:dyDescent="0.2">
      <c r="A15670" s="23" t="str">
        <f>HYPERLINK("https://www.spark-marketing.ru/Card/Person/4389890", "ЗАО ""МОСМЕК""")</f>
        <v>ЗАО "МОСМЕК"</v>
      </c>
      <c r="B15670" s="24" t="s">
        <v>18000</v>
      </c>
      <c r="C15670" s="25">
        <v>1257600</v>
      </c>
      <c r="D15670" s="22" t="s">
        <v>18003</v>
      </c>
      <c r="E15670" s="22" t="s">
        <v>2777</v>
      </c>
      <c r="F15670" s="23" t="str">
        <f>HYPERLINK("https://www.spark-marketing.ru/Card/Lot/67753011", "Услуги по техническому обслуживанию системы уличного и внутреннего IP-видеонаблюдения, установленной в объектах недвижимости и по периметру территории ЗАО «МОСМЕК» в 2019 году.")</f>
        <v>Услуги по техническому обслуживанию системы уличного и внутреннего IP-видеонаблюдения, установленной в объектах недвижимости и по периметру территории ЗАО «МОСМЕК» в 2019 году.</v>
      </c>
      <c r="G15670" s="22" t="s">
        <v>492</v>
      </c>
      <c r="H15670" s="22" t="s">
        <v>492</v>
      </c>
      <c r="I15670" s="26">
        <v>43502.831562500003</v>
      </c>
      <c r="J15670" s="23" t="str">
        <f>HYPERLINK("https://www.spark-marketing.ru/Card/Person/2090971", "ООО ""ГЕФЕСТГАРАНТ""")</f>
        <v>ООО "ГЕФЕСТГАРАНТ"</v>
      </c>
      <c r="K15670" s="24" t="s">
        <v>18002</v>
      </c>
      <c r="L15670" s="28" t="s">
        <v>52</v>
      </c>
      <c r="M15670" s="25">
        <v>1257600</v>
      </c>
      <c r="N15670" s="27">
        <v>0</v>
      </c>
    </row>
    <row r="15671" spans="1:14" x14ac:dyDescent="0.15">
      <c r="A15671" s="23" t="str">
        <f>HYPERLINK("https://www.spark-marketing.ru/Card/Person/74770", "МБОУ СОШ № 14")</f>
        <v>МБОУ СОШ № 14</v>
      </c>
      <c r="B15671" s="24" t="s">
        <v>18004</v>
      </c>
      <c r="C15671" s="25">
        <v>76000</v>
      </c>
      <c r="D15671" s="22" t="s">
        <v>18005</v>
      </c>
      <c r="E15671" s="22" t="s">
        <v>294</v>
      </c>
      <c r="F15671" s="23" t="str">
        <f>HYPERLINK("https://www.spark-marketing.ru/Card/Lot/67751737", "Услуги по техническому обслуживанию видеонаблюдения (ЕГЭ)")</f>
        <v>Услуги по техническому обслуживанию видеонаблюдения (ЕГЭ)</v>
      </c>
      <c r="G15671" s="22" t="s">
        <v>50</v>
      </c>
      <c r="H15671" s="22" t="s">
        <v>2088</v>
      </c>
      <c r="I15671" s="26">
        <v>43502.773773148103</v>
      </c>
      <c r="J15671" s="28" t="s">
        <v>52</v>
      </c>
      <c r="K15671" s="28" t="s">
        <v>52</v>
      </c>
      <c r="L15671" s="28" t="s">
        <v>52</v>
      </c>
      <c r="M15671" s="28" t="s">
        <v>52</v>
      </c>
      <c r="N15671" s="28" t="s">
        <v>52</v>
      </c>
    </row>
    <row r="15672" spans="1:14" x14ac:dyDescent="0.15">
      <c r="A15672" s="23" t="str">
        <f>HYPERLINK("https://www.spark-marketing.ru/Card/Person/1328419", "МУК ""ЦБ БОГОРОДСКОГО ГО""")</f>
        <v>МУК "ЦБ БОГОРОДСКОГО ГО"</v>
      </c>
      <c r="B15672" s="24" t="s">
        <v>16972</v>
      </c>
      <c r="C15672" s="25">
        <v>397311</v>
      </c>
      <c r="D15672" s="22" t="s">
        <v>18006</v>
      </c>
      <c r="E15672" s="22" t="s">
        <v>79</v>
      </c>
      <c r="F15672" s="23" t="str">
        <f>HYPERLINK("https://www.spark-marketing.ru/Card/Lot/67750727", "Выполнение работ по доставке и монтажу рольставней, наружного освещения и системы охранной сигнализации")</f>
        <v>Выполнение работ по доставке и монтажу рольставней, наружного освещения и системы охранной сигнализации</v>
      </c>
      <c r="G15672" s="22" t="s">
        <v>50</v>
      </c>
      <c r="H15672" s="22" t="s">
        <v>5744</v>
      </c>
      <c r="I15672" s="26">
        <v>43502.753668981502</v>
      </c>
      <c r="J15672" s="28" t="s">
        <v>52</v>
      </c>
      <c r="K15672" s="28" t="s">
        <v>52</v>
      </c>
      <c r="L15672" s="28" t="s">
        <v>52</v>
      </c>
      <c r="M15672" s="28" t="s">
        <v>52</v>
      </c>
      <c r="N15672" s="28" t="s">
        <v>52</v>
      </c>
    </row>
    <row r="15673" spans="1:14" x14ac:dyDescent="0.15">
      <c r="A15673" s="23" t="str">
        <f>HYPERLINK("https://www.spark-marketing.ru/Card/Person/812206", "МАОУДО ""ДДЮТ"" Г. ЧЕБОКСАРЫ")</f>
        <v>МАОУДО "ДДЮТ" Г. ЧЕБОКСАРЫ</v>
      </c>
      <c r="B15673" s="24" t="s">
        <v>18007</v>
      </c>
      <c r="C15673" s="25">
        <v>8308.74</v>
      </c>
      <c r="D15673" s="22" t="s">
        <v>18008</v>
      </c>
      <c r="E15673" s="22" t="s">
        <v>68</v>
      </c>
      <c r="F15673" s="23" t="str">
        <f>HYPERLINK("https://www.spark-marketing.ru/Card/Lot/67749877", "Техническое обслуживание средств тревожной сигнализации")</f>
        <v>Техническое обслуживание средств тревожной сигнализации</v>
      </c>
      <c r="G15673" s="22" t="s">
        <v>1137</v>
      </c>
      <c r="H15673" s="22" t="s">
        <v>1138</v>
      </c>
      <c r="I15673" s="26">
        <v>43502.730555555601</v>
      </c>
      <c r="J15673" s="28" t="s">
        <v>52</v>
      </c>
      <c r="K15673" s="28" t="s">
        <v>52</v>
      </c>
      <c r="L15673" s="28" t="s">
        <v>52</v>
      </c>
      <c r="M15673" s="28" t="s">
        <v>52</v>
      </c>
      <c r="N15673" s="28" t="s">
        <v>52</v>
      </c>
    </row>
    <row r="15674" spans="1:14" x14ac:dyDescent="0.15">
      <c r="A15674" s="23" t="str">
        <f>HYPERLINK("https://www.spark-marketing.ru/Card/Person/99797", "МБУ ЦДК ""СОЗВЕЗДИЕ""")</f>
        <v>МБУ ЦДК "СОЗВЕЗДИЕ"</v>
      </c>
      <c r="B15674" s="24" t="s">
        <v>502</v>
      </c>
      <c r="C15674" s="25">
        <v>30000</v>
      </c>
      <c r="D15674" s="22" t="s">
        <v>18009</v>
      </c>
      <c r="E15674" s="22" t="s">
        <v>103</v>
      </c>
      <c r="F15674" s="23" t="str">
        <f>HYPERLINK("https://www.spark-marketing.ru/Card/Lot/67746107", "Услуги по техническому обслуживанию средств охраны (турникеты, рамка)")</f>
        <v>Услуги по техническому обслуживанию средств охраны (турникеты, рамка)</v>
      </c>
      <c r="G15674" s="22" t="s">
        <v>50</v>
      </c>
      <c r="H15674" s="22" t="s">
        <v>504</v>
      </c>
      <c r="I15674" s="26">
        <v>43502.669571759303</v>
      </c>
      <c r="J15674" s="28" t="s">
        <v>52</v>
      </c>
      <c r="K15674" s="28" t="s">
        <v>52</v>
      </c>
      <c r="L15674" s="28" t="s">
        <v>52</v>
      </c>
      <c r="M15674" s="28" t="s">
        <v>52</v>
      </c>
      <c r="N15674" s="28" t="s">
        <v>52</v>
      </c>
    </row>
    <row r="15675" spans="1:14" x14ac:dyDescent="0.15">
      <c r="A15675" s="23" t="str">
        <f>HYPERLINK("https://www.spark-marketing.ru/Card/Person/812206", "МАОУДО ""ДДЮТ"" Г. ЧЕБОКСАРЫ")</f>
        <v>МАОУДО "ДДЮТ" Г. ЧЕБОКСАРЫ</v>
      </c>
      <c r="B15675" s="24" t="s">
        <v>18007</v>
      </c>
      <c r="C15675" s="25">
        <v>55968</v>
      </c>
      <c r="D15675" s="22" t="s">
        <v>18010</v>
      </c>
      <c r="E15675" s="22" t="s">
        <v>208</v>
      </c>
      <c r="F15675" s="23" t="str">
        <f>HYPERLINK("https://www.spark-marketing.ru/Card/Lot/67745708", "Пультовая охрана объектов МАОУДО ""ДДЮТ"" г.Чебоксары")</f>
        <v>Пультовая охрана объектов МАОУДО "ДДЮТ" г.Чебоксары</v>
      </c>
      <c r="G15675" s="22" t="s">
        <v>1137</v>
      </c>
      <c r="H15675" s="22" t="s">
        <v>1138</v>
      </c>
      <c r="I15675" s="26">
        <v>43502.671527777798</v>
      </c>
      <c r="J15675" s="28" t="s">
        <v>52</v>
      </c>
      <c r="K15675" s="28" t="s">
        <v>52</v>
      </c>
      <c r="L15675" s="28" t="s">
        <v>52</v>
      </c>
      <c r="M15675" s="28" t="s">
        <v>52</v>
      </c>
      <c r="N15675" s="28" t="s">
        <v>52</v>
      </c>
    </row>
    <row r="15676" spans="1:14" x14ac:dyDescent="0.15">
      <c r="A15676" s="23" t="str">
        <f>HYPERLINK("https://www.spark-marketing.ru/Card/Person/1022042", "МУК ""ЛУЧИНСКИЙ КДК""")</f>
        <v>МУК "ЛУЧИНСКИЙ КДК"</v>
      </c>
      <c r="B15676" s="24" t="s">
        <v>18011</v>
      </c>
      <c r="C15676" s="25">
        <v>50000</v>
      </c>
      <c r="D15676" s="22" t="s">
        <v>18012</v>
      </c>
      <c r="E15676" s="22" t="s">
        <v>59</v>
      </c>
      <c r="F15676" s="23" t="str">
        <f>HYPERLINK("https://www.spark-marketing.ru/Card/Lot/67748956", "Работы по установке систем охранной сигнализации")</f>
        <v>Работы по установке систем охранной сигнализации</v>
      </c>
      <c r="G15676" s="22" t="s">
        <v>50</v>
      </c>
      <c r="H15676" s="22" t="s">
        <v>295</v>
      </c>
      <c r="I15676" s="26">
        <v>43502.701388888898</v>
      </c>
      <c r="J15676" s="28" t="s">
        <v>52</v>
      </c>
      <c r="K15676" s="28" t="s">
        <v>52</v>
      </c>
      <c r="L15676" s="28" t="s">
        <v>52</v>
      </c>
      <c r="M15676" s="28" t="s">
        <v>52</v>
      </c>
      <c r="N15676" s="28" t="s">
        <v>52</v>
      </c>
    </row>
    <row r="15677" spans="1:14" x14ac:dyDescent="0.15">
      <c r="A15677" s="23" t="str">
        <f t="shared" ref="A15677:A15689" si="822">HYPERLINK("https://www.spark-marketing.ru/Card/Person/1683079", "ООО ""ЧОП ""КЕННАРД""")</f>
        <v>ООО "ЧОП "КЕННАРД"</v>
      </c>
      <c r="B15677" s="24" t="s">
        <v>1949</v>
      </c>
      <c r="C15677" s="25">
        <v>466</v>
      </c>
      <c r="D15677" s="22" t="s">
        <v>18013</v>
      </c>
      <c r="E15677" s="22" t="s">
        <v>53</v>
      </c>
      <c r="F15677" s="23" t="str">
        <f>HYPERLINK("https://www.spark-marketing.ru/Card/Lot/67757082", "Винт-заглушка для вертикального заземлителя NE1404")</f>
        <v>Винт-заглушка для вертикального заземлителя NE1404</v>
      </c>
      <c r="G15677" s="22" t="s">
        <v>204</v>
      </c>
      <c r="H15677" s="22" t="s">
        <v>303</v>
      </c>
      <c r="I15677" s="26">
        <v>43502.6647337963</v>
      </c>
      <c r="J15677" s="28" t="s">
        <v>52</v>
      </c>
      <c r="K15677" s="28" t="s">
        <v>52</v>
      </c>
      <c r="L15677" s="28" t="s">
        <v>52</v>
      </c>
      <c r="M15677" s="28" t="s">
        <v>52</v>
      </c>
      <c r="N15677" s="28" t="s">
        <v>52</v>
      </c>
    </row>
    <row r="15678" spans="1:14" x14ac:dyDescent="0.15">
      <c r="A15678" s="23" t="str">
        <f t="shared" si="822"/>
        <v>ООО "ЧОП "КЕННАРД"</v>
      </c>
      <c r="B15678" s="24" t="s">
        <v>1949</v>
      </c>
      <c r="C15678" s="25">
        <v>1050</v>
      </c>
      <c r="D15678" s="22" t="s">
        <v>18013</v>
      </c>
      <c r="E15678" s="22" t="s">
        <v>53</v>
      </c>
      <c r="F15678" s="23" t="str">
        <f>HYPERLINK("https://www.spark-marketing.ru/Card/Lot/67757090", "Кабель ПВЗ 1х6")</f>
        <v>Кабель ПВЗ 1х6</v>
      </c>
      <c r="G15678" s="22" t="s">
        <v>204</v>
      </c>
      <c r="H15678" s="22" t="s">
        <v>303</v>
      </c>
      <c r="I15678" s="26">
        <v>43502.6647337963</v>
      </c>
      <c r="J15678" s="28" t="s">
        <v>52</v>
      </c>
      <c r="K15678" s="28" t="s">
        <v>52</v>
      </c>
      <c r="L15678" s="28" t="s">
        <v>52</v>
      </c>
      <c r="M15678" s="28" t="s">
        <v>52</v>
      </c>
      <c r="N15678" s="28" t="s">
        <v>52</v>
      </c>
    </row>
    <row r="15679" spans="1:14" x14ac:dyDescent="0.15">
      <c r="A15679" s="23" t="str">
        <f t="shared" si="822"/>
        <v>ООО "ЧОП "КЕННАРД"</v>
      </c>
      <c r="B15679" s="24" t="s">
        <v>1949</v>
      </c>
      <c r="C15679" s="25">
        <v>80</v>
      </c>
      <c r="D15679" s="22" t="s">
        <v>18013</v>
      </c>
      <c r="E15679" s="22" t="s">
        <v>53</v>
      </c>
      <c r="F15679" s="23" t="str">
        <f>HYPERLINK("https://www.spark-marketing.ru/Card/Lot/67757348", "Зажим наборный ж/3 6мм4 YZN20-006-K52")</f>
        <v>Зажим наборный ж/3 6мм4 YZN20-006-K52</v>
      </c>
      <c r="G15679" s="22" t="s">
        <v>204</v>
      </c>
      <c r="H15679" s="22" t="s">
        <v>303</v>
      </c>
      <c r="I15679" s="26">
        <v>43502.6647337963</v>
      </c>
      <c r="J15679" s="28" t="s">
        <v>52</v>
      </c>
      <c r="K15679" s="28" t="s">
        <v>52</v>
      </c>
      <c r="L15679" s="28" t="s">
        <v>52</v>
      </c>
      <c r="M15679" s="28" t="s">
        <v>52</v>
      </c>
      <c r="N15679" s="28" t="s">
        <v>52</v>
      </c>
    </row>
    <row r="15680" spans="1:14" x14ac:dyDescent="0.15">
      <c r="A15680" s="23" t="str">
        <f t="shared" si="822"/>
        <v>ООО "ЧОП "КЕННАРД"</v>
      </c>
      <c r="B15680" s="24" t="s">
        <v>1949</v>
      </c>
      <c r="C15680" s="25">
        <v>3750</v>
      </c>
      <c r="D15680" s="22" t="s">
        <v>18013</v>
      </c>
      <c r="E15680" s="22" t="s">
        <v>53</v>
      </c>
      <c r="F15680" s="23" t="str">
        <f>HYPERLINK("https://www.spark-marketing.ru/Card/Lot/67757075", "Кабельный ввод M50 x 1,5, 25-35 mm 2411.860")</f>
        <v>Кабельный ввод M50 x 1,5, 25-35 mm 2411.860</v>
      </c>
      <c r="G15680" s="22" t="s">
        <v>204</v>
      </c>
      <c r="H15680" s="22" t="s">
        <v>303</v>
      </c>
      <c r="I15680" s="26">
        <v>43502.6647337963</v>
      </c>
      <c r="J15680" s="28" t="s">
        <v>52</v>
      </c>
      <c r="K15680" s="28" t="s">
        <v>52</v>
      </c>
      <c r="L15680" s="28" t="s">
        <v>52</v>
      </c>
      <c r="M15680" s="28" t="s">
        <v>52</v>
      </c>
      <c r="N15680" s="28" t="s">
        <v>52</v>
      </c>
    </row>
    <row r="15681" spans="1:14" x14ac:dyDescent="0.15">
      <c r="A15681" s="23" t="str">
        <f t="shared" si="822"/>
        <v>ООО "ЧОП "КЕННАРД"</v>
      </c>
      <c r="B15681" s="24" t="s">
        <v>1949</v>
      </c>
      <c r="C15681" s="25">
        <v>1270</v>
      </c>
      <c r="D15681" s="22" t="s">
        <v>18013</v>
      </c>
      <c r="E15681" s="22" t="s">
        <v>53</v>
      </c>
      <c r="F15681" s="23" t="str">
        <f>HYPERLINK("https://www.spark-marketing.ru/Card/Lot/67757084", "Полоса горячеоцинкованная 25х4мм NC2254")</f>
        <v>Полоса горячеоцинкованная 25х4мм NC2254</v>
      </c>
      <c r="G15681" s="22" t="s">
        <v>204</v>
      </c>
      <c r="H15681" s="22" t="s">
        <v>303</v>
      </c>
      <c r="I15681" s="26">
        <v>43502.6647337963</v>
      </c>
      <c r="J15681" s="28" t="s">
        <v>52</v>
      </c>
      <c r="K15681" s="28" t="s">
        <v>52</v>
      </c>
      <c r="L15681" s="28" t="s">
        <v>52</v>
      </c>
      <c r="M15681" s="28" t="s">
        <v>52</v>
      </c>
      <c r="N15681" s="28" t="s">
        <v>52</v>
      </c>
    </row>
    <row r="15682" spans="1:14" x14ac:dyDescent="0.15">
      <c r="A15682" s="23" t="str">
        <f t="shared" si="822"/>
        <v>ООО "ЧОП "КЕННАРД"</v>
      </c>
      <c r="B15682" s="24" t="s">
        <v>1949</v>
      </c>
      <c r="C15682" s="25">
        <v>1950</v>
      </c>
      <c r="D15682" s="22" t="s">
        <v>18013</v>
      </c>
      <c r="E15682" s="22" t="s">
        <v>53</v>
      </c>
      <c r="F15682" s="23" t="str">
        <f>HYPERLINK("https://www.spark-marketing.ru/Card/Lot/67757072", "Замок для шкафа ТШ (два ключа в комплекте) Замок ТШ")</f>
        <v>Замок для шкафа ТШ (два ключа в комплекте) Замок ТШ</v>
      </c>
      <c r="G15682" s="22" t="s">
        <v>204</v>
      </c>
      <c r="H15682" s="22" t="s">
        <v>303</v>
      </c>
      <c r="I15682" s="26">
        <v>43502.6647337963</v>
      </c>
      <c r="J15682" s="28" t="s">
        <v>52</v>
      </c>
      <c r="K15682" s="28" t="s">
        <v>52</v>
      </c>
      <c r="L15682" s="28" t="s">
        <v>52</v>
      </c>
      <c r="M15682" s="28" t="s">
        <v>52</v>
      </c>
      <c r="N15682" s="28" t="s">
        <v>52</v>
      </c>
    </row>
    <row r="15683" spans="1:14" x14ac:dyDescent="0.15">
      <c r="A15683" s="23" t="str">
        <f t="shared" si="822"/>
        <v>ООО "ЧОП "КЕННАРД"</v>
      </c>
      <c r="B15683" s="24" t="s">
        <v>1949</v>
      </c>
      <c r="C15683" s="25">
        <v>2500</v>
      </c>
      <c r="D15683" s="22" t="s">
        <v>18013</v>
      </c>
      <c r="E15683" s="22" t="s">
        <v>53</v>
      </c>
      <c r="F15683" s="23" t="str">
        <f>HYPERLINK("https://www.spark-marketing.ru/Card/Lot/67757091", "Кабель питания КПСВВнг(А)-LS 1х2х1,5")</f>
        <v>Кабель питания КПСВВнг(А)-LS 1х2х1,5</v>
      </c>
      <c r="G15683" s="22" t="s">
        <v>204</v>
      </c>
      <c r="H15683" s="22" t="s">
        <v>303</v>
      </c>
      <c r="I15683" s="26">
        <v>43502.6647337963</v>
      </c>
      <c r="J15683" s="28" t="s">
        <v>52</v>
      </c>
      <c r="K15683" s="28" t="s">
        <v>52</v>
      </c>
      <c r="L15683" s="28" t="s">
        <v>52</v>
      </c>
      <c r="M15683" s="28" t="s">
        <v>52</v>
      </c>
      <c r="N15683" s="28" t="s">
        <v>52</v>
      </c>
    </row>
    <row r="15684" spans="1:14" x14ac:dyDescent="0.15">
      <c r="A15684" s="23" t="str">
        <f t="shared" si="822"/>
        <v>ООО "ЧОП "КЕННАРД"</v>
      </c>
      <c r="B15684" s="24" t="s">
        <v>1949</v>
      </c>
      <c r="C15684" s="25">
        <v>20550</v>
      </c>
      <c r="D15684" s="22" t="s">
        <v>18013</v>
      </c>
      <c r="E15684" s="22" t="s">
        <v>53</v>
      </c>
      <c r="F15684" s="23" t="str">
        <f>HYPERLINK("https://www.spark-marketing.ru/Card/Lot/67757095", "Гибкая гофрированная труба из полиамида PA612329F2")</f>
        <v>Гибкая гофрированная труба из полиамида PA612329F2</v>
      </c>
      <c r="G15684" s="22" t="s">
        <v>204</v>
      </c>
      <c r="H15684" s="22" t="s">
        <v>303</v>
      </c>
      <c r="I15684" s="26">
        <v>43502.6647337963</v>
      </c>
      <c r="J15684" s="28" t="s">
        <v>52</v>
      </c>
      <c r="K15684" s="28" t="s">
        <v>52</v>
      </c>
      <c r="L15684" s="28" t="s">
        <v>52</v>
      </c>
      <c r="M15684" s="28" t="s">
        <v>52</v>
      </c>
      <c r="N15684" s="28" t="s">
        <v>52</v>
      </c>
    </row>
    <row r="15685" spans="1:14" x14ac:dyDescent="0.15">
      <c r="A15685" s="23" t="str">
        <f t="shared" si="822"/>
        <v>ООО "ЧОП "КЕННАРД"</v>
      </c>
      <c r="B15685" s="24" t="s">
        <v>1949</v>
      </c>
      <c r="C15685" s="25">
        <v>10260</v>
      </c>
      <c r="D15685" s="22" t="s">
        <v>18013</v>
      </c>
      <c r="E15685" s="22" t="s">
        <v>53</v>
      </c>
      <c r="F15685" s="23" t="str">
        <f>HYPERLINK("https://www.spark-marketing.ru/Card/Lot/67757096", "Песок средней крупности")</f>
        <v>Песок средней крупности</v>
      </c>
      <c r="G15685" s="22" t="s">
        <v>204</v>
      </c>
      <c r="H15685" s="22" t="s">
        <v>303</v>
      </c>
      <c r="I15685" s="26">
        <v>43502.6647337963</v>
      </c>
      <c r="J15685" s="28" t="s">
        <v>52</v>
      </c>
      <c r="K15685" s="28" t="s">
        <v>52</v>
      </c>
      <c r="L15685" s="28" t="s">
        <v>52</v>
      </c>
      <c r="M15685" s="28" t="s">
        <v>52</v>
      </c>
      <c r="N15685" s="28" t="s">
        <v>52</v>
      </c>
    </row>
    <row r="15686" spans="1:14" x14ac:dyDescent="0.15">
      <c r="A15686" s="23" t="str">
        <f t="shared" si="822"/>
        <v>ООО "ЧОП "КЕННАРД"</v>
      </c>
      <c r="B15686" s="24" t="s">
        <v>1949</v>
      </c>
      <c r="C15686" s="25">
        <v>270</v>
      </c>
      <c r="D15686" s="22" t="s">
        <v>18013</v>
      </c>
      <c r="E15686" s="22" t="s">
        <v>53</v>
      </c>
      <c r="F15686" s="23" t="str">
        <f>HYPERLINK("https://www.spark-marketing.ru/Card/Lot/67757100", "Перманентная шариковая ручка 0,4мм черный UP1S")</f>
        <v>Перманентная шариковая ручка 0,4мм черный UP1S</v>
      </c>
      <c r="G15686" s="22" t="s">
        <v>204</v>
      </c>
      <c r="H15686" s="22" t="s">
        <v>303</v>
      </c>
      <c r="I15686" s="26">
        <v>43502.6647337963</v>
      </c>
      <c r="J15686" s="28" t="s">
        <v>52</v>
      </c>
      <c r="K15686" s="28" t="s">
        <v>52</v>
      </c>
      <c r="L15686" s="28" t="s">
        <v>52</v>
      </c>
      <c r="M15686" s="28" t="s">
        <v>52</v>
      </c>
      <c r="N15686" s="28" t="s">
        <v>52</v>
      </c>
    </row>
    <row r="15687" spans="1:14" x14ac:dyDescent="0.15">
      <c r="A15687" s="23" t="str">
        <f t="shared" si="822"/>
        <v>ООО "ЧОП "КЕННАРД"</v>
      </c>
      <c r="B15687" s="24" t="s">
        <v>1949</v>
      </c>
      <c r="C15687" s="25">
        <v>133245</v>
      </c>
      <c r="D15687" s="22" t="s">
        <v>18013</v>
      </c>
      <c r="E15687" s="22" t="s">
        <v>53</v>
      </c>
      <c r="F15687" s="23" t="str">
        <f>HYPERLINK("https://www.spark-marketing.ru/Card/Lot/67757339", "Монтажная коробка WV-Q120")</f>
        <v>Монтажная коробка WV-Q120</v>
      </c>
      <c r="G15687" s="22" t="s">
        <v>204</v>
      </c>
      <c r="H15687" s="22" t="s">
        <v>303</v>
      </c>
      <c r="I15687" s="26">
        <v>43502.6647337963</v>
      </c>
      <c r="J15687" s="28" t="s">
        <v>52</v>
      </c>
      <c r="K15687" s="28" t="s">
        <v>52</v>
      </c>
      <c r="L15687" s="28" t="s">
        <v>52</v>
      </c>
      <c r="M15687" s="28" t="s">
        <v>52</v>
      </c>
      <c r="N15687" s="28" t="s">
        <v>52</v>
      </c>
    </row>
    <row r="15688" spans="1:14" x14ac:dyDescent="0.15">
      <c r="A15688" s="23" t="str">
        <f t="shared" si="822"/>
        <v>ООО "ЧОП "КЕННАРД"</v>
      </c>
      <c r="B15688" s="24" t="s">
        <v>1949</v>
      </c>
      <c r="C15688" s="25">
        <v>200</v>
      </c>
      <c r="D15688" s="22" t="s">
        <v>18013</v>
      </c>
      <c r="E15688" s="22" t="s">
        <v>53</v>
      </c>
      <c r="F15688" s="23" t="str">
        <f>HYPERLINK("https://www.spark-marketing.ru/Card/Lot/67757099", "Стяжка нейлоновые (упаковка 100шт.) КСС 4х250 49412")</f>
        <v>Стяжка нейлоновые (упаковка 100шт.) КСС 4х250 49412</v>
      </c>
      <c r="G15688" s="22" t="s">
        <v>204</v>
      </c>
      <c r="H15688" s="22" t="s">
        <v>303</v>
      </c>
      <c r="I15688" s="26">
        <v>43502.6647337963</v>
      </c>
      <c r="J15688" s="28" t="s">
        <v>52</v>
      </c>
      <c r="K15688" s="28" t="s">
        <v>52</v>
      </c>
      <c r="L15688" s="28" t="s">
        <v>52</v>
      </c>
      <c r="M15688" s="28" t="s">
        <v>52</v>
      </c>
      <c r="N15688" s="28" t="s">
        <v>52</v>
      </c>
    </row>
    <row r="15689" spans="1:14" x14ac:dyDescent="0.15">
      <c r="A15689" s="23" t="str">
        <f t="shared" si="822"/>
        <v>ООО "ЧОП "КЕННАРД"</v>
      </c>
      <c r="B15689" s="24" t="s">
        <v>1949</v>
      </c>
      <c r="C15689" s="25">
        <v>32</v>
      </c>
      <c r="D15689" s="22" t="s">
        <v>18013</v>
      </c>
      <c r="E15689" s="22" t="s">
        <v>53</v>
      </c>
      <c r="F15689" s="23" t="str">
        <f>HYPERLINK("https://www.spark-marketing.ru/Card/Lot/67757346", "Зажим наборный серый 6мм2 YZN10-006-K03")</f>
        <v>Зажим наборный серый 6мм2 YZN10-006-K03</v>
      </c>
      <c r="G15689" s="22" t="s">
        <v>204</v>
      </c>
      <c r="H15689" s="22" t="s">
        <v>303</v>
      </c>
      <c r="I15689" s="26">
        <v>43502.6647337963</v>
      </c>
      <c r="J15689" s="28" t="s">
        <v>52</v>
      </c>
      <c r="K15689" s="28" t="s">
        <v>52</v>
      </c>
      <c r="L15689" s="28" t="s">
        <v>52</v>
      </c>
      <c r="M15689" s="28" t="s">
        <v>52</v>
      </c>
      <c r="N15689" s="28" t="s">
        <v>52</v>
      </c>
    </row>
    <row r="15690" spans="1:14" x14ac:dyDescent="0.15">
      <c r="A15690" s="23" t="str">
        <f>HYPERLINK("https://www.spark-marketing.ru/Card/Person/38360", "АДМИНИСТРАЦИЯ СЕЛЬСКОГО ПОСЕЛЕНИЯ СОКОЛОВСКОЕ")</f>
        <v>АДМИНИСТРАЦИЯ СЕЛЬСКОГО ПОСЕЛЕНИЯ СОКОЛОВСКОЕ</v>
      </c>
      <c r="B15690" s="24" t="s">
        <v>18014</v>
      </c>
      <c r="C15690" s="25">
        <v>20000</v>
      </c>
      <c r="D15690" s="22" t="s">
        <v>18015</v>
      </c>
      <c r="E15690" s="22" t="s">
        <v>103</v>
      </c>
      <c r="F15690" s="23" t="str">
        <f>HYPERLINK("https://www.spark-marketing.ru/Card/Lot/67746038", "Техническое обслуживание системы видеонаблюдения по адресу: Московская область, Солнечногорсукий район, д. Новая д. 40")</f>
        <v>Техническое обслуживание системы видеонаблюдения по адресу: Московская область, Солнечногорсукий район, д. Новая д. 40</v>
      </c>
      <c r="G15690" s="22" t="s">
        <v>50</v>
      </c>
      <c r="H15690" s="22" t="s">
        <v>265</v>
      </c>
      <c r="I15690" s="26">
        <v>43502.649363425902</v>
      </c>
      <c r="J15690" s="28" t="s">
        <v>52</v>
      </c>
      <c r="K15690" s="28" t="s">
        <v>52</v>
      </c>
      <c r="L15690" s="28" t="s">
        <v>52</v>
      </c>
      <c r="M15690" s="28" t="s">
        <v>52</v>
      </c>
      <c r="N15690" s="28" t="s">
        <v>52</v>
      </c>
    </row>
    <row r="15691" spans="1:14" x14ac:dyDescent="0.15">
      <c r="A15691" s="23" t="str">
        <f t="shared" ref="A15691:A15708" si="823">HYPERLINK("https://www.spark-marketing.ru/Card/Person/1683079", "ООО ""ЧОП ""КЕННАРД""")</f>
        <v>ООО "ЧОП "КЕННАРД"</v>
      </c>
      <c r="B15691" s="24" t="s">
        <v>1949</v>
      </c>
      <c r="C15691" s="25">
        <v>3582</v>
      </c>
      <c r="D15691" s="22" t="s">
        <v>18013</v>
      </c>
      <c r="E15691" s="22" t="s">
        <v>53</v>
      </c>
      <c r="F15691" s="23" t="str">
        <f>HYPERLINK("https://www.spark-marketing.ru/Card/Lot/67757073", "Защитная крышка замка с возможностью пломбирования")</f>
        <v>Защитная крышка замка с возможностью пломбирования</v>
      </c>
      <c r="G15691" s="22" t="s">
        <v>204</v>
      </c>
      <c r="H15691" s="22" t="s">
        <v>303</v>
      </c>
      <c r="I15691" s="26">
        <v>43502.6647337963</v>
      </c>
      <c r="J15691" s="28" t="s">
        <v>52</v>
      </c>
      <c r="K15691" s="28" t="s">
        <v>52</v>
      </c>
      <c r="L15691" s="28" t="s">
        <v>52</v>
      </c>
      <c r="M15691" s="28" t="s">
        <v>52</v>
      </c>
      <c r="N15691" s="28" t="s">
        <v>52</v>
      </c>
    </row>
    <row r="15692" spans="1:14" x14ac:dyDescent="0.15">
      <c r="A15692" s="23" t="str">
        <f t="shared" si="823"/>
        <v>ООО "ЧОП "КЕННАРД"</v>
      </c>
      <c r="B15692" s="24" t="s">
        <v>1949</v>
      </c>
      <c r="C15692" s="25">
        <v>360</v>
      </c>
      <c r="D15692" s="22" t="s">
        <v>18013</v>
      </c>
      <c r="E15692" s="22" t="s">
        <v>53</v>
      </c>
      <c r="F15692" s="23" t="str">
        <f>HYPERLINK("https://www.spark-marketing.ru/Card/Lot/67757080", "Короб перфорированный, серый RL6 25x80 01126RL")</f>
        <v>Короб перфорированный, серый RL6 25x80 01126RL</v>
      </c>
      <c r="G15692" s="22" t="s">
        <v>204</v>
      </c>
      <c r="H15692" s="22" t="s">
        <v>303</v>
      </c>
      <c r="I15692" s="26">
        <v>43502.6647337963</v>
      </c>
      <c r="J15692" s="28" t="s">
        <v>52</v>
      </c>
      <c r="K15692" s="28" t="s">
        <v>52</v>
      </c>
      <c r="L15692" s="28" t="s">
        <v>52</v>
      </c>
      <c r="M15692" s="28" t="s">
        <v>52</v>
      </c>
      <c r="N15692" s="28" t="s">
        <v>52</v>
      </c>
    </row>
    <row r="15693" spans="1:14" x14ac:dyDescent="0.15">
      <c r="A15693" s="23" t="str">
        <f t="shared" si="823"/>
        <v>ООО "ЧОП "КЕННАРД"</v>
      </c>
      <c r="B15693" s="24" t="s">
        <v>1949</v>
      </c>
      <c r="C15693" s="25">
        <v>174</v>
      </c>
      <c r="D15693" s="22" t="s">
        <v>18013</v>
      </c>
      <c r="E15693" s="22" t="s">
        <v>53</v>
      </c>
      <c r="F15693" s="23" t="str">
        <f>HYPERLINK("https://www.spark-marketing.ru/Card/Lot/67757078", "Коннектор RJ45 UTPRJ45")</f>
        <v>Коннектор RJ45 UTPRJ45</v>
      </c>
      <c r="G15693" s="22" t="s">
        <v>204</v>
      </c>
      <c r="H15693" s="22" t="s">
        <v>303</v>
      </c>
      <c r="I15693" s="26">
        <v>43502.6647337963</v>
      </c>
      <c r="J15693" s="28" t="s">
        <v>52</v>
      </c>
      <c r="K15693" s="28" t="s">
        <v>52</v>
      </c>
      <c r="L15693" s="28" t="s">
        <v>52</v>
      </c>
      <c r="M15693" s="28" t="s">
        <v>52</v>
      </c>
      <c r="N15693" s="28" t="s">
        <v>52</v>
      </c>
    </row>
    <row r="15694" spans="1:14" x14ac:dyDescent="0.15">
      <c r="A15694" s="23" t="str">
        <f t="shared" si="823"/>
        <v>ООО "ЧОП "КЕННАРД"</v>
      </c>
      <c r="B15694" s="24" t="s">
        <v>1949</v>
      </c>
      <c r="C15694" s="25">
        <v>520</v>
      </c>
      <c r="D15694" s="22" t="s">
        <v>18013</v>
      </c>
      <c r="E15694" s="22" t="s">
        <v>53</v>
      </c>
      <c r="F15694" s="23" t="str">
        <f>HYPERLINK("https://www.spark-marketing.ru/Card/Lot/67757069", "Кабельный ввод диаметр кабеля 18-24мм IP54 YSA20-25-29-54-K41")</f>
        <v>Кабельный ввод диаметр кабеля 18-24мм IP54 YSA20-25-29-54-K41</v>
      </c>
      <c r="G15694" s="22" t="s">
        <v>204</v>
      </c>
      <c r="H15694" s="22" t="s">
        <v>303</v>
      </c>
      <c r="I15694" s="26">
        <v>43502.6647337963</v>
      </c>
      <c r="J15694" s="28" t="s">
        <v>52</v>
      </c>
      <c r="K15694" s="28" t="s">
        <v>52</v>
      </c>
      <c r="L15694" s="28" t="s">
        <v>52</v>
      </c>
      <c r="M15694" s="28" t="s">
        <v>52</v>
      </c>
      <c r="N15694" s="28" t="s">
        <v>52</v>
      </c>
    </row>
    <row r="15695" spans="1:14" x14ac:dyDescent="0.15">
      <c r="A15695" s="23" t="str">
        <f t="shared" si="823"/>
        <v>ООО "ЧОП "КЕННАРД"</v>
      </c>
      <c r="B15695" s="24" t="s">
        <v>1949</v>
      </c>
      <c r="C15695" s="25">
        <v>180</v>
      </c>
      <c r="D15695" s="22" t="s">
        <v>18013</v>
      </c>
      <c r="E15695" s="22" t="s">
        <v>53</v>
      </c>
      <c r="F15695" s="23" t="str">
        <f>HYPERLINK("https://www.spark-marketing.ru/Card/Lot/67757094", "Сжим ответвительный У-731")</f>
        <v>Сжим ответвительный У-731</v>
      </c>
      <c r="G15695" s="22" t="s">
        <v>204</v>
      </c>
      <c r="H15695" s="22" t="s">
        <v>303</v>
      </c>
      <c r="I15695" s="26">
        <v>43502.6647337963</v>
      </c>
      <c r="J15695" s="28" t="s">
        <v>52</v>
      </c>
      <c r="K15695" s="28" t="s">
        <v>52</v>
      </c>
      <c r="L15695" s="28" t="s">
        <v>52</v>
      </c>
      <c r="M15695" s="28" t="s">
        <v>52</v>
      </c>
      <c r="N15695" s="28" t="s">
        <v>52</v>
      </c>
    </row>
    <row r="15696" spans="1:14" x14ac:dyDescent="0.15">
      <c r="A15696" s="23" t="str">
        <f t="shared" si="823"/>
        <v>ООО "ЧОП "КЕННАРД"</v>
      </c>
      <c r="B15696" s="24" t="s">
        <v>1949</v>
      </c>
      <c r="C15696" s="25">
        <v>47.5</v>
      </c>
      <c r="D15696" s="22" t="s">
        <v>18013</v>
      </c>
      <c r="E15696" s="22" t="s">
        <v>53</v>
      </c>
      <c r="F15696" s="23" t="str">
        <f>HYPERLINK("https://www.spark-marketing.ru/Card/Lot/67757340", "Извещатель магнитно-контактный ИО-102-2 (СМК-1)")</f>
        <v>Извещатель магнитно-контактный ИО-102-2 (СМК-1)</v>
      </c>
      <c r="G15696" s="22" t="s">
        <v>204</v>
      </c>
      <c r="H15696" s="22" t="s">
        <v>303</v>
      </c>
      <c r="I15696" s="26">
        <v>43502.6647337963</v>
      </c>
      <c r="J15696" s="28" t="s">
        <v>52</v>
      </c>
      <c r="K15696" s="28" t="s">
        <v>52</v>
      </c>
      <c r="L15696" s="28" t="s">
        <v>52</v>
      </c>
      <c r="M15696" s="28" t="s">
        <v>52</v>
      </c>
      <c r="N15696" s="28" t="s">
        <v>52</v>
      </c>
    </row>
    <row r="15697" spans="1:14" x14ac:dyDescent="0.15">
      <c r="A15697" s="23" t="str">
        <f t="shared" si="823"/>
        <v>ООО "ЧОП "КЕННАРД"</v>
      </c>
      <c r="B15697" s="24" t="s">
        <v>1949</v>
      </c>
      <c r="C15697" s="25">
        <v>40</v>
      </c>
      <c r="D15697" s="22" t="s">
        <v>18013</v>
      </c>
      <c r="E15697" s="22" t="s">
        <v>53</v>
      </c>
      <c r="F15697" s="23" t="str">
        <f>HYPERLINK("https://www.spark-marketing.ru/Card/Lot/67757344", "Гайка М6")</f>
        <v>Гайка М6</v>
      </c>
      <c r="G15697" s="22" t="s">
        <v>204</v>
      </c>
      <c r="H15697" s="22" t="s">
        <v>303</v>
      </c>
      <c r="I15697" s="26">
        <v>43502.6647337963</v>
      </c>
      <c r="J15697" s="28" t="s">
        <v>52</v>
      </c>
      <c r="K15697" s="28" t="s">
        <v>52</v>
      </c>
      <c r="L15697" s="28" t="s">
        <v>52</v>
      </c>
      <c r="M15697" s="28" t="s">
        <v>52</v>
      </c>
      <c r="N15697" s="28" t="s">
        <v>52</v>
      </c>
    </row>
    <row r="15698" spans="1:14" x14ac:dyDescent="0.15">
      <c r="A15698" s="23" t="str">
        <f t="shared" si="823"/>
        <v>ООО "ЧОП "КЕННАРД"</v>
      </c>
      <c r="B15698" s="24" t="s">
        <v>1949</v>
      </c>
      <c r="C15698" s="25">
        <v>104400</v>
      </c>
      <c r="D15698" s="22" t="s">
        <v>18013</v>
      </c>
      <c r="E15698" s="22" t="s">
        <v>53</v>
      </c>
      <c r="F15698" s="23" t="str">
        <f>HYPERLINK("https://www.spark-marketing.ru/Card/Lot/67757092", "Труба гибкая двустенная для кабельной канализации д.50мм, цвет красный, в бухте 150м., с протяжкой 121950150")</f>
        <v>Труба гибкая двустенная для кабельной канализации д.50мм, цвет красный, в бухте 150м., с протяжкой 121950150</v>
      </c>
      <c r="G15698" s="22" t="s">
        <v>204</v>
      </c>
      <c r="H15698" s="22" t="s">
        <v>303</v>
      </c>
      <c r="I15698" s="26">
        <v>43502.6647337963</v>
      </c>
      <c r="J15698" s="28" t="s">
        <v>52</v>
      </c>
      <c r="K15698" s="28" t="s">
        <v>52</v>
      </c>
      <c r="L15698" s="28" t="s">
        <v>52</v>
      </c>
      <c r="M15698" s="28" t="s">
        <v>52</v>
      </c>
      <c r="N15698" s="28" t="s">
        <v>52</v>
      </c>
    </row>
    <row r="15699" spans="1:14" x14ac:dyDescent="0.15">
      <c r="A15699" s="23" t="str">
        <f t="shared" si="823"/>
        <v>ООО "ЧОП "КЕННАРД"</v>
      </c>
      <c r="B15699" s="24" t="s">
        <v>1949</v>
      </c>
      <c r="C15699" s="25">
        <v>18583.3</v>
      </c>
      <c r="D15699" s="22" t="s">
        <v>18013</v>
      </c>
      <c r="E15699" s="22" t="s">
        <v>53</v>
      </c>
      <c r="F15699" s="23" t="str">
        <f>HYPERLINK("https://www.spark-marketing.ru/Card/Lot/67757337", "Кронштейн для купольной камеры WV-Q122A")</f>
        <v>Кронштейн для купольной камеры WV-Q122A</v>
      </c>
      <c r="G15699" s="22" t="s">
        <v>204</v>
      </c>
      <c r="H15699" s="22" t="s">
        <v>303</v>
      </c>
      <c r="I15699" s="26">
        <v>43502.6647337963</v>
      </c>
      <c r="J15699" s="28" t="s">
        <v>52</v>
      </c>
      <c r="K15699" s="28" t="s">
        <v>52</v>
      </c>
      <c r="L15699" s="28" t="s">
        <v>52</v>
      </c>
      <c r="M15699" s="28" t="s">
        <v>52</v>
      </c>
      <c r="N15699" s="28" t="s">
        <v>52</v>
      </c>
    </row>
    <row r="15700" spans="1:14" x14ac:dyDescent="0.15">
      <c r="A15700" s="23" t="str">
        <f t="shared" si="823"/>
        <v>ООО "ЧОП "КЕННАРД"</v>
      </c>
      <c r="B15700" s="24" t="s">
        <v>1949</v>
      </c>
      <c r="C15700" s="25">
        <v>8902</v>
      </c>
      <c r="D15700" s="22" t="s">
        <v>18013</v>
      </c>
      <c r="E15700" s="22" t="s">
        <v>53</v>
      </c>
      <c r="F15700" s="23" t="str">
        <f>HYPERLINK("https://www.spark-marketing.ru/Card/Lot/67757081", "Комплект вертикального заземлителя NE1104")</f>
        <v>Комплект вертикального заземлителя NE1104</v>
      </c>
      <c r="G15700" s="22" t="s">
        <v>204</v>
      </c>
      <c r="H15700" s="22" t="s">
        <v>303</v>
      </c>
      <c r="I15700" s="26">
        <v>43502.6647337963</v>
      </c>
      <c r="J15700" s="28" t="s">
        <v>52</v>
      </c>
      <c r="K15700" s="28" t="s">
        <v>52</v>
      </c>
      <c r="L15700" s="28" t="s">
        <v>52</v>
      </c>
      <c r="M15700" s="28" t="s">
        <v>52</v>
      </c>
      <c r="N15700" s="28" t="s">
        <v>52</v>
      </c>
    </row>
    <row r="15701" spans="1:14" x14ac:dyDescent="0.15">
      <c r="A15701" s="23" t="str">
        <f t="shared" si="823"/>
        <v>ООО "ЧОП "КЕННАРД"</v>
      </c>
      <c r="B15701" s="24" t="s">
        <v>1949</v>
      </c>
      <c r="C15701" s="25">
        <v>28</v>
      </c>
      <c r="D15701" s="22" t="s">
        <v>18013</v>
      </c>
      <c r="E15701" s="22" t="s">
        <v>53</v>
      </c>
      <c r="F15701" s="23" t="str">
        <f>HYPERLINK("https://www.spark-marketing.ru/Card/Lot/67757350", "DIN-рейка (20 см) оцинкованная YDN10-0020")</f>
        <v>DIN-рейка (20 см) оцинкованная YDN10-0020</v>
      </c>
      <c r="G15701" s="22" t="s">
        <v>204</v>
      </c>
      <c r="H15701" s="22" t="s">
        <v>303</v>
      </c>
      <c r="I15701" s="26">
        <v>43502.6647337963</v>
      </c>
      <c r="J15701" s="28" t="s">
        <v>52</v>
      </c>
      <c r="K15701" s="28" t="s">
        <v>52</v>
      </c>
      <c r="L15701" s="28" t="s">
        <v>52</v>
      </c>
      <c r="M15701" s="28" t="s">
        <v>52</v>
      </c>
      <c r="N15701" s="28" t="s">
        <v>52</v>
      </c>
    </row>
    <row r="15702" spans="1:14" x14ac:dyDescent="0.15">
      <c r="A15702" s="23" t="str">
        <f t="shared" si="823"/>
        <v>ООО "ЧОП "КЕННАРД"</v>
      </c>
      <c r="B15702" s="24" t="s">
        <v>1949</v>
      </c>
      <c r="C15702" s="25">
        <v>12166</v>
      </c>
      <c r="D15702" s="22" t="s">
        <v>18013</v>
      </c>
      <c r="E15702" s="22" t="s">
        <v>53</v>
      </c>
      <c r="F15702" s="23" t="str">
        <f>HYPERLINK("https://www.spark-marketing.ru/Card/Lot/67757071", "Комплект для крепления шкафов ТШ на круглую (o от 40 до 190 мм) или квадратную ( от 50 до 150 мм) опору крепление ТШ на опору")</f>
        <v>Комплект для крепления шкафов ТШ на круглую (o от 40 до 190 мм) или квадратную ( от 50 до 150 мм) опору крепление ТШ на опору</v>
      </c>
      <c r="G15702" s="22" t="s">
        <v>204</v>
      </c>
      <c r="H15702" s="22" t="s">
        <v>303</v>
      </c>
      <c r="I15702" s="26">
        <v>43502.6647337963</v>
      </c>
      <c r="J15702" s="28" t="s">
        <v>52</v>
      </c>
      <c r="K15702" s="28" t="s">
        <v>52</v>
      </c>
      <c r="L15702" s="28" t="s">
        <v>52</v>
      </c>
      <c r="M15702" s="28" t="s">
        <v>52</v>
      </c>
      <c r="N15702" s="28" t="s">
        <v>52</v>
      </c>
    </row>
    <row r="15703" spans="1:14" x14ac:dyDescent="0.15">
      <c r="A15703" s="23" t="str">
        <f t="shared" si="823"/>
        <v>ООО "ЧОП "КЕННАРД"</v>
      </c>
      <c r="B15703" s="24" t="s">
        <v>1949</v>
      </c>
      <c r="C15703" s="25">
        <v>300</v>
      </c>
      <c r="D15703" s="22" t="s">
        <v>18013</v>
      </c>
      <c r="E15703" s="22" t="s">
        <v>53</v>
      </c>
      <c r="F15703" s="23" t="str">
        <f>HYPERLINK("https://www.spark-marketing.ru/Card/Lot/67757088", "Кабель питания КПСВВнг(А)-LS 1х2х0,75")</f>
        <v>Кабель питания КПСВВнг(А)-LS 1х2х0,75</v>
      </c>
      <c r="G15703" s="22" t="s">
        <v>204</v>
      </c>
      <c r="H15703" s="22" t="s">
        <v>303</v>
      </c>
      <c r="I15703" s="26">
        <v>43502.6647337963</v>
      </c>
      <c r="J15703" s="28" t="s">
        <v>52</v>
      </c>
      <c r="K15703" s="28" t="s">
        <v>52</v>
      </c>
      <c r="L15703" s="28" t="s">
        <v>52</v>
      </c>
      <c r="M15703" s="28" t="s">
        <v>52</v>
      </c>
      <c r="N15703" s="28" t="s">
        <v>52</v>
      </c>
    </row>
    <row r="15704" spans="1:14" x14ac:dyDescent="0.15">
      <c r="A15704" s="23" t="str">
        <f t="shared" si="823"/>
        <v>ООО "ЧОП "КЕННАРД"</v>
      </c>
      <c r="B15704" s="24" t="s">
        <v>1949</v>
      </c>
      <c r="C15704" s="25">
        <v>1338</v>
      </c>
      <c r="D15704" s="22" t="s">
        <v>18013</v>
      </c>
      <c r="E15704" s="22" t="s">
        <v>53</v>
      </c>
      <c r="F15704" s="23" t="str">
        <f>HYPERLINK("https://www.spark-marketing.ru/Card/Lot/67757074", "Кабельный ввод M32 x 1,5, 13-21 mm 2411.840")</f>
        <v>Кабельный ввод M32 x 1,5, 13-21 mm 2411.840</v>
      </c>
      <c r="G15704" s="22" t="s">
        <v>204</v>
      </c>
      <c r="H15704" s="22" t="s">
        <v>303</v>
      </c>
      <c r="I15704" s="26">
        <v>43502.6647337963</v>
      </c>
      <c r="J15704" s="28" t="s">
        <v>52</v>
      </c>
      <c r="K15704" s="28" t="s">
        <v>52</v>
      </c>
      <c r="L15704" s="28" t="s">
        <v>52</v>
      </c>
      <c r="M15704" s="28" t="s">
        <v>52</v>
      </c>
      <c r="N15704" s="28" t="s">
        <v>52</v>
      </c>
    </row>
    <row r="15705" spans="1:14" x14ac:dyDescent="0.15">
      <c r="A15705" s="23" t="str">
        <f t="shared" si="823"/>
        <v>ООО "ЧОП "КЕННАРД"</v>
      </c>
      <c r="B15705" s="24" t="s">
        <v>1949</v>
      </c>
      <c r="C15705" s="25">
        <v>38</v>
      </c>
      <c r="D15705" s="22" t="s">
        <v>18013</v>
      </c>
      <c r="E15705" s="22" t="s">
        <v>53</v>
      </c>
      <c r="F15705" s="23" t="str">
        <f>HYPERLINK("https://www.spark-marketing.ru/Card/Lot/67757068", "DIN-рейка (25 см) оцинкованная YDN10-0025")</f>
        <v>DIN-рейка (25 см) оцинкованная YDN10-0025</v>
      </c>
      <c r="G15705" s="22" t="s">
        <v>204</v>
      </c>
      <c r="H15705" s="22" t="s">
        <v>303</v>
      </c>
      <c r="I15705" s="26">
        <v>43502.6647337963</v>
      </c>
      <c r="J15705" s="28" t="s">
        <v>52</v>
      </c>
      <c r="K15705" s="28" t="s">
        <v>52</v>
      </c>
      <c r="L15705" s="28" t="s">
        <v>52</v>
      </c>
      <c r="M15705" s="28" t="s">
        <v>52</v>
      </c>
      <c r="N15705" s="28" t="s">
        <v>52</v>
      </c>
    </row>
    <row r="15706" spans="1:14" x14ac:dyDescent="0.15">
      <c r="A15706" s="23" t="str">
        <f t="shared" si="823"/>
        <v>ООО "ЧОП "КЕННАРД"</v>
      </c>
      <c r="B15706" s="24" t="s">
        <v>1949</v>
      </c>
      <c r="C15706" s="25">
        <v>67200</v>
      </c>
      <c r="D15706" s="22" t="s">
        <v>18013</v>
      </c>
      <c r="E15706" s="22" t="s">
        <v>53</v>
      </c>
      <c r="F15706" s="23" t="str">
        <f>HYPERLINK("https://www.spark-marketing.ru/Card/Lot/67757086", "Кабель силовой ВВГнг LS 3х6")</f>
        <v>Кабель силовой ВВГнг LS 3х6</v>
      </c>
      <c r="G15706" s="22" t="s">
        <v>204</v>
      </c>
      <c r="H15706" s="22" t="s">
        <v>303</v>
      </c>
      <c r="I15706" s="26">
        <v>43502.6647337963</v>
      </c>
      <c r="J15706" s="28" t="s">
        <v>52</v>
      </c>
      <c r="K15706" s="28" t="s">
        <v>52</v>
      </c>
      <c r="L15706" s="28" t="s">
        <v>52</v>
      </c>
      <c r="M15706" s="28" t="s">
        <v>52</v>
      </c>
      <c r="N15706" s="28" t="s">
        <v>52</v>
      </c>
    </row>
    <row r="15707" spans="1:14" x14ac:dyDescent="0.15">
      <c r="A15707" s="23" t="str">
        <f t="shared" si="823"/>
        <v>ООО "ЧОП "КЕННАРД"</v>
      </c>
      <c r="B15707" s="24" t="s">
        <v>1949</v>
      </c>
      <c r="C15707" s="25">
        <v>328</v>
      </c>
      <c r="D15707" s="22" t="s">
        <v>18013</v>
      </c>
      <c r="E15707" s="22" t="s">
        <v>53</v>
      </c>
      <c r="F15707" s="23" t="str">
        <f>HYPERLINK("https://www.spark-marketing.ru/Card/Lot/67757345", "Розеточный модуль на din-рейку PАр10-3-ОП")</f>
        <v>Розеточный модуль на din-рейку PАр10-3-ОП</v>
      </c>
      <c r="G15707" s="22" t="s">
        <v>204</v>
      </c>
      <c r="H15707" s="22" t="s">
        <v>303</v>
      </c>
      <c r="I15707" s="26">
        <v>43502.6647337963</v>
      </c>
      <c r="J15707" s="28" t="s">
        <v>52</v>
      </c>
      <c r="K15707" s="28" t="s">
        <v>52</v>
      </c>
      <c r="L15707" s="28" t="s">
        <v>52</v>
      </c>
      <c r="M15707" s="28" t="s">
        <v>52</v>
      </c>
      <c r="N15707" s="28" t="s">
        <v>52</v>
      </c>
    </row>
    <row r="15708" spans="1:14" x14ac:dyDescent="0.15">
      <c r="A15708" s="23" t="str">
        <f t="shared" si="823"/>
        <v>ООО "ЧОП "КЕННАРД"</v>
      </c>
      <c r="B15708" s="24" t="s">
        <v>1949</v>
      </c>
      <c r="C15708" s="25">
        <v>117326</v>
      </c>
      <c r="D15708" s="22" t="s">
        <v>18013</v>
      </c>
      <c r="E15708" s="22" t="s">
        <v>53</v>
      </c>
      <c r="F15708" s="23" t="str">
        <f>HYPERLINK("https://www.spark-marketing.ru/Card/Lot/67757338", "Адаптер для крепления на столбы и опоры с комплектом крепежа T122")</f>
        <v>Адаптер для крепления на столбы и опоры с комплектом крепежа T122</v>
      </c>
      <c r="G15708" s="22" t="s">
        <v>204</v>
      </c>
      <c r="H15708" s="22" t="s">
        <v>303</v>
      </c>
      <c r="I15708" s="26">
        <v>43502.6647337963</v>
      </c>
      <c r="J15708" s="28" t="s">
        <v>52</v>
      </c>
      <c r="K15708" s="28" t="s">
        <v>52</v>
      </c>
      <c r="L15708" s="28" t="s">
        <v>52</v>
      </c>
      <c r="M15708" s="28" t="s">
        <v>52</v>
      </c>
      <c r="N15708" s="28" t="s">
        <v>52</v>
      </c>
    </row>
    <row r="15709" spans="1:14" x14ac:dyDescent="0.15">
      <c r="A15709" s="23" t="str">
        <f>HYPERLINK("https://www.spark-marketing.ru/Card/Person/3609", "ФГБОУ ВО ""БАШКИРСКИЙ ГОСУДАРСТВЕННЫЙ УНИВЕРСИТЕТ"", БАШКИРСКИЙ ГОСУДАРСТВЕННЫЙ УНИВЕРСИТЕТ, БАШГУ")</f>
        <v>ФГБОУ ВО "БАШКИРСКИЙ ГОСУДАРСТВЕННЫЙ УНИВЕРСИТЕТ", БАШКИРСКИЙ ГОСУДАРСТВЕННЫЙ УНИВЕРСИТЕТ, БАШГУ</v>
      </c>
      <c r="B15709" s="24" t="s">
        <v>18016</v>
      </c>
      <c r="C15709" s="25">
        <v>119750.39999999999</v>
      </c>
      <c r="D15709" s="22" t="s">
        <v>18017</v>
      </c>
      <c r="E15709" s="22" t="s">
        <v>144</v>
      </c>
      <c r="F15709" s="23" t="str">
        <f>HYPERLINK("https://www.spark-marketing.ru/Card/Lot/67740136", "Оказание услуг по охране объектов путем экстренного вызова сотрудников вневедомственной охраны (с использованием кнопки тревожной сигнализации) для нужд СИБАЙСКОГО ИНСТИТУТА ФИЛИАЛА БашГУ")</f>
        <v>Оказание услуг по охране объектов путем экстренного вызова сотрудников вневедомственной охраны (с использованием кнопки тревожной сигнализации) для нужд СИБАЙСКОГО ИНСТИТУТА ФИЛИАЛА БашГУ</v>
      </c>
      <c r="G15709" s="22" t="s">
        <v>100</v>
      </c>
      <c r="H15709" s="22" t="s">
        <v>100</v>
      </c>
      <c r="I15709" s="26">
        <v>43502.625601851898</v>
      </c>
      <c r="J15709" s="28" t="s">
        <v>52</v>
      </c>
      <c r="K15709" s="28" t="s">
        <v>52</v>
      </c>
      <c r="L15709" s="28" t="s">
        <v>52</v>
      </c>
      <c r="M15709" s="28" t="s">
        <v>52</v>
      </c>
      <c r="N15709" s="28" t="s">
        <v>52</v>
      </c>
    </row>
    <row r="15710" spans="1:14" x14ac:dyDescent="0.15">
      <c r="A15710" s="23" t="str">
        <f>HYPERLINK("https://www.spark-marketing.ru/Card/Person/1683079", "ООО ""ЧОП ""КЕННАРД""")</f>
        <v>ООО "ЧОП "КЕННАРД"</v>
      </c>
      <c r="B15710" s="24" t="s">
        <v>1949</v>
      </c>
      <c r="C15710" s="25">
        <v>55288</v>
      </c>
      <c r="D15710" s="22" t="s">
        <v>18013</v>
      </c>
      <c r="E15710" s="22" t="s">
        <v>53</v>
      </c>
      <c r="F15710" s="23" t="str">
        <f>HYPERLINK("https://www.spark-marketing.ru/Card/Lot/67757089", "Кабель категории 5е UTP 4 пары, черный, 500м, для внешней прокладки -60°С 19C-U5-07BL-R500")</f>
        <v>Кабель категории 5е UTP 4 пары, черный, 500м, для внешней прокладки -60°С 19C-U5-07BL-R500</v>
      </c>
      <c r="G15710" s="22" t="s">
        <v>204</v>
      </c>
      <c r="H15710" s="22" t="s">
        <v>303</v>
      </c>
      <c r="I15710" s="26">
        <v>43502.6647337963</v>
      </c>
      <c r="J15710" s="28" t="s">
        <v>52</v>
      </c>
      <c r="K15710" s="28" t="s">
        <v>52</v>
      </c>
      <c r="L15710" s="28" t="s">
        <v>52</v>
      </c>
      <c r="M15710" s="28" t="s">
        <v>52</v>
      </c>
      <c r="N15710" s="28" t="s">
        <v>52</v>
      </c>
    </row>
    <row r="15711" spans="1:14" x14ac:dyDescent="0.15">
      <c r="A15711" s="23" t="str">
        <f>HYPERLINK("https://www.spark-marketing.ru/Card/Person/300610", "КГАУ ФОК ""ЗВЕЗДНЫЙ""")</f>
        <v>КГАУ ФОК "ЗВЕЗДНЫЙ"</v>
      </c>
      <c r="B15711" s="24" t="s">
        <v>18018</v>
      </c>
      <c r="C15711" s="25">
        <v>1674000</v>
      </c>
      <c r="D15711" s="22" t="s">
        <v>18019</v>
      </c>
      <c r="E15711" s="22" t="s">
        <v>53</v>
      </c>
      <c r="F15711" s="23" t="str">
        <f>HYPERLINK("https://www.spark-marketing.ru/Card/Lot/67788103", "оказание услуг охраны объекта")</f>
        <v>оказание услуг охраны объекта</v>
      </c>
      <c r="G15711" s="22" t="s">
        <v>1141</v>
      </c>
      <c r="H15711" s="22" t="s">
        <v>1142</v>
      </c>
      <c r="I15711" s="26">
        <v>43502.625</v>
      </c>
      <c r="J15711" s="28" t="s">
        <v>52</v>
      </c>
      <c r="K15711" s="28" t="s">
        <v>52</v>
      </c>
      <c r="L15711" s="28" t="s">
        <v>52</v>
      </c>
      <c r="M15711" s="28" t="s">
        <v>52</v>
      </c>
      <c r="N15711" s="28" t="s">
        <v>52</v>
      </c>
    </row>
    <row r="15712" spans="1:14" x14ac:dyDescent="0.15">
      <c r="A15712" s="23" t="str">
        <f t="shared" ref="A15712:A15726" si="824">HYPERLINK("https://www.spark-marketing.ru/Card/Person/1683079", "ООО ""ЧОП ""КЕННАРД""")</f>
        <v>ООО "ЧОП "КЕННАРД"</v>
      </c>
      <c r="B15712" s="24" t="s">
        <v>1949</v>
      </c>
      <c r="C15712" s="25">
        <v>72600</v>
      </c>
      <c r="D15712" s="22" t="s">
        <v>18013</v>
      </c>
      <c r="E15712" s="22" t="s">
        <v>53</v>
      </c>
      <c r="F15712" s="23" t="str">
        <f>HYPERLINK("https://www.spark-marketing.ru/Card/Lot/67757085", "Кабель универсальный, OS2, 12 волокна, центральный модуль с волокнами в первичном буферном покрытии заполненный гидрофобным гелем, LSZH оболочка 39U-S2-12-02BL")</f>
        <v>Кабель универсальный, OS2, 12 волокна, центральный модуль с волокнами в первичном буферном покрытии заполненный гидрофобным гелем, LSZH оболочка 39U-S2-12-02BL</v>
      </c>
      <c r="G15712" s="22" t="s">
        <v>204</v>
      </c>
      <c r="H15712" s="22" t="s">
        <v>303</v>
      </c>
      <c r="I15712" s="26">
        <v>43502.6647337963</v>
      </c>
      <c r="J15712" s="28" t="s">
        <v>52</v>
      </c>
      <c r="K15712" s="28" t="s">
        <v>52</v>
      </c>
      <c r="L15712" s="28" t="s">
        <v>52</v>
      </c>
      <c r="M15712" s="28" t="s">
        <v>52</v>
      </c>
      <c r="N15712" s="28" t="s">
        <v>52</v>
      </c>
    </row>
    <row r="15713" spans="1:14" x14ac:dyDescent="0.15">
      <c r="A15713" s="23" t="str">
        <f t="shared" si="824"/>
        <v>ООО "ЧОП "КЕННАРД"</v>
      </c>
      <c r="B15713" s="24" t="s">
        <v>1949</v>
      </c>
      <c r="C15713" s="25">
        <v>49800</v>
      </c>
      <c r="D15713" s="22" t="s">
        <v>18013</v>
      </c>
      <c r="E15713" s="22" t="s">
        <v>53</v>
      </c>
      <c r="F15713" s="23" t="str">
        <f>HYPERLINK("https://www.spark-marketing.ru/Card/Lot/67757097", "Лента сигнальная")</f>
        <v>Лента сигнальная</v>
      </c>
      <c r="G15713" s="22" t="s">
        <v>204</v>
      </c>
      <c r="H15713" s="22" t="s">
        <v>303</v>
      </c>
      <c r="I15713" s="26">
        <v>43502.6647337963</v>
      </c>
      <c r="J15713" s="28" t="s">
        <v>52</v>
      </c>
      <c r="K15713" s="28" t="s">
        <v>52</v>
      </c>
      <c r="L15713" s="28" t="s">
        <v>52</v>
      </c>
      <c r="M15713" s="28" t="s">
        <v>52</v>
      </c>
      <c r="N15713" s="28" t="s">
        <v>52</v>
      </c>
    </row>
    <row r="15714" spans="1:14" x14ac:dyDescent="0.15">
      <c r="A15714" s="23" t="str">
        <f t="shared" si="824"/>
        <v>ООО "ЧОП "КЕННАРД"</v>
      </c>
      <c r="B15714" s="24" t="s">
        <v>1949</v>
      </c>
      <c r="C15714" s="25">
        <v>4200</v>
      </c>
      <c r="D15714" s="22" t="s">
        <v>18013</v>
      </c>
      <c r="E15714" s="22" t="s">
        <v>53</v>
      </c>
      <c r="F15714" s="23" t="str">
        <f>HYPERLINK("https://www.spark-marketing.ru/Card/Lot/67757087", "Кабель силовой ВВГнг LS 3х2,5")</f>
        <v>Кабель силовой ВВГнг LS 3х2,5</v>
      </c>
      <c r="G15714" s="22" t="s">
        <v>204</v>
      </c>
      <c r="H15714" s="22" t="s">
        <v>303</v>
      </c>
      <c r="I15714" s="26">
        <v>43502.6647337963</v>
      </c>
      <c r="J15714" s="28" t="s">
        <v>52</v>
      </c>
      <c r="K15714" s="28" t="s">
        <v>52</v>
      </c>
      <c r="L15714" s="28" t="s">
        <v>52</v>
      </c>
      <c r="M15714" s="28" t="s">
        <v>52</v>
      </c>
      <c r="N15714" s="28" t="s">
        <v>52</v>
      </c>
    </row>
    <row r="15715" spans="1:14" x14ac:dyDescent="0.15">
      <c r="A15715" s="23" t="str">
        <f t="shared" si="824"/>
        <v>ООО "ЧОП "КЕННАРД"</v>
      </c>
      <c r="B15715" s="24" t="s">
        <v>1949</v>
      </c>
      <c r="C15715" s="25">
        <v>30</v>
      </c>
      <c r="D15715" s="22" t="s">
        <v>18013</v>
      </c>
      <c r="E15715" s="22" t="s">
        <v>53</v>
      </c>
      <c r="F15715" s="23" t="str">
        <f>HYPERLINK("https://www.spark-marketing.ru/Card/Lot/67757347", "Зажим наборный синий 6мм3 YZN10-006-K07")</f>
        <v>Зажим наборный синий 6мм3 YZN10-006-K07</v>
      </c>
      <c r="G15715" s="22" t="s">
        <v>204</v>
      </c>
      <c r="H15715" s="22" t="s">
        <v>303</v>
      </c>
      <c r="I15715" s="26">
        <v>43502.6647337963</v>
      </c>
      <c r="J15715" s="28" t="s">
        <v>52</v>
      </c>
      <c r="K15715" s="28" t="s">
        <v>52</v>
      </c>
      <c r="L15715" s="28" t="s">
        <v>52</v>
      </c>
      <c r="M15715" s="28" t="s">
        <v>52</v>
      </c>
      <c r="N15715" s="28" t="s">
        <v>52</v>
      </c>
    </row>
    <row r="15716" spans="1:14" x14ac:dyDescent="0.15">
      <c r="A15716" s="23" t="str">
        <f t="shared" si="824"/>
        <v>ООО "ЧОП "КЕННАРД"</v>
      </c>
      <c r="B15716" s="24" t="s">
        <v>1949</v>
      </c>
      <c r="C15716" s="25">
        <v>180</v>
      </c>
      <c r="D15716" s="22" t="s">
        <v>18013</v>
      </c>
      <c r="E15716" s="22" t="s">
        <v>53</v>
      </c>
      <c r="F15716" s="23" t="str">
        <f>HYPERLINK("https://www.spark-marketing.ru/Card/Lot/67757098", "Бирка кабельная У-134 У3,5 (100 шт.) У-134 У3,5 43811")</f>
        <v>Бирка кабельная У-134 У3,5 (100 шт.) У-134 У3,5 43811</v>
      </c>
      <c r="G15716" s="22" t="s">
        <v>204</v>
      </c>
      <c r="H15716" s="22" t="s">
        <v>303</v>
      </c>
      <c r="I15716" s="26">
        <v>43502.6647337963</v>
      </c>
      <c r="J15716" s="28" t="s">
        <v>52</v>
      </c>
      <c r="K15716" s="28" t="s">
        <v>52</v>
      </c>
      <c r="L15716" s="28" t="s">
        <v>52</v>
      </c>
      <c r="M15716" s="28" t="s">
        <v>52</v>
      </c>
      <c r="N15716" s="28" t="s">
        <v>52</v>
      </c>
    </row>
    <row r="15717" spans="1:14" x14ac:dyDescent="0.15">
      <c r="A15717" s="23" t="str">
        <f t="shared" si="824"/>
        <v>ООО "ЧОП "КЕННАРД"</v>
      </c>
      <c r="B15717" s="24" t="s">
        <v>1949</v>
      </c>
      <c r="C15717" s="25">
        <v>1166</v>
      </c>
      <c r="D15717" s="22" t="s">
        <v>18013</v>
      </c>
      <c r="E15717" s="22" t="s">
        <v>53</v>
      </c>
      <c r="F15717" s="23" t="str">
        <f>HYPERLINK("https://www.spark-marketing.ru/Card/Lot/67757393", "Комплект маркировочный пластмассовый КМП (в упаковке 50 комплектов и 1 маркер) 120808-00041")</f>
        <v>Комплект маркировочный пластмассовый КМП (в упаковке 50 комплектов и 1 маркер) 120808-00041</v>
      </c>
      <c r="G15717" s="22" t="s">
        <v>204</v>
      </c>
      <c r="H15717" s="22" t="s">
        <v>303</v>
      </c>
      <c r="I15717" s="26">
        <v>43502.6647337963</v>
      </c>
      <c r="J15717" s="28" t="s">
        <v>52</v>
      </c>
      <c r="K15717" s="28" t="s">
        <v>52</v>
      </c>
      <c r="L15717" s="28" t="s">
        <v>52</v>
      </c>
      <c r="M15717" s="28" t="s">
        <v>52</v>
      </c>
      <c r="N15717" s="28" t="s">
        <v>52</v>
      </c>
    </row>
    <row r="15718" spans="1:14" x14ac:dyDescent="0.15">
      <c r="A15718" s="23" t="str">
        <f t="shared" si="824"/>
        <v>ООО "ЧОП "КЕННАРД"</v>
      </c>
      <c r="B15718" s="24" t="s">
        <v>1949</v>
      </c>
      <c r="C15718" s="25">
        <v>4250</v>
      </c>
      <c r="D15718" s="22" t="s">
        <v>18013</v>
      </c>
      <c r="E15718" s="22" t="s">
        <v>53</v>
      </c>
      <c r="F15718" s="23" t="str">
        <f>HYPERLINK("https://www.spark-marketing.ru/Card/Lot/67757336", "Кросс оптический настенный (с ложементом, адаптерами, пигтейлами, ГДЗС) КОН-16 SC/UPC")</f>
        <v>Кросс оптический настенный (с ложементом, адаптерами, пигтейлами, ГДЗС) КОН-16 SC/UPC</v>
      </c>
      <c r="G15718" s="22" t="s">
        <v>204</v>
      </c>
      <c r="H15718" s="22" t="s">
        <v>303</v>
      </c>
      <c r="I15718" s="26">
        <v>43502.6647337963</v>
      </c>
      <c r="J15718" s="28" t="s">
        <v>52</v>
      </c>
      <c r="K15718" s="28" t="s">
        <v>52</v>
      </c>
      <c r="L15718" s="28" t="s">
        <v>52</v>
      </c>
      <c r="M15718" s="28" t="s">
        <v>52</v>
      </c>
      <c r="N15718" s="28" t="s">
        <v>52</v>
      </c>
    </row>
    <row r="15719" spans="1:14" x14ac:dyDescent="0.15">
      <c r="A15719" s="23" t="str">
        <f t="shared" si="824"/>
        <v>ООО "ЧОП "КЕННАРД"</v>
      </c>
      <c r="B15719" s="24" t="s">
        <v>1949</v>
      </c>
      <c r="C15719" s="25">
        <v>975</v>
      </c>
      <c r="D15719" s="22" t="s">
        <v>18013</v>
      </c>
      <c r="E15719" s="22" t="s">
        <v>53</v>
      </c>
      <c r="F15719" s="23" t="str">
        <f>HYPERLINK("https://www.spark-marketing.ru/Card/Lot/67757093", "Муфта для двустенных-дренажных труб, 50мм 15050")</f>
        <v>Муфта для двустенных-дренажных труб, 50мм 15050</v>
      </c>
      <c r="G15719" s="22" t="s">
        <v>204</v>
      </c>
      <c r="H15719" s="22" t="s">
        <v>303</v>
      </c>
      <c r="I15719" s="26">
        <v>43502.6647337963</v>
      </c>
      <c r="J15719" s="28" t="s">
        <v>52</v>
      </c>
      <c r="K15719" s="28" t="s">
        <v>52</v>
      </c>
      <c r="L15719" s="28" t="s">
        <v>52</v>
      </c>
      <c r="M15719" s="28" t="s">
        <v>52</v>
      </c>
      <c r="N15719" s="28" t="s">
        <v>52</v>
      </c>
    </row>
    <row r="15720" spans="1:14" x14ac:dyDescent="0.15">
      <c r="A15720" s="23" t="str">
        <f t="shared" si="824"/>
        <v>ООО "ЧОП "КЕННАРД"</v>
      </c>
      <c r="B15720" s="24" t="s">
        <v>1949</v>
      </c>
      <c r="C15720" s="25">
        <v>57</v>
      </c>
      <c r="D15720" s="22" t="s">
        <v>18013</v>
      </c>
      <c r="E15720" s="22" t="s">
        <v>53</v>
      </c>
      <c r="F15720" s="23" t="str">
        <f>HYPERLINK("https://www.spark-marketing.ru/Card/Lot/67757070", "Наконечники кольцевые медные луженые НКИ 5,5-8 UNL20-006-6-8")</f>
        <v>Наконечники кольцевые медные луженые НКИ 5,5-8 UNL20-006-6-8</v>
      </c>
      <c r="G15720" s="22" t="s">
        <v>204</v>
      </c>
      <c r="H15720" s="22" t="s">
        <v>303</v>
      </c>
      <c r="I15720" s="26">
        <v>43502.6647337963</v>
      </c>
      <c r="J15720" s="28" t="s">
        <v>52</v>
      </c>
      <c r="K15720" s="28" t="s">
        <v>52</v>
      </c>
      <c r="L15720" s="28" t="s">
        <v>52</v>
      </c>
      <c r="M15720" s="28" t="s">
        <v>52</v>
      </c>
      <c r="N15720" s="28" t="s">
        <v>52</v>
      </c>
    </row>
    <row r="15721" spans="1:14" x14ac:dyDescent="0.15">
      <c r="A15721" s="23" t="str">
        <f t="shared" si="824"/>
        <v>ООО "ЧОП "КЕННАРД"</v>
      </c>
      <c r="B15721" s="24" t="s">
        <v>1949</v>
      </c>
      <c r="C15721" s="25">
        <v>70</v>
      </c>
      <c r="D15721" s="22" t="s">
        <v>18013</v>
      </c>
      <c r="E15721" s="22" t="s">
        <v>53</v>
      </c>
      <c r="F15721" s="23" t="str">
        <f>HYPERLINK("https://www.spark-marketing.ru/Card/Lot/67757343", "Болт M6x20")</f>
        <v>Болт M6x20</v>
      </c>
      <c r="G15721" s="22" t="s">
        <v>204</v>
      </c>
      <c r="H15721" s="22" t="s">
        <v>303</v>
      </c>
      <c r="I15721" s="26">
        <v>43502.6647337963</v>
      </c>
      <c r="J15721" s="28" t="s">
        <v>52</v>
      </c>
      <c r="K15721" s="28" t="s">
        <v>52</v>
      </c>
      <c r="L15721" s="28" t="s">
        <v>52</v>
      </c>
      <c r="M15721" s="28" t="s">
        <v>52</v>
      </c>
      <c r="N15721" s="28" t="s">
        <v>52</v>
      </c>
    </row>
    <row r="15722" spans="1:14" x14ac:dyDescent="0.15">
      <c r="A15722" s="23" t="str">
        <f t="shared" si="824"/>
        <v>ООО "ЧОП "КЕННАРД"</v>
      </c>
      <c r="B15722" s="24" t="s">
        <v>1949</v>
      </c>
      <c r="C15722" s="25">
        <v>6438</v>
      </c>
      <c r="D15722" s="22" t="s">
        <v>18013</v>
      </c>
      <c r="E15722" s="22" t="s">
        <v>53</v>
      </c>
      <c r="F15722" s="23" t="str">
        <f>HYPERLINK("https://www.spark-marketing.ru/Card/Lot/67757341", "Лента бандажная ЛМ-50 (упак.-50м) ЛМ-50 UZA-L50")</f>
        <v>Лента бандажная ЛМ-50 (упак.-50м) ЛМ-50 UZA-L50</v>
      </c>
      <c r="G15722" s="22" t="s">
        <v>204</v>
      </c>
      <c r="H15722" s="22" t="s">
        <v>303</v>
      </c>
      <c r="I15722" s="26">
        <v>43502.6647337963</v>
      </c>
      <c r="J15722" s="28" t="s">
        <v>52</v>
      </c>
      <c r="K15722" s="28" t="s">
        <v>52</v>
      </c>
      <c r="L15722" s="28" t="s">
        <v>52</v>
      </c>
      <c r="M15722" s="28" t="s">
        <v>52</v>
      </c>
      <c r="N15722" s="28" t="s">
        <v>52</v>
      </c>
    </row>
    <row r="15723" spans="1:14" x14ac:dyDescent="0.15">
      <c r="A15723" s="23" t="str">
        <f t="shared" si="824"/>
        <v>ООО "ЧОП "КЕННАРД"</v>
      </c>
      <c r="B15723" s="24" t="s">
        <v>1949</v>
      </c>
      <c r="C15723" s="25">
        <v>7260</v>
      </c>
      <c r="D15723" s="22" t="s">
        <v>18013</v>
      </c>
      <c r="E15723" s="22" t="s">
        <v>53</v>
      </c>
      <c r="F15723" s="23" t="str">
        <f>HYPERLINK("https://www.spark-marketing.ru/Card/Lot/67757076", "Кабельный ввод M63 x 1,5, 35-48 mm 2411.870")</f>
        <v>Кабельный ввод M63 x 1,5, 35-48 mm 2411.870</v>
      </c>
      <c r="G15723" s="22" t="s">
        <v>204</v>
      </c>
      <c r="H15723" s="22" t="s">
        <v>303</v>
      </c>
      <c r="I15723" s="26">
        <v>43502.6647337963</v>
      </c>
      <c r="J15723" s="28" t="s">
        <v>52</v>
      </c>
      <c r="K15723" s="28" t="s">
        <v>52</v>
      </c>
      <c r="L15723" s="28" t="s">
        <v>52</v>
      </c>
      <c r="M15723" s="28" t="s">
        <v>52</v>
      </c>
      <c r="N15723" s="28" t="s">
        <v>52</v>
      </c>
    </row>
    <row r="15724" spans="1:14" x14ac:dyDescent="0.15">
      <c r="A15724" s="23" t="str">
        <f t="shared" si="824"/>
        <v>ООО "ЧОП "КЕННАРД"</v>
      </c>
      <c r="B15724" s="24" t="s">
        <v>1949</v>
      </c>
      <c r="C15724" s="25">
        <v>3164</v>
      </c>
      <c r="D15724" s="22" t="s">
        <v>18013</v>
      </c>
      <c r="E15724" s="22" t="s">
        <v>53</v>
      </c>
      <c r="F15724" s="23" t="str">
        <f>HYPERLINK("https://www.spark-marketing.ru/Card/Lot/67757077", "Патч-корд дуплексный 2*9/125 SC-LC, 1м 41F-S1-SC-LC-01")</f>
        <v>Патч-корд дуплексный 2*9/125 SC-LC, 1м 41F-S1-SC-LC-01</v>
      </c>
      <c r="G15724" s="22" t="s">
        <v>204</v>
      </c>
      <c r="H15724" s="22" t="s">
        <v>303</v>
      </c>
      <c r="I15724" s="26">
        <v>43502.6647337963</v>
      </c>
      <c r="J15724" s="28" t="s">
        <v>52</v>
      </c>
      <c r="K15724" s="28" t="s">
        <v>52</v>
      </c>
      <c r="L15724" s="28" t="s">
        <v>52</v>
      </c>
      <c r="M15724" s="28" t="s">
        <v>52</v>
      </c>
      <c r="N15724" s="28" t="s">
        <v>52</v>
      </c>
    </row>
    <row r="15725" spans="1:14" x14ac:dyDescent="0.15">
      <c r="A15725" s="23" t="str">
        <f t="shared" si="824"/>
        <v>ООО "ЧОП "КЕННАРД"</v>
      </c>
      <c r="B15725" s="24" t="s">
        <v>1949</v>
      </c>
      <c r="C15725" s="25">
        <v>4278.34</v>
      </c>
      <c r="D15725" s="22" t="s">
        <v>18013</v>
      </c>
      <c r="E15725" s="22" t="s">
        <v>53</v>
      </c>
      <c r="F15725" s="23" t="str">
        <f>HYPERLINK("https://www.spark-marketing.ru/Card/Lot/67757342", "СУ-20 (упак-100шт) СУ-20 UZA-51-100")</f>
        <v>СУ-20 (упак-100шт) СУ-20 UZA-51-100</v>
      </c>
      <c r="G15725" s="22" t="s">
        <v>204</v>
      </c>
      <c r="H15725" s="22" t="s">
        <v>303</v>
      </c>
      <c r="I15725" s="26">
        <v>43502.6647337963</v>
      </c>
      <c r="J15725" s="28" t="s">
        <v>52</v>
      </c>
      <c r="K15725" s="28" t="s">
        <v>52</v>
      </c>
      <c r="L15725" s="28" t="s">
        <v>52</v>
      </c>
      <c r="M15725" s="28" t="s">
        <v>52</v>
      </c>
      <c r="N15725" s="28" t="s">
        <v>52</v>
      </c>
    </row>
    <row r="15726" spans="1:14" x14ac:dyDescent="0.15">
      <c r="A15726" s="23" t="str">
        <f t="shared" si="824"/>
        <v>ООО "ЧОП "КЕННАРД"</v>
      </c>
      <c r="B15726" s="24" t="s">
        <v>1949</v>
      </c>
      <c r="C15726" s="25">
        <v>4.17</v>
      </c>
      <c r="D15726" s="22" t="s">
        <v>18013</v>
      </c>
      <c r="E15726" s="22" t="s">
        <v>53</v>
      </c>
      <c r="F15726" s="23" t="str">
        <f>HYPERLINK("https://www.spark-marketing.ru/Card/Lot/67757079", "Дюбель-гвоздь 8х100 (100шт) SM-L 117983")</f>
        <v>Дюбель-гвоздь 8х100 (100шт) SM-L 117983</v>
      </c>
      <c r="G15726" s="22" t="s">
        <v>204</v>
      </c>
      <c r="H15726" s="22" t="s">
        <v>303</v>
      </c>
      <c r="I15726" s="26">
        <v>43502.6647337963</v>
      </c>
      <c r="J15726" s="28" t="s">
        <v>52</v>
      </c>
      <c r="K15726" s="28" t="s">
        <v>52</v>
      </c>
      <c r="L15726" s="28" t="s">
        <v>52</v>
      </c>
      <c r="M15726" s="28" t="s">
        <v>52</v>
      </c>
      <c r="N15726" s="28" t="s">
        <v>52</v>
      </c>
    </row>
    <row r="15727" spans="1:14" x14ac:dyDescent="0.15">
      <c r="A15727" s="23" t="str">
        <f>HYPERLINK("https://www.spark-marketing.ru/Card/Person/108763", "БДОУ Г. ОМСКА ""ДЕТСКИЙ САД № 359 ОБЩЕРАЗВИВАЮЩЕГО ВИДА""")</f>
        <v>БДОУ Г. ОМСКА "ДЕТСКИЙ САД № 359 ОБЩЕРАЗВИВАЮЩЕГО ВИДА"</v>
      </c>
      <c r="B15727" s="24" t="s">
        <v>18020</v>
      </c>
      <c r="C15727" s="25">
        <v>6600</v>
      </c>
      <c r="D15727" s="22" t="s">
        <v>18021</v>
      </c>
      <c r="E15727" s="22" t="s">
        <v>103</v>
      </c>
      <c r="F15727" s="23" t="str">
        <f>HYPERLINK("https://www.spark-marketing.ru/Card/Lot/67742268", "Услуги по обслуживанию системы видеонаблюдения")</f>
        <v>Услуги по обслуживанию системы видеонаблюдения</v>
      </c>
      <c r="G15727" s="22" t="s">
        <v>521</v>
      </c>
      <c r="H15727" s="22" t="s">
        <v>522</v>
      </c>
      <c r="I15727" s="26">
        <v>43502.623611111099</v>
      </c>
      <c r="J15727" s="28" t="s">
        <v>52</v>
      </c>
      <c r="K15727" s="28" t="s">
        <v>52</v>
      </c>
      <c r="L15727" s="28" t="s">
        <v>52</v>
      </c>
      <c r="M15727" s="28" t="s">
        <v>52</v>
      </c>
      <c r="N15727" s="28" t="s">
        <v>52</v>
      </c>
    </row>
    <row r="15728" spans="1:14" x14ac:dyDescent="0.15">
      <c r="A15728" s="23" t="str">
        <f>HYPERLINK("https://www.spark-marketing.ru/Card/Person/11770", "МЕЖРАЙОННАЯ ИФНС РОССИИ № 1 ПО РЕСПУБЛИКЕ БАШКОРТОСТАН")</f>
        <v>МЕЖРАЙОННАЯ ИФНС РОССИИ № 1 ПО РЕСПУБЛИКЕ БАШКОРТОСТАН</v>
      </c>
      <c r="B15728" s="24" t="s">
        <v>13906</v>
      </c>
      <c r="C15728" s="25">
        <v>77363.820000000007</v>
      </c>
      <c r="D15728" s="22" t="s">
        <v>18022</v>
      </c>
      <c r="E15728" s="22" t="s">
        <v>53</v>
      </c>
      <c r="F15728" s="23" t="str">
        <f>HYPERLINK("https://www.spark-marketing.ru/Card/Lot/70800227", "оказание услуг по охране объектов ПЦН")</f>
        <v>оказание услуг по охране объектов ПЦН</v>
      </c>
      <c r="G15728" s="22" t="s">
        <v>100</v>
      </c>
      <c r="H15728" s="22" t="s">
        <v>373</v>
      </c>
      <c r="I15728" s="26">
        <v>43502.599224537</v>
      </c>
      <c r="J15728" s="28" t="s">
        <v>52</v>
      </c>
      <c r="K15728" s="28" t="s">
        <v>52</v>
      </c>
      <c r="L15728" s="28" t="s">
        <v>52</v>
      </c>
      <c r="M15728" s="28" t="s">
        <v>52</v>
      </c>
      <c r="N15728" s="28" t="s">
        <v>52</v>
      </c>
    </row>
    <row r="15729" spans="1:14" x14ac:dyDescent="0.15">
      <c r="A15729" s="23" t="str">
        <f>HYPERLINK("https://www.spark-marketing.ru/Card/Person/245843", "МОУ КОТЕРЕВСКАЯ СОШ")</f>
        <v>МОУ КОТЕРЕВСКАЯ СОШ</v>
      </c>
      <c r="B15729" s="24" t="s">
        <v>18023</v>
      </c>
      <c r="C15729" s="25">
        <v>88000</v>
      </c>
      <c r="D15729" s="22" t="s">
        <v>18024</v>
      </c>
      <c r="E15729" s="22" t="s">
        <v>294</v>
      </c>
      <c r="F15729" s="23" t="str">
        <f>HYPERLINK("https://www.spark-marketing.ru/Card/Lot/67741177", "Оказание услуг по техническому обслуживанию системы видеонаблюдения в 2019 году")</f>
        <v>Оказание услуг по техническому обслуживанию системы видеонаблюдения в 2019 году</v>
      </c>
      <c r="G15729" s="22" t="s">
        <v>50</v>
      </c>
      <c r="H15729" s="22" t="s">
        <v>7113</v>
      </c>
      <c r="I15729" s="26">
        <v>43502.555069444403</v>
      </c>
      <c r="J15729" s="28" t="s">
        <v>52</v>
      </c>
      <c r="K15729" s="28" t="s">
        <v>52</v>
      </c>
      <c r="L15729" s="28" t="s">
        <v>52</v>
      </c>
      <c r="M15729" s="28" t="s">
        <v>52</v>
      </c>
      <c r="N15729" s="28" t="s">
        <v>52</v>
      </c>
    </row>
    <row r="15730" spans="1:14" x14ac:dyDescent="0.15">
      <c r="A15730" s="23" t="str">
        <f>HYPERLINK("https://www.spark-marketing.ru/Card/Person/13814", "ГАУ ""КЦСОН ""МАЛАХИТ"" ОРДЖОНИКИДЗЕВСКОГО РАЙОНА ГОРОДА ЕКАТЕРИНБУРГА""")</f>
        <v>ГАУ "КЦСОН "МАЛАХИТ" ОРДЖОНИКИДЗЕВСКОГО РАЙОНА ГОРОДА ЕКАТЕРИНБУРГА"</v>
      </c>
      <c r="B15730" s="24" t="s">
        <v>7095</v>
      </c>
      <c r="C15730" s="25">
        <v>654720</v>
      </c>
      <c r="D15730" s="22" t="s">
        <v>18025</v>
      </c>
      <c r="E15730" s="22" t="s">
        <v>4747</v>
      </c>
      <c r="F15730" s="23" t="str">
        <f>HYPERLINK("https://www.spark-marketing.ru/Card/Lot/67737442", "Физическая охрана объекта ГАУ ""КЦСОН ""Малахит"" Орджоникидзевского района города Екатеринбурга""")</f>
        <v>Физическая охрана объекта ГАУ "КЦСОН "Малахит" Орджоникидзевского района города Екатеринбурга"</v>
      </c>
      <c r="G15730" s="22" t="s">
        <v>72</v>
      </c>
      <c r="H15730" s="22" t="s">
        <v>72</v>
      </c>
      <c r="I15730" s="26">
        <v>43502.5647453704</v>
      </c>
      <c r="J15730" s="28" t="s">
        <v>52</v>
      </c>
      <c r="K15730" s="28" t="s">
        <v>52</v>
      </c>
      <c r="L15730" s="28" t="s">
        <v>52</v>
      </c>
      <c r="M15730" s="28" t="s">
        <v>52</v>
      </c>
      <c r="N15730" s="28" t="s">
        <v>52</v>
      </c>
    </row>
    <row r="15731" spans="1:14" x14ac:dyDescent="0.15">
      <c r="A15731" s="23" t="str">
        <f>HYPERLINK("https://www.spark-marketing.ru/Card/Person/116839", "МБДОУ ""ДЕТСКИЙ САД ОБЩЕРАЗВИВАЮЩЕГО ВИДА № 28""")</f>
        <v>МБДОУ "ДЕТСКИЙ САД ОБЩЕРАЗВИВАЮЩЕГО ВИДА № 28"</v>
      </c>
      <c r="B15731" s="24" t="s">
        <v>18026</v>
      </c>
      <c r="C15731" s="25">
        <v>8400</v>
      </c>
      <c r="D15731" s="22" t="s">
        <v>18027</v>
      </c>
      <c r="E15731" s="22" t="s">
        <v>107</v>
      </c>
      <c r="F15731" s="23" t="str">
        <f>HYPERLINK("https://www.spark-marketing.ru/Card/Lot/67738429", "Тех. обслуживание комплекса технических средств охраны")</f>
        <v>Тех. обслуживание комплекса технических средств охраны</v>
      </c>
      <c r="G15731" s="22" t="s">
        <v>50</v>
      </c>
      <c r="H15731" s="22" t="s">
        <v>326</v>
      </c>
      <c r="I15731" s="26">
        <v>43502.513831018499</v>
      </c>
      <c r="J15731" s="28" t="s">
        <v>52</v>
      </c>
      <c r="K15731" s="28" t="s">
        <v>52</v>
      </c>
      <c r="L15731" s="28" t="s">
        <v>52</v>
      </c>
      <c r="M15731" s="28" t="s">
        <v>52</v>
      </c>
      <c r="N15731" s="28" t="s">
        <v>52</v>
      </c>
    </row>
    <row r="15732" spans="1:14" x14ac:dyDescent="0.15">
      <c r="A15732" s="23" t="str">
        <f>HYPERLINK("https://www.spark-marketing.ru/Card/Person/60856", "МОУ ЛИЦЕЙ")</f>
        <v>МОУ ЛИЦЕЙ</v>
      </c>
      <c r="B15732" s="24" t="s">
        <v>12001</v>
      </c>
      <c r="C15732" s="25">
        <v>324000</v>
      </c>
      <c r="D15732" s="22" t="s">
        <v>18028</v>
      </c>
      <c r="E15732" s="22" t="s">
        <v>84</v>
      </c>
      <c r="F15732" s="23" t="str">
        <f>HYPERLINK("https://www.spark-marketing.ru/Card/Lot/67738401", "Оказание услуг по установке системы видеонаблюдения в пунктах приема экзаменов (ППЭ)")</f>
        <v>Оказание услуг по установке системы видеонаблюдения в пунктах приема экзаменов (ППЭ)</v>
      </c>
      <c r="G15732" s="22" t="s">
        <v>50</v>
      </c>
      <c r="H15732" s="22" t="s">
        <v>12003</v>
      </c>
      <c r="I15732" s="26">
        <v>43502.5131944444</v>
      </c>
      <c r="J15732" s="28" t="s">
        <v>52</v>
      </c>
      <c r="K15732" s="28" t="s">
        <v>52</v>
      </c>
      <c r="L15732" s="28" t="s">
        <v>52</v>
      </c>
      <c r="M15732" s="28" t="s">
        <v>52</v>
      </c>
      <c r="N15732" s="28" t="s">
        <v>52</v>
      </c>
    </row>
    <row r="15733" spans="1:14" x14ac:dyDescent="0.15">
      <c r="A15733" s="28" t="s">
        <v>52</v>
      </c>
      <c r="B15733" s="28" t="s">
        <v>52</v>
      </c>
      <c r="C15733" s="28" t="s">
        <v>52</v>
      </c>
      <c r="D15733" s="22" t="s">
        <v>18029</v>
      </c>
      <c r="E15733" s="22" t="s">
        <v>12863</v>
      </c>
      <c r="F15733" s="23" t="str">
        <f>HYPERLINK("https://www.spark-marketing.ru/Card/Lot/67744893", "ПОТ РМ -07-98 межотраслевые правила по охране труда при погруз.-разгруз. работах и размещении грузов")</f>
        <v>ПОТ РМ -07-98 межотраслевые правила по охране труда при погруз.-разгруз. работах и размещении грузов</v>
      </c>
      <c r="G15733" s="22" t="s">
        <v>538</v>
      </c>
      <c r="H15733" s="22" t="s">
        <v>1642</v>
      </c>
      <c r="I15733" s="26">
        <v>43502.5382060185</v>
      </c>
      <c r="J15733" s="23" t="str">
        <f>HYPERLINK("https://www.spark-marketing.ru/Card/Person/1753327", "ООО ""СК ""РУСВЬЕТПЕТРО""")</f>
        <v>ООО "СК "РУСВЬЕТПЕТРО"</v>
      </c>
      <c r="K15733" s="24" t="s">
        <v>3114</v>
      </c>
      <c r="L15733" s="28" t="s">
        <v>52</v>
      </c>
      <c r="M15733" s="25">
        <v>0</v>
      </c>
      <c r="N15733" s="28" t="s">
        <v>52</v>
      </c>
    </row>
    <row r="15734" spans="1:14" x14ac:dyDescent="0.15">
      <c r="A15734" s="23" t="str">
        <f>HYPERLINK("https://www.spark-marketing.ru/Card/Person/11770", "МЕЖРАЙОННАЯ ИФНС РОССИИ № 1 ПО РЕСПУБЛИКЕ БАШКОРТОСТАН")</f>
        <v>МЕЖРАЙОННАЯ ИФНС РОССИИ № 1 ПО РЕСПУБЛИКЕ БАШКОРТОСТАН</v>
      </c>
      <c r="B15734" s="24" t="s">
        <v>13906</v>
      </c>
      <c r="C15734" s="25">
        <v>15963.42</v>
      </c>
      <c r="D15734" s="22" t="s">
        <v>18030</v>
      </c>
      <c r="E15734" s="22" t="s">
        <v>53</v>
      </c>
      <c r="F15734" s="23" t="str">
        <f>HYPERLINK("https://www.spark-marketing.ru/Card/Lot/70800218", "оказание услуг по охране объектов ПЦН")</f>
        <v>оказание услуг по охране объектов ПЦН</v>
      </c>
      <c r="G15734" s="22" t="s">
        <v>100</v>
      </c>
      <c r="H15734" s="22" t="s">
        <v>373</v>
      </c>
      <c r="I15734" s="26">
        <v>43502.533310185201</v>
      </c>
      <c r="J15734" s="28" t="s">
        <v>52</v>
      </c>
      <c r="K15734" s="28" t="s">
        <v>52</v>
      </c>
      <c r="L15734" s="28" t="s">
        <v>52</v>
      </c>
      <c r="M15734" s="28" t="s">
        <v>52</v>
      </c>
      <c r="N15734" s="28" t="s">
        <v>52</v>
      </c>
    </row>
    <row r="15735" spans="1:14" x14ac:dyDescent="0.15">
      <c r="A15735" s="23" t="str">
        <f>HYPERLINK("https://www.spark-marketing.ru/Card/Person/56035", "ГКУСО МО ""РОШАЛЬСКИЙ СРЦН""")</f>
        <v>ГКУСО МО "РОШАЛЬСКИЙ СРЦН"</v>
      </c>
      <c r="B15735" s="24" t="s">
        <v>1934</v>
      </c>
      <c r="C15735" s="25">
        <v>57111.6</v>
      </c>
      <c r="D15735" s="22" t="s">
        <v>18031</v>
      </c>
      <c r="E15735" s="22" t="s">
        <v>107</v>
      </c>
      <c r="F15735" s="23" t="str">
        <f>HYPERLINK("https://www.spark-marketing.ru/Card/Lot/67736073", "Услуги по техническому обслуживанию (содержанию) систем охранной (противовзломной) сигнализации")</f>
        <v>Услуги по техническому обслуживанию (содержанию) систем охранной (противовзломной) сигнализации</v>
      </c>
      <c r="G15735" s="22" t="s">
        <v>50</v>
      </c>
      <c r="H15735" s="22" t="s">
        <v>1936</v>
      </c>
      <c r="I15735" s="26">
        <v>43502.482326388897</v>
      </c>
      <c r="J15735" s="28" t="s">
        <v>52</v>
      </c>
      <c r="K15735" s="28" t="s">
        <v>52</v>
      </c>
      <c r="L15735" s="28" t="s">
        <v>52</v>
      </c>
      <c r="M15735" s="28" t="s">
        <v>52</v>
      </c>
      <c r="N15735" s="28" t="s">
        <v>52</v>
      </c>
    </row>
    <row r="15736" spans="1:14" x14ac:dyDescent="0.15">
      <c r="A15736" s="23" t="str">
        <f>HYPERLINK("https://www.spark-marketing.ru/Card/Person/123863", "МБДОУ ""Д/С № 41 ""РАДУГА""")</f>
        <v>МБДОУ "Д/С № 41 "РАДУГА"</v>
      </c>
      <c r="B15736" s="24" t="s">
        <v>18032</v>
      </c>
      <c r="C15736" s="25">
        <v>61200</v>
      </c>
      <c r="D15736" s="22" t="s">
        <v>18033</v>
      </c>
      <c r="E15736" s="22" t="s">
        <v>294</v>
      </c>
      <c r="F15736" s="23" t="str">
        <f>HYPERLINK("https://www.spark-marketing.ru/Card/Lot/67736066", "Оказание услуг по техническому обслуживанию системы видеонаблюдения на период с 01.02.2019-31.12.2019")</f>
        <v>Оказание услуг по техническому обслуживанию системы видеонаблюдения на период с 01.02.2019-31.12.2019</v>
      </c>
      <c r="G15736" s="22" t="s">
        <v>50</v>
      </c>
      <c r="H15736" s="22" t="s">
        <v>2391</v>
      </c>
      <c r="I15736" s="26">
        <v>43502.482141203698</v>
      </c>
      <c r="J15736" s="28" t="s">
        <v>52</v>
      </c>
      <c r="K15736" s="28" t="s">
        <v>52</v>
      </c>
      <c r="L15736" s="28" t="s">
        <v>52</v>
      </c>
      <c r="M15736" s="28" t="s">
        <v>52</v>
      </c>
      <c r="N15736" s="28" t="s">
        <v>52</v>
      </c>
    </row>
    <row r="15737" spans="1:14" x14ac:dyDescent="0.15">
      <c r="A15737" s="23" t="str">
        <f>HYPERLINK("https://www.spark-marketing.ru/Card/Person/36059", "ГБОУ РО ""НОВОЧЕРКАССКАЯ ШКОЛА-ИНТЕРНАТ""")</f>
        <v>ГБОУ РО "НОВОЧЕРКАССКАЯ ШКОЛА-ИНТЕРНАТ"</v>
      </c>
      <c r="B15737" s="24" t="s">
        <v>18034</v>
      </c>
      <c r="C15737" s="28" t="s">
        <v>52</v>
      </c>
      <c r="D15737" s="22" t="s">
        <v>18035</v>
      </c>
      <c r="E15737" s="22" t="s">
        <v>294</v>
      </c>
      <c r="F15737" s="23" t="str">
        <f>HYPERLINK("https://www.spark-marketing.ru/Card/Lot/67734255", "Услуги по техническому обслуживанию системы видеонаблюдения в здании и на территории учреждения")</f>
        <v>Услуги по техническому обслуживанию системы видеонаблюдения в здании и на территории учреждения</v>
      </c>
      <c r="G15737" s="22" t="s">
        <v>402</v>
      </c>
      <c r="H15737" s="22" t="s">
        <v>2663</v>
      </c>
      <c r="I15737" s="26">
        <v>43502.4868055556</v>
      </c>
      <c r="J15737" s="28" t="s">
        <v>52</v>
      </c>
      <c r="K15737" s="28" t="s">
        <v>52</v>
      </c>
      <c r="L15737" s="28" t="s">
        <v>52</v>
      </c>
      <c r="M15737" s="28" t="s">
        <v>52</v>
      </c>
      <c r="N15737" s="28" t="s">
        <v>52</v>
      </c>
    </row>
    <row r="15738" spans="1:14" x14ac:dyDescent="0.2">
      <c r="A15738" s="23" t="str">
        <f>HYPERLINK("https://www.spark-marketing.ru/Card/Person/1760141", "МУП ""ГЭТ""")</f>
        <v>МУП "ГЭТ"</v>
      </c>
      <c r="B15738" s="24" t="s">
        <v>18036</v>
      </c>
      <c r="C15738" s="25">
        <v>170000</v>
      </c>
      <c r="D15738" s="22" t="s">
        <v>18037</v>
      </c>
      <c r="E15738" s="22" t="s">
        <v>144</v>
      </c>
      <c r="F15738" s="23" t="str">
        <f>HYPERLINK("https://www.spark-marketing.ru/Card/Lot/67734393", "Переработка Плана обеспечения транспортной безопасности ТС от актов незаконного вмешательства")</f>
        <v>Переработка Плана обеспечения транспортной безопасности ТС от актов незаконного вмешательства</v>
      </c>
      <c r="G15738" s="22" t="s">
        <v>258</v>
      </c>
      <c r="H15738" s="22" t="s">
        <v>258</v>
      </c>
      <c r="I15738" s="26">
        <v>43502.460208333301</v>
      </c>
      <c r="J15738" s="23" t="str">
        <f>HYPERLINK("https://www.spark-marketing.ru/Card/Person/1668697", "ООО ""КСБ-КРЫМ""")</f>
        <v>ООО "КСБ-КРЫМ"</v>
      </c>
      <c r="K15738" s="24" t="s">
        <v>14038</v>
      </c>
      <c r="L15738" s="28" t="s">
        <v>52</v>
      </c>
      <c r="M15738" s="25">
        <v>126000</v>
      </c>
      <c r="N15738" s="27">
        <v>0.25882352941176473</v>
      </c>
    </row>
    <row r="15739" spans="1:14" x14ac:dyDescent="0.15">
      <c r="A15739" s="23" t="str">
        <f>HYPERLINK("https://www.spark-marketing.ru/Card/Person/82916", "МБДОУ ""ДЕТСКИЙ САД № 7""")</f>
        <v>МБДОУ "ДЕТСКИЙ САД № 7"</v>
      </c>
      <c r="B15739" s="24" t="s">
        <v>15958</v>
      </c>
      <c r="C15739" s="25">
        <v>7776</v>
      </c>
      <c r="D15739" s="22" t="s">
        <v>18038</v>
      </c>
      <c r="E15739" s="22" t="s">
        <v>107</v>
      </c>
      <c r="F15739" s="23" t="str">
        <f>HYPERLINK("https://www.spark-marketing.ru/Card/Lot/67736014", "Оказание услуг по техническому обслуживанию комплекса технических средств охраны на объектах")</f>
        <v>Оказание услуг по техническому обслуживанию комплекса технических средств охраны на объектах</v>
      </c>
      <c r="G15739" s="22" t="s">
        <v>50</v>
      </c>
      <c r="H15739" s="22" t="s">
        <v>432</v>
      </c>
      <c r="I15739" s="26">
        <v>43502.472812499997</v>
      </c>
      <c r="J15739" s="28" t="s">
        <v>52</v>
      </c>
      <c r="K15739" s="28" t="s">
        <v>52</v>
      </c>
      <c r="L15739" s="28" t="s">
        <v>52</v>
      </c>
      <c r="M15739" s="28" t="s">
        <v>52</v>
      </c>
      <c r="N15739" s="28" t="s">
        <v>52</v>
      </c>
    </row>
    <row r="15740" spans="1:14" x14ac:dyDescent="0.15">
      <c r="A15740" s="23" t="str">
        <f>HYPERLINK("https://www.spark-marketing.ru/Card/Person/109054", "БДОУ Г. ОМСКА ""ДЕТСКИЙ САД № 138""")</f>
        <v>БДОУ Г. ОМСКА "ДЕТСКИЙ САД № 138"</v>
      </c>
      <c r="B15740" s="24" t="s">
        <v>18039</v>
      </c>
      <c r="C15740" s="28" t="s">
        <v>52</v>
      </c>
      <c r="D15740" s="22" t="s">
        <v>18040</v>
      </c>
      <c r="E15740" s="22" t="s">
        <v>68</v>
      </c>
      <c r="F15740" s="23" t="str">
        <f>HYPERLINK("https://www.spark-marketing.ru/Card/Lot/67734134", "Услуга по охране объекта с использованием канала сотовой связи GSM")</f>
        <v>Услуга по охране объекта с использованием канала сотовой связи GSM</v>
      </c>
      <c r="G15740" s="22" t="s">
        <v>521</v>
      </c>
      <c r="H15740" s="22" t="s">
        <v>522</v>
      </c>
      <c r="I15740" s="26">
        <v>43502.498611111099</v>
      </c>
      <c r="J15740" s="28" t="s">
        <v>52</v>
      </c>
      <c r="K15740" s="28" t="s">
        <v>52</v>
      </c>
      <c r="L15740" s="28" t="s">
        <v>52</v>
      </c>
      <c r="M15740" s="28" t="s">
        <v>52</v>
      </c>
      <c r="N15740" s="28" t="s">
        <v>52</v>
      </c>
    </row>
    <row r="15741" spans="1:14" x14ac:dyDescent="0.15">
      <c r="A15741" s="23" t="str">
        <f>HYPERLINK("https://www.spark-marketing.ru/Card/Person/999926", "МБУК ГОЩ ""ЩХГ""")</f>
        <v>МБУК ГОЩ "ЩХГ"</v>
      </c>
      <c r="B15741" s="24" t="s">
        <v>18041</v>
      </c>
      <c r="C15741" s="25">
        <v>33000</v>
      </c>
      <c r="D15741" s="22" t="s">
        <v>18042</v>
      </c>
      <c r="E15741" s="22" t="s">
        <v>103</v>
      </c>
      <c r="F15741" s="23" t="str">
        <f>HYPERLINK("https://www.spark-marketing.ru/Card/Lot/67733148", "Оказание услуги по техническому обслуживанию оборудования видеонаблюдения")</f>
        <v>Оказание услуги по техническому обслуживанию оборудования видеонаблюдения</v>
      </c>
      <c r="G15741" s="22" t="s">
        <v>50</v>
      </c>
      <c r="H15741" s="22" t="s">
        <v>458</v>
      </c>
      <c r="I15741" s="26">
        <v>43502.429907407401</v>
      </c>
      <c r="J15741" s="28" t="s">
        <v>52</v>
      </c>
      <c r="K15741" s="28" t="s">
        <v>52</v>
      </c>
      <c r="L15741" s="28" t="s">
        <v>52</v>
      </c>
      <c r="M15741" s="28" t="s">
        <v>52</v>
      </c>
      <c r="N15741" s="28" t="s">
        <v>52</v>
      </c>
    </row>
    <row r="15742" spans="1:14" x14ac:dyDescent="0.15">
      <c r="A15742" s="23" t="str">
        <f>HYPERLINK("https://www.spark-marketing.ru/Card/Person/4348454", "ООО ""РУСАГРО-ИНВЕСТ""")</f>
        <v>ООО "РУСАГРО-ИНВЕСТ"</v>
      </c>
      <c r="B15742" s="24" t="s">
        <v>18043</v>
      </c>
      <c r="C15742" s="25">
        <v>0</v>
      </c>
      <c r="D15742" s="22" t="s">
        <v>18044</v>
      </c>
      <c r="E15742" s="22" t="s">
        <v>18045</v>
      </c>
      <c r="F15742" s="23" t="str">
        <f>HYPERLINK("https://www.spark-marketing.ru/Card/Lot/67738698", "Установка тахографов и замена блоков СКЗИ для автомобилей АО ""ПримАгро""")</f>
        <v>Установка тахографов и замена блоков СКЗИ для автомобилей АО "ПримАгро"</v>
      </c>
      <c r="G15742" s="22" t="s">
        <v>409</v>
      </c>
      <c r="H15742" s="22" t="s">
        <v>7868</v>
      </c>
      <c r="I15742" s="26">
        <v>43502.454872685201</v>
      </c>
      <c r="J15742" s="28" t="s">
        <v>52</v>
      </c>
      <c r="K15742" s="28" t="s">
        <v>52</v>
      </c>
      <c r="L15742" s="28" t="s">
        <v>52</v>
      </c>
      <c r="M15742" s="28" t="s">
        <v>52</v>
      </c>
      <c r="N15742" s="28" t="s">
        <v>52</v>
      </c>
    </row>
    <row r="15743" spans="1:14" x14ac:dyDescent="0.15">
      <c r="A15743" s="23" t="str">
        <f>HYPERLINK("https://www.spark-marketing.ru/Card/Person/1009372", "МБОУ НШ №1")</f>
        <v>МБОУ НШ №1</v>
      </c>
      <c r="B15743" s="24" t="s">
        <v>18046</v>
      </c>
      <c r="C15743" s="25">
        <v>10800</v>
      </c>
      <c r="D15743" s="22" t="s">
        <v>18047</v>
      </c>
      <c r="E15743" s="22" t="s">
        <v>103</v>
      </c>
      <c r="F15743" s="23" t="str">
        <f>HYPERLINK("https://www.spark-marketing.ru/Card/Lot/67732270", "Техническое обслуживание видеонаблюдения")</f>
        <v>Техническое обслуживание видеонаблюдения</v>
      </c>
      <c r="G15743" s="22" t="s">
        <v>402</v>
      </c>
      <c r="H15743" s="22" t="s">
        <v>631</v>
      </c>
      <c r="I15743" s="26">
        <v>43502.443749999999</v>
      </c>
      <c r="J15743" s="28" t="s">
        <v>52</v>
      </c>
      <c r="K15743" s="28" t="s">
        <v>52</v>
      </c>
      <c r="L15743" s="28" t="s">
        <v>52</v>
      </c>
      <c r="M15743" s="28" t="s">
        <v>52</v>
      </c>
      <c r="N15743" s="28" t="s">
        <v>52</v>
      </c>
    </row>
    <row r="15744" spans="1:14" x14ac:dyDescent="0.15">
      <c r="A15744" s="23" t="str">
        <f>HYPERLINK("https://www.spark-marketing.ru/Card/Person/154579", "МБДОУ ""ДЕТСКИЙ САД № 180"" Г. ЧЕБОКСАРЫ")</f>
        <v>МБДОУ "ДЕТСКИЙ САД № 180" Г. ЧЕБОКСАРЫ</v>
      </c>
      <c r="B15744" s="24" t="s">
        <v>17793</v>
      </c>
      <c r="C15744" s="25">
        <v>2800</v>
      </c>
      <c r="D15744" s="22" t="s">
        <v>18048</v>
      </c>
      <c r="E15744" s="22" t="s">
        <v>208</v>
      </c>
      <c r="F15744" s="23" t="str">
        <f>HYPERLINK("https://www.spark-marketing.ru/Card/Lot/67732286", "оказание услуг по техническому обслуживанию тревожной сигнализации")</f>
        <v>оказание услуг по техническому обслуживанию тревожной сигнализации</v>
      </c>
      <c r="G15744" s="22" t="s">
        <v>1137</v>
      </c>
      <c r="H15744" s="22" t="s">
        <v>1138</v>
      </c>
      <c r="I15744" s="26">
        <v>43502.445833333302</v>
      </c>
      <c r="J15744" s="28" t="s">
        <v>52</v>
      </c>
      <c r="K15744" s="28" t="s">
        <v>52</v>
      </c>
      <c r="L15744" s="28" t="s">
        <v>52</v>
      </c>
      <c r="M15744" s="28" t="s">
        <v>52</v>
      </c>
      <c r="N15744" s="28" t="s">
        <v>52</v>
      </c>
    </row>
    <row r="15745" spans="1:14" x14ac:dyDescent="0.15">
      <c r="A15745" s="23" t="str">
        <f>HYPERLINK("https://www.spark-marketing.ru/Card/Person/145261", "БОУ Г. ОМСКА ""КАЗАЧЬЯ КАДЕТСКАЯ ШКОЛА-ИНТЕРНАТ СРЕДНЕГО ОБЩЕГО ОБРАЗОВАНИЯ ИМ.МАРШАЛА СОВЕТСКОГО СОЮЗА Д. Т. ЯЗОВА""")</f>
        <v>БОУ Г. ОМСКА "КАЗАЧЬЯ КАДЕТСКАЯ ШКОЛА-ИНТЕРНАТ СРЕДНЕГО ОБЩЕГО ОБРАЗОВАНИЯ ИМ.МАРШАЛА СОВЕТСКОГО СОЮЗА Д. Т. ЯЗОВА"</v>
      </c>
      <c r="B15745" s="24" t="s">
        <v>16354</v>
      </c>
      <c r="C15745" s="25">
        <v>24000</v>
      </c>
      <c r="D15745" s="22" t="s">
        <v>18049</v>
      </c>
      <c r="E15745" s="22" t="s">
        <v>208</v>
      </c>
      <c r="F15745" s="23" t="str">
        <f>HYPERLINK("https://www.spark-marketing.ru/Card/Lot/67729433", "Услуги по охране объектов посредством использования тревожной сигнализации (КТС)")</f>
        <v>Услуги по охране объектов посредством использования тревожной сигнализации (КТС)</v>
      </c>
      <c r="G15745" s="22" t="s">
        <v>521</v>
      </c>
      <c r="H15745" s="22" t="s">
        <v>522</v>
      </c>
      <c r="I15745" s="26">
        <v>43502.401388888902</v>
      </c>
      <c r="J15745" s="28" t="s">
        <v>52</v>
      </c>
      <c r="K15745" s="28" t="s">
        <v>52</v>
      </c>
      <c r="L15745" s="28" t="s">
        <v>52</v>
      </c>
      <c r="M15745" s="28" t="s">
        <v>52</v>
      </c>
      <c r="N15745" s="28" t="s">
        <v>52</v>
      </c>
    </row>
    <row r="15746" spans="1:14" x14ac:dyDescent="0.15">
      <c r="A15746" s="23" t="str">
        <f>HYPERLINK("https://www.spark-marketing.ru/Card/Person/1013960", "БУ ДО ГОРОДА ОМСКА ""СДЮСШОР ИМЕНИ ЗТР В.Н. ПРОМИНА""")</f>
        <v>БУ ДО ГОРОДА ОМСКА "СДЮСШОР ИМЕНИ ЗТР В.Н. ПРОМИНА"</v>
      </c>
      <c r="B15746" s="24" t="s">
        <v>18050</v>
      </c>
      <c r="C15746" s="25">
        <v>19800</v>
      </c>
      <c r="D15746" s="22" t="s">
        <v>18051</v>
      </c>
      <c r="E15746" s="22" t="s">
        <v>68</v>
      </c>
      <c r="F15746" s="23" t="str">
        <f>HYPERLINK("https://www.spark-marketing.ru/Card/Lot/67727341", "Услуги по охране объектов посредством использования тревожной сигнализации (КТС)")</f>
        <v>Услуги по охране объектов посредством использования тревожной сигнализации (КТС)</v>
      </c>
      <c r="G15746" s="22" t="s">
        <v>521</v>
      </c>
      <c r="H15746" s="22" t="s">
        <v>522</v>
      </c>
      <c r="I15746" s="26">
        <v>43502.334027777797</v>
      </c>
      <c r="J15746" s="28" t="s">
        <v>52</v>
      </c>
      <c r="K15746" s="28" t="s">
        <v>52</v>
      </c>
      <c r="L15746" s="28" t="s">
        <v>52</v>
      </c>
      <c r="M15746" s="28" t="s">
        <v>52</v>
      </c>
      <c r="N15746" s="28" t="s">
        <v>52</v>
      </c>
    </row>
    <row r="15747" spans="1:14" x14ac:dyDescent="0.15">
      <c r="A15747" s="23" t="str">
        <f>HYPERLINK("https://www.spark-marketing.ru/Card/Person/1034467", "ГБУСОН РО ""СРЦ КАШАРСКОГО РАЙОНА""")</f>
        <v>ГБУСОН РО "СРЦ КАШАРСКОГО РАЙОНА"</v>
      </c>
      <c r="B15747" s="24" t="s">
        <v>6697</v>
      </c>
      <c r="C15747" s="25">
        <v>8166.67</v>
      </c>
      <c r="D15747" s="22" t="s">
        <v>18052</v>
      </c>
      <c r="E15747" s="22" t="s">
        <v>79</v>
      </c>
      <c r="F15747" s="23" t="str">
        <f>HYPERLINK("https://www.spark-marketing.ru/Card/Lot/67728679", "монтаж и пуско-наладку тревожной кнопки с выводом сигнала на центральный пульт ЕДДС")</f>
        <v>монтаж и пуско-наладку тревожной кнопки с выводом сигнала на центральный пульт ЕДДС</v>
      </c>
      <c r="G15747" s="22" t="s">
        <v>402</v>
      </c>
      <c r="H15747" s="22" t="s">
        <v>6699</v>
      </c>
      <c r="I15747" s="26">
        <v>43502.3527777778</v>
      </c>
      <c r="J15747" s="28" t="s">
        <v>52</v>
      </c>
      <c r="K15747" s="28" t="s">
        <v>52</v>
      </c>
      <c r="L15747" s="28" t="s">
        <v>52</v>
      </c>
      <c r="M15747" s="28" t="s">
        <v>52</v>
      </c>
      <c r="N15747" s="28" t="s">
        <v>52</v>
      </c>
    </row>
    <row r="15748" spans="1:14" x14ac:dyDescent="0.15">
      <c r="A15748" s="23" t="str">
        <f>HYPERLINK("https://www.spark-marketing.ru/Card/Person/105837", "БДОУ Г. ОМСКА ""ЦЕНТР РАЗВИТИЯ РЕБЕНКА - ДЕТСКИЙ САД № 139""")</f>
        <v>БДОУ Г. ОМСКА "ЦЕНТР РАЗВИТИЯ РЕБЕНКА - ДЕТСКИЙ САД № 139"</v>
      </c>
      <c r="B15748" s="24" t="s">
        <v>18053</v>
      </c>
      <c r="C15748" s="25">
        <v>12000</v>
      </c>
      <c r="D15748" s="22" t="s">
        <v>18054</v>
      </c>
      <c r="E15748" s="22" t="s">
        <v>68</v>
      </c>
      <c r="F15748" s="23" t="str">
        <f>HYPERLINK("https://www.spark-marketing.ru/Card/Lot/67725030", "Охрана объектов вневедомственной охраной тревожных сообщений по каналу GSM")</f>
        <v>Охрана объектов вневедомственной охраной тревожных сообщений по каналу GSM</v>
      </c>
      <c r="G15748" s="22" t="s">
        <v>521</v>
      </c>
      <c r="H15748" s="22" t="s">
        <v>522</v>
      </c>
      <c r="I15748" s="26">
        <v>43502.281944444403</v>
      </c>
      <c r="J15748" s="28" t="s">
        <v>52</v>
      </c>
      <c r="K15748" s="28" t="s">
        <v>52</v>
      </c>
      <c r="L15748" s="28" t="s">
        <v>52</v>
      </c>
      <c r="M15748" s="28" t="s">
        <v>52</v>
      </c>
      <c r="N15748" s="28" t="s">
        <v>52</v>
      </c>
    </row>
    <row r="15749" spans="1:14" x14ac:dyDescent="0.15">
      <c r="A15749" s="23" t="str">
        <f>HYPERLINK("https://www.spark-marketing.ru/Card/Person/28614", "МЕЖРАЙОННАЯ ИФНС РОССИИ № 14 ПО ВОРОНЕЖСКОЙ ОБЛАСТИ")</f>
        <v>МЕЖРАЙОННАЯ ИФНС РОССИИ № 14 ПО ВОРОНЕЖСКОЙ ОБЛАСТИ</v>
      </c>
      <c r="B15749" s="24" t="s">
        <v>17835</v>
      </c>
      <c r="C15749" s="25">
        <v>14191.2</v>
      </c>
      <c r="D15749" s="22" t="s">
        <v>18055</v>
      </c>
      <c r="E15749" s="22" t="s">
        <v>68</v>
      </c>
      <c r="F15749" s="23" t="str">
        <f>HYPERLINK("https://www.spark-marketing.ru/Card/Lot/67747656", "охрана объекта путем мониторинга за состоянием средств сигнализации")</f>
        <v>охрана объекта путем мониторинга за состоянием средств сигнализации</v>
      </c>
      <c r="G15749" s="22" t="s">
        <v>552</v>
      </c>
      <c r="H15749" s="22" t="s">
        <v>552</v>
      </c>
      <c r="I15749" s="26">
        <v>43502</v>
      </c>
      <c r="J15749" s="28" t="s">
        <v>52</v>
      </c>
      <c r="K15749" s="28" t="s">
        <v>52</v>
      </c>
      <c r="L15749" s="28" t="s">
        <v>52</v>
      </c>
      <c r="M15749" s="28" t="s">
        <v>52</v>
      </c>
      <c r="N15749" s="28" t="s">
        <v>52</v>
      </c>
    </row>
    <row r="15750" spans="1:14" x14ac:dyDescent="0.15">
      <c r="A15750" s="23" t="str">
        <f>HYPERLINK("https://www.spark-marketing.ru/Card/Person/6450322", "ЗАКАЗЧИК РП БЕЛАРУСЬ")</f>
        <v>ЗАКАЗЧИК РП БЕЛАРУСЬ</v>
      </c>
      <c r="B15750" s="28" t="s">
        <v>52</v>
      </c>
      <c r="C15750" s="25">
        <v>1884694.6</v>
      </c>
      <c r="D15750" s="22" t="s">
        <v>18056</v>
      </c>
      <c r="E15750" s="22" t="s">
        <v>53</v>
      </c>
      <c r="F15750" s="23" t="str">
        <f>HYPERLINK("https://www.spark-marketing.ru/Card/Lot/67753639", "Выносной модуль сопряжения для передачи извещений об изменении состояния ППК на ПЦН по GSM каналу связи (в составе СПИ АСОС «Алеся»)")</f>
        <v>Выносной модуль сопряжения для передачи извещений об изменении состояния ППК на ПЦН по GSM каналу связи (в составе СПИ АСОС «Алеся»)</v>
      </c>
      <c r="G15750" s="22" t="s">
        <v>52</v>
      </c>
      <c r="H15750" s="22" t="s">
        <v>52</v>
      </c>
      <c r="I15750" s="26">
        <v>43502</v>
      </c>
      <c r="J15750" s="28" t="s">
        <v>52</v>
      </c>
      <c r="K15750" s="28" t="s">
        <v>52</v>
      </c>
      <c r="L15750" s="28" t="s">
        <v>52</v>
      </c>
      <c r="M15750" s="28" t="s">
        <v>52</v>
      </c>
      <c r="N15750" s="28" t="s">
        <v>52</v>
      </c>
    </row>
    <row r="15751" spans="1:14" x14ac:dyDescent="0.15">
      <c r="A15751" s="23" t="str">
        <f>HYPERLINK("https://www.spark-marketing.ru/Card/Person/4862096", "УПФР В МАКУШИНСКОМ РАЙОНЕ КУРГАНСКОЙ ОБЛАСТИ (МЕЖРАЙОННОЕ)")</f>
        <v>УПФР В МАКУШИНСКОМ РАЙОНЕ КУРГАНСКОЙ ОБЛАСТИ (МЕЖРАЙОННОЕ)</v>
      </c>
      <c r="B15751" s="24" t="s">
        <v>15499</v>
      </c>
      <c r="C15751" s="25">
        <v>366934.1</v>
      </c>
      <c r="D15751" s="22" t="s">
        <v>18057</v>
      </c>
      <c r="E15751" s="22" t="s">
        <v>68</v>
      </c>
      <c r="F15751" s="23" t="str">
        <f>HYPERLINK("https://www.spark-marketing.ru/Card/Lot/67742151", "Физическая охрана объектов")</f>
        <v>Физическая охрана объектов</v>
      </c>
      <c r="G15751" s="22" t="s">
        <v>626</v>
      </c>
      <c r="H15751" s="22" t="s">
        <v>626</v>
      </c>
      <c r="I15751" s="26">
        <v>43502</v>
      </c>
      <c r="J15751" s="28" t="s">
        <v>52</v>
      </c>
      <c r="K15751" s="28" t="s">
        <v>52</v>
      </c>
      <c r="L15751" s="28" t="s">
        <v>52</v>
      </c>
      <c r="M15751" s="28" t="s">
        <v>52</v>
      </c>
      <c r="N15751" s="28" t="s">
        <v>52</v>
      </c>
    </row>
    <row r="15752" spans="1:14" ht="12.75" hidden="1" outlineLevel="1" x14ac:dyDescent="0.2">
      <c r="A15752" s="23" t="str">
        <f>HYPERLINK("https://www.spark-marketing.ru/Card/Person/4862096", "УПФР В МАКУШИНСКОМ РАЙОНЕ КУРГАНСКОЙ ОБЛАСТИ (МЕЖРАЙОННОЕ)")</f>
        <v>УПФР В МАКУШИНСКОМ РАЙОНЕ КУРГАНСКОЙ ОБЛАСТИ (МЕЖРАЙОННОЕ)</v>
      </c>
      <c r="B15752" s="24" t="s">
        <v>15499</v>
      </c>
      <c r="C15752" s="25">
        <v>366934.1</v>
      </c>
      <c r="D15752" s="22" t="s">
        <v>18057</v>
      </c>
      <c r="E15752" s="22" t="s">
        <v>68</v>
      </c>
      <c r="F15752" s="23" t="str">
        <f>HYPERLINK("https://www.spark-marketing.ru/Card/Lot/67742151", "Физическая охрана объектов")</f>
        <v>Физическая охрана объектов</v>
      </c>
      <c r="G15752" s="22" t="s">
        <v>626</v>
      </c>
      <c r="H15752" s="22" t="s">
        <v>626</v>
      </c>
      <c r="I15752" s="26">
        <v>43502</v>
      </c>
      <c r="J15752" s="23" t="str">
        <f>HYPERLINK("https://www.spark-marketing.ru/Card/Person/4960066", "ООО ЧОО ""КОНТУР""")</f>
        <v>ООО ЧОО "КОНТУР"</v>
      </c>
      <c r="K15752" s="24" t="s">
        <v>16692</v>
      </c>
      <c r="L15752" s="22" t="s">
        <v>10</v>
      </c>
      <c r="M15752" s="25">
        <v>365099.43</v>
      </c>
      <c r="N15752" s="27">
        <v>4.9999986373574987E-3</v>
      </c>
    </row>
    <row r="15753" spans="1:14" hidden="1" outlineLevel="1" x14ac:dyDescent="0.2">
      <c r="A15753" s="23" t="str">
        <f>HYPERLINK("https://www.spark-marketing.ru/Card/Person/4862096", "УПФР В МАКУШИНСКОМ РАЙОНЕ КУРГАНСКОЙ ОБЛАСТИ (МЕЖРАЙОННОЕ)")</f>
        <v>УПФР В МАКУШИНСКОМ РАЙОНЕ КУРГАНСКОЙ ОБЛАСТИ (МЕЖРАЙОННОЕ)</v>
      </c>
      <c r="B15753" s="24" t="s">
        <v>15499</v>
      </c>
      <c r="C15753" s="25">
        <v>366934.1</v>
      </c>
      <c r="D15753" s="22" t="s">
        <v>18057</v>
      </c>
      <c r="E15753" s="22" t="s">
        <v>68</v>
      </c>
      <c r="F15753" s="23" t="str">
        <f>HYPERLINK("https://www.spark-marketing.ru/Card/Lot/67742151", "Физическая охрана объектов")</f>
        <v>Физическая охрана объектов</v>
      </c>
      <c r="G15753" s="22" t="s">
        <v>626</v>
      </c>
      <c r="H15753" s="22" t="s">
        <v>626</v>
      </c>
      <c r="I15753" s="26">
        <v>43502</v>
      </c>
      <c r="J15753" s="23" t="str">
        <f>HYPERLINK("https://www.spark-marketing.ru/Card/Person/58449", "ООО ""ЧОП ""ДОЗОР""")</f>
        <v>ООО "ЧОП "ДОЗОР"</v>
      </c>
      <c r="K15753" s="24" t="s">
        <v>13228</v>
      </c>
      <c r="L15753" s="28" t="s">
        <v>52</v>
      </c>
      <c r="M15753" s="25">
        <v>365099.43</v>
      </c>
      <c r="N15753" s="27">
        <v>4.9999986373574987E-3</v>
      </c>
    </row>
    <row r="15754" spans="1:14" x14ac:dyDescent="0.15">
      <c r="A15754" s="23" t="str">
        <f t="shared" ref="A15754:A15760" si="825">HYPERLINK("https://www.spark-marketing.ru/Card/Person/701", "ГБУЗ ""ГП № 191 ДЗМ""")</f>
        <v>ГБУЗ "ГП № 191 ДЗМ"</v>
      </c>
      <c r="B15754" s="24" t="s">
        <v>7216</v>
      </c>
      <c r="C15754" s="25">
        <v>314703.84000000003</v>
      </c>
      <c r="D15754" s="22" t="s">
        <v>18058</v>
      </c>
      <c r="E15754" s="22" t="s">
        <v>103</v>
      </c>
      <c r="F15754" s="23" t="str">
        <f t="shared" ref="F15754:F15760" si="826">HYPERLINK("https://www.spark-marketing.ru/Card/Lot/67747678", "Аукцион в электронной форме среди СМП на оказание услуг по техническому обслуживанию технических средств охраны (ТСО) и кнопки тревожной сигнализации (КТС) на объектах ГБУЗ ""ГП №191 ДЗМ""")</f>
        <v>Аукцион в электронной форме среди СМП на оказание услуг по техническому обслуживанию технических средств охраны (ТСО) и кнопки тревожной сигнализации (КТС) на объектах ГБУЗ "ГП №191 ДЗМ"</v>
      </c>
      <c r="G15754" s="22" t="s">
        <v>55</v>
      </c>
      <c r="H15754" s="22" t="s">
        <v>55</v>
      </c>
      <c r="I15754" s="26">
        <v>43502</v>
      </c>
      <c r="J15754" s="28" t="s">
        <v>52</v>
      </c>
      <c r="K15754" s="28" t="s">
        <v>52</v>
      </c>
      <c r="L15754" s="28" t="s">
        <v>52</v>
      </c>
      <c r="M15754" s="28" t="s">
        <v>52</v>
      </c>
      <c r="N15754" s="28" t="s">
        <v>52</v>
      </c>
    </row>
    <row r="15755" spans="1:14" hidden="1" outlineLevel="1" x14ac:dyDescent="0.2">
      <c r="A15755" s="23" t="str">
        <f t="shared" si="825"/>
        <v>ГБУЗ "ГП № 191 ДЗМ"</v>
      </c>
      <c r="B15755" s="24" t="s">
        <v>7216</v>
      </c>
      <c r="C15755" s="25">
        <v>314703.84000000003</v>
      </c>
      <c r="D15755" s="22" t="s">
        <v>18058</v>
      </c>
      <c r="E15755" s="22" t="s">
        <v>103</v>
      </c>
      <c r="F15755" s="23" t="str">
        <f t="shared" si="826"/>
        <v>Аукцион в электронной форме среди СМП на оказание услуг по техническому обслуживанию технических средств охраны (ТСО) и кнопки тревожной сигнализации (КТС) на объектах ГБУЗ "ГП №191 ДЗМ"</v>
      </c>
      <c r="G15755" s="22" t="s">
        <v>55</v>
      </c>
      <c r="H15755" s="22" t="s">
        <v>55</v>
      </c>
      <c r="I15755" s="26">
        <v>43502</v>
      </c>
      <c r="J15755" s="23" t="str">
        <f>HYPERLINK("https://www.spark-marketing.ru/Card/Person/5921742", "ООО ""КСБ""")</f>
        <v>ООО "КСБ"</v>
      </c>
      <c r="K15755" s="24" t="s">
        <v>1739</v>
      </c>
      <c r="L15755" s="28" t="s">
        <v>52</v>
      </c>
      <c r="M15755" s="25">
        <v>250000</v>
      </c>
      <c r="N15755" s="27">
        <v>0.20560232121730704</v>
      </c>
    </row>
    <row r="15756" spans="1:14" ht="12.75" hidden="1" outlineLevel="1" x14ac:dyDescent="0.2">
      <c r="A15756" s="23" t="str">
        <f t="shared" si="825"/>
        <v>ГБУЗ "ГП № 191 ДЗМ"</v>
      </c>
      <c r="B15756" s="24" t="s">
        <v>7216</v>
      </c>
      <c r="C15756" s="25">
        <v>314703.84000000003</v>
      </c>
      <c r="D15756" s="22" t="s">
        <v>18058</v>
      </c>
      <c r="E15756" s="22" t="s">
        <v>103</v>
      </c>
      <c r="F15756" s="23" t="str">
        <f t="shared" si="826"/>
        <v>Аукцион в электронной форме среди СМП на оказание услуг по техническому обслуживанию технических средств охраны (ТСО) и кнопки тревожной сигнализации (КТС) на объектах ГБУЗ "ГП №191 ДЗМ"</v>
      </c>
      <c r="G15756" s="22" t="s">
        <v>55</v>
      </c>
      <c r="H15756" s="22" t="s">
        <v>55</v>
      </c>
      <c r="I15756" s="26">
        <v>43502</v>
      </c>
      <c r="J15756" s="23" t="str">
        <f>HYPERLINK("https://www.spark-marketing.ru/Card/Person/60875", "ООО ЧОП ""ГОЛДЕКС""")</f>
        <v>ООО ЧОП "ГОЛДЕКС"</v>
      </c>
      <c r="K15756" s="24" t="s">
        <v>1378</v>
      </c>
      <c r="L15756" s="22" t="s">
        <v>10</v>
      </c>
      <c r="M15756" s="25">
        <v>141845.29</v>
      </c>
      <c r="N15756" s="27">
        <v>0.54927372351096826</v>
      </c>
    </row>
    <row r="15757" spans="1:14" hidden="1" outlineLevel="1" x14ac:dyDescent="0.2">
      <c r="A15757" s="23" t="str">
        <f t="shared" si="825"/>
        <v>ГБУЗ "ГП № 191 ДЗМ"</v>
      </c>
      <c r="B15757" s="24" t="s">
        <v>7216</v>
      </c>
      <c r="C15757" s="25">
        <v>314703.84000000003</v>
      </c>
      <c r="D15757" s="22" t="s">
        <v>18058</v>
      </c>
      <c r="E15757" s="22" t="s">
        <v>103</v>
      </c>
      <c r="F15757" s="23" t="str">
        <f t="shared" si="826"/>
        <v>Аукцион в электронной форме среди СМП на оказание услуг по техническому обслуживанию технических средств охраны (ТСО) и кнопки тревожной сигнализации (КТС) на объектах ГБУЗ "ГП №191 ДЗМ"</v>
      </c>
      <c r="G15757" s="22" t="s">
        <v>55</v>
      </c>
      <c r="H15757" s="22" t="s">
        <v>55</v>
      </c>
      <c r="I15757" s="26">
        <v>43502</v>
      </c>
      <c r="J15757" s="23" t="str">
        <f>HYPERLINK("https://www.spark-marketing.ru/Card/Person/100948", "ООО ""СК ""СКАТ""")</f>
        <v>ООО "СК "СКАТ"</v>
      </c>
      <c r="K15757" s="24" t="s">
        <v>2060</v>
      </c>
      <c r="L15757" s="28" t="s">
        <v>52</v>
      </c>
      <c r="M15757" s="25">
        <v>246618.81</v>
      </c>
      <c r="N15757" s="27">
        <v>0.21634635916740005</v>
      </c>
    </row>
    <row r="15758" spans="1:14" hidden="1" outlineLevel="1" x14ac:dyDescent="0.2">
      <c r="A15758" s="23" t="str">
        <f t="shared" si="825"/>
        <v>ГБУЗ "ГП № 191 ДЗМ"</v>
      </c>
      <c r="B15758" s="24" t="s">
        <v>7216</v>
      </c>
      <c r="C15758" s="25">
        <v>314703.84000000003</v>
      </c>
      <c r="D15758" s="22" t="s">
        <v>18058</v>
      </c>
      <c r="E15758" s="22" t="s">
        <v>103</v>
      </c>
      <c r="F15758" s="23" t="str">
        <f t="shared" si="826"/>
        <v>Аукцион в электронной форме среди СМП на оказание услуг по техническому обслуживанию технических средств охраны (ТСО) и кнопки тревожной сигнализации (КТС) на объектах ГБУЗ "ГП №191 ДЗМ"</v>
      </c>
      <c r="G15758" s="22" t="s">
        <v>55</v>
      </c>
      <c r="H15758" s="22" t="s">
        <v>55</v>
      </c>
      <c r="I15758" s="26">
        <v>43502</v>
      </c>
      <c r="J15758" s="23" t="str">
        <f>HYPERLINK("https://www.spark-marketing.ru/Card/Person/4875503", "ООО ""СЕРВИС ЭМ""")</f>
        <v>ООО "СЕРВИС ЭМ"</v>
      </c>
      <c r="K15758" s="24" t="s">
        <v>15383</v>
      </c>
      <c r="L15758" s="28" t="s">
        <v>52</v>
      </c>
      <c r="M15758" s="25">
        <v>150000</v>
      </c>
      <c r="N15758" s="27">
        <v>0.52336139273038418</v>
      </c>
    </row>
    <row r="15759" spans="1:14" hidden="1" outlineLevel="1" x14ac:dyDescent="0.2">
      <c r="A15759" s="23" t="str">
        <f t="shared" si="825"/>
        <v>ГБУЗ "ГП № 191 ДЗМ"</v>
      </c>
      <c r="B15759" s="24" t="s">
        <v>7216</v>
      </c>
      <c r="C15759" s="25">
        <v>314703.84000000003</v>
      </c>
      <c r="D15759" s="22" t="s">
        <v>18058</v>
      </c>
      <c r="E15759" s="22" t="s">
        <v>103</v>
      </c>
      <c r="F15759" s="23" t="str">
        <f t="shared" si="826"/>
        <v>Аукцион в электронной форме среди СМП на оказание услуг по техническому обслуживанию технических средств охраны (ТСО) и кнопки тревожной сигнализации (КТС) на объектах ГБУЗ "ГП №191 ДЗМ"</v>
      </c>
      <c r="G15759" s="22" t="s">
        <v>55</v>
      </c>
      <c r="H15759" s="22" t="s">
        <v>55</v>
      </c>
      <c r="I15759" s="26">
        <v>43502</v>
      </c>
      <c r="J15759" s="23" t="str">
        <f>HYPERLINK("https://www.spark-marketing.ru/Card/Person/6316283", "Варзанова Екатерина Олеговна")</f>
        <v>Варзанова Екатерина Олеговна</v>
      </c>
      <c r="K15759" s="24" t="s">
        <v>2059</v>
      </c>
      <c r="L15759" s="28" t="s">
        <v>52</v>
      </c>
      <c r="M15759" s="25">
        <v>201418.81</v>
      </c>
      <c r="N15759" s="27">
        <v>0.35997345949131093</v>
      </c>
    </row>
    <row r="15760" spans="1:14" hidden="1" outlineLevel="1" x14ac:dyDescent="0.2">
      <c r="A15760" s="23" t="str">
        <f t="shared" si="825"/>
        <v>ГБУЗ "ГП № 191 ДЗМ"</v>
      </c>
      <c r="B15760" s="24" t="s">
        <v>7216</v>
      </c>
      <c r="C15760" s="25">
        <v>314703.84000000003</v>
      </c>
      <c r="D15760" s="22" t="s">
        <v>18058</v>
      </c>
      <c r="E15760" s="22" t="s">
        <v>103</v>
      </c>
      <c r="F15760" s="23" t="str">
        <f t="shared" si="826"/>
        <v>Аукцион в электронной форме среди СМП на оказание услуг по техническому обслуживанию технических средств охраны (ТСО) и кнопки тревожной сигнализации (КТС) на объектах ГБУЗ "ГП №191 ДЗМ"</v>
      </c>
      <c r="G15760" s="22" t="s">
        <v>55</v>
      </c>
      <c r="H15760" s="22" t="s">
        <v>55</v>
      </c>
      <c r="I15760" s="26">
        <v>43502</v>
      </c>
      <c r="J15760" s="23" t="str">
        <f>HYPERLINK("https://www.spark-marketing.ru/Card/Person/5970672", "ООО ""ИНЖЕНЕРНЫЕ ТЕХНОЛОГИИ ЗАЩИТЫ""")</f>
        <v>ООО "ИНЖЕНЕРНЫЕ ТЕХНОЛОГИИ ЗАЩИТЫ"</v>
      </c>
      <c r="K15760" s="24" t="s">
        <v>1750</v>
      </c>
      <c r="L15760" s="28" t="s">
        <v>52</v>
      </c>
      <c r="M15760" s="25">
        <v>143845.29</v>
      </c>
      <c r="N15760" s="27">
        <v>0.54291854208070678</v>
      </c>
    </row>
    <row r="15761" spans="1:14" x14ac:dyDescent="0.15">
      <c r="A15761" s="23" t="str">
        <f>HYPERLINK("https://www.spark-marketing.ru/Card/Person/256370", "ГБУЗ ""КБЦМК И СМП""")</f>
        <v>ГБУЗ "КБЦМК И СМП"</v>
      </c>
      <c r="B15761" s="24" t="s">
        <v>18059</v>
      </c>
      <c r="C15761" s="25">
        <v>88593.12</v>
      </c>
      <c r="D15761" s="22" t="s">
        <v>18060</v>
      </c>
      <c r="E15761" s="22" t="s">
        <v>68</v>
      </c>
      <c r="F15761" s="23" t="str">
        <f>HYPERLINK("https://www.spark-marketing.ru/Card/Lot/67743975", "охрана объекта")</f>
        <v>охрана объекта</v>
      </c>
      <c r="G15761" s="22" t="s">
        <v>110</v>
      </c>
      <c r="H15761" s="22" t="s">
        <v>111</v>
      </c>
      <c r="I15761" s="26">
        <v>43502</v>
      </c>
      <c r="J15761" s="28" t="s">
        <v>52</v>
      </c>
      <c r="K15761" s="28" t="s">
        <v>52</v>
      </c>
      <c r="L15761" s="28" t="s">
        <v>52</v>
      </c>
      <c r="M15761" s="28" t="s">
        <v>52</v>
      </c>
      <c r="N15761" s="28" t="s">
        <v>52</v>
      </c>
    </row>
    <row r="15762" spans="1:14" x14ac:dyDescent="0.15">
      <c r="A15762" s="23" t="str">
        <f t="shared" ref="A15762:A15767" si="827">HYPERLINK("https://www.spark-marketing.ru/Card/Person/31569", "КГБУЗ ""КГП № 14""")</f>
        <v>КГБУЗ "КГП № 14"</v>
      </c>
      <c r="B15762" s="24" t="s">
        <v>16793</v>
      </c>
      <c r="C15762" s="25">
        <v>462399.96</v>
      </c>
      <c r="D15762" s="22" t="s">
        <v>18061</v>
      </c>
      <c r="E15762" s="22" t="s">
        <v>68</v>
      </c>
      <c r="F15762" s="23" t="str">
        <f t="shared" ref="F15762:F15767" si="828">HYPERLINK("https://www.spark-marketing.ru/Card/Lot/67730105", "Оказание услуг пультовой охраны объектов недвижимости")</f>
        <v>Оказание услуг пультовой охраны объектов недвижимости</v>
      </c>
      <c r="G15762" s="22" t="s">
        <v>640</v>
      </c>
      <c r="H15762" s="22" t="s">
        <v>1524</v>
      </c>
      <c r="I15762" s="26">
        <v>43502</v>
      </c>
      <c r="J15762" s="28" t="s">
        <v>52</v>
      </c>
      <c r="K15762" s="28" t="s">
        <v>52</v>
      </c>
      <c r="L15762" s="28" t="s">
        <v>52</v>
      </c>
      <c r="M15762" s="28" t="s">
        <v>52</v>
      </c>
      <c r="N15762" s="28" t="s">
        <v>52</v>
      </c>
    </row>
    <row r="15763" spans="1:14" hidden="1" outlineLevel="1" x14ac:dyDescent="0.2">
      <c r="A15763" s="23" t="str">
        <f t="shared" si="827"/>
        <v>КГБУЗ "КГП № 14"</v>
      </c>
      <c r="B15763" s="24" t="s">
        <v>16793</v>
      </c>
      <c r="C15763" s="25">
        <v>462399.96</v>
      </c>
      <c r="D15763" s="22" t="s">
        <v>18061</v>
      </c>
      <c r="E15763" s="22" t="s">
        <v>68</v>
      </c>
      <c r="F15763" s="23" t="str">
        <f t="shared" si="828"/>
        <v>Оказание услуг пультовой охраны объектов недвижимости</v>
      </c>
      <c r="G15763" s="22" t="s">
        <v>640</v>
      </c>
      <c r="H15763" s="22" t="s">
        <v>1524</v>
      </c>
      <c r="I15763" s="26">
        <v>43502</v>
      </c>
      <c r="J15763" s="23" t="str">
        <f>HYPERLINK("https://www.spark-marketing.ru/Card/Person/4349239", "ООО ОА ""ТИГР""")</f>
        <v>ООО ОА "ТИГР"</v>
      </c>
      <c r="K15763" s="24" t="s">
        <v>13463</v>
      </c>
      <c r="L15763" s="28" t="s">
        <v>52</v>
      </c>
      <c r="M15763" s="25">
        <v>23119.99</v>
      </c>
      <c r="N15763" s="27">
        <v>0.95000001730103956</v>
      </c>
    </row>
    <row r="15764" spans="1:14" hidden="1" outlineLevel="1" x14ac:dyDescent="0.2">
      <c r="A15764" s="23" t="str">
        <f t="shared" si="827"/>
        <v>КГБУЗ "КГП № 14"</v>
      </c>
      <c r="B15764" s="24" t="s">
        <v>16793</v>
      </c>
      <c r="C15764" s="25">
        <v>462399.96</v>
      </c>
      <c r="D15764" s="22" t="s">
        <v>18061</v>
      </c>
      <c r="E15764" s="22" t="s">
        <v>68</v>
      </c>
      <c r="F15764" s="23" t="str">
        <f t="shared" si="828"/>
        <v>Оказание услуг пультовой охраны объектов недвижимости</v>
      </c>
      <c r="G15764" s="22" t="s">
        <v>640</v>
      </c>
      <c r="H15764" s="22" t="s">
        <v>1524</v>
      </c>
      <c r="I15764" s="26">
        <v>43502</v>
      </c>
      <c r="J15764" s="23" t="str">
        <f>HYPERLINK("https://www.spark-marketing.ru/Card/Person/472540", "ООО ""МОЛОТ""")</f>
        <v>ООО "МОЛОТ"</v>
      </c>
      <c r="K15764" s="24" t="s">
        <v>4684</v>
      </c>
      <c r="L15764" s="28" t="s">
        <v>52</v>
      </c>
      <c r="M15764" s="25">
        <v>462399.95</v>
      </c>
      <c r="N15764" s="27">
        <v>2.1626299448641821E-8</v>
      </c>
    </row>
    <row r="15765" spans="1:14" hidden="1" outlineLevel="1" x14ac:dyDescent="0.2">
      <c r="A15765" s="23" t="str">
        <f t="shared" si="827"/>
        <v>КГБУЗ "КГП № 14"</v>
      </c>
      <c r="B15765" s="24" t="s">
        <v>16793</v>
      </c>
      <c r="C15765" s="25">
        <v>462399.96</v>
      </c>
      <c r="D15765" s="22" t="s">
        <v>18061</v>
      </c>
      <c r="E15765" s="22" t="s">
        <v>68</v>
      </c>
      <c r="F15765" s="23" t="str">
        <f t="shared" si="828"/>
        <v>Оказание услуг пультовой охраны объектов недвижимости</v>
      </c>
      <c r="G15765" s="22" t="s">
        <v>640</v>
      </c>
      <c r="H15765" s="22" t="s">
        <v>1524</v>
      </c>
      <c r="I15765" s="26">
        <v>43502</v>
      </c>
      <c r="J15765" s="23" t="str">
        <f>HYPERLINK("https://www.spark-marketing.ru/Card/Person/216841", "ООО ЧОО ""ТАМЕРЛАН""")</f>
        <v>ООО ЧОО "ТАМЕРЛАН"</v>
      </c>
      <c r="K15765" s="24" t="s">
        <v>13532</v>
      </c>
      <c r="L15765" s="28" t="s">
        <v>52</v>
      </c>
      <c r="M15765" s="25">
        <v>2311.9899999999998</v>
      </c>
      <c r="N15765" s="27">
        <v>0.99500002119377351</v>
      </c>
    </row>
    <row r="15766" spans="1:14" ht="12.75" hidden="1" outlineLevel="1" x14ac:dyDescent="0.2">
      <c r="A15766" s="23" t="str">
        <f t="shared" si="827"/>
        <v>КГБУЗ "КГП № 14"</v>
      </c>
      <c r="B15766" s="24" t="s">
        <v>16793</v>
      </c>
      <c r="C15766" s="25">
        <v>462399.96</v>
      </c>
      <c r="D15766" s="22" t="s">
        <v>18061</v>
      </c>
      <c r="E15766" s="22" t="s">
        <v>68</v>
      </c>
      <c r="F15766" s="23" t="str">
        <f t="shared" si="828"/>
        <v>Оказание услуг пультовой охраны объектов недвижимости</v>
      </c>
      <c r="G15766" s="22" t="s">
        <v>640</v>
      </c>
      <c r="H15766" s="22" t="s">
        <v>1524</v>
      </c>
      <c r="I15766" s="26">
        <v>43502</v>
      </c>
      <c r="J15766" s="23" t="str">
        <f>HYPERLINK("https://www.spark-marketing.ru/Card/Person/20362", "ООО ЧОА ""УРАГАН-С""")</f>
        <v>ООО ЧОА "УРАГАН-С"</v>
      </c>
      <c r="K15766" s="24" t="s">
        <v>13533</v>
      </c>
      <c r="L15766" s="22" t="s">
        <v>10</v>
      </c>
      <c r="M15766" s="25">
        <v>0.01</v>
      </c>
      <c r="N15766" s="27">
        <v>0.99999997837370058</v>
      </c>
    </row>
    <row r="15767" spans="1:14" hidden="1" outlineLevel="1" x14ac:dyDescent="0.2">
      <c r="A15767" s="23" t="str">
        <f t="shared" si="827"/>
        <v>КГБУЗ "КГП № 14"</v>
      </c>
      <c r="B15767" s="24" t="s">
        <v>16793</v>
      </c>
      <c r="C15767" s="25">
        <v>462399.96</v>
      </c>
      <c r="D15767" s="22" t="s">
        <v>18061</v>
      </c>
      <c r="E15767" s="22" t="s">
        <v>68</v>
      </c>
      <c r="F15767" s="23" t="str">
        <f t="shared" si="828"/>
        <v>Оказание услуг пультовой охраны объектов недвижимости</v>
      </c>
      <c r="G15767" s="22" t="s">
        <v>640</v>
      </c>
      <c r="H15767" s="22" t="s">
        <v>1524</v>
      </c>
      <c r="I15767" s="26">
        <v>43502</v>
      </c>
      <c r="J15767" s="23" t="str">
        <f>HYPERLINK("https://www.spark-marketing.ru/Card/Person/103482", "ООО ""ЧОФ ""РОДИМИЧИ""")</f>
        <v>ООО "ЧОФ "РОДИМИЧИ"</v>
      </c>
      <c r="K15767" s="24" t="s">
        <v>18062</v>
      </c>
      <c r="L15767" s="28" t="s">
        <v>52</v>
      </c>
      <c r="M15767" s="25">
        <v>108663.99</v>
      </c>
      <c r="N15767" s="27">
        <v>0.76500000129757795</v>
      </c>
    </row>
    <row r="15768" spans="1:14" x14ac:dyDescent="0.15">
      <c r="A15768" s="23" t="str">
        <f>HYPERLINK("https://www.spark-marketing.ru/Card/Person/4347183", "РОСКОМНАДЗОР")</f>
        <v>РОСКОМНАДЗОР</v>
      </c>
      <c r="B15768" s="24" t="s">
        <v>3732</v>
      </c>
      <c r="C15768" s="25">
        <v>12414214.32</v>
      </c>
      <c r="D15768" s="22" t="s">
        <v>18063</v>
      </c>
      <c r="E15768" s="22" t="s">
        <v>68</v>
      </c>
      <c r="F15768" s="23" t="str">
        <f>HYPERLINK("https://www.spark-marketing.ru/Card/Lot/67752601", "Оказание услуг вооруженной охраны объекта и осуществление пропускного и внутриобъектового режима")</f>
        <v>Оказание услуг вооруженной охраны объекта и осуществление пропускного и внутриобъектового режима</v>
      </c>
      <c r="G15768" s="22" t="s">
        <v>55</v>
      </c>
      <c r="H15768" s="22" t="s">
        <v>55</v>
      </c>
      <c r="I15768" s="26">
        <v>43502</v>
      </c>
      <c r="J15768" s="28" t="s">
        <v>52</v>
      </c>
      <c r="K15768" s="28" t="s">
        <v>52</v>
      </c>
      <c r="L15768" s="28" t="s">
        <v>52</v>
      </c>
      <c r="M15768" s="28" t="s">
        <v>52</v>
      </c>
      <c r="N15768" s="28" t="s">
        <v>52</v>
      </c>
    </row>
    <row r="15769" spans="1:14" hidden="1" outlineLevel="1" x14ac:dyDescent="0.2">
      <c r="A15769" s="23" t="str">
        <f>HYPERLINK("https://www.spark-marketing.ru/Card/Person/4347183", "РОСКОМНАДЗОР")</f>
        <v>РОСКОМНАДЗОР</v>
      </c>
      <c r="B15769" s="24" t="s">
        <v>3732</v>
      </c>
      <c r="C15769" s="25">
        <v>12414214.32</v>
      </c>
      <c r="D15769" s="22" t="s">
        <v>18063</v>
      </c>
      <c r="E15769" s="22" t="s">
        <v>68</v>
      </c>
      <c r="F15769" s="23" t="str">
        <f>HYPERLINK("https://www.spark-marketing.ru/Card/Lot/67752601", "Оказание услуг вооруженной охраны объекта и осуществление пропускного и внутриобъектового режима")</f>
        <v>Оказание услуг вооруженной охраны объекта и осуществление пропускного и внутриобъектового режима</v>
      </c>
      <c r="G15769" s="22" t="s">
        <v>55</v>
      </c>
      <c r="H15769" s="22" t="s">
        <v>55</v>
      </c>
      <c r="I15769" s="26">
        <v>43502</v>
      </c>
      <c r="J15769" s="23" t="str">
        <f>HYPERLINK("https://www.spark-marketing.ru/Card/Person/10487", "ФГУП ""ОХРАНА"" РОСГВАРДИИ")</f>
        <v>ФГУП "ОХРАНА" РОСГВАРДИИ</v>
      </c>
      <c r="K15769" s="24" t="s">
        <v>779</v>
      </c>
      <c r="L15769" s="28" t="s">
        <v>52</v>
      </c>
      <c r="M15769" s="25">
        <v>12282244.57</v>
      </c>
      <c r="N15769" s="27">
        <v>1.0630535819523373E-2</v>
      </c>
    </row>
    <row r="15770" spans="1:14" hidden="1" outlineLevel="1" x14ac:dyDescent="0.15">
      <c r="A15770" s="23" t="str">
        <f>HYPERLINK("https://www.spark-marketing.ru/Card/Person/4347183", "РОСКОМНАДЗОР")</f>
        <v>РОСКОМНАДЗОР</v>
      </c>
      <c r="B15770" s="24" t="s">
        <v>3732</v>
      </c>
      <c r="C15770" s="25">
        <v>12414214.32</v>
      </c>
      <c r="D15770" s="22" t="s">
        <v>18063</v>
      </c>
      <c r="E15770" s="22" t="s">
        <v>68</v>
      </c>
      <c r="F15770" s="23" t="str">
        <f>HYPERLINK("https://www.spark-marketing.ru/Card/Lot/67752601", "Оказание услуг вооруженной охраны объекта и осуществление пропускного и внутриобъектового режима")</f>
        <v>Оказание услуг вооруженной охраны объекта и осуществление пропускного и внутриобъектового режима</v>
      </c>
      <c r="G15770" s="22" t="s">
        <v>55</v>
      </c>
      <c r="H15770" s="22" t="s">
        <v>55</v>
      </c>
      <c r="I15770" s="26">
        <v>43502</v>
      </c>
      <c r="J15770" s="23" t="str">
        <f>HYPERLINK("https://www.spark-marketing.ru/Card/Person/130301", "ООО ЧОП ""БЕРЕЖА""")</f>
        <v>ООО ЧОП "БЕРЕЖА"</v>
      </c>
      <c r="K15770" s="24" t="s">
        <v>18064</v>
      </c>
      <c r="L15770" s="28" t="s">
        <v>52</v>
      </c>
      <c r="M15770" s="28" t="s">
        <v>52</v>
      </c>
      <c r="N15770" s="28" t="s">
        <v>52</v>
      </c>
    </row>
    <row r="15771" spans="1:14" hidden="1" outlineLevel="1" x14ac:dyDescent="0.15">
      <c r="A15771" s="23" t="str">
        <f>HYPERLINK("https://www.spark-marketing.ru/Card/Person/4347183", "РОСКОМНАДЗОР")</f>
        <v>РОСКОМНАДЗОР</v>
      </c>
      <c r="B15771" s="24" t="s">
        <v>3732</v>
      </c>
      <c r="C15771" s="25">
        <v>12414214.32</v>
      </c>
      <c r="D15771" s="22" t="s">
        <v>18063</v>
      </c>
      <c r="E15771" s="22" t="s">
        <v>68</v>
      </c>
      <c r="F15771" s="23" t="str">
        <f>HYPERLINK("https://www.spark-marketing.ru/Card/Lot/67752601", "Оказание услуг вооруженной охраны объекта и осуществление пропускного и внутриобъектового режима")</f>
        <v>Оказание услуг вооруженной охраны объекта и осуществление пропускного и внутриобъектового режима</v>
      </c>
      <c r="G15771" s="22" t="s">
        <v>55</v>
      </c>
      <c r="H15771" s="22" t="s">
        <v>55</v>
      </c>
      <c r="I15771" s="26">
        <v>43502</v>
      </c>
      <c r="J15771" s="23" t="str">
        <f>HYPERLINK("https://www.spark-marketing.ru/Card/Person/6242866", "ООО ""ЧОО ""СВС-ГАРАНТ""")</f>
        <v>ООО "ЧОО "СВС-ГАРАНТ"</v>
      </c>
      <c r="K15771" s="24" t="s">
        <v>18065</v>
      </c>
      <c r="L15771" s="28" t="s">
        <v>52</v>
      </c>
      <c r="M15771" s="28" t="s">
        <v>52</v>
      </c>
      <c r="N15771" s="28" t="s">
        <v>52</v>
      </c>
    </row>
    <row r="15772" spans="1:14" x14ac:dyDescent="0.15">
      <c r="A15772" s="23" t="str">
        <f>HYPERLINK("https://www.spark-marketing.ru/Card/Person/148264", "МАДОУ ""ДЕТСКИЙ САД ОБЩЕРАЗВИВАЮЩЕГО ВИДА №88"" НМР РТ")</f>
        <v>МАДОУ "ДЕТСКИЙ САД ОБЩЕРАЗВИВАЮЩЕГО ВИДА №88" НМР РТ</v>
      </c>
      <c r="B15772" s="24" t="s">
        <v>15120</v>
      </c>
      <c r="C15772" s="25">
        <v>6600</v>
      </c>
      <c r="D15772" s="22" t="s">
        <v>18066</v>
      </c>
      <c r="E15772" s="22" t="s">
        <v>53</v>
      </c>
      <c r="F15772" s="23" t="str">
        <f>HYPERLINK("https://www.spark-marketing.ru/Card/Lot/73684333", "Техническое обслуживание системы видеонаблюдения")</f>
        <v>Техническое обслуживание системы видеонаблюдения</v>
      </c>
      <c r="G15772" s="22" t="s">
        <v>204</v>
      </c>
      <c r="H15772" s="22" t="s">
        <v>824</v>
      </c>
      <c r="I15772" s="26">
        <v>43502.000694444403</v>
      </c>
      <c r="J15772" s="28" t="s">
        <v>52</v>
      </c>
      <c r="K15772" s="28" t="s">
        <v>52</v>
      </c>
      <c r="L15772" s="28" t="s">
        <v>52</v>
      </c>
      <c r="M15772" s="28" t="s">
        <v>52</v>
      </c>
      <c r="N15772" s="28" t="s">
        <v>52</v>
      </c>
    </row>
    <row r="15773" spans="1:14" x14ac:dyDescent="0.15">
      <c r="A15773" s="23" t="str">
        <f>HYPERLINK("https://www.spark-marketing.ru/Card/Person/65706", "АО ""ВНИИНМ""")</f>
        <v>АО "ВНИИНМ"</v>
      </c>
      <c r="B15773" s="24" t="s">
        <v>18067</v>
      </c>
      <c r="C15773" s="25">
        <v>12864447.939999999</v>
      </c>
      <c r="D15773" s="22" t="s">
        <v>18068</v>
      </c>
      <c r="E15773" s="22" t="s">
        <v>53</v>
      </c>
      <c r="F15773" s="23" t="str">
        <f>HYPERLINK("https://www.spark-marketing.ru/Card/Lot/67735314", "Право заключения договора на 907-U020-18/737 Оказание услуг по охране объекта МСП АО «ВНИИНМ» военизированными подразделениями")</f>
        <v>Право заключения договора на 907-U020-18/737 Оказание услуг по охране объекта МСП АО «ВНИИНМ» военизированными подразделениями</v>
      </c>
      <c r="G15773" s="22" t="s">
        <v>55</v>
      </c>
      <c r="H15773" s="22" t="s">
        <v>55</v>
      </c>
      <c r="I15773" s="26">
        <v>43502</v>
      </c>
      <c r="J15773" s="28" t="s">
        <v>52</v>
      </c>
      <c r="K15773" s="28" t="s">
        <v>52</v>
      </c>
      <c r="L15773" s="28" t="s">
        <v>52</v>
      </c>
      <c r="M15773" s="28" t="s">
        <v>52</v>
      </c>
      <c r="N15773" s="28" t="s">
        <v>52</v>
      </c>
    </row>
    <row r="15774" spans="1:14" x14ac:dyDescent="0.15">
      <c r="A15774" s="23" t="str">
        <f>HYPERLINK("https://www.spark-marketing.ru/Card/Person/117740", "АДМИНИСТРАЦИЯ МУНИЦИПАЛЬНОГО ОБРАЗОВАНИЯ УСПЕНСКИЙ РАЙОН")</f>
        <v>АДМИНИСТРАЦИЯ МУНИЦИПАЛЬНОГО ОБРАЗОВАНИЯ УСПЕНСКИЙ РАЙОН</v>
      </c>
      <c r="B15774" s="24" t="s">
        <v>18069</v>
      </c>
      <c r="C15774" s="25">
        <v>173833.3</v>
      </c>
      <c r="D15774" s="22" t="s">
        <v>18070</v>
      </c>
      <c r="E15774" s="22" t="s">
        <v>298</v>
      </c>
      <c r="F15774" s="23" t="str">
        <f>HYPERLINK("https://www.spark-marketing.ru/Card/Lot/67752594", "Техническое обслуживание и дополнительное сопровождение Единой системы учёта Объектов и неналоговых доходов (ЕСУОНД)")</f>
        <v>Техническое обслуживание и дополнительное сопровождение Единой системы учёта Объектов и неналоговых доходов (ЕСУОНД)</v>
      </c>
      <c r="G15774" s="22" t="s">
        <v>132</v>
      </c>
      <c r="H15774" s="22" t="s">
        <v>132</v>
      </c>
      <c r="I15774" s="26">
        <v>43502</v>
      </c>
      <c r="J15774" s="23" t="str">
        <f>HYPERLINK("https://www.spark-marketing.ru/Card/Person/117262", "ООО ""ЦИТ БАРС""")</f>
        <v>ООО "ЦИТ БАРС"</v>
      </c>
      <c r="K15774" s="24" t="s">
        <v>5121</v>
      </c>
      <c r="L15774" s="22" t="s">
        <v>10</v>
      </c>
      <c r="M15774" s="28" t="s">
        <v>52</v>
      </c>
      <c r="N15774" s="28" t="s">
        <v>52</v>
      </c>
    </row>
    <row r="15775" spans="1:14" x14ac:dyDescent="0.15">
      <c r="A15775" s="23" t="str">
        <f>HYPERLINK("https://www.spark-marketing.ru/Card/Person/10954", "УПРАВЛЕНИЕ СПЕЦИАЛЬНОЙ СВЯЗИ И ИНФОРМАЦИИ ФЕДЕРАЛЬНОЙ СЛУЖБЫ ОХРАНЫ РОССИЙСКОЙ ФЕДЕРАЦИИ В УРАЛЬСКОМ ФЕДЕРАЛЬНОМ ОКРУГЕ")</f>
        <v>УПРАВЛЕНИЕ СПЕЦИАЛЬНОЙ СВЯЗИ И ИНФОРМАЦИИ ФЕДЕРАЛЬНОЙ СЛУЖБЫ ОХРАНЫ РОССИЙСКОЙ ФЕДЕРАЦИИ В УРАЛЬСКОМ ФЕДЕРАЛЬНОМ ОКРУГЕ</v>
      </c>
      <c r="B15775" s="24" t="s">
        <v>7458</v>
      </c>
      <c r="C15775" s="25">
        <v>44319.839999999997</v>
      </c>
      <c r="D15775" s="22" t="s">
        <v>18071</v>
      </c>
      <c r="E15775" s="22" t="s">
        <v>68</v>
      </c>
      <c r="F15775" s="23" t="str">
        <f>HYPERLINK("https://www.spark-marketing.ru/Card/Lot/67729870", "Оказание услуг по охране объекта (ов) путем контроля за техническими средствами тревожной сигнализации")</f>
        <v>Оказание услуг по охране объекта (ов) путем контроля за техническими средствами тревожной сигнализации</v>
      </c>
      <c r="G15775" s="22" t="s">
        <v>7460</v>
      </c>
      <c r="H15775" s="22" t="s">
        <v>7460</v>
      </c>
      <c r="I15775" s="26">
        <v>43502</v>
      </c>
      <c r="J15775" s="28" t="s">
        <v>52</v>
      </c>
      <c r="K15775" s="28" t="s">
        <v>52</v>
      </c>
      <c r="L15775" s="28" t="s">
        <v>52</v>
      </c>
      <c r="M15775" s="28" t="s">
        <v>52</v>
      </c>
      <c r="N15775" s="28" t="s">
        <v>52</v>
      </c>
    </row>
    <row r="15776" spans="1:14" x14ac:dyDescent="0.15">
      <c r="A15776" s="23" t="str">
        <f>HYPERLINK("https://www.spark-marketing.ru/Card/Person/5135", "ПРОКУРАТУРА КАЛУЖСКОЙ ОБЛАСТИ")</f>
        <v>ПРОКУРАТУРА КАЛУЖСКОЙ ОБЛАСТИ</v>
      </c>
      <c r="B15776" s="24" t="s">
        <v>18072</v>
      </c>
      <c r="C15776" s="25">
        <v>1216150.8</v>
      </c>
      <c r="D15776" s="22" t="s">
        <v>18073</v>
      </c>
      <c r="E15776" s="22" t="s">
        <v>68</v>
      </c>
      <c r="F15776" s="23" t="str">
        <f>HYPERLINK("https://www.spark-marketing.ru/Card/Lot/67747791", "услуги по охране здания, обеспечению пропускного режима")</f>
        <v>услуги по охране здания, обеспечению пропускного режима</v>
      </c>
      <c r="G15776" s="22" t="s">
        <v>658</v>
      </c>
      <c r="H15776" s="22" t="s">
        <v>658</v>
      </c>
      <c r="I15776" s="26">
        <v>43502</v>
      </c>
      <c r="J15776" s="28" t="s">
        <v>52</v>
      </c>
      <c r="K15776" s="28" t="s">
        <v>52</v>
      </c>
      <c r="L15776" s="28" t="s">
        <v>52</v>
      </c>
      <c r="M15776" s="28" t="s">
        <v>52</v>
      </c>
      <c r="N15776" s="28" t="s">
        <v>52</v>
      </c>
    </row>
    <row r="15777" spans="1:14" x14ac:dyDescent="0.15">
      <c r="A15777" s="23" t="str">
        <f>HYPERLINK("https://www.spark-marketing.ru/Card/Person/6450322", "ЗАКАЗЧИК РП БЕЛАРУСЬ")</f>
        <v>ЗАКАЗЧИК РП БЕЛАРУСЬ</v>
      </c>
      <c r="B15777" s="28" t="s">
        <v>52</v>
      </c>
      <c r="C15777" s="25">
        <v>188469.46</v>
      </c>
      <c r="D15777" s="22" t="s">
        <v>18074</v>
      </c>
      <c r="E15777" s="22" t="s">
        <v>53</v>
      </c>
      <c r="F15777" s="23" t="str">
        <f>HYPERLINK("https://www.spark-marketing.ru/Card/Lot/67748446", "Услуги по техническому обслуживанию видеонаблюдения в учреждениях отдела идеологической работы, культуры и по делам молодежи Щучинского райисполкома")</f>
        <v>Услуги по техническому обслуживанию видеонаблюдения в учреждениях отдела идеологической работы, культуры и по делам молодежи Щучинского райисполкома</v>
      </c>
      <c r="G15777" s="22" t="s">
        <v>52</v>
      </c>
      <c r="H15777" s="22" t="s">
        <v>52</v>
      </c>
      <c r="I15777" s="26">
        <v>43502</v>
      </c>
      <c r="J15777" s="28" t="s">
        <v>52</v>
      </c>
      <c r="K15777" s="28" t="s">
        <v>52</v>
      </c>
      <c r="L15777" s="28" t="s">
        <v>52</v>
      </c>
      <c r="M15777" s="28" t="s">
        <v>52</v>
      </c>
      <c r="N15777" s="28" t="s">
        <v>52</v>
      </c>
    </row>
    <row r="15778" spans="1:14" x14ac:dyDescent="0.15">
      <c r="A15778" s="23" t="str">
        <f t="shared" ref="A15778:A15784" si="829">HYPERLINK("https://www.spark-marketing.ru/Card/Person/32386", "ГКУ ЦЗН РО")</f>
        <v>ГКУ ЦЗН РО</v>
      </c>
      <c r="B15778" s="24" t="s">
        <v>18075</v>
      </c>
      <c r="C15778" s="25">
        <v>159000</v>
      </c>
      <c r="D15778" s="22" t="s">
        <v>18076</v>
      </c>
      <c r="E15778" s="22" t="s">
        <v>103</v>
      </c>
      <c r="F15778" s="23" t="str">
        <f t="shared" ref="F15778:F15784" si="830">HYPERLINK("https://www.spark-marketing.ru/Card/Lot/67741210", "Оказание услуг по монтажу и техническому обслуживанию системы видеонаблюдения в здании государственного казенного учреждения Центр занятости населения Рязанской области")</f>
        <v>Оказание услуг по монтажу и техническому обслуживанию системы видеонаблюдения в здании государственного казенного учреждения Центр занятости населения Рязанской области</v>
      </c>
      <c r="G15778" s="22" t="s">
        <v>186</v>
      </c>
      <c r="H15778" s="22" t="s">
        <v>187</v>
      </c>
      <c r="I15778" s="26">
        <v>43502</v>
      </c>
      <c r="J15778" s="28" t="s">
        <v>52</v>
      </c>
      <c r="K15778" s="28" t="s">
        <v>52</v>
      </c>
      <c r="L15778" s="28" t="s">
        <v>52</v>
      </c>
      <c r="M15778" s="28" t="s">
        <v>52</v>
      </c>
      <c r="N15778" s="28" t="s">
        <v>52</v>
      </c>
    </row>
    <row r="15779" spans="1:14" ht="12.75" hidden="1" outlineLevel="1" x14ac:dyDescent="0.2">
      <c r="A15779" s="23" t="str">
        <f t="shared" si="829"/>
        <v>ГКУ ЦЗН РО</v>
      </c>
      <c r="B15779" s="24" t="s">
        <v>18075</v>
      </c>
      <c r="C15779" s="25">
        <v>159000</v>
      </c>
      <c r="D15779" s="22" t="s">
        <v>18076</v>
      </c>
      <c r="E15779" s="22" t="s">
        <v>103</v>
      </c>
      <c r="F15779" s="23" t="str">
        <f t="shared" si="830"/>
        <v>Оказание услуг по монтажу и техническому обслуживанию системы видеонаблюдения в здании государственного казенного учреждения Центр занятости населения Рязанской области</v>
      </c>
      <c r="G15779" s="22" t="s">
        <v>186</v>
      </c>
      <c r="H15779" s="22" t="s">
        <v>187</v>
      </c>
      <c r="I15779" s="26">
        <v>43502</v>
      </c>
      <c r="J15779" s="23" t="str">
        <f>HYPERLINK("https://www.spark-marketing.ru/Card/Person/4937002", "ООО ""АДМ ЦЕНТР""")</f>
        <v>ООО "АДМ ЦЕНТР"</v>
      </c>
      <c r="K15779" s="24" t="s">
        <v>3711</v>
      </c>
      <c r="L15779" s="22" t="s">
        <v>10</v>
      </c>
      <c r="M15779" s="25">
        <v>93359.43</v>
      </c>
      <c r="N15779" s="27">
        <v>0.41283377358490564</v>
      </c>
    </row>
    <row r="15780" spans="1:14" hidden="1" outlineLevel="1" x14ac:dyDescent="0.2">
      <c r="A15780" s="23" t="str">
        <f t="shared" si="829"/>
        <v>ГКУ ЦЗН РО</v>
      </c>
      <c r="B15780" s="24" t="s">
        <v>18075</v>
      </c>
      <c r="C15780" s="25">
        <v>159000</v>
      </c>
      <c r="D15780" s="22" t="s">
        <v>18076</v>
      </c>
      <c r="E15780" s="22" t="s">
        <v>103</v>
      </c>
      <c r="F15780" s="23" t="str">
        <f t="shared" si="830"/>
        <v>Оказание услуг по монтажу и техническому обслуживанию системы видеонаблюдения в здании государственного казенного учреждения Центр занятости населения Рязанской области</v>
      </c>
      <c r="G15780" s="22" t="s">
        <v>186</v>
      </c>
      <c r="H15780" s="22" t="s">
        <v>187</v>
      </c>
      <c r="I15780" s="26">
        <v>43502</v>
      </c>
      <c r="J15780" s="23" t="str">
        <f>HYPERLINK("https://www.spark-marketing.ru/Card/Person/419232", "ООО ""РЯЗАНСКАЯ ДОМОФОННАЯ КОМПАНИЯ""")</f>
        <v>ООО "РЯЗАНСКАЯ ДОМОФОННАЯ КОМПАНИЯ"</v>
      </c>
      <c r="K15780" s="24" t="s">
        <v>18077</v>
      </c>
      <c r="L15780" s="28" t="s">
        <v>52</v>
      </c>
      <c r="M15780" s="25">
        <v>94154.43</v>
      </c>
      <c r="N15780" s="27">
        <v>0.40783377358490563</v>
      </c>
    </row>
    <row r="15781" spans="1:14" hidden="1" outlineLevel="1" x14ac:dyDescent="0.2">
      <c r="A15781" s="23" t="str">
        <f t="shared" si="829"/>
        <v>ГКУ ЦЗН РО</v>
      </c>
      <c r="B15781" s="24" t="s">
        <v>18075</v>
      </c>
      <c r="C15781" s="25">
        <v>159000</v>
      </c>
      <c r="D15781" s="22" t="s">
        <v>18076</v>
      </c>
      <c r="E15781" s="22" t="s">
        <v>103</v>
      </c>
      <c r="F15781" s="23" t="str">
        <f t="shared" si="830"/>
        <v>Оказание услуг по монтажу и техническому обслуживанию системы видеонаблюдения в здании государственного казенного учреждения Центр занятости населения Рязанской области</v>
      </c>
      <c r="G15781" s="22" t="s">
        <v>186</v>
      </c>
      <c r="H15781" s="22" t="s">
        <v>187</v>
      </c>
      <c r="I15781" s="26">
        <v>43502</v>
      </c>
      <c r="J15781" s="23" t="str">
        <f>HYPERLINK("https://www.spark-marketing.ru/Card/Person/780455", "Пищаев Дмитрий Михайлович")</f>
        <v>Пищаев Дмитрий Михайлович</v>
      </c>
      <c r="K15781" s="24" t="s">
        <v>8380</v>
      </c>
      <c r="L15781" s="28" t="s">
        <v>52</v>
      </c>
      <c r="M15781" s="25">
        <v>107528.31</v>
      </c>
      <c r="N15781" s="27">
        <v>0.32372132075471699</v>
      </c>
    </row>
    <row r="15782" spans="1:14" hidden="1" outlineLevel="1" x14ac:dyDescent="0.2">
      <c r="A15782" s="23" t="str">
        <f t="shared" si="829"/>
        <v>ГКУ ЦЗН РО</v>
      </c>
      <c r="B15782" s="24" t="s">
        <v>18075</v>
      </c>
      <c r="C15782" s="25">
        <v>159000</v>
      </c>
      <c r="D15782" s="22" t="s">
        <v>18076</v>
      </c>
      <c r="E15782" s="22" t="s">
        <v>103</v>
      </c>
      <c r="F15782" s="23" t="str">
        <f t="shared" si="830"/>
        <v>Оказание услуг по монтажу и техническому обслуживанию системы видеонаблюдения в здании государственного казенного учреждения Центр занятости населения Рязанской области</v>
      </c>
      <c r="G15782" s="22" t="s">
        <v>186</v>
      </c>
      <c r="H15782" s="22" t="s">
        <v>187</v>
      </c>
      <c r="I15782" s="26">
        <v>43502</v>
      </c>
      <c r="J15782" s="23" t="str">
        <f>HYPERLINK("https://www.spark-marketing.ru/Card/Person/141625", "ООО""МЕДТЕХНИКАСЕРВИС""")</f>
        <v>ООО"МЕДТЕХНИКАСЕРВИС"</v>
      </c>
      <c r="K15782" s="24" t="s">
        <v>18078</v>
      </c>
      <c r="L15782" s="28" t="s">
        <v>52</v>
      </c>
      <c r="M15782" s="25">
        <v>95744.43</v>
      </c>
      <c r="N15782" s="27">
        <v>0.39783377358490568</v>
      </c>
    </row>
    <row r="15783" spans="1:14" hidden="1" outlineLevel="1" x14ac:dyDescent="0.2">
      <c r="A15783" s="23" t="str">
        <f t="shared" si="829"/>
        <v>ГКУ ЦЗН РО</v>
      </c>
      <c r="B15783" s="24" t="s">
        <v>18075</v>
      </c>
      <c r="C15783" s="25">
        <v>159000</v>
      </c>
      <c r="D15783" s="22" t="s">
        <v>18076</v>
      </c>
      <c r="E15783" s="22" t="s">
        <v>103</v>
      </c>
      <c r="F15783" s="23" t="str">
        <f t="shared" si="830"/>
        <v>Оказание услуг по монтажу и техническому обслуживанию системы видеонаблюдения в здании государственного казенного учреждения Центр занятости населения Рязанской области</v>
      </c>
      <c r="G15783" s="22" t="s">
        <v>186</v>
      </c>
      <c r="H15783" s="22" t="s">
        <v>187</v>
      </c>
      <c r="I15783" s="26">
        <v>43502</v>
      </c>
      <c r="J15783" s="23" t="str">
        <f>HYPERLINK("https://www.spark-marketing.ru/Card/Person/6498793", "Иванов Максим Николаевич")</f>
        <v>Иванов Максим Николаевич</v>
      </c>
      <c r="K15783" s="24" t="s">
        <v>18079</v>
      </c>
      <c r="L15783" s="28" t="s">
        <v>52</v>
      </c>
      <c r="M15783" s="25">
        <v>136354.29</v>
      </c>
      <c r="N15783" s="27">
        <v>0.14242584905660377</v>
      </c>
    </row>
    <row r="15784" spans="1:14" hidden="1" outlineLevel="1" x14ac:dyDescent="0.2">
      <c r="A15784" s="23" t="str">
        <f t="shared" si="829"/>
        <v>ГКУ ЦЗН РО</v>
      </c>
      <c r="B15784" s="24" t="s">
        <v>18075</v>
      </c>
      <c r="C15784" s="25">
        <v>159000</v>
      </c>
      <c r="D15784" s="22" t="s">
        <v>18076</v>
      </c>
      <c r="E15784" s="22" t="s">
        <v>103</v>
      </c>
      <c r="F15784" s="23" t="str">
        <f t="shared" si="830"/>
        <v>Оказание услуг по монтажу и техническому обслуживанию системы видеонаблюдения в здании государственного казенного учреждения Центр занятости населения Рязанской области</v>
      </c>
      <c r="G15784" s="22" t="s">
        <v>186</v>
      </c>
      <c r="H15784" s="22" t="s">
        <v>187</v>
      </c>
      <c r="I15784" s="26">
        <v>43502</v>
      </c>
      <c r="J15784" s="23" t="str">
        <f>HYPERLINK("https://www.spark-marketing.ru/Card/Person/1467751", "ООО ""НОВЫЙ ФОРМАТ""")</f>
        <v>ООО "НОВЫЙ ФОРМАТ"</v>
      </c>
      <c r="K15784" s="24" t="s">
        <v>8378</v>
      </c>
      <c r="L15784" s="28" t="s">
        <v>52</v>
      </c>
      <c r="M15784" s="25">
        <v>137149.29</v>
      </c>
      <c r="N15784" s="27">
        <v>0.13742584905660377</v>
      </c>
    </row>
    <row r="15785" spans="1:14" x14ac:dyDescent="0.15">
      <c r="A15785" s="23" t="str">
        <f>HYPERLINK("https://www.spark-marketing.ru/Card/Person/10954", "УПРАВЛЕНИЕ СПЕЦИАЛЬНОЙ СВЯЗИ И ИНФОРМАЦИИ ФЕДЕРАЛЬНОЙ СЛУЖБЫ ОХРАНЫ РОССИЙСКОЙ ФЕДЕРАЦИИ В УРАЛЬСКОМ ФЕДЕРАЛЬНОМ ОКРУГЕ")</f>
        <v>УПРАВЛЕНИЕ СПЕЦИАЛЬНОЙ СВЯЗИ И ИНФОРМАЦИИ ФЕДЕРАЛЬНОЙ СЛУЖБЫ ОХРАНЫ РОССИЙСКОЙ ФЕДЕРАЦИИ В УРАЛЬСКОМ ФЕДЕРАЛЬНОМ ОКРУГЕ</v>
      </c>
      <c r="B15785" s="24" t="s">
        <v>7458</v>
      </c>
      <c r="C15785" s="25">
        <v>20000</v>
      </c>
      <c r="D15785" s="22" t="s">
        <v>18080</v>
      </c>
      <c r="E15785" s="22" t="s">
        <v>68</v>
      </c>
      <c r="F15785" s="23" t="str">
        <f>HYPERLINK("https://www.spark-marketing.ru/Card/Lot/67729868", "Оказание услуг по охране имущества при его транспортировке")</f>
        <v>Оказание услуг по охране имущества при его транспортировке</v>
      </c>
      <c r="G15785" s="22" t="s">
        <v>7460</v>
      </c>
      <c r="H15785" s="22" t="s">
        <v>7460</v>
      </c>
      <c r="I15785" s="26">
        <v>43502</v>
      </c>
      <c r="J15785" s="28" t="s">
        <v>52</v>
      </c>
      <c r="K15785" s="28" t="s">
        <v>52</v>
      </c>
      <c r="L15785" s="28" t="s">
        <v>52</v>
      </c>
      <c r="M15785" s="28" t="s">
        <v>52</v>
      </c>
      <c r="N15785" s="28" t="s">
        <v>52</v>
      </c>
    </row>
    <row r="15786" spans="1:14" x14ac:dyDescent="0.15">
      <c r="A15786" s="23" t="str">
        <f>HYPERLINK("https://www.spark-marketing.ru/Card/Person/857", "КУ ВО ""ГРАЖДАНСКАЯ ОБОРОНА, ЗАЩИТА НАСЕЛЕНИЯ И ПОЖАРНАЯ БЕЗОПАСНОСТЬ ВОРОНЕЖСКОЙ ОБЛАСТИ""")</f>
        <v>КУ ВО "ГРАЖДАНСКАЯ ОБОРОНА, ЗАЩИТА НАСЕЛЕНИЯ И ПОЖАРНАЯ БЕЗОПАСНОСТЬ ВОРОНЕЖСКОЙ ОБЛАСТИ"</v>
      </c>
      <c r="B15786" s="24" t="s">
        <v>18081</v>
      </c>
      <c r="C15786" s="25">
        <v>150000</v>
      </c>
      <c r="D15786" s="22" t="s">
        <v>18082</v>
      </c>
      <c r="E15786" s="22" t="s">
        <v>218</v>
      </c>
      <c r="F15786" s="23" t="str">
        <f>HYPERLINK("https://www.spark-marketing.ru/Card/Lot/67736990", "Разработка плана транспортной безопасности.")</f>
        <v>Разработка плана транспортной безопасности.</v>
      </c>
      <c r="G15786" s="22" t="s">
        <v>552</v>
      </c>
      <c r="H15786" s="22" t="s">
        <v>886</v>
      </c>
      <c r="I15786" s="26">
        <v>43502</v>
      </c>
      <c r="J15786" s="28" t="s">
        <v>52</v>
      </c>
      <c r="K15786" s="28" t="s">
        <v>52</v>
      </c>
      <c r="L15786" s="28" t="s">
        <v>52</v>
      </c>
      <c r="M15786" s="28" t="s">
        <v>52</v>
      </c>
      <c r="N15786" s="28" t="s">
        <v>52</v>
      </c>
    </row>
    <row r="15787" spans="1:14" hidden="1" outlineLevel="1" x14ac:dyDescent="0.2">
      <c r="A15787" s="23" t="str">
        <f>HYPERLINK("https://www.spark-marketing.ru/Card/Person/857", "КУ ВО ""ГРАЖДАНСКАЯ ОБОРОНА, ЗАЩИТА НАСЕЛЕНИЯ И ПОЖАРНАЯ БЕЗОПАСНОСТЬ ВОРОНЕЖСКОЙ ОБЛАСТИ""")</f>
        <v>КУ ВО "ГРАЖДАНСКАЯ ОБОРОНА, ЗАЩИТА НАСЕЛЕНИЯ И ПОЖАРНАЯ БЕЗОПАСНОСТЬ ВОРОНЕЖСКОЙ ОБЛАСТИ"</v>
      </c>
      <c r="B15787" s="24" t="s">
        <v>18081</v>
      </c>
      <c r="C15787" s="25">
        <v>150000</v>
      </c>
      <c r="D15787" s="22" t="s">
        <v>18082</v>
      </c>
      <c r="E15787" s="22" t="s">
        <v>218</v>
      </c>
      <c r="F15787" s="23" t="str">
        <f>HYPERLINK("https://www.spark-marketing.ru/Card/Lot/67736990", "Разработка плана транспортной безопасности.")</f>
        <v>Разработка плана транспортной безопасности.</v>
      </c>
      <c r="G15787" s="22" t="s">
        <v>552</v>
      </c>
      <c r="H15787" s="22" t="s">
        <v>886</v>
      </c>
      <c r="I15787" s="26">
        <v>43502</v>
      </c>
      <c r="J15787" s="23" t="str">
        <f>HYPERLINK("https://www.spark-marketing.ru/Card/Person/942173", "ООО ""ТРАНСБЮРО""")</f>
        <v>ООО "ТРАНСБЮРО"</v>
      </c>
      <c r="K15787" s="24" t="s">
        <v>18083</v>
      </c>
      <c r="L15787" s="28" t="s">
        <v>52</v>
      </c>
      <c r="M15787" s="25">
        <v>118000</v>
      </c>
      <c r="N15787" s="27">
        <v>0.21333333333333335</v>
      </c>
    </row>
    <row r="15788" spans="1:14" hidden="1" outlineLevel="1" x14ac:dyDescent="0.2">
      <c r="A15788" s="23" t="str">
        <f>HYPERLINK("https://www.spark-marketing.ru/Card/Person/857", "КУ ВО ""ГРАЖДАНСКАЯ ОБОРОНА, ЗАЩИТА НАСЕЛЕНИЯ И ПОЖАРНАЯ БЕЗОПАСНОСТЬ ВОРОНЕЖСКОЙ ОБЛАСТИ""")</f>
        <v>КУ ВО "ГРАЖДАНСКАЯ ОБОРОНА, ЗАЩИТА НАСЕЛЕНИЯ И ПОЖАРНАЯ БЕЗОПАСНОСТЬ ВОРОНЕЖСКОЙ ОБЛАСТИ"</v>
      </c>
      <c r="B15788" s="24" t="s">
        <v>18081</v>
      </c>
      <c r="C15788" s="25">
        <v>150000</v>
      </c>
      <c r="D15788" s="22" t="s">
        <v>18082</v>
      </c>
      <c r="E15788" s="22" t="s">
        <v>218</v>
      </c>
      <c r="F15788" s="23" t="str">
        <f>HYPERLINK("https://www.spark-marketing.ru/Card/Lot/67736990", "Разработка плана транспортной безопасности.")</f>
        <v>Разработка плана транспортной безопасности.</v>
      </c>
      <c r="G15788" s="22" t="s">
        <v>552</v>
      </c>
      <c r="H15788" s="22" t="s">
        <v>886</v>
      </c>
      <c r="I15788" s="26">
        <v>43502</v>
      </c>
      <c r="J15788" s="23" t="str">
        <f>HYPERLINK("https://www.spark-marketing.ru/Card/Person/1668697", "ООО ""КСБ-КРЫМ""")</f>
        <v>ООО "КСБ-КРЫМ"</v>
      </c>
      <c r="K15788" s="24" t="s">
        <v>14038</v>
      </c>
      <c r="L15788" s="28" t="s">
        <v>52</v>
      </c>
      <c r="M15788" s="25">
        <v>90000</v>
      </c>
      <c r="N15788" s="27">
        <v>0.4</v>
      </c>
    </row>
    <row r="15789" spans="1:14" ht="12.75" hidden="1" outlineLevel="1" x14ac:dyDescent="0.2">
      <c r="A15789" s="23" t="str">
        <f>HYPERLINK("https://www.spark-marketing.ru/Card/Person/857", "КУ ВО ""ГРАЖДАНСКАЯ ОБОРОНА, ЗАЩИТА НАСЕЛЕНИЯ И ПОЖАРНАЯ БЕЗОПАСНОСТЬ ВОРОНЕЖСКОЙ ОБЛАСТИ""")</f>
        <v>КУ ВО "ГРАЖДАНСКАЯ ОБОРОНА, ЗАЩИТА НАСЕЛЕНИЯ И ПОЖАРНАЯ БЕЗОПАСНОСТЬ ВОРОНЕЖСКОЙ ОБЛАСТИ"</v>
      </c>
      <c r="B15789" s="24" t="s">
        <v>18081</v>
      </c>
      <c r="C15789" s="25">
        <v>150000</v>
      </c>
      <c r="D15789" s="22" t="s">
        <v>18082</v>
      </c>
      <c r="E15789" s="22" t="s">
        <v>218</v>
      </c>
      <c r="F15789" s="23" t="str">
        <f>HYPERLINK("https://www.spark-marketing.ru/Card/Lot/67736990", "Разработка плана транспортной безопасности.")</f>
        <v>Разработка плана транспортной безопасности.</v>
      </c>
      <c r="G15789" s="22" t="s">
        <v>552</v>
      </c>
      <c r="H15789" s="22" t="s">
        <v>886</v>
      </c>
      <c r="I15789" s="26">
        <v>43502</v>
      </c>
      <c r="J15789" s="23" t="str">
        <f>HYPERLINK("https://www.spark-marketing.ru/Card/Person/81571", "ООО ""СО ""АНТИТЕРРОР""")</f>
        <v>ООО "СО "АНТИТЕРРОР"</v>
      </c>
      <c r="K15789" s="24" t="s">
        <v>3384</v>
      </c>
      <c r="L15789" s="22" t="s">
        <v>10</v>
      </c>
      <c r="M15789" s="25">
        <v>70000</v>
      </c>
      <c r="N15789" s="27">
        <v>0.53333333333333333</v>
      </c>
    </row>
    <row r="15790" spans="1:14" x14ac:dyDescent="0.15">
      <c r="A15790" s="23" t="str">
        <f>HYPERLINK("https://www.spark-marketing.ru/Card/Person/27567", "БУЗ ВО ""ПОВОРИНСКАЯ РБ""")</f>
        <v>БУЗ ВО "ПОВОРИНСКАЯ РБ"</v>
      </c>
      <c r="B15790" s="24" t="s">
        <v>18084</v>
      </c>
      <c r="C15790" s="25">
        <v>618615.21</v>
      </c>
      <c r="D15790" s="22" t="s">
        <v>18085</v>
      </c>
      <c r="E15790" s="22" t="s">
        <v>349</v>
      </c>
      <c r="F15790" s="23" t="str">
        <f>HYPERLINK("https://www.spark-marketing.ru/Card/Lot/67750753", "Оказание услуг по охране объектов")</f>
        <v>Оказание услуг по охране объектов</v>
      </c>
      <c r="G15790" s="22" t="s">
        <v>552</v>
      </c>
      <c r="H15790" s="22" t="s">
        <v>18086</v>
      </c>
      <c r="I15790" s="26">
        <v>43502</v>
      </c>
      <c r="J15790" s="28" t="s">
        <v>52</v>
      </c>
      <c r="K15790" s="28" t="s">
        <v>52</v>
      </c>
      <c r="L15790" s="28" t="s">
        <v>52</v>
      </c>
      <c r="M15790" s="28" t="s">
        <v>52</v>
      </c>
      <c r="N15790" s="28" t="s">
        <v>52</v>
      </c>
    </row>
    <row r="15791" spans="1:14" x14ac:dyDescent="0.15">
      <c r="A15791" s="23" t="str">
        <f>HYPERLINK("https://www.spark-marketing.ru/Card/Person/32892", "АДМИНИСТРАЦИЯ ЛЕСОЗАВОДСКОГО ГОРОДСКОГО ОКРУГА")</f>
        <v>АДМИНИСТРАЦИЯ ЛЕСОЗАВОДСКОГО ГОРОДСКОГО ОКРУГА</v>
      </c>
      <c r="B15791" s="24" t="s">
        <v>18087</v>
      </c>
      <c r="C15791" s="25">
        <v>98725.2</v>
      </c>
      <c r="D15791" s="22" t="s">
        <v>18088</v>
      </c>
      <c r="E15791" s="22" t="s">
        <v>68</v>
      </c>
      <c r="F15791" s="23" t="str">
        <f>HYPERLINK("https://www.spark-marketing.ru/Card/Lot/67728710", "На оказание услуг вневедомственной охраны по централизованной охране объектов")</f>
        <v>На оказание услуг вневедомственной охраны по централизованной охране объектов</v>
      </c>
      <c r="G15791" s="22" t="s">
        <v>409</v>
      </c>
      <c r="H15791" s="22" t="s">
        <v>10625</v>
      </c>
      <c r="I15791" s="26">
        <v>43502</v>
      </c>
      <c r="J15791" s="28" t="s">
        <v>52</v>
      </c>
      <c r="K15791" s="28" t="s">
        <v>52</v>
      </c>
      <c r="L15791" s="28" t="s">
        <v>52</v>
      </c>
      <c r="M15791" s="28" t="s">
        <v>52</v>
      </c>
      <c r="N15791" s="28" t="s">
        <v>52</v>
      </c>
    </row>
    <row r="15792" spans="1:14" x14ac:dyDescent="0.15">
      <c r="A15792" s="23" t="str">
        <f>HYPERLINK("https://www.spark-marketing.ru/Card/Person/149338", "МБДОУ ""ДЕТСКИЙ САД ОБЩЕРАЗВИВАЮЩЕГО ВИДА №13"" НМР РТ")</f>
        <v>МБДОУ "ДЕТСКИЙ САД ОБЩЕРАЗВИВАЮЩЕГО ВИДА №13" НМР РТ</v>
      </c>
      <c r="B15792" s="24" t="s">
        <v>15101</v>
      </c>
      <c r="C15792" s="25">
        <v>4140</v>
      </c>
      <c r="D15792" s="22" t="s">
        <v>18089</v>
      </c>
      <c r="E15792" s="22" t="s">
        <v>53</v>
      </c>
      <c r="F15792" s="23" t="str">
        <f>HYPERLINK("https://www.spark-marketing.ru/Card/Lot/73661999", "Техническое обслуживание системы видеонаблюдения")</f>
        <v>Техническое обслуживание системы видеонаблюдения</v>
      </c>
      <c r="G15792" s="22" t="s">
        <v>204</v>
      </c>
      <c r="H15792" s="22" t="s">
        <v>824</v>
      </c>
      <c r="I15792" s="26">
        <v>43502.338194444397</v>
      </c>
      <c r="J15792" s="28" t="s">
        <v>52</v>
      </c>
      <c r="K15792" s="28" t="s">
        <v>52</v>
      </c>
      <c r="L15792" s="28" t="s">
        <v>52</v>
      </c>
      <c r="M15792" s="28" t="s">
        <v>52</v>
      </c>
      <c r="N15792" s="28" t="s">
        <v>52</v>
      </c>
    </row>
    <row r="15793" spans="1:14" x14ac:dyDescent="0.15">
      <c r="A15793" s="23" t="str">
        <f>HYPERLINK("https://www.spark-marketing.ru/Card/Person/28614", "МЕЖРАЙОННАЯ ИФНС РОССИИ № 14 ПО ВОРОНЕЖСКОЙ ОБЛАСТИ")</f>
        <v>МЕЖРАЙОННАЯ ИФНС РОССИИ № 14 ПО ВОРОНЕЖСКОЙ ОБЛАСТИ</v>
      </c>
      <c r="B15793" s="24" t="s">
        <v>17835</v>
      </c>
      <c r="C15793" s="25">
        <v>16961.490000000002</v>
      </c>
      <c r="D15793" s="22" t="s">
        <v>18090</v>
      </c>
      <c r="E15793" s="22" t="s">
        <v>68</v>
      </c>
      <c r="F15793" s="23" t="str">
        <f>HYPERLINK("https://www.spark-marketing.ru/Card/Lot/67747655", "сигнал ""тревога""")</f>
        <v>сигнал "тревога"</v>
      </c>
      <c r="G15793" s="22" t="s">
        <v>552</v>
      </c>
      <c r="H15793" s="22" t="s">
        <v>552</v>
      </c>
      <c r="I15793" s="26">
        <v>43502</v>
      </c>
      <c r="J15793" s="28" t="s">
        <v>52</v>
      </c>
      <c r="K15793" s="28" t="s">
        <v>52</v>
      </c>
      <c r="L15793" s="28" t="s">
        <v>52</v>
      </c>
      <c r="M15793" s="28" t="s">
        <v>52</v>
      </c>
      <c r="N15793" s="28" t="s">
        <v>52</v>
      </c>
    </row>
    <row r="15794" spans="1:14" x14ac:dyDescent="0.15">
      <c r="A15794" s="23" t="str">
        <f>HYPERLINK("https://www.spark-marketing.ru/Card/Person/131828", "МЕЖРАЙОННАЯ ИФНС РОССИИ № 4 ПО ВОРОНЕЖСКОЙ ОБЛАСТИ")</f>
        <v>МЕЖРАЙОННАЯ ИФНС РОССИИ № 4 ПО ВОРОНЕЖСКОЙ ОБЛАСТИ</v>
      </c>
      <c r="B15794" s="24" t="s">
        <v>18091</v>
      </c>
      <c r="C15794" s="25">
        <v>23609.4</v>
      </c>
      <c r="D15794" s="22" t="s">
        <v>18092</v>
      </c>
      <c r="E15794" s="22" t="s">
        <v>68</v>
      </c>
      <c r="F15794" s="23" t="str">
        <f>HYPERLINK("https://www.spark-marketing.ru/Card/Lot/67737353", "Централизованная охрана объектов инспекции (ПЦН) ТОРМ №2")</f>
        <v>Централизованная охрана объектов инспекции (ПЦН) ТОРМ №2</v>
      </c>
      <c r="G15794" s="22" t="s">
        <v>552</v>
      </c>
      <c r="H15794" s="22" t="s">
        <v>18093</v>
      </c>
      <c r="I15794" s="26">
        <v>43502</v>
      </c>
      <c r="J15794" s="28" t="s">
        <v>52</v>
      </c>
      <c r="K15794" s="28" t="s">
        <v>52</v>
      </c>
      <c r="L15794" s="28" t="s">
        <v>52</v>
      </c>
      <c r="M15794" s="28" t="s">
        <v>52</v>
      </c>
      <c r="N15794" s="28" t="s">
        <v>52</v>
      </c>
    </row>
    <row r="15795" spans="1:14" x14ac:dyDescent="0.15">
      <c r="A15795" s="23" t="str">
        <f>HYPERLINK("https://www.spark-marketing.ru/Card/Person/81655", "МЕЖРАЙОННАЯ ИФНС РОССИИ № 2 ПО АМУРСКОЙ ОБЛАСТИ")</f>
        <v>МЕЖРАЙОННАЯ ИФНС РОССИИ № 2 ПО АМУРСКОЙ ОБЛАСТИ</v>
      </c>
      <c r="B15795" s="24" t="s">
        <v>5591</v>
      </c>
      <c r="C15795" s="25">
        <v>451986.56</v>
      </c>
      <c r="D15795" s="22" t="s">
        <v>18094</v>
      </c>
      <c r="E15795" s="22" t="s">
        <v>68</v>
      </c>
      <c r="F15795" s="23" t="str">
        <f>HYPERLINK("https://www.spark-marketing.ru/Card/Lot/67735410", "охрана объектов")</f>
        <v>охрана объектов</v>
      </c>
      <c r="G15795" s="22" t="s">
        <v>230</v>
      </c>
      <c r="H15795" s="22" t="s">
        <v>18095</v>
      </c>
      <c r="I15795" s="26">
        <v>43502</v>
      </c>
      <c r="J15795" s="23" t="str">
        <f>HYPERLINK("https://www.spark-marketing.ru/Card/Person/10487", "ФГУП ""ОХРАНА"" РОСГВАРДИИ")</f>
        <v>ФГУП "ОХРАНА" РОСГВАРДИИ</v>
      </c>
      <c r="K15795" s="24" t="s">
        <v>779</v>
      </c>
      <c r="L15795" s="22" t="s">
        <v>10</v>
      </c>
      <c r="M15795" s="28" t="s">
        <v>52</v>
      </c>
      <c r="N15795" s="28" t="s">
        <v>52</v>
      </c>
    </row>
    <row r="15796" spans="1:14" x14ac:dyDescent="0.15">
      <c r="A15796" s="23" t="str">
        <f>HYPERLINK("https://www.spark-marketing.ru/Card/Person/4377999", "ГБУ РК ""ЦСО Г. ЯЛТЫ""")</f>
        <v>ГБУ РК "ЦСО Г. ЯЛТЫ"</v>
      </c>
      <c r="B15796" s="24" t="s">
        <v>18096</v>
      </c>
      <c r="C15796" s="25">
        <v>156750</v>
      </c>
      <c r="D15796" s="22" t="s">
        <v>18097</v>
      </c>
      <c r="E15796" s="22" t="s">
        <v>68</v>
      </c>
      <c r="F15796" s="23" t="str">
        <f>HYPERLINK("https://www.spark-marketing.ru/Card/Lot/67751403", "Оказание услуг централизованной пультовой охраны в зданиях с помощью кнопки тревожной сигнализации и пульта централизованного наблюдения")</f>
        <v>Оказание услуг централизованной пультовой охраны в зданиях с помощью кнопки тревожной сигнализации и пульта централизованного наблюдения</v>
      </c>
      <c r="G15796" s="22" t="s">
        <v>1053</v>
      </c>
      <c r="H15796" s="22" t="s">
        <v>3247</v>
      </c>
      <c r="I15796" s="26">
        <v>43502</v>
      </c>
      <c r="J15796" s="23" t="str">
        <f>HYPERLINK("https://www.spark-marketing.ru/Card/Person/907701", "ООО ЧОО ""НЕВА-1""")</f>
        <v>ООО ЧОО "НЕВА-1"</v>
      </c>
      <c r="K15796" s="24" t="s">
        <v>18098</v>
      </c>
      <c r="L15796" s="22" t="s">
        <v>10</v>
      </c>
      <c r="M15796" s="28" t="s">
        <v>52</v>
      </c>
      <c r="N15796" s="28" t="s">
        <v>52</v>
      </c>
    </row>
    <row r="15797" spans="1:14" x14ac:dyDescent="0.15">
      <c r="A15797" s="23" t="str">
        <f>HYPERLINK("https://www.spark-marketing.ru/Card/Person/1073051", "ФБУ ПЕРМСКАЯ ЛСЭ МИНЮСТА РОССИИ")</f>
        <v>ФБУ ПЕРМСКАЯ ЛСЭ МИНЮСТА РОССИИ</v>
      </c>
      <c r="B15797" s="24" t="s">
        <v>18099</v>
      </c>
      <c r="C15797" s="25">
        <v>157680</v>
      </c>
      <c r="D15797" s="22" t="s">
        <v>18100</v>
      </c>
      <c r="E15797" s="22" t="s">
        <v>68</v>
      </c>
      <c r="F15797" s="23" t="str">
        <f>HYPERLINK("https://www.spark-marketing.ru/Card/Lot/67728067", "Оказание услуг охраны объектов с помощью кнопки тревожной сигнализации в 2019 году")</f>
        <v>Оказание услуг охраны объектов с помощью кнопки тревожной сигнализации в 2019 году</v>
      </c>
      <c r="G15797" s="22" t="s">
        <v>391</v>
      </c>
      <c r="H15797" s="22" t="s">
        <v>392</v>
      </c>
      <c r="I15797" s="26">
        <v>43502</v>
      </c>
      <c r="J15797" s="28" t="s">
        <v>52</v>
      </c>
      <c r="K15797" s="28" t="s">
        <v>52</v>
      </c>
      <c r="L15797" s="28" t="s">
        <v>52</v>
      </c>
      <c r="M15797" s="28" t="s">
        <v>52</v>
      </c>
      <c r="N15797" s="28" t="s">
        <v>52</v>
      </c>
    </row>
    <row r="15798" spans="1:14" x14ac:dyDescent="0.15">
      <c r="A15798" s="23" t="str">
        <f>HYPERLINK("https://www.spark-marketing.ru/Card/Person/15752", "САНАТОРИЙ ""ЭЛЕКТРОНИКА"" ФТС РОССИИ")</f>
        <v>САНАТОРИЙ "ЭЛЕКТРОНИКА" ФТС РОССИИ</v>
      </c>
      <c r="B15798" s="24" t="s">
        <v>18101</v>
      </c>
      <c r="C15798" s="25">
        <v>607362.03</v>
      </c>
      <c r="D15798" s="22" t="s">
        <v>18102</v>
      </c>
      <c r="E15798" s="22" t="s">
        <v>107</v>
      </c>
      <c r="F15798" s="23" t="str">
        <f>HYPERLINK("https://www.spark-marketing.ru/Card/Lot/67749954", "Работы по техническому обслуживанию систем видеонаблюдения и контроля доступа")</f>
        <v>Работы по техническому обслуживанию систем видеонаблюдения и контроля доступа</v>
      </c>
      <c r="G15798" s="22" t="s">
        <v>258</v>
      </c>
      <c r="H15798" s="22" t="s">
        <v>259</v>
      </c>
      <c r="I15798" s="26">
        <v>43502</v>
      </c>
      <c r="J15798" s="23" t="str">
        <f>HYPERLINK("https://www.spark-marketing.ru/Card/Person/961455", "Бережной Сергей Павлович")</f>
        <v>Бережной Сергей Павлович</v>
      </c>
      <c r="K15798" s="24" t="s">
        <v>18103</v>
      </c>
      <c r="L15798" s="28" t="s">
        <v>52</v>
      </c>
      <c r="M15798" s="28" t="s">
        <v>52</v>
      </c>
      <c r="N15798" s="28" t="s">
        <v>52</v>
      </c>
    </row>
    <row r="15799" spans="1:14" hidden="1" outlineLevel="1" x14ac:dyDescent="0.15">
      <c r="A15799" s="23" t="str">
        <f>HYPERLINK("https://www.spark-marketing.ru/Card/Person/15752", "САНАТОРИЙ ""ЭЛЕКТРОНИКА"" ФТС РОССИИ")</f>
        <v>САНАТОРИЙ "ЭЛЕКТРОНИКА" ФТС РОССИИ</v>
      </c>
      <c r="B15799" s="24" t="s">
        <v>18101</v>
      </c>
      <c r="C15799" s="25">
        <v>607362.03</v>
      </c>
      <c r="D15799" s="22" t="s">
        <v>18102</v>
      </c>
      <c r="E15799" s="22" t="s">
        <v>107</v>
      </c>
      <c r="F15799" s="23" t="str">
        <f>HYPERLINK("https://www.spark-marketing.ru/Card/Lot/67749954", "Работы по техническому обслуживанию систем видеонаблюдения и контроля доступа")</f>
        <v>Работы по техническому обслуживанию систем видеонаблюдения и контроля доступа</v>
      </c>
      <c r="G15799" s="22" t="s">
        <v>258</v>
      </c>
      <c r="H15799" s="22" t="s">
        <v>259</v>
      </c>
      <c r="I15799" s="26">
        <v>43502</v>
      </c>
      <c r="J15799" s="23" t="str">
        <f>HYPERLINK("https://www.spark-marketing.ru/Card/Person/961455", "Бережной Сергей Павлович")</f>
        <v>Бережной Сергей Павлович</v>
      </c>
      <c r="K15799" s="24" t="s">
        <v>18103</v>
      </c>
      <c r="L15799" s="22" t="s">
        <v>10</v>
      </c>
      <c r="M15799" s="28" t="s">
        <v>52</v>
      </c>
      <c r="N15799" s="28" t="s">
        <v>52</v>
      </c>
    </row>
    <row r="15800" spans="1:14" x14ac:dyDescent="0.15">
      <c r="A15800" s="23" t="str">
        <f>HYPERLINK("https://www.spark-marketing.ru/Card/Person/131828", "МЕЖРАЙОННАЯ ИФНС РОССИИ № 4 ПО ВОРОНЕЖСКОЙ ОБЛАСТИ")</f>
        <v>МЕЖРАЙОННАЯ ИФНС РОССИИ № 4 ПО ВОРОНЕЖСКОЙ ОБЛАСТИ</v>
      </c>
      <c r="B15800" s="24" t="s">
        <v>18091</v>
      </c>
      <c r="C15800" s="25">
        <v>78182.52</v>
      </c>
      <c r="D15800" s="22" t="s">
        <v>18104</v>
      </c>
      <c r="E15800" s="22" t="s">
        <v>68</v>
      </c>
      <c r="F15800" s="23" t="str">
        <f>HYPERLINK("https://www.spark-marketing.ru/Card/Lot/67737346", "Централизованная охрана объектов инспекции (ПЦН) ТОРМ №3")</f>
        <v>Централизованная охрана объектов инспекции (ПЦН) ТОРМ №3</v>
      </c>
      <c r="G15800" s="22" t="s">
        <v>552</v>
      </c>
      <c r="H15800" s="22" t="s">
        <v>18105</v>
      </c>
      <c r="I15800" s="26">
        <v>43502</v>
      </c>
      <c r="J15800" s="28" t="s">
        <v>52</v>
      </c>
      <c r="K15800" s="28" t="s">
        <v>52</v>
      </c>
      <c r="L15800" s="28" t="s">
        <v>52</v>
      </c>
      <c r="M15800" s="28" t="s">
        <v>52</v>
      </c>
      <c r="N15800" s="28" t="s">
        <v>52</v>
      </c>
    </row>
    <row r="15801" spans="1:14" x14ac:dyDescent="0.15">
      <c r="A15801" s="23" t="str">
        <f>HYPERLINK("https://www.spark-marketing.ru/Card/Person/27662", "АДМИНИСТРАЦИЯ КУРГАНИНСКОГО ГОРОДСКОГО ПОСЕЛЕНИЯ КУРГАНИНСКОГО РАЙОНА")</f>
        <v>АДМИНИСТРАЦИЯ КУРГАНИНСКОГО ГОРОДСКОГО ПОСЕЛЕНИЯ КУРГАНИНСКОГО РАЙОНА</v>
      </c>
      <c r="B15801" s="24" t="s">
        <v>14579</v>
      </c>
      <c r="C15801" s="25">
        <v>468582</v>
      </c>
      <c r="D15801" s="22" t="s">
        <v>18106</v>
      </c>
      <c r="E15801" s="22" t="s">
        <v>59</v>
      </c>
      <c r="F15801" s="23" t="str">
        <f>HYPERLINK("https://www.spark-marketing.ru/Card/Lot/67736773", "Содержание автомобильных дорог общего пользования местного значения (установка светофорного объекта) на пересечении ул. Мира и ул. Матросова в г. Курганинске")</f>
        <v>Содержание автомобильных дорог общего пользования местного значения (установка светофорного объекта) на пересечении ул. Мира и ул. Матросова в г. Курганинске</v>
      </c>
      <c r="G15801" s="22" t="s">
        <v>132</v>
      </c>
      <c r="H15801" s="22" t="s">
        <v>132</v>
      </c>
      <c r="I15801" s="26">
        <v>43502</v>
      </c>
      <c r="J15801" s="23" t="str">
        <f>HYPERLINK("https://www.spark-marketing.ru/Card/Person/127376", "Ермак Борис Алексеевич")</f>
        <v>Ермак Борис Алексеевич</v>
      </c>
      <c r="K15801" s="24" t="s">
        <v>14581</v>
      </c>
      <c r="L15801" s="22" t="s">
        <v>10</v>
      </c>
      <c r="M15801" s="28" t="s">
        <v>52</v>
      </c>
      <c r="N15801" s="28" t="s">
        <v>52</v>
      </c>
    </row>
    <row r="15802" spans="1:14" x14ac:dyDescent="0.15">
      <c r="A15802" s="23" t="str">
        <f>HYPERLINK("https://www.spark-marketing.ru/Card/Person/6450322", "ЗАКАЗЧИК РП БЕЛАРУСЬ")</f>
        <v>ЗАКАЗЧИК РП БЕЛАРУСЬ</v>
      </c>
      <c r="B15802" s="28" t="s">
        <v>52</v>
      </c>
      <c r="C15802" s="25">
        <v>1428720.1</v>
      </c>
      <c r="D15802" s="22" t="s">
        <v>18056</v>
      </c>
      <c r="E15802" s="22" t="s">
        <v>53</v>
      </c>
      <c r="F15802" s="23" t="str">
        <f>HYPERLINK("https://www.spark-marketing.ru/Card/Lot/67753638", "Выносной модуль сопряжения для передачи извещений об изменении состояния ППК на ПЦН по GSM каналу связи (в составе СПИ АСОС «Алеся» или «Новатех-РДО»)")</f>
        <v>Выносной модуль сопряжения для передачи извещений об изменении состояния ППК на ПЦН по GSM каналу связи (в составе СПИ АСОС «Алеся» или «Новатех-РДО»)</v>
      </c>
      <c r="G15802" s="22" t="s">
        <v>52</v>
      </c>
      <c r="H15802" s="22" t="s">
        <v>52</v>
      </c>
      <c r="I15802" s="26">
        <v>43502</v>
      </c>
      <c r="J15802" s="28" t="s">
        <v>52</v>
      </c>
      <c r="K15802" s="28" t="s">
        <v>52</v>
      </c>
      <c r="L15802" s="28" t="s">
        <v>52</v>
      </c>
      <c r="M15802" s="28" t="s">
        <v>52</v>
      </c>
      <c r="N15802" s="28" t="s">
        <v>52</v>
      </c>
    </row>
    <row r="15803" spans="1:14" x14ac:dyDescent="0.15">
      <c r="A15803" s="23" t="str">
        <f>HYPERLINK("https://www.spark-marketing.ru/Card/Person/6208488", "БАЙКАЛЬСКАЯ МЕЖРЕГИОНАЛЬНАЯ ПРИРОДООХРАННАЯ ПРОКУРАТУРА")</f>
        <v>БАЙКАЛЬСКАЯ МЕЖРЕГИОНАЛЬНАЯ ПРИРОДООХРАННАЯ ПРОКУРАТУРА</v>
      </c>
      <c r="B15803" s="24" t="s">
        <v>6928</v>
      </c>
      <c r="C15803" s="25">
        <v>8402.7000000000007</v>
      </c>
      <c r="D15803" s="22" t="s">
        <v>18107</v>
      </c>
      <c r="E15803" s="22" t="s">
        <v>68</v>
      </c>
      <c r="F15803" s="23" t="str">
        <f>HYPERLINK("https://www.spark-marketing.ru/Card/Lot/67724791", "Охрана объектов с помощью средств тревожной сигнализации")</f>
        <v>Охрана объектов с помощью средств тревожной сигнализации</v>
      </c>
      <c r="G15803" s="22" t="s">
        <v>281</v>
      </c>
      <c r="H15803" s="22" t="s">
        <v>281</v>
      </c>
      <c r="I15803" s="26">
        <v>43502</v>
      </c>
      <c r="J15803" s="28" t="s">
        <v>52</v>
      </c>
      <c r="K15803" s="28" t="s">
        <v>52</v>
      </c>
      <c r="L15803" s="28" t="s">
        <v>52</v>
      </c>
      <c r="M15803" s="28" t="s">
        <v>52</v>
      </c>
      <c r="N15803" s="28" t="s">
        <v>52</v>
      </c>
    </row>
    <row r="15804" spans="1:14" x14ac:dyDescent="0.15">
      <c r="A15804" s="23" t="str">
        <f>HYPERLINK("https://www.spark-marketing.ru/Card/Person/148243", "МАДОУ ""ДЕТСКИЙ САД ОБЩЕРАЗВИВАЮЩЕГО ВИДА №74"" НМР РТ")</f>
        <v>МАДОУ "ДЕТСКИЙ САД ОБЩЕРАЗВИВАЮЩЕГО ВИДА №74" НМР РТ</v>
      </c>
      <c r="B15804" s="24" t="s">
        <v>18108</v>
      </c>
      <c r="C15804" s="25">
        <v>5000</v>
      </c>
      <c r="D15804" s="22" t="s">
        <v>18109</v>
      </c>
      <c r="E15804" s="22" t="s">
        <v>53</v>
      </c>
      <c r="F15804" s="23" t="str">
        <f>HYPERLINK("https://www.spark-marketing.ru/Card/Lot/73684456", "Техническое обслуживание системы видеонаблюдения")</f>
        <v>Техническое обслуживание системы видеонаблюдения</v>
      </c>
      <c r="G15804" s="22" t="s">
        <v>204</v>
      </c>
      <c r="H15804" s="22" t="s">
        <v>824</v>
      </c>
      <c r="I15804" s="26">
        <v>43502.386805555601</v>
      </c>
      <c r="J15804" s="28" t="s">
        <v>52</v>
      </c>
      <c r="K15804" s="28" t="s">
        <v>52</v>
      </c>
      <c r="L15804" s="28" t="s">
        <v>52</v>
      </c>
      <c r="M15804" s="28" t="s">
        <v>52</v>
      </c>
      <c r="N15804" s="28" t="s">
        <v>52</v>
      </c>
    </row>
    <row r="15805" spans="1:14" x14ac:dyDescent="0.15">
      <c r="A15805" s="23" t="str">
        <f>HYPERLINK("https://www.spark-marketing.ru/Card/Person/44752", "ПАО БАНК ЗЕНИТ")</f>
        <v>ПАО БАНК ЗЕНИТ</v>
      </c>
      <c r="B15805" s="24" t="s">
        <v>11909</v>
      </c>
      <c r="C15805" s="25">
        <v>0</v>
      </c>
      <c r="D15805" s="22" t="s">
        <v>18110</v>
      </c>
      <c r="E15805" s="22" t="s">
        <v>53</v>
      </c>
      <c r="F15805" s="23" t="str">
        <f>HYPERLINK("https://www.spark-marketing.ru/Card/Lot/67738309", "Оказание охранных услуг.")</f>
        <v>Оказание охранных услуг.</v>
      </c>
      <c r="G15805" s="22" t="s">
        <v>55</v>
      </c>
      <c r="H15805" s="22" t="s">
        <v>55</v>
      </c>
      <c r="I15805" s="26">
        <v>43502</v>
      </c>
      <c r="J15805" s="28" t="s">
        <v>52</v>
      </c>
      <c r="K15805" s="28" t="s">
        <v>52</v>
      </c>
      <c r="L15805" s="28" t="s">
        <v>52</v>
      </c>
      <c r="M15805" s="28" t="s">
        <v>52</v>
      </c>
      <c r="N15805" s="28" t="s">
        <v>52</v>
      </c>
    </row>
    <row r="15806" spans="1:14" x14ac:dyDescent="0.15">
      <c r="A15806" s="23" t="str">
        <f>HYPERLINK("https://www.spark-marketing.ru/Card/Person/28614", "МЕЖРАЙОННАЯ ИФНС РОССИИ № 14 ПО ВОРОНЕЖСКОЙ ОБЛАСТИ")</f>
        <v>МЕЖРАЙОННАЯ ИФНС РОССИИ № 14 ПО ВОРОНЕЖСКОЙ ОБЛАСТИ</v>
      </c>
      <c r="B15806" s="24" t="s">
        <v>17835</v>
      </c>
      <c r="C15806" s="25">
        <v>49923.09</v>
      </c>
      <c r="D15806" s="22" t="s">
        <v>18111</v>
      </c>
      <c r="E15806" s="22" t="s">
        <v>68</v>
      </c>
      <c r="F15806" s="23" t="str">
        <f>HYPERLINK("https://www.spark-marketing.ru/Card/Lot/67747658", "пульт централизованного наблюдения")</f>
        <v>пульт централизованного наблюдения</v>
      </c>
      <c r="G15806" s="22" t="s">
        <v>552</v>
      </c>
      <c r="H15806" s="22" t="s">
        <v>552</v>
      </c>
      <c r="I15806" s="26">
        <v>43502</v>
      </c>
      <c r="J15806" s="28" t="s">
        <v>52</v>
      </c>
      <c r="K15806" s="28" t="s">
        <v>52</v>
      </c>
      <c r="L15806" s="28" t="s">
        <v>52</v>
      </c>
      <c r="M15806" s="28" t="s">
        <v>52</v>
      </c>
      <c r="N15806" s="28" t="s">
        <v>52</v>
      </c>
    </row>
    <row r="15807" spans="1:14" x14ac:dyDescent="0.15">
      <c r="A15807" s="23" t="str">
        <f>HYPERLINK("https://www.spark-marketing.ru/Card/Person/774432", "СО СК РОССИИ В ЗАТО ""МЕЖГОРЬЕ""")</f>
        <v>СО СК РОССИИ В ЗАТО "МЕЖГОРЬЕ"</v>
      </c>
      <c r="B15807" s="24" t="s">
        <v>18112</v>
      </c>
      <c r="C15807" s="25">
        <v>1126427.5</v>
      </c>
      <c r="D15807" s="22" t="s">
        <v>18113</v>
      </c>
      <c r="E15807" s="22" t="s">
        <v>68</v>
      </c>
      <c r="F15807" s="23" t="str">
        <f>HYPERLINK("https://www.spark-marketing.ru/Card/Lot/67727448", "Охранные услуги с помощью поста физической охраны")</f>
        <v>Охранные услуги с помощью поста физической охраны</v>
      </c>
      <c r="G15807" s="22" t="s">
        <v>100</v>
      </c>
      <c r="H15807" s="22" t="s">
        <v>18114</v>
      </c>
      <c r="I15807" s="26">
        <v>43502</v>
      </c>
      <c r="J15807" s="28" t="s">
        <v>52</v>
      </c>
      <c r="K15807" s="28" t="s">
        <v>52</v>
      </c>
      <c r="L15807" s="28" t="s">
        <v>52</v>
      </c>
      <c r="M15807" s="28" t="s">
        <v>52</v>
      </c>
      <c r="N15807" s="28" t="s">
        <v>52</v>
      </c>
    </row>
    <row r="15808" spans="1:14" x14ac:dyDescent="0.15">
      <c r="A15808" s="23" t="str">
        <f>HYPERLINK("https://www.spark-marketing.ru/Card/Person/131828", "МЕЖРАЙОННАЯ ИФНС РОССИИ № 4 ПО ВОРОНЕЖСКОЙ ОБЛАСТИ")</f>
        <v>МЕЖРАЙОННАЯ ИФНС РОССИИ № 4 ПО ВОРОНЕЖСКОЙ ОБЛАСТИ</v>
      </c>
      <c r="B15808" s="24" t="s">
        <v>18091</v>
      </c>
      <c r="C15808" s="25">
        <v>66930.36</v>
      </c>
      <c r="D15808" s="22" t="s">
        <v>18115</v>
      </c>
      <c r="E15808" s="22" t="s">
        <v>68</v>
      </c>
      <c r="F15808" s="23" t="str">
        <f>HYPERLINK("https://www.spark-marketing.ru/Card/Lot/67730535", "Централизованная охрана объектов инспекции (ПЦН) (КТС) ТОРМ №1")</f>
        <v>Централизованная охрана объектов инспекции (ПЦН) (КТС) ТОРМ №1</v>
      </c>
      <c r="G15808" s="22" t="s">
        <v>552</v>
      </c>
      <c r="H15808" s="22" t="s">
        <v>552</v>
      </c>
      <c r="I15808" s="26">
        <v>43502</v>
      </c>
      <c r="J15808" s="28" t="s">
        <v>52</v>
      </c>
      <c r="K15808" s="28" t="s">
        <v>52</v>
      </c>
      <c r="L15808" s="28" t="s">
        <v>52</v>
      </c>
      <c r="M15808" s="28" t="s">
        <v>52</v>
      </c>
      <c r="N15808" s="28" t="s">
        <v>52</v>
      </c>
    </row>
    <row r="15809" spans="1:14" x14ac:dyDescent="0.15">
      <c r="A15809" s="23" t="str">
        <f>HYPERLINK("https://www.spark-marketing.ru/Card/Person/3286782", "ООО «ТЕПЛОПРИБОР».")</f>
        <v>ООО «ТЕПЛОПРИБОР».</v>
      </c>
      <c r="B15809" s="28" t="s">
        <v>52</v>
      </c>
      <c r="C15809" s="28" t="s">
        <v>52</v>
      </c>
      <c r="D15809" s="22" t="s">
        <v>18116</v>
      </c>
      <c r="E15809" s="22" t="s">
        <v>53</v>
      </c>
      <c r="F15809" s="23" t="str">
        <f>HYPERLINK("https://www.spark-marketing.ru/Card/Lot/67742472", "Лот № 1: Разработка проекта установки системы видеонаблюдения (цех на территории станкозавода) для ООО «Точинвест-Строй», расположенного по адресу: г. Рязань, ул. Станкозаводская, д. 7 Лот № 2: Разработка проекта на систему видеонаблюдения для ООО «Т...")</f>
        <v>Лот № 1: Разработка проекта установки системы видеонаблюдения (цех на территории станкозавода) для ООО «Точинвест-Строй», расположенного по адресу: г. Рязань, ул. Станкозаводская, д. 7 Лот № 2: Разработка проекта на систему видеонаблюдения для ООО «Т...</v>
      </c>
      <c r="G15809" s="22" t="s">
        <v>52</v>
      </c>
      <c r="H15809" s="22" t="s">
        <v>52</v>
      </c>
      <c r="I15809" s="26">
        <v>43502</v>
      </c>
      <c r="J15809" s="28" t="s">
        <v>52</v>
      </c>
      <c r="K15809" s="28" t="s">
        <v>52</v>
      </c>
      <c r="L15809" s="28" t="s">
        <v>52</v>
      </c>
      <c r="M15809" s="28" t="s">
        <v>52</v>
      </c>
      <c r="N15809" s="28" t="s">
        <v>52</v>
      </c>
    </row>
    <row r="15810" spans="1:14" x14ac:dyDescent="0.15">
      <c r="A15810" s="23" t="str">
        <f>HYPERLINK("https://www.spark-marketing.ru/Card/Person/28614", "МЕЖРАЙОННАЯ ИФНС РОССИИ № 14 ПО ВОРОНЕЖСКОЙ ОБЛАСТИ")</f>
        <v>МЕЖРАЙОННАЯ ИФНС РОССИИ № 14 ПО ВОРОНЕЖСКОЙ ОБЛАСТИ</v>
      </c>
      <c r="B15810" s="24" t="s">
        <v>17835</v>
      </c>
      <c r="C15810" s="25">
        <v>52384.800000000003</v>
      </c>
      <c r="D15810" s="22" t="s">
        <v>18117</v>
      </c>
      <c r="E15810" s="22" t="s">
        <v>68</v>
      </c>
      <c r="F15810" s="23" t="str">
        <f>HYPERLINK("https://www.spark-marketing.ru/Card/Lot/67747659", "пульт централизованного наблюдения")</f>
        <v>пульт централизованного наблюдения</v>
      </c>
      <c r="G15810" s="22" t="s">
        <v>552</v>
      </c>
      <c r="H15810" s="22" t="s">
        <v>552</v>
      </c>
      <c r="I15810" s="26">
        <v>43502</v>
      </c>
      <c r="J15810" s="28" t="s">
        <v>52</v>
      </c>
      <c r="K15810" s="28" t="s">
        <v>52</v>
      </c>
      <c r="L15810" s="28" t="s">
        <v>52</v>
      </c>
      <c r="M15810" s="28" t="s">
        <v>52</v>
      </c>
      <c r="N15810" s="28" t="s">
        <v>52</v>
      </c>
    </row>
    <row r="15811" spans="1:14" x14ac:dyDescent="0.15">
      <c r="A15811" s="23" t="str">
        <f>HYPERLINK("https://www.spark-marketing.ru/Card/Person/21018", "АДМИНИСТРАЦИЯ КРЫМСКОГО РАЙОНА")</f>
        <v>АДМИНИСТРАЦИЯ КРЫМСКОГО РАЙОНА</v>
      </c>
      <c r="B15811" s="24" t="s">
        <v>18118</v>
      </c>
      <c r="C15811" s="25">
        <v>332963.03999999998</v>
      </c>
      <c r="D15811" s="22" t="s">
        <v>18119</v>
      </c>
      <c r="E15811" s="22" t="s">
        <v>68</v>
      </c>
      <c r="F15811" s="23" t="str">
        <f>HYPERLINK("https://www.spark-marketing.ru/Card/Lot/67730976", "Оказание охранных услуг")</f>
        <v>Оказание охранных услуг</v>
      </c>
      <c r="G15811" s="22" t="s">
        <v>132</v>
      </c>
      <c r="H15811" s="22" t="s">
        <v>132</v>
      </c>
      <c r="I15811" s="26">
        <v>43502</v>
      </c>
      <c r="J15811" s="28" t="s">
        <v>52</v>
      </c>
      <c r="K15811" s="28" t="s">
        <v>52</v>
      </c>
      <c r="L15811" s="28" t="s">
        <v>52</v>
      </c>
      <c r="M15811" s="28" t="s">
        <v>52</v>
      </c>
      <c r="N15811" s="28" t="s">
        <v>52</v>
      </c>
    </row>
    <row r="15812" spans="1:14" x14ac:dyDescent="0.15">
      <c r="A15812" s="23" t="str">
        <f>HYPERLINK("https://www.spark-marketing.ru/Card/Person/1320082", "ГАУ СО ""МИХАЙЛОВСКИЙ ПНИ""")</f>
        <v>ГАУ СО "МИХАЙЛОВСКИЙ ПНИ"</v>
      </c>
      <c r="B15812" s="24" t="s">
        <v>13606</v>
      </c>
      <c r="C15812" s="25">
        <v>72000</v>
      </c>
      <c r="D15812" s="22" t="s">
        <v>18120</v>
      </c>
      <c r="E15812" s="22" t="s">
        <v>9565</v>
      </c>
      <c r="F15812" s="23" t="str">
        <f>HYPERLINK("https://www.spark-marketing.ru/Card/Lot/67719306", "Техническое обслуживание системы видеонаблюдения на ГАУ СО «Михайловский ПНИ»")</f>
        <v>Техническое обслуживание системы видеонаблюдения на ГАУ СО «Михайловский ПНИ»</v>
      </c>
      <c r="G15812" s="22" t="s">
        <v>80</v>
      </c>
      <c r="H15812" s="22" t="s">
        <v>13608</v>
      </c>
      <c r="I15812" s="26">
        <v>43501.722696759301</v>
      </c>
      <c r="J15812" s="28" t="s">
        <v>52</v>
      </c>
      <c r="K15812" s="28" t="s">
        <v>52</v>
      </c>
      <c r="L15812" s="28" t="s">
        <v>52</v>
      </c>
      <c r="M15812" s="28" t="s">
        <v>52</v>
      </c>
      <c r="N15812" s="28" t="s">
        <v>52</v>
      </c>
    </row>
    <row r="15813" spans="1:14" hidden="1" outlineLevel="1" x14ac:dyDescent="0.15">
      <c r="A15813" s="23" t="str">
        <f>HYPERLINK("https://www.spark-marketing.ru/Card/Person/1320082", "ГАУ СО ""МИХАЙЛОВСКИЙ ПНИ""")</f>
        <v>ГАУ СО "МИХАЙЛОВСКИЙ ПНИ"</v>
      </c>
      <c r="B15813" s="24" t="s">
        <v>13606</v>
      </c>
      <c r="C15813" s="28" t="s">
        <v>52</v>
      </c>
      <c r="D15813" s="22" t="s">
        <v>18120</v>
      </c>
      <c r="E15813" s="22" t="s">
        <v>9565</v>
      </c>
      <c r="F15813" s="23" t="str">
        <f>HYPERLINK("https://www.spark-marketing.ru/Card/Lot/67719306", "Техническое обслуживание системы видеонаблюдения на ГАУ СО «Михайловский ПНИ»")</f>
        <v>Техническое обслуживание системы видеонаблюдения на ГАУ СО «Михайловский ПНИ»</v>
      </c>
      <c r="G15813" s="22" t="s">
        <v>80</v>
      </c>
      <c r="H15813" s="22" t="s">
        <v>13608</v>
      </c>
      <c r="I15813" s="26">
        <v>43501.722696759301</v>
      </c>
      <c r="J15813" s="23" t="str">
        <f>HYPERLINK("https://www.spark-marketing.ru/Card/Person/2555301", "ООО ""ГРУППА КОМПАНИЙ СПЕКТР""")</f>
        <v>ООО "ГРУППА КОМПАНИЙ СПЕКТР"</v>
      </c>
      <c r="K15813" s="24" t="s">
        <v>17457</v>
      </c>
      <c r="L15813" s="28" t="s">
        <v>52</v>
      </c>
      <c r="M15813" s="28" t="s">
        <v>52</v>
      </c>
      <c r="N15813" s="28" t="s">
        <v>52</v>
      </c>
    </row>
    <row r="15814" spans="1:14" hidden="1" outlineLevel="1" x14ac:dyDescent="0.15">
      <c r="A15814" s="23" t="str">
        <f>HYPERLINK("https://www.spark-marketing.ru/Card/Person/1320082", "ГАУ СО ""МИХАЙЛОВСКИЙ ПНИ""")</f>
        <v>ГАУ СО "МИХАЙЛОВСКИЙ ПНИ"</v>
      </c>
      <c r="B15814" s="24" t="s">
        <v>13606</v>
      </c>
      <c r="C15814" s="28" t="s">
        <v>52</v>
      </c>
      <c r="D15814" s="22" t="s">
        <v>18120</v>
      </c>
      <c r="E15814" s="22" t="s">
        <v>9565</v>
      </c>
      <c r="F15814" s="23" t="str">
        <f>HYPERLINK("https://www.spark-marketing.ru/Card/Lot/67719306", "Техническое обслуживание системы видеонаблюдения на ГАУ СО «Михайловский ПНИ»")</f>
        <v>Техническое обслуживание системы видеонаблюдения на ГАУ СО «Михайловский ПНИ»</v>
      </c>
      <c r="G15814" s="22" t="s">
        <v>80</v>
      </c>
      <c r="H15814" s="22" t="s">
        <v>13608</v>
      </c>
      <c r="I15814" s="26">
        <v>43501.722696759301</v>
      </c>
      <c r="J15814" s="23" t="str">
        <f>HYPERLINK("https://www.spark-marketing.ru/Card/Person/29623", "ООО ЧОО ""РАДОН-СБ""")</f>
        <v>ООО ЧОО "РАДОН-СБ"</v>
      </c>
      <c r="K15814" s="24" t="s">
        <v>13610</v>
      </c>
      <c r="L15814" s="28" t="s">
        <v>52</v>
      </c>
      <c r="M15814" s="28" t="s">
        <v>52</v>
      </c>
      <c r="N15814" s="28" t="s">
        <v>52</v>
      </c>
    </row>
    <row r="15815" spans="1:14" x14ac:dyDescent="0.15">
      <c r="A15815" s="23" t="str">
        <f>HYPERLINK("https://www.spark-marketing.ru/Card/Person/49641", "МБДОУ ""ДЕТСКИЙ САД № 113 "" Г. ЧЕБОКСАРЫ")</f>
        <v>МБДОУ "ДЕТСКИЙ САД № 113 " Г. ЧЕБОКСАРЫ</v>
      </c>
      <c r="B15815" s="24" t="s">
        <v>18121</v>
      </c>
      <c r="C15815" s="25">
        <v>6666</v>
      </c>
      <c r="D15815" s="22" t="s">
        <v>18122</v>
      </c>
      <c r="E15815" s="22" t="s">
        <v>68</v>
      </c>
      <c r="F15815" s="23" t="str">
        <f>HYPERLINK("https://www.spark-marketing.ru/Card/Lot/67720130", "оказание услуг по техническому обслуживанию средств охранной и тревожной сигнализации для нужд МБДОУ «Детский сад № 113» г. Чебоксары")</f>
        <v>оказание услуг по техническому обслуживанию средств охранной и тревожной сигнализации для нужд МБДОУ «Детский сад № 113» г. Чебоксары</v>
      </c>
      <c r="G15815" s="22" t="s">
        <v>1137</v>
      </c>
      <c r="H15815" s="22" t="s">
        <v>1138</v>
      </c>
      <c r="I15815" s="26">
        <v>43501.7368055556</v>
      </c>
      <c r="J15815" s="28" t="s">
        <v>52</v>
      </c>
      <c r="K15815" s="28" t="s">
        <v>52</v>
      </c>
      <c r="L15815" s="28" t="s">
        <v>52</v>
      </c>
      <c r="M15815" s="28" t="s">
        <v>52</v>
      </c>
      <c r="N15815" s="28" t="s">
        <v>52</v>
      </c>
    </row>
    <row r="15816" spans="1:14" x14ac:dyDescent="0.15">
      <c r="A15816" s="23" t="str">
        <f>HYPERLINK("https://www.spark-marketing.ru/Card/Person/1008721", "МБОУ КРАСНОДОНЕЦКАЯ СОШ")</f>
        <v>МБОУ КРАСНОДОНЕЦКАЯ СОШ</v>
      </c>
      <c r="B15816" s="24" t="s">
        <v>18123</v>
      </c>
      <c r="C15816" s="25">
        <v>10800</v>
      </c>
      <c r="D15816" s="22" t="s">
        <v>18124</v>
      </c>
      <c r="E15816" s="22" t="s">
        <v>103</v>
      </c>
      <c r="F15816" s="23" t="str">
        <f>HYPERLINK("https://www.spark-marketing.ru/Card/Lot/67717364", "Техническое обслуживание систем видеонаблюдения установленных в МБОУ Краснодонецкая СОШ")</f>
        <v>Техническое обслуживание систем видеонаблюдения установленных в МБОУ Краснодонецкая СОШ</v>
      </c>
      <c r="G15816" s="22" t="s">
        <v>402</v>
      </c>
      <c r="H15816" s="22" t="s">
        <v>631</v>
      </c>
      <c r="I15816" s="26">
        <v>43501.712500000001</v>
      </c>
      <c r="J15816" s="28" t="s">
        <v>52</v>
      </c>
      <c r="K15816" s="28" t="s">
        <v>52</v>
      </c>
      <c r="L15816" s="28" t="s">
        <v>52</v>
      </c>
      <c r="M15816" s="28" t="s">
        <v>52</v>
      </c>
      <c r="N15816" s="28" t="s">
        <v>52</v>
      </c>
    </row>
    <row r="15817" spans="1:14" x14ac:dyDescent="0.15">
      <c r="A15817" s="23" t="str">
        <f>HYPERLINK("https://www.spark-marketing.ru/Card/Person/1033834", "МКУ ""ЦБ ОБРАЗОВАНИЯ""")</f>
        <v>МКУ "ЦБ ОБРАЗОВАНИЯ"</v>
      </c>
      <c r="B15817" s="24" t="s">
        <v>18125</v>
      </c>
      <c r="C15817" s="25">
        <v>16308</v>
      </c>
      <c r="D15817" s="22" t="s">
        <v>18126</v>
      </c>
      <c r="E15817" s="22" t="s">
        <v>107</v>
      </c>
      <c r="F15817" s="23" t="str">
        <f>HYPERLINK("https://www.spark-marketing.ru/Card/Lot/67714060", "Оказание услуг по техническому обслуживанию технических средств охраны")</f>
        <v>Оказание услуг по техническому обслуживанию технических средств охраны</v>
      </c>
      <c r="G15817" s="22" t="s">
        <v>50</v>
      </c>
      <c r="H15817" s="22" t="s">
        <v>3866</v>
      </c>
      <c r="I15817" s="26">
        <v>43501.6383796296</v>
      </c>
      <c r="J15817" s="28" t="s">
        <v>52</v>
      </c>
      <c r="K15817" s="28" t="s">
        <v>52</v>
      </c>
      <c r="L15817" s="28" t="s">
        <v>52</v>
      </c>
      <c r="M15817" s="28" t="s">
        <v>52</v>
      </c>
      <c r="N15817" s="28" t="s">
        <v>52</v>
      </c>
    </row>
    <row r="15818" spans="1:14" x14ac:dyDescent="0.15">
      <c r="A15818" s="23" t="str">
        <f>HYPERLINK("https://www.spark-marketing.ru/Card/Person/108495", "БДОУ Г. ОМСКА ""ДЕТСКИЙ САД № 57""")</f>
        <v>БДОУ Г. ОМСКА "ДЕТСКИЙ САД № 57"</v>
      </c>
      <c r="B15818" s="24" t="s">
        <v>18127</v>
      </c>
      <c r="C15818" s="25">
        <v>12000</v>
      </c>
      <c r="D15818" s="22" t="s">
        <v>18128</v>
      </c>
      <c r="E15818" s="22" t="s">
        <v>68</v>
      </c>
      <c r="F15818" s="23" t="str">
        <f>HYPERLINK("https://www.spark-marketing.ru/Card/Lot/67710116", "услуги по охране имущества")</f>
        <v>услуги по охране имущества</v>
      </c>
      <c r="G15818" s="22" t="s">
        <v>521</v>
      </c>
      <c r="H15818" s="22" t="s">
        <v>522</v>
      </c>
      <c r="I15818" s="26">
        <v>43501.618750000001</v>
      </c>
      <c r="J15818" s="28" t="s">
        <v>52</v>
      </c>
      <c r="K15818" s="28" t="s">
        <v>52</v>
      </c>
      <c r="L15818" s="28" t="s">
        <v>52</v>
      </c>
      <c r="M15818" s="28" t="s">
        <v>52</v>
      </c>
      <c r="N15818" s="28" t="s">
        <v>52</v>
      </c>
    </row>
    <row r="15819" spans="1:14" x14ac:dyDescent="0.15">
      <c r="A15819" s="23" t="str">
        <f>HYPERLINK("https://www.spark-marketing.ru/Card/Person/244015", "МАУК ДК ИМ. В.И.ЛЕНИНА")</f>
        <v>МАУК ДК ИМ. В.И.ЛЕНИНА</v>
      </c>
      <c r="B15819" s="24" t="s">
        <v>18129</v>
      </c>
      <c r="C15819" s="25">
        <v>30000</v>
      </c>
      <c r="D15819" s="22" t="s">
        <v>18130</v>
      </c>
      <c r="E15819" s="22" t="s">
        <v>1002</v>
      </c>
      <c r="F15819" s="23" t="str">
        <f>HYPERLINK("https://www.spark-marketing.ru/Card/Lot/67711098", "Оказание охранных услуг")</f>
        <v>Оказание охранных услуг</v>
      </c>
      <c r="G15819" s="22" t="s">
        <v>50</v>
      </c>
      <c r="H15819" s="22" t="s">
        <v>2957</v>
      </c>
      <c r="I15819" s="26">
        <v>43501.5846759259</v>
      </c>
      <c r="J15819" s="28" t="s">
        <v>52</v>
      </c>
      <c r="K15819" s="28" t="s">
        <v>52</v>
      </c>
      <c r="L15819" s="28" t="s">
        <v>52</v>
      </c>
      <c r="M15819" s="28" t="s">
        <v>52</v>
      </c>
      <c r="N15819" s="28" t="s">
        <v>52</v>
      </c>
    </row>
    <row r="15820" spans="1:14" x14ac:dyDescent="0.15">
      <c r="A15820" s="23" t="str">
        <f>HYPERLINK("https://www.spark-marketing.ru/Card/Person/1072535", "ГБПОУ НСТ")</f>
        <v>ГБПОУ НСТ</v>
      </c>
      <c r="B15820" s="24" t="s">
        <v>18131</v>
      </c>
      <c r="C15820" s="28" t="s">
        <v>52</v>
      </c>
      <c r="D15820" s="22" t="s">
        <v>18132</v>
      </c>
      <c r="E15820" s="22" t="s">
        <v>53</v>
      </c>
      <c r="F15820" s="23" t="str">
        <f>HYPERLINK("https://www.spark-marketing.ru/Card/Lot/69645136", "Услуги по экстренному прибытию наряда полиции по сигналу ""тревога"", поступившему из объекта заказчика на пульт централизованной охраны, для принятия мер к задержанию лиц, создающих угрозу личной безопасности работников заказчика и (или) угрозу хище...")</f>
        <v>Услуги по экстренному прибытию наряда полиции по сигналу "тревога", поступившему из объекта заказчика на пульт централизованной охраны, для принятия мер к задержанию лиц, создающих угрозу личной безопасности работников заказчика и (или) угрозу хище...</v>
      </c>
      <c r="G15820" s="22" t="s">
        <v>64</v>
      </c>
      <c r="H15820" s="22" t="s">
        <v>65</v>
      </c>
      <c r="I15820" s="26">
        <v>43501.586111111101</v>
      </c>
      <c r="J15820" s="28" t="s">
        <v>52</v>
      </c>
      <c r="K15820" s="28" t="s">
        <v>52</v>
      </c>
      <c r="L15820" s="28" t="s">
        <v>52</v>
      </c>
      <c r="M15820" s="28" t="s">
        <v>52</v>
      </c>
      <c r="N15820" s="28" t="s">
        <v>52</v>
      </c>
    </row>
    <row r="15821" spans="1:14" x14ac:dyDescent="0.15">
      <c r="A15821" s="23" t="str">
        <f>HYPERLINK("https://www.spark-marketing.ru/Card/Person/1036696", "БОУ Г. ОМСКА ""СРЕДНЯЯ ОБЩЕОБРАЗОВАТЕЛЬНАЯ ШКОЛА № 34""")</f>
        <v>БОУ Г. ОМСКА "СРЕДНЯЯ ОБЩЕОБРАЗОВАТЕЛЬНАЯ ШКОЛА № 34"</v>
      </c>
      <c r="B15821" s="24" t="s">
        <v>18133</v>
      </c>
      <c r="C15821" s="25">
        <v>12000</v>
      </c>
      <c r="D15821" s="22" t="s">
        <v>18134</v>
      </c>
      <c r="E15821" s="22" t="s">
        <v>68</v>
      </c>
      <c r="F15821" s="23" t="str">
        <f>HYPERLINK("https://www.spark-marketing.ru/Card/Lot/67709305", "охрана объектов вневедомственной охраной тревожных сообщений по каналу GSM")</f>
        <v>охрана объектов вневедомственной охраной тревожных сообщений по каналу GSM</v>
      </c>
      <c r="G15821" s="22" t="s">
        <v>521</v>
      </c>
      <c r="H15821" s="22" t="s">
        <v>522</v>
      </c>
      <c r="I15821" s="26">
        <v>43501.588194444397</v>
      </c>
      <c r="J15821" s="28" t="s">
        <v>52</v>
      </c>
      <c r="K15821" s="28" t="s">
        <v>52</v>
      </c>
      <c r="L15821" s="28" t="s">
        <v>52</v>
      </c>
      <c r="M15821" s="28" t="s">
        <v>52</v>
      </c>
      <c r="N15821" s="28" t="s">
        <v>52</v>
      </c>
    </row>
    <row r="15822" spans="1:14" x14ac:dyDescent="0.15">
      <c r="A15822" s="23" t="str">
        <f>HYPERLINK("https://www.spark-marketing.ru/Card/Person/121217", "БУ ""ЮГОРСКИЙ ПОЛИТЕХНИЧЕСКИЙ КОЛЛЕДЖ""")</f>
        <v>БУ "ЮГОРСКИЙ ПОЛИТЕХНИЧЕСКИЙ КОЛЛЕДЖ"</v>
      </c>
      <c r="B15822" s="24" t="s">
        <v>18135</v>
      </c>
      <c r="C15822" s="28" t="s">
        <v>52</v>
      </c>
      <c r="D15822" s="22" t="s">
        <v>18136</v>
      </c>
      <c r="E15822" s="22" t="s">
        <v>52</v>
      </c>
      <c r="F15822" s="23" t="str">
        <f>HYPERLINK("https://www.spark-marketing.ru/Card/Lot/67710902", "Установка, наладка и настройка имеющихся видеорегистраторов")</f>
        <v>Установка, наладка и настройка имеющихся видеорегистраторов</v>
      </c>
      <c r="G15822" s="22" t="s">
        <v>119</v>
      </c>
      <c r="H15822" s="22" t="s">
        <v>4075</v>
      </c>
      <c r="I15822" s="26">
        <v>43501.607638888898</v>
      </c>
      <c r="J15822" s="28" t="s">
        <v>52</v>
      </c>
      <c r="K15822" s="28" t="s">
        <v>52</v>
      </c>
      <c r="L15822" s="28" t="s">
        <v>52</v>
      </c>
      <c r="M15822" s="28" t="s">
        <v>52</v>
      </c>
      <c r="N15822" s="28" t="s">
        <v>52</v>
      </c>
    </row>
    <row r="15823" spans="1:14" x14ac:dyDescent="0.15">
      <c r="A15823" s="23" t="str">
        <f>HYPERLINK("https://www.spark-marketing.ru/Card/Person/133610", "МБОУ ""ШКОЛА № 2""")</f>
        <v>МБОУ "ШКОЛА № 2"</v>
      </c>
      <c r="B15823" s="24" t="s">
        <v>18137</v>
      </c>
      <c r="C15823" s="25">
        <v>42000</v>
      </c>
      <c r="D15823" s="22" t="s">
        <v>18138</v>
      </c>
      <c r="E15823" s="22" t="s">
        <v>298</v>
      </c>
      <c r="F15823" s="23" t="str">
        <f>HYPERLINK("https://www.spark-marketing.ru/Card/Lot/67711573", "ТО видеонаблюдения")</f>
        <v>ТО видеонаблюдения</v>
      </c>
      <c r="G15823" s="22" t="s">
        <v>50</v>
      </c>
      <c r="H15823" s="22" t="s">
        <v>432</v>
      </c>
      <c r="I15823" s="26">
        <v>43501.597268518497</v>
      </c>
      <c r="J15823" s="28" t="s">
        <v>52</v>
      </c>
      <c r="K15823" s="28" t="s">
        <v>52</v>
      </c>
      <c r="L15823" s="28" t="s">
        <v>52</v>
      </c>
      <c r="M15823" s="28" t="s">
        <v>52</v>
      </c>
      <c r="N15823" s="28" t="s">
        <v>52</v>
      </c>
    </row>
    <row r="15824" spans="1:14" x14ac:dyDescent="0.15">
      <c r="A15824" s="23" t="str">
        <f>HYPERLINK("https://www.spark-marketing.ru/Card/Person/148242", "МБОУ СОШ №8")</f>
        <v>МБОУ СОШ №8</v>
      </c>
      <c r="B15824" s="24" t="s">
        <v>18139</v>
      </c>
      <c r="C15824" s="25">
        <v>9900</v>
      </c>
      <c r="D15824" s="22" t="s">
        <v>18140</v>
      </c>
      <c r="E15824" s="22" t="s">
        <v>103</v>
      </c>
      <c r="F15824" s="23" t="str">
        <f>HYPERLINK("https://www.spark-marketing.ru/Card/Lot/67708489", "Техническое обслуживание систем видеонаблюдения")</f>
        <v>Техническое обслуживание систем видеонаблюдения</v>
      </c>
      <c r="G15824" s="22" t="s">
        <v>402</v>
      </c>
      <c r="H15824" s="22" t="s">
        <v>631</v>
      </c>
      <c r="I15824" s="26">
        <v>43501.561111111099</v>
      </c>
      <c r="J15824" s="28" t="s">
        <v>52</v>
      </c>
      <c r="K15824" s="28" t="s">
        <v>52</v>
      </c>
      <c r="L15824" s="28" t="s">
        <v>52</v>
      </c>
      <c r="M15824" s="28" t="s">
        <v>52</v>
      </c>
      <c r="N15824" s="28" t="s">
        <v>52</v>
      </c>
    </row>
    <row r="15825" spans="1:14" x14ac:dyDescent="0.15">
      <c r="A15825" s="23" t="str">
        <f>HYPERLINK("https://www.spark-marketing.ru/Card/Person/254803", "ТФОМС РЕСПУБЛИКИ ИНГУШЕТИЯ")</f>
        <v>ТФОМС РЕСПУБЛИКИ ИНГУШЕТИЯ</v>
      </c>
      <c r="B15825" s="24" t="s">
        <v>18141</v>
      </c>
      <c r="C15825" s="25">
        <v>3251790</v>
      </c>
      <c r="D15825" s="22" t="s">
        <v>18142</v>
      </c>
      <c r="E15825" s="22" t="s">
        <v>218</v>
      </c>
      <c r="F15825" s="23" t="str">
        <f>HYPERLINK("https://www.spark-marketing.ru/Card/Lot/67477692", "Оказание услуг по строительному контролю и техническому сопровождению работ по объекту «Административное здание ТФОМС РИ для нужд ТФОМС РИ»")</f>
        <v>Оказание услуг по строительному контролю и техническому сопровождению работ по объекту «Административное здание ТФОМС РИ для нужд ТФОМС РИ»</v>
      </c>
      <c r="G15825" s="22" t="s">
        <v>648</v>
      </c>
      <c r="H15825" s="22" t="s">
        <v>648</v>
      </c>
      <c r="I15825" s="26">
        <v>43493</v>
      </c>
      <c r="J15825" s="28" t="s">
        <v>52</v>
      </c>
      <c r="K15825" s="28" t="s">
        <v>52</v>
      </c>
      <c r="L15825" s="28" t="s">
        <v>52</v>
      </c>
      <c r="M15825" s="28" t="s">
        <v>52</v>
      </c>
      <c r="N15825" s="28" t="s">
        <v>52</v>
      </c>
    </row>
    <row r="15826" spans="1:14" x14ac:dyDescent="0.15">
      <c r="A15826" s="23" t="str">
        <f>HYPERLINK("https://www.spark-marketing.ru/Card/Person/225318", "ОАО "" АЭРОПОРТ АНАПА """)</f>
        <v>ОАО " АЭРОПОРТ АНАПА "</v>
      </c>
      <c r="B15826" s="24" t="s">
        <v>11436</v>
      </c>
      <c r="C15826" s="25">
        <v>1370000</v>
      </c>
      <c r="D15826" s="22" t="s">
        <v>18143</v>
      </c>
      <c r="E15826" s="22" t="s">
        <v>1923</v>
      </c>
      <c r="F15826" s="23" t="str">
        <f>HYPERLINK("https://www.spark-marketing.ru/Card/Lot/67705834", "Проведение независимой экспертизы технических средств обеспечения транспортной безопасности, размещенных на периметровом ограждении ОАО «Аэропорт Анапа» на соответствие требованиям Постановления Правительства РФ от 26.09.2016 № 969 «Об утверждении тр...")</f>
        <v>Проведение независимой экспертизы технических средств обеспечения транспортной безопасности, размещенных на периметровом ограждении ОАО «Аэропорт Анапа» на соответствие требованиям Постановления Правительства РФ от 26.09.2016 № 969 «Об утверждении тр...</v>
      </c>
      <c r="G15826" s="22" t="s">
        <v>132</v>
      </c>
      <c r="H15826" s="22" t="s">
        <v>132</v>
      </c>
      <c r="I15826" s="26">
        <v>43501.511377314797</v>
      </c>
      <c r="J15826" s="28" t="s">
        <v>52</v>
      </c>
      <c r="K15826" s="28" t="s">
        <v>52</v>
      </c>
      <c r="L15826" s="28" t="s">
        <v>52</v>
      </c>
      <c r="M15826" s="28" t="s">
        <v>52</v>
      </c>
      <c r="N15826" s="28" t="s">
        <v>52</v>
      </c>
    </row>
    <row r="15827" spans="1:14" x14ac:dyDescent="0.15">
      <c r="A15827" s="23" t="str">
        <f>HYPERLINK("https://www.spark-marketing.ru/Card/Person/1361344", "МАУДО ЦЕНТР ""РОМАНТИК""")</f>
        <v>МАУДО ЦЕНТР "РОМАНТИК"</v>
      </c>
      <c r="B15827" s="24" t="s">
        <v>16780</v>
      </c>
      <c r="C15827" s="25">
        <v>81333.33</v>
      </c>
      <c r="D15827" s="22" t="s">
        <v>18144</v>
      </c>
      <c r="E15827" s="22" t="s">
        <v>137</v>
      </c>
      <c r="F15827" s="23" t="str">
        <f>HYPERLINK("https://www.spark-marketing.ru/Card/Lot/67705866", "Выполнение работ по техническому обслуживанию систем видеонаблюдения")</f>
        <v>Выполнение работ по техническому обслуживанию систем видеонаблюдения</v>
      </c>
      <c r="G15827" s="22" t="s">
        <v>50</v>
      </c>
      <c r="H15827" s="22" t="s">
        <v>50</v>
      </c>
      <c r="I15827" s="26">
        <v>43501.519664351901</v>
      </c>
      <c r="J15827" s="28" t="s">
        <v>52</v>
      </c>
      <c r="K15827" s="28" t="s">
        <v>52</v>
      </c>
      <c r="L15827" s="28" t="s">
        <v>52</v>
      </c>
      <c r="M15827" s="28" t="s">
        <v>52</v>
      </c>
      <c r="N15827" s="28" t="s">
        <v>52</v>
      </c>
    </row>
    <row r="15828" spans="1:14" x14ac:dyDescent="0.15">
      <c r="A15828" s="23" t="str">
        <f>HYPERLINK("https://www.spark-marketing.ru/Card/Person/114060", "МБОУ ""ВИДНОВСКАЯ СОШ № 5 С УИОП""")</f>
        <v>МБОУ "ВИДНОВСКАЯ СОШ № 5 С УИОП"</v>
      </c>
      <c r="B15828" s="24" t="s">
        <v>15042</v>
      </c>
      <c r="C15828" s="25">
        <v>82176</v>
      </c>
      <c r="D15828" s="22" t="s">
        <v>18145</v>
      </c>
      <c r="E15828" s="22" t="s">
        <v>103</v>
      </c>
      <c r="F15828" s="23" t="str">
        <f>HYPERLINK("https://www.spark-marketing.ru/Card/Lot/67703916", "Услуги по техническому обслуживанию системы вентиляции")</f>
        <v>Услуги по техническому обслуживанию системы вентиляции</v>
      </c>
      <c r="G15828" s="22" t="s">
        <v>50</v>
      </c>
      <c r="H15828" s="22" t="s">
        <v>2391</v>
      </c>
      <c r="I15828" s="26">
        <v>43501.471527777801</v>
      </c>
      <c r="J15828" s="28" t="s">
        <v>52</v>
      </c>
      <c r="K15828" s="28" t="s">
        <v>52</v>
      </c>
      <c r="L15828" s="28" t="s">
        <v>52</v>
      </c>
      <c r="M15828" s="28" t="s">
        <v>52</v>
      </c>
      <c r="N15828" s="28" t="s">
        <v>52</v>
      </c>
    </row>
    <row r="15829" spans="1:14" x14ac:dyDescent="0.15">
      <c r="A15829" s="23" t="str">
        <f>HYPERLINK("https://www.spark-marketing.ru/Card/Person/4453549", "МАДОУ Д/С №29 ""РАДУГА""")</f>
        <v>МАДОУ Д/С №29 "РАДУГА"</v>
      </c>
      <c r="B15829" s="24" t="s">
        <v>18146</v>
      </c>
      <c r="C15829" s="25">
        <v>8224.08</v>
      </c>
      <c r="D15829" s="22" t="s">
        <v>18147</v>
      </c>
      <c r="E15829" s="22" t="s">
        <v>107</v>
      </c>
      <c r="F15829" s="23" t="str">
        <f>HYPERLINK("https://www.spark-marketing.ru/Card/Lot/67704022", "Техническое обслуживание комплекса технических средств охраны")</f>
        <v>Техническое обслуживание комплекса технических средств охраны</v>
      </c>
      <c r="G15829" s="22" t="s">
        <v>50</v>
      </c>
      <c r="H15829" s="22" t="s">
        <v>4782</v>
      </c>
      <c r="I15829" s="26">
        <v>43501.492662037002</v>
      </c>
      <c r="J15829" s="28" t="s">
        <v>52</v>
      </c>
      <c r="K15829" s="28" t="s">
        <v>52</v>
      </c>
      <c r="L15829" s="28" t="s">
        <v>52</v>
      </c>
      <c r="M15829" s="28" t="s">
        <v>52</v>
      </c>
      <c r="N15829" s="28" t="s">
        <v>52</v>
      </c>
    </row>
    <row r="15830" spans="1:14" x14ac:dyDescent="0.15">
      <c r="A15830" s="23" t="str">
        <f>HYPERLINK("https://www.spark-marketing.ru/Card/Person/1067206", "МКУ БК ""УГО И ЧС""")</f>
        <v>МКУ БК "УГО И ЧС"</v>
      </c>
      <c r="B15830" s="24" t="s">
        <v>9218</v>
      </c>
      <c r="C15830" s="25">
        <v>73500</v>
      </c>
      <c r="D15830" s="22" t="s">
        <v>18148</v>
      </c>
      <c r="E15830" s="22" t="s">
        <v>234</v>
      </c>
      <c r="F15830" s="23" t="str">
        <f>HYPERLINK("https://www.spark-marketing.ru/Card/Lot/67703046", "Оказание услуг по техническому обслуживанию системы видеонаблюдения")</f>
        <v>Оказание услуг по техническому обслуживанию системы видеонаблюдения</v>
      </c>
      <c r="G15830" s="22" t="s">
        <v>402</v>
      </c>
      <c r="H15830" s="22" t="s">
        <v>631</v>
      </c>
      <c r="I15830" s="26">
        <v>43501.483333333301</v>
      </c>
      <c r="J15830" s="28" t="s">
        <v>52</v>
      </c>
      <c r="K15830" s="28" t="s">
        <v>52</v>
      </c>
      <c r="L15830" s="28" t="s">
        <v>52</v>
      </c>
      <c r="M15830" s="28" t="s">
        <v>52</v>
      </c>
      <c r="N15830" s="28" t="s">
        <v>52</v>
      </c>
    </row>
    <row r="15831" spans="1:14" x14ac:dyDescent="0.15">
      <c r="A15831" s="23" t="str">
        <f>HYPERLINK("https://www.spark-marketing.ru/Card/Person/1763864", "АОУ ДЕТСКИЙ САД №24")</f>
        <v>АОУ ДЕТСКИЙ САД №24</v>
      </c>
      <c r="B15831" s="24" t="s">
        <v>18149</v>
      </c>
      <c r="C15831" s="25">
        <v>19048.8</v>
      </c>
      <c r="D15831" s="22" t="s">
        <v>18150</v>
      </c>
      <c r="E15831" s="22" t="s">
        <v>107</v>
      </c>
      <c r="F15831" s="23" t="str">
        <f>HYPERLINK("https://www.spark-marketing.ru/Card/Lot/67704007", "Оказание услуг по техническому обслуживанию комплекса технических средств охраны")</f>
        <v>Оказание услуг по техническому обслуживанию комплекса технических средств охраны</v>
      </c>
      <c r="G15831" s="22" t="s">
        <v>50</v>
      </c>
      <c r="H15831" s="22" t="s">
        <v>3866</v>
      </c>
      <c r="I15831" s="26">
        <v>43501.492372685199</v>
      </c>
      <c r="J15831" s="28" t="s">
        <v>52</v>
      </c>
      <c r="K15831" s="28" t="s">
        <v>52</v>
      </c>
      <c r="L15831" s="28" t="s">
        <v>52</v>
      </c>
      <c r="M15831" s="28" t="s">
        <v>52</v>
      </c>
      <c r="N15831" s="28" t="s">
        <v>52</v>
      </c>
    </row>
    <row r="15832" spans="1:14" x14ac:dyDescent="0.15">
      <c r="A15832" s="23" t="str">
        <f>HYPERLINK("https://www.spark-marketing.ru/Card/Person/4864022", "АОУ ДЕТСКИЙ САД № 20")</f>
        <v>АОУ ДЕТСКИЙ САД № 20</v>
      </c>
      <c r="B15832" s="24" t="s">
        <v>18151</v>
      </c>
      <c r="C15832" s="25">
        <v>76800</v>
      </c>
      <c r="D15832" s="22" t="s">
        <v>18152</v>
      </c>
      <c r="E15832" s="22" t="s">
        <v>298</v>
      </c>
      <c r="F15832" s="23" t="str">
        <f>HYPERLINK("https://www.spark-marketing.ru/Card/Lot/67701527", "Оказание услуг по техническому обслуживанию систем видеонаблюдения на 2019 год")</f>
        <v>Оказание услуг по техническому обслуживанию систем видеонаблюдения на 2019 год</v>
      </c>
      <c r="G15832" s="22" t="s">
        <v>50</v>
      </c>
      <c r="H15832" s="22" t="s">
        <v>3866</v>
      </c>
      <c r="I15832" s="26">
        <v>43501.429976851898</v>
      </c>
      <c r="J15832" s="28" t="s">
        <v>52</v>
      </c>
      <c r="K15832" s="28" t="s">
        <v>52</v>
      </c>
      <c r="L15832" s="28" t="s">
        <v>52</v>
      </c>
      <c r="M15832" s="28" t="s">
        <v>52</v>
      </c>
      <c r="N15832" s="28" t="s">
        <v>52</v>
      </c>
    </row>
    <row r="15833" spans="1:14" x14ac:dyDescent="0.15">
      <c r="A15833" s="23" t="str">
        <f>HYPERLINK("https://www.spark-marketing.ru/Card/Person/330013", "Фл АО ""Концерн Росэнергоатом"" Смоленская атомная станция")</f>
        <v>Фл АО "Концерн Росэнергоатом" Смоленская атомная станция</v>
      </c>
      <c r="B15833" s="24" t="s">
        <v>211</v>
      </c>
      <c r="C15833" s="28" t="s">
        <v>52</v>
      </c>
      <c r="D15833" s="22" t="s">
        <v>18153</v>
      </c>
      <c r="E15833" s="22" t="s">
        <v>53</v>
      </c>
      <c r="F15833" s="23" t="str">
        <f>HYPERLINK("https://www.spark-marketing.ru/Card/Lot/67707266", "Охрана объектов Смоленской АЭС, расположенных в границах муниципального образования ""г. Десногорск"" и промзоны САЭС (1179736)")</f>
        <v>Охрана объектов Смоленской АЭС, расположенных в границах муниципального образования "г. Десногорск" и промзоны САЭС (1179736)</v>
      </c>
      <c r="G15833" s="22" t="s">
        <v>55</v>
      </c>
      <c r="H15833" s="22" t="s">
        <v>55</v>
      </c>
      <c r="I15833" s="26">
        <v>43501.454872685201</v>
      </c>
      <c r="J15833" s="28" t="s">
        <v>52</v>
      </c>
      <c r="K15833" s="28" t="s">
        <v>52</v>
      </c>
      <c r="L15833" s="28" t="s">
        <v>52</v>
      </c>
      <c r="M15833" s="28" t="s">
        <v>52</v>
      </c>
      <c r="N15833" s="28" t="s">
        <v>52</v>
      </c>
    </row>
    <row r="15834" spans="1:14" x14ac:dyDescent="0.15">
      <c r="A15834" s="23" t="str">
        <f>HYPERLINK("https://www.spark-marketing.ru/Card/Person/1329230", "АОУ ДЕТСКИЙ САД № 26 ""НЕЗАБУДКА""")</f>
        <v>АОУ ДЕТСКИЙ САД № 26 "НЕЗАБУДКА"</v>
      </c>
      <c r="B15834" s="24" t="s">
        <v>18154</v>
      </c>
      <c r="C15834" s="25">
        <v>20240</v>
      </c>
      <c r="D15834" s="22" t="s">
        <v>18155</v>
      </c>
      <c r="E15834" s="22" t="s">
        <v>294</v>
      </c>
      <c r="F15834" s="23" t="str">
        <f>HYPERLINK("https://www.spark-marketing.ru/Card/Lot/67701587", "Оказание услуг по техническому обслуживанию системы видеонаблюдения на 2019 год")</f>
        <v>Оказание услуг по техническому обслуживанию системы видеонаблюдения на 2019 год</v>
      </c>
      <c r="G15834" s="22" t="s">
        <v>50</v>
      </c>
      <c r="H15834" s="22" t="s">
        <v>3866</v>
      </c>
      <c r="I15834" s="26">
        <v>43501.451736111099</v>
      </c>
      <c r="J15834" s="28" t="s">
        <v>52</v>
      </c>
      <c r="K15834" s="28" t="s">
        <v>52</v>
      </c>
      <c r="L15834" s="28" t="s">
        <v>52</v>
      </c>
      <c r="M15834" s="28" t="s">
        <v>52</v>
      </c>
      <c r="N15834" s="28" t="s">
        <v>52</v>
      </c>
    </row>
    <row r="15835" spans="1:14" x14ac:dyDescent="0.15">
      <c r="A15835" s="23" t="str">
        <f>HYPERLINK("https://www.spark-marketing.ru/Card/Person/84219", "ГБПОУ РО ""РОСТОВСКИЙ КОЛЛЕДЖ ИСКУССТВ""")</f>
        <v>ГБПОУ РО "РОСТОВСКИЙ КОЛЛЕДЖ ИСКУССТВ"</v>
      </c>
      <c r="B15835" s="24" t="s">
        <v>18156</v>
      </c>
      <c r="C15835" s="25">
        <v>104000</v>
      </c>
      <c r="D15835" s="22" t="s">
        <v>18157</v>
      </c>
      <c r="E15835" s="22" t="s">
        <v>234</v>
      </c>
      <c r="F15835" s="23" t="str">
        <f>HYPERLINK("https://www.spark-marketing.ru/Card/Lot/67699819", "услуги по техническому обслуживанию системы видеонаблюдения в течение 2019 года")</f>
        <v>услуги по техническому обслуживанию системы видеонаблюдения в течение 2019 года</v>
      </c>
      <c r="G15835" s="22" t="s">
        <v>402</v>
      </c>
      <c r="H15835" s="22" t="s">
        <v>403</v>
      </c>
      <c r="I15835" s="26">
        <v>43501.421527777798</v>
      </c>
      <c r="J15835" s="28" t="s">
        <v>52</v>
      </c>
      <c r="K15835" s="28" t="s">
        <v>52</v>
      </c>
      <c r="L15835" s="28" t="s">
        <v>52</v>
      </c>
      <c r="M15835" s="28" t="s">
        <v>52</v>
      </c>
      <c r="N15835" s="28" t="s">
        <v>52</v>
      </c>
    </row>
    <row r="15836" spans="1:14" x14ac:dyDescent="0.15">
      <c r="A15836" s="23" t="str">
        <f>HYPERLINK("https://www.spark-marketing.ru/Card/Person/330013", "Фл АО ""Концерн Росэнергоатом"" Смоленская атомная станция")</f>
        <v>Фл АО "Концерн Росэнергоатом" Смоленская атомная станция</v>
      </c>
      <c r="B15836" s="24" t="s">
        <v>211</v>
      </c>
      <c r="C15836" s="28" t="s">
        <v>52</v>
      </c>
      <c r="D15836" s="22" t="s">
        <v>18158</v>
      </c>
      <c r="E15836" s="22" t="s">
        <v>53</v>
      </c>
      <c r="F15836" s="23" t="str">
        <f>HYPERLINK("https://www.spark-marketing.ru/Card/Lot/67707274", "Охрана объектов Смоленской АЭС, расположенных за пределами промзоны САЭС и муниципального образования ""г. Десногорск"" (1179751)")</f>
        <v>Охрана объектов Смоленской АЭС, расположенных за пределами промзоны САЭС и муниципального образования "г. Десногорск" (1179751)</v>
      </c>
      <c r="G15836" s="22" t="s">
        <v>55</v>
      </c>
      <c r="H15836" s="22" t="s">
        <v>55</v>
      </c>
      <c r="I15836" s="26">
        <v>43501.454872685201</v>
      </c>
      <c r="J15836" s="28" t="s">
        <v>52</v>
      </c>
      <c r="K15836" s="28" t="s">
        <v>52</v>
      </c>
      <c r="L15836" s="28" t="s">
        <v>52</v>
      </c>
      <c r="M15836" s="28" t="s">
        <v>52</v>
      </c>
      <c r="N15836" s="28" t="s">
        <v>52</v>
      </c>
    </row>
    <row r="15837" spans="1:14" x14ac:dyDescent="0.15">
      <c r="A15837" s="23" t="str">
        <f>HYPERLINK("https://www.spark-marketing.ru/Card/Person/812990", "МБДОУ ""ДЕТСКИЙ САД № 141 ""ПИЛЕШ"" Г. ЧЕБОКСАРЫ")</f>
        <v>МБДОУ "ДЕТСКИЙ САД № 141 "ПИЛЕШ" Г. ЧЕБОКСАРЫ</v>
      </c>
      <c r="B15837" s="24" t="s">
        <v>18159</v>
      </c>
      <c r="C15837" s="25">
        <v>15292.09</v>
      </c>
      <c r="D15837" s="22" t="s">
        <v>18160</v>
      </c>
      <c r="E15837" s="22" t="s">
        <v>1013</v>
      </c>
      <c r="F15837" s="23" t="str">
        <f>HYPERLINK("https://www.spark-marketing.ru/Card/Lot/67701125", "оказание услуг о предупреждении и пересечению правонарушений и преступлений с помощью тревожной кнопки")</f>
        <v>оказание услуг о предупреждении и пересечению правонарушений и преступлений с помощью тревожной кнопки</v>
      </c>
      <c r="G15837" s="22" t="s">
        <v>1137</v>
      </c>
      <c r="H15837" s="22" t="s">
        <v>1138</v>
      </c>
      <c r="I15837" s="26">
        <v>43501.453472222202</v>
      </c>
      <c r="J15837" s="28" t="s">
        <v>52</v>
      </c>
      <c r="K15837" s="28" t="s">
        <v>52</v>
      </c>
      <c r="L15837" s="28" t="s">
        <v>52</v>
      </c>
      <c r="M15837" s="28" t="s">
        <v>52</v>
      </c>
      <c r="N15837" s="28" t="s">
        <v>52</v>
      </c>
    </row>
    <row r="15838" spans="1:14" x14ac:dyDescent="0.15">
      <c r="A15838" s="23" t="str">
        <f>HYPERLINK("https://www.spark-marketing.ru/Card/Person/1096555", "МАУДО ""ДЕТСКАЯ ШКОЛА ИСКУССТВ"" Г. СВОБОДНОГО")</f>
        <v>МАУДО "ДЕТСКАЯ ШКОЛА ИСКУССТВ" Г. СВОБОДНОГО</v>
      </c>
      <c r="B15838" s="24" t="s">
        <v>18161</v>
      </c>
      <c r="C15838" s="25">
        <v>154080</v>
      </c>
      <c r="D15838" s="22" t="s">
        <v>18162</v>
      </c>
      <c r="E15838" s="22" t="s">
        <v>144</v>
      </c>
      <c r="F15838" s="23" t="str">
        <f>HYPERLINK("https://www.spark-marketing.ru/Card/Lot/67692243", "Охрана объекта")</f>
        <v>Охрана объекта</v>
      </c>
      <c r="G15838" s="22" t="s">
        <v>230</v>
      </c>
      <c r="H15838" s="22" t="s">
        <v>230</v>
      </c>
      <c r="I15838" s="26">
        <v>43501.405358796299</v>
      </c>
      <c r="J15838" s="28" t="s">
        <v>52</v>
      </c>
      <c r="K15838" s="28" t="s">
        <v>52</v>
      </c>
      <c r="L15838" s="28" t="s">
        <v>52</v>
      </c>
      <c r="M15838" s="28" t="s">
        <v>52</v>
      </c>
      <c r="N15838" s="28" t="s">
        <v>52</v>
      </c>
    </row>
    <row r="15839" spans="1:14" x14ac:dyDescent="0.15">
      <c r="A15839" s="23" t="str">
        <f>HYPERLINK("https://www.spark-marketing.ru/Card/Person/105589", "МБОУ СОШ №1")</f>
        <v>МБОУ СОШ №1</v>
      </c>
      <c r="B15839" s="24" t="s">
        <v>18163</v>
      </c>
      <c r="C15839" s="25">
        <v>30000</v>
      </c>
      <c r="D15839" s="22" t="s">
        <v>18164</v>
      </c>
      <c r="E15839" s="22" t="s">
        <v>107</v>
      </c>
      <c r="F15839" s="23" t="str">
        <f>HYPERLINK("https://www.spark-marketing.ru/Card/Lot/67698906", "Оказание услуг по техническому обслуживанию систем видеонаблюдения и видеорегистрации")</f>
        <v>Оказание услуг по техническому обслуживанию систем видеонаблюдения и видеорегистрации</v>
      </c>
      <c r="G15839" s="22" t="s">
        <v>50</v>
      </c>
      <c r="H15839" s="22" t="s">
        <v>7244</v>
      </c>
      <c r="I15839" s="26">
        <v>43501.388356481497</v>
      </c>
      <c r="J15839" s="28" t="s">
        <v>52</v>
      </c>
      <c r="K15839" s="28" t="s">
        <v>52</v>
      </c>
      <c r="L15839" s="28" t="s">
        <v>52</v>
      </c>
      <c r="M15839" s="28" t="s">
        <v>52</v>
      </c>
      <c r="N15839" s="28" t="s">
        <v>52</v>
      </c>
    </row>
    <row r="15840" spans="1:14" x14ac:dyDescent="0.15">
      <c r="A15840" s="23" t="str">
        <f>HYPERLINK("https://www.spark-marketing.ru/Card/Person/106526", "МБДОУ Д/С № 9 ""СОЛНЫШКО""")</f>
        <v>МБДОУ Д/С № 9 "СОЛНЫШКО"</v>
      </c>
      <c r="B15840" s="24" t="s">
        <v>18165</v>
      </c>
      <c r="C15840" s="25">
        <v>35400</v>
      </c>
      <c r="D15840" s="22" t="s">
        <v>18166</v>
      </c>
      <c r="E15840" s="22" t="s">
        <v>103</v>
      </c>
      <c r="F15840" s="23" t="str">
        <f>HYPERLINK("https://www.spark-marketing.ru/Card/Lot/67698942", "Оказание услуг по техническому обслуживанию видеонаблюдения и домофонов")</f>
        <v>Оказание услуг по техническому обслуживанию видеонаблюдения и домофонов</v>
      </c>
      <c r="G15840" s="22" t="s">
        <v>50</v>
      </c>
      <c r="H15840" s="22" t="s">
        <v>2391</v>
      </c>
      <c r="I15840" s="26">
        <v>43501.399548611102</v>
      </c>
      <c r="J15840" s="28" t="s">
        <v>52</v>
      </c>
      <c r="K15840" s="28" t="s">
        <v>52</v>
      </c>
      <c r="L15840" s="28" t="s">
        <v>52</v>
      </c>
      <c r="M15840" s="28" t="s">
        <v>52</v>
      </c>
      <c r="N15840" s="28" t="s">
        <v>52</v>
      </c>
    </row>
    <row r="15841" spans="1:14" x14ac:dyDescent="0.15">
      <c r="A15841" s="23" t="str">
        <f>HYPERLINK("https://www.spark-marketing.ru/Card/Person/638976", "КОМИТЕТ КУЛЬТУРЫ И ТУРИЗМА")</f>
        <v>КОМИТЕТ КУЛЬТУРЫ И ТУРИЗМА</v>
      </c>
      <c r="B15841" s="24" t="s">
        <v>18167</v>
      </c>
      <c r="C15841" s="25">
        <v>39050</v>
      </c>
      <c r="D15841" s="22" t="s">
        <v>18168</v>
      </c>
      <c r="E15841" s="22" t="s">
        <v>107</v>
      </c>
      <c r="F15841" s="23" t="str">
        <f>HYPERLINK("https://www.spark-marketing.ru/Card/Lot/67697277", "услуги по техническому обслуживанию комплекса технических средств охраны")</f>
        <v>услуги по техническому обслуживанию комплекса технических средств охраны</v>
      </c>
      <c r="G15841" s="22" t="s">
        <v>119</v>
      </c>
      <c r="H15841" s="22" t="s">
        <v>120</v>
      </c>
      <c r="I15841" s="26">
        <v>43501.34375</v>
      </c>
      <c r="J15841" s="28" t="s">
        <v>52</v>
      </c>
      <c r="K15841" s="28" t="s">
        <v>52</v>
      </c>
      <c r="L15841" s="28" t="s">
        <v>52</v>
      </c>
      <c r="M15841" s="28" t="s">
        <v>52</v>
      </c>
      <c r="N15841" s="28" t="s">
        <v>52</v>
      </c>
    </row>
    <row r="15842" spans="1:14" x14ac:dyDescent="0.15">
      <c r="A15842" s="23" t="str">
        <f>HYPERLINK("https://www.spark-marketing.ru/Card/Person/18431", "ОПФР ПО УЛЬЯНОВСКОЙ ОБЛАСТИ")</f>
        <v>ОПФР ПО УЛЬЯНОВСКОЙ ОБЛАСТИ</v>
      </c>
      <c r="B15842" s="24" t="s">
        <v>17180</v>
      </c>
      <c r="C15842" s="25">
        <v>40666.68</v>
      </c>
      <c r="D15842" s="22" t="s">
        <v>18169</v>
      </c>
      <c r="E15842" s="22" t="s">
        <v>107</v>
      </c>
      <c r="F15842" s="23" t="str">
        <f>HYPERLINK("https://www.spark-marketing.ru/Card/Lot/67703526", "Оказание услуг по техническому обслуживанию системы охранной сигнализации")</f>
        <v>Оказание услуг по техническому обслуживанию системы охранной сигнализации</v>
      </c>
      <c r="G15842" s="22" t="s">
        <v>446</v>
      </c>
      <c r="H15842" s="22" t="s">
        <v>446</v>
      </c>
      <c r="I15842" s="26">
        <v>43501</v>
      </c>
      <c r="J15842" s="28" t="s">
        <v>52</v>
      </c>
      <c r="K15842" s="28" t="s">
        <v>52</v>
      </c>
      <c r="L15842" s="28" t="s">
        <v>52</v>
      </c>
      <c r="M15842" s="28" t="s">
        <v>52</v>
      </c>
      <c r="N15842" s="28" t="s">
        <v>52</v>
      </c>
    </row>
    <row r="15843" spans="1:14" ht="12.75" hidden="1" outlineLevel="1" x14ac:dyDescent="0.2">
      <c r="A15843" s="23" t="str">
        <f>HYPERLINK("https://www.spark-marketing.ru/Card/Person/18431", "ОПФР ПО УЛЬЯНОВСКОЙ ОБЛАСТИ")</f>
        <v>ОПФР ПО УЛЬЯНОВСКОЙ ОБЛАСТИ</v>
      </c>
      <c r="B15843" s="24" t="s">
        <v>17180</v>
      </c>
      <c r="C15843" s="25">
        <v>40666.68</v>
      </c>
      <c r="D15843" s="22" t="s">
        <v>18169</v>
      </c>
      <c r="E15843" s="22" t="s">
        <v>107</v>
      </c>
      <c r="F15843" s="23" t="str">
        <f>HYPERLINK("https://www.spark-marketing.ru/Card/Lot/67703526", "Оказание услуг по техническому обслуживанию системы охранной сигнализации")</f>
        <v>Оказание услуг по техническому обслуживанию системы охранной сигнализации</v>
      </c>
      <c r="G15843" s="22" t="s">
        <v>446</v>
      </c>
      <c r="H15843" s="22" t="s">
        <v>446</v>
      </c>
      <c r="I15843" s="26">
        <v>43501</v>
      </c>
      <c r="J15843" s="23" t="str">
        <f>HYPERLINK("https://www.spark-marketing.ru/Card/Person/234026", "ООО""МСБ""")</f>
        <v>ООО"МСБ"</v>
      </c>
      <c r="K15843" s="24" t="s">
        <v>17182</v>
      </c>
      <c r="L15843" s="22" t="s">
        <v>10</v>
      </c>
      <c r="M15843" s="25">
        <v>26024.77</v>
      </c>
      <c r="N15843" s="27">
        <v>0.36004684916496749</v>
      </c>
    </row>
    <row r="15844" spans="1:14" hidden="1" outlineLevel="1" x14ac:dyDescent="0.2">
      <c r="A15844" s="23" t="str">
        <f>HYPERLINK("https://www.spark-marketing.ru/Card/Person/18431", "ОПФР ПО УЛЬЯНОВСКОЙ ОБЛАСТИ")</f>
        <v>ОПФР ПО УЛЬЯНОВСКОЙ ОБЛАСТИ</v>
      </c>
      <c r="B15844" s="24" t="s">
        <v>17180</v>
      </c>
      <c r="C15844" s="25">
        <v>40666.68</v>
      </c>
      <c r="D15844" s="22" t="s">
        <v>18169</v>
      </c>
      <c r="E15844" s="22" t="s">
        <v>107</v>
      </c>
      <c r="F15844" s="23" t="str">
        <f>HYPERLINK("https://www.spark-marketing.ru/Card/Lot/67703526", "Оказание услуг по техническому обслуживанию системы охранной сигнализации")</f>
        <v>Оказание услуг по техническому обслуживанию системы охранной сигнализации</v>
      </c>
      <c r="G15844" s="22" t="s">
        <v>446</v>
      </c>
      <c r="H15844" s="22" t="s">
        <v>446</v>
      </c>
      <c r="I15844" s="26">
        <v>43501</v>
      </c>
      <c r="J15844" s="23" t="str">
        <f>HYPERLINK("https://www.spark-marketing.ru/Card/Person/79032", "ООО ""РУБИН""")</f>
        <v>ООО "РУБИН"</v>
      </c>
      <c r="K15844" s="24" t="s">
        <v>18170</v>
      </c>
      <c r="L15844" s="28" t="s">
        <v>52</v>
      </c>
      <c r="M15844" s="25">
        <v>27041.42</v>
      </c>
      <c r="N15844" s="27">
        <v>0.33504726719761729</v>
      </c>
    </row>
    <row r="15845" spans="1:14" hidden="1" outlineLevel="1" x14ac:dyDescent="0.2">
      <c r="A15845" s="23" t="str">
        <f>HYPERLINK("https://www.spark-marketing.ru/Card/Person/18431", "ОПФР ПО УЛЬЯНОВСКОЙ ОБЛАСТИ")</f>
        <v>ОПФР ПО УЛЬЯНОВСКОЙ ОБЛАСТИ</v>
      </c>
      <c r="B15845" s="24" t="s">
        <v>17180</v>
      </c>
      <c r="C15845" s="25">
        <v>40666.68</v>
      </c>
      <c r="D15845" s="22" t="s">
        <v>18169</v>
      </c>
      <c r="E15845" s="22" t="s">
        <v>107</v>
      </c>
      <c r="F15845" s="23" t="str">
        <f>HYPERLINK("https://www.spark-marketing.ru/Card/Lot/67703526", "Оказание услуг по техническому обслуживанию системы охранной сигнализации")</f>
        <v>Оказание услуг по техническому обслуживанию системы охранной сигнализации</v>
      </c>
      <c r="G15845" s="22" t="s">
        <v>446</v>
      </c>
      <c r="H15845" s="22" t="s">
        <v>446</v>
      </c>
      <c r="I15845" s="26">
        <v>43501</v>
      </c>
      <c r="J15845" s="23" t="str">
        <f>HYPERLINK("https://www.spark-marketing.ru/Card/Person/859380", "ООО ""СИГНАЛ""")</f>
        <v>ООО "СИГНАЛ"</v>
      </c>
      <c r="K15845" s="24" t="s">
        <v>18171</v>
      </c>
      <c r="L15845" s="28" t="s">
        <v>52</v>
      </c>
      <c r="M15845" s="25">
        <v>33548.01</v>
      </c>
      <c r="N15845" s="27">
        <v>0.17504920490190004</v>
      </c>
    </row>
    <row r="15846" spans="1:14" hidden="1" outlineLevel="1" x14ac:dyDescent="0.2">
      <c r="A15846" s="23" t="str">
        <f>HYPERLINK("https://www.spark-marketing.ru/Card/Person/18431", "ОПФР ПО УЛЬЯНОВСКОЙ ОБЛАСТИ")</f>
        <v>ОПФР ПО УЛЬЯНОВСКОЙ ОБЛАСТИ</v>
      </c>
      <c r="B15846" s="24" t="s">
        <v>17180</v>
      </c>
      <c r="C15846" s="25">
        <v>40666.68</v>
      </c>
      <c r="D15846" s="22" t="s">
        <v>18169</v>
      </c>
      <c r="E15846" s="22" t="s">
        <v>107</v>
      </c>
      <c r="F15846" s="23" t="str">
        <f>HYPERLINK("https://www.spark-marketing.ru/Card/Lot/67703526", "Оказание услуг по техническому обслуживанию системы охранной сигнализации")</f>
        <v>Оказание услуг по техническому обслуживанию системы охранной сигнализации</v>
      </c>
      <c r="G15846" s="22" t="s">
        <v>446</v>
      </c>
      <c r="H15846" s="22" t="s">
        <v>446</v>
      </c>
      <c r="I15846" s="26">
        <v>43501</v>
      </c>
      <c r="J15846" s="23" t="str">
        <f>HYPERLINK("https://www.spark-marketing.ru/Card/Person/670092", "ООО ""ТЕХ-ЗАЩИТА""")</f>
        <v>ООО "ТЕХ-ЗАЩИТА"</v>
      </c>
      <c r="K15846" s="24" t="s">
        <v>7679</v>
      </c>
      <c r="L15846" s="28" t="s">
        <v>52</v>
      </c>
      <c r="M15846" s="25">
        <v>26228.1</v>
      </c>
      <c r="N15846" s="27">
        <v>0.35504693277149746</v>
      </c>
    </row>
    <row r="15847" spans="1:14" x14ac:dyDescent="0.15">
      <c r="A15847" s="23" t="str">
        <f>HYPERLINK("https://www.spark-marketing.ru/Card/Person/46570", "МЕЖРАЙОННАЯ ИФНС РОССИИ № 1 ПО ЗАБАЙКАЛЬСКОМУ КРАЮ")</f>
        <v>МЕЖРАЙОННАЯ ИФНС РОССИИ № 1 ПО ЗАБАЙКАЛЬСКОМУ КРАЮ</v>
      </c>
      <c r="B15847" s="24" t="s">
        <v>18172</v>
      </c>
      <c r="C15847" s="25">
        <v>126395.1</v>
      </c>
      <c r="D15847" s="22" t="s">
        <v>18173</v>
      </c>
      <c r="E15847" s="22" t="s">
        <v>68</v>
      </c>
      <c r="F15847" s="23" t="str">
        <f>HYPERLINK("https://www.spark-marketing.ru/Card/Lot/67692988", "Оказание услуг по централизованной охране объекта")</f>
        <v>Оказание услуг по централизованной охране объекта</v>
      </c>
      <c r="G15847" s="22" t="s">
        <v>473</v>
      </c>
      <c r="H15847" s="22" t="s">
        <v>18174</v>
      </c>
      <c r="I15847" s="26">
        <v>43501</v>
      </c>
      <c r="J15847" s="23" t="str">
        <f>HYPERLINK("https://www.spark-marketing.ru/Card/Person/35317", "ФГКУ ""УВО ВНГ РОССИИ ПО ЗАБАЙКАЛЬСКОМУ КРАЮ""")</f>
        <v>ФГКУ "УВО ВНГ РОССИИ ПО ЗАБАЙКАЛЬСКОМУ КРАЮ"</v>
      </c>
      <c r="K15847" s="24" t="s">
        <v>16908</v>
      </c>
      <c r="L15847" s="22" t="s">
        <v>10</v>
      </c>
      <c r="M15847" s="28" t="s">
        <v>52</v>
      </c>
      <c r="N15847" s="28" t="s">
        <v>52</v>
      </c>
    </row>
    <row r="15848" spans="1:14" x14ac:dyDescent="0.15">
      <c r="A15848" s="23" t="str">
        <f>HYPERLINK("https://www.spark-marketing.ru/Card/Person/258122", "ГКУ РД "" ДИРЕКЦИЯ ООПТ, ОХРАНЫ ЖИВОТНОГО МИРА И ВОДНЫХ БИОРЕСУРСОВ """)</f>
        <v>ГКУ РД " ДИРЕКЦИЯ ООПТ, ОХРАНЫ ЖИВОТНОГО МИРА И ВОДНЫХ БИОРЕСУРСОВ "</v>
      </c>
      <c r="B15848" s="24" t="s">
        <v>18175</v>
      </c>
      <c r="C15848" s="25">
        <v>13406.4</v>
      </c>
      <c r="D15848" s="22" t="s">
        <v>18176</v>
      </c>
      <c r="E15848" s="22" t="s">
        <v>68</v>
      </c>
      <c r="F15848" s="23" t="str">
        <f>HYPERLINK("https://www.spark-marketing.ru/Card/Lot/67706611", "Оказание услуг по централизованной охране объектов и техническому обслуживании средств ОПС")</f>
        <v>Оказание услуг по централизованной охране объектов и техническому обслуживании средств ОПС</v>
      </c>
      <c r="G15848" s="22" t="s">
        <v>595</v>
      </c>
      <c r="H15848" s="22" t="s">
        <v>595</v>
      </c>
      <c r="I15848" s="26">
        <v>43501</v>
      </c>
      <c r="J15848" s="28" t="s">
        <v>52</v>
      </c>
      <c r="K15848" s="28" t="s">
        <v>52</v>
      </c>
      <c r="L15848" s="28" t="s">
        <v>52</v>
      </c>
      <c r="M15848" s="28" t="s">
        <v>52</v>
      </c>
      <c r="N15848" s="28" t="s">
        <v>52</v>
      </c>
    </row>
    <row r="15849" spans="1:14" x14ac:dyDescent="0.15">
      <c r="A15849" s="23" t="str">
        <f>HYPERLINK("https://www.spark-marketing.ru/Card/Person/46518", "МИНСОЦЗАЩИТА АЛТАЙСКОГО КРАЯ")</f>
        <v>МИНСОЦЗАЩИТА АЛТАЙСКОГО КРАЯ</v>
      </c>
      <c r="B15849" s="24" t="s">
        <v>18177</v>
      </c>
      <c r="C15849" s="25">
        <v>60000</v>
      </c>
      <c r="D15849" s="22" t="s">
        <v>18178</v>
      </c>
      <c r="E15849" s="22" t="s">
        <v>68</v>
      </c>
      <c r="F15849" s="23" t="str">
        <f>HYPERLINK("https://www.spark-marketing.ru/Card/Lot/67692638", "Оказание комплекса услуг по централизованной охране объектов")</f>
        <v>Оказание комплекса услуг по централизованной охране объектов</v>
      </c>
      <c r="G15849" s="22" t="s">
        <v>428</v>
      </c>
      <c r="H15849" s="22" t="s">
        <v>429</v>
      </c>
      <c r="I15849" s="26">
        <v>43501</v>
      </c>
      <c r="J15849" s="28" t="s">
        <v>52</v>
      </c>
      <c r="K15849" s="28" t="s">
        <v>52</v>
      </c>
      <c r="L15849" s="28" t="s">
        <v>52</v>
      </c>
      <c r="M15849" s="28" t="s">
        <v>52</v>
      </c>
      <c r="N15849" s="28" t="s">
        <v>52</v>
      </c>
    </row>
    <row r="15850" spans="1:14" x14ac:dyDescent="0.15">
      <c r="A15850" s="23" t="str">
        <f>HYPERLINK("https://www.spark-marketing.ru/Card/Person/32859", "ГБУСОН РО ""НОВОЧЕРКАССКИЙ ПНИ""")</f>
        <v>ГБУСОН РО "НОВОЧЕРКАССКИЙ ПНИ"</v>
      </c>
      <c r="B15850" s="24" t="s">
        <v>18179</v>
      </c>
      <c r="C15850" s="25">
        <v>15000</v>
      </c>
      <c r="D15850" s="22" t="s">
        <v>18180</v>
      </c>
      <c r="E15850" s="22" t="s">
        <v>415</v>
      </c>
      <c r="F15850" s="23" t="str">
        <f>HYPERLINK("https://www.spark-marketing.ru/Card/Lot/67714767", "Техническое обслуживание системы видеонаблюдения")</f>
        <v>Техническое обслуживание системы видеонаблюдения</v>
      </c>
      <c r="G15850" s="22" t="s">
        <v>402</v>
      </c>
      <c r="H15850" s="22" t="s">
        <v>2663</v>
      </c>
      <c r="I15850" s="26">
        <v>43501</v>
      </c>
      <c r="J15850" s="28" t="s">
        <v>52</v>
      </c>
      <c r="K15850" s="28" t="s">
        <v>52</v>
      </c>
      <c r="L15850" s="28" t="s">
        <v>52</v>
      </c>
      <c r="M15850" s="28" t="s">
        <v>52</v>
      </c>
      <c r="N15850" s="28" t="s">
        <v>52</v>
      </c>
    </row>
    <row r="15851" spans="1:14" ht="12.75" hidden="1" outlineLevel="1" x14ac:dyDescent="0.2">
      <c r="A15851" s="23" t="str">
        <f>HYPERLINK("https://www.spark-marketing.ru/Card/Person/32859", "ГБУСОН РО ""НОВОЧЕРКАССКИЙ ПНИ""")</f>
        <v>ГБУСОН РО "НОВОЧЕРКАССКИЙ ПНИ"</v>
      </c>
      <c r="B15851" s="24" t="s">
        <v>18179</v>
      </c>
      <c r="C15851" s="25">
        <v>15000</v>
      </c>
      <c r="D15851" s="22" t="s">
        <v>18180</v>
      </c>
      <c r="E15851" s="22" t="s">
        <v>415</v>
      </c>
      <c r="F15851" s="23" t="str">
        <f>HYPERLINK("https://www.spark-marketing.ru/Card/Lot/67714767", "Техническое обслуживание системы видеонаблюдения")</f>
        <v>Техническое обслуживание системы видеонаблюдения</v>
      </c>
      <c r="G15851" s="22" t="s">
        <v>402</v>
      </c>
      <c r="H15851" s="22" t="s">
        <v>2663</v>
      </c>
      <c r="I15851" s="26">
        <v>43501</v>
      </c>
      <c r="J15851" s="23" t="str">
        <f>HYPERLINK("https://www.spark-marketing.ru/Card/Person/6071685", "Сафонова Елена Александровна")</f>
        <v>Сафонова Елена Александровна</v>
      </c>
      <c r="K15851" s="24" t="s">
        <v>12636</v>
      </c>
      <c r="L15851" s="22" t="s">
        <v>10</v>
      </c>
      <c r="M15851" s="25">
        <v>7931</v>
      </c>
      <c r="N15851" s="27">
        <v>0.47126666666666667</v>
      </c>
    </row>
    <row r="15852" spans="1:14" hidden="1" outlineLevel="1" x14ac:dyDescent="0.2">
      <c r="A15852" s="23" t="str">
        <f>HYPERLINK("https://www.spark-marketing.ru/Card/Person/32859", "ГБУСОН РО ""НОВОЧЕРКАССКИЙ ПНИ""")</f>
        <v>ГБУСОН РО "НОВОЧЕРКАССКИЙ ПНИ"</v>
      </c>
      <c r="B15852" s="24" t="s">
        <v>18179</v>
      </c>
      <c r="C15852" s="25">
        <v>15000</v>
      </c>
      <c r="D15852" s="22" t="s">
        <v>18180</v>
      </c>
      <c r="E15852" s="22" t="s">
        <v>415</v>
      </c>
      <c r="F15852" s="23" t="str">
        <f>HYPERLINK("https://www.spark-marketing.ru/Card/Lot/67714767", "Техническое обслуживание системы видеонаблюдения")</f>
        <v>Техническое обслуживание системы видеонаблюдения</v>
      </c>
      <c r="G15852" s="22" t="s">
        <v>402</v>
      </c>
      <c r="H15852" s="22" t="s">
        <v>2663</v>
      </c>
      <c r="I15852" s="26">
        <v>43501</v>
      </c>
      <c r="J15852" s="23" t="str">
        <f>HYPERLINK("https://www.spark-marketing.ru/Card/Person/425632", "Пегушин Дмитрий Александрович")</f>
        <v>Пегушин Дмитрий Александрович</v>
      </c>
      <c r="K15852" s="24" t="s">
        <v>13625</v>
      </c>
      <c r="L15852" s="28" t="s">
        <v>52</v>
      </c>
      <c r="M15852" s="25">
        <v>12000</v>
      </c>
      <c r="N15852" s="27">
        <v>0.2</v>
      </c>
    </row>
    <row r="15853" spans="1:14" x14ac:dyDescent="0.15">
      <c r="A15853" s="23" t="str">
        <f>HYPERLINK("https://www.spark-marketing.ru/Card/Person/62862", "СУ СК РОССИИ ПО РЕСПУБЛИКЕ КОМИ")</f>
        <v>СУ СК РОССИИ ПО РЕСПУБЛИКЕ КОМИ</v>
      </c>
      <c r="B15853" s="24" t="s">
        <v>2531</v>
      </c>
      <c r="C15853" s="25">
        <v>2667455.88</v>
      </c>
      <c r="D15853" s="22" t="s">
        <v>18181</v>
      </c>
      <c r="E15853" s="22" t="s">
        <v>68</v>
      </c>
      <c r="F15853" s="23" t="str">
        <f>HYPERLINK("https://www.spark-marketing.ru/Card/Lot/67708105", "Оказание услуг по охране объектов с помощью пульта централизованного наблюдения")</f>
        <v>Оказание услуг по охране объектов с помощью пульта централизованного наблюдения</v>
      </c>
      <c r="G15853" s="22" t="s">
        <v>538</v>
      </c>
      <c r="H15853" s="22" t="s">
        <v>538</v>
      </c>
      <c r="I15853" s="26">
        <v>43501</v>
      </c>
      <c r="J15853" s="28" t="s">
        <v>52</v>
      </c>
      <c r="K15853" s="28" t="s">
        <v>52</v>
      </c>
      <c r="L15853" s="28" t="s">
        <v>52</v>
      </c>
      <c r="M15853" s="28" t="s">
        <v>52</v>
      </c>
      <c r="N15853" s="28" t="s">
        <v>52</v>
      </c>
    </row>
    <row r="15854" spans="1:14" x14ac:dyDescent="0.15">
      <c r="A15854" s="23" t="str">
        <f>HYPERLINK("https://www.spark-marketing.ru/Card/Person/19356", "УПРАВЛЕНИЕ РОСРЕЕСТРА ПО МОСКОВСКОЙ ОБЛАСТИ")</f>
        <v>УПРАВЛЕНИЕ РОСРЕЕСТРА ПО МОСКОВСКОЙ ОБЛАСТИ</v>
      </c>
      <c r="B15854" s="24" t="s">
        <v>18182</v>
      </c>
      <c r="C15854" s="25">
        <v>5171944.6399999997</v>
      </c>
      <c r="D15854" s="22" t="s">
        <v>18183</v>
      </c>
      <c r="E15854" s="22" t="s">
        <v>68</v>
      </c>
      <c r="F15854" s="23" t="str">
        <f>HYPERLINK("https://www.spark-marketing.ru/Card/Lot/67713635", "Оказание охранных услуг")</f>
        <v>Оказание охранных услуг</v>
      </c>
      <c r="G15854" s="22" t="s">
        <v>50</v>
      </c>
      <c r="H15854" s="22" t="s">
        <v>50</v>
      </c>
      <c r="I15854" s="26">
        <v>43501</v>
      </c>
      <c r="J15854" s="28" t="s">
        <v>52</v>
      </c>
      <c r="K15854" s="28" t="s">
        <v>52</v>
      </c>
      <c r="L15854" s="28" t="s">
        <v>52</v>
      </c>
      <c r="M15854" s="28" t="s">
        <v>52</v>
      </c>
      <c r="N15854" s="28" t="s">
        <v>52</v>
      </c>
    </row>
    <row r="15855" spans="1:14" x14ac:dyDescent="0.15">
      <c r="A15855" s="23" t="str">
        <f t="shared" ref="A15855:A15865" si="831">HYPERLINK("https://www.spark-marketing.ru/Card/Person/19143", "УФНС РОССИИ ПО ПЕРМСКОМУ КРАЮ")</f>
        <v>УФНС РОССИИ ПО ПЕРМСКОМУ КРАЮ</v>
      </c>
      <c r="B15855" s="24" t="s">
        <v>18184</v>
      </c>
      <c r="C15855" s="25">
        <v>94000</v>
      </c>
      <c r="D15855" s="22" t="s">
        <v>18185</v>
      </c>
      <c r="E15855" s="22" t="s">
        <v>107</v>
      </c>
      <c r="F15855" s="23" t="str">
        <f t="shared" ref="F15855:F15865" si="832">HYPERLINK("https://www.spark-marketing.ru/Card/Lot/67696846", "Оказание услуг (работ) по техническому обслуживанию систем видеонаблюдения, управления контролем доступа (далее - системы), в административном здании УФНС России по Пермскому краю расположенному по адресу: г.Пермь, ул.Окулова, 46 в 2019 году.")</f>
        <v>Оказание услуг (работ) по техническому обслуживанию систем видеонаблюдения, управления контролем доступа (далее - системы), в административном здании УФНС России по Пермскому краю расположенному по адресу: г.Пермь, ул.Окулова, 46 в 2019 году.</v>
      </c>
      <c r="G15855" s="22" t="s">
        <v>391</v>
      </c>
      <c r="H15855" s="22" t="s">
        <v>392</v>
      </c>
      <c r="I15855" s="26">
        <v>43501</v>
      </c>
      <c r="J15855" s="28" t="s">
        <v>52</v>
      </c>
      <c r="K15855" s="28" t="s">
        <v>52</v>
      </c>
      <c r="L15855" s="28" t="s">
        <v>52</v>
      </c>
      <c r="M15855" s="28" t="s">
        <v>52</v>
      </c>
      <c r="N15855" s="28" t="s">
        <v>52</v>
      </c>
    </row>
    <row r="15856" spans="1:14" hidden="1" outlineLevel="1" x14ac:dyDescent="0.2">
      <c r="A15856" s="23" t="str">
        <f t="shared" si="831"/>
        <v>УФНС РОССИИ ПО ПЕРМСКОМУ КРАЮ</v>
      </c>
      <c r="B15856" s="24" t="s">
        <v>18184</v>
      </c>
      <c r="C15856" s="25">
        <v>94000</v>
      </c>
      <c r="D15856" s="22" t="s">
        <v>18185</v>
      </c>
      <c r="E15856" s="22" t="s">
        <v>107</v>
      </c>
      <c r="F15856" s="23" t="str">
        <f t="shared" si="832"/>
        <v>Оказание услуг (работ) по техническому обслуживанию систем видеонаблюдения, управления контролем доступа (далее - системы), в административном здании УФНС России по Пермскому краю расположенному по адресу: г.Пермь, ул.Окулова, 46 в 2019 году.</v>
      </c>
      <c r="G15856" s="22" t="s">
        <v>391</v>
      </c>
      <c r="H15856" s="22" t="s">
        <v>392</v>
      </c>
      <c r="I15856" s="26">
        <v>43501</v>
      </c>
      <c r="J15856" s="23" t="str">
        <f>HYPERLINK("https://www.spark-marketing.ru/Card/Person/6267191", "Главатских Юрий Николаевич")</f>
        <v>Главатских Юрий Николаевич</v>
      </c>
      <c r="K15856" s="24" t="s">
        <v>15952</v>
      </c>
      <c r="L15856" s="28" t="s">
        <v>52</v>
      </c>
      <c r="M15856" s="25">
        <v>49820</v>
      </c>
      <c r="N15856" s="27">
        <v>0.47</v>
      </c>
    </row>
    <row r="15857" spans="1:14" hidden="1" outlineLevel="1" x14ac:dyDescent="0.2">
      <c r="A15857" s="23" t="str">
        <f t="shared" si="831"/>
        <v>УФНС РОССИИ ПО ПЕРМСКОМУ КРАЮ</v>
      </c>
      <c r="B15857" s="24" t="s">
        <v>18184</v>
      </c>
      <c r="C15857" s="25">
        <v>94000</v>
      </c>
      <c r="D15857" s="22" t="s">
        <v>18185</v>
      </c>
      <c r="E15857" s="22" t="s">
        <v>107</v>
      </c>
      <c r="F15857" s="23" t="str">
        <f t="shared" si="832"/>
        <v>Оказание услуг (работ) по техническому обслуживанию систем видеонаблюдения, управления контролем доступа (далее - системы), в административном здании УФНС России по Пермскому краю расположенному по адресу: г.Пермь, ул.Окулова, 46 в 2019 году.</v>
      </c>
      <c r="G15857" s="22" t="s">
        <v>391</v>
      </c>
      <c r="H15857" s="22" t="s">
        <v>392</v>
      </c>
      <c r="I15857" s="26">
        <v>43501</v>
      </c>
      <c r="J15857" s="23" t="str">
        <f>HYPERLINK("https://www.spark-marketing.ru/Card/Person/791894", "ООО ""ДОМОФОНЫ ПРИКАМЬЯ +""")</f>
        <v>ООО "ДОМОФОНЫ ПРИКАМЬЯ +"</v>
      </c>
      <c r="K15857" s="24" t="s">
        <v>18186</v>
      </c>
      <c r="L15857" s="28" t="s">
        <v>52</v>
      </c>
      <c r="M15857" s="25">
        <v>24610</v>
      </c>
      <c r="N15857" s="27">
        <v>0.73819148936170209</v>
      </c>
    </row>
    <row r="15858" spans="1:14" hidden="1" outlineLevel="1" x14ac:dyDescent="0.2">
      <c r="A15858" s="23" t="str">
        <f t="shared" si="831"/>
        <v>УФНС РОССИИ ПО ПЕРМСКОМУ КРАЮ</v>
      </c>
      <c r="B15858" s="24" t="s">
        <v>18184</v>
      </c>
      <c r="C15858" s="25">
        <v>94000</v>
      </c>
      <c r="D15858" s="22" t="s">
        <v>18185</v>
      </c>
      <c r="E15858" s="22" t="s">
        <v>107</v>
      </c>
      <c r="F15858" s="23" t="str">
        <f t="shared" si="832"/>
        <v>Оказание услуг (работ) по техническому обслуживанию систем видеонаблюдения, управления контролем доступа (далее - системы), в административном здании УФНС России по Пермскому краю расположенному по адресу: г.Пермь, ул.Окулова, 46 в 2019 году.</v>
      </c>
      <c r="G15858" s="22" t="s">
        <v>391</v>
      </c>
      <c r="H15858" s="22" t="s">
        <v>392</v>
      </c>
      <c r="I15858" s="26">
        <v>43501</v>
      </c>
      <c r="J15858" s="23" t="str">
        <f>HYPERLINK("https://www.spark-marketing.ru/Card/Person/6327420", "ООО ""АРС""")</f>
        <v>ООО "АРС"</v>
      </c>
      <c r="K15858" s="24" t="s">
        <v>3595</v>
      </c>
      <c r="L15858" s="28" t="s">
        <v>52</v>
      </c>
      <c r="M15858" s="25">
        <v>75000</v>
      </c>
      <c r="N15858" s="27">
        <v>0.20212765957446807</v>
      </c>
    </row>
    <row r="15859" spans="1:14" hidden="1" outlineLevel="1" x14ac:dyDescent="0.2">
      <c r="A15859" s="23" t="str">
        <f t="shared" si="831"/>
        <v>УФНС РОССИИ ПО ПЕРМСКОМУ КРАЮ</v>
      </c>
      <c r="B15859" s="24" t="s">
        <v>18184</v>
      </c>
      <c r="C15859" s="25">
        <v>94000</v>
      </c>
      <c r="D15859" s="22" t="s">
        <v>18185</v>
      </c>
      <c r="E15859" s="22" t="s">
        <v>107</v>
      </c>
      <c r="F15859" s="23" t="str">
        <f t="shared" si="832"/>
        <v>Оказание услуг (работ) по техническому обслуживанию систем видеонаблюдения, управления контролем доступа (далее - системы), в административном здании УФНС России по Пермскому краю расположенному по адресу: г.Пермь, ул.Окулова, 46 в 2019 году.</v>
      </c>
      <c r="G15859" s="22" t="s">
        <v>391</v>
      </c>
      <c r="H15859" s="22" t="s">
        <v>392</v>
      </c>
      <c r="I15859" s="26">
        <v>43501</v>
      </c>
      <c r="J15859" s="23" t="str">
        <f>HYPERLINK("https://www.spark-marketing.ru/Card/Person/358475", "ООО ""ОП ""АРСЕНАЛ-СОЮЗ""")</f>
        <v>ООО "ОП "АРСЕНАЛ-СОЮЗ"</v>
      </c>
      <c r="K15859" s="24" t="s">
        <v>18187</v>
      </c>
      <c r="L15859" s="28" t="s">
        <v>52</v>
      </c>
      <c r="M15859" s="25">
        <v>36360</v>
      </c>
      <c r="N15859" s="27">
        <v>0.61319148936170209</v>
      </c>
    </row>
    <row r="15860" spans="1:14" hidden="1" outlineLevel="1" x14ac:dyDescent="0.2">
      <c r="A15860" s="23" t="str">
        <f t="shared" si="831"/>
        <v>УФНС РОССИИ ПО ПЕРМСКОМУ КРАЮ</v>
      </c>
      <c r="B15860" s="24" t="s">
        <v>18184</v>
      </c>
      <c r="C15860" s="25">
        <v>94000</v>
      </c>
      <c r="D15860" s="22" t="s">
        <v>18185</v>
      </c>
      <c r="E15860" s="22" t="s">
        <v>107</v>
      </c>
      <c r="F15860" s="23" t="str">
        <f t="shared" si="832"/>
        <v>Оказание услуг (работ) по техническому обслуживанию систем видеонаблюдения, управления контролем доступа (далее - системы), в административном здании УФНС России по Пермскому краю расположенному по адресу: г.Пермь, ул.Окулова, 46 в 2019 году.</v>
      </c>
      <c r="G15860" s="22" t="s">
        <v>391</v>
      </c>
      <c r="H15860" s="22" t="s">
        <v>392</v>
      </c>
      <c r="I15860" s="26">
        <v>43501</v>
      </c>
      <c r="J15860" s="23" t="str">
        <f>HYPERLINK("https://www.spark-marketing.ru/Card/Person/6449583", "ООО ""СКБ""")</f>
        <v>ООО "СКБ"</v>
      </c>
      <c r="K15860" s="24" t="s">
        <v>18188</v>
      </c>
      <c r="L15860" s="28" t="s">
        <v>52</v>
      </c>
      <c r="M15860" s="25">
        <v>45548.28</v>
      </c>
      <c r="N15860" s="27">
        <v>0.51544382978723402</v>
      </c>
    </row>
    <row r="15861" spans="1:14" hidden="1" outlineLevel="1" x14ac:dyDescent="0.2">
      <c r="A15861" s="23" t="str">
        <f t="shared" si="831"/>
        <v>УФНС РОССИИ ПО ПЕРМСКОМУ КРАЮ</v>
      </c>
      <c r="B15861" s="24" t="s">
        <v>18184</v>
      </c>
      <c r="C15861" s="25">
        <v>94000</v>
      </c>
      <c r="D15861" s="22" t="s">
        <v>18185</v>
      </c>
      <c r="E15861" s="22" t="s">
        <v>107</v>
      </c>
      <c r="F15861" s="23" t="str">
        <f t="shared" si="832"/>
        <v>Оказание услуг (работ) по техническому обслуживанию систем видеонаблюдения, управления контролем доступа (далее - системы), в административном здании УФНС России по Пермскому краю расположенному по адресу: г.Пермь, ул.Окулова, 46 в 2019 году.</v>
      </c>
      <c r="G15861" s="22" t="s">
        <v>391</v>
      </c>
      <c r="H15861" s="22" t="s">
        <v>392</v>
      </c>
      <c r="I15861" s="26">
        <v>43501</v>
      </c>
      <c r="J15861" s="23" t="str">
        <f>HYPERLINK("https://www.spark-marketing.ru/Card/Person/989179", "Караксин Андрей Викторович")</f>
        <v>Караксин Андрей Викторович</v>
      </c>
      <c r="K15861" s="24" t="s">
        <v>18189</v>
      </c>
      <c r="L15861" s="28" t="s">
        <v>52</v>
      </c>
      <c r="M15861" s="25">
        <v>27900</v>
      </c>
      <c r="N15861" s="27">
        <v>0.70319148936170217</v>
      </c>
    </row>
    <row r="15862" spans="1:14" hidden="1" outlineLevel="1" x14ac:dyDescent="0.2">
      <c r="A15862" s="23" t="str">
        <f t="shared" si="831"/>
        <v>УФНС РОССИИ ПО ПЕРМСКОМУ КРАЮ</v>
      </c>
      <c r="B15862" s="24" t="s">
        <v>18184</v>
      </c>
      <c r="C15862" s="25">
        <v>94000</v>
      </c>
      <c r="D15862" s="22" t="s">
        <v>18185</v>
      </c>
      <c r="E15862" s="22" t="s">
        <v>107</v>
      </c>
      <c r="F15862" s="23" t="str">
        <f t="shared" si="832"/>
        <v>Оказание услуг (работ) по техническому обслуживанию систем видеонаблюдения, управления контролем доступа (далее - системы), в административном здании УФНС России по Пермскому краю расположенному по адресу: г.Пермь, ул.Окулова, 46 в 2019 году.</v>
      </c>
      <c r="G15862" s="22" t="s">
        <v>391</v>
      </c>
      <c r="H15862" s="22" t="s">
        <v>392</v>
      </c>
      <c r="I15862" s="26">
        <v>43501</v>
      </c>
      <c r="J15862" s="23" t="str">
        <f>HYPERLINK("https://www.spark-marketing.ru/Card/Person/5871678", "Воробьев Андрей Сергеевич")</f>
        <v>Воробьев Андрей Сергеевич</v>
      </c>
      <c r="K15862" s="24" t="s">
        <v>18190</v>
      </c>
      <c r="L15862" s="28" t="s">
        <v>52</v>
      </c>
      <c r="M15862" s="25">
        <v>28840</v>
      </c>
      <c r="N15862" s="27">
        <v>0.69319148936170216</v>
      </c>
    </row>
    <row r="15863" spans="1:14" hidden="1" outlineLevel="1" x14ac:dyDescent="0.2">
      <c r="A15863" s="23" t="str">
        <f t="shared" si="831"/>
        <v>УФНС РОССИИ ПО ПЕРМСКОМУ КРАЮ</v>
      </c>
      <c r="B15863" s="24" t="s">
        <v>18184</v>
      </c>
      <c r="C15863" s="25">
        <v>94000</v>
      </c>
      <c r="D15863" s="22" t="s">
        <v>18185</v>
      </c>
      <c r="E15863" s="22" t="s">
        <v>107</v>
      </c>
      <c r="F15863" s="23" t="str">
        <f t="shared" si="832"/>
        <v>Оказание услуг (работ) по техническому обслуживанию систем видеонаблюдения, управления контролем доступа (далее - системы), в административном здании УФНС России по Пермскому краю расположенному по адресу: г.Пермь, ул.Окулова, 46 в 2019 году.</v>
      </c>
      <c r="G15863" s="22" t="s">
        <v>391</v>
      </c>
      <c r="H15863" s="22" t="s">
        <v>392</v>
      </c>
      <c r="I15863" s="26">
        <v>43501</v>
      </c>
      <c r="J15863" s="23" t="str">
        <f>HYPERLINK("https://www.spark-marketing.ru/Card/Person/244345", "ПРОТОН ООО")</f>
        <v>ПРОТОН ООО</v>
      </c>
      <c r="K15863" s="24" t="s">
        <v>18191</v>
      </c>
      <c r="L15863" s="28" t="s">
        <v>52</v>
      </c>
      <c r="M15863" s="25">
        <v>69090</v>
      </c>
      <c r="N15863" s="27">
        <v>0.26500000000000001</v>
      </c>
    </row>
    <row r="15864" spans="1:14" hidden="1" outlineLevel="1" x14ac:dyDescent="0.2">
      <c r="A15864" s="23" t="str">
        <f t="shared" si="831"/>
        <v>УФНС РОССИИ ПО ПЕРМСКОМУ КРАЮ</v>
      </c>
      <c r="B15864" s="24" t="s">
        <v>18184</v>
      </c>
      <c r="C15864" s="25">
        <v>94000</v>
      </c>
      <c r="D15864" s="22" t="s">
        <v>18185</v>
      </c>
      <c r="E15864" s="22" t="s">
        <v>107</v>
      </c>
      <c r="F15864" s="23" t="str">
        <f t="shared" si="832"/>
        <v>Оказание услуг (работ) по техническому обслуживанию систем видеонаблюдения, управления контролем доступа (далее - системы), в административном здании УФНС России по Пермскому краю расположенному по адресу: г.Пермь, ул.Окулова, 46 в 2019 году.</v>
      </c>
      <c r="G15864" s="22" t="s">
        <v>391</v>
      </c>
      <c r="H15864" s="22" t="s">
        <v>392</v>
      </c>
      <c r="I15864" s="26">
        <v>43501</v>
      </c>
      <c r="J15864" s="23" t="str">
        <f>HYPERLINK("https://www.spark-marketing.ru/Card/Person/5853123", "Ершов Андрей Алексеевич")</f>
        <v>Ершов Андрей Алексеевич</v>
      </c>
      <c r="K15864" s="24" t="s">
        <v>1063</v>
      </c>
      <c r="L15864" s="28" t="s">
        <v>52</v>
      </c>
      <c r="M15864" s="25">
        <v>94000</v>
      </c>
      <c r="N15864" s="27">
        <v>0</v>
      </c>
    </row>
    <row r="15865" spans="1:14" ht="12.75" hidden="1" outlineLevel="1" x14ac:dyDescent="0.2">
      <c r="A15865" s="23" t="str">
        <f t="shared" si="831"/>
        <v>УФНС РОССИИ ПО ПЕРМСКОМУ КРАЮ</v>
      </c>
      <c r="B15865" s="24" t="s">
        <v>18184</v>
      </c>
      <c r="C15865" s="25">
        <v>94000</v>
      </c>
      <c r="D15865" s="22" t="s">
        <v>18185</v>
      </c>
      <c r="E15865" s="22" t="s">
        <v>107</v>
      </c>
      <c r="F15865" s="23" t="str">
        <f t="shared" si="832"/>
        <v>Оказание услуг (работ) по техническому обслуживанию систем видеонаблюдения, управления контролем доступа (далее - системы), в административном здании УФНС России по Пермскому краю расположенному по адресу: г.Пермь, ул.Окулова, 46 в 2019 году.</v>
      </c>
      <c r="G15865" s="22" t="s">
        <v>391</v>
      </c>
      <c r="H15865" s="22" t="s">
        <v>392</v>
      </c>
      <c r="I15865" s="26">
        <v>43501</v>
      </c>
      <c r="J15865" s="23" t="str">
        <f>HYPERLINK("https://www.spark-marketing.ru/Card/Person/1975583", "Кинцель Андрей Владиславович")</f>
        <v>Кинцель Андрей Владиславович</v>
      </c>
      <c r="K15865" s="24" t="s">
        <v>18192</v>
      </c>
      <c r="L15865" s="22" t="s">
        <v>10</v>
      </c>
      <c r="M15865" s="25">
        <v>24610</v>
      </c>
      <c r="N15865" s="27">
        <v>0.73819148936170209</v>
      </c>
    </row>
    <row r="15866" spans="1:14" x14ac:dyDescent="0.15">
      <c r="A15866" s="23" t="str">
        <f>HYPERLINK("https://www.spark-marketing.ru/Card/Person/92046", "МЕЖРАЙОННАЯ ИФНС РОССИИ № 3 ПО ОМСКОЙ ОБЛАСТИ")</f>
        <v>МЕЖРАЙОННАЯ ИФНС РОССИИ № 3 ПО ОМСКОЙ ОБЛАСТИ</v>
      </c>
      <c r="B15866" s="24" t="s">
        <v>9422</v>
      </c>
      <c r="C15866" s="25">
        <v>394095.2</v>
      </c>
      <c r="D15866" s="22" t="s">
        <v>18193</v>
      </c>
      <c r="E15866" s="22" t="s">
        <v>68</v>
      </c>
      <c r="F15866" s="23" t="str">
        <f>HYPERLINK("https://www.spark-marketing.ru/Card/Lot/67709850", "Услуги физической охраны")</f>
        <v>Услуги физической охраны</v>
      </c>
      <c r="G15866" s="22" t="s">
        <v>521</v>
      </c>
      <c r="H15866" s="22" t="s">
        <v>521</v>
      </c>
      <c r="I15866" s="26">
        <v>43501</v>
      </c>
      <c r="J15866" s="28" t="s">
        <v>52</v>
      </c>
      <c r="K15866" s="28" t="s">
        <v>52</v>
      </c>
      <c r="L15866" s="28" t="s">
        <v>52</v>
      </c>
      <c r="M15866" s="28" t="s">
        <v>52</v>
      </c>
      <c r="N15866" s="28" t="s">
        <v>52</v>
      </c>
    </row>
    <row r="15867" spans="1:14" ht="12.75" hidden="1" outlineLevel="1" x14ac:dyDescent="0.2">
      <c r="A15867" s="23" t="str">
        <f>HYPERLINK("https://www.spark-marketing.ru/Card/Person/92046", "МЕЖРАЙОННАЯ ИФНС РОССИИ № 3 ПО ОМСКОЙ ОБЛАСТИ")</f>
        <v>МЕЖРАЙОННАЯ ИФНС РОССИИ № 3 ПО ОМСКОЙ ОБЛАСТИ</v>
      </c>
      <c r="B15867" s="24" t="s">
        <v>9422</v>
      </c>
      <c r="C15867" s="25">
        <v>394095.2</v>
      </c>
      <c r="D15867" s="22" t="s">
        <v>18193</v>
      </c>
      <c r="E15867" s="22" t="s">
        <v>68</v>
      </c>
      <c r="F15867" s="23" t="str">
        <f>HYPERLINK("https://www.spark-marketing.ru/Card/Lot/67709850", "Услуги физической охраны")</f>
        <v>Услуги физической охраны</v>
      </c>
      <c r="G15867" s="22" t="s">
        <v>521</v>
      </c>
      <c r="H15867" s="22" t="s">
        <v>521</v>
      </c>
      <c r="I15867" s="26">
        <v>43501</v>
      </c>
      <c r="J15867" s="23" t="str">
        <f>HYPERLINK("https://www.spark-marketing.ru/Card/Person/4485266", "ООО ЧОО ""СВОИ""")</f>
        <v>ООО ЧОО "СВОИ"</v>
      </c>
      <c r="K15867" s="24" t="s">
        <v>6675</v>
      </c>
      <c r="L15867" s="22" t="s">
        <v>10</v>
      </c>
      <c r="M15867" s="25">
        <v>249000</v>
      </c>
      <c r="N15867" s="27">
        <v>0.36817296937389749</v>
      </c>
    </row>
    <row r="15868" spans="1:14" hidden="1" outlineLevel="1" x14ac:dyDescent="0.2">
      <c r="A15868" s="23" t="str">
        <f>HYPERLINK("https://www.spark-marketing.ru/Card/Person/92046", "МЕЖРАЙОННАЯ ИФНС РОССИИ № 3 ПО ОМСКОЙ ОБЛАСТИ")</f>
        <v>МЕЖРАЙОННАЯ ИФНС РОССИИ № 3 ПО ОМСКОЙ ОБЛАСТИ</v>
      </c>
      <c r="B15868" s="24" t="s">
        <v>9422</v>
      </c>
      <c r="C15868" s="25">
        <v>394095.2</v>
      </c>
      <c r="D15868" s="22" t="s">
        <v>18193</v>
      </c>
      <c r="E15868" s="22" t="s">
        <v>68</v>
      </c>
      <c r="F15868" s="23" t="str">
        <f>HYPERLINK("https://www.spark-marketing.ru/Card/Lot/67709850", "Услуги физической охраны")</f>
        <v>Услуги физической охраны</v>
      </c>
      <c r="G15868" s="22" t="s">
        <v>521</v>
      </c>
      <c r="H15868" s="22" t="s">
        <v>521</v>
      </c>
      <c r="I15868" s="26">
        <v>43501</v>
      </c>
      <c r="J15868" s="23" t="str">
        <f>HYPERLINK("https://www.spark-marketing.ru/Card/Person/65468", "ООО ЧОП ""АСГАРД""")</f>
        <v>ООО ЧОП "АСГАРД"</v>
      </c>
      <c r="K15868" s="24" t="s">
        <v>18194</v>
      </c>
      <c r="L15868" s="28" t="s">
        <v>52</v>
      </c>
      <c r="M15868" s="25">
        <v>364320</v>
      </c>
      <c r="N15868" s="27">
        <v>7.5553318081519383E-2</v>
      </c>
    </row>
    <row r="15869" spans="1:14" x14ac:dyDescent="0.15">
      <c r="A15869" s="23" t="str">
        <f>HYPERLINK("https://www.spark-marketing.ru/Card/Person/139543", "УПРАВЛЕНИЕ ПО ОБЕСПЕЧЕНИЮ ДЕЯТЕЛЬНОСТИ МИРОВЫХ СУДЕЙ ЧАО")</f>
        <v>УПРАВЛЕНИЕ ПО ОБЕСПЕЧЕНИЮ ДЕЯТЕЛЬНОСТИ МИРОВЫХ СУДЕЙ ЧАО</v>
      </c>
      <c r="B15869" s="24" t="s">
        <v>13835</v>
      </c>
      <c r="C15869" s="25">
        <v>777087.78</v>
      </c>
      <c r="D15869" s="22" t="s">
        <v>18195</v>
      </c>
      <c r="E15869" s="22" t="s">
        <v>68</v>
      </c>
      <c r="F15869" s="23" t="str">
        <f>HYPERLINK("https://www.spark-marketing.ru/Card/Lot/67691746", "Охрана объекта с помощью охранной сигнализации")</f>
        <v>Охрана объекта с помощью охранной сигнализации</v>
      </c>
      <c r="G15869" s="22" t="s">
        <v>1544</v>
      </c>
      <c r="H15869" s="22" t="s">
        <v>8237</v>
      </c>
      <c r="I15869" s="26">
        <v>43501</v>
      </c>
      <c r="J15869" s="28" t="s">
        <v>52</v>
      </c>
      <c r="K15869" s="28" t="s">
        <v>52</v>
      </c>
      <c r="L15869" s="28" t="s">
        <v>52</v>
      </c>
      <c r="M15869" s="28" t="s">
        <v>52</v>
      </c>
      <c r="N15869" s="28" t="s">
        <v>52</v>
      </c>
    </row>
    <row r="15870" spans="1:14" x14ac:dyDescent="0.15">
      <c r="A15870" s="23" t="str">
        <f>HYPERLINK("https://www.spark-marketing.ru/Card/Person/51632", "СУ СК РОССИИ ПО КАМЧАТСКОМУ КРАЮ")</f>
        <v>СУ СК РОССИИ ПО КАМЧАТСКОМУ КРАЮ</v>
      </c>
      <c r="B15870" s="24" t="s">
        <v>13551</v>
      </c>
      <c r="C15870" s="25">
        <v>2758173.6</v>
      </c>
      <c r="D15870" s="22" t="s">
        <v>18196</v>
      </c>
      <c r="E15870" s="22" t="s">
        <v>68</v>
      </c>
      <c r="F15870" s="23" t="str">
        <f>HYPERLINK("https://www.spark-marketing.ru/Card/Lot/67695464", "Услуги физической охраны объектов следственного управления Следственного комитета Российской Федерации по Камчатскому краю")</f>
        <v>Услуги физической охраны объектов следственного управления Следственного комитета Российской Федерации по Камчатскому краю</v>
      </c>
      <c r="G15870" s="22" t="s">
        <v>1141</v>
      </c>
      <c r="H15870" s="22" t="s">
        <v>1142</v>
      </c>
      <c r="I15870" s="26">
        <v>43501</v>
      </c>
      <c r="J15870" s="28" t="s">
        <v>52</v>
      </c>
      <c r="K15870" s="28" t="s">
        <v>52</v>
      </c>
      <c r="L15870" s="28" t="s">
        <v>52</v>
      </c>
      <c r="M15870" s="28" t="s">
        <v>52</v>
      </c>
      <c r="N15870" s="28" t="s">
        <v>52</v>
      </c>
    </row>
    <row r="15871" spans="1:14" x14ac:dyDescent="0.15">
      <c r="A15871" s="23" t="str">
        <f>HYPERLINK("https://www.spark-marketing.ru/Card/Person/8127", "ФКУ ""ДВОУМТС МВД РОССИИ""")</f>
        <v>ФКУ "ДВОУМТС МВД РОССИИ"</v>
      </c>
      <c r="B15871" s="24" t="s">
        <v>15027</v>
      </c>
      <c r="C15871" s="25">
        <v>3595194.06</v>
      </c>
      <c r="D15871" s="22" t="s">
        <v>18197</v>
      </c>
      <c r="E15871" s="22" t="s">
        <v>1297</v>
      </c>
      <c r="F15871" s="23" t="str">
        <f>HYPERLINK("https://www.spark-marketing.ru/Card/Lot/67692967", "Видеокамеры цифровые")</f>
        <v>Видеокамеры цифровые</v>
      </c>
      <c r="G15871" s="22" t="s">
        <v>138</v>
      </c>
      <c r="H15871" s="22" t="s">
        <v>138</v>
      </c>
      <c r="I15871" s="26">
        <v>43501</v>
      </c>
      <c r="J15871" s="28" t="s">
        <v>52</v>
      </c>
      <c r="K15871" s="28" t="s">
        <v>52</v>
      </c>
      <c r="L15871" s="28" t="s">
        <v>52</v>
      </c>
      <c r="M15871" s="28" t="s">
        <v>52</v>
      </c>
      <c r="N15871" s="28" t="s">
        <v>52</v>
      </c>
    </row>
    <row r="15872" spans="1:14" ht="12.75" hidden="1" outlineLevel="1" x14ac:dyDescent="0.2">
      <c r="A15872" s="23" t="str">
        <f>HYPERLINK("https://www.spark-marketing.ru/Card/Person/8127", "ФКУ ""ДВОУМТС МВД РОССИИ""")</f>
        <v>ФКУ "ДВОУМТС МВД РОССИИ"</v>
      </c>
      <c r="B15872" s="24" t="s">
        <v>15027</v>
      </c>
      <c r="C15872" s="25">
        <v>3595194.06</v>
      </c>
      <c r="D15872" s="22" t="s">
        <v>18197</v>
      </c>
      <c r="E15872" s="22" t="s">
        <v>1297</v>
      </c>
      <c r="F15872" s="23" t="str">
        <f>HYPERLINK("https://www.spark-marketing.ru/Card/Lot/67692967", "Видеокамеры цифровые")</f>
        <v>Видеокамеры цифровые</v>
      </c>
      <c r="G15872" s="22" t="s">
        <v>138</v>
      </c>
      <c r="H15872" s="22" t="s">
        <v>138</v>
      </c>
      <c r="I15872" s="26">
        <v>43501</v>
      </c>
      <c r="J15872" s="23" t="str">
        <f>HYPERLINK("https://www.spark-marketing.ru/Card/Person/4346667", "ООО ""А.М. ПК-ЦЕНТР""")</f>
        <v>ООО "А.М. ПК-ЦЕНТР"</v>
      </c>
      <c r="K15872" s="24" t="s">
        <v>18198</v>
      </c>
      <c r="L15872" s="22" t="s">
        <v>10</v>
      </c>
      <c r="M15872" s="25">
        <v>3559242.1</v>
      </c>
      <c r="N15872" s="27">
        <v>1.0000005396092583E-2</v>
      </c>
    </row>
    <row r="15873" spans="1:14" hidden="1" outlineLevel="1" x14ac:dyDescent="0.2">
      <c r="A15873" s="23" t="str">
        <f>HYPERLINK("https://www.spark-marketing.ru/Card/Person/8127", "ФКУ ""ДВОУМТС МВД РОССИИ""")</f>
        <v>ФКУ "ДВОУМТС МВД РОССИИ"</v>
      </c>
      <c r="B15873" s="24" t="s">
        <v>15027</v>
      </c>
      <c r="C15873" s="25">
        <v>3595194.06</v>
      </c>
      <c r="D15873" s="22" t="s">
        <v>18197</v>
      </c>
      <c r="E15873" s="22" t="s">
        <v>1297</v>
      </c>
      <c r="F15873" s="23" t="str">
        <f>HYPERLINK("https://www.spark-marketing.ru/Card/Lot/67692967", "Видеокамеры цифровые")</f>
        <v>Видеокамеры цифровые</v>
      </c>
      <c r="G15873" s="22" t="s">
        <v>138</v>
      </c>
      <c r="H15873" s="22" t="s">
        <v>138</v>
      </c>
      <c r="I15873" s="26">
        <v>43501</v>
      </c>
      <c r="J15873" s="23" t="str">
        <f>HYPERLINK("https://www.spark-marketing.ru/Card/Person/90156", "ООО ""ПАРИТЕТ""")</f>
        <v>ООО "ПАРИТЕТ"</v>
      </c>
      <c r="K15873" s="24" t="s">
        <v>6134</v>
      </c>
      <c r="L15873" s="28" t="s">
        <v>52</v>
      </c>
      <c r="M15873" s="25">
        <v>3577000</v>
      </c>
      <c r="N15873" s="27">
        <v>5.0606614542526253E-3</v>
      </c>
    </row>
    <row r="15874" spans="1:14" x14ac:dyDescent="0.15">
      <c r="A15874" s="23" t="str">
        <f>HYPERLINK("https://www.spark-marketing.ru/Card/Person/85345", "СУ СК РОССИИ ПО РЕСПУБЛИКЕ МАРИЙ ЭЛ")</f>
        <v>СУ СК РОССИИ ПО РЕСПУБЛИКЕ МАРИЙ ЭЛ</v>
      </c>
      <c r="B15874" s="24" t="s">
        <v>18199</v>
      </c>
      <c r="C15874" s="25">
        <v>852253.6</v>
      </c>
      <c r="D15874" s="22" t="s">
        <v>18200</v>
      </c>
      <c r="E15874" s="22" t="s">
        <v>68</v>
      </c>
      <c r="F15874" s="23" t="str">
        <f>HYPERLINK("https://www.spark-marketing.ru/Card/Lot/67719797", "Централизованная охрана объектов")</f>
        <v>Централизованная охрана объектов</v>
      </c>
      <c r="G15874" s="22" t="s">
        <v>2514</v>
      </c>
      <c r="H15874" s="22" t="s">
        <v>2514</v>
      </c>
      <c r="I15874" s="26">
        <v>43501</v>
      </c>
      <c r="J15874" s="28" t="s">
        <v>52</v>
      </c>
      <c r="K15874" s="28" t="s">
        <v>52</v>
      </c>
      <c r="L15874" s="28" t="s">
        <v>52</v>
      </c>
      <c r="M15874" s="28" t="s">
        <v>52</v>
      </c>
      <c r="N15874" s="28" t="s">
        <v>52</v>
      </c>
    </row>
    <row r="15875" spans="1:14" x14ac:dyDescent="0.15">
      <c r="A15875" s="23" t="str">
        <f>HYPERLINK("https://www.spark-marketing.ru/Card/Person/64588", "УПФР ПО СОВЕТСКОМУ РАЙОНУ Г. ВЛАДИВОСТОКА ПРИМОРСКОГО КРАЯ")</f>
        <v>УПФР ПО СОВЕТСКОМУ РАЙОНУ Г. ВЛАДИВОСТОКА ПРИМОРСКОГО КРАЯ</v>
      </c>
      <c r="B15875" s="24" t="s">
        <v>18201</v>
      </c>
      <c r="C15875" s="25">
        <v>807840</v>
      </c>
      <c r="D15875" s="22" t="s">
        <v>18202</v>
      </c>
      <c r="E15875" s="22" t="s">
        <v>68</v>
      </c>
      <c r="F15875" s="23" t="str">
        <f>HYPERLINK("https://www.spark-marketing.ru/Card/Lot/67692864", "Услуги круглосуточной охраны")</f>
        <v>Услуги круглосуточной охраны</v>
      </c>
      <c r="G15875" s="22" t="s">
        <v>409</v>
      </c>
      <c r="H15875" s="22" t="s">
        <v>878</v>
      </c>
      <c r="I15875" s="26">
        <v>43501</v>
      </c>
      <c r="J15875" s="28" t="s">
        <v>52</v>
      </c>
      <c r="K15875" s="28" t="s">
        <v>52</v>
      </c>
      <c r="L15875" s="28" t="s">
        <v>52</v>
      </c>
      <c r="M15875" s="28" t="s">
        <v>52</v>
      </c>
      <c r="N15875" s="28" t="s">
        <v>52</v>
      </c>
    </row>
    <row r="15876" spans="1:14" ht="12.75" hidden="1" outlineLevel="1" x14ac:dyDescent="0.2">
      <c r="A15876" s="23" t="str">
        <f>HYPERLINK("https://www.spark-marketing.ru/Card/Person/64588", "УПФР ПО СОВЕТСКОМУ РАЙОНУ Г. ВЛАДИВОСТОКА ПРИМОРСКОГО КРАЯ")</f>
        <v>УПФР ПО СОВЕТСКОМУ РАЙОНУ Г. ВЛАДИВОСТОКА ПРИМОРСКОГО КРАЯ</v>
      </c>
      <c r="B15876" s="24" t="s">
        <v>18201</v>
      </c>
      <c r="C15876" s="25">
        <v>807840</v>
      </c>
      <c r="D15876" s="22" t="s">
        <v>18202</v>
      </c>
      <c r="E15876" s="22" t="s">
        <v>68</v>
      </c>
      <c r="F15876" s="23" t="str">
        <f>HYPERLINK("https://www.spark-marketing.ru/Card/Lot/67692864", "Услуги круглосуточной охраны")</f>
        <v>Услуги круглосуточной охраны</v>
      </c>
      <c r="G15876" s="22" t="s">
        <v>409</v>
      </c>
      <c r="H15876" s="22" t="s">
        <v>878</v>
      </c>
      <c r="I15876" s="26">
        <v>43501</v>
      </c>
      <c r="J15876" s="23" t="str">
        <f>HYPERLINK("https://www.spark-marketing.ru/Card/Person/56315", "ООО ""ГК ""ТАЙФУН СЕКЬЮРИТИ""")</f>
        <v>ООО "ГК "ТАЙФУН СЕКЬЮРИТИ"</v>
      </c>
      <c r="K15876" s="24" t="s">
        <v>18203</v>
      </c>
      <c r="L15876" s="22" t="s">
        <v>10</v>
      </c>
      <c r="M15876" s="25">
        <v>787644</v>
      </c>
      <c r="N15876" s="27">
        <v>2.5000000000000001E-2</v>
      </c>
    </row>
    <row r="15877" spans="1:14" hidden="1" outlineLevel="1" x14ac:dyDescent="0.2">
      <c r="A15877" s="23" t="str">
        <f>HYPERLINK("https://www.spark-marketing.ru/Card/Person/64588", "УПФР ПО СОВЕТСКОМУ РАЙОНУ Г. ВЛАДИВОСТОКА ПРИМОРСКОГО КРАЯ")</f>
        <v>УПФР ПО СОВЕТСКОМУ РАЙОНУ Г. ВЛАДИВОСТОКА ПРИМОРСКОГО КРАЯ</v>
      </c>
      <c r="B15877" s="24" t="s">
        <v>18201</v>
      </c>
      <c r="C15877" s="25">
        <v>807840</v>
      </c>
      <c r="D15877" s="22" t="s">
        <v>18202</v>
      </c>
      <c r="E15877" s="22" t="s">
        <v>68</v>
      </c>
      <c r="F15877" s="23" t="str">
        <f>HYPERLINK("https://www.spark-marketing.ru/Card/Lot/67692864", "Услуги круглосуточной охраны")</f>
        <v>Услуги круглосуточной охраны</v>
      </c>
      <c r="G15877" s="22" t="s">
        <v>409</v>
      </c>
      <c r="H15877" s="22" t="s">
        <v>878</v>
      </c>
      <c r="I15877" s="26">
        <v>43501</v>
      </c>
      <c r="J15877" s="23" t="str">
        <f>HYPERLINK("https://www.spark-marketing.ru/Card/Person/91730", "ООО ""ЧОП ""СОЮЗ""")</f>
        <v>ООО "ЧОП "СОЮЗ"</v>
      </c>
      <c r="K15877" s="24" t="s">
        <v>3743</v>
      </c>
      <c r="L15877" s="28" t="s">
        <v>52</v>
      </c>
      <c r="M15877" s="25">
        <v>791683.2</v>
      </c>
      <c r="N15877" s="27">
        <v>0.02</v>
      </c>
    </row>
    <row r="15878" spans="1:14" x14ac:dyDescent="0.15">
      <c r="A15878" s="23" t="str">
        <f>HYPERLINK("https://www.spark-marketing.ru/Card/Person/258122", "ГКУ РД "" ДИРЕКЦИЯ ООПТ, ОХРАНЫ ЖИВОТНОГО МИРА И ВОДНЫХ БИОРЕСУРСОВ """)</f>
        <v>ГКУ РД " ДИРЕКЦИЯ ООПТ, ОХРАНЫ ЖИВОТНОГО МИРА И ВОДНЫХ БИОРЕСУРСОВ "</v>
      </c>
      <c r="B15878" s="24" t="s">
        <v>18175</v>
      </c>
      <c r="C15878" s="25">
        <v>104068.8</v>
      </c>
      <c r="D15878" s="22" t="s">
        <v>18204</v>
      </c>
      <c r="E15878" s="22" t="s">
        <v>68</v>
      </c>
      <c r="F15878" s="23" t="str">
        <f>HYPERLINK("https://www.spark-marketing.ru/Card/Lot/67706610", "Оказание услуг по централизованной охране объектов и техническому обслуживании средств ОПС")</f>
        <v>Оказание услуг по централизованной охране объектов и техническому обслуживании средств ОПС</v>
      </c>
      <c r="G15878" s="22" t="s">
        <v>595</v>
      </c>
      <c r="H15878" s="22" t="s">
        <v>595</v>
      </c>
      <c r="I15878" s="26">
        <v>43501</v>
      </c>
      <c r="J15878" s="28" t="s">
        <v>52</v>
      </c>
      <c r="K15878" s="28" t="s">
        <v>52</v>
      </c>
      <c r="L15878" s="28" t="s">
        <v>52</v>
      </c>
      <c r="M15878" s="28" t="s">
        <v>52</v>
      </c>
      <c r="N15878" s="28" t="s">
        <v>52</v>
      </c>
    </row>
    <row r="15879" spans="1:14" x14ac:dyDescent="0.15">
      <c r="A15879" s="23" t="str">
        <f>HYPERLINK("https://www.spark-marketing.ru/Card/Person/139543", "УПРАВЛЕНИЕ ПО ОБЕСПЕЧЕНИЮ ДЕЯТЕЛЬНОСТИ МИРОВЫХ СУДЕЙ ЧАО")</f>
        <v>УПРАВЛЕНИЕ ПО ОБЕСПЕЧЕНИЮ ДЕЯТЕЛЬНОСТИ МИРОВЫХ СУДЕЙ ЧАО</v>
      </c>
      <c r="B15879" s="24" t="s">
        <v>13835</v>
      </c>
      <c r="C15879" s="25">
        <v>148278.6</v>
      </c>
      <c r="D15879" s="22" t="s">
        <v>18205</v>
      </c>
      <c r="E15879" s="22" t="s">
        <v>68</v>
      </c>
      <c r="F15879" s="23" t="str">
        <f>HYPERLINK("https://www.spark-marketing.ru/Card/Lot/67691742", "Оказание охранных услуг с помощью тревожной сигнализации (г. Анадырь)")</f>
        <v>Оказание охранных услуг с помощью тревожной сигнализации (г. Анадырь)</v>
      </c>
      <c r="G15879" s="22" t="s">
        <v>1544</v>
      </c>
      <c r="H15879" s="22" t="s">
        <v>8237</v>
      </c>
      <c r="I15879" s="26">
        <v>43501</v>
      </c>
      <c r="J15879" s="28" t="s">
        <v>52</v>
      </c>
      <c r="K15879" s="28" t="s">
        <v>52</v>
      </c>
      <c r="L15879" s="28" t="s">
        <v>52</v>
      </c>
      <c r="M15879" s="28" t="s">
        <v>52</v>
      </c>
      <c r="N15879" s="28" t="s">
        <v>52</v>
      </c>
    </row>
    <row r="15880" spans="1:14" x14ac:dyDescent="0.15">
      <c r="A15880" s="23" t="str">
        <f>HYPERLINK("https://www.spark-marketing.ru/Card/Person/148991", "МБДОУ ""ДЕТСКИЙ САД КОМБИНИРОВАННОГО ВИДА №73"" НМР РТ")</f>
        <v>МБДОУ "ДЕТСКИЙ САД КОМБИНИРОВАННОГО ВИДА №73" НМР РТ</v>
      </c>
      <c r="B15880" s="24" t="s">
        <v>15125</v>
      </c>
      <c r="C15880" s="25">
        <v>7200</v>
      </c>
      <c r="D15880" s="22" t="s">
        <v>18206</v>
      </c>
      <c r="E15880" s="22" t="s">
        <v>53</v>
      </c>
      <c r="F15880" s="23" t="str">
        <f>HYPERLINK("https://www.spark-marketing.ru/Card/Lot/73696211", "Техническое обслуживание системы видеонаблюдения")</f>
        <v>Техническое обслуживание системы видеонаблюдения</v>
      </c>
      <c r="G15880" s="22" t="s">
        <v>204</v>
      </c>
      <c r="H15880" s="22" t="s">
        <v>824</v>
      </c>
      <c r="I15880" s="26">
        <v>43501.000694444403</v>
      </c>
      <c r="J15880" s="28" t="s">
        <v>52</v>
      </c>
      <c r="K15880" s="28" t="s">
        <v>52</v>
      </c>
      <c r="L15880" s="28" t="s">
        <v>52</v>
      </c>
      <c r="M15880" s="28" t="s">
        <v>52</v>
      </c>
      <c r="N15880" s="28" t="s">
        <v>52</v>
      </c>
    </row>
    <row r="15881" spans="1:14" x14ac:dyDescent="0.15">
      <c r="A15881" s="23" t="str">
        <f>HYPERLINK("https://www.spark-marketing.ru/Card/Person/25719", "ГБУЗ НО ""ГОРОДСКАЯ КЛИНИЧЕСКАЯ БОЛЬНИЦА №13 АВТОЗАВОДСКОГО РАЙОНА""")</f>
        <v>ГБУЗ НО "ГОРОДСКАЯ КЛИНИЧЕСКАЯ БОЛЬНИЦА №13 АВТОЗАВОДСКОГО РАЙОНА"</v>
      </c>
      <c r="B15881" s="24" t="s">
        <v>18207</v>
      </c>
      <c r="C15881" s="25">
        <v>927103.32</v>
      </c>
      <c r="D15881" s="22" t="s">
        <v>18208</v>
      </c>
      <c r="E15881" s="22" t="s">
        <v>68</v>
      </c>
      <c r="F15881" s="23" t="str">
        <f>HYPERLINK("https://www.spark-marketing.ru/Card/Lot/67705240", "Оказание охранных услуг")</f>
        <v>Оказание охранных услуг</v>
      </c>
      <c r="G15881" s="22" t="s">
        <v>64</v>
      </c>
      <c r="H15881" s="22" t="s">
        <v>65</v>
      </c>
      <c r="I15881" s="26">
        <v>43501</v>
      </c>
      <c r="J15881" s="28" t="s">
        <v>52</v>
      </c>
      <c r="K15881" s="28" t="s">
        <v>52</v>
      </c>
      <c r="L15881" s="28" t="s">
        <v>52</v>
      </c>
      <c r="M15881" s="28" t="s">
        <v>52</v>
      </c>
      <c r="N15881" s="28" t="s">
        <v>52</v>
      </c>
    </row>
    <row r="15882" spans="1:14" x14ac:dyDescent="0.15">
      <c r="A15882" s="23" t="str">
        <f>HYPERLINK("https://www.spark-marketing.ru/Card/Person/6450322", "ЗАКАЗЧИК РП БЕЛАРУСЬ")</f>
        <v>ЗАКАЗЧИК РП БЕЛАРУСЬ</v>
      </c>
      <c r="B15882" s="28" t="s">
        <v>52</v>
      </c>
      <c r="C15882" s="25">
        <v>121551.2</v>
      </c>
      <c r="D15882" s="22" t="s">
        <v>18209</v>
      </c>
      <c r="E15882" s="22" t="s">
        <v>53</v>
      </c>
      <c r="F15882" s="23" t="str">
        <f>HYPERLINK("https://www.spark-marketing.ru/Card/Lot/67711939", "Металлоконструкция (мачта) - стальная разборная (инвентарная) конструкция; - общая высота 30 м; - отдельные секции от 2м до 2,5м с переходником выполненные из тонкостенной стальной трубы O76 - 86 мм; - оттяжки (стальной оцинкованный трос не менее O4 ...")</f>
        <v>Металлоконструкция (мачта) - стальная разборная (инвентарная) конструкция; - общая высота 30 м; - отдельные секции от 2м до 2,5м с переходником выполненные из тонкостенной стальной трубы O76 - 86 мм; - оттяжки (стальной оцинкованный трос не менее O4 ...</v>
      </c>
      <c r="G15882" s="22" t="s">
        <v>52</v>
      </c>
      <c r="H15882" s="22" t="s">
        <v>52</v>
      </c>
      <c r="I15882" s="26">
        <v>43501</v>
      </c>
      <c r="J15882" s="28" t="s">
        <v>52</v>
      </c>
      <c r="K15882" s="28" t="s">
        <v>52</v>
      </c>
      <c r="L15882" s="28" t="s">
        <v>52</v>
      </c>
      <c r="M15882" s="28" t="s">
        <v>52</v>
      </c>
      <c r="N15882" s="28" t="s">
        <v>52</v>
      </c>
    </row>
    <row r="15883" spans="1:14" x14ac:dyDescent="0.15">
      <c r="A15883" s="23" t="str">
        <f>HYPERLINK("https://www.spark-marketing.ru/Card/Person/6450322", "ЗАКАЗЧИК РП БЕЛАРУСЬ")</f>
        <v>ЗАКАЗЧИК РП БЕЛАРУСЬ</v>
      </c>
      <c r="B15883" s="28" t="s">
        <v>52</v>
      </c>
      <c r="C15883" s="28" t="s">
        <v>52</v>
      </c>
      <c r="D15883" s="22" t="s">
        <v>18210</v>
      </c>
      <c r="E15883" s="22" t="s">
        <v>53</v>
      </c>
      <c r="F15883" s="23" t="str">
        <f>HYPERLINK("https://www.spark-marketing.ru/Card/Lot/67721489", "Услуги по техническому обслуживанию системы видеонаблюдения")</f>
        <v>Услуги по техническому обслуживанию системы видеонаблюдения</v>
      </c>
      <c r="G15883" s="22" t="s">
        <v>52</v>
      </c>
      <c r="H15883" s="22" t="s">
        <v>52</v>
      </c>
      <c r="I15883" s="26">
        <v>43501</v>
      </c>
      <c r="J15883" s="28" t="s">
        <v>52</v>
      </c>
      <c r="K15883" s="28" t="s">
        <v>52</v>
      </c>
      <c r="L15883" s="28" t="s">
        <v>52</v>
      </c>
      <c r="M15883" s="28" t="s">
        <v>52</v>
      </c>
      <c r="N15883" s="28" t="s">
        <v>52</v>
      </c>
    </row>
    <row r="15884" spans="1:14" x14ac:dyDescent="0.15">
      <c r="A15884" s="23" t="str">
        <f>HYPERLINK("https://www.spark-marketing.ru/Card/Person/254803", "ТФОМС РЕСПУБЛИКИ ИНГУШЕТИЯ")</f>
        <v>ТФОМС РЕСПУБЛИКИ ИНГУШЕТИЯ</v>
      </c>
      <c r="B15884" s="24" t="s">
        <v>18141</v>
      </c>
      <c r="C15884" s="25">
        <v>3251790</v>
      </c>
      <c r="D15884" s="22" t="s">
        <v>18211</v>
      </c>
      <c r="E15884" s="22" t="s">
        <v>218</v>
      </c>
      <c r="F15884" s="23" t="str">
        <f>HYPERLINK("https://www.spark-marketing.ru/Card/Lot/67712076", "Оказание услуг по строительному контролю и техническому сопровождению работ по объекту «Административное здание ТФОМС РИ для нужд ТФОМС РИ»")</f>
        <v>Оказание услуг по строительному контролю и техническому сопровождению работ по объекту «Административное здание ТФОМС РИ для нужд ТФОМС РИ»</v>
      </c>
      <c r="G15884" s="22" t="s">
        <v>648</v>
      </c>
      <c r="H15884" s="22" t="s">
        <v>648</v>
      </c>
      <c r="I15884" s="26">
        <v>43501</v>
      </c>
      <c r="J15884" s="28" t="s">
        <v>52</v>
      </c>
      <c r="K15884" s="28" t="s">
        <v>52</v>
      </c>
      <c r="L15884" s="28" t="s">
        <v>52</v>
      </c>
      <c r="M15884" s="28" t="s">
        <v>52</v>
      </c>
      <c r="N15884" s="28" t="s">
        <v>52</v>
      </c>
    </row>
    <row r="15885" spans="1:14" ht="12.75" hidden="1" outlineLevel="1" x14ac:dyDescent="0.2">
      <c r="A15885" s="23" t="str">
        <f>HYPERLINK("https://www.spark-marketing.ru/Card/Person/254803", "ТФОМС РЕСПУБЛИКИ ИНГУШЕТИЯ")</f>
        <v>ТФОМС РЕСПУБЛИКИ ИНГУШЕТИЯ</v>
      </c>
      <c r="B15885" s="24" t="s">
        <v>18141</v>
      </c>
      <c r="C15885" s="25">
        <v>3251790</v>
      </c>
      <c r="D15885" s="22" t="s">
        <v>18211</v>
      </c>
      <c r="E15885" s="22" t="s">
        <v>218</v>
      </c>
      <c r="F15885" s="23" t="str">
        <f>HYPERLINK("https://www.spark-marketing.ru/Card/Lot/67712076", "Оказание услуг по строительному контролю и техническому сопровождению работ по объекту «Административное здание ТФОМС РИ для нужд ТФОМС РИ»")</f>
        <v>Оказание услуг по строительному контролю и техническому сопровождению работ по объекту «Административное здание ТФОМС РИ для нужд ТФОМС РИ»</v>
      </c>
      <c r="G15885" s="22" t="s">
        <v>648</v>
      </c>
      <c r="H15885" s="22" t="s">
        <v>648</v>
      </c>
      <c r="I15885" s="26">
        <v>43501</v>
      </c>
      <c r="J15885" s="23" t="str">
        <f>HYPERLINK("https://www.spark-marketing.ru/Card/Person/259250", "ГУП""УКС РИ""")</f>
        <v>ГУП"УКС РИ"</v>
      </c>
      <c r="K15885" s="24" t="s">
        <v>7151</v>
      </c>
      <c r="L15885" s="22" t="s">
        <v>10</v>
      </c>
      <c r="M15885" s="25">
        <v>3100000</v>
      </c>
      <c r="N15885" s="27">
        <v>4.6678906079420872E-2</v>
      </c>
    </row>
    <row r="15886" spans="1:14" hidden="1" outlineLevel="1" x14ac:dyDescent="0.2">
      <c r="A15886" s="23" t="str">
        <f>HYPERLINK("https://www.spark-marketing.ru/Card/Person/254803", "ТФОМС РЕСПУБЛИКИ ИНГУШЕТИЯ")</f>
        <v>ТФОМС РЕСПУБЛИКИ ИНГУШЕТИЯ</v>
      </c>
      <c r="B15886" s="24" t="s">
        <v>18141</v>
      </c>
      <c r="C15886" s="25">
        <v>3251790</v>
      </c>
      <c r="D15886" s="22" t="s">
        <v>18211</v>
      </c>
      <c r="E15886" s="22" t="s">
        <v>218</v>
      </c>
      <c r="F15886" s="23" t="str">
        <f>HYPERLINK("https://www.spark-marketing.ru/Card/Lot/67712076", "Оказание услуг по строительному контролю и техническому сопровождению работ по объекту «Административное здание ТФОМС РИ для нужд ТФОМС РИ»")</f>
        <v>Оказание услуг по строительному контролю и техническому сопровождению работ по объекту «Административное здание ТФОМС РИ для нужд ТФОМС РИ»</v>
      </c>
      <c r="G15886" s="22" t="s">
        <v>648</v>
      </c>
      <c r="H15886" s="22" t="s">
        <v>648</v>
      </c>
      <c r="I15886" s="26">
        <v>43501</v>
      </c>
      <c r="J15886" s="23" t="str">
        <f>HYPERLINK("https://www.spark-marketing.ru/Card/Person/365638", "ООО ""ТЕХКРОСС""")</f>
        <v>ООО "ТЕХКРОСС"</v>
      </c>
      <c r="K15886" s="24" t="s">
        <v>12046</v>
      </c>
      <c r="L15886" s="28" t="s">
        <v>52</v>
      </c>
      <c r="M15886" s="25">
        <v>3181790</v>
      </c>
      <c r="N15886" s="27">
        <v>2.1526605346593723E-2</v>
      </c>
    </row>
    <row r="15887" spans="1:14" x14ac:dyDescent="0.15">
      <c r="A15887" s="23" t="str">
        <f>HYPERLINK("https://www.spark-marketing.ru/Card/Person/91130", "ОПФР ПО КАМЧАТСКОМУ КРАЮ")</f>
        <v>ОПФР ПО КАМЧАТСКОМУ КРАЮ</v>
      </c>
      <c r="B15887" s="24" t="s">
        <v>14889</v>
      </c>
      <c r="C15887" s="25">
        <v>8700</v>
      </c>
      <c r="D15887" s="22" t="s">
        <v>18212</v>
      </c>
      <c r="E15887" s="22" t="s">
        <v>59</v>
      </c>
      <c r="F15887" s="23" t="str">
        <f>HYPERLINK("https://www.spark-marketing.ru/Card/Lot/67693122", "Оказание услуг по техническому обслуживанию систем видеонаблюдения")</f>
        <v>Оказание услуг по техническому обслуживанию систем видеонаблюдения</v>
      </c>
      <c r="G15887" s="22" t="s">
        <v>1141</v>
      </c>
      <c r="H15887" s="22" t="s">
        <v>1142</v>
      </c>
      <c r="I15887" s="26">
        <v>43501</v>
      </c>
      <c r="J15887" s="28" t="s">
        <v>52</v>
      </c>
      <c r="K15887" s="28" t="s">
        <v>52</v>
      </c>
      <c r="L15887" s="28" t="s">
        <v>52</v>
      </c>
      <c r="M15887" s="28" t="s">
        <v>52</v>
      </c>
      <c r="N15887" s="28" t="s">
        <v>52</v>
      </c>
    </row>
    <row r="15888" spans="1:14" x14ac:dyDescent="0.15">
      <c r="A15888" s="23" t="str">
        <f>HYPERLINK("https://www.spark-marketing.ru/Card/Person/152411", "МБДОУ ""ДЕТСКИЙ САД ПРИСМОТРА И ОЗДОРОВЛЕНИЯ ДЛЯ ДЕТЕЙ С АЛЛЕРГИЧЕСКИМИ ЗАБОЛЕВАНИЯМИ №69"" НМР РТ")</f>
        <v>МБДОУ "ДЕТСКИЙ САД ПРИСМОТРА И ОЗДОРОВЛЕНИЯ ДЛЯ ДЕТЕЙ С АЛЛЕРГИЧЕСКИМИ ЗАБОЛЕВАНИЯМИ №69" НМР РТ</v>
      </c>
      <c r="B15888" s="24" t="s">
        <v>18213</v>
      </c>
      <c r="C15888" s="25">
        <v>1600</v>
      </c>
      <c r="D15888" s="22" t="s">
        <v>18214</v>
      </c>
      <c r="E15888" s="22" t="s">
        <v>53</v>
      </c>
      <c r="F15888" s="23" t="str">
        <f>HYPERLINK("https://www.spark-marketing.ru/Card/Lot/73691172", "Техническое обслуживание системы видеонаблюдения")</f>
        <v>Техническое обслуживание системы видеонаблюдения</v>
      </c>
      <c r="G15888" s="22" t="s">
        <v>204</v>
      </c>
      <c r="H15888" s="22" t="s">
        <v>824</v>
      </c>
      <c r="I15888" s="26">
        <v>43501.000694444403</v>
      </c>
      <c r="J15888" s="28" t="s">
        <v>52</v>
      </c>
      <c r="K15888" s="28" t="s">
        <v>52</v>
      </c>
      <c r="L15888" s="28" t="s">
        <v>52</v>
      </c>
      <c r="M15888" s="28" t="s">
        <v>52</v>
      </c>
      <c r="N15888" s="28" t="s">
        <v>52</v>
      </c>
    </row>
    <row r="15889" spans="1:14" x14ac:dyDescent="0.15">
      <c r="A15889" s="23" t="str">
        <f>HYPERLINK("https://www.spark-marketing.ru/Card/Person/21442", "ОГБУЗ ""ЗЫРЯНСКАЯ РАЙОННАЯ БОЛЬНИЦА""")</f>
        <v>ОГБУЗ "ЗЫРЯНСКАЯ РАЙОННАЯ БОЛЬНИЦА"</v>
      </c>
      <c r="B15889" s="24" t="s">
        <v>18215</v>
      </c>
      <c r="C15889" s="25">
        <v>27963</v>
      </c>
      <c r="D15889" s="22" t="s">
        <v>18216</v>
      </c>
      <c r="E15889" s="22" t="s">
        <v>5267</v>
      </c>
      <c r="F15889" s="23" t="str">
        <f>HYPERLINK("https://www.spark-marketing.ru/Card/Lot/67694097", "Техническое обслуживание комплекса технических средств охраны")</f>
        <v>Техническое обслуживание комплекса технических средств охраны</v>
      </c>
      <c r="G15889" s="22" t="s">
        <v>150</v>
      </c>
      <c r="H15889" s="22" t="s">
        <v>18217</v>
      </c>
      <c r="I15889" s="26">
        <v>43501</v>
      </c>
      <c r="J15889" s="28" t="s">
        <v>52</v>
      </c>
      <c r="K15889" s="28" t="s">
        <v>52</v>
      </c>
      <c r="L15889" s="28" t="s">
        <v>52</v>
      </c>
      <c r="M15889" s="28" t="s">
        <v>52</v>
      </c>
      <c r="N15889" s="28" t="s">
        <v>52</v>
      </c>
    </row>
    <row r="15890" spans="1:14" x14ac:dyDescent="0.15">
      <c r="A15890" s="23" t="str">
        <f>HYPERLINK("https://www.spark-marketing.ru/Card/Person/21374", "КГБУЗ ""ВКБ № 1""")</f>
        <v>КГБУЗ "ВКБ № 1"</v>
      </c>
      <c r="B15890" s="24" t="s">
        <v>18218</v>
      </c>
      <c r="C15890" s="25">
        <v>507904.8</v>
      </c>
      <c r="D15890" s="22" t="s">
        <v>18219</v>
      </c>
      <c r="E15890" s="22" t="s">
        <v>68</v>
      </c>
      <c r="F15890" s="23" t="str">
        <f>HYPERLINK("https://www.spark-marketing.ru/Card/Lot/67700057", "оказание услуг по централизованной охране объектов")</f>
        <v>оказание услуг по централизованной охране объектов</v>
      </c>
      <c r="G15890" s="22" t="s">
        <v>409</v>
      </c>
      <c r="H15890" s="22" t="s">
        <v>878</v>
      </c>
      <c r="I15890" s="26">
        <v>43501</v>
      </c>
      <c r="J15890" s="28" t="s">
        <v>52</v>
      </c>
      <c r="K15890" s="28" t="s">
        <v>52</v>
      </c>
      <c r="L15890" s="28" t="s">
        <v>52</v>
      </c>
      <c r="M15890" s="28" t="s">
        <v>52</v>
      </c>
      <c r="N15890" s="28" t="s">
        <v>52</v>
      </c>
    </row>
    <row r="15891" spans="1:14" x14ac:dyDescent="0.15">
      <c r="A15891" s="23" t="str">
        <f>HYPERLINK("https://www.spark-marketing.ru/Card/Person/26648", "ГКУЗ ЛО ""ТБ ""ДРУЖНОСЕЛЬЕ""")</f>
        <v>ГКУЗ ЛО "ТБ "ДРУЖНОСЕЛЬЕ"</v>
      </c>
      <c r="B15891" s="24" t="s">
        <v>6894</v>
      </c>
      <c r="C15891" s="25">
        <v>888624</v>
      </c>
      <c r="D15891" s="22" t="s">
        <v>18220</v>
      </c>
      <c r="E15891" s="22" t="s">
        <v>68</v>
      </c>
      <c r="F15891" s="23" t="str">
        <f>HYPERLINK("https://www.spark-marketing.ru/Card/Lot/67713808", "Оказание услуг по охране помещений и территории больничного комплекса ГКУЗ ЛО ""ТБ ""Дружноселье""")</f>
        <v>Оказание услуг по охране помещений и территории больничного комплекса ГКУЗ ЛО "ТБ "Дружноселье"</v>
      </c>
      <c r="G15891" s="22" t="s">
        <v>861</v>
      </c>
      <c r="H15891" s="22" t="s">
        <v>6896</v>
      </c>
      <c r="I15891" s="26">
        <v>43501</v>
      </c>
      <c r="J15891" s="28" t="s">
        <v>52</v>
      </c>
      <c r="K15891" s="28" t="s">
        <v>52</v>
      </c>
      <c r="L15891" s="28" t="s">
        <v>52</v>
      </c>
      <c r="M15891" s="28" t="s">
        <v>52</v>
      </c>
      <c r="N15891" s="28" t="s">
        <v>52</v>
      </c>
    </row>
    <row r="15892" spans="1:14" ht="12.75" hidden="1" outlineLevel="1" x14ac:dyDescent="0.2">
      <c r="A15892" s="23" t="str">
        <f>HYPERLINK("https://www.spark-marketing.ru/Card/Person/26648", "ГКУЗ ЛО ""ТБ ""ДРУЖНОСЕЛЬЕ""")</f>
        <v>ГКУЗ ЛО "ТБ "ДРУЖНОСЕЛЬЕ"</v>
      </c>
      <c r="B15892" s="24" t="s">
        <v>6894</v>
      </c>
      <c r="C15892" s="25">
        <v>888624</v>
      </c>
      <c r="D15892" s="22" t="s">
        <v>18220</v>
      </c>
      <c r="E15892" s="22" t="s">
        <v>68</v>
      </c>
      <c r="F15892" s="23" t="str">
        <f>HYPERLINK("https://www.spark-marketing.ru/Card/Lot/67713808", "Оказание услуг по охране помещений и территории больничного комплекса ГКУЗ ЛО ""ТБ ""Дружноселье""")</f>
        <v>Оказание услуг по охране помещений и территории больничного комплекса ГКУЗ ЛО "ТБ "Дружноселье"</v>
      </c>
      <c r="G15892" s="22" t="s">
        <v>861</v>
      </c>
      <c r="H15892" s="22" t="s">
        <v>6896</v>
      </c>
      <c r="I15892" s="26">
        <v>43501</v>
      </c>
      <c r="J15892" s="23" t="str">
        <f>HYPERLINK("https://www.spark-marketing.ru/Card/Person/62723", "ООО ""ОП ""ЛОКОМОТИВ""")</f>
        <v>ООО "ОП "ЛОКОМОТИВ"</v>
      </c>
      <c r="K15892" s="24" t="s">
        <v>10605</v>
      </c>
      <c r="L15892" s="22" t="s">
        <v>10</v>
      </c>
      <c r="M15892" s="25">
        <v>888624</v>
      </c>
      <c r="N15892" s="27">
        <v>0</v>
      </c>
    </row>
    <row r="15893" spans="1:14" hidden="1" outlineLevel="1" x14ac:dyDescent="0.2">
      <c r="A15893" s="23" t="str">
        <f>HYPERLINK("https://www.spark-marketing.ru/Card/Person/26648", "ГКУЗ ЛО ""ТБ ""ДРУЖНОСЕЛЬЕ""")</f>
        <v>ГКУЗ ЛО "ТБ "ДРУЖНОСЕЛЬЕ"</v>
      </c>
      <c r="B15893" s="24" t="s">
        <v>6894</v>
      </c>
      <c r="C15893" s="25">
        <v>888624</v>
      </c>
      <c r="D15893" s="22" t="s">
        <v>18220</v>
      </c>
      <c r="E15893" s="22" t="s">
        <v>68</v>
      </c>
      <c r="F15893" s="23" t="str">
        <f>HYPERLINK("https://www.spark-marketing.ru/Card/Lot/67713808", "Оказание услуг по охране помещений и территории больничного комплекса ГКУЗ ЛО ""ТБ ""Дружноселье""")</f>
        <v>Оказание услуг по охране помещений и территории больничного комплекса ГКУЗ ЛО "ТБ "Дружноселье"</v>
      </c>
      <c r="G15893" s="22" t="s">
        <v>861</v>
      </c>
      <c r="H15893" s="22" t="s">
        <v>6896</v>
      </c>
      <c r="I15893" s="26">
        <v>43501</v>
      </c>
      <c r="J15893" s="23" t="str">
        <f>HYPERLINK("https://www.spark-marketing.ru/Card/Person/2562571", "ООО ОП""БОРС-БАЛТИКА""")</f>
        <v>ООО ОП"БОРС-БАЛТИКА"</v>
      </c>
      <c r="K15893" s="24" t="s">
        <v>4583</v>
      </c>
      <c r="L15893" s="28" t="s">
        <v>52</v>
      </c>
      <c r="M15893" s="25">
        <v>888624</v>
      </c>
      <c r="N15893" s="27">
        <v>0</v>
      </c>
    </row>
    <row r="15894" spans="1:14" x14ac:dyDescent="0.15">
      <c r="A15894" s="23" t="str">
        <f>HYPERLINK("https://www.spark-marketing.ru/Card/Person/21501", "АДМИНИСТРАЦИЯ ПРОКОПЬЕВСКОГО МУНИЦИПАЛЬНОГО РАЙОНА")</f>
        <v>АДМИНИСТРАЦИЯ ПРОКОПЬЕВСКОГО МУНИЦИПАЛЬНОГО РАЙОНА</v>
      </c>
      <c r="B15894" s="24" t="s">
        <v>18221</v>
      </c>
      <c r="C15894" s="25">
        <v>1092275</v>
      </c>
      <c r="D15894" s="22" t="s">
        <v>18222</v>
      </c>
      <c r="E15894" s="22" t="s">
        <v>18223</v>
      </c>
      <c r="F15894" s="23" t="str">
        <f>HYPERLINK("https://www.spark-marketing.ru/Card/Lot/67696330", "Поставка, установка, подключение и настройка средств визуального отображения информации коллективного пользования (видеостены) для нужд ЕДДС")</f>
        <v>Поставка, установка, подключение и настройка средств визуального отображения информации коллективного пользования (видеостены) для нужд ЕДДС</v>
      </c>
      <c r="G15894" s="22" t="s">
        <v>367</v>
      </c>
      <c r="H15894" s="22" t="s">
        <v>367</v>
      </c>
      <c r="I15894" s="26">
        <v>43501</v>
      </c>
      <c r="J15894" s="28" t="s">
        <v>52</v>
      </c>
      <c r="K15894" s="28" t="s">
        <v>52</v>
      </c>
      <c r="L15894" s="28" t="s">
        <v>52</v>
      </c>
      <c r="M15894" s="28" t="s">
        <v>52</v>
      </c>
      <c r="N15894" s="28" t="s">
        <v>52</v>
      </c>
    </row>
    <row r="15895" spans="1:14" ht="12.75" hidden="1" outlineLevel="1" x14ac:dyDescent="0.2">
      <c r="A15895" s="23" t="str">
        <f>HYPERLINK("https://www.spark-marketing.ru/Card/Person/21501", "АДМИНИСТРАЦИЯ ПРОКОПЬЕВСКОГО МУНИЦИПАЛЬНОГО РАЙОНА")</f>
        <v>АДМИНИСТРАЦИЯ ПРОКОПЬЕВСКОГО МУНИЦИПАЛЬНОГО РАЙОНА</v>
      </c>
      <c r="B15895" s="24" t="s">
        <v>18221</v>
      </c>
      <c r="C15895" s="25">
        <v>1092275</v>
      </c>
      <c r="D15895" s="22" t="s">
        <v>18222</v>
      </c>
      <c r="E15895" s="22" t="s">
        <v>18223</v>
      </c>
      <c r="F15895" s="23" t="str">
        <f>HYPERLINK("https://www.spark-marketing.ru/Card/Lot/67696330", "Поставка, установка, подключение и настройка средств визуального отображения информации коллективного пользования (видеостены) для нужд ЕДДС")</f>
        <v>Поставка, установка, подключение и настройка средств визуального отображения информации коллективного пользования (видеостены) для нужд ЕДДС</v>
      </c>
      <c r="G15895" s="22" t="s">
        <v>367</v>
      </c>
      <c r="H15895" s="22" t="s">
        <v>367</v>
      </c>
      <c r="I15895" s="26">
        <v>43501</v>
      </c>
      <c r="J15895" s="23" t="str">
        <f>HYPERLINK("https://www.spark-marketing.ru/Card/Person/718565", "ООО ""ИЦ ""КОМПЬЮТЕРЫ И СЕТИ""")</f>
        <v>ООО "ИЦ "КОМПЬЮТЕРЫ И СЕТИ"</v>
      </c>
      <c r="K15895" s="24" t="s">
        <v>18224</v>
      </c>
      <c r="L15895" s="22" t="s">
        <v>10</v>
      </c>
      <c r="M15895" s="25">
        <v>734538</v>
      </c>
      <c r="N15895" s="27">
        <v>0.32751550662607859</v>
      </c>
    </row>
    <row r="15896" spans="1:14" hidden="1" outlineLevel="1" x14ac:dyDescent="0.2">
      <c r="A15896" s="23" t="str">
        <f>HYPERLINK("https://www.spark-marketing.ru/Card/Person/21501", "АДМИНИСТРАЦИЯ ПРОКОПЬЕВСКОГО МУНИЦИПАЛЬНОГО РАЙОНА")</f>
        <v>АДМИНИСТРАЦИЯ ПРОКОПЬЕВСКОГО МУНИЦИПАЛЬНОГО РАЙОНА</v>
      </c>
      <c r="B15896" s="24" t="s">
        <v>18221</v>
      </c>
      <c r="C15896" s="25">
        <v>1092275</v>
      </c>
      <c r="D15896" s="22" t="s">
        <v>18222</v>
      </c>
      <c r="E15896" s="22" t="s">
        <v>18223</v>
      </c>
      <c r="F15896" s="23" t="str">
        <f>HYPERLINK("https://www.spark-marketing.ru/Card/Lot/67696330", "Поставка, установка, подключение и настройка средств визуального отображения информации коллективного пользования (видеостены) для нужд ЕДДС")</f>
        <v>Поставка, установка, подключение и настройка средств визуального отображения информации коллективного пользования (видеостены) для нужд ЕДДС</v>
      </c>
      <c r="G15896" s="22" t="s">
        <v>367</v>
      </c>
      <c r="H15896" s="22" t="s">
        <v>367</v>
      </c>
      <c r="I15896" s="26">
        <v>43501</v>
      </c>
      <c r="J15896" s="23" t="str">
        <f>HYPERLINK("https://www.spark-marketing.ru/Card/Person/6462099", "Рымбеков Андрей Рымбекович")</f>
        <v>Рымбеков Андрей Рымбекович</v>
      </c>
      <c r="K15896" s="24" t="s">
        <v>18225</v>
      </c>
      <c r="L15896" s="28" t="s">
        <v>52</v>
      </c>
      <c r="M15896" s="25">
        <v>739999.99</v>
      </c>
      <c r="N15896" s="27">
        <v>0.32251494358105787</v>
      </c>
    </row>
    <row r="15897" spans="1:14" x14ac:dyDescent="0.15">
      <c r="A15897" s="23" t="str">
        <f>HYPERLINK("https://www.spark-marketing.ru/Card/Person/62862", "СУ СК РОССИИ ПО РЕСПУБЛИКЕ КОМИ")</f>
        <v>СУ СК РОССИИ ПО РЕСПУБЛИКЕ КОМИ</v>
      </c>
      <c r="B15897" s="24" t="s">
        <v>2531</v>
      </c>
      <c r="C15897" s="25">
        <v>235485</v>
      </c>
      <c r="D15897" s="22" t="s">
        <v>18226</v>
      </c>
      <c r="E15897" s="22" t="s">
        <v>68</v>
      </c>
      <c r="F15897" s="23" t="str">
        <f>HYPERLINK("https://www.spark-marketing.ru/Card/Lot/67708104", "Оказание услуг по предупреждению и пресечению правонарушений и преступлений с помощью кнопок тревожной сигнализации подразделениями вневедомственной охраны")</f>
        <v>Оказание услуг по предупреждению и пресечению правонарушений и преступлений с помощью кнопок тревожной сигнализации подразделениями вневедомственной охраны</v>
      </c>
      <c r="G15897" s="22" t="s">
        <v>538</v>
      </c>
      <c r="H15897" s="22" t="s">
        <v>538</v>
      </c>
      <c r="I15897" s="26">
        <v>43501</v>
      </c>
      <c r="J15897" s="28" t="s">
        <v>52</v>
      </c>
      <c r="K15897" s="28" t="s">
        <v>52</v>
      </c>
      <c r="L15897" s="28" t="s">
        <v>52</v>
      </c>
      <c r="M15897" s="28" t="s">
        <v>52</v>
      </c>
      <c r="N15897" s="28" t="s">
        <v>52</v>
      </c>
    </row>
    <row r="15898" spans="1:14" x14ac:dyDescent="0.15">
      <c r="A15898" s="23" t="str">
        <f>HYPERLINK("https://www.spark-marketing.ru/Card/Person/20683", "ФКУ УПРДОР ""ХОЛМОГОРЫ""")</f>
        <v>ФКУ УПРДОР "ХОЛМОГОРЫ"</v>
      </c>
      <c r="B15898" s="24" t="s">
        <v>3172</v>
      </c>
      <c r="C15898" s="25">
        <v>1800360</v>
      </c>
      <c r="D15898" s="22" t="s">
        <v>18227</v>
      </c>
      <c r="E15898" s="22" t="s">
        <v>15097</v>
      </c>
      <c r="F15898" s="23" t="str">
        <f>HYPERLINK("https://www.spark-marketing.ru/Card/Lot/67713563", "Оплата за потребляемую электроэнергию, в том числе на объектах транспортной безопасности, в рамках выполнения работ по содержанию линий электроосвещения на автомобильной дороге общего пользования федерального значения Р-600 Кострома - Иваново км 0+00...")</f>
        <v>Оплата за потребляемую электроэнергию, в том числе на объектах транспортной безопасности, в рамках выполнения работ по содержанию линий электроосвещения на автомобильной дороге общего пользования федерального значения Р-600 Кострома - Иваново км 0+00...</v>
      </c>
      <c r="G15898" s="22" t="s">
        <v>1104</v>
      </c>
      <c r="H15898" s="22" t="s">
        <v>1104</v>
      </c>
      <c r="I15898" s="26">
        <v>43501</v>
      </c>
      <c r="J15898" s="23" t="str">
        <f>HYPERLINK("https://www.spark-marketing.ru/Card/Person/46255", "ООО ""ДСУ-1""")</f>
        <v>ООО "ДСУ-1"</v>
      </c>
      <c r="K15898" s="24" t="s">
        <v>18228</v>
      </c>
      <c r="L15898" s="22" t="s">
        <v>10</v>
      </c>
      <c r="M15898" s="28" t="s">
        <v>52</v>
      </c>
      <c r="N15898" s="28" t="s">
        <v>52</v>
      </c>
    </row>
    <row r="15899" spans="1:14" x14ac:dyDescent="0.15">
      <c r="A15899" s="23" t="str">
        <f>HYPERLINK("https://www.spark-marketing.ru/Card/Person/81882", "ГБПОУ РО ""КХМТ""")</f>
        <v>ГБПОУ РО "КХМТ"</v>
      </c>
      <c r="B15899" s="24" t="s">
        <v>18229</v>
      </c>
      <c r="C15899" s="25">
        <v>580000</v>
      </c>
      <c r="D15899" s="22" t="s">
        <v>18230</v>
      </c>
      <c r="E15899" s="22" t="s">
        <v>68</v>
      </c>
      <c r="F15899" s="23" t="str">
        <f>HYPERLINK("https://www.spark-marketing.ru/Card/Lot/67699537", "Физическая охрана территории, здания, имущества")</f>
        <v>Физическая охрана территории, здания, имущества</v>
      </c>
      <c r="G15899" s="22" t="s">
        <v>402</v>
      </c>
      <c r="H15899" s="22" t="s">
        <v>6137</v>
      </c>
      <c r="I15899" s="26">
        <v>43501</v>
      </c>
      <c r="J15899" s="28" t="s">
        <v>52</v>
      </c>
      <c r="K15899" s="28" t="s">
        <v>52</v>
      </c>
      <c r="L15899" s="28" t="s">
        <v>52</v>
      </c>
      <c r="M15899" s="28" t="s">
        <v>52</v>
      </c>
      <c r="N15899" s="28" t="s">
        <v>52</v>
      </c>
    </row>
    <row r="15900" spans="1:14" ht="12.75" hidden="1" outlineLevel="1" x14ac:dyDescent="0.2">
      <c r="A15900" s="23" t="str">
        <f>HYPERLINK("https://www.spark-marketing.ru/Card/Person/81882", "ГБПОУ РО ""КХМТ""")</f>
        <v>ГБПОУ РО "КХМТ"</v>
      </c>
      <c r="B15900" s="24" t="s">
        <v>18229</v>
      </c>
      <c r="C15900" s="25">
        <v>580000</v>
      </c>
      <c r="D15900" s="22" t="s">
        <v>18230</v>
      </c>
      <c r="E15900" s="22" t="s">
        <v>68</v>
      </c>
      <c r="F15900" s="23" t="str">
        <f>HYPERLINK("https://www.spark-marketing.ru/Card/Lot/67699537", "Физическая охрана территории, здания, имущества")</f>
        <v>Физическая охрана территории, здания, имущества</v>
      </c>
      <c r="G15900" s="22" t="s">
        <v>402</v>
      </c>
      <c r="H15900" s="22" t="s">
        <v>6137</v>
      </c>
      <c r="I15900" s="26">
        <v>43501</v>
      </c>
      <c r="J15900" s="23" t="str">
        <f>HYPERLINK("https://www.spark-marketing.ru/Card/Person/639275", "ООО ""ЧОО ""ВИКИНГ""")</f>
        <v>ООО "ЧОО "ВИКИНГ"</v>
      </c>
      <c r="K15900" s="24" t="s">
        <v>18231</v>
      </c>
      <c r="L15900" s="22" t="s">
        <v>10</v>
      </c>
      <c r="M15900" s="25">
        <v>580000</v>
      </c>
      <c r="N15900" s="27">
        <v>0</v>
      </c>
    </row>
    <row r="15901" spans="1:14" hidden="1" outlineLevel="1" x14ac:dyDescent="0.15">
      <c r="A15901" s="23" t="str">
        <f>HYPERLINK("https://www.spark-marketing.ru/Card/Person/81882", "ГБПОУ РО ""КХМТ""")</f>
        <v>ГБПОУ РО "КХМТ"</v>
      </c>
      <c r="B15901" s="24" t="s">
        <v>18229</v>
      </c>
      <c r="C15901" s="25">
        <v>580000</v>
      </c>
      <c r="D15901" s="22" t="s">
        <v>18230</v>
      </c>
      <c r="E15901" s="22" t="s">
        <v>68</v>
      </c>
      <c r="F15901" s="23" t="str">
        <f>HYPERLINK("https://www.spark-marketing.ru/Card/Lot/67699537", "Физическая охрана территории, здания, имущества")</f>
        <v>Физическая охрана территории, здания, имущества</v>
      </c>
      <c r="G15901" s="22" t="s">
        <v>402</v>
      </c>
      <c r="H15901" s="22" t="s">
        <v>6137</v>
      </c>
      <c r="I15901" s="26">
        <v>43501</v>
      </c>
      <c r="J15901" s="23" t="str">
        <f>HYPERLINK("https://www.spark-marketing.ru/Card/Person/487628", "ООО ""ОА ""ФОРТ-ЮГ""")</f>
        <v>ООО "ОА "ФОРТ-ЮГ"</v>
      </c>
      <c r="K15901" s="24" t="s">
        <v>18232</v>
      </c>
      <c r="L15901" s="28" t="s">
        <v>52</v>
      </c>
      <c r="M15901" s="28" t="s">
        <v>52</v>
      </c>
      <c r="N15901" s="28" t="s">
        <v>52</v>
      </c>
    </row>
    <row r="15902" spans="1:14" x14ac:dyDescent="0.15">
      <c r="A15902" s="23" t="str">
        <f>HYPERLINK("https://www.spark-marketing.ru/Card/Person/35587", "МЕЖРАЙОННАЯ ИФНС РОССИИ № 5 ПО РЕСПУБЛИКЕ САХА (ЯКУТИЯ)")</f>
        <v>МЕЖРАЙОННАЯ ИФНС РОССИИ № 5 ПО РЕСПУБЛИКЕ САХА (ЯКУТИЯ)</v>
      </c>
      <c r="B15902" s="24" t="s">
        <v>18233</v>
      </c>
      <c r="C15902" s="25">
        <v>188800</v>
      </c>
      <c r="D15902" s="22" t="s">
        <v>18234</v>
      </c>
      <c r="E15902" s="22" t="s">
        <v>17849</v>
      </c>
      <c r="F15902" s="23" t="str">
        <f>HYPERLINK("https://www.spark-marketing.ru/Card/Lot/67693152", "Услуги по техобслуживанию ОПС, селекторной связи, СКУД, АГПТ и системы видеонаблюдения")</f>
        <v>Услуги по техобслуживанию ОПС, селекторной связи, СКУД, АГПТ и системы видеонаблюдения</v>
      </c>
      <c r="G15902" s="22" t="s">
        <v>424</v>
      </c>
      <c r="H15902" s="22" t="s">
        <v>1186</v>
      </c>
      <c r="I15902" s="26">
        <v>43501</v>
      </c>
      <c r="J15902" s="23" t="str">
        <f>HYPERLINK("https://www.spark-marketing.ru/Card/Person/5853361", "ООО ""НОВА""")</f>
        <v>ООО "НОВА"</v>
      </c>
      <c r="K15902" s="24" t="s">
        <v>6361</v>
      </c>
      <c r="L15902" s="22" t="s">
        <v>10</v>
      </c>
      <c r="M15902" s="28" t="s">
        <v>52</v>
      </c>
      <c r="N15902" s="28" t="s">
        <v>52</v>
      </c>
    </row>
    <row r="15903" spans="1:14" x14ac:dyDescent="0.15">
      <c r="A15903" s="23" t="str">
        <f>HYPERLINK("https://www.spark-marketing.ru/Card/Person/997473", "ФГКУ КОМБИНАТ ""ГИГАНТ"" РОСРЕЗЕРВА")</f>
        <v>ФГКУ КОМБИНАТ "ГИГАНТ" РОСРЕЗЕРВА</v>
      </c>
      <c r="B15903" s="24" t="s">
        <v>18235</v>
      </c>
      <c r="C15903" s="25">
        <v>97385.600000000006</v>
      </c>
      <c r="D15903" s="22" t="s">
        <v>18236</v>
      </c>
      <c r="E15903" s="22" t="s">
        <v>68</v>
      </c>
      <c r="F15903" s="23" t="str">
        <f>HYPERLINK("https://www.spark-marketing.ru/Card/Lot/67708877", "Оплата услуг по контролю за срабатыванием средств тревожной сигнализации")</f>
        <v>Оплата услуг по контролю за срабатыванием средств тревожной сигнализации</v>
      </c>
      <c r="G15903" s="22" t="s">
        <v>209</v>
      </c>
      <c r="H15903" s="22" t="s">
        <v>6912</v>
      </c>
      <c r="I15903" s="26">
        <v>43501</v>
      </c>
      <c r="J15903" s="28" t="s">
        <v>52</v>
      </c>
      <c r="K15903" s="28" t="s">
        <v>52</v>
      </c>
      <c r="L15903" s="28" t="s">
        <v>52</v>
      </c>
      <c r="M15903" s="28" t="s">
        <v>52</v>
      </c>
      <c r="N15903" s="28" t="s">
        <v>52</v>
      </c>
    </row>
    <row r="15904" spans="1:14" x14ac:dyDescent="0.15">
      <c r="A15904" s="23" t="str">
        <f>HYPERLINK("https://www.spark-marketing.ru/Card/Person/131828", "МЕЖРАЙОННАЯ ИФНС РОССИИ № 4 ПО ВОРОНЕЖСКОЙ ОБЛАСТИ")</f>
        <v>МЕЖРАЙОННАЯ ИФНС РОССИИ № 4 ПО ВОРОНЕЖСКОЙ ОБЛАСТИ</v>
      </c>
      <c r="B15904" s="24" t="s">
        <v>18091</v>
      </c>
      <c r="C15904" s="25">
        <v>52384.800000000003</v>
      </c>
      <c r="D15904" s="22" t="s">
        <v>18237</v>
      </c>
      <c r="E15904" s="22" t="s">
        <v>68</v>
      </c>
      <c r="F15904" s="23" t="str">
        <f>HYPERLINK("https://www.spark-marketing.ru/Card/Lot/67719687", "Централизованная охрана объектов инспекции (ПЦН)")</f>
        <v>Централизованная охрана объектов инспекции (ПЦН)</v>
      </c>
      <c r="G15904" s="22" t="s">
        <v>552</v>
      </c>
      <c r="H15904" s="22" t="s">
        <v>552</v>
      </c>
      <c r="I15904" s="26">
        <v>43501</v>
      </c>
      <c r="J15904" s="28" t="s">
        <v>52</v>
      </c>
      <c r="K15904" s="28" t="s">
        <v>52</v>
      </c>
      <c r="L15904" s="28" t="s">
        <v>52</v>
      </c>
      <c r="M15904" s="28" t="s">
        <v>52</v>
      </c>
      <c r="N15904" s="28" t="s">
        <v>52</v>
      </c>
    </row>
    <row r="15905" spans="1:14" x14ac:dyDescent="0.15">
      <c r="A15905" s="23" t="str">
        <f>HYPERLINK("https://www.spark-marketing.ru/Card/Person/153944", "АДМИНИСТРАЦИЯ ГО БАЛАШИХА")</f>
        <v>АДМИНИСТРАЦИЯ ГО БАЛАШИХА</v>
      </c>
      <c r="B15905" s="24" t="s">
        <v>18238</v>
      </c>
      <c r="C15905" s="25">
        <v>12000000</v>
      </c>
      <c r="D15905" s="22" t="s">
        <v>18239</v>
      </c>
      <c r="E15905" s="22" t="s">
        <v>3699</v>
      </c>
      <c r="F15905" s="23" t="str">
        <f>HYPERLINK("https://www.spark-marketing.ru/Card/Lot/67713233", "Оказание услуг по обслуживанию, обеспечению бесперебойной работы, организация каналов связи системы видеонаблюдения «Безопасный регион»")</f>
        <v>Оказание услуг по обслуживанию, обеспечению бесперебойной работы, организация каналов связи системы видеонаблюдения «Безопасный регион»</v>
      </c>
      <c r="G15905" s="22" t="s">
        <v>50</v>
      </c>
      <c r="H15905" s="22" t="s">
        <v>432</v>
      </c>
      <c r="I15905" s="26">
        <v>43501</v>
      </c>
      <c r="J15905" s="28" t="s">
        <v>52</v>
      </c>
      <c r="K15905" s="28" t="s">
        <v>52</v>
      </c>
      <c r="L15905" s="28" t="s">
        <v>52</v>
      </c>
      <c r="M15905" s="28" t="s">
        <v>52</v>
      </c>
      <c r="N15905" s="28" t="s">
        <v>52</v>
      </c>
    </row>
    <row r="15906" spans="1:14" hidden="1" outlineLevel="1" x14ac:dyDescent="0.2">
      <c r="A15906" s="23" t="str">
        <f>HYPERLINK("https://www.spark-marketing.ru/Card/Person/153944", "АДМИНИСТРАЦИЯ ГО БАЛАШИХА")</f>
        <v>АДМИНИСТРАЦИЯ ГО БАЛАШИХА</v>
      </c>
      <c r="B15906" s="24" t="s">
        <v>18238</v>
      </c>
      <c r="C15906" s="25">
        <v>12000000</v>
      </c>
      <c r="D15906" s="22" t="s">
        <v>18239</v>
      </c>
      <c r="E15906" s="22" t="s">
        <v>3699</v>
      </c>
      <c r="F15906" s="23" t="str">
        <f>HYPERLINK("https://www.spark-marketing.ru/Card/Lot/67713233", "Оказание услуг по обслуживанию, обеспечению бесперебойной работы, организация каналов связи системы видеонаблюдения «Безопасный регион»")</f>
        <v>Оказание услуг по обслуживанию, обеспечению бесперебойной работы, организация каналов связи системы видеонаблюдения «Безопасный регион»</v>
      </c>
      <c r="G15906" s="22" t="s">
        <v>50</v>
      </c>
      <c r="H15906" s="22" t="s">
        <v>432</v>
      </c>
      <c r="I15906" s="26">
        <v>43501</v>
      </c>
      <c r="J15906" s="23" t="str">
        <f>HYPERLINK("https://www.spark-marketing.ru/Card/Person/1279884", "ООО ""БАЛНЕТ""")</f>
        <v>ООО "БАЛНЕТ"</v>
      </c>
      <c r="K15906" s="24" t="s">
        <v>18240</v>
      </c>
      <c r="L15906" s="28" t="s">
        <v>52</v>
      </c>
      <c r="M15906" s="25">
        <v>12000000</v>
      </c>
      <c r="N15906" s="27">
        <v>0</v>
      </c>
    </row>
    <row r="15907" spans="1:14" ht="12.75" hidden="1" outlineLevel="1" x14ac:dyDescent="0.2">
      <c r="A15907" s="23" t="str">
        <f>HYPERLINK("https://www.spark-marketing.ru/Card/Person/153944", "АДМИНИСТРАЦИЯ ГО БАЛАШИХА")</f>
        <v>АДМИНИСТРАЦИЯ ГО БАЛАШИХА</v>
      </c>
      <c r="B15907" s="24" t="s">
        <v>18238</v>
      </c>
      <c r="C15907" s="25">
        <v>12000000</v>
      </c>
      <c r="D15907" s="22" t="s">
        <v>18239</v>
      </c>
      <c r="E15907" s="22" t="s">
        <v>3699</v>
      </c>
      <c r="F15907" s="23" t="str">
        <f>HYPERLINK("https://www.spark-marketing.ru/Card/Lot/67713233", "Оказание услуг по обслуживанию, обеспечению бесперебойной работы, организация каналов связи системы видеонаблюдения «Безопасный регион»")</f>
        <v>Оказание услуг по обслуживанию, обеспечению бесперебойной работы, организация каналов связи системы видеонаблюдения «Безопасный регион»</v>
      </c>
      <c r="G15907" s="22" t="s">
        <v>50</v>
      </c>
      <c r="H15907" s="22" t="s">
        <v>432</v>
      </c>
      <c r="I15907" s="26">
        <v>43501</v>
      </c>
      <c r="J15907" s="23" t="str">
        <f>HYPERLINK("https://www.spark-marketing.ru/Card/Person/1341113", "ООО ""ЭЛЕКТРОН-ТЕЛЕКОМ""")</f>
        <v>ООО "ЭЛЕКТРОН-ТЕЛЕКОМ"</v>
      </c>
      <c r="K15907" s="24" t="s">
        <v>18241</v>
      </c>
      <c r="L15907" s="22" t="s">
        <v>10</v>
      </c>
      <c r="M15907" s="25">
        <v>10000000</v>
      </c>
      <c r="N15907" s="27">
        <v>0.16666666666666666</v>
      </c>
    </row>
    <row r="15908" spans="1:14" hidden="1" outlineLevel="1" x14ac:dyDescent="0.2">
      <c r="A15908" s="23" t="str">
        <f>HYPERLINK("https://www.spark-marketing.ru/Card/Person/153944", "АДМИНИСТРАЦИЯ ГО БАЛАШИХА")</f>
        <v>АДМИНИСТРАЦИЯ ГО БАЛАШИХА</v>
      </c>
      <c r="B15908" s="24" t="s">
        <v>18238</v>
      </c>
      <c r="C15908" s="25">
        <v>12000000</v>
      </c>
      <c r="D15908" s="22" t="s">
        <v>18239</v>
      </c>
      <c r="E15908" s="22" t="s">
        <v>3699</v>
      </c>
      <c r="F15908" s="23" t="str">
        <f>HYPERLINK("https://www.spark-marketing.ru/Card/Lot/67713233", "Оказание услуг по обслуживанию, обеспечению бесперебойной работы, организация каналов связи системы видеонаблюдения «Безопасный регион»")</f>
        <v>Оказание услуг по обслуживанию, обеспечению бесперебойной работы, организация каналов связи системы видеонаблюдения «Безопасный регион»</v>
      </c>
      <c r="G15908" s="22" t="s">
        <v>50</v>
      </c>
      <c r="H15908" s="22" t="s">
        <v>432</v>
      </c>
      <c r="I15908" s="26">
        <v>43501</v>
      </c>
      <c r="J15908" s="23" t="str">
        <f>HYPERLINK("https://www.spark-marketing.ru/Card/Person/5784455", "ООО ""ПАРТНЕРЫ""")</f>
        <v>ООО "ПАРТНЕРЫ"</v>
      </c>
      <c r="K15908" s="24" t="s">
        <v>18242</v>
      </c>
      <c r="L15908" s="28" t="s">
        <v>52</v>
      </c>
      <c r="M15908" s="25">
        <v>11160000</v>
      </c>
      <c r="N15908" s="27">
        <v>7.0000000000000007E-2</v>
      </c>
    </row>
    <row r="15909" spans="1:14" x14ac:dyDescent="0.15">
      <c r="A15909" s="23" t="str">
        <f>HYPERLINK("https://www.spark-marketing.ru/Card/Person/4346941", "ФГБОУ ВО АЛТАЙСКИЙ ГАУ")</f>
        <v>ФГБОУ ВО АЛТАЙСКИЙ ГАУ</v>
      </c>
      <c r="B15909" s="24" t="s">
        <v>6613</v>
      </c>
      <c r="C15909" s="25">
        <v>9701922</v>
      </c>
      <c r="D15909" s="22" t="s">
        <v>18243</v>
      </c>
      <c r="E15909" s="22" t="s">
        <v>68</v>
      </c>
      <c r="F15909" s="23" t="str">
        <f>HYPERLINK("https://www.spark-marketing.ru/Card/Lot/67696334", "Оказание комплексных услуг по обеспечению охраны  объектов")</f>
        <v>Оказание комплексных услуг по обеспечению охраны  объектов</v>
      </c>
      <c r="G15909" s="22" t="s">
        <v>428</v>
      </c>
      <c r="H15909" s="22" t="s">
        <v>429</v>
      </c>
      <c r="I15909" s="26">
        <v>43501</v>
      </c>
      <c r="J15909" s="28" t="s">
        <v>52</v>
      </c>
      <c r="K15909" s="28" t="s">
        <v>52</v>
      </c>
      <c r="L15909" s="28" t="s">
        <v>52</v>
      </c>
      <c r="M15909" s="28" t="s">
        <v>52</v>
      </c>
      <c r="N15909" s="28" t="s">
        <v>52</v>
      </c>
    </row>
    <row r="15910" spans="1:14" ht="12.75" hidden="1" outlineLevel="1" x14ac:dyDescent="0.2">
      <c r="A15910" s="23" t="str">
        <f>HYPERLINK("https://www.spark-marketing.ru/Card/Person/4346941", "ФГБОУ ВО АЛТАЙСКИЙ ГАУ")</f>
        <v>ФГБОУ ВО АЛТАЙСКИЙ ГАУ</v>
      </c>
      <c r="B15910" s="24" t="s">
        <v>6613</v>
      </c>
      <c r="C15910" s="25">
        <v>9701922</v>
      </c>
      <c r="D15910" s="22" t="s">
        <v>18243</v>
      </c>
      <c r="E15910" s="22" t="s">
        <v>68</v>
      </c>
      <c r="F15910" s="23" t="str">
        <f>HYPERLINK("https://www.spark-marketing.ru/Card/Lot/67696334", "Оказание комплексных услуг по обеспечению охраны  объектов")</f>
        <v>Оказание комплексных услуг по обеспечению охраны  объектов</v>
      </c>
      <c r="G15910" s="22" t="s">
        <v>428</v>
      </c>
      <c r="H15910" s="22" t="s">
        <v>429</v>
      </c>
      <c r="I15910" s="26">
        <v>43501</v>
      </c>
      <c r="J15910" s="23" t="str">
        <f>HYPERLINK("https://www.spark-marketing.ru/Card/Person/53680", "ООО ЧОО ""РЕГИОН-22""")</f>
        <v>ООО ЧОО "РЕГИОН-22"</v>
      </c>
      <c r="K15910" s="24" t="s">
        <v>18244</v>
      </c>
      <c r="L15910" s="22" t="s">
        <v>10</v>
      </c>
      <c r="M15910" s="25">
        <v>9653412.3900000006</v>
      </c>
      <c r="N15910" s="27">
        <v>5.0000000000000001E-3</v>
      </c>
    </row>
    <row r="15911" spans="1:14" hidden="1" outlineLevel="1" x14ac:dyDescent="0.2">
      <c r="A15911" s="23" t="str">
        <f>HYPERLINK("https://www.spark-marketing.ru/Card/Person/4346941", "ФГБОУ ВО АЛТАЙСКИЙ ГАУ")</f>
        <v>ФГБОУ ВО АЛТАЙСКИЙ ГАУ</v>
      </c>
      <c r="B15911" s="24" t="s">
        <v>6613</v>
      </c>
      <c r="C15911" s="25">
        <v>9701922</v>
      </c>
      <c r="D15911" s="22" t="s">
        <v>18243</v>
      </c>
      <c r="E15911" s="22" t="s">
        <v>68</v>
      </c>
      <c r="F15911" s="23" t="str">
        <f>HYPERLINK("https://www.spark-marketing.ru/Card/Lot/67696334", "Оказание комплексных услуг по обеспечению охраны  объектов")</f>
        <v>Оказание комплексных услуг по обеспечению охраны  объектов</v>
      </c>
      <c r="G15911" s="22" t="s">
        <v>428</v>
      </c>
      <c r="H15911" s="22" t="s">
        <v>429</v>
      </c>
      <c r="I15911" s="26">
        <v>43501</v>
      </c>
      <c r="J15911" s="23" t="str">
        <f>HYPERLINK("https://www.spark-marketing.ru/Card/Person/133916", "ООО ЧОО ""СИГМА""")</f>
        <v>ООО ЧОО "СИГМА"</v>
      </c>
      <c r="K15911" s="24" t="s">
        <v>18245</v>
      </c>
      <c r="L15911" s="28" t="s">
        <v>52</v>
      </c>
      <c r="M15911" s="25">
        <v>9653412.3900000006</v>
      </c>
      <c r="N15911" s="27">
        <v>5.0000000000000001E-3</v>
      </c>
    </row>
    <row r="15912" spans="1:14" x14ac:dyDescent="0.15">
      <c r="A15912" s="23" t="str">
        <f>HYPERLINK("https://www.spark-marketing.ru/Card/Person/997473", "ФГКУ КОМБИНАТ ""ГИГАНТ"" РОСРЕЗЕРВА")</f>
        <v>ФГКУ КОМБИНАТ "ГИГАНТ" РОСРЕЗЕРВА</v>
      </c>
      <c r="B15912" s="24" t="s">
        <v>18235</v>
      </c>
      <c r="C15912" s="25">
        <v>158741.4</v>
      </c>
      <c r="D15912" s="22" t="s">
        <v>18246</v>
      </c>
      <c r="E15912" s="22" t="s">
        <v>68</v>
      </c>
      <c r="F15912" s="23" t="str">
        <f>HYPERLINK("https://www.spark-marketing.ru/Card/Lot/67708767", "Охрана имущества")</f>
        <v>Охрана имущества</v>
      </c>
      <c r="G15912" s="22" t="s">
        <v>209</v>
      </c>
      <c r="H15912" s="22" t="s">
        <v>6912</v>
      </c>
      <c r="I15912" s="26">
        <v>43501</v>
      </c>
      <c r="J15912" s="28" t="s">
        <v>52</v>
      </c>
      <c r="K15912" s="28" t="s">
        <v>52</v>
      </c>
      <c r="L15912" s="28" t="s">
        <v>52</v>
      </c>
      <c r="M15912" s="28" t="s">
        <v>52</v>
      </c>
      <c r="N15912" s="28" t="s">
        <v>52</v>
      </c>
    </row>
    <row r="15913" spans="1:14" x14ac:dyDescent="0.15">
      <c r="A15913" s="23" t="str">
        <f>HYPERLINK("https://www.spark-marketing.ru/Card/Person/1024819", "МАДОУ Д/С №26 ""ЛУЧИК""")</f>
        <v>МАДОУ Д/С №26 "ЛУЧИК"</v>
      </c>
      <c r="B15913" s="24" t="s">
        <v>14144</v>
      </c>
      <c r="C15913" s="25">
        <v>44000</v>
      </c>
      <c r="D15913" s="22" t="s">
        <v>18247</v>
      </c>
      <c r="E15913" s="22" t="s">
        <v>107</v>
      </c>
      <c r="F15913" s="23" t="str">
        <f>HYPERLINK("https://www.spark-marketing.ru/Card/Lot/67691300", "Оказание услуг по техническому обслуживанию системы доступа (домофон) и системы видеонаблюдения")</f>
        <v>Оказание услуг по техническому обслуживанию системы доступа (домофон) и системы видеонаблюдения</v>
      </c>
      <c r="G15913" s="22" t="s">
        <v>50</v>
      </c>
      <c r="H15913" s="22" t="s">
        <v>4782</v>
      </c>
      <c r="I15913" s="26">
        <v>43500.929872685199</v>
      </c>
      <c r="J15913" s="28" t="s">
        <v>52</v>
      </c>
      <c r="K15913" s="28" t="s">
        <v>52</v>
      </c>
      <c r="L15913" s="28" t="s">
        <v>52</v>
      </c>
      <c r="M15913" s="28" t="s">
        <v>52</v>
      </c>
      <c r="N15913" s="28" t="s">
        <v>52</v>
      </c>
    </row>
    <row r="15914" spans="1:14" x14ac:dyDescent="0.15">
      <c r="A15914" s="23" t="str">
        <f>HYPERLINK("https://www.spark-marketing.ru/Card/Person/1024819", "МАДОУ Д/С №26 ""ЛУЧИК""")</f>
        <v>МАДОУ Д/С №26 "ЛУЧИК"</v>
      </c>
      <c r="B15914" s="24" t="s">
        <v>14144</v>
      </c>
      <c r="C15914" s="25">
        <v>25584.6</v>
      </c>
      <c r="D15914" s="22" t="s">
        <v>18248</v>
      </c>
      <c r="E15914" s="22" t="s">
        <v>107</v>
      </c>
      <c r="F15914" s="23" t="str">
        <f>HYPERLINK("https://www.spark-marketing.ru/Card/Lot/67691303", "Услуги по техническому обслуживанию (содержанию) систем охранной (противовзломной) сигнализации")</f>
        <v>Услуги по техническому обслуживанию (содержанию) систем охранной (противовзломной) сигнализации</v>
      </c>
      <c r="G15914" s="22" t="s">
        <v>50</v>
      </c>
      <c r="H15914" s="22" t="s">
        <v>4782</v>
      </c>
      <c r="I15914" s="26">
        <v>43500.940266203703</v>
      </c>
      <c r="J15914" s="28" t="s">
        <v>52</v>
      </c>
      <c r="K15914" s="28" t="s">
        <v>52</v>
      </c>
      <c r="L15914" s="28" t="s">
        <v>52</v>
      </c>
      <c r="M15914" s="28" t="s">
        <v>52</v>
      </c>
      <c r="N15914" s="28" t="s">
        <v>52</v>
      </c>
    </row>
    <row r="15915" spans="1:14" ht="12.75" x14ac:dyDescent="0.2">
      <c r="A15915" s="23" t="str">
        <f>HYPERLINK("https://www.spark-marketing.ru/Card/Person/703125", "ООО ""РИЦ""")</f>
        <v>ООО "РИЦ"</v>
      </c>
      <c r="B15915" s="24" t="s">
        <v>4078</v>
      </c>
      <c r="C15915" s="25">
        <v>10839333.300000001</v>
      </c>
      <c r="D15915" s="22" t="s">
        <v>18249</v>
      </c>
      <c r="E15915" s="22" t="s">
        <v>5061</v>
      </c>
      <c r="F15915" s="23" t="str">
        <f>HYPERLINK("https://www.spark-marketing.ru/Card/Lot/67690945", "на выполнение работ по установке элементов обустройства автомобильных дорог общего пользования федерального значения в 2018 - 2019 гг. в рамках выполнения работ по содержанию действующей сети автомобильных дорог: «Установка систем видеоконтроля (каме...")</f>
        <v>на выполнение работ по установке элементов обустройства автомобильных дорог общего пользования федерального значения в 2018 - 2019 гг. в рамках выполнения работ по содержанию действующей сети автомобильных дорог: «Установка систем видеоконтроля (каме...</v>
      </c>
      <c r="G15915" s="22" t="s">
        <v>55</v>
      </c>
      <c r="H15915" s="22" t="s">
        <v>55</v>
      </c>
      <c r="I15915" s="26">
        <v>43500.800856481503</v>
      </c>
      <c r="J15915" s="23" t="str">
        <f>HYPERLINK("https://www.spark-marketing.ru/Card/Person/6496084", "ООО ""АРМАДА ГРУПП""")</f>
        <v>ООО "АРМАДА ГРУПП"</v>
      </c>
      <c r="K15915" s="24" t="s">
        <v>18250</v>
      </c>
      <c r="L15915" s="22" t="s">
        <v>10</v>
      </c>
      <c r="M15915" s="25">
        <v>0</v>
      </c>
      <c r="N15915" s="27">
        <v>1</v>
      </c>
    </row>
    <row r="15916" spans="1:14" x14ac:dyDescent="0.15">
      <c r="A15916" s="23" t="str">
        <f>HYPERLINK("https://www.spark-marketing.ru/Card/Person/93432", "ИВАНОВСКАЯ СОШ")</f>
        <v>ИВАНОВСКАЯ СОШ</v>
      </c>
      <c r="B15916" s="24" t="s">
        <v>18251</v>
      </c>
      <c r="C15916" s="25">
        <v>28600</v>
      </c>
      <c r="D15916" s="22" t="s">
        <v>18252</v>
      </c>
      <c r="E15916" s="22" t="s">
        <v>107</v>
      </c>
      <c r="F15916" s="23" t="str">
        <f>HYPERLINK("https://www.spark-marketing.ru/Card/Lot/67687973", "Техническое обслуживание системы видеонаблюдения на 2019 год")</f>
        <v>Техническое обслуживание системы видеонаблюдения на 2019 год</v>
      </c>
      <c r="G15916" s="22" t="s">
        <v>50</v>
      </c>
      <c r="H15916" s="22" t="s">
        <v>295</v>
      </c>
      <c r="I15916" s="26">
        <v>43500.752824074101</v>
      </c>
      <c r="J15916" s="28" t="s">
        <v>52</v>
      </c>
      <c r="K15916" s="28" t="s">
        <v>52</v>
      </c>
      <c r="L15916" s="28" t="s">
        <v>52</v>
      </c>
      <c r="M15916" s="28" t="s">
        <v>52</v>
      </c>
      <c r="N15916" s="28" t="s">
        <v>52</v>
      </c>
    </row>
    <row r="15917" spans="1:14" x14ac:dyDescent="0.15">
      <c r="A15917" s="23" t="str">
        <f>HYPERLINK("https://www.spark-marketing.ru/Card/Person/38622", "АО ""СХК""")</f>
        <v>АО "СХК"</v>
      </c>
      <c r="B15917" s="24" t="s">
        <v>159</v>
      </c>
      <c r="C15917" s="25">
        <v>2740195.15</v>
      </c>
      <c r="D15917" s="22" t="s">
        <v>18253</v>
      </c>
      <c r="E15917" s="22" t="s">
        <v>8819</v>
      </c>
      <c r="F15917" s="23" t="str">
        <f>HYPERLINK("https://www.spark-marketing.ru/Card/Lot/67681564", "Право заключения договора на Оказание услуг по невооруженной физической охране объектов и имущества площадки ТФА АО «СХК».")</f>
        <v>Право заключения договора на Оказание услуг по невооруженной физической охране объектов и имущества площадки ТФА АО «СХК».</v>
      </c>
      <c r="G15917" s="22" t="s">
        <v>150</v>
      </c>
      <c r="H15917" s="22" t="s">
        <v>161</v>
      </c>
      <c r="I15917" s="26">
        <v>43500.753252314797</v>
      </c>
      <c r="J15917" s="23" t="str">
        <f>HYPERLINK("https://www.spark-marketing.ru/Card/Person/1905065", "ЗАЯВКА")</f>
        <v>ЗАЯВКА</v>
      </c>
      <c r="K15917" s="24" t="s">
        <v>10745</v>
      </c>
      <c r="L15917" s="28" t="s">
        <v>52</v>
      </c>
      <c r="M15917" s="28" t="s">
        <v>52</v>
      </c>
      <c r="N15917" s="28" t="s">
        <v>52</v>
      </c>
    </row>
    <row r="15918" spans="1:14" x14ac:dyDescent="0.15">
      <c r="A15918" s="23" t="str">
        <f>HYPERLINK("https://www.spark-marketing.ru/Card/Person/4348428", "ПАО ""НИЖНЕКАМСКНЕФТЕХИМ""")</f>
        <v>ПАО "НИЖНЕКАМСКНЕФТЕХИМ"</v>
      </c>
      <c r="B15918" s="24" t="s">
        <v>822</v>
      </c>
      <c r="C15918" s="25">
        <v>0</v>
      </c>
      <c r="D15918" s="22" t="s">
        <v>18254</v>
      </c>
      <c r="E15918" s="22" t="s">
        <v>53</v>
      </c>
      <c r="F15918" s="23" t="str">
        <f>HYPERLINK("https://www.spark-marketing.ru/Card/Lot/67694864", "Техническое обслуживание систем спутникового телевидения, охранного видеонаблюдения и контроля доступа")</f>
        <v>Техническое обслуживание систем спутникового телевидения, охранного видеонаблюдения и контроля доступа</v>
      </c>
      <c r="G15918" s="22" t="s">
        <v>204</v>
      </c>
      <c r="H15918" s="22" t="s">
        <v>824</v>
      </c>
      <c r="I15918" s="26">
        <v>43500.714918981503</v>
      </c>
      <c r="J15918" s="28" t="s">
        <v>52</v>
      </c>
      <c r="K15918" s="28" t="s">
        <v>52</v>
      </c>
      <c r="L15918" s="28" t="s">
        <v>52</v>
      </c>
      <c r="M15918" s="28" t="s">
        <v>52</v>
      </c>
      <c r="N15918" s="28" t="s">
        <v>52</v>
      </c>
    </row>
    <row r="15919" spans="1:14" x14ac:dyDescent="0.15">
      <c r="A15919" s="23" t="str">
        <f>HYPERLINK("https://www.spark-marketing.ru/Card/Person/51612", "МБДОУ ""ДЕТСКИЙ САД № 146"" Г. ЧЕБОКСАРЫ")</f>
        <v>МБДОУ "ДЕТСКИЙ САД № 146" Г. ЧЕБОКСАРЫ</v>
      </c>
      <c r="B15919" s="24" t="s">
        <v>12765</v>
      </c>
      <c r="C15919" s="25">
        <v>15292.09</v>
      </c>
      <c r="D15919" s="22" t="s">
        <v>18255</v>
      </c>
      <c r="E15919" s="22" t="s">
        <v>1013</v>
      </c>
      <c r="F15919" s="23" t="str">
        <f>HYPERLINK("https://www.spark-marketing.ru/Card/Lot/67688257", "Оказание услуг о предупреждении и пересечению правонарушений и преступлений с помощью тревожной кнопки")</f>
        <v>Оказание услуг о предупреждении и пересечению правонарушений и преступлений с помощью тревожной кнопки</v>
      </c>
      <c r="G15919" s="22" t="s">
        <v>1137</v>
      </c>
      <c r="H15919" s="22" t="s">
        <v>1138</v>
      </c>
      <c r="I15919" s="26">
        <v>43500.749305555597</v>
      </c>
      <c r="J15919" s="28" t="s">
        <v>52</v>
      </c>
      <c r="K15919" s="28" t="s">
        <v>52</v>
      </c>
      <c r="L15919" s="28" t="s">
        <v>52</v>
      </c>
      <c r="M15919" s="28" t="s">
        <v>52</v>
      </c>
      <c r="N15919" s="28" t="s">
        <v>52</v>
      </c>
    </row>
    <row r="15920" spans="1:14" x14ac:dyDescent="0.15">
      <c r="A15920" s="23" t="str">
        <f>HYPERLINK("https://www.spark-marketing.ru/Card/Person/1769839", "МАДОУ Д/С №14 ""ПОДМОСКОВЬЕ""")</f>
        <v>МАДОУ Д/С №14 "ПОДМОСКОВЬЕ"</v>
      </c>
      <c r="B15920" s="24" t="s">
        <v>14040</v>
      </c>
      <c r="C15920" s="25">
        <v>22157.88</v>
      </c>
      <c r="D15920" s="22" t="s">
        <v>18256</v>
      </c>
      <c r="E15920" s="22" t="s">
        <v>107</v>
      </c>
      <c r="F15920" s="23" t="str">
        <f>HYPERLINK("https://www.spark-marketing.ru/Card/Lot/67682057", "Услуги по техническому обслуживанию комплекса технических средств охраны")</f>
        <v>Услуги по техническому обслуживанию комплекса технических средств охраны</v>
      </c>
      <c r="G15920" s="22" t="s">
        <v>50</v>
      </c>
      <c r="H15920" s="22" t="s">
        <v>4782</v>
      </c>
      <c r="I15920" s="26">
        <v>43500.670740740701</v>
      </c>
      <c r="J15920" s="28" t="s">
        <v>52</v>
      </c>
      <c r="K15920" s="28" t="s">
        <v>52</v>
      </c>
      <c r="L15920" s="28" t="s">
        <v>52</v>
      </c>
      <c r="M15920" s="28" t="s">
        <v>52</v>
      </c>
      <c r="N15920" s="28" t="s">
        <v>52</v>
      </c>
    </row>
    <row r="15921" spans="1:14" x14ac:dyDescent="0.15">
      <c r="A15921" s="23" t="str">
        <f>HYPERLINK("https://www.spark-marketing.ru/Card/Person/4365793", "АО ""ОЭК""")</f>
        <v>АО "ОЭК"</v>
      </c>
      <c r="B15921" s="24" t="s">
        <v>18257</v>
      </c>
      <c r="C15921" s="25">
        <v>1087705.32</v>
      </c>
      <c r="D15921" s="22" t="s">
        <v>18258</v>
      </c>
      <c r="E15921" s="22" t="s">
        <v>9565</v>
      </c>
      <c r="F15921" s="23" t="str">
        <f>HYPERLINK("https://www.spark-marketing.ru/Card/Lot/67687221", "Оказание услуг охраны объектов АО «ОЭК» с помощью технических средств охраны, подключенных на пульт централизованного наблюдения (ТП)")</f>
        <v>Оказание услуг охраны объектов АО «ОЭК» с помощью технических средств охраны, подключенных на пульт централизованного наблюдения (ТП)</v>
      </c>
      <c r="G15921" s="22" t="s">
        <v>55</v>
      </c>
      <c r="H15921" s="22" t="s">
        <v>55</v>
      </c>
      <c r="I15921" s="26">
        <v>43500.705312500002</v>
      </c>
      <c r="J15921" s="28" t="s">
        <v>52</v>
      </c>
      <c r="K15921" s="28" t="s">
        <v>52</v>
      </c>
      <c r="L15921" s="28" t="s">
        <v>52</v>
      </c>
      <c r="M15921" s="28" t="s">
        <v>52</v>
      </c>
      <c r="N15921" s="28" t="s">
        <v>52</v>
      </c>
    </row>
    <row r="15922" spans="1:14" x14ac:dyDescent="0.15">
      <c r="A15922" s="23" t="str">
        <f>HYPERLINK("https://www.spark-marketing.ru/Card/Person/4347606", "ГБУ КО ""ШКОЛА-ИНТЕРНАТ""")</f>
        <v>ГБУ КО "ШКОЛА-ИНТЕРНАТ"</v>
      </c>
      <c r="B15922" s="24" t="s">
        <v>15454</v>
      </c>
      <c r="C15922" s="25">
        <v>1700</v>
      </c>
      <c r="D15922" s="22" t="s">
        <v>18259</v>
      </c>
      <c r="E15922" s="22" t="s">
        <v>585</v>
      </c>
      <c r="F15922" s="23" t="str">
        <f>HYPERLINK("https://www.spark-marketing.ru/Card/Lot/67682318", "Оказание услуг по проверке технического состояния транспортных средств с использованием средств технического диагностирования, на предмет их соответствия обязательным требованиям безопасности транспортных средств, в целях допуска транспортных средств...")</f>
        <v>Оказание услуг по проверке технического состояния транспортных средств с использованием средств технического диагностирования, на предмет их соответствия обязательным требованиям безопасности транспортных средств, в целях допуска транспортных средств...</v>
      </c>
      <c r="G15922" s="22" t="s">
        <v>247</v>
      </c>
      <c r="H15922" s="22" t="s">
        <v>576</v>
      </c>
      <c r="I15922" s="26">
        <v>43500.672222222202</v>
      </c>
      <c r="J15922" s="28" t="s">
        <v>52</v>
      </c>
      <c r="K15922" s="28" t="s">
        <v>52</v>
      </c>
      <c r="L15922" s="28" t="s">
        <v>52</v>
      </c>
      <c r="M15922" s="28" t="s">
        <v>52</v>
      </c>
      <c r="N15922" s="28" t="s">
        <v>52</v>
      </c>
    </row>
    <row r="15923" spans="1:14" x14ac:dyDescent="0.15">
      <c r="A15923" s="23" t="str">
        <f>HYPERLINK("https://www.spark-marketing.ru/Card/Person/456138", "КГАУ ""ЦСП""")</f>
        <v>КГАУ "ЦСП"</v>
      </c>
      <c r="B15923" s="24" t="s">
        <v>2031</v>
      </c>
      <c r="C15923" s="25">
        <v>2254920</v>
      </c>
      <c r="D15923" s="22" t="s">
        <v>18260</v>
      </c>
      <c r="E15923" s="22" t="s">
        <v>363</v>
      </c>
      <c r="F15923" s="23" t="str">
        <f>HYPERLINK("https://www.spark-marketing.ru/Card/Lot/67672203", "Услуги по охране объекта и имущества")</f>
        <v>Услуги по охране объекта и имущества</v>
      </c>
      <c r="G15923" s="22" t="s">
        <v>640</v>
      </c>
      <c r="H15923" s="22" t="s">
        <v>640</v>
      </c>
      <c r="I15923" s="26">
        <v>43500.667534722197</v>
      </c>
      <c r="J15923" s="28" t="s">
        <v>52</v>
      </c>
      <c r="K15923" s="28" t="s">
        <v>52</v>
      </c>
      <c r="L15923" s="28" t="s">
        <v>52</v>
      </c>
      <c r="M15923" s="28" t="s">
        <v>52</v>
      </c>
      <c r="N15923" s="28" t="s">
        <v>52</v>
      </c>
    </row>
    <row r="15924" spans="1:14" x14ac:dyDescent="0.15">
      <c r="A15924" s="23" t="str">
        <f>HYPERLINK("https://www.spark-marketing.ru/Card/Person/1027970", "МАДОУ ""ДЕТСКИЙ САД №17 ""ДЕТСТВО""")</f>
        <v>МАДОУ "ДЕТСКИЙ САД №17 "ДЕТСТВО"</v>
      </c>
      <c r="B15924" s="24" t="s">
        <v>18261</v>
      </c>
      <c r="C15924" s="25">
        <v>48968</v>
      </c>
      <c r="D15924" s="22" t="s">
        <v>18262</v>
      </c>
      <c r="E15924" s="22" t="s">
        <v>107</v>
      </c>
      <c r="F15924" s="23" t="str">
        <f>HYPERLINK("https://www.spark-marketing.ru/Card/Lot/67684432", "Услуги по установке и пусконаладочные работы системы контроля доступа в помещении ДОУ (видеодомофон)")</f>
        <v>Услуги по установке и пусконаладочные работы системы контроля доступа в помещении ДОУ (видеодомофон)</v>
      </c>
      <c r="G15924" s="22" t="s">
        <v>50</v>
      </c>
      <c r="H15924" s="22" t="s">
        <v>1056</v>
      </c>
      <c r="I15924" s="26">
        <v>43500.690995370402</v>
      </c>
      <c r="J15924" s="28" t="s">
        <v>52</v>
      </c>
      <c r="K15924" s="28" t="s">
        <v>52</v>
      </c>
      <c r="L15924" s="28" t="s">
        <v>52</v>
      </c>
      <c r="M15924" s="28" t="s">
        <v>52</v>
      </c>
      <c r="N15924" s="28" t="s">
        <v>52</v>
      </c>
    </row>
    <row r="15925" spans="1:14" x14ac:dyDescent="0.15">
      <c r="A15925" s="23" t="str">
        <f>HYPERLINK("https://www.spark-marketing.ru/Card/Person/132127", "МБОУ ЕСОШ")</f>
        <v>МБОУ ЕСОШ</v>
      </c>
      <c r="B15925" s="24" t="s">
        <v>18263</v>
      </c>
      <c r="C15925" s="25">
        <v>11490</v>
      </c>
      <c r="D15925" s="22" t="s">
        <v>18264</v>
      </c>
      <c r="E15925" s="22" t="s">
        <v>18265</v>
      </c>
      <c r="F15925" s="23" t="str">
        <f>HYPERLINK("https://www.spark-marketing.ru/Card/Lot/67684320", "Установка системы видеонаблюдения")</f>
        <v>Установка системы видеонаблюдения</v>
      </c>
      <c r="G15925" s="22" t="s">
        <v>50</v>
      </c>
      <c r="H15925" s="22" t="s">
        <v>7244</v>
      </c>
      <c r="I15925" s="26">
        <v>43500.701793981498</v>
      </c>
      <c r="J15925" s="28" t="s">
        <v>52</v>
      </c>
      <c r="K15925" s="28" t="s">
        <v>52</v>
      </c>
      <c r="L15925" s="28" t="s">
        <v>52</v>
      </c>
      <c r="M15925" s="28" t="s">
        <v>52</v>
      </c>
      <c r="N15925" s="28" t="s">
        <v>52</v>
      </c>
    </row>
    <row r="15926" spans="1:14" x14ac:dyDescent="0.2">
      <c r="A15926" s="23" t="str">
        <f>HYPERLINK("https://www.spark-marketing.ru/Card/Person/1778909", "МАДОУ ""Д/С №6 ""ЗОЛОТОЙ КЛЮЧИК""")</f>
        <v>МАДОУ "Д/С №6 "ЗОЛОТОЙ КЛЮЧИК"</v>
      </c>
      <c r="B15926" s="24" t="s">
        <v>18266</v>
      </c>
      <c r="C15926" s="25">
        <v>117000</v>
      </c>
      <c r="D15926" s="22" t="s">
        <v>18267</v>
      </c>
      <c r="E15926" s="22" t="s">
        <v>137</v>
      </c>
      <c r="F15926" s="23" t="str">
        <f>HYPERLINK("https://www.spark-marketing.ru/Card/Lot/67684516", "Оказание услуг по техническому обслуживанию видеонаблюдения и домофона")</f>
        <v>Оказание услуг по техническому обслуживанию видеонаблюдения и домофона</v>
      </c>
      <c r="G15926" s="22" t="s">
        <v>50</v>
      </c>
      <c r="H15926" s="22" t="s">
        <v>2391</v>
      </c>
      <c r="I15926" s="26">
        <v>43500.682951388902</v>
      </c>
      <c r="J15926" s="23" t="str">
        <f>HYPERLINK("https://www.spark-marketing.ru/Card/Person/6429129", "Кузнецов Владислав Викторович")</f>
        <v>Кузнецов Владислав Викторович</v>
      </c>
      <c r="K15926" s="24" t="s">
        <v>18268</v>
      </c>
      <c r="L15926" s="28" t="s">
        <v>52</v>
      </c>
      <c r="M15926" s="25">
        <v>117000</v>
      </c>
      <c r="N15926" s="27">
        <v>0</v>
      </c>
    </row>
    <row r="15927" spans="1:14" x14ac:dyDescent="0.15">
      <c r="A15927" s="23" t="str">
        <f>HYPERLINK("https://www.spark-marketing.ru/Card/Person/67110", "ГБУСОН РО ""ТАГАНРОГСКИЙ ПНИ № 1""")</f>
        <v>ГБУСОН РО "ТАГАНРОГСКИЙ ПНИ № 1"</v>
      </c>
      <c r="B15927" s="24" t="s">
        <v>18269</v>
      </c>
      <c r="C15927" s="25">
        <v>20000</v>
      </c>
      <c r="D15927" s="22" t="s">
        <v>18270</v>
      </c>
      <c r="E15927" s="22" t="s">
        <v>294</v>
      </c>
      <c r="F15927" s="23" t="str">
        <f>HYPERLINK("https://www.spark-marketing.ru/Card/Lot/67678285", "Оказание услуг по техническому обслуживанию системы видеонаблюдения в 2019 году")</f>
        <v>Оказание услуг по техническому обслуживанию системы видеонаблюдения в 2019 году</v>
      </c>
      <c r="G15927" s="22" t="s">
        <v>402</v>
      </c>
      <c r="H15927" s="22" t="s">
        <v>5520</v>
      </c>
      <c r="I15927" s="26">
        <v>43500.630555555603</v>
      </c>
      <c r="J15927" s="28" t="s">
        <v>52</v>
      </c>
      <c r="K15927" s="28" t="s">
        <v>52</v>
      </c>
      <c r="L15927" s="28" t="s">
        <v>52</v>
      </c>
      <c r="M15927" s="28" t="s">
        <v>52</v>
      </c>
      <c r="N15927" s="28" t="s">
        <v>52</v>
      </c>
    </row>
    <row r="15928" spans="1:14" x14ac:dyDescent="0.15">
      <c r="A15928" s="23" t="str">
        <f>HYPERLINK("https://www.spark-marketing.ru/Card/Person/52012", "ГБУ РО ""СПК""")</f>
        <v>ГБУ РО "СПК"</v>
      </c>
      <c r="B15928" s="24" t="s">
        <v>18271</v>
      </c>
      <c r="C15928" s="25">
        <v>94000</v>
      </c>
      <c r="D15928" s="22" t="s">
        <v>18272</v>
      </c>
      <c r="E15928" s="22" t="s">
        <v>194</v>
      </c>
      <c r="F15928" s="23" t="str">
        <f>HYPERLINK("https://www.spark-marketing.ru/Card/Lot/67680997", "оказание услуг по техническому обслуживанию систем видеонаблюдения")</f>
        <v>оказание услуг по техническому обслуживанию систем видеонаблюдения</v>
      </c>
      <c r="G15928" s="22" t="s">
        <v>402</v>
      </c>
      <c r="H15928" s="22" t="s">
        <v>403</v>
      </c>
      <c r="I15928" s="26">
        <v>43500.645833333299</v>
      </c>
      <c r="J15928" s="28" t="s">
        <v>52</v>
      </c>
      <c r="K15928" s="28" t="s">
        <v>52</v>
      </c>
      <c r="L15928" s="28" t="s">
        <v>52</v>
      </c>
      <c r="M15928" s="28" t="s">
        <v>52</v>
      </c>
      <c r="N15928" s="28" t="s">
        <v>52</v>
      </c>
    </row>
    <row r="15929" spans="1:14" x14ac:dyDescent="0.2">
      <c r="A15929" s="23" t="str">
        <f>HYPERLINK("https://www.spark-marketing.ru/Card/Person/57057", "ФГУП ""ЦИАМ ИМ. П.И. БАРАНОВА""")</f>
        <v>ФГУП "ЦИАМ ИМ. П.И. БАРАНОВА"</v>
      </c>
      <c r="B15929" s="24" t="s">
        <v>18273</v>
      </c>
      <c r="C15929" s="25">
        <v>190442.4</v>
      </c>
      <c r="D15929" s="22" t="s">
        <v>18274</v>
      </c>
      <c r="E15929" s="22" t="s">
        <v>144</v>
      </c>
      <c r="F15929" s="23" t="str">
        <f>HYPERLINK("https://www.spark-marketing.ru/Card/Lot/67680434", "Оказание охранных услуг")</f>
        <v>Оказание охранных услуг</v>
      </c>
      <c r="G15929" s="22" t="s">
        <v>50</v>
      </c>
      <c r="H15929" s="22" t="s">
        <v>50</v>
      </c>
      <c r="I15929" s="26">
        <v>43500.632060185198</v>
      </c>
      <c r="J15929" s="23" t="str">
        <f>HYPERLINK("https://www.spark-marketing.ru/Card/Person/4949191", "Люберецкий ОВО - филиал ФГКУ «УВО ВНГ России по Московской области»")</f>
        <v>Люберецкий ОВО - филиал ФГКУ «УВО ВНГ России по Московской области»</v>
      </c>
      <c r="K15929" s="24" t="s">
        <v>9566</v>
      </c>
      <c r="L15929" s="28" t="s">
        <v>52</v>
      </c>
      <c r="M15929" s="25">
        <v>190442.4</v>
      </c>
      <c r="N15929" s="27">
        <v>0</v>
      </c>
    </row>
    <row r="15930" spans="1:14" x14ac:dyDescent="0.15">
      <c r="A15930" s="23" t="str">
        <f>HYPERLINK("https://www.spark-marketing.ru/Card/Person/67110", "ГБУСОН РО ""ТАГАНРОГСКИЙ ПНИ № 1""")</f>
        <v>ГБУСОН РО "ТАГАНРОГСКИЙ ПНИ № 1"</v>
      </c>
      <c r="B15930" s="24" t="s">
        <v>18269</v>
      </c>
      <c r="C15930" s="25">
        <v>7000</v>
      </c>
      <c r="D15930" s="22" t="s">
        <v>18275</v>
      </c>
      <c r="E15930" s="22" t="s">
        <v>349</v>
      </c>
      <c r="F15930" s="23" t="str">
        <f>HYPERLINK("https://www.spark-marketing.ru/Card/Lot/67678263", "Оказание услуг по техническому обслуживанию тревожной сигнализации в 2019 году")</f>
        <v>Оказание услуг по техническому обслуживанию тревожной сигнализации в 2019 году</v>
      </c>
      <c r="G15930" s="22" t="s">
        <v>402</v>
      </c>
      <c r="H15930" s="22" t="s">
        <v>5520</v>
      </c>
      <c r="I15930" s="26">
        <v>43500.625</v>
      </c>
      <c r="J15930" s="28" t="s">
        <v>52</v>
      </c>
      <c r="K15930" s="28" t="s">
        <v>52</v>
      </c>
      <c r="L15930" s="28" t="s">
        <v>52</v>
      </c>
      <c r="M15930" s="28" t="s">
        <v>52</v>
      </c>
      <c r="N15930" s="28" t="s">
        <v>52</v>
      </c>
    </row>
    <row r="15931" spans="1:14" x14ac:dyDescent="0.15">
      <c r="A15931" s="23" t="str">
        <f>HYPERLINK("https://www.spark-marketing.ru/Card/Person/52272", "МБДОУ ""Д/С № 13 ""КЛУБНИЧКА""")</f>
        <v>МБДОУ "Д/С № 13 "КЛУБНИЧКА"</v>
      </c>
      <c r="B15931" s="24" t="s">
        <v>18276</v>
      </c>
      <c r="C15931" s="25">
        <v>67584</v>
      </c>
      <c r="D15931" s="22" t="s">
        <v>18277</v>
      </c>
      <c r="E15931" s="22" t="s">
        <v>294</v>
      </c>
      <c r="F15931" s="23" t="str">
        <f>HYPERLINK("https://www.spark-marketing.ru/Card/Lot/67677754", "Оказание услуг по техническому обслуживанию системы видеонаблюдения")</f>
        <v>Оказание услуг по техническому обслуживанию системы видеонаблюдения</v>
      </c>
      <c r="G15931" s="22" t="s">
        <v>50</v>
      </c>
      <c r="H15931" s="22" t="s">
        <v>2391</v>
      </c>
      <c r="I15931" s="26">
        <v>43500.628043981502</v>
      </c>
      <c r="J15931" s="28" t="s">
        <v>52</v>
      </c>
      <c r="K15931" s="28" t="s">
        <v>52</v>
      </c>
      <c r="L15931" s="28" t="s">
        <v>52</v>
      </c>
      <c r="M15931" s="28" t="s">
        <v>52</v>
      </c>
      <c r="N15931" s="28" t="s">
        <v>52</v>
      </c>
    </row>
    <row r="15932" spans="1:14" x14ac:dyDescent="0.15">
      <c r="A15932" s="23" t="str">
        <f>HYPERLINK("https://www.spark-marketing.ru/Card/Person/1034467", "ГБУСОН РО ""СРЦ КАШАРСКОГО РАЙОНА""")</f>
        <v>ГБУСОН РО "СРЦ КАШАРСКОГО РАЙОНА"</v>
      </c>
      <c r="B15932" s="24" t="s">
        <v>6697</v>
      </c>
      <c r="C15932" s="25">
        <v>8166.67</v>
      </c>
      <c r="D15932" s="22" t="s">
        <v>18278</v>
      </c>
      <c r="E15932" s="22" t="s">
        <v>79</v>
      </c>
      <c r="F15932" s="23" t="str">
        <f>HYPERLINK("https://www.spark-marketing.ru/Card/Lot/67677346", "монтаж и пуско-наладку тревожной кнопки с выводом сигнала на центральный пульт ЕДДС")</f>
        <v>монтаж и пуско-наладку тревожной кнопки с выводом сигнала на центральный пульт ЕДДС</v>
      </c>
      <c r="G15932" s="22" t="s">
        <v>402</v>
      </c>
      <c r="H15932" s="22" t="s">
        <v>6699</v>
      </c>
      <c r="I15932" s="26">
        <v>43500.608333333301</v>
      </c>
      <c r="J15932" s="28" t="s">
        <v>52</v>
      </c>
      <c r="K15932" s="28" t="s">
        <v>52</v>
      </c>
      <c r="L15932" s="28" t="s">
        <v>52</v>
      </c>
      <c r="M15932" s="28" t="s">
        <v>52</v>
      </c>
      <c r="N15932" s="28" t="s">
        <v>52</v>
      </c>
    </row>
    <row r="15933" spans="1:14" ht="12.75" x14ac:dyDescent="0.2">
      <c r="A15933" s="23" t="str">
        <f>HYPERLINK("https://www.spark-marketing.ru/Card/Person/4348574", "ПАО ""МРСК СЕВЕРО-ЗАПАДА""")</f>
        <v>ПАО "МРСК СЕВЕРО-ЗАПАДА"</v>
      </c>
      <c r="B15933" s="24" t="s">
        <v>18279</v>
      </c>
      <c r="C15933" s="25">
        <v>505240.68</v>
      </c>
      <c r="D15933" s="22" t="s">
        <v>18280</v>
      </c>
      <c r="E15933" s="22" t="s">
        <v>930</v>
      </c>
      <c r="F15933" s="23" t="str">
        <f>HYPERLINK("https://www.spark-marketing.ru/Card/Lot/67677263", "Оказание услуг по техническому обслуживанию видеостены в Центре Управления Сетями филиала ПАО «МРСК Северо-Запада» «Псковэнерго»")</f>
        <v>Оказание услуг по техническому обслуживанию видеостены в Центре Управления Сетями филиала ПАО «МРСК Северо-Запада» «Псковэнерго»</v>
      </c>
      <c r="G15933" s="22" t="s">
        <v>142</v>
      </c>
      <c r="H15933" s="22" t="s">
        <v>142</v>
      </c>
      <c r="I15933" s="26">
        <v>43500.590567129599</v>
      </c>
      <c r="J15933" s="23" t="str">
        <f>HYPERLINK("https://www.spark-marketing.ru/Card/Person/1556689", "ООО ""ВИКИНГ ПРОЕКТ""")</f>
        <v>ООО "ВИКИНГ ПРОЕКТ"</v>
      </c>
      <c r="K15933" s="24" t="s">
        <v>18281</v>
      </c>
      <c r="L15933" s="22" t="s">
        <v>10</v>
      </c>
      <c r="M15933" s="25">
        <v>504000</v>
      </c>
      <c r="N15933" s="27">
        <v>2.4556217444723573E-3</v>
      </c>
    </row>
    <row r="15934" spans="1:14" x14ac:dyDescent="0.15">
      <c r="A15934" s="23" t="str">
        <f>HYPERLINK("https://www.spark-marketing.ru/Card/Person/83987", "МБДОУ № 10")</f>
        <v>МБДОУ № 10</v>
      </c>
      <c r="B15934" s="24" t="s">
        <v>18282</v>
      </c>
      <c r="C15934" s="25">
        <v>8474.4</v>
      </c>
      <c r="D15934" s="22" t="s">
        <v>18283</v>
      </c>
      <c r="E15934" s="22" t="s">
        <v>107</v>
      </c>
      <c r="F15934" s="23" t="str">
        <f>HYPERLINK("https://www.spark-marketing.ru/Card/Lot/67677615", "Услуги обслуживания технических средст охраны - тревожной сигнализации")</f>
        <v>Услуги обслуживания технических средст охраны - тревожной сигнализации</v>
      </c>
      <c r="G15934" s="22" t="s">
        <v>50</v>
      </c>
      <c r="H15934" s="22" t="s">
        <v>265</v>
      </c>
      <c r="I15934" s="26">
        <v>43500.617939814802</v>
      </c>
      <c r="J15934" s="28" t="s">
        <v>52</v>
      </c>
      <c r="K15934" s="28" t="s">
        <v>52</v>
      </c>
      <c r="L15934" s="28" t="s">
        <v>52</v>
      </c>
      <c r="M15934" s="28" t="s">
        <v>52</v>
      </c>
      <c r="N15934" s="28" t="s">
        <v>52</v>
      </c>
    </row>
    <row r="15935" spans="1:14" x14ac:dyDescent="0.15">
      <c r="A15935" s="23" t="str">
        <f>HYPERLINK("https://www.spark-marketing.ru/Card/Person/6251539", "ГБУ РС(Я) ""РССШ ПО ПЛАВАНИЮ""")</f>
        <v>ГБУ РС(Я) "РССШ ПО ПЛАВАНИЮ"</v>
      </c>
      <c r="B15935" s="24" t="s">
        <v>13688</v>
      </c>
      <c r="C15935" s="25">
        <v>675000</v>
      </c>
      <c r="D15935" s="22" t="s">
        <v>18284</v>
      </c>
      <c r="E15935" s="22" t="s">
        <v>144</v>
      </c>
      <c r="F15935" s="23" t="str">
        <f>HYPERLINK("https://www.spark-marketing.ru/Card/Lot/67663671", "оказание услуг по обеспечению охраны объектов и прилегающей территории")</f>
        <v>оказание услуг по обеспечению охраны объектов и прилегающей территории</v>
      </c>
      <c r="G15935" s="22" t="s">
        <v>424</v>
      </c>
      <c r="H15935" s="22" t="s">
        <v>424</v>
      </c>
      <c r="I15935" s="26">
        <v>43500.613032407397</v>
      </c>
      <c r="J15935" s="28" t="s">
        <v>52</v>
      </c>
      <c r="K15935" s="28" t="s">
        <v>52</v>
      </c>
      <c r="L15935" s="28" t="s">
        <v>52</v>
      </c>
      <c r="M15935" s="28" t="s">
        <v>52</v>
      </c>
      <c r="N15935" s="28" t="s">
        <v>52</v>
      </c>
    </row>
    <row r="15936" spans="1:14" x14ac:dyDescent="0.15">
      <c r="A15936" s="23" t="str">
        <f>HYPERLINK("https://www.spark-marketing.ru/Card/Person/113010", "АО ""НИКИМТ-АТОМСТРОЙ""")</f>
        <v>АО "НИКИМТ-АТОМСТРОЙ"</v>
      </c>
      <c r="B15936" s="24" t="s">
        <v>1701</v>
      </c>
      <c r="C15936" s="28" t="s">
        <v>52</v>
      </c>
      <c r="D15936" s="22" t="s">
        <v>18285</v>
      </c>
      <c r="E15936" s="22" t="s">
        <v>53</v>
      </c>
      <c r="F15936" s="23" t="str">
        <f>HYPERLINK("https://www.spark-marketing.ru/Card/Lot/67686562", "оказание услуг по охране имущества главного корпуса и пристройки филиала АО «НИКИМТ-Атомстрой» ТПИИ ВНИПИЭТ (1179010)")</f>
        <v>оказание услуг по охране имущества главного корпуса и пристройки филиала АО «НИКИМТ-Атомстрой» ТПИИ ВНИПИЭТ (1179010)</v>
      </c>
      <c r="G15936" s="22" t="s">
        <v>55</v>
      </c>
      <c r="H15936" s="22" t="s">
        <v>55</v>
      </c>
      <c r="I15936" s="26">
        <v>43500.621550925898</v>
      </c>
      <c r="J15936" s="28" t="s">
        <v>52</v>
      </c>
      <c r="K15936" s="28" t="s">
        <v>52</v>
      </c>
      <c r="L15936" s="28" t="s">
        <v>52</v>
      </c>
      <c r="M15936" s="28" t="s">
        <v>52</v>
      </c>
      <c r="N15936" s="28" t="s">
        <v>52</v>
      </c>
    </row>
    <row r="15937" spans="1:14" x14ac:dyDescent="0.15">
      <c r="A15937" s="23" t="str">
        <f>HYPERLINK("https://www.spark-marketing.ru/Card/Person/113010", "АО ""НИКИМТ-АТОМСТРОЙ""")</f>
        <v>АО "НИКИМТ-АТОМСТРОЙ"</v>
      </c>
      <c r="B15937" s="24" t="s">
        <v>1701</v>
      </c>
      <c r="C15937" s="25">
        <v>0</v>
      </c>
      <c r="D15937" s="22" t="s">
        <v>18286</v>
      </c>
      <c r="E15937" s="22" t="s">
        <v>53</v>
      </c>
      <c r="F15937" s="23" t="str">
        <f>HYPERLINK("https://www.spark-marketing.ru/Card/Lot/67677791", "мониторинг цен в электронной форме на оказание услуг по охране имущества главного корпуса и пристройки филиала АО «НИКИМТ-Атомстрой» ТПИИ ВНИПИЭТ")</f>
        <v>мониторинг цен в электронной форме на оказание услуг по охране имущества главного корпуса и пристройки филиала АО «НИКИМТ-Атомстрой» ТПИИ ВНИПИЭТ</v>
      </c>
      <c r="G15937" s="22" t="s">
        <v>55</v>
      </c>
      <c r="H15937" s="22" t="s">
        <v>55</v>
      </c>
      <c r="I15937" s="26">
        <v>43500.568842592598</v>
      </c>
      <c r="J15937" s="28" t="s">
        <v>52</v>
      </c>
      <c r="K15937" s="28" t="s">
        <v>52</v>
      </c>
      <c r="L15937" s="28" t="s">
        <v>52</v>
      </c>
      <c r="M15937" s="28" t="s">
        <v>52</v>
      </c>
      <c r="N15937" s="28" t="s">
        <v>52</v>
      </c>
    </row>
    <row r="15938" spans="1:14" x14ac:dyDescent="0.2">
      <c r="A15938" s="23" t="str">
        <f>HYPERLINK("https://www.spark-marketing.ru/Card/Person/446989", "ФКП ""СТАВРОПОЛЬСКАЯ БИОФАБРИКА""")</f>
        <v>ФКП "СТАВРОПОЛЬСКАЯ БИОФАБРИКА"</v>
      </c>
      <c r="B15938" s="24" t="s">
        <v>18287</v>
      </c>
      <c r="C15938" s="25">
        <v>134415</v>
      </c>
      <c r="D15938" s="22" t="s">
        <v>18288</v>
      </c>
      <c r="E15938" s="22" t="s">
        <v>691</v>
      </c>
      <c r="F15938" s="23" t="str">
        <f>HYPERLINK("https://www.spark-marketing.ru/Card/Lot/67677047", "установка системы видеонаблюдения")</f>
        <v>установка системы видеонаблюдения</v>
      </c>
      <c r="G15938" s="22" t="s">
        <v>258</v>
      </c>
      <c r="H15938" s="22" t="s">
        <v>258</v>
      </c>
      <c r="I15938" s="26">
        <v>43500.5753819444</v>
      </c>
      <c r="J15938" s="23" t="str">
        <f>HYPERLINK("https://www.spark-marketing.ru/Card/Person/216206", "ООО ""СТАВКОМВИДЕО+""")</f>
        <v>ООО "СТАВКОМВИДЕО+"</v>
      </c>
      <c r="K15938" s="24" t="s">
        <v>18289</v>
      </c>
      <c r="L15938" s="28" t="s">
        <v>52</v>
      </c>
      <c r="M15938" s="25">
        <v>134415</v>
      </c>
      <c r="N15938" s="27">
        <v>0</v>
      </c>
    </row>
    <row r="15939" spans="1:14" x14ac:dyDescent="0.15">
      <c r="A15939" s="23" t="str">
        <f>HYPERLINK("https://www.spark-marketing.ru/Card/Person/77888", "ГБПОУ МО ""АТТ ""ДУБНА""")</f>
        <v>ГБПОУ МО "АТТ "ДУБНА"</v>
      </c>
      <c r="B15939" s="24" t="s">
        <v>18290</v>
      </c>
      <c r="C15939" s="25">
        <v>63300</v>
      </c>
      <c r="D15939" s="22" t="s">
        <v>18291</v>
      </c>
      <c r="E15939" s="22" t="s">
        <v>107</v>
      </c>
      <c r="F15939" s="23" t="str">
        <f>HYPERLINK("https://www.spark-marketing.ru/Card/Lot/67672528", "ТО тревожной кнопки")</f>
        <v>ТО тревожной кнопки</v>
      </c>
      <c r="G15939" s="22" t="s">
        <v>50</v>
      </c>
      <c r="H15939" s="22" t="s">
        <v>2012</v>
      </c>
      <c r="I15939" s="26">
        <v>43500.545231481497</v>
      </c>
      <c r="J15939" s="28" t="s">
        <v>52</v>
      </c>
      <c r="K15939" s="28" t="s">
        <v>52</v>
      </c>
      <c r="L15939" s="28" t="s">
        <v>52</v>
      </c>
      <c r="M15939" s="28" t="s">
        <v>52</v>
      </c>
      <c r="N15939" s="28" t="s">
        <v>52</v>
      </c>
    </row>
    <row r="15940" spans="1:14" x14ac:dyDescent="0.15">
      <c r="A15940" s="23" t="str">
        <f>HYPERLINK("https://www.spark-marketing.ru/Card/Person/4348584", "АО ""АТОМ-ОХРАНА""")</f>
        <v>АО "АТОМ-ОХРАНА"</v>
      </c>
      <c r="B15940" s="24" t="s">
        <v>1036</v>
      </c>
      <c r="C15940" s="28" t="s">
        <v>52</v>
      </c>
      <c r="D15940" s="22" t="s">
        <v>18292</v>
      </c>
      <c r="E15940" s="22" t="s">
        <v>53</v>
      </c>
      <c r="F15940" s="23" t="str">
        <f>HYPERLINK("https://www.spark-marketing.ru/Card/Lot/67679956", "Оказание услуг по сервисному обслуживанию (комплексная автомойка) служебных автомобилей отдельного отряда №210 МУВО 2 ФГУП «Атом-охрана» (1178858)")</f>
        <v>Оказание услуг по сервисному обслуживанию (комплексная автомойка) служебных автомобилей отдельного отряда №210 МУВО 2 ФГУП «Атом-охрана» (1178858)</v>
      </c>
      <c r="G15940" s="22" t="s">
        <v>55</v>
      </c>
      <c r="H15940" s="22" t="s">
        <v>55</v>
      </c>
      <c r="I15940" s="26">
        <v>43500.5382060185</v>
      </c>
      <c r="J15940" s="28" t="s">
        <v>52</v>
      </c>
      <c r="K15940" s="28" t="s">
        <v>52</v>
      </c>
      <c r="L15940" s="28" t="s">
        <v>52</v>
      </c>
      <c r="M15940" s="28" t="s">
        <v>52</v>
      </c>
      <c r="N15940" s="28" t="s">
        <v>52</v>
      </c>
    </row>
    <row r="15941" spans="1:14" x14ac:dyDescent="0.15">
      <c r="A15941" s="23" t="str">
        <f>HYPERLINK("https://www.spark-marketing.ru/Card/Person/130518", "БОУ ДО Г. ОМСКА ""ГДДЮТ""")</f>
        <v>БОУ ДО Г. ОМСКА "ГДДЮТ"</v>
      </c>
      <c r="B15941" s="24" t="s">
        <v>18293</v>
      </c>
      <c r="C15941" s="25">
        <v>30660</v>
      </c>
      <c r="D15941" s="22" t="s">
        <v>18294</v>
      </c>
      <c r="E15941" s="22" t="s">
        <v>5267</v>
      </c>
      <c r="F15941" s="23" t="str">
        <f>HYPERLINK("https://www.spark-marketing.ru/Card/Lot/67670324", "Оказание услуг по охране имущества")</f>
        <v>Оказание услуг по охране имущества</v>
      </c>
      <c r="G15941" s="22" t="s">
        <v>521</v>
      </c>
      <c r="H15941" s="22" t="s">
        <v>522</v>
      </c>
      <c r="I15941" s="26">
        <v>43500.5</v>
      </c>
      <c r="J15941" s="28" t="s">
        <v>52</v>
      </c>
      <c r="K15941" s="28" t="s">
        <v>52</v>
      </c>
      <c r="L15941" s="28" t="s">
        <v>52</v>
      </c>
      <c r="M15941" s="28" t="s">
        <v>52</v>
      </c>
      <c r="N15941" s="28" t="s">
        <v>52</v>
      </c>
    </row>
    <row r="15942" spans="1:14" x14ac:dyDescent="0.15">
      <c r="A15942" s="23" t="str">
        <f>HYPERLINK("https://www.spark-marketing.ru/Card/Person/812015", "МБДОУ ""ДЕТСКИЙ САД № 112"" Г.ЧЕБОКСАРЫ")</f>
        <v>МБДОУ "ДЕТСКИЙ САД № 112" Г.ЧЕБОКСАРЫ</v>
      </c>
      <c r="B15942" s="24" t="s">
        <v>18295</v>
      </c>
      <c r="C15942" s="25">
        <v>6667.1</v>
      </c>
      <c r="D15942" s="22" t="s">
        <v>18296</v>
      </c>
      <c r="E15942" s="22" t="s">
        <v>294</v>
      </c>
      <c r="F15942" s="23" t="str">
        <f>HYPERLINK("https://www.spark-marketing.ru/Card/Lot/67672313", "Техническое обслуживание средств тревожной сигнализации")</f>
        <v>Техническое обслуживание средств тревожной сигнализации</v>
      </c>
      <c r="G15942" s="22" t="s">
        <v>1137</v>
      </c>
      <c r="H15942" s="22" t="s">
        <v>1138</v>
      </c>
      <c r="I15942" s="26">
        <v>43500.534027777801</v>
      </c>
      <c r="J15942" s="28" t="s">
        <v>52</v>
      </c>
      <c r="K15942" s="28" t="s">
        <v>52</v>
      </c>
      <c r="L15942" s="28" t="s">
        <v>52</v>
      </c>
      <c r="M15942" s="28" t="s">
        <v>52</v>
      </c>
      <c r="N15942" s="28" t="s">
        <v>52</v>
      </c>
    </row>
    <row r="15943" spans="1:14" x14ac:dyDescent="0.15">
      <c r="A15943" s="23" t="str">
        <f>HYPERLINK("https://www.spark-marketing.ru/Card/Person/4348584", "АО ""АТОМ-ОХРАНА""")</f>
        <v>АО "АТОМ-ОХРАНА"</v>
      </c>
      <c r="B15943" s="24" t="s">
        <v>1036</v>
      </c>
      <c r="C15943" s="25">
        <v>0</v>
      </c>
      <c r="D15943" s="22" t="s">
        <v>18297</v>
      </c>
      <c r="E15943" s="22" t="s">
        <v>53</v>
      </c>
      <c r="F15943" s="23" t="str">
        <f>HYPERLINK("https://www.spark-marketing.ru/Card/Lot/67672752", "мониторинг цен в электронной форме на Оказание услуг по сервисному обслуживанию (комплексная автомойка) служебных автомобилей отдельного отряда №210 МУВО 2 ФГУП «Атом-охрана»")</f>
        <v>мониторинг цен в электронной форме на Оказание услуг по сервисному обслуживанию (комплексная автомойка) служебных автомобилей отдельного отряда №210 МУВО 2 ФГУП «Атом-охрана»</v>
      </c>
      <c r="G15943" s="22" t="s">
        <v>55</v>
      </c>
      <c r="H15943" s="22" t="s">
        <v>55</v>
      </c>
      <c r="I15943" s="26">
        <v>43500.490532407399</v>
      </c>
      <c r="J15943" s="28" t="s">
        <v>52</v>
      </c>
      <c r="K15943" s="28" t="s">
        <v>52</v>
      </c>
      <c r="L15943" s="28" t="s">
        <v>52</v>
      </c>
      <c r="M15943" s="28" t="s">
        <v>52</v>
      </c>
      <c r="N15943" s="28" t="s">
        <v>52</v>
      </c>
    </row>
    <row r="15944" spans="1:14" x14ac:dyDescent="0.15">
      <c r="A15944" s="23" t="str">
        <f>HYPERLINK("https://www.spark-marketing.ru/Card/Person/108334", "БДОУ Г. ОМСКА ""ЦЕНТР РАЗВИТИЯ РЕБЕНКА - ДЕТСКИЙ САД № 37""")</f>
        <v>БДОУ Г. ОМСКА "ЦЕНТР РАЗВИТИЯ РЕБЕНКА - ДЕТСКИЙ САД № 37"</v>
      </c>
      <c r="B15944" s="24" t="s">
        <v>18298</v>
      </c>
      <c r="C15944" s="28" t="s">
        <v>52</v>
      </c>
      <c r="D15944" s="22" t="s">
        <v>18299</v>
      </c>
      <c r="E15944" s="22" t="s">
        <v>591</v>
      </c>
      <c r="F15944" s="23" t="str">
        <f>HYPERLINK("https://www.spark-marketing.ru/Card/Lot/67668219", "Оказание услуги по обслуживанию системы видеонаблюдения (сервисное обслуживание системы видеонаблюдения)")</f>
        <v>Оказание услуги по обслуживанию системы видеонаблюдения (сервисное обслуживание системы видеонаблюдения)</v>
      </c>
      <c r="G15944" s="22" t="s">
        <v>521</v>
      </c>
      <c r="H15944" s="22" t="s">
        <v>522</v>
      </c>
      <c r="I15944" s="26">
        <v>43500.472916666702</v>
      </c>
      <c r="J15944" s="28" t="s">
        <v>52</v>
      </c>
      <c r="K15944" s="28" t="s">
        <v>52</v>
      </c>
      <c r="L15944" s="28" t="s">
        <v>52</v>
      </c>
      <c r="M15944" s="28" t="s">
        <v>52</v>
      </c>
      <c r="N15944" s="28" t="s">
        <v>52</v>
      </c>
    </row>
    <row r="15945" spans="1:14" x14ac:dyDescent="0.15">
      <c r="A15945" s="23" t="str">
        <f>HYPERLINK("https://www.spark-marketing.ru/Card/Person/4379279", "МБОУ СОШ №28 Г. СИМФЕРОПОЛЯ")</f>
        <v>МБОУ СОШ №28 Г. СИМФЕРОПОЛЯ</v>
      </c>
      <c r="B15945" s="24" t="s">
        <v>18300</v>
      </c>
      <c r="C15945" s="25">
        <v>54950</v>
      </c>
      <c r="D15945" s="22" t="s">
        <v>18301</v>
      </c>
      <c r="E15945" s="22" t="s">
        <v>103</v>
      </c>
      <c r="F15945" s="23" t="str">
        <f>HYPERLINK("https://www.spark-marketing.ru/Card/Lot/67669183", "Профилактические (предупредительные) работы по обслуживанию системы видеонаблюдения")</f>
        <v>Профилактические (предупредительные) работы по обслуживанию системы видеонаблюдения</v>
      </c>
      <c r="G15945" s="22" t="s">
        <v>1053</v>
      </c>
      <c r="H15945" s="22" t="s">
        <v>3239</v>
      </c>
      <c r="I15945" s="26">
        <v>43500.4909722222</v>
      </c>
      <c r="J15945" s="28" t="s">
        <v>52</v>
      </c>
      <c r="K15945" s="28" t="s">
        <v>52</v>
      </c>
      <c r="L15945" s="28" t="s">
        <v>52</v>
      </c>
      <c r="M15945" s="28" t="s">
        <v>52</v>
      </c>
      <c r="N15945" s="28" t="s">
        <v>52</v>
      </c>
    </row>
    <row r="15946" spans="1:14" x14ac:dyDescent="0.2">
      <c r="A15946" s="23" t="str">
        <f>HYPERLINK("https://www.spark-marketing.ru/Card/Person/4366121", "АО ""ЭКСПРЕСС-ПРИГОРОД""")</f>
        <v>АО "ЭКСПРЕСС-ПРИГОРОД"</v>
      </c>
      <c r="B15946" s="24" t="s">
        <v>18302</v>
      </c>
      <c r="C15946" s="25">
        <v>4109155</v>
      </c>
      <c r="D15946" s="22" t="s">
        <v>18303</v>
      </c>
      <c r="E15946" s="22" t="s">
        <v>144</v>
      </c>
      <c r="F15946" s="23" t="str">
        <f>HYPERLINK("https://www.spark-marketing.ru/Card/Lot/67662042", "Оказание услуг по охране категорированных объектов транспортной инфраструктуры")</f>
        <v>Оказание услуг по охране категорированных объектов транспортной инфраструктуры</v>
      </c>
      <c r="G15946" s="22" t="s">
        <v>209</v>
      </c>
      <c r="H15946" s="22" t="s">
        <v>209</v>
      </c>
      <c r="I15946" s="26">
        <v>43500.445069444402</v>
      </c>
      <c r="J15946" s="23" t="str">
        <f>HYPERLINK("https://www.spark-marketing.ru/Card/Person/10487", "ФГУП ""ОХРАНА"" РОСГВАРДИИ")</f>
        <v>ФГУП "ОХРАНА" РОСГВАРДИИ</v>
      </c>
      <c r="K15946" s="24" t="s">
        <v>779</v>
      </c>
      <c r="L15946" s="28" t="s">
        <v>52</v>
      </c>
      <c r="M15946" s="25">
        <v>4109155</v>
      </c>
      <c r="N15946" s="27">
        <v>0</v>
      </c>
    </row>
    <row r="15947" spans="1:14" x14ac:dyDescent="0.15">
      <c r="A15947" s="23" t="str">
        <f>HYPERLINK("https://www.spark-marketing.ru/Card/Person/1777641", "МАДОУ ДС №7 ""МУРАВЕЙ""")</f>
        <v>МАДОУ ДС №7 "МУРАВЕЙ"</v>
      </c>
      <c r="B15947" s="24" t="s">
        <v>18304</v>
      </c>
      <c r="C15947" s="25">
        <v>54400</v>
      </c>
      <c r="D15947" s="22" t="s">
        <v>18305</v>
      </c>
      <c r="E15947" s="22" t="s">
        <v>103</v>
      </c>
      <c r="F15947" s="23" t="str">
        <f>HYPERLINK("https://www.spark-marketing.ru/Card/Lot/67664308", "Услуги по техническому обслуживанию системы доступа (домофон) и системы видеонаблюдения")</f>
        <v>Услуги по техническому обслуживанию системы доступа (домофон) и системы видеонаблюдения</v>
      </c>
      <c r="G15947" s="22" t="s">
        <v>50</v>
      </c>
      <c r="H15947" s="22" t="s">
        <v>4782</v>
      </c>
      <c r="I15947" s="26">
        <v>43500.419432870403</v>
      </c>
      <c r="J15947" s="28" t="s">
        <v>52</v>
      </c>
      <c r="K15947" s="28" t="s">
        <v>52</v>
      </c>
      <c r="L15947" s="28" t="s">
        <v>52</v>
      </c>
      <c r="M15947" s="28" t="s">
        <v>52</v>
      </c>
      <c r="N15947" s="28" t="s">
        <v>52</v>
      </c>
    </row>
    <row r="15948" spans="1:14" x14ac:dyDescent="0.15">
      <c r="A15948" s="23" t="str">
        <f>HYPERLINK("https://www.spark-marketing.ru/Card/Person/75610", "МБДОУ ДЕТСКИЙ САД № 49 ""ЗОРЕНЬКА"" ДЕРЕВНИ БОГОСЛОВО ЩМР МО")</f>
        <v>МБДОУ ДЕТСКИЙ САД № 49 "ЗОРЕНЬКА" ДЕРЕВНИ БОГОСЛОВО ЩМР МО</v>
      </c>
      <c r="B15948" s="24" t="s">
        <v>18306</v>
      </c>
      <c r="C15948" s="25">
        <v>48000</v>
      </c>
      <c r="D15948" s="22" t="s">
        <v>18307</v>
      </c>
      <c r="E15948" s="22" t="s">
        <v>294</v>
      </c>
      <c r="F15948" s="23" t="str">
        <f>HYPERLINK("https://www.spark-marketing.ru/Card/Lot/67667819", "Оказание услуг по техническому обслуживанию системы охранного видеонаблюдения и системы контроля и управления доступом")</f>
        <v>Оказание услуг по техническому обслуживанию системы охранного видеонаблюдения и системы контроля и управления доступом</v>
      </c>
      <c r="G15948" s="22" t="s">
        <v>50</v>
      </c>
      <c r="H15948" s="22" t="s">
        <v>458</v>
      </c>
      <c r="I15948" s="26">
        <v>43500.441145833298</v>
      </c>
      <c r="J15948" s="28" t="s">
        <v>52</v>
      </c>
      <c r="K15948" s="28" t="s">
        <v>52</v>
      </c>
      <c r="L15948" s="28" t="s">
        <v>52</v>
      </c>
      <c r="M15948" s="28" t="s">
        <v>52</v>
      </c>
      <c r="N15948" s="28" t="s">
        <v>52</v>
      </c>
    </row>
    <row r="15949" spans="1:14" x14ac:dyDescent="0.15">
      <c r="A15949" s="23" t="str">
        <f>HYPERLINK("https://www.spark-marketing.ru/Card/Person/1777737", "МАДОУ Д/С №32 ""ОРЛЁНОК""")</f>
        <v>МАДОУ Д/С №32 "ОРЛЁНОК"</v>
      </c>
      <c r="B15949" s="24" t="s">
        <v>18308</v>
      </c>
      <c r="C15949" s="25">
        <v>15840</v>
      </c>
      <c r="D15949" s="22" t="s">
        <v>18309</v>
      </c>
      <c r="E15949" s="22" t="s">
        <v>103</v>
      </c>
      <c r="F15949" s="23" t="str">
        <f>HYPERLINK("https://www.spark-marketing.ru/Card/Lot/67667812", "Оказание услуг по техническому обслуживанию системы видеонаблюдения")</f>
        <v>Оказание услуг по техническому обслуживанию системы видеонаблюдения</v>
      </c>
      <c r="G15949" s="22" t="s">
        <v>50</v>
      </c>
      <c r="H15949" s="22" t="s">
        <v>4782</v>
      </c>
      <c r="I15949" s="26">
        <v>43500.440752314797</v>
      </c>
      <c r="J15949" s="28" t="s">
        <v>52</v>
      </c>
      <c r="K15949" s="28" t="s">
        <v>52</v>
      </c>
      <c r="L15949" s="28" t="s">
        <v>52</v>
      </c>
      <c r="M15949" s="28" t="s">
        <v>52</v>
      </c>
      <c r="N15949" s="28" t="s">
        <v>52</v>
      </c>
    </row>
    <row r="15950" spans="1:14" x14ac:dyDescent="0.15">
      <c r="A15950" s="23" t="str">
        <f>HYPERLINK("https://www.spark-marketing.ru/Card/Person/539569", "АО ""ПКС""")</f>
        <v>АО "ПКС"</v>
      </c>
      <c r="B15950" s="24" t="s">
        <v>12140</v>
      </c>
      <c r="C15950" s="25">
        <v>280000</v>
      </c>
      <c r="D15950" s="22" t="s">
        <v>18310</v>
      </c>
      <c r="E15950" s="22" t="s">
        <v>18311</v>
      </c>
      <c r="F15950" s="23" t="str">
        <f>HYPERLINK("https://www.spark-marketing.ru/Card/Lot/67659805", "Оказание услуг по разработке планов обеспечения транспортной безопасности")</f>
        <v>Оказание услуг по разработке планов обеспечения транспортной безопасности</v>
      </c>
      <c r="G15950" s="22" t="s">
        <v>69</v>
      </c>
      <c r="H15950" s="22" t="s">
        <v>69</v>
      </c>
      <c r="I15950" s="26">
        <v>43500.436249999999</v>
      </c>
      <c r="J15950" s="28" t="s">
        <v>52</v>
      </c>
      <c r="K15950" s="28" t="s">
        <v>52</v>
      </c>
      <c r="L15950" s="28" t="s">
        <v>52</v>
      </c>
      <c r="M15950" s="28" t="s">
        <v>52</v>
      </c>
      <c r="N15950" s="28" t="s">
        <v>52</v>
      </c>
    </row>
    <row r="15951" spans="1:14" x14ac:dyDescent="0.15">
      <c r="A15951" s="23" t="str">
        <f>HYPERLINK("https://www.spark-marketing.ru/Card/Person/4948730", "МАДОУ «Д/С № 21 «ГНОМИК»")</f>
        <v>МАДОУ «Д/С № 21 «ГНОМИК»</v>
      </c>
      <c r="B15951" s="24" t="s">
        <v>6713</v>
      </c>
      <c r="C15951" s="25">
        <v>45000</v>
      </c>
      <c r="D15951" s="22" t="s">
        <v>18312</v>
      </c>
      <c r="E15951" s="22" t="s">
        <v>103</v>
      </c>
      <c r="F15951" s="23" t="str">
        <f>HYPERLINK("https://www.spark-marketing.ru/Card/Lot/67664325", "Оказание услуг по техническому обслуживанию системы видеонаблюдения 1 полугодие")</f>
        <v>Оказание услуг по техническому обслуживанию системы видеонаблюдения 1 полугодие</v>
      </c>
      <c r="G15951" s="22" t="s">
        <v>50</v>
      </c>
      <c r="H15951" s="22" t="s">
        <v>2391</v>
      </c>
      <c r="I15951" s="26">
        <v>43500.419872685197</v>
      </c>
      <c r="J15951" s="28" t="s">
        <v>52</v>
      </c>
      <c r="K15951" s="28" t="s">
        <v>52</v>
      </c>
      <c r="L15951" s="28" t="s">
        <v>52</v>
      </c>
      <c r="M15951" s="28" t="s">
        <v>52</v>
      </c>
      <c r="N15951" s="28" t="s">
        <v>52</v>
      </c>
    </row>
    <row r="15952" spans="1:14" x14ac:dyDescent="0.2">
      <c r="A15952" s="23" t="str">
        <f>HYPERLINK("https://www.spark-marketing.ru/Card/Person/1693711", "АО ""МЕЖДУНАРОДНЫЙ АЭРОПОРТ ""ВНУКОВО""")</f>
        <v>АО "МЕЖДУНАРОДНЫЙ АЭРОПОРТ "ВНУКОВО"</v>
      </c>
      <c r="B15952" s="24" t="s">
        <v>7308</v>
      </c>
      <c r="C15952" s="25">
        <v>15129360</v>
      </c>
      <c r="D15952" s="22" t="s">
        <v>18313</v>
      </c>
      <c r="E15952" s="22" t="s">
        <v>144</v>
      </c>
      <c r="F15952" s="23" t="str">
        <f>HYPERLINK("https://www.spark-marketing.ru/Card/Lot/67662127", "Оказание услуг по охране границ территории аэропорта Внуково путем автопатрулирования с использованием служебного автомобиля")</f>
        <v>Оказание услуг по охране границ территории аэропорта Внуково путем автопатрулирования с использованием служебного автомобиля</v>
      </c>
      <c r="G15952" s="22" t="s">
        <v>55</v>
      </c>
      <c r="H15952" s="22" t="s">
        <v>55</v>
      </c>
      <c r="I15952" s="26">
        <v>43500.330034722203</v>
      </c>
      <c r="J15952" s="23" t="str">
        <f>HYPERLINK("https://www.spark-marketing.ru/Card/Person/107173", "ФГУП ""УВО МИНТРАНСА РОССИИ""")</f>
        <v>ФГУП "УВО МИНТРАНСА РОССИИ"</v>
      </c>
      <c r="K15952" s="24" t="s">
        <v>1472</v>
      </c>
      <c r="L15952" s="28" t="s">
        <v>52</v>
      </c>
      <c r="M15952" s="25">
        <v>15129360</v>
      </c>
      <c r="N15952" s="27">
        <v>0</v>
      </c>
    </row>
    <row r="15953" spans="1:14" x14ac:dyDescent="0.15">
      <c r="A15953" s="23" t="str">
        <f>HYPERLINK("https://www.spark-marketing.ru/Card/Person/4348646", "ООО ""БЕЛОЯРСКАЯ АЭС- АВТО""")</f>
        <v>ООО "БЕЛОЯРСКАЯ АЭС- АВТО"</v>
      </c>
      <c r="B15953" s="24" t="s">
        <v>4642</v>
      </c>
      <c r="C15953" s="28" t="s">
        <v>52</v>
      </c>
      <c r="D15953" s="22" t="s">
        <v>18314</v>
      </c>
      <c r="E15953" s="22" t="s">
        <v>491</v>
      </c>
      <c r="F15953" s="23" t="str">
        <f>HYPERLINK("https://www.spark-marketing.ru/Card/Lot/67661805", "Оказание услуг по разработке планов обеспечения транспортной безопасности транспортных средств для ООО ""Белоярская АЭС-Авто""")</f>
        <v>Оказание услуг по разработке планов обеспечения транспортной безопасности транспортных средств для ООО "Белоярская АЭС-Авто"</v>
      </c>
      <c r="G15953" s="22" t="s">
        <v>72</v>
      </c>
      <c r="H15953" s="22" t="s">
        <v>846</v>
      </c>
      <c r="I15953" s="26">
        <v>43500.275069444397</v>
      </c>
      <c r="J15953" s="28" t="s">
        <v>52</v>
      </c>
      <c r="K15953" s="28" t="s">
        <v>52</v>
      </c>
      <c r="L15953" s="28" t="s">
        <v>52</v>
      </c>
      <c r="M15953" s="28" t="s">
        <v>52</v>
      </c>
      <c r="N15953" s="28" t="s">
        <v>52</v>
      </c>
    </row>
    <row r="15954" spans="1:14" x14ac:dyDescent="0.15">
      <c r="A15954" s="23" t="str">
        <f>HYPERLINK("https://www.spark-marketing.ru/Card/Person/4348646", "ООО ""БЕЛОЯРСКАЯ АЭС- АВТО""")</f>
        <v>ООО "БЕЛОЯРСКАЯ АЭС- АВТО"</v>
      </c>
      <c r="B15954" s="24" t="s">
        <v>4642</v>
      </c>
      <c r="C15954" s="25">
        <v>0</v>
      </c>
      <c r="D15954" s="22" t="s">
        <v>18315</v>
      </c>
      <c r="E15954" s="22" t="s">
        <v>53</v>
      </c>
      <c r="F15954" s="23" t="str">
        <f>HYPERLINK("https://www.spark-marketing.ru/Card/Lot/67663125", "мониторинг цен в электронной форме на Оказание услуг по разработке планов обеспечения транспортной безопасности транспортных средств для ООО ""Белоярская АЭС-Авто""")</f>
        <v>мониторинг цен в электронной форме на Оказание услуг по разработке планов обеспечения транспортной безопасности транспортных средств для ООО "Белоярская АЭС-Авто"</v>
      </c>
      <c r="G15954" s="22" t="s">
        <v>72</v>
      </c>
      <c r="H15954" s="22" t="s">
        <v>846</v>
      </c>
      <c r="I15954" s="26">
        <v>43500.274930555599</v>
      </c>
      <c r="J15954" s="28" t="s">
        <v>52</v>
      </c>
      <c r="K15954" s="28" t="s">
        <v>52</v>
      </c>
      <c r="L15954" s="28" t="s">
        <v>52</v>
      </c>
      <c r="M15954" s="28" t="s">
        <v>52</v>
      </c>
      <c r="N15954" s="28" t="s">
        <v>52</v>
      </c>
    </row>
    <row r="15955" spans="1:14" x14ac:dyDescent="0.15">
      <c r="A15955" s="23" t="str">
        <f>HYPERLINK("https://www.spark-marketing.ru/Card/Person/4348646", "ООО ""БЕЛОЯРСКАЯ АЭС- АВТО""")</f>
        <v>ООО "БЕЛОЯРСКАЯ АЭС- АВТО"</v>
      </c>
      <c r="B15955" s="24" t="s">
        <v>4642</v>
      </c>
      <c r="C15955" s="28" t="s">
        <v>52</v>
      </c>
      <c r="D15955" s="22" t="s">
        <v>18316</v>
      </c>
      <c r="E15955" s="22" t="s">
        <v>53</v>
      </c>
      <c r="F15955" s="23" t="str">
        <f>HYPERLINK("https://www.spark-marketing.ru/Card/Lot/67663082", "Оказание услуг по разработке планов обеспечения транспортной безопасности транспортных средств для ООО ""Белоярская АЭС-Авто"" (1178495)")</f>
        <v>Оказание услуг по разработке планов обеспечения транспортной безопасности транспортных средств для ООО "Белоярская АЭС-Авто" (1178495)</v>
      </c>
      <c r="G15955" s="22" t="s">
        <v>72</v>
      </c>
      <c r="H15955" s="22" t="s">
        <v>846</v>
      </c>
      <c r="I15955" s="26">
        <v>43500.288217592599</v>
      </c>
      <c r="J15955" s="28" t="s">
        <v>52</v>
      </c>
      <c r="K15955" s="28" t="s">
        <v>52</v>
      </c>
      <c r="L15955" s="28" t="s">
        <v>52</v>
      </c>
      <c r="M15955" s="28" t="s">
        <v>52</v>
      </c>
      <c r="N15955" s="28" t="s">
        <v>52</v>
      </c>
    </row>
    <row r="15956" spans="1:14" x14ac:dyDescent="0.15">
      <c r="A15956" s="23" t="str">
        <f>HYPERLINK("https://www.spark-marketing.ru/Card/Person/774432", "СО СК РОССИИ В ЗАТО ""МЕЖГОРЬЕ""")</f>
        <v>СО СК РОССИИ В ЗАТО "МЕЖГОРЬЕ"</v>
      </c>
      <c r="B15956" s="24" t="s">
        <v>18112</v>
      </c>
      <c r="C15956" s="25">
        <v>191095.39</v>
      </c>
      <c r="D15956" s="22" t="s">
        <v>18317</v>
      </c>
      <c r="E15956" s="22" t="s">
        <v>68</v>
      </c>
      <c r="F15956" s="23" t="str">
        <f>HYPERLINK("https://www.spark-marketing.ru/Card/Lot/67684022", "Охранные услуги с помощью технических средств охраны и услуги по осуществлению экстренного вызова наряда вневедомственной охраны")</f>
        <v>Охранные услуги с помощью технических средств охраны и услуги по осуществлению экстренного вызова наряда вневедомственной охраны</v>
      </c>
      <c r="G15956" s="22" t="s">
        <v>100</v>
      </c>
      <c r="H15956" s="22" t="s">
        <v>18114</v>
      </c>
      <c r="I15956" s="26">
        <v>43500</v>
      </c>
      <c r="J15956" s="28" t="s">
        <v>52</v>
      </c>
      <c r="K15956" s="28" t="s">
        <v>52</v>
      </c>
      <c r="L15956" s="28" t="s">
        <v>52</v>
      </c>
      <c r="M15956" s="28" t="s">
        <v>52</v>
      </c>
      <c r="N15956" s="28" t="s">
        <v>52</v>
      </c>
    </row>
    <row r="15957" spans="1:14" x14ac:dyDescent="0.15">
      <c r="A15957" s="23" t="str">
        <f>HYPERLINK("https://www.spark-marketing.ru/Card/Person/1016052", "ФБУ КЕМЕРОВСКАЯ ЛСЭ МИНЮСТА РОССИИ")</f>
        <v>ФБУ КЕМЕРОВСКАЯ ЛСЭ МИНЮСТА РОССИИ</v>
      </c>
      <c r="B15957" s="24" t="s">
        <v>18318</v>
      </c>
      <c r="C15957" s="25">
        <v>90484.32</v>
      </c>
      <c r="D15957" s="22" t="s">
        <v>18319</v>
      </c>
      <c r="E15957" s="22" t="s">
        <v>68</v>
      </c>
      <c r="F15957" s="23" t="str">
        <f>HYPERLINK("https://www.spark-marketing.ru/Card/Lot/67660723", "Охрана имущества")</f>
        <v>Охрана имущества</v>
      </c>
      <c r="G15957" s="22" t="s">
        <v>367</v>
      </c>
      <c r="H15957" s="22" t="s">
        <v>881</v>
      </c>
      <c r="I15957" s="26">
        <v>43500</v>
      </c>
      <c r="J15957" s="28" t="s">
        <v>52</v>
      </c>
      <c r="K15957" s="28" t="s">
        <v>52</v>
      </c>
      <c r="L15957" s="28" t="s">
        <v>52</v>
      </c>
      <c r="M15957" s="28" t="s">
        <v>52</v>
      </c>
      <c r="N15957" s="28" t="s">
        <v>52</v>
      </c>
    </row>
    <row r="15958" spans="1:14" x14ac:dyDescent="0.15">
      <c r="A15958" s="23" t="str">
        <f>HYPERLINK("https://www.spark-marketing.ru/Card/Person/48285", "ФКУЗ ""МСЧ МВД РОССИИ ПО КИРОВСКОЙ ОБЛАСТИ""")</f>
        <v>ФКУЗ "МСЧ МВД РОССИИ ПО КИРОВСКОЙ ОБЛАСТИ"</v>
      </c>
      <c r="B15958" s="24" t="s">
        <v>12943</v>
      </c>
      <c r="C15958" s="25">
        <v>1053382.95</v>
      </c>
      <c r="D15958" s="22" t="s">
        <v>18320</v>
      </c>
      <c r="E15958" s="22" t="s">
        <v>68</v>
      </c>
      <c r="F15958" s="23" t="str">
        <f>HYPERLINK("https://www.spark-marketing.ru/Card/Lot/67673933", "Оказание услуг по охране объектов и имущества")</f>
        <v>Оказание услуг по охране объектов и имущества</v>
      </c>
      <c r="G15958" s="22" t="s">
        <v>556</v>
      </c>
      <c r="H15958" s="22" t="s">
        <v>18321</v>
      </c>
      <c r="I15958" s="26">
        <v>43500</v>
      </c>
      <c r="J15958" s="28" t="s">
        <v>52</v>
      </c>
      <c r="K15958" s="28" t="s">
        <v>52</v>
      </c>
      <c r="L15958" s="28" t="s">
        <v>52</v>
      </c>
      <c r="M15958" s="28" t="s">
        <v>52</v>
      </c>
      <c r="N15958" s="28" t="s">
        <v>52</v>
      </c>
    </row>
    <row r="15959" spans="1:14" x14ac:dyDescent="0.15">
      <c r="A15959" s="23" t="str">
        <f>HYPERLINK("https://www.spark-marketing.ru/Card/Person/28614", "МЕЖРАЙОННАЯ ИФНС РОССИИ № 14 ПО ВОРОНЕЖСКОЙ ОБЛАСТИ")</f>
        <v>МЕЖРАЙОННАЯ ИФНС РОССИИ № 14 ПО ВОРОНЕЖСКОЙ ОБЛАСТИ</v>
      </c>
      <c r="B15959" s="24" t="s">
        <v>17835</v>
      </c>
      <c r="C15959" s="25">
        <v>14191.2</v>
      </c>
      <c r="D15959" s="22" t="s">
        <v>18322</v>
      </c>
      <c r="E15959" s="22" t="s">
        <v>68</v>
      </c>
      <c r="F15959" s="23" t="str">
        <f>HYPERLINK("https://www.spark-marketing.ru/Card/Lot/67670907", "охрана объекта путем мониторинга за состоянием средств сигнализации")</f>
        <v>охрана объекта путем мониторинга за состоянием средств сигнализации</v>
      </c>
      <c r="G15959" s="22" t="s">
        <v>552</v>
      </c>
      <c r="H15959" s="22" t="s">
        <v>18323</v>
      </c>
      <c r="I15959" s="26">
        <v>43500</v>
      </c>
      <c r="J15959" s="28" t="s">
        <v>52</v>
      </c>
      <c r="K15959" s="28" t="s">
        <v>52</v>
      </c>
      <c r="L15959" s="28" t="s">
        <v>52</v>
      </c>
      <c r="M15959" s="28" t="s">
        <v>52</v>
      </c>
      <c r="N15959" s="28" t="s">
        <v>52</v>
      </c>
    </row>
    <row r="15960" spans="1:14" x14ac:dyDescent="0.15">
      <c r="A15960" s="23" t="str">
        <f>HYPERLINK("https://www.spark-marketing.ru/Card/Person/6450322", "ЗАКАЗЧИК РП БЕЛАРУСЬ")</f>
        <v>ЗАКАЗЧИК РП БЕЛАРУСЬ</v>
      </c>
      <c r="B15960" s="28" t="s">
        <v>52</v>
      </c>
      <c r="C15960" s="25">
        <v>395855.2</v>
      </c>
      <c r="D15960" s="22" t="s">
        <v>18324</v>
      </c>
      <c r="E15960" s="22" t="s">
        <v>53</v>
      </c>
      <c r="F15960" s="23" t="str">
        <f>HYPERLINK("https://www.spark-marketing.ru/Card/Lot/67684756", "услуги по техническому обслуживанию системы видеонаблюдения")</f>
        <v>услуги по техническому обслуживанию системы видеонаблюдения</v>
      </c>
      <c r="G15960" s="22" t="s">
        <v>52</v>
      </c>
      <c r="H15960" s="22" t="s">
        <v>52</v>
      </c>
      <c r="I15960" s="26">
        <v>43500</v>
      </c>
      <c r="J15960" s="28" t="s">
        <v>52</v>
      </c>
      <c r="K15960" s="28" t="s">
        <v>52</v>
      </c>
      <c r="L15960" s="28" t="s">
        <v>52</v>
      </c>
      <c r="M15960" s="28" t="s">
        <v>52</v>
      </c>
      <c r="N15960" s="28" t="s">
        <v>52</v>
      </c>
    </row>
    <row r="15961" spans="1:14" x14ac:dyDescent="0.15">
      <c r="A15961" s="23" t="str">
        <f>HYPERLINK("https://www.spark-marketing.ru/Card/Person/6450322", "ЗАКАЗЧИК РП БЕЛАРУСЬ")</f>
        <v>ЗАКАЗЧИК РП БЕЛАРУСЬ</v>
      </c>
      <c r="B15961" s="28" t="s">
        <v>52</v>
      </c>
      <c r="C15961" s="25">
        <v>761260</v>
      </c>
      <c r="D15961" s="22" t="s">
        <v>18325</v>
      </c>
      <c r="E15961" s="22" t="s">
        <v>53</v>
      </c>
      <c r="F15961" s="23" t="str">
        <f>HYPERLINK("https://www.spark-marketing.ru/Card/Lot/67684770", "Комплект оборудования для системы видеонаблюдения с установкой, подключением и настройкой оборудования")</f>
        <v>Комплект оборудования для системы видеонаблюдения с установкой, подключением и настройкой оборудования</v>
      </c>
      <c r="G15961" s="22" t="s">
        <v>52</v>
      </c>
      <c r="H15961" s="22" t="s">
        <v>52</v>
      </c>
      <c r="I15961" s="26">
        <v>43500</v>
      </c>
      <c r="J15961" s="28" t="s">
        <v>52</v>
      </c>
      <c r="K15961" s="28" t="s">
        <v>52</v>
      </c>
      <c r="L15961" s="28" t="s">
        <v>52</v>
      </c>
      <c r="M15961" s="28" t="s">
        <v>52</v>
      </c>
      <c r="N15961" s="28" t="s">
        <v>52</v>
      </c>
    </row>
    <row r="15962" spans="1:14" x14ac:dyDescent="0.15">
      <c r="A15962" s="23" t="str">
        <f>HYPERLINK("https://www.spark-marketing.ru/Card/Person/28614", "МЕЖРАЙОННАЯ ИФНС РОССИИ № 14 ПО ВОРОНЕЖСКОЙ ОБЛАСТИ")</f>
        <v>МЕЖРАЙОННАЯ ИФНС РОССИИ № 14 ПО ВОРОНЕЖСКОЙ ОБЛАСТИ</v>
      </c>
      <c r="B15962" s="24" t="s">
        <v>17835</v>
      </c>
      <c r="C15962" s="25">
        <v>14191.2</v>
      </c>
      <c r="D15962" s="22" t="s">
        <v>18326</v>
      </c>
      <c r="E15962" s="22" t="s">
        <v>68</v>
      </c>
      <c r="F15962" s="23" t="str">
        <f>HYPERLINK("https://www.spark-marketing.ru/Card/Lot/67670895", "охрана объекта путем мониторинга за состоянием средств сигнализации")</f>
        <v>охрана объекта путем мониторинга за состоянием средств сигнализации</v>
      </c>
      <c r="G15962" s="22" t="s">
        <v>552</v>
      </c>
      <c r="H15962" s="22" t="s">
        <v>18323</v>
      </c>
      <c r="I15962" s="26">
        <v>43500</v>
      </c>
      <c r="J15962" s="28" t="s">
        <v>52</v>
      </c>
      <c r="K15962" s="28" t="s">
        <v>52</v>
      </c>
      <c r="L15962" s="28" t="s">
        <v>52</v>
      </c>
      <c r="M15962" s="28" t="s">
        <v>52</v>
      </c>
      <c r="N15962" s="28" t="s">
        <v>52</v>
      </c>
    </row>
    <row r="15963" spans="1:14" x14ac:dyDescent="0.15">
      <c r="A15963" s="23" t="str">
        <f>HYPERLINK("https://www.spark-marketing.ru/Card/Person/360059", "МЕЖРАЙОННАЯ ИФНС РОССИИ № 8 ПО КУРСКОЙ ОБЛАСТИ")</f>
        <v>МЕЖРАЙОННАЯ ИФНС РОССИИ № 8 ПО КУРСКОЙ ОБЛАСТИ</v>
      </c>
      <c r="B15963" s="24" t="s">
        <v>13628</v>
      </c>
      <c r="C15963" s="25">
        <v>109821.6</v>
      </c>
      <c r="D15963" s="22" t="s">
        <v>18327</v>
      </c>
      <c r="E15963" s="22" t="s">
        <v>68</v>
      </c>
      <c r="F15963" s="23" t="str">
        <f>HYPERLINK("https://www.spark-marketing.ru/Card/Lot/67672166", "Охрана имущества от противоправных посягательств")</f>
        <v>Охрана имущества от противоправных посягательств</v>
      </c>
      <c r="G15963" s="22" t="s">
        <v>3128</v>
      </c>
      <c r="H15963" s="22" t="s">
        <v>2515</v>
      </c>
      <c r="I15963" s="26">
        <v>43500</v>
      </c>
      <c r="J15963" s="28" t="s">
        <v>52</v>
      </c>
      <c r="K15963" s="28" t="s">
        <v>52</v>
      </c>
      <c r="L15963" s="28" t="s">
        <v>52</v>
      </c>
      <c r="M15963" s="28" t="s">
        <v>52</v>
      </c>
      <c r="N15963" s="28" t="s">
        <v>52</v>
      </c>
    </row>
    <row r="15964" spans="1:14" x14ac:dyDescent="0.15">
      <c r="A15964" s="23" t="str">
        <f>HYPERLINK("https://www.spark-marketing.ru/Card/Person/122823", "ИФНС РОССИИ ПО ОКТЯБРЬСКОМУ РАЙОНУ Г. ЛИПЕЦКА")</f>
        <v>ИФНС РОССИИ ПО ОКТЯБРЬСКОМУ РАЙОНУ Г. ЛИПЕЦКА</v>
      </c>
      <c r="B15964" s="24" t="s">
        <v>18328</v>
      </c>
      <c r="C15964" s="25">
        <v>421089</v>
      </c>
      <c r="D15964" s="22" t="s">
        <v>18329</v>
      </c>
      <c r="E15964" s="22" t="s">
        <v>68</v>
      </c>
      <c r="F15964" s="23" t="str">
        <f>HYPERLINK("https://www.spark-marketing.ru/Card/Lot/67665759", "Оказание услуг по охране зданий, обеспечению пропускного и внутриобъектового режимов в административном здании")</f>
        <v>Оказание услуг по охране зданий, обеспечению пропускного и внутриобъектового режимов в административном здании</v>
      </c>
      <c r="G15964" s="22" t="s">
        <v>629</v>
      </c>
      <c r="H15964" s="22" t="s">
        <v>1603</v>
      </c>
      <c r="I15964" s="26">
        <v>43500</v>
      </c>
      <c r="J15964" s="28" t="s">
        <v>52</v>
      </c>
      <c r="K15964" s="28" t="s">
        <v>52</v>
      </c>
      <c r="L15964" s="28" t="s">
        <v>52</v>
      </c>
      <c r="M15964" s="28" t="s">
        <v>52</v>
      </c>
      <c r="N15964" s="28" t="s">
        <v>52</v>
      </c>
    </row>
    <row r="15965" spans="1:14" hidden="1" outlineLevel="1" x14ac:dyDescent="0.2">
      <c r="A15965" s="23" t="str">
        <f>HYPERLINK("https://www.spark-marketing.ru/Card/Person/122823", "ИФНС РОССИИ ПО ОКТЯБРЬСКОМУ РАЙОНУ Г. ЛИПЕЦКА")</f>
        <v>ИФНС РОССИИ ПО ОКТЯБРЬСКОМУ РАЙОНУ Г. ЛИПЕЦКА</v>
      </c>
      <c r="B15965" s="24" t="s">
        <v>18328</v>
      </c>
      <c r="C15965" s="25">
        <v>421089</v>
      </c>
      <c r="D15965" s="22" t="s">
        <v>18329</v>
      </c>
      <c r="E15965" s="22" t="s">
        <v>68</v>
      </c>
      <c r="F15965" s="23" t="str">
        <f>HYPERLINK("https://www.spark-marketing.ru/Card/Lot/67665759", "Оказание услуг по охране зданий, обеспечению пропускного и внутриобъектового режимов в административном здании")</f>
        <v>Оказание услуг по охране зданий, обеспечению пропускного и внутриобъектового режимов в административном здании</v>
      </c>
      <c r="G15965" s="22" t="s">
        <v>629</v>
      </c>
      <c r="H15965" s="22" t="s">
        <v>1603</v>
      </c>
      <c r="I15965" s="26">
        <v>43500</v>
      </c>
      <c r="J15965" s="23" t="str">
        <f>HYPERLINK("https://www.spark-marketing.ru/Card/Person/4918580", "ООО ""СТЕЛС СЕКЬЮРИТИ""")</f>
        <v>ООО "СТЕЛС СЕКЬЮРИТИ"</v>
      </c>
      <c r="K15965" s="24" t="s">
        <v>18330</v>
      </c>
      <c r="L15965" s="28" t="s">
        <v>52</v>
      </c>
      <c r="M15965" s="25">
        <v>297178.90999999997</v>
      </c>
      <c r="N15965" s="27">
        <v>0.2942610469520695</v>
      </c>
    </row>
    <row r="15966" spans="1:14" ht="12.75" hidden="1" outlineLevel="1" x14ac:dyDescent="0.2">
      <c r="A15966" s="23" t="str">
        <f>HYPERLINK("https://www.spark-marketing.ru/Card/Person/122823", "ИФНС РОССИИ ПО ОКТЯБРЬСКОМУ РАЙОНУ Г. ЛИПЕЦКА")</f>
        <v>ИФНС РОССИИ ПО ОКТЯБРЬСКОМУ РАЙОНУ Г. ЛИПЕЦКА</v>
      </c>
      <c r="B15966" s="24" t="s">
        <v>18328</v>
      </c>
      <c r="C15966" s="25">
        <v>421089</v>
      </c>
      <c r="D15966" s="22" t="s">
        <v>18329</v>
      </c>
      <c r="E15966" s="22" t="s">
        <v>68</v>
      </c>
      <c r="F15966" s="23" t="str">
        <f>HYPERLINK("https://www.spark-marketing.ru/Card/Lot/67665759", "Оказание услуг по охране зданий, обеспечению пропускного и внутриобъектового режимов в административном здании")</f>
        <v>Оказание услуг по охране зданий, обеспечению пропускного и внутриобъектового режимов в административном здании</v>
      </c>
      <c r="G15966" s="22" t="s">
        <v>629</v>
      </c>
      <c r="H15966" s="22" t="s">
        <v>1603</v>
      </c>
      <c r="I15966" s="26">
        <v>43500</v>
      </c>
      <c r="J15966" s="23" t="str">
        <f>HYPERLINK("https://www.spark-marketing.ru/Card/Person/2002114", "ООО ""ОХРАННОЕ ПРЕДПРИЯТИЕ ""КРЕЧЕТ""")</f>
        <v>ООО "ОХРАННОЕ ПРЕДПРИЯТИЕ "КРЕЧЕТ"</v>
      </c>
      <c r="K15966" s="24" t="s">
        <v>18331</v>
      </c>
      <c r="L15966" s="22" t="s">
        <v>10</v>
      </c>
      <c r="M15966" s="25">
        <v>295073.46000000002</v>
      </c>
      <c r="N15966" s="27">
        <v>0.29926105882604392</v>
      </c>
    </row>
    <row r="15967" spans="1:14" hidden="1" outlineLevel="1" x14ac:dyDescent="0.2">
      <c r="A15967" s="23" t="str">
        <f>HYPERLINK("https://www.spark-marketing.ru/Card/Person/122823", "ИФНС РОССИИ ПО ОКТЯБРЬСКОМУ РАЙОНУ Г. ЛИПЕЦКА")</f>
        <v>ИФНС РОССИИ ПО ОКТЯБРЬСКОМУ РАЙОНУ Г. ЛИПЕЦКА</v>
      </c>
      <c r="B15967" s="24" t="s">
        <v>18328</v>
      </c>
      <c r="C15967" s="25">
        <v>421089</v>
      </c>
      <c r="D15967" s="22" t="s">
        <v>18329</v>
      </c>
      <c r="E15967" s="22" t="s">
        <v>68</v>
      </c>
      <c r="F15967" s="23" t="str">
        <f>HYPERLINK("https://www.spark-marketing.ru/Card/Lot/67665759", "Оказание услуг по охране зданий, обеспечению пропускного и внутриобъектового режимов в административном здании")</f>
        <v>Оказание услуг по охране зданий, обеспечению пропускного и внутриобъектового режимов в административном здании</v>
      </c>
      <c r="G15967" s="22" t="s">
        <v>629</v>
      </c>
      <c r="H15967" s="22" t="s">
        <v>1603</v>
      </c>
      <c r="I15967" s="26">
        <v>43500</v>
      </c>
      <c r="J15967" s="23" t="str">
        <f>HYPERLINK("https://www.spark-marketing.ru/Card/Person/4348065", "ООО ЧОП ""ЗУБР""")</f>
        <v>ООО ЧОП "ЗУБР"</v>
      </c>
      <c r="K15967" s="24" t="s">
        <v>17445</v>
      </c>
      <c r="L15967" s="28" t="s">
        <v>52</v>
      </c>
      <c r="M15967" s="25">
        <v>316127.96000000002</v>
      </c>
      <c r="N15967" s="27">
        <v>0.24926094008630004</v>
      </c>
    </row>
    <row r="15968" spans="1:14" x14ac:dyDescent="0.15">
      <c r="A15968" s="23" t="str">
        <f>HYPERLINK("https://www.spark-marketing.ru/Card/Person/52693", "АЗНАКАЕВСКАЯ ЦРБ")</f>
        <v>АЗНАКАЕВСКАЯ ЦРБ</v>
      </c>
      <c r="B15968" s="24" t="s">
        <v>18332</v>
      </c>
      <c r="C15968" s="25">
        <v>49988.52</v>
      </c>
      <c r="D15968" s="22" t="s">
        <v>18333</v>
      </c>
      <c r="E15968" s="22" t="s">
        <v>107</v>
      </c>
      <c r="F15968" s="23" t="str">
        <f>HYPERLINK("https://www.spark-marketing.ru/Card/Lot/67672391", "Оказание услуг по техническому обслуживанию технических средств охраны на 2019 год")</f>
        <v>Оказание услуг по техническому обслуживанию технических средств охраны на 2019 год</v>
      </c>
      <c r="G15968" s="22" t="s">
        <v>204</v>
      </c>
      <c r="H15968" s="22" t="s">
        <v>18334</v>
      </c>
      <c r="I15968" s="26">
        <v>43500</v>
      </c>
      <c r="J15968" s="23" t="str">
        <f>HYPERLINK("https://www.spark-marketing.ru/Card/Person/10487", "ФГУП ""ОХРАНА"" РОСГВАРДИИ")</f>
        <v>ФГУП "ОХРАНА" РОСГВАРДИИ</v>
      </c>
      <c r="K15968" s="24" t="s">
        <v>779</v>
      </c>
      <c r="L15968" s="22" t="s">
        <v>10</v>
      </c>
      <c r="M15968" s="28" t="s">
        <v>52</v>
      </c>
      <c r="N15968" s="28" t="s">
        <v>52</v>
      </c>
    </row>
    <row r="15969" spans="1:14" x14ac:dyDescent="0.15">
      <c r="A15969" s="23" t="str">
        <f>HYPERLINK("https://www.spark-marketing.ru/Card/Person/12648", "ФГКУ КОМБИНАТ ""ОНЕГА"" РОСРЕЗЕРВА")</f>
        <v>ФГКУ КОМБИНАТ "ОНЕГА" РОСРЕЗЕРВА</v>
      </c>
      <c r="B15969" s="24" t="s">
        <v>18335</v>
      </c>
      <c r="C15969" s="25">
        <v>44500.800000000003</v>
      </c>
      <c r="D15969" s="22" t="s">
        <v>18336</v>
      </c>
      <c r="E15969" s="22" t="s">
        <v>1013</v>
      </c>
      <c r="F15969" s="23" t="str">
        <f>HYPERLINK("https://www.spark-marketing.ru/Card/Lot/67681846", "Централизованная охрана объекта")</f>
        <v>Централизованная охрана объекта</v>
      </c>
      <c r="G15969" s="22" t="s">
        <v>902</v>
      </c>
      <c r="H15969" s="22" t="s">
        <v>902</v>
      </c>
      <c r="I15969" s="26">
        <v>43500</v>
      </c>
      <c r="J15969" s="28" t="s">
        <v>52</v>
      </c>
      <c r="K15969" s="28" t="s">
        <v>52</v>
      </c>
      <c r="L15969" s="28" t="s">
        <v>52</v>
      </c>
      <c r="M15969" s="28" t="s">
        <v>52</v>
      </c>
      <c r="N15969" s="28" t="s">
        <v>52</v>
      </c>
    </row>
    <row r="15970" spans="1:14" x14ac:dyDescent="0.15">
      <c r="A15970" s="23" t="str">
        <f>HYPERLINK("https://www.spark-marketing.ru/Card/Person/48127", "АДМИНИСТРАЦИЯ ГО ВЕРХНЯЯ ПЫШМА")</f>
        <v>АДМИНИСТРАЦИЯ ГО ВЕРХНЯЯ ПЫШМА</v>
      </c>
      <c r="B15970" s="24" t="s">
        <v>18337</v>
      </c>
      <c r="C15970" s="25">
        <v>566666</v>
      </c>
      <c r="D15970" s="22" t="s">
        <v>18338</v>
      </c>
      <c r="E15970" s="22" t="s">
        <v>52</v>
      </c>
      <c r="F15970" s="23" t="str">
        <f>HYPERLINK("https://www.spark-marketing.ru/Card/Lot/67678399", "Оказание услуг по обеспечению взрывобезопасности на территории городского округа Верхняя Пышма")</f>
        <v>Оказание услуг по обеспечению взрывобезопасности на территории городского округа Верхняя Пышма</v>
      </c>
      <c r="G15970" s="22" t="s">
        <v>72</v>
      </c>
      <c r="H15970" s="22" t="s">
        <v>72</v>
      </c>
      <c r="I15970" s="26">
        <v>43500</v>
      </c>
      <c r="J15970" s="23" t="str">
        <f>HYPERLINK("https://www.spark-marketing.ru/Card/Person/569266", "ООО ""УРАЛ-ВЫМПЕЛ""")</f>
        <v>ООО "УРАЛ-ВЫМПЕЛ"</v>
      </c>
      <c r="K15970" s="24" t="s">
        <v>18339</v>
      </c>
      <c r="L15970" s="22" t="s">
        <v>10</v>
      </c>
      <c r="M15970" s="28" t="s">
        <v>52</v>
      </c>
      <c r="N15970" s="28" t="s">
        <v>52</v>
      </c>
    </row>
    <row r="15971" spans="1:14" x14ac:dyDescent="0.15">
      <c r="A15971" s="23" t="str">
        <f>HYPERLINK("https://www.spark-marketing.ru/Card/Person/1144191", "ГБУ ""ФАРМАЦЕВТИЧЕСКИЙ СКЛАД""")</f>
        <v>ГБУ "ФАРМАЦЕВТИЧЕСКИЙ СКЛАД"</v>
      </c>
      <c r="B15971" s="24" t="s">
        <v>18340</v>
      </c>
      <c r="C15971" s="25">
        <v>93388.95</v>
      </c>
      <c r="D15971" s="22" t="s">
        <v>18341</v>
      </c>
      <c r="E15971" s="22" t="s">
        <v>68</v>
      </c>
      <c r="F15971" s="23" t="str">
        <f>HYPERLINK("https://www.spark-marketing.ru/Card/Lot/67681121", "Услуга по централизованной охране объекта")</f>
        <v>Услуга по централизованной охране объекта</v>
      </c>
      <c r="G15971" s="22" t="s">
        <v>343</v>
      </c>
      <c r="H15971" s="22" t="s">
        <v>344</v>
      </c>
      <c r="I15971" s="26">
        <v>43500</v>
      </c>
      <c r="J15971" s="28" t="s">
        <v>52</v>
      </c>
      <c r="K15971" s="28" t="s">
        <v>52</v>
      </c>
      <c r="L15971" s="28" t="s">
        <v>52</v>
      </c>
      <c r="M15971" s="28" t="s">
        <v>52</v>
      </c>
      <c r="N15971" s="28" t="s">
        <v>52</v>
      </c>
    </row>
    <row r="15972" spans="1:14" x14ac:dyDescent="0.15">
      <c r="A15972" s="23" t="str">
        <f>HYPERLINK("https://www.spark-marketing.ru/Card/Person/29391", "МЕЖРАЙОННАЯ ИФНС РОССИИ № 7 ПО УЛЬЯНОВСКОЙ ОБЛАСТИ")</f>
        <v>МЕЖРАЙОННАЯ ИФНС РОССИИ № 7 ПО УЛЬЯНОВСКОЙ ОБЛАСТИ</v>
      </c>
      <c r="B15972" s="24" t="s">
        <v>18342</v>
      </c>
      <c r="C15972" s="25">
        <v>335160</v>
      </c>
      <c r="D15972" s="22" t="s">
        <v>18343</v>
      </c>
      <c r="E15972" s="22" t="s">
        <v>68</v>
      </c>
      <c r="F15972" s="23" t="str">
        <f>HYPERLINK("https://www.spark-marketing.ru/Card/Lot/67681094", "Услуги, связанные с обеспечением общественного порядка и безопасности, прочие (Услуги охраны и поддержание контрольно-пропускного режимов в административном здании Межрайонной ИФНС России № 7 по Ульяновской области)")</f>
        <v>Услуги, связанные с обеспечением общественного порядка и безопасности, прочие (Услуги охраны и поддержание контрольно-пропускного режимов в административном здании Межрайонной ИФНС России № 7 по Ульяновской области)</v>
      </c>
      <c r="G15972" s="22" t="s">
        <v>446</v>
      </c>
      <c r="H15972" s="22" t="s">
        <v>447</v>
      </c>
      <c r="I15972" s="26">
        <v>43500</v>
      </c>
      <c r="J15972" s="23" t="str">
        <f>HYPERLINK("https://www.spark-marketing.ru/Card/Person/624671", "ООО ""ЧОО ""КАРАТ-М""")</f>
        <v>ООО "ЧОО "КАРАТ-М"</v>
      </c>
      <c r="K15972" s="24" t="s">
        <v>6354</v>
      </c>
      <c r="L15972" s="28" t="s">
        <v>52</v>
      </c>
      <c r="M15972" s="28" t="s">
        <v>52</v>
      </c>
      <c r="N15972" s="28" t="s">
        <v>52</v>
      </c>
    </row>
    <row r="15973" spans="1:14" ht="12.75" hidden="1" outlineLevel="1" x14ac:dyDescent="0.2">
      <c r="A15973" s="23" t="str">
        <f>HYPERLINK("https://www.spark-marketing.ru/Card/Person/29391", "МЕЖРАЙОННАЯ ИФНС РОССИИ № 7 ПО УЛЬЯНОВСКОЙ ОБЛАСТИ")</f>
        <v>МЕЖРАЙОННАЯ ИФНС РОССИИ № 7 ПО УЛЬЯНОВСКОЙ ОБЛАСТИ</v>
      </c>
      <c r="B15973" s="24" t="s">
        <v>18342</v>
      </c>
      <c r="C15973" s="25">
        <v>335160</v>
      </c>
      <c r="D15973" s="22" t="s">
        <v>18343</v>
      </c>
      <c r="E15973" s="22" t="s">
        <v>68</v>
      </c>
      <c r="F15973" s="23" t="str">
        <f>HYPERLINK("https://www.spark-marketing.ru/Card/Lot/67681094", "Услуги, связанные с обеспечением общественного порядка и безопасности, прочие (Услуги охраны и поддержание контрольно-пропускного режимов в административном здании Межрайонной ИФНС России № 7 по Ульяновской области)")</f>
        <v>Услуги, связанные с обеспечением общественного порядка и безопасности, прочие (Услуги охраны и поддержание контрольно-пропускного режимов в административном здании Межрайонной ИФНС России № 7 по Ульяновской области)</v>
      </c>
      <c r="G15973" s="22" t="s">
        <v>446</v>
      </c>
      <c r="H15973" s="22" t="s">
        <v>447</v>
      </c>
      <c r="I15973" s="26">
        <v>43500</v>
      </c>
      <c r="J15973" s="23" t="str">
        <f>HYPERLINK("https://www.spark-marketing.ru/Card/Person/624671", "ООО ""ЧОО ""КАРАТ-М""")</f>
        <v>ООО "ЧОО "КАРАТ-М"</v>
      </c>
      <c r="K15973" s="24" t="s">
        <v>6354</v>
      </c>
      <c r="L15973" s="22" t="s">
        <v>10</v>
      </c>
      <c r="M15973" s="25">
        <v>333484.2</v>
      </c>
      <c r="N15973" s="27">
        <v>5.0000000000000001E-3</v>
      </c>
    </row>
    <row r="15974" spans="1:14" x14ac:dyDescent="0.15">
      <c r="A15974" s="23" t="str">
        <f>HYPERLINK("https://www.spark-marketing.ru/Card/Person/127694", "УПРАВЛЕНИЕ РОСКОМНАДЗОРА ПО КАМЧАТСКОМУ КРАЮ")</f>
        <v>УПРАВЛЕНИЕ РОСКОМНАДЗОРА ПО КАМЧАТСКОМУ КРАЮ</v>
      </c>
      <c r="B15974" s="24" t="s">
        <v>18344</v>
      </c>
      <c r="C15974" s="25">
        <v>1583330</v>
      </c>
      <c r="D15974" s="22" t="s">
        <v>18345</v>
      </c>
      <c r="E15974" s="22" t="s">
        <v>68</v>
      </c>
      <c r="F15974" s="23" t="str">
        <f>HYPERLINK("https://www.spark-marketing.ru/Card/Lot/67660336", "Услуги по физической охране объектов")</f>
        <v>Услуги по физической охране объектов</v>
      </c>
      <c r="G15974" s="22" t="s">
        <v>1141</v>
      </c>
      <c r="H15974" s="22" t="s">
        <v>1142</v>
      </c>
      <c r="I15974" s="26">
        <v>43500</v>
      </c>
      <c r="J15974" s="23" t="str">
        <f>HYPERLINK("https://www.spark-marketing.ru/Card/Person/10569", "ФГУП ""СВЯЗЬ-БЕЗОПАСНОСТЬ""")</f>
        <v>ФГУП "СВЯЗЬ-БЕЗОПАСНОСТЬ"</v>
      </c>
      <c r="K15974" s="24" t="s">
        <v>17653</v>
      </c>
      <c r="L15974" s="28" t="s">
        <v>52</v>
      </c>
      <c r="M15974" s="28" t="s">
        <v>52</v>
      </c>
      <c r="N15974" s="28" t="s">
        <v>52</v>
      </c>
    </row>
    <row r="15975" spans="1:14" ht="12.75" hidden="1" outlineLevel="1" x14ac:dyDescent="0.2">
      <c r="A15975" s="23" t="str">
        <f>HYPERLINK("https://www.spark-marketing.ru/Card/Person/127694", "УПРАВЛЕНИЕ РОСКОМНАДЗОРА ПО КАМЧАТСКОМУ КРАЮ")</f>
        <v>УПРАВЛЕНИЕ РОСКОМНАДЗОРА ПО КАМЧАТСКОМУ КРАЮ</v>
      </c>
      <c r="B15975" s="24" t="s">
        <v>18344</v>
      </c>
      <c r="C15975" s="25">
        <v>1583330</v>
      </c>
      <c r="D15975" s="22" t="s">
        <v>18345</v>
      </c>
      <c r="E15975" s="22" t="s">
        <v>68</v>
      </c>
      <c r="F15975" s="23" t="str">
        <f>HYPERLINK("https://www.spark-marketing.ru/Card/Lot/67660336", "Услуги по физической охране объектов")</f>
        <v>Услуги по физической охране объектов</v>
      </c>
      <c r="G15975" s="22" t="s">
        <v>1141</v>
      </c>
      <c r="H15975" s="22" t="s">
        <v>1142</v>
      </c>
      <c r="I15975" s="26">
        <v>43500</v>
      </c>
      <c r="J15975" s="23" t="str">
        <f>HYPERLINK("https://www.spark-marketing.ru/Card/Person/10569", "ФГУП ""СВЯЗЬ-БЕЗОПАСНОСТЬ""")</f>
        <v>ФГУП "СВЯЗЬ-БЕЗОПАСНОСТЬ"</v>
      </c>
      <c r="K15975" s="24" t="s">
        <v>17653</v>
      </c>
      <c r="L15975" s="22" t="s">
        <v>10</v>
      </c>
      <c r="M15975" s="25">
        <v>1575413.35</v>
      </c>
      <c r="N15975" s="27">
        <v>5.0000000000000001E-3</v>
      </c>
    </row>
    <row r="15976" spans="1:14" x14ac:dyDescent="0.15">
      <c r="A15976" s="23" t="str">
        <f>HYPERLINK("https://www.spark-marketing.ru/Card/Person/6273", "ГОСУДАРСТВЕННЫЙ ЛИТЕРАТУРНЫЙ МУЗЕЙ")</f>
        <v>ГОСУДАРСТВЕННЫЙ ЛИТЕРАТУРНЫЙ МУЗЕЙ</v>
      </c>
      <c r="B15976" s="24" t="s">
        <v>2585</v>
      </c>
      <c r="C15976" s="25">
        <v>8157049.2000000002</v>
      </c>
      <c r="D15976" s="22" t="s">
        <v>18346</v>
      </c>
      <c r="E15976" s="22" t="s">
        <v>68</v>
      </c>
      <c r="F15976" s="23" t="str">
        <f>HYPERLINK("https://www.spark-marketing.ru/Card/Lot/67685518", "Услуги по охране зданий и помещений Музея по адресам: г. Москва, пер. Сивцев Вражек, д. 30, стр.1, ул. Спиридоновка, д. 2/6, Шелапутинский пер., д.1, стр.1, Трубниковский пер., д. 17, стр.1, Вспольный пер., д. 14, ул. Малая Молчановка, д.14")</f>
        <v>Услуги по охране зданий и помещений Музея по адресам: г. Москва, пер. Сивцев Вражек, д. 30, стр.1, ул. Спиридоновка, д. 2/6, Шелапутинский пер., д.1, стр.1, Трубниковский пер., д. 17, стр.1, Вспольный пер., д. 14, ул. Малая Молчановка, д.14</v>
      </c>
      <c r="G15976" s="22" t="s">
        <v>55</v>
      </c>
      <c r="H15976" s="22" t="s">
        <v>55</v>
      </c>
      <c r="I15976" s="26">
        <v>43500</v>
      </c>
      <c r="J15976" s="28" t="s">
        <v>52</v>
      </c>
      <c r="K15976" s="28" t="s">
        <v>52</v>
      </c>
      <c r="L15976" s="28" t="s">
        <v>52</v>
      </c>
      <c r="M15976" s="28" t="s">
        <v>52</v>
      </c>
      <c r="N15976" s="28" t="s">
        <v>52</v>
      </c>
    </row>
    <row r="15977" spans="1:14" x14ac:dyDescent="0.15">
      <c r="A15977" s="23" t="str">
        <f>HYPERLINK("https://www.spark-marketing.ru/Card/Person/20683", "ФКУ УПРДОР ""ХОЛМОГОРЫ""")</f>
        <v>ФКУ УПРДОР "ХОЛМОГОРЫ"</v>
      </c>
      <c r="B15977" s="24" t="s">
        <v>3172</v>
      </c>
      <c r="C15977" s="25">
        <v>11450196</v>
      </c>
      <c r="D15977" s="22" t="s">
        <v>18347</v>
      </c>
      <c r="E15977" s="22" t="s">
        <v>15097</v>
      </c>
      <c r="F15977" s="23" t="str">
        <f>HYPERLINK("https://www.spark-marketing.ru/Card/Lot/67673819", "Оплата за потребляемую электроэнергию, в том числе на объектах транспортной безопасности, в рамках выполнения работ по содержанию линий электроосвещения на автомобильных дорогах общего пользования федерального значения М-8 «Холмогоры» Москва - Яросла...")</f>
        <v>Оплата за потребляемую электроэнергию, в том числе на объектах транспортной безопасности, в рамках выполнения работ по содержанию линий электроосвещения на автомобильных дорогах общего пользования федерального значения М-8 «Холмогоры» Москва - Яросла...</v>
      </c>
      <c r="G15977" s="22" t="s">
        <v>145</v>
      </c>
      <c r="H15977" s="22" t="s">
        <v>145</v>
      </c>
      <c r="I15977" s="26">
        <v>43500</v>
      </c>
      <c r="J15977" s="23" t="str">
        <f>HYPERLINK("https://www.spark-marketing.ru/Card/Person/50697", "АО ""МТТС""")</f>
        <v>АО "МТТС"</v>
      </c>
      <c r="K15977" s="24" t="s">
        <v>18348</v>
      </c>
      <c r="L15977" s="22" t="s">
        <v>10</v>
      </c>
      <c r="M15977" s="28" t="s">
        <v>52</v>
      </c>
      <c r="N15977" s="28" t="s">
        <v>52</v>
      </c>
    </row>
    <row r="15978" spans="1:14" x14ac:dyDescent="0.15">
      <c r="A15978" s="23" t="str">
        <f>HYPERLINK("https://www.spark-marketing.ru/Card/Person/85900", "УПРАВЛЕНИЕ РОСПОТРЕБНАДЗОРА ПО УДМУРТСКОЙ РЕСПУБЛИКЕ")</f>
        <v>УПРАВЛЕНИЕ РОСПОТРЕБНАДЗОРА ПО УДМУРТСКОЙ РЕСПУБЛИКЕ</v>
      </c>
      <c r="B15978" s="24" t="s">
        <v>18349</v>
      </c>
      <c r="C15978" s="25">
        <v>107580</v>
      </c>
      <c r="D15978" s="22" t="s">
        <v>18350</v>
      </c>
      <c r="E15978" s="22" t="s">
        <v>68</v>
      </c>
      <c r="F15978" s="23" t="str">
        <f>HYPERLINK("https://www.spark-marketing.ru/Card/Lot/67677030", "Оказание услуг охраны объектов с применением пультов централизованного наблюдения за состоянием систем тревожной сигнализации, установленных в зданиях Управления Роспотребнадзора по Удмуртской Республике")</f>
        <v>Оказание услуг охраны объектов с применением пультов централизованного наблюдения за состоянием систем тревожной сигнализации, установленных в зданиях Управления Роспотребнадзора по Удмуртской Республике</v>
      </c>
      <c r="G15978" s="22" t="s">
        <v>96</v>
      </c>
      <c r="H15978" s="22" t="s">
        <v>96</v>
      </c>
      <c r="I15978" s="26">
        <v>43500</v>
      </c>
      <c r="J15978" s="23" t="str">
        <f>HYPERLINK("https://www.spark-marketing.ru/Card/Person/21837", "ФГКУ ""УВО ВНГ РОССИИ ПО УДМУРТСКОЙ РЕСПУБЛИКЕ""")</f>
        <v>ФГКУ "УВО ВНГ РОССИИ ПО УДМУРТСКОЙ РЕСПУБЛИКЕ"</v>
      </c>
      <c r="K15978" s="24" t="s">
        <v>18351</v>
      </c>
      <c r="L15978" s="22" t="s">
        <v>10</v>
      </c>
      <c r="M15978" s="28" t="s">
        <v>52</v>
      </c>
      <c r="N15978" s="28" t="s">
        <v>52</v>
      </c>
    </row>
    <row r="15979" spans="1:14" x14ac:dyDescent="0.15">
      <c r="A15979" s="23" t="str">
        <f>HYPERLINK("https://www.spark-marketing.ru/Card/Person/152480", "МАДОУ ""ДЕТСКИЙ САД №93 ""ЭЛЛЮКИ"" НМР РТ")</f>
        <v>МАДОУ "ДЕТСКИЙ САД №93 "ЭЛЛЮКИ" НМР РТ</v>
      </c>
      <c r="B15979" s="24" t="s">
        <v>15111</v>
      </c>
      <c r="C15979" s="25">
        <v>11860</v>
      </c>
      <c r="D15979" s="22" t="s">
        <v>18352</v>
      </c>
      <c r="E15979" s="22" t="s">
        <v>53</v>
      </c>
      <c r="F15979" s="23" t="str">
        <f>HYPERLINK("https://www.spark-marketing.ru/Card/Lot/73683875", "Техническое обслуживание системы видеонаблюдения")</f>
        <v>Техническое обслуживание системы видеонаблюдения</v>
      </c>
      <c r="G15979" s="22" t="s">
        <v>204</v>
      </c>
      <c r="H15979" s="22" t="s">
        <v>824</v>
      </c>
      <c r="I15979" s="26">
        <v>43500.000694444403</v>
      </c>
      <c r="J15979" s="28" t="s">
        <v>52</v>
      </c>
      <c r="K15979" s="28" t="s">
        <v>52</v>
      </c>
      <c r="L15979" s="28" t="s">
        <v>52</v>
      </c>
      <c r="M15979" s="28" t="s">
        <v>52</v>
      </c>
      <c r="N15979" s="28" t="s">
        <v>52</v>
      </c>
    </row>
    <row r="15980" spans="1:14" x14ac:dyDescent="0.15">
      <c r="A15980" s="23" t="str">
        <f>HYPERLINK("https://www.spark-marketing.ru/Card/Person/30870", "ШКОЛА № 619")</f>
        <v>ШКОЛА № 619</v>
      </c>
      <c r="B15980" s="24" t="s">
        <v>18353</v>
      </c>
      <c r="C15980" s="25">
        <v>2996352</v>
      </c>
      <c r="D15980" s="22" t="s">
        <v>18354</v>
      </c>
      <c r="E15980" s="22" t="s">
        <v>68</v>
      </c>
      <c r="F15980" s="23" t="str">
        <f>HYPERLINK("https://www.spark-marketing.ru/Card/Lot/67687584", "Оказание услуг по физической охране")</f>
        <v>Оказание услуг по физической охране</v>
      </c>
      <c r="G15980" s="22" t="s">
        <v>89</v>
      </c>
      <c r="H15980" s="22" t="s">
        <v>89</v>
      </c>
      <c r="I15980" s="26">
        <v>43500</v>
      </c>
      <c r="J15980" s="23" t="str">
        <f>HYPERLINK("https://www.spark-marketing.ru/Card/Person/2562571", "ООО ОП""БОРС-БАЛТИКА""")</f>
        <v>ООО ОП"БОРС-БАЛТИКА"</v>
      </c>
      <c r="K15980" s="24" t="s">
        <v>4583</v>
      </c>
      <c r="L15980" s="22" t="s">
        <v>10</v>
      </c>
      <c r="M15980" s="28" t="s">
        <v>52</v>
      </c>
      <c r="N15980" s="28" t="s">
        <v>52</v>
      </c>
    </row>
    <row r="15981" spans="1:14" x14ac:dyDescent="0.15">
      <c r="A15981" s="23" t="str">
        <f t="shared" ref="A15981:A15987" si="833">HYPERLINK("https://www.spark-marketing.ru/Card/Person/29919", "УПРАВА РАЙОНА СТАРОЕ КРЮКОВО ГОРОДА МОСКВЫ")</f>
        <v>УПРАВА РАЙОНА СТАРОЕ КРЮКОВО ГОРОДА МОСКВЫ</v>
      </c>
      <c r="B15981" s="24" t="s">
        <v>18355</v>
      </c>
      <c r="C15981" s="25">
        <v>290000</v>
      </c>
      <c r="D15981" s="22" t="s">
        <v>18356</v>
      </c>
      <c r="E15981" s="22" t="s">
        <v>103</v>
      </c>
      <c r="F15981" s="23" t="str">
        <f t="shared" ref="F15981:F15987" si="834">HYPERLINK("https://www.spark-marketing.ru/Card/Lot/67662273", "оказание услуг по обслуживанию системы видеонаблюдения в 2019 году")</f>
        <v>оказание услуг по обслуживанию системы видеонаблюдения в 2019 году</v>
      </c>
      <c r="G15981" s="22" t="s">
        <v>55</v>
      </c>
      <c r="H15981" s="22" t="s">
        <v>55</v>
      </c>
      <c r="I15981" s="26">
        <v>43500</v>
      </c>
      <c r="J15981" s="28" t="s">
        <v>52</v>
      </c>
      <c r="K15981" s="28" t="s">
        <v>52</v>
      </c>
      <c r="L15981" s="28" t="s">
        <v>52</v>
      </c>
      <c r="M15981" s="28" t="s">
        <v>52</v>
      </c>
      <c r="N15981" s="28" t="s">
        <v>52</v>
      </c>
    </row>
    <row r="15982" spans="1:14" ht="12.75" hidden="1" outlineLevel="1" x14ac:dyDescent="0.2">
      <c r="A15982" s="23" t="str">
        <f t="shared" si="833"/>
        <v>УПРАВА РАЙОНА СТАРОЕ КРЮКОВО ГОРОДА МОСКВЫ</v>
      </c>
      <c r="B15982" s="24" t="s">
        <v>18355</v>
      </c>
      <c r="C15982" s="25">
        <v>290000</v>
      </c>
      <c r="D15982" s="22" t="s">
        <v>18356</v>
      </c>
      <c r="E15982" s="22" t="s">
        <v>103</v>
      </c>
      <c r="F15982" s="23" t="str">
        <f t="shared" si="834"/>
        <v>оказание услуг по обслуживанию системы видеонаблюдения в 2019 году</v>
      </c>
      <c r="G15982" s="22" t="s">
        <v>55</v>
      </c>
      <c r="H15982" s="22" t="s">
        <v>55</v>
      </c>
      <c r="I15982" s="26">
        <v>43500</v>
      </c>
      <c r="J15982" s="23" t="str">
        <f>HYPERLINK("https://www.spark-marketing.ru/Card/Person/6059899", "Чаянова Жанна Константиновна")</f>
        <v>Чаянова Жанна Константиновна</v>
      </c>
      <c r="K15982" s="24" t="s">
        <v>18357</v>
      </c>
      <c r="L15982" s="22" t="s">
        <v>10</v>
      </c>
      <c r="M15982" s="25">
        <v>10150</v>
      </c>
      <c r="N15982" s="27">
        <v>0.96499999999999997</v>
      </c>
    </row>
    <row r="15983" spans="1:14" hidden="1" outlineLevel="1" x14ac:dyDescent="0.2">
      <c r="A15983" s="23" t="str">
        <f t="shared" si="833"/>
        <v>УПРАВА РАЙОНА СТАРОЕ КРЮКОВО ГОРОДА МОСКВЫ</v>
      </c>
      <c r="B15983" s="24" t="s">
        <v>18355</v>
      </c>
      <c r="C15983" s="25">
        <v>290000</v>
      </c>
      <c r="D15983" s="22" t="s">
        <v>18356</v>
      </c>
      <c r="E15983" s="22" t="s">
        <v>103</v>
      </c>
      <c r="F15983" s="23" t="str">
        <f t="shared" si="834"/>
        <v>оказание услуг по обслуживанию системы видеонаблюдения в 2019 году</v>
      </c>
      <c r="G15983" s="22" t="s">
        <v>55</v>
      </c>
      <c r="H15983" s="22" t="s">
        <v>55</v>
      </c>
      <c r="I15983" s="26">
        <v>43500</v>
      </c>
      <c r="J15983" s="23" t="str">
        <f>HYPERLINK("https://www.spark-marketing.ru/Card/Person/680814", "ООО ""СИГНАЛ-СЕРВИС""")</f>
        <v>ООО "СИГНАЛ-СЕРВИС"</v>
      </c>
      <c r="K15983" s="24" t="s">
        <v>14534</v>
      </c>
      <c r="L15983" s="28" t="s">
        <v>52</v>
      </c>
      <c r="M15983" s="25">
        <v>78300</v>
      </c>
      <c r="N15983" s="27">
        <v>0.73</v>
      </c>
    </row>
    <row r="15984" spans="1:14" hidden="1" outlineLevel="1" x14ac:dyDescent="0.2">
      <c r="A15984" s="23" t="str">
        <f t="shared" si="833"/>
        <v>УПРАВА РАЙОНА СТАРОЕ КРЮКОВО ГОРОДА МОСКВЫ</v>
      </c>
      <c r="B15984" s="24" t="s">
        <v>18355</v>
      </c>
      <c r="C15984" s="25">
        <v>290000</v>
      </c>
      <c r="D15984" s="22" t="s">
        <v>18356</v>
      </c>
      <c r="E15984" s="22" t="s">
        <v>103</v>
      </c>
      <c r="F15984" s="23" t="str">
        <f t="shared" si="834"/>
        <v>оказание услуг по обслуживанию системы видеонаблюдения в 2019 году</v>
      </c>
      <c r="G15984" s="22" t="s">
        <v>55</v>
      </c>
      <c r="H15984" s="22" t="s">
        <v>55</v>
      </c>
      <c r="I15984" s="26">
        <v>43500</v>
      </c>
      <c r="J15984" s="23" t="str">
        <f>HYPERLINK("https://www.spark-marketing.ru/Card/Person/6364371", "ООО ""ЛТБ""")</f>
        <v>ООО "ЛТБ"</v>
      </c>
      <c r="K15984" s="24" t="s">
        <v>8538</v>
      </c>
      <c r="L15984" s="28" t="s">
        <v>52</v>
      </c>
      <c r="M15984" s="25">
        <v>11600</v>
      </c>
      <c r="N15984" s="27">
        <v>0.96</v>
      </c>
    </row>
    <row r="15985" spans="1:14" hidden="1" outlineLevel="1" x14ac:dyDescent="0.2">
      <c r="A15985" s="23" t="str">
        <f t="shared" si="833"/>
        <v>УПРАВА РАЙОНА СТАРОЕ КРЮКОВО ГОРОДА МОСКВЫ</v>
      </c>
      <c r="B15985" s="24" t="s">
        <v>18355</v>
      </c>
      <c r="C15985" s="25">
        <v>290000</v>
      </c>
      <c r="D15985" s="22" t="s">
        <v>18356</v>
      </c>
      <c r="E15985" s="22" t="s">
        <v>103</v>
      </c>
      <c r="F15985" s="23" t="str">
        <f t="shared" si="834"/>
        <v>оказание услуг по обслуживанию системы видеонаблюдения в 2019 году</v>
      </c>
      <c r="G15985" s="22" t="s">
        <v>55</v>
      </c>
      <c r="H15985" s="22" t="s">
        <v>55</v>
      </c>
      <c r="I15985" s="26">
        <v>43500</v>
      </c>
      <c r="J15985" s="23" t="str">
        <f>HYPERLINK("https://www.spark-marketing.ru/Card/Person/10921", "ООО ""АЙТИ ФОРТ""")</f>
        <v>ООО "АЙТИ ФОРТ"</v>
      </c>
      <c r="K15985" s="24" t="s">
        <v>8546</v>
      </c>
      <c r="L15985" s="28" t="s">
        <v>52</v>
      </c>
      <c r="M15985" s="25">
        <v>203000</v>
      </c>
      <c r="N15985" s="27">
        <v>0.3</v>
      </c>
    </row>
    <row r="15986" spans="1:14" hidden="1" outlineLevel="1" x14ac:dyDescent="0.2">
      <c r="A15986" s="23" t="str">
        <f t="shared" si="833"/>
        <v>УПРАВА РАЙОНА СТАРОЕ КРЮКОВО ГОРОДА МОСКВЫ</v>
      </c>
      <c r="B15986" s="24" t="s">
        <v>18355</v>
      </c>
      <c r="C15986" s="25">
        <v>290000</v>
      </c>
      <c r="D15986" s="22" t="s">
        <v>18356</v>
      </c>
      <c r="E15986" s="22" t="s">
        <v>103</v>
      </c>
      <c r="F15986" s="23" t="str">
        <f t="shared" si="834"/>
        <v>оказание услуг по обслуживанию системы видеонаблюдения в 2019 году</v>
      </c>
      <c r="G15986" s="22" t="s">
        <v>55</v>
      </c>
      <c r="H15986" s="22" t="s">
        <v>55</v>
      </c>
      <c r="I15986" s="26">
        <v>43500</v>
      </c>
      <c r="J15986" s="23" t="str">
        <f>HYPERLINK("https://www.spark-marketing.ru/Card/Person/104878", "Симонов Евгений Александрович")</f>
        <v>Симонов Евгений Александрович</v>
      </c>
      <c r="K15986" s="24" t="s">
        <v>18358</v>
      </c>
      <c r="L15986" s="28" t="s">
        <v>52</v>
      </c>
      <c r="M15986" s="25">
        <v>44950</v>
      </c>
      <c r="N15986" s="27">
        <v>0.84499999999999997</v>
      </c>
    </row>
    <row r="15987" spans="1:14" hidden="1" outlineLevel="1" x14ac:dyDescent="0.2">
      <c r="A15987" s="23" t="str">
        <f t="shared" si="833"/>
        <v>УПРАВА РАЙОНА СТАРОЕ КРЮКОВО ГОРОДА МОСКВЫ</v>
      </c>
      <c r="B15987" s="24" t="s">
        <v>18355</v>
      </c>
      <c r="C15987" s="25">
        <v>290000</v>
      </c>
      <c r="D15987" s="22" t="s">
        <v>18356</v>
      </c>
      <c r="E15987" s="22" t="s">
        <v>103</v>
      </c>
      <c r="F15987" s="23" t="str">
        <f t="shared" si="834"/>
        <v>оказание услуг по обслуживанию системы видеонаблюдения в 2019 году</v>
      </c>
      <c r="G15987" s="22" t="s">
        <v>55</v>
      </c>
      <c r="H15987" s="22" t="s">
        <v>55</v>
      </c>
      <c r="I15987" s="26">
        <v>43500</v>
      </c>
      <c r="J15987" s="23" t="str">
        <f>HYPERLINK("https://www.spark-marketing.ru/Card/Person/6252420", "ООО ""ЦСТЭ-ГК""")</f>
        <v>ООО "ЦСТЭ-ГК"</v>
      </c>
      <c r="K15987" s="24" t="s">
        <v>18359</v>
      </c>
      <c r="L15987" s="28" t="s">
        <v>52</v>
      </c>
      <c r="M15987" s="25">
        <v>250850</v>
      </c>
      <c r="N15987" s="27">
        <v>0.13500000000000001</v>
      </c>
    </row>
    <row r="15988" spans="1:14" x14ac:dyDescent="0.2">
      <c r="A15988" s="23" t="str">
        <f>HYPERLINK("https://www.spark-marketing.ru/Card/Person/255195", "МБДОУ ""ДЕТСКИЙ САД № 4 ""СОЛНЫШКО"" ПГТ КАМСКИЕ ПОЛЯНЫ НМР РТ")</f>
        <v>МБДОУ "ДЕТСКИЙ САД № 4 "СОЛНЫШКО" ПГТ КАМСКИЕ ПОЛЯНЫ НМР РТ</v>
      </c>
      <c r="B15988" s="24" t="s">
        <v>3465</v>
      </c>
      <c r="C15988" s="25">
        <v>2820</v>
      </c>
      <c r="D15988" s="22" t="s">
        <v>18360</v>
      </c>
      <c r="E15988" s="22" t="s">
        <v>53</v>
      </c>
      <c r="F15988" s="23" t="str">
        <f>HYPERLINK("https://www.spark-marketing.ru/Card/Lot/73684005", "Техническое обслуживание системы видеонаблюдения")</f>
        <v>Техническое обслуживание системы видеонаблюдения</v>
      </c>
      <c r="G15988" s="22" t="s">
        <v>204</v>
      </c>
      <c r="H15988" s="22" t="s">
        <v>3467</v>
      </c>
      <c r="I15988" s="26">
        <v>43500.000694444403</v>
      </c>
      <c r="J15988" s="28" t="s">
        <v>52</v>
      </c>
      <c r="K15988" s="28" t="s">
        <v>52</v>
      </c>
      <c r="L15988" s="28" t="s">
        <v>52</v>
      </c>
      <c r="M15988" s="25">
        <v>450</v>
      </c>
      <c r="N15988" s="27">
        <v>0.84042553191489366</v>
      </c>
    </row>
    <row r="15989" spans="1:14" x14ac:dyDescent="0.15">
      <c r="A15989" s="23" t="str">
        <f>HYPERLINK("https://www.spark-marketing.ru/Card/Person/246951", "ГБУСОН РО ""СРЦ Г. КРАСНОГО СУЛИНА""")</f>
        <v>ГБУСОН РО "СРЦ Г. КРАСНОГО СУЛИНА"</v>
      </c>
      <c r="B15989" s="24" t="s">
        <v>18361</v>
      </c>
      <c r="C15989" s="25">
        <v>70000</v>
      </c>
      <c r="D15989" s="22" t="s">
        <v>18362</v>
      </c>
      <c r="E15989" s="22" t="s">
        <v>208</v>
      </c>
      <c r="F15989" s="23" t="str">
        <f>HYPERLINK("https://www.spark-marketing.ru/Card/Lot/67685525", "Техническое обслуживание кнопки тревожной сигнализации")</f>
        <v>Техническое обслуживание кнопки тревожной сигнализации</v>
      </c>
      <c r="G15989" s="22" t="s">
        <v>402</v>
      </c>
      <c r="H15989" s="22" t="s">
        <v>10454</v>
      </c>
      <c r="I15989" s="26">
        <v>43500</v>
      </c>
      <c r="J15989" s="23" t="str">
        <f>HYPERLINK("https://www.spark-marketing.ru/Card/Person/1439328", "ООО КОП ""ТИХИЙ ДОН""")</f>
        <v>ООО КОП "ТИХИЙ ДОН"</v>
      </c>
      <c r="K15989" s="24" t="s">
        <v>18363</v>
      </c>
      <c r="L15989" s="22" t="s">
        <v>10</v>
      </c>
      <c r="M15989" s="28" t="s">
        <v>52</v>
      </c>
      <c r="N15989" s="28" t="s">
        <v>52</v>
      </c>
    </row>
    <row r="15990" spans="1:14" x14ac:dyDescent="0.15">
      <c r="A15990" s="23" t="str">
        <f>HYPERLINK("https://www.spark-marketing.ru/Card/Person/12648", "ФГКУ КОМБИНАТ ""ОНЕГА"" РОСРЕЗЕРВА")</f>
        <v>ФГКУ КОМБИНАТ "ОНЕГА" РОСРЕЗЕРВА</v>
      </c>
      <c r="B15990" s="24" t="s">
        <v>18335</v>
      </c>
      <c r="C15990" s="25">
        <v>8853.84</v>
      </c>
      <c r="D15990" s="22" t="s">
        <v>18364</v>
      </c>
      <c r="E15990" s="22" t="s">
        <v>1013</v>
      </c>
      <c r="F15990" s="23" t="str">
        <f>HYPERLINK("https://www.spark-marketing.ru/Card/Lot/67681832", "Услуги по техническому обслуживанию комплекса технических средств охраны")</f>
        <v>Услуги по техническому обслуживанию комплекса технических средств охраны</v>
      </c>
      <c r="G15990" s="22" t="s">
        <v>902</v>
      </c>
      <c r="H15990" s="22" t="s">
        <v>902</v>
      </c>
      <c r="I15990" s="26">
        <v>43500</v>
      </c>
      <c r="J15990" s="28" t="s">
        <v>52</v>
      </c>
      <c r="K15990" s="28" t="s">
        <v>52</v>
      </c>
      <c r="L15990" s="28" t="s">
        <v>52</v>
      </c>
      <c r="M15990" s="28" t="s">
        <v>52</v>
      </c>
      <c r="N15990" s="28" t="s">
        <v>52</v>
      </c>
    </row>
    <row r="15991" spans="1:14" x14ac:dyDescent="0.15">
      <c r="A15991" s="23" t="str">
        <f>HYPERLINK("https://www.spark-marketing.ru/Card/Person/5064", "ФГКУ КОМБИНАТ ""ВОЛЖСКИЙ"" РОСРЕЗЕРВА")</f>
        <v>ФГКУ КОМБИНАТ "ВОЛЖСКИЙ" РОСРЕЗЕРВА</v>
      </c>
      <c r="B15991" s="24" t="s">
        <v>18365</v>
      </c>
      <c r="C15991" s="25">
        <v>129575</v>
      </c>
      <c r="D15991" s="22" t="s">
        <v>18366</v>
      </c>
      <c r="E15991" s="22" t="s">
        <v>107</v>
      </c>
      <c r="F15991" s="23" t="str">
        <f>HYPERLINK("https://www.spark-marketing.ru/Card/Lot/67677033", "Оказание услуг по техническому обслуживанию охранной сигнализации периметра (2-го рубежа)")</f>
        <v>Оказание услуг по техническому обслуживанию охранной сигнализации периметра (2-го рубежа)</v>
      </c>
      <c r="G15991" s="22" t="s">
        <v>760</v>
      </c>
      <c r="H15991" s="22" t="s">
        <v>1709</v>
      </c>
      <c r="I15991" s="26">
        <v>43500</v>
      </c>
      <c r="J15991" s="28" t="s">
        <v>52</v>
      </c>
      <c r="K15991" s="28" t="s">
        <v>52</v>
      </c>
      <c r="L15991" s="28" t="s">
        <v>52</v>
      </c>
      <c r="M15991" s="28" t="s">
        <v>52</v>
      </c>
      <c r="N15991" s="28" t="s">
        <v>52</v>
      </c>
    </row>
    <row r="15992" spans="1:14" ht="12.75" hidden="1" outlineLevel="1" x14ac:dyDescent="0.2">
      <c r="A15992" s="23" t="str">
        <f>HYPERLINK("https://www.spark-marketing.ru/Card/Person/5064", "ФГКУ КОМБИНАТ ""ВОЛЖСКИЙ"" РОСРЕЗЕРВА")</f>
        <v>ФГКУ КОМБИНАТ "ВОЛЖСКИЙ" РОСРЕЗЕРВА</v>
      </c>
      <c r="B15992" s="24" t="s">
        <v>18365</v>
      </c>
      <c r="C15992" s="25">
        <v>129575</v>
      </c>
      <c r="D15992" s="22" t="s">
        <v>18366</v>
      </c>
      <c r="E15992" s="22" t="s">
        <v>107</v>
      </c>
      <c r="F15992" s="23" t="str">
        <f>HYPERLINK("https://www.spark-marketing.ru/Card/Lot/67677033", "Оказание услуг по техническому обслуживанию охранной сигнализации периметра (2-го рубежа)")</f>
        <v>Оказание услуг по техническому обслуживанию охранной сигнализации периметра (2-го рубежа)</v>
      </c>
      <c r="G15992" s="22" t="s">
        <v>760</v>
      </c>
      <c r="H15992" s="22" t="s">
        <v>1709</v>
      </c>
      <c r="I15992" s="26">
        <v>43500</v>
      </c>
      <c r="J15992" s="23" t="str">
        <f>HYPERLINK("https://www.spark-marketing.ru/Card/Person/245077", "ООО ""ОСКАР СБ""")</f>
        <v>ООО "ОСКАР СБ"</v>
      </c>
      <c r="K15992" s="24" t="s">
        <v>18367</v>
      </c>
      <c r="L15992" s="22" t="s">
        <v>10</v>
      </c>
      <c r="M15992" s="25">
        <v>126352.12</v>
      </c>
      <c r="N15992" s="27">
        <v>2.4872699208952343E-2</v>
      </c>
    </row>
    <row r="15993" spans="1:14" hidden="1" outlineLevel="1" x14ac:dyDescent="0.2">
      <c r="A15993" s="23" t="str">
        <f>HYPERLINK("https://www.spark-marketing.ru/Card/Person/5064", "ФГКУ КОМБИНАТ ""ВОЛЖСКИЙ"" РОСРЕЗЕРВА")</f>
        <v>ФГКУ КОМБИНАТ "ВОЛЖСКИЙ" РОСРЕЗЕРВА</v>
      </c>
      <c r="B15993" s="24" t="s">
        <v>18365</v>
      </c>
      <c r="C15993" s="25">
        <v>129575</v>
      </c>
      <c r="D15993" s="22" t="s">
        <v>18366</v>
      </c>
      <c r="E15993" s="22" t="s">
        <v>107</v>
      </c>
      <c r="F15993" s="23" t="str">
        <f>HYPERLINK("https://www.spark-marketing.ru/Card/Lot/67677033", "Оказание услуг по техническому обслуживанию охранной сигнализации периметра (2-го рубежа)")</f>
        <v>Оказание услуг по техническому обслуживанию охранной сигнализации периметра (2-го рубежа)</v>
      </c>
      <c r="G15993" s="22" t="s">
        <v>760</v>
      </c>
      <c r="H15993" s="22" t="s">
        <v>1709</v>
      </c>
      <c r="I15993" s="26">
        <v>43500</v>
      </c>
      <c r="J15993" s="23" t="str">
        <f>HYPERLINK("https://www.spark-marketing.ru/Card/Person/6402542", "ООО ""ЦЕНТР СБ""")</f>
        <v>ООО "ЦЕНТР СБ"</v>
      </c>
      <c r="K15993" s="24" t="s">
        <v>2133</v>
      </c>
      <c r="L15993" s="28" t="s">
        <v>52</v>
      </c>
      <c r="M15993" s="25">
        <v>127000</v>
      </c>
      <c r="N15993" s="27">
        <v>1.9872660621261817E-2</v>
      </c>
    </row>
    <row r="15994" spans="1:14" x14ac:dyDescent="0.15">
      <c r="A15994" s="23" t="str">
        <f>HYPERLINK("https://www.spark-marketing.ru/Card/Person/268236", "МЕЖРАЙОННАЯ ИФНС РОССИИ № 4 ПО ИВАНОВСКОЙ ОБЛАСТИ")</f>
        <v>МЕЖРАЙОННАЯ ИФНС РОССИИ № 4 ПО ИВАНОВСКОЙ ОБЛАСТИ</v>
      </c>
      <c r="B15994" s="24" t="s">
        <v>7027</v>
      </c>
      <c r="C15994" s="25">
        <v>456299.2</v>
      </c>
      <c r="D15994" s="22" t="s">
        <v>18368</v>
      </c>
      <c r="E15994" s="22" t="s">
        <v>68</v>
      </c>
      <c r="F15994" s="23" t="str">
        <f>HYPERLINK("https://www.spark-marketing.ru/Card/Lot/67689026", "Услуги по охране и осуществление внутриобъектового режима в административном здании")</f>
        <v>Услуги по охране и осуществление внутриобъектового режима в административном здании</v>
      </c>
      <c r="G15994" s="22" t="s">
        <v>340</v>
      </c>
      <c r="H15994" s="22" t="s">
        <v>3051</v>
      </c>
      <c r="I15994" s="26">
        <v>43500</v>
      </c>
      <c r="J15994" s="28" t="s">
        <v>52</v>
      </c>
      <c r="K15994" s="28" t="s">
        <v>52</v>
      </c>
      <c r="L15994" s="28" t="s">
        <v>52</v>
      </c>
      <c r="M15994" s="28" t="s">
        <v>52</v>
      </c>
      <c r="N15994" s="28" t="s">
        <v>52</v>
      </c>
    </row>
    <row r="15995" spans="1:14" ht="12.75" hidden="1" outlineLevel="1" x14ac:dyDescent="0.2">
      <c r="A15995" s="23" t="str">
        <f>HYPERLINK("https://www.spark-marketing.ru/Card/Person/268236", "МЕЖРАЙОННАЯ ИФНС РОССИИ № 4 ПО ИВАНОВСКОЙ ОБЛАСТИ")</f>
        <v>МЕЖРАЙОННАЯ ИФНС РОССИИ № 4 ПО ИВАНОВСКОЙ ОБЛАСТИ</v>
      </c>
      <c r="B15995" s="24" t="s">
        <v>7027</v>
      </c>
      <c r="C15995" s="25">
        <v>456299.2</v>
      </c>
      <c r="D15995" s="22" t="s">
        <v>18368</v>
      </c>
      <c r="E15995" s="22" t="s">
        <v>68</v>
      </c>
      <c r="F15995" s="23" t="str">
        <f>HYPERLINK("https://www.spark-marketing.ru/Card/Lot/67689026", "Услуги по охране и осуществление внутриобъектового режима в административном здании")</f>
        <v>Услуги по охране и осуществление внутриобъектового режима в административном здании</v>
      </c>
      <c r="G15995" s="22" t="s">
        <v>340</v>
      </c>
      <c r="H15995" s="22" t="s">
        <v>3051</v>
      </c>
      <c r="I15995" s="26">
        <v>43500</v>
      </c>
      <c r="J15995" s="23" t="str">
        <f>HYPERLINK("https://www.spark-marketing.ru/Card/Person/4465645", "ООО ""ОХРАННОЕ АГЕНТСТВО ""СОЮЗ""")</f>
        <v>ООО "ОХРАННОЕ АГЕНТСТВО "СОЮЗ"</v>
      </c>
      <c r="K15995" s="24" t="s">
        <v>18369</v>
      </c>
      <c r="L15995" s="22" t="s">
        <v>10</v>
      </c>
      <c r="M15995" s="25">
        <v>433484.24</v>
      </c>
      <c r="N15995" s="27">
        <v>0.05</v>
      </c>
    </row>
    <row r="15996" spans="1:14" hidden="1" outlineLevel="1" x14ac:dyDescent="0.2">
      <c r="A15996" s="23" t="str">
        <f>HYPERLINK("https://www.spark-marketing.ru/Card/Person/268236", "МЕЖРАЙОННАЯ ИФНС РОССИИ № 4 ПО ИВАНОВСКОЙ ОБЛАСТИ")</f>
        <v>МЕЖРАЙОННАЯ ИФНС РОССИИ № 4 ПО ИВАНОВСКОЙ ОБЛАСТИ</v>
      </c>
      <c r="B15996" s="24" t="s">
        <v>7027</v>
      </c>
      <c r="C15996" s="25">
        <v>456299.2</v>
      </c>
      <c r="D15996" s="22" t="s">
        <v>18368</v>
      </c>
      <c r="E15996" s="22" t="s">
        <v>68</v>
      </c>
      <c r="F15996" s="23" t="str">
        <f>HYPERLINK("https://www.spark-marketing.ru/Card/Lot/67689026", "Услуги по охране и осуществление внутриобъектового режима в административном здании")</f>
        <v>Услуги по охране и осуществление внутриобъектового режима в административном здании</v>
      </c>
      <c r="G15996" s="22" t="s">
        <v>340</v>
      </c>
      <c r="H15996" s="22" t="s">
        <v>3051</v>
      </c>
      <c r="I15996" s="26">
        <v>43500</v>
      </c>
      <c r="J15996" s="23" t="str">
        <f>HYPERLINK("https://www.spark-marketing.ru/Card/Person/4888837", "ФЛ ФГУП ОХРАНА ФЕДЕРАЛЬНОЙ СЛУЖБЫ ВОЙСК НАЦИОНАЛЬНОЙ ГВАРДИИ ПО ИВАНОВСКОЙ ОБЛ")</f>
        <v>ФЛ ФГУП ОХРАНА ФЕДЕРАЛЬНОЙ СЛУЖБЫ ВОЙСК НАЦИОНАЛЬНОЙ ГВАРДИИ ПО ИВАНОВСКОЙ ОБЛ</v>
      </c>
      <c r="K15996" s="24" t="s">
        <v>779</v>
      </c>
      <c r="L15996" s="28" t="s">
        <v>52</v>
      </c>
      <c r="M15996" s="25">
        <v>454017.7</v>
      </c>
      <c r="N15996" s="27">
        <v>5.0000087661779815E-3</v>
      </c>
    </row>
    <row r="15997" spans="1:14" x14ac:dyDescent="0.15">
      <c r="A15997" s="23" t="str">
        <f>HYPERLINK("https://www.spark-marketing.ru/Card/Person/115685", "ИФНС РОССИИ ПО ПЕРВОМАЙСКОМУ РАЙОНУ Г. ВЛАДИВОСТОКА")</f>
        <v>ИФНС РОССИИ ПО ПЕРВОМАЙСКОМУ РАЙОНУ Г. ВЛАДИВОСТОКА</v>
      </c>
      <c r="B15997" s="24" t="s">
        <v>15763</v>
      </c>
      <c r="C15997" s="25">
        <v>500760</v>
      </c>
      <c r="D15997" s="22" t="s">
        <v>18370</v>
      </c>
      <c r="E15997" s="22" t="s">
        <v>68</v>
      </c>
      <c r="F15997" s="23" t="str">
        <f>HYPERLINK("https://www.spark-marketing.ru/Card/Lot/67668837", "Оказание услуг по ежедневной 12- часовой вооруженной (специальными средствами) физической охране объекта и имущества, находящегося в помещениях административного здания Инспекции Федеральной налоговой службы по Первомайскому району    г. Владивостока...")</f>
        <v>Оказание услуг по ежедневной 12- часовой вооруженной (специальными средствами) физической охране объекта и имущества, находящегося в помещениях административного здания Инспекции Федеральной налоговой службы по Первомайскому району    г. Владивостока...</v>
      </c>
      <c r="G15997" s="22" t="s">
        <v>409</v>
      </c>
      <c r="H15997" s="22" t="s">
        <v>878</v>
      </c>
      <c r="I15997" s="26">
        <v>43500</v>
      </c>
      <c r="J15997" s="28" t="s">
        <v>52</v>
      </c>
      <c r="K15997" s="28" t="s">
        <v>52</v>
      </c>
      <c r="L15997" s="28" t="s">
        <v>52</v>
      </c>
      <c r="M15997" s="28" t="s">
        <v>52</v>
      </c>
      <c r="N15997" s="28" t="s">
        <v>52</v>
      </c>
    </row>
    <row r="15998" spans="1:14" hidden="1" outlineLevel="1" x14ac:dyDescent="0.2">
      <c r="A15998" s="23" t="str">
        <f>HYPERLINK("https://www.spark-marketing.ru/Card/Person/115685", "ИФНС РОССИИ ПО ПЕРВОМАЙСКОМУ РАЙОНУ Г. ВЛАДИВОСТОКА")</f>
        <v>ИФНС РОССИИ ПО ПЕРВОМАЙСКОМУ РАЙОНУ Г. ВЛАДИВОСТОКА</v>
      </c>
      <c r="B15998" s="24" t="s">
        <v>15763</v>
      </c>
      <c r="C15998" s="25">
        <v>500760</v>
      </c>
      <c r="D15998" s="22" t="s">
        <v>18370</v>
      </c>
      <c r="E15998" s="22" t="s">
        <v>68</v>
      </c>
      <c r="F15998" s="23" t="str">
        <f>HYPERLINK("https://www.spark-marketing.ru/Card/Lot/67668837", "Оказание услуг по ежедневной 12- часовой вооруженной (специальными средствами) физической охране объекта и имущества, находящегося в помещениях административного здания Инспекции Федеральной налоговой службы по Первомайскому району    г. Владивостока...")</f>
        <v>Оказание услуг по ежедневной 12- часовой вооруженной (специальными средствами) физической охране объекта и имущества, находящегося в помещениях административного здания Инспекции Федеральной налоговой службы по Первомайскому району    г. Владивостока...</v>
      </c>
      <c r="G15998" s="22" t="s">
        <v>409</v>
      </c>
      <c r="H15998" s="22" t="s">
        <v>878</v>
      </c>
      <c r="I15998" s="26">
        <v>43500</v>
      </c>
      <c r="J15998" s="23" t="str">
        <f>HYPERLINK("https://www.spark-marketing.ru/Card/Person/952045", "ООО ЧОП ""ВИКИНГ""")</f>
        <v>ООО ЧОП "ВИКИНГ"</v>
      </c>
      <c r="K15998" s="24" t="s">
        <v>17816</v>
      </c>
      <c r="L15998" s="28" t="s">
        <v>52</v>
      </c>
      <c r="M15998" s="25">
        <v>495752.4</v>
      </c>
      <c r="N15998" s="27">
        <v>0.01</v>
      </c>
    </row>
    <row r="15999" spans="1:14" hidden="1" outlineLevel="1" x14ac:dyDescent="0.2">
      <c r="A15999" s="23" t="str">
        <f>HYPERLINK("https://www.spark-marketing.ru/Card/Person/115685", "ИФНС РОССИИ ПО ПЕРВОМАЙСКОМУ РАЙОНУ Г. ВЛАДИВОСТОКА")</f>
        <v>ИФНС РОССИИ ПО ПЕРВОМАЙСКОМУ РАЙОНУ Г. ВЛАДИВОСТОКА</v>
      </c>
      <c r="B15999" s="24" t="s">
        <v>15763</v>
      </c>
      <c r="C15999" s="25">
        <v>500760</v>
      </c>
      <c r="D15999" s="22" t="s">
        <v>18370</v>
      </c>
      <c r="E15999" s="22" t="s">
        <v>68</v>
      </c>
      <c r="F15999" s="23" t="str">
        <f>HYPERLINK("https://www.spark-marketing.ru/Card/Lot/67668837", "Оказание услуг по ежедневной 12- часовой вооруженной (специальными средствами) физической охране объекта и имущества, находящегося в помещениях административного здания Инспекции Федеральной налоговой службы по Первомайскому району    г. Владивостока...")</f>
        <v>Оказание услуг по ежедневной 12- часовой вооруженной (специальными средствами) физической охране объекта и имущества, находящегося в помещениях административного здания Инспекции Федеральной налоговой службы по Первомайскому району    г. Владивостока...</v>
      </c>
      <c r="G15999" s="22" t="s">
        <v>409</v>
      </c>
      <c r="H15999" s="22" t="s">
        <v>878</v>
      </c>
      <c r="I15999" s="26">
        <v>43500</v>
      </c>
      <c r="J15999" s="23" t="str">
        <f>HYPERLINK("https://www.spark-marketing.ru/Card/Person/29362", "ООО ЧОО ""ГРАНИТ-ПРИМОРЬЕ""")</f>
        <v>ООО ЧОО "ГРАНИТ-ПРИМОРЬЕ"</v>
      </c>
      <c r="K15999" s="24" t="s">
        <v>17779</v>
      </c>
      <c r="L15999" s="28" t="s">
        <v>52</v>
      </c>
      <c r="M15999" s="25">
        <v>463203</v>
      </c>
      <c r="N15999" s="27">
        <v>7.4999999999999997E-2</v>
      </c>
    </row>
    <row r="16000" spans="1:14" hidden="1" outlineLevel="1" x14ac:dyDescent="0.2">
      <c r="A16000" s="23" t="str">
        <f>HYPERLINK("https://www.spark-marketing.ru/Card/Person/115685", "ИФНС РОССИИ ПО ПЕРВОМАЙСКОМУ РАЙОНУ Г. ВЛАДИВОСТОКА")</f>
        <v>ИФНС РОССИИ ПО ПЕРВОМАЙСКОМУ РАЙОНУ Г. ВЛАДИВОСТОКА</v>
      </c>
      <c r="B16000" s="24" t="s">
        <v>15763</v>
      </c>
      <c r="C16000" s="25">
        <v>500760</v>
      </c>
      <c r="D16000" s="22" t="s">
        <v>18370</v>
      </c>
      <c r="E16000" s="22" t="s">
        <v>68</v>
      </c>
      <c r="F16000" s="23" t="str">
        <f>HYPERLINK("https://www.spark-marketing.ru/Card/Lot/67668837", "Оказание услуг по ежедневной 12- часовой вооруженной (специальными средствами) физической охране объекта и имущества, находящегося в помещениях административного здания Инспекции Федеральной налоговой службы по Первомайскому району    г. Владивостока...")</f>
        <v>Оказание услуг по ежедневной 12- часовой вооруженной (специальными средствами) физической охране объекта и имущества, находящегося в помещениях административного здания Инспекции Федеральной налоговой службы по Первомайскому району    г. Владивостока...</v>
      </c>
      <c r="G16000" s="22" t="s">
        <v>409</v>
      </c>
      <c r="H16000" s="22" t="s">
        <v>878</v>
      </c>
      <c r="I16000" s="26">
        <v>43500</v>
      </c>
      <c r="J16000" s="23" t="str">
        <f>HYPERLINK("https://www.spark-marketing.ru/Card/Person/71570", "ООО ""ОА ""КЕДР-БЕЗОПАСНОСТЬ""")</f>
        <v>ООО "ОА "КЕДР-БЕЗОПАСНОСТЬ"</v>
      </c>
      <c r="K16000" s="24" t="s">
        <v>18371</v>
      </c>
      <c r="L16000" s="28" t="s">
        <v>52</v>
      </c>
      <c r="M16000" s="25">
        <v>397970.86</v>
      </c>
      <c r="N16000" s="27">
        <v>0.20526627526160238</v>
      </c>
    </row>
    <row r="16001" spans="1:14" ht="12.75" hidden="1" outlineLevel="1" x14ac:dyDescent="0.2">
      <c r="A16001" s="23" t="str">
        <f>HYPERLINK("https://www.spark-marketing.ru/Card/Person/115685", "ИФНС РОССИИ ПО ПЕРВОМАЙСКОМУ РАЙОНУ Г. ВЛАДИВОСТОКА")</f>
        <v>ИФНС РОССИИ ПО ПЕРВОМАЙСКОМУ РАЙОНУ Г. ВЛАДИВОСТОКА</v>
      </c>
      <c r="B16001" s="24" t="s">
        <v>15763</v>
      </c>
      <c r="C16001" s="25">
        <v>500760</v>
      </c>
      <c r="D16001" s="22" t="s">
        <v>18370</v>
      </c>
      <c r="E16001" s="22" t="s">
        <v>68</v>
      </c>
      <c r="F16001" s="23" t="str">
        <f>HYPERLINK("https://www.spark-marketing.ru/Card/Lot/67668837", "Оказание услуг по ежедневной 12- часовой вооруженной (специальными средствами) физической охране объекта и имущества, находящегося в помещениях административного здания Инспекции Федеральной налоговой службы по Первомайскому району    г. Владивостока...")</f>
        <v>Оказание услуг по ежедневной 12- часовой вооруженной (специальными средствами) физической охране объекта и имущества, находящегося в помещениях административного здания Инспекции Федеральной налоговой службы по Первомайскому району    г. Владивостока...</v>
      </c>
      <c r="G16001" s="22" t="s">
        <v>409</v>
      </c>
      <c r="H16001" s="22" t="s">
        <v>878</v>
      </c>
      <c r="I16001" s="26">
        <v>43500</v>
      </c>
      <c r="J16001" s="23" t="str">
        <f>HYPERLINK("https://www.spark-marketing.ru/Card/Person/4348045", "ООО ОА ""ГЕПАРД-СЕКЬЮРИТИ""")</f>
        <v>ООО ОА "ГЕПАРД-СЕКЬЮРИТИ"</v>
      </c>
      <c r="K16001" s="24" t="s">
        <v>15765</v>
      </c>
      <c r="L16001" s="22" t="s">
        <v>10</v>
      </c>
      <c r="M16001" s="25">
        <v>395333.72</v>
      </c>
      <c r="N16001" s="27">
        <v>0.21053255052320474</v>
      </c>
    </row>
    <row r="16002" spans="1:14" x14ac:dyDescent="0.15">
      <c r="A16002" s="23" t="str">
        <f>HYPERLINK("https://www.spark-marketing.ru/Card/Person/246951", "ГБУСОН РО ""СРЦ Г. КРАСНОГО СУЛИНА""")</f>
        <v>ГБУСОН РО "СРЦ Г. КРАСНОГО СУЛИНА"</v>
      </c>
      <c r="B16002" s="24" t="s">
        <v>18361</v>
      </c>
      <c r="C16002" s="25">
        <v>10000</v>
      </c>
      <c r="D16002" s="22" t="s">
        <v>18372</v>
      </c>
      <c r="E16002" s="22" t="s">
        <v>68</v>
      </c>
      <c r="F16002" s="23" t="str">
        <f>HYPERLINK("https://www.spark-marketing.ru/Card/Lot/67684035", "Техническое обслуживание системы наружного видеонаблюдения")</f>
        <v>Техническое обслуживание системы наружного видеонаблюдения</v>
      </c>
      <c r="G16002" s="22" t="s">
        <v>402</v>
      </c>
      <c r="H16002" s="22" t="s">
        <v>10454</v>
      </c>
      <c r="I16002" s="26">
        <v>43500</v>
      </c>
      <c r="J16002" s="28" t="s">
        <v>52</v>
      </c>
      <c r="K16002" s="28" t="s">
        <v>52</v>
      </c>
      <c r="L16002" s="28" t="s">
        <v>52</v>
      </c>
      <c r="M16002" s="28" t="s">
        <v>52</v>
      </c>
      <c r="N16002" s="28" t="s">
        <v>52</v>
      </c>
    </row>
    <row r="16003" spans="1:14" hidden="1" outlineLevel="1" x14ac:dyDescent="0.2">
      <c r="A16003" s="23" t="str">
        <f>HYPERLINK("https://www.spark-marketing.ru/Card/Person/246951", "ГБУСОН РО ""СРЦ Г. КРАСНОГО СУЛИНА""")</f>
        <v>ГБУСОН РО "СРЦ Г. КРАСНОГО СУЛИНА"</v>
      </c>
      <c r="B16003" s="24" t="s">
        <v>18361</v>
      </c>
      <c r="C16003" s="25">
        <v>10000</v>
      </c>
      <c r="D16003" s="22" t="s">
        <v>18372</v>
      </c>
      <c r="E16003" s="22" t="s">
        <v>68</v>
      </c>
      <c r="F16003" s="23" t="str">
        <f>HYPERLINK("https://www.spark-marketing.ru/Card/Lot/67684035", "Техническое обслуживание системы наружного видеонаблюдения")</f>
        <v>Техническое обслуживание системы наружного видеонаблюдения</v>
      </c>
      <c r="G16003" s="22" t="s">
        <v>402</v>
      </c>
      <c r="H16003" s="22" t="s">
        <v>10454</v>
      </c>
      <c r="I16003" s="26">
        <v>43500</v>
      </c>
      <c r="J16003" s="23" t="str">
        <f>HYPERLINK("https://www.spark-marketing.ru/Card/Person/4713397", "ООО ""ДОН-СЕРВИС""")</f>
        <v>ООО "ДОН-СЕРВИС"</v>
      </c>
      <c r="K16003" s="24" t="s">
        <v>18373</v>
      </c>
      <c r="L16003" s="28" t="s">
        <v>52</v>
      </c>
      <c r="M16003" s="25">
        <v>7000</v>
      </c>
      <c r="N16003" s="27">
        <v>0.3</v>
      </c>
    </row>
    <row r="16004" spans="1:14" ht="12.75" hidden="1" outlineLevel="1" x14ac:dyDescent="0.2">
      <c r="A16004" s="23" t="str">
        <f>HYPERLINK("https://www.spark-marketing.ru/Card/Person/246951", "ГБУСОН РО ""СРЦ Г. КРАСНОГО СУЛИНА""")</f>
        <v>ГБУСОН РО "СРЦ Г. КРАСНОГО СУЛИНА"</v>
      </c>
      <c r="B16004" s="24" t="s">
        <v>18361</v>
      </c>
      <c r="C16004" s="25">
        <v>10000</v>
      </c>
      <c r="D16004" s="22" t="s">
        <v>18372</v>
      </c>
      <c r="E16004" s="22" t="s">
        <v>68</v>
      </c>
      <c r="F16004" s="23" t="str">
        <f>HYPERLINK("https://www.spark-marketing.ru/Card/Lot/67684035", "Техническое обслуживание системы наружного видеонаблюдения")</f>
        <v>Техническое обслуживание системы наружного видеонаблюдения</v>
      </c>
      <c r="G16004" s="22" t="s">
        <v>402</v>
      </c>
      <c r="H16004" s="22" t="s">
        <v>10454</v>
      </c>
      <c r="I16004" s="26">
        <v>43500</v>
      </c>
      <c r="J16004" s="23" t="str">
        <f>HYPERLINK("https://www.spark-marketing.ru/Card/Person/1460808", "Санюкович Артём Андреевич")</f>
        <v>Санюкович Артём Андреевич</v>
      </c>
      <c r="K16004" s="24" t="s">
        <v>18374</v>
      </c>
      <c r="L16004" s="22" t="s">
        <v>10</v>
      </c>
      <c r="M16004" s="25">
        <v>5500</v>
      </c>
      <c r="N16004" s="27">
        <v>0.45</v>
      </c>
    </row>
    <row r="16005" spans="1:14" hidden="1" outlineLevel="1" x14ac:dyDescent="0.2">
      <c r="A16005" s="23" t="str">
        <f>HYPERLINK("https://www.spark-marketing.ru/Card/Person/246951", "ГБУСОН РО ""СРЦ Г. КРАСНОГО СУЛИНА""")</f>
        <v>ГБУСОН РО "СРЦ Г. КРАСНОГО СУЛИНА"</v>
      </c>
      <c r="B16005" s="24" t="s">
        <v>18361</v>
      </c>
      <c r="C16005" s="25">
        <v>10000</v>
      </c>
      <c r="D16005" s="22" t="s">
        <v>18372</v>
      </c>
      <c r="E16005" s="22" t="s">
        <v>68</v>
      </c>
      <c r="F16005" s="23" t="str">
        <f>HYPERLINK("https://www.spark-marketing.ru/Card/Lot/67684035", "Техническое обслуживание системы наружного видеонаблюдения")</f>
        <v>Техническое обслуживание системы наружного видеонаблюдения</v>
      </c>
      <c r="G16005" s="22" t="s">
        <v>402</v>
      </c>
      <c r="H16005" s="22" t="s">
        <v>10454</v>
      </c>
      <c r="I16005" s="26">
        <v>43500</v>
      </c>
      <c r="J16005" s="23" t="str">
        <f>HYPERLINK("https://www.spark-marketing.ru/Card/Person/425632", "Пегушин Дмитрий Александрович")</f>
        <v>Пегушин Дмитрий Александрович</v>
      </c>
      <c r="K16005" s="24" t="s">
        <v>13625</v>
      </c>
      <c r="L16005" s="28" t="s">
        <v>52</v>
      </c>
      <c r="M16005" s="25">
        <v>5500</v>
      </c>
      <c r="N16005" s="27">
        <v>0.45</v>
      </c>
    </row>
    <row r="16006" spans="1:14" x14ac:dyDescent="0.15">
      <c r="A16006" s="23" t="str">
        <f>HYPERLINK("https://www.spark-marketing.ru/Card/Person/1277", "СУ СК РОССИИ ПО РЕСПУБЛИКЕ БАШКОРТОСТАН")</f>
        <v>СУ СК РОССИИ ПО РЕСПУБЛИКЕ БАШКОРТОСТАН</v>
      </c>
      <c r="B16006" s="24" t="s">
        <v>6184</v>
      </c>
      <c r="C16006" s="25">
        <v>1282348.8</v>
      </c>
      <c r="D16006" s="22" t="s">
        <v>18375</v>
      </c>
      <c r="E16006" s="22" t="s">
        <v>68</v>
      </c>
      <c r="F16006" s="23" t="str">
        <f>HYPERLINK("https://www.spark-marketing.ru/Card/Lot/67663450", "Военизированная охрана объектов следственного управления Следственного комитета Российской Федерации по Республике Башкортостан")</f>
        <v>Военизированная охрана объектов следственного управления Следственного комитета Российской Федерации по Республике Башкортостан</v>
      </c>
      <c r="G16006" s="22" t="s">
        <v>100</v>
      </c>
      <c r="H16006" s="22" t="s">
        <v>100</v>
      </c>
      <c r="I16006" s="26">
        <v>43500</v>
      </c>
      <c r="J16006" s="28" t="s">
        <v>52</v>
      </c>
      <c r="K16006" s="28" t="s">
        <v>52</v>
      </c>
      <c r="L16006" s="28" t="s">
        <v>52</v>
      </c>
      <c r="M16006" s="28" t="s">
        <v>52</v>
      </c>
      <c r="N16006" s="28" t="s">
        <v>52</v>
      </c>
    </row>
    <row r="16007" spans="1:14" x14ac:dyDescent="0.15">
      <c r="A16007" s="23" t="str">
        <f>HYPERLINK("https://www.spark-marketing.ru/Card/Person/148031", "МАДОУ ""ДЕТСКИЙ САД ПРИСМОТРА И ОЗДОРОВЛЕНИЯ ДЛЯ ДЕТЕЙ С УРОЛОГИЧЕСКИМИ ЗАБОЛЕВАНИЯМИ №64"" НМР РТ")</f>
        <v>МАДОУ "ДЕТСКИЙ САД ПРИСМОТРА И ОЗДОРОВЛЕНИЯ ДЛЯ ДЕТЕЙ С УРОЛОГИЧЕСКИМИ ЗАБОЛЕВАНИЯМИ №64" НМР РТ</v>
      </c>
      <c r="B16007" s="24" t="s">
        <v>15116</v>
      </c>
      <c r="C16007" s="25">
        <v>5000</v>
      </c>
      <c r="D16007" s="22" t="s">
        <v>18376</v>
      </c>
      <c r="E16007" s="22" t="s">
        <v>53</v>
      </c>
      <c r="F16007" s="23" t="str">
        <f>HYPERLINK("https://www.spark-marketing.ru/Card/Lot/73684108", "Техническое обслуживание системы видеонаблюдения")</f>
        <v>Техническое обслуживание системы видеонаблюдения</v>
      </c>
      <c r="G16007" s="22" t="s">
        <v>204</v>
      </c>
      <c r="H16007" s="22" t="s">
        <v>824</v>
      </c>
      <c r="I16007" s="26">
        <v>43500.000694444403</v>
      </c>
      <c r="J16007" s="28" t="s">
        <v>52</v>
      </c>
      <c r="K16007" s="28" t="s">
        <v>52</v>
      </c>
      <c r="L16007" s="28" t="s">
        <v>52</v>
      </c>
      <c r="M16007" s="28" t="s">
        <v>52</v>
      </c>
      <c r="N16007" s="28" t="s">
        <v>52</v>
      </c>
    </row>
    <row r="16008" spans="1:14" x14ac:dyDescent="0.15">
      <c r="A16008" s="23" t="str">
        <f>HYPERLINK("https://www.spark-marketing.ru/Card/Person/1016052", "ФБУ КЕМЕРОВСКАЯ ЛСЭ МИНЮСТА РОССИИ")</f>
        <v>ФБУ КЕМЕРОВСКАЯ ЛСЭ МИНЮСТА РОССИИ</v>
      </c>
      <c r="B16008" s="24" t="s">
        <v>18318</v>
      </c>
      <c r="C16008" s="25">
        <v>90484.32</v>
      </c>
      <c r="D16008" s="22" t="s">
        <v>18377</v>
      </c>
      <c r="E16008" s="22" t="s">
        <v>68</v>
      </c>
      <c r="F16008" s="23" t="str">
        <f>HYPERLINK("https://www.spark-marketing.ru/Card/Lot/67660717", "Охрана имущества")</f>
        <v>Охрана имущества</v>
      </c>
      <c r="G16008" s="22" t="s">
        <v>367</v>
      </c>
      <c r="H16008" s="22" t="s">
        <v>881</v>
      </c>
      <c r="I16008" s="26">
        <v>43500</v>
      </c>
      <c r="J16008" s="28" t="s">
        <v>52</v>
      </c>
      <c r="K16008" s="28" t="s">
        <v>52</v>
      </c>
      <c r="L16008" s="28" t="s">
        <v>52</v>
      </c>
      <c r="M16008" s="28" t="s">
        <v>52</v>
      </c>
      <c r="N16008" s="28" t="s">
        <v>52</v>
      </c>
    </row>
    <row r="16009" spans="1:14" x14ac:dyDescent="0.15">
      <c r="A16009" s="23" t="str">
        <f>HYPERLINK("https://www.spark-marketing.ru/Card/Person/1641", "ГКУ ""БУРЯТРЕГИОНАВТОДОР""")</f>
        <v>ГКУ "БУРЯТРЕГИОНАВТОДОР"</v>
      </c>
      <c r="B16009" s="24" t="s">
        <v>18378</v>
      </c>
      <c r="C16009" s="25">
        <v>345000</v>
      </c>
      <c r="D16009" s="22" t="s">
        <v>18379</v>
      </c>
      <c r="E16009" s="22" t="s">
        <v>491</v>
      </c>
      <c r="F16009" s="23" t="str">
        <f>HYPERLINK("https://www.spark-marketing.ru/Card/Lot/67661424", "Выполнение работ по разработке плана обеспечения транспортной безопасности объектов транспортной инфраструктуры и транспортных средств внутреннего водного транспорта Татауровской паромной переправы Республики Бурятия")</f>
        <v>Выполнение работ по разработке плана обеспечения транспортной безопасности объектов транспортной инфраструктуры и транспортных средств внутреннего водного транспорта Татауровской паромной переправы Республики Бурятия</v>
      </c>
      <c r="G16009" s="22" t="s">
        <v>354</v>
      </c>
      <c r="H16009" s="22" t="s">
        <v>18380</v>
      </c>
      <c r="I16009" s="26">
        <v>43500</v>
      </c>
      <c r="J16009" s="28" t="s">
        <v>52</v>
      </c>
      <c r="K16009" s="28" t="s">
        <v>52</v>
      </c>
      <c r="L16009" s="28" t="s">
        <v>52</v>
      </c>
      <c r="M16009" s="28" t="s">
        <v>52</v>
      </c>
      <c r="N16009" s="28" t="s">
        <v>52</v>
      </c>
    </row>
    <row r="16010" spans="1:14" ht="12.75" hidden="1" outlineLevel="1" x14ac:dyDescent="0.2">
      <c r="A16010" s="23" t="str">
        <f>HYPERLINK("https://www.spark-marketing.ru/Card/Person/1641", "ГКУ ""БУРЯТРЕГИОНАВТОДОР""")</f>
        <v>ГКУ "БУРЯТРЕГИОНАВТОДОР"</v>
      </c>
      <c r="B16010" s="24" t="s">
        <v>18378</v>
      </c>
      <c r="C16010" s="25">
        <v>345000</v>
      </c>
      <c r="D16010" s="22" t="s">
        <v>18379</v>
      </c>
      <c r="E16010" s="22" t="s">
        <v>491</v>
      </c>
      <c r="F16010" s="23" t="str">
        <f>HYPERLINK("https://www.spark-marketing.ru/Card/Lot/67661424", "Выполнение работ по разработке плана обеспечения транспортной безопасности объектов транспортной инфраструктуры и транспортных средств внутреннего водного транспорта Татауровской паромной переправы Республики Бурятия")</f>
        <v>Выполнение работ по разработке плана обеспечения транспортной безопасности объектов транспортной инфраструктуры и транспортных средств внутреннего водного транспорта Татауровской паромной переправы Республики Бурятия</v>
      </c>
      <c r="G16010" s="22" t="s">
        <v>354</v>
      </c>
      <c r="H16010" s="22" t="s">
        <v>18380</v>
      </c>
      <c r="I16010" s="26">
        <v>43500</v>
      </c>
      <c r="J16010" s="23" t="str">
        <f>HYPERLINK("https://www.spark-marketing.ru/Card/Person/244248", "ООО ""ДАЛЬЦЕНТРАВИА""")</f>
        <v>ООО "ДАЛЬЦЕНТРАВИА"</v>
      </c>
      <c r="K16010" s="24" t="s">
        <v>5795</v>
      </c>
      <c r="L16010" s="22" t="s">
        <v>10</v>
      </c>
      <c r="M16010" s="25">
        <v>243000</v>
      </c>
      <c r="N16010" s="27">
        <v>0.29565217391304349</v>
      </c>
    </row>
    <row r="16011" spans="1:14" hidden="1" outlineLevel="1" x14ac:dyDescent="0.2">
      <c r="A16011" s="23" t="str">
        <f>HYPERLINK("https://www.spark-marketing.ru/Card/Person/1641", "ГКУ ""БУРЯТРЕГИОНАВТОДОР""")</f>
        <v>ГКУ "БУРЯТРЕГИОНАВТОДОР"</v>
      </c>
      <c r="B16011" s="24" t="s">
        <v>18378</v>
      </c>
      <c r="C16011" s="25">
        <v>345000</v>
      </c>
      <c r="D16011" s="22" t="s">
        <v>18379</v>
      </c>
      <c r="E16011" s="22" t="s">
        <v>491</v>
      </c>
      <c r="F16011" s="23" t="str">
        <f>HYPERLINK("https://www.spark-marketing.ru/Card/Lot/67661424", "Выполнение работ по разработке плана обеспечения транспортной безопасности объектов транспортной инфраструктуры и транспортных средств внутреннего водного транспорта Татауровской паромной переправы Республики Бурятия")</f>
        <v>Выполнение работ по разработке плана обеспечения транспортной безопасности объектов транспортной инфраструктуры и транспортных средств внутреннего водного транспорта Татауровской паромной переправы Республики Бурятия</v>
      </c>
      <c r="G16011" s="22" t="s">
        <v>354</v>
      </c>
      <c r="H16011" s="22" t="s">
        <v>18380</v>
      </c>
      <c r="I16011" s="26">
        <v>43500</v>
      </c>
      <c r="J16011" s="23" t="str">
        <f>HYPERLINK("https://www.spark-marketing.ru/Card/Person/2038990", "ООО ""СТБ""")</f>
        <v>ООО "СТБ"</v>
      </c>
      <c r="K16011" s="24" t="s">
        <v>2244</v>
      </c>
      <c r="L16011" s="28" t="s">
        <v>52</v>
      </c>
      <c r="M16011" s="25">
        <v>329800</v>
      </c>
      <c r="N16011" s="27">
        <v>4.4057971014492756E-2</v>
      </c>
    </row>
    <row r="16012" spans="1:14" x14ac:dyDescent="0.15">
      <c r="A16012" s="23" t="str">
        <f>HYPERLINK("https://www.spark-marketing.ru/Card/Person/149110", "МАДОУ ""ДЕТСКИЙ САД ОБЩЕРАЗВИВАЮЩЕГО ВИДА №84"" НМР РТ")</f>
        <v>МАДОУ "ДЕТСКИЙ САД ОБЩЕРАЗВИВАЮЩЕГО ВИДА №84" НМР РТ</v>
      </c>
      <c r="B16012" s="24" t="s">
        <v>15129</v>
      </c>
      <c r="C16012" s="25">
        <v>3660</v>
      </c>
      <c r="D16012" s="22" t="s">
        <v>18381</v>
      </c>
      <c r="E16012" s="22" t="s">
        <v>53</v>
      </c>
      <c r="F16012" s="23" t="str">
        <f>HYPERLINK("https://www.spark-marketing.ru/Card/Lot/73683112", "Техническое обслуживание системы видеонаблюдения")</f>
        <v>Техническое обслуживание системы видеонаблюдения</v>
      </c>
      <c r="G16012" s="22" t="s">
        <v>204</v>
      </c>
      <c r="H16012" s="22" t="s">
        <v>824</v>
      </c>
      <c r="I16012" s="26">
        <v>43500.000694444403</v>
      </c>
      <c r="J16012" s="28" t="s">
        <v>52</v>
      </c>
      <c r="K16012" s="28" t="s">
        <v>52</v>
      </c>
      <c r="L16012" s="28" t="s">
        <v>52</v>
      </c>
      <c r="M16012" s="28" t="s">
        <v>52</v>
      </c>
      <c r="N16012" s="28" t="s">
        <v>52</v>
      </c>
    </row>
    <row r="16013" spans="1:14" x14ac:dyDescent="0.15">
      <c r="A16013" s="23" t="str">
        <f>HYPERLINK("https://www.spark-marketing.ru/Card/Person/4349178", "АРБИТРАЖНЫЙ СУД РЕСПУБЛИКИ БАШКОРТОСТАН")</f>
        <v>АРБИТРАЖНЫЙ СУД РЕСПУБЛИКИ БАШКОРТОСТАН</v>
      </c>
      <c r="B16013" s="24" t="s">
        <v>7901</v>
      </c>
      <c r="C16013" s="25">
        <v>1808119.44</v>
      </c>
      <c r="D16013" s="22" t="s">
        <v>18382</v>
      </c>
      <c r="E16013" s="22" t="s">
        <v>5267</v>
      </c>
      <c r="F16013" s="23" t="str">
        <f>HYPERLINK("https://www.spark-marketing.ru/Card/Lot/67679395", "Физическая охрана и осуществления внутриобъектового и пропускного режима, путем выставления военнизированных постов охраны на объектах Заказчика")</f>
        <v>Физическая охрана и осуществления внутриобъектового и пропускного режима, путем выставления военнизированных постов охраны на объектах Заказчика</v>
      </c>
      <c r="G16013" s="22" t="s">
        <v>100</v>
      </c>
      <c r="H16013" s="22" t="s">
        <v>373</v>
      </c>
      <c r="I16013" s="26">
        <v>43500</v>
      </c>
      <c r="J16013" s="28" t="s">
        <v>52</v>
      </c>
      <c r="K16013" s="28" t="s">
        <v>52</v>
      </c>
      <c r="L16013" s="28" t="s">
        <v>52</v>
      </c>
      <c r="M16013" s="28" t="s">
        <v>52</v>
      </c>
      <c r="N16013" s="28" t="s">
        <v>52</v>
      </c>
    </row>
    <row r="16014" spans="1:14" x14ac:dyDescent="0.15">
      <c r="A16014" s="23" t="str">
        <f>HYPERLINK("https://www.spark-marketing.ru/Card/Person/107391", "МБУ ЦНК ""РАДУГА""")</f>
        <v>МБУ ЦНК "РАДУГА"</v>
      </c>
      <c r="B16014" s="24" t="s">
        <v>18383</v>
      </c>
      <c r="C16014" s="25">
        <v>1282480</v>
      </c>
      <c r="D16014" s="22" t="s">
        <v>18384</v>
      </c>
      <c r="E16014" s="22" t="s">
        <v>68</v>
      </c>
      <c r="F16014" s="23" t="str">
        <f>HYPERLINK("https://www.spark-marketing.ru/Card/Lot/67659607", "Оказание охранных услуг")</f>
        <v>Оказание охранных услуг</v>
      </c>
      <c r="G16014" s="22" t="s">
        <v>69</v>
      </c>
      <c r="H16014" s="22" t="s">
        <v>973</v>
      </c>
      <c r="I16014" s="26">
        <v>43500</v>
      </c>
      <c r="J16014" s="28" t="s">
        <v>52</v>
      </c>
      <c r="K16014" s="28" t="s">
        <v>52</v>
      </c>
      <c r="L16014" s="28" t="s">
        <v>52</v>
      </c>
      <c r="M16014" s="28" t="s">
        <v>52</v>
      </c>
      <c r="N16014" s="28" t="s">
        <v>52</v>
      </c>
    </row>
    <row r="16015" spans="1:14" hidden="1" outlineLevel="1" x14ac:dyDescent="0.2">
      <c r="A16015" s="23" t="str">
        <f>HYPERLINK("https://www.spark-marketing.ru/Card/Person/107391", "МБУ ЦНК ""РАДУГА""")</f>
        <v>МБУ ЦНК "РАДУГА"</v>
      </c>
      <c r="B16015" s="24" t="s">
        <v>18383</v>
      </c>
      <c r="C16015" s="25">
        <v>1282480</v>
      </c>
      <c r="D16015" s="22" t="s">
        <v>18384</v>
      </c>
      <c r="E16015" s="22" t="s">
        <v>68</v>
      </c>
      <c r="F16015" s="23" t="str">
        <f>HYPERLINK("https://www.spark-marketing.ru/Card/Lot/67659607", "Оказание охранных услуг")</f>
        <v>Оказание охранных услуг</v>
      </c>
      <c r="G16015" s="22" t="s">
        <v>69</v>
      </c>
      <c r="H16015" s="22" t="s">
        <v>973</v>
      </c>
      <c r="I16015" s="26">
        <v>43500</v>
      </c>
      <c r="J16015" s="23" t="str">
        <f>HYPERLINK("https://www.spark-marketing.ru/Card/Person/2593395", "ООО ЧОП ""ИРБИС-Т""")</f>
        <v>ООО ЧОП "ИРБИС-Т"</v>
      </c>
      <c r="K16015" s="24" t="s">
        <v>7697</v>
      </c>
      <c r="L16015" s="28" t="s">
        <v>52</v>
      </c>
      <c r="M16015" s="25">
        <v>1179881.6000000001</v>
      </c>
      <c r="N16015" s="27">
        <v>0.08</v>
      </c>
    </row>
    <row r="16016" spans="1:14" hidden="1" outlineLevel="1" x14ac:dyDescent="0.2">
      <c r="A16016" s="23" t="str">
        <f>HYPERLINK("https://www.spark-marketing.ru/Card/Person/107391", "МБУ ЦНК ""РАДУГА""")</f>
        <v>МБУ ЦНК "РАДУГА"</v>
      </c>
      <c r="B16016" s="24" t="s">
        <v>18383</v>
      </c>
      <c r="C16016" s="25">
        <v>1282480</v>
      </c>
      <c r="D16016" s="22" t="s">
        <v>18384</v>
      </c>
      <c r="E16016" s="22" t="s">
        <v>68</v>
      </c>
      <c r="F16016" s="23" t="str">
        <f>HYPERLINK("https://www.spark-marketing.ru/Card/Lot/67659607", "Оказание охранных услуг")</f>
        <v>Оказание охранных услуг</v>
      </c>
      <c r="G16016" s="22" t="s">
        <v>69</v>
      </c>
      <c r="H16016" s="22" t="s">
        <v>973</v>
      </c>
      <c r="I16016" s="26">
        <v>43500</v>
      </c>
      <c r="J16016" s="23" t="str">
        <f>HYPERLINK("https://www.spark-marketing.ru/Card/Person/795465", "ООО ОА ""СЛУЖБА БЕЗОПАСНОСТИ БИЗНЕСА""")</f>
        <v>ООО ОА "СЛУЖБА БЕЗОПАСНОСТИ БИЗНЕСА"</v>
      </c>
      <c r="K16016" s="24" t="s">
        <v>18385</v>
      </c>
      <c r="L16016" s="28" t="s">
        <v>52</v>
      </c>
      <c r="M16016" s="25">
        <v>1263242.8</v>
      </c>
      <c r="N16016" s="27">
        <v>1.4999999999999999E-2</v>
      </c>
    </row>
    <row r="16017" spans="1:14" ht="12.75" hidden="1" outlineLevel="1" x14ac:dyDescent="0.2">
      <c r="A16017" s="23" t="str">
        <f>HYPERLINK("https://www.spark-marketing.ru/Card/Person/107391", "МБУ ЦНК ""РАДУГА""")</f>
        <v>МБУ ЦНК "РАДУГА"</v>
      </c>
      <c r="B16017" s="24" t="s">
        <v>18383</v>
      </c>
      <c r="C16017" s="25">
        <v>1282480</v>
      </c>
      <c r="D16017" s="22" t="s">
        <v>18384</v>
      </c>
      <c r="E16017" s="22" t="s">
        <v>68</v>
      </c>
      <c r="F16017" s="23" t="str">
        <f>HYPERLINK("https://www.spark-marketing.ru/Card/Lot/67659607", "Оказание охранных услуг")</f>
        <v>Оказание охранных услуг</v>
      </c>
      <c r="G16017" s="22" t="s">
        <v>69</v>
      </c>
      <c r="H16017" s="22" t="s">
        <v>973</v>
      </c>
      <c r="I16017" s="26">
        <v>43500</v>
      </c>
      <c r="J16017" s="23" t="str">
        <f>HYPERLINK("https://www.spark-marketing.ru/Card/Person/548899", "ООО ОА ""САТУРН""")</f>
        <v>ООО ОА "САТУРН"</v>
      </c>
      <c r="K16017" s="24" t="s">
        <v>18386</v>
      </c>
      <c r="L16017" s="22" t="s">
        <v>10</v>
      </c>
      <c r="M16017" s="25">
        <v>1115757.6000000001</v>
      </c>
      <c r="N16017" s="27">
        <v>0.13</v>
      </c>
    </row>
    <row r="16018" spans="1:14" x14ac:dyDescent="0.15">
      <c r="A16018" s="23" t="str">
        <f t="shared" ref="A16018:A16026" si="835">HYPERLINK("https://www.spark-marketing.ru/Card/Person/4346949", "МИ ФНС РОССИИ ПО ЦЕНАМ")</f>
        <v>МИ ФНС РОССИИ ПО ЦЕНАМ</v>
      </c>
      <c r="B16018" s="24" t="s">
        <v>18387</v>
      </c>
      <c r="C16018" s="25">
        <v>2276666.67</v>
      </c>
      <c r="D16018" s="22" t="s">
        <v>18388</v>
      </c>
      <c r="E16018" s="22" t="s">
        <v>68</v>
      </c>
      <c r="F16018" s="23" t="str">
        <f t="shared" ref="F16018:F16026" si="836">HYPERLINK("https://www.spark-marketing.ru/Card/Lot/67685492", "Оказание услуг по охране административного здания Инспекции")</f>
        <v>Оказание услуг по охране административного здания Инспекции</v>
      </c>
      <c r="G16018" s="22" t="s">
        <v>55</v>
      </c>
      <c r="H16018" s="22" t="s">
        <v>55</v>
      </c>
      <c r="I16018" s="26">
        <v>43500</v>
      </c>
      <c r="J16018" s="28" t="s">
        <v>52</v>
      </c>
      <c r="K16018" s="28" t="s">
        <v>52</v>
      </c>
      <c r="L16018" s="28" t="s">
        <v>52</v>
      </c>
      <c r="M16018" s="28" t="s">
        <v>52</v>
      </c>
      <c r="N16018" s="28" t="s">
        <v>52</v>
      </c>
    </row>
    <row r="16019" spans="1:14" hidden="1" outlineLevel="1" x14ac:dyDescent="0.2">
      <c r="A16019" s="23" t="str">
        <f t="shared" si="835"/>
        <v>МИ ФНС РОССИИ ПО ЦЕНАМ</v>
      </c>
      <c r="B16019" s="24" t="s">
        <v>18387</v>
      </c>
      <c r="C16019" s="25">
        <v>2276666.67</v>
      </c>
      <c r="D16019" s="22" t="s">
        <v>18388</v>
      </c>
      <c r="E16019" s="22" t="s">
        <v>68</v>
      </c>
      <c r="F16019" s="23" t="str">
        <f t="shared" si="836"/>
        <v>Оказание услуг по охране административного здания Инспекции</v>
      </c>
      <c r="G16019" s="22" t="s">
        <v>55</v>
      </c>
      <c r="H16019" s="22" t="s">
        <v>55</v>
      </c>
      <c r="I16019" s="26">
        <v>43500</v>
      </c>
      <c r="J16019" s="23" t="str">
        <f>HYPERLINK("https://www.spark-marketing.ru/Card/Person/74474", "ООО ЧОО ""ОЛИМП""")</f>
        <v>ООО ЧОО "ОЛИМП"</v>
      </c>
      <c r="K16019" s="24" t="s">
        <v>15213</v>
      </c>
      <c r="L16019" s="28" t="s">
        <v>52</v>
      </c>
      <c r="M16019" s="25">
        <v>1098500.07</v>
      </c>
      <c r="N16019" s="27">
        <v>0.51749630963763349</v>
      </c>
    </row>
    <row r="16020" spans="1:14" ht="12.75" hidden="1" outlineLevel="1" x14ac:dyDescent="0.2">
      <c r="A16020" s="23" t="str">
        <f t="shared" si="835"/>
        <v>МИ ФНС РОССИИ ПО ЦЕНАМ</v>
      </c>
      <c r="B16020" s="24" t="s">
        <v>18387</v>
      </c>
      <c r="C16020" s="25">
        <v>2276666.67</v>
      </c>
      <c r="D16020" s="22" t="s">
        <v>18388</v>
      </c>
      <c r="E16020" s="22" t="s">
        <v>68</v>
      </c>
      <c r="F16020" s="23" t="str">
        <f t="shared" si="836"/>
        <v>Оказание услуг по охране административного здания Инспекции</v>
      </c>
      <c r="G16020" s="22" t="s">
        <v>55</v>
      </c>
      <c r="H16020" s="22" t="s">
        <v>55</v>
      </c>
      <c r="I16020" s="26">
        <v>43500</v>
      </c>
      <c r="J16020" s="23" t="str">
        <f>HYPERLINK("https://www.spark-marketing.ru/Card/Person/1341843", "ООО ""ЧОО ""ОБЕРЕГ""")</f>
        <v>ООО "ЧОО "ОБЕРЕГ"</v>
      </c>
      <c r="K16020" s="24" t="s">
        <v>18389</v>
      </c>
      <c r="L16020" s="22" t="s">
        <v>10</v>
      </c>
      <c r="M16020" s="25">
        <v>825300.15</v>
      </c>
      <c r="N16020" s="27">
        <v>0.63749627432284584</v>
      </c>
    </row>
    <row r="16021" spans="1:14" hidden="1" outlineLevel="1" x14ac:dyDescent="0.2">
      <c r="A16021" s="23" t="str">
        <f t="shared" si="835"/>
        <v>МИ ФНС РОССИИ ПО ЦЕНАМ</v>
      </c>
      <c r="B16021" s="24" t="s">
        <v>18387</v>
      </c>
      <c r="C16021" s="25">
        <v>2276666.67</v>
      </c>
      <c r="D16021" s="22" t="s">
        <v>18388</v>
      </c>
      <c r="E16021" s="22" t="s">
        <v>68</v>
      </c>
      <c r="F16021" s="23" t="str">
        <f t="shared" si="836"/>
        <v>Оказание услуг по охране административного здания Инспекции</v>
      </c>
      <c r="G16021" s="22" t="s">
        <v>55</v>
      </c>
      <c r="H16021" s="22" t="s">
        <v>55</v>
      </c>
      <c r="I16021" s="26">
        <v>43500</v>
      </c>
      <c r="J16021" s="23" t="str">
        <f>HYPERLINK("https://www.spark-marketing.ru/Card/Person/6460833", "ООО ЧОО ""КАССИС""")</f>
        <v>ООО ЧОО "КАССИС"</v>
      </c>
      <c r="K16021" s="24" t="s">
        <v>11709</v>
      </c>
      <c r="L16021" s="28" t="s">
        <v>52</v>
      </c>
      <c r="M16021" s="25">
        <v>1320000</v>
      </c>
      <c r="N16021" s="27">
        <v>0.42020497888696196</v>
      </c>
    </row>
    <row r="16022" spans="1:14" hidden="1" outlineLevel="1" x14ac:dyDescent="0.2">
      <c r="A16022" s="23" t="str">
        <f t="shared" si="835"/>
        <v>МИ ФНС РОССИИ ПО ЦЕНАМ</v>
      </c>
      <c r="B16022" s="24" t="s">
        <v>18387</v>
      </c>
      <c r="C16022" s="25">
        <v>2276666.67</v>
      </c>
      <c r="D16022" s="22" t="s">
        <v>18388</v>
      </c>
      <c r="E16022" s="22" t="s">
        <v>68</v>
      </c>
      <c r="F16022" s="23" t="str">
        <f t="shared" si="836"/>
        <v>Оказание услуг по охране административного здания Инспекции</v>
      </c>
      <c r="G16022" s="22" t="s">
        <v>55</v>
      </c>
      <c r="H16022" s="22" t="s">
        <v>55</v>
      </c>
      <c r="I16022" s="26">
        <v>43500</v>
      </c>
      <c r="J16022" s="23" t="str">
        <f>HYPERLINK("https://www.spark-marketing.ru/Card/Person/149191", "ООО ЧОО ""СОКОЛ""")</f>
        <v>ООО ЧОО "СОКОЛ"</v>
      </c>
      <c r="K16022" s="24" t="s">
        <v>16580</v>
      </c>
      <c r="L16022" s="28" t="s">
        <v>52</v>
      </c>
      <c r="M16022" s="25">
        <v>836683.48</v>
      </c>
      <c r="N16022" s="27">
        <v>0.63249627579429535</v>
      </c>
    </row>
    <row r="16023" spans="1:14" hidden="1" outlineLevel="1" x14ac:dyDescent="0.2">
      <c r="A16023" s="23" t="str">
        <f t="shared" si="835"/>
        <v>МИ ФНС РОССИИ ПО ЦЕНАМ</v>
      </c>
      <c r="B16023" s="24" t="s">
        <v>18387</v>
      </c>
      <c r="C16023" s="25">
        <v>2276666.67</v>
      </c>
      <c r="D16023" s="22" t="s">
        <v>18388</v>
      </c>
      <c r="E16023" s="22" t="s">
        <v>68</v>
      </c>
      <c r="F16023" s="23" t="str">
        <f t="shared" si="836"/>
        <v>Оказание услуг по охране административного здания Инспекции</v>
      </c>
      <c r="G16023" s="22" t="s">
        <v>55</v>
      </c>
      <c r="H16023" s="22" t="s">
        <v>55</v>
      </c>
      <c r="I16023" s="26">
        <v>43500</v>
      </c>
      <c r="J16023" s="23" t="str">
        <f>HYPERLINK("https://www.spark-marketing.ru/Card/Person/111246", "ООО ЧОП ""АМУЛЕТ""")</f>
        <v>ООО ЧОП "АМУЛЕТ"</v>
      </c>
      <c r="K16023" s="24" t="s">
        <v>16579</v>
      </c>
      <c r="L16023" s="28" t="s">
        <v>52</v>
      </c>
      <c r="M16023" s="25">
        <v>1166800.05</v>
      </c>
      <c r="N16023" s="27">
        <v>0.4874963184663304</v>
      </c>
    </row>
    <row r="16024" spans="1:14" hidden="1" outlineLevel="1" x14ac:dyDescent="0.2">
      <c r="A16024" s="23" t="str">
        <f t="shared" si="835"/>
        <v>МИ ФНС РОССИИ ПО ЦЕНАМ</v>
      </c>
      <c r="B16024" s="24" t="s">
        <v>18387</v>
      </c>
      <c r="C16024" s="25">
        <v>2276666.67</v>
      </c>
      <c r="D16024" s="22" t="s">
        <v>18388</v>
      </c>
      <c r="E16024" s="22" t="s">
        <v>68</v>
      </c>
      <c r="F16024" s="23" t="str">
        <f t="shared" si="836"/>
        <v>Оказание услуг по охране административного здания Инспекции</v>
      </c>
      <c r="G16024" s="22" t="s">
        <v>55</v>
      </c>
      <c r="H16024" s="22" t="s">
        <v>55</v>
      </c>
      <c r="I16024" s="26">
        <v>43500</v>
      </c>
      <c r="J16024" s="23" t="str">
        <f>HYPERLINK("https://www.spark-marketing.ru/Card/Person/245902", "ООО ЧОО ""ПАРТНЕР""")</f>
        <v>ООО ЧОО "ПАРТНЕР"</v>
      </c>
      <c r="K16024" s="24" t="s">
        <v>15832</v>
      </c>
      <c r="L16024" s="28" t="s">
        <v>52</v>
      </c>
      <c r="M16024" s="25">
        <v>1018816.76</v>
      </c>
      <c r="N16024" s="27">
        <v>0.55249629933748712</v>
      </c>
    </row>
    <row r="16025" spans="1:14" hidden="1" outlineLevel="1" x14ac:dyDescent="0.2">
      <c r="A16025" s="23" t="str">
        <f t="shared" si="835"/>
        <v>МИ ФНС РОССИИ ПО ЦЕНАМ</v>
      </c>
      <c r="B16025" s="24" t="s">
        <v>18387</v>
      </c>
      <c r="C16025" s="25">
        <v>2276666.67</v>
      </c>
      <c r="D16025" s="22" t="s">
        <v>18388</v>
      </c>
      <c r="E16025" s="22" t="s">
        <v>68</v>
      </c>
      <c r="F16025" s="23" t="str">
        <f t="shared" si="836"/>
        <v>Оказание услуг по охране административного здания Инспекции</v>
      </c>
      <c r="G16025" s="22" t="s">
        <v>55</v>
      </c>
      <c r="H16025" s="22" t="s">
        <v>55</v>
      </c>
      <c r="I16025" s="26">
        <v>43500</v>
      </c>
      <c r="J16025" s="23" t="str">
        <f>HYPERLINK("https://www.spark-marketing.ru/Card/Person/1875289", "ООО ЧАСТНОЕ ОХРАННОЕ ПРЕДПРИЯТИЕ ""ПОИСК-ИНТЕР""")</f>
        <v>ООО ЧАСТНОЕ ОХРАННОЕ ПРЕДПРИЯТИЕ "ПОИСК-ИНТЕР"</v>
      </c>
      <c r="K16025" s="24" t="s">
        <v>18390</v>
      </c>
      <c r="L16025" s="28" t="s">
        <v>52</v>
      </c>
      <c r="M16025" s="25">
        <v>1866866.74</v>
      </c>
      <c r="N16025" s="27">
        <v>0.17999996898975115</v>
      </c>
    </row>
    <row r="16026" spans="1:14" hidden="1" outlineLevel="1" x14ac:dyDescent="0.2">
      <c r="A16026" s="23" t="str">
        <f t="shared" si="835"/>
        <v>МИ ФНС РОССИИ ПО ЦЕНАМ</v>
      </c>
      <c r="B16026" s="24" t="s">
        <v>18387</v>
      </c>
      <c r="C16026" s="25">
        <v>2276666.67</v>
      </c>
      <c r="D16026" s="22" t="s">
        <v>18388</v>
      </c>
      <c r="E16026" s="22" t="s">
        <v>68</v>
      </c>
      <c r="F16026" s="23" t="str">
        <f t="shared" si="836"/>
        <v>Оказание услуг по охране административного здания Инспекции</v>
      </c>
      <c r="G16026" s="22" t="s">
        <v>55</v>
      </c>
      <c r="H16026" s="22" t="s">
        <v>55</v>
      </c>
      <c r="I16026" s="26">
        <v>43500</v>
      </c>
      <c r="J16026" s="23" t="str">
        <f>HYPERLINK("https://www.spark-marketing.ru/Card/Person/6496441", "ООО ЧОО ""ЭКСПЕРТ БЕЗОПАСНОСТИ""")</f>
        <v>ООО ЧОО "ЭКСПЕРТ БЕЗОПАСНОСТИ"</v>
      </c>
      <c r="K16026" s="24" t="s">
        <v>18391</v>
      </c>
      <c r="L16026" s="28" t="s">
        <v>52</v>
      </c>
      <c r="M16026" s="25">
        <v>1371700.02</v>
      </c>
      <c r="N16026" s="27">
        <v>0.39749633177526161</v>
      </c>
    </row>
    <row r="16027" spans="1:14" x14ac:dyDescent="0.15">
      <c r="A16027" s="23" t="str">
        <f t="shared" ref="A16027:A16040" si="837">HYPERLINK("https://www.spark-marketing.ru/Card/Person/4527082", "КУ ""ЦЕНТР СПИД""")</f>
        <v>КУ "ЦЕНТР СПИД"</v>
      </c>
      <c r="B16027" s="24" t="s">
        <v>16812</v>
      </c>
      <c r="C16027" s="25">
        <v>92433.3</v>
      </c>
      <c r="D16027" s="22" t="s">
        <v>18392</v>
      </c>
      <c r="E16027" s="22" t="s">
        <v>103</v>
      </c>
      <c r="F16027" s="23" t="str">
        <f t="shared" ref="F16027:F16040" si="838">HYPERLINK("https://www.spark-marketing.ru/Card/Lot/67685785", "Оказание услуг по техническому обслуживанию системы видеонаблюдения филиала КУ ""Центр СПИД"" в г. Сургуте")</f>
        <v>Оказание услуг по техническому обслуживанию системы видеонаблюдения филиала КУ "Центр СПИД" в г. Сургуте</v>
      </c>
      <c r="G16027" s="22" t="s">
        <v>119</v>
      </c>
      <c r="H16027" s="22" t="s">
        <v>2563</v>
      </c>
      <c r="I16027" s="26">
        <v>43500</v>
      </c>
      <c r="J16027" s="28" t="s">
        <v>52</v>
      </c>
      <c r="K16027" s="28" t="s">
        <v>52</v>
      </c>
      <c r="L16027" s="28" t="s">
        <v>52</v>
      </c>
      <c r="M16027" s="28" t="s">
        <v>52</v>
      </c>
      <c r="N16027" s="28" t="s">
        <v>52</v>
      </c>
    </row>
    <row r="16028" spans="1:14" ht="12.75" hidden="1" outlineLevel="1" x14ac:dyDescent="0.2">
      <c r="A16028" s="23" t="str">
        <f t="shared" si="837"/>
        <v>КУ "ЦЕНТР СПИД"</v>
      </c>
      <c r="B16028" s="24" t="s">
        <v>16812</v>
      </c>
      <c r="C16028" s="25">
        <v>92433.3</v>
      </c>
      <c r="D16028" s="22" t="s">
        <v>18392</v>
      </c>
      <c r="E16028" s="22" t="s">
        <v>103</v>
      </c>
      <c r="F16028" s="23" t="str">
        <f t="shared" si="838"/>
        <v>Оказание услуг по техническому обслуживанию системы видеонаблюдения филиала КУ "Центр СПИД" в г. Сургуте</v>
      </c>
      <c r="G16028" s="22" t="s">
        <v>119</v>
      </c>
      <c r="H16028" s="22" t="s">
        <v>2563</v>
      </c>
      <c r="I16028" s="26">
        <v>43500</v>
      </c>
      <c r="J16028" s="23" t="str">
        <f>HYPERLINK("https://www.spark-marketing.ru/Card/Person/1648677", "ООО ""ПРОЕКТСТРОЙМОНТАЖ""")</f>
        <v>ООО "ПРОЕКТСТРОЙМОНТАЖ"</v>
      </c>
      <c r="K16028" s="24" t="s">
        <v>18393</v>
      </c>
      <c r="L16028" s="22" t="s">
        <v>10</v>
      </c>
      <c r="M16028" s="25">
        <v>35000</v>
      </c>
      <c r="N16028" s="27">
        <v>0.6213485832486777</v>
      </c>
    </row>
    <row r="16029" spans="1:14" hidden="1" outlineLevel="1" x14ac:dyDescent="0.2">
      <c r="A16029" s="23" t="str">
        <f t="shared" si="837"/>
        <v>КУ "ЦЕНТР СПИД"</v>
      </c>
      <c r="B16029" s="24" t="s">
        <v>16812</v>
      </c>
      <c r="C16029" s="25">
        <v>92433.3</v>
      </c>
      <c r="D16029" s="22" t="s">
        <v>18392</v>
      </c>
      <c r="E16029" s="22" t="s">
        <v>103</v>
      </c>
      <c r="F16029" s="23" t="str">
        <f t="shared" si="838"/>
        <v>Оказание услуг по техническому обслуживанию системы видеонаблюдения филиала КУ "Центр СПИД" в г. Сургуте</v>
      </c>
      <c r="G16029" s="22" t="s">
        <v>119</v>
      </c>
      <c r="H16029" s="22" t="s">
        <v>2563</v>
      </c>
      <c r="I16029" s="26">
        <v>43500</v>
      </c>
      <c r="J16029" s="23" t="str">
        <f>HYPERLINK("https://www.spark-marketing.ru/Card/Person/1776184", "ООО ""ГОРОД МАСТЕРОВ""")</f>
        <v>ООО "ГОРОД МАСТЕРОВ"</v>
      </c>
      <c r="K16029" s="24" t="s">
        <v>10124</v>
      </c>
      <c r="L16029" s="28" t="s">
        <v>52</v>
      </c>
      <c r="M16029" s="25">
        <v>92433.3</v>
      </c>
      <c r="N16029" s="27">
        <v>0</v>
      </c>
    </row>
    <row r="16030" spans="1:14" hidden="1" outlineLevel="1" x14ac:dyDescent="0.2">
      <c r="A16030" s="23" t="str">
        <f t="shared" si="837"/>
        <v>КУ "ЦЕНТР СПИД"</v>
      </c>
      <c r="B16030" s="24" t="s">
        <v>16812</v>
      </c>
      <c r="C16030" s="25">
        <v>92433.3</v>
      </c>
      <c r="D16030" s="22" t="s">
        <v>18392</v>
      </c>
      <c r="E16030" s="22" t="s">
        <v>103</v>
      </c>
      <c r="F16030" s="23" t="str">
        <f t="shared" si="838"/>
        <v>Оказание услуг по техническому обслуживанию системы видеонаблюдения филиала КУ "Центр СПИД" в г. Сургуте</v>
      </c>
      <c r="G16030" s="22" t="s">
        <v>119</v>
      </c>
      <c r="H16030" s="22" t="s">
        <v>2563</v>
      </c>
      <c r="I16030" s="26">
        <v>43500</v>
      </c>
      <c r="J16030" s="23" t="str">
        <f>HYPERLINK("https://www.spark-marketing.ru/Card/Person/934118", "ООО ""ЦЕНТР ЗАЩИТЫ""")</f>
        <v>ООО "ЦЕНТР ЗАЩИТЫ"</v>
      </c>
      <c r="K16030" s="24" t="s">
        <v>1360</v>
      </c>
      <c r="L16030" s="28" t="s">
        <v>52</v>
      </c>
      <c r="M16030" s="25">
        <v>36000</v>
      </c>
      <c r="N16030" s="27">
        <v>0.61052997134149711</v>
      </c>
    </row>
    <row r="16031" spans="1:14" hidden="1" outlineLevel="1" x14ac:dyDescent="0.2">
      <c r="A16031" s="23" t="str">
        <f t="shared" si="837"/>
        <v>КУ "ЦЕНТР СПИД"</v>
      </c>
      <c r="B16031" s="24" t="s">
        <v>16812</v>
      </c>
      <c r="C16031" s="25">
        <v>92433.3</v>
      </c>
      <c r="D16031" s="22" t="s">
        <v>18392</v>
      </c>
      <c r="E16031" s="22" t="s">
        <v>103</v>
      </c>
      <c r="F16031" s="23" t="str">
        <f t="shared" si="838"/>
        <v>Оказание услуг по техническому обслуживанию системы видеонаблюдения филиала КУ "Центр СПИД" в г. Сургуте</v>
      </c>
      <c r="G16031" s="22" t="s">
        <v>119</v>
      </c>
      <c r="H16031" s="22" t="s">
        <v>2563</v>
      </c>
      <c r="I16031" s="26">
        <v>43500</v>
      </c>
      <c r="J16031" s="23" t="str">
        <f>HYPERLINK("https://www.spark-marketing.ru/Card/Person/932332", "ООО ""ВСС""")</f>
        <v>ООО "ВСС"</v>
      </c>
      <c r="K16031" s="24" t="s">
        <v>1331</v>
      </c>
      <c r="L16031" s="28" t="s">
        <v>52</v>
      </c>
      <c r="M16031" s="25">
        <v>45000</v>
      </c>
      <c r="N16031" s="27">
        <v>0.51316246417687128</v>
      </c>
    </row>
    <row r="16032" spans="1:14" hidden="1" outlineLevel="1" x14ac:dyDescent="0.2">
      <c r="A16032" s="23" t="str">
        <f t="shared" si="837"/>
        <v>КУ "ЦЕНТР СПИД"</v>
      </c>
      <c r="B16032" s="24" t="s">
        <v>16812</v>
      </c>
      <c r="C16032" s="25">
        <v>92433.3</v>
      </c>
      <c r="D16032" s="22" t="s">
        <v>18392</v>
      </c>
      <c r="E16032" s="22" t="s">
        <v>103</v>
      </c>
      <c r="F16032" s="23" t="str">
        <f t="shared" si="838"/>
        <v>Оказание услуг по техническому обслуживанию системы видеонаблюдения филиала КУ "Центр СПИД" в г. Сургуте</v>
      </c>
      <c r="G16032" s="22" t="s">
        <v>119</v>
      </c>
      <c r="H16032" s="22" t="s">
        <v>2563</v>
      </c>
      <c r="I16032" s="26">
        <v>43500</v>
      </c>
      <c r="J16032" s="23" t="str">
        <f>HYPERLINK("https://www.spark-marketing.ru/Card/Person/583409", "ФЛ ФГУП ""ОХРАНА"" Росгвардии по ХМАО-Югре")</f>
        <v>ФЛ ФГУП "ОХРАНА" Росгвардии по ХМАО-Югре</v>
      </c>
      <c r="K16032" s="24" t="s">
        <v>779</v>
      </c>
      <c r="L16032" s="28" t="s">
        <v>52</v>
      </c>
      <c r="M16032" s="25">
        <v>69070.320000000007</v>
      </c>
      <c r="N16032" s="27">
        <v>0.25275501361522307</v>
      </c>
    </row>
    <row r="16033" spans="1:14" hidden="1" outlineLevel="1" x14ac:dyDescent="0.2">
      <c r="A16033" s="23" t="str">
        <f t="shared" si="837"/>
        <v>КУ "ЦЕНТР СПИД"</v>
      </c>
      <c r="B16033" s="24" t="s">
        <v>16812</v>
      </c>
      <c r="C16033" s="25">
        <v>92433.3</v>
      </c>
      <c r="D16033" s="22" t="s">
        <v>18392</v>
      </c>
      <c r="E16033" s="22" t="s">
        <v>103</v>
      </c>
      <c r="F16033" s="23" t="str">
        <f t="shared" si="838"/>
        <v>Оказание услуг по техническому обслуживанию системы видеонаблюдения филиала КУ "Центр СПИД" в г. Сургуте</v>
      </c>
      <c r="G16033" s="22" t="s">
        <v>119</v>
      </c>
      <c r="H16033" s="22" t="s">
        <v>2563</v>
      </c>
      <c r="I16033" s="26">
        <v>43500</v>
      </c>
      <c r="J16033" s="23" t="str">
        <f>HYPERLINK("https://www.spark-marketing.ru/Card/Person/5787365", "Малых Тимофей Иванович")</f>
        <v>Малых Тимофей Иванович</v>
      </c>
      <c r="K16033" s="24" t="s">
        <v>10125</v>
      </c>
      <c r="L16033" s="28" t="s">
        <v>52</v>
      </c>
      <c r="M16033" s="25">
        <v>79900</v>
      </c>
      <c r="N16033" s="27">
        <v>0.13559290861626708</v>
      </c>
    </row>
    <row r="16034" spans="1:14" hidden="1" outlineLevel="1" x14ac:dyDescent="0.2">
      <c r="A16034" s="23" t="str">
        <f t="shared" si="837"/>
        <v>КУ "ЦЕНТР СПИД"</v>
      </c>
      <c r="B16034" s="24" t="s">
        <v>16812</v>
      </c>
      <c r="C16034" s="25">
        <v>92433.3</v>
      </c>
      <c r="D16034" s="22" t="s">
        <v>18392</v>
      </c>
      <c r="E16034" s="22" t="s">
        <v>103</v>
      </c>
      <c r="F16034" s="23" t="str">
        <f t="shared" si="838"/>
        <v>Оказание услуг по техническому обслуживанию системы видеонаблюдения филиала КУ "Центр СПИД" в г. Сургуте</v>
      </c>
      <c r="G16034" s="22" t="s">
        <v>119</v>
      </c>
      <c r="H16034" s="22" t="s">
        <v>2563</v>
      </c>
      <c r="I16034" s="26">
        <v>43500</v>
      </c>
      <c r="J16034" s="23" t="str">
        <f>HYPERLINK("https://www.spark-marketing.ru/Card/Person/858569", "ООО ""ВИТЯЗЬ""")</f>
        <v>ООО "ВИТЯЗЬ"</v>
      </c>
      <c r="K16034" s="24" t="s">
        <v>18394</v>
      </c>
      <c r="L16034" s="28" t="s">
        <v>52</v>
      </c>
      <c r="M16034" s="25">
        <v>50000</v>
      </c>
      <c r="N16034" s="27">
        <v>0.45906940464096813</v>
      </c>
    </row>
    <row r="16035" spans="1:14" hidden="1" outlineLevel="1" x14ac:dyDescent="0.2">
      <c r="A16035" s="23" t="str">
        <f t="shared" si="837"/>
        <v>КУ "ЦЕНТР СПИД"</v>
      </c>
      <c r="B16035" s="24" t="s">
        <v>16812</v>
      </c>
      <c r="C16035" s="25">
        <v>92433.3</v>
      </c>
      <c r="D16035" s="22" t="s">
        <v>18392</v>
      </c>
      <c r="E16035" s="22" t="s">
        <v>103</v>
      </c>
      <c r="F16035" s="23" t="str">
        <f t="shared" si="838"/>
        <v>Оказание услуг по техническому обслуживанию системы видеонаблюдения филиала КУ "Центр СПИД" в г. Сургуте</v>
      </c>
      <c r="G16035" s="22" t="s">
        <v>119</v>
      </c>
      <c r="H16035" s="22" t="s">
        <v>2563</v>
      </c>
      <c r="I16035" s="26">
        <v>43500</v>
      </c>
      <c r="J16035" s="23" t="str">
        <f>HYPERLINK("https://www.spark-marketing.ru/Card/Person/84508", "ООО ""ТЕХНОЛАЙН""")</f>
        <v>ООО "ТЕХНОЛАЙН"</v>
      </c>
      <c r="K16035" s="24" t="s">
        <v>1357</v>
      </c>
      <c r="L16035" s="28" t="s">
        <v>52</v>
      </c>
      <c r="M16035" s="25">
        <v>81300</v>
      </c>
      <c r="N16035" s="27">
        <v>0.12044685194621418</v>
      </c>
    </row>
    <row r="16036" spans="1:14" hidden="1" outlineLevel="1" x14ac:dyDescent="0.2">
      <c r="A16036" s="23" t="str">
        <f t="shared" si="837"/>
        <v>КУ "ЦЕНТР СПИД"</v>
      </c>
      <c r="B16036" s="24" t="s">
        <v>16812</v>
      </c>
      <c r="C16036" s="25">
        <v>92433.3</v>
      </c>
      <c r="D16036" s="22" t="s">
        <v>18392</v>
      </c>
      <c r="E16036" s="22" t="s">
        <v>103</v>
      </c>
      <c r="F16036" s="23" t="str">
        <f t="shared" si="838"/>
        <v>Оказание услуг по техническому обслуживанию системы видеонаблюдения филиала КУ "Центр СПИД" в г. Сургуте</v>
      </c>
      <c r="G16036" s="22" t="s">
        <v>119</v>
      </c>
      <c r="H16036" s="22" t="s">
        <v>2563</v>
      </c>
      <c r="I16036" s="26">
        <v>43500</v>
      </c>
      <c r="J16036" s="23" t="str">
        <f>HYPERLINK("https://www.spark-marketing.ru/Card/Person/4676200", "ООО ""ПРОНЕТ""")</f>
        <v>ООО "ПРОНЕТ"</v>
      </c>
      <c r="K16036" s="24" t="s">
        <v>12566</v>
      </c>
      <c r="L16036" s="28" t="s">
        <v>52</v>
      </c>
      <c r="M16036" s="25">
        <v>45000</v>
      </c>
      <c r="N16036" s="27">
        <v>0.51316246417687128</v>
      </c>
    </row>
    <row r="16037" spans="1:14" hidden="1" outlineLevel="1" x14ac:dyDescent="0.2">
      <c r="A16037" s="23" t="str">
        <f t="shared" si="837"/>
        <v>КУ "ЦЕНТР СПИД"</v>
      </c>
      <c r="B16037" s="24" t="s">
        <v>16812</v>
      </c>
      <c r="C16037" s="25">
        <v>92433.3</v>
      </c>
      <c r="D16037" s="22" t="s">
        <v>18392</v>
      </c>
      <c r="E16037" s="22" t="s">
        <v>103</v>
      </c>
      <c r="F16037" s="23" t="str">
        <f t="shared" si="838"/>
        <v>Оказание услуг по техническому обслуживанию системы видеонаблюдения филиала КУ "Центр СПИД" в г. Сургуте</v>
      </c>
      <c r="G16037" s="22" t="s">
        <v>119</v>
      </c>
      <c r="H16037" s="22" t="s">
        <v>2563</v>
      </c>
      <c r="I16037" s="26">
        <v>43500</v>
      </c>
      <c r="J16037" s="23" t="str">
        <f>HYPERLINK("https://www.spark-marketing.ru/Card/Person/6341351", "Зенов Евгений Юрьевич")</f>
        <v>Зенов Евгений Юрьевич</v>
      </c>
      <c r="K16037" s="24" t="s">
        <v>18395</v>
      </c>
      <c r="L16037" s="28" t="s">
        <v>52</v>
      </c>
      <c r="M16037" s="25">
        <v>76000</v>
      </c>
      <c r="N16037" s="27">
        <v>0.17778549505427158</v>
      </c>
    </row>
    <row r="16038" spans="1:14" hidden="1" outlineLevel="1" x14ac:dyDescent="0.2">
      <c r="A16038" s="23" t="str">
        <f t="shared" si="837"/>
        <v>КУ "ЦЕНТР СПИД"</v>
      </c>
      <c r="B16038" s="24" t="s">
        <v>16812</v>
      </c>
      <c r="C16038" s="25">
        <v>92433.3</v>
      </c>
      <c r="D16038" s="22" t="s">
        <v>18392</v>
      </c>
      <c r="E16038" s="22" t="s">
        <v>103</v>
      </c>
      <c r="F16038" s="23" t="str">
        <f t="shared" si="838"/>
        <v>Оказание услуг по техническому обслуживанию системы видеонаблюдения филиала КУ "Центр СПИД" в г. Сургуте</v>
      </c>
      <c r="G16038" s="22" t="s">
        <v>119</v>
      </c>
      <c r="H16038" s="22" t="s">
        <v>2563</v>
      </c>
      <c r="I16038" s="26">
        <v>43500</v>
      </c>
      <c r="J16038" s="23" t="str">
        <f>HYPERLINK("https://www.spark-marketing.ru/Card/Person/569617", "ООО ""АТЛАС""")</f>
        <v>ООО "АТЛАС"</v>
      </c>
      <c r="K16038" s="24" t="s">
        <v>16602</v>
      </c>
      <c r="L16038" s="28" t="s">
        <v>52</v>
      </c>
      <c r="M16038" s="25">
        <v>44000</v>
      </c>
      <c r="N16038" s="27">
        <v>0.52398107608405198</v>
      </c>
    </row>
    <row r="16039" spans="1:14" hidden="1" outlineLevel="1" x14ac:dyDescent="0.2">
      <c r="A16039" s="23" t="str">
        <f t="shared" si="837"/>
        <v>КУ "ЦЕНТР СПИД"</v>
      </c>
      <c r="B16039" s="24" t="s">
        <v>16812</v>
      </c>
      <c r="C16039" s="25">
        <v>92433.3</v>
      </c>
      <c r="D16039" s="22" t="s">
        <v>18392</v>
      </c>
      <c r="E16039" s="22" t="s">
        <v>103</v>
      </c>
      <c r="F16039" s="23" t="str">
        <f t="shared" si="838"/>
        <v>Оказание услуг по техническому обслуживанию системы видеонаблюдения филиала КУ "Центр СПИД" в г. Сургуте</v>
      </c>
      <c r="G16039" s="22" t="s">
        <v>119</v>
      </c>
      <c r="H16039" s="22" t="s">
        <v>2563</v>
      </c>
      <c r="I16039" s="26">
        <v>43500</v>
      </c>
      <c r="J16039" s="23" t="str">
        <f>HYPERLINK("https://www.spark-marketing.ru/Card/Person/4952037", "ООО ""СМС""")</f>
        <v>ООО "СМС"</v>
      </c>
      <c r="K16039" s="24" t="s">
        <v>12568</v>
      </c>
      <c r="L16039" s="28" t="s">
        <v>52</v>
      </c>
      <c r="M16039" s="25">
        <v>72000</v>
      </c>
      <c r="N16039" s="27">
        <v>0.22105994268299411</v>
      </c>
    </row>
    <row r="16040" spans="1:14" hidden="1" outlineLevel="1" x14ac:dyDescent="0.2">
      <c r="A16040" s="23" t="str">
        <f t="shared" si="837"/>
        <v>КУ "ЦЕНТР СПИД"</v>
      </c>
      <c r="B16040" s="24" t="s">
        <v>16812</v>
      </c>
      <c r="C16040" s="25">
        <v>92433.3</v>
      </c>
      <c r="D16040" s="22" t="s">
        <v>18392</v>
      </c>
      <c r="E16040" s="22" t="s">
        <v>103</v>
      </c>
      <c r="F16040" s="23" t="str">
        <f t="shared" si="838"/>
        <v>Оказание услуг по техническому обслуживанию системы видеонаблюдения филиала КУ "Центр СПИД" в г. Сургуте</v>
      </c>
      <c r="G16040" s="22" t="s">
        <v>119</v>
      </c>
      <c r="H16040" s="22" t="s">
        <v>2563</v>
      </c>
      <c r="I16040" s="26">
        <v>43500</v>
      </c>
      <c r="J16040" s="23" t="str">
        <f>HYPERLINK("https://www.spark-marketing.ru/Card/Person/6219013", "ООО ""АК-47""")</f>
        <v>ООО "АК-47"</v>
      </c>
      <c r="K16040" s="24" t="s">
        <v>18396</v>
      </c>
      <c r="L16040" s="28" t="s">
        <v>52</v>
      </c>
      <c r="M16040" s="25">
        <v>79000</v>
      </c>
      <c r="N16040" s="27">
        <v>0.14532965933272965</v>
      </c>
    </row>
    <row r="16041" spans="1:14" x14ac:dyDescent="0.15">
      <c r="A16041" s="23" t="str">
        <f>HYPERLINK("https://www.spark-marketing.ru/Card/Person/1641", "ГКУ ""БУРЯТРЕГИОНАВТОДОР""")</f>
        <v>ГКУ "БУРЯТРЕГИОНАВТОДОР"</v>
      </c>
      <c r="B16041" s="24" t="s">
        <v>18378</v>
      </c>
      <c r="C16041" s="25">
        <v>495000</v>
      </c>
      <c r="D16041" s="22" t="s">
        <v>18397</v>
      </c>
      <c r="E16041" s="22" t="s">
        <v>491</v>
      </c>
      <c r="F16041" s="23" t="str">
        <f>HYPERLINK("https://www.spark-marketing.ru/Card/Lot/67669232", "Выполнение работ по разработке плана обеспечения транспортной безопасности объектов транспортной инфраструктуры и транспортных средств внутреннего водного транспорта Усть-Чикойской паромной переправы Республики Бурятия")</f>
        <v>Выполнение работ по разработке плана обеспечения транспортной безопасности объектов транспортной инфраструктуры и транспортных средств внутреннего водного транспорта Усть-Чикойской паромной переправы Республики Бурятия</v>
      </c>
      <c r="G16041" s="22" t="s">
        <v>354</v>
      </c>
      <c r="H16041" s="22" t="s">
        <v>18398</v>
      </c>
      <c r="I16041" s="26">
        <v>43500</v>
      </c>
      <c r="J16041" s="28" t="s">
        <v>52</v>
      </c>
      <c r="K16041" s="28" t="s">
        <v>52</v>
      </c>
      <c r="L16041" s="28" t="s">
        <v>52</v>
      </c>
      <c r="M16041" s="28" t="s">
        <v>52</v>
      </c>
      <c r="N16041" s="28" t="s">
        <v>52</v>
      </c>
    </row>
    <row r="16042" spans="1:14" ht="12.75" hidden="1" outlineLevel="1" x14ac:dyDescent="0.2">
      <c r="A16042" s="23" t="str">
        <f>HYPERLINK("https://www.spark-marketing.ru/Card/Person/1641", "ГКУ ""БУРЯТРЕГИОНАВТОДОР""")</f>
        <v>ГКУ "БУРЯТРЕГИОНАВТОДОР"</v>
      </c>
      <c r="B16042" s="24" t="s">
        <v>18378</v>
      </c>
      <c r="C16042" s="25">
        <v>495000</v>
      </c>
      <c r="D16042" s="22" t="s">
        <v>18397</v>
      </c>
      <c r="E16042" s="22" t="s">
        <v>491</v>
      </c>
      <c r="F16042" s="23" t="str">
        <f>HYPERLINK("https://www.spark-marketing.ru/Card/Lot/67669232", "Выполнение работ по разработке плана обеспечения транспортной безопасности объектов транспортной инфраструктуры и транспортных средств внутреннего водного транспорта Усть-Чикойской паромной переправы Республики Бурятия")</f>
        <v>Выполнение работ по разработке плана обеспечения транспортной безопасности объектов транспортной инфраструктуры и транспортных средств внутреннего водного транспорта Усть-Чикойской паромной переправы Республики Бурятия</v>
      </c>
      <c r="G16042" s="22" t="s">
        <v>354</v>
      </c>
      <c r="H16042" s="22" t="s">
        <v>18398</v>
      </c>
      <c r="I16042" s="26">
        <v>43500</v>
      </c>
      <c r="J16042" s="23" t="str">
        <f>HYPERLINK("https://www.spark-marketing.ru/Card/Person/244248", "ООО ""ДАЛЬЦЕНТРАВИА""")</f>
        <v>ООО "ДАЛЬЦЕНТРАВИА"</v>
      </c>
      <c r="K16042" s="24" t="s">
        <v>5795</v>
      </c>
      <c r="L16042" s="22" t="s">
        <v>10</v>
      </c>
      <c r="M16042" s="25">
        <v>338000</v>
      </c>
      <c r="N16042" s="27">
        <v>0.31717171717171716</v>
      </c>
    </row>
    <row r="16043" spans="1:14" hidden="1" outlineLevel="1" x14ac:dyDescent="0.2">
      <c r="A16043" s="23" t="str">
        <f>HYPERLINK("https://www.spark-marketing.ru/Card/Person/1641", "ГКУ ""БУРЯТРЕГИОНАВТОДОР""")</f>
        <v>ГКУ "БУРЯТРЕГИОНАВТОДОР"</v>
      </c>
      <c r="B16043" s="24" t="s">
        <v>18378</v>
      </c>
      <c r="C16043" s="25">
        <v>495000</v>
      </c>
      <c r="D16043" s="22" t="s">
        <v>18397</v>
      </c>
      <c r="E16043" s="22" t="s">
        <v>491</v>
      </c>
      <c r="F16043" s="23" t="str">
        <f>HYPERLINK("https://www.spark-marketing.ru/Card/Lot/67669232", "Выполнение работ по разработке плана обеспечения транспортной безопасности объектов транспортной инфраструктуры и транспортных средств внутреннего водного транспорта Усть-Чикойской паромной переправы Республики Бурятия")</f>
        <v>Выполнение работ по разработке плана обеспечения транспортной безопасности объектов транспортной инфраструктуры и транспортных средств внутреннего водного транспорта Усть-Чикойской паромной переправы Республики Бурятия</v>
      </c>
      <c r="G16043" s="22" t="s">
        <v>354</v>
      </c>
      <c r="H16043" s="22" t="s">
        <v>18398</v>
      </c>
      <c r="I16043" s="26">
        <v>43500</v>
      </c>
      <c r="J16043" s="23" t="str">
        <f>HYPERLINK("https://www.spark-marketing.ru/Card/Person/2038990", "ООО ""СТБ""")</f>
        <v>ООО "СТБ"</v>
      </c>
      <c r="K16043" s="24" t="s">
        <v>2244</v>
      </c>
      <c r="L16043" s="28" t="s">
        <v>52</v>
      </c>
      <c r="M16043" s="25">
        <v>472875</v>
      </c>
      <c r="N16043" s="27">
        <v>4.46969696969697E-2</v>
      </c>
    </row>
    <row r="16044" spans="1:14" x14ac:dyDescent="0.15">
      <c r="A16044" s="23" t="str">
        <f>HYPERLINK("https://www.spark-marketing.ru/Card/Person/1022444", "ОБУСО ЦППП")</f>
        <v>ОБУСО ЦППП</v>
      </c>
      <c r="B16044" s="24" t="s">
        <v>18399</v>
      </c>
      <c r="C16044" s="25">
        <v>889438.25</v>
      </c>
      <c r="D16044" s="22" t="s">
        <v>18400</v>
      </c>
      <c r="E16044" s="22" t="s">
        <v>52</v>
      </c>
      <c r="F16044" s="23" t="str">
        <f>HYPERLINK("https://www.spark-marketing.ru/Card/Lot/67662386", "Оказание услуг по физической охране зданий ОБУСО ЦППП")</f>
        <v>Оказание услуг по физической охране зданий ОБУСО ЦППП</v>
      </c>
      <c r="G16044" s="22" t="s">
        <v>340</v>
      </c>
      <c r="H16044" s="22" t="s">
        <v>1030</v>
      </c>
      <c r="I16044" s="26">
        <v>43500</v>
      </c>
      <c r="J16044" s="23" t="str">
        <f>HYPERLINK("https://www.spark-marketing.ru/Card/Person/581933", "ООО ОО ""РИФ""")</f>
        <v>ООО ОО "РИФ"</v>
      </c>
      <c r="K16044" s="24" t="s">
        <v>18401</v>
      </c>
      <c r="L16044" s="22" t="s">
        <v>10</v>
      </c>
      <c r="M16044" s="28" t="s">
        <v>52</v>
      </c>
      <c r="N16044" s="28" t="s">
        <v>52</v>
      </c>
    </row>
    <row r="16045" spans="1:14" x14ac:dyDescent="0.15">
      <c r="A16045" s="23" t="str">
        <f>HYPERLINK("https://www.spark-marketing.ru/Card/Person/20683", "ФКУ УПРДОР ""ХОЛМОГОРЫ""")</f>
        <v>ФКУ УПРДОР "ХОЛМОГОРЫ"</v>
      </c>
      <c r="B16045" s="24" t="s">
        <v>3172</v>
      </c>
      <c r="C16045" s="25">
        <v>34670572</v>
      </c>
      <c r="D16045" s="22" t="s">
        <v>18402</v>
      </c>
      <c r="E16045" s="22" t="s">
        <v>15097</v>
      </c>
      <c r="F16045" s="23" t="str">
        <f>HYPERLINK("https://www.spark-marketing.ru/Card/Lot/67678895", "Оплата за потребляемую электроэнергию, в том числе на объектах транспортной безопасности, в рамках выполнения работ по содержанию линий электроосвещения на автомобильных дорогах общего пользования федерального значения М-8 «Холмогоры» Москва - Яросла...")</f>
        <v>Оплата за потребляемую электроэнергию, в том числе на объектах транспортной безопасности, в рамках выполнения работ по содержанию линий электроосвещения на автомобильных дорогах общего пользования федерального значения М-8 «Холмогоры» Москва - Яросла...</v>
      </c>
      <c r="G16045" s="22" t="s">
        <v>1104</v>
      </c>
      <c r="H16045" s="22" t="s">
        <v>1104</v>
      </c>
      <c r="I16045" s="26">
        <v>43500</v>
      </c>
      <c r="J16045" s="23" t="str">
        <f>HYPERLINK("https://www.spark-marketing.ru/Card/Person/4348024", "ООО ""ДУ""")</f>
        <v>ООО "ДУ"</v>
      </c>
      <c r="K16045" s="24" t="s">
        <v>18403</v>
      </c>
      <c r="L16045" s="22" t="s">
        <v>10</v>
      </c>
      <c r="M16045" s="28" t="s">
        <v>52</v>
      </c>
      <c r="N16045" s="28" t="s">
        <v>52</v>
      </c>
    </row>
    <row r="16046" spans="1:14" x14ac:dyDescent="0.15">
      <c r="A16046" s="23" t="str">
        <f>HYPERLINK("https://www.spark-marketing.ru/Card/Person/7820", "МТУ РОСИМУЩЕСТВА В РЕСПУБЛИКЕ МОРДОВИЯ, РЕСПУБЛИКЕ МАРИЙ ЭЛ, ЧУВАШСКОЙ РЕСПУБЛИКЕ И ПЕНЗЕНСКОЙ ОБЛАСТИ")</f>
        <v>МТУ РОСИМУЩЕСТВА В РЕСПУБЛИКЕ МОРДОВИЯ, РЕСПУБЛИКЕ МАРИЙ ЭЛ, ЧУВАШСКОЙ РЕСПУБЛИКЕ И ПЕНЗЕНСКОЙ ОБЛАСТИ</v>
      </c>
      <c r="B16046" s="24" t="s">
        <v>17671</v>
      </c>
      <c r="C16046" s="25">
        <v>314651.21000000002</v>
      </c>
      <c r="D16046" s="22" t="s">
        <v>18404</v>
      </c>
      <c r="E16046" s="22" t="s">
        <v>68</v>
      </c>
      <c r="F16046" s="23" t="str">
        <f>HYPERLINK("https://www.spark-marketing.ru/Card/Lot/67685846", "Обеспечение безопасности и охраны имущества в административном здании МТУ Росимущества в Республике Мордовия, Республике Марий Эл, Чувашской Республике и Пензенской области")</f>
        <v>Обеспечение безопасности и охраны имущества в административном здании МТУ Росимущества в Республике Мордовия, Республике Марий Эл, Чувашской Республике и Пензенской области</v>
      </c>
      <c r="G16046" s="22" t="s">
        <v>331</v>
      </c>
      <c r="H16046" s="22" t="s">
        <v>332</v>
      </c>
      <c r="I16046" s="26">
        <v>43500</v>
      </c>
      <c r="J16046" s="23" t="str">
        <f>HYPERLINK("https://www.spark-marketing.ru/Card/Person/4896136", "ФЛ ФГУП ОХРАНА ФЕДЕРАЛЬНОЙ СЛУЖБЫ ВОЙСК НАЦИОНАЛЬНОЙ ГВАРДИИ РФ ПО РП МОРДОВИЯ")</f>
        <v>ФЛ ФГУП ОХРАНА ФЕДЕРАЛЬНОЙ СЛУЖБЫ ВОЙСК НАЦИОНАЛЬНОЙ ГВАРДИИ РФ ПО РП МОРДОВИЯ</v>
      </c>
      <c r="K16046" s="24" t="s">
        <v>779</v>
      </c>
      <c r="L16046" s="22" t="s">
        <v>10</v>
      </c>
      <c r="M16046" s="28" t="s">
        <v>52</v>
      </c>
      <c r="N16046" s="28" t="s">
        <v>52</v>
      </c>
    </row>
    <row r="16047" spans="1:14" x14ac:dyDescent="0.15">
      <c r="A16047" s="23" t="str">
        <f>HYPERLINK("https://www.spark-marketing.ru/Card/Person/360059", "МЕЖРАЙОННАЯ ИФНС РОССИИ № 8 ПО КУРСКОЙ ОБЛАСТИ")</f>
        <v>МЕЖРАЙОННАЯ ИФНС РОССИИ № 8 ПО КУРСКОЙ ОБЛАСТИ</v>
      </c>
      <c r="B16047" s="24" t="s">
        <v>13628</v>
      </c>
      <c r="C16047" s="25">
        <v>295471.92</v>
      </c>
      <c r="D16047" s="22" t="s">
        <v>18405</v>
      </c>
      <c r="E16047" s="22" t="s">
        <v>68</v>
      </c>
      <c r="F16047" s="23" t="str">
        <f>HYPERLINK("https://www.spark-marketing.ru/Card/Lot/67672128", "Охрана техническими средствами  охраны имущества от преступных посягательств")</f>
        <v>Охрана техническими средствами  охраны имущества от преступных посягательств</v>
      </c>
      <c r="G16047" s="22" t="s">
        <v>3128</v>
      </c>
      <c r="H16047" s="22" t="s">
        <v>13630</v>
      </c>
      <c r="I16047" s="26">
        <v>43500</v>
      </c>
      <c r="J16047" s="28" t="s">
        <v>52</v>
      </c>
      <c r="K16047" s="28" t="s">
        <v>52</v>
      </c>
      <c r="L16047" s="28" t="s">
        <v>52</v>
      </c>
      <c r="M16047" s="28" t="s">
        <v>52</v>
      </c>
      <c r="N16047" s="28" t="s">
        <v>52</v>
      </c>
    </row>
    <row r="16048" spans="1:14" x14ac:dyDescent="0.15">
      <c r="A16048" s="23" t="str">
        <f>HYPERLINK("https://www.spark-marketing.ru/Card/Person/6273", "ГОСУДАРСТВЕННЫЙ ЛИТЕРАТУРНЫЙ МУЗЕЙ")</f>
        <v>ГОСУДАРСТВЕННЫЙ ЛИТЕРАТУРНЫЙ МУЗЕЙ</v>
      </c>
      <c r="B16048" s="24" t="s">
        <v>2585</v>
      </c>
      <c r="C16048" s="25">
        <v>794679.24</v>
      </c>
      <c r="D16048" s="22" t="s">
        <v>18406</v>
      </c>
      <c r="E16048" s="22" t="s">
        <v>68</v>
      </c>
      <c r="F16048" s="23" t="str">
        <f>HYPERLINK("https://www.spark-marketing.ru/Card/Lot/67685515", "Услуги по централизованной охране путём приёма сообщений и реагирования нарядами полиции на тревожные сообщения, поступающие с объекта Заказчика")</f>
        <v>Услуги по централизованной охране путём приёма сообщений и реагирования нарядами полиции на тревожные сообщения, поступающие с объекта Заказчика</v>
      </c>
      <c r="G16048" s="22" t="s">
        <v>55</v>
      </c>
      <c r="H16048" s="22" t="s">
        <v>55</v>
      </c>
      <c r="I16048" s="26">
        <v>43500</v>
      </c>
      <c r="J16048" s="28" t="s">
        <v>52</v>
      </c>
      <c r="K16048" s="28" t="s">
        <v>52</v>
      </c>
      <c r="L16048" s="28" t="s">
        <v>52</v>
      </c>
      <c r="M16048" s="28" t="s">
        <v>52</v>
      </c>
      <c r="N16048" s="28" t="s">
        <v>52</v>
      </c>
    </row>
    <row r="16049" spans="1:14" x14ac:dyDescent="0.15">
      <c r="A16049" s="23" t="str">
        <f>HYPERLINK("https://www.spark-marketing.ru/Card/Person/206885", "ФКУ ИК-10 УФСИН РОССИИ ПО РЕСПУБЛИКЕ ТАТАРСТАН")</f>
        <v>ФКУ ИК-10 УФСИН РОССИИ ПО РЕСПУБЛИКЕ ТАТАРСТАН</v>
      </c>
      <c r="B16049" s="24" t="s">
        <v>18407</v>
      </c>
      <c r="C16049" s="25">
        <v>70000</v>
      </c>
      <c r="D16049" s="22" t="s">
        <v>18408</v>
      </c>
      <c r="E16049" s="22" t="s">
        <v>107</v>
      </c>
      <c r="F16049" s="23" t="str">
        <f>HYPERLINK("https://www.spark-marketing.ru/Card/Lot/67685835", "Техническое обслуживание автоматики безопасности и регулирования горения котлов КВа-1,74ГМ 2 ед. и сигнализации загазованности котельной")</f>
        <v>Техническое обслуживание автоматики безопасности и регулирования горения котлов КВа-1,74ГМ 2 ед. и сигнализации загазованности котельной</v>
      </c>
      <c r="G16049" s="22" t="s">
        <v>204</v>
      </c>
      <c r="H16049" s="22" t="s">
        <v>18409</v>
      </c>
      <c r="I16049" s="26">
        <v>43500</v>
      </c>
      <c r="J16049" s="23" t="str">
        <f>HYPERLINK("https://www.spark-marketing.ru/Card/Person/829125", "ООО ""ГАЗТЕХСЕРВИС""")</f>
        <v>ООО "ГАЗТЕХСЕРВИС"</v>
      </c>
      <c r="K16049" s="24" t="s">
        <v>18410</v>
      </c>
      <c r="L16049" s="22" t="s">
        <v>10</v>
      </c>
      <c r="M16049" s="28" t="s">
        <v>52</v>
      </c>
      <c r="N16049" s="28" t="s">
        <v>52</v>
      </c>
    </row>
    <row r="16050" spans="1:14" x14ac:dyDescent="0.15">
      <c r="A16050" s="23" t="str">
        <f>HYPERLINK("https://www.spark-marketing.ru/Card/Person/20683", "ФКУ УПРДОР ""ХОЛМОГОРЫ""")</f>
        <v>ФКУ УПРДОР "ХОЛМОГОРЫ"</v>
      </c>
      <c r="B16050" s="24" t="s">
        <v>3172</v>
      </c>
      <c r="C16050" s="25">
        <v>33279895</v>
      </c>
      <c r="D16050" s="22" t="s">
        <v>18411</v>
      </c>
      <c r="E16050" s="22" t="s">
        <v>15097</v>
      </c>
      <c r="F16050" s="23" t="str">
        <f>HYPERLINK("https://www.spark-marketing.ru/Card/Lot/67680922", "Оплата за потребляемую электроэнергию, в том числе на объектах транспортной безопасности, в рамках выполнения работ по содержанию линий электроосвещения на автомобильных дорогах общего пользования федерального значения М-8 «Холмогоры» Москва - Яросла...")</f>
        <v>Оплата за потребляемую электроэнергию, в том числе на объектах транспортной безопасности, в рамках выполнения работ по содержанию линий электроосвещения на автомобильных дорогах общего пользования федерального значения М-8 «Холмогоры» Москва - Яросла...</v>
      </c>
      <c r="G16050" s="22" t="s">
        <v>902</v>
      </c>
      <c r="H16050" s="22" t="s">
        <v>902</v>
      </c>
      <c r="I16050" s="26">
        <v>43500</v>
      </c>
      <c r="J16050" s="28" t="s">
        <v>52</v>
      </c>
      <c r="K16050" s="28" t="s">
        <v>52</v>
      </c>
      <c r="L16050" s="28" t="s">
        <v>52</v>
      </c>
      <c r="M16050" s="28" t="s">
        <v>52</v>
      </c>
      <c r="N16050" s="28" t="s">
        <v>52</v>
      </c>
    </row>
    <row r="16051" spans="1:14" x14ac:dyDescent="0.15">
      <c r="A16051" s="23" t="str">
        <f>HYPERLINK("https://www.spark-marketing.ru/Card/Person/254092", "МБДОУ ""ДЕТСКИЙ САД ОБЩЕРАЗВИВАЮЩЕГО ВИДА № 5""АЙГУЛЬ"" П.Г.Т. КАМСКИЕ ПОЛЯНЫ НМР РТ")</f>
        <v>МБДОУ "ДЕТСКИЙ САД ОБЩЕРАЗВИВАЮЩЕГО ВИДА № 5"АЙГУЛЬ" П.Г.Т. КАМСКИЕ ПОЛЯНЫ НМР РТ</v>
      </c>
      <c r="B16051" s="24" t="s">
        <v>3475</v>
      </c>
      <c r="C16051" s="25">
        <v>4580</v>
      </c>
      <c r="D16051" s="22" t="s">
        <v>18412</v>
      </c>
      <c r="E16051" s="22" t="s">
        <v>53</v>
      </c>
      <c r="F16051" s="23" t="str">
        <f>HYPERLINK("https://www.spark-marketing.ru/Card/Lot/73683971", "Техническое обслуживание системы видеонаблюдения")</f>
        <v>Техническое обслуживание системы видеонаблюдения</v>
      </c>
      <c r="G16051" s="22" t="s">
        <v>204</v>
      </c>
      <c r="H16051" s="22" t="s">
        <v>3467</v>
      </c>
      <c r="I16051" s="26">
        <v>43500.000694444403</v>
      </c>
      <c r="J16051" s="28" t="s">
        <v>52</v>
      </c>
      <c r="K16051" s="28" t="s">
        <v>52</v>
      </c>
      <c r="L16051" s="28" t="s">
        <v>52</v>
      </c>
      <c r="M16051" s="28" t="s">
        <v>52</v>
      </c>
      <c r="N16051" s="28" t="s">
        <v>52</v>
      </c>
    </row>
    <row r="16052" spans="1:14" x14ac:dyDescent="0.15">
      <c r="A16052" s="23" t="str">
        <f>HYPERLINK("https://www.spark-marketing.ru/Card/Person/64588", "УПФР ПО СОВЕТСКОМУ РАЙОНУ Г. ВЛАДИВОСТОКА ПРИМОРСКОГО КРАЯ")</f>
        <v>УПФР ПО СОВЕТСКОМУ РАЙОНУ Г. ВЛАДИВОСТОКА ПРИМОРСКОГО КРАЯ</v>
      </c>
      <c r="B16052" s="24" t="s">
        <v>18201</v>
      </c>
      <c r="C16052" s="25">
        <v>807840</v>
      </c>
      <c r="D16052" s="22" t="s">
        <v>18413</v>
      </c>
      <c r="E16052" s="22" t="s">
        <v>68</v>
      </c>
      <c r="F16052" s="23" t="str">
        <f>HYPERLINK("https://www.spark-marketing.ru/Card/Lot/67666176", "Услуги круглосуточной охраны")</f>
        <v>Услуги круглосуточной охраны</v>
      </c>
      <c r="G16052" s="22" t="s">
        <v>409</v>
      </c>
      <c r="H16052" s="22" t="s">
        <v>878</v>
      </c>
      <c r="I16052" s="26">
        <v>43500</v>
      </c>
      <c r="J16052" s="28" t="s">
        <v>52</v>
      </c>
      <c r="K16052" s="28" t="s">
        <v>52</v>
      </c>
      <c r="L16052" s="28" t="s">
        <v>52</v>
      </c>
      <c r="M16052" s="28" t="s">
        <v>52</v>
      </c>
      <c r="N16052" s="28" t="s">
        <v>52</v>
      </c>
    </row>
    <row r="16053" spans="1:14" x14ac:dyDescent="0.15">
      <c r="A16053" s="23" t="str">
        <f>HYPERLINK("https://www.spark-marketing.ru/Card/Person/1081543", "МБУДО ""ДШИ №7 ПОС.РЕММАШ""")</f>
        <v>МБУДО "ДШИ №7 ПОС.РЕММАШ"</v>
      </c>
      <c r="B16053" s="24" t="s">
        <v>18414</v>
      </c>
      <c r="C16053" s="25">
        <v>6600</v>
      </c>
      <c r="D16053" s="22" t="s">
        <v>18415</v>
      </c>
      <c r="E16053" s="22" t="s">
        <v>107</v>
      </c>
      <c r="F16053" s="23" t="str">
        <f>HYPERLINK("https://www.spark-marketing.ru/Card/Lot/67658974", "Услуги по техническому обслуживанию (содержанию) систем охранной (противовзломной) сигнализации")</f>
        <v>Услуги по техническому обслуживанию (содержанию) систем охранной (противовзломной) сигнализации</v>
      </c>
      <c r="G16053" s="22" t="s">
        <v>50</v>
      </c>
      <c r="H16053" s="22" t="s">
        <v>326</v>
      </c>
      <c r="I16053" s="26">
        <v>43499.877025463</v>
      </c>
      <c r="J16053" s="28" t="s">
        <v>52</v>
      </c>
      <c r="K16053" s="28" t="s">
        <v>52</v>
      </c>
      <c r="L16053" s="28" t="s">
        <v>52</v>
      </c>
      <c r="M16053" s="28" t="s">
        <v>52</v>
      </c>
      <c r="N16053" s="28" t="s">
        <v>52</v>
      </c>
    </row>
    <row r="16054" spans="1:14" x14ac:dyDescent="0.15">
      <c r="A16054" s="23" t="str">
        <f>HYPERLINK("https://www.spark-marketing.ru/Card/Person/1300018", "МАУ ""СШ №2""")</f>
        <v>МАУ "СШ №2"</v>
      </c>
      <c r="B16054" s="24" t="s">
        <v>18416</v>
      </c>
      <c r="C16054" s="25">
        <v>24000</v>
      </c>
      <c r="D16054" s="22" t="s">
        <v>18417</v>
      </c>
      <c r="E16054" s="22" t="s">
        <v>294</v>
      </c>
      <c r="F16054" s="23" t="str">
        <f>HYPERLINK("https://www.spark-marketing.ru/Card/Lot/67658930", "Техническое обслуживание систем видеонаблюдения")</f>
        <v>Техническое обслуживание систем видеонаблюдения</v>
      </c>
      <c r="G16054" s="22" t="s">
        <v>50</v>
      </c>
      <c r="H16054" s="22" t="s">
        <v>1386</v>
      </c>
      <c r="I16054" s="26">
        <v>43499.804583333302</v>
      </c>
      <c r="J16054" s="28" t="s">
        <v>52</v>
      </c>
      <c r="K16054" s="28" t="s">
        <v>52</v>
      </c>
      <c r="L16054" s="28" t="s">
        <v>52</v>
      </c>
      <c r="M16054" s="28" t="s">
        <v>52</v>
      </c>
      <c r="N16054" s="28" t="s">
        <v>52</v>
      </c>
    </row>
    <row r="16055" spans="1:14" x14ac:dyDescent="0.15">
      <c r="A16055" s="23" t="str">
        <f>HYPERLINK("https://www.spark-marketing.ru/Card/Person/1777503", "МАДОУ Д/С №10")</f>
        <v>МАДОУ Д/С №10</v>
      </c>
      <c r="B16055" s="24" t="s">
        <v>18418</v>
      </c>
      <c r="C16055" s="25">
        <v>18000</v>
      </c>
      <c r="D16055" s="22" t="s">
        <v>18419</v>
      </c>
      <c r="E16055" s="22" t="s">
        <v>294</v>
      </c>
      <c r="F16055" s="23" t="str">
        <f>HYPERLINK("https://www.spark-marketing.ru/Card/Lot/67658735", "Оказание услуг по техническому обслуживанию домофона и системы видеонаблюдения")</f>
        <v>Оказание услуг по техническому обслуживанию домофона и системы видеонаблюдения</v>
      </c>
      <c r="G16055" s="22" t="s">
        <v>50</v>
      </c>
      <c r="H16055" s="22" t="s">
        <v>4782</v>
      </c>
      <c r="I16055" s="26">
        <v>43499.721006944397</v>
      </c>
      <c r="J16055" s="28" t="s">
        <v>52</v>
      </c>
      <c r="K16055" s="28" t="s">
        <v>52</v>
      </c>
      <c r="L16055" s="28" t="s">
        <v>52</v>
      </c>
      <c r="M16055" s="28" t="s">
        <v>52</v>
      </c>
      <c r="N16055" s="28" t="s">
        <v>52</v>
      </c>
    </row>
    <row r="16056" spans="1:14" x14ac:dyDescent="0.15">
      <c r="A16056" s="23" t="str">
        <f>HYPERLINK("https://www.spark-marketing.ru/Card/Person/1013951", "БДОУ Г. ОМСКА ""ЦЕНТР РАЗВИТИЯ РЕБЕНКА - ДЕТСКИЙ САД № 250""")</f>
        <v>БДОУ Г. ОМСКА "ЦЕНТР РАЗВИТИЯ РЕБЕНКА - ДЕТСКИЙ САД № 250"</v>
      </c>
      <c r="B16056" s="24" t="s">
        <v>18420</v>
      </c>
      <c r="C16056" s="25">
        <v>30000</v>
      </c>
      <c r="D16056" s="22" t="s">
        <v>18421</v>
      </c>
      <c r="E16056" s="22" t="s">
        <v>349</v>
      </c>
      <c r="F16056" s="23" t="str">
        <f>HYPERLINK("https://www.spark-marketing.ru/Card/Lot/67658708", "Оказание услуг по техническому обслуживанию системы видеонаблюдения")</f>
        <v>Оказание услуг по техническому обслуживанию системы видеонаблюдения</v>
      </c>
      <c r="G16056" s="22" t="s">
        <v>521</v>
      </c>
      <c r="H16056" s="22" t="s">
        <v>522</v>
      </c>
      <c r="I16056" s="26">
        <v>43499.7006944444</v>
      </c>
      <c r="J16056" s="28" t="s">
        <v>52</v>
      </c>
      <c r="K16056" s="28" t="s">
        <v>52</v>
      </c>
      <c r="L16056" s="28" t="s">
        <v>52</v>
      </c>
      <c r="M16056" s="28" t="s">
        <v>52</v>
      </c>
      <c r="N16056" s="28" t="s">
        <v>52</v>
      </c>
    </row>
    <row r="16057" spans="1:14" x14ac:dyDescent="0.15">
      <c r="A16057" s="23" t="str">
        <f>HYPERLINK("https://www.spark-marketing.ru/Card/Person/128673", "МБОУ НИКУЛИНСКАЯ НАЧАЛЬНАЯ ШКОЛА - ДЕТСКИЙ САД")</f>
        <v>МБОУ НИКУЛИНСКАЯ НАЧАЛЬНАЯ ШКОЛА - ДЕТСКИЙ САД</v>
      </c>
      <c r="B16057" s="24" t="s">
        <v>18422</v>
      </c>
      <c r="C16057" s="25">
        <v>21000</v>
      </c>
      <c r="D16057" s="22" t="s">
        <v>18423</v>
      </c>
      <c r="E16057" s="22" t="s">
        <v>294</v>
      </c>
      <c r="F16057" s="23" t="str">
        <f>HYPERLINK("https://www.spark-marketing.ru/Card/Lot/67657952", "обслуживание видеокамер")</f>
        <v>обслуживание видеокамер</v>
      </c>
      <c r="G16057" s="22" t="s">
        <v>50</v>
      </c>
      <c r="H16057" s="22" t="s">
        <v>265</v>
      </c>
      <c r="I16057" s="26">
        <v>43498.877037036997</v>
      </c>
      <c r="J16057" s="28" t="s">
        <v>52</v>
      </c>
      <c r="K16057" s="28" t="s">
        <v>52</v>
      </c>
      <c r="L16057" s="28" t="s">
        <v>52</v>
      </c>
      <c r="M16057" s="28" t="s">
        <v>52</v>
      </c>
      <c r="N16057" s="28" t="s">
        <v>52</v>
      </c>
    </row>
    <row r="16058" spans="1:14" x14ac:dyDescent="0.15">
      <c r="A16058" s="23" t="str">
        <f>HYPERLINK("https://www.spark-marketing.ru/Card/Person/31861", "ГБУСО МО ""МЕЖМУНИЦИПАЛЬНЫЙ КЦСОН""")</f>
        <v>ГБУСО МО "МЕЖМУНИЦИПАЛЬНЫЙ КЦСОН"</v>
      </c>
      <c r="B16058" s="24" t="s">
        <v>840</v>
      </c>
      <c r="C16058" s="25">
        <v>66000</v>
      </c>
      <c r="D16058" s="22" t="s">
        <v>18424</v>
      </c>
      <c r="E16058" s="22" t="s">
        <v>103</v>
      </c>
      <c r="F16058" s="23" t="str">
        <f>HYPERLINK("https://www.spark-marketing.ru/Card/Lot/67657899", "Техническое обслуживание систем видеонаблюдения на объектах ГБУСО МО ""МКЦСОН""")</f>
        <v>Техническое обслуживание систем видеонаблюдения на объектах ГБУСО МО "МКЦСОН"</v>
      </c>
      <c r="G16058" s="22" t="s">
        <v>50</v>
      </c>
      <c r="H16058" s="22" t="s">
        <v>432</v>
      </c>
      <c r="I16058" s="26">
        <v>43498.793668981503</v>
      </c>
      <c r="J16058" s="28" t="s">
        <v>52</v>
      </c>
      <c r="K16058" s="28" t="s">
        <v>52</v>
      </c>
      <c r="L16058" s="28" t="s">
        <v>52</v>
      </c>
      <c r="M16058" s="28" t="s">
        <v>52</v>
      </c>
      <c r="N16058" s="28" t="s">
        <v>52</v>
      </c>
    </row>
    <row r="16059" spans="1:14" x14ac:dyDescent="0.15">
      <c r="A16059" s="23" t="str">
        <f>HYPERLINK("https://www.spark-marketing.ru/Card/Person/1763636", "АОУ ДЕТСКИЙ САД № 18")</f>
        <v>АОУ ДЕТСКИЙ САД № 18</v>
      </c>
      <c r="B16059" s="24" t="s">
        <v>18425</v>
      </c>
      <c r="C16059" s="25">
        <v>14400</v>
      </c>
      <c r="D16059" s="22" t="s">
        <v>18426</v>
      </c>
      <c r="E16059" s="22" t="s">
        <v>294</v>
      </c>
      <c r="F16059" s="23" t="str">
        <f>HYPERLINK("https://www.spark-marketing.ru/Card/Lot/67657176", "Оказание услуг по техническому обслуживанию системы видеонаблюдения на 2019 год")</f>
        <v>Оказание услуг по техническому обслуживанию системы видеонаблюдения на 2019 год</v>
      </c>
      <c r="G16059" s="22" t="s">
        <v>50</v>
      </c>
      <c r="H16059" s="22" t="s">
        <v>3866</v>
      </c>
      <c r="I16059" s="26">
        <v>43498.491805555597</v>
      </c>
      <c r="J16059" s="28" t="s">
        <v>52</v>
      </c>
      <c r="K16059" s="28" t="s">
        <v>52</v>
      </c>
      <c r="L16059" s="28" t="s">
        <v>52</v>
      </c>
      <c r="M16059" s="28" t="s">
        <v>52</v>
      </c>
      <c r="N16059" s="28" t="s">
        <v>52</v>
      </c>
    </row>
    <row r="16060" spans="1:14" x14ac:dyDescent="0.15">
      <c r="A16060" s="23" t="str">
        <f>HYPERLINK("https://www.spark-marketing.ru/Card/Person/1778454", "МАДОУ №18")</f>
        <v>МАДОУ №18</v>
      </c>
      <c r="B16060" s="24" t="s">
        <v>18427</v>
      </c>
      <c r="C16060" s="25">
        <v>55200</v>
      </c>
      <c r="D16060" s="22" t="s">
        <v>18428</v>
      </c>
      <c r="E16060" s="22" t="s">
        <v>137</v>
      </c>
      <c r="F16060" s="23" t="str">
        <f>HYPERLINK("https://www.spark-marketing.ru/Card/Lot/67657120", "Выполнение работ по техническому обслуживанию оборудования видеонаблюдения")</f>
        <v>Выполнение работ по техническому обслуживанию оборудования видеонаблюдения</v>
      </c>
      <c r="G16060" s="22" t="s">
        <v>50</v>
      </c>
      <c r="H16060" s="22" t="s">
        <v>432</v>
      </c>
      <c r="I16060" s="26">
        <v>43498.384722222203</v>
      </c>
      <c r="J16060" s="28" t="s">
        <v>52</v>
      </c>
      <c r="K16060" s="28" t="s">
        <v>52</v>
      </c>
      <c r="L16060" s="28" t="s">
        <v>52</v>
      </c>
      <c r="M16060" s="28" t="s">
        <v>52</v>
      </c>
      <c r="N16060" s="28" t="s">
        <v>52</v>
      </c>
    </row>
    <row r="16061" spans="1:14" x14ac:dyDescent="0.15">
      <c r="A16061" s="23" t="str">
        <f t="shared" ref="A16061:A16070" si="839">HYPERLINK("https://www.spark-marketing.ru/Card/Person/38028", "ФГБУ ДПНС ""ТЕРЕМОК"" МИНЗДРАВА РОССИИ")</f>
        <v>ФГБУ ДПНС "ТЕРЕМОК" МИНЗДРАВА РОССИИ</v>
      </c>
      <c r="B16061" s="24" t="s">
        <v>18429</v>
      </c>
      <c r="C16061" s="25">
        <v>88083.3</v>
      </c>
      <c r="D16061" s="22" t="s">
        <v>18430</v>
      </c>
      <c r="E16061" s="22" t="s">
        <v>103</v>
      </c>
      <c r="F16061" s="23" t="str">
        <f t="shared" ref="F16061:F16070" si="840">HYPERLINK("https://www.spark-marketing.ru/Card/Lot/67657121", "Услуги по техническому обслуживанию систем видеонаблюдения .")</f>
        <v>Услуги по техническому обслуживанию систем видеонаблюдения .</v>
      </c>
      <c r="G16061" s="22" t="s">
        <v>247</v>
      </c>
      <c r="H16061" s="22" t="s">
        <v>247</v>
      </c>
      <c r="I16061" s="26">
        <v>43498</v>
      </c>
      <c r="J16061" s="28" t="s">
        <v>52</v>
      </c>
      <c r="K16061" s="28" t="s">
        <v>52</v>
      </c>
      <c r="L16061" s="28" t="s">
        <v>52</v>
      </c>
      <c r="M16061" s="28" t="s">
        <v>52</v>
      </c>
      <c r="N16061" s="28" t="s">
        <v>52</v>
      </c>
    </row>
    <row r="16062" spans="1:14" hidden="1" outlineLevel="1" x14ac:dyDescent="0.2">
      <c r="A16062" s="23" t="str">
        <f t="shared" si="839"/>
        <v>ФГБУ ДПНС "ТЕРЕМОК" МИНЗДРАВА РОССИИ</v>
      </c>
      <c r="B16062" s="24" t="s">
        <v>18429</v>
      </c>
      <c r="C16062" s="25">
        <v>88083.3</v>
      </c>
      <c r="D16062" s="22" t="s">
        <v>18430</v>
      </c>
      <c r="E16062" s="22" t="s">
        <v>103</v>
      </c>
      <c r="F16062" s="23" t="str">
        <f t="shared" si="840"/>
        <v>Услуги по техническому обслуживанию систем видеонаблюдения .</v>
      </c>
      <c r="G16062" s="22" t="s">
        <v>247</v>
      </c>
      <c r="H16062" s="22" t="s">
        <v>247</v>
      </c>
      <c r="I16062" s="26">
        <v>43498</v>
      </c>
      <c r="J16062" s="23" t="str">
        <f>HYPERLINK("https://www.spark-marketing.ru/Card/Person/78192", "ООО ""ЧОП ""ПАТРИОТ""")</f>
        <v>ООО "ЧОП "ПАТРИОТ"</v>
      </c>
      <c r="K16062" s="24" t="s">
        <v>13392</v>
      </c>
      <c r="L16062" s="28" t="s">
        <v>52</v>
      </c>
      <c r="M16062" s="25">
        <v>86762.04</v>
      </c>
      <c r="N16062" s="27">
        <v>1.5000119205343124E-2</v>
      </c>
    </row>
    <row r="16063" spans="1:14" hidden="1" outlineLevel="1" x14ac:dyDescent="0.2">
      <c r="A16063" s="23" t="str">
        <f t="shared" si="839"/>
        <v>ФГБУ ДПНС "ТЕРЕМОК" МИНЗДРАВА РОССИИ</v>
      </c>
      <c r="B16063" s="24" t="s">
        <v>18429</v>
      </c>
      <c r="C16063" s="25">
        <v>88083.3</v>
      </c>
      <c r="D16063" s="22" t="s">
        <v>18430</v>
      </c>
      <c r="E16063" s="22" t="s">
        <v>103</v>
      </c>
      <c r="F16063" s="23" t="str">
        <f t="shared" si="840"/>
        <v>Услуги по техническому обслуживанию систем видеонаблюдения .</v>
      </c>
      <c r="G16063" s="22" t="s">
        <v>247</v>
      </c>
      <c r="H16063" s="22" t="s">
        <v>247</v>
      </c>
      <c r="I16063" s="26">
        <v>43498</v>
      </c>
      <c r="J16063" s="23" t="str">
        <f>HYPERLINK("https://www.spark-marketing.ru/Card/Person/289972", "ООО ""ИЦ СБ""")</f>
        <v>ООО "ИЦ СБ"</v>
      </c>
      <c r="K16063" s="24" t="s">
        <v>18431</v>
      </c>
      <c r="L16063" s="28" t="s">
        <v>52</v>
      </c>
      <c r="M16063" s="25">
        <v>37434.44</v>
      </c>
      <c r="N16063" s="27">
        <v>0.57501092715645308</v>
      </c>
    </row>
    <row r="16064" spans="1:14" hidden="1" outlineLevel="1" x14ac:dyDescent="0.2">
      <c r="A16064" s="23" t="str">
        <f t="shared" si="839"/>
        <v>ФГБУ ДПНС "ТЕРЕМОК" МИНЗДРАВА РОССИИ</v>
      </c>
      <c r="B16064" s="24" t="s">
        <v>18429</v>
      </c>
      <c r="C16064" s="25">
        <v>88083.3</v>
      </c>
      <c r="D16064" s="22" t="s">
        <v>18430</v>
      </c>
      <c r="E16064" s="22" t="s">
        <v>103</v>
      </c>
      <c r="F16064" s="23" t="str">
        <f t="shared" si="840"/>
        <v>Услуги по техническому обслуживанию систем видеонаблюдения .</v>
      </c>
      <c r="G16064" s="22" t="s">
        <v>247</v>
      </c>
      <c r="H16064" s="22" t="s">
        <v>247</v>
      </c>
      <c r="I16064" s="26">
        <v>43498</v>
      </c>
      <c r="J16064" s="23" t="str">
        <f>HYPERLINK("https://www.spark-marketing.ru/Card/Person/128831", "ООО ""СИТИЛИНК""")</f>
        <v>ООО "СИТИЛИНК"</v>
      </c>
      <c r="K16064" s="24" t="s">
        <v>14800</v>
      </c>
      <c r="L16064" s="28" t="s">
        <v>52</v>
      </c>
      <c r="M16064" s="25">
        <v>19817.64</v>
      </c>
      <c r="N16064" s="27">
        <v>0.77501251656102799</v>
      </c>
    </row>
    <row r="16065" spans="1:14" hidden="1" outlineLevel="1" x14ac:dyDescent="0.2">
      <c r="A16065" s="23" t="str">
        <f t="shared" si="839"/>
        <v>ФГБУ ДПНС "ТЕРЕМОК" МИНЗДРАВА РОССИИ</v>
      </c>
      <c r="B16065" s="24" t="s">
        <v>18429</v>
      </c>
      <c r="C16065" s="25">
        <v>88083.3</v>
      </c>
      <c r="D16065" s="22" t="s">
        <v>18430</v>
      </c>
      <c r="E16065" s="22" t="s">
        <v>103</v>
      </c>
      <c r="F16065" s="23" t="str">
        <f t="shared" si="840"/>
        <v>Услуги по техническому обслуживанию систем видеонаблюдения .</v>
      </c>
      <c r="G16065" s="22" t="s">
        <v>247</v>
      </c>
      <c r="H16065" s="22" t="s">
        <v>247</v>
      </c>
      <c r="I16065" s="26">
        <v>43498</v>
      </c>
      <c r="J16065" s="23" t="str">
        <f>HYPERLINK("https://www.spark-marketing.ru/Card/Person/1156026", "ООО ""З И Б ПЛЮС""")</f>
        <v>ООО "З И Б ПЛЮС"</v>
      </c>
      <c r="K16065" s="24" t="s">
        <v>18432</v>
      </c>
      <c r="L16065" s="28" t="s">
        <v>52</v>
      </c>
      <c r="M16065" s="25">
        <v>56813.63</v>
      </c>
      <c r="N16065" s="27">
        <v>0.35500111825964742</v>
      </c>
    </row>
    <row r="16066" spans="1:14" ht="12.75" hidden="1" outlineLevel="1" x14ac:dyDescent="0.2">
      <c r="A16066" s="23" t="str">
        <f t="shared" si="839"/>
        <v>ФГБУ ДПНС "ТЕРЕМОК" МИНЗДРАВА РОССИИ</v>
      </c>
      <c r="B16066" s="24" t="s">
        <v>18429</v>
      </c>
      <c r="C16066" s="25">
        <v>88083.3</v>
      </c>
      <c r="D16066" s="22" t="s">
        <v>18430</v>
      </c>
      <c r="E16066" s="22" t="s">
        <v>103</v>
      </c>
      <c r="F16066" s="23" t="str">
        <f t="shared" si="840"/>
        <v>Услуги по техническому обслуживанию систем видеонаблюдения .</v>
      </c>
      <c r="G16066" s="22" t="s">
        <v>247</v>
      </c>
      <c r="H16066" s="22" t="s">
        <v>247</v>
      </c>
      <c r="I16066" s="26">
        <v>43498</v>
      </c>
      <c r="J16066" s="23" t="str">
        <f>HYPERLINK("https://www.spark-marketing.ru/Card/Person/304593", "ООО ""КСБ""")</f>
        <v>ООО "КСБ"</v>
      </c>
      <c r="K16066" s="24" t="s">
        <v>8152</v>
      </c>
      <c r="L16066" s="22" t="s">
        <v>10</v>
      </c>
      <c r="M16066" s="25">
        <v>19377.22</v>
      </c>
      <c r="N16066" s="27">
        <v>0.78001255629614241</v>
      </c>
    </row>
    <row r="16067" spans="1:14" hidden="1" outlineLevel="1" x14ac:dyDescent="0.2">
      <c r="A16067" s="23" t="str">
        <f t="shared" si="839"/>
        <v>ФГБУ ДПНС "ТЕРЕМОК" МИНЗДРАВА РОССИИ</v>
      </c>
      <c r="B16067" s="24" t="s">
        <v>18429</v>
      </c>
      <c r="C16067" s="25">
        <v>88083.3</v>
      </c>
      <c r="D16067" s="22" t="s">
        <v>18430</v>
      </c>
      <c r="E16067" s="22" t="s">
        <v>103</v>
      </c>
      <c r="F16067" s="23" t="str">
        <f t="shared" si="840"/>
        <v>Услуги по техническому обслуживанию систем видеонаблюдения .</v>
      </c>
      <c r="G16067" s="22" t="s">
        <v>247</v>
      </c>
      <c r="H16067" s="22" t="s">
        <v>247</v>
      </c>
      <c r="I16067" s="26">
        <v>43498</v>
      </c>
      <c r="J16067" s="23" t="str">
        <f>HYPERLINK("https://www.spark-marketing.ru/Card/Person/125486", "ООО ""АВАНТ""")</f>
        <v>ООО "АВАНТ"</v>
      </c>
      <c r="K16067" s="24" t="s">
        <v>18433</v>
      </c>
      <c r="L16067" s="28" t="s">
        <v>52</v>
      </c>
      <c r="M16067" s="25">
        <v>45362</v>
      </c>
      <c r="N16067" s="27">
        <v>0.48501021192439431</v>
      </c>
    </row>
    <row r="16068" spans="1:14" hidden="1" outlineLevel="1" x14ac:dyDescent="0.2">
      <c r="A16068" s="23" t="str">
        <f t="shared" si="839"/>
        <v>ФГБУ ДПНС "ТЕРЕМОК" МИНЗДРАВА РОССИИ</v>
      </c>
      <c r="B16068" s="24" t="s">
        <v>18429</v>
      </c>
      <c r="C16068" s="25">
        <v>88083.3</v>
      </c>
      <c r="D16068" s="22" t="s">
        <v>18430</v>
      </c>
      <c r="E16068" s="22" t="s">
        <v>103</v>
      </c>
      <c r="F16068" s="23" t="str">
        <f t="shared" si="840"/>
        <v>Услуги по техническому обслуживанию систем видеонаблюдения .</v>
      </c>
      <c r="G16068" s="22" t="s">
        <v>247</v>
      </c>
      <c r="H16068" s="22" t="s">
        <v>247</v>
      </c>
      <c r="I16068" s="26">
        <v>43498</v>
      </c>
      <c r="J16068" s="23" t="str">
        <f>HYPERLINK("https://www.spark-marketing.ru/Card/Person/342072", "ООО ""ЩИТ-МОНТАЖ""")</f>
        <v>ООО "ЩИТ-МОНТАЖ"</v>
      </c>
      <c r="K16068" s="24" t="s">
        <v>18434</v>
      </c>
      <c r="L16068" s="28" t="s">
        <v>52</v>
      </c>
      <c r="M16068" s="25">
        <v>86762.04</v>
      </c>
      <c r="N16068" s="27">
        <v>1.5000119205343124E-2</v>
      </c>
    </row>
    <row r="16069" spans="1:14" hidden="1" outlineLevel="1" x14ac:dyDescent="0.2">
      <c r="A16069" s="23" t="str">
        <f t="shared" si="839"/>
        <v>ФГБУ ДПНС "ТЕРЕМОК" МИНЗДРАВА РОССИИ</v>
      </c>
      <c r="B16069" s="24" t="s">
        <v>18429</v>
      </c>
      <c r="C16069" s="25">
        <v>88083.3</v>
      </c>
      <c r="D16069" s="22" t="s">
        <v>18430</v>
      </c>
      <c r="E16069" s="22" t="s">
        <v>103</v>
      </c>
      <c r="F16069" s="23" t="str">
        <f t="shared" si="840"/>
        <v>Услуги по техническому обслуживанию систем видеонаблюдения .</v>
      </c>
      <c r="G16069" s="22" t="s">
        <v>247</v>
      </c>
      <c r="H16069" s="22" t="s">
        <v>247</v>
      </c>
      <c r="I16069" s="26">
        <v>43498</v>
      </c>
      <c r="J16069" s="23" t="str">
        <f>HYPERLINK("https://www.spark-marketing.ru/Card/Person/141167", "ООО ""ИНТЕГРАТОР""")</f>
        <v>ООО "ИНТЕГРАТОР"</v>
      </c>
      <c r="K16069" s="24" t="s">
        <v>1755</v>
      </c>
      <c r="L16069" s="28" t="s">
        <v>52</v>
      </c>
      <c r="M16069" s="25">
        <v>76632.44</v>
      </c>
      <c r="N16069" s="27">
        <v>0.13000035193958445</v>
      </c>
    </row>
    <row r="16070" spans="1:14" hidden="1" outlineLevel="1" x14ac:dyDescent="0.2">
      <c r="A16070" s="23" t="str">
        <f t="shared" si="839"/>
        <v>ФГБУ ДПНС "ТЕРЕМОК" МИНЗДРАВА РОССИИ</v>
      </c>
      <c r="B16070" s="24" t="s">
        <v>18429</v>
      </c>
      <c r="C16070" s="25">
        <v>88083.3</v>
      </c>
      <c r="D16070" s="22" t="s">
        <v>18430</v>
      </c>
      <c r="E16070" s="22" t="s">
        <v>103</v>
      </c>
      <c r="F16070" s="23" t="str">
        <f t="shared" si="840"/>
        <v>Услуги по техническому обслуживанию систем видеонаблюдения .</v>
      </c>
      <c r="G16070" s="22" t="s">
        <v>247</v>
      </c>
      <c r="H16070" s="22" t="s">
        <v>247</v>
      </c>
      <c r="I16070" s="26">
        <v>43498</v>
      </c>
      <c r="J16070" s="23" t="str">
        <f>HYPERLINK("https://www.spark-marketing.ru/Card/Person/4365919", "ООО ""РЕЗИДЕНТ""")</f>
        <v>ООО "РЕЗИДЕНТ"</v>
      </c>
      <c r="K16070" s="24" t="s">
        <v>18435</v>
      </c>
      <c r="L16070" s="28" t="s">
        <v>52</v>
      </c>
      <c r="M16070" s="25">
        <v>67383.679999999993</v>
      </c>
      <c r="N16070" s="27">
        <v>0.23500050520359705</v>
      </c>
    </row>
    <row r="16071" spans="1:14" x14ac:dyDescent="0.15">
      <c r="A16071" s="23" t="str">
        <f>HYPERLINK("https://www.spark-marketing.ru/Card/Person/1342823", "МДОУ Д/С № 1720 ""НОВОСТИ""")</f>
        <v>МДОУ Д/С № 1720 "НОВОСТИ"</v>
      </c>
      <c r="B16071" s="24" t="s">
        <v>18436</v>
      </c>
      <c r="C16071" s="25">
        <v>100800</v>
      </c>
      <c r="D16071" s="22" t="s">
        <v>18437</v>
      </c>
      <c r="E16071" s="22" t="s">
        <v>107</v>
      </c>
      <c r="F16071" s="23" t="str">
        <f>HYPERLINK("https://www.spark-marketing.ru/Card/Lot/67651732", "Техническое обслуживание системы видеонаблюдения и системы домофонии")</f>
        <v>Техническое обслуживание системы видеонаблюдения и системы домофонии</v>
      </c>
      <c r="G16071" s="22" t="s">
        <v>50</v>
      </c>
      <c r="H16071" s="22" t="s">
        <v>5291</v>
      </c>
      <c r="I16071" s="26">
        <v>43497.824918981503</v>
      </c>
      <c r="J16071" s="28" t="s">
        <v>52</v>
      </c>
      <c r="K16071" s="28" t="s">
        <v>52</v>
      </c>
      <c r="L16071" s="28" t="s">
        <v>52</v>
      </c>
      <c r="M16071" s="28" t="s">
        <v>52</v>
      </c>
      <c r="N16071" s="28" t="s">
        <v>52</v>
      </c>
    </row>
    <row r="16072" spans="1:14" x14ac:dyDescent="0.15">
      <c r="A16072" s="23" t="str">
        <f>HYPERLINK("https://www.spark-marketing.ru/Card/Person/4453549", "МАДОУ Д/С №29 ""РАДУГА""")</f>
        <v>МАДОУ Д/С №29 "РАДУГА"</v>
      </c>
      <c r="B16072" s="24" t="s">
        <v>18146</v>
      </c>
      <c r="C16072" s="25">
        <v>14400</v>
      </c>
      <c r="D16072" s="22" t="s">
        <v>18438</v>
      </c>
      <c r="E16072" s="22" t="s">
        <v>103</v>
      </c>
      <c r="F16072" s="23" t="str">
        <f>HYPERLINK("https://www.spark-marketing.ru/Card/Lot/67650532", "Оказание услуг по техническому обслуживанию системы видеонаблюдения")</f>
        <v>Оказание услуг по техническому обслуживанию системы видеонаблюдения</v>
      </c>
      <c r="G16072" s="22" t="s">
        <v>50</v>
      </c>
      <c r="H16072" s="22" t="s">
        <v>4782</v>
      </c>
      <c r="I16072" s="26">
        <v>43497.720752314803</v>
      </c>
      <c r="J16072" s="28" t="s">
        <v>52</v>
      </c>
      <c r="K16072" s="28" t="s">
        <v>52</v>
      </c>
      <c r="L16072" s="28" t="s">
        <v>52</v>
      </c>
      <c r="M16072" s="28" t="s">
        <v>52</v>
      </c>
      <c r="N16072" s="28" t="s">
        <v>52</v>
      </c>
    </row>
    <row r="16073" spans="1:14" x14ac:dyDescent="0.2">
      <c r="A16073" s="23" t="str">
        <f>HYPERLINK("https://www.spark-marketing.ru/Card/Person/652170", "ГУП ""ФХУ КОМПЛЕКСА АРХИТЕКТУРЫ, СТРОИТЕЛЬСТВА, РАЗВИТИЯ И РЕКОНСТРУКЦИИ ГОРОДА""")</f>
        <v>ГУП "ФХУ КОМПЛЕКСА АРХИТЕКТУРЫ, СТРОИТЕЛЬСТВА, РАЗВИТИЯ И РЕКОНСТРУКЦИИ ГОРОДА"</v>
      </c>
      <c r="B16073" s="24" t="s">
        <v>18439</v>
      </c>
      <c r="C16073" s="25">
        <v>274716.2</v>
      </c>
      <c r="D16073" s="22" t="s">
        <v>18440</v>
      </c>
      <c r="E16073" s="22" t="s">
        <v>137</v>
      </c>
      <c r="F16073" s="23" t="str">
        <f>HYPERLINK("https://www.spark-marketing.ru/Card/Lot/67650653", "Оказание услуг по техническому обслуживанию системы охранного видеонаблюдения на объекте ГУП ""ФХУ Комплекса архитектуры, строительства, развития и реконструкции города"" по адресу: г. Москва, Никитский переулок, дом 5, строение 6 в 2019 г.")</f>
        <v>Оказание услуг по техническому обслуживанию системы охранного видеонаблюдения на объекте ГУП "ФХУ Комплекса архитектуры, строительства, развития и реконструкции города" по адресу: г. Москва, Никитский переулок, дом 5, строение 6 в 2019 г.</v>
      </c>
      <c r="G16073" s="22" t="s">
        <v>55</v>
      </c>
      <c r="H16073" s="22" t="s">
        <v>55</v>
      </c>
      <c r="I16073" s="26">
        <v>43497.731087963002</v>
      </c>
      <c r="J16073" s="23" t="str">
        <f>HYPERLINK("https://www.spark-marketing.ru/Card/Person/118132", "ООО ""СИГНА-М""")</f>
        <v>ООО "СИГНА-М"</v>
      </c>
      <c r="K16073" s="24" t="s">
        <v>18441</v>
      </c>
      <c r="L16073" s="28" t="s">
        <v>52</v>
      </c>
      <c r="M16073" s="25">
        <v>274716.2</v>
      </c>
      <c r="N16073" s="27">
        <v>0</v>
      </c>
    </row>
    <row r="16074" spans="1:14" x14ac:dyDescent="0.2">
      <c r="A16074" s="23" t="str">
        <f>HYPERLINK("https://www.spark-marketing.ru/Card/Person/652170", "ГУП ""ФХУ КОМПЛЕКСА АРХИТЕКТУРЫ, СТРОИТЕЛЬСТВА, РАЗВИТИЯ И РЕКОНСТРУКЦИИ ГОРОДА""")</f>
        <v>ГУП "ФХУ КОМПЛЕКСА АРХИТЕКТУРЫ, СТРОИТЕЛЬСТВА, РАЗВИТИЯ И РЕКОНСТРУКЦИИ ГОРОДА"</v>
      </c>
      <c r="B16074" s="24" t="s">
        <v>18439</v>
      </c>
      <c r="C16074" s="25">
        <v>270650.82</v>
      </c>
      <c r="D16074" s="22" t="s">
        <v>18442</v>
      </c>
      <c r="E16074" s="22" t="s">
        <v>137</v>
      </c>
      <c r="F16074" s="23" t="str">
        <f>HYPERLINK("https://www.spark-marketing.ru/Card/Lot/67650601", "Оказание услуг по техническому обслуживанию системы охранного видеонаблюдения на объекте ГУП ""ФХУ Комплекса архитектуры, строительства, развития и реконструкции города"" по адресу: г. Москва, Никитский переулок, дом 4, строение 2 в 2019 г.")</f>
        <v>Оказание услуг по техническому обслуживанию системы охранного видеонаблюдения на объекте ГУП "ФХУ Комплекса архитектуры, строительства, развития и реконструкции города" по адресу: г. Москва, Никитский переулок, дом 4, строение 2 в 2019 г.</v>
      </c>
      <c r="G16074" s="22" t="s">
        <v>55</v>
      </c>
      <c r="H16074" s="22" t="s">
        <v>55</v>
      </c>
      <c r="I16074" s="26">
        <v>43497.7289930556</v>
      </c>
      <c r="J16074" s="23" t="str">
        <f>HYPERLINK("https://www.spark-marketing.ru/Card/Person/118132", "ООО ""СИГНА-М""")</f>
        <v>ООО "СИГНА-М"</v>
      </c>
      <c r="K16074" s="24" t="s">
        <v>18441</v>
      </c>
      <c r="L16074" s="28" t="s">
        <v>52</v>
      </c>
      <c r="M16074" s="25">
        <v>270650.82</v>
      </c>
      <c r="N16074" s="27">
        <v>0</v>
      </c>
    </row>
    <row r="16075" spans="1:14" x14ac:dyDescent="0.15">
      <c r="A16075" s="23" t="str">
        <f>HYPERLINK("https://www.spark-marketing.ru/Card/Person/136424", "МБОУ СОШ №2")</f>
        <v>МБОУ СОШ №2</v>
      </c>
      <c r="B16075" s="24" t="s">
        <v>18443</v>
      </c>
      <c r="C16075" s="25">
        <v>13750</v>
      </c>
      <c r="D16075" s="22" t="s">
        <v>18444</v>
      </c>
      <c r="E16075" s="22" t="s">
        <v>103</v>
      </c>
      <c r="F16075" s="23" t="str">
        <f>HYPERLINK("https://www.spark-marketing.ru/Card/Lot/67644645", "техническому обслуживанию систем видеонаблюдения")</f>
        <v>техническому обслуживанию систем видеонаблюдения</v>
      </c>
      <c r="G16075" s="22" t="s">
        <v>402</v>
      </c>
      <c r="H16075" s="22" t="s">
        <v>631</v>
      </c>
      <c r="I16075" s="26">
        <v>43497.667361111096</v>
      </c>
      <c r="J16075" s="28" t="s">
        <v>52</v>
      </c>
      <c r="K16075" s="28" t="s">
        <v>52</v>
      </c>
      <c r="L16075" s="28" t="s">
        <v>52</v>
      </c>
      <c r="M16075" s="28" t="s">
        <v>52</v>
      </c>
      <c r="N16075" s="28" t="s">
        <v>52</v>
      </c>
    </row>
    <row r="16076" spans="1:14" x14ac:dyDescent="0.15">
      <c r="A16076" s="23" t="str">
        <f>HYPERLINK("https://www.spark-marketing.ru/Card/Person/4346563", "ПАО ""ГАЗПРОМ""")</f>
        <v>ПАО "ГАЗПРОМ"</v>
      </c>
      <c r="B16076" s="24" t="s">
        <v>1548</v>
      </c>
      <c r="C16076" s="25">
        <v>290153152</v>
      </c>
      <c r="D16076" s="22" t="s">
        <v>18445</v>
      </c>
      <c r="E16076" s="22" t="s">
        <v>606</v>
      </c>
      <c r="F16076" s="23" t="str">
        <f>HYPERLINK("https://www.spark-marketing.ru/Card/Lot/67648022", "Строительство объектов: «Система охраны УКПГ ДКС ГП-3 Медвежьего НГКМ» (код 022-2000791.0068), «Система охраны УКПГ ДКС ГП-4 Медвежьего НГКМ» (код 022-2000791.0106) стройки «Газовые промыслы Медвежьего НГКМ. Реконструкция и техперевооружение. 2-я оче...")</f>
        <v>Строительство объектов: «Система охраны УКПГ ДКС ГП-3 Медвежьего НГКМ» (код 022-2000791.0068), «Система охраны УКПГ ДКС ГП-4 Медвежьего НГКМ» (код 022-2000791.0106) стройки «Газовые промыслы Медвежьего НГКМ. Реконструкция и техперевооружение. 2-я оче...</v>
      </c>
      <c r="G16076" s="22" t="s">
        <v>55</v>
      </c>
      <c r="H16076" s="22" t="s">
        <v>55</v>
      </c>
      <c r="I16076" s="26">
        <v>43497.682858796303</v>
      </c>
      <c r="J16076" s="28" t="s">
        <v>52</v>
      </c>
      <c r="K16076" s="28" t="s">
        <v>52</v>
      </c>
      <c r="L16076" s="28" t="s">
        <v>52</v>
      </c>
      <c r="M16076" s="28" t="s">
        <v>52</v>
      </c>
      <c r="N16076" s="28" t="s">
        <v>52</v>
      </c>
    </row>
    <row r="16077" spans="1:14" x14ac:dyDescent="0.15">
      <c r="A16077" s="23" t="str">
        <f>HYPERLINK("https://www.spark-marketing.ru/Card/Person/6474612", "МАУ ""ДКМ""")</f>
        <v>МАУ "ДКМ"</v>
      </c>
      <c r="B16077" s="24" t="s">
        <v>1843</v>
      </c>
      <c r="C16077" s="25">
        <v>409968</v>
      </c>
      <c r="D16077" s="22" t="s">
        <v>18446</v>
      </c>
      <c r="E16077" s="22" t="s">
        <v>789</v>
      </c>
      <c r="F16077" s="23" t="str">
        <f>HYPERLINK("https://www.spark-marketing.ru/Card/Lot/67643263", "Оказание охранных услуг")</f>
        <v>Оказание охранных услуг</v>
      </c>
      <c r="G16077" s="22" t="s">
        <v>72</v>
      </c>
      <c r="H16077" s="22" t="s">
        <v>72</v>
      </c>
      <c r="I16077" s="26">
        <v>43497.698576388902</v>
      </c>
      <c r="J16077" s="28" t="s">
        <v>52</v>
      </c>
      <c r="K16077" s="28" t="s">
        <v>52</v>
      </c>
      <c r="L16077" s="28" t="s">
        <v>52</v>
      </c>
      <c r="M16077" s="28" t="s">
        <v>52</v>
      </c>
      <c r="N16077" s="28" t="s">
        <v>52</v>
      </c>
    </row>
    <row r="16078" spans="1:14" x14ac:dyDescent="0.15">
      <c r="A16078" s="23" t="str">
        <f>HYPERLINK("https://www.spark-marketing.ru/Card/Person/59756", "МБДОУ Д/С № 40 ""РИТМ""")</f>
        <v>МБДОУ Д/С № 40 "РИТМ"</v>
      </c>
      <c r="B16078" s="24" t="s">
        <v>18447</v>
      </c>
      <c r="C16078" s="25">
        <v>49000</v>
      </c>
      <c r="D16078" s="22" t="s">
        <v>18448</v>
      </c>
      <c r="E16078" s="22" t="s">
        <v>298</v>
      </c>
      <c r="F16078" s="23" t="str">
        <f>HYPERLINK("https://www.spark-marketing.ru/Card/Lot/67647770", "Оказание услуг в 2019 году по техническому обслуживанию видеонаблюдения и видеодомофона для нужд МБДОУ Д/с №40 ""Ритм""")</f>
        <v>Оказание услуг в 2019 году по техническому обслуживанию видеонаблюдения и видеодомофона для нужд МБДОУ Д/с №40 "Ритм"</v>
      </c>
      <c r="G16078" s="22" t="s">
        <v>50</v>
      </c>
      <c r="H16078" s="22" t="s">
        <v>938</v>
      </c>
      <c r="I16078" s="26">
        <v>43497.6800925926</v>
      </c>
      <c r="J16078" s="28" t="s">
        <v>52</v>
      </c>
      <c r="K16078" s="28" t="s">
        <v>52</v>
      </c>
      <c r="L16078" s="28" t="s">
        <v>52</v>
      </c>
      <c r="M16078" s="28" t="s">
        <v>52</v>
      </c>
      <c r="N16078" s="28" t="s">
        <v>52</v>
      </c>
    </row>
    <row r="16079" spans="1:14" x14ac:dyDescent="0.15">
      <c r="A16079" s="23" t="str">
        <f>HYPERLINK("https://www.spark-marketing.ru/Card/Person/1770514", "МАДОУ Д/С №18 ""ВЕСЕЛЫЕ СТРИЖИ""")</f>
        <v>МАДОУ Д/С №18 "ВЕСЕЛЫЕ СТРИЖИ"</v>
      </c>
      <c r="B16079" s="24" t="s">
        <v>18449</v>
      </c>
      <c r="C16079" s="25">
        <v>120000</v>
      </c>
      <c r="D16079" s="22" t="s">
        <v>18450</v>
      </c>
      <c r="E16079" s="22" t="s">
        <v>103</v>
      </c>
      <c r="F16079" s="23" t="str">
        <f>HYPERLINK("https://www.spark-marketing.ru/Card/Lot/67647684", "Оказание услуг технического обслуживания системы видеонаблюдения")</f>
        <v>Оказание услуг технического обслуживания системы видеонаблюдения</v>
      </c>
      <c r="G16079" s="22" t="s">
        <v>50</v>
      </c>
      <c r="H16079" s="22" t="s">
        <v>4782</v>
      </c>
      <c r="I16079" s="26">
        <v>43497.700219907398</v>
      </c>
      <c r="J16079" s="28" t="s">
        <v>52</v>
      </c>
      <c r="K16079" s="28" t="s">
        <v>52</v>
      </c>
      <c r="L16079" s="28" t="s">
        <v>52</v>
      </c>
      <c r="M16079" s="28" t="s">
        <v>52</v>
      </c>
      <c r="N16079" s="28" t="s">
        <v>52</v>
      </c>
    </row>
    <row r="16080" spans="1:14" x14ac:dyDescent="0.2">
      <c r="A16080" s="23" t="str">
        <f>HYPERLINK("https://www.spark-marketing.ru/Card/Person/538739", "МАУЗ ""ЦГБ № 3"" Г. ЕКАТЕРИНБУРГА")</f>
        <v>МАУЗ "ЦГБ № 3" Г. ЕКАТЕРИНБУРГА</v>
      </c>
      <c r="B16080" s="24" t="s">
        <v>1249</v>
      </c>
      <c r="C16080" s="25">
        <v>453755.52</v>
      </c>
      <c r="D16080" s="22" t="s">
        <v>18451</v>
      </c>
      <c r="E16080" s="22" t="s">
        <v>144</v>
      </c>
      <c r="F16080" s="23" t="str">
        <f>HYPERLINK("https://www.spark-marketing.ru/Card/Lot/67643227", "Оказание услуг физической охраны объектов военизированными подразделениями")</f>
        <v>Оказание услуг физической охраны объектов военизированными подразделениями</v>
      </c>
      <c r="G16080" s="22" t="s">
        <v>72</v>
      </c>
      <c r="H16080" s="22" t="s">
        <v>72</v>
      </c>
      <c r="I16080" s="26">
        <v>43497.685717592598</v>
      </c>
      <c r="J16080" s="23" t="str">
        <f>HYPERLINK("https://www.spark-marketing.ru/Card/Person/10487", "ФГУП ""ОХРАНА"" РОСГВАРДИИ")</f>
        <v>ФГУП "ОХРАНА" РОСГВАРДИИ</v>
      </c>
      <c r="K16080" s="24" t="s">
        <v>779</v>
      </c>
      <c r="L16080" s="28" t="s">
        <v>52</v>
      </c>
      <c r="M16080" s="25">
        <v>453755.52</v>
      </c>
      <c r="N16080" s="27">
        <v>0</v>
      </c>
    </row>
    <row r="16081" spans="1:14" x14ac:dyDescent="0.15">
      <c r="A16081" s="23" t="str">
        <f>HYPERLINK("https://www.spark-marketing.ru/Card/Person/114576", "МОУ СОШ № 75")</f>
        <v>МОУ СОШ № 75</v>
      </c>
      <c r="B16081" s="24" t="s">
        <v>18452</v>
      </c>
      <c r="C16081" s="25">
        <v>85000</v>
      </c>
      <c r="D16081" s="22" t="s">
        <v>18453</v>
      </c>
      <c r="E16081" s="22" t="s">
        <v>294</v>
      </c>
      <c r="F16081" s="23" t="str">
        <f>HYPERLINK("https://www.spark-marketing.ru/Card/Lot/67645125", "Услуги по техническому обслуживанию аудио и видеотехники для ЕГЭ")</f>
        <v>Услуги по техническому обслуживанию аудио и видеотехники для ЕГЭ</v>
      </c>
      <c r="G16081" s="22" t="s">
        <v>50</v>
      </c>
      <c r="H16081" s="22" t="s">
        <v>2545</v>
      </c>
      <c r="I16081" s="26">
        <v>43497.648148148102</v>
      </c>
      <c r="J16081" s="28" t="s">
        <v>52</v>
      </c>
      <c r="K16081" s="28" t="s">
        <v>52</v>
      </c>
      <c r="L16081" s="28" t="s">
        <v>52</v>
      </c>
      <c r="M16081" s="28" t="s">
        <v>52</v>
      </c>
      <c r="N16081" s="28" t="s">
        <v>52</v>
      </c>
    </row>
    <row r="16082" spans="1:14" x14ac:dyDescent="0.15">
      <c r="A16082" s="23" t="str">
        <f>HYPERLINK("https://www.spark-marketing.ru/Card/Person/140166", "МОУ ""ЗОЛОТОВСКАЯ СОШ""")</f>
        <v>МОУ "ЗОЛОТОВСКАЯ СОШ"</v>
      </c>
      <c r="B16082" s="24" t="s">
        <v>18454</v>
      </c>
      <c r="C16082" s="25">
        <v>9400</v>
      </c>
      <c r="D16082" s="22" t="s">
        <v>18455</v>
      </c>
      <c r="E16082" s="22" t="s">
        <v>103</v>
      </c>
      <c r="F16082" s="23" t="str">
        <f>HYPERLINK("https://www.spark-marketing.ru/Card/Lot/67645109", "Оказание услуг по техническому обслуживанию комплекса технических средств охраны на объектах и технологическому обеспечению работоспособности оконечного устройства систем передачи извещений на 2018год")</f>
        <v>Оказание услуг по техническому обслуживанию комплекса технических средств охраны на объектах и технологическому обеспечению работоспособности оконечного устройства систем передачи извещений на 2018год</v>
      </c>
      <c r="G16082" s="22" t="s">
        <v>50</v>
      </c>
      <c r="H16082" s="22" t="s">
        <v>2463</v>
      </c>
      <c r="I16082" s="26">
        <v>43497.658831018503</v>
      </c>
      <c r="J16082" s="28" t="s">
        <v>52</v>
      </c>
      <c r="K16082" s="28" t="s">
        <v>52</v>
      </c>
      <c r="L16082" s="28" t="s">
        <v>52</v>
      </c>
      <c r="M16082" s="28" t="s">
        <v>52</v>
      </c>
      <c r="N16082" s="28" t="s">
        <v>52</v>
      </c>
    </row>
    <row r="16083" spans="1:14" x14ac:dyDescent="0.15">
      <c r="A16083" s="23" t="str">
        <f>HYPERLINK("https://www.spark-marketing.ru/Card/Person/361649", "АО ""СУЗУНСКИЙ ЛЕСХОЗ""")</f>
        <v>АО "СУЗУНСКИЙ ЛЕСХОЗ"</v>
      </c>
      <c r="B16083" s="24" t="s">
        <v>18456</v>
      </c>
      <c r="C16083" s="25">
        <v>500000</v>
      </c>
      <c r="D16083" s="22" t="s">
        <v>18457</v>
      </c>
      <c r="E16083" s="22" t="s">
        <v>2204</v>
      </c>
      <c r="F16083" s="23" t="str">
        <f>HYPERLINK("https://www.spark-marketing.ru/Card/Lot/67631897", "закупка видеокамеры с установкой")</f>
        <v>закупка видеокамеры с установкой</v>
      </c>
      <c r="G16083" s="22" t="s">
        <v>209</v>
      </c>
      <c r="H16083" s="22" t="s">
        <v>209</v>
      </c>
      <c r="I16083" s="26">
        <v>43497.589618055601</v>
      </c>
      <c r="J16083" s="28" t="s">
        <v>52</v>
      </c>
      <c r="K16083" s="28" t="s">
        <v>52</v>
      </c>
      <c r="L16083" s="28" t="s">
        <v>52</v>
      </c>
      <c r="M16083" s="28" t="s">
        <v>52</v>
      </c>
      <c r="N16083" s="28" t="s">
        <v>52</v>
      </c>
    </row>
    <row r="16084" spans="1:14" x14ac:dyDescent="0.15">
      <c r="A16084" s="23" t="str">
        <f>HYPERLINK("https://www.spark-marketing.ru/Card/Person/4348562", "АО ""АТОМТЕХЭНЕРГО""")</f>
        <v>АО "АТОМТЕХЭНЕРГО"</v>
      </c>
      <c r="B16084" s="24" t="s">
        <v>4449</v>
      </c>
      <c r="C16084" s="28" t="s">
        <v>52</v>
      </c>
      <c r="D16084" s="22" t="s">
        <v>18458</v>
      </c>
      <c r="E16084" s="22" t="s">
        <v>53</v>
      </c>
      <c r="F16084" s="23" t="str">
        <f>HYPERLINK("https://www.spark-marketing.ru/Card/Lot/67648340", "Оказание услуг по охране объектов для нужд Нововоронежского филиала ""Нововоронежатолмтехэнерго"" АО ""Атомтехэнерго"" (1178028)")</f>
        <v>Оказание услуг по охране объектов для нужд Нововоронежского филиала "Нововоронежатолмтехэнерго" АО "Атомтехэнерго" (1178028)</v>
      </c>
      <c r="G16084" s="22" t="s">
        <v>55</v>
      </c>
      <c r="H16084" s="22" t="s">
        <v>55</v>
      </c>
      <c r="I16084" s="26">
        <v>43497.621539351901</v>
      </c>
      <c r="J16084" s="28" t="s">
        <v>52</v>
      </c>
      <c r="K16084" s="28" t="s">
        <v>52</v>
      </c>
      <c r="L16084" s="28" t="s">
        <v>52</v>
      </c>
      <c r="M16084" s="28" t="s">
        <v>52</v>
      </c>
      <c r="N16084" s="28" t="s">
        <v>52</v>
      </c>
    </row>
    <row r="16085" spans="1:14" x14ac:dyDescent="0.15">
      <c r="A16085" s="23" t="str">
        <f>HYPERLINK("https://www.spark-marketing.ru/Card/Person/1760602", "МАОУ ИЛЬИНСКАЯ СОШ ИМ.ПОЛНОГО КАВАЛЕРА ОРДЕНА СЛАВЫ И.И.СИДОРОВА")</f>
        <v>МАОУ ИЛЬИНСКАЯ СОШ ИМ.ПОЛНОГО КАВАЛЕРА ОРДЕНА СЛАВЫ И.И.СИДОРОВА</v>
      </c>
      <c r="B16085" s="24" t="s">
        <v>18459</v>
      </c>
      <c r="C16085" s="25">
        <v>35000</v>
      </c>
      <c r="D16085" s="22" t="s">
        <v>18460</v>
      </c>
      <c r="E16085" s="22" t="s">
        <v>103</v>
      </c>
      <c r="F16085" s="23" t="str">
        <f>HYPERLINK("https://www.spark-marketing.ru/Card/Lot/67641303", "Услуги по техническое обслуживание системы доступа (домофон) и системы видеонаблюдения")</f>
        <v>Услуги по техническое обслуживание системы доступа (домофон) и системы видеонаблюдения</v>
      </c>
      <c r="G16085" s="22" t="s">
        <v>50</v>
      </c>
      <c r="H16085" s="22" t="s">
        <v>4782</v>
      </c>
      <c r="I16085" s="26">
        <v>43497.595763888901</v>
      </c>
      <c r="J16085" s="28" t="s">
        <v>52</v>
      </c>
      <c r="K16085" s="28" t="s">
        <v>52</v>
      </c>
      <c r="L16085" s="28" t="s">
        <v>52</v>
      </c>
      <c r="M16085" s="28" t="s">
        <v>52</v>
      </c>
      <c r="N16085" s="28" t="s">
        <v>52</v>
      </c>
    </row>
    <row r="16086" spans="1:14" x14ac:dyDescent="0.15">
      <c r="A16086" s="23" t="str">
        <f>HYPERLINK("https://www.spark-marketing.ru/Card/Person/1077424", "МУ КСШОР")</f>
        <v>МУ КСШОР</v>
      </c>
      <c r="B16086" s="24" t="s">
        <v>18461</v>
      </c>
      <c r="C16086" s="25">
        <v>91300</v>
      </c>
      <c r="D16086" s="22" t="s">
        <v>18462</v>
      </c>
      <c r="E16086" s="22" t="s">
        <v>103</v>
      </c>
      <c r="F16086" s="23" t="str">
        <f>HYPERLINK("https://www.spark-marketing.ru/Card/Lot/67638702", "Оказание услуг по техническому обслуживанию систем видеонаблюдения и слаботочных систем")</f>
        <v>Оказание услуг по техническому обслуживанию систем видеонаблюдения и слаботочных систем</v>
      </c>
      <c r="G16086" s="22" t="s">
        <v>50</v>
      </c>
      <c r="H16086" s="22" t="s">
        <v>5291</v>
      </c>
      <c r="I16086" s="26">
        <v>43497.574999999997</v>
      </c>
      <c r="J16086" s="28" t="s">
        <v>52</v>
      </c>
      <c r="K16086" s="28" t="s">
        <v>52</v>
      </c>
      <c r="L16086" s="28" t="s">
        <v>52</v>
      </c>
      <c r="M16086" s="28" t="s">
        <v>52</v>
      </c>
      <c r="N16086" s="28" t="s">
        <v>52</v>
      </c>
    </row>
    <row r="16087" spans="1:14" x14ac:dyDescent="0.15">
      <c r="A16087" s="23" t="str">
        <f>HYPERLINK("https://www.spark-marketing.ru/Card/Person/144458", "ГКОУ РО ВОЛГОДОНСКАЯ СПЕЦИАЛЬНАЯ ШКОЛА-ИНТЕРНАТ ""ВОСХОЖДЕНИЕ""")</f>
        <v>ГКОУ РО ВОЛГОДОНСКАЯ СПЕЦИАЛЬНАЯ ШКОЛА-ИНТЕРНАТ "ВОСХОЖДЕНИЕ"</v>
      </c>
      <c r="B16087" s="24" t="s">
        <v>18463</v>
      </c>
      <c r="C16087" s="25">
        <v>27840</v>
      </c>
      <c r="D16087" s="22" t="s">
        <v>18464</v>
      </c>
      <c r="E16087" s="22" t="s">
        <v>2623</v>
      </c>
      <c r="F16087" s="23" t="str">
        <f>HYPERLINK("https://www.spark-marketing.ru/Card/Lot/67637701", "Обслуживание системы видеонаблюдения")</f>
        <v>Обслуживание системы видеонаблюдения</v>
      </c>
      <c r="G16087" s="22" t="s">
        <v>402</v>
      </c>
      <c r="H16087" s="22" t="s">
        <v>12630</v>
      </c>
      <c r="I16087" s="26">
        <v>43497.578472222202</v>
      </c>
      <c r="J16087" s="28" t="s">
        <v>52</v>
      </c>
      <c r="K16087" s="28" t="s">
        <v>52</v>
      </c>
      <c r="L16087" s="28" t="s">
        <v>52</v>
      </c>
      <c r="M16087" s="28" t="s">
        <v>52</v>
      </c>
      <c r="N16087" s="28" t="s">
        <v>52</v>
      </c>
    </row>
    <row r="16088" spans="1:14" x14ac:dyDescent="0.15">
      <c r="A16088" s="23" t="str">
        <f>HYPERLINK("https://www.spark-marketing.ru/Card/Person/4348562", "АО ""АТОМТЕХЭНЕРГО""")</f>
        <v>АО "АТОМТЕХЭНЕРГО"</v>
      </c>
      <c r="B16088" s="24" t="s">
        <v>4449</v>
      </c>
      <c r="C16088" s="25">
        <v>0</v>
      </c>
      <c r="D16088" s="22" t="s">
        <v>18465</v>
      </c>
      <c r="E16088" s="22" t="s">
        <v>53</v>
      </c>
      <c r="F16088" s="23" t="str">
        <f>HYPERLINK("https://www.spark-marketing.ru/Card/Lot/67641395", "мониторинг цен в электронной форме на Оказание услуг по охране объектов для нужд Нововоронежского филиала ""Нововоронежатолмтехэнерго"" АО ""Атомтехэнерго""")</f>
        <v>мониторинг цен в электронной форме на Оказание услуг по охране объектов для нужд Нововоронежского филиала "Нововоронежатолмтехэнерго" АО "Атомтехэнерго"</v>
      </c>
      <c r="G16088" s="22" t="s">
        <v>55</v>
      </c>
      <c r="H16088" s="22" t="s">
        <v>55</v>
      </c>
      <c r="I16088" s="26">
        <v>43497.568472222199</v>
      </c>
      <c r="J16088" s="28" t="s">
        <v>52</v>
      </c>
      <c r="K16088" s="28" t="s">
        <v>52</v>
      </c>
      <c r="L16088" s="28" t="s">
        <v>52</v>
      </c>
      <c r="M16088" s="28" t="s">
        <v>52</v>
      </c>
      <c r="N16088" s="28" t="s">
        <v>52</v>
      </c>
    </row>
    <row r="16089" spans="1:14" x14ac:dyDescent="0.15">
      <c r="A16089" s="23" t="str">
        <f>HYPERLINK("https://www.spark-marketing.ru/Card/Person/6217322", "АНО ДПО ""ТЕХНИЧЕСКАЯ АКАДЕМИЯ РОСАТОМА""")</f>
        <v>АНО ДПО "ТЕХНИЧЕСКАЯ АКАДЕМИЯ РОСАТОМА"</v>
      </c>
      <c r="B16089" s="24" t="s">
        <v>656</v>
      </c>
      <c r="C16089" s="28" t="s">
        <v>52</v>
      </c>
      <c r="D16089" s="22" t="s">
        <v>18466</v>
      </c>
      <c r="E16089" s="22" t="s">
        <v>53</v>
      </c>
      <c r="F16089" s="23" t="str">
        <f>HYPERLINK("https://www.spark-marketing.ru/Card/Lot/67641838", "Оказание услуг по техническому обслуживанию средств тревожной сигнализации для нужд филиала АНО ДПО ""Техническая академия Росатома"" ""Нововоронежский учебно-тренировочный центр"" (1177931)")</f>
        <v>Оказание услуг по техническому обслуживанию средств тревожной сигнализации для нужд филиала АНО ДПО "Техническая академия Росатома" "Нововоронежский учебно-тренировочный центр" (1177931)</v>
      </c>
      <c r="G16089" s="22" t="s">
        <v>658</v>
      </c>
      <c r="H16089" s="22" t="s">
        <v>659</v>
      </c>
      <c r="I16089" s="26">
        <v>43497.538217592599</v>
      </c>
      <c r="J16089" s="28" t="s">
        <v>52</v>
      </c>
      <c r="K16089" s="28" t="s">
        <v>52</v>
      </c>
      <c r="L16089" s="28" t="s">
        <v>52</v>
      </c>
      <c r="M16089" s="28" t="s">
        <v>52</v>
      </c>
      <c r="N16089" s="28" t="s">
        <v>52</v>
      </c>
    </row>
    <row r="16090" spans="1:14" x14ac:dyDescent="0.15">
      <c r="A16090" s="23" t="str">
        <f>HYPERLINK("https://www.spark-marketing.ru/Card/Person/996164", "МБУДО ДДШИ")</f>
        <v>МБУДО ДДШИ</v>
      </c>
      <c r="B16090" s="24" t="s">
        <v>18467</v>
      </c>
      <c r="C16090" s="25">
        <v>34800</v>
      </c>
      <c r="D16090" s="22" t="s">
        <v>18468</v>
      </c>
      <c r="E16090" s="22" t="s">
        <v>103</v>
      </c>
      <c r="F16090" s="23" t="str">
        <f>HYPERLINK("https://www.spark-marketing.ru/Card/Lot/67636134", "Работы по техническому обслуживанию установок системы (элементов) видеонаблюдения г. Яхрома")</f>
        <v>Работы по техническому обслуживанию установок системы (элементов) видеонаблюдения г. Яхрома</v>
      </c>
      <c r="G16090" s="22" t="s">
        <v>50</v>
      </c>
      <c r="H16090" s="22" t="s">
        <v>504</v>
      </c>
      <c r="I16090" s="26">
        <v>43497.5128819444</v>
      </c>
      <c r="J16090" s="28" t="s">
        <v>52</v>
      </c>
      <c r="K16090" s="28" t="s">
        <v>52</v>
      </c>
      <c r="L16090" s="28" t="s">
        <v>52</v>
      </c>
      <c r="M16090" s="28" t="s">
        <v>52</v>
      </c>
      <c r="N16090" s="28" t="s">
        <v>52</v>
      </c>
    </row>
    <row r="16091" spans="1:14" x14ac:dyDescent="0.15">
      <c r="A16091" s="23" t="str">
        <f>HYPERLINK("https://www.spark-marketing.ru/Card/Person/996164", "МБУДО ДДШИ")</f>
        <v>МБУДО ДДШИ</v>
      </c>
      <c r="B16091" s="24" t="s">
        <v>18467</v>
      </c>
      <c r="C16091" s="25">
        <v>98003.88</v>
      </c>
      <c r="D16091" s="22" t="s">
        <v>18469</v>
      </c>
      <c r="E16091" s="22" t="s">
        <v>84</v>
      </c>
      <c r="F16091" s="23" t="str">
        <f>HYPERLINK("https://www.spark-marketing.ru/Card/Lot/67636133", "Работы по техническому обслуживанию установок системы (элементов) видеонаблюдения пос. Рыбное, пос. Горки-25, с. Озерецкое")</f>
        <v>Работы по техническому обслуживанию установок системы (элементов) видеонаблюдения пос. Рыбное, пос. Горки-25, с. Озерецкое</v>
      </c>
      <c r="G16091" s="22" t="s">
        <v>50</v>
      </c>
      <c r="H16091" s="22" t="s">
        <v>511</v>
      </c>
      <c r="I16091" s="26">
        <v>43497.5128819444</v>
      </c>
      <c r="J16091" s="28" t="s">
        <v>52</v>
      </c>
      <c r="K16091" s="28" t="s">
        <v>52</v>
      </c>
      <c r="L16091" s="28" t="s">
        <v>52</v>
      </c>
      <c r="M16091" s="28" t="s">
        <v>52</v>
      </c>
      <c r="N16091" s="28" t="s">
        <v>52</v>
      </c>
    </row>
    <row r="16092" spans="1:14" x14ac:dyDescent="0.15">
      <c r="A16092" s="23" t="str">
        <f>HYPERLINK("https://www.spark-marketing.ru/Card/Person/78666", "ГУП МО ""МОБТИ""")</f>
        <v>ГУП МО "МОБТИ"</v>
      </c>
      <c r="B16092" s="24" t="s">
        <v>3213</v>
      </c>
      <c r="C16092" s="25">
        <v>116666.76</v>
      </c>
      <c r="D16092" s="22" t="s">
        <v>18470</v>
      </c>
      <c r="E16092" s="22" t="s">
        <v>144</v>
      </c>
      <c r="F16092" s="23" t="str">
        <f>HYPERLINK("https://www.spark-marketing.ru/Card/Lot/67636199", "Запрос котировок в электронной форме на право заключения договора на оказание услуг по охране объекта посредством контроля подключенной к пульту центрального наблюдения системы тревожного оповещения, установленной в Пушкинском отделе Королевского фил...")</f>
        <v>Запрос котировок в электронной форме на право заключения договора на оказание услуг по охране объекта посредством контроля подключенной к пульту центрального наблюдения системы тревожного оповещения, установленной в Пушкинском отделе Королевского фил...</v>
      </c>
      <c r="G16092" s="22" t="s">
        <v>50</v>
      </c>
      <c r="H16092" s="22" t="s">
        <v>50</v>
      </c>
      <c r="I16092" s="26">
        <v>43497.528368055602</v>
      </c>
      <c r="J16092" s="28" t="s">
        <v>52</v>
      </c>
      <c r="K16092" s="28" t="s">
        <v>52</v>
      </c>
      <c r="L16092" s="28" t="s">
        <v>52</v>
      </c>
      <c r="M16092" s="28" t="s">
        <v>52</v>
      </c>
      <c r="N16092" s="28" t="s">
        <v>52</v>
      </c>
    </row>
    <row r="16093" spans="1:14" x14ac:dyDescent="0.15">
      <c r="A16093" s="23" t="str">
        <f>HYPERLINK("https://www.spark-marketing.ru/Card/Person/4346563", "ПАО ""ГАЗПРОМ""")</f>
        <v>ПАО "ГАЗПРОМ"</v>
      </c>
      <c r="B16093" s="24" t="s">
        <v>1548</v>
      </c>
      <c r="C16093" s="25">
        <v>285805729.93000001</v>
      </c>
      <c r="D16093" s="22" t="s">
        <v>18471</v>
      </c>
      <c r="E16093" s="22" t="s">
        <v>606</v>
      </c>
      <c r="F16093" s="23" t="str">
        <f>HYPERLINK("https://www.spark-marketing.ru/Card/Lot/67634506", "Строительство объектов: «Система охраны УКПГ ДКС ГП-1 Медвежьего НГКМ» (код 022-2000791.0034), «Система охраны УКПГ ДКС ГП-8 Медвежьего НГКМ» (код 022-2000791.0190) стройки «Газовые промыслы Медвежьего НГКМ. Реконструкция и техперевооружение. 2-я оче...")</f>
        <v>Строительство объектов: «Система охраны УКПГ ДКС ГП-1 Медвежьего НГКМ» (код 022-2000791.0034), «Система охраны УКПГ ДКС ГП-8 Медвежьего НГКМ» (код 022-2000791.0190) стройки «Газовые промыслы Медвежьего НГКМ. Реконструкция и техперевооружение. 2-я оче...</v>
      </c>
      <c r="G16093" s="22" t="s">
        <v>55</v>
      </c>
      <c r="H16093" s="22" t="s">
        <v>55</v>
      </c>
      <c r="I16093" s="26">
        <v>43497.512013888903</v>
      </c>
      <c r="J16093" s="28" t="s">
        <v>52</v>
      </c>
      <c r="K16093" s="28" t="s">
        <v>52</v>
      </c>
      <c r="L16093" s="28" t="s">
        <v>52</v>
      </c>
      <c r="M16093" s="28" t="s">
        <v>52</v>
      </c>
      <c r="N16093" s="28" t="s">
        <v>52</v>
      </c>
    </row>
    <row r="16094" spans="1:14" x14ac:dyDescent="0.15">
      <c r="A16094" s="23" t="str">
        <f>HYPERLINK("https://www.spark-marketing.ru/Card/Person/6217322", "АНО ДПО ""ТЕХНИЧЕСКАЯ АКАДЕМИЯ РОСАТОМА""")</f>
        <v>АНО ДПО "ТЕХНИЧЕСКАЯ АКАДЕМИЯ РОСАТОМА"</v>
      </c>
      <c r="B16094" s="24" t="s">
        <v>656</v>
      </c>
      <c r="C16094" s="25">
        <v>0</v>
      </c>
      <c r="D16094" s="22" t="s">
        <v>18472</v>
      </c>
      <c r="E16094" s="22" t="s">
        <v>53</v>
      </c>
      <c r="F16094" s="23" t="str">
        <f>HYPERLINK("https://www.spark-marketing.ru/Card/Lot/67641371", "мониторинг цен в электронной форме на Оказание услуг по техническому обслуживанию средств тревожной сигнализации для нужд филиала АНО ДПО ""Техническая академия Росатома"" ""Нововоронежский учебно-тренировочный центр""")</f>
        <v>мониторинг цен в электронной форме на Оказание услуг по техническому обслуживанию средств тревожной сигнализации для нужд филиала АНО ДПО "Техническая академия Росатома" "Нововоронежский учебно-тренировочный центр"</v>
      </c>
      <c r="G16094" s="22" t="s">
        <v>658</v>
      </c>
      <c r="H16094" s="22" t="s">
        <v>659</v>
      </c>
      <c r="I16094" s="26">
        <v>43497.523148148102</v>
      </c>
      <c r="J16094" s="28" t="s">
        <v>52</v>
      </c>
      <c r="K16094" s="28" t="s">
        <v>52</v>
      </c>
      <c r="L16094" s="28" t="s">
        <v>52</v>
      </c>
      <c r="M16094" s="28" t="s">
        <v>52</v>
      </c>
      <c r="N16094" s="28" t="s">
        <v>52</v>
      </c>
    </row>
    <row r="16095" spans="1:14" x14ac:dyDescent="0.15">
      <c r="A16095" s="23" t="str">
        <f>HYPERLINK("https://www.spark-marketing.ru/Card/Person/996164", "МБУДО ДДШИ")</f>
        <v>МБУДО ДДШИ</v>
      </c>
      <c r="B16095" s="24" t="s">
        <v>18467</v>
      </c>
      <c r="C16095" s="25">
        <v>40200</v>
      </c>
      <c r="D16095" s="22" t="s">
        <v>18473</v>
      </c>
      <c r="E16095" s="22" t="s">
        <v>84</v>
      </c>
      <c r="F16095" s="23" t="str">
        <f>HYPERLINK("https://www.spark-marketing.ru/Card/Lot/67636116", "Работы по техническому обслуживанию установок системы (элементов) видеонаблюдения ДДШИ ул. Лиры Никольской и пос Новосиньково")</f>
        <v>Работы по техническому обслуживанию установок системы (элементов) видеонаблюдения ДДШИ ул. Лиры Никольской и пос Новосиньково</v>
      </c>
      <c r="G16095" s="22" t="s">
        <v>50</v>
      </c>
      <c r="H16095" s="22" t="s">
        <v>511</v>
      </c>
      <c r="I16095" s="26">
        <v>43497.512546296297</v>
      </c>
      <c r="J16095" s="28" t="s">
        <v>52</v>
      </c>
      <c r="K16095" s="28" t="s">
        <v>52</v>
      </c>
      <c r="L16095" s="28" t="s">
        <v>52</v>
      </c>
      <c r="M16095" s="28" t="s">
        <v>52</v>
      </c>
      <c r="N16095" s="28" t="s">
        <v>52</v>
      </c>
    </row>
    <row r="16096" spans="1:14" x14ac:dyDescent="0.15">
      <c r="A16096" s="23" t="str">
        <f>HYPERLINK("https://www.spark-marketing.ru/Card/Person/6260139", "МБУ ДО ЦТТ")</f>
        <v>МБУ ДО ЦТТ</v>
      </c>
      <c r="B16096" s="24" t="s">
        <v>18474</v>
      </c>
      <c r="C16096" s="25">
        <v>141673</v>
      </c>
      <c r="D16096" s="22" t="s">
        <v>18475</v>
      </c>
      <c r="E16096" s="22" t="s">
        <v>194</v>
      </c>
      <c r="F16096" s="23" t="str">
        <f>HYPERLINK("https://www.spark-marketing.ru/Card/Lot/67631455", "установка оборудования системы видеонаблюдения в целях антитеррористической защищенности")</f>
        <v>установка оборудования системы видеонаблюдения в целях антитеррористической защищенности</v>
      </c>
      <c r="G16096" s="22" t="s">
        <v>402</v>
      </c>
      <c r="H16096" s="22" t="s">
        <v>5520</v>
      </c>
      <c r="I16096" s="26">
        <v>43497.484722222202</v>
      </c>
      <c r="J16096" s="28" t="s">
        <v>52</v>
      </c>
      <c r="K16096" s="28" t="s">
        <v>52</v>
      </c>
      <c r="L16096" s="28" t="s">
        <v>52</v>
      </c>
      <c r="M16096" s="28" t="s">
        <v>52</v>
      </c>
      <c r="N16096" s="28" t="s">
        <v>52</v>
      </c>
    </row>
    <row r="16097" spans="1:14" x14ac:dyDescent="0.15">
      <c r="A16097" s="23" t="str">
        <f>HYPERLINK("https://www.spark-marketing.ru/Card/Person/52762", "МОУ СОШ №2")</f>
        <v>МОУ СОШ №2</v>
      </c>
      <c r="B16097" s="24" t="s">
        <v>18476</v>
      </c>
      <c r="C16097" s="25">
        <v>56500</v>
      </c>
      <c r="D16097" s="22" t="s">
        <v>18477</v>
      </c>
      <c r="E16097" s="22" t="s">
        <v>103</v>
      </c>
      <c r="F16097" s="23" t="str">
        <f>HYPERLINK("https://www.spark-marketing.ru/Card/Lot/67633324", "Техническое обслуживание системы видеонаблюдения")</f>
        <v>Техническое обслуживание системы видеонаблюдения</v>
      </c>
      <c r="G16097" s="22" t="s">
        <v>50</v>
      </c>
      <c r="H16097" s="22" t="s">
        <v>15217</v>
      </c>
      <c r="I16097" s="26">
        <v>43497.481180555602</v>
      </c>
      <c r="J16097" s="28" t="s">
        <v>52</v>
      </c>
      <c r="K16097" s="28" t="s">
        <v>52</v>
      </c>
      <c r="L16097" s="28" t="s">
        <v>52</v>
      </c>
      <c r="M16097" s="28" t="s">
        <v>52</v>
      </c>
      <c r="N16097" s="28" t="s">
        <v>52</v>
      </c>
    </row>
    <row r="16098" spans="1:14" x14ac:dyDescent="0.15">
      <c r="A16098" s="23" t="str">
        <f>HYPERLINK("https://www.spark-marketing.ru/Card/Person/4696266", "ОАО КОНЦЕРН РОСЭНЕРГОАТОМ ФЛ КУРСКАЯ АТОМНАЯ СТАНЦИЯ")</f>
        <v>ОАО КОНЦЕРН РОСЭНЕРГОАТОМ ФЛ КУРСКАЯ АТОМНАЯ СТАНЦИЯ</v>
      </c>
      <c r="B16098" s="28" t="s">
        <v>52</v>
      </c>
      <c r="C16098" s="25">
        <v>3512706.49</v>
      </c>
      <c r="D16098" s="22" t="s">
        <v>18478</v>
      </c>
      <c r="E16098" s="22" t="s">
        <v>53</v>
      </c>
      <c r="F16098" s="23" t="str">
        <f>HYPERLINK("https://www.spark-marketing.ru/Card/Lot/67634533", "Право заключения договора на Авторское сопровождение эксплуатации установок и систем видеонаблюдения, весоизмерения и диагностического контроля технологического оборудования РЦ-1,2.")</f>
        <v>Право заключения договора на Авторское сопровождение эксплуатации установок и систем видеонаблюдения, весоизмерения и диагностического контроля технологического оборудования РЦ-1,2.</v>
      </c>
      <c r="G16098" s="22" t="s">
        <v>52</v>
      </c>
      <c r="H16098" s="22" t="s">
        <v>52</v>
      </c>
      <c r="I16098" s="26">
        <v>43497.469259259298</v>
      </c>
      <c r="J16098" s="28" t="s">
        <v>52</v>
      </c>
      <c r="K16098" s="28" t="s">
        <v>52</v>
      </c>
      <c r="L16098" s="28" t="s">
        <v>52</v>
      </c>
      <c r="M16098" s="28" t="s">
        <v>52</v>
      </c>
      <c r="N16098" s="28" t="s">
        <v>52</v>
      </c>
    </row>
    <row r="16099" spans="1:14" x14ac:dyDescent="0.15">
      <c r="A16099" s="23" t="str">
        <f>HYPERLINK("https://www.spark-marketing.ru/Card/Person/1028251", "МБДОУ ""ДЕТСКИЙ САД ОБЩЕРАЗВИВАЮЩЕГО ВИДА № 70""")</f>
        <v>МБДОУ "ДЕТСКИЙ САД ОБЩЕРАЗВИВАЮЩЕГО ВИДА № 70"</v>
      </c>
      <c r="B16099" s="24" t="s">
        <v>18479</v>
      </c>
      <c r="C16099" s="25">
        <v>60000</v>
      </c>
      <c r="D16099" s="22" t="s">
        <v>18480</v>
      </c>
      <c r="E16099" s="22" t="s">
        <v>107</v>
      </c>
      <c r="F16099" s="23" t="str">
        <f>HYPERLINK("https://www.spark-marketing.ru/Card/Lot/67633294", "Осуществление комплекса организационно-технических мероприятий по техническому обслуживанию оборудования видеосистемы контроля управления доступом")</f>
        <v>Осуществление комплекса организационно-технических мероприятий по техническому обслуживанию оборудования видеосистемы контроля управления доступом</v>
      </c>
      <c r="G16099" s="22" t="s">
        <v>50</v>
      </c>
      <c r="H16099" s="22" t="s">
        <v>326</v>
      </c>
      <c r="I16099" s="26">
        <v>43497.4613888889</v>
      </c>
      <c r="J16099" s="28" t="s">
        <v>52</v>
      </c>
      <c r="K16099" s="28" t="s">
        <v>52</v>
      </c>
      <c r="L16099" s="28" t="s">
        <v>52</v>
      </c>
      <c r="M16099" s="28" t="s">
        <v>52</v>
      </c>
      <c r="N16099" s="28" t="s">
        <v>52</v>
      </c>
    </row>
    <row r="16100" spans="1:14" x14ac:dyDescent="0.15">
      <c r="A16100" s="23" t="str">
        <f>HYPERLINK("https://www.spark-marketing.ru/Card/Person/4348562", "АО ""АТОМТЕХЭНЕРГО""")</f>
        <v>АО "АТОМТЕХЭНЕРГО"</v>
      </c>
      <c r="B16100" s="24" t="s">
        <v>4449</v>
      </c>
      <c r="C16100" s="28" t="s">
        <v>52</v>
      </c>
      <c r="D16100" s="22" t="s">
        <v>18481</v>
      </c>
      <c r="E16100" s="22" t="s">
        <v>53</v>
      </c>
      <c r="F16100" s="23" t="str">
        <f>HYPERLINK("https://www.spark-marketing.ru/Card/Lot/67636819", "Оказание услуг по охране объектов для нужд Нововоронежского фииала ""Нововоронежатомтехэнерго"" АО ""Атомтехэнерго"" (1177564)")</f>
        <v>Оказание услуг по охране объектов для нужд Нововоронежского фииала "Нововоронежатомтехэнерго" АО "Атомтехэнерго" (1177564)</v>
      </c>
      <c r="G16100" s="22" t="s">
        <v>55</v>
      </c>
      <c r="H16100" s="22" t="s">
        <v>55</v>
      </c>
      <c r="I16100" s="26">
        <v>43497.454872685201</v>
      </c>
      <c r="J16100" s="28" t="s">
        <v>52</v>
      </c>
      <c r="K16100" s="28" t="s">
        <v>52</v>
      </c>
      <c r="L16100" s="28" t="s">
        <v>52</v>
      </c>
      <c r="M16100" s="28" t="s">
        <v>52</v>
      </c>
      <c r="N16100" s="28" t="s">
        <v>52</v>
      </c>
    </row>
    <row r="16101" spans="1:14" x14ac:dyDescent="0.15">
      <c r="A16101" s="23" t="str">
        <f>HYPERLINK("https://www.spark-marketing.ru/Card/Person/1777754", "МАДОУ Д/С №28 ""СОЛНЫШКО""")</f>
        <v>МАДОУ Д/С №28 "СОЛНЫШКО"</v>
      </c>
      <c r="B16101" s="24" t="s">
        <v>10379</v>
      </c>
      <c r="C16101" s="25">
        <v>20000</v>
      </c>
      <c r="D16101" s="22" t="s">
        <v>18482</v>
      </c>
      <c r="E16101" s="22" t="s">
        <v>107</v>
      </c>
      <c r="F16101" s="23" t="str">
        <f>HYPERLINK("https://www.spark-marketing.ru/Card/Lot/67630569", "Услуги по техническому обслуживанию системы доступа (домофонов) и системы видеонаблюдения")</f>
        <v>Услуги по техническому обслуживанию системы доступа (домофонов) и системы видеонаблюдения</v>
      </c>
      <c r="G16101" s="22" t="s">
        <v>50</v>
      </c>
      <c r="H16101" s="22" t="s">
        <v>4782</v>
      </c>
      <c r="I16101" s="26">
        <v>43497.450497685197</v>
      </c>
      <c r="J16101" s="28" t="s">
        <v>52</v>
      </c>
      <c r="K16101" s="28" t="s">
        <v>52</v>
      </c>
      <c r="L16101" s="28" t="s">
        <v>52</v>
      </c>
      <c r="M16101" s="28" t="s">
        <v>52</v>
      </c>
      <c r="N16101" s="28" t="s">
        <v>52</v>
      </c>
    </row>
    <row r="16102" spans="1:14" x14ac:dyDescent="0.15">
      <c r="A16102" s="23" t="str">
        <f>HYPERLINK("https://www.spark-marketing.ru/Card/Person/4696266", "ОАО КОНЦЕРН РОСЭНЕРГОАТОМ ФЛ КУРСКАЯ АТОМНАЯ СТАНЦИЯ")</f>
        <v>ОАО КОНЦЕРН РОСЭНЕРГОАТОМ ФЛ КУРСКАЯ АТОМНАЯ СТАНЦИЯ</v>
      </c>
      <c r="B16102" s="28" t="s">
        <v>52</v>
      </c>
      <c r="C16102" s="25">
        <v>1864308.32</v>
      </c>
      <c r="D16102" s="22" t="s">
        <v>18483</v>
      </c>
      <c r="E16102" s="22" t="s">
        <v>53</v>
      </c>
      <c r="F16102" s="23" t="str">
        <f>HYPERLINK("https://www.spark-marketing.ru/Card/Lot/67634479", "Право заключения договора на Организация круглосуточной охраны, обеспечение пропускного и внутриобъектового режимов на объектах филиала АО «Концерн Росэнергоатом» «Курская атомная станция»(ОРБ)")</f>
        <v>Право заключения договора на Организация круглосуточной охраны, обеспечение пропускного и внутриобъектового режимов на объектах филиала АО «Концерн Росэнергоатом» «Курская атомная станция»(ОРБ)</v>
      </c>
      <c r="G16102" s="22" t="s">
        <v>52</v>
      </c>
      <c r="H16102" s="22" t="s">
        <v>52</v>
      </c>
      <c r="I16102" s="26">
        <v>43497.450370370403</v>
      </c>
      <c r="J16102" s="28" t="s">
        <v>52</v>
      </c>
      <c r="K16102" s="28" t="s">
        <v>52</v>
      </c>
      <c r="L16102" s="28" t="s">
        <v>52</v>
      </c>
      <c r="M16102" s="28" t="s">
        <v>52</v>
      </c>
      <c r="N16102" s="28" t="s">
        <v>52</v>
      </c>
    </row>
    <row r="16103" spans="1:14" x14ac:dyDescent="0.15">
      <c r="A16103" s="23" t="str">
        <f>HYPERLINK("https://www.spark-marketing.ru/Card/Person/6260139", "МБУ ДО ЦТТ")</f>
        <v>МБУ ДО ЦТТ</v>
      </c>
      <c r="B16103" s="24" t="s">
        <v>18474</v>
      </c>
      <c r="C16103" s="25">
        <v>135382</v>
      </c>
      <c r="D16103" s="22" t="s">
        <v>18484</v>
      </c>
      <c r="E16103" s="22" t="s">
        <v>194</v>
      </c>
      <c r="F16103" s="23" t="str">
        <f>HYPERLINK("https://www.spark-marketing.ru/Card/Lot/67628795", "услуга по установке оборудования системы видеонаблюдения в целях антитеррористической защищенности")</f>
        <v>услуга по установке оборудования системы видеонаблюдения в целях антитеррористической защищенности</v>
      </c>
      <c r="G16103" s="22" t="s">
        <v>402</v>
      </c>
      <c r="H16103" s="22" t="s">
        <v>5520</v>
      </c>
      <c r="I16103" s="26">
        <v>43497.445138888899</v>
      </c>
      <c r="J16103" s="28" t="s">
        <v>52</v>
      </c>
      <c r="K16103" s="28" t="s">
        <v>52</v>
      </c>
      <c r="L16103" s="28" t="s">
        <v>52</v>
      </c>
      <c r="M16103" s="28" t="s">
        <v>52</v>
      </c>
      <c r="N16103" s="28" t="s">
        <v>52</v>
      </c>
    </row>
    <row r="16104" spans="1:14" x14ac:dyDescent="0.15">
      <c r="A16104" s="23" t="str">
        <f>HYPERLINK("https://www.spark-marketing.ru/Card/Person/1058965", "ГКОУ МО ""СОЗВЕЗДИЕ""")</f>
        <v>ГКОУ МО "СОЗВЕЗДИЕ"</v>
      </c>
      <c r="B16104" s="24" t="s">
        <v>18485</v>
      </c>
      <c r="C16104" s="25">
        <v>30000</v>
      </c>
      <c r="D16104" s="22" t="s">
        <v>18486</v>
      </c>
      <c r="E16104" s="22" t="s">
        <v>103</v>
      </c>
      <c r="F16104" s="23" t="str">
        <f>HYPERLINK("https://www.spark-marketing.ru/Card/Lot/67630551", "Оказание услуг по техническому обслуживанию видеонаблюдения на 2019 год")</f>
        <v>Оказание услуг по техническому обслуживанию видеонаблюдения на 2019 год</v>
      </c>
      <c r="G16104" s="22" t="s">
        <v>50</v>
      </c>
      <c r="H16104" s="22" t="s">
        <v>3869</v>
      </c>
      <c r="I16104" s="26">
        <v>43497.450231481504</v>
      </c>
      <c r="J16104" s="28" t="s">
        <v>52</v>
      </c>
      <c r="K16104" s="28" t="s">
        <v>52</v>
      </c>
      <c r="L16104" s="28" t="s">
        <v>52</v>
      </c>
      <c r="M16104" s="28" t="s">
        <v>52</v>
      </c>
      <c r="N16104" s="28" t="s">
        <v>52</v>
      </c>
    </row>
    <row r="16105" spans="1:14" x14ac:dyDescent="0.15">
      <c r="A16105" s="23" t="str">
        <f>HYPERLINK("https://www.spark-marketing.ru/Card/Person/1683079", "ООО ""ЧОП ""КЕННАРД""")</f>
        <v>ООО "ЧОП "КЕННАРД"</v>
      </c>
      <c r="B16105" s="24" t="s">
        <v>1949</v>
      </c>
      <c r="C16105" s="25">
        <v>2557449.9900000002</v>
      </c>
      <c r="D16105" s="22" t="s">
        <v>18487</v>
      </c>
      <c r="E16105" s="22" t="s">
        <v>53</v>
      </c>
      <c r="F16105" s="23" t="str">
        <f>HYPERLINK("https://www.spark-marketing.ru/Card/Lot/67653882", "Автомобиль Renault Duster Expression 4x4 2.0 МКП6 143л.с. цвет. серая платина, кондиционер, пакет аудио. Дополнительное оборудование с установкой: Сигнализация с автозапуском, Комплект зимней резины, Комплект ковров салон+багажник, Видеорегистратор с...")</f>
        <v>Автомобиль Renault Duster Expression 4x4 2.0 МКП6 143л.с. цвет. серая платина, кондиционер, пакет аудио. Дополнительное оборудование с установкой: Сигнализация с автозапуском, Комплект зимней резины, Комплект ковров салон+багажник, Видеорегистратор с...</v>
      </c>
      <c r="G16105" s="22" t="s">
        <v>204</v>
      </c>
      <c r="H16105" s="22" t="s">
        <v>303</v>
      </c>
      <c r="I16105" s="26">
        <v>43497.432962963001</v>
      </c>
      <c r="J16105" s="28" t="s">
        <v>52</v>
      </c>
      <c r="K16105" s="28" t="s">
        <v>52</v>
      </c>
      <c r="L16105" s="28" t="s">
        <v>52</v>
      </c>
      <c r="M16105" s="28" t="s">
        <v>52</v>
      </c>
      <c r="N16105" s="28" t="s">
        <v>52</v>
      </c>
    </row>
    <row r="16106" spans="1:14" x14ac:dyDescent="0.2">
      <c r="A16106" s="23" t="str">
        <f>HYPERLINK("https://www.spark-marketing.ru/Card/Person/2097942", "АО ""КОНЦЕРН РОСЭНЕРГОАТОМ""")</f>
        <v>АО "КОНЦЕРН РОСЭНЕРГОАТОМ"</v>
      </c>
      <c r="B16106" s="24" t="s">
        <v>211</v>
      </c>
      <c r="C16106" s="25">
        <v>3512706.49</v>
      </c>
      <c r="D16106" s="22" t="s">
        <v>18488</v>
      </c>
      <c r="E16106" s="22" t="s">
        <v>2577</v>
      </c>
      <c r="F16106" s="23" t="str">
        <f>HYPERLINK("https://www.spark-marketing.ru/Card/Lot/67631340", "Право заключения договора на Авторское сопровождение эксплуатации установок и систем видеонаблюдения, весоизмерения и диагностического контроля технологического оборудования РЦ-1,2.")</f>
        <v>Право заключения договора на Авторское сопровождение эксплуатации установок и систем видеонаблюдения, весоизмерения и диагностического контроля технологического оборудования РЦ-1,2.</v>
      </c>
      <c r="G16106" s="22" t="s">
        <v>55</v>
      </c>
      <c r="H16106" s="22" t="s">
        <v>55</v>
      </c>
      <c r="I16106" s="26">
        <v>43497.4558217593</v>
      </c>
      <c r="J16106" s="23" t="str">
        <f>HYPERLINK("https://www.spark-marketing.ru/Card/Person/1152576", "ООО ""ИНЖЕНЕРНОЕ БЮРО ВАСО""")</f>
        <v>ООО "ИНЖЕНЕРНОЕ БЮРО ВАСО"</v>
      </c>
      <c r="K16106" s="24" t="s">
        <v>18489</v>
      </c>
      <c r="L16106" s="28" t="s">
        <v>52</v>
      </c>
      <c r="M16106" s="25">
        <v>3020000</v>
      </c>
      <c r="N16106" s="27">
        <v>0.14026406459026414</v>
      </c>
    </row>
    <row r="16107" spans="1:14" x14ac:dyDescent="0.15">
      <c r="A16107" s="23" t="str">
        <f>HYPERLINK("https://www.spark-marketing.ru/Card/Person/237507", "МБОУ ЛОБАНОВСКАЯ ООШ")</f>
        <v>МБОУ ЛОБАНОВСКАЯ ООШ</v>
      </c>
      <c r="B16107" s="24" t="s">
        <v>18490</v>
      </c>
      <c r="C16107" s="25">
        <v>16000</v>
      </c>
      <c r="D16107" s="22" t="s">
        <v>18491</v>
      </c>
      <c r="E16107" s="22" t="s">
        <v>103</v>
      </c>
      <c r="F16107" s="23" t="str">
        <f>HYPERLINK("https://www.spark-marketing.ru/Card/Lot/67630658", "Оказание услуг по техническому обслуживанию системы видеонаблюдения")</f>
        <v>Оказание услуг по техническому обслуживанию системы видеонаблюдения</v>
      </c>
      <c r="G16107" s="22" t="s">
        <v>50</v>
      </c>
      <c r="H16107" s="22" t="s">
        <v>4782</v>
      </c>
      <c r="I16107" s="26">
        <v>43497.439525463</v>
      </c>
      <c r="J16107" s="28" t="s">
        <v>52</v>
      </c>
      <c r="K16107" s="28" t="s">
        <v>52</v>
      </c>
      <c r="L16107" s="28" t="s">
        <v>52</v>
      </c>
      <c r="M16107" s="28" t="s">
        <v>52</v>
      </c>
      <c r="N16107" s="28" t="s">
        <v>52</v>
      </c>
    </row>
    <row r="16108" spans="1:14" x14ac:dyDescent="0.15">
      <c r="A16108" s="23" t="str">
        <f>HYPERLINK("https://www.spark-marketing.ru/Card/Person/6260139", "МБУ ДО ЦТТ")</f>
        <v>МБУ ДО ЦТТ</v>
      </c>
      <c r="B16108" s="24" t="s">
        <v>18474</v>
      </c>
      <c r="C16108" s="25">
        <v>120252</v>
      </c>
      <c r="D16108" s="22" t="s">
        <v>18492</v>
      </c>
      <c r="E16108" s="22" t="s">
        <v>194</v>
      </c>
      <c r="F16108" s="23" t="str">
        <f>HYPERLINK("https://www.spark-marketing.ru/Card/Lot/67628746", "услуга по установке оборудования системы видеонаблюдения в целях антитеррористической защищенности объекта")</f>
        <v>услуга по установке оборудования системы видеонаблюдения в целях антитеррористической защищенности объекта</v>
      </c>
      <c r="G16108" s="22" t="s">
        <v>402</v>
      </c>
      <c r="H16108" s="22" t="s">
        <v>5520</v>
      </c>
      <c r="I16108" s="26">
        <v>43497.436805555597</v>
      </c>
      <c r="J16108" s="28" t="s">
        <v>52</v>
      </c>
      <c r="K16108" s="28" t="s">
        <v>52</v>
      </c>
      <c r="L16108" s="28" t="s">
        <v>52</v>
      </c>
      <c r="M16108" s="28" t="s">
        <v>52</v>
      </c>
      <c r="N16108" s="28" t="s">
        <v>52</v>
      </c>
    </row>
    <row r="16109" spans="1:14" x14ac:dyDescent="0.15">
      <c r="A16109" s="23" t="str">
        <f>HYPERLINK("https://www.spark-marketing.ru/Card/Person/4348562", "АО ""АТОМТЕХЭНЕРГО""")</f>
        <v>АО "АТОМТЕХЭНЕРГО"</v>
      </c>
      <c r="B16109" s="24" t="s">
        <v>4449</v>
      </c>
      <c r="C16109" s="25">
        <v>0</v>
      </c>
      <c r="D16109" s="22" t="s">
        <v>18493</v>
      </c>
      <c r="E16109" s="22" t="s">
        <v>53</v>
      </c>
      <c r="F16109" s="23" t="str">
        <f>HYPERLINK("https://www.spark-marketing.ru/Card/Lot/67630706", "мониторинг цен в электронной форме на Оказание услуг по охране объектов для нужд Нововоронежского фииала ""Нововоронежатомтехэнерго"" АО ""Атомтехэнерго""")</f>
        <v>мониторинг цен в электронной форме на Оказание услуг по охране объектов для нужд Нововоронежского фииала "Нововоронежатомтехэнерго" АО "Атомтехэнерго"</v>
      </c>
      <c r="G16109" s="22" t="s">
        <v>55</v>
      </c>
      <c r="H16109" s="22" t="s">
        <v>55</v>
      </c>
      <c r="I16109" s="26">
        <v>43497.378912036998</v>
      </c>
      <c r="J16109" s="28" t="s">
        <v>52</v>
      </c>
      <c r="K16109" s="28" t="s">
        <v>52</v>
      </c>
      <c r="L16109" s="28" t="s">
        <v>52</v>
      </c>
      <c r="M16109" s="28" t="s">
        <v>52</v>
      </c>
      <c r="N16109" s="28" t="s">
        <v>52</v>
      </c>
    </row>
    <row r="16110" spans="1:14" x14ac:dyDescent="0.15">
      <c r="A16110" s="23" t="str">
        <f>HYPERLINK("https://www.spark-marketing.ru/Card/Person/373405", "АДМИНИСТРАЦИЯ ЛЕНИНСКОГО АДМИНИСТРАТИВНОГО ОКРУГА ГОРОДА ОМСКА")</f>
        <v>АДМИНИСТРАЦИЯ ЛЕНИНСКОГО АДМИНИСТРАТИВНОГО ОКРУГА ГОРОДА ОМСКА</v>
      </c>
      <c r="B16110" s="24" t="s">
        <v>17904</v>
      </c>
      <c r="C16110" s="25">
        <v>22000</v>
      </c>
      <c r="D16110" s="22" t="s">
        <v>18494</v>
      </c>
      <c r="E16110" s="22" t="s">
        <v>68</v>
      </c>
      <c r="F16110" s="23" t="str">
        <f>HYPERLINK("https://www.spark-marketing.ru/Card/Lot/67627447", "услуги по охране объектов посредством передачи тревожных сообщений по каналу GSM")</f>
        <v>услуги по охране объектов посредством передачи тревожных сообщений по каналу GSM</v>
      </c>
      <c r="G16110" s="22" t="s">
        <v>521</v>
      </c>
      <c r="H16110" s="22" t="s">
        <v>522</v>
      </c>
      <c r="I16110" s="26">
        <v>43497.386805555601</v>
      </c>
      <c r="J16110" s="28" t="s">
        <v>52</v>
      </c>
      <c r="K16110" s="28" t="s">
        <v>52</v>
      </c>
      <c r="L16110" s="28" t="s">
        <v>52</v>
      </c>
      <c r="M16110" s="28" t="s">
        <v>52</v>
      </c>
      <c r="N16110" s="28" t="s">
        <v>52</v>
      </c>
    </row>
    <row r="16111" spans="1:14" x14ac:dyDescent="0.15">
      <c r="A16111" s="23" t="str">
        <f>HYPERLINK("https://www.spark-marketing.ru/Card/Person/829176", "МАДОУ ""ДЕТСКИЙ САД №70"" Г.ЧЕБОКСАРЫ")</f>
        <v>МАДОУ "ДЕТСКИЙ САД №70" Г.ЧЕБОКСАРЫ</v>
      </c>
      <c r="B16111" s="24" t="s">
        <v>18495</v>
      </c>
      <c r="C16111" s="25">
        <v>13200</v>
      </c>
      <c r="D16111" s="22" t="s">
        <v>18496</v>
      </c>
      <c r="E16111" s="22" t="s">
        <v>52</v>
      </c>
      <c r="F16111" s="23" t="str">
        <f>HYPERLINK("https://www.spark-marketing.ru/Card/Lot/67627449", "оказание услуг по техническому обслуживанию системы видеонаблюдения")</f>
        <v>оказание услуг по техническому обслуживанию системы видеонаблюдения</v>
      </c>
      <c r="G16111" s="22" t="s">
        <v>1137</v>
      </c>
      <c r="H16111" s="22" t="s">
        <v>1138</v>
      </c>
      <c r="I16111" s="26">
        <v>43497.3881944444</v>
      </c>
      <c r="J16111" s="28" t="s">
        <v>52</v>
      </c>
      <c r="K16111" s="28" t="s">
        <v>52</v>
      </c>
      <c r="L16111" s="28" t="s">
        <v>52</v>
      </c>
      <c r="M16111" s="28" t="s">
        <v>52</v>
      </c>
      <c r="N16111" s="28" t="s">
        <v>52</v>
      </c>
    </row>
    <row r="16112" spans="1:14" x14ac:dyDescent="0.15">
      <c r="A16112" s="23" t="str">
        <f>HYPERLINK("https://www.spark-marketing.ru/Card/Person/480669", "ООО ДПИ ""ВОСТОКПРОЕКТВЕРФЬ""")</f>
        <v>ООО ДПИ "ВОСТОКПРОЕКТВЕРФЬ"</v>
      </c>
      <c r="B16112" s="24" t="s">
        <v>13177</v>
      </c>
      <c r="C16112" s="28" t="s">
        <v>52</v>
      </c>
      <c r="D16112" s="22" t="s">
        <v>18497</v>
      </c>
      <c r="E16112" s="22" t="s">
        <v>52</v>
      </c>
      <c r="F16112" s="23" t="str">
        <f>HYPERLINK("https://www.spark-marketing.ru/Card/Lot/67633494", "Оказание охранных услуг по защите объектов ООО ДПИ «Востокпроектверфь» от противоправных посягательств")</f>
        <v>Оказание охранных услуг по защите объектов ООО ДПИ «Востокпроектверфь» от противоправных посягательств</v>
      </c>
      <c r="G16112" s="22" t="s">
        <v>409</v>
      </c>
      <c r="H16112" s="22" t="s">
        <v>878</v>
      </c>
      <c r="I16112" s="26">
        <v>43497.337951388901</v>
      </c>
      <c r="J16112" s="28" t="s">
        <v>52</v>
      </c>
      <c r="K16112" s="28" t="s">
        <v>52</v>
      </c>
      <c r="L16112" s="28" t="s">
        <v>52</v>
      </c>
      <c r="M16112" s="28" t="s">
        <v>52</v>
      </c>
      <c r="N16112" s="28" t="s">
        <v>52</v>
      </c>
    </row>
    <row r="16113" spans="1:14" x14ac:dyDescent="0.15">
      <c r="A16113" s="23" t="str">
        <f>HYPERLINK("https://www.spark-marketing.ru/Card/Person/260503", "МЕЖРАЙОННАЯ ИФНС РОССИИ № 14 ПО ИРКУТСКОЙ ОБЛАСТИ")</f>
        <v>МЕЖРАЙОННАЯ ИФНС РОССИИ № 14 ПО ИРКУТСКОЙ ОБЛАСТИ</v>
      </c>
      <c r="B16113" s="24" t="s">
        <v>17832</v>
      </c>
      <c r="C16113" s="25">
        <v>103127</v>
      </c>
      <c r="D16113" s="22" t="s">
        <v>18498</v>
      </c>
      <c r="E16113" s="22" t="s">
        <v>68</v>
      </c>
      <c r="F16113" s="23" t="str">
        <f>HYPERLINK("https://www.spark-marketing.ru/Card/Lot/67619854", "Прочая закупка товаров, работ и услуг (оказание услуг централизованной охраны и охраны объекта с помощью кнопки тревожной сигнализации п. Куйтун, ул. Тургенева, д.1а)")</f>
        <v>Прочая закупка товаров, работ и услуг (оказание услуг централизованной охраны и охраны объекта с помощью кнопки тревожной сигнализации п. Куйтун, ул. Тургенева, д.1а)</v>
      </c>
      <c r="G16113" s="22" t="s">
        <v>281</v>
      </c>
      <c r="H16113" s="22" t="s">
        <v>281</v>
      </c>
      <c r="I16113" s="26">
        <v>43497</v>
      </c>
      <c r="J16113" s="28" t="s">
        <v>52</v>
      </c>
      <c r="K16113" s="28" t="s">
        <v>52</v>
      </c>
      <c r="L16113" s="28" t="s">
        <v>52</v>
      </c>
      <c r="M16113" s="28" t="s">
        <v>52</v>
      </c>
      <c r="N16113" s="28" t="s">
        <v>52</v>
      </c>
    </row>
    <row r="16114" spans="1:14" ht="12.75" hidden="1" outlineLevel="1" x14ac:dyDescent="0.2">
      <c r="A16114" s="23" t="str">
        <f>HYPERLINK("https://www.spark-marketing.ru/Card/Person/260503", "МЕЖРАЙОННАЯ ИФНС РОССИИ № 14 ПО ИРКУТСКОЙ ОБЛАСТИ")</f>
        <v>МЕЖРАЙОННАЯ ИФНС РОССИИ № 14 ПО ИРКУТСКОЙ ОБЛАСТИ</v>
      </c>
      <c r="B16114" s="24" t="s">
        <v>17832</v>
      </c>
      <c r="C16114" s="25">
        <v>103127</v>
      </c>
      <c r="D16114" s="22" t="s">
        <v>18498</v>
      </c>
      <c r="E16114" s="22" t="s">
        <v>68</v>
      </c>
      <c r="F16114" s="23" t="str">
        <f>HYPERLINK("https://www.spark-marketing.ru/Card/Lot/67619854", "Прочая закупка товаров, работ и услуг (оказание услуг централизованной охраны и охраны объекта с помощью кнопки тревожной сигнализации п. Куйтун, ул. Тургенева, д.1а)")</f>
        <v>Прочая закупка товаров, работ и услуг (оказание услуг централизованной охраны и охраны объекта с помощью кнопки тревожной сигнализации п. Куйтун, ул. Тургенева, д.1а)</v>
      </c>
      <c r="G16114" s="22" t="s">
        <v>281</v>
      </c>
      <c r="H16114" s="22" t="s">
        <v>281</v>
      </c>
      <c r="I16114" s="26">
        <v>43497</v>
      </c>
      <c r="J16114" s="23" t="str">
        <f>HYPERLINK("https://www.spark-marketing.ru/Card/Person/4393154", "ФГКУ ""УВО ВНГ РОССИИ ПО ИРКУТСКОЙ ОБЛАСТИ""")</f>
        <v>ФГКУ "УВО ВНГ РОССИИ ПО ИРКУТСКОЙ ОБЛАСТИ"</v>
      </c>
      <c r="K16114" s="24" t="s">
        <v>9037</v>
      </c>
      <c r="L16114" s="22" t="s">
        <v>10</v>
      </c>
      <c r="M16114" s="25">
        <v>100033.16</v>
      </c>
      <c r="N16114" s="27">
        <v>3.0000290903449144E-2</v>
      </c>
    </row>
    <row r="16115" spans="1:14" hidden="1" outlineLevel="1" x14ac:dyDescent="0.2">
      <c r="A16115" s="23" t="str">
        <f>HYPERLINK("https://www.spark-marketing.ru/Card/Person/260503", "МЕЖРАЙОННАЯ ИФНС РОССИИ № 14 ПО ИРКУТСКОЙ ОБЛАСТИ")</f>
        <v>МЕЖРАЙОННАЯ ИФНС РОССИИ № 14 ПО ИРКУТСКОЙ ОБЛАСТИ</v>
      </c>
      <c r="B16115" s="24" t="s">
        <v>17832</v>
      </c>
      <c r="C16115" s="25">
        <v>103127</v>
      </c>
      <c r="D16115" s="22" t="s">
        <v>18498</v>
      </c>
      <c r="E16115" s="22" t="s">
        <v>68</v>
      </c>
      <c r="F16115" s="23" t="str">
        <f>HYPERLINK("https://www.spark-marketing.ru/Card/Lot/67619854", "Прочая закупка товаров, работ и услуг (оказание услуг централизованной охраны и охраны объекта с помощью кнопки тревожной сигнализации п. Куйтун, ул. Тургенева, д.1а)")</f>
        <v>Прочая закупка товаров, работ и услуг (оказание услуг централизованной охраны и охраны объекта с помощью кнопки тревожной сигнализации п. Куйтун, ул. Тургенева, д.1а)</v>
      </c>
      <c r="G16115" s="22" t="s">
        <v>281</v>
      </c>
      <c r="H16115" s="22" t="s">
        <v>281</v>
      </c>
      <c r="I16115" s="26">
        <v>43497</v>
      </c>
      <c r="J16115" s="23" t="str">
        <f>HYPERLINK("https://www.spark-marketing.ru/Card/Person/53937", "ООО ОФ ""КОДЕКС""")</f>
        <v>ООО ОФ "КОДЕКС"</v>
      </c>
      <c r="K16115" s="24" t="s">
        <v>5915</v>
      </c>
      <c r="L16115" s="28" t="s">
        <v>52</v>
      </c>
      <c r="M16115" s="25">
        <v>100548.8</v>
      </c>
      <c r="N16115" s="27">
        <v>2.5000242419540953E-2</v>
      </c>
    </row>
    <row r="16116" spans="1:14" x14ac:dyDescent="0.15">
      <c r="A16116" s="23" t="str">
        <f>HYPERLINK("https://www.spark-marketing.ru/Card/Person/35471", "МЕЖРАЙОННАЯ ИФНС РОССИИ № 9 ПО ТАМБОВСКОЙ ОБЛАСТИ")</f>
        <v>МЕЖРАЙОННАЯ ИФНС РОССИИ № 9 ПО ТАМБОВСКОЙ ОБЛАСТИ</v>
      </c>
      <c r="B16116" s="24" t="s">
        <v>18499</v>
      </c>
      <c r="C16116" s="25">
        <v>509549.6</v>
      </c>
      <c r="D16116" s="22" t="s">
        <v>18500</v>
      </c>
      <c r="E16116" s="22" t="s">
        <v>68</v>
      </c>
      <c r="F16116" s="23" t="str">
        <f>HYPERLINK("https://www.spark-marketing.ru/Card/Lot/67632405", "Оказание услуг по физической охране здания, обеспечению пропускного и внутриобъектового режимов в административном здании Межрайонной инспекции Федеральной налоговой службы № 9 по Тамбовской области")</f>
        <v>Оказание услуг по физической охране здания, обеспечению пропускного и внутриобъектового режимов в административном здании Межрайонной инспекции Федеральной налоговой службы № 9 по Тамбовской области</v>
      </c>
      <c r="G16116" s="22" t="s">
        <v>1319</v>
      </c>
      <c r="H16116" s="22" t="s">
        <v>15368</v>
      </c>
      <c r="I16116" s="26">
        <v>43497</v>
      </c>
      <c r="J16116" s="23" t="str">
        <f>HYPERLINK("https://www.spark-marketing.ru/Card/Person/1525797", "ФЛ ФГУП ""Охрана"" РОСГВАРДИИ по Тамбовской области")</f>
        <v>ФЛ ФГУП "Охрана" РОСГВАРДИИ по Тамбовской области</v>
      </c>
      <c r="K16116" s="24" t="s">
        <v>779</v>
      </c>
      <c r="L16116" s="22" t="s">
        <v>10</v>
      </c>
      <c r="M16116" s="28" t="s">
        <v>52</v>
      </c>
      <c r="N16116" s="28" t="s">
        <v>52</v>
      </c>
    </row>
    <row r="16117" spans="1:14" x14ac:dyDescent="0.15">
      <c r="A16117" s="23" t="str">
        <f>HYPERLINK("https://www.spark-marketing.ru/Card/Person/149916", "МАДОУ ""ДЕТСКИЙ САД ПРИСМОТРА И ОЗДОРОВЛЕНИЯ ДЛЯ ТУБИНФИЦИРОВАННЫХ ДЕТЕЙ №60"" НМР РТ")</f>
        <v>МАДОУ "ДЕТСКИЙ САД ПРИСМОТРА И ОЗДОРОВЛЕНИЯ ДЛЯ ТУБИНФИЦИРОВАННЫХ ДЕТЕЙ №60" НМР РТ</v>
      </c>
      <c r="B16117" s="24" t="s">
        <v>18501</v>
      </c>
      <c r="C16117" s="25">
        <v>7400</v>
      </c>
      <c r="D16117" s="22" t="s">
        <v>18502</v>
      </c>
      <c r="E16117" s="22" t="s">
        <v>53</v>
      </c>
      <c r="F16117" s="23" t="str">
        <f>HYPERLINK("https://www.spark-marketing.ru/Card/Lot/73694670", "Техническое обслуживание системы видеонаблюдения")</f>
        <v>Техническое обслуживание системы видеонаблюдения</v>
      </c>
      <c r="G16117" s="22" t="s">
        <v>204</v>
      </c>
      <c r="H16117" s="22" t="s">
        <v>824</v>
      </c>
      <c r="I16117" s="26">
        <v>43497.3527777778</v>
      </c>
      <c r="J16117" s="28" t="s">
        <v>52</v>
      </c>
      <c r="K16117" s="28" t="s">
        <v>52</v>
      </c>
      <c r="L16117" s="28" t="s">
        <v>52</v>
      </c>
      <c r="M16117" s="28" t="s">
        <v>52</v>
      </c>
      <c r="N16117" s="28" t="s">
        <v>52</v>
      </c>
    </row>
    <row r="16118" spans="1:14" x14ac:dyDescent="0.15">
      <c r="A16118" s="23" t="str">
        <f>HYPERLINK("https://www.spark-marketing.ru/Card/Person/37353", "ГБУЗ ""КЕМСКАЯ ЦРБ""")</f>
        <v>ГБУЗ "КЕМСКАЯ ЦРБ"</v>
      </c>
      <c r="B16118" s="24" t="s">
        <v>18503</v>
      </c>
      <c r="C16118" s="25">
        <v>121238.39999999999</v>
      </c>
      <c r="D16118" s="22" t="s">
        <v>18504</v>
      </c>
      <c r="E16118" s="22" t="s">
        <v>68</v>
      </c>
      <c r="F16118" s="23" t="str">
        <f>HYPERLINK("https://www.spark-marketing.ru/Card/Lot/67643592", "Оказание услуг технической охраны имущества")</f>
        <v>Оказание услуг технической охраны имущества</v>
      </c>
      <c r="G16118" s="22" t="s">
        <v>435</v>
      </c>
      <c r="H16118" s="22" t="s">
        <v>435</v>
      </c>
      <c r="I16118" s="26">
        <v>43497</v>
      </c>
      <c r="J16118" s="28" t="s">
        <v>52</v>
      </c>
      <c r="K16118" s="28" t="s">
        <v>52</v>
      </c>
      <c r="L16118" s="28" t="s">
        <v>52</v>
      </c>
      <c r="M16118" s="28" t="s">
        <v>52</v>
      </c>
      <c r="N16118" s="28" t="s">
        <v>52</v>
      </c>
    </row>
    <row r="16119" spans="1:14" x14ac:dyDescent="0.15">
      <c r="A16119" s="23" t="str">
        <f>HYPERLINK("https://www.spark-marketing.ru/Card/Person/85043", "ИФНС РОССИИ ПО Г. ЗАРЕЧНОМУ ПЕНЗЕНСКОЙ ОБЛАСТИ")</f>
        <v>ИФНС РОССИИ ПО Г. ЗАРЕЧНОМУ ПЕНЗЕНСКОЙ ОБЛАСТИ</v>
      </c>
      <c r="B16119" s="24" t="s">
        <v>18505</v>
      </c>
      <c r="C16119" s="25">
        <v>61845.599999999999</v>
      </c>
      <c r="D16119" s="22" t="s">
        <v>18506</v>
      </c>
      <c r="E16119" s="22" t="s">
        <v>68</v>
      </c>
      <c r="F16119" s="23" t="str">
        <f>HYPERLINK("https://www.spark-marketing.ru/Card/Lot/67632776", "Услуги по охране имущества юридических лиц и физических лиц, и иных услуг, связанных с обеспечением охраны и безопасности граждан")</f>
        <v>Услуги по охране имущества юридических лиц и физических лиц, и иных услуг, связанных с обеспечением охраны и безопасности граждан</v>
      </c>
      <c r="G16119" s="22" t="s">
        <v>514</v>
      </c>
      <c r="H16119" s="22" t="s">
        <v>846</v>
      </c>
      <c r="I16119" s="26">
        <v>43497</v>
      </c>
      <c r="J16119" s="28" t="s">
        <v>52</v>
      </c>
      <c r="K16119" s="28" t="s">
        <v>52</v>
      </c>
      <c r="L16119" s="28" t="s">
        <v>52</v>
      </c>
      <c r="M16119" s="28" t="s">
        <v>52</v>
      </c>
      <c r="N16119" s="28" t="s">
        <v>52</v>
      </c>
    </row>
    <row r="16120" spans="1:14" x14ac:dyDescent="0.15">
      <c r="A16120" s="23" t="str">
        <f>HYPERLINK("https://www.spark-marketing.ru/Card/Person/576953", "ГБУЗ ЧОПАБ")</f>
        <v>ГБУЗ ЧОПАБ</v>
      </c>
      <c r="B16120" s="24" t="s">
        <v>9758</v>
      </c>
      <c r="C16120" s="25">
        <v>88500</v>
      </c>
      <c r="D16120" s="22" t="s">
        <v>18507</v>
      </c>
      <c r="E16120" s="22" t="s">
        <v>103</v>
      </c>
      <c r="F16120" s="23" t="str">
        <f>HYPERLINK("https://www.spark-marketing.ru/Card/Lot/67639472", "Обслуживание системы охранного видеонаблюдения")</f>
        <v>Обслуживание системы охранного видеонаблюдения</v>
      </c>
      <c r="G16120" s="22" t="s">
        <v>60</v>
      </c>
      <c r="H16120" s="22" t="s">
        <v>1683</v>
      </c>
      <c r="I16120" s="26">
        <v>43497</v>
      </c>
      <c r="J16120" s="28" t="s">
        <v>52</v>
      </c>
      <c r="K16120" s="28" t="s">
        <v>52</v>
      </c>
      <c r="L16120" s="28" t="s">
        <v>52</v>
      </c>
      <c r="M16120" s="28" t="s">
        <v>52</v>
      </c>
      <c r="N16120" s="28" t="s">
        <v>52</v>
      </c>
    </row>
    <row r="16121" spans="1:14" hidden="1" outlineLevel="1" x14ac:dyDescent="0.2">
      <c r="A16121" s="23" t="str">
        <f>HYPERLINK("https://www.spark-marketing.ru/Card/Person/576953", "ГБУЗ ЧОПАБ")</f>
        <v>ГБУЗ ЧОПАБ</v>
      </c>
      <c r="B16121" s="24" t="s">
        <v>9758</v>
      </c>
      <c r="C16121" s="25">
        <v>88500</v>
      </c>
      <c r="D16121" s="22" t="s">
        <v>18507</v>
      </c>
      <c r="E16121" s="22" t="s">
        <v>103</v>
      </c>
      <c r="F16121" s="23" t="str">
        <f>HYPERLINK("https://www.spark-marketing.ru/Card/Lot/67639472", "Обслуживание системы охранного видеонаблюдения")</f>
        <v>Обслуживание системы охранного видеонаблюдения</v>
      </c>
      <c r="G16121" s="22" t="s">
        <v>60</v>
      </c>
      <c r="H16121" s="22" t="s">
        <v>1683</v>
      </c>
      <c r="I16121" s="26">
        <v>43497</v>
      </c>
      <c r="J16121" s="23" t="str">
        <f>HYPERLINK("https://www.spark-marketing.ru/Card/Person/802084", "ООО ""ГЕФЕСТ""")</f>
        <v>ООО "ГЕФЕСТ"</v>
      </c>
      <c r="K16121" s="24" t="s">
        <v>3414</v>
      </c>
      <c r="L16121" s="28" t="s">
        <v>52</v>
      </c>
      <c r="M16121" s="25">
        <v>75000</v>
      </c>
      <c r="N16121" s="27">
        <v>0.15254237288135594</v>
      </c>
    </row>
    <row r="16122" spans="1:14" hidden="1" outlineLevel="1" x14ac:dyDescent="0.2">
      <c r="A16122" s="23" t="str">
        <f>HYPERLINK("https://www.spark-marketing.ru/Card/Person/576953", "ГБУЗ ЧОПАБ")</f>
        <v>ГБУЗ ЧОПАБ</v>
      </c>
      <c r="B16122" s="24" t="s">
        <v>9758</v>
      </c>
      <c r="C16122" s="25">
        <v>88500</v>
      </c>
      <c r="D16122" s="22" t="s">
        <v>18507</v>
      </c>
      <c r="E16122" s="22" t="s">
        <v>103</v>
      </c>
      <c r="F16122" s="23" t="str">
        <f>HYPERLINK("https://www.spark-marketing.ru/Card/Lot/67639472", "Обслуживание системы охранного видеонаблюдения")</f>
        <v>Обслуживание системы охранного видеонаблюдения</v>
      </c>
      <c r="G16122" s="22" t="s">
        <v>60</v>
      </c>
      <c r="H16122" s="22" t="s">
        <v>1683</v>
      </c>
      <c r="I16122" s="26">
        <v>43497</v>
      </c>
      <c r="J16122" s="23" t="str">
        <f>HYPERLINK("https://www.spark-marketing.ru/Card/Person/4707357", "Бритнер Андрей Владимирович")</f>
        <v>Бритнер Андрей Владимирович</v>
      </c>
      <c r="K16122" s="24" t="s">
        <v>3409</v>
      </c>
      <c r="L16122" s="28" t="s">
        <v>52</v>
      </c>
      <c r="M16122" s="25">
        <v>64592.5</v>
      </c>
      <c r="N16122" s="27">
        <v>0.27014124293785313</v>
      </c>
    </row>
    <row r="16123" spans="1:14" ht="12.75" hidden="1" outlineLevel="1" x14ac:dyDescent="0.2">
      <c r="A16123" s="23" t="str">
        <f>HYPERLINK("https://www.spark-marketing.ru/Card/Person/576953", "ГБУЗ ЧОПАБ")</f>
        <v>ГБУЗ ЧОПАБ</v>
      </c>
      <c r="B16123" s="24" t="s">
        <v>9758</v>
      </c>
      <c r="C16123" s="25">
        <v>88500</v>
      </c>
      <c r="D16123" s="22" t="s">
        <v>18507</v>
      </c>
      <c r="E16123" s="22" t="s">
        <v>103</v>
      </c>
      <c r="F16123" s="23" t="str">
        <f>HYPERLINK("https://www.spark-marketing.ru/Card/Lot/67639472", "Обслуживание системы охранного видеонаблюдения")</f>
        <v>Обслуживание системы охранного видеонаблюдения</v>
      </c>
      <c r="G16123" s="22" t="s">
        <v>60</v>
      </c>
      <c r="H16123" s="22" t="s">
        <v>1683</v>
      </c>
      <c r="I16123" s="26">
        <v>43497</v>
      </c>
      <c r="J16123" s="23" t="str">
        <f>HYPERLINK("https://www.spark-marketing.ru/Card/Person/6049626", "ООО ""ХОЛДАН""")</f>
        <v>ООО "ХОЛДАН"</v>
      </c>
      <c r="K16123" s="24" t="s">
        <v>3416</v>
      </c>
      <c r="L16123" s="22" t="s">
        <v>10</v>
      </c>
      <c r="M16123" s="25">
        <v>64150</v>
      </c>
      <c r="N16123" s="27">
        <v>0.27514124293785308</v>
      </c>
    </row>
    <row r="16124" spans="1:14" x14ac:dyDescent="0.15">
      <c r="A16124" s="23" t="str">
        <f>HYPERLINK("https://www.spark-marketing.ru/Card/Person/1051231", "МБДОУ № 9")</f>
        <v>МБДОУ № 9</v>
      </c>
      <c r="B16124" s="24" t="s">
        <v>18508</v>
      </c>
      <c r="C16124" s="25">
        <v>23978.76</v>
      </c>
      <c r="D16124" s="22" t="s">
        <v>18509</v>
      </c>
      <c r="E16124" s="22" t="s">
        <v>68</v>
      </c>
      <c r="F16124" s="23" t="str">
        <f>HYPERLINK("https://www.spark-marketing.ru/Card/Lot/67635145", "Услуги, связанные с обеспечением общественного порядка и безопасности, прочие")</f>
        <v>Услуги, связанные с обеспечением общественного порядка и безопасности, прочие</v>
      </c>
      <c r="G16124" s="22" t="s">
        <v>190</v>
      </c>
      <c r="H16124" s="22" t="s">
        <v>3603</v>
      </c>
      <c r="I16124" s="26">
        <v>43497</v>
      </c>
      <c r="J16124" s="28" t="s">
        <v>52</v>
      </c>
      <c r="K16124" s="28" t="s">
        <v>52</v>
      </c>
      <c r="L16124" s="28" t="s">
        <v>52</v>
      </c>
      <c r="M16124" s="28" t="s">
        <v>52</v>
      </c>
      <c r="N16124" s="28" t="s">
        <v>52</v>
      </c>
    </row>
    <row r="16125" spans="1:14" x14ac:dyDescent="0.15">
      <c r="A16125" s="23" t="str">
        <f>HYPERLINK("https://www.spark-marketing.ru/Card/Person/85043", "ИФНС РОССИИ ПО Г. ЗАРЕЧНОМУ ПЕНЗЕНСКОЙ ОБЛАСТИ")</f>
        <v>ИФНС РОССИИ ПО Г. ЗАРЕЧНОМУ ПЕНЗЕНСКОЙ ОБЛАСТИ</v>
      </c>
      <c r="B16125" s="24" t="s">
        <v>18505</v>
      </c>
      <c r="C16125" s="25">
        <v>56691.8</v>
      </c>
      <c r="D16125" s="22" t="s">
        <v>18510</v>
      </c>
      <c r="E16125" s="22" t="s">
        <v>68</v>
      </c>
      <c r="F16125" s="23" t="str">
        <f>HYPERLINK("https://www.spark-marketing.ru/Card/Lot/67631962", "Услуги по охране имущества юридических лиц и физических лиц, и иных услуг, связанных с обеспечением безопасности граждан")</f>
        <v>Услуги по охране имущества юридических лиц и физических лиц, и иных услуг, связанных с обеспечением безопасности граждан</v>
      </c>
      <c r="G16125" s="22" t="s">
        <v>514</v>
      </c>
      <c r="H16125" s="22" t="s">
        <v>846</v>
      </c>
      <c r="I16125" s="26">
        <v>43497</v>
      </c>
      <c r="J16125" s="28" t="s">
        <v>52</v>
      </c>
      <c r="K16125" s="28" t="s">
        <v>52</v>
      </c>
      <c r="L16125" s="28" t="s">
        <v>52</v>
      </c>
      <c r="M16125" s="28" t="s">
        <v>52</v>
      </c>
      <c r="N16125" s="28" t="s">
        <v>52</v>
      </c>
    </row>
    <row r="16126" spans="1:14" x14ac:dyDescent="0.15">
      <c r="A16126" s="23" t="str">
        <f>HYPERLINK("https://www.spark-marketing.ru/Card/Person/106019", "АО РТИ")</f>
        <v>АО РТИ</v>
      </c>
      <c r="B16126" s="24" t="s">
        <v>18511</v>
      </c>
      <c r="C16126" s="25">
        <v>0</v>
      </c>
      <c r="D16126" s="22" t="s">
        <v>18512</v>
      </c>
      <c r="E16126" s="22" t="s">
        <v>53</v>
      </c>
      <c r="F16126" s="23" t="str">
        <f>HYPERLINK("https://www.spark-marketing.ru/Card/Lot/67634394", "Оказание услуг по техническому обслуживанию систем контроля и управления доступом, охранной сигнализации, охранного теленаблюдения, локально вычислительной сети и центра обработки данных в помещениях АО РТИ и ОАО «НПК «НИИДАР»")</f>
        <v>Оказание услуг по техническому обслуживанию систем контроля и управления доступом, охранной сигнализации, охранного теленаблюдения, локально вычислительной сети и центра обработки данных в помещениях АО РТИ и ОАО «НПК «НИИДАР»</v>
      </c>
      <c r="G16126" s="22" t="s">
        <v>55</v>
      </c>
      <c r="H16126" s="22" t="s">
        <v>55</v>
      </c>
      <c r="I16126" s="26">
        <v>43497</v>
      </c>
      <c r="J16126" s="28" t="s">
        <v>52</v>
      </c>
      <c r="K16126" s="28" t="s">
        <v>52</v>
      </c>
      <c r="L16126" s="28" t="s">
        <v>52</v>
      </c>
      <c r="M16126" s="28" t="s">
        <v>52</v>
      </c>
      <c r="N16126" s="28" t="s">
        <v>52</v>
      </c>
    </row>
    <row r="16127" spans="1:14" x14ac:dyDescent="0.15">
      <c r="A16127" s="23" t="str">
        <f>HYPERLINK("https://www.spark-marketing.ru/Card/Person/86949", "ПРОКУРАТУРА ЧУКОТСКОГО АВТОНОМНОГО ОКРУГА")</f>
        <v>ПРОКУРАТУРА ЧУКОТСКОГО АВТОНОМНОГО ОКРУГА</v>
      </c>
      <c r="B16127" s="24" t="s">
        <v>5750</v>
      </c>
      <c r="C16127" s="25">
        <v>16730.400000000001</v>
      </c>
      <c r="D16127" s="22" t="s">
        <v>18513</v>
      </c>
      <c r="E16127" s="22" t="s">
        <v>68</v>
      </c>
      <c r="F16127" s="23" t="str">
        <f>HYPERLINK("https://www.spark-marketing.ru/Card/Lot/67616718", "услуги по охране объектов с помощью КТС округ")</f>
        <v>услуги по охране объектов с помощью КТС округ</v>
      </c>
      <c r="G16127" s="22" t="s">
        <v>1544</v>
      </c>
      <c r="H16127" s="22" t="s">
        <v>1544</v>
      </c>
      <c r="I16127" s="26">
        <v>43497</v>
      </c>
      <c r="J16127" s="28" t="s">
        <v>52</v>
      </c>
      <c r="K16127" s="28" t="s">
        <v>52</v>
      </c>
      <c r="L16127" s="28" t="s">
        <v>52</v>
      </c>
      <c r="M16127" s="28" t="s">
        <v>52</v>
      </c>
      <c r="N16127" s="28" t="s">
        <v>52</v>
      </c>
    </row>
    <row r="16128" spans="1:14" x14ac:dyDescent="0.15">
      <c r="A16128" s="23" t="str">
        <f>HYPERLINK("https://www.spark-marketing.ru/Card/Person/30759", "ПАО ""МТС""")</f>
        <v>ПАО "МТС"</v>
      </c>
      <c r="B16128" s="24" t="s">
        <v>1834</v>
      </c>
      <c r="C16128" s="28" t="s">
        <v>52</v>
      </c>
      <c r="D16128" s="28" t="s">
        <v>52</v>
      </c>
      <c r="E16128" s="22" t="s">
        <v>53</v>
      </c>
      <c r="F16128" s="23" t="str">
        <f>HYPERLINK("https://www.spark-marketing.ru/Card/Lot/67625142", "Уведомление об отмене процедуры Открытого запроса предложений на оказания услуг невооруженной физической охраны объектов филиала ПАО МТС в г. Кострома. (Торги № RFQ: 90129)")</f>
        <v>Уведомление об отмене процедуры Открытого запроса предложений на оказания услуг невооруженной физической охраны объектов филиала ПАО МТС в г. Кострома. (Торги № RFQ: 90129)</v>
      </c>
      <c r="G16128" s="22" t="s">
        <v>55</v>
      </c>
      <c r="H16128" s="22" t="s">
        <v>55</v>
      </c>
      <c r="I16128" s="26">
        <v>43497</v>
      </c>
      <c r="J16128" s="28" t="s">
        <v>52</v>
      </c>
      <c r="K16128" s="28" t="s">
        <v>52</v>
      </c>
      <c r="L16128" s="28" t="s">
        <v>52</v>
      </c>
      <c r="M16128" s="28" t="s">
        <v>52</v>
      </c>
      <c r="N16128" s="28" t="s">
        <v>52</v>
      </c>
    </row>
    <row r="16129" spans="1:14" x14ac:dyDescent="0.15">
      <c r="A16129" s="23" t="str">
        <f>HYPERLINK("https://www.spark-marketing.ru/Card/Person/17704", "ГБУЗ РБ БУРАЕВСКАЯ ЦРБ")</f>
        <v>ГБУЗ РБ БУРАЕВСКАЯ ЦРБ</v>
      </c>
      <c r="B16129" s="24" t="s">
        <v>18514</v>
      </c>
      <c r="C16129" s="25">
        <v>103400</v>
      </c>
      <c r="D16129" s="22" t="s">
        <v>18515</v>
      </c>
      <c r="E16129" s="22" t="s">
        <v>59</v>
      </c>
      <c r="F16129" s="23" t="str">
        <f>HYPERLINK("https://www.spark-marketing.ru/Card/Lot/67624300", "Оказание услуг по техническому обслуживанию оборудования систем охранной и тревожной сигнализации на объектах ГБУЗ РБ Бураевская ЦРБ")</f>
        <v>Оказание услуг по техническому обслуживанию оборудования систем охранной и тревожной сигнализации на объектах ГБУЗ РБ Бураевская ЦРБ</v>
      </c>
      <c r="G16129" s="22" t="s">
        <v>100</v>
      </c>
      <c r="H16129" s="22" t="s">
        <v>18516</v>
      </c>
      <c r="I16129" s="26">
        <v>43497</v>
      </c>
      <c r="J16129" s="28" t="s">
        <v>52</v>
      </c>
      <c r="K16129" s="28" t="s">
        <v>52</v>
      </c>
      <c r="L16129" s="28" t="s">
        <v>52</v>
      </c>
      <c r="M16129" s="28" t="s">
        <v>52</v>
      </c>
      <c r="N16129" s="28" t="s">
        <v>52</v>
      </c>
    </row>
    <row r="16130" spans="1:14" hidden="1" outlineLevel="1" x14ac:dyDescent="0.2">
      <c r="A16130" s="23" t="str">
        <f>HYPERLINK("https://www.spark-marketing.ru/Card/Person/17704", "ГБУЗ РБ БУРАЕВСКАЯ ЦРБ")</f>
        <v>ГБУЗ РБ БУРАЕВСКАЯ ЦРБ</v>
      </c>
      <c r="B16130" s="24" t="s">
        <v>18514</v>
      </c>
      <c r="C16130" s="25">
        <v>103400</v>
      </c>
      <c r="D16130" s="22" t="s">
        <v>18515</v>
      </c>
      <c r="E16130" s="22" t="s">
        <v>59</v>
      </c>
      <c r="F16130" s="23" t="str">
        <f>HYPERLINK("https://www.spark-marketing.ru/Card/Lot/67624300", "Оказание услуг по техническому обслуживанию оборудования систем охранной и тревожной сигнализации на объектах ГБУЗ РБ Бураевская ЦРБ")</f>
        <v>Оказание услуг по техническому обслуживанию оборудования систем охранной и тревожной сигнализации на объектах ГБУЗ РБ Бураевская ЦРБ</v>
      </c>
      <c r="G16130" s="22" t="s">
        <v>100</v>
      </c>
      <c r="H16130" s="22" t="s">
        <v>18516</v>
      </c>
      <c r="I16130" s="26">
        <v>43497</v>
      </c>
      <c r="J16130" s="23" t="str">
        <f>HYPERLINK("https://www.spark-marketing.ru/Card/Person/282268", "ООО ЧОП ""СПЕЦМОНТАЖСЕРВИС""")</f>
        <v>ООО ЧОП "СПЕЦМОНТАЖСЕРВИС"</v>
      </c>
      <c r="K16130" s="24" t="s">
        <v>18517</v>
      </c>
      <c r="L16130" s="28" t="s">
        <v>52</v>
      </c>
      <c r="M16130" s="25">
        <v>29986</v>
      </c>
      <c r="N16130" s="27">
        <v>0.71</v>
      </c>
    </row>
    <row r="16131" spans="1:14" ht="12.75" hidden="1" outlineLevel="1" x14ac:dyDescent="0.2">
      <c r="A16131" s="23" t="str">
        <f>HYPERLINK("https://www.spark-marketing.ru/Card/Person/17704", "ГБУЗ РБ БУРАЕВСКАЯ ЦРБ")</f>
        <v>ГБУЗ РБ БУРАЕВСКАЯ ЦРБ</v>
      </c>
      <c r="B16131" s="24" t="s">
        <v>18514</v>
      </c>
      <c r="C16131" s="25">
        <v>103400</v>
      </c>
      <c r="D16131" s="22" t="s">
        <v>18515</v>
      </c>
      <c r="E16131" s="22" t="s">
        <v>59</v>
      </c>
      <c r="F16131" s="23" t="str">
        <f>HYPERLINK("https://www.spark-marketing.ru/Card/Lot/67624300", "Оказание услуг по техническому обслуживанию оборудования систем охранной и тревожной сигнализации на объектах ГБУЗ РБ Бураевская ЦРБ")</f>
        <v>Оказание услуг по техническому обслуживанию оборудования систем охранной и тревожной сигнализации на объектах ГБУЗ РБ Бураевская ЦРБ</v>
      </c>
      <c r="G16131" s="22" t="s">
        <v>100</v>
      </c>
      <c r="H16131" s="22" t="s">
        <v>18516</v>
      </c>
      <c r="I16131" s="26">
        <v>43497</v>
      </c>
      <c r="J16131" s="23" t="str">
        <f>HYPERLINK("https://www.spark-marketing.ru/Card/Person/10487", "ФГУП ""ОХРАНА"" РОСГВАРДИИ")</f>
        <v>ФГУП "ОХРАНА" РОСГВАРДИИ</v>
      </c>
      <c r="K16131" s="24" t="s">
        <v>779</v>
      </c>
      <c r="L16131" s="22" t="s">
        <v>10</v>
      </c>
      <c r="M16131" s="25">
        <v>29469</v>
      </c>
      <c r="N16131" s="27">
        <v>0.71499999999999997</v>
      </c>
    </row>
    <row r="16132" spans="1:14" x14ac:dyDescent="0.15">
      <c r="A16132" s="23" t="str">
        <f>HYPERLINK("https://www.spark-marketing.ru/Card/Person/53903", "БУ ""МЕГИОНСКАЯ ГОРОДСКАЯ БОЛЬНИЦА № 2""")</f>
        <v>БУ "МЕГИОНСКАЯ ГОРОДСКАЯ БОЛЬНИЦА № 2"</v>
      </c>
      <c r="B16132" s="24" t="s">
        <v>6297</v>
      </c>
      <c r="C16132" s="25">
        <v>59000</v>
      </c>
      <c r="D16132" s="22" t="s">
        <v>18518</v>
      </c>
      <c r="E16132" s="22" t="s">
        <v>107</v>
      </c>
      <c r="F16132" s="23" t="str">
        <f>HYPERLINK("https://www.spark-marketing.ru/Card/Lot/67623746", "Оказание услуг по обслуживанию систем видеонаблюдения")</f>
        <v>Оказание услуг по обслуживанию систем видеонаблюдения</v>
      </c>
      <c r="G16132" s="22" t="s">
        <v>119</v>
      </c>
      <c r="H16132" s="22" t="s">
        <v>2371</v>
      </c>
      <c r="I16132" s="26">
        <v>43497</v>
      </c>
      <c r="J16132" s="28" t="s">
        <v>52</v>
      </c>
      <c r="K16132" s="28" t="s">
        <v>52</v>
      </c>
      <c r="L16132" s="28" t="s">
        <v>52</v>
      </c>
      <c r="M16132" s="28" t="s">
        <v>52</v>
      </c>
      <c r="N16132" s="28" t="s">
        <v>52</v>
      </c>
    </row>
    <row r="16133" spans="1:14" hidden="1" outlineLevel="1" x14ac:dyDescent="0.2">
      <c r="A16133" s="23" t="str">
        <f>HYPERLINK("https://www.spark-marketing.ru/Card/Person/53903", "БУ ""МЕГИОНСКАЯ ГОРОДСКАЯ БОЛЬНИЦА № 2""")</f>
        <v>БУ "МЕГИОНСКАЯ ГОРОДСКАЯ БОЛЬНИЦА № 2"</v>
      </c>
      <c r="B16133" s="24" t="s">
        <v>6297</v>
      </c>
      <c r="C16133" s="25">
        <v>59000</v>
      </c>
      <c r="D16133" s="22" t="s">
        <v>18518</v>
      </c>
      <c r="E16133" s="22" t="s">
        <v>107</v>
      </c>
      <c r="F16133" s="23" t="str">
        <f>HYPERLINK("https://www.spark-marketing.ru/Card/Lot/67623746", "Оказание услуг по обслуживанию систем видеонаблюдения")</f>
        <v>Оказание услуг по обслуживанию систем видеонаблюдения</v>
      </c>
      <c r="G16133" s="22" t="s">
        <v>119</v>
      </c>
      <c r="H16133" s="22" t="s">
        <v>2371</v>
      </c>
      <c r="I16133" s="26">
        <v>43497</v>
      </c>
      <c r="J16133" s="23" t="str">
        <f>HYPERLINK("https://www.spark-marketing.ru/Card/Person/930843", "ООО ""МОС - ГРУПП""")</f>
        <v>ООО "МОС - ГРУПП"</v>
      </c>
      <c r="K16133" s="24" t="s">
        <v>4184</v>
      </c>
      <c r="L16133" s="28" t="s">
        <v>52</v>
      </c>
      <c r="M16133" s="25">
        <v>24699.71</v>
      </c>
      <c r="N16133" s="27">
        <v>0.58136084745762717</v>
      </c>
    </row>
    <row r="16134" spans="1:14" hidden="1" outlineLevel="1" x14ac:dyDescent="0.2">
      <c r="A16134" s="23" t="str">
        <f>HYPERLINK("https://www.spark-marketing.ru/Card/Person/53903", "БУ ""МЕГИОНСКАЯ ГОРОДСКАЯ БОЛЬНИЦА № 2""")</f>
        <v>БУ "МЕГИОНСКАЯ ГОРОДСКАЯ БОЛЬНИЦА № 2"</v>
      </c>
      <c r="B16134" s="24" t="s">
        <v>6297</v>
      </c>
      <c r="C16134" s="25">
        <v>59000</v>
      </c>
      <c r="D16134" s="22" t="s">
        <v>18518</v>
      </c>
      <c r="E16134" s="22" t="s">
        <v>107</v>
      </c>
      <c r="F16134" s="23" t="str">
        <f>HYPERLINK("https://www.spark-marketing.ru/Card/Lot/67623746", "Оказание услуг по обслуживанию систем видеонаблюдения")</f>
        <v>Оказание услуг по обслуживанию систем видеонаблюдения</v>
      </c>
      <c r="G16134" s="22" t="s">
        <v>119</v>
      </c>
      <c r="H16134" s="22" t="s">
        <v>2371</v>
      </c>
      <c r="I16134" s="26">
        <v>43497</v>
      </c>
      <c r="J16134" s="23" t="str">
        <f>HYPERLINK("https://www.spark-marketing.ru/Card/Person/66412", "Глотов Сергей Анатольевич")</f>
        <v>Глотов Сергей Анатольевич</v>
      </c>
      <c r="K16134" s="24" t="s">
        <v>18519</v>
      </c>
      <c r="L16134" s="28" t="s">
        <v>52</v>
      </c>
      <c r="M16134" s="25">
        <v>19684.71</v>
      </c>
      <c r="N16134" s="27">
        <v>0.66636084745762714</v>
      </c>
    </row>
    <row r="16135" spans="1:14" ht="12.75" hidden="1" outlineLevel="1" x14ac:dyDescent="0.2">
      <c r="A16135" s="23" t="str">
        <f>HYPERLINK("https://www.spark-marketing.ru/Card/Person/53903", "БУ ""МЕГИОНСКАЯ ГОРОДСКАЯ БОЛЬНИЦА № 2""")</f>
        <v>БУ "МЕГИОНСКАЯ ГОРОДСКАЯ БОЛЬНИЦА № 2"</v>
      </c>
      <c r="B16135" s="24" t="s">
        <v>6297</v>
      </c>
      <c r="C16135" s="25">
        <v>59000</v>
      </c>
      <c r="D16135" s="22" t="s">
        <v>18518</v>
      </c>
      <c r="E16135" s="22" t="s">
        <v>107</v>
      </c>
      <c r="F16135" s="23" t="str">
        <f>HYPERLINK("https://www.spark-marketing.ru/Card/Lot/67623746", "Оказание услуг по обслуживанию систем видеонаблюдения")</f>
        <v>Оказание услуг по обслуживанию систем видеонаблюдения</v>
      </c>
      <c r="G16135" s="22" t="s">
        <v>119</v>
      </c>
      <c r="H16135" s="22" t="s">
        <v>2371</v>
      </c>
      <c r="I16135" s="26">
        <v>43497</v>
      </c>
      <c r="J16135" s="23" t="str">
        <f>HYPERLINK("https://www.spark-marketing.ru/Card/Person/6454687", "Госедло Михаил Васильевич")</f>
        <v>Госедло Михаил Васильевич</v>
      </c>
      <c r="K16135" s="24" t="s">
        <v>18520</v>
      </c>
      <c r="L16135" s="22" t="s">
        <v>10</v>
      </c>
      <c r="M16135" s="25">
        <v>16734.71</v>
      </c>
      <c r="N16135" s="27">
        <v>0.71636084745762707</v>
      </c>
    </row>
    <row r="16136" spans="1:14" x14ac:dyDescent="0.15">
      <c r="A16136" s="23" t="str">
        <f>HYPERLINK("https://www.spark-marketing.ru/Card/Person/148301", "МБДОУ ""ДЕТСКИЙ САД КОМБИНИРОВАННОГО ВИДА №53"" НМР РТ")</f>
        <v>МБДОУ "ДЕТСКИЙ САД КОМБИНИРОВАННОГО ВИДА №53" НМР РТ</v>
      </c>
      <c r="B16136" s="24" t="s">
        <v>18521</v>
      </c>
      <c r="C16136" s="25">
        <v>22000</v>
      </c>
      <c r="D16136" s="22" t="s">
        <v>18522</v>
      </c>
      <c r="E16136" s="22" t="s">
        <v>53</v>
      </c>
      <c r="F16136" s="23" t="str">
        <f>HYPERLINK("https://www.spark-marketing.ru/Card/Lot/73669311", "Техническое обслуживание системы видеонаблюдения")</f>
        <v>Техническое обслуживание системы видеонаблюдения</v>
      </c>
      <c r="G16136" s="22" t="s">
        <v>204</v>
      </c>
      <c r="H16136" s="22" t="s">
        <v>824</v>
      </c>
      <c r="I16136" s="26">
        <v>43497.000694444403</v>
      </c>
      <c r="J16136" s="28" t="s">
        <v>52</v>
      </c>
      <c r="K16136" s="28" t="s">
        <v>52</v>
      </c>
      <c r="L16136" s="28" t="s">
        <v>52</v>
      </c>
      <c r="M16136" s="28" t="s">
        <v>52</v>
      </c>
      <c r="N16136" s="28" t="s">
        <v>52</v>
      </c>
    </row>
    <row r="16137" spans="1:14" x14ac:dyDescent="0.15">
      <c r="A16137" s="23" t="str">
        <f>HYPERLINK("https://www.spark-marketing.ru/Card/Person/16205", "ОГБУЗ ""СМОЛЕНСКАЯ ОБЛАСТНАЯ ДЕТСКАЯ КЛИНИЧЕСКАЯ БОЛЬНИЦА""")</f>
        <v>ОГБУЗ "СМОЛЕНСКАЯ ОБЛАСТНАЯ ДЕТСКАЯ КЛИНИЧЕСКАЯ БОЛЬНИЦА"</v>
      </c>
      <c r="B16137" s="24" t="s">
        <v>18523</v>
      </c>
      <c r="C16137" s="25">
        <v>209472</v>
      </c>
      <c r="D16137" s="22" t="s">
        <v>18524</v>
      </c>
      <c r="E16137" s="22" t="s">
        <v>5267</v>
      </c>
      <c r="F16137" s="23" t="str">
        <f>HYPERLINK("https://www.spark-marketing.ru/Card/Lot/67644472", "Оказание услуг по охране имущества с помощью пульта централизованной охраны")</f>
        <v>Оказание услуг по охране имущества с помощью пульта централизованной охраны</v>
      </c>
      <c r="G16137" s="22" t="s">
        <v>956</v>
      </c>
      <c r="H16137" s="22" t="s">
        <v>1451</v>
      </c>
      <c r="I16137" s="26">
        <v>43497</v>
      </c>
      <c r="J16137" s="28" t="s">
        <v>52</v>
      </c>
      <c r="K16137" s="28" t="s">
        <v>52</v>
      </c>
      <c r="L16137" s="28" t="s">
        <v>52</v>
      </c>
      <c r="M16137" s="28" t="s">
        <v>52</v>
      </c>
      <c r="N16137" s="28" t="s">
        <v>52</v>
      </c>
    </row>
    <row r="16138" spans="1:14" x14ac:dyDescent="0.15">
      <c r="A16138" s="23" t="str">
        <f t="shared" ref="A16138:A16143" si="841">HYPERLINK("https://www.spark-marketing.ru/Card/Person/16197", "АГЕНТСТВО ПО ДЕЛАМ ЮСТИЦИИ И МИРОВЫХ СУДЕЙ ПЕРМСКОГО КРАЯ")</f>
        <v>АГЕНТСТВО ПО ДЕЛАМ ЮСТИЦИИ И МИРОВЫХ СУДЕЙ ПЕРМСКОГО КРАЯ</v>
      </c>
      <c r="B16138" s="24" t="s">
        <v>18525</v>
      </c>
      <c r="C16138" s="25">
        <v>300000</v>
      </c>
      <c r="D16138" s="22" t="s">
        <v>18526</v>
      </c>
      <c r="E16138" s="22" t="s">
        <v>349</v>
      </c>
      <c r="F16138" s="23" t="str">
        <f t="shared" ref="F16138:F16143" si="842">HYPERLINK("https://www.spark-marketing.ru/Card/Lot/67620422", "Обслуживание систем видеонаблюдения")</f>
        <v>Обслуживание систем видеонаблюдения</v>
      </c>
      <c r="G16138" s="22" t="s">
        <v>391</v>
      </c>
      <c r="H16138" s="22" t="s">
        <v>391</v>
      </c>
      <c r="I16138" s="26">
        <v>43497</v>
      </c>
      <c r="J16138" s="28" t="s">
        <v>52</v>
      </c>
      <c r="K16138" s="28" t="s">
        <v>52</v>
      </c>
      <c r="L16138" s="28" t="s">
        <v>52</v>
      </c>
      <c r="M16138" s="28" t="s">
        <v>52</v>
      </c>
      <c r="N16138" s="28" t="s">
        <v>52</v>
      </c>
    </row>
    <row r="16139" spans="1:14" hidden="1" outlineLevel="1" x14ac:dyDescent="0.2">
      <c r="A16139" s="23" t="str">
        <f t="shared" si="841"/>
        <v>АГЕНТСТВО ПО ДЕЛАМ ЮСТИЦИИ И МИРОВЫХ СУДЕЙ ПЕРМСКОГО КРАЯ</v>
      </c>
      <c r="B16139" s="24" t="s">
        <v>18525</v>
      </c>
      <c r="C16139" s="25">
        <v>300000</v>
      </c>
      <c r="D16139" s="22" t="s">
        <v>18526</v>
      </c>
      <c r="E16139" s="22" t="s">
        <v>349</v>
      </c>
      <c r="F16139" s="23" t="str">
        <f t="shared" si="842"/>
        <v>Обслуживание систем видеонаблюдения</v>
      </c>
      <c r="G16139" s="22" t="s">
        <v>391</v>
      </c>
      <c r="H16139" s="22" t="s">
        <v>391</v>
      </c>
      <c r="I16139" s="26">
        <v>43497</v>
      </c>
      <c r="J16139" s="23" t="str">
        <f>HYPERLINK("https://www.spark-marketing.ru/Card/Person/358451", "ООО ""ЦЭТ""")</f>
        <v>ООО "ЦЭТ"</v>
      </c>
      <c r="K16139" s="24" t="s">
        <v>2116</v>
      </c>
      <c r="L16139" s="28" t="s">
        <v>52</v>
      </c>
      <c r="M16139" s="25">
        <v>189000</v>
      </c>
      <c r="N16139" s="27">
        <v>0.37</v>
      </c>
    </row>
    <row r="16140" spans="1:14" hidden="1" outlineLevel="1" x14ac:dyDescent="0.2">
      <c r="A16140" s="23" t="str">
        <f t="shared" si="841"/>
        <v>АГЕНТСТВО ПО ДЕЛАМ ЮСТИЦИИ И МИРОВЫХ СУДЕЙ ПЕРМСКОГО КРАЯ</v>
      </c>
      <c r="B16140" s="24" t="s">
        <v>18525</v>
      </c>
      <c r="C16140" s="25">
        <v>300000</v>
      </c>
      <c r="D16140" s="22" t="s">
        <v>18526</v>
      </c>
      <c r="E16140" s="22" t="s">
        <v>349</v>
      </c>
      <c r="F16140" s="23" t="str">
        <f t="shared" si="842"/>
        <v>Обслуживание систем видеонаблюдения</v>
      </c>
      <c r="G16140" s="22" t="s">
        <v>391</v>
      </c>
      <c r="H16140" s="22" t="s">
        <v>391</v>
      </c>
      <c r="I16140" s="26">
        <v>43497</v>
      </c>
      <c r="J16140" s="23" t="str">
        <f>HYPERLINK("https://www.spark-marketing.ru/Card/Person/791894", "ООО ""ДОМОФОНЫ ПРИКАМЬЯ +""")</f>
        <v>ООО "ДОМОФОНЫ ПРИКАМЬЯ +"</v>
      </c>
      <c r="K16140" s="24" t="s">
        <v>18186</v>
      </c>
      <c r="L16140" s="28" t="s">
        <v>52</v>
      </c>
      <c r="M16140" s="25">
        <v>220000</v>
      </c>
      <c r="N16140" s="27">
        <v>0.26666666666666666</v>
      </c>
    </row>
    <row r="16141" spans="1:14" hidden="1" outlineLevel="1" x14ac:dyDescent="0.2">
      <c r="A16141" s="23" t="str">
        <f t="shared" si="841"/>
        <v>АГЕНТСТВО ПО ДЕЛАМ ЮСТИЦИИ И МИРОВЫХ СУДЕЙ ПЕРМСКОГО КРАЯ</v>
      </c>
      <c r="B16141" s="24" t="s">
        <v>18525</v>
      </c>
      <c r="C16141" s="25">
        <v>300000</v>
      </c>
      <c r="D16141" s="22" t="s">
        <v>18526</v>
      </c>
      <c r="E16141" s="22" t="s">
        <v>349</v>
      </c>
      <c r="F16141" s="23" t="str">
        <f t="shared" si="842"/>
        <v>Обслуживание систем видеонаблюдения</v>
      </c>
      <c r="G16141" s="22" t="s">
        <v>391</v>
      </c>
      <c r="H16141" s="22" t="s">
        <v>391</v>
      </c>
      <c r="I16141" s="26">
        <v>43497</v>
      </c>
      <c r="J16141" s="23" t="str">
        <f>HYPERLINK("https://www.spark-marketing.ru/Card/Person/783272", "ООО ""ПРИКАМСКАЯ КОМПАНИЯ""")</f>
        <v>ООО "ПРИКАМСКАЯ КОМПАНИЯ"</v>
      </c>
      <c r="K16141" s="24" t="s">
        <v>18527</v>
      </c>
      <c r="L16141" s="28" t="s">
        <v>52</v>
      </c>
      <c r="M16141" s="25">
        <v>264000</v>
      </c>
      <c r="N16141" s="27">
        <v>0.12</v>
      </c>
    </row>
    <row r="16142" spans="1:14" ht="12.75" hidden="1" outlineLevel="1" x14ac:dyDescent="0.2">
      <c r="A16142" s="23" t="str">
        <f t="shared" si="841"/>
        <v>АГЕНТСТВО ПО ДЕЛАМ ЮСТИЦИИ И МИРОВЫХ СУДЕЙ ПЕРМСКОГО КРАЯ</v>
      </c>
      <c r="B16142" s="24" t="s">
        <v>18525</v>
      </c>
      <c r="C16142" s="25">
        <v>300000</v>
      </c>
      <c r="D16142" s="22" t="s">
        <v>18526</v>
      </c>
      <c r="E16142" s="22" t="s">
        <v>349</v>
      </c>
      <c r="F16142" s="23" t="str">
        <f t="shared" si="842"/>
        <v>Обслуживание систем видеонаблюдения</v>
      </c>
      <c r="G16142" s="22" t="s">
        <v>391</v>
      </c>
      <c r="H16142" s="22" t="s">
        <v>391</v>
      </c>
      <c r="I16142" s="26">
        <v>43497</v>
      </c>
      <c r="J16142" s="23" t="str">
        <f>HYPERLINK("https://www.spark-marketing.ru/Card/Person/6267191", "Главатских Юрий Николаевич")</f>
        <v>Главатских Юрий Николаевич</v>
      </c>
      <c r="K16142" s="24" t="s">
        <v>15952</v>
      </c>
      <c r="L16142" s="22" t="s">
        <v>10</v>
      </c>
      <c r="M16142" s="25">
        <v>187500</v>
      </c>
      <c r="N16142" s="27">
        <v>0.375</v>
      </c>
    </row>
    <row r="16143" spans="1:14" hidden="1" outlineLevel="1" x14ac:dyDescent="0.2">
      <c r="A16143" s="23" t="str">
        <f t="shared" si="841"/>
        <v>АГЕНТСТВО ПО ДЕЛАМ ЮСТИЦИИ И МИРОВЫХ СУДЕЙ ПЕРМСКОГО КРАЯ</v>
      </c>
      <c r="B16143" s="24" t="s">
        <v>18525</v>
      </c>
      <c r="C16143" s="25">
        <v>300000</v>
      </c>
      <c r="D16143" s="22" t="s">
        <v>18526</v>
      </c>
      <c r="E16143" s="22" t="s">
        <v>349</v>
      </c>
      <c r="F16143" s="23" t="str">
        <f t="shared" si="842"/>
        <v>Обслуживание систем видеонаблюдения</v>
      </c>
      <c r="G16143" s="22" t="s">
        <v>391</v>
      </c>
      <c r="H16143" s="22" t="s">
        <v>391</v>
      </c>
      <c r="I16143" s="26">
        <v>43497</v>
      </c>
      <c r="J16143" s="23" t="str">
        <f>HYPERLINK("https://www.spark-marketing.ru/Card/Person/5853123", "Ершов Андрей Алексеевич")</f>
        <v>Ершов Андрей Алексеевич</v>
      </c>
      <c r="K16143" s="24" t="s">
        <v>1063</v>
      </c>
      <c r="L16143" s="28" t="s">
        <v>52</v>
      </c>
      <c r="M16143" s="25">
        <v>268500</v>
      </c>
      <c r="N16143" s="27">
        <v>0.105</v>
      </c>
    </row>
    <row r="16144" spans="1:14" x14ac:dyDescent="0.15">
      <c r="A16144" s="23" t="str">
        <f>HYPERLINK("https://www.spark-marketing.ru/Card/Person/86949", "ПРОКУРАТУРА ЧУКОТСКОГО АВТОНОМНОГО ОКРУГА")</f>
        <v>ПРОКУРАТУРА ЧУКОТСКОГО АВТОНОМНОГО ОКРУГА</v>
      </c>
      <c r="B16144" s="24" t="s">
        <v>5750</v>
      </c>
      <c r="C16144" s="25">
        <v>249747.6</v>
      </c>
      <c r="D16144" s="22" t="s">
        <v>18528</v>
      </c>
      <c r="E16144" s="22" t="s">
        <v>68</v>
      </c>
      <c r="F16144" s="23" t="str">
        <f>HYPERLINK("https://www.spark-marketing.ru/Card/Lot/67616721", "услуги по охране объектов c помощью ТСО округ")</f>
        <v>услуги по охране объектов c помощью ТСО округ</v>
      </c>
      <c r="G16144" s="22" t="s">
        <v>1544</v>
      </c>
      <c r="H16144" s="22" t="s">
        <v>1544</v>
      </c>
      <c r="I16144" s="26">
        <v>43497</v>
      </c>
      <c r="J16144" s="28" t="s">
        <v>52</v>
      </c>
      <c r="K16144" s="28" t="s">
        <v>52</v>
      </c>
      <c r="L16144" s="28" t="s">
        <v>52</v>
      </c>
      <c r="M16144" s="28" t="s">
        <v>52</v>
      </c>
      <c r="N16144" s="28" t="s">
        <v>52</v>
      </c>
    </row>
    <row r="16145" spans="1:14" x14ac:dyDescent="0.15">
      <c r="A16145" s="23" t="str">
        <f>HYPERLINK("https://www.spark-marketing.ru/Card/Person/949496", "ГБУЗ ""ЦМП Г.СОЧИ"" МЗ КК")</f>
        <v>ГБУЗ "ЦМП Г.СОЧИ" МЗ КК</v>
      </c>
      <c r="B16145" s="24" t="s">
        <v>18529</v>
      </c>
      <c r="C16145" s="25">
        <v>37116</v>
      </c>
      <c r="D16145" s="22" t="s">
        <v>18530</v>
      </c>
      <c r="E16145" s="22" t="s">
        <v>183</v>
      </c>
      <c r="F16145" s="23" t="str">
        <f>HYPERLINK("https://www.spark-marketing.ru/Card/Lot/67649194", "Возмещение арендодателю стоимости эксплуатационных расходов по адресу: г,Сочи, ул.Виноградная, 43/2")</f>
        <v>Возмещение арендодателю стоимости эксплуатационных расходов по адресу: г,Сочи, ул.Виноградная, 43/2</v>
      </c>
      <c r="G16145" s="22" t="s">
        <v>132</v>
      </c>
      <c r="H16145" s="22" t="s">
        <v>1126</v>
      </c>
      <c r="I16145" s="26">
        <v>43497</v>
      </c>
      <c r="J16145" s="28" t="s">
        <v>52</v>
      </c>
      <c r="K16145" s="28" t="s">
        <v>52</v>
      </c>
      <c r="L16145" s="28" t="s">
        <v>52</v>
      </c>
      <c r="M16145" s="28" t="s">
        <v>52</v>
      </c>
      <c r="N16145" s="28" t="s">
        <v>52</v>
      </c>
    </row>
    <row r="16146" spans="1:14" x14ac:dyDescent="0.15">
      <c r="A16146" s="23" t="str">
        <f>HYPERLINK("https://www.spark-marketing.ru/Card/Person/149242", "МАДОУ ""ДЕТСКИЙ САД КОМБИНИРОВАННОГО ВИДА С ГРУППАМИ ДЛЯ ТУБИНФИЦИРОВАННЫХ ДЕТЕЙ №61"" НМР РТ")</f>
        <v>МАДОУ "ДЕТСКИЙ САД КОМБИНИРОВАННОГО ВИДА С ГРУППАМИ ДЛЯ ТУБИНФИЦИРОВАННЫХ ДЕТЕЙ №61" НМР РТ</v>
      </c>
      <c r="B16146" s="24" t="s">
        <v>18531</v>
      </c>
      <c r="C16146" s="25">
        <v>7548</v>
      </c>
      <c r="D16146" s="22" t="s">
        <v>18532</v>
      </c>
      <c r="E16146" s="22" t="s">
        <v>53</v>
      </c>
      <c r="F16146" s="23" t="str">
        <f>HYPERLINK("https://www.spark-marketing.ru/Card/Lot/73663516", "Техническое обслуживание системы видеонаблюдения")</f>
        <v>Техническое обслуживание системы видеонаблюдения</v>
      </c>
      <c r="G16146" s="22" t="s">
        <v>204</v>
      </c>
      <c r="H16146" s="22" t="s">
        <v>824</v>
      </c>
      <c r="I16146" s="26">
        <v>43497.000694444403</v>
      </c>
      <c r="J16146" s="28" t="s">
        <v>52</v>
      </c>
      <c r="K16146" s="28" t="s">
        <v>52</v>
      </c>
      <c r="L16146" s="28" t="s">
        <v>52</v>
      </c>
      <c r="M16146" s="28" t="s">
        <v>52</v>
      </c>
      <c r="N16146" s="28" t="s">
        <v>52</v>
      </c>
    </row>
    <row r="16147" spans="1:14" x14ac:dyDescent="0.15">
      <c r="A16147" s="23" t="str">
        <f>HYPERLINK("https://www.spark-marketing.ru/Card/Person/152375", "МАДОУ ""ДЕТСКИЙ САД ОБЩЕРАЗВИВАЮЩЕГО ВИДА №83"" НМР РТ")</f>
        <v>МАДОУ "ДЕТСКИЙ САД ОБЩЕРАЗВИВАЮЩЕГО ВИДА №83" НМР РТ</v>
      </c>
      <c r="B16147" s="24" t="s">
        <v>18533</v>
      </c>
      <c r="C16147" s="25">
        <v>23500</v>
      </c>
      <c r="D16147" s="22" t="s">
        <v>18534</v>
      </c>
      <c r="E16147" s="22" t="s">
        <v>53</v>
      </c>
      <c r="F16147" s="23" t="str">
        <f>HYPERLINK("https://www.spark-marketing.ru/Card/Lot/73674006", "Техническое обслуживание системы видеонаблюдения")</f>
        <v>Техническое обслуживание системы видеонаблюдения</v>
      </c>
      <c r="G16147" s="22" t="s">
        <v>204</v>
      </c>
      <c r="H16147" s="22" t="s">
        <v>824</v>
      </c>
      <c r="I16147" s="26">
        <v>43497.345138888901</v>
      </c>
      <c r="J16147" s="28" t="s">
        <v>52</v>
      </c>
      <c r="K16147" s="28" t="s">
        <v>52</v>
      </c>
      <c r="L16147" s="28" t="s">
        <v>52</v>
      </c>
      <c r="M16147" s="28" t="s">
        <v>52</v>
      </c>
      <c r="N16147" s="28" t="s">
        <v>52</v>
      </c>
    </row>
    <row r="16148" spans="1:14" x14ac:dyDescent="0.15">
      <c r="A16148" s="23" t="str">
        <f>HYPERLINK("https://www.spark-marketing.ru/Card/Person/148916", "МБДОУ ""ДЕТСКИЙ САД ОБЩЕРАЗВИВАЮЩЕГО ВИДА №25"" НМР РТ")</f>
        <v>МБДОУ "ДЕТСКИЙ САД ОБЩЕРАЗВИВАЮЩЕГО ВИДА №25" НМР РТ</v>
      </c>
      <c r="B16148" s="24" t="s">
        <v>5114</v>
      </c>
      <c r="C16148" s="25">
        <v>3250</v>
      </c>
      <c r="D16148" s="22" t="s">
        <v>18535</v>
      </c>
      <c r="E16148" s="22" t="s">
        <v>53</v>
      </c>
      <c r="F16148" s="23" t="str">
        <f>HYPERLINK("https://www.spark-marketing.ru/Card/Lot/73673848", "Техническое обслуживание системы видеонаблюдения")</f>
        <v>Техническое обслуживание системы видеонаблюдения</v>
      </c>
      <c r="G16148" s="22" t="s">
        <v>204</v>
      </c>
      <c r="H16148" s="22" t="s">
        <v>824</v>
      </c>
      <c r="I16148" s="26">
        <v>43497.000694444403</v>
      </c>
      <c r="J16148" s="28" t="s">
        <v>52</v>
      </c>
      <c r="K16148" s="28" t="s">
        <v>52</v>
      </c>
      <c r="L16148" s="28" t="s">
        <v>52</v>
      </c>
      <c r="M16148" s="28" t="s">
        <v>52</v>
      </c>
      <c r="N16148" s="28" t="s">
        <v>52</v>
      </c>
    </row>
    <row r="16149" spans="1:14" x14ac:dyDescent="0.15">
      <c r="A16149" s="23" t="str">
        <f>HYPERLINK("https://www.spark-marketing.ru/Card/Person/1014746", "ГКУ ""ПЕРВОУРАЛЬСКИЙ ЦЗ""")</f>
        <v>ГКУ "ПЕРВОУРАЛЬСКИЙ ЦЗ"</v>
      </c>
      <c r="B16149" s="24" t="s">
        <v>18536</v>
      </c>
      <c r="C16149" s="25">
        <v>204675</v>
      </c>
      <c r="D16149" s="22" t="s">
        <v>18537</v>
      </c>
      <c r="E16149" s="22" t="s">
        <v>52</v>
      </c>
      <c r="F16149" s="23" t="str">
        <f>HYPERLINK("https://www.spark-marketing.ru/Card/Lot/67643391", "Оказание услуг по охране здания ГКУ «Первоуральский ЦЗ» с прилегающей территорией и здания гаража")</f>
        <v>Оказание услуг по охране здания ГКУ «Первоуральский ЦЗ» с прилегающей территорией и здания гаража</v>
      </c>
      <c r="G16149" s="22" t="s">
        <v>72</v>
      </c>
      <c r="H16149" s="22" t="s">
        <v>2918</v>
      </c>
      <c r="I16149" s="26">
        <v>43497</v>
      </c>
      <c r="J16149" s="28" t="s">
        <v>52</v>
      </c>
      <c r="K16149" s="28" t="s">
        <v>52</v>
      </c>
      <c r="L16149" s="28" t="s">
        <v>52</v>
      </c>
      <c r="M16149" s="28" t="s">
        <v>52</v>
      </c>
      <c r="N16149" s="28" t="s">
        <v>52</v>
      </c>
    </row>
    <row r="16150" spans="1:14" ht="12.75" hidden="1" outlineLevel="1" x14ac:dyDescent="0.2">
      <c r="A16150" s="23" t="str">
        <f>HYPERLINK("https://www.spark-marketing.ru/Card/Person/1014746", "ГКУ ""ПЕРВОУРАЛЬСКИЙ ЦЗ""")</f>
        <v>ГКУ "ПЕРВОУРАЛЬСКИЙ ЦЗ"</v>
      </c>
      <c r="B16150" s="24" t="s">
        <v>18536</v>
      </c>
      <c r="C16150" s="25">
        <v>204675</v>
      </c>
      <c r="D16150" s="22" t="s">
        <v>18537</v>
      </c>
      <c r="E16150" s="22" t="s">
        <v>52</v>
      </c>
      <c r="F16150" s="23" t="str">
        <f>HYPERLINK("https://www.spark-marketing.ru/Card/Lot/67643391", "Оказание услуг по охране здания ГКУ «Первоуральский ЦЗ» с прилегающей территорией и здания гаража")</f>
        <v>Оказание услуг по охране здания ГКУ «Первоуральский ЦЗ» с прилегающей территорией и здания гаража</v>
      </c>
      <c r="G16150" s="22" t="s">
        <v>72</v>
      </c>
      <c r="H16150" s="22" t="s">
        <v>2918</v>
      </c>
      <c r="I16150" s="26">
        <v>43497</v>
      </c>
      <c r="J16150" s="23" t="str">
        <f>HYPERLINK("https://www.spark-marketing.ru/Card/Person/31850", "ООО ЧОП ""ЕВРО-АЗИЯ""")</f>
        <v>ООО ЧОП "ЕВРО-АЗИЯ"</v>
      </c>
      <c r="K16150" s="24" t="s">
        <v>11743</v>
      </c>
      <c r="L16150" s="22" t="s">
        <v>10</v>
      </c>
      <c r="M16150" s="25">
        <v>168366.21</v>
      </c>
      <c r="N16150" s="27">
        <v>0.17739728838402344</v>
      </c>
    </row>
    <row r="16151" spans="1:14" hidden="1" outlineLevel="1" x14ac:dyDescent="0.2">
      <c r="A16151" s="23" t="str">
        <f>HYPERLINK("https://www.spark-marketing.ru/Card/Person/1014746", "ГКУ ""ПЕРВОУРАЛЬСКИЙ ЦЗ""")</f>
        <v>ГКУ "ПЕРВОУРАЛЬСКИЙ ЦЗ"</v>
      </c>
      <c r="B16151" s="24" t="s">
        <v>18536</v>
      </c>
      <c r="C16151" s="25">
        <v>204675</v>
      </c>
      <c r="D16151" s="22" t="s">
        <v>18537</v>
      </c>
      <c r="E16151" s="22" t="s">
        <v>52</v>
      </c>
      <c r="F16151" s="23" t="str">
        <f>HYPERLINK("https://www.spark-marketing.ru/Card/Lot/67643391", "Оказание услуг по охране здания ГКУ «Первоуральский ЦЗ» с прилегающей территорией и здания гаража")</f>
        <v>Оказание услуг по охране здания ГКУ «Первоуральский ЦЗ» с прилегающей территорией и здания гаража</v>
      </c>
      <c r="G16151" s="22" t="s">
        <v>72</v>
      </c>
      <c r="H16151" s="22" t="s">
        <v>2918</v>
      </c>
      <c r="I16151" s="26">
        <v>43497</v>
      </c>
      <c r="J16151" s="23" t="str">
        <f>HYPERLINK("https://www.spark-marketing.ru/Card/Person/802193", "ООО ""ЧОП ""ВЛВ""")</f>
        <v>ООО "ЧОП "ВЛВ"</v>
      </c>
      <c r="K16151" s="24" t="s">
        <v>18538</v>
      </c>
      <c r="L16151" s="28" t="s">
        <v>52</v>
      </c>
      <c r="M16151" s="25">
        <v>169389.59</v>
      </c>
      <c r="N16151" s="27">
        <v>0.1723972639550507</v>
      </c>
    </row>
    <row r="16152" spans="1:14" x14ac:dyDescent="0.15">
      <c r="A16152" s="23" t="str">
        <f>HYPERLINK("https://www.spark-marketing.ru/Card/Person/149253", "МБДОУ ""ДЕТСКИЙ САД ОБЩЕРАЗВИВАЮЩЕГО ВИДА № 32"" НМР РТ")</f>
        <v>МБДОУ "ДЕТСКИЙ САД ОБЩЕРАЗВИВАЮЩЕГО ВИДА № 32" НМР РТ</v>
      </c>
      <c r="B16152" s="24" t="s">
        <v>11904</v>
      </c>
      <c r="C16152" s="25">
        <v>13160</v>
      </c>
      <c r="D16152" s="22" t="s">
        <v>18539</v>
      </c>
      <c r="E16152" s="22" t="s">
        <v>53</v>
      </c>
      <c r="F16152" s="23" t="str">
        <f>HYPERLINK("https://www.spark-marketing.ru/Card/Lot/73674002", "Техническое обслуживание системы видеонаблюдения")</f>
        <v>Техническое обслуживание системы видеонаблюдения</v>
      </c>
      <c r="G16152" s="22" t="s">
        <v>204</v>
      </c>
      <c r="H16152" s="22" t="s">
        <v>824</v>
      </c>
      <c r="I16152" s="26">
        <v>43497.338888888902</v>
      </c>
      <c r="J16152" s="28" t="s">
        <v>52</v>
      </c>
      <c r="K16152" s="28" t="s">
        <v>52</v>
      </c>
      <c r="L16152" s="28" t="s">
        <v>52</v>
      </c>
      <c r="M16152" s="28" t="s">
        <v>52</v>
      </c>
      <c r="N16152" s="28" t="s">
        <v>52</v>
      </c>
    </row>
    <row r="16153" spans="1:14" x14ac:dyDescent="0.15">
      <c r="A16153" s="23" t="str">
        <f>HYPERLINK("https://www.spark-marketing.ru/Card/Person/260503", "МЕЖРАЙОННАЯ ИФНС РОССИИ № 14 ПО ИРКУТСКОЙ ОБЛАСТИ")</f>
        <v>МЕЖРАЙОННАЯ ИФНС РОССИИ № 14 ПО ИРКУТСКОЙ ОБЛАСТИ</v>
      </c>
      <c r="B16153" s="24" t="s">
        <v>17832</v>
      </c>
      <c r="C16153" s="25">
        <v>613035</v>
      </c>
      <c r="D16153" s="22" t="s">
        <v>18540</v>
      </c>
      <c r="E16153" s="22" t="s">
        <v>68</v>
      </c>
      <c r="F16153" s="23" t="str">
        <f>HYPERLINK("https://www.spark-marketing.ru/Card/Lot/67619855", "Прочая закупка товаров, работ и услуг (оказание услуг охраны объекта физическим постом с применением специальных средств)")</f>
        <v>Прочая закупка товаров, работ и услуг (оказание услуг охраны объекта физическим постом с применением специальных средств)</v>
      </c>
      <c r="G16153" s="22" t="s">
        <v>281</v>
      </c>
      <c r="H16153" s="22" t="s">
        <v>17834</v>
      </c>
      <c r="I16153" s="26">
        <v>43497</v>
      </c>
      <c r="J16153" s="28" t="s">
        <v>52</v>
      </c>
      <c r="K16153" s="28" t="s">
        <v>52</v>
      </c>
      <c r="L16153" s="28" t="s">
        <v>52</v>
      </c>
      <c r="M16153" s="28" t="s">
        <v>52</v>
      </c>
      <c r="N16153" s="28" t="s">
        <v>52</v>
      </c>
    </row>
    <row r="16154" spans="1:14" hidden="1" outlineLevel="1" x14ac:dyDescent="0.2">
      <c r="A16154" s="23" t="str">
        <f>HYPERLINK("https://www.spark-marketing.ru/Card/Person/260503", "МЕЖРАЙОННАЯ ИФНС РОССИИ № 14 ПО ИРКУТСКОЙ ОБЛАСТИ")</f>
        <v>МЕЖРАЙОННАЯ ИФНС РОССИИ № 14 ПО ИРКУТСКОЙ ОБЛАСТИ</v>
      </c>
      <c r="B16154" s="24" t="s">
        <v>17832</v>
      </c>
      <c r="C16154" s="25">
        <v>613035</v>
      </c>
      <c r="D16154" s="22" t="s">
        <v>18540</v>
      </c>
      <c r="E16154" s="22" t="s">
        <v>68</v>
      </c>
      <c r="F16154" s="23" t="str">
        <f>HYPERLINK("https://www.spark-marketing.ru/Card/Lot/67619855", "Прочая закупка товаров, работ и услуг (оказание услуг охраны объекта физическим постом с применением специальных средств)")</f>
        <v>Прочая закупка товаров, работ и услуг (оказание услуг охраны объекта физическим постом с применением специальных средств)</v>
      </c>
      <c r="G16154" s="22" t="s">
        <v>281</v>
      </c>
      <c r="H16154" s="22" t="s">
        <v>17834</v>
      </c>
      <c r="I16154" s="26">
        <v>43497</v>
      </c>
      <c r="J16154" s="23" t="str">
        <f>HYPERLINK("https://www.spark-marketing.ru/Card/Person/5955000", "ООО ЧОО ""ДЕЛЬТА-М""")</f>
        <v>ООО ЧОО "ДЕЛЬТА-М"</v>
      </c>
      <c r="K16154" s="24" t="s">
        <v>3835</v>
      </c>
      <c r="L16154" s="28" t="s">
        <v>52</v>
      </c>
      <c r="M16154" s="25">
        <v>609969.81999999995</v>
      </c>
      <c r="N16154" s="27">
        <v>5.0000081561411662E-3</v>
      </c>
    </row>
    <row r="16155" spans="1:14" ht="12.75" hidden="1" outlineLevel="1" x14ac:dyDescent="0.2">
      <c r="A16155" s="23" t="str">
        <f>HYPERLINK("https://www.spark-marketing.ru/Card/Person/260503", "МЕЖРАЙОННАЯ ИФНС РОССИИ № 14 ПО ИРКУТСКОЙ ОБЛАСТИ")</f>
        <v>МЕЖРАЙОННАЯ ИФНС РОССИИ № 14 ПО ИРКУТСКОЙ ОБЛАСТИ</v>
      </c>
      <c r="B16155" s="24" t="s">
        <v>17832</v>
      </c>
      <c r="C16155" s="25">
        <v>613035</v>
      </c>
      <c r="D16155" s="22" t="s">
        <v>18540</v>
      </c>
      <c r="E16155" s="22" t="s">
        <v>68</v>
      </c>
      <c r="F16155" s="23" t="str">
        <f>HYPERLINK("https://www.spark-marketing.ru/Card/Lot/67619855", "Прочая закупка товаров, работ и услуг (оказание услуг охраны объекта физическим постом с применением специальных средств)")</f>
        <v>Прочая закупка товаров, работ и услуг (оказание услуг охраны объекта физическим постом с применением специальных средств)</v>
      </c>
      <c r="G16155" s="22" t="s">
        <v>281</v>
      </c>
      <c r="H16155" s="22" t="s">
        <v>17834</v>
      </c>
      <c r="I16155" s="26">
        <v>43497</v>
      </c>
      <c r="J16155" s="23" t="str">
        <f>HYPERLINK("https://www.spark-marketing.ru/Card/Person/53937", "ООО ОФ ""КОДЕКС""")</f>
        <v>ООО ОФ "КОДЕКС"</v>
      </c>
      <c r="K16155" s="24" t="s">
        <v>5915</v>
      </c>
      <c r="L16155" s="22" t="s">
        <v>10</v>
      </c>
      <c r="M16155" s="25">
        <v>609969.81999999995</v>
      </c>
      <c r="N16155" s="27">
        <v>5.0000081561411662E-3</v>
      </c>
    </row>
    <row r="16156" spans="1:14" x14ac:dyDescent="0.15">
      <c r="A16156" s="23" t="str">
        <f>HYPERLINK("https://www.spark-marketing.ru/Card/Person/4355251", "ДЕПАРТАМЕНТ СЕЛЬСКОГО ХОЗЯЙСТВА И ПРОДОВОЛЬСТВИЯ ИВАНОВСКОЙ ОБЛАСТИ")</f>
        <v>ДЕПАРТАМЕНТ СЕЛЬСКОГО ХОЗЯЙСТВА И ПРОДОВОЛЬСТВИЯ ИВАНОВСКОЙ ОБЛАСТИ</v>
      </c>
      <c r="B16156" s="24" t="s">
        <v>18541</v>
      </c>
      <c r="C16156" s="25">
        <v>95348</v>
      </c>
      <c r="D16156" s="22" t="s">
        <v>18542</v>
      </c>
      <c r="E16156" s="22" t="s">
        <v>52</v>
      </c>
      <c r="F16156" s="23" t="str">
        <f>HYPERLINK("https://www.spark-marketing.ru/Card/Lot/67624726", "Оказание комплекса охранных услуг в здании Департамента сельского хозяйства и продовольствия Ивановской области.")</f>
        <v>Оказание комплекса охранных услуг в здании Департамента сельского хозяйства и продовольствия Ивановской области.</v>
      </c>
      <c r="G16156" s="22" t="s">
        <v>340</v>
      </c>
      <c r="H16156" s="22" t="s">
        <v>1030</v>
      </c>
      <c r="I16156" s="26">
        <v>43497</v>
      </c>
      <c r="J16156" s="28" t="s">
        <v>52</v>
      </c>
      <c r="K16156" s="28" t="s">
        <v>52</v>
      </c>
      <c r="L16156" s="28" t="s">
        <v>52</v>
      </c>
      <c r="M16156" s="28" t="s">
        <v>52</v>
      </c>
      <c r="N16156" s="28" t="s">
        <v>52</v>
      </c>
    </row>
    <row r="16157" spans="1:14" hidden="1" outlineLevel="1" x14ac:dyDescent="0.2">
      <c r="A16157" s="23" t="str">
        <f>HYPERLINK("https://www.spark-marketing.ru/Card/Person/4355251", "ДЕПАРТАМЕНТ СЕЛЬСКОГО ХОЗЯЙСТВА И ПРОДОВОЛЬСТВИЯ ИВАНОВСКОЙ ОБЛАСТИ")</f>
        <v>ДЕПАРТАМЕНТ СЕЛЬСКОГО ХОЗЯЙСТВА И ПРОДОВОЛЬСТВИЯ ИВАНОВСКОЙ ОБЛАСТИ</v>
      </c>
      <c r="B16157" s="24" t="s">
        <v>18541</v>
      </c>
      <c r="C16157" s="25">
        <v>95348</v>
      </c>
      <c r="D16157" s="22" t="s">
        <v>18542</v>
      </c>
      <c r="E16157" s="22" t="s">
        <v>52</v>
      </c>
      <c r="F16157" s="23" t="str">
        <f>HYPERLINK("https://www.spark-marketing.ru/Card/Lot/67624726", "Оказание комплекса охранных услуг в здании Департамента сельского хозяйства и продовольствия Ивановской области.")</f>
        <v>Оказание комплекса охранных услуг в здании Департамента сельского хозяйства и продовольствия Ивановской области.</v>
      </c>
      <c r="G16157" s="22" t="s">
        <v>340</v>
      </c>
      <c r="H16157" s="22" t="s">
        <v>1030</v>
      </c>
      <c r="I16157" s="26">
        <v>43497</v>
      </c>
      <c r="J16157" s="23" t="str">
        <f>HYPERLINK("https://www.spark-marketing.ru/Card/Person/5944673", "ООО ЧОО ""ТОРНАДО""")</f>
        <v>ООО ЧОО "ТОРНАДО"</v>
      </c>
      <c r="K16157" s="24" t="s">
        <v>18543</v>
      </c>
      <c r="L16157" s="28" t="s">
        <v>52</v>
      </c>
      <c r="M16157" s="25">
        <v>80000</v>
      </c>
      <c r="N16157" s="27">
        <v>0.16096824264798423</v>
      </c>
    </row>
    <row r="16158" spans="1:14" ht="12.75" hidden="1" outlineLevel="1" x14ac:dyDescent="0.2">
      <c r="A16158" s="23" t="str">
        <f>HYPERLINK("https://www.spark-marketing.ru/Card/Person/4355251", "ДЕПАРТАМЕНТ СЕЛЬСКОГО ХОЗЯЙСТВА И ПРОДОВОЛЬСТВИЯ ИВАНОВСКОЙ ОБЛАСТИ")</f>
        <v>ДЕПАРТАМЕНТ СЕЛЬСКОГО ХОЗЯЙСТВА И ПРОДОВОЛЬСТВИЯ ИВАНОВСКОЙ ОБЛАСТИ</v>
      </c>
      <c r="B16158" s="24" t="s">
        <v>18541</v>
      </c>
      <c r="C16158" s="25">
        <v>95348</v>
      </c>
      <c r="D16158" s="22" t="s">
        <v>18542</v>
      </c>
      <c r="E16158" s="22" t="s">
        <v>52</v>
      </c>
      <c r="F16158" s="23" t="str">
        <f>HYPERLINK("https://www.spark-marketing.ru/Card/Lot/67624726", "Оказание комплекса охранных услуг в здании Департамента сельского хозяйства и продовольствия Ивановской области.")</f>
        <v>Оказание комплекса охранных услуг в здании Департамента сельского хозяйства и продовольствия Ивановской области.</v>
      </c>
      <c r="G16158" s="22" t="s">
        <v>340</v>
      </c>
      <c r="H16158" s="22" t="s">
        <v>1030</v>
      </c>
      <c r="I16158" s="26">
        <v>43497</v>
      </c>
      <c r="J16158" s="23" t="str">
        <f>HYPERLINK("https://www.spark-marketing.ru/Card/Person/605999", "ООО ""ЧОП ""РИНГ-ИВАНОВО""")</f>
        <v>ООО "ЧОП "РИНГ-ИВАНОВО"</v>
      </c>
      <c r="K16158" s="24" t="s">
        <v>15346</v>
      </c>
      <c r="L16158" s="22" t="s">
        <v>10</v>
      </c>
      <c r="M16158" s="25">
        <v>60000</v>
      </c>
      <c r="N16158" s="27">
        <v>0.37072618198598817</v>
      </c>
    </row>
    <row r="16159" spans="1:14" x14ac:dyDescent="0.15">
      <c r="A16159" s="23" t="str">
        <f>HYPERLINK("https://www.spark-marketing.ru/Card/Person/1018954", "ГБУДО ИОЦРДОД")</f>
        <v>ГБУДО ИОЦРДОД</v>
      </c>
      <c r="B16159" s="24" t="s">
        <v>18544</v>
      </c>
      <c r="C16159" s="25">
        <v>602208</v>
      </c>
      <c r="D16159" s="22" t="s">
        <v>18545</v>
      </c>
      <c r="E16159" s="22" t="s">
        <v>52</v>
      </c>
      <c r="F16159" s="23" t="str">
        <f>HYPERLINK("https://www.spark-marketing.ru/Card/Lot/67624721", "Оказание услуг по физической охране зданий ГБУДО ИОЦРДОД по адресу г. Иваново, ул. Ленинградская, д.2")</f>
        <v>Оказание услуг по физической охране зданий ГБУДО ИОЦРДОД по адресу г. Иваново, ул. Ленинградская, д.2</v>
      </c>
      <c r="G16159" s="22" t="s">
        <v>340</v>
      </c>
      <c r="H16159" s="22" t="s">
        <v>1030</v>
      </c>
      <c r="I16159" s="26">
        <v>43497</v>
      </c>
      <c r="J16159" s="23" t="str">
        <f>HYPERLINK("https://www.spark-marketing.ru/Card/Person/580827", "ООО ЧОО ""АЛЬФА-ПРОФИ""")</f>
        <v>ООО ЧОО "АЛЬФА-ПРОФИ"</v>
      </c>
      <c r="K16159" s="24" t="s">
        <v>18546</v>
      </c>
      <c r="L16159" s="22" t="s">
        <v>10</v>
      </c>
      <c r="M16159" s="28" t="s">
        <v>52</v>
      </c>
      <c r="N16159" s="28" t="s">
        <v>52</v>
      </c>
    </row>
    <row r="16160" spans="1:14" x14ac:dyDescent="0.15">
      <c r="A16160" s="23" t="str">
        <f>HYPERLINK("https://www.spark-marketing.ru/Card/Person/148570", "МБДОУ ""ДЕТСКИЙ САД КОМБИНИРОВАННОГО ВИДА № 40"" НМР РТ")</f>
        <v>МБДОУ "ДЕТСКИЙ САД КОМБИНИРОВАННОГО ВИДА № 40" НМР РТ</v>
      </c>
      <c r="B16160" s="24" t="s">
        <v>15123</v>
      </c>
      <c r="C16160" s="25">
        <v>6500</v>
      </c>
      <c r="D16160" s="22" t="s">
        <v>18547</v>
      </c>
      <c r="E16160" s="22" t="s">
        <v>53</v>
      </c>
      <c r="F16160" s="23" t="str">
        <f>HYPERLINK("https://www.spark-marketing.ru/Card/Lot/73694617", "Техническое обслуживание системы видеонаблюдения")</f>
        <v>Техническое обслуживание системы видеонаблюдения</v>
      </c>
      <c r="G16160" s="22" t="s">
        <v>204</v>
      </c>
      <c r="H16160" s="22" t="s">
        <v>824</v>
      </c>
      <c r="I16160" s="26">
        <v>43497.000694444403</v>
      </c>
      <c r="J16160" s="28" t="s">
        <v>52</v>
      </c>
      <c r="K16160" s="28" t="s">
        <v>52</v>
      </c>
      <c r="L16160" s="28" t="s">
        <v>52</v>
      </c>
      <c r="M16160" s="28" t="s">
        <v>52</v>
      </c>
      <c r="N16160" s="28" t="s">
        <v>52</v>
      </c>
    </row>
    <row r="16161" spans="1:14" x14ac:dyDescent="0.15">
      <c r="A16161" s="23" t="str">
        <f>HYPERLINK("https://www.spark-marketing.ru/Card/Person/43418", "ГБУЗ КО ""ЦРБ ЖУКОВСКОГО РАЙОНА""")</f>
        <v>ГБУЗ КО "ЦРБ ЖУКОВСКОГО РАЙОНА"</v>
      </c>
      <c r="B16161" s="24" t="s">
        <v>18548</v>
      </c>
      <c r="C16161" s="25">
        <v>165396</v>
      </c>
      <c r="D16161" s="22" t="s">
        <v>18549</v>
      </c>
      <c r="E16161" s="22" t="s">
        <v>52</v>
      </c>
      <c r="F16161" s="23" t="str">
        <f>HYPERLINK("https://www.spark-marketing.ru/Card/Lot/67640158", "Оказание услуг по охране помещений для хранения наркотических средств и психотропных веществ .")</f>
        <v>Оказание услуг по охране помещений для хранения наркотических средств и психотропных веществ .</v>
      </c>
      <c r="G16161" s="22" t="s">
        <v>658</v>
      </c>
      <c r="H16161" s="22" t="s">
        <v>7631</v>
      </c>
      <c r="I16161" s="26">
        <v>43497</v>
      </c>
      <c r="J16161" s="28" t="s">
        <v>52</v>
      </c>
      <c r="K16161" s="28" t="s">
        <v>52</v>
      </c>
      <c r="L16161" s="28" t="s">
        <v>52</v>
      </c>
      <c r="M16161" s="28" t="s">
        <v>52</v>
      </c>
      <c r="N16161" s="28" t="s">
        <v>52</v>
      </c>
    </row>
    <row r="16162" spans="1:14" x14ac:dyDescent="0.15">
      <c r="A16162" s="23" t="str">
        <f>HYPERLINK("https://www.spark-marketing.ru/Card/Person/5960722", "МКУ ""ЕДДС ГОРОДСКОГО ОКРУГА ЕГОРЬЕВСК""")</f>
        <v>МКУ "ЕДДС ГОРОДСКОГО ОКРУГА ЕГОРЬЕВСК"</v>
      </c>
      <c r="B16162" s="24" t="s">
        <v>288</v>
      </c>
      <c r="C16162" s="25">
        <v>1637976</v>
      </c>
      <c r="D16162" s="22" t="s">
        <v>18550</v>
      </c>
      <c r="E16162" s="22" t="s">
        <v>294</v>
      </c>
      <c r="F16162" s="23" t="str">
        <f>HYPERLINK("https://www.spark-marketing.ru/Card/Lot/67635499", "Оказание услуг по передаче данных с камер видеонаблюдения и обслуживанию городской системы видеонаблюдения для нужд МКУ «Единая дежурно-диспетчерская служба городского округа Егорьевск»")</f>
        <v>Оказание услуг по передаче данных с камер видеонаблюдения и обслуживанию городской системы видеонаблюдения для нужд МКУ «Единая дежурно-диспетчерская служба городского округа Егорьевск»</v>
      </c>
      <c r="G16162" s="22" t="s">
        <v>50</v>
      </c>
      <c r="H16162" s="22" t="s">
        <v>239</v>
      </c>
      <c r="I16162" s="26">
        <v>43497</v>
      </c>
      <c r="J16162" s="28" t="s">
        <v>52</v>
      </c>
      <c r="K16162" s="28" t="s">
        <v>52</v>
      </c>
      <c r="L16162" s="28" t="s">
        <v>52</v>
      </c>
      <c r="M16162" s="28" t="s">
        <v>52</v>
      </c>
      <c r="N16162" s="28" t="s">
        <v>52</v>
      </c>
    </row>
    <row r="16163" spans="1:14" ht="12.75" hidden="1" outlineLevel="1" x14ac:dyDescent="0.2">
      <c r="A16163" s="23" t="str">
        <f>HYPERLINK("https://www.spark-marketing.ru/Card/Person/5960722", "МКУ ""ЕДДС ГОРОДСКОГО ОКРУГА ЕГОРЬЕВСК""")</f>
        <v>МКУ "ЕДДС ГОРОДСКОГО ОКРУГА ЕГОРЬЕВСК"</v>
      </c>
      <c r="B16163" s="24" t="s">
        <v>288</v>
      </c>
      <c r="C16163" s="25">
        <v>1637976</v>
      </c>
      <c r="D16163" s="22" t="s">
        <v>18550</v>
      </c>
      <c r="E16163" s="22" t="s">
        <v>294</v>
      </c>
      <c r="F16163" s="23" t="str">
        <f>HYPERLINK("https://www.spark-marketing.ru/Card/Lot/67635499", "Оказание услуг по передаче данных с камер видеонаблюдения и обслуживанию городской системы видеонаблюдения для нужд МКУ «Единая дежурно-диспетчерская служба городского округа Егорьевск»")</f>
        <v>Оказание услуг по передаче данных с камер видеонаблюдения и обслуживанию городской системы видеонаблюдения для нужд МКУ «Единая дежурно-диспетчерская служба городского округа Егорьевск»</v>
      </c>
      <c r="G16163" s="22" t="s">
        <v>50</v>
      </c>
      <c r="H16163" s="22" t="s">
        <v>239</v>
      </c>
      <c r="I16163" s="26">
        <v>43497</v>
      </c>
      <c r="J16163" s="23" t="str">
        <f>HYPERLINK("https://www.spark-marketing.ru/Card/Person/394053", "ООО ""РЕГИОНАЛЬНЫЕ СЕТИ""")</f>
        <v>ООО "РЕГИОНАЛЬНЫЕ СЕТИ"</v>
      </c>
      <c r="K16163" s="24" t="s">
        <v>18551</v>
      </c>
      <c r="L16163" s="22" t="s">
        <v>10</v>
      </c>
      <c r="M16163" s="25">
        <v>1629786.12</v>
      </c>
      <c r="N16163" s="27">
        <v>5.0000000000000001E-3</v>
      </c>
    </row>
    <row r="16164" spans="1:14" hidden="1" outlineLevel="1" x14ac:dyDescent="0.2">
      <c r="A16164" s="23" t="str">
        <f>HYPERLINK("https://www.spark-marketing.ru/Card/Person/5960722", "МКУ ""ЕДДС ГОРОДСКОГО ОКРУГА ЕГОРЬЕВСК""")</f>
        <v>МКУ "ЕДДС ГОРОДСКОГО ОКРУГА ЕГОРЬЕВСК"</v>
      </c>
      <c r="B16164" s="24" t="s">
        <v>288</v>
      </c>
      <c r="C16164" s="25">
        <v>1637976</v>
      </c>
      <c r="D16164" s="22" t="s">
        <v>18550</v>
      </c>
      <c r="E16164" s="22" t="s">
        <v>294</v>
      </c>
      <c r="F16164" s="23" t="str">
        <f>HYPERLINK("https://www.spark-marketing.ru/Card/Lot/67635499", "Оказание услуг по передаче данных с камер видеонаблюдения и обслуживанию городской системы видеонаблюдения для нужд МКУ «Единая дежурно-диспетчерская служба городского округа Егорьевск»")</f>
        <v>Оказание услуг по передаче данных с камер видеонаблюдения и обслуживанию городской системы видеонаблюдения для нужд МКУ «Единая дежурно-диспетчерская служба городского округа Егорьевск»</v>
      </c>
      <c r="G16164" s="22" t="s">
        <v>50</v>
      </c>
      <c r="H16164" s="22" t="s">
        <v>239</v>
      </c>
      <c r="I16164" s="26">
        <v>43497</v>
      </c>
      <c r="J16164" s="23" t="str">
        <f>HYPERLINK("https://www.spark-marketing.ru/Card/Person/939110", "Джамиева Карина Рашидовна")</f>
        <v>Джамиева Карина Рашидовна</v>
      </c>
      <c r="K16164" s="24" t="s">
        <v>18552</v>
      </c>
      <c r="L16164" s="28" t="s">
        <v>52</v>
      </c>
      <c r="M16164" s="25">
        <v>1629786.12</v>
      </c>
      <c r="N16164" s="27">
        <v>5.0000000000000001E-3</v>
      </c>
    </row>
    <row r="16165" spans="1:14" x14ac:dyDescent="0.15">
      <c r="A16165" s="23" t="str">
        <f>HYPERLINK("https://www.spark-marketing.ru/Card/Person/255000", "МБДОУ ""ДЕТСКИЙ САД ОБЩЕРАЗВИВАЮЩЕГО ВИДА № 3"" НМР РТ")</f>
        <v>МБДОУ "ДЕТСКИЙ САД ОБЩЕРАЗВИВАЮЩЕГО ВИДА № 3" НМР РТ</v>
      </c>
      <c r="B16165" s="24" t="s">
        <v>2028</v>
      </c>
      <c r="C16165" s="25">
        <v>22000</v>
      </c>
      <c r="D16165" s="22" t="s">
        <v>18553</v>
      </c>
      <c r="E16165" s="22" t="s">
        <v>53</v>
      </c>
      <c r="F16165" s="23" t="str">
        <f>HYPERLINK("https://www.spark-marketing.ru/Card/Lot/73663612", "Техническое обслуживание системы видеонаблюдения")</f>
        <v>Техническое обслуживание системы видеонаблюдения</v>
      </c>
      <c r="G16165" s="22" t="s">
        <v>204</v>
      </c>
      <c r="H16165" s="22" t="s">
        <v>824</v>
      </c>
      <c r="I16165" s="26">
        <v>43497.000694444403</v>
      </c>
      <c r="J16165" s="28" t="s">
        <v>52</v>
      </c>
      <c r="K16165" s="28" t="s">
        <v>52</v>
      </c>
      <c r="L16165" s="28" t="s">
        <v>52</v>
      </c>
      <c r="M16165" s="28" t="s">
        <v>52</v>
      </c>
      <c r="N16165" s="28" t="s">
        <v>52</v>
      </c>
    </row>
    <row r="16166" spans="1:14" x14ac:dyDescent="0.15">
      <c r="A16166" s="23" t="str">
        <f>HYPERLINK("https://www.spark-marketing.ru/Card/Person/106042", "ГБПОУ РО ""ТАГАНРОГСКИЙ МУЗЫКАЛЬНЫЙ КОЛЛЕДЖ""")</f>
        <v>ГБПОУ РО "ТАГАНРОГСКИЙ МУЗЫКАЛЬНЫЙ КОЛЛЕДЖ"</v>
      </c>
      <c r="B16166" s="24" t="s">
        <v>18554</v>
      </c>
      <c r="C16166" s="25">
        <v>57600</v>
      </c>
      <c r="D16166" s="22" t="s">
        <v>18555</v>
      </c>
      <c r="E16166" s="22" t="s">
        <v>107</v>
      </c>
      <c r="F16166" s="23" t="str">
        <f>HYPERLINK("https://www.spark-marketing.ru/Card/Lot/67614697", "Ежемесячное техническое обслуживание системы видеонаблюдения ГБПОУ РО «Таганрогский музыкальный колледж»")</f>
        <v>Ежемесячное техническое обслуживание системы видеонаблюдения ГБПОУ РО «Таганрогский музыкальный колледж»</v>
      </c>
      <c r="G16166" s="22" t="s">
        <v>402</v>
      </c>
      <c r="H16166" s="22" t="s">
        <v>5520</v>
      </c>
      <c r="I16166" s="26">
        <v>43496.952777777798</v>
      </c>
      <c r="J16166" s="28" t="s">
        <v>52</v>
      </c>
      <c r="K16166" s="28" t="s">
        <v>52</v>
      </c>
      <c r="L16166" s="28" t="s">
        <v>52</v>
      </c>
      <c r="M16166" s="28" t="s">
        <v>52</v>
      </c>
      <c r="N16166" s="28" t="s">
        <v>52</v>
      </c>
    </row>
    <row r="16167" spans="1:14" x14ac:dyDescent="0.2">
      <c r="A16167" s="23" t="str">
        <f>HYPERLINK("https://www.spark-marketing.ru/Card/Person/267910", "НАРЬЯН-МАРСКОЕ МУ ПОК И ТС")</f>
        <v>НАРЬЯН-МАРСКОЕ МУ ПОК И ТС</v>
      </c>
      <c r="B16167" s="24" t="s">
        <v>18556</v>
      </c>
      <c r="C16167" s="25">
        <v>291172.8</v>
      </c>
      <c r="D16167" s="22" t="s">
        <v>18557</v>
      </c>
      <c r="E16167" s="22" t="s">
        <v>144</v>
      </c>
      <c r="F16167" s="23" t="str">
        <f>HYPERLINK("https://www.spark-marketing.ru/Card/Lot/67614409", "Оказание охранных услуг с помощью КТС и технического обслуживания")</f>
        <v>Оказание охранных услуг с помощью КТС и технического обслуживания</v>
      </c>
      <c r="G16167" s="22" t="s">
        <v>1014</v>
      </c>
      <c r="H16167" s="22" t="s">
        <v>1014</v>
      </c>
      <c r="I16167" s="26">
        <v>43496.877268518503</v>
      </c>
      <c r="J16167" s="23" t="str">
        <f>HYPERLINK("https://www.spark-marketing.ru/Card/Person/493651", "ООО ""ОП ""СВЯТОГОРЪ""")</f>
        <v>ООО "ОП "СВЯТОГОРЪ"</v>
      </c>
      <c r="K16167" s="24" t="s">
        <v>16202</v>
      </c>
      <c r="L16167" s="28" t="s">
        <v>52</v>
      </c>
      <c r="M16167" s="25">
        <v>192000</v>
      </c>
      <c r="N16167" s="27">
        <v>0.34059774814130989</v>
      </c>
    </row>
    <row r="16168" spans="1:14" x14ac:dyDescent="0.15">
      <c r="A16168" s="23" t="str">
        <f>HYPERLINK("https://www.spark-marketing.ru/Card/Person/131602", "ООО ""ГАЗПРОМ ТРАНСГАЗ ТОМСК""")</f>
        <v>ООО "ГАЗПРОМ ТРАНСГАЗ ТОМСК"</v>
      </c>
      <c r="B16168" s="24" t="s">
        <v>14731</v>
      </c>
      <c r="C16168" s="25">
        <v>4311522.4400000004</v>
      </c>
      <c r="D16168" s="22" t="s">
        <v>18558</v>
      </c>
      <c r="E16168" s="22" t="s">
        <v>930</v>
      </c>
      <c r="F16168" s="23" t="str">
        <f>HYPERLINK("https://www.spark-marketing.ru/Card/Lot/67606078", "Оказание услуг по техническому обслуживанию видеостены для нужд ООО «Газпром трансгаз Томск» в 2019 году")</f>
        <v>Оказание услуг по техническому обслуживанию видеостены для нужд ООО «Газпром трансгаз Томск» в 2019 году</v>
      </c>
      <c r="G16168" s="22" t="s">
        <v>150</v>
      </c>
      <c r="H16168" s="22" t="s">
        <v>1656</v>
      </c>
      <c r="I16168" s="26">
        <v>43496.8366550926</v>
      </c>
      <c r="J16168" s="28" t="s">
        <v>52</v>
      </c>
      <c r="K16168" s="28" t="s">
        <v>52</v>
      </c>
      <c r="L16168" s="28" t="s">
        <v>52</v>
      </c>
      <c r="M16168" s="28" t="s">
        <v>52</v>
      </c>
      <c r="N16168" s="28" t="s">
        <v>52</v>
      </c>
    </row>
    <row r="16169" spans="1:14" hidden="1" outlineLevel="1" x14ac:dyDescent="0.15">
      <c r="A16169" s="23" t="str">
        <f>HYPERLINK("https://www.spark-marketing.ru/Card/Person/131602", "ООО ""ГАЗПРОМ ТРАНСГАЗ ТОМСК""")</f>
        <v>ООО "ГАЗПРОМ ТРАНСГАЗ ТОМСК"</v>
      </c>
      <c r="B16169" s="24" t="s">
        <v>14731</v>
      </c>
      <c r="C16169" s="28" t="s">
        <v>52</v>
      </c>
      <c r="D16169" s="22" t="s">
        <v>18558</v>
      </c>
      <c r="E16169" s="22" t="s">
        <v>930</v>
      </c>
      <c r="F16169" s="23" t="str">
        <f>HYPERLINK("https://www.spark-marketing.ru/Card/Lot/67606078", "Оказание услуг по техническому обслуживанию видеостены для нужд ООО «Газпром трансгаз Томск» в 2019 году")</f>
        <v>Оказание услуг по техническому обслуживанию видеостены для нужд ООО «Газпром трансгаз Томск» в 2019 году</v>
      </c>
      <c r="G16169" s="22" t="s">
        <v>150</v>
      </c>
      <c r="H16169" s="22" t="s">
        <v>1656</v>
      </c>
      <c r="I16169" s="26">
        <v>43496.8366550926</v>
      </c>
      <c r="J16169" s="23" t="str">
        <f>HYPERLINK("https://www.spark-marketing.ru/Card/Person/-1", "неизвестно")</f>
        <v>неизвестно</v>
      </c>
      <c r="K16169" s="28" t="s">
        <v>52</v>
      </c>
      <c r="L16169" s="28" t="s">
        <v>52</v>
      </c>
      <c r="M16169" s="28" t="s">
        <v>52</v>
      </c>
      <c r="N16169" s="28" t="s">
        <v>52</v>
      </c>
    </row>
    <row r="16170" spans="1:14" hidden="1" outlineLevel="1" x14ac:dyDescent="0.2">
      <c r="A16170" s="23" t="str">
        <f>HYPERLINK("https://www.spark-marketing.ru/Card/Person/131602", "ООО ""ГАЗПРОМ ТРАНСГАЗ ТОМСК""")</f>
        <v>ООО "ГАЗПРОМ ТРАНСГАЗ ТОМСК"</v>
      </c>
      <c r="B16170" s="24" t="s">
        <v>14731</v>
      </c>
      <c r="C16170" s="28" t="s">
        <v>52</v>
      </c>
      <c r="D16170" s="22" t="s">
        <v>18558</v>
      </c>
      <c r="E16170" s="22" t="s">
        <v>930</v>
      </c>
      <c r="F16170" s="23" t="str">
        <f>HYPERLINK("https://www.spark-marketing.ru/Card/Lot/67606078", "Оказание услуг по техническому обслуживанию видеостены для нужд ООО «Газпром трансгаз Томск» в 2019 году")</f>
        <v>Оказание услуг по техническому обслуживанию видеостены для нужд ООО «Газпром трансгаз Томск» в 2019 году</v>
      </c>
      <c r="G16170" s="22" t="s">
        <v>150</v>
      </c>
      <c r="H16170" s="22" t="s">
        <v>1656</v>
      </c>
      <c r="I16170" s="26">
        <v>43496.8366550926</v>
      </c>
      <c r="J16170" s="23" t="str">
        <f>HYPERLINK("https://www.spark-marketing.ru/Card/Person/-1", "неизвестно")</f>
        <v>неизвестно</v>
      </c>
      <c r="K16170" s="28" t="s">
        <v>52</v>
      </c>
      <c r="L16170" s="22" t="s">
        <v>10</v>
      </c>
      <c r="M16170" s="25">
        <v>4279661.8099999996</v>
      </c>
      <c r="N16170" s="27">
        <v>7.3896472634385731E-3</v>
      </c>
    </row>
    <row r="16171" spans="1:14" x14ac:dyDescent="0.15">
      <c r="A16171" s="23" t="str">
        <f>HYPERLINK("https://www.spark-marketing.ru/Card/Person/1005401", "МБУ ДО ЦДО")</f>
        <v>МБУ ДО ЦДО</v>
      </c>
      <c r="B16171" s="24" t="s">
        <v>18559</v>
      </c>
      <c r="C16171" s="25">
        <v>31042</v>
      </c>
      <c r="D16171" s="22" t="s">
        <v>18560</v>
      </c>
      <c r="E16171" s="22" t="s">
        <v>294</v>
      </c>
      <c r="F16171" s="23" t="str">
        <f>HYPERLINK("https://www.spark-marketing.ru/Card/Lot/67610421", "Обслуживание системы видеонаблюдения в здании МБУ ДО ЦДО")</f>
        <v>Обслуживание системы видеонаблюдения в здании МБУ ДО ЦДО</v>
      </c>
      <c r="G16171" s="22" t="s">
        <v>402</v>
      </c>
      <c r="H16171" s="22" t="s">
        <v>18561</v>
      </c>
      <c r="I16171" s="26">
        <v>43496.793055555601</v>
      </c>
      <c r="J16171" s="28" t="s">
        <v>52</v>
      </c>
      <c r="K16171" s="28" t="s">
        <v>52</v>
      </c>
      <c r="L16171" s="28" t="s">
        <v>52</v>
      </c>
      <c r="M16171" s="28" t="s">
        <v>52</v>
      </c>
      <c r="N16171" s="28" t="s">
        <v>52</v>
      </c>
    </row>
    <row r="16172" spans="1:14" x14ac:dyDescent="0.15">
      <c r="A16172" s="23" t="str">
        <f>HYPERLINK("https://www.spark-marketing.ru/Card/Person/4369400", "ООО АВИАПРЕДПРИЯТИЕ ""ГАЗПРОМ АВИА""")</f>
        <v>ООО АВИАПРЕДПРИЯТИЕ "ГАЗПРОМ АВИА"</v>
      </c>
      <c r="B16172" s="24" t="s">
        <v>6295</v>
      </c>
      <c r="C16172" s="25">
        <v>4014371.95</v>
      </c>
      <c r="D16172" s="22" t="s">
        <v>18562</v>
      </c>
      <c r="E16172" s="22" t="s">
        <v>144</v>
      </c>
      <c r="F16172" s="23" t="str">
        <f>HYPERLINK("https://www.spark-marketing.ru/Card/Lot/67610955", "Услуги по обеспечению охраны и безопасности объектов")</f>
        <v>Услуги по обеспечению охраны и безопасности объектов</v>
      </c>
      <c r="G16172" s="22" t="s">
        <v>55</v>
      </c>
      <c r="H16172" s="22" t="s">
        <v>55</v>
      </c>
      <c r="I16172" s="26">
        <v>43496.759143518502</v>
      </c>
      <c r="J16172" s="28" t="s">
        <v>52</v>
      </c>
      <c r="K16172" s="28" t="s">
        <v>52</v>
      </c>
      <c r="L16172" s="28" t="s">
        <v>52</v>
      </c>
      <c r="M16172" s="28" t="s">
        <v>52</v>
      </c>
      <c r="N16172" s="28" t="s">
        <v>52</v>
      </c>
    </row>
    <row r="16173" spans="1:14" x14ac:dyDescent="0.15">
      <c r="A16173" s="23" t="str">
        <f>HYPERLINK("https://www.spark-marketing.ru/Card/Person/1028306", "МБУК ""ГЦНТИД ""ЛЕПСЕ""")</f>
        <v>МБУК "ГЦНТИД "ЛЕПСЕ"</v>
      </c>
      <c r="B16173" s="24" t="s">
        <v>18563</v>
      </c>
      <c r="C16173" s="25">
        <v>50496</v>
      </c>
      <c r="D16173" s="22" t="s">
        <v>18564</v>
      </c>
      <c r="E16173" s="22" t="s">
        <v>294</v>
      </c>
      <c r="F16173" s="23" t="str">
        <f>HYPERLINK("https://www.spark-marketing.ru/Card/Lot/67609146", "ТО системы видеонаблюдения")</f>
        <v>ТО системы видеонаблюдения</v>
      </c>
      <c r="G16173" s="22" t="s">
        <v>50</v>
      </c>
      <c r="H16173" s="22" t="s">
        <v>265</v>
      </c>
      <c r="I16173" s="26">
        <v>43496.733668981498</v>
      </c>
      <c r="J16173" s="28" t="s">
        <v>52</v>
      </c>
      <c r="K16173" s="28" t="s">
        <v>52</v>
      </c>
      <c r="L16173" s="28" t="s">
        <v>52</v>
      </c>
      <c r="M16173" s="28" t="s">
        <v>52</v>
      </c>
      <c r="N16173" s="28" t="s">
        <v>52</v>
      </c>
    </row>
    <row r="16174" spans="1:14" x14ac:dyDescent="0.15">
      <c r="A16174" s="23" t="str">
        <f>HYPERLINK("https://www.spark-marketing.ru/Card/Person/557434", "ОГАУ ""СШ ""КРИСТАЛЛ""")</f>
        <v>ОГАУ "СШ "КРИСТАЛЛ"</v>
      </c>
      <c r="B16174" s="24" t="s">
        <v>18565</v>
      </c>
      <c r="C16174" s="25">
        <v>183400</v>
      </c>
      <c r="D16174" s="22" t="s">
        <v>18566</v>
      </c>
      <c r="E16174" s="22" t="s">
        <v>867</v>
      </c>
      <c r="F16174" s="23" t="str">
        <f>HYPERLINK("https://www.spark-marketing.ru/Card/Lot/67587563", "Оказание услуг по сервисному техническому обслуживанию системы видеонаблюдения")</f>
        <v>Оказание услуг по сервисному техническому обслуживанию системы видеонаблюдения</v>
      </c>
      <c r="G16174" s="22" t="s">
        <v>69</v>
      </c>
      <c r="H16174" s="22" t="s">
        <v>69</v>
      </c>
      <c r="I16174" s="26">
        <v>43496.718333333301</v>
      </c>
      <c r="J16174" s="28" t="s">
        <v>52</v>
      </c>
      <c r="K16174" s="28" t="s">
        <v>52</v>
      </c>
      <c r="L16174" s="28" t="s">
        <v>52</v>
      </c>
      <c r="M16174" s="28" t="s">
        <v>52</v>
      </c>
      <c r="N16174" s="28" t="s">
        <v>52</v>
      </c>
    </row>
    <row r="16175" spans="1:14" x14ac:dyDescent="0.15">
      <c r="A16175" s="23" t="str">
        <f>HYPERLINK("https://www.spark-marketing.ru/Card/Person/4363225", "АО ""ГАЗПРОМ ТЕПЛОЭНЕРГО""")</f>
        <v>АО "ГАЗПРОМ ТЕПЛОЭНЕРГО"</v>
      </c>
      <c r="B16175" s="24" t="s">
        <v>18567</v>
      </c>
      <c r="C16175" s="25">
        <v>134237.28</v>
      </c>
      <c r="D16175" s="22" t="s">
        <v>18568</v>
      </c>
      <c r="E16175" s="22" t="s">
        <v>9285</v>
      </c>
      <c r="F16175" s="23" t="str">
        <f>HYPERLINK("https://www.spark-marketing.ru/Card/Lot/67610899", "Оказание услуг обеспечения специального пропускного режима, предоставляющего возможность доступа служебного автотранспорта АО ""Газпром теплоэнерго"" на территорию охраняемого Объекта, расположенного по адресу: город Москва, проспект Вернадского, дом...")</f>
        <v>Оказание услуг обеспечения специального пропускного режима, предоставляющего возможность доступа служебного автотранспорта АО "Газпром теплоэнерго" на территорию охраняемого Объекта, расположенного по адресу: город Москва, проспект Вернадского, дом...</v>
      </c>
      <c r="G16175" s="22" t="s">
        <v>89</v>
      </c>
      <c r="H16175" s="22" t="s">
        <v>89</v>
      </c>
      <c r="I16175" s="26">
        <v>43496.745590277802</v>
      </c>
      <c r="J16175" s="28" t="s">
        <v>52</v>
      </c>
      <c r="K16175" s="28" t="s">
        <v>52</v>
      </c>
      <c r="L16175" s="28" t="s">
        <v>52</v>
      </c>
      <c r="M16175" s="28" t="s">
        <v>52</v>
      </c>
      <c r="N16175" s="28" t="s">
        <v>52</v>
      </c>
    </row>
    <row r="16176" spans="1:14" x14ac:dyDescent="0.15">
      <c r="A16176" s="23" t="str">
        <f>HYPERLINK("https://www.spark-marketing.ru/Card/Person/1066514", "МБУК ДК ""ЭНЕРГОМАШ""")</f>
        <v>МБУК ДК "ЭНЕРГОМАШ"</v>
      </c>
      <c r="B16176" s="24" t="s">
        <v>18569</v>
      </c>
      <c r="C16176" s="25">
        <v>4400</v>
      </c>
      <c r="D16176" s="22" t="s">
        <v>18570</v>
      </c>
      <c r="E16176" s="22" t="s">
        <v>234</v>
      </c>
      <c r="F16176" s="23" t="str">
        <f>HYPERLINK("https://www.spark-marketing.ru/Card/Lot/67608974", "Ежемесячное обслуживание системы видеонаблюдения")</f>
        <v>Ежемесячное обслуживание системы видеонаблюдения</v>
      </c>
      <c r="G16176" s="22" t="s">
        <v>176</v>
      </c>
      <c r="H16176" s="22" t="s">
        <v>318</v>
      </c>
      <c r="I16176" s="26">
        <v>43496.739583333299</v>
      </c>
      <c r="J16176" s="28" t="s">
        <v>52</v>
      </c>
      <c r="K16176" s="28" t="s">
        <v>52</v>
      </c>
      <c r="L16176" s="28" t="s">
        <v>52</v>
      </c>
      <c r="M16176" s="28" t="s">
        <v>52</v>
      </c>
      <c r="N16176" s="28" t="s">
        <v>52</v>
      </c>
    </row>
    <row r="16177" spans="1:14" x14ac:dyDescent="0.15">
      <c r="A16177" s="23" t="str">
        <f>HYPERLINK("https://www.spark-marketing.ru/Card/Person/456138", "КГАУ ""ЦСП""")</f>
        <v>КГАУ "ЦСП"</v>
      </c>
      <c r="B16177" s="24" t="s">
        <v>2031</v>
      </c>
      <c r="C16177" s="25">
        <v>414720</v>
      </c>
      <c r="D16177" s="22" t="s">
        <v>18571</v>
      </c>
      <c r="E16177" s="22" t="s">
        <v>363</v>
      </c>
      <c r="F16177" s="23" t="str">
        <f>HYPERLINK("https://www.spark-marketing.ru/Card/Lot/67599314", "Услуги по охране имущества")</f>
        <v>Услуги по охране имущества</v>
      </c>
      <c r="G16177" s="22" t="s">
        <v>640</v>
      </c>
      <c r="H16177" s="22" t="s">
        <v>640</v>
      </c>
      <c r="I16177" s="26">
        <v>43496.723680555602</v>
      </c>
      <c r="J16177" s="28" t="s">
        <v>52</v>
      </c>
      <c r="K16177" s="28" t="s">
        <v>52</v>
      </c>
      <c r="L16177" s="28" t="s">
        <v>52</v>
      </c>
      <c r="M16177" s="28" t="s">
        <v>52</v>
      </c>
      <c r="N16177" s="28" t="s">
        <v>52</v>
      </c>
    </row>
    <row r="16178" spans="1:14" x14ac:dyDescent="0.15">
      <c r="A16178" s="23" t="str">
        <f>HYPERLINK("https://www.spark-marketing.ru/Card/Person/997613", "МБДОУ ДЕТСКИЙ САД №4")</f>
        <v>МБДОУ ДЕТСКИЙ САД №4</v>
      </c>
      <c r="B16178" s="24" t="s">
        <v>18572</v>
      </c>
      <c r="C16178" s="25">
        <v>44400</v>
      </c>
      <c r="D16178" s="22" t="s">
        <v>18573</v>
      </c>
      <c r="E16178" s="22" t="s">
        <v>194</v>
      </c>
      <c r="F16178" s="23" t="str">
        <f>HYPERLINK("https://www.spark-marketing.ru/Card/Lot/67608988", "Модернизация системы видеонаблюдения (установка трёх дополнительных уличных видеокамер)")</f>
        <v>Модернизация системы видеонаблюдения (установка трёх дополнительных уличных видеокамер)</v>
      </c>
      <c r="G16178" s="22" t="s">
        <v>50</v>
      </c>
      <c r="H16178" s="22" t="s">
        <v>432</v>
      </c>
      <c r="I16178" s="26">
        <v>43496.7324884259</v>
      </c>
      <c r="J16178" s="28" t="s">
        <v>52</v>
      </c>
      <c r="K16178" s="28" t="s">
        <v>52</v>
      </c>
      <c r="L16178" s="28" t="s">
        <v>52</v>
      </c>
      <c r="M16178" s="28" t="s">
        <v>52</v>
      </c>
      <c r="N16178" s="28" t="s">
        <v>52</v>
      </c>
    </row>
    <row r="16179" spans="1:14" x14ac:dyDescent="0.15">
      <c r="A16179" s="23" t="str">
        <f>HYPERLINK("https://www.spark-marketing.ru/Card/Person/91835", "МБУ ДО ЦДТ ""ГАРМОНИЯ""")</f>
        <v>МБУ ДО ЦДТ "ГАРМОНИЯ"</v>
      </c>
      <c r="B16179" s="24" t="s">
        <v>18574</v>
      </c>
      <c r="C16179" s="25">
        <v>65340</v>
      </c>
      <c r="D16179" s="22" t="s">
        <v>18575</v>
      </c>
      <c r="E16179" s="22" t="s">
        <v>103</v>
      </c>
      <c r="F16179" s="23" t="str">
        <f>HYPERLINK("https://www.spark-marketing.ru/Card/Lot/67606722", "на оказание услуги по техническому обслуживанию видеонаблюдения и видеодомофона, с передачей видеоизображения в центр хранения и обработки видеоданных")</f>
        <v>на оказание услуги по техническому обслуживанию видеонаблюдения и видеодомофона, с передачей видеоизображения в центр хранения и обработки видеоданных</v>
      </c>
      <c r="G16179" s="22" t="s">
        <v>50</v>
      </c>
      <c r="H16179" s="22" t="s">
        <v>2391</v>
      </c>
      <c r="I16179" s="26">
        <v>43496.700185185196</v>
      </c>
      <c r="J16179" s="28" t="s">
        <v>52</v>
      </c>
      <c r="K16179" s="28" t="s">
        <v>52</v>
      </c>
      <c r="L16179" s="28" t="s">
        <v>52</v>
      </c>
      <c r="M16179" s="28" t="s">
        <v>52</v>
      </c>
      <c r="N16179" s="28" t="s">
        <v>52</v>
      </c>
    </row>
    <row r="16180" spans="1:14" x14ac:dyDescent="0.15">
      <c r="A16180" s="23" t="str">
        <f>HYPERLINK("https://www.spark-marketing.ru/Card/Person/5926497", "ООО ""ТЛП""")</f>
        <v>ООО "ТЛП"</v>
      </c>
      <c r="B16180" s="24" t="s">
        <v>18576</v>
      </c>
      <c r="C16180" s="25">
        <v>0</v>
      </c>
      <c r="D16180" s="22" t="s">
        <v>18577</v>
      </c>
      <c r="E16180" s="22" t="s">
        <v>53</v>
      </c>
      <c r="F16180" s="23" t="str">
        <f>HYPERLINK("https://www.spark-marketing.ru/Card/Lot/67623346", "Услуг по охране производственного объекта")</f>
        <v>Услуг по охране производственного объекта</v>
      </c>
      <c r="G16180" s="22" t="s">
        <v>119</v>
      </c>
      <c r="H16180" s="22" t="s">
        <v>18578</v>
      </c>
      <c r="I16180" s="26">
        <v>43496.707453703697</v>
      </c>
      <c r="J16180" s="28" t="s">
        <v>52</v>
      </c>
      <c r="K16180" s="28" t="s">
        <v>52</v>
      </c>
      <c r="L16180" s="28" t="s">
        <v>52</v>
      </c>
      <c r="M16180" s="28" t="s">
        <v>52</v>
      </c>
      <c r="N16180" s="28" t="s">
        <v>52</v>
      </c>
    </row>
    <row r="16181" spans="1:14" x14ac:dyDescent="0.15">
      <c r="A16181" s="23" t="str">
        <f>HYPERLINK("https://www.spark-marketing.ru/Card/Person/409350", "РЕВИЗИОННАЯ КОМИССИЯ ЛЕНИНСКОГО МУНИЦИПАЛЬНОГО РАЙОНА")</f>
        <v>РЕВИЗИОННАЯ КОМИССИЯ ЛЕНИНСКОГО МУНИЦИПАЛЬНОГО РАЙОНА</v>
      </c>
      <c r="B16181" s="24" t="s">
        <v>18579</v>
      </c>
      <c r="C16181" s="25">
        <v>65000</v>
      </c>
      <c r="D16181" s="22" t="s">
        <v>18580</v>
      </c>
      <c r="E16181" s="22" t="s">
        <v>107</v>
      </c>
      <c r="F16181" s="23" t="str">
        <f>HYPERLINK("https://www.spark-marketing.ru/Card/Lot/67606770", "Оказание услуг по техническому обслуживанию охранно-тревожной сигнализации")</f>
        <v>Оказание услуг по техническому обслуживанию охранно-тревожной сигнализации</v>
      </c>
      <c r="G16181" s="22" t="s">
        <v>50</v>
      </c>
      <c r="H16181" s="22" t="s">
        <v>2391</v>
      </c>
      <c r="I16181" s="26">
        <v>43496.679398148102</v>
      </c>
      <c r="J16181" s="28" t="s">
        <v>52</v>
      </c>
      <c r="K16181" s="28" t="s">
        <v>52</v>
      </c>
      <c r="L16181" s="28" t="s">
        <v>52</v>
      </c>
      <c r="M16181" s="28" t="s">
        <v>52</v>
      </c>
      <c r="N16181" s="28" t="s">
        <v>52</v>
      </c>
    </row>
    <row r="16182" spans="1:14" x14ac:dyDescent="0.15">
      <c r="A16182" s="23" t="str">
        <f>HYPERLINK("https://www.spark-marketing.ru/Card/Person/330013", "Фл АО ""Концерн Росэнергоатом"" Смоленская атомная станция")</f>
        <v>Фл АО "Концерн Росэнергоатом" Смоленская атомная станция</v>
      </c>
      <c r="B16182" s="24" t="s">
        <v>211</v>
      </c>
      <c r="C16182" s="28" t="s">
        <v>52</v>
      </c>
      <c r="D16182" s="22" t="s">
        <v>18581</v>
      </c>
      <c r="E16182" s="22" t="s">
        <v>53</v>
      </c>
      <c r="F16182" s="23" t="str">
        <f>HYPERLINK("https://www.spark-marketing.ru/Card/Lot/67611586", "Охрана внешних объектов Смоленской АЭС при помощи пульта централизованного наблюдения (1177261)")</f>
        <v>Охрана внешних объектов Смоленской АЭС при помощи пульта централизованного наблюдения (1177261)</v>
      </c>
      <c r="G16182" s="22" t="s">
        <v>55</v>
      </c>
      <c r="H16182" s="22" t="s">
        <v>55</v>
      </c>
      <c r="I16182" s="26">
        <v>43496.704872685201</v>
      </c>
      <c r="J16182" s="28" t="s">
        <v>52</v>
      </c>
      <c r="K16182" s="28" t="s">
        <v>52</v>
      </c>
      <c r="L16182" s="28" t="s">
        <v>52</v>
      </c>
      <c r="M16182" s="28" t="s">
        <v>52</v>
      </c>
      <c r="N16182" s="28" t="s">
        <v>52</v>
      </c>
    </row>
    <row r="16183" spans="1:14" x14ac:dyDescent="0.15">
      <c r="A16183" s="23" t="str">
        <f>HYPERLINK("https://www.spark-marketing.ru/Card/Person/1343922", "ФЛ ""КАЭР"" АО ""Атомэнергоремонт""")</f>
        <v>ФЛ "КАЭР" АО "Атомэнергоремонт"</v>
      </c>
      <c r="B16183" s="24" t="s">
        <v>10791</v>
      </c>
      <c r="C16183" s="28" t="s">
        <v>52</v>
      </c>
      <c r="D16183" s="22" t="s">
        <v>18582</v>
      </c>
      <c r="E16183" s="22" t="s">
        <v>53</v>
      </c>
      <c r="F16183" s="23" t="str">
        <f>HYPERLINK("https://www.spark-marketing.ru/Card/Lot/67611219", "Оказание услуг по физической охране объектов «Калининатомэнергоремонт» - филиала АО «Атомэнергоремонт» (1177168)")</f>
        <v>Оказание услуг по физической охране объектов «Калининатомэнергоремонт» - филиала АО «Атомэнергоремонт» (1177168)</v>
      </c>
      <c r="G16183" s="22" t="s">
        <v>55</v>
      </c>
      <c r="H16183" s="22" t="s">
        <v>55</v>
      </c>
      <c r="I16183" s="26">
        <v>43496.704872685201</v>
      </c>
      <c r="J16183" s="28" t="s">
        <v>52</v>
      </c>
      <c r="K16183" s="28" t="s">
        <v>52</v>
      </c>
      <c r="L16183" s="28" t="s">
        <v>52</v>
      </c>
      <c r="M16183" s="28" t="s">
        <v>52</v>
      </c>
      <c r="N16183" s="28" t="s">
        <v>52</v>
      </c>
    </row>
    <row r="16184" spans="1:14" x14ac:dyDescent="0.15">
      <c r="A16184" s="23" t="str">
        <f>HYPERLINK("https://www.spark-marketing.ru/Card/Person/129267", "МБУ ""ГЦС""")</f>
        <v>МБУ "ГЦС"</v>
      </c>
      <c r="B16184" s="24" t="s">
        <v>18583</v>
      </c>
      <c r="C16184" s="25">
        <v>99900</v>
      </c>
      <c r="D16184" s="22" t="s">
        <v>18584</v>
      </c>
      <c r="E16184" s="22" t="s">
        <v>107</v>
      </c>
      <c r="F16184" s="23" t="str">
        <f>HYPERLINK("https://www.spark-marketing.ru/Card/Lot/67606697", "Оказание услуг по обеспечению работоспособности каналов передачи сообщений комплекса технических средств охраны (системы тревожной сигнализации) и техническому обслуживанию технических средств охраны")</f>
        <v>Оказание услуг по обеспечению работоспособности каналов передачи сообщений комплекса технических средств охраны (системы тревожной сигнализации) и техническому обслуживанию технических средств охраны</v>
      </c>
      <c r="G16184" s="22" t="s">
        <v>50</v>
      </c>
      <c r="H16184" s="22" t="s">
        <v>2391</v>
      </c>
      <c r="I16184" s="26">
        <v>43496.699872685203</v>
      </c>
      <c r="J16184" s="28" t="s">
        <v>52</v>
      </c>
      <c r="K16184" s="28" t="s">
        <v>52</v>
      </c>
      <c r="L16184" s="28" t="s">
        <v>52</v>
      </c>
      <c r="M16184" s="28" t="s">
        <v>52</v>
      </c>
      <c r="N16184" s="28" t="s">
        <v>52</v>
      </c>
    </row>
    <row r="16185" spans="1:14" x14ac:dyDescent="0.2">
      <c r="A16185" s="23" t="str">
        <f>HYPERLINK("https://www.spark-marketing.ru/Card/Person/1320373", "ГАПОУ СО ""УОР № 1 (КОЛЛЕДЖ)""")</f>
        <v>ГАПОУ СО "УОР № 1 (КОЛЛЕДЖ)"</v>
      </c>
      <c r="B16185" s="24" t="s">
        <v>18585</v>
      </c>
      <c r="C16185" s="25">
        <v>133920</v>
      </c>
      <c r="D16185" s="22" t="s">
        <v>18586</v>
      </c>
      <c r="E16185" s="22" t="s">
        <v>144</v>
      </c>
      <c r="F16185" s="23" t="str">
        <f>HYPERLINK("https://www.spark-marketing.ru/Card/Lot/67599054", "Договор оказания услуг круглосуточной физической охраны на объекте расположенном по адресу: г. Новоуральск, Загородное шоссе, 16")</f>
        <v>Договор оказания услуг круглосуточной физической охраны на объекте расположенном по адресу: г. Новоуральск, Загородное шоссе, 16</v>
      </c>
      <c r="G16185" s="22" t="s">
        <v>72</v>
      </c>
      <c r="H16185" s="22" t="s">
        <v>72</v>
      </c>
      <c r="I16185" s="26">
        <v>43496.6823842593</v>
      </c>
      <c r="J16185" s="23" t="str">
        <f>HYPERLINK("https://www.spark-marketing.ru/Card/Person/4350535", "ООО ЧОО ""СОВА-Н""")</f>
        <v>ООО ЧОО "СОВА-Н"</v>
      </c>
      <c r="K16185" s="24" t="s">
        <v>16835</v>
      </c>
      <c r="L16185" s="28" t="s">
        <v>52</v>
      </c>
      <c r="M16185" s="25">
        <v>133920</v>
      </c>
      <c r="N16185" s="27">
        <v>0</v>
      </c>
    </row>
    <row r="16186" spans="1:14" x14ac:dyDescent="0.15">
      <c r="A16186" s="23" t="str">
        <f>HYPERLINK("https://www.spark-marketing.ru/Card/Person/6251510", "МБДОУ ДС № 2 ""САДКО""")</f>
        <v>МБДОУ ДС № 2 "САДКО"</v>
      </c>
      <c r="B16186" s="24" t="s">
        <v>18587</v>
      </c>
      <c r="C16186" s="25">
        <v>16200</v>
      </c>
      <c r="D16186" s="22" t="s">
        <v>18588</v>
      </c>
      <c r="E16186" s="22" t="s">
        <v>103</v>
      </c>
      <c r="F16186" s="23" t="str">
        <f>HYPERLINK("https://www.spark-marketing.ru/Card/Lot/67603876", "техническому обслуживанию систем видеонаблюдения")</f>
        <v>техническому обслуживанию систем видеонаблюдения</v>
      </c>
      <c r="G16186" s="22" t="s">
        <v>402</v>
      </c>
      <c r="H16186" s="22" t="s">
        <v>631</v>
      </c>
      <c r="I16186" s="26">
        <v>43496.677083333299</v>
      </c>
      <c r="J16186" s="28" t="s">
        <v>52</v>
      </c>
      <c r="K16186" s="28" t="s">
        <v>52</v>
      </c>
      <c r="L16186" s="28" t="s">
        <v>52</v>
      </c>
      <c r="M16186" s="28" t="s">
        <v>52</v>
      </c>
      <c r="N16186" s="28" t="s">
        <v>52</v>
      </c>
    </row>
    <row r="16187" spans="1:14" x14ac:dyDescent="0.15">
      <c r="A16187" s="23" t="str">
        <f>HYPERLINK("https://www.spark-marketing.ru/Card/Person/12406", "ФКП ""РОСГОСЦИРК""")</f>
        <v>ФКП "РОСГОСЦИРК"</v>
      </c>
      <c r="B16187" s="24" t="s">
        <v>1143</v>
      </c>
      <c r="C16187" s="25">
        <v>170400</v>
      </c>
      <c r="D16187" s="22" t="s">
        <v>18589</v>
      </c>
      <c r="E16187" s="22" t="s">
        <v>144</v>
      </c>
      <c r="F16187" s="23" t="str">
        <f>HYPERLINK("https://www.spark-marketing.ru/Card/Lot/67605856", "Оказание услуг по охране объектов с помощью кнопки тревожной сигнализации, пульта централизованного наблюдения и техническому обслуживанию средств охраны для нужд филиала ФКП «Росгосцирк» «Гостиница «Арена»")</f>
        <v>Оказание услуг по охране объектов с помощью кнопки тревожной сигнализации, пульта централизованного наблюдения и техническому обслуживанию средств охраны для нужд филиала ФКП «Росгосцирк» «Гостиница «Арена»</v>
      </c>
      <c r="G16187" s="22" t="s">
        <v>55</v>
      </c>
      <c r="H16187" s="22" t="s">
        <v>55</v>
      </c>
      <c r="I16187" s="26">
        <v>43496.677129629599</v>
      </c>
      <c r="J16187" s="28" t="s">
        <v>52</v>
      </c>
      <c r="K16187" s="28" t="s">
        <v>52</v>
      </c>
      <c r="L16187" s="28" t="s">
        <v>52</v>
      </c>
      <c r="M16187" s="28" t="s">
        <v>52</v>
      </c>
      <c r="N16187" s="28" t="s">
        <v>52</v>
      </c>
    </row>
    <row r="16188" spans="1:14" x14ac:dyDescent="0.15">
      <c r="A16188" s="23" t="str">
        <f>HYPERLINK("https://www.spark-marketing.ru/Card/Person/1343922", "ФЛ ""КАЭР"" АО ""Атомэнергоремонт""")</f>
        <v>ФЛ "КАЭР" АО "Атомэнергоремонт"</v>
      </c>
      <c r="B16188" s="24" t="s">
        <v>10791</v>
      </c>
      <c r="C16188" s="25">
        <v>0</v>
      </c>
      <c r="D16188" s="22" t="s">
        <v>18590</v>
      </c>
      <c r="E16188" s="22" t="s">
        <v>53</v>
      </c>
      <c r="F16188" s="23" t="str">
        <f>HYPERLINK("https://www.spark-marketing.ru/Card/Lot/67606620", "мониторинг цен в электронной форме на Оказание услуг по физической охране объектов «Калининатомэнергоремонт» - филиала АО «Атомэнергоремонт»")</f>
        <v>мониторинг цен в электронной форме на Оказание услуг по физической охране объектов «Калининатомэнергоремонт» - филиала АО «Атомэнергоремонт»</v>
      </c>
      <c r="G16188" s="22" t="s">
        <v>55</v>
      </c>
      <c r="H16188" s="22" t="s">
        <v>55</v>
      </c>
      <c r="I16188" s="26">
        <v>43496.645497685196</v>
      </c>
      <c r="J16188" s="28" t="s">
        <v>52</v>
      </c>
      <c r="K16188" s="28" t="s">
        <v>52</v>
      </c>
      <c r="L16188" s="28" t="s">
        <v>52</v>
      </c>
      <c r="M16188" s="28" t="s">
        <v>52</v>
      </c>
      <c r="N16188" s="28" t="s">
        <v>52</v>
      </c>
    </row>
    <row r="16189" spans="1:14" x14ac:dyDescent="0.15">
      <c r="A16189" s="23" t="str">
        <f>HYPERLINK("https://www.spark-marketing.ru/Card/Person/1683079", "ООО ""ЧОП ""КЕННАРД""")</f>
        <v>ООО "ЧОП "КЕННАРД"</v>
      </c>
      <c r="B16189" s="24" t="s">
        <v>1949</v>
      </c>
      <c r="C16189" s="25">
        <v>292464</v>
      </c>
      <c r="D16189" s="22" t="s">
        <v>18591</v>
      </c>
      <c r="E16189" s="22" t="s">
        <v>53</v>
      </c>
      <c r="F16189" s="23" t="str">
        <f>HYPERLINK("https://www.spark-marketing.ru/Card/Lot/67622357", "Опора ООС 4 метра для установки камер CCTV OOC-02-4")</f>
        <v>Опора ООС 4 метра для установки камер CCTV OOC-02-4</v>
      </c>
      <c r="G16189" s="22" t="s">
        <v>204</v>
      </c>
      <c r="H16189" s="22" t="s">
        <v>303</v>
      </c>
      <c r="I16189" s="26">
        <v>43496.631134259304</v>
      </c>
      <c r="J16189" s="28" t="s">
        <v>52</v>
      </c>
      <c r="K16189" s="28" t="s">
        <v>52</v>
      </c>
      <c r="L16189" s="28" t="s">
        <v>52</v>
      </c>
      <c r="M16189" s="28" t="s">
        <v>52</v>
      </c>
      <c r="N16189" s="28" t="s">
        <v>52</v>
      </c>
    </row>
    <row r="16190" spans="1:14" x14ac:dyDescent="0.15">
      <c r="A16190" s="23" t="str">
        <f>HYPERLINK("https://www.spark-marketing.ru/Card/Person/1024889", "МУК ""ЦКИСД ТОМИЛИНО""")</f>
        <v>МУК "ЦКИСД ТОМИЛИНО"</v>
      </c>
      <c r="B16190" s="24" t="s">
        <v>18592</v>
      </c>
      <c r="C16190" s="25">
        <v>64933.33</v>
      </c>
      <c r="D16190" s="22" t="s">
        <v>18593</v>
      </c>
      <c r="E16190" s="22" t="s">
        <v>103</v>
      </c>
      <c r="F16190" s="23" t="str">
        <f>HYPERLINK("https://www.spark-marketing.ru/Card/Lot/67604010", "Оказание услуг по техническому обслуживанию систем видео-наблюдения")</f>
        <v>Оказание услуг по техническому обслуживанию систем видео-наблюдения</v>
      </c>
      <c r="G16190" s="22" t="s">
        <v>50</v>
      </c>
      <c r="H16190" s="22" t="s">
        <v>5291</v>
      </c>
      <c r="I16190" s="26">
        <v>43496.658391203702</v>
      </c>
      <c r="J16190" s="28" t="s">
        <v>52</v>
      </c>
      <c r="K16190" s="28" t="s">
        <v>52</v>
      </c>
      <c r="L16190" s="28" t="s">
        <v>52</v>
      </c>
      <c r="M16190" s="28" t="s">
        <v>52</v>
      </c>
      <c r="N16190" s="28" t="s">
        <v>52</v>
      </c>
    </row>
    <row r="16191" spans="1:14" x14ac:dyDescent="0.15">
      <c r="A16191" s="23" t="str">
        <f>HYPERLINK("https://www.spark-marketing.ru/Card/Person/38076", "ГКОУ РО ""ТАЦИНСКАЯ СПЕЦИАЛЬНАЯ ШКОЛА-ИНТЕРНАТ""")</f>
        <v>ГКОУ РО "ТАЦИНСКАЯ СПЕЦИАЛЬНАЯ ШКОЛА-ИНТЕРНАТ"</v>
      </c>
      <c r="B16191" s="24" t="s">
        <v>18594</v>
      </c>
      <c r="C16191" s="25">
        <v>72000</v>
      </c>
      <c r="D16191" s="22" t="s">
        <v>18595</v>
      </c>
      <c r="E16191" s="22" t="s">
        <v>107</v>
      </c>
      <c r="F16191" s="23" t="str">
        <f>HYPERLINK("https://www.spark-marketing.ru/Card/Lot/67598534", "услуги по техническому обслуживанию двух систем видеонаблюдения на объектах Заказчика: спальный корпус ГКОУ РО «Тацинская специальная школа-интернат» и учебный корпус ГКОУ РО «Тацинская специальная школа-интернат» , расположенных по адресу: 347060, Р...")</f>
        <v>услуги по техническому обслуживанию двух систем видеонаблюдения на объектах Заказчика: спальный корпус ГКОУ РО «Тацинская специальная школа-интернат» и учебный корпус ГКОУ РО «Тацинская специальная школа-интернат» , расположенных по адресу: 347060, Р...</v>
      </c>
      <c r="G16191" s="22" t="s">
        <v>402</v>
      </c>
      <c r="H16191" s="22" t="s">
        <v>4623</v>
      </c>
      <c r="I16191" s="26">
        <v>43496.597916666702</v>
      </c>
      <c r="J16191" s="28" t="s">
        <v>52</v>
      </c>
      <c r="K16191" s="28" t="s">
        <v>52</v>
      </c>
      <c r="L16191" s="28" t="s">
        <v>52</v>
      </c>
      <c r="M16191" s="28" t="s">
        <v>52</v>
      </c>
      <c r="N16191" s="28" t="s">
        <v>52</v>
      </c>
    </row>
    <row r="16192" spans="1:14" x14ac:dyDescent="0.15">
      <c r="A16192" s="23" t="str">
        <f>HYPERLINK("https://www.spark-marketing.ru/Card/Person/1764988", "ПАО ""ОЭЗ ""ЛОТОС""")</f>
        <v>ПАО "ОЭЗ "ЛОТОС"</v>
      </c>
      <c r="B16192" s="24" t="s">
        <v>18596</v>
      </c>
      <c r="C16192" s="25">
        <v>168000</v>
      </c>
      <c r="D16192" s="22" t="s">
        <v>18597</v>
      </c>
      <c r="E16192" s="22" t="s">
        <v>867</v>
      </c>
      <c r="F16192" s="23" t="str">
        <f>HYPERLINK("https://www.spark-marketing.ru/Card/Lot/67616001", "Техническое обслуживание системы видеонаблюдения")</f>
        <v>Техническое обслуживание системы видеонаблюдения</v>
      </c>
      <c r="G16192" s="22" t="s">
        <v>565</v>
      </c>
      <c r="H16192" s="22" t="s">
        <v>565</v>
      </c>
      <c r="I16192" s="26">
        <v>43496.589768518497</v>
      </c>
      <c r="J16192" s="28" t="s">
        <v>52</v>
      </c>
      <c r="K16192" s="28" t="s">
        <v>52</v>
      </c>
      <c r="L16192" s="28" t="s">
        <v>52</v>
      </c>
      <c r="M16192" s="28" t="s">
        <v>52</v>
      </c>
      <c r="N16192" s="28" t="s">
        <v>52</v>
      </c>
    </row>
    <row r="16193" spans="1:14" x14ac:dyDescent="0.15">
      <c r="A16193" s="23" t="str">
        <f>HYPERLINK("https://www.spark-marketing.ru/Card/Person/6093", "МБУ ""ЛЕВКОВСКИЙ СДК""")</f>
        <v>МБУ "ЛЕВКОВСКИЙ СДК"</v>
      </c>
      <c r="B16193" s="24" t="s">
        <v>17878</v>
      </c>
      <c r="C16193" s="25">
        <v>25000</v>
      </c>
      <c r="D16193" s="22" t="s">
        <v>18598</v>
      </c>
      <c r="E16193" s="22" t="s">
        <v>208</v>
      </c>
      <c r="F16193" s="23" t="str">
        <f>HYPERLINK("https://www.spark-marketing.ru/Card/Lot/67600398", "Оказание услуг по установке тревожной кнопки")</f>
        <v>Оказание услуг по установке тревожной кнопки</v>
      </c>
      <c r="G16193" s="22" t="s">
        <v>50</v>
      </c>
      <c r="H16193" s="22" t="s">
        <v>76</v>
      </c>
      <c r="I16193" s="26">
        <v>43496.585416666698</v>
      </c>
      <c r="J16193" s="28" t="s">
        <v>52</v>
      </c>
      <c r="K16193" s="28" t="s">
        <v>52</v>
      </c>
      <c r="L16193" s="28" t="s">
        <v>52</v>
      </c>
      <c r="M16193" s="28" t="s">
        <v>52</v>
      </c>
      <c r="N16193" s="28" t="s">
        <v>52</v>
      </c>
    </row>
    <row r="16194" spans="1:14" x14ac:dyDescent="0.15">
      <c r="A16194" s="23" t="str">
        <f>HYPERLINK("https://www.spark-marketing.ru/Card/Person/359364", "МУП ""ВОДОКАНАЛ""")</f>
        <v>МУП "ВОДОКАНАЛ"</v>
      </c>
      <c r="B16194" s="24" t="s">
        <v>15157</v>
      </c>
      <c r="C16194" s="25">
        <v>308523.36</v>
      </c>
      <c r="D16194" s="22" t="s">
        <v>18599</v>
      </c>
      <c r="E16194" s="22" t="s">
        <v>370</v>
      </c>
      <c r="F16194" s="23" t="str">
        <f>HYPERLINK("https://www.spark-marketing.ru/Card/Lot/67615649", "Услуги по техническому обслуживанию охранной сигнализации объектов МУП ""Водоканал"" городского округа Ликино-Дулёво")</f>
        <v>Услуги по техническому обслуживанию охранной сигнализации объектов МУП "Водоканал" городского округа Ликино-Дулёво</v>
      </c>
      <c r="G16194" s="22" t="s">
        <v>50</v>
      </c>
      <c r="H16194" s="22" t="s">
        <v>50</v>
      </c>
      <c r="I16194" s="26">
        <v>43496.608032407399</v>
      </c>
      <c r="J16194" s="28" t="s">
        <v>52</v>
      </c>
      <c r="K16194" s="28" t="s">
        <v>52</v>
      </c>
      <c r="L16194" s="28" t="s">
        <v>52</v>
      </c>
      <c r="M16194" s="28" t="s">
        <v>52</v>
      </c>
      <c r="N16194" s="28" t="s">
        <v>52</v>
      </c>
    </row>
    <row r="16195" spans="1:14" x14ac:dyDescent="0.15">
      <c r="A16195" s="23" t="str">
        <f>HYPERLINK("https://www.spark-marketing.ru/Card/Person/38076", "ГКОУ РО ""ТАЦИНСКАЯ СПЕЦИАЛЬНАЯ ШКОЛА-ИНТЕРНАТ""")</f>
        <v>ГКОУ РО "ТАЦИНСКАЯ СПЕЦИАЛЬНАЯ ШКОЛА-ИНТЕРНАТ"</v>
      </c>
      <c r="B16195" s="24" t="s">
        <v>18594</v>
      </c>
      <c r="C16195" s="25">
        <v>72000</v>
      </c>
      <c r="D16195" s="22" t="s">
        <v>18600</v>
      </c>
      <c r="E16195" s="22" t="s">
        <v>107</v>
      </c>
      <c r="F16195" s="23" t="str">
        <f>HYPERLINK("https://www.spark-marketing.ru/Card/Lot/67598476", "услуги по техническому обслуживанию двух систем видеонаблюдения на объектах Заказчика: спальный корпус ГКОУ РО «Тацинская специальная школа-интернат» и учебный корпус ГКОУ РО «Тацинская специальная школа-интернат» , расположенных по адресу: 347060, Р...")</f>
        <v>услуги по техническому обслуживанию двух систем видеонаблюдения на объектах Заказчика: спальный корпус ГКОУ РО «Тацинская специальная школа-интернат» и учебный корпус ГКОУ РО «Тацинская специальная школа-интернат» , расположенных по адресу: 347060, Р...</v>
      </c>
      <c r="G16195" s="22" t="s">
        <v>402</v>
      </c>
      <c r="H16195" s="22" t="s">
        <v>4623</v>
      </c>
      <c r="I16195" s="26">
        <v>43496.583333333299</v>
      </c>
      <c r="J16195" s="28" t="s">
        <v>52</v>
      </c>
      <c r="K16195" s="28" t="s">
        <v>52</v>
      </c>
      <c r="L16195" s="28" t="s">
        <v>52</v>
      </c>
      <c r="M16195" s="28" t="s">
        <v>52</v>
      </c>
      <c r="N16195" s="28" t="s">
        <v>52</v>
      </c>
    </row>
    <row r="16196" spans="1:14" x14ac:dyDescent="0.15">
      <c r="A16196" s="23" t="str">
        <f>HYPERLINK("https://www.spark-marketing.ru/Card/Person/666553", "ФГП ВО ЖДТ РОССИИ")</f>
        <v>ФГП ВО ЖДТ РОССИИ</v>
      </c>
      <c r="B16196" s="24" t="s">
        <v>1269</v>
      </c>
      <c r="C16196" s="25">
        <v>457200</v>
      </c>
      <c r="D16196" s="22" t="s">
        <v>18601</v>
      </c>
      <c r="E16196" s="22" t="s">
        <v>7843</v>
      </c>
      <c r="F16196" s="23" t="str">
        <f>HYPERLINK("https://www.spark-marketing.ru/Card/Lot/67615274", "Оказание услуг по размещению рекламного модуля ""Охранный поезд"" в газете ""Гудок"" для нужд федерального государственного предприятия «Ведомственная охрана железнодорожного транспорта Российской Федерации»")</f>
        <v>Оказание услуг по размещению рекламного модуля "Охранный поезд" в газете "Гудок" для нужд федерального государственного предприятия «Ведомственная охрана железнодорожного транспорта Российской Федерации»</v>
      </c>
      <c r="G16196" s="22" t="s">
        <v>55</v>
      </c>
      <c r="H16196" s="22" t="s">
        <v>55</v>
      </c>
      <c r="I16196" s="26">
        <v>43496.599571759303</v>
      </c>
      <c r="J16196" s="28" t="s">
        <v>52</v>
      </c>
      <c r="K16196" s="28" t="s">
        <v>52</v>
      </c>
      <c r="L16196" s="28" t="s">
        <v>52</v>
      </c>
      <c r="M16196" s="28" t="s">
        <v>52</v>
      </c>
      <c r="N16196" s="28" t="s">
        <v>52</v>
      </c>
    </row>
    <row r="16197" spans="1:14" x14ac:dyDescent="0.15">
      <c r="A16197" s="23" t="str">
        <f>HYPERLINK("https://www.spark-marketing.ru/Card/Person/10953", "ИФНС РОССИИ ПО СОРМОВСКОМУ РАЙОНУ Г.Н.НОВГОРОДА")</f>
        <v>ИФНС РОССИИ ПО СОРМОВСКОМУ РАЙОНУ Г.Н.НОВГОРОДА</v>
      </c>
      <c r="B16197" s="24" t="s">
        <v>7073</v>
      </c>
      <c r="C16197" s="25">
        <v>52667.01</v>
      </c>
      <c r="D16197" s="22" t="s">
        <v>18602</v>
      </c>
      <c r="E16197" s="22" t="s">
        <v>53</v>
      </c>
      <c r="F16197" s="23" t="str">
        <f>HYPERLINK("https://www.spark-marketing.ru/Card/Lot/70808922", "Оказание охранных услуг")</f>
        <v>Оказание охранных услуг</v>
      </c>
      <c r="G16197" s="22" t="s">
        <v>64</v>
      </c>
      <c r="H16197" s="22" t="s">
        <v>65</v>
      </c>
      <c r="I16197" s="26">
        <v>43496.573564814797</v>
      </c>
      <c r="J16197" s="28" t="s">
        <v>52</v>
      </c>
      <c r="K16197" s="28" t="s">
        <v>52</v>
      </c>
      <c r="L16197" s="28" t="s">
        <v>52</v>
      </c>
      <c r="M16197" s="28" t="s">
        <v>52</v>
      </c>
      <c r="N16197" s="28" t="s">
        <v>52</v>
      </c>
    </row>
    <row r="16198" spans="1:14" x14ac:dyDescent="0.15">
      <c r="A16198" s="23" t="str">
        <f>HYPERLINK("https://www.spark-marketing.ru/Card/Person/1530239", "ООО""МАК""")</f>
        <v>ООО"МАК"</v>
      </c>
      <c r="B16198" s="24" t="s">
        <v>18603</v>
      </c>
      <c r="C16198" s="25">
        <v>11500000</v>
      </c>
      <c r="D16198" s="22" t="s">
        <v>18604</v>
      </c>
      <c r="E16198" s="22" t="s">
        <v>144</v>
      </c>
      <c r="F16198" s="23" t="str">
        <f>HYPERLINK("https://www.spark-marketing.ru/Card/Lot/67594904", "оказание охранных услуг")</f>
        <v>оказание охранных услуг</v>
      </c>
      <c r="G16198" s="22" t="s">
        <v>119</v>
      </c>
      <c r="H16198" s="22" t="s">
        <v>119</v>
      </c>
      <c r="I16198" s="26">
        <v>43496.582118055601</v>
      </c>
      <c r="J16198" s="28" t="s">
        <v>52</v>
      </c>
      <c r="K16198" s="28" t="s">
        <v>52</v>
      </c>
      <c r="L16198" s="28" t="s">
        <v>52</v>
      </c>
      <c r="M16198" s="28" t="s">
        <v>52</v>
      </c>
      <c r="N16198" s="28" t="s">
        <v>52</v>
      </c>
    </row>
    <row r="16199" spans="1:14" x14ac:dyDescent="0.15">
      <c r="A16199" s="23" t="str">
        <f>HYPERLINK("https://www.spark-marketing.ru/Card/Person/1017506", "ГБПОУ БТПТСУ")</f>
        <v>ГБПОУ БТПТСУ</v>
      </c>
      <c r="B16199" s="24" t="s">
        <v>18605</v>
      </c>
      <c r="C16199" s="28" t="s">
        <v>52</v>
      </c>
      <c r="D16199" s="22" t="s">
        <v>18606</v>
      </c>
      <c r="E16199" s="22" t="s">
        <v>68</v>
      </c>
      <c r="F16199" s="23" t="str">
        <f>HYPERLINK("https://www.spark-marketing.ru/Card/Lot/67596475", "Обслуживание технических средств охраны")</f>
        <v>Обслуживание технических средств охраны</v>
      </c>
      <c r="G16199" s="22" t="s">
        <v>215</v>
      </c>
      <c r="H16199" s="22" t="s">
        <v>406</v>
      </c>
      <c r="I16199" s="26">
        <v>43496.5444444444</v>
      </c>
      <c r="J16199" s="28" t="s">
        <v>52</v>
      </c>
      <c r="K16199" s="28" t="s">
        <v>52</v>
      </c>
      <c r="L16199" s="28" t="s">
        <v>52</v>
      </c>
      <c r="M16199" s="28" t="s">
        <v>52</v>
      </c>
      <c r="N16199" s="28" t="s">
        <v>52</v>
      </c>
    </row>
    <row r="16200" spans="1:14" x14ac:dyDescent="0.15">
      <c r="A16200" s="23" t="str">
        <f>HYPERLINK("https://www.spark-marketing.ru/Card/Person/1008786", "МБОУ ООШ №2")</f>
        <v>МБОУ ООШ №2</v>
      </c>
      <c r="B16200" s="24" t="s">
        <v>18607</v>
      </c>
      <c r="C16200" s="25">
        <v>10800</v>
      </c>
      <c r="D16200" s="22" t="s">
        <v>18608</v>
      </c>
      <c r="E16200" s="22" t="s">
        <v>103</v>
      </c>
      <c r="F16200" s="23" t="str">
        <f>HYPERLINK("https://www.spark-marketing.ru/Card/Lot/67598301", "техническому обслуживанию систем видеонаблюдения")</f>
        <v>техническому обслуживанию систем видеонаблюдения</v>
      </c>
      <c r="G16200" s="22" t="s">
        <v>402</v>
      </c>
      <c r="H16200" s="22" t="s">
        <v>631</v>
      </c>
      <c r="I16200" s="26">
        <v>43496.579166666699</v>
      </c>
      <c r="J16200" s="28" t="s">
        <v>52</v>
      </c>
      <c r="K16200" s="28" t="s">
        <v>52</v>
      </c>
      <c r="L16200" s="28" t="s">
        <v>52</v>
      </c>
      <c r="M16200" s="28" t="s">
        <v>52</v>
      </c>
      <c r="N16200" s="28" t="s">
        <v>52</v>
      </c>
    </row>
    <row r="16201" spans="1:14" x14ac:dyDescent="0.2">
      <c r="A16201" s="23" t="str">
        <f>HYPERLINK("https://www.spark-marketing.ru/Card/Person/1298049", "МАОУ ""ЛИЦЕЙ ГОРОДА ТРОИЦКА""")</f>
        <v>МАОУ "ЛИЦЕЙ ГОРОДА ТРОИЦКА"</v>
      </c>
      <c r="B16201" s="24" t="s">
        <v>18609</v>
      </c>
      <c r="C16201" s="25">
        <v>300000</v>
      </c>
      <c r="D16201" s="22" t="s">
        <v>18610</v>
      </c>
      <c r="E16201" s="22" t="s">
        <v>144</v>
      </c>
      <c r="F16201" s="23" t="str">
        <f>HYPERLINK("https://www.spark-marketing.ru/Card/Lot/67615859", "охранные услуги с помощью пульта централизованного наблюдения на объектах МАОУ ""Лицей города Троицка""")</f>
        <v>охранные услуги с помощью пульта централизованного наблюдения на объектах МАОУ "Лицей города Троицка"</v>
      </c>
      <c r="G16201" s="22" t="s">
        <v>55</v>
      </c>
      <c r="H16201" s="22" t="s">
        <v>55</v>
      </c>
      <c r="I16201" s="26">
        <v>43496.5609722222</v>
      </c>
      <c r="J16201" s="23" t="str">
        <f>HYPERLINK("https://www.spark-marketing.ru/Card/Person/4515833", "МОВО по ТиНАО ФГКУ УВО ВНГ России по г.Москве")</f>
        <v>МОВО по ТиНАО ФГКУ УВО ВНГ России по г.Москве</v>
      </c>
      <c r="K16201" s="24" t="s">
        <v>12104</v>
      </c>
      <c r="L16201" s="28" t="s">
        <v>52</v>
      </c>
      <c r="M16201" s="25">
        <v>300000</v>
      </c>
      <c r="N16201" s="27">
        <v>0</v>
      </c>
    </row>
    <row r="16202" spans="1:14" x14ac:dyDescent="0.15">
      <c r="A16202" s="23" t="str">
        <f>HYPERLINK("https://www.spark-marketing.ru/Card/Person/1027759", "МОУ ""ДАНКОВСКАЯ СОШ""")</f>
        <v>МОУ "ДАНКОВСКАЯ СОШ"</v>
      </c>
      <c r="B16202" s="24" t="s">
        <v>18611</v>
      </c>
      <c r="C16202" s="25">
        <v>144000</v>
      </c>
      <c r="D16202" s="22" t="s">
        <v>18612</v>
      </c>
      <c r="E16202" s="22" t="s">
        <v>107</v>
      </c>
      <c r="F16202" s="23" t="str">
        <f>HYPERLINK("https://www.spark-marketing.ru/Card/Lot/67595597", "Выполнение работ по техническому обслуживанию системы видеонаблюдения, домофона (видеодомофона)")</f>
        <v>Выполнение работ по техническому обслуживанию системы видеонаблюдения, домофона (видеодомофона)</v>
      </c>
      <c r="G16202" s="22" t="s">
        <v>50</v>
      </c>
      <c r="H16202" s="22" t="s">
        <v>5160</v>
      </c>
      <c r="I16202" s="26">
        <v>43496.512384259302</v>
      </c>
      <c r="J16202" s="28" t="s">
        <v>52</v>
      </c>
      <c r="K16202" s="28" t="s">
        <v>52</v>
      </c>
      <c r="L16202" s="28" t="s">
        <v>52</v>
      </c>
      <c r="M16202" s="28" t="s">
        <v>52</v>
      </c>
      <c r="N16202" s="28" t="s">
        <v>52</v>
      </c>
    </row>
    <row r="16203" spans="1:14" x14ac:dyDescent="0.15">
      <c r="A16203" s="23" t="str">
        <f>HYPERLINK("https://www.spark-marketing.ru/Card/Person/38076", "ГКОУ РО ""ТАЦИНСКАЯ СПЕЦИАЛЬНАЯ ШКОЛА-ИНТЕРНАТ""")</f>
        <v>ГКОУ РО "ТАЦИНСКАЯ СПЕЦИАЛЬНАЯ ШКОЛА-ИНТЕРНАТ"</v>
      </c>
      <c r="B16203" s="24" t="s">
        <v>18594</v>
      </c>
      <c r="C16203" s="25">
        <v>72000</v>
      </c>
      <c r="D16203" s="22" t="s">
        <v>18613</v>
      </c>
      <c r="E16203" s="22" t="s">
        <v>107</v>
      </c>
      <c r="F16203" s="23" t="str">
        <f>HYPERLINK("https://www.spark-marketing.ru/Card/Lot/67596450", "техническое обслуживание двух систем видеонаблюдения на объектах Заказчика: спальный корпус ГКОУ РО «Тацинская специальная школа-интернат» и учебный корпус ГКОУ РО «Тацинская специальная школа-интернат» , расположенных по адресу: 347060, Ростовская о...")</f>
        <v>техническое обслуживание двух систем видеонаблюдения на объектах Заказчика: спальный корпус ГКОУ РО «Тацинская специальная школа-интернат» и учебный корпус ГКОУ РО «Тацинская специальная школа-интернат» , расположенных по адресу: 347060, Ростовская о...</v>
      </c>
      <c r="G16203" s="22" t="s">
        <v>402</v>
      </c>
      <c r="H16203" s="22" t="s">
        <v>4623</v>
      </c>
      <c r="I16203" s="26">
        <v>43496.520833333299</v>
      </c>
      <c r="J16203" s="28" t="s">
        <v>52</v>
      </c>
      <c r="K16203" s="28" t="s">
        <v>52</v>
      </c>
      <c r="L16203" s="28" t="s">
        <v>52</v>
      </c>
      <c r="M16203" s="28" t="s">
        <v>52</v>
      </c>
      <c r="N16203" s="28" t="s">
        <v>52</v>
      </c>
    </row>
    <row r="16204" spans="1:14" x14ac:dyDescent="0.2">
      <c r="A16204" s="23" t="str">
        <f>HYPERLINK("https://www.spark-marketing.ru/Card/Person/72624", "СПБ ГБУ КЦ ""ТРОИЦКИЙ""")</f>
        <v>СПБ ГБУ КЦ "ТРОИЦКИЙ"</v>
      </c>
      <c r="B16204" s="24" t="s">
        <v>12830</v>
      </c>
      <c r="C16204" s="25">
        <v>450140</v>
      </c>
      <c r="D16204" s="22" t="s">
        <v>18614</v>
      </c>
      <c r="E16204" s="22" t="s">
        <v>144</v>
      </c>
      <c r="F16204" s="23" t="str">
        <f>HYPERLINK("https://www.spark-marketing.ru/Card/Lot/67615133", "Оказание услуг по обеспечению общественного порядка и охраны в местах проведения вечеров отдыха")</f>
        <v>Оказание услуг по обеспечению общественного порядка и охраны в местах проведения вечеров отдыха</v>
      </c>
      <c r="G16204" s="22" t="s">
        <v>89</v>
      </c>
      <c r="H16204" s="22" t="s">
        <v>89</v>
      </c>
      <c r="I16204" s="26">
        <v>43496.530520833301</v>
      </c>
      <c r="J16204" s="23" t="str">
        <f>HYPERLINK("https://www.spark-marketing.ru/Card/Person/32717", "ООО ""ОП ""БАЛТИЕЦ""")</f>
        <v>ООО "ОП "БАЛТИЕЦ"</v>
      </c>
      <c r="K16204" s="24" t="s">
        <v>18615</v>
      </c>
      <c r="L16204" s="28" t="s">
        <v>52</v>
      </c>
      <c r="M16204" s="25">
        <v>450140</v>
      </c>
      <c r="N16204" s="27">
        <v>0</v>
      </c>
    </row>
    <row r="16205" spans="1:14" x14ac:dyDescent="0.15">
      <c r="A16205" s="23" t="str">
        <f>HYPERLINK("https://www.spark-marketing.ru/Card/Person/1027153", "МБДОУ № 40")</f>
        <v>МБДОУ № 40</v>
      </c>
      <c r="B16205" s="24" t="s">
        <v>15292</v>
      </c>
      <c r="C16205" s="25">
        <v>8400</v>
      </c>
      <c r="D16205" s="22" t="s">
        <v>18616</v>
      </c>
      <c r="E16205" s="22" t="s">
        <v>107</v>
      </c>
      <c r="F16205" s="23" t="str">
        <f>HYPERLINK("https://www.spark-marketing.ru/Card/Lot/67592571", "на обслуживание системы видеонаблюдения")</f>
        <v>на обслуживание системы видеонаблюдения</v>
      </c>
      <c r="G16205" s="22" t="s">
        <v>50</v>
      </c>
      <c r="H16205" s="22" t="s">
        <v>265</v>
      </c>
      <c r="I16205" s="26">
        <v>43496.491666666698</v>
      </c>
      <c r="J16205" s="28" t="s">
        <v>52</v>
      </c>
      <c r="K16205" s="28" t="s">
        <v>52</v>
      </c>
      <c r="L16205" s="28" t="s">
        <v>52</v>
      </c>
      <c r="M16205" s="28" t="s">
        <v>52</v>
      </c>
      <c r="N16205" s="28" t="s">
        <v>52</v>
      </c>
    </row>
    <row r="16206" spans="1:14" x14ac:dyDescent="0.15">
      <c r="A16206" s="23" t="str">
        <f>HYPERLINK("https://www.spark-marketing.ru/Card/Person/1064283", "ГБПОУ РО ""РКВТ""")</f>
        <v>ГБПОУ РО "РКВТ"</v>
      </c>
      <c r="B16206" s="24" t="s">
        <v>18617</v>
      </c>
      <c r="C16206" s="25">
        <v>79307.520000000004</v>
      </c>
      <c r="D16206" s="22" t="s">
        <v>18618</v>
      </c>
      <c r="E16206" s="22" t="s">
        <v>68</v>
      </c>
      <c r="F16206" s="23" t="str">
        <f>HYPERLINK("https://www.spark-marketing.ru/Card/Lot/67595761", "Услуги по выезду по сигналу тревожной кнопки")</f>
        <v>Услуги по выезду по сигналу тревожной кнопки</v>
      </c>
      <c r="G16206" s="22" t="s">
        <v>402</v>
      </c>
      <c r="H16206" s="22" t="s">
        <v>403</v>
      </c>
      <c r="I16206" s="26">
        <v>43496.499305555597</v>
      </c>
      <c r="J16206" s="28" t="s">
        <v>52</v>
      </c>
      <c r="K16206" s="28" t="s">
        <v>52</v>
      </c>
      <c r="L16206" s="28" t="s">
        <v>52</v>
      </c>
      <c r="M16206" s="28" t="s">
        <v>52</v>
      </c>
      <c r="N16206" s="28" t="s">
        <v>52</v>
      </c>
    </row>
    <row r="16207" spans="1:14" x14ac:dyDescent="0.15">
      <c r="A16207" s="23" t="str">
        <f>HYPERLINK("https://www.spark-marketing.ru/Card/Person/94664", "МАДОУ Д/С №9 ""ЯГОДКА""")</f>
        <v>МАДОУ Д/С №9 "ЯГОДКА"</v>
      </c>
      <c r="B16207" s="24" t="s">
        <v>18619</v>
      </c>
      <c r="C16207" s="25">
        <v>40000</v>
      </c>
      <c r="D16207" s="22" t="s">
        <v>18620</v>
      </c>
      <c r="E16207" s="22" t="s">
        <v>107</v>
      </c>
      <c r="F16207" s="23" t="str">
        <f>HYPERLINK("https://www.spark-marketing.ru/Card/Lot/67592578", "оказание услуг по техническому обслуживанию системы видеонаблюдения и домофона")</f>
        <v>оказание услуг по техническому обслуживанию системы видеонаблюдения и домофона</v>
      </c>
      <c r="G16207" s="22" t="s">
        <v>50</v>
      </c>
      <c r="H16207" s="22" t="s">
        <v>4782</v>
      </c>
      <c r="I16207" s="26">
        <v>43496.491759259297</v>
      </c>
      <c r="J16207" s="28" t="s">
        <v>52</v>
      </c>
      <c r="K16207" s="28" t="s">
        <v>52</v>
      </c>
      <c r="L16207" s="28" t="s">
        <v>52</v>
      </c>
      <c r="M16207" s="28" t="s">
        <v>52</v>
      </c>
      <c r="N16207" s="28" t="s">
        <v>52</v>
      </c>
    </row>
    <row r="16208" spans="1:14" x14ac:dyDescent="0.15">
      <c r="A16208" s="23" t="str">
        <f>HYPERLINK("https://www.spark-marketing.ru/Card/Person/1447026", "МАДОУ № 199")</f>
        <v>МАДОУ № 199</v>
      </c>
      <c r="B16208" s="24" t="s">
        <v>18621</v>
      </c>
      <c r="C16208" s="25">
        <v>10800</v>
      </c>
      <c r="D16208" s="22" t="s">
        <v>18622</v>
      </c>
      <c r="E16208" s="22" t="s">
        <v>294</v>
      </c>
      <c r="F16208" s="23" t="str">
        <f>HYPERLINK("https://www.spark-marketing.ru/Card/Lot/67588920", "Услуги по техническому обслуживанию системы тревожной сигнализации для МАДОУ №199 на 2019 г")</f>
        <v>Услуги по техническому обслуживанию системы тревожной сигнализации для МАДОУ №199 на 2019 г</v>
      </c>
      <c r="G16208" s="22" t="s">
        <v>402</v>
      </c>
      <c r="H16208" s="22" t="s">
        <v>403</v>
      </c>
      <c r="I16208" s="26">
        <v>43496.429861111101</v>
      </c>
      <c r="J16208" s="28" t="s">
        <v>52</v>
      </c>
      <c r="K16208" s="28" t="s">
        <v>52</v>
      </c>
      <c r="L16208" s="28" t="s">
        <v>52</v>
      </c>
      <c r="M16208" s="28" t="s">
        <v>52</v>
      </c>
      <c r="N16208" s="28" t="s">
        <v>52</v>
      </c>
    </row>
    <row r="16209" spans="1:14" x14ac:dyDescent="0.15">
      <c r="A16209" s="23" t="str">
        <f>HYPERLINK("https://www.spark-marketing.ru/Card/Person/1026749", "МБДОУ Д/С № 15 ""РОДНИЧОК""")</f>
        <v>МБДОУ Д/С № 15 "РОДНИЧОК"</v>
      </c>
      <c r="B16209" s="24" t="s">
        <v>904</v>
      </c>
      <c r="C16209" s="25">
        <v>10800</v>
      </c>
      <c r="D16209" s="22" t="s">
        <v>18623</v>
      </c>
      <c r="E16209" s="22" t="s">
        <v>107</v>
      </c>
      <c r="F16209" s="23" t="str">
        <f>HYPERLINK("https://www.spark-marketing.ru/Card/Lot/67589484", "Оказание услуг по техническому обслуживанию тревожной сигнализации")</f>
        <v>Оказание услуг по техническому обслуживанию тревожной сигнализации</v>
      </c>
      <c r="G16209" s="22" t="s">
        <v>50</v>
      </c>
      <c r="H16209" s="22" t="s">
        <v>50</v>
      </c>
      <c r="I16209" s="26">
        <v>43496.449930555602</v>
      </c>
      <c r="J16209" s="28" t="s">
        <v>52</v>
      </c>
      <c r="K16209" s="28" t="s">
        <v>52</v>
      </c>
      <c r="L16209" s="28" t="s">
        <v>52</v>
      </c>
      <c r="M16209" s="28" t="s">
        <v>52</v>
      </c>
      <c r="N16209" s="28" t="s">
        <v>52</v>
      </c>
    </row>
    <row r="16210" spans="1:14" x14ac:dyDescent="0.15">
      <c r="A16210" s="23" t="str">
        <f>HYPERLINK("https://www.spark-marketing.ru/Card/Person/1030118", "МБУ СШОР № 2 Г.ВОЛГОДОНСКА")</f>
        <v>МБУ СШОР № 2 Г.ВОЛГОДОНСКА</v>
      </c>
      <c r="B16210" s="24" t="s">
        <v>18624</v>
      </c>
      <c r="C16210" s="25">
        <v>5390</v>
      </c>
      <c r="D16210" s="22" t="s">
        <v>18625</v>
      </c>
      <c r="E16210" s="22" t="s">
        <v>194</v>
      </c>
      <c r="F16210" s="23" t="str">
        <f>HYPERLINK("https://www.spark-marketing.ru/Card/Lot/67591323", "Техническое обслуживание системы видеонаблюдения")</f>
        <v>Техническое обслуживание системы видеонаблюдения</v>
      </c>
      <c r="G16210" s="22" t="s">
        <v>402</v>
      </c>
      <c r="H16210" s="22" t="s">
        <v>12630</v>
      </c>
      <c r="I16210" s="26">
        <v>43496.438888888901</v>
      </c>
      <c r="J16210" s="28" t="s">
        <v>52</v>
      </c>
      <c r="K16210" s="28" t="s">
        <v>52</v>
      </c>
      <c r="L16210" s="28" t="s">
        <v>52</v>
      </c>
      <c r="M16210" s="28" t="s">
        <v>52</v>
      </c>
      <c r="N16210" s="28" t="s">
        <v>52</v>
      </c>
    </row>
    <row r="16211" spans="1:14" x14ac:dyDescent="0.15">
      <c r="A16211" s="23" t="str">
        <f>HYPERLINK("https://www.spark-marketing.ru/Card/Person/114788", "МБОУ ""БУТОВСКАЯ СОШ № 1""")</f>
        <v>МБОУ "БУТОВСКАЯ СОШ № 1"</v>
      </c>
      <c r="B16211" s="24" t="s">
        <v>18626</v>
      </c>
      <c r="C16211" s="25">
        <v>62304</v>
      </c>
      <c r="D16211" s="22" t="s">
        <v>18627</v>
      </c>
      <c r="E16211" s="22" t="s">
        <v>107</v>
      </c>
      <c r="F16211" s="23" t="str">
        <f>HYPERLINK("https://www.spark-marketing.ru/Card/Lot/67589317", "Оказание услуг по обеспечению работоспособности каналов передачи сообщений комплекса технических средств охраны (системы тревожной сигнализации) и техническому обслуживанию технических средств охраны на объекте")</f>
        <v>Оказание услуг по обеспечению работоспособности каналов передачи сообщений комплекса технических средств охраны (системы тревожной сигнализации) и техническому обслуживанию технических средств охраны на объекте</v>
      </c>
      <c r="G16211" s="22" t="s">
        <v>50</v>
      </c>
      <c r="H16211" s="22" t="s">
        <v>2391</v>
      </c>
      <c r="I16211" s="26">
        <v>43496.418865740699</v>
      </c>
      <c r="J16211" s="28" t="s">
        <v>52</v>
      </c>
      <c r="K16211" s="28" t="s">
        <v>52</v>
      </c>
      <c r="L16211" s="28" t="s">
        <v>52</v>
      </c>
      <c r="M16211" s="28" t="s">
        <v>52</v>
      </c>
      <c r="N16211" s="28" t="s">
        <v>52</v>
      </c>
    </row>
    <row r="16212" spans="1:14" x14ac:dyDescent="0.15">
      <c r="A16212" s="23" t="str">
        <f>HYPERLINK("https://www.spark-marketing.ru/Card/Person/115933", "МЕЖРАЙОННАЯ ИФНС РОССИИ № 1 ПО АМУРСКОЙ ОБЛАСТИ")</f>
        <v>МЕЖРАЙОННАЯ ИФНС РОССИИ № 1 ПО АМУРСКОЙ ОБЛАСТИ</v>
      </c>
      <c r="B16212" s="24" t="s">
        <v>18628</v>
      </c>
      <c r="C16212" s="25">
        <v>96000</v>
      </c>
      <c r="D16212" s="22" t="s">
        <v>18629</v>
      </c>
      <c r="E16212" s="22" t="s">
        <v>53</v>
      </c>
      <c r="F16212" s="23" t="str">
        <f>HYPERLINK("https://www.spark-marketing.ru/Card/Lot/70808354", "Охрана указаных в приложении объектов Инспекции")</f>
        <v>Охрана указаных в приложении объектов Инспекции</v>
      </c>
      <c r="G16212" s="22" t="s">
        <v>230</v>
      </c>
      <c r="H16212" s="22" t="s">
        <v>231</v>
      </c>
      <c r="I16212" s="26">
        <v>43496.426886574103</v>
      </c>
      <c r="J16212" s="28" t="s">
        <v>52</v>
      </c>
      <c r="K16212" s="28" t="s">
        <v>52</v>
      </c>
      <c r="L16212" s="28" t="s">
        <v>52</v>
      </c>
      <c r="M16212" s="28" t="s">
        <v>52</v>
      </c>
      <c r="N16212" s="28" t="s">
        <v>52</v>
      </c>
    </row>
    <row r="16213" spans="1:14" x14ac:dyDescent="0.15">
      <c r="A16213" s="23" t="str">
        <f>HYPERLINK("https://www.spark-marketing.ru/Card/Person/1777537", "МАДОУ Д/С №38 ""РОСИНКА""")</f>
        <v>МАДОУ Д/С №38 "РОСИНКА"</v>
      </c>
      <c r="B16213" s="24" t="s">
        <v>18630</v>
      </c>
      <c r="C16213" s="25">
        <v>60000</v>
      </c>
      <c r="D16213" s="22" t="s">
        <v>18631</v>
      </c>
      <c r="E16213" s="22" t="s">
        <v>103</v>
      </c>
      <c r="F16213" s="23" t="str">
        <f>HYPERLINK("https://www.spark-marketing.ru/Card/Lot/67586810", "Услуги по техническому обслуживанию системы доступа (домофон) и системы видеонаблюдения")</f>
        <v>Услуги по техническому обслуживанию системы доступа (домофон) и системы видеонаблюдения</v>
      </c>
      <c r="G16213" s="22" t="s">
        <v>50</v>
      </c>
      <c r="H16213" s="22" t="s">
        <v>4782</v>
      </c>
      <c r="I16213" s="26">
        <v>43496.408530092602</v>
      </c>
      <c r="J16213" s="28" t="s">
        <v>52</v>
      </c>
      <c r="K16213" s="28" t="s">
        <v>52</v>
      </c>
      <c r="L16213" s="28" t="s">
        <v>52</v>
      </c>
      <c r="M16213" s="28" t="s">
        <v>52</v>
      </c>
      <c r="N16213" s="28" t="s">
        <v>52</v>
      </c>
    </row>
    <row r="16214" spans="1:14" x14ac:dyDescent="0.15">
      <c r="A16214" s="23" t="str">
        <f>HYPERLINK("https://www.spark-marketing.ru/Card/Person/1777639", "МАДОУ Д/С №12 ""БЕРЁЗКА""")</f>
        <v>МАДОУ Д/С №12 "БЕРЁЗКА"</v>
      </c>
      <c r="B16214" s="24" t="s">
        <v>15421</v>
      </c>
      <c r="C16214" s="25">
        <v>15190.32</v>
      </c>
      <c r="D16214" s="22" t="s">
        <v>18632</v>
      </c>
      <c r="E16214" s="22" t="s">
        <v>107</v>
      </c>
      <c r="F16214" s="23" t="str">
        <f>HYPERLINK("https://www.spark-marketing.ru/Card/Lot/67586809", "Услуги по техническому обслуживанию технических средств охраны")</f>
        <v>Услуги по техническому обслуживанию технических средств охраны</v>
      </c>
      <c r="G16214" s="22" t="s">
        <v>50</v>
      </c>
      <c r="H16214" s="22" t="s">
        <v>4782</v>
      </c>
      <c r="I16214" s="26">
        <v>43496.408518518503</v>
      </c>
      <c r="J16214" s="28" t="s">
        <v>52</v>
      </c>
      <c r="K16214" s="28" t="s">
        <v>52</v>
      </c>
      <c r="L16214" s="28" t="s">
        <v>52</v>
      </c>
      <c r="M16214" s="28" t="s">
        <v>52</v>
      </c>
      <c r="N16214" s="28" t="s">
        <v>52</v>
      </c>
    </row>
    <row r="16215" spans="1:14" x14ac:dyDescent="0.15">
      <c r="A16215" s="23" t="str">
        <f>HYPERLINK("https://www.spark-marketing.ru/Card/Person/1762388", "МАДОУ Д/С №39 ""РЯБИНКА""")</f>
        <v>МАДОУ Д/С №39 "РЯБИНКА"</v>
      </c>
      <c r="B16215" s="24" t="s">
        <v>18633</v>
      </c>
      <c r="C16215" s="25">
        <v>66000</v>
      </c>
      <c r="D16215" s="22" t="s">
        <v>18634</v>
      </c>
      <c r="E16215" s="22" t="s">
        <v>107</v>
      </c>
      <c r="F16215" s="23" t="str">
        <f>HYPERLINK("https://www.spark-marketing.ru/Card/Lot/67586807", "Оказание услуг по техническому обслуживанию системы видеонаблюдения и домофона")</f>
        <v>Оказание услуг по техническому обслуживанию системы видеонаблюдения и домофона</v>
      </c>
      <c r="G16215" s="22" t="s">
        <v>50</v>
      </c>
      <c r="H16215" s="22" t="s">
        <v>4782</v>
      </c>
      <c r="I16215" s="26">
        <v>43496.4084953704</v>
      </c>
      <c r="J16215" s="28" t="s">
        <v>52</v>
      </c>
      <c r="K16215" s="28" t="s">
        <v>52</v>
      </c>
      <c r="L16215" s="28" t="s">
        <v>52</v>
      </c>
      <c r="M16215" s="28" t="s">
        <v>52</v>
      </c>
      <c r="N16215" s="28" t="s">
        <v>52</v>
      </c>
    </row>
    <row r="16216" spans="1:14" x14ac:dyDescent="0.15">
      <c r="A16216" s="23" t="str">
        <f>HYPERLINK("https://www.spark-marketing.ru/Card/Person/1012758", "БУ Г. ОМСКА ""ГСЦ""")</f>
        <v>БУ Г. ОМСКА "ГСЦ"</v>
      </c>
      <c r="B16216" s="24" t="s">
        <v>18635</v>
      </c>
      <c r="C16216" s="25">
        <v>30000</v>
      </c>
      <c r="D16216" s="22" t="s">
        <v>18636</v>
      </c>
      <c r="E16216" s="22" t="s">
        <v>68</v>
      </c>
      <c r="F16216" s="23" t="str">
        <f>HYPERLINK("https://www.spark-marketing.ru/Card/Lot/67586654", "Оказание услуг по охране объекта посредством использования КТС.")</f>
        <v>Оказание услуг по охране объекта посредством использования КТС.</v>
      </c>
      <c r="G16216" s="22" t="s">
        <v>521</v>
      </c>
      <c r="H16216" s="22" t="s">
        <v>522</v>
      </c>
      <c r="I16216" s="26">
        <v>43496.398611111101</v>
      </c>
      <c r="J16216" s="28" t="s">
        <v>52</v>
      </c>
      <c r="K16216" s="28" t="s">
        <v>52</v>
      </c>
      <c r="L16216" s="28" t="s">
        <v>52</v>
      </c>
      <c r="M16216" s="28" t="s">
        <v>52</v>
      </c>
      <c r="N16216" s="28" t="s">
        <v>52</v>
      </c>
    </row>
    <row r="16217" spans="1:14" x14ac:dyDescent="0.15">
      <c r="A16217" s="23" t="str">
        <f>HYPERLINK("https://www.spark-marketing.ru/Card/Person/1022908", "МДОУ ""ДЕТСКИЙ САД №7 ""БЕРЕЗКА""")</f>
        <v>МДОУ "ДЕТСКИЙ САД №7 "БЕРЕЗКА"</v>
      </c>
      <c r="B16217" s="24" t="s">
        <v>18637</v>
      </c>
      <c r="C16217" s="25">
        <v>19548</v>
      </c>
      <c r="D16217" s="22" t="s">
        <v>18638</v>
      </c>
      <c r="E16217" s="22" t="s">
        <v>59</v>
      </c>
      <c r="F16217" s="23" t="str">
        <f>HYPERLINK("https://www.spark-marketing.ru/Card/Lot/67586786", "Монтаж ТСО")</f>
        <v>Монтаж ТСО</v>
      </c>
      <c r="G16217" s="22" t="s">
        <v>50</v>
      </c>
      <c r="H16217" s="22" t="s">
        <v>5168</v>
      </c>
      <c r="I16217" s="26">
        <v>43496.408194444397</v>
      </c>
      <c r="J16217" s="28" t="s">
        <v>52</v>
      </c>
      <c r="K16217" s="28" t="s">
        <v>52</v>
      </c>
      <c r="L16217" s="28" t="s">
        <v>52</v>
      </c>
      <c r="M16217" s="28" t="s">
        <v>52</v>
      </c>
      <c r="N16217" s="28" t="s">
        <v>52</v>
      </c>
    </row>
    <row r="16218" spans="1:14" x14ac:dyDescent="0.15">
      <c r="A16218" s="23" t="str">
        <f>HYPERLINK("https://www.spark-marketing.ru/Card/Person/1752736", "ООО ""УЭТП-НКНХ""")</f>
        <v>ООО "УЭТП-НКНХ"</v>
      </c>
      <c r="B16218" s="24" t="s">
        <v>18639</v>
      </c>
      <c r="C16218" s="25">
        <v>0</v>
      </c>
      <c r="D16218" s="22" t="s">
        <v>18640</v>
      </c>
      <c r="E16218" s="22" t="s">
        <v>53</v>
      </c>
      <c r="F16218" s="23" t="str">
        <f>HYPERLINK("https://www.spark-marketing.ru/Card/Lot/67621792", "Проведение экспертизы промышленной безопасности документаций ""Вывод из эксплуатации модульной автозаправочной станции"" и ""Установка дополнительной сигнализации"" в цехе № 2201, с регистрацией заключения в органах Ростехнадзора")</f>
        <v>Проведение экспертизы промышленной безопасности документаций "Вывод из эксплуатации модульной автозаправочной станции" и "Установка дополнительной сигнализации" в цехе № 2201, с регистрацией заключения в органах Ростехнадзора</v>
      </c>
      <c r="G16218" s="22" t="s">
        <v>204</v>
      </c>
      <c r="H16218" s="22" t="s">
        <v>824</v>
      </c>
      <c r="I16218" s="26">
        <v>43496.398993055598</v>
      </c>
      <c r="J16218" s="28" t="s">
        <v>52</v>
      </c>
      <c r="K16218" s="28" t="s">
        <v>52</v>
      </c>
      <c r="L16218" s="28" t="s">
        <v>52</v>
      </c>
      <c r="M16218" s="28" t="s">
        <v>52</v>
      </c>
      <c r="N16218" s="28" t="s">
        <v>52</v>
      </c>
    </row>
    <row r="16219" spans="1:14" x14ac:dyDescent="0.2">
      <c r="A16219" s="23" t="str">
        <f>HYPERLINK("https://www.spark-marketing.ru/Card/Person/495065", "ОГАПОУ ""СМК""")</f>
        <v>ОГАПОУ "СМК"</v>
      </c>
      <c r="B16219" s="24" t="s">
        <v>17884</v>
      </c>
      <c r="C16219" s="25">
        <v>120960</v>
      </c>
      <c r="D16219" s="22" t="s">
        <v>18641</v>
      </c>
      <c r="E16219" s="22" t="s">
        <v>144</v>
      </c>
      <c r="F16219" s="23" t="str">
        <f>HYPERLINK("https://www.spark-marketing.ru/Card/Lot/67583939", "Оказание услуг по охране объектов (круглосуточная охрана)")</f>
        <v>Оказание услуг по охране объектов (круглосуточная охрана)</v>
      </c>
      <c r="G16219" s="22" t="s">
        <v>176</v>
      </c>
      <c r="H16219" s="22" t="s">
        <v>5140</v>
      </c>
      <c r="I16219" s="26">
        <v>43496.360821759299</v>
      </c>
      <c r="J16219" s="23" t="str">
        <f>HYPERLINK("https://www.spark-marketing.ru/Card/Person/262877", "ООО ЧОО ""СЛУЖБА БЕЗОПАСНОСТИ""")</f>
        <v>ООО ЧОО "СЛУЖБА БЕЗОПАСНОСТИ"</v>
      </c>
      <c r="K16219" s="24" t="s">
        <v>17887</v>
      </c>
      <c r="L16219" s="28" t="s">
        <v>52</v>
      </c>
      <c r="M16219" s="25">
        <v>120960</v>
      </c>
      <c r="N16219" s="27">
        <v>0</v>
      </c>
    </row>
    <row r="16220" spans="1:14" x14ac:dyDescent="0.15">
      <c r="A16220" s="23" t="str">
        <f>HYPERLINK("https://www.spark-marketing.ru/Card/Person/1076370", "МБДОУ ДС № 1 ""ТОПОЛЁК""")</f>
        <v>МБДОУ ДС № 1 "ТОПОЛЁК"</v>
      </c>
      <c r="B16220" s="24" t="s">
        <v>18642</v>
      </c>
      <c r="C16220" s="25">
        <v>10800</v>
      </c>
      <c r="D16220" s="22" t="s">
        <v>18643</v>
      </c>
      <c r="E16220" s="22" t="s">
        <v>103</v>
      </c>
      <c r="F16220" s="23" t="str">
        <f>HYPERLINK("https://www.spark-marketing.ru/Card/Lot/67583906", "техническое обслуживание систем видеонаблюдения")</f>
        <v>техническое обслуживание систем видеонаблюдения</v>
      </c>
      <c r="G16220" s="22" t="s">
        <v>402</v>
      </c>
      <c r="H16220" s="22" t="s">
        <v>631</v>
      </c>
      <c r="I16220" s="26">
        <v>43496.355555555601</v>
      </c>
      <c r="J16220" s="28" t="s">
        <v>52</v>
      </c>
      <c r="K16220" s="28" t="s">
        <v>52</v>
      </c>
      <c r="L16220" s="28" t="s">
        <v>52</v>
      </c>
      <c r="M16220" s="28" t="s">
        <v>52</v>
      </c>
      <c r="N16220" s="28" t="s">
        <v>52</v>
      </c>
    </row>
    <row r="16221" spans="1:14" x14ac:dyDescent="0.15">
      <c r="A16221" s="23" t="str">
        <f>HYPERLINK("https://www.spark-marketing.ru/Card/Person/1049599", "ГКУЗ МЦ ""РЕЗЕРВ""")</f>
        <v>ГКУЗ МЦ "РЕЗЕРВ"</v>
      </c>
      <c r="B16221" s="24" t="s">
        <v>18644</v>
      </c>
      <c r="C16221" s="25">
        <v>1260000</v>
      </c>
      <c r="D16221" s="22" t="s">
        <v>18645</v>
      </c>
      <c r="E16221" s="22" t="s">
        <v>68</v>
      </c>
      <c r="F16221" s="23" t="str">
        <f>HYPERLINK("https://www.spark-marketing.ru/Card/Lot/67602284", "Охрана имущества на объекте")</f>
        <v>Охрана имущества на объекте</v>
      </c>
      <c r="G16221" s="22" t="s">
        <v>89</v>
      </c>
      <c r="H16221" s="22" t="s">
        <v>89</v>
      </c>
      <c r="I16221" s="26">
        <v>43496</v>
      </c>
      <c r="J16221" s="28" t="s">
        <v>52</v>
      </c>
      <c r="K16221" s="28" t="s">
        <v>52</v>
      </c>
      <c r="L16221" s="28" t="s">
        <v>52</v>
      </c>
      <c r="M16221" s="28" t="s">
        <v>52</v>
      </c>
      <c r="N16221" s="28" t="s">
        <v>52</v>
      </c>
    </row>
    <row r="16222" spans="1:14" x14ac:dyDescent="0.15">
      <c r="A16222" s="23" t="str">
        <f>HYPERLINK("https://www.spark-marketing.ru/Card/Person/71516", "ФГКУ КОМБИНАТ ""ПЕРВОМАЙСКИЙ"" РОСРЕЗЕРВА")</f>
        <v>ФГКУ КОМБИНАТ "ПЕРВОМАЙСКИЙ" РОСРЕЗЕРВА</v>
      </c>
      <c r="B16222" s="24" t="s">
        <v>18646</v>
      </c>
      <c r="C16222" s="25">
        <v>254828.4</v>
      </c>
      <c r="D16222" s="22" t="s">
        <v>18647</v>
      </c>
      <c r="E16222" s="22" t="s">
        <v>68</v>
      </c>
      <c r="F16222" s="23" t="str">
        <f>HYPERLINK("https://www.spark-marketing.ru/Card/Lot/67606968", "Оказание охранных услуг")</f>
        <v>Оказание охранных услуг</v>
      </c>
      <c r="G16222" s="22" t="s">
        <v>50</v>
      </c>
      <c r="H16222" s="22" t="s">
        <v>6267</v>
      </c>
      <c r="I16222" s="26">
        <v>43496</v>
      </c>
      <c r="J16222" s="28" t="s">
        <v>52</v>
      </c>
      <c r="K16222" s="28" t="s">
        <v>52</v>
      </c>
      <c r="L16222" s="28" t="s">
        <v>52</v>
      </c>
      <c r="M16222" s="28" t="s">
        <v>52</v>
      </c>
      <c r="N16222" s="28" t="s">
        <v>52</v>
      </c>
    </row>
    <row r="16223" spans="1:14" x14ac:dyDescent="0.15">
      <c r="A16223" s="23" t="str">
        <f>HYPERLINK("https://www.spark-marketing.ru/Card/Person/5852720", "ГКУ ""УПРАВЛЕНИЕ ПО ОБЕСПЕЧЕНИЮ ДЕЯТЕЛЬНОСТИ МИНИСТЕРСТВА ЗДРАВООХРАНЕНИЯ ЧЕЧЕНСКОЙ РЕСПУБЛИКИ""")</f>
        <v>ГКУ "УПРАВЛЕНИЕ ПО ОБЕСПЕЧЕНИЮ ДЕЯТЕЛЬНОСТИ МИНИСТЕРСТВА ЗДРАВООХРАНЕНИЯ ЧЕЧЕНСКОЙ РЕСПУБЛИКИ"</v>
      </c>
      <c r="B16223" s="24" t="s">
        <v>18648</v>
      </c>
      <c r="C16223" s="25">
        <v>3120300</v>
      </c>
      <c r="D16223" s="22" t="s">
        <v>18649</v>
      </c>
      <c r="E16223" s="22" t="s">
        <v>68</v>
      </c>
      <c r="F16223" s="23" t="str">
        <f>HYPERLINK("https://www.spark-marketing.ru/Card/Lot/67608632", "Охрана здания Минздрава ЧР и ее территории")</f>
        <v>Охрана здания Минздрава ЧР и ее территории</v>
      </c>
      <c r="G16223" s="22" t="s">
        <v>724</v>
      </c>
      <c r="H16223" s="22" t="s">
        <v>724</v>
      </c>
      <c r="I16223" s="26">
        <v>43496</v>
      </c>
      <c r="J16223" s="23" t="str">
        <f>HYPERLINK("https://www.spark-marketing.ru/Card/Person/1784074", "ФГКУ ""УВО ВНГ РОССИИ ПО ЧЕЧЕНСКОЙ РЕСПУБЛИКЕ""")</f>
        <v>ФГКУ "УВО ВНГ РОССИИ ПО ЧЕЧЕНСКОЙ РЕСПУБЛИКЕ"</v>
      </c>
      <c r="K16223" s="24" t="s">
        <v>1617</v>
      </c>
      <c r="L16223" s="22" t="s">
        <v>10</v>
      </c>
      <c r="M16223" s="28" t="s">
        <v>52</v>
      </c>
      <c r="N16223" s="28" t="s">
        <v>52</v>
      </c>
    </row>
    <row r="16224" spans="1:14" x14ac:dyDescent="0.15">
      <c r="A16224" s="23" t="str">
        <f>HYPERLINK("https://www.spark-marketing.ru/Card/Person/71516", "ФГКУ КОМБИНАТ ""ПЕРВОМАЙСКИЙ"" РОСРЕЗЕРВА")</f>
        <v>ФГКУ КОМБИНАТ "ПЕРВОМАЙСКИЙ" РОСРЕЗЕРВА</v>
      </c>
      <c r="B16224" s="24" t="s">
        <v>18646</v>
      </c>
      <c r="C16224" s="25">
        <v>187726.8</v>
      </c>
      <c r="D16224" s="22" t="s">
        <v>18650</v>
      </c>
      <c r="E16224" s="22" t="s">
        <v>68</v>
      </c>
      <c r="F16224" s="23" t="str">
        <f>HYPERLINK("https://www.spark-marketing.ru/Card/Lot/67606969", "Оказание охранных услуг")</f>
        <v>Оказание охранных услуг</v>
      </c>
      <c r="G16224" s="22" t="s">
        <v>50</v>
      </c>
      <c r="H16224" s="22" t="s">
        <v>2463</v>
      </c>
      <c r="I16224" s="26">
        <v>43496</v>
      </c>
      <c r="J16224" s="28" t="s">
        <v>52</v>
      </c>
      <c r="K16224" s="28" t="s">
        <v>52</v>
      </c>
      <c r="L16224" s="28" t="s">
        <v>52</v>
      </c>
      <c r="M16224" s="28" t="s">
        <v>52</v>
      </c>
      <c r="N16224" s="28" t="s">
        <v>52</v>
      </c>
    </row>
    <row r="16225" spans="1:14" x14ac:dyDescent="0.15">
      <c r="A16225" s="23" t="str">
        <f>HYPERLINK("https://www.spark-marketing.ru/Card/Person/6872", "АДМИНИСТРАЦИЯ МО ""ГГО""")</f>
        <v>АДМИНИСТРАЦИЯ МО "ГГО"</v>
      </c>
      <c r="B16225" s="24" t="s">
        <v>18651</v>
      </c>
      <c r="C16225" s="25">
        <v>1218240</v>
      </c>
      <c r="D16225" s="22" t="s">
        <v>18652</v>
      </c>
      <c r="E16225" s="22" t="s">
        <v>52</v>
      </c>
      <c r="F16225" s="23" t="str">
        <f>HYPERLINK("https://www.spark-marketing.ru/Card/Lot/67608528", "оказание услуг по охране объектов муниципальной собственности")</f>
        <v>оказание услуг по охране объектов муниципальной собственности</v>
      </c>
      <c r="G16225" s="22" t="s">
        <v>247</v>
      </c>
      <c r="H16225" s="22" t="s">
        <v>247</v>
      </c>
      <c r="I16225" s="26">
        <v>43496</v>
      </c>
      <c r="J16225" s="28" t="s">
        <v>52</v>
      </c>
      <c r="K16225" s="28" t="s">
        <v>52</v>
      </c>
      <c r="L16225" s="28" t="s">
        <v>52</v>
      </c>
      <c r="M16225" s="28" t="s">
        <v>52</v>
      </c>
      <c r="N16225" s="28" t="s">
        <v>52</v>
      </c>
    </row>
    <row r="16226" spans="1:14" ht="12.75" hidden="1" outlineLevel="1" x14ac:dyDescent="0.2">
      <c r="A16226" s="23" t="str">
        <f>HYPERLINK("https://www.spark-marketing.ru/Card/Person/6872", "АДМИНИСТРАЦИЯ МО ""ГГО""")</f>
        <v>АДМИНИСТРАЦИЯ МО "ГГО"</v>
      </c>
      <c r="B16226" s="24" t="s">
        <v>18651</v>
      </c>
      <c r="C16226" s="25">
        <v>1218240</v>
      </c>
      <c r="D16226" s="22" t="s">
        <v>18652</v>
      </c>
      <c r="E16226" s="22" t="s">
        <v>52</v>
      </c>
      <c r="F16226" s="23" t="str">
        <f>HYPERLINK("https://www.spark-marketing.ru/Card/Lot/67608528", "оказание услуг по охране объектов муниципальной собственности")</f>
        <v>оказание услуг по охране объектов муниципальной собственности</v>
      </c>
      <c r="G16226" s="22" t="s">
        <v>247</v>
      </c>
      <c r="H16226" s="22" t="s">
        <v>247</v>
      </c>
      <c r="I16226" s="26">
        <v>43496</v>
      </c>
      <c r="J16226" s="23" t="str">
        <f>HYPERLINK("https://www.spark-marketing.ru/Card/Person/583053", "ООО ""ЧОП ТРОИЦКИЙ""")</f>
        <v>ООО "ЧОП ТРОИЦКИЙ"</v>
      </c>
      <c r="K16226" s="24" t="s">
        <v>15880</v>
      </c>
      <c r="L16226" s="22" t="s">
        <v>10</v>
      </c>
      <c r="M16226" s="25">
        <v>761377.8</v>
      </c>
      <c r="N16226" s="27">
        <v>0.37501822301024429</v>
      </c>
    </row>
    <row r="16227" spans="1:14" hidden="1" outlineLevel="1" x14ac:dyDescent="0.2">
      <c r="A16227" s="23" t="str">
        <f>HYPERLINK("https://www.spark-marketing.ru/Card/Person/6872", "АДМИНИСТРАЦИЯ МО ""ГГО""")</f>
        <v>АДМИНИСТРАЦИЯ МО "ГГО"</v>
      </c>
      <c r="B16227" s="24" t="s">
        <v>18651</v>
      </c>
      <c r="C16227" s="25">
        <v>1218240</v>
      </c>
      <c r="D16227" s="22" t="s">
        <v>18652</v>
      </c>
      <c r="E16227" s="22" t="s">
        <v>52</v>
      </c>
      <c r="F16227" s="23" t="str">
        <f>HYPERLINK("https://www.spark-marketing.ru/Card/Lot/67608528", "оказание услуг по охране объектов муниципальной собственности")</f>
        <v>оказание услуг по охране объектов муниципальной собственности</v>
      </c>
      <c r="G16227" s="22" t="s">
        <v>247</v>
      </c>
      <c r="H16227" s="22" t="s">
        <v>247</v>
      </c>
      <c r="I16227" s="26">
        <v>43496</v>
      </c>
      <c r="J16227" s="23" t="str">
        <f>HYPERLINK("https://www.spark-marketing.ru/Card/Person/6441089", "ООО ""ЧОП ""БАЛТИЙСКИЕ-МЕДВЕДИ""")</f>
        <v>ООО "ЧОП "БАЛТИЙСКИЕ-МЕДВЕДИ"</v>
      </c>
      <c r="K16227" s="24" t="s">
        <v>13393</v>
      </c>
      <c r="L16227" s="28" t="s">
        <v>52</v>
      </c>
      <c r="M16227" s="25">
        <v>767469</v>
      </c>
      <c r="N16227" s="27">
        <v>0.37001822301024428</v>
      </c>
    </row>
    <row r="16228" spans="1:14" hidden="1" outlineLevel="1" x14ac:dyDescent="0.2">
      <c r="A16228" s="23" t="str">
        <f>HYPERLINK("https://www.spark-marketing.ru/Card/Person/6872", "АДМИНИСТРАЦИЯ МО ""ГГО""")</f>
        <v>АДМИНИСТРАЦИЯ МО "ГГО"</v>
      </c>
      <c r="B16228" s="24" t="s">
        <v>18651</v>
      </c>
      <c r="C16228" s="25">
        <v>1218240</v>
      </c>
      <c r="D16228" s="22" t="s">
        <v>18652</v>
      </c>
      <c r="E16228" s="22" t="s">
        <v>52</v>
      </c>
      <c r="F16228" s="23" t="str">
        <f>HYPERLINK("https://www.spark-marketing.ru/Card/Lot/67608528", "оказание услуг по охране объектов муниципальной собственности")</f>
        <v>оказание услуг по охране объектов муниципальной собственности</v>
      </c>
      <c r="G16228" s="22" t="s">
        <v>247</v>
      </c>
      <c r="H16228" s="22" t="s">
        <v>247</v>
      </c>
      <c r="I16228" s="26">
        <v>43496</v>
      </c>
      <c r="J16228" s="23" t="str">
        <f>HYPERLINK("https://www.spark-marketing.ru/Card/Person/115902", "ООО ""ЧОП ""КОЛЬЧУГА""")</f>
        <v>ООО "ЧОП "КОЛЬЧУГА"</v>
      </c>
      <c r="K16228" s="24" t="s">
        <v>18653</v>
      </c>
      <c r="L16228" s="28" t="s">
        <v>52</v>
      </c>
      <c r="M16228" s="25">
        <v>1175599.8</v>
      </c>
      <c r="N16228" s="27">
        <v>3.5001477541371159E-2</v>
      </c>
    </row>
    <row r="16229" spans="1:14" x14ac:dyDescent="0.15">
      <c r="A16229" s="23" t="str">
        <f>HYPERLINK("https://www.spark-marketing.ru/Card/Person/1049599", "ГКУЗ МЦ ""РЕЗЕРВ""")</f>
        <v>ГКУЗ МЦ "РЕЗЕРВ"</v>
      </c>
      <c r="B16229" s="24" t="s">
        <v>18644</v>
      </c>
      <c r="C16229" s="25">
        <v>1337664</v>
      </c>
      <c r="D16229" s="22" t="s">
        <v>18654</v>
      </c>
      <c r="E16229" s="22" t="s">
        <v>68</v>
      </c>
      <c r="F16229" s="23" t="str">
        <f>HYPERLINK("https://www.spark-marketing.ru/Card/Lot/67602290", "Охрана имущества на объекте")</f>
        <v>Охрана имущества на объекте</v>
      </c>
      <c r="G16229" s="22" t="s">
        <v>89</v>
      </c>
      <c r="H16229" s="22" t="s">
        <v>89</v>
      </c>
      <c r="I16229" s="26">
        <v>43496</v>
      </c>
      <c r="J16229" s="28" t="s">
        <v>52</v>
      </c>
      <c r="K16229" s="28" t="s">
        <v>52</v>
      </c>
      <c r="L16229" s="28" t="s">
        <v>52</v>
      </c>
      <c r="M16229" s="28" t="s">
        <v>52</v>
      </c>
      <c r="N16229" s="28" t="s">
        <v>52</v>
      </c>
    </row>
    <row r="16230" spans="1:14" x14ac:dyDescent="0.15">
      <c r="A16230" s="23" t="str">
        <f>HYPERLINK("https://www.spark-marketing.ru/Card/Person/88462", "ГБДОУ ДЕТСКИЙ САД № 47 КОЛПИНСКОГО РАЙОНА СПБ")</f>
        <v>ГБДОУ ДЕТСКИЙ САД № 47 КОЛПИНСКОГО РАЙОНА СПБ</v>
      </c>
      <c r="B16230" s="24" t="s">
        <v>18655</v>
      </c>
      <c r="C16230" s="25">
        <v>780880</v>
      </c>
      <c r="D16230" s="22" t="s">
        <v>18656</v>
      </c>
      <c r="E16230" s="22" t="s">
        <v>68</v>
      </c>
      <c r="F16230" s="23" t="str">
        <f>HYPERLINK("https://www.spark-marketing.ru/Card/Lot/67585898", "Оказание услуг по организации и обеспечению охраны объекта и имущества, а также обеспечение внутриобъектового и пропускного режима на объекте, в отношении которого установлены обязательные для выполнения требования к антитеррористической защищенности...")</f>
        <v>Оказание услуг по организации и обеспечению охраны объекта и имущества, а также обеспечение внутриобъектового и пропускного режима на объекте, в отношении которого установлены обязательные для выполнения требования к антитеррористической защищенности...</v>
      </c>
      <c r="G16230" s="22" t="s">
        <v>89</v>
      </c>
      <c r="H16230" s="22" t="s">
        <v>89</v>
      </c>
      <c r="I16230" s="26">
        <v>43496</v>
      </c>
      <c r="J16230" s="28" t="s">
        <v>52</v>
      </c>
      <c r="K16230" s="28" t="s">
        <v>52</v>
      </c>
      <c r="L16230" s="28" t="s">
        <v>52</v>
      </c>
      <c r="M16230" s="28" t="s">
        <v>52</v>
      </c>
      <c r="N16230" s="28" t="s">
        <v>52</v>
      </c>
    </row>
    <row r="16231" spans="1:14" hidden="1" outlineLevel="1" x14ac:dyDescent="0.2">
      <c r="A16231" s="23" t="str">
        <f>HYPERLINK("https://www.spark-marketing.ru/Card/Person/88462", "ГБДОУ ДЕТСКИЙ САД № 47 КОЛПИНСКОГО РАЙОНА СПБ")</f>
        <v>ГБДОУ ДЕТСКИЙ САД № 47 КОЛПИНСКОГО РАЙОНА СПБ</v>
      </c>
      <c r="B16231" s="24" t="s">
        <v>18655</v>
      </c>
      <c r="C16231" s="25">
        <v>780880</v>
      </c>
      <c r="D16231" s="22" t="s">
        <v>18656</v>
      </c>
      <c r="E16231" s="22" t="s">
        <v>68</v>
      </c>
      <c r="F16231" s="23" t="str">
        <f>HYPERLINK("https://www.spark-marketing.ru/Card/Lot/67585898", "Оказание услуг по организации и обеспечению охраны объекта и имущества, а также обеспечение внутриобъектового и пропускного режима на объекте, в отношении которого установлены обязательные для выполнения требования к антитеррористической защищенности...")</f>
        <v>Оказание услуг по организации и обеспечению охраны объекта и имущества, а также обеспечение внутриобъектового и пропускного режима на объекте, в отношении которого установлены обязательные для выполнения требования к антитеррористической защищенности...</v>
      </c>
      <c r="G16231" s="22" t="s">
        <v>89</v>
      </c>
      <c r="H16231" s="22" t="s">
        <v>89</v>
      </c>
      <c r="I16231" s="26">
        <v>43496</v>
      </c>
      <c r="J16231" s="23" t="str">
        <f>HYPERLINK("https://www.spark-marketing.ru/Card/Person/988373", "ООО ""ОХРАННАЯ ОРГАНИЗАЦИЯ ""АЛЬДЕР""")</f>
        <v>ООО "ОХРАННАЯ ОРГАНИЗАЦИЯ "АЛЬДЕР"</v>
      </c>
      <c r="K16231" s="24" t="s">
        <v>18657</v>
      </c>
      <c r="L16231" s="28" t="s">
        <v>52</v>
      </c>
      <c r="M16231" s="25">
        <v>605181.99</v>
      </c>
      <c r="N16231" s="27">
        <v>0.22500001280606496</v>
      </c>
    </row>
    <row r="16232" spans="1:14" ht="12.75" hidden="1" outlineLevel="1" x14ac:dyDescent="0.2">
      <c r="A16232" s="23" t="str">
        <f>HYPERLINK("https://www.spark-marketing.ru/Card/Person/88462", "ГБДОУ ДЕТСКИЙ САД № 47 КОЛПИНСКОГО РАЙОНА СПБ")</f>
        <v>ГБДОУ ДЕТСКИЙ САД № 47 КОЛПИНСКОГО РАЙОНА СПБ</v>
      </c>
      <c r="B16232" s="24" t="s">
        <v>18655</v>
      </c>
      <c r="C16232" s="25">
        <v>780880</v>
      </c>
      <c r="D16232" s="22" t="s">
        <v>18656</v>
      </c>
      <c r="E16232" s="22" t="s">
        <v>68</v>
      </c>
      <c r="F16232" s="23" t="str">
        <f>HYPERLINK("https://www.spark-marketing.ru/Card/Lot/67585898", "Оказание услуг по организации и обеспечению охраны объекта и имущества, а также обеспечение внутриобъектового и пропускного режима на объекте, в отношении которого установлены обязательные для выполнения требования к антитеррористической защищенности...")</f>
        <v>Оказание услуг по организации и обеспечению охраны объекта и имущества, а также обеспечение внутриобъектового и пропускного режима на объекте, в отношении которого установлены обязательные для выполнения требования к антитеррористической защищенности...</v>
      </c>
      <c r="G16232" s="22" t="s">
        <v>89</v>
      </c>
      <c r="H16232" s="22" t="s">
        <v>89</v>
      </c>
      <c r="I16232" s="26">
        <v>43496</v>
      </c>
      <c r="J16232" s="23" t="str">
        <f>HYPERLINK("https://www.spark-marketing.ru/Card/Person/1557170", "ООО ""ОП ""ИЖОРА-ЩИТ""")</f>
        <v>ООО "ОП "ИЖОРА-ЩИТ"</v>
      </c>
      <c r="K16232" s="24" t="s">
        <v>16321</v>
      </c>
      <c r="L16232" s="22" t="s">
        <v>10</v>
      </c>
      <c r="M16232" s="25">
        <v>601277.59</v>
      </c>
      <c r="N16232" s="27">
        <v>0.23000001280606494</v>
      </c>
    </row>
    <row r="16233" spans="1:14" x14ac:dyDescent="0.15">
      <c r="A16233" s="23" t="str">
        <f>HYPERLINK("https://www.spark-marketing.ru/Card/Person/145264", "УПРАВЛЕНИЕ МИРОВЫХ СУДЕЙ ОРЛОВСКОЙ ОБЛАСТИ")</f>
        <v>УПРАВЛЕНИЕ МИРОВЫХ СУДЕЙ ОРЛОВСКОЙ ОБЛАСТИ</v>
      </c>
      <c r="B16233" s="24" t="s">
        <v>18658</v>
      </c>
      <c r="C16233" s="25">
        <v>36000</v>
      </c>
      <c r="D16233" s="22" t="s">
        <v>18659</v>
      </c>
      <c r="E16233" s="22" t="s">
        <v>208</v>
      </c>
      <c r="F16233" s="23" t="str">
        <f>HYPERLINK("https://www.spark-marketing.ru/Card/Lot/67611708", "Услуги органов охраны правопорядка (тревожная кнопка) судебных участков мировых судей расположенных по адресу. Орловская область, город Орел, ул. Московская, д. 159")</f>
        <v>Услуги органов охраны правопорядка (тревожная кнопка) судебных участков мировых судей расположенных по адресу. Орловская область, город Орел, ул. Московская, д. 159</v>
      </c>
      <c r="G16233" s="22" t="s">
        <v>492</v>
      </c>
      <c r="H16233" s="22" t="s">
        <v>5024</v>
      </c>
      <c r="I16233" s="26">
        <v>43496</v>
      </c>
      <c r="J16233" s="28" t="s">
        <v>52</v>
      </c>
      <c r="K16233" s="28" t="s">
        <v>52</v>
      </c>
      <c r="L16233" s="28" t="s">
        <v>52</v>
      </c>
      <c r="M16233" s="28" t="s">
        <v>52</v>
      </c>
      <c r="N16233" s="28" t="s">
        <v>52</v>
      </c>
    </row>
    <row r="16234" spans="1:14" x14ac:dyDescent="0.15">
      <c r="A16234" s="23" t="str">
        <f>HYPERLINK("https://www.spark-marketing.ru/Card/Person/2097942", "АО ""КОНЦЕРН РОСЭНЕРГОАТОМ""")</f>
        <v>АО "КОНЦЕРН РОСЭНЕРГОАТОМ"</v>
      </c>
      <c r="B16234" s="24" t="s">
        <v>211</v>
      </c>
      <c r="C16234" s="25">
        <v>454390.28</v>
      </c>
      <c r="D16234" s="22" t="s">
        <v>18660</v>
      </c>
      <c r="E16234" s="22" t="s">
        <v>53</v>
      </c>
      <c r="F16234" s="23" t="str">
        <f>HYPERLINK("https://www.spark-marketing.ru/Card/Lot/67609006", "Право заключения договора на Оказание услуг по государственной охране с использованием кнопки тревожной сигнализации и государственной пультовой охране объектов филиала АО ""Концерн Росэнергоатом"" ""Балаковская атомная станция""")</f>
        <v>Право заключения договора на Оказание услуг по государственной охране с использованием кнопки тревожной сигнализации и государственной пультовой охране объектов филиала АО "Концерн Росэнергоатом" "Балаковская атомная станция"</v>
      </c>
      <c r="G16234" s="22" t="s">
        <v>55</v>
      </c>
      <c r="H16234" s="22" t="s">
        <v>55</v>
      </c>
      <c r="I16234" s="26">
        <v>43496</v>
      </c>
      <c r="J16234" s="28" t="s">
        <v>52</v>
      </c>
      <c r="K16234" s="28" t="s">
        <v>52</v>
      </c>
      <c r="L16234" s="28" t="s">
        <v>52</v>
      </c>
      <c r="M16234" s="28" t="s">
        <v>52</v>
      </c>
      <c r="N16234" s="28" t="s">
        <v>52</v>
      </c>
    </row>
    <row r="16235" spans="1:14" x14ac:dyDescent="0.15">
      <c r="A16235" s="23" t="str">
        <f t="shared" ref="A16235:A16244" si="843">HYPERLINK("https://www.spark-marketing.ru/Card/Person/4349335", "УПРАВЛЕНИЕ ДЕЛАМИ ВОРОНЕЖСКОЙ ОБЛАСТИ")</f>
        <v>УПРАВЛЕНИЕ ДЕЛАМИ ВОРОНЕЖСКОЙ ОБЛАСТИ</v>
      </c>
      <c r="B16235" s="24" t="s">
        <v>8780</v>
      </c>
      <c r="C16235" s="25">
        <v>700000</v>
      </c>
      <c r="D16235" s="22" t="s">
        <v>18661</v>
      </c>
      <c r="E16235" s="22" t="s">
        <v>107</v>
      </c>
      <c r="F16235" s="23" t="str">
        <f t="shared" ref="F16235:F16244" si="844">HYPERLINK("https://www.spark-marketing.ru/Card/Lot/67586972", "2019-00022/ Оказание услуг по техническому обслуживанию систем видеонаблюдения на судебных участков мировых судей Воронежской области в 2019 году")</f>
        <v>2019-00022/ Оказание услуг по техническому обслуживанию систем видеонаблюдения на судебных участков мировых судей Воронежской области в 2019 году</v>
      </c>
      <c r="G16235" s="22" t="s">
        <v>552</v>
      </c>
      <c r="H16235" s="22" t="s">
        <v>886</v>
      </c>
      <c r="I16235" s="26">
        <v>43496</v>
      </c>
      <c r="J16235" s="28" t="s">
        <v>52</v>
      </c>
      <c r="K16235" s="28" t="s">
        <v>52</v>
      </c>
      <c r="L16235" s="28" t="s">
        <v>52</v>
      </c>
      <c r="M16235" s="28" t="s">
        <v>52</v>
      </c>
      <c r="N16235" s="28" t="s">
        <v>52</v>
      </c>
    </row>
    <row r="16236" spans="1:14" hidden="1" outlineLevel="1" x14ac:dyDescent="0.2">
      <c r="A16236" s="23" t="str">
        <f t="shared" si="843"/>
        <v>УПРАВЛЕНИЕ ДЕЛАМИ ВОРОНЕЖСКОЙ ОБЛАСТИ</v>
      </c>
      <c r="B16236" s="24" t="s">
        <v>8780</v>
      </c>
      <c r="C16236" s="25">
        <v>700000</v>
      </c>
      <c r="D16236" s="22" t="s">
        <v>18661</v>
      </c>
      <c r="E16236" s="22" t="s">
        <v>107</v>
      </c>
      <c r="F16236" s="23" t="str">
        <f t="shared" si="844"/>
        <v>2019-00022/ Оказание услуг по техническому обслуживанию систем видеонаблюдения на судебных участков мировых судей Воронежской области в 2019 году</v>
      </c>
      <c r="G16236" s="22" t="s">
        <v>552</v>
      </c>
      <c r="H16236" s="22" t="s">
        <v>886</v>
      </c>
      <c r="I16236" s="26">
        <v>43496</v>
      </c>
      <c r="J16236" s="23" t="str">
        <f>HYPERLINK("https://www.spark-marketing.ru/Card/Person/4721782", "ООО ""СВ-ГРУПП""")</f>
        <v>ООО "СВ-ГРУПП"</v>
      </c>
      <c r="K16236" s="24" t="s">
        <v>18662</v>
      </c>
      <c r="L16236" s="28" t="s">
        <v>52</v>
      </c>
      <c r="M16236" s="25">
        <v>500000</v>
      </c>
      <c r="N16236" s="27">
        <v>0.2857142857142857</v>
      </c>
    </row>
    <row r="16237" spans="1:14" hidden="1" outlineLevel="1" x14ac:dyDescent="0.2">
      <c r="A16237" s="23" t="str">
        <f t="shared" si="843"/>
        <v>УПРАВЛЕНИЕ ДЕЛАМИ ВОРОНЕЖСКОЙ ОБЛАСТИ</v>
      </c>
      <c r="B16237" s="24" t="s">
        <v>8780</v>
      </c>
      <c r="C16237" s="25">
        <v>700000</v>
      </c>
      <c r="D16237" s="22" t="s">
        <v>18661</v>
      </c>
      <c r="E16237" s="22" t="s">
        <v>107</v>
      </c>
      <c r="F16237" s="23" t="str">
        <f t="shared" si="844"/>
        <v>2019-00022/ Оказание услуг по техническому обслуживанию систем видеонаблюдения на судебных участков мировых судей Воронежской области в 2019 году</v>
      </c>
      <c r="G16237" s="22" t="s">
        <v>552</v>
      </c>
      <c r="H16237" s="22" t="s">
        <v>886</v>
      </c>
      <c r="I16237" s="26">
        <v>43496</v>
      </c>
      <c r="J16237" s="23" t="str">
        <f>HYPERLINK("https://www.spark-marketing.ru/Card/Person/327614", "ООО ""КСБ-МОНТАЖ""")</f>
        <v>ООО "КСБ-МОНТАЖ"</v>
      </c>
      <c r="K16237" s="24" t="s">
        <v>18663</v>
      </c>
      <c r="L16237" s="28" t="s">
        <v>52</v>
      </c>
      <c r="M16237" s="25">
        <v>361000</v>
      </c>
      <c r="N16237" s="27">
        <v>0.48428571428571426</v>
      </c>
    </row>
    <row r="16238" spans="1:14" hidden="1" outlineLevel="1" x14ac:dyDescent="0.2">
      <c r="A16238" s="23" t="str">
        <f t="shared" si="843"/>
        <v>УПРАВЛЕНИЕ ДЕЛАМИ ВОРОНЕЖСКОЙ ОБЛАСТИ</v>
      </c>
      <c r="B16238" s="24" t="s">
        <v>8780</v>
      </c>
      <c r="C16238" s="25">
        <v>700000</v>
      </c>
      <c r="D16238" s="22" t="s">
        <v>18661</v>
      </c>
      <c r="E16238" s="22" t="s">
        <v>107</v>
      </c>
      <c r="F16238" s="23" t="str">
        <f t="shared" si="844"/>
        <v>2019-00022/ Оказание услуг по техническому обслуживанию систем видеонаблюдения на судебных участков мировых судей Воронежской области в 2019 году</v>
      </c>
      <c r="G16238" s="22" t="s">
        <v>552</v>
      </c>
      <c r="H16238" s="22" t="s">
        <v>886</v>
      </c>
      <c r="I16238" s="26">
        <v>43496</v>
      </c>
      <c r="J16238" s="23" t="str">
        <f>HYPERLINK("https://www.spark-marketing.ru/Card/Person/6402542", "ООО ""ЦЕНТР СБ""")</f>
        <v>ООО "ЦЕНТР СБ"</v>
      </c>
      <c r="K16238" s="24" t="s">
        <v>2133</v>
      </c>
      <c r="L16238" s="28" t="s">
        <v>52</v>
      </c>
      <c r="M16238" s="25">
        <v>555000</v>
      </c>
      <c r="N16238" s="27">
        <v>0.20714285714285716</v>
      </c>
    </row>
    <row r="16239" spans="1:14" hidden="1" outlineLevel="1" x14ac:dyDescent="0.2">
      <c r="A16239" s="23" t="str">
        <f t="shared" si="843"/>
        <v>УПРАВЛЕНИЕ ДЕЛАМИ ВОРОНЕЖСКОЙ ОБЛАСТИ</v>
      </c>
      <c r="B16239" s="24" t="s">
        <v>8780</v>
      </c>
      <c r="C16239" s="25">
        <v>700000</v>
      </c>
      <c r="D16239" s="22" t="s">
        <v>18661</v>
      </c>
      <c r="E16239" s="22" t="s">
        <v>107</v>
      </c>
      <c r="F16239" s="23" t="str">
        <f t="shared" si="844"/>
        <v>2019-00022/ Оказание услуг по техническому обслуживанию систем видеонаблюдения на судебных участков мировых судей Воронежской области в 2019 году</v>
      </c>
      <c r="G16239" s="22" t="s">
        <v>552</v>
      </c>
      <c r="H16239" s="22" t="s">
        <v>886</v>
      </c>
      <c r="I16239" s="26">
        <v>43496</v>
      </c>
      <c r="J16239" s="23" t="str">
        <f>HYPERLINK("https://www.spark-marketing.ru/Card/Person/4903753", "ООО ""АНТЕЙ-СБ""")</f>
        <v>ООО "АНТЕЙ-СБ"</v>
      </c>
      <c r="K16239" s="24" t="s">
        <v>18664</v>
      </c>
      <c r="L16239" s="28" t="s">
        <v>52</v>
      </c>
      <c r="M16239" s="25">
        <v>403000</v>
      </c>
      <c r="N16239" s="27">
        <v>0.42428571428571427</v>
      </c>
    </row>
    <row r="16240" spans="1:14" hidden="1" outlineLevel="1" x14ac:dyDescent="0.2">
      <c r="A16240" s="23" t="str">
        <f t="shared" si="843"/>
        <v>УПРАВЛЕНИЕ ДЕЛАМИ ВОРОНЕЖСКОЙ ОБЛАСТИ</v>
      </c>
      <c r="B16240" s="24" t="s">
        <v>8780</v>
      </c>
      <c r="C16240" s="25">
        <v>700000</v>
      </c>
      <c r="D16240" s="22" t="s">
        <v>18661</v>
      </c>
      <c r="E16240" s="22" t="s">
        <v>107</v>
      </c>
      <c r="F16240" s="23" t="str">
        <f t="shared" si="844"/>
        <v>2019-00022/ Оказание услуг по техническому обслуживанию систем видеонаблюдения на судебных участков мировых судей Воронежской области в 2019 году</v>
      </c>
      <c r="G16240" s="22" t="s">
        <v>552</v>
      </c>
      <c r="H16240" s="22" t="s">
        <v>886</v>
      </c>
      <c r="I16240" s="26">
        <v>43496</v>
      </c>
      <c r="J16240" s="23" t="str">
        <f>HYPERLINK("https://www.spark-marketing.ru/Card/Person/92192", "ООО ""БЕЛАЯ ЛОШАДЬ""")</f>
        <v>ООО "БЕЛАЯ ЛОШАДЬ"</v>
      </c>
      <c r="K16240" s="24" t="s">
        <v>18665</v>
      </c>
      <c r="L16240" s="28" t="s">
        <v>52</v>
      </c>
      <c r="M16240" s="25">
        <v>150000</v>
      </c>
      <c r="N16240" s="27">
        <v>0.7857142857142857</v>
      </c>
    </row>
    <row r="16241" spans="1:14" hidden="1" outlineLevel="1" x14ac:dyDescent="0.2">
      <c r="A16241" s="23" t="str">
        <f t="shared" si="843"/>
        <v>УПРАВЛЕНИЕ ДЕЛАМИ ВОРОНЕЖСКОЙ ОБЛАСТИ</v>
      </c>
      <c r="B16241" s="24" t="s">
        <v>8780</v>
      </c>
      <c r="C16241" s="25">
        <v>700000</v>
      </c>
      <c r="D16241" s="22" t="s">
        <v>18661</v>
      </c>
      <c r="E16241" s="22" t="s">
        <v>107</v>
      </c>
      <c r="F16241" s="23" t="str">
        <f t="shared" si="844"/>
        <v>2019-00022/ Оказание услуг по техническому обслуживанию систем видеонаблюдения на судебных участков мировых судей Воронежской области в 2019 году</v>
      </c>
      <c r="G16241" s="22" t="s">
        <v>552</v>
      </c>
      <c r="H16241" s="22" t="s">
        <v>886</v>
      </c>
      <c r="I16241" s="26">
        <v>43496</v>
      </c>
      <c r="J16241" s="23" t="str">
        <f>HYPERLINK("https://www.spark-marketing.ru/Card/Person/4353016", "ООО ""ЦЕНТР БЕЗОПАСНОСТИ ""АФИНА""")</f>
        <v>ООО "ЦЕНТР БЕЗОПАСНОСТИ "АФИНА"</v>
      </c>
      <c r="K16241" s="24" t="s">
        <v>18666</v>
      </c>
      <c r="L16241" s="28" t="s">
        <v>52</v>
      </c>
      <c r="M16241" s="25">
        <v>553000</v>
      </c>
      <c r="N16241" s="27">
        <v>0.21</v>
      </c>
    </row>
    <row r="16242" spans="1:14" hidden="1" outlineLevel="1" x14ac:dyDescent="0.2">
      <c r="A16242" s="23" t="str">
        <f t="shared" si="843"/>
        <v>УПРАВЛЕНИЕ ДЕЛАМИ ВОРОНЕЖСКОЙ ОБЛАСТИ</v>
      </c>
      <c r="B16242" s="24" t="s">
        <v>8780</v>
      </c>
      <c r="C16242" s="25">
        <v>700000</v>
      </c>
      <c r="D16242" s="22" t="s">
        <v>18661</v>
      </c>
      <c r="E16242" s="22" t="s">
        <v>107</v>
      </c>
      <c r="F16242" s="23" t="str">
        <f t="shared" si="844"/>
        <v>2019-00022/ Оказание услуг по техническому обслуживанию систем видеонаблюдения на судебных участков мировых судей Воронежской области в 2019 году</v>
      </c>
      <c r="G16242" s="22" t="s">
        <v>552</v>
      </c>
      <c r="H16242" s="22" t="s">
        <v>886</v>
      </c>
      <c r="I16242" s="26">
        <v>43496</v>
      </c>
      <c r="J16242" s="23" t="str">
        <f>HYPERLINK("https://www.spark-marketing.ru/Card/Person/4539727", "Филиал ФГУП ""Охрана"" Росгвардии по Воронежской области")</f>
        <v>Филиал ФГУП "Охрана" Росгвардии по Воронежской области</v>
      </c>
      <c r="K16242" s="24" t="s">
        <v>779</v>
      </c>
      <c r="L16242" s="28" t="s">
        <v>52</v>
      </c>
      <c r="M16242" s="25">
        <v>261500</v>
      </c>
      <c r="N16242" s="27">
        <v>0.62642857142857145</v>
      </c>
    </row>
    <row r="16243" spans="1:14" hidden="1" outlineLevel="1" x14ac:dyDescent="0.2">
      <c r="A16243" s="23" t="str">
        <f t="shared" si="843"/>
        <v>УПРАВЛЕНИЕ ДЕЛАМИ ВОРОНЕЖСКОЙ ОБЛАСТИ</v>
      </c>
      <c r="B16243" s="24" t="s">
        <v>8780</v>
      </c>
      <c r="C16243" s="25">
        <v>700000</v>
      </c>
      <c r="D16243" s="22" t="s">
        <v>18661</v>
      </c>
      <c r="E16243" s="22" t="s">
        <v>107</v>
      </c>
      <c r="F16243" s="23" t="str">
        <f t="shared" si="844"/>
        <v>2019-00022/ Оказание услуг по техническому обслуживанию систем видеонаблюдения на судебных участков мировых судей Воронежской области в 2019 году</v>
      </c>
      <c r="G16243" s="22" t="s">
        <v>552</v>
      </c>
      <c r="H16243" s="22" t="s">
        <v>886</v>
      </c>
      <c r="I16243" s="26">
        <v>43496</v>
      </c>
      <c r="J16243" s="23" t="str">
        <f>HYPERLINK("https://www.spark-marketing.ru/Card/Person/6187999", "Бакумцев Александр Николаевич")</f>
        <v>Бакумцев Александр Николаевич</v>
      </c>
      <c r="K16243" s="24" t="s">
        <v>3495</v>
      </c>
      <c r="L16243" s="28" t="s">
        <v>52</v>
      </c>
      <c r="M16243" s="25">
        <v>200000</v>
      </c>
      <c r="N16243" s="27">
        <v>0.7142857142857143</v>
      </c>
    </row>
    <row r="16244" spans="1:14" ht="12.75" hidden="1" outlineLevel="1" x14ac:dyDescent="0.2">
      <c r="A16244" s="23" t="str">
        <f t="shared" si="843"/>
        <v>УПРАВЛЕНИЕ ДЕЛАМИ ВОРОНЕЖСКОЙ ОБЛАСТИ</v>
      </c>
      <c r="B16244" s="24" t="s">
        <v>8780</v>
      </c>
      <c r="C16244" s="25">
        <v>700000</v>
      </c>
      <c r="D16244" s="22" t="s">
        <v>18661</v>
      </c>
      <c r="E16244" s="22" t="s">
        <v>107</v>
      </c>
      <c r="F16244" s="23" t="str">
        <f t="shared" si="844"/>
        <v>2019-00022/ Оказание услуг по техническому обслуживанию систем видеонаблюдения на судебных участков мировых судей Воронежской области в 2019 году</v>
      </c>
      <c r="G16244" s="22" t="s">
        <v>552</v>
      </c>
      <c r="H16244" s="22" t="s">
        <v>886</v>
      </c>
      <c r="I16244" s="26">
        <v>43496</v>
      </c>
      <c r="J16244" s="23" t="str">
        <f>HYPERLINK("https://www.spark-marketing.ru/Card/Person/1920691", "ООО ""КОМБАТ""")</f>
        <v>ООО "КОМБАТ"</v>
      </c>
      <c r="K16244" s="24" t="s">
        <v>8784</v>
      </c>
      <c r="L16244" s="22" t="s">
        <v>10</v>
      </c>
      <c r="M16244" s="25">
        <v>146500</v>
      </c>
      <c r="N16244" s="27">
        <v>0.7907142857142857</v>
      </c>
    </row>
    <row r="16245" spans="1:14" x14ac:dyDescent="0.15">
      <c r="A16245" s="23" t="str">
        <f>HYPERLINK("https://www.spark-marketing.ru/Card/Person/6441930", "МБДОУ ""ЦРР-ДЕТСКИЙ САД № 95 ""МЫ"" НМР РТ")</f>
        <v>МБДОУ "ЦРР-ДЕТСКИЙ САД № 95 "МЫ" НМР РТ</v>
      </c>
      <c r="B16245" s="24" t="s">
        <v>15114</v>
      </c>
      <c r="C16245" s="25">
        <v>7500</v>
      </c>
      <c r="D16245" s="22" t="s">
        <v>18667</v>
      </c>
      <c r="E16245" s="22" t="s">
        <v>53</v>
      </c>
      <c r="F16245" s="23" t="str">
        <f>HYPERLINK("https://www.spark-marketing.ru/Card/Lot/73688318", "Техническое обслуживание системы видеонаблюдения")</f>
        <v>Техническое обслуживание системы видеонаблюдения</v>
      </c>
      <c r="G16245" s="22" t="s">
        <v>204</v>
      </c>
      <c r="H16245" s="22" t="s">
        <v>824</v>
      </c>
      <c r="I16245" s="26">
        <v>43496.000694444403</v>
      </c>
      <c r="J16245" s="28" t="s">
        <v>52</v>
      </c>
      <c r="K16245" s="28" t="s">
        <v>52</v>
      </c>
      <c r="L16245" s="28" t="s">
        <v>52</v>
      </c>
      <c r="M16245" s="28" t="s">
        <v>52</v>
      </c>
      <c r="N16245" s="28" t="s">
        <v>52</v>
      </c>
    </row>
    <row r="16246" spans="1:14" x14ac:dyDescent="0.15">
      <c r="A16246" s="23" t="str">
        <f>HYPERLINK("https://www.spark-marketing.ru/Card/Person/6450322", "ЗАКАЗЧИК РП БЕЛАРУСЬ")</f>
        <v>ЗАКАЗЧИК РП БЕЛАРУСЬ</v>
      </c>
      <c r="B16246" s="28" t="s">
        <v>52</v>
      </c>
      <c r="C16246" s="25">
        <v>122461.6</v>
      </c>
      <c r="D16246" s="22" t="s">
        <v>18668</v>
      </c>
      <c r="E16246" s="22" t="s">
        <v>53</v>
      </c>
      <c r="F16246" s="23" t="str">
        <f>HYPERLINK("https://www.spark-marketing.ru/Card/Lot/67597762", "Услуги по техническому обслуживанию систем видеонаблюдения, охранной сигнализации, контроля и управления доступом, системы радиационного контроля, системы защиты от краж.")</f>
        <v>Услуги по техническому обслуживанию систем видеонаблюдения, охранной сигнализации, контроля и управления доступом, системы радиационного контроля, системы защиты от краж.</v>
      </c>
      <c r="G16246" s="22" t="s">
        <v>52</v>
      </c>
      <c r="H16246" s="22" t="s">
        <v>52</v>
      </c>
      <c r="I16246" s="26">
        <v>43496</v>
      </c>
      <c r="J16246" s="28" t="s">
        <v>52</v>
      </c>
      <c r="K16246" s="28" t="s">
        <v>52</v>
      </c>
      <c r="L16246" s="28" t="s">
        <v>52</v>
      </c>
      <c r="M16246" s="28" t="s">
        <v>52</v>
      </c>
      <c r="N16246" s="28" t="s">
        <v>52</v>
      </c>
    </row>
    <row r="16247" spans="1:14" x14ac:dyDescent="0.15">
      <c r="A16247" s="23" t="str">
        <f>HYPERLINK("https://www.spark-marketing.ru/Card/Person/93797", "АДМИНИСТРАЦИЯ ГОРОДА КОДИНСК")</f>
        <v>АДМИНИСТРАЦИЯ ГОРОДА КОДИНСК</v>
      </c>
      <c r="B16247" s="24" t="s">
        <v>18669</v>
      </c>
      <c r="C16247" s="25">
        <v>283794</v>
      </c>
      <c r="D16247" s="22" t="s">
        <v>18670</v>
      </c>
      <c r="E16247" s="22" t="s">
        <v>68</v>
      </c>
      <c r="F16247" s="23" t="str">
        <f>HYPERLINK("https://www.spark-marketing.ru/Card/Lot/67598441", "Мероприятия по профилактике антитеррористической защищенности при проведении массовых мероприятий")</f>
        <v>Мероприятия по профилактике антитеррористической защищенности при проведении массовых мероприятий</v>
      </c>
      <c r="G16247" s="22" t="s">
        <v>640</v>
      </c>
      <c r="H16247" s="22" t="s">
        <v>8233</v>
      </c>
      <c r="I16247" s="26">
        <v>43496</v>
      </c>
      <c r="J16247" s="23" t="str">
        <f>HYPERLINK("https://www.spark-marketing.ru/Card/Person/162194", "Бедрицкий Василий Васильевич")</f>
        <v>Бедрицкий Василий Васильевич</v>
      </c>
      <c r="K16247" s="24" t="s">
        <v>18671</v>
      </c>
      <c r="L16247" s="22" t="s">
        <v>10</v>
      </c>
      <c r="M16247" s="28" t="s">
        <v>52</v>
      </c>
      <c r="N16247" s="28" t="s">
        <v>52</v>
      </c>
    </row>
    <row r="16248" spans="1:14" x14ac:dyDescent="0.15">
      <c r="A16248" s="23" t="str">
        <f>HYPERLINK("https://www.spark-marketing.ru/Card/Person/145264", "УПРАВЛЕНИЕ МИРОВЫХ СУДЕЙ ОРЛОВСКОЙ ОБЛАСТИ")</f>
        <v>УПРАВЛЕНИЕ МИРОВЫХ СУДЕЙ ОРЛОВСКОЙ ОБЛАСТИ</v>
      </c>
      <c r="B16248" s="24" t="s">
        <v>18658</v>
      </c>
      <c r="C16248" s="25">
        <v>16405.68</v>
      </c>
      <c r="D16248" s="22" t="s">
        <v>18672</v>
      </c>
      <c r="E16248" s="22" t="s">
        <v>208</v>
      </c>
      <c r="F16248" s="23" t="str">
        <f>HYPERLINK("https://www.spark-marketing.ru/Card/Lot/67611712", "Услуги органов охраны правопорядка (тревожная кнопка) судебного участка мировых судей г. Ливны и Ливенского района Орловской области.")</f>
        <v>Услуги органов охраны правопорядка (тревожная кнопка) судебного участка мировых судей г. Ливны и Ливенского района Орловской области.</v>
      </c>
      <c r="G16248" s="22" t="s">
        <v>492</v>
      </c>
      <c r="H16248" s="22" t="s">
        <v>9270</v>
      </c>
      <c r="I16248" s="26">
        <v>43496</v>
      </c>
      <c r="J16248" s="28" t="s">
        <v>52</v>
      </c>
      <c r="K16248" s="28" t="s">
        <v>52</v>
      </c>
      <c r="L16248" s="28" t="s">
        <v>52</v>
      </c>
      <c r="M16248" s="28" t="s">
        <v>52</v>
      </c>
      <c r="N16248" s="28" t="s">
        <v>52</v>
      </c>
    </row>
    <row r="16249" spans="1:14" x14ac:dyDescent="0.15">
      <c r="A16249" s="23" t="str">
        <f>HYPERLINK("https://www.spark-marketing.ru/Card/Person/13843", "ФКУ УПРДОР ""ТАМАНЬ""")</f>
        <v>ФКУ УПРДОР "ТАМАНЬ"</v>
      </c>
      <c r="B16249" s="24" t="s">
        <v>18673</v>
      </c>
      <c r="C16249" s="25">
        <v>105244310</v>
      </c>
      <c r="D16249" s="22" t="s">
        <v>18674</v>
      </c>
      <c r="E16249" s="22" t="s">
        <v>218</v>
      </c>
      <c r="F16249" s="23" t="str">
        <f>HYPERLINK("https://www.spark-marketing.ru/Card/Lot/67610385", "Оказание услуг по осуществлению строительного контроля за выполнением работ по оснащению инженерно-техническими системами обеспечения транспортной безопасности (с выполнением пусконаладочных работ) транспортного перехода через Керченский пролив в рам...")</f>
        <v>Оказание услуг по осуществлению строительного контроля за выполнением работ по оснащению инженерно-техническими системами обеспечения транспортной безопасности (с выполнением пусконаладочных работ) транспортного перехода через Керченский пролив в рам...</v>
      </c>
      <c r="G16249" s="22" t="s">
        <v>132</v>
      </c>
      <c r="H16249" s="22" t="s">
        <v>132</v>
      </c>
      <c r="I16249" s="26">
        <v>43496</v>
      </c>
      <c r="J16249" s="28" t="s">
        <v>52</v>
      </c>
      <c r="K16249" s="28" t="s">
        <v>52</v>
      </c>
      <c r="L16249" s="28" t="s">
        <v>52</v>
      </c>
      <c r="M16249" s="28" t="s">
        <v>52</v>
      </c>
      <c r="N16249" s="28" t="s">
        <v>52</v>
      </c>
    </row>
    <row r="16250" spans="1:14" hidden="1" outlineLevel="1" x14ac:dyDescent="0.2">
      <c r="A16250" s="23" t="str">
        <f>HYPERLINK("https://www.spark-marketing.ru/Card/Person/13843", "ФКУ УПРДОР ""ТАМАНЬ""")</f>
        <v>ФКУ УПРДОР "ТАМАНЬ"</v>
      </c>
      <c r="B16250" s="24" t="s">
        <v>18673</v>
      </c>
      <c r="C16250" s="25">
        <v>105244310</v>
      </c>
      <c r="D16250" s="22" t="s">
        <v>18674</v>
      </c>
      <c r="E16250" s="22" t="s">
        <v>218</v>
      </c>
      <c r="F16250" s="23" t="str">
        <f>HYPERLINK("https://www.spark-marketing.ru/Card/Lot/67610385", "Оказание услуг по осуществлению строительного контроля за выполнением работ по оснащению инженерно-техническими системами обеспечения транспортной безопасности (с выполнением пусконаладочных работ) транспортного перехода через Керченский пролив в рам...")</f>
        <v>Оказание услуг по осуществлению строительного контроля за выполнением работ по оснащению инженерно-техническими системами обеспечения транспортной безопасности (с выполнением пусконаладочных работ) транспортного перехода через Керченский пролив в рам...</v>
      </c>
      <c r="G16250" s="22" t="s">
        <v>132</v>
      </c>
      <c r="H16250" s="22" t="s">
        <v>132</v>
      </c>
      <c r="I16250" s="26">
        <v>43496</v>
      </c>
      <c r="J16250" s="23" t="str">
        <f>HYPERLINK("https://www.spark-marketing.ru/Card/Person/20706", "ООО ""ЦВБ""")</f>
        <v>ООО "ЦВБ"</v>
      </c>
      <c r="K16250" s="24" t="s">
        <v>2872</v>
      </c>
      <c r="L16250" s="28" t="s">
        <v>52</v>
      </c>
      <c r="M16250" s="25">
        <v>105000000</v>
      </c>
      <c r="N16250" s="27">
        <v>2.3213606512314062E-3</v>
      </c>
    </row>
    <row r="16251" spans="1:14" hidden="1" outlineLevel="1" x14ac:dyDescent="0.2">
      <c r="A16251" s="23" t="str">
        <f>HYPERLINK("https://www.spark-marketing.ru/Card/Person/13843", "ФКУ УПРДОР ""ТАМАНЬ""")</f>
        <v>ФКУ УПРДОР "ТАМАНЬ"</v>
      </c>
      <c r="B16251" s="24" t="s">
        <v>18673</v>
      </c>
      <c r="C16251" s="25">
        <v>105244310</v>
      </c>
      <c r="D16251" s="22" t="s">
        <v>18674</v>
      </c>
      <c r="E16251" s="22" t="s">
        <v>218</v>
      </c>
      <c r="F16251" s="23" t="str">
        <f>HYPERLINK("https://www.spark-marketing.ru/Card/Lot/67610385", "Оказание услуг по осуществлению строительного контроля за выполнением работ по оснащению инженерно-техническими системами обеспечения транспортной безопасности (с выполнением пусконаладочных работ) транспортного перехода через Керченский пролив в рам...")</f>
        <v>Оказание услуг по осуществлению строительного контроля за выполнением работ по оснащению инженерно-техническими системами обеспечения транспортной безопасности (с выполнением пусконаладочных работ) транспортного перехода через Керченский пролив в рам...</v>
      </c>
      <c r="G16251" s="22" t="s">
        <v>132</v>
      </c>
      <c r="H16251" s="22" t="s">
        <v>132</v>
      </c>
      <c r="I16251" s="26">
        <v>43496</v>
      </c>
      <c r="J16251" s="23" t="str">
        <f>HYPERLINK("https://www.spark-marketing.ru/Card/Person/31730", "ФГУП ""СВЭКО""")</f>
        <v>ФГУП "СВЭКО"</v>
      </c>
      <c r="K16251" s="24" t="s">
        <v>10771</v>
      </c>
      <c r="L16251" s="28" t="s">
        <v>52</v>
      </c>
      <c r="M16251" s="25">
        <v>47359939.5</v>
      </c>
      <c r="N16251" s="27">
        <v>0.55000000000000004</v>
      </c>
    </row>
    <row r="16252" spans="1:14" hidden="1" outlineLevel="1" x14ac:dyDescent="0.2">
      <c r="A16252" s="23" t="str">
        <f>HYPERLINK("https://www.spark-marketing.ru/Card/Person/13843", "ФКУ УПРДОР ""ТАМАНЬ""")</f>
        <v>ФКУ УПРДОР "ТАМАНЬ"</v>
      </c>
      <c r="B16252" s="24" t="s">
        <v>18673</v>
      </c>
      <c r="C16252" s="25">
        <v>105244310</v>
      </c>
      <c r="D16252" s="22" t="s">
        <v>18674</v>
      </c>
      <c r="E16252" s="22" t="s">
        <v>218</v>
      </c>
      <c r="F16252" s="23" t="str">
        <f>HYPERLINK("https://www.spark-marketing.ru/Card/Lot/67610385", "Оказание услуг по осуществлению строительного контроля за выполнением работ по оснащению инженерно-техническими системами обеспечения транспортной безопасности (с выполнением пусконаладочных работ) транспортного перехода через Керченский пролив в рам...")</f>
        <v>Оказание услуг по осуществлению строительного контроля за выполнением работ по оснащению инженерно-техническими системами обеспечения транспортной безопасности (с выполнением пусконаладочных работ) транспортного перехода через Керченский пролив в рам...</v>
      </c>
      <c r="G16252" s="22" t="s">
        <v>132</v>
      </c>
      <c r="H16252" s="22" t="s">
        <v>132</v>
      </c>
      <c r="I16252" s="26">
        <v>43496</v>
      </c>
      <c r="J16252" s="23" t="str">
        <f>HYPERLINK("https://www.spark-marketing.ru/Card/Person/65561", "ООО ""ВЕСТ""")</f>
        <v>ООО "ВЕСТ"</v>
      </c>
      <c r="K16252" s="24" t="s">
        <v>2492</v>
      </c>
      <c r="L16252" s="28" t="s">
        <v>52</v>
      </c>
      <c r="M16252" s="25">
        <v>30000000</v>
      </c>
      <c r="N16252" s="27">
        <v>0.71494896018606613</v>
      </c>
    </row>
    <row r="16253" spans="1:14" ht="12.75" hidden="1" outlineLevel="1" x14ac:dyDescent="0.2">
      <c r="A16253" s="23" t="str">
        <f>HYPERLINK("https://www.spark-marketing.ru/Card/Person/13843", "ФКУ УПРДОР ""ТАМАНЬ""")</f>
        <v>ФКУ УПРДОР "ТАМАНЬ"</v>
      </c>
      <c r="B16253" s="24" t="s">
        <v>18673</v>
      </c>
      <c r="C16253" s="25">
        <v>105244310</v>
      </c>
      <c r="D16253" s="22" t="s">
        <v>18674</v>
      </c>
      <c r="E16253" s="22" t="s">
        <v>218</v>
      </c>
      <c r="F16253" s="23" t="str">
        <f>HYPERLINK("https://www.spark-marketing.ru/Card/Lot/67610385", "Оказание услуг по осуществлению строительного контроля за выполнением работ по оснащению инженерно-техническими системами обеспечения транспортной безопасности (с выполнением пусконаладочных работ) транспортного перехода через Керченский пролив в рам...")</f>
        <v>Оказание услуг по осуществлению строительного контроля за выполнением работ по оснащению инженерно-техническими системами обеспечения транспортной безопасности (с выполнением пусконаладочных работ) транспортного перехода через Керченский пролив в рам...</v>
      </c>
      <c r="G16253" s="22" t="s">
        <v>132</v>
      </c>
      <c r="H16253" s="22" t="s">
        <v>132</v>
      </c>
      <c r="I16253" s="26">
        <v>43496</v>
      </c>
      <c r="J16253" s="23" t="str">
        <f>HYPERLINK("https://www.spark-marketing.ru/Card/Person/1156202", "АО ""ЛЕНСТРОЙ""")</f>
        <v>АО "ЛЕНСТРОЙ"</v>
      </c>
      <c r="K16253" s="24" t="s">
        <v>18675</v>
      </c>
      <c r="L16253" s="22" t="s">
        <v>10</v>
      </c>
      <c r="M16253" s="25">
        <v>43900000</v>
      </c>
      <c r="N16253" s="27">
        <v>0.58287531173894347</v>
      </c>
    </row>
    <row r="16254" spans="1:14" x14ac:dyDescent="0.15">
      <c r="A16254" s="23" t="str">
        <f>HYPERLINK("https://www.spark-marketing.ru/Card/Person/61374", "ГБДОУ ДЕТСКИЙ САД № 8 КОЛПИНСКОГО РАЙОНА СПБ")</f>
        <v>ГБДОУ ДЕТСКИЙ САД № 8 КОЛПИНСКОГО РАЙОНА СПБ</v>
      </c>
      <c r="B16254" s="24" t="s">
        <v>18676</v>
      </c>
      <c r="C16254" s="25">
        <v>564720</v>
      </c>
      <c r="D16254" s="22" t="s">
        <v>18677</v>
      </c>
      <c r="E16254" s="22" t="s">
        <v>68</v>
      </c>
      <c r="F16254" s="23" t="str">
        <f>HYPERLINK("https://www.spark-marketing.ru/Card/Lot/67585853", "Оказание услуг по организации и обеспечению охраны объекта и имущества, а также обеспечение внутриобъектового и пропускного режима на объекте, в отношении которого установлены обязательные для выполнения требования к антитеррористической защищенности...")</f>
        <v>Оказание услуг по организации и обеспечению охраны объекта и имущества, а также обеспечение внутриобъектового и пропускного режима на объекте, в отношении которого установлены обязательные для выполнения требования к антитеррористической защищенности...</v>
      </c>
      <c r="G16254" s="22" t="s">
        <v>89</v>
      </c>
      <c r="H16254" s="22" t="s">
        <v>89</v>
      </c>
      <c r="I16254" s="26">
        <v>43496</v>
      </c>
      <c r="J16254" s="23" t="str">
        <f>HYPERLINK("https://www.spark-marketing.ru/Card/Person/27570", "ООО ""ОО ""ИНСАР""")</f>
        <v>ООО "ОО "ИНСАР"</v>
      </c>
      <c r="K16254" s="24" t="s">
        <v>6890</v>
      </c>
      <c r="L16254" s="22" t="s">
        <v>10</v>
      </c>
      <c r="M16254" s="28" t="s">
        <v>52</v>
      </c>
      <c r="N16254" s="28" t="s">
        <v>52</v>
      </c>
    </row>
    <row r="16255" spans="1:14" x14ac:dyDescent="0.15">
      <c r="A16255" s="23" t="str">
        <f>HYPERLINK("https://www.spark-marketing.ru/Card/Person/132387", "МЕЖРАЙОННАЯ ИФНС РОССИИ № 6 ПО ВОРОНЕЖСКОЙ ОБЛАСТИ")</f>
        <v>МЕЖРАЙОННАЯ ИФНС РОССИИ № 6 ПО ВОРОНЕЖСКОЙ ОБЛАСТИ</v>
      </c>
      <c r="B16255" s="24" t="s">
        <v>18678</v>
      </c>
      <c r="C16255" s="25">
        <v>36444.51</v>
      </c>
      <c r="D16255" s="22" t="s">
        <v>18679</v>
      </c>
      <c r="E16255" s="22" t="s">
        <v>68</v>
      </c>
      <c r="F16255" s="23" t="str">
        <f>HYPERLINK("https://www.spark-marketing.ru/Card/Lot/67608181", "Централизованная охрана объектов")</f>
        <v>Централизованная охрана объектов</v>
      </c>
      <c r="G16255" s="22" t="s">
        <v>552</v>
      </c>
      <c r="H16255" s="22" t="s">
        <v>552</v>
      </c>
      <c r="I16255" s="26">
        <v>43496</v>
      </c>
      <c r="J16255" s="28" t="s">
        <v>52</v>
      </c>
      <c r="K16255" s="28" t="s">
        <v>52</v>
      </c>
      <c r="L16255" s="28" t="s">
        <v>52</v>
      </c>
      <c r="M16255" s="28" t="s">
        <v>52</v>
      </c>
      <c r="N16255" s="28" t="s">
        <v>52</v>
      </c>
    </row>
    <row r="16256" spans="1:14" x14ac:dyDescent="0.15">
      <c r="A16256" s="23" t="str">
        <f>HYPERLINK("https://www.spark-marketing.ru/Card/Person/14849", "СУ СК РОССИИ ПО СМОЛЕНСКОЙ ОБЛАСТИ")</f>
        <v>СУ СК РОССИИ ПО СМОЛЕНСКОЙ ОБЛАСТИ</v>
      </c>
      <c r="B16256" s="24" t="s">
        <v>18680</v>
      </c>
      <c r="C16256" s="25">
        <v>73646.880000000005</v>
      </c>
      <c r="D16256" s="22" t="s">
        <v>18681</v>
      </c>
      <c r="E16256" s="22" t="s">
        <v>68</v>
      </c>
      <c r="F16256" s="23" t="str">
        <f>HYPERLINK("https://www.spark-marketing.ru/Card/Lot/67592677", "охрана имущества при помощи пульта централизованного наблюдения (г.Демидов)")</f>
        <v>охрана имущества при помощи пульта централизованного наблюдения (г.Демидов)</v>
      </c>
      <c r="G16256" s="22" t="s">
        <v>956</v>
      </c>
      <c r="H16256" s="22" t="s">
        <v>956</v>
      </c>
      <c r="I16256" s="26">
        <v>43496</v>
      </c>
      <c r="J16256" s="28" t="s">
        <v>52</v>
      </c>
      <c r="K16256" s="28" t="s">
        <v>52</v>
      </c>
      <c r="L16256" s="28" t="s">
        <v>52</v>
      </c>
      <c r="M16256" s="28" t="s">
        <v>52</v>
      </c>
      <c r="N16256" s="28" t="s">
        <v>52</v>
      </c>
    </row>
    <row r="16257" spans="1:14" x14ac:dyDescent="0.15">
      <c r="A16257" s="23" t="str">
        <f>HYPERLINK("https://www.spark-marketing.ru/Card/Person/54840", "ГБУЗ ""ГОРОДСКАЯ БОЛЬНИЦА № 1 Г. КОРКИНО""")</f>
        <v>ГБУЗ "ГОРОДСКАЯ БОЛЬНИЦА № 1 Г. КОРКИНО"</v>
      </c>
      <c r="B16257" s="24" t="s">
        <v>18682</v>
      </c>
      <c r="C16257" s="25">
        <v>225134.28</v>
      </c>
      <c r="D16257" s="22" t="s">
        <v>18683</v>
      </c>
      <c r="E16257" s="22" t="s">
        <v>68</v>
      </c>
      <c r="F16257" s="23" t="str">
        <f>HYPERLINK("https://www.spark-marketing.ru/Card/Lot/67604101", "Услуги по охране объекта с помощью технических средств охраны")</f>
        <v>Услуги по охране объекта с помощью технических средств охраны</v>
      </c>
      <c r="G16257" s="22" t="s">
        <v>60</v>
      </c>
      <c r="H16257" s="22" t="s">
        <v>14432</v>
      </c>
      <c r="I16257" s="26">
        <v>43496</v>
      </c>
      <c r="J16257" s="28" t="s">
        <v>52</v>
      </c>
      <c r="K16257" s="28" t="s">
        <v>52</v>
      </c>
      <c r="L16257" s="28" t="s">
        <v>52</v>
      </c>
      <c r="M16257" s="28" t="s">
        <v>52</v>
      </c>
      <c r="N16257" s="28" t="s">
        <v>52</v>
      </c>
    </row>
    <row r="16258" spans="1:14" x14ac:dyDescent="0.15">
      <c r="A16258" s="23" t="str">
        <f>HYPERLINK("https://www.spark-marketing.ru/Card/Person/1049599", "ГКУЗ МЦ ""РЕЗЕРВ""")</f>
        <v>ГКУЗ МЦ "РЕЗЕРВ"</v>
      </c>
      <c r="B16258" s="24" t="s">
        <v>18644</v>
      </c>
      <c r="C16258" s="25">
        <v>1260000</v>
      </c>
      <c r="D16258" s="22" t="s">
        <v>18684</v>
      </c>
      <c r="E16258" s="22" t="s">
        <v>68</v>
      </c>
      <c r="F16258" s="23" t="str">
        <f>HYPERLINK("https://www.spark-marketing.ru/Card/Lot/67602288", "Охрана имущества на объекте")</f>
        <v>Охрана имущества на объекте</v>
      </c>
      <c r="G16258" s="22" t="s">
        <v>89</v>
      </c>
      <c r="H16258" s="22" t="s">
        <v>89</v>
      </c>
      <c r="I16258" s="26">
        <v>43496</v>
      </c>
      <c r="J16258" s="28" t="s">
        <v>52</v>
      </c>
      <c r="K16258" s="28" t="s">
        <v>52</v>
      </c>
      <c r="L16258" s="28" t="s">
        <v>52</v>
      </c>
      <c r="M16258" s="28" t="s">
        <v>52</v>
      </c>
      <c r="N16258" s="28" t="s">
        <v>52</v>
      </c>
    </row>
    <row r="16259" spans="1:14" x14ac:dyDescent="0.15">
      <c r="A16259" s="23" t="str">
        <f>HYPERLINK("https://www.spark-marketing.ru/Card/Person/1049599", "ГКУЗ МЦ ""РЕЗЕРВ""")</f>
        <v>ГКУЗ МЦ "РЕЗЕРВ"</v>
      </c>
      <c r="B16259" s="24" t="s">
        <v>18644</v>
      </c>
      <c r="C16259" s="25">
        <v>1260000</v>
      </c>
      <c r="D16259" s="22" t="s">
        <v>18685</v>
      </c>
      <c r="E16259" s="22" t="s">
        <v>68</v>
      </c>
      <c r="F16259" s="23" t="str">
        <f>HYPERLINK("https://www.spark-marketing.ru/Card/Lot/67602289", "Охрана имущества на объекте")</f>
        <v>Охрана имущества на объекте</v>
      </c>
      <c r="G16259" s="22" t="s">
        <v>89</v>
      </c>
      <c r="H16259" s="22" t="s">
        <v>89</v>
      </c>
      <c r="I16259" s="26">
        <v>43496</v>
      </c>
      <c r="J16259" s="28" t="s">
        <v>52</v>
      </c>
      <c r="K16259" s="28" t="s">
        <v>52</v>
      </c>
      <c r="L16259" s="28" t="s">
        <v>52</v>
      </c>
      <c r="M16259" s="28" t="s">
        <v>52</v>
      </c>
      <c r="N16259" s="28" t="s">
        <v>52</v>
      </c>
    </row>
    <row r="16260" spans="1:14" x14ac:dyDescent="0.15">
      <c r="A16260" s="23" t="str">
        <f>HYPERLINK("https://www.spark-marketing.ru/Card/Person/1049599", "ГКУЗ МЦ ""РЕЗЕРВ""")</f>
        <v>ГКУЗ МЦ "РЕЗЕРВ"</v>
      </c>
      <c r="B16260" s="24" t="s">
        <v>18644</v>
      </c>
      <c r="C16260" s="25">
        <v>1260000</v>
      </c>
      <c r="D16260" s="22" t="s">
        <v>18686</v>
      </c>
      <c r="E16260" s="22" t="s">
        <v>68</v>
      </c>
      <c r="F16260" s="23" t="str">
        <f>HYPERLINK("https://www.spark-marketing.ru/Card/Lot/67602286", "Охрана имущества на объекте")</f>
        <v>Охрана имущества на объекте</v>
      </c>
      <c r="G16260" s="22" t="s">
        <v>89</v>
      </c>
      <c r="H16260" s="22" t="s">
        <v>89</v>
      </c>
      <c r="I16260" s="26">
        <v>43496</v>
      </c>
      <c r="J16260" s="28" t="s">
        <v>52</v>
      </c>
      <c r="K16260" s="28" t="s">
        <v>52</v>
      </c>
      <c r="L16260" s="28" t="s">
        <v>52</v>
      </c>
      <c r="M16260" s="28" t="s">
        <v>52</v>
      </c>
      <c r="N16260" s="28" t="s">
        <v>52</v>
      </c>
    </row>
    <row r="16261" spans="1:14" x14ac:dyDescent="0.15">
      <c r="A16261" s="23" t="str">
        <f>HYPERLINK("https://www.spark-marketing.ru/Card/Person/4350925", "УД ГС РК")</f>
        <v>УД ГС РК</v>
      </c>
      <c r="B16261" s="24" t="s">
        <v>15705</v>
      </c>
      <c r="C16261" s="25">
        <v>1395637.31</v>
      </c>
      <c r="D16261" s="22" t="s">
        <v>18687</v>
      </c>
      <c r="E16261" s="22" t="s">
        <v>68</v>
      </c>
      <c r="F16261" s="23" t="str">
        <f>HYPERLINK("https://www.spark-marketing.ru/Card/Lot/67598704", "Охрана объекта недвижимости - территории, находящейся в оперативном управлении Управления делами Государственного Совета Республики Крым, расположенной по адресу: г. Симферополь, ул. Объездная 7")</f>
        <v>Охрана объекта недвижимости - территории, находящейся в оперативном управлении Управления делами Государственного Совета Республики Крым, расположенной по адресу: г. Симферополь, ул. Объездная 7</v>
      </c>
      <c r="G16261" s="22" t="s">
        <v>1053</v>
      </c>
      <c r="H16261" s="22" t="s">
        <v>3239</v>
      </c>
      <c r="I16261" s="26">
        <v>43496</v>
      </c>
      <c r="J16261" s="23" t="str">
        <f>HYPERLINK("https://www.spark-marketing.ru/Card/Person/5860277", "ООО ""ЧОП ""ДЕМИУРГ""")</f>
        <v>ООО "ЧОП "ДЕМИУРГ"</v>
      </c>
      <c r="K16261" s="24" t="s">
        <v>18688</v>
      </c>
      <c r="L16261" s="28" t="s">
        <v>52</v>
      </c>
      <c r="M16261" s="28" t="s">
        <v>52</v>
      </c>
      <c r="N16261" s="28" t="s">
        <v>52</v>
      </c>
    </row>
    <row r="16262" spans="1:14" hidden="1" outlineLevel="1" x14ac:dyDescent="0.2">
      <c r="A16262" s="23" t="str">
        <f>HYPERLINK("https://www.spark-marketing.ru/Card/Person/4350925", "УД ГС РК")</f>
        <v>УД ГС РК</v>
      </c>
      <c r="B16262" s="24" t="s">
        <v>15705</v>
      </c>
      <c r="C16262" s="25">
        <v>1395637.31</v>
      </c>
      <c r="D16262" s="22" t="s">
        <v>18687</v>
      </c>
      <c r="E16262" s="22" t="s">
        <v>68</v>
      </c>
      <c r="F16262" s="23" t="str">
        <f>HYPERLINK("https://www.spark-marketing.ru/Card/Lot/67598704", "Охрана объекта недвижимости - территории, находящейся в оперативном управлении Управления делами Государственного Совета Республики Крым, расположенной по адресу: г. Симферополь, ул. Объездная 7")</f>
        <v>Охрана объекта недвижимости - территории, находящейся в оперативном управлении Управления делами Государственного Совета Республики Крым, расположенной по адресу: г. Симферополь, ул. Объездная 7</v>
      </c>
      <c r="G16262" s="22" t="s">
        <v>1053</v>
      </c>
      <c r="H16262" s="22" t="s">
        <v>3239</v>
      </c>
      <c r="I16262" s="26">
        <v>43496</v>
      </c>
      <c r="J16262" s="23" t="str">
        <f>HYPERLINK("https://www.spark-marketing.ru/Card/Person/5860277", "ООО ""ЧОП ""ДЕМИУРГ""")</f>
        <v>ООО "ЧОП "ДЕМИУРГ"</v>
      </c>
      <c r="K16262" s="24" t="s">
        <v>18688</v>
      </c>
      <c r="L16262" s="28" t="s">
        <v>52</v>
      </c>
      <c r="M16262" s="25">
        <v>1395630</v>
      </c>
      <c r="N16262" s="27">
        <v>5.2377504869083787E-6</v>
      </c>
    </row>
    <row r="16263" spans="1:14" x14ac:dyDescent="0.15">
      <c r="A16263" s="23" t="str">
        <f>HYPERLINK("https://www.spark-marketing.ru/Card/Person/14849", "СУ СК РОССИИ ПО СМОЛЕНСКОЙ ОБЛАСТИ")</f>
        <v>СУ СК РОССИИ ПО СМОЛЕНСКОЙ ОБЛАСТИ</v>
      </c>
      <c r="B16263" s="24" t="s">
        <v>18680</v>
      </c>
      <c r="C16263" s="25">
        <v>55740</v>
      </c>
      <c r="D16263" s="22" t="s">
        <v>18689</v>
      </c>
      <c r="E16263" s="22" t="s">
        <v>68</v>
      </c>
      <c r="F16263" s="23" t="str">
        <f>HYPERLINK("https://www.spark-marketing.ru/Card/Lot/67591831", "охрана имущества при помощи пульта централизованного наблюдения (г.Гагарин)")</f>
        <v>охрана имущества при помощи пульта централизованного наблюдения (г.Гагарин)</v>
      </c>
      <c r="G16263" s="22" t="s">
        <v>956</v>
      </c>
      <c r="H16263" s="22" t="s">
        <v>956</v>
      </c>
      <c r="I16263" s="26">
        <v>43496</v>
      </c>
      <c r="J16263" s="28" t="s">
        <v>52</v>
      </c>
      <c r="K16263" s="28" t="s">
        <v>52</v>
      </c>
      <c r="L16263" s="28" t="s">
        <v>52</v>
      </c>
      <c r="M16263" s="28" t="s">
        <v>52</v>
      </c>
      <c r="N16263" s="28" t="s">
        <v>52</v>
      </c>
    </row>
    <row r="16264" spans="1:14" x14ac:dyDescent="0.15">
      <c r="A16264" s="23" t="str">
        <f>HYPERLINK("https://www.spark-marketing.ru/Card/Person/1049599", "ГКУЗ МЦ ""РЕЗЕРВ""")</f>
        <v>ГКУЗ МЦ "РЕЗЕРВ"</v>
      </c>
      <c r="B16264" s="24" t="s">
        <v>18644</v>
      </c>
      <c r="C16264" s="25">
        <v>1260000</v>
      </c>
      <c r="D16264" s="22" t="s">
        <v>18690</v>
      </c>
      <c r="E16264" s="22" t="s">
        <v>68</v>
      </c>
      <c r="F16264" s="23" t="str">
        <f>HYPERLINK("https://www.spark-marketing.ru/Card/Lot/67602285", "Охрана имущества на объекте")</f>
        <v>Охрана имущества на объекте</v>
      </c>
      <c r="G16264" s="22" t="s">
        <v>89</v>
      </c>
      <c r="H16264" s="22" t="s">
        <v>89</v>
      </c>
      <c r="I16264" s="26">
        <v>43496</v>
      </c>
      <c r="J16264" s="28" t="s">
        <v>52</v>
      </c>
      <c r="K16264" s="28" t="s">
        <v>52</v>
      </c>
      <c r="L16264" s="28" t="s">
        <v>52</v>
      </c>
      <c r="M16264" s="28" t="s">
        <v>52</v>
      </c>
      <c r="N16264" s="28" t="s">
        <v>52</v>
      </c>
    </row>
    <row r="16265" spans="1:14" x14ac:dyDescent="0.15">
      <c r="A16265" s="23" t="str">
        <f>HYPERLINK("https://www.spark-marketing.ru/Card/Person/14849", "СУ СК РОССИИ ПО СМОЛЕНСКОЙ ОБЛАСТИ")</f>
        <v>СУ СК РОССИИ ПО СМОЛЕНСКОЙ ОБЛАСТИ</v>
      </c>
      <c r="B16265" s="24" t="s">
        <v>18680</v>
      </c>
      <c r="C16265" s="25">
        <v>50632.800000000003</v>
      </c>
      <c r="D16265" s="22" t="s">
        <v>18691</v>
      </c>
      <c r="E16265" s="22" t="s">
        <v>68</v>
      </c>
      <c r="F16265" s="23" t="str">
        <f>HYPERLINK("https://www.spark-marketing.ru/Card/Lot/67592790", "охрана объектов при помощи пульта централизованного наблюдения (г.Ярцево)")</f>
        <v>охрана объектов при помощи пульта централизованного наблюдения (г.Ярцево)</v>
      </c>
      <c r="G16265" s="22" t="s">
        <v>956</v>
      </c>
      <c r="H16265" s="22" t="s">
        <v>956</v>
      </c>
      <c r="I16265" s="26">
        <v>43496</v>
      </c>
      <c r="J16265" s="28" t="s">
        <v>52</v>
      </c>
      <c r="K16265" s="28" t="s">
        <v>52</v>
      </c>
      <c r="L16265" s="28" t="s">
        <v>52</v>
      </c>
      <c r="M16265" s="28" t="s">
        <v>52</v>
      </c>
      <c r="N16265" s="28" t="s">
        <v>52</v>
      </c>
    </row>
    <row r="16266" spans="1:14" x14ac:dyDescent="0.15">
      <c r="A16266" s="23" t="str">
        <f>HYPERLINK("https://www.spark-marketing.ru/Card/Person/6230397", "ГКУ ""ЦОУ ДМС""")</f>
        <v>ГКУ "ЦОУ ДМС"</v>
      </c>
      <c r="B16266" s="24" t="s">
        <v>18692</v>
      </c>
      <c r="C16266" s="25">
        <v>83749.2</v>
      </c>
      <c r="D16266" s="22" t="s">
        <v>18693</v>
      </c>
      <c r="E16266" s="22" t="s">
        <v>68</v>
      </c>
      <c r="F16266" s="23" t="str">
        <f>HYPERLINK("https://www.spark-marketing.ru/Card/Lot/67586701", "Оказание услуг по централизованной охране объекта Заказчика")</f>
        <v>Оказание услуг по централизованной охране объекта Заказчика</v>
      </c>
      <c r="G16266" s="22" t="s">
        <v>473</v>
      </c>
      <c r="H16266" s="22" t="s">
        <v>476</v>
      </c>
      <c r="I16266" s="26">
        <v>43496</v>
      </c>
      <c r="J16266" s="28" t="s">
        <v>52</v>
      </c>
      <c r="K16266" s="28" t="s">
        <v>52</v>
      </c>
      <c r="L16266" s="28" t="s">
        <v>52</v>
      </c>
      <c r="M16266" s="28" t="s">
        <v>52</v>
      </c>
      <c r="N16266" s="28" t="s">
        <v>52</v>
      </c>
    </row>
    <row r="16267" spans="1:14" x14ac:dyDescent="0.15">
      <c r="A16267" s="23" t="str">
        <f>HYPERLINK("https://www.spark-marketing.ru/Card/Person/949905", "РГИА ДВ")</f>
        <v>РГИА ДВ</v>
      </c>
      <c r="B16267" s="24" t="s">
        <v>18694</v>
      </c>
      <c r="C16267" s="25">
        <v>2061490.8</v>
      </c>
      <c r="D16267" s="22" t="s">
        <v>18695</v>
      </c>
      <c r="E16267" s="22" t="s">
        <v>68</v>
      </c>
      <c r="F16267" s="23" t="str">
        <f>HYPERLINK("https://www.spark-marketing.ru/Card/Lot/67579295", "Оказание услуг по обеспечению безопасности и охране объектов РГИА ДВ")</f>
        <v>Оказание услуг по обеспечению безопасности и охране объектов РГИА ДВ</v>
      </c>
      <c r="G16267" s="22" t="s">
        <v>409</v>
      </c>
      <c r="H16267" s="22" t="s">
        <v>878</v>
      </c>
      <c r="I16267" s="26">
        <v>43496</v>
      </c>
      <c r="J16267" s="28" t="s">
        <v>52</v>
      </c>
      <c r="K16267" s="28" t="s">
        <v>52</v>
      </c>
      <c r="L16267" s="28" t="s">
        <v>52</v>
      </c>
      <c r="M16267" s="28" t="s">
        <v>52</v>
      </c>
      <c r="N16267" s="28" t="s">
        <v>52</v>
      </c>
    </row>
    <row r="16268" spans="1:14" x14ac:dyDescent="0.15">
      <c r="A16268" s="23" t="str">
        <f>HYPERLINK("https://www.spark-marketing.ru/Card/Person/1049599", "ГКУЗ МЦ ""РЕЗЕРВ""")</f>
        <v>ГКУЗ МЦ "РЕЗЕРВ"</v>
      </c>
      <c r="B16268" s="24" t="s">
        <v>18644</v>
      </c>
      <c r="C16268" s="25">
        <v>1260000</v>
      </c>
      <c r="D16268" s="22" t="s">
        <v>18696</v>
      </c>
      <c r="E16268" s="22" t="s">
        <v>68</v>
      </c>
      <c r="F16268" s="23" t="str">
        <f>HYPERLINK("https://www.spark-marketing.ru/Card/Lot/67602287", "Охрана имущества на объекте")</f>
        <v>Охрана имущества на объекте</v>
      </c>
      <c r="G16268" s="22" t="s">
        <v>89</v>
      </c>
      <c r="H16268" s="22" t="s">
        <v>89</v>
      </c>
      <c r="I16268" s="26">
        <v>43496</v>
      </c>
      <c r="J16268" s="28" t="s">
        <v>52</v>
      </c>
      <c r="K16268" s="28" t="s">
        <v>52</v>
      </c>
      <c r="L16268" s="28" t="s">
        <v>52</v>
      </c>
      <c r="M16268" s="28" t="s">
        <v>52</v>
      </c>
      <c r="N16268" s="28" t="s">
        <v>52</v>
      </c>
    </row>
    <row r="16269" spans="1:14" x14ac:dyDescent="0.15">
      <c r="A16269" s="23" t="str">
        <f>HYPERLINK("https://www.spark-marketing.ru/Card/Person/85858", "ОГБУЗ ""ИВНЯНСКАЯ ЦРБ""")</f>
        <v>ОГБУЗ "ИВНЯНСКАЯ ЦРБ"</v>
      </c>
      <c r="B16269" s="24" t="s">
        <v>1372</v>
      </c>
      <c r="C16269" s="25">
        <v>27940</v>
      </c>
      <c r="D16269" s="22" t="s">
        <v>18697</v>
      </c>
      <c r="E16269" s="22" t="s">
        <v>349</v>
      </c>
      <c r="F16269" s="23" t="str">
        <f>HYPERLINK("https://www.spark-marketing.ru/Card/Lot/67578021", "оказание услуг по техническому обслуживание системы видеонаблюдения в зданиях ОГБУЗ «Ивнянская ЦРБ»")</f>
        <v>оказание услуг по техническому обслуживание системы видеонаблюдения в зданиях ОГБУЗ «Ивнянская ЦРБ»</v>
      </c>
      <c r="G16269" s="22" t="s">
        <v>176</v>
      </c>
      <c r="H16269" s="22" t="s">
        <v>1374</v>
      </c>
      <c r="I16269" s="26">
        <v>43495.917361111096</v>
      </c>
      <c r="J16269" s="28" t="s">
        <v>52</v>
      </c>
      <c r="K16269" s="28" t="s">
        <v>52</v>
      </c>
      <c r="L16269" s="28" t="s">
        <v>52</v>
      </c>
      <c r="M16269" s="28" t="s">
        <v>52</v>
      </c>
      <c r="N16269" s="28" t="s">
        <v>52</v>
      </c>
    </row>
    <row r="16270" spans="1:14" x14ac:dyDescent="0.15">
      <c r="A16270" s="23" t="str">
        <f>HYPERLINK("https://www.spark-marketing.ru/Card/Person/6181103", "МКУ ""УО СППД""")</f>
        <v>МКУ "УО СППД"</v>
      </c>
      <c r="B16270" s="24" t="s">
        <v>18698</v>
      </c>
      <c r="C16270" s="25">
        <v>31200</v>
      </c>
      <c r="D16270" s="22" t="s">
        <v>18699</v>
      </c>
      <c r="E16270" s="22" t="s">
        <v>107</v>
      </c>
      <c r="F16270" s="23" t="str">
        <f>HYPERLINK("https://www.spark-marketing.ru/Card/Lot/67577457", "Оказание услуг по техническому обслуживанию технических средств охраны")</f>
        <v>Оказание услуг по техническому обслуживанию технических средств охраны</v>
      </c>
      <c r="G16270" s="22" t="s">
        <v>50</v>
      </c>
      <c r="H16270" s="22" t="s">
        <v>2391</v>
      </c>
      <c r="I16270" s="26">
        <v>43495.845625000002</v>
      </c>
      <c r="J16270" s="28" t="s">
        <v>52</v>
      </c>
      <c r="K16270" s="28" t="s">
        <v>52</v>
      </c>
      <c r="L16270" s="28" t="s">
        <v>52</v>
      </c>
      <c r="M16270" s="28" t="s">
        <v>52</v>
      </c>
      <c r="N16270" s="28" t="s">
        <v>52</v>
      </c>
    </row>
    <row r="16271" spans="1:14" x14ac:dyDescent="0.15">
      <c r="A16271" s="23" t="str">
        <f>HYPERLINK("https://www.spark-marketing.ru/Card/Person/1005401", "МБУ ДО ЦДО")</f>
        <v>МБУ ДО ЦДО</v>
      </c>
      <c r="B16271" s="24" t="s">
        <v>18559</v>
      </c>
      <c r="C16271" s="25">
        <v>33864</v>
      </c>
      <c r="D16271" s="22" t="s">
        <v>18700</v>
      </c>
      <c r="E16271" s="22" t="s">
        <v>294</v>
      </c>
      <c r="F16271" s="23" t="str">
        <f>HYPERLINK("https://www.spark-marketing.ru/Card/Lot/67577282", "Выполнение работ по обслуживанию системы видеонаблюдения")</f>
        <v>Выполнение работ по обслуживанию системы видеонаблюдения</v>
      </c>
      <c r="G16271" s="22" t="s">
        <v>402</v>
      </c>
      <c r="H16271" s="22" t="s">
        <v>18561</v>
      </c>
      <c r="I16271" s="26">
        <v>43495.859027777798</v>
      </c>
      <c r="J16271" s="28" t="s">
        <v>52</v>
      </c>
      <c r="K16271" s="28" t="s">
        <v>52</v>
      </c>
      <c r="L16271" s="28" t="s">
        <v>52</v>
      </c>
      <c r="M16271" s="28" t="s">
        <v>52</v>
      </c>
      <c r="N16271" s="28" t="s">
        <v>52</v>
      </c>
    </row>
    <row r="16272" spans="1:14" x14ac:dyDescent="0.15">
      <c r="A16272" s="23" t="str">
        <f>HYPERLINK("https://www.spark-marketing.ru/Card/Person/1006841", "МБДОУ ДС №40 ""ЗОЛОТОЙ ПЕТУШОК""")</f>
        <v>МБДОУ ДС №40 "ЗОЛОТОЙ ПЕТУШОК"</v>
      </c>
      <c r="B16272" s="24" t="s">
        <v>18701</v>
      </c>
      <c r="C16272" s="25">
        <v>10800</v>
      </c>
      <c r="D16272" s="22" t="s">
        <v>18702</v>
      </c>
      <c r="E16272" s="22" t="s">
        <v>103</v>
      </c>
      <c r="F16272" s="23" t="str">
        <f>HYPERLINK("https://www.spark-marketing.ru/Card/Lot/67576826", "техническое обслуживание систем видеонаблюдения")</f>
        <v>техническое обслуживание систем видеонаблюдения</v>
      </c>
      <c r="G16272" s="22" t="s">
        <v>402</v>
      </c>
      <c r="H16272" s="22" t="s">
        <v>631</v>
      </c>
      <c r="I16272" s="26">
        <v>43495.807638888902</v>
      </c>
      <c r="J16272" s="28" t="s">
        <v>52</v>
      </c>
      <c r="K16272" s="28" t="s">
        <v>52</v>
      </c>
      <c r="L16272" s="28" t="s">
        <v>52</v>
      </c>
      <c r="M16272" s="28" t="s">
        <v>52</v>
      </c>
      <c r="N16272" s="28" t="s">
        <v>52</v>
      </c>
    </row>
    <row r="16273" spans="1:14" x14ac:dyDescent="0.15">
      <c r="A16273" s="23" t="str">
        <f>HYPERLINK("https://www.spark-marketing.ru/Card/Person/152362", "БОУ Г. ОМСКА ""ШКОЛА-ИНТЕРНАТ ОСНОВНОГО ОБЩЕГО ОБРАЗОВАНИЯ № 2""")</f>
        <v>БОУ Г. ОМСКА "ШКОЛА-ИНТЕРНАТ ОСНОВНОГО ОБЩЕГО ОБРАЗОВАНИЯ № 2"</v>
      </c>
      <c r="B16273" s="24" t="s">
        <v>18703</v>
      </c>
      <c r="C16273" s="25">
        <v>12000</v>
      </c>
      <c r="D16273" s="22" t="s">
        <v>18704</v>
      </c>
      <c r="E16273" s="22" t="s">
        <v>68</v>
      </c>
      <c r="F16273" s="23" t="str">
        <f>HYPERLINK("https://www.spark-marketing.ru/Card/Lot/67573520", "Услуги по охране объекта посредством передачи тревожных сообщений по каналу GSM")</f>
        <v>Услуги по охране объекта посредством передачи тревожных сообщений по каналу GSM</v>
      </c>
      <c r="G16273" s="22" t="s">
        <v>521</v>
      </c>
      <c r="H16273" s="22" t="s">
        <v>522</v>
      </c>
      <c r="I16273" s="26">
        <v>43495.739583333299</v>
      </c>
      <c r="J16273" s="28" t="s">
        <v>52</v>
      </c>
      <c r="K16273" s="28" t="s">
        <v>52</v>
      </c>
      <c r="L16273" s="28" t="s">
        <v>52</v>
      </c>
      <c r="M16273" s="28" t="s">
        <v>52</v>
      </c>
      <c r="N16273" s="28" t="s">
        <v>52</v>
      </c>
    </row>
    <row r="16274" spans="1:14" x14ac:dyDescent="0.2">
      <c r="A16274" s="23" t="str">
        <f>HYPERLINK("https://www.spark-marketing.ru/Card/Person/112919", "ГАУЗ ""СП № 12 ДЗМ""")</f>
        <v>ГАУЗ "СП № 12 ДЗМ"</v>
      </c>
      <c r="B16274" s="24" t="s">
        <v>18705</v>
      </c>
      <c r="C16274" s="25">
        <v>251694.9</v>
      </c>
      <c r="D16274" s="22" t="s">
        <v>18706</v>
      </c>
      <c r="E16274" s="22" t="s">
        <v>18707</v>
      </c>
      <c r="F16274" s="23" t="str">
        <f>HYPERLINK("https://www.spark-marketing.ru/Card/Lot/67574882", "Оказание услуг по техническом у обслуживанию системы видеонаблюдения для нужд ГАУЗ «СП № 12 Д ЗМ » в 1,2,3 кварталах 2019 года")</f>
        <v>Оказание услуг по техническом у обслуживанию системы видеонаблюдения для нужд ГАУЗ «СП № 12 Д ЗМ » в 1,2,3 кварталах 2019 года</v>
      </c>
      <c r="G16274" s="22" t="s">
        <v>55</v>
      </c>
      <c r="H16274" s="22" t="s">
        <v>55</v>
      </c>
      <c r="I16274" s="26">
        <v>43495.724884259304</v>
      </c>
      <c r="J16274" s="28" t="s">
        <v>52</v>
      </c>
      <c r="K16274" s="28" t="s">
        <v>52</v>
      </c>
      <c r="L16274" s="28" t="s">
        <v>52</v>
      </c>
      <c r="M16274" s="25">
        <v>251694.9</v>
      </c>
      <c r="N16274" s="27">
        <v>0</v>
      </c>
    </row>
    <row r="16275" spans="1:14" x14ac:dyDescent="0.2">
      <c r="A16275" s="23" t="str">
        <f>HYPERLINK("https://www.spark-marketing.ru/Card/Person/63522", "ГОСУДАРСТВЕННЫЙ МУЗЕЙ-ЗАПОВЕДНИК ""ЦАРСКОЕ СЕЛО""")</f>
        <v>ГОСУДАРСТВЕННЫЙ МУЗЕЙ-ЗАПОВЕДНИК "ЦАРСКОЕ СЕЛО"</v>
      </c>
      <c r="B16275" s="24" t="s">
        <v>18708</v>
      </c>
      <c r="C16275" s="25">
        <v>39999830</v>
      </c>
      <c r="D16275" s="22" t="s">
        <v>18709</v>
      </c>
      <c r="E16275" s="22" t="s">
        <v>68</v>
      </c>
      <c r="F16275" s="23" t="str">
        <f>HYPERLINK("https://www.spark-marketing.ru/Card/Lot/67540708", "Оказание услуг по обеспечению круглосуточного контрольно-пропускного режима, охраны общественного правопорядка, антитеррористической защищённости и соблюдения правил посещения на территории Александровского и Баболовского парков Федерального государс...")</f>
        <v>Оказание услуг по обеспечению круглосуточного контрольно-пропускного режима, охраны общественного правопорядка, антитеррористической защищённости и соблюдения правил посещения на территории Александровского и Баболовского парков Федерального государс...</v>
      </c>
      <c r="G16275" s="22" t="s">
        <v>89</v>
      </c>
      <c r="H16275" s="22" t="s">
        <v>89</v>
      </c>
      <c r="I16275" s="26">
        <v>43494</v>
      </c>
      <c r="J16275" s="23" t="str">
        <f>HYPERLINK("https://www.spark-marketing.ru/Card/Person/1789856", "Северо-Западный ФЛ ФГУП ""УВО Минтранса России""")</f>
        <v>Северо-Западный ФЛ ФГУП "УВО Минтранса России"</v>
      </c>
      <c r="K16275" s="24" t="s">
        <v>1472</v>
      </c>
      <c r="L16275" s="28" t="s">
        <v>52</v>
      </c>
      <c r="M16275" s="25">
        <v>39999830</v>
      </c>
      <c r="N16275" s="27">
        <v>0</v>
      </c>
    </row>
    <row r="16276" spans="1:14" x14ac:dyDescent="0.15">
      <c r="A16276" s="23" t="str">
        <f>HYPERLINK("https://www.spark-marketing.ru/Card/Person/89585", "ООО ""ГАЗПРОМ ТРАНСГАЗ ЮГОРСК""")</f>
        <v>ООО "ГАЗПРОМ ТРАНСГАЗ ЮГОРСК"</v>
      </c>
      <c r="B16276" s="24" t="s">
        <v>4073</v>
      </c>
      <c r="C16276" s="25">
        <v>4571220</v>
      </c>
      <c r="D16276" s="22" t="s">
        <v>18710</v>
      </c>
      <c r="E16276" s="22" t="s">
        <v>18711</v>
      </c>
      <c r="F16276" s="23" t="str">
        <f>HYPERLINK("https://www.spark-marketing.ru/Card/Lot/67569230", "Поставка трактора трелевочного ТТ-4-07 для нужд ООО ""Газпром трансгаз Югорск""")</f>
        <v>Поставка трактора трелевочного ТТ-4-07 для нужд ООО "Газпром трансгаз Югорск"</v>
      </c>
      <c r="G16276" s="22" t="s">
        <v>119</v>
      </c>
      <c r="H16276" s="22" t="s">
        <v>4075</v>
      </c>
      <c r="I16276" s="26">
        <v>43495.7010069444</v>
      </c>
      <c r="J16276" s="28" t="s">
        <v>52</v>
      </c>
      <c r="K16276" s="28" t="s">
        <v>52</v>
      </c>
      <c r="L16276" s="28" t="s">
        <v>52</v>
      </c>
      <c r="M16276" s="28" t="s">
        <v>52</v>
      </c>
      <c r="N16276" s="28" t="s">
        <v>52</v>
      </c>
    </row>
    <row r="16277" spans="1:14" hidden="1" outlineLevel="1" x14ac:dyDescent="0.15">
      <c r="A16277" s="23" t="str">
        <f>HYPERLINK("https://www.spark-marketing.ru/Card/Person/89585", "ООО ""ГАЗПРОМ ТРАНСГАЗ ЮГОРСК""")</f>
        <v>ООО "ГАЗПРОМ ТРАНСГАЗ ЮГОРСК"</v>
      </c>
      <c r="B16277" s="24" t="s">
        <v>4073</v>
      </c>
      <c r="C16277" s="28" t="s">
        <v>52</v>
      </c>
      <c r="D16277" s="22" t="s">
        <v>18710</v>
      </c>
      <c r="E16277" s="22" t="s">
        <v>18711</v>
      </c>
      <c r="F16277" s="23" t="str">
        <f>HYPERLINK("https://www.spark-marketing.ru/Card/Lot/67569230", "Поставка трактора трелевочного ТТ-4-07 для нужд ООО ""Газпром трансгаз Югорск""")</f>
        <v>Поставка трактора трелевочного ТТ-4-07 для нужд ООО "Газпром трансгаз Югорск"</v>
      </c>
      <c r="G16277" s="22" t="s">
        <v>119</v>
      </c>
      <c r="H16277" s="22" t="s">
        <v>4075</v>
      </c>
      <c r="I16277" s="26">
        <v>43495.7010069444</v>
      </c>
      <c r="J16277" s="23" t="str">
        <f>HYPERLINK("https://www.spark-marketing.ru/Card/Person/-1", "неизвестно")</f>
        <v>неизвестно</v>
      </c>
      <c r="K16277" s="28" t="s">
        <v>52</v>
      </c>
      <c r="L16277" s="28" t="s">
        <v>52</v>
      </c>
      <c r="M16277" s="28" t="s">
        <v>52</v>
      </c>
      <c r="N16277" s="28" t="s">
        <v>52</v>
      </c>
    </row>
    <row r="16278" spans="1:14" hidden="1" outlineLevel="1" x14ac:dyDescent="0.2">
      <c r="A16278" s="23" t="str">
        <f>HYPERLINK("https://www.spark-marketing.ru/Card/Person/89585", "ООО ""ГАЗПРОМ ТРАНСГАЗ ЮГОРСК""")</f>
        <v>ООО "ГАЗПРОМ ТРАНСГАЗ ЮГОРСК"</v>
      </c>
      <c r="B16278" s="24" t="s">
        <v>4073</v>
      </c>
      <c r="C16278" s="28" t="s">
        <v>52</v>
      </c>
      <c r="D16278" s="22" t="s">
        <v>18710</v>
      </c>
      <c r="E16278" s="22" t="s">
        <v>18711</v>
      </c>
      <c r="F16278" s="23" t="str">
        <f>HYPERLINK("https://www.spark-marketing.ru/Card/Lot/67569230", "Поставка трактора трелевочного ТТ-4-07 для нужд ООО ""Газпром трансгаз Югорск""")</f>
        <v>Поставка трактора трелевочного ТТ-4-07 для нужд ООО "Газпром трансгаз Югорск"</v>
      </c>
      <c r="G16278" s="22" t="s">
        <v>119</v>
      </c>
      <c r="H16278" s="22" t="s">
        <v>4075</v>
      </c>
      <c r="I16278" s="26">
        <v>43495.7010069444</v>
      </c>
      <c r="J16278" s="23" t="str">
        <f>HYPERLINK("https://www.spark-marketing.ru/Card/Person/-1", "неизвестно")</f>
        <v>неизвестно</v>
      </c>
      <c r="K16278" s="28" t="s">
        <v>52</v>
      </c>
      <c r="L16278" s="22" t="s">
        <v>10</v>
      </c>
      <c r="M16278" s="25">
        <v>4250000</v>
      </c>
      <c r="N16278" s="27">
        <v>7.0270081072448934E-2</v>
      </c>
    </row>
    <row r="16279" spans="1:14" x14ac:dyDescent="0.2">
      <c r="A16279" s="23" t="str">
        <f>HYPERLINK("https://www.spark-marketing.ru/Card/Person/31184", "ГУП ""БАШФАРМАЦИЯ"" РБ")</f>
        <v>ГУП "БАШФАРМАЦИЯ" РБ</v>
      </c>
      <c r="B16279" s="24" t="s">
        <v>7976</v>
      </c>
      <c r="C16279" s="25">
        <v>1939680</v>
      </c>
      <c r="D16279" s="22" t="s">
        <v>18712</v>
      </c>
      <c r="E16279" s="22" t="s">
        <v>144</v>
      </c>
      <c r="F16279" s="23" t="str">
        <f>HYPERLINK("https://www.spark-marketing.ru/Card/Lot/67566099", "Оказание услуг по охране объектов ГУП ""Башфармация"" РБ")</f>
        <v>Оказание услуг по охране объектов ГУП "Башфармация" РБ</v>
      </c>
      <c r="G16279" s="22" t="s">
        <v>100</v>
      </c>
      <c r="H16279" s="22" t="s">
        <v>100</v>
      </c>
      <c r="I16279" s="26">
        <v>43495.689826388902</v>
      </c>
      <c r="J16279" s="28" t="s">
        <v>52</v>
      </c>
      <c r="K16279" s="28" t="s">
        <v>52</v>
      </c>
      <c r="L16279" s="28" t="s">
        <v>52</v>
      </c>
      <c r="M16279" s="25">
        <v>1939680</v>
      </c>
      <c r="N16279" s="27">
        <v>0</v>
      </c>
    </row>
    <row r="16280" spans="1:14" x14ac:dyDescent="0.15">
      <c r="A16280" s="23" t="str">
        <f>HYPERLINK("https://www.spark-marketing.ru/Card/Person/1022773", "МБОУ ПАВЛОВСКАЯ НОШ")</f>
        <v>МБОУ ПАВЛОВСКАЯ НОШ</v>
      </c>
      <c r="B16280" s="24" t="s">
        <v>18713</v>
      </c>
      <c r="C16280" s="25">
        <v>14280</v>
      </c>
      <c r="D16280" s="22" t="s">
        <v>18714</v>
      </c>
      <c r="E16280" s="22" t="s">
        <v>107</v>
      </c>
      <c r="F16280" s="23" t="str">
        <f>HYPERLINK("https://www.spark-marketing.ru/Card/Lot/67571806", "Оказание услуг по техническому обслуживанию (содержанию) систем охранной (противовзломной) сигнализации (КТС)")</f>
        <v>Оказание услуг по техническому обслуживанию (содержанию) систем охранной (противовзломной) сигнализации (КТС)</v>
      </c>
      <c r="G16280" s="22" t="s">
        <v>50</v>
      </c>
      <c r="H16280" s="22" t="s">
        <v>4782</v>
      </c>
      <c r="I16280" s="26">
        <v>43495.703553240703</v>
      </c>
      <c r="J16280" s="28" t="s">
        <v>52</v>
      </c>
      <c r="K16280" s="28" t="s">
        <v>52</v>
      </c>
      <c r="L16280" s="28" t="s">
        <v>52</v>
      </c>
      <c r="M16280" s="28" t="s">
        <v>52</v>
      </c>
      <c r="N16280" s="28" t="s">
        <v>52</v>
      </c>
    </row>
    <row r="16281" spans="1:14" x14ac:dyDescent="0.15">
      <c r="A16281" s="23" t="str">
        <f>HYPERLINK("https://www.spark-marketing.ru/Card/Person/67993", "МБОУ ""ЛИЦЕЙ №5""")</f>
        <v>МБОУ "ЛИЦЕЙ №5"</v>
      </c>
      <c r="B16281" s="24" t="s">
        <v>18715</v>
      </c>
      <c r="C16281" s="25">
        <v>173000</v>
      </c>
      <c r="D16281" s="22" t="s">
        <v>18716</v>
      </c>
      <c r="E16281" s="22" t="s">
        <v>18717</v>
      </c>
      <c r="F16281" s="23" t="str">
        <f>HYPERLINK("https://www.spark-marketing.ru/Card/Lot/67571654", "Оказание услуг по установке камер видеонаблюдения")</f>
        <v>Оказание услуг по установке камер видеонаблюдения</v>
      </c>
      <c r="G16281" s="22" t="s">
        <v>50</v>
      </c>
      <c r="H16281" s="22" t="s">
        <v>1056</v>
      </c>
      <c r="I16281" s="26">
        <v>43495.683946759302</v>
      </c>
      <c r="J16281" s="28" t="s">
        <v>52</v>
      </c>
      <c r="K16281" s="28" t="s">
        <v>52</v>
      </c>
      <c r="L16281" s="28" t="s">
        <v>52</v>
      </c>
      <c r="M16281" s="28" t="s">
        <v>52</v>
      </c>
      <c r="N16281" s="28" t="s">
        <v>52</v>
      </c>
    </row>
    <row r="16282" spans="1:14" x14ac:dyDescent="0.15">
      <c r="A16282" s="23" t="str">
        <f>HYPERLINK("https://www.spark-marketing.ru/Card/Person/1026443", "МОУ ""КУРИЛОВСКАЯ ГИМНАЗИЯ""")</f>
        <v>МОУ "КУРИЛОВСКАЯ ГИМНАЗИЯ"</v>
      </c>
      <c r="B16282" s="24" t="s">
        <v>18718</v>
      </c>
      <c r="C16282" s="25">
        <v>78000</v>
      </c>
      <c r="D16282" s="22" t="s">
        <v>18719</v>
      </c>
      <c r="E16282" s="22" t="s">
        <v>107</v>
      </c>
      <c r="F16282" s="23" t="str">
        <f>HYPERLINK("https://www.spark-marketing.ru/Card/Lot/67571823", "Выполнение работ по техническому обслуживанию системы видеонаблюдения, домофона (видеодомофона)")</f>
        <v>Выполнение работ по техническому обслуживанию системы видеонаблюдения, домофона (видеодомофона)</v>
      </c>
      <c r="G16282" s="22" t="s">
        <v>50</v>
      </c>
      <c r="H16282" s="22" t="s">
        <v>50</v>
      </c>
      <c r="I16282" s="26">
        <v>43495.704120370399</v>
      </c>
      <c r="J16282" s="28" t="s">
        <v>52</v>
      </c>
      <c r="K16282" s="28" t="s">
        <v>52</v>
      </c>
      <c r="L16282" s="28" t="s">
        <v>52</v>
      </c>
      <c r="M16282" s="28" t="s">
        <v>52</v>
      </c>
      <c r="N16282" s="28" t="s">
        <v>52</v>
      </c>
    </row>
    <row r="16283" spans="1:14" x14ac:dyDescent="0.15">
      <c r="A16283" s="23" t="str">
        <f>HYPERLINK("https://www.spark-marketing.ru/Card/Person/1008702", "МБДОУ ДС ""ТЕРЕМОК""")</f>
        <v>МБДОУ ДС "ТЕРЕМОК"</v>
      </c>
      <c r="B16283" s="24" t="s">
        <v>18720</v>
      </c>
      <c r="C16283" s="25">
        <v>10800</v>
      </c>
      <c r="D16283" s="22" t="s">
        <v>18721</v>
      </c>
      <c r="E16283" s="22" t="s">
        <v>103</v>
      </c>
      <c r="F16283" s="23" t="str">
        <f>HYPERLINK("https://www.spark-marketing.ru/Card/Lot/67565689", "техническое обслуживание систем видеонаблюдения")</f>
        <v>техническое обслуживание систем видеонаблюдения</v>
      </c>
      <c r="G16283" s="22" t="s">
        <v>402</v>
      </c>
      <c r="H16283" s="22" t="s">
        <v>631</v>
      </c>
      <c r="I16283" s="26">
        <v>43495.633333333302</v>
      </c>
      <c r="J16283" s="28" t="s">
        <v>52</v>
      </c>
      <c r="K16283" s="28" t="s">
        <v>52</v>
      </c>
      <c r="L16283" s="28" t="s">
        <v>52</v>
      </c>
      <c r="M16283" s="28" t="s">
        <v>52</v>
      </c>
      <c r="N16283" s="28" t="s">
        <v>52</v>
      </c>
    </row>
    <row r="16284" spans="1:14" x14ac:dyDescent="0.15">
      <c r="A16284" s="23" t="str">
        <f>HYPERLINK("https://www.spark-marketing.ru/Card/Person/129267", "МБУ ""ГЦС""")</f>
        <v>МБУ "ГЦС"</v>
      </c>
      <c r="B16284" s="24" t="s">
        <v>18583</v>
      </c>
      <c r="C16284" s="25">
        <v>67200</v>
      </c>
      <c r="D16284" s="22" t="s">
        <v>18722</v>
      </c>
      <c r="E16284" s="22" t="s">
        <v>107</v>
      </c>
      <c r="F16284" s="23" t="str">
        <f>HYPERLINK("https://www.spark-marketing.ru/Card/Lot/67569149", "Оказание услуг по обеспечению работоспособности каналов передачи сообщений комплекса технических средств охраны (системы тревожной сигнализации) и техническому обслуживанию технических средств охраны")</f>
        <v>Оказание услуг по обеспечению работоспособности каналов передачи сообщений комплекса технических средств охраны (системы тревожной сигнализации) и техническому обслуживанию технических средств охраны</v>
      </c>
      <c r="G16284" s="22" t="s">
        <v>50</v>
      </c>
      <c r="H16284" s="22" t="s">
        <v>2391</v>
      </c>
      <c r="I16284" s="26">
        <v>43495.662268518499</v>
      </c>
      <c r="J16284" s="28" t="s">
        <v>52</v>
      </c>
      <c r="K16284" s="28" t="s">
        <v>52</v>
      </c>
      <c r="L16284" s="28" t="s">
        <v>52</v>
      </c>
      <c r="M16284" s="28" t="s">
        <v>52</v>
      </c>
      <c r="N16284" s="28" t="s">
        <v>52</v>
      </c>
    </row>
    <row r="16285" spans="1:14" x14ac:dyDescent="0.15">
      <c r="A16285" s="23" t="str">
        <f>HYPERLINK("https://www.spark-marketing.ru/Card/Person/114827", "МБДОУ ЦРР ДЕТСКИЙ САД №1 ""СОЛНЫШКО""")</f>
        <v>МБДОУ ЦРР ДЕТСКИЙ САД №1 "СОЛНЫШКО"</v>
      </c>
      <c r="B16285" s="24" t="s">
        <v>18723</v>
      </c>
      <c r="C16285" s="25">
        <v>47040</v>
      </c>
      <c r="D16285" s="22" t="s">
        <v>18724</v>
      </c>
      <c r="E16285" s="22" t="s">
        <v>298</v>
      </c>
      <c r="F16285" s="23" t="str">
        <f>HYPERLINK("https://www.spark-marketing.ru/Card/Lot/67565550", "Оказание услуг по техническому обслуживанию системы видеонаблюдения на 2019 год")</f>
        <v>Оказание услуг по техническому обслуживанию системы видеонаблюдения на 2019 год</v>
      </c>
      <c r="G16285" s="22" t="s">
        <v>50</v>
      </c>
      <c r="H16285" s="22" t="s">
        <v>3866</v>
      </c>
      <c r="I16285" s="26">
        <v>43495.585196759297</v>
      </c>
      <c r="J16285" s="28" t="s">
        <v>52</v>
      </c>
      <c r="K16285" s="28" t="s">
        <v>52</v>
      </c>
      <c r="L16285" s="28" t="s">
        <v>52</v>
      </c>
      <c r="M16285" s="28" t="s">
        <v>52</v>
      </c>
      <c r="N16285" s="28" t="s">
        <v>52</v>
      </c>
    </row>
    <row r="16286" spans="1:14" x14ac:dyDescent="0.15">
      <c r="A16286" s="23" t="str">
        <f>HYPERLINK("https://www.spark-marketing.ru/Card/Person/44188", "АО ""УЛЬЯНОВСКФАРМАЦИЯ""")</f>
        <v>АО "УЛЬЯНОВСКФАРМАЦИЯ"</v>
      </c>
      <c r="B16286" s="24" t="s">
        <v>18725</v>
      </c>
      <c r="C16286" s="25">
        <v>520511.16</v>
      </c>
      <c r="D16286" s="22" t="s">
        <v>18726</v>
      </c>
      <c r="E16286" s="22" t="s">
        <v>49</v>
      </c>
      <c r="F16286" s="23" t="str">
        <f>HYPERLINK("https://www.spark-marketing.ru/Card/Lot/67563961", "техническое обслуживание средств охраны объектов")</f>
        <v>техническое обслуживание средств охраны объектов</v>
      </c>
      <c r="G16286" s="22" t="s">
        <v>446</v>
      </c>
      <c r="H16286" s="22" t="s">
        <v>446</v>
      </c>
      <c r="I16286" s="26">
        <v>43495.588784722197</v>
      </c>
      <c r="J16286" s="28" t="s">
        <v>52</v>
      </c>
      <c r="K16286" s="28" t="s">
        <v>52</v>
      </c>
      <c r="L16286" s="28" t="s">
        <v>52</v>
      </c>
      <c r="M16286" s="28" t="s">
        <v>52</v>
      </c>
      <c r="N16286" s="28" t="s">
        <v>52</v>
      </c>
    </row>
    <row r="16287" spans="1:14" x14ac:dyDescent="0.15">
      <c r="A16287" s="23" t="str">
        <f>HYPERLINK("https://www.spark-marketing.ru/Card/Person/42330", "МОБУ СОШ № 6")</f>
        <v>МОБУ СОШ № 6</v>
      </c>
      <c r="B16287" s="24" t="s">
        <v>18727</v>
      </c>
      <c r="C16287" s="25">
        <v>65000</v>
      </c>
      <c r="D16287" s="22" t="s">
        <v>18728</v>
      </c>
      <c r="E16287" s="22" t="s">
        <v>103</v>
      </c>
      <c r="F16287" s="23" t="str">
        <f>HYPERLINK("https://www.spark-marketing.ru/Card/Lot/67565580", "ТО системы видеопротоколирования в ППЭ")</f>
        <v>ТО системы видеопротоколирования в ППЭ</v>
      </c>
      <c r="G16287" s="22" t="s">
        <v>50</v>
      </c>
      <c r="H16287" s="22" t="s">
        <v>1936</v>
      </c>
      <c r="I16287" s="26">
        <v>43495.606261574103</v>
      </c>
      <c r="J16287" s="28" t="s">
        <v>52</v>
      </c>
      <c r="K16287" s="28" t="s">
        <v>52</v>
      </c>
      <c r="L16287" s="28" t="s">
        <v>52</v>
      </c>
      <c r="M16287" s="28" t="s">
        <v>52</v>
      </c>
      <c r="N16287" s="28" t="s">
        <v>52</v>
      </c>
    </row>
    <row r="16288" spans="1:14" x14ac:dyDescent="0.15">
      <c r="A16288" s="23" t="str">
        <f>HYPERLINK("https://www.spark-marketing.ru/Card/Person/117501", "МБДОУ Д/С № 14")</f>
        <v>МБДОУ Д/С № 14</v>
      </c>
      <c r="B16288" s="24" t="s">
        <v>18729</v>
      </c>
      <c r="C16288" s="25">
        <v>19920</v>
      </c>
      <c r="D16288" s="22" t="s">
        <v>18730</v>
      </c>
      <c r="E16288" s="22" t="s">
        <v>107</v>
      </c>
      <c r="F16288" s="23" t="str">
        <f>HYPERLINK("https://www.spark-marketing.ru/Card/Lot/67564253", "Техническое обслуживание систем телевизионного видеонаблюдения")</f>
        <v>Техническое обслуживание систем телевизионного видеонаблюдения</v>
      </c>
      <c r="G16288" s="22" t="s">
        <v>176</v>
      </c>
      <c r="H16288" s="22" t="s">
        <v>318</v>
      </c>
      <c r="I16288" s="26">
        <v>43495.603472222203</v>
      </c>
      <c r="J16288" s="28" t="s">
        <v>52</v>
      </c>
      <c r="K16288" s="28" t="s">
        <v>52</v>
      </c>
      <c r="L16288" s="28" t="s">
        <v>52</v>
      </c>
      <c r="M16288" s="28" t="s">
        <v>52</v>
      </c>
      <c r="N16288" s="28" t="s">
        <v>52</v>
      </c>
    </row>
    <row r="16289" spans="1:14" x14ac:dyDescent="0.15">
      <c r="A16289" s="23" t="str">
        <f>HYPERLINK("https://www.spark-marketing.ru/Card/Person/999838", "МБУК ""ЦКР КРАСНОЯРУЖСКОГО РАЙОНА""")</f>
        <v>МБУК "ЦКР КРАСНОЯРУЖСКОГО РАЙОНА"</v>
      </c>
      <c r="B16289" s="24" t="s">
        <v>18731</v>
      </c>
      <c r="C16289" s="25">
        <v>8000</v>
      </c>
      <c r="D16289" s="22" t="s">
        <v>18732</v>
      </c>
      <c r="E16289" s="22" t="s">
        <v>103</v>
      </c>
      <c r="F16289" s="23" t="str">
        <f>HYPERLINK("https://www.spark-marketing.ru/Card/Lot/67564260", "техническое обслуживание системы видеонаблюдения")</f>
        <v>техническое обслуживание системы видеонаблюдения</v>
      </c>
      <c r="G16289" s="22" t="s">
        <v>176</v>
      </c>
      <c r="H16289" s="22" t="s">
        <v>3627</v>
      </c>
      <c r="I16289" s="26">
        <v>43495.604166666701</v>
      </c>
      <c r="J16289" s="28" t="s">
        <v>52</v>
      </c>
      <c r="K16289" s="28" t="s">
        <v>52</v>
      </c>
      <c r="L16289" s="28" t="s">
        <v>52</v>
      </c>
      <c r="M16289" s="28" t="s">
        <v>52</v>
      </c>
      <c r="N16289" s="28" t="s">
        <v>52</v>
      </c>
    </row>
    <row r="16290" spans="1:14" x14ac:dyDescent="0.15">
      <c r="A16290" s="23" t="str">
        <f>HYPERLINK("https://www.spark-marketing.ru/Card/Person/1516695", "ПАО ""ММК""")</f>
        <v>ПАО "ММК"</v>
      </c>
      <c r="B16290" s="24" t="s">
        <v>12648</v>
      </c>
      <c r="C16290" s="28" t="s">
        <v>52</v>
      </c>
      <c r="D16290" s="22" t="s">
        <v>18733</v>
      </c>
      <c r="E16290" s="22" t="s">
        <v>53</v>
      </c>
      <c r="F16290" s="23" t="str">
        <f>HYPERLINK("https://www.spark-marketing.ru/Card/Lot/67566244", "торги на закуп лабораторного оборудования")</f>
        <v>торги на закуп лабораторного оборудования</v>
      </c>
      <c r="G16290" s="22" t="s">
        <v>60</v>
      </c>
      <c r="H16290" s="22" t="s">
        <v>221</v>
      </c>
      <c r="I16290" s="26">
        <v>43495.59375</v>
      </c>
      <c r="J16290" s="28" t="s">
        <v>52</v>
      </c>
      <c r="K16290" s="28" t="s">
        <v>52</v>
      </c>
      <c r="L16290" s="28" t="s">
        <v>52</v>
      </c>
      <c r="M16290" s="28" t="s">
        <v>52</v>
      </c>
      <c r="N16290" s="28" t="s">
        <v>52</v>
      </c>
    </row>
    <row r="16291" spans="1:14" x14ac:dyDescent="0.15">
      <c r="A16291" s="23" t="str">
        <f>HYPERLINK("https://www.spark-marketing.ru/Card/Person/1076818", "БОУ Г.ОМСКА ""СРЕДНЯЯ ОБЩЕОБРАЗОВАТЕЛЬНАЯ ШКОЛА № 80""")</f>
        <v>БОУ Г.ОМСКА "СРЕДНЯЯ ОБЩЕОБРАЗОВАТЕЛЬНАЯ ШКОЛА № 80"</v>
      </c>
      <c r="B16291" s="24" t="s">
        <v>18734</v>
      </c>
      <c r="C16291" s="25">
        <v>24000</v>
      </c>
      <c r="D16291" s="22" t="s">
        <v>18735</v>
      </c>
      <c r="E16291" s="22" t="s">
        <v>68</v>
      </c>
      <c r="F16291" s="23" t="str">
        <f>HYPERLINK("https://www.spark-marketing.ru/Card/Lot/67563299", "оказание услуг по охране объектов посредством использования тревожной сигнализации")</f>
        <v>оказание услуг по охране объектов посредством использования тревожной сигнализации</v>
      </c>
      <c r="G16291" s="22" t="s">
        <v>521</v>
      </c>
      <c r="H16291" s="22" t="s">
        <v>522</v>
      </c>
      <c r="I16291" s="26">
        <v>43495.602083333302</v>
      </c>
      <c r="J16291" s="28" t="s">
        <v>52</v>
      </c>
      <c r="K16291" s="28" t="s">
        <v>52</v>
      </c>
      <c r="L16291" s="28" t="s">
        <v>52</v>
      </c>
      <c r="M16291" s="28" t="s">
        <v>52</v>
      </c>
      <c r="N16291" s="28" t="s">
        <v>52</v>
      </c>
    </row>
    <row r="16292" spans="1:14" x14ac:dyDescent="0.15">
      <c r="A16292" s="23" t="str">
        <f>HYPERLINK("https://www.spark-marketing.ru/Card/Person/4364307", "ГП ""КИРИШСКОЕ ДРСУ""")</f>
        <v>ГП "КИРИШСКОЕ ДРСУ"</v>
      </c>
      <c r="B16292" s="24" t="s">
        <v>18736</v>
      </c>
      <c r="C16292" s="25">
        <v>239332.8</v>
      </c>
      <c r="D16292" s="22" t="s">
        <v>18737</v>
      </c>
      <c r="E16292" s="22" t="s">
        <v>144</v>
      </c>
      <c r="F16292" s="23" t="str">
        <f>HYPERLINK("https://www.spark-marketing.ru/Card/Lot/67561670", "Охрана объектов ГП «Киришское ДРСУ»")</f>
        <v>Охрана объектов ГП «Киришское ДРСУ»</v>
      </c>
      <c r="G16292" s="22" t="s">
        <v>861</v>
      </c>
      <c r="H16292" s="22" t="s">
        <v>861</v>
      </c>
      <c r="I16292" s="26">
        <v>43495.551400463002</v>
      </c>
      <c r="J16292" s="28" t="s">
        <v>52</v>
      </c>
      <c r="K16292" s="28" t="s">
        <v>52</v>
      </c>
      <c r="L16292" s="28" t="s">
        <v>52</v>
      </c>
      <c r="M16292" s="28" t="s">
        <v>52</v>
      </c>
      <c r="N16292" s="28" t="s">
        <v>52</v>
      </c>
    </row>
    <row r="16293" spans="1:14" x14ac:dyDescent="0.15">
      <c r="A16293" s="23" t="str">
        <f>HYPERLINK("https://www.spark-marketing.ru/Card/Person/146035", "БОУ Г.ОМСКА ""СРЕДНЯЯ ОБЩЕОБРАЗОВАТЕЛЬНАЯ ШКОЛА № 77""")</f>
        <v>БОУ Г.ОМСКА "СРЕДНЯЯ ОБЩЕОБРАЗОВАТЕЛЬНАЯ ШКОЛА № 77"</v>
      </c>
      <c r="B16293" s="24" t="s">
        <v>16784</v>
      </c>
      <c r="C16293" s="25">
        <v>30660</v>
      </c>
      <c r="D16293" s="22" t="s">
        <v>18738</v>
      </c>
      <c r="E16293" s="22" t="s">
        <v>68</v>
      </c>
      <c r="F16293" s="23" t="str">
        <f>HYPERLINK("https://www.spark-marketing.ru/Card/Lot/67560610", "Оказание услуг по охране помещений (обслуживание кнопки тревожной сигнализации)")</f>
        <v>Оказание услуг по охране помещений (обслуживание кнопки тревожной сигнализации)</v>
      </c>
      <c r="G16293" s="22" t="s">
        <v>521</v>
      </c>
      <c r="H16293" s="22" t="s">
        <v>522</v>
      </c>
      <c r="I16293" s="26">
        <v>43495.556250000001</v>
      </c>
      <c r="J16293" s="28" t="s">
        <v>52</v>
      </c>
      <c r="K16293" s="28" t="s">
        <v>52</v>
      </c>
      <c r="L16293" s="28" t="s">
        <v>52</v>
      </c>
      <c r="M16293" s="28" t="s">
        <v>52</v>
      </c>
      <c r="N16293" s="28" t="s">
        <v>52</v>
      </c>
    </row>
    <row r="16294" spans="1:14" x14ac:dyDescent="0.15">
      <c r="A16294" s="23" t="str">
        <f>HYPERLINK("https://www.spark-marketing.ru/Card/Person/108334", "БДОУ Г. ОМСКА ""ЦЕНТР РАЗВИТИЯ РЕБЕНКА - ДЕТСКИЙ САД № 37""")</f>
        <v>БДОУ Г. ОМСКА "ЦЕНТР РАЗВИТИЯ РЕБЕНКА - ДЕТСКИЙ САД № 37"</v>
      </c>
      <c r="B16294" s="24" t="s">
        <v>18298</v>
      </c>
      <c r="C16294" s="28" t="s">
        <v>52</v>
      </c>
      <c r="D16294" s="22" t="s">
        <v>18739</v>
      </c>
      <c r="E16294" s="22" t="s">
        <v>591</v>
      </c>
      <c r="F16294" s="23" t="str">
        <f>HYPERLINK("https://www.spark-marketing.ru/Card/Lot/67558940", "Оказание услуги по обслуживанию системы видеонаблюдения (сервисное обслуживание системы видеонаблюдения)")</f>
        <v>Оказание услуги по обслуживанию системы видеонаблюдения (сервисное обслуживание системы видеонаблюдения)</v>
      </c>
      <c r="G16294" s="22" t="s">
        <v>521</v>
      </c>
      <c r="H16294" s="22" t="s">
        <v>522</v>
      </c>
      <c r="I16294" s="26">
        <v>43495.523611111101</v>
      </c>
      <c r="J16294" s="28" t="s">
        <v>52</v>
      </c>
      <c r="K16294" s="28" t="s">
        <v>52</v>
      </c>
      <c r="L16294" s="28" t="s">
        <v>52</v>
      </c>
      <c r="M16294" s="28" t="s">
        <v>52</v>
      </c>
      <c r="N16294" s="28" t="s">
        <v>52</v>
      </c>
    </row>
    <row r="16295" spans="1:14" x14ac:dyDescent="0.2">
      <c r="A16295" s="23" t="str">
        <f>HYPERLINK("https://www.spark-marketing.ru/Card/Person/32273", "КГБУЗ ""КМКБ № 4""")</f>
        <v>КГБУЗ "КМКБ № 4"</v>
      </c>
      <c r="B16295" s="24" t="s">
        <v>5369</v>
      </c>
      <c r="C16295" s="25">
        <v>381144</v>
      </c>
      <c r="D16295" s="22" t="s">
        <v>18740</v>
      </c>
      <c r="E16295" s="22" t="s">
        <v>144</v>
      </c>
      <c r="F16295" s="23" t="str">
        <f>HYPERLINK("https://www.spark-marketing.ru/Card/Lot/67551352", "оказание охранных услуг")</f>
        <v>оказание охранных услуг</v>
      </c>
      <c r="G16295" s="22" t="s">
        <v>640</v>
      </c>
      <c r="H16295" s="22" t="s">
        <v>640</v>
      </c>
      <c r="I16295" s="26">
        <v>43495.529374999998</v>
      </c>
      <c r="J16295" s="23" t="str">
        <f>HYPERLINK("https://www.spark-marketing.ru/Card/Person/1894836", "ООО ЧОО ""ВОСТОК-ОХРАНА""")</f>
        <v>ООО ЧОО "ВОСТОК-ОХРАНА"</v>
      </c>
      <c r="K16295" s="24" t="s">
        <v>13740</v>
      </c>
      <c r="L16295" s="28" t="s">
        <v>52</v>
      </c>
      <c r="M16295" s="25">
        <v>381144</v>
      </c>
      <c r="N16295" s="27">
        <v>0</v>
      </c>
    </row>
    <row r="16296" spans="1:14" x14ac:dyDescent="0.15">
      <c r="A16296" s="23" t="str">
        <f>HYPERLINK("https://www.spark-marketing.ru/Card/Person/1012036", "БОУ Г. ОМСКА ""СРЕДНЯЯ ОБЩЕОБРАЗОВАТЕЛЬНАЯ ШКОЛА № 67""")</f>
        <v>БОУ Г. ОМСКА "СРЕДНЯЯ ОБЩЕОБРАЗОВАТЕЛЬНАЯ ШКОЛА № 67"</v>
      </c>
      <c r="B16296" s="24" t="s">
        <v>18741</v>
      </c>
      <c r="C16296" s="25">
        <v>12000</v>
      </c>
      <c r="D16296" s="22" t="s">
        <v>18742</v>
      </c>
      <c r="E16296" s="22" t="s">
        <v>68</v>
      </c>
      <c r="F16296" s="23" t="str">
        <f>HYPERLINK("https://www.spark-marketing.ru/Card/Lot/67558131", "Оказание услуг вневедомственной охраной по охране объектов")</f>
        <v>Оказание услуг вневедомственной охраной по охране объектов</v>
      </c>
      <c r="G16296" s="22" t="s">
        <v>521</v>
      </c>
      <c r="H16296" s="22" t="s">
        <v>522</v>
      </c>
      <c r="I16296" s="26">
        <v>43495.504166666702</v>
      </c>
      <c r="J16296" s="28" t="s">
        <v>52</v>
      </c>
      <c r="K16296" s="28" t="s">
        <v>52</v>
      </c>
      <c r="L16296" s="28" t="s">
        <v>52</v>
      </c>
      <c r="M16296" s="28" t="s">
        <v>52</v>
      </c>
      <c r="N16296" s="28" t="s">
        <v>52</v>
      </c>
    </row>
    <row r="16297" spans="1:14" x14ac:dyDescent="0.15">
      <c r="A16297" s="23" t="str">
        <f>HYPERLINK("https://www.spark-marketing.ru/Card/Person/1007961", "МБОУ СОШ № 41")</f>
        <v>МБОУ СОШ № 41</v>
      </c>
      <c r="B16297" s="24" t="s">
        <v>18743</v>
      </c>
      <c r="C16297" s="25">
        <v>22000</v>
      </c>
      <c r="D16297" s="22" t="s">
        <v>18744</v>
      </c>
      <c r="E16297" s="22" t="s">
        <v>59</v>
      </c>
      <c r="F16297" s="23" t="str">
        <f>HYPERLINK("https://www.spark-marketing.ru/Card/Lot/67558183", "Услуги по техническому обслуживанию системы видеонаблюдения")</f>
        <v>Услуги по техническому обслуживанию системы видеонаблюдения</v>
      </c>
      <c r="G16297" s="22" t="s">
        <v>176</v>
      </c>
      <c r="H16297" s="22" t="s">
        <v>318</v>
      </c>
      <c r="I16297" s="26">
        <v>43495.509722222203</v>
      </c>
      <c r="J16297" s="28" t="s">
        <v>52</v>
      </c>
      <c r="K16297" s="28" t="s">
        <v>52</v>
      </c>
      <c r="L16297" s="28" t="s">
        <v>52</v>
      </c>
      <c r="M16297" s="28" t="s">
        <v>52</v>
      </c>
      <c r="N16297" s="28" t="s">
        <v>52</v>
      </c>
    </row>
    <row r="16298" spans="1:14" x14ac:dyDescent="0.15">
      <c r="A16298" s="23" t="str">
        <f>HYPERLINK("https://www.spark-marketing.ru/Card/Person/688", "БДОУ Г. ОМСКА ""ДЕТСКИЙ САД № 261 ПРИСМОТРА И ОЗДОРОВЛЕНИЯ""")</f>
        <v>БДОУ Г. ОМСКА "ДЕТСКИЙ САД № 261 ПРИСМОТРА И ОЗДОРОВЛЕНИЯ"</v>
      </c>
      <c r="B16298" s="24" t="s">
        <v>18745</v>
      </c>
      <c r="C16298" s="25">
        <v>12000</v>
      </c>
      <c r="D16298" s="22" t="s">
        <v>18746</v>
      </c>
      <c r="E16298" s="22" t="s">
        <v>68</v>
      </c>
      <c r="F16298" s="23" t="str">
        <f>HYPERLINK("https://www.spark-marketing.ru/Card/Lot/67555582", "Услуги по охране объектов посредством использования тревожной сигнализации (КТС)")</f>
        <v>Услуги по охране объектов посредством использования тревожной сигнализации (КТС)</v>
      </c>
      <c r="G16298" s="22" t="s">
        <v>521</v>
      </c>
      <c r="H16298" s="22" t="s">
        <v>522</v>
      </c>
      <c r="I16298" s="26">
        <v>43495.465277777803</v>
      </c>
      <c r="J16298" s="28" t="s">
        <v>52</v>
      </c>
      <c r="K16298" s="28" t="s">
        <v>52</v>
      </c>
      <c r="L16298" s="28" t="s">
        <v>52</v>
      </c>
      <c r="M16298" s="28" t="s">
        <v>52</v>
      </c>
      <c r="N16298" s="28" t="s">
        <v>52</v>
      </c>
    </row>
    <row r="16299" spans="1:14" x14ac:dyDescent="0.15">
      <c r="A16299" s="23" t="str">
        <f>HYPERLINK("https://www.spark-marketing.ru/Card/Person/1016682", "МБУ ДО «ДЕТСКАЯ МУЗЫКАЛЬНАЯ ШКОЛА ИМ.П.И.ЧАЙКОВСКОГО»")</f>
        <v>МБУ ДО «ДЕТСКАЯ МУЗЫКАЛЬНАЯ ШКОЛА ИМ.П.И.ЧАЙКОВСКОГО»</v>
      </c>
      <c r="B16299" s="24" t="s">
        <v>18747</v>
      </c>
      <c r="C16299" s="25">
        <v>6000</v>
      </c>
      <c r="D16299" s="22" t="s">
        <v>18748</v>
      </c>
      <c r="E16299" s="22" t="s">
        <v>294</v>
      </c>
      <c r="F16299" s="23" t="str">
        <f>HYPERLINK("https://www.spark-marketing.ru/Card/Lot/67555552", "Техническое обслуживание системы видеонаблюдения.")</f>
        <v>Техническое обслуживание системы видеонаблюдения.</v>
      </c>
      <c r="G16299" s="22" t="s">
        <v>402</v>
      </c>
      <c r="H16299" s="22" t="s">
        <v>403</v>
      </c>
      <c r="I16299" s="26">
        <v>43495.461111111101</v>
      </c>
      <c r="J16299" s="28" t="s">
        <v>52</v>
      </c>
      <c r="K16299" s="28" t="s">
        <v>52</v>
      </c>
      <c r="L16299" s="28" t="s">
        <v>52</v>
      </c>
      <c r="M16299" s="28" t="s">
        <v>52</v>
      </c>
      <c r="N16299" s="28" t="s">
        <v>52</v>
      </c>
    </row>
    <row r="16300" spans="1:14" x14ac:dyDescent="0.15">
      <c r="A16300" s="23" t="str">
        <f>HYPERLINK("https://www.spark-marketing.ru/Card/Person/154579", "МБДОУ ""ДЕТСКИЙ САД № 180"" Г. ЧЕБОКСАРЫ")</f>
        <v>МБДОУ "ДЕТСКИЙ САД № 180" Г. ЧЕБОКСАРЫ</v>
      </c>
      <c r="B16300" s="24" t="s">
        <v>17793</v>
      </c>
      <c r="C16300" s="25">
        <v>2636</v>
      </c>
      <c r="D16300" s="22" t="s">
        <v>18749</v>
      </c>
      <c r="E16300" s="22" t="s">
        <v>208</v>
      </c>
      <c r="F16300" s="23" t="str">
        <f>HYPERLINK("https://www.spark-marketing.ru/Card/Lot/67555620", "оказание услуг по техническому обслуживанию тревожной сигнализации")</f>
        <v>оказание услуг по техническому обслуживанию тревожной сигнализации</v>
      </c>
      <c r="G16300" s="22" t="s">
        <v>1137</v>
      </c>
      <c r="H16300" s="22" t="s">
        <v>1138</v>
      </c>
      <c r="I16300" s="26">
        <v>43495.470833333296</v>
      </c>
      <c r="J16300" s="28" t="s">
        <v>52</v>
      </c>
      <c r="K16300" s="28" t="s">
        <v>52</v>
      </c>
      <c r="L16300" s="28" t="s">
        <v>52</v>
      </c>
      <c r="M16300" s="28" t="s">
        <v>52</v>
      </c>
      <c r="N16300" s="28" t="s">
        <v>52</v>
      </c>
    </row>
    <row r="16301" spans="1:14" x14ac:dyDescent="0.15">
      <c r="A16301" s="23" t="str">
        <f>HYPERLINK("https://www.spark-marketing.ru/Card/Person/1007957", "ГКУ РО ""ЦЕНТР ЗАНЯТОСТИ НАСЕЛЕНИЯ ПРОЛЕТАРСКОГО РАЙОНА""")</f>
        <v>ГКУ РО "ЦЕНТР ЗАНЯТОСТИ НАСЕЛЕНИЯ ПРОЛЕТАРСКОГО РАЙОНА"</v>
      </c>
      <c r="B16301" s="24" t="s">
        <v>18750</v>
      </c>
      <c r="C16301" s="25">
        <v>24000</v>
      </c>
      <c r="D16301" s="22" t="s">
        <v>18751</v>
      </c>
      <c r="E16301" s="22" t="s">
        <v>68</v>
      </c>
      <c r="F16301" s="23" t="str">
        <f>HYPERLINK("https://www.spark-marketing.ru/Card/Lot/67555569", "Оказание услуг по охране объектов техническими средствами централизованного наблюдения")</f>
        <v>Оказание услуг по охране объектов техническими средствами централизованного наблюдения</v>
      </c>
      <c r="G16301" s="22" t="s">
        <v>402</v>
      </c>
      <c r="H16301" s="22" t="s">
        <v>13870</v>
      </c>
      <c r="I16301" s="26">
        <v>43495.463194444397</v>
      </c>
      <c r="J16301" s="28" t="s">
        <v>52</v>
      </c>
      <c r="K16301" s="28" t="s">
        <v>52</v>
      </c>
      <c r="L16301" s="28" t="s">
        <v>52</v>
      </c>
      <c r="M16301" s="28" t="s">
        <v>52</v>
      </c>
      <c r="N16301" s="28" t="s">
        <v>52</v>
      </c>
    </row>
    <row r="16302" spans="1:14" x14ac:dyDescent="0.15">
      <c r="A16302" s="23" t="str">
        <f>HYPERLINK("https://www.spark-marketing.ru/Card/Person/48978", "МБОУ ""МОЛОКОВСКАЯ СОШ""")</f>
        <v>МБОУ "МОЛОКОВСКАЯ СОШ"</v>
      </c>
      <c r="B16302" s="24" t="s">
        <v>18752</v>
      </c>
      <c r="C16302" s="25">
        <v>68400</v>
      </c>
      <c r="D16302" s="22" t="s">
        <v>18753</v>
      </c>
      <c r="E16302" s="22" t="s">
        <v>103</v>
      </c>
      <c r="F16302" s="23" t="str">
        <f>HYPERLINK("https://www.spark-marketing.ru/Card/Lot/67558424", "Оказание услуги по техническому обслуживанию видеонаблюдения и домофона")</f>
        <v>Оказание услуги по техническому обслуживанию видеонаблюдения и домофона</v>
      </c>
      <c r="G16302" s="22" t="s">
        <v>50</v>
      </c>
      <c r="H16302" s="22" t="s">
        <v>2391</v>
      </c>
      <c r="I16302" s="26">
        <v>43495.4605787037</v>
      </c>
      <c r="J16302" s="28" t="s">
        <v>52</v>
      </c>
      <c r="K16302" s="28" t="s">
        <v>52</v>
      </c>
      <c r="L16302" s="28" t="s">
        <v>52</v>
      </c>
      <c r="M16302" s="28" t="s">
        <v>52</v>
      </c>
      <c r="N16302" s="28" t="s">
        <v>52</v>
      </c>
    </row>
    <row r="16303" spans="1:14" ht="12.75" x14ac:dyDescent="0.2">
      <c r="A16303" s="23" t="str">
        <f>HYPERLINK("https://www.spark-marketing.ru/Card/Person/4348813", "АО ""РЖДСТРОЙ""")</f>
        <v>АО "РЖДСТРОЙ"</v>
      </c>
      <c r="B16303" s="24" t="s">
        <v>975</v>
      </c>
      <c r="C16303" s="25">
        <v>603168</v>
      </c>
      <c r="D16303" s="22" t="s">
        <v>18754</v>
      </c>
      <c r="E16303" s="22" t="s">
        <v>18755</v>
      </c>
      <c r="F16303" s="23" t="str">
        <f>HYPERLINK("https://www.spark-marketing.ru/Card/Lot/67559548", "Открытый конкурс в электронной форме № 07/01 ОО/2019 на право заключения договора на оказание услуг по охране недвижимого имущества СБК г. Воронеж, ул. Б.Хмельницкого 77а")</f>
        <v>Открытый конкурс в электронной форме № 07/01 ОО/2019 на право заключения договора на оказание услуг по охране недвижимого имущества СБК г. Воронеж, ул. Б.Хмельницкого 77а</v>
      </c>
      <c r="G16303" s="22" t="s">
        <v>552</v>
      </c>
      <c r="H16303" s="22" t="s">
        <v>552</v>
      </c>
      <c r="I16303" s="26">
        <v>43495.470254629603</v>
      </c>
      <c r="J16303" s="23" t="str">
        <f>HYPERLINK("https://www.spark-marketing.ru/Card/Person/60202", "ООО ЧОО ""ВЫМПЕЛ""")</f>
        <v>ООО ЧОО "ВЫМПЕЛ"</v>
      </c>
      <c r="K16303" s="24" t="s">
        <v>17755</v>
      </c>
      <c r="L16303" s="22" t="s">
        <v>10</v>
      </c>
      <c r="M16303" s="25">
        <v>500000</v>
      </c>
      <c r="N16303" s="27">
        <v>0.17104355668735741</v>
      </c>
    </row>
    <row r="16304" spans="1:14" x14ac:dyDescent="0.15">
      <c r="A16304" s="23" t="str">
        <f>HYPERLINK("https://www.spark-marketing.ru/Card/Person/134531", "МБДОУ ""ДЕТСКИЙ САД № 111 ""УМКА"" Г. ЧЕБОКСАРЫ")</f>
        <v>МБДОУ "ДЕТСКИЙ САД № 111 "УМКА" Г. ЧЕБОКСАРЫ</v>
      </c>
      <c r="B16304" s="24" t="s">
        <v>18756</v>
      </c>
      <c r="C16304" s="25">
        <v>17787</v>
      </c>
      <c r="D16304" s="22" t="s">
        <v>18757</v>
      </c>
      <c r="E16304" s="22" t="s">
        <v>52</v>
      </c>
      <c r="F16304" s="23" t="str">
        <f>HYPERLINK("https://www.spark-marketing.ru/Card/Lot/67554478", "Техобслуживание обслуживание систем противопожарной сигнализации и систем оповещения")</f>
        <v>Техобслуживание обслуживание систем противопожарной сигнализации и систем оповещения</v>
      </c>
      <c r="G16304" s="22" t="s">
        <v>1137</v>
      </c>
      <c r="H16304" s="22" t="s">
        <v>1138</v>
      </c>
      <c r="I16304" s="26">
        <v>43495.443749999999</v>
      </c>
      <c r="J16304" s="28" t="s">
        <v>52</v>
      </c>
      <c r="K16304" s="28" t="s">
        <v>52</v>
      </c>
      <c r="L16304" s="28" t="s">
        <v>52</v>
      </c>
      <c r="M16304" s="28" t="s">
        <v>52</v>
      </c>
      <c r="N16304" s="28" t="s">
        <v>52</v>
      </c>
    </row>
    <row r="16305" spans="1:14" x14ac:dyDescent="0.15">
      <c r="A16305" s="23" t="str">
        <f>HYPERLINK("https://www.spark-marketing.ru/Card/Person/4348624", "АО ""АЭХК""")</f>
        <v>АО "АЭХК"</v>
      </c>
      <c r="B16305" s="24" t="s">
        <v>8741</v>
      </c>
      <c r="C16305" s="25">
        <v>0</v>
      </c>
      <c r="D16305" s="22" t="s">
        <v>18758</v>
      </c>
      <c r="E16305" s="22" t="s">
        <v>53</v>
      </c>
      <c r="F16305" s="23" t="str">
        <f>HYPERLINK("https://www.spark-marketing.ru/Card/Lot/67560484", "мониторинг цен в электронной форме на Оказание услуги повышения квалификации в области рационального использования и охраны водных объектов")</f>
        <v>мониторинг цен в электронной форме на Оказание услуги повышения квалификации в области рационального использования и охраны водных объектов</v>
      </c>
      <c r="G16305" s="22" t="s">
        <v>281</v>
      </c>
      <c r="H16305" s="22" t="s">
        <v>2890</v>
      </c>
      <c r="I16305" s="26">
        <v>43495.422962962999</v>
      </c>
      <c r="J16305" s="28" t="s">
        <v>52</v>
      </c>
      <c r="K16305" s="28" t="s">
        <v>52</v>
      </c>
      <c r="L16305" s="28" t="s">
        <v>52</v>
      </c>
      <c r="M16305" s="28" t="s">
        <v>52</v>
      </c>
      <c r="N16305" s="28" t="s">
        <v>52</v>
      </c>
    </row>
    <row r="16306" spans="1:14" x14ac:dyDescent="0.15">
      <c r="A16306" s="23" t="str">
        <f>HYPERLINK("https://www.spark-marketing.ru/Card/Person/4348624", "АО ""АЭХК""")</f>
        <v>АО "АЭХК"</v>
      </c>
      <c r="B16306" s="24" t="s">
        <v>8741</v>
      </c>
      <c r="C16306" s="28" t="s">
        <v>52</v>
      </c>
      <c r="D16306" s="22" t="s">
        <v>18759</v>
      </c>
      <c r="E16306" s="22" t="s">
        <v>53</v>
      </c>
      <c r="F16306" s="23" t="str">
        <f>HYPERLINK("https://www.spark-marketing.ru/Card/Lot/67561502", "Оказание услуги повышения квалификации в области рационального использования и охраны водных объектов (1175775)")</f>
        <v>Оказание услуги повышения квалификации в области рационального использования и охраны водных объектов (1175775)</v>
      </c>
      <c r="G16306" s="22" t="s">
        <v>281</v>
      </c>
      <c r="H16306" s="22" t="s">
        <v>2890</v>
      </c>
      <c r="I16306" s="26">
        <v>43495.454872685201</v>
      </c>
      <c r="J16306" s="28" t="s">
        <v>52</v>
      </c>
      <c r="K16306" s="28" t="s">
        <v>52</v>
      </c>
      <c r="L16306" s="28" t="s">
        <v>52</v>
      </c>
      <c r="M16306" s="28" t="s">
        <v>52</v>
      </c>
      <c r="N16306" s="28" t="s">
        <v>52</v>
      </c>
    </row>
    <row r="16307" spans="1:14" x14ac:dyDescent="0.15">
      <c r="A16307" s="23" t="str">
        <f>HYPERLINK("https://www.spark-marketing.ru/Card/Person/1056889", "МАУ ДО ""ЦДТ""")</f>
        <v>МАУ ДО "ЦДТ"</v>
      </c>
      <c r="B16307" s="24" t="s">
        <v>18760</v>
      </c>
      <c r="C16307" s="25">
        <v>140000</v>
      </c>
      <c r="D16307" s="22" t="s">
        <v>18761</v>
      </c>
      <c r="E16307" s="22" t="s">
        <v>84</v>
      </c>
      <c r="F16307" s="23" t="str">
        <f>HYPERLINK("https://www.spark-marketing.ru/Card/Lot/67553528", "Обеспечение услуг по обслуживанию систем видеонаблюдения, видеодомофоном и систем ""Безопасный регион""")</f>
        <v>Обеспечение услуг по обслуживанию систем видеонаблюдения, видеодомофоном и систем "Безопасный регион"</v>
      </c>
      <c r="G16307" s="22" t="s">
        <v>50</v>
      </c>
      <c r="H16307" s="22" t="s">
        <v>682</v>
      </c>
      <c r="I16307" s="26">
        <v>43495.377557870401</v>
      </c>
      <c r="J16307" s="28" t="s">
        <v>52</v>
      </c>
      <c r="K16307" s="28" t="s">
        <v>52</v>
      </c>
      <c r="L16307" s="28" t="s">
        <v>52</v>
      </c>
      <c r="M16307" s="28" t="s">
        <v>52</v>
      </c>
      <c r="N16307" s="28" t="s">
        <v>52</v>
      </c>
    </row>
    <row r="16308" spans="1:14" x14ac:dyDescent="0.2">
      <c r="A16308" s="23" t="str">
        <f>HYPERLINK("https://www.spark-marketing.ru/Card/Person/563873", "ГАУЗ СО ""СОСП""")</f>
        <v>ГАУЗ СО "СОСП"</v>
      </c>
      <c r="B16308" s="24" t="s">
        <v>18762</v>
      </c>
      <c r="C16308" s="25">
        <v>1068960</v>
      </c>
      <c r="D16308" s="22" t="s">
        <v>18763</v>
      </c>
      <c r="E16308" s="22" t="s">
        <v>144</v>
      </c>
      <c r="F16308" s="23" t="str">
        <f>HYPERLINK("https://www.spark-marketing.ru/Card/Lot/67549369", "Охрана объектов и имущества, обеспечение внутриобъектового и пропускного режимов на объектах, в отношении которых установлены обязательные для выполнения требования к антитеррористической защищенности, защита жизни и здоровья граждан")</f>
        <v>Охрана объектов и имущества, обеспечение внутриобъектового и пропускного режимов на объектах, в отношении которых установлены обязательные для выполнения требования к антитеррористической защищенности, защита жизни и здоровья граждан</v>
      </c>
      <c r="G16308" s="22" t="s">
        <v>72</v>
      </c>
      <c r="H16308" s="22" t="s">
        <v>72</v>
      </c>
      <c r="I16308" s="26">
        <v>43495.402349536998</v>
      </c>
      <c r="J16308" s="23" t="str">
        <f>HYPERLINK("https://www.spark-marketing.ru/Card/Person/797773", "ООО ЧОП ""КАЙМАН""")</f>
        <v>ООО ЧОП "КАЙМАН"</v>
      </c>
      <c r="K16308" s="24" t="s">
        <v>9516</v>
      </c>
      <c r="L16308" s="28" t="s">
        <v>52</v>
      </c>
      <c r="M16308" s="25">
        <v>1068960</v>
      </c>
      <c r="N16308" s="27">
        <v>0</v>
      </c>
    </row>
    <row r="16309" spans="1:14" x14ac:dyDescent="0.15">
      <c r="A16309" s="23" t="str">
        <f>HYPERLINK("https://www.spark-marketing.ru/Card/Person/1018006", "БУ ГОРОДА ОМСКА ""СК ""КРАСНАЯ ЗВЕЗДА""")</f>
        <v>БУ ГОРОДА ОМСКА "СК "КРАСНАЯ ЗВЕЗДА"</v>
      </c>
      <c r="B16309" s="24" t="s">
        <v>13119</v>
      </c>
      <c r="C16309" s="25">
        <v>482092.58</v>
      </c>
      <c r="D16309" s="22" t="s">
        <v>18764</v>
      </c>
      <c r="E16309" s="22" t="s">
        <v>691</v>
      </c>
      <c r="F16309" s="23" t="str">
        <f>HYPERLINK("https://www.spark-marketing.ru/Card/Lot/67549043", "Выполнение работ по установке системы видеонаблюдения в здании крытого футбольного манежа и прилегающей к нему территории БУ города Омска ""СК ""Красная звезда""")</f>
        <v>Выполнение работ по установке системы видеонаблюдения в здании крытого футбольного манежа и прилегающей к нему территории БУ города Омска "СК "Красная звезда"</v>
      </c>
      <c r="G16309" s="22" t="s">
        <v>521</v>
      </c>
      <c r="H16309" s="22" t="s">
        <v>521</v>
      </c>
      <c r="I16309" s="26">
        <v>43495.393425925897</v>
      </c>
      <c r="J16309" s="28" t="s">
        <v>52</v>
      </c>
      <c r="K16309" s="28" t="s">
        <v>52</v>
      </c>
      <c r="L16309" s="28" t="s">
        <v>52</v>
      </c>
      <c r="M16309" s="28" t="s">
        <v>52</v>
      </c>
      <c r="N16309" s="28" t="s">
        <v>52</v>
      </c>
    </row>
    <row r="16310" spans="1:14" x14ac:dyDescent="0.2">
      <c r="A16310" s="23" t="str">
        <f>HYPERLINK("https://www.spark-marketing.ru/Card/Person/95245", "ОАО ""РЖД""")</f>
        <v>ОАО "РЖД"</v>
      </c>
      <c r="B16310" s="24" t="s">
        <v>163</v>
      </c>
      <c r="C16310" s="25">
        <v>1436270.41</v>
      </c>
      <c r="D16310" s="22" t="s">
        <v>18765</v>
      </c>
      <c r="E16310" s="22" t="s">
        <v>11572</v>
      </c>
      <c r="F16310" s="23" t="str">
        <f>HYPERLINK("https://www.spark-marketing.ru/Card/Lot/67552466", "На право заключения договора на оказание услуг по агрономическому сопровождению на объектах административно-хозяйственного центра")</f>
        <v>На право заключения договора на оказание услуг по агрономическому сопровождению на объектах административно-хозяйственного центра</v>
      </c>
      <c r="G16310" s="22" t="s">
        <v>209</v>
      </c>
      <c r="H16310" s="22" t="s">
        <v>209</v>
      </c>
      <c r="I16310" s="26">
        <v>43495.395231481503</v>
      </c>
      <c r="J16310" s="28" t="s">
        <v>52</v>
      </c>
      <c r="K16310" s="28" t="s">
        <v>52</v>
      </c>
      <c r="L16310" s="28" t="s">
        <v>52</v>
      </c>
      <c r="M16310" s="25">
        <v>1196892.01</v>
      </c>
      <c r="N16310" s="27">
        <v>0.16666666550625381</v>
      </c>
    </row>
    <row r="16311" spans="1:14" x14ac:dyDescent="0.15">
      <c r="A16311" s="23" t="str">
        <f>HYPERLINK("https://www.spark-marketing.ru/Card/Person/1010846", "БОУ Г. ОМСКА ""ГИМНАЗИЯ № 140""")</f>
        <v>БОУ Г. ОМСКА "ГИМНАЗИЯ № 140"</v>
      </c>
      <c r="B16311" s="24" t="s">
        <v>18766</v>
      </c>
      <c r="C16311" s="25">
        <v>61020</v>
      </c>
      <c r="D16311" s="22" t="s">
        <v>18767</v>
      </c>
      <c r="E16311" s="22" t="s">
        <v>59</v>
      </c>
      <c r="F16311" s="23" t="str">
        <f>HYPERLINK("https://www.spark-marketing.ru/Card/Lot/67549238", "Оказание услуг по техническому обслуживанию системы видеонаблюдения")</f>
        <v>Оказание услуг по техническому обслуживанию системы видеонаблюдения</v>
      </c>
      <c r="G16311" s="22" t="s">
        <v>521</v>
      </c>
      <c r="H16311" s="22" t="s">
        <v>522</v>
      </c>
      <c r="I16311" s="26">
        <v>43495.338888888902</v>
      </c>
      <c r="J16311" s="28" t="s">
        <v>52</v>
      </c>
      <c r="K16311" s="28" t="s">
        <v>52</v>
      </c>
      <c r="L16311" s="28" t="s">
        <v>52</v>
      </c>
      <c r="M16311" s="28" t="s">
        <v>52</v>
      </c>
      <c r="N16311" s="28" t="s">
        <v>52</v>
      </c>
    </row>
    <row r="16312" spans="1:14" x14ac:dyDescent="0.15">
      <c r="A16312" s="23" t="str">
        <f>HYPERLINK("https://www.spark-marketing.ru/Card/Person/7295", "БОУ Г.ОМСКА ""СРЕДНЯЯ ОБЩЕОБРАЗОВАТЕЛЬНАЯ ШКОЛА № 48""")</f>
        <v>БОУ Г.ОМСКА "СРЕДНЯЯ ОБЩЕОБРАЗОВАТЕЛЬНАЯ ШКОЛА № 48"</v>
      </c>
      <c r="B16312" s="24" t="s">
        <v>18768</v>
      </c>
      <c r="C16312" s="25">
        <v>12000</v>
      </c>
      <c r="D16312" s="22" t="s">
        <v>18769</v>
      </c>
      <c r="E16312" s="22" t="s">
        <v>68</v>
      </c>
      <c r="F16312" s="23" t="str">
        <f>HYPERLINK("https://www.spark-marketing.ru/Card/Lot/67549242", "Услуги по охране объектов посредством использования тревожной сигнализации (КТС)")</f>
        <v>Услуги по охране объектов посредством использования тревожной сигнализации (КТС)</v>
      </c>
      <c r="G16312" s="22" t="s">
        <v>521</v>
      </c>
      <c r="H16312" s="22" t="s">
        <v>522</v>
      </c>
      <c r="I16312" s="26">
        <v>43495.338888888902</v>
      </c>
      <c r="J16312" s="28" t="s">
        <v>52</v>
      </c>
      <c r="K16312" s="28" t="s">
        <v>52</v>
      </c>
      <c r="L16312" s="28" t="s">
        <v>52</v>
      </c>
      <c r="M16312" s="28" t="s">
        <v>52</v>
      </c>
      <c r="N16312" s="28" t="s">
        <v>52</v>
      </c>
    </row>
    <row r="16313" spans="1:14" x14ac:dyDescent="0.15">
      <c r="A16313" s="23" t="str">
        <f>HYPERLINK("https://www.spark-marketing.ru/Card/Person/83722", "БУК Г. ОМСКА ""ОМБ""")</f>
        <v>БУК Г. ОМСКА "ОМБ"</v>
      </c>
      <c r="B16313" s="24" t="s">
        <v>18770</v>
      </c>
      <c r="C16313" s="25">
        <v>168000</v>
      </c>
      <c r="D16313" s="22" t="s">
        <v>18771</v>
      </c>
      <c r="E16313" s="22" t="s">
        <v>68</v>
      </c>
      <c r="F16313" s="23" t="str">
        <f>HYPERLINK("https://www.spark-marketing.ru/Card/Lot/67550193", "Оказание услуг по охране имущества, путем осуществления контроля за состоянием средств тревожной сигнализации")</f>
        <v>Оказание услуг по охране имущества, путем осуществления контроля за состоянием средств тревожной сигнализации</v>
      </c>
      <c r="G16313" s="22" t="s">
        <v>521</v>
      </c>
      <c r="H16313" s="22" t="s">
        <v>522</v>
      </c>
      <c r="I16313" s="26">
        <v>43495.366666666698</v>
      </c>
      <c r="J16313" s="28" t="s">
        <v>52</v>
      </c>
      <c r="K16313" s="28" t="s">
        <v>52</v>
      </c>
      <c r="L16313" s="28" t="s">
        <v>52</v>
      </c>
      <c r="M16313" s="28" t="s">
        <v>52</v>
      </c>
      <c r="N16313" s="28" t="s">
        <v>52</v>
      </c>
    </row>
    <row r="16314" spans="1:14" x14ac:dyDescent="0.15">
      <c r="A16314" s="23" t="str">
        <f>HYPERLINK("https://www.spark-marketing.ru/Card/Person/4343740", "МИНЗДРАВ РОССИИ")</f>
        <v>МИНЗДРАВ РОССИИ</v>
      </c>
      <c r="B16314" s="24" t="s">
        <v>1666</v>
      </c>
      <c r="C16314" s="25">
        <v>343318608</v>
      </c>
      <c r="D16314" s="22" t="s">
        <v>18772</v>
      </c>
      <c r="E16314" s="22" t="s">
        <v>53</v>
      </c>
      <c r="F16314" s="23" t="str">
        <f>HYPERLINK("https://www.spark-marketing.ru/Card/Lot/67575250", "Фактор свертывания крови VIII + Фактор Виллебранда, лиофилизат для приготовления раствора для внутривенного введения, 500 МЕ + 1200 МЕ     в рамках реализации постановления Правительства Российской Федерации от 26.11.2018 № 1416 ""О порядке организац...")</f>
        <v>Фактор свертывания крови VIII + Фактор Виллебранда, лиофилизат для приготовления раствора для внутривенного введения, 500 МЕ + 1200 МЕ     в рамках реализации постановления Правительства Российской Федерации от 26.11.2018 № 1416 "О порядке организац...</v>
      </c>
      <c r="G16314" s="22" t="s">
        <v>428</v>
      </c>
      <c r="H16314" s="22" t="s">
        <v>429</v>
      </c>
      <c r="I16314" s="26">
        <v>43495</v>
      </c>
      <c r="J16314" s="28" t="s">
        <v>52</v>
      </c>
      <c r="K16314" s="28" t="s">
        <v>52</v>
      </c>
      <c r="L16314" s="28" t="s">
        <v>52</v>
      </c>
      <c r="M16314" s="28" t="s">
        <v>52</v>
      </c>
      <c r="N16314" s="28" t="s">
        <v>52</v>
      </c>
    </row>
    <row r="16315" spans="1:14" x14ac:dyDescent="0.15">
      <c r="A16315" s="23" t="str">
        <f>HYPERLINK("https://www.spark-marketing.ru/Card/Person/4343740", "МИНЗДРАВ РОССИИ")</f>
        <v>МИНЗДРАВ РОССИИ</v>
      </c>
      <c r="B16315" s="24" t="s">
        <v>1666</v>
      </c>
      <c r="C16315" s="25">
        <v>717689892.39999998</v>
      </c>
      <c r="D16315" s="22" t="s">
        <v>18773</v>
      </c>
      <c r="E16315" s="22" t="s">
        <v>53</v>
      </c>
      <c r="F16315" s="23" t="str">
        <f>HYPERLINK("https://www.spark-marketing.ru/Card/Lot/67563178", "Леналидомид, капсулы, 25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муковисцидозом, гипофизарным нанизмом, боле...")</f>
        <v>Леналидомид, капсулы, 25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муковисцидозом, гипофизарным нанизмом, боле...</v>
      </c>
      <c r="G16315" s="22" t="s">
        <v>64</v>
      </c>
      <c r="H16315" s="22" t="s">
        <v>65</v>
      </c>
      <c r="I16315" s="26">
        <v>43495</v>
      </c>
      <c r="J16315" s="23" t="str">
        <f>HYPERLINK("https://www.spark-marketing.ru/Card/Person/42069", "АО ""ФАРМСТАНДАРТ""")</f>
        <v>АО "ФАРМСТАНДАРТ"</v>
      </c>
      <c r="K16315" s="24" t="s">
        <v>1668</v>
      </c>
      <c r="L16315" s="22" t="s">
        <v>10</v>
      </c>
      <c r="M16315" s="28" t="s">
        <v>52</v>
      </c>
      <c r="N16315" s="28" t="s">
        <v>52</v>
      </c>
    </row>
    <row r="16316" spans="1:14" x14ac:dyDescent="0.15">
      <c r="A16316" s="23" t="str">
        <f>HYPERLINK("https://www.spark-marketing.ru/Card/Person/121400", "ТВЕРЬСТАТ")</f>
        <v>ТВЕРЬСТАТ</v>
      </c>
      <c r="B16316" s="24" t="s">
        <v>18774</v>
      </c>
      <c r="C16316" s="25">
        <v>39857.519999999997</v>
      </c>
      <c r="D16316" s="22" t="s">
        <v>18775</v>
      </c>
      <c r="E16316" s="22" t="s">
        <v>68</v>
      </c>
      <c r="F16316" s="23" t="str">
        <f>HYPERLINK("https://www.spark-marketing.ru/Card/Lot/67568255", "Услуги охраны объектов пультом централизованного наблюдения")</f>
        <v>Услуги охраны объектов пультом централизованного наблюдения</v>
      </c>
      <c r="G16316" s="22" t="s">
        <v>251</v>
      </c>
      <c r="H16316" s="22" t="s">
        <v>251</v>
      </c>
      <c r="I16316" s="26">
        <v>43495</v>
      </c>
      <c r="J16316" s="28" t="s">
        <v>52</v>
      </c>
      <c r="K16316" s="28" t="s">
        <v>52</v>
      </c>
      <c r="L16316" s="28" t="s">
        <v>52</v>
      </c>
      <c r="M16316" s="28" t="s">
        <v>52</v>
      </c>
      <c r="N16316" s="28" t="s">
        <v>52</v>
      </c>
    </row>
    <row r="16317" spans="1:14" x14ac:dyDescent="0.15">
      <c r="A16317" s="23" t="str">
        <f>HYPERLINK("https://www.spark-marketing.ru/Card/Person/4343740", "МИНЗДРАВ РОССИИ")</f>
        <v>МИНЗДРАВ РОССИИ</v>
      </c>
      <c r="B16317" s="24" t="s">
        <v>1666</v>
      </c>
      <c r="C16317" s="25">
        <v>333996608</v>
      </c>
      <c r="D16317" s="22" t="s">
        <v>18776</v>
      </c>
      <c r="E16317" s="22" t="s">
        <v>53</v>
      </c>
      <c r="F16317" s="23" t="str">
        <f>HYPERLINK("https://www.spark-marketing.ru/Card/Lot/67575712", "Фактор свертывания крови VIII + Фактор Виллебранда, лиофилизат для приготовления раствора для внутривенного введения, 450 МЕ + 400 МЕ  в рамках реализации постановления Правительства Российской Федерации от 26.11.2018 № 1416 ""О порядке организации о...")</f>
        <v>Фактор свертывания крови VIII + Фактор Виллебранда, лиофилизат для приготовления раствора для внутривенного введения, 450 МЕ + 400 МЕ  в рамках реализации постановления Правительства Российской Федерации от 26.11.2018 № 1416 "О порядке организации о...</v>
      </c>
      <c r="G16317" s="22" t="s">
        <v>428</v>
      </c>
      <c r="H16317" s="22" t="s">
        <v>429</v>
      </c>
      <c r="I16317" s="26">
        <v>43495</v>
      </c>
      <c r="J16317" s="28" t="s">
        <v>52</v>
      </c>
      <c r="K16317" s="28" t="s">
        <v>52</v>
      </c>
      <c r="L16317" s="28" t="s">
        <v>52</v>
      </c>
      <c r="M16317" s="28" t="s">
        <v>52</v>
      </c>
      <c r="N16317" s="28" t="s">
        <v>52</v>
      </c>
    </row>
    <row r="16318" spans="1:14" x14ac:dyDescent="0.15">
      <c r="A16318" s="23" t="str">
        <f>HYPERLINK("https://www.spark-marketing.ru/Card/Person/4343740", "МИНЗДРАВ РОССИИ")</f>
        <v>МИНЗДРАВ РОССИИ</v>
      </c>
      <c r="B16318" s="24" t="s">
        <v>1666</v>
      </c>
      <c r="C16318" s="25">
        <v>523311472.52999997</v>
      </c>
      <c r="D16318" s="22" t="s">
        <v>18777</v>
      </c>
      <c r="E16318" s="22" t="s">
        <v>53</v>
      </c>
      <c r="F16318" s="23" t="str">
        <f>HYPERLINK("https://www.spark-marketing.ru/Card/Lot/67551891", "Леналидомид, капсулы, 10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муковисцидозом, гипофизарным нанизмом, боле...")</f>
        <v>Леналидомид, капсулы, 10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муковисцидозом, гипофизарным нанизмом, боле...</v>
      </c>
      <c r="G16318" s="22" t="s">
        <v>428</v>
      </c>
      <c r="H16318" s="22" t="s">
        <v>429</v>
      </c>
      <c r="I16318" s="26">
        <v>43495</v>
      </c>
      <c r="J16318" s="23" t="str">
        <f>HYPERLINK("https://www.spark-marketing.ru/Card/Person/42069", "АО ""ФАРМСТАНДАРТ""")</f>
        <v>АО "ФАРМСТАНДАРТ"</v>
      </c>
      <c r="K16318" s="24" t="s">
        <v>1668</v>
      </c>
      <c r="L16318" s="22" t="s">
        <v>10</v>
      </c>
      <c r="M16318" s="28" t="s">
        <v>52</v>
      </c>
      <c r="N16318" s="28" t="s">
        <v>52</v>
      </c>
    </row>
    <row r="16319" spans="1:14" x14ac:dyDescent="0.15">
      <c r="A16319" s="23" t="str">
        <f>HYPERLINK("https://www.spark-marketing.ru/Card/Person/4343740", "МИНЗДРАВ РОССИИ")</f>
        <v>МИНЗДРАВ РОССИИ</v>
      </c>
      <c r="B16319" s="24" t="s">
        <v>1666</v>
      </c>
      <c r="C16319" s="25">
        <v>924663871.60000002</v>
      </c>
      <c r="D16319" s="22" t="s">
        <v>18778</v>
      </c>
      <c r="E16319" s="22" t="s">
        <v>53</v>
      </c>
      <c r="F16319" s="23" t="str">
        <f>HYPERLINK("https://www.spark-marketing.ru/Card/Lot/67562945", "Леналидомид, капсулы, 25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муковисцидозом, гипофизарным нанизмом, боле...")</f>
        <v>Леналидомид, капсулы, 25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муковисцидозом, гипофизарным нанизмом, боле...</v>
      </c>
      <c r="G16319" s="22" t="s">
        <v>428</v>
      </c>
      <c r="H16319" s="22" t="s">
        <v>429</v>
      </c>
      <c r="I16319" s="26">
        <v>43495</v>
      </c>
      <c r="J16319" s="23" t="str">
        <f>HYPERLINK("https://www.spark-marketing.ru/Card/Person/42069", "АО ""ФАРМСТАНДАРТ""")</f>
        <v>АО "ФАРМСТАНДАРТ"</v>
      </c>
      <c r="K16319" s="24" t="s">
        <v>1668</v>
      </c>
      <c r="L16319" s="22" t="s">
        <v>10</v>
      </c>
      <c r="M16319" s="28" t="s">
        <v>52</v>
      </c>
      <c r="N16319" s="28" t="s">
        <v>52</v>
      </c>
    </row>
    <row r="16320" spans="1:14" x14ac:dyDescent="0.15">
      <c r="A16320" s="23" t="str">
        <f>HYPERLINK("https://www.spark-marketing.ru/Card/Person/4343740", "МИНЗДРАВ РОССИИ")</f>
        <v>МИНЗДРАВ РОССИИ</v>
      </c>
      <c r="B16320" s="24" t="s">
        <v>1666</v>
      </c>
      <c r="C16320" s="25">
        <v>503101280</v>
      </c>
      <c r="D16320" s="22" t="s">
        <v>18779</v>
      </c>
      <c r="E16320" s="22" t="s">
        <v>53</v>
      </c>
      <c r="F16320" s="23" t="str">
        <f>HYPERLINK("https://www.spark-marketing.ru/Card/Lot/67576671", "Антиингибиторный коагулянтный комплекс, лиофилизат для приготовления раствора для инфузий, 500 ЕД в рамках реализации постановления Правительства Российской Федерации от 26.11.2018 № 1416 ""О порядке организации обеспечения лекарственными препаратами...")</f>
        <v>Антиингибиторный коагулянтный комплекс, лиофилизат для приготовления раствора для инфузий, 500 ЕД в рамках реализации постановления Правительства Российской Федерации от 26.11.2018 № 1416 "О порядке организации обеспечения лекарственными препаратами...</v>
      </c>
      <c r="G16320" s="22" t="s">
        <v>132</v>
      </c>
      <c r="H16320" s="22" t="s">
        <v>652</v>
      </c>
      <c r="I16320" s="26">
        <v>43495</v>
      </c>
      <c r="J16320" s="28" t="s">
        <v>52</v>
      </c>
      <c r="K16320" s="28" t="s">
        <v>52</v>
      </c>
      <c r="L16320" s="28" t="s">
        <v>52</v>
      </c>
      <c r="M16320" s="28" t="s">
        <v>52</v>
      </c>
      <c r="N16320" s="28" t="s">
        <v>52</v>
      </c>
    </row>
    <row r="16321" spans="1:14" x14ac:dyDescent="0.15">
      <c r="A16321" s="23" t="str">
        <f>HYPERLINK("https://www.spark-marketing.ru/Card/Person/21504", "УПРАВЛЕНИЕ РОСРЕЕСТРА ПО ОРЕНБУРГСКОЙ ОБЛАСТИ")</f>
        <v>УПРАВЛЕНИЕ РОСРЕЕСТРА ПО ОРЕНБУРГСКОЙ ОБЛАСТИ</v>
      </c>
      <c r="B16321" s="24" t="s">
        <v>11542</v>
      </c>
      <c r="C16321" s="25">
        <v>2259974.88</v>
      </c>
      <c r="D16321" s="22" t="s">
        <v>18780</v>
      </c>
      <c r="E16321" s="22" t="s">
        <v>68</v>
      </c>
      <c r="F16321" s="23" t="str">
        <f>HYPERLINK("https://www.spark-marketing.ru/Card/Lot/67549903", "Оказание услуг по физической охране здания и имущества  Управления Росреестра по Оренбургской области")</f>
        <v>Оказание услуг по физической охране здания и имущества  Управления Росреестра по Оренбургской области</v>
      </c>
      <c r="G16321" s="22" t="s">
        <v>384</v>
      </c>
      <c r="H16321" s="22" t="s">
        <v>696</v>
      </c>
      <c r="I16321" s="26">
        <v>43495</v>
      </c>
      <c r="J16321" s="28" t="s">
        <v>52</v>
      </c>
      <c r="K16321" s="28" t="s">
        <v>52</v>
      </c>
      <c r="L16321" s="28" t="s">
        <v>52</v>
      </c>
      <c r="M16321" s="28" t="s">
        <v>52</v>
      </c>
      <c r="N16321" s="28" t="s">
        <v>52</v>
      </c>
    </row>
    <row r="16322" spans="1:14" x14ac:dyDescent="0.15">
      <c r="A16322" s="23" t="str">
        <f>HYPERLINK("https://www.spark-marketing.ru/Card/Person/159407", "МЕЖРАЙОННАЯ ИФНС РОССИИ № 3 ПО РЕСПУБЛИКЕ МОРДОВИЯ")</f>
        <v>МЕЖРАЙОННАЯ ИФНС РОССИИ № 3 ПО РЕСПУБЛИКЕ МОРДОВИЯ</v>
      </c>
      <c r="B16322" s="24" t="s">
        <v>18781</v>
      </c>
      <c r="C16322" s="25">
        <v>453550.8</v>
      </c>
      <c r="D16322" s="22" t="s">
        <v>18782</v>
      </c>
      <c r="E16322" s="22" t="s">
        <v>68</v>
      </c>
      <c r="F16322" s="23" t="str">
        <f>HYPERLINK("https://www.spark-marketing.ru/Card/Lot/67574471", "Оказание услуг по охране и обеспечению пропускного и внутриобъектового режимов Межрайонной ИФНС России № 3 по Республике Мордовия")</f>
        <v>Оказание услуг по охране и обеспечению пропускного и внутриобъектового режимов Межрайонной ИФНС России № 3 по Республике Мордовия</v>
      </c>
      <c r="G16322" s="22" t="s">
        <v>331</v>
      </c>
      <c r="H16322" s="22" t="s">
        <v>13746</v>
      </c>
      <c r="I16322" s="26">
        <v>43495</v>
      </c>
      <c r="J16322" s="28" t="s">
        <v>52</v>
      </c>
      <c r="K16322" s="28" t="s">
        <v>52</v>
      </c>
      <c r="L16322" s="28" t="s">
        <v>52</v>
      </c>
      <c r="M16322" s="28" t="s">
        <v>52</v>
      </c>
      <c r="N16322" s="28" t="s">
        <v>52</v>
      </c>
    </row>
    <row r="16323" spans="1:14" hidden="1" outlineLevel="1" x14ac:dyDescent="0.2">
      <c r="A16323" s="23" t="str">
        <f>HYPERLINK("https://www.spark-marketing.ru/Card/Person/159407", "МЕЖРАЙОННАЯ ИФНС РОССИИ № 3 ПО РЕСПУБЛИКЕ МОРДОВИЯ")</f>
        <v>МЕЖРАЙОННАЯ ИФНС РОССИИ № 3 ПО РЕСПУБЛИКЕ МОРДОВИЯ</v>
      </c>
      <c r="B16323" s="24" t="s">
        <v>18781</v>
      </c>
      <c r="C16323" s="25">
        <v>453550.8</v>
      </c>
      <c r="D16323" s="22" t="s">
        <v>18782</v>
      </c>
      <c r="E16323" s="22" t="s">
        <v>68</v>
      </c>
      <c r="F16323" s="23" t="str">
        <f>HYPERLINK("https://www.spark-marketing.ru/Card/Lot/67574471", "Оказание услуг по охране и обеспечению пропускного и внутриобъектового режимов Межрайонной ИФНС России № 3 по Республике Мордовия")</f>
        <v>Оказание услуг по охране и обеспечению пропускного и внутриобъектового режимов Межрайонной ИФНС России № 3 по Республике Мордовия</v>
      </c>
      <c r="G16323" s="22" t="s">
        <v>331</v>
      </c>
      <c r="H16323" s="22" t="s">
        <v>13746</v>
      </c>
      <c r="I16323" s="26">
        <v>43495</v>
      </c>
      <c r="J16323" s="23" t="str">
        <f>HYPERLINK("https://www.spark-marketing.ru/Card/Person/4896136", "ФЛ ФГУП ОХРАНА ФЕДЕРАЛЬНОЙ СЛУЖБЫ ВОЙСК НАЦИОНАЛЬНОЙ ГВАРДИИ РФ ПО РП МОРДОВИЯ")</f>
        <v>ФЛ ФГУП ОХРАНА ФЕДЕРАЛЬНОЙ СЛУЖБЫ ВОЙСК НАЦИОНАЛЬНОЙ ГВАРДИИ РФ ПО РП МОРДОВИЯ</v>
      </c>
      <c r="K16323" s="24" t="s">
        <v>779</v>
      </c>
      <c r="L16323" s="28" t="s">
        <v>52</v>
      </c>
      <c r="M16323" s="25">
        <v>451283.05</v>
      </c>
      <c r="N16323" s="27">
        <v>4.9999911807012574E-3</v>
      </c>
    </row>
    <row r="16324" spans="1:14" ht="12.75" hidden="1" outlineLevel="1" x14ac:dyDescent="0.2">
      <c r="A16324" s="23" t="str">
        <f>HYPERLINK("https://www.spark-marketing.ru/Card/Person/159407", "МЕЖРАЙОННАЯ ИФНС РОССИИ № 3 ПО РЕСПУБЛИКЕ МОРДОВИЯ")</f>
        <v>МЕЖРАЙОННАЯ ИФНС РОССИИ № 3 ПО РЕСПУБЛИКЕ МОРДОВИЯ</v>
      </c>
      <c r="B16324" s="24" t="s">
        <v>18781</v>
      </c>
      <c r="C16324" s="25">
        <v>453550.8</v>
      </c>
      <c r="D16324" s="22" t="s">
        <v>18782</v>
      </c>
      <c r="E16324" s="22" t="s">
        <v>68</v>
      </c>
      <c r="F16324" s="23" t="str">
        <f>HYPERLINK("https://www.spark-marketing.ru/Card/Lot/67574471", "Оказание услуг по охране и обеспечению пропускного и внутриобъектового режимов Межрайонной ИФНС России № 3 по Республике Мордовия")</f>
        <v>Оказание услуг по охране и обеспечению пропускного и внутриобъектового режимов Межрайонной ИФНС России № 3 по Республике Мордовия</v>
      </c>
      <c r="G16324" s="22" t="s">
        <v>331</v>
      </c>
      <c r="H16324" s="22" t="s">
        <v>13746</v>
      </c>
      <c r="I16324" s="26">
        <v>43495</v>
      </c>
      <c r="J16324" s="23" t="str">
        <f>HYPERLINK("https://www.spark-marketing.ru/Card/Person/4356733", "ООО ЧОО ""ЦЕНТР""")</f>
        <v>ООО ЧОО "ЦЕНТР"</v>
      </c>
      <c r="K16324" s="24" t="s">
        <v>18783</v>
      </c>
      <c r="L16324" s="22" t="s">
        <v>10</v>
      </c>
      <c r="M16324" s="25">
        <v>449015.3</v>
      </c>
      <c r="N16324" s="27">
        <v>9.9999823614025148E-3</v>
      </c>
    </row>
    <row r="16325" spans="1:14" x14ac:dyDescent="0.15">
      <c r="A16325" s="23" t="str">
        <f>HYPERLINK("https://www.spark-marketing.ru/Card/Person/152390", "МАДОУ ""ЦЕНТР РАЗВИТИЯ РЕБЕНКА - ДЕТСКИЙ САД №91"" НМР РТ")</f>
        <v>МАДОУ "ЦЕНТР РАЗВИТИЯ РЕБЕНКА - ДЕТСКИЙ САД №91" НМР РТ</v>
      </c>
      <c r="B16325" s="24" t="s">
        <v>18784</v>
      </c>
      <c r="C16325" s="25">
        <v>10460</v>
      </c>
      <c r="D16325" s="22" t="s">
        <v>18785</v>
      </c>
      <c r="E16325" s="22" t="s">
        <v>53</v>
      </c>
      <c r="F16325" s="23" t="str">
        <f>HYPERLINK("https://www.spark-marketing.ru/Card/Lot/73677729", "Техническое обслуживание системы видеонаблюдения")</f>
        <v>Техническое обслуживание системы видеонаблюдения</v>
      </c>
      <c r="G16325" s="22" t="s">
        <v>204</v>
      </c>
      <c r="H16325" s="22" t="s">
        <v>824</v>
      </c>
      <c r="I16325" s="26">
        <v>43495.000694444403</v>
      </c>
      <c r="J16325" s="28" t="s">
        <v>52</v>
      </c>
      <c r="K16325" s="28" t="s">
        <v>52</v>
      </c>
      <c r="L16325" s="28" t="s">
        <v>52</v>
      </c>
      <c r="M16325" s="28" t="s">
        <v>52</v>
      </c>
      <c r="N16325" s="28" t="s">
        <v>52</v>
      </c>
    </row>
    <row r="16326" spans="1:14" x14ac:dyDescent="0.15">
      <c r="A16326" s="23" t="str">
        <f>HYPERLINK("https://www.spark-marketing.ru/Card/Person/1047734", "МКУ ""УПРАВЛЕНИЕ ПО ДЕЛАМ ГО И ЧС Г. СМОЛЕНСКА""")</f>
        <v>МКУ "УПРАВЛЕНИЕ ПО ДЕЛАМ ГО И ЧС Г. СМОЛЕНСКА"</v>
      </c>
      <c r="B16326" s="24" t="s">
        <v>10784</v>
      </c>
      <c r="C16326" s="25">
        <v>377712</v>
      </c>
      <c r="D16326" s="22" t="s">
        <v>18786</v>
      </c>
      <c r="E16326" s="22" t="s">
        <v>52</v>
      </c>
      <c r="F16326" s="23" t="str">
        <f>HYPERLINK("https://www.spark-marketing.ru/Card/Lot/67555790", "Услуги охраны")</f>
        <v>Услуги охраны</v>
      </c>
      <c r="G16326" s="22" t="s">
        <v>956</v>
      </c>
      <c r="H16326" s="22" t="s">
        <v>1451</v>
      </c>
      <c r="I16326" s="26">
        <v>43495</v>
      </c>
      <c r="J16326" s="28" t="s">
        <v>52</v>
      </c>
      <c r="K16326" s="28" t="s">
        <v>52</v>
      </c>
      <c r="L16326" s="28" t="s">
        <v>52</v>
      </c>
      <c r="M16326" s="28" t="s">
        <v>52</v>
      </c>
      <c r="N16326" s="28" t="s">
        <v>52</v>
      </c>
    </row>
    <row r="16327" spans="1:14" ht="12.75" hidden="1" outlineLevel="1" x14ac:dyDescent="0.2">
      <c r="A16327" s="23" t="str">
        <f>HYPERLINK("https://www.spark-marketing.ru/Card/Person/1047734", "МКУ ""УПРАВЛЕНИЕ ПО ДЕЛАМ ГО И ЧС Г. СМОЛЕНСКА""")</f>
        <v>МКУ "УПРАВЛЕНИЕ ПО ДЕЛАМ ГО И ЧС Г. СМОЛЕНСКА"</v>
      </c>
      <c r="B16327" s="24" t="s">
        <v>10784</v>
      </c>
      <c r="C16327" s="25">
        <v>377712</v>
      </c>
      <c r="D16327" s="22" t="s">
        <v>18786</v>
      </c>
      <c r="E16327" s="22" t="s">
        <v>52</v>
      </c>
      <c r="F16327" s="23" t="str">
        <f>HYPERLINK("https://www.spark-marketing.ru/Card/Lot/67555790", "Услуги охраны")</f>
        <v>Услуги охраны</v>
      </c>
      <c r="G16327" s="22" t="s">
        <v>956</v>
      </c>
      <c r="H16327" s="22" t="s">
        <v>1451</v>
      </c>
      <c r="I16327" s="26">
        <v>43495</v>
      </c>
      <c r="J16327" s="23" t="str">
        <f>HYPERLINK("https://www.spark-marketing.ru/Card/Person/18325", "ООО ЧОП ""ПЕРЕСВЕТ-СБ""")</f>
        <v>ООО ЧОП "ПЕРЕСВЕТ-СБ"</v>
      </c>
      <c r="K16327" s="24" t="s">
        <v>7965</v>
      </c>
      <c r="L16327" s="22" t="s">
        <v>10</v>
      </c>
      <c r="M16327" s="25">
        <v>254951</v>
      </c>
      <c r="N16327" s="27">
        <v>0.32501217859109588</v>
      </c>
    </row>
    <row r="16328" spans="1:14" hidden="1" outlineLevel="1" x14ac:dyDescent="0.2">
      <c r="A16328" s="23" t="str">
        <f>HYPERLINK("https://www.spark-marketing.ru/Card/Person/1047734", "МКУ ""УПРАВЛЕНИЕ ПО ДЕЛАМ ГО И ЧС Г. СМОЛЕНСКА""")</f>
        <v>МКУ "УПРАВЛЕНИЕ ПО ДЕЛАМ ГО И ЧС Г. СМОЛЕНСКА"</v>
      </c>
      <c r="B16328" s="24" t="s">
        <v>10784</v>
      </c>
      <c r="C16328" s="25">
        <v>377712</v>
      </c>
      <c r="D16328" s="22" t="s">
        <v>18786</v>
      </c>
      <c r="E16328" s="22" t="s">
        <v>52</v>
      </c>
      <c r="F16328" s="23" t="str">
        <f>HYPERLINK("https://www.spark-marketing.ru/Card/Lot/67555790", "Услуги охраны")</f>
        <v>Услуги охраны</v>
      </c>
      <c r="G16328" s="22" t="s">
        <v>956</v>
      </c>
      <c r="H16328" s="22" t="s">
        <v>1451</v>
      </c>
      <c r="I16328" s="26">
        <v>43495</v>
      </c>
      <c r="J16328" s="23" t="str">
        <f>HYPERLINK("https://www.spark-marketing.ru/Card/Person/5915815", "ООО ЧОП ""ФИЛИН""")</f>
        <v>ООО ЧОП "ФИЛИН"</v>
      </c>
      <c r="K16328" s="24" t="s">
        <v>8527</v>
      </c>
      <c r="L16328" s="28" t="s">
        <v>52</v>
      </c>
      <c r="M16328" s="25">
        <v>256840.2</v>
      </c>
      <c r="N16328" s="27">
        <v>0.32001048417842165</v>
      </c>
    </row>
    <row r="16329" spans="1:14" x14ac:dyDescent="0.15">
      <c r="A16329" s="23" t="s">
        <v>121</v>
      </c>
      <c r="B16329" s="28" t="s">
        <v>52</v>
      </c>
      <c r="C16329" s="25">
        <v>271898.31</v>
      </c>
      <c r="D16329" s="22" t="s">
        <v>18787</v>
      </c>
      <c r="E16329" s="22" t="s">
        <v>107</v>
      </c>
      <c r="F16329" s="23" t="str">
        <f t="shared" ref="F16329:F16339" si="845">HYPERLINK("https://www.spark-marketing.ru/Card/Lot/67551817", "Оказание услуг по техническому обслуживанию системы видеонаблюдения")</f>
        <v>Оказание услуг по техническому обслуживанию системы видеонаблюдения</v>
      </c>
      <c r="G16329" s="22" t="s">
        <v>52</v>
      </c>
      <c r="H16329" s="22" t="s">
        <v>52</v>
      </c>
      <c r="I16329" s="26">
        <v>43495</v>
      </c>
      <c r="J16329" s="28" t="s">
        <v>52</v>
      </c>
      <c r="K16329" s="28" t="s">
        <v>52</v>
      </c>
      <c r="L16329" s="28" t="s">
        <v>52</v>
      </c>
      <c r="M16329" s="28" t="s">
        <v>52</v>
      </c>
      <c r="N16329" s="28" t="s">
        <v>52</v>
      </c>
    </row>
    <row r="16330" spans="1:14" hidden="1" outlineLevel="1" x14ac:dyDescent="0.15">
      <c r="A16330" s="23" t="str">
        <f>HYPERLINK("https://www.spark-marketing.ru/Card/Person/42330", "МОБУ СОШ № 6")</f>
        <v>МОБУ СОШ № 6</v>
      </c>
      <c r="B16330" s="24" t="s">
        <v>18727</v>
      </c>
      <c r="C16330" s="25">
        <v>64945.19</v>
      </c>
      <c r="D16330" s="22" t="s">
        <v>18787</v>
      </c>
      <c r="E16330" s="22" t="s">
        <v>107</v>
      </c>
      <c r="F16330" s="23" t="str">
        <f t="shared" si="845"/>
        <v>Оказание услуг по техническому обслуживанию системы видеонаблюдения</v>
      </c>
      <c r="G16330" s="22" t="s">
        <v>50</v>
      </c>
      <c r="H16330" s="22" t="s">
        <v>1936</v>
      </c>
      <c r="I16330" s="26">
        <v>43495</v>
      </c>
      <c r="J16330" s="28" t="s">
        <v>52</v>
      </c>
      <c r="K16330" s="28" t="s">
        <v>52</v>
      </c>
      <c r="L16330" s="28" t="s">
        <v>52</v>
      </c>
      <c r="M16330" s="28" t="s">
        <v>52</v>
      </c>
      <c r="N16330" s="28" t="s">
        <v>52</v>
      </c>
    </row>
    <row r="16331" spans="1:14" hidden="1" outlineLevel="1" x14ac:dyDescent="0.15">
      <c r="A16331" s="23" t="str">
        <f>HYPERLINK("https://www.spark-marketing.ru/Card/Person/143942", "МОБУДО ""ДШИ""")</f>
        <v>МОБУДО "ДШИ"</v>
      </c>
      <c r="B16331" s="24" t="s">
        <v>18788</v>
      </c>
      <c r="C16331" s="25">
        <v>42092.160000000003</v>
      </c>
      <c r="D16331" s="22" t="s">
        <v>18787</v>
      </c>
      <c r="E16331" s="22" t="s">
        <v>107</v>
      </c>
      <c r="F16331" s="23" t="str">
        <f t="shared" si="845"/>
        <v>Оказание услуг по техническому обслуживанию системы видеонаблюдения</v>
      </c>
      <c r="G16331" s="22" t="s">
        <v>50</v>
      </c>
      <c r="H16331" s="22" t="s">
        <v>1936</v>
      </c>
      <c r="I16331" s="26">
        <v>43495</v>
      </c>
      <c r="J16331" s="28" t="s">
        <v>52</v>
      </c>
      <c r="K16331" s="28" t="s">
        <v>52</v>
      </c>
      <c r="L16331" s="28" t="s">
        <v>52</v>
      </c>
      <c r="M16331" s="28" t="s">
        <v>52</v>
      </c>
      <c r="N16331" s="28" t="s">
        <v>52</v>
      </c>
    </row>
    <row r="16332" spans="1:14" hidden="1" outlineLevel="1" x14ac:dyDescent="0.15">
      <c r="A16332" s="23" t="str">
        <f>HYPERLINK("https://www.spark-marketing.ru/Card/Person/144564", "МОБУ СОШ № 2")</f>
        <v>МОБУ СОШ № 2</v>
      </c>
      <c r="B16332" s="24" t="s">
        <v>18789</v>
      </c>
      <c r="C16332" s="25">
        <v>56122.879999999997</v>
      </c>
      <c r="D16332" s="22" t="s">
        <v>18787</v>
      </c>
      <c r="E16332" s="22" t="s">
        <v>107</v>
      </c>
      <c r="F16332" s="23" t="str">
        <f t="shared" si="845"/>
        <v>Оказание услуг по техническому обслуживанию системы видеонаблюдения</v>
      </c>
      <c r="G16332" s="22" t="s">
        <v>50</v>
      </c>
      <c r="H16332" s="22" t="s">
        <v>1936</v>
      </c>
      <c r="I16332" s="26">
        <v>43495</v>
      </c>
      <c r="J16332" s="28" t="s">
        <v>52</v>
      </c>
      <c r="K16332" s="28" t="s">
        <v>52</v>
      </c>
      <c r="L16332" s="28" t="s">
        <v>52</v>
      </c>
      <c r="M16332" s="28" t="s">
        <v>52</v>
      </c>
      <c r="N16332" s="28" t="s">
        <v>52</v>
      </c>
    </row>
    <row r="16333" spans="1:14" hidden="1" outlineLevel="1" x14ac:dyDescent="0.15">
      <c r="A16333" s="23" t="str">
        <f>HYPERLINK("https://www.spark-marketing.ru/Card/Person/144565", "МОБУ ЛИЦЕЙ")</f>
        <v>МОБУ ЛИЦЕЙ</v>
      </c>
      <c r="B16333" s="24" t="s">
        <v>18790</v>
      </c>
      <c r="C16333" s="25">
        <v>56122.879999999997</v>
      </c>
      <c r="D16333" s="22" t="s">
        <v>18787</v>
      </c>
      <c r="E16333" s="22" t="s">
        <v>107</v>
      </c>
      <c r="F16333" s="23" t="str">
        <f t="shared" si="845"/>
        <v>Оказание услуг по техническому обслуживанию системы видеонаблюдения</v>
      </c>
      <c r="G16333" s="22" t="s">
        <v>50</v>
      </c>
      <c r="H16333" s="22" t="s">
        <v>1936</v>
      </c>
      <c r="I16333" s="26">
        <v>43495</v>
      </c>
      <c r="J16333" s="28" t="s">
        <v>52</v>
      </c>
      <c r="K16333" s="28" t="s">
        <v>52</v>
      </c>
      <c r="L16333" s="28" t="s">
        <v>52</v>
      </c>
      <c r="M16333" s="28" t="s">
        <v>52</v>
      </c>
      <c r="N16333" s="28" t="s">
        <v>52</v>
      </c>
    </row>
    <row r="16334" spans="1:14" hidden="1" outlineLevel="1" x14ac:dyDescent="0.15">
      <c r="A16334" s="23" t="str">
        <f>HYPERLINK("https://www.spark-marketing.ru/Card/Person/1022154", "МКОУШ ДЛЯ ОБУЧАЮЩИХСЯ С ОВЗ")</f>
        <v>МКОУШ ДЛЯ ОБУЧАЮЩИХСЯ С ОВЗ</v>
      </c>
      <c r="B16334" s="24" t="s">
        <v>18791</v>
      </c>
      <c r="C16334" s="25">
        <v>52615.199999999997</v>
      </c>
      <c r="D16334" s="22" t="s">
        <v>18787</v>
      </c>
      <c r="E16334" s="22" t="s">
        <v>107</v>
      </c>
      <c r="F16334" s="23" t="str">
        <f t="shared" si="845"/>
        <v>Оказание услуг по техническому обслуживанию системы видеонаблюдения</v>
      </c>
      <c r="G16334" s="22" t="s">
        <v>50</v>
      </c>
      <c r="H16334" s="22" t="s">
        <v>1936</v>
      </c>
      <c r="I16334" s="26">
        <v>43495</v>
      </c>
      <c r="J16334" s="28" t="s">
        <v>52</v>
      </c>
      <c r="K16334" s="28" t="s">
        <v>52</v>
      </c>
      <c r="L16334" s="28" t="s">
        <v>52</v>
      </c>
      <c r="M16334" s="28" t="s">
        <v>52</v>
      </c>
      <c r="N16334" s="28" t="s">
        <v>52</v>
      </c>
    </row>
    <row r="16335" spans="1:14" hidden="1" outlineLevel="1" x14ac:dyDescent="0.2">
      <c r="A16335" s="28" t="s">
        <v>52</v>
      </c>
      <c r="B16335" s="28" t="s">
        <v>52</v>
      </c>
      <c r="C16335" s="28" t="s">
        <v>52</v>
      </c>
      <c r="D16335" s="22" t="s">
        <v>18787</v>
      </c>
      <c r="E16335" s="22" t="s">
        <v>107</v>
      </c>
      <c r="F16335" s="23" t="str">
        <f t="shared" si="845"/>
        <v>Оказание услуг по техническому обслуживанию системы видеонаблюдения</v>
      </c>
      <c r="G16335" s="22" t="s">
        <v>52</v>
      </c>
      <c r="H16335" s="22" t="s">
        <v>52</v>
      </c>
      <c r="I16335" s="26">
        <v>43495</v>
      </c>
      <c r="J16335" s="23" t="str">
        <f>HYPERLINK("https://www.spark-marketing.ru/Card/Person/2564074", "ООО ""М.О.ТЕЛЕКОМ""")</f>
        <v>ООО "М.О.ТЕЛЕКОМ"</v>
      </c>
      <c r="K16335" s="24" t="s">
        <v>18792</v>
      </c>
      <c r="L16335" s="22" t="s">
        <v>10</v>
      </c>
      <c r="M16335" s="25">
        <v>86100</v>
      </c>
      <c r="N16335" s="27">
        <v>0.6833374948156169</v>
      </c>
    </row>
    <row r="16336" spans="1:14" hidden="1" outlineLevel="1" x14ac:dyDescent="0.2">
      <c r="A16336" s="28" t="s">
        <v>52</v>
      </c>
      <c r="B16336" s="28" t="s">
        <v>52</v>
      </c>
      <c r="C16336" s="28" t="s">
        <v>52</v>
      </c>
      <c r="D16336" s="22" t="s">
        <v>18787</v>
      </c>
      <c r="E16336" s="22" t="s">
        <v>107</v>
      </c>
      <c r="F16336" s="23" t="str">
        <f t="shared" si="845"/>
        <v>Оказание услуг по техническому обслуживанию системы видеонаблюдения</v>
      </c>
      <c r="G16336" s="22" t="s">
        <v>52</v>
      </c>
      <c r="H16336" s="22" t="s">
        <v>52</v>
      </c>
      <c r="I16336" s="26">
        <v>43495</v>
      </c>
      <c r="J16336" s="23" t="str">
        <f>HYPERLINK("https://www.spark-marketing.ru/Card/Person/705225", "ООО ""СПЕЦМОНТАЖ""")</f>
        <v>ООО "СПЕЦМОНТАЖ"</v>
      </c>
      <c r="K16336" s="24" t="s">
        <v>2727</v>
      </c>
      <c r="L16336" s="28" t="s">
        <v>52</v>
      </c>
      <c r="M16336" s="25">
        <v>99690.5</v>
      </c>
      <c r="N16336" s="27">
        <v>0.63335373434281372</v>
      </c>
    </row>
    <row r="16337" spans="1:14" hidden="1" outlineLevel="1" x14ac:dyDescent="0.2">
      <c r="A16337" s="28" t="s">
        <v>52</v>
      </c>
      <c r="B16337" s="28" t="s">
        <v>52</v>
      </c>
      <c r="C16337" s="28" t="s">
        <v>52</v>
      </c>
      <c r="D16337" s="22" t="s">
        <v>18787</v>
      </c>
      <c r="E16337" s="22" t="s">
        <v>107</v>
      </c>
      <c r="F16337" s="23" t="str">
        <f t="shared" si="845"/>
        <v>Оказание услуг по техническому обслуживанию системы видеонаблюдения</v>
      </c>
      <c r="G16337" s="22" t="s">
        <v>52</v>
      </c>
      <c r="H16337" s="22" t="s">
        <v>52</v>
      </c>
      <c r="I16337" s="26">
        <v>43495</v>
      </c>
      <c r="J16337" s="23" t="str">
        <f>HYPERLINK("https://www.spark-marketing.ru/Card/Person/6458260", "ООО ""АККОРД""")</f>
        <v>ООО "АККОРД"</v>
      </c>
      <c r="K16337" s="24" t="s">
        <v>1674</v>
      </c>
      <c r="L16337" s="28" t="s">
        <v>52</v>
      </c>
      <c r="M16337" s="25">
        <v>240000</v>
      </c>
      <c r="N16337" s="27">
        <v>0.11731705871948965</v>
      </c>
    </row>
    <row r="16338" spans="1:14" hidden="1" outlineLevel="1" x14ac:dyDescent="0.2">
      <c r="A16338" s="28" t="s">
        <v>52</v>
      </c>
      <c r="B16338" s="28" t="s">
        <v>52</v>
      </c>
      <c r="C16338" s="28" t="s">
        <v>52</v>
      </c>
      <c r="D16338" s="22" t="s">
        <v>18787</v>
      </c>
      <c r="E16338" s="22" t="s">
        <v>107</v>
      </c>
      <c r="F16338" s="23" t="str">
        <f t="shared" si="845"/>
        <v>Оказание услуг по техническому обслуживанию системы видеонаблюдения</v>
      </c>
      <c r="G16338" s="22" t="s">
        <v>52</v>
      </c>
      <c r="H16338" s="22" t="s">
        <v>52</v>
      </c>
      <c r="I16338" s="26">
        <v>43495</v>
      </c>
      <c r="J16338" s="23" t="str">
        <f>HYPERLINK("https://www.spark-marketing.ru/Card/Person/6229845", "Сафулов Денис Алимджанович")</f>
        <v>Сафулов Денис Алимджанович</v>
      </c>
      <c r="K16338" s="24" t="s">
        <v>12419</v>
      </c>
      <c r="L16338" s="28" t="s">
        <v>52</v>
      </c>
      <c r="M16338" s="25">
        <v>99000</v>
      </c>
      <c r="N16338" s="27">
        <v>0.63589328672178946</v>
      </c>
    </row>
    <row r="16339" spans="1:14" hidden="1" outlineLevel="1" x14ac:dyDescent="0.2">
      <c r="A16339" s="28" t="s">
        <v>52</v>
      </c>
      <c r="B16339" s="28" t="s">
        <v>52</v>
      </c>
      <c r="C16339" s="28" t="s">
        <v>52</v>
      </c>
      <c r="D16339" s="22" t="s">
        <v>18787</v>
      </c>
      <c r="E16339" s="22" t="s">
        <v>107</v>
      </c>
      <c r="F16339" s="23" t="str">
        <f t="shared" si="845"/>
        <v>Оказание услуг по техническому обслуживанию системы видеонаблюдения</v>
      </c>
      <c r="G16339" s="22" t="s">
        <v>52</v>
      </c>
      <c r="H16339" s="22" t="s">
        <v>52</v>
      </c>
      <c r="I16339" s="26">
        <v>43495</v>
      </c>
      <c r="J16339" s="23" t="str">
        <f>HYPERLINK("https://www.spark-marketing.ru/Card/Person/1333678", "ООО ""ВИКИНГ-М""")</f>
        <v>ООО "ВИКИНГ-М"</v>
      </c>
      <c r="K16339" s="24" t="s">
        <v>18793</v>
      </c>
      <c r="L16339" s="28" t="s">
        <v>52</v>
      </c>
      <c r="M16339" s="25">
        <v>114640.5</v>
      </c>
      <c r="N16339" s="27">
        <v>0.57836994279221521</v>
      </c>
    </row>
    <row r="16340" spans="1:14" x14ac:dyDescent="0.15">
      <c r="A16340" s="23" t="str">
        <f>HYPERLINK("https://www.spark-marketing.ru/Card/Person/4343740", "МИНЗДРАВ РОССИИ")</f>
        <v>МИНЗДРАВ РОССИИ</v>
      </c>
      <c r="B16340" s="24" t="s">
        <v>1666</v>
      </c>
      <c r="C16340" s="25">
        <v>260073990</v>
      </c>
      <c r="D16340" s="22" t="s">
        <v>18794</v>
      </c>
      <c r="E16340" s="22" t="s">
        <v>53</v>
      </c>
      <c r="F16340" s="23" t="str">
        <f>HYPERLINK("https://www.spark-marketing.ru/Card/Lot/67573560", "Фактор свертывания крови IX, лиофилизат для приготовления раствора для внутривенного введения и/или инфузий, 500-600 МЕ  в рамках реализации постановления Правительства Российской Федерации от 26.11.2018 № 1416 ""О порядке организации обеспечения лек...")</f>
        <v>Фактор свертывания крови IX, лиофилизат для приготовления раствора для внутривенного введения и/или инфузий, 500-600 МЕ  в рамках реализации постановления Правительства Российской Федерации от 26.11.2018 № 1416 "О порядке организации обеспечения лек...</v>
      </c>
      <c r="G16340" s="22" t="s">
        <v>428</v>
      </c>
      <c r="H16340" s="22" t="s">
        <v>429</v>
      </c>
      <c r="I16340" s="26">
        <v>43495</v>
      </c>
      <c r="J16340" s="28" t="s">
        <v>52</v>
      </c>
      <c r="K16340" s="28" t="s">
        <v>52</v>
      </c>
      <c r="L16340" s="28" t="s">
        <v>52</v>
      </c>
      <c r="M16340" s="28" t="s">
        <v>52</v>
      </c>
      <c r="N16340" s="28" t="s">
        <v>52</v>
      </c>
    </row>
    <row r="16341" spans="1:14" x14ac:dyDescent="0.15">
      <c r="A16341" s="23" t="str">
        <f>HYPERLINK("https://www.spark-marketing.ru/Card/Person/4343740", "МИНЗДРАВ РОССИИ")</f>
        <v>МИНЗДРАВ РОССИИ</v>
      </c>
      <c r="B16341" s="24" t="s">
        <v>1666</v>
      </c>
      <c r="C16341" s="25">
        <v>221770440</v>
      </c>
      <c r="D16341" s="22" t="s">
        <v>18795</v>
      </c>
      <c r="E16341" s="22" t="s">
        <v>53</v>
      </c>
      <c r="F16341" s="23" t="str">
        <f>HYPERLINK("https://www.spark-marketing.ru/Card/Lot/67575714", "Фактор свертывания крови VIII + Фактор Виллебранда, лиофилизат для приготовления раствора для внутривенного введения, 1000 МЕ + 2400 МЕ    в рамках реализации постановления Правительства Российской Федерации от 26.11.2018 № 1416 ""О порядке организац...")</f>
        <v>Фактор свертывания крови VIII + Фактор Виллебранда, лиофилизат для приготовления раствора для внутривенного введения, 1000 МЕ + 2400 МЕ    в рамках реализации постановления Правительства Российской Федерации от 26.11.2018 № 1416 "О порядке организац...</v>
      </c>
      <c r="G16341" s="22" t="s">
        <v>428</v>
      </c>
      <c r="H16341" s="22" t="s">
        <v>429</v>
      </c>
      <c r="I16341" s="26">
        <v>43495</v>
      </c>
      <c r="J16341" s="28" t="s">
        <v>52</v>
      </c>
      <c r="K16341" s="28" t="s">
        <v>52</v>
      </c>
      <c r="L16341" s="28" t="s">
        <v>52</v>
      </c>
      <c r="M16341" s="28" t="s">
        <v>52</v>
      </c>
      <c r="N16341" s="28" t="s">
        <v>52</v>
      </c>
    </row>
    <row r="16342" spans="1:14" x14ac:dyDescent="0.15">
      <c r="A16342" s="23" t="str">
        <f>HYPERLINK("https://www.spark-marketing.ru/Card/Person/4343740", "МИНЗДРАВ РОССИИ")</f>
        <v>МИНЗДРАВ РОССИИ</v>
      </c>
      <c r="B16342" s="24" t="s">
        <v>1666</v>
      </c>
      <c r="C16342" s="25">
        <v>45924787.700000003</v>
      </c>
      <c r="D16342" s="22" t="s">
        <v>18796</v>
      </c>
      <c r="E16342" s="22" t="s">
        <v>53</v>
      </c>
      <c r="F16342" s="23" t="str">
        <f>HYPERLINK("https://www.spark-marketing.ru/Card/Lot/67551841", "Пэгинтерферон бета-1а, раствор для подкожного введения, 63 мкг; 94 мкг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f>
        <v>Пэгинтерферон бета-1а, раствор для подкожного введения, 63 мкг; 94 мкг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v>
      </c>
      <c r="G16342" s="22" t="s">
        <v>428</v>
      </c>
      <c r="H16342" s="22" t="s">
        <v>429</v>
      </c>
      <c r="I16342" s="26">
        <v>43495</v>
      </c>
      <c r="J16342" s="23" t="str">
        <f>HYPERLINK("https://www.spark-marketing.ru/Card/Person/42069", "АО ""ФАРМСТАНДАРТ""")</f>
        <v>АО "ФАРМСТАНДАРТ"</v>
      </c>
      <c r="K16342" s="24" t="s">
        <v>1668</v>
      </c>
      <c r="L16342" s="22" t="s">
        <v>10</v>
      </c>
      <c r="M16342" s="28" t="s">
        <v>52</v>
      </c>
      <c r="N16342" s="28" t="s">
        <v>52</v>
      </c>
    </row>
    <row r="16343" spans="1:14" x14ac:dyDescent="0.15">
      <c r="A16343" s="23" t="str">
        <f>HYPERLINK("https://www.spark-marketing.ru/Card/Person/4343740", "МИНЗДРАВ РОССИИ")</f>
        <v>МИНЗДРАВ РОССИИ</v>
      </c>
      <c r="B16343" s="24" t="s">
        <v>1666</v>
      </c>
      <c r="C16343" s="25">
        <v>788798890</v>
      </c>
      <c r="D16343" s="22" t="s">
        <v>18797</v>
      </c>
      <c r="E16343" s="22" t="s">
        <v>53</v>
      </c>
      <c r="F16343" s="23" t="str">
        <f>HYPERLINK("https://www.spark-marketing.ru/Card/Lot/67576670", "Фактор свертывания крови IX, лиофилизат для приготовления раствора для внутривенного введения и/или инфузий, 1000-1200 МЕ   в рамках реализации постановления Правительства Российской Федерации от 26.11.2018 № 1416 ""О порядке организации обеспечения ...")</f>
        <v>Фактор свертывания крови IX, лиофилизат для приготовления раствора для внутривенного введения и/или инфузий, 1000-1200 МЕ   в рамках реализации постановления Правительства Российской Федерации от 26.11.2018 № 1416 "О порядке организации обеспечения ...</v>
      </c>
      <c r="G16343" s="22" t="s">
        <v>428</v>
      </c>
      <c r="H16343" s="22" t="s">
        <v>429</v>
      </c>
      <c r="I16343" s="26">
        <v>43495</v>
      </c>
      <c r="J16343" s="28" t="s">
        <v>52</v>
      </c>
      <c r="K16343" s="28" t="s">
        <v>52</v>
      </c>
      <c r="L16343" s="28" t="s">
        <v>52</v>
      </c>
      <c r="M16343" s="28" t="s">
        <v>52</v>
      </c>
      <c r="N16343" s="28" t="s">
        <v>52</v>
      </c>
    </row>
    <row r="16344" spans="1:14" x14ac:dyDescent="0.15">
      <c r="A16344" s="23" t="str">
        <f>HYPERLINK("https://www.spark-marketing.ru/Card/Person/159791", "МЕЖРАЙОННАЯ ИФНС РОССИИ № 17 ПО РЕСПУБЛИКЕ ТАТАРСТАН")</f>
        <v>МЕЖРАЙОННАЯ ИФНС РОССИИ № 17 ПО РЕСПУБЛИКЕ ТАТАРСТАН</v>
      </c>
      <c r="B16344" s="24" t="s">
        <v>18798</v>
      </c>
      <c r="C16344" s="25">
        <v>25666.799999999999</v>
      </c>
      <c r="D16344" s="22" t="s">
        <v>18799</v>
      </c>
      <c r="E16344" s="22" t="s">
        <v>11359</v>
      </c>
      <c r="F16344" s="23" t="str">
        <f>HYPERLINK("https://www.spark-marketing.ru/Card/Lot/67554337", "Прочая закупка товаров, работ и услуг. Охрана имущества")</f>
        <v>Прочая закупка товаров, работ и услуг. Охрана имущества</v>
      </c>
      <c r="G16344" s="22" t="s">
        <v>204</v>
      </c>
      <c r="H16344" s="22" t="s">
        <v>18800</v>
      </c>
      <c r="I16344" s="26">
        <v>43495</v>
      </c>
      <c r="J16344" s="28" t="s">
        <v>52</v>
      </c>
      <c r="K16344" s="28" t="s">
        <v>52</v>
      </c>
      <c r="L16344" s="28" t="s">
        <v>52</v>
      </c>
      <c r="M16344" s="28" t="s">
        <v>52</v>
      </c>
      <c r="N16344" s="28" t="s">
        <v>52</v>
      </c>
    </row>
    <row r="16345" spans="1:14" x14ac:dyDescent="0.15">
      <c r="A16345" s="23" t="str">
        <f>HYPERLINK("https://www.spark-marketing.ru/Card/Person/149714", "УПРАВЛЕНИЕ РОСПОТРЕБНАДЗОРА ПО ТОМСКОЙ ОБЛАСТИ")</f>
        <v>УПРАВЛЕНИЕ РОСПОТРЕБНАДЗОРА ПО ТОМСКОЙ ОБЛАСТИ</v>
      </c>
      <c r="B16345" s="24" t="s">
        <v>15747</v>
      </c>
      <c r="C16345" s="25">
        <v>680495.04</v>
      </c>
      <c r="D16345" s="22" t="s">
        <v>18801</v>
      </c>
      <c r="E16345" s="22" t="s">
        <v>68</v>
      </c>
      <c r="F16345" s="23" t="str">
        <f>HYPERLINK("https://www.spark-marketing.ru/Card/Lot/67545923", "Оказание услуг по физической охране объекта")</f>
        <v>Оказание услуг по физической охране объекта</v>
      </c>
      <c r="G16345" s="22" t="s">
        <v>150</v>
      </c>
      <c r="H16345" s="22" t="s">
        <v>1656</v>
      </c>
      <c r="I16345" s="26">
        <v>43495</v>
      </c>
      <c r="J16345" s="23" t="str">
        <f>HYPERLINK("https://www.spark-marketing.ru/Card/Person/63886", "ООО ""ЧОП ""ПУТИНА""")</f>
        <v>ООО "ЧОП "ПУТИНА"</v>
      </c>
      <c r="K16345" s="24" t="s">
        <v>14886</v>
      </c>
      <c r="L16345" s="28" t="s">
        <v>52</v>
      </c>
      <c r="M16345" s="28" t="s">
        <v>52</v>
      </c>
      <c r="N16345" s="28" t="s">
        <v>52</v>
      </c>
    </row>
    <row r="16346" spans="1:14" hidden="1" outlineLevel="1" x14ac:dyDescent="0.2">
      <c r="A16346" s="23" t="str">
        <f>HYPERLINK("https://www.spark-marketing.ru/Card/Person/149714", "УПРАВЛЕНИЕ РОСПОТРЕБНАДЗОРА ПО ТОМСКОЙ ОБЛАСТИ")</f>
        <v>УПРАВЛЕНИЕ РОСПОТРЕБНАДЗОРА ПО ТОМСКОЙ ОБЛАСТИ</v>
      </c>
      <c r="B16346" s="24" t="s">
        <v>15747</v>
      </c>
      <c r="C16346" s="25">
        <v>680495.04</v>
      </c>
      <c r="D16346" s="22" t="s">
        <v>18801</v>
      </c>
      <c r="E16346" s="22" t="s">
        <v>68</v>
      </c>
      <c r="F16346" s="23" t="str">
        <f>HYPERLINK("https://www.spark-marketing.ru/Card/Lot/67545923", "Оказание услуг по физической охране объекта")</f>
        <v>Оказание услуг по физической охране объекта</v>
      </c>
      <c r="G16346" s="22" t="s">
        <v>150</v>
      </c>
      <c r="H16346" s="22" t="s">
        <v>1656</v>
      </c>
      <c r="I16346" s="26">
        <v>43495</v>
      </c>
      <c r="J16346" s="23" t="str">
        <f>HYPERLINK("https://www.spark-marketing.ru/Card/Person/63886", "ООО ""ЧОП ""ПУТИНА""")</f>
        <v>ООО "ЧОП "ПУТИНА"</v>
      </c>
      <c r="K16346" s="24" t="s">
        <v>14886</v>
      </c>
      <c r="L16346" s="28" t="s">
        <v>52</v>
      </c>
      <c r="M16346" s="25">
        <v>677092.56</v>
      </c>
      <c r="N16346" s="27">
        <v>5.0000070536884442E-3</v>
      </c>
    </row>
    <row r="16347" spans="1:14" x14ac:dyDescent="0.15">
      <c r="A16347" s="23" t="str">
        <f>HYPERLINK("https://www.spark-marketing.ru/Card/Person/134196", "СЛУЖБА ОДМС КБР")</f>
        <v>СЛУЖБА ОДМС КБР</v>
      </c>
      <c r="B16347" s="24" t="s">
        <v>18802</v>
      </c>
      <c r="C16347" s="25">
        <v>11311341.6</v>
      </c>
      <c r="D16347" s="22" t="s">
        <v>18803</v>
      </c>
      <c r="E16347" s="22" t="s">
        <v>68</v>
      </c>
      <c r="F16347" s="23" t="str">
        <f>HYPERLINK("https://www.spark-marketing.ru/Card/Lot/67574012", "Услуги по военизированной охране помещений занимаемых мировыми судьями КБР")</f>
        <v>Услуги по военизированной охране помещений занимаемых мировыми судьями КБР</v>
      </c>
      <c r="G16347" s="22" t="s">
        <v>110</v>
      </c>
      <c r="H16347" s="22" t="s">
        <v>111</v>
      </c>
      <c r="I16347" s="26">
        <v>43495</v>
      </c>
      <c r="J16347" s="23" t="str">
        <f>HYPERLINK("https://www.spark-marketing.ru/Card/Person/4903934", "ФЛ ФГУП ОХРАНА ФЕДЕРАЛЬНОЙ СЛУЖБЫ ВОЙСК НАЦИОНАЛЬНОЙ ГВАРДИИ РОССИИЙСКОЙ ФЕДЕРАЦИИ ПО КАБАРДИНО БАЛКАРСКОЙ РП")</f>
        <v>ФЛ ФГУП ОХРАНА ФЕДЕРАЛЬНОЙ СЛУЖБЫ ВОЙСК НАЦИОНАЛЬНОЙ ГВАРДИИ РОССИИЙСКОЙ ФЕДЕРАЦИИ ПО КАБАРДИНО БАЛКАРСКОЙ РП</v>
      </c>
      <c r="K16347" s="24" t="s">
        <v>779</v>
      </c>
      <c r="L16347" s="22" t="s">
        <v>10</v>
      </c>
      <c r="M16347" s="28" t="s">
        <v>52</v>
      </c>
      <c r="N16347" s="28" t="s">
        <v>52</v>
      </c>
    </row>
    <row r="16348" spans="1:14" x14ac:dyDescent="0.15">
      <c r="A16348" s="23" t="str">
        <f>HYPERLINK("https://www.spark-marketing.ru/Card/Person/20794", "ОБЛКОМДОРТРАНС")</f>
        <v>ОБЛКОМДОРТРАНС</v>
      </c>
      <c r="B16348" s="24" t="s">
        <v>18804</v>
      </c>
      <c r="C16348" s="25">
        <v>8316000</v>
      </c>
      <c r="D16348" s="22" t="s">
        <v>18805</v>
      </c>
      <c r="E16348" s="22" t="s">
        <v>68</v>
      </c>
      <c r="F16348" s="23" t="str">
        <f>HYPERLINK("https://www.spark-marketing.ru/Card/Lot/67556874", "Оказание охранных услуг на объекте: мост через р. Ахтуба км 21+700 на автомобильной дороге ""Волгоград - Краснослободск - Средняя Ахтуба"" в Среднеахтубинском муниципальном районе Волгоградской области")</f>
        <v>Оказание охранных услуг на объекте: мост через р. Ахтуба км 21+700 на автомобильной дороге "Волгоград - Краснослободск - Средняя Ахтуба" в Среднеахтубинском муниципальном районе Волгоградской области</v>
      </c>
      <c r="G16348" s="22" t="s">
        <v>343</v>
      </c>
      <c r="H16348" s="22" t="s">
        <v>344</v>
      </c>
      <c r="I16348" s="26">
        <v>43495</v>
      </c>
      <c r="J16348" s="28" t="s">
        <v>52</v>
      </c>
      <c r="K16348" s="28" t="s">
        <v>52</v>
      </c>
      <c r="L16348" s="28" t="s">
        <v>52</v>
      </c>
      <c r="M16348" s="28" t="s">
        <v>52</v>
      </c>
      <c r="N16348" s="28" t="s">
        <v>52</v>
      </c>
    </row>
    <row r="16349" spans="1:14" x14ac:dyDescent="0.15">
      <c r="A16349" s="23" t="str">
        <f>HYPERLINK("https://www.spark-marketing.ru/Card/Person/4343740", "МИНЗДРАВ РОССИИ")</f>
        <v>МИНЗДРАВ РОССИИ</v>
      </c>
      <c r="B16349" s="24" t="s">
        <v>1666</v>
      </c>
      <c r="C16349" s="25">
        <v>1039907952</v>
      </c>
      <c r="D16349" s="22" t="s">
        <v>18806</v>
      </c>
      <c r="E16349" s="22" t="s">
        <v>53</v>
      </c>
      <c r="F16349" s="23" t="str">
        <f>HYPERLINK("https://www.spark-marketing.ru/Card/Lot/67575711", "Фактор свертывания крови VIII + Фактор Виллебранда, лиофилизат для приготовления раствора для внутривенного введения, 900 МЕ + 800 МЕ в рамках реализации постановления Правительства Российской Федерации от 26.11.2018 № 1416 ""О порядке организации об...")</f>
        <v>Фактор свертывания крови VIII + Фактор Виллебранда, лиофилизат для приготовления раствора для внутривенного введения, 900 МЕ + 800 МЕ в рамках реализации постановления Правительства Российской Федерации от 26.11.2018 № 1416 "О порядке организации об...</v>
      </c>
      <c r="G16349" s="22" t="s">
        <v>565</v>
      </c>
      <c r="H16349" s="22" t="s">
        <v>566</v>
      </c>
      <c r="I16349" s="26">
        <v>43495</v>
      </c>
      <c r="J16349" s="28" t="s">
        <v>52</v>
      </c>
      <c r="K16349" s="28" t="s">
        <v>52</v>
      </c>
      <c r="L16349" s="28" t="s">
        <v>52</v>
      </c>
      <c r="M16349" s="28" t="s">
        <v>52</v>
      </c>
      <c r="N16349" s="28" t="s">
        <v>52</v>
      </c>
    </row>
    <row r="16350" spans="1:14" x14ac:dyDescent="0.15">
      <c r="A16350" s="23" t="str">
        <f>HYPERLINK("https://www.spark-marketing.ru/Card/Person/4343740", "МИНЗДРАВ РОССИИ")</f>
        <v>МИНЗДРАВ РОССИИ</v>
      </c>
      <c r="B16350" s="24" t="s">
        <v>1666</v>
      </c>
      <c r="C16350" s="25">
        <v>56799000</v>
      </c>
      <c r="D16350" s="22" t="s">
        <v>18807</v>
      </c>
      <c r="E16350" s="22" t="s">
        <v>53</v>
      </c>
      <c r="F16350" s="23" t="str">
        <f>HYPERLINK("https://www.spark-marketing.ru/Card/Lot/67572529", "Микофеноловая кислота, таблетки, покрытые кишечнорастворимой оболочкой, 180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f>
        <v>Микофеноловая кислота, таблетки, покрытые кишечнорастворимой оболочкой, 180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v>
      </c>
      <c r="G16350" s="22" t="s">
        <v>428</v>
      </c>
      <c r="H16350" s="22" t="s">
        <v>429</v>
      </c>
      <c r="I16350" s="26">
        <v>43495</v>
      </c>
      <c r="J16350" s="28" t="s">
        <v>52</v>
      </c>
      <c r="K16350" s="28" t="s">
        <v>52</v>
      </c>
      <c r="L16350" s="28" t="s">
        <v>52</v>
      </c>
      <c r="M16350" s="28" t="s">
        <v>52</v>
      </c>
      <c r="N16350" s="28" t="s">
        <v>52</v>
      </c>
    </row>
    <row r="16351" spans="1:14" hidden="1" outlineLevel="1" x14ac:dyDescent="0.2">
      <c r="A16351" s="23" t="str">
        <f>HYPERLINK("https://www.spark-marketing.ru/Card/Person/4343740", "МИНЗДРАВ РОССИИ")</f>
        <v>МИНЗДРАВ РОССИИ</v>
      </c>
      <c r="B16351" s="24" t="s">
        <v>1666</v>
      </c>
      <c r="C16351" s="25">
        <v>56799000</v>
      </c>
      <c r="D16351" s="22" t="s">
        <v>18807</v>
      </c>
      <c r="E16351" s="22" t="s">
        <v>53</v>
      </c>
      <c r="F16351" s="23" t="str">
        <f>HYPERLINK("https://www.spark-marketing.ru/Card/Lot/67572529", "Микофеноловая кислота, таблетки, покрытые кишечнорастворимой оболочкой, 180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f>
        <v>Микофеноловая кислота, таблетки, покрытые кишечнорастворимой оболочкой, 180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v>
      </c>
      <c r="G16351" s="22" t="s">
        <v>428</v>
      </c>
      <c r="H16351" s="22" t="s">
        <v>429</v>
      </c>
      <c r="I16351" s="26">
        <v>43495</v>
      </c>
      <c r="J16351" s="23" t="str">
        <f>HYPERLINK("https://www.spark-marketing.ru/Card/Person/4345864", "АО ""Р-ФАРМ""")</f>
        <v>АО "Р-ФАРМ"</v>
      </c>
      <c r="K16351" s="24" t="s">
        <v>5343</v>
      </c>
      <c r="L16351" s="28" t="s">
        <v>52</v>
      </c>
      <c r="M16351" s="25">
        <v>41179275</v>
      </c>
      <c r="N16351" s="27">
        <v>0.27500000000000002</v>
      </c>
    </row>
    <row r="16352" spans="1:14" ht="12.75" hidden="1" outlineLevel="1" x14ac:dyDescent="0.2">
      <c r="A16352" s="23" t="str">
        <f>HYPERLINK("https://www.spark-marketing.ru/Card/Person/4343740", "МИНЗДРАВ РОССИИ")</f>
        <v>МИНЗДРАВ РОССИИ</v>
      </c>
      <c r="B16352" s="24" t="s">
        <v>1666</v>
      </c>
      <c r="C16352" s="25">
        <v>56799000</v>
      </c>
      <c r="D16352" s="22" t="s">
        <v>18807</v>
      </c>
      <c r="E16352" s="22" t="s">
        <v>53</v>
      </c>
      <c r="F16352" s="23" t="str">
        <f>HYPERLINK("https://www.spark-marketing.ru/Card/Lot/67572529", "Микофеноловая кислота, таблетки, покрытые кишечнорастворимой оболочкой, 180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f>
        <v>Микофеноловая кислота, таблетки, покрытые кишечнорастворимой оболочкой, 180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v>
      </c>
      <c r="G16352" s="22" t="s">
        <v>428</v>
      </c>
      <c r="H16352" s="22" t="s">
        <v>429</v>
      </c>
      <c r="I16352" s="26">
        <v>43495</v>
      </c>
      <c r="J16352" s="23" t="str">
        <f>HYPERLINK("https://www.spark-marketing.ru/Card/Person/2579665", "ООО ""ФАРМАТРИКС""")</f>
        <v>ООО "ФАРМАТРИКС"</v>
      </c>
      <c r="K16352" s="24" t="s">
        <v>18808</v>
      </c>
      <c r="L16352" s="22" t="s">
        <v>10</v>
      </c>
      <c r="M16352" s="25">
        <v>40895280</v>
      </c>
      <c r="N16352" s="27">
        <v>0.28000000000000003</v>
      </c>
    </row>
    <row r="16353" spans="1:14" x14ac:dyDescent="0.15">
      <c r="A16353" s="23" t="str">
        <f>HYPERLINK("https://www.spark-marketing.ru/Card/Person/17887", "УПРАВЛЕНИЕ ДЕЛАМИ ГЛАВЫ И ПРАВИТЕЛЬСТВА КАБАРДИНО-БАЛКАРСКОЙ РЕСПУБЛИКИ")</f>
        <v>УПРАВЛЕНИЕ ДЕЛАМИ ГЛАВЫ И ПРАВИТЕЛЬСТВА КАБАРДИНО-БАЛКАРСКОЙ РЕСПУБЛИКИ</v>
      </c>
      <c r="B16353" s="24" t="s">
        <v>14975</v>
      </c>
      <c r="C16353" s="25">
        <v>7267167.7999999998</v>
      </c>
      <c r="D16353" s="22" t="s">
        <v>18809</v>
      </c>
      <c r="E16353" s="22" t="s">
        <v>68</v>
      </c>
      <c r="F16353" s="23" t="str">
        <f>HYPERLINK("https://www.spark-marketing.ru/Card/Lot/67569596", "Оказание охранных услуг")</f>
        <v>Оказание охранных услуг</v>
      </c>
      <c r="G16353" s="22" t="s">
        <v>110</v>
      </c>
      <c r="H16353" s="22" t="s">
        <v>111</v>
      </c>
      <c r="I16353" s="26">
        <v>43495</v>
      </c>
      <c r="J16353" s="23" t="str">
        <f>HYPERLINK("https://www.spark-marketing.ru/Card/Person/10487", "ФГУП ""ОХРАНА"" РОСГВАРДИИ")</f>
        <v>ФГУП "ОХРАНА" РОСГВАРДИИ</v>
      </c>
      <c r="K16353" s="24" t="s">
        <v>779</v>
      </c>
      <c r="L16353" s="22" t="s">
        <v>10</v>
      </c>
      <c r="M16353" s="28" t="s">
        <v>52</v>
      </c>
      <c r="N16353" s="28" t="s">
        <v>52</v>
      </c>
    </row>
    <row r="16354" spans="1:14" x14ac:dyDescent="0.15">
      <c r="A16354" s="23" t="str">
        <f>HYPERLINK("https://www.spark-marketing.ru/Card/Person/244760", "ГКУ СО ""ДИРЕКЦИЯ ТРАНСПОРТА И ДОРОЖНОГО ХОЗЯЙСТВА""")</f>
        <v>ГКУ СО "ДИРЕКЦИЯ ТРАНСПОРТА И ДОРОЖНОГО ХОЗЯЙСТВА"</v>
      </c>
      <c r="B16354" s="24" t="s">
        <v>77</v>
      </c>
      <c r="C16354" s="25">
        <v>14140493.52</v>
      </c>
      <c r="D16354" s="22" t="s">
        <v>18810</v>
      </c>
      <c r="E16354" s="22" t="s">
        <v>68</v>
      </c>
      <c r="F16354" s="23" t="str">
        <f>HYPERLINK("https://www.spark-marketing.ru/Card/Lot/67567876", "Оказание услуг по охране автомобильного моста ""Саратов-Энгельс""")</f>
        <v>Оказание услуг по охране автомобильного моста "Саратов-Энгельс"</v>
      </c>
      <c r="G16354" s="22" t="s">
        <v>80</v>
      </c>
      <c r="H16354" s="22" t="s">
        <v>80</v>
      </c>
      <c r="I16354" s="26">
        <v>43495</v>
      </c>
      <c r="J16354" s="28" t="s">
        <v>52</v>
      </c>
      <c r="K16354" s="28" t="s">
        <v>52</v>
      </c>
      <c r="L16354" s="28" t="s">
        <v>52</v>
      </c>
      <c r="M16354" s="28" t="s">
        <v>52</v>
      </c>
      <c r="N16354" s="28" t="s">
        <v>52</v>
      </c>
    </row>
    <row r="16355" spans="1:14" x14ac:dyDescent="0.15">
      <c r="A16355" s="23" t="str">
        <f>HYPERLINK("https://www.spark-marketing.ru/Card/Person/4343740", "МИНЗДРАВ РОССИИ")</f>
        <v>МИНЗДРАВ РОССИИ</v>
      </c>
      <c r="B16355" s="24" t="s">
        <v>1666</v>
      </c>
      <c r="C16355" s="25">
        <v>177752147.38999999</v>
      </c>
      <c r="D16355" s="22" t="s">
        <v>18811</v>
      </c>
      <c r="E16355" s="22" t="s">
        <v>53</v>
      </c>
      <c r="F16355" s="23" t="str">
        <f>HYPERLINK("https://www.spark-marketing.ru/Card/Lot/67573464", "Ритуксимаб, раствор для подкожного введения, 1400 мг/11,7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f>
        <v>Ритуксимаб, раствор для подкожного введения, 1400 мг/11,7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v>
      </c>
      <c r="G16355" s="22" t="s">
        <v>428</v>
      </c>
      <c r="H16355" s="22" t="s">
        <v>429</v>
      </c>
      <c r="I16355" s="26">
        <v>43495</v>
      </c>
      <c r="J16355" s="23" t="str">
        <f>HYPERLINK("https://www.spark-marketing.ru/Card/Person/42069", "АО ""ФАРМСТАНДАРТ""")</f>
        <v>АО "ФАРМСТАНДАРТ"</v>
      </c>
      <c r="K16355" s="24" t="s">
        <v>1668</v>
      </c>
      <c r="L16355" s="22" t="s">
        <v>10</v>
      </c>
      <c r="M16355" s="28" t="s">
        <v>52</v>
      </c>
      <c r="N16355" s="28" t="s">
        <v>52</v>
      </c>
    </row>
    <row r="16356" spans="1:14" x14ac:dyDescent="0.15">
      <c r="A16356" s="23" t="str">
        <f>HYPERLINK("https://www.spark-marketing.ru/Card/Person/4343740", "МИНЗДРАВ РОССИИ")</f>
        <v>МИНЗДРАВ РОССИИ</v>
      </c>
      <c r="B16356" s="24" t="s">
        <v>1666</v>
      </c>
      <c r="C16356" s="25">
        <v>994264759.91999996</v>
      </c>
      <c r="D16356" s="22" t="s">
        <v>18812</v>
      </c>
      <c r="E16356" s="22" t="s">
        <v>53</v>
      </c>
      <c r="F16356" s="23" t="str">
        <f>HYPERLINK("https://www.spark-marketing.ru/Card/Lot/67562936", "Леналидомид, капсулы, 25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муковисцидозом, гипофизарным нанизмом, боле...")</f>
        <v>Леналидомид, капсулы, 25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муковисцидозом, гипофизарным нанизмом, боле...</v>
      </c>
      <c r="G16356" s="22" t="s">
        <v>514</v>
      </c>
      <c r="H16356" s="22" t="s">
        <v>2167</v>
      </c>
      <c r="I16356" s="26">
        <v>43495</v>
      </c>
      <c r="J16356" s="23" t="str">
        <f>HYPERLINK("https://www.spark-marketing.ru/Card/Person/42069", "АО ""ФАРМСТАНДАРТ""")</f>
        <v>АО "ФАРМСТАНДАРТ"</v>
      </c>
      <c r="K16356" s="24" t="s">
        <v>1668</v>
      </c>
      <c r="L16356" s="22" t="s">
        <v>10</v>
      </c>
      <c r="M16356" s="28" t="s">
        <v>52</v>
      </c>
      <c r="N16356" s="28" t="s">
        <v>52</v>
      </c>
    </row>
    <row r="16357" spans="1:14" x14ac:dyDescent="0.15">
      <c r="A16357" s="23" t="str">
        <f>HYPERLINK("https://www.spark-marketing.ru/Card/Person/159791", "МЕЖРАЙОННАЯ ИФНС РОССИИ № 17 ПО РЕСПУБЛИКЕ ТАТАРСТАН")</f>
        <v>МЕЖРАЙОННАЯ ИФНС РОССИИ № 17 ПО РЕСПУБЛИКЕ ТАТАРСТАН</v>
      </c>
      <c r="B16357" s="24" t="s">
        <v>18798</v>
      </c>
      <c r="C16357" s="25">
        <v>53603.4</v>
      </c>
      <c r="D16357" s="22" t="s">
        <v>18813</v>
      </c>
      <c r="E16357" s="22" t="s">
        <v>11359</v>
      </c>
      <c r="F16357" s="23" t="str">
        <f>HYPERLINK("https://www.spark-marketing.ru/Card/Lot/67555821", "Прочая закупка товаров, работ и услуг. Охрана имущества")</f>
        <v>Прочая закупка товаров, работ и услуг. Охрана имущества</v>
      </c>
      <c r="G16357" s="22" t="s">
        <v>204</v>
      </c>
      <c r="H16357" s="22" t="s">
        <v>18814</v>
      </c>
      <c r="I16357" s="26">
        <v>43495</v>
      </c>
      <c r="J16357" s="28" t="s">
        <v>52</v>
      </c>
      <c r="K16357" s="28" t="s">
        <v>52</v>
      </c>
      <c r="L16357" s="28" t="s">
        <v>52</v>
      </c>
      <c r="M16357" s="28" t="s">
        <v>52</v>
      </c>
      <c r="N16357" s="28" t="s">
        <v>52</v>
      </c>
    </row>
    <row r="16358" spans="1:14" x14ac:dyDescent="0.15">
      <c r="A16358" s="23" t="str">
        <f>HYPERLINK("https://www.spark-marketing.ru/Card/Person/86801", "РГБУ ""ПРОИЗВОДСТВЕННО-ТЕХНИЧЕСКОЕ УПРАВЛЕНИЕ ГЛАВЫ И ПРАВИТЕЛЬСТВА КАРАЧАЕВО-ЧЕРКЕССКОЙ РЕСПУБЛИКИ""")</f>
        <v>РГБУ "ПРОИЗВОДСТВЕННО-ТЕХНИЧЕСКОЕ УПРАВЛЕНИЕ ГЛАВЫ И ПРАВИТЕЛЬСТВА КАРАЧАЕВО-ЧЕРКЕССКОЙ РЕСПУБЛИКИ"</v>
      </c>
      <c r="B16358" s="24" t="s">
        <v>9832</v>
      </c>
      <c r="C16358" s="25">
        <v>3425904.3</v>
      </c>
      <c r="D16358" s="22" t="s">
        <v>18815</v>
      </c>
      <c r="E16358" s="22" t="s">
        <v>68</v>
      </c>
      <c r="F16358" s="23" t="str">
        <f>HYPERLINK("https://www.spark-marketing.ru/Card/Lot/67556650", "Охрана объекта по адресу г. Черкесск ул. Ленина 438 правоохранительными органами")</f>
        <v>Охрана объекта по адресу г. Черкесск ул. Ленина 438 правоохранительными органами</v>
      </c>
      <c r="G16358" s="22" t="s">
        <v>3936</v>
      </c>
      <c r="H16358" s="22" t="s">
        <v>7564</v>
      </c>
      <c r="I16358" s="26">
        <v>43495</v>
      </c>
      <c r="J16358" s="28" t="s">
        <v>52</v>
      </c>
      <c r="K16358" s="28" t="s">
        <v>52</v>
      </c>
      <c r="L16358" s="28" t="s">
        <v>52</v>
      </c>
      <c r="M16358" s="28" t="s">
        <v>52</v>
      </c>
      <c r="N16358" s="28" t="s">
        <v>52</v>
      </c>
    </row>
    <row r="16359" spans="1:14" x14ac:dyDescent="0.15">
      <c r="A16359" s="23" t="str">
        <f>HYPERLINK("https://www.spark-marketing.ru/Card/Person/4343740", "МИНЗДРАВ РОССИИ")</f>
        <v>МИНЗДРАВ РОССИИ</v>
      </c>
      <c r="B16359" s="24" t="s">
        <v>1666</v>
      </c>
      <c r="C16359" s="25">
        <v>18076517.5</v>
      </c>
      <c r="D16359" s="22" t="s">
        <v>18816</v>
      </c>
      <c r="E16359" s="22" t="s">
        <v>53</v>
      </c>
      <c r="F16359" s="23" t="str">
        <f>HYPERLINK("https://www.spark-marketing.ru/Card/Lot/67575233", "Фактор свертывания крови IX, лиофилизат для приготовления раствора для внутривенного введения и/или инфузий, 250 МЕ в рамках реализации постановления Правительства Российской Федерации от 26.11.2018 № 1416 ""О порядке организации обеспечения лекарств...")</f>
        <v>Фактор свертывания крови IX, лиофилизат для приготовления раствора для внутривенного введения и/или инфузий, 250 МЕ в рамках реализации постановления Правительства Российской Федерации от 26.11.2018 № 1416 "О порядке организации обеспечения лекарств...</v>
      </c>
      <c r="G16359" s="22" t="s">
        <v>428</v>
      </c>
      <c r="H16359" s="22" t="s">
        <v>429</v>
      </c>
      <c r="I16359" s="26">
        <v>43495</v>
      </c>
      <c r="J16359" s="28" t="s">
        <v>52</v>
      </c>
      <c r="K16359" s="28" t="s">
        <v>52</v>
      </c>
      <c r="L16359" s="28" t="s">
        <v>52</v>
      </c>
      <c r="M16359" s="28" t="s">
        <v>52</v>
      </c>
      <c r="N16359" s="28" t="s">
        <v>52</v>
      </c>
    </row>
    <row r="16360" spans="1:14" x14ac:dyDescent="0.15">
      <c r="A16360" s="23" t="str">
        <f>HYPERLINK("https://www.spark-marketing.ru/Card/Person/20794", "ОБЛКОМДОРТРАНС")</f>
        <v>ОБЛКОМДОРТРАНС</v>
      </c>
      <c r="B16360" s="24" t="s">
        <v>18804</v>
      </c>
      <c r="C16360" s="25">
        <v>11088000</v>
      </c>
      <c r="D16360" s="22" t="s">
        <v>18817</v>
      </c>
      <c r="E16360" s="22" t="s">
        <v>68</v>
      </c>
      <c r="F16360" s="23" t="str">
        <f>HYPERLINK("https://www.spark-marketing.ru/Card/Lot/67564093", "Оказание охранных услуг на объекте: мост через р. Дон км 60+560 на автомобильной дороге ""Михайловка (км 15) - Серафимович - Суровикино"" в Серафимовичском муниципальном районе Волгоградской области")</f>
        <v>Оказание охранных услуг на объекте: мост через р. Дон км 60+560 на автомобильной дороге "Михайловка (км 15) - Серафимович - Суровикино" в Серафимовичском муниципальном районе Волгоградской области</v>
      </c>
      <c r="G16360" s="22" t="s">
        <v>343</v>
      </c>
      <c r="H16360" s="22" t="s">
        <v>344</v>
      </c>
      <c r="I16360" s="26">
        <v>43495</v>
      </c>
      <c r="J16360" s="28" t="s">
        <v>52</v>
      </c>
      <c r="K16360" s="28" t="s">
        <v>52</v>
      </c>
      <c r="L16360" s="28" t="s">
        <v>52</v>
      </c>
      <c r="M16360" s="28" t="s">
        <v>52</v>
      </c>
      <c r="N16360" s="28" t="s">
        <v>52</v>
      </c>
    </row>
    <row r="16361" spans="1:14" x14ac:dyDescent="0.15">
      <c r="A16361" s="23" t="str">
        <f>HYPERLINK("https://www.spark-marketing.ru/Card/Person/134196", "СЛУЖБА ОДМС КБР")</f>
        <v>СЛУЖБА ОДМС КБР</v>
      </c>
      <c r="B16361" s="24" t="s">
        <v>18802</v>
      </c>
      <c r="C16361" s="25">
        <v>2262268.3199999998</v>
      </c>
      <c r="D16361" s="22" t="s">
        <v>18818</v>
      </c>
      <c r="E16361" s="22" t="s">
        <v>68</v>
      </c>
      <c r="F16361" s="23" t="str">
        <f>HYPERLINK("https://www.spark-marketing.ru/Card/Lot/67560147", "Услуги по военизированной охране помещений занимаемых мировыми судьями КБР")</f>
        <v>Услуги по военизированной охране помещений занимаемых мировыми судьями КБР</v>
      </c>
      <c r="G16361" s="22" t="s">
        <v>110</v>
      </c>
      <c r="H16361" s="22" t="s">
        <v>111</v>
      </c>
      <c r="I16361" s="26">
        <v>43495</v>
      </c>
      <c r="J16361" s="28" t="s">
        <v>52</v>
      </c>
      <c r="K16361" s="28" t="s">
        <v>52</v>
      </c>
      <c r="L16361" s="28" t="s">
        <v>52</v>
      </c>
      <c r="M16361" s="28" t="s">
        <v>52</v>
      </c>
      <c r="N16361" s="28" t="s">
        <v>52</v>
      </c>
    </row>
    <row r="16362" spans="1:14" x14ac:dyDescent="0.15">
      <c r="A16362" s="23" t="str">
        <f>HYPERLINK("https://www.spark-marketing.ru/Card/Person/159791", "МЕЖРАЙОННАЯ ИФНС РОССИИ № 17 ПО РЕСПУБЛИКЕ ТАТАРСТАН")</f>
        <v>МЕЖРАЙОННАЯ ИФНС РОССИИ № 17 ПО РЕСПУБЛИКЕ ТАТАРСТАН</v>
      </c>
      <c r="B16362" s="24" t="s">
        <v>18798</v>
      </c>
      <c r="C16362" s="25">
        <v>53603.4</v>
      </c>
      <c r="D16362" s="22" t="s">
        <v>18819</v>
      </c>
      <c r="E16362" s="22" t="s">
        <v>11359</v>
      </c>
      <c r="F16362" s="23" t="str">
        <f>HYPERLINK("https://www.spark-marketing.ru/Card/Lot/67555824", "Прочая закупка товаров, работ и услуг. Охрана имущества")</f>
        <v>Прочая закупка товаров, работ и услуг. Охрана имущества</v>
      </c>
      <c r="G16362" s="22" t="s">
        <v>204</v>
      </c>
      <c r="H16362" s="22" t="s">
        <v>18814</v>
      </c>
      <c r="I16362" s="26">
        <v>43495</v>
      </c>
      <c r="J16362" s="28" t="s">
        <v>52</v>
      </c>
      <c r="K16362" s="28" t="s">
        <v>52</v>
      </c>
      <c r="L16362" s="28" t="s">
        <v>52</v>
      </c>
      <c r="M16362" s="28" t="s">
        <v>52</v>
      </c>
      <c r="N16362" s="28" t="s">
        <v>52</v>
      </c>
    </row>
    <row r="16363" spans="1:14" x14ac:dyDescent="0.15">
      <c r="A16363" s="23" t="str">
        <f>HYPERLINK("https://www.spark-marketing.ru/Card/Person/4343740", "МИНЗДРАВ РОССИИ")</f>
        <v>МИНЗДРАВ РОССИИ</v>
      </c>
      <c r="B16363" s="24" t="s">
        <v>1666</v>
      </c>
      <c r="C16363" s="25">
        <v>575537625</v>
      </c>
      <c r="D16363" s="22" t="s">
        <v>18820</v>
      </c>
      <c r="E16363" s="22" t="s">
        <v>53</v>
      </c>
      <c r="F16363" s="23" t="str">
        <f>HYPERLINK("https://www.spark-marketing.ru/Card/Lot/67557012", "Октоког альфа, лиофилизат для приготовления раствора для внутривенного введения, 500 МЕ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f>
        <v>Октоког альфа, лиофилизат для приготовления раствора для внутривенного введения, 500 МЕ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v>
      </c>
      <c r="G16363" s="22" t="s">
        <v>428</v>
      </c>
      <c r="H16363" s="22" t="s">
        <v>429</v>
      </c>
      <c r="I16363" s="26">
        <v>43495</v>
      </c>
      <c r="J16363" s="23" t="str">
        <f>HYPERLINK("https://www.spark-marketing.ru/Card/Person/42069", "АО ""ФАРМСТАНДАРТ""")</f>
        <v>АО "ФАРМСТАНДАРТ"</v>
      </c>
      <c r="K16363" s="24" t="s">
        <v>1668</v>
      </c>
      <c r="L16363" s="22" t="s">
        <v>10</v>
      </c>
      <c r="M16363" s="28" t="s">
        <v>52</v>
      </c>
      <c r="N16363" s="28" t="s">
        <v>52</v>
      </c>
    </row>
    <row r="16364" spans="1:14" x14ac:dyDescent="0.15">
      <c r="A16364" s="23" t="str">
        <f>HYPERLINK("https://www.spark-marketing.ru/Card/Person/4343740", "МИНЗДРАВ РОССИИ")</f>
        <v>МИНЗДРАВ РОССИИ</v>
      </c>
      <c r="B16364" s="24" t="s">
        <v>1666</v>
      </c>
      <c r="C16364" s="25">
        <v>964839543.60000002</v>
      </c>
      <c r="D16364" s="22" t="s">
        <v>18821</v>
      </c>
      <c r="E16364" s="22" t="s">
        <v>53</v>
      </c>
      <c r="F16364" s="23" t="str">
        <f>HYPERLINK("https://www.spark-marketing.ru/Card/Lot/67563177", "Леналидомид, капсулы, 25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муковисцидозом, гипофизарным нанизмом, боле...")</f>
        <v>Леналидомид, капсулы, 25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муковисцидозом, гипофизарным нанизмом, боле...</v>
      </c>
      <c r="G16364" s="22" t="s">
        <v>714</v>
      </c>
      <c r="H16364" s="22" t="s">
        <v>714</v>
      </c>
      <c r="I16364" s="26">
        <v>43495</v>
      </c>
      <c r="J16364" s="23" t="str">
        <f>HYPERLINK("https://www.spark-marketing.ru/Card/Person/42069", "АО ""ФАРМСТАНДАРТ""")</f>
        <v>АО "ФАРМСТАНДАРТ"</v>
      </c>
      <c r="K16364" s="24" t="s">
        <v>1668</v>
      </c>
      <c r="L16364" s="22" t="s">
        <v>10</v>
      </c>
      <c r="M16364" s="28" t="s">
        <v>52</v>
      </c>
      <c r="N16364" s="28" t="s">
        <v>52</v>
      </c>
    </row>
    <row r="16365" spans="1:14" x14ac:dyDescent="0.15">
      <c r="A16365" s="23" t="str">
        <f>HYPERLINK("https://www.spark-marketing.ru/Card/Person/6450322", "ЗАКАЗЧИК РП БЕЛАРУСЬ")</f>
        <v>ЗАКАЗЧИК РП БЕЛАРУСЬ</v>
      </c>
      <c r="B16365" s="28" t="s">
        <v>52</v>
      </c>
      <c r="C16365" s="25">
        <v>4381746.75</v>
      </c>
      <c r="D16365" s="22" t="s">
        <v>18822</v>
      </c>
      <c r="E16365" s="22" t="s">
        <v>53</v>
      </c>
      <c r="F16365" s="23" t="str">
        <f>HYPERLINK("https://www.spark-marketing.ru/Card/Lot/67565413", "Приобретение технической поддержки и обслуживанию эфирных видеосерверов Harmonic")</f>
        <v>Приобретение технической поддержки и обслуживанию эфирных видеосерверов Harmonic</v>
      </c>
      <c r="G16365" s="22" t="s">
        <v>52</v>
      </c>
      <c r="H16365" s="22" t="s">
        <v>52</v>
      </c>
      <c r="I16365" s="26">
        <v>43495</v>
      </c>
      <c r="J16365" s="28" t="s">
        <v>52</v>
      </c>
      <c r="K16365" s="28" t="s">
        <v>52</v>
      </c>
      <c r="L16365" s="28" t="s">
        <v>52</v>
      </c>
      <c r="M16365" s="28" t="s">
        <v>52</v>
      </c>
      <c r="N16365" s="28" t="s">
        <v>52</v>
      </c>
    </row>
    <row r="16366" spans="1:14" x14ac:dyDescent="0.15">
      <c r="A16366" s="23" t="str">
        <f>HYPERLINK("https://www.spark-marketing.ru/Card/Person/4343740", "МИНЗДРАВ РОССИИ")</f>
        <v>МИНЗДРАВ РОССИИ</v>
      </c>
      <c r="B16366" s="24" t="s">
        <v>1666</v>
      </c>
      <c r="C16366" s="25">
        <v>18535125</v>
      </c>
      <c r="D16366" s="22" t="s">
        <v>18823</v>
      </c>
      <c r="E16366" s="22" t="s">
        <v>53</v>
      </c>
      <c r="F16366" s="23" t="str">
        <f>HYPERLINK("https://www.spark-marketing.ru/Card/Lot/67575232", "Фактор свертывания крови VIII, лиофилизат для приготовления раствора для внутривенного введения и/или инфузий, 200-450 МЕ     в рамках реализации постановления Правительства Российской Федерации от 26.11.2018 № 1416 ""О порядке организации обеспечени...")</f>
        <v>Фактор свертывания крови VIII, лиофилизат для приготовления раствора для внутривенного введения и/или инфузий, 200-450 МЕ     в рамках реализации постановления Правительства Российской Федерации от 26.11.2018 № 1416 "О порядке организации обеспечени...</v>
      </c>
      <c r="G16366" s="22" t="s">
        <v>428</v>
      </c>
      <c r="H16366" s="22" t="s">
        <v>429</v>
      </c>
      <c r="I16366" s="26">
        <v>43495</v>
      </c>
      <c r="J16366" s="28" t="s">
        <v>52</v>
      </c>
      <c r="K16366" s="28" t="s">
        <v>52</v>
      </c>
      <c r="L16366" s="28" t="s">
        <v>52</v>
      </c>
      <c r="M16366" s="28" t="s">
        <v>52</v>
      </c>
      <c r="N16366" s="28" t="s">
        <v>52</v>
      </c>
    </row>
    <row r="16367" spans="1:14" x14ac:dyDescent="0.15">
      <c r="A16367" s="23" t="str">
        <f>HYPERLINK("https://www.spark-marketing.ru/Card/Person/7441", "ГБУ ""АВТОМОБИЛЬНЫЕ ДОРОГИ""")</f>
        <v>ГБУ "АВТОМОБИЛЬНЫЕ ДОРОГИ"</v>
      </c>
      <c r="B16367" s="24" t="s">
        <v>5064</v>
      </c>
      <c r="C16367" s="25">
        <v>2465369.92</v>
      </c>
      <c r="D16367" s="22" t="s">
        <v>18824</v>
      </c>
      <c r="E16367" s="22" t="s">
        <v>103</v>
      </c>
      <c r="F16367" s="23" t="str">
        <f>HYPERLINK("https://www.spark-marketing.ru/Card/Lot/67568206", "Аукцион в электронной форме на право заключения контракта на оказание услуг по техническому обслуживанию системы оперативного видеоконтроля дорожных работ и состояния объектов дорожного хозяйства для нужд ГБУ ""Автомобильные дороги"" среди субъектов ...")</f>
        <v>Аукцион в электронной форме на право заключения контракта на оказание услуг по техническому обслуживанию системы оперативного видеоконтроля дорожных работ и состояния объектов дорожного хозяйства для нужд ГБУ "Автомобильные дороги" среди субъектов ...</v>
      </c>
      <c r="G16367" s="22" t="s">
        <v>55</v>
      </c>
      <c r="H16367" s="22" t="s">
        <v>55</v>
      </c>
      <c r="I16367" s="26">
        <v>43495</v>
      </c>
      <c r="J16367" s="23" t="str">
        <f>HYPERLINK("https://www.spark-marketing.ru/Card/Person/93350", "АО ""ТРАССКОМ""")</f>
        <v>АО "ТРАССКОМ"</v>
      </c>
      <c r="K16367" s="24" t="s">
        <v>18825</v>
      </c>
      <c r="L16367" s="28" t="s">
        <v>52</v>
      </c>
      <c r="M16367" s="28" t="s">
        <v>52</v>
      </c>
      <c r="N16367" s="28" t="s">
        <v>52</v>
      </c>
    </row>
    <row r="16368" spans="1:14" ht="12.75" hidden="1" outlineLevel="1" x14ac:dyDescent="0.2">
      <c r="A16368" s="23" t="str">
        <f>HYPERLINK("https://www.spark-marketing.ru/Card/Person/7441", "ГБУ ""АВТОМОБИЛЬНЫЕ ДОРОГИ""")</f>
        <v>ГБУ "АВТОМОБИЛЬНЫЕ ДОРОГИ"</v>
      </c>
      <c r="B16368" s="24" t="s">
        <v>5064</v>
      </c>
      <c r="C16368" s="25">
        <v>2465369.92</v>
      </c>
      <c r="D16368" s="22" t="s">
        <v>18824</v>
      </c>
      <c r="E16368" s="22" t="s">
        <v>103</v>
      </c>
      <c r="F16368" s="23" t="str">
        <f>HYPERLINK("https://www.spark-marketing.ru/Card/Lot/67568206", "Аукцион в электронной форме на право заключения контракта на оказание услуг по техническому обслуживанию системы оперативного видеоконтроля дорожных работ и состояния объектов дорожного хозяйства для нужд ГБУ ""Автомобильные дороги"" среди субъектов ...")</f>
        <v>Аукцион в электронной форме на право заключения контракта на оказание услуг по техническому обслуживанию системы оперативного видеоконтроля дорожных работ и состояния объектов дорожного хозяйства для нужд ГБУ "Автомобильные дороги" среди субъектов ...</v>
      </c>
      <c r="G16368" s="22" t="s">
        <v>55</v>
      </c>
      <c r="H16368" s="22" t="s">
        <v>55</v>
      </c>
      <c r="I16368" s="26">
        <v>43495</v>
      </c>
      <c r="J16368" s="23" t="str">
        <f>HYPERLINK("https://www.spark-marketing.ru/Card/Person/93350", "АО ""ТРАССКОМ""")</f>
        <v>АО "ТРАССКОМ"</v>
      </c>
      <c r="K16368" s="24" t="s">
        <v>18825</v>
      </c>
      <c r="L16368" s="22" t="s">
        <v>10</v>
      </c>
      <c r="M16368" s="25">
        <v>2453043.0699999998</v>
      </c>
      <c r="N16368" s="27">
        <v>5.0000001622474569E-3</v>
      </c>
    </row>
    <row r="16369" spans="1:14" x14ac:dyDescent="0.15">
      <c r="A16369" s="23" t="str">
        <f t="shared" ref="A16369:A16374" si="846">HYPERLINK("https://www.spark-marketing.ru/Card/Person/19126", "АДМИНИСТРАЦИЯ ПОСЕЛЕНИЯ МАРУШКИНСКОЕ")</f>
        <v>АДМИНИСТРАЦИЯ ПОСЕЛЕНИЯ МАРУШКИНСКОЕ</v>
      </c>
      <c r="B16369" s="24" t="s">
        <v>15581</v>
      </c>
      <c r="C16369" s="25">
        <v>318240</v>
      </c>
      <c r="D16369" s="22" t="s">
        <v>18826</v>
      </c>
      <c r="E16369" s="22" t="s">
        <v>298</v>
      </c>
      <c r="F16369" s="23" t="str">
        <f t="shared" ref="F16369:F16374" si="847">HYPERLINK("https://www.spark-marketing.ru/Card/Lot/67573478", "Оказание услуг по техническому обслуживанию системы видеонаблюдения на территории поселения Марушкнское  (среди субъектов малого предпринимательства или социально ориентированных некоммерческих организаций)")</f>
        <v>Оказание услуг по техническому обслуживанию системы видеонаблюдения на территории поселения Марушкнское  (среди субъектов малого предпринимательства или социально ориентированных некоммерческих организаций)</v>
      </c>
      <c r="G16369" s="22" t="s">
        <v>55</v>
      </c>
      <c r="H16369" s="22" t="s">
        <v>55</v>
      </c>
      <c r="I16369" s="26">
        <v>43495</v>
      </c>
      <c r="J16369" s="28" t="s">
        <v>52</v>
      </c>
      <c r="K16369" s="28" t="s">
        <v>52</v>
      </c>
      <c r="L16369" s="28" t="s">
        <v>52</v>
      </c>
      <c r="M16369" s="28" t="s">
        <v>52</v>
      </c>
      <c r="N16369" s="28" t="s">
        <v>52</v>
      </c>
    </row>
    <row r="16370" spans="1:14" ht="12.75" hidden="1" outlineLevel="1" x14ac:dyDescent="0.2">
      <c r="A16370" s="23" t="str">
        <f t="shared" si="846"/>
        <v>АДМИНИСТРАЦИЯ ПОСЕЛЕНИЯ МАРУШКИНСКОЕ</v>
      </c>
      <c r="B16370" s="24" t="s">
        <v>15581</v>
      </c>
      <c r="C16370" s="25">
        <v>318240</v>
      </c>
      <c r="D16370" s="22" t="s">
        <v>18826</v>
      </c>
      <c r="E16370" s="22" t="s">
        <v>298</v>
      </c>
      <c r="F16370" s="23" t="str">
        <f t="shared" si="847"/>
        <v>Оказание услуг по техническому обслуживанию системы видеонаблюдения на территории поселения Марушкнское  (среди субъектов малого предпринимательства или социально ориентированных некоммерческих организаций)</v>
      </c>
      <c r="G16370" s="22" t="s">
        <v>55</v>
      </c>
      <c r="H16370" s="22" t="s">
        <v>55</v>
      </c>
      <c r="I16370" s="26">
        <v>43495</v>
      </c>
      <c r="J16370" s="23" t="str">
        <f>HYPERLINK("https://www.spark-marketing.ru/Card/Person/6458260", "ООО ""АККОРД""")</f>
        <v>ООО "АККОРД"</v>
      </c>
      <c r="K16370" s="24" t="s">
        <v>1674</v>
      </c>
      <c r="L16370" s="22" t="s">
        <v>10</v>
      </c>
      <c r="M16370" s="25">
        <v>239240</v>
      </c>
      <c r="N16370" s="27">
        <v>0.24824032176973354</v>
      </c>
    </row>
    <row r="16371" spans="1:14" hidden="1" outlineLevel="1" x14ac:dyDescent="0.2">
      <c r="A16371" s="23" t="str">
        <f t="shared" si="846"/>
        <v>АДМИНИСТРАЦИЯ ПОСЕЛЕНИЯ МАРУШКИНСКОЕ</v>
      </c>
      <c r="B16371" s="24" t="s">
        <v>15581</v>
      </c>
      <c r="C16371" s="25">
        <v>318240</v>
      </c>
      <c r="D16371" s="22" t="s">
        <v>18826</v>
      </c>
      <c r="E16371" s="22" t="s">
        <v>298</v>
      </c>
      <c r="F16371" s="23" t="str">
        <f t="shared" si="847"/>
        <v>Оказание услуг по техническому обслуживанию системы видеонаблюдения на территории поселения Марушкнское  (среди субъектов малого предпринимательства или социально ориентированных некоммерческих организаций)</v>
      </c>
      <c r="G16371" s="22" t="s">
        <v>55</v>
      </c>
      <c r="H16371" s="22" t="s">
        <v>55</v>
      </c>
      <c r="I16371" s="26">
        <v>43495</v>
      </c>
      <c r="J16371" s="23" t="str">
        <f>HYPERLINK("https://www.spark-marketing.ru/Card/Person/4392874", "ООО ""МУЛЬТИИНЖИНИРИНГ""")</f>
        <v>ООО "МУЛЬТИИНЖИНИРИНГ"</v>
      </c>
      <c r="K16371" s="24" t="s">
        <v>3163</v>
      </c>
      <c r="L16371" s="28" t="s">
        <v>52</v>
      </c>
      <c r="M16371" s="25">
        <v>240000</v>
      </c>
      <c r="N16371" s="27">
        <v>0.2458521870286576</v>
      </c>
    </row>
    <row r="16372" spans="1:14" hidden="1" outlineLevel="1" x14ac:dyDescent="0.2">
      <c r="A16372" s="23" t="str">
        <f t="shared" si="846"/>
        <v>АДМИНИСТРАЦИЯ ПОСЕЛЕНИЯ МАРУШКИНСКОЕ</v>
      </c>
      <c r="B16372" s="24" t="s">
        <v>15581</v>
      </c>
      <c r="C16372" s="25">
        <v>318240</v>
      </c>
      <c r="D16372" s="22" t="s">
        <v>18826</v>
      </c>
      <c r="E16372" s="22" t="s">
        <v>298</v>
      </c>
      <c r="F16372" s="23" t="str">
        <f t="shared" si="847"/>
        <v>Оказание услуг по техническому обслуживанию системы видеонаблюдения на территории поселения Марушкнское  (среди субъектов малого предпринимательства или социально ориентированных некоммерческих организаций)</v>
      </c>
      <c r="G16372" s="22" t="s">
        <v>55</v>
      </c>
      <c r="H16372" s="22" t="s">
        <v>55</v>
      </c>
      <c r="I16372" s="26">
        <v>43495</v>
      </c>
      <c r="J16372" s="23" t="str">
        <f>HYPERLINK("https://www.spark-marketing.ru/Card/Person/6438824", "ООО ""КВЕ""")</f>
        <v>ООО "КВЕ"</v>
      </c>
      <c r="K16372" s="24" t="s">
        <v>18827</v>
      </c>
      <c r="L16372" s="28" t="s">
        <v>52</v>
      </c>
      <c r="M16372" s="25">
        <v>248000</v>
      </c>
      <c r="N16372" s="27">
        <v>0.22071392659627953</v>
      </c>
    </row>
    <row r="16373" spans="1:14" hidden="1" outlineLevel="1" x14ac:dyDescent="0.2">
      <c r="A16373" s="23" t="str">
        <f t="shared" si="846"/>
        <v>АДМИНИСТРАЦИЯ ПОСЕЛЕНИЯ МАРУШКИНСКОЕ</v>
      </c>
      <c r="B16373" s="24" t="s">
        <v>15581</v>
      </c>
      <c r="C16373" s="25">
        <v>318240</v>
      </c>
      <c r="D16373" s="22" t="s">
        <v>18826</v>
      </c>
      <c r="E16373" s="22" t="s">
        <v>298</v>
      </c>
      <c r="F16373" s="23" t="str">
        <f t="shared" si="847"/>
        <v>Оказание услуг по техническому обслуживанию системы видеонаблюдения на территории поселения Марушкнское  (среди субъектов малого предпринимательства или социально ориентированных некоммерческих организаций)</v>
      </c>
      <c r="G16373" s="22" t="s">
        <v>55</v>
      </c>
      <c r="H16373" s="22" t="s">
        <v>55</v>
      </c>
      <c r="I16373" s="26">
        <v>43495</v>
      </c>
      <c r="J16373" s="23" t="str">
        <f>HYPERLINK("https://www.spark-marketing.ru/Card/Person/6197841", "ООО ""ЭНЖ-ЭЛ""")</f>
        <v>ООО "ЭНЖ-ЭЛ"</v>
      </c>
      <c r="K16373" s="24" t="s">
        <v>18828</v>
      </c>
      <c r="L16373" s="28" t="s">
        <v>52</v>
      </c>
      <c r="M16373" s="25">
        <v>286415</v>
      </c>
      <c r="N16373" s="27">
        <v>0.10000314228255405</v>
      </c>
    </row>
    <row r="16374" spans="1:14" hidden="1" outlineLevel="1" x14ac:dyDescent="0.2">
      <c r="A16374" s="23" t="str">
        <f t="shared" si="846"/>
        <v>АДМИНИСТРАЦИЯ ПОСЕЛЕНИЯ МАРУШКИНСКОЕ</v>
      </c>
      <c r="B16374" s="24" t="s">
        <v>15581</v>
      </c>
      <c r="C16374" s="25">
        <v>318240</v>
      </c>
      <c r="D16374" s="22" t="s">
        <v>18826</v>
      </c>
      <c r="E16374" s="22" t="s">
        <v>298</v>
      </c>
      <c r="F16374" s="23" t="str">
        <f t="shared" si="847"/>
        <v>Оказание услуг по техническому обслуживанию системы видеонаблюдения на территории поселения Марушкнское  (среди субъектов малого предпринимательства или социально ориентированных некоммерческих организаций)</v>
      </c>
      <c r="G16374" s="22" t="s">
        <v>55</v>
      </c>
      <c r="H16374" s="22" t="s">
        <v>55</v>
      </c>
      <c r="I16374" s="26">
        <v>43495</v>
      </c>
      <c r="J16374" s="23" t="str">
        <f>HYPERLINK("https://www.spark-marketing.ru/Card/Person/5791294", "ООО ""К-ОПТИК""")</f>
        <v>ООО "К-ОПТИК"</v>
      </c>
      <c r="K16374" s="24" t="s">
        <v>5738</v>
      </c>
      <c r="L16374" s="28" t="s">
        <v>52</v>
      </c>
      <c r="M16374" s="25">
        <v>315000</v>
      </c>
      <c r="N16374" s="27">
        <v>1.0180995475113122E-2</v>
      </c>
    </row>
    <row r="16375" spans="1:14" x14ac:dyDescent="0.15">
      <c r="A16375" s="23" t="str">
        <f>HYPERLINK("https://www.spark-marketing.ru/Card/Person/159791", "МЕЖРАЙОННАЯ ИФНС РОССИИ № 17 ПО РЕСПУБЛИКЕ ТАТАРСТАН")</f>
        <v>МЕЖРАЙОННАЯ ИФНС РОССИИ № 17 ПО РЕСПУБЛИКЕ ТАТАРСТАН</v>
      </c>
      <c r="B16375" s="24" t="s">
        <v>18798</v>
      </c>
      <c r="C16375" s="25">
        <v>53603.4</v>
      </c>
      <c r="D16375" s="22" t="s">
        <v>18829</v>
      </c>
      <c r="E16375" s="22" t="s">
        <v>11359</v>
      </c>
      <c r="F16375" s="23" t="str">
        <f>HYPERLINK("https://www.spark-marketing.ru/Card/Lot/67554336", "Прочая закупка товаров, работ и услуг. Охрана имущества")</f>
        <v>Прочая закупка товаров, работ и услуг. Охрана имущества</v>
      </c>
      <c r="G16375" s="22" t="s">
        <v>204</v>
      </c>
      <c r="H16375" s="22" t="s">
        <v>18830</v>
      </c>
      <c r="I16375" s="26">
        <v>43495</v>
      </c>
      <c r="J16375" s="28" t="s">
        <v>52</v>
      </c>
      <c r="K16375" s="28" t="s">
        <v>52</v>
      </c>
      <c r="L16375" s="28" t="s">
        <v>52</v>
      </c>
      <c r="M16375" s="28" t="s">
        <v>52</v>
      </c>
      <c r="N16375" s="28" t="s">
        <v>52</v>
      </c>
    </row>
    <row r="16376" spans="1:14" x14ac:dyDescent="0.15">
      <c r="A16376" s="23" t="str">
        <f>HYPERLINK("https://www.spark-marketing.ru/Card/Person/159791", "МЕЖРАЙОННАЯ ИФНС РОССИИ № 17 ПО РЕСПУБЛИКЕ ТАТАРСТАН")</f>
        <v>МЕЖРАЙОННАЯ ИФНС РОССИИ № 17 ПО РЕСПУБЛИКЕ ТАТАРСТАН</v>
      </c>
      <c r="B16376" s="24" t="s">
        <v>18798</v>
      </c>
      <c r="C16376" s="25">
        <v>47304</v>
      </c>
      <c r="D16376" s="22" t="s">
        <v>18831</v>
      </c>
      <c r="E16376" s="22" t="s">
        <v>11359</v>
      </c>
      <c r="F16376" s="23" t="str">
        <f>HYPERLINK("https://www.spark-marketing.ru/Card/Lot/67555823", "Прочая закупка товаров, работ и услуг. Охрана имущества")</f>
        <v>Прочая закупка товаров, работ и услуг. Охрана имущества</v>
      </c>
      <c r="G16376" s="22" t="s">
        <v>204</v>
      </c>
      <c r="H16376" s="22" t="s">
        <v>18832</v>
      </c>
      <c r="I16376" s="26">
        <v>43495</v>
      </c>
      <c r="J16376" s="28" t="s">
        <v>52</v>
      </c>
      <c r="K16376" s="28" t="s">
        <v>52</v>
      </c>
      <c r="L16376" s="28" t="s">
        <v>52</v>
      </c>
      <c r="M16376" s="28" t="s">
        <v>52</v>
      </c>
      <c r="N16376" s="28" t="s">
        <v>52</v>
      </c>
    </row>
    <row r="16377" spans="1:14" x14ac:dyDescent="0.15">
      <c r="A16377" s="23" t="str">
        <f>HYPERLINK("https://www.spark-marketing.ru/Card/Person/4343740", "МИНЗДРАВ РОССИИ")</f>
        <v>МИНЗДРАВ РОССИИ</v>
      </c>
      <c r="B16377" s="24" t="s">
        <v>1666</v>
      </c>
      <c r="C16377" s="25">
        <v>63077886</v>
      </c>
      <c r="D16377" s="22" t="s">
        <v>18833</v>
      </c>
      <c r="E16377" s="22" t="s">
        <v>53</v>
      </c>
      <c r="F16377" s="23" t="str">
        <f>HYPERLINK("https://www.spark-marketing.ru/Card/Lot/67575713", "Фактор свертывания крови VIII + Фактор Виллебранда, лиофилизат для приготовления раствора для внутривенного введения, 250 МЕ + 600 МЕ  в рамках реализации постановления Правительства Российской Федерации от 26.11.2018 № 1416 ""О порядке организации о...")</f>
        <v>Фактор свертывания крови VIII + Фактор Виллебранда, лиофилизат для приготовления раствора для внутривенного введения, 250 МЕ + 600 МЕ  в рамках реализации постановления Правительства Российской Федерации от 26.11.2018 № 1416 "О порядке организации о...</v>
      </c>
      <c r="G16377" s="22" t="s">
        <v>215</v>
      </c>
      <c r="H16377" s="22" t="s">
        <v>406</v>
      </c>
      <c r="I16377" s="26">
        <v>43495</v>
      </c>
      <c r="J16377" s="28" t="s">
        <v>52</v>
      </c>
      <c r="K16377" s="28" t="s">
        <v>52</v>
      </c>
      <c r="L16377" s="28" t="s">
        <v>52</v>
      </c>
      <c r="M16377" s="28" t="s">
        <v>52</v>
      </c>
      <c r="N16377" s="28" t="s">
        <v>52</v>
      </c>
    </row>
    <row r="16378" spans="1:14" x14ac:dyDescent="0.15">
      <c r="A16378" s="23" t="str">
        <f>HYPERLINK("https://www.spark-marketing.ru/Card/Person/79761", "АДМИНИСТРАЦИЯ БЕРЕЗОВСКОГО ГОРОДСКОГО ОКРУГА")</f>
        <v>АДМИНИСТРАЦИЯ БЕРЕЗОВСКОГО ГОРОДСКОГО ОКРУГА</v>
      </c>
      <c r="B16378" s="24" t="s">
        <v>17291</v>
      </c>
      <c r="C16378" s="25">
        <v>116500</v>
      </c>
      <c r="D16378" s="22" t="s">
        <v>18834</v>
      </c>
      <c r="E16378" s="22" t="s">
        <v>103</v>
      </c>
      <c r="F16378" s="23" t="str">
        <f>HYPERLINK("https://www.spark-marketing.ru/Card/Lot/67576650", "Техническое обслуживание системы видеонаблюдения")</f>
        <v>Техническое обслуживание системы видеонаблюдения</v>
      </c>
      <c r="G16378" s="22" t="s">
        <v>72</v>
      </c>
      <c r="H16378" s="22" t="s">
        <v>13682</v>
      </c>
      <c r="I16378" s="26">
        <v>43495</v>
      </c>
      <c r="J16378" s="28" t="s">
        <v>52</v>
      </c>
      <c r="K16378" s="28" t="s">
        <v>52</v>
      </c>
      <c r="L16378" s="28" t="s">
        <v>52</v>
      </c>
      <c r="M16378" s="28" t="s">
        <v>52</v>
      </c>
      <c r="N16378" s="28" t="s">
        <v>52</v>
      </c>
    </row>
    <row r="16379" spans="1:14" x14ac:dyDescent="0.15">
      <c r="A16379" s="23" t="str">
        <f>HYPERLINK("https://www.spark-marketing.ru/Card/Person/3504", "ФКУ УПРДОР ""КАСПИЙ""")</f>
        <v>ФКУ УПРДОР "КАСПИЙ"</v>
      </c>
      <c r="B16379" s="24" t="s">
        <v>1277</v>
      </c>
      <c r="C16379" s="25">
        <v>25200000</v>
      </c>
      <c r="D16379" s="22" t="s">
        <v>18835</v>
      </c>
      <c r="E16379" s="22" t="s">
        <v>84</v>
      </c>
      <c r="F16379" s="23" t="str">
        <f>HYPERLINK("https://www.spark-marketing.ru/Card/Lot/67574561", "Установка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дорожного движения) в Астраханской области, Республике Дагестан, Республике Калмы...")</f>
        <v>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дорожного движения) в Астраханской области, Республике Дагестан, Республике Калмы...</v>
      </c>
      <c r="G16379" s="22" t="s">
        <v>565</v>
      </c>
      <c r="H16379" s="22" t="s">
        <v>565</v>
      </c>
      <c r="I16379" s="26">
        <v>43495</v>
      </c>
      <c r="J16379" s="23" t="str">
        <f>HYPERLINK("https://www.spark-marketing.ru/Card/Person/1354238", "ООО ""ЛАБОРАТОРИЯ ЦИФРОВОГО ЗРЕНИЯ""")</f>
        <v>ООО "ЛАБОРАТОРИЯ ЦИФРОВОГО ЗРЕНИЯ"</v>
      </c>
      <c r="K16379" s="24" t="s">
        <v>1191</v>
      </c>
      <c r="L16379" s="28" t="s">
        <v>52</v>
      </c>
      <c r="M16379" s="28" t="s">
        <v>52</v>
      </c>
      <c r="N16379" s="28" t="s">
        <v>52</v>
      </c>
    </row>
    <row r="16380" spans="1:14" hidden="1" outlineLevel="1" x14ac:dyDescent="0.15">
      <c r="A16380" s="23" t="str">
        <f>HYPERLINK("https://www.spark-marketing.ru/Card/Person/3504", "ФКУ УПРДОР ""КАСПИЙ""")</f>
        <v>ФКУ УПРДОР "КАСПИЙ"</v>
      </c>
      <c r="B16380" s="24" t="s">
        <v>1277</v>
      </c>
      <c r="C16380" s="25">
        <v>25200000</v>
      </c>
      <c r="D16380" s="22" t="s">
        <v>18835</v>
      </c>
      <c r="E16380" s="22" t="s">
        <v>84</v>
      </c>
      <c r="F16380" s="23" t="str">
        <f>HYPERLINK("https://www.spark-marketing.ru/Card/Lot/67574561", "Установка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дорожного движения) в Астраханской области, Республике Дагестан, Республике Калмы...")</f>
        <v>Установка элементов обустройства автомобильных дорог общего пользования федерального значения. Установка систем видеоконтроля (камер фото-видеофиксации нарушений правил дорожного движения) в Астраханской области, Республике Дагестан, Республике Калмы...</v>
      </c>
      <c r="G16380" s="22" t="s">
        <v>565</v>
      </c>
      <c r="H16380" s="22" t="s">
        <v>565</v>
      </c>
      <c r="I16380" s="26">
        <v>43495</v>
      </c>
      <c r="J16380" s="23" t="str">
        <f>HYPERLINK("https://www.spark-marketing.ru/Card/Person/1354238", "ООО ""ЛАБОРАТОРИЯ ЦИФРОВОГО ЗРЕНИЯ""")</f>
        <v>ООО "ЛАБОРАТОРИЯ ЦИФРОВОГО ЗРЕНИЯ"</v>
      </c>
      <c r="K16380" s="24" t="s">
        <v>1191</v>
      </c>
      <c r="L16380" s="22" t="s">
        <v>10</v>
      </c>
      <c r="M16380" s="28" t="s">
        <v>52</v>
      </c>
      <c r="N16380" s="28" t="s">
        <v>52</v>
      </c>
    </row>
    <row r="16381" spans="1:14" x14ac:dyDescent="0.15">
      <c r="A16381" s="23" t="str">
        <f>HYPERLINK("https://www.spark-marketing.ru/Card/Person/121400", "ТВЕРЬСТАТ")</f>
        <v>ТВЕРЬСТАТ</v>
      </c>
      <c r="B16381" s="24" t="s">
        <v>18774</v>
      </c>
      <c r="C16381" s="25">
        <v>96360</v>
      </c>
      <c r="D16381" s="22" t="s">
        <v>18836</v>
      </c>
      <c r="E16381" s="22" t="s">
        <v>68</v>
      </c>
      <c r="F16381" s="23" t="str">
        <f>HYPERLINK("https://www.spark-marketing.ru/Card/Lot/67568256", "Услуги охраны объектов пультом централизованного наблюдения")</f>
        <v>Услуги охраны объектов пультом централизованного наблюдения</v>
      </c>
      <c r="G16381" s="22" t="s">
        <v>251</v>
      </c>
      <c r="H16381" s="22" t="s">
        <v>251</v>
      </c>
      <c r="I16381" s="26">
        <v>43495</v>
      </c>
      <c r="J16381" s="28" t="s">
        <v>52</v>
      </c>
      <c r="K16381" s="28" t="s">
        <v>52</v>
      </c>
      <c r="L16381" s="28" t="s">
        <v>52</v>
      </c>
      <c r="M16381" s="28" t="s">
        <v>52</v>
      </c>
      <c r="N16381" s="28" t="s">
        <v>52</v>
      </c>
    </row>
    <row r="16382" spans="1:14" x14ac:dyDescent="0.15">
      <c r="A16382" s="23" t="str">
        <f>HYPERLINK("https://www.spark-marketing.ru/Card/Person/4343740", "МИНЗДРАВ РОССИИ")</f>
        <v>МИНЗДРАВ РОССИИ</v>
      </c>
      <c r="B16382" s="24" t="s">
        <v>1666</v>
      </c>
      <c r="C16382" s="25">
        <v>958660802.32000005</v>
      </c>
      <c r="D16382" s="22" t="s">
        <v>18837</v>
      </c>
      <c r="E16382" s="22" t="s">
        <v>53</v>
      </c>
      <c r="F16382" s="23" t="str">
        <f>HYPERLINK("https://www.spark-marketing.ru/Card/Lot/67563179", "Леналидомид, капсулы, 25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муковисцидозом, гипофизарным нанизмом, боле...")</f>
        <v>Леналидомид, капсулы, 25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муковисцидозом, гипофизарным нанизмом, боле...</v>
      </c>
      <c r="G16382" s="22" t="s">
        <v>640</v>
      </c>
      <c r="H16382" s="22" t="s">
        <v>1524</v>
      </c>
      <c r="I16382" s="26">
        <v>43495</v>
      </c>
      <c r="J16382" s="23" t="str">
        <f>HYPERLINK("https://www.spark-marketing.ru/Card/Person/42069", "АО ""ФАРМСТАНДАРТ""")</f>
        <v>АО "ФАРМСТАНДАРТ"</v>
      </c>
      <c r="K16382" s="24" t="s">
        <v>1668</v>
      </c>
      <c r="L16382" s="22" t="s">
        <v>10</v>
      </c>
      <c r="M16382" s="28" t="s">
        <v>52</v>
      </c>
      <c r="N16382" s="28" t="s">
        <v>52</v>
      </c>
    </row>
    <row r="16383" spans="1:14" x14ac:dyDescent="0.15">
      <c r="A16383" s="23" t="str">
        <f>HYPERLINK("https://www.spark-marketing.ru/Card/Person/153141", "МБДОУ ""ДЕТСКИЙ САД №94 ""СОЕНЕЧ"" НМР РТ")</f>
        <v>МБДОУ "ДЕТСКИЙ САД №94 "СОЕНЕЧ" НМР РТ</v>
      </c>
      <c r="B16383" s="24" t="s">
        <v>15113</v>
      </c>
      <c r="C16383" s="25">
        <v>18820</v>
      </c>
      <c r="D16383" s="22" t="s">
        <v>18838</v>
      </c>
      <c r="E16383" s="22" t="s">
        <v>53</v>
      </c>
      <c r="F16383" s="23" t="str">
        <f>HYPERLINK("https://www.spark-marketing.ru/Card/Lot/73661906", "Техническое обслуживание системы видеонаблюдения")</f>
        <v>Техническое обслуживание системы видеонаблюдения</v>
      </c>
      <c r="G16383" s="22" t="s">
        <v>204</v>
      </c>
      <c r="H16383" s="22" t="s">
        <v>824</v>
      </c>
      <c r="I16383" s="26">
        <v>43495.355555555601</v>
      </c>
      <c r="J16383" s="28" t="s">
        <v>52</v>
      </c>
      <c r="K16383" s="28" t="s">
        <v>52</v>
      </c>
      <c r="L16383" s="28" t="s">
        <v>52</v>
      </c>
      <c r="M16383" s="28" t="s">
        <v>52</v>
      </c>
      <c r="N16383" s="28" t="s">
        <v>52</v>
      </c>
    </row>
    <row r="16384" spans="1:14" x14ac:dyDescent="0.2">
      <c r="A16384" s="23" t="str">
        <f>HYPERLINK("https://www.spark-marketing.ru/Card/Person/1329054", "ГАУЗ МО ""ФСП""")</f>
        <v>ГАУЗ МО "ФСП"</v>
      </c>
      <c r="B16384" s="24" t="s">
        <v>18839</v>
      </c>
      <c r="C16384" s="25">
        <v>30981.599999999999</v>
      </c>
      <c r="D16384" s="22" t="s">
        <v>18840</v>
      </c>
      <c r="E16384" s="22" t="s">
        <v>144</v>
      </c>
      <c r="F16384" s="23" t="str">
        <f>HYPERLINK("https://www.spark-marketing.ru/Card/Lot/67544736", "Оказание охранных услуг путем оперативного реагирования нарядом вневедомственной охраны войск национальной гвардии на сигнал ""Тревога""")</f>
        <v>Оказание охранных услуг путем оперативного реагирования нарядом вневедомственной охраны войск национальной гвардии на сигнал "Тревога"</v>
      </c>
      <c r="G16384" s="22" t="s">
        <v>50</v>
      </c>
      <c r="H16384" s="22" t="s">
        <v>10990</v>
      </c>
      <c r="I16384" s="26">
        <v>43494.9828009259</v>
      </c>
      <c r="J16384" s="23" t="str">
        <f>HYPERLINK("https://www.spark-marketing.ru/Card/Person/4368305", "ФГКУ ""УВО ВНГ РОССИИ ПО МОСКОВСКОЙ ОБЛАСТИ""")</f>
        <v>ФГКУ "УВО ВНГ РОССИИ ПО МОСКОВСКОЙ ОБЛАСТИ"</v>
      </c>
      <c r="K16384" s="24" t="s">
        <v>9566</v>
      </c>
      <c r="L16384" s="28" t="s">
        <v>52</v>
      </c>
      <c r="M16384" s="25">
        <v>30981.599999999999</v>
      </c>
      <c r="N16384" s="27">
        <v>0</v>
      </c>
    </row>
    <row r="16385" spans="1:14" x14ac:dyDescent="0.15">
      <c r="A16385" s="23" t="str">
        <f>HYPERLINK("https://www.spark-marketing.ru/Card/Person/61906", "МБОУ СОШ № 11 ИМ. Г.С. ТИТОВА ЩМР МО")</f>
        <v>МБОУ СОШ № 11 ИМ. Г.С. ТИТОВА ЩМР МО</v>
      </c>
      <c r="B16385" s="24" t="s">
        <v>18841</v>
      </c>
      <c r="C16385" s="25">
        <v>72000</v>
      </c>
      <c r="D16385" s="22" t="s">
        <v>18842</v>
      </c>
      <c r="E16385" s="22" t="s">
        <v>103</v>
      </c>
      <c r="F16385" s="23" t="str">
        <f>HYPERLINK("https://www.spark-marketing.ru/Card/Lot/67543761", "Оказание услуг по техническому обслуживанию видеонаблюдения")</f>
        <v>Оказание услуг по техническому обслуживанию видеонаблюдения</v>
      </c>
      <c r="G16385" s="22" t="s">
        <v>50</v>
      </c>
      <c r="H16385" s="22" t="s">
        <v>458</v>
      </c>
      <c r="I16385" s="26">
        <v>43494.887337963002</v>
      </c>
      <c r="J16385" s="28" t="s">
        <v>52</v>
      </c>
      <c r="K16385" s="28" t="s">
        <v>52</v>
      </c>
      <c r="L16385" s="28" t="s">
        <v>52</v>
      </c>
      <c r="M16385" s="28" t="s">
        <v>52</v>
      </c>
      <c r="N16385" s="28" t="s">
        <v>52</v>
      </c>
    </row>
    <row r="16386" spans="1:14" x14ac:dyDescent="0.15">
      <c r="A16386" s="23" t="str">
        <f>HYPERLINK("https://www.spark-marketing.ru/Card/Person/41722", "МБОУ ""ЗАВОЛЖСКАЯ СОШ ИМ.М.П.КОСТИНОЙ"" Г. ЧЕБОКСАРЫ")</f>
        <v>МБОУ "ЗАВОЛЖСКАЯ СОШ ИМ.М.П.КОСТИНОЙ" Г. ЧЕБОКСАРЫ</v>
      </c>
      <c r="B16386" s="24" t="s">
        <v>18843</v>
      </c>
      <c r="C16386" s="25">
        <v>6600</v>
      </c>
      <c r="D16386" s="22" t="s">
        <v>18844</v>
      </c>
      <c r="E16386" s="22" t="s">
        <v>68</v>
      </c>
      <c r="F16386" s="23" t="str">
        <f>HYPERLINK("https://www.spark-marketing.ru/Card/Lot/67542666", "обслуживание средств тревожной сигнализации")</f>
        <v>обслуживание средств тревожной сигнализации</v>
      </c>
      <c r="G16386" s="22" t="s">
        <v>1137</v>
      </c>
      <c r="H16386" s="22" t="s">
        <v>1138</v>
      </c>
      <c r="I16386" s="26">
        <v>43494.876388888901</v>
      </c>
      <c r="J16386" s="28" t="s">
        <v>52</v>
      </c>
      <c r="K16386" s="28" t="s">
        <v>52</v>
      </c>
      <c r="L16386" s="28" t="s">
        <v>52</v>
      </c>
      <c r="M16386" s="28" t="s">
        <v>52</v>
      </c>
      <c r="N16386" s="28" t="s">
        <v>52</v>
      </c>
    </row>
    <row r="16387" spans="1:14" x14ac:dyDescent="0.15">
      <c r="A16387" s="23" t="str">
        <f>HYPERLINK("https://www.spark-marketing.ru/Card/Person/116904", "МОУ СОШ №2 ИМ. 37 ГСД КРАСНОЙ АРМИИ")</f>
        <v>МОУ СОШ №2 ИМ. 37 ГСД КРАСНОЙ АРМИИ</v>
      </c>
      <c r="B16387" s="24" t="s">
        <v>10092</v>
      </c>
      <c r="C16387" s="25">
        <v>12049.2</v>
      </c>
      <c r="D16387" s="22" t="s">
        <v>18845</v>
      </c>
      <c r="E16387" s="22" t="s">
        <v>107</v>
      </c>
      <c r="F16387" s="23" t="str">
        <f>HYPERLINK("https://www.spark-marketing.ru/Card/Lot/67543778", "Услуги по техническому обслуживанию комплекса технических средств охраны")</f>
        <v>Услуги по техническому обслуживанию комплекса технических средств охраны</v>
      </c>
      <c r="G16387" s="22" t="s">
        <v>50</v>
      </c>
      <c r="H16387" s="22" t="s">
        <v>827</v>
      </c>
      <c r="I16387" s="26">
        <v>43494.908090277801</v>
      </c>
      <c r="J16387" s="28" t="s">
        <v>52</v>
      </c>
      <c r="K16387" s="28" t="s">
        <v>52</v>
      </c>
      <c r="L16387" s="28" t="s">
        <v>52</v>
      </c>
      <c r="M16387" s="28" t="s">
        <v>52</v>
      </c>
      <c r="N16387" s="28" t="s">
        <v>52</v>
      </c>
    </row>
    <row r="16388" spans="1:14" x14ac:dyDescent="0.15">
      <c r="A16388" s="23" t="str">
        <f>HYPERLINK("https://www.spark-marketing.ru/Card/Person/999672", "МКУ ГОЩ ""СПОРТИВНЫЙ КЛУБ ""ЛИТВИНОВО""")</f>
        <v>МКУ ГОЩ "СПОРТИВНЫЙ КЛУБ "ЛИТВИНОВО"</v>
      </c>
      <c r="B16388" s="24" t="s">
        <v>18846</v>
      </c>
      <c r="C16388" s="25">
        <v>36000</v>
      </c>
      <c r="D16388" s="22" t="s">
        <v>18847</v>
      </c>
      <c r="E16388" s="22" t="s">
        <v>107</v>
      </c>
      <c r="F16388" s="23" t="str">
        <f>HYPERLINK("https://www.spark-marketing.ru/Card/Lot/67542692", "оказание услуг по мониторингу и реагированию мобильными нарядами")</f>
        <v>оказание услуг по мониторингу и реагированию мобильными нарядами</v>
      </c>
      <c r="G16388" s="22" t="s">
        <v>50</v>
      </c>
      <c r="H16388" s="22" t="s">
        <v>458</v>
      </c>
      <c r="I16388" s="26">
        <v>43494.856203703697</v>
      </c>
      <c r="J16388" s="28" t="s">
        <v>52</v>
      </c>
      <c r="K16388" s="28" t="s">
        <v>52</v>
      </c>
      <c r="L16388" s="28" t="s">
        <v>52</v>
      </c>
      <c r="M16388" s="28" t="s">
        <v>52</v>
      </c>
      <c r="N16388" s="28" t="s">
        <v>52</v>
      </c>
    </row>
    <row r="16389" spans="1:14" x14ac:dyDescent="0.15">
      <c r="A16389" s="23" t="str">
        <f>HYPERLINK("https://www.spark-marketing.ru/Card/Person/15450", "МБУКИ ""ДОМ ОФИЦЕРОВ""")</f>
        <v>МБУКИ "ДОМ ОФИЦЕРОВ"</v>
      </c>
      <c r="B16389" s="24" t="s">
        <v>18848</v>
      </c>
      <c r="C16389" s="25">
        <v>178641.96</v>
      </c>
      <c r="D16389" s="22" t="s">
        <v>18849</v>
      </c>
      <c r="E16389" s="22" t="s">
        <v>349</v>
      </c>
      <c r="F16389" s="23" t="str">
        <f>HYPERLINK("https://www.spark-marketing.ru/Card/Lot/67542686", "Услуги по техническому обслуживанию систем охранного видеонаблюдения, контроля доступа, видеодомофона и охранной сигнализации автомобильной парковки")</f>
        <v>Услуги по техническому обслуживанию систем охранного видеонаблюдения, контроля доступа, видеодомофона и охранной сигнализации автомобильной парковки</v>
      </c>
      <c r="G16389" s="22" t="s">
        <v>50</v>
      </c>
      <c r="H16389" s="22" t="s">
        <v>9386</v>
      </c>
      <c r="I16389" s="26">
        <v>43494.856122685203</v>
      </c>
      <c r="J16389" s="28" t="s">
        <v>52</v>
      </c>
      <c r="K16389" s="28" t="s">
        <v>52</v>
      </c>
      <c r="L16389" s="28" t="s">
        <v>52</v>
      </c>
      <c r="M16389" s="28" t="s">
        <v>52</v>
      </c>
      <c r="N16389" s="28" t="s">
        <v>52</v>
      </c>
    </row>
    <row r="16390" spans="1:14" x14ac:dyDescent="0.15">
      <c r="A16390" s="23" t="str">
        <f>HYPERLINK("https://www.spark-marketing.ru/Card/Person/101437", "МОУ ""СОШ № 18""")</f>
        <v>МОУ "СОШ № 18"</v>
      </c>
      <c r="B16390" s="24" t="s">
        <v>18850</v>
      </c>
      <c r="C16390" s="25">
        <v>29880</v>
      </c>
      <c r="D16390" s="22" t="s">
        <v>18851</v>
      </c>
      <c r="E16390" s="22" t="s">
        <v>294</v>
      </c>
      <c r="F16390" s="23" t="str">
        <f>HYPERLINK("https://www.spark-marketing.ru/Card/Lot/67542683", "Оказание услуги по техническому обслуживанию системы видеонаблюдения")</f>
        <v>Оказание услуги по техническому обслуживанию системы видеонаблюдения</v>
      </c>
      <c r="G16390" s="22" t="s">
        <v>50</v>
      </c>
      <c r="H16390" s="22" t="s">
        <v>747</v>
      </c>
      <c r="I16390" s="26">
        <v>43494.835277777798</v>
      </c>
      <c r="J16390" s="28" t="s">
        <v>52</v>
      </c>
      <c r="K16390" s="28" t="s">
        <v>52</v>
      </c>
      <c r="L16390" s="28" t="s">
        <v>52</v>
      </c>
      <c r="M16390" s="28" t="s">
        <v>52</v>
      </c>
      <c r="N16390" s="28" t="s">
        <v>52</v>
      </c>
    </row>
    <row r="16391" spans="1:14" x14ac:dyDescent="0.15">
      <c r="A16391" s="23" t="str">
        <f>HYPERLINK("https://www.spark-marketing.ru/Card/Person/4345851", "БАНК ВТБ (ПАО)")</f>
        <v>БАНК ВТБ (ПАО)</v>
      </c>
      <c r="B16391" s="24" t="s">
        <v>1232</v>
      </c>
      <c r="C16391" s="25">
        <v>336513493.64999998</v>
      </c>
      <c r="D16391" s="22" t="s">
        <v>18852</v>
      </c>
      <c r="E16391" s="22" t="s">
        <v>18853</v>
      </c>
      <c r="F16391" s="23" t="str">
        <f>HYPERLINK("https://www.spark-marketing.ru/Card/Lot/67542794", "Оказание услуг по охране объектов Банка ВТБ (ПАО) (g00000338)")</f>
        <v>Оказание услуг по охране объектов Банка ВТБ (ПАО) (g00000338)</v>
      </c>
      <c r="G16391" s="22" t="s">
        <v>55</v>
      </c>
      <c r="H16391" s="22" t="s">
        <v>55</v>
      </c>
      <c r="I16391" s="26">
        <v>43494.8659259259</v>
      </c>
      <c r="J16391" s="28" t="s">
        <v>52</v>
      </c>
      <c r="K16391" s="28" t="s">
        <v>52</v>
      </c>
      <c r="L16391" s="28" t="s">
        <v>52</v>
      </c>
      <c r="M16391" s="28" t="s">
        <v>52</v>
      </c>
      <c r="N16391" s="28" t="s">
        <v>52</v>
      </c>
    </row>
    <row r="16392" spans="1:14" hidden="1" outlineLevel="1" x14ac:dyDescent="0.2">
      <c r="A16392" s="23" t="str">
        <f>HYPERLINK("https://www.spark-marketing.ru/Card/Person/4345851", "БАНК ВТБ (ПАО)")</f>
        <v>БАНК ВТБ (ПАО)</v>
      </c>
      <c r="B16392" s="24" t="s">
        <v>1232</v>
      </c>
      <c r="C16392" s="28" t="s">
        <v>52</v>
      </c>
      <c r="D16392" s="22" t="s">
        <v>18852</v>
      </c>
      <c r="E16392" s="22" t="s">
        <v>18853</v>
      </c>
      <c r="F16392" s="23" t="str">
        <f>HYPERLINK("https://www.spark-marketing.ru/Card/Lot/67542794", "Оказание услуг по охране объектов Банка ВТБ (ПАО) (g00000338)")</f>
        <v>Оказание услуг по охране объектов Банка ВТБ (ПАО) (g00000338)</v>
      </c>
      <c r="G16392" s="22" t="s">
        <v>55</v>
      </c>
      <c r="H16392" s="22" t="s">
        <v>55</v>
      </c>
      <c r="I16392" s="26">
        <v>43494.8659259259</v>
      </c>
      <c r="J16392" s="23" t="str">
        <f>HYPERLINK("https://www.spark-marketing.ru/Card/Person/5920430", "ООО ЧОП ""ДУБРОВНИК-РЕГИОН""")</f>
        <v>ООО ЧОП "ДУБРОВНИК-РЕГИОН"</v>
      </c>
      <c r="K16392" s="24" t="s">
        <v>18854</v>
      </c>
      <c r="L16392" s="22" t="s">
        <v>10</v>
      </c>
      <c r="M16392" s="25">
        <v>261139155</v>
      </c>
      <c r="N16392" s="27">
        <v>0.22398608101104894</v>
      </c>
    </row>
    <row r="16393" spans="1:14" hidden="1" outlineLevel="1" x14ac:dyDescent="0.2">
      <c r="A16393" s="23" t="str">
        <f>HYPERLINK("https://www.spark-marketing.ru/Card/Person/4345851", "БАНК ВТБ (ПАО)")</f>
        <v>БАНК ВТБ (ПАО)</v>
      </c>
      <c r="B16393" s="24" t="s">
        <v>1232</v>
      </c>
      <c r="C16393" s="28" t="s">
        <v>52</v>
      </c>
      <c r="D16393" s="22" t="s">
        <v>18852</v>
      </c>
      <c r="E16393" s="22" t="s">
        <v>18853</v>
      </c>
      <c r="F16393" s="23" t="str">
        <f>HYPERLINK("https://www.spark-marketing.ru/Card/Lot/67542794", "Оказание услуг по охране объектов Банка ВТБ (ПАО) (g00000338)")</f>
        <v>Оказание услуг по охране объектов Банка ВТБ (ПАО) (g00000338)</v>
      </c>
      <c r="G16393" s="22" t="s">
        <v>55</v>
      </c>
      <c r="H16393" s="22" t="s">
        <v>55</v>
      </c>
      <c r="I16393" s="26">
        <v>43494.8659259259</v>
      </c>
      <c r="J16393" s="23" t="str">
        <f>HYPERLINK("https://www.spark-marketing.ru/Card/Person/1606590", "ООО ЧОО ""ИННОВАЦИИ БЕЗОПАСНОСТИ""")</f>
        <v>ООО ЧОО "ИННОВАЦИИ БЕЗОПАСНОСТИ"</v>
      </c>
      <c r="K16393" s="24" t="s">
        <v>18855</v>
      </c>
      <c r="L16393" s="28" t="s">
        <v>52</v>
      </c>
      <c r="M16393" s="25">
        <v>297550143</v>
      </c>
      <c r="N16393" s="27">
        <v>0.11578540351349147</v>
      </c>
    </row>
    <row r="16394" spans="1:14" hidden="1" outlineLevel="1" x14ac:dyDescent="0.2">
      <c r="A16394" s="23" t="str">
        <f>HYPERLINK("https://www.spark-marketing.ru/Card/Person/4345851", "БАНК ВТБ (ПАО)")</f>
        <v>БАНК ВТБ (ПАО)</v>
      </c>
      <c r="B16394" s="24" t="s">
        <v>1232</v>
      </c>
      <c r="C16394" s="28" t="s">
        <v>52</v>
      </c>
      <c r="D16394" s="22" t="s">
        <v>18852</v>
      </c>
      <c r="E16394" s="22" t="s">
        <v>18853</v>
      </c>
      <c r="F16394" s="23" t="str">
        <f>HYPERLINK("https://www.spark-marketing.ru/Card/Lot/67542794", "Оказание услуг по охране объектов Банка ВТБ (ПАО) (g00000338)")</f>
        <v>Оказание услуг по охране объектов Банка ВТБ (ПАО) (g00000338)</v>
      </c>
      <c r="G16394" s="22" t="s">
        <v>55</v>
      </c>
      <c r="H16394" s="22" t="s">
        <v>55</v>
      </c>
      <c r="I16394" s="26">
        <v>43494.8659259259</v>
      </c>
      <c r="J16394" s="23" t="str">
        <f>HYPERLINK("https://www.spark-marketing.ru/Card/Person/71159", "ООО ЧОП ""РУСЬ - XXI ВЕК""")</f>
        <v>ООО ЧОП "РУСЬ - XXI ВЕК"</v>
      </c>
      <c r="K16394" s="24" t="s">
        <v>18856</v>
      </c>
      <c r="L16394" s="28" t="s">
        <v>52</v>
      </c>
      <c r="M16394" s="25">
        <v>319590803.10000002</v>
      </c>
      <c r="N16394" s="27">
        <v>5.0288297109419643E-2</v>
      </c>
    </row>
    <row r="16395" spans="1:14" x14ac:dyDescent="0.15">
      <c r="A16395" s="23" t="str">
        <f>HYPERLINK("https://www.spark-marketing.ru/Card/Person/65059", "ГКОУ РО РОЦОНУ")</f>
        <v>ГКОУ РО РОЦОНУ</v>
      </c>
      <c r="B16395" s="24" t="s">
        <v>18857</v>
      </c>
      <c r="C16395" s="25">
        <v>109200</v>
      </c>
      <c r="D16395" s="22" t="s">
        <v>18858</v>
      </c>
      <c r="E16395" s="22" t="s">
        <v>103</v>
      </c>
      <c r="F16395" s="23" t="str">
        <f>HYPERLINK("https://www.spark-marketing.ru/Card/Lot/67540794", "Техническое обслуживание системы видеонаблюдения и системы управления и контроля доступом")</f>
        <v>Техническое обслуживание системы видеонаблюдения и системы управления и контроля доступом</v>
      </c>
      <c r="G16395" s="22" t="s">
        <v>402</v>
      </c>
      <c r="H16395" s="22" t="s">
        <v>403</v>
      </c>
      <c r="I16395" s="26">
        <v>43494.7631944444</v>
      </c>
      <c r="J16395" s="28" t="s">
        <v>52</v>
      </c>
      <c r="K16395" s="28" t="s">
        <v>52</v>
      </c>
      <c r="L16395" s="28" t="s">
        <v>52</v>
      </c>
      <c r="M16395" s="28" t="s">
        <v>52</v>
      </c>
      <c r="N16395" s="28" t="s">
        <v>52</v>
      </c>
    </row>
    <row r="16396" spans="1:14" x14ac:dyDescent="0.15">
      <c r="A16396" s="23" t="str">
        <f>HYPERLINK("https://www.spark-marketing.ru/Card/Person/4348372", "АО ""СО ЕЭС""")</f>
        <v>АО "СО ЕЭС"</v>
      </c>
      <c r="B16396" s="24" t="s">
        <v>10670</v>
      </c>
      <c r="C16396" s="25">
        <v>35420504.950000003</v>
      </c>
      <c r="D16396" s="22" t="s">
        <v>18859</v>
      </c>
      <c r="E16396" s="22" t="s">
        <v>10672</v>
      </c>
      <c r="F16396" s="23" t="str">
        <f>HYPERLINK("https://www.spark-marketing.ru/Card/Lot/67542307", "Право заключения договора оказания услуг по техническому обслуживанию систем аудио- и видеоконференцсвязи (АВКС), установленных в АО «СО ЕЭС»")</f>
        <v>Право заключения договора оказания услуг по техническому обслуживанию систем аудио- и видеоконференцсвязи (АВКС), установленных в АО «СО ЕЭС»</v>
      </c>
      <c r="G16396" s="22" t="s">
        <v>55</v>
      </c>
      <c r="H16396" s="22" t="s">
        <v>55</v>
      </c>
      <c r="I16396" s="26">
        <v>43494.768888888902</v>
      </c>
      <c r="J16396" s="28" t="s">
        <v>52</v>
      </c>
      <c r="K16396" s="28" t="s">
        <v>52</v>
      </c>
      <c r="L16396" s="28" t="s">
        <v>52</v>
      </c>
      <c r="M16396" s="28" t="s">
        <v>52</v>
      </c>
      <c r="N16396" s="28" t="s">
        <v>52</v>
      </c>
    </row>
    <row r="16397" spans="1:14" hidden="1" outlineLevel="1" x14ac:dyDescent="0.2">
      <c r="A16397" s="23" t="str">
        <f>HYPERLINK("https://www.spark-marketing.ru/Card/Person/4348372", "АО ""СО ЕЭС""")</f>
        <v>АО "СО ЕЭС"</v>
      </c>
      <c r="B16397" s="24" t="s">
        <v>10670</v>
      </c>
      <c r="C16397" s="28" t="s">
        <v>52</v>
      </c>
      <c r="D16397" s="22" t="s">
        <v>18859</v>
      </c>
      <c r="E16397" s="22" t="s">
        <v>10672</v>
      </c>
      <c r="F16397" s="23" t="str">
        <f>HYPERLINK("https://www.spark-marketing.ru/Card/Lot/67542307", "Право заключения договора оказания услуг по техническому обслуживанию систем аудио- и видеоконференцсвязи (АВКС), установленных в АО «СО ЕЭС»")</f>
        <v>Право заключения договора оказания услуг по техническому обслуживанию систем аудио- и видеоконференцсвязи (АВКС), установленных в АО «СО ЕЭС»</v>
      </c>
      <c r="G16397" s="22" t="s">
        <v>55</v>
      </c>
      <c r="H16397" s="22" t="s">
        <v>55</v>
      </c>
      <c r="I16397" s="26">
        <v>43494.768888888902</v>
      </c>
      <c r="J16397" s="23" t="str">
        <f>HYPERLINK("https://www.spark-marketing.ru/Card/Person/12896", "ЗАО ""КРОК ИНКОРПОРЕЙТЕД""")</f>
        <v>ЗАО "КРОК ИНКОРПОРЕЙТЕД"</v>
      </c>
      <c r="K16397" s="24" t="s">
        <v>18860</v>
      </c>
      <c r="L16397" s="28" t="s">
        <v>52</v>
      </c>
      <c r="M16397" s="25">
        <v>35359999.009999998</v>
      </c>
      <c r="N16397" s="27">
        <v>1.7082178835510927E-3</v>
      </c>
    </row>
    <row r="16398" spans="1:14" hidden="1" outlineLevel="1" x14ac:dyDescent="0.2">
      <c r="A16398" s="23" t="str">
        <f>HYPERLINK("https://www.spark-marketing.ru/Card/Person/4348372", "АО ""СО ЕЭС""")</f>
        <v>АО "СО ЕЭС"</v>
      </c>
      <c r="B16398" s="24" t="s">
        <v>10670</v>
      </c>
      <c r="C16398" s="28" t="s">
        <v>52</v>
      </c>
      <c r="D16398" s="22" t="s">
        <v>18859</v>
      </c>
      <c r="E16398" s="22" t="s">
        <v>10672</v>
      </c>
      <c r="F16398" s="23" t="str">
        <f>HYPERLINK("https://www.spark-marketing.ru/Card/Lot/67542307", "Право заключения договора оказания услуг по техническому обслуживанию систем аудио- и видеоконференцсвязи (АВКС), установленных в АО «СО ЕЭС»")</f>
        <v>Право заключения договора оказания услуг по техническому обслуживанию систем аудио- и видеоконференцсвязи (АВКС), установленных в АО «СО ЕЭС»</v>
      </c>
      <c r="G16398" s="22" t="s">
        <v>55</v>
      </c>
      <c r="H16398" s="22" t="s">
        <v>55</v>
      </c>
      <c r="I16398" s="26">
        <v>43494.768888888902</v>
      </c>
      <c r="J16398" s="23" t="str">
        <f>HYPERLINK("https://www.spark-marketing.ru/Card/Person/131527", "АО ""ЭЛВИС-ПЛЮС""")</f>
        <v>АО "ЭЛВИС-ПЛЮС"</v>
      </c>
      <c r="K16398" s="24" t="s">
        <v>18861</v>
      </c>
      <c r="L16398" s="28" t="s">
        <v>52</v>
      </c>
      <c r="M16398" s="25">
        <v>35370028.799999997</v>
      </c>
      <c r="N16398" s="27">
        <v>1.4250545008111185E-3</v>
      </c>
    </row>
    <row r="16399" spans="1:14" x14ac:dyDescent="0.2">
      <c r="A16399" s="23" t="str">
        <f>HYPERLINK("https://www.spark-marketing.ru/Card/Person/115294", "ГАУЗ ""СП № 53 ДЗМ""")</f>
        <v>ГАУЗ "СП № 53 ДЗМ"</v>
      </c>
      <c r="B16399" s="24" t="s">
        <v>18862</v>
      </c>
      <c r="C16399" s="25">
        <v>294000</v>
      </c>
      <c r="D16399" s="22" t="s">
        <v>18863</v>
      </c>
      <c r="E16399" s="22" t="s">
        <v>18864</v>
      </c>
      <c r="F16399" s="23" t="str">
        <f>HYPERLINK("https://www.spark-marketing.ru/Card/Lot/67541272", "Сервисное обслуживание системы видеонаблюдения в 1 полугодии 2019 года")</f>
        <v>Сервисное обслуживание системы видеонаблюдения в 1 полугодии 2019 года</v>
      </c>
      <c r="G16399" s="22" t="s">
        <v>55</v>
      </c>
      <c r="H16399" s="22" t="s">
        <v>55</v>
      </c>
      <c r="I16399" s="26">
        <v>43494.751388888901</v>
      </c>
      <c r="J16399" s="28" t="s">
        <v>52</v>
      </c>
      <c r="K16399" s="28" t="s">
        <v>52</v>
      </c>
      <c r="L16399" s="28" t="s">
        <v>52</v>
      </c>
      <c r="M16399" s="25">
        <v>294000</v>
      </c>
      <c r="N16399" s="27">
        <v>0</v>
      </c>
    </row>
    <row r="16400" spans="1:14" x14ac:dyDescent="0.2">
      <c r="A16400" s="23" t="str">
        <f>HYPERLINK("https://www.spark-marketing.ru/Card/Person/115294", "ГАУЗ ""СП № 53 ДЗМ""")</f>
        <v>ГАУЗ "СП № 53 ДЗМ"</v>
      </c>
      <c r="B16400" s="24" t="s">
        <v>18862</v>
      </c>
      <c r="C16400" s="25">
        <v>99442.92</v>
      </c>
      <c r="D16400" s="22" t="s">
        <v>18865</v>
      </c>
      <c r="E16400" s="22" t="s">
        <v>16554</v>
      </c>
      <c r="F16400" s="23" t="str">
        <f>HYPERLINK("https://www.spark-marketing.ru/Card/Lot/67541182", "Оказание услуг по техническому обслуживанию комплекса технических средств охраны и технологическому обеспечению работоспособности оконечного устройства систем передачи извещений в 2019 году.")</f>
        <v>Оказание услуг по техническому обслуживанию комплекса технических средств охраны и технологическому обеспечению работоспособности оконечного устройства систем передачи извещений в 2019 году.</v>
      </c>
      <c r="G16400" s="22" t="s">
        <v>55</v>
      </c>
      <c r="H16400" s="22" t="s">
        <v>55</v>
      </c>
      <c r="I16400" s="26">
        <v>43494.743576388901</v>
      </c>
      <c r="J16400" s="28" t="s">
        <v>52</v>
      </c>
      <c r="K16400" s="28" t="s">
        <v>52</v>
      </c>
      <c r="L16400" s="28" t="s">
        <v>52</v>
      </c>
      <c r="M16400" s="25">
        <v>99442.92</v>
      </c>
      <c r="N16400" s="27">
        <v>0</v>
      </c>
    </row>
    <row r="16401" spans="1:14" x14ac:dyDescent="0.2">
      <c r="A16401" s="23" t="str">
        <f>HYPERLINK("https://www.spark-marketing.ru/Card/Person/31184", "ГУП ""БАШФАРМАЦИЯ"" РБ")</f>
        <v>ГУП "БАШФАРМАЦИЯ" РБ</v>
      </c>
      <c r="B16401" s="24" t="s">
        <v>7976</v>
      </c>
      <c r="C16401" s="25">
        <v>900000</v>
      </c>
      <c r="D16401" s="22" t="s">
        <v>18866</v>
      </c>
      <c r="E16401" s="22" t="s">
        <v>144</v>
      </c>
      <c r="F16401" s="23" t="str">
        <f>HYPERLINK("https://www.spark-marketing.ru/Card/Lot/67536089", "Оказание услуг по охране объектов ГУП ""Башфармация"" РБ")</f>
        <v>Оказание услуг по охране объектов ГУП "Башфармация" РБ</v>
      </c>
      <c r="G16401" s="22" t="s">
        <v>100</v>
      </c>
      <c r="H16401" s="22" t="s">
        <v>100</v>
      </c>
      <c r="I16401" s="26">
        <v>43494.714212963001</v>
      </c>
      <c r="J16401" s="28" t="s">
        <v>52</v>
      </c>
      <c r="K16401" s="28" t="s">
        <v>52</v>
      </c>
      <c r="L16401" s="28" t="s">
        <v>52</v>
      </c>
      <c r="M16401" s="25">
        <v>900000</v>
      </c>
      <c r="N16401" s="27">
        <v>0</v>
      </c>
    </row>
    <row r="16402" spans="1:14" x14ac:dyDescent="0.15">
      <c r="A16402" s="23" t="str">
        <f>HYPERLINK("https://www.spark-marketing.ru/Card/Person/4379279", "МБОУ СОШ №28 Г. СИМФЕРОПОЛЯ")</f>
        <v>МБОУ СОШ №28 Г. СИМФЕРОПОЛЯ</v>
      </c>
      <c r="B16402" s="24" t="s">
        <v>18300</v>
      </c>
      <c r="C16402" s="25">
        <v>54950</v>
      </c>
      <c r="D16402" s="22" t="s">
        <v>18867</v>
      </c>
      <c r="E16402" s="22" t="s">
        <v>103</v>
      </c>
      <c r="F16402" s="23" t="str">
        <f>HYPERLINK("https://www.spark-marketing.ru/Card/Lot/67539556", "Профилактические (предупредительные) работы по обслуживанию системы видеонаблюдения")</f>
        <v>Профилактические (предупредительные) работы по обслуживанию системы видеонаблюдения</v>
      </c>
      <c r="G16402" s="22" t="s">
        <v>1053</v>
      </c>
      <c r="H16402" s="22" t="s">
        <v>3239</v>
      </c>
      <c r="I16402" s="26">
        <v>43494.748611111099</v>
      </c>
      <c r="J16402" s="28" t="s">
        <v>52</v>
      </c>
      <c r="K16402" s="28" t="s">
        <v>52</v>
      </c>
      <c r="L16402" s="28" t="s">
        <v>52</v>
      </c>
      <c r="M16402" s="28" t="s">
        <v>52</v>
      </c>
      <c r="N16402" s="28" t="s">
        <v>52</v>
      </c>
    </row>
    <row r="16403" spans="1:14" x14ac:dyDescent="0.15">
      <c r="A16403" s="23" t="str">
        <f>HYPERLINK("https://www.spark-marketing.ru/Card/Person/126845", "МБОУ ""ГИМНАЗИЯ №6""")</f>
        <v>МБОУ "ГИМНАЗИЯ №6"</v>
      </c>
      <c r="B16403" s="24" t="s">
        <v>18868</v>
      </c>
      <c r="C16403" s="25">
        <v>126000</v>
      </c>
      <c r="D16403" s="22" t="s">
        <v>18869</v>
      </c>
      <c r="E16403" s="22" t="s">
        <v>103</v>
      </c>
      <c r="F16403" s="23" t="str">
        <f>HYPERLINK("https://www.spark-marketing.ru/Card/Lot/67539757", "Оказание услуг по техническому обслуживанию системы видеонаблюдения МБОУ ""Гимназия № 6""")</f>
        <v>Оказание услуг по техническому обслуживанию системы видеонаблюдения МБОУ "Гимназия № 6"</v>
      </c>
      <c r="G16403" s="22" t="s">
        <v>50</v>
      </c>
      <c r="H16403" s="22" t="s">
        <v>1960</v>
      </c>
      <c r="I16403" s="26">
        <v>43494.741562499999</v>
      </c>
      <c r="J16403" s="28" t="s">
        <v>52</v>
      </c>
      <c r="K16403" s="28" t="s">
        <v>52</v>
      </c>
      <c r="L16403" s="28" t="s">
        <v>52</v>
      </c>
      <c r="M16403" s="28" t="s">
        <v>52</v>
      </c>
      <c r="N16403" s="28" t="s">
        <v>52</v>
      </c>
    </row>
    <row r="16404" spans="1:14" x14ac:dyDescent="0.15">
      <c r="A16404" s="23" t="str">
        <f>HYPERLINK("https://www.spark-marketing.ru/Card/Person/4365531", "ООО ""УК ""ТАТБУРНЕФТЬ""")</f>
        <v>ООО "УК "ТАТБУРНЕФТЬ"</v>
      </c>
      <c r="B16404" s="24" t="s">
        <v>1875</v>
      </c>
      <c r="C16404" s="25">
        <v>0</v>
      </c>
      <c r="D16404" s="22" t="s">
        <v>18870</v>
      </c>
      <c r="E16404" s="22" t="s">
        <v>18871</v>
      </c>
      <c r="F16404" s="23" t="str">
        <f>HYPERLINK("https://www.spark-marketing.ru/Card/Lot/67541706", "Увеличение зоны обслуживания на 1 видеокамеру")</f>
        <v>Увеличение зоны обслуживания на 1 видеокамеру</v>
      </c>
      <c r="G16404" s="22" t="s">
        <v>204</v>
      </c>
      <c r="H16404" s="22" t="s">
        <v>308</v>
      </c>
      <c r="I16404" s="26">
        <v>43494.704884259299</v>
      </c>
      <c r="J16404" s="28" t="s">
        <v>52</v>
      </c>
      <c r="K16404" s="28" t="s">
        <v>52</v>
      </c>
      <c r="L16404" s="28" t="s">
        <v>52</v>
      </c>
      <c r="M16404" s="28" t="s">
        <v>52</v>
      </c>
      <c r="N16404" s="28" t="s">
        <v>52</v>
      </c>
    </row>
    <row r="16405" spans="1:14" ht="12.75" x14ac:dyDescent="0.2">
      <c r="A16405" s="23" t="str">
        <f>HYPERLINK("https://www.spark-marketing.ru/Card/Person/4346262", "ГАУЗ ""ГОРОДСКАЯ БОЛЬНИЦА № 2 Г. МАГНИТОГОРСК""")</f>
        <v>ГАУЗ "ГОРОДСКАЯ БОЛЬНИЦА № 2 Г. МАГНИТОГОРСК"</v>
      </c>
      <c r="B16405" s="24" t="s">
        <v>18872</v>
      </c>
      <c r="C16405" s="25">
        <v>157869.04</v>
      </c>
      <c r="D16405" s="22" t="s">
        <v>18873</v>
      </c>
      <c r="E16405" s="22" t="s">
        <v>144</v>
      </c>
      <c r="F16405" s="23" t="str">
        <f>HYPERLINK("https://www.spark-marketing.ru/Card/Lot/67532903", "оказание услуг по охране объектов с помощью средств тревожной сигнализации")</f>
        <v>оказание услуг по охране объектов с помощью средств тревожной сигнализации</v>
      </c>
      <c r="G16405" s="22" t="s">
        <v>60</v>
      </c>
      <c r="H16405" s="22" t="s">
        <v>60</v>
      </c>
      <c r="I16405" s="26">
        <v>43494.697141203702</v>
      </c>
      <c r="J16405" s="23" t="str">
        <f>HYPERLINK("https://www.spark-marketing.ru/Card/Person/1533636", "ФГКУ ""УВО ВНГ РОССИИ ПО ЧЕЛЯБИНСКОЙ ОБЛАСТИ""")</f>
        <v>ФГКУ "УВО ВНГ РОССИИ ПО ЧЕЛЯБИНСКОЙ ОБЛАСТИ"</v>
      </c>
      <c r="K16405" s="24" t="s">
        <v>8553</v>
      </c>
      <c r="L16405" s="22" t="s">
        <v>10</v>
      </c>
      <c r="M16405" s="25">
        <v>157869.04</v>
      </c>
      <c r="N16405" s="27">
        <v>0</v>
      </c>
    </row>
    <row r="16406" spans="1:14" x14ac:dyDescent="0.15">
      <c r="A16406" s="23" t="str">
        <f>HYPERLINK("https://www.spark-marketing.ru/Card/Person/1013056", "ГБПОУ РО ""ВМК""")</f>
        <v>ГБПОУ РО "ВМК"</v>
      </c>
      <c r="B16406" s="24" t="s">
        <v>18874</v>
      </c>
      <c r="C16406" s="25">
        <v>19200</v>
      </c>
      <c r="D16406" s="22" t="s">
        <v>18875</v>
      </c>
      <c r="E16406" s="22" t="s">
        <v>107</v>
      </c>
      <c r="F16406" s="23" t="str">
        <f>HYPERLINK("https://www.spark-marketing.ru/Card/Lot/67534955", "Техническое обслуживание системы видеонаблюдения в 2019г. ГБПОУ РО ""ВМК""")</f>
        <v>Техническое обслуживание системы видеонаблюдения в 2019г. ГБПОУ РО "ВМК"</v>
      </c>
      <c r="G16406" s="22" t="s">
        <v>402</v>
      </c>
      <c r="H16406" s="22" t="s">
        <v>12630</v>
      </c>
      <c r="I16406" s="26">
        <v>43494.677083333299</v>
      </c>
      <c r="J16406" s="28" t="s">
        <v>52</v>
      </c>
      <c r="K16406" s="28" t="s">
        <v>52</v>
      </c>
      <c r="L16406" s="28" t="s">
        <v>52</v>
      </c>
      <c r="M16406" s="28" t="s">
        <v>52</v>
      </c>
      <c r="N16406" s="28" t="s">
        <v>52</v>
      </c>
    </row>
    <row r="16407" spans="1:14" x14ac:dyDescent="0.15">
      <c r="A16407" s="23" t="str">
        <f t="shared" ref="A16407:A16414" si="848">HYPERLINK("https://www.spark-marketing.ru/Card/Person/4365531", "ООО ""УК ""ТАТБУРНЕФТЬ""")</f>
        <v>ООО "УК "ТАТБУРНЕФТЬ"</v>
      </c>
      <c r="B16407" s="24" t="s">
        <v>1875</v>
      </c>
      <c r="C16407" s="25">
        <v>0</v>
      </c>
      <c r="D16407" s="22" t="s">
        <v>18870</v>
      </c>
      <c r="E16407" s="22" t="s">
        <v>18871</v>
      </c>
      <c r="F16407" s="23" t="str">
        <f>HYPERLINK("https://www.spark-marketing.ru/Card/Lot/67541710", "Обслуживание и поддержание работоспособности одной системы видеонаблюдения во время бурения за месяц (с учетом транспортных затрат в Удмуртской республике)")</f>
        <v>Обслуживание и поддержание работоспособности одной системы видеонаблюдения во время бурения за месяц (с учетом транспортных затрат в Удмуртской республике)</v>
      </c>
      <c r="G16407" s="22" t="s">
        <v>204</v>
      </c>
      <c r="H16407" s="22" t="s">
        <v>308</v>
      </c>
      <c r="I16407" s="26">
        <v>43494.704884259299</v>
      </c>
      <c r="J16407" s="28" t="s">
        <v>52</v>
      </c>
      <c r="K16407" s="28" t="s">
        <v>52</v>
      </c>
      <c r="L16407" s="28" t="s">
        <v>52</v>
      </c>
      <c r="M16407" s="28" t="s">
        <v>52</v>
      </c>
      <c r="N16407" s="28" t="s">
        <v>52</v>
      </c>
    </row>
    <row r="16408" spans="1:14" x14ac:dyDescent="0.15">
      <c r="A16408" s="23" t="str">
        <f t="shared" si="848"/>
        <v>ООО "УК "ТАТБУРНЕФТЬ"</v>
      </c>
      <c r="B16408" s="24" t="s">
        <v>1875</v>
      </c>
      <c r="C16408" s="25">
        <v>0</v>
      </c>
      <c r="D16408" s="22" t="s">
        <v>18870</v>
      </c>
      <c r="E16408" s="22" t="s">
        <v>18871</v>
      </c>
      <c r="F16408" s="23" t="str">
        <f>HYPERLINK("https://www.spark-marketing.ru/Card/Lot/67541713", "ЗИП (стоимость указать в приложении № 2 к спецификации)")</f>
        <v>ЗИП (стоимость указать в приложении № 2 к спецификации)</v>
      </c>
      <c r="G16408" s="22" t="s">
        <v>204</v>
      </c>
      <c r="H16408" s="22" t="s">
        <v>308</v>
      </c>
      <c r="I16408" s="26">
        <v>43494.704884259299</v>
      </c>
      <c r="J16408" s="28" t="s">
        <v>52</v>
      </c>
      <c r="K16408" s="28" t="s">
        <v>52</v>
      </c>
      <c r="L16408" s="28" t="s">
        <v>52</v>
      </c>
      <c r="M16408" s="28" t="s">
        <v>52</v>
      </c>
      <c r="N16408" s="28" t="s">
        <v>52</v>
      </c>
    </row>
    <row r="16409" spans="1:14" x14ac:dyDescent="0.15">
      <c r="A16409" s="23" t="str">
        <f t="shared" si="848"/>
        <v>ООО "УК "ТАТБУРНЕФТЬ"</v>
      </c>
      <c r="B16409" s="24" t="s">
        <v>1875</v>
      </c>
      <c r="C16409" s="25">
        <v>0</v>
      </c>
      <c r="D16409" s="22" t="s">
        <v>18870</v>
      </c>
      <c r="E16409" s="22" t="s">
        <v>18871</v>
      </c>
      <c r="F16409" s="23" t="str">
        <f>HYPERLINK("https://www.spark-marketing.ru/Card/Lot/67541707", "Обслуживание и поддержание работоспособности одной системы видеонаблюдения во время бурения за месяц (с учетом транспортных затрат в республике Башкортостан)")</f>
        <v>Обслуживание и поддержание работоспособности одной системы видеонаблюдения во время бурения за месяц (с учетом транспортных затрат в республике Башкортостан)</v>
      </c>
      <c r="G16409" s="22" t="s">
        <v>204</v>
      </c>
      <c r="H16409" s="22" t="s">
        <v>308</v>
      </c>
      <c r="I16409" s="26">
        <v>43494.704884259299</v>
      </c>
      <c r="J16409" s="28" t="s">
        <v>52</v>
      </c>
      <c r="K16409" s="28" t="s">
        <v>52</v>
      </c>
      <c r="L16409" s="28" t="s">
        <v>52</v>
      </c>
      <c r="M16409" s="28" t="s">
        <v>52</v>
      </c>
      <c r="N16409" s="28" t="s">
        <v>52</v>
      </c>
    </row>
    <row r="16410" spans="1:14" x14ac:dyDescent="0.15">
      <c r="A16410" s="23" t="str">
        <f t="shared" si="848"/>
        <v>ООО "УК "ТАТБУРНЕФТЬ"</v>
      </c>
      <c r="B16410" s="24" t="s">
        <v>1875</v>
      </c>
      <c r="C16410" s="25">
        <v>0</v>
      </c>
      <c r="D16410" s="22" t="s">
        <v>18870</v>
      </c>
      <c r="E16410" s="22" t="s">
        <v>18871</v>
      </c>
      <c r="F16410" s="23" t="str">
        <f>HYPERLINK("https://www.spark-marketing.ru/Card/Lot/67541705", "Обслуживание и поддержание работоспособности одной системы видеонаблюдения во время бурения за месяц (с учетом транспортных затрат в республике Татарстан)")</f>
        <v>Обслуживание и поддержание работоспособности одной системы видеонаблюдения во время бурения за месяц (с учетом транспортных затрат в республике Татарстан)</v>
      </c>
      <c r="G16410" s="22" t="s">
        <v>204</v>
      </c>
      <c r="H16410" s="22" t="s">
        <v>308</v>
      </c>
      <c r="I16410" s="26">
        <v>43494.704884259299</v>
      </c>
      <c r="J16410" s="28" t="s">
        <v>52</v>
      </c>
      <c r="K16410" s="28" t="s">
        <v>52</v>
      </c>
      <c r="L16410" s="28" t="s">
        <v>52</v>
      </c>
      <c r="M16410" s="28" t="s">
        <v>52</v>
      </c>
      <c r="N16410" s="28" t="s">
        <v>52</v>
      </c>
    </row>
    <row r="16411" spans="1:14" x14ac:dyDescent="0.15">
      <c r="A16411" s="23" t="str">
        <f t="shared" si="848"/>
        <v>ООО "УК "ТАТБУРНЕФТЬ"</v>
      </c>
      <c r="B16411" s="24" t="s">
        <v>1875</v>
      </c>
      <c r="C16411" s="25">
        <v>0</v>
      </c>
      <c r="D16411" s="22" t="s">
        <v>18870</v>
      </c>
      <c r="E16411" s="22" t="s">
        <v>18871</v>
      </c>
      <c r="F16411" s="23" t="str">
        <f>HYPERLINK("https://www.spark-marketing.ru/Card/Lot/67541711", "Обслуживание и поддержание работоспособности одной системы видеонаблюдения во время бурения за месяц (с учетом транспортных затрат в Пермском крае)")</f>
        <v>Обслуживание и поддержание работоспособности одной системы видеонаблюдения во время бурения за месяц (с учетом транспортных затрат в Пермском крае)</v>
      </c>
      <c r="G16411" s="22" t="s">
        <v>204</v>
      </c>
      <c r="H16411" s="22" t="s">
        <v>308</v>
      </c>
      <c r="I16411" s="26">
        <v>43494.704884259299</v>
      </c>
      <c r="J16411" s="28" t="s">
        <v>52</v>
      </c>
      <c r="K16411" s="28" t="s">
        <v>52</v>
      </c>
      <c r="L16411" s="28" t="s">
        <v>52</v>
      </c>
      <c r="M16411" s="28" t="s">
        <v>52</v>
      </c>
      <c r="N16411" s="28" t="s">
        <v>52</v>
      </c>
    </row>
    <row r="16412" spans="1:14" x14ac:dyDescent="0.15">
      <c r="A16412" s="23" t="str">
        <f t="shared" si="848"/>
        <v>ООО "УК "ТАТБУРНЕФТЬ"</v>
      </c>
      <c r="B16412" s="24" t="s">
        <v>1875</v>
      </c>
      <c r="C16412" s="25">
        <v>0</v>
      </c>
      <c r="D16412" s="22" t="s">
        <v>18870</v>
      </c>
      <c r="E16412" s="22" t="s">
        <v>18871</v>
      </c>
      <c r="F16412" s="23" t="str">
        <f>HYPERLINK("https://www.spark-marketing.ru/Card/Lot/67541712", "Обслуживание и поддержание работоспособности одной системы видеонаблюдения во время бурения за месяц (с учетом транспортных затрат в Саратовской области)")</f>
        <v>Обслуживание и поддержание работоспособности одной системы видеонаблюдения во время бурения за месяц (с учетом транспортных затрат в Саратовской области)</v>
      </c>
      <c r="G16412" s="22" t="s">
        <v>204</v>
      </c>
      <c r="H16412" s="22" t="s">
        <v>308</v>
      </c>
      <c r="I16412" s="26">
        <v>43494.704884259299</v>
      </c>
      <c r="J16412" s="28" t="s">
        <v>52</v>
      </c>
      <c r="K16412" s="28" t="s">
        <v>52</v>
      </c>
      <c r="L16412" s="28" t="s">
        <v>52</v>
      </c>
      <c r="M16412" s="28" t="s">
        <v>52</v>
      </c>
      <c r="N16412" s="28" t="s">
        <v>52</v>
      </c>
    </row>
    <row r="16413" spans="1:14" x14ac:dyDescent="0.15">
      <c r="A16413" s="23" t="str">
        <f t="shared" si="848"/>
        <v>ООО "УК "ТАТБУРНЕФТЬ"</v>
      </c>
      <c r="B16413" s="24" t="s">
        <v>1875</v>
      </c>
      <c r="C16413" s="25">
        <v>0</v>
      </c>
      <c r="D16413" s="22" t="s">
        <v>18870</v>
      </c>
      <c r="E16413" s="22" t="s">
        <v>18871</v>
      </c>
      <c r="F16413" s="23" t="str">
        <f>HYPERLINK("https://www.spark-marketing.ru/Card/Lot/67541708", "Обслуживание и поддержание работоспособности одной системы видеонаблюдения во время бурения за месяц (с учетом транспортных затрат в Самарской области)")</f>
        <v>Обслуживание и поддержание работоспособности одной системы видеонаблюдения во время бурения за месяц (с учетом транспортных затрат в Самарской области)</v>
      </c>
      <c r="G16413" s="22" t="s">
        <v>204</v>
      </c>
      <c r="H16413" s="22" t="s">
        <v>308</v>
      </c>
      <c r="I16413" s="26">
        <v>43494.704884259299</v>
      </c>
      <c r="J16413" s="28" t="s">
        <v>52</v>
      </c>
      <c r="K16413" s="28" t="s">
        <v>52</v>
      </c>
      <c r="L16413" s="28" t="s">
        <v>52</v>
      </c>
      <c r="M16413" s="28" t="s">
        <v>52</v>
      </c>
      <c r="N16413" s="28" t="s">
        <v>52</v>
      </c>
    </row>
    <row r="16414" spans="1:14" x14ac:dyDescent="0.15">
      <c r="A16414" s="23" t="str">
        <f t="shared" si="848"/>
        <v>ООО "УК "ТАТБУРНЕФТЬ"</v>
      </c>
      <c r="B16414" s="24" t="s">
        <v>1875</v>
      </c>
      <c r="C16414" s="25">
        <v>0</v>
      </c>
      <c r="D16414" s="22" t="s">
        <v>18870</v>
      </c>
      <c r="E16414" s="22" t="s">
        <v>18871</v>
      </c>
      <c r="F16414" s="23" t="str">
        <f>HYPERLINK("https://www.spark-marketing.ru/Card/Lot/67541709", "Обслуживание и поддержание работоспособности одной системы видеонаблюдения во время бурения за месяц (с учетом транспортных затрат в Оренбургской области)")</f>
        <v>Обслуживание и поддержание работоспособности одной системы видеонаблюдения во время бурения за месяц (с учетом транспортных затрат в Оренбургской области)</v>
      </c>
      <c r="G16414" s="22" t="s">
        <v>204</v>
      </c>
      <c r="H16414" s="22" t="s">
        <v>308</v>
      </c>
      <c r="I16414" s="26">
        <v>43494.704884259299</v>
      </c>
      <c r="J16414" s="28" t="s">
        <v>52</v>
      </c>
      <c r="K16414" s="28" t="s">
        <v>52</v>
      </c>
      <c r="L16414" s="28" t="s">
        <v>52</v>
      </c>
      <c r="M16414" s="28" t="s">
        <v>52</v>
      </c>
      <c r="N16414" s="28" t="s">
        <v>52</v>
      </c>
    </row>
    <row r="16415" spans="1:14" x14ac:dyDescent="0.15">
      <c r="A16415" s="23" t="str">
        <f>HYPERLINK("https://www.spark-marketing.ru/Card/Person/136471", "ГБПОУ РО ""ОАТТ""")</f>
        <v>ГБПОУ РО "ОАТТ"</v>
      </c>
      <c r="B16415" s="24" t="s">
        <v>18876</v>
      </c>
      <c r="C16415" s="25">
        <v>72000</v>
      </c>
      <c r="D16415" s="22" t="s">
        <v>18877</v>
      </c>
      <c r="E16415" s="22" t="s">
        <v>59</v>
      </c>
      <c r="F16415" s="23" t="str">
        <f>HYPERLINK("https://www.spark-marketing.ru/Card/Lot/67533477", "Обслуживание систем видеонаблюдения")</f>
        <v>Обслуживание систем видеонаблюдения</v>
      </c>
      <c r="G16415" s="22" t="s">
        <v>402</v>
      </c>
      <c r="H16415" s="22" t="s">
        <v>10004</v>
      </c>
      <c r="I16415" s="26">
        <v>43494.646527777797</v>
      </c>
      <c r="J16415" s="28" t="s">
        <v>52</v>
      </c>
      <c r="K16415" s="28" t="s">
        <v>52</v>
      </c>
      <c r="L16415" s="28" t="s">
        <v>52</v>
      </c>
      <c r="M16415" s="28" t="s">
        <v>52</v>
      </c>
      <c r="N16415" s="28" t="s">
        <v>52</v>
      </c>
    </row>
    <row r="16416" spans="1:14" x14ac:dyDescent="0.15">
      <c r="A16416" s="23" t="str">
        <f>HYPERLINK("https://www.spark-marketing.ru/Card/Person/4354951", "АО ""ЭЛЕКТРОСЕТЬСЕРВИС ЕНЭС""")</f>
        <v>АО "ЭЛЕКТРОСЕТЬСЕРВИС ЕНЭС"</v>
      </c>
      <c r="B16416" s="24" t="s">
        <v>2302</v>
      </c>
      <c r="C16416" s="25">
        <v>1788000</v>
      </c>
      <c r="D16416" s="22" t="s">
        <v>18878</v>
      </c>
      <c r="E16416" s="22" t="s">
        <v>363</v>
      </c>
      <c r="F16416" s="23" t="str">
        <f>HYPERLINK("https://www.spark-marketing.ru/Card/Lot/67532654", "Оказание услуг по охране объекта филиал АО ""Электросетьсервис ЕНЭС"" Южная СПБ")</f>
        <v>Оказание услуг по охране объекта филиал АО "Электросетьсервис ЕНЭС" Южная СПБ</v>
      </c>
      <c r="G16416" s="22" t="s">
        <v>50</v>
      </c>
      <c r="H16416" s="22" t="s">
        <v>50</v>
      </c>
      <c r="I16416" s="26">
        <v>43494.625659722202</v>
      </c>
      <c r="J16416" s="28" t="s">
        <v>52</v>
      </c>
      <c r="K16416" s="28" t="s">
        <v>52</v>
      </c>
      <c r="L16416" s="28" t="s">
        <v>52</v>
      </c>
      <c r="M16416" s="28" t="s">
        <v>52</v>
      </c>
      <c r="N16416" s="28" t="s">
        <v>52</v>
      </c>
    </row>
    <row r="16417" spans="1:14" hidden="1" outlineLevel="1" x14ac:dyDescent="0.2">
      <c r="A16417" s="23" t="str">
        <f>HYPERLINK("https://www.spark-marketing.ru/Card/Person/4354951", "АО ""ЭЛЕКТРОСЕТЬСЕРВИС ЕНЭС""")</f>
        <v>АО "ЭЛЕКТРОСЕТЬСЕРВИС ЕНЭС"</v>
      </c>
      <c r="B16417" s="24" t="s">
        <v>2302</v>
      </c>
      <c r="C16417" s="28" t="s">
        <v>52</v>
      </c>
      <c r="D16417" s="22" t="s">
        <v>18878</v>
      </c>
      <c r="E16417" s="22" t="s">
        <v>363</v>
      </c>
      <c r="F16417" s="23" t="str">
        <f>HYPERLINK("https://www.spark-marketing.ru/Card/Lot/67532654", "Оказание услуг по охране объекта филиал АО ""Электросетьсервис ЕНЭС"" Южная СПБ")</f>
        <v>Оказание услуг по охране объекта филиал АО "Электросетьсервис ЕНЭС" Южная СПБ</v>
      </c>
      <c r="G16417" s="22" t="s">
        <v>50</v>
      </c>
      <c r="H16417" s="22" t="s">
        <v>50</v>
      </c>
      <c r="I16417" s="26">
        <v>43494.625659722202</v>
      </c>
      <c r="J16417" s="23" t="str">
        <f>HYPERLINK("https://www.spark-marketing.ru/Card/Person/1982366", "ООО ""ЩИТ-2""")</f>
        <v>ООО "ЩИТ-2"</v>
      </c>
      <c r="K16417" s="24" t="s">
        <v>18879</v>
      </c>
      <c r="L16417" s="28" t="s">
        <v>52</v>
      </c>
      <c r="M16417" s="25">
        <v>1387000</v>
      </c>
      <c r="N16417" s="27">
        <v>0.22427293064876958</v>
      </c>
    </row>
    <row r="16418" spans="1:14" hidden="1" outlineLevel="1" x14ac:dyDescent="0.2">
      <c r="A16418" s="23" t="str">
        <f>HYPERLINK("https://www.spark-marketing.ru/Card/Person/4354951", "АО ""ЭЛЕКТРОСЕТЬСЕРВИС ЕНЭС""")</f>
        <v>АО "ЭЛЕКТРОСЕТЬСЕРВИС ЕНЭС"</v>
      </c>
      <c r="B16418" s="24" t="s">
        <v>2302</v>
      </c>
      <c r="C16418" s="28" t="s">
        <v>52</v>
      </c>
      <c r="D16418" s="22" t="s">
        <v>18878</v>
      </c>
      <c r="E16418" s="22" t="s">
        <v>363</v>
      </c>
      <c r="F16418" s="23" t="str">
        <f>HYPERLINK("https://www.spark-marketing.ru/Card/Lot/67532654", "Оказание услуг по охране объекта филиал АО ""Электросетьсервис ЕНЭС"" Южная СПБ")</f>
        <v>Оказание услуг по охране объекта филиал АО "Электросетьсервис ЕНЭС" Южная СПБ</v>
      </c>
      <c r="G16418" s="22" t="s">
        <v>50</v>
      </c>
      <c r="H16418" s="22" t="s">
        <v>50</v>
      </c>
      <c r="I16418" s="26">
        <v>43494.625659722202</v>
      </c>
      <c r="J16418" s="23" t="str">
        <f>HYPERLINK("https://www.spark-marketing.ru/Card/Person/2234356", "ООО ЧОП ""СКАЛА""")</f>
        <v>ООО ЧОП "СКАЛА"</v>
      </c>
      <c r="K16418" s="24" t="s">
        <v>11820</v>
      </c>
      <c r="L16418" s="28" t="s">
        <v>52</v>
      </c>
      <c r="M16418" s="25">
        <v>1069200</v>
      </c>
      <c r="N16418" s="27">
        <v>0.40201342281879193</v>
      </c>
    </row>
    <row r="16419" spans="1:14" hidden="1" outlineLevel="1" x14ac:dyDescent="0.2">
      <c r="A16419" s="23" t="str">
        <f>HYPERLINK("https://www.spark-marketing.ru/Card/Person/4354951", "АО ""ЭЛЕКТРОСЕТЬСЕРВИС ЕНЭС""")</f>
        <v>АО "ЭЛЕКТРОСЕТЬСЕРВИС ЕНЭС"</v>
      </c>
      <c r="B16419" s="24" t="s">
        <v>2302</v>
      </c>
      <c r="C16419" s="28" t="s">
        <v>52</v>
      </c>
      <c r="D16419" s="22" t="s">
        <v>18878</v>
      </c>
      <c r="E16419" s="22" t="s">
        <v>363</v>
      </c>
      <c r="F16419" s="23" t="str">
        <f>HYPERLINK("https://www.spark-marketing.ru/Card/Lot/67532654", "Оказание услуг по охране объекта филиал АО ""Электросетьсервис ЕНЭС"" Южная СПБ")</f>
        <v>Оказание услуг по охране объекта филиал АО "Электросетьсервис ЕНЭС" Южная СПБ</v>
      </c>
      <c r="G16419" s="22" t="s">
        <v>50</v>
      </c>
      <c r="H16419" s="22" t="s">
        <v>50</v>
      </c>
      <c r="I16419" s="26">
        <v>43494.625659722202</v>
      </c>
      <c r="J16419" s="23" t="str">
        <f>HYPERLINK("https://www.spark-marketing.ru/Card/Person/4880186", "ООО ЧОО ""ДЕРЖАВА""")</f>
        <v>ООО ЧОО "ДЕРЖАВА"</v>
      </c>
      <c r="K16419" s="24" t="s">
        <v>18880</v>
      </c>
      <c r="L16419" s="22" t="s">
        <v>10</v>
      </c>
      <c r="M16419" s="25">
        <v>1063900</v>
      </c>
      <c r="N16419" s="27">
        <v>0.40497762863534675</v>
      </c>
    </row>
    <row r="16420" spans="1:14" x14ac:dyDescent="0.2">
      <c r="A16420" s="23" t="str">
        <f>HYPERLINK("https://www.spark-marketing.ru/Card/Person/380490", "ГАПОУ ЛО ""ПРИОЗЕРСКИЙ ПОЛИТЕХНИЧЕСКИЙ КОЛЛЕДЖ""")</f>
        <v>ГАПОУ ЛО "ПРИОЗЕРСКИЙ ПОЛИТЕХНИЧЕСКИЙ КОЛЛЕДЖ"</v>
      </c>
      <c r="B16420" s="24" t="s">
        <v>18881</v>
      </c>
      <c r="C16420" s="25">
        <v>304115.20000000001</v>
      </c>
      <c r="D16420" s="22" t="s">
        <v>18882</v>
      </c>
      <c r="E16420" s="22" t="s">
        <v>363</v>
      </c>
      <c r="F16420" s="23" t="str">
        <f>HYPERLINK("https://www.spark-marketing.ru/Card/Lot/67538066", "Договора на физическую охрану учебного корпуса")</f>
        <v>Договора на физическую охрану учебного корпуса</v>
      </c>
      <c r="G16420" s="22" t="s">
        <v>861</v>
      </c>
      <c r="H16420" s="22" t="s">
        <v>861</v>
      </c>
      <c r="I16420" s="26">
        <v>43494.664212962998</v>
      </c>
      <c r="J16420" s="23" t="str">
        <f>HYPERLINK("https://www.spark-marketing.ru/Card/Person/10487", "ФГУП ""ОХРАНА"" РОСГВАРДИИ")</f>
        <v>ФГУП "ОХРАНА" РОСГВАРДИИ</v>
      </c>
      <c r="K16420" s="24" t="s">
        <v>779</v>
      </c>
      <c r="L16420" s="28" t="s">
        <v>52</v>
      </c>
      <c r="M16420" s="25">
        <v>304115.20000000001</v>
      </c>
      <c r="N16420" s="27">
        <v>0</v>
      </c>
    </row>
    <row r="16421" spans="1:14" x14ac:dyDescent="0.15">
      <c r="A16421" s="23" t="str">
        <f>HYPERLINK("https://www.spark-marketing.ru/Card/Person/1343922", "ФЛ ""КАЭР"" АО ""Атомэнергоремонт""")</f>
        <v>ФЛ "КАЭР" АО "Атомэнергоремонт"</v>
      </c>
      <c r="B16421" s="24" t="s">
        <v>10791</v>
      </c>
      <c r="C16421" s="25">
        <v>0</v>
      </c>
      <c r="D16421" s="22" t="s">
        <v>18883</v>
      </c>
      <c r="E16421" s="22" t="s">
        <v>53</v>
      </c>
      <c r="F16421" s="23" t="str">
        <f>HYPERLINK("https://www.spark-marketing.ru/Card/Lot/67537011", "мониторинг цен в электронной форме на Оказание услуг по физической охране объектов «Калининатомэнергоремонт» - филиала АО «Атомэнергоремонт»")</f>
        <v>мониторинг цен в электронной форме на Оказание услуг по физической охране объектов «Калининатомэнергоремонт» - филиала АО «Атомэнергоремонт»</v>
      </c>
      <c r="G16421" s="22" t="s">
        <v>55</v>
      </c>
      <c r="H16421" s="22" t="s">
        <v>55</v>
      </c>
      <c r="I16421" s="26">
        <v>43494.593287037002</v>
      </c>
      <c r="J16421" s="28" t="s">
        <v>52</v>
      </c>
      <c r="K16421" s="28" t="s">
        <v>52</v>
      </c>
      <c r="L16421" s="28" t="s">
        <v>52</v>
      </c>
      <c r="M16421" s="28" t="s">
        <v>52</v>
      </c>
      <c r="N16421" s="28" t="s">
        <v>52</v>
      </c>
    </row>
    <row r="16422" spans="1:14" x14ac:dyDescent="0.15">
      <c r="A16422" s="23" t="str">
        <f>HYPERLINK("https://www.spark-marketing.ru/Card/Person/1030684", "МБОУ «ЛИЦЕЙ № 102»")</f>
        <v>МБОУ «ЛИЦЕЙ № 102»</v>
      </c>
      <c r="B16422" s="24" t="s">
        <v>18884</v>
      </c>
      <c r="C16422" s="25">
        <v>24000</v>
      </c>
      <c r="D16422" s="22" t="s">
        <v>18885</v>
      </c>
      <c r="E16422" s="22" t="s">
        <v>1013</v>
      </c>
      <c r="F16422" s="23" t="str">
        <f>HYPERLINK("https://www.spark-marketing.ru/Card/Lot/67528616", "Техническое обслуживание системы видеонаблюдения")</f>
        <v>Техническое обслуживание системы видеонаблюдения</v>
      </c>
      <c r="G16422" s="22" t="s">
        <v>402</v>
      </c>
      <c r="H16422" s="22" t="s">
        <v>403</v>
      </c>
      <c r="I16422" s="26">
        <v>43494.598611111098</v>
      </c>
      <c r="J16422" s="28" t="s">
        <v>52</v>
      </c>
      <c r="K16422" s="28" t="s">
        <v>52</v>
      </c>
      <c r="L16422" s="28" t="s">
        <v>52</v>
      </c>
      <c r="M16422" s="28" t="s">
        <v>52</v>
      </c>
      <c r="N16422" s="28" t="s">
        <v>52</v>
      </c>
    </row>
    <row r="16423" spans="1:14" ht="12.75" x14ac:dyDescent="0.2">
      <c r="A16423" s="23" t="str">
        <f>HYPERLINK("https://www.spark-marketing.ru/Card/Person/1758163", "ГАПОУ ""ЧЕБОКСАРСКИЙ ТЕХНИКУМ ТРАНССТРОЙТЕХ"" МИНОБРАЗОВАНИЯ ЧУВАШИИ")</f>
        <v>ГАПОУ "ЧЕБОКСАРСКИЙ ТЕХНИКУМ ТРАНССТРОЙТЕХ" МИНОБРАЗОВАНИЯ ЧУВАШИИ</v>
      </c>
      <c r="B16423" s="24" t="s">
        <v>1432</v>
      </c>
      <c r="C16423" s="25">
        <v>361080</v>
      </c>
      <c r="D16423" s="22" t="s">
        <v>18886</v>
      </c>
      <c r="E16423" s="22" t="s">
        <v>144</v>
      </c>
      <c r="F16423" s="23" t="str">
        <f>HYPERLINK("https://www.spark-marketing.ru/Card/Lot/67530117", "Услуги по охране объекта")</f>
        <v>Услуги по охране объекта</v>
      </c>
      <c r="G16423" s="22" t="s">
        <v>1137</v>
      </c>
      <c r="H16423" s="22" t="s">
        <v>1137</v>
      </c>
      <c r="I16423" s="26">
        <v>43494.604074074101</v>
      </c>
      <c r="J16423" s="23" t="str">
        <f>HYPERLINK("https://www.spark-marketing.ru/Card/Person/63539", "ООО ""ЧОО ""ЦЕРБЕР""")</f>
        <v>ООО "ЧОО "ЦЕРБЕР"</v>
      </c>
      <c r="K16423" s="24" t="s">
        <v>1434</v>
      </c>
      <c r="L16423" s="22" t="s">
        <v>10</v>
      </c>
      <c r="M16423" s="25">
        <v>361080</v>
      </c>
      <c r="N16423" s="27">
        <v>0</v>
      </c>
    </row>
    <row r="16424" spans="1:14" x14ac:dyDescent="0.15">
      <c r="A16424" s="23" t="str">
        <f>HYPERLINK("https://www.spark-marketing.ru/Card/Person/1762927", "ГУП РК ""КМП""")</f>
        <v>ГУП РК "КМП"</v>
      </c>
      <c r="B16424" s="24" t="s">
        <v>18887</v>
      </c>
      <c r="C16424" s="25">
        <v>143957195.28999999</v>
      </c>
      <c r="D16424" s="22" t="s">
        <v>18888</v>
      </c>
      <c r="E16424" s="22" t="s">
        <v>3442</v>
      </c>
      <c r="F16424" s="23" t="str">
        <f>HYPERLINK("https://www.spark-marketing.ru/Card/Lot/67544637", "Оказание услуг по защите от актов незаконного вмешательства объектов транспортной инфраструктуры и транспортных средств филиалов ГУП РК ""КМП""")</f>
        <v>Оказание услуг по защите от актов незаконного вмешательства объектов транспортной инфраструктуры и транспортных средств филиалов ГУП РК "КМП"</v>
      </c>
      <c r="G16424" s="22" t="s">
        <v>1053</v>
      </c>
      <c r="H16424" s="22" t="s">
        <v>1053</v>
      </c>
      <c r="I16424" s="26">
        <v>43494.608055555596</v>
      </c>
      <c r="J16424" s="28" t="s">
        <v>52</v>
      </c>
      <c r="K16424" s="28" t="s">
        <v>52</v>
      </c>
      <c r="L16424" s="28" t="s">
        <v>52</v>
      </c>
      <c r="M16424" s="28" t="s">
        <v>52</v>
      </c>
      <c r="N16424" s="28" t="s">
        <v>52</v>
      </c>
    </row>
    <row r="16425" spans="1:14" hidden="1" outlineLevel="1" x14ac:dyDescent="0.2">
      <c r="A16425" s="23" t="str">
        <f>HYPERLINK("https://www.spark-marketing.ru/Card/Person/1762927", "ГУП РК ""КМП""")</f>
        <v>ГУП РК "КМП"</v>
      </c>
      <c r="B16425" s="24" t="s">
        <v>18887</v>
      </c>
      <c r="C16425" s="28" t="s">
        <v>52</v>
      </c>
      <c r="D16425" s="22" t="s">
        <v>18888</v>
      </c>
      <c r="E16425" s="22" t="s">
        <v>3442</v>
      </c>
      <c r="F16425" s="23" t="str">
        <f>HYPERLINK("https://www.spark-marketing.ru/Card/Lot/67544637", "Оказание услуг по защите от актов незаконного вмешательства объектов транспортной инфраструктуры и транспортных средств филиалов ГУП РК ""КМП""")</f>
        <v>Оказание услуг по защите от актов незаконного вмешательства объектов транспортной инфраструктуры и транспортных средств филиалов ГУП РК "КМП"</v>
      </c>
      <c r="G16425" s="22" t="s">
        <v>1053</v>
      </c>
      <c r="H16425" s="22" t="s">
        <v>1053</v>
      </c>
      <c r="I16425" s="26">
        <v>43494.608055555596</v>
      </c>
      <c r="J16425" s="23" t="str">
        <f>HYPERLINK("https://www.spark-marketing.ru/Card/Person/6234943", "ООО ""КОРПОРАЦИЯ АС ГРУПП СЕКЬЮРИТИ""")</f>
        <v>ООО "КОРПОРАЦИЯ АС ГРУПП СЕКЬЮРИТИ"</v>
      </c>
      <c r="K16425" s="24" t="s">
        <v>18889</v>
      </c>
      <c r="L16425" s="28" t="s">
        <v>52</v>
      </c>
      <c r="M16425" s="25">
        <v>140400000</v>
      </c>
      <c r="N16425" s="27">
        <v>2.4710090265610371E-2</v>
      </c>
    </row>
    <row r="16426" spans="1:14" hidden="1" outlineLevel="1" x14ac:dyDescent="0.2">
      <c r="A16426" s="23" t="str">
        <f>HYPERLINK("https://www.spark-marketing.ru/Card/Person/1762927", "ГУП РК ""КМП""")</f>
        <v>ГУП РК "КМП"</v>
      </c>
      <c r="B16426" s="24" t="s">
        <v>18887</v>
      </c>
      <c r="C16426" s="28" t="s">
        <v>52</v>
      </c>
      <c r="D16426" s="22" t="s">
        <v>18888</v>
      </c>
      <c r="E16426" s="22" t="s">
        <v>3442</v>
      </c>
      <c r="F16426" s="23" t="str">
        <f>HYPERLINK("https://www.spark-marketing.ru/Card/Lot/67544637", "Оказание услуг по защите от актов незаконного вмешательства объектов транспортной инфраструктуры и транспортных средств филиалов ГУП РК ""КМП""")</f>
        <v>Оказание услуг по защите от актов незаконного вмешательства объектов транспортной инфраструктуры и транспортных средств филиалов ГУП РК "КМП"</v>
      </c>
      <c r="G16426" s="22" t="s">
        <v>1053</v>
      </c>
      <c r="H16426" s="22" t="s">
        <v>1053</v>
      </c>
      <c r="I16426" s="26">
        <v>43494.608055555596</v>
      </c>
      <c r="J16426" s="23" t="str">
        <f>HYPERLINK("https://www.spark-marketing.ru/Card/Person/163417", "КРАСНОДАРСКИЙ ФЛ ФГУП ""УВО МИНТРАНСА РОССИИ""")</f>
        <v>КРАСНОДАРСКИЙ ФЛ ФГУП "УВО МИНТРАНСА РОССИИ"</v>
      </c>
      <c r="K16426" s="24" t="s">
        <v>1472</v>
      </c>
      <c r="L16426" s="22" t="s">
        <v>10</v>
      </c>
      <c r="M16426" s="25">
        <v>139590000</v>
      </c>
      <c r="N16426" s="27">
        <v>3.0336762821770311E-2</v>
      </c>
    </row>
    <row r="16427" spans="1:14" hidden="1" outlineLevel="1" x14ac:dyDescent="0.2">
      <c r="A16427" s="23" t="str">
        <f>HYPERLINK("https://www.spark-marketing.ru/Card/Person/1762927", "ГУП РК ""КМП""")</f>
        <v>ГУП РК "КМП"</v>
      </c>
      <c r="B16427" s="24" t="s">
        <v>18887</v>
      </c>
      <c r="C16427" s="28" t="s">
        <v>52</v>
      </c>
      <c r="D16427" s="22" t="s">
        <v>18888</v>
      </c>
      <c r="E16427" s="22" t="s">
        <v>3442</v>
      </c>
      <c r="F16427" s="23" t="str">
        <f>HYPERLINK("https://www.spark-marketing.ru/Card/Lot/67544637", "Оказание услуг по защите от актов незаконного вмешательства объектов транспортной инфраструктуры и транспортных средств филиалов ГУП РК ""КМП""")</f>
        <v>Оказание услуг по защите от актов незаконного вмешательства объектов транспортной инфраструктуры и транспортных средств филиалов ГУП РК "КМП"</v>
      </c>
      <c r="G16427" s="22" t="s">
        <v>1053</v>
      </c>
      <c r="H16427" s="22" t="s">
        <v>1053</v>
      </c>
      <c r="I16427" s="26">
        <v>43494.608055555596</v>
      </c>
      <c r="J16427" s="23" t="str">
        <f>HYPERLINK("https://www.spark-marketing.ru/Card/Person/37870", "ООО ""ЭЛЕКТРАРУБЕЖ""")</f>
        <v>ООО "ЭЛЕКТРАРУБЕЖ"</v>
      </c>
      <c r="K16427" s="24" t="s">
        <v>18890</v>
      </c>
      <c r="L16427" s="28" t="s">
        <v>52</v>
      </c>
      <c r="M16427" s="25">
        <v>143950000</v>
      </c>
      <c r="N16427" s="27">
        <v>4.9982149106928461E-5</v>
      </c>
    </row>
    <row r="16428" spans="1:14" x14ac:dyDescent="0.15">
      <c r="A16428" s="23" t="str">
        <f>HYPERLINK("https://www.spark-marketing.ru/Card/Person/1763833", "АОУ ДЕТСКИЙ САД ""УЛЫБКА""")</f>
        <v>АОУ ДЕТСКИЙ САД "УЛЫБКА"</v>
      </c>
      <c r="B16428" s="24" t="s">
        <v>18891</v>
      </c>
      <c r="C16428" s="25">
        <v>64735</v>
      </c>
      <c r="D16428" s="22" t="s">
        <v>18892</v>
      </c>
      <c r="E16428" s="22" t="s">
        <v>103</v>
      </c>
      <c r="F16428" s="23" t="str">
        <f>HYPERLINK("https://www.spark-marketing.ru/Card/Lot/67531126", "Оказание услуг по ТО системы видеонаблюдения на 2019 год")</f>
        <v>Оказание услуг по ТО системы видеонаблюдения на 2019 год</v>
      </c>
      <c r="G16428" s="22" t="s">
        <v>50</v>
      </c>
      <c r="H16428" s="22" t="s">
        <v>3866</v>
      </c>
      <c r="I16428" s="26">
        <v>43494.587731481501</v>
      </c>
      <c r="J16428" s="28" t="s">
        <v>52</v>
      </c>
      <c r="K16428" s="28" t="s">
        <v>52</v>
      </c>
      <c r="L16428" s="28" t="s">
        <v>52</v>
      </c>
      <c r="M16428" s="28" t="s">
        <v>52</v>
      </c>
      <c r="N16428" s="28" t="s">
        <v>52</v>
      </c>
    </row>
    <row r="16429" spans="1:14" x14ac:dyDescent="0.15">
      <c r="A16429" s="23" t="str">
        <f>HYPERLINK("https://www.spark-marketing.ru/Card/Person/1026131", "МБДОУ №26 ""УЛЫБКА""")</f>
        <v>МБДОУ №26 "УЛЫБКА"</v>
      </c>
      <c r="B16429" s="24" t="s">
        <v>18893</v>
      </c>
      <c r="C16429" s="25">
        <v>37872</v>
      </c>
      <c r="D16429" s="22" t="s">
        <v>18894</v>
      </c>
      <c r="E16429" s="22" t="s">
        <v>59</v>
      </c>
      <c r="F16429" s="23" t="str">
        <f>HYPERLINK("https://www.spark-marketing.ru/Card/Lot/67529875", "Оказание услуг по техническому обслуживанию системы видеонаблюдения в здании МБДОУ ""Детский сад №26 ""Улыбка"",")</f>
        <v>Оказание услуг по техническому обслуживанию системы видеонаблюдения в здании МБДОУ "Детский сад №26 "Улыбка",</v>
      </c>
      <c r="G16429" s="22" t="s">
        <v>402</v>
      </c>
      <c r="H16429" s="22" t="s">
        <v>17382</v>
      </c>
      <c r="I16429" s="26">
        <v>43494.604166666701</v>
      </c>
      <c r="J16429" s="28" t="s">
        <v>52</v>
      </c>
      <c r="K16429" s="28" t="s">
        <v>52</v>
      </c>
      <c r="L16429" s="28" t="s">
        <v>52</v>
      </c>
      <c r="M16429" s="28" t="s">
        <v>52</v>
      </c>
      <c r="N16429" s="28" t="s">
        <v>52</v>
      </c>
    </row>
    <row r="16430" spans="1:14" x14ac:dyDescent="0.15">
      <c r="A16430" s="23" t="str">
        <f>HYPERLINK("https://www.spark-marketing.ru/Card/Person/1343922", "ФЛ ""КАЭР"" АО ""Атомэнергоремонт""")</f>
        <v>ФЛ "КАЭР" АО "Атомэнергоремонт"</v>
      </c>
      <c r="B16430" s="24" t="s">
        <v>10791</v>
      </c>
      <c r="C16430" s="28" t="s">
        <v>52</v>
      </c>
      <c r="D16430" s="22" t="s">
        <v>18895</v>
      </c>
      <c r="E16430" s="22" t="s">
        <v>53</v>
      </c>
      <c r="F16430" s="23" t="str">
        <f>HYPERLINK("https://www.spark-marketing.ru/Card/Lot/67537357", "Оказание услуг по физической охране объектов «Калининатомэнергоремонт» - филиала АО «Атомэнергоремонт» (1175119)")</f>
        <v>Оказание услуг по физической охране объектов «Калининатомэнергоремонт» - филиала АО «Атомэнергоремонт» (1175119)</v>
      </c>
      <c r="G16430" s="22" t="s">
        <v>55</v>
      </c>
      <c r="H16430" s="22" t="s">
        <v>55</v>
      </c>
      <c r="I16430" s="26">
        <v>43494.621539351901</v>
      </c>
      <c r="J16430" s="28" t="s">
        <v>52</v>
      </c>
      <c r="K16430" s="28" t="s">
        <v>52</v>
      </c>
      <c r="L16430" s="28" t="s">
        <v>52</v>
      </c>
      <c r="M16430" s="28" t="s">
        <v>52</v>
      </c>
      <c r="N16430" s="28" t="s">
        <v>52</v>
      </c>
    </row>
    <row r="16431" spans="1:14" x14ac:dyDescent="0.15">
      <c r="A16431" s="23" t="str">
        <f>HYPERLINK("https://www.spark-marketing.ru/Card/Person/108252", "БДОУ Г. ОМСКА ""ДЕТСКИЙ САД № 32 КОМБИНИРОВАННОГО ВИДА""")</f>
        <v>БДОУ Г. ОМСКА "ДЕТСКИЙ САД № 32 КОМБИНИРОВАННОГО ВИДА"</v>
      </c>
      <c r="B16431" s="24" t="s">
        <v>18896</v>
      </c>
      <c r="C16431" s="25">
        <v>21600</v>
      </c>
      <c r="D16431" s="22" t="s">
        <v>18897</v>
      </c>
      <c r="E16431" s="22" t="s">
        <v>491</v>
      </c>
      <c r="F16431" s="23" t="str">
        <f>HYPERLINK("https://www.spark-marketing.ru/Card/Lot/67527231", "Услуги по охране имущества ""Заказчика"" путем осуществления контроля за состоянием средств тревожной сигнализации,с использованием канала сотовой связи GSM.")</f>
        <v>Услуги по охране имущества "Заказчика" путем осуществления контроля за состоянием средств тревожной сигнализации,с использованием канала сотовой связи GSM.</v>
      </c>
      <c r="G16431" s="22" t="s">
        <v>521</v>
      </c>
      <c r="H16431" s="22" t="s">
        <v>522</v>
      </c>
      <c r="I16431" s="26">
        <v>43494.568055555603</v>
      </c>
      <c r="J16431" s="28" t="s">
        <v>52</v>
      </c>
      <c r="K16431" s="28" t="s">
        <v>52</v>
      </c>
      <c r="L16431" s="28" t="s">
        <v>52</v>
      </c>
      <c r="M16431" s="28" t="s">
        <v>52</v>
      </c>
      <c r="N16431" s="28" t="s">
        <v>52</v>
      </c>
    </row>
    <row r="16432" spans="1:14" x14ac:dyDescent="0.15">
      <c r="A16432" s="23" t="str">
        <f>HYPERLINK("https://www.spark-marketing.ru/Card/Person/154149", "ГБУ РО ""СШОР № 3""")</f>
        <v>ГБУ РО "СШОР № 3"</v>
      </c>
      <c r="B16432" s="24" t="s">
        <v>18898</v>
      </c>
      <c r="C16432" s="25">
        <v>26400</v>
      </c>
      <c r="D16432" s="22" t="s">
        <v>18899</v>
      </c>
      <c r="E16432" s="22" t="s">
        <v>194</v>
      </c>
      <c r="F16432" s="23" t="str">
        <f>HYPERLINK("https://www.spark-marketing.ru/Card/Lot/67527242", "Техническое обслуживание исправных и работоспособных установок системы видеонаблюдения в помещениях")</f>
        <v>Техническое обслуживание исправных и работоспособных установок системы видеонаблюдения в помещениях</v>
      </c>
      <c r="G16432" s="22" t="s">
        <v>402</v>
      </c>
      <c r="H16432" s="22" t="s">
        <v>5520</v>
      </c>
      <c r="I16432" s="26">
        <v>43494.5715277778</v>
      </c>
      <c r="J16432" s="28" t="s">
        <v>52</v>
      </c>
      <c r="K16432" s="28" t="s">
        <v>52</v>
      </c>
      <c r="L16432" s="28" t="s">
        <v>52</v>
      </c>
      <c r="M16432" s="28" t="s">
        <v>52</v>
      </c>
      <c r="N16432" s="28" t="s">
        <v>52</v>
      </c>
    </row>
    <row r="16433" spans="1:14" x14ac:dyDescent="0.15">
      <c r="A16433" s="23" t="str">
        <f>HYPERLINK("https://www.spark-marketing.ru/Card/Person/1072406", "БОУ Г. ОМСКА ""СРЕДНЯЯ ОБЩЕОБРАЗОВАТЕЛЬНАЯ ШКОЛА № 11""")</f>
        <v>БОУ Г. ОМСКА "СРЕДНЯЯ ОБЩЕОБРАЗОВАТЕЛЬНАЯ ШКОЛА № 11"</v>
      </c>
      <c r="B16433" s="24" t="s">
        <v>18900</v>
      </c>
      <c r="C16433" s="25">
        <v>12000</v>
      </c>
      <c r="D16433" s="22" t="s">
        <v>18901</v>
      </c>
      <c r="E16433" s="22" t="s">
        <v>5780</v>
      </c>
      <c r="F16433" s="23" t="str">
        <f>HYPERLINK("https://www.spark-marketing.ru/Card/Lot/67524011", "Услуги по охране объекта")</f>
        <v>Услуги по охране объекта</v>
      </c>
      <c r="G16433" s="22" t="s">
        <v>521</v>
      </c>
      <c r="H16433" s="22" t="s">
        <v>522</v>
      </c>
      <c r="I16433" s="26">
        <v>43494.522916666698</v>
      </c>
      <c r="J16433" s="28" t="s">
        <v>52</v>
      </c>
      <c r="K16433" s="28" t="s">
        <v>52</v>
      </c>
      <c r="L16433" s="28" t="s">
        <v>52</v>
      </c>
      <c r="M16433" s="28" t="s">
        <v>52</v>
      </c>
      <c r="N16433" s="28" t="s">
        <v>52</v>
      </c>
    </row>
    <row r="16434" spans="1:14" x14ac:dyDescent="0.15">
      <c r="A16434" s="23" t="str">
        <f>HYPERLINK("https://www.spark-marketing.ru/Card/Person/59892", "МБДОУ № 41")</f>
        <v>МБДОУ № 41</v>
      </c>
      <c r="B16434" s="24" t="s">
        <v>18902</v>
      </c>
      <c r="C16434" s="25">
        <v>31000</v>
      </c>
      <c r="D16434" s="22" t="s">
        <v>18903</v>
      </c>
      <c r="E16434" s="22" t="s">
        <v>103</v>
      </c>
      <c r="F16434" s="23" t="str">
        <f>HYPERLINK("https://www.spark-marketing.ru/Card/Lot/67525367", "на оказание услуг по охране объектов с использованием технических средств")</f>
        <v>на оказание услуг по охране объектов с использованием технических средств</v>
      </c>
      <c r="G16434" s="22" t="s">
        <v>50</v>
      </c>
      <c r="H16434" s="22" t="s">
        <v>265</v>
      </c>
      <c r="I16434" s="26">
        <v>43494.523252314801</v>
      </c>
      <c r="J16434" s="28" t="s">
        <v>52</v>
      </c>
      <c r="K16434" s="28" t="s">
        <v>52</v>
      </c>
      <c r="L16434" s="28" t="s">
        <v>52</v>
      </c>
      <c r="M16434" s="28" t="s">
        <v>52</v>
      </c>
      <c r="N16434" s="28" t="s">
        <v>52</v>
      </c>
    </row>
    <row r="16435" spans="1:14" x14ac:dyDescent="0.15">
      <c r="A16435" s="23" t="str">
        <f>HYPERLINK("https://www.spark-marketing.ru/Card/Person/84331", "МБДОУ ДЕТСКИЙ САД ОБЩЕРАЗВИВАЮЩЕГО ВИДА №8 ""ЗЕМЛЯНИЧКА""")</f>
        <v>МБДОУ ДЕТСКИЙ САД ОБЩЕРАЗВИВАЮЩЕГО ВИДА №8 "ЗЕМЛЯНИЧКА"</v>
      </c>
      <c r="B16435" s="24" t="s">
        <v>18904</v>
      </c>
      <c r="C16435" s="25">
        <v>33000</v>
      </c>
      <c r="D16435" s="22" t="s">
        <v>18905</v>
      </c>
      <c r="E16435" s="22" t="s">
        <v>103</v>
      </c>
      <c r="F16435" s="23" t="str">
        <f>HYPERLINK("https://www.spark-marketing.ru/Card/Lot/67522495", "Оказание услуг по техническому обслуживанию систем видеонаблюдения и видеорегистрации")</f>
        <v>Оказание услуг по техническому обслуживанию систем видеонаблюдения и видеорегистрации</v>
      </c>
      <c r="G16435" s="22" t="s">
        <v>50</v>
      </c>
      <c r="H16435" s="22" t="s">
        <v>7244</v>
      </c>
      <c r="I16435" s="26">
        <v>43494.493333333303</v>
      </c>
      <c r="J16435" s="28" t="s">
        <v>52</v>
      </c>
      <c r="K16435" s="28" t="s">
        <v>52</v>
      </c>
      <c r="L16435" s="28" t="s">
        <v>52</v>
      </c>
      <c r="M16435" s="28" t="s">
        <v>52</v>
      </c>
      <c r="N16435" s="28" t="s">
        <v>52</v>
      </c>
    </row>
    <row r="16436" spans="1:14" x14ac:dyDescent="0.15">
      <c r="A16436" s="23" t="str">
        <f>HYPERLINK("https://www.spark-marketing.ru/Card/Person/4343928", "ФГБОУ ВО КУБАНСКИЙ ГАУ")</f>
        <v>ФГБОУ ВО КУБАНСКИЙ ГАУ</v>
      </c>
      <c r="B16436" s="24" t="s">
        <v>1428</v>
      </c>
      <c r="C16436" s="25">
        <v>439472</v>
      </c>
      <c r="D16436" s="22" t="s">
        <v>18906</v>
      </c>
      <c r="E16436" s="22" t="s">
        <v>144</v>
      </c>
      <c r="F16436" s="23" t="str">
        <f>HYPERLINK("https://www.spark-marketing.ru/Card/Lot/67520686", "Услуги охранные студенческого городка")</f>
        <v>Услуги охранные студенческого городка</v>
      </c>
      <c r="G16436" s="22" t="s">
        <v>132</v>
      </c>
      <c r="H16436" s="22" t="s">
        <v>132</v>
      </c>
      <c r="I16436" s="26">
        <v>43494.460474537002</v>
      </c>
      <c r="J16436" s="28" t="s">
        <v>52</v>
      </c>
      <c r="K16436" s="28" t="s">
        <v>52</v>
      </c>
      <c r="L16436" s="28" t="s">
        <v>52</v>
      </c>
      <c r="M16436" s="28" t="s">
        <v>52</v>
      </c>
      <c r="N16436" s="28" t="s">
        <v>52</v>
      </c>
    </row>
    <row r="16437" spans="1:14" x14ac:dyDescent="0.15">
      <c r="A16437" s="23" t="str">
        <f>HYPERLINK("https://www.spark-marketing.ru/Card/Person/89783", "МБОУ ""ГИМНАЗИЯ № 1"" Г. ЧЕБОКСАРЫ")</f>
        <v>МБОУ "ГИМНАЗИЯ № 1" Г. ЧЕБОКСАРЫ</v>
      </c>
      <c r="B16437" s="24" t="s">
        <v>18907</v>
      </c>
      <c r="C16437" s="25">
        <v>3300</v>
      </c>
      <c r="D16437" s="22" t="s">
        <v>18908</v>
      </c>
      <c r="E16437" s="22" t="s">
        <v>208</v>
      </c>
      <c r="F16437" s="23" t="str">
        <f>HYPERLINK("https://www.spark-marketing.ru/Card/Lot/67523289", "техническое обслуживание средств тревожной сигнализации")</f>
        <v>техническое обслуживание средств тревожной сигнализации</v>
      </c>
      <c r="G16437" s="22" t="s">
        <v>1137</v>
      </c>
      <c r="H16437" s="22" t="s">
        <v>1138</v>
      </c>
      <c r="I16437" s="26">
        <v>43494.4868055556</v>
      </c>
      <c r="J16437" s="28" t="s">
        <v>52</v>
      </c>
      <c r="K16437" s="28" t="s">
        <v>52</v>
      </c>
      <c r="L16437" s="28" t="s">
        <v>52</v>
      </c>
      <c r="M16437" s="28" t="s">
        <v>52</v>
      </c>
      <c r="N16437" s="28" t="s">
        <v>52</v>
      </c>
    </row>
    <row r="16438" spans="1:14" x14ac:dyDescent="0.15">
      <c r="A16438" s="23" t="str">
        <f>HYPERLINK("https://www.spark-marketing.ru/Card/Person/1042085", "БУЗОО ""ГСП № 2""")</f>
        <v>БУЗОО "ГСП № 2"</v>
      </c>
      <c r="B16438" s="24" t="s">
        <v>18909</v>
      </c>
      <c r="C16438" s="25">
        <v>299986.44</v>
      </c>
      <c r="D16438" s="22" t="s">
        <v>18910</v>
      </c>
      <c r="E16438" s="22" t="s">
        <v>18911</v>
      </c>
      <c r="F16438" s="23" t="str">
        <f>HYPERLINK("https://www.spark-marketing.ru/Card/Lot/67515775", "Охрана")</f>
        <v>Охрана</v>
      </c>
      <c r="G16438" s="22" t="s">
        <v>521</v>
      </c>
      <c r="H16438" s="22" t="s">
        <v>521</v>
      </c>
      <c r="I16438" s="26">
        <v>43494.498136574097</v>
      </c>
      <c r="J16438" s="28" t="s">
        <v>52</v>
      </c>
      <c r="K16438" s="28" t="s">
        <v>52</v>
      </c>
      <c r="L16438" s="28" t="s">
        <v>52</v>
      </c>
      <c r="M16438" s="28" t="s">
        <v>52</v>
      </c>
      <c r="N16438" s="28" t="s">
        <v>52</v>
      </c>
    </row>
    <row r="16439" spans="1:14" x14ac:dyDescent="0.15">
      <c r="A16439" s="23" t="str">
        <f>HYPERLINK("https://www.spark-marketing.ru/Card/Person/532432", "ФГУП ""ГВСУ №14""")</f>
        <v>ФГУП "ГВСУ №14"</v>
      </c>
      <c r="B16439" s="24" t="s">
        <v>16099</v>
      </c>
      <c r="C16439" s="25">
        <v>14967565</v>
      </c>
      <c r="D16439" s="22" t="s">
        <v>18912</v>
      </c>
      <c r="E16439" s="22" t="s">
        <v>996</v>
      </c>
      <c r="F16439" s="23" t="str">
        <f>HYPERLINK("https://www.spark-marketing.ru/Card/Lot/67516990", "Выполнение подготовительных работ, вертикальной планировки и устройству покрытия проездов периметра площадки 17 на объекте: «Оснащение техническими средствами охраны и физической защиты объектов пл. 17 г. Мирный, Архангельской области»(шифр объекта 5...")</f>
        <v>Выполнение подготовительных работ, вертикальной планировки и устройству покрытия проездов периметра площадки 17 на объекте: «Оснащение техническими средствами охраны и физической защиты объектов пл. 17 г. Мирный, Архангельской области»(шифр объекта 5...</v>
      </c>
      <c r="G16439" s="22" t="s">
        <v>674</v>
      </c>
      <c r="H16439" s="22" t="s">
        <v>674</v>
      </c>
      <c r="I16439" s="26">
        <v>43494.419166666703</v>
      </c>
      <c r="J16439" s="28" t="s">
        <v>52</v>
      </c>
      <c r="K16439" s="28" t="s">
        <v>52</v>
      </c>
      <c r="L16439" s="28" t="s">
        <v>52</v>
      </c>
      <c r="M16439" s="28" t="s">
        <v>52</v>
      </c>
      <c r="N16439" s="28" t="s">
        <v>52</v>
      </c>
    </row>
    <row r="16440" spans="1:14" x14ac:dyDescent="0.15">
      <c r="A16440" s="23" t="str">
        <f>HYPERLINK("https://www.spark-marketing.ru/Card/Person/92452", "БДОУ Г. ОМСКА ""ДЕТСКИЙ САД № 206 КОМБИНИРОВАННОГО ВИДА""")</f>
        <v>БДОУ Г. ОМСКА "ДЕТСКИЙ САД № 206 КОМБИНИРОВАННОГО ВИДА"</v>
      </c>
      <c r="B16440" s="24" t="s">
        <v>18913</v>
      </c>
      <c r="C16440" s="28" t="s">
        <v>52</v>
      </c>
      <c r="D16440" s="22" t="s">
        <v>18914</v>
      </c>
      <c r="E16440" s="22" t="s">
        <v>68</v>
      </c>
      <c r="F16440" s="23" t="str">
        <f>HYPERLINK("https://www.spark-marketing.ru/Card/Lot/67518306", "услуги по охране объектов посредством передачи тревожных сообщений по каналу GSM")</f>
        <v>услуги по охране объектов посредством передачи тревожных сообщений по каналу GSM</v>
      </c>
      <c r="G16440" s="22" t="s">
        <v>521</v>
      </c>
      <c r="H16440" s="22" t="s">
        <v>522</v>
      </c>
      <c r="I16440" s="26">
        <v>43494.443749999999</v>
      </c>
      <c r="J16440" s="28" t="s">
        <v>52</v>
      </c>
      <c r="K16440" s="28" t="s">
        <v>52</v>
      </c>
      <c r="L16440" s="28" t="s">
        <v>52</v>
      </c>
      <c r="M16440" s="28" t="s">
        <v>52</v>
      </c>
      <c r="N16440" s="28" t="s">
        <v>52</v>
      </c>
    </row>
    <row r="16441" spans="1:14" x14ac:dyDescent="0.15">
      <c r="A16441" s="23" t="str">
        <f>HYPERLINK("https://www.spark-marketing.ru/Card/Person/4343928", "ФГБОУ ВО КУБАНСКИЙ ГАУ")</f>
        <v>ФГБОУ ВО КУБАНСКИЙ ГАУ</v>
      </c>
      <c r="B16441" s="24" t="s">
        <v>1428</v>
      </c>
      <c r="C16441" s="25">
        <v>652916</v>
      </c>
      <c r="D16441" s="22" t="s">
        <v>18915</v>
      </c>
      <c r="E16441" s="22" t="s">
        <v>144</v>
      </c>
      <c r="F16441" s="23" t="str">
        <f>HYPERLINK("https://www.spark-marketing.ru/Card/Lot/67520656", "Услуги охранные учебных корпусов")</f>
        <v>Услуги охранные учебных корпусов</v>
      </c>
      <c r="G16441" s="22" t="s">
        <v>132</v>
      </c>
      <c r="H16441" s="22" t="s">
        <v>132</v>
      </c>
      <c r="I16441" s="26">
        <v>43494.456400463001</v>
      </c>
      <c r="J16441" s="28" t="s">
        <v>52</v>
      </c>
      <c r="K16441" s="28" t="s">
        <v>52</v>
      </c>
      <c r="L16441" s="28" t="s">
        <v>52</v>
      </c>
      <c r="M16441" s="28" t="s">
        <v>52</v>
      </c>
      <c r="N16441" s="28" t="s">
        <v>52</v>
      </c>
    </row>
    <row r="16442" spans="1:14" x14ac:dyDescent="0.15">
      <c r="A16442" s="23" t="str">
        <f>HYPERLINK("https://www.spark-marketing.ru/Card/Person/373405", "АДМИНИСТРАЦИЯ ЛЕНИНСКОГО АДМИНИСТРАТИВНОГО ОКРУГА ГОРОДА ОМСКА")</f>
        <v>АДМИНИСТРАЦИЯ ЛЕНИНСКОГО АДМИНИСТРАТИВНОГО ОКРУГА ГОРОДА ОМСКА</v>
      </c>
      <c r="B16442" s="24" t="s">
        <v>17904</v>
      </c>
      <c r="C16442" s="25">
        <v>24000</v>
      </c>
      <c r="D16442" s="22" t="s">
        <v>18916</v>
      </c>
      <c r="E16442" s="22" t="s">
        <v>68</v>
      </c>
      <c r="F16442" s="23" t="str">
        <f>HYPERLINK("https://www.spark-marketing.ru/Card/Lot/67515485", "услуги по охране объектов посредством передачи тревожных сообщений по каналу GSM")</f>
        <v>услуги по охране объектов посредством передачи тревожных сообщений по каналу GSM</v>
      </c>
      <c r="G16442" s="22" t="s">
        <v>521</v>
      </c>
      <c r="H16442" s="22" t="s">
        <v>522</v>
      </c>
      <c r="I16442" s="26">
        <v>43494.393750000003</v>
      </c>
      <c r="J16442" s="28" t="s">
        <v>52</v>
      </c>
      <c r="K16442" s="28" t="s">
        <v>52</v>
      </c>
      <c r="L16442" s="28" t="s">
        <v>52</v>
      </c>
      <c r="M16442" s="28" t="s">
        <v>52</v>
      </c>
      <c r="N16442" s="28" t="s">
        <v>52</v>
      </c>
    </row>
    <row r="16443" spans="1:14" x14ac:dyDescent="0.15">
      <c r="A16443" s="23" t="str">
        <f>HYPERLINK("https://www.spark-marketing.ru/Card/Person/114386", "МБДОУ ДЕТСКИЙ САД ОБЩЕРАЗВИВАЮЩЕГО ВИДА №21 ""ТЕРЕМОК""")</f>
        <v>МБДОУ ДЕТСКИЙ САД ОБЩЕРАЗВИВАЮЩЕГО ВИДА №21 "ТЕРЕМОК"</v>
      </c>
      <c r="B16443" s="24" t="s">
        <v>18917</v>
      </c>
      <c r="C16443" s="25">
        <v>15000</v>
      </c>
      <c r="D16443" s="22" t="s">
        <v>18918</v>
      </c>
      <c r="E16443" s="22" t="s">
        <v>103</v>
      </c>
      <c r="F16443" s="23" t="str">
        <f>HYPERLINK("https://www.spark-marketing.ru/Card/Lot/67517258", "Оказание услуг по техническому обслуживанию систем видеонаблюдения и видеорегистрации")</f>
        <v>Оказание услуг по техническому обслуживанию систем видеонаблюдения и видеорегистрации</v>
      </c>
      <c r="G16443" s="22" t="s">
        <v>50</v>
      </c>
      <c r="H16443" s="22" t="s">
        <v>7244</v>
      </c>
      <c r="I16443" s="26">
        <v>43494.398634259298</v>
      </c>
      <c r="J16443" s="28" t="s">
        <v>52</v>
      </c>
      <c r="K16443" s="28" t="s">
        <v>52</v>
      </c>
      <c r="L16443" s="28" t="s">
        <v>52</v>
      </c>
      <c r="M16443" s="28" t="s">
        <v>52</v>
      </c>
      <c r="N16443" s="28" t="s">
        <v>52</v>
      </c>
    </row>
    <row r="16444" spans="1:14" x14ac:dyDescent="0.15">
      <c r="A16444" s="23" t="str">
        <f>HYPERLINK("https://www.spark-marketing.ru/Card/Person/5152", "ФГКУ КОМБИНАТ ""СКАЛА"" РОСРЕЗЕРВА")</f>
        <v>ФГКУ КОМБИНАТ "СКАЛА" РОСРЕЗЕРВА</v>
      </c>
      <c r="B16444" s="24" t="s">
        <v>18919</v>
      </c>
      <c r="C16444" s="25">
        <v>13969</v>
      </c>
      <c r="D16444" s="22" t="s">
        <v>18920</v>
      </c>
      <c r="E16444" s="22" t="s">
        <v>53</v>
      </c>
      <c r="F16444" s="23" t="str">
        <f>HYPERLINK("https://www.spark-marketing.ru/Card/Lot/70799256", "техническое обслуживание комплекса технических средств охраны")</f>
        <v>техническое обслуживание комплекса технических средств охраны</v>
      </c>
      <c r="G16444" s="22" t="s">
        <v>60</v>
      </c>
      <c r="H16444" s="22" t="s">
        <v>18921</v>
      </c>
      <c r="I16444" s="26">
        <v>43494.394328703696</v>
      </c>
      <c r="J16444" s="28" t="s">
        <v>52</v>
      </c>
      <c r="K16444" s="28" t="s">
        <v>52</v>
      </c>
      <c r="L16444" s="28" t="s">
        <v>52</v>
      </c>
      <c r="M16444" s="28" t="s">
        <v>52</v>
      </c>
      <c r="N16444" s="28" t="s">
        <v>52</v>
      </c>
    </row>
    <row r="16445" spans="1:14" x14ac:dyDescent="0.15">
      <c r="A16445" s="23" t="str">
        <f>HYPERLINK("https://www.spark-marketing.ru/Card/Person/1777558", "МАДОУ Д/С №4 ""ПОДСНЕЖНИК""")</f>
        <v>МАДОУ Д/С №4 "ПОДСНЕЖНИК"</v>
      </c>
      <c r="B16445" s="24" t="s">
        <v>11516</v>
      </c>
      <c r="C16445" s="25">
        <v>46000</v>
      </c>
      <c r="D16445" s="22" t="s">
        <v>18922</v>
      </c>
      <c r="E16445" s="22" t="s">
        <v>183</v>
      </c>
      <c r="F16445" s="23" t="str">
        <f>HYPERLINK("https://www.spark-marketing.ru/Card/Lot/67517071", "Оказание услуг по техническому обслуживанию системы доступа и системы видеонаблюдения")</f>
        <v>Оказание услуг по техническому обслуживанию системы доступа и системы видеонаблюдения</v>
      </c>
      <c r="G16445" s="22" t="s">
        <v>50</v>
      </c>
      <c r="H16445" s="22" t="s">
        <v>4782</v>
      </c>
      <c r="I16445" s="26">
        <v>43494.377870370401</v>
      </c>
      <c r="J16445" s="28" t="s">
        <v>52</v>
      </c>
      <c r="K16445" s="28" t="s">
        <v>52</v>
      </c>
      <c r="L16445" s="28" t="s">
        <v>52</v>
      </c>
      <c r="M16445" s="28" t="s">
        <v>52</v>
      </c>
      <c r="N16445" s="28" t="s">
        <v>52</v>
      </c>
    </row>
    <row r="16446" spans="1:14" x14ac:dyDescent="0.15">
      <c r="A16446" s="23" t="str">
        <f>HYPERLINK("https://www.spark-marketing.ru/Card/Person/17932", "ТЕРРИТОРИАЛЬНОЕ УПРАВЛЕНИЕ НАЗАРЬЕВСКОЕ")</f>
        <v>ТЕРРИТОРИАЛЬНОЕ УПРАВЛЕНИЕ НАЗАРЬЕВСКОЕ</v>
      </c>
      <c r="B16446" s="24" t="s">
        <v>2828</v>
      </c>
      <c r="C16446" s="25">
        <v>99990</v>
      </c>
      <c r="D16446" s="22" t="s">
        <v>18923</v>
      </c>
      <c r="E16446" s="22" t="s">
        <v>107</v>
      </c>
      <c r="F16446" s="23" t="str">
        <f>HYPERLINK("https://www.spark-marketing.ru/Card/Lot/67517247", "Закупка в 2019 году услуг по техническому обслуживанию системы видеонаблюдения сельского поселения Назарьевское Одинцовского муниципального района Московской области")</f>
        <v>Закупка в 2019 году услуг по техническому обслуживанию системы видеонаблюдения сельского поселения Назарьевское Одинцовского муниципального района Московской области</v>
      </c>
      <c r="G16446" s="22" t="s">
        <v>50</v>
      </c>
      <c r="H16446" s="22" t="s">
        <v>1045</v>
      </c>
      <c r="I16446" s="26">
        <v>43494.388414351903</v>
      </c>
      <c r="J16446" s="28" t="s">
        <v>52</v>
      </c>
      <c r="K16446" s="28" t="s">
        <v>52</v>
      </c>
      <c r="L16446" s="28" t="s">
        <v>52</v>
      </c>
      <c r="M16446" s="28" t="s">
        <v>52</v>
      </c>
      <c r="N16446" s="28" t="s">
        <v>52</v>
      </c>
    </row>
    <row r="16447" spans="1:14" x14ac:dyDescent="0.15">
      <c r="A16447" s="23" t="str">
        <f>HYPERLINK("https://www.spark-marketing.ru/Card/Person/108253", "БДОУ Г. ОМСКА ""ДЕТСКИЙ САД КОМПЕНСИРУЮЩЕГО ВИДА № 400""")</f>
        <v>БДОУ Г. ОМСКА "ДЕТСКИЙ САД КОМПЕНСИРУЮЩЕГО ВИДА № 400"</v>
      </c>
      <c r="B16447" s="24" t="s">
        <v>17625</v>
      </c>
      <c r="C16447" s="25">
        <v>21600</v>
      </c>
      <c r="D16447" s="22" t="s">
        <v>18924</v>
      </c>
      <c r="E16447" s="22" t="s">
        <v>68</v>
      </c>
      <c r="F16447" s="23" t="str">
        <f>HYPERLINK("https://www.spark-marketing.ru/Card/Lot/67515730", "Оказание охранных услуг")</f>
        <v>Оказание охранных услуг</v>
      </c>
      <c r="G16447" s="22" t="s">
        <v>521</v>
      </c>
      <c r="H16447" s="22" t="s">
        <v>522</v>
      </c>
      <c r="I16447" s="26">
        <v>43494.402777777803</v>
      </c>
      <c r="J16447" s="28" t="s">
        <v>52</v>
      </c>
      <c r="K16447" s="28" t="s">
        <v>52</v>
      </c>
      <c r="L16447" s="28" t="s">
        <v>52</v>
      </c>
      <c r="M16447" s="28" t="s">
        <v>52</v>
      </c>
      <c r="N16447" s="28" t="s">
        <v>52</v>
      </c>
    </row>
    <row r="16448" spans="1:14" x14ac:dyDescent="0.15">
      <c r="A16448" s="23" t="str">
        <f>HYPERLINK("https://www.spark-marketing.ru/Card/Person/664378", "ГБУ ""РИТУАЛ""")</f>
        <v>ГБУ "РИТУАЛ"</v>
      </c>
      <c r="B16448" s="24" t="s">
        <v>18925</v>
      </c>
      <c r="C16448" s="25">
        <v>260808.8</v>
      </c>
      <c r="D16448" s="22" t="s">
        <v>18926</v>
      </c>
      <c r="E16448" s="22" t="s">
        <v>363</v>
      </c>
      <c r="F16448" s="23" t="str">
        <f>HYPERLINK("https://www.spark-marketing.ru/Card/Lot/67516985", "Оказание услуг по обеспечению охраны имущества, безопасности в администра")</f>
        <v>Оказание услуг по обеспечению охраны имущества, безопасности в администра</v>
      </c>
      <c r="G16448" s="22" t="s">
        <v>55</v>
      </c>
      <c r="H16448" s="22" t="s">
        <v>55</v>
      </c>
      <c r="I16448" s="26">
        <v>43494.3999189815</v>
      </c>
      <c r="J16448" s="28" t="s">
        <v>52</v>
      </c>
      <c r="K16448" s="28" t="s">
        <v>52</v>
      </c>
      <c r="L16448" s="28" t="s">
        <v>52</v>
      </c>
      <c r="M16448" s="28" t="s">
        <v>52</v>
      </c>
      <c r="N16448" s="28" t="s">
        <v>52</v>
      </c>
    </row>
    <row r="16449" spans="1:14" x14ac:dyDescent="0.15">
      <c r="A16449" s="23" t="str">
        <f>HYPERLINK("https://www.spark-marketing.ru/Card/Person/79188", "МАУ ДО ""ЦФСН ""ЧАЙКА""")</f>
        <v>МАУ ДО "ЦФСН "ЧАЙКА"</v>
      </c>
      <c r="B16449" s="24" t="s">
        <v>18927</v>
      </c>
      <c r="C16449" s="25">
        <v>33000</v>
      </c>
      <c r="D16449" s="22" t="s">
        <v>18928</v>
      </c>
      <c r="E16449" s="22" t="s">
        <v>103</v>
      </c>
      <c r="F16449" s="23" t="str">
        <f>HYPERLINK("https://www.spark-marketing.ru/Card/Lot/67514743", "Оказание услуг по техническому обслуживанию систем видеонаблюдения и видеорегистрации (2 объекта)")</f>
        <v>Оказание услуг по техническому обслуживанию систем видеонаблюдения и видеорегистрации (2 объекта)</v>
      </c>
      <c r="G16449" s="22" t="s">
        <v>50</v>
      </c>
      <c r="H16449" s="22" t="s">
        <v>7244</v>
      </c>
      <c r="I16449" s="26">
        <v>43494.367337962998</v>
      </c>
      <c r="J16449" s="28" t="s">
        <v>52</v>
      </c>
      <c r="K16449" s="28" t="s">
        <v>52</v>
      </c>
      <c r="L16449" s="28" t="s">
        <v>52</v>
      </c>
      <c r="M16449" s="28" t="s">
        <v>52</v>
      </c>
      <c r="N16449" s="28" t="s">
        <v>52</v>
      </c>
    </row>
    <row r="16450" spans="1:14" x14ac:dyDescent="0.15">
      <c r="A16450" s="23" t="str">
        <f>HYPERLINK("https://www.spark-marketing.ru/Card/Person/1835018", "АО ""СНПЗ""")</f>
        <v>АО "СНПЗ"</v>
      </c>
      <c r="B16450" s="24" t="s">
        <v>18929</v>
      </c>
      <c r="C16450" s="28" t="s">
        <v>52</v>
      </c>
      <c r="D16450" s="22" t="s">
        <v>18930</v>
      </c>
      <c r="E16450" s="22" t="s">
        <v>18931</v>
      </c>
      <c r="F16450" s="23" t="str">
        <f>HYPERLINK("https://www.spark-marketing.ru/Card/Lot/67516511", "Техническое обслуживание инфраструктуры. Охранная сигнализация объектов АО «СНПЗ»")</f>
        <v>Техническое обслуживание инфраструктуры. Охранная сигнализация объектов АО «СНПЗ»</v>
      </c>
      <c r="G16450" s="22" t="s">
        <v>760</v>
      </c>
      <c r="H16450" s="22" t="s">
        <v>5622</v>
      </c>
      <c r="I16450" s="26">
        <v>43494.373611111099</v>
      </c>
      <c r="J16450" s="28" t="s">
        <v>52</v>
      </c>
      <c r="K16450" s="28" t="s">
        <v>52</v>
      </c>
      <c r="L16450" s="28" t="s">
        <v>52</v>
      </c>
      <c r="M16450" s="28" t="s">
        <v>52</v>
      </c>
      <c r="N16450" s="28" t="s">
        <v>52</v>
      </c>
    </row>
    <row r="16451" spans="1:14" x14ac:dyDescent="0.15">
      <c r="A16451" s="23" t="str">
        <f>HYPERLINK("https://www.spark-marketing.ru/Card/Person/4343740", "МИНЗДРАВ РОССИИ")</f>
        <v>МИНЗДРАВ РОССИИ</v>
      </c>
      <c r="B16451" s="24" t="s">
        <v>1666</v>
      </c>
      <c r="C16451" s="25">
        <v>123207480</v>
      </c>
      <c r="D16451" s="22" t="s">
        <v>18932</v>
      </c>
      <c r="E16451" s="22" t="s">
        <v>53</v>
      </c>
      <c r="F16451" s="23" t="str">
        <f>HYPERLINK("https://www.spark-marketing.ru/Card/Lot/67518238", "Иматиниб, капсулы и/или таблетки, покрытые плёночной оболочкой, 400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f>
        <v>Иматиниб, капсулы и/или таблетки, покрытые плёночной оболочкой, 400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v>
      </c>
      <c r="G16451" s="22" t="s">
        <v>428</v>
      </c>
      <c r="H16451" s="22" t="s">
        <v>429</v>
      </c>
      <c r="I16451" s="26">
        <v>43494</v>
      </c>
      <c r="J16451" s="28" t="s">
        <v>52</v>
      </c>
      <c r="K16451" s="28" t="s">
        <v>52</v>
      </c>
      <c r="L16451" s="28" t="s">
        <v>52</v>
      </c>
      <c r="M16451" s="28" t="s">
        <v>52</v>
      </c>
      <c r="N16451" s="28" t="s">
        <v>52</v>
      </c>
    </row>
    <row r="16452" spans="1:14" ht="12.75" hidden="1" outlineLevel="1" x14ac:dyDescent="0.2">
      <c r="A16452" s="23" t="str">
        <f>HYPERLINK("https://www.spark-marketing.ru/Card/Person/4343740", "МИНЗДРАВ РОССИИ")</f>
        <v>МИНЗДРАВ РОССИИ</v>
      </c>
      <c r="B16452" s="24" t="s">
        <v>1666</v>
      </c>
      <c r="C16452" s="25">
        <v>123207480</v>
      </c>
      <c r="D16452" s="22" t="s">
        <v>18932</v>
      </c>
      <c r="E16452" s="22" t="s">
        <v>53</v>
      </c>
      <c r="F16452" s="23" t="str">
        <f>HYPERLINK("https://www.spark-marketing.ru/Card/Lot/67518238", "Иматиниб, капсулы и/или таблетки, покрытые плёночной оболочкой, 400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f>
        <v>Иматиниб, капсулы и/или таблетки, покрытые плёночной оболочкой, 400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v>
      </c>
      <c r="G16452" s="22" t="s">
        <v>428</v>
      </c>
      <c r="H16452" s="22" t="s">
        <v>429</v>
      </c>
      <c r="I16452" s="26">
        <v>43494</v>
      </c>
      <c r="J16452" s="23" t="str">
        <f>HYPERLINK("https://www.spark-marketing.ru/Card/Person/50996", "ООО ""БИОТЭК""")</f>
        <v>ООО "БИОТЭК"</v>
      </c>
      <c r="K16452" s="24" t="s">
        <v>3462</v>
      </c>
      <c r="L16452" s="22" t="s">
        <v>10</v>
      </c>
      <c r="M16452" s="25">
        <v>121975403.72</v>
      </c>
      <c r="N16452" s="27">
        <v>1.0000012012257697E-2</v>
      </c>
    </row>
    <row r="16453" spans="1:14" hidden="1" outlineLevel="1" x14ac:dyDescent="0.2">
      <c r="A16453" s="23" t="str">
        <f>HYPERLINK("https://www.spark-marketing.ru/Card/Person/4343740", "МИНЗДРАВ РОССИИ")</f>
        <v>МИНЗДРАВ РОССИИ</v>
      </c>
      <c r="B16453" s="24" t="s">
        <v>1666</v>
      </c>
      <c r="C16453" s="25">
        <v>123207480</v>
      </c>
      <c r="D16453" s="22" t="s">
        <v>18932</v>
      </c>
      <c r="E16453" s="22" t="s">
        <v>53</v>
      </c>
      <c r="F16453" s="23" t="str">
        <f>HYPERLINK("https://www.spark-marketing.ru/Card/Lot/67518238", "Иматиниб, капсулы и/или таблетки, покрытые плёночной оболочкой, 400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f>
        <v>Иматиниб, капсулы и/или таблетки, покрытые плёночной оболочкой, 400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v>
      </c>
      <c r="G16453" s="22" t="s">
        <v>428</v>
      </c>
      <c r="H16453" s="22" t="s">
        <v>429</v>
      </c>
      <c r="I16453" s="26">
        <v>43494</v>
      </c>
      <c r="J16453" s="23" t="str">
        <f>HYPERLINK("https://www.spark-marketing.ru/Card/Person/5942026", "ООО ""ФАРМАСИНТЕЗ-РИТЕЙЛ""")</f>
        <v>ООО "ФАРМАСИНТЕЗ-РИТЕЙЛ"</v>
      </c>
      <c r="K16453" s="24" t="s">
        <v>11686</v>
      </c>
      <c r="L16453" s="28" t="s">
        <v>52</v>
      </c>
      <c r="M16453" s="25">
        <v>122591441.12</v>
      </c>
      <c r="N16453" s="27">
        <v>5.0000120122576973E-3</v>
      </c>
    </row>
    <row r="16454" spans="1:14" hidden="1" outlineLevel="1" x14ac:dyDescent="0.2">
      <c r="A16454" s="23" t="str">
        <f>HYPERLINK("https://www.spark-marketing.ru/Card/Person/4343740", "МИНЗДРАВ РОССИИ")</f>
        <v>МИНЗДРАВ РОССИИ</v>
      </c>
      <c r="B16454" s="24" t="s">
        <v>1666</v>
      </c>
      <c r="C16454" s="25">
        <v>123207480</v>
      </c>
      <c r="D16454" s="22" t="s">
        <v>18932</v>
      </c>
      <c r="E16454" s="22" t="s">
        <v>53</v>
      </c>
      <c r="F16454" s="23" t="str">
        <f>HYPERLINK("https://www.spark-marketing.ru/Card/Lot/67518238", "Иматиниб, капсулы и/или таблетки, покрытые плёночной оболочкой, 400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f>
        <v>Иматиниб, капсулы и/или таблетки, покрытые плёночной оболочкой, 400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v>
      </c>
      <c r="G16454" s="22" t="s">
        <v>428</v>
      </c>
      <c r="H16454" s="22" t="s">
        <v>429</v>
      </c>
      <c r="I16454" s="26">
        <v>43494</v>
      </c>
      <c r="J16454" s="23" t="str">
        <f>HYPERLINK("https://www.spark-marketing.ru/Card/Person/1645502", "ООО ""ТД ""ВИАЛ""")</f>
        <v>ООО "ТД "ВИАЛ"</v>
      </c>
      <c r="K16454" s="24" t="s">
        <v>11684</v>
      </c>
      <c r="L16454" s="28" t="s">
        <v>52</v>
      </c>
      <c r="M16454" s="25">
        <v>94253720.620000005</v>
      </c>
      <c r="N16454" s="27">
        <v>0.23500001282389674</v>
      </c>
    </row>
    <row r="16455" spans="1:14" hidden="1" outlineLevel="1" x14ac:dyDescent="0.2">
      <c r="A16455" s="23" t="str">
        <f>HYPERLINK("https://www.spark-marketing.ru/Card/Person/4343740", "МИНЗДРАВ РОССИИ")</f>
        <v>МИНЗДРАВ РОССИИ</v>
      </c>
      <c r="B16455" s="24" t="s">
        <v>1666</v>
      </c>
      <c r="C16455" s="25">
        <v>123207480</v>
      </c>
      <c r="D16455" s="22" t="s">
        <v>18932</v>
      </c>
      <c r="E16455" s="22" t="s">
        <v>53</v>
      </c>
      <c r="F16455" s="23" t="str">
        <f>HYPERLINK("https://www.spark-marketing.ru/Card/Lot/67518238", "Иматиниб, капсулы и/или таблетки, покрытые плёночной оболочкой, 400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f>
        <v>Иматиниб, капсулы и/или таблетки, покрытые плёночной оболочкой, 400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v>
      </c>
      <c r="G16455" s="22" t="s">
        <v>428</v>
      </c>
      <c r="H16455" s="22" t="s">
        <v>429</v>
      </c>
      <c r="I16455" s="26">
        <v>43494</v>
      </c>
      <c r="J16455" s="23" t="str">
        <f>HYPERLINK("https://www.spark-marketing.ru/Card/Person/983477", "ООО ""СЕВАСТОПОЛЬФАРМАЦИЯ""")</f>
        <v>ООО "СЕВАСТОПОЛЬФАРМАЦИЯ"</v>
      </c>
      <c r="K16455" s="24" t="s">
        <v>18933</v>
      </c>
      <c r="L16455" s="28" t="s">
        <v>52</v>
      </c>
      <c r="M16455" s="25">
        <v>94869758.019999996</v>
      </c>
      <c r="N16455" s="27">
        <v>0.23000001282389673</v>
      </c>
    </row>
    <row r="16456" spans="1:14" x14ac:dyDescent="0.15">
      <c r="A16456" s="23" t="str">
        <f>HYPERLINK("https://www.spark-marketing.ru/Card/Person/31409", "МЕЖРАЙОННАЯ ИФНС РОССИИ № 3 ПО ЯМАЛО-НЕНЕЦКОМУ АВТОНОМНОМУ ОКРУГУ")</f>
        <v>МЕЖРАЙОННАЯ ИФНС РОССИИ № 3 ПО ЯМАЛО-НЕНЕЦКОМУ АВТОНОМНОМУ ОКРУГУ</v>
      </c>
      <c r="B16456" s="24" t="s">
        <v>18934</v>
      </c>
      <c r="C16456" s="25">
        <v>85215.6</v>
      </c>
      <c r="D16456" s="22" t="s">
        <v>18935</v>
      </c>
      <c r="E16456" s="22" t="s">
        <v>68</v>
      </c>
      <c r="F16456" s="23" t="str">
        <f>HYPERLINK("https://www.spark-marketing.ru/Card/Lot/67525055", "Централизованная охрана объектов при помощи охранной сигнализации Межрайонной ИФНС России  № 3 по Ямало-Ненецкому автономному округу (административное здание) (ПЦО г. Тарко-Сале)")</f>
        <v>Централизованная охрана объектов при помощи охранной сигнализации Межрайонной ИФНС России  № 3 по Ямало-Ненецкому автономному округу (административное здание) (ПЦО г. Тарко-Сале)</v>
      </c>
      <c r="G16456" s="22" t="s">
        <v>311</v>
      </c>
      <c r="H16456" s="22" t="s">
        <v>311</v>
      </c>
      <c r="I16456" s="26">
        <v>43494</v>
      </c>
      <c r="J16456" s="28" t="s">
        <v>52</v>
      </c>
      <c r="K16456" s="28" t="s">
        <v>52</v>
      </c>
      <c r="L16456" s="28" t="s">
        <v>52</v>
      </c>
      <c r="M16456" s="28" t="s">
        <v>52</v>
      </c>
      <c r="N16456" s="28" t="s">
        <v>52</v>
      </c>
    </row>
    <row r="16457" spans="1:14" x14ac:dyDescent="0.15">
      <c r="A16457" s="23" t="str">
        <f>HYPERLINK("https://www.spark-marketing.ru/Card/Person/63856", "СЗТП")</f>
        <v>СЗТП</v>
      </c>
      <c r="B16457" s="24" t="s">
        <v>18936</v>
      </c>
      <c r="C16457" s="25">
        <v>1114464.48</v>
      </c>
      <c r="D16457" s="22" t="s">
        <v>18937</v>
      </c>
      <c r="E16457" s="22" t="s">
        <v>68</v>
      </c>
      <c r="F16457" s="23" t="str">
        <f>HYPERLINK("https://www.spark-marketing.ru/Card/Lot/67539257", "Услуги по охране объектов (постовая охрана)")</f>
        <v>Услуги по охране объектов (постовая охрана)</v>
      </c>
      <c r="G16457" s="22" t="s">
        <v>89</v>
      </c>
      <c r="H16457" s="22" t="s">
        <v>89</v>
      </c>
      <c r="I16457" s="26">
        <v>43494</v>
      </c>
      <c r="J16457" s="23" t="str">
        <f>HYPERLINK("https://www.spark-marketing.ru/Card/Person/10487", "ФГУП ""ОХРАНА"" РОСГВАРДИИ")</f>
        <v>ФГУП "ОХРАНА" РОСГВАРДИИ</v>
      </c>
      <c r="K16457" s="24" t="s">
        <v>779</v>
      </c>
      <c r="L16457" s="22" t="s">
        <v>10</v>
      </c>
      <c r="M16457" s="28" t="s">
        <v>52</v>
      </c>
      <c r="N16457" s="28" t="s">
        <v>52</v>
      </c>
    </row>
    <row r="16458" spans="1:14" x14ac:dyDescent="0.15">
      <c r="A16458" s="23" t="str">
        <f>HYPERLINK("https://www.spark-marketing.ru/Card/Person/149186", "МАДОУ ""ДЕТСКИЙ САД ОБЩЕРАЗВИВАЮЩЕГО ВИДА №43"" НМР РТ")</f>
        <v>МАДОУ "ДЕТСКИЙ САД ОБЩЕРАЗВИВАЮЩЕГО ВИДА №43" НМР РТ</v>
      </c>
      <c r="B16458" s="24" t="s">
        <v>15115</v>
      </c>
      <c r="C16458" s="25">
        <v>6500</v>
      </c>
      <c r="D16458" s="22" t="s">
        <v>18938</v>
      </c>
      <c r="E16458" s="22" t="s">
        <v>53</v>
      </c>
      <c r="F16458" s="23" t="str">
        <f>HYPERLINK("https://www.spark-marketing.ru/Card/Lot/73674095", "Техническое обслуживание системы видеонаблюдения")</f>
        <v>Техническое обслуживание системы видеонаблюдения</v>
      </c>
      <c r="G16458" s="22" t="s">
        <v>204</v>
      </c>
      <c r="H16458" s="22" t="s">
        <v>824</v>
      </c>
      <c r="I16458" s="26">
        <v>43494.949305555601</v>
      </c>
      <c r="J16458" s="28" t="s">
        <v>52</v>
      </c>
      <c r="K16458" s="28" t="s">
        <v>52</v>
      </c>
      <c r="L16458" s="28" t="s">
        <v>52</v>
      </c>
      <c r="M16458" s="28" t="s">
        <v>52</v>
      </c>
      <c r="N16458" s="28" t="s">
        <v>52</v>
      </c>
    </row>
    <row r="16459" spans="1:14" x14ac:dyDescent="0.15">
      <c r="A16459" s="23" t="str">
        <f>HYPERLINK("https://www.spark-marketing.ru/Card/Person/4343740", "МИНЗДРАВ РОССИИ")</f>
        <v>МИНЗДРАВ РОССИИ</v>
      </c>
      <c r="B16459" s="24" t="s">
        <v>1666</v>
      </c>
      <c r="C16459" s="25">
        <v>105704158.56</v>
      </c>
      <c r="D16459" s="22" t="s">
        <v>18939</v>
      </c>
      <c r="E16459" s="22" t="s">
        <v>53</v>
      </c>
      <c r="F16459" s="23" t="str">
        <f>HYPERLINK("https://www.spark-marketing.ru/Card/Lot/67541042", "Леналидомид, капсулы, 5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муковисцидозом, гипофизарным нанизмом, болез...")</f>
        <v>Леналидомид, капсулы, 5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муковисцидозом, гипофизарным нанизмом, болез...</v>
      </c>
      <c r="G16459" s="22" t="s">
        <v>428</v>
      </c>
      <c r="H16459" s="22" t="s">
        <v>429</v>
      </c>
      <c r="I16459" s="26">
        <v>43494</v>
      </c>
      <c r="J16459" s="23" t="str">
        <f>HYPERLINK("https://www.spark-marketing.ru/Card/Person/42069", "АО ""ФАРМСТАНДАРТ""")</f>
        <v>АО "ФАРМСТАНДАРТ"</v>
      </c>
      <c r="K16459" s="24" t="s">
        <v>1668</v>
      </c>
      <c r="L16459" s="22" t="s">
        <v>10</v>
      </c>
      <c r="M16459" s="28" t="s">
        <v>52</v>
      </c>
      <c r="N16459" s="28" t="s">
        <v>52</v>
      </c>
    </row>
    <row r="16460" spans="1:14" x14ac:dyDescent="0.15">
      <c r="A16460" s="23" t="str">
        <f>HYPERLINK("https://www.spark-marketing.ru/Card/Person/4469", "ГБПОУ СМТ")</f>
        <v>ГБПОУ СМТ</v>
      </c>
      <c r="B16460" s="24" t="s">
        <v>18940</v>
      </c>
      <c r="C16460" s="25">
        <v>20400</v>
      </c>
      <c r="D16460" s="22" t="s">
        <v>18941</v>
      </c>
      <c r="E16460" s="22" t="s">
        <v>183</v>
      </c>
      <c r="F16460" s="23" t="str">
        <f>HYPERLINK("https://www.spark-marketing.ru/Card/Lot/67533049", "оказание услуг по техническому обслуживанию кнопки тревожной сигнализации для нужд ГБПОУ «Сормовский механический техникум имени Героя Советского Союза П.А. Семенова»")</f>
        <v>оказание услуг по техническому обслуживанию кнопки тревожной сигнализации для нужд ГБПОУ «Сормовский механический техникум имени Героя Советского Союза П.А. Семенова»</v>
      </c>
      <c r="G16460" s="22" t="s">
        <v>64</v>
      </c>
      <c r="H16460" s="22" t="s">
        <v>65</v>
      </c>
      <c r="I16460" s="26">
        <v>43494</v>
      </c>
      <c r="J16460" s="28" t="s">
        <v>52</v>
      </c>
      <c r="K16460" s="28" t="s">
        <v>52</v>
      </c>
      <c r="L16460" s="28" t="s">
        <v>52</v>
      </c>
      <c r="M16460" s="28" t="s">
        <v>52</v>
      </c>
      <c r="N16460" s="28" t="s">
        <v>52</v>
      </c>
    </row>
    <row r="16461" spans="1:14" ht="12.75" hidden="1" outlineLevel="1" x14ac:dyDescent="0.2">
      <c r="A16461" s="23" t="str">
        <f>HYPERLINK("https://www.spark-marketing.ru/Card/Person/4469", "ГБПОУ СМТ")</f>
        <v>ГБПОУ СМТ</v>
      </c>
      <c r="B16461" s="24" t="s">
        <v>18940</v>
      </c>
      <c r="C16461" s="25">
        <v>20400</v>
      </c>
      <c r="D16461" s="22" t="s">
        <v>18941</v>
      </c>
      <c r="E16461" s="22" t="s">
        <v>183</v>
      </c>
      <c r="F16461" s="23" t="str">
        <f>HYPERLINK("https://www.spark-marketing.ru/Card/Lot/67533049", "оказание услуг по техническому обслуживанию кнопки тревожной сигнализации для нужд ГБПОУ «Сормовский механический техникум имени Героя Советского Союза П.А. Семенова»")</f>
        <v>оказание услуг по техническому обслуживанию кнопки тревожной сигнализации для нужд ГБПОУ «Сормовский механический техникум имени Героя Советского Союза П.А. Семенова»</v>
      </c>
      <c r="G16461" s="22" t="s">
        <v>64</v>
      </c>
      <c r="H16461" s="22" t="s">
        <v>65</v>
      </c>
      <c r="I16461" s="26">
        <v>43494</v>
      </c>
      <c r="J16461" s="23" t="str">
        <f>HYPERLINK("https://www.spark-marketing.ru/Card/Person/4857369", "ООО ""ЗАЩИТА - НН""")</f>
        <v>ООО "ЗАЩИТА - НН"</v>
      </c>
      <c r="K16461" s="24" t="s">
        <v>14633</v>
      </c>
      <c r="L16461" s="22" t="s">
        <v>10</v>
      </c>
      <c r="M16461" s="25">
        <v>9000</v>
      </c>
      <c r="N16461" s="27">
        <v>0.55882352941176472</v>
      </c>
    </row>
    <row r="16462" spans="1:14" hidden="1" outlineLevel="1" x14ac:dyDescent="0.2">
      <c r="A16462" s="23" t="str">
        <f>HYPERLINK("https://www.spark-marketing.ru/Card/Person/4469", "ГБПОУ СМТ")</f>
        <v>ГБПОУ СМТ</v>
      </c>
      <c r="B16462" s="24" t="s">
        <v>18940</v>
      </c>
      <c r="C16462" s="25">
        <v>20400</v>
      </c>
      <c r="D16462" s="22" t="s">
        <v>18941</v>
      </c>
      <c r="E16462" s="22" t="s">
        <v>183</v>
      </c>
      <c r="F16462" s="23" t="str">
        <f>HYPERLINK("https://www.spark-marketing.ru/Card/Lot/67533049", "оказание услуг по техническому обслуживанию кнопки тревожной сигнализации для нужд ГБПОУ «Сормовский механический техникум имени Героя Советского Союза П.А. Семенова»")</f>
        <v>оказание услуг по техническому обслуживанию кнопки тревожной сигнализации для нужд ГБПОУ «Сормовский механический техникум имени Героя Советского Союза П.А. Семенова»</v>
      </c>
      <c r="G16462" s="22" t="s">
        <v>64</v>
      </c>
      <c r="H16462" s="22" t="s">
        <v>65</v>
      </c>
      <c r="I16462" s="26">
        <v>43494</v>
      </c>
      <c r="J16462" s="23" t="str">
        <f>HYPERLINK("https://www.spark-marketing.ru/Card/Person/2503443", "ООО ЧОО ""БАГИРА""")</f>
        <v>ООО ЧОО "БАГИРА"</v>
      </c>
      <c r="K16462" s="24" t="s">
        <v>10789</v>
      </c>
      <c r="L16462" s="28" t="s">
        <v>52</v>
      </c>
      <c r="M16462" s="25">
        <v>13500</v>
      </c>
      <c r="N16462" s="27">
        <v>0.33823529411764708</v>
      </c>
    </row>
    <row r="16463" spans="1:14" hidden="1" outlineLevel="1" x14ac:dyDescent="0.2">
      <c r="A16463" s="23" t="str">
        <f>HYPERLINK("https://www.spark-marketing.ru/Card/Person/4469", "ГБПОУ СМТ")</f>
        <v>ГБПОУ СМТ</v>
      </c>
      <c r="B16463" s="24" t="s">
        <v>18940</v>
      </c>
      <c r="C16463" s="25">
        <v>20400</v>
      </c>
      <c r="D16463" s="22" t="s">
        <v>18941</v>
      </c>
      <c r="E16463" s="22" t="s">
        <v>183</v>
      </c>
      <c r="F16463" s="23" t="str">
        <f>HYPERLINK("https://www.spark-marketing.ru/Card/Lot/67533049", "оказание услуг по техническому обслуживанию кнопки тревожной сигнализации для нужд ГБПОУ «Сормовский механический техникум имени Героя Советского Союза П.А. Семенова»")</f>
        <v>оказание услуг по техническому обслуживанию кнопки тревожной сигнализации для нужд ГБПОУ «Сормовский механический техникум имени Героя Советского Союза П.А. Семенова»</v>
      </c>
      <c r="G16463" s="22" t="s">
        <v>64</v>
      </c>
      <c r="H16463" s="22" t="s">
        <v>65</v>
      </c>
      <c r="I16463" s="26">
        <v>43494</v>
      </c>
      <c r="J16463" s="23" t="str">
        <f>HYPERLINK("https://www.spark-marketing.ru/Card/Person/1165498", "ООО ОО ""ЛАЦИО""")</f>
        <v>ООО ОО "ЛАЦИО"</v>
      </c>
      <c r="K16463" s="24" t="s">
        <v>14157</v>
      </c>
      <c r="L16463" s="28" t="s">
        <v>52</v>
      </c>
      <c r="M16463" s="25">
        <v>17900</v>
      </c>
      <c r="N16463" s="27">
        <v>0.12254901960784313</v>
      </c>
    </row>
    <row r="16464" spans="1:14" x14ac:dyDescent="0.15">
      <c r="A16464" s="23" t="str">
        <f>HYPERLINK("https://www.spark-marketing.ru/Card/Person/132387", "МЕЖРАЙОННАЯ ИФНС РОССИИ № 6 ПО ВОРОНЕЖСКОЙ ОБЛАСТИ")</f>
        <v>МЕЖРАЙОННАЯ ИФНС РОССИИ № 6 ПО ВОРОНЕЖСКОЙ ОБЛАСТИ</v>
      </c>
      <c r="B16464" s="24" t="s">
        <v>18678</v>
      </c>
      <c r="C16464" s="25">
        <v>24396.6</v>
      </c>
      <c r="D16464" s="22" t="s">
        <v>18942</v>
      </c>
      <c r="E16464" s="22" t="s">
        <v>68</v>
      </c>
      <c r="F16464" s="23" t="str">
        <f>HYPERLINK("https://www.spark-marketing.ru/Card/Lot/67541122", "Централизованная охрана объектов")</f>
        <v>Централизованная охрана объектов</v>
      </c>
      <c r="G16464" s="22" t="s">
        <v>552</v>
      </c>
      <c r="H16464" s="22" t="s">
        <v>552</v>
      </c>
      <c r="I16464" s="26">
        <v>43494</v>
      </c>
      <c r="J16464" s="28" t="s">
        <v>52</v>
      </c>
      <c r="K16464" s="28" t="s">
        <v>52</v>
      </c>
      <c r="L16464" s="28" t="s">
        <v>52</v>
      </c>
      <c r="M16464" s="28" t="s">
        <v>52</v>
      </c>
      <c r="N16464" s="28" t="s">
        <v>52</v>
      </c>
    </row>
    <row r="16465" spans="1:14" x14ac:dyDescent="0.15">
      <c r="A16465" s="23" t="str">
        <f>HYPERLINK("https://www.spark-marketing.ru/Card/Person/129591", "МЕЖРАЙОННАЯ ИФНС РОССИИ № 8 ПО БЕЛГОРОДСКОЙ ОБЛАСТИ")</f>
        <v>МЕЖРАЙОННАЯ ИФНС РОССИИ № 8 ПО БЕЛГОРОДСКОЙ ОБЛАСТИ</v>
      </c>
      <c r="B16465" s="24" t="s">
        <v>18943</v>
      </c>
      <c r="C16465" s="25">
        <v>1055740</v>
      </c>
      <c r="D16465" s="22" t="s">
        <v>18944</v>
      </c>
      <c r="E16465" s="22" t="s">
        <v>68</v>
      </c>
      <c r="F16465" s="23" t="str">
        <f>HYPERLINK("https://www.spark-marketing.ru/Card/Lot/67522537", "Услуги по охране здания")</f>
        <v>Услуги по охране здания</v>
      </c>
      <c r="G16465" s="22" t="s">
        <v>176</v>
      </c>
      <c r="H16465" s="22" t="s">
        <v>4687</v>
      </c>
      <c r="I16465" s="26">
        <v>43494</v>
      </c>
      <c r="J16465" s="28" t="s">
        <v>52</v>
      </c>
      <c r="K16465" s="28" t="s">
        <v>52</v>
      </c>
      <c r="L16465" s="28" t="s">
        <v>52</v>
      </c>
      <c r="M16465" s="28" t="s">
        <v>52</v>
      </c>
      <c r="N16465" s="28" t="s">
        <v>52</v>
      </c>
    </row>
    <row r="16466" spans="1:14" hidden="1" outlineLevel="1" x14ac:dyDescent="0.2">
      <c r="A16466" s="23" t="str">
        <f>HYPERLINK("https://www.spark-marketing.ru/Card/Person/129591", "МЕЖРАЙОННАЯ ИФНС РОССИИ № 8 ПО БЕЛГОРОДСКОЙ ОБЛАСТИ")</f>
        <v>МЕЖРАЙОННАЯ ИФНС РОССИИ № 8 ПО БЕЛГОРОДСКОЙ ОБЛАСТИ</v>
      </c>
      <c r="B16466" s="24" t="s">
        <v>18943</v>
      </c>
      <c r="C16466" s="25">
        <v>1055740</v>
      </c>
      <c r="D16466" s="22" t="s">
        <v>18944</v>
      </c>
      <c r="E16466" s="22" t="s">
        <v>68</v>
      </c>
      <c r="F16466" s="23" t="str">
        <f>HYPERLINK("https://www.spark-marketing.ru/Card/Lot/67522537", "Услуги по охране здания")</f>
        <v>Услуги по охране здания</v>
      </c>
      <c r="G16466" s="22" t="s">
        <v>176</v>
      </c>
      <c r="H16466" s="22" t="s">
        <v>4687</v>
      </c>
      <c r="I16466" s="26">
        <v>43494</v>
      </c>
      <c r="J16466" s="23" t="str">
        <f>HYPERLINK("https://www.spark-marketing.ru/Card/Person/6464535", "ООО ""ЧОО ""ПАТРИОТ""")</f>
        <v>ООО "ЧОО "ПАТРИОТ"</v>
      </c>
      <c r="K16466" s="24" t="s">
        <v>15175</v>
      </c>
      <c r="L16466" s="28" t="s">
        <v>52</v>
      </c>
      <c r="M16466" s="25">
        <v>840750.11</v>
      </c>
      <c r="N16466" s="27">
        <v>0.20363904938715971</v>
      </c>
    </row>
    <row r="16467" spans="1:14" hidden="1" outlineLevel="1" x14ac:dyDescent="0.2">
      <c r="A16467" s="23" t="str">
        <f>HYPERLINK("https://www.spark-marketing.ru/Card/Person/129591", "МЕЖРАЙОННАЯ ИФНС РОССИИ № 8 ПО БЕЛГОРОДСКОЙ ОБЛАСТИ")</f>
        <v>МЕЖРАЙОННАЯ ИФНС РОССИИ № 8 ПО БЕЛГОРОДСКОЙ ОБЛАСТИ</v>
      </c>
      <c r="B16467" s="24" t="s">
        <v>18943</v>
      </c>
      <c r="C16467" s="25">
        <v>1055740</v>
      </c>
      <c r="D16467" s="22" t="s">
        <v>18944</v>
      </c>
      <c r="E16467" s="22" t="s">
        <v>68</v>
      </c>
      <c r="F16467" s="23" t="str">
        <f>HYPERLINK("https://www.spark-marketing.ru/Card/Lot/67522537", "Услуги по охране здания")</f>
        <v>Услуги по охране здания</v>
      </c>
      <c r="G16467" s="22" t="s">
        <v>176</v>
      </c>
      <c r="H16467" s="22" t="s">
        <v>4687</v>
      </c>
      <c r="I16467" s="26">
        <v>43494</v>
      </c>
      <c r="J16467" s="23" t="str">
        <f>HYPERLINK("https://www.spark-marketing.ru/Card/Person/333342", "ООО ""ЧОО ""БАЯЗЕТ""")</f>
        <v>ООО "ЧОО "БАЯЗЕТ"</v>
      </c>
      <c r="K16467" s="24" t="s">
        <v>8655</v>
      </c>
      <c r="L16467" s="28" t="s">
        <v>52</v>
      </c>
      <c r="M16467" s="25">
        <v>888258.41</v>
      </c>
      <c r="N16467" s="27">
        <v>0.15863904938715973</v>
      </c>
    </row>
    <row r="16468" spans="1:14" ht="12.75" hidden="1" outlineLevel="1" x14ac:dyDescent="0.2">
      <c r="A16468" s="23" t="str">
        <f>HYPERLINK("https://www.spark-marketing.ru/Card/Person/129591", "МЕЖРАЙОННАЯ ИФНС РОССИИ № 8 ПО БЕЛГОРОДСКОЙ ОБЛАСТИ")</f>
        <v>МЕЖРАЙОННАЯ ИФНС РОССИИ № 8 ПО БЕЛГОРОДСКОЙ ОБЛАСТИ</v>
      </c>
      <c r="B16468" s="24" t="s">
        <v>18943</v>
      </c>
      <c r="C16468" s="25">
        <v>1055740</v>
      </c>
      <c r="D16468" s="22" t="s">
        <v>18944</v>
      </c>
      <c r="E16468" s="22" t="s">
        <v>68</v>
      </c>
      <c r="F16468" s="23" t="str">
        <f>HYPERLINK("https://www.spark-marketing.ru/Card/Lot/67522537", "Услуги по охране здания")</f>
        <v>Услуги по охране здания</v>
      </c>
      <c r="G16468" s="22" t="s">
        <v>176</v>
      </c>
      <c r="H16468" s="22" t="s">
        <v>4687</v>
      </c>
      <c r="I16468" s="26">
        <v>43494</v>
      </c>
      <c r="J16468" s="23" t="str">
        <f>HYPERLINK("https://www.spark-marketing.ru/Card/Person/501495", "ООО ""ЧАСТНАЯ ОХРАННАЯ ОРГАНИЗАЦИЯ ""БАРЬЕР""")</f>
        <v>ООО "ЧАСТНАЯ ОХРАННАЯ ОРГАНИЗАЦИЯ "БАРЬЕР"</v>
      </c>
      <c r="K16468" s="24" t="s">
        <v>16950</v>
      </c>
      <c r="L16468" s="22" t="s">
        <v>10</v>
      </c>
      <c r="M16468" s="25">
        <v>846028.81</v>
      </c>
      <c r="N16468" s="27">
        <v>0.19863904938715971</v>
      </c>
    </row>
    <row r="16469" spans="1:14" x14ac:dyDescent="0.15">
      <c r="A16469" s="23" t="str">
        <f>HYPERLINK("https://www.spark-marketing.ru/Card/Person/132311", "МЕЖРАЙОННАЯ ИФНС РОССИИ № 5 ПО ВОРОНЕЖСКОЙ ОБЛАСТИ")</f>
        <v>МЕЖРАЙОННАЯ ИФНС РОССИИ № 5 ПО ВОРОНЕЖСКОЙ ОБЛАСТИ</v>
      </c>
      <c r="B16469" s="24" t="s">
        <v>18945</v>
      </c>
      <c r="C16469" s="25">
        <v>66828</v>
      </c>
      <c r="D16469" s="22" t="s">
        <v>18946</v>
      </c>
      <c r="E16469" s="22" t="s">
        <v>68</v>
      </c>
      <c r="F16469" s="23" t="str">
        <f>HYPERLINK("https://www.spark-marketing.ru/Card/Lot/67517553", "Охрана объектов")</f>
        <v>Охрана объектов</v>
      </c>
      <c r="G16469" s="22" t="s">
        <v>552</v>
      </c>
      <c r="H16469" s="22" t="s">
        <v>18947</v>
      </c>
      <c r="I16469" s="26">
        <v>43494</v>
      </c>
      <c r="J16469" s="28" t="s">
        <v>52</v>
      </c>
      <c r="K16469" s="28" t="s">
        <v>52</v>
      </c>
      <c r="L16469" s="28" t="s">
        <v>52</v>
      </c>
      <c r="M16469" s="28" t="s">
        <v>52</v>
      </c>
      <c r="N16469" s="28" t="s">
        <v>52</v>
      </c>
    </row>
    <row r="16470" spans="1:14" x14ac:dyDescent="0.15">
      <c r="A16470" s="23" t="str">
        <f>HYPERLINK("https://www.spark-marketing.ru/Card/Person/14049", "УФНС РОССИИ ПО КЕМЕРОВСКОЙ ОБЛАСТИ")</f>
        <v>УФНС РОССИИ ПО КЕМЕРОВСКОЙ ОБЛАСТИ</v>
      </c>
      <c r="B16470" s="24" t="s">
        <v>18948</v>
      </c>
      <c r="C16470" s="25">
        <v>1496838.84</v>
      </c>
      <c r="D16470" s="22" t="s">
        <v>18949</v>
      </c>
      <c r="E16470" s="22" t="s">
        <v>68</v>
      </c>
      <c r="F16470" s="23" t="str">
        <f>HYPERLINK("https://www.spark-marketing.ru/Card/Lot/67514589", "Оказание услуг по охране объектов с использованием технических средств охранной сигнализации")</f>
        <v>Оказание услуг по охране объектов с использованием технических средств охранной сигнализации</v>
      </c>
      <c r="G16470" s="22" t="s">
        <v>367</v>
      </c>
      <c r="H16470" s="22" t="s">
        <v>881</v>
      </c>
      <c r="I16470" s="26">
        <v>43494</v>
      </c>
      <c r="J16470" s="28" t="s">
        <v>52</v>
      </c>
      <c r="K16470" s="28" t="s">
        <v>52</v>
      </c>
      <c r="L16470" s="28" t="s">
        <v>52</v>
      </c>
      <c r="M16470" s="28" t="s">
        <v>52</v>
      </c>
      <c r="N16470" s="28" t="s">
        <v>52</v>
      </c>
    </row>
    <row r="16471" spans="1:14" x14ac:dyDescent="0.15">
      <c r="A16471" s="23" t="str">
        <f>HYPERLINK("https://www.spark-marketing.ru/Card/Person/47824", "ГБУЗ НО ""ИНФЕКЦИОННАЯ БОЛЬНИЦА № 23 Г. НИЖНЕГО НОВГОРОДА""")</f>
        <v>ГБУЗ НО "ИНФЕКЦИОННАЯ БОЛЬНИЦА № 23 Г. НИЖНЕГО НОВГОРОДА"</v>
      </c>
      <c r="B16471" s="24" t="s">
        <v>92</v>
      </c>
      <c r="C16471" s="25">
        <v>18968.400000000001</v>
      </c>
      <c r="D16471" s="22" t="s">
        <v>18950</v>
      </c>
      <c r="E16471" s="22" t="s">
        <v>68</v>
      </c>
      <c r="F16471" s="23" t="str">
        <f>HYPERLINK("https://www.spark-marketing.ru/Card/Lot/67540477", "Экстренный вызов наряда полиции с помощью кнопки (КЭВНП)")</f>
        <v>Экстренный вызов наряда полиции с помощью кнопки (КЭВНП)</v>
      </c>
      <c r="G16471" s="22" t="s">
        <v>64</v>
      </c>
      <c r="H16471" s="22" t="s">
        <v>65</v>
      </c>
      <c r="I16471" s="26">
        <v>43494</v>
      </c>
      <c r="J16471" s="28" t="s">
        <v>52</v>
      </c>
      <c r="K16471" s="28" t="s">
        <v>52</v>
      </c>
      <c r="L16471" s="28" t="s">
        <v>52</v>
      </c>
      <c r="M16471" s="28" t="s">
        <v>52</v>
      </c>
      <c r="N16471" s="28" t="s">
        <v>52</v>
      </c>
    </row>
    <row r="16472" spans="1:14" x14ac:dyDescent="0.15">
      <c r="A16472" s="23" t="str">
        <f>HYPERLINK("https://www.spark-marketing.ru/Card/Person/4469", "ГБПОУ СМТ")</f>
        <v>ГБПОУ СМТ</v>
      </c>
      <c r="B16472" s="24" t="s">
        <v>18940</v>
      </c>
      <c r="C16472" s="25">
        <v>24500</v>
      </c>
      <c r="D16472" s="22" t="s">
        <v>18951</v>
      </c>
      <c r="E16472" s="22" t="s">
        <v>183</v>
      </c>
      <c r="F16472" s="23" t="str">
        <f>HYPERLINK("https://www.spark-marketing.ru/Card/Lot/67533048", "оказание охранных услуг с использованием кнопки тревожной сигнализации для нужд ГБПОУ «Сормовский механический техникум имени Героя Советского Союза П.А. Семенова»")</f>
        <v>оказание охранных услуг с использованием кнопки тревожной сигнализации для нужд ГБПОУ «Сормовский механический техникум имени Героя Советского Союза П.А. Семенова»</v>
      </c>
      <c r="G16472" s="22" t="s">
        <v>64</v>
      </c>
      <c r="H16472" s="22" t="s">
        <v>65</v>
      </c>
      <c r="I16472" s="26">
        <v>43494</v>
      </c>
      <c r="J16472" s="28" t="s">
        <v>52</v>
      </c>
      <c r="K16472" s="28" t="s">
        <v>52</v>
      </c>
      <c r="L16472" s="28" t="s">
        <v>52</v>
      </c>
      <c r="M16472" s="28" t="s">
        <v>52</v>
      </c>
      <c r="N16472" s="28" t="s">
        <v>52</v>
      </c>
    </row>
    <row r="16473" spans="1:14" hidden="1" outlineLevel="1" x14ac:dyDescent="0.2">
      <c r="A16473" s="23" t="str">
        <f>HYPERLINK("https://www.spark-marketing.ru/Card/Person/4469", "ГБПОУ СМТ")</f>
        <v>ГБПОУ СМТ</v>
      </c>
      <c r="B16473" s="24" t="s">
        <v>18940</v>
      </c>
      <c r="C16473" s="25">
        <v>24500</v>
      </c>
      <c r="D16473" s="22" t="s">
        <v>18951</v>
      </c>
      <c r="E16473" s="22" t="s">
        <v>183</v>
      </c>
      <c r="F16473" s="23" t="str">
        <f>HYPERLINK("https://www.spark-marketing.ru/Card/Lot/67533048", "оказание охранных услуг с использованием кнопки тревожной сигнализации для нужд ГБПОУ «Сормовский механический техникум имени Героя Советского Союза П.А. Семенова»")</f>
        <v>оказание охранных услуг с использованием кнопки тревожной сигнализации для нужд ГБПОУ «Сормовский механический техникум имени Героя Советского Союза П.А. Семенова»</v>
      </c>
      <c r="G16473" s="22" t="s">
        <v>64</v>
      </c>
      <c r="H16473" s="22" t="s">
        <v>65</v>
      </c>
      <c r="I16473" s="26">
        <v>43494</v>
      </c>
      <c r="J16473" s="23" t="str">
        <f>HYPERLINK("https://www.spark-marketing.ru/Card/Person/1165498", "ООО ОО ""ЛАЦИО""")</f>
        <v>ООО ОО "ЛАЦИО"</v>
      </c>
      <c r="K16473" s="24" t="s">
        <v>14157</v>
      </c>
      <c r="L16473" s="28" t="s">
        <v>52</v>
      </c>
      <c r="M16473" s="25">
        <v>18900</v>
      </c>
      <c r="N16473" s="27">
        <v>0.22857142857142856</v>
      </c>
    </row>
    <row r="16474" spans="1:14" ht="12.75" hidden="1" outlineLevel="1" x14ac:dyDescent="0.2">
      <c r="A16474" s="23" t="str">
        <f>HYPERLINK("https://www.spark-marketing.ru/Card/Person/4469", "ГБПОУ СМТ")</f>
        <v>ГБПОУ СМТ</v>
      </c>
      <c r="B16474" s="24" t="s">
        <v>18940</v>
      </c>
      <c r="C16474" s="25">
        <v>24500</v>
      </c>
      <c r="D16474" s="22" t="s">
        <v>18951</v>
      </c>
      <c r="E16474" s="22" t="s">
        <v>183</v>
      </c>
      <c r="F16474" s="23" t="str">
        <f>HYPERLINK("https://www.spark-marketing.ru/Card/Lot/67533048", "оказание охранных услуг с использованием кнопки тревожной сигнализации для нужд ГБПОУ «Сормовский механический техникум имени Героя Советского Союза П.А. Семенова»")</f>
        <v>оказание охранных услуг с использованием кнопки тревожной сигнализации для нужд ГБПОУ «Сормовский механический техникум имени Героя Советского Союза П.А. Семенова»</v>
      </c>
      <c r="G16474" s="22" t="s">
        <v>64</v>
      </c>
      <c r="H16474" s="22" t="s">
        <v>65</v>
      </c>
      <c r="I16474" s="26">
        <v>43494</v>
      </c>
      <c r="J16474" s="23" t="str">
        <f>HYPERLINK("https://www.spark-marketing.ru/Card/Person/4857369", "ООО ""ЗАЩИТА - НН""")</f>
        <v>ООО "ЗАЩИТА - НН"</v>
      </c>
      <c r="K16474" s="24" t="s">
        <v>14633</v>
      </c>
      <c r="L16474" s="22" t="s">
        <v>10</v>
      </c>
      <c r="M16474" s="25">
        <v>14700</v>
      </c>
      <c r="N16474" s="27">
        <v>0.4</v>
      </c>
    </row>
    <row r="16475" spans="1:14" hidden="1" outlineLevel="1" x14ac:dyDescent="0.2">
      <c r="A16475" s="23" t="str">
        <f>HYPERLINK("https://www.spark-marketing.ru/Card/Person/4469", "ГБПОУ СМТ")</f>
        <v>ГБПОУ СМТ</v>
      </c>
      <c r="B16475" s="24" t="s">
        <v>18940</v>
      </c>
      <c r="C16475" s="25">
        <v>24500</v>
      </c>
      <c r="D16475" s="22" t="s">
        <v>18951</v>
      </c>
      <c r="E16475" s="22" t="s">
        <v>183</v>
      </c>
      <c r="F16475" s="23" t="str">
        <f>HYPERLINK("https://www.spark-marketing.ru/Card/Lot/67533048", "оказание охранных услуг с использованием кнопки тревожной сигнализации для нужд ГБПОУ «Сормовский механический техникум имени Героя Советского Союза П.А. Семенова»")</f>
        <v>оказание охранных услуг с использованием кнопки тревожной сигнализации для нужд ГБПОУ «Сормовский механический техникум имени Героя Советского Союза П.А. Семенова»</v>
      </c>
      <c r="G16475" s="22" t="s">
        <v>64</v>
      </c>
      <c r="H16475" s="22" t="s">
        <v>65</v>
      </c>
      <c r="I16475" s="26">
        <v>43494</v>
      </c>
      <c r="J16475" s="23" t="str">
        <f>HYPERLINK("https://www.spark-marketing.ru/Card/Person/2503443", "ООО ЧОО ""БАГИРА""")</f>
        <v>ООО ЧОО "БАГИРА"</v>
      </c>
      <c r="K16475" s="24" t="s">
        <v>10789</v>
      </c>
      <c r="L16475" s="28" t="s">
        <v>52</v>
      </c>
      <c r="M16475" s="25">
        <v>18000</v>
      </c>
      <c r="N16475" s="27">
        <v>0.26530612244897961</v>
      </c>
    </row>
    <row r="16476" spans="1:14" hidden="1" outlineLevel="1" x14ac:dyDescent="0.2">
      <c r="A16476" s="23" t="str">
        <f>HYPERLINK("https://www.spark-marketing.ru/Card/Person/4469", "ГБПОУ СМТ")</f>
        <v>ГБПОУ СМТ</v>
      </c>
      <c r="B16476" s="24" t="s">
        <v>18940</v>
      </c>
      <c r="C16476" s="25">
        <v>24500</v>
      </c>
      <c r="D16476" s="22" t="s">
        <v>18951</v>
      </c>
      <c r="E16476" s="22" t="s">
        <v>183</v>
      </c>
      <c r="F16476" s="23" t="str">
        <f>HYPERLINK("https://www.spark-marketing.ru/Card/Lot/67533048", "оказание охранных услуг с использованием кнопки тревожной сигнализации для нужд ГБПОУ «Сормовский механический техникум имени Героя Советского Союза П.А. Семенова»")</f>
        <v>оказание охранных услуг с использованием кнопки тревожной сигнализации для нужд ГБПОУ «Сормовский механический техникум имени Героя Советского Союза П.А. Семенова»</v>
      </c>
      <c r="G16476" s="22" t="s">
        <v>64</v>
      </c>
      <c r="H16476" s="22" t="s">
        <v>65</v>
      </c>
      <c r="I16476" s="26">
        <v>43494</v>
      </c>
      <c r="J16476" s="23" t="str">
        <f>HYPERLINK("https://www.spark-marketing.ru/Card/Person/990626", "ООО ЧОО ""ФАКЕЛ НН""")</f>
        <v>ООО ЧОО "ФАКЕЛ НН"</v>
      </c>
      <c r="K16476" s="24" t="s">
        <v>18952</v>
      </c>
      <c r="L16476" s="28" t="s">
        <v>52</v>
      </c>
      <c r="M16476" s="25">
        <v>22000</v>
      </c>
      <c r="N16476" s="27">
        <v>0.10204081632653061</v>
      </c>
    </row>
    <row r="16477" spans="1:14" x14ac:dyDescent="0.15">
      <c r="A16477" s="23" t="str">
        <f>HYPERLINK("https://www.spark-marketing.ru/Card/Person/536007", "ИФНС РОССИИ ПО Г. ТАМБОВУ")</f>
        <v>ИФНС РОССИИ ПО Г. ТАМБОВУ</v>
      </c>
      <c r="B16477" s="24" t="s">
        <v>18953</v>
      </c>
      <c r="C16477" s="25">
        <v>327088.8</v>
      </c>
      <c r="D16477" s="22" t="s">
        <v>18954</v>
      </c>
      <c r="E16477" s="22" t="s">
        <v>68</v>
      </c>
      <c r="F16477" s="23" t="str">
        <f>HYPERLINK("https://www.spark-marketing.ru/Card/Lot/67522733", "Охрана объекта с выводом на ПЦО")</f>
        <v>Охрана объекта с выводом на ПЦО</v>
      </c>
      <c r="G16477" s="22" t="s">
        <v>1319</v>
      </c>
      <c r="H16477" s="22" t="s">
        <v>1320</v>
      </c>
      <c r="I16477" s="26">
        <v>43494</v>
      </c>
      <c r="J16477" s="28" t="s">
        <v>52</v>
      </c>
      <c r="K16477" s="28" t="s">
        <v>52</v>
      </c>
      <c r="L16477" s="28" t="s">
        <v>52</v>
      </c>
      <c r="M16477" s="28" t="s">
        <v>52</v>
      </c>
      <c r="N16477" s="28" t="s">
        <v>52</v>
      </c>
    </row>
    <row r="16478" spans="1:14" x14ac:dyDescent="0.15">
      <c r="A16478" s="23" t="str">
        <f>HYPERLINK("https://www.spark-marketing.ru/Card/Person/66266", "СУ СК РОССИИ ПО КАЛИНИНГРАДСКОЙ ОБЛАСТИ")</f>
        <v>СУ СК РОССИИ ПО КАЛИНИНГРАДСКОЙ ОБЛАСТИ</v>
      </c>
      <c r="B16478" s="24" t="s">
        <v>18955</v>
      </c>
      <c r="C16478" s="25">
        <v>625321.80000000005</v>
      </c>
      <c r="D16478" s="22" t="s">
        <v>18956</v>
      </c>
      <c r="E16478" s="22" t="s">
        <v>68</v>
      </c>
      <c r="F16478" s="23" t="str">
        <f>HYPERLINK("https://www.spark-marketing.ru/Card/Lot/67518075", "Оказание услуг по охране объектов с помощью технических средств, выведенных на пульт централизованного наблюдения подразделений вневедомственной охраны")</f>
        <v>Оказание услуг по охране объектов с помощью технических средств, выведенных на пульт централизованного наблюдения подразделений вневедомственной охраны</v>
      </c>
      <c r="G16478" s="22" t="s">
        <v>247</v>
      </c>
      <c r="H16478" s="22" t="s">
        <v>576</v>
      </c>
      <c r="I16478" s="26">
        <v>43494</v>
      </c>
      <c r="J16478" s="28" t="s">
        <v>52</v>
      </c>
      <c r="K16478" s="28" t="s">
        <v>52</v>
      </c>
      <c r="L16478" s="28" t="s">
        <v>52</v>
      </c>
      <c r="M16478" s="28" t="s">
        <v>52</v>
      </c>
      <c r="N16478" s="28" t="s">
        <v>52</v>
      </c>
    </row>
    <row r="16479" spans="1:14" x14ac:dyDescent="0.15">
      <c r="A16479" s="23" t="str">
        <f>HYPERLINK("https://www.spark-marketing.ru/Card/Person/367790", "МУП ""НОВГОРОДСКИЙ ВОДОКАНАЛ""")</f>
        <v>МУП "НОВГОРОДСКИЙ ВОДОКАНАЛ"</v>
      </c>
      <c r="B16479" s="24" t="s">
        <v>16056</v>
      </c>
      <c r="C16479" s="25">
        <v>10690908.4</v>
      </c>
      <c r="D16479" s="22" t="s">
        <v>18957</v>
      </c>
      <c r="E16479" s="22" t="s">
        <v>68</v>
      </c>
      <c r="F16479" s="23" t="str">
        <f>HYPERLINK("https://www.spark-marketing.ru/Card/Lot/67536708", "Оказание услуг по физической охране имущества объектов МУП «Новгородский  водоканал» (объекты, на которые частная охранная деятельность не распространяется)")</f>
        <v>Оказание услуг по физической охране имущества объектов МУП «Новгородский  водоканал» (объекты, на которые частная охранная деятельность не распространяется)</v>
      </c>
      <c r="G16479" s="22" t="s">
        <v>959</v>
      </c>
      <c r="H16479" s="22" t="s">
        <v>959</v>
      </c>
      <c r="I16479" s="26">
        <v>43494</v>
      </c>
      <c r="J16479" s="28" t="s">
        <v>52</v>
      </c>
      <c r="K16479" s="28" t="s">
        <v>52</v>
      </c>
      <c r="L16479" s="28" t="s">
        <v>52</v>
      </c>
      <c r="M16479" s="28" t="s">
        <v>52</v>
      </c>
      <c r="N16479" s="28" t="s">
        <v>52</v>
      </c>
    </row>
    <row r="16480" spans="1:14" x14ac:dyDescent="0.15">
      <c r="A16480" s="23" t="str">
        <f>HYPERLINK("https://www.spark-marketing.ru/Card/Person/34191", "НГТУ, НОВОСИБИРСКИЙ ГОСУДАРСТВЕННЫЙ ТЕХНИЧЕСКИЙ УНИВЕРСИТЕТ, ФГБОУ ВО ""НОВОСИБИРСКИЙ ГОСУДАРСТВЕННЫЙ ТЕХНИЧЕСКИЙ УНИВЕРСИТЕТ"", ФГБОУ ВО ""НГТУ""")</f>
        <v>НГТУ, НОВОСИБИРСКИЙ ГОСУДАРСТВЕННЫЙ ТЕХНИЧЕСКИЙ УНИВЕРСИТЕТ, ФГБОУ ВО "НОВОСИБИРСКИЙ ГОСУДАРСТВЕННЫЙ ТЕХНИЧЕСКИЙ УНИВЕРСИТЕТ", ФГБОУ ВО "НГТУ"</v>
      </c>
      <c r="B16480" s="24" t="s">
        <v>16333</v>
      </c>
      <c r="C16480" s="25">
        <v>5686667</v>
      </c>
      <c r="D16480" s="22" t="s">
        <v>18958</v>
      </c>
      <c r="E16480" s="22" t="s">
        <v>144</v>
      </c>
      <c r="F16480" s="23" t="str">
        <f>HYPERLINK("https://www.spark-marketing.ru/Card/Lot/67492103", "Оказание услуг по обеспечению общественного порядка, антитеррористической защищенности и безопасности, защиты жизни и здоровья студентов, должностных лиц, работников, посетителей НГТУ и сохранности имущества на объектах и территории ФГБОУ ВО НГТУ")</f>
        <v>Оказание услуг по обеспечению общественного порядка, антитеррористической защищенности и безопасности, защиты жизни и здоровья студентов, должностных лиц, работников, посетителей НГТУ и сохранности имущества на объектах и территории ФГБОУ ВО НГТУ</v>
      </c>
      <c r="G16480" s="22" t="s">
        <v>209</v>
      </c>
      <c r="H16480" s="22" t="s">
        <v>209</v>
      </c>
      <c r="I16480" s="26">
        <v>43493.723715277803</v>
      </c>
      <c r="J16480" s="28" t="s">
        <v>52</v>
      </c>
      <c r="K16480" s="28" t="s">
        <v>52</v>
      </c>
      <c r="L16480" s="28" t="s">
        <v>52</v>
      </c>
      <c r="M16480" s="28" t="s">
        <v>52</v>
      </c>
      <c r="N16480" s="28" t="s">
        <v>52</v>
      </c>
    </row>
    <row r="16481" spans="1:14" x14ac:dyDescent="0.15">
      <c r="A16481" s="23" t="str">
        <f>HYPERLINK("https://www.spark-marketing.ru/Card/Person/4343740", "МИНЗДРАВ РОССИИ")</f>
        <v>МИНЗДРАВ РОССИИ</v>
      </c>
      <c r="B16481" s="24" t="s">
        <v>1666</v>
      </c>
      <c r="C16481" s="25">
        <v>24727500</v>
      </c>
      <c r="D16481" s="22" t="s">
        <v>18959</v>
      </c>
      <c r="E16481" s="22" t="s">
        <v>53</v>
      </c>
      <c r="F16481" s="23" t="str">
        <f>HYPERLINK("https://www.spark-marketing.ru/Card/Lot/67518240", "Нонаког альфа, лиофилизат для приготовления раствора для внутривенного введения, 500 МЕ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f>
        <v>Нонаког альфа, лиофилизат для приготовления раствора для внутривенного введения, 500 МЕ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v>
      </c>
      <c r="G16481" s="22" t="s">
        <v>215</v>
      </c>
      <c r="H16481" s="22" t="s">
        <v>406</v>
      </c>
      <c r="I16481" s="26">
        <v>43494</v>
      </c>
      <c r="J16481" s="23" t="str">
        <f>HYPERLINK("https://www.spark-marketing.ru/Card/Person/42069", "АО ""ФАРМСТАНДАРТ""")</f>
        <v>АО "ФАРМСТАНДАРТ"</v>
      </c>
      <c r="K16481" s="24" t="s">
        <v>1668</v>
      </c>
      <c r="L16481" s="22" t="s">
        <v>10</v>
      </c>
      <c r="M16481" s="28" t="s">
        <v>52</v>
      </c>
      <c r="N16481" s="28" t="s">
        <v>52</v>
      </c>
    </row>
    <row r="16482" spans="1:14" x14ac:dyDescent="0.15">
      <c r="A16482" s="23" t="str">
        <f>HYPERLINK("https://www.spark-marketing.ru/Card/Person/148077", "МАДОУ ""ДЕТСКИЙ САД ОБЩЕРАЗВИВАЮЩЕГО ВИДА №80"" НМР РТ")</f>
        <v>МАДОУ "ДЕТСКИЙ САД ОБЩЕРАЗВИВАЮЩЕГО ВИДА №80" НМР РТ</v>
      </c>
      <c r="B16482" s="24" t="s">
        <v>18960</v>
      </c>
      <c r="C16482" s="25">
        <v>4800</v>
      </c>
      <c r="D16482" s="22" t="s">
        <v>18961</v>
      </c>
      <c r="E16482" s="22" t="s">
        <v>53</v>
      </c>
      <c r="F16482" s="23" t="str">
        <f>HYPERLINK("https://www.spark-marketing.ru/Card/Lot/73681326", "Техническое обслуживание системы видеонаблюдения")</f>
        <v>Техническое обслуживание системы видеонаблюдения</v>
      </c>
      <c r="G16482" s="22" t="s">
        <v>204</v>
      </c>
      <c r="H16482" s="22" t="s">
        <v>824</v>
      </c>
      <c r="I16482" s="26">
        <v>43494.000694444403</v>
      </c>
      <c r="J16482" s="28" t="s">
        <v>52</v>
      </c>
      <c r="K16482" s="28" t="s">
        <v>52</v>
      </c>
      <c r="L16482" s="28" t="s">
        <v>52</v>
      </c>
      <c r="M16482" s="28" t="s">
        <v>52</v>
      </c>
      <c r="N16482" s="28" t="s">
        <v>52</v>
      </c>
    </row>
    <row r="16483" spans="1:14" x14ac:dyDescent="0.15">
      <c r="A16483" s="23" t="str">
        <f>HYPERLINK("https://www.spark-marketing.ru/Card/Person/132387", "МЕЖРАЙОННАЯ ИФНС РОССИИ № 6 ПО ВОРОНЕЖСКОЙ ОБЛАСТИ")</f>
        <v>МЕЖРАЙОННАЯ ИФНС РОССИИ № 6 ПО ВОРОНЕЖСКОЙ ОБЛАСТИ</v>
      </c>
      <c r="B16483" s="24" t="s">
        <v>18678</v>
      </c>
      <c r="C16483" s="25">
        <v>52384.800000000003</v>
      </c>
      <c r="D16483" s="22" t="s">
        <v>18962</v>
      </c>
      <c r="E16483" s="22" t="s">
        <v>68</v>
      </c>
      <c r="F16483" s="23" t="str">
        <f>HYPERLINK("https://www.spark-marketing.ru/Card/Lot/67540289", "Централизованная охрана объектов")</f>
        <v>Централизованная охрана объектов</v>
      </c>
      <c r="G16483" s="22" t="s">
        <v>552</v>
      </c>
      <c r="H16483" s="22" t="s">
        <v>552</v>
      </c>
      <c r="I16483" s="26">
        <v>43494</v>
      </c>
      <c r="J16483" s="28" t="s">
        <v>52</v>
      </c>
      <c r="K16483" s="28" t="s">
        <v>52</v>
      </c>
      <c r="L16483" s="28" t="s">
        <v>52</v>
      </c>
      <c r="M16483" s="28" t="s">
        <v>52</v>
      </c>
      <c r="N16483" s="28" t="s">
        <v>52</v>
      </c>
    </row>
    <row r="16484" spans="1:14" x14ac:dyDescent="0.15">
      <c r="A16484" s="23" t="str">
        <f>HYPERLINK("https://www.spark-marketing.ru/Card/Person/4343740", "МИНЗДРАВ РОССИИ")</f>
        <v>МИНЗДРАВ РОССИИ</v>
      </c>
      <c r="B16484" s="24" t="s">
        <v>1666</v>
      </c>
      <c r="C16484" s="25">
        <v>158342350</v>
      </c>
      <c r="D16484" s="22" t="s">
        <v>18963</v>
      </c>
      <c r="E16484" s="22" t="s">
        <v>53</v>
      </c>
      <c r="F16484" s="23" t="str">
        <f>HYPERLINK("https://www.spark-marketing.ru/Card/Lot/67518234", "Нонаког альфа, лиофилизат для приготовления раствора для внутривенного введения, 1000 МЕ  в рамках реализации постановления Правительства Российской Федерации от 26.11.2018 № 1416 ""О порядке организации обеспечения лекарственными препаратами лиц, бо...")</f>
        <v>Нонаког альфа, лиофилизат для приготовления раствора для внутривенного введения, 1000 МЕ  в рамках реализации постановления Правительства Российской Федерации от 26.11.2018 № 1416 "О порядке организации обеспечения лекарственными препаратами лиц, бо...</v>
      </c>
      <c r="G16484" s="22" t="s">
        <v>428</v>
      </c>
      <c r="H16484" s="22" t="s">
        <v>429</v>
      </c>
      <c r="I16484" s="26">
        <v>43494</v>
      </c>
      <c r="J16484" s="23" t="str">
        <f>HYPERLINK("https://www.spark-marketing.ru/Card/Person/42069", "АО ""ФАРМСТАНДАРТ""")</f>
        <v>АО "ФАРМСТАНДАРТ"</v>
      </c>
      <c r="K16484" s="24" t="s">
        <v>1668</v>
      </c>
      <c r="L16484" s="22" t="s">
        <v>10</v>
      </c>
      <c r="M16484" s="28" t="s">
        <v>52</v>
      </c>
      <c r="N16484" s="28" t="s">
        <v>52</v>
      </c>
    </row>
    <row r="16485" spans="1:14" x14ac:dyDescent="0.15">
      <c r="A16485" s="23" t="str">
        <f>HYPERLINK("https://www.spark-marketing.ru/Card/Person/4343740", "МИНЗДРАВ РОССИИ")</f>
        <v>МИНЗДРАВ РОССИИ</v>
      </c>
      <c r="B16485" s="24" t="s">
        <v>1666</v>
      </c>
      <c r="C16485" s="25">
        <v>607158077.89999998</v>
      </c>
      <c r="D16485" s="22" t="s">
        <v>18964</v>
      </c>
      <c r="E16485" s="22" t="s">
        <v>53</v>
      </c>
      <c r="F16485" s="23" t="str">
        <f>HYPERLINK("https://www.spark-marketing.ru/Card/Lot/67541041", "Эптаког альфа (активированный), лиофилизат для приготовления раствора для внутривенного введения, 4,8-5,0 мг (240-250 КЕД/240-250 тыс. МЕ)   в рамках реализации постановления Правительства Российской Федерации от 26.11.2018 № 1416 ""О порядке организ...")</f>
        <v>Эптаког альфа (активированный), лиофилизат для приготовления раствора для внутривенного введения, 4,8-5,0 мг (240-250 КЕД/240-250 тыс. МЕ)   в рамках реализации постановления Правительства Российской Федерации от 26.11.2018 № 1416 "О порядке организ...</v>
      </c>
      <c r="G16485" s="22" t="s">
        <v>230</v>
      </c>
      <c r="H16485" s="22" t="s">
        <v>231</v>
      </c>
      <c r="I16485" s="26">
        <v>43494</v>
      </c>
      <c r="J16485" s="23" t="str">
        <f>HYPERLINK("https://www.spark-marketing.ru/Card/Person/42069", "АО ""ФАРМСТАНДАРТ""")</f>
        <v>АО "ФАРМСТАНДАРТ"</v>
      </c>
      <c r="K16485" s="24" t="s">
        <v>1668</v>
      </c>
      <c r="L16485" s="22" t="s">
        <v>10</v>
      </c>
      <c r="M16485" s="28" t="s">
        <v>52</v>
      </c>
      <c r="N16485" s="28" t="s">
        <v>52</v>
      </c>
    </row>
    <row r="16486" spans="1:14" x14ac:dyDescent="0.15">
      <c r="A16486" s="23" t="str">
        <f>HYPERLINK("https://www.spark-marketing.ru/Card/Person/3479", "ФГБУ ""ФЦССХ"" МИНЗДРАВА РОССИИ (Г. КРАСНОЯРСК)")</f>
        <v>ФГБУ "ФЦССХ" МИНЗДРАВА РОССИИ (Г. КРАСНОЯРСК)</v>
      </c>
      <c r="B16486" s="24" t="s">
        <v>13049</v>
      </c>
      <c r="C16486" s="25">
        <v>226400</v>
      </c>
      <c r="D16486" s="22" t="s">
        <v>18965</v>
      </c>
      <c r="E16486" s="22" t="s">
        <v>208</v>
      </c>
      <c r="F16486" s="23" t="str">
        <f>HYPERLINK("https://www.spark-marketing.ru/Card/Lot/67523199", "На право заключения контракта на поставку комплектующих для системы  палатной сигнализации Ackermann clino, имеющейся у Заказчика")</f>
        <v>На право заключения контракта на поставку комплектующих для системы  палатной сигнализации Ackermann clino, имеющейся у Заказчика</v>
      </c>
      <c r="G16486" s="22" t="s">
        <v>640</v>
      </c>
      <c r="H16486" s="22" t="s">
        <v>640</v>
      </c>
      <c r="I16486" s="26">
        <v>43494</v>
      </c>
      <c r="J16486" s="28" t="s">
        <v>52</v>
      </c>
      <c r="K16486" s="28" t="s">
        <v>52</v>
      </c>
      <c r="L16486" s="28" t="s">
        <v>52</v>
      </c>
      <c r="M16486" s="28" t="s">
        <v>52</v>
      </c>
      <c r="N16486" s="28" t="s">
        <v>52</v>
      </c>
    </row>
    <row r="16487" spans="1:14" x14ac:dyDescent="0.15">
      <c r="A16487" s="23" t="str">
        <f>HYPERLINK("https://www.spark-marketing.ru/Card/Person/20910", "АДМИНИСТРАЦИЯ ШАРЫПОВСКОГО РАЙОНА")</f>
        <v>АДМИНИСТРАЦИЯ ШАРЫПОВСКОГО РАЙОНА</v>
      </c>
      <c r="B16487" s="24" t="s">
        <v>18966</v>
      </c>
      <c r="C16487" s="25">
        <v>25823.3</v>
      </c>
      <c r="D16487" s="22" t="s">
        <v>18967</v>
      </c>
      <c r="E16487" s="22" t="s">
        <v>68</v>
      </c>
      <c r="F16487" s="23" t="str">
        <f>HYPERLINK("https://www.spark-marketing.ru/Card/Lot/67526953", "Оказание услуг по организации и обеспечению охраны здания администрации Шарыповского района (централизованная охрана объекта).")</f>
        <v>Оказание услуг по организации и обеспечению охраны здания администрации Шарыповского района (централизованная охрана объекта).</v>
      </c>
      <c r="G16487" s="22" t="s">
        <v>640</v>
      </c>
      <c r="H16487" s="22" t="s">
        <v>18968</v>
      </c>
      <c r="I16487" s="26">
        <v>43494</v>
      </c>
      <c r="J16487" s="23" t="str">
        <f>HYPERLINK("https://www.spark-marketing.ru/Card/Person/216841", "ООО ЧОО ""ТАМЕРЛАН""")</f>
        <v>ООО ЧОО "ТАМЕРЛАН"</v>
      </c>
      <c r="K16487" s="24" t="s">
        <v>13532</v>
      </c>
      <c r="L16487" s="28" t="s">
        <v>52</v>
      </c>
      <c r="M16487" s="28" t="s">
        <v>52</v>
      </c>
      <c r="N16487" s="28" t="s">
        <v>52</v>
      </c>
    </row>
    <row r="16488" spans="1:14" ht="12.75" hidden="1" outlineLevel="1" x14ac:dyDescent="0.2">
      <c r="A16488" s="23" t="str">
        <f>HYPERLINK("https://www.spark-marketing.ru/Card/Person/20910", "АДМИНИСТРАЦИЯ ШАРЫПОВСКОГО РАЙОНА")</f>
        <v>АДМИНИСТРАЦИЯ ШАРЫПОВСКОГО РАЙОНА</v>
      </c>
      <c r="B16488" s="24" t="s">
        <v>18966</v>
      </c>
      <c r="C16488" s="25">
        <v>25823.3</v>
      </c>
      <c r="D16488" s="22" t="s">
        <v>18967</v>
      </c>
      <c r="E16488" s="22" t="s">
        <v>68</v>
      </c>
      <c r="F16488" s="23" t="str">
        <f>HYPERLINK("https://www.spark-marketing.ru/Card/Lot/67526953", "Оказание услуг по организации и обеспечению охраны здания администрации Шарыповского района (централизованная охрана объекта).")</f>
        <v>Оказание услуг по организации и обеспечению охраны здания администрации Шарыповского района (централизованная охрана объекта).</v>
      </c>
      <c r="G16488" s="22" t="s">
        <v>640</v>
      </c>
      <c r="H16488" s="22" t="s">
        <v>18968</v>
      </c>
      <c r="I16488" s="26">
        <v>43494</v>
      </c>
      <c r="J16488" s="23" t="str">
        <f>HYPERLINK("https://www.spark-marketing.ru/Card/Person/216841", "ООО ЧОО ""ТАМЕРЛАН""")</f>
        <v>ООО ЧОО "ТАМЕРЛАН"</v>
      </c>
      <c r="K16488" s="24" t="s">
        <v>13532</v>
      </c>
      <c r="L16488" s="22" t="s">
        <v>10</v>
      </c>
      <c r="M16488" s="25">
        <v>25694.18</v>
      </c>
      <c r="N16488" s="27">
        <v>5.0001355365116001E-3</v>
      </c>
    </row>
    <row r="16489" spans="1:14" x14ac:dyDescent="0.15">
      <c r="A16489" s="23" t="str">
        <f t="shared" ref="A16489:A16499" si="849">HYPERLINK("https://www.spark-marketing.ru/Card/Person/1848862", "МБОУ СШ П. ПЕТРОВСКИЙ")</f>
        <v>МБОУ СШ П. ПЕТРОВСКИЙ</v>
      </c>
      <c r="B16489" s="24" t="s">
        <v>18969</v>
      </c>
      <c r="C16489" s="25">
        <v>143812.41</v>
      </c>
      <c r="D16489" s="22" t="s">
        <v>18970</v>
      </c>
      <c r="E16489" s="22" t="s">
        <v>59</v>
      </c>
      <c r="F16489" s="23" t="str">
        <f t="shared" ref="F16489:F16499" si="850">HYPERLINK("https://www.spark-marketing.ru/Card/Lot/67522428", "Установка системы видеонаблюдения для МБОУ СШ п.Петровский")</f>
        <v>Установка системы видеонаблюдения для МБОУ СШ п.Петровский</v>
      </c>
      <c r="G16489" s="22" t="s">
        <v>629</v>
      </c>
      <c r="H16489" s="22" t="s">
        <v>18971</v>
      </c>
      <c r="I16489" s="26">
        <v>43494</v>
      </c>
      <c r="J16489" s="28" t="s">
        <v>52</v>
      </c>
      <c r="K16489" s="28" t="s">
        <v>52</v>
      </c>
      <c r="L16489" s="28" t="s">
        <v>52</v>
      </c>
      <c r="M16489" s="28" t="s">
        <v>52</v>
      </c>
      <c r="N16489" s="28" t="s">
        <v>52</v>
      </c>
    </row>
    <row r="16490" spans="1:14" hidden="1" outlineLevel="1" x14ac:dyDescent="0.2">
      <c r="A16490" s="23" t="str">
        <f t="shared" si="849"/>
        <v>МБОУ СШ П. ПЕТРОВСКИЙ</v>
      </c>
      <c r="B16490" s="24" t="s">
        <v>18969</v>
      </c>
      <c r="C16490" s="25">
        <v>143812.41</v>
      </c>
      <c r="D16490" s="22" t="s">
        <v>18970</v>
      </c>
      <c r="E16490" s="22" t="s">
        <v>59</v>
      </c>
      <c r="F16490" s="23" t="str">
        <f t="shared" si="850"/>
        <v>Установка системы видеонаблюдения для МБОУ СШ п.Петровский</v>
      </c>
      <c r="G16490" s="22" t="s">
        <v>629</v>
      </c>
      <c r="H16490" s="22" t="s">
        <v>18971</v>
      </c>
      <c r="I16490" s="26">
        <v>43494</v>
      </c>
      <c r="J16490" s="23" t="str">
        <f>HYPERLINK("https://www.spark-marketing.ru/Card/Person/515166", "ООО ""ФАКТОР БЕЗОПАСНОСТИ""")</f>
        <v>ООО "ФАКТОР БЕЗОПАСНОСТИ"</v>
      </c>
      <c r="K16490" s="24" t="s">
        <v>18972</v>
      </c>
      <c r="L16490" s="28" t="s">
        <v>52</v>
      </c>
      <c r="M16490" s="25">
        <v>104403.82</v>
      </c>
      <c r="N16490" s="27">
        <v>0.27402774211210285</v>
      </c>
    </row>
    <row r="16491" spans="1:14" hidden="1" outlineLevel="1" x14ac:dyDescent="0.2">
      <c r="A16491" s="23" t="str">
        <f t="shared" si="849"/>
        <v>МБОУ СШ П. ПЕТРОВСКИЙ</v>
      </c>
      <c r="B16491" s="24" t="s">
        <v>18969</v>
      </c>
      <c r="C16491" s="25">
        <v>143812.41</v>
      </c>
      <c r="D16491" s="22" t="s">
        <v>18970</v>
      </c>
      <c r="E16491" s="22" t="s">
        <v>59</v>
      </c>
      <c r="F16491" s="23" t="str">
        <f t="shared" si="850"/>
        <v>Установка системы видеонаблюдения для МБОУ СШ п.Петровский</v>
      </c>
      <c r="G16491" s="22" t="s">
        <v>629</v>
      </c>
      <c r="H16491" s="22" t="s">
        <v>18971</v>
      </c>
      <c r="I16491" s="26">
        <v>43494</v>
      </c>
      <c r="J16491" s="23" t="str">
        <f>HYPERLINK("https://www.spark-marketing.ru/Card/Person/6442667", "ООО ""ОПЛОТ""")</f>
        <v>ООО "ОПЛОТ"</v>
      </c>
      <c r="K16491" s="24" t="s">
        <v>18973</v>
      </c>
      <c r="L16491" s="28" t="s">
        <v>52</v>
      </c>
      <c r="M16491" s="25">
        <v>87865.44</v>
      </c>
      <c r="N16491" s="27">
        <v>0.38902741425444437</v>
      </c>
    </row>
    <row r="16492" spans="1:14" hidden="1" outlineLevel="1" x14ac:dyDescent="0.2">
      <c r="A16492" s="23" t="str">
        <f t="shared" si="849"/>
        <v>МБОУ СШ П. ПЕТРОВСКИЙ</v>
      </c>
      <c r="B16492" s="24" t="s">
        <v>18969</v>
      </c>
      <c r="C16492" s="25">
        <v>143812.41</v>
      </c>
      <c r="D16492" s="22" t="s">
        <v>18970</v>
      </c>
      <c r="E16492" s="22" t="s">
        <v>59</v>
      </c>
      <c r="F16492" s="23" t="str">
        <f t="shared" si="850"/>
        <v>Установка системы видеонаблюдения для МБОУ СШ п.Петровский</v>
      </c>
      <c r="G16492" s="22" t="s">
        <v>629</v>
      </c>
      <c r="H16492" s="22" t="s">
        <v>18971</v>
      </c>
      <c r="I16492" s="26">
        <v>43494</v>
      </c>
      <c r="J16492" s="23" t="str">
        <f>HYPERLINK("https://www.spark-marketing.ru/Card/Person/4962434", "ООО ""СБ РНД""")</f>
        <v>ООО "СБ РНД"</v>
      </c>
      <c r="K16492" s="24" t="s">
        <v>4613</v>
      </c>
      <c r="L16492" s="28" t="s">
        <v>52</v>
      </c>
      <c r="M16492" s="25">
        <v>66403.759999999995</v>
      </c>
      <c r="N16492" s="27">
        <v>0.53826126688232256</v>
      </c>
    </row>
    <row r="16493" spans="1:14" hidden="1" outlineLevel="1" x14ac:dyDescent="0.2">
      <c r="A16493" s="23" t="str">
        <f t="shared" si="849"/>
        <v>МБОУ СШ П. ПЕТРОВСКИЙ</v>
      </c>
      <c r="B16493" s="24" t="s">
        <v>18969</v>
      </c>
      <c r="C16493" s="25">
        <v>143812.41</v>
      </c>
      <c r="D16493" s="22" t="s">
        <v>18970</v>
      </c>
      <c r="E16493" s="22" t="s">
        <v>59</v>
      </c>
      <c r="F16493" s="23" t="str">
        <f t="shared" si="850"/>
        <v>Установка системы видеонаблюдения для МБОУ СШ п.Петровский</v>
      </c>
      <c r="G16493" s="22" t="s">
        <v>629</v>
      </c>
      <c r="H16493" s="22" t="s">
        <v>18971</v>
      </c>
      <c r="I16493" s="26">
        <v>43494</v>
      </c>
      <c r="J16493" s="23" t="str">
        <f>HYPERLINK("https://www.spark-marketing.ru/Card/Person/6364323", "ООО ""АТЛАС""")</f>
        <v>ООО "АТЛАС"</v>
      </c>
      <c r="K16493" s="24" t="s">
        <v>18974</v>
      </c>
      <c r="L16493" s="28" t="s">
        <v>52</v>
      </c>
      <c r="M16493" s="25">
        <v>120000</v>
      </c>
      <c r="N16493" s="27">
        <v>0.16557966033668445</v>
      </c>
    </row>
    <row r="16494" spans="1:14" hidden="1" outlineLevel="1" x14ac:dyDescent="0.2">
      <c r="A16494" s="23" t="str">
        <f t="shared" si="849"/>
        <v>МБОУ СШ П. ПЕТРОВСКИЙ</v>
      </c>
      <c r="B16494" s="24" t="s">
        <v>18969</v>
      </c>
      <c r="C16494" s="25">
        <v>143812.41</v>
      </c>
      <c r="D16494" s="22" t="s">
        <v>18970</v>
      </c>
      <c r="E16494" s="22" t="s">
        <v>59</v>
      </c>
      <c r="F16494" s="23" t="str">
        <f t="shared" si="850"/>
        <v>Установка системы видеонаблюдения для МБОУ СШ п.Петровский</v>
      </c>
      <c r="G16494" s="22" t="s">
        <v>629</v>
      </c>
      <c r="H16494" s="22" t="s">
        <v>18971</v>
      </c>
      <c r="I16494" s="26">
        <v>43494</v>
      </c>
      <c r="J16494" s="23" t="str">
        <f>HYPERLINK("https://www.spark-marketing.ru/Card/Person/4343455", "ООО ""ДЕЛК""")</f>
        <v>ООО "ДЕЛК"</v>
      </c>
      <c r="K16494" s="24" t="s">
        <v>18975</v>
      </c>
      <c r="L16494" s="28" t="s">
        <v>52</v>
      </c>
      <c r="M16494" s="25">
        <v>118280.94</v>
      </c>
      <c r="N16494" s="27">
        <v>0.17753314891253127</v>
      </c>
    </row>
    <row r="16495" spans="1:14" hidden="1" outlineLevel="1" x14ac:dyDescent="0.2">
      <c r="A16495" s="23" t="str">
        <f t="shared" si="849"/>
        <v>МБОУ СШ П. ПЕТРОВСКИЙ</v>
      </c>
      <c r="B16495" s="24" t="s">
        <v>18969</v>
      </c>
      <c r="C16495" s="25">
        <v>143812.41</v>
      </c>
      <c r="D16495" s="22" t="s">
        <v>18970</v>
      </c>
      <c r="E16495" s="22" t="s">
        <v>59</v>
      </c>
      <c r="F16495" s="23" t="str">
        <f t="shared" si="850"/>
        <v>Установка системы видеонаблюдения для МБОУ СШ п.Петровский</v>
      </c>
      <c r="G16495" s="22" t="s">
        <v>629</v>
      </c>
      <c r="H16495" s="22" t="s">
        <v>18971</v>
      </c>
      <c r="I16495" s="26">
        <v>43494</v>
      </c>
      <c r="J16495" s="23" t="str">
        <f>HYPERLINK("https://www.spark-marketing.ru/Card/Person/842193", "ООО ""МАТАДОР""")</f>
        <v>ООО "МАТАДОР"</v>
      </c>
      <c r="K16495" s="24" t="s">
        <v>18976</v>
      </c>
      <c r="L16495" s="28" t="s">
        <v>52</v>
      </c>
      <c r="M16495" s="25">
        <v>96494.16</v>
      </c>
      <c r="N16495" s="27">
        <v>0.32902758531061399</v>
      </c>
    </row>
    <row r="16496" spans="1:14" hidden="1" outlineLevel="1" x14ac:dyDescent="0.2">
      <c r="A16496" s="23" t="str">
        <f t="shared" si="849"/>
        <v>МБОУ СШ П. ПЕТРОВСКИЙ</v>
      </c>
      <c r="B16496" s="24" t="s">
        <v>18969</v>
      </c>
      <c r="C16496" s="25">
        <v>143812.41</v>
      </c>
      <c r="D16496" s="22" t="s">
        <v>18970</v>
      </c>
      <c r="E16496" s="22" t="s">
        <v>59</v>
      </c>
      <c r="F16496" s="23" t="str">
        <f t="shared" si="850"/>
        <v>Установка системы видеонаблюдения для МБОУ СШ п.Петровский</v>
      </c>
      <c r="G16496" s="22" t="s">
        <v>629</v>
      </c>
      <c r="H16496" s="22" t="s">
        <v>18971</v>
      </c>
      <c r="I16496" s="26">
        <v>43494</v>
      </c>
      <c r="J16496" s="23" t="str">
        <f>HYPERLINK("https://www.spark-marketing.ru/Card/Person/4721782", "ООО ""СВ-ГРУПП""")</f>
        <v>ООО "СВ-ГРУПП"</v>
      </c>
      <c r="K16496" s="24" t="s">
        <v>18662</v>
      </c>
      <c r="L16496" s="28" t="s">
        <v>52</v>
      </c>
      <c r="M16496" s="25">
        <v>102965.7</v>
      </c>
      <c r="N16496" s="27">
        <v>0.28402771360274126</v>
      </c>
    </row>
    <row r="16497" spans="1:14" hidden="1" outlineLevel="1" x14ac:dyDescent="0.2">
      <c r="A16497" s="23" t="str">
        <f t="shared" si="849"/>
        <v>МБОУ СШ П. ПЕТРОВСКИЙ</v>
      </c>
      <c r="B16497" s="24" t="s">
        <v>18969</v>
      </c>
      <c r="C16497" s="25">
        <v>143812.41</v>
      </c>
      <c r="D16497" s="22" t="s">
        <v>18970</v>
      </c>
      <c r="E16497" s="22" t="s">
        <v>59</v>
      </c>
      <c r="F16497" s="23" t="str">
        <f t="shared" si="850"/>
        <v>Установка системы видеонаблюдения для МБОУ СШ п.Петровский</v>
      </c>
      <c r="G16497" s="22" t="s">
        <v>629</v>
      </c>
      <c r="H16497" s="22" t="s">
        <v>18971</v>
      </c>
      <c r="I16497" s="26">
        <v>43494</v>
      </c>
      <c r="J16497" s="23" t="str">
        <f>HYPERLINK("https://www.spark-marketing.ru/Card/Person/575183", "ООО ""СИСТЕМЫ БЕЗОПАСНОСТИ""")</f>
        <v>ООО "СИСТЕМЫ БЕЗОПАСНОСТИ"</v>
      </c>
      <c r="K16497" s="24" t="s">
        <v>18977</v>
      </c>
      <c r="L16497" s="28" t="s">
        <v>52</v>
      </c>
      <c r="M16497" s="25">
        <v>106561</v>
      </c>
      <c r="N16497" s="27">
        <v>0.25902778487614525</v>
      </c>
    </row>
    <row r="16498" spans="1:14" ht="12.75" hidden="1" outlineLevel="1" x14ac:dyDescent="0.2">
      <c r="A16498" s="23" t="str">
        <f t="shared" si="849"/>
        <v>МБОУ СШ П. ПЕТРОВСКИЙ</v>
      </c>
      <c r="B16498" s="24" t="s">
        <v>18969</v>
      </c>
      <c r="C16498" s="25">
        <v>143812.41</v>
      </c>
      <c r="D16498" s="22" t="s">
        <v>18970</v>
      </c>
      <c r="E16498" s="22" t="s">
        <v>59</v>
      </c>
      <c r="F16498" s="23" t="str">
        <f t="shared" si="850"/>
        <v>Установка системы видеонаблюдения для МБОУ СШ п.Петровский</v>
      </c>
      <c r="G16498" s="22" t="s">
        <v>629</v>
      </c>
      <c r="H16498" s="22" t="s">
        <v>18971</v>
      </c>
      <c r="I16498" s="26">
        <v>43494</v>
      </c>
      <c r="J16498" s="23" t="str">
        <f>HYPERLINK("https://www.spark-marketing.ru/Card/Person/18883", "ООО ""БЭКСТР""")</f>
        <v>ООО "БЭКСТР"</v>
      </c>
      <c r="K16498" s="24" t="s">
        <v>9050</v>
      </c>
      <c r="L16498" s="22" t="s">
        <v>10</v>
      </c>
      <c r="M16498" s="25">
        <v>65684.7</v>
      </c>
      <c r="N16498" s="27">
        <v>0.5432612526276418</v>
      </c>
    </row>
    <row r="16499" spans="1:14" hidden="1" outlineLevel="1" x14ac:dyDescent="0.2">
      <c r="A16499" s="23" t="str">
        <f t="shared" si="849"/>
        <v>МБОУ СШ П. ПЕТРОВСКИЙ</v>
      </c>
      <c r="B16499" s="24" t="s">
        <v>18969</v>
      </c>
      <c r="C16499" s="25">
        <v>143812.41</v>
      </c>
      <c r="D16499" s="22" t="s">
        <v>18970</v>
      </c>
      <c r="E16499" s="22" t="s">
        <v>59</v>
      </c>
      <c r="F16499" s="23" t="str">
        <f t="shared" si="850"/>
        <v>Установка системы видеонаблюдения для МБОУ СШ п.Петровский</v>
      </c>
      <c r="G16499" s="22" t="s">
        <v>629</v>
      </c>
      <c r="H16499" s="22" t="s">
        <v>18971</v>
      </c>
      <c r="I16499" s="26">
        <v>43494</v>
      </c>
      <c r="J16499" s="23" t="str">
        <f>HYPERLINK("https://www.spark-marketing.ru/Card/Person/6324178", "ООО ""НИКС СЕРВИС""")</f>
        <v>ООО "НИКС СЕРВИС"</v>
      </c>
      <c r="K16499" s="24" t="s">
        <v>18978</v>
      </c>
      <c r="L16499" s="28" t="s">
        <v>52</v>
      </c>
      <c r="M16499" s="25">
        <v>70000</v>
      </c>
      <c r="N16499" s="27">
        <v>0.51325480186306593</v>
      </c>
    </row>
    <row r="16500" spans="1:14" x14ac:dyDescent="0.2">
      <c r="A16500" s="23" t="str">
        <f>HYPERLINK("https://www.spark-marketing.ru/Card/Person/134955", "МЕЖРАЙОННАЯ ИФНС РОССИИ № 3 ПО РЕСПУБЛИКЕ САХА (ЯКУТИЯ)")</f>
        <v>МЕЖРАЙОННАЯ ИФНС РОССИИ № 3 ПО РЕСПУБЛИКЕ САХА (ЯКУТИЯ)</v>
      </c>
      <c r="B16500" s="24" t="s">
        <v>10692</v>
      </c>
      <c r="C16500" s="25">
        <v>35093.519999999997</v>
      </c>
      <c r="D16500" s="22" t="s">
        <v>18979</v>
      </c>
      <c r="E16500" s="22" t="s">
        <v>68</v>
      </c>
      <c r="F16500" s="23" t="str">
        <f>HYPERLINK("https://www.spark-marketing.ru/Card/Lot/67513793", "Охрана объектов с помощью ПЦН (Нюрба)")</f>
        <v>Охрана объектов с помощью ПЦН (Нюрба)</v>
      </c>
      <c r="G16500" s="22" t="s">
        <v>424</v>
      </c>
      <c r="H16500" s="22" t="s">
        <v>10805</v>
      </c>
      <c r="I16500" s="26">
        <v>43494</v>
      </c>
      <c r="J16500" s="23" t="str">
        <f>HYPERLINK("https://www.spark-marketing.ru/Card/Person/6493444", "ОВО ПО НЮРБИНСКОМУ РН ФЛ ФГКУ УВО ВНГ РОССИИ ПО РС")</f>
        <v>ОВО ПО НЮРБИНСКОМУ РН ФЛ ФГКУ УВО ВНГ РОССИИ ПО РС</v>
      </c>
      <c r="K16500" s="24" t="s">
        <v>5272</v>
      </c>
      <c r="L16500" s="28" t="s">
        <v>52</v>
      </c>
      <c r="M16500" s="25">
        <v>35093.93</v>
      </c>
      <c r="N16500" s="27">
        <v>-1.168306855510647E-5</v>
      </c>
    </row>
    <row r="16501" spans="1:14" x14ac:dyDescent="0.15">
      <c r="A16501" s="23" t="str">
        <f>HYPERLINK("https://www.spark-marketing.ru/Card/Person/135144", "МЕЖРАЙОННАЯ ИФНС РОССИИ № 3 ПО РЕСПУБЛИКЕ СЕВЕРНАЯ ОСЕТИЯ - АЛАНИЯ")</f>
        <v>МЕЖРАЙОННАЯ ИФНС РОССИИ № 3 ПО РЕСПУБЛИКЕ СЕВЕРНАЯ ОСЕТИЯ - АЛАНИЯ</v>
      </c>
      <c r="B16501" s="24" t="s">
        <v>18980</v>
      </c>
      <c r="C16501" s="25">
        <v>77438.399999999994</v>
      </c>
      <c r="D16501" s="22" t="s">
        <v>18981</v>
      </c>
      <c r="E16501" s="22" t="s">
        <v>68</v>
      </c>
      <c r="F16501" s="23" t="str">
        <f>HYPERLINK("https://www.spark-marketing.ru/Card/Lot/67516560", "Оказание услуг охраны с помощью кнопки тревожной сигнализации")</f>
        <v>Оказание услуг охраны с помощью кнопки тревожной сигнализации</v>
      </c>
      <c r="G16501" s="22" t="s">
        <v>833</v>
      </c>
      <c r="H16501" s="22" t="s">
        <v>833</v>
      </c>
      <c r="I16501" s="26">
        <v>43494</v>
      </c>
      <c r="J16501" s="28" t="s">
        <v>52</v>
      </c>
      <c r="K16501" s="28" t="s">
        <v>52</v>
      </c>
      <c r="L16501" s="28" t="s">
        <v>52</v>
      </c>
      <c r="M16501" s="28" t="s">
        <v>52</v>
      </c>
      <c r="N16501" s="28" t="s">
        <v>52</v>
      </c>
    </row>
    <row r="16502" spans="1:14" x14ac:dyDescent="0.15">
      <c r="A16502" s="23" t="str">
        <f>HYPERLINK("https://www.spark-marketing.ru/Card/Person/2929", "УПРАВЛЕНИЕ ГОРОДСКОГО ХОЗЯЙСТВА АДМИНИСТРАЦИИ ГОРОДА КОВРОВА")</f>
        <v>УПРАВЛЕНИЕ ГОРОДСКОГО ХОЗЯЙСТВА АДМИНИСТРАЦИИ ГОРОДА КОВРОВА</v>
      </c>
      <c r="B16502" s="24" t="s">
        <v>18982</v>
      </c>
      <c r="C16502" s="25">
        <v>285930</v>
      </c>
      <c r="D16502" s="22" t="s">
        <v>18983</v>
      </c>
      <c r="E16502" s="22" t="s">
        <v>59</v>
      </c>
      <c r="F16502" s="23" t="str">
        <f>HYPERLINK("https://www.spark-marketing.ru/Card/Lot/67541113", "Выполнение работ по модернизации светофорного объекта с установкой пешеходных светофоров  на пересечении ул. Ватутина - ул. Чкалова")</f>
        <v>Выполнение работ по модернизации светофорного объекта с установкой пешеходных светофоров  на пересечении ул. Ватутина - ул. Чкалова</v>
      </c>
      <c r="G16502" s="22" t="s">
        <v>145</v>
      </c>
      <c r="H16502" s="22" t="s">
        <v>18984</v>
      </c>
      <c r="I16502" s="26">
        <v>43494</v>
      </c>
      <c r="J16502" s="28" t="s">
        <v>52</v>
      </c>
      <c r="K16502" s="28" t="s">
        <v>52</v>
      </c>
      <c r="L16502" s="28" t="s">
        <v>52</v>
      </c>
      <c r="M16502" s="28" t="s">
        <v>52</v>
      </c>
      <c r="N16502" s="28" t="s">
        <v>52</v>
      </c>
    </row>
    <row r="16503" spans="1:14" ht="12.75" hidden="1" outlineLevel="1" x14ac:dyDescent="0.2">
      <c r="A16503" s="23" t="str">
        <f>HYPERLINK("https://www.spark-marketing.ru/Card/Person/2929", "УПРАВЛЕНИЕ ГОРОДСКОГО ХОЗЯЙСТВА АДМИНИСТРАЦИИ ГОРОДА КОВРОВА")</f>
        <v>УПРАВЛЕНИЕ ГОРОДСКОГО ХОЗЯЙСТВА АДМИНИСТРАЦИИ ГОРОДА КОВРОВА</v>
      </c>
      <c r="B16503" s="24" t="s">
        <v>18982</v>
      </c>
      <c r="C16503" s="25">
        <v>285930</v>
      </c>
      <c r="D16503" s="22" t="s">
        <v>18983</v>
      </c>
      <c r="E16503" s="22" t="s">
        <v>59</v>
      </c>
      <c r="F16503" s="23" t="str">
        <f>HYPERLINK("https://www.spark-marketing.ru/Card/Lot/67541113", "Выполнение работ по модернизации светофорного объекта с установкой пешеходных светофоров  на пересечении ул. Ватутина - ул. Чкалова")</f>
        <v>Выполнение работ по модернизации светофорного объекта с установкой пешеходных светофоров  на пересечении ул. Ватутина - ул. Чкалова</v>
      </c>
      <c r="G16503" s="22" t="s">
        <v>145</v>
      </c>
      <c r="H16503" s="22" t="s">
        <v>18984</v>
      </c>
      <c r="I16503" s="26">
        <v>43494</v>
      </c>
      <c r="J16503" s="23" t="str">
        <f>HYPERLINK("https://www.spark-marketing.ru/Card/Person/6171263", "ООО ""МЕРКУРИЙ""")</f>
        <v>ООО "МЕРКУРИЙ"</v>
      </c>
      <c r="K16503" s="24" t="s">
        <v>6070</v>
      </c>
      <c r="L16503" s="22" t="s">
        <v>10</v>
      </c>
      <c r="M16503" s="25">
        <v>230173.65</v>
      </c>
      <c r="N16503" s="27">
        <v>0.19500000000000001</v>
      </c>
    </row>
    <row r="16504" spans="1:14" hidden="1" outlineLevel="1" x14ac:dyDescent="0.2">
      <c r="A16504" s="23" t="str">
        <f>HYPERLINK("https://www.spark-marketing.ru/Card/Person/2929", "УПРАВЛЕНИЕ ГОРОДСКОГО ХОЗЯЙСТВА АДМИНИСТРАЦИИ ГОРОДА КОВРОВА")</f>
        <v>УПРАВЛЕНИЕ ГОРОДСКОГО ХОЗЯЙСТВА АДМИНИСТРАЦИИ ГОРОДА КОВРОВА</v>
      </c>
      <c r="B16504" s="24" t="s">
        <v>18982</v>
      </c>
      <c r="C16504" s="25">
        <v>285930</v>
      </c>
      <c r="D16504" s="22" t="s">
        <v>18983</v>
      </c>
      <c r="E16504" s="22" t="s">
        <v>59</v>
      </c>
      <c r="F16504" s="23" t="str">
        <f>HYPERLINK("https://www.spark-marketing.ru/Card/Lot/67541113", "Выполнение работ по модернизации светофорного объекта с установкой пешеходных светофоров  на пересечении ул. Ватутина - ул. Чкалова")</f>
        <v>Выполнение работ по модернизации светофорного объекта с установкой пешеходных светофоров  на пересечении ул. Ватутина - ул. Чкалова</v>
      </c>
      <c r="G16504" s="22" t="s">
        <v>145</v>
      </c>
      <c r="H16504" s="22" t="s">
        <v>18984</v>
      </c>
      <c r="I16504" s="26">
        <v>43494</v>
      </c>
      <c r="J16504" s="23" t="str">
        <f>HYPERLINK("https://www.spark-marketing.ru/Card/Person/2006746", "ООО ""ДОРЗНАК КОВРОВ""")</f>
        <v>ООО "ДОРЗНАК КОВРОВ"</v>
      </c>
      <c r="K16504" s="24" t="s">
        <v>18985</v>
      </c>
      <c r="L16504" s="28" t="s">
        <v>52</v>
      </c>
      <c r="M16504" s="25">
        <v>244470.15</v>
      </c>
      <c r="N16504" s="27">
        <v>0.14499999999999999</v>
      </c>
    </row>
    <row r="16505" spans="1:14" hidden="1" outlineLevel="1" x14ac:dyDescent="0.2">
      <c r="A16505" s="23" t="str">
        <f>HYPERLINK("https://www.spark-marketing.ru/Card/Person/2929", "УПРАВЛЕНИЕ ГОРОДСКОГО ХОЗЯЙСТВА АДМИНИСТРАЦИИ ГОРОДА КОВРОВА")</f>
        <v>УПРАВЛЕНИЕ ГОРОДСКОГО ХОЗЯЙСТВА АДМИНИСТРАЦИИ ГОРОДА КОВРОВА</v>
      </c>
      <c r="B16505" s="24" t="s">
        <v>18982</v>
      </c>
      <c r="C16505" s="25">
        <v>285930</v>
      </c>
      <c r="D16505" s="22" t="s">
        <v>18983</v>
      </c>
      <c r="E16505" s="22" t="s">
        <v>59</v>
      </c>
      <c r="F16505" s="23" t="str">
        <f>HYPERLINK("https://www.spark-marketing.ru/Card/Lot/67541113", "Выполнение работ по модернизации светофорного объекта с установкой пешеходных светофоров  на пересечении ул. Ватутина - ул. Чкалова")</f>
        <v>Выполнение работ по модернизации светофорного объекта с установкой пешеходных светофоров  на пересечении ул. Ватутина - ул. Чкалова</v>
      </c>
      <c r="G16505" s="22" t="s">
        <v>145</v>
      </c>
      <c r="H16505" s="22" t="s">
        <v>18984</v>
      </c>
      <c r="I16505" s="26">
        <v>43494</v>
      </c>
      <c r="J16505" s="23" t="str">
        <f>HYPERLINK("https://www.spark-marketing.ru/Card/Person/88710", "ООО ""СИГНАЛИЗАЦИЯ""")</f>
        <v>ООО "СИГНАЛИЗАЦИЯ"</v>
      </c>
      <c r="K16505" s="24" t="s">
        <v>1398</v>
      </c>
      <c r="L16505" s="28" t="s">
        <v>52</v>
      </c>
      <c r="M16505" s="25">
        <v>280211.40000000002</v>
      </c>
      <c r="N16505" s="27">
        <v>0.02</v>
      </c>
    </row>
    <row r="16506" spans="1:14" x14ac:dyDescent="0.15">
      <c r="A16506" s="23" t="str">
        <f>HYPERLINK("https://www.spark-marketing.ru/Card/Person/4343740", "МИНЗДРАВ РОССИИ")</f>
        <v>МИНЗДРАВ РОССИИ</v>
      </c>
      <c r="B16506" s="24" t="s">
        <v>1666</v>
      </c>
      <c r="C16506" s="25">
        <v>70709434.560000002</v>
      </c>
      <c r="D16506" s="22" t="s">
        <v>18986</v>
      </c>
      <c r="E16506" s="22" t="s">
        <v>53</v>
      </c>
      <c r="F16506" s="23" t="str">
        <f>HYPERLINK("https://www.spark-marketing.ru/Card/Lot/67541043", "Ларонидаза, концентрат для приготовления раствора для инфузий, 100 ЕД/мл, 5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f>
        <v>Ларонидаза, концентрат для приготовления раствора для инфузий, 100 ЕД/мл, 5 мл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v>
      </c>
      <c r="G16506" s="22" t="s">
        <v>55</v>
      </c>
      <c r="H16506" s="22" t="s">
        <v>55</v>
      </c>
      <c r="I16506" s="26">
        <v>43494</v>
      </c>
      <c r="J16506" s="23" t="str">
        <f>HYPERLINK("https://www.spark-marketing.ru/Card/Person/4345864", "АО ""Р-ФАРМ""")</f>
        <v>АО "Р-ФАРМ"</v>
      </c>
      <c r="K16506" s="24" t="s">
        <v>5343</v>
      </c>
      <c r="L16506" s="22" t="s">
        <v>10</v>
      </c>
      <c r="M16506" s="28" t="s">
        <v>52</v>
      </c>
      <c r="N16506" s="28" t="s">
        <v>52</v>
      </c>
    </row>
    <row r="16507" spans="1:14" x14ac:dyDescent="0.15">
      <c r="A16507" s="23" t="str">
        <f>HYPERLINK("https://www.spark-marketing.ru/Card/Person/536007", "ИФНС РОССИИ ПО Г. ТАМБОВУ")</f>
        <v>ИФНС РОССИИ ПО Г. ТАМБОВУ</v>
      </c>
      <c r="B16507" s="24" t="s">
        <v>18953</v>
      </c>
      <c r="C16507" s="25">
        <v>123612.48</v>
      </c>
      <c r="D16507" s="22" t="s">
        <v>18987</v>
      </c>
      <c r="E16507" s="22" t="s">
        <v>68</v>
      </c>
      <c r="F16507" s="23" t="str">
        <f>HYPERLINK("https://www.spark-marketing.ru/Card/Lot/67522746", "Услуги охраны по вызову с тревожной кнопки")</f>
        <v>Услуги охраны по вызову с тревожной кнопки</v>
      </c>
      <c r="G16507" s="22" t="s">
        <v>1319</v>
      </c>
      <c r="H16507" s="22" t="s">
        <v>1320</v>
      </c>
      <c r="I16507" s="26">
        <v>43494</v>
      </c>
      <c r="J16507" s="28" t="s">
        <v>52</v>
      </c>
      <c r="K16507" s="28" t="s">
        <v>52</v>
      </c>
      <c r="L16507" s="28" t="s">
        <v>52</v>
      </c>
      <c r="M16507" s="28" t="s">
        <v>52</v>
      </c>
      <c r="N16507" s="28" t="s">
        <v>52</v>
      </c>
    </row>
    <row r="16508" spans="1:14" x14ac:dyDescent="0.15">
      <c r="A16508" s="23" t="str">
        <f t="shared" ref="A16508:A16516" si="851">HYPERLINK("https://www.spark-marketing.ru/Card/Person/36409", "ГУ-ПСКОВСКОЕ РО ФОНДА СОЦИАЛЬНОГО СТРАХОВАНИЯ РОССИЙСКОЙ ФЕДЕРАЦИИ")</f>
        <v>ГУ-ПСКОВСКОЕ РО ФОНДА СОЦИАЛЬНОГО СТРАХОВАНИЯ РОССИЙСКОЙ ФЕДЕРАЦИИ</v>
      </c>
      <c r="B16508" s="24" t="s">
        <v>18988</v>
      </c>
      <c r="C16508" s="25">
        <v>56833.37</v>
      </c>
      <c r="D16508" s="22" t="s">
        <v>18989</v>
      </c>
      <c r="E16508" s="22" t="s">
        <v>103</v>
      </c>
      <c r="F16508" s="23" t="str">
        <f t="shared" ref="F16508:F16516" si="852">HYPERLINK("https://www.spark-marketing.ru/Card/Lot/67540693", "Техническое обслуживание систем видеонаблюдения")</f>
        <v>Техническое обслуживание систем видеонаблюдения</v>
      </c>
      <c r="G16508" s="22" t="s">
        <v>142</v>
      </c>
      <c r="H16508" s="22" t="s">
        <v>142</v>
      </c>
      <c r="I16508" s="26">
        <v>43494</v>
      </c>
      <c r="J16508" s="28" t="s">
        <v>52</v>
      </c>
      <c r="K16508" s="28" t="s">
        <v>52</v>
      </c>
      <c r="L16508" s="28" t="s">
        <v>52</v>
      </c>
      <c r="M16508" s="28" t="s">
        <v>52</v>
      </c>
      <c r="N16508" s="28" t="s">
        <v>52</v>
      </c>
    </row>
    <row r="16509" spans="1:14" hidden="1" outlineLevel="1" x14ac:dyDescent="0.2">
      <c r="A16509" s="23" t="str">
        <f t="shared" si="851"/>
        <v>ГУ-ПСКОВСКОЕ РО ФОНДА СОЦИАЛЬНОГО СТРАХОВАНИЯ РОССИЙСКОЙ ФЕДЕРАЦИИ</v>
      </c>
      <c r="B16509" s="24" t="s">
        <v>18988</v>
      </c>
      <c r="C16509" s="25">
        <v>56833.37</v>
      </c>
      <c r="D16509" s="22" t="s">
        <v>18989</v>
      </c>
      <c r="E16509" s="22" t="s">
        <v>103</v>
      </c>
      <c r="F16509" s="23" t="str">
        <f t="shared" si="852"/>
        <v>Техническое обслуживание систем видеонаблюдения</v>
      </c>
      <c r="G16509" s="22" t="s">
        <v>142</v>
      </c>
      <c r="H16509" s="22" t="s">
        <v>142</v>
      </c>
      <c r="I16509" s="26">
        <v>43494</v>
      </c>
      <c r="J16509" s="23" t="str">
        <f>HYPERLINK("https://www.spark-marketing.ru/Card/Person/1691635", "ООО ""ТРАНЗИТ-ТЕЛЕКОМ""")</f>
        <v>ООО "ТРАНЗИТ-ТЕЛЕКОМ"</v>
      </c>
      <c r="K16509" s="24" t="s">
        <v>11151</v>
      </c>
      <c r="L16509" s="28" t="s">
        <v>52</v>
      </c>
      <c r="M16509" s="25">
        <v>16500</v>
      </c>
      <c r="N16509" s="27">
        <v>0.70967760665960866</v>
      </c>
    </row>
    <row r="16510" spans="1:14" hidden="1" outlineLevel="1" x14ac:dyDescent="0.2">
      <c r="A16510" s="23" t="str">
        <f t="shared" si="851"/>
        <v>ГУ-ПСКОВСКОЕ РО ФОНДА СОЦИАЛЬНОГО СТРАХОВАНИЯ РОССИЙСКОЙ ФЕДЕРАЦИИ</v>
      </c>
      <c r="B16510" s="24" t="s">
        <v>18988</v>
      </c>
      <c r="C16510" s="25">
        <v>56833.37</v>
      </c>
      <c r="D16510" s="22" t="s">
        <v>18989</v>
      </c>
      <c r="E16510" s="22" t="s">
        <v>103</v>
      </c>
      <c r="F16510" s="23" t="str">
        <f t="shared" si="852"/>
        <v>Техническое обслуживание систем видеонаблюдения</v>
      </c>
      <c r="G16510" s="22" t="s">
        <v>142</v>
      </c>
      <c r="H16510" s="22" t="s">
        <v>142</v>
      </c>
      <c r="I16510" s="26">
        <v>43494</v>
      </c>
      <c r="J16510" s="23" t="str">
        <f>HYPERLINK("https://www.spark-marketing.ru/Card/Person/6080279", "ООО ""ОПС МОНТАЖ-СЕРВИС""")</f>
        <v>ООО "ОПС МОНТАЖ-СЕРВИС"</v>
      </c>
      <c r="K16510" s="24" t="s">
        <v>13903</v>
      </c>
      <c r="L16510" s="28" t="s">
        <v>52</v>
      </c>
      <c r="M16510" s="25">
        <v>20874.16</v>
      </c>
      <c r="N16510" s="27">
        <v>0.63271296423210521</v>
      </c>
    </row>
    <row r="16511" spans="1:14" ht="12.75" hidden="1" outlineLevel="1" x14ac:dyDescent="0.2">
      <c r="A16511" s="23" t="str">
        <f t="shared" si="851"/>
        <v>ГУ-ПСКОВСКОЕ РО ФОНДА СОЦИАЛЬНОГО СТРАХОВАНИЯ РОССИЙСКОЙ ФЕДЕРАЦИИ</v>
      </c>
      <c r="B16511" s="24" t="s">
        <v>18988</v>
      </c>
      <c r="C16511" s="25">
        <v>56833.37</v>
      </c>
      <c r="D16511" s="22" t="s">
        <v>18989</v>
      </c>
      <c r="E16511" s="22" t="s">
        <v>103</v>
      </c>
      <c r="F16511" s="23" t="str">
        <f t="shared" si="852"/>
        <v>Техническое обслуживание систем видеонаблюдения</v>
      </c>
      <c r="G16511" s="22" t="s">
        <v>142</v>
      </c>
      <c r="H16511" s="22" t="s">
        <v>142</v>
      </c>
      <c r="I16511" s="26">
        <v>43494</v>
      </c>
      <c r="J16511" s="23" t="str">
        <f>HYPERLINK("https://www.spark-marketing.ru/Card/Person/60023", "ООО ЧОО ""ЗАЩИТА И БЕЗОПАСНОСТЬ""")</f>
        <v>ООО ЧОО "ЗАЩИТА И БЕЗОПАСНОСТЬ"</v>
      </c>
      <c r="K16511" s="24" t="s">
        <v>18990</v>
      </c>
      <c r="L16511" s="22" t="s">
        <v>10</v>
      </c>
      <c r="M16511" s="25">
        <v>16199.99</v>
      </c>
      <c r="N16511" s="27">
        <v>0.71495637158239955</v>
      </c>
    </row>
    <row r="16512" spans="1:14" hidden="1" outlineLevel="1" x14ac:dyDescent="0.2">
      <c r="A16512" s="23" t="str">
        <f t="shared" si="851"/>
        <v>ГУ-ПСКОВСКОЕ РО ФОНДА СОЦИАЛЬНОГО СТРАХОВАНИЯ РОССИЙСКОЙ ФЕДЕРАЦИИ</v>
      </c>
      <c r="B16512" s="24" t="s">
        <v>18988</v>
      </c>
      <c r="C16512" s="25">
        <v>56833.37</v>
      </c>
      <c r="D16512" s="22" t="s">
        <v>18989</v>
      </c>
      <c r="E16512" s="22" t="s">
        <v>103</v>
      </c>
      <c r="F16512" s="23" t="str">
        <f t="shared" si="852"/>
        <v>Техническое обслуживание систем видеонаблюдения</v>
      </c>
      <c r="G16512" s="22" t="s">
        <v>142</v>
      </c>
      <c r="H16512" s="22" t="s">
        <v>142</v>
      </c>
      <c r="I16512" s="26">
        <v>43494</v>
      </c>
      <c r="J16512" s="23" t="str">
        <f>HYPERLINK("https://www.spark-marketing.ru/Card/Person/24340", "ООО ""ШАНС-ЭЛСВИ""")</f>
        <v>ООО "ШАНС-ЭЛСВИ"</v>
      </c>
      <c r="K16512" s="24" t="s">
        <v>18991</v>
      </c>
      <c r="L16512" s="28" t="s">
        <v>52</v>
      </c>
      <c r="M16512" s="25">
        <v>20874.16</v>
      </c>
      <c r="N16512" s="27">
        <v>0.63271296423210521</v>
      </c>
    </row>
    <row r="16513" spans="1:14" hidden="1" outlineLevel="1" x14ac:dyDescent="0.2">
      <c r="A16513" s="23" t="str">
        <f t="shared" si="851"/>
        <v>ГУ-ПСКОВСКОЕ РО ФОНДА СОЦИАЛЬНОГО СТРАХОВАНИЯ РОССИЙСКОЙ ФЕДЕРАЦИИ</v>
      </c>
      <c r="B16513" s="24" t="s">
        <v>18988</v>
      </c>
      <c r="C16513" s="25">
        <v>56833.37</v>
      </c>
      <c r="D16513" s="22" t="s">
        <v>18989</v>
      </c>
      <c r="E16513" s="22" t="s">
        <v>103</v>
      </c>
      <c r="F16513" s="23" t="str">
        <f t="shared" si="852"/>
        <v>Техническое обслуживание систем видеонаблюдения</v>
      </c>
      <c r="G16513" s="22" t="s">
        <v>142</v>
      </c>
      <c r="H16513" s="22" t="s">
        <v>142</v>
      </c>
      <c r="I16513" s="26">
        <v>43494</v>
      </c>
      <c r="J16513" s="23" t="str">
        <f>HYPERLINK("https://www.spark-marketing.ru/Card/Person/5790089", "ООО ""СКОРПИОН-ГРУПП""")</f>
        <v>ООО "СКОРПИОН-ГРУПП"</v>
      </c>
      <c r="K16513" s="24" t="s">
        <v>13901</v>
      </c>
      <c r="L16513" s="28" t="s">
        <v>52</v>
      </c>
      <c r="M16513" s="25">
        <v>43201.3</v>
      </c>
      <c r="N16513" s="27">
        <v>0.23986031445962117</v>
      </c>
    </row>
    <row r="16514" spans="1:14" hidden="1" outlineLevel="1" x14ac:dyDescent="0.2">
      <c r="A16514" s="23" t="str">
        <f t="shared" si="851"/>
        <v>ГУ-ПСКОВСКОЕ РО ФОНДА СОЦИАЛЬНОГО СТРАХОВАНИЯ РОССИЙСКОЙ ФЕДЕРАЦИИ</v>
      </c>
      <c r="B16514" s="24" t="s">
        <v>18988</v>
      </c>
      <c r="C16514" s="25">
        <v>56833.37</v>
      </c>
      <c r="D16514" s="22" t="s">
        <v>18989</v>
      </c>
      <c r="E16514" s="22" t="s">
        <v>103</v>
      </c>
      <c r="F16514" s="23" t="str">
        <f t="shared" si="852"/>
        <v>Техническое обслуживание систем видеонаблюдения</v>
      </c>
      <c r="G16514" s="22" t="s">
        <v>142</v>
      </c>
      <c r="H16514" s="22" t="s">
        <v>142</v>
      </c>
      <c r="I16514" s="26">
        <v>43494</v>
      </c>
      <c r="J16514" s="23" t="str">
        <f>HYPERLINK("https://www.spark-marketing.ru/Card/Person/779781", "ООО ЧОО ""ПРОФОХРАНА ПСКОВ""")</f>
        <v>ООО ЧОО "ПРОФОХРАНА ПСКОВ"</v>
      </c>
      <c r="K16514" s="24" t="s">
        <v>18992</v>
      </c>
      <c r="L16514" s="28" t="s">
        <v>52</v>
      </c>
      <c r="M16514" s="25">
        <v>45715.83</v>
      </c>
      <c r="N16514" s="27">
        <v>0.19561641338530514</v>
      </c>
    </row>
    <row r="16515" spans="1:14" hidden="1" outlineLevel="1" x14ac:dyDescent="0.2">
      <c r="A16515" s="23" t="str">
        <f t="shared" si="851"/>
        <v>ГУ-ПСКОВСКОЕ РО ФОНДА СОЦИАЛЬНОГО СТРАХОВАНИЯ РОССИЙСКОЙ ФЕДЕРАЦИИ</v>
      </c>
      <c r="B16515" s="24" t="s">
        <v>18988</v>
      </c>
      <c r="C16515" s="25">
        <v>56833.37</v>
      </c>
      <c r="D16515" s="22" t="s">
        <v>18989</v>
      </c>
      <c r="E16515" s="22" t="s">
        <v>103</v>
      </c>
      <c r="F16515" s="23" t="str">
        <f t="shared" si="852"/>
        <v>Техническое обслуживание систем видеонаблюдения</v>
      </c>
      <c r="G16515" s="22" t="s">
        <v>142</v>
      </c>
      <c r="H16515" s="22" t="s">
        <v>142</v>
      </c>
      <c r="I16515" s="26">
        <v>43494</v>
      </c>
      <c r="J16515" s="23" t="str">
        <f>HYPERLINK("https://www.spark-marketing.ru/Card/Person/86610", "ООО ""СИСТЕМНЫЕ РЕШЕНИЯ""")</f>
        <v>ООО "СИСТЕМНЫЕ РЕШЕНИЯ"</v>
      </c>
      <c r="K16515" s="24" t="s">
        <v>18993</v>
      </c>
      <c r="L16515" s="28" t="s">
        <v>52</v>
      </c>
      <c r="M16515" s="25">
        <v>46000</v>
      </c>
      <c r="N16515" s="27">
        <v>0.19061635796012097</v>
      </c>
    </row>
    <row r="16516" spans="1:14" hidden="1" outlineLevel="1" x14ac:dyDescent="0.2">
      <c r="A16516" s="23" t="str">
        <f t="shared" si="851"/>
        <v>ГУ-ПСКОВСКОЕ РО ФОНДА СОЦИАЛЬНОГО СТРАХОВАНИЯ РОССИЙСКОЙ ФЕДЕРАЦИИ</v>
      </c>
      <c r="B16516" s="24" t="s">
        <v>18988</v>
      </c>
      <c r="C16516" s="25">
        <v>56833.37</v>
      </c>
      <c r="D16516" s="22" t="s">
        <v>18989</v>
      </c>
      <c r="E16516" s="22" t="s">
        <v>103</v>
      </c>
      <c r="F16516" s="23" t="str">
        <f t="shared" si="852"/>
        <v>Техническое обслуживание систем видеонаблюдения</v>
      </c>
      <c r="G16516" s="22" t="s">
        <v>142</v>
      </c>
      <c r="H16516" s="22" t="s">
        <v>142</v>
      </c>
      <c r="I16516" s="26">
        <v>43494</v>
      </c>
      <c r="J16516" s="23" t="str">
        <f>HYPERLINK("https://www.spark-marketing.ru/Card/Person/16137", "ООО ""ПМЦ-ПСКОВ""")</f>
        <v>ООО "ПМЦ-ПСКОВ"</v>
      </c>
      <c r="K16516" s="24" t="s">
        <v>13905</v>
      </c>
      <c r="L16516" s="28" t="s">
        <v>52</v>
      </c>
      <c r="M16516" s="25">
        <v>56549.2</v>
      </c>
      <c r="N16516" s="27">
        <v>5.0000554251841828E-3</v>
      </c>
    </row>
    <row r="16517" spans="1:14" x14ac:dyDescent="0.15">
      <c r="A16517" s="23" t="str">
        <f>HYPERLINK("https://www.spark-marketing.ru/Card/Person/111090", "ГАУЗ ""ГОРОДСКАЯ БОЛЬНИЦА № 11""")</f>
        <v>ГАУЗ "ГОРОДСКАЯ БОЛЬНИЦА № 11"</v>
      </c>
      <c r="B16517" s="24" t="s">
        <v>18994</v>
      </c>
      <c r="C16517" s="25">
        <v>43283.83</v>
      </c>
      <c r="D16517" s="22" t="s">
        <v>18995</v>
      </c>
      <c r="E16517" s="22" t="s">
        <v>68</v>
      </c>
      <c r="F16517" s="23" t="str">
        <f>HYPERLINK("https://www.spark-marketing.ru/Card/Lot/67520189", "Оказание услуг охраны на 2019 год")</f>
        <v>Оказание услуг охраны на 2019 год</v>
      </c>
      <c r="G16517" s="22" t="s">
        <v>204</v>
      </c>
      <c r="H16517" s="22" t="s">
        <v>303</v>
      </c>
      <c r="I16517" s="26">
        <v>43494</v>
      </c>
      <c r="J16517" s="28" t="s">
        <v>52</v>
      </c>
      <c r="K16517" s="28" t="s">
        <v>52</v>
      </c>
      <c r="L16517" s="28" t="s">
        <v>52</v>
      </c>
      <c r="M16517" s="28" t="s">
        <v>52</v>
      </c>
      <c r="N16517" s="28" t="s">
        <v>52</v>
      </c>
    </row>
    <row r="16518" spans="1:14" ht="12.75" hidden="1" outlineLevel="1" x14ac:dyDescent="0.2">
      <c r="A16518" s="23" t="str">
        <f>HYPERLINK("https://www.spark-marketing.ru/Card/Person/111090", "ГАУЗ ""ГОРОДСКАЯ БОЛЬНИЦА № 11""")</f>
        <v>ГАУЗ "ГОРОДСКАЯ БОЛЬНИЦА № 11"</v>
      </c>
      <c r="B16518" s="24" t="s">
        <v>18994</v>
      </c>
      <c r="C16518" s="25">
        <v>43283.83</v>
      </c>
      <c r="D16518" s="22" t="s">
        <v>18995</v>
      </c>
      <c r="E16518" s="22" t="s">
        <v>68</v>
      </c>
      <c r="F16518" s="23" t="str">
        <f>HYPERLINK("https://www.spark-marketing.ru/Card/Lot/67520189", "Оказание услуг охраны на 2019 год")</f>
        <v>Оказание услуг охраны на 2019 год</v>
      </c>
      <c r="G16518" s="22" t="s">
        <v>204</v>
      </c>
      <c r="H16518" s="22" t="s">
        <v>303</v>
      </c>
      <c r="I16518" s="26">
        <v>43494</v>
      </c>
      <c r="J16518" s="23" t="str">
        <f>HYPERLINK("https://www.spark-marketing.ru/Card/Person/169658", "ООО ""ЧОП ""ЗАСЛОН-К""")</f>
        <v>ООО "ЧОП "ЗАСЛОН-К"</v>
      </c>
      <c r="K16518" s="24" t="s">
        <v>18996</v>
      </c>
      <c r="L16518" s="22" t="s">
        <v>10</v>
      </c>
      <c r="M16518" s="25">
        <v>17097.009999999998</v>
      </c>
      <c r="N16518" s="27">
        <v>0.60500237617604546</v>
      </c>
    </row>
    <row r="16519" spans="1:14" hidden="1" outlineLevel="1" x14ac:dyDescent="0.2">
      <c r="A16519" s="23" t="str">
        <f>HYPERLINK("https://www.spark-marketing.ru/Card/Person/111090", "ГАУЗ ""ГОРОДСКАЯ БОЛЬНИЦА № 11""")</f>
        <v>ГАУЗ "ГОРОДСКАЯ БОЛЬНИЦА № 11"</v>
      </c>
      <c r="B16519" s="24" t="s">
        <v>18994</v>
      </c>
      <c r="C16519" s="25">
        <v>43283.83</v>
      </c>
      <c r="D16519" s="22" t="s">
        <v>18995</v>
      </c>
      <c r="E16519" s="22" t="s">
        <v>68</v>
      </c>
      <c r="F16519" s="23" t="str">
        <f>HYPERLINK("https://www.spark-marketing.ru/Card/Lot/67520189", "Оказание услуг охраны на 2019 год")</f>
        <v>Оказание услуг охраны на 2019 год</v>
      </c>
      <c r="G16519" s="22" t="s">
        <v>204</v>
      </c>
      <c r="H16519" s="22" t="s">
        <v>303</v>
      </c>
      <c r="I16519" s="26">
        <v>43494</v>
      </c>
      <c r="J16519" s="23" t="str">
        <f>HYPERLINK("https://www.spark-marketing.ru/Card/Person/56610", "ООО ""ЧОП ""СКИФ-К""")</f>
        <v>ООО "ЧОП "СКИФ-К"</v>
      </c>
      <c r="K16519" s="24" t="s">
        <v>18997</v>
      </c>
      <c r="L16519" s="28" t="s">
        <v>52</v>
      </c>
      <c r="M16519" s="25">
        <v>17313.43</v>
      </c>
      <c r="N16519" s="27">
        <v>0.60000235653822687</v>
      </c>
    </row>
    <row r="16520" spans="1:14" hidden="1" outlineLevel="1" x14ac:dyDescent="0.2">
      <c r="A16520" s="23" t="str">
        <f>HYPERLINK("https://www.spark-marketing.ru/Card/Person/111090", "ГАУЗ ""ГОРОДСКАЯ БОЛЬНИЦА № 11""")</f>
        <v>ГАУЗ "ГОРОДСКАЯ БОЛЬНИЦА № 11"</v>
      </c>
      <c r="B16520" s="24" t="s">
        <v>18994</v>
      </c>
      <c r="C16520" s="25">
        <v>43283.83</v>
      </c>
      <c r="D16520" s="22" t="s">
        <v>18995</v>
      </c>
      <c r="E16520" s="22" t="s">
        <v>68</v>
      </c>
      <c r="F16520" s="23" t="str">
        <f>HYPERLINK("https://www.spark-marketing.ru/Card/Lot/67520189", "Оказание услуг охраны на 2019 год")</f>
        <v>Оказание услуг охраны на 2019 год</v>
      </c>
      <c r="G16520" s="22" t="s">
        <v>204</v>
      </c>
      <c r="H16520" s="22" t="s">
        <v>303</v>
      </c>
      <c r="I16520" s="26">
        <v>43494</v>
      </c>
      <c r="J16520" s="23" t="str">
        <f>HYPERLINK("https://www.spark-marketing.ru/Card/Person/2202265", "ООО ""МЕДВЕДЬ""")</f>
        <v>ООО "МЕДВЕДЬ"</v>
      </c>
      <c r="K16520" s="24" t="s">
        <v>18998</v>
      </c>
      <c r="L16520" s="28" t="s">
        <v>52</v>
      </c>
      <c r="M16520" s="25">
        <v>29865.79</v>
      </c>
      <c r="N16520" s="27">
        <v>0.31000121754475052</v>
      </c>
    </row>
    <row r="16521" spans="1:14" x14ac:dyDescent="0.15">
      <c r="A16521" s="23" t="str">
        <f>HYPERLINK("https://www.spark-marketing.ru/Card/Person/52796", "ПРОКУРАТУРА ЯМАЛО-НЕНЕЦКОГО АВТОНОМНОГО ОКРУГА")</f>
        <v>ПРОКУРАТУРА ЯМАЛО-НЕНЕЦКОГО АВТОНОМНОГО ОКРУГА</v>
      </c>
      <c r="B16521" s="24" t="s">
        <v>11662</v>
      </c>
      <c r="C16521" s="25">
        <v>2201519.4</v>
      </c>
      <c r="D16521" s="22" t="s">
        <v>18999</v>
      </c>
      <c r="E16521" s="22" t="s">
        <v>68</v>
      </c>
      <c r="F16521" s="23" t="str">
        <f>HYPERLINK("https://www.spark-marketing.ru/Card/Lot/67519794", "Охрана объектов военизированной охраной")</f>
        <v>Охрана объектов военизированной охраной</v>
      </c>
      <c r="G16521" s="22" t="s">
        <v>311</v>
      </c>
      <c r="H16521" s="22" t="s">
        <v>312</v>
      </c>
      <c r="I16521" s="26">
        <v>43494</v>
      </c>
      <c r="J16521" s="28" t="s">
        <v>52</v>
      </c>
      <c r="K16521" s="28" t="s">
        <v>52</v>
      </c>
      <c r="L16521" s="28" t="s">
        <v>52</v>
      </c>
      <c r="M16521" s="28" t="s">
        <v>52</v>
      </c>
      <c r="N16521" s="28" t="s">
        <v>52</v>
      </c>
    </row>
    <row r="16522" spans="1:14" x14ac:dyDescent="0.15">
      <c r="A16522" s="23" t="str">
        <f>HYPERLINK("https://www.spark-marketing.ru/Card/Person/4343740", "МИНЗДРАВ РОССИИ")</f>
        <v>МИНЗДРАВ РОССИИ</v>
      </c>
      <c r="B16522" s="24" t="s">
        <v>1666</v>
      </c>
      <c r="C16522" s="25">
        <v>988348755.24000001</v>
      </c>
      <c r="D16522" s="22" t="s">
        <v>19000</v>
      </c>
      <c r="E16522" s="22" t="s">
        <v>53</v>
      </c>
      <c r="F16522" s="23" t="str">
        <f>HYPERLINK("https://www.spark-marketing.ru/Card/Lot/67518241", "Леналидомид, капсулы, 15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муковисцидозом, гипофизарным нанизмом, боле...")</f>
        <v>Леналидомид, капсулы, 15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муковисцидозом, гипофизарным нанизмом, боле...</v>
      </c>
      <c r="G16522" s="22" t="s">
        <v>428</v>
      </c>
      <c r="H16522" s="22" t="s">
        <v>429</v>
      </c>
      <c r="I16522" s="26">
        <v>43494</v>
      </c>
      <c r="J16522" s="23" t="str">
        <f>HYPERLINK("https://www.spark-marketing.ru/Card/Person/42069", "АО ""ФАРМСТАНДАРТ""")</f>
        <v>АО "ФАРМСТАНДАРТ"</v>
      </c>
      <c r="K16522" s="24" t="s">
        <v>1668</v>
      </c>
      <c r="L16522" s="22" t="s">
        <v>10</v>
      </c>
      <c r="M16522" s="28" t="s">
        <v>52</v>
      </c>
      <c r="N16522" s="28" t="s">
        <v>52</v>
      </c>
    </row>
    <row r="16523" spans="1:14" x14ac:dyDescent="0.15">
      <c r="A16523" s="23" t="str">
        <f>HYPERLINK("https://www.spark-marketing.ru/Card/Person/149972", "МАДОУ ""ДЕТСКИЙ САД ОБЩЕРАЗВИВАЮЩЕГО ВИДА №82"" НМР РТ")</f>
        <v>МАДОУ "ДЕТСКИЙ САД ОБЩЕРАЗВИВАЮЩЕГО ВИДА №82" НМР РТ</v>
      </c>
      <c r="B16523" s="24" t="s">
        <v>4498</v>
      </c>
      <c r="C16523" s="25">
        <v>16980</v>
      </c>
      <c r="D16523" s="22" t="s">
        <v>19001</v>
      </c>
      <c r="E16523" s="22" t="s">
        <v>53</v>
      </c>
      <c r="F16523" s="23" t="str">
        <f>HYPERLINK("https://www.spark-marketing.ru/Card/Lot/73681176", "Техническое обслуживание системы видеонаблюдения")</f>
        <v>Техническое обслуживание системы видеонаблюдения</v>
      </c>
      <c r="G16523" s="22" t="s">
        <v>204</v>
      </c>
      <c r="H16523" s="22" t="s">
        <v>824</v>
      </c>
      <c r="I16523" s="26">
        <v>43494.000694444403</v>
      </c>
      <c r="J16523" s="28" t="s">
        <v>52</v>
      </c>
      <c r="K16523" s="28" t="s">
        <v>52</v>
      </c>
      <c r="L16523" s="28" t="s">
        <v>52</v>
      </c>
      <c r="M16523" s="28" t="s">
        <v>52</v>
      </c>
      <c r="N16523" s="28" t="s">
        <v>52</v>
      </c>
    </row>
    <row r="16524" spans="1:14" x14ac:dyDescent="0.15">
      <c r="A16524" s="23" t="str">
        <f>HYPERLINK("https://www.spark-marketing.ru/Card/Person/152933", "МАДОУ ""ДЕТСКИЙ САД ОБЩЕРАЗВИВАЮЩЕГО ВИДА №23"" НМР РТ")</f>
        <v>МАДОУ "ДЕТСКИЙ САД ОБЩЕРАЗВИВАЮЩЕГО ВИДА №23" НМР РТ</v>
      </c>
      <c r="B16524" s="24" t="s">
        <v>15112</v>
      </c>
      <c r="C16524" s="25">
        <v>4900</v>
      </c>
      <c r="D16524" s="22" t="s">
        <v>19002</v>
      </c>
      <c r="E16524" s="22" t="s">
        <v>53</v>
      </c>
      <c r="F16524" s="23" t="str">
        <f>HYPERLINK("https://www.spark-marketing.ru/Card/Lot/73666921", "Техническое обслуживание системы видеонаблюдения")</f>
        <v>Техническое обслуживание системы видеонаблюдения</v>
      </c>
      <c r="G16524" s="22" t="s">
        <v>204</v>
      </c>
      <c r="H16524" s="22" t="s">
        <v>824</v>
      </c>
      <c r="I16524" s="26">
        <v>43494.000694444403</v>
      </c>
      <c r="J16524" s="28" t="s">
        <v>52</v>
      </c>
      <c r="K16524" s="28" t="s">
        <v>52</v>
      </c>
      <c r="L16524" s="28" t="s">
        <v>52</v>
      </c>
      <c r="M16524" s="28" t="s">
        <v>52</v>
      </c>
      <c r="N16524" s="28" t="s">
        <v>52</v>
      </c>
    </row>
    <row r="16525" spans="1:14" x14ac:dyDescent="0.15">
      <c r="A16525" s="23" t="str">
        <f>HYPERLINK("https://www.spark-marketing.ru/Card/Person/4343740", "МИНЗДРАВ РОССИИ")</f>
        <v>МИНЗДРАВ РОССИИ</v>
      </c>
      <c r="B16525" s="24" t="s">
        <v>1666</v>
      </c>
      <c r="C16525" s="25">
        <v>251316000</v>
      </c>
      <c r="D16525" s="22" t="s">
        <v>19003</v>
      </c>
      <c r="E16525" s="22" t="s">
        <v>53</v>
      </c>
      <c r="F16525" s="23" t="str">
        <f>HYPERLINK("https://www.spark-marketing.ru/Card/Lot/67518236", "Микофеноловая кислота, таблетки, покрытые кишечнорастворимой оболочкой, 360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f>
        <v>Микофеноловая кислота, таблетки, покрытые кишечнорастворимой оболочкой, 360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v>
      </c>
      <c r="G16525" s="22" t="s">
        <v>428</v>
      </c>
      <c r="H16525" s="22" t="s">
        <v>429</v>
      </c>
      <c r="I16525" s="26">
        <v>43494</v>
      </c>
      <c r="J16525" s="28" t="s">
        <v>52</v>
      </c>
      <c r="K16525" s="28" t="s">
        <v>52</v>
      </c>
      <c r="L16525" s="28" t="s">
        <v>52</v>
      </c>
      <c r="M16525" s="28" t="s">
        <v>52</v>
      </c>
      <c r="N16525" s="28" t="s">
        <v>52</v>
      </c>
    </row>
    <row r="16526" spans="1:14" hidden="1" outlineLevel="1" x14ac:dyDescent="0.2">
      <c r="A16526" s="23" t="str">
        <f>HYPERLINK("https://www.spark-marketing.ru/Card/Person/4343740", "МИНЗДРАВ РОССИИ")</f>
        <v>МИНЗДРАВ РОССИИ</v>
      </c>
      <c r="B16526" s="24" t="s">
        <v>1666</v>
      </c>
      <c r="C16526" s="25">
        <v>251316000</v>
      </c>
      <c r="D16526" s="22" t="s">
        <v>19003</v>
      </c>
      <c r="E16526" s="22" t="s">
        <v>53</v>
      </c>
      <c r="F16526" s="23" t="str">
        <f>HYPERLINK("https://www.spark-marketing.ru/Card/Lot/67518236", "Микофеноловая кислота, таблетки, покрытые кишечнорастворимой оболочкой, 360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f>
        <v>Микофеноловая кислота, таблетки, покрытые кишечнорастворимой оболочкой, 360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v>
      </c>
      <c r="G16526" s="22" t="s">
        <v>428</v>
      </c>
      <c r="H16526" s="22" t="s">
        <v>429</v>
      </c>
      <c r="I16526" s="26">
        <v>43494</v>
      </c>
      <c r="J16526" s="23" t="str">
        <f>HYPERLINK("https://www.spark-marketing.ru/Card/Person/4345864", "АО ""Р-ФАРМ""")</f>
        <v>АО "Р-ФАРМ"</v>
      </c>
      <c r="K16526" s="24" t="s">
        <v>5343</v>
      </c>
      <c r="L16526" s="28" t="s">
        <v>52</v>
      </c>
      <c r="M16526" s="25">
        <v>247546260</v>
      </c>
      <c r="N16526" s="27">
        <v>1.4999999999999999E-2</v>
      </c>
    </row>
    <row r="16527" spans="1:14" ht="12.75" hidden="1" outlineLevel="1" x14ac:dyDescent="0.2">
      <c r="A16527" s="23" t="str">
        <f>HYPERLINK("https://www.spark-marketing.ru/Card/Person/4343740", "МИНЗДРАВ РОССИИ")</f>
        <v>МИНЗДРАВ РОССИИ</v>
      </c>
      <c r="B16527" s="24" t="s">
        <v>1666</v>
      </c>
      <c r="C16527" s="25">
        <v>251316000</v>
      </c>
      <c r="D16527" s="22" t="s">
        <v>19003</v>
      </c>
      <c r="E16527" s="22" t="s">
        <v>53</v>
      </c>
      <c r="F16527" s="23" t="str">
        <f>HYPERLINK("https://www.spark-marketing.ru/Card/Lot/67518236", "Микофеноловая кислота, таблетки, покрытые кишечнорастворимой оболочкой, 360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f>
        <v>Микофеноловая кислота, таблетки, покрытые кишечнорастворимой оболочкой, 360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v>
      </c>
      <c r="G16527" s="22" t="s">
        <v>428</v>
      </c>
      <c r="H16527" s="22" t="s">
        <v>429</v>
      </c>
      <c r="I16527" s="26">
        <v>43494</v>
      </c>
      <c r="J16527" s="23" t="str">
        <f>HYPERLINK("https://www.spark-marketing.ru/Card/Person/2579665", "ООО ""ФАРМАТРИКС""")</f>
        <v>ООО "ФАРМАТРИКС"</v>
      </c>
      <c r="K16527" s="24" t="s">
        <v>18808</v>
      </c>
      <c r="L16527" s="22" t="s">
        <v>10</v>
      </c>
      <c r="M16527" s="25">
        <v>246289680</v>
      </c>
      <c r="N16527" s="27">
        <v>0.02</v>
      </c>
    </row>
    <row r="16528" spans="1:14" x14ac:dyDescent="0.15">
      <c r="A16528" s="23" t="str">
        <f>HYPERLINK("https://www.spark-marketing.ru/Card/Person/134717", "ИФНС РОССИИ ПО МОЗДОКСКОМУ РАЙОНУ РЕСПУБЛИКИ СЕВЕРНАЯ ОСЕТИЯ-АЛАНИЯ")</f>
        <v>ИФНС РОССИИ ПО МОЗДОКСКОМУ РАЙОНУ РЕСПУБЛИКИ СЕВЕРНАЯ ОСЕТИЯ-АЛАНИЯ</v>
      </c>
      <c r="B16528" s="24" t="s">
        <v>19004</v>
      </c>
      <c r="C16528" s="25">
        <v>109097.28</v>
      </c>
      <c r="D16528" s="22" t="s">
        <v>19005</v>
      </c>
      <c r="E16528" s="22" t="s">
        <v>68</v>
      </c>
      <c r="F16528" s="23" t="str">
        <f>HYPERLINK("https://www.spark-marketing.ru/Card/Lot/67538259", "Оказание охранных услуг в зданиях, помещениях, их частях или комбинациях, оборудованных действующим комплексом технических средств охраны")</f>
        <v>Оказание охранных услуг в зданиях, помещениях, их частях или комбинациях, оборудованных действующим комплексом технических средств охраны</v>
      </c>
      <c r="G16528" s="22" t="s">
        <v>833</v>
      </c>
      <c r="H16528" s="22" t="s">
        <v>833</v>
      </c>
      <c r="I16528" s="26">
        <v>43494</v>
      </c>
      <c r="J16528" s="28" t="s">
        <v>52</v>
      </c>
      <c r="K16528" s="28" t="s">
        <v>52</v>
      </c>
      <c r="L16528" s="28" t="s">
        <v>52</v>
      </c>
      <c r="M16528" s="28" t="s">
        <v>52</v>
      </c>
      <c r="N16528" s="28" t="s">
        <v>52</v>
      </c>
    </row>
    <row r="16529" spans="1:14" x14ac:dyDescent="0.15">
      <c r="A16529" s="23" t="str">
        <f>HYPERLINK("https://www.spark-marketing.ru/Card/Person/4999", "ГБУЗ РССМП И ЦМК")</f>
        <v>ГБУЗ РССМП И ЦМК</v>
      </c>
      <c r="B16529" s="24" t="s">
        <v>19006</v>
      </c>
      <c r="C16529" s="25">
        <v>100000</v>
      </c>
      <c r="D16529" s="22" t="s">
        <v>19007</v>
      </c>
      <c r="E16529" s="22" t="s">
        <v>234</v>
      </c>
      <c r="F16529" s="23" t="str">
        <f>HYPERLINK("https://www.spark-marketing.ru/Card/Lot/67524291", "Оказание услуг по техническому обслуживанию системы видеонаблюдения для нужд ГБУЗ РССМП и ЦМК")</f>
        <v>Оказание услуг по техническому обслуживанию системы видеонаблюдения для нужд ГБУЗ РССМП и ЦМК</v>
      </c>
      <c r="G16529" s="22" t="s">
        <v>100</v>
      </c>
      <c r="H16529" s="22" t="s">
        <v>373</v>
      </c>
      <c r="I16529" s="26">
        <v>43494</v>
      </c>
      <c r="J16529" s="28" t="s">
        <v>52</v>
      </c>
      <c r="K16529" s="28" t="s">
        <v>52</v>
      </c>
      <c r="L16529" s="28" t="s">
        <v>52</v>
      </c>
      <c r="M16529" s="28" t="s">
        <v>52</v>
      </c>
      <c r="N16529" s="28" t="s">
        <v>52</v>
      </c>
    </row>
    <row r="16530" spans="1:14" hidden="1" outlineLevel="1" x14ac:dyDescent="0.2">
      <c r="A16530" s="23" t="str">
        <f>HYPERLINK("https://www.spark-marketing.ru/Card/Person/4999", "ГБУЗ РССМП И ЦМК")</f>
        <v>ГБУЗ РССМП И ЦМК</v>
      </c>
      <c r="B16530" s="24" t="s">
        <v>19006</v>
      </c>
      <c r="C16530" s="25">
        <v>100000</v>
      </c>
      <c r="D16530" s="22" t="s">
        <v>19007</v>
      </c>
      <c r="E16530" s="22" t="s">
        <v>234</v>
      </c>
      <c r="F16530" s="23" t="str">
        <f>HYPERLINK("https://www.spark-marketing.ru/Card/Lot/67524291", "Оказание услуг по техническому обслуживанию системы видеонаблюдения для нужд ГБУЗ РССМП и ЦМК")</f>
        <v>Оказание услуг по техническому обслуживанию системы видеонаблюдения для нужд ГБУЗ РССМП и ЦМК</v>
      </c>
      <c r="G16530" s="22" t="s">
        <v>100</v>
      </c>
      <c r="H16530" s="22" t="s">
        <v>373</v>
      </c>
      <c r="I16530" s="26">
        <v>43494</v>
      </c>
      <c r="J16530" s="23" t="str">
        <f>HYPERLINK("https://www.spark-marketing.ru/Card/Person/6215246", "ООО ""АЛЬФА-РЕНЕССАНС""")</f>
        <v>ООО "АЛЬФА-РЕНЕССАНС"</v>
      </c>
      <c r="K16530" s="24" t="s">
        <v>10921</v>
      </c>
      <c r="L16530" s="28" t="s">
        <v>52</v>
      </c>
      <c r="M16530" s="25">
        <v>4864.3999999999996</v>
      </c>
      <c r="N16530" s="27">
        <v>0.95135599999999998</v>
      </c>
    </row>
    <row r="16531" spans="1:14" ht="12.75" hidden="1" outlineLevel="1" x14ac:dyDescent="0.2">
      <c r="A16531" s="23" t="str">
        <f>HYPERLINK("https://www.spark-marketing.ru/Card/Person/4999", "ГБУЗ РССМП И ЦМК")</f>
        <v>ГБУЗ РССМП И ЦМК</v>
      </c>
      <c r="B16531" s="24" t="s">
        <v>19006</v>
      </c>
      <c r="C16531" s="25">
        <v>100000</v>
      </c>
      <c r="D16531" s="22" t="s">
        <v>19007</v>
      </c>
      <c r="E16531" s="22" t="s">
        <v>234</v>
      </c>
      <c r="F16531" s="23" t="str">
        <f>HYPERLINK("https://www.spark-marketing.ru/Card/Lot/67524291", "Оказание услуг по техническому обслуживанию системы видеонаблюдения для нужд ГБУЗ РССМП и ЦМК")</f>
        <v>Оказание услуг по техническому обслуживанию системы видеонаблюдения для нужд ГБУЗ РССМП и ЦМК</v>
      </c>
      <c r="G16531" s="22" t="s">
        <v>100</v>
      </c>
      <c r="H16531" s="22" t="s">
        <v>373</v>
      </c>
      <c r="I16531" s="26">
        <v>43494</v>
      </c>
      <c r="J16531" s="23" t="str">
        <f>HYPERLINK("https://www.spark-marketing.ru/Card/Person/6440543", "ООО ""СКИВ""")</f>
        <v>ООО "СКИВ"</v>
      </c>
      <c r="K16531" s="24" t="s">
        <v>17314</v>
      </c>
      <c r="L16531" s="22" t="s">
        <v>10</v>
      </c>
      <c r="M16531" s="25">
        <v>4100</v>
      </c>
      <c r="N16531" s="27">
        <v>0.95899999999999996</v>
      </c>
    </row>
    <row r="16532" spans="1:14" hidden="1" outlineLevel="1" x14ac:dyDescent="0.2">
      <c r="A16532" s="23" t="str">
        <f>HYPERLINK("https://www.spark-marketing.ru/Card/Person/4999", "ГБУЗ РССМП И ЦМК")</f>
        <v>ГБУЗ РССМП И ЦМК</v>
      </c>
      <c r="B16532" s="24" t="s">
        <v>19006</v>
      </c>
      <c r="C16532" s="25">
        <v>100000</v>
      </c>
      <c r="D16532" s="22" t="s">
        <v>19007</v>
      </c>
      <c r="E16532" s="22" t="s">
        <v>234</v>
      </c>
      <c r="F16532" s="23" t="str">
        <f>HYPERLINK("https://www.spark-marketing.ru/Card/Lot/67524291", "Оказание услуг по техническому обслуживанию системы видеонаблюдения для нужд ГБУЗ РССМП и ЦМК")</f>
        <v>Оказание услуг по техническому обслуживанию системы видеонаблюдения для нужд ГБУЗ РССМП и ЦМК</v>
      </c>
      <c r="G16532" s="22" t="s">
        <v>100</v>
      </c>
      <c r="H16532" s="22" t="s">
        <v>373</v>
      </c>
      <c r="I16532" s="26">
        <v>43494</v>
      </c>
      <c r="J16532" s="23" t="str">
        <f>HYPERLINK("https://www.spark-marketing.ru/Card/Person/2556207", "ООО ""ПРОТЭКТ-ИНЖИНИРИНГ""")</f>
        <v>ООО "ПРОТЭКТ-ИНЖИНИРИНГ"</v>
      </c>
      <c r="K16532" s="24" t="s">
        <v>19008</v>
      </c>
      <c r="L16532" s="28" t="s">
        <v>52</v>
      </c>
      <c r="M16532" s="25">
        <v>20223.2</v>
      </c>
      <c r="N16532" s="27">
        <v>0.79776800000000003</v>
      </c>
    </row>
    <row r="16533" spans="1:14" x14ac:dyDescent="0.15">
      <c r="A16533" s="23" t="str">
        <f>HYPERLINK("https://www.spark-marketing.ru/Card/Person/149043", "МБДОУ ""ДЕТСКИЙ САД ОБЩЕРАЗВИВАЮЩЕГО ВИДА №9"" НМР РТ")</f>
        <v>МБДОУ "ДЕТСКИЙ САД ОБЩЕРАЗВИВАЮЩЕГО ВИДА №9" НМР РТ</v>
      </c>
      <c r="B16533" s="24" t="s">
        <v>15127</v>
      </c>
      <c r="C16533" s="25">
        <v>5000</v>
      </c>
      <c r="D16533" s="22" t="s">
        <v>19009</v>
      </c>
      <c r="E16533" s="22" t="s">
        <v>53</v>
      </c>
      <c r="F16533" s="23" t="str">
        <f>HYPERLINK("https://www.spark-marketing.ru/Card/Lot/73682693", "Техническое обслуживание системы видеонаблюдения")</f>
        <v>Техническое обслуживание системы видеонаблюдения</v>
      </c>
      <c r="G16533" s="22" t="s">
        <v>204</v>
      </c>
      <c r="H16533" s="22" t="s">
        <v>824</v>
      </c>
      <c r="I16533" s="26">
        <v>43494.000694444403</v>
      </c>
      <c r="J16533" s="28" t="s">
        <v>52</v>
      </c>
      <c r="K16533" s="28" t="s">
        <v>52</v>
      </c>
      <c r="L16533" s="28" t="s">
        <v>52</v>
      </c>
      <c r="M16533" s="28" t="s">
        <v>52</v>
      </c>
      <c r="N16533" s="28" t="s">
        <v>52</v>
      </c>
    </row>
    <row r="16534" spans="1:14" x14ac:dyDescent="0.15">
      <c r="A16534" s="23" t="str">
        <f t="shared" ref="A16534:A16542" si="853">HYPERLINK("https://www.spark-marketing.ru/Card/Person/7963", "ФКУ ""ГБ МСЭ ПО ПСКОВСКОЙ ОБЛАСТИ"" МИНТРУДА РОССИИ")</f>
        <v>ФКУ "ГБ МСЭ ПО ПСКОВСКОЙ ОБЛАСТИ" МИНТРУДА РОССИИ</v>
      </c>
      <c r="B16534" s="24" t="s">
        <v>2318</v>
      </c>
      <c r="C16534" s="25">
        <v>474833.3</v>
      </c>
      <c r="D16534" s="22" t="s">
        <v>19010</v>
      </c>
      <c r="E16534" s="22" t="s">
        <v>107</v>
      </c>
      <c r="F16534" s="23" t="str">
        <f t="shared" ref="F16534:F16542" si="854">HYPERLINK("https://www.spark-marketing.ru/Card/Lot/67532457", "Техническое обслуживание систем аудио-видео фиксации помещений ФКУ ""ГБ МСЭ по Псковской области"" Минтруда России")</f>
        <v>Техническое обслуживание систем аудио-видео фиксации помещений ФКУ "ГБ МСЭ по Псковской области" Минтруда России</v>
      </c>
      <c r="G16534" s="22" t="s">
        <v>142</v>
      </c>
      <c r="H16534" s="22" t="s">
        <v>2320</v>
      </c>
      <c r="I16534" s="26">
        <v>43494</v>
      </c>
      <c r="J16534" s="28" t="s">
        <v>52</v>
      </c>
      <c r="K16534" s="28" t="s">
        <v>52</v>
      </c>
      <c r="L16534" s="28" t="s">
        <v>52</v>
      </c>
      <c r="M16534" s="28" t="s">
        <v>52</v>
      </c>
      <c r="N16534" s="28" t="s">
        <v>52</v>
      </c>
    </row>
    <row r="16535" spans="1:14" hidden="1" outlineLevel="1" x14ac:dyDescent="0.2">
      <c r="A16535" s="23" t="str">
        <f t="shared" si="853"/>
        <v>ФКУ "ГБ МСЭ ПО ПСКОВСКОЙ ОБЛАСТИ" МИНТРУДА РОССИИ</v>
      </c>
      <c r="B16535" s="24" t="s">
        <v>2318</v>
      </c>
      <c r="C16535" s="25">
        <v>474833.3</v>
      </c>
      <c r="D16535" s="22" t="s">
        <v>19010</v>
      </c>
      <c r="E16535" s="22" t="s">
        <v>107</v>
      </c>
      <c r="F16535" s="23" t="str">
        <f t="shared" si="854"/>
        <v>Техническое обслуживание систем аудио-видео фиксации помещений ФКУ "ГБ МСЭ по Псковской области" Минтруда России</v>
      </c>
      <c r="G16535" s="22" t="s">
        <v>142</v>
      </c>
      <c r="H16535" s="22" t="s">
        <v>2320</v>
      </c>
      <c r="I16535" s="26">
        <v>43494</v>
      </c>
      <c r="J16535" s="23" t="str">
        <f>HYPERLINK("https://www.spark-marketing.ru/Card/Person/11882", "ООО ""ИЗБОРСКИЙ ПАРК""")</f>
        <v>ООО "ИЗБОРСКИЙ ПАРК"</v>
      </c>
      <c r="K16535" s="24" t="s">
        <v>13902</v>
      </c>
      <c r="L16535" s="28" t="s">
        <v>52</v>
      </c>
      <c r="M16535" s="25">
        <v>190000</v>
      </c>
      <c r="N16535" s="27">
        <v>0.59985957176971372</v>
      </c>
    </row>
    <row r="16536" spans="1:14" hidden="1" outlineLevel="1" x14ac:dyDescent="0.2">
      <c r="A16536" s="23" t="str">
        <f t="shared" si="853"/>
        <v>ФКУ "ГБ МСЭ ПО ПСКОВСКОЙ ОБЛАСТИ" МИНТРУДА РОССИИ</v>
      </c>
      <c r="B16536" s="24" t="s">
        <v>2318</v>
      </c>
      <c r="C16536" s="25">
        <v>474833.3</v>
      </c>
      <c r="D16536" s="22" t="s">
        <v>19010</v>
      </c>
      <c r="E16536" s="22" t="s">
        <v>107</v>
      </c>
      <c r="F16536" s="23" t="str">
        <f t="shared" si="854"/>
        <v>Техническое обслуживание систем аудио-видео фиксации помещений ФКУ "ГБ МСЭ по Псковской области" Минтруда России</v>
      </c>
      <c r="G16536" s="22" t="s">
        <v>142</v>
      </c>
      <c r="H16536" s="22" t="s">
        <v>2320</v>
      </c>
      <c r="I16536" s="26">
        <v>43494</v>
      </c>
      <c r="J16536" s="23" t="str">
        <f>HYPERLINK("https://www.spark-marketing.ru/Card/Person/5826934", "ООО ""ЭЛЕГМА""")</f>
        <v>ООО "ЭЛЕГМА"</v>
      </c>
      <c r="K16536" s="24" t="s">
        <v>19011</v>
      </c>
      <c r="L16536" s="28" t="s">
        <v>52</v>
      </c>
      <c r="M16536" s="25">
        <v>400000</v>
      </c>
      <c r="N16536" s="27">
        <v>0.15759909846255518</v>
      </c>
    </row>
    <row r="16537" spans="1:14" hidden="1" outlineLevel="1" x14ac:dyDescent="0.2">
      <c r="A16537" s="23" t="str">
        <f t="shared" si="853"/>
        <v>ФКУ "ГБ МСЭ ПО ПСКОВСКОЙ ОБЛАСТИ" МИНТРУДА РОССИИ</v>
      </c>
      <c r="B16537" s="24" t="s">
        <v>2318</v>
      </c>
      <c r="C16537" s="25">
        <v>474833.3</v>
      </c>
      <c r="D16537" s="22" t="s">
        <v>19010</v>
      </c>
      <c r="E16537" s="22" t="s">
        <v>107</v>
      </c>
      <c r="F16537" s="23" t="str">
        <f t="shared" si="854"/>
        <v>Техническое обслуживание систем аудио-видео фиксации помещений ФКУ "ГБ МСЭ по Псковской области" Минтруда России</v>
      </c>
      <c r="G16537" s="22" t="s">
        <v>142</v>
      </c>
      <c r="H16537" s="22" t="s">
        <v>2320</v>
      </c>
      <c r="I16537" s="26">
        <v>43494</v>
      </c>
      <c r="J16537" s="23" t="str">
        <f>HYPERLINK("https://www.spark-marketing.ru/Card/Person/5790089", "ООО ""СКОРПИОН-ГРУПП""")</f>
        <v>ООО "СКОРПИОН-ГРУПП"</v>
      </c>
      <c r="K16537" s="24" t="s">
        <v>13901</v>
      </c>
      <c r="L16537" s="28" t="s">
        <v>52</v>
      </c>
      <c r="M16537" s="25">
        <v>322298.3</v>
      </c>
      <c r="N16537" s="27">
        <v>0.32123905379003537</v>
      </c>
    </row>
    <row r="16538" spans="1:14" hidden="1" outlineLevel="1" x14ac:dyDescent="0.2">
      <c r="A16538" s="23" t="str">
        <f t="shared" si="853"/>
        <v>ФКУ "ГБ МСЭ ПО ПСКОВСКОЙ ОБЛАСТИ" МИНТРУДА РОССИИ</v>
      </c>
      <c r="B16538" s="24" t="s">
        <v>2318</v>
      </c>
      <c r="C16538" s="25">
        <v>474833.3</v>
      </c>
      <c r="D16538" s="22" t="s">
        <v>19010</v>
      </c>
      <c r="E16538" s="22" t="s">
        <v>107</v>
      </c>
      <c r="F16538" s="23" t="str">
        <f t="shared" si="854"/>
        <v>Техническое обслуживание систем аудио-видео фиксации помещений ФКУ "ГБ МСЭ по Псковской области" Минтруда России</v>
      </c>
      <c r="G16538" s="22" t="s">
        <v>142</v>
      </c>
      <c r="H16538" s="22" t="s">
        <v>2320</v>
      </c>
      <c r="I16538" s="26">
        <v>43494</v>
      </c>
      <c r="J16538" s="23" t="str">
        <f>HYPERLINK("https://www.spark-marketing.ru/Card/Person/24340", "ООО ""ШАНС-ЭЛСВИ""")</f>
        <v>ООО "ШАНС-ЭЛСВИ"</v>
      </c>
      <c r="K16538" s="24" t="s">
        <v>18991</v>
      </c>
      <c r="L16538" s="28" t="s">
        <v>52</v>
      </c>
      <c r="M16538" s="25">
        <v>52625.83</v>
      </c>
      <c r="N16538" s="27">
        <v>0.88916988340960923</v>
      </c>
    </row>
    <row r="16539" spans="1:14" hidden="1" outlineLevel="1" x14ac:dyDescent="0.2">
      <c r="A16539" s="23" t="str">
        <f t="shared" si="853"/>
        <v>ФКУ "ГБ МСЭ ПО ПСКОВСКОЙ ОБЛАСТИ" МИНТРУДА РОССИИ</v>
      </c>
      <c r="B16539" s="24" t="s">
        <v>2318</v>
      </c>
      <c r="C16539" s="25">
        <v>474833.3</v>
      </c>
      <c r="D16539" s="22" t="s">
        <v>19010</v>
      </c>
      <c r="E16539" s="22" t="s">
        <v>107</v>
      </c>
      <c r="F16539" s="23" t="str">
        <f t="shared" si="854"/>
        <v>Техническое обслуживание систем аудио-видео фиксации помещений ФКУ "ГБ МСЭ по Псковской области" Минтруда России</v>
      </c>
      <c r="G16539" s="22" t="s">
        <v>142</v>
      </c>
      <c r="H16539" s="22" t="s">
        <v>2320</v>
      </c>
      <c r="I16539" s="26">
        <v>43494</v>
      </c>
      <c r="J16539" s="23" t="str">
        <f>HYPERLINK("https://www.spark-marketing.ru/Card/Person/86610", "ООО ""СИСТЕМНЫЕ РЕШЕНИЯ""")</f>
        <v>ООО "СИСТЕМНЫЕ РЕШЕНИЯ"</v>
      </c>
      <c r="K16539" s="24" t="s">
        <v>18993</v>
      </c>
      <c r="L16539" s="28" t="s">
        <v>52</v>
      </c>
      <c r="M16539" s="25">
        <v>426761.65</v>
      </c>
      <c r="N16539" s="27">
        <v>0.10123900324598127</v>
      </c>
    </row>
    <row r="16540" spans="1:14" hidden="1" outlineLevel="1" x14ac:dyDescent="0.2">
      <c r="A16540" s="23" t="str">
        <f t="shared" si="853"/>
        <v>ФКУ "ГБ МСЭ ПО ПСКОВСКОЙ ОБЛАСТИ" МИНТРУДА РОССИИ</v>
      </c>
      <c r="B16540" s="24" t="s">
        <v>2318</v>
      </c>
      <c r="C16540" s="25">
        <v>474833.3</v>
      </c>
      <c r="D16540" s="22" t="s">
        <v>19010</v>
      </c>
      <c r="E16540" s="22" t="s">
        <v>107</v>
      </c>
      <c r="F16540" s="23" t="str">
        <f t="shared" si="854"/>
        <v>Техническое обслуживание систем аудио-видео фиксации помещений ФКУ "ГБ МСЭ по Псковской области" Минтруда России</v>
      </c>
      <c r="G16540" s="22" t="s">
        <v>142</v>
      </c>
      <c r="H16540" s="22" t="s">
        <v>2320</v>
      </c>
      <c r="I16540" s="26">
        <v>43494</v>
      </c>
      <c r="J16540" s="23" t="str">
        <f>HYPERLINK("https://www.spark-marketing.ru/Card/Person/16137", "ООО ""ПМЦ-ПСКОВ""")</f>
        <v>ООО "ПМЦ-ПСКОВ"</v>
      </c>
      <c r="K16540" s="24" t="s">
        <v>13905</v>
      </c>
      <c r="L16540" s="28" t="s">
        <v>52</v>
      </c>
      <c r="M16540" s="25">
        <v>467710.79</v>
      </c>
      <c r="N16540" s="27">
        <v>1.5000022113023665E-2</v>
      </c>
    </row>
    <row r="16541" spans="1:14" ht="12.75" hidden="1" outlineLevel="1" x14ac:dyDescent="0.2">
      <c r="A16541" s="23" t="str">
        <f t="shared" si="853"/>
        <v>ФКУ "ГБ МСЭ ПО ПСКОВСКОЙ ОБЛАСТИ" МИНТРУДА РОССИИ</v>
      </c>
      <c r="B16541" s="24" t="s">
        <v>2318</v>
      </c>
      <c r="C16541" s="25">
        <v>474833.3</v>
      </c>
      <c r="D16541" s="22" t="s">
        <v>19010</v>
      </c>
      <c r="E16541" s="22" t="s">
        <v>107</v>
      </c>
      <c r="F16541" s="23" t="str">
        <f t="shared" si="854"/>
        <v>Техническое обслуживание систем аудио-видео фиксации помещений ФКУ "ГБ МСЭ по Псковской области" Минтруда России</v>
      </c>
      <c r="G16541" s="22" t="s">
        <v>142</v>
      </c>
      <c r="H16541" s="22" t="s">
        <v>2320</v>
      </c>
      <c r="I16541" s="26">
        <v>43494</v>
      </c>
      <c r="J16541" s="23" t="str">
        <f>HYPERLINK("https://www.spark-marketing.ru/Card/Person/1691635", "ООО ""ТРАНЗИТ-ТЕЛЕКОМ""")</f>
        <v>ООО "ТРАНЗИТ-ТЕЛЕКОМ"</v>
      </c>
      <c r="K16541" s="24" t="s">
        <v>11151</v>
      </c>
      <c r="L16541" s="22" t="s">
        <v>10</v>
      </c>
      <c r="M16541" s="25">
        <v>50000</v>
      </c>
      <c r="N16541" s="27">
        <v>0.89469988730781935</v>
      </c>
    </row>
    <row r="16542" spans="1:14" hidden="1" outlineLevel="1" x14ac:dyDescent="0.2">
      <c r="A16542" s="23" t="str">
        <f t="shared" si="853"/>
        <v>ФКУ "ГБ МСЭ ПО ПСКОВСКОЙ ОБЛАСТИ" МИНТРУДА РОССИИ</v>
      </c>
      <c r="B16542" s="24" t="s">
        <v>2318</v>
      </c>
      <c r="C16542" s="25">
        <v>474833.3</v>
      </c>
      <c r="D16542" s="22" t="s">
        <v>19010</v>
      </c>
      <c r="E16542" s="22" t="s">
        <v>107</v>
      </c>
      <c r="F16542" s="23" t="str">
        <f t="shared" si="854"/>
        <v>Техническое обслуживание систем аудио-видео фиксации помещений ФКУ "ГБ МСЭ по Псковской области" Минтруда России</v>
      </c>
      <c r="G16542" s="22" t="s">
        <v>142</v>
      </c>
      <c r="H16542" s="22" t="s">
        <v>2320</v>
      </c>
      <c r="I16542" s="26">
        <v>43494</v>
      </c>
      <c r="J16542" s="23" t="str">
        <f>HYPERLINK("https://www.spark-marketing.ru/Card/Person/4951488", "ООО ""КОНТУР""")</f>
        <v>ООО "КОНТУР"</v>
      </c>
      <c r="K16542" s="24" t="s">
        <v>7292</v>
      </c>
      <c r="L16542" s="28" t="s">
        <v>52</v>
      </c>
      <c r="M16542" s="25">
        <v>137499</v>
      </c>
      <c r="N16542" s="27">
        <v>0.71042679609875714</v>
      </c>
    </row>
    <row r="16543" spans="1:14" x14ac:dyDescent="0.15">
      <c r="A16543" s="23" t="str">
        <f>HYPERLINK("https://www.spark-marketing.ru/Card/Person/31409", "МЕЖРАЙОННАЯ ИФНС РОССИИ № 3 ПО ЯМАЛО-НЕНЕЦКОМУ АВТОНОМНОМУ ОКРУГУ")</f>
        <v>МЕЖРАЙОННАЯ ИФНС РОССИИ № 3 ПО ЯМАЛО-НЕНЕЦКОМУ АВТОНОМНОМУ ОКРУГУ</v>
      </c>
      <c r="B16543" s="24" t="s">
        <v>18934</v>
      </c>
      <c r="C16543" s="25">
        <v>23040</v>
      </c>
      <c r="D16543" s="22" t="s">
        <v>19012</v>
      </c>
      <c r="E16543" s="22" t="s">
        <v>68</v>
      </c>
      <c r="F16543" s="23" t="str">
        <f>HYPERLINK("https://www.spark-marketing.ru/Card/Lot/67534464", "Услуги оперативного реагирования на срабатывание тревожной сигнализации Межрайонной ИФНС России  № 3 по Ямало-Ненецкому автономному округу  (тревожная кнопка) (Губкинский)")</f>
        <v>Услуги оперативного реагирования на срабатывание тревожной сигнализации Межрайонной ИФНС России  № 3 по Ямало-Ненецкому автономному округу  (тревожная кнопка) (Губкинский)</v>
      </c>
      <c r="G16543" s="22" t="s">
        <v>311</v>
      </c>
      <c r="H16543" s="22" t="s">
        <v>7350</v>
      </c>
      <c r="I16543" s="26">
        <v>43494</v>
      </c>
      <c r="J16543" s="28" t="s">
        <v>52</v>
      </c>
      <c r="K16543" s="28" t="s">
        <v>52</v>
      </c>
      <c r="L16543" s="28" t="s">
        <v>52</v>
      </c>
      <c r="M16543" s="28" t="s">
        <v>52</v>
      </c>
      <c r="N16543" s="28" t="s">
        <v>52</v>
      </c>
    </row>
    <row r="16544" spans="1:14" x14ac:dyDescent="0.15">
      <c r="A16544" s="23" t="str">
        <f>HYPERLINK("https://www.spark-marketing.ru/Card/Person/5789152", "ЛУКОЙЛ ВОЛГОГРАДНЕФТЕПЕРЕРАБОТКА")</f>
        <v>ЛУКОЙЛ ВОЛГОГРАДНЕФТЕПЕРЕРАБОТКА</v>
      </c>
      <c r="B16544" s="28" t="s">
        <v>52</v>
      </c>
      <c r="C16544" s="28" t="s">
        <v>52</v>
      </c>
      <c r="D16544" s="28" t="s">
        <v>52</v>
      </c>
      <c r="E16544" s="22" t="s">
        <v>53</v>
      </c>
      <c r="F16544" s="23" t="str">
        <f>HYPERLINK("https://www.spark-marketing.ru/Card/Lot/67533747", "Выполнение работ по техническому сопровождению перезагрузки катализаторов на объектах ООО ""ЛУКОЙЛ-Волгограднефтепереработка""")</f>
        <v>Выполнение работ по техническому сопровождению перезагрузки катализаторов на объектах ООО "ЛУКОЙЛ-Волгограднефтепереработка"</v>
      </c>
      <c r="G16544" s="22" t="s">
        <v>52</v>
      </c>
      <c r="H16544" s="22" t="s">
        <v>52</v>
      </c>
      <c r="I16544" s="26">
        <v>43494</v>
      </c>
      <c r="J16544" s="28" t="s">
        <v>52</v>
      </c>
      <c r="K16544" s="28" t="s">
        <v>52</v>
      </c>
      <c r="L16544" s="28" t="s">
        <v>52</v>
      </c>
      <c r="M16544" s="28" t="s">
        <v>52</v>
      </c>
      <c r="N16544" s="28" t="s">
        <v>52</v>
      </c>
    </row>
    <row r="16545" spans="1:14" x14ac:dyDescent="0.15">
      <c r="A16545" s="23" t="str">
        <f>HYPERLINK("https://www.spark-marketing.ru/Card/Person/152384", "МБДОУ ""ЦЕНТР РАЗВИТИЯ РЕБЕНКА - ДЕТСКИЙ САД № 89"" НМР РТ")</f>
        <v>МБДОУ "ЦЕНТР РАЗВИТИЯ РЕБЕНКА - ДЕТСКИЙ САД № 89" НМР РТ</v>
      </c>
      <c r="B16545" s="24" t="s">
        <v>15105</v>
      </c>
      <c r="C16545" s="25">
        <v>5900</v>
      </c>
      <c r="D16545" s="22" t="s">
        <v>19013</v>
      </c>
      <c r="E16545" s="22" t="s">
        <v>53</v>
      </c>
      <c r="F16545" s="23" t="str">
        <f>HYPERLINK("https://www.spark-marketing.ru/Card/Lot/73674067", "Техническое обслуживание системы видеонаблюдения")</f>
        <v>Техническое обслуживание системы видеонаблюдения</v>
      </c>
      <c r="G16545" s="22" t="s">
        <v>204</v>
      </c>
      <c r="H16545" s="22" t="s">
        <v>824</v>
      </c>
      <c r="I16545" s="26">
        <v>43494.9465277778</v>
      </c>
      <c r="J16545" s="28" t="s">
        <v>52</v>
      </c>
      <c r="K16545" s="28" t="s">
        <v>52</v>
      </c>
      <c r="L16545" s="28" t="s">
        <v>52</v>
      </c>
      <c r="M16545" s="28" t="s">
        <v>52</v>
      </c>
      <c r="N16545" s="28" t="s">
        <v>52</v>
      </c>
    </row>
    <row r="16546" spans="1:14" x14ac:dyDescent="0.15">
      <c r="A16546" s="23" t="str">
        <f>HYPERLINK("https://www.spark-marketing.ru/Card/Person/132311", "МЕЖРАЙОННАЯ ИФНС РОССИИ № 5 ПО ВОРОНЕЖСКОЙ ОБЛАСТИ")</f>
        <v>МЕЖРАЙОННАЯ ИФНС РОССИИ № 5 ПО ВОРОНЕЖСКОЙ ОБЛАСТИ</v>
      </c>
      <c r="B16546" s="24" t="s">
        <v>18945</v>
      </c>
      <c r="C16546" s="25">
        <v>66828</v>
      </c>
      <c r="D16546" s="22" t="s">
        <v>19014</v>
      </c>
      <c r="E16546" s="22" t="s">
        <v>68</v>
      </c>
      <c r="F16546" s="23" t="str">
        <f>HYPERLINK("https://www.spark-marketing.ru/Card/Lot/67517536", "Охрана объектов")</f>
        <v>Охрана объектов</v>
      </c>
      <c r="G16546" s="22" t="s">
        <v>552</v>
      </c>
      <c r="H16546" s="22" t="s">
        <v>19015</v>
      </c>
      <c r="I16546" s="26">
        <v>43494</v>
      </c>
      <c r="J16546" s="28" t="s">
        <v>52</v>
      </c>
      <c r="K16546" s="28" t="s">
        <v>52</v>
      </c>
      <c r="L16546" s="28" t="s">
        <v>52</v>
      </c>
      <c r="M16546" s="28" t="s">
        <v>52</v>
      </c>
      <c r="N16546" s="28" t="s">
        <v>52</v>
      </c>
    </row>
    <row r="16547" spans="1:14" x14ac:dyDescent="0.15">
      <c r="A16547" s="23" t="str">
        <f>HYPERLINK("https://www.spark-marketing.ru/Card/Person/4343740", "МИНЗДРАВ РОССИИ")</f>
        <v>МИНЗДРАВ РОССИИ</v>
      </c>
      <c r="B16547" s="24" t="s">
        <v>1666</v>
      </c>
      <c r="C16547" s="25">
        <v>14189337.5</v>
      </c>
      <c r="D16547" s="22" t="s">
        <v>19016</v>
      </c>
      <c r="E16547" s="22" t="s">
        <v>53</v>
      </c>
      <c r="F16547" s="23" t="str">
        <f>HYPERLINK("https://www.spark-marketing.ru/Card/Lot/67518237", "Микофенолата мофетил, капсулы и/или таблетки, покрытые пленочной оболочкой, 500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f>
        <v>Микофенолата мофетил, капсулы и/или таблетки, покрытые пленочной оболочкой, 500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v>
      </c>
      <c r="G16547" s="22" t="s">
        <v>428</v>
      </c>
      <c r="H16547" s="22" t="s">
        <v>429</v>
      </c>
      <c r="I16547" s="26">
        <v>43494</v>
      </c>
      <c r="J16547" s="23" t="str">
        <f>HYPERLINK("https://www.spark-marketing.ru/Card/Person/4345864", "АО ""Р-ФАРМ""")</f>
        <v>АО "Р-ФАРМ"</v>
      </c>
      <c r="K16547" s="24" t="s">
        <v>5343</v>
      </c>
      <c r="L16547" s="28" t="s">
        <v>52</v>
      </c>
      <c r="M16547" s="28" t="s">
        <v>52</v>
      </c>
      <c r="N16547" s="28" t="s">
        <v>52</v>
      </c>
    </row>
    <row r="16548" spans="1:14" ht="12.75" hidden="1" outlineLevel="1" x14ac:dyDescent="0.2">
      <c r="A16548" s="23" t="str">
        <f>HYPERLINK("https://www.spark-marketing.ru/Card/Person/4343740", "МИНЗДРАВ РОССИИ")</f>
        <v>МИНЗДРАВ РОССИИ</v>
      </c>
      <c r="B16548" s="24" t="s">
        <v>1666</v>
      </c>
      <c r="C16548" s="25">
        <v>14189337.5</v>
      </c>
      <c r="D16548" s="22" t="s">
        <v>19016</v>
      </c>
      <c r="E16548" s="22" t="s">
        <v>53</v>
      </c>
      <c r="F16548" s="23" t="str">
        <f>HYPERLINK("https://www.spark-marketing.ru/Card/Lot/67518237", "Микофенолата мофетил, капсулы и/или таблетки, покрытые пленочной оболочкой, 500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f>
        <v>Микофенолата мофетил, капсулы и/или таблетки, покрытые пленочной оболочкой, 500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v>
      </c>
      <c r="G16548" s="22" t="s">
        <v>428</v>
      </c>
      <c r="H16548" s="22" t="s">
        <v>429</v>
      </c>
      <c r="I16548" s="26">
        <v>43494</v>
      </c>
      <c r="J16548" s="23" t="str">
        <f>HYPERLINK("https://www.spark-marketing.ru/Card/Person/4345864", "АО ""Р-ФАРМ""")</f>
        <v>АО "Р-ФАРМ"</v>
      </c>
      <c r="K16548" s="24" t="s">
        <v>5343</v>
      </c>
      <c r="L16548" s="22" t="s">
        <v>10</v>
      </c>
      <c r="M16548" s="25">
        <v>14118390.810000001</v>
      </c>
      <c r="N16548" s="27">
        <v>5.000000176188635E-3</v>
      </c>
    </row>
    <row r="16549" spans="1:14" x14ac:dyDescent="0.15">
      <c r="A16549" s="23" t="str">
        <f>HYPERLINK("https://www.spark-marketing.ru/Card/Person/4343740", "МИНЗДРАВ РОССИИ")</f>
        <v>МИНЗДРАВ РОССИИ</v>
      </c>
      <c r="B16549" s="24" t="s">
        <v>1666</v>
      </c>
      <c r="C16549" s="25">
        <v>500481990.77999997</v>
      </c>
      <c r="D16549" s="22" t="s">
        <v>19017</v>
      </c>
      <c r="E16549" s="22" t="s">
        <v>53</v>
      </c>
      <c r="F16549" s="23" t="str">
        <f>HYPERLINK("https://www.spark-marketing.ru/Card/Lot/67541108", "Эптаког альфа (активированный), лиофилизат для приготовления раствора для внутривенного введения, 2-2,4 мг (100-120 КЕД/100-120 тыс. МЕ)   в рамках реализации постановления Правительства Российской Федерации от 26.11.2018 № 1416 ""О порядке организац...")</f>
        <v>Эптаког альфа (активированный), лиофилизат для приготовления раствора для внутривенного введения, 2-2,4 мг (100-120 КЕД/100-120 тыс. МЕ)   в рамках реализации постановления Правительства Российской Федерации от 26.11.2018 № 1416 "О порядке организац...</v>
      </c>
      <c r="G16549" s="22" t="s">
        <v>428</v>
      </c>
      <c r="H16549" s="22" t="s">
        <v>429</v>
      </c>
      <c r="I16549" s="26">
        <v>43494</v>
      </c>
      <c r="J16549" s="23" t="str">
        <f>HYPERLINK("https://www.spark-marketing.ru/Card/Person/42069", "АО ""ФАРМСТАНДАРТ""")</f>
        <v>АО "ФАРМСТАНДАРТ"</v>
      </c>
      <c r="K16549" s="24" t="s">
        <v>1668</v>
      </c>
      <c r="L16549" s="22" t="s">
        <v>10</v>
      </c>
      <c r="M16549" s="28" t="s">
        <v>52</v>
      </c>
      <c r="N16549" s="28" t="s">
        <v>52</v>
      </c>
    </row>
    <row r="16550" spans="1:14" x14ac:dyDescent="0.15">
      <c r="A16550" s="23" t="str">
        <f>HYPERLINK("https://www.spark-marketing.ru/Card/Person/3324", "ГБУЗ ""ГКБ ИМ. В.В. ВИНОГРАДОВА ДЗМ""")</f>
        <v>ГБУЗ "ГКБ ИМ. В.В. ВИНОГРАДОВА ДЗМ"</v>
      </c>
      <c r="B16550" s="24" t="s">
        <v>19018</v>
      </c>
      <c r="C16550" s="25">
        <v>254916</v>
      </c>
      <c r="D16550" s="22" t="s">
        <v>19019</v>
      </c>
      <c r="E16550" s="22" t="s">
        <v>107</v>
      </c>
      <c r="F16550" s="23" t="str">
        <f>HYPERLINK("https://www.spark-marketing.ru/Card/Lot/67533188", "Предоставление охранных услуг (Охрана комнат хранения наркотических средств 1,2 категории )")</f>
        <v>Предоставление охранных услуг (Охрана комнат хранения наркотических средств 1,2 категории )</v>
      </c>
      <c r="G16550" s="22" t="s">
        <v>55</v>
      </c>
      <c r="H16550" s="22" t="s">
        <v>55</v>
      </c>
      <c r="I16550" s="26">
        <v>43494</v>
      </c>
      <c r="J16550" s="28" t="s">
        <v>52</v>
      </c>
      <c r="K16550" s="28" t="s">
        <v>52</v>
      </c>
      <c r="L16550" s="28" t="s">
        <v>52</v>
      </c>
      <c r="M16550" s="28" t="s">
        <v>52</v>
      </c>
      <c r="N16550" s="28" t="s">
        <v>52</v>
      </c>
    </row>
    <row r="16551" spans="1:14" x14ac:dyDescent="0.15">
      <c r="A16551" s="23" t="str">
        <f>HYPERLINK("https://www.spark-marketing.ru/Card/Person/4862096", "УПФР В МАКУШИНСКОМ РАЙОНЕ КУРГАНСКОЙ ОБЛАСТИ (МЕЖРАЙОННОЕ)")</f>
        <v>УПФР В МАКУШИНСКОМ РАЙОНЕ КУРГАНСКОЙ ОБЛАСТИ (МЕЖРАЙОННОЕ)</v>
      </c>
      <c r="B16551" s="24" t="s">
        <v>15499</v>
      </c>
      <c r="C16551" s="25">
        <v>143236.07999999999</v>
      </c>
      <c r="D16551" s="22" t="s">
        <v>19020</v>
      </c>
      <c r="E16551" s="22" t="s">
        <v>68</v>
      </c>
      <c r="F16551" s="23" t="str">
        <f>HYPERLINK("https://www.spark-marketing.ru/Card/Lot/67513545", "охрана объектов г. Петухово")</f>
        <v>охрана объектов г. Петухово</v>
      </c>
      <c r="G16551" s="22" t="s">
        <v>626</v>
      </c>
      <c r="H16551" s="22" t="s">
        <v>626</v>
      </c>
      <c r="I16551" s="26">
        <v>43494</v>
      </c>
      <c r="J16551" s="28" t="s">
        <v>52</v>
      </c>
      <c r="K16551" s="28" t="s">
        <v>52</v>
      </c>
      <c r="L16551" s="28" t="s">
        <v>52</v>
      </c>
      <c r="M16551" s="28" t="s">
        <v>52</v>
      </c>
      <c r="N16551" s="28" t="s">
        <v>52</v>
      </c>
    </row>
    <row r="16552" spans="1:14" x14ac:dyDescent="0.15">
      <c r="A16552" s="23" t="str">
        <f>HYPERLINK("https://www.spark-marketing.ru/Card/Person/62216", "УПРАВЛЕНИЕ РОССЕЛЬХОЗНАДЗОРА ПО ЧЕЛЯБИНСКОЙ ОБЛАСТИ")</f>
        <v>УПРАВЛЕНИЕ РОССЕЛЬХОЗНАДЗОРА ПО ЧЕЛЯБИНСКОЙ ОБЛАСТИ</v>
      </c>
      <c r="B16552" s="24" t="s">
        <v>19021</v>
      </c>
      <c r="C16552" s="25">
        <v>193083.83</v>
      </c>
      <c r="D16552" s="22" t="s">
        <v>19022</v>
      </c>
      <c r="E16552" s="22" t="s">
        <v>68</v>
      </c>
      <c r="F16552" s="23" t="str">
        <f>HYPERLINK("https://www.spark-marketing.ru/Card/Lot/67515352", "Услуги охраны объектов")</f>
        <v>Услуги охраны объектов</v>
      </c>
      <c r="G16552" s="22" t="s">
        <v>60</v>
      </c>
      <c r="H16552" s="22" t="s">
        <v>60</v>
      </c>
      <c r="I16552" s="26">
        <v>43494</v>
      </c>
      <c r="J16552" s="28" t="s">
        <v>52</v>
      </c>
      <c r="K16552" s="28" t="s">
        <v>52</v>
      </c>
      <c r="L16552" s="28" t="s">
        <v>52</v>
      </c>
      <c r="M16552" s="28" t="s">
        <v>52</v>
      </c>
      <c r="N16552" s="28" t="s">
        <v>52</v>
      </c>
    </row>
    <row r="16553" spans="1:14" ht="12.75" hidden="1" outlineLevel="1" x14ac:dyDescent="0.2">
      <c r="A16553" s="23" t="str">
        <f>HYPERLINK("https://www.spark-marketing.ru/Card/Person/62216", "УПРАВЛЕНИЕ РОССЕЛЬХОЗНАДЗОРА ПО ЧЕЛЯБИНСКОЙ ОБЛАСТИ")</f>
        <v>УПРАВЛЕНИЕ РОССЕЛЬХОЗНАДЗОРА ПО ЧЕЛЯБИНСКОЙ ОБЛАСТИ</v>
      </c>
      <c r="B16553" s="24" t="s">
        <v>19021</v>
      </c>
      <c r="C16553" s="25">
        <v>193083.83</v>
      </c>
      <c r="D16553" s="22" t="s">
        <v>19022</v>
      </c>
      <c r="E16553" s="22" t="s">
        <v>68</v>
      </c>
      <c r="F16553" s="23" t="str">
        <f>HYPERLINK("https://www.spark-marketing.ru/Card/Lot/67515352", "Услуги охраны объектов")</f>
        <v>Услуги охраны объектов</v>
      </c>
      <c r="G16553" s="22" t="s">
        <v>60</v>
      </c>
      <c r="H16553" s="22" t="s">
        <v>60</v>
      </c>
      <c r="I16553" s="26">
        <v>43494</v>
      </c>
      <c r="J16553" s="23" t="str">
        <f>HYPERLINK("https://www.spark-marketing.ru/Card/Person/10487", "ФГУП ""ОХРАНА"" РОСГВАРДИИ")</f>
        <v>ФГУП "ОХРАНА" РОСГВАРДИИ</v>
      </c>
      <c r="K16553" s="24" t="s">
        <v>779</v>
      </c>
      <c r="L16553" s="22" t="s">
        <v>10</v>
      </c>
      <c r="M16553" s="25">
        <v>192118.41</v>
      </c>
      <c r="N16553" s="27">
        <v>5.0000044022329576E-3</v>
      </c>
    </row>
    <row r="16554" spans="1:14" hidden="1" outlineLevel="1" x14ac:dyDescent="0.2">
      <c r="A16554" s="23" t="str">
        <f>HYPERLINK("https://www.spark-marketing.ru/Card/Person/62216", "УПРАВЛЕНИЕ РОССЕЛЬХОЗНАДЗОРА ПО ЧЕЛЯБИНСКОЙ ОБЛАСТИ")</f>
        <v>УПРАВЛЕНИЕ РОССЕЛЬХОЗНАДЗОРА ПО ЧЕЛЯБИНСКОЙ ОБЛАСТИ</v>
      </c>
      <c r="B16554" s="24" t="s">
        <v>19021</v>
      </c>
      <c r="C16554" s="25">
        <v>193083.83</v>
      </c>
      <c r="D16554" s="22" t="s">
        <v>19022</v>
      </c>
      <c r="E16554" s="22" t="s">
        <v>68</v>
      </c>
      <c r="F16554" s="23" t="str">
        <f>HYPERLINK("https://www.spark-marketing.ru/Card/Lot/67515352", "Услуги охраны объектов")</f>
        <v>Услуги охраны объектов</v>
      </c>
      <c r="G16554" s="22" t="s">
        <v>60</v>
      </c>
      <c r="H16554" s="22" t="s">
        <v>60</v>
      </c>
      <c r="I16554" s="26">
        <v>43494</v>
      </c>
      <c r="J16554" s="23" t="str">
        <f>HYPERLINK("https://www.spark-marketing.ru/Card/Person/859717", "ООО ""ЧОО ""ОМЕГА""")</f>
        <v>ООО "ЧОО "ОМЕГА"</v>
      </c>
      <c r="K16554" s="24" t="s">
        <v>8533</v>
      </c>
      <c r="L16554" s="28" t="s">
        <v>52</v>
      </c>
      <c r="M16554" s="25">
        <v>192118.41</v>
      </c>
      <c r="N16554" s="27">
        <v>5.0000044022329576E-3</v>
      </c>
    </row>
    <row r="16555" spans="1:14" x14ac:dyDescent="0.15">
      <c r="A16555" s="23" t="str">
        <f>HYPERLINK("https://www.spark-marketing.ru/Card/Person/4343740", "МИНЗДРАВ РОССИИ")</f>
        <v>МИНЗДРАВ РОССИИ</v>
      </c>
      <c r="B16555" s="24" t="s">
        <v>1666</v>
      </c>
      <c r="C16555" s="25">
        <v>21345380</v>
      </c>
      <c r="D16555" s="22" t="s">
        <v>19023</v>
      </c>
      <c r="E16555" s="22" t="s">
        <v>53</v>
      </c>
      <c r="F16555" s="23" t="str">
        <f>HYPERLINK("https://www.spark-marketing.ru/Card/Lot/67541040", "Микофенолата мофетил, капсулы и/или таблетки, покрытые пленочной оболочкой, 250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f>
        <v>Микофенолата мофетил, капсулы и/или таблетки, покрытые пленочной оболочкой, 250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v>
      </c>
      <c r="G16555" s="22" t="s">
        <v>428</v>
      </c>
      <c r="H16555" s="22" t="s">
        <v>429</v>
      </c>
      <c r="I16555" s="26">
        <v>43494</v>
      </c>
      <c r="J16555" s="23" t="str">
        <f>HYPERLINK("https://www.spark-marketing.ru/Card/Person/4345864", "АО ""Р-ФАРМ""")</f>
        <v>АО "Р-ФАРМ"</v>
      </c>
      <c r="K16555" s="24" t="s">
        <v>5343</v>
      </c>
      <c r="L16555" s="28" t="s">
        <v>52</v>
      </c>
      <c r="M16555" s="28" t="s">
        <v>52</v>
      </c>
      <c r="N16555" s="28" t="s">
        <v>52</v>
      </c>
    </row>
    <row r="16556" spans="1:14" ht="12.75" hidden="1" outlineLevel="1" x14ac:dyDescent="0.2">
      <c r="A16556" s="23" t="str">
        <f>HYPERLINK("https://www.spark-marketing.ru/Card/Person/4343740", "МИНЗДРАВ РОССИИ")</f>
        <v>МИНЗДРАВ РОССИИ</v>
      </c>
      <c r="B16556" s="24" t="s">
        <v>1666</v>
      </c>
      <c r="C16556" s="25">
        <v>21345380</v>
      </c>
      <c r="D16556" s="22" t="s">
        <v>19023</v>
      </c>
      <c r="E16556" s="22" t="s">
        <v>53</v>
      </c>
      <c r="F16556" s="23" t="str">
        <f>HYPERLINK("https://www.spark-marketing.ru/Card/Lot/67541040", "Микофенолата мофетил, капсулы и/или таблетки, покрытые пленочной оболочкой, 250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f>
        <v>Микофенолата мофетил, капсулы и/или таблетки, покрытые пленочной оболочкой, 250 мг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v>
      </c>
      <c r="G16556" s="22" t="s">
        <v>428</v>
      </c>
      <c r="H16556" s="22" t="s">
        <v>429</v>
      </c>
      <c r="I16556" s="26">
        <v>43494</v>
      </c>
      <c r="J16556" s="23" t="str">
        <f>HYPERLINK("https://www.spark-marketing.ru/Card/Person/4345864", "АО ""Р-ФАРМ""")</f>
        <v>АО "Р-ФАРМ"</v>
      </c>
      <c r="K16556" s="24" t="s">
        <v>5343</v>
      </c>
      <c r="L16556" s="22" t="s">
        <v>10</v>
      </c>
      <c r="M16556" s="25">
        <v>21238653.100000001</v>
      </c>
      <c r="N16556" s="27">
        <v>5.0000000000000001E-3</v>
      </c>
    </row>
    <row r="16557" spans="1:14" x14ac:dyDescent="0.15">
      <c r="A16557" s="23" t="str">
        <f>HYPERLINK("https://www.spark-marketing.ru/Card/Person/113519", "ФГКУ КОМБИНАТ ""АЛЫЙ СТЯГ"" РОСРЕЗЕРВА")</f>
        <v>ФГКУ КОМБИНАТ "АЛЫЙ СТЯГ" РОСРЕЗЕРВА</v>
      </c>
      <c r="B16557" s="24" t="s">
        <v>19024</v>
      </c>
      <c r="C16557" s="25">
        <v>124100</v>
      </c>
      <c r="D16557" s="22" t="s">
        <v>19025</v>
      </c>
      <c r="E16557" s="22" t="s">
        <v>68</v>
      </c>
      <c r="F16557" s="23" t="str">
        <f>HYPERLINK("https://www.spark-marketing.ru/Card/Lot/67526792", "Услуги по охране объектов переданных под централизованное наблюдение")</f>
        <v>Услуги по охране объектов переданных под централизованное наблюдение</v>
      </c>
      <c r="G16557" s="22" t="s">
        <v>391</v>
      </c>
      <c r="H16557" s="22" t="s">
        <v>392</v>
      </c>
      <c r="I16557" s="26">
        <v>43494</v>
      </c>
      <c r="J16557" s="23" t="str">
        <f>HYPERLINK("https://www.spark-marketing.ru/Card/Person/4377704", "УВО по г. Перми – филиал ФГКУ ""УВО ВНГ России по Пермскому краю""")</f>
        <v>УВО по г. Перми – филиал ФГКУ "УВО ВНГ России по Пермскому краю"</v>
      </c>
      <c r="K16557" s="24" t="s">
        <v>19026</v>
      </c>
      <c r="L16557" s="22" t="s">
        <v>10</v>
      </c>
      <c r="M16557" s="28" t="s">
        <v>52</v>
      </c>
      <c r="N16557" s="28" t="s">
        <v>52</v>
      </c>
    </row>
    <row r="16558" spans="1:14" x14ac:dyDescent="0.15">
      <c r="A16558" s="23" t="str">
        <f>HYPERLINK("https://www.spark-marketing.ru/Card/Person/31409", "МЕЖРАЙОННАЯ ИФНС РОССИИ № 3 ПО ЯМАЛО-НЕНЕЦКОМУ АВТОНОМНОМУ ОКРУГУ")</f>
        <v>МЕЖРАЙОННАЯ ИФНС РОССИИ № 3 ПО ЯМАЛО-НЕНЕЦКОМУ АВТОНОМНОМУ ОКРУГУ</v>
      </c>
      <c r="B16558" s="24" t="s">
        <v>18934</v>
      </c>
      <c r="C16558" s="25">
        <v>23092.2</v>
      </c>
      <c r="D16558" s="22" t="s">
        <v>19027</v>
      </c>
      <c r="E16558" s="22" t="s">
        <v>68</v>
      </c>
      <c r="F16558" s="23" t="str">
        <f>HYPERLINK("https://www.spark-marketing.ru/Card/Lot/67525053", "Услуги оперативного реагирования на срабатывание тревожной сигнализации Межрайонной ИФНС России  № 3 по Ямало-Ненецкому автономному округу  (тревожная кнопка) (Тарко-Сале)")</f>
        <v>Услуги оперативного реагирования на срабатывание тревожной сигнализации Межрайонной ИФНС России  № 3 по Ямало-Ненецкому автономному округу  (тревожная кнопка) (Тарко-Сале)</v>
      </c>
      <c r="G16558" s="22" t="s">
        <v>311</v>
      </c>
      <c r="H16558" s="22" t="s">
        <v>311</v>
      </c>
      <c r="I16558" s="26">
        <v>43494</v>
      </c>
      <c r="J16558" s="28" t="s">
        <v>52</v>
      </c>
      <c r="K16558" s="28" t="s">
        <v>52</v>
      </c>
      <c r="L16558" s="28" t="s">
        <v>52</v>
      </c>
      <c r="M16558" s="28" t="s">
        <v>52</v>
      </c>
      <c r="N16558" s="28" t="s">
        <v>52</v>
      </c>
    </row>
    <row r="16559" spans="1:14" x14ac:dyDescent="0.15">
      <c r="A16559" s="23" t="str">
        <f>HYPERLINK("https://www.spark-marketing.ru/Card/Person/149041", "МБДОУ ""ДЕТСКИЙ САД ОБЩЕРАЗВИВАЮЩЕГО ВИДА №7"" НМР РТ")</f>
        <v>МБДОУ "ДЕТСКИЙ САД ОБЩЕРАЗВИВАЮЩЕГО ВИДА №7" НМР РТ</v>
      </c>
      <c r="B16559" s="24" t="s">
        <v>15126</v>
      </c>
      <c r="C16559" s="25">
        <v>4000</v>
      </c>
      <c r="D16559" s="22" t="s">
        <v>19028</v>
      </c>
      <c r="E16559" s="22" t="s">
        <v>53</v>
      </c>
      <c r="F16559" s="23" t="str">
        <f>HYPERLINK("https://www.spark-marketing.ru/Card/Lot/73681269", "Техническое обслуживание системы видеонаблюдения")</f>
        <v>Техническое обслуживание системы видеонаблюдения</v>
      </c>
      <c r="G16559" s="22" t="s">
        <v>204</v>
      </c>
      <c r="H16559" s="22" t="s">
        <v>824</v>
      </c>
      <c r="I16559" s="26">
        <v>43494.000694444403</v>
      </c>
      <c r="J16559" s="28" t="s">
        <v>52</v>
      </c>
      <c r="K16559" s="28" t="s">
        <v>52</v>
      </c>
      <c r="L16559" s="28" t="s">
        <v>52</v>
      </c>
      <c r="M16559" s="28" t="s">
        <v>52</v>
      </c>
      <c r="N16559" s="28" t="s">
        <v>52</v>
      </c>
    </row>
    <row r="16560" spans="1:14" x14ac:dyDescent="0.15">
      <c r="A16560" s="23" t="str">
        <f>HYPERLINK("https://www.spark-marketing.ru/Card/Person/20794", "ОБЛКОМДОРТРАНС")</f>
        <v>ОБЛКОМДОРТРАНС</v>
      </c>
      <c r="B16560" s="24" t="s">
        <v>18804</v>
      </c>
      <c r="C16560" s="25">
        <v>22176000</v>
      </c>
      <c r="D16560" s="22" t="s">
        <v>19029</v>
      </c>
      <c r="E16560" s="22" t="s">
        <v>68</v>
      </c>
      <c r="F16560" s="23" t="str">
        <f>HYPERLINK("https://www.spark-marketing.ru/Card/Lot/67529474", "Оказание охранных услуг на объекте: ""Первый пусковой комплекс первой очереди мостового перехода через р. Волгу в г. Волгограде""")</f>
        <v>Оказание охранных услуг на объекте: "Первый пусковой комплекс первой очереди мостового перехода через р. Волгу в г. Волгограде"</v>
      </c>
      <c r="G16560" s="22" t="s">
        <v>343</v>
      </c>
      <c r="H16560" s="22" t="s">
        <v>344</v>
      </c>
      <c r="I16560" s="26">
        <v>43494</v>
      </c>
      <c r="J16560" s="28" t="s">
        <v>52</v>
      </c>
      <c r="K16560" s="28" t="s">
        <v>52</v>
      </c>
      <c r="L16560" s="28" t="s">
        <v>52</v>
      </c>
      <c r="M16560" s="28" t="s">
        <v>52</v>
      </c>
      <c r="N16560" s="28" t="s">
        <v>52</v>
      </c>
    </row>
    <row r="16561" spans="1:14" x14ac:dyDescent="0.15">
      <c r="A16561" s="23" t="str">
        <f>HYPERLINK("https://www.spark-marketing.ru/Card/Person/1006713", "МБУ ""РЦК""")</f>
        <v>МБУ "РЦК"</v>
      </c>
      <c r="B16561" s="24" t="s">
        <v>19030</v>
      </c>
      <c r="C16561" s="25">
        <v>6588</v>
      </c>
      <c r="D16561" s="22" t="s">
        <v>19031</v>
      </c>
      <c r="E16561" s="22" t="s">
        <v>68</v>
      </c>
      <c r="F16561" s="23" t="str">
        <f>HYPERLINK("https://www.spark-marketing.ru/Card/Lot/67517998", "Охрана объектов подразделениями вневедомственной охраны при ОВД(посредством использования тревожной сигнализации)")</f>
        <v>Охрана объектов подразделениями вневедомственной охраны при ОВД(посредством использования тревожной сигнализации)</v>
      </c>
      <c r="G16561" s="22" t="s">
        <v>565</v>
      </c>
      <c r="H16561" s="22" t="s">
        <v>773</v>
      </c>
      <c r="I16561" s="26">
        <v>43494</v>
      </c>
      <c r="J16561" s="28" t="s">
        <v>52</v>
      </c>
      <c r="K16561" s="28" t="s">
        <v>52</v>
      </c>
      <c r="L16561" s="28" t="s">
        <v>52</v>
      </c>
      <c r="M16561" s="28" t="s">
        <v>52</v>
      </c>
      <c r="N16561" s="28" t="s">
        <v>52</v>
      </c>
    </row>
    <row r="16562" spans="1:14" x14ac:dyDescent="0.15">
      <c r="A16562" s="23" t="str">
        <f t="shared" ref="A16562:A16570" si="855">HYPERLINK("https://www.spark-marketing.ru/Card/Person/1848878", "МБОУ СШ С.ПУШКИНО")</f>
        <v>МБОУ СШ С.ПУШКИНО</v>
      </c>
      <c r="B16562" s="24" t="s">
        <v>19032</v>
      </c>
      <c r="C16562" s="25">
        <v>143812.41</v>
      </c>
      <c r="D16562" s="22" t="s">
        <v>19033</v>
      </c>
      <c r="E16562" s="22" t="s">
        <v>59</v>
      </c>
      <c r="F16562" s="23" t="str">
        <f t="shared" ref="F16562:F16570" si="856">HYPERLINK("https://www.spark-marketing.ru/Card/Lot/67529663", "Работы по установке системы видеонаблюдения для МБОУ СШ с.Пушкино")</f>
        <v>Работы по установке системы видеонаблюдения для МБОУ СШ с.Пушкино</v>
      </c>
      <c r="G16562" s="22" t="s">
        <v>629</v>
      </c>
      <c r="H16562" s="22" t="s">
        <v>18971</v>
      </c>
      <c r="I16562" s="26">
        <v>43494</v>
      </c>
      <c r="J16562" s="28" t="s">
        <v>52</v>
      </c>
      <c r="K16562" s="28" t="s">
        <v>52</v>
      </c>
      <c r="L16562" s="28" t="s">
        <v>52</v>
      </c>
      <c r="M16562" s="28" t="s">
        <v>52</v>
      </c>
      <c r="N16562" s="28" t="s">
        <v>52</v>
      </c>
    </row>
    <row r="16563" spans="1:14" hidden="1" outlineLevel="1" x14ac:dyDescent="0.2">
      <c r="A16563" s="23" t="str">
        <f t="shared" si="855"/>
        <v>МБОУ СШ С.ПУШКИНО</v>
      </c>
      <c r="B16563" s="24" t="s">
        <v>19032</v>
      </c>
      <c r="C16563" s="25">
        <v>143812.41</v>
      </c>
      <c r="D16563" s="22" t="s">
        <v>19033</v>
      </c>
      <c r="E16563" s="22" t="s">
        <v>59</v>
      </c>
      <c r="F16563" s="23" t="str">
        <f t="shared" si="856"/>
        <v>Работы по установке системы видеонаблюдения для МБОУ СШ с.Пушкино</v>
      </c>
      <c r="G16563" s="22" t="s">
        <v>629</v>
      </c>
      <c r="H16563" s="22" t="s">
        <v>18971</v>
      </c>
      <c r="I16563" s="26">
        <v>43494</v>
      </c>
      <c r="J16563" s="23" t="str">
        <f>HYPERLINK("https://www.spark-marketing.ru/Card/Person/4343455", "ООО ""ДЕЛК""")</f>
        <v>ООО "ДЕЛК"</v>
      </c>
      <c r="K16563" s="24" t="s">
        <v>18975</v>
      </c>
      <c r="L16563" s="28" t="s">
        <v>52</v>
      </c>
      <c r="M16563" s="25">
        <v>129260.99</v>
      </c>
      <c r="N16563" s="27">
        <v>0.10118334015819636</v>
      </c>
    </row>
    <row r="16564" spans="1:14" hidden="1" outlineLevel="1" x14ac:dyDescent="0.2">
      <c r="A16564" s="23" t="str">
        <f t="shared" si="855"/>
        <v>МБОУ СШ С.ПУШКИНО</v>
      </c>
      <c r="B16564" s="24" t="s">
        <v>19032</v>
      </c>
      <c r="C16564" s="25">
        <v>143812.41</v>
      </c>
      <c r="D16564" s="22" t="s">
        <v>19033</v>
      </c>
      <c r="E16564" s="22" t="s">
        <v>59</v>
      </c>
      <c r="F16564" s="23" t="str">
        <f t="shared" si="856"/>
        <v>Работы по установке системы видеонаблюдения для МБОУ СШ с.Пушкино</v>
      </c>
      <c r="G16564" s="22" t="s">
        <v>629</v>
      </c>
      <c r="H16564" s="22" t="s">
        <v>18971</v>
      </c>
      <c r="I16564" s="26">
        <v>43494</v>
      </c>
      <c r="J16564" s="23" t="str">
        <f>HYPERLINK("https://www.spark-marketing.ru/Card/Person/6364323", "ООО ""АТЛАС""")</f>
        <v>ООО "АТЛАС"</v>
      </c>
      <c r="K16564" s="24" t="s">
        <v>18974</v>
      </c>
      <c r="L16564" s="28" t="s">
        <v>52</v>
      </c>
      <c r="M16564" s="25">
        <v>120000</v>
      </c>
      <c r="N16564" s="27">
        <v>0.16557966033668445</v>
      </c>
    </row>
    <row r="16565" spans="1:14" hidden="1" outlineLevel="1" x14ac:dyDescent="0.2">
      <c r="A16565" s="23" t="str">
        <f t="shared" si="855"/>
        <v>МБОУ СШ С.ПУШКИНО</v>
      </c>
      <c r="B16565" s="24" t="s">
        <v>19032</v>
      </c>
      <c r="C16565" s="25">
        <v>143812.41</v>
      </c>
      <c r="D16565" s="22" t="s">
        <v>19033</v>
      </c>
      <c r="E16565" s="22" t="s">
        <v>59</v>
      </c>
      <c r="F16565" s="23" t="str">
        <f t="shared" si="856"/>
        <v>Работы по установке системы видеонаблюдения для МБОУ СШ с.Пушкино</v>
      </c>
      <c r="G16565" s="22" t="s">
        <v>629</v>
      </c>
      <c r="H16565" s="22" t="s">
        <v>18971</v>
      </c>
      <c r="I16565" s="26">
        <v>43494</v>
      </c>
      <c r="J16565" s="23" t="str">
        <f>HYPERLINK("https://www.spark-marketing.ru/Card/Person/150793", "ООО ""ПЕЛЕН""")</f>
        <v>ООО "ПЕЛЕН"</v>
      </c>
      <c r="K16565" s="24" t="s">
        <v>3054</v>
      </c>
      <c r="L16565" s="28" t="s">
        <v>52</v>
      </c>
      <c r="M16565" s="25">
        <v>120000</v>
      </c>
      <c r="N16565" s="27">
        <v>0.16557966033668445</v>
      </c>
    </row>
    <row r="16566" spans="1:14" hidden="1" outlineLevel="1" x14ac:dyDescent="0.2">
      <c r="A16566" s="23" t="str">
        <f t="shared" si="855"/>
        <v>МБОУ СШ С.ПУШКИНО</v>
      </c>
      <c r="B16566" s="24" t="s">
        <v>19032</v>
      </c>
      <c r="C16566" s="25">
        <v>143812.41</v>
      </c>
      <c r="D16566" s="22" t="s">
        <v>19033</v>
      </c>
      <c r="E16566" s="22" t="s">
        <v>59</v>
      </c>
      <c r="F16566" s="23" t="str">
        <f t="shared" si="856"/>
        <v>Работы по установке системы видеонаблюдения для МБОУ СШ с.Пушкино</v>
      </c>
      <c r="G16566" s="22" t="s">
        <v>629</v>
      </c>
      <c r="H16566" s="22" t="s">
        <v>18971</v>
      </c>
      <c r="I16566" s="26">
        <v>43494</v>
      </c>
      <c r="J16566" s="23" t="str">
        <f>HYPERLINK("https://www.spark-marketing.ru/Card/Person/515166", "ООО ""ФАКТОР БЕЗОПАСНОСТИ""")</f>
        <v>ООО "ФАКТОР БЕЗОПАСНОСТИ"</v>
      </c>
      <c r="K16566" s="24" t="s">
        <v>18972</v>
      </c>
      <c r="L16566" s="28" t="s">
        <v>52</v>
      </c>
      <c r="M16566" s="25">
        <v>104081.57</v>
      </c>
      <c r="N16566" s="27">
        <v>0.27626850839924039</v>
      </c>
    </row>
    <row r="16567" spans="1:14" hidden="1" outlineLevel="1" x14ac:dyDescent="0.2">
      <c r="A16567" s="23" t="str">
        <f t="shared" si="855"/>
        <v>МБОУ СШ С.ПУШКИНО</v>
      </c>
      <c r="B16567" s="24" t="s">
        <v>19032</v>
      </c>
      <c r="C16567" s="25">
        <v>143812.41</v>
      </c>
      <c r="D16567" s="22" t="s">
        <v>19033</v>
      </c>
      <c r="E16567" s="22" t="s">
        <v>59</v>
      </c>
      <c r="F16567" s="23" t="str">
        <f t="shared" si="856"/>
        <v>Работы по установке системы видеонаблюдения для МБОУ СШ с.Пушкино</v>
      </c>
      <c r="G16567" s="22" t="s">
        <v>629</v>
      </c>
      <c r="H16567" s="22" t="s">
        <v>18971</v>
      </c>
      <c r="I16567" s="26">
        <v>43494</v>
      </c>
      <c r="J16567" s="23" t="str">
        <f>HYPERLINK("https://www.spark-marketing.ru/Card/Person/4721782", "ООО ""СВ-ГРУПП""")</f>
        <v>ООО "СВ-ГРУПП"</v>
      </c>
      <c r="K16567" s="24" t="s">
        <v>18662</v>
      </c>
      <c r="L16567" s="28" t="s">
        <v>52</v>
      </c>
      <c r="M16567" s="25">
        <v>143093.35</v>
      </c>
      <c r="N16567" s="27">
        <v>4.9999857453191972E-3</v>
      </c>
    </row>
    <row r="16568" spans="1:14" hidden="1" outlineLevel="1" x14ac:dyDescent="0.2">
      <c r="A16568" s="23" t="str">
        <f t="shared" si="855"/>
        <v>МБОУ СШ С.ПУШКИНО</v>
      </c>
      <c r="B16568" s="24" t="s">
        <v>19032</v>
      </c>
      <c r="C16568" s="25">
        <v>143812.41</v>
      </c>
      <c r="D16568" s="22" t="s">
        <v>19033</v>
      </c>
      <c r="E16568" s="22" t="s">
        <v>59</v>
      </c>
      <c r="F16568" s="23" t="str">
        <f t="shared" si="856"/>
        <v>Работы по установке системы видеонаблюдения для МБОУ СШ с.Пушкино</v>
      </c>
      <c r="G16568" s="22" t="s">
        <v>629</v>
      </c>
      <c r="H16568" s="22" t="s">
        <v>18971</v>
      </c>
      <c r="I16568" s="26">
        <v>43494</v>
      </c>
      <c r="J16568" s="23" t="str">
        <f>HYPERLINK("https://www.spark-marketing.ru/Card/Person/4962434", "ООО ""СБ РНД""")</f>
        <v>ООО "СБ РНД"</v>
      </c>
      <c r="K16568" s="24" t="s">
        <v>4613</v>
      </c>
      <c r="L16568" s="28" t="s">
        <v>52</v>
      </c>
      <c r="M16568" s="25">
        <v>68561.88</v>
      </c>
      <c r="N16568" s="27">
        <v>0.52325477335370429</v>
      </c>
    </row>
    <row r="16569" spans="1:14" ht="12.75" hidden="1" outlineLevel="1" x14ac:dyDescent="0.2">
      <c r="A16569" s="23" t="str">
        <f t="shared" si="855"/>
        <v>МБОУ СШ С.ПУШКИНО</v>
      </c>
      <c r="B16569" s="24" t="s">
        <v>19032</v>
      </c>
      <c r="C16569" s="25">
        <v>143812.41</v>
      </c>
      <c r="D16569" s="22" t="s">
        <v>19033</v>
      </c>
      <c r="E16569" s="22" t="s">
        <v>59</v>
      </c>
      <c r="F16569" s="23" t="str">
        <f t="shared" si="856"/>
        <v>Работы по установке системы видеонаблюдения для МБОУ СШ с.Пушкино</v>
      </c>
      <c r="G16569" s="22" t="s">
        <v>629</v>
      </c>
      <c r="H16569" s="22" t="s">
        <v>18971</v>
      </c>
      <c r="I16569" s="26">
        <v>43494</v>
      </c>
      <c r="J16569" s="23" t="str">
        <f>HYPERLINK("https://www.spark-marketing.ru/Card/Person/18883", "ООО ""БЭКСТР""")</f>
        <v>ООО "БЭКСТР"</v>
      </c>
      <c r="K16569" s="24" t="s">
        <v>9050</v>
      </c>
      <c r="L16569" s="22" t="s">
        <v>10</v>
      </c>
      <c r="M16569" s="25">
        <v>67842.820000000007</v>
      </c>
      <c r="N16569" s="27">
        <v>0.52825475909902353</v>
      </c>
    </row>
    <row r="16570" spans="1:14" hidden="1" outlineLevel="1" x14ac:dyDescent="0.2">
      <c r="A16570" s="23" t="str">
        <f t="shared" si="855"/>
        <v>МБОУ СШ С.ПУШКИНО</v>
      </c>
      <c r="B16570" s="24" t="s">
        <v>19032</v>
      </c>
      <c r="C16570" s="25">
        <v>143812.41</v>
      </c>
      <c r="D16570" s="22" t="s">
        <v>19033</v>
      </c>
      <c r="E16570" s="22" t="s">
        <v>59</v>
      </c>
      <c r="F16570" s="23" t="str">
        <f t="shared" si="856"/>
        <v>Работы по установке системы видеонаблюдения для МБОУ СШ с.Пушкино</v>
      </c>
      <c r="G16570" s="22" t="s">
        <v>629</v>
      </c>
      <c r="H16570" s="22" t="s">
        <v>18971</v>
      </c>
      <c r="I16570" s="26">
        <v>43494</v>
      </c>
      <c r="J16570" s="23" t="str">
        <f>HYPERLINK("https://www.spark-marketing.ru/Card/Person/6324178", "ООО ""НИКС СЕРВИС""")</f>
        <v>ООО "НИКС СЕРВИС"</v>
      </c>
      <c r="K16570" s="24" t="s">
        <v>18978</v>
      </c>
      <c r="L16570" s="28" t="s">
        <v>52</v>
      </c>
      <c r="M16570" s="25">
        <v>70000</v>
      </c>
      <c r="N16570" s="27">
        <v>0.51325480186306593</v>
      </c>
    </row>
    <row r="16571" spans="1:14" x14ac:dyDescent="0.15">
      <c r="A16571" s="23" t="str">
        <f>HYPERLINK("https://www.spark-marketing.ru/Card/Person/156011", "АДМИНИСТРАЦИЯ БАТЫРЕВСКОГО РАЙОНА")</f>
        <v>АДМИНИСТРАЦИЯ БАТЫРЕВСКОГО РАЙОНА</v>
      </c>
      <c r="B16571" s="24" t="s">
        <v>19034</v>
      </c>
      <c r="C16571" s="25">
        <v>562955</v>
      </c>
      <c r="D16571" s="22" t="s">
        <v>19035</v>
      </c>
      <c r="E16571" s="22" t="s">
        <v>68</v>
      </c>
      <c r="F16571" s="23" t="str">
        <f>HYPERLINK("https://www.spark-marketing.ru/Card/Lot/67533101", "Оказание охранных услуг")</f>
        <v>Оказание охранных услуг</v>
      </c>
      <c r="G16571" s="22" t="s">
        <v>1137</v>
      </c>
      <c r="H16571" s="22" t="s">
        <v>19036</v>
      </c>
      <c r="I16571" s="26">
        <v>43494</v>
      </c>
      <c r="J16571" s="23" t="str">
        <f>HYPERLINK("https://www.spark-marketing.ru/Card/Person/456132", "ООО ""ЧОО ""АЛЬФА""")</f>
        <v>ООО "ЧОО "АЛЬФА"</v>
      </c>
      <c r="K16571" s="24" t="s">
        <v>6293</v>
      </c>
      <c r="L16571" s="22" t="s">
        <v>10</v>
      </c>
      <c r="M16571" s="28" t="s">
        <v>52</v>
      </c>
      <c r="N16571" s="28" t="s">
        <v>52</v>
      </c>
    </row>
    <row r="16572" spans="1:14" ht="12.75" x14ac:dyDescent="0.2">
      <c r="A16572" s="23" t="str">
        <f>HYPERLINK("https://www.spark-marketing.ru/Card/Person/134955", "МЕЖРАЙОННАЯ ИФНС РОССИИ № 3 ПО РЕСПУБЛИКЕ САХА (ЯКУТИЯ)")</f>
        <v>МЕЖРАЙОННАЯ ИФНС РОССИИ № 3 ПО РЕСПУБЛИКЕ САХА (ЯКУТИЯ)</v>
      </c>
      <c r="B16572" s="24" t="s">
        <v>10692</v>
      </c>
      <c r="C16572" s="25">
        <v>34644.75</v>
      </c>
      <c r="D16572" s="22" t="s">
        <v>19037</v>
      </c>
      <c r="E16572" s="22" t="s">
        <v>68</v>
      </c>
      <c r="F16572" s="23" t="str">
        <f>HYPERLINK("https://www.spark-marketing.ru/Card/Lot/67515251", "охрана объектов с помощью ПЦН (Вилюйск)")</f>
        <v>охрана объектов с помощью ПЦН (Вилюйск)</v>
      </c>
      <c r="G16572" s="22" t="s">
        <v>424</v>
      </c>
      <c r="H16572" s="22" t="s">
        <v>10694</v>
      </c>
      <c r="I16572" s="26">
        <v>43494</v>
      </c>
      <c r="J16572" s="23" t="str">
        <f>HYPERLINK("https://www.spark-marketing.ru/Card/Person/6492100", "ОВО ПО ВИЛЮЙСКОМУ РН ФЛ ФЕДЕРАЛЬНОГО КАЗЕННОГО УЧРЕЖДЕНИЯ УВО ВНГ РФ ПО РС")</f>
        <v>ОВО ПО ВИЛЮЙСКОМУ РН ФЛ ФЕДЕРАЛЬНОГО КАЗЕННОГО УЧРЕЖДЕНИЯ УВО ВНГ РФ ПО РС</v>
      </c>
      <c r="K16572" s="24" t="s">
        <v>5272</v>
      </c>
      <c r="L16572" s="22" t="s">
        <v>10</v>
      </c>
      <c r="M16572" s="25">
        <v>34644.75</v>
      </c>
      <c r="N16572" s="27">
        <v>0</v>
      </c>
    </row>
    <row r="16573" spans="1:14" x14ac:dyDescent="0.15">
      <c r="A16573" s="23" t="str">
        <f>HYPERLINK("https://www.spark-marketing.ru/Card/Person/4343740", "МИНЗДРАВ РОССИИ")</f>
        <v>МИНЗДРАВ РОССИИ</v>
      </c>
      <c r="B16573" s="24" t="s">
        <v>1666</v>
      </c>
      <c r="C16573" s="25">
        <v>87231461.400000006</v>
      </c>
      <c r="D16573" s="22" t="s">
        <v>19038</v>
      </c>
      <c r="E16573" s="22" t="s">
        <v>53</v>
      </c>
      <c r="F16573" s="23" t="str">
        <f>HYPERLINK("https://www.spark-marketing.ru/Card/Lot/67541109", "Эптаког альфа (активированный), лиофилизат для приготовления раствора для внутривенного введения,        1-1,2 мг (50-60 КЕД/50-60 тыс. МЕ)  в рамках реализации постановления Правительства Российской Федерации от 26.11.2018 № 1416 ""О порядке организ...")</f>
        <v>Эптаког альфа (активированный), лиофилизат для приготовления раствора для внутривенного введения,        1-1,2 мг (50-60 КЕД/50-60 тыс. МЕ)  в рамках реализации постановления Правительства Российской Федерации от 26.11.2018 № 1416 "О порядке организ...</v>
      </c>
      <c r="G16573" s="22" t="s">
        <v>674</v>
      </c>
      <c r="H16573" s="22" t="s">
        <v>1905</v>
      </c>
      <c r="I16573" s="26">
        <v>43494</v>
      </c>
      <c r="J16573" s="23" t="str">
        <f>HYPERLINK("https://www.spark-marketing.ru/Card/Person/9709", "ООО ""МЕДИПАЛ-ОНКО""")</f>
        <v>ООО "МЕДИПАЛ-ОНКО"</v>
      </c>
      <c r="K16573" s="24" t="s">
        <v>9434</v>
      </c>
      <c r="L16573" s="22" t="s">
        <v>10</v>
      </c>
      <c r="M16573" s="28" t="s">
        <v>52</v>
      </c>
      <c r="N16573" s="28" t="s">
        <v>52</v>
      </c>
    </row>
    <row r="16574" spans="1:14" x14ac:dyDescent="0.15">
      <c r="A16574" s="23" t="str">
        <f>HYPERLINK("https://www.spark-marketing.ru/Card/Person/146322", "КУ ""УГУТСКАЯ УЧАСТКОВАЯ БОЛЬНИЦА""")</f>
        <v>КУ "УГУТСКАЯ УЧАСТКОВАЯ БОЛЬНИЦА"</v>
      </c>
      <c r="B16574" s="24" t="s">
        <v>19039</v>
      </c>
      <c r="C16574" s="25">
        <v>474770</v>
      </c>
      <c r="D16574" s="22" t="s">
        <v>19040</v>
      </c>
      <c r="E16574" s="22" t="s">
        <v>68</v>
      </c>
      <c r="F16574" s="23" t="str">
        <f>HYPERLINK("https://www.spark-marketing.ru/Card/Lot/67516149", "оказание услуг по охране объекта КУ ""Угутская участковая больница""")</f>
        <v>оказание услуг по охране объекта КУ "Угутская участковая больница"</v>
      </c>
      <c r="G16574" s="22" t="s">
        <v>119</v>
      </c>
      <c r="H16574" s="22" t="s">
        <v>416</v>
      </c>
      <c r="I16574" s="26">
        <v>43494</v>
      </c>
      <c r="J16574" s="28" t="s">
        <v>52</v>
      </c>
      <c r="K16574" s="28" t="s">
        <v>52</v>
      </c>
      <c r="L16574" s="28" t="s">
        <v>52</v>
      </c>
      <c r="M16574" s="28" t="s">
        <v>52</v>
      </c>
      <c r="N16574" s="28" t="s">
        <v>52</v>
      </c>
    </row>
    <row r="16575" spans="1:14" ht="12.75" hidden="1" outlineLevel="1" x14ac:dyDescent="0.2">
      <c r="A16575" s="23" t="str">
        <f>HYPERLINK("https://www.spark-marketing.ru/Card/Person/146322", "КУ ""УГУТСКАЯ УЧАСТКОВАЯ БОЛЬНИЦА""")</f>
        <v>КУ "УГУТСКАЯ УЧАСТКОВАЯ БОЛЬНИЦА"</v>
      </c>
      <c r="B16575" s="24" t="s">
        <v>19039</v>
      </c>
      <c r="C16575" s="25">
        <v>474770</v>
      </c>
      <c r="D16575" s="22" t="s">
        <v>19040</v>
      </c>
      <c r="E16575" s="22" t="s">
        <v>68</v>
      </c>
      <c r="F16575" s="23" t="str">
        <f>HYPERLINK("https://www.spark-marketing.ru/Card/Lot/67516149", "оказание услуг по охране объекта КУ ""Угутская участковая больница""")</f>
        <v>оказание услуг по охране объекта КУ "Угутская участковая больница"</v>
      </c>
      <c r="G16575" s="22" t="s">
        <v>119</v>
      </c>
      <c r="H16575" s="22" t="s">
        <v>416</v>
      </c>
      <c r="I16575" s="26">
        <v>43494</v>
      </c>
      <c r="J16575" s="23" t="str">
        <f>HYPERLINK("https://www.spark-marketing.ru/Card/Person/1604", "ООО ЧОО ""КРЫМ""")</f>
        <v>ООО ЧОО "КРЫМ"</v>
      </c>
      <c r="K16575" s="24" t="s">
        <v>14307</v>
      </c>
      <c r="L16575" s="22" t="s">
        <v>10</v>
      </c>
      <c r="M16575" s="25">
        <v>380250</v>
      </c>
      <c r="N16575" s="27">
        <v>0.19908587315963519</v>
      </c>
    </row>
    <row r="16576" spans="1:14" hidden="1" outlineLevel="1" x14ac:dyDescent="0.2">
      <c r="A16576" s="23" t="str">
        <f>HYPERLINK("https://www.spark-marketing.ru/Card/Person/146322", "КУ ""УГУТСКАЯ УЧАСТКОВАЯ БОЛЬНИЦА""")</f>
        <v>КУ "УГУТСКАЯ УЧАСТКОВАЯ БОЛЬНИЦА"</v>
      </c>
      <c r="B16576" s="24" t="s">
        <v>19039</v>
      </c>
      <c r="C16576" s="25">
        <v>474770</v>
      </c>
      <c r="D16576" s="22" t="s">
        <v>19040</v>
      </c>
      <c r="E16576" s="22" t="s">
        <v>68</v>
      </c>
      <c r="F16576" s="23" t="str">
        <f>HYPERLINK("https://www.spark-marketing.ru/Card/Lot/67516149", "оказание услуг по охране объекта КУ ""Угутская участковая больница""")</f>
        <v>оказание услуг по охране объекта КУ "Угутская участковая больница"</v>
      </c>
      <c r="G16576" s="22" t="s">
        <v>119</v>
      </c>
      <c r="H16576" s="22" t="s">
        <v>416</v>
      </c>
      <c r="I16576" s="26">
        <v>43494</v>
      </c>
      <c r="J16576" s="23" t="str">
        <f>HYPERLINK("https://www.spark-marketing.ru/Card/Person/931933", "ООО ЧОО ""ПОЛЮС""")</f>
        <v>ООО ЧОО "ПОЛЮС"</v>
      </c>
      <c r="K16576" s="24" t="s">
        <v>15823</v>
      </c>
      <c r="L16576" s="28" t="s">
        <v>52</v>
      </c>
      <c r="M16576" s="25">
        <v>465000</v>
      </c>
      <c r="N16576" s="27">
        <v>2.0578385323419761E-2</v>
      </c>
    </row>
    <row r="16577" spans="1:14" x14ac:dyDescent="0.15">
      <c r="A16577" s="23" t="str">
        <f>HYPERLINK("https://www.spark-marketing.ru/Card/Person/152469", "МБДОУ ""ДЕТСКИЙ САД ОБЩЕРАЗВИВАЮЩЕГО ВИДА №76"" НМР РТ")</f>
        <v>МБДОУ "ДЕТСКИЙ САД ОБЩЕРАЗВИВАЮЩЕГО ВИДА №76" НМР РТ</v>
      </c>
      <c r="B16577" s="24" t="s">
        <v>15110</v>
      </c>
      <c r="C16577" s="25">
        <v>2886.67</v>
      </c>
      <c r="D16577" s="22" t="s">
        <v>19041</v>
      </c>
      <c r="E16577" s="22" t="s">
        <v>53</v>
      </c>
      <c r="F16577" s="23" t="str">
        <f>HYPERLINK("https://www.spark-marketing.ru/Card/Lot/73693527", "Техническое обслуживание системы видеонаблюдения")</f>
        <v>Техническое обслуживание системы видеонаблюдения</v>
      </c>
      <c r="G16577" s="22" t="s">
        <v>204</v>
      </c>
      <c r="H16577" s="22" t="s">
        <v>824</v>
      </c>
      <c r="I16577" s="26">
        <v>43494.000694444403</v>
      </c>
      <c r="J16577" s="28" t="s">
        <v>52</v>
      </c>
      <c r="K16577" s="28" t="s">
        <v>52</v>
      </c>
      <c r="L16577" s="28" t="s">
        <v>52</v>
      </c>
      <c r="M16577" s="28" t="s">
        <v>52</v>
      </c>
      <c r="N16577" s="28" t="s">
        <v>52</v>
      </c>
    </row>
    <row r="16578" spans="1:14" x14ac:dyDescent="0.15">
      <c r="A16578" s="23" t="str">
        <f>HYPERLINK("https://www.spark-marketing.ru/Card/Person/31409", "МЕЖРАЙОННАЯ ИФНС РОССИИ № 3 ПО ЯМАЛО-НЕНЕЦКОМУ АВТОНОМНОМУ ОКРУГУ")</f>
        <v>МЕЖРАЙОННАЯ ИФНС РОССИИ № 3 ПО ЯМАЛО-НЕНЕЦКОМУ АВТОНОМНОМУ ОКРУГУ</v>
      </c>
      <c r="B16578" s="24" t="s">
        <v>18934</v>
      </c>
      <c r="C16578" s="25">
        <v>394200</v>
      </c>
      <c r="D16578" s="22" t="s">
        <v>19042</v>
      </c>
      <c r="E16578" s="22" t="s">
        <v>68</v>
      </c>
      <c r="F16578" s="23" t="str">
        <f>HYPERLINK("https://www.spark-marketing.ru/Card/Lot/67525054", "Централизованная охрана объектов при помощи охранной сигнализации Межрайонной ИФНС России  № 3 по Ямало-Ненецкому автономному округу (гаражи) (ПЦО г. Тарко-Сале)")</f>
        <v>Централизованная охрана объектов при помощи охранной сигнализации Межрайонной ИФНС России  № 3 по Ямало-Ненецкому автономному округу (гаражи) (ПЦО г. Тарко-Сале)</v>
      </c>
      <c r="G16578" s="22" t="s">
        <v>311</v>
      </c>
      <c r="H16578" s="22" t="s">
        <v>311</v>
      </c>
      <c r="I16578" s="26">
        <v>43494</v>
      </c>
      <c r="J16578" s="28" t="s">
        <v>52</v>
      </c>
      <c r="K16578" s="28" t="s">
        <v>52</v>
      </c>
      <c r="L16578" s="28" t="s">
        <v>52</v>
      </c>
      <c r="M16578" s="28" t="s">
        <v>52</v>
      </c>
      <c r="N16578" s="28" t="s">
        <v>52</v>
      </c>
    </row>
    <row r="16579" spans="1:14" ht="12.75" x14ac:dyDescent="0.2">
      <c r="A16579" s="23" t="str">
        <f>HYPERLINK("https://www.spark-marketing.ru/Card/Person/134955", "МЕЖРАЙОННАЯ ИФНС РОССИИ № 3 ПО РЕСПУБЛИКЕ САХА (ЯКУТИЯ)")</f>
        <v>МЕЖРАЙОННАЯ ИФНС РОССИИ № 3 ПО РЕСПУБЛИКЕ САХА (ЯКУТИЯ)</v>
      </c>
      <c r="B16579" s="24" t="s">
        <v>10692</v>
      </c>
      <c r="C16579" s="25">
        <v>31576.26</v>
      </c>
      <c r="D16579" s="22" t="s">
        <v>19043</v>
      </c>
      <c r="E16579" s="22" t="s">
        <v>68</v>
      </c>
      <c r="F16579" s="23" t="str">
        <f>HYPERLINK("https://www.spark-marketing.ru/Card/Lot/67515250", "Охрана объектов с помощью ПЦН (Сунтар)")</f>
        <v>Охрана объектов с помощью ПЦН (Сунтар)</v>
      </c>
      <c r="G16579" s="22" t="s">
        <v>424</v>
      </c>
      <c r="H16579" s="22" t="s">
        <v>10809</v>
      </c>
      <c r="I16579" s="26">
        <v>43494</v>
      </c>
      <c r="J16579" s="23" t="str">
        <f>HYPERLINK("https://www.spark-marketing.ru/Card/Person/4371904", "ОВО по Сунтарскому району ФГКУ УВО ВНГ России по Республике Саха (Якутия)")</f>
        <v>ОВО по Сунтарскому району ФГКУ УВО ВНГ России по Республике Саха (Якутия)</v>
      </c>
      <c r="K16579" s="24" t="s">
        <v>5272</v>
      </c>
      <c r="L16579" s="22" t="s">
        <v>10</v>
      </c>
      <c r="M16579" s="25">
        <v>31576.26</v>
      </c>
      <c r="N16579" s="27">
        <v>0</v>
      </c>
    </row>
    <row r="16580" spans="1:14" x14ac:dyDescent="0.15">
      <c r="A16580" s="23" t="str">
        <f>HYPERLINK("https://www.spark-marketing.ru/Card/Person/4343740", "МИНЗДРАВ РОССИИ")</f>
        <v>МИНЗДРАВ РОССИИ</v>
      </c>
      <c r="B16580" s="24" t="s">
        <v>1666</v>
      </c>
      <c r="C16580" s="25">
        <v>77397484.230000004</v>
      </c>
      <c r="D16580" s="22" t="s">
        <v>19044</v>
      </c>
      <c r="E16580" s="22" t="s">
        <v>53</v>
      </c>
      <c r="F16580" s="23" t="str">
        <f>HYPERLINK("https://www.spark-marketing.ru/Card/Lot/67541067", "Интерферон бета-1а, раствор для подкожного введения, 22 мкг (6 млн МЕ)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f>
        <v>Интерферон бета-1а, раствор для подкожного введения, 22 мкг (6 млн МЕ)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больных гемофилией, ...</v>
      </c>
      <c r="G16580" s="22" t="s">
        <v>428</v>
      </c>
      <c r="H16580" s="22" t="s">
        <v>429</v>
      </c>
      <c r="I16580" s="26">
        <v>43494</v>
      </c>
      <c r="J16580" s="28" t="s">
        <v>52</v>
      </c>
      <c r="K16580" s="28" t="s">
        <v>52</v>
      </c>
      <c r="L16580" s="28" t="s">
        <v>52</v>
      </c>
      <c r="M16580" s="28" t="s">
        <v>52</v>
      </c>
      <c r="N16580" s="28" t="s">
        <v>52</v>
      </c>
    </row>
    <row r="16581" spans="1:14" x14ac:dyDescent="0.15">
      <c r="A16581" s="23" t="str">
        <f>HYPERLINK("https://www.spark-marketing.ru/Card/Person/4343740", "МИНЗДРАВ РОССИИ")</f>
        <v>МИНЗДРАВ РОССИИ</v>
      </c>
      <c r="B16581" s="24" t="s">
        <v>1666</v>
      </c>
      <c r="C16581" s="25">
        <v>49909725</v>
      </c>
      <c r="D16581" s="22" t="s">
        <v>19045</v>
      </c>
      <c r="E16581" s="22" t="s">
        <v>53</v>
      </c>
      <c r="F16581" s="23" t="str">
        <f>HYPERLINK("https://www.spark-marketing.ru/Card/Lot/67518235", "Октоког альфа, лиофилизат для приготовления раствора для внутривенного введения, 250 МЕ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f>
        <v>Октоког альфа, лиофилизат для приготовления раствора для внутривенного введения, 250 МЕ  в рамках реализации постановления Правительства Российской Федерации от 26.11.2018 № 1416 "О порядке организации обеспечения лекарственными препаратами лиц, бол...</v>
      </c>
      <c r="G16581" s="22" t="s">
        <v>428</v>
      </c>
      <c r="H16581" s="22" t="s">
        <v>429</v>
      </c>
      <c r="I16581" s="26">
        <v>43494</v>
      </c>
      <c r="J16581" s="23" t="str">
        <f>HYPERLINK("https://www.spark-marketing.ru/Card/Person/42069", "АО ""ФАРМСТАНДАРТ""")</f>
        <v>АО "ФАРМСТАНДАРТ"</v>
      </c>
      <c r="K16581" s="24" t="s">
        <v>1668</v>
      </c>
      <c r="L16581" s="22" t="s">
        <v>10</v>
      </c>
      <c r="M16581" s="28" t="s">
        <v>52</v>
      </c>
      <c r="N16581" s="28" t="s">
        <v>52</v>
      </c>
    </row>
    <row r="16582" spans="1:14" x14ac:dyDescent="0.15">
      <c r="A16582" s="23" t="str">
        <f t="shared" ref="A16582:A16587" si="857">HYPERLINK("https://www.spark-marketing.ru/Card/Person/56706", "ГБУЗ ЯНАО ""НОЯБРЬСКАЯ ГСП""")</f>
        <v>ГБУЗ ЯНАО "НОЯБРЬСКАЯ ГСП"</v>
      </c>
      <c r="B16582" s="24" t="s">
        <v>19046</v>
      </c>
      <c r="C16582" s="25">
        <v>120000</v>
      </c>
      <c r="D16582" s="22" t="s">
        <v>19047</v>
      </c>
      <c r="E16582" s="22" t="s">
        <v>103</v>
      </c>
      <c r="F16582" s="23" t="str">
        <f t="shared" ref="F16582:F16587" si="858">HYPERLINK("https://www.spark-marketing.ru/Card/Lot/67518828", "Оказание услуг по обслуживанию системы видеонаблюдения")</f>
        <v>Оказание услуг по обслуживанию системы видеонаблюдения</v>
      </c>
      <c r="G16582" s="22" t="s">
        <v>311</v>
      </c>
      <c r="H16582" s="22" t="s">
        <v>727</v>
      </c>
      <c r="I16582" s="26">
        <v>43494</v>
      </c>
      <c r="J16582" s="28" t="s">
        <v>52</v>
      </c>
      <c r="K16582" s="28" t="s">
        <v>52</v>
      </c>
      <c r="L16582" s="28" t="s">
        <v>52</v>
      </c>
      <c r="M16582" s="28" t="s">
        <v>52</v>
      </c>
      <c r="N16582" s="28" t="s">
        <v>52</v>
      </c>
    </row>
    <row r="16583" spans="1:14" hidden="1" outlineLevel="1" x14ac:dyDescent="0.2">
      <c r="A16583" s="23" t="str">
        <f t="shared" si="857"/>
        <v>ГБУЗ ЯНАО "НОЯБРЬСКАЯ ГСП"</v>
      </c>
      <c r="B16583" s="24" t="s">
        <v>19046</v>
      </c>
      <c r="C16583" s="25">
        <v>120000</v>
      </c>
      <c r="D16583" s="22" t="s">
        <v>19047</v>
      </c>
      <c r="E16583" s="22" t="s">
        <v>103</v>
      </c>
      <c r="F16583" s="23" t="str">
        <f t="shared" si="858"/>
        <v>Оказание услуг по обслуживанию системы видеонаблюдения</v>
      </c>
      <c r="G16583" s="22" t="s">
        <v>311</v>
      </c>
      <c r="H16583" s="22" t="s">
        <v>727</v>
      </c>
      <c r="I16583" s="26">
        <v>43494</v>
      </c>
      <c r="J16583" s="23" t="str">
        <f>HYPERLINK("https://www.spark-marketing.ru/Card/Person/6493989", "ООО ""ЮЖСМИ ИНЖИНИРИНГ ГРУПП""")</f>
        <v>ООО "ЮЖСМИ ИНЖИНИРИНГ ГРУПП"</v>
      </c>
      <c r="K16583" s="24" t="s">
        <v>16644</v>
      </c>
      <c r="L16583" s="28" t="s">
        <v>52</v>
      </c>
      <c r="M16583" s="25">
        <v>82200</v>
      </c>
      <c r="N16583" s="27">
        <v>0.315</v>
      </c>
    </row>
    <row r="16584" spans="1:14" hidden="1" outlineLevel="1" x14ac:dyDescent="0.2">
      <c r="A16584" s="23" t="str">
        <f t="shared" si="857"/>
        <v>ГБУЗ ЯНАО "НОЯБРЬСКАЯ ГСП"</v>
      </c>
      <c r="B16584" s="24" t="s">
        <v>19046</v>
      </c>
      <c r="C16584" s="25">
        <v>120000</v>
      </c>
      <c r="D16584" s="22" t="s">
        <v>19047</v>
      </c>
      <c r="E16584" s="22" t="s">
        <v>103</v>
      </c>
      <c r="F16584" s="23" t="str">
        <f t="shared" si="858"/>
        <v>Оказание услуг по обслуживанию системы видеонаблюдения</v>
      </c>
      <c r="G16584" s="22" t="s">
        <v>311</v>
      </c>
      <c r="H16584" s="22" t="s">
        <v>727</v>
      </c>
      <c r="I16584" s="26">
        <v>43494</v>
      </c>
      <c r="J16584" s="23" t="str">
        <f>HYPERLINK("https://www.spark-marketing.ru/Card/Person/650204", "Олексеенко Ростислав Юрьевич")</f>
        <v>Олексеенко Ростислав Юрьевич</v>
      </c>
      <c r="K16584" s="24" t="s">
        <v>5544</v>
      </c>
      <c r="L16584" s="28" t="s">
        <v>52</v>
      </c>
      <c r="M16584" s="25">
        <v>64555.03</v>
      </c>
      <c r="N16584" s="27">
        <v>0.46204141666666665</v>
      </c>
    </row>
    <row r="16585" spans="1:14" hidden="1" outlineLevel="1" x14ac:dyDescent="0.2">
      <c r="A16585" s="23" t="str">
        <f t="shared" si="857"/>
        <v>ГБУЗ ЯНАО "НОЯБРЬСКАЯ ГСП"</v>
      </c>
      <c r="B16585" s="24" t="s">
        <v>19046</v>
      </c>
      <c r="C16585" s="25">
        <v>120000</v>
      </c>
      <c r="D16585" s="22" t="s">
        <v>19047</v>
      </c>
      <c r="E16585" s="22" t="s">
        <v>103</v>
      </c>
      <c r="F16585" s="23" t="str">
        <f t="shared" si="858"/>
        <v>Оказание услуг по обслуживанию системы видеонаблюдения</v>
      </c>
      <c r="G16585" s="22" t="s">
        <v>311</v>
      </c>
      <c r="H16585" s="22" t="s">
        <v>727</v>
      </c>
      <c r="I16585" s="26">
        <v>43494</v>
      </c>
      <c r="J16585" s="23" t="str">
        <f>HYPERLINK("https://www.spark-marketing.ru/Card/Person/650706", "Рыбальченко Данил Петрович")</f>
        <v>Рыбальченко Данил Петрович</v>
      </c>
      <c r="K16585" s="24" t="s">
        <v>19048</v>
      </c>
      <c r="L16585" s="28" t="s">
        <v>52</v>
      </c>
      <c r="M16585" s="25">
        <v>114000</v>
      </c>
      <c r="N16585" s="27">
        <v>0.05</v>
      </c>
    </row>
    <row r="16586" spans="1:14" ht="12.75" hidden="1" outlineLevel="1" x14ac:dyDescent="0.2">
      <c r="A16586" s="23" t="str">
        <f t="shared" si="857"/>
        <v>ГБУЗ ЯНАО "НОЯБРЬСКАЯ ГСП"</v>
      </c>
      <c r="B16586" s="24" t="s">
        <v>19046</v>
      </c>
      <c r="C16586" s="25">
        <v>120000</v>
      </c>
      <c r="D16586" s="22" t="s">
        <v>19047</v>
      </c>
      <c r="E16586" s="22" t="s">
        <v>103</v>
      </c>
      <c r="F16586" s="23" t="str">
        <f t="shared" si="858"/>
        <v>Оказание услуг по обслуживанию системы видеонаблюдения</v>
      </c>
      <c r="G16586" s="22" t="s">
        <v>311</v>
      </c>
      <c r="H16586" s="22" t="s">
        <v>727</v>
      </c>
      <c r="I16586" s="26">
        <v>43494</v>
      </c>
      <c r="J16586" s="23" t="str">
        <f>HYPERLINK("https://www.spark-marketing.ru/Card/Person/46517", "ООО ""МЕТРИКА""")</f>
        <v>ООО "МЕТРИКА"</v>
      </c>
      <c r="K16586" s="24" t="s">
        <v>19049</v>
      </c>
      <c r="L16586" s="22" t="s">
        <v>10</v>
      </c>
      <c r="M16586" s="25">
        <v>63955.03</v>
      </c>
      <c r="N16586" s="27">
        <v>0.46704141666666665</v>
      </c>
    </row>
    <row r="16587" spans="1:14" hidden="1" outlineLevel="1" x14ac:dyDescent="0.2">
      <c r="A16587" s="23" t="str">
        <f t="shared" si="857"/>
        <v>ГБУЗ ЯНАО "НОЯБРЬСКАЯ ГСП"</v>
      </c>
      <c r="B16587" s="24" t="s">
        <v>19046</v>
      </c>
      <c r="C16587" s="25">
        <v>120000</v>
      </c>
      <c r="D16587" s="22" t="s">
        <v>19047</v>
      </c>
      <c r="E16587" s="22" t="s">
        <v>103</v>
      </c>
      <c r="F16587" s="23" t="str">
        <f t="shared" si="858"/>
        <v>Оказание услуг по обслуживанию системы видеонаблюдения</v>
      </c>
      <c r="G16587" s="22" t="s">
        <v>311</v>
      </c>
      <c r="H16587" s="22" t="s">
        <v>727</v>
      </c>
      <c r="I16587" s="26">
        <v>43494</v>
      </c>
      <c r="J16587" s="23" t="str">
        <f>HYPERLINK("https://www.spark-marketing.ru/Card/Person/115827", "ООО ""НЭКСТ""")</f>
        <v>ООО "НЭКСТ"</v>
      </c>
      <c r="K16587" s="24" t="s">
        <v>13494</v>
      </c>
      <c r="L16587" s="28" t="s">
        <v>52</v>
      </c>
      <c r="M16587" s="25">
        <v>65755.03</v>
      </c>
      <c r="N16587" s="27">
        <v>0.45204141666666664</v>
      </c>
    </row>
    <row r="16588" spans="1:14" x14ac:dyDescent="0.15">
      <c r="A16588" s="23" t="str">
        <f>HYPERLINK("https://www.spark-marketing.ru/Card/Person/31409", "МЕЖРАЙОННАЯ ИФНС РОССИИ № 3 ПО ЯМАЛО-НЕНЕЦКОМУ АВТОНОМНОМУ ОКРУГУ")</f>
        <v>МЕЖРАЙОННАЯ ИФНС РОССИИ № 3 ПО ЯМАЛО-НЕНЕЦКОМУ АВТОНОМНОМУ ОКРУГУ</v>
      </c>
      <c r="B16588" s="24" t="s">
        <v>18934</v>
      </c>
      <c r="C16588" s="25">
        <v>341904</v>
      </c>
      <c r="D16588" s="22" t="s">
        <v>19050</v>
      </c>
      <c r="E16588" s="22" t="s">
        <v>68</v>
      </c>
      <c r="F16588" s="23" t="str">
        <f>HYPERLINK("https://www.spark-marketing.ru/Card/Lot/67534463", "Централизованная охрана объектов при помощи охранной сигнализации Межрайонной ИФНС России  № 3 по Ямало-Ненецкому автономному округу (ПЦО г. Губкинский)")</f>
        <v>Централизованная охрана объектов при помощи охранной сигнализации Межрайонной ИФНС России  № 3 по Ямало-Ненецкому автономному округу (ПЦО г. Губкинский)</v>
      </c>
      <c r="G16588" s="22" t="s">
        <v>311</v>
      </c>
      <c r="H16588" s="22" t="s">
        <v>7350</v>
      </c>
      <c r="I16588" s="26">
        <v>43494</v>
      </c>
      <c r="J16588" s="28" t="s">
        <v>52</v>
      </c>
      <c r="K16588" s="28" t="s">
        <v>52</v>
      </c>
      <c r="L16588" s="28" t="s">
        <v>52</v>
      </c>
      <c r="M16588" s="28" t="s">
        <v>52</v>
      </c>
      <c r="N16588" s="28" t="s">
        <v>52</v>
      </c>
    </row>
    <row r="16589" spans="1:14" x14ac:dyDescent="0.15">
      <c r="A16589" s="23" t="str">
        <f>HYPERLINK("https://www.spark-marketing.ru/Card/Person/148555", "МБДОУ ""ДЕТСКИЙ САД ОБЩЕРАЗВИВАЮЩЕГО ВИДА №31"" НМР РТ")</f>
        <v>МБДОУ "ДЕТСКИЙ САД ОБЩЕРАЗВИВАЮЩЕГО ВИДА №31" НМР РТ</v>
      </c>
      <c r="B16589" s="24" t="s">
        <v>4507</v>
      </c>
      <c r="C16589" s="25">
        <v>15480</v>
      </c>
      <c r="D16589" s="22" t="s">
        <v>19051</v>
      </c>
      <c r="E16589" s="22" t="s">
        <v>53</v>
      </c>
      <c r="F16589" s="23" t="str">
        <f>HYPERLINK("https://www.spark-marketing.ru/Card/Lot/73682694", "Техническое обслуживание системы видеонаблюдения")</f>
        <v>Техническое обслуживание системы видеонаблюдения</v>
      </c>
      <c r="G16589" s="22" t="s">
        <v>204</v>
      </c>
      <c r="H16589" s="22" t="s">
        <v>824</v>
      </c>
      <c r="I16589" s="26">
        <v>43494.000694444403</v>
      </c>
      <c r="J16589" s="28" t="s">
        <v>52</v>
      </c>
      <c r="K16589" s="28" t="s">
        <v>52</v>
      </c>
      <c r="L16589" s="28" t="s">
        <v>52</v>
      </c>
      <c r="M16589" s="28" t="s">
        <v>52</v>
      </c>
      <c r="N16589" s="28" t="s">
        <v>52</v>
      </c>
    </row>
    <row r="16590" spans="1:14" x14ac:dyDescent="0.15">
      <c r="A16590" s="23" t="str">
        <f>HYPERLINK("https://www.spark-marketing.ru/Card/Person/132387", "МЕЖРАЙОННАЯ ИФНС РОССИИ № 6 ПО ВОРОНЕЖСКОЙ ОБЛАСТИ")</f>
        <v>МЕЖРАЙОННАЯ ИФНС РОССИИ № 6 ПО ВОРОНЕЖСКОЙ ОБЛАСТИ</v>
      </c>
      <c r="B16590" s="24" t="s">
        <v>18678</v>
      </c>
      <c r="C16590" s="25">
        <v>49923.09</v>
      </c>
      <c r="D16590" s="22" t="s">
        <v>19052</v>
      </c>
      <c r="E16590" s="22" t="s">
        <v>68</v>
      </c>
      <c r="F16590" s="23" t="str">
        <f>HYPERLINK("https://www.spark-marketing.ru/Card/Lot/67539978", "Централизованная охрана объектов")</f>
        <v>Централизованная охрана объектов</v>
      </c>
      <c r="G16590" s="22" t="s">
        <v>552</v>
      </c>
      <c r="H16590" s="22" t="s">
        <v>552</v>
      </c>
      <c r="I16590" s="26">
        <v>43494</v>
      </c>
      <c r="J16590" s="28" t="s">
        <v>52</v>
      </c>
      <c r="K16590" s="28" t="s">
        <v>52</v>
      </c>
      <c r="L16590" s="28" t="s">
        <v>52</v>
      </c>
      <c r="M16590" s="28" t="s">
        <v>52</v>
      </c>
      <c r="N16590" s="28" t="s">
        <v>52</v>
      </c>
    </row>
    <row r="16591" spans="1:14" x14ac:dyDescent="0.15">
      <c r="A16591" s="23" t="str">
        <f>HYPERLINK("https://www.spark-marketing.ru/Card/Person/132311", "МЕЖРАЙОННАЯ ИФНС РОССИИ № 5 ПО ВОРОНЕЖСКОЙ ОБЛАСТИ")</f>
        <v>МЕЖРАЙОННАЯ ИФНС РОССИИ № 5 ПО ВОРОНЕЖСКОЙ ОБЛАСТИ</v>
      </c>
      <c r="B16591" s="24" t="s">
        <v>18945</v>
      </c>
      <c r="C16591" s="25">
        <v>106308</v>
      </c>
      <c r="D16591" s="22" t="s">
        <v>19053</v>
      </c>
      <c r="E16591" s="22" t="s">
        <v>68</v>
      </c>
      <c r="F16591" s="23" t="str">
        <f>HYPERLINK("https://www.spark-marketing.ru/Card/Lot/67517555", "Охрана объектов")</f>
        <v>Охрана объектов</v>
      </c>
      <c r="G16591" s="22" t="s">
        <v>552</v>
      </c>
      <c r="H16591" s="22" t="s">
        <v>19054</v>
      </c>
      <c r="I16591" s="26">
        <v>43494</v>
      </c>
      <c r="J16591" s="28" t="s">
        <v>52</v>
      </c>
      <c r="K16591" s="28" t="s">
        <v>52</v>
      </c>
      <c r="L16591" s="28" t="s">
        <v>52</v>
      </c>
      <c r="M16591" s="28" t="s">
        <v>52</v>
      </c>
      <c r="N16591" s="28" t="s">
        <v>52</v>
      </c>
    </row>
    <row r="16592" spans="1:14" x14ac:dyDescent="0.15">
      <c r="A16592" s="23" t="str">
        <f>HYPERLINK("https://www.spark-marketing.ru/Card/Person/47824", "ГБУЗ НО ""ИНФЕКЦИОННАЯ БОЛЬНИЦА № 23 Г. НИЖНЕГО НОВГОРОДА""")</f>
        <v>ГБУЗ НО "ИНФЕКЦИОННАЯ БОЛЬНИЦА № 23 Г. НИЖНЕГО НОВГОРОДА"</v>
      </c>
      <c r="B16592" s="24" t="s">
        <v>92</v>
      </c>
      <c r="C16592" s="25">
        <v>378934.2</v>
      </c>
      <c r="D16592" s="22" t="s">
        <v>19055</v>
      </c>
      <c r="E16592" s="22" t="s">
        <v>68</v>
      </c>
      <c r="F16592" s="23" t="str">
        <f>HYPERLINK("https://www.spark-marketing.ru/Card/Lot/67540478", "Оказание охранных услуг")</f>
        <v>Оказание охранных услуг</v>
      </c>
      <c r="G16592" s="22" t="s">
        <v>64</v>
      </c>
      <c r="H16592" s="22" t="s">
        <v>65</v>
      </c>
      <c r="I16592" s="26">
        <v>43494</v>
      </c>
      <c r="J16592" s="28" t="s">
        <v>52</v>
      </c>
      <c r="K16592" s="28" t="s">
        <v>52</v>
      </c>
      <c r="L16592" s="28" t="s">
        <v>52</v>
      </c>
      <c r="M16592" s="28" t="s">
        <v>52</v>
      </c>
      <c r="N16592" s="28" t="s">
        <v>52</v>
      </c>
    </row>
    <row r="16593" spans="1:14" x14ac:dyDescent="0.15">
      <c r="A16593" s="23" t="str">
        <f>HYPERLINK("https://www.spark-marketing.ru/Card/Person/4348813", "АО ""РЖДСТРОЙ""")</f>
        <v>АО "РЖДСТРОЙ"</v>
      </c>
      <c r="B16593" s="24" t="s">
        <v>975</v>
      </c>
      <c r="C16593" s="25">
        <v>1044813.56</v>
      </c>
      <c r="D16593" s="22" t="s">
        <v>19056</v>
      </c>
      <c r="E16593" s="22" t="s">
        <v>5691</v>
      </c>
      <c r="F16593" s="23" t="str">
        <f>HYPERLINK("https://www.spark-marketing.ru/Card/Lot/67502435", "Запрос котировок в электронной форме среди субъектов малого и среднего предпринимательства №4/1 на право заключения договора на оказание услуг по геодезическому сопровождению объекта: «КОМПЛЕКСНАЯ РЕКОНСТРУКЦИЯ УЧАСТКА ИМ.МАКСИМА ГОРЬКОГО-КОТЕЛЬНИКОВ...")</f>
        <v>Запрос котировок в электронной форме среди субъектов малого и среднего предпринимательства №4/1 на право заключения договора на оказание услуг по геодезическому сопровождению объекта: «КОМПЛЕКСНАЯ РЕКОНСТРУКЦИЯ УЧАСТКА ИМ.МАКСИМА ГОРЬКОГО-КОТЕЛЬНИКОВ...</v>
      </c>
      <c r="G16593" s="22" t="s">
        <v>343</v>
      </c>
      <c r="H16593" s="22" t="s">
        <v>343</v>
      </c>
      <c r="I16593" s="26">
        <v>43493.764062499999</v>
      </c>
      <c r="J16593" s="28" t="s">
        <v>52</v>
      </c>
      <c r="K16593" s="28" t="s">
        <v>52</v>
      </c>
      <c r="L16593" s="28" t="s">
        <v>52</v>
      </c>
      <c r="M16593" s="28" t="s">
        <v>52</v>
      </c>
      <c r="N16593" s="28" t="s">
        <v>52</v>
      </c>
    </row>
    <row r="16594" spans="1:14" x14ac:dyDescent="0.15">
      <c r="A16594" s="23" t="str">
        <f>HYPERLINK("https://www.spark-marketing.ru/Card/Person/4394128", "АО ""СЗППК""")</f>
        <v>АО "СЗППК"</v>
      </c>
      <c r="B16594" s="24" t="s">
        <v>19057</v>
      </c>
      <c r="C16594" s="25">
        <v>11973816</v>
      </c>
      <c r="D16594" s="22" t="s">
        <v>19058</v>
      </c>
      <c r="E16594" s="22" t="s">
        <v>867</v>
      </c>
      <c r="F16594" s="23" t="str">
        <f>HYPERLINK("https://www.spark-marketing.ru/Card/Lot/67502455", "Установка системы видеонаблюдения на дизель-электропоезда серии ДТ1")</f>
        <v>Установка системы видеонаблюдения на дизель-электропоезда серии ДТ1</v>
      </c>
      <c r="G16594" s="22" t="s">
        <v>89</v>
      </c>
      <c r="H16594" s="22" t="s">
        <v>89</v>
      </c>
      <c r="I16594" s="26">
        <v>43493.769189814797</v>
      </c>
      <c r="J16594" s="23" t="str">
        <f>HYPERLINK("https://www.spark-marketing.ru/Card/Person/925427", "ООО ""ТРАНСТЕЛЕСОФТ""")</f>
        <v>ООО "ТРАНСТЕЛЕСОФТ"</v>
      </c>
      <c r="K16594" s="24" t="s">
        <v>19059</v>
      </c>
      <c r="L16594" s="28" t="s">
        <v>52</v>
      </c>
      <c r="M16594" s="28" t="s">
        <v>52</v>
      </c>
      <c r="N16594" s="28" t="s">
        <v>52</v>
      </c>
    </row>
    <row r="16595" spans="1:14" hidden="1" outlineLevel="1" x14ac:dyDescent="0.15">
      <c r="A16595" s="23" t="str">
        <f>HYPERLINK("https://www.spark-marketing.ru/Card/Person/4394128", "АО ""СЗППК""")</f>
        <v>АО "СЗППК"</v>
      </c>
      <c r="B16595" s="24" t="s">
        <v>19057</v>
      </c>
      <c r="C16595" s="28" t="s">
        <v>52</v>
      </c>
      <c r="D16595" s="22" t="s">
        <v>19058</v>
      </c>
      <c r="E16595" s="22" t="s">
        <v>867</v>
      </c>
      <c r="F16595" s="23" t="str">
        <f>HYPERLINK("https://www.spark-marketing.ru/Card/Lot/67502455", "Установка системы видеонаблюдения на дизель-электропоезда серии ДТ1")</f>
        <v>Установка системы видеонаблюдения на дизель-электропоезда серии ДТ1</v>
      </c>
      <c r="G16595" s="22" t="s">
        <v>89</v>
      </c>
      <c r="H16595" s="22" t="s">
        <v>89</v>
      </c>
      <c r="I16595" s="26">
        <v>43493.769189814797</v>
      </c>
      <c r="J16595" s="23" t="str">
        <f>HYPERLINK("https://www.spark-marketing.ru/Card/Person/925427", "ООО ""ТРАНСТЕЛЕСОФТ""")</f>
        <v>ООО "ТРАНСТЕЛЕСОФТ"</v>
      </c>
      <c r="K16595" s="24" t="s">
        <v>19059</v>
      </c>
      <c r="L16595" s="22" t="s">
        <v>10</v>
      </c>
      <c r="M16595" s="28" t="s">
        <v>52</v>
      </c>
      <c r="N16595" s="28" t="s">
        <v>52</v>
      </c>
    </row>
    <row r="16596" spans="1:14" x14ac:dyDescent="0.15">
      <c r="A16596" s="23" t="str">
        <f>HYPERLINK("https://www.spark-marketing.ru/Card/Person/4348813", "АО ""РЖДСТРОЙ""")</f>
        <v>АО "РЖДСТРОЙ"</v>
      </c>
      <c r="B16596" s="24" t="s">
        <v>975</v>
      </c>
      <c r="C16596" s="25">
        <v>745415.93</v>
      </c>
      <c r="D16596" s="22" t="s">
        <v>19060</v>
      </c>
      <c r="E16596" s="22" t="s">
        <v>5691</v>
      </c>
      <c r="F16596" s="23" t="str">
        <f>HYPERLINK("https://www.spark-marketing.ru/Card/Lot/67502413", "Запрос котировок в электронной форме среди субъектов малого и среднего предпринимательства №4/2 на право заключения договора на оказание услуг по геодезическому сопровождению объекта: «Реконструкция станции Гумрак Приволжской железной дороги. Путепро...")</f>
        <v>Запрос котировок в электронной форме среди субъектов малого и среднего предпринимательства №4/2 на право заключения договора на оказание услуг по геодезическому сопровождению объекта: «Реконструкция станции Гумрак Приволжской железной дороги. Путепро...</v>
      </c>
      <c r="G16596" s="22" t="s">
        <v>343</v>
      </c>
      <c r="H16596" s="22" t="s">
        <v>343</v>
      </c>
      <c r="I16596" s="26">
        <v>43493.759652777801</v>
      </c>
      <c r="J16596" s="28" t="s">
        <v>52</v>
      </c>
      <c r="K16596" s="28" t="s">
        <v>52</v>
      </c>
      <c r="L16596" s="28" t="s">
        <v>52</v>
      </c>
      <c r="M16596" s="28" t="s">
        <v>52</v>
      </c>
      <c r="N16596" s="28" t="s">
        <v>52</v>
      </c>
    </row>
    <row r="16597" spans="1:14" x14ac:dyDescent="0.15">
      <c r="A16597" s="23" t="str">
        <f>HYPERLINK("https://www.spark-marketing.ru/Card/Person/57288", "МАУ Г.О. САМАРА ""ВОЛЖАНКА""")</f>
        <v>МАУ Г.О. САМАРА "ВОЛЖАНКА"</v>
      </c>
      <c r="B16597" s="24" t="s">
        <v>19061</v>
      </c>
      <c r="C16597" s="25">
        <v>641663</v>
      </c>
      <c r="D16597" s="22" t="s">
        <v>19062</v>
      </c>
      <c r="E16597" s="22" t="s">
        <v>144</v>
      </c>
      <c r="F16597" s="23" t="str">
        <f>HYPERLINK("https://www.spark-marketing.ru/Card/Lot/67501545", "Услуги по охране объекта")</f>
        <v>Услуги по охране объекта</v>
      </c>
      <c r="G16597" s="22" t="s">
        <v>760</v>
      </c>
      <c r="H16597" s="22" t="s">
        <v>760</v>
      </c>
      <c r="I16597" s="26">
        <v>43493.757106481498</v>
      </c>
      <c r="J16597" s="28" t="s">
        <v>52</v>
      </c>
      <c r="K16597" s="28" t="s">
        <v>52</v>
      </c>
      <c r="L16597" s="28" t="s">
        <v>52</v>
      </c>
      <c r="M16597" s="28" t="s">
        <v>52</v>
      </c>
      <c r="N16597" s="28" t="s">
        <v>52</v>
      </c>
    </row>
    <row r="16598" spans="1:14" x14ac:dyDescent="0.15">
      <c r="A16598" s="23" t="str">
        <f>HYPERLINK("https://www.spark-marketing.ru/Card/Person/1529680", "ОГАУК ""ТОХМ""")</f>
        <v>ОГАУК "ТОХМ"</v>
      </c>
      <c r="B16598" s="24" t="s">
        <v>17397</v>
      </c>
      <c r="C16598" s="25">
        <v>55000</v>
      </c>
      <c r="D16598" s="22" t="s">
        <v>19063</v>
      </c>
      <c r="E16598" s="22" t="s">
        <v>107</v>
      </c>
      <c r="F16598" s="23" t="str">
        <f>HYPERLINK("https://www.spark-marketing.ru/Card/Lot/67503187", "Оказание услуг по техническому обслуживание систем видеонаблюдения для ОГАУК «ТОХМ».")</f>
        <v>Оказание услуг по техническому обслуживание систем видеонаблюдения для ОГАУК «ТОХМ».</v>
      </c>
      <c r="G16598" s="22" t="s">
        <v>150</v>
      </c>
      <c r="H16598" s="22" t="s">
        <v>1656</v>
      </c>
      <c r="I16598" s="26">
        <v>43493.784027777801</v>
      </c>
      <c r="J16598" s="28" t="s">
        <v>52</v>
      </c>
      <c r="K16598" s="28" t="s">
        <v>52</v>
      </c>
      <c r="L16598" s="28" t="s">
        <v>52</v>
      </c>
      <c r="M16598" s="28" t="s">
        <v>52</v>
      </c>
      <c r="N16598" s="28" t="s">
        <v>52</v>
      </c>
    </row>
    <row r="16599" spans="1:14" x14ac:dyDescent="0.15">
      <c r="A16599" s="23" t="str">
        <f>HYPERLINK("https://www.spark-marketing.ru/Card/Person/54699", "МРУ РОСАЛКОГОЛЬРЕГУЛИРОВАНИЯ ПО СЕВЕРО-КАВКАЗСКОМУ ФЕДЕРАЛЬНОМУ ОКРУГУ")</f>
        <v>МРУ РОСАЛКОГОЛЬРЕГУЛИРОВАНИЯ ПО СЕВЕРО-КАВКАЗСКОМУ ФЕДЕРАЛЬНОМУ ОКРУГУ</v>
      </c>
      <c r="B16599" s="24" t="s">
        <v>3821</v>
      </c>
      <c r="C16599" s="25">
        <v>78139.199999999997</v>
      </c>
      <c r="D16599" s="22" t="s">
        <v>19064</v>
      </c>
      <c r="E16599" s="22" t="s">
        <v>53</v>
      </c>
      <c r="F16599" s="23" t="str">
        <f>HYPERLINK("https://www.spark-marketing.ru/Card/Lot/70799169", "услуги охраны (тревожная кнопка)")</f>
        <v>услуги охраны (тревожная кнопка)</v>
      </c>
      <c r="G16599" s="22" t="s">
        <v>258</v>
      </c>
      <c r="H16599" s="22" t="s">
        <v>2602</v>
      </c>
      <c r="I16599" s="26">
        <v>43493.730856481503</v>
      </c>
      <c r="J16599" s="28" t="s">
        <v>52</v>
      </c>
      <c r="K16599" s="28" t="s">
        <v>52</v>
      </c>
      <c r="L16599" s="28" t="s">
        <v>52</v>
      </c>
      <c r="M16599" s="28" t="s">
        <v>52</v>
      </c>
      <c r="N16599" s="28" t="s">
        <v>52</v>
      </c>
    </row>
    <row r="16600" spans="1:14" x14ac:dyDescent="0.15">
      <c r="A16600" s="23" t="str">
        <f>HYPERLINK("https://www.spark-marketing.ru/Card/Person/78485", "МАУ ""ОБЪЕДИНЕННАЯ ДИРЕКЦИЯ ПАРКОВ""")</f>
        <v>МАУ "ОБЪЕДИНЕННАЯ ДИРЕКЦИЯ ПАРКОВ"</v>
      </c>
      <c r="B16600" s="24" t="s">
        <v>19065</v>
      </c>
      <c r="C16600" s="25">
        <v>43200</v>
      </c>
      <c r="D16600" s="22" t="s">
        <v>19066</v>
      </c>
      <c r="E16600" s="22" t="s">
        <v>294</v>
      </c>
      <c r="F16600" s="23" t="str">
        <f>HYPERLINK("https://www.spark-marketing.ru/Card/Lot/67501333", "Услуги по техническому обслуживанию аудио и видеотехники")</f>
        <v>Услуги по техническому обслуживанию аудио и видеотехники</v>
      </c>
      <c r="G16600" s="22" t="s">
        <v>50</v>
      </c>
      <c r="H16600" s="22" t="s">
        <v>5744</v>
      </c>
      <c r="I16600" s="26">
        <v>43493.721585648098</v>
      </c>
      <c r="J16600" s="28" t="s">
        <v>52</v>
      </c>
      <c r="K16600" s="28" t="s">
        <v>52</v>
      </c>
      <c r="L16600" s="28" t="s">
        <v>52</v>
      </c>
      <c r="M16600" s="28" t="s">
        <v>52</v>
      </c>
      <c r="N16600" s="28" t="s">
        <v>52</v>
      </c>
    </row>
    <row r="16601" spans="1:14" x14ac:dyDescent="0.15">
      <c r="A16601" s="23" t="str">
        <f>HYPERLINK("https://www.spark-marketing.ru/Card/Person/4866632", "МАОУ ДОМОДЕДОВСКАЯ СОШ №8")</f>
        <v>МАОУ ДОМОДЕДОВСКАЯ СОШ №8</v>
      </c>
      <c r="B16601" s="24" t="s">
        <v>19067</v>
      </c>
      <c r="C16601" s="25">
        <v>108240</v>
      </c>
      <c r="D16601" s="22" t="s">
        <v>19068</v>
      </c>
      <c r="E16601" s="22" t="s">
        <v>103</v>
      </c>
      <c r="F16601" s="23" t="str">
        <f>HYPERLINK("https://www.spark-marketing.ru/Card/Lot/67501169", "Оказание услуг по техническому обслуживанию системы видеонаблюдения")</f>
        <v>Оказание услуг по техническому обслуживанию системы видеонаблюдения</v>
      </c>
      <c r="G16601" s="22" t="s">
        <v>50</v>
      </c>
      <c r="H16601" s="22" t="s">
        <v>4782</v>
      </c>
      <c r="I16601" s="26">
        <v>43493.712314814802</v>
      </c>
      <c r="J16601" s="28" t="s">
        <v>52</v>
      </c>
      <c r="K16601" s="28" t="s">
        <v>52</v>
      </c>
      <c r="L16601" s="28" t="s">
        <v>52</v>
      </c>
      <c r="M16601" s="28" t="s">
        <v>52</v>
      </c>
      <c r="N16601" s="28" t="s">
        <v>52</v>
      </c>
    </row>
    <row r="16602" spans="1:14" x14ac:dyDescent="0.15">
      <c r="A16602" s="23" t="str">
        <f>HYPERLINK("https://www.spark-marketing.ru/Card/Person/134407", "МОУ ШКОЛА № 17")</f>
        <v>МОУ ШКОЛА № 17</v>
      </c>
      <c r="B16602" s="24" t="s">
        <v>19069</v>
      </c>
      <c r="C16602" s="25">
        <v>11663</v>
      </c>
      <c r="D16602" s="22" t="s">
        <v>19070</v>
      </c>
      <c r="E16602" s="22" t="s">
        <v>508</v>
      </c>
      <c r="F16602" s="23" t="str">
        <f>HYPERLINK("https://www.spark-marketing.ru/Card/Lot/67501385", "Техническое обслуживание кнопки тревожной сигнализации")</f>
        <v>Техническое обслуживание кнопки тревожной сигнализации</v>
      </c>
      <c r="G16602" s="22" t="s">
        <v>50</v>
      </c>
      <c r="H16602" s="22" t="s">
        <v>5291</v>
      </c>
      <c r="I16602" s="26">
        <v>43493.745729166701</v>
      </c>
      <c r="J16602" s="28" t="s">
        <v>52</v>
      </c>
      <c r="K16602" s="28" t="s">
        <v>52</v>
      </c>
      <c r="L16602" s="28" t="s">
        <v>52</v>
      </c>
      <c r="M16602" s="28" t="s">
        <v>52</v>
      </c>
      <c r="N16602" s="28" t="s">
        <v>52</v>
      </c>
    </row>
    <row r="16603" spans="1:14" x14ac:dyDescent="0.2">
      <c r="A16603" s="23" t="str">
        <f>HYPERLINK("https://www.spark-marketing.ru/Card/Person/45624", "ТОМСКИЙ НИМЦ")</f>
        <v>ТОМСКИЙ НИМЦ</v>
      </c>
      <c r="B16603" s="24" t="s">
        <v>19071</v>
      </c>
      <c r="C16603" s="25">
        <v>30480</v>
      </c>
      <c r="D16603" s="22" t="s">
        <v>19072</v>
      </c>
      <c r="E16603" s="22" t="s">
        <v>137</v>
      </c>
      <c r="F16603" s="23" t="str">
        <f>HYPERLINK("https://www.spark-marketing.ru/Card/Lot/67489571", "Оказание услуг по техническому обслуживанию систем видеонаблюдения для нужд НИИ онкологии Томского НИМЦ")</f>
        <v>Оказание услуг по техническому обслуживанию систем видеонаблюдения для нужд НИИ онкологии Томского НИМЦ</v>
      </c>
      <c r="G16603" s="22" t="s">
        <v>150</v>
      </c>
      <c r="H16603" s="22" t="s">
        <v>150</v>
      </c>
      <c r="I16603" s="26">
        <v>43493.712673611102</v>
      </c>
      <c r="J16603" s="23" t="str">
        <f>HYPERLINK("https://www.spark-marketing.ru/Card/Person/210759", "ООО ""ДЕМАР-ЦЕНТР""")</f>
        <v>ООО "ДЕМАР-ЦЕНТР"</v>
      </c>
      <c r="K16603" s="24" t="s">
        <v>2021</v>
      </c>
      <c r="L16603" s="28" t="s">
        <v>52</v>
      </c>
      <c r="M16603" s="25">
        <v>30000</v>
      </c>
      <c r="N16603" s="27">
        <v>1.5748031496062992E-2</v>
      </c>
    </row>
    <row r="16604" spans="1:14" x14ac:dyDescent="0.15">
      <c r="A16604" s="23" t="str">
        <f>HYPERLINK("https://www.spark-marketing.ru/Card/Person/115552", "УПРАВЛЕНИЕ МИНКУЛЬТУРЫ РОССИИ ПО СЗФО")</f>
        <v>УПРАВЛЕНИЕ МИНКУЛЬТУРЫ РОССИИ ПО СЗФО</v>
      </c>
      <c r="B16604" s="24" t="s">
        <v>19073</v>
      </c>
      <c r="C16604" s="25">
        <v>75662.64</v>
      </c>
      <c r="D16604" s="22" t="s">
        <v>19074</v>
      </c>
      <c r="E16604" s="22" t="s">
        <v>53</v>
      </c>
      <c r="F16604" s="23" t="str">
        <f>HYPERLINK("https://www.spark-marketing.ru/Card/Lot/70799160", "Контроль за состоянием комплекса технических средств охраны и объектовой приемопередащей аппаратуры (Охрана объекта) и техническое обслуживание Комплекса")</f>
        <v>Контроль за состоянием комплекса технических средств охраны и объектовой приемопередащей аппаратуры (Охрана объекта) и техническое обслуживание Комплекса</v>
      </c>
      <c r="G16604" s="22" t="s">
        <v>89</v>
      </c>
      <c r="H16604" s="22" t="s">
        <v>89</v>
      </c>
      <c r="I16604" s="26">
        <v>43493.711319444403</v>
      </c>
      <c r="J16604" s="28" t="s">
        <v>52</v>
      </c>
      <c r="K16604" s="28" t="s">
        <v>52</v>
      </c>
      <c r="L16604" s="28" t="s">
        <v>52</v>
      </c>
      <c r="M16604" s="28" t="s">
        <v>52</v>
      </c>
      <c r="N16604" s="28" t="s">
        <v>52</v>
      </c>
    </row>
    <row r="16605" spans="1:14" x14ac:dyDescent="0.15">
      <c r="A16605" s="23" t="str">
        <f>HYPERLINK("https://www.spark-marketing.ru/Card/Person/1038801", "МБОУ СОШ № 63 Г.БРЯНСКА")</f>
        <v>МБОУ СОШ № 63 Г.БРЯНСКА</v>
      </c>
      <c r="B16605" s="24" t="s">
        <v>4014</v>
      </c>
      <c r="C16605" s="25">
        <v>87600</v>
      </c>
      <c r="D16605" s="22" t="s">
        <v>19075</v>
      </c>
      <c r="E16605" s="22" t="s">
        <v>68</v>
      </c>
      <c r="F16605" s="23" t="str">
        <f>HYPERLINK("https://www.spark-marketing.ru/Card/Lot/67498242", "Услуги по обеспечению охраны объекта с осуществлением обеспечения особого порядка доступа на объект")</f>
        <v>Услуги по обеспечению охраны объекта с осуществлением обеспечения особого порядка доступа на объект</v>
      </c>
      <c r="G16605" s="22" t="s">
        <v>215</v>
      </c>
      <c r="H16605" s="22" t="s">
        <v>406</v>
      </c>
      <c r="I16605" s="26">
        <v>43493.711805555598</v>
      </c>
      <c r="J16605" s="28" t="s">
        <v>52</v>
      </c>
      <c r="K16605" s="28" t="s">
        <v>52</v>
      </c>
      <c r="L16605" s="28" t="s">
        <v>52</v>
      </c>
      <c r="M16605" s="28" t="s">
        <v>52</v>
      </c>
      <c r="N16605" s="28" t="s">
        <v>52</v>
      </c>
    </row>
    <row r="16606" spans="1:14" x14ac:dyDescent="0.2">
      <c r="A16606" s="23" t="str">
        <f>HYPERLINK("https://www.spark-marketing.ru/Card/Person/309910", "ГАУ КО ""РПЦ""")</f>
        <v>ГАУ КО "РПЦ"</v>
      </c>
      <c r="B16606" s="24" t="s">
        <v>12156</v>
      </c>
      <c r="C16606" s="25">
        <v>372678.24</v>
      </c>
      <c r="D16606" s="22" t="s">
        <v>19076</v>
      </c>
      <c r="E16606" s="22" t="s">
        <v>144</v>
      </c>
      <c r="F16606" s="23" t="str">
        <f>HYPERLINK("https://www.spark-marketing.ru/Card/Lot/67502390", "Охрана объектов подразделениями вневедомственной охраны с помощью пультов централизованного наблюдения")</f>
        <v>Охрана объектов подразделениями вневедомственной охраны с помощью пультов централизованного наблюдения</v>
      </c>
      <c r="G16606" s="22" t="s">
        <v>247</v>
      </c>
      <c r="H16606" s="22" t="s">
        <v>247</v>
      </c>
      <c r="I16606" s="26">
        <v>43493.722326388903</v>
      </c>
      <c r="J16606" s="23" t="str">
        <f>HYPERLINK("https://www.spark-marketing.ru/Card/Person/4347210", "ФГКУ ""УВО ВНГ РОССИИ ПО КАЛИНИНГРАДСКОЙ ОБЛАСТИ""")</f>
        <v>ФГКУ "УВО ВНГ РОССИИ ПО КАЛИНИНГРАДСКОЙ ОБЛАСТИ"</v>
      </c>
      <c r="K16606" s="24" t="s">
        <v>12169</v>
      </c>
      <c r="L16606" s="28" t="s">
        <v>52</v>
      </c>
      <c r="M16606" s="25">
        <v>372678.24</v>
      </c>
      <c r="N16606" s="27">
        <v>0</v>
      </c>
    </row>
    <row r="16607" spans="1:14" x14ac:dyDescent="0.15">
      <c r="A16607" s="23" t="str">
        <f>HYPERLINK("https://www.spark-marketing.ru/Card/Person/1045745", "МБОУ СОШ №66 Г.БРЯНСКА")</f>
        <v>МБОУ СОШ №66 Г.БРЯНСКА</v>
      </c>
      <c r="B16607" s="24" t="s">
        <v>4016</v>
      </c>
      <c r="C16607" s="25">
        <v>82800</v>
      </c>
      <c r="D16607" s="22" t="s">
        <v>19077</v>
      </c>
      <c r="E16607" s="22" t="s">
        <v>68</v>
      </c>
      <c r="F16607" s="23" t="str">
        <f>HYPERLINK("https://www.spark-marketing.ru/Card/Lot/67497764", "Услуги по обеспечению охраны объекта с осуществлением обеспечения особого порядка доступа на объект.")</f>
        <v>Услуги по обеспечению охраны объекта с осуществлением обеспечения особого порядка доступа на объект.</v>
      </c>
      <c r="G16607" s="22" t="s">
        <v>215</v>
      </c>
      <c r="H16607" s="22" t="s">
        <v>406</v>
      </c>
      <c r="I16607" s="26">
        <v>43493.7055555556</v>
      </c>
      <c r="J16607" s="28" t="s">
        <v>52</v>
      </c>
      <c r="K16607" s="28" t="s">
        <v>52</v>
      </c>
      <c r="L16607" s="28" t="s">
        <v>52</v>
      </c>
      <c r="M16607" s="28" t="s">
        <v>52</v>
      </c>
      <c r="N16607" s="28" t="s">
        <v>52</v>
      </c>
    </row>
    <row r="16608" spans="1:14" x14ac:dyDescent="0.15">
      <c r="A16608" s="23" t="str">
        <f>HYPERLINK("https://www.spark-marketing.ru/Card/Person/1038157", "МБОУ ""СОШ № 19"" Г.БРЯНСКА")</f>
        <v>МБОУ "СОШ № 19" Г.БРЯНСКА</v>
      </c>
      <c r="B16608" s="24" t="s">
        <v>4039</v>
      </c>
      <c r="C16608" s="25">
        <v>87600</v>
      </c>
      <c r="D16608" s="22" t="s">
        <v>19078</v>
      </c>
      <c r="E16608" s="22" t="s">
        <v>68</v>
      </c>
      <c r="F16608" s="23" t="str">
        <f>HYPERLINK("https://www.spark-marketing.ru/Card/Lot/67496901", "Услуги по обеспечению охраны объекта с осуществлением обеспечения особого порядка доступа на объект.")</f>
        <v>Услуги по обеспечению охраны объекта с осуществлением обеспечения особого порядка доступа на объект.</v>
      </c>
      <c r="G16608" s="22" t="s">
        <v>215</v>
      </c>
      <c r="H16608" s="22" t="s">
        <v>406</v>
      </c>
      <c r="I16608" s="26">
        <v>43493.690972222197</v>
      </c>
      <c r="J16608" s="28" t="s">
        <v>52</v>
      </c>
      <c r="K16608" s="28" t="s">
        <v>52</v>
      </c>
      <c r="L16608" s="28" t="s">
        <v>52</v>
      </c>
      <c r="M16608" s="28" t="s">
        <v>52</v>
      </c>
      <c r="N16608" s="28" t="s">
        <v>52</v>
      </c>
    </row>
    <row r="16609" spans="1:14" x14ac:dyDescent="0.15">
      <c r="A16609" s="23" t="str">
        <f>HYPERLINK("https://www.spark-marketing.ru/Card/Person/1008975", "МБОУ ""ГИМНАЗИЯ №5"" Г.БРЯНСКА")</f>
        <v>МБОУ "ГИМНАЗИЯ №5" Г.БРЯНСКА</v>
      </c>
      <c r="B16609" s="24" t="s">
        <v>3999</v>
      </c>
      <c r="C16609" s="25">
        <v>86400</v>
      </c>
      <c r="D16609" s="22" t="s">
        <v>19079</v>
      </c>
      <c r="E16609" s="22" t="s">
        <v>68</v>
      </c>
      <c r="F16609" s="23" t="str">
        <f>HYPERLINK("https://www.spark-marketing.ru/Card/Lot/67496910", "Услуги по обеспечению охраны объекта с осуществлением обеспечения особого порядка доступа на объект.")</f>
        <v>Услуги по обеспечению охраны объекта с осуществлением обеспечения особого порядка доступа на объект.</v>
      </c>
      <c r="G16609" s="22" t="s">
        <v>215</v>
      </c>
      <c r="H16609" s="22" t="s">
        <v>406</v>
      </c>
      <c r="I16609" s="26">
        <v>43493.693749999999</v>
      </c>
      <c r="J16609" s="28" t="s">
        <v>52</v>
      </c>
      <c r="K16609" s="28" t="s">
        <v>52</v>
      </c>
      <c r="L16609" s="28" t="s">
        <v>52</v>
      </c>
      <c r="M16609" s="28" t="s">
        <v>52</v>
      </c>
      <c r="N16609" s="28" t="s">
        <v>52</v>
      </c>
    </row>
    <row r="16610" spans="1:14" x14ac:dyDescent="0.15">
      <c r="A16610" s="23" t="str">
        <f>HYPERLINK("https://www.spark-marketing.ru/Card/Person/91824", "ГБПОУ РО ""ВТИТБИД""")</f>
        <v>ГБПОУ РО "ВТИТБИД"</v>
      </c>
      <c r="B16610" s="24" t="s">
        <v>19080</v>
      </c>
      <c r="C16610" s="25">
        <v>12100</v>
      </c>
      <c r="D16610" s="22" t="s">
        <v>19081</v>
      </c>
      <c r="E16610" s="22" t="s">
        <v>294</v>
      </c>
      <c r="F16610" s="23" t="str">
        <f>HYPERLINK("https://www.spark-marketing.ru/Card/Lot/67495810", "Техническое обслуживание систем видеонаблюдения и аварийного освещения")</f>
        <v>Техническое обслуживание систем видеонаблюдения и аварийного освещения</v>
      </c>
      <c r="G16610" s="22" t="s">
        <v>402</v>
      </c>
      <c r="H16610" s="22" t="s">
        <v>12630</v>
      </c>
      <c r="I16610" s="26">
        <v>43493.677083333299</v>
      </c>
      <c r="J16610" s="28" t="s">
        <v>52</v>
      </c>
      <c r="K16610" s="28" t="s">
        <v>52</v>
      </c>
      <c r="L16610" s="28" t="s">
        <v>52</v>
      </c>
      <c r="M16610" s="28" t="s">
        <v>52</v>
      </c>
      <c r="N16610" s="28" t="s">
        <v>52</v>
      </c>
    </row>
    <row r="16611" spans="1:14" x14ac:dyDescent="0.15">
      <c r="A16611" s="23" t="str">
        <f>HYPERLINK("https://www.spark-marketing.ru/Card/Person/1026467", "ГБОУ РО АЗОВСКАЯ ШКОЛА-ИНТЕРНАТ")</f>
        <v>ГБОУ РО АЗОВСКАЯ ШКОЛА-ИНТЕРНАТ</v>
      </c>
      <c r="B16611" s="24" t="s">
        <v>19082</v>
      </c>
      <c r="C16611" s="25">
        <v>79100.05</v>
      </c>
      <c r="D16611" s="22" t="s">
        <v>19083</v>
      </c>
      <c r="E16611" s="22" t="s">
        <v>68</v>
      </c>
      <c r="F16611" s="23" t="str">
        <f>HYPERLINK("https://www.spark-marketing.ru/Card/Lot/67495825", "Оказание услуг по оперативному реагированию на сообщения о срабатывании «тревожной» сигнализации ГБОУ РО Азовская школа-интернат")</f>
        <v>Оказание услуг по оперативному реагированию на сообщения о срабатывании «тревожной» сигнализации ГБОУ РО Азовская школа-интернат</v>
      </c>
      <c r="G16611" s="22" t="s">
        <v>402</v>
      </c>
      <c r="H16611" s="22" t="s">
        <v>4950</v>
      </c>
      <c r="I16611" s="26">
        <v>43493.679861111101</v>
      </c>
      <c r="J16611" s="28" t="s">
        <v>52</v>
      </c>
      <c r="K16611" s="28" t="s">
        <v>52</v>
      </c>
      <c r="L16611" s="28" t="s">
        <v>52</v>
      </c>
      <c r="M16611" s="28" t="s">
        <v>52</v>
      </c>
      <c r="N16611" s="28" t="s">
        <v>52</v>
      </c>
    </row>
    <row r="16612" spans="1:14" x14ac:dyDescent="0.15">
      <c r="A16612" s="23" t="str">
        <f>HYPERLINK("https://www.spark-marketing.ru/Card/Person/1039278", "МБОУ СОШ № 61 Г. БРЯНСКА")</f>
        <v>МБОУ СОШ № 61 Г. БРЯНСКА</v>
      </c>
      <c r="B16612" s="24" t="s">
        <v>4009</v>
      </c>
      <c r="C16612" s="25">
        <v>91200</v>
      </c>
      <c r="D16612" s="22" t="s">
        <v>19084</v>
      </c>
      <c r="E16612" s="22" t="s">
        <v>68</v>
      </c>
      <c r="F16612" s="23" t="str">
        <f>HYPERLINK("https://www.spark-marketing.ru/Card/Lot/67497747", "Услуги по обеспечению охраны объекта с осуществлением обеспечения особого порядка доступа на объект.")</f>
        <v>Услуги по обеспечению охраны объекта с осуществлением обеспечения особого порядка доступа на объект.</v>
      </c>
      <c r="G16612" s="22" t="s">
        <v>215</v>
      </c>
      <c r="H16612" s="22" t="s">
        <v>406</v>
      </c>
      <c r="I16612" s="26">
        <v>43493.7006944444</v>
      </c>
      <c r="J16612" s="28" t="s">
        <v>52</v>
      </c>
      <c r="K16612" s="28" t="s">
        <v>52</v>
      </c>
      <c r="L16612" s="28" t="s">
        <v>52</v>
      </c>
      <c r="M16612" s="28" t="s">
        <v>52</v>
      </c>
      <c r="N16612" s="28" t="s">
        <v>52</v>
      </c>
    </row>
    <row r="16613" spans="1:14" x14ac:dyDescent="0.15">
      <c r="A16613" s="23" t="str">
        <f>HYPERLINK("https://www.spark-marketing.ru/Card/Person/1039276", "МБОУ СОШ №52 Г.БРЯНСКА")</f>
        <v>МБОУ СОШ №52 Г.БРЯНСКА</v>
      </c>
      <c r="B16613" s="24" t="s">
        <v>4011</v>
      </c>
      <c r="C16613" s="25">
        <v>99600</v>
      </c>
      <c r="D16613" s="22" t="s">
        <v>19085</v>
      </c>
      <c r="E16613" s="22" t="s">
        <v>68</v>
      </c>
      <c r="F16613" s="23" t="str">
        <f>HYPERLINK("https://www.spark-marketing.ru/Card/Lot/67497096", "Услуги по обеспечению охраны объекта с осуществлением обеспечения особого порядка доступа на объект.")</f>
        <v>Услуги по обеспечению охраны объекта с осуществлением обеспечения особого порядка доступа на объект.</v>
      </c>
      <c r="G16613" s="22" t="s">
        <v>215</v>
      </c>
      <c r="H16613" s="22" t="s">
        <v>406</v>
      </c>
      <c r="I16613" s="26">
        <v>43493.6965277778</v>
      </c>
      <c r="J16613" s="28" t="s">
        <v>52</v>
      </c>
      <c r="K16613" s="28" t="s">
        <v>52</v>
      </c>
      <c r="L16613" s="28" t="s">
        <v>52</v>
      </c>
      <c r="M16613" s="28" t="s">
        <v>52</v>
      </c>
      <c r="N16613" s="28" t="s">
        <v>52</v>
      </c>
    </row>
    <row r="16614" spans="1:14" x14ac:dyDescent="0.15">
      <c r="A16614" s="23" t="str">
        <f>HYPERLINK("https://www.spark-marketing.ru/Card/Person/1039799", "МБОУ СОШ № 21 Г. БРЯНСКА")</f>
        <v>МБОУ СОШ № 21 Г. БРЯНСКА</v>
      </c>
      <c r="B16614" s="24" t="s">
        <v>4025</v>
      </c>
      <c r="C16614" s="25">
        <v>90000</v>
      </c>
      <c r="D16614" s="22" t="s">
        <v>19086</v>
      </c>
      <c r="E16614" s="22" t="s">
        <v>68</v>
      </c>
      <c r="F16614" s="23" t="str">
        <f>HYPERLINK("https://www.spark-marketing.ru/Card/Lot/67495774", "Услуги по обеспечению охраны объекта с осуществлением обеспечения особого порядка доступа на объект.")</f>
        <v>Услуги по обеспечению охраны объекта с осуществлением обеспечения особого порядка доступа на объект.</v>
      </c>
      <c r="G16614" s="22" t="s">
        <v>215</v>
      </c>
      <c r="H16614" s="22" t="s">
        <v>406</v>
      </c>
      <c r="I16614" s="26">
        <v>43493.685416666704</v>
      </c>
      <c r="J16614" s="28" t="s">
        <v>52</v>
      </c>
      <c r="K16614" s="28" t="s">
        <v>52</v>
      </c>
      <c r="L16614" s="28" t="s">
        <v>52</v>
      </c>
      <c r="M16614" s="28" t="s">
        <v>52</v>
      </c>
      <c r="N16614" s="28" t="s">
        <v>52</v>
      </c>
    </row>
    <row r="16615" spans="1:14" x14ac:dyDescent="0.15">
      <c r="A16615" s="23" t="str">
        <f>HYPERLINK("https://www.spark-marketing.ru/Card/Person/1039798", "МБОУ СОШ № 67 Г. БРЯНСКА")</f>
        <v>МБОУ СОШ № 67 Г. БРЯНСКА</v>
      </c>
      <c r="B16615" s="24" t="s">
        <v>4003</v>
      </c>
      <c r="C16615" s="25">
        <v>88800</v>
      </c>
      <c r="D16615" s="22" t="s">
        <v>19087</v>
      </c>
      <c r="E16615" s="22" t="s">
        <v>68</v>
      </c>
      <c r="F16615" s="23" t="str">
        <f>HYPERLINK("https://www.spark-marketing.ru/Card/Lot/67495722", "Услуги по обеспечению охраны объекта с осуществлением обеспечения особого порядка доступа на объект")</f>
        <v>Услуги по обеспечению охраны объекта с осуществлением обеспечения особого порядка доступа на объект</v>
      </c>
      <c r="G16615" s="22" t="s">
        <v>215</v>
      </c>
      <c r="H16615" s="22" t="s">
        <v>406</v>
      </c>
      <c r="I16615" s="26">
        <v>43493.666666666701</v>
      </c>
      <c r="J16615" s="28" t="s">
        <v>52</v>
      </c>
      <c r="K16615" s="28" t="s">
        <v>52</v>
      </c>
      <c r="L16615" s="28" t="s">
        <v>52</v>
      </c>
      <c r="M16615" s="28" t="s">
        <v>52</v>
      </c>
      <c r="N16615" s="28" t="s">
        <v>52</v>
      </c>
    </row>
    <row r="16616" spans="1:14" x14ac:dyDescent="0.15">
      <c r="A16616" s="23" t="str">
        <f>HYPERLINK("https://www.spark-marketing.ru/Card/Person/1038159", "МБОУ СОШ № 14 Г. БРЯНСКА")</f>
        <v>МБОУ СОШ № 14 Г. БРЯНСКА</v>
      </c>
      <c r="B16616" s="24" t="s">
        <v>4037</v>
      </c>
      <c r="C16616" s="25">
        <v>90000</v>
      </c>
      <c r="D16616" s="22" t="s">
        <v>19088</v>
      </c>
      <c r="E16616" s="22" t="s">
        <v>68</v>
      </c>
      <c r="F16616" s="23" t="str">
        <f>HYPERLINK("https://www.spark-marketing.ru/Card/Lot/67495744", "Услуги по обеспечению охраны объекта с осуществлением обеспечения особого порядка доступа на объект.")</f>
        <v>Услуги по обеспечению охраны объекта с осуществлением обеспечения особого порядка доступа на объект.</v>
      </c>
      <c r="G16616" s="22" t="s">
        <v>215</v>
      </c>
      <c r="H16616" s="22" t="s">
        <v>406</v>
      </c>
      <c r="I16616" s="26">
        <v>43493.670138888898</v>
      </c>
      <c r="J16616" s="28" t="s">
        <v>52</v>
      </c>
      <c r="K16616" s="28" t="s">
        <v>52</v>
      </c>
      <c r="L16616" s="28" t="s">
        <v>52</v>
      </c>
      <c r="M16616" s="28" t="s">
        <v>52</v>
      </c>
      <c r="N16616" s="28" t="s">
        <v>52</v>
      </c>
    </row>
    <row r="16617" spans="1:14" x14ac:dyDescent="0.15">
      <c r="A16617" s="23" t="str">
        <f>HYPERLINK("https://www.spark-marketing.ru/Card/Person/1038451", "МБОУ ""СОШ № 18"" Г. БРЯНСКА")</f>
        <v>МБОУ "СОШ № 18" Г. БРЯНСКА</v>
      </c>
      <c r="B16617" s="24" t="s">
        <v>4027</v>
      </c>
      <c r="C16617" s="25">
        <v>92400</v>
      </c>
      <c r="D16617" s="22" t="s">
        <v>19089</v>
      </c>
      <c r="E16617" s="22" t="s">
        <v>68</v>
      </c>
      <c r="F16617" s="23" t="str">
        <f>HYPERLINK("https://www.spark-marketing.ru/Card/Lot/67497756", "Услуги по обеспечению охраны объекта с осуществлением обеспечения особого порядка доступа на объект.")</f>
        <v>Услуги по обеспечению охраны объекта с осуществлением обеспечения особого порядка доступа на объект.</v>
      </c>
      <c r="G16617" s="22" t="s">
        <v>215</v>
      </c>
      <c r="H16617" s="22" t="s">
        <v>406</v>
      </c>
      <c r="I16617" s="26">
        <v>43493.702777777798</v>
      </c>
      <c r="J16617" s="28" t="s">
        <v>52</v>
      </c>
      <c r="K16617" s="28" t="s">
        <v>52</v>
      </c>
      <c r="L16617" s="28" t="s">
        <v>52</v>
      </c>
      <c r="M16617" s="28" t="s">
        <v>52</v>
      </c>
      <c r="N16617" s="28" t="s">
        <v>52</v>
      </c>
    </row>
    <row r="16618" spans="1:14" x14ac:dyDescent="0.15">
      <c r="A16618" s="23" t="str">
        <f>HYPERLINK("https://www.spark-marketing.ru/Card/Person/129554", "МЕЖРАЙОННАЯ ИФНС РОССИИ № 3 ПО ВОЛГОГРАДСКОЙ ОБЛАСТИ")</f>
        <v>МЕЖРАЙОННАЯ ИФНС РОССИИ № 3 ПО ВОЛГОГРАДСКОЙ ОБЛАСТИ</v>
      </c>
      <c r="B16618" s="24" t="s">
        <v>7276</v>
      </c>
      <c r="C16618" s="25">
        <v>4632</v>
      </c>
      <c r="D16618" s="22" t="s">
        <v>19090</v>
      </c>
      <c r="E16618" s="22" t="s">
        <v>53</v>
      </c>
      <c r="F16618" s="23" t="str">
        <f>HYPERLINK("https://www.spark-marketing.ru/Card/Lot/70799071", "Охрана объекта")</f>
        <v>Охрана объекта</v>
      </c>
      <c r="G16618" s="22" t="s">
        <v>343</v>
      </c>
      <c r="H16618" s="22" t="s">
        <v>7278</v>
      </c>
      <c r="I16618" s="26">
        <v>43493.633587962999</v>
      </c>
      <c r="J16618" s="28" t="s">
        <v>52</v>
      </c>
      <c r="K16618" s="28" t="s">
        <v>52</v>
      </c>
      <c r="L16618" s="28" t="s">
        <v>52</v>
      </c>
      <c r="M16618" s="28" t="s">
        <v>52</v>
      </c>
      <c r="N16618" s="28" t="s">
        <v>52</v>
      </c>
    </row>
    <row r="16619" spans="1:14" x14ac:dyDescent="0.15">
      <c r="A16619" s="23" t="str">
        <f>HYPERLINK("https://www.spark-marketing.ru/Card/Person/1010201", "МБУ ДО ДЭБЦ")</f>
        <v>МБУ ДО ДЭБЦ</v>
      </c>
      <c r="B16619" s="24" t="s">
        <v>19091</v>
      </c>
      <c r="C16619" s="25">
        <v>13200</v>
      </c>
      <c r="D16619" s="22" t="s">
        <v>19092</v>
      </c>
      <c r="E16619" s="22" t="s">
        <v>107</v>
      </c>
      <c r="F16619" s="23" t="str">
        <f>HYPERLINK("https://www.spark-marketing.ru/Card/Lot/67494579", "Регламентно-техническое обслуживание оборудования комплекса технических средств обеспечения видеонаблюдения")</f>
        <v>Регламентно-техническое обслуживание оборудования комплекса технических средств обеспечения видеонаблюдения</v>
      </c>
      <c r="G16619" s="22" t="s">
        <v>402</v>
      </c>
      <c r="H16619" s="22" t="s">
        <v>403</v>
      </c>
      <c r="I16619" s="26">
        <v>43493.652083333298</v>
      </c>
      <c r="J16619" s="28" t="s">
        <v>52</v>
      </c>
      <c r="K16619" s="28" t="s">
        <v>52</v>
      </c>
      <c r="L16619" s="28" t="s">
        <v>52</v>
      </c>
      <c r="M16619" s="28" t="s">
        <v>52</v>
      </c>
      <c r="N16619" s="28" t="s">
        <v>52</v>
      </c>
    </row>
    <row r="16620" spans="1:14" x14ac:dyDescent="0.15">
      <c r="A16620" s="23" t="str">
        <f>HYPERLINK("https://www.spark-marketing.ru/Card/Person/129554", "МЕЖРАЙОННАЯ ИФНС РОССИИ № 3 ПО ВОЛГОГРАДСКОЙ ОБЛАСТИ")</f>
        <v>МЕЖРАЙОННАЯ ИФНС РОССИИ № 3 ПО ВОЛГОГРАДСКОЙ ОБЛАСТИ</v>
      </c>
      <c r="B16620" s="24" t="s">
        <v>7276</v>
      </c>
      <c r="C16620" s="25">
        <v>70442.399999999994</v>
      </c>
      <c r="D16620" s="22" t="s">
        <v>19093</v>
      </c>
      <c r="E16620" s="22" t="s">
        <v>53</v>
      </c>
      <c r="F16620" s="23" t="str">
        <f>HYPERLINK("https://www.spark-marketing.ru/Card/Lot/70799070", "Охрана объектов")</f>
        <v>Охрана объектов</v>
      </c>
      <c r="G16620" s="22" t="s">
        <v>343</v>
      </c>
      <c r="H16620" s="22" t="s">
        <v>7278</v>
      </c>
      <c r="I16620" s="26">
        <v>43493.630844907399</v>
      </c>
      <c r="J16620" s="28" t="s">
        <v>52</v>
      </c>
      <c r="K16620" s="28" t="s">
        <v>52</v>
      </c>
      <c r="L16620" s="28" t="s">
        <v>52</v>
      </c>
      <c r="M16620" s="28" t="s">
        <v>52</v>
      </c>
      <c r="N16620" s="28" t="s">
        <v>52</v>
      </c>
    </row>
    <row r="16621" spans="1:14" x14ac:dyDescent="0.15">
      <c r="A16621" s="23" t="str">
        <f>HYPERLINK("https://www.spark-marketing.ru/Card/Person/145557", "МБДОУ ДЕТСКИЙ САД №37 ""РАДУГА"" ОБЩЕРАЗВИВАЮЩЕГО ВИДА ГОЩ")</f>
        <v>МБДОУ ДЕТСКИЙ САД №37 "РАДУГА" ОБЩЕРАЗВИВАЮЩЕГО ВИДА ГОЩ</v>
      </c>
      <c r="B16621" s="24" t="s">
        <v>2608</v>
      </c>
      <c r="C16621" s="25">
        <v>18000</v>
      </c>
      <c r="D16621" s="22" t="s">
        <v>19094</v>
      </c>
      <c r="E16621" s="22" t="s">
        <v>103</v>
      </c>
      <c r="F16621" s="23" t="str">
        <f>HYPERLINK("https://www.spark-marketing.ru/Card/Lot/67495870", "Оказание услуг по техническому обслуживанию системы видеонаблюдения")</f>
        <v>Оказание услуг по техническому обслуживанию системы видеонаблюдения</v>
      </c>
      <c r="G16621" s="22" t="s">
        <v>50</v>
      </c>
      <c r="H16621" s="22" t="s">
        <v>458</v>
      </c>
      <c r="I16621" s="26">
        <v>43493.650833333297</v>
      </c>
      <c r="J16621" s="28" t="s">
        <v>52</v>
      </c>
      <c r="K16621" s="28" t="s">
        <v>52</v>
      </c>
      <c r="L16621" s="28" t="s">
        <v>52</v>
      </c>
      <c r="M16621" s="28" t="s">
        <v>52</v>
      </c>
      <c r="N16621" s="28" t="s">
        <v>52</v>
      </c>
    </row>
  </sheetData>
  <autoFilter ref="A2:N2"/>
  <sortState ref="A2:AB4">
    <sortCondition ref="V2"/>
  </sortState>
  <mergeCells count="6">
    <mergeCell ref="I1:I2"/>
    <mergeCell ref="G1:G2"/>
    <mergeCell ref="D1:F1"/>
    <mergeCell ref="A1:C1"/>
    <mergeCell ref="J1:N1"/>
    <mergeCell ref="H1:H2"/>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Параметры поиска</vt:lpstr>
      <vt:lpstr>Результаты поиска</vt:lpstr>
    </vt:vector>
  </TitlesOfParts>
  <Company>Интерфакс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Татьяна Крапчатова</dc:creator>
  <cp:lastModifiedBy>Татьяна Крапчатова</cp:lastModifiedBy>
  <dcterms:created xsi:type="dcterms:W3CDTF">2019-10-18T14:18:16Z</dcterms:created>
  <dcterms:modified xsi:type="dcterms:W3CDTF">2019-10-18T14:18:17Z</dcterms:modified>
</cp:coreProperties>
</file>